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ЭтаКнига" defaultThemeVersion="124226"/>
  <bookViews>
    <workbookView xWindow="0" yWindow="0" windowWidth="20268" windowHeight="6972" tabRatio="593" firstSheet="3" activeTab="33"/>
  </bookViews>
  <sheets>
    <sheet name="расчет 2020" sheetId="93" state="hidden" r:id="rId1"/>
    <sheet name="ОС" sheetId="94" state="hidden" r:id="rId2"/>
    <sheet name="PL_Сватово очередь 2" sheetId="88" state="hidden" r:id="rId3"/>
    <sheet name="расчет 2024" sheetId="101" r:id="rId4"/>
    <sheet name="PL_Козин" sheetId="81" state="hidden" r:id="rId5"/>
    <sheet name="Лист1" sheetId="97" state="hidden" r:id="rId6"/>
    <sheet name="Цех ЗП" sheetId="92" state="hidden" r:id="rId7"/>
    <sheet name="PL_Пуща-Водица" sheetId="79" state="hidden" r:id="rId8"/>
    <sheet name="Печановка-2" sheetId="138" state="hidden" r:id="rId9"/>
    <sheet name="PL_Ретал" sheetId="126" state="hidden" r:id="rId10"/>
    <sheet name="Глухов" sheetId="115" state="hidden" r:id="rId11"/>
    <sheet name="PL_МХП3" sheetId="127" state="hidden" r:id="rId12"/>
    <sheet name="PL_Ладыжин-2" sheetId="103" state="hidden" r:id="rId13"/>
    <sheet name="Олияр" sheetId="98" state="hidden" r:id="rId14"/>
    <sheet name="Беловоды" sheetId="96" state="hidden" r:id="rId15"/>
    <sheet name="Мексика" sheetId="113" state="hidden" r:id="rId16"/>
    <sheet name="Печановка" sheetId="108" state="hidden" r:id="rId17"/>
    <sheet name="PL_Нежин" sheetId="86" state="hidden" r:id="rId18"/>
    <sheet name="PL_Королевка" sheetId="89" state="hidden" r:id="rId19"/>
    <sheet name="Яр Вал" sheetId="99" state="hidden" r:id="rId20"/>
    <sheet name="PL_Пологи" sheetId="90" state="hidden" r:id="rId21"/>
    <sheet name="Славута" sheetId="109" state="hidden" r:id="rId22"/>
    <sheet name="PL_Волчанск" sheetId="91" state="hidden" r:id="rId23"/>
    <sheet name="Турбина-2" sheetId="140" state="hidden" r:id="rId24"/>
    <sheet name="ООН_Черниговская_обл" sheetId="136" state="hidden" r:id="rId25"/>
    <sheet name="Щедро_лапша" sheetId="134" state="hidden" r:id="rId26"/>
    <sheet name="МЭЗ СЕТИ" sheetId="131" state="hidden" r:id="rId27"/>
    <sheet name="Приднепровский МЄЗ 2" sheetId="114" state="hidden" r:id="rId28"/>
    <sheet name="Старкон Убежище" sheetId="142" state="hidden" r:id="rId29"/>
    <sheet name="Турбина" sheetId="111" state="hidden" r:id="rId30"/>
    <sheet name="Подгорцы" sheetId="116" state="hidden" r:id="rId31"/>
    <sheet name="PL_Производство" sheetId="82" state="hidden" r:id="rId32"/>
    <sheet name="PL_Производство_СВОД" sheetId="157" r:id="rId33"/>
    <sheet name="PL_ЦО_Производство" sheetId="158" r:id="rId34"/>
    <sheet name="МК Ладыжин-3" sheetId="160" state="hidden" r:id="rId35"/>
    <sheet name="МК Староконстантинов" sheetId="161" state="hidden" r:id="rId36"/>
    <sheet name="МК Армокаркасы" sheetId="162" state="hidden" r:id="rId37"/>
    <sheet name="МК Щедро. Флекситанки" sheetId="163" state="hidden" r:id="rId38"/>
    <sheet name="МК ЛифтМаркет" sheetId="164" state="hidden" r:id="rId39"/>
    <sheet name="МК Укркотлопром" sheetId="165" state="hidden" r:id="rId40"/>
    <sheet name="МД Бытовка ИТР Нежин" sheetId="170" state="hidden" r:id="rId41"/>
    <sheet name="МК _Шаблон" sheetId="166" state="hidden" r:id="rId42"/>
    <sheet name="МК Металургбуд.поддоны" sheetId="169" state="hidden" r:id="rId43"/>
    <sheet name="МК Нежин-3" sheetId="171" r:id="rId44"/>
    <sheet name="МК Подгорцы.Забор" sheetId="167" r:id="rId45"/>
    <sheet name="PL_Металлизация" sheetId="80" state="hidden" r:id="rId46"/>
    <sheet name="МК РДК.Кран" sheetId="174" r:id="rId47"/>
    <sheet name="МК Ворота.Запорожье" sheetId="175" r:id="rId48"/>
    <sheet name="МД Казарма.Рекламация" sheetId="177" r:id="rId49"/>
    <sheet name="МД ООН" sheetId="159" r:id="rId50"/>
    <sheet name="МД ВООЗ" sheetId="176" r:id="rId51"/>
    <sheet name="PL_Щедро" sheetId="85" state="hidden" r:id="rId52"/>
    <sheet name="Кривой Рог" sheetId="102" state="hidden" r:id="rId53"/>
    <sheet name="Нежин-2" sheetId="107" state="hidden" r:id="rId54"/>
    <sheet name="Красноармейская" sheetId="117" state="hidden" r:id="rId55"/>
    <sheet name="PL_Приднепровский МЭЗ" sheetId="87" state="hidden" r:id="rId56"/>
    <sheet name="Харьков" sheetId="95" state="hidden" r:id="rId57"/>
    <sheet name="Лист2" sheetId="139" state="hidden" r:id="rId58"/>
  </sheets>
  <definedNames>
    <definedName name="_xlnm._FilterDatabase" localSheetId="22" hidden="1">PL_Волчанск!$A$4:$L$4</definedName>
    <definedName name="_xlnm._FilterDatabase" localSheetId="4" hidden="1">PL_Козин!$A$4:$AK$4</definedName>
    <definedName name="_xlnm._FilterDatabase" localSheetId="18" hidden="1">PL_Королевка!$A$4:$L$4</definedName>
    <definedName name="_xlnm._FilterDatabase" localSheetId="12" hidden="1">'PL_Ладыжин-2'!$A$4:$F$4</definedName>
    <definedName name="_xlnm._FilterDatabase" localSheetId="45" hidden="1">PL_Металлизация!$A$4:$M$4</definedName>
    <definedName name="_xlnm._FilterDatabase" localSheetId="11" hidden="1">PL_МХП3!$A$4:$F$4</definedName>
    <definedName name="_xlnm._FilterDatabase" localSheetId="17" hidden="1">PL_Нежин!$A$4:$L$4</definedName>
    <definedName name="_xlnm._FilterDatabase" localSheetId="20" hidden="1">PL_Пологи!$A$4:$L$4</definedName>
    <definedName name="_xlnm._FilterDatabase" localSheetId="55" hidden="1">'PL_Приднепровский МЭЗ'!$A$4:$L$4</definedName>
    <definedName name="_xlnm._FilterDatabase" localSheetId="31" hidden="1">PL_Производство!$A$4:$R$4</definedName>
    <definedName name="_xlnm._FilterDatabase" localSheetId="32" hidden="1">PL_Производство_СВОД!$A$4:$B$4</definedName>
    <definedName name="_xlnm._FilterDatabase" localSheetId="7" hidden="1">'PL_Пуща-Водица'!$A$4:$AK$4</definedName>
    <definedName name="_xlnm._FilterDatabase" localSheetId="9" hidden="1">PL_Ретал!$A$4:$F$4</definedName>
    <definedName name="_xlnm._FilterDatabase" localSheetId="2" hidden="1">'PL_Сватово очередь 2'!$A$4:$AZ$4</definedName>
    <definedName name="_xlnm._FilterDatabase" localSheetId="33" hidden="1">PL_ЦО_Производство!$A$4:$B$4</definedName>
    <definedName name="_xlnm._FilterDatabase" localSheetId="51" hidden="1">PL_Щедро!$A$4:$L$4</definedName>
    <definedName name="_xlnm._FilterDatabase" localSheetId="40" hidden="1">'МД Бытовка ИТР Нежин'!$A$4:$B$4</definedName>
    <definedName name="_xlnm._FilterDatabase" localSheetId="50" hidden="1">'МД ВООЗ'!$A$4:$B$4</definedName>
    <definedName name="_xlnm._FilterDatabase" localSheetId="48" hidden="1">'МД Казарма.Рекламация'!$A$4:$B$4</definedName>
    <definedName name="_xlnm._FilterDatabase" localSheetId="49" hidden="1">'МД ООН'!$A$4:$B$4</definedName>
    <definedName name="_xlnm._FilterDatabase" localSheetId="41" hidden="1">'МК _Шаблон'!$A$4:$B$4</definedName>
    <definedName name="_xlnm._FilterDatabase" localSheetId="36" hidden="1">'МК Армокаркасы'!$A$4:$B$4</definedName>
    <definedName name="_xlnm._FilterDatabase" localSheetId="47" hidden="1">'МК Ворота.Запорожье'!$A$4:$B$4</definedName>
    <definedName name="_xlnm._FilterDatabase" localSheetId="34" hidden="1">'МК Ладыжин-3'!$A$4:$B$4</definedName>
    <definedName name="_xlnm._FilterDatabase" localSheetId="38" hidden="1">'МК ЛифтМаркет'!$A$4:$B$4</definedName>
    <definedName name="_xlnm._FilterDatabase" localSheetId="42" hidden="1">'МК Металургбуд.поддоны'!$A$4:$B$4</definedName>
    <definedName name="_xlnm._FilterDatabase" localSheetId="43" hidden="1">'МК Нежин-3'!$A$4:$B$4</definedName>
    <definedName name="_xlnm._FilterDatabase" localSheetId="44" hidden="1">'МК Подгорцы.Забор'!$A$4:$B$4</definedName>
    <definedName name="_xlnm._FilterDatabase" localSheetId="46" hidden="1">'МК РДК.Кран'!$A$4:$B$4</definedName>
    <definedName name="_xlnm._FilterDatabase" localSheetId="35" hidden="1">'МК Староконстантинов'!$A$4:$B$4</definedName>
    <definedName name="_xlnm._FilterDatabase" localSheetId="39" hidden="1">'МК Укркотлопром'!$A$4:$B$4</definedName>
    <definedName name="_xlnm._FilterDatabase" localSheetId="37" hidden="1">'МК Щедро. Флекситанки'!$A$4:$B$4</definedName>
    <definedName name="_xlnm._FilterDatabase" localSheetId="26" hidden="1">'МЭЗ СЕТИ'!$A$4:$F$4</definedName>
    <definedName name="_xlnm._FilterDatabase" localSheetId="53" hidden="1">'Нежин-2'!$A$4:$F$4</definedName>
    <definedName name="_xlnm._FilterDatabase" localSheetId="1" hidden="1">ОС!$A$7:$E$37</definedName>
    <definedName name="_xlnm._FilterDatabase" localSheetId="16" hidden="1">Печановка!$A$4:$F$4</definedName>
    <definedName name="_xlnm._FilterDatabase" localSheetId="21" hidden="1">Славута!$A$4:$F$4</definedName>
    <definedName name="Excel_BuiltIn_Print_Area_4">"#REF!"</definedName>
    <definedName name="Excel_BuiltIn_Print_Area_4_1">"#REF!"</definedName>
    <definedName name="Excel_BuiltIn_Print_Area_7">"#REF!"</definedName>
    <definedName name="Excel_BuiltIn_Print_Area_7_1">"#REF!"</definedName>
  </definedNames>
  <calcPr calcId="145621"/>
</workbook>
</file>

<file path=xl/calcChain.xml><?xml version="1.0" encoding="utf-8"?>
<calcChain xmlns="http://schemas.openxmlformats.org/spreadsheetml/2006/main">
  <c r="BA6" i="171" l="1"/>
  <c r="BA68" i="158" l="1"/>
  <c r="CQ10" i="171" l="1"/>
  <c r="CQ11" i="171"/>
  <c r="BC66" i="158" l="1"/>
  <c r="CP6" i="159"/>
  <c r="BC24" i="171" l="1"/>
  <c r="AM107" i="157" l="1"/>
  <c r="AL107" i="157"/>
  <c r="AH107" i="157"/>
  <c r="AG107" i="157"/>
  <c r="AM106" i="157"/>
  <c r="AL106" i="157"/>
  <c r="AH106" i="157"/>
  <c r="AG106" i="157"/>
  <c r="AM105" i="157"/>
  <c r="AL105" i="157"/>
  <c r="AH105" i="157"/>
  <c r="AG105" i="157"/>
  <c r="AL104" i="157"/>
  <c r="AH104" i="157"/>
  <c r="AG104" i="157"/>
  <c r="AM103" i="157"/>
  <c r="AL103" i="157"/>
  <c r="AH103" i="157"/>
  <c r="AG103" i="157"/>
  <c r="AM102" i="157"/>
  <c r="AL102" i="157"/>
  <c r="AH102" i="157"/>
  <c r="AG102" i="157"/>
  <c r="AM101" i="157"/>
  <c r="AL101" i="157"/>
  <c r="AH101" i="157"/>
  <c r="AG101" i="157"/>
  <c r="AM100" i="157"/>
  <c r="AL100" i="157"/>
  <c r="AH100" i="157"/>
  <c r="AG100" i="157"/>
  <c r="AM99" i="157"/>
  <c r="AL99" i="157"/>
  <c r="AH99" i="157"/>
  <c r="AG99" i="157"/>
  <c r="AM98" i="157"/>
  <c r="AL98" i="157"/>
  <c r="AH98" i="157"/>
  <c r="AG98" i="157"/>
  <c r="AM97" i="157"/>
  <c r="AL97" i="157"/>
  <c r="AH97" i="157"/>
  <c r="AG97" i="157"/>
  <c r="AM96" i="157"/>
  <c r="AL96" i="157"/>
  <c r="AH96" i="157"/>
  <c r="AG96" i="157"/>
  <c r="AM95" i="157"/>
  <c r="AL95" i="157"/>
  <c r="AH95" i="157"/>
  <c r="AG95" i="157"/>
  <c r="CF85" i="157"/>
  <c r="CE85" i="157"/>
  <c r="CA85" i="157"/>
  <c r="BZ85" i="157"/>
  <c r="CB85" i="157" s="1"/>
  <c r="BV85" i="157"/>
  <c r="BU85" i="157"/>
  <c r="BQ85" i="157"/>
  <c r="BP85" i="157"/>
  <c r="BL85" i="157"/>
  <c r="BK85" i="157"/>
  <c r="BG85" i="157"/>
  <c r="BF85" i="157"/>
  <c r="BH85" i="157" s="1"/>
  <c r="BB85" i="157"/>
  <c r="BA85" i="157"/>
  <c r="AW85" i="157"/>
  <c r="AV85" i="157"/>
  <c r="AX85" i="157" s="1"/>
  <c r="AR85" i="157"/>
  <c r="AQ85" i="157"/>
  <c r="AM85" i="157"/>
  <c r="AL85" i="157"/>
  <c r="AH85" i="157"/>
  <c r="AG85" i="157"/>
  <c r="AC85" i="157"/>
  <c r="AB85" i="157"/>
  <c r="CF82" i="157"/>
  <c r="CE82" i="157"/>
  <c r="CA82" i="157"/>
  <c r="CB82" i="157" s="1"/>
  <c r="BZ82" i="157"/>
  <c r="BV82" i="157"/>
  <c r="BU82" i="157"/>
  <c r="BQ82" i="157"/>
  <c r="BP82" i="157"/>
  <c r="BL82" i="157"/>
  <c r="BK82" i="157"/>
  <c r="BG82" i="157"/>
  <c r="BF82" i="157"/>
  <c r="BB82" i="157"/>
  <c r="BA82" i="157"/>
  <c r="AW82" i="157"/>
  <c r="AV82" i="157"/>
  <c r="AR82" i="157"/>
  <c r="AQ82" i="157"/>
  <c r="AM82" i="157"/>
  <c r="AL82" i="157"/>
  <c r="AH82" i="157"/>
  <c r="AG82" i="157"/>
  <c r="AC82" i="157"/>
  <c r="AB82" i="157"/>
  <c r="CF79" i="157"/>
  <c r="CA79" i="157"/>
  <c r="BV79" i="157"/>
  <c r="BQ79" i="157"/>
  <c r="BL79" i="157"/>
  <c r="BK79" i="157"/>
  <c r="BM79" i="157" s="1"/>
  <c r="BG79" i="157"/>
  <c r="BB79" i="157"/>
  <c r="AW79" i="157"/>
  <c r="AR79" i="157"/>
  <c r="AM79" i="157"/>
  <c r="AH79" i="157"/>
  <c r="AC79" i="157"/>
  <c r="S79" i="157"/>
  <c r="R79" i="157"/>
  <c r="CF78" i="157"/>
  <c r="CE78" i="157"/>
  <c r="CA78" i="157"/>
  <c r="BZ78" i="157"/>
  <c r="CB78" i="157" s="1"/>
  <c r="BV78" i="157"/>
  <c r="BV77" i="157" s="1"/>
  <c r="BU78" i="157"/>
  <c r="BQ78" i="157"/>
  <c r="BP78" i="157"/>
  <c r="BL78" i="157"/>
  <c r="BK78" i="157"/>
  <c r="BG78" i="157"/>
  <c r="BF78" i="157"/>
  <c r="BB78" i="157"/>
  <c r="BA78" i="157"/>
  <c r="AW78" i="157"/>
  <c r="AV78" i="157"/>
  <c r="AR78" i="157"/>
  <c r="AQ78" i="157"/>
  <c r="AM78" i="157"/>
  <c r="AL78" i="157"/>
  <c r="AH78" i="157"/>
  <c r="AG78" i="157"/>
  <c r="AC78" i="157"/>
  <c r="AB78" i="157"/>
  <c r="AD78" i="157" s="1"/>
  <c r="S78" i="157"/>
  <c r="R78" i="157"/>
  <c r="CF74" i="157"/>
  <c r="CE74" i="157"/>
  <c r="CA74" i="157"/>
  <c r="BZ74" i="157"/>
  <c r="BZ73" i="157" s="1"/>
  <c r="BV74" i="157"/>
  <c r="BU74" i="157"/>
  <c r="BQ74" i="157"/>
  <c r="BP74" i="157"/>
  <c r="BL74" i="157"/>
  <c r="BK74" i="157"/>
  <c r="BG74" i="157"/>
  <c r="BF74" i="157"/>
  <c r="BF73" i="157" s="1"/>
  <c r="BB74" i="157"/>
  <c r="BA74" i="157"/>
  <c r="AW74" i="157"/>
  <c r="AV74" i="157"/>
  <c r="AR74" i="157"/>
  <c r="AR73" i="157" s="1"/>
  <c r="AQ74" i="157"/>
  <c r="AM74" i="157"/>
  <c r="AL74" i="157"/>
  <c r="AH74" i="157"/>
  <c r="AG74" i="157"/>
  <c r="AC74" i="157"/>
  <c r="AB74" i="157"/>
  <c r="S74" i="157"/>
  <c r="R74" i="157"/>
  <c r="CF71" i="157"/>
  <c r="CE71" i="157"/>
  <c r="CA71" i="157"/>
  <c r="BZ71" i="157"/>
  <c r="CB71" i="157" s="1"/>
  <c r="BV71" i="157"/>
  <c r="BU71" i="157"/>
  <c r="BQ71" i="157"/>
  <c r="BP71" i="157"/>
  <c r="BL71" i="157"/>
  <c r="BK71" i="157"/>
  <c r="BG71" i="157"/>
  <c r="BF71" i="157"/>
  <c r="BB71" i="157"/>
  <c r="BA71" i="157"/>
  <c r="AW71" i="157"/>
  <c r="AV71" i="157"/>
  <c r="AX71" i="157" s="1"/>
  <c r="AR71" i="157"/>
  <c r="AQ71" i="157"/>
  <c r="AM71" i="157"/>
  <c r="AL71" i="157"/>
  <c r="AH71" i="157"/>
  <c r="AG71" i="157"/>
  <c r="AC71" i="157"/>
  <c r="S71" i="157"/>
  <c r="R71" i="157"/>
  <c r="CF70" i="157"/>
  <c r="CE70" i="157"/>
  <c r="CG70" i="157" s="1"/>
  <c r="CA70" i="157"/>
  <c r="BZ70" i="157"/>
  <c r="BV70" i="157"/>
  <c r="BU70" i="157"/>
  <c r="BW70" i="157" s="1"/>
  <c r="BQ70" i="157"/>
  <c r="BP70" i="157"/>
  <c r="BL70" i="157"/>
  <c r="BK70" i="157"/>
  <c r="BG70" i="157"/>
  <c r="BF70" i="157"/>
  <c r="BB70" i="157"/>
  <c r="BA70" i="157"/>
  <c r="BC70" i="157" s="1"/>
  <c r="AW70" i="157"/>
  <c r="AV70" i="157"/>
  <c r="AR70" i="157"/>
  <c r="AQ70" i="157"/>
  <c r="AM70" i="157"/>
  <c r="AL70" i="157"/>
  <c r="AH70" i="157"/>
  <c r="AG70" i="157"/>
  <c r="AC70" i="157"/>
  <c r="AB70" i="157"/>
  <c r="S70" i="157"/>
  <c r="R70" i="157"/>
  <c r="T70" i="157" s="1"/>
  <c r="CF69" i="157"/>
  <c r="CE69" i="157"/>
  <c r="CA69" i="157"/>
  <c r="BZ69" i="157"/>
  <c r="CB69" i="157" s="1"/>
  <c r="BV69" i="157"/>
  <c r="BU69" i="157"/>
  <c r="BQ69" i="157"/>
  <c r="BP69" i="157"/>
  <c r="BL69" i="157"/>
  <c r="BK69" i="157"/>
  <c r="BG69" i="157"/>
  <c r="BF69" i="157"/>
  <c r="BH69" i="157" s="1"/>
  <c r="BB69" i="157"/>
  <c r="BA69" i="157"/>
  <c r="AW69" i="157"/>
  <c r="AV69" i="157"/>
  <c r="AX69" i="157" s="1"/>
  <c r="AR69" i="157"/>
  <c r="AQ69" i="157"/>
  <c r="AM69" i="157"/>
  <c r="AL69" i="157"/>
  <c r="AH69" i="157"/>
  <c r="AG69" i="157"/>
  <c r="AC69" i="157"/>
  <c r="AB69" i="157"/>
  <c r="AD69" i="157" s="1"/>
  <c r="S69" i="157"/>
  <c r="R69" i="157"/>
  <c r="CF68" i="157"/>
  <c r="CE68" i="157"/>
  <c r="CA68" i="157"/>
  <c r="BZ68" i="157"/>
  <c r="BV68" i="157"/>
  <c r="BU68" i="157"/>
  <c r="BQ68" i="157"/>
  <c r="BP68" i="157"/>
  <c r="BL68" i="157"/>
  <c r="BK68" i="157"/>
  <c r="BG68" i="157"/>
  <c r="BF68" i="157"/>
  <c r="BB68" i="157"/>
  <c r="BA68" i="157"/>
  <c r="AW68" i="157"/>
  <c r="AV68" i="157"/>
  <c r="AR68" i="157"/>
  <c r="AM68" i="157"/>
  <c r="AL68" i="157"/>
  <c r="AG68" i="157"/>
  <c r="AB68" i="157"/>
  <c r="S68" i="157"/>
  <c r="R68" i="157"/>
  <c r="CF67" i="157"/>
  <c r="CE67" i="157"/>
  <c r="CA67" i="157"/>
  <c r="BZ67" i="157"/>
  <c r="BV67" i="157"/>
  <c r="BU67" i="157"/>
  <c r="BQ67" i="157"/>
  <c r="BP67" i="157"/>
  <c r="BR67" i="157" s="1"/>
  <c r="BL67" i="157"/>
  <c r="BK67" i="157"/>
  <c r="BG67" i="157"/>
  <c r="BF67" i="157"/>
  <c r="BB67" i="157"/>
  <c r="BA67" i="157"/>
  <c r="AW67" i="157"/>
  <c r="AV67" i="157"/>
  <c r="AR67" i="157"/>
  <c r="AQ67" i="157"/>
  <c r="AM67" i="157"/>
  <c r="AL67" i="157"/>
  <c r="AN67" i="157" s="1"/>
  <c r="AH67" i="157"/>
  <c r="AG67" i="157"/>
  <c r="AC67" i="157"/>
  <c r="AB67" i="157"/>
  <c r="S67" i="157"/>
  <c r="R67" i="157"/>
  <c r="CF66" i="157"/>
  <c r="CE66" i="157"/>
  <c r="CA66" i="157"/>
  <c r="BZ66" i="157"/>
  <c r="BV66" i="157"/>
  <c r="BU66" i="157"/>
  <c r="BW66" i="157" s="1"/>
  <c r="BQ66" i="157"/>
  <c r="BP66" i="157"/>
  <c r="BL66" i="157"/>
  <c r="BK66" i="157"/>
  <c r="BG66" i="157"/>
  <c r="BF66" i="157"/>
  <c r="BB66" i="157"/>
  <c r="BC66" i="157" s="1"/>
  <c r="BA66" i="157"/>
  <c r="AW66" i="157"/>
  <c r="AV66" i="157"/>
  <c r="AR66" i="157"/>
  <c r="AQ66" i="157"/>
  <c r="AS66" i="157" s="1"/>
  <c r="AM66" i="157"/>
  <c r="AL66" i="157"/>
  <c r="AH66" i="157"/>
  <c r="AG66" i="157"/>
  <c r="AC66" i="157"/>
  <c r="AB66" i="157"/>
  <c r="S66" i="157"/>
  <c r="R66" i="157"/>
  <c r="CF65" i="157"/>
  <c r="CE65" i="157"/>
  <c r="CA65" i="157"/>
  <c r="BZ65" i="157"/>
  <c r="CB65" i="157" s="1"/>
  <c r="BV65" i="157"/>
  <c r="BU65" i="157"/>
  <c r="BQ65" i="157"/>
  <c r="BP65" i="157"/>
  <c r="BL65" i="157"/>
  <c r="BK65" i="157"/>
  <c r="BG65" i="157"/>
  <c r="BF65" i="157"/>
  <c r="BB65" i="157"/>
  <c r="AW65" i="157"/>
  <c r="AV65" i="157"/>
  <c r="AX65" i="157" s="1"/>
  <c r="AR65" i="157"/>
  <c r="AQ65" i="157"/>
  <c r="AM65" i="157"/>
  <c r="AL65" i="157"/>
  <c r="AN65" i="157" s="1"/>
  <c r="AH65" i="157"/>
  <c r="AG65" i="157"/>
  <c r="AC65" i="157"/>
  <c r="AB65" i="157"/>
  <c r="S65" i="157"/>
  <c r="R65" i="157"/>
  <c r="CF64" i="157"/>
  <c r="CE64" i="157"/>
  <c r="CG64" i="157" s="1"/>
  <c r="CA64" i="157"/>
  <c r="BZ64" i="157"/>
  <c r="BV64" i="157"/>
  <c r="BU64" i="157"/>
  <c r="BW64" i="157" s="1"/>
  <c r="BQ64" i="157"/>
  <c r="BP64" i="157"/>
  <c r="BL64" i="157"/>
  <c r="BK64" i="157"/>
  <c r="BG64" i="157"/>
  <c r="BF64" i="157"/>
  <c r="BB64" i="157"/>
  <c r="AW64" i="157"/>
  <c r="AR64" i="157"/>
  <c r="AM64" i="157"/>
  <c r="AH64" i="157"/>
  <c r="AC64" i="157"/>
  <c r="S64" i="157"/>
  <c r="R64" i="157"/>
  <c r="T64" i="157" s="1"/>
  <c r="CF63" i="157"/>
  <c r="CE63" i="157"/>
  <c r="CA63" i="157"/>
  <c r="BZ63" i="157"/>
  <c r="CB63" i="157" s="1"/>
  <c r="BV63" i="157"/>
  <c r="BU63" i="157"/>
  <c r="BQ63" i="157"/>
  <c r="BP63" i="157"/>
  <c r="BL63" i="157"/>
  <c r="BK63" i="157"/>
  <c r="BG63" i="157"/>
  <c r="BF63" i="157"/>
  <c r="BB63" i="157"/>
  <c r="BA63" i="157"/>
  <c r="AW63" i="157"/>
  <c r="AV63" i="157"/>
  <c r="AR63" i="157"/>
  <c r="AQ63" i="157"/>
  <c r="AM63" i="157"/>
  <c r="AL63" i="157"/>
  <c r="AH63" i="157"/>
  <c r="AG63" i="157"/>
  <c r="AC63" i="157"/>
  <c r="AB63" i="157"/>
  <c r="AD63" i="157" s="1"/>
  <c r="S63" i="157"/>
  <c r="R63" i="157"/>
  <c r="CF62" i="157"/>
  <c r="CE62" i="157"/>
  <c r="CG62" i="157" s="1"/>
  <c r="CA62" i="157"/>
  <c r="BZ62" i="157"/>
  <c r="BV62" i="157"/>
  <c r="BU62" i="157"/>
  <c r="BQ62" i="157"/>
  <c r="BP62" i="157"/>
  <c r="BL62" i="157"/>
  <c r="BK62" i="157"/>
  <c r="BM62" i="157" s="1"/>
  <c r="BG62" i="157"/>
  <c r="BF62" i="157"/>
  <c r="BB62" i="157"/>
  <c r="AW62" i="157"/>
  <c r="AR62" i="157"/>
  <c r="AM62" i="157"/>
  <c r="AH62" i="157"/>
  <c r="AC62" i="157"/>
  <c r="S62" i="157"/>
  <c r="R62" i="157"/>
  <c r="CF61" i="157"/>
  <c r="CE61" i="157"/>
  <c r="CA61" i="157"/>
  <c r="BZ61" i="157"/>
  <c r="BV61" i="157"/>
  <c r="BU61" i="157"/>
  <c r="BQ61" i="157"/>
  <c r="BP61" i="157"/>
  <c r="BR61" i="157" s="1"/>
  <c r="BL61" i="157"/>
  <c r="BK61" i="157"/>
  <c r="BG61" i="157"/>
  <c r="BF61" i="157"/>
  <c r="BB61" i="157"/>
  <c r="BA61" i="157"/>
  <c r="AW61" i="157"/>
  <c r="AV61" i="157"/>
  <c r="AR61" i="157"/>
  <c r="AQ61" i="157"/>
  <c r="AM61" i="157"/>
  <c r="AL61" i="157"/>
  <c r="AH61" i="157"/>
  <c r="AG61" i="157"/>
  <c r="AC61" i="157"/>
  <c r="AB61" i="157"/>
  <c r="S61" i="157"/>
  <c r="R61" i="157"/>
  <c r="CF60" i="157"/>
  <c r="CE60" i="157"/>
  <c r="CA60" i="157"/>
  <c r="BZ60" i="157"/>
  <c r="BV60" i="157"/>
  <c r="BU60" i="157"/>
  <c r="BW60" i="157" s="1"/>
  <c r="BQ60" i="157"/>
  <c r="BP60" i="157"/>
  <c r="BL60" i="157"/>
  <c r="BK60" i="157"/>
  <c r="BG60" i="157"/>
  <c r="BF60" i="157"/>
  <c r="BB60" i="157"/>
  <c r="BA60" i="157"/>
  <c r="AW60" i="157"/>
  <c r="AV60" i="157"/>
  <c r="AR60" i="157"/>
  <c r="AQ60" i="157"/>
  <c r="AS60" i="157" s="1"/>
  <c r="AM60" i="157"/>
  <c r="AL60" i="157"/>
  <c r="AH60" i="157"/>
  <c r="AG60" i="157"/>
  <c r="AI60" i="157" s="1"/>
  <c r="AC60" i="157"/>
  <c r="AB60" i="157"/>
  <c r="S60" i="157"/>
  <c r="R60" i="157"/>
  <c r="CF59" i="157"/>
  <c r="CE59" i="157"/>
  <c r="CA59" i="157"/>
  <c r="BZ59" i="157"/>
  <c r="CB59" i="157" s="1"/>
  <c r="BV59" i="157"/>
  <c r="BU59" i="157"/>
  <c r="BQ59" i="157"/>
  <c r="BP59" i="157"/>
  <c r="BR59" i="157" s="1"/>
  <c r="BL59" i="157"/>
  <c r="BK59" i="157"/>
  <c r="BG59" i="157"/>
  <c r="BF59" i="157"/>
  <c r="BB59" i="157"/>
  <c r="BA59" i="157"/>
  <c r="AW59" i="157"/>
  <c r="AV59" i="157"/>
  <c r="AX59" i="157" s="1"/>
  <c r="AR59" i="157"/>
  <c r="AQ59" i="157"/>
  <c r="AM59" i="157"/>
  <c r="AL59" i="157"/>
  <c r="AH59" i="157"/>
  <c r="AG59" i="157"/>
  <c r="AC59" i="157"/>
  <c r="AB59" i="157"/>
  <c r="S59" i="157"/>
  <c r="R59" i="157"/>
  <c r="CF58" i="157"/>
  <c r="CE58" i="157"/>
  <c r="CG58" i="157" s="1"/>
  <c r="CA58" i="157"/>
  <c r="BZ58" i="157"/>
  <c r="BV58" i="157"/>
  <c r="BU58" i="157"/>
  <c r="BQ58" i="157"/>
  <c r="BP58" i="157"/>
  <c r="BL58" i="157"/>
  <c r="BK58" i="157"/>
  <c r="BG58" i="157"/>
  <c r="BF58" i="157"/>
  <c r="BB58" i="157"/>
  <c r="BA58" i="157"/>
  <c r="BC58" i="157" s="1"/>
  <c r="AW58" i="157"/>
  <c r="AV58" i="157"/>
  <c r="AR58" i="157"/>
  <c r="AQ58" i="157"/>
  <c r="AS58" i="157" s="1"/>
  <c r="AM58" i="157"/>
  <c r="AL58" i="157"/>
  <c r="AH58" i="157"/>
  <c r="AG58" i="157"/>
  <c r="AC58" i="157"/>
  <c r="AB58" i="157"/>
  <c r="S58" i="157"/>
  <c r="R58" i="157"/>
  <c r="T58" i="157" s="1"/>
  <c r="CF57" i="157"/>
  <c r="CE57" i="157"/>
  <c r="CA57" i="157"/>
  <c r="BZ57" i="157"/>
  <c r="BV57" i="157"/>
  <c r="BU57" i="157"/>
  <c r="BQ57" i="157"/>
  <c r="BP57" i="157"/>
  <c r="BL57" i="157"/>
  <c r="BK57" i="157"/>
  <c r="BG57" i="157"/>
  <c r="BF57" i="157"/>
  <c r="BB57" i="157"/>
  <c r="BA57" i="157"/>
  <c r="AW57" i="157"/>
  <c r="AV57" i="157"/>
  <c r="AX57" i="157" s="1"/>
  <c r="AR57" i="157"/>
  <c r="AQ57" i="157"/>
  <c r="AM57" i="157"/>
  <c r="AL57" i="157"/>
  <c r="AH57" i="157"/>
  <c r="AC57" i="157"/>
  <c r="S57" i="157"/>
  <c r="R57" i="157"/>
  <c r="CF56" i="157"/>
  <c r="CE56" i="157"/>
  <c r="CG56" i="157" s="1"/>
  <c r="CA56" i="157"/>
  <c r="BZ56" i="157"/>
  <c r="BV56" i="157"/>
  <c r="BU56" i="157"/>
  <c r="BQ56" i="157"/>
  <c r="BP56" i="157"/>
  <c r="BL56" i="157"/>
  <c r="BK56" i="157"/>
  <c r="BM56" i="157" s="1"/>
  <c r="BG56" i="157"/>
  <c r="BF56" i="157"/>
  <c r="BB56" i="157"/>
  <c r="BA56" i="157"/>
  <c r="BC56" i="157" s="1"/>
  <c r="AW56" i="157"/>
  <c r="AV56" i="157"/>
  <c r="AR56" i="157"/>
  <c r="AQ56" i="157"/>
  <c r="AM56" i="157"/>
  <c r="AL56" i="157"/>
  <c r="AH56" i="157"/>
  <c r="AC56" i="157"/>
  <c r="S56" i="157"/>
  <c r="R56" i="157"/>
  <c r="CF55" i="157"/>
  <c r="CE55" i="157"/>
  <c r="CA55" i="157"/>
  <c r="BZ55" i="157"/>
  <c r="BV55" i="157"/>
  <c r="BU55" i="157"/>
  <c r="BQ55" i="157"/>
  <c r="BP55" i="157"/>
  <c r="BR55" i="157" s="1"/>
  <c r="BL55" i="157"/>
  <c r="BK55" i="157"/>
  <c r="BG55" i="157"/>
  <c r="BF55" i="157"/>
  <c r="BH55" i="157" s="1"/>
  <c r="BB55" i="157"/>
  <c r="BA55" i="157"/>
  <c r="AW55" i="157"/>
  <c r="AV55" i="157"/>
  <c r="AQ55" i="157"/>
  <c r="AL55" i="157"/>
  <c r="S55" i="157"/>
  <c r="R55" i="157"/>
  <c r="CF53" i="157"/>
  <c r="CE53" i="157"/>
  <c r="CA53" i="157"/>
  <c r="BZ53" i="157"/>
  <c r="BV53" i="157"/>
  <c r="BU53" i="157"/>
  <c r="BQ53" i="157"/>
  <c r="BP53" i="157"/>
  <c r="BL53" i="157"/>
  <c r="BK53" i="157"/>
  <c r="BG53" i="157"/>
  <c r="BF53" i="157"/>
  <c r="BB53" i="157"/>
  <c r="BA53" i="157"/>
  <c r="AW53" i="157"/>
  <c r="AV53" i="157"/>
  <c r="CF52" i="157"/>
  <c r="CE52" i="157"/>
  <c r="CG52" i="157" s="1"/>
  <c r="CA52" i="157"/>
  <c r="BZ52" i="157"/>
  <c r="BV52" i="157"/>
  <c r="BU52" i="157"/>
  <c r="BQ52" i="157"/>
  <c r="BP52" i="157"/>
  <c r="BL52" i="157"/>
  <c r="BK52" i="157"/>
  <c r="BG52" i="157"/>
  <c r="BF52" i="157"/>
  <c r="BB52" i="157"/>
  <c r="BA52" i="157"/>
  <c r="AW52" i="157"/>
  <c r="AV52" i="157"/>
  <c r="AR52" i="157"/>
  <c r="AQ52" i="157"/>
  <c r="AM52" i="157"/>
  <c r="AL52" i="157"/>
  <c r="AH52" i="157"/>
  <c r="AG52" i="157"/>
  <c r="AC52" i="157"/>
  <c r="AB52" i="157"/>
  <c r="S52" i="157"/>
  <c r="R52" i="157"/>
  <c r="CF51" i="157"/>
  <c r="CE51" i="157"/>
  <c r="CA51" i="157"/>
  <c r="BZ51" i="157"/>
  <c r="CB51" i="157" s="1"/>
  <c r="BV51" i="157"/>
  <c r="BU51" i="157"/>
  <c r="BQ51" i="157"/>
  <c r="BP51" i="157"/>
  <c r="BL51" i="157"/>
  <c r="BK51" i="157"/>
  <c r="BG51" i="157"/>
  <c r="BF51" i="157"/>
  <c r="BH51" i="157" s="1"/>
  <c r="BB51" i="157"/>
  <c r="BA51" i="157"/>
  <c r="AW51" i="157"/>
  <c r="AV51" i="157"/>
  <c r="AV50" i="157" s="1"/>
  <c r="AR51" i="157"/>
  <c r="AQ51" i="157"/>
  <c r="AM51" i="157"/>
  <c r="AL51" i="157"/>
  <c r="AH51" i="157"/>
  <c r="AG51" i="157"/>
  <c r="AC51" i="157"/>
  <c r="AB51" i="157"/>
  <c r="AD51" i="157" s="1"/>
  <c r="S51" i="157"/>
  <c r="R51" i="157"/>
  <c r="CF48" i="157"/>
  <c r="CE48" i="157"/>
  <c r="CG48" i="157" s="1"/>
  <c r="CA48" i="157"/>
  <c r="BZ48" i="157"/>
  <c r="BV48" i="157"/>
  <c r="BU48" i="157"/>
  <c r="BQ48" i="157"/>
  <c r="BP48" i="157"/>
  <c r="BL48" i="157"/>
  <c r="BK48" i="157"/>
  <c r="BM48" i="157" s="1"/>
  <c r="BG48" i="157"/>
  <c r="BF48" i="157"/>
  <c r="BB48" i="157"/>
  <c r="BA48" i="157"/>
  <c r="BC48" i="157" s="1"/>
  <c r="AW48" i="157"/>
  <c r="AV48" i="157"/>
  <c r="AR48" i="157"/>
  <c r="AQ48" i="157"/>
  <c r="AM48" i="157"/>
  <c r="AL48" i="157"/>
  <c r="AH48" i="157"/>
  <c r="AG48" i="157"/>
  <c r="AC48" i="157"/>
  <c r="AB48" i="157"/>
  <c r="S48" i="157"/>
  <c r="R48" i="157"/>
  <c r="CF47" i="157"/>
  <c r="CE47" i="157"/>
  <c r="CA47" i="157"/>
  <c r="BZ47" i="157"/>
  <c r="BV47" i="157"/>
  <c r="BU47" i="157"/>
  <c r="BQ47" i="157"/>
  <c r="BP47" i="157"/>
  <c r="BR47" i="157" s="1"/>
  <c r="BL47" i="157"/>
  <c r="BK47" i="157"/>
  <c r="BG47" i="157"/>
  <c r="BF47" i="157"/>
  <c r="BH47" i="157" s="1"/>
  <c r="BB47" i="157"/>
  <c r="BA47" i="157"/>
  <c r="AW47" i="157"/>
  <c r="AR47" i="157"/>
  <c r="AQ47" i="157"/>
  <c r="AM47" i="157"/>
  <c r="AL47" i="157"/>
  <c r="AN47" i="157" s="1"/>
  <c r="AH47" i="157"/>
  <c r="AC47" i="157"/>
  <c r="S47" i="157"/>
  <c r="R47" i="157"/>
  <c r="CF46" i="157"/>
  <c r="CE46" i="157"/>
  <c r="CA46" i="157"/>
  <c r="BZ46" i="157"/>
  <c r="BV46" i="157"/>
  <c r="BU46" i="157"/>
  <c r="BW46" i="157" s="1"/>
  <c r="BQ46" i="157"/>
  <c r="BP46" i="157"/>
  <c r="BL46" i="157"/>
  <c r="BK46" i="157"/>
  <c r="BM46" i="157" s="1"/>
  <c r="BG46" i="157"/>
  <c r="BF46" i="157"/>
  <c r="BB46" i="157"/>
  <c r="BA46" i="157"/>
  <c r="AW46" i="157"/>
  <c r="AV46" i="157"/>
  <c r="AR46" i="157"/>
  <c r="AQ46" i="157"/>
  <c r="AS46" i="157" s="1"/>
  <c r="AM46" i="157"/>
  <c r="AL46" i="157"/>
  <c r="AH46" i="157"/>
  <c r="AG46" i="157"/>
  <c r="AC46" i="157"/>
  <c r="X46" i="157" s="1"/>
  <c r="AB46" i="157"/>
  <c r="S46" i="157"/>
  <c r="R46" i="157"/>
  <c r="CF45" i="157"/>
  <c r="CE45" i="157"/>
  <c r="CA45" i="157"/>
  <c r="BZ45" i="157"/>
  <c r="CB45" i="157" s="1"/>
  <c r="BV45" i="157"/>
  <c r="BU45" i="157"/>
  <c r="BQ45" i="157"/>
  <c r="BP45" i="157"/>
  <c r="BL45" i="157"/>
  <c r="BK45" i="157"/>
  <c r="BG45" i="157"/>
  <c r="BF45" i="157"/>
  <c r="BB45" i="157"/>
  <c r="BA45" i="157"/>
  <c r="AW45" i="157"/>
  <c r="AV45" i="157"/>
  <c r="AR45" i="157"/>
  <c r="AQ45" i="157"/>
  <c r="AM45" i="157"/>
  <c r="AL45" i="157"/>
  <c r="AN45" i="157" s="1"/>
  <c r="AH45" i="157"/>
  <c r="AG45" i="157"/>
  <c r="AC45" i="157"/>
  <c r="AB45" i="157"/>
  <c r="S45" i="157"/>
  <c r="R45" i="157"/>
  <c r="CF44" i="157"/>
  <c r="CE44" i="157"/>
  <c r="CG44" i="157" s="1"/>
  <c r="CA44" i="157"/>
  <c r="BZ44" i="157"/>
  <c r="BV44" i="157"/>
  <c r="BU44" i="157"/>
  <c r="BW44" i="157" s="1"/>
  <c r="BQ44" i="157"/>
  <c r="BP44" i="157"/>
  <c r="BL44" i="157"/>
  <c r="BK44" i="157"/>
  <c r="BG44" i="157"/>
  <c r="BF44" i="157"/>
  <c r="BB44" i="157"/>
  <c r="BA44" i="157"/>
  <c r="BC44" i="157" s="1"/>
  <c r="AW44" i="157"/>
  <c r="AV44" i="157"/>
  <c r="AR44" i="157"/>
  <c r="AQ44" i="157"/>
  <c r="AM44" i="157"/>
  <c r="AL44" i="157"/>
  <c r="AH44" i="157"/>
  <c r="AG44" i="157"/>
  <c r="AC44" i="157"/>
  <c r="AB44" i="157"/>
  <c r="S44" i="157"/>
  <c r="R44" i="157"/>
  <c r="T44" i="157" s="1"/>
  <c r="CF43" i="157"/>
  <c r="CE43" i="157"/>
  <c r="CA43" i="157"/>
  <c r="BZ43" i="157"/>
  <c r="CB43" i="157" s="1"/>
  <c r="BV43" i="157"/>
  <c r="BU43" i="157"/>
  <c r="BQ43" i="157"/>
  <c r="BP43" i="157"/>
  <c r="BL43" i="157"/>
  <c r="BK43" i="157"/>
  <c r="BG43" i="157"/>
  <c r="BF43" i="157"/>
  <c r="BH43" i="157" s="1"/>
  <c r="BB43" i="157"/>
  <c r="BA43" i="157"/>
  <c r="AW43" i="157"/>
  <c r="AV43" i="157"/>
  <c r="AX43" i="157" s="1"/>
  <c r="AR43" i="157"/>
  <c r="AR41" i="157" s="1"/>
  <c r="AQ43" i="157"/>
  <c r="AM43" i="157"/>
  <c r="AL43" i="157"/>
  <c r="AH43" i="157"/>
  <c r="AG43" i="157"/>
  <c r="AC43" i="157"/>
  <c r="AB43" i="157"/>
  <c r="AD43" i="157" s="1"/>
  <c r="S43" i="157"/>
  <c r="R43" i="157"/>
  <c r="CF42" i="157"/>
  <c r="CE42" i="157"/>
  <c r="CA42" i="157"/>
  <c r="BZ42" i="157"/>
  <c r="BV42" i="157"/>
  <c r="BU42" i="157"/>
  <c r="BQ42" i="157"/>
  <c r="BP42" i="157"/>
  <c r="BL42" i="157"/>
  <c r="BK42" i="157"/>
  <c r="BM42" i="157" s="1"/>
  <c r="BG42" i="157"/>
  <c r="BF42" i="157"/>
  <c r="BB42" i="157"/>
  <c r="BA42" i="157"/>
  <c r="AW42" i="157"/>
  <c r="AV42" i="157"/>
  <c r="AR42" i="157"/>
  <c r="AQ42" i="157"/>
  <c r="AM42" i="157"/>
  <c r="AL42" i="157"/>
  <c r="AH42" i="157"/>
  <c r="AG42" i="157"/>
  <c r="AI42" i="157" s="1"/>
  <c r="AC42" i="157"/>
  <c r="AB42" i="157"/>
  <c r="S42" i="157"/>
  <c r="R42" i="157"/>
  <c r="S37" i="157"/>
  <c r="R37" i="157"/>
  <c r="CF36" i="157"/>
  <c r="CE36" i="157"/>
  <c r="CA36" i="157"/>
  <c r="BZ36" i="157"/>
  <c r="BV36" i="157"/>
  <c r="BU36" i="157"/>
  <c r="BQ36" i="157"/>
  <c r="BP36" i="157"/>
  <c r="BL36" i="157"/>
  <c r="BK36" i="157"/>
  <c r="BK35" i="157" s="1"/>
  <c r="BG36" i="157"/>
  <c r="BF36" i="157"/>
  <c r="BB36" i="157"/>
  <c r="BA36" i="157"/>
  <c r="AW36" i="157"/>
  <c r="AV36" i="157"/>
  <c r="AR36" i="157"/>
  <c r="AQ36" i="157"/>
  <c r="AQ35" i="157" s="1"/>
  <c r="AM36" i="157"/>
  <c r="AH36" i="157"/>
  <c r="AG36" i="157"/>
  <c r="AG35" i="157" s="1"/>
  <c r="AC36" i="157"/>
  <c r="AB36" i="157"/>
  <c r="S36" i="157"/>
  <c r="R36" i="157"/>
  <c r="CF33" i="157"/>
  <c r="CE33" i="157"/>
  <c r="CA33" i="157"/>
  <c r="BZ33" i="157"/>
  <c r="CB33" i="157" s="1"/>
  <c r="BV33" i="157"/>
  <c r="BU33" i="157"/>
  <c r="BQ33" i="157"/>
  <c r="BP33" i="157"/>
  <c r="BL33" i="157"/>
  <c r="BK33" i="157"/>
  <c r="BG33" i="157"/>
  <c r="BF33" i="157"/>
  <c r="BB33" i="157"/>
  <c r="BA33" i="157"/>
  <c r="AW33" i="157"/>
  <c r="AV33" i="157"/>
  <c r="AX33" i="157" s="1"/>
  <c r="AR33" i="157"/>
  <c r="AQ33" i="157"/>
  <c r="AM33" i="157"/>
  <c r="AL33" i="157"/>
  <c r="AN33" i="157" s="1"/>
  <c r="AH33" i="157"/>
  <c r="AG33" i="157"/>
  <c r="AC33" i="157"/>
  <c r="AB33" i="157"/>
  <c r="S33" i="157"/>
  <c r="R33" i="157"/>
  <c r="CF32" i="157"/>
  <c r="CE32" i="157"/>
  <c r="CG32" i="157" s="1"/>
  <c r="CA32" i="157"/>
  <c r="BZ32" i="157"/>
  <c r="BV32" i="157"/>
  <c r="BU32" i="157"/>
  <c r="BW32" i="157" s="1"/>
  <c r="BQ32" i="157"/>
  <c r="BP32" i="157"/>
  <c r="BL32" i="157"/>
  <c r="BK32" i="157"/>
  <c r="BG32" i="157"/>
  <c r="BF32" i="157"/>
  <c r="BB32" i="157"/>
  <c r="BA32" i="157"/>
  <c r="BC32" i="157" s="1"/>
  <c r="AW32" i="157"/>
  <c r="AV32" i="157"/>
  <c r="AR32" i="157"/>
  <c r="AQ32" i="157"/>
  <c r="AS32" i="157" s="1"/>
  <c r="AM32" i="157"/>
  <c r="AL32" i="157"/>
  <c r="AH32" i="157"/>
  <c r="AG32" i="157"/>
  <c r="AC32" i="157"/>
  <c r="AB32" i="157"/>
  <c r="S32" i="157"/>
  <c r="R32" i="157"/>
  <c r="T32" i="157" s="1"/>
  <c r="CF31" i="157"/>
  <c r="CE31" i="157"/>
  <c r="CA31" i="157"/>
  <c r="BZ31" i="157"/>
  <c r="CB31" i="157" s="1"/>
  <c r="BV31" i="157"/>
  <c r="BU31" i="157"/>
  <c r="BQ31" i="157"/>
  <c r="BP31" i="157"/>
  <c r="BL31" i="157"/>
  <c r="BK31" i="157"/>
  <c r="BG31" i="157"/>
  <c r="BF31" i="157"/>
  <c r="BB31" i="157"/>
  <c r="BA31" i="157"/>
  <c r="AW31" i="157"/>
  <c r="AV31" i="157"/>
  <c r="AX31" i="157" s="1"/>
  <c r="AR31" i="157"/>
  <c r="AQ31" i="157"/>
  <c r="AM31" i="157"/>
  <c r="AH31" i="157"/>
  <c r="AG31" i="157"/>
  <c r="AC31" i="157"/>
  <c r="AB31" i="157"/>
  <c r="S31" i="157"/>
  <c r="R31" i="157"/>
  <c r="CF30" i="157"/>
  <c r="CE30" i="157"/>
  <c r="CG30" i="157" s="1"/>
  <c r="CA30" i="157"/>
  <c r="BZ30" i="157"/>
  <c r="BV30" i="157"/>
  <c r="BU30" i="157"/>
  <c r="BQ30" i="157"/>
  <c r="BP30" i="157"/>
  <c r="BL30" i="157"/>
  <c r="BK30" i="157"/>
  <c r="BG30" i="157"/>
  <c r="BF30" i="157"/>
  <c r="BA30" i="157"/>
  <c r="AV30" i="157"/>
  <c r="AQ30" i="157"/>
  <c r="AL30" i="157"/>
  <c r="AG30" i="157"/>
  <c r="AB30" i="157"/>
  <c r="S30" i="157"/>
  <c r="R30" i="157"/>
  <c r="CF29" i="157"/>
  <c r="CE29" i="157"/>
  <c r="CA29" i="157"/>
  <c r="BZ29" i="157"/>
  <c r="BV29" i="157"/>
  <c r="BU29" i="157"/>
  <c r="BQ29" i="157"/>
  <c r="BP29" i="157"/>
  <c r="BR29" i="157" s="1"/>
  <c r="BL29" i="157"/>
  <c r="BK29" i="157"/>
  <c r="BG29" i="157"/>
  <c r="BF29" i="157"/>
  <c r="BH29" i="157" s="1"/>
  <c r="BB29" i="157"/>
  <c r="BA29" i="157"/>
  <c r="AW29" i="157"/>
  <c r="AV29" i="157"/>
  <c r="AR29" i="157"/>
  <c r="AQ29" i="157"/>
  <c r="AM29" i="157"/>
  <c r="AL29" i="157"/>
  <c r="AH29" i="157"/>
  <c r="AG29" i="157"/>
  <c r="AC29" i="157"/>
  <c r="AB29" i="157"/>
  <c r="AD29" i="157" s="1"/>
  <c r="S29" i="157"/>
  <c r="R29" i="157"/>
  <c r="CF28" i="157"/>
  <c r="CE28" i="157"/>
  <c r="CA28" i="157"/>
  <c r="BZ28" i="157"/>
  <c r="BV28" i="157"/>
  <c r="BU28" i="157"/>
  <c r="BW28" i="157" s="1"/>
  <c r="BQ28" i="157"/>
  <c r="BP28" i="157"/>
  <c r="BL28" i="157"/>
  <c r="BK28" i="157"/>
  <c r="BM28" i="157" s="1"/>
  <c r="BG28" i="157"/>
  <c r="BF28" i="157"/>
  <c r="BB28" i="157"/>
  <c r="AW28" i="157"/>
  <c r="AV28" i="157"/>
  <c r="AR28" i="157"/>
  <c r="AQ28" i="157"/>
  <c r="AS28" i="157" s="1"/>
  <c r="AM28" i="157"/>
  <c r="AH28" i="157"/>
  <c r="AB28" i="157"/>
  <c r="S28" i="157"/>
  <c r="R28" i="157"/>
  <c r="CF27" i="157"/>
  <c r="CE27" i="157"/>
  <c r="CA27" i="157"/>
  <c r="BZ27" i="157"/>
  <c r="CB27" i="157" s="1"/>
  <c r="BV27" i="157"/>
  <c r="BU27" i="157"/>
  <c r="BQ27" i="157"/>
  <c r="BP27" i="157"/>
  <c r="BR27" i="157" s="1"/>
  <c r="BL27" i="157"/>
  <c r="BK27" i="157"/>
  <c r="BG27" i="157"/>
  <c r="BF27" i="157"/>
  <c r="BB27" i="157"/>
  <c r="BA27" i="157"/>
  <c r="AW27" i="157"/>
  <c r="AV27" i="157"/>
  <c r="AX27" i="157" s="1"/>
  <c r="AR27" i="157"/>
  <c r="AQ27" i="157"/>
  <c r="AB27" i="157"/>
  <c r="S27" i="157"/>
  <c r="R27" i="157"/>
  <c r="CF26" i="157"/>
  <c r="CE26" i="157"/>
  <c r="CA26" i="157"/>
  <c r="BZ26" i="157"/>
  <c r="BV26" i="157"/>
  <c r="BU26" i="157"/>
  <c r="BW26" i="157" s="1"/>
  <c r="BQ26" i="157"/>
  <c r="BP26" i="157"/>
  <c r="BL26" i="157"/>
  <c r="BK26" i="157"/>
  <c r="BG26" i="157"/>
  <c r="BF26" i="157"/>
  <c r="BB26" i="157"/>
  <c r="BA26" i="157"/>
  <c r="BC26" i="157" s="1"/>
  <c r="AW26" i="157"/>
  <c r="AV26" i="157"/>
  <c r="AR26" i="157"/>
  <c r="AM26" i="157"/>
  <c r="AH26" i="157"/>
  <c r="AG26" i="157"/>
  <c r="AC26" i="157"/>
  <c r="AB26" i="157"/>
  <c r="S26" i="157"/>
  <c r="R26" i="157"/>
  <c r="CF25" i="157"/>
  <c r="CE25" i="157"/>
  <c r="CA25" i="157"/>
  <c r="BZ25" i="157"/>
  <c r="CB25" i="157" s="1"/>
  <c r="BV25" i="157"/>
  <c r="BU25" i="157"/>
  <c r="BQ25" i="157"/>
  <c r="BP25" i="157"/>
  <c r="BL25" i="157"/>
  <c r="BK25" i="157"/>
  <c r="BG25" i="157"/>
  <c r="BF25" i="157"/>
  <c r="BH25" i="157" s="1"/>
  <c r="BB25" i="157"/>
  <c r="AW25" i="157"/>
  <c r="AR25" i="157"/>
  <c r="AM25" i="157"/>
  <c r="AH25" i="157"/>
  <c r="AG25" i="157"/>
  <c r="AC25" i="157"/>
  <c r="AB25" i="157"/>
  <c r="S25" i="157"/>
  <c r="T25" i="157" s="1"/>
  <c r="R25" i="157"/>
  <c r="CF24" i="157"/>
  <c r="CE24" i="157"/>
  <c r="CA24" i="157"/>
  <c r="BZ24" i="157"/>
  <c r="BV24" i="157"/>
  <c r="BU24" i="157"/>
  <c r="BQ24" i="157"/>
  <c r="BP24" i="157"/>
  <c r="BL24" i="157"/>
  <c r="BK24" i="157"/>
  <c r="BM24" i="157" s="1"/>
  <c r="BG24" i="157"/>
  <c r="BF24" i="157"/>
  <c r="BB24" i="157"/>
  <c r="BA24" i="157"/>
  <c r="AW24" i="157"/>
  <c r="AR24" i="157"/>
  <c r="AQ24" i="157"/>
  <c r="AM24" i="157"/>
  <c r="AH24" i="157"/>
  <c r="AG24" i="157"/>
  <c r="AI24" i="157" s="1"/>
  <c r="AC24" i="157"/>
  <c r="AB24" i="157"/>
  <c r="S24" i="157"/>
  <c r="R24" i="157"/>
  <c r="T24" i="157" s="1"/>
  <c r="CF23" i="157"/>
  <c r="CE23" i="157"/>
  <c r="CA23" i="157"/>
  <c r="BZ23" i="157"/>
  <c r="BV23" i="157"/>
  <c r="BU23" i="157"/>
  <c r="BQ23" i="157"/>
  <c r="BP23" i="157"/>
  <c r="BR23" i="157" s="1"/>
  <c r="BL23" i="157"/>
  <c r="BM23" i="157" s="1"/>
  <c r="BK23" i="157"/>
  <c r="BG23" i="157"/>
  <c r="BF23" i="157"/>
  <c r="BH23" i="157" s="1"/>
  <c r="BB23" i="157"/>
  <c r="BA23" i="157"/>
  <c r="AW23" i="157"/>
  <c r="AV23" i="157"/>
  <c r="AR23" i="157"/>
  <c r="AQ23" i="157"/>
  <c r="AM23" i="157"/>
  <c r="AL23" i="157"/>
  <c r="AN23" i="157" s="1"/>
  <c r="AH23" i="157"/>
  <c r="AI23" i="157" s="1"/>
  <c r="AG23" i="157"/>
  <c r="AC23" i="157"/>
  <c r="AB23" i="157"/>
  <c r="S23" i="157"/>
  <c r="R23" i="157"/>
  <c r="CF22" i="157"/>
  <c r="CE22" i="157"/>
  <c r="CA22" i="157"/>
  <c r="BZ22" i="157"/>
  <c r="BV22" i="157"/>
  <c r="BU22" i="157"/>
  <c r="BW22" i="157" s="1"/>
  <c r="BQ22" i="157"/>
  <c r="BP22" i="157"/>
  <c r="BL22" i="157"/>
  <c r="BK22" i="157"/>
  <c r="BG22" i="157"/>
  <c r="BF22" i="157"/>
  <c r="BB22" i="157"/>
  <c r="BA22" i="157"/>
  <c r="AW22" i="157"/>
  <c r="AV22" i="157"/>
  <c r="AR22" i="157"/>
  <c r="AQ22" i="157"/>
  <c r="AS22" i="157" s="1"/>
  <c r="AM22" i="157"/>
  <c r="AL22" i="157"/>
  <c r="AH22" i="157"/>
  <c r="AG22" i="157"/>
  <c r="AC22" i="157"/>
  <c r="AB22" i="157"/>
  <c r="S22" i="157"/>
  <c r="R22" i="157"/>
  <c r="CF21" i="157"/>
  <c r="CE21" i="157"/>
  <c r="CA21" i="157"/>
  <c r="BZ21" i="157"/>
  <c r="CB21" i="157" s="1"/>
  <c r="BV21" i="157"/>
  <c r="BU21" i="157"/>
  <c r="BQ21" i="157"/>
  <c r="BP21" i="157"/>
  <c r="BR21" i="157" s="1"/>
  <c r="BL21" i="157"/>
  <c r="BK21" i="157"/>
  <c r="BG21" i="157"/>
  <c r="BF21" i="157"/>
  <c r="BB21" i="157"/>
  <c r="BA21" i="157"/>
  <c r="AW21" i="157"/>
  <c r="AV21" i="157"/>
  <c r="AR21" i="157"/>
  <c r="AS21" i="157" s="1"/>
  <c r="AQ21" i="157"/>
  <c r="AM21" i="157"/>
  <c r="AL21" i="157"/>
  <c r="AH21" i="157"/>
  <c r="AG21" i="157"/>
  <c r="AC21" i="157"/>
  <c r="AB21" i="157"/>
  <c r="S21" i="157"/>
  <c r="R21" i="157"/>
  <c r="CP20" i="157"/>
  <c r="CF20" i="157"/>
  <c r="CE20" i="157"/>
  <c r="CA20" i="157"/>
  <c r="BZ20" i="157"/>
  <c r="BV20" i="157"/>
  <c r="BU20" i="157"/>
  <c r="BQ20" i="157"/>
  <c r="BP20" i="157"/>
  <c r="BL20" i="157"/>
  <c r="BK20" i="157"/>
  <c r="BG20" i="157"/>
  <c r="BH20" i="157" s="1"/>
  <c r="BF20" i="157"/>
  <c r="BB20" i="157"/>
  <c r="BA20" i="157"/>
  <c r="AW20" i="157"/>
  <c r="AV20" i="157"/>
  <c r="AR20" i="157"/>
  <c r="AQ20" i="157"/>
  <c r="AM20" i="157"/>
  <c r="AL20" i="157"/>
  <c r="AH20" i="157"/>
  <c r="AG20" i="157"/>
  <c r="AC20" i="157"/>
  <c r="AD20" i="157" s="1"/>
  <c r="AB20" i="157"/>
  <c r="S20" i="157"/>
  <c r="R20" i="157"/>
  <c r="CP19" i="157"/>
  <c r="CF19" i="157"/>
  <c r="CE19" i="157"/>
  <c r="CG19" i="157" s="1"/>
  <c r="CA19" i="157"/>
  <c r="BZ19" i="157"/>
  <c r="BV19" i="157"/>
  <c r="BU19" i="157"/>
  <c r="BQ19" i="157"/>
  <c r="BP19" i="157"/>
  <c r="BL19" i="157"/>
  <c r="BK19" i="157"/>
  <c r="BM19" i="157" s="1"/>
  <c r="BG19" i="157"/>
  <c r="BF19" i="157"/>
  <c r="BB19" i="157"/>
  <c r="BA19" i="157"/>
  <c r="BC19" i="157" s="1"/>
  <c r="AW19" i="157"/>
  <c r="AV19" i="157"/>
  <c r="AR19" i="157"/>
  <c r="AQ19" i="157"/>
  <c r="AM19" i="157"/>
  <c r="AL19" i="157"/>
  <c r="AH19" i="157"/>
  <c r="AG19" i="157"/>
  <c r="AC19" i="157"/>
  <c r="AB19" i="157"/>
  <c r="S19" i="157"/>
  <c r="R19" i="157"/>
  <c r="CF18" i="157"/>
  <c r="CE18" i="157"/>
  <c r="CA18" i="157"/>
  <c r="BZ18" i="157"/>
  <c r="BV18" i="157"/>
  <c r="BU18" i="157"/>
  <c r="BQ18" i="157"/>
  <c r="BP18" i="157"/>
  <c r="BL18" i="157"/>
  <c r="BK18" i="157"/>
  <c r="BG18" i="157"/>
  <c r="BF18" i="157"/>
  <c r="BB18" i="157"/>
  <c r="BA18" i="157"/>
  <c r="AW18" i="157"/>
  <c r="AV18" i="157"/>
  <c r="AR18" i="157"/>
  <c r="AS18" i="157" s="1"/>
  <c r="AQ18" i="157"/>
  <c r="AM18" i="157"/>
  <c r="AL18" i="157"/>
  <c r="AH18" i="157"/>
  <c r="AG18" i="157"/>
  <c r="AC18" i="157"/>
  <c r="AB18" i="157"/>
  <c r="S18" i="157"/>
  <c r="R18" i="157"/>
  <c r="CP17" i="157"/>
  <c r="CF17" i="157"/>
  <c r="CE17" i="157"/>
  <c r="CA17" i="157"/>
  <c r="BZ17" i="157"/>
  <c r="CB17" i="157" s="1"/>
  <c r="BV17" i="157"/>
  <c r="BU17" i="157"/>
  <c r="BQ17" i="157"/>
  <c r="BP17" i="157"/>
  <c r="BR17" i="157" s="1"/>
  <c r="BL17" i="157"/>
  <c r="BK17" i="157"/>
  <c r="BG17" i="157"/>
  <c r="BF17" i="157"/>
  <c r="BB17" i="157"/>
  <c r="BA17" i="157"/>
  <c r="AW17" i="157"/>
  <c r="AV17" i="157"/>
  <c r="AR17" i="157"/>
  <c r="AQ17" i="157"/>
  <c r="AM17" i="157"/>
  <c r="AL17" i="157"/>
  <c r="AN17" i="157" s="1"/>
  <c r="AH17" i="157"/>
  <c r="AG17" i="157"/>
  <c r="AC17" i="157"/>
  <c r="AB17" i="157"/>
  <c r="S17" i="157"/>
  <c r="R17" i="157"/>
  <c r="CP16" i="157"/>
  <c r="CF16" i="157"/>
  <c r="CE16" i="157"/>
  <c r="CA16" i="157"/>
  <c r="BZ16" i="157"/>
  <c r="BV16" i="157"/>
  <c r="BU16" i="157"/>
  <c r="BQ16" i="157"/>
  <c r="BR16" i="157" s="1"/>
  <c r="BP16" i="157"/>
  <c r="BL16" i="157"/>
  <c r="BK16" i="157"/>
  <c r="BG16" i="157"/>
  <c r="BF16" i="157"/>
  <c r="BB16" i="157"/>
  <c r="BA16" i="157"/>
  <c r="AW16" i="157"/>
  <c r="AV16" i="157"/>
  <c r="AR16" i="157"/>
  <c r="AQ16" i="157"/>
  <c r="AM16" i="157"/>
  <c r="AL16" i="157"/>
  <c r="AH16" i="157"/>
  <c r="AG16" i="157"/>
  <c r="AC16" i="157"/>
  <c r="AD16" i="157" s="1"/>
  <c r="AB16" i="157"/>
  <c r="S16" i="157"/>
  <c r="R16" i="157"/>
  <c r="CP15" i="157"/>
  <c r="CF15" i="157"/>
  <c r="CE15" i="157"/>
  <c r="CG15" i="157" s="1"/>
  <c r="CA15" i="157"/>
  <c r="BZ15" i="157"/>
  <c r="BV15" i="157"/>
  <c r="BU15" i="157"/>
  <c r="BQ15" i="157"/>
  <c r="BP15" i="157"/>
  <c r="BL15" i="157"/>
  <c r="BK15" i="157"/>
  <c r="BM15" i="157" s="1"/>
  <c r="BG15" i="157"/>
  <c r="BF15" i="157"/>
  <c r="BB15" i="157"/>
  <c r="BA15" i="157"/>
  <c r="BC15" i="157" s="1"/>
  <c r="AW15" i="157"/>
  <c r="AV15" i="157"/>
  <c r="AR15" i="157"/>
  <c r="AQ15" i="157"/>
  <c r="AM15" i="157"/>
  <c r="AL15" i="157"/>
  <c r="AH15" i="157"/>
  <c r="AG15" i="157"/>
  <c r="AI15" i="157" s="1"/>
  <c r="AC15" i="157"/>
  <c r="AB15" i="157"/>
  <c r="S15" i="157"/>
  <c r="R15" i="157"/>
  <c r="CP14" i="157"/>
  <c r="CF14" i="157"/>
  <c r="CG14" i="157" s="1"/>
  <c r="CE14" i="157"/>
  <c r="CA14" i="157"/>
  <c r="BZ14" i="157"/>
  <c r="BV14" i="157"/>
  <c r="BU14" i="157"/>
  <c r="BQ14" i="157"/>
  <c r="BP14" i="157"/>
  <c r="BL14" i="157"/>
  <c r="BK14" i="157"/>
  <c r="BG14" i="157"/>
  <c r="BF14" i="157"/>
  <c r="BB14" i="157"/>
  <c r="BC14" i="157" s="1"/>
  <c r="BA14" i="157"/>
  <c r="AW14" i="157"/>
  <c r="AV14" i="157"/>
  <c r="AR14" i="157"/>
  <c r="AQ14" i="157"/>
  <c r="AM14" i="157"/>
  <c r="AL14" i="157"/>
  <c r="AH14" i="157"/>
  <c r="AG14" i="157"/>
  <c r="AC14" i="157"/>
  <c r="AB14" i="157"/>
  <c r="S14" i="157"/>
  <c r="R14" i="157"/>
  <c r="CP13" i="157"/>
  <c r="CF13" i="157"/>
  <c r="CE13" i="157"/>
  <c r="CA13" i="157"/>
  <c r="BZ13" i="157"/>
  <c r="CB13" i="157" s="1"/>
  <c r="BV13" i="157"/>
  <c r="BU13" i="157"/>
  <c r="BQ13" i="157"/>
  <c r="BP13" i="157"/>
  <c r="BL13" i="157"/>
  <c r="BK13" i="157"/>
  <c r="BG13" i="157"/>
  <c r="BF13" i="157"/>
  <c r="BB13" i="157"/>
  <c r="BA13" i="157"/>
  <c r="AW13" i="157"/>
  <c r="AV13" i="157"/>
  <c r="AR13" i="157"/>
  <c r="AQ13" i="157"/>
  <c r="AM13" i="157"/>
  <c r="AL13" i="157"/>
  <c r="AN13" i="157" s="1"/>
  <c r="AH13" i="157"/>
  <c r="AG13" i="157"/>
  <c r="AC13" i="157"/>
  <c r="AB13" i="157"/>
  <c r="S13" i="157"/>
  <c r="R13" i="157"/>
  <c r="CP12" i="157"/>
  <c r="CF12" i="157"/>
  <c r="CE12" i="157"/>
  <c r="CA12" i="157"/>
  <c r="BZ12" i="157"/>
  <c r="BV12" i="157"/>
  <c r="BU12" i="157"/>
  <c r="BQ12" i="157"/>
  <c r="BR12" i="157" s="1"/>
  <c r="BP12" i="157"/>
  <c r="BL12" i="157"/>
  <c r="BK12" i="157"/>
  <c r="BG12" i="157"/>
  <c r="BF12" i="157"/>
  <c r="BB12" i="157"/>
  <c r="BA12" i="157"/>
  <c r="AW12" i="157"/>
  <c r="AV12" i="157"/>
  <c r="AR12" i="157"/>
  <c r="AQ12" i="157"/>
  <c r="AM12" i="157"/>
  <c r="AL12" i="157"/>
  <c r="AH12" i="157"/>
  <c r="AG12" i="157"/>
  <c r="AC12" i="157"/>
  <c r="AD12" i="157" s="1"/>
  <c r="AB12" i="157"/>
  <c r="S12" i="157"/>
  <c r="R12" i="157"/>
  <c r="CP11" i="157"/>
  <c r="CF11" i="157"/>
  <c r="CE11" i="157"/>
  <c r="CG11" i="157" s="1"/>
  <c r="CA11" i="157"/>
  <c r="BZ11" i="157"/>
  <c r="BV11" i="157"/>
  <c r="BU11" i="157"/>
  <c r="BQ11" i="157"/>
  <c r="BP11" i="157"/>
  <c r="BL11" i="157"/>
  <c r="BK11" i="157"/>
  <c r="BM11" i="157" s="1"/>
  <c r="BG11" i="157"/>
  <c r="BF11" i="157"/>
  <c r="BB11" i="157"/>
  <c r="BA11" i="157"/>
  <c r="AW11" i="157"/>
  <c r="AV11" i="157"/>
  <c r="AR11" i="157"/>
  <c r="AQ11" i="157"/>
  <c r="AM11" i="157"/>
  <c r="AL11" i="157"/>
  <c r="AH11" i="157"/>
  <c r="AG11" i="157"/>
  <c r="AC11" i="157"/>
  <c r="AB11" i="157"/>
  <c r="S11" i="157"/>
  <c r="R11" i="157"/>
  <c r="CP10" i="157"/>
  <c r="CF10" i="157"/>
  <c r="CG10" i="157" s="1"/>
  <c r="CE10" i="157"/>
  <c r="CA10" i="157"/>
  <c r="BZ10" i="157"/>
  <c r="BV10" i="157"/>
  <c r="BW10" i="157" s="1"/>
  <c r="BU10" i="157"/>
  <c r="BQ10" i="157"/>
  <c r="BP10" i="157"/>
  <c r="BL10" i="157"/>
  <c r="BK10" i="157"/>
  <c r="BG10" i="157"/>
  <c r="BF10" i="157"/>
  <c r="BB10" i="157"/>
  <c r="BA10" i="157"/>
  <c r="AW10" i="157"/>
  <c r="AV10" i="157"/>
  <c r="AR10" i="157"/>
  <c r="AQ10" i="157"/>
  <c r="AM10" i="157"/>
  <c r="AL10" i="157"/>
  <c r="AH10" i="157"/>
  <c r="AG10" i="157"/>
  <c r="AC10" i="157"/>
  <c r="AB10" i="157"/>
  <c r="S10" i="157"/>
  <c r="R10" i="157"/>
  <c r="CF9" i="157"/>
  <c r="CE9" i="157"/>
  <c r="CA9" i="157"/>
  <c r="CB9" i="157" s="1"/>
  <c r="BZ9" i="157"/>
  <c r="BV9" i="157"/>
  <c r="BU9" i="157"/>
  <c r="BQ9" i="157"/>
  <c r="BP9" i="157"/>
  <c r="BL9" i="157"/>
  <c r="BK9" i="157"/>
  <c r="BG9" i="157"/>
  <c r="BF9" i="157"/>
  <c r="BB9" i="157"/>
  <c r="BA9" i="157"/>
  <c r="AW9" i="157"/>
  <c r="AV9" i="157"/>
  <c r="AQ9" i="157"/>
  <c r="AL9" i="157"/>
  <c r="AG9" i="157"/>
  <c r="AB9" i="157"/>
  <c r="S9" i="157"/>
  <c r="R9" i="157"/>
  <c r="CF7" i="157"/>
  <c r="CE7" i="157"/>
  <c r="CA7" i="157"/>
  <c r="BZ7" i="157"/>
  <c r="BV7" i="157"/>
  <c r="BU7" i="157"/>
  <c r="BQ7" i="157"/>
  <c r="BP7" i="157"/>
  <c r="BL7" i="157"/>
  <c r="BK7" i="157"/>
  <c r="BG7" i="157"/>
  <c r="BF7" i="157"/>
  <c r="BB7" i="157"/>
  <c r="BC7" i="157" s="1"/>
  <c r="BA7" i="157"/>
  <c r="AW7" i="157"/>
  <c r="AV7" i="157"/>
  <c r="AR7" i="157"/>
  <c r="AQ7" i="157"/>
  <c r="AM7" i="157"/>
  <c r="AL7" i="157"/>
  <c r="AH7" i="157"/>
  <c r="AG7" i="157"/>
  <c r="AC7" i="157"/>
  <c r="AB7" i="157"/>
  <c r="CF6" i="157"/>
  <c r="CG6" i="157" s="1"/>
  <c r="CE6" i="157"/>
  <c r="CA6" i="157"/>
  <c r="CA5" i="157" s="1"/>
  <c r="BZ6" i="157"/>
  <c r="BV6" i="157"/>
  <c r="BU6" i="157"/>
  <c r="BQ6" i="157"/>
  <c r="BP6" i="157"/>
  <c r="BP5" i="157" s="1"/>
  <c r="BL6" i="157"/>
  <c r="BL5" i="157" s="1"/>
  <c r="BK6" i="157"/>
  <c r="BG6" i="157"/>
  <c r="BF6" i="157"/>
  <c r="BB6" i="157"/>
  <c r="BB5" i="157" s="1"/>
  <c r="AW6" i="157"/>
  <c r="AW5" i="157" s="1"/>
  <c r="AR6" i="157"/>
  <c r="AH6" i="157"/>
  <c r="AH5" i="157" s="1"/>
  <c r="AG6" i="157"/>
  <c r="AC6" i="157"/>
  <c r="AB6" i="157"/>
  <c r="S6" i="157"/>
  <c r="S5" i="157" s="1"/>
  <c r="R6" i="157"/>
  <c r="AZ115" i="157"/>
  <c r="AZ116" i="157" s="1"/>
  <c r="AY116" i="157" s="1"/>
  <c r="AY115" i="157"/>
  <c r="AZ114" i="157"/>
  <c r="AY114" i="157" s="1"/>
  <c r="AY113" i="157"/>
  <c r="AL111" i="157"/>
  <c r="AM108" i="157"/>
  <c r="AP107" i="157"/>
  <c r="AP106" i="157"/>
  <c r="AP105" i="157"/>
  <c r="AP102" i="157"/>
  <c r="AP95" i="157"/>
  <c r="CG85" i="157"/>
  <c r="BR85" i="157"/>
  <c r="BM85" i="157"/>
  <c r="BC85" i="157"/>
  <c r="AN85" i="157"/>
  <c r="X85" i="157"/>
  <c r="CK85" i="157" s="1"/>
  <c r="O85" i="157"/>
  <c r="J85" i="157"/>
  <c r="E85" i="157"/>
  <c r="CL82" i="157"/>
  <c r="CG82" i="157"/>
  <c r="BW82" i="157"/>
  <c r="BR82" i="157"/>
  <c r="BC82" i="157"/>
  <c r="AS82" i="157"/>
  <c r="AI82" i="157"/>
  <c r="S82" i="157"/>
  <c r="R82" i="157"/>
  <c r="T82" i="157" s="1"/>
  <c r="O82" i="157"/>
  <c r="J82" i="157"/>
  <c r="E82" i="157"/>
  <c r="CK80" i="157"/>
  <c r="CJ80" i="157"/>
  <c r="CA77" i="157"/>
  <c r="BB77" i="157"/>
  <c r="CF77" i="157"/>
  <c r="BQ77" i="157"/>
  <c r="AR77" i="157"/>
  <c r="AN78" i="157"/>
  <c r="T78" i="157"/>
  <c r="O78" i="157"/>
  <c r="J78" i="157"/>
  <c r="E78" i="157"/>
  <c r="BL77" i="157"/>
  <c r="AW77" i="157"/>
  <c r="AH77" i="157"/>
  <c r="AC77" i="157"/>
  <c r="R77" i="157"/>
  <c r="N77" i="157"/>
  <c r="I77" i="157"/>
  <c r="D77" i="157"/>
  <c r="CK74" i="157"/>
  <c r="CK73" i="157" s="1"/>
  <c r="CJ74" i="157"/>
  <c r="CL74" i="157" s="1"/>
  <c r="CA73" i="157"/>
  <c r="BQ73" i="157"/>
  <c r="BP73" i="157"/>
  <c r="BG73" i="157"/>
  <c r="AW73" i="157"/>
  <c r="AV73" i="157"/>
  <c r="AM73" i="157"/>
  <c r="AL73" i="157"/>
  <c r="R73" i="157"/>
  <c r="O74" i="157"/>
  <c r="J74" i="157"/>
  <c r="E74" i="157"/>
  <c r="CL73" i="157"/>
  <c r="CJ73" i="157"/>
  <c r="CF73" i="157"/>
  <c r="BV73" i="157"/>
  <c r="BL73" i="157"/>
  <c r="BB73" i="157"/>
  <c r="AH73" i="157"/>
  <c r="T73" i="157"/>
  <c r="S73" i="157"/>
  <c r="O73" i="157"/>
  <c r="N73" i="157"/>
  <c r="M73" i="157"/>
  <c r="J73" i="157"/>
  <c r="I73" i="157"/>
  <c r="H73" i="157"/>
  <c r="E73" i="157"/>
  <c r="D73" i="157"/>
  <c r="C73" i="157"/>
  <c r="BW71" i="157"/>
  <c r="BR71" i="157"/>
  <c r="BH71" i="157"/>
  <c r="AS71" i="157"/>
  <c r="AN71" i="157"/>
  <c r="X71" i="157"/>
  <c r="CK71" i="157" s="1"/>
  <c r="T71" i="157"/>
  <c r="O71" i="157"/>
  <c r="J71" i="157"/>
  <c r="E71" i="157"/>
  <c r="CB70" i="157"/>
  <c r="BR70" i="157"/>
  <c r="BM70" i="157"/>
  <c r="AX70" i="157"/>
  <c r="AI70" i="157"/>
  <c r="O70" i="157"/>
  <c r="J70" i="157"/>
  <c r="E70" i="157"/>
  <c r="CG69" i="157"/>
  <c r="BW69" i="157"/>
  <c r="BC69" i="157"/>
  <c r="AS69" i="157"/>
  <c r="T69" i="157"/>
  <c r="O69" i="157"/>
  <c r="J69" i="157"/>
  <c r="E69" i="157"/>
  <c r="CG68" i="157"/>
  <c r="BM68" i="157"/>
  <c r="BH68" i="157"/>
  <c r="BC68" i="157"/>
  <c r="AN68" i="157"/>
  <c r="O68" i="157"/>
  <c r="J68" i="157"/>
  <c r="E68" i="157"/>
  <c r="CB67" i="157"/>
  <c r="X67" i="157"/>
  <c r="BH67" i="157"/>
  <c r="AX67" i="157"/>
  <c r="AD67" i="157"/>
  <c r="O67" i="157"/>
  <c r="J67" i="157"/>
  <c r="E67" i="157"/>
  <c r="CG66" i="157"/>
  <c r="BR66" i="157"/>
  <c r="BM66" i="157"/>
  <c r="AN66" i="157"/>
  <c r="AI66" i="157"/>
  <c r="T66" i="157"/>
  <c r="O66" i="157"/>
  <c r="J66" i="157"/>
  <c r="E66" i="157"/>
  <c r="CG65" i="157"/>
  <c r="BW65" i="157"/>
  <c r="BR65" i="157"/>
  <c r="O65" i="157"/>
  <c r="J65" i="157"/>
  <c r="E65" i="157"/>
  <c r="BR64" i="157"/>
  <c r="O64" i="157"/>
  <c r="J64" i="157"/>
  <c r="E64" i="157"/>
  <c r="CG63" i="157"/>
  <c r="BH63" i="157"/>
  <c r="BC63" i="157"/>
  <c r="AX63" i="157"/>
  <c r="T63" i="157"/>
  <c r="O63" i="157"/>
  <c r="J63" i="157"/>
  <c r="E63" i="157"/>
  <c r="X62" i="157"/>
  <c r="CK62" i="157" s="1"/>
  <c r="O62" i="157"/>
  <c r="J62" i="157"/>
  <c r="E62" i="157"/>
  <c r="CG61" i="157"/>
  <c r="CB61" i="157"/>
  <c r="AX61" i="157"/>
  <c r="AN61" i="157"/>
  <c r="O61" i="157"/>
  <c r="J61" i="157"/>
  <c r="E61" i="157"/>
  <c r="BR60" i="157"/>
  <c r="BM60" i="157"/>
  <c r="AN60" i="157"/>
  <c r="T60" i="157"/>
  <c r="O60" i="157"/>
  <c r="J60" i="157"/>
  <c r="E60" i="157"/>
  <c r="AN59" i="157"/>
  <c r="O59" i="157"/>
  <c r="J59" i="157"/>
  <c r="E59" i="157"/>
  <c r="BM58" i="157"/>
  <c r="AN58" i="157"/>
  <c r="O58" i="157"/>
  <c r="J58" i="157"/>
  <c r="E58" i="157"/>
  <c r="CG57" i="157"/>
  <c r="CB57" i="157"/>
  <c r="BH57" i="157"/>
  <c r="BC57" i="157"/>
  <c r="X57" i="157"/>
  <c r="T57" i="157"/>
  <c r="O57" i="157"/>
  <c r="J57" i="157"/>
  <c r="E57" i="157"/>
  <c r="BQ54" i="157"/>
  <c r="O56" i="157"/>
  <c r="J56" i="157"/>
  <c r="E56" i="157"/>
  <c r="O55" i="157"/>
  <c r="J55" i="157"/>
  <c r="E55" i="157"/>
  <c r="N54" i="157"/>
  <c r="M54" i="157"/>
  <c r="I54" i="157"/>
  <c r="H54" i="157"/>
  <c r="D54" i="157"/>
  <c r="C54" i="157"/>
  <c r="CK53" i="157"/>
  <c r="CJ53" i="157"/>
  <c r="AX52" i="157"/>
  <c r="O52" i="157"/>
  <c r="J52" i="157"/>
  <c r="E52" i="157"/>
  <c r="CG51" i="157"/>
  <c r="BC51" i="157"/>
  <c r="AR50" i="157"/>
  <c r="X51" i="157"/>
  <c r="T51" i="157"/>
  <c r="O51" i="157"/>
  <c r="O50" i="157" s="1"/>
  <c r="J51" i="157"/>
  <c r="E51" i="157"/>
  <c r="E50" i="157" s="1"/>
  <c r="CF50" i="157"/>
  <c r="CA50" i="157"/>
  <c r="BV50" i="157"/>
  <c r="BQ50" i="157"/>
  <c r="BL50" i="157"/>
  <c r="BG50" i="157"/>
  <c r="BB50" i="157"/>
  <c r="AW50" i="157"/>
  <c r="AH50" i="157"/>
  <c r="AC50" i="157"/>
  <c r="N50" i="157"/>
  <c r="M50" i="157"/>
  <c r="I50" i="157"/>
  <c r="H50" i="157"/>
  <c r="D50" i="157"/>
  <c r="C50" i="157"/>
  <c r="BW48" i="157"/>
  <c r="BR48" i="157"/>
  <c r="BH48" i="157"/>
  <c r="AS48" i="157"/>
  <c r="AD48" i="157"/>
  <c r="O48" i="157"/>
  <c r="J48" i="157"/>
  <c r="E48" i="157"/>
  <c r="CB47" i="157"/>
  <c r="BM47" i="157"/>
  <c r="AI47" i="157"/>
  <c r="O47" i="157"/>
  <c r="J47" i="157"/>
  <c r="E47" i="157"/>
  <c r="CG46" i="157"/>
  <c r="BR46" i="157"/>
  <c r="BH46" i="157"/>
  <c r="BC46" i="157"/>
  <c r="AN46" i="157"/>
  <c r="T46" i="157"/>
  <c r="O46" i="157"/>
  <c r="J46" i="157"/>
  <c r="E46" i="157"/>
  <c r="BW45" i="157"/>
  <c r="BH45" i="157"/>
  <c r="AX45" i="157"/>
  <c r="AD45" i="157"/>
  <c r="O45" i="157"/>
  <c r="J45" i="157"/>
  <c r="E45" i="157"/>
  <c r="BM44" i="157"/>
  <c r="AS44" i="157"/>
  <c r="AI44" i="157"/>
  <c r="O44" i="157"/>
  <c r="J44" i="157"/>
  <c r="E44" i="157"/>
  <c r="CF41" i="157"/>
  <c r="BR43" i="157"/>
  <c r="BB41" i="157"/>
  <c r="BC43" i="157"/>
  <c r="AN43" i="157"/>
  <c r="AM41" i="157"/>
  <c r="T43" i="157"/>
  <c r="O43" i="157"/>
  <c r="J43" i="157"/>
  <c r="E43" i="157"/>
  <c r="BV41" i="157"/>
  <c r="BH42" i="157"/>
  <c r="AN42" i="157"/>
  <c r="AD42" i="157"/>
  <c r="O42" i="157"/>
  <c r="J42" i="157"/>
  <c r="E42" i="157"/>
  <c r="BL41" i="157"/>
  <c r="N41" i="157"/>
  <c r="M41" i="157"/>
  <c r="I41" i="157"/>
  <c r="H41" i="157"/>
  <c r="D41" i="157"/>
  <c r="C41" i="157"/>
  <c r="X37" i="157"/>
  <c r="W37" i="157"/>
  <c r="CG36" i="157"/>
  <c r="CG35" i="157" s="1"/>
  <c r="BG35" i="157"/>
  <c r="BC36" i="157"/>
  <c r="AV35" i="157"/>
  <c r="AR35" i="157"/>
  <c r="AI36" i="157"/>
  <c r="AI35" i="157" s="1"/>
  <c r="O36" i="157"/>
  <c r="J36" i="157"/>
  <c r="E36" i="157"/>
  <c r="E35" i="157" s="1"/>
  <c r="CF35" i="157"/>
  <c r="CE35" i="157"/>
  <c r="CA35" i="157"/>
  <c r="BV35" i="157"/>
  <c r="BQ35" i="157"/>
  <c r="BL35" i="157"/>
  <c r="BB35" i="157"/>
  <c r="BA35" i="157"/>
  <c r="AW35" i="157"/>
  <c r="AM35" i="157"/>
  <c r="AH35" i="157"/>
  <c r="O35" i="157"/>
  <c r="N35" i="157"/>
  <c r="M35" i="157"/>
  <c r="I35" i="157"/>
  <c r="H35" i="157"/>
  <c r="D35" i="157"/>
  <c r="C35" i="157"/>
  <c r="BW33" i="157"/>
  <c r="BR33" i="157"/>
  <c r="X33" i="157"/>
  <c r="CK33" i="157" s="1"/>
  <c r="BH33" i="157"/>
  <c r="AS33" i="157"/>
  <c r="O33" i="157"/>
  <c r="J33" i="157"/>
  <c r="E33" i="157"/>
  <c r="CB32" i="157"/>
  <c r="BM32" i="157"/>
  <c r="AX32" i="157"/>
  <c r="X32" i="157"/>
  <c r="AI32" i="157"/>
  <c r="O32" i="157"/>
  <c r="J32" i="157"/>
  <c r="E32" i="157"/>
  <c r="CG31" i="157"/>
  <c r="BR31" i="157"/>
  <c r="BC31" i="157"/>
  <c r="AS31" i="157"/>
  <c r="T31" i="157"/>
  <c r="O31" i="157"/>
  <c r="J31" i="157"/>
  <c r="E31" i="157"/>
  <c r="BW30" i="157"/>
  <c r="BH30" i="157"/>
  <c r="O30" i="157"/>
  <c r="J30" i="157"/>
  <c r="E30" i="157"/>
  <c r="CB29" i="157"/>
  <c r="BM29" i="157"/>
  <c r="AX29" i="157"/>
  <c r="AI29" i="157"/>
  <c r="T29" i="157"/>
  <c r="O29" i="157"/>
  <c r="J29" i="157"/>
  <c r="E29" i="157"/>
  <c r="CG28" i="157"/>
  <c r="BR28" i="157"/>
  <c r="T28" i="157"/>
  <c r="O28" i="157"/>
  <c r="J28" i="157"/>
  <c r="E28" i="157"/>
  <c r="BW27" i="157"/>
  <c r="BH27" i="157"/>
  <c r="AS27" i="157"/>
  <c r="O27" i="157"/>
  <c r="J27" i="157"/>
  <c r="E27" i="157"/>
  <c r="CG26" i="157"/>
  <c r="CB26" i="157"/>
  <c r="BR26" i="157"/>
  <c r="BM26" i="157"/>
  <c r="AX26" i="157"/>
  <c r="AI26" i="157"/>
  <c r="O26" i="157"/>
  <c r="J26" i="157"/>
  <c r="E26" i="157"/>
  <c r="CG25" i="157"/>
  <c r="BR25" i="157"/>
  <c r="O25" i="157"/>
  <c r="J25" i="157"/>
  <c r="E25" i="157"/>
  <c r="CG24" i="157"/>
  <c r="BH24" i="157"/>
  <c r="AS24" i="157"/>
  <c r="AD24" i="157"/>
  <c r="O24" i="157"/>
  <c r="J24" i="157"/>
  <c r="E24" i="157"/>
  <c r="BW23" i="157"/>
  <c r="AX23" i="157"/>
  <c r="X23" i="157"/>
  <c r="CK23" i="157" s="1"/>
  <c r="O23" i="157"/>
  <c r="J23" i="157"/>
  <c r="E23" i="157"/>
  <c r="BR22" i="157"/>
  <c r="BM22" i="157"/>
  <c r="BC22" i="157"/>
  <c r="AN22" i="157"/>
  <c r="T22" i="157"/>
  <c r="O22" i="157"/>
  <c r="J22" i="157"/>
  <c r="E22" i="157"/>
  <c r="BW21" i="157"/>
  <c r="AD21" i="157"/>
  <c r="T21" i="157"/>
  <c r="O21" i="157"/>
  <c r="J21" i="157"/>
  <c r="E21" i="157"/>
  <c r="CB20" i="157"/>
  <c r="BW20" i="157"/>
  <c r="BM20" i="157"/>
  <c r="AX20" i="157"/>
  <c r="AI20" i="157"/>
  <c r="O20" i="157"/>
  <c r="J20" i="157"/>
  <c r="E20" i="157"/>
  <c r="BH19" i="157"/>
  <c r="AS19" i="157"/>
  <c r="AI19" i="157"/>
  <c r="AD19" i="157"/>
  <c r="O19" i="157"/>
  <c r="J19" i="157"/>
  <c r="E19" i="157"/>
  <c r="CB18" i="157"/>
  <c r="BW18" i="157"/>
  <c r="BM18" i="157"/>
  <c r="AX18" i="157"/>
  <c r="AI18" i="157"/>
  <c r="O18" i="157"/>
  <c r="J18" i="157"/>
  <c r="E18" i="157"/>
  <c r="BW17" i="157"/>
  <c r="BC17" i="157"/>
  <c r="X17" i="157"/>
  <c r="AS17" i="157"/>
  <c r="O17" i="157"/>
  <c r="J17" i="157"/>
  <c r="E17" i="157"/>
  <c r="CB16" i="157"/>
  <c r="BC16" i="157"/>
  <c r="AX16" i="157"/>
  <c r="AI16" i="157"/>
  <c r="O16" i="157"/>
  <c r="J16" i="157"/>
  <c r="E16" i="157"/>
  <c r="BH15" i="157"/>
  <c r="AS15" i="157"/>
  <c r="X15" i="157"/>
  <c r="O15" i="157"/>
  <c r="J15" i="157"/>
  <c r="E15" i="157"/>
  <c r="CB14" i="157"/>
  <c r="BW14" i="157"/>
  <c r="BM14" i="157"/>
  <c r="BH14" i="157"/>
  <c r="AX14" i="157"/>
  <c r="AI14" i="157"/>
  <c r="O14" i="157"/>
  <c r="J14" i="157"/>
  <c r="E14" i="157"/>
  <c r="BR13" i="157"/>
  <c r="X13" i="157"/>
  <c r="CK13" i="157" s="1"/>
  <c r="BH13" i="157"/>
  <c r="O13" i="157"/>
  <c r="J13" i="157"/>
  <c r="E13" i="157"/>
  <c r="CB12" i="157"/>
  <c r="BM12" i="157"/>
  <c r="BH12" i="157"/>
  <c r="AX12" i="157"/>
  <c r="AN12" i="157"/>
  <c r="AI12" i="157"/>
  <c r="W12" i="157"/>
  <c r="O12" i="157"/>
  <c r="J12" i="157"/>
  <c r="E12" i="157"/>
  <c r="BH11" i="157"/>
  <c r="AD11" i="157"/>
  <c r="X11" i="157"/>
  <c r="O11" i="157"/>
  <c r="J11" i="157"/>
  <c r="E11" i="157"/>
  <c r="CB10" i="157"/>
  <c r="BM10" i="157"/>
  <c r="BC10" i="157"/>
  <c r="AX10" i="157"/>
  <c r="O10" i="157"/>
  <c r="J10" i="157"/>
  <c r="E10" i="157"/>
  <c r="BR9" i="157"/>
  <c r="T9" i="157"/>
  <c r="O9" i="157"/>
  <c r="J9" i="157"/>
  <c r="E9" i="157"/>
  <c r="N8" i="157"/>
  <c r="M8" i="157"/>
  <c r="I8" i="157"/>
  <c r="H8" i="157"/>
  <c r="D8" i="157"/>
  <c r="C8" i="157"/>
  <c r="BW7" i="157"/>
  <c r="BH7" i="157"/>
  <c r="AD7" i="157"/>
  <c r="T7" i="157"/>
  <c r="S7" i="157"/>
  <c r="R7" i="157"/>
  <c r="O7" i="157"/>
  <c r="J7" i="157"/>
  <c r="E7" i="157"/>
  <c r="BW6" i="157"/>
  <c r="BH6" i="157"/>
  <c r="AD6" i="157"/>
  <c r="T6" i="157"/>
  <c r="O6" i="157"/>
  <c r="J6" i="157"/>
  <c r="E6" i="157"/>
  <c r="CF5" i="157"/>
  <c r="CE5" i="157"/>
  <c r="BZ5" i="157"/>
  <c r="BV5" i="157"/>
  <c r="BU5" i="157"/>
  <c r="BQ5" i="157"/>
  <c r="BK5" i="157"/>
  <c r="BG5" i="157"/>
  <c r="BF5" i="157"/>
  <c r="AR5" i="157"/>
  <c r="AG5" i="157"/>
  <c r="AC5" i="157"/>
  <c r="AB5" i="157"/>
  <c r="R5" i="157"/>
  <c r="O5" i="157"/>
  <c r="N5" i="157"/>
  <c r="N38" i="157" s="1"/>
  <c r="M5" i="157"/>
  <c r="I5" i="157"/>
  <c r="H5" i="157"/>
  <c r="H38" i="157" s="1"/>
  <c r="D5" i="157"/>
  <c r="D38" i="157" s="1"/>
  <c r="C5" i="157"/>
  <c r="CQ85" i="158"/>
  <c r="CP85" i="158"/>
  <c r="CK85" i="158"/>
  <c r="CJ85" i="158"/>
  <c r="CL85" i="158" s="1"/>
  <c r="CG85" i="158"/>
  <c r="CB85" i="158"/>
  <c r="BW85" i="158"/>
  <c r="BR85" i="158"/>
  <c r="BM85" i="158"/>
  <c r="BH85" i="158"/>
  <c r="BC85" i="158"/>
  <c r="AX85" i="158"/>
  <c r="AS85" i="158"/>
  <c r="AN85" i="158"/>
  <c r="AI85" i="158"/>
  <c r="AD85" i="158"/>
  <c r="X85" i="158"/>
  <c r="Y85" i="158" s="1"/>
  <c r="W85" i="158"/>
  <c r="S85" i="158"/>
  <c r="T85" i="158" s="1"/>
  <c r="R85" i="158"/>
  <c r="O85" i="158"/>
  <c r="J85" i="158"/>
  <c r="E85" i="158"/>
  <c r="CQ82" i="158"/>
  <c r="CP82" i="158"/>
  <c r="CJ82" i="158"/>
  <c r="CG82" i="158"/>
  <c r="CB82" i="158"/>
  <c r="BW82" i="158"/>
  <c r="BR82" i="158"/>
  <c r="BM82" i="158"/>
  <c r="BH82" i="158"/>
  <c r="BC82" i="158"/>
  <c r="AX82" i="158"/>
  <c r="AS82" i="158"/>
  <c r="AN82" i="158"/>
  <c r="AI82" i="158"/>
  <c r="AD82" i="158"/>
  <c r="X82" i="158"/>
  <c r="CK82" i="158" s="1"/>
  <c r="CL82" i="158" s="1"/>
  <c r="W82" i="158"/>
  <c r="S82" i="158"/>
  <c r="R82" i="158"/>
  <c r="T82" i="158" s="1"/>
  <c r="O82" i="158"/>
  <c r="J82" i="158"/>
  <c r="E82" i="158"/>
  <c r="CK80" i="158"/>
  <c r="CJ80" i="158"/>
  <c r="CP79" i="158"/>
  <c r="CR79" i="158" s="1"/>
  <c r="BM79" i="158"/>
  <c r="X79" i="158"/>
  <c r="S79" i="158"/>
  <c r="CP78" i="158"/>
  <c r="CQ78" i="158" s="1"/>
  <c r="CQ77" i="158" s="1"/>
  <c r="CK78" i="158"/>
  <c r="CG78" i="158"/>
  <c r="CB78" i="158"/>
  <c r="BW78" i="158"/>
  <c r="BR78" i="158"/>
  <c r="BM78" i="158"/>
  <c r="BM77" i="158" s="1"/>
  <c r="BH78" i="158"/>
  <c r="BC78" i="158"/>
  <c r="AX78" i="158"/>
  <c r="AS78" i="158"/>
  <c r="AN78" i="158"/>
  <c r="AI78" i="158"/>
  <c r="AD78" i="158"/>
  <c r="Y78" i="158"/>
  <c r="X78" i="158"/>
  <c r="W78" i="158"/>
  <c r="CJ78" i="158" s="1"/>
  <c r="S78" i="158"/>
  <c r="R78" i="158"/>
  <c r="T78" i="158" s="1"/>
  <c r="O78" i="158"/>
  <c r="J78" i="158"/>
  <c r="E78" i="158"/>
  <c r="CP77" i="158"/>
  <c r="CF77" i="158"/>
  <c r="CA77" i="158"/>
  <c r="BV77" i="158"/>
  <c r="BQ77" i="158"/>
  <c r="BL77" i="158"/>
  <c r="BK77" i="158"/>
  <c r="BG77" i="158"/>
  <c r="BB77" i="158"/>
  <c r="AW77" i="158"/>
  <c r="AR77" i="158"/>
  <c r="AM77" i="158"/>
  <c r="AH77" i="158"/>
  <c r="AC77" i="158"/>
  <c r="S77" i="158"/>
  <c r="N77" i="158"/>
  <c r="I77" i="158"/>
  <c r="D77" i="158"/>
  <c r="CQ74" i="158"/>
  <c r="CQ73" i="158" s="1"/>
  <c r="CP74" i="158"/>
  <c r="CP73" i="158" s="1"/>
  <c r="CK74" i="158"/>
  <c r="CJ74" i="158"/>
  <c r="CG74" i="158"/>
  <c r="CG73" i="158" s="1"/>
  <c r="CB74" i="158"/>
  <c r="CB73" i="158" s="1"/>
  <c r="BW74" i="158"/>
  <c r="BW73" i="158" s="1"/>
  <c r="BR74" i="158"/>
  <c r="BM74" i="158"/>
  <c r="BM73" i="158" s="1"/>
  <c r="BH74" i="158"/>
  <c r="BH73" i="158" s="1"/>
  <c r="BC74" i="158"/>
  <c r="AX74" i="158"/>
  <c r="AX73" i="158" s="1"/>
  <c r="AS74" i="158"/>
  <c r="AS73" i="158" s="1"/>
  <c r="AN74" i="158"/>
  <c r="AN73" i="158" s="1"/>
  <c r="AI74" i="158"/>
  <c r="AD74" i="158"/>
  <c r="AD73" i="158" s="1"/>
  <c r="X74" i="158"/>
  <c r="X73" i="158" s="1"/>
  <c r="W74" i="158"/>
  <c r="O74" i="158"/>
  <c r="J74" i="158"/>
  <c r="J73" i="158" s="1"/>
  <c r="E74" i="158"/>
  <c r="E73" i="158" s="1"/>
  <c r="CK73" i="158"/>
  <c r="CJ73" i="158"/>
  <c r="CF73" i="158"/>
  <c r="CE73" i="158"/>
  <c r="CA73" i="158"/>
  <c r="BZ73" i="158"/>
  <c r="BV73" i="158"/>
  <c r="BU73" i="158"/>
  <c r="BR73" i="158"/>
  <c r="BQ73" i="158"/>
  <c r="BP73" i="158"/>
  <c r="BL73" i="158"/>
  <c r="BK73" i="158"/>
  <c r="BG73" i="158"/>
  <c r="BF73" i="158"/>
  <c r="BC73" i="158"/>
  <c r="BB73" i="158"/>
  <c r="BA73" i="158"/>
  <c r="AW73" i="158"/>
  <c r="AV73" i="158"/>
  <c r="AR73" i="158"/>
  <c r="AQ73" i="158"/>
  <c r="AM73" i="158"/>
  <c r="AL73" i="158"/>
  <c r="AI73" i="158"/>
  <c r="AH73" i="158"/>
  <c r="AG73" i="158"/>
  <c r="AC73" i="158"/>
  <c r="AB73" i="158"/>
  <c r="Y73" i="158"/>
  <c r="W73" i="158"/>
  <c r="T73" i="158"/>
  <c r="S73" i="158"/>
  <c r="R73" i="158"/>
  <c r="O73" i="158"/>
  <c r="N73" i="158"/>
  <c r="M73" i="158"/>
  <c r="I73" i="158"/>
  <c r="H73" i="158"/>
  <c r="D73" i="158"/>
  <c r="C73" i="158"/>
  <c r="CP71" i="158"/>
  <c r="CQ71" i="158" s="1"/>
  <c r="CG71" i="158"/>
  <c r="CB71" i="158"/>
  <c r="BW71" i="158"/>
  <c r="BR71" i="158"/>
  <c r="BM71" i="158"/>
  <c r="BH71" i="158"/>
  <c r="BC71" i="158"/>
  <c r="AX71" i="158"/>
  <c r="AS71" i="158"/>
  <c r="AN71" i="158"/>
  <c r="AI71" i="158"/>
  <c r="AD71" i="158"/>
  <c r="AB71" i="158"/>
  <c r="X71" i="158"/>
  <c r="CK71" i="158" s="1"/>
  <c r="S71" i="158"/>
  <c r="R71" i="158"/>
  <c r="O71" i="158"/>
  <c r="J71" i="158"/>
  <c r="E71" i="158"/>
  <c r="CQ70" i="158"/>
  <c r="CP70" i="158"/>
  <c r="CG70" i="158"/>
  <c r="CB70" i="158"/>
  <c r="BW70" i="158"/>
  <c r="BR70" i="158"/>
  <c r="BM70" i="158"/>
  <c r="BH70" i="158"/>
  <c r="BC70" i="158"/>
  <c r="AX70" i="158"/>
  <c r="AS70" i="158"/>
  <c r="AN70" i="158"/>
  <c r="AI70" i="158"/>
  <c r="AD70" i="158"/>
  <c r="X70" i="158"/>
  <c r="W70" i="158"/>
  <c r="CJ70" i="158" s="1"/>
  <c r="S70" i="158"/>
  <c r="R70" i="158"/>
  <c r="O70" i="158"/>
  <c r="J70" i="158"/>
  <c r="E70" i="158"/>
  <c r="CP69" i="158"/>
  <c r="CQ69" i="158" s="1"/>
  <c r="CK69" i="158"/>
  <c r="CL69" i="158" s="1"/>
  <c r="CG69" i="158"/>
  <c r="CB69" i="158"/>
  <c r="BW69" i="158"/>
  <c r="BR69" i="158"/>
  <c r="BM69" i="158"/>
  <c r="BH69" i="158"/>
  <c r="BC69" i="158"/>
  <c r="AX69" i="158"/>
  <c r="AS69" i="158"/>
  <c r="AN69" i="158"/>
  <c r="AI69" i="158"/>
  <c r="AD69" i="158"/>
  <c r="X69" i="158"/>
  <c r="W69" i="158"/>
  <c r="CJ69" i="158" s="1"/>
  <c r="S69" i="158"/>
  <c r="T69" i="158" s="1"/>
  <c r="R69" i="158"/>
  <c r="O69" i="158"/>
  <c r="J69" i="158"/>
  <c r="E69" i="158"/>
  <c r="CQ68" i="158"/>
  <c r="CP68" i="158"/>
  <c r="CG68" i="158"/>
  <c r="CB68" i="158"/>
  <c r="BW68" i="158"/>
  <c r="BR68" i="158"/>
  <c r="BM68" i="158"/>
  <c r="BH68" i="158"/>
  <c r="BC68" i="158"/>
  <c r="AX68" i="158"/>
  <c r="AQ68" i="158"/>
  <c r="AQ68" i="157" s="1"/>
  <c r="AN68" i="158"/>
  <c r="S68" i="158"/>
  <c r="R68" i="158"/>
  <c r="T68" i="158" s="1"/>
  <c r="O68" i="158"/>
  <c r="J68" i="158"/>
  <c r="E68" i="158"/>
  <c r="CP67" i="158"/>
  <c r="CQ67" i="158" s="1"/>
  <c r="CK67" i="158"/>
  <c r="CG67" i="158"/>
  <c r="CB67" i="158"/>
  <c r="BW67" i="158"/>
  <c r="BR67" i="158"/>
  <c r="BM67" i="158"/>
  <c r="BH67" i="158"/>
  <c r="BC67" i="158"/>
  <c r="AX67" i="158"/>
  <c r="AS67" i="158"/>
  <c r="AN67" i="158"/>
  <c r="AI67" i="158"/>
  <c r="AD67" i="158"/>
  <c r="X67" i="158"/>
  <c r="Y67" i="158" s="1"/>
  <c r="W67" i="158"/>
  <c r="CJ67" i="158" s="1"/>
  <c r="S67" i="158"/>
  <c r="T67" i="158" s="1"/>
  <c r="R67" i="158"/>
  <c r="O67" i="158"/>
  <c r="J67" i="158"/>
  <c r="E67" i="158"/>
  <c r="CP66" i="158"/>
  <c r="CQ66" i="158" s="1"/>
  <c r="CG66" i="158"/>
  <c r="CB66" i="158"/>
  <c r="BW66" i="158"/>
  <c r="BR66" i="158"/>
  <c r="BM66" i="158"/>
  <c r="BH66" i="158"/>
  <c r="AX66" i="158"/>
  <c r="AS66" i="158"/>
  <c r="AN66" i="158"/>
  <c r="AI66" i="158"/>
  <c r="AD66" i="158"/>
  <c r="X66" i="158"/>
  <c r="W66" i="158"/>
  <c r="CJ66" i="158" s="1"/>
  <c r="S66" i="158"/>
  <c r="T66" i="158" s="1"/>
  <c r="R66" i="158"/>
  <c r="O66" i="158"/>
  <c r="J66" i="158"/>
  <c r="E66" i="158"/>
  <c r="CP65" i="158"/>
  <c r="CQ65" i="158" s="1"/>
  <c r="CG65" i="158"/>
  <c r="CB65" i="158"/>
  <c r="BW65" i="158"/>
  <c r="BR65" i="158"/>
  <c r="BM65" i="158"/>
  <c r="BH65" i="158"/>
  <c r="BC65" i="158"/>
  <c r="AX65" i="158"/>
  <c r="AS65" i="158"/>
  <c r="AN65" i="158"/>
  <c r="AI65" i="158"/>
  <c r="AD65" i="158"/>
  <c r="X65" i="158"/>
  <c r="W65" i="158"/>
  <c r="CJ65" i="158" s="1"/>
  <c r="T65" i="158"/>
  <c r="S65" i="158"/>
  <c r="R65" i="158"/>
  <c r="O65" i="158"/>
  <c r="J65" i="158"/>
  <c r="E65" i="158"/>
  <c r="CP64" i="158"/>
  <c r="CQ64" i="158" s="1"/>
  <c r="CK64" i="158"/>
  <c r="CG64" i="158"/>
  <c r="CB64" i="158"/>
  <c r="BW64" i="158"/>
  <c r="BR64" i="158"/>
  <c r="BM64" i="158"/>
  <c r="BH64" i="158"/>
  <c r="BC64" i="158"/>
  <c r="BA64" i="158"/>
  <c r="BA64" i="157" s="1"/>
  <c r="BC64" i="157" s="1"/>
  <c r="AX64" i="158"/>
  <c r="AV64" i="158"/>
  <c r="AV64" i="157" s="1"/>
  <c r="AS64" i="158"/>
  <c r="AQ64" i="158"/>
  <c r="AQ64" i="157" s="1"/>
  <c r="AS64" i="157" s="1"/>
  <c r="AL64" i="158"/>
  <c r="AL64" i="157" s="1"/>
  <c r="AN64" i="157" s="1"/>
  <c r="AG64" i="158"/>
  <c r="AD64" i="158"/>
  <c r="AB64" i="158"/>
  <c r="AB64" i="157" s="1"/>
  <c r="X64" i="158"/>
  <c r="S64" i="158"/>
  <c r="T64" i="158" s="1"/>
  <c r="R64" i="158"/>
  <c r="O64" i="158"/>
  <c r="J64" i="158"/>
  <c r="E64" i="158"/>
  <c r="CP63" i="158"/>
  <c r="CQ63" i="158" s="1"/>
  <c r="CG63" i="158"/>
  <c r="CB63" i="158"/>
  <c r="BW63" i="158"/>
  <c r="BR63" i="158"/>
  <c r="BM63" i="158"/>
  <c r="BH63" i="158"/>
  <c r="BC63" i="158"/>
  <c r="AX63" i="158"/>
  <c r="AS63" i="158"/>
  <c r="AN63" i="158"/>
  <c r="AI63" i="158"/>
  <c r="AD63" i="158"/>
  <c r="X63" i="158"/>
  <c r="CK63" i="158" s="1"/>
  <c r="W63" i="158"/>
  <c r="S63" i="158"/>
  <c r="R63" i="158"/>
  <c r="T63" i="158" s="1"/>
  <c r="O63" i="158"/>
  <c r="J63" i="158"/>
  <c r="E63" i="158"/>
  <c r="CP62" i="158"/>
  <c r="CQ62" i="158" s="1"/>
  <c r="CG62" i="158"/>
  <c r="CB62" i="158"/>
  <c r="BW62" i="158"/>
  <c r="BR62" i="158"/>
  <c r="BM62" i="158"/>
  <c r="BH62" i="158"/>
  <c r="BA62" i="158"/>
  <c r="AX62" i="158"/>
  <c r="AV62" i="158"/>
  <c r="AV62" i="157" s="1"/>
  <c r="AX62" i="157" s="1"/>
  <c r="AQ62" i="158"/>
  <c r="AN62" i="158"/>
  <c r="AL62" i="158"/>
  <c r="AL62" i="157" s="1"/>
  <c r="AN62" i="157" s="1"/>
  <c r="AG62" i="158"/>
  <c r="AD62" i="158"/>
  <c r="AB62" i="158"/>
  <c r="X62" i="158"/>
  <c r="CK62" i="158" s="1"/>
  <c r="T62" i="158"/>
  <c r="S62" i="158"/>
  <c r="R62" i="158"/>
  <c r="O62" i="158"/>
  <c r="J62" i="158"/>
  <c r="E62" i="158"/>
  <c r="CP61" i="158"/>
  <c r="CQ61" i="158" s="1"/>
  <c r="CG61" i="158"/>
  <c r="CB61" i="158"/>
  <c r="BW61" i="158"/>
  <c r="BR61" i="158"/>
  <c r="BM61" i="158"/>
  <c r="BH61" i="158"/>
  <c r="BC61" i="158"/>
  <c r="AX61" i="158"/>
  <c r="AS61" i="158"/>
  <c r="AN61" i="158"/>
  <c r="AI61" i="158"/>
  <c r="AD61" i="158"/>
  <c r="X61" i="158"/>
  <c r="W61" i="158"/>
  <c r="CJ61" i="158" s="1"/>
  <c r="S61" i="158"/>
  <c r="R61" i="158"/>
  <c r="T61" i="158" s="1"/>
  <c r="O61" i="158"/>
  <c r="J61" i="158"/>
  <c r="E61" i="158"/>
  <c r="CP60" i="158"/>
  <c r="CQ60" i="158" s="1"/>
  <c r="CK60" i="158"/>
  <c r="CL60" i="158" s="1"/>
  <c r="CG60" i="158"/>
  <c r="CB60" i="158"/>
  <c r="BW60" i="158"/>
  <c r="BR60" i="158"/>
  <c r="BM60" i="158"/>
  <c r="BH60" i="158"/>
  <c r="BC60" i="158"/>
  <c r="AX60" i="158"/>
  <c r="AS60" i="158"/>
  <c r="AN60" i="158"/>
  <c r="AI60" i="158"/>
  <c r="AD60" i="158"/>
  <c r="X60" i="158"/>
  <c r="Y60" i="158" s="1"/>
  <c r="W60" i="158"/>
  <c r="CJ60" i="158" s="1"/>
  <c r="S60" i="158"/>
  <c r="T60" i="158" s="1"/>
  <c r="R60" i="158"/>
  <c r="O60" i="158"/>
  <c r="J60" i="158"/>
  <c r="E60" i="158"/>
  <c r="CP59" i="158"/>
  <c r="CQ59" i="158" s="1"/>
  <c r="CG59" i="158"/>
  <c r="CB59" i="158"/>
  <c r="BW59" i="158"/>
  <c r="BR59" i="158"/>
  <c r="BM59" i="158"/>
  <c r="BH59" i="158"/>
  <c r="BC59" i="158"/>
  <c r="AX59" i="158"/>
  <c r="AS59" i="158"/>
  <c r="AN59" i="158"/>
  <c r="AI59" i="158"/>
  <c r="AD59" i="158"/>
  <c r="X59" i="158"/>
  <c r="Y59" i="158" s="1"/>
  <c r="W59" i="158"/>
  <c r="CJ59" i="158" s="1"/>
  <c r="T59" i="158"/>
  <c r="S59" i="158"/>
  <c r="R59" i="158"/>
  <c r="O59" i="158"/>
  <c r="J59" i="158"/>
  <c r="E59" i="158"/>
  <c r="CP58" i="158"/>
  <c r="CQ58" i="158" s="1"/>
  <c r="CG58" i="158"/>
  <c r="CB58" i="158"/>
  <c r="BW58" i="158"/>
  <c r="BR58" i="158"/>
  <c r="BM58" i="158"/>
  <c r="BH58" i="158"/>
  <c r="BC58" i="158"/>
  <c r="AX58" i="158"/>
  <c r="AS58" i="158"/>
  <c r="AN58" i="158"/>
  <c r="AI58" i="158"/>
  <c r="AD58" i="158"/>
  <c r="X58" i="158"/>
  <c r="W58" i="158"/>
  <c r="CJ58" i="158" s="1"/>
  <c r="S58" i="158"/>
  <c r="R58" i="158"/>
  <c r="T58" i="158" s="1"/>
  <c r="O58" i="158"/>
  <c r="J58" i="158"/>
  <c r="E58" i="158"/>
  <c r="CP57" i="158"/>
  <c r="CG57" i="158"/>
  <c r="CB57" i="158"/>
  <c r="BW57" i="158"/>
  <c r="BR57" i="158"/>
  <c r="BM57" i="158"/>
  <c r="BH57" i="158"/>
  <c r="BC57" i="158"/>
  <c r="AX57" i="158"/>
  <c r="AS57" i="158"/>
  <c r="AN57" i="158"/>
  <c r="AG57" i="158"/>
  <c r="AD57" i="158"/>
  <c r="AB57" i="158"/>
  <c r="AB54" i="158" s="1"/>
  <c r="X57" i="158"/>
  <c r="CK57" i="158" s="1"/>
  <c r="S57" i="158"/>
  <c r="R57" i="158"/>
  <c r="T57" i="158" s="1"/>
  <c r="O57" i="158"/>
  <c r="J57" i="158"/>
  <c r="E57" i="158"/>
  <c r="CP56" i="158"/>
  <c r="CQ56" i="158" s="1"/>
  <c r="CK56" i="158"/>
  <c r="CG56" i="158"/>
  <c r="CB56" i="158"/>
  <c r="BW56" i="158"/>
  <c r="BR56" i="158"/>
  <c r="BM56" i="158"/>
  <c r="BH56" i="158"/>
  <c r="BC56" i="158"/>
  <c r="AX56" i="158"/>
  <c r="AS56" i="158"/>
  <c r="AN56" i="158"/>
  <c r="AG56" i="158"/>
  <c r="AB56" i="158"/>
  <c r="X56" i="158"/>
  <c r="S56" i="158"/>
  <c r="R56" i="158"/>
  <c r="O56" i="158"/>
  <c r="J56" i="158"/>
  <c r="E56" i="158"/>
  <c r="CQ55" i="158"/>
  <c r="CP55" i="158"/>
  <c r="CG55" i="158"/>
  <c r="CB55" i="158"/>
  <c r="BW55" i="158"/>
  <c r="BW54" i="158" s="1"/>
  <c r="BR55" i="158"/>
  <c r="BM55" i="158"/>
  <c r="BH55" i="158"/>
  <c r="BC55" i="158"/>
  <c r="AX55" i="158"/>
  <c r="AR55" i="158"/>
  <c r="AR54" i="158" s="1"/>
  <c r="AM55" i="158"/>
  <c r="AH55" i="158"/>
  <c r="AH55" i="157" s="1"/>
  <c r="AG55" i="158"/>
  <c r="AG55" i="157" s="1"/>
  <c r="AC55" i="158"/>
  <c r="AC55" i="157" s="1"/>
  <c r="AB55" i="158"/>
  <c r="S55" i="158"/>
  <c r="R55" i="158"/>
  <c r="O55" i="158"/>
  <c r="J55" i="158"/>
  <c r="E55" i="158"/>
  <c r="CF54" i="158"/>
  <c r="CE54" i="158"/>
  <c r="CA54" i="158"/>
  <c r="BZ54" i="158"/>
  <c r="BV54" i="158"/>
  <c r="BU54" i="158"/>
  <c r="BQ54" i="158"/>
  <c r="BP54" i="158"/>
  <c r="BL54" i="158"/>
  <c r="BK54" i="158"/>
  <c r="BG54" i="158"/>
  <c r="BF54" i="158"/>
  <c r="BB54" i="158"/>
  <c r="AW54" i="158"/>
  <c r="AV54" i="158"/>
  <c r="AQ54" i="158"/>
  <c r="AL54" i="158"/>
  <c r="N54" i="158"/>
  <c r="M54" i="158"/>
  <c r="I54" i="158"/>
  <c r="H54" i="158"/>
  <c r="D54" i="158"/>
  <c r="C54" i="158"/>
  <c r="CK53" i="158"/>
  <c r="CJ53" i="158"/>
  <c r="CP52" i="158"/>
  <c r="CQ52" i="158" s="1"/>
  <c r="CK52" i="158"/>
  <c r="CK50" i="158" s="1"/>
  <c r="CJ52" i="158"/>
  <c r="CG52" i="158"/>
  <c r="CB52" i="158"/>
  <c r="BW52" i="158"/>
  <c r="BR52" i="158"/>
  <c r="BM52" i="158"/>
  <c r="BH52" i="158"/>
  <c r="BC52" i="158"/>
  <c r="BC50" i="158" s="1"/>
  <c r="AX52" i="158"/>
  <c r="AX50" i="158" s="1"/>
  <c r="AS52" i="158"/>
  <c r="AN52" i="158"/>
  <c r="AI52" i="158"/>
  <c r="AD52" i="158"/>
  <c r="X52" i="158"/>
  <c r="W52" i="158"/>
  <c r="S52" i="158"/>
  <c r="R52" i="158"/>
  <c r="O52" i="158"/>
  <c r="J52" i="158"/>
  <c r="E52" i="158"/>
  <c r="CP51" i="158"/>
  <c r="CG51" i="158"/>
  <c r="CB51" i="158"/>
  <c r="BW51" i="158"/>
  <c r="BR51" i="158"/>
  <c r="BM51" i="158"/>
  <c r="BM50" i="158" s="1"/>
  <c r="BH51" i="158"/>
  <c r="BC51" i="158"/>
  <c r="AX51" i="158"/>
  <c r="AS51" i="158"/>
  <c r="AS50" i="158" s="1"/>
  <c r="AN51" i="158"/>
  <c r="AN50" i="158" s="1"/>
  <c r="AI51" i="158"/>
  <c r="AI50" i="158" s="1"/>
  <c r="AD51" i="158"/>
  <c r="X51" i="158"/>
  <c r="CK51" i="158" s="1"/>
  <c r="W51" i="158"/>
  <c r="S51" i="158"/>
  <c r="R51" i="158"/>
  <c r="O51" i="158"/>
  <c r="J51" i="158"/>
  <c r="E51" i="158"/>
  <c r="CG50" i="158"/>
  <c r="CF50" i="158"/>
  <c r="CE50" i="158"/>
  <c r="CB50" i="158"/>
  <c r="CA50" i="158"/>
  <c r="BZ50" i="158"/>
  <c r="BV50" i="158"/>
  <c r="BU50" i="158"/>
  <c r="BQ50" i="158"/>
  <c r="BP50" i="158"/>
  <c r="BL50" i="158"/>
  <c r="BK50" i="158"/>
  <c r="BG50" i="158"/>
  <c r="BF50" i="158"/>
  <c r="BB50" i="158"/>
  <c r="BA50" i="158"/>
  <c r="AW50" i="158"/>
  <c r="AV50" i="158"/>
  <c r="AR50" i="158"/>
  <c r="AQ50" i="158"/>
  <c r="AM50" i="158"/>
  <c r="AL50" i="158"/>
  <c r="AH50" i="158"/>
  <c r="AG50" i="158"/>
  <c r="AC50" i="158"/>
  <c r="AB50" i="158"/>
  <c r="W50" i="158"/>
  <c r="N50" i="158"/>
  <c r="M50" i="158"/>
  <c r="J50" i="158"/>
  <c r="I50" i="158"/>
  <c r="H50" i="158"/>
  <c r="D50" i="158"/>
  <c r="C50" i="158"/>
  <c r="CP48" i="158"/>
  <c r="CQ48" i="158" s="1"/>
  <c r="CG48" i="158"/>
  <c r="CB48" i="158"/>
  <c r="BW48" i="158"/>
  <c r="BR48" i="158"/>
  <c r="BM48" i="158"/>
  <c r="BH48" i="158"/>
  <c r="BC48" i="158"/>
  <c r="AX48" i="158"/>
  <c r="AS48" i="158"/>
  <c r="AN48" i="158"/>
  <c r="AI48" i="158"/>
  <c r="AD48" i="158"/>
  <c r="X48" i="158"/>
  <c r="CK48" i="158" s="1"/>
  <c r="W48" i="158"/>
  <c r="CJ48" i="158" s="1"/>
  <c r="S48" i="158"/>
  <c r="R48" i="158"/>
  <c r="O48" i="158"/>
  <c r="J48" i="158"/>
  <c r="E48" i="158"/>
  <c r="CP47" i="158"/>
  <c r="CQ47" i="158" s="1"/>
  <c r="CG47" i="158"/>
  <c r="CB47" i="158"/>
  <c r="BW47" i="158"/>
  <c r="BR47" i="158"/>
  <c r="BM47" i="158"/>
  <c r="BH47" i="158"/>
  <c r="BC47" i="158"/>
  <c r="AV47" i="158"/>
  <c r="AX47" i="158" s="1"/>
  <c r="AS47" i="158"/>
  <c r="AN47" i="158"/>
  <c r="AI47" i="158"/>
  <c r="AG47" i="158"/>
  <c r="AG47" i="157" s="1"/>
  <c r="AB47" i="158"/>
  <c r="AB47" i="157" s="1"/>
  <c r="X47" i="158"/>
  <c r="CK47" i="158" s="1"/>
  <c r="S47" i="158"/>
  <c r="R47" i="158"/>
  <c r="O47" i="158"/>
  <c r="J47" i="158"/>
  <c r="E47" i="158"/>
  <c r="CP46" i="158"/>
  <c r="CQ46" i="158" s="1"/>
  <c r="CG46" i="158"/>
  <c r="CB46" i="158"/>
  <c r="BW46" i="158"/>
  <c r="BR46" i="158"/>
  <c r="BM46" i="158"/>
  <c r="BH46" i="158"/>
  <c r="BC46" i="158"/>
  <c r="AX46" i="158"/>
  <c r="AS46" i="158"/>
  <c r="AN46" i="158"/>
  <c r="AI46" i="158"/>
  <c r="AD46" i="158"/>
  <c r="X46" i="158"/>
  <c r="CK46" i="158" s="1"/>
  <c r="W46" i="158"/>
  <c r="S46" i="158"/>
  <c r="R46" i="158"/>
  <c r="O46" i="158"/>
  <c r="J46" i="158"/>
  <c r="E46" i="158"/>
  <c r="CP45" i="158"/>
  <c r="CQ45" i="158" s="1"/>
  <c r="CJ45" i="158"/>
  <c r="CG45" i="158"/>
  <c r="CB45" i="158"/>
  <c r="BW45" i="158"/>
  <c r="BR45" i="158"/>
  <c r="BM45" i="158"/>
  <c r="BH45" i="158"/>
  <c r="BC45" i="158"/>
  <c r="AX45" i="158"/>
  <c r="AS45" i="158"/>
  <c r="AN45" i="158"/>
  <c r="AI45" i="158"/>
  <c r="AD45" i="158"/>
  <c r="X45" i="158"/>
  <c r="CK45" i="158" s="1"/>
  <c r="W45" i="158"/>
  <c r="S45" i="158"/>
  <c r="R45" i="158"/>
  <c r="O45" i="158"/>
  <c r="J45" i="158"/>
  <c r="E45" i="158"/>
  <c r="CP44" i="158"/>
  <c r="CG44" i="158"/>
  <c r="CB44" i="158"/>
  <c r="BW44" i="158"/>
  <c r="BR44" i="158"/>
  <c r="BM44" i="158"/>
  <c r="BH44" i="158"/>
  <c r="BC44" i="158"/>
  <c r="AX44" i="158"/>
  <c r="AS44" i="158"/>
  <c r="AN44" i="158"/>
  <c r="AI44" i="158"/>
  <c r="AD44" i="158"/>
  <c r="X44" i="158"/>
  <c r="CK44" i="158" s="1"/>
  <c r="W44" i="158"/>
  <c r="S44" i="158"/>
  <c r="R44" i="158"/>
  <c r="O44" i="158"/>
  <c r="J44" i="158"/>
  <c r="E44" i="158"/>
  <c r="CP43" i="158"/>
  <c r="CQ43" i="158" s="1"/>
  <c r="CG43" i="158"/>
  <c r="CB43" i="158"/>
  <c r="BW43" i="158"/>
  <c r="BR43" i="158"/>
  <c r="BM43" i="158"/>
  <c r="BH43" i="158"/>
  <c r="BC43" i="158"/>
  <c r="AX43" i="158"/>
  <c r="AS43" i="158"/>
  <c r="AN43" i="158"/>
  <c r="AI43" i="158"/>
  <c r="AD43" i="158"/>
  <c r="X43" i="158"/>
  <c r="CK43" i="158" s="1"/>
  <c r="W43" i="158"/>
  <c r="CJ43" i="158" s="1"/>
  <c r="S43" i="158"/>
  <c r="R43" i="158"/>
  <c r="O43" i="158"/>
  <c r="J43" i="158"/>
  <c r="E43" i="158"/>
  <c r="CP42" i="158"/>
  <c r="CQ42" i="158" s="1"/>
  <c r="CJ42" i="158"/>
  <c r="CL42" i="158" s="1"/>
  <c r="CG42" i="158"/>
  <c r="CB42" i="158"/>
  <c r="CB41" i="158" s="1"/>
  <c r="BW42" i="158"/>
  <c r="BR42" i="158"/>
  <c r="BM42" i="158"/>
  <c r="BH42" i="158"/>
  <c r="BC42" i="158"/>
  <c r="AX42" i="158"/>
  <c r="AS42" i="158"/>
  <c r="AN42" i="158"/>
  <c r="AI42" i="158"/>
  <c r="AD42" i="158"/>
  <c r="X42" i="158"/>
  <c r="CK42" i="158" s="1"/>
  <c r="W42" i="158"/>
  <c r="S42" i="158"/>
  <c r="R42" i="158"/>
  <c r="O42" i="158"/>
  <c r="J42" i="158"/>
  <c r="J41" i="158" s="1"/>
  <c r="E42" i="158"/>
  <c r="CF41" i="158"/>
  <c r="CE41" i="158"/>
  <c r="CA41" i="158"/>
  <c r="BZ41" i="158"/>
  <c r="BV41" i="158"/>
  <c r="BU41" i="158"/>
  <c r="BQ41" i="158"/>
  <c r="BP41" i="158"/>
  <c r="BL41" i="158"/>
  <c r="BK41" i="158"/>
  <c r="BG41" i="158"/>
  <c r="BF41" i="158"/>
  <c r="BB41" i="158"/>
  <c r="BA41" i="158"/>
  <c r="AW41" i="158"/>
  <c r="AV41" i="158"/>
  <c r="AR41" i="158"/>
  <c r="AQ41" i="158"/>
  <c r="AM41" i="158"/>
  <c r="AL41" i="158"/>
  <c r="AH41" i="158"/>
  <c r="AG41" i="158"/>
  <c r="AC41" i="158"/>
  <c r="N41" i="158"/>
  <c r="M41" i="158"/>
  <c r="I41" i="158"/>
  <c r="H41" i="158"/>
  <c r="D41" i="158"/>
  <c r="C41" i="158"/>
  <c r="X37" i="158"/>
  <c r="W37" i="158"/>
  <c r="CK36" i="158"/>
  <c r="CK35" i="158" s="1"/>
  <c r="CG36" i="158"/>
  <c r="CB36" i="158"/>
  <c r="CB35" i="158" s="1"/>
  <c r="BW36" i="158"/>
  <c r="BW35" i="158" s="1"/>
  <c r="BR36" i="158"/>
  <c r="BM36" i="158"/>
  <c r="BM35" i="158" s="1"/>
  <c r="BH36" i="158"/>
  <c r="BH35" i="158" s="1"/>
  <c r="BC36" i="158"/>
  <c r="AX36" i="158"/>
  <c r="AX35" i="158" s="1"/>
  <c r="AS36" i="158"/>
  <c r="AS35" i="158" s="1"/>
  <c r="AL36" i="158"/>
  <c r="AI36" i="158"/>
  <c r="AD36" i="158"/>
  <c r="X36" i="158"/>
  <c r="T36" i="158"/>
  <c r="T35" i="158" s="1"/>
  <c r="S36" i="158"/>
  <c r="R36" i="158"/>
  <c r="O36" i="158"/>
  <c r="J36" i="158"/>
  <c r="J35" i="158" s="1"/>
  <c r="E36" i="158"/>
  <c r="E35" i="158" s="1"/>
  <c r="CP35" i="158"/>
  <c r="CG35" i="158"/>
  <c r="CF35" i="158"/>
  <c r="CE35" i="158"/>
  <c r="CA35" i="158"/>
  <c r="BZ35" i="158"/>
  <c r="BV35" i="158"/>
  <c r="BU35" i="158"/>
  <c r="BR35" i="158"/>
  <c r="BQ35" i="158"/>
  <c r="BP35" i="158"/>
  <c r="BL35" i="158"/>
  <c r="BK35" i="158"/>
  <c r="BG35" i="158"/>
  <c r="BF35" i="158"/>
  <c r="BC35" i="158"/>
  <c r="BB35" i="158"/>
  <c r="BA35" i="158"/>
  <c r="AW35" i="158"/>
  <c r="AV35" i="158"/>
  <c r="AR35" i="158"/>
  <c r="AQ35" i="158"/>
  <c r="AM35" i="158"/>
  <c r="AH35" i="158"/>
  <c r="AG35" i="158"/>
  <c r="AD35" i="158"/>
  <c r="AC35" i="158"/>
  <c r="AB35" i="158"/>
  <c r="X35" i="158"/>
  <c r="S35" i="158"/>
  <c r="R35" i="158"/>
  <c r="N35" i="158"/>
  <c r="M35" i="158"/>
  <c r="I35" i="158"/>
  <c r="H35" i="158"/>
  <c r="D35" i="158"/>
  <c r="C35" i="158"/>
  <c r="CR33" i="158"/>
  <c r="CG33" i="158"/>
  <c r="CB33" i="158"/>
  <c r="BW33" i="158"/>
  <c r="BR33" i="158"/>
  <c r="BM33" i="158"/>
  <c r="BH33" i="158"/>
  <c r="BC33" i="158"/>
  <c r="AX33" i="158"/>
  <c r="AS33" i="158"/>
  <c r="AN33" i="158"/>
  <c r="AI33" i="158"/>
  <c r="AD33" i="158"/>
  <c r="X33" i="158"/>
  <c r="CK33" i="158" s="1"/>
  <c r="W33" i="158"/>
  <c r="S33" i="158"/>
  <c r="R33" i="158"/>
  <c r="O33" i="158"/>
  <c r="J33" i="158"/>
  <c r="E33" i="158"/>
  <c r="CG32" i="158"/>
  <c r="CB32" i="158"/>
  <c r="BW32" i="158"/>
  <c r="BR32" i="158"/>
  <c r="BM32" i="158"/>
  <c r="BH32" i="158"/>
  <c r="BC32" i="158"/>
  <c r="AX32" i="158"/>
  <c r="AS32" i="158"/>
  <c r="AN32" i="158"/>
  <c r="AI32" i="158"/>
  <c r="AD32" i="158"/>
  <c r="X32" i="158"/>
  <c r="CK32" i="158" s="1"/>
  <c r="W32" i="158"/>
  <c r="S32" i="158"/>
  <c r="R32" i="158"/>
  <c r="T32" i="158" s="1"/>
  <c r="O32" i="158"/>
  <c r="J32" i="158"/>
  <c r="E32" i="158"/>
  <c r="CG31" i="158"/>
  <c r="CB31" i="158"/>
  <c r="BW31" i="158"/>
  <c r="BR31" i="158"/>
  <c r="BM31" i="158"/>
  <c r="BH31" i="158"/>
  <c r="BC31" i="158"/>
  <c r="AX31" i="158"/>
  <c r="AS31" i="158"/>
  <c r="AN31" i="158"/>
  <c r="AI31" i="158"/>
  <c r="AD31" i="158"/>
  <c r="X31" i="158"/>
  <c r="CK31" i="158" s="1"/>
  <c r="W31" i="158"/>
  <c r="S31" i="158"/>
  <c r="R31" i="158"/>
  <c r="O31" i="158"/>
  <c r="J31" i="158"/>
  <c r="E31" i="158"/>
  <c r="CR30" i="158"/>
  <c r="CG30" i="158"/>
  <c r="CB30" i="158"/>
  <c r="BW30" i="158"/>
  <c r="BR30" i="158"/>
  <c r="BM30" i="158"/>
  <c r="BH30" i="158"/>
  <c r="BB30" i="158"/>
  <c r="AW30" i="158"/>
  <c r="AR30" i="158"/>
  <c r="AN30" i="158"/>
  <c r="AM30" i="158"/>
  <c r="AM30" i="157" s="1"/>
  <c r="AH30" i="158"/>
  <c r="AD30" i="158"/>
  <c r="AC30" i="158"/>
  <c r="AC30" i="157" s="1"/>
  <c r="W30" i="158"/>
  <c r="T30" i="158"/>
  <c r="S30" i="158"/>
  <c r="R30" i="158"/>
  <c r="O30" i="158"/>
  <c r="J30" i="158"/>
  <c r="E30" i="158"/>
  <c r="CR29" i="158"/>
  <c r="CJ29" i="158"/>
  <c r="CG29" i="158"/>
  <c r="CB29" i="158"/>
  <c r="BW29" i="158"/>
  <c r="BR29" i="158"/>
  <c r="BM29" i="158"/>
  <c r="BH29" i="158"/>
  <c r="BC29" i="158"/>
  <c r="AX29" i="158"/>
  <c r="AS29" i="158"/>
  <c r="AN29" i="158"/>
  <c r="AI29" i="158"/>
  <c r="AD29" i="158"/>
  <c r="X29" i="158"/>
  <c r="CK29" i="158" s="1"/>
  <c r="CL29" i="158" s="1"/>
  <c r="W29" i="158"/>
  <c r="S29" i="158"/>
  <c r="R29" i="158"/>
  <c r="O29" i="158"/>
  <c r="J29" i="158"/>
  <c r="E29" i="158"/>
  <c r="CR28" i="158"/>
  <c r="CG28" i="158"/>
  <c r="CB28" i="158"/>
  <c r="BW28" i="158"/>
  <c r="BR28" i="158"/>
  <c r="BM28" i="158"/>
  <c r="BH28" i="158"/>
  <c r="BA28" i="158"/>
  <c r="BA28" i="157" s="1"/>
  <c r="BC28" i="157" s="1"/>
  <c r="AX28" i="158"/>
  <c r="AS28" i="158"/>
  <c r="AL28" i="158"/>
  <c r="AL28" i="157" s="1"/>
  <c r="AN28" i="157" s="1"/>
  <c r="AI28" i="158"/>
  <c r="AG28" i="158"/>
  <c r="AG28" i="157" s="1"/>
  <c r="AI28" i="157" s="1"/>
  <c r="AC28" i="158"/>
  <c r="AC28" i="157" s="1"/>
  <c r="X28" i="157" s="1"/>
  <c r="CK28" i="157" s="1"/>
  <c r="X28" i="158"/>
  <c r="CK28" i="158" s="1"/>
  <c r="S28" i="158"/>
  <c r="R28" i="158"/>
  <c r="O28" i="158"/>
  <c r="J28" i="158"/>
  <c r="E28" i="158"/>
  <c r="CR27" i="158"/>
  <c r="CG27" i="158"/>
  <c r="CB27" i="158"/>
  <c r="BW27" i="158"/>
  <c r="BR27" i="158"/>
  <c r="BM27" i="158"/>
  <c r="BH27" i="158"/>
  <c r="BC27" i="158"/>
  <c r="AX27" i="158"/>
  <c r="AS27" i="158"/>
  <c r="AM27" i="158"/>
  <c r="AL27" i="158"/>
  <c r="AL27" i="157" s="1"/>
  <c r="AH27" i="158"/>
  <c r="AH27" i="157" s="1"/>
  <c r="AG27" i="158"/>
  <c r="AD27" i="158"/>
  <c r="AC27" i="158"/>
  <c r="AC27" i="157" s="1"/>
  <c r="AD27" i="157" s="1"/>
  <c r="S27" i="158"/>
  <c r="R27" i="158"/>
  <c r="T27" i="158" s="1"/>
  <c r="O27" i="158"/>
  <c r="J27" i="158"/>
  <c r="E27" i="158"/>
  <c r="CR26" i="158"/>
  <c r="CG26" i="158"/>
  <c r="CB26" i="158"/>
  <c r="BW26" i="158"/>
  <c r="BR26" i="158"/>
  <c r="BM26" i="158"/>
  <c r="BH26" i="158"/>
  <c r="BC26" i="158"/>
  <c r="AX26" i="158"/>
  <c r="AS26" i="158"/>
  <c r="AN26" i="158"/>
  <c r="AI26" i="158"/>
  <c r="AD26" i="158"/>
  <c r="X26" i="158"/>
  <c r="CK26" i="158" s="1"/>
  <c r="W26" i="158"/>
  <c r="CJ26" i="158" s="1"/>
  <c r="S26" i="158"/>
  <c r="R26" i="158"/>
  <c r="T26" i="158" s="1"/>
  <c r="O26" i="158"/>
  <c r="J26" i="158"/>
  <c r="E26" i="158"/>
  <c r="CR25" i="158"/>
  <c r="CK25" i="158"/>
  <c r="CG25" i="158"/>
  <c r="CB25" i="158"/>
  <c r="BW25" i="158"/>
  <c r="BR25" i="158"/>
  <c r="BM25" i="158"/>
  <c r="BH25" i="158"/>
  <c r="BC25" i="158"/>
  <c r="AX25" i="158"/>
  <c r="AS25" i="158"/>
  <c r="AN25" i="158"/>
  <c r="AI25" i="158"/>
  <c r="AD25" i="158"/>
  <c r="X25" i="158"/>
  <c r="W25" i="158"/>
  <c r="S25" i="158"/>
  <c r="R25" i="158"/>
  <c r="O25" i="158"/>
  <c r="J25" i="158"/>
  <c r="E25" i="158"/>
  <c r="CR24" i="158"/>
  <c r="CJ24" i="158"/>
  <c r="CG24" i="158"/>
  <c r="CB24" i="158"/>
  <c r="BW24" i="158"/>
  <c r="BR24" i="158"/>
  <c r="BM24" i="158"/>
  <c r="BH24" i="158"/>
  <c r="BC24" i="158"/>
  <c r="AX24" i="158"/>
  <c r="AS24" i="158"/>
  <c r="AN24" i="158"/>
  <c r="AI24" i="158"/>
  <c r="AD24" i="158"/>
  <c r="Y24" i="158"/>
  <c r="X24" i="158"/>
  <c r="CK24" i="158" s="1"/>
  <c r="W24" i="158"/>
  <c r="S24" i="158"/>
  <c r="R24" i="158"/>
  <c r="T24" i="158" s="1"/>
  <c r="O24" i="158"/>
  <c r="J24" i="158"/>
  <c r="E24" i="158"/>
  <c r="CR23" i="158"/>
  <c r="CK23" i="158"/>
  <c r="CG23" i="158"/>
  <c r="CB23" i="158"/>
  <c r="BW23" i="158"/>
  <c r="BR23" i="158"/>
  <c r="BM23" i="158"/>
  <c r="BH23" i="158"/>
  <c r="BC23" i="158"/>
  <c r="AX23" i="158"/>
  <c r="AS23" i="158"/>
  <c r="AN23" i="158"/>
  <c r="AI23" i="158"/>
  <c r="AD23" i="158"/>
  <c r="X23" i="158"/>
  <c r="W23" i="158"/>
  <c r="CJ23" i="158" s="1"/>
  <c r="S23" i="158"/>
  <c r="R23" i="158"/>
  <c r="O23" i="158"/>
  <c r="J23" i="158"/>
  <c r="E23" i="158"/>
  <c r="CT22" i="158"/>
  <c r="CT86" i="158" s="1"/>
  <c r="CR22" i="158"/>
  <c r="CG22" i="158"/>
  <c r="CB22" i="158"/>
  <c r="BW22" i="158"/>
  <c r="BR22" i="158"/>
  <c r="BM22" i="158"/>
  <c r="BH22" i="158"/>
  <c r="BC22" i="158"/>
  <c r="AX22" i="158"/>
  <c r="AS22" i="158"/>
  <c r="AN22" i="158"/>
  <c r="AI22" i="158"/>
  <c r="AD22" i="158"/>
  <c r="Y22" i="158"/>
  <c r="X22" i="158"/>
  <c r="CK22" i="158" s="1"/>
  <c r="W22" i="158"/>
  <c r="CJ22" i="158" s="1"/>
  <c r="S22" i="158"/>
  <c r="R22" i="158"/>
  <c r="T22" i="158" s="1"/>
  <c r="O22" i="158"/>
  <c r="J22" i="158"/>
  <c r="E22" i="158"/>
  <c r="CR21" i="158"/>
  <c r="CJ21" i="158"/>
  <c r="CL21" i="158" s="1"/>
  <c r="CG21" i="158"/>
  <c r="CB21" i="158"/>
  <c r="BW21" i="158"/>
  <c r="BR21" i="158"/>
  <c r="BM21" i="158"/>
  <c r="BH21" i="158"/>
  <c r="BC21" i="158"/>
  <c r="AX21" i="158"/>
  <c r="AS21" i="158"/>
  <c r="AN21" i="158"/>
  <c r="AI21" i="158"/>
  <c r="AD21" i="158"/>
  <c r="X21" i="158"/>
  <c r="CK21" i="158" s="1"/>
  <c r="W21" i="158"/>
  <c r="Y21" i="158" s="1"/>
  <c r="S21" i="158"/>
  <c r="R21" i="158"/>
  <c r="O21" i="158"/>
  <c r="J21" i="158"/>
  <c r="E21" i="158"/>
  <c r="CR20" i="158"/>
  <c r="CG20" i="158"/>
  <c r="CB20" i="158"/>
  <c r="BW20" i="158"/>
  <c r="BR20" i="158"/>
  <c r="BM20" i="158"/>
  <c r="BH20" i="158"/>
  <c r="BC20" i="158"/>
  <c r="AX20" i="158"/>
  <c r="AS20" i="158"/>
  <c r="AN20" i="158"/>
  <c r="AI20" i="158"/>
  <c r="AD20" i="158"/>
  <c r="X20" i="158"/>
  <c r="CK20" i="158" s="1"/>
  <c r="W20" i="158"/>
  <c r="CJ20" i="158" s="1"/>
  <c r="CL20" i="158" s="1"/>
  <c r="T20" i="158"/>
  <c r="S20" i="158"/>
  <c r="R20" i="158"/>
  <c r="O20" i="158"/>
  <c r="J20" i="158"/>
  <c r="E20" i="158"/>
  <c r="CR19" i="158"/>
  <c r="CJ19" i="158"/>
  <c r="CG19" i="158"/>
  <c r="CB19" i="158"/>
  <c r="BW19" i="158"/>
  <c r="BR19" i="158"/>
  <c r="BM19" i="158"/>
  <c r="BH19" i="158"/>
  <c r="BC19" i="158"/>
  <c r="AX19" i="158"/>
  <c r="AS19" i="158"/>
  <c r="AN19" i="158"/>
  <c r="AI19" i="158"/>
  <c r="AD19" i="158"/>
  <c r="X19" i="158"/>
  <c r="CK19" i="158" s="1"/>
  <c r="W19" i="158"/>
  <c r="S19" i="158"/>
  <c r="R19" i="158"/>
  <c r="O19" i="158"/>
  <c r="J19" i="158"/>
  <c r="E19" i="158"/>
  <c r="CR18" i="158"/>
  <c r="CK18" i="158"/>
  <c r="CG18" i="158"/>
  <c r="CB18" i="158"/>
  <c r="BW18" i="158"/>
  <c r="BR18" i="158"/>
  <c r="BM18" i="158"/>
  <c r="BH18" i="158"/>
  <c r="BC18" i="158"/>
  <c r="AX18" i="158"/>
  <c r="AS18" i="158"/>
  <c r="AN18" i="158"/>
  <c r="AI18" i="158"/>
  <c r="AD18" i="158"/>
  <c r="X18" i="158"/>
  <c r="W18" i="158"/>
  <c r="S18" i="158"/>
  <c r="R18" i="158"/>
  <c r="O18" i="158"/>
  <c r="J18" i="158"/>
  <c r="E18" i="158"/>
  <c r="CR17" i="158"/>
  <c r="CG17" i="158"/>
  <c r="CB17" i="158"/>
  <c r="BW17" i="158"/>
  <c r="BR17" i="158"/>
  <c r="BM17" i="158"/>
  <c r="BH17" i="158"/>
  <c r="BC17" i="158"/>
  <c r="AX17" i="158"/>
  <c r="AS17" i="158"/>
  <c r="AN17" i="158"/>
  <c r="AI17" i="158"/>
  <c r="AD17" i="158"/>
  <c r="Y17" i="158"/>
  <c r="X17" i="158"/>
  <c r="CK17" i="158" s="1"/>
  <c r="W17" i="158"/>
  <c r="CJ17" i="158" s="1"/>
  <c r="CL17" i="158" s="1"/>
  <c r="S17" i="158"/>
  <c r="R17" i="158"/>
  <c r="O17" i="158"/>
  <c r="J17" i="158"/>
  <c r="E17" i="158"/>
  <c r="CR16" i="158"/>
  <c r="CG16" i="158"/>
  <c r="CB16" i="158"/>
  <c r="BW16" i="158"/>
  <c r="BR16" i="158"/>
  <c r="BM16" i="158"/>
  <c r="BH16" i="158"/>
  <c r="BC16" i="158"/>
  <c r="AX16" i="158"/>
  <c r="AS16" i="158"/>
  <c r="AN16" i="158"/>
  <c r="AI16" i="158"/>
  <c r="AD16" i="158"/>
  <c r="X16" i="158"/>
  <c r="Y16" i="158" s="1"/>
  <c r="W16" i="158"/>
  <c r="CJ16" i="158" s="1"/>
  <c r="S16" i="158"/>
  <c r="R16" i="158"/>
  <c r="O16" i="158"/>
  <c r="J16" i="158"/>
  <c r="E16" i="158"/>
  <c r="CR15" i="158"/>
  <c r="CG15" i="158"/>
  <c r="CB15" i="158"/>
  <c r="BW15" i="158"/>
  <c r="BR15" i="158"/>
  <c r="BM15" i="158"/>
  <c r="BH15" i="158"/>
  <c r="BC15" i="158"/>
  <c r="AX15" i="158"/>
  <c r="AS15" i="158"/>
  <c r="AN15" i="158"/>
  <c r="AI15" i="158"/>
  <c r="AD15" i="158"/>
  <c r="X15" i="158"/>
  <c r="CK15" i="158" s="1"/>
  <c r="W15" i="158"/>
  <c r="Y15" i="158" s="1"/>
  <c r="S15" i="158"/>
  <c r="R15" i="158"/>
  <c r="O15" i="158"/>
  <c r="J15" i="158"/>
  <c r="E15" i="158"/>
  <c r="CR14" i="158"/>
  <c r="CG14" i="158"/>
  <c r="CB14" i="158"/>
  <c r="BW14" i="158"/>
  <c r="BR14" i="158"/>
  <c r="BM14" i="158"/>
  <c r="BH14" i="158"/>
  <c r="BC14" i="158"/>
  <c r="AX14" i="158"/>
  <c r="AS14" i="158"/>
  <c r="AN14" i="158"/>
  <c r="AI14" i="158"/>
  <c r="AD14" i="158"/>
  <c r="Y14" i="158"/>
  <c r="X14" i="158"/>
  <c r="CK14" i="158" s="1"/>
  <c r="W14" i="158"/>
  <c r="CJ14" i="158" s="1"/>
  <c r="CL14" i="158" s="1"/>
  <c r="S14" i="158"/>
  <c r="R14" i="158"/>
  <c r="T14" i="158" s="1"/>
  <c r="O14" i="158"/>
  <c r="J14" i="158"/>
  <c r="E14" i="158"/>
  <c r="CR13" i="158"/>
  <c r="CG13" i="158"/>
  <c r="CB13" i="158"/>
  <c r="BW13" i="158"/>
  <c r="BR13" i="158"/>
  <c r="BM13" i="158"/>
  <c r="BH13" i="158"/>
  <c r="BC13" i="158"/>
  <c r="AX13" i="158"/>
  <c r="AS13" i="158"/>
  <c r="AN13" i="158"/>
  <c r="AI13" i="158"/>
  <c r="AD13" i="158"/>
  <c r="X13" i="158"/>
  <c r="CK13" i="158" s="1"/>
  <c r="W13" i="158"/>
  <c r="S13" i="158"/>
  <c r="R13" i="158"/>
  <c r="O13" i="158"/>
  <c r="J13" i="158"/>
  <c r="E13" i="158"/>
  <c r="CR12" i="158"/>
  <c r="CG12" i="158"/>
  <c r="CB12" i="158"/>
  <c r="BW12" i="158"/>
  <c r="BR12" i="158"/>
  <c r="BM12" i="158"/>
  <c r="BH12" i="158"/>
  <c r="BC12" i="158"/>
  <c r="AX12" i="158"/>
  <c r="AS12" i="158"/>
  <c r="AN12" i="158"/>
  <c r="AI12" i="158"/>
  <c r="AD12" i="158"/>
  <c r="Y12" i="158"/>
  <c r="X12" i="158"/>
  <c r="CK12" i="158" s="1"/>
  <c r="W12" i="158"/>
  <c r="CJ12" i="158" s="1"/>
  <c r="S12" i="158"/>
  <c r="R12" i="158"/>
  <c r="O12" i="158"/>
  <c r="J12" i="158"/>
  <c r="E12" i="158"/>
  <c r="CR11" i="158"/>
  <c r="CG11" i="158"/>
  <c r="CB11" i="158"/>
  <c r="BW11" i="158"/>
  <c r="BR11" i="158"/>
  <c r="BM11" i="158"/>
  <c r="BH11" i="158"/>
  <c r="BC11" i="158"/>
  <c r="AX11" i="158"/>
  <c r="AS11" i="158"/>
  <c r="AN11" i="158"/>
  <c r="AI11" i="158"/>
  <c r="AI104" i="157" s="1"/>
  <c r="AD11" i="158"/>
  <c r="X11" i="158"/>
  <c r="CK11" i="158" s="1"/>
  <c r="W11" i="158"/>
  <c r="S11" i="158"/>
  <c r="R11" i="158"/>
  <c r="T11" i="158" s="1"/>
  <c r="O11" i="158"/>
  <c r="J11" i="158"/>
  <c r="E11" i="158"/>
  <c r="CR10" i="158"/>
  <c r="CG10" i="158"/>
  <c r="CB10" i="158"/>
  <c r="BW10" i="158"/>
  <c r="BR10" i="158"/>
  <c r="BM10" i="158"/>
  <c r="BH10" i="158"/>
  <c r="BC10" i="158"/>
  <c r="AX10" i="158"/>
  <c r="AS10" i="158"/>
  <c r="AN10" i="158"/>
  <c r="AI10" i="158"/>
  <c r="AD10" i="158"/>
  <c r="X10" i="158"/>
  <c r="CK10" i="158" s="1"/>
  <c r="W10" i="158"/>
  <c r="S10" i="158"/>
  <c r="R10" i="158"/>
  <c r="T10" i="158" s="1"/>
  <c r="O10" i="158"/>
  <c r="J10" i="158"/>
  <c r="E10" i="158"/>
  <c r="CR9" i="158"/>
  <c r="CG9" i="158"/>
  <c r="CG8" i="158" s="1"/>
  <c r="CB9" i="158"/>
  <c r="BW9" i="158"/>
  <c r="BR9" i="158"/>
  <c r="BM9" i="158"/>
  <c r="BH9" i="158"/>
  <c r="BC9" i="158"/>
  <c r="AX9" i="158"/>
  <c r="AR9" i="158"/>
  <c r="AN9" i="158"/>
  <c r="AN104" i="157" s="1"/>
  <c r="AM9" i="158"/>
  <c r="AH9" i="158"/>
  <c r="AD9" i="158"/>
  <c r="AC9" i="158"/>
  <c r="W9" i="158"/>
  <c r="CJ9" i="158" s="1"/>
  <c r="S9" i="158"/>
  <c r="R9" i="158"/>
  <c r="O9" i="158"/>
  <c r="J9" i="158"/>
  <c r="E9" i="158"/>
  <c r="CP8" i="158"/>
  <c r="CF8" i="158"/>
  <c r="CE8" i="158"/>
  <c r="CA8" i="158"/>
  <c r="BZ8" i="158"/>
  <c r="BV8" i="158"/>
  <c r="BU8" i="158"/>
  <c r="BQ8" i="158"/>
  <c r="BP8" i="158"/>
  <c r="BL8" i="158"/>
  <c r="BK8" i="158"/>
  <c r="BG8" i="158"/>
  <c r="BF8" i="158"/>
  <c r="BB8" i="158"/>
  <c r="BA8" i="158"/>
  <c r="AV8" i="158"/>
  <c r="AR8" i="158"/>
  <c r="AQ8" i="158"/>
  <c r="AM8" i="158"/>
  <c r="AL8" i="158"/>
  <c r="AG8" i="158"/>
  <c r="AC8" i="158"/>
  <c r="AB8" i="158"/>
  <c r="N8" i="158"/>
  <c r="M8" i="158"/>
  <c r="I8" i="158"/>
  <c r="H8" i="158"/>
  <c r="D8" i="158"/>
  <c r="C8" i="158"/>
  <c r="CJ7" i="158"/>
  <c r="CL7" i="158" s="1"/>
  <c r="CG7" i="158"/>
  <c r="CB7" i="158"/>
  <c r="BW7" i="158"/>
  <c r="BR7" i="158"/>
  <c r="BM7" i="158"/>
  <c r="BH7" i="158"/>
  <c r="BC7" i="158"/>
  <c r="AX7" i="158"/>
  <c r="AS7" i="158"/>
  <c r="AN7" i="158"/>
  <c r="AI7" i="158"/>
  <c r="AD7" i="158"/>
  <c r="X7" i="158"/>
  <c r="CK7" i="158" s="1"/>
  <c r="W7" i="158"/>
  <c r="S7" i="158"/>
  <c r="R7" i="158"/>
  <c r="O7" i="158"/>
  <c r="J7" i="158"/>
  <c r="E7" i="158"/>
  <c r="CR6" i="158"/>
  <c r="CG6" i="158"/>
  <c r="CB6" i="158"/>
  <c r="BW6" i="158"/>
  <c r="BW5" i="158" s="1"/>
  <c r="BR6" i="158"/>
  <c r="BM6" i="158"/>
  <c r="BM5" i="158" s="1"/>
  <c r="BH6" i="158"/>
  <c r="BC6" i="158"/>
  <c r="BC5" i="158" s="1"/>
  <c r="AX6" i="158"/>
  <c r="AX5" i="158" s="1"/>
  <c r="AS6" i="158"/>
  <c r="AM6" i="158"/>
  <c r="AI6" i="158"/>
  <c r="AI5" i="158" s="1"/>
  <c r="AD6" i="158"/>
  <c r="W6" i="158"/>
  <c r="CJ6" i="158" s="1"/>
  <c r="S6" i="158"/>
  <c r="S5" i="158" s="1"/>
  <c r="R6" i="158"/>
  <c r="T6" i="158" s="1"/>
  <c r="O6" i="158"/>
  <c r="J6" i="158"/>
  <c r="J5" i="158" s="1"/>
  <c r="E6" i="158"/>
  <c r="CR5" i="158"/>
  <c r="CQ5" i="158"/>
  <c r="CP5" i="158"/>
  <c r="CG5" i="158"/>
  <c r="CF5" i="158"/>
  <c r="CF38" i="158" s="1"/>
  <c r="CE5" i="158"/>
  <c r="CB5" i="158"/>
  <c r="CA5" i="158"/>
  <c r="CA38" i="158" s="1"/>
  <c r="BZ5" i="158"/>
  <c r="BV5" i="158"/>
  <c r="BU5" i="158"/>
  <c r="BQ5" i="158"/>
  <c r="BQ38" i="158" s="1"/>
  <c r="BP5" i="158"/>
  <c r="BL5" i="158"/>
  <c r="BL38" i="158" s="1"/>
  <c r="BL75" i="158" s="1"/>
  <c r="BK5" i="158"/>
  <c r="BG5" i="158"/>
  <c r="BG38" i="158" s="1"/>
  <c r="BF5" i="158"/>
  <c r="BB5" i="158"/>
  <c r="BA5" i="158"/>
  <c r="AW5" i="158"/>
  <c r="AV5" i="158"/>
  <c r="AS5" i="158"/>
  <c r="AR5" i="158"/>
  <c r="AQ5" i="158"/>
  <c r="AL5" i="158"/>
  <c r="AH5" i="158"/>
  <c r="AG5" i="158"/>
  <c r="AC5" i="158"/>
  <c r="AC38" i="158" s="1"/>
  <c r="AC39" i="158" s="1"/>
  <c r="AB5" i="158"/>
  <c r="R5" i="158"/>
  <c r="O5" i="158"/>
  <c r="N5" i="158"/>
  <c r="M5" i="158"/>
  <c r="I5" i="158"/>
  <c r="I38" i="158" s="1"/>
  <c r="H5" i="158"/>
  <c r="H38" i="158" s="1"/>
  <c r="D5" i="158"/>
  <c r="D38" i="158" s="1"/>
  <c r="C5" i="158"/>
  <c r="AY101" i="171"/>
  <c r="AT94" i="171"/>
  <c r="CP85" i="171"/>
  <c r="CQ85" i="171" s="1"/>
  <c r="CK85" i="171"/>
  <c r="CJ85" i="171"/>
  <c r="CG85" i="171"/>
  <c r="CB85" i="171"/>
  <c r="BW85" i="171"/>
  <c r="BR85" i="171"/>
  <c r="BM85" i="171"/>
  <c r="BH85" i="171"/>
  <c r="BC85" i="171"/>
  <c r="AX85" i="171"/>
  <c r="AS85" i="171"/>
  <c r="AN85" i="171"/>
  <c r="AI85" i="171"/>
  <c r="AD85" i="171"/>
  <c r="X85" i="171"/>
  <c r="W85" i="171"/>
  <c r="Y85" i="171" s="1"/>
  <c r="S85" i="171"/>
  <c r="R85" i="171"/>
  <c r="O85" i="171"/>
  <c r="J85" i="171"/>
  <c r="E85" i="171"/>
  <c r="CP82" i="171"/>
  <c r="CQ82" i="171" s="1"/>
  <c r="CL82" i="171"/>
  <c r="CG82" i="171"/>
  <c r="CB82" i="171"/>
  <c r="BW82" i="171"/>
  <c r="BR82" i="171"/>
  <c r="BM82" i="171"/>
  <c r="BH82" i="171"/>
  <c r="BC82" i="171"/>
  <c r="AX82" i="171"/>
  <c r="AS82" i="171"/>
  <c r="AN82" i="171"/>
  <c r="AI82" i="171"/>
  <c r="AD82" i="171"/>
  <c r="Y82" i="171"/>
  <c r="X82" i="171"/>
  <c r="W82" i="171"/>
  <c r="S82" i="171"/>
  <c r="R82" i="171"/>
  <c r="O82" i="171"/>
  <c r="J82" i="171"/>
  <c r="E82" i="171"/>
  <c r="CK80" i="171"/>
  <c r="CJ80" i="171"/>
  <c r="CP79" i="171"/>
  <c r="CG79" i="171"/>
  <c r="CB79" i="171"/>
  <c r="CB77" i="171" s="1"/>
  <c r="BW79" i="171"/>
  <c r="BW77" i="171" s="1"/>
  <c r="BR79" i="171"/>
  <c r="BM79" i="171"/>
  <c r="BH79" i="171"/>
  <c r="BC79" i="171"/>
  <c r="BC77" i="171" s="1"/>
  <c r="AD79" i="171"/>
  <c r="X79" i="171"/>
  <c r="CK79" i="171" s="1"/>
  <c r="S79" i="171"/>
  <c r="R79" i="171"/>
  <c r="O79" i="171"/>
  <c r="J79" i="171"/>
  <c r="E79" i="171"/>
  <c r="CQ78" i="171"/>
  <c r="CP78" i="171"/>
  <c r="CJ78" i="171"/>
  <c r="CL78" i="171" s="1"/>
  <c r="CG78" i="171"/>
  <c r="CB78" i="171"/>
  <c r="BW78" i="171"/>
  <c r="BR78" i="171"/>
  <c r="BR77" i="171" s="1"/>
  <c r="BM78" i="171"/>
  <c r="BM77" i="171" s="1"/>
  <c r="BH78" i="171"/>
  <c r="BC78" i="171"/>
  <c r="AX78" i="171"/>
  <c r="AS78" i="171"/>
  <c r="AN78" i="171"/>
  <c r="AI78" i="171"/>
  <c r="AD78" i="171"/>
  <c r="AD77" i="171" s="1"/>
  <c r="Y78" i="171"/>
  <c r="X78" i="171"/>
  <c r="CK78" i="171" s="1"/>
  <c r="W78" i="171"/>
  <c r="S78" i="171"/>
  <c r="R78" i="171"/>
  <c r="O78" i="171"/>
  <c r="J78" i="171"/>
  <c r="E78" i="171"/>
  <c r="CG77" i="171"/>
  <c r="CF77" i="171"/>
  <c r="CE77" i="171"/>
  <c r="CA77" i="171"/>
  <c r="BZ77" i="171"/>
  <c r="BV77" i="171"/>
  <c r="BU77" i="171"/>
  <c r="BQ77" i="171"/>
  <c r="BP77" i="171"/>
  <c r="BL77" i="171"/>
  <c r="BK77" i="171"/>
  <c r="BG77" i="171"/>
  <c r="BF77" i="171"/>
  <c r="BB77" i="171"/>
  <c r="BA77" i="171"/>
  <c r="AW77" i="171"/>
  <c r="AR77" i="171"/>
  <c r="AM77" i="171"/>
  <c r="AH77" i="171"/>
  <c r="AC77" i="171"/>
  <c r="AB77" i="171"/>
  <c r="X77" i="171"/>
  <c r="R77" i="171"/>
  <c r="O77" i="171"/>
  <c r="N77" i="171"/>
  <c r="M77" i="171"/>
  <c r="I77" i="171"/>
  <c r="H77" i="171"/>
  <c r="D77" i="171"/>
  <c r="C77" i="171"/>
  <c r="CQ74" i="171"/>
  <c r="CG74" i="171"/>
  <c r="CG73" i="171" s="1"/>
  <c r="CB74" i="171"/>
  <c r="CB73" i="171" s="1"/>
  <c r="BW74" i="171"/>
  <c r="BR74" i="171"/>
  <c r="BR73" i="171" s="1"/>
  <c r="BM74" i="171"/>
  <c r="BM73" i="171" s="1"/>
  <c r="BH74" i="171"/>
  <c r="BH73" i="171" s="1"/>
  <c r="BC74" i="171"/>
  <c r="BC73" i="171" s="1"/>
  <c r="AX74" i="171"/>
  <c r="AX73" i="171" s="1"/>
  <c r="AN74" i="171"/>
  <c r="AN73" i="171" s="1"/>
  <c r="AI74" i="171"/>
  <c r="AD74" i="171"/>
  <c r="AD73" i="171" s="1"/>
  <c r="X74" i="171"/>
  <c r="X73" i="171" s="1"/>
  <c r="W74" i="171"/>
  <c r="W73" i="171" s="1"/>
  <c r="O74" i="171"/>
  <c r="J74" i="171"/>
  <c r="J73" i="171" s="1"/>
  <c r="E74" i="171"/>
  <c r="CQ73" i="171"/>
  <c r="CP73" i="171"/>
  <c r="CF73" i="171"/>
  <c r="CE73" i="171"/>
  <c r="CA73" i="171"/>
  <c r="BZ73" i="171"/>
  <c r="BW73" i="171"/>
  <c r="BV73" i="171"/>
  <c r="BU73" i="171"/>
  <c r="BQ73" i="171"/>
  <c r="BP73" i="171"/>
  <c r="BL73" i="171"/>
  <c r="BK73" i="171"/>
  <c r="BG73" i="171"/>
  <c r="BF73" i="171"/>
  <c r="BB73" i="171"/>
  <c r="BA73" i="171"/>
  <c r="AW73" i="171"/>
  <c r="AV73" i="171"/>
  <c r="AS73" i="171"/>
  <c r="AR73" i="171"/>
  <c r="AQ73" i="171"/>
  <c r="AM73" i="171"/>
  <c r="AL73" i="171"/>
  <c r="AI73" i="171"/>
  <c r="AH73" i="171"/>
  <c r="AG73" i="171"/>
  <c r="AC73" i="171"/>
  <c r="AB73" i="171"/>
  <c r="T73" i="171"/>
  <c r="S73" i="171"/>
  <c r="R73" i="171"/>
  <c r="O73" i="171"/>
  <c r="N73" i="171"/>
  <c r="M73" i="171"/>
  <c r="I73" i="171"/>
  <c r="H73" i="171"/>
  <c r="E73" i="171"/>
  <c r="D73" i="171"/>
  <c r="C73" i="171"/>
  <c r="CP71" i="171"/>
  <c r="CG71" i="171"/>
  <c r="CB71" i="171"/>
  <c r="BW71" i="171"/>
  <c r="BR71" i="171"/>
  <c r="BM71" i="171"/>
  <c r="BH71" i="171"/>
  <c r="BC71" i="171"/>
  <c r="AX71" i="171"/>
  <c r="AS71" i="171"/>
  <c r="AN71" i="171"/>
  <c r="AI71" i="171"/>
  <c r="AD71" i="171"/>
  <c r="X71" i="171"/>
  <c r="CK71" i="171" s="1"/>
  <c r="W71" i="171"/>
  <c r="T71" i="171"/>
  <c r="S71" i="171"/>
  <c r="R71" i="171"/>
  <c r="O71" i="171"/>
  <c r="J71" i="171"/>
  <c r="E71" i="171"/>
  <c r="CP70" i="171"/>
  <c r="CQ70" i="171" s="1"/>
  <c r="CK70" i="171"/>
  <c r="CG70" i="171"/>
  <c r="CB70" i="171"/>
  <c r="BW70" i="171"/>
  <c r="BR70" i="171"/>
  <c r="BM70" i="171"/>
  <c r="BH70" i="171"/>
  <c r="BC70" i="171"/>
  <c r="BC54" i="171" s="1"/>
  <c r="AX70" i="171"/>
  <c r="AS70" i="171"/>
  <c r="AN70" i="171"/>
  <c r="AI70" i="171"/>
  <c r="AD70" i="171"/>
  <c r="X70" i="171"/>
  <c r="W70" i="171"/>
  <c r="S70" i="171"/>
  <c r="T70" i="171" s="1"/>
  <c r="R70" i="171"/>
  <c r="O70" i="171"/>
  <c r="J70" i="171"/>
  <c r="E70" i="171"/>
  <c r="CP69" i="171"/>
  <c r="CQ69" i="171" s="1"/>
  <c r="CK69" i="171"/>
  <c r="CL69" i="171" s="1"/>
  <c r="CG69" i="171"/>
  <c r="CB69" i="171"/>
  <c r="BW69" i="171"/>
  <c r="BR69" i="171"/>
  <c r="BM69" i="171"/>
  <c r="BH69" i="171"/>
  <c r="BC69" i="171"/>
  <c r="AX69" i="171"/>
  <c r="AS69" i="171"/>
  <c r="AN69" i="171"/>
  <c r="AI69" i="171"/>
  <c r="AD69" i="171"/>
  <c r="Y69" i="171"/>
  <c r="X69" i="171"/>
  <c r="W69" i="171"/>
  <c r="CJ69" i="171" s="1"/>
  <c r="S69" i="171"/>
  <c r="T69" i="171" s="1"/>
  <c r="R69" i="171"/>
  <c r="O69" i="171"/>
  <c r="J69" i="171"/>
  <c r="E69" i="171"/>
  <c r="CP68" i="171"/>
  <c r="CQ68" i="171" s="1"/>
  <c r="CK68" i="171"/>
  <c r="CG68" i="171"/>
  <c r="CB68" i="171"/>
  <c r="BW68" i="171"/>
  <c r="BR68" i="171"/>
  <c r="BM68" i="171"/>
  <c r="BH68" i="171"/>
  <c r="BC68" i="171"/>
  <c r="AX68" i="171"/>
  <c r="AS68" i="171"/>
  <c r="AN68" i="171"/>
  <c r="AI68" i="171"/>
  <c r="AD68" i="171"/>
  <c r="X68" i="171"/>
  <c r="W68" i="171"/>
  <c r="S68" i="171"/>
  <c r="T68" i="171" s="1"/>
  <c r="R68" i="171"/>
  <c r="O68" i="171"/>
  <c r="J68" i="171"/>
  <c r="E68" i="171"/>
  <c r="CP67" i="171"/>
  <c r="CQ67" i="171" s="1"/>
  <c r="CG67" i="171"/>
  <c r="CB67" i="171"/>
  <c r="BW67" i="171"/>
  <c r="BR67" i="171"/>
  <c r="BM67" i="171"/>
  <c r="BH67" i="171"/>
  <c r="BC67" i="171"/>
  <c r="AX67" i="171"/>
  <c r="AS67" i="171"/>
  <c r="AN67" i="171"/>
  <c r="AI67" i="171"/>
  <c r="AD67" i="171"/>
  <c r="X67" i="171"/>
  <c r="CK67" i="171" s="1"/>
  <c r="W67" i="171"/>
  <c r="S67" i="171"/>
  <c r="R67" i="171"/>
  <c r="T67" i="171" s="1"/>
  <c r="O67" i="171"/>
  <c r="J67" i="171"/>
  <c r="E67" i="171"/>
  <c r="CQ66" i="171"/>
  <c r="CP66" i="171"/>
  <c r="CG66" i="171"/>
  <c r="CB66" i="171"/>
  <c r="BW66" i="171"/>
  <c r="BR66" i="171"/>
  <c r="BM66" i="171"/>
  <c r="BH66" i="171"/>
  <c r="BC66" i="171"/>
  <c r="AX66" i="171"/>
  <c r="AS66" i="171"/>
  <c r="AN66" i="171"/>
  <c r="AI66" i="171"/>
  <c r="AD66" i="171"/>
  <c r="X66" i="171"/>
  <c r="CK66" i="171" s="1"/>
  <c r="W66" i="171"/>
  <c r="CJ66" i="171" s="1"/>
  <c r="S66" i="171"/>
  <c r="R66" i="171"/>
  <c r="T66" i="171" s="1"/>
  <c r="O66" i="171"/>
  <c r="J66" i="171"/>
  <c r="E66" i="171"/>
  <c r="CQ65" i="171"/>
  <c r="CP65" i="171"/>
  <c r="CG65" i="171"/>
  <c r="CB65" i="171"/>
  <c r="BW65" i="171"/>
  <c r="BR65" i="171"/>
  <c r="BM65" i="171"/>
  <c r="BH65" i="171"/>
  <c r="BC65" i="171"/>
  <c r="AX65" i="171"/>
  <c r="AS65" i="171"/>
  <c r="AN65" i="171"/>
  <c r="AI65" i="171"/>
  <c r="AD65" i="171"/>
  <c r="X65" i="171"/>
  <c r="CK65" i="171" s="1"/>
  <c r="W65" i="171"/>
  <c r="CJ65" i="171" s="1"/>
  <c r="CL65" i="171" s="1"/>
  <c r="S65" i="171"/>
  <c r="R65" i="171"/>
  <c r="T65" i="171" s="1"/>
  <c r="O65" i="171"/>
  <c r="J65" i="171"/>
  <c r="E65" i="171"/>
  <c r="CQ64" i="171"/>
  <c r="CP64" i="171"/>
  <c r="CG64" i="171"/>
  <c r="CB64" i="171"/>
  <c r="BW64" i="171"/>
  <c r="BR64" i="171"/>
  <c r="BM64" i="171"/>
  <c r="BH64" i="171"/>
  <c r="BC64" i="171"/>
  <c r="AX64" i="171"/>
  <c r="AS64" i="171"/>
  <c r="AN64" i="171"/>
  <c r="AN54" i="171" s="1"/>
  <c r="AI64" i="171"/>
  <c r="AD64" i="171"/>
  <c r="X64" i="171"/>
  <c r="CK64" i="171" s="1"/>
  <c r="W64" i="171"/>
  <c r="CJ64" i="171" s="1"/>
  <c r="CL64" i="171" s="1"/>
  <c r="S64" i="171"/>
  <c r="T64" i="171" s="1"/>
  <c r="R64" i="171"/>
  <c r="O64" i="171"/>
  <c r="J64" i="171"/>
  <c r="E64" i="171"/>
  <c r="CP63" i="171"/>
  <c r="CQ63" i="171" s="1"/>
  <c r="CK63" i="171"/>
  <c r="CL63" i="171" s="1"/>
  <c r="CG63" i="171"/>
  <c r="CB63" i="171"/>
  <c r="BW63" i="171"/>
  <c r="BR63" i="171"/>
  <c r="BM63" i="171"/>
  <c r="BH63" i="171"/>
  <c r="BC63" i="171"/>
  <c r="AX63" i="171"/>
  <c r="AS63" i="171"/>
  <c r="AN63" i="171"/>
  <c r="AI63" i="171"/>
  <c r="AD63" i="171"/>
  <c r="Y63" i="171"/>
  <c r="X63" i="171"/>
  <c r="W63" i="171"/>
  <c r="CJ63" i="171" s="1"/>
  <c r="S63" i="171"/>
  <c r="T63" i="171" s="1"/>
  <c r="R63" i="171"/>
  <c r="O63" i="171"/>
  <c r="J63" i="171"/>
  <c r="E63" i="171"/>
  <c r="CP62" i="171"/>
  <c r="CQ62" i="171" s="1"/>
  <c r="CG62" i="171"/>
  <c r="CB62" i="171"/>
  <c r="BW62" i="171"/>
  <c r="BR62" i="171"/>
  <c r="BM62" i="171"/>
  <c r="BH62" i="171"/>
  <c r="BC62" i="171"/>
  <c r="AX62" i="171"/>
  <c r="AS62" i="171"/>
  <c r="AN62" i="171"/>
  <c r="AI62" i="171"/>
  <c r="AD62" i="171"/>
  <c r="X62" i="171"/>
  <c r="CK62" i="171" s="1"/>
  <c r="W62" i="171"/>
  <c r="S62" i="171"/>
  <c r="R62" i="171"/>
  <c r="O62" i="171"/>
  <c r="J62" i="171"/>
  <c r="E62" i="171"/>
  <c r="CP61" i="171"/>
  <c r="CQ61" i="171" s="1"/>
  <c r="CG61" i="171"/>
  <c r="CB61" i="171"/>
  <c r="BW61" i="171"/>
  <c r="BR61" i="171"/>
  <c r="BM61" i="171"/>
  <c r="BH61" i="171"/>
  <c r="BC61" i="171"/>
  <c r="AX61" i="171"/>
  <c r="AS61" i="171"/>
  <c r="AN61" i="171"/>
  <c r="AI61" i="171"/>
  <c r="AD61" i="171"/>
  <c r="X61" i="171"/>
  <c r="CK61" i="171" s="1"/>
  <c r="W61" i="171"/>
  <c r="T61" i="171"/>
  <c r="S61" i="171"/>
  <c r="R61" i="171"/>
  <c r="O61" i="171"/>
  <c r="J61" i="171"/>
  <c r="E61" i="171"/>
  <c r="CP60" i="171"/>
  <c r="CQ60" i="171" s="1"/>
  <c r="CK60" i="171"/>
  <c r="CG60" i="171"/>
  <c r="CB60" i="171"/>
  <c r="BW60" i="171"/>
  <c r="BR60" i="171"/>
  <c r="BM60" i="171"/>
  <c r="BH60" i="171"/>
  <c r="BC60" i="171"/>
  <c r="AX60" i="171"/>
  <c r="AS60" i="171"/>
  <c r="AN60" i="171"/>
  <c r="AI60" i="171"/>
  <c r="AD60" i="171"/>
  <c r="X60" i="171"/>
  <c r="W60" i="171"/>
  <c r="CJ60" i="171" s="1"/>
  <c r="T60" i="171"/>
  <c r="S60" i="171"/>
  <c r="R60" i="171"/>
  <c r="O60" i="171"/>
  <c r="J60" i="171"/>
  <c r="E60" i="171"/>
  <c r="CP59" i="171"/>
  <c r="CQ59" i="171" s="1"/>
  <c r="CK59" i="171"/>
  <c r="CL59" i="171" s="1"/>
  <c r="CG59" i="171"/>
  <c r="CB59" i="171"/>
  <c r="BW59" i="171"/>
  <c r="BR59" i="171"/>
  <c r="BR54" i="171" s="1"/>
  <c r="BM59" i="171"/>
  <c r="BH59" i="171"/>
  <c r="BC59" i="171"/>
  <c r="AX59" i="171"/>
  <c r="AS59" i="171"/>
  <c r="AN59" i="171"/>
  <c r="AI59" i="171"/>
  <c r="AD59" i="171"/>
  <c r="X59" i="171"/>
  <c r="W59" i="171"/>
  <c r="CJ59" i="171" s="1"/>
  <c r="S59" i="171"/>
  <c r="T59" i="171" s="1"/>
  <c r="R59" i="171"/>
  <c r="O59" i="171"/>
  <c r="J59" i="171"/>
  <c r="E59" i="171"/>
  <c r="CP58" i="171"/>
  <c r="CQ58" i="171" s="1"/>
  <c r="CK58" i="171"/>
  <c r="CL58" i="171" s="1"/>
  <c r="CG58" i="171"/>
  <c r="CB58" i="171"/>
  <c r="BW58" i="171"/>
  <c r="BR58" i="171"/>
  <c r="BM58" i="171"/>
  <c r="BH58" i="171"/>
  <c r="BC58" i="171"/>
  <c r="AX58" i="171"/>
  <c r="AS58" i="171"/>
  <c r="AN58" i="171"/>
  <c r="AI58" i="171"/>
  <c r="AD58" i="171"/>
  <c r="Y58" i="171"/>
  <c r="X58" i="171"/>
  <c r="W58" i="171"/>
  <c r="CJ58" i="171" s="1"/>
  <c r="S58" i="171"/>
  <c r="R58" i="171"/>
  <c r="O58" i="171"/>
  <c r="J58" i="171"/>
  <c r="E58" i="171"/>
  <c r="CQ57" i="171"/>
  <c r="CP57" i="171"/>
  <c r="CG57" i="171"/>
  <c r="CB57" i="171"/>
  <c r="BW57" i="171"/>
  <c r="BR57" i="171"/>
  <c r="BM57" i="171"/>
  <c r="BH57" i="171"/>
  <c r="BC57" i="171"/>
  <c r="AX57" i="171"/>
  <c r="AS57" i="171"/>
  <c r="AN57" i="171"/>
  <c r="AI57" i="171"/>
  <c r="AD57" i="171"/>
  <c r="X57" i="171"/>
  <c r="CK57" i="171" s="1"/>
  <c r="CL57" i="171" s="1"/>
  <c r="W57" i="171"/>
  <c r="CJ57" i="171" s="1"/>
  <c r="S57" i="171"/>
  <c r="R57" i="171"/>
  <c r="O57" i="171"/>
  <c r="J57" i="171"/>
  <c r="E57" i="171"/>
  <c r="CQ56" i="171"/>
  <c r="CP56" i="171"/>
  <c r="CG56" i="171"/>
  <c r="CB56" i="171"/>
  <c r="BW56" i="171"/>
  <c r="BR56" i="171"/>
  <c r="BM56" i="171"/>
  <c r="BH56" i="171"/>
  <c r="BC56" i="171"/>
  <c r="AX56" i="171"/>
  <c r="AS56" i="171"/>
  <c r="AN56" i="171"/>
  <c r="AI56" i="171"/>
  <c r="AD56" i="171"/>
  <c r="AD54" i="171" s="1"/>
  <c r="X56" i="171"/>
  <c r="CK56" i="171" s="1"/>
  <c r="W56" i="171"/>
  <c r="CJ56" i="171" s="1"/>
  <c r="S56" i="171"/>
  <c r="R56" i="171"/>
  <c r="R54" i="171" s="1"/>
  <c r="O56" i="171"/>
  <c r="J56" i="171"/>
  <c r="E56" i="171"/>
  <c r="CP55" i="171"/>
  <c r="CQ55" i="171" s="1"/>
  <c r="CG55" i="171"/>
  <c r="CB55" i="171"/>
  <c r="BW55" i="171"/>
  <c r="BW54" i="171" s="1"/>
  <c r="BR55" i="171"/>
  <c r="BM55" i="171"/>
  <c r="BH55" i="171"/>
  <c r="BC55" i="171"/>
  <c r="AX55" i="171"/>
  <c r="AS55" i="171"/>
  <c r="AN55" i="171"/>
  <c r="AI55" i="171"/>
  <c r="AD55" i="171"/>
  <c r="X55" i="171"/>
  <c r="CK55" i="171" s="1"/>
  <c r="W55" i="171"/>
  <c r="T55" i="171"/>
  <c r="S55" i="171"/>
  <c r="R55" i="171"/>
  <c r="O55" i="171"/>
  <c r="J55" i="171"/>
  <c r="E55" i="171"/>
  <c r="CF54" i="171"/>
  <c r="CE54" i="171"/>
  <c r="CA54" i="171"/>
  <c r="BZ54" i="171"/>
  <c r="BV54" i="171"/>
  <c r="BU54" i="171"/>
  <c r="BQ54" i="171"/>
  <c r="BP54" i="171"/>
  <c r="BL54" i="171"/>
  <c r="BK54" i="171"/>
  <c r="BG54" i="171"/>
  <c r="BF54" i="171"/>
  <c r="BB54" i="171"/>
  <c r="BA54" i="171"/>
  <c r="AW54" i="171"/>
  <c r="AV54" i="171"/>
  <c r="AR54" i="171"/>
  <c r="AQ54" i="171"/>
  <c r="AM54" i="171"/>
  <c r="AL54" i="171"/>
  <c r="AH54" i="171"/>
  <c r="AG54" i="171"/>
  <c r="AC54" i="171"/>
  <c r="AB54" i="171"/>
  <c r="N54" i="171"/>
  <c r="M54" i="171"/>
  <c r="I54" i="171"/>
  <c r="H54" i="171"/>
  <c r="D54" i="171"/>
  <c r="C54" i="171"/>
  <c r="CK53" i="171"/>
  <c r="CJ53" i="171"/>
  <c r="CP52" i="171"/>
  <c r="CG52" i="171"/>
  <c r="CB52" i="171"/>
  <c r="BW52" i="171"/>
  <c r="BR52" i="171"/>
  <c r="BM52" i="171"/>
  <c r="BH52" i="171"/>
  <c r="BC52" i="171"/>
  <c r="AX52" i="171"/>
  <c r="AS52" i="171"/>
  <c r="AN52" i="171"/>
  <c r="AI52" i="171"/>
  <c r="AD52" i="171"/>
  <c r="X52" i="171"/>
  <c r="CK52" i="171" s="1"/>
  <c r="W52" i="171"/>
  <c r="S52" i="171"/>
  <c r="R52" i="171"/>
  <c r="O52" i="171"/>
  <c r="J52" i="171"/>
  <c r="E52" i="171"/>
  <c r="CP51" i="171"/>
  <c r="CQ51" i="171" s="1"/>
  <c r="CG51" i="171"/>
  <c r="CB51" i="171"/>
  <c r="CB50" i="171" s="1"/>
  <c r="BW51" i="171"/>
  <c r="BR51" i="171"/>
  <c r="BR50" i="171" s="1"/>
  <c r="BM51" i="171"/>
  <c r="BH51" i="171"/>
  <c r="BC51" i="171"/>
  <c r="AX51" i="171"/>
  <c r="AS51" i="171"/>
  <c r="AN51" i="171"/>
  <c r="AI51" i="171"/>
  <c r="AD51" i="171"/>
  <c r="X51" i="171"/>
  <c r="CK51" i="171" s="1"/>
  <c r="W51" i="171"/>
  <c r="S51" i="171"/>
  <c r="R51" i="171"/>
  <c r="O51" i="171"/>
  <c r="J51" i="171"/>
  <c r="E51" i="171"/>
  <c r="CF50" i="171"/>
  <c r="CE50" i="171"/>
  <c r="CA50" i="171"/>
  <c r="BZ50" i="171"/>
  <c r="BV50" i="171"/>
  <c r="BU50" i="171"/>
  <c r="BQ50" i="171"/>
  <c r="BP50" i="171"/>
  <c r="BL50" i="171"/>
  <c r="BK50" i="171"/>
  <c r="BG50" i="171"/>
  <c r="BF50" i="171"/>
  <c r="BB50" i="171"/>
  <c r="BA50" i="171"/>
  <c r="AX50" i="171"/>
  <c r="AW50" i="171"/>
  <c r="AV50" i="171"/>
  <c r="AR50" i="171"/>
  <c r="AQ50" i="171"/>
  <c r="AM50" i="171"/>
  <c r="AL50" i="171"/>
  <c r="AH50" i="171"/>
  <c r="AG50" i="171"/>
  <c r="AD50" i="171"/>
  <c r="AC50" i="171"/>
  <c r="AB50" i="171"/>
  <c r="X50" i="171"/>
  <c r="R50" i="171"/>
  <c r="N50" i="171"/>
  <c r="M50" i="171"/>
  <c r="J50" i="171"/>
  <c r="I50" i="171"/>
  <c r="H50" i="171"/>
  <c r="E50" i="171"/>
  <c r="D50" i="171"/>
  <c r="C50" i="171"/>
  <c r="CP48" i="171"/>
  <c r="CQ48" i="171" s="1"/>
  <c r="CK48" i="171"/>
  <c r="CG48" i="171"/>
  <c r="CB48" i="171"/>
  <c r="BW48" i="171"/>
  <c r="BR48" i="171"/>
  <c r="BM48" i="171"/>
  <c r="BH48" i="171"/>
  <c r="BC48" i="171"/>
  <c r="AX48" i="171"/>
  <c r="AS48" i="171"/>
  <c r="AN48" i="171"/>
  <c r="AI48" i="171"/>
  <c r="AD48" i="171"/>
  <c r="X48" i="171"/>
  <c r="W48" i="171"/>
  <c r="CJ48" i="171" s="1"/>
  <c r="S48" i="171"/>
  <c r="R48" i="171"/>
  <c r="O48" i="171"/>
  <c r="J48" i="171"/>
  <c r="E48" i="171"/>
  <c r="CQ47" i="171"/>
  <c r="CP47" i="171"/>
  <c r="CG47" i="171"/>
  <c r="CB47" i="171"/>
  <c r="BW47" i="171"/>
  <c r="BR47" i="171"/>
  <c r="BM47" i="171"/>
  <c r="BH47" i="171"/>
  <c r="BC47" i="171"/>
  <c r="AX47" i="171"/>
  <c r="AS47" i="171"/>
  <c r="AN47" i="171"/>
  <c r="AI47" i="171"/>
  <c r="AD47" i="171"/>
  <c r="X47" i="171"/>
  <c r="CK47" i="171" s="1"/>
  <c r="W47" i="171"/>
  <c r="S47" i="171"/>
  <c r="R47" i="171"/>
  <c r="T47" i="171" s="1"/>
  <c r="O47" i="171"/>
  <c r="J47" i="171"/>
  <c r="E47" i="171"/>
  <c r="CP46" i="171"/>
  <c r="CQ46" i="171" s="1"/>
  <c r="CK46" i="171"/>
  <c r="CG46" i="171"/>
  <c r="CB46" i="171"/>
  <c r="BW46" i="171"/>
  <c r="BR46" i="171"/>
  <c r="BM46" i="171"/>
  <c r="BH46" i="171"/>
  <c r="BC46" i="171"/>
  <c r="AX46" i="171"/>
  <c r="AS46" i="171"/>
  <c r="AN46" i="171"/>
  <c r="AI46" i="171"/>
  <c r="AD46" i="171"/>
  <c r="X46" i="171"/>
  <c r="W46" i="171"/>
  <c r="CJ46" i="171" s="1"/>
  <c r="S46" i="171"/>
  <c r="R46" i="171"/>
  <c r="O46" i="171"/>
  <c r="J46" i="171"/>
  <c r="E46" i="171"/>
  <c r="CQ45" i="171"/>
  <c r="CP45" i="171"/>
  <c r="CG45" i="171"/>
  <c r="CB45" i="171"/>
  <c r="BW45" i="171"/>
  <c r="BR45" i="171"/>
  <c r="BM45" i="171"/>
  <c r="BH45" i="171"/>
  <c r="BC45" i="171"/>
  <c r="AX45" i="171"/>
  <c r="AS45" i="171"/>
  <c r="AN45" i="171"/>
  <c r="AI45" i="171"/>
  <c r="AD45" i="171"/>
  <c r="X45" i="171"/>
  <c r="CK45" i="171" s="1"/>
  <c r="W45" i="171"/>
  <c r="S45" i="171"/>
  <c r="R45" i="171"/>
  <c r="T45" i="171" s="1"/>
  <c r="O45" i="171"/>
  <c r="J45" i="171"/>
  <c r="E45" i="171"/>
  <c r="CP44" i="171"/>
  <c r="CQ44" i="171" s="1"/>
  <c r="CG44" i="171"/>
  <c r="CB44" i="171"/>
  <c r="BW44" i="171"/>
  <c r="BR44" i="171"/>
  <c r="BM44" i="171"/>
  <c r="BH44" i="171"/>
  <c r="BC44" i="171"/>
  <c r="AX44" i="171"/>
  <c r="AS44" i="171"/>
  <c r="AS41" i="171" s="1"/>
  <c r="AN44" i="171"/>
  <c r="AI44" i="171"/>
  <c r="AD44" i="171"/>
  <c r="X44" i="171"/>
  <c r="CK44" i="171" s="1"/>
  <c r="W44" i="171"/>
  <c r="S44" i="171"/>
  <c r="R44" i="171"/>
  <c r="T44" i="171" s="1"/>
  <c r="O44" i="171"/>
  <c r="J44" i="171"/>
  <c r="E44" i="171"/>
  <c r="CP43" i="171"/>
  <c r="CQ43" i="171" s="1"/>
  <c r="CG43" i="171"/>
  <c r="CB43" i="171"/>
  <c r="BW43" i="171"/>
  <c r="BW41" i="171" s="1"/>
  <c r="BR43" i="171"/>
  <c r="BM43" i="171"/>
  <c r="BH43" i="171"/>
  <c r="BC43" i="171"/>
  <c r="AX43" i="171"/>
  <c r="AS43" i="171"/>
  <c r="AN43" i="171"/>
  <c r="AI43" i="171"/>
  <c r="AD43" i="171"/>
  <c r="AD41" i="171" s="1"/>
  <c r="X43" i="171"/>
  <c r="CK43" i="171" s="1"/>
  <c r="W43" i="171"/>
  <c r="S43" i="171"/>
  <c r="S41" i="171" s="1"/>
  <c r="R43" i="171"/>
  <c r="O43" i="171"/>
  <c r="J43" i="171"/>
  <c r="E43" i="171"/>
  <c r="E41" i="171" s="1"/>
  <c r="CQ42" i="171"/>
  <c r="CQ41" i="171" s="1"/>
  <c r="CP42" i="171"/>
  <c r="CG42" i="171"/>
  <c r="CB42" i="171"/>
  <c r="CB41" i="171" s="1"/>
  <c r="BW42" i="171"/>
  <c r="BR42" i="171"/>
  <c r="BM42" i="171"/>
  <c r="BH42" i="171"/>
  <c r="BH41" i="171" s="1"/>
  <c r="BC42" i="171"/>
  <c r="AX42" i="171"/>
  <c r="AS42" i="171"/>
  <c r="AN42" i="171"/>
  <c r="AI42" i="171"/>
  <c r="AD42" i="171"/>
  <c r="X42" i="171"/>
  <c r="CK42" i="171" s="1"/>
  <c r="W42" i="171"/>
  <c r="W41" i="171" s="1"/>
  <c r="S42" i="171"/>
  <c r="R42" i="171"/>
  <c r="T42" i="171" s="1"/>
  <c r="O42" i="171"/>
  <c r="J42" i="171"/>
  <c r="J41" i="171" s="1"/>
  <c r="E42" i="171"/>
  <c r="CF41" i="171"/>
  <c r="CE41" i="171"/>
  <c r="CA41" i="171"/>
  <c r="BZ41" i="171"/>
  <c r="BV41" i="171"/>
  <c r="BU41" i="171"/>
  <c r="BQ41" i="171"/>
  <c r="BP41" i="171"/>
  <c r="BL41" i="171"/>
  <c r="BK41" i="171"/>
  <c r="BG41" i="171"/>
  <c r="BF41" i="171"/>
  <c r="BB41" i="171"/>
  <c r="BA41" i="171"/>
  <c r="AX41" i="171"/>
  <c r="AW41" i="171"/>
  <c r="AV41" i="171"/>
  <c r="AR41" i="171"/>
  <c r="AQ41" i="171"/>
  <c r="AM41" i="171"/>
  <c r="AL41" i="171"/>
  <c r="AI41" i="171"/>
  <c r="AH41" i="171"/>
  <c r="AG41" i="171"/>
  <c r="AC41" i="171"/>
  <c r="AB41" i="171"/>
  <c r="N41" i="171"/>
  <c r="M41" i="171"/>
  <c r="I41" i="171"/>
  <c r="H41" i="171"/>
  <c r="D41" i="171"/>
  <c r="C41" i="171"/>
  <c r="X37" i="171"/>
  <c r="W37" i="171"/>
  <c r="CG36" i="171"/>
  <c r="CB36" i="171"/>
  <c r="CB35" i="171" s="1"/>
  <c r="BW36" i="171"/>
  <c r="BR36" i="171"/>
  <c r="BM36" i="171"/>
  <c r="BH36" i="171"/>
  <c r="BC36" i="171"/>
  <c r="BC35" i="171" s="1"/>
  <c r="AX36" i="171"/>
  <c r="AS36" i="171"/>
  <c r="AN36" i="171"/>
  <c r="AN35" i="171" s="1"/>
  <c r="AI36" i="171"/>
  <c r="AI35" i="171" s="1"/>
  <c r="AD36" i="171"/>
  <c r="X36" i="171"/>
  <c r="CK36" i="171" s="1"/>
  <c r="CK35" i="171" s="1"/>
  <c r="W36" i="171"/>
  <c r="S36" i="171"/>
  <c r="S35" i="171" s="1"/>
  <c r="R36" i="171"/>
  <c r="O36" i="171"/>
  <c r="J36" i="171"/>
  <c r="E36" i="171"/>
  <c r="E35" i="171" s="1"/>
  <c r="CP35" i="171"/>
  <c r="CG35" i="171"/>
  <c r="CF35" i="171"/>
  <c r="CE35" i="171"/>
  <c r="CA35" i="171"/>
  <c r="BZ35" i="171"/>
  <c r="BV35" i="171"/>
  <c r="BU35" i="171"/>
  <c r="BR35" i="171"/>
  <c r="BQ35" i="171"/>
  <c r="BP35" i="171"/>
  <c r="BM35" i="171"/>
  <c r="BL35" i="171"/>
  <c r="BK35" i="171"/>
  <c r="BG35" i="171"/>
  <c r="BF35" i="171"/>
  <c r="BB35" i="171"/>
  <c r="BA35" i="171"/>
  <c r="AX35" i="171"/>
  <c r="AW35" i="171"/>
  <c r="AV35" i="171"/>
  <c r="AR35" i="171"/>
  <c r="AQ35" i="171"/>
  <c r="AM35" i="171"/>
  <c r="AL35" i="171"/>
  <c r="AH35" i="171"/>
  <c r="AG35" i="171"/>
  <c r="AC35" i="171"/>
  <c r="AB35" i="171"/>
  <c r="X35" i="171"/>
  <c r="R35" i="171"/>
  <c r="O35" i="171"/>
  <c r="N35" i="171"/>
  <c r="M35" i="171"/>
  <c r="J35" i="171"/>
  <c r="I35" i="171"/>
  <c r="H35" i="171"/>
  <c r="D35" i="171"/>
  <c r="C35" i="171"/>
  <c r="CR33" i="171"/>
  <c r="CG33" i="171"/>
  <c r="CB33" i="171"/>
  <c r="BW33" i="171"/>
  <c r="BR33" i="171"/>
  <c r="BM33" i="171"/>
  <c r="BH33" i="171"/>
  <c r="BC33" i="171"/>
  <c r="AX33" i="171"/>
  <c r="AS33" i="171"/>
  <c r="AN33" i="171"/>
  <c r="AI33" i="171"/>
  <c r="AD33" i="171"/>
  <c r="X33" i="171"/>
  <c r="CK33" i="171" s="1"/>
  <c r="W33" i="171"/>
  <c r="S33" i="171"/>
  <c r="R33" i="171"/>
  <c r="O33" i="171"/>
  <c r="J33" i="171"/>
  <c r="E33" i="171"/>
  <c r="CK32" i="171"/>
  <c r="CG32" i="171"/>
  <c r="CB32" i="171"/>
  <c r="BW32" i="171"/>
  <c r="BR32" i="171"/>
  <c r="BM32" i="171"/>
  <c r="BH32" i="171"/>
  <c r="BC32" i="171"/>
  <c r="AX32" i="171"/>
  <c r="AS32" i="171"/>
  <c r="AN32" i="171"/>
  <c r="AI32" i="171"/>
  <c r="AD32" i="171"/>
  <c r="Y32" i="171"/>
  <c r="X32" i="171"/>
  <c r="W32" i="171"/>
  <c r="CJ32" i="171" s="1"/>
  <c r="T32" i="171"/>
  <c r="S32" i="171"/>
  <c r="R32" i="171"/>
  <c r="O32" i="171"/>
  <c r="J32" i="171"/>
  <c r="E32" i="171"/>
  <c r="CG31" i="171"/>
  <c r="CB31" i="171"/>
  <c r="BW31" i="171"/>
  <c r="BR31" i="171"/>
  <c r="BM31" i="171"/>
  <c r="BH31" i="171"/>
  <c r="BC31" i="171"/>
  <c r="AX31" i="171"/>
  <c r="AS31" i="171"/>
  <c r="AN31" i="171"/>
  <c r="AI31" i="171"/>
  <c r="AD31" i="171"/>
  <c r="X31" i="171"/>
  <c r="CK31" i="171" s="1"/>
  <c r="W31" i="171"/>
  <c r="T31" i="171"/>
  <c r="S31" i="171"/>
  <c r="R31" i="171"/>
  <c r="O31" i="171"/>
  <c r="J31" i="171"/>
  <c r="E31" i="171"/>
  <c r="CG30" i="171"/>
  <c r="CB30" i="171"/>
  <c r="BW30" i="171"/>
  <c r="BR30" i="171"/>
  <c r="BM30" i="171"/>
  <c r="BH30" i="171"/>
  <c r="BC30" i="171"/>
  <c r="AX30" i="171"/>
  <c r="AS30" i="171"/>
  <c r="AN30" i="171"/>
  <c r="AI30" i="171"/>
  <c r="AD30" i="171"/>
  <c r="Y30" i="171"/>
  <c r="X30" i="171"/>
  <c r="CK30" i="171" s="1"/>
  <c r="CL30" i="171" s="1"/>
  <c r="W30" i="171"/>
  <c r="CJ30" i="171" s="1"/>
  <c r="S30" i="171"/>
  <c r="R30" i="171"/>
  <c r="O30" i="171"/>
  <c r="J30" i="171"/>
  <c r="E30" i="171"/>
  <c r="CG29" i="171"/>
  <c r="CB29" i="171"/>
  <c r="BW29" i="171"/>
  <c r="BR29" i="171"/>
  <c r="BM29" i="171"/>
  <c r="BH29" i="171"/>
  <c r="BC29" i="171"/>
  <c r="AX29" i="171"/>
  <c r="AS29" i="171"/>
  <c r="AN29" i="171"/>
  <c r="AI29" i="171"/>
  <c r="AD29" i="171"/>
  <c r="X29" i="171"/>
  <c r="CK29" i="171" s="1"/>
  <c r="W29" i="171"/>
  <c r="S29" i="171"/>
  <c r="R29" i="171"/>
  <c r="T29" i="171" s="1"/>
  <c r="O29" i="171"/>
  <c r="J29" i="171"/>
  <c r="E29" i="171"/>
  <c r="CG28" i="171"/>
  <c r="CB28" i="171"/>
  <c r="BW28" i="171"/>
  <c r="BR28" i="171"/>
  <c r="BM28" i="171"/>
  <c r="BH28" i="171"/>
  <c r="BC28" i="171"/>
  <c r="AX28" i="171"/>
  <c r="AS28" i="171"/>
  <c r="AN28" i="171"/>
  <c r="AI28" i="171"/>
  <c r="AD28" i="171"/>
  <c r="X28" i="171"/>
  <c r="CK28" i="171" s="1"/>
  <c r="W28" i="171"/>
  <c r="S28" i="171"/>
  <c r="R28" i="171"/>
  <c r="O28" i="171"/>
  <c r="J28" i="171"/>
  <c r="E28" i="171"/>
  <c r="CG27" i="171"/>
  <c r="CB27" i="171"/>
  <c r="BW27" i="171"/>
  <c r="BR27" i="171"/>
  <c r="BM27" i="171"/>
  <c r="BH27" i="171"/>
  <c r="BC27" i="171"/>
  <c r="AX27" i="171"/>
  <c r="AS27" i="171"/>
  <c r="AN27" i="171"/>
  <c r="AI27" i="171"/>
  <c r="AD27" i="171"/>
  <c r="X27" i="171"/>
  <c r="CK27" i="171" s="1"/>
  <c r="W27" i="171"/>
  <c r="S27" i="171"/>
  <c r="T27" i="171" s="1"/>
  <c r="R27" i="171"/>
  <c r="O27" i="171"/>
  <c r="J27" i="171"/>
  <c r="E27" i="171"/>
  <c r="CR26" i="171"/>
  <c r="CG26" i="171"/>
  <c r="CB26" i="171"/>
  <c r="BW26" i="171"/>
  <c r="BR26" i="171"/>
  <c r="BM26" i="171"/>
  <c r="BH26" i="171"/>
  <c r="BC26" i="171"/>
  <c r="AX26" i="171"/>
  <c r="AS26" i="171"/>
  <c r="AN26" i="171"/>
  <c r="AI26" i="171"/>
  <c r="AD26" i="171"/>
  <c r="X26" i="171"/>
  <c r="CK26" i="171" s="1"/>
  <c r="W26" i="171"/>
  <c r="S26" i="171"/>
  <c r="R26" i="171"/>
  <c r="O26" i="171"/>
  <c r="J26" i="171"/>
  <c r="E26" i="171"/>
  <c r="CG25" i="171"/>
  <c r="CB25" i="171"/>
  <c r="BW25" i="171"/>
  <c r="BR25" i="171"/>
  <c r="BM25" i="171"/>
  <c r="BH25" i="171"/>
  <c r="AV25" i="171"/>
  <c r="AQ25" i="171"/>
  <c r="AS25" i="171" s="1"/>
  <c r="AN25" i="171"/>
  <c r="AI25" i="171"/>
  <c r="AD25" i="171"/>
  <c r="X25" i="171"/>
  <c r="CK25" i="171" s="1"/>
  <c r="S25" i="171"/>
  <c r="R25" i="171"/>
  <c r="T25" i="171" s="1"/>
  <c r="O25" i="171"/>
  <c r="J25" i="171"/>
  <c r="E25" i="171"/>
  <c r="CG24" i="171"/>
  <c r="CB24" i="171"/>
  <c r="BW24" i="171"/>
  <c r="BR24" i="171"/>
  <c r="BM24" i="171"/>
  <c r="BH24" i="171"/>
  <c r="AV24" i="171"/>
  <c r="AV24" i="157" s="1"/>
  <c r="AS24" i="171"/>
  <c r="AN24" i="171"/>
  <c r="AI24" i="171"/>
  <c r="AD24" i="171"/>
  <c r="X24" i="171"/>
  <c r="CK24" i="171" s="1"/>
  <c r="S24" i="171"/>
  <c r="R24" i="171"/>
  <c r="T24" i="171" s="1"/>
  <c r="O24" i="171"/>
  <c r="J24" i="171"/>
  <c r="E24" i="171"/>
  <c r="CK23" i="171"/>
  <c r="CG23" i="171"/>
  <c r="CB23" i="171"/>
  <c r="BW23" i="171"/>
  <c r="BR23" i="171"/>
  <c r="BM23" i="171"/>
  <c r="BH23" i="171"/>
  <c r="BC23" i="171"/>
  <c r="AX23" i="171"/>
  <c r="AS23" i="171"/>
  <c r="AN23" i="171"/>
  <c r="AI23" i="171"/>
  <c r="AD23" i="171"/>
  <c r="X23" i="171"/>
  <c r="W23" i="171"/>
  <c r="CJ23" i="171" s="1"/>
  <c r="CL23" i="171" s="1"/>
  <c r="T23" i="171"/>
  <c r="S23" i="171"/>
  <c r="R23" i="171"/>
  <c r="O23" i="171"/>
  <c r="J23" i="171"/>
  <c r="E23" i="171"/>
  <c r="CG22" i="171"/>
  <c r="CB22" i="171"/>
  <c r="BW22" i="171"/>
  <c r="BR22" i="171"/>
  <c r="BM22" i="171"/>
  <c r="BH22" i="171"/>
  <c r="BC22" i="171"/>
  <c r="AX22" i="171"/>
  <c r="AS22" i="171"/>
  <c r="AN22" i="171"/>
  <c r="AI22" i="171"/>
  <c r="AD22" i="171"/>
  <c r="X22" i="171"/>
  <c r="CK22" i="171" s="1"/>
  <c r="W22" i="171"/>
  <c r="S22" i="171"/>
  <c r="R22" i="171"/>
  <c r="O22" i="171"/>
  <c r="J22" i="171"/>
  <c r="E22" i="171"/>
  <c r="CG21" i="171"/>
  <c r="CB21" i="171"/>
  <c r="BW21" i="171"/>
  <c r="BR21" i="171"/>
  <c r="BM21" i="171"/>
  <c r="BH21" i="171"/>
  <c r="BC21" i="171"/>
  <c r="AX21" i="171"/>
  <c r="AS21" i="171"/>
  <c r="AN21" i="171"/>
  <c r="AI21" i="171"/>
  <c r="AD21" i="171"/>
  <c r="X21" i="171"/>
  <c r="CK21" i="171" s="1"/>
  <c r="W21" i="171"/>
  <c r="S21" i="171"/>
  <c r="R21" i="171"/>
  <c r="O21" i="171"/>
  <c r="J21" i="171"/>
  <c r="E21" i="171"/>
  <c r="CG20" i="171"/>
  <c r="CB20" i="171"/>
  <c r="BW20" i="171"/>
  <c r="BR20" i="171"/>
  <c r="BM20" i="171"/>
  <c r="BH20" i="171"/>
  <c r="BC20" i="171"/>
  <c r="AX20" i="171"/>
  <c r="AS20" i="171"/>
  <c r="AN20" i="171"/>
  <c r="AI20" i="171"/>
  <c r="AD20" i="171"/>
  <c r="X20" i="171"/>
  <c r="CK20" i="171" s="1"/>
  <c r="W20" i="171"/>
  <c r="S20" i="171"/>
  <c r="R20" i="171"/>
  <c r="O20" i="171"/>
  <c r="J20" i="171"/>
  <c r="E20" i="171"/>
  <c r="CG19" i="171"/>
  <c r="CB19" i="171"/>
  <c r="BW19" i="171"/>
  <c r="BR19" i="171"/>
  <c r="BM19" i="171"/>
  <c r="BH19" i="171"/>
  <c r="BC19" i="171"/>
  <c r="AX19" i="171"/>
  <c r="AS19" i="171"/>
  <c r="AN19" i="171"/>
  <c r="AI19" i="171"/>
  <c r="AD19" i="171"/>
  <c r="X19" i="171"/>
  <c r="CK19" i="171" s="1"/>
  <c r="W19" i="171"/>
  <c r="S19" i="171"/>
  <c r="R19" i="171"/>
  <c r="O19" i="171"/>
  <c r="J19" i="171"/>
  <c r="E19" i="171"/>
  <c r="CG18" i="171"/>
  <c r="CB18" i="171"/>
  <c r="BW18" i="171"/>
  <c r="BR18" i="171"/>
  <c r="BM18" i="171"/>
  <c r="BH18" i="171"/>
  <c r="BC18" i="171"/>
  <c r="AX18" i="171"/>
  <c r="AS18" i="171"/>
  <c r="AN18" i="171"/>
  <c r="AI18" i="171"/>
  <c r="AD18" i="171"/>
  <c r="X18" i="171"/>
  <c r="W18" i="171"/>
  <c r="CJ18" i="171" s="1"/>
  <c r="T18" i="171"/>
  <c r="S18" i="171"/>
  <c r="R18" i="171"/>
  <c r="O18" i="171"/>
  <c r="J18" i="171"/>
  <c r="E18" i="171"/>
  <c r="CG17" i="171"/>
  <c r="CB17" i="171"/>
  <c r="BW17" i="171"/>
  <c r="BR17" i="171"/>
  <c r="BM17" i="171"/>
  <c r="BH17" i="171"/>
  <c r="BC17" i="171"/>
  <c r="AX17" i="171"/>
  <c r="AS17" i="171"/>
  <c r="AN17" i="171"/>
  <c r="AI17" i="171"/>
  <c r="AD17" i="171"/>
  <c r="X17" i="171"/>
  <c r="CK17" i="171" s="1"/>
  <c r="W17" i="171"/>
  <c r="CJ17" i="171" s="1"/>
  <c r="S17" i="171"/>
  <c r="R17" i="171"/>
  <c r="T17" i="171" s="1"/>
  <c r="O17" i="171"/>
  <c r="J17" i="171"/>
  <c r="E17" i="171"/>
  <c r="CJ16" i="171"/>
  <c r="CG16" i="171"/>
  <c r="CB16" i="171"/>
  <c r="BW16" i="171"/>
  <c r="BR16" i="171"/>
  <c r="BM16" i="171"/>
  <c r="BH16" i="171"/>
  <c r="BC16" i="171"/>
  <c r="AX16" i="171"/>
  <c r="AS16" i="171"/>
  <c r="AN16" i="171"/>
  <c r="AI16" i="171"/>
  <c r="AD16" i="171"/>
  <c r="X16" i="171"/>
  <c r="CK16" i="171" s="1"/>
  <c r="CL16" i="171" s="1"/>
  <c r="W16" i="171"/>
  <c r="S16" i="171"/>
  <c r="R16" i="171"/>
  <c r="T16" i="171" s="1"/>
  <c r="O16" i="171"/>
  <c r="J16" i="171"/>
  <c r="E16" i="171"/>
  <c r="CJ15" i="171"/>
  <c r="CG15" i="171"/>
  <c r="CB15" i="171"/>
  <c r="BW15" i="171"/>
  <c r="BR15" i="171"/>
  <c r="BM15" i="171"/>
  <c r="BH15" i="171"/>
  <c r="BC15" i="171"/>
  <c r="AX15" i="171"/>
  <c r="AS15" i="171"/>
  <c r="AN15" i="171"/>
  <c r="AI15" i="171"/>
  <c r="AD15" i="171"/>
  <c r="X15" i="171"/>
  <c r="CK15" i="171" s="1"/>
  <c r="W15" i="171"/>
  <c r="S15" i="171"/>
  <c r="R15" i="171"/>
  <c r="O15" i="171"/>
  <c r="J15" i="171"/>
  <c r="E15" i="171"/>
  <c r="CG14" i="171"/>
  <c r="CB14" i="171"/>
  <c r="BW14" i="171"/>
  <c r="BR14" i="171"/>
  <c r="BM14" i="171"/>
  <c r="BH14" i="171"/>
  <c r="BC14" i="171"/>
  <c r="AX14" i="171"/>
  <c r="AS14" i="171"/>
  <c r="AN14" i="171"/>
  <c r="AI14" i="171"/>
  <c r="AD14" i="171"/>
  <c r="X14" i="171"/>
  <c r="CK14" i="171" s="1"/>
  <c r="W14" i="171"/>
  <c r="CJ14" i="171" s="1"/>
  <c r="T14" i="171"/>
  <c r="S14" i="171"/>
  <c r="R14" i="171"/>
  <c r="O14" i="171"/>
  <c r="J14" i="171"/>
  <c r="E14" i="171"/>
  <c r="CG13" i="171"/>
  <c r="CB13" i="171"/>
  <c r="BW13" i="171"/>
  <c r="BR13" i="171"/>
  <c r="BM13" i="171"/>
  <c r="BH13" i="171"/>
  <c r="BC13" i="171"/>
  <c r="AX13" i="171"/>
  <c r="AS13" i="171"/>
  <c r="AN13" i="171"/>
  <c r="AI13" i="171"/>
  <c r="AD13" i="171"/>
  <c r="X13" i="171"/>
  <c r="CK13" i="171" s="1"/>
  <c r="W13" i="171"/>
  <c r="CJ13" i="171" s="1"/>
  <c r="S13" i="171"/>
  <c r="R13" i="171"/>
  <c r="T13" i="171" s="1"/>
  <c r="O13" i="171"/>
  <c r="J13" i="171"/>
  <c r="E13" i="171"/>
  <c r="CJ12" i="171"/>
  <c r="CG12" i="171"/>
  <c r="CB12" i="171"/>
  <c r="BW12" i="171"/>
  <c r="BR12" i="171"/>
  <c r="BM12" i="171"/>
  <c r="BH12" i="171"/>
  <c r="BC12" i="171"/>
  <c r="AX12" i="171"/>
  <c r="AS12" i="171"/>
  <c r="AN12" i="171"/>
  <c r="AI12" i="171"/>
  <c r="AD12" i="171"/>
  <c r="X12" i="171"/>
  <c r="CK12" i="171" s="1"/>
  <c r="CL12" i="171" s="1"/>
  <c r="W12" i="171"/>
  <c r="S12" i="171"/>
  <c r="R12" i="171"/>
  <c r="T12" i="171" s="1"/>
  <c r="O12" i="171"/>
  <c r="J12" i="171"/>
  <c r="E12" i="171"/>
  <c r="CG11" i="171"/>
  <c r="CB11" i="171"/>
  <c r="BW11" i="171"/>
  <c r="BR11" i="171"/>
  <c r="BM11" i="171"/>
  <c r="BH11" i="171"/>
  <c r="BC11" i="171"/>
  <c r="AX11" i="171"/>
  <c r="AS11" i="171"/>
  <c r="AN11" i="171"/>
  <c r="AI11" i="171"/>
  <c r="AI107" i="157" s="1"/>
  <c r="AD11" i="171"/>
  <c r="X11" i="171"/>
  <c r="CK11" i="171" s="1"/>
  <c r="W11" i="171"/>
  <c r="S11" i="171"/>
  <c r="R11" i="171"/>
  <c r="T11" i="171" s="1"/>
  <c r="O11" i="171"/>
  <c r="J11" i="171"/>
  <c r="E11" i="171"/>
  <c r="CG10" i="171"/>
  <c r="CB10" i="171"/>
  <c r="BW10" i="171"/>
  <c r="BR10" i="171"/>
  <c r="BM10" i="171"/>
  <c r="BH10" i="171"/>
  <c r="BC10" i="171"/>
  <c r="AX10" i="171"/>
  <c r="AS10" i="171"/>
  <c r="AN10" i="171"/>
  <c r="AI10" i="171"/>
  <c r="AD10" i="171"/>
  <c r="X10" i="171"/>
  <c r="CK10" i="171" s="1"/>
  <c r="W10" i="171"/>
  <c r="Y10" i="171" s="1"/>
  <c r="S10" i="171"/>
  <c r="R10" i="171"/>
  <c r="T10" i="171" s="1"/>
  <c r="O10" i="171"/>
  <c r="J10" i="171"/>
  <c r="E10" i="171"/>
  <c r="CG9" i="171"/>
  <c r="CB9" i="171"/>
  <c r="BW9" i="171"/>
  <c r="BR9" i="171"/>
  <c r="BM9" i="171"/>
  <c r="BH9" i="171"/>
  <c r="BC9" i="171"/>
  <c r="AX9" i="171"/>
  <c r="AS9" i="171"/>
  <c r="AN9" i="171"/>
  <c r="AN107" i="157" s="1"/>
  <c r="AI9" i="171"/>
  <c r="AD9" i="171"/>
  <c r="X9" i="171"/>
  <c r="CK9" i="171" s="1"/>
  <c r="W9" i="171"/>
  <c r="S9" i="171"/>
  <c r="R9" i="171"/>
  <c r="T9" i="171" s="1"/>
  <c r="O9" i="171"/>
  <c r="J9" i="171"/>
  <c r="E9" i="171"/>
  <c r="CP8" i="171"/>
  <c r="CF8" i="171"/>
  <c r="CE8" i="171"/>
  <c r="CA8" i="171"/>
  <c r="BZ8" i="171"/>
  <c r="BV8" i="171"/>
  <c r="BU8" i="171"/>
  <c r="BQ8" i="171"/>
  <c r="BP8" i="171"/>
  <c r="BL8" i="171"/>
  <c r="BK8" i="171"/>
  <c r="BG8" i="171"/>
  <c r="BF8" i="171"/>
  <c r="BB8" i="171"/>
  <c r="BA8" i="171"/>
  <c r="AW8" i="171"/>
  <c r="AR8" i="171"/>
  <c r="AQ8" i="171"/>
  <c r="AM8" i="171"/>
  <c r="AL8" i="171"/>
  <c r="AH8" i="171"/>
  <c r="AG8" i="171"/>
  <c r="AC8" i="171"/>
  <c r="AB8" i="171"/>
  <c r="N8" i="171"/>
  <c r="M8" i="171"/>
  <c r="I8" i="171"/>
  <c r="H8" i="171"/>
  <c r="D8" i="171"/>
  <c r="C8" i="171"/>
  <c r="CJ7" i="171"/>
  <c r="CG7" i="171"/>
  <c r="CB7" i="171"/>
  <c r="BW7" i="171"/>
  <c r="BR7" i="171"/>
  <c r="BM7" i="171"/>
  <c r="BH7" i="171"/>
  <c r="BC7" i="171"/>
  <c r="AX7" i="171"/>
  <c r="AS7" i="171"/>
  <c r="AN7" i="171"/>
  <c r="AI7" i="171"/>
  <c r="AD7" i="171"/>
  <c r="X7" i="171"/>
  <c r="CK7" i="171" s="1"/>
  <c r="W7" i="171"/>
  <c r="S7" i="171"/>
  <c r="R7" i="171"/>
  <c r="T7" i="171" s="1"/>
  <c r="O7" i="171"/>
  <c r="J7" i="171"/>
  <c r="E7" i="171"/>
  <c r="CP6" i="171"/>
  <c r="CG6" i="171"/>
  <c r="CG5" i="171" s="1"/>
  <c r="CB6" i="171"/>
  <c r="BW6" i="171"/>
  <c r="BW5" i="171" s="1"/>
  <c r="BR6" i="171"/>
  <c r="BM6" i="171"/>
  <c r="BH6" i="171"/>
  <c r="AV6" i="171"/>
  <c r="AV6" i="157" s="1"/>
  <c r="AV5" i="157" s="1"/>
  <c r="AS6" i="171"/>
  <c r="AS5" i="171" s="1"/>
  <c r="AQ6" i="171"/>
  <c r="AN6" i="171"/>
  <c r="AN5" i="171" s="1"/>
  <c r="AI6" i="171"/>
  <c r="AI5" i="171" s="1"/>
  <c r="AD6" i="171"/>
  <c r="X6" i="171"/>
  <c r="CK6" i="171" s="1"/>
  <c r="CK5" i="171" s="1"/>
  <c r="S6" i="171"/>
  <c r="S5" i="171" s="1"/>
  <c r="R6" i="171"/>
  <c r="O6" i="171"/>
  <c r="O5" i="171" s="1"/>
  <c r="J6" i="171"/>
  <c r="E6" i="171"/>
  <c r="CP5" i="171"/>
  <c r="CF5" i="171"/>
  <c r="CF38" i="171" s="1"/>
  <c r="CE5" i="171"/>
  <c r="CB5" i="171"/>
  <c r="CA5" i="171"/>
  <c r="BZ5" i="171"/>
  <c r="BZ38" i="171" s="1"/>
  <c r="BV5" i="171"/>
  <c r="BU5" i="171"/>
  <c r="BR5" i="171"/>
  <c r="BQ5" i="171"/>
  <c r="BP5" i="171"/>
  <c r="BP38" i="171" s="1"/>
  <c r="BL5" i="171"/>
  <c r="BL38" i="171" s="1"/>
  <c r="BK5" i="171"/>
  <c r="BH5" i="171"/>
  <c r="BG5" i="171"/>
  <c r="BF5" i="171"/>
  <c r="BF38" i="171" s="1"/>
  <c r="BB5" i="171"/>
  <c r="BB38" i="171" s="1"/>
  <c r="AW5" i="171"/>
  <c r="AR5" i="171"/>
  <c r="AR38" i="171" s="1"/>
  <c r="AM5" i="171"/>
  <c r="AL5" i="171"/>
  <c r="AL38" i="171" s="1"/>
  <c r="AH5" i="171"/>
  <c r="AG5" i="171"/>
  <c r="AC5" i="171"/>
  <c r="AB5" i="171"/>
  <c r="AB38" i="171" s="1"/>
  <c r="X5" i="171"/>
  <c r="R5" i="171"/>
  <c r="N5" i="171"/>
  <c r="M5" i="171"/>
  <c r="M38" i="171" s="1"/>
  <c r="J5" i="171"/>
  <c r="I5" i="171"/>
  <c r="I38" i="171" s="1"/>
  <c r="H5" i="171"/>
  <c r="E5" i="171"/>
  <c r="D5" i="171"/>
  <c r="C5" i="171"/>
  <c r="C38" i="171" s="1"/>
  <c r="CP85" i="167"/>
  <c r="CQ85" i="167" s="1"/>
  <c r="CK85" i="167"/>
  <c r="CJ85" i="167"/>
  <c r="CG85" i="167"/>
  <c r="CB85" i="167"/>
  <c r="BW85" i="167"/>
  <c r="BR85" i="167"/>
  <c r="BM85" i="167"/>
  <c r="BH85" i="167"/>
  <c r="BC85" i="167"/>
  <c r="AX85" i="167"/>
  <c r="AS85" i="167"/>
  <c r="AN85" i="167"/>
  <c r="AI85" i="167"/>
  <c r="AD85" i="167"/>
  <c r="X85" i="167"/>
  <c r="W85" i="167"/>
  <c r="Y85" i="167" s="1"/>
  <c r="S85" i="167"/>
  <c r="R85" i="167"/>
  <c r="T85" i="167" s="1"/>
  <c r="O85" i="167"/>
  <c r="J85" i="167"/>
  <c r="E85" i="167"/>
  <c r="CQ82" i="167"/>
  <c r="CP82" i="167"/>
  <c r="CL82" i="167"/>
  <c r="CG82" i="167"/>
  <c r="CB82" i="167"/>
  <c r="BW82" i="167"/>
  <c r="BR82" i="167"/>
  <c r="BM82" i="167"/>
  <c r="BH82" i="167"/>
  <c r="BC82" i="167"/>
  <c r="AX82" i="167"/>
  <c r="AS82" i="167"/>
  <c r="AN82" i="167"/>
  <c r="AI82" i="167"/>
  <c r="AD82" i="167"/>
  <c r="X82" i="167"/>
  <c r="W82" i="167"/>
  <c r="Y82" i="167" s="1"/>
  <c r="S82" i="167"/>
  <c r="R82" i="167"/>
  <c r="T82" i="167" s="1"/>
  <c r="O82" i="167"/>
  <c r="J82" i="167"/>
  <c r="E82" i="167"/>
  <c r="CK80" i="167"/>
  <c r="CJ80" i="167"/>
  <c r="CP79" i="167"/>
  <c r="CP77" i="167" s="1"/>
  <c r="CG79" i="167"/>
  <c r="CB79" i="167"/>
  <c r="BW79" i="167"/>
  <c r="BR79" i="167"/>
  <c r="BR77" i="167" s="1"/>
  <c r="BM79" i="167"/>
  <c r="BH79" i="167"/>
  <c r="BC79" i="167"/>
  <c r="BC77" i="167" s="1"/>
  <c r="AD79" i="167"/>
  <c r="X79" i="167"/>
  <c r="CK79" i="167" s="1"/>
  <c r="S79" i="167"/>
  <c r="S77" i="167" s="1"/>
  <c r="R79" i="167"/>
  <c r="O79" i="167"/>
  <c r="J79" i="167"/>
  <c r="E79" i="167"/>
  <c r="CQ78" i="167"/>
  <c r="CP78" i="167"/>
  <c r="CG78" i="167"/>
  <c r="CB78" i="167"/>
  <c r="CB77" i="167" s="1"/>
  <c r="BW78" i="167"/>
  <c r="BR78" i="167"/>
  <c r="BM78" i="167"/>
  <c r="BM77" i="167" s="1"/>
  <c r="BH78" i="167"/>
  <c r="BH77" i="167" s="1"/>
  <c r="BC78" i="167"/>
  <c r="AX78" i="167"/>
  <c r="AS78" i="167"/>
  <c r="AN78" i="167"/>
  <c r="AI78" i="167"/>
  <c r="AD78" i="167"/>
  <c r="X78" i="167"/>
  <c r="CK78" i="167" s="1"/>
  <c r="CK77" i="167" s="1"/>
  <c r="W78" i="167"/>
  <c r="S78" i="167"/>
  <c r="R78" i="167"/>
  <c r="T78" i="167" s="1"/>
  <c r="O78" i="167"/>
  <c r="J78" i="167"/>
  <c r="E78" i="167"/>
  <c r="CS77" i="167"/>
  <c r="CF77" i="167"/>
  <c r="CE77" i="167"/>
  <c r="CA77" i="167"/>
  <c r="BZ77" i="167"/>
  <c r="BW77" i="167"/>
  <c r="BV77" i="167"/>
  <c r="BU77" i="167"/>
  <c r="BQ77" i="167"/>
  <c r="BP77" i="167"/>
  <c r="BL77" i="167"/>
  <c r="BK77" i="167"/>
  <c r="BG77" i="167"/>
  <c r="BF77" i="167"/>
  <c r="BB77" i="167"/>
  <c r="BA77" i="167"/>
  <c r="AW77" i="167"/>
  <c r="AR77" i="167"/>
  <c r="AM77" i="167"/>
  <c r="AH77" i="167"/>
  <c r="AC77" i="167"/>
  <c r="AB77" i="167"/>
  <c r="N77" i="167"/>
  <c r="M77" i="167"/>
  <c r="I77" i="167"/>
  <c r="H77" i="167"/>
  <c r="D77" i="167"/>
  <c r="C77" i="167"/>
  <c r="CP74" i="167"/>
  <c r="CG74" i="167"/>
  <c r="CB74" i="167"/>
  <c r="CB73" i="167" s="1"/>
  <c r="BW74" i="167"/>
  <c r="BW73" i="167" s="1"/>
  <c r="BR74" i="167"/>
  <c r="BR73" i="167" s="1"/>
  <c r="BM74" i="167"/>
  <c r="BH74" i="167"/>
  <c r="BH73" i="167" s="1"/>
  <c r="BC74" i="167"/>
  <c r="BC73" i="167" s="1"/>
  <c r="AX74" i="167"/>
  <c r="AX73" i="167" s="1"/>
  <c r="AS74" i="167"/>
  <c r="AS73" i="167" s="1"/>
  <c r="AN74" i="167"/>
  <c r="AN73" i="167" s="1"/>
  <c r="AI74" i="167"/>
  <c r="AI73" i="167" s="1"/>
  <c r="AD74" i="167"/>
  <c r="AD73" i="167" s="1"/>
  <c r="X74" i="167"/>
  <c r="W74" i="167"/>
  <c r="Y74" i="167" s="1"/>
  <c r="Y73" i="167" s="1"/>
  <c r="O74" i="167"/>
  <c r="O73" i="167" s="1"/>
  <c r="J74" i="167"/>
  <c r="E74" i="167"/>
  <c r="CT73" i="167"/>
  <c r="CS73" i="167"/>
  <c r="CG73" i="167"/>
  <c r="CF73" i="167"/>
  <c r="CE73" i="167"/>
  <c r="CA73" i="167"/>
  <c r="BZ73" i="167"/>
  <c r="BV73" i="167"/>
  <c r="BU73" i="167"/>
  <c r="BQ73" i="167"/>
  <c r="BP73" i="167"/>
  <c r="BM73" i="167"/>
  <c r="BL73" i="167"/>
  <c r="BK73" i="167"/>
  <c r="BG73" i="167"/>
  <c r="BF73" i="167"/>
  <c r="BB73" i="167"/>
  <c r="BA73" i="167"/>
  <c r="AW73" i="167"/>
  <c r="AV73" i="167"/>
  <c r="AR73" i="167"/>
  <c r="AQ73" i="167"/>
  <c r="AM73" i="167"/>
  <c r="AL73" i="167"/>
  <c r="AH73" i="167"/>
  <c r="AG73" i="167"/>
  <c r="CP81" i="157" s="1"/>
  <c r="AC73" i="167"/>
  <c r="AB73" i="167"/>
  <c r="T73" i="167"/>
  <c r="S73" i="167"/>
  <c r="R73" i="167"/>
  <c r="N73" i="167"/>
  <c r="M73" i="167"/>
  <c r="J73" i="167"/>
  <c r="I73" i="167"/>
  <c r="H73" i="167"/>
  <c r="E73" i="167"/>
  <c r="D73" i="167"/>
  <c r="C73" i="167"/>
  <c r="CP71" i="167"/>
  <c r="CQ71" i="167" s="1"/>
  <c r="CJ71" i="167"/>
  <c r="CG71" i="167"/>
  <c r="CB71" i="167"/>
  <c r="BW71" i="167"/>
  <c r="BR71" i="167"/>
  <c r="BM71" i="167"/>
  <c r="BH71" i="167"/>
  <c r="BC71" i="167"/>
  <c r="AX71" i="167"/>
  <c r="AS71" i="167"/>
  <c r="AN71" i="167"/>
  <c r="AI71" i="167"/>
  <c r="AD71" i="167"/>
  <c r="X71" i="167"/>
  <c r="W71" i="167"/>
  <c r="S71" i="167"/>
  <c r="R71" i="167"/>
  <c r="T71" i="167" s="1"/>
  <c r="O71" i="167"/>
  <c r="J71" i="167"/>
  <c r="E71" i="167"/>
  <c r="CP70" i="167"/>
  <c r="CQ70" i="167" s="1"/>
  <c r="CG70" i="167"/>
  <c r="CB70" i="167"/>
  <c r="BW70" i="167"/>
  <c r="BR70" i="167"/>
  <c r="BM70" i="167"/>
  <c r="BH70" i="167"/>
  <c r="BC70" i="167"/>
  <c r="AX70" i="167"/>
  <c r="AS70" i="167"/>
  <c r="AN70" i="167"/>
  <c r="AI70" i="167"/>
  <c r="AD70" i="167"/>
  <c r="X70" i="167"/>
  <c r="CK70" i="167" s="1"/>
  <c r="W70" i="167"/>
  <c r="S70" i="167"/>
  <c r="R70" i="167"/>
  <c r="O70" i="167"/>
  <c r="J70" i="167"/>
  <c r="E70" i="167"/>
  <c r="CP69" i="167"/>
  <c r="CQ69" i="167" s="1"/>
  <c r="CK69" i="167"/>
  <c r="CG69" i="167"/>
  <c r="CB69" i="167"/>
  <c r="BW69" i="167"/>
  <c r="BR69" i="167"/>
  <c r="BM69" i="167"/>
  <c r="BH69" i="167"/>
  <c r="BC69" i="167"/>
  <c r="AX69" i="167"/>
  <c r="AS69" i="167"/>
  <c r="AN69" i="167"/>
  <c r="AI69" i="167"/>
  <c r="AD69" i="167"/>
  <c r="Y69" i="167"/>
  <c r="X69" i="167"/>
  <c r="W69" i="167"/>
  <c r="CJ69" i="167" s="1"/>
  <c r="S69" i="167"/>
  <c r="R69" i="167"/>
  <c r="O69" i="167"/>
  <c r="J69" i="167"/>
  <c r="E69" i="167"/>
  <c r="CQ68" i="167"/>
  <c r="CP68" i="167"/>
  <c r="CG68" i="167"/>
  <c r="CB68" i="167"/>
  <c r="BW68" i="167"/>
  <c r="BR68" i="167"/>
  <c r="BM68" i="167"/>
  <c r="BH68" i="167"/>
  <c r="BC68" i="167"/>
  <c r="AX68" i="167"/>
  <c r="AS68" i="167"/>
  <c r="AN68" i="167"/>
  <c r="AI68" i="167"/>
  <c r="AD68" i="167"/>
  <c r="X68" i="167"/>
  <c r="CK68" i="167" s="1"/>
  <c r="W68" i="167"/>
  <c r="S68" i="167"/>
  <c r="R68" i="167"/>
  <c r="T68" i="167" s="1"/>
  <c r="O68" i="167"/>
  <c r="J68" i="167"/>
  <c r="E68" i="167"/>
  <c r="CP67" i="167"/>
  <c r="CQ67" i="167" s="1"/>
  <c r="CK67" i="167"/>
  <c r="CG67" i="167"/>
  <c r="CB67" i="167"/>
  <c r="BW67" i="167"/>
  <c r="BR67" i="167"/>
  <c r="BM67" i="167"/>
  <c r="BH67" i="167"/>
  <c r="BC67" i="167"/>
  <c r="AX67" i="167"/>
  <c r="AS67" i="167"/>
  <c r="AN67" i="167"/>
  <c r="AI67" i="167"/>
  <c r="AD67" i="167"/>
  <c r="X67" i="167"/>
  <c r="W67" i="167"/>
  <c r="S67" i="167"/>
  <c r="R67" i="167"/>
  <c r="T67" i="167" s="1"/>
  <c r="O67" i="167"/>
  <c r="J67" i="167"/>
  <c r="E67" i="167"/>
  <c r="CQ66" i="167"/>
  <c r="CP66" i="167"/>
  <c r="CG66" i="167"/>
  <c r="CB66" i="167"/>
  <c r="BW66" i="167"/>
  <c r="BR66" i="167"/>
  <c r="BM66" i="167"/>
  <c r="BH66" i="167"/>
  <c r="BC66" i="167"/>
  <c r="AX66" i="167"/>
  <c r="AS66" i="167"/>
  <c r="AN66" i="167"/>
  <c r="AI66" i="167"/>
  <c r="AD66" i="167"/>
  <c r="X66" i="167"/>
  <c r="W66" i="167"/>
  <c r="CJ66" i="167" s="1"/>
  <c r="S66" i="167"/>
  <c r="R66" i="167"/>
  <c r="T66" i="167" s="1"/>
  <c r="O66" i="167"/>
  <c r="J66" i="167"/>
  <c r="E66" i="167"/>
  <c r="CP65" i="167"/>
  <c r="CQ65" i="167" s="1"/>
  <c r="CG65" i="167"/>
  <c r="CB65" i="167"/>
  <c r="BW65" i="167"/>
  <c r="BR65" i="167"/>
  <c r="BM65" i="167"/>
  <c r="BH65" i="167"/>
  <c r="BC65" i="167"/>
  <c r="AX65" i="167"/>
  <c r="AS65" i="167"/>
  <c r="AN65" i="167"/>
  <c r="AI65" i="167"/>
  <c r="AD65" i="167"/>
  <c r="X65" i="167"/>
  <c r="CK65" i="167" s="1"/>
  <c r="W65" i="167"/>
  <c r="S65" i="167"/>
  <c r="R65" i="167"/>
  <c r="T65" i="167" s="1"/>
  <c r="O65" i="167"/>
  <c r="J65" i="167"/>
  <c r="E65" i="167"/>
  <c r="CP64" i="167"/>
  <c r="CQ64" i="167" s="1"/>
  <c r="CK64" i="167"/>
  <c r="CG64" i="167"/>
  <c r="CB64" i="167"/>
  <c r="BW64" i="167"/>
  <c r="BR64" i="167"/>
  <c r="BM64" i="167"/>
  <c r="BH64" i="167"/>
  <c r="BC64" i="167"/>
  <c r="AX64" i="167"/>
  <c r="AS64" i="167"/>
  <c r="AN64" i="167"/>
  <c r="AI64" i="167"/>
  <c r="AD64" i="167"/>
  <c r="X64" i="167"/>
  <c r="W64" i="167"/>
  <c r="S64" i="167"/>
  <c r="R64" i="167"/>
  <c r="T64" i="167" s="1"/>
  <c r="O64" i="167"/>
  <c r="J64" i="167"/>
  <c r="E64" i="167"/>
  <c r="CQ63" i="167"/>
  <c r="CP63" i="167"/>
  <c r="CG63" i="167"/>
  <c r="CB63" i="167"/>
  <c r="BW63" i="167"/>
  <c r="BR63" i="167"/>
  <c r="BM63" i="167"/>
  <c r="BH63" i="167"/>
  <c r="BC63" i="167"/>
  <c r="AX63" i="167"/>
  <c r="AS63" i="167"/>
  <c r="AN63" i="167"/>
  <c r="AI63" i="167"/>
  <c r="AD63" i="167"/>
  <c r="X63" i="167"/>
  <c r="W63" i="167"/>
  <c r="CJ63" i="167" s="1"/>
  <c r="S63" i="167"/>
  <c r="R63" i="167"/>
  <c r="O63" i="167"/>
  <c r="J63" i="167"/>
  <c r="E63" i="167"/>
  <c r="CP62" i="167"/>
  <c r="CQ62" i="167" s="1"/>
  <c r="CJ62" i="167"/>
  <c r="CG62" i="167"/>
  <c r="CB62" i="167"/>
  <c r="BW62" i="167"/>
  <c r="BR62" i="167"/>
  <c r="BM62" i="167"/>
  <c r="BH62" i="167"/>
  <c r="BC62" i="167"/>
  <c r="AX62" i="167"/>
  <c r="AS62" i="167"/>
  <c r="AN62" i="167"/>
  <c r="AI62" i="167"/>
  <c r="AD62" i="167"/>
  <c r="X62" i="167"/>
  <c r="W62" i="167"/>
  <c r="S62" i="167"/>
  <c r="R62" i="167"/>
  <c r="T62" i="167" s="1"/>
  <c r="O62" i="167"/>
  <c r="J62" i="167"/>
  <c r="E62" i="167"/>
  <c r="CP61" i="167"/>
  <c r="CQ61" i="167" s="1"/>
  <c r="CG61" i="167"/>
  <c r="CB61" i="167"/>
  <c r="BW61" i="167"/>
  <c r="BR61" i="167"/>
  <c r="BM61" i="167"/>
  <c r="BH61" i="167"/>
  <c r="BC61" i="167"/>
  <c r="AX61" i="167"/>
  <c r="AS61" i="167"/>
  <c r="AN61" i="167"/>
  <c r="AI61" i="167"/>
  <c r="AD61" i="167"/>
  <c r="X61" i="167"/>
  <c r="CK61" i="167" s="1"/>
  <c r="W61" i="167"/>
  <c r="S61" i="167"/>
  <c r="R61" i="167"/>
  <c r="O61" i="167"/>
  <c r="J61" i="167"/>
  <c r="E61" i="167"/>
  <c r="CP60" i="167"/>
  <c r="CQ60" i="167" s="1"/>
  <c r="CK60" i="167"/>
  <c r="CG60" i="167"/>
  <c r="CB60" i="167"/>
  <c r="BW60" i="167"/>
  <c r="BR60" i="167"/>
  <c r="BM60" i="167"/>
  <c r="BH60" i="167"/>
  <c r="BC60" i="167"/>
  <c r="AX60" i="167"/>
  <c r="AS60" i="167"/>
  <c r="AN60" i="167"/>
  <c r="AI60" i="167"/>
  <c r="AD60" i="167"/>
  <c r="Y60" i="167"/>
  <c r="X60" i="167"/>
  <c r="W60" i="167"/>
  <c r="CJ60" i="167" s="1"/>
  <c r="S60" i="167"/>
  <c r="T60" i="167" s="1"/>
  <c r="R60" i="167"/>
  <c r="O60" i="167"/>
  <c r="J60" i="167"/>
  <c r="E60" i="167"/>
  <c r="CP59" i="167"/>
  <c r="CQ59" i="167" s="1"/>
  <c r="CG59" i="167"/>
  <c r="CB59" i="167"/>
  <c r="BW59" i="167"/>
  <c r="BR59" i="167"/>
  <c r="BM59" i="167"/>
  <c r="BH59" i="167"/>
  <c r="BC59" i="167"/>
  <c r="AX59" i="167"/>
  <c r="AS59" i="167"/>
  <c r="AN59" i="167"/>
  <c r="AI59" i="167"/>
  <c r="AD59" i="167"/>
  <c r="X59" i="167"/>
  <c r="CK59" i="167" s="1"/>
  <c r="W59" i="167"/>
  <c r="S59" i="167"/>
  <c r="R59" i="167"/>
  <c r="O59" i="167"/>
  <c r="J59" i="167"/>
  <c r="E59" i="167"/>
  <c r="CP58" i="167"/>
  <c r="CQ58" i="167" s="1"/>
  <c r="CG58" i="167"/>
  <c r="CB58" i="167"/>
  <c r="BW58" i="167"/>
  <c r="BR58" i="167"/>
  <c r="BM58" i="167"/>
  <c r="BH58" i="167"/>
  <c r="BC58" i="167"/>
  <c r="AX58" i="167"/>
  <c r="AS58" i="167"/>
  <c r="AN58" i="167"/>
  <c r="AI58" i="167"/>
  <c r="AD58" i="167"/>
  <c r="X58" i="167"/>
  <c r="CK58" i="167" s="1"/>
  <c r="W58" i="167"/>
  <c r="T58" i="167"/>
  <c r="S58" i="167"/>
  <c r="R58" i="167"/>
  <c r="O58" i="167"/>
  <c r="J58" i="167"/>
  <c r="E58" i="167"/>
  <c r="CP57" i="167"/>
  <c r="CQ57" i="167" s="1"/>
  <c r="CG57" i="167"/>
  <c r="CB57" i="167"/>
  <c r="BW57" i="167"/>
  <c r="BR57" i="167"/>
  <c r="BM57" i="167"/>
  <c r="BH57" i="167"/>
  <c r="BC57" i="167"/>
  <c r="AX57" i="167"/>
  <c r="AS57" i="167"/>
  <c r="AN57" i="167"/>
  <c r="AI57" i="167"/>
  <c r="AD57" i="167"/>
  <c r="X57" i="167"/>
  <c r="CK57" i="167" s="1"/>
  <c r="W57" i="167"/>
  <c r="S57" i="167"/>
  <c r="R57" i="167"/>
  <c r="O57" i="167"/>
  <c r="J57" i="167"/>
  <c r="E57" i="167"/>
  <c r="CP56" i="167"/>
  <c r="CQ56" i="167" s="1"/>
  <c r="CQ54" i="167" s="1"/>
  <c r="CL56" i="167"/>
  <c r="CG56" i="167"/>
  <c r="CB56" i="167"/>
  <c r="CB54" i="167" s="1"/>
  <c r="BW56" i="167"/>
  <c r="BW54" i="167" s="1"/>
  <c r="BR56" i="167"/>
  <c r="BM56" i="167"/>
  <c r="BH56" i="167"/>
  <c r="BH54" i="167" s="1"/>
  <c r="BC56" i="167"/>
  <c r="BC54" i="167" s="1"/>
  <c r="AX56" i="167"/>
  <c r="AS56" i="167"/>
  <c r="AN56" i="167"/>
  <c r="AN54" i="167" s="1"/>
  <c r="AI56" i="167"/>
  <c r="AD56" i="167"/>
  <c r="X56" i="167"/>
  <c r="CK56" i="167" s="1"/>
  <c r="W56" i="167"/>
  <c r="CJ56" i="167" s="1"/>
  <c r="S56" i="167"/>
  <c r="R56" i="167"/>
  <c r="O56" i="167"/>
  <c r="J56" i="167"/>
  <c r="E56" i="167"/>
  <c r="E54" i="167" s="1"/>
  <c r="CP55" i="167"/>
  <c r="CQ55" i="167" s="1"/>
  <c r="CG55" i="167"/>
  <c r="CG54" i="167" s="1"/>
  <c r="CB55" i="167"/>
  <c r="BW55" i="167"/>
  <c r="BR55" i="167"/>
  <c r="BM55" i="167"/>
  <c r="BM54" i="167" s="1"/>
  <c r="BH55" i="167"/>
  <c r="BC55" i="167"/>
  <c r="AX55" i="167"/>
  <c r="AS55" i="167"/>
  <c r="AS54" i="167" s="1"/>
  <c r="AN55" i="167"/>
  <c r="AI55" i="167"/>
  <c r="AD55" i="167"/>
  <c r="X55" i="167"/>
  <c r="W55" i="167"/>
  <c r="S55" i="167"/>
  <c r="R55" i="167"/>
  <c r="T55" i="167" s="1"/>
  <c r="O55" i="167"/>
  <c r="J55" i="167"/>
  <c r="E55" i="167"/>
  <c r="CF54" i="167"/>
  <c r="CE54" i="167"/>
  <c r="CA54" i="167"/>
  <c r="BZ54" i="167"/>
  <c r="BV54" i="167"/>
  <c r="BU54" i="167"/>
  <c r="BQ54" i="167"/>
  <c r="BP54" i="167"/>
  <c r="BL54" i="167"/>
  <c r="BK54" i="167"/>
  <c r="BG54" i="167"/>
  <c r="BF54" i="167"/>
  <c r="BB54" i="167"/>
  <c r="BA54" i="167"/>
  <c r="AW54" i="167"/>
  <c r="AV54" i="167"/>
  <c r="AR54" i="167"/>
  <c r="AQ54" i="167"/>
  <c r="AM54" i="167"/>
  <c r="AL54" i="167"/>
  <c r="AI54" i="167"/>
  <c r="AH54" i="167"/>
  <c r="AG54" i="167"/>
  <c r="AC54" i="167"/>
  <c r="AB54" i="167"/>
  <c r="N54" i="167"/>
  <c r="M54" i="167"/>
  <c r="I54" i="167"/>
  <c r="H54" i="167"/>
  <c r="D54" i="167"/>
  <c r="C54" i="167"/>
  <c r="CK53" i="167"/>
  <c r="CJ53" i="167"/>
  <c r="CP52" i="167"/>
  <c r="CQ52" i="167" s="1"/>
  <c r="CK52" i="167"/>
  <c r="CJ52" i="167"/>
  <c r="CG52" i="167"/>
  <c r="CB52" i="167"/>
  <c r="BW52" i="167"/>
  <c r="BR52" i="167"/>
  <c r="BM52" i="167"/>
  <c r="BH52" i="167"/>
  <c r="BC52" i="167"/>
  <c r="AX52" i="167"/>
  <c r="AS52" i="167"/>
  <c r="AN52" i="167"/>
  <c r="AI52" i="167"/>
  <c r="AD52" i="167"/>
  <c r="Y52" i="167"/>
  <c r="X52" i="167"/>
  <c r="W52" i="167"/>
  <c r="S52" i="167"/>
  <c r="R52" i="167"/>
  <c r="O52" i="167"/>
  <c r="J52" i="167"/>
  <c r="E52" i="167"/>
  <c r="CQ51" i="167"/>
  <c r="CP51" i="167"/>
  <c r="CK51" i="167"/>
  <c r="CG51" i="167"/>
  <c r="CG50" i="167" s="1"/>
  <c r="CB51" i="167"/>
  <c r="BW51" i="167"/>
  <c r="BW50" i="167" s="1"/>
  <c r="BR51" i="167"/>
  <c r="BM51" i="167"/>
  <c r="BH51" i="167"/>
  <c r="BH50" i="167" s="1"/>
  <c r="BC51" i="167"/>
  <c r="AX51" i="167"/>
  <c r="AS51" i="167"/>
  <c r="AS50" i="167" s="1"/>
  <c r="AN51" i="167"/>
  <c r="AI51" i="167"/>
  <c r="AD51" i="167"/>
  <c r="AD50" i="167" s="1"/>
  <c r="Y51" i="167"/>
  <c r="Y50" i="167" s="1"/>
  <c r="X51" i="167"/>
  <c r="W51" i="167"/>
  <c r="CJ51" i="167" s="1"/>
  <c r="S51" i="167"/>
  <c r="R51" i="167"/>
  <c r="O51" i="167"/>
  <c r="O50" i="167" s="1"/>
  <c r="J51" i="167"/>
  <c r="E51" i="167"/>
  <c r="CJ50" i="167"/>
  <c r="CF50" i="167"/>
  <c r="CE50" i="167"/>
  <c r="CA50" i="167"/>
  <c r="BZ50" i="167"/>
  <c r="BV50" i="167"/>
  <c r="BU50" i="167"/>
  <c r="BQ50" i="167"/>
  <c r="BP50" i="167"/>
  <c r="BL50" i="167"/>
  <c r="BK50" i="167"/>
  <c r="BG50" i="167"/>
  <c r="BF50" i="167"/>
  <c r="BC50" i="167"/>
  <c r="BB50" i="167"/>
  <c r="BA50" i="167"/>
  <c r="AW50" i="167"/>
  <c r="AV50" i="167"/>
  <c r="AR50" i="167"/>
  <c r="AQ50" i="167"/>
  <c r="AM50" i="167"/>
  <c r="AL50" i="167"/>
  <c r="AI50" i="167"/>
  <c r="AH50" i="167"/>
  <c r="AG50" i="167"/>
  <c r="AC50" i="167"/>
  <c r="AB50" i="167"/>
  <c r="X50" i="167"/>
  <c r="W50" i="167"/>
  <c r="S50" i="167"/>
  <c r="N50" i="167"/>
  <c r="M50" i="167"/>
  <c r="I50" i="167"/>
  <c r="H50" i="167"/>
  <c r="D50" i="167"/>
  <c r="C50" i="167"/>
  <c r="CQ48" i="167"/>
  <c r="CP48" i="167"/>
  <c r="CG48" i="167"/>
  <c r="CB48" i="167"/>
  <c r="BW48" i="167"/>
  <c r="BR48" i="167"/>
  <c r="BM48" i="167"/>
  <c r="BH48" i="167"/>
  <c r="BC48" i="167"/>
  <c r="AX48" i="167"/>
  <c r="AS48" i="167"/>
  <c r="AN48" i="167"/>
  <c r="AI48" i="167"/>
  <c r="AD48" i="167"/>
  <c r="X48" i="167"/>
  <c r="CK48" i="167" s="1"/>
  <c r="W48" i="167"/>
  <c r="S48" i="167"/>
  <c r="R48" i="167"/>
  <c r="T48" i="167" s="1"/>
  <c r="O48" i="167"/>
  <c r="J48" i="167"/>
  <c r="E48" i="167"/>
  <c r="CP47" i="167"/>
  <c r="CJ47" i="167"/>
  <c r="CG47" i="167"/>
  <c r="CB47" i="167"/>
  <c r="BW47" i="167"/>
  <c r="BR47" i="167"/>
  <c r="BM47" i="167"/>
  <c r="BH47" i="167"/>
  <c r="BC47" i="167"/>
  <c r="AX47" i="167"/>
  <c r="AS47" i="167"/>
  <c r="AN47" i="167"/>
  <c r="AI47" i="167"/>
  <c r="AD47" i="167"/>
  <c r="X47" i="167"/>
  <c r="W47" i="167"/>
  <c r="S47" i="167"/>
  <c r="R47" i="167"/>
  <c r="O47" i="167"/>
  <c r="J47" i="167"/>
  <c r="E47" i="167"/>
  <c r="CQ46" i="167"/>
  <c r="CP46" i="167"/>
  <c r="CG46" i="167"/>
  <c r="CB46" i="167"/>
  <c r="BW46" i="167"/>
  <c r="BR46" i="167"/>
  <c r="BM46" i="167"/>
  <c r="BH46" i="167"/>
  <c r="BC46" i="167"/>
  <c r="AX46" i="167"/>
  <c r="AS46" i="167"/>
  <c r="AN46" i="167"/>
  <c r="AI46" i="167"/>
  <c r="AD46" i="167"/>
  <c r="X46" i="167"/>
  <c r="W46" i="167"/>
  <c r="CJ46" i="167" s="1"/>
  <c r="S46" i="167"/>
  <c r="R46" i="167"/>
  <c r="T46" i="167" s="1"/>
  <c r="O46" i="167"/>
  <c r="J46" i="167"/>
  <c r="E46" i="167"/>
  <c r="CQ45" i="167"/>
  <c r="CP45" i="167"/>
  <c r="CG45" i="167"/>
  <c r="CB45" i="167"/>
  <c r="BW45" i="167"/>
  <c r="BR45" i="167"/>
  <c r="BM45" i="167"/>
  <c r="BH45" i="167"/>
  <c r="BC45" i="167"/>
  <c r="BC41" i="167" s="1"/>
  <c r="AX45" i="167"/>
  <c r="AS45" i="167"/>
  <c r="AN45" i="167"/>
  <c r="AI45" i="167"/>
  <c r="AD45" i="167"/>
  <c r="X45" i="167"/>
  <c r="CK45" i="167" s="1"/>
  <c r="W45" i="167"/>
  <c r="S45" i="167"/>
  <c r="R45" i="167"/>
  <c r="T45" i="167" s="1"/>
  <c r="O45" i="167"/>
  <c r="J45" i="167"/>
  <c r="E45" i="167"/>
  <c r="CP44" i="167"/>
  <c r="CQ44" i="167" s="1"/>
  <c r="CG44" i="167"/>
  <c r="CB44" i="167"/>
  <c r="BW44" i="167"/>
  <c r="BR44" i="167"/>
  <c r="BM44" i="167"/>
  <c r="BH44" i="167"/>
  <c r="BC44" i="167"/>
  <c r="AX44" i="167"/>
  <c r="AS44" i="167"/>
  <c r="AN44" i="167"/>
  <c r="AI44" i="167"/>
  <c r="AD44" i="167"/>
  <c r="X44" i="167"/>
  <c r="CK44" i="167" s="1"/>
  <c r="W44" i="167"/>
  <c r="CJ44" i="167" s="1"/>
  <c r="T44" i="167"/>
  <c r="S44" i="167"/>
  <c r="R44" i="167"/>
  <c r="O44" i="167"/>
  <c r="J44" i="167"/>
  <c r="E44" i="167"/>
  <c r="CQ43" i="167"/>
  <c r="CP43" i="167"/>
  <c r="CG43" i="167"/>
  <c r="CB43" i="167"/>
  <c r="BW43" i="167"/>
  <c r="BR43" i="167"/>
  <c r="BM43" i="167"/>
  <c r="BH43" i="167"/>
  <c r="BC43" i="167"/>
  <c r="AX43" i="167"/>
  <c r="AS43" i="167"/>
  <c r="AN43" i="167"/>
  <c r="AI43" i="167"/>
  <c r="AD43" i="167"/>
  <c r="Y43" i="167"/>
  <c r="X43" i="167"/>
  <c r="CK43" i="167" s="1"/>
  <c r="W43" i="167"/>
  <c r="CJ43" i="167" s="1"/>
  <c r="S43" i="167"/>
  <c r="T43" i="167" s="1"/>
  <c r="R43" i="167"/>
  <c r="O43" i="167"/>
  <c r="J43" i="167"/>
  <c r="E43" i="167"/>
  <c r="CP42" i="167"/>
  <c r="CQ42" i="167" s="1"/>
  <c r="CG42" i="167"/>
  <c r="CB42" i="167"/>
  <c r="BW42" i="167"/>
  <c r="BR42" i="167"/>
  <c r="BR41" i="167" s="1"/>
  <c r="BM42" i="167"/>
  <c r="BH42" i="167"/>
  <c r="BC42" i="167"/>
  <c r="AX42" i="167"/>
  <c r="AX41" i="167" s="1"/>
  <c r="AS42" i="167"/>
  <c r="AN42" i="167"/>
  <c r="AN41" i="167" s="1"/>
  <c r="AI42" i="167"/>
  <c r="AD42" i="167"/>
  <c r="AD41" i="167" s="1"/>
  <c r="X42" i="167"/>
  <c r="W42" i="167"/>
  <c r="CJ42" i="167" s="1"/>
  <c r="S42" i="167"/>
  <c r="R42" i="167"/>
  <c r="T42" i="167" s="1"/>
  <c r="O42" i="167"/>
  <c r="J42" i="167"/>
  <c r="E42" i="167"/>
  <c r="CF41" i="167"/>
  <c r="CE41" i="167"/>
  <c r="CA41" i="167"/>
  <c r="BZ41" i="167"/>
  <c r="BW41" i="167"/>
  <c r="BV41" i="167"/>
  <c r="BU41" i="167"/>
  <c r="BQ41" i="167"/>
  <c r="BP41" i="167"/>
  <c r="BL41" i="167"/>
  <c r="BK41" i="167"/>
  <c r="BG41" i="167"/>
  <c r="BF41" i="167"/>
  <c r="BB41" i="167"/>
  <c r="BA41" i="167"/>
  <c r="AW41" i="167"/>
  <c r="AV41" i="167"/>
  <c r="AR41" i="167"/>
  <c r="AQ41" i="167"/>
  <c r="AM41" i="167"/>
  <c r="AL41" i="167"/>
  <c r="AH41" i="167"/>
  <c r="AG41" i="167"/>
  <c r="AC41" i="167"/>
  <c r="AB41" i="167"/>
  <c r="N41" i="167"/>
  <c r="M41" i="167"/>
  <c r="I41" i="167"/>
  <c r="H41" i="167"/>
  <c r="D41" i="167"/>
  <c r="C41" i="167"/>
  <c r="X37" i="167"/>
  <c r="W37" i="167"/>
  <c r="CG36" i="167"/>
  <c r="CB36" i="167"/>
  <c r="CB35" i="167" s="1"/>
  <c r="BW36" i="167"/>
  <c r="BR36" i="167"/>
  <c r="BM36" i="167"/>
  <c r="BH36" i="167"/>
  <c r="BH35" i="167" s="1"/>
  <c r="BC36" i="167"/>
  <c r="AX36" i="167"/>
  <c r="AS36" i="167"/>
  <c r="AN36" i="167"/>
  <c r="AI36" i="167"/>
  <c r="AI35" i="167" s="1"/>
  <c r="AD36" i="167"/>
  <c r="AD35" i="167" s="1"/>
  <c r="X36" i="167"/>
  <c r="X35" i="167" s="1"/>
  <c r="W36" i="167"/>
  <c r="CJ36" i="167" s="1"/>
  <c r="CJ35" i="167" s="1"/>
  <c r="S36" i="167"/>
  <c r="S35" i="167" s="1"/>
  <c r="R36" i="167"/>
  <c r="O36" i="167"/>
  <c r="J36" i="167"/>
  <c r="E36" i="167"/>
  <c r="CP35" i="167"/>
  <c r="CF35" i="167"/>
  <c r="CE35" i="167"/>
  <c r="CA35" i="167"/>
  <c r="BZ35" i="167"/>
  <c r="BV35" i="167"/>
  <c r="BU35" i="167"/>
  <c r="BQ35" i="167"/>
  <c r="BP35" i="167"/>
  <c r="BM35" i="167"/>
  <c r="BL35" i="167"/>
  <c r="BK35" i="167"/>
  <c r="BG35" i="167"/>
  <c r="BF35" i="167"/>
  <c r="BB35" i="167"/>
  <c r="BA35" i="167"/>
  <c r="AX35" i="167"/>
  <c r="AW35" i="167"/>
  <c r="AV35" i="167"/>
  <c r="AR35" i="167"/>
  <c r="AQ35" i="167"/>
  <c r="AM35" i="167"/>
  <c r="AL35" i="167"/>
  <c r="AH35" i="167"/>
  <c r="AG35" i="167"/>
  <c r="AC35" i="167"/>
  <c r="AB35" i="167"/>
  <c r="W35" i="167"/>
  <c r="R35" i="167"/>
  <c r="N35" i="167"/>
  <c r="M35" i="167"/>
  <c r="J35" i="167"/>
  <c r="I35" i="167"/>
  <c r="H35" i="167"/>
  <c r="D35" i="167"/>
  <c r="C35" i="167"/>
  <c r="CR33" i="167"/>
  <c r="CG33" i="167"/>
  <c r="CB33" i="167"/>
  <c r="BW33" i="167"/>
  <c r="BR33" i="167"/>
  <c r="BM33" i="167"/>
  <c r="BH33" i="167"/>
  <c r="BC33" i="167"/>
  <c r="AX33" i="167"/>
  <c r="AS33" i="167"/>
  <c r="AN33" i="167"/>
  <c r="AI33" i="167"/>
  <c r="AD33" i="167"/>
  <c r="X33" i="167"/>
  <c r="CK33" i="167" s="1"/>
  <c r="W33" i="167"/>
  <c r="S33" i="167"/>
  <c r="R33" i="167"/>
  <c r="T33" i="167" s="1"/>
  <c r="O33" i="167"/>
  <c r="J33" i="167"/>
  <c r="E33" i="167"/>
  <c r="CJ32" i="167"/>
  <c r="CL32" i="167" s="1"/>
  <c r="CG32" i="167"/>
  <c r="CB32" i="167"/>
  <c r="BW32" i="167"/>
  <c r="BR32" i="167"/>
  <c r="BM32" i="167"/>
  <c r="BH32" i="167"/>
  <c r="BC32" i="167"/>
  <c r="AX32" i="167"/>
  <c r="AS32" i="167"/>
  <c r="AN32" i="167"/>
  <c r="AI32" i="167"/>
  <c r="AD32" i="167"/>
  <c r="X32" i="167"/>
  <c r="CK32" i="167" s="1"/>
  <c r="W32" i="167"/>
  <c r="Y32" i="167" s="1"/>
  <c r="S32" i="167"/>
  <c r="R32" i="167"/>
  <c r="O32" i="167"/>
  <c r="J32" i="167"/>
  <c r="E32" i="167"/>
  <c r="CG31" i="167"/>
  <c r="CB31" i="167"/>
  <c r="BW31" i="167"/>
  <c r="BR31" i="167"/>
  <c r="BM31" i="167"/>
  <c r="BH31" i="167"/>
  <c r="BC31" i="167"/>
  <c r="AX31" i="167"/>
  <c r="AS31" i="167"/>
  <c r="AN31" i="167"/>
  <c r="AI31" i="167"/>
  <c r="AD31" i="167"/>
  <c r="X31" i="167"/>
  <c r="CK31" i="167" s="1"/>
  <c r="W31" i="167"/>
  <c r="CJ31" i="167" s="1"/>
  <c r="T31" i="167"/>
  <c r="S31" i="167"/>
  <c r="R31" i="167"/>
  <c r="O31" i="167"/>
  <c r="J31" i="167"/>
  <c r="E31" i="167"/>
  <c r="CG30" i="167"/>
  <c r="CB30" i="167"/>
  <c r="BW30" i="167"/>
  <c r="BR30" i="167"/>
  <c r="BM30" i="167"/>
  <c r="BH30" i="167"/>
  <c r="BC30" i="167"/>
  <c r="AX30" i="167"/>
  <c r="AS30" i="167"/>
  <c r="AN30" i="167"/>
  <c r="AI30" i="167"/>
  <c r="AD30" i="167"/>
  <c r="X30" i="167"/>
  <c r="CK30" i="167" s="1"/>
  <c r="W30" i="167"/>
  <c r="S30" i="167"/>
  <c r="R30" i="167"/>
  <c r="O30" i="167"/>
  <c r="J30" i="167"/>
  <c r="E30" i="167"/>
  <c r="CJ29" i="167"/>
  <c r="CG29" i="167"/>
  <c r="CB29" i="167"/>
  <c r="BW29" i="167"/>
  <c r="BR29" i="167"/>
  <c r="BM29" i="167"/>
  <c r="BH29" i="167"/>
  <c r="BC29" i="167"/>
  <c r="AX29" i="167"/>
  <c r="AS29" i="167"/>
  <c r="AN29" i="167"/>
  <c r="AI29" i="167"/>
  <c r="AD29" i="167"/>
  <c r="X29" i="167"/>
  <c r="W29" i="167"/>
  <c r="S29" i="167"/>
  <c r="R29" i="167"/>
  <c r="T29" i="167" s="1"/>
  <c r="O29" i="167"/>
  <c r="J29" i="167"/>
  <c r="E29" i="167"/>
  <c r="CJ28" i="167"/>
  <c r="CL28" i="167" s="1"/>
  <c r="CG28" i="167"/>
  <c r="CB28" i="167"/>
  <c r="BW28" i="167"/>
  <c r="BR28" i="167"/>
  <c r="BM28" i="167"/>
  <c r="BH28" i="167"/>
  <c r="BC28" i="167"/>
  <c r="AX28" i="167"/>
  <c r="AS28" i="167"/>
  <c r="AN28" i="167"/>
  <c r="AI28" i="167"/>
  <c r="AD28" i="167"/>
  <c r="X28" i="167"/>
  <c r="CK28" i="167" s="1"/>
  <c r="W28" i="167"/>
  <c r="Y28" i="167" s="1"/>
  <c r="T28" i="167"/>
  <c r="S28" i="167"/>
  <c r="R28" i="167"/>
  <c r="O28" i="167"/>
  <c r="J28" i="167"/>
  <c r="E28" i="167"/>
  <c r="CG27" i="167"/>
  <c r="CB27" i="167"/>
  <c r="BW27" i="167"/>
  <c r="BR27" i="167"/>
  <c r="BM27" i="167"/>
  <c r="BH27" i="167"/>
  <c r="BC27" i="167"/>
  <c r="AX27" i="167"/>
  <c r="AS27" i="167"/>
  <c r="AN27" i="167"/>
  <c r="AI27" i="167"/>
  <c r="AD27" i="167"/>
  <c r="X27" i="167"/>
  <c r="W27" i="167"/>
  <c r="CJ27" i="167" s="1"/>
  <c r="S27" i="167"/>
  <c r="R27" i="167"/>
  <c r="O27" i="167"/>
  <c r="J27" i="167"/>
  <c r="E27" i="167"/>
  <c r="CT26" i="167"/>
  <c r="CU26" i="167" s="1"/>
  <c r="CP26" i="167"/>
  <c r="CG26" i="167"/>
  <c r="CB26" i="167"/>
  <c r="BW26" i="167"/>
  <c r="BR26" i="167"/>
  <c r="BM26" i="167"/>
  <c r="BH26" i="167"/>
  <c r="BC26" i="167"/>
  <c r="AX26" i="167"/>
  <c r="AS26" i="167"/>
  <c r="AQ26" i="167"/>
  <c r="AQ26" i="157" s="1"/>
  <c r="AS26" i="157" s="1"/>
  <c r="AN26" i="167"/>
  <c r="AI26" i="167"/>
  <c r="AD26" i="167"/>
  <c r="X26" i="167"/>
  <c r="W26" i="167"/>
  <c r="CJ26" i="167" s="1"/>
  <c r="S26" i="167"/>
  <c r="R26" i="167"/>
  <c r="O26" i="167"/>
  <c r="J26" i="167"/>
  <c r="E26" i="167"/>
  <c r="CT25" i="167"/>
  <c r="CU25" i="167" s="1"/>
  <c r="CP25" i="167"/>
  <c r="CG25" i="167"/>
  <c r="CB25" i="167"/>
  <c r="BW25" i="167"/>
  <c r="BR25" i="167"/>
  <c r="BM25" i="167"/>
  <c r="BH25" i="167"/>
  <c r="BC25" i="167"/>
  <c r="AX25" i="167"/>
  <c r="AQ25" i="167"/>
  <c r="AN25" i="167"/>
  <c r="AI25" i="167"/>
  <c r="AD25" i="167"/>
  <c r="X25" i="167"/>
  <c r="CK25" i="167" s="1"/>
  <c r="S25" i="167"/>
  <c r="R25" i="167"/>
  <c r="T25" i="167" s="1"/>
  <c r="O25" i="167"/>
  <c r="J25" i="167"/>
  <c r="E25" i="167"/>
  <c r="CJ24" i="167"/>
  <c r="CG24" i="167"/>
  <c r="CB24" i="167"/>
  <c r="BW24" i="167"/>
  <c r="BR24" i="167"/>
  <c r="BM24" i="167"/>
  <c r="BH24" i="167"/>
  <c r="BC24" i="167"/>
  <c r="AX24" i="167"/>
  <c r="AS24" i="167"/>
  <c r="AN24" i="167"/>
  <c r="AI24" i="167"/>
  <c r="AD24" i="167"/>
  <c r="X24" i="167"/>
  <c r="CK24" i="167" s="1"/>
  <c r="W24" i="167"/>
  <c r="S24" i="167"/>
  <c r="R24" i="167"/>
  <c r="T24" i="167" s="1"/>
  <c r="O24" i="167"/>
  <c r="J24" i="167"/>
  <c r="E24" i="167"/>
  <c r="CJ23" i="167"/>
  <c r="CG23" i="167"/>
  <c r="CB23" i="167"/>
  <c r="BW23" i="167"/>
  <c r="BR23" i="167"/>
  <c r="BM23" i="167"/>
  <c r="BH23" i="167"/>
  <c r="BC23" i="167"/>
  <c r="AX23" i="167"/>
  <c r="AS23" i="167"/>
  <c r="AN23" i="167"/>
  <c r="AI23" i="167"/>
  <c r="AD23" i="167"/>
  <c r="X23" i="167"/>
  <c r="CK23" i="167" s="1"/>
  <c r="W23" i="167"/>
  <c r="S23" i="167"/>
  <c r="R23" i="167"/>
  <c r="T23" i="167" s="1"/>
  <c r="O23" i="167"/>
  <c r="J23" i="167"/>
  <c r="E23" i="167"/>
  <c r="CG22" i="167"/>
  <c r="CB22" i="167"/>
  <c r="BW22" i="167"/>
  <c r="BR22" i="167"/>
  <c r="BM22" i="167"/>
  <c r="BH22" i="167"/>
  <c r="BC22" i="167"/>
  <c r="AX22" i="167"/>
  <c r="AS22" i="167"/>
  <c r="AN22" i="167"/>
  <c r="AI22" i="167"/>
  <c r="AD22" i="167"/>
  <c r="X22" i="167"/>
  <c r="CK22" i="167" s="1"/>
  <c r="W22" i="167"/>
  <c r="S22" i="167"/>
  <c r="R22" i="167"/>
  <c r="T22" i="167" s="1"/>
  <c r="O22" i="167"/>
  <c r="J22" i="167"/>
  <c r="E22" i="167"/>
  <c r="CG21" i="167"/>
  <c r="CB21" i="167"/>
  <c r="BW21" i="167"/>
  <c r="BR21" i="167"/>
  <c r="BM21" i="167"/>
  <c r="BH21" i="167"/>
  <c r="BC21" i="167"/>
  <c r="AX21" i="167"/>
  <c r="AS21" i="167"/>
  <c r="AN21" i="167"/>
  <c r="AI21" i="167"/>
  <c r="AD21" i="167"/>
  <c r="X21" i="167"/>
  <c r="CK21" i="167" s="1"/>
  <c r="W21" i="167"/>
  <c r="Y21" i="167" s="1"/>
  <c r="S21" i="167"/>
  <c r="R21" i="167"/>
  <c r="T21" i="167" s="1"/>
  <c r="O21" i="167"/>
  <c r="J21" i="167"/>
  <c r="E21" i="167"/>
  <c r="CJ20" i="167"/>
  <c r="CG20" i="167"/>
  <c r="CB20" i="167"/>
  <c r="BW20" i="167"/>
  <c r="BR20" i="167"/>
  <c r="BM20" i="167"/>
  <c r="BH20" i="167"/>
  <c r="BC20" i="167"/>
  <c r="AX20" i="167"/>
  <c r="AS20" i="167"/>
  <c r="AN20" i="167"/>
  <c r="AI20" i="167"/>
  <c r="AD20" i="167"/>
  <c r="X20" i="167"/>
  <c r="CK20" i="167" s="1"/>
  <c r="W20" i="167"/>
  <c r="S20" i="167"/>
  <c r="R20" i="167"/>
  <c r="T20" i="167" s="1"/>
  <c r="O20" i="167"/>
  <c r="J20" i="167"/>
  <c r="E20" i="167"/>
  <c r="CG19" i="167"/>
  <c r="CB19" i="167"/>
  <c r="BW19" i="167"/>
  <c r="BR19" i="167"/>
  <c r="BM19" i="167"/>
  <c r="BH19" i="167"/>
  <c r="BC19" i="167"/>
  <c r="AX19" i="167"/>
  <c r="AS19" i="167"/>
  <c r="AN19" i="167"/>
  <c r="AI19" i="167"/>
  <c r="AD19" i="167"/>
  <c r="X19" i="167"/>
  <c r="W19" i="167"/>
  <c r="CJ19" i="167" s="1"/>
  <c r="S19" i="167"/>
  <c r="R19" i="167"/>
  <c r="T19" i="167" s="1"/>
  <c r="O19" i="167"/>
  <c r="J19" i="167"/>
  <c r="E19" i="167"/>
  <c r="CJ18" i="167"/>
  <c r="CG18" i="167"/>
  <c r="CB18" i="167"/>
  <c r="BW18" i="167"/>
  <c r="BR18" i="167"/>
  <c r="BM18" i="167"/>
  <c r="BH18" i="167"/>
  <c r="BC18" i="167"/>
  <c r="AX18" i="167"/>
  <c r="AS18" i="167"/>
  <c r="AN18" i="167"/>
  <c r="AI18" i="167"/>
  <c r="AD18" i="167"/>
  <c r="Y18" i="167"/>
  <c r="X18" i="167"/>
  <c r="CK18" i="167" s="1"/>
  <c r="W18" i="167"/>
  <c r="S18" i="167"/>
  <c r="R18" i="167"/>
  <c r="T18" i="167" s="1"/>
  <c r="O18" i="167"/>
  <c r="J18" i="167"/>
  <c r="E18" i="167"/>
  <c r="CG17" i="167"/>
  <c r="CB17" i="167"/>
  <c r="BW17" i="167"/>
  <c r="BR17" i="167"/>
  <c r="BM17" i="167"/>
  <c r="BH17" i="167"/>
  <c r="BC17" i="167"/>
  <c r="AX17" i="167"/>
  <c r="AS17" i="167"/>
  <c r="AN17" i="167"/>
  <c r="AI17" i="167"/>
  <c r="AD17" i="167"/>
  <c r="X17" i="167"/>
  <c r="CK17" i="167" s="1"/>
  <c r="W17" i="167"/>
  <c r="S17" i="167"/>
  <c r="R17" i="167"/>
  <c r="T17" i="167" s="1"/>
  <c r="O17" i="167"/>
  <c r="J17" i="167"/>
  <c r="E17" i="167"/>
  <c r="CJ16" i="167"/>
  <c r="CG16" i="167"/>
  <c r="CB16" i="167"/>
  <c r="BW16" i="167"/>
  <c r="BR16" i="167"/>
  <c r="BM16" i="167"/>
  <c r="BH16" i="167"/>
  <c r="BC16" i="167"/>
  <c r="AX16" i="167"/>
  <c r="AS16" i="167"/>
  <c r="AN16" i="167"/>
  <c r="AI16" i="167"/>
  <c r="AD16" i="167"/>
  <c r="X16" i="167"/>
  <c r="CK16" i="167" s="1"/>
  <c r="W16" i="167"/>
  <c r="S16" i="167"/>
  <c r="R16" i="167"/>
  <c r="T16" i="167" s="1"/>
  <c r="O16" i="167"/>
  <c r="J16" i="167"/>
  <c r="E16" i="167"/>
  <c r="CJ15" i="167"/>
  <c r="CL15" i="167" s="1"/>
  <c r="CG15" i="167"/>
  <c r="CB15" i="167"/>
  <c r="BW15" i="167"/>
  <c r="BR15" i="167"/>
  <c r="BM15" i="167"/>
  <c r="BH15" i="167"/>
  <c r="BC15" i="167"/>
  <c r="AX15" i="167"/>
  <c r="AS15" i="167"/>
  <c r="AN15" i="167"/>
  <c r="AI15" i="167"/>
  <c r="AD15" i="167"/>
  <c r="X15" i="167"/>
  <c r="CK15" i="167" s="1"/>
  <c r="W15" i="167"/>
  <c r="Y15" i="167" s="1"/>
  <c r="S15" i="167"/>
  <c r="T15" i="167" s="1"/>
  <c r="R15" i="167"/>
  <c r="O15" i="167"/>
  <c r="J15" i="167"/>
  <c r="E15" i="167"/>
  <c r="CG14" i="167"/>
  <c r="CB14" i="167"/>
  <c r="BW14" i="167"/>
  <c r="BR14" i="167"/>
  <c r="BM14" i="167"/>
  <c r="BH14" i="167"/>
  <c r="BC14" i="167"/>
  <c r="AX14" i="167"/>
  <c r="AS14" i="167"/>
  <c r="AN14" i="167"/>
  <c r="AI14" i="167"/>
  <c r="AD14" i="167"/>
  <c r="X14" i="167"/>
  <c r="CK14" i="167" s="1"/>
  <c r="W14" i="167"/>
  <c r="Y14" i="167" s="1"/>
  <c r="S14" i="167"/>
  <c r="R14" i="167"/>
  <c r="O14" i="167"/>
  <c r="J14" i="167"/>
  <c r="E14" i="167"/>
  <c r="CG13" i="167"/>
  <c r="CB13" i="167"/>
  <c r="BW13" i="167"/>
  <c r="BR13" i="167"/>
  <c r="BM13" i="167"/>
  <c r="BH13" i="167"/>
  <c r="BC13" i="167"/>
  <c r="AX13" i="167"/>
  <c r="AS13" i="167"/>
  <c r="AN13" i="167"/>
  <c r="AI13" i="167"/>
  <c r="AD13" i="167"/>
  <c r="X13" i="167"/>
  <c r="CK13" i="167" s="1"/>
  <c r="W13" i="167"/>
  <c r="S13" i="167"/>
  <c r="R13" i="167"/>
  <c r="T13" i="167" s="1"/>
  <c r="O13" i="167"/>
  <c r="J13" i="167"/>
  <c r="E13" i="167"/>
  <c r="CG12" i="167"/>
  <c r="CB12" i="167"/>
  <c r="BW12" i="167"/>
  <c r="BR12" i="167"/>
  <c r="BM12" i="167"/>
  <c r="BH12" i="167"/>
  <c r="BC12" i="167"/>
  <c r="AX12" i="167"/>
  <c r="AS12" i="167"/>
  <c r="AN12" i="167"/>
  <c r="AI12" i="167"/>
  <c r="AD12" i="167"/>
  <c r="X12" i="167"/>
  <c r="CK12" i="167" s="1"/>
  <c r="W12" i="167"/>
  <c r="Y12" i="167" s="1"/>
  <c r="S12" i="167"/>
  <c r="R12" i="167"/>
  <c r="O12" i="167"/>
  <c r="J12" i="167"/>
  <c r="E12" i="167"/>
  <c r="CT11" i="167"/>
  <c r="CJ11" i="167"/>
  <c r="CG11" i="167"/>
  <c r="CB11" i="167"/>
  <c r="BW11" i="167"/>
  <c r="BR11" i="167"/>
  <c r="BM11" i="167"/>
  <c r="BH11" i="167"/>
  <c r="BC11" i="167"/>
  <c r="AX11" i="167"/>
  <c r="AS11" i="167"/>
  <c r="AN11" i="167"/>
  <c r="AI11" i="167"/>
  <c r="AI102" i="157" s="1"/>
  <c r="AD11" i="167"/>
  <c r="X11" i="167"/>
  <c r="CK11" i="167" s="1"/>
  <c r="W11" i="167"/>
  <c r="S11" i="167"/>
  <c r="R11" i="167"/>
  <c r="O11" i="167"/>
  <c r="J11" i="167"/>
  <c r="E11" i="167"/>
  <c r="CT10" i="167"/>
  <c r="CK10" i="167"/>
  <c r="CG10" i="167"/>
  <c r="CB10" i="167"/>
  <c r="BW10" i="167"/>
  <c r="BR10" i="167"/>
  <c r="BM10" i="167"/>
  <c r="BH10" i="167"/>
  <c r="BC10" i="167"/>
  <c r="AX10" i="167"/>
  <c r="AS10" i="167"/>
  <c r="AN10" i="167"/>
  <c r="AI10" i="167"/>
  <c r="AD10" i="167"/>
  <c r="X10" i="167"/>
  <c r="W10" i="167"/>
  <c r="S10" i="167"/>
  <c r="R10" i="167"/>
  <c r="O10" i="167"/>
  <c r="J10" i="167"/>
  <c r="E10" i="167"/>
  <c r="CP9" i="167"/>
  <c r="CG9" i="167"/>
  <c r="CB9" i="167"/>
  <c r="BW9" i="167"/>
  <c r="BR9" i="167"/>
  <c r="BM9" i="167"/>
  <c r="BH9" i="167"/>
  <c r="BC9" i="167"/>
  <c r="AX9" i="167"/>
  <c r="CT9" i="167" s="1"/>
  <c r="CU9" i="167" s="1"/>
  <c r="AS9" i="167"/>
  <c r="AN9" i="167"/>
  <c r="AI9" i="167"/>
  <c r="AD9" i="167"/>
  <c r="X9" i="167"/>
  <c r="W9" i="167"/>
  <c r="Y9" i="167" s="1"/>
  <c r="S9" i="167"/>
  <c r="R9" i="167"/>
  <c r="O9" i="167"/>
  <c r="J9" i="167"/>
  <c r="E9" i="167"/>
  <c r="E8" i="167" s="1"/>
  <c r="CS8" i="167"/>
  <c r="CF8" i="167"/>
  <c r="CE8" i="167"/>
  <c r="CB8" i="167"/>
  <c r="CA8" i="167"/>
  <c r="BZ8" i="167"/>
  <c r="BV8" i="167"/>
  <c r="BU8" i="167"/>
  <c r="BQ8" i="167"/>
  <c r="BP8" i="167"/>
  <c r="BL8" i="167"/>
  <c r="BK8" i="167"/>
  <c r="BG8" i="167"/>
  <c r="BF8" i="167"/>
  <c r="BB8" i="167"/>
  <c r="BA8" i="167"/>
  <c r="AW8" i="167"/>
  <c r="AV8" i="167"/>
  <c r="AR8" i="167"/>
  <c r="AQ8" i="167"/>
  <c r="AM8" i="167"/>
  <c r="AL8" i="167"/>
  <c r="AH8" i="167"/>
  <c r="AG8" i="167"/>
  <c r="AC8" i="167"/>
  <c r="AB8" i="167"/>
  <c r="N8" i="167"/>
  <c r="M8" i="167"/>
  <c r="I8" i="167"/>
  <c r="H8" i="167"/>
  <c r="D8" i="167"/>
  <c r="C8" i="167"/>
  <c r="CJ7" i="167"/>
  <c r="CG7" i="167"/>
  <c r="CB7" i="167"/>
  <c r="BW7" i="167"/>
  <c r="BR7" i="167"/>
  <c r="BM7" i="167"/>
  <c r="BM5" i="167" s="1"/>
  <c r="BH7" i="167"/>
  <c r="BC7" i="167"/>
  <c r="AX7" i="167"/>
  <c r="AS7" i="167"/>
  <c r="AN7" i="167"/>
  <c r="AI7" i="167"/>
  <c r="AI5" i="167" s="1"/>
  <c r="AD7" i="167"/>
  <c r="X7" i="167"/>
  <c r="CK7" i="167" s="1"/>
  <c r="W7" i="167"/>
  <c r="S7" i="167"/>
  <c r="R7" i="167"/>
  <c r="O7" i="167"/>
  <c r="J7" i="167"/>
  <c r="E7" i="167"/>
  <c r="CT6" i="167"/>
  <c r="CT5" i="167" s="1"/>
  <c r="CP6" i="167"/>
  <c r="CP5" i="167" s="1"/>
  <c r="CG6" i="167"/>
  <c r="CB6" i="167"/>
  <c r="BW6" i="167"/>
  <c r="BR6" i="167"/>
  <c r="BR5" i="167" s="1"/>
  <c r="BM6" i="167"/>
  <c r="BH6" i="167"/>
  <c r="BC6" i="167"/>
  <c r="AX6" i="167"/>
  <c r="AX5" i="167" s="1"/>
  <c r="AS6" i="167"/>
  <c r="AN6" i="167"/>
  <c r="AI6" i="167"/>
  <c r="AD6" i="167"/>
  <c r="AD5" i="167" s="1"/>
  <c r="X6" i="167"/>
  <c r="W6" i="167"/>
  <c r="W5" i="167" s="1"/>
  <c r="S6" i="167"/>
  <c r="R6" i="167"/>
  <c r="T6" i="167" s="1"/>
  <c r="O6" i="167"/>
  <c r="J6" i="167"/>
  <c r="J5" i="167" s="1"/>
  <c r="E6" i="167"/>
  <c r="CS5" i="167"/>
  <c r="CS38" i="167" s="1"/>
  <c r="CF5" i="167"/>
  <c r="CF38" i="167" s="1"/>
  <c r="CE5" i="167"/>
  <c r="CE38" i="167" s="1"/>
  <c r="CA5" i="167"/>
  <c r="BZ5" i="167"/>
  <c r="BV5" i="167"/>
  <c r="BV38" i="167" s="1"/>
  <c r="BU5" i="167"/>
  <c r="BQ5" i="167"/>
  <c r="BP5" i="167"/>
  <c r="BP38" i="167" s="1"/>
  <c r="BL5" i="167"/>
  <c r="BK5" i="167"/>
  <c r="BK38" i="167" s="1"/>
  <c r="BH5" i="167"/>
  <c r="BG5" i="167"/>
  <c r="BF5" i="167"/>
  <c r="BF38" i="167" s="1"/>
  <c r="BB5" i="167"/>
  <c r="BA5" i="167"/>
  <c r="BA38" i="167" s="1"/>
  <c r="AW5" i="167"/>
  <c r="AV5" i="167"/>
  <c r="AR5" i="167"/>
  <c r="AQ5" i="167"/>
  <c r="AQ38" i="167" s="1"/>
  <c r="AN5" i="167"/>
  <c r="AM5" i="167"/>
  <c r="AL5" i="167"/>
  <c r="AL38" i="167" s="1"/>
  <c r="AL39" i="167" s="1"/>
  <c r="AH5" i="167"/>
  <c r="AH38" i="167" s="1"/>
  <c r="AG5" i="167"/>
  <c r="AG38" i="167" s="1"/>
  <c r="AC5" i="167"/>
  <c r="AB5" i="167"/>
  <c r="AB38" i="167" s="1"/>
  <c r="S5" i="167"/>
  <c r="N5" i="167"/>
  <c r="M5" i="167"/>
  <c r="M38" i="167" s="1"/>
  <c r="I5" i="167"/>
  <c r="I38" i="167" s="1"/>
  <c r="H5" i="167"/>
  <c r="D5" i="167"/>
  <c r="C5" i="167"/>
  <c r="CQ85" i="174"/>
  <c r="CP85" i="174"/>
  <c r="CL85" i="174"/>
  <c r="CK85" i="174"/>
  <c r="CJ85" i="174"/>
  <c r="CG85" i="174"/>
  <c r="CB85" i="174"/>
  <c r="BW85" i="174"/>
  <c r="BR85" i="174"/>
  <c r="BM85" i="174"/>
  <c r="BH85" i="174"/>
  <c r="BC85" i="174"/>
  <c r="AX85" i="174"/>
  <c r="AS85" i="174"/>
  <c r="AN85" i="174"/>
  <c r="AI85" i="174"/>
  <c r="AD85" i="174"/>
  <c r="X85" i="174"/>
  <c r="Y85" i="174" s="1"/>
  <c r="W85" i="174"/>
  <c r="S85" i="174"/>
  <c r="R85" i="174"/>
  <c r="T85" i="174" s="1"/>
  <c r="O85" i="174"/>
  <c r="J85" i="174"/>
  <c r="E85" i="174"/>
  <c r="CP82" i="174"/>
  <c r="CQ82" i="174" s="1"/>
  <c r="CL82" i="174"/>
  <c r="CG82" i="174"/>
  <c r="CB82" i="174"/>
  <c r="BW82" i="174"/>
  <c r="BR82" i="174"/>
  <c r="BM82" i="174"/>
  <c r="BH82" i="174"/>
  <c r="BC82" i="174"/>
  <c r="AX82" i="174"/>
  <c r="AS82" i="174"/>
  <c r="AN82" i="174"/>
  <c r="AI82" i="174"/>
  <c r="AD82" i="174"/>
  <c r="X82" i="174"/>
  <c r="W82" i="174"/>
  <c r="S82" i="174"/>
  <c r="R82" i="174"/>
  <c r="O82" i="174"/>
  <c r="J82" i="174"/>
  <c r="E82" i="174"/>
  <c r="CK80" i="174"/>
  <c r="CJ80" i="174"/>
  <c r="CP79" i="174"/>
  <c r="BM79" i="174"/>
  <c r="BM77" i="174" s="1"/>
  <c r="X79" i="174"/>
  <c r="CK79" i="174" s="1"/>
  <c r="S79" i="174"/>
  <c r="CP78" i="174"/>
  <c r="CG78" i="174"/>
  <c r="CB78" i="174"/>
  <c r="BW78" i="174"/>
  <c r="BR78" i="174"/>
  <c r="BM78" i="174"/>
  <c r="BH78" i="174"/>
  <c r="BC78" i="174"/>
  <c r="AX78" i="174"/>
  <c r="AS78" i="174"/>
  <c r="AN78" i="174"/>
  <c r="AI78" i="174"/>
  <c r="AD78" i="174"/>
  <c r="X78" i="174"/>
  <c r="W78" i="174"/>
  <c r="CJ78" i="174" s="1"/>
  <c r="S78" i="174"/>
  <c r="T78" i="174" s="1"/>
  <c r="R78" i="174"/>
  <c r="O78" i="174"/>
  <c r="J78" i="174"/>
  <c r="E78" i="174"/>
  <c r="CF77" i="174"/>
  <c r="CA77" i="174"/>
  <c r="BV77" i="174"/>
  <c r="BQ77" i="174"/>
  <c r="BL77" i="174"/>
  <c r="BK77" i="174"/>
  <c r="BG77" i="174"/>
  <c r="BB77" i="174"/>
  <c r="AW77" i="174"/>
  <c r="AR77" i="174"/>
  <c r="AM77" i="174"/>
  <c r="AH77" i="174"/>
  <c r="AC77" i="174"/>
  <c r="N77" i="174"/>
  <c r="I77" i="174"/>
  <c r="D77" i="174"/>
  <c r="CP74" i="174"/>
  <c r="CQ74" i="174" s="1"/>
  <c r="CQ73" i="174" s="1"/>
  <c r="CK74" i="174"/>
  <c r="CJ74" i="174"/>
  <c r="CG74" i="174"/>
  <c r="CB74" i="174"/>
  <c r="CB73" i="174" s="1"/>
  <c r="BW74" i="174"/>
  <c r="BW73" i="174" s="1"/>
  <c r="BR74" i="174"/>
  <c r="BM74" i="174"/>
  <c r="BM73" i="174" s="1"/>
  <c r="BH74" i="174"/>
  <c r="BH73" i="174" s="1"/>
  <c r="BC74" i="174"/>
  <c r="AX74" i="174"/>
  <c r="AX73" i="174" s="1"/>
  <c r="AS74" i="174"/>
  <c r="AS73" i="174" s="1"/>
  <c r="AN74" i="174"/>
  <c r="AI74" i="174"/>
  <c r="AI73" i="174" s="1"/>
  <c r="AD74" i="174"/>
  <c r="AD73" i="174" s="1"/>
  <c r="X74" i="174"/>
  <c r="W74" i="174"/>
  <c r="W73" i="174" s="1"/>
  <c r="O74" i="174"/>
  <c r="J74" i="174"/>
  <c r="J73" i="174" s="1"/>
  <c r="E74" i="174"/>
  <c r="CP73" i="174"/>
  <c r="CK73" i="174"/>
  <c r="CJ73" i="174"/>
  <c r="CG73" i="174"/>
  <c r="CF73" i="174"/>
  <c r="CE73" i="174"/>
  <c r="CA73" i="174"/>
  <c r="BZ73" i="174"/>
  <c r="BV73" i="174"/>
  <c r="BU73" i="174"/>
  <c r="BR73" i="174"/>
  <c r="BQ73" i="174"/>
  <c r="BP73" i="174"/>
  <c r="BL73" i="174"/>
  <c r="BK73" i="174"/>
  <c r="BG73" i="174"/>
  <c r="BF73" i="174"/>
  <c r="BC73" i="174"/>
  <c r="BB73" i="174"/>
  <c r="BA73" i="174"/>
  <c r="AW73" i="174"/>
  <c r="AV73" i="174"/>
  <c r="AR73" i="174"/>
  <c r="AQ73" i="174"/>
  <c r="AN73" i="174"/>
  <c r="AM73" i="174"/>
  <c r="AL73" i="174"/>
  <c r="AH73" i="174"/>
  <c r="AG73" i="174"/>
  <c r="AC73" i="174"/>
  <c r="AB73" i="174"/>
  <c r="Y73" i="174"/>
  <c r="X73" i="174"/>
  <c r="T73" i="174"/>
  <c r="S73" i="174"/>
  <c r="R73" i="174"/>
  <c r="O73" i="174"/>
  <c r="N73" i="174"/>
  <c r="M73" i="174"/>
  <c r="I73" i="174"/>
  <c r="H73" i="174"/>
  <c r="E73" i="174"/>
  <c r="D73" i="174"/>
  <c r="C73" i="174"/>
  <c r="CP71" i="174"/>
  <c r="CQ71" i="174" s="1"/>
  <c r="CJ71" i="174"/>
  <c r="CG71" i="174"/>
  <c r="CB71" i="174"/>
  <c r="BW71" i="174"/>
  <c r="BR71" i="174"/>
  <c r="BM71" i="174"/>
  <c r="BH71" i="174"/>
  <c r="BC71" i="174"/>
  <c r="AX71" i="174"/>
  <c r="AS71" i="174"/>
  <c r="AN71" i="174"/>
  <c r="AI71" i="174"/>
  <c r="AD71" i="174"/>
  <c r="X71" i="174"/>
  <c r="CK71" i="174" s="1"/>
  <c r="CL71" i="174" s="1"/>
  <c r="W71" i="174"/>
  <c r="Y71" i="174" s="1"/>
  <c r="T71" i="174"/>
  <c r="S71" i="174"/>
  <c r="R71" i="174"/>
  <c r="O71" i="174"/>
  <c r="J71" i="174"/>
  <c r="E71" i="174"/>
  <c r="CQ70" i="174"/>
  <c r="CP70" i="174"/>
  <c r="CJ70" i="174"/>
  <c r="CG70" i="174"/>
  <c r="CB70" i="174"/>
  <c r="BW70" i="174"/>
  <c r="BR70" i="174"/>
  <c r="BM70" i="174"/>
  <c r="BH70" i="174"/>
  <c r="BC70" i="174"/>
  <c r="AX70" i="174"/>
  <c r="AS70" i="174"/>
  <c r="AN70" i="174"/>
  <c r="AI70" i="174"/>
  <c r="AD70" i="174"/>
  <c r="X70" i="174"/>
  <c r="W70" i="174"/>
  <c r="S70" i="174"/>
  <c r="R70" i="174"/>
  <c r="T70" i="174" s="1"/>
  <c r="O70" i="174"/>
  <c r="J70" i="174"/>
  <c r="E70" i="174"/>
  <c r="CP69" i="174"/>
  <c r="CQ69" i="174" s="1"/>
  <c r="CG69" i="174"/>
  <c r="CB69" i="174"/>
  <c r="BW69" i="174"/>
  <c r="BR69" i="174"/>
  <c r="BM69" i="174"/>
  <c r="BH69" i="174"/>
  <c r="BC69" i="174"/>
  <c r="AX69" i="174"/>
  <c r="AS69" i="174"/>
  <c r="AN69" i="174"/>
  <c r="AI69" i="174"/>
  <c r="AD69" i="174"/>
  <c r="X69" i="174"/>
  <c r="W69" i="174"/>
  <c r="CJ69" i="174" s="1"/>
  <c r="S69" i="174"/>
  <c r="R69" i="174"/>
  <c r="T69" i="174" s="1"/>
  <c r="O69" i="174"/>
  <c r="J69" i="174"/>
  <c r="E69" i="174"/>
  <c r="CQ68" i="174"/>
  <c r="CP68" i="174"/>
  <c r="CK68" i="174"/>
  <c r="CG68" i="174"/>
  <c r="CB68" i="174"/>
  <c r="BW68" i="174"/>
  <c r="BR68" i="174"/>
  <c r="BM68" i="174"/>
  <c r="BH68" i="174"/>
  <c r="BC68" i="174"/>
  <c r="AX68" i="174"/>
  <c r="AS68" i="174"/>
  <c r="AN68" i="174"/>
  <c r="AI68" i="174"/>
  <c r="AD68" i="174"/>
  <c r="X68" i="174"/>
  <c r="W68" i="174"/>
  <c r="S68" i="174"/>
  <c r="R68" i="174"/>
  <c r="T68" i="174" s="1"/>
  <c r="O68" i="174"/>
  <c r="J68" i="174"/>
  <c r="E68" i="174"/>
  <c r="CP67" i="174"/>
  <c r="CQ67" i="174" s="1"/>
  <c r="CJ67" i="174"/>
  <c r="CG67" i="174"/>
  <c r="CB67" i="174"/>
  <c r="BW67" i="174"/>
  <c r="BR67" i="174"/>
  <c r="BM67" i="174"/>
  <c r="BH67" i="174"/>
  <c r="BC67" i="174"/>
  <c r="AX67" i="174"/>
  <c r="AS67" i="174"/>
  <c r="AN67" i="174"/>
  <c r="AI67" i="174"/>
  <c r="AD67" i="174"/>
  <c r="X67" i="174"/>
  <c r="CK67" i="174" s="1"/>
  <c r="W67" i="174"/>
  <c r="Y67" i="174" s="1"/>
  <c r="S67" i="174"/>
  <c r="R67" i="174"/>
  <c r="O67" i="174"/>
  <c r="J67" i="174"/>
  <c r="E67" i="174"/>
  <c r="CP66" i="174"/>
  <c r="CQ66" i="174" s="1"/>
  <c r="CJ66" i="174"/>
  <c r="CG66" i="174"/>
  <c r="CB66" i="174"/>
  <c r="BW66" i="174"/>
  <c r="BR66" i="174"/>
  <c r="BM66" i="174"/>
  <c r="BH66" i="174"/>
  <c r="BC66" i="174"/>
  <c r="AX66" i="174"/>
  <c r="AS66" i="174"/>
  <c r="AN66" i="174"/>
  <c r="AI66" i="174"/>
  <c r="AD66" i="174"/>
  <c r="X66" i="174"/>
  <c r="CK66" i="174" s="1"/>
  <c r="W66" i="174"/>
  <c r="Y66" i="174" s="1"/>
  <c r="S66" i="174"/>
  <c r="R66" i="174"/>
  <c r="O66" i="174"/>
  <c r="J66" i="174"/>
  <c r="E66" i="174"/>
  <c r="CP65" i="174"/>
  <c r="CQ65" i="174" s="1"/>
  <c r="CG65" i="174"/>
  <c r="CB65" i="174"/>
  <c r="BW65" i="174"/>
  <c r="BR65" i="174"/>
  <c r="BM65" i="174"/>
  <c r="BH65" i="174"/>
  <c r="BC65" i="174"/>
  <c r="AX65" i="174"/>
  <c r="AS65" i="174"/>
  <c r="AN65" i="174"/>
  <c r="AI65" i="174"/>
  <c r="AD65" i="174"/>
  <c r="X65" i="174"/>
  <c r="CK65" i="174" s="1"/>
  <c r="W65" i="174"/>
  <c r="S65" i="174"/>
  <c r="R65" i="174"/>
  <c r="T65" i="174" s="1"/>
  <c r="O65" i="174"/>
  <c r="J65" i="174"/>
  <c r="E65" i="174"/>
  <c r="CP64" i="174"/>
  <c r="CQ64" i="174" s="1"/>
  <c r="CJ64" i="174"/>
  <c r="CG64" i="174"/>
  <c r="CB64" i="174"/>
  <c r="BW64" i="174"/>
  <c r="BR64" i="174"/>
  <c r="BM64" i="174"/>
  <c r="BH64" i="174"/>
  <c r="BC64" i="174"/>
  <c r="AX64" i="174"/>
  <c r="AS64" i="174"/>
  <c r="AN64" i="174"/>
  <c r="AI64" i="174"/>
  <c r="AD64" i="174"/>
  <c r="X64" i="174"/>
  <c r="CK64" i="174" s="1"/>
  <c r="W64" i="174"/>
  <c r="Y64" i="174" s="1"/>
  <c r="T64" i="174"/>
  <c r="S64" i="174"/>
  <c r="R64" i="174"/>
  <c r="O64" i="174"/>
  <c r="J64" i="174"/>
  <c r="E64" i="174"/>
  <c r="CQ63" i="174"/>
  <c r="CP63" i="174"/>
  <c r="CJ63" i="174"/>
  <c r="CL63" i="174" s="1"/>
  <c r="CG63" i="174"/>
  <c r="CB63" i="174"/>
  <c r="BW63" i="174"/>
  <c r="BR63" i="174"/>
  <c r="BM63" i="174"/>
  <c r="BH63" i="174"/>
  <c r="BC63" i="174"/>
  <c r="AX63" i="174"/>
  <c r="AS63" i="174"/>
  <c r="AN63" i="174"/>
  <c r="AI63" i="174"/>
  <c r="AD63" i="174"/>
  <c r="X63" i="174"/>
  <c r="CK63" i="174" s="1"/>
  <c r="W63" i="174"/>
  <c r="Y63" i="174" s="1"/>
  <c r="S63" i="174"/>
  <c r="R63" i="174"/>
  <c r="O63" i="174"/>
  <c r="J63" i="174"/>
  <c r="E63" i="174"/>
  <c r="CP62" i="174"/>
  <c r="CQ62" i="174" s="1"/>
  <c r="CG62" i="174"/>
  <c r="CB62" i="174"/>
  <c r="BW62" i="174"/>
  <c r="BR62" i="174"/>
  <c r="BM62" i="174"/>
  <c r="BH62" i="174"/>
  <c r="BC62" i="174"/>
  <c r="AX62" i="174"/>
  <c r="AS62" i="174"/>
  <c r="AN62" i="174"/>
  <c r="AI62" i="174"/>
  <c r="AD62" i="174"/>
  <c r="Y62" i="174"/>
  <c r="X62" i="174"/>
  <c r="CK62" i="174" s="1"/>
  <c r="W62" i="174"/>
  <c r="CJ62" i="174" s="1"/>
  <c r="S62" i="174"/>
  <c r="R62" i="174"/>
  <c r="T62" i="174" s="1"/>
  <c r="O62" i="174"/>
  <c r="J62" i="174"/>
  <c r="E62" i="174"/>
  <c r="CQ61" i="174"/>
  <c r="CP61" i="174"/>
  <c r="CJ61" i="174"/>
  <c r="CG61" i="174"/>
  <c r="CB61" i="174"/>
  <c r="BW61" i="174"/>
  <c r="BR61" i="174"/>
  <c r="BM61" i="174"/>
  <c r="BH61" i="174"/>
  <c r="BC61" i="174"/>
  <c r="AX61" i="174"/>
  <c r="AS61" i="174"/>
  <c r="AN61" i="174"/>
  <c r="AI61" i="174"/>
  <c r="AD61" i="174"/>
  <c r="X61" i="174"/>
  <c r="CK61" i="174" s="1"/>
  <c r="W61" i="174"/>
  <c r="Y61" i="174" s="1"/>
  <c r="S61" i="174"/>
  <c r="R61" i="174"/>
  <c r="O61" i="174"/>
  <c r="J61" i="174"/>
  <c r="E61" i="174"/>
  <c r="CP60" i="174"/>
  <c r="CQ60" i="174" s="1"/>
  <c r="CK60" i="174"/>
  <c r="CG60" i="174"/>
  <c r="CB60" i="174"/>
  <c r="BW60" i="174"/>
  <c r="BR60" i="174"/>
  <c r="BM60" i="174"/>
  <c r="BH60" i="174"/>
  <c r="BC60" i="174"/>
  <c r="AX60" i="174"/>
  <c r="AS60" i="174"/>
  <c r="AN60" i="174"/>
  <c r="AI60" i="174"/>
  <c r="AD60" i="174"/>
  <c r="X60" i="174"/>
  <c r="W60" i="174"/>
  <c r="CJ60" i="174" s="1"/>
  <c r="S60" i="174"/>
  <c r="R60" i="174"/>
  <c r="O60" i="174"/>
  <c r="J60" i="174"/>
  <c r="E60" i="174"/>
  <c r="CP59" i="174"/>
  <c r="CQ59" i="174" s="1"/>
  <c r="CG59" i="174"/>
  <c r="CB59" i="174"/>
  <c r="BW59" i="174"/>
  <c r="BR59" i="174"/>
  <c r="BM59" i="174"/>
  <c r="BH59" i="174"/>
  <c r="BC59" i="174"/>
  <c r="AX59" i="174"/>
  <c r="AS59" i="174"/>
  <c r="AN59" i="174"/>
  <c r="AI59" i="174"/>
  <c r="AD59" i="174"/>
  <c r="Y59" i="174"/>
  <c r="X59" i="174"/>
  <c r="CK59" i="174" s="1"/>
  <c r="W59" i="174"/>
  <c r="CJ59" i="174" s="1"/>
  <c r="S59" i="174"/>
  <c r="R59" i="174"/>
  <c r="O59" i="174"/>
  <c r="J59" i="174"/>
  <c r="E59" i="174"/>
  <c r="CP58" i="174"/>
  <c r="CQ58" i="174" s="1"/>
  <c r="CG58" i="174"/>
  <c r="CB58" i="174"/>
  <c r="BW58" i="174"/>
  <c r="BR58" i="174"/>
  <c r="BM58" i="174"/>
  <c r="BH58" i="174"/>
  <c r="BC58" i="174"/>
  <c r="AX58" i="174"/>
  <c r="AS58" i="174"/>
  <c r="AN58" i="174"/>
  <c r="AI58" i="174"/>
  <c r="AD58" i="174"/>
  <c r="X58" i="174"/>
  <c r="CK58" i="174" s="1"/>
  <c r="W58" i="174"/>
  <c r="S58" i="174"/>
  <c r="R58" i="174"/>
  <c r="O58" i="174"/>
  <c r="J58" i="174"/>
  <c r="E58" i="174"/>
  <c r="CQ57" i="174"/>
  <c r="CP57" i="174"/>
  <c r="CK57" i="174"/>
  <c r="CG57" i="174"/>
  <c r="CB57" i="174"/>
  <c r="BW57" i="174"/>
  <c r="BR57" i="174"/>
  <c r="BM57" i="174"/>
  <c r="BH57" i="174"/>
  <c r="BC57" i="174"/>
  <c r="AX57" i="174"/>
  <c r="AS57" i="174"/>
  <c r="AN57" i="174"/>
  <c r="AI57" i="174"/>
  <c r="AD57" i="174"/>
  <c r="X57" i="174"/>
  <c r="W57" i="174"/>
  <c r="CJ57" i="174" s="1"/>
  <c r="S57" i="174"/>
  <c r="S54" i="174" s="1"/>
  <c r="R57" i="174"/>
  <c r="O57" i="174"/>
  <c r="J57" i="174"/>
  <c r="E57" i="174"/>
  <c r="CP56" i="174"/>
  <c r="CK56" i="174"/>
  <c r="CG56" i="174"/>
  <c r="CB56" i="174"/>
  <c r="BW56" i="174"/>
  <c r="BR56" i="174"/>
  <c r="BM56" i="174"/>
  <c r="BH56" i="174"/>
  <c r="BC56" i="174"/>
  <c r="AX56" i="174"/>
  <c r="AS56" i="174"/>
  <c r="AN56" i="174"/>
  <c r="AI56" i="174"/>
  <c r="AD56" i="174"/>
  <c r="X56" i="174"/>
  <c r="W56" i="174"/>
  <c r="S56" i="174"/>
  <c r="R56" i="174"/>
  <c r="O56" i="174"/>
  <c r="J56" i="174"/>
  <c r="E56" i="174"/>
  <c r="CQ55" i="174"/>
  <c r="CP55" i="174"/>
  <c r="CG55" i="174"/>
  <c r="CB55" i="174"/>
  <c r="BW55" i="174"/>
  <c r="BR55" i="174"/>
  <c r="BM55" i="174"/>
  <c r="BH55" i="174"/>
  <c r="BC55" i="174"/>
  <c r="AX55" i="174"/>
  <c r="AS55" i="174"/>
  <c r="AS54" i="174" s="1"/>
  <c r="AN55" i="174"/>
  <c r="AI55" i="174"/>
  <c r="AD55" i="174"/>
  <c r="X55" i="174"/>
  <c r="W55" i="174"/>
  <c r="CJ55" i="174" s="1"/>
  <c r="S55" i="174"/>
  <c r="R55" i="174"/>
  <c r="O55" i="174"/>
  <c r="J55" i="174"/>
  <c r="E55" i="174"/>
  <c r="CF54" i="174"/>
  <c r="CE54" i="174"/>
  <c r="CA54" i="174"/>
  <c r="BZ54" i="174"/>
  <c r="BV54" i="174"/>
  <c r="BU54" i="174"/>
  <c r="BQ54" i="174"/>
  <c r="BP54" i="174"/>
  <c r="BL54" i="174"/>
  <c r="BK54" i="174"/>
  <c r="BG54" i="174"/>
  <c r="BF54" i="174"/>
  <c r="BB54" i="174"/>
  <c r="BA54" i="174"/>
  <c r="AW54" i="174"/>
  <c r="AV54" i="174"/>
  <c r="AR54" i="174"/>
  <c r="AQ54" i="174"/>
  <c r="AM54" i="174"/>
  <c r="AL54" i="174"/>
  <c r="AH54" i="174"/>
  <c r="AG54" i="174"/>
  <c r="AC54" i="174"/>
  <c r="AB54" i="174"/>
  <c r="N54" i="174"/>
  <c r="M54" i="174"/>
  <c r="I54" i="174"/>
  <c r="H54" i="174"/>
  <c r="D54" i="174"/>
  <c r="C54" i="174"/>
  <c r="CK53" i="174"/>
  <c r="CJ53" i="174"/>
  <c r="CP52" i="174"/>
  <c r="CQ52" i="174" s="1"/>
  <c r="CJ52" i="174"/>
  <c r="CG52" i="174"/>
  <c r="CB52" i="174"/>
  <c r="BW52" i="174"/>
  <c r="BR52" i="174"/>
  <c r="BM52" i="174"/>
  <c r="BH52" i="174"/>
  <c r="BC52" i="174"/>
  <c r="AX52" i="174"/>
  <c r="AS52" i="174"/>
  <c r="AN52" i="174"/>
  <c r="AI52" i="174"/>
  <c r="AD52" i="174"/>
  <c r="X52" i="174"/>
  <c r="W52" i="174"/>
  <c r="S52" i="174"/>
  <c r="R52" i="174"/>
  <c r="O52" i="174"/>
  <c r="J52" i="174"/>
  <c r="E52" i="174"/>
  <c r="CP51" i="174"/>
  <c r="CQ51" i="174" s="1"/>
  <c r="CG51" i="174"/>
  <c r="CB51" i="174"/>
  <c r="BW51" i="174"/>
  <c r="BR51" i="174"/>
  <c r="BR50" i="174" s="1"/>
  <c r="BM51" i="174"/>
  <c r="BH51" i="174"/>
  <c r="BC51" i="174"/>
  <c r="AX51" i="174"/>
  <c r="AX50" i="174" s="1"/>
  <c r="AS51" i="174"/>
  <c r="AN51" i="174"/>
  <c r="AN50" i="174" s="1"/>
  <c r="AI51" i="174"/>
  <c r="AD51" i="174"/>
  <c r="AD50" i="174" s="1"/>
  <c r="X51" i="174"/>
  <c r="CK51" i="174" s="1"/>
  <c r="W51" i="174"/>
  <c r="Y51" i="174" s="1"/>
  <c r="S51" i="174"/>
  <c r="R51" i="174"/>
  <c r="T51" i="174" s="1"/>
  <c r="O51" i="174"/>
  <c r="J51" i="174"/>
  <c r="J50" i="174" s="1"/>
  <c r="E51" i="174"/>
  <c r="CP50" i="174"/>
  <c r="CG50" i="174"/>
  <c r="CF50" i="174"/>
  <c r="CE50" i="174"/>
  <c r="CB50" i="174"/>
  <c r="CA50" i="174"/>
  <c r="BZ50" i="174"/>
  <c r="BW50" i="174"/>
  <c r="BV50" i="174"/>
  <c r="BU50" i="174"/>
  <c r="BQ50" i="174"/>
  <c r="BP50" i="174"/>
  <c r="BM50" i="174"/>
  <c r="BL50" i="174"/>
  <c r="BK50" i="174"/>
  <c r="BG50" i="174"/>
  <c r="BF50" i="174"/>
  <c r="BC50" i="174"/>
  <c r="BB50" i="174"/>
  <c r="BA50" i="174"/>
  <c r="AW50" i="174"/>
  <c r="AV50" i="174"/>
  <c r="AS50" i="174"/>
  <c r="AR50" i="174"/>
  <c r="AQ50" i="174"/>
  <c r="AM50" i="174"/>
  <c r="AL50" i="174"/>
  <c r="AI50" i="174"/>
  <c r="AH50" i="174"/>
  <c r="AG50" i="174"/>
  <c r="AC50" i="174"/>
  <c r="AB50" i="174"/>
  <c r="S50" i="174"/>
  <c r="N50" i="174"/>
  <c r="M50" i="174"/>
  <c r="I50" i="174"/>
  <c r="H50" i="174"/>
  <c r="D50" i="174"/>
  <c r="C50" i="174"/>
  <c r="CP48" i="174"/>
  <c r="CQ48" i="174" s="1"/>
  <c r="CG48" i="174"/>
  <c r="CG41" i="174" s="1"/>
  <c r="CB48" i="174"/>
  <c r="BW48" i="174"/>
  <c r="BR48" i="174"/>
  <c r="BM48" i="174"/>
  <c r="BH48" i="174"/>
  <c r="BC48" i="174"/>
  <c r="AX48" i="174"/>
  <c r="AS48" i="174"/>
  <c r="AN48" i="174"/>
  <c r="AI48" i="174"/>
  <c r="AD48" i="174"/>
  <c r="X48" i="174"/>
  <c r="CK48" i="174" s="1"/>
  <c r="W48" i="174"/>
  <c r="S48" i="174"/>
  <c r="R48" i="174"/>
  <c r="T48" i="174" s="1"/>
  <c r="O48" i="174"/>
  <c r="J48" i="174"/>
  <c r="E48" i="174"/>
  <c r="CP47" i="174"/>
  <c r="CQ47" i="174" s="1"/>
  <c r="CG47" i="174"/>
  <c r="CB47" i="174"/>
  <c r="BW47" i="174"/>
  <c r="BR47" i="174"/>
  <c r="BM47" i="174"/>
  <c r="BH47" i="174"/>
  <c r="BC47" i="174"/>
  <c r="AX47" i="174"/>
  <c r="AS47" i="174"/>
  <c r="AN47" i="174"/>
  <c r="AI47" i="174"/>
  <c r="AD47" i="174"/>
  <c r="X47" i="174"/>
  <c r="CK47" i="174" s="1"/>
  <c r="W47" i="174"/>
  <c r="T47" i="174"/>
  <c r="S47" i="174"/>
  <c r="R47" i="174"/>
  <c r="O47" i="174"/>
  <c r="J47" i="174"/>
  <c r="E47" i="174"/>
  <c r="CP46" i="174"/>
  <c r="CG46" i="174"/>
  <c r="CB46" i="174"/>
  <c r="BW46" i="174"/>
  <c r="BR46" i="174"/>
  <c r="BM46" i="174"/>
  <c r="BH46" i="174"/>
  <c r="BC46" i="174"/>
  <c r="AX46" i="174"/>
  <c r="AS46" i="174"/>
  <c r="AN46" i="174"/>
  <c r="AI46" i="174"/>
  <c r="AD46" i="174"/>
  <c r="Y46" i="174"/>
  <c r="X46" i="174"/>
  <c r="CK46" i="174" s="1"/>
  <c r="W46" i="174"/>
  <c r="CJ46" i="174" s="1"/>
  <c r="CL46" i="174" s="1"/>
  <c r="S46" i="174"/>
  <c r="R46" i="174"/>
  <c r="O46" i="174"/>
  <c r="J46" i="174"/>
  <c r="E46" i="174"/>
  <c r="CP45" i="174"/>
  <c r="CQ45" i="174" s="1"/>
  <c r="CK45" i="174"/>
  <c r="CG45" i="174"/>
  <c r="CB45" i="174"/>
  <c r="BW45" i="174"/>
  <c r="BR45" i="174"/>
  <c r="BM45" i="174"/>
  <c r="BH45" i="174"/>
  <c r="BC45" i="174"/>
  <c r="AX45" i="174"/>
  <c r="AS45" i="174"/>
  <c r="AN45" i="174"/>
  <c r="AI45" i="174"/>
  <c r="AD45" i="174"/>
  <c r="X45" i="174"/>
  <c r="W45" i="174"/>
  <c r="S45" i="174"/>
  <c r="R45" i="174"/>
  <c r="T45" i="174" s="1"/>
  <c r="O45" i="174"/>
  <c r="J45" i="174"/>
  <c r="E45" i="174"/>
  <c r="CQ44" i="174"/>
  <c r="CP44" i="174"/>
  <c r="CL44" i="174"/>
  <c r="CJ44" i="174"/>
  <c r="CG44" i="174"/>
  <c r="CB44" i="174"/>
  <c r="BW44" i="174"/>
  <c r="BR44" i="174"/>
  <c r="BM44" i="174"/>
  <c r="BH44" i="174"/>
  <c r="BC44" i="174"/>
  <c r="AX44" i="174"/>
  <c r="AS44" i="174"/>
  <c r="AN44" i="174"/>
  <c r="AI44" i="174"/>
  <c r="AD44" i="174"/>
  <c r="X44" i="174"/>
  <c r="CK44" i="174" s="1"/>
  <c r="W44" i="174"/>
  <c r="Y44" i="174" s="1"/>
  <c r="S44" i="174"/>
  <c r="R44" i="174"/>
  <c r="O44" i="174"/>
  <c r="J44" i="174"/>
  <c r="E44" i="174"/>
  <c r="CP43" i="174"/>
  <c r="CQ43" i="174" s="1"/>
  <c r="CK43" i="174"/>
  <c r="CG43" i="174"/>
  <c r="CB43" i="174"/>
  <c r="BW43" i="174"/>
  <c r="BR43" i="174"/>
  <c r="BM43" i="174"/>
  <c r="BH43" i="174"/>
  <c r="BC43" i="174"/>
  <c r="AX43" i="174"/>
  <c r="AS43" i="174"/>
  <c r="AN43" i="174"/>
  <c r="AI43" i="174"/>
  <c r="AD43" i="174"/>
  <c r="Y43" i="174"/>
  <c r="X43" i="174"/>
  <c r="W43" i="174"/>
  <c r="CJ43" i="174" s="1"/>
  <c r="CL43" i="174" s="1"/>
  <c r="S43" i="174"/>
  <c r="R43" i="174"/>
  <c r="T43" i="174" s="1"/>
  <c r="O43" i="174"/>
  <c r="J43" i="174"/>
  <c r="E43" i="174"/>
  <c r="CP42" i="174"/>
  <c r="CQ42" i="174" s="1"/>
  <c r="CK42" i="174"/>
  <c r="CG42" i="174"/>
  <c r="CB42" i="174"/>
  <c r="BW42" i="174"/>
  <c r="BR42" i="174"/>
  <c r="BM42" i="174"/>
  <c r="BH42" i="174"/>
  <c r="BC42" i="174"/>
  <c r="BC41" i="174" s="1"/>
  <c r="AX42" i="174"/>
  <c r="AS42" i="174"/>
  <c r="AN42" i="174"/>
  <c r="AI42" i="174"/>
  <c r="AD42" i="174"/>
  <c r="X42" i="174"/>
  <c r="W42" i="174"/>
  <c r="S42" i="174"/>
  <c r="R42" i="174"/>
  <c r="O42" i="174"/>
  <c r="J42" i="174"/>
  <c r="E42" i="174"/>
  <c r="CF41" i="174"/>
  <c r="CE41" i="174"/>
  <c r="CA41" i="174"/>
  <c r="BZ41" i="174"/>
  <c r="BV41" i="174"/>
  <c r="BU41" i="174"/>
  <c r="BQ41" i="174"/>
  <c r="BP41" i="174"/>
  <c r="BL41" i="174"/>
  <c r="BK41" i="174"/>
  <c r="BG41" i="174"/>
  <c r="BF41" i="174"/>
  <c r="BB41" i="174"/>
  <c r="BA41" i="174"/>
  <c r="AW41" i="174"/>
  <c r="AV41" i="174"/>
  <c r="AR41" i="174"/>
  <c r="AQ41" i="174"/>
  <c r="AM41" i="174"/>
  <c r="AL41" i="174"/>
  <c r="AH41" i="174"/>
  <c r="AG41" i="174"/>
  <c r="AC41" i="174"/>
  <c r="AB41" i="174"/>
  <c r="N41" i="174"/>
  <c r="M41" i="174"/>
  <c r="I41" i="174"/>
  <c r="H41" i="174"/>
  <c r="D41" i="174"/>
  <c r="C41" i="174"/>
  <c r="X37" i="174"/>
  <c r="W37" i="174"/>
  <c r="CG36" i="174"/>
  <c r="CB36" i="174"/>
  <c r="CB35" i="174" s="1"/>
  <c r="BW36" i="174"/>
  <c r="BR36" i="174"/>
  <c r="BM36" i="174"/>
  <c r="BH36" i="174"/>
  <c r="BH35" i="174" s="1"/>
  <c r="BC36" i="174"/>
  <c r="AX36" i="174"/>
  <c r="AX35" i="174" s="1"/>
  <c r="AS36" i="174"/>
  <c r="AN36" i="174"/>
  <c r="AN35" i="174" s="1"/>
  <c r="AI36" i="174"/>
  <c r="AD36" i="174"/>
  <c r="X36" i="174"/>
  <c r="CK36" i="174" s="1"/>
  <c r="W36" i="174"/>
  <c r="CJ36" i="174" s="1"/>
  <c r="S36" i="174"/>
  <c r="R36" i="174"/>
  <c r="R35" i="174" s="1"/>
  <c r="O36" i="174"/>
  <c r="J36" i="174"/>
  <c r="E36" i="174"/>
  <c r="E35" i="174" s="1"/>
  <c r="CP35" i="174"/>
  <c r="CK35" i="174"/>
  <c r="CF35" i="174"/>
  <c r="CE35" i="174"/>
  <c r="CA35" i="174"/>
  <c r="BZ35" i="174"/>
  <c r="BW35" i="174"/>
  <c r="BV35" i="174"/>
  <c r="BU35" i="174"/>
  <c r="BR35" i="174"/>
  <c r="BQ35" i="174"/>
  <c r="BP35" i="174"/>
  <c r="BL35" i="174"/>
  <c r="BK35" i="174"/>
  <c r="BG35" i="174"/>
  <c r="BF35" i="174"/>
  <c r="BB35" i="174"/>
  <c r="BA35" i="174"/>
  <c r="AW35" i="174"/>
  <c r="AV35" i="174"/>
  <c r="AS35" i="174"/>
  <c r="AR35" i="174"/>
  <c r="AQ35" i="174"/>
  <c r="AM35" i="174"/>
  <c r="AL35" i="174"/>
  <c r="AH35" i="174"/>
  <c r="AG35" i="174"/>
  <c r="AD35" i="174"/>
  <c r="AC35" i="174"/>
  <c r="AB35" i="174"/>
  <c r="X35" i="174"/>
  <c r="W35" i="174"/>
  <c r="N35" i="174"/>
  <c r="M35" i="174"/>
  <c r="J35" i="174"/>
  <c r="I35" i="174"/>
  <c r="H35" i="174"/>
  <c r="D35" i="174"/>
  <c r="C35" i="174"/>
  <c r="CR33" i="174"/>
  <c r="CG33" i="174"/>
  <c r="CB33" i="174"/>
  <c r="BW33" i="174"/>
  <c r="BR33" i="174"/>
  <c r="BM33" i="174"/>
  <c r="BH33" i="174"/>
  <c r="BC33" i="174"/>
  <c r="AX33" i="174"/>
  <c r="AS33" i="174"/>
  <c r="AN33" i="174"/>
  <c r="AI33" i="174"/>
  <c r="AD33" i="174"/>
  <c r="X33" i="174"/>
  <c r="CK33" i="174" s="1"/>
  <c r="W33" i="174"/>
  <c r="CJ33" i="174" s="1"/>
  <c r="CL33" i="174" s="1"/>
  <c r="S33" i="174"/>
  <c r="R33" i="174"/>
  <c r="O33" i="174"/>
  <c r="J33" i="174"/>
  <c r="E33" i="174"/>
  <c r="CG32" i="174"/>
  <c r="CB32" i="174"/>
  <c r="BW32" i="174"/>
  <c r="BR32" i="174"/>
  <c r="BM32" i="174"/>
  <c r="BH32" i="174"/>
  <c r="BC32" i="174"/>
  <c r="AX32" i="174"/>
  <c r="AS32" i="174"/>
  <c r="AN32" i="174"/>
  <c r="AI32" i="174"/>
  <c r="AD32" i="174"/>
  <c r="X32" i="174"/>
  <c r="CK32" i="174" s="1"/>
  <c r="W32" i="174"/>
  <c r="Y32" i="174" s="1"/>
  <c r="S32" i="174"/>
  <c r="R32" i="174"/>
  <c r="T32" i="174" s="1"/>
  <c r="O32" i="174"/>
  <c r="J32" i="174"/>
  <c r="E32" i="174"/>
  <c r="CG31" i="174"/>
  <c r="CB31" i="174"/>
  <c r="BW31" i="174"/>
  <c r="BR31" i="174"/>
  <c r="BM31" i="174"/>
  <c r="BH31" i="174"/>
  <c r="BC31" i="174"/>
  <c r="AX31" i="174"/>
  <c r="AS31" i="174"/>
  <c r="AN31" i="174"/>
  <c r="AI31" i="174"/>
  <c r="AD31" i="174"/>
  <c r="X31" i="174"/>
  <c r="CK31" i="174" s="1"/>
  <c r="W31" i="174"/>
  <c r="S31" i="174"/>
  <c r="R31" i="174"/>
  <c r="T31" i="174" s="1"/>
  <c r="O31" i="174"/>
  <c r="J31" i="174"/>
  <c r="E31" i="174"/>
  <c r="CG30" i="174"/>
  <c r="CB30" i="174"/>
  <c r="BW30" i="174"/>
  <c r="BR30" i="174"/>
  <c r="BM30" i="174"/>
  <c r="BH30" i="174"/>
  <c r="BC30" i="174"/>
  <c r="AX30" i="174"/>
  <c r="AS30" i="174"/>
  <c r="AN30" i="174"/>
  <c r="AI30" i="174"/>
  <c r="AD30" i="174"/>
  <c r="X30" i="174"/>
  <c r="CK30" i="174" s="1"/>
  <c r="W30" i="174"/>
  <c r="S30" i="174"/>
  <c r="R30" i="174"/>
  <c r="O30" i="174"/>
  <c r="J30" i="174"/>
  <c r="E30" i="174"/>
  <c r="CG29" i="174"/>
  <c r="CB29" i="174"/>
  <c r="BW29" i="174"/>
  <c r="BR29" i="174"/>
  <c r="BM29" i="174"/>
  <c r="BH29" i="174"/>
  <c r="BC29" i="174"/>
  <c r="AX29" i="174"/>
  <c r="AS29" i="174"/>
  <c r="AN29" i="174"/>
  <c r="AI29" i="174"/>
  <c r="AD29" i="174"/>
  <c r="X29" i="174"/>
  <c r="W29" i="174"/>
  <c r="CJ29" i="174" s="1"/>
  <c r="S29" i="174"/>
  <c r="R29" i="174"/>
  <c r="T29" i="174" s="1"/>
  <c r="O29" i="174"/>
  <c r="J29" i="174"/>
  <c r="E29" i="174"/>
  <c r="CJ28" i="174"/>
  <c r="CG28" i="174"/>
  <c r="CB28" i="174"/>
  <c r="BW28" i="174"/>
  <c r="BR28" i="174"/>
  <c r="BM28" i="174"/>
  <c r="BH28" i="174"/>
  <c r="BC28" i="174"/>
  <c r="AX28" i="174"/>
  <c r="AS28" i="174"/>
  <c r="AN28" i="174"/>
  <c r="AI28" i="174"/>
  <c r="AD28" i="174"/>
  <c r="X28" i="174"/>
  <c r="CK28" i="174" s="1"/>
  <c r="W28" i="174"/>
  <c r="S28" i="174"/>
  <c r="R28" i="174"/>
  <c r="T28" i="174" s="1"/>
  <c r="O28" i="174"/>
  <c r="J28" i="174"/>
  <c r="E28" i="174"/>
  <c r="CG27" i="174"/>
  <c r="CB27" i="174"/>
  <c r="BW27" i="174"/>
  <c r="BR27" i="174"/>
  <c r="BM27" i="174"/>
  <c r="BH27" i="174"/>
  <c r="BC27" i="174"/>
  <c r="AX27" i="174"/>
  <c r="AS27" i="174"/>
  <c r="AN27" i="174"/>
  <c r="AI27" i="174"/>
  <c r="AD27" i="174"/>
  <c r="X27" i="174"/>
  <c r="CK27" i="174" s="1"/>
  <c r="W27" i="174"/>
  <c r="S27" i="174"/>
  <c r="R27" i="174"/>
  <c r="O27" i="174"/>
  <c r="J27" i="174"/>
  <c r="E27" i="174"/>
  <c r="CR26" i="174"/>
  <c r="CG26" i="174"/>
  <c r="CB26" i="174"/>
  <c r="BW26" i="174"/>
  <c r="BR26" i="174"/>
  <c r="BM26" i="174"/>
  <c r="BH26" i="174"/>
  <c r="BC26" i="174"/>
  <c r="AX26" i="174"/>
  <c r="AS26" i="174"/>
  <c r="AN26" i="174"/>
  <c r="AI26" i="174"/>
  <c r="AD26" i="174"/>
  <c r="Y26" i="174"/>
  <c r="X26" i="174"/>
  <c r="CK26" i="174" s="1"/>
  <c r="W26" i="174"/>
  <c r="CJ26" i="174" s="1"/>
  <c r="CL26" i="174" s="1"/>
  <c r="S26" i="174"/>
  <c r="R26" i="174"/>
  <c r="T26" i="174" s="1"/>
  <c r="O26" i="174"/>
  <c r="J26" i="174"/>
  <c r="E26" i="174"/>
  <c r="CG25" i="174"/>
  <c r="CB25" i="174"/>
  <c r="BW25" i="174"/>
  <c r="BR25" i="174"/>
  <c r="BM25" i="174"/>
  <c r="BH25" i="174"/>
  <c r="BC25" i="174"/>
  <c r="BA25" i="174"/>
  <c r="AX25" i="174"/>
  <c r="AS25" i="174"/>
  <c r="AN25" i="174"/>
  <c r="AI25" i="174"/>
  <c r="AD25" i="174"/>
  <c r="X25" i="174"/>
  <c r="S25" i="174"/>
  <c r="R25" i="174"/>
  <c r="O25" i="174"/>
  <c r="J25" i="174"/>
  <c r="E25" i="174"/>
  <c r="CK24" i="174"/>
  <c r="CG24" i="174"/>
  <c r="CB24" i="174"/>
  <c r="BW24" i="174"/>
  <c r="BR24" i="174"/>
  <c r="BM24" i="174"/>
  <c r="BH24" i="174"/>
  <c r="BC24" i="174"/>
  <c r="AX24" i="174"/>
  <c r="AS24" i="174"/>
  <c r="AN24" i="174"/>
  <c r="AI24" i="174"/>
  <c r="AD24" i="174"/>
  <c r="X24" i="174"/>
  <c r="W24" i="174"/>
  <c r="CJ24" i="174" s="1"/>
  <c r="S24" i="174"/>
  <c r="R24" i="174"/>
  <c r="T24" i="174" s="1"/>
  <c r="O24" i="174"/>
  <c r="J24" i="174"/>
  <c r="E24" i="174"/>
  <c r="CJ23" i="174"/>
  <c r="CG23" i="174"/>
  <c r="CB23" i="174"/>
  <c r="BW23" i="174"/>
  <c r="BR23" i="174"/>
  <c r="BM23" i="174"/>
  <c r="BH23" i="174"/>
  <c r="BC23" i="174"/>
  <c r="AX23" i="174"/>
  <c r="AS23" i="174"/>
  <c r="AN23" i="174"/>
  <c r="AI23" i="174"/>
  <c r="AD23" i="174"/>
  <c r="X23" i="174"/>
  <c r="CK23" i="174" s="1"/>
  <c r="W23" i="174"/>
  <c r="Y23" i="174" s="1"/>
  <c r="S23" i="174"/>
  <c r="R23" i="174"/>
  <c r="O23" i="174"/>
  <c r="J23" i="174"/>
  <c r="E23" i="174"/>
  <c r="CK22" i="174"/>
  <c r="CG22" i="174"/>
  <c r="CB22" i="174"/>
  <c r="BW22" i="174"/>
  <c r="BR22" i="174"/>
  <c r="BM22" i="174"/>
  <c r="BH22" i="174"/>
  <c r="BC22" i="174"/>
  <c r="AX22" i="174"/>
  <c r="AS22" i="174"/>
  <c r="AN22" i="174"/>
  <c r="AI22" i="174"/>
  <c r="AD22" i="174"/>
  <c r="X22" i="174"/>
  <c r="W22" i="174"/>
  <c r="S22" i="174"/>
  <c r="R22" i="174"/>
  <c r="O22" i="174"/>
  <c r="J22" i="174"/>
  <c r="E22" i="174"/>
  <c r="CG21" i="174"/>
  <c r="CB21" i="174"/>
  <c r="BW21" i="174"/>
  <c r="BR21" i="174"/>
  <c r="BM21" i="174"/>
  <c r="BH21" i="174"/>
  <c r="BC21" i="174"/>
  <c r="AX21" i="174"/>
  <c r="AS21" i="174"/>
  <c r="AN21" i="174"/>
  <c r="AI21" i="174"/>
  <c r="AD21" i="174"/>
  <c r="X21" i="174"/>
  <c r="CK21" i="174" s="1"/>
  <c r="W21" i="174"/>
  <c r="CJ21" i="174" s="1"/>
  <c r="S21" i="174"/>
  <c r="R21" i="174"/>
  <c r="O21" i="174"/>
  <c r="J21" i="174"/>
  <c r="E21" i="174"/>
  <c r="CG20" i="174"/>
  <c r="CB20" i="174"/>
  <c r="BW20" i="174"/>
  <c r="BR20" i="174"/>
  <c r="BM20" i="174"/>
  <c r="BH20" i="174"/>
  <c r="BC20" i="174"/>
  <c r="AX20" i="174"/>
  <c r="AS20" i="174"/>
  <c r="AN20" i="174"/>
  <c r="AI20" i="174"/>
  <c r="AD20" i="174"/>
  <c r="X20" i="174"/>
  <c r="CK20" i="174" s="1"/>
  <c r="W20" i="174"/>
  <c r="CJ20" i="174" s="1"/>
  <c r="S20" i="174"/>
  <c r="R20" i="174"/>
  <c r="O20" i="174"/>
  <c r="J20" i="174"/>
  <c r="E20" i="174"/>
  <c r="CG19" i="174"/>
  <c r="CB19" i="174"/>
  <c r="BW19" i="174"/>
  <c r="BR19" i="174"/>
  <c r="BM19" i="174"/>
  <c r="BH19" i="174"/>
  <c r="BC19" i="174"/>
  <c r="AX19" i="174"/>
  <c r="AS19" i="174"/>
  <c r="AN19" i="174"/>
  <c r="AI19" i="174"/>
  <c r="AD19" i="174"/>
  <c r="X19" i="174"/>
  <c r="CK19" i="174" s="1"/>
  <c r="W19" i="174"/>
  <c r="CJ19" i="174" s="1"/>
  <c r="S19" i="174"/>
  <c r="R19" i="174"/>
  <c r="O19" i="174"/>
  <c r="J19" i="174"/>
  <c r="E19" i="174"/>
  <c r="CG18" i="174"/>
  <c r="CB18" i="174"/>
  <c r="BW18" i="174"/>
  <c r="BR18" i="174"/>
  <c r="BM18" i="174"/>
  <c r="BH18" i="174"/>
  <c r="BC18" i="174"/>
  <c r="AX18" i="174"/>
  <c r="AS18" i="174"/>
  <c r="AN18" i="174"/>
  <c r="AI18" i="174"/>
  <c r="AD18" i="174"/>
  <c r="X18" i="174"/>
  <c r="CK18" i="174" s="1"/>
  <c r="W18" i="174"/>
  <c r="CJ18" i="174" s="1"/>
  <c r="CL18" i="174" s="1"/>
  <c r="S18" i="174"/>
  <c r="R18" i="174"/>
  <c r="O18" i="174"/>
  <c r="J18" i="174"/>
  <c r="E18" i="174"/>
  <c r="CG17" i="174"/>
  <c r="CB17" i="174"/>
  <c r="BW17" i="174"/>
  <c r="BR17" i="174"/>
  <c r="BM17" i="174"/>
  <c r="BH17" i="174"/>
  <c r="BC17" i="174"/>
  <c r="AX17" i="174"/>
  <c r="AS17" i="174"/>
  <c r="AN17" i="174"/>
  <c r="AI17" i="174"/>
  <c r="AD17" i="174"/>
  <c r="X17" i="174"/>
  <c r="CK17" i="174" s="1"/>
  <c r="W17" i="174"/>
  <c r="CJ17" i="174" s="1"/>
  <c r="S17" i="174"/>
  <c r="R17" i="174"/>
  <c r="O17" i="174"/>
  <c r="J17" i="174"/>
  <c r="E17" i="174"/>
  <c r="CG16" i="174"/>
  <c r="CB16" i="174"/>
  <c r="BW16" i="174"/>
  <c r="BR16" i="174"/>
  <c r="BM16" i="174"/>
  <c r="BH16" i="174"/>
  <c r="BC16" i="174"/>
  <c r="AX16" i="174"/>
  <c r="AS16" i="174"/>
  <c r="AN16" i="174"/>
  <c r="AI16" i="174"/>
  <c r="AD16" i="174"/>
  <c r="X16" i="174"/>
  <c r="CK16" i="174" s="1"/>
  <c r="W16" i="174"/>
  <c r="CJ16" i="174" s="1"/>
  <c r="S16" i="174"/>
  <c r="R16" i="174"/>
  <c r="O16" i="174"/>
  <c r="J16" i="174"/>
  <c r="E16" i="174"/>
  <c r="CG15" i="174"/>
  <c r="CB15" i="174"/>
  <c r="BW15" i="174"/>
  <c r="BR15" i="174"/>
  <c r="BM15" i="174"/>
  <c r="BH15" i="174"/>
  <c r="BC15" i="174"/>
  <c r="AX15" i="174"/>
  <c r="AS15" i="174"/>
  <c r="AN15" i="174"/>
  <c r="AI15" i="174"/>
  <c r="AD15" i="174"/>
  <c r="X15" i="174"/>
  <c r="CK15" i="174" s="1"/>
  <c r="W15" i="174"/>
  <c r="CJ15" i="174" s="1"/>
  <c r="S15" i="174"/>
  <c r="R15" i="174"/>
  <c r="O15" i="174"/>
  <c r="J15" i="174"/>
  <c r="E15" i="174"/>
  <c r="CG14" i="174"/>
  <c r="CB14" i="174"/>
  <c r="BW14" i="174"/>
  <c r="BR14" i="174"/>
  <c r="BM14" i="174"/>
  <c r="BH14" i="174"/>
  <c r="BC14" i="174"/>
  <c r="AX14" i="174"/>
  <c r="AS14" i="174"/>
  <c r="AN14" i="174"/>
  <c r="AI14" i="174"/>
  <c r="AD14" i="174"/>
  <c r="X14" i="174"/>
  <c r="CK14" i="174" s="1"/>
  <c r="W14" i="174"/>
  <c r="CJ14" i="174" s="1"/>
  <c r="CL14" i="174" s="1"/>
  <c r="S14" i="174"/>
  <c r="R14" i="174"/>
  <c r="O14" i="174"/>
  <c r="J14" i="174"/>
  <c r="E14" i="174"/>
  <c r="CG13" i="174"/>
  <c r="CB13" i="174"/>
  <c r="BW13" i="174"/>
  <c r="BR13" i="174"/>
  <c r="BM13" i="174"/>
  <c r="BH13" i="174"/>
  <c r="BC13" i="174"/>
  <c r="AX13" i="174"/>
  <c r="AS13" i="174"/>
  <c r="AN13" i="174"/>
  <c r="AI13" i="174"/>
  <c r="AD13" i="174"/>
  <c r="X13" i="174"/>
  <c r="CK13" i="174" s="1"/>
  <c r="W13" i="174"/>
  <c r="CJ13" i="174" s="1"/>
  <c r="S13" i="174"/>
  <c r="R13" i="174"/>
  <c r="O13" i="174"/>
  <c r="J13" i="174"/>
  <c r="E13" i="174"/>
  <c r="CG12" i="174"/>
  <c r="CB12" i="174"/>
  <c r="BW12" i="174"/>
  <c r="BR12" i="174"/>
  <c r="BM12" i="174"/>
  <c r="BH12" i="174"/>
  <c r="BC12" i="174"/>
  <c r="AX12" i="174"/>
  <c r="AS12" i="174"/>
  <c r="AS8" i="174" s="1"/>
  <c r="AN12" i="174"/>
  <c r="AI12" i="174"/>
  <c r="AD12" i="174"/>
  <c r="X12" i="174"/>
  <c r="CK12" i="174" s="1"/>
  <c r="W12" i="174"/>
  <c r="CJ12" i="174" s="1"/>
  <c r="S12" i="174"/>
  <c r="R12" i="174"/>
  <c r="O12" i="174"/>
  <c r="J12" i="174"/>
  <c r="E12" i="174"/>
  <c r="CG11" i="174"/>
  <c r="CB11" i="174"/>
  <c r="BW11" i="174"/>
  <c r="BR11" i="174"/>
  <c r="BM11" i="174"/>
  <c r="BH11" i="174"/>
  <c r="BC11" i="174"/>
  <c r="AX11" i="174"/>
  <c r="AS11" i="174"/>
  <c r="AN11" i="174"/>
  <c r="AI11" i="174"/>
  <c r="AD11" i="174"/>
  <c r="X11" i="174"/>
  <c r="CK11" i="174" s="1"/>
  <c r="W11" i="174"/>
  <c r="CJ11" i="174" s="1"/>
  <c r="S11" i="174"/>
  <c r="T11" i="174" s="1"/>
  <c r="R11" i="174"/>
  <c r="O11" i="174"/>
  <c r="J11" i="174"/>
  <c r="E11" i="174"/>
  <c r="CG10" i="174"/>
  <c r="CB10" i="174"/>
  <c r="BW10" i="174"/>
  <c r="BR10" i="174"/>
  <c r="BM10" i="174"/>
  <c r="BH10" i="174"/>
  <c r="BC10" i="174"/>
  <c r="AX10" i="174"/>
  <c r="AS10" i="174"/>
  <c r="AN10" i="174"/>
  <c r="AI10" i="174"/>
  <c r="AD10" i="174"/>
  <c r="X10" i="174"/>
  <c r="CK10" i="174" s="1"/>
  <c r="W10" i="174"/>
  <c r="S10" i="174"/>
  <c r="R10" i="174"/>
  <c r="O10" i="174"/>
  <c r="J10" i="174"/>
  <c r="E10" i="174"/>
  <c r="CG9" i="174"/>
  <c r="CB9" i="174"/>
  <c r="BW9" i="174"/>
  <c r="BR9" i="174"/>
  <c r="BR8" i="174" s="1"/>
  <c r="BM9" i="174"/>
  <c r="BH9" i="174"/>
  <c r="BC9" i="174"/>
  <c r="AX9" i="174"/>
  <c r="AS9" i="174"/>
  <c r="AN9" i="174"/>
  <c r="AI9" i="174"/>
  <c r="AD9" i="174"/>
  <c r="X9" i="174"/>
  <c r="CK9" i="174" s="1"/>
  <c r="W9" i="174"/>
  <c r="CJ9" i="174" s="1"/>
  <c r="T9" i="174"/>
  <c r="S9" i="174"/>
  <c r="R9" i="174"/>
  <c r="O9" i="174"/>
  <c r="J9" i="174"/>
  <c r="E9" i="174"/>
  <c r="CP8" i="174"/>
  <c r="CF8" i="174"/>
  <c r="CE8" i="174"/>
  <c r="CA8" i="174"/>
  <c r="BZ8" i="174"/>
  <c r="BV8" i="174"/>
  <c r="BU8" i="174"/>
  <c r="BQ8" i="174"/>
  <c r="BP8" i="174"/>
  <c r="BL8" i="174"/>
  <c r="BK8" i="174"/>
  <c r="BG8" i="174"/>
  <c r="BF8" i="174"/>
  <c r="BB8" i="174"/>
  <c r="BA8" i="174"/>
  <c r="AW8" i="174"/>
  <c r="AV8" i="174"/>
  <c r="AR8" i="174"/>
  <c r="AQ8" i="174"/>
  <c r="AM8" i="174"/>
  <c r="AL8" i="174"/>
  <c r="AH8" i="174"/>
  <c r="AG8" i="174"/>
  <c r="AC8" i="174"/>
  <c r="AB8" i="174"/>
  <c r="N8" i="174"/>
  <c r="M8" i="174"/>
  <c r="I8" i="174"/>
  <c r="H8" i="174"/>
  <c r="D8" i="174"/>
  <c r="C8" i="174"/>
  <c r="CK7" i="174"/>
  <c r="CL7" i="174" s="1"/>
  <c r="CG7" i="174"/>
  <c r="CB7" i="174"/>
  <c r="BW7" i="174"/>
  <c r="BR7" i="174"/>
  <c r="BM7" i="174"/>
  <c r="BH7" i="174"/>
  <c r="BC7" i="174"/>
  <c r="AX7" i="174"/>
  <c r="AS7" i="174"/>
  <c r="AN7" i="174"/>
  <c r="AI7" i="174"/>
  <c r="AD7" i="174"/>
  <c r="X7" i="174"/>
  <c r="W7" i="174"/>
  <c r="CJ7" i="174" s="1"/>
  <c r="S7" i="174"/>
  <c r="R7" i="174"/>
  <c r="O7" i="174"/>
  <c r="J7" i="174"/>
  <c r="E7" i="174"/>
  <c r="CG6" i="174"/>
  <c r="CG5" i="174" s="1"/>
  <c r="CB6" i="174"/>
  <c r="BW6" i="174"/>
  <c r="BW5" i="174" s="1"/>
  <c r="BR6" i="174"/>
  <c r="BM6" i="174"/>
  <c r="BH6" i="174"/>
  <c r="BC6" i="174"/>
  <c r="BC5" i="174" s="1"/>
  <c r="AX6" i="174"/>
  <c r="AX5" i="174" s="1"/>
  <c r="AS6" i="174"/>
  <c r="AN6" i="174"/>
  <c r="AI6" i="174"/>
  <c r="AD6" i="174"/>
  <c r="X6" i="174"/>
  <c r="W6" i="174"/>
  <c r="CJ6" i="174" s="1"/>
  <c r="CJ5" i="174" s="1"/>
  <c r="T6" i="174"/>
  <c r="S6" i="174"/>
  <c r="R6" i="174"/>
  <c r="O6" i="174"/>
  <c r="J6" i="174"/>
  <c r="J5" i="174" s="1"/>
  <c r="E6" i="174"/>
  <c r="CP5" i="174"/>
  <c r="CP38" i="174" s="1"/>
  <c r="CF5" i="174"/>
  <c r="CE5" i="174"/>
  <c r="CB5" i="174"/>
  <c r="CA5" i="174"/>
  <c r="CA38" i="174" s="1"/>
  <c r="BZ5" i="174"/>
  <c r="BZ38" i="174" s="1"/>
  <c r="BZ75" i="174" s="1"/>
  <c r="BV5" i="174"/>
  <c r="BU5" i="174"/>
  <c r="BR5" i="174"/>
  <c r="BQ5" i="174"/>
  <c r="BQ38" i="174" s="1"/>
  <c r="BP5" i="174"/>
  <c r="BP38" i="174" s="1"/>
  <c r="BP75" i="174" s="1"/>
  <c r="BL5" i="174"/>
  <c r="BK5" i="174"/>
  <c r="BH5" i="174"/>
  <c r="BG5" i="174"/>
  <c r="BG38" i="174" s="1"/>
  <c r="BF5" i="174"/>
  <c r="BB5" i="174"/>
  <c r="BA5" i="174"/>
  <c r="BA38" i="174" s="1"/>
  <c r="AW5" i="174"/>
  <c r="AW38" i="174" s="1"/>
  <c r="AV5" i="174"/>
  <c r="AS5" i="174"/>
  <c r="AR5" i="174"/>
  <c r="AQ5" i="174"/>
  <c r="AQ38" i="174" s="1"/>
  <c r="AN5" i="174"/>
  <c r="AM5" i="174"/>
  <c r="AM38" i="174" s="1"/>
  <c r="AL5" i="174"/>
  <c r="AH5" i="174"/>
  <c r="AG5" i="174"/>
  <c r="AD5" i="174"/>
  <c r="AC5" i="174"/>
  <c r="AC38" i="174" s="1"/>
  <c r="AB5" i="174"/>
  <c r="AB38" i="174" s="1"/>
  <c r="AB75" i="174" s="1"/>
  <c r="S5" i="174"/>
  <c r="R5" i="174"/>
  <c r="O5" i="174"/>
  <c r="N5" i="174"/>
  <c r="N38" i="174" s="1"/>
  <c r="M5" i="174"/>
  <c r="M38" i="174" s="1"/>
  <c r="I5" i="174"/>
  <c r="H5" i="174"/>
  <c r="E5" i="174"/>
  <c r="D5" i="174"/>
  <c r="D38" i="174" s="1"/>
  <c r="C5" i="174"/>
  <c r="C38" i="174" s="1"/>
  <c r="CP85" i="175"/>
  <c r="CQ85" i="175" s="1"/>
  <c r="CL85" i="175"/>
  <c r="CK85" i="175"/>
  <c r="CJ85" i="175"/>
  <c r="CG85" i="175"/>
  <c r="CB85" i="175"/>
  <c r="BW85" i="175"/>
  <c r="BR85" i="175"/>
  <c r="BM85" i="175"/>
  <c r="BH85" i="175"/>
  <c r="BC85" i="175"/>
  <c r="AX85" i="175"/>
  <c r="AS85" i="175"/>
  <c r="AN85" i="175"/>
  <c r="AI85" i="175"/>
  <c r="AD85" i="175"/>
  <c r="X85" i="175"/>
  <c r="W85" i="175"/>
  <c r="Y85" i="175" s="1"/>
  <c r="S85" i="175"/>
  <c r="R85" i="175"/>
  <c r="T85" i="175" s="1"/>
  <c r="O85" i="175"/>
  <c r="J85" i="175"/>
  <c r="E85" i="175"/>
  <c r="CP82" i="175"/>
  <c r="CQ82" i="175" s="1"/>
  <c r="CL82" i="175"/>
  <c r="CG82" i="175"/>
  <c r="CB82" i="175"/>
  <c r="BW82" i="175"/>
  <c r="BR82" i="175"/>
  <c r="BM82" i="175"/>
  <c r="BH82" i="175"/>
  <c r="BC82" i="175"/>
  <c r="AX82" i="175"/>
  <c r="AS82" i="175"/>
  <c r="AN82" i="175"/>
  <c r="AI82" i="175"/>
  <c r="AD82" i="175"/>
  <c r="X82" i="175"/>
  <c r="W82" i="175"/>
  <c r="Y82" i="175" s="1"/>
  <c r="S82" i="175"/>
  <c r="R82" i="175"/>
  <c r="O82" i="175"/>
  <c r="J82" i="175"/>
  <c r="E82" i="175"/>
  <c r="CK80" i="175"/>
  <c r="CJ80" i="175"/>
  <c r="CP79" i="175"/>
  <c r="BM79" i="175"/>
  <c r="X79" i="175"/>
  <c r="CK79" i="175" s="1"/>
  <c r="S79" i="175"/>
  <c r="CP78" i="175"/>
  <c r="CG78" i="175"/>
  <c r="CB78" i="175"/>
  <c r="BW78" i="175"/>
  <c r="BR78" i="175"/>
  <c r="BM78" i="175"/>
  <c r="BM77" i="175" s="1"/>
  <c r="BH78" i="175"/>
  <c r="BC78" i="175"/>
  <c r="AX78" i="175"/>
  <c r="AS78" i="175"/>
  <c r="AN78" i="175"/>
  <c r="AI78" i="175"/>
  <c r="AD78" i="175"/>
  <c r="X78" i="175"/>
  <c r="W78" i="175"/>
  <c r="CJ78" i="175" s="1"/>
  <c r="S78" i="175"/>
  <c r="R78" i="175"/>
  <c r="O78" i="175"/>
  <c r="J78" i="175"/>
  <c r="E78" i="175"/>
  <c r="CF77" i="175"/>
  <c r="CA77" i="175"/>
  <c r="BV77" i="175"/>
  <c r="BQ77" i="175"/>
  <c r="BL77" i="175"/>
  <c r="BK77" i="175"/>
  <c r="BG77" i="175"/>
  <c r="BB77" i="175"/>
  <c r="AW77" i="175"/>
  <c r="AR77" i="175"/>
  <c r="AM77" i="175"/>
  <c r="AH77" i="175"/>
  <c r="AC77" i="175"/>
  <c r="N77" i="175"/>
  <c r="I77" i="175"/>
  <c r="D77" i="175"/>
  <c r="CK74" i="175"/>
  <c r="CJ74" i="175"/>
  <c r="CG74" i="175"/>
  <c r="CB74" i="175"/>
  <c r="BW74" i="175"/>
  <c r="BW73" i="175" s="1"/>
  <c r="BR74" i="175"/>
  <c r="BR73" i="175" s="1"/>
  <c r="BM74" i="175"/>
  <c r="BM73" i="175" s="1"/>
  <c r="BH74" i="175"/>
  <c r="BH73" i="175" s="1"/>
  <c r="BC74" i="175"/>
  <c r="BC73" i="175" s="1"/>
  <c r="AX74" i="175"/>
  <c r="AX73" i="175" s="1"/>
  <c r="AS74" i="175"/>
  <c r="AS73" i="175" s="1"/>
  <c r="AN74" i="175"/>
  <c r="AI74" i="175"/>
  <c r="AI73" i="175" s="1"/>
  <c r="AD74" i="175"/>
  <c r="X74" i="175"/>
  <c r="W74" i="175"/>
  <c r="W73" i="175" s="1"/>
  <c r="O74" i="175"/>
  <c r="J74" i="175"/>
  <c r="E74" i="175"/>
  <c r="CP73" i="175"/>
  <c r="CJ73" i="175"/>
  <c r="CG73" i="175"/>
  <c r="CF73" i="175"/>
  <c r="CE73" i="175"/>
  <c r="CB73" i="175"/>
  <c r="CA73" i="175"/>
  <c r="BZ73" i="175"/>
  <c r="BV73" i="175"/>
  <c r="BU73" i="175"/>
  <c r="BQ73" i="175"/>
  <c r="BP73" i="175"/>
  <c r="BL73" i="175"/>
  <c r="BK73" i="175"/>
  <c r="BG73" i="175"/>
  <c r="BF73" i="175"/>
  <c r="BB73" i="175"/>
  <c r="BA73" i="175"/>
  <c r="AW73" i="175"/>
  <c r="AV73" i="175"/>
  <c r="AR73" i="175"/>
  <c r="AQ73" i="175"/>
  <c r="AN73" i="175"/>
  <c r="AM73" i="175"/>
  <c r="AL73" i="175"/>
  <c r="AH73" i="175"/>
  <c r="AG73" i="175"/>
  <c r="AD73" i="175"/>
  <c r="AC73" i="175"/>
  <c r="AB73" i="175"/>
  <c r="Y73" i="175"/>
  <c r="X73" i="175"/>
  <c r="T73" i="175"/>
  <c r="S73" i="175"/>
  <c r="R73" i="175"/>
  <c r="N73" i="175"/>
  <c r="M73" i="175"/>
  <c r="J73" i="175"/>
  <c r="I73" i="175"/>
  <c r="H73" i="175"/>
  <c r="E73" i="175"/>
  <c r="D73" i="175"/>
  <c r="C73" i="175"/>
  <c r="CQ71" i="175"/>
  <c r="CP71" i="175"/>
  <c r="CK71" i="175"/>
  <c r="CG71" i="175"/>
  <c r="CB71" i="175"/>
  <c r="BW71" i="175"/>
  <c r="BR71" i="175"/>
  <c r="BM71" i="175"/>
  <c r="BH71" i="175"/>
  <c r="BC71" i="175"/>
  <c r="AX71" i="175"/>
  <c r="AS71" i="175"/>
  <c r="AN71" i="175"/>
  <c r="AI71" i="175"/>
  <c r="AD71" i="175"/>
  <c r="Y71" i="175"/>
  <c r="X71" i="175"/>
  <c r="W71" i="175"/>
  <c r="CJ71" i="175" s="1"/>
  <c r="CL71" i="175" s="1"/>
  <c r="S71" i="175"/>
  <c r="R71" i="175"/>
  <c r="T71" i="175" s="1"/>
  <c r="O71" i="175"/>
  <c r="J71" i="175"/>
  <c r="E71" i="175"/>
  <c r="CQ70" i="175"/>
  <c r="CP70" i="175"/>
  <c r="CK70" i="175"/>
  <c r="CJ70" i="175"/>
  <c r="CL70" i="175" s="1"/>
  <c r="CG70" i="175"/>
  <c r="CB70" i="175"/>
  <c r="BW70" i="175"/>
  <c r="BR70" i="175"/>
  <c r="BM70" i="175"/>
  <c r="BH70" i="175"/>
  <c r="BC70" i="175"/>
  <c r="AX70" i="175"/>
  <c r="AS70" i="175"/>
  <c r="AN70" i="175"/>
  <c r="AI70" i="175"/>
  <c r="AD70" i="175"/>
  <c r="X70" i="175"/>
  <c r="W70" i="175"/>
  <c r="Y70" i="175" s="1"/>
  <c r="T70" i="175"/>
  <c r="S70" i="175"/>
  <c r="R70" i="175"/>
  <c r="O70" i="175"/>
  <c r="J70" i="175"/>
  <c r="E70" i="175"/>
  <c r="CP69" i="175"/>
  <c r="CQ69" i="175" s="1"/>
  <c r="CK69" i="175"/>
  <c r="CG69" i="175"/>
  <c r="CB69" i="175"/>
  <c r="BW69" i="175"/>
  <c r="BR69" i="175"/>
  <c r="BM69" i="175"/>
  <c r="BH69" i="175"/>
  <c r="BC69" i="175"/>
  <c r="AX69" i="175"/>
  <c r="AS69" i="175"/>
  <c r="AN69" i="175"/>
  <c r="AI69" i="175"/>
  <c r="AD69" i="175"/>
  <c r="X69" i="175"/>
  <c r="W69" i="175"/>
  <c r="CJ69" i="175" s="1"/>
  <c r="CL69" i="175" s="1"/>
  <c r="S69" i="175"/>
  <c r="R69" i="175"/>
  <c r="O69" i="175"/>
  <c r="J69" i="175"/>
  <c r="E69" i="175"/>
  <c r="CP68" i="175"/>
  <c r="CQ68" i="175" s="1"/>
  <c r="CK68" i="175"/>
  <c r="CJ68" i="175"/>
  <c r="CL68" i="175" s="1"/>
  <c r="CG68" i="175"/>
  <c r="CB68" i="175"/>
  <c r="BW68" i="175"/>
  <c r="BR68" i="175"/>
  <c r="BM68" i="175"/>
  <c r="BH68" i="175"/>
  <c r="BC68" i="175"/>
  <c r="AX68" i="175"/>
  <c r="AS68" i="175"/>
  <c r="AN68" i="175"/>
  <c r="AI68" i="175"/>
  <c r="AD68" i="175"/>
  <c r="X68" i="175"/>
  <c r="W68" i="175"/>
  <c r="Y68" i="175" s="1"/>
  <c r="S68" i="175"/>
  <c r="T68" i="175" s="1"/>
  <c r="R68" i="175"/>
  <c r="O68" i="175"/>
  <c r="J68" i="175"/>
  <c r="E68" i="175"/>
  <c r="CP67" i="175"/>
  <c r="CQ67" i="175" s="1"/>
  <c r="CK67" i="175"/>
  <c r="CG67" i="175"/>
  <c r="CB67" i="175"/>
  <c r="BW67" i="175"/>
  <c r="BR67" i="175"/>
  <c r="BM67" i="175"/>
  <c r="BH67" i="175"/>
  <c r="BC67" i="175"/>
  <c r="AX67" i="175"/>
  <c r="AS67" i="175"/>
  <c r="AN67" i="175"/>
  <c r="AI67" i="175"/>
  <c r="AD67" i="175"/>
  <c r="X67" i="175"/>
  <c r="W67" i="175"/>
  <c r="S67" i="175"/>
  <c r="R67" i="175"/>
  <c r="O67" i="175"/>
  <c r="J67" i="175"/>
  <c r="E67" i="175"/>
  <c r="CP66" i="175"/>
  <c r="CQ66" i="175" s="1"/>
  <c r="CK66" i="175"/>
  <c r="CG66" i="175"/>
  <c r="CB66" i="175"/>
  <c r="BW66" i="175"/>
  <c r="BR66" i="175"/>
  <c r="BM66" i="175"/>
  <c r="BH66" i="175"/>
  <c r="BC66" i="175"/>
  <c r="AX66" i="175"/>
  <c r="AS66" i="175"/>
  <c r="AN66" i="175"/>
  <c r="AI66" i="175"/>
  <c r="AD66" i="175"/>
  <c r="X66" i="175"/>
  <c r="W66" i="175"/>
  <c r="S66" i="175"/>
  <c r="R66" i="175"/>
  <c r="O66" i="175"/>
  <c r="J66" i="175"/>
  <c r="E66" i="175"/>
  <c r="CP65" i="175"/>
  <c r="CQ65" i="175" s="1"/>
  <c r="CK65" i="175"/>
  <c r="CG65" i="175"/>
  <c r="CB65" i="175"/>
  <c r="BW65" i="175"/>
  <c r="BR65" i="175"/>
  <c r="BM65" i="175"/>
  <c r="BH65" i="175"/>
  <c r="BC65" i="175"/>
  <c r="AX65" i="175"/>
  <c r="AS65" i="175"/>
  <c r="AN65" i="175"/>
  <c r="AI65" i="175"/>
  <c r="AD65" i="175"/>
  <c r="X65" i="175"/>
  <c r="W65" i="175"/>
  <c r="S65" i="175"/>
  <c r="R65" i="175"/>
  <c r="T65" i="175" s="1"/>
  <c r="O65" i="175"/>
  <c r="J65" i="175"/>
  <c r="E65" i="175"/>
  <c r="CP64" i="175"/>
  <c r="CQ64" i="175" s="1"/>
  <c r="CG64" i="175"/>
  <c r="CB64" i="175"/>
  <c r="BW64" i="175"/>
  <c r="BR64" i="175"/>
  <c r="BM64" i="175"/>
  <c r="BH64" i="175"/>
  <c r="BC64" i="175"/>
  <c r="AX64" i="175"/>
  <c r="AS64" i="175"/>
  <c r="AN64" i="175"/>
  <c r="AI64" i="175"/>
  <c r="AD64" i="175"/>
  <c r="X64" i="175"/>
  <c r="W64" i="175"/>
  <c r="CJ64" i="175" s="1"/>
  <c r="S64" i="175"/>
  <c r="R64" i="175"/>
  <c r="T64" i="175" s="1"/>
  <c r="O64" i="175"/>
  <c r="J64" i="175"/>
  <c r="E64" i="175"/>
  <c r="CP63" i="175"/>
  <c r="CQ63" i="175" s="1"/>
  <c r="CJ63" i="175"/>
  <c r="CL63" i="175" s="1"/>
  <c r="CG63" i="175"/>
  <c r="CB63" i="175"/>
  <c r="BW63" i="175"/>
  <c r="BR63" i="175"/>
  <c r="BM63" i="175"/>
  <c r="BH63" i="175"/>
  <c r="BC63" i="175"/>
  <c r="AX63" i="175"/>
  <c r="AS63" i="175"/>
  <c r="AN63" i="175"/>
  <c r="AI63" i="175"/>
  <c r="AD63" i="175"/>
  <c r="Y63" i="175"/>
  <c r="X63" i="175"/>
  <c r="CK63" i="175" s="1"/>
  <c r="W63" i="175"/>
  <c r="S63" i="175"/>
  <c r="R63" i="175"/>
  <c r="T63" i="175" s="1"/>
  <c r="O63" i="175"/>
  <c r="J63" i="175"/>
  <c r="E63" i="175"/>
  <c r="CQ62" i="175"/>
  <c r="CP62" i="175"/>
  <c r="CJ62" i="175"/>
  <c r="CG62" i="175"/>
  <c r="CB62" i="175"/>
  <c r="BW62" i="175"/>
  <c r="BR62" i="175"/>
  <c r="BM62" i="175"/>
  <c r="BH62" i="175"/>
  <c r="BC62" i="175"/>
  <c r="AX62" i="175"/>
  <c r="AS62" i="175"/>
  <c r="AN62" i="175"/>
  <c r="AI62" i="175"/>
  <c r="AD62" i="175"/>
  <c r="Y62" i="175"/>
  <c r="X62" i="175"/>
  <c r="CK62" i="175" s="1"/>
  <c r="W62" i="175"/>
  <c r="S62" i="175"/>
  <c r="R62" i="175"/>
  <c r="T62" i="175" s="1"/>
  <c r="O62" i="175"/>
  <c r="J62" i="175"/>
  <c r="E62" i="175"/>
  <c r="CQ61" i="175"/>
  <c r="CP61" i="175"/>
  <c r="CK61" i="175"/>
  <c r="CJ61" i="175"/>
  <c r="CL61" i="175" s="1"/>
  <c r="CG61" i="175"/>
  <c r="CB61" i="175"/>
  <c r="BW61" i="175"/>
  <c r="BR61" i="175"/>
  <c r="BM61" i="175"/>
  <c r="BH61" i="175"/>
  <c r="BC61" i="175"/>
  <c r="AX61" i="175"/>
  <c r="AS61" i="175"/>
  <c r="AN61" i="175"/>
  <c r="AI61" i="175"/>
  <c r="AD61" i="175"/>
  <c r="X61" i="175"/>
  <c r="W61" i="175"/>
  <c r="Y61" i="175" s="1"/>
  <c r="S61" i="175"/>
  <c r="R61" i="175"/>
  <c r="O61" i="175"/>
  <c r="J61" i="175"/>
  <c r="E61" i="175"/>
  <c r="CP60" i="175"/>
  <c r="CQ60" i="175" s="1"/>
  <c r="CK60" i="175"/>
  <c r="CJ60" i="175"/>
  <c r="CL60" i="175" s="1"/>
  <c r="CG60" i="175"/>
  <c r="CB60" i="175"/>
  <c r="BW60" i="175"/>
  <c r="BR60" i="175"/>
  <c r="BM60" i="175"/>
  <c r="BH60" i="175"/>
  <c r="BC60" i="175"/>
  <c r="AX60" i="175"/>
  <c r="AS60" i="175"/>
  <c r="AN60" i="175"/>
  <c r="AI60" i="175"/>
  <c r="AD60" i="175"/>
  <c r="X60" i="175"/>
  <c r="W60" i="175"/>
  <c r="Y60" i="175" s="1"/>
  <c r="S60" i="175"/>
  <c r="R60" i="175"/>
  <c r="O60" i="175"/>
  <c r="J60" i="175"/>
  <c r="E60" i="175"/>
  <c r="CP59" i="175"/>
  <c r="CQ59" i="175" s="1"/>
  <c r="CK59" i="175"/>
  <c r="CG59" i="175"/>
  <c r="CB59" i="175"/>
  <c r="BW59" i="175"/>
  <c r="BR59" i="175"/>
  <c r="BM59" i="175"/>
  <c r="BH59" i="175"/>
  <c r="BC59" i="175"/>
  <c r="AX59" i="175"/>
  <c r="AS59" i="175"/>
  <c r="AN59" i="175"/>
  <c r="AI59" i="175"/>
  <c r="AD59" i="175"/>
  <c r="X59" i="175"/>
  <c r="W59" i="175"/>
  <c r="S59" i="175"/>
  <c r="R59" i="175"/>
  <c r="T59" i="175" s="1"/>
  <c r="O59" i="175"/>
  <c r="J59" i="175"/>
  <c r="J54" i="175" s="1"/>
  <c r="E59" i="175"/>
  <c r="CP58" i="175"/>
  <c r="CQ58" i="175" s="1"/>
  <c r="CK58" i="175"/>
  <c r="CG58" i="175"/>
  <c r="CB58" i="175"/>
  <c r="BW58" i="175"/>
  <c r="BR58" i="175"/>
  <c r="BM58" i="175"/>
  <c r="BH58" i="175"/>
  <c r="BC58" i="175"/>
  <c r="AX58" i="175"/>
  <c r="AS58" i="175"/>
  <c r="AN58" i="175"/>
  <c r="AI58" i="175"/>
  <c r="AD58" i="175"/>
  <c r="X58" i="175"/>
  <c r="W58" i="175"/>
  <c r="S58" i="175"/>
  <c r="R58" i="175"/>
  <c r="T58" i="175" s="1"/>
  <c r="O58" i="175"/>
  <c r="O54" i="175" s="1"/>
  <c r="J58" i="175"/>
  <c r="E58" i="175"/>
  <c r="CP57" i="175"/>
  <c r="CG57" i="175"/>
  <c r="CB57" i="175"/>
  <c r="CB54" i="175" s="1"/>
  <c r="BW57" i="175"/>
  <c r="BR57" i="175"/>
  <c r="BM57" i="175"/>
  <c r="BH57" i="175"/>
  <c r="BC57" i="175"/>
  <c r="AX57" i="175"/>
  <c r="AS57" i="175"/>
  <c r="AN57" i="175"/>
  <c r="AN54" i="175" s="1"/>
  <c r="AI57" i="175"/>
  <c r="AD57" i="175"/>
  <c r="X57" i="175"/>
  <c r="W57" i="175"/>
  <c r="CJ57" i="175" s="1"/>
  <c r="S57" i="175"/>
  <c r="R57" i="175"/>
  <c r="T57" i="175" s="1"/>
  <c r="O57" i="175"/>
  <c r="J57" i="175"/>
  <c r="E57" i="175"/>
  <c r="CQ56" i="175"/>
  <c r="CP56" i="175"/>
  <c r="CJ56" i="175"/>
  <c r="CG56" i="175"/>
  <c r="CB56" i="175"/>
  <c r="BW56" i="175"/>
  <c r="BR56" i="175"/>
  <c r="BM56" i="175"/>
  <c r="BH56" i="175"/>
  <c r="BC56" i="175"/>
  <c r="AX56" i="175"/>
  <c r="AS56" i="175"/>
  <c r="AN56" i="175"/>
  <c r="AI56" i="175"/>
  <c r="AD56" i="175"/>
  <c r="Y56" i="175"/>
  <c r="X56" i="175"/>
  <c r="CK56" i="175" s="1"/>
  <c r="W56" i="175"/>
  <c r="S56" i="175"/>
  <c r="R56" i="175"/>
  <c r="T56" i="175" s="1"/>
  <c r="O56" i="175"/>
  <c r="J56" i="175"/>
  <c r="E56" i="175"/>
  <c r="CQ55" i="175"/>
  <c r="CP55" i="175"/>
  <c r="CK55" i="175"/>
  <c r="CJ55" i="175"/>
  <c r="CL55" i="175" s="1"/>
  <c r="CG55" i="175"/>
  <c r="CB55" i="175"/>
  <c r="BW55" i="175"/>
  <c r="BR55" i="175"/>
  <c r="BR54" i="175" s="1"/>
  <c r="BM55" i="175"/>
  <c r="BH55" i="175"/>
  <c r="BC55" i="175"/>
  <c r="AX55" i="175"/>
  <c r="AS55" i="175"/>
  <c r="AN55" i="175"/>
  <c r="AI55" i="175"/>
  <c r="AD55" i="175"/>
  <c r="X55" i="175"/>
  <c r="W55" i="175"/>
  <c r="Y55" i="175" s="1"/>
  <c r="S55" i="175"/>
  <c r="R55" i="175"/>
  <c r="O55" i="175"/>
  <c r="J55" i="175"/>
  <c r="E55" i="175"/>
  <c r="CF54" i="175"/>
  <c r="CE54" i="175"/>
  <c r="CA54" i="175"/>
  <c r="BZ54" i="175"/>
  <c r="BV54" i="175"/>
  <c r="BU54" i="175"/>
  <c r="BQ54" i="175"/>
  <c r="BP54" i="175"/>
  <c r="BL54" i="175"/>
  <c r="BK54" i="175"/>
  <c r="BG54" i="175"/>
  <c r="BF54" i="175"/>
  <c r="BB54" i="175"/>
  <c r="BA54" i="175"/>
  <c r="AW54" i="175"/>
  <c r="AV54" i="175"/>
  <c r="AR54" i="175"/>
  <c r="AQ54" i="175"/>
  <c r="AM54" i="175"/>
  <c r="AL54" i="175"/>
  <c r="AH54" i="175"/>
  <c r="AG54" i="175"/>
  <c r="AC54" i="175"/>
  <c r="AB54" i="175"/>
  <c r="N54" i="175"/>
  <c r="M54" i="175"/>
  <c r="I54" i="175"/>
  <c r="H54" i="175"/>
  <c r="D54" i="175"/>
  <c r="C54" i="175"/>
  <c r="CK53" i="175"/>
  <c r="CJ53" i="175"/>
  <c r="CP52" i="175"/>
  <c r="CQ52" i="175" s="1"/>
  <c r="CK52" i="175"/>
  <c r="CG52" i="175"/>
  <c r="CB52" i="175"/>
  <c r="BW52" i="175"/>
  <c r="BW50" i="175" s="1"/>
  <c r="BR52" i="175"/>
  <c r="BM52" i="175"/>
  <c r="BH52" i="175"/>
  <c r="BC52" i="175"/>
  <c r="AX52" i="175"/>
  <c r="AX50" i="175" s="1"/>
  <c r="AS52" i="175"/>
  <c r="AN52" i="175"/>
  <c r="AI52" i="175"/>
  <c r="AD52" i="175"/>
  <c r="AD50" i="175" s="1"/>
  <c r="X52" i="175"/>
  <c r="W52" i="175"/>
  <c r="CJ52" i="175" s="1"/>
  <c r="S52" i="175"/>
  <c r="R52" i="175"/>
  <c r="O52" i="175"/>
  <c r="J52" i="175"/>
  <c r="J50" i="175" s="1"/>
  <c r="E52" i="175"/>
  <c r="E50" i="175" s="1"/>
  <c r="CP51" i="175"/>
  <c r="CQ51" i="175" s="1"/>
  <c r="CQ50" i="175" s="1"/>
  <c r="CG51" i="175"/>
  <c r="CB51" i="175"/>
  <c r="CB50" i="175" s="1"/>
  <c r="BW51" i="175"/>
  <c r="BR51" i="175"/>
  <c r="BM51" i="175"/>
  <c r="BH51" i="175"/>
  <c r="BH50" i="175" s="1"/>
  <c r="BC51" i="175"/>
  <c r="AX51" i="175"/>
  <c r="AS51" i="175"/>
  <c r="AS50" i="175" s="1"/>
  <c r="AN51" i="175"/>
  <c r="AI51" i="175"/>
  <c r="AD51" i="175"/>
  <c r="X51" i="175"/>
  <c r="W51" i="175"/>
  <c r="CJ51" i="175" s="1"/>
  <c r="S51" i="175"/>
  <c r="R51" i="175"/>
  <c r="O51" i="175"/>
  <c r="J51" i="175"/>
  <c r="E51" i="175"/>
  <c r="CP50" i="175"/>
  <c r="CJ50" i="175"/>
  <c r="CF50" i="175"/>
  <c r="CE50" i="175"/>
  <c r="CA50" i="175"/>
  <c r="BZ50" i="175"/>
  <c r="BV50" i="175"/>
  <c r="BU50" i="175"/>
  <c r="BQ50" i="175"/>
  <c r="BP50" i="175"/>
  <c r="BM50" i="175"/>
  <c r="BL50" i="175"/>
  <c r="BK50" i="175"/>
  <c r="BG50" i="175"/>
  <c r="BF50" i="175"/>
  <c r="BB50" i="175"/>
  <c r="BA50" i="175"/>
  <c r="AW50" i="175"/>
  <c r="AV50" i="175"/>
  <c r="AR50" i="175"/>
  <c r="AQ50" i="175"/>
  <c r="AM50" i="175"/>
  <c r="AL50" i="175"/>
  <c r="AI50" i="175"/>
  <c r="AH50" i="175"/>
  <c r="AG50" i="175"/>
  <c r="AC50" i="175"/>
  <c r="AB50" i="175"/>
  <c r="R50" i="175"/>
  <c r="N50" i="175"/>
  <c r="M50" i="175"/>
  <c r="I50" i="175"/>
  <c r="H50" i="175"/>
  <c r="D50" i="175"/>
  <c r="C50" i="175"/>
  <c r="CP48" i="175"/>
  <c r="CQ48" i="175" s="1"/>
  <c r="CG48" i="175"/>
  <c r="CB48" i="175"/>
  <c r="BW48" i="175"/>
  <c r="BR48" i="175"/>
  <c r="BM48" i="175"/>
  <c r="BH48" i="175"/>
  <c r="BC48" i="175"/>
  <c r="AX48" i="175"/>
  <c r="AS48" i="175"/>
  <c r="AN48" i="175"/>
  <c r="AI48" i="175"/>
  <c r="AD48" i="175"/>
  <c r="X48" i="175"/>
  <c r="CK48" i="175" s="1"/>
  <c r="W48" i="175"/>
  <c r="S48" i="175"/>
  <c r="R48" i="175"/>
  <c r="O48" i="175"/>
  <c r="J48" i="175"/>
  <c r="E48" i="175"/>
  <c r="CP47" i="175"/>
  <c r="CQ47" i="175" s="1"/>
  <c r="CG47" i="175"/>
  <c r="CB47" i="175"/>
  <c r="BW47" i="175"/>
  <c r="BR47" i="175"/>
  <c r="BM47" i="175"/>
  <c r="BH47" i="175"/>
  <c r="BC47" i="175"/>
  <c r="AX47" i="175"/>
  <c r="AS47" i="175"/>
  <c r="AN47" i="175"/>
  <c r="AI47" i="175"/>
  <c r="AD47" i="175"/>
  <c r="Y47" i="175"/>
  <c r="X47" i="175"/>
  <c r="CK47" i="175" s="1"/>
  <c r="W47" i="175"/>
  <c r="CJ47" i="175" s="1"/>
  <c r="S47" i="175"/>
  <c r="R47" i="175"/>
  <c r="O47" i="175"/>
  <c r="J47" i="175"/>
  <c r="E47" i="175"/>
  <c r="CP46" i="175"/>
  <c r="CQ46" i="175" s="1"/>
  <c r="CG46" i="175"/>
  <c r="CB46" i="175"/>
  <c r="BW46" i="175"/>
  <c r="BR46" i="175"/>
  <c r="BM46" i="175"/>
  <c r="BH46" i="175"/>
  <c r="BC46" i="175"/>
  <c r="AX46" i="175"/>
  <c r="AS46" i="175"/>
  <c r="AN46" i="175"/>
  <c r="AI46" i="175"/>
  <c r="AD46" i="175"/>
  <c r="X46" i="175"/>
  <c r="CK46" i="175" s="1"/>
  <c r="W46" i="175"/>
  <c r="S46" i="175"/>
  <c r="R46" i="175"/>
  <c r="T46" i="175" s="1"/>
  <c r="O46" i="175"/>
  <c r="J46" i="175"/>
  <c r="E46" i="175"/>
  <c r="CP45" i="175"/>
  <c r="CQ45" i="175" s="1"/>
  <c r="CG45" i="175"/>
  <c r="CB45" i="175"/>
  <c r="BW45" i="175"/>
  <c r="BR45" i="175"/>
  <c r="BM45" i="175"/>
  <c r="BH45" i="175"/>
  <c r="BC45" i="175"/>
  <c r="AX45" i="175"/>
  <c r="AS45" i="175"/>
  <c r="AN45" i="175"/>
  <c r="AI45" i="175"/>
  <c r="AD45" i="175"/>
  <c r="X45" i="175"/>
  <c r="CK45" i="175" s="1"/>
  <c r="W45" i="175"/>
  <c r="S45" i="175"/>
  <c r="R45" i="175"/>
  <c r="O45" i="175"/>
  <c r="J45" i="175"/>
  <c r="E45" i="175"/>
  <c r="CP44" i="175"/>
  <c r="CQ44" i="175" s="1"/>
  <c r="CK44" i="175"/>
  <c r="CG44" i="175"/>
  <c r="CB44" i="175"/>
  <c r="BW44" i="175"/>
  <c r="BR44" i="175"/>
  <c r="BM44" i="175"/>
  <c r="BH44" i="175"/>
  <c r="BC44" i="175"/>
  <c r="AX44" i="175"/>
  <c r="AS44" i="175"/>
  <c r="AS41" i="175" s="1"/>
  <c r="AN44" i="175"/>
  <c r="AI44" i="175"/>
  <c r="AD44" i="175"/>
  <c r="Y44" i="175"/>
  <c r="X44" i="175"/>
  <c r="W44" i="175"/>
  <c r="CJ44" i="175" s="1"/>
  <c r="S44" i="175"/>
  <c r="R44" i="175"/>
  <c r="O44" i="175"/>
  <c r="J44" i="175"/>
  <c r="E44" i="175"/>
  <c r="CP43" i="175"/>
  <c r="CG43" i="175"/>
  <c r="CB43" i="175"/>
  <c r="BW43" i="175"/>
  <c r="BR43" i="175"/>
  <c r="BM43" i="175"/>
  <c r="BH43" i="175"/>
  <c r="BC43" i="175"/>
  <c r="AX43" i="175"/>
  <c r="AX41" i="175" s="1"/>
  <c r="AS43" i="175"/>
  <c r="AN43" i="175"/>
  <c r="AI43" i="175"/>
  <c r="AD43" i="175"/>
  <c r="X43" i="175"/>
  <c r="W43" i="175"/>
  <c r="CJ43" i="175" s="1"/>
  <c r="S43" i="175"/>
  <c r="R43" i="175"/>
  <c r="O43" i="175"/>
  <c r="J43" i="175"/>
  <c r="E43" i="175"/>
  <c r="CP42" i="175"/>
  <c r="CQ42" i="175" s="1"/>
  <c r="CG42" i="175"/>
  <c r="CB42" i="175"/>
  <c r="BW42" i="175"/>
  <c r="BW41" i="175" s="1"/>
  <c r="BR42" i="175"/>
  <c r="BM42" i="175"/>
  <c r="BH42" i="175"/>
  <c r="BC42" i="175"/>
  <c r="AX42" i="175"/>
  <c r="AS42" i="175"/>
  <c r="AN42" i="175"/>
  <c r="AI42" i="175"/>
  <c r="AI41" i="175" s="1"/>
  <c r="AD42" i="175"/>
  <c r="X42" i="175"/>
  <c r="CK42" i="175" s="1"/>
  <c r="W42" i="175"/>
  <c r="Y42" i="175" s="1"/>
  <c r="S42" i="175"/>
  <c r="R42" i="175"/>
  <c r="T42" i="175" s="1"/>
  <c r="O42" i="175"/>
  <c r="O41" i="175" s="1"/>
  <c r="J42" i="175"/>
  <c r="E42" i="175"/>
  <c r="CF41" i="175"/>
  <c r="CE41" i="175"/>
  <c r="CB41" i="175"/>
  <c r="CA41" i="175"/>
  <c r="BZ41" i="175"/>
  <c r="BV41" i="175"/>
  <c r="BU41" i="175"/>
  <c r="BQ41" i="175"/>
  <c r="BP41" i="175"/>
  <c r="BM41" i="175"/>
  <c r="BL41" i="175"/>
  <c r="BK41" i="175"/>
  <c r="BG41" i="175"/>
  <c r="BF41" i="175"/>
  <c r="BB41" i="175"/>
  <c r="BA41" i="175"/>
  <c r="AW41" i="175"/>
  <c r="AV41" i="175"/>
  <c r="AR41" i="175"/>
  <c r="AQ41" i="175"/>
  <c r="AM41" i="175"/>
  <c r="AL41" i="175"/>
  <c r="AH41" i="175"/>
  <c r="AG41" i="175"/>
  <c r="AC41" i="175"/>
  <c r="AB41" i="175"/>
  <c r="R41" i="175"/>
  <c r="N41" i="175"/>
  <c r="M41" i="175"/>
  <c r="I41" i="175"/>
  <c r="H41" i="175"/>
  <c r="D41" i="175"/>
  <c r="C41" i="175"/>
  <c r="X37" i="175"/>
  <c r="W37" i="175"/>
  <c r="CG36" i="175"/>
  <c r="CB36" i="175"/>
  <c r="BW36" i="175"/>
  <c r="BW35" i="175" s="1"/>
  <c r="BR36" i="175"/>
  <c r="BM36" i="175"/>
  <c r="BH36" i="175"/>
  <c r="BC36" i="175"/>
  <c r="BC35" i="175" s="1"/>
  <c r="AX36" i="175"/>
  <c r="AS36" i="175"/>
  <c r="AN36" i="175"/>
  <c r="AN35" i="175" s="1"/>
  <c r="AI36" i="175"/>
  <c r="AI35" i="175" s="1"/>
  <c r="AD36" i="175"/>
  <c r="X36" i="175"/>
  <c r="CK36" i="175" s="1"/>
  <c r="CK35" i="175" s="1"/>
  <c r="W36" i="175"/>
  <c r="Y36" i="175" s="1"/>
  <c r="Y35" i="175" s="1"/>
  <c r="S36" i="175"/>
  <c r="S35" i="175" s="1"/>
  <c r="R36" i="175"/>
  <c r="O36" i="175"/>
  <c r="O35" i="175" s="1"/>
  <c r="J36" i="175"/>
  <c r="E36" i="175"/>
  <c r="CP35" i="175"/>
  <c r="CG35" i="175"/>
  <c r="CF35" i="175"/>
  <c r="CE35" i="175"/>
  <c r="CB35" i="175"/>
  <c r="CA35" i="175"/>
  <c r="BZ35" i="175"/>
  <c r="BV35" i="175"/>
  <c r="BU35" i="175"/>
  <c r="BR35" i="175"/>
  <c r="BQ35" i="175"/>
  <c r="BP35" i="175"/>
  <c r="BM35" i="175"/>
  <c r="BL35" i="175"/>
  <c r="BK35" i="175"/>
  <c r="BG35" i="175"/>
  <c r="BF35" i="175"/>
  <c r="BB35" i="175"/>
  <c r="BA35" i="175"/>
  <c r="AX35" i="175"/>
  <c r="AW35" i="175"/>
  <c r="AV35" i="175"/>
  <c r="AS35" i="175"/>
  <c r="AR35" i="175"/>
  <c r="AQ35" i="175"/>
  <c r="AM35" i="175"/>
  <c r="AL35" i="175"/>
  <c r="AH35" i="175"/>
  <c r="AG35" i="175"/>
  <c r="AC35" i="175"/>
  <c r="AB35" i="175"/>
  <c r="X35" i="175"/>
  <c r="R35" i="175"/>
  <c r="N35" i="175"/>
  <c r="M35" i="175"/>
  <c r="J35" i="175"/>
  <c r="I35" i="175"/>
  <c r="H35" i="175"/>
  <c r="E35" i="175"/>
  <c r="D35" i="175"/>
  <c r="C35" i="175"/>
  <c r="CR33" i="175"/>
  <c r="CK33" i="175"/>
  <c r="CG33" i="175"/>
  <c r="CB33" i="175"/>
  <c r="BW33" i="175"/>
  <c r="BR33" i="175"/>
  <c r="BM33" i="175"/>
  <c r="BH33" i="175"/>
  <c r="BC33" i="175"/>
  <c r="AX33" i="175"/>
  <c r="AS33" i="175"/>
  <c r="AN33" i="175"/>
  <c r="AI33" i="175"/>
  <c r="AD33" i="175"/>
  <c r="Y33" i="175"/>
  <c r="X33" i="175"/>
  <c r="W33" i="175"/>
  <c r="CJ33" i="175" s="1"/>
  <c r="S33" i="175"/>
  <c r="R33" i="175"/>
  <c r="O33" i="175"/>
  <c r="J33" i="175"/>
  <c r="E33" i="175"/>
  <c r="CG32" i="175"/>
  <c r="CB32" i="175"/>
  <c r="BW32" i="175"/>
  <c r="BR32" i="175"/>
  <c r="BM32" i="175"/>
  <c r="BH32" i="175"/>
  <c r="BC32" i="175"/>
  <c r="AX32" i="175"/>
  <c r="AS32" i="175"/>
  <c r="AN32" i="175"/>
  <c r="AI32" i="175"/>
  <c r="AD32" i="175"/>
  <c r="X32" i="175"/>
  <c r="CK32" i="175" s="1"/>
  <c r="W32" i="175"/>
  <c r="S32" i="175"/>
  <c r="R32" i="175"/>
  <c r="T32" i="175" s="1"/>
  <c r="O32" i="175"/>
  <c r="J32" i="175"/>
  <c r="E32" i="175"/>
  <c r="CK31" i="175"/>
  <c r="CG31" i="175"/>
  <c r="CB31" i="175"/>
  <c r="BW31" i="175"/>
  <c r="BR31" i="175"/>
  <c r="BM31" i="175"/>
  <c r="BH31" i="175"/>
  <c r="BC31" i="175"/>
  <c r="AX31" i="175"/>
  <c r="AS31" i="175"/>
  <c r="AN31" i="175"/>
  <c r="AI31" i="175"/>
  <c r="AD31" i="175"/>
  <c r="Y31" i="175"/>
  <c r="X31" i="175"/>
  <c r="W31" i="175"/>
  <c r="CJ31" i="175" s="1"/>
  <c r="S31" i="175"/>
  <c r="R31" i="175"/>
  <c r="O31" i="175"/>
  <c r="J31" i="175"/>
  <c r="E31" i="175"/>
  <c r="CK30" i="175"/>
  <c r="CG30" i="175"/>
  <c r="CB30" i="175"/>
  <c r="BW30" i="175"/>
  <c r="BR30" i="175"/>
  <c r="BM30" i="175"/>
  <c r="BH30" i="175"/>
  <c r="BC30" i="175"/>
  <c r="AX30" i="175"/>
  <c r="AS30" i="175"/>
  <c r="AN30" i="175"/>
  <c r="AI30" i="175"/>
  <c r="AD30" i="175"/>
  <c r="X30" i="175"/>
  <c r="W30" i="175"/>
  <c r="S30" i="175"/>
  <c r="R30" i="175"/>
  <c r="O30" i="175"/>
  <c r="J30" i="175"/>
  <c r="E30" i="175"/>
  <c r="CK29" i="175"/>
  <c r="CG29" i="175"/>
  <c r="CB29" i="175"/>
  <c r="BW29" i="175"/>
  <c r="BR29" i="175"/>
  <c r="BM29" i="175"/>
  <c r="BH29" i="175"/>
  <c r="BC29" i="175"/>
  <c r="AX29" i="175"/>
  <c r="AS29" i="175"/>
  <c r="AN29" i="175"/>
  <c r="AI29" i="175"/>
  <c r="AD29" i="175"/>
  <c r="X29" i="175"/>
  <c r="W29" i="175"/>
  <c r="S29" i="175"/>
  <c r="R29" i="175"/>
  <c r="O29" i="175"/>
  <c r="J29" i="175"/>
  <c r="E29" i="175"/>
  <c r="CK28" i="175"/>
  <c r="CG28" i="175"/>
  <c r="CB28" i="175"/>
  <c r="BW28" i="175"/>
  <c r="BR28" i="175"/>
  <c r="BM28" i="175"/>
  <c r="BH28" i="175"/>
  <c r="BC28" i="175"/>
  <c r="AX28" i="175"/>
  <c r="AS28" i="175"/>
  <c r="AN28" i="175"/>
  <c r="AI28" i="175"/>
  <c r="AD28" i="175"/>
  <c r="X28" i="175"/>
  <c r="W28" i="175"/>
  <c r="S28" i="175"/>
  <c r="R28" i="175"/>
  <c r="O28" i="175"/>
  <c r="J28" i="175"/>
  <c r="E28" i="175"/>
  <c r="CG27" i="175"/>
  <c r="CB27" i="175"/>
  <c r="BW27" i="175"/>
  <c r="BR27" i="175"/>
  <c r="BM27" i="175"/>
  <c r="BH27" i="175"/>
  <c r="BC27" i="175"/>
  <c r="AX27" i="175"/>
  <c r="AS27" i="175"/>
  <c r="AN27" i="175"/>
  <c r="AI27" i="175"/>
  <c r="AD27" i="175"/>
  <c r="X27" i="175"/>
  <c r="CK27" i="175" s="1"/>
  <c r="W27" i="175"/>
  <c r="S27" i="175"/>
  <c r="T27" i="175" s="1"/>
  <c r="R27" i="175"/>
  <c r="O27" i="175"/>
  <c r="J27" i="175"/>
  <c r="E27" i="175"/>
  <c r="CG26" i="175"/>
  <c r="CB26" i="175"/>
  <c r="BW26" i="175"/>
  <c r="BR26" i="175"/>
  <c r="BM26" i="175"/>
  <c r="BH26" i="175"/>
  <c r="BC26" i="175"/>
  <c r="AX26" i="175"/>
  <c r="AS26" i="175"/>
  <c r="AN26" i="175"/>
  <c r="AI26" i="175"/>
  <c r="AD26" i="175"/>
  <c r="X26" i="175"/>
  <c r="CK26" i="175" s="1"/>
  <c r="W26" i="175"/>
  <c r="Y26" i="175" s="1"/>
  <c r="S26" i="175"/>
  <c r="R26" i="175"/>
  <c r="O26" i="175"/>
  <c r="J26" i="175"/>
  <c r="E26" i="175"/>
  <c r="CG25" i="175"/>
  <c r="CB25" i="175"/>
  <c r="BW25" i="175"/>
  <c r="BR25" i="175"/>
  <c r="BM25" i="175"/>
  <c r="BH25" i="175"/>
  <c r="BC25" i="175"/>
  <c r="AX25" i="175"/>
  <c r="AS25" i="175"/>
  <c r="AN25" i="175"/>
  <c r="AI25" i="175"/>
  <c r="AD25" i="175"/>
  <c r="X25" i="175"/>
  <c r="CK25" i="175" s="1"/>
  <c r="W25" i="175"/>
  <c r="CJ25" i="175" s="1"/>
  <c r="S25" i="175"/>
  <c r="R25" i="175"/>
  <c r="T25" i="175" s="1"/>
  <c r="O25" i="175"/>
  <c r="J25" i="175"/>
  <c r="E25" i="175"/>
  <c r="CK24" i="175"/>
  <c r="CG24" i="175"/>
  <c r="CB24" i="175"/>
  <c r="BW24" i="175"/>
  <c r="BR24" i="175"/>
  <c r="BM24" i="175"/>
  <c r="BH24" i="175"/>
  <c r="BC24" i="175"/>
  <c r="AX24" i="175"/>
  <c r="AS24" i="175"/>
  <c r="AN24" i="175"/>
  <c r="AI24" i="175"/>
  <c r="AD24" i="175"/>
  <c r="X24" i="175"/>
  <c r="W24" i="175"/>
  <c r="CJ24" i="175" s="1"/>
  <c r="S24" i="175"/>
  <c r="R24" i="175"/>
  <c r="O24" i="175"/>
  <c r="J24" i="175"/>
  <c r="E24" i="175"/>
  <c r="CJ23" i="175"/>
  <c r="CL23" i="175" s="1"/>
  <c r="CG23" i="175"/>
  <c r="CB23" i="175"/>
  <c r="BW23" i="175"/>
  <c r="BR23" i="175"/>
  <c r="BM23" i="175"/>
  <c r="BH23" i="175"/>
  <c r="BC23" i="175"/>
  <c r="AX23" i="175"/>
  <c r="AS23" i="175"/>
  <c r="AN23" i="175"/>
  <c r="AI23" i="175"/>
  <c r="AD23" i="175"/>
  <c r="X23" i="175"/>
  <c r="CK23" i="175" s="1"/>
  <c r="W23" i="175"/>
  <c r="Y23" i="175" s="1"/>
  <c r="S23" i="175"/>
  <c r="R23" i="175"/>
  <c r="O23" i="175"/>
  <c r="J23" i="175"/>
  <c r="E23" i="175"/>
  <c r="CK22" i="175"/>
  <c r="CG22" i="175"/>
  <c r="CB22" i="175"/>
  <c r="BW22" i="175"/>
  <c r="BR22" i="175"/>
  <c r="BM22" i="175"/>
  <c r="BH22" i="175"/>
  <c r="BC22" i="175"/>
  <c r="AX22" i="175"/>
  <c r="AS22" i="175"/>
  <c r="AN22" i="175"/>
  <c r="AI22" i="175"/>
  <c r="AD22" i="175"/>
  <c r="X22" i="175"/>
  <c r="W22" i="175"/>
  <c r="CJ22" i="175" s="1"/>
  <c r="S22" i="175"/>
  <c r="R22" i="175"/>
  <c r="O22" i="175"/>
  <c r="J22" i="175"/>
  <c r="E22" i="175"/>
  <c r="CG21" i="175"/>
  <c r="CB21" i="175"/>
  <c r="BW21" i="175"/>
  <c r="BR21" i="175"/>
  <c r="BM21" i="175"/>
  <c r="BH21" i="175"/>
  <c r="BC21" i="175"/>
  <c r="AX21" i="175"/>
  <c r="AS21" i="175"/>
  <c r="AN21" i="175"/>
  <c r="AI21" i="175"/>
  <c r="AD21" i="175"/>
  <c r="X21" i="175"/>
  <c r="CK21" i="175" s="1"/>
  <c r="W21" i="175"/>
  <c r="S21" i="175"/>
  <c r="R21" i="175"/>
  <c r="T21" i="175" s="1"/>
  <c r="O21" i="175"/>
  <c r="J21" i="175"/>
  <c r="E21" i="175"/>
  <c r="CJ20" i="175"/>
  <c r="CL20" i="175" s="1"/>
  <c r="CG20" i="175"/>
  <c r="CB20" i="175"/>
  <c r="BW20" i="175"/>
  <c r="BR20" i="175"/>
  <c r="BM20" i="175"/>
  <c r="BH20" i="175"/>
  <c r="BC20" i="175"/>
  <c r="AX20" i="175"/>
  <c r="AS20" i="175"/>
  <c r="AN20" i="175"/>
  <c r="AI20" i="175"/>
  <c r="AD20" i="175"/>
  <c r="X20" i="175"/>
  <c r="CK20" i="175" s="1"/>
  <c r="W20" i="175"/>
  <c r="S20" i="175"/>
  <c r="T20" i="175" s="1"/>
  <c r="R20" i="175"/>
  <c r="O20" i="175"/>
  <c r="J20" i="175"/>
  <c r="E20" i="175"/>
  <c r="CG19" i="175"/>
  <c r="CB19" i="175"/>
  <c r="BW19" i="175"/>
  <c r="BR19" i="175"/>
  <c r="BM19" i="175"/>
  <c r="BH19" i="175"/>
  <c r="BC19" i="175"/>
  <c r="AX19" i="175"/>
  <c r="AS19" i="175"/>
  <c r="AN19" i="175"/>
  <c r="AI19" i="175"/>
  <c r="AD19" i="175"/>
  <c r="X19" i="175"/>
  <c r="W19" i="175"/>
  <c r="CJ19" i="175" s="1"/>
  <c r="T19" i="175"/>
  <c r="S19" i="175"/>
  <c r="R19" i="175"/>
  <c r="O19" i="175"/>
  <c r="J19" i="175"/>
  <c r="E19" i="175"/>
  <c r="CK18" i="175"/>
  <c r="CJ18" i="175"/>
  <c r="CL18" i="175" s="1"/>
  <c r="CQ18" i="175" s="1"/>
  <c r="CR18" i="175" s="1"/>
  <c r="CG18" i="175"/>
  <c r="CB18" i="175"/>
  <c r="BW18" i="175"/>
  <c r="BR18" i="175"/>
  <c r="BM18" i="175"/>
  <c r="BH18" i="175"/>
  <c r="BC18" i="175"/>
  <c r="AX18" i="175"/>
  <c r="AS18" i="175"/>
  <c r="AN18" i="175"/>
  <c r="AI18" i="175"/>
  <c r="AD18" i="175"/>
  <c r="X18" i="175"/>
  <c r="W18" i="175"/>
  <c r="Y18" i="175" s="1"/>
  <c r="T18" i="175"/>
  <c r="S18" i="175"/>
  <c r="R18" i="175"/>
  <c r="O18" i="175"/>
  <c r="J18" i="175"/>
  <c r="E18" i="175"/>
  <c r="CG17" i="175"/>
  <c r="CB17" i="175"/>
  <c r="BW17" i="175"/>
  <c r="BR17" i="175"/>
  <c r="BM17" i="175"/>
  <c r="BH17" i="175"/>
  <c r="BC17" i="175"/>
  <c r="AX17" i="175"/>
  <c r="AS17" i="175"/>
  <c r="AN17" i="175"/>
  <c r="AI17" i="175"/>
  <c r="AD17" i="175"/>
  <c r="X17" i="175"/>
  <c r="CK17" i="175" s="1"/>
  <c r="W17" i="175"/>
  <c r="CJ17" i="175" s="1"/>
  <c r="CL17" i="175" s="1"/>
  <c r="S17" i="175"/>
  <c r="R17" i="175"/>
  <c r="T17" i="175" s="1"/>
  <c r="O17" i="175"/>
  <c r="J17" i="175"/>
  <c r="E17" i="175"/>
  <c r="CJ16" i="175"/>
  <c r="CG16" i="175"/>
  <c r="CB16" i="175"/>
  <c r="BW16" i="175"/>
  <c r="BR16" i="175"/>
  <c r="BM16" i="175"/>
  <c r="BH16" i="175"/>
  <c r="BC16" i="175"/>
  <c r="AX16" i="175"/>
  <c r="AS16" i="175"/>
  <c r="AN16" i="175"/>
  <c r="AI16" i="175"/>
  <c r="AD16" i="175"/>
  <c r="X16" i="175"/>
  <c r="Y16" i="175" s="1"/>
  <c r="W16" i="175"/>
  <c r="S16" i="175"/>
  <c r="R16" i="175"/>
  <c r="T16" i="175" s="1"/>
  <c r="O16" i="175"/>
  <c r="J16" i="175"/>
  <c r="E16" i="175"/>
  <c r="CK15" i="175"/>
  <c r="CG15" i="175"/>
  <c r="CB15" i="175"/>
  <c r="BW15" i="175"/>
  <c r="BR15" i="175"/>
  <c r="BM15" i="175"/>
  <c r="BH15" i="175"/>
  <c r="BC15" i="175"/>
  <c r="AX15" i="175"/>
  <c r="AS15" i="175"/>
  <c r="AN15" i="175"/>
  <c r="AI15" i="175"/>
  <c r="AD15" i="175"/>
  <c r="X15" i="175"/>
  <c r="W15" i="175"/>
  <c r="S15" i="175"/>
  <c r="R15" i="175"/>
  <c r="T15" i="175" s="1"/>
  <c r="O15" i="175"/>
  <c r="J15" i="175"/>
  <c r="E15" i="175"/>
  <c r="CJ14" i="175"/>
  <c r="CL14" i="175" s="1"/>
  <c r="CG14" i="175"/>
  <c r="CB14" i="175"/>
  <c r="BW14" i="175"/>
  <c r="BR14" i="175"/>
  <c r="BM14" i="175"/>
  <c r="BH14" i="175"/>
  <c r="BC14" i="175"/>
  <c r="AX14" i="175"/>
  <c r="AS14" i="175"/>
  <c r="AN14" i="175"/>
  <c r="AI14" i="175"/>
  <c r="AD14" i="175"/>
  <c r="X14" i="175"/>
  <c r="CK14" i="175" s="1"/>
  <c r="W14" i="175"/>
  <c r="Y14" i="175" s="1"/>
  <c r="T14" i="175"/>
  <c r="S14" i="175"/>
  <c r="R14" i="175"/>
  <c r="O14" i="175"/>
  <c r="J14" i="175"/>
  <c r="E14" i="175"/>
  <c r="CG13" i="175"/>
  <c r="CB13" i="175"/>
  <c r="BW13" i="175"/>
  <c r="BR13" i="175"/>
  <c r="BM13" i="175"/>
  <c r="BH13" i="175"/>
  <c r="BC13" i="175"/>
  <c r="AX13" i="175"/>
  <c r="AS13" i="175"/>
  <c r="AN13" i="175"/>
  <c r="AI13" i="175"/>
  <c r="AD13" i="175"/>
  <c r="X13" i="175"/>
  <c r="W13" i="175"/>
  <c r="CJ13" i="175" s="1"/>
  <c r="S13" i="175"/>
  <c r="R13" i="175"/>
  <c r="T13" i="175" s="1"/>
  <c r="O13" i="175"/>
  <c r="J13" i="175"/>
  <c r="E13" i="175"/>
  <c r="CK12" i="175"/>
  <c r="CG12" i="175"/>
  <c r="CB12" i="175"/>
  <c r="BW12" i="175"/>
  <c r="BR12" i="175"/>
  <c r="BM12" i="175"/>
  <c r="BH12" i="175"/>
  <c r="BC12" i="175"/>
  <c r="AX12" i="175"/>
  <c r="AS12" i="175"/>
  <c r="AN12" i="175"/>
  <c r="AI12" i="175"/>
  <c r="AD12" i="175"/>
  <c r="X12" i="175"/>
  <c r="W12" i="175"/>
  <c r="S12" i="175"/>
  <c r="R12" i="175"/>
  <c r="T12" i="175" s="1"/>
  <c r="O12" i="175"/>
  <c r="J12" i="175"/>
  <c r="E12" i="175"/>
  <c r="CK11" i="175"/>
  <c r="CJ11" i="175"/>
  <c r="CG11" i="175"/>
  <c r="CB11" i="175"/>
  <c r="BW11" i="175"/>
  <c r="BR11" i="175"/>
  <c r="BM11" i="175"/>
  <c r="BH11" i="175"/>
  <c r="BC11" i="175"/>
  <c r="AX11" i="175"/>
  <c r="AS11" i="175"/>
  <c r="AN11" i="175"/>
  <c r="AI11" i="175"/>
  <c r="AD11" i="175"/>
  <c r="X11" i="175"/>
  <c r="W11" i="175"/>
  <c r="Y11" i="175" s="1"/>
  <c r="S11" i="175"/>
  <c r="R11" i="175"/>
  <c r="O11" i="175"/>
  <c r="J11" i="175"/>
  <c r="E11" i="175"/>
  <c r="CG10" i="175"/>
  <c r="CB10" i="175"/>
  <c r="BW10" i="175"/>
  <c r="BR10" i="175"/>
  <c r="BM10" i="175"/>
  <c r="BH10" i="175"/>
  <c r="BC10" i="175"/>
  <c r="AX10" i="175"/>
  <c r="AS10" i="175"/>
  <c r="AN10" i="175"/>
  <c r="AI10" i="175"/>
  <c r="AD10" i="175"/>
  <c r="X10" i="175"/>
  <c r="W10" i="175"/>
  <c r="CJ10" i="175" s="1"/>
  <c r="S10" i="175"/>
  <c r="R10" i="175"/>
  <c r="O10" i="175"/>
  <c r="J10" i="175"/>
  <c r="E10" i="175"/>
  <c r="CG9" i="175"/>
  <c r="CB9" i="175"/>
  <c r="BW9" i="175"/>
  <c r="BR9" i="175"/>
  <c r="BM9" i="175"/>
  <c r="BH9" i="175"/>
  <c r="BC9" i="175"/>
  <c r="AX9" i="175"/>
  <c r="AS9" i="175"/>
  <c r="AN9" i="175"/>
  <c r="AI9" i="175"/>
  <c r="AD9" i="175"/>
  <c r="X9" i="175"/>
  <c r="W9" i="175"/>
  <c r="CJ9" i="175" s="1"/>
  <c r="S9" i="175"/>
  <c r="R9" i="175"/>
  <c r="O9" i="175"/>
  <c r="J9" i="175"/>
  <c r="E9" i="175"/>
  <c r="CP8" i="175"/>
  <c r="CF8" i="175"/>
  <c r="CE8" i="175"/>
  <c r="CA8" i="175"/>
  <c r="BZ8" i="175"/>
  <c r="BV8" i="175"/>
  <c r="BU8" i="175"/>
  <c r="BQ8" i="175"/>
  <c r="BP8" i="175"/>
  <c r="BL8" i="175"/>
  <c r="BK8" i="175"/>
  <c r="BG8" i="175"/>
  <c r="BF8" i="175"/>
  <c r="BB8" i="175"/>
  <c r="BA8" i="175"/>
  <c r="AW8" i="175"/>
  <c r="AV8" i="175"/>
  <c r="AR8" i="175"/>
  <c r="AQ8" i="175"/>
  <c r="AM8" i="175"/>
  <c r="AM38" i="175" s="1"/>
  <c r="AL8" i="175"/>
  <c r="AH8" i="175"/>
  <c r="AG8" i="175"/>
  <c r="AC8" i="175"/>
  <c r="AB8" i="175"/>
  <c r="N8" i="175"/>
  <c r="M8" i="175"/>
  <c r="I8" i="175"/>
  <c r="H8" i="175"/>
  <c r="D8" i="175"/>
  <c r="C8" i="175"/>
  <c r="CJ7" i="175"/>
  <c r="CG7" i="175"/>
  <c r="CB7" i="175"/>
  <c r="BW7" i="175"/>
  <c r="BR7" i="175"/>
  <c r="BM7" i="175"/>
  <c r="BH7" i="175"/>
  <c r="BC7" i="175"/>
  <c r="AX7" i="175"/>
  <c r="AS7" i="175"/>
  <c r="AS5" i="175" s="1"/>
  <c r="AN7" i="175"/>
  <c r="AI7" i="175"/>
  <c r="AD7" i="175"/>
  <c r="Y7" i="175"/>
  <c r="X7" i="175"/>
  <c r="CK7" i="175" s="1"/>
  <c r="W7" i="175"/>
  <c r="S7" i="175"/>
  <c r="R7" i="175"/>
  <c r="T7" i="175" s="1"/>
  <c r="O7" i="175"/>
  <c r="J7" i="175"/>
  <c r="E7" i="175"/>
  <c r="CJ6" i="175"/>
  <c r="CJ5" i="175" s="1"/>
  <c r="CG6" i="175"/>
  <c r="CB6" i="175"/>
  <c r="BW6" i="175"/>
  <c r="BR6" i="175"/>
  <c r="BR5" i="175" s="1"/>
  <c r="BM6" i="175"/>
  <c r="BH6" i="175"/>
  <c r="BC6" i="175"/>
  <c r="AX6" i="175"/>
  <c r="AS6" i="175"/>
  <c r="AN6" i="175"/>
  <c r="AI6" i="175"/>
  <c r="AD6" i="175"/>
  <c r="AD5" i="175" s="1"/>
  <c r="X6" i="175"/>
  <c r="W6" i="175"/>
  <c r="Y6" i="175" s="1"/>
  <c r="S6" i="175"/>
  <c r="S5" i="175" s="1"/>
  <c r="R6" i="175"/>
  <c r="O6" i="175"/>
  <c r="J6" i="175"/>
  <c r="J5" i="175" s="1"/>
  <c r="E6" i="175"/>
  <c r="E5" i="175" s="1"/>
  <c r="CP5" i="175"/>
  <c r="CP38" i="175" s="1"/>
  <c r="CF5" i="175"/>
  <c r="CE5" i="175"/>
  <c r="CB5" i="175"/>
  <c r="CA5" i="175"/>
  <c r="BZ5" i="175"/>
  <c r="BV5" i="175"/>
  <c r="BU5" i="175"/>
  <c r="BQ5" i="175"/>
  <c r="BQ38" i="175" s="1"/>
  <c r="BP5" i="175"/>
  <c r="BM5" i="175"/>
  <c r="BL5" i="175"/>
  <c r="BK5" i="175"/>
  <c r="BH5" i="175"/>
  <c r="BG5" i="175"/>
  <c r="BG38" i="175" s="1"/>
  <c r="BF5" i="175"/>
  <c r="BF38" i="175" s="1"/>
  <c r="BB5" i="175"/>
  <c r="BA5" i="175"/>
  <c r="AX5" i="175"/>
  <c r="AW5" i="175"/>
  <c r="AW38" i="175" s="1"/>
  <c r="AV5" i="175"/>
  <c r="AR5" i="175"/>
  <c r="AQ5" i="175"/>
  <c r="AQ38" i="175" s="1"/>
  <c r="AN5" i="175"/>
  <c r="AM5" i="175"/>
  <c r="AL5" i="175"/>
  <c r="AI5" i="175"/>
  <c r="AH5" i="175"/>
  <c r="AG5" i="175"/>
  <c r="AC5" i="175"/>
  <c r="AB5" i="175"/>
  <c r="AB38" i="175" s="1"/>
  <c r="N5" i="175"/>
  <c r="M5" i="175"/>
  <c r="I5" i="175"/>
  <c r="H5" i="175"/>
  <c r="H38" i="175" s="1"/>
  <c r="D5" i="175"/>
  <c r="D38" i="175" s="1"/>
  <c r="C5" i="175"/>
  <c r="C38" i="175" s="1"/>
  <c r="CP85" i="177"/>
  <c r="CQ85" i="177" s="1"/>
  <c r="CK85" i="177"/>
  <c r="CJ85" i="177"/>
  <c r="CG85" i="177"/>
  <c r="CB85" i="177"/>
  <c r="BW85" i="177"/>
  <c r="BR85" i="177"/>
  <c r="BM85" i="177"/>
  <c r="BH85" i="177"/>
  <c r="BC85" i="177"/>
  <c r="AX85" i="177"/>
  <c r="AS85" i="177"/>
  <c r="AN85" i="177"/>
  <c r="AI85" i="177"/>
  <c r="AD85" i="177"/>
  <c r="X85" i="177"/>
  <c r="W85" i="177"/>
  <c r="Y85" i="177" s="1"/>
  <c r="S85" i="177"/>
  <c r="R85" i="177"/>
  <c r="O85" i="177"/>
  <c r="J85" i="177"/>
  <c r="E85" i="177"/>
  <c r="CP82" i="177"/>
  <c r="CQ82" i="177" s="1"/>
  <c r="CL82" i="177"/>
  <c r="CG82" i="177"/>
  <c r="CB82" i="177"/>
  <c r="BW82" i="177"/>
  <c r="BR82" i="177"/>
  <c r="BM82" i="177"/>
  <c r="BH82" i="177"/>
  <c r="BC82" i="177"/>
  <c r="AX82" i="177"/>
  <c r="AS82" i="177"/>
  <c r="AN82" i="177"/>
  <c r="AI82" i="177"/>
  <c r="AD82" i="177"/>
  <c r="X82" i="177"/>
  <c r="W82" i="177"/>
  <c r="S82" i="177"/>
  <c r="R82" i="177"/>
  <c r="T82" i="177" s="1"/>
  <c r="O82" i="177"/>
  <c r="J82" i="177"/>
  <c r="E82" i="177"/>
  <c r="CK80" i="177"/>
  <c r="CJ80" i="177"/>
  <c r="CP79" i="177"/>
  <c r="BM79" i="177"/>
  <c r="X79" i="177"/>
  <c r="CK79" i="177" s="1"/>
  <c r="S79" i="177"/>
  <c r="CP78" i="177"/>
  <c r="CQ78" i="177" s="1"/>
  <c r="CK78" i="177"/>
  <c r="CG78" i="177"/>
  <c r="CB78" i="177"/>
  <c r="BW78" i="177"/>
  <c r="BR78" i="177"/>
  <c r="BM78" i="177"/>
  <c r="BH78" i="177"/>
  <c r="BC78" i="177"/>
  <c r="AX78" i="177"/>
  <c r="AS78" i="177"/>
  <c r="AN78" i="177"/>
  <c r="AI78" i="177"/>
  <c r="AD78" i="177"/>
  <c r="X78" i="177"/>
  <c r="W78" i="177"/>
  <c r="CJ78" i="177" s="1"/>
  <c r="S78" i="177"/>
  <c r="S77" i="177" s="1"/>
  <c r="R78" i="177"/>
  <c r="O78" i="177"/>
  <c r="J78" i="177"/>
  <c r="E78" i="177"/>
  <c r="CP77" i="177"/>
  <c r="CF77" i="177"/>
  <c r="CA77" i="177"/>
  <c r="BV77" i="177"/>
  <c r="BQ77" i="177"/>
  <c r="BL77" i="177"/>
  <c r="BK77" i="177"/>
  <c r="BG77" i="177"/>
  <c r="BB77" i="177"/>
  <c r="AW77" i="177"/>
  <c r="AR77" i="177"/>
  <c r="AM77" i="177"/>
  <c r="AH77" i="177"/>
  <c r="AC77" i="177"/>
  <c r="N77" i="177"/>
  <c r="I77" i="177"/>
  <c r="D77" i="177"/>
  <c r="CP74" i="177"/>
  <c r="CK74" i="177"/>
  <c r="CJ74" i="177"/>
  <c r="CL74" i="177" s="1"/>
  <c r="CL73" i="177" s="1"/>
  <c r="CG74" i="177"/>
  <c r="CG73" i="177" s="1"/>
  <c r="CB74" i="177"/>
  <c r="BW74" i="177"/>
  <c r="BW73" i="177" s="1"/>
  <c r="BR74" i="177"/>
  <c r="BR73" i="177" s="1"/>
  <c r="BM74" i="177"/>
  <c r="BH74" i="177"/>
  <c r="BC74" i="177"/>
  <c r="BC73" i="177" s="1"/>
  <c r="AX74" i="177"/>
  <c r="AX73" i="177" s="1"/>
  <c r="AS74" i="177"/>
  <c r="AS73" i="177" s="1"/>
  <c r="AN74" i="177"/>
  <c r="AI74" i="177"/>
  <c r="AD74" i="177"/>
  <c r="AD73" i="177" s="1"/>
  <c r="X74" i="177"/>
  <c r="X73" i="177" s="1"/>
  <c r="W74" i="177"/>
  <c r="O74" i="177"/>
  <c r="J74" i="177"/>
  <c r="E74" i="177"/>
  <c r="E73" i="177" s="1"/>
  <c r="CK73" i="177"/>
  <c r="CF73" i="177"/>
  <c r="CE73" i="177"/>
  <c r="CB73" i="177"/>
  <c r="CA73" i="177"/>
  <c r="BZ73" i="177"/>
  <c r="BV73" i="177"/>
  <c r="BU73" i="177"/>
  <c r="BQ73" i="177"/>
  <c r="BP73" i="177"/>
  <c r="BM73" i="177"/>
  <c r="BL73" i="177"/>
  <c r="BK73" i="177"/>
  <c r="BH73" i="177"/>
  <c r="BG73" i="177"/>
  <c r="BF73" i="177"/>
  <c r="BB73" i="177"/>
  <c r="BA73" i="177"/>
  <c r="AW73" i="177"/>
  <c r="AV73" i="177"/>
  <c r="AR73" i="177"/>
  <c r="AQ73" i="177"/>
  <c r="AN73" i="177"/>
  <c r="AM73" i="177"/>
  <c r="AL73" i="177"/>
  <c r="AI73" i="177"/>
  <c r="AH73" i="177"/>
  <c r="AG73" i="177"/>
  <c r="AC73" i="177"/>
  <c r="AB73" i="177"/>
  <c r="Y73" i="177"/>
  <c r="W73" i="177"/>
  <c r="T73" i="177"/>
  <c r="S73" i="177"/>
  <c r="R73" i="177"/>
  <c r="O73" i="177"/>
  <c r="N73" i="177"/>
  <c r="M73" i="177"/>
  <c r="I73" i="177"/>
  <c r="H73" i="177"/>
  <c r="D73" i="177"/>
  <c r="C73" i="177"/>
  <c r="CQ71" i="177"/>
  <c r="CP71" i="177"/>
  <c r="CG71" i="177"/>
  <c r="CB71" i="177"/>
  <c r="BW71" i="177"/>
  <c r="BR71" i="177"/>
  <c r="BM71" i="177"/>
  <c r="BH71" i="177"/>
  <c r="BC71" i="177"/>
  <c r="AX71" i="177"/>
  <c r="AS71" i="177"/>
  <c r="AN71" i="177"/>
  <c r="AI71" i="177"/>
  <c r="AD71" i="177"/>
  <c r="X71" i="177"/>
  <c r="CK71" i="177" s="1"/>
  <c r="W71" i="177"/>
  <c r="CJ71" i="177" s="1"/>
  <c r="S71" i="177"/>
  <c r="R71" i="177"/>
  <c r="T71" i="177" s="1"/>
  <c r="O71" i="177"/>
  <c r="J71" i="177"/>
  <c r="E71" i="177"/>
  <c r="CP70" i="177"/>
  <c r="CQ70" i="177" s="1"/>
  <c r="CJ70" i="177"/>
  <c r="CL70" i="177" s="1"/>
  <c r="CG70" i="177"/>
  <c r="CB70" i="177"/>
  <c r="BW70" i="177"/>
  <c r="BR70" i="177"/>
  <c r="BM70" i="177"/>
  <c r="BH70" i="177"/>
  <c r="BC70" i="177"/>
  <c r="AX70" i="177"/>
  <c r="AS70" i="177"/>
  <c r="AN70" i="177"/>
  <c r="AI70" i="177"/>
  <c r="AD70" i="177"/>
  <c r="X70" i="177"/>
  <c r="CK70" i="177" s="1"/>
  <c r="W70" i="177"/>
  <c r="Y70" i="177" s="1"/>
  <c r="S70" i="177"/>
  <c r="R70" i="177"/>
  <c r="O70" i="177"/>
  <c r="J70" i="177"/>
  <c r="E70" i="177"/>
  <c r="CQ69" i="177"/>
  <c r="CP69" i="177"/>
  <c r="CG69" i="177"/>
  <c r="CB69" i="177"/>
  <c r="BW69" i="177"/>
  <c r="BR69" i="177"/>
  <c r="BM69" i="177"/>
  <c r="BH69" i="177"/>
  <c r="BC69" i="177"/>
  <c r="AX69" i="177"/>
  <c r="AS69" i="177"/>
  <c r="AN69" i="177"/>
  <c r="AI69" i="177"/>
  <c r="AD69" i="177"/>
  <c r="X69" i="177"/>
  <c r="CK69" i="177" s="1"/>
  <c r="W69" i="177"/>
  <c r="CJ69" i="177" s="1"/>
  <c r="S69" i="177"/>
  <c r="R69" i="177"/>
  <c r="O69" i="177"/>
  <c r="J69" i="177"/>
  <c r="E69" i="177"/>
  <c r="CP68" i="177"/>
  <c r="CQ68" i="177" s="1"/>
  <c r="CJ68" i="177"/>
  <c r="CL68" i="177" s="1"/>
  <c r="CG68" i="177"/>
  <c r="CB68" i="177"/>
  <c r="BW68" i="177"/>
  <c r="BR68" i="177"/>
  <c r="BM68" i="177"/>
  <c r="BH68" i="177"/>
  <c r="BC68" i="177"/>
  <c r="AX68" i="177"/>
  <c r="AS68" i="177"/>
  <c r="AN68" i="177"/>
  <c r="AI68" i="177"/>
  <c r="AD68" i="177"/>
  <c r="X68" i="177"/>
  <c r="CK68" i="177" s="1"/>
  <c r="W68" i="177"/>
  <c r="Y68" i="177" s="1"/>
  <c r="S68" i="177"/>
  <c r="R68" i="177"/>
  <c r="O68" i="177"/>
  <c r="J68" i="177"/>
  <c r="E68" i="177"/>
  <c r="CQ67" i="177"/>
  <c r="CP67" i="177"/>
  <c r="CG67" i="177"/>
  <c r="CB67" i="177"/>
  <c r="BW67" i="177"/>
  <c r="BR67" i="177"/>
  <c r="BM67" i="177"/>
  <c r="BH67" i="177"/>
  <c r="BC67" i="177"/>
  <c r="AX67" i="177"/>
  <c r="AS67" i="177"/>
  <c r="AN67" i="177"/>
  <c r="AI67" i="177"/>
  <c r="AD67" i="177"/>
  <c r="X67" i="177"/>
  <c r="CK67" i="177" s="1"/>
  <c r="W67" i="177"/>
  <c r="CJ67" i="177" s="1"/>
  <c r="S67" i="177"/>
  <c r="R67" i="177"/>
  <c r="T67" i="177" s="1"/>
  <c r="O67" i="177"/>
  <c r="J67" i="177"/>
  <c r="E67" i="177"/>
  <c r="CP66" i="177"/>
  <c r="CQ66" i="177" s="1"/>
  <c r="CG66" i="177"/>
  <c r="CB66" i="177"/>
  <c r="BW66" i="177"/>
  <c r="BR66" i="177"/>
  <c r="BM66" i="177"/>
  <c r="BH66" i="177"/>
  <c r="BC66" i="177"/>
  <c r="AX66" i="177"/>
  <c r="AS66" i="177"/>
  <c r="AN66" i="177"/>
  <c r="AI66" i="177"/>
  <c r="AD66" i="177"/>
  <c r="X66" i="177"/>
  <c r="CK66" i="177" s="1"/>
  <c r="W66" i="177"/>
  <c r="CJ66" i="177" s="1"/>
  <c r="S66" i="177"/>
  <c r="R66" i="177"/>
  <c r="T66" i="177" s="1"/>
  <c r="O66" i="177"/>
  <c r="J66" i="177"/>
  <c r="E66" i="177"/>
  <c r="CQ65" i="177"/>
  <c r="CP65" i="177"/>
  <c r="CG65" i="177"/>
  <c r="CB65" i="177"/>
  <c r="BW65" i="177"/>
  <c r="BR65" i="177"/>
  <c r="BM65" i="177"/>
  <c r="BH65" i="177"/>
  <c r="BC65" i="177"/>
  <c r="AX65" i="177"/>
  <c r="AS65" i="177"/>
  <c r="AN65" i="177"/>
  <c r="AI65" i="177"/>
  <c r="AD65" i="177"/>
  <c r="X65" i="177"/>
  <c r="CK65" i="177" s="1"/>
  <c r="W65" i="177"/>
  <c r="CJ65" i="177" s="1"/>
  <c r="S65" i="177"/>
  <c r="R65" i="177"/>
  <c r="O65" i="177"/>
  <c r="J65" i="177"/>
  <c r="E65" i="177"/>
  <c r="CQ64" i="177"/>
  <c r="CP64" i="177"/>
  <c r="CG64" i="177"/>
  <c r="CB64" i="177"/>
  <c r="BW64" i="177"/>
  <c r="BR64" i="177"/>
  <c r="BM64" i="177"/>
  <c r="BH64" i="177"/>
  <c r="BC64" i="177"/>
  <c r="AX64" i="177"/>
  <c r="AS64" i="177"/>
  <c r="AN64" i="177"/>
  <c r="AI64" i="177"/>
  <c r="AD64" i="177"/>
  <c r="X64" i="177"/>
  <c r="CK64" i="177" s="1"/>
  <c r="W64" i="177"/>
  <c r="CJ64" i="177" s="1"/>
  <c r="S64" i="177"/>
  <c r="R64" i="177"/>
  <c r="O64" i="177"/>
  <c r="J64" i="177"/>
  <c r="E64" i="177"/>
  <c r="CP63" i="177"/>
  <c r="CQ63" i="177" s="1"/>
  <c r="CG63" i="177"/>
  <c r="CB63" i="177"/>
  <c r="BW63" i="177"/>
  <c r="BR63" i="177"/>
  <c r="BM63" i="177"/>
  <c r="BH63" i="177"/>
  <c r="BC63" i="177"/>
  <c r="AX63" i="177"/>
  <c r="AS63" i="177"/>
  <c r="AN63" i="177"/>
  <c r="AI63" i="177"/>
  <c r="AD63" i="177"/>
  <c r="X63" i="177"/>
  <c r="CK63" i="177" s="1"/>
  <c r="W63" i="177"/>
  <c r="S63" i="177"/>
  <c r="R63" i="177"/>
  <c r="T63" i="177" s="1"/>
  <c r="O63" i="177"/>
  <c r="J63" i="177"/>
  <c r="E63" i="177"/>
  <c r="CP62" i="177"/>
  <c r="CQ62" i="177" s="1"/>
  <c r="CG62" i="177"/>
  <c r="CB62" i="177"/>
  <c r="BW62" i="177"/>
  <c r="BR62" i="177"/>
  <c r="BM62" i="177"/>
  <c r="BH62" i="177"/>
  <c r="BC62" i="177"/>
  <c r="AX62" i="177"/>
  <c r="AS62" i="177"/>
  <c r="AN62" i="177"/>
  <c r="AI62" i="177"/>
  <c r="AD62" i="177"/>
  <c r="X62" i="177"/>
  <c r="CK62" i="177" s="1"/>
  <c r="W62" i="177"/>
  <c r="S62" i="177"/>
  <c r="R62" i="177"/>
  <c r="O62" i="177"/>
  <c r="J62" i="177"/>
  <c r="E62" i="177"/>
  <c r="CP61" i="177"/>
  <c r="CQ61" i="177" s="1"/>
  <c r="CJ61" i="177"/>
  <c r="CL61" i="177" s="1"/>
  <c r="CG61" i="177"/>
  <c r="CB61" i="177"/>
  <c r="BW61" i="177"/>
  <c r="BR61" i="177"/>
  <c r="BM61" i="177"/>
  <c r="BH61" i="177"/>
  <c r="BC61" i="177"/>
  <c r="AX61" i="177"/>
  <c r="AS61" i="177"/>
  <c r="AN61" i="177"/>
  <c r="AI61" i="177"/>
  <c r="AD61" i="177"/>
  <c r="X61" i="177"/>
  <c r="CK61" i="177" s="1"/>
  <c r="W61" i="177"/>
  <c r="Y61" i="177" s="1"/>
  <c r="S61" i="177"/>
  <c r="R61" i="177"/>
  <c r="O61" i="177"/>
  <c r="J61" i="177"/>
  <c r="E61" i="177"/>
  <c r="CP60" i="177"/>
  <c r="CQ60" i="177" s="1"/>
  <c r="CG60" i="177"/>
  <c r="CB60" i="177"/>
  <c r="BW60" i="177"/>
  <c r="BR60" i="177"/>
  <c r="BM60" i="177"/>
  <c r="BH60" i="177"/>
  <c r="BC60" i="177"/>
  <c r="AX60" i="177"/>
  <c r="AS60" i="177"/>
  <c r="AN60" i="177"/>
  <c r="AI60" i="177"/>
  <c r="AD60" i="177"/>
  <c r="X60" i="177"/>
  <c r="CK60" i="177" s="1"/>
  <c r="W60" i="177"/>
  <c r="CJ60" i="177" s="1"/>
  <c r="S60" i="177"/>
  <c r="R60" i="177"/>
  <c r="O60" i="177"/>
  <c r="J60" i="177"/>
  <c r="E60" i="177"/>
  <c r="CP59" i="177"/>
  <c r="CQ59" i="177" s="1"/>
  <c r="CG59" i="177"/>
  <c r="CB59" i="177"/>
  <c r="BW59" i="177"/>
  <c r="BR59" i="177"/>
  <c r="BM59" i="177"/>
  <c r="BH59" i="177"/>
  <c r="BC59" i="177"/>
  <c r="AX59" i="177"/>
  <c r="AS59" i="177"/>
  <c r="AN59" i="177"/>
  <c r="AI59" i="177"/>
  <c r="AD59" i="177"/>
  <c r="X59" i="177"/>
  <c r="CK59" i="177" s="1"/>
  <c r="W59" i="177"/>
  <c r="S59" i="177"/>
  <c r="R59" i="177"/>
  <c r="O59" i="177"/>
  <c r="J59" i="177"/>
  <c r="E59" i="177"/>
  <c r="CP58" i="177"/>
  <c r="CG58" i="177"/>
  <c r="CB58" i="177"/>
  <c r="BW58" i="177"/>
  <c r="BR58" i="177"/>
  <c r="BM58" i="177"/>
  <c r="BH58" i="177"/>
  <c r="BC58" i="177"/>
  <c r="AX58" i="177"/>
  <c r="AS58" i="177"/>
  <c r="AN58" i="177"/>
  <c r="AI58" i="177"/>
  <c r="AD58" i="177"/>
  <c r="X58" i="177"/>
  <c r="CK58" i="177" s="1"/>
  <c r="W58" i="177"/>
  <c r="S58" i="177"/>
  <c r="R58" i="177"/>
  <c r="O58" i="177"/>
  <c r="J58" i="177"/>
  <c r="E58" i="177"/>
  <c r="CP57" i="177"/>
  <c r="CQ57" i="177" s="1"/>
  <c r="CG57" i="177"/>
  <c r="CB57" i="177"/>
  <c r="BW57" i="177"/>
  <c r="BR57" i="177"/>
  <c r="BM57" i="177"/>
  <c r="BH57" i="177"/>
  <c r="BC57" i="177"/>
  <c r="AX57" i="177"/>
  <c r="AS57" i="177"/>
  <c r="AN57" i="177"/>
  <c r="AI57" i="177"/>
  <c r="AD57" i="177"/>
  <c r="X57" i="177"/>
  <c r="CK57" i="177" s="1"/>
  <c r="W57" i="177"/>
  <c r="CJ57" i="177" s="1"/>
  <c r="CL57" i="177" s="1"/>
  <c r="S57" i="177"/>
  <c r="R57" i="177"/>
  <c r="O57" i="177"/>
  <c r="J57" i="177"/>
  <c r="E57" i="177"/>
  <c r="CP56" i="177"/>
  <c r="CQ56" i="177" s="1"/>
  <c r="CG56" i="177"/>
  <c r="CG54" i="177" s="1"/>
  <c r="CB56" i="177"/>
  <c r="BW56" i="177"/>
  <c r="BR56" i="177"/>
  <c r="BM56" i="177"/>
  <c r="BM54" i="177" s="1"/>
  <c r="BH56" i="177"/>
  <c r="BC56" i="177"/>
  <c r="AX56" i="177"/>
  <c r="AS56" i="177"/>
  <c r="AN56" i="177"/>
  <c r="AI56" i="177"/>
  <c r="AD56" i="177"/>
  <c r="X56" i="177"/>
  <c r="W56" i="177"/>
  <c r="CJ56" i="177" s="1"/>
  <c r="S56" i="177"/>
  <c r="R56" i="177"/>
  <c r="O56" i="177"/>
  <c r="J56" i="177"/>
  <c r="E56" i="177"/>
  <c r="CP55" i="177"/>
  <c r="CQ55" i="177" s="1"/>
  <c r="CG55" i="177"/>
  <c r="CB55" i="177"/>
  <c r="BW55" i="177"/>
  <c r="BR55" i="177"/>
  <c r="BR54" i="177" s="1"/>
  <c r="BM55" i="177"/>
  <c r="BH55" i="177"/>
  <c r="BC55" i="177"/>
  <c r="BC54" i="177" s="1"/>
  <c r="AX55" i="177"/>
  <c r="AS55" i="177"/>
  <c r="AS54" i="177" s="1"/>
  <c r="AN55" i="177"/>
  <c r="AI55" i="177"/>
  <c r="AD55" i="177"/>
  <c r="X55" i="177"/>
  <c r="CK55" i="177" s="1"/>
  <c r="W55" i="177"/>
  <c r="CJ55" i="177" s="1"/>
  <c r="S55" i="177"/>
  <c r="R55" i="177"/>
  <c r="O55" i="177"/>
  <c r="J55" i="177"/>
  <c r="E55" i="177"/>
  <c r="CF54" i="177"/>
  <c r="CE54" i="177"/>
  <c r="CA54" i="177"/>
  <c r="BZ54" i="177"/>
  <c r="BW54" i="177"/>
  <c r="BV54" i="177"/>
  <c r="BU54" i="177"/>
  <c r="BQ54" i="177"/>
  <c r="BP54" i="177"/>
  <c r="BL54" i="177"/>
  <c r="BK54" i="177"/>
  <c r="BG54" i="177"/>
  <c r="BF54" i="177"/>
  <c r="BB54" i="177"/>
  <c r="BA54" i="177"/>
  <c r="AW54" i="177"/>
  <c r="AV54" i="177"/>
  <c r="AR54" i="177"/>
  <c r="AQ54" i="177"/>
  <c r="AM54" i="177"/>
  <c r="AL54" i="177"/>
  <c r="AI54" i="177"/>
  <c r="AH54" i="177"/>
  <c r="AG54" i="177"/>
  <c r="AC54" i="177"/>
  <c r="AB54" i="177"/>
  <c r="N54" i="177"/>
  <c r="M54" i="177"/>
  <c r="I54" i="177"/>
  <c r="H54" i="177"/>
  <c r="D54" i="177"/>
  <c r="C54" i="177"/>
  <c r="CK53" i="177"/>
  <c r="CJ53" i="177"/>
  <c r="CP52" i="177"/>
  <c r="CQ52" i="177" s="1"/>
  <c r="CG52" i="177"/>
  <c r="CB52" i="177"/>
  <c r="BW52" i="177"/>
  <c r="BR52" i="177"/>
  <c r="BM52" i="177"/>
  <c r="BH52" i="177"/>
  <c r="BH50" i="177" s="1"/>
  <c r="BC52" i="177"/>
  <c r="AX52" i="177"/>
  <c r="AS52" i="177"/>
  <c r="AN52" i="177"/>
  <c r="AN50" i="177" s="1"/>
  <c r="AI52" i="177"/>
  <c r="AD52" i="177"/>
  <c r="X52" i="177"/>
  <c r="W52" i="177"/>
  <c r="W50" i="177" s="1"/>
  <c r="T52" i="177"/>
  <c r="S52" i="177"/>
  <c r="R52" i="177"/>
  <c r="O52" i="177"/>
  <c r="J52" i="177"/>
  <c r="E52" i="177"/>
  <c r="CP51" i="177"/>
  <c r="CQ51" i="177" s="1"/>
  <c r="CG51" i="177"/>
  <c r="CB51" i="177"/>
  <c r="BW51" i="177"/>
  <c r="BR51" i="177"/>
  <c r="BM51" i="177"/>
  <c r="BH51" i="177"/>
  <c r="BC51" i="177"/>
  <c r="AX51" i="177"/>
  <c r="AX50" i="177" s="1"/>
  <c r="AS51" i="177"/>
  <c r="AS50" i="177" s="1"/>
  <c r="AN51" i="177"/>
  <c r="AI51" i="177"/>
  <c r="AD51" i="177"/>
  <c r="X51" i="177"/>
  <c r="CK51" i="177" s="1"/>
  <c r="W51" i="177"/>
  <c r="S51" i="177"/>
  <c r="R51" i="177"/>
  <c r="O51" i="177"/>
  <c r="J51" i="177"/>
  <c r="E51" i="177"/>
  <c r="E50" i="177" s="1"/>
  <c r="CF50" i="177"/>
  <c r="CE50" i="177"/>
  <c r="CA50" i="177"/>
  <c r="BZ50" i="177"/>
  <c r="BW50" i="177"/>
  <c r="BV50" i="177"/>
  <c r="BU50" i="177"/>
  <c r="BR50" i="177"/>
  <c r="BQ50" i="177"/>
  <c r="BP50" i="177"/>
  <c r="BL50" i="177"/>
  <c r="BK50" i="177"/>
  <c r="BG50" i="177"/>
  <c r="BF50" i="177"/>
  <c r="BB50" i="177"/>
  <c r="BA50" i="177"/>
  <c r="AW50" i="177"/>
  <c r="AV50" i="177"/>
  <c r="AR50" i="177"/>
  <c r="AQ50" i="177"/>
  <c r="AM50" i="177"/>
  <c r="AL50" i="177"/>
  <c r="AH50" i="177"/>
  <c r="AG50" i="177"/>
  <c r="AD50" i="177"/>
  <c r="AC50" i="177"/>
  <c r="AB50" i="177"/>
  <c r="S50" i="177"/>
  <c r="N50" i="177"/>
  <c r="M50" i="177"/>
  <c r="I50" i="177"/>
  <c r="H50" i="177"/>
  <c r="D50" i="177"/>
  <c r="C50" i="177"/>
  <c r="CP48" i="177"/>
  <c r="CQ48" i="177" s="1"/>
  <c r="CG48" i="177"/>
  <c r="CB48" i="177"/>
  <c r="BW48" i="177"/>
  <c r="BR48" i="177"/>
  <c r="BM48" i="177"/>
  <c r="BH48" i="177"/>
  <c r="BC48" i="177"/>
  <c r="AX48" i="177"/>
  <c r="AS48" i="177"/>
  <c r="AN48" i="177"/>
  <c r="AI48" i="177"/>
  <c r="AD48" i="177"/>
  <c r="X48" i="177"/>
  <c r="CK48" i="177" s="1"/>
  <c r="W48" i="177"/>
  <c r="T48" i="177"/>
  <c r="S48" i="177"/>
  <c r="R48" i="177"/>
  <c r="O48" i="177"/>
  <c r="J48" i="177"/>
  <c r="E48" i="177"/>
  <c r="CP47" i="177"/>
  <c r="CQ47" i="177" s="1"/>
  <c r="CG47" i="177"/>
  <c r="CB47" i="177"/>
  <c r="BW47" i="177"/>
  <c r="BR47" i="177"/>
  <c r="BM47" i="177"/>
  <c r="BH47" i="177"/>
  <c r="BC47" i="177"/>
  <c r="AX47" i="177"/>
  <c r="AS47" i="177"/>
  <c r="AN47" i="177"/>
  <c r="AN41" i="177" s="1"/>
  <c r="AI47" i="177"/>
  <c r="AD47" i="177"/>
  <c r="X47" i="177"/>
  <c r="CK47" i="177" s="1"/>
  <c r="W47" i="177"/>
  <c r="T47" i="177"/>
  <c r="S47" i="177"/>
  <c r="R47" i="177"/>
  <c r="O47" i="177"/>
  <c r="J47" i="177"/>
  <c r="E47" i="177"/>
  <c r="CP46" i="177"/>
  <c r="CQ46" i="177" s="1"/>
  <c r="CG46" i="177"/>
  <c r="CB46" i="177"/>
  <c r="BW46" i="177"/>
  <c r="BR46" i="177"/>
  <c r="BM46" i="177"/>
  <c r="BH46" i="177"/>
  <c r="BC46" i="177"/>
  <c r="AX46" i="177"/>
  <c r="AS46" i="177"/>
  <c r="AN46" i="177"/>
  <c r="AI46" i="177"/>
  <c r="AD46" i="177"/>
  <c r="X46" i="177"/>
  <c r="CK46" i="177" s="1"/>
  <c r="W46" i="177"/>
  <c r="S46" i="177"/>
  <c r="R46" i="177"/>
  <c r="T46" i="177" s="1"/>
  <c r="O46" i="177"/>
  <c r="J46" i="177"/>
  <c r="E46" i="177"/>
  <c r="CP45" i="177"/>
  <c r="CQ45" i="177" s="1"/>
  <c r="CG45" i="177"/>
  <c r="CB45" i="177"/>
  <c r="BW45" i="177"/>
  <c r="BR45" i="177"/>
  <c r="BM45" i="177"/>
  <c r="BH45" i="177"/>
  <c r="BC45" i="177"/>
  <c r="AX45" i="177"/>
  <c r="AS45" i="177"/>
  <c r="AN45" i="177"/>
  <c r="AI45" i="177"/>
  <c r="AD45" i="177"/>
  <c r="X45" i="177"/>
  <c r="CK45" i="177" s="1"/>
  <c r="CK41" i="177" s="1"/>
  <c r="W45" i="177"/>
  <c r="CJ45" i="177" s="1"/>
  <c r="S45" i="177"/>
  <c r="R45" i="177"/>
  <c r="T45" i="177" s="1"/>
  <c r="O45" i="177"/>
  <c r="J45" i="177"/>
  <c r="E45" i="177"/>
  <c r="CP44" i="177"/>
  <c r="CQ44" i="177" s="1"/>
  <c r="CK44" i="177"/>
  <c r="CG44" i="177"/>
  <c r="CB44" i="177"/>
  <c r="BW44" i="177"/>
  <c r="BR44" i="177"/>
  <c r="BM44" i="177"/>
  <c r="BH44" i="177"/>
  <c r="BC44" i="177"/>
  <c r="AX44" i="177"/>
  <c r="AS44" i="177"/>
  <c r="AN44" i="177"/>
  <c r="AI44" i="177"/>
  <c r="AD44" i="177"/>
  <c r="X44" i="177"/>
  <c r="W44" i="177"/>
  <c r="S44" i="177"/>
  <c r="R44" i="177"/>
  <c r="O44" i="177"/>
  <c r="J44" i="177"/>
  <c r="E44" i="177"/>
  <c r="CP43" i="177"/>
  <c r="CQ43" i="177" s="1"/>
  <c r="CG43" i="177"/>
  <c r="CB43" i="177"/>
  <c r="CB41" i="177" s="1"/>
  <c r="BW43" i="177"/>
  <c r="BR43" i="177"/>
  <c r="BM43" i="177"/>
  <c r="BH43" i="177"/>
  <c r="BC43" i="177"/>
  <c r="AX43" i="177"/>
  <c r="AS43" i="177"/>
  <c r="AN43" i="177"/>
  <c r="AI43" i="177"/>
  <c r="AD43" i="177"/>
  <c r="X43" i="177"/>
  <c r="CK43" i="177" s="1"/>
  <c r="W43" i="177"/>
  <c r="CJ43" i="177" s="1"/>
  <c r="S43" i="177"/>
  <c r="R43" i="177"/>
  <c r="T43" i="177" s="1"/>
  <c r="O43" i="177"/>
  <c r="J43" i="177"/>
  <c r="E43" i="177"/>
  <c r="CP42" i="177"/>
  <c r="CJ42" i="177"/>
  <c r="CG42" i="177"/>
  <c r="CB42" i="177"/>
  <c r="BW42" i="177"/>
  <c r="BR42" i="177"/>
  <c r="BM42" i="177"/>
  <c r="BH42" i="177"/>
  <c r="BC42" i="177"/>
  <c r="AX42" i="177"/>
  <c r="AX41" i="177" s="1"/>
  <c r="AS42" i="177"/>
  <c r="AN42" i="177"/>
  <c r="AI42" i="177"/>
  <c r="AD42" i="177"/>
  <c r="X42" i="177"/>
  <c r="CK42" i="177" s="1"/>
  <c r="W42" i="177"/>
  <c r="S42" i="177"/>
  <c r="R42" i="177"/>
  <c r="R41" i="177" s="1"/>
  <c r="O42" i="177"/>
  <c r="J42" i="177"/>
  <c r="E42" i="177"/>
  <c r="CF41" i="177"/>
  <c r="CE41" i="177"/>
  <c r="CA41" i="177"/>
  <c r="BZ41" i="177"/>
  <c r="BV41" i="177"/>
  <c r="BU41" i="177"/>
  <c r="BQ41" i="177"/>
  <c r="BP41" i="177"/>
  <c r="BL41" i="177"/>
  <c r="BK41" i="177"/>
  <c r="BH41" i="177"/>
  <c r="BG41" i="177"/>
  <c r="BF41" i="177"/>
  <c r="BB41" i="177"/>
  <c r="BA41" i="177"/>
  <c r="AW41" i="177"/>
  <c r="AV41" i="177"/>
  <c r="AR41" i="177"/>
  <c r="AQ41" i="177"/>
  <c r="AM41" i="177"/>
  <c r="AL41" i="177"/>
  <c r="AH41" i="177"/>
  <c r="AG41" i="177"/>
  <c r="AC41" i="177"/>
  <c r="AB41" i="177"/>
  <c r="N41" i="177"/>
  <c r="M41" i="177"/>
  <c r="I41" i="177"/>
  <c r="H41" i="177"/>
  <c r="D41" i="177"/>
  <c r="C41" i="177"/>
  <c r="X37" i="177"/>
  <c r="W37" i="177"/>
  <c r="CG36" i="177"/>
  <c r="CB36" i="177"/>
  <c r="CB35" i="177" s="1"/>
  <c r="BW36" i="177"/>
  <c r="BW35" i="177" s="1"/>
  <c r="BR36" i="177"/>
  <c r="BM36" i="177"/>
  <c r="BH36" i="177"/>
  <c r="BH35" i="177" s="1"/>
  <c r="BC36" i="177"/>
  <c r="AX36" i="177"/>
  <c r="AS36" i="177"/>
  <c r="AN36" i="177"/>
  <c r="AN35" i="177" s="1"/>
  <c r="AI36" i="177"/>
  <c r="AD36" i="177"/>
  <c r="AD35" i="177" s="1"/>
  <c r="X36" i="177"/>
  <c r="CK36" i="177" s="1"/>
  <c r="CK35" i="177" s="1"/>
  <c r="W36" i="177"/>
  <c r="S36" i="177"/>
  <c r="R36" i="177"/>
  <c r="O36" i="177"/>
  <c r="O35" i="177" s="1"/>
  <c r="J36" i="177"/>
  <c r="J35" i="177" s="1"/>
  <c r="E36" i="177"/>
  <c r="CP35" i="177"/>
  <c r="CG35" i="177"/>
  <c r="CF35" i="177"/>
  <c r="CE35" i="177"/>
  <c r="CA35" i="177"/>
  <c r="BZ35" i="177"/>
  <c r="BV35" i="177"/>
  <c r="BU35" i="177"/>
  <c r="BR35" i="177"/>
  <c r="BQ35" i="177"/>
  <c r="BP35" i="177"/>
  <c r="BM35" i="177"/>
  <c r="BL35" i="177"/>
  <c r="BK35" i="177"/>
  <c r="BG35" i="177"/>
  <c r="BF35" i="177"/>
  <c r="BC35" i="177"/>
  <c r="BB35" i="177"/>
  <c r="BA35" i="177"/>
  <c r="AX35" i="177"/>
  <c r="AW35" i="177"/>
  <c r="AV35" i="177"/>
  <c r="AS35" i="177"/>
  <c r="AR35" i="177"/>
  <c r="AQ35" i="177"/>
  <c r="AM35" i="177"/>
  <c r="AL35" i="177"/>
  <c r="AI35" i="177"/>
  <c r="AH35" i="177"/>
  <c r="AG35" i="177"/>
  <c r="AC35" i="177"/>
  <c r="AB35" i="177"/>
  <c r="S35" i="177"/>
  <c r="R35" i="177"/>
  <c r="N35" i="177"/>
  <c r="M35" i="177"/>
  <c r="I35" i="177"/>
  <c r="H35" i="177"/>
  <c r="E35" i="177"/>
  <c r="D35" i="177"/>
  <c r="C35" i="177"/>
  <c r="CR33" i="177"/>
  <c r="CK33" i="177"/>
  <c r="CG33" i="177"/>
  <c r="CB33" i="177"/>
  <c r="BW33" i="177"/>
  <c r="BR33" i="177"/>
  <c r="BM33" i="177"/>
  <c r="BH33" i="177"/>
  <c r="BC33" i="177"/>
  <c r="AX33" i="177"/>
  <c r="AS33" i="177"/>
  <c r="AN33" i="177"/>
  <c r="AI33" i="177"/>
  <c r="AD33" i="177"/>
  <c r="X33" i="177"/>
  <c r="W33" i="177"/>
  <c r="S33" i="177"/>
  <c r="R33" i="177"/>
  <c r="O33" i="177"/>
  <c r="J33" i="177"/>
  <c r="E33" i="177"/>
  <c r="CK32" i="177"/>
  <c r="CG32" i="177"/>
  <c r="CB32" i="177"/>
  <c r="BW32" i="177"/>
  <c r="BR32" i="177"/>
  <c r="BM32" i="177"/>
  <c r="BH32" i="177"/>
  <c r="BC32" i="177"/>
  <c r="AX32" i="177"/>
  <c r="AS32" i="177"/>
  <c r="AN32" i="177"/>
  <c r="AI32" i="177"/>
  <c r="AD32" i="177"/>
  <c r="Y32" i="177"/>
  <c r="X32" i="177"/>
  <c r="W32" i="177"/>
  <c r="CJ32" i="177" s="1"/>
  <c r="S32" i="177"/>
  <c r="T32" i="177" s="1"/>
  <c r="R32" i="177"/>
  <c r="O32" i="177"/>
  <c r="J32" i="177"/>
  <c r="E32" i="177"/>
  <c r="CG31" i="177"/>
  <c r="CB31" i="177"/>
  <c r="BW31" i="177"/>
  <c r="BR31" i="177"/>
  <c r="BM31" i="177"/>
  <c r="BH31" i="177"/>
  <c r="BC31" i="177"/>
  <c r="AX31" i="177"/>
  <c r="AS31" i="177"/>
  <c r="AN31" i="177"/>
  <c r="AI31" i="177"/>
  <c r="AD31" i="177"/>
  <c r="X31" i="177"/>
  <c r="CK31" i="177" s="1"/>
  <c r="W31" i="177"/>
  <c r="S31" i="177"/>
  <c r="R31" i="177"/>
  <c r="T31" i="177" s="1"/>
  <c r="O31" i="177"/>
  <c r="J31" i="177"/>
  <c r="E31" i="177"/>
  <c r="CG30" i="177"/>
  <c r="CB30" i="177"/>
  <c r="BW30" i="177"/>
  <c r="BR30" i="177"/>
  <c r="BM30" i="177"/>
  <c r="BH30" i="177"/>
  <c r="BC30" i="177"/>
  <c r="AX30" i="177"/>
  <c r="AS30" i="177"/>
  <c r="AN30" i="177"/>
  <c r="AI30" i="177"/>
  <c r="AD30" i="177"/>
  <c r="Y30" i="177"/>
  <c r="X30" i="177"/>
  <c r="CK30" i="177" s="1"/>
  <c r="W30" i="177"/>
  <c r="CJ30" i="177" s="1"/>
  <c r="S30" i="177"/>
  <c r="R30" i="177"/>
  <c r="T30" i="177" s="1"/>
  <c r="O30" i="177"/>
  <c r="J30" i="177"/>
  <c r="E30" i="177"/>
  <c r="CG29" i="177"/>
  <c r="CB29" i="177"/>
  <c r="BW29" i="177"/>
  <c r="BR29" i="177"/>
  <c r="BM29" i="177"/>
  <c r="BH29" i="177"/>
  <c r="BC29" i="177"/>
  <c r="AX29" i="177"/>
  <c r="AS29" i="177"/>
  <c r="AN29" i="177"/>
  <c r="AI29" i="177"/>
  <c r="AD29" i="177"/>
  <c r="Y29" i="177"/>
  <c r="X29" i="177"/>
  <c r="CK29" i="177" s="1"/>
  <c r="W29" i="177"/>
  <c r="CJ29" i="177" s="1"/>
  <c r="CL29" i="177" s="1"/>
  <c r="CQ29" i="177" s="1"/>
  <c r="CR29" i="177" s="1"/>
  <c r="T29" i="177"/>
  <c r="S29" i="177"/>
  <c r="R29" i="177"/>
  <c r="O29" i="177"/>
  <c r="J29" i="177"/>
  <c r="E29" i="177"/>
  <c r="CG28" i="177"/>
  <c r="CB28" i="177"/>
  <c r="BW28" i="177"/>
  <c r="BR28" i="177"/>
  <c r="BM28" i="177"/>
  <c r="BH28" i="177"/>
  <c r="BC28" i="177"/>
  <c r="AX28" i="177"/>
  <c r="AS28" i="177"/>
  <c r="AN28" i="177"/>
  <c r="AI28" i="177"/>
  <c r="AD28" i="177"/>
  <c r="X28" i="177"/>
  <c r="CK28" i="177" s="1"/>
  <c r="W28" i="177"/>
  <c r="T28" i="177"/>
  <c r="S28" i="177"/>
  <c r="R28" i="177"/>
  <c r="O28" i="177"/>
  <c r="J28" i="177"/>
  <c r="E28" i="177"/>
  <c r="CG27" i="177"/>
  <c r="CB27" i="177"/>
  <c r="BW27" i="177"/>
  <c r="BR27" i="177"/>
  <c r="BM27" i="177"/>
  <c r="BH27" i="177"/>
  <c r="BC27" i="177"/>
  <c r="AX27" i="177"/>
  <c r="AS27" i="177"/>
  <c r="AN27" i="177"/>
  <c r="AI27" i="177"/>
  <c r="AD27" i="177"/>
  <c r="X27" i="177"/>
  <c r="CK27" i="177" s="1"/>
  <c r="W27" i="177"/>
  <c r="CJ27" i="177" s="1"/>
  <c r="S27" i="177"/>
  <c r="R27" i="177"/>
  <c r="T27" i="177" s="1"/>
  <c r="O27" i="177"/>
  <c r="J27" i="177"/>
  <c r="E27" i="177"/>
  <c r="CG26" i="177"/>
  <c r="CB26" i="177"/>
  <c r="BW26" i="177"/>
  <c r="BR26" i="177"/>
  <c r="BM26" i="177"/>
  <c r="BH26" i="177"/>
  <c r="BC26" i="177"/>
  <c r="AX26" i="177"/>
  <c r="AS26" i="177"/>
  <c r="AN26" i="177"/>
  <c r="AI26" i="177"/>
  <c r="AD26" i="177"/>
  <c r="X26" i="177"/>
  <c r="CK26" i="177" s="1"/>
  <c r="W26" i="177"/>
  <c r="CJ26" i="177" s="1"/>
  <c r="S26" i="177"/>
  <c r="R26" i="177"/>
  <c r="T26" i="177" s="1"/>
  <c r="O26" i="177"/>
  <c r="J26" i="177"/>
  <c r="E26" i="177"/>
  <c r="CR25" i="177"/>
  <c r="CG25" i="177"/>
  <c r="CB25" i="177"/>
  <c r="BW25" i="177"/>
  <c r="BR25" i="177"/>
  <c r="BM25" i="177"/>
  <c r="BH25" i="177"/>
  <c r="BC25" i="177"/>
  <c r="AX25" i="177"/>
  <c r="AS25" i="177"/>
  <c r="AN25" i="177"/>
  <c r="AI25" i="177"/>
  <c r="AD25" i="177"/>
  <c r="X25" i="177"/>
  <c r="CK25" i="177" s="1"/>
  <c r="W25" i="177"/>
  <c r="S25" i="177"/>
  <c r="R25" i="177"/>
  <c r="T25" i="177" s="1"/>
  <c r="O25" i="177"/>
  <c r="J25" i="177"/>
  <c r="E25" i="177"/>
  <c r="CG24" i="177"/>
  <c r="CB24" i="177"/>
  <c r="BW24" i="177"/>
  <c r="BR24" i="177"/>
  <c r="BM24" i="177"/>
  <c r="BH24" i="177"/>
  <c r="BC24" i="177"/>
  <c r="AX24" i="177"/>
  <c r="AS24" i="177"/>
  <c r="AN24" i="177"/>
  <c r="AI24" i="177"/>
  <c r="AD24" i="177"/>
  <c r="X24" i="177"/>
  <c r="CK24" i="177" s="1"/>
  <c r="W24" i="177"/>
  <c r="S24" i="177"/>
  <c r="R24" i="177"/>
  <c r="T24" i="177" s="1"/>
  <c r="O24" i="177"/>
  <c r="J24" i="177"/>
  <c r="E24" i="177"/>
  <c r="CG23" i="177"/>
  <c r="CB23" i="177"/>
  <c r="BW23" i="177"/>
  <c r="BR23" i="177"/>
  <c r="BM23" i="177"/>
  <c r="BH23" i="177"/>
  <c r="BC23" i="177"/>
  <c r="AX23" i="177"/>
  <c r="AS23" i="177"/>
  <c r="AN23" i="177"/>
  <c r="AI23" i="177"/>
  <c r="AD23" i="177"/>
  <c r="X23" i="177"/>
  <c r="CK23" i="177" s="1"/>
  <c r="W23" i="177"/>
  <c r="S23" i="177"/>
  <c r="R23" i="177"/>
  <c r="T23" i="177" s="1"/>
  <c r="O23" i="177"/>
  <c r="J23" i="177"/>
  <c r="E23" i="177"/>
  <c r="CK22" i="177"/>
  <c r="CJ22" i="177"/>
  <c r="CG22" i="177"/>
  <c r="CB22" i="177"/>
  <c r="BW22" i="177"/>
  <c r="BR22" i="177"/>
  <c r="BM22" i="177"/>
  <c r="BH22" i="177"/>
  <c r="BC22" i="177"/>
  <c r="AX22" i="177"/>
  <c r="AS22" i="177"/>
  <c r="AN22" i="177"/>
  <c r="AI22" i="177"/>
  <c r="AD22" i="177"/>
  <c r="X22" i="177"/>
  <c r="W22" i="177"/>
  <c r="S22" i="177"/>
  <c r="R22" i="177"/>
  <c r="O22" i="177"/>
  <c r="J22" i="177"/>
  <c r="E22" i="177"/>
  <c r="CG21" i="177"/>
  <c r="CB21" i="177"/>
  <c r="BW21" i="177"/>
  <c r="BR21" i="177"/>
  <c r="BM21" i="177"/>
  <c r="BH21" i="177"/>
  <c r="BC21" i="177"/>
  <c r="AX21" i="177"/>
  <c r="AS21" i="177"/>
  <c r="AN21" i="177"/>
  <c r="AI21" i="177"/>
  <c r="AD21" i="177"/>
  <c r="X21" i="177"/>
  <c r="CK21" i="177" s="1"/>
  <c r="W21" i="177"/>
  <c r="Y21" i="177" s="1"/>
  <c r="S21" i="177"/>
  <c r="R21" i="177"/>
  <c r="O21" i="177"/>
  <c r="J21" i="177"/>
  <c r="E21" i="177"/>
  <c r="CG20" i="177"/>
  <c r="CB20" i="177"/>
  <c r="BW20" i="177"/>
  <c r="BR20" i="177"/>
  <c r="BM20" i="177"/>
  <c r="BH20" i="177"/>
  <c r="BC20" i="177"/>
  <c r="AX20" i="177"/>
  <c r="AS20" i="177"/>
  <c r="AN20" i="177"/>
  <c r="AI20" i="177"/>
  <c r="AD20" i="177"/>
  <c r="X20" i="177"/>
  <c r="CK20" i="177" s="1"/>
  <c r="W20" i="177"/>
  <c r="CJ20" i="177" s="1"/>
  <c r="S20" i="177"/>
  <c r="R20" i="177"/>
  <c r="O20" i="177"/>
  <c r="J20" i="177"/>
  <c r="E20" i="177"/>
  <c r="CK19" i="177"/>
  <c r="CG19" i="177"/>
  <c r="CB19" i="177"/>
  <c r="BW19" i="177"/>
  <c r="BR19" i="177"/>
  <c r="BM19" i="177"/>
  <c r="BH19" i="177"/>
  <c r="BC19" i="177"/>
  <c r="AX19" i="177"/>
  <c r="AS19" i="177"/>
  <c r="AN19" i="177"/>
  <c r="AI19" i="177"/>
  <c r="AD19" i="177"/>
  <c r="X19" i="177"/>
  <c r="W19" i="177"/>
  <c r="CJ19" i="177" s="1"/>
  <c r="S19" i="177"/>
  <c r="R19" i="177"/>
  <c r="O19" i="177"/>
  <c r="J19" i="177"/>
  <c r="E19" i="177"/>
  <c r="CG18" i="177"/>
  <c r="CB18" i="177"/>
  <c r="BW18" i="177"/>
  <c r="BR18" i="177"/>
  <c r="BM18" i="177"/>
  <c r="BH18" i="177"/>
  <c r="BC18" i="177"/>
  <c r="AX18" i="177"/>
  <c r="AS18" i="177"/>
  <c r="AN18" i="177"/>
  <c r="AI18" i="177"/>
  <c r="AD18" i="177"/>
  <c r="X18" i="177"/>
  <c r="CK18" i="177" s="1"/>
  <c r="W18" i="177"/>
  <c r="S18" i="177"/>
  <c r="R18" i="177"/>
  <c r="O18" i="177"/>
  <c r="J18" i="177"/>
  <c r="E18" i="177"/>
  <c r="CG17" i="177"/>
  <c r="CB17" i="177"/>
  <c r="BW17" i="177"/>
  <c r="BR17" i="177"/>
  <c r="BM17" i="177"/>
  <c r="BH17" i="177"/>
  <c r="BC17" i="177"/>
  <c r="AX17" i="177"/>
  <c r="AS17" i="177"/>
  <c r="AN17" i="177"/>
  <c r="AI17" i="177"/>
  <c r="AD17" i="177"/>
  <c r="X17" i="177"/>
  <c r="CK17" i="177" s="1"/>
  <c r="W17" i="177"/>
  <c r="CJ17" i="177" s="1"/>
  <c r="S17" i="177"/>
  <c r="R17" i="177"/>
  <c r="O17" i="177"/>
  <c r="J17" i="177"/>
  <c r="E17" i="177"/>
  <c r="CG16" i="177"/>
  <c r="CB16" i="177"/>
  <c r="BW16" i="177"/>
  <c r="BR16" i="177"/>
  <c r="BM16" i="177"/>
  <c r="BH16" i="177"/>
  <c r="BC16" i="177"/>
  <c r="AX16" i="177"/>
  <c r="AS16" i="177"/>
  <c r="AN16" i="177"/>
  <c r="AI16" i="177"/>
  <c r="AD16" i="177"/>
  <c r="X16" i="177"/>
  <c r="W16" i="177"/>
  <c r="CJ16" i="177" s="1"/>
  <c r="S16" i="177"/>
  <c r="R16" i="177"/>
  <c r="T16" i="177" s="1"/>
  <c r="O16" i="177"/>
  <c r="J16" i="177"/>
  <c r="E16" i="177"/>
  <c r="CG15" i="177"/>
  <c r="CB15" i="177"/>
  <c r="BW15" i="177"/>
  <c r="BR15" i="177"/>
  <c r="BM15" i="177"/>
  <c r="BH15" i="177"/>
  <c r="BC15" i="177"/>
  <c r="AX15" i="177"/>
  <c r="AS15" i="177"/>
  <c r="AN15" i="177"/>
  <c r="AI15" i="177"/>
  <c r="AD15" i="177"/>
  <c r="X15" i="177"/>
  <c r="CK15" i="177" s="1"/>
  <c r="W15" i="177"/>
  <c r="Y15" i="177" s="1"/>
  <c r="S15" i="177"/>
  <c r="R15" i="177"/>
  <c r="O15" i="177"/>
  <c r="J15" i="177"/>
  <c r="E15" i="177"/>
  <c r="CG14" i="177"/>
  <c r="CB14" i="177"/>
  <c r="BW14" i="177"/>
  <c r="BR14" i="177"/>
  <c r="BM14" i="177"/>
  <c r="BH14" i="177"/>
  <c r="BC14" i="177"/>
  <c r="AX14" i="177"/>
  <c r="AS14" i="177"/>
  <c r="AN14" i="177"/>
  <c r="AI14" i="177"/>
  <c r="AD14" i="177"/>
  <c r="X14" i="177"/>
  <c r="CK14" i="177" s="1"/>
  <c r="W14" i="177"/>
  <c r="S14" i="177"/>
  <c r="R14" i="177"/>
  <c r="O14" i="177"/>
  <c r="J14" i="177"/>
  <c r="E14" i="177"/>
  <c r="CJ13" i="177"/>
  <c r="CL13" i="177" s="1"/>
  <c r="CQ13" i="177" s="1"/>
  <c r="CR13" i="177" s="1"/>
  <c r="CG13" i="177"/>
  <c r="CB13" i="177"/>
  <c r="BW13" i="177"/>
  <c r="BR13" i="177"/>
  <c r="BM13" i="177"/>
  <c r="BH13" i="177"/>
  <c r="BC13" i="177"/>
  <c r="AX13" i="177"/>
  <c r="AS13" i="177"/>
  <c r="AN13" i="177"/>
  <c r="AI13" i="177"/>
  <c r="AD13" i="177"/>
  <c r="X13" i="177"/>
  <c r="CK13" i="177" s="1"/>
  <c r="W13" i="177"/>
  <c r="S13" i="177"/>
  <c r="R13" i="177"/>
  <c r="T13" i="177" s="1"/>
  <c r="O13" i="177"/>
  <c r="J13" i="177"/>
  <c r="E13" i="177"/>
  <c r="CK12" i="177"/>
  <c r="CG12" i="177"/>
  <c r="CB12" i="177"/>
  <c r="BW12" i="177"/>
  <c r="BR12" i="177"/>
  <c r="BM12" i="177"/>
  <c r="BH12" i="177"/>
  <c r="BC12" i="177"/>
  <c r="AX12" i="177"/>
  <c r="AS12" i="177"/>
  <c r="AN12" i="177"/>
  <c r="AI12" i="177"/>
  <c r="AD12" i="177"/>
  <c r="X12" i="177"/>
  <c r="W12" i="177"/>
  <c r="S12" i="177"/>
  <c r="R12" i="177"/>
  <c r="O12" i="177"/>
  <c r="J12" i="177"/>
  <c r="E12" i="177"/>
  <c r="CL11" i="177"/>
  <c r="CJ11" i="177"/>
  <c r="CG11" i="177"/>
  <c r="CB11" i="177"/>
  <c r="BW11" i="177"/>
  <c r="BR11" i="177"/>
  <c r="BM11" i="177"/>
  <c r="BH11" i="177"/>
  <c r="BC11" i="177"/>
  <c r="AX11" i="177"/>
  <c r="AS11" i="177"/>
  <c r="AN11" i="177"/>
  <c r="AI11" i="177"/>
  <c r="AD11" i="177"/>
  <c r="X11" i="177"/>
  <c r="CK11" i="177" s="1"/>
  <c r="W11" i="177"/>
  <c r="Y11" i="177" s="1"/>
  <c r="S11" i="177"/>
  <c r="R11" i="177"/>
  <c r="O11" i="177"/>
  <c r="J11" i="177"/>
  <c r="E11" i="177"/>
  <c r="E8" i="177" s="1"/>
  <c r="CG10" i="177"/>
  <c r="CB10" i="177"/>
  <c r="BW10" i="177"/>
  <c r="BR10" i="177"/>
  <c r="BM10" i="177"/>
  <c r="BH10" i="177"/>
  <c r="BC10" i="177"/>
  <c r="AX10" i="177"/>
  <c r="AS10" i="177"/>
  <c r="AN10" i="177"/>
  <c r="AI10" i="177"/>
  <c r="AD10" i="177"/>
  <c r="X10" i="177"/>
  <c r="W10" i="177"/>
  <c r="CJ10" i="177" s="1"/>
  <c r="S10" i="177"/>
  <c r="R10" i="177"/>
  <c r="O10" i="177"/>
  <c r="J10" i="177"/>
  <c r="E10" i="177"/>
  <c r="CG9" i="177"/>
  <c r="CB9" i="177"/>
  <c r="BW9" i="177"/>
  <c r="BR9" i="177"/>
  <c r="BM9" i="177"/>
  <c r="BH9" i="177"/>
  <c r="BC9" i="177"/>
  <c r="AX9" i="177"/>
  <c r="AS9" i="177"/>
  <c r="AN9" i="177"/>
  <c r="AI9" i="177"/>
  <c r="AD9" i="177"/>
  <c r="X9" i="177"/>
  <c r="W9" i="177"/>
  <c r="S9" i="177"/>
  <c r="R9" i="177"/>
  <c r="O9" i="177"/>
  <c r="O8" i="177" s="1"/>
  <c r="J9" i="177"/>
  <c r="E9" i="177"/>
  <c r="CP8" i="177"/>
  <c r="CF8" i="177"/>
  <c r="CE8" i="177"/>
  <c r="CA8" i="177"/>
  <c r="BZ8" i="177"/>
  <c r="BV8" i="177"/>
  <c r="BU8" i="177"/>
  <c r="BQ8" i="177"/>
  <c r="BP8" i="177"/>
  <c r="BM8" i="177"/>
  <c r="BL8" i="177"/>
  <c r="BK8" i="177"/>
  <c r="BG8" i="177"/>
  <c r="BF8" i="177"/>
  <c r="BB8" i="177"/>
  <c r="BA8" i="177"/>
  <c r="AW8" i="177"/>
  <c r="AV8" i="177"/>
  <c r="AR8" i="177"/>
  <c r="AQ8" i="177"/>
  <c r="AM8" i="177"/>
  <c r="AL8" i="177"/>
  <c r="AH8" i="177"/>
  <c r="AG8" i="177"/>
  <c r="AC8" i="177"/>
  <c r="AB8" i="177"/>
  <c r="N8" i="177"/>
  <c r="M8" i="177"/>
  <c r="I8" i="177"/>
  <c r="H8" i="177"/>
  <c r="D8" i="177"/>
  <c r="C8" i="177"/>
  <c r="CK7" i="177"/>
  <c r="CG7" i="177"/>
  <c r="CB7" i="177"/>
  <c r="BW7" i="177"/>
  <c r="BW5" i="177" s="1"/>
  <c r="BR7" i="177"/>
  <c r="BM7" i="177"/>
  <c r="BH7" i="177"/>
  <c r="BC7" i="177"/>
  <c r="BC5" i="177" s="1"/>
  <c r="AX7" i="177"/>
  <c r="AS7" i="177"/>
  <c r="AN7" i="177"/>
  <c r="AI7" i="177"/>
  <c r="AD7" i="177"/>
  <c r="X7" i="177"/>
  <c r="W7" i="177"/>
  <c r="Y7" i="177" s="1"/>
  <c r="S7" i="177"/>
  <c r="R7" i="177"/>
  <c r="O7" i="177"/>
  <c r="J7" i="177"/>
  <c r="E7" i="177"/>
  <c r="CR6" i="177"/>
  <c r="CJ6" i="177"/>
  <c r="CG6" i="177"/>
  <c r="CB6" i="177"/>
  <c r="BW6" i="177"/>
  <c r="BR6" i="177"/>
  <c r="BR5" i="177" s="1"/>
  <c r="BM6" i="177"/>
  <c r="BM5" i="177" s="1"/>
  <c r="BM38" i="177" s="1"/>
  <c r="BH6" i="177"/>
  <c r="BC6" i="177"/>
  <c r="AX6" i="177"/>
  <c r="AX5" i="177" s="1"/>
  <c r="AS6" i="177"/>
  <c r="AS5" i="177" s="1"/>
  <c r="AN6" i="177"/>
  <c r="AI6" i="177"/>
  <c r="AD6" i="177"/>
  <c r="AD5" i="177" s="1"/>
  <c r="X6" i="177"/>
  <c r="W6" i="177"/>
  <c r="S6" i="177"/>
  <c r="R6" i="177"/>
  <c r="T6" i="177" s="1"/>
  <c r="O6" i="177"/>
  <c r="J6" i="177"/>
  <c r="E6" i="177"/>
  <c r="CR5" i="177"/>
  <c r="CQ5" i="177"/>
  <c r="CP5" i="177"/>
  <c r="CF5" i="177"/>
  <c r="CE5" i="177"/>
  <c r="CE38" i="177" s="1"/>
  <c r="CA5" i="177"/>
  <c r="BZ5" i="177"/>
  <c r="BV5" i="177"/>
  <c r="BU5" i="177"/>
  <c r="BU38" i="177" s="1"/>
  <c r="BQ5" i="177"/>
  <c r="BQ38" i="177" s="1"/>
  <c r="BP5" i="177"/>
  <c r="BP38" i="177" s="1"/>
  <c r="BL5" i="177"/>
  <c r="BL38" i="177" s="1"/>
  <c r="BK5" i="177"/>
  <c r="BK38" i="177" s="1"/>
  <c r="BG5" i="177"/>
  <c r="BG38" i="177" s="1"/>
  <c r="BF5" i="177"/>
  <c r="BB5" i="177"/>
  <c r="BB38" i="177" s="1"/>
  <c r="BA5" i="177"/>
  <c r="BA38" i="177" s="1"/>
  <c r="AW5" i="177"/>
  <c r="AW38" i="177" s="1"/>
  <c r="AV5" i="177"/>
  <c r="AR5" i="177"/>
  <c r="AR38" i="177" s="1"/>
  <c r="AQ5" i="177"/>
  <c r="AQ38" i="177" s="1"/>
  <c r="AM5" i="177"/>
  <c r="AM38" i="177" s="1"/>
  <c r="AL5" i="177"/>
  <c r="AH5" i="177"/>
  <c r="AG5" i="177"/>
  <c r="AG38" i="177" s="1"/>
  <c r="AC5" i="177"/>
  <c r="AC38" i="177" s="1"/>
  <c r="AB5" i="177"/>
  <c r="W5" i="177"/>
  <c r="S5" i="177"/>
  <c r="N5" i="177"/>
  <c r="M5" i="177"/>
  <c r="I5" i="177"/>
  <c r="I38" i="177" s="1"/>
  <c r="H5" i="177"/>
  <c r="D5" i="177"/>
  <c r="D38" i="177" s="1"/>
  <c r="C5" i="177"/>
  <c r="C38" i="177" s="1"/>
  <c r="CP85" i="159"/>
  <c r="CQ85" i="159" s="1"/>
  <c r="CK85" i="159"/>
  <c r="CJ85" i="159"/>
  <c r="CG85" i="159"/>
  <c r="CB85" i="159"/>
  <c r="BW85" i="159"/>
  <c r="BR85" i="159"/>
  <c r="BM85" i="159"/>
  <c r="BH85" i="159"/>
  <c r="BC85" i="159"/>
  <c r="AX85" i="159"/>
  <c r="AS85" i="159"/>
  <c r="AN85" i="159"/>
  <c r="AI85" i="159"/>
  <c r="AD85" i="159"/>
  <c r="X85" i="159"/>
  <c r="W85" i="159"/>
  <c r="S85" i="159"/>
  <c r="R85" i="159"/>
  <c r="O85" i="159"/>
  <c r="J85" i="159"/>
  <c r="E85" i="159"/>
  <c r="CP82" i="159"/>
  <c r="CQ82" i="159" s="1"/>
  <c r="CL82" i="159"/>
  <c r="CG82" i="159"/>
  <c r="CB82" i="159"/>
  <c r="BW82" i="159"/>
  <c r="BR82" i="159"/>
  <c r="BM82" i="159"/>
  <c r="BH82" i="159"/>
  <c r="BC82" i="159"/>
  <c r="AX82" i="159"/>
  <c r="AS82" i="159"/>
  <c r="AN82" i="159"/>
  <c r="AI82" i="159"/>
  <c r="AD82" i="159"/>
  <c r="X82" i="159"/>
  <c r="W82" i="159"/>
  <c r="S82" i="159"/>
  <c r="R82" i="159"/>
  <c r="T82" i="159" s="1"/>
  <c r="O82" i="159"/>
  <c r="J82" i="159"/>
  <c r="E82" i="159"/>
  <c r="CK80" i="159"/>
  <c r="CJ80" i="159"/>
  <c r="CP79" i="159"/>
  <c r="CK79" i="159"/>
  <c r="CG79" i="159"/>
  <c r="CB79" i="159"/>
  <c r="BW79" i="159"/>
  <c r="BR79" i="159"/>
  <c r="BR77" i="159" s="1"/>
  <c r="BM79" i="159"/>
  <c r="BM77" i="159" s="1"/>
  <c r="BH79" i="159"/>
  <c r="X79" i="159"/>
  <c r="S79" i="159"/>
  <c r="R79" i="159"/>
  <c r="O79" i="159"/>
  <c r="J79" i="159"/>
  <c r="E79" i="159"/>
  <c r="E77" i="159" s="1"/>
  <c r="CQ78" i="159"/>
  <c r="CP78" i="159"/>
  <c r="CP77" i="159" s="1"/>
  <c r="CG78" i="159"/>
  <c r="CB78" i="159"/>
  <c r="BW78" i="159"/>
  <c r="BW77" i="159" s="1"/>
  <c r="BR78" i="159"/>
  <c r="BM78" i="159"/>
  <c r="BH78" i="159"/>
  <c r="BC78" i="159"/>
  <c r="AX78" i="159"/>
  <c r="AS78" i="159"/>
  <c r="AN78" i="159"/>
  <c r="AI78" i="159"/>
  <c r="AD78" i="159"/>
  <c r="X78" i="159"/>
  <c r="CK78" i="159" s="1"/>
  <c r="CK77" i="159" s="1"/>
  <c r="W78" i="159"/>
  <c r="S78" i="159"/>
  <c r="R78" i="159"/>
  <c r="T78" i="159" s="1"/>
  <c r="O78" i="159"/>
  <c r="J78" i="159"/>
  <c r="E78" i="159"/>
  <c r="CF77" i="159"/>
  <c r="CE77" i="159"/>
  <c r="CA77" i="159"/>
  <c r="BZ77" i="159"/>
  <c r="BV77" i="159"/>
  <c r="BU77" i="159"/>
  <c r="BQ77" i="159"/>
  <c r="BP77" i="159"/>
  <c r="BL77" i="159"/>
  <c r="BK77" i="159"/>
  <c r="BG77" i="159"/>
  <c r="BF77" i="159"/>
  <c r="BB77" i="159"/>
  <c r="AW77" i="159"/>
  <c r="AR77" i="159"/>
  <c r="AM77" i="159"/>
  <c r="AH77" i="159"/>
  <c r="AC77" i="159"/>
  <c r="X77" i="159"/>
  <c r="O77" i="159"/>
  <c r="N77" i="159"/>
  <c r="M77" i="159"/>
  <c r="I77" i="159"/>
  <c r="H77" i="159"/>
  <c r="D77" i="159"/>
  <c r="C77" i="159"/>
  <c r="CP74" i="159"/>
  <c r="CQ74" i="159" s="1"/>
  <c r="CQ73" i="159" s="1"/>
  <c r="CK74" i="159"/>
  <c r="CJ74" i="159"/>
  <c r="CG74" i="159"/>
  <c r="CG73" i="159" s="1"/>
  <c r="CB74" i="159"/>
  <c r="BW74" i="159"/>
  <c r="BW73" i="159" s="1"/>
  <c r="BR74" i="159"/>
  <c r="BM74" i="159"/>
  <c r="BM73" i="159" s="1"/>
  <c r="BH74" i="159"/>
  <c r="BH73" i="159" s="1"/>
  <c r="BC74" i="159"/>
  <c r="BC73" i="159" s="1"/>
  <c r="AX74" i="159"/>
  <c r="AS74" i="159"/>
  <c r="AN74" i="159"/>
  <c r="AN73" i="159" s="1"/>
  <c r="AI74" i="159"/>
  <c r="AI73" i="159" s="1"/>
  <c r="AD74" i="159"/>
  <c r="AD73" i="159" s="1"/>
  <c r="X74" i="159"/>
  <c r="X73" i="159" s="1"/>
  <c r="W74" i="159"/>
  <c r="O74" i="159"/>
  <c r="J74" i="159"/>
  <c r="E74" i="159"/>
  <c r="CP73" i="159"/>
  <c r="CK73" i="159"/>
  <c r="CF73" i="159"/>
  <c r="CE73" i="159"/>
  <c r="CB73" i="159"/>
  <c r="CA73" i="159"/>
  <c r="BZ73" i="159"/>
  <c r="BV73" i="159"/>
  <c r="BU73" i="159"/>
  <c r="BR73" i="159"/>
  <c r="BQ73" i="159"/>
  <c r="BP73" i="159"/>
  <c r="BL73" i="159"/>
  <c r="BK73" i="159"/>
  <c r="BG73" i="159"/>
  <c r="BF73" i="159"/>
  <c r="BB73" i="159"/>
  <c r="BA73" i="159"/>
  <c r="AX73" i="159"/>
  <c r="AW73" i="159"/>
  <c r="AV73" i="159"/>
  <c r="AS73" i="159"/>
  <c r="AR73" i="159"/>
  <c r="AQ73" i="159"/>
  <c r="AM73" i="159"/>
  <c r="AL73" i="159"/>
  <c r="AH73" i="159"/>
  <c r="AG73" i="159"/>
  <c r="CP74" i="157" s="1"/>
  <c r="AC73" i="159"/>
  <c r="AB73" i="159"/>
  <c r="Y73" i="159"/>
  <c r="W73" i="159"/>
  <c r="T73" i="159"/>
  <c r="S73" i="159"/>
  <c r="R73" i="159"/>
  <c r="O73" i="159"/>
  <c r="N73" i="159"/>
  <c r="M73" i="159"/>
  <c r="I73" i="159"/>
  <c r="H73" i="159"/>
  <c r="E73" i="159"/>
  <c r="D73" i="159"/>
  <c r="C73" i="159"/>
  <c r="CQ71" i="159"/>
  <c r="CP71" i="159"/>
  <c r="CG71" i="159"/>
  <c r="CB71" i="159"/>
  <c r="BW71" i="159"/>
  <c r="BR71" i="159"/>
  <c r="BM71" i="159"/>
  <c r="BH71" i="159"/>
  <c r="BC71" i="159"/>
  <c r="AX71" i="159"/>
  <c r="AS71" i="159"/>
  <c r="AN71" i="159"/>
  <c r="AI71" i="159"/>
  <c r="AD71" i="159"/>
  <c r="X71" i="159"/>
  <c r="CK71" i="159" s="1"/>
  <c r="W71" i="159"/>
  <c r="CJ71" i="159" s="1"/>
  <c r="CL71" i="159" s="1"/>
  <c r="S71" i="159"/>
  <c r="R71" i="159"/>
  <c r="O71" i="159"/>
  <c r="J71" i="159"/>
  <c r="E71" i="159"/>
  <c r="CP70" i="159"/>
  <c r="CQ70" i="159" s="1"/>
  <c r="CG70" i="159"/>
  <c r="CB70" i="159"/>
  <c r="BW70" i="159"/>
  <c r="BR70" i="159"/>
  <c r="BM70" i="159"/>
  <c r="BH70" i="159"/>
  <c r="BC70" i="159"/>
  <c r="AX70" i="159"/>
  <c r="AS70" i="159"/>
  <c r="AN70" i="159"/>
  <c r="AI70" i="159"/>
  <c r="AD70" i="159"/>
  <c r="X70" i="159"/>
  <c r="CK70" i="159" s="1"/>
  <c r="W70" i="159"/>
  <c r="CJ70" i="159" s="1"/>
  <c r="S70" i="159"/>
  <c r="R70" i="159"/>
  <c r="T70" i="159" s="1"/>
  <c r="O70" i="159"/>
  <c r="J70" i="159"/>
  <c r="E70" i="159"/>
  <c r="CP69" i="159"/>
  <c r="CQ69" i="159" s="1"/>
  <c r="CJ69" i="159"/>
  <c r="CG69" i="159"/>
  <c r="CB69" i="159"/>
  <c r="BW69" i="159"/>
  <c r="BR69" i="159"/>
  <c r="BM69" i="159"/>
  <c r="BH69" i="159"/>
  <c r="BC69" i="159"/>
  <c r="AX69" i="159"/>
  <c r="AS69" i="159"/>
  <c r="AN69" i="159"/>
  <c r="AI69" i="159"/>
  <c r="AD69" i="159"/>
  <c r="X69" i="159"/>
  <c r="CK69" i="159" s="1"/>
  <c r="W69" i="159"/>
  <c r="S69" i="159"/>
  <c r="R69" i="159"/>
  <c r="T69" i="159" s="1"/>
  <c r="O69" i="159"/>
  <c r="J69" i="159"/>
  <c r="E69" i="159"/>
  <c r="CP68" i="159"/>
  <c r="CQ68" i="159" s="1"/>
  <c r="CG68" i="159"/>
  <c r="CB68" i="159"/>
  <c r="BW68" i="159"/>
  <c r="BR68" i="159"/>
  <c r="BM68" i="159"/>
  <c r="BH68" i="159"/>
  <c r="BC68" i="159"/>
  <c r="AX68" i="159"/>
  <c r="AS68" i="159"/>
  <c r="AN68" i="159"/>
  <c r="AI68" i="159"/>
  <c r="AD68" i="159"/>
  <c r="X68" i="159"/>
  <c r="CK68" i="159" s="1"/>
  <c r="W68" i="159"/>
  <c r="CJ68" i="159" s="1"/>
  <c r="S68" i="159"/>
  <c r="R68" i="159"/>
  <c r="T68" i="159" s="1"/>
  <c r="O68" i="159"/>
  <c r="J68" i="159"/>
  <c r="E68" i="159"/>
  <c r="CP67" i="159"/>
  <c r="CQ67" i="159" s="1"/>
  <c r="CG67" i="159"/>
  <c r="CB67" i="159"/>
  <c r="BW67" i="159"/>
  <c r="BR67" i="159"/>
  <c r="BM67" i="159"/>
  <c r="BH67" i="159"/>
  <c r="BC67" i="159"/>
  <c r="AX67" i="159"/>
  <c r="AS67" i="159"/>
  <c r="AN67" i="159"/>
  <c r="AI67" i="159"/>
  <c r="AD67" i="159"/>
  <c r="X67" i="159"/>
  <c r="CK67" i="159" s="1"/>
  <c r="W67" i="159"/>
  <c r="CJ67" i="159" s="1"/>
  <c r="S67" i="159"/>
  <c r="R67" i="159"/>
  <c r="O67" i="159"/>
  <c r="J67" i="159"/>
  <c r="E67" i="159"/>
  <c r="CP66" i="159"/>
  <c r="CQ66" i="159" s="1"/>
  <c r="CJ66" i="159"/>
  <c r="CG66" i="159"/>
  <c r="CB66" i="159"/>
  <c r="BW66" i="159"/>
  <c r="BR66" i="159"/>
  <c r="BM66" i="159"/>
  <c r="BH66" i="159"/>
  <c r="BC66" i="159"/>
  <c r="AX66" i="159"/>
  <c r="AS66" i="159"/>
  <c r="AN66" i="159"/>
  <c r="AI66" i="159"/>
  <c r="AD66" i="159"/>
  <c r="X66" i="159"/>
  <c r="W66" i="159"/>
  <c r="S66" i="159"/>
  <c r="R66" i="159"/>
  <c r="T66" i="159" s="1"/>
  <c r="O66" i="159"/>
  <c r="J66" i="159"/>
  <c r="E66" i="159"/>
  <c r="CP65" i="159"/>
  <c r="CG65" i="159"/>
  <c r="CB65" i="159"/>
  <c r="BW65" i="159"/>
  <c r="BR65" i="159"/>
  <c r="BM65" i="159"/>
  <c r="BH65" i="159"/>
  <c r="BC65" i="159"/>
  <c r="BA65" i="159"/>
  <c r="BA65" i="157" s="1"/>
  <c r="BC65" i="157" s="1"/>
  <c r="AX65" i="159"/>
  <c r="AS65" i="159"/>
  <c r="AN65" i="159"/>
  <c r="AI65" i="159"/>
  <c r="AD65" i="159"/>
  <c r="X65" i="159"/>
  <c r="CK65" i="159" s="1"/>
  <c r="W65" i="159"/>
  <c r="Y65" i="159" s="1"/>
  <c r="S65" i="159"/>
  <c r="T65" i="159" s="1"/>
  <c r="R65" i="159"/>
  <c r="O65" i="159"/>
  <c r="J65" i="159"/>
  <c r="E65" i="159"/>
  <c r="CP64" i="159"/>
  <c r="CQ64" i="159" s="1"/>
  <c r="CK64" i="159"/>
  <c r="CG64" i="159"/>
  <c r="CB64" i="159"/>
  <c r="BW64" i="159"/>
  <c r="BR64" i="159"/>
  <c r="BM64" i="159"/>
  <c r="BH64" i="159"/>
  <c r="BC64" i="159"/>
  <c r="AX64" i="159"/>
  <c r="AS64" i="159"/>
  <c r="AN64" i="159"/>
  <c r="AI64" i="159"/>
  <c r="AD64" i="159"/>
  <c r="Y64" i="159"/>
  <c r="X64" i="159"/>
  <c r="W64" i="159"/>
  <c r="CJ64" i="159" s="1"/>
  <c r="S64" i="159"/>
  <c r="R64" i="159"/>
  <c r="O64" i="159"/>
  <c r="J64" i="159"/>
  <c r="E64" i="159"/>
  <c r="CQ63" i="159"/>
  <c r="CP63" i="159"/>
  <c r="CG63" i="159"/>
  <c r="CB63" i="159"/>
  <c r="BW63" i="159"/>
  <c r="BR63" i="159"/>
  <c r="BM63" i="159"/>
  <c r="BH63" i="159"/>
  <c r="BC63" i="159"/>
  <c r="AX63" i="159"/>
  <c r="AS63" i="159"/>
  <c r="AN63" i="159"/>
  <c r="AI63" i="159"/>
  <c r="AD63" i="159"/>
  <c r="X63" i="159"/>
  <c r="Y63" i="159" s="1"/>
  <c r="W63" i="159"/>
  <c r="CJ63" i="159" s="1"/>
  <c r="S63" i="159"/>
  <c r="R63" i="159"/>
  <c r="T63" i="159" s="1"/>
  <c r="O63" i="159"/>
  <c r="J63" i="159"/>
  <c r="E63" i="159"/>
  <c r="CP62" i="159"/>
  <c r="CQ62" i="159" s="1"/>
  <c r="CG62" i="159"/>
  <c r="CB62" i="159"/>
  <c r="BW62" i="159"/>
  <c r="BR62" i="159"/>
  <c r="BM62" i="159"/>
  <c r="BH62" i="159"/>
  <c r="BC62" i="159"/>
  <c r="AX62" i="159"/>
  <c r="AS62" i="159"/>
  <c r="AN62" i="159"/>
  <c r="AI62" i="159"/>
  <c r="AD62" i="159"/>
  <c r="X62" i="159"/>
  <c r="CK62" i="159" s="1"/>
  <c r="W62" i="159"/>
  <c r="CJ62" i="159" s="1"/>
  <c r="S62" i="159"/>
  <c r="R62" i="159"/>
  <c r="T62" i="159" s="1"/>
  <c r="O62" i="159"/>
  <c r="J62" i="159"/>
  <c r="E62" i="159"/>
  <c r="CP61" i="159"/>
  <c r="CQ61" i="159" s="1"/>
  <c r="CK61" i="159"/>
  <c r="CG61" i="159"/>
  <c r="CB61" i="159"/>
  <c r="BW61" i="159"/>
  <c r="BR61" i="159"/>
  <c r="BM61" i="159"/>
  <c r="BH61" i="159"/>
  <c r="BC61" i="159"/>
  <c r="AX61" i="159"/>
  <c r="AS61" i="159"/>
  <c r="AN61" i="159"/>
  <c r="AI61" i="159"/>
  <c r="AD61" i="159"/>
  <c r="X61" i="159"/>
  <c r="W61" i="159"/>
  <c r="CJ61" i="159" s="1"/>
  <c r="S61" i="159"/>
  <c r="R61" i="159"/>
  <c r="O61" i="159"/>
  <c r="J61" i="159"/>
  <c r="E61" i="159"/>
  <c r="CP60" i="159"/>
  <c r="CQ60" i="159" s="1"/>
  <c r="CK60" i="159"/>
  <c r="CG60" i="159"/>
  <c r="CB60" i="159"/>
  <c r="BW60" i="159"/>
  <c r="BR60" i="159"/>
  <c r="BM60" i="159"/>
  <c r="BH60" i="159"/>
  <c r="BC60" i="159"/>
  <c r="AX60" i="159"/>
  <c r="AS60" i="159"/>
  <c r="AN60" i="159"/>
  <c r="AI60" i="159"/>
  <c r="AD60" i="159"/>
  <c r="Y60" i="159"/>
  <c r="X60" i="159"/>
  <c r="W60" i="159"/>
  <c r="CJ60" i="159" s="1"/>
  <c r="S60" i="159"/>
  <c r="R60" i="159"/>
  <c r="O60" i="159"/>
  <c r="J60" i="159"/>
  <c r="E60" i="159"/>
  <c r="CQ59" i="159"/>
  <c r="CP59" i="159"/>
  <c r="CG59" i="159"/>
  <c r="CB59" i="159"/>
  <c r="BW59" i="159"/>
  <c r="BR59" i="159"/>
  <c r="BM59" i="159"/>
  <c r="BH59" i="159"/>
  <c r="BC59" i="159"/>
  <c r="AX59" i="159"/>
  <c r="AS59" i="159"/>
  <c r="AN59" i="159"/>
  <c r="AI59" i="159"/>
  <c r="AD59" i="159"/>
  <c r="X59" i="159"/>
  <c r="Y59" i="159" s="1"/>
  <c r="W59" i="159"/>
  <c r="CJ59" i="159" s="1"/>
  <c r="S59" i="159"/>
  <c r="R59" i="159"/>
  <c r="T59" i="159" s="1"/>
  <c r="O59" i="159"/>
  <c r="J59" i="159"/>
  <c r="E59" i="159"/>
  <c r="CP58" i="159"/>
  <c r="CQ58" i="159" s="1"/>
  <c r="CG58" i="159"/>
  <c r="CB58" i="159"/>
  <c r="BW58" i="159"/>
  <c r="BR58" i="159"/>
  <c r="BM58" i="159"/>
  <c r="BH58" i="159"/>
  <c r="BC58" i="159"/>
  <c r="AX58" i="159"/>
  <c r="AS58" i="159"/>
  <c r="AN58" i="159"/>
  <c r="AI58" i="159"/>
  <c r="AI54" i="159" s="1"/>
  <c r="AD58" i="159"/>
  <c r="X58" i="159"/>
  <c r="CK58" i="159" s="1"/>
  <c r="W58" i="159"/>
  <c r="CJ58" i="159" s="1"/>
  <c r="S58" i="159"/>
  <c r="R58" i="159"/>
  <c r="O58" i="159"/>
  <c r="J58" i="159"/>
  <c r="E58" i="159"/>
  <c r="CP57" i="159"/>
  <c r="CQ57" i="159" s="1"/>
  <c r="CK57" i="159"/>
  <c r="CG57" i="159"/>
  <c r="CB57" i="159"/>
  <c r="BW57" i="159"/>
  <c r="BR57" i="159"/>
  <c r="BM57" i="159"/>
  <c r="BH57" i="159"/>
  <c r="BC57" i="159"/>
  <c r="AX57" i="159"/>
  <c r="AS57" i="159"/>
  <c r="AN57" i="159"/>
  <c r="AI57" i="159"/>
  <c r="AD57" i="159"/>
  <c r="X57" i="159"/>
  <c r="W57" i="159"/>
  <c r="CJ57" i="159" s="1"/>
  <c r="S57" i="159"/>
  <c r="R57" i="159"/>
  <c r="O57" i="159"/>
  <c r="J57" i="159"/>
  <c r="E57" i="159"/>
  <c r="CP56" i="159"/>
  <c r="CQ56" i="159" s="1"/>
  <c r="CG56" i="159"/>
  <c r="CB56" i="159"/>
  <c r="CB54" i="159" s="1"/>
  <c r="BW56" i="159"/>
  <c r="BR56" i="159"/>
  <c r="BM56" i="159"/>
  <c r="BH56" i="159"/>
  <c r="BC56" i="159"/>
  <c r="AX56" i="159"/>
  <c r="AS56" i="159"/>
  <c r="AN56" i="159"/>
  <c r="AI56" i="159"/>
  <c r="AD56" i="159"/>
  <c r="X56" i="159"/>
  <c r="W56" i="159"/>
  <c r="CJ56" i="159" s="1"/>
  <c r="S56" i="159"/>
  <c r="R56" i="159"/>
  <c r="O56" i="159"/>
  <c r="J56" i="159"/>
  <c r="J54" i="159" s="1"/>
  <c r="E56" i="159"/>
  <c r="CP55" i="159"/>
  <c r="CQ55" i="159" s="1"/>
  <c r="CJ55" i="159"/>
  <c r="CG55" i="159"/>
  <c r="CB55" i="159"/>
  <c r="BW55" i="159"/>
  <c r="BR55" i="159"/>
  <c r="BM55" i="159"/>
  <c r="BM54" i="159" s="1"/>
  <c r="BH55" i="159"/>
  <c r="BC55" i="159"/>
  <c r="AX55" i="159"/>
  <c r="AS55" i="159"/>
  <c r="AN55" i="159"/>
  <c r="AI55" i="159"/>
  <c r="AD55" i="159"/>
  <c r="X55" i="159"/>
  <c r="Y55" i="159" s="1"/>
  <c r="W55" i="159"/>
  <c r="S55" i="159"/>
  <c r="R55" i="159"/>
  <c r="O55" i="159"/>
  <c r="O54" i="159" s="1"/>
  <c r="J55" i="159"/>
  <c r="E55" i="159"/>
  <c r="CF54" i="159"/>
  <c r="CE54" i="159"/>
  <c r="CA54" i="159"/>
  <c r="BZ54" i="159"/>
  <c r="BV54" i="159"/>
  <c r="BU54" i="159"/>
  <c r="BQ54" i="159"/>
  <c r="BP54" i="159"/>
  <c r="BL54" i="159"/>
  <c r="BK54" i="159"/>
  <c r="BG54" i="159"/>
  <c r="BF54" i="159"/>
  <c r="BB54" i="159"/>
  <c r="BA54" i="159"/>
  <c r="AX54" i="159"/>
  <c r="AW54" i="159"/>
  <c r="AV54" i="159"/>
  <c r="AR54" i="159"/>
  <c r="AQ54" i="159"/>
  <c r="AM54" i="159"/>
  <c r="AL54" i="159"/>
  <c r="AH54" i="159"/>
  <c r="AG54" i="159"/>
  <c r="AC54" i="159"/>
  <c r="AB54" i="159"/>
  <c r="W54" i="159"/>
  <c r="N54" i="159"/>
  <c r="M54" i="159"/>
  <c r="I54" i="159"/>
  <c r="H54" i="159"/>
  <c r="D54" i="159"/>
  <c r="C54" i="159"/>
  <c r="CK53" i="159"/>
  <c r="CJ53" i="159"/>
  <c r="CP52" i="159"/>
  <c r="CQ52" i="159" s="1"/>
  <c r="CG52" i="159"/>
  <c r="CB52" i="159"/>
  <c r="BW52" i="159"/>
  <c r="BR52" i="159"/>
  <c r="BM52" i="159"/>
  <c r="BH52" i="159"/>
  <c r="BC52" i="159"/>
  <c r="AX52" i="159"/>
  <c r="AS52" i="159"/>
  <c r="AN52" i="159"/>
  <c r="AI52" i="159"/>
  <c r="AD52" i="159"/>
  <c r="X52" i="159"/>
  <c r="W52" i="159"/>
  <c r="S52" i="159"/>
  <c r="R52" i="159"/>
  <c r="O52" i="159"/>
  <c r="J52" i="159"/>
  <c r="E52" i="159"/>
  <c r="CP51" i="159"/>
  <c r="CQ51" i="159" s="1"/>
  <c r="CQ50" i="159" s="1"/>
  <c r="CG51" i="159"/>
  <c r="CB51" i="159"/>
  <c r="CB50" i="159" s="1"/>
  <c r="BW51" i="159"/>
  <c r="BR51" i="159"/>
  <c r="BM51" i="159"/>
  <c r="BH51" i="159"/>
  <c r="BC51" i="159"/>
  <c r="AX51" i="159"/>
  <c r="AS51" i="159"/>
  <c r="AN51" i="159"/>
  <c r="AN50" i="159" s="1"/>
  <c r="AI51" i="159"/>
  <c r="AD51" i="159"/>
  <c r="X51" i="159"/>
  <c r="CK51" i="159" s="1"/>
  <c r="W51" i="159"/>
  <c r="CJ51" i="159" s="1"/>
  <c r="CL51" i="159" s="1"/>
  <c r="S51" i="159"/>
  <c r="R51" i="159"/>
  <c r="O51" i="159"/>
  <c r="J51" i="159"/>
  <c r="J50" i="159" s="1"/>
  <c r="E51" i="159"/>
  <c r="CF50" i="159"/>
  <c r="CE50" i="159"/>
  <c r="CA50" i="159"/>
  <c r="BZ50" i="159"/>
  <c r="BV50" i="159"/>
  <c r="BU50" i="159"/>
  <c r="BQ50" i="159"/>
  <c r="BP50" i="159"/>
  <c r="BM50" i="159"/>
  <c r="BL50" i="159"/>
  <c r="BK50" i="159"/>
  <c r="BH50" i="159"/>
  <c r="BG50" i="159"/>
  <c r="BF50" i="159"/>
  <c r="BB50" i="159"/>
  <c r="BA50" i="159"/>
  <c r="AX50" i="159"/>
  <c r="AW50" i="159"/>
  <c r="AV50" i="159"/>
  <c r="AR50" i="159"/>
  <c r="AQ50" i="159"/>
  <c r="AM50" i="159"/>
  <c r="AL50" i="159"/>
  <c r="AI50" i="159"/>
  <c r="AH50" i="159"/>
  <c r="AG50" i="159"/>
  <c r="AD50" i="159"/>
  <c r="AC50" i="159"/>
  <c r="AB50" i="159"/>
  <c r="S50" i="159"/>
  <c r="N50" i="159"/>
  <c r="M50" i="159"/>
  <c r="I50" i="159"/>
  <c r="H50" i="159"/>
  <c r="D50" i="159"/>
  <c r="C50" i="159"/>
  <c r="CP48" i="159"/>
  <c r="CQ48" i="159" s="1"/>
  <c r="CJ48" i="159"/>
  <c r="CG48" i="159"/>
  <c r="CB48" i="159"/>
  <c r="BW48" i="159"/>
  <c r="BR48" i="159"/>
  <c r="BM48" i="159"/>
  <c r="BH48" i="159"/>
  <c r="BC48" i="159"/>
  <c r="AX48" i="159"/>
  <c r="AS48" i="159"/>
  <c r="AN48" i="159"/>
  <c r="AI48" i="159"/>
  <c r="AD48" i="159"/>
  <c r="X48" i="159"/>
  <c r="CK48" i="159" s="1"/>
  <c r="W48" i="159"/>
  <c r="S48" i="159"/>
  <c r="R48" i="159"/>
  <c r="T48" i="159" s="1"/>
  <c r="O48" i="159"/>
  <c r="J48" i="159"/>
  <c r="E48" i="159"/>
  <c r="CP47" i="159"/>
  <c r="CQ47" i="159" s="1"/>
  <c r="CG47" i="159"/>
  <c r="CB47" i="159"/>
  <c r="BW47" i="159"/>
  <c r="BR47" i="159"/>
  <c r="BM47" i="159"/>
  <c r="BH47" i="159"/>
  <c r="BC47" i="159"/>
  <c r="AX47" i="159"/>
  <c r="AS47" i="159"/>
  <c r="AS41" i="159" s="1"/>
  <c r="AN47" i="159"/>
  <c r="AI47" i="159"/>
  <c r="AD47" i="159"/>
  <c r="X47" i="159"/>
  <c r="W47" i="159"/>
  <c r="CJ47" i="159" s="1"/>
  <c r="S47" i="159"/>
  <c r="R47" i="159"/>
  <c r="T47" i="159" s="1"/>
  <c r="O47" i="159"/>
  <c r="J47" i="159"/>
  <c r="E47" i="159"/>
  <c r="CP46" i="159"/>
  <c r="CQ46" i="159" s="1"/>
  <c r="CJ46" i="159"/>
  <c r="CG46" i="159"/>
  <c r="CB46" i="159"/>
  <c r="BW46" i="159"/>
  <c r="BR46" i="159"/>
  <c r="BM46" i="159"/>
  <c r="BH46" i="159"/>
  <c r="BC46" i="159"/>
  <c r="AX46" i="159"/>
  <c r="AS46" i="159"/>
  <c r="AN46" i="159"/>
  <c r="AI46" i="159"/>
  <c r="AD46" i="159"/>
  <c r="X46" i="159"/>
  <c r="CK46" i="159" s="1"/>
  <c r="W46" i="159"/>
  <c r="Y46" i="159" s="1"/>
  <c r="S46" i="159"/>
  <c r="R46" i="159"/>
  <c r="O46" i="159"/>
  <c r="J46" i="159"/>
  <c r="E46" i="159"/>
  <c r="CP45" i="159"/>
  <c r="CQ45" i="159" s="1"/>
  <c r="CG45" i="159"/>
  <c r="CB45" i="159"/>
  <c r="BW45" i="159"/>
  <c r="BR45" i="159"/>
  <c r="BM45" i="159"/>
  <c r="BH45" i="159"/>
  <c r="BC45" i="159"/>
  <c r="AX45" i="159"/>
  <c r="AS45" i="159"/>
  <c r="AN45" i="159"/>
  <c r="AI45" i="159"/>
  <c r="AD45" i="159"/>
  <c r="X45" i="159"/>
  <c r="CK45" i="159" s="1"/>
  <c r="W45" i="159"/>
  <c r="Y45" i="159" s="1"/>
  <c r="S45" i="159"/>
  <c r="S41" i="159" s="1"/>
  <c r="R45" i="159"/>
  <c r="O45" i="159"/>
  <c r="J45" i="159"/>
  <c r="E45" i="159"/>
  <c r="CP44" i="159"/>
  <c r="CQ44" i="159" s="1"/>
  <c r="CG44" i="159"/>
  <c r="CB44" i="159"/>
  <c r="BW44" i="159"/>
  <c r="BR44" i="159"/>
  <c r="BM44" i="159"/>
  <c r="BH44" i="159"/>
  <c r="BC44" i="159"/>
  <c r="AX44" i="159"/>
  <c r="AS44" i="159"/>
  <c r="AN44" i="159"/>
  <c r="AI44" i="159"/>
  <c r="AD44" i="159"/>
  <c r="X44" i="159"/>
  <c r="W44" i="159"/>
  <c r="CJ44" i="159" s="1"/>
  <c r="S44" i="159"/>
  <c r="R44" i="159"/>
  <c r="O44" i="159"/>
  <c r="J44" i="159"/>
  <c r="E44" i="159"/>
  <c r="CP43" i="159"/>
  <c r="CG43" i="159"/>
  <c r="CG41" i="159" s="1"/>
  <c r="CB43" i="159"/>
  <c r="BW43" i="159"/>
  <c r="BR43" i="159"/>
  <c r="BM43" i="159"/>
  <c r="BH43" i="159"/>
  <c r="BH41" i="159" s="1"/>
  <c r="BC43" i="159"/>
  <c r="AX43" i="159"/>
  <c r="AS43" i="159"/>
  <c r="AN43" i="159"/>
  <c r="AI43" i="159"/>
  <c r="AD43" i="159"/>
  <c r="X43" i="159"/>
  <c r="CK43" i="159" s="1"/>
  <c r="W43" i="159"/>
  <c r="S43" i="159"/>
  <c r="R43" i="159"/>
  <c r="O43" i="159"/>
  <c r="J43" i="159"/>
  <c r="E43" i="159"/>
  <c r="CP42" i="159"/>
  <c r="CQ42" i="159" s="1"/>
  <c r="CK42" i="159"/>
  <c r="CG42" i="159"/>
  <c r="CB42" i="159"/>
  <c r="BW42" i="159"/>
  <c r="BW41" i="159" s="1"/>
  <c r="BR42" i="159"/>
  <c r="BM42" i="159"/>
  <c r="BH42" i="159"/>
  <c r="BC42" i="159"/>
  <c r="BC41" i="159" s="1"/>
  <c r="AX42" i="159"/>
  <c r="AS42" i="159"/>
  <c r="AN42" i="159"/>
  <c r="AN41" i="159" s="1"/>
  <c r="AI42" i="159"/>
  <c r="AI41" i="159" s="1"/>
  <c r="AD42" i="159"/>
  <c r="X42" i="159"/>
  <c r="W42" i="159"/>
  <c r="CJ42" i="159" s="1"/>
  <c r="S42" i="159"/>
  <c r="R42" i="159"/>
  <c r="O42" i="159"/>
  <c r="J42" i="159"/>
  <c r="E42" i="159"/>
  <c r="CF41" i="159"/>
  <c r="CE41" i="159"/>
  <c r="CA41" i="159"/>
  <c r="BZ41" i="159"/>
  <c r="BV41" i="159"/>
  <c r="BU41" i="159"/>
  <c r="BQ41" i="159"/>
  <c r="BP41" i="159"/>
  <c r="BM41" i="159"/>
  <c r="BL41" i="159"/>
  <c r="BK41" i="159"/>
  <c r="BG41" i="159"/>
  <c r="BF41" i="159"/>
  <c r="BB41" i="159"/>
  <c r="BA41" i="159"/>
  <c r="AW41" i="159"/>
  <c r="AV41" i="159"/>
  <c r="AR41" i="159"/>
  <c r="AQ41" i="159"/>
  <c r="AM41" i="159"/>
  <c r="AL41" i="159"/>
  <c r="AH41" i="159"/>
  <c r="AG41" i="159"/>
  <c r="AD41" i="159"/>
  <c r="AC41" i="159"/>
  <c r="AB41" i="159"/>
  <c r="N41" i="159"/>
  <c r="M41" i="159"/>
  <c r="I41" i="159"/>
  <c r="H41" i="159"/>
  <c r="D41" i="159"/>
  <c r="C41" i="159"/>
  <c r="X37" i="159"/>
  <c r="W37" i="159"/>
  <c r="CG36" i="159"/>
  <c r="CB36" i="159"/>
  <c r="CB35" i="159" s="1"/>
  <c r="BW36" i="159"/>
  <c r="BR36" i="159"/>
  <c r="BM36" i="159"/>
  <c r="BM35" i="159" s="1"/>
  <c r="BH36" i="159"/>
  <c r="BC36" i="159"/>
  <c r="AX36" i="159"/>
  <c r="AS36" i="159"/>
  <c r="AN36" i="159"/>
  <c r="AI36" i="159"/>
  <c r="AI35" i="159" s="1"/>
  <c r="AD36" i="159"/>
  <c r="X36" i="159"/>
  <c r="CK36" i="159" s="1"/>
  <c r="CK35" i="159" s="1"/>
  <c r="W36" i="159"/>
  <c r="W35" i="159" s="1"/>
  <c r="S36" i="159"/>
  <c r="T36" i="159" s="1"/>
  <c r="T35" i="159" s="1"/>
  <c r="R36" i="159"/>
  <c r="O36" i="159"/>
  <c r="J36" i="159"/>
  <c r="E36" i="159"/>
  <c r="E35" i="159" s="1"/>
  <c r="CP35" i="159"/>
  <c r="CF35" i="159"/>
  <c r="CE35" i="159"/>
  <c r="CA35" i="159"/>
  <c r="BZ35" i="159"/>
  <c r="BW35" i="159"/>
  <c r="BV35" i="159"/>
  <c r="BU35" i="159"/>
  <c r="BQ35" i="159"/>
  <c r="BP35" i="159"/>
  <c r="BL35" i="159"/>
  <c r="BK35" i="159"/>
  <c r="BH35" i="159"/>
  <c r="BG35" i="159"/>
  <c r="BF35" i="159"/>
  <c r="BB35" i="159"/>
  <c r="BA35" i="159"/>
  <c r="AX35" i="159"/>
  <c r="AW35" i="159"/>
  <c r="AV35" i="159"/>
  <c r="AS35" i="159"/>
  <c r="AR35" i="159"/>
  <c r="AQ35" i="159"/>
  <c r="AM35" i="159"/>
  <c r="AL35" i="159"/>
  <c r="AH35" i="159"/>
  <c r="AG35" i="159"/>
  <c r="AD35" i="159"/>
  <c r="AC35" i="159"/>
  <c r="AB35" i="159"/>
  <c r="R35" i="159"/>
  <c r="N35" i="159"/>
  <c r="M35" i="159"/>
  <c r="J35" i="159"/>
  <c r="I35" i="159"/>
  <c r="H35" i="159"/>
  <c r="D35" i="159"/>
  <c r="C35" i="159"/>
  <c r="CR33" i="159"/>
  <c r="CG33" i="159"/>
  <c r="CB33" i="159"/>
  <c r="BW33" i="159"/>
  <c r="BR33" i="159"/>
  <c r="BM33" i="159"/>
  <c r="BH33" i="159"/>
  <c r="BC33" i="159"/>
  <c r="AX33" i="159"/>
  <c r="AS33" i="159"/>
  <c r="AN33" i="159"/>
  <c r="AI33" i="159"/>
  <c r="AD33" i="159"/>
  <c r="X33" i="159"/>
  <c r="CK33" i="159" s="1"/>
  <c r="W33" i="159"/>
  <c r="CJ33" i="159" s="1"/>
  <c r="CL33" i="159" s="1"/>
  <c r="S33" i="159"/>
  <c r="R33" i="159"/>
  <c r="T33" i="159" s="1"/>
  <c r="O33" i="159"/>
  <c r="J33" i="159"/>
  <c r="E33" i="159"/>
  <c r="CG32" i="159"/>
  <c r="CB32" i="159"/>
  <c r="BW32" i="159"/>
  <c r="BR32" i="159"/>
  <c r="BM32" i="159"/>
  <c r="BH32" i="159"/>
  <c r="BC32" i="159"/>
  <c r="AX32" i="159"/>
  <c r="AS32" i="159"/>
  <c r="AN32" i="159"/>
  <c r="AI32" i="159"/>
  <c r="AD32" i="159"/>
  <c r="X32" i="159"/>
  <c r="CK32" i="159" s="1"/>
  <c r="W32" i="159"/>
  <c r="S32" i="159"/>
  <c r="R32" i="159"/>
  <c r="O32" i="159"/>
  <c r="J32" i="159"/>
  <c r="E32" i="159"/>
  <c r="CP31" i="159"/>
  <c r="CG31" i="159"/>
  <c r="CB31" i="159"/>
  <c r="BW31" i="159"/>
  <c r="BR31" i="159"/>
  <c r="BM31" i="159"/>
  <c r="BH31" i="159"/>
  <c r="BC31" i="159"/>
  <c r="AX31" i="159"/>
  <c r="AS31" i="159"/>
  <c r="AN31" i="159"/>
  <c r="AI31" i="159"/>
  <c r="AD31" i="159"/>
  <c r="X31" i="159"/>
  <c r="W31" i="159"/>
  <c r="CJ31" i="159" s="1"/>
  <c r="S31" i="159"/>
  <c r="R31" i="159"/>
  <c r="O31" i="159"/>
  <c r="J31" i="159"/>
  <c r="E31" i="159"/>
  <c r="CP30" i="159"/>
  <c r="CJ30" i="159"/>
  <c r="CG30" i="159"/>
  <c r="CB30" i="159"/>
  <c r="BW30" i="159"/>
  <c r="BR30" i="159"/>
  <c r="BM30" i="159"/>
  <c r="BH30" i="159"/>
  <c r="BC30" i="159"/>
  <c r="AX30" i="159"/>
  <c r="AS30" i="159"/>
  <c r="AN30" i="159"/>
  <c r="AI30" i="159"/>
  <c r="AD30" i="159"/>
  <c r="X30" i="159"/>
  <c r="CK30" i="159" s="1"/>
  <c r="W30" i="159"/>
  <c r="Y30" i="159" s="1"/>
  <c r="S30" i="159"/>
  <c r="R30" i="159"/>
  <c r="O30" i="159"/>
  <c r="J30" i="159"/>
  <c r="E30" i="159"/>
  <c r="CJ29" i="159"/>
  <c r="CG29" i="159"/>
  <c r="CB29" i="159"/>
  <c r="BW29" i="159"/>
  <c r="BR29" i="159"/>
  <c r="BM29" i="159"/>
  <c r="BH29" i="159"/>
  <c r="BC29" i="159"/>
  <c r="AX29" i="159"/>
  <c r="AS29" i="159"/>
  <c r="AN29" i="159"/>
  <c r="AI29" i="159"/>
  <c r="AD29" i="159"/>
  <c r="X29" i="159"/>
  <c r="Y29" i="159" s="1"/>
  <c r="W29" i="159"/>
  <c r="S29" i="159"/>
  <c r="R29" i="159"/>
  <c r="O29" i="159"/>
  <c r="J29" i="159"/>
  <c r="E29" i="159"/>
  <c r="CP28" i="159"/>
  <c r="CJ28" i="159"/>
  <c r="CL28" i="159" s="1"/>
  <c r="CG28" i="159"/>
  <c r="CB28" i="159"/>
  <c r="BW28" i="159"/>
  <c r="BR28" i="159"/>
  <c r="BM28" i="159"/>
  <c r="BH28" i="159"/>
  <c r="BC28" i="159"/>
  <c r="AX28" i="159"/>
  <c r="AS28" i="159"/>
  <c r="AN28" i="159"/>
  <c r="AI28" i="159"/>
  <c r="AD28" i="159"/>
  <c r="X28" i="159"/>
  <c r="CK28" i="159" s="1"/>
  <c r="W28" i="159"/>
  <c r="S28" i="159"/>
  <c r="R28" i="159"/>
  <c r="T28" i="159" s="1"/>
  <c r="O28" i="159"/>
  <c r="J28" i="159"/>
  <c r="E28" i="159"/>
  <c r="CJ27" i="159"/>
  <c r="CG27" i="159"/>
  <c r="CB27" i="159"/>
  <c r="BW27" i="159"/>
  <c r="BR27" i="159"/>
  <c r="BM27" i="159"/>
  <c r="BH27" i="159"/>
  <c r="BC27" i="159"/>
  <c r="AX27" i="159"/>
  <c r="AS27" i="159"/>
  <c r="AN27" i="159"/>
  <c r="AI27" i="159"/>
  <c r="AD27" i="159"/>
  <c r="X27" i="159"/>
  <c r="CK27" i="159" s="1"/>
  <c r="W27" i="159"/>
  <c r="S27" i="159"/>
  <c r="R27" i="159"/>
  <c r="T27" i="159" s="1"/>
  <c r="O27" i="159"/>
  <c r="J27" i="159"/>
  <c r="E27" i="159"/>
  <c r="CP26" i="159"/>
  <c r="CG26" i="159"/>
  <c r="CB26" i="159"/>
  <c r="BW26" i="159"/>
  <c r="BR26" i="159"/>
  <c r="BM26" i="159"/>
  <c r="BH26" i="159"/>
  <c r="BC26" i="159"/>
  <c r="AX26" i="159"/>
  <c r="AS26" i="159"/>
  <c r="AN26" i="159"/>
  <c r="AI26" i="159"/>
  <c r="AD26" i="159"/>
  <c r="X26" i="159"/>
  <c r="CK26" i="159" s="1"/>
  <c r="W26" i="159"/>
  <c r="CJ26" i="159" s="1"/>
  <c r="S26" i="159"/>
  <c r="R26" i="159"/>
  <c r="O26" i="159"/>
  <c r="J26" i="159"/>
  <c r="E26" i="159"/>
  <c r="CP25" i="159"/>
  <c r="CG25" i="159"/>
  <c r="CB25" i="159"/>
  <c r="BW25" i="159"/>
  <c r="BR25" i="159"/>
  <c r="BM25" i="159"/>
  <c r="BH25" i="159"/>
  <c r="BH8" i="159" s="1"/>
  <c r="BC25" i="159"/>
  <c r="AX25" i="159"/>
  <c r="AS25" i="159"/>
  <c r="AN25" i="159"/>
  <c r="AI25" i="159"/>
  <c r="AD25" i="159"/>
  <c r="X25" i="159"/>
  <c r="CK25" i="159" s="1"/>
  <c r="W25" i="159"/>
  <c r="CJ25" i="159" s="1"/>
  <c r="CL25" i="159" s="1"/>
  <c r="CQ25" i="159" s="1"/>
  <c r="CR25" i="159" s="1"/>
  <c r="S25" i="159"/>
  <c r="R25" i="159"/>
  <c r="T25" i="159" s="1"/>
  <c r="O25" i="159"/>
  <c r="J25" i="159"/>
  <c r="E25" i="159"/>
  <c r="CG24" i="159"/>
  <c r="CB24" i="159"/>
  <c r="BW24" i="159"/>
  <c r="BR24" i="159"/>
  <c r="BM24" i="159"/>
  <c r="BH24" i="159"/>
  <c r="BC24" i="159"/>
  <c r="AX24" i="159"/>
  <c r="AS24" i="159"/>
  <c r="AN24" i="159"/>
  <c r="AI24" i="159"/>
  <c r="AD24" i="159"/>
  <c r="X24" i="159"/>
  <c r="CK24" i="159" s="1"/>
  <c r="W24" i="159"/>
  <c r="CJ24" i="159" s="1"/>
  <c r="S24" i="159"/>
  <c r="R24" i="159"/>
  <c r="T24" i="159" s="1"/>
  <c r="O24" i="159"/>
  <c r="J24" i="159"/>
  <c r="E24" i="159"/>
  <c r="CK23" i="159"/>
  <c r="CG23" i="159"/>
  <c r="CB23" i="159"/>
  <c r="BW23" i="159"/>
  <c r="BR23" i="159"/>
  <c r="BM23" i="159"/>
  <c r="BH23" i="159"/>
  <c r="BC23" i="159"/>
  <c r="AX23" i="159"/>
  <c r="AS23" i="159"/>
  <c r="AN23" i="159"/>
  <c r="AI23" i="159"/>
  <c r="AD23" i="159"/>
  <c r="X23" i="159"/>
  <c r="W23" i="159"/>
  <c r="CJ23" i="159" s="1"/>
  <c r="S23" i="159"/>
  <c r="T23" i="159" s="1"/>
  <c r="R23" i="159"/>
  <c r="O23" i="159"/>
  <c r="J23" i="159"/>
  <c r="E23" i="159"/>
  <c r="CG22" i="159"/>
  <c r="CB22" i="159"/>
  <c r="BW22" i="159"/>
  <c r="BR22" i="159"/>
  <c r="BM22" i="159"/>
  <c r="BH22" i="159"/>
  <c r="BC22" i="159"/>
  <c r="AX22" i="159"/>
  <c r="AS22" i="159"/>
  <c r="AN22" i="159"/>
  <c r="AI22" i="159"/>
  <c r="AD22" i="159"/>
  <c r="X22" i="159"/>
  <c r="CK22" i="159" s="1"/>
  <c r="W22" i="159"/>
  <c r="S22" i="159"/>
  <c r="T22" i="159" s="1"/>
  <c r="R22" i="159"/>
  <c r="O22" i="159"/>
  <c r="J22" i="159"/>
  <c r="E22" i="159"/>
  <c r="CG21" i="159"/>
  <c r="CB21" i="159"/>
  <c r="BW21" i="159"/>
  <c r="BR21" i="159"/>
  <c r="BM21" i="159"/>
  <c r="BH21" i="159"/>
  <c r="BC21" i="159"/>
  <c r="AX21" i="159"/>
  <c r="AS21" i="159"/>
  <c r="AN21" i="159"/>
  <c r="AI21" i="159"/>
  <c r="AD21" i="159"/>
  <c r="X21" i="159"/>
  <c r="CK21" i="159" s="1"/>
  <c r="W21" i="159"/>
  <c r="S21" i="159"/>
  <c r="R21" i="159"/>
  <c r="T21" i="159" s="1"/>
  <c r="O21" i="159"/>
  <c r="J21" i="159"/>
  <c r="E21" i="159"/>
  <c r="CG20" i="159"/>
  <c r="CB20" i="159"/>
  <c r="BW20" i="159"/>
  <c r="BR20" i="159"/>
  <c r="BM20" i="159"/>
  <c r="BH20" i="159"/>
  <c r="BC20" i="159"/>
  <c r="AX20" i="159"/>
  <c r="AS20" i="159"/>
  <c r="AN20" i="159"/>
  <c r="AI20" i="159"/>
  <c r="AD20" i="159"/>
  <c r="X20" i="159"/>
  <c r="CK20" i="159" s="1"/>
  <c r="W20" i="159"/>
  <c r="S20" i="159"/>
  <c r="R20" i="159"/>
  <c r="T20" i="159" s="1"/>
  <c r="O20" i="159"/>
  <c r="J20" i="159"/>
  <c r="E20" i="159"/>
  <c r="CG19" i="159"/>
  <c r="CB19" i="159"/>
  <c r="BW19" i="159"/>
  <c r="BR19" i="159"/>
  <c r="BM19" i="159"/>
  <c r="BH19" i="159"/>
  <c r="BC19" i="159"/>
  <c r="AX19" i="159"/>
  <c r="AS19" i="159"/>
  <c r="AN19" i="159"/>
  <c r="AI19" i="159"/>
  <c r="AD19" i="159"/>
  <c r="X19" i="159"/>
  <c r="CK19" i="159" s="1"/>
  <c r="W19" i="159"/>
  <c r="S19" i="159"/>
  <c r="R19" i="159"/>
  <c r="T19" i="159" s="1"/>
  <c r="O19" i="159"/>
  <c r="J19" i="159"/>
  <c r="E19" i="159"/>
  <c r="CG18" i="159"/>
  <c r="CB18" i="159"/>
  <c r="BW18" i="159"/>
  <c r="BR18" i="159"/>
  <c r="BM18" i="159"/>
  <c r="BH18" i="159"/>
  <c r="BC18" i="159"/>
  <c r="AX18" i="159"/>
  <c r="AS18" i="159"/>
  <c r="AN18" i="159"/>
  <c r="AI18" i="159"/>
  <c r="AD18" i="159"/>
  <c r="X18" i="159"/>
  <c r="CK18" i="159" s="1"/>
  <c r="W18" i="159"/>
  <c r="S18" i="159"/>
  <c r="R18" i="159"/>
  <c r="T18" i="159" s="1"/>
  <c r="O18" i="159"/>
  <c r="J18" i="159"/>
  <c r="E18" i="159"/>
  <c r="CG17" i="159"/>
  <c r="CB17" i="159"/>
  <c r="BW17" i="159"/>
  <c r="BR17" i="159"/>
  <c r="BM17" i="159"/>
  <c r="BH17" i="159"/>
  <c r="BC17" i="159"/>
  <c r="AX17" i="159"/>
  <c r="AS17" i="159"/>
  <c r="AN17" i="159"/>
  <c r="AI17" i="159"/>
  <c r="AD17" i="159"/>
  <c r="X17" i="159"/>
  <c r="CK17" i="159" s="1"/>
  <c r="W17" i="159"/>
  <c r="S17" i="159"/>
  <c r="R17" i="159"/>
  <c r="T17" i="159" s="1"/>
  <c r="O17" i="159"/>
  <c r="J17" i="159"/>
  <c r="E17" i="159"/>
  <c r="CG16" i="159"/>
  <c r="CB16" i="159"/>
  <c r="BW16" i="159"/>
  <c r="BR16" i="159"/>
  <c r="BM16" i="159"/>
  <c r="BH16" i="159"/>
  <c r="BC16" i="159"/>
  <c r="AX16" i="159"/>
  <c r="AS16" i="159"/>
  <c r="AN16" i="159"/>
  <c r="AI16" i="159"/>
  <c r="AD16" i="159"/>
  <c r="X16" i="159"/>
  <c r="CK16" i="159" s="1"/>
  <c r="W16" i="159"/>
  <c r="S16" i="159"/>
  <c r="R16" i="159"/>
  <c r="T16" i="159" s="1"/>
  <c r="O16" i="159"/>
  <c r="J16" i="159"/>
  <c r="E16" i="159"/>
  <c r="CG15" i="159"/>
  <c r="CB15" i="159"/>
  <c r="BW15" i="159"/>
  <c r="BR15" i="159"/>
  <c r="BM15" i="159"/>
  <c r="BH15" i="159"/>
  <c r="BC15" i="159"/>
  <c r="AX15" i="159"/>
  <c r="AS15" i="159"/>
  <c r="AN15" i="159"/>
  <c r="AI15" i="159"/>
  <c r="AD15" i="159"/>
  <c r="X15" i="159"/>
  <c r="CK15" i="159" s="1"/>
  <c r="W15" i="159"/>
  <c r="S15" i="159"/>
  <c r="R15" i="159"/>
  <c r="T15" i="159" s="1"/>
  <c r="O15" i="159"/>
  <c r="J15" i="159"/>
  <c r="E15" i="159"/>
  <c r="CG14" i="159"/>
  <c r="CB14" i="159"/>
  <c r="BW14" i="159"/>
  <c r="BR14" i="159"/>
  <c r="BM14" i="159"/>
  <c r="BH14" i="159"/>
  <c r="BC14" i="159"/>
  <c r="AX14" i="159"/>
  <c r="AS14" i="159"/>
  <c r="AN14" i="159"/>
  <c r="AI14" i="159"/>
  <c r="AD14" i="159"/>
  <c r="X14" i="159"/>
  <c r="CK14" i="159" s="1"/>
  <c r="W14" i="159"/>
  <c r="S14" i="159"/>
  <c r="R14" i="159"/>
  <c r="T14" i="159" s="1"/>
  <c r="O14" i="159"/>
  <c r="J14" i="159"/>
  <c r="E14" i="159"/>
  <c r="CG13" i="159"/>
  <c r="CB13" i="159"/>
  <c r="BW13" i="159"/>
  <c r="BR13" i="159"/>
  <c r="BM13" i="159"/>
  <c r="BH13" i="159"/>
  <c r="BC13" i="159"/>
  <c r="AX13" i="159"/>
  <c r="AS13" i="159"/>
  <c r="AN13" i="159"/>
  <c r="AI13" i="159"/>
  <c r="AD13" i="159"/>
  <c r="X13" i="159"/>
  <c r="CK13" i="159" s="1"/>
  <c r="W13" i="159"/>
  <c r="S13" i="159"/>
  <c r="R13" i="159"/>
  <c r="T13" i="159" s="1"/>
  <c r="O13" i="159"/>
  <c r="J13" i="159"/>
  <c r="E13" i="159"/>
  <c r="CG12" i="159"/>
  <c r="CB12" i="159"/>
  <c r="BW12" i="159"/>
  <c r="BR12" i="159"/>
  <c r="BR8" i="159" s="1"/>
  <c r="BM12" i="159"/>
  <c r="BH12" i="159"/>
  <c r="BC12" i="159"/>
  <c r="AX12" i="159"/>
  <c r="AS12" i="159"/>
  <c r="AN12" i="159"/>
  <c r="AI12" i="159"/>
  <c r="AD12" i="159"/>
  <c r="AD8" i="159" s="1"/>
  <c r="X12" i="159"/>
  <c r="CK12" i="159" s="1"/>
  <c r="W12" i="159"/>
  <c r="S12" i="159"/>
  <c r="R12" i="159"/>
  <c r="T12" i="159" s="1"/>
  <c r="O12" i="159"/>
  <c r="J12" i="159"/>
  <c r="E12" i="159"/>
  <c r="E8" i="159" s="1"/>
  <c r="CG11" i="159"/>
  <c r="CB11" i="159"/>
  <c r="BW11" i="159"/>
  <c r="BR11" i="159"/>
  <c r="BM11" i="159"/>
  <c r="BH11" i="159"/>
  <c r="BC11" i="159"/>
  <c r="AX11" i="159"/>
  <c r="AS11" i="159"/>
  <c r="AN11" i="159"/>
  <c r="AI11" i="159"/>
  <c r="AI95" i="157" s="1"/>
  <c r="AD11" i="159"/>
  <c r="X11" i="159"/>
  <c r="CK11" i="159" s="1"/>
  <c r="W11" i="159"/>
  <c r="CJ11" i="159" s="1"/>
  <c r="T11" i="159"/>
  <c r="S11" i="159"/>
  <c r="R11" i="159"/>
  <c r="O11" i="159"/>
  <c r="J11" i="159"/>
  <c r="E11" i="159"/>
  <c r="CG10" i="159"/>
  <c r="CB10" i="159"/>
  <c r="BW10" i="159"/>
  <c r="BR10" i="159"/>
  <c r="BM10" i="159"/>
  <c r="BH10" i="159"/>
  <c r="BC10" i="159"/>
  <c r="AX10" i="159"/>
  <c r="AS10" i="159"/>
  <c r="AN10" i="159"/>
  <c r="AI10" i="159"/>
  <c r="AD10" i="159"/>
  <c r="X10" i="159"/>
  <c r="CK10" i="159" s="1"/>
  <c r="W10" i="159"/>
  <c r="S10" i="159"/>
  <c r="R10" i="159"/>
  <c r="O10" i="159"/>
  <c r="J10" i="159"/>
  <c r="E10" i="159"/>
  <c r="CP9" i="159"/>
  <c r="CG9" i="159"/>
  <c r="CB9" i="159"/>
  <c r="BW9" i="159"/>
  <c r="BW8" i="159" s="1"/>
  <c r="BR9" i="159"/>
  <c r="BM9" i="159"/>
  <c r="BH9" i="159"/>
  <c r="BC9" i="159"/>
  <c r="AX9" i="159"/>
  <c r="AS9" i="159"/>
  <c r="AN9" i="159"/>
  <c r="AN95" i="157" s="1"/>
  <c r="AI9" i="159"/>
  <c r="AD9" i="159"/>
  <c r="X9" i="159"/>
  <c r="CK9" i="159" s="1"/>
  <c r="CL9" i="159" s="1"/>
  <c r="W9" i="159"/>
  <c r="CJ9" i="159" s="1"/>
  <c r="T9" i="159"/>
  <c r="S9" i="159"/>
  <c r="R9" i="159"/>
  <c r="R8" i="159" s="1"/>
  <c r="O9" i="159"/>
  <c r="J9" i="159"/>
  <c r="E9" i="159"/>
  <c r="CF8" i="159"/>
  <c r="CE8" i="159"/>
  <c r="CA8" i="159"/>
  <c r="BZ8" i="159"/>
  <c r="BV8" i="159"/>
  <c r="BU8" i="159"/>
  <c r="BQ8" i="159"/>
  <c r="BP8" i="159"/>
  <c r="BL8" i="159"/>
  <c r="BK8" i="159"/>
  <c r="BG8" i="159"/>
  <c r="BF8" i="159"/>
  <c r="BB8" i="159"/>
  <c r="BA8" i="159"/>
  <c r="AW8" i="159"/>
  <c r="AV8" i="159"/>
  <c r="AR8" i="159"/>
  <c r="AQ8" i="159"/>
  <c r="AN8" i="159"/>
  <c r="AM8" i="159"/>
  <c r="AL8" i="159"/>
  <c r="AH8" i="159"/>
  <c r="AG8" i="159"/>
  <c r="AC8" i="159"/>
  <c r="AB8" i="159"/>
  <c r="W8" i="159"/>
  <c r="N8" i="159"/>
  <c r="M8" i="159"/>
  <c r="I8" i="159"/>
  <c r="H8" i="159"/>
  <c r="D8" i="159"/>
  <c r="C8" i="159"/>
  <c r="CG7" i="159"/>
  <c r="CB7" i="159"/>
  <c r="BW7" i="159"/>
  <c r="BW5" i="159" s="1"/>
  <c r="BW38" i="159" s="1"/>
  <c r="BR7" i="159"/>
  <c r="BM7" i="159"/>
  <c r="BH7" i="159"/>
  <c r="BC7" i="159"/>
  <c r="BC5" i="159" s="1"/>
  <c r="AX7" i="159"/>
  <c r="AS7" i="159"/>
  <c r="AN7" i="159"/>
  <c r="AI7" i="159"/>
  <c r="AD7" i="159"/>
  <c r="X7" i="159"/>
  <c r="CK7" i="159" s="1"/>
  <c r="W7" i="159"/>
  <c r="CJ7" i="159" s="1"/>
  <c r="CL7" i="159" s="1"/>
  <c r="S7" i="159"/>
  <c r="R7" i="159"/>
  <c r="T7" i="159" s="1"/>
  <c r="O7" i="159"/>
  <c r="J7" i="159"/>
  <c r="J5" i="159" s="1"/>
  <c r="E7" i="159"/>
  <c r="CR6" i="159"/>
  <c r="CR5" i="159" s="1"/>
  <c r="CG6" i="159"/>
  <c r="CB6" i="159"/>
  <c r="BW6" i="159"/>
  <c r="BR6" i="159"/>
  <c r="BR5" i="159" s="1"/>
  <c r="BM6" i="159"/>
  <c r="BM5" i="159" s="1"/>
  <c r="BH6" i="159"/>
  <c r="BH5" i="159" s="1"/>
  <c r="BC6" i="159"/>
  <c r="AX6" i="159"/>
  <c r="AS6" i="159"/>
  <c r="AS5" i="159" s="1"/>
  <c r="AN6" i="159"/>
  <c r="AN5" i="159" s="1"/>
  <c r="AI6" i="159"/>
  <c r="AD6" i="159"/>
  <c r="AD5" i="159" s="1"/>
  <c r="X6" i="159"/>
  <c r="CK6" i="159" s="1"/>
  <c r="CK5" i="159" s="1"/>
  <c r="W6" i="159"/>
  <c r="S6" i="159"/>
  <c r="S5" i="159" s="1"/>
  <c r="R6" i="159"/>
  <c r="O6" i="159"/>
  <c r="J6" i="159"/>
  <c r="E6" i="159"/>
  <c r="E5" i="159" s="1"/>
  <c r="CQ5" i="159"/>
  <c r="CF5" i="159"/>
  <c r="CF38" i="159" s="1"/>
  <c r="CE5" i="159"/>
  <c r="CA5" i="159"/>
  <c r="CA38" i="159" s="1"/>
  <c r="BZ5" i="159"/>
  <c r="BZ38" i="159" s="1"/>
  <c r="BV5" i="159"/>
  <c r="BU5" i="159"/>
  <c r="BQ5" i="159"/>
  <c r="BQ38" i="159" s="1"/>
  <c r="BP5" i="159"/>
  <c r="BL5" i="159"/>
  <c r="BL38" i="159" s="1"/>
  <c r="BK5" i="159"/>
  <c r="BG5" i="159"/>
  <c r="BF5" i="159"/>
  <c r="BF38" i="159" s="1"/>
  <c r="BB5" i="159"/>
  <c r="BB38" i="159" s="1"/>
  <c r="BA5" i="159"/>
  <c r="AW5" i="159"/>
  <c r="AV5" i="159"/>
  <c r="AV38" i="159" s="1"/>
  <c r="AR5" i="159"/>
  <c r="AR38" i="159" s="1"/>
  <c r="AQ5" i="159"/>
  <c r="AQ38" i="159" s="1"/>
  <c r="AM5" i="159"/>
  <c r="AM38" i="159" s="1"/>
  <c r="AL5" i="159"/>
  <c r="AL38" i="159" s="1"/>
  <c r="AI5" i="159"/>
  <c r="AH5" i="159"/>
  <c r="AH38" i="159" s="1"/>
  <c r="AG5" i="159"/>
  <c r="AC5" i="159"/>
  <c r="AC38" i="159" s="1"/>
  <c r="AB5" i="159"/>
  <c r="AB38" i="159" s="1"/>
  <c r="W5" i="159"/>
  <c r="R5" i="159"/>
  <c r="O5" i="159"/>
  <c r="N5" i="159"/>
  <c r="N38" i="159" s="1"/>
  <c r="M5" i="159"/>
  <c r="M38" i="159" s="1"/>
  <c r="I5" i="159"/>
  <c r="H5" i="159"/>
  <c r="H38" i="159" s="1"/>
  <c r="D5" i="159"/>
  <c r="D38" i="159" s="1"/>
  <c r="C5" i="159"/>
  <c r="CQ85" i="176"/>
  <c r="CP85" i="176"/>
  <c r="CK85" i="176"/>
  <c r="CJ85" i="176"/>
  <c r="CG85" i="176"/>
  <c r="CB85" i="176"/>
  <c r="BW85" i="176"/>
  <c r="BR85" i="176"/>
  <c r="BM85" i="176"/>
  <c r="BH85" i="176"/>
  <c r="BC85" i="176"/>
  <c r="AX85" i="176"/>
  <c r="AS85" i="176"/>
  <c r="AN85" i="176"/>
  <c r="AI85" i="176"/>
  <c r="AD85" i="176"/>
  <c r="Y85" i="176"/>
  <c r="X85" i="176"/>
  <c r="W85" i="176"/>
  <c r="S85" i="176"/>
  <c r="R85" i="176"/>
  <c r="O85" i="176"/>
  <c r="J85" i="176"/>
  <c r="E85" i="176"/>
  <c r="CP82" i="176"/>
  <c r="CQ82" i="176" s="1"/>
  <c r="CL82" i="176"/>
  <c r="CG82" i="176"/>
  <c r="CB82" i="176"/>
  <c r="BW82" i="176"/>
  <c r="BR82" i="176"/>
  <c r="BM82" i="176"/>
  <c r="BH82" i="176"/>
  <c r="BC82" i="176"/>
  <c r="AX82" i="176"/>
  <c r="AS82" i="176"/>
  <c r="AN82" i="176"/>
  <c r="AI82" i="176"/>
  <c r="AD82" i="176"/>
  <c r="X82" i="176"/>
  <c r="W82" i="176"/>
  <c r="S82" i="176"/>
  <c r="R82" i="176"/>
  <c r="O82" i="176"/>
  <c r="J82" i="176"/>
  <c r="E82" i="176"/>
  <c r="CK80" i="176"/>
  <c r="CJ80" i="176"/>
  <c r="CP79" i="176"/>
  <c r="BM79" i="176"/>
  <c r="X79" i="176"/>
  <c r="CK79" i="176" s="1"/>
  <c r="S79" i="176"/>
  <c r="CP78" i="176"/>
  <c r="CQ78" i="176" s="1"/>
  <c r="CG78" i="176"/>
  <c r="CB78" i="176"/>
  <c r="BW78" i="176"/>
  <c r="BR78" i="176"/>
  <c r="BM78" i="176"/>
  <c r="BM77" i="176" s="1"/>
  <c r="BH78" i="176"/>
  <c r="BC78" i="176"/>
  <c r="AX78" i="176"/>
  <c r="AS78" i="176"/>
  <c r="AN78" i="176"/>
  <c r="AI78" i="176"/>
  <c r="AD78" i="176"/>
  <c r="X78" i="176"/>
  <c r="CK78" i="176" s="1"/>
  <c r="W78" i="176"/>
  <c r="CJ78" i="176" s="1"/>
  <c r="S78" i="176"/>
  <c r="R78" i="176"/>
  <c r="O78" i="176"/>
  <c r="J78" i="176"/>
  <c r="E78" i="176"/>
  <c r="CF77" i="176"/>
  <c r="CA77" i="176"/>
  <c r="BV77" i="176"/>
  <c r="BQ77" i="176"/>
  <c r="BL77" i="176"/>
  <c r="BK77" i="176"/>
  <c r="BG77" i="176"/>
  <c r="BB77" i="176"/>
  <c r="AW77" i="176"/>
  <c r="AR77" i="176"/>
  <c r="AM77" i="176"/>
  <c r="AH77" i="176"/>
  <c r="AC77" i="176"/>
  <c r="N77" i="176"/>
  <c r="I77" i="176"/>
  <c r="D77" i="176"/>
  <c r="CQ74" i="176"/>
  <c r="CQ73" i="176" s="1"/>
  <c r="CP74" i="176"/>
  <c r="CK74" i="176"/>
  <c r="CJ74" i="176"/>
  <c r="CJ73" i="176" s="1"/>
  <c r="CG74" i="176"/>
  <c r="CB74" i="176"/>
  <c r="BW74" i="176"/>
  <c r="BR74" i="176"/>
  <c r="BR73" i="176" s="1"/>
  <c r="BM74" i="176"/>
  <c r="BH74" i="176"/>
  <c r="BC74" i="176"/>
  <c r="AX74" i="176"/>
  <c r="AX73" i="176" s="1"/>
  <c r="AS74" i="176"/>
  <c r="AN74" i="176"/>
  <c r="AI74" i="176"/>
  <c r="AD74" i="176"/>
  <c r="AD73" i="176" s="1"/>
  <c r="X74" i="176"/>
  <c r="X73" i="176" s="1"/>
  <c r="W74" i="176"/>
  <c r="W73" i="176" s="1"/>
  <c r="O74" i="176"/>
  <c r="J74" i="176"/>
  <c r="J73" i="176" s="1"/>
  <c r="E74" i="176"/>
  <c r="E73" i="176" s="1"/>
  <c r="CP73" i="176"/>
  <c r="CK73" i="176"/>
  <c r="CG73" i="176"/>
  <c r="CF73" i="176"/>
  <c r="CE73" i="176"/>
  <c r="CB73" i="176"/>
  <c r="CA73" i="176"/>
  <c r="BZ73" i="176"/>
  <c r="BW73" i="176"/>
  <c r="BV73" i="176"/>
  <c r="BU73" i="176"/>
  <c r="BQ73" i="176"/>
  <c r="BP73" i="176"/>
  <c r="BM73" i="176"/>
  <c r="BL73" i="176"/>
  <c r="BK73" i="176"/>
  <c r="BH73" i="176"/>
  <c r="BG73" i="176"/>
  <c r="BF73" i="176"/>
  <c r="BC73" i="176"/>
  <c r="BB73" i="176"/>
  <c r="BA73" i="176"/>
  <c r="AW73" i="176"/>
  <c r="AV73" i="176"/>
  <c r="AS73" i="176"/>
  <c r="AR73" i="176"/>
  <c r="AQ73" i="176"/>
  <c r="AN73" i="176"/>
  <c r="AM73" i="176"/>
  <c r="AL73" i="176"/>
  <c r="AI73" i="176"/>
  <c r="AH73" i="176"/>
  <c r="AG73" i="176"/>
  <c r="AC73" i="176"/>
  <c r="AB73" i="176"/>
  <c r="Y73" i="176"/>
  <c r="T73" i="176"/>
  <c r="S73" i="176"/>
  <c r="R73" i="176"/>
  <c r="N73" i="176"/>
  <c r="M73" i="176"/>
  <c r="I73" i="176"/>
  <c r="H73" i="176"/>
  <c r="D73" i="176"/>
  <c r="C73" i="176"/>
  <c r="CP71" i="176"/>
  <c r="CQ71" i="176" s="1"/>
  <c r="CK71" i="176"/>
  <c r="CG71" i="176"/>
  <c r="CB71" i="176"/>
  <c r="BW71" i="176"/>
  <c r="BR71" i="176"/>
  <c r="BM71" i="176"/>
  <c r="BH71" i="176"/>
  <c r="BC71" i="176"/>
  <c r="AX71" i="176"/>
  <c r="AS71" i="176"/>
  <c r="AN71" i="176"/>
  <c r="AI71" i="176"/>
  <c r="AD71" i="176"/>
  <c r="X71" i="176"/>
  <c r="W71" i="176"/>
  <c r="S71" i="176"/>
  <c r="R71" i="176"/>
  <c r="O71" i="176"/>
  <c r="J71" i="176"/>
  <c r="E71" i="176"/>
  <c r="CP70" i="176"/>
  <c r="CQ70" i="176" s="1"/>
  <c r="CG70" i="176"/>
  <c r="CB70" i="176"/>
  <c r="BW70" i="176"/>
  <c r="BR70" i="176"/>
  <c r="BM70" i="176"/>
  <c r="BH70" i="176"/>
  <c r="BC70" i="176"/>
  <c r="AX70" i="176"/>
  <c r="AS70" i="176"/>
  <c r="AN70" i="176"/>
  <c r="AI70" i="176"/>
  <c r="AD70" i="176"/>
  <c r="X70" i="176"/>
  <c r="CK70" i="176" s="1"/>
  <c r="W70" i="176"/>
  <c r="S70" i="176"/>
  <c r="R70" i="176"/>
  <c r="O70" i="176"/>
  <c r="J70" i="176"/>
  <c r="E70" i="176"/>
  <c r="CP69" i="176"/>
  <c r="CQ69" i="176" s="1"/>
  <c r="CK69" i="176"/>
  <c r="CG69" i="176"/>
  <c r="CB69" i="176"/>
  <c r="BW69" i="176"/>
  <c r="BR69" i="176"/>
  <c r="BM69" i="176"/>
  <c r="BH69" i="176"/>
  <c r="BC69" i="176"/>
  <c r="AX69" i="176"/>
  <c r="AS69" i="176"/>
  <c r="AN69" i="176"/>
  <c r="AI69" i="176"/>
  <c r="AD69" i="176"/>
  <c r="X69" i="176"/>
  <c r="W69" i="176"/>
  <c r="S69" i="176"/>
  <c r="R69" i="176"/>
  <c r="O69" i="176"/>
  <c r="J69" i="176"/>
  <c r="E69" i="176"/>
  <c r="CP68" i="176"/>
  <c r="CQ68" i="176" s="1"/>
  <c r="CG68" i="176"/>
  <c r="CB68" i="176"/>
  <c r="BW68" i="176"/>
  <c r="BR68" i="176"/>
  <c r="BM68" i="176"/>
  <c r="BH68" i="176"/>
  <c r="BC68" i="176"/>
  <c r="AX68" i="176"/>
  <c r="AS68" i="176"/>
  <c r="AN68" i="176"/>
  <c r="AI68" i="176"/>
  <c r="AD68" i="176"/>
  <c r="X68" i="176"/>
  <c r="CK68" i="176" s="1"/>
  <c r="W68" i="176"/>
  <c r="S68" i="176"/>
  <c r="R68" i="176"/>
  <c r="O68" i="176"/>
  <c r="J68" i="176"/>
  <c r="E68" i="176"/>
  <c r="CP67" i="176"/>
  <c r="CQ67" i="176" s="1"/>
  <c r="CK67" i="176"/>
  <c r="CG67" i="176"/>
  <c r="CB67" i="176"/>
  <c r="BW67" i="176"/>
  <c r="BR67" i="176"/>
  <c r="BM67" i="176"/>
  <c r="BH67" i="176"/>
  <c r="BC67" i="176"/>
  <c r="AX67" i="176"/>
  <c r="AS67" i="176"/>
  <c r="AN67" i="176"/>
  <c r="AI67" i="176"/>
  <c r="AD67" i="176"/>
  <c r="X67" i="176"/>
  <c r="W67" i="176"/>
  <c r="S67" i="176"/>
  <c r="R67" i="176"/>
  <c r="O67" i="176"/>
  <c r="J67" i="176"/>
  <c r="E67" i="176"/>
  <c r="CP66" i="176"/>
  <c r="CG66" i="176"/>
  <c r="CB66" i="176"/>
  <c r="BW66" i="176"/>
  <c r="BR66" i="176"/>
  <c r="BM66" i="176"/>
  <c r="BH66" i="176"/>
  <c r="BC66" i="176"/>
  <c r="AX66" i="176"/>
  <c r="AS66" i="176"/>
  <c r="AN66" i="176"/>
  <c r="AI66" i="176"/>
  <c r="AD66" i="176"/>
  <c r="X66" i="176"/>
  <c r="CK66" i="176" s="1"/>
  <c r="W66" i="176"/>
  <c r="S66" i="176"/>
  <c r="R66" i="176"/>
  <c r="O66" i="176"/>
  <c r="J66" i="176"/>
  <c r="E66" i="176"/>
  <c r="CP65" i="176"/>
  <c r="CQ65" i="176" s="1"/>
  <c r="CG65" i="176"/>
  <c r="CB65" i="176"/>
  <c r="BW65" i="176"/>
  <c r="BR65" i="176"/>
  <c r="BM65" i="176"/>
  <c r="BH65" i="176"/>
  <c r="BC65" i="176"/>
  <c r="AX65" i="176"/>
  <c r="AS65" i="176"/>
  <c r="AN65" i="176"/>
  <c r="AI65" i="176"/>
  <c r="AD65" i="176"/>
  <c r="X65" i="176"/>
  <c r="W65" i="176"/>
  <c r="CJ65" i="176" s="1"/>
  <c r="S65" i="176"/>
  <c r="R65" i="176"/>
  <c r="O65" i="176"/>
  <c r="J65" i="176"/>
  <c r="E65" i="176"/>
  <c r="CP64" i="176"/>
  <c r="CQ64" i="176" s="1"/>
  <c r="CJ64" i="176"/>
  <c r="CL64" i="176" s="1"/>
  <c r="CG64" i="176"/>
  <c r="CB64" i="176"/>
  <c r="BW64" i="176"/>
  <c r="BR64" i="176"/>
  <c r="BM64" i="176"/>
  <c r="BH64" i="176"/>
  <c r="BC64" i="176"/>
  <c r="AX64" i="176"/>
  <c r="AS64" i="176"/>
  <c r="AN64" i="176"/>
  <c r="AI64" i="176"/>
  <c r="AD64" i="176"/>
  <c r="X64" i="176"/>
  <c r="CK64" i="176" s="1"/>
  <c r="W64" i="176"/>
  <c r="Y64" i="176" s="1"/>
  <c r="S64" i="176"/>
  <c r="R64" i="176"/>
  <c r="O64" i="176"/>
  <c r="J64" i="176"/>
  <c r="E64" i="176"/>
  <c r="CQ63" i="176"/>
  <c r="CP63" i="176"/>
  <c r="CG63" i="176"/>
  <c r="CB63" i="176"/>
  <c r="BW63" i="176"/>
  <c r="BR63" i="176"/>
  <c r="BM63" i="176"/>
  <c r="BH63" i="176"/>
  <c r="BC63" i="176"/>
  <c r="AX63" i="176"/>
  <c r="AS63" i="176"/>
  <c r="AN63" i="176"/>
  <c r="AI63" i="176"/>
  <c r="AD63" i="176"/>
  <c r="X63" i="176"/>
  <c r="CK63" i="176" s="1"/>
  <c r="W63" i="176"/>
  <c r="CJ63" i="176" s="1"/>
  <c r="CL63" i="176" s="1"/>
  <c r="S63" i="176"/>
  <c r="R63" i="176"/>
  <c r="O63" i="176"/>
  <c r="J63" i="176"/>
  <c r="E63" i="176"/>
  <c r="CQ62" i="176"/>
  <c r="CP62" i="176"/>
  <c r="CJ62" i="176"/>
  <c r="CG62" i="176"/>
  <c r="CB62" i="176"/>
  <c r="BW62" i="176"/>
  <c r="BR62" i="176"/>
  <c r="BM62" i="176"/>
  <c r="BH62" i="176"/>
  <c r="BC62" i="176"/>
  <c r="AX62" i="176"/>
  <c r="AS62" i="176"/>
  <c r="AN62" i="176"/>
  <c r="AI62" i="176"/>
  <c r="AD62" i="176"/>
  <c r="X62" i="176"/>
  <c r="W62" i="176"/>
  <c r="S62" i="176"/>
  <c r="R62" i="176"/>
  <c r="T62" i="176" s="1"/>
  <c r="O62" i="176"/>
  <c r="J62" i="176"/>
  <c r="E62" i="176"/>
  <c r="CQ61" i="176"/>
  <c r="CP61" i="176"/>
  <c r="CG61" i="176"/>
  <c r="CB61" i="176"/>
  <c r="BW61" i="176"/>
  <c r="BR61" i="176"/>
  <c r="BM61" i="176"/>
  <c r="BH61" i="176"/>
  <c r="BC61" i="176"/>
  <c r="AX61" i="176"/>
  <c r="AS61" i="176"/>
  <c r="AN61" i="176"/>
  <c r="AI61" i="176"/>
  <c r="AD61" i="176"/>
  <c r="X61" i="176"/>
  <c r="CK61" i="176" s="1"/>
  <c r="W61" i="176"/>
  <c r="CJ61" i="176" s="1"/>
  <c r="CL61" i="176" s="1"/>
  <c r="S61" i="176"/>
  <c r="R61" i="176"/>
  <c r="O61" i="176"/>
  <c r="J61" i="176"/>
  <c r="E61" i="176"/>
  <c r="CP60" i="176"/>
  <c r="CG60" i="176"/>
  <c r="CB60" i="176"/>
  <c r="BW60" i="176"/>
  <c r="BR60" i="176"/>
  <c r="BM60" i="176"/>
  <c r="BH60" i="176"/>
  <c r="BC60" i="176"/>
  <c r="AX60" i="176"/>
  <c r="AS60" i="176"/>
  <c r="AN60" i="176"/>
  <c r="AI60" i="176"/>
  <c r="AD60" i="176"/>
  <c r="X60" i="176"/>
  <c r="W60" i="176"/>
  <c r="CJ60" i="176" s="1"/>
  <c r="T60" i="176"/>
  <c r="S60" i="176"/>
  <c r="R60" i="176"/>
  <c r="O60" i="176"/>
  <c r="J60" i="176"/>
  <c r="E60" i="176"/>
  <c r="CP59" i="176"/>
  <c r="CQ59" i="176" s="1"/>
  <c r="CG59" i="176"/>
  <c r="CB59" i="176"/>
  <c r="BW59" i="176"/>
  <c r="BR59" i="176"/>
  <c r="BM59" i="176"/>
  <c r="BH59" i="176"/>
  <c r="BC59" i="176"/>
  <c r="AX59" i="176"/>
  <c r="AS59" i="176"/>
  <c r="AN59" i="176"/>
  <c r="AI59" i="176"/>
  <c r="AD59" i="176"/>
  <c r="X59" i="176"/>
  <c r="CK59" i="176" s="1"/>
  <c r="W59" i="176"/>
  <c r="CJ59" i="176" s="1"/>
  <c r="CL59" i="176" s="1"/>
  <c r="S59" i="176"/>
  <c r="R59" i="176"/>
  <c r="T59" i="176" s="1"/>
  <c r="O59" i="176"/>
  <c r="J59" i="176"/>
  <c r="E59" i="176"/>
  <c r="CP58" i="176"/>
  <c r="CQ58" i="176" s="1"/>
  <c r="CG58" i="176"/>
  <c r="CB58" i="176"/>
  <c r="BW58" i="176"/>
  <c r="BR58" i="176"/>
  <c r="BM58" i="176"/>
  <c r="BH58" i="176"/>
  <c r="BC58" i="176"/>
  <c r="AX58" i="176"/>
  <c r="AS58" i="176"/>
  <c r="AN58" i="176"/>
  <c r="AI58" i="176"/>
  <c r="AD58" i="176"/>
  <c r="X58" i="176"/>
  <c r="CK58" i="176" s="1"/>
  <c r="W58" i="176"/>
  <c r="CJ58" i="176" s="1"/>
  <c r="CL58" i="176" s="1"/>
  <c r="S58" i="176"/>
  <c r="R58" i="176"/>
  <c r="T58" i="176" s="1"/>
  <c r="O58" i="176"/>
  <c r="J58" i="176"/>
  <c r="E58" i="176"/>
  <c r="CP57" i="176"/>
  <c r="CQ57" i="176" s="1"/>
  <c r="CG57" i="176"/>
  <c r="CB57" i="176"/>
  <c r="BW57" i="176"/>
  <c r="BR57" i="176"/>
  <c r="BM57" i="176"/>
  <c r="BH57" i="176"/>
  <c r="BC57" i="176"/>
  <c r="AX57" i="176"/>
  <c r="AS57" i="176"/>
  <c r="AN57" i="176"/>
  <c r="AI57" i="176"/>
  <c r="AD57" i="176"/>
  <c r="X57" i="176"/>
  <c r="CK57" i="176" s="1"/>
  <c r="W57" i="176"/>
  <c r="S57" i="176"/>
  <c r="R57" i="176"/>
  <c r="T57" i="176" s="1"/>
  <c r="O57" i="176"/>
  <c r="J57" i="176"/>
  <c r="E57" i="176"/>
  <c r="CP56" i="176"/>
  <c r="CQ56" i="176" s="1"/>
  <c r="CG56" i="176"/>
  <c r="CB56" i="176"/>
  <c r="BW56" i="176"/>
  <c r="BR56" i="176"/>
  <c r="BM56" i="176"/>
  <c r="BH56" i="176"/>
  <c r="BC56" i="176"/>
  <c r="AX56" i="176"/>
  <c r="AS56" i="176"/>
  <c r="AN56" i="176"/>
  <c r="AI56" i="176"/>
  <c r="AD56" i="176"/>
  <c r="Y56" i="176"/>
  <c r="X56" i="176"/>
  <c r="CK56" i="176" s="1"/>
  <c r="W56" i="176"/>
  <c r="CJ56" i="176" s="1"/>
  <c r="CL56" i="176" s="1"/>
  <c r="S56" i="176"/>
  <c r="R56" i="176"/>
  <c r="T56" i="176" s="1"/>
  <c r="O56" i="176"/>
  <c r="J56" i="176"/>
  <c r="E56" i="176"/>
  <c r="CP55" i="176"/>
  <c r="CQ55" i="176" s="1"/>
  <c r="CG55" i="176"/>
  <c r="CB55" i="176"/>
  <c r="BW55" i="176"/>
  <c r="BR55" i="176"/>
  <c r="BM55" i="176"/>
  <c r="BH55" i="176"/>
  <c r="BC55" i="176"/>
  <c r="AX55" i="176"/>
  <c r="AS55" i="176"/>
  <c r="AN55" i="176"/>
  <c r="AI55" i="176"/>
  <c r="AD55" i="176"/>
  <c r="X55" i="176"/>
  <c r="CK55" i="176" s="1"/>
  <c r="W55" i="176"/>
  <c r="CJ55" i="176" s="1"/>
  <c r="S55" i="176"/>
  <c r="R55" i="176"/>
  <c r="T55" i="176" s="1"/>
  <c r="O55" i="176"/>
  <c r="J55" i="176"/>
  <c r="E55" i="176"/>
  <c r="CF54" i="176"/>
  <c r="CE54" i="176"/>
  <c r="CA54" i="176"/>
  <c r="BZ54" i="176"/>
  <c r="BV54" i="176"/>
  <c r="BU54" i="176"/>
  <c r="BQ54" i="176"/>
  <c r="BP54" i="176"/>
  <c r="BL54" i="176"/>
  <c r="BK54" i="176"/>
  <c r="BG54" i="176"/>
  <c r="BF54" i="176"/>
  <c r="BB54" i="176"/>
  <c r="BA54" i="176"/>
  <c r="AW54" i="176"/>
  <c r="AV54" i="176"/>
  <c r="AS54" i="176"/>
  <c r="AR54" i="176"/>
  <c r="AQ54" i="176"/>
  <c r="AM54" i="176"/>
  <c r="AL54" i="176"/>
  <c r="AH54" i="176"/>
  <c r="AG54" i="176"/>
  <c r="AC54" i="176"/>
  <c r="AB54" i="176"/>
  <c r="N54" i="176"/>
  <c r="M54" i="176"/>
  <c r="I54" i="176"/>
  <c r="H54" i="176"/>
  <c r="D54" i="176"/>
  <c r="C54" i="176"/>
  <c r="CK53" i="176"/>
  <c r="CJ53" i="176"/>
  <c r="CP52" i="176"/>
  <c r="CQ52" i="176" s="1"/>
  <c r="CG52" i="176"/>
  <c r="CB52" i="176"/>
  <c r="BW52" i="176"/>
  <c r="BR52" i="176"/>
  <c r="BM52" i="176"/>
  <c r="BH52" i="176"/>
  <c r="BC52" i="176"/>
  <c r="AX52" i="176"/>
  <c r="AS52" i="176"/>
  <c r="AN52" i="176"/>
  <c r="AI52" i="176"/>
  <c r="AD52" i="176"/>
  <c r="X52" i="176"/>
  <c r="W52" i="176"/>
  <c r="CJ52" i="176" s="1"/>
  <c r="S52" i="176"/>
  <c r="R52" i="176"/>
  <c r="O52" i="176"/>
  <c r="J52" i="176"/>
  <c r="E52" i="176"/>
  <c r="E50" i="176" s="1"/>
  <c r="CP51" i="176"/>
  <c r="CK51" i="176"/>
  <c r="CG51" i="176"/>
  <c r="CB51" i="176"/>
  <c r="BW51" i="176"/>
  <c r="BR51" i="176"/>
  <c r="BM51" i="176"/>
  <c r="BH51" i="176"/>
  <c r="BH50" i="176" s="1"/>
  <c r="BC51" i="176"/>
  <c r="AX51" i="176"/>
  <c r="AS51" i="176"/>
  <c r="AN51" i="176"/>
  <c r="AI51" i="176"/>
  <c r="AD51" i="176"/>
  <c r="AD50" i="176" s="1"/>
  <c r="X51" i="176"/>
  <c r="W51" i="176"/>
  <c r="CJ51" i="176" s="1"/>
  <c r="CJ50" i="176" s="1"/>
  <c r="S51" i="176"/>
  <c r="T51" i="176" s="1"/>
  <c r="R51" i="176"/>
  <c r="O51" i="176"/>
  <c r="J51" i="176"/>
  <c r="E51" i="176"/>
  <c r="CF50" i="176"/>
  <c r="CE50" i="176"/>
  <c r="CA50" i="176"/>
  <c r="BZ50" i="176"/>
  <c r="BW50" i="176"/>
  <c r="BV50" i="176"/>
  <c r="BU50" i="176"/>
  <c r="BQ50" i="176"/>
  <c r="BP50" i="176"/>
  <c r="BL50" i="176"/>
  <c r="BK50" i="176"/>
  <c r="BG50" i="176"/>
  <c r="BF50" i="176"/>
  <c r="BB50" i="176"/>
  <c r="BA50" i="176"/>
  <c r="AW50" i="176"/>
  <c r="AV50" i="176"/>
  <c r="AS50" i="176"/>
  <c r="AR50" i="176"/>
  <c r="AQ50" i="176"/>
  <c r="AM50" i="176"/>
  <c r="AL50" i="176"/>
  <c r="AH50" i="176"/>
  <c r="AG50" i="176"/>
  <c r="AC50" i="176"/>
  <c r="AB50" i="176"/>
  <c r="W50" i="176"/>
  <c r="R50" i="176"/>
  <c r="N50" i="176"/>
  <c r="M50" i="176"/>
  <c r="I50" i="176"/>
  <c r="H50" i="176"/>
  <c r="D50" i="176"/>
  <c r="C50" i="176"/>
  <c r="CP48" i="176"/>
  <c r="CQ48" i="176" s="1"/>
  <c r="CK48" i="176"/>
  <c r="CG48" i="176"/>
  <c r="CB48" i="176"/>
  <c r="BW48" i="176"/>
  <c r="BR48" i="176"/>
  <c r="BM48" i="176"/>
  <c r="BH48" i="176"/>
  <c r="BC48" i="176"/>
  <c r="AX48" i="176"/>
  <c r="AS48" i="176"/>
  <c r="AN48" i="176"/>
  <c r="AI48" i="176"/>
  <c r="AD48" i="176"/>
  <c r="X48" i="176"/>
  <c r="W48" i="176"/>
  <c r="CJ48" i="176" s="1"/>
  <c r="S48" i="176"/>
  <c r="R48" i="176"/>
  <c r="T48" i="176" s="1"/>
  <c r="O48" i="176"/>
  <c r="J48" i="176"/>
  <c r="E48" i="176"/>
  <c r="CP47" i="176"/>
  <c r="CQ47" i="176" s="1"/>
  <c r="CK47" i="176"/>
  <c r="CG47" i="176"/>
  <c r="CB47" i="176"/>
  <c r="BW47" i="176"/>
  <c r="BR47" i="176"/>
  <c r="BM47" i="176"/>
  <c r="BH47" i="176"/>
  <c r="BC47" i="176"/>
  <c r="AX47" i="176"/>
  <c r="AS47" i="176"/>
  <c r="AN47" i="176"/>
  <c r="AI47" i="176"/>
  <c r="AD47" i="176"/>
  <c r="X47" i="176"/>
  <c r="W47" i="176"/>
  <c r="CJ47" i="176" s="1"/>
  <c r="S47" i="176"/>
  <c r="R47" i="176"/>
  <c r="O47" i="176"/>
  <c r="J47" i="176"/>
  <c r="E47" i="176"/>
  <c r="CP46" i="176"/>
  <c r="CQ46" i="176" s="1"/>
  <c r="CG46" i="176"/>
  <c r="CB46" i="176"/>
  <c r="BW46" i="176"/>
  <c r="BR46" i="176"/>
  <c r="BM46" i="176"/>
  <c r="BH46" i="176"/>
  <c r="BC46" i="176"/>
  <c r="AX46" i="176"/>
  <c r="AS46" i="176"/>
  <c r="AN46" i="176"/>
  <c r="AI46" i="176"/>
  <c r="AD46" i="176"/>
  <c r="X46" i="176"/>
  <c r="W46" i="176"/>
  <c r="CJ46" i="176" s="1"/>
  <c r="S46" i="176"/>
  <c r="R46" i="176"/>
  <c r="O46" i="176"/>
  <c r="J46" i="176"/>
  <c r="E46" i="176"/>
  <c r="CP45" i="176"/>
  <c r="CQ45" i="176" s="1"/>
  <c r="CG45" i="176"/>
  <c r="CB45" i="176"/>
  <c r="BW45" i="176"/>
  <c r="BR45" i="176"/>
  <c r="BM45" i="176"/>
  <c r="BH45" i="176"/>
  <c r="BC45" i="176"/>
  <c r="AX45" i="176"/>
  <c r="AS45" i="176"/>
  <c r="AN45" i="176"/>
  <c r="AI45" i="176"/>
  <c r="AD45" i="176"/>
  <c r="X45" i="176"/>
  <c r="Y45" i="176" s="1"/>
  <c r="W45" i="176"/>
  <c r="CJ45" i="176" s="1"/>
  <c r="T45" i="176"/>
  <c r="S45" i="176"/>
  <c r="R45" i="176"/>
  <c r="R41" i="176" s="1"/>
  <c r="O45" i="176"/>
  <c r="J45" i="176"/>
  <c r="E45" i="176"/>
  <c r="CP44" i="176"/>
  <c r="CQ44" i="176" s="1"/>
  <c r="CG44" i="176"/>
  <c r="CB44" i="176"/>
  <c r="BW44" i="176"/>
  <c r="BR44" i="176"/>
  <c r="BM44" i="176"/>
  <c r="BH44" i="176"/>
  <c r="BC44" i="176"/>
  <c r="AX44" i="176"/>
  <c r="AS44" i="176"/>
  <c r="AN44" i="176"/>
  <c r="AI44" i="176"/>
  <c r="AD44" i="176"/>
  <c r="X44" i="176"/>
  <c r="Y44" i="176" s="1"/>
  <c r="W44" i="176"/>
  <c r="CJ44" i="176" s="1"/>
  <c r="S44" i="176"/>
  <c r="T44" i="176" s="1"/>
  <c r="R44" i="176"/>
  <c r="O44" i="176"/>
  <c r="J44" i="176"/>
  <c r="E44" i="176"/>
  <c r="CP43" i="176"/>
  <c r="CQ43" i="176" s="1"/>
  <c r="CG43" i="176"/>
  <c r="CB43" i="176"/>
  <c r="BW43" i="176"/>
  <c r="BW41" i="176" s="1"/>
  <c r="BR43" i="176"/>
  <c r="BM43" i="176"/>
  <c r="BH43" i="176"/>
  <c r="BC43" i="176"/>
  <c r="AX43" i="176"/>
  <c r="AS43" i="176"/>
  <c r="AN43" i="176"/>
  <c r="AI43" i="176"/>
  <c r="AD43" i="176"/>
  <c r="X43" i="176"/>
  <c r="W43" i="176"/>
  <c r="CJ43" i="176" s="1"/>
  <c r="S43" i="176"/>
  <c r="T43" i="176" s="1"/>
  <c r="R43" i="176"/>
  <c r="O43" i="176"/>
  <c r="J43" i="176"/>
  <c r="E43" i="176"/>
  <c r="CP42" i="176"/>
  <c r="CK42" i="176"/>
  <c r="CG42" i="176"/>
  <c r="CB42" i="176"/>
  <c r="BW42" i="176"/>
  <c r="BR42" i="176"/>
  <c r="BM42" i="176"/>
  <c r="BH42" i="176"/>
  <c r="BH41" i="176" s="1"/>
  <c r="BC42" i="176"/>
  <c r="AX42" i="176"/>
  <c r="AS42" i="176"/>
  <c r="AN42" i="176"/>
  <c r="AI42" i="176"/>
  <c r="AD42" i="176"/>
  <c r="AD41" i="176" s="1"/>
  <c r="X42" i="176"/>
  <c r="W42" i="176"/>
  <c r="CJ42" i="176" s="1"/>
  <c r="S42" i="176"/>
  <c r="R42" i="176"/>
  <c r="T42" i="176" s="1"/>
  <c r="O42" i="176"/>
  <c r="J42" i="176"/>
  <c r="E42" i="176"/>
  <c r="CF41" i="176"/>
  <c r="CE41" i="176"/>
  <c r="CA41" i="176"/>
  <c r="BZ41" i="176"/>
  <c r="BV41" i="176"/>
  <c r="BU41" i="176"/>
  <c r="BR41" i="176"/>
  <c r="BQ41" i="176"/>
  <c r="BP41" i="176"/>
  <c r="BL41" i="176"/>
  <c r="BK41" i="176"/>
  <c r="BG41" i="176"/>
  <c r="BF41" i="176"/>
  <c r="BB41" i="176"/>
  <c r="BA41" i="176"/>
  <c r="AW41" i="176"/>
  <c r="AV41" i="176"/>
  <c r="AS41" i="176"/>
  <c r="AR41" i="176"/>
  <c r="AQ41" i="176"/>
  <c r="AM41" i="176"/>
  <c r="AL41" i="176"/>
  <c r="AH41" i="176"/>
  <c r="AG41" i="176"/>
  <c r="AC41" i="176"/>
  <c r="AB41" i="176"/>
  <c r="N41" i="176"/>
  <c r="M41" i="176"/>
  <c r="I41" i="176"/>
  <c r="H41" i="176"/>
  <c r="E41" i="176"/>
  <c r="D41" i="176"/>
  <c r="C41" i="176"/>
  <c r="X37" i="176"/>
  <c r="W37" i="176"/>
  <c r="CG36" i="176"/>
  <c r="CB36" i="176"/>
  <c r="BW36" i="176"/>
  <c r="BW35" i="176" s="1"/>
  <c r="BR36" i="176"/>
  <c r="BM36" i="176"/>
  <c r="BH36" i="176"/>
  <c r="BC36" i="176"/>
  <c r="AX36" i="176"/>
  <c r="AS36" i="176"/>
  <c r="AS35" i="176" s="1"/>
  <c r="AN36" i="176"/>
  <c r="AI36" i="176"/>
  <c r="AI35" i="176" s="1"/>
  <c r="AD36" i="176"/>
  <c r="X36" i="176"/>
  <c r="CK36" i="176" s="1"/>
  <c r="CK35" i="176" s="1"/>
  <c r="W36" i="176"/>
  <c r="S36" i="176"/>
  <c r="R36" i="176"/>
  <c r="O36" i="176"/>
  <c r="J36" i="176"/>
  <c r="E36" i="176"/>
  <c r="E35" i="176" s="1"/>
  <c r="CP35" i="176"/>
  <c r="CF35" i="176"/>
  <c r="CE35" i="176"/>
  <c r="CB35" i="176"/>
  <c r="CA35" i="176"/>
  <c r="BZ35" i="176"/>
  <c r="BV35" i="176"/>
  <c r="BU35" i="176"/>
  <c r="BQ35" i="176"/>
  <c r="BP35" i="176"/>
  <c r="BM35" i="176"/>
  <c r="BL35" i="176"/>
  <c r="BK35" i="176"/>
  <c r="BG35" i="176"/>
  <c r="BF35" i="176"/>
  <c r="BB35" i="176"/>
  <c r="BA35" i="176"/>
  <c r="AX35" i="176"/>
  <c r="AW35" i="176"/>
  <c r="AV35" i="176"/>
  <c r="AR35" i="176"/>
  <c r="AQ35" i="176"/>
  <c r="AM35" i="176"/>
  <c r="AL35" i="176"/>
  <c r="AH35" i="176"/>
  <c r="AG35" i="176"/>
  <c r="AC35" i="176"/>
  <c r="AB35" i="176"/>
  <c r="S35" i="176"/>
  <c r="R35" i="176"/>
  <c r="N35" i="176"/>
  <c r="M35" i="176"/>
  <c r="J35" i="176"/>
  <c r="I35" i="176"/>
  <c r="H35" i="176"/>
  <c r="D35" i="176"/>
  <c r="C35" i="176"/>
  <c r="CR33" i="176"/>
  <c r="CG33" i="176"/>
  <c r="CB33" i="176"/>
  <c r="BW33" i="176"/>
  <c r="BR33" i="176"/>
  <c r="BM33" i="176"/>
  <c r="BH33" i="176"/>
  <c r="BC33" i="176"/>
  <c r="AX33" i="176"/>
  <c r="AS33" i="176"/>
  <c r="AN33" i="176"/>
  <c r="AI33" i="176"/>
  <c r="AD33" i="176"/>
  <c r="X33" i="176"/>
  <c r="CK33" i="176" s="1"/>
  <c r="W33" i="176"/>
  <c r="CJ33" i="176" s="1"/>
  <c r="S33" i="176"/>
  <c r="R33" i="176"/>
  <c r="T33" i="176" s="1"/>
  <c r="O33" i="176"/>
  <c r="J33" i="176"/>
  <c r="E33" i="176"/>
  <c r="CK32" i="176"/>
  <c r="CG32" i="176"/>
  <c r="CB32" i="176"/>
  <c r="BW32" i="176"/>
  <c r="BR32" i="176"/>
  <c r="BM32" i="176"/>
  <c r="BH32" i="176"/>
  <c r="BC32" i="176"/>
  <c r="AX32" i="176"/>
  <c r="AS32" i="176"/>
  <c r="AN32" i="176"/>
  <c r="AI32" i="176"/>
  <c r="AD32" i="176"/>
  <c r="X32" i="176"/>
  <c r="W32" i="176"/>
  <c r="T32" i="176"/>
  <c r="S32" i="176"/>
  <c r="R32" i="176"/>
  <c r="O32" i="176"/>
  <c r="J32" i="176"/>
  <c r="E32" i="176"/>
  <c r="CP31" i="176"/>
  <c r="CG31" i="176"/>
  <c r="CB31" i="176"/>
  <c r="BW31" i="176"/>
  <c r="BR31" i="176"/>
  <c r="BM31" i="176"/>
  <c r="BH31" i="176"/>
  <c r="BC31" i="176"/>
  <c r="AX31" i="176"/>
  <c r="AS31" i="176"/>
  <c r="AN31" i="176"/>
  <c r="AI31" i="176"/>
  <c r="AD31" i="176"/>
  <c r="X31" i="176"/>
  <c r="CK31" i="176" s="1"/>
  <c r="W31" i="176"/>
  <c r="CJ31" i="176" s="1"/>
  <c r="S31" i="176"/>
  <c r="R31" i="176"/>
  <c r="O31" i="176"/>
  <c r="J31" i="176"/>
  <c r="E31" i="176"/>
  <c r="CP30" i="176"/>
  <c r="CG30" i="176"/>
  <c r="CB30" i="176"/>
  <c r="BW30" i="176"/>
  <c r="BR30" i="176"/>
  <c r="BM30" i="176"/>
  <c r="BH30" i="176"/>
  <c r="BC30" i="176"/>
  <c r="AX30" i="176"/>
  <c r="AS30" i="176"/>
  <c r="AN30" i="176"/>
  <c r="AI30" i="176"/>
  <c r="AD30" i="176"/>
  <c r="X30" i="176"/>
  <c r="W30" i="176"/>
  <c r="CJ30" i="176" s="1"/>
  <c r="T30" i="176"/>
  <c r="S30" i="176"/>
  <c r="R30" i="176"/>
  <c r="O30" i="176"/>
  <c r="J30" i="176"/>
  <c r="E30" i="176"/>
  <c r="CG29" i="176"/>
  <c r="CB29" i="176"/>
  <c r="BW29" i="176"/>
  <c r="BR29" i="176"/>
  <c r="BM29" i="176"/>
  <c r="BH29" i="176"/>
  <c r="BC29" i="176"/>
  <c r="AX29" i="176"/>
  <c r="AS29" i="176"/>
  <c r="AN29" i="176"/>
  <c r="AI29" i="176"/>
  <c r="AD29" i="176"/>
  <c r="X29" i="176"/>
  <c r="CK29" i="176" s="1"/>
  <c r="W29" i="176"/>
  <c r="S29" i="176"/>
  <c r="T29" i="176" s="1"/>
  <c r="R29" i="176"/>
  <c r="O29" i="176"/>
  <c r="J29" i="176"/>
  <c r="E29" i="176"/>
  <c r="CG28" i="176"/>
  <c r="CB28" i="176"/>
  <c r="BW28" i="176"/>
  <c r="BR28" i="176"/>
  <c r="BM28" i="176"/>
  <c r="BH28" i="176"/>
  <c r="BC28" i="176"/>
  <c r="AX28" i="176"/>
  <c r="AS28" i="176"/>
  <c r="AN28" i="176"/>
  <c r="AI28" i="176"/>
  <c r="AD28" i="176"/>
  <c r="X28" i="176"/>
  <c r="CK28" i="176" s="1"/>
  <c r="W28" i="176"/>
  <c r="CJ28" i="176" s="1"/>
  <c r="S28" i="176"/>
  <c r="R28" i="176"/>
  <c r="T28" i="176" s="1"/>
  <c r="O28" i="176"/>
  <c r="J28" i="176"/>
  <c r="E28" i="176"/>
  <c r="CG27" i="176"/>
  <c r="CB27" i="176"/>
  <c r="BW27" i="176"/>
  <c r="BR27" i="176"/>
  <c r="BM27" i="176"/>
  <c r="BH27" i="176"/>
  <c r="BC27" i="176"/>
  <c r="AX27" i="176"/>
  <c r="AS27" i="176"/>
  <c r="AN27" i="176"/>
  <c r="AI27" i="176"/>
  <c r="AD27" i="176"/>
  <c r="X27" i="176"/>
  <c r="CK27" i="176" s="1"/>
  <c r="W27" i="176"/>
  <c r="CJ27" i="176" s="1"/>
  <c r="S27" i="176"/>
  <c r="R27" i="176"/>
  <c r="O27" i="176"/>
  <c r="J27" i="176"/>
  <c r="E27" i="176"/>
  <c r="CR26" i="176"/>
  <c r="CP26" i="176"/>
  <c r="CK26" i="176"/>
  <c r="CG26" i="176"/>
  <c r="CB26" i="176"/>
  <c r="BW26" i="176"/>
  <c r="BR26" i="176"/>
  <c r="BM26" i="176"/>
  <c r="BH26" i="176"/>
  <c r="BC26" i="176"/>
  <c r="AX26" i="176"/>
  <c r="AS26" i="176"/>
  <c r="AN26" i="176"/>
  <c r="AI26" i="176"/>
  <c r="AD26" i="176"/>
  <c r="X26" i="176"/>
  <c r="W26" i="176"/>
  <c r="CJ26" i="176" s="1"/>
  <c r="S26" i="176"/>
  <c r="R26" i="176"/>
  <c r="O26" i="176"/>
  <c r="J26" i="176"/>
  <c r="E26" i="176"/>
  <c r="CR25" i="176"/>
  <c r="CP25" i="176"/>
  <c r="CG25" i="176"/>
  <c r="CB25" i="176"/>
  <c r="BW25" i="176"/>
  <c r="BR25" i="176"/>
  <c r="BM25" i="176"/>
  <c r="BH25" i="176"/>
  <c r="BC25" i="176"/>
  <c r="AX25" i="176"/>
  <c r="AS25" i="176"/>
  <c r="AN25" i="176"/>
  <c r="AI25" i="176"/>
  <c r="AD25" i="176"/>
  <c r="X25" i="176"/>
  <c r="CK25" i="176" s="1"/>
  <c r="W25" i="176"/>
  <c r="CJ25" i="176" s="1"/>
  <c r="S25" i="176"/>
  <c r="T25" i="176" s="1"/>
  <c r="R25" i="176"/>
  <c r="O25" i="176"/>
  <c r="J25" i="176"/>
  <c r="E25" i="176"/>
  <c r="CP24" i="176"/>
  <c r="CJ24" i="176"/>
  <c r="CG24" i="176"/>
  <c r="CB24" i="176"/>
  <c r="BW24" i="176"/>
  <c r="BR24" i="176"/>
  <c r="BM24" i="176"/>
  <c r="BH24" i="176"/>
  <c r="BC24" i="176"/>
  <c r="AX24" i="176"/>
  <c r="AS24" i="176"/>
  <c r="AN24" i="176"/>
  <c r="AI24" i="176"/>
  <c r="AD24" i="176"/>
  <c r="X24" i="176"/>
  <c r="CK24" i="176" s="1"/>
  <c r="W24" i="176"/>
  <c r="Y24" i="176" s="1"/>
  <c r="S24" i="176"/>
  <c r="R24" i="176"/>
  <c r="T24" i="176" s="1"/>
  <c r="O24" i="176"/>
  <c r="J24" i="176"/>
  <c r="E24" i="176"/>
  <c r="CG23" i="176"/>
  <c r="CB23" i="176"/>
  <c r="BW23" i="176"/>
  <c r="BR23" i="176"/>
  <c r="BM23" i="176"/>
  <c r="BH23" i="176"/>
  <c r="BC23" i="176"/>
  <c r="AX23" i="176"/>
  <c r="AS23" i="176"/>
  <c r="AN23" i="176"/>
  <c r="AI23" i="176"/>
  <c r="AD23" i="176"/>
  <c r="X23" i="176"/>
  <c r="CK23" i="176" s="1"/>
  <c r="W23" i="176"/>
  <c r="CJ23" i="176" s="1"/>
  <c r="CL23" i="176" s="1"/>
  <c r="S23" i="176"/>
  <c r="R23" i="176"/>
  <c r="T23" i="176" s="1"/>
  <c r="O23" i="176"/>
  <c r="J23" i="176"/>
  <c r="E23" i="176"/>
  <c r="CP22" i="176"/>
  <c r="CJ22" i="176"/>
  <c r="CG22" i="176"/>
  <c r="CB22" i="176"/>
  <c r="BW22" i="176"/>
  <c r="BR22" i="176"/>
  <c r="BM22" i="176"/>
  <c r="BH22" i="176"/>
  <c r="BC22" i="176"/>
  <c r="AX22" i="176"/>
  <c r="AS22" i="176"/>
  <c r="AN22" i="176"/>
  <c r="AI22" i="176"/>
  <c r="AD22" i="176"/>
  <c r="X22" i="176"/>
  <c r="W22" i="176"/>
  <c r="T22" i="176"/>
  <c r="S22" i="176"/>
  <c r="R22" i="176"/>
  <c r="O22" i="176"/>
  <c r="J22" i="176"/>
  <c r="E22" i="176"/>
  <c r="CG21" i="176"/>
  <c r="CB21" i="176"/>
  <c r="BW21" i="176"/>
  <c r="BR21" i="176"/>
  <c r="BM21" i="176"/>
  <c r="BH21" i="176"/>
  <c r="BC21" i="176"/>
  <c r="AX21" i="176"/>
  <c r="AS21" i="176"/>
  <c r="AN21" i="176"/>
  <c r="AI21" i="176"/>
  <c r="AD21" i="176"/>
  <c r="X21" i="176"/>
  <c r="W21" i="176"/>
  <c r="CJ21" i="176" s="1"/>
  <c r="S21" i="176"/>
  <c r="T21" i="176" s="1"/>
  <c r="R21" i="176"/>
  <c r="O21" i="176"/>
  <c r="J21" i="176"/>
  <c r="E21" i="176"/>
  <c r="CG20" i="176"/>
  <c r="CB20" i="176"/>
  <c r="BW20" i="176"/>
  <c r="BR20" i="176"/>
  <c r="BM20" i="176"/>
  <c r="BH20" i="176"/>
  <c r="BC20" i="176"/>
  <c r="AX20" i="176"/>
  <c r="AS20" i="176"/>
  <c r="AN20" i="176"/>
  <c r="AI20" i="176"/>
  <c r="AD20" i="176"/>
  <c r="Y20" i="176"/>
  <c r="X20" i="176"/>
  <c r="CK20" i="176" s="1"/>
  <c r="W20" i="176"/>
  <c r="CJ20" i="176" s="1"/>
  <c r="S20" i="176"/>
  <c r="R20" i="176"/>
  <c r="T20" i="176" s="1"/>
  <c r="O20" i="176"/>
  <c r="J20" i="176"/>
  <c r="E20" i="176"/>
  <c r="CG19" i="176"/>
  <c r="CB19" i="176"/>
  <c r="BW19" i="176"/>
  <c r="BR19" i="176"/>
  <c r="BM19" i="176"/>
  <c r="BH19" i="176"/>
  <c r="BC19" i="176"/>
  <c r="AX19" i="176"/>
  <c r="AS19" i="176"/>
  <c r="AN19" i="176"/>
  <c r="AI19" i="176"/>
  <c r="AD19" i="176"/>
  <c r="X19" i="176"/>
  <c r="CK19" i="176" s="1"/>
  <c r="W19" i="176"/>
  <c r="CJ19" i="176" s="1"/>
  <c r="S19" i="176"/>
  <c r="R19" i="176"/>
  <c r="O19" i="176"/>
  <c r="J19" i="176"/>
  <c r="E19" i="176"/>
  <c r="CP18" i="176"/>
  <c r="CG18" i="176"/>
  <c r="CB18" i="176"/>
  <c r="BW18" i="176"/>
  <c r="BR18" i="176"/>
  <c r="BM18" i="176"/>
  <c r="BH18" i="176"/>
  <c r="BC18" i="176"/>
  <c r="AX18" i="176"/>
  <c r="AS18" i="176"/>
  <c r="AN18" i="176"/>
  <c r="AI18" i="176"/>
  <c r="AD18" i="176"/>
  <c r="Y18" i="176"/>
  <c r="X18" i="176"/>
  <c r="CK18" i="176" s="1"/>
  <c r="W18" i="176"/>
  <c r="CJ18" i="176" s="1"/>
  <c r="CL18" i="176" s="1"/>
  <c r="S18" i="176"/>
  <c r="R18" i="176"/>
  <c r="T18" i="176" s="1"/>
  <c r="O18" i="176"/>
  <c r="J18" i="176"/>
  <c r="E18" i="176"/>
  <c r="CJ17" i="176"/>
  <c r="CL17" i="176" s="1"/>
  <c r="CQ17" i="176" s="1"/>
  <c r="CR17" i="176" s="1"/>
  <c r="CG17" i="176"/>
  <c r="CB17" i="176"/>
  <c r="BW17" i="176"/>
  <c r="BR17" i="176"/>
  <c r="BM17" i="176"/>
  <c r="BH17" i="176"/>
  <c r="BC17" i="176"/>
  <c r="AX17" i="176"/>
  <c r="AS17" i="176"/>
  <c r="AN17" i="176"/>
  <c r="AI17" i="176"/>
  <c r="AD17" i="176"/>
  <c r="X17" i="176"/>
  <c r="CK17" i="176" s="1"/>
  <c r="W17" i="176"/>
  <c r="T17" i="176"/>
  <c r="S17" i="176"/>
  <c r="R17" i="176"/>
  <c r="O17" i="176"/>
  <c r="J17" i="176"/>
  <c r="E17" i="176"/>
  <c r="CG16" i="176"/>
  <c r="CB16" i="176"/>
  <c r="BW16" i="176"/>
  <c r="BR16" i="176"/>
  <c r="BM16" i="176"/>
  <c r="BH16" i="176"/>
  <c r="BC16" i="176"/>
  <c r="AX16" i="176"/>
  <c r="AS16" i="176"/>
  <c r="AN16" i="176"/>
  <c r="AI16" i="176"/>
  <c r="AD16" i="176"/>
  <c r="X16" i="176"/>
  <c r="CK16" i="176" s="1"/>
  <c r="W16" i="176"/>
  <c r="S16" i="176"/>
  <c r="R16" i="176"/>
  <c r="O16" i="176"/>
  <c r="J16" i="176"/>
  <c r="E16" i="176"/>
  <c r="CG15" i="176"/>
  <c r="CB15" i="176"/>
  <c r="BW15" i="176"/>
  <c r="BR15" i="176"/>
  <c r="BM15" i="176"/>
  <c r="BH15" i="176"/>
  <c r="BC15" i="176"/>
  <c r="AX15" i="176"/>
  <c r="AS15" i="176"/>
  <c r="AN15" i="176"/>
  <c r="AI15" i="176"/>
  <c r="AD15" i="176"/>
  <c r="X15" i="176"/>
  <c r="CK15" i="176" s="1"/>
  <c r="W15" i="176"/>
  <c r="CJ15" i="176" s="1"/>
  <c r="S15" i="176"/>
  <c r="R15" i="176"/>
  <c r="T15" i="176" s="1"/>
  <c r="O15" i="176"/>
  <c r="J15" i="176"/>
  <c r="E15" i="176"/>
  <c r="CG14" i="176"/>
  <c r="CB14" i="176"/>
  <c r="BW14" i="176"/>
  <c r="BR14" i="176"/>
  <c r="BM14" i="176"/>
  <c r="BH14" i="176"/>
  <c r="BC14" i="176"/>
  <c r="AX14" i="176"/>
  <c r="AS14" i="176"/>
  <c r="AN14" i="176"/>
  <c r="AI14" i="176"/>
  <c r="AD14" i="176"/>
  <c r="X14" i="176"/>
  <c r="CK14" i="176" s="1"/>
  <c r="W14" i="176"/>
  <c r="T14" i="176"/>
  <c r="S14" i="176"/>
  <c r="R14" i="176"/>
  <c r="O14" i="176"/>
  <c r="J14" i="176"/>
  <c r="E14" i="176"/>
  <c r="CG13" i="176"/>
  <c r="CB13" i="176"/>
  <c r="BW13" i="176"/>
  <c r="BR13" i="176"/>
  <c r="BM13" i="176"/>
  <c r="BH13" i="176"/>
  <c r="BC13" i="176"/>
  <c r="AX13" i="176"/>
  <c r="AS13" i="176"/>
  <c r="AN13" i="176"/>
  <c r="AI13" i="176"/>
  <c r="AD13" i="176"/>
  <c r="X13" i="176"/>
  <c r="CK13" i="176" s="1"/>
  <c r="W13" i="176"/>
  <c r="CJ13" i="176" s="1"/>
  <c r="CL13" i="176" s="1"/>
  <c r="S13" i="176"/>
  <c r="R13" i="176"/>
  <c r="O13" i="176"/>
  <c r="J13" i="176"/>
  <c r="E13" i="176"/>
  <c r="CG12" i="176"/>
  <c r="CB12" i="176"/>
  <c r="BW12" i="176"/>
  <c r="BR12" i="176"/>
  <c r="BM12" i="176"/>
  <c r="BH12" i="176"/>
  <c r="BC12" i="176"/>
  <c r="AX12" i="176"/>
  <c r="AS12" i="176"/>
  <c r="AN12" i="176"/>
  <c r="AI12" i="176"/>
  <c r="AD12" i="176"/>
  <c r="Y12" i="176"/>
  <c r="X12" i="176"/>
  <c r="CK12" i="176" s="1"/>
  <c r="W12" i="176"/>
  <c r="CJ12" i="176" s="1"/>
  <c r="CL12" i="176" s="1"/>
  <c r="S12" i="176"/>
  <c r="R12" i="176"/>
  <c r="T12" i="176" s="1"/>
  <c r="O12" i="176"/>
  <c r="J12" i="176"/>
  <c r="E12" i="176"/>
  <c r="CG11" i="176"/>
  <c r="CB11" i="176"/>
  <c r="BW11" i="176"/>
  <c r="BR11" i="176"/>
  <c r="BM11" i="176"/>
  <c r="BH11" i="176"/>
  <c r="BC11" i="176"/>
  <c r="AX11" i="176"/>
  <c r="AS11" i="176"/>
  <c r="AN11" i="176"/>
  <c r="AI11" i="176"/>
  <c r="AD11" i="176"/>
  <c r="X11" i="176"/>
  <c r="CK11" i="176" s="1"/>
  <c r="W11" i="176"/>
  <c r="CJ11" i="176" s="1"/>
  <c r="S11" i="176"/>
  <c r="R11" i="176"/>
  <c r="O11" i="176"/>
  <c r="J11" i="176"/>
  <c r="E11" i="176"/>
  <c r="CG10" i="176"/>
  <c r="CB10" i="176"/>
  <c r="BW10" i="176"/>
  <c r="BR10" i="176"/>
  <c r="BM10" i="176"/>
  <c r="BH10" i="176"/>
  <c r="BC10" i="176"/>
  <c r="AX10" i="176"/>
  <c r="AS10" i="176"/>
  <c r="AN10" i="176"/>
  <c r="AI10" i="176"/>
  <c r="AD10" i="176"/>
  <c r="X10" i="176"/>
  <c r="CK10" i="176" s="1"/>
  <c r="W10" i="176"/>
  <c r="CJ10" i="176" s="1"/>
  <c r="CL10" i="176" s="1"/>
  <c r="CQ10" i="176" s="1"/>
  <c r="S10" i="176"/>
  <c r="R10" i="176"/>
  <c r="T10" i="176" s="1"/>
  <c r="O10" i="176"/>
  <c r="J10" i="176"/>
  <c r="E10" i="176"/>
  <c r="CP9" i="176"/>
  <c r="CG9" i="176"/>
  <c r="CB9" i="176"/>
  <c r="CB8" i="176" s="1"/>
  <c r="BW9" i="176"/>
  <c r="BR9" i="176"/>
  <c r="BM9" i="176"/>
  <c r="BH9" i="176"/>
  <c r="BC9" i="176"/>
  <c r="AX9" i="176"/>
  <c r="AS9" i="176"/>
  <c r="AN9" i="176"/>
  <c r="AI9" i="176"/>
  <c r="AD9" i="176"/>
  <c r="X9" i="176"/>
  <c r="W9" i="176"/>
  <c r="S9" i="176"/>
  <c r="R9" i="176"/>
  <c r="T9" i="176" s="1"/>
  <c r="O9" i="176"/>
  <c r="J9" i="176"/>
  <c r="E9" i="176"/>
  <c r="CP8" i="176"/>
  <c r="CF8" i="176"/>
  <c r="CE8" i="176"/>
  <c r="CA8" i="176"/>
  <c r="BZ8" i="176"/>
  <c r="BV8" i="176"/>
  <c r="BU8" i="176"/>
  <c r="BQ8" i="176"/>
  <c r="BP8" i="176"/>
  <c r="BL8" i="176"/>
  <c r="BK8" i="176"/>
  <c r="BG8" i="176"/>
  <c r="BF8" i="176"/>
  <c r="BB8" i="176"/>
  <c r="BA8" i="176"/>
  <c r="AX8" i="176"/>
  <c r="AW8" i="176"/>
  <c r="AV8" i="176"/>
  <c r="AR8" i="176"/>
  <c r="AQ8" i="176"/>
  <c r="AM8" i="176"/>
  <c r="AL8" i="176"/>
  <c r="AH8" i="176"/>
  <c r="AG8" i="176"/>
  <c r="AC8" i="176"/>
  <c r="AB8" i="176"/>
  <c r="N8" i="176"/>
  <c r="M8" i="176"/>
  <c r="I8" i="176"/>
  <c r="H8" i="176"/>
  <c r="D8" i="176"/>
  <c r="C8" i="176"/>
  <c r="CG7" i="176"/>
  <c r="CB7" i="176"/>
  <c r="CB5" i="176" s="1"/>
  <c r="BW7" i="176"/>
  <c r="BR7" i="176"/>
  <c r="BM7" i="176"/>
  <c r="BH7" i="176"/>
  <c r="BH5" i="176" s="1"/>
  <c r="BC7" i="176"/>
  <c r="AX7" i="176"/>
  <c r="AX5" i="176" s="1"/>
  <c r="AX38" i="176" s="1"/>
  <c r="AS7" i="176"/>
  <c r="AN7" i="176"/>
  <c r="AN5" i="176" s="1"/>
  <c r="AI7" i="176"/>
  <c r="AD7" i="176"/>
  <c r="X7" i="176"/>
  <c r="CK7" i="176" s="1"/>
  <c r="W7" i="176"/>
  <c r="S7" i="176"/>
  <c r="R7" i="176"/>
  <c r="T7" i="176" s="1"/>
  <c r="O7" i="176"/>
  <c r="J7" i="176"/>
  <c r="E7" i="176"/>
  <c r="E5" i="176" s="1"/>
  <c r="CP6" i="176"/>
  <c r="CR6" i="176" s="1"/>
  <c r="CR5" i="176" s="1"/>
  <c r="CG6" i="176"/>
  <c r="CG5" i="176" s="1"/>
  <c r="CB6" i="176"/>
  <c r="BW6" i="176"/>
  <c r="BR6" i="176"/>
  <c r="BM6" i="176"/>
  <c r="BM5" i="176" s="1"/>
  <c r="BH6" i="176"/>
  <c r="BC6" i="176"/>
  <c r="BC5" i="176" s="1"/>
  <c r="AX6" i="176"/>
  <c r="AS6" i="176"/>
  <c r="AN6" i="176"/>
  <c r="AI6" i="176"/>
  <c r="AI5" i="176" s="1"/>
  <c r="AD6" i="176"/>
  <c r="X6" i="176"/>
  <c r="W6" i="176"/>
  <c r="CJ6" i="176" s="1"/>
  <c r="CJ5" i="176" s="1"/>
  <c r="S6" i="176"/>
  <c r="R6" i="176"/>
  <c r="R5" i="176" s="1"/>
  <c r="O6" i="176"/>
  <c r="O5" i="176" s="1"/>
  <c r="J6" i="176"/>
  <c r="E6" i="176"/>
  <c r="CQ5" i="176"/>
  <c r="CP5" i="176"/>
  <c r="CF5" i="176"/>
  <c r="CF38" i="176" s="1"/>
  <c r="CE5" i="176"/>
  <c r="CE38" i="176" s="1"/>
  <c r="CA5" i="176"/>
  <c r="CA38" i="176" s="1"/>
  <c r="BZ5" i="176"/>
  <c r="BZ38" i="176" s="1"/>
  <c r="BV5" i="176"/>
  <c r="BV38" i="176" s="1"/>
  <c r="BU5" i="176"/>
  <c r="BU38" i="176" s="1"/>
  <c r="BR5" i="176"/>
  <c r="BQ5" i="176"/>
  <c r="BP5" i="176"/>
  <c r="BP38" i="176" s="1"/>
  <c r="BL5" i="176"/>
  <c r="BK5" i="176"/>
  <c r="BK38" i="176" s="1"/>
  <c r="BG5" i="176"/>
  <c r="BF5" i="176"/>
  <c r="BF38" i="176" s="1"/>
  <c r="BB5" i="176"/>
  <c r="BA5" i="176"/>
  <c r="BA38" i="176" s="1"/>
  <c r="AW5" i="176"/>
  <c r="AW38" i="176" s="1"/>
  <c r="AV5" i="176"/>
  <c r="AV38" i="176" s="1"/>
  <c r="AR5" i="176"/>
  <c r="AR38" i="176" s="1"/>
  <c r="AQ5" i="176"/>
  <c r="AM5" i="176"/>
  <c r="AM38" i="176" s="1"/>
  <c r="AL5" i="176"/>
  <c r="AH5" i="176"/>
  <c r="AH38" i="176" s="1"/>
  <c r="AG5" i="176"/>
  <c r="AD5" i="176"/>
  <c r="AC5" i="176"/>
  <c r="AC38" i="176" s="1"/>
  <c r="AB5" i="176"/>
  <c r="AB38" i="176" s="1"/>
  <c r="W5" i="176"/>
  <c r="S5" i="176"/>
  <c r="N5" i="176"/>
  <c r="N38" i="176" s="1"/>
  <c r="M5" i="176"/>
  <c r="J5" i="176"/>
  <c r="I5" i="176"/>
  <c r="H5" i="176"/>
  <c r="D5" i="176"/>
  <c r="C5" i="176"/>
  <c r="AU97" i="157"/>
  <c r="AU99" i="157"/>
  <c r="AU98" i="157"/>
  <c r="AU109" i="157"/>
  <c r="AX116" i="157"/>
  <c r="AX114" i="157"/>
  <c r="AU95" i="157"/>
  <c r="AU94" i="157"/>
  <c r="AU96" i="157"/>
  <c r="AU102" i="157"/>
  <c r="AX115" i="157"/>
  <c r="AU101" i="157"/>
  <c r="AU106" i="157"/>
  <c r="AU103" i="157"/>
  <c r="AX113" i="157"/>
  <c r="AU110" i="157"/>
  <c r="AU107" i="157"/>
  <c r="AU104" i="157"/>
  <c r="AU100" i="157"/>
  <c r="AU105" i="157"/>
  <c r="AU108" i="157"/>
  <c r="CP8" i="159" l="1"/>
  <c r="BB38" i="176"/>
  <c r="BC24" i="157"/>
  <c r="CL33" i="176"/>
  <c r="E38" i="159"/>
  <c r="Y61" i="176"/>
  <c r="CL74" i="176"/>
  <c r="CL73" i="176" s="1"/>
  <c r="CP77" i="176"/>
  <c r="Y78" i="176"/>
  <c r="W38" i="159"/>
  <c r="AG38" i="159"/>
  <c r="BP38" i="159"/>
  <c r="Y7" i="159"/>
  <c r="CG5" i="159"/>
  <c r="CL23" i="159"/>
  <c r="Y26" i="159"/>
  <c r="Y33" i="159"/>
  <c r="Y42" i="159"/>
  <c r="BR41" i="159"/>
  <c r="W50" i="159"/>
  <c r="CP50" i="159"/>
  <c r="T51" i="159"/>
  <c r="Y51" i="159"/>
  <c r="CG50" i="159"/>
  <c r="Y58" i="159"/>
  <c r="CK59" i="159"/>
  <c r="CL60" i="159"/>
  <c r="Y62" i="159"/>
  <c r="CK63" i="159"/>
  <c r="CJ78" i="159"/>
  <c r="CL78" i="159" s="1"/>
  <c r="Y78" i="159"/>
  <c r="BH77" i="159"/>
  <c r="CB77" i="159"/>
  <c r="BF38" i="177"/>
  <c r="BV38" i="177"/>
  <c r="R8" i="177"/>
  <c r="T9" i="177"/>
  <c r="Y16" i="177"/>
  <c r="CK16" i="177"/>
  <c r="CJ58" i="177"/>
  <c r="W54" i="177"/>
  <c r="Y59" i="177"/>
  <c r="CJ59" i="177"/>
  <c r="CL59" i="177" s="1"/>
  <c r="AB39" i="175"/>
  <c r="AB75" i="175"/>
  <c r="O8" i="175"/>
  <c r="CJ21" i="175"/>
  <c r="CL21" i="175" s="1"/>
  <c r="CQ21" i="175" s="1"/>
  <c r="CR21" i="175" s="1"/>
  <c r="Y21" i="175"/>
  <c r="CJ48" i="175"/>
  <c r="Y48" i="175"/>
  <c r="CK51" i="175"/>
  <c r="X50" i="175"/>
  <c r="Y51" i="175"/>
  <c r="CJ58" i="175"/>
  <c r="CL58" i="175" s="1"/>
  <c r="Y58" i="175"/>
  <c r="CJ65" i="175"/>
  <c r="Y65" i="175"/>
  <c r="T79" i="167"/>
  <c r="R77" i="167"/>
  <c r="Y13" i="158"/>
  <c r="CJ13" i="158"/>
  <c r="CL13" i="158" s="1"/>
  <c r="J5" i="157"/>
  <c r="AG38" i="176"/>
  <c r="BW5" i="176"/>
  <c r="T11" i="176"/>
  <c r="AD8" i="176"/>
  <c r="T13" i="176"/>
  <c r="J8" i="176"/>
  <c r="Y25" i="176"/>
  <c r="T26" i="176"/>
  <c r="CL27" i="176"/>
  <c r="CL30" i="176"/>
  <c r="Y32" i="176"/>
  <c r="X35" i="176"/>
  <c r="CK44" i="176"/>
  <c r="T46" i="176"/>
  <c r="Y48" i="176"/>
  <c r="Y51" i="176"/>
  <c r="Y55" i="176"/>
  <c r="Y62" i="176"/>
  <c r="T66" i="176"/>
  <c r="S77" i="176"/>
  <c r="T82" i="176"/>
  <c r="X5" i="159"/>
  <c r="AW38" i="159"/>
  <c r="BG38" i="159"/>
  <c r="CP5" i="159"/>
  <c r="CP38" i="159" s="1"/>
  <c r="Y6" i="159"/>
  <c r="Y5" i="159" s="1"/>
  <c r="AN38" i="159"/>
  <c r="AN39" i="159" s="1"/>
  <c r="AX5" i="159"/>
  <c r="Y10" i="159"/>
  <c r="AX8" i="159"/>
  <c r="CL24" i="159"/>
  <c r="T26" i="159"/>
  <c r="CK29" i="159"/>
  <c r="CL29" i="159" s="1"/>
  <c r="T30" i="159"/>
  <c r="T32" i="159"/>
  <c r="X35" i="159"/>
  <c r="T42" i="159"/>
  <c r="AX41" i="159"/>
  <c r="T45" i="159"/>
  <c r="T46" i="159"/>
  <c r="Y48" i="159"/>
  <c r="BH54" i="159"/>
  <c r="BH89" i="159" s="1"/>
  <c r="BI42" i="159" s="1"/>
  <c r="Y57" i="159"/>
  <c r="S54" i="159"/>
  <c r="T61" i="159"/>
  <c r="Y61" i="159"/>
  <c r="CL63" i="159"/>
  <c r="CL69" i="159"/>
  <c r="H38" i="177"/>
  <c r="R5" i="177"/>
  <c r="CF38" i="177"/>
  <c r="E5" i="177"/>
  <c r="E38" i="177" s="1"/>
  <c r="CJ7" i="177"/>
  <c r="CL7" i="177" s="1"/>
  <c r="AI8" i="177"/>
  <c r="AN8" i="177"/>
  <c r="Y14" i="177"/>
  <c r="CJ18" i="177"/>
  <c r="CL18" i="177" s="1"/>
  <c r="Y18" i="177"/>
  <c r="CJ21" i="177"/>
  <c r="CL21" i="177" s="1"/>
  <c r="CJ28" i="177"/>
  <c r="CL28" i="177" s="1"/>
  <c r="CQ28" i="177" s="1"/>
  <c r="CR28" i="177" s="1"/>
  <c r="Y28" i="177"/>
  <c r="X41" i="177"/>
  <c r="CB50" i="177"/>
  <c r="CJ73" i="177"/>
  <c r="CL22" i="175"/>
  <c r="CJ27" i="175"/>
  <c r="CL27" i="175" s="1"/>
  <c r="Y27" i="175"/>
  <c r="J41" i="175"/>
  <c r="E54" i="175"/>
  <c r="BC54" i="175"/>
  <c r="CK57" i="175"/>
  <c r="Y57" i="175"/>
  <c r="X54" i="175"/>
  <c r="CJ59" i="175"/>
  <c r="CL59" i="175" s="1"/>
  <c r="Y59" i="175"/>
  <c r="CK64" i="175"/>
  <c r="CL64" i="175" s="1"/>
  <c r="Y64" i="175"/>
  <c r="CJ66" i="175"/>
  <c r="CL66" i="175" s="1"/>
  <c r="Y66" i="175"/>
  <c r="CJ45" i="174"/>
  <c r="CL45" i="174" s="1"/>
  <c r="Y45" i="174"/>
  <c r="CK41" i="174"/>
  <c r="CJ65" i="174"/>
  <c r="CL65" i="174" s="1"/>
  <c r="Y65" i="174"/>
  <c r="CK63" i="167"/>
  <c r="Y63" i="167"/>
  <c r="Y19" i="176"/>
  <c r="Y28" i="176"/>
  <c r="W41" i="176"/>
  <c r="Y58" i="176"/>
  <c r="CL30" i="159"/>
  <c r="CL62" i="159"/>
  <c r="CJ65" i="159"/>
  <c r="CL65" i="159" s="1"/>
  <c r="CL67" i="159"/>
  <c r="Y85" i="159"/>
  <c r="CJ9" i="177"/>
  <c r="Y9" i="177"/>
  <c r="T20" i="177"/>
  <c r="CL26" i="177"/>
  <c r="M38" i="175"/>
  <c r="CJ32" i="175"/>
  <c r="CL32" i="175" s="1"/>
  <c r="Y32" i="175"/>
  <c r="CP54" i="175"/>
  <c r="CQ57" i="175"/>
  <c r="CK54" i="175"/>
  <c r="CJ67" i="175"/>
  <c r="CL67" i="175" s="1"/>
  <c r="Y67" i="175"/>
  <c r="S8" i="167"/>
  <c r="CK27" i="167"/>
  <c r="CL27" i="167" s="1"/>
  <c r="Y27" i="167"/>
  <c r="CK29" i="167"/>
  <c r="Y29" i="167"/>
  <c r="CJ48" i="167"/>
  <c r="CL48" i="167" s="1"/>
  <c r="Y48" i="167"/>
  <c r="BR8" i="176"/>
  <c r="CL28" i="176"/>
  <c r="M38" i="176"/>
  <c r="AQ38" i="176"/>
  <c r="BG38" i="176"/>
  <c r="Y15" i="176"/>
  <c r="CL20" i="176"/>
  <c r="H38" i="176"/>
  <c r="N75" i="176"/>
  <c r="AL38" i="176"/>
  <c r="BQ38" i="176"/>
  <c r="AS5" i="176"/>
  <c r="CL11" i="176"/>
  <c r="Y13" i="176"/>
  <c r="T16" i="176"/>
  <c r="Y17" i="176"/>
  <c r="T19" i="176"/>
  <c r="CL25" i="176"/>
  <c r="Y26" i="176"/>
  <c r="T27" i="176"/>
  <c r="Y30" i="176"/>
  <c r="CJ32" i="176"/>
  <c r="CL32" i="176" s="1"/>
  <c r="Y33" i="176"/>
  <c r="Y42" i="176"/>
  <c r="CK45" i="176"/>
  <c r="CL45" i="176" s="1"/>
  <c r="Y47" i="176"/>
  <c r="T65" i="176"/>
  <c r="Y66" i="176"/>
  <c r="Y70" i="176"/>
  <c r="Y82" i="176"/>
  <c r="T85" i="176"/>
  <c r="CL85" i="176"/>
  <c r="C38" i="159"/>
  <c r="I38" i="159"/>
  <c r="R38" i="159"/>
  <c r="BV38" i="159"/>
  <c r="AD38" i="159"/>
  <c r="BR38" i="159"/>
  <c r="CB5" i="159"/>
  <c r="CJ10" i="159"/>
  <c r="CL11" i="159"/>
  <c r="S35" i="159"/>
  <c r="O41" i="159"/>
  <c r="CL48" i="159"/>
  <c r="CP54" i="159"/>
  <c r="Y56" i="159"/>
  <c r="CL61" i="159"/>
  <c r="T64" i="159"/>
  <c r="X5" i="177"/>
  <c r="X38" i="177" s="1"/>
  <c r="CK6" i="177"/>
  <c r="CK5" i="177" s="1"/>
  <c r="CK9" i="177"/>
  <c r="X8" i="177"/>
  <c r="CJ36" i="177"/>
  <c r="W35" i="177"/>
  <c r="R50" i="177"/>
  <c r="T51" i="177"/>
  <c r="T50" i="177" s="1"/>
  <c r="CL67" i="177"/>
  <c r="CL71" i="177"/>
  <c r="CK77" i="177"/>
  <c r="E8" i="175"/>
  <c r="E38" i="175" s="1"/>
  <c r="CJ12" i="175"/>
  <c r="CL12" i="175" s="1"/>
  <c r="CQ12" i="175" s="1"/>
  <c r="CR12" i="175" s="1"/>
  <c r="Y12" i="175"/>
  <c r="CJ15" i="175"/>
  <c r="Y15" i="175"/>
  <c r="CJ46" i="175"/>
  <c r="Y46" i="175"/>
  <c r="CG54" i="175"/>
  <c r="AV25" i="157"/>
  <c r="AX25" i="157" s="1"/>
  <c r="AX25" i="171"/>
  <c r="W25" i="171"/>
  <c r="X54" i="171"/>
  <c r="CG77" i="159"/>
  <c r="BZ38" i="177"/>
  <c r="AI5" i="177"/>
  <c r="AI38" i="177" s="1"/>
  <c r="O5" i="177"/>
  <c r="O38" i="177" s="1"/>
  <c r="Y10" i="177"/>
  <c r="CG8" i="177"/>
  <c r="Y19" i="177"/>
  <c r="Y27" i="177"/>
  <c r="CL32" i="177"/>
  <c r="CQ32" i="177" s="1"/>
  <c r="CR32" i="177" s="1"/>
  <c r="T33" i="177"/>
  <c r="E41" i="177"/>
  <c r="S41" i="177"/>
  <c r="T55" i="177"/>
  <c r="Y71" i="177"/>
  <c r="AC38" i="175"/>
  <c r="AC75" i="175" s="1"/>
  <c r="CL7" i="175"/>
  <c r="AN8" i="175"/>
  <c r="Y13" i="175"/>
  <c r="T28" i="175"/>
  <c r="T29" i="175"/>
  <c r="T30" i="175"/>
  <c r="T31" i="175"/>
  <c r="T33" i="175"/>
  <c r="BH41" i="175"/>
  <c r="CL56" i="175"/>
  <c r="CL62" i="175"/>
  <c r="AI5" i="174"/>
  <c r="CJ22" i="174"/>
  <c r="CL22" i="174" s="1"/>
  <c r="Y22" i="174"/>
  <c r="S41" i="174"/>
  <c r="AS41" i="174"/>
  <c r="CK70" i="174"/>
  <c r="CL70" i="174" s="1"/>
  <c r="Y70" i="174"/>
  <c r="CK19" i="167"/>
  <c r="Y19" i="167"/>
  <c r="CL29" i="167"/>
  <c r="CJ45" i="167"/>
  <c r="Y45" i="167"/>
  <c r="W41" i="167"/>
  <c r="O54" i="167"/>
  <c r="CJ65" i="167"/>
  <c r="CL65" i="167" s="1"/>
  <c r="Y65" i="167"/>
  <c r="Y78" i="167"/>
  <c r="CJ78" i="167"/>
  <c r="AI56" i="158"/>
  <c r="AG56" i="157"/>
  <c r="AI56" i="157" s="1"/>
  <c r="AG62" i="157"/>
  <c r="AI62" i="157" s="1"/>
  <c r="AI62" i="158"/>
  <c r="CK70" i="158"/>
  <c r="CL70" i="158" s="1"/>
  <c r="Y70" i="158"/>
  <c r="T67" i="159"/>
  <c r="T71" i="159"/>
  <c r="CL74" i="159"/>
  <c r="CL73" i="159" s="1"/>
  <c r="J77" i="159"/>
  <c r="Y82" i="159"/>
  <c r="T85" i="159"/>
  <c r="CL85" i="159"/>
  <c r="CA38" i="177"/>
  <c r="CP38" i="177"/>
  <c r="J5" i="177"/>
  <c r="AN5" i="177"/>
  <c r="AN38" i="177" s="1"/>
  <c r="BH5" i="177"/>
  <c r="CB5" i="177"/>
  <c r="T7" i="177"/>
  <c r="CG5" i="177"/>
  <c r="CG38" i="177" s="1"/>
  <c r="BR8" i="177"/>
  <c r="CK10" i="177"/>
  <c r="T11" i="177"/>
  <c r="Y12" i="177"/>
  <c r="Y13" i="177"/>
  <c r="T17" i="177"/>
  <c r="Y22" i="177"/>
  <c r="CL30" i="177"/>
  <c r="CQ30" i="177" s="1"/>
  <c r="CR30" i="177" s="1"/>
  <c r="Y31" i="177"/>
  <c r="X35" i="177"/>
  <c r="T36" i="177"/>
  <c r="T35" i="177" s="1"/>
  <c r="J41" i="177"/>
  <c r="Y42" i="177"/>
  <c r="J54" i="177"/>
  <c r="AN54" i="177"/>
  <c r="T59" i="177"/>
  <c r="T64" i="177"/>
  <c r="T69" i="177"/>
  <c r="I38" i="175"/>
  <c r="BZ38" i="175"/>
  <c r="O5" i="175"/>
  <c r="BW5" i="175"/>
  <c r="W8" i="175"/>
  <c r="BL38" i="175"/>
  <c r="BL75" i="175" s="1"/>
  <c r="X8" i="175"/>
  <c r="Y19" i="175"/>
  <c r="Y22" i="175"/>
  <c r="CL33" i="175"/>
  <c r="T48" i="175"/>
  <c r="W50" i="175"/>
  <c r="BR50" i="175"/>
  <c r="T78" i="175"/>
  <c r="O8" i="174"/>
  <c r="BW8" i="174"/>
  <c r="BW38" i="174" s="1"/>
  <c r="BW39" i="174" s="1"/>
  <c r="Y31" i="174"/>
  <c r="CJ31" i="174"/>
  <c r="CL31" i="174" s="1"/>
  <c r="J41" i="174"/>
  <c r="CJ42" i="174"/>
  <c r="CL42" i="174" s="1"/>
  <c r="Y42" i="174"/>
  <c r="E41" i="174"/>
  <c r="BW54" i="174"/>
  <c r="CJ68" i="174"/>
  <c r="Y68" i="174"/>
  <c r="CG8" i="167"/>
  <c r="CJ13" i="167"/>
  <c r="CL13" i="167" s="1"/>
  <c r="Y13" i="167"/>
  <c r="J41" i="167"/>
  <c r="X54" i="167"/>
  <c r="CK55" i="167"/>
  <c r="CJ57" i="167"/>
  <c r="CL57" i="167" s="1"/>
  <c r="Y57" i="167"/>
  <c r="AD54" i="167"/>
  <c r="AX54" i="167"/>
  <c r="BR54" i="167"/>
  <c r="CK66" i="167"/>
  <c r="Y66" i="167"/>
  <c r="BH54" i="171"/>
  <c r="E54" i="171"/>
  <c r="CQ44" i="158"/>
  <c r="CP41" i="158"/>
  <c r="CL27" i="177"/>
  <c r="CQ27" i="177" s="1"/>
  <c r="CR27" i="177" s="1"/>
  <c r="Y57" i="177"/>
  <c r="T61" i="177"/>
  <c r="T65" i="177"/>
  <c r="Y67" i="177"/>
  <c r="T68" i="177"/>
  <c r="T70" i="177"/>
  <c r="X77" i="177"/>
  <c r="BM77" i="177"/>
  <c r="Y82" i="177"/>
  <c r="W5" i="175"/>
  <c r="CA38" i="175"/>
  <c r="T10" i="175"/>
  <c r="T11" i="175"/>
  <c r="T22" i="175"/>
  <c r="Y24" i="175"/>
  <c r="T26" i="175"/>
  <c r="E41" i="175"/>
  <c r="AD41" i="175"/>
  <c r="CL51" i="175"/>
  <c r="T52" i="175"/>
  <c r="Y52" i="175"/>
  <c r="T55" i="175"/>
  <c r="T60" i="175"/>
  <c r="T61" i="175"/>
  <c r="T69" i="175"/>
  <c r="AG38" i="174"/>
  <c r="BK38" i="174"/>
  <c r="Y7" i="174"/>
  <c r="BM5" i="174"/>
  <c r="CL12" i="174"/>
  <c r="CL16" i="174"/>
  <c r="CL20" i="174"/>
  <c r="CJ35" i="174"/>
  <c r="CL36" i="174"/>
  <c r="T46" i="174"/>
  <c r="AX54" i="174"/>
  <c r="CJ58" i="174"/>
  <c r="CL58" i="174" s="1"/>
  <c r="Y58" i="174"/>
  <c r="CP77" i="174"/>
  <c r="CQ78" i="174"/>
  <c r="BL38" i="167"/>
  <c r="BL75" i="167" s="1"/>
  <c r="BR8" i="167"/>
  <c r="CK42" i="167"/>
  <c r="Y42" i="167"/>
  <c r="CK46" i="167"/>
  <c r="CL46" i="167" s="1"/>
  <c r="Y46" i="167"/>
  <c r="CK62" i="167"/>
  <c r="Y62" i="167"/>
  <c r="CK71" i="167"/>
  <c r="Y71" i="167"/>
  <c r="BM5" i="171"/>
  <c r="T15" i="171"/>
  <c r="S8" i="171"/>
  <c r="T43" i="171"/>
  <c r="R41" i="171"/>
  <c r="AS54" i="171"/>
  <c r="CG54" i="171"/>
  <c r="CJ68" i="171"/>
  <c r="CL68" i="171" s="1"/>
  <c r="Y68" i="171"/>
  <c r="AN36" i="158"/>
  <c r="AN35" i="158" s="1"/>
  <c r="AL36" i="157"/>
  <c r="AL35" i="158"/>
  <c r="O38" i="174"/>
  <c r="AL38" i="174"/>
  <c r="AL75" i="174" s="1"/>
  <c r="AL76" i="174" s="1"/>
  <c r="BF38" i="174"/>
  <c r="BF75" i="174" s="1"/>
  <c r="BU38" i="174"/>
  <c r="Y9" i="174"/>
  <c r="R8" i="174"/>
  <c r="CL11" i="174"/>
  <c r="BM8" i="174"/>
  <c r="T12" i="174"/>
  <c r="T13" i="174"/>
  <c r="Y13" i="174"/>
  <c r="T14" i="174"/>
  <c r="T15" i="174"/>
  <c r="Y15" i="174"/>
  <c r="T16" i="174"/>
  <c r="T17" i="174"/>
  <c r="Y17" i="174"/>
  <c r="T18" i="174"/>
  <c r="T19" i="174"/>
  <c r="Y19" i="174"/>
  <c r="T20" i="174"/>
  <c r="T21" i="174"/>
  <c r="Y21" i="174"/>
  <c r="Y24" i="174"/>
  <c r="T27" i="174"/>
  <c r="Y30" i="174"/>
  <c r="T33" i="174"/>
  <c r="T44" i="174"/>
  <c r="O41" i="174"/>
  <c r="W41" i="174"/>
  <c r="T55" i="174"/>
  <c r="CL60" i="174"/>
  <c r="T61" i="174"/>
  <c r="T66" i="174"/>
  <c r="Y69" i="174"/>
  <c r="Y82" i="174"/>
  <c r="N38" i="167"/>
  <c r="BU38" i="167"/>
  <c r="E5" i="167"/>
  <c r="BC5" i="167"/>
  <c r="BW5" i="167"/>
  <c r="T7" i="167"/>
  <c r="T5" i="167" s="1"/>
  <c r="BC8" i="167"/>
  <c r="BC89" i="167" s="1"/>
  <c r="BD9" i="167" s="1"/>
  <c r="CJ9" i="167"/>
  <c r="Y10" i="167"/>
  <c r="T11" i="167"/>
  <c r="AD8" i="167"/>
  <c r="AD89" i="167" s="1"/>
  <c r="CL11" i="167"/>
  <c r="CL16" i="167"/>
  <c r="CL20" i="167"/>
  <c r="CQ20" i="167" s="1"/>
  <c r="CR20" i="167" s="1"/>
  <c r="CL23" i="167"/>
  <c r="CL24" i="167"/>
  <c r="T27" i="167"/>
  <c r="CL44" i="167"/>
  <c r="S41" i="167"/>
  <c r="D38" i="171"/>
  <c r="D75" i="171" s="1"/>
  <c r="AD5" i="171"/>
  <c r="CL13" i="171"/>
  <c r="CL17" i="171"/>
  <c r="CJ47" i="171"/>
  <c r="CL47" i="171" s="1"/>
  <c r="Y47" i="171"/>
  <c r="CJ70" i="171"/>
  <c r="Y70" i="171"/>
  <c r="CP54" i="171"/>
  <c r="CG38" i="158"/>
  <c r="E5" i="158"/>
  <c r="E8" i="158"/>
  <c r="S8" i="158"/>
  <c r="AH8" i="158"/>
  <c r="CL26" i="158"/>
  <c r="R41" i="174"/>
  <c r="BM41" i="174"/>
  <c r="CL66" i="174"/>
  <c r="AR38" i="167"/>
  <c r="AN8" i="167"/>
  <c r="AN102" i="157"/>
  <c r="CL51" i="167"/>
  <c r="T59" i="167"/>
  <c r="CL62" i="167"/>
  <c r="CL69" i="167"/>
  <c r="CL71" i="167"/>
  <c r="W73" i="167"/>
  <c r="AL75" i="167"/>
  <c r="T77" i="167"/>
  <c r="AD77" i="167"/>
  <c r="J77" i="167"/>
  <c r="S38" i="171"/>
  <c r="BA5" i="171"/>
  <c r="BA38" i="171" s="1"/>
  <c r="BA75" i="171" s="1"/>
  <c r="BA81" i="171" s="1"/>
  <c r="BA83" i="171" s="1"/>
  <c r="BA84" i="171" s="1"/>
  <c r="BA86" i="171" s="1"/>
  <c r="BA87" i="171" s="1"/>
  <c r="BA6" i="157"/>
  <c r="X8" i="171"/>
  <c r="CL14" i="171"/>
  <c r="CK41" i="171"/>
  <c r="BM41" i="171"/>
  <c r="CQ52" i="171"/>
  <c r="CP50" i="171"/>
  <c r="O54" i="171"/>
  <c r="CB54" i="171"/>
  <c r="CL66" i="171"/>
  <c r="CQ71" i="171"/>
  <c r="M38" i="158"/>
  <c r="Y18" i="158"/>
  <c r="CJ18" i="158"/>
  <c r="CL18" i="158" s="1"/>
  <c r="W27" i="158"/>
  <c r="AG27" i="157"/>
  <c r="AI27" i="157" s="1"/>
  <c r="AW30" i="157"/>
  <c r="AW8" i="158"/>
  <c r="AX30" i="158"/>
  <c r="AX8" i="158" s="1"/>
  <c r="AX38" i="158" s="1"/>
  <c r="AX39" i="158" s="1"/>
  <c r="AV38" i="174"/>
  <c r="AV75" i="174" s="1"/>
  <c r="CE38" i="174"/>
  <c r="T7" i="174"/>
  <c r="T5" i="174" s="1"/>
  <c r="Y12" i="174"/>
  <c r="CL13" i="174"/>
  <c r="Y14" i="174"/>
  <c r="CL15" i="174"/>
  <c r="Y16" i="174"/>
  <c r="CL17" i="174"/>
  <c r="Y18" i="174"/>
  <c r="CL19" i="174"/>
  <c r="Y20" i="174"/>
  <c r="CL21" i="174"/>
  <c r="W25" i="174"/>
  <c r="CJ25" i="174" s="1"/>
  <c r="BA25" i="157"/>
  <c r="BC25" i="157" s="1"/>
  <c r="Y27" i="174"/>
  <c r="T30" i="174"/>
  <c r="Y33" i="174"/>
  <c r="T36" i="174"/>
  <c r="T35" i="174" s="1"/>
  <c r="Y47" i="174"/>
  <c r="BH54" i="174"/>
  <c r="Y57" i="174"/>
  <c r="Y60" i="174"/>
  <c r="T63" i="174"/>
  <c r="T67" i="174"/>
  <c r="CK69" i="174"/>
  <c r="C38" i="167"/>
  <c r="AV38" i="167"/>
  <c r="BB38" i="167"/>
  <c r="BZ38" i="167"/>
  <c r="O5" i="167"/>
  <c r="AS5" i="167"/>
  <c r="CG5" i="167"/>
  <c r="CB5" i="167"/>
  <c r="CB38" i="167" s="1"/>
  <c r="R8" i="167"/>
  <c r="CJ10" i="167"/>
  <c r="CL10" i="167" s="1"/>
  <c r="Y11" i="167"/>
  <c r="T14" i="167"/>
  <c r="CJ14" i="167"/>
  <c r="CL14" i="167" s="1"/>
  <c r="CL19" i="167"/>
  <c r="Y20" i="167"/>
  <c r="Y23" i="167"/>
  <c r="W25" i="167"/>
  <c r="AQ25" i="157"/>
  <c r="AS25" i="157" s="1"/>
  <c r="T26" i="167"/>
  <c r="T30" i="167"/>
  <c r="Y31" i="167"/>
  <c r="T32" i="167"/>
  <c r="BH41" i="167"/>
  <c r="Y44" i="167"/>
  <c r="CP54" i="167"/>
  <c r="T57" i="167"/>
  <c r="CL66" i="167"/>
  <c r="T70" i="167"/>
  <c r="CJ74" i="167"/>
  <c r="CJ73" i="167" s="1"/>
  <c r="X77" i="167"/>
  <c r="E77" i="167"/>
  <c r="CG77" i="167"/>
  <c r="N38" i="171"/>
  <c r="AQ5" i="171"/>
  <c r="AQ38" i="171" s="1"/>
  <c r="AQ6" i="157"/>
  <c r="J8" i="171"/>
  <c r="CL15" i="171"/>
  <c r="T19" i="171"/>
  <c r="T20" i="171"/>
  <c r="T22" i="171"/>
  <c r="CJ31" i="171"/>
  <c r="Y31" i="171"/>
  <c r="CL32" i="171"/>
  <c r="CQ32" i="171" s="1"/>
  <c r="CR32" i="171" s="1"/>
  <c r="CJ45" i="171"/>
  <c r="Y45" i="171"/>
  <c r="Y52" i="171"/>
  <c r="CJ52" i="171"/>
  <c r="CL52" i="171" s="1"/>
  <c r="CL56" i="171"/>
  <c r="T57" i="171"/>
  <c r="Y57" i="171"/>
  <c r="Y71" i="171"/>
  <c r="CJ71" i="171"/>
  <c r="E77" i="171"/>
  <c r="T79" i="171"/>
  <c r="BW8" i="158"/>
  <c r="BW38" i="158" s="1"/>
  <c r="BW39" i="158" s="1"/>
  <c r="T17" i="158"/>
  <c r="Y25" i="158"/>
  <c r="CJ25" i="158"/>
  <c r="CL25" i="158" s="1"/>
  <c r="T30" i="171"/>
  <c r="CL31" i="171"/>
  <c r="CQ31" i="171" s="1"/>
  <c r="CR31" i="171" s="1"/>
  <c r="T56" i="171"/>
  <c r="CL60" i="171"/>
  <c r="T62" i="171"/>
  <c r="W5" i="158"/>
  <c r="AR38" i="158"/>
  <c r="BV38" i="158"/>
  <c r="X6" i="158"/>
  <c r="AM6" i="157"/>
  <c r="AM5" i="157" s="1"/>
  <c r="Y7" i="158"/>
  <c r="BH5" i="158"/>
  <c r="AM9" i="157"/>
  <c r="AN9" i="157" s="1"/>
  <c r="AM104" i="157"/>
  <c r="AM94" i="157" s="1"/>
  <c r="T19" i="158"/>
  <c r="CL24" i="158"/>
  <c r="T29" i="158"/>
  <c r="T31" i="158"/>
  <c r="CQ41" i="158"/>
  <c r="Y51" i="158"/>
  <c r="CJ51" i="158"/>
  <c r="CJ50" i="158" s="1"/>
  <c r="W55" i="158"/>
  <c r="AB55" i="157"/>
  <c r="AD55" i="157" s="1"/>
  <c r="AD55" i="158"/>
  <c r="AN55" i="158"/>
  <c r="AM55" i="157"/>
  <c r="AN55" i="157" s="1"/>
  <c r="AM54" i="158"/>
  <c r="BH54" i="158"/>
  <c r="E54" i="158"/>
  <c r="T56" i="158"/>
  <c r="AI64" i="158"/>
  <c r="AG64" i="157"/>
  <c r="C38" i="157"/>
  <c r="M38" i="157"/>
  <c r="Y23" i="171"/>
  <c r="T26" i="171"/>
  <c r="T28" i="171"/>
  <c r="T33" i="171"/>
  <c r="CP41" i="171"/>
  <c r="T51" i="171"/>
  <c r="CQ50" i="171"/>
  <c r="CP77" i="171"/>
  <c r="T85" i="171"/>
  <c r="CL85" i="171"/>
  <c r="CB8" i="158"/>
  <c r="Y10" i="158"/>
  <c r="CL12" i="158"/>
  <c r="T13" i="158"/>
  <c r="O8" i="158"/>
  <c r="T18" i="158"/>
  <c r="CL22" i="158"/>
  <c r="Y23" i="158"/>
  <c r="T25" i="158"/>
  <c r="T28" i="158"/>
  <c r="AD28" i="158"/>
  <c r="AN28" i="158"/>
  <c r="Y29" i="158"/>
  <c r="BC30" i="158"/>
  <c r="BB30" i="157"/>
  <c r="BB8" i="157" s="1"/>
  <c r="BB38" i="157" s="1"/>
  <c r="BA62" i="157"/>
  <c r="BC62" i="157" s="1"/>
  <c r="BA54" i="158"/>
  <c r="BC62" i="158"/>
  <c r="W71" i="158"/>
  <c r="AB71" i="157"/>
  <c r="AD71" i="157" s="1"/>
  <c r="X77" i="158"/>
  <c r="CK79" i="158"/>
  <c r="CK77" i="158" s="1"/>
  <c r="BB38" i="158"/>
  <c r="T7" i="158"/>
  <c r="T5" i="158" s="1"/>
  <c r="AD5" i="158"/>
  <c r="BR5" i="158"/>
  <c r="T9" i="158"/>
  <c r="AS9" i="158"/>
  <c r="AR9" i="157"/>
  <c r="AS9" i="157" s="1"/>
  <c r="T15" i="158"/>
  <c r="CL19" i="158"/>
  <c r="T21" i="158"/>
  <c r="X27" i="158"/>
  <c r="CK27" i="158" s="1"/>
  <c r="AM27" i="157"/>
  <c r="AS30" i="158"/>
  <c r="AR30" i="157"/>
  <c r="AS30" i="157" s="1"/>
  <c r="T33" i="158"/>
  <c r="AS41" i="158"/>
  <c r="BM41" i="158"/>
  <c r="Y43" i="158"/>
  <c r="CQ51" i="158"/>
  <c r="CP50" i="158"/>
  <c r="T52" i="158"/>
  <c r="AB57" i="157"/>
  <c r="AD57" i="157" s="1"/>
  <c r="W57" i="158"/>
  <c r="Y58" i="158"/>
  <c r="CK58" i="158"/>
  <c r="CL58" i="158" s="1"/>
  <c r="AQ62" i="157"/>
  <c r="AS62" i="158"/>
  <c r="CJ63" i="158"/>
  <c r="CL63" i="158" s="1"/>
  <c r="Y63" i="158"/>
  <c r="R50" i="158"/>
  <c r="BR50" i="158"/>
  <c r="Y52" i="158"/>
  <c r="AI57" i="158"/>
  <c r="AG57" i="157"/>
  <c r="CL67" i="158"/>
  <c r="Y69" i="158"/>
  <c r="T70" i="158"/>
  <c r="T71" i="158"/>
  <c r="CL74" i="158"/>
  <c r="CL73" i="158" s="1"/>
  <c r="BH5" i="157"/>
  <c r="W7" i="157"/>
  <c r="X44" i="157"/>
  <c r="BQ41" i="157"/>
  <c r="X50" i="158"/>
  <c r="AD56" i="158"/>
  <c r="AB56" i="157"/>
  <c r="W62" i="158"/>
  <c r="AB62" i="157"/>
  <c r="AN64" i="158"/>
  <c r="T5" i="157"/>
  <c r="J8" i="157"/>
  <c r="BR6" i="157"/>
  <c r="AN7" i="157"/>
  <c r="BR7" i="157"/>
  <c r="CB7" i="157"/>
  <c r="BV8" i="157"/>
  <c r="AD10" i="157"/>
  <c r="AM8" i="157"/>
  <c r="BH10" i="157"/>
  <c r="BQ8" i="157"/>
  <c r="BQ38" i="157" s="1"/>
  <c r="BC12" i="157"/>
  <c r="AS16" i="157"/>
  <c r="CG16" i="157"/>
  <c r="AN18" i="157"/>
  <c r="BR18" i="157"/>
  <c r="AS20" i="157"/>
  <c r="CG20" i="157"/>
  <c r="AV47" i="157"/>
  <c r="AX47" i="157" s="1"/>
  <c r="CG50" i="157"/>
  <c r="AR55" i="157"/>
  <c r="AS11" i="157"/>
  <c r="BW11" i="157"/>
  <c r="AD13" i="157"/>
  <c r="BW15" i="157"/>
  <c r="BH17" i="157"/>
  <c r="BH21" i="157"/>
  <c r="CG22" i="157"/>
  <c r="CB23" i="157"/>
  <c r="BW24" i="157"/>
  <c r="X7" i="157"/>
  <c r="AX9" i="157"/>
  <c r="BG8" i="157"/>
  <c r="AS10" i="157"/>
  <c r="AN11" i="157"/>
  <c r="AX11" i="157"/>
  <c r="BR11" i="157"/>
  <c r="CB11" i="157"/>
  <c r="T13" i="157"/>
  <c r="AI13" i="157"/>
  <c r="BC13" i="157"/>
  <c r="CG13" i="157"/>
  <c r="AN15" i="157"/>
  <c r="AX15" i="157"/>
  <c r="CB15" i="157"/>
  <c r="T17" i="157"/>
  <c r="AI17" i="157"/>
  <c r="BM17" i="157"/>
  <c r="CG17" i="157"/>
  <c r="AN19" i="157"/>
  <c r="AX19" i="157"/>
  <c r="BR19" i="157"/>
  <c r="CB19" i="157"/>
  <c r="AI21" i="157"/>
  <c r="BC21" i="157"/>
  <c r="BM21" i="157"/>
  <c r="CG21" i="157"/>
  <c r="AX22" i="157"/>
  <c r="BH22" i="157"/>
  <c r="CB22" i="157"/>
  <c r="AS23" i="157"/>
  <c r="BC23" i="157"/>
  <c r="CG23" i="157"/>
  <c r="BR24" i="157"/>
  <c r="CB24" i="157"/>
  <c r="AI25" i="157"/>
  <c r="BM25" i="157"/>
  <c r="BW25" i="157"/>
  <c r="AD26" i="157"/>
  <c r="BH26" i="157"/>
  <c r="T27" i="157"/>
  <c r="BC27" i="157"/>
  <c r="BM27" i="157"/>
  <c r="CG27" i="157"/>
  <c r="AX28" i="157"/>
  <c r="BH28" i="157"/>
  <c r="CB28" i="157"/>
  <c r="AS29" i="157"/>
  <c r="BC29" i="157"/>
  <c r="BW29" i="157"/>
  <c r="CG29" i="157"/>
  <c r="AN30" i="157"/>
  <c r="AX30" i="157"/>
  <c r="BR30" i="157"/>
  <c r="CB30" i="157"/>
  <c r="AI31" i="157"/>
  <c r="BM31" i="157"/>
  <c r="BW31" i="157"/>
  <c r="AD32" i="157"/>
  <c r="BH32" i="157"/>
  <c r="BR32" i="157"/>
  <c r="T33" i="157"/>
  <c r="AI33" i="157"/>
  <c r="BC33" i="157"/>
  <c r="BM33" i="157"/>
  <c r="CG33" i="157"/>
  <c r="AD36" i="157"/>
  <c r="AX36" i="157"/>
  <c r="AX35" i="157" s="1"/>
  <c r="BR42" i="157"/>
  <c r="CB42" i="157"/>
  <c r="AS43" i="157"/>
  <c r="BW43" i="157"/>
  <c r="AN44" i="157"/>
  <c r="BR44" i="157"/>
  <c r="AI45" i="157"/>
  <c r="BC45" i="157"/>
  <c r="BM45" i="157"/>
  <c r="CG45" i="157"/>
  <c r="AX46" i="157"/>
  <c r="CB46" i="157"/>
  <c r="T47" i="157"/>
  <c r="AS47" i="157"/>
  <c r="BC47" i="157"/>
  <c r="BW47" i="157"/>
  <c r="CG47" i="157"/>
  <c r="AN48" i="157"/>
  <c r="AX48" i="157"/>
  <c r="CB48" i="157"/>
  <c r="AR54" i="157"/>
  <c r="AI85" i="157"/>
  <c r="AS85" i="157"/>
  <c r="BW85" i="157"/>
  <c r="BG77" i="157"/>
  <c r="X82" i="157"/>
  <c r="BM82" i="157"/>
  <c r="W85" i="157"/>
  <c r="AI51" i="157"/>
  <c r="AS51" i="157"/>
  <c r="BW51" i="157"/>
  <c r="AN52" i="157"/>
  <c r="BR52" i="157"/>
  <c r="BC55" i="157"/>
  <c r="AX56" i="157"/>
  <c r="CB56" i="157"/>
  <c r="AS57" i="157"/>
  <c r="BW57" i="157"/>
  <c r="BR58" i="157"/>
  <c r="BM59" i="157"/>
  <c r="CG59" i="157"/>
  <c r="BH60" i="157"/>
  <c r="AS61" i="157"/>
  <c r="BC61" i="157"/>
  <c r="CB62" i="157"/>
  <c r="AI63" i="157"/>
  <c r="AS63" i="157"/>
  <c r="BW63" i="157"/>
  <c r="BH64" i="157"/>
  <c r="W65" i="157"/>
  <c r="BM65" i="157"/>
  <c r="AX66" i="157"/>
  <c r="BH66" i="157"/>
  <c r="CB66" i="157"/>
  <c r="AS67" i="157"/>
  <c r="BC67" i="157"/>
  <c r="BW67" i="157"/>
  <c r="CG67" i="157"/>
  <c r="AX68" i="157"/>
  <c r="BR68" i="157"/>
  <c r="CB68" i="157"/>
  <c r="BM69" i="157"/>
  <c r="AN70" i="157"/>
  <c r="BH70" i="157"/>
  <c r="AI71" i="157"/>
  <c r="BC71" i="157"/>
  <c r="BM71" i="157"/>
  <c r="CG71" i="157"/>
  <c r="BM78" i="157"/>
  <c r="BM77" i="157" s="1"/>
  <c r="S8" i="157"/>
  <c r="W11" i="157"/>
  <c r="Y11" i="157" s="1"/>
  <c r="BH36" i="157"/>
  <c r="BF35" i="157"/>
  <c r="BU35" i="157"/>
  <c r="BW36" i="157"/>
  <c r="AX42" i="157"/>
  <c r="AV41" i="157"/>
  <c r="BC52" i="157"/>
  <c r="BA50" i="157"/>
  <c r="CG55" i="157"/>
  <c r="CE54" i="157"/>
  <c r="AI59" i="157"/>
  <c r="W59" i="157"/>
  <c r="CJ59" i="157" s="1"/>
  <c r="AD60" i="157"/>
  <c r="W60" i="157"/>
  <c r="CJ60" i="157" s="1"/>
  <c r="W66" i="157"/>
  <c r="AD66" i="157"/>
  <c r="W74" i="157"/>
  <c r="AB73" i="157"/>
  <c r="AW8" i="157"/>
  <c r="AW38" i="157" s="1"/>
  <c r="AW39" i="157" s="1"/>
  <c r="AX51" i="157"/>
  <c r="AX50" i="157" s="1"/>
  <c r="CG7" i="157"/>
  <c r="CG5" i="157" s="1"/>
  <c r="AS12" i="157"/>
  <c r="BW12" i="157"/>
  <c r="AS14" i="157"/>
  <c r="BH16" i="157"/>
  <c r="W47" i="157"/>
  <c r="CJ47" i="157" s="1"/>
  <c r="BM51" i="157"/>
  <c r="BK50" i="157"/>
  <c r="BA8" i="157"/>
  <c r="BC11" i="157"/>
  <c r="CB36" i="157"/>
  <c r="CB35" i="157" s="1"/>
  <c r="BZ35" i="157"/>
  <c r="T10" i="157"/>
  <c r="BW9" i="157"/>
  <c r="CE50" i="157"/>
  <c r="AI65" i="157"/>
  <c r="BR5" i="157"/>
  <c r="X10" i="157"/>
  <c r="T11" i="157"/>
  <c r="R8" i="157"/>
  <c r="R38" i="157" s="1"/>
  <c r="X12" i="157"/>
  <c r="AL41" i="157"/>
  <c r="BM36" i="157"/>
  <c r="BM35" i="157" s="1"/>
  <c r="AX6" i="157"/>
  <c r="CB6" i="157"/>
  <c r="CB5" i="157" s="1"/>
  <c r="AX7" i="157"/>
  <c r="BH9" i="157"/>
  <c r="AN10" i="157"/>
  <c r="BR10" i="157"/>
  <c r="T12" i="157"/>
  <c r="T16" i="157"/>
  <c r="BC18" i="157"/>
  <c r="AQ54" i="157"/>
  <c r="BF8" i="157"/>
  <c r="BF38" i="157" s="1"/>
  <c r="AN82" i="157"/>
  <c r="Y12" i="157"/>
  <c r="BU8" i="157"/>
  <c r="BU38" i="157" s="1"/>
  <c r="BU39" i="157" s="1"/>
  <c r="CG12" i="157"/>
  <c r="T14" i="157"/>
  <c r="AN16" i="157"/>
  <c r="CG18" i="157"/>
  <c r="X24" i="157"/>
  <c r="CK24" i="157" s="1"/>
  <c r="AD5" i="157"/>
  <c r="BK77" i="157"/>
  <c r="AD85" i="157"/>
  <c r="BW16" i="157"/>
  <c r="AZ98" i="157"/>
  <c r="AZ108" i="157"/>
  <c r="AZ95" i="157"/>
  <c r="AZ109" i="157"/>
  <c r="AZ101" i="157"/>
  <c r="AZ106" i="157"/>
  <c r="AZ103" i="157"/>
  <c r="AZ104" i="157"/>
  <c r="AZ96" i="157"/>
  <c r="AZ99" i="157"/>
  <c r="AZ110" i="157"/>
  <c r="AZ94" i="157"/>
  <c r="AZ102" i="157"/>
  <c r="AZ97" i="157"/>
  <c r="AZ100" i="157"/>
  <c r="AZ105" i="157"/>
  <c r="AZ107" i="157"/>
  <c r="M75" i="157"/>
  <c r="M39" i="157"/>
  <c r="X6" i="157"/>
  <c r="X5" i="157" s="1"/>
  <c r="BZ8" i="157"/>
  <c r="BZ38" i="157" s="1"/>
  <c r="BL8" i="157"/>
  <c r="BL38" i="157" s="1"/>
  <c r="AI10" i="157"/>
  <c r="CT10" i="157"/>
  <c r="W17" i="157"/>
  <c r="AD17" i="157"/>
  <c r="AB8" i="157"/>
  <c r="AB38" i="157" s="1"/>
  <c r="N75" i="157"/>
  <c r="N39" i="157"/>
  <c r="CA8" i="157"/>
  <c r="CA38" i="157" s="1"/>
  <c r="BC9" i="157"/>
  <c r="W10" i="157"/>
  <c r="Y10" i="157" s="1"/>
  <c r="AQ8" i="157"/>
  <c r="X14" i="157"/>
  <c r="AD14" i="157"/>
  <c r="X16" i="157"/>
  <c r="AX21" i="157"/>
  <c r="W21" i="157"/>
  <c r="AV8" i="157"/>
  <c r="T26" i="157"/>
  <c r="E54" i="157"/>
  <c r="C75" i="157"/>
  <c r="C39" i="157"/>
  <c r="Y7" i="157"/>
  <c r="AG8" i="157"/>
  <c r="AG38" i="157" s="1"/>
  <c r="CT9" i="157"/>
  <c r="BQ75" i="157"/>
  <c r="BQ39" i="157"/>
  <c r="J38" i="157"/>
  <c r="W9" i="157"/>
  <c r="CF8" i="157"/>
  <c r="CF38" i="157" s="1"/>
  <c r="W16" i="157"/>
  <c r="X21" i="157"/>
  <c r="AN21" i="157"/>
  <c r="AD23" i="157"/>
  <c r="R35" i="157"/>
  <c r="T36" i="157"/>
  <c r="T35" i="157" s="1"/>
  <c r="BM9" i="157"/>
  <c r="BK8" i="157"/>
  <c r="BK38" i="157" s="1"/>
  <c r="T15" i="157"/>
  <c r="BR15" i="157"/>
  <c r="BP8" i="157"/>
  <c r="AI22" i="157"/>
  <c r="X22" i="157"/>
  <c r="CK22" i="157" s="1"/>
  <c r="BC6" i="157"/>
  <c r="BC5" i="157" s="1"/>
  <c r="BA5" i="157"/>
  <c r="AS6" i="157"/>
  <c r="AQ5" i="157"/>
  <c r="CG9" i="157"/>
  <c r="AI11" i="157"/>
  <c r="CT11" i="157"/>
  <c r="W13" i="157"/>
  <c r="BM13" i="157"/>
  <c r="BW19" i="157"/>
  <c r="D75" i="157"/>
  <c r="D39" i="157"/>
  <c r="BV38" i="157"/>
  <c r="AI6" i="157"/>
  <c r="BM7" i="157"/>
  <c r="O8" i="157"/>
  <c r="AN14" i="157"/>
  <c r="W14" i="157"/>
  <c r="T18" i="157"/>
  <c r="AR8" i="157"/>
  <c r="AR38" i="157" s="1"/>
  <c r="W32" i="157"/>
  <c r="Y32" i="157" s="1"/>
  <c r="AN32" i="157"/>
  <c r="E5" i="157"/>
  <c r="CJ7" i="157"/>
  <c r="CJ9" i="157"/>
  <c r="CB8" i="157"/>
  <c r="CB38" i="157" s="1"/>
  <c r="CJ10" i="157"/>
  <c r="CJ11" i="157"/>
  <c r="CJ12" i="157"/>
  <c r="AX13" i="157"/>
  <c r="AD15" i="157"/>
  <c r="W15" i="157"/>
  <c r="BM16" i="157"/>
  <c r="T20" i="157"/>
  <c r="T23" i="157"/>
  <c r="AX24" i="157"/>
  <c r="X26" i="157"/>
  <c r="CK26" i="157" s="1"/>
  <c r="W27" i="157"/>
  <c r="CJ27" i="157" s="1"/>
  <c r="BM30" i="157"/>
  <c r="W44" i="157"/>
  <c r="AD44" i="157"/>
  <c r="AB41" i="157"/>
  <c r="I38" i="157"/>
  <c r="BW5" i="157"/>
  <c r="CK7" i="157"/>
  <c r="AS7" i="157"/>
  <c r="CK10" i="157"/>
  <c r="CK11" i="157"/>
  <c r="CK12" i="157"/>
  <c r="CK14" i="157"/>
  <c r="CK21" i="157"/>
  <c r="X27" i="157"/>
  <c r="CK27" i="157" s="1"/>
  <c r="CE41" i="157"/>
  <c r="CG42" i="157"/>
  <c r="T45" i="157"/>
  <c r="BK41" i="157"/>
  <c r="BM43" i="157"/>
  <c r="BM6" i="157"/>
  <c r="AI7" i="157"/>
  <c r="CE8" i="157"/>
  <c r="CE38" i="157" s="1"/>
  <c r="E8" i="157"/>
  <c r="AX17" i="157"/>
  <c r="X18" i="157"/>
  <c r="CK18" i="157" s="1"/>
  <c r="T19" i="157"/>
  <c r="T8" i="157" s="1"/>
  <c r="T38" i="157" s="1"/>
  <c r="BC20" i="157"/>
  <c r="W20" i="157"/>
  <c r="X25" i="157"/>
  <c r="CK25" i="157" s="1"/>
  <c r="AN27" i="157"/>
  <c r="W29" i="157"/>
  <c r="CJ29" i="157" s="1"/>
  <c r="AN29" i="157"/>
  <c r="BH31" i="157"/>
  <c r="BU41" i="157"/>
  <c r="BW42" i="157"/>
  <c r="AI64" i="157"/>
  <c r="W64" i="157"/>
  <c r="AN69" i="157"/>
  <c r="W69" i="157"/>
  <c r="CJ69" i="157" s="1"/>
  <c r="X29" i="157"/>
  <c r="CK29" i="157" s="1"/>
  <c r="S35" i="157"/>
  <c r="AQ41" i="157"/>
  <c r="AS42" i="157"/>
  <c r="AG41" i="157"/>
  <c r="AI43" i="157"/>
  <c r="S38" i="157"/>
  <c r="AM38" i="157"/>
  <c r="BG38" i="157"/>
  <c r="AS13" i="157"/>
  <c r="AS8" i="157" s="1"/>
  <c r="BW13" i="157"/>
  <c r="BR14" i="157"/>
  <c r="W18" i="157"/>
  <c r="AD18" i="157"/>
  <c r="BH18" i="157"/>
  <c r="X20" i="157"/>
  <c r="CK20" i="157" s="1"/>
  <c r="AN20" i="157"/>
  <c r="BR20" i="157"/>
  <c r="W23" i="157"/>
  <c r="Y23" i="157" s="1"/>
  <c r="CK32" i="157"/>
  <c r="AD35" i="157"/>
  <c r="AS36" i="157"/>
  <c r="S41" i="157"/>
  <c r="O41" i="157"/>
  <c r="AX44" i="157"/>
  <c r="BH44" i="157"/>
  <c r="BH41" i="157" s="1"/>
  <c r="BF41" i="157"/>
  <c r="AS45" i="157"/>
  <c r="AB50" i="157"/>
  <c r="AD52" i="157"/>
  <c r="W52" i="157"/>
  <c r="S54" i="157"/>
  <c r="AV54" i="157"/>
  <c r="AX55" i="157"/>
  <c r="CG60" i="157"/>
  <c r="AD62" i="157"/>
  <c r="W62" i="157"/>
  <c r="AN63" i="157"/>
  <c r="W63" i="157"/>
  <c r="AD64" i="157"/>
  <c r="X64" i="157"/>
  <c r="CK64" i="157" s="1"/>
  <c r="AI69" i="157"/>
  <c r="X69" i="157"/>
  <c r="CK69" i="157" s="1"/>
  <c r="BA41" i="157"/>
  <c r="BC42" i="157"/>
  <c r="X47" i="157"/>
  <c r="AD47" i="157"/>
  <c r="O38" i="157"/>
  <c r="CK15" i="157"/>
  <c r="W19" i="157"/>
  <c r="W22" i="157"/>
  <c r="AD22" i="157"/>
  <c r="AD25" i="157"/>
  <c r="W28" i="157"/>
  <c r="AD28" i="157"/>
  <c r="T30" i="157"/>
  <c r="X31" i="157"/>
  <c r="CK31" i="157" s="1"/>
  <c r="BH35" i="157"/>
  <c r="BW35" i="157"/>
  <c r="BP41" i="157"/>
  <c r="W43" i="157"/>
  <c r="BZ41" i="157"/>
  <c r="CB44" i="157"/>
  <c r="CB41" i="157" s="1"/>
  <c r="AI46" i="157"/>
  <c r="AI48" i="157"/>
  <c r="W48" i="157"/>
  <c r="AD58" i="157"/>
  <c r="X58" i="157"/>
  <c r="CK58" i="157" s="1"/>
  <c r="W73" i="157"/>
  <c r="H75" i="157"/>
  <c r="H39" i="157"/>
  <c r="AV38" i="157"/>
  <c r="BP38" i="157"/>
  <c r="CK17" i="157"/>
  <c r="X19" i="157"/>
  <c r="CK19" i="157" s="1"/>
  <c r="AD31" i="157"/>
  <c r="BC35" i="157"/>
  <c r="J41" i="157"/>
  <c r="R41" i="157"/>
  <c r="T42" i="157"/>
  <c r="CG43" i="157"/>
  <c r="AH41" i="157"/>
  <c r="T48" i="157"/>
  <c r="CJ48" i="157"/>
  <c r="X52" i="157"/>
  <c r="X50" i="157" s="1"/>
  <c r="AM50" i="157"/>
  <c r="BZ50" i="157"/>
  <c r="CB52" i="157"/>
  <c r="AL54" i="157"/>
  <c r="AN57" i="157"/>
  <c r="W57" i="157"/>
  <c r="Y57" i="157" s="1"/>
  <c r="AI58" i="157"/>
  <c r="W58" i="157"/>
  <c r="AG54" i="157"/>
  <c r="BM64" i="157"/>
  <c r="BK54" i="157"/>
  <c r="E41" i="157"/>
  <c r="X43" i="157"/>
  <c r="CK43" i="157" s="1"/>
  <c r="AD50" i="157"/>
  <c r="BC50" i="157"/>
  <c r="BP50" i="157"/>
  <c r="BR51" i="157"/>
  <c r="AB54" i="157"/>
  <c r="AD56" i="157"/>
  <c r="W56" i="157"/>
  <c r="T59" i="157"/>
  <c r="BH78" i="157"/>
  <c r="CK16" i="157"/>
  <c r="W30" i="157"/>
  <c r="AD30" i="157"/>
  <c r="W33" i="157"/>
  <c r="AD33" i="157"/>
  <c r="W36" i="157"/>
  <c r="CJ36" i="157" s="1"/>
  <c r="AB35" i="157"/>
  <c r="W42" i="157"/>
  <c r="CJ42" i="157" s="1"/>
  <c r="W45" i="157"/>
  <c r="BR45" i="157"/>
  <c r="W46" i="157"/>
  <c r="AD46" i="157"/>
  <c r="AD41" i="157" s="1"/>
  <c r="AS55" i="157"/>
  <c r="BZ54" i="157"/>
  <c r="CB55" i="157"/>
  <c r="X56" i="157"/>
  <c r="CK56" i="157" s="1"/>
  <c r="AN56" i="157"/>
  <c r="BW59" i="157"/>
  <c r="BU54" i="157"/>
  <c r="X61" i="157"/>
  <c r="CK61" i="157" s="1"/>
  <c r="BR62" i="157"/>
  <c r="T65" i="157"/>
  <c r="CJ65" i="157"/>
  <c r="J35" i="157"/>
  <c r="X36" i="157"/>
  <c r="X35" i="157" s="1"/>
  <c r="AC35" i="157"/>
  <c r="AN36" i="157"/>
  <c r="AL35" i="157"/>
  <c r="BR36" i="157"/>
  <c r="BP35" i="157"/>
  <c r="X42" i="157"/>
  <c r="CK42" i="157" s="1"/>
  <c r="AC41" i="157"/>
  <c r="AN41" i="157"/>
  <c r="AW41" i="157"/>
  <c r="BG41" i="157"/>
  <c r="CA41" i="157"/>
  <c r="CK44" i="157"/>
  <c r="X45" i="157"/>
  <c r="CK45" i="157" s="1"/>
  <c r="X48" i="157"/>
  <c r="CK48" i="157" s="1"/>
  <c r="CK51" i="157"/>
  <c r="S50" i="157"/>
  <c r="AM54" i="157"/>
  <c r="W68" i="157"/>
  <c r="BR69" i="157"/>
  <c r="BH58" i="157"/>
  <c r="BC60" i="157"/>
  <c r="BA54" i="157"/>
  <c r="X63" i="157"/>
  <c r="CK63" i="157" s="1"/>
  <c r="T67" i="157"/>
  <c r="CK67" i="157"/>
  <c r="J50" i="157"/>
  <c r="W51" i="157"/>
  <c r="AL50" i="157"/>
  <c r="AN51" i="157"/>
  <c r="AG50" i="157"/>
  <c r="AI52" i="157"/>
  <c r="BF50" i="157"/>
  <c r="BH52" i="157"/>
  <c r="BH50" i="157" s="1"/>
  <c r="BW55" i="157"/>
  <c r="BF54" i="157"/>
  <c r="BH56" i="157"/>
  <c r="BP54" i="157"/>
  <c r="BR57" i="157"/>
  <c r="AS59" i="157"/>
  <c r="S77" i="157"/>
  <c r="T79" i="157"/>
  <c r="T77" i="157" s="1"/>
  <c r="CK46" i="157"/>
  <c r="R50" i="157"/>
  <c r="T52" i="157"/>
  <c r="T50" i="157" s="1"/>
  <c r="BL54" i="157"/>
  <c r="BV54" i="157"/>
  <c r="BR56" i="157"/>
  <c r="BC59" i="157"/>
  <c r="BW61" i="157"/>
  <c r="BH62" i="157"/>
  <c r="BR63" i="157"/>
  <c r="AS65" i="157"/>
  <c r="AS52" i="157"/>
  <c r="AQ50" i="157"/>
  <c r="BW52" i="157"/>
  <c r="BW50" i="157" s="1"/>
  <c r="BU50" i="157"/>
  <c r="O54" i="157"/>
  <c r="AW54" i="157"/>
  <c r="CA54" i="157"/>
  <c r="R54" i="157"/>
  <c r="T56" i="157"/>
  <c r="AS56" i="157"/>
  <c r="BW56" i="157"/>
  <c r="CK57" i="157"/>
  <c r="BW58" i="157"/>
  <c r="AD59" i="157"/>
  <c r="BH59" i="157"/>
  <c r="AD61" i="157"/>
  <c r="BH61" i="157"/>
  <c r="T62" i="157"/>
  <c r="AS62" i="157"/>
  <c r="BW62" i="157"/>
  <c r="AD65" i="157"/>
  <c r="BH65" i="157"/>
  <c r="W67" i="157"/>
  <c r="Y67" i="157" s="1"/>
  <c r="T68" i="157"/>
  <c r="AS68" i="157"/>
  <c r="BW68" i="157"/>
  <c r="AI74" i="157"/>
  <c r="AI73" i="157" s="1"/>
  <c r="AG73" i="157"/>
  <c r="BM74" i="157"/>
  <c r="BM73" i="157" s="1"/>
  <c r="BK73" i="157"/>
  <c r="CB74" i="157"/>
  <c r="CB73" i="157" s="1"/>
  <c r="BG54" i="157"/>
  <c r="J54" i="157"/>
  <c r="X59" i="157"/>
  <c r="CK59" i="157" s="1"/>
  <c r="X65" i="157"/>
  <c r="CK65" i="157" s="1"/>
  <c r="W70" i="157"/>
  <c r="AD70" i="157"/>
  <c r="BM52" i="157"/>
  <c r="T55" i="157"/>
  <c r="AI55" i="157"/>
  <c r="BM55" i="157"/>
  <c r="BB54" i="157"/>
  <c r="CF54" i="157"/>
  <c r="AI57" i="157"/>
  <c r="BM57" i="157"/>
  <c r="AX58" i="157"/>
  <c r="CB58" i="157"/>
  <c r="X60" i="157"/>
  <c r="CK60" i="157" s="1"/>
  <c r="AX60" i="157"/>
  <c r="CB60" i="157"/>
  <c r="T61" i="157"/>
  <c r="AI61" i="157"/>
  <c r="W61" i="157"/>
  <c r="BM61" i="157"/>
  <c r="BM63" i="157"/>
  <c r="AX64" i="157"/>
  <c r="CB64" i="157"/>
  <c r="CJ66" i="157"/>
  <c r="X66" i="157"/>
  <c r="CK66" i="157" s="1"/>
  <c r="AI67" i="157"/>
  <c r="BM67" i="157"/>
  <c r="X70" i="157"/>
  <c r="CK70" i="157" s="1"/>
  <c r="AX78" i="157"/>
  <c r="X78" i="157"/>
  <c r="CK78" i="157" s="1"/>
  <c r="W55" i="157"/>
  <c r="AS70" i="157"/>
  <c r="AC73" i="157"/>
  <c r="X74" i="157"/>
  <c r="X73" i="157" s="1"/>
  <c r="AI78" i="157"/>
  <c r="CJ85" i="157"/>
  <c r="CL85" i="157" s="1"/>
  <c r="Y85" i="157"/>
  <c r="CJ55" i="157"/>
  <c r="CJ61" i="157"/>
  <c r="W71" i="157"/>
  <c r="BC74" i="157"/>
  <c r="BC73" i="157" s="1"/>
  <c r="BA73" i="157"/>
  <c r="CG74" i="157"/>
  <c r="CG73" i="157" s="1"/>
  <c r="CE73" i="157"/>
  <c r="BR78" i="157"/>
  <c r="AS74" i="157"/>
  <c r="AS73" i="157" s="1"/>
  <c r="AQ73" i="157"/>
  <c r="BW74" i="157"/>
  <c r="BW73" i="157" s="1"/>
  <c r="BU73" i="157"/>
  <c r="BW78" i="157"/>
  <c r="X79" i="157"/>
  <c r="CK79" i="157" s="1"/>
  <c r="AM77" i="157"/>
  <c r="W82" i="157"/>
  <c r="Y82" i="157" s="1"/>
  <c r="AD74" i="157"/>
  <c r="AD73" i="157" s="1"/>
  <c r="AN74" i="157"/>
  <c r="AN73" i="157" s="1"/>
  <c r="AX74" i="157"/>
  <c r="AX73" i="157" s="1"/>
  <c r="BH74" i="157"/>
  <c r="BH73" i="157" s="1"/>
  <c r="BR74" i="157"/>
  <c r="BR73" i="157" s="1"/>
  <c r="W78" i="157"/>
  <c r="CG78" i="157"/>
  <c r="AD82" i="157"/>
  <c r="AL94" i="157"/>
  <c r="AL109" i="157" s="1"/>
  <c r="BC78" i="157"/>
  <c r="BH82" i="157"/>
  <c r="AS78" i="157"/>
  <c r="AX82" i="157"/>
  <c r="AM109" i="157"/>
  <c r="AH94" i="157"/>
  <c r="AG94" i="157"/>
  <c r="AG109" i="157" s="1"/>
  <c r="AZ117" i="157"/>
  <c r="X5" i="158"/>
  <c r="Y6" i="158"/>
  <c r="Y5" i="158" s="1"/>
  <c r="CK6" i="158"/>
  <c r="CK5" i="158" s="1"/>
  <c r="CB38" i="158"/>
  <c r="CJ5" i="158"/>
  <c r="E38" i="158"/>
  <c r="O38" i="158"/>
  <c r="CG39" i="158"/>
  <c r="CK16" i="158"/>
  <c r="E41" i="158"/>
  <c r="Y46" i="158"/>
  <c r="CJ46" i="158"/>
  <c r="CL46" i="158" s="1"/>
  <c r="BW50" i="158"/>
  <c r="H75" i="158"/>
  <c r="H39" i="158"/>
  <c r="AB38" i="158"/>
  <c r="AL38" i="158"/>
  <c r="AV38" i="158"/>
  <c r="BF38" i="158"/>
  <c r="BP38" i="158"/>
  <c r="BZ38" i="158"/>
  <c r="AN6" i="158"/>
  <c r="AN5" i="158" s="1"/>
  <c r="AC68" i="158"/>
  <c r="AC68" i="157" s="1"/>
  <c r="AD68" i="157" s="1"/>
  <c r="X9" i="158"/>
  <c r="AX41" i="158"/>
  <c r="CL43" i="158"/>
  <c r="S38" i="158"/>
  <c r="AM5" i="158"/>
  <c r="AM38" i="158" s="1"/>
  <c r="BQ75" i="158"/>
  <c r="BQ39" i="158"/>
  <c r="AS8" i="158"/>
  <c r="J8" i="158"/>
  <c r="J38" i="158" s="1"/>
  <c r="R8" i="158"/>
  <c r="R38" i="158" s="1"/>
  <c r="R75" i="158" s="1"/>
  <c r="AH68" i="158"/>
  <c r="AI9" i="158"/>
  <c r="BL39" i="158"/>
  <c r="BR41" i="158"/>
  <c r="T55" i="158"/>
  <c r="T54" i="158" s="1"/>
  <c r="S54" i="158"/>
  <c r="CG54" i="158"/>
  <c r="I75" i="158"/>
  <c r="I39" i="158"/>
  <c r="BG75" i="158"/>
  <c r="BG39" i="158"/>
  <c r="BM8" i="158"/>
  <c r="Y65" i="158"/>
  <c r="CK65" i="158"/>
  <c r="CL65" i="158" s="1"/>
  <c r="C38" i="158"/>
  <c r="M75" i="158"/>
  <c r="M39" i="158"/>
  <c r="AG38" i="158"/>
  <c r="AQ38" i="158"/>
  <c r="BA38" i="158"/>
  <c r="BK38" i="158"/>
  <c r="BU38" i="158"/>
  <c r="CE38" i="158"/>
  <c r="CP38" i="158"/>
  <c r="CJ11" i="158"/>
  <c r="CL11" i="158" s="1"/>
  <c r="Y11" i="158"/>
  <c r="T12" i="158"/>
  <c r="CJ15" i="158"/>
  <c r="CL15" i="158" s="1"/>
  <c r="AI27" i="158"/>
  <c r="S41" i="158"/>
  <c r="W47" i="158"/>
  <c r="W41" i="158" s="1"/>
  <c r="AB41" i="158"/>
  <c r="AD47" i="158"/>
  <c r="BH50" i="158"/>
  <c r="CA75" i="158"/>
  <c r="CA39" i="158"/>
  <c r="D75" i="158"/>
  <c r="D39" i="158"/>
  <c r="N38" i="158"/>
  <c r="AH38" i="158"/>
  <c r="AR75" i="158"/>
  <c r="AR39" i="158"/>
  <c r="BB75" i="158"/>
  <c r="BB39" i="158"/>
  <c r="BL81" i="158"/>
  <c r="BL83" i="158" s="1"/>
  <c r="BL84" i="158" s="1"/>
  <c r="BL86" i="158" s="1"/>
  <c r="BL87" i="158" s="1"/>
  <c r="BL76" i="158"/>
  <c r="BV75" i="158"/>
  <c r="BV39" i="158"/>
  <c r="CF75" i="158"/>
  <c r="CF39" i="158"/>
  <c r="AD8" i="158"/>
  <c r="BH8" i="158"/>
  <c r="BR8" i="158"/>
  <c r="CJ10" i="158"/>
  <c r="BH41" i="158"/>
  <c r="AX54" i="158"/>
  <c r="CL16" i="158"/>
  <c r="Y20" i="158"/>
  <c r="T23" i="158"/>
  <c r="Y26" i="158"/>
  <c r="CJ30" i="158"/>
  <c r="CJ31" i="158"/>
  <c r="CL31" i="158" s="1"/>
  <c r="Y31" i="158"/>
  <c r="CK41" i="158"/>
  <c r="CB54" i="158"/>
  <c r="CL23" i="158"/>
  <c r="CJ32" i="158"/>
  <c r="CL32" i="158" s="1"/>
  <c r="Y32" i="158"/>
  <c r="AI35" i="158"/>
  <c r="O41" i="158"/>
  <c r="Y44" i="158"/>
  <c r="CJ44" i="158"/>
  <c r="BR54" i="158"/>
  <c r="BC28" i="158"/>
  <c r="W28" i="158"/>
  <c r="R41" i="158"/>
  <c r="T42" i="158"/>
  <c r="T51" i="158"/>
  <c r="T50" i="158" s="1"/>
  <c r="AG54" i="158"/>
  <c r="T16" i="158"/>
  <c r="Y19" i="158"/>
  <c r="AN27" i="158"/>
  <c r="AI30" i="158"/>
  <c r="X30" i="158"/>
  <c r="CK30" i="158" s="1"/>
  <c r="CJ33" i="158"/>
  <c r="CL33" i="158" s="1"/>
  <c r="Y33" i="158"/>
  <c r="CG41" i="158"/>
  <c r="T43" i="158"/>
  <c r="T48" i="158"/>
  <c r="CL48" i="158"/>
  <c r="AH54" i="158"/>
  <c r="T44" i="158"/>
  <c r="T46" i="158"/>
  <c r="CL52" i="158"/>
  <c r="CP54" i="158"/>
  <c r="CQ57" i="158"/>
  <c r="CQ54" i="158" s="1"/>
  <c r="W36" i="158"/>
  <c r="X41" i="158"/>
  <c r="AI41" i="158"/>
  <c r="T45" i="158"/>
  <c r="CL45" i="158"/>
  <c r="T47" i="158"/>
  <c r="Y48" i="158"/>
  <c r="E50" i="158"/>
  <c r="CL51" i="158"/>
  <c r="O54" i="158"/>
  <c r="BC54" i="158"/>
  <c r="BC41" i="158"/>
  <c r="BW41" i="158"/>
  <c r="CJ55" i="158"/>
  <c r="Y66" i="158"/>
  <c r="CK66" i="158"/>
  <c r="CL66" i="158" s="1"/>
  <c r="O35" i="158"/>
  <c r="AN41" i="158"/>
  <c r="Y42" i="158"/>
  <c r="Y45" i="158"/>
  <c r="AD50" i="158"/>
  <c r="CQ50" i="158"/>
  <c r="S50" i="158"/>
  <c r="J54" i="158"/>
  <c r="X55" i="158"/>
  <c r="BM54" i="158"/>
  <c r="CJ57" i="158"/>
  <c r="CL57" i="158" s="1"/>
  <c r="Y57" i="158"/>
  <c r="O50" i="158"/>
  <c r="R54" i="158"/>
  <c r="AI55" i="158"/>
  <c r="AS55" i="158"/>
  <c r="CK61" i="158"/>
  <c r="CL61" i="158" s="1"/>
  <c r="Y61" i="158"/>
  <c r="W56" i="158"/>
  <c r="CK59" i="158"/>
  <c r="CL59" i="158" s="1"/>
  <c r="CJ62" i="158"/>
  <c r="CL62" i="158" s="1"/>
  <c r="Y62" i="158"/>
  <c r="W64" i="158"/>
  <c r="CJ71" i="158"/>
  <c r="CL71" i="158" s="1"/>
  <c r="Y71" i="158"/>
  <c r="AS68" i="158"/>
  <c r="W68" i="158"/>
  <c r="Y82" i="158"/>
  <c r="CL78" i="158"/>
  <c r="CQ13" i="171"/>
  <c r="CR13" i="171" s="1"/>
  <c r="CQ15" i="171"/>
  <c r="CR15" i="171" s="1"/>
  <c r="CQ17" i="171"/>
  <c r="CR17" i="171" s="1"/>
  <c r="CQ12" i="171"/>
  <c r="CR12" i="171" s="1"/>
  <c r="CQ14" i="171"/>
  <c r="CR14" i="171" s="1"/>
  <c r="CQ16" i="171"/>
  <c r="CR16" i="171" s="1"/>
  <c r="I75" i="171"/>
  <c r="I39" i="171"/>
  <c r="AR75" i="171"/>
  <c r="AR39" i="171"/>
  <c r="BF39" i="171"/>
  <c r="BF75" i="171"/>
  <c r="BZ75" i="171"/>
  <c r="BZ39" i="171"/>
  <c r="CJ9" i="171"/>
  <c r="Y9" i="171"/>
  <c r="AN8" i="171"/>
  <c r="AN38" i="171" s="1"/>
  <c r="BH8" i="171"/>
  <c r="BH38" i="171" s="1"/>
  <c r="CJ11" i="171"/>
  <c r="CL11" i="171" s="1"/>
  <c r="Y11" i="171"/>
  <c r="CK18" i="171"/>
  <c r="CL18" i="171" s="1"/>
  <c r="Y18" i="171"/>
  <c r="CJ20" i="171"/>
  <c r="CL20" i="171" s="1"/>
  <c r="Y20" i="171"/>
  <c r="CQ23" i="171"/>
  <c r="CR23" i="171" s="1"/>
  <c r="CQ30" i="171"/>
  <c r="CR30" i="171" s="1"/>
  <c r="J38" i="171"/>
  <c r="X38" i="171"/>
  <c r="AH38" i="171"/>
  <c r="BC6" i="171"/>
  <c r="BC5" i="171" s="1"/>
  <c r="CL7" i="171"/>
  <c r="E8" i="171"/>
  <c r="BM8" i="171"/>
  <c r="CJ21" i="171"/>
  <c r="CL21" i="171" s="1"/>
  <c r="Y21" i="171"/>
  <c r="CJ10" i="171"/>
  <c r="CL10" i="171" s="1"/>
  <c r="CJ22" i="171"/>
  <c r="CL22" i="171" s="1"/>
  <c r="Y22" i="171"/>
  <c r="AB39" i="171"/>
  <c r="AB75" i="171"/>
  <c r="N39" i="171"/>
  <c r="N75" i="171"/>
  <c r="T6" i="171"/>
  <c r="T5" i="171" s="1"/>
  <c r="BL75" i="171"/>
  <c r="BL39" i="171"/>
  <c r="E38" i="171"/>
  <c r="AM38" i="171"/>
  <c r="BB75" i="171"/>
  <c r="BB39" i="171"/>
  <c r="BV38" i="171"/>
  <c r="CF75" i="171"/>
  <c r="CF39" i="171"/>
  <c r="BR8" i="171"/>
  <c r="AD8" i="171"/>
  <c r="AD89" i="171" s="1"/>
  <c r="AE36" i="171" s="1"/>
  <c r="BW8" i="171"/>
  <c r="Y12" i="171"/>
  <c r="Y13" i="171"/>
  <c r="Y14" i="171"/>
  <c r="Y15" i="171"/>
  <c r="Y16" i="171"/>
  <c r="Y17" i="171"/>
  <c r="AE23" i="171"/>
  <c r="AX24" i="171"/>
  <c r="W24" i="171"/>
  <c r="AV8" i="171"/>
  <c r="BH35" i="171"/>
  <c r="BR38" i="171"/>
  <c r="AS8" i="171"/>
  <c r="AS38" i="171" s="1"/>
  <c r="D76" i="171"/>
  <c r="D81" i="171"/>
  <c r="D83" i="171" s="1"/>
  <c r="D84" i="171" s="1"/>
  <c r="AQ75" i="171"/>
  <c r="AQ39" i="171"/>
  <c r="CG8" i="171"/>
  <c r="BW38" i="171"/>
  <c r="W6" i="171"/>
  <c r="AV5" i="171"/>
  <c r="AX6" i="171"/>
  <c r="AX5" i="171" s="1"/>
  <c r="Y7" i="171"/>
  <c r="O8" i="171"/>
  <c r="AW38" i="171"/>
  <c r="BC8" i="171"/>
  <c r="R8" i="171"/>
  <c r="AI8" i="171"/>
  <c r="CB8" i="171"/>
  <c r="CB89" i="171" s="1"/>
  <c r="CC25" i="171" s="1"/>
  <c r="AE12" i="171"/>
  <c r="AE13" i="171"/>
  <c r="AE14" i="171"/>
  <c r="AE15" i="171"/>
  <c r="AE16" i="171"/>
  <c r="CC18" i="171"/>
  <c r="CJ19" i="171"/>
  <c r="CL19" i="171" s="1"/>
  <c r="Y19" i="171"/>
  <c r="T21" i="171"/>
  <c r="T8" i="171" s="1"/>
  <c r="CJ29" i="171"/>
  <c r="CL29" i="171" s="1"/>
  <c r="Y29" i="171"/>
  <c r="D39" i="171"/>
  <c r="AX54" i="171"/>
  <c r="CJ28" i="171"/>
  <c r="CL28" i="171" s="1"/>
  <c r="Y28" i="171"/>
  <c r="AD35" i="171"/>
  <c r="BW35" i="171"/>
  <c r="BM50" i="171"/>
  <c r="CK54" i="171"/>
  <c r="C75" i="171"/>
  <c r="C39" i="171"/>
  <c r="M75" i="171"/>
  <c r="M39" i="171"/>
  <c r="AG38" i="171"/>
  <c r="BK38" i="171"/>
  <c r="BU38" i="171"/>
  <c r="CE38" i="171"/>
  <c r="CP38" i="171"/>
  <c r="CG41" i="171"/>
  <c r="O50" i="171"/>
  <c r="CG50" i="171"/>
  <c r="AN50" i="171"/>
  <c r="CC32" i="171"/>
  <c r="BP75" i="171"/>
  <c r="BP39" i="171"/>
  <c r="CJ55" i="171"/>
  <c r="Y55" i="171"/>
  <c r="W54" i="171"/>
  <c r="H38" i="171"/>
  <c r="R38" i="171"/>
  <c r="R75" i="171" s="1"/>
  <c r="R81" i="171" s="1"/>
  <c r="R83" i="171" s="1"/>
  <c r="R84" i="171" s="1"/>
  <c r="R86" i="171" s="1"/>
  <c r="AL75" i="171"/>
  <c r="AL39" i="171"/>
  <c r="CC24" i="171"/>
  <c r="CC26" i="171"/>
  <c r="CJ27" i="171"/>
  <c r="CL27" i="171" s="1"/>
  <c r="Y27" i="171"/>
  <c r="Y36" i="171"/>
  <c r="Y35" i="171" s="1"/>
  <c r="W35" i="171"/>
  <c r="AS35" i="171"/>
  <c r="CJ36" i="171"/>
  <c r="BR41" i="171"/>
  <c r="CJ51" i="171"/>
  <c r="Y51" i="171"/>
  <c r="Y50" i="171" s="1"/>
  <c r="CC60" i="171"/>
  <c r="CJ61" i="171"/>
  <c r="CL61" i="171" s="1"/>
  <c r="Y61" i="171"/>
  <c r="CJ62" i="171"/>
  <c r="CL62" i="171" s="1"/>
  <c r="Y62" i="171"/>
  <c r="CC63" i="171"/>
  <c r="CJ67" i="171"/>
  <c r="CL67" i="171" s="1"/>
  <c r="Y67" i="171"/>
  <c r="X41" i="171"/>
  <c r="AC38" i="171"/>
  <c r="BG38" i="171"/>
  <c r="BQ38" i="171"/>
  <c r="CA38" i="171"/>
  <c r="CC23" i="171"/>
  <c r="Y26" i="171"/>
  <c r="CJ26" i="171"/>
  <c r="CL26" i="171" s="1"/>
  <c r="CC29" i="171"/>
  <c r="BC41" i="171"/>
  <c r="CJ43" i="171"/>
  <c r="CL43" i="171" s="1"/>
  <c r="Y43" i="171"/>
  <c r="W50" i="171"/>
  <c r="T36" i="171"/>
  <c r="T35" i="171" s="1"/>
  <c r="CL45" i="171"/>
  <c r="BC50" i="171"/>
  <c r="BH50" i="171"/>
  <c r="Y56" i="171"/>
  <c r="T58" i="171"/>
  <c r="T54" i="171" s="1"/>
  <c r="S54" i="171"/>
  <c r="CL70" i="171"/>
  <c r="CJ33" i="171"/>
  <c r="CL33" i="171" s="1"/>
  <c r="Y33" i="171"/>
  <c r="O41" i="171"/>
  <c r="S50" i="171"/>
  <c r="T52" i="171"/>
  <c r="T50" i="171" s="1"/>
  <c r="BW50" i="171"/>
  <c r="J54" i="171"/>
  <c r="CJ42" i="171"/>
  <c r="Y42" i="171"/>
  <c r="AN41" i="171"/>
  <c r="CJ44" i="171"/>
  <c r="CL44" i="171" s="1"/>
  <c r="Y44" i="171"/>
  <c r="AS50" i="171"/>
  <c r="CC57" i="171"/>
  <c r="Y46" i="171"/>
  <c r="Y48" i="171"/>
  <c r="AI54" i="171"/>
  <c r="CQ54" i="171"/>
  <c r="CC59" i="171"/>
  <c r="Y60" i="171"/>
  <c r="Y64" i="171"/>
  <c r="T46" i="171"/>
  <c r="T41" i="171" s="1"/>
  <c r="T48" i="171"/>
  <c r="CK50" i="171"/>
  <c r="BM54" i="171"/>
  <c r="CC71" i="171"/>
  <c r="S77" i="171"/>
  <c r="CL46" i="171"/>
  <c r="CL48" i="171"/>
  <c r="AI50" i="171"/>
  <c r="CC65" i="171"/>
  <c r="Y66" i="171"/>
  <c r="CL71" i="171"/>
  <c r="CK74" i="171"/>
  <c r="CK73" i="171" s="1"/>
  <c r="J77" i="171"/>
  <c r="Y59" i="171"/>
  <c r="Y65" i="171"/>
  <c r="T78" i="171"/>
  <c r="T77" i="171" s="1"/>
  <c r="CK77" i="171"/>
  <c r="T82" i="171"/>
  <c r="Y74" i="171"/>
  <c r="Y73" i="171" s="1"/>
  <c r="CJ74" i="171"/>
  <c r="BH77" i="171"/>
  <c r="CB39" i="167"/>
  <c r="AE53" i="167"/>
  <c r="AE63" i="167"/>
  <c r="AE60" i="167"/>
  <c r="AE58" i="167"/>
  <c r="AE46" i="167"/>
  <c r="AE67" i="167"/>
  <c r="AE69" i="167"/>
  <c r="AE64" i="167"/>
  <c r="AE55" i="167"/>
  <c r="AE56" i="167"/>
  <c r="AE49" i="167"/>
  <c r="AE66" i="167"/>
  <c r="AE61" i="167"/>
  <c r="AE51" i="167"/>
  <c r="AE26" i="167"/>
  <c r="AE23" i="167"/>
  <c r="AE70" i="167"/>
  <c r="AE52" i="167"/>
  <c r="AE57" i="167"/>
  <c r="AE12" i="167"/>
  <c r="AE10" i="167"/>
  <c r="AE59" i="167"/>
  <c r="AE24" i="167"/>
  <c r="M75" i="167"/>
  <c r="M39" i="167"/>
  <c r="BK75" i="167"/>
  <c r="BK39" i="167"/>
  <c r="BU75" i="167"/>
  <c r="BU39" i="167"/>
  <c r="CQ13" i="167"/>
  <c r="CR13" i="167" s="1"/>
  <c r="CQ19" i="167"/>
  <c r="CR19" i="167" s="1"/>
  <c r="AE20" i="167"/>
  <c r="CJ22" i="167"/>
  <c r="CL22" i="167" s="1"/>
  <c r="Y22" i="167"/>
  <c r="C75" i="167"/>
  <c r="C39" i="167"/>
  <c r="AD38" i="167"/>
  <c r="AN38" i="167"/>
  <c r="BA75" i="167"/>
  <c r="BA39" i="167"/>
  <c r="BL81" i="167"/>
  <c r="BL83" i="167" s="1"/>
  <c r="BL84" i="167" s="1"/>
  <c r="BL86" i="167" s="1"/>
  <c r="BL87" i="167" s="1"/>
  <c r="BL76" i="167"/>
  <c r="BM8" i="167"/>
  <c r="CQ10" i="167"/>
  <c r="AE11" i="167"/>
  <c r="D38" i="167"/>
  <c r="AG75" i="167"/>
  <c r="AG39" i="167"/>
  <c r="AQ75" i="167"/>
  <c r="AQ39" i="167"/>
  <c r="BH8" i="167"/>
  <c r="BH89" i="167" s="1"/>
  <c r="BI11" i="167" s="1"/>
  <c r="CQ16" i="167"/>
  <c r="CR16" i="167" s="1"/>
  <c r="AH75" i="167"/>
  <c r="AH39" i="167"/>
  <c r="Y6" i="167"/>
  <c r="Y5" i="167" s="1"/>
  <c r="CJ6" i="167"/>
  <c r="Y7" i="167"/>
  <c r="AX8" i="167"/>
  <c r="CK9" i="167"/>
  <c r="X8" i="167"/>
  <c r="J8" i="167"/>
  <c r="AE14" i="167"/>
  <c r="CQ15" i="167"/>
  <c r="CR15" i="167" s="1"/>
  <c r="CJ17" i="167"/>
  <c r="CL17" i="167" s="1"/>
  <c r="Y17" i="167"/>
  <c r="CQ32" i="167"/>
  <c r="CR32" i="167" s="1"/>
  <c r="CL42" i="167"/>
  <c r="CJ41" i="167"/>
  <c r="E38" i="167"/>
  <c r="CK6" i="167"/>
  <c r="CK5" i="167" s="1"/>
  <c r="X5" i="167"/>
  <c r="X38" i="167" s="1"/>
  <c r="CG38" i="167"/>
  <c r="CL7" i="167"/>
  <c r="O8" i="167"/>
  <c r="O38" i="167" s="1"/>
  <c r="CP8" i="167"/>
  <c r="CP38" i="167" s="1"/>
  <c r="CQ11" i="167"/>
  <c r="CQ14" i="167"/>
  <c r="CR14" i="167" s="1"/>
  <c r="W8" i="167"/>
  <c r="W38" i="167" s="1"/>
  <c r="CL18" i="167"/>
  <c r="BL39" i="167"/>
  <c r="CG41" i="167"/>
  <c r="CG89" i="167" s="1"/>
  <c r="J38" i="167"/>
  <c r="BH38" i="167"/>
  <c r="BR38" i="167"/>
  <c r="CE75" i="167"/>
  <c r="CE39" i="167"/>
  <c r="AE9" i="167"/>
  <c r="BD53" i="167"/>
  <c r="BD70" i="167"/>
  <c r="BD67" i="167"/>
  <c r="BD64" i="167"/>
  <c r="BD61" i="167"/>
  <c r="BD49" i="167"/>
  <c r="BD65" i="167"/>
  <c r="BD62" i="167"/>
  <c r="BD56" i="167"/>
  <c r="BD66" i="167"/>
  <c r="BD58" i="167"/>
  <c r="BD71" i="167"/>
  <c r="BD63" i="167"/>
  <c r="BD59" i="167"/>
  <c r="BD60" i="167"/>
  <c r="BD46" i="167"/>
  <c r="BD45" i="167"/>
  <c r="BD44" i="167"/>
  <c r="BD43" i="167"/>
  <c r="BD42" i="167"/>
  <c r="BD31" i="167"/>
  <c r="BD68" i="167"/>
  <c r="BD32" i="167"/>
  <c r="BD57" i="167"/>
  <c r="BD52" i="167"/>
  <c r="BD28" i="167"/>
  <c r="BD25" i="167"/>
  <c r="BD30" i="167"/>
  <c r="BD21" i="167"/>
  <c r="BD20" i="167"/>
  <c r="BD69" i="167"/>
  <c r="BD51" i="167"/>
  <c r="BD18" i="167"/>
  <c r="BD12" i="167"/>
  <c r="BD11" i="167"/>
  <c r="BD15" i="167"/>
  <c r="BD27" i="167"/>
  <c r="BD19" i="167"/>
  <c r="BD13" i="167"/>
  <c r="BD55" i="167"/>
  <c r="BD29" i="167"/>
  <c r="BD33" i="167"/>
  <c r="BD14" i="167"/>
  <c r="BD16" i="167"/>
  <c r="BW8" i="167"/>
  <c r="BW89" i="167" s="1"/>
  <c r="BX20" i="167" s="1"/>
  <c r="T10" i="167"/>
  <c r="AI8" i="167"/>
  <c r="T12" i="167"/>
  <c r="AE13" i="167"/>
  <c r="BD17" i="167"/>
  <c r="CP50" i="167"/>
  <c r="CQ50" i="167"/>
  <c r="BX9" i="167"/>
  <c r="BX14" i="167"/>
  <c r="Y16" i="167"/>
  <c r="AE17" i="167"/>
  <c r="CQ23" i="167"/>
  <c r="CR23" i="167" s="1"/>
  <c r="CQ24" i="167"/>
  <c r="CR24" i="167" s="1"/>
  <c r="CW24" i="167" s="1"/>
  <c r="Y25" i="167"/>
  <c r="CJ25" i="167"/>
  <c r="CL25" i="167" s="1"/>
  <c r="BW35" i="167"/>
  <c r="BX36" i="167"/>
  <c r="CJ59" i="167"/>
  <c r="CL59" i="167" s="1"/>
  <c r="Y59" i="167"/>
  <c r="BX16" i="167"/>
  <c r="AE19" i="167"/>
  <c r="BD26" i="167"/>
  <c r="CQ27" i="167"/>
  <c r="CR27" i="167" s="1"/>
  <c r="CQ28" i="167"/>
  <c r="CR28" i="167" s="1"/>
  <c r="AS41" i="167"/>
  <c r="T47" i="167"/>
  <c r="T41" i="167" s="1"/>
  <c r="R41" i="167"/>
  <c r="CB50" i="167"/>
  <c r="BX52" i="167"/>
  <c r="BB75" i="167"/>
  <c r="BB39" i="167"/>
  <c r="CF75" i="167"/>
  <c r="CF39" i="167"/>
  <c r="BX15" i="167"/>
  <c r="CJ21" i="167"/>
  <c r="CL21" i="167" s="1"/>
  <c r="BD22" i="167"/>
  <c r="J50" i="167"/>
  <c r="AL76" i="167"/>
  <c r="H38" i="167"/>
  <c r="R5" i="167"/>
  <c r="R38" i="167" s="1"/>
  <c r="AB75" i="167"/>
  <c r="AB39" i="167"/>
  <c r="AV75" i="167"/>
  <c r="AV39" i="167"/>
  <c r="BF75" i="167"/>
  <c r="BF39" i="167"/>
  <c r="BP75" i="167"/>
  <c r="BP39" i="167"/>
  <c r="BZ75" i="167"/>
  <c r="BZ39" i="167"/>
  <c r="CS75" i="167"/>
  <c r="CS39" i="167"/>
  <c r="T9" i="167"/>
  <c r="T8" i="167" s="1"/>
  <c r="CL9" i="167"/>
  <c r="CJ12" i="167"/>
  <c r="CL12" i="167" s="1"/>
  <c r="AE16" i="167"/>
  <c r="AE21" i="167"/>
  <c r="BX21" i="167"/>
  <c r="CT24" i="167"/>
  <c r="AS25" i="167"/>
  <c r="AI41" i="167"/>
  <c r="CK47" i="167"/>
  <c r="CK41" i="167" s="1"/>
  <c r="Y47" i="167"/>
  <c r="Y41" i="167" s="1"/>
  <c r="X41" i="167"/>
  <c r="BM50" i="167"/>
  <c r="T52" i="167"/>
  <c r="R50" i="167"/>
  <c r="T56" i="167"/>
  <c r="S54" i="167"/>
  <c r="CL60" i="167"/>
  <c r="AR75" i="167"/>
  <c r="AR39" i="167"/>
  <c r="BV75" i="167"/>
  <c r="BV39" i="167"/>
  <c r="BI16" i="167"/>
  <c r="AE18" i="167"/>
  <c r="AE22" i="167"/>
  <c r="CB41" i="167"/>
  <c r="CB89" i="167" s="1"/>
  <c r="CC10" i="167" s="1"/>
  <c r="I75" i="167"/>
  <c r="I39" i="167"/>
  <c r="S38" i="167"/>
  <c r="AC38" i="167"/>
  <c r="AM38" i="167"/>
  <c r="AW38" i="167"/>
  <c r="BG38" i="167"/>
  <c r="BQ38" i="167"/>
  <c r="CA38" i="167"/>
  <c r="AE15" i="167"/>
  <c r="AE25" i="167"/>
  <c r="Y26" i="167"/>
  <c r="CK26" i="167"/>
  <c r="CL26" i="167" s="1"/>
  <c r="CQ29" i="167"/>
  <c r="CR29" i="167" s="1"/>
  <c r="CJ30" i="167"/>
  <c r="CL30" i="167" s="1"/>
  <c r="Y30" i="167"/>
  <c r="T36" i="167"/>
  <c r="T35" i="167" s="1"/>
  <c r="BM41" i="167"/>
  <c r="AE27" i="167"/>
  <c r="AE30" i="167"/>
  <c r="BX30" i="167"/>
  <c r="CL31" i="167"/>
  <c r="AS35" i="167"/>
  <c r="CK36" i="167"/>
  <c r="CK35" i="167" s="1"/>
  <c r="CP41" i="167"/>
  <c r="CQ47" i="167"/>
  <c r="CQ41" i="167" s="1"/>
  <c r="Y24" i="167"/>
  <c r="CC30" i="167"/>
  <c r="AE32" i="167"/>
  <c r="Y33" i="167"/>
  <c r="CJ33" i="167"/>
  <c r="CL33" i="167" s="1"/>
  <c r="E35" i="167"/>
  <c r="BR35" i="167"/>
  <c r="BI44" i="167"/>
  <c r="CL45" i="167"/>
  <c r="CJ55" i="167"/>
  <c r="W54" i="167"/>
  <c r="Y55" i="167"/>
  <c r="CJ58" i="167"/>
  <c r="CL58" i="167" s="1"/>
  <c r="Y58" i="167"/>
  <c r="BD23" i="167"/>
  <c r="AE33" i="167"/>
  <c r="BX33" i="167"/>
  <c r="BD36" i="167"/>
  <c r="BC35" i="167"/>
  <c r="E41" i="167"/>
  <c r="CL43" i="167"/>
  <c r="AE47" i="167"/>
  <c r="BX68" i="167"/>
  <c r="BD24" i="167"/>
  <c r="BX25" i="167"/>
  <c r="BX28" i="167"/>
  <c r="AE31" i="167"/>
  <c r="Y36" i="167"/>
  <c r="Y35" i="167" s="1"/>
  <c r="AN35" i="167"/>
  <c r="AE42" i="167"/>
  <c r="AE43" i="167"/>
  <c r="AE44" i="167"/>
  <c r="AE45" i="167"/>
  <c r="O41" i="167"/>
  <c r="CL47" i="167"/>
  <c r="T51" i="167"/>
  <c r="T50" i="167" s="1"/>
  <c r="BX51" i="167"/>
  <c r="CJ68" i="167"/>
  <c r="CL68" i="167" s="1"/>
  <c r="Y68" i="167"/>
  <c r="AE29" i="167"/>
  <c r="BX32" i="167"/>
  <c r="AE48" i="167"/>
  <c r="BD48" i="167"/>
  <c r="AE68" i="167"/>
  <c r="CJ70" i="167"/>
  <c r="CL70" i="167" s="1"/>
  <c r="Y70" i="167"/>
  <c r="AE28" i="167"/>
  <c r="BX31" i="167"/>
  <c r="O35" i="167"/>
  <c r="AE36" i="167"/>
  <c r="CG35" i="167"/>
  <c r="BX42" i="167"/>
  <c r="BX43" i="167"/>
  <c r="CK54" i="167"/>
  <c r="CJ61" i="167"/>
  <c r="CL61" i="167" s="1"/>
  <c r="Y61" i="167"/>
  <c r="CP73" i="167"/>
  <c r="CQ74" i="167"/>
  <c r="BD47" i="167"/>
  <c r="AX50" i="167"/>
  <c r="BR50" i="167"/>
  <c r="BR89" i="167" s="1"/>
  <c r="BS26" i="167" s="1"/>
  <c r="CL52" i="167"/>
  <c r="CK50" i="167"/>
  <c r="T61" i="167"/>
  <c r="R54" i="167"/>
  <c r="AE62" i="167"/>
  <c r="CL63" i="167"/>
  <c r="T69" i="167"/>
  <c r="BX71" i="167"/>
  <c r="J54" i="167"/>
  <c r="AE65" i="167"/>
  <c r="E50" i="167"/>
  <c r="AN50" i="167"/>
  <c r="Y56" i="167"/>
  <c r="CJ64" i="167"/>
  <c r="CL64" i="167" s="1"/>
  <c r="Y64" i="167"/>
  <c r="AE71" i="167"/>
  <c r="T63" i="167"/>
  <c r="BX65" i="167"/>
  <c r="CJ67" i="167"/>
  <c r="CL67" i="167" s="1"/>
  <c r="Y67" i="167"/>
  <c r="CL85" i="167"/>
  <c r="CL78" i="167"/>
  <c r="CK74" i="167"/>
  <c r="CK73" i="167" s="1"/>
  <c r="X73" i="167"/>
  <c r="O77" i="167"/>
  <c r="CQ11" i="174"/>
  <c r="BQ75" i="174"/>
  <c r="BQ39" i="174"/>
  <c r="CA75" i="174"/>
  <c r="CA39" i="174"/>
  <c r="CK25" i="174"/>
  <c r="Y25" i="174"/>
  <c r="X8" i="174"/>
  <c r="AM75" i="174"/>
  <c r="AM39" i="174"/>
  <c r="AW75" i="174"/>
  <c r="AW39" i="174"/>
  <c r="BG75" i="174"/>
  <c r="BG39" i="174"/>
  <c r="BR38" i="174"/>
  <c r="BM38" i="174"/>
  <c r="CQ12" i="174"/>
  <c r="CR12" i="174" s="1"/>
  <c r="CQ13" i="174"/>
  <c r="CR13" i="174" s="1"/>
  <c r="CQ31" i="174"/>
  <c r="CR31" i="174" s="1"/>
  <c r="CQ16" i="174"/>
  <c r="CR16" i="174" s="1"/>
  <c r="AC39" i="174"/>
  <c r="AC75" i="174"/>
  <c r="BC8" i="174"/>
  <c r="CB8" i="174"/>
  <c r="CB38" i="174" s="1"/>
  <c r="T10" i="174"/>
  <c r="S8" i="174"/>
  <c r="CQ14" i="174"/>
  <c r="CR14" i="174" s="1"/>
  <c r="CQ15" i="174"/>
  <c r="CR15" i="174" s="1"/>
  <c r="CK29" i="174"/>
  <c r="Y29" i="174"/>
  <c r="CQ17" i="174"/>
  <c r="CR17" i="174" s="1"/>
  <c r="O39" i="174"/>
  <c r="AI8" i="174"/>
  <c r="AI38" i="174" s="1"/>
  <c r="E8" i="174"/>
  <c r="CQ18" i="174"/>
  <c r="CR18" i="174" s="1"/>
  <c r="CQ19" i="174"/>
  <c r="CR19" i="174" s="1"/>
  <c r="BH8" i="174"/>
  <c r="E38" i="174"/>
  <c r="AN8" i="174"/>
  <c r="AN38" i="174" s="1"/>
  <c r="CQ20" i="174"/>
  <c r="CR20" i="174" s="1"/>
  <c r="CJ30" i="174"/>
  <c r="CL30" i="174" s="1"/>
  <c r="AI35" i="174"/>
  <c r="CP39" i="174"/>
  <c r="CL28" i="174"/>
  <c r="CQ36" i="174"/>
  <c r="CL35" i="174"/>
  <c r="AD41" i="174"/>
  <c r="BH41" i="174"/>
  <c r="O50" i="174"/>
  <c r="BM54" i="174"/>
  <c r="BM89" i="174" s="1"/>
  <c r="I38" i="174"/>
  <c r="S38" i="174"/>
  <c r="S75" i="174" s="1"/>
  <c r="S81" i="174" s="1"/>
  <c r="S83" i="174" s="1"/>
  <c r="S84" i="174" s="1"/>
  <c r="S86" i="174" s="1"/>
  <c r="AG75" i="174"/>
  <c r="AG39" i="174"/>
  <c r="AQ75" i="174"/>
  <c r="AQ39" i="174"/>
  <c r="BA75" i="174"/>
  <c r="BA39" i="174"/>
  <c r="BK75" i="174"/>
  <c r="BK39" i="174"/>
  <c r="BU75" i="174"/>
  <c r="BU39" i="174"/>
  <c r="CE75" i="174"/>
  <c r="CE39" i="174"/>
  <c r="CG8" i="174"/>
  <c r="J8" i="174"/>
  <c r="T23" i="174"/>
  <c r="Y28" i="174"/>
  <c r="S35" i="174"/>
  <c r="AI41" i="174"/>
  <c r="W8" i="174"/>
  <c r="CJ10" i="174"/>
  <c r="CL10" i="174" s="1"/>
  <c r="Y10" i="174"/>
  <c r="CK8" i="174"/>
  <c r="CL9" i="174"/>
  <c r="T22" i="174"/>
  <c r="CQ22" i="174"/>
  <c r="T42" i="174"/>
  <c r="T41" i="174" s="1"/>
  <c r="CB41" i="174"/>
  <c r="BH50" i="174"/>
  <c r="CK55" i="174"/>
  <c r="CK54" i="174" s="1"/>
  <c r="X54" i="174"/>
  <c r="Y55" i="174"/>
  <c r="O54" i="174"/>
  <c r="C75" i="174"/>
  <c r="C39" i="174"/>
  <c r="M75" i="174"/>
  <c r="M39" i="174"/>
  <c r="AS38" i="174"/>
  <c r="CK6" i="174"/>
  <c r="X5" i="174"/>
  <c r="X38" i="174" s="1"/>
  <c r="CQ21" i="174"/>
  <c r="CR21" i="174" s="1"/>
  <c r="CJ27" i="174"/>
  <c r="CL27" i="174" s="1"/>
  <c r="CJ32" i="174"/>
  <c r="CL32" i="174" s="1"/>
  <c r="BW41" i="174"/>
  <c r="BC54" i="174"/>
  <c r="Y6" i="174"/>
  <c r="Y5" i="174" s="1"/>
  <c r="AD8" i="174"/>
  <c r="AX8" i="174"/>
  <c r="AX38" i="174" s="1"/>
  <c r="Y11" i="174"/>
  <c r="CL23" i="174"/>
  <c r="CL29" i="174"/>
  <c r="BC35" i="174"/>
  <c r="W5" i="174"/>
  <c r="T25" i="174"/>
  <c r="CG35" i="174"/>
  <c r="AL39" i="174"/>
  <c r="BF39" i="174"/>
  <c r="BZ39" i="174"/>
  <c r="CP41" i="174"/>
  <c r="CP75" i="174" s="1"/>
  <c r="CQ46" i="174"/>
  <c r="CQ41" i="174" s="1"/>
  <c r="CJ51" i="174"/>
  <c r="CL51" i="174" s="1"/>
  <c r="CJ56" i="174"/>
  <c r="CL56" i="174" s="1"/>
  <c r="Y56" i="174"/>
  <c r="W54" i="174"/>
  <c r="X77" i="174"/>
  <c r="CK78" i="174"/>
  <c r="CK77" i="174" s="1"/>
  <c r="Y78" i="174"/>
  <c r="BR54" i="174"/>
  <c r="D75" i="174"/>
  <c r="D39" i="174"/>
  <c r="N75" i="174"/>
  <c r="N39" i="174"/>
  <c r="AH38" i="174"/>
  <c r="AR38" i="174"/>
  <c r="BB38" i="174"/>
  <c r="BL38" i="174"/>
  <c r="BV38" i="174"/>
  <c r="CF38" i="174"/>
  <c r="CL25" i="174"/>
  <c r="BM35" i="174"/>
  <c r="Y52" i="174"/>
  <c r="Y50" i="174" s="1"/>
  <c r="W50" i="174"/>
  <c r="CG54" i="174"/>
  <c r="CQ56" i="174"/>
  <c r="CQ54" i="174" s="1"/>
  <c r="CP54" i="174"/>
  <c r="AI54" i="174"/>
  <c r="E50" i="174"/>
  <c r="X50" i="174"/>
  <c r="CK52" i="174"/>
  <c r="CK50" i="174" s="1"/>
  <c r="H38" i="174"/>
  <c r="R38" i="174"/>
  <c r="AB76" i="174"/>
  <c r="AV76" i="174"/>
  <c r="BF76" i="174"/>
  <c r="BP76" i="174"/>
  <c r="BZ76" i="174"/>
  <c r="CL24" i="174"/>
  <c r="O35" i="174"/>
  <c r="AB39" i="174"/>
  <c r="AV39" i="174"/>
  <c r="BP39" i="174"/>
  <c r="AN41" i="174"/>
  <c r="AX41" i="174"/>
  <c r="BR41" i="174"/>
  <c r="CJ47" i="174"/>
  <c r="CL47" i="174" s="1"/>
  <c r="Y36" i="174"/>
  <c r="Y35" i="174" s="1"/>
  <c r="T52" i="174"/>
  <c r="T50" i="174" s="1"/>
  <c r="R50" i="174"/>
  <c r="E54" i="174"/>
  <c r="X41" i="174"/>
  <c r="CQ50" i="174"/>
  <c r="CL55" i="174"/>
  <c r="CJ54" i="174"/>
  <c r="AN54" i="174"/>
  <c r="T56" i="174"/>
  <c r="R54" i="174"/>
  <c r="J54" i="174"/>
  <c r="Y48" i="174"/>
  <c r="Y41" i="174" s="1"/>
  <c r="CJ48" i="174"/>
  <c r="CL48" i="174" s="1"/>
  <c r="AD54" i="174"/>
  <c r="CB54" i="174"/>
  <c r="CL69" i="174"/>
  <c r="CL57" i="174"/>
  <c r="CL59" i="174"/>
  <c r="CL62" i="174"/>
  <c r="CL68" i="174"/>
  <c r="T58" i="174"/>
  <c r="T60" i="174"/>
  <c r="CL61" i="174"/>
  <c r="CL67" i="174"/>
  <c r="T57" i="174"/>
  <c r="T59" i="174"/>
  <c r="CL64" i="174"/>
  <c r="CL78" i="174"/>
  <c r="CL74" i="174"/>
  <c r="CL73" i="174" s="1"/>
  <c r="S77" i="174"/>
  <c r="T82" i="174"/>
  <c r="CQ17" i="175"/>
  <c r="CR17" i="175" s="1"/>
  <c r="AD8" i="175"/>
  <c r="BH8" i="175"/>
  <c r="AN38" i="175"/>
  <c r="CK13" i="175"/>
  <c r="CL13" i="175" s="1"/>
  <c r="CQ20" i="175"/>
  <c r="CR20" i="175" s="1"/>
  <c r="AM75" i="175"/>
  <c r="AM39" i="175"/>
  <c r="AC39" i="175"/>
  <c r="CQ43" i="175"/>
  <c r="CQ41" i="175" s="1"/>
  <c r="CP41" i="175"/>
  <c r="CP75" i="175" s="1"/>
  <c r="CG50" i="175"/>
  <c r="H75" i="175"/>
  <c r="H39" i="175"/>
  <c r="BB38" i="175"/>
  <c r="CF38" i="175"/>
  <c r="AI8" i="175"/>
  <c r="CB8" i="175"/>
  <c r="CK16" i="175"/>
  <c r="CL16" i="175" s="1"/>
  <c r="Y17" i="175"/>
  <c r="CQ22" i="175"/>
  <c r="AW75" i="175"/>
  <c r="AW39" i="175"/>
  <c r="CE38" i="175"/>
  <c r="AD38" i="175"/>
  <c r="J8" i="175"/>
  <c r="T9" i="175"/>
  <c r="R8" i="175"/>
  <c r="CG8" i="175"/>
  <c r="CK10" i="175"/>
  <c r="CL10" i="175" s="1"/>
  <c r="Y10" i="175"/>
  <c r="CK19" i="175"/>
  <c r="CL19" i="175" s="1"/>
  <c r="Y20" i="175"/>
  <c r="BR8" i="175"/>
  <c r="CJ29" i="175"/>
  <c r="CL29" i="175" s="1"/>
  <c r="Y29" i="175"/>
  <c r="CQ32" i="175"/>
  <c r="CR32" i="175" s="1"/>
  <c r="BL39" i="175"/>
  <c r="AB76" i="175"/>
  <c r="BF39" i="175"/>
  <c r="BF75" i="175"/>
  <c r="CA75" i="175"/>
  <c r="CA39" i="175"/>
  <c r="E39" i="175"/>
  <c r="E75" i="175"/>
  <c r="BK38" i="175"/>
  <c r="BU38" i="175"/>
  <c r="R5" i="175"/>
  <c r="R38" i="175" s="1"/>
  <c r="T6" i="175"/>
  <c r="T5" i="175" s="1"/>
  <c r="AR38" i="175"/>
  <c r="BV38" i="175"/>
  <c r="BM8" i="175"/>
  <c r="BW8" i="175"/>
  <c r="CL15" i="175"/>
  <c r="AX8" i="175"/>
  <c r="AX38" i="175" s="1"/>
  <c r="CQ23" i="175"/>
  <c r="CR23" i="175" s="1"/>
  <c r="BQ39" i="175"/>
  <c r="BQ75" i="175"/>
  <c r="AD54" i="175"/>
  <c r="M75" i="175"/>
  <c r="M39" i="175"/>
  <c r="AC81" i="175"/>
  <c r="AC83" i="175" s="1"/>
  <c r="AC84" i="175" s="1"/>
  <c r="AC76" i="175"/>
  <c r="N38" i="175"/>
  <c r="AS8" i="175"/>
  <c r="BC8" i="175"/>
  <c r="CK43" i="175"/>
  <c r="X41" i="175"/>
  <c r="Y43" i="175"/>
  <c r="C75" i="175"/>
  <c r="C39" i="175"/>
  <c r="AG38" i="175"/>
  <c r="AQ75" i="175"/>
  <c r="AQ39" i="175"/>
  <c r="BZ39" i="175"/>
  <c r="BZ75" i="175"/>
  <c r="CP39" i="175"/>
  <c r="AH38" i="175"/>
  <c r="BL81" i="175"/>
  <c r="BL83" i="175" s="1"/>
  <c r="BL84" i="175" s="1"/>
  <c r="BL86" i="175" s="1"/>
  <c r="BL87" i="175" s="1"/>
  <c r="BL76" i="175"/>
  <c r="CK9" i="175"/>
  <c r="Y9" i="175"/>
  <c r="CQ14" i="175"/>
  <c r="CR14" i="175" s="1"/>
  <c r="CQ27" i="175"/>
  <c r="CR27" i="175" s="1"/>
  <c r="CJ28" i="175"/>
  <c r="CL28" i="175" s="1"/>
  <c r="Y28" i="175"/>
  <c r="BC41" i="175"/>
  <c r="BC50" i="175"/>
  <c r="BH54" i="175"/>
  <c r="CL31" i="175"/>
  <c r="BG75" i="175"/>
  <c r="BG39" i="175"/>
  <c r="AI54" i="175"/>
  <c r="CL57" i="175"/>
  <c r="CJ54" i="175"/>
  <c r="J38" i="175"/>
  <c r="W38" i="175"/>
  <c r="CB38" i="175"/>
  <c r="AS38" i="175"/>
  <c r="BW38" i="175"/>
  <c r="Y25" i="175"/>
  <c r="AD35" i="175"/>
  <c r="S41" i="175"/>
  <c r="T44" i="175"/>
  <c r="CJ45" i="175"/>
  <c r="CL45" i="175" s="1"/>
  <c r="Y45" i="175"/>
  <c r="Y41" i="175" s="1"/>
  <c r="D75" i="175"/>
  <c r="D39" i="175"/>
  <c r="Y50" i="175"/>
  <c r="AX54" i="175"/>
  <c r="BA38" i="175"/>
  <c r="O38" i="175"/>
  <c r="Y5" i="175"/>
  <c r="BC5" i="175"/>
  <c r="BC38" i="175" s="1"/>
  <c r="CG5" i="175"/>
  <c r="S8" i="175"/>
  <c r="S38" i="175" s="1"/>
  <c r="CL11" i="175"/>
  <c r="T24" i="175"/>
  <c r="CJ30" i="175"/>
  <c r="CL30" i="175" s="1"/>
  <c r="Y30" i="175"/>
  <c r="CJ36" i="175"/>
  <c r="W35" i="175"/>
  <c r="CG41" i="175"/>
  <c r="O50" i="175"/>
  <c r="R54" i="175"/>
  <c r="AL38" i="175"/>
  <c r="AV38" i="175"/>
  <c r="BP38" i="175"/>
  <c r="CK6" i="175"/>
  <c r="X5" i="175"/>
  <c r="X38" i="175" s="1"/>
  <c r="X75" i="175" s="1"/>
  <c r="X81" i="175" s="1"/>
  <c r="X83" i="175" s="1"/>
  <c r="CL25" i="175"/>
  <c r="CJ26" i="175"/>
  <c r="CL26" i="175" s="1"/>
  <c r="CL47" i="175"/>
  <c r="BM54" i="175"/>
  <c r="CQ54" i="175"/>
  <c r="CQ78" i="175"/>
  <c r="CP77" i="175"/>
  <c r="BM38" i="175"/>
  <c r="AN50" i="175"/>
  <c r="BW54" i="175"/>
  <c r="S54" i="175"/>
  <c r="BH35" i="175"/>
  <c r="CJ42" i="175"/>
  <c r="W41" i="175"/>
  <c r="CL44" i="175"/>
  <c r="S50" i="175"/>
  <c r="CK50" i="175"/>
  <c r="AS54" i="175"/>
  <c r="CL65" i="175"/>
  <c r="T67" i="175"/>
  <c r="CL74" i="175"/>
  <c r="CK73" i="175"/>
  <c r="X77" i="175"/>
  <c r="CK78" i="175"/>
  <c r="Y78" i="175"/>
  <c r="CL46" i="175"/>
  <c r="CL48" i="175"/>
  <c r="CL52" i="175"/>
  <c r="O73" i="175"/>
  <c r="T23" i="175"/>
  <c r="CL24" i="175"/>
  <c r="T36" i="175"/>
  <c r="T35" i="175" s="1"/>
  <c r="AN41" i="175"/>
  <c r="BR41" i="175"/>
  <c r="T43" i="175"/>
  <c r="T45" i="175"/>
  <c r="T47" i="175"/>
  <c r="T51" i="175"/>
  <c r="T50" i="175" s="1"/>
  <c r="T66" i="175"/>
  <c r="T54" i="175" s="1"/>
  <c r="Y69" i="175"/>
  <c r="Y54" i="175" s="1"/>
  <c r="W54" i="175"/>
  <c r="S77" i="175"/>
  <c r="T82" i="175"/>
  <c r="CG39" i="177"/>
  <c r="O39" i="177"/>
  <c r="AI39" i="177"/>
  <c r="T5" i="177"/>
  <c r="AN75" i="177"/>
  <c r="AN39" i="177"/>
  <c r="D75" i="177"/>
  <c r="D39" i="177"/>
  <c r="AB38" i="177"/>
  <c r="AM75" i="177"/>
  <c r="AM39" i="177"/>
  <c r="BA75" i="177"/>
  <c r="BA39" i="177"/>
  <c r="BL75" i="177"/>
  <c r="BL39" i="177"/>
  <c r="CJ5" i="177"/>
  <c r="W8" i="177"/>
  <c r="CQ11" i="177"/>
  <c r="T12" i="177"/>
  <c r="CJ12" i="177"/>
  <c r="CL12" i="177" s="1"/>
  <c r="T15" i="177"/>
  <c r="CL17" i="177"/>
  <c r="CQ18" i="177"/>
  <c r="CR18" i="177" s="1"/>
  <c r="CL20" i="177"/>
  <c r="CQ21" i="177"/>
  <c r="CR21" i="177" s="1"/>
  <c r="CJ24" i="177"/>
  <c r="CL24" i="177" s="1"/>
  <c r="Y24" i="177"/>
  <c r="R38" i="177"/>
  <c r="BM39" i="177"/>
  <c r="H75" i="177"/>
  <c r="H39" i="177"/>
  <c r="AG75" i="177"/>
  <c r="AG39" i="177"/>
  <c r="AR75" i="177"/>
  <c r="AR39" i="177"/>
  <c r="BP75" i="177"/>
  <c r="BP39" i="177"/>
  <c r="CA75" i="177"/>
  <c r="CA39" i="177"/>
  <c r="AS8" i="177"/>
  <c r="BC8" i="177"/>
  <c r="BW8" i="177"/>
  <c r="BW38" i="177" s="1"/>
  <c r="CL10" i="177"/>
  <c r="CJ15" i="177"/>
  <c r="CL15" i="177" s="1"/>
  <c r="Y44" i="177"/>
  <c r="CJ44" i="177"/>
  <c r="CL44" i="177" s="1"/>
  <c r="BB75" i="177"/>
  <c r="BB39" i="177"/>
  <c r="I75" i="177"/>
  <c r="I39" i="177"/>
  <c r="W38" i="177"/>
  <c r="AH38" i="177"/>
  <c r="AS38" i="177"/>
  <c r="BF75" i="177"/>
  <c r="BF39" i="177"/>
  <c r="BQ75" i="177"/>
  <c r="BQ39" i="177"/>
  <c r="CE75" i="177"/>
  <c r="CE39" i="177"/>
  <c r="BR38" i="177"/>
  <c r="CK8" i="177"/>
  <c r="CK38" i="177" s="1"/>
  <c r="CJ33" i="177"/>
  <c r="CL33" i="177" s="1"/>
  <c r="Y33" i="177"/>
  <c r="E39" i="177"/>
  <c r="O41" i="177"/>
  <c r="AI41" i="177"/>
  <c r="AQ75" i="177"/>
  <c r="AQ39" i="177"/>
  <c r="T10" i="177"/>
  <c r="S8" i="177"/>
  <c r="S38" i="177" s="1"/>
  <c r="CJ23" i="177"/>
  <c r="CL23" i="177" s="1"/>
  <c r="Y23" i="177"/>
  <c r="M38" i="177"/>
  <c r="AV38" i="177"/>
  <c r="BG75" i="177"/>
  <c r="BG39" i="177"/>
  <c r="BU75" i="177"/>
  <c r="BU39" i="177"/>
  <c r="CF75" i="177"/>
  <c r="CF39" i="177"/>
  <c r="T14" i="177"/>
  <c r="CJ14" i="177"/>
  <c r="CL14" i="177" s="1"/>
  <c r="CQ26" i="177"/>
  <c r="CR26" i="177" s="1"/>
  <c r="CT26" i="177" s="1"/>
  <c r="AC75" i="177"/>
  <c r="AC39" i="177"/>
  <c r="BZ75" i="177"/>
  <c r="BZ39" i="177"/>
  <c r="C75" i="177"/>
  <c r="C39" i="177"/>
  <c r="N38" i="177"/>
  <c r="AL38" i="177"/>
  <c r="AW75" i="177"/>
  <c r="AW39" i="177"/>
  <c r="BK75" i="177"/>
  <c r="BK39" i="177"/>
  <c r="BV75" i="177"/>
  <c r="BV39" i="177"/>
  <c r="Y6" i="177"/>
  <c r="Y5" i="177" s="1"/>
  <c r="J8" i="177"/>
  <c r="AD8" i="177"/>
  <c r="AX8" i="177"/>
  <c r="BH8" i="177"/>
  <c r="BH38" i="177" s="1"/>
  <c r="CB8" i="177"/>
  <c r="CJ25" i="177"/>
  <c r="CL25" i="177" s="1"/>
  <c r="Y25" i="177"/>
  <c r="Y17" i="177"/>
  <c r="Y8" i="177" s="1"/>
  <c r="T18" i="177"/>
  <c r="Y20" i="177"/>
  <c r="T21" i="177"/>
  <c r="Y26" i="177"/>
  <c r="Y36" i="177"/>
  <c r="Y35" i="177" s="1"/>
  <c r="T42" i="177"/>
  <c r="CJ46" i="177"/>
  <c r="CL46" i="177" s="1"/>
  <c r="Y46" i="177"/>
  <c r="BM50" i="177"/>
  <c r="BM41" i="177"/>
  <c r="CL42" i="177"/>
  <c r="CJ47" i="177"/>
  <c r="CL47" i="177" s="1"/>
  <c r="Y47" i="177"/>
  <c r="CJ31" i="177"/>
  <c r="CL31" i="177" s="1"/>
  <c r="BR41" i="177"/>
  <c r="CQ42" i="177"/>
  <c r="CQ41" i="177" s="1"/>
  <c r="CP41" i="177"/>
  <c r="CL16" i="177"/>
  <c r="CL19" i="177"/>
  <c r="CL22" i="177"/>
  <c r="CL43" i="177"/>
  <c r="T44" i="177"/>
  <c r="CL45" i="177"/>
  <c r="CK52" i="177"/>
  <c r="CK50" i="177" s="1"/>
  <c r="X50" i="177"/>
  <c r="T19" i="177"/>
  <c r="T22" i="177"/>
  <c r="CL36" i="177"/>
  <c r="CJ35" i="177"/>
  <c r="AD41" i="177"/>
  <c r="CG50" i="177"/>
  <c r="S54" i="177"/>
  <c r="CQ58" i="177"/>
  <c r="CQ54" i="177" s="1"/>
  <c r="CP54" i="177"/>
  <c r="BC41" i="177"/>
  <c r="BW41" i="177"/>
  <c r="Y43" i="177"/>
  <c r="O50" i="177"/>
  <c r="CQ50" i="177"/>
  <c r="Y55" i="177"/>
  <c r="CL58" i="177"/>
  <c r="CL60" i="177"/>
  <c r="CJ48" i="177"/>
  <c r="CL48" i="177" s="1"/>
  <c r="Y48" i="177"/>
  <c r="AI50" i="177"/>
  <c r="BC50" i="177"/>
  <c r="X54" i="177"/>
  <c r="CK56" i="177"/>
  <c r="CK54" i="177" s="1"/>
  <c r="AX54" i="177"/>
  <c r="E54" i="177"/>
  <c r="AS41" i="177"/>
  <c r="CP50" i="177"/>
  <c r="CJ52" i="177"/>
  <c r="Y52" i="177"/>
  <c r="AD54" i="177"/>
  <c r="CB54" i="177"/>
  <c r="O54" i="177"/>
  <c r="BH54" i="177"/>
  <c r="W41" i="177"/>
  <c r="CG41" i="177"/>
  <c r="CG75" i="177" s="1"/>
  <c r="Y45" i="177"/>
  <c r="Y41" i="177" s="1"/>
  <c r="J50" i="177"/>
  <c r="CJ51" i="177"/>
  <c r="CL51" i="177" s="1"/>
  <c r="Y51" i="177"/>
  <c r="Y50" i="177" s="1"/>
  <c r="CL55" i="177"/>
  <c r="T56" i="177"/>
  <c r="T54" i="177" s="1"/>
  <c r="R54" i="177"/>
  <c r="T57" i="177"/>
  <c r="CL64" i="177"/>
  <c r="CL65" i="177"/>
  <c r="CL66" i="177"/>
  <c r="CL69" i="177"/>
  <c r="CQ74" i="177"/>
  <c r="CQ73" i="177" s="1"/>
  <c r="CP73" i="177"/>
  <c r="Y56" i="177"/>
  <c r="T58" i="177"/>
  <c r="T60" i="177"/>
  <c r="T62" i="177"/>
  <c r="CJ63" i="177"/>
  <c r="CL63" i="177" s="1"/>
  <c r="Y63" i="177"/>
  <c r="Y58" i="177"/>
  <c r="Y60" i="177"/>
  <c r="CJ62" i="177"/>
  <c r="CL62" i="177" s="1"/>
  <c r="Y62" i="177"/>
  <c r="Y64" i="177"/>
  <c r="Y65" i="177"/>
  <c r="Y66" i="177"/>
  <c r="Y69" i="177"/>
  <c r="CL78" i="177"/>
  <c r="J73" i="177"/>
  <c r="T78" i="177"/>
  <c r="CL85" i="177"/>
  <c r="T85" i="177"/>
  <c r="Y78" i="177"/>
  <c r="CQ23" i="159"/>
  <c r="CR23" i="159" s="1"/>
  <c r="E39" i="159"/>
  <c r="CQ24" i="159"/>
  <c r="CR24" i="159" s="1"/>
  <c r="CQ11" i="159"/>
  <c r="AV75" i="159"/>
  <c r="AV39" i="159"/>
  <c r="CF75" i="159"/>
  <c r="CF39" i="159"/>
  <c r="CJ13" i="159"/>
  <c r="CL13" i="159" s="1"/>
  <c r="Y13" i="159"/>
  <c r="BI14" i="159"/>
  <c r="CJ16" i="159"/>
  <c r="CL16" i="159" s="1"/>
  <c r="Y16" i="159"/>
  <c r="BI17" i="159"/>
  <c r="CJ19" i="159"/>
  <c r="CL19" i="159" s="1"/>
  <c r="Y19" i="159"/>
  <c r="BI20" i="159"/>
  <c r="CJ22" i="159"/>
  <c r="CL22" i="159" s="1"/>
  <c r="Y22" i="159"/>
  <c r="CL27" i="159"/>
  <c r="CQ30" i="159"/>
  <c r="CR30" i="159" s="1"/>
  <c r="AS8" i="159"/>
  <c r="M75" i="159"/>
  <c r="M39" i="159"/>
  <c r="AL75" i="159"/>
  <c r="AL39" i="159"/>
  <c r="BV75" i="159"/>
  <c r="BV39" i="159"/>
  <c r="AD39" i="159"/>
  <c r="BH38" i="159"/>
  <c r="AI8" i="159"/>
  <c r="BM8" i="159"/>
  <c r="BM89" i="159" s="1"/>
  <c r="CQ9" i="159"/>
  <c r="BC8" i="159"/>
  <c r="BI29" i="159"/>
  <c r="CJ32" i="159"/>
  <c r="CL32" i="159" s="1"/>
  <c r="Y32" i="159"/>
  <c r="CP41" i="159"/>
  <c r="CQ43" i="159"/>
  <c r="CQ41" i="159" s="1"/>
  <c r="BI60" i="159"/>
  <c r="H75" i="159"/>
  <c r="H39" i="159"/>
  <c r="C75" i="159"/>
  <c r="C39" i="159"/>
  <c r="N75" i="159"/>
  <c r="N39" i="159"/>
  <c r="AB75" i="159"/>
  <c r="AB39" i="159"/>
  <c r="BL75" i="159"/>
  <c r="BL39" i="159"/>
  <c r="BW39" i="159"/>
  <c r="T10" i="159"/>
  <c r="S8" i="159"/>
  <c r="BI10" i="159"/>
  <c r="BN11" i="159"/>
  <c r="BI12" i="159"/>
  <c r="CJ14" i="159"/>
  <c r="CL14" i="159" s="1"/>
  <c r="Y14" i="159"/>
  <c r="BI15" i="159"/>
  <c r="CJ17" i="159"/>
  <c r="CL17" i="159" s="1"/>
  <c r="Y17" i="159"/>
  <c r="BI18" i="159"/>
  <c r="CJ20" i="159"/>
  <c r="CL20" i="159" s="1"/>
  <c r="Y20" i="159"/>
  <c r="BI21" i="159"/>
  <c r="BI28" i="159"/>
  <c r="CQ28" i="159"/>
  <c r="CR28" i="159" s="1"/>
  <c r="E41" i="159"/>
  <c r="BI64" i="159"/>
  <c r="BI63" i="159"/>
  <c r="BI62" i="159"/>
  <c r="BI61" i="159"/>
  <c r="BI49" i="159"/>
  <c r="BI59" i="159"/>
  <c r="BI58" i="159"/>
  <c r="BI53" i="159"/>
  <c r="BI36" i="159"/>
  <c r="BI57" i="159"/>
  <c r="BI55" i="159"/>
  <c r="BI56" i="159"/>
  <c r="BI26" i="159"/>
  <c r="BI24" i="159"/>
  <c r="BI23" i="159"/>
  <c r="BI11" i="159"/>
  <c r="BI9" i="159"/>
  <c r="D75" i="159"/>
  <c r="D39" i="159"/>
  <c r="AQ75" i="159"/>
  <c r="AQ39" i="159"/>
  <c r="BB75" i="159"/>
  <c r="BB39" i="159"/>
  <c r="S38" i="159"/>
  <c r="S75" i="159" s="1"/>
  <c r="S81" i="159" s="1"/>
  <c r="S83" i="159" s="1"/>
  <c r="S84" i="159" s="1"/>
  <c r="S86" i="159" s="1"/>
  <c r="BR39" i="159"/>
  <c r="CG8" i="159"/>
  <c r="CK31" i="159"/>
  <c r="Y31" i="159"/>
  <c r="AH75" i="159"/>
  <c r="AH39" i="159"/>
  <c r="AG39" i="159"/>
  <c r="AG75" i="159"/>
  <c r="AR75" i="159"/>
  <c r="AR39" i="159"/>
  <c r="T6" i="159"/>
  <c r="T5" i="159" s="1"/>
  <c r="AX38" i="159"/>
  <c r="CB8" i="159"/>
  <c r="CB38" i="159" s="1"/>
  <c r="J8" i="159"/>
  <c r="J38" i="159" s="1"/>
  <c r="CL10" i="159"/>
  <c r="CK8" i="159"/>
  <c r="CK38" i="159" s="1"/>
  <c r="CJ12" i="159"/>
  <c r="CL12" i="159" s="1"/>
  <c r="Y12" i="159"/>
  <c r="BI13" i="159"/>
  <c r="CJ15" i="159"/>
  <c r="CL15" i="159" s="1"/>
  <c r="Y15" i="159"/>
  <c r="BI16" i="159"/>
  <c r="CJ18" i="159"/>
  <c r="CL18" i="159" s="1"/>
  <c r="Y18" i="159"/>
  <c r="BI19" i="159"/>
  <c r="CJ21" i="159"/>
  <c r="CL21" i="159" s="1"/>
  <c r="Y21" i="159"/>
  <c r="BI22" i="159"/>
  <c r="BA38" i="159"/>
  <c r="BK38" i="159"/>
  <c r="BU38" i="159"/>
  <c r="CE38" i="159"/>
  <c r="CJ6" i="159"/>
  <c r="Y27" i="159"/>
  <c r="BN30" i="159"/>
  <c r="CL31" i="159"/>
  <c r="CK47" i="159"/>
  <c r="Y47" i="159"/>
  <c r="CJ52" i="159"/>
  <c r="Y52" i="159"/>
  <c r="Y50" i="159" s="1"/>
  <c r="BW50" i="159"/>
  <c r="CK66" i="159"/>
  <c r="X54" i="159"/>
  <c r="BI25" i="159"/>
  <c r="BI27" i="159"/>
  <c r="CQ29" i="159"/>
  <c r="CR29" i="159" s="1"/>
  <c r="CL42" i="159"/>
  <c r="BF75" i="159"/>
  <c r="BF39" i="159"/>
  <c r="BP75" i="159"/>
  <c r="BP39" i="159"/>
  <c r="BZ75" i="159"/>
  <c r="BZ39" i="159"/>
  <c r="O8" i="159"/>
  <c r="O38" i="159" s="1"/>
  <c r="X8" i="159"/>
  <c r="X38" i="159" s="1"/>
  <c r="J41" i="159"/>
  <c r="BR50" i="159"/>
  <c r="I75" i="159"/>
  <c r="I39" i="159"/>
  <c r="AC75" i="159"/>
  <c r="AC39" i="159"/>
  <c r="AM75" i="159"/>
  <c r="AM39" i="159"/>
  <c r="AW75" i="159"/>
  <c r="AW39" i="159"/>
  <c r="BG75" i="159"/>
  <c r="BG39" i="159"/>
  <c r="BQ75" i="159"/>
  <c r="BQ39" i="159"/>
  <c r="CA75" i="159"/>
  <c r="CA39" i="159"/>
  <c r="Y9" i="159"/>
  <c r="Y11" i="159"/>
  <c r="Y23" i="159"/>
  <c r="Y24" i="159"/>
  <c r="Y25" i="159"/>
  <c r="BI31" i="159"/>
  <c r="E50" i="159"/>
  <c r="AS50" i="159"/>
  <c r="CL26" i="159"/>
  <c r="Y28" i="159"/>
  <c r="T29" i="159"/>
  <c r="BI30" i="159"/>
  <c r="BR35" i="159"/>
  <c r="CB41" i="159"/>
  <c r="BC35" i="159"/>
  <c r="BI43" i="159"/>
  <c r="CL46" i="159"/>
  <c r="T55" i="159"/>
  <c r="R54" i="159"/>
  <c r="AN54" i="159"/>
  <c r="CK56" i="159"/>
  <c r="T57" i="159"/>
  <c r="CJ36" i="159"/>
  <c r="Y36" i="159"/>
  <c r="Y35" i="159" s="1"/>
  <c r="AN35" i="159"/>
  <c r="CK44" i="159"/>
  <c r="CL44" i="159" s="1"/>
  <c r="Y44" i="159"/>
  <c r="X41" i="159"/>
  <c r="O50" i="159"/>
  <c r="T52" i="159"/>
  <c r="T50" i="159" s="1"/>
  <c r="R50" i="159"/>
  <c r="T31" i="159"/>
  <c r="BI33" i="159"/>
  <c r="Y43" i="159"/>
  <c r="Y41" i="159" s="1"/>
  <c r="W41" i="159"/>
  <c r="W75" i="159" s="1"/>
  <c r="CJ43" i="159"/>
  <c r="CJ45" i="159"/>
  <c r="CL45" i="159" s="1"/>
  <c r="BI47" i="159"/>
  <c r="BC50" i="159"/>
  <c r="BI52" i="159"/>
  <c r="BW54" i="159"/>
  <c r="CL64" i="159"/>
  <c r="CJ54" i="159"/>
  <c r="BI32" i="159"/>
  <c r="O35" i="159"/>
  <c r="CG35" i="159"/>
  <c r="T44" i="159"/>
  <c r="R41" i="159"/>
  <c r="BI44" i="159"/>
  <c r="BI46" i="159"/>
  <c r="CL47" i="159"/>
  <c r="CK52" i="159"/>
  <c r="CK50" i="159" s="1"/>
  <c r="X50" i="159"/>
  <c r="AD54" i="159"/>
  <c r="AD75" i="159" s="1"/>
  <c r="CG54" i="159"/>
  <c r="BI45" i="159"/>
  <c r="BI48" i="159"/>
  <c r="E54" i="159"/>
  <c r="AS54" i="159"/>
  <c r="BI66" i="159"/>
  <c r="CL66" i="159"/>
  <c r="BI68" i="159"/>
  <c r="CL68" i="159"/>
  <c r="BI70" i="159"/>
  <c r="CL70" i="159"/>
  <c r="BI51" i="159"/>
  <c r="BR54" i="159"/>
  <c r="CK55" i="159"/>
  <c r="CL55" i="159" s="1"/>
  <c r="T56" i="159"/>
  <c r="T43" i="159"/>
  <c r="T41" i="159" s="1"/>
  <c r="BC54" i="159"/>
  <c r="BN64" i="159"/>
  <c r="BI65" i="159"/>
  <c r="CQ65" i="159"/>
  <c r="CQ54" i="159" s="1"/>
  <c r="BI67" i="159"/>
  <c r="BI69" i="159"/>
  <c r="BI71" i="159"/>
  <c r="BN56" i="159"/>
  <c r="CL57" i="159"/>
  <c r="CL59" i="159"/>
  <c r="Y67" i="159"/>
  <c r="Y69" i="159"/>
  <c r="Y71" i="159"/>
  <c r="CL56" i="159"/>
  <c r="T58" i="159"/>
  <c r="T60" i="159"/>
  <c r="BN63" i="159"/>
  <c r="CL58" i="159"/>
  <c r="Y66" i="159"/>
  <c r="Y54" i="159" s="1"/>
  <c r="Y68" i="159"/>
  <c r="Y70" i="159"/>
  <c r="BN71" i="159"/>
  <c r="CJ73" i="159"/>
  <c r="S77" i="159"/>
  <c r="T79" i="159"/>
  <c r="T77" i="159" s="1"/>
  <c r="J73" i="159"/>
  <c r="R77" i="159"/>
  <c r="J38" i="176"/>
  <c r="AX39" i="176"/>
  <c r="CK9" i="176"/>
  <c r="X8" i="176"/>
  <c r="BW8" i="176"/>
  <c r="BQ75" i="176"/>
  <c r="BQ39" i="176"/>
  <c r="CB38" i="176"/>
  <c r="Y7" i="176"/>
  <c r="CJ7" i="176"/>
  <c r="CL7" i="176" s="1"/>
  <c r="CQ11" i="176"/>
  <c r="CQ13" i="176"/>
  <c r="CR13" i="176" s="1"/>
  <c r="BG75" i="176"/>
  <c r="BG39" i="176"/>
  <c r="BR38" i="176"/>
  <c r="CK6" i="176"/>
  <c r="CK5" i="176" s="1"/>
  <c r="X5" i="176"/>
  <c r="AN8" i="176"/>
  <c r="CQ12" i="176"/>
  <c r="CR12" i="176" s="1"/>
  <c r="CQ30" i="176"/>
  <c r="CR30" i="176" s="1"/>
  <c r="CQ32" i="176"/>
  <c r="CR32" i="176" s="1"/>
  <c r="I38" i="176"/>
  <c r="AW75" i="176"/>
  <c r="AW39" i="176"/>
  <c r="Y6" i="176"/>
  <c r="Y5" i="176" s="1"/>
  <c r="CJ9" i="176"/>
  <c r="Y9" i="176"/>
  <c r="W8" i="176"/>
  <c r="S8" i="176"/>
  <c r="S38" i="176" s="1"/>
  <c r="AI8" i="176"/>
  <c r="AI38" i="176" s="1"/>
  <c r="Y11" i="176"/>
  <c r="Y14" i="176"/>
  <c r="CJ14" i="176"/>
  <c r="CL14" i="176" s="1"/>
  <c r="CL15" i="176"/>
  <c r="CJ16" i="176"/>
  <c r="CL16" i="176" s="1"/>
  <c r="Y16" i="176"/>
  <c r="CQ20" i="176"/>
  <c r="CR20" i="176" s="1"/>
  <c r="CQ23" i="176"/>
  <c r="CR23" i="176" s="1"/>
  <c r="AM75" i="176"/>
  <c r="AM39" i="176"/>
  <c r="CJ29" i="176"/>
  <c r="CL29" i="176" s="1"/>
  <c r="Y29" i="176"/>
  <c r="AC75" i="176"/>
  <c r="AC39" i="176"/>
  <c r="AN38" i="176"/>
  <c r="R8" i="176"/>
  <c r="R38" i="176" s="1"/>
  <c r="AD38" i="176"/>
  <c r="CA75" i="176"/>
  <c r="CA39" i="176"/>
  <c r="BW38" i="176"/>
  <c r="BH8" i="176"/>
  <c r="O8" i="176"/>
  <c r="O38" i="176" s="1"/>
  <c r="CQ18" i="176"/>
  <c r="CR18" i="176" s="1"/>
  <c r="BM41" i="176"/>
  <c r="CQ42" i="176"/>
  <c r="CQ41" i="176" s="1"/>
  <c r="CP41" i="176"/>
  <c r="CP54" i="176"/>
  <c r="CQ60" i="176"/>
  <c r="Y43" i="176"/>
  <c r="CK43" i="176"/>
  <c r="X41" i="176"/>
  <c r="CB41" i="176"/>
  <c r="O50" i="176"/>
  <c r="CG50" i="176"/>
  <c r="C38" i="176"/>
  <c r="M75" i="176"/>
  <c r="M39" i="176"/>
  <c r="AG75" i="176"/>
  <c r="AG39" i="176"/>
  <c r="BA39" i="176"/>
  <c r="BA75" i="176"/>
  <c r="CE39" i="176"/>
  <c r="CE75" i="176"/>
  <c r="CK21" i="176"/>
  <c r="CL21" i="176" s="1"/>
  <c r="Y21" i="176"/>
  <c r="N81" i="176"/>
  <c r="N83" i="176" s="1"/>
  <c r="N84" i="176" s="1"/>
  <c r="N86" i="176" s="1"/>
  <c r="N87" i="176" s="1"/>
  <c r="N76" i="176"/>
  <c r="AR75" i="176"/>
  <c r="AR39" i="176"/>
  <c r="BV75" i="176"/>
  <c r="BV39" i="176"/>
  <c r="E8" i="176"/>
  <c r="T6" i="176"/>
  <c r="T5" i="176" s="1"/>
  <c r="AS8" i="176"/>
  <c r="BC8" i="176"/>
  <c r="BC38" i="176" s="1"/>
  <c r="BM8" i="176"/>
  <c r="CG8" i="176"/>
  <c r="Y10" i="176"/>
  <c r="CL19" i="176"/>
  <c r="CQ27" i="176"/>
  <c r="CR27" i="176" s="1"/>
  <c r="AD35" i="176"/>
  <c r="BC35" i="176"/>
  <c r="T47" i="176"/>
  <c r="S41" i="176"/>
  <c r="AI54" i="176"/>
  <c r="AX54" i="176"/>
  <c r="X54" i="176"/>
  <c r="CK60" i="176"/>
  <c r="AN41" i="176"/>
  <c r="W38" i="176"/>
  <c r="AQ39" i="176"/>
  <c r="AQ75" i="176"/>
  <c r="BU39" i="176"/>
  <c r="BU75" i="176"/>
  <c r="CP38" i="176"/>
  <c r="CK22" i="176"/>
  <c r="CL22" i="176" s="1"/>
  <c r="Y22" i="176"/>
  <c r="Y68" i="176"/>
  <c r="CJ68" i="176"/>
  <c r="CL68" i="176" s="1"/>
  <c r="D38" i="176"/>
  <c r="BB75" i="176"/>
  <c r="BB39" i="176"/>
  <c r="BL38" i="176"/>
  <c r="CF75" i="176"/>
  <c r="CF39" i="176"/>
  <c r="H39" i="176"/>
  <c r="H75" i="176"/>
  <c r="AB75" i="176"/>
  <c r="AB39" i="176"/>
  <c r="AL75" i="176"/>
  <c r="AL39" i="176"/>
  <c r="AV75" i="176"/>
  <c r="AV39" i="176"/>
  <c r="BF75" i="176"/>
  <c r="BF39" i="176"/>
  <c r="BP75" i="176"/>
  <c r="BP39" i="176"/>
  <c r="BZ75" i="176"/>
  <c r="BZ39" i="176"/>
  <c r="Y23" i="176"/>
  <c r="Y27" i="176"/>
  <c r="CQ28" i="176"/>
  <c r="CR28" i="176" s="1"/>
  <c r="T31" i="176"/>
  <c r="T8" i="176" s="1"/>
  <c r="CL31" i="176"/>
  <c r="N39" i="176"/>
  <c r="O41" i="176"/>
  <c r="BM54" i="176"/>
  <c r="BH54" i="176"/>
  <c r="T63" i="176"/>
  <c r="R54" i="176"/>
  <c r="BW54" i="176"/>
  <c r="BK75" i="176"/>
  <c r="BK39" i="176"/>
  <c r="T41" i="176"/>
  <c r="T52" i="176"/>
  <c r="T50" i="176" s="1"/>
  <c r="S50" i="176"/>
  <c r="AH75" i="176"/>
  <c r="AH39" i="176"/>
  <c r="CL24" i="176"/>
  <c r="CJ41" i="176"/>
  <c r="CL42" i="176"/>
  <c r="AX41" i="176"/>
  <c r="CG54" i="176"/>
  <c r="AN35" i="176"/>
  <c r="CG41" i="176"/>
  <c r="CL48" i="176"/>
  <c r="Y52" i="176"/>
  <c r="X50" i="176"/>
  <c r="CK52" i="176"/>
  <c r="CK65" i="176"/>
  <c r="Y65" i="176"/>
  <c r="Y36" i="176"/>
  <c r="Y35" i="176" s="1"/>
  <c r="W35" i="176"/>
  <c r="CJ36" i="176"/>
  <c r="CL44" i="176"/>
  <c r="Y46" i="176"/>
  <c r="CK46" i="176"/>
  <c r="CL46" i="176" s="1"/>
  <c r="CL51" i="176"/>
  <c r="AX50" i="176"/>
  <c r="J50" i="176"/>
  <c r="CB54" i="176"/>
  <c r="CJ57" i="176"/>
  <c r="CL57" i="176" s="1"/>
  <c r="Y57" i="176"/>
  <c r="W54" i="176"/>
  <c r="Y59" i="176"/>
  <c r="E54" i="176"/>
  <c r="S54" i="176"/>
  <c r="CL60" i="176"/>
  <c r="AD54" i="176"/>
  <c r="CL26" i="176"/>
  <c r="BH35" i="176"/>
  <c r="CL47" i="176"/>
  <c r="AN50" i="176"/>
  <c r="BM50" i="176"/>
  <c r="CQ51" i="176"/>
  <c r="CQ50" i="176" s="1"/>
  <c r="CP50" i="176"/>
  <c r="CL55" i="176"/>
  <c r="O54" i="176"/>
  <c r="BC54" i="176"/>
  <c r="O35" i="176"/>
  <c r="CG35" i="176"/>
  <c r="BC41" i="176"/>
  <c r="BC50" i="176"/>
  <c r="J54" i="176"/>
  <c r="T36" i="176"/>
  <c r="T35" i="176" s="1"/>
  <c r="BR35" i="176"/>
  <c r="AI41" i="176"/>
  <c r="AI50" i="176"/>
  <c r="CB50" i="176"/>
  <c r="CK62" i="176"/>
  <c r="CK54" i="176" s="1"/>
  <c r="Y67" i="176"/>
  <c r="CJ67" i="176"/>
  <c r="CL67" i="176" s="1"/>
  <c r="Y71" i="176"/>
  <c r="CJ71" i="176"/>
  <c r="CL71" i="176" s="1"/>
  <c r="Y31" i="176"/>
  <c r="J41" i="176"/>
  <c r="Y41" i="176"/>
  <c r="Y50" i="176"/>
  <c r="BR50" i="176"/>
  <c r="AN54" i="176"/>
  <c r="BR54" i="176"/>
  <c r="Y63" i="176"/>
  <c r="Y69" i="176"/>
  <c r="CJ69" i="176"/>
  <c r="CL69" i="176" s="1"/>
  <c r="CK77" i="176"/>
  <c r="Y60" i="176"/>
  <c r="CJ66" i="176"/>
  <c r="CL66" i="176" s="1"/>
  <c r="T61" i="176"/>
  <c r="T54" i="176" s="1"/>
  <c r="T64" i="176"/>
  <c r="T67" i="176"/>
  <c r="T69" i="176"/>
  <c r="T71" i="176"/>
  <c r="O73" i="176"/>
  <c r="CL78" i="176"/>
  <c r="CL62" i="176"/>
  <c r="CL65" i="176"/>
  <c r="T68" i="176"/>
  <c r="T70" i="176"/>
  <c r="CJ70" i="176"/>
  <c r="CL70" i="176" s="1"/>
  <c r="T78" i="176"/>
  <c r="X77" i="176"/>
  <c r="X38" i="176" l="1"/>
  <c r="BC30" i="157"/>
  <c r="BC8" i="157" s="1"/>
  <c r="BA39" i="171"/>
  <c r="BA76" i="171"/>
  <c r="BA38" i="157"/>
  <c r="BA39" i="157" s="1"/>
  <c r="BW75" i="159"/>
  <c r="T8" i="159"/>
  <c r="BM75" i="177"/>
  <c r="Y54" i="176"/>
  <c r="AX75" i="176"/>
  <c r="R75" i="176"/>
  <c r="CK8" i="176"/>
  <c r="CK38" i="176" s="1"/>
  <c r="T54" i="159"/>
  <c r="BR89" i="159"/>
  <c r="X75" i="159"/>
  <c r="X81" i="159" s="1"/>
  <c r="X83" i="159" s="1"/>
  <c r="CG89" i="159"/>
  <c r="S75" i="177"/>
  <c r="S81" i="177" s="1"/>
  <c r="S83" i="177" s="1"/>
  <c r="S84" i="177" s="1"/>
  <c r="S86" i="177" s="1"/>
  <c r="T41" i="175"/>
  <c r="BM89" i="176"/>
  <c r="R75" i="159"/>
  <c r="R81" i="159" s="1"/>
  <c r="R83" i="159" s="1"/>
  <c r="R84" i="159" s="1"/>
  <c r="R86" i="159" s="1"/>
  <c r="CP75" i="177"/>
  <c r="Y38" i="177"/>
  <c r="T8" i="177"/>
  <c r="BM89" i="177"/>
  <c r="BN9" i="177" s="1"/>
  <c r="W75" i="175"/>
  <c r="S75" i="176"/>
  <c r="S81" i="176" s="1"/>
  <c r="S83" i="176" s="1"/>
  <c r="S84" i="176" s="1"/>
  <c r="S86" i="176" s="1"/>
  <c r="X75" i="176"/>
  <c r="X81" i="176" s="1"/>
  <c r="X83" i="176" s="1"/>
  <c r="X75" i="177"/>
  <c r="X81" i="177" s="1"/>
  <c r="X83" i="177" s="1"/>
  <c r="CJ8" i="175"/>
  <c r="CJ38" i="175" s="1"/>
  <c r="T54" i="174"/>
  <c r="CH24" i="167"/>
  <c r="CH26" i="167"/>
  <c r="R75" i="174"/>
  <c r="X75" i="174"/>
  <c r="X81" i="174" s="1"/>
  <c r="X83" i="174" s="1"/>
  <c r="Y54" i="174"/>
  <c r="CL74" i="167"/>
  <c r="CL73" i="167" s="1"/>
  <c r="CC59" i="167"/>
  <c r="BC38" i="171"/>
  <c r="BC39" i="171" s="1"/>
  <c r="Y30" i="158"/>
  <c r="Y59" i="157"/>
  <c r="CL7" i="157"/>
  <c r="Y66" i="157"/>
  <c r="Y27" i="158"/>
  <c r="CJ27" i="158"/>
  <c r="CL27" i="158" s="1"/>
  <c r="N39" i="167"/>
  <c r="N75" i="167"/>
  <c r="BD10" i="167"/>
  <c r="T38" i="167"/>
  <c r="BX26" i="167"/>
  <c r="S75" i="171"/>
  <c r="S81" i="171" s="1"/>
  <c r="S83" i="171" s="1"/>
  <c r="S84" i="171" s="1"/>
  <c r="S86" i="171" s="1"/>
  <c r="Y54" i="171"/>
  <c r="CB38" i="171"/>
  <c r="BM89" i="171"/>
  <c r="CL6" i="158"/>
  <c r="CL5" i="158" s="1"/>
  <c r="CL10" i="157"/>
  <c r="AN54" i="158"/>
  <c r="BC38" i="167"/>
  <c r="CJ25" i="171"/>
  <c r="CL25" i="171" s="1"/>
  <c r="CQ25" i="171" s="1"/>
  <c r="CR25" i="171" s="1"/>
  <c r="CT25" i="171" s="1"/>
  <c r="Y25" i="171"/>
  <c r="CL9" i="177"/>
  <c r="CQ9" i="177" s="1"/>
  <c r="BW75" i="174"/>
  <c r="Y8" i="174"/>
  <c r="CB75" i="167"/>
  <c r="CC27" i="171"/>
  <c r="AD38" i="171"/>
  <c r="CG75" i="158"/>
  <c r="AC54" i="157"/>
  <c r="Y21" i="157"/>
  <c r="CG54" i="157"/>
  <c r="Y50" i="158"/>
  <c r="X55" i="157"/>
  <c r="CK55" i="157" s="1"/>
  <c r="AW38" i="158"/>
  <c r="CL6" i="177"/>
  <c r="CL5" i="177" s="1"/>
  <c r="Y54" i="167"/>
  <c r="CG89" i="171"/>
  <c r="AE10" i="171"/>
  <c r="CK8" i="171"/>
  <c r="CK38" i="171" s="1"/>
  <c r="BW75" i="158"/>
  <c r="T8" i="158"/>
  <c r="AI68" i="158"/>
  <c r="AH68" i="157"/>
  <c r="CL59" i="157"/>
  <c r="I75" i="175"/>
  <c r="I39" i="175"/>
  <c r="Y65" i="157"/>
  <c r="CJ30" i="157"/>
  <c r="CL69" i="157"/>
  <c r="Y60" i="157"/>
  <c r="BU75" i="157"/>
  <c r="AW75" i="157"/>
  <c r="AW81" i="157" s="1"/>
  <c r="AW83" i="157" s="1"/>
  <c r="AW84" i="157" s="1"/>
  <c r="AW86" i="157" s="1"/>
  <c r="AW87" i="157" s="1"/>
  <c r="CJ32" i="157"/>
  <c r="CL12" i="157"/>
  <c r="CK52" i="157"/>
  <c r="CK50" i="157" s="1"/>
  <c r="CL11" i="157"/>
  <c r="CK6" i="157"/>
  <c r="CK5" i="157" s="1"/>
  <c r="AX5" i="157"/>
  <c r="O75" i="157"/>
  <c r="O39" i="157"/>
  <c r="BH54" i="157"/>
  <c r="AY106" i="157"/>
  <c r="BE106" i="157"/>
  <c r="CK77" i="157"/>
  <c r="Y63" i="157"/>
  <c r="CJ63" i="157"/>
  <c r="CL63" i="157" s="1"/>
  <c r="BG75" i="157"/>
  <c r="BG39" i="157"/>
  <c r="Y15" i="157"/>
  <c r="CJ15" i="157"/>
  <c r="CL15" i="157" s="1"/>
  <c r="BQ81" i="157"/>
  <c r="BQ83" i="157" s="1"/>
  <c r="BQ84" i="157" s="1"/>
  <c r="BQ86" i="157" s="1"/>
  <c r="BQ87" i="157" s="1"/>
  <c r="BQ76" i="157"/>
  <c r="CA75" i="157"/>
  <c r="CA39" i="157"/>
  <c r="Y28" i="157"/>
  <c r="CJ28" i="157"/>
  <c r="CL28" i="157" s="1"/>
  <c r="Y64" i="157"/>
  <c r="CJ64" i="157"/>
  <c r="CL64" i="157" s="1"/>
  <c r="Y14" i="157"/>
  <c r="CJ14" i="157"/>
  <c r="CL14" i="157" s="1"/>
  <c r="CF75" i="157"/>
  <c r="CF39" i="157"/>
  <c r="AI50" i="157"/>
  <c r="BM41" i="157"/>
  <c r="BE107" i="157"/>
  <c r="AY107" i="157"/>
  <c r="AY110" i="157"/>
  <c r="BE110" i="157"/>
  <c r="CJ67" i="157"/>
  <c r="CL67" i="157" s="1"/>
  <c r="BU76" i="157"/>
  <c r="BZ75" i="157"/>
  <c r="BZ39" i="157"/>
  <c r="R75" i="157"/>
  <c r="R81" i="157" s="1"/>
  <c r="R83" i="157" s="1"/>
  <c r="R84" i="157" s="1"/>
  <c r="R86" i="157" s="1"/>
  <c r="Y19" i="157"/>
  <c r="CJ19" i="157"/>
  <c r="CL19" i="157" s="1"/>
  <c r="CK47" i="157"/>
  <c r="CL47" i="157" s="1"/>
  <c r="Y47" i="157"/>
  <c r="Y18" i="157"/>
  <c r="CJ18" i="157"/>
  <c r="CL18" i="157" s="1"/>
  <c r="AM75" i="157"/>
  <c r="AM39" i="157"/>
  <c r="BW41" i="157"/>
  <c r="CJ35" i="157"/>
  <c r="Y45" i="157"/>
  <c r="CJ45" i="157"/>
  <c r="CL45" i="157" s="1"/>
  <c r="Y43" i="157"/>
  <c r="CJ43" i="157"/>
  <c r="CL43" i="157" s="1"/>
  <c r="AY98" i="157"/>
  <c r="BE98" i="157"/>
  <c r="BC54" i="157"/>
  <c r="CB50" i="157"/>
  <c r="BP75" i="157"/>
  <c r="BP39" i="157"/>
  <c r="I75" i="157"/>
  <c r="I39" i="157"/>
  <c r="Y16" i="157"/>
  <c r="CJ16" i="157"/>
  <c r="CL16" i="157" s="1"/>
  <c r="BL75" i="157"/>
  <c r="BL39" i="157"/>
  <c r="BM50" i="157"/>
  <c r="Y51" i="157"/>
  <c r="CJ51" i="157"/>
  <c r="CL51" i="157" s="1"/>
  <c r="AN54" i="157"/>
  <c r="BR41" i="157"/>
  <c r="Y58" i="157"/>
  <c r="CJ58" i="157"/>
  <c r="CL58" i="157" s="1"/>
  <c r="CK41" i="157"/>
  <c r="CK36" i="157"/>
  <c r="CK35" i="157" s="1"/>
  <c r="Y20" i="157"/>
  <c r="CJ20" i="157"/>
  <c r="CL20" i="157" s="1"/>
  <c r="AG75" i="157"/>
  <c r="AG39" i="157"/>
  <c r="D76" i="157"/>
  <c r="D81" i="157"/>
  <c r="D83" i="157" s="1"/>
  <c r="D84" i="157" s="1"/>
  <c r="CJ13" i="157"/>
  <c r="CL13" i="157" s="1"/>
  <c r="Y13" i="157"/>
  <c r="Y17" i="157"/>
  <c r="CJ17" i="157"/>
  <c r="CL17" i="157" s="1"/>
  <c r="CE75" i="157"/>
  <c r="CE39" i="157"/>
  <c r="BE105" i="157"/>
  <c r="AY105" i="157"/>
  <c r="AY101" i="157"/>
  <c r="BE101" i="157"/>
  <c r="Y78" i="157"/>
  <c r="CJ68" i="157"/>
  <c r="BR35" i="157"/>
  <c r="CJ33" i="157"/>
  <c r="CL33" i="157" s="1"/>
  <c r="Y33" i="157"/>
  <c r="BR50" i="157"/>
  <c r="CL48" i="157"/>
  <c r="BF75" i="157"/>
  <c r="BF39" i="157"/>
  <c r="H76" i="157"/>
  <c r="S75" i="157"/>
  <c r="S81" i="157" s="1"/>
  <c r="S83" i="157" s="1"/>
  <c r="S84" i="157" s="1"/>
  <c r="S86" i="157" s="1"/>
  <c r="AI41" i="157"/>
  <c r="BM5" i="157"/>
  <c r="CJ23" i="157"/>
  <c r="CL23" i="157" s="1"/>
  <c r="AI5" i="157"/>
  <c r="BE100" i="157"/>
  <c r="AY100" i="157"/>
  <c r="AY96" i="157"/>
  <c r="BE96" i="157"/>
  <c r="AY109" i="157"/>
  <c r="BE109" i="157"/>
  <c r="AY99" i="157"/>
  <c r="BE99" i="157"/>
  <c r="CL61" i="157"/>
  <c r="CJ78" i="157"/>
  <c r="CL66" i="157"/>
  <c r="BM54" i="157"/>
  <c r="BR54" i="157"/>
  <c r="BW54" i="157"/>
  <c r="CB54" i="157"/>
  <c r="Y42" i="157"/>
  <c r="W41" i="157"/>
  <c r="T41" i="157"/>
  <c r="AV39" i="157"/>
  <c r="AV75" i="157"/>
  <c r="CJ22" i="157"/>
  <c r="CL22" i="157" s="1"/>
  <c r="Y22" i="157"/>
  <c r="BC41" i="157"/>
  <c r="Y52" i="157"/>
  <c r="W50" i="157"/>
  <c r="CJ52" i="157"/>
  <c r="AS35" i="157"/>
  <c r="Y29" i="157"/>
  <c r="CB39" i="157"/>
  <c r="E38" i="157"/>
  <c r="BV75" i="157"/>
  <c r="BV39" i="157"/>
  <c r="BB75" i="157"/>
  <c r="BB39" i="157"/>
  <c r="BA75" i="157"/>
  <c r="BM8" i="157"/>
  <c r="C76" i="157"/>
  <c r="BW8" i="157"/>
  <c r="N76" i="157"/>
  <c r="N81" i="157"/>
  <c r="N83" i="157" s="1"/>
  <c r="N84" i="157" s="1"/>
  <c r="N86" i="157" s="1"/>
  <c r="N87" i="157" s="1"/>
  <c r="BE97" i="157"/>
  <c r="AY97" i="157"/>
  <c r="AY95" i="157"/>
  <c r="BE95" i="157"/>
  <c r="AZ118" i="157"/>
  <c r="AY117" i="157"/>
  <c r="CL55" i="157"/>
  <c r="W54" i="157"/>
  <c r="Y55" i="157"/>
  <c r="AS50" i="157"/>
  <c r="AN35" i="157"/>
  <c r="Y46" i="157"/>
  <c r="CJ46" i="157"/>
  <c r="CL46" i="157" s="1"/>
  <c r="Y56" i="157"/>
  <c r="CJ56" i="157"/>
  <c r="CL56" i="157" s="1"/>
  <c r="CL42" i="157"/>
  <c r="AX54" i="157"/>
  <c r="CL29" i="157"/>
  <c r="AS41" i="157"/>
  <c r="Y69" i="157"/>
  <c r="AR75" i="157"/>
  <c r="AR39" i="157"/>
  <c r="CG41" i="157"/>
  <c r="BH8" i="157"/>
  <c r="CJ44" i="157"/>
  <c r="CL44" i="157" s="1"/>
  <c r="Y44" i="157"/>
  <c r="BK75" i="157"/>
  <c r="BK39" i="157"/>
  <c r="AQ38" i="157"/>
  <c r="BE102" i="157"/>
  <c r="AY102" i="157"/>
  <c r="AY104" i="157"/>
  <c r="BE104" i="157"/>
  <c r="Y71" i="157"/>
  <c r="CJ71" i="157"/>
  <c r="CL71" i="157" s="1"/>
  <c r="X77" i="157"/>
  <c r="Y61" i="157"/>
  <c r="CL60" i="157"/>
  <c r="T54" i="157"/>
  <c r="Y70" i="157"/>
  <c r="CJ70" i="157"/>
  <c r="CL70" i="157" s="1"/>
  <c r="AN50" i="157"/>
  <c r="CJ57" i="157"/>
  <c r="CL57" i="157" s="1"/>
  <c r="X41" i="157"/>
  <c r="CL65" i="157"/>
  <c r="AS54" i="157"/>
  <c r="Y36" i="157"/>
  <c r="Y35" i="157" s="1"/>
  <c r="W35" i="157"/>
  <c r="AD54" i="157"/>
  <c r="CL32" i="157"/>
  <c r="AB75" i="157"/>
  <c r="AB39" i="157"/>
  <c r="Y74" i="157"/>
  <c r="Y73" i="157" s="1"/>
  <c r="Y48" i="157"/>
  <c r="Y62" i="157"/>
  <c r="CJ62" i="157"/>
  <c r="CL62" i="157" s="1"/>
  <c r="AX41" i="157"/>
  <c r="CL27" i="157"/>
  <c r="Y27" i="157"/>
  <c r="CJ21" i="157"/>
  <c r="CL21" i="157" s="1"/>
  <c r="AX8" i="157"/>
  <c r="CG8" i="157"/>
  <c r="AS5" i="157"/>
  <c r="AS38" i="157" s="1"/>
  <c r="J75" i="157"/>
  <c r="J39" i="157"/>
  <c r="BR8" i="157"/>
  <c r="M76" i="157"/>
  <c r="BE94" i="157"/>
  <c r="AY94" i="157"/>
  <c r="BE103" i="157"/>
  <c r="AY103" i="157"/>
  <c r="AY108" i="157"/>
  <c r="BE108" i="157"/>
  <c r="BA75" i="158"/>
  <c r="BA39" i="158"/>
  <c r="X68" i="158"/>
  <c r="CK68" i="158" s="1"/>
  <c r="AC54" i="158"/>
  <c r="AD68" i="158"/>
  <c r="BZ75" i="158"/>
  <c r="BZ39" i="158"/>
  <c r="BW76" i="158"/>
  <c r="AQ39" i="158"/>
  <c r="AQ75" i="158"/>
  <c r="BP75" i="158"/>
  <c r="BP39" i="158"/>
  <c r="Y28" i="158"/>
  <c r="CJ28" i="158"/>
  <c r="CL28" i="158" s="1"/>
  <c r="W8" i="158"/>
  <c r="W38" i="158" s="1"/>
  <c r="CF81" i="158"/>
  <c r="CF83" i="158" s="1"/>
  <c r="CF84" i="158" s="1"/>
  <c r="CF86" i="158" s="1"/>
  <c r="CF87" i="158" s="1"/>
  <c r="CF76" i="158"/>
  <c r="BB81" i="158"/>
  <c r="BB83" i="158" s="1"/>
  <c r="BB84" i="158" s="1"/>
  <c r="BB86" i="158" s="1"/>
  <c r="BB87" i="158" s="1"/>
  <c r="BB76" i="158"/>
  <c r="D81" i="158"/>
  <c r="D83" i="158" s="1"/>
  <c r="D84" i="158" s="1"/>
  <c r="D76" i="158"/>
  <c r="T38" i="158"/>
  <c r="CG76" i="158"/>
  <c r="AN8" i="158"/>
  <c r="I81" i="158"/>
  <c r="I83" i="158" s="1"/>
  <c r="I84" i="158" s="1"/>
  <c r="I86" i="158" s="1"/>
  <c r="I87" i="158" s="1"/>
  <c r="I76" i="158"/>
  <c r="AS38" i="158"/>
  <c r="CJ64" i="158"/>
  <c r="CL64" i="158" s="1"/>
  <c r="Y64" i="158"/>
  <c r="AS54" i="158"/>
  <c r="BR38" i="158"/>
  <c r="Y68" i="158"/>
  <c r="CJ68" i="158"/>
  <c r="AI54" i="158"/>
  <c r="CL44" i="158"/>
  <c r="C75" i="158"/>
  <c r="C39" i="158"/>
  <c r="AI8" i="158"/>
  <c r="AX75" i="158"/>
  <c r="CL50" i="158"/>
  <c r="CL30" i="158"/>
  <c r="CP75" i="158"/>
  <c r="CP39" i="158"/>
  <c r="AG75" i="158"/>
  <c r="AG39" i="158"/>
  <c r="BG76" i="158"/>
  <c r="BG81" i="158"/>
  <c r="BG83" i="158" s="1"/>
  <c r="BG84" i="158" s="1"/>
  <c r="BG86" i="158" s="1"/>
  <c r="BG87" i="158" s="1"/>
  <c r="BQ81" i="158"/>
  <c r="BQ83" i="158" s="1"/>
  <c r="BQ84" i="158" s="1"/>
  <c r="BQ86" i="158" s="1"/>
  <c r="BQ87" i="158" s="1"/>
  <c r="BQ76" i="158"/>
  <c r="BF75" i="158"/>
  <c r="BF39" i="158"/>
  <c r="H76" i="158"/>
  <c r="O75" i="158"/>
  <c r="O39" i="158"/>
  <c r="Y56" i="158"/>
  <c r="CJ56" i="158"/>
  <c r="CL56" i="158" s="1"/>
  <c r="Y36" i="158"/>
  <c r="Y35" i="158" s="1"/>
  <c r="W35" i="158"/>
  <c r="CJ36" i="158"/>
  <c r="T41" i="158"/>
  <c r="BV81" i="158"/>
  <c r="BV83" i="158" s="1"/>
  <c r="BV84" i="158" s="1"/>
  <c r="BV86" i="158" s="1"/>
  <c r="BV87" i="158" s="1"/>
  <c r="BV76" i="158"/>
  <c r="AR81" i="158"/>
  <c r="AR83" i="158" s="1"/>
  <c r="AR84" i="158" s="1"/>
  <c r="AR86" i="158" s="1"/>
  <c r="AR87" i="158" s="1"/>
  <c r="AR76" i="158"/>
  <c r="CE75" i="158"/>
  <c r="CE39" i="158"/>
  <c r="BM89" i="158"/>
  <c r="AM75" i="158"/>
  <c r="AM39" i="158"/>
  <c r="AV75" i="158"/>
  <c r="AV39" i="158"/>
  <c r="E75" i="158"/>
  <c r="E39" i="158"/>
  <c r="J75" i="158"/>
  <c r="J39" i="158"/>
  <c r="BH38" i="158"/>
  <c r="W54" i="158"/>
  <c r="CQ32" i="158"/>
  <c r="CR32" i="158" s="1"/>
  <c r="CQ31" i="158"/>
  <c r="AH75" i="158"/>
  <c r="AH39" i="158"/>
  <c r="CA76" i="158"/>
  <c r="CA81" i="158"/>
  <c r="CA83" i="158" s="1"/>
  <c r="CA84" i="158" s="1"/>
  <c r="CA86" i="158" s="1"/>
  <c r="CA87" i="158" s="1"/>
  <c r="BU75" i="158"/>
  <c r="BU39" i="158"/>
  <c r="BC8" i="158"/>
  <c r="S75" i="158"/>
  <c r="S81" i="158" s="1"/>
  <c r="S83" i="158" s="1"/>
  <c r="S84" i="158" s="1"/>
  <c r="S86" i="158" s="1"/>
  <c r="AL75" i="158"/>
  <c r="AL39" i="158"/>
  <c r="BM38" i="158"/>
  <c r="CB75" i="158"/>
  <c r="CB39" i="158"/>
  <c r="X54" i="158"/>
  <c r="CK55" i="158"/>
  <c r="CK54" i="158" s="1"/>
  <c r="Y55" i="158"/>
  <c r="CJ8" i="158"/>
  <c r="CJ38" i="158" s="1"/>
  <c r="CL10" i="158"/>
  <c r="N75" i="158"/>
  <c r="N39" i="158"/>
  <c r="Y47" i="158"/>
  <c r="Y41" i="158" s="1"/>
  <c r="CJ47" i="158"/>
  <c r="CL47" i="158" s="1"/>
  <c r="BK75" i="158"/>
  <c r="BK39" i="158"/>
  <c r="M76" i="158"/>
  <c r="AD41" i="158"/>
  <c r="CK9" i="158"/>
  <c r="X8" i="158"/>
  <c r="Y9" i="158"/>
  <c r="Y8" i="158" s="1"/>
  <c r="Y38" i="158" s="1"/>
  <c r="AN38" i="158"/>
  <c r="AB75" i="158"/>
  <c r="AB39" i="158"/>
  <c r="AD38" i="158"/>
  <c r="AD39" i="158" s="1"/>
  <c r="X38" i="158"/>
  <c r="BH75" i="171"/>
  <c r="BH39" i="171"/>
  <c r="T89" i="171"/>
  <c r="CK75" i="171"/>
  <c r="CK39" i="171"/>
  <c r="AD75" i="171"/>
  <c r="AD39" i="171"/>
  <c r="Y41" i="171"/>
  <c r="AC75" i="171"/>
  <c r="AC39" i="171"/>
  <c r="AL76" i="171"/>
  <c r="CJ54" i="171"/>
  <c r="CL55" i="171"/>
  <c r="BK75" i="171"/>
  <c r="BK39" i="171"/>
  <c r="O89" i="171"/>
  <c r="CH67" i="171"/>
  <c r="CH61" i="171"/>
  <c r="CH55" i="171"/>
  <c r="CH65" i="171"/>
  <c r="CH59" i="171"/>
  <c r="CH70" i="171"/>
  <c r="CH66" i="171"/>
  <c r="CH58" i="171"/>
  <c r="CH53" i="171"/>
  <c r="CH64" i="171"/>
  <c r="CH60" i="171"/>
  <c r="CH49" i="171"/>
  <c r="CH36" i="171"/>
  <c r="CH31" i="171"/>
  <c r="CH63" i="171"/>
  <c r="CH62" i="171"/>
  <c r="CH57" i="171"/>
  <c r="CH56" i="171"/>
  <c r="CH32" i="171"/>
  <c r="CH10" i="171"/>
  <c r="CH68" i="171"/>
  <c r="CH47" i="171"/>
  <c r="CH45" i="171"/>
  <c r="CH30" i="171"/>
  <c r="CH69" i="171"/>
  <c r="CH15" i="171"/>
  <c r="CH14" i="171"/>
  <c r="CH16" i="171"/>
  <c r="CH13" i="171"/>
  <c r="CH12" i="171"/>
  <c r="AM75" i="171"/>
  <c r="AM39" i="171"/>
  <c r="CH25" i="171"/>
  <c r="N76" i="171"/>
  <c r="N81" i="171"/>
  <c r="N83" i="171" s="1"/>
  <c r="N84" i="171" s="1"/>
  <c r="N86" i="171" s="1"/>
  <c r="N87" i="171" s="1"/>
  <c r="BN18" i="171"/>
  <c r="BN13" i="171"/>
  <c r="AS75" i="171"/>
  <c r="AS39" i="171"/>
  <c r="CQ18" i="171"/>
  <c r="CR18" i="171" s="1"/>
  <c r="CT18" i="171" s="1"/>
  <c r="CC15" i="171"/>
  <c r="CC12" i="171"/>
  <c r="BF81" i="171"/>
  <c r="BF83" i="171" s="1"/>
  <c r="BF84" i="171" s="1"/>
  <c r="BF86" i="171" s="1"/>
  <c r="BF87" i="171" s="1"/>
  <c r="BF76" i="171"/>
  <c r="AN75" i="171"/>
  <c r="AN39" i="171"/>
  <c r="CH71" i="171"/>
  <c r="CC52" i="171"/>
  <c r="CJ41" i="171"/>
  <c r="CL42" i="171"/>
  <c r="AE52" i="171"/>
  <c r="CH33" i="171"/>
  <c r="CC66" i="171"/>
  <c r="BN32" i="171"/>
  <c r="CH26" i="171"/>
  <c r="BN24" i="171"/>
  <c r="CQ27" i="171"/>
  <c r="CR27" i="171" s="1"/>
  <c r="CH28" i="171"/>
  <c r="AG75" i="171"/>
  <c r="AG39" i="171"/>
  <c r="CQ28" i="171"/>
  <c r="CR28" i="171" s="1"/>
  <c r="CH9" i="171"/>
  <c r="CH43" i="171"/>
  <c r="BR75" i="171"/>
  <c r="BR39" i="171"/>
  <c r="BR89" i="171"/>
  <c r="E75" i="171"/>
  <c r="E39" i="171"/>
  <c r="BN17" i="171"/>
  <c r="AI38" i="171"/>
  <c r="E89" i="171"/>
  <c r="P8" i="171" s="1"/>
  <c r="AH75" i="171"/>
  <c r="AH39" i="171"/>
  <c r="O38" i="171"/>
  <c r="BM38" i="171"/>
  <c r="BG75" i="171"/>
  <c r="BG39" i="171"/>
  <c r="BU75" i="171"/>
  <c r="BU39" i="171"/>
  <c r="C81" i="171"/>
  <c r="C83" i="171" s="1"/>
  <c r="C84" i="171" s="1"/>
  <c r="C76" i="171"/>
  <c r="BW75" i="171"/>
  <c r="BW39" i="171"/>
  <c r="D86" i="171"/>
  <c r="D87" i="171" s="1"/>
  <c r="BB76" i="171"/>
  <c r="BB81" i="171"/>
  <c r="BB83" i="171" s="1"/>
  <c r="BB84" i="171" s="1"/>
  <c r="BB86" i="171" s="1"/>
  <c r="BB87" i="171" s="1"/>
  <c r="T38" i="171"/>
  <c r="T75" i="171" s="1"/>
  <c r="T81" i="171" s="1"/>
  <c r="T83" i="171" s="1"/>
  <c r="T84" i="171" s="1"/>
  <c r="T86" i="171" s="1"/>
  <c r="CB75" i="171"/>
  <c r="CB39" i="171"/>
  <c r="BN71" i="171"/>
  <c r="BN64" i="171"/>
  <c r="BN48" i="171"/>
  <c r="BN46" i="171"/>
  <c r="BN70" i="171"/>
  <c r="BN58" i="171"/>
  <c r="BN53" i="171"/>
  <c r="BN56" i="171"/>
  <c r="BN68" i="171"/>
  <c r="BN49" i="171"/>
  <c r="BN30" i="171"/>
  <c r="BN47" i="171"/>
  <c r="BN45" i="171"/>
  <c r="BN26" i="171"/>
  <c r="BN67" i="171"/>
  <c r="BN61" i="171"/>
  <c r="BN36" i="171"/>
  <c r="BN42" i="171"/>
  <c r="BN28" i="171"/>
  <c r="BN62" i="171"/>
  <c r="BN55" i="171"/>
  <c r="BN27" i="171"/>
  <c r="BN22" i="171"/>
  <c r="BN44" i="171"/>
  <c r="BN29" i="171"/>
  <c r="BN43" i="171"/>
  <c r="BN21" i="171"/>
  <c r="BN20" i="171"/>
  <c r="BN11" i="171"/>
  <c r="BN9" i="171"/>
  <c r="BN19" i="171"/>
  <c r="BN10" i="171"/>
  <c r="BH89" i="171"/>
  <c r="BZ76" i="171"/>
  <c r="BZ81" i="171"/>
  <c r="BZ83" i="171" s="1"/>
  <c r="BZ84" i="171" s="1"/>
  <c r="BZ86" i="171" s="1"/>
  <c r="BZ87" i="171" s="1"/>
  <c r="I81" i="171"/>
  <c r="I83" i="171" s="1"/>
  <c r="I84" i="171" s="1"/>
  <c r="I86" i="171" s="1"/>
  <c r="I87" i="171" s="1"/>
  <c r="I76" i="171"/>
  <c r="BN65" i="171"/>
  <c r="BN66" i="171"/>
  <c r="K54" i="171"/>
  <c r="BN31" i="171"/>
  <c r="BN57" i="171"/>
  <c r="BN33" i="171"/>
  <c r="H75" i="171"/>
  <c r="H39" i="171"/>
  <c r="BC89" i="171"/>
  <c r="BD24" i="171" s="1"/>
  <c r="BN69" i="171"/>
  <c r="CH21" i="171"/>
  <c r="BW89" i="171"/>
  <c r="CF76" i="171"/>
  <c r="CF81" i="171"/>
  <c r="CF83" i="171" s="1"/>
  <c r="CF84" i="171" s="1"/>
  <c r="CF86" i="171" s="1"/>
  <c r="CF87" i="171" s="1"/>
  <c r="AB81" i="171"/>
  <c r="AB83" i="171" s="1"/>
  <c r="AB84" i="171" s="1"/>
  <c r="AB76" i="171"/>
  <c r="BN16" i="171"/>
  <c r="X75" i="171"/>
  <c r="X81" i="171" s="1"/>
  <c r="X83" i="171" s="1"/>
  <c r="BN23" i="171"/>
  <c r="CQ20" i="171"/>
  <c r="CR20" i="171" s="1"/>
  <c r="CC17" i="171"/>
  <c r="CC14" i="171"/>
  <c r="CC51" i="171"/>
  <c r="CH48" i="171"/>
  <c r="CC69" i="171"/>
  <c r="CC31" i="171"/>
  <c r="CA75" i="171"/>
  <c r="CA39" i="171"/>
  <c r="CL36" i="171"/>
  <c r="CJ35" i="171"/>
  <c r="BP81" i="171"/>
  <c r="BP83" i="171" s="1"/>
  <c r="BP84" i="171" s="1"/>
  <c r="BP86" i="171" s="1"/>
  <c r="BP87" i="171" s="1"/>
  <c r="BP76" i="171"/>
  <c r="CP75" i="171"/>
  <c r="CP39" i="171"/>
  <c r="M81" i="171"/>
  <c r="M83" i="171" s="1"/>
  <c r="M84" i="171" s="1"/>
  <c r="M86" i="171" s="1"/>
  <c r="M87" i="171" s="1"/>
  <c r="M76" i="171"/>
  <c r="CH44" i="171"/>
  <c r="CQ19" i="171"/>
  <c r="CR19" i="171" s="1"/>
  <c r="AV38" i="171"/>
  <c r="CH11" i="171"/>
  <c r="Y24" i="171"/>
  <c r="CJ24" i="171"/>
  <c r="CL24" i="171" s="1"/>
  <c r="BV75" i="171"/>
  <c r="BV39" i="171"/>
  <c r="CQ22" i="171"/>
  <c r="CH29" i="171"/>
  <c r="CQ21" i="171"/>
  <c r="CR21" i="171" s="1"/>
  <c r="W8" i="171"/>
  <c r="J75" i="171"/>
  <c r="J39" i="171"/>
  <c r="CH18" i="171"/>
  <c r="Y8" i="171"/>
  <c r="AR76" i="171"/>
  <c r="AR81" i="171"/>
  <c r="AR83" i="171" s="1"/>
  <c r="AR84" i="171" s="1"/>
  <c r="AR86" i="171" s="1"/>
  <c r="AR87" i="171" s="1"/>
  <c r="CG38" i="171"/>
  <c r="CL74" i="171"/>
  <c r="CL73" i="171" s="1"/>
  <c r="CJ73" i="171"/>
  <c r="BN51" i="171"/>
  <c r="BQ75" i="171"/>
  <c r="BQ39" i="171"/>
  <c r="CL51" i="171"/>
  <c r="CJ50" i="171"/>
  <c r="BN60" i="171"/>
  <c r="CE75" i="171"/>
  <c r="CE39" i="171"/>
  <c r="BN52" i="171"/>
  <c r="CQ29" i="171"/>
  <c r="CR29" i="171" s="1"/>
  <c r="CC53" i="171"/>
  <c r="CC64" i="171"/>
  <c r="CC48" i="171"/>
  <c r="CC46" i="171"/>
  <c r="CC70" i="171"/>
  <c r="CC58" i="171"/>
  <c r="CC56" i="171"/>
  <c r="CC49" i="171"/>
  <c r="CC68" i="171"/>
  <c r="CC61" i="171"/>
  <c r="CC30" i="171"/>
  <c r="CC55" i="171"/>
  <c r="CC47" i="171"/>
  <c r="CC45" i="171"/>
  <c r="CC44" i="171"/>
  <c r="CC42" i="171"/>
  <c r="CC67" i="171"/>
  <c r="CC43" i="171"/>
  <c r="CC62" i="171"/>
  <c r="CC28" i="171"/>
  <c r="CC21" i="171"/>
  <c r="CC33" i="171"/>
  <c r="CC20" i="171"/>
  <c r="CC11" i="171"/>
  <c r="CC22" i="171"/>
  <c r="CC36" i="171"/>
  <c r="CC9" i="171"/>
  <c r="CC19" i="171"/>
  <c r="CC10" i="171"/>
  <c r="AW75" i="171"/>
  <c r="AW39" i="171"/>
  <c r="CJ6" i="171"/>
  <c r="W5" i="171"/>
  <c r="Y6" i="171"/>
  <c r="Y5" i="171" s="1"/>
  <c r="CH20" i="171"/>
  <c r="AQ76" i="171"/>
  <c r="J89" i="171"/>
  <c r="AE53" i="171"/>
  <c r="AE69" i="171"/>
  <c r="AE63" i="171"/>
  <c r="AE57" i="171"/>
  <c r="AE49" i="171"/>
  <c r="AE67" i="171"/>
  <c r="AE61" i="171"/>
  <c r="AE55" i="171"/>
  <c r="AE58" i="171"/>
  <c r="AE64" i="171"/>
  <c r="AE60" i="171"/>
  <c r="AE48" i="171"/>
  <c r="AE46" i="171"/>
  <c r="AE70" i="171"/>
  <c r="AE66" i="171"/>
  <c r="AE29" i="171"/>
  <c r="AE59" i="171"/>
  <c r="AE47" i="171"/>
  <c r="AE45" i="171"/>
  <c r="AE32" i="171"/>
  <c r="AE31" i="171"/>
  <c r="AE71" i="171"/>
  <c r="AE65" i="171"/>
  <c r="AE51" i="171"/>
  <c r="AE33" i="171"/>
  <c r="AE56" i="171"/>
  <c r="AE42" i="171"/>
  <c r="AE18" i="171"/>
  <c r="AE17" i="171"/>
  <c r="AE68" i="171"/>
  <c r="AE44" i="171"/>
  <c r="AE25" i="171"/>
  <c r="AE28" i="171"/>
  <c r="AE62" i="171"/>
  <c r="AE30" i="171"/>
  <c r="AE27" i="171"/>
  <c r="AE22" i="171"/>
  <c r="AE20" i="171"/>
  <c r="AE11" i="171"/>
  <c r="AE26" i="171"/>
  <c r="AE19" i="171"/>
  <c r="AE21" i="171"/>
  <c r="AE9" i="171"/>
  <c r="AE43" i="171"/>
  <c r="AE24" i="171"/>
  <c r="BL76" i="171"/>
  <c r="BL81" i="171"/>
  <c r="BL83" i="171" s="1"/>
  <c r="BL84" i="171" s="1"/>
  <c r="BL86" i="171" s="1"/>
  <c r="BL87" i="171" s="1"/>
  <c r="AX8" i="171"/>
  <c r="CH19" i="171"/>
  <c r="BN15" i="171"/>
  <c r="CC16" i="171"/>
  <c r="CC13" i="171"/>
  <c r="CL9" i="171"/>
  <c r="BH75" i="167"/>
  <c r="BH39" i="167"/>
  <c r="O75" i="167"/>
  <c r="O39" i="167"/>
  <c r="E75" i="167"/>
  <c r="E39" i="167"/>
  <c r="D75" i="167"/>
  <c r="D39" i="167"/>
  <c r="BU81" i="167"/>
  <c r="BU83" i="167" s="1"/>
  <c r="BU84" i="167" s="1"/>
  <c r="BU86" i="167" s="1"/>
  <c r="BU87" i="167" s="1"/>
  <c r="BU76" i="167"/>
  <c r="CQ73" i="167"/>
  <c r="CR74" i="167"/>
  <c r="BQ75" i="167"/>
  <c r="BQ39" i="167"/>
  <c r="AS8" i="167"/>
  <c r="CP75" i="167"/>
  <c r="CP39" i="167"/>
  <c r="CB76" i="167"/>
  <c r="CB81" i="167"/>
  <c r="CB83" i="167" s="1"/>
  <c r="CB84" i="167" s="1"/>
  <c r="CB86" i="167" s="1"/>
  <c r="CB87" i="167" s="1"/>
  <c r="CQ9" i="167"/>
  <c r="CL8" i="167"/>
  <c r="Y8" i="167"/>
  <c r="CL50" i="167"/>
  <c r="CC49" i="167"/>
  <c r="CC69" i="167"/>
  <c r="CC66" i="167"/>
  <c r="CC63" i="167"/>
  <c r="CC60" i="167"/>
  <c r="CC61" i="167"/>
  <c r="CC70" i="167"/>
  <c r="CC68" i="167"/>
  <c r="CC56" i="167"/>
  <c r="CC67" i="167"/>
  <c r="CC65" i="167"/>
  <c r="CC62" i="167"/>
  <c r="CC58" i="167"/>
  <c r="CC36" i="167"/>
  <c r="CC55" i="167"/>
  <c r="CC32" i="167"/>
  <c r="CC24" i="167"/>
  <c r="CC71" i="167"/>
  <c r="CC53" i="167"/>
  <c r="CC43" i="167"/>
  <c r="CC64" i="167"/>
  <c r="CC26" i="167"/>
  <c r="CC23" i="167"/>
  <c r="CC29" i="167"/>
  <c r="CC45" i="167"/>
  <c r="CC25" i="167"/>
  <c r="CC42" i="167"/>
  <c r="CC31" i="167"/>
  <c r="CC21" i="167"/>
  <c r="CC13" i="167"/>
  <c r="CC12" i="167"/>
  <c r="CC19" i="167"/>
  <c r="CC11" i="167"/>
  <c r="CC51" i="167"/>
  <c r="CC27" i="167"/>
  <c r="CC46" i="167"/>
  <c r="CC57" i="167"/>
  <c r="CC14" i="167"/>
  <c r="CC17" i="167"/>
  <c r="CC47" i="167"/>
  <c r="CC15" i="167"/>
  <c r="CC18" i="167"/>
  <c r="CC44" i="167"/>
  <c r="CC9" i="167"/>
  <c r="CC16" i="167"/>
  <c r="CC52" i="167"/>
  <c r="CC22" i="167"/>
  <c r="CC33" i="167"/>
  <c r="CC28" i="167"/>
  <c r="CC48" i="167"/>
  <c r="CC20" i="167"/>
  <c r="BI53" i="167"/>
  <c r="BI69" i="167"/>
  <c r="BI64" i="167"/>
  <c r="BI66" i="167"/>
  <c r="BI61" i="167"/>
  <c r="BI58" i="167"/>
  <c r="BI46" i="167"/>
  <c r="BI60" i="167"/>
  <c r="BI70" i="167"/>
  <c r="BI55" i="167"/>
  <c r="BI67" i="167"/>
  <c r="BI51" i="167"/>
  <c r="BI47" i="167"/>
  <c r="BI57" i="167"/>
  <c r="BI52" i="167"/>
  <c r="BI63" i="167"/>
  <c r="BI56" i="167"/>
  <c r="BI49" i="167"/>
  <c r="BI59" i="167"/>
  <c r="BI26" i="167"/>
  <c r="BI22" i="167"/>
  <c r="BI24" i="167"/>
  <c r="BI36" i="167"/>
  <c r="BI23" i="167"/>
  <c r="BI10" i="167"/>
  <c r="BI27" i="167"/>
  <c r="BI68" i="167"/>
  <c r="BI13" i="167"/>
  <c r="BI42" i="167"/>
  <c r="BI62" i="167"/>
  <c r="BI9" i="167"/>
  <c r="BI12" i="167"/>
  <c r="BI15" i="167"/>
  <c r="BI32" i="167"/>
  <c r="BI65" i="167"/>
  <c r="BI45" i="167"/>
  <c r="BI29" i="167"/>
  <c r="BI48" i="167"/>
  <c r="BI30" i="167"/>
  <c r="BI20" i="167"/>
  <c r="BI19" i="167"/>
  <c r="BI71" i="167"/>
  <c r="BI43" i="167"/>
  <c r="BI14" i="167"/>
  <c r="BI28" i="167"/>
  <c r="BI18" i="167"/>
  <c r="BI33" i="167"/>
  <c r="BI17" i="167"/>
  <c r="BI31" i="167"/>
  <c r="BI25" i="167"/>
  <c r="BM89" i="167"/>
  <c r="BM38" i="167"/>
  <c r="BS70" i="167"/>
  <c r="BS67" i="167"/>
  <c r="BS64" i="167"/>
  <c r="BS61" i="167"/>
  <c r="BS53" i="167"/>
  <c r="BS68" i="167"/>
  <c r="BS65" i="167"/>
  <c r="BS56" i="167"/>
  <c r="BS69" i="167"/>
  <c r="BS58" i="167"/>
  <c r="BS66" i="167"/>
  <c r="BS49" i="167"/>
  <c r="BS63" i="167"/>
  <c r="BS55" i="167"/>
  <c r="BS30" i="167"/>
  <c r="BS59" i="167"/>
  <c r="BS46" i="167"/>
  <c r="BS45" i="167"/>
  <c r="BS44" i="167"/>
  <c r="BS43" i="167"/>
  <c r="BS42" i="167"/>
  <c r="BS31" i="167"/>
  <c r="BS62" i="167"/>
  <c r="BS33" i="167"/>
  <c r="BS27" i="167"/>
  <c r="BS28" i="167"/>
  <c r="BS25" i="167"/>
  <c r="BS21" i="167"/>
  <c r="BS20" i="167"/>
  <c r="BS32" i="167"/>
  <c r="BS29" i="167"/>
  <c r="BS17" i="167"/>
  <c r="BS60" i="167"/>
  <c r="BS18" i="167"/>
  <c r="BS12" i="167"/>
  <c r="BS71" i="167"/>
  <c r="BS14" i="167"/>
  <c r="BS15" i="167"/>
  <c r="BS19" i="167"/>
  <c r="BS13" i="167"/>
  <c r="BS57" i="167"/>
  <c r="BS16" i="167"/>
  <c r="BS9" i="167"/>
  <c r="BS11" i="167"/>
  <c r="BS51" i="167"/>
  <c r="BS36" i="167"/>
  <c r="BS23" i="167"/>
  <c r="BS24" i="167"/>
  <c r="BS10" i="167"/>
  <c r="BS48" i="167"/>
  <c r="BS47" i="167"/>
  <c r="BS22" i="167"/>
  <c r="BS52" i="167"/>
  <c r="BI21" i="167"/>
  <c r="BG39" i="167"/>
  <c r="BG75" i="167"/>
  <c r="CU24" i="167"/>
  <c r="CU8" i="167" s="1"/>
  <c r="CT8" i="167"/>
  <c r="CT38" i="167" s="1"/>
  <c r="BP81" i="167"/>
  <c r="BP83" i="167" s="1"/>
  <c r="BP84" i="167" s="1"/>
  <c r="BP86" i="167" s="1"/>
  <c r="BP87" i="167" s="1"/>
  <c r="BP76" i="167"/>
  <c r="CQ17" i="167"/>
  <c r="CR17" i="167" s="1"/>
  <c r="CH70" i="167"/>
  <c r="CH67" i="167"/>
  <c r="CH64" i="167"/>
  <c r="CH61" i="167"/>
  <c r="CH71" i="167"/>
  <c r="CH63" i="167"/>
  <c r="CH68" i="167"/>
  <c r="CH60" i="167"/>
  <c r="CH56" i="167"/>
  <c r="CH62" i="167"/>
  <c r="CH58" i="167"/>
  <c r="CH69" i="167"/>
  <c r="CH51" i="167"/>
  <c r="CH29" i="167"/>
  <c r="CH66" i="167"/>
  <c r="CH55" i="167"/>
  <c r="CH52" i="167"/>
  <c r="CH30" i="167"/>
  <c r="CH59" i="167"/>
  <c r="CH53" i="167"/>
  <c r="CH32" i="167"/>
  <c r="CH43" i="167"/>
  <c r="CH57" i="167"/>
  <c r="CH48" i="167"/>
  <c r="CH45" i="167"/>
  <c r="CH28" i="167"/>
  <c r="CH21" i="167"/>
  <c r="CH20" i="167"/>
  <c r="CH33" i="167"/>
  <c r="CH31" i="167"/>
  <c r="CH25" i="167"/>
  <c r="CH65" i="167"/>
  <c r="CH47" i="167"/>
  <c r="CH42" i="167"/>
  <c r="CH22" i="167"/>
  <c r="CH16" i="167"/>
  <c r="CH13" i="167"/>
  <c r="CH44" i="167"/>
  <c r="CH17" i="167"/>
  <c r="CH19" i="167"/>
  <c r="CH14" i="167"/>
  <c r="CH18" i="167"/>
  <c r="CH12" i="167"/>
  <c r="CH49" i="167"/>
  <c r="CH27" i="167"/>
  <c r="CH15" i="167"/>
  <c r="AW75" i="167"/>
  <c r="AW39" i="167"/>
  <c r="BV81" i="167"/>
  <c r="BV83" i="167" s="1"/>
  <c r="BV84" i="167" s="1"/>
  <c r="BV86" i="167" s="1"/>
  <c r="BV87" i="167" s="1"/>
  <c r="BV76" i="167"/>
  <c r="CQ21" i="167"/>
  <c r="CR21" i="167" s="1"/>
  <c r="CQ26" i="167"/>
  <c r="CR26" i="167" s="1"/>
  <c r="CW26" i="167" s="1"/>
  <c r="AH81" i="167"/>
  <c r="AH83" i="167" s="1"/>
  <c r="AH84" i="167" s="1"/>
  <c r="AH86" i="167" s="1"/>
  <c r="AH87" i="167" s="1"/>
  <c r="AH76" i="167"/>
  <c r="CH36" i="167"/>
  <c r="AM75" i="167"/>
  <c r="AM39" i="167"/>
  <c r="T54" i="167"/>
  <c r="T89" i="167" s="1"/>
  <c r="BF81" i="167"/>
  <c r="BF83" i="167" s="1"/>
  <c r="BF84" i="167" s="1"/>
  <c r="BF86" i="167" s="1"/>
  <c r="BF87" i="167" s="1"/>
  <c r="BF76" i="167"/>
  <c r="CF81" i="167"/>
  <c r="CF83" i="167" s="1"/>
  <c r="CF84" i="167" s="1"/>
  <c r="CF86" i="167" s="1"/>
  <c r="CF87" i="167" s="1"/>
  <c r="CF76" i="167"/>
  <c r="BX62" i="167"/>
  <c r="BX45" i="167"/>
  <c r="E89" i="167"/>
  <c r="F41" i="167" s="1"/>
  <c r="BX29" i="167"/>
  <c r="CQ31" i="167"/>
  <c r="CR31" i="167" s="1"/>
  <c r="BX12" i="167"/>
  <c r="AC75" i="167"/>
  <c r="AC39" i="167"/>
  <c r="AR81" i="167"/>
  <c r="AR83" i="167" s="1"/>
  <c r="AR84" i="167" s="1"/>
  <c r="AR86" i="167" s="1"/>
  <c r="AR87" i="167" s="1"/>
  <c r="AR76" i="167"/>
  <c r="BX13" i="167"/>
  <c r="K50" i="167"/>
  <c r="CE81" i="167"/>
  <c r="CE83" i="167" s="1"/>
  <c r="CE84" i="167" s="1"/>
  <c r="CE86" i="167" s="1"/>
  <c r="CE87" i="167" s="1"/>
  <c r="CE76" i="167"/>
  <c r="X75" i="167"/>
  <c r="X81" i="167" s="1"/>
  <c r="X83" i="167" s="1"/>
  <c r="BW38" i="167"/>
  <c r="AN75" i="167"/>
  <c r="AN39" i="167"/>
  <c r="K54" i="167"/>
  <c r="I81" i="167"/>
  <c r="I83" i="167" s="1"/>
  <c r="I84" i="167" s="1"/>
  <c r="I86" i="167" s="1"/>
  <c r="I87" i="167" s="1"/>
  <c r="I76" i="167"/>
  <c r="AB81" i="167"/>
  <c r="AB83" i="167" s="1"/>
  <c r="AB84" i="167" s="1"/>
  <c r="AB76" i="167"/>
  <c r="AI38" i="167"/>
  <c r="J75" i="167"/>
  <c r="J39" i="167"/>
  <c r="CQ18" i="167"/>
  <c r="CR18" i="167" s="1"/>
  <c r="CG75" i="167"/>
  <c r="CG39" i="167"/>
  <c r="W75" i="167"/>
  <c r="J89" i="167"/>
  <c r="K8" i="167"/>
  <c r="C81" i="167"/>
  <c r="C83" i="167" s="1"/>
  <c r="C84" i="167" s="1"/>
  <c r="C76" i="167"/>
  <c r="CJ54" i="167"/>
  <c r="CL55" i="167"/>
  <c r="R75" i="167"/>
  <c r="R81" i="167" s="1"/>
  <c r="R83" i="167" s="1"/>
  <c r="R84" i="167" s="1"/>
  <c r="R86" i="167" s="1"/>
  <c r="CJ8" i="167"/>
  <c r="CH9" i="167"/>
  <c r="BK81" i="167"/>
  <c r="BK83" i="167" s="1"/>
  <c r="BK84" i="167" s="1"/>
  <c r="BK86" i="167" s="1"/>
  <c r="BK87" i="167" s="1"/>
  <c r="BK76" i="167"/>
  <c r="CS81" i="167"/>
  <c r="CS83" i="167" s="1"/>
  <c r="CS84" i="167" s="1"/>
  <c r="CS86" i="167" s="1"/>
  <c r="CS87" i="167" s="1"/>
  <c r="CS76" i="167"/>
  <c r="H75" i="167"/>
  <c r="H39" i="167"/>
  <c r="CQ25" i="167"/>
  <c r="CR25" i="167" s="1"/>
  <c r="CW25" i="167" s="1"/>
  <c r="BX49" i="167"/>
  <c r="BX67" i="167"/>
  <c r="BX69" i="167"/>
  <c r="BX64" i="167"/>
  <c r="BX58" i="167"/>
  <c r="BX53" i="167"/>
  <c r="BX46" i="167"/>
  <c r="BX63" i="167"/>
  <c r="BX59" i="167"/>
  <c r="BX60" i="167"/>
  <c r="BX55" i="167"/>
  <c r="BX56" i="167"/>
  <c r="BX47" i="167"/>
  <c r="BX61" i="167"/>
  <c r="BX24" i="167"/>
  <c r="BX22" i="167"/>
  <c r="BX66" i="167"/>
  <c r="BX48" i="167"/>
  <c r="BX23" i="167"/>
  <c r="BX57" i="167"/>
  <c r="BX70" i="167"/>
  <c r="BX10" i="167"/>
  <c r="CH46" i="167"/>
  <c r="CL41" i="167"/>
  <c r="AQ76" i="167"/>
  <c r="BA81" i="167"/>
  <c r="BA83" i="167" s="1"/>
  <c r="BA84" i="167" s="1"/>
  <c r="BA86" i="167" s="1"/>
  <c r="BA87" i="167" s="1"/>
  <c r="BA76" i="167"/>
  <c r="AX38" i="167"/>
  <c r="BX11" i="167"/>
  <c r="BX44" i="167"/>
  <c r="BX27" i="167"/>
  <c r="CH23" i="167"/>
  <c r="CQ30" i="167"/>
  <c r="CR30" i="167" s="1"/>
  <c r="BX18" i="167"/>
  <c r="CA75" i="167"/>
  <c r="CA39" i="167"/>
  <c r="S75" i="167"/>
  <c r="S81" i="167" s="1"/>
  <c r="S83" i="167" s="1"/>
  <c r="S84" i="167" s="1"/>
  <c r="S86" i="167" s="1"/>
  <c r="BX19" i="167"/>
  <c r="CQ12" i="167"/>
  <c r="CR12" i="167" s="1"/>
  <c r="BZ81" i="167"/>
  <c r="BZ83" i="167" s="1"/>
  <c r="BZ84" i="167" s="1"/>
  <c r="BZ86" i="167" s="1"/>
  <c r="BZ87" i="167" s="1"/>
  <c r="BZ76" i="167"/>
  <c r="AV76" i="167"/>
  <c r="BB81" i="167"/>
  <c r="BB83" i="167" s="1"/>
  <c r="BB84" i="167" s="1"/>
  <c r="BB86" i="167" s="1"/>
  <c r="BB87" i="167" s="1"/>
  <c r="BB76" i="167"/>
  <c r="CL36" i="167"/>
  <c r="BR75" i="167"/>
  <c r="BR39" i="167"/>
  <c r="O89" i="167"/>
  <c r="P8" i="167"/>
  <c r="BX17" i="167"/>
  <c r="CH11" i="167"/>
  <c r="CK8" i="167"/>
  <c r="CK38" i="167" s="1"/>
  <c r="CL6" i="167"/>
  <c r="CJ5" i="167"/>
  <c r="AG76" i="167"/>
  <c r="AD75" i="167"/>
  <c r="AD39" i="167"/>
  <c r="CQ22" i="167"/>
  <c r="CH10" i="167"/>
  <c r="M81" i="167"/>
  <c r="M83" i="167" s="1"/>
  <c r="M84" i="167" s="1"/>
  <c r="M86" i="167" s="1"/>
  <c r="M87" i="167" s="1"/>
  <c r="M76" i="167"/>
  <c r="AN75" i="174"/>
  <c r="AN39" i="174"/>
  <c r="BW76" i="174"/>
  <c r="AI75" i="174"/>
  <c r="AI39" i="174"/>
  <c r="BN60" i="174"/>
  <c r="BN59" i="174"/>
  <c r="BN58" i="174"/>
  <c r="BN57" i="174"/>
  <c r="BN55" i="174"/>
  <c r="BN49" i="174"/>
  <c r="BN53" i="174"/>
  <c r="BN48" i="174"/>
  <c r="BN56" i="174"/>
  <c r="BN47" i="174"/>
  <c r="BN51" i="174"/>
  <c r="BN28" i="174"/>
  <c r="BN52" i="174"/>
  <c r="BN32" i="174"/>
  <c r="BN29" i="174"/>
  <c r="BN33" i="174"/>
  <c r="BN27" i="174"/>
  <c r="BN20" i="174"/>
  <c r="BN18" i="174"/>
  <c r="BN16" i="174"/>
  <c r="BN14" i="174"/>
  <c r="BN12" i="174"/>
  <c r="BN10" i="174"/>
  <c r="BN19" i="174"/>
  <c r="BN17" i="174"/>
  <c r="BN15" i="174"/>
  <c r="BN25" i="174"/>
  <c r="BN31" i="174"/>
  <c r="BN13" i="174"/>
  <c r="BN30" i="174"/>
  <c r="BN22" i="174"/>
  <c r="BN46" i="174"/>
  <c r="BN66" i="174"/>
  <c r="BN62" i="174"/>
  <c r="BN21" i="174"/>
  <c r="BN23" i="174"/>
  <c r="BN68" i="174"/>
  <c r="BN67" i="174"/>
  <c r="BN44" i="174"/>
  <c r="BN71" i="174"/>
  <c r="BN26" i="174"/>
  <c r="BN9" i="174"/>
  <c r="BN42" i="174"/>
  <c r="BN69" i="174"/>
  <c r="BN45" i="174"/>
  <c r="BN63" i="174"/>
  <c r="BN65" i="174"/>
  <c r="BN43" i="174"/>
  <c r="BN36" i="174"/>
  <c r="BN11" i="174"/>
  <c r="BN24" i="174"/>
  <c r="BN70" i="174"/>
  <c r="BN61" i="174"/>
  <c r="BN64" i="174"/>
  <c r="CL54" i="174"/>
  <c r="AH75" i="174"/>
  <c r="AH39" i="174"/>
  <c r="CJ8" i="174"/>
  <c r="CJ38" i="174" s="1"/>
  <c r="CQ30" i="174"/>
  <c r="CR30" i="174" s="1"/>
  <c r="T8" i="174"/>
  <c r="AX75" i="174"/>
  <c r="AX39" i="174"/>
  <c r="AD38" i="174"/>
  <c r="BM75" i="174"/>
  <c r="BM39" i="174"/>
  <c r="CQ24" i="174"/>
  <c r="CR24" i="174" s="1"/>
  <c r="H75" i="174"/>
  <c r="H39" i="174"/>
  <c r="CF75" i="174"/>
  <c r="CF39" i="174"/>
  <c r="M76" i="174"/>
  <c r="BU76" i="174"/>
  <c r="AQ76" i="174"/>
  <c r="CQ28" i="174"/>
  <c r="CR28" i="174" s="1"/>
  <c r="O75" i="174"/>
  <c r="AW81" i="174"/>
  <c r="AW83" i="174" s="1"/>
  <c r="AW84" i="174" s="1"/>
  <c r="AW86" i="174" s="1"/>
  <c r="AW87" i="174" s="1"/>
  <c r="AW76" i="174"/>
  <c r="BQ81" i="174"/>
  <c r="BQ83" i="174" s="1"/>
  <c r="BQ84" i="174" s="1"/>
  <c r="BQ86" i="174" s="1"/>
  <c r="BQ87" i="174" s="1"/>
  <c r="BQ76" i="174"/>
  <c r="BV75" i="174"/>
  <c r="BV39" i="174"/>
  <c r="Y38" i="174"/>
  <c r="Y75" i="174" s="1"/>
  <c r="CJ41" i="174"/>
  <c r="CQ9" i="174"/>
  <c r="CL8" i="174"/>
  <c r="BL75" i="174"/>
  <c r="BL39" i="174"/>
  <c r="C76" i="174"/>
  <c r="BK76" i="174"/>
  <c r="BK81" i="174"/>
  <c r="BK83" i="174" s="1"/>
  <c r="BK84" i="174" s="1"/>
  <c r="BK86" i="174" s="1"/>
  <c r="BK87" i="174" s="1"/>
  <c r="BR75" i="174"/>
  <c r="BR39" i="174"/>
  <c r="AM81" i="174"/>
  <c r="AM83" i="174" s="1"/>
  <c r="AM84" i="174" s="1"/>
  <c r="AM86" i="174" s="1"/>
  <c r="AM87" i="174" s="1"/>
  <c r="AM76" i="174"/>
  <c r="BB75" i="174"/>
  <c r="BB39" i="174"/>
  <c r="D81" i="174"/>
  <c r="D83" i="174" s="1"/>
  <c r="D84" i="174" s="1"/>
  <c r="D76" i="174"/>
  <c r="CQ27" i="174"/>
  <c r="CR27" i="174" s="1"/>
  <c r="CG38" i="174"/>
  <c r="CL52" i="174"/>
  <c r="CL50" i="174" s="1"/>
  <c r="CR36" i="174"/>
  <c r="CR35" i="174" s="1"/>
  <c r="CQ35" i="174"/>
  <c r="BC38" i="174"/>
  <c r="CL41" i="174"/>
  <c r="N81" i="174"/>
  <c r="N83" i="174" s="1"/>
  <c r="N84" i="174" s="1"/>
  <c r="N86" i="174" s="1"/>
  <c r="N87" i="174" s="1"/>
  <c r="N76" i="174"/>
  <c r="CQ29" i="174"/>
  <c r="CR29" i="174" s="1"/>
  <c r="CQ10" i="174"/>
  <c r="CP76" i="174"/>
  <c r="CP81" i="174"/>
  <c r="CP83" i="174" s="1"/>
  <c r="CP84" i="174" s="1"/>
  <c r="CP86" i="174" s="1"/>
  <c r="CP87" i="174" s="1"/>
  <c r="BH38" i="174"/>
  <c r="AC81" i="174"/>
  <c r="AC83" i="174" s="1"/>
  <c r="AC84" i="174" s="1"/>
  <c r="AC76" i="174"/>
  <c r="CB75" i="174"/>
  <c r="CB39" i="174"/>
  <c r="CK5" i="174"/>
  <c r="CK38" i="174" s="1"/>
  <c r="CL6" i="174"/>
  <c r="CJ50" i="174"/>
  <c r="AG76" i="174"/>
  <c r="CQ25" i="174"/>
  <c r="CR25" i="174" s="1"/>
  <c r="CT25" i="174" s="1"/>
  <c r="AR75" i="174"/>
  <c r="AR39" i="174"/>
  <c r="W38" i="174"/>
  <c r="W75" i="174" s="1"/>
  <c r="CQ23" i="174"/>
  <c r="CR23" i="174" s="1"/>
  <c r="CQ32" i="174"/>
  <c r="CR32" i="174" s="1"/>
  <c r="AS75" i="174"/>
  <c r="AS39" i="174"/>
  <c r="CR22" i="174"/>
  <c r="CT22" i="174"/>
  <c r="CE76" i="174"/>
  <c r="BA76" i="174"/>
  <c r="I75" i="174"/>
  <c r="I39" i="174"/>
  <c r="E75" i="174"/>
  <c r="E39" i="174"/>
  <c r="J38" i="174"/>
  <c r="BG81" i="174"/>
  <c r="BG83" i="174" s="1"/>
  <c r="BG84" i="174" s="1"/>
  <c r="BG86" i="174" s="1"/>
  <c r="BG87" i="174" s="1"/>
  <c r="BG76" i="174"/>
  <c r="CA81" i="174"/>
  <c r="CA83" i="174" s="1"/>
  <c r="CA84" i="174" s="1"/>
  <c r="CA86" i="174" s="1"/>
  <c r="CA87" i="174" s="1"/>
  <c r="CA76" i="174"/>
  <c r="CQ74" i="175"/>
  <c r="CQ73" i="175" s="1"/>
  <c r="CL73" i="175"/>
  <c r="CJ39" i="175"/>
  <c r="CQ10" i="175"/>
  <c r="CK8" i="175"/>
  <c r="CL9" i="175"/>
  <c r="AG75" i="175"/>
  <c r="AG39" i="175"/>
  <c r="CL36" i="175"/>
  <c r="CJ35" i="175"/>
  <c r="CQ11" i="175"/>
  <c r="O75" i="175"/>
  <c r="O39" i="175"/>
  <c r="CL78" i="175"/>
  <c r="CK77" i="175"/>
  <c r="BW75" i="175"/>
  <c r="BW39" i="175"/>
  <c r="CK41" i="175"/>
  <c r="CL43" i="175"/>
  <c r="M76" i="175"/>
  <c r="BQ81" i="175"/>
  <c r="BQ83" i="175" s="1"/>
  <c r="BQ84" i="175" s="1"/>
  <c r="BQ86" i="175" s="1"/>
  <c r="BQ87" i="175" s="1"/>
  <c r="BQ76" i="175"/>
  <c r="BV75" i="175"/>
  <c r="BV39" i="175"/>
  <c r="BU75" i="175"/>
  <c r="BU39" i="175"/>
  <c r="CA81" i="175"/>
  <c r="CA83" i="175" s="1"/>
  <c r="CA84" i="175" s="1"/>
  <c r="CA86" i="175" s="1"/>
  <c r="CA87" i="175" s="1"/>
  <c r="CA76" i="175"/>
  <c r="CQ16" i="175"/>
  <c r="CR16" i="175" s="1"/>
  <c r="BM75" i="175"/>
  <c r="BM39" i="175"/>
  <c r="CK5" i="175"/>
  <c r="CL6" i="175"/>
  <c r="AS75" i="175"/>
  <c r="AS39" i="175"/>
  <c r="AH75" i="175"/>
  <c r="AH39" i="175"/>
  <c r="N75" i="175"/>
  <c r="N39" i="175"/>
  <c r="BK75" i="175"/>
  <c r="BK39" i="175"/>
  <c r="BF76" i="175"/>
  <c r="BH38" i="175"/>
  <c r="AI38" i="175"/>
  <c r="CQ25" i="175"/>
  <c r="CR25" i="175" s="1"/>
  <c r="CT25" i="175" s="1"/>
  <c r="BP75" i="175"/>
  <c r="BP39" i="175"/>
  <c r="BC75" i="175"/>
  <c r="BC39" i="175"/>
  <c r="D81" i="175"/>
  <c r="D83" i="175" s="1"/>
  <c r="D84" i="175" s="1"/>
  <c r="D76" i="175"/>
  <c r="CB39" i="175"/>
  <c r="CB75" i="175"/>
  <c r="Y8" i="175"/>
  <c r="Y38" i="175" s="1"/>
  <c r="Y75" i="175" s="1"/>
  <c r="AQ76" i="175"/>
  <c r="AR75" i="175"/>
  <c r="AR39" i="175"/>
  <c r="AM81" i="175"/>
  <c r="AM83" i="175" s="1"/>
  <c r="AM84" i="175" s="1"/>
  <c r="AM86" i="175" s="1"/>
  <c r="AM87" i="175" s="1"/>
  <c r="AM76" i="175"/>
  <c r="CQ29" i="175"/>
  <c r="CR29" i="175" s="1"/>
  <c r="AD75" i="175"/>
  <c r="AD39" i="175"/>
  <c r="CR22" i="175"/>
  <c r="CT22" i="175"/>
  <c r="CQ13" i="175"/>
  <c r="CR13" i="175" s="1"/>
  <c r="S75" i="175"/>
  <c r="S81" i="175" s="1"/>
  <c r="S83" i="175" s="1"/>
  <c r="S84" i="175" s="1"/>
  <c r="S86" i="175" s="1"/>
  <c r="BG81" i="175"/>
  <c r="BG83" i="175" s="1"/>
  <c r="BG84" i="175" s="1"/>
  <c r="BG86" i="175" s="1"/>
  <c r="BG87" i="175" s="1"/>
  <c r="BG76" i="175"/>
  <c r="AC86" i="175"/>
  <c r="AC87" i="175" s="1"/>
  <c r="CL54" i="175"/>
  <c r="CE75" i="175"/>
  <c r="CE39" i="175"/>
  <c r="BB75" i="175"/>
  <c r="BB39" i="175"/>
  <c r="CP81" i="175"/>
  <c r="CP83" i="175" s="1"/>
  <c r="CP84" i="175" s="1"/>
  <c r="CP86" i="175" s="1"/>
  <c r="CP87" i="175" s="1"/>
  <c r="CP76" i="175"/>
  <c r="CQ26" i="175"/>
  <c r="CR26" i="175" s="1"/>
  <c r="CT26" i="175" s="1"/>
  <c r="BA75" i="175"/>
  <c r="BA39" i="175"/>
  <c r="R75" i="175"/>
  <c r="BR38" i="175"/>
  <c r="AX39" i="175"/>
  <c r="AX75" i="175"/>
  <c r="H76" i="175"/>
  <c r="CQ24" i="175"/>
  <c r="CR24" i="175" s="1"/>
  <c r="CJ41" i="175"/>
  <c r="CJ75" i="175" s="1"/>
  <c r="CL42" i="175"/>
  <c r="AV39" i="175"/>
  <c r="AV75" i="175"/>
  <c r="J75" i="175"/>
  <c r="J39" i="175"/>
  <c r="E76" i="175"/>
  <c r="T8" i="175"/>
  <c r="AW81" i="175"/>
  <c r="AW83" i="175" s="1"/>
  <c r="AW84" i="175" s="1"/>
  <c r="AW86" i="175" s="1"/>
  <c r="AW87" i="175" s="1"/>
  <c r="AW76" i="175"/>
  <c r="CF75" i="175"/>
  <c r="CF39" i="175"/>
  <c r="AN39" i="175"/>
  <c r="AN75" i="175"/>
  <c r="CL50" i="175"/>
  <c r="AL75" i="175"/>
  <c r="AL39" i="175"/>
  <c r="CQ30" i="175"/>
  <c r="CR30" i="175" s="1"/>
  <c r="CG38" i="175"/>
  <c r="CQ31" i="175"/>
  <c r="CR31" i="175" s="1"/>
  <c r="CQ28" i="175"/>
  <c r="CR28" i="175" s="1"/>
  <c r="BZ76" i="175"/>
  <c r="C76" i="175"/>
  <c r="CQ15" i="175"/>
  <c r="CR15" i="175" s="1"/>
  <c r="BM89" i="175"/>
  <c r="T38" i="175"/>
  <c r="T75" i="175" s="1"/>
  <c r="CQ19" i="175"/>
  <c r="CR19" i="175" s="1"/>
  <c r="BM81" i="177"/>
  <c r="BM83" i="177" s="1"/>
  <c r="BM84" i="177" s="1"/>
  <c r="BM86" i="177" s="1"/>
  <c r="BM87" i="177" s="1"/>
  <c r="BM76" i="177"/>
  <c r="CG76" i="177"/>
  <c r="CP81" i="177"/>
  <c r="CP83" i="177" s="1"/>
  <c r="CP84" i="177" s="1"/>
  <c r="CP86" i="177" s="1"/>
  <c r="CP87" i="177" s="1"/>
  <c r="CP76" i="177"/>
  <c r="CK75" i="177"/>
  <c r="CK39" i="177"/>
  <c r="CQ12" i="177"/>
  <c r="CR12" i="177" s="1"/>
  <c r="AM81" i="177"/>
  <c r="AM83" i="177" s="1"/>
  <c r="AM84" i="177" s="1"/>
  <c r="AM86" i="177" s="1"/>
  <c r="AM87" i="177" s="1"/>
  <c r="AM76" i="177"/>
  <c r="CL8" i="177"/>
  <c r="CQ19" i="177"/>
  <c r="CR19" i="177" s="1"/>
  <c r="BN45" i="177"/>
  <c r="CL41" i="177"/>
  <c r="T41" i="177"/>
  <c r="AL75" i="177"/>
  <c r="AL39" i="177"/>
  <c r="BU76" i="177"/>
  <c r="CE76" i="177"/>
  <c r="AH75" i="177"/>
  <c r="AH39" i="177"/>
  <c r="AB75" i="177"/>
  <c r="AB39" i="177"/>
  <c r="AI75" i="177"/>
  <c r="CJ41" i="177"/>
  <c r="CB38" i="177"/>
  <c r="BN52" i="177"/>
  <c r="CQ16" i="177"/>
  <c r="CR16" i="177" s="1"/>
  <c r="CQ31" i="177"/>
  <c r="CR31" i="177" s="1"/>
  <c r="CT31" i="177" s="1"/>
  <c r="BN42" i="177"/>
  <c r="BV81" i="177"/>
  <c r="BV83" i="177" s="1"/>
  <c r="BV84" i="177" s="1"/>
  <c r="BV86" i="177" s="1"/>
  <c r="BV87" i="177" s="1"/>
  <c r="BV76" i="177"/>
  <c r="N75" i="177"/>
  <c r="N39" i="177"/>
  <c r="BN24" i="177"/>
  <c r="CQ23" i="177"/>
  <c r="CR23" i="177" s="1"/>
  <c r="BN25" i="177"/>
  <c r="CJ8" i="177"/>
  <c r="W75" i="177"/>
  <c r="BB81" i="177"/>
  <c r="BB83" i="177" s="1"/>
  <c r="BB84" i="177" s="1"/>
  <c r="BB86" i="177" s="1"/>
  <c r="BB87" i="177" s="1"/>
  <c r="BB76" i="177"/>
  <c r="CQ10" i="177"/>
  <c r="CR9" i="177" s="1"/>
  <c r="CA81" i="177"/>
  <c r="CA83" i="177" s="1"/>
  <c r="CA84" i="177" s="1"/>
  <c r="CA86" i="177" s="1"/>
  <c r="CA87" i="177" s="1"/>
  <c r="CA76" i="177"/>
  <c r="AG76" i="177"/>
  <c r="BN30" i="177"/>
  <c r="BN27" i="177"/>
  <c r="CQ20" i="177"/>
  <c r="CR20" i="177" s="1"/>
  <c r="CQ17" i="177"/>
  <c r="CR17" i="177" s="1"/>
  <c r="BL81" i="177"/>
  <c r="BL83" i="177" s="1"/>
  <c r="BL84" i="177" s="1"/>
  <c r="BL86" i="177" s="1"/>
  <c r="BL87" i="177" s="1"/>
  <c r="BL76" i="177"/>
  <c r="AN76" i="177"/>
  <c r="O75" i="177"/>
  <c r="CL35" i="177"/>
  <c r="CQ36" i="177"/>
  <c r="AR81" i="177"/>
  <c r="AR83" i="177" s="1"/>
  <c r="AR84" i="177" s="1"/>
  <c r="AR86" i="177" s="1"/>
  <c r="AR87" i="177" s="1"/>
  <c r="AR76" i="177"/>
  <c r="BW75" i="177"/>
  <c r="BW39" i="177"/>
  <c r="BH75" i="177"/>
  <c r="BH39" i="177"/>
  <c r="BN51" i="177"/>
  <c r="BN10" i="177"/>
  <c r="BZ76" i="177"/>
  <c r="BN11" i="177"/>
  <c r="BG81" i="177"/>
  <c r="BG83" i="177" s="1"/>
  <c r="BG84" i="177" s="1"/>
  <c r="BG86" i="177" s="1"/>
  <c r="BG87" i="177" s="1"/>
  <c r="BG76" i="177"/>
  <c r="BQ81" i="177"/>
  <c r="BQ83" i="177" s="1"/>
  <c r="BQ84" i="177" s="1"/>
  <c r="BQ86" i="177" s="1"/>
  <c r="BQ87" i="177" s="1"/>
  <c r="BQ76" i="177"/>
  <c r="E75" i="177"/>
  <c r="CQ15" i="177"/>
  <c r="CR15" i="177" s="1"/>
  <c r="CQ24" i="177"/>
  <c r="CR24" i="177" s="1"/>
  <c r="D81" i="177"/>
  <c r="D83" i="177" s="1"/>
  <c r="D84" i="177" s="1"/>
  <c r="D76" i="177"/>
  <c r="T38" i="177"/>
  <c r="CJ50" i="177"/>
  <c r="CL52" i="177"/>
  <c r="CL50" i="177" s="1"/>
  <c r="AQ76" i="177"/>
  <c r="BN71" i="177"/>
  <c r="BN68" i="177"/>
  <c r="BN69" i="177"/>
  <c r="BN66" i="177"/>
  <c r="BN61" i="177"/>
  <c r="BN59" i="177"/>
  <c r="BN57" i="177"/>
  <c r="BN70" i="177"/>
  <c r="BN67" i="177"/>
  <c r="BN63" i="177"/>
  <c r="BN49" i="177"/>
  <c r="BN60" i="177"/>
  <c r="BN58" i="177"/>
  <c r="BN64" i="177"/>
  <c r="BN65" i="177"/>
  <c r="BN55" i="177"/>
  <c r="BN48" i="177"/>
  <c r="BN56" i="177"/>
  <c r="BN43" i="177"/>
  <c r="BN36" i="177"/>
  <c r="BN26" i="177"/>
  <c r="BN20" i="177"/>
  <c r="BN17" i="177"/>
  <c r="BN32" i="177"/>
  <c r="BN21" i="177"/>
  <c r="BN18" i="177"/>
  <c r="BN15" i="177"/>
  <c r="BN53" i="177"/>
  <c r="BN47" i="177"/>
  <c r="BN22" i="177"/>
  <c r="BN19" i="177"/>
  <c r="BN16" i="177"/>
  <c r="BN12" i="177"/>
  <c r="BN46" i="177"/>
  <c r="BN13" i="177"/>
  <c r="BN33" i="177"/>
  <c r="BN14" i="177"/>
  <c r="BN62" i="177"/>
  <c r="BN28" i="177"/>
  <c r="CL56" i="177"/>
  <c r="CL54" i="177" s="1"/>
  <c r="BN23" i="177"/>
  <c r="BK81" i="177"/>
  <c r="BK83" i="177" s="1"/>
  <c r="BK84" i="177" s="1"/>
  <c r="BK86" i="177" s="1"/>
  <c r="BK87" i="177" s="1"/>
  <c r="BK76" i="177"/>
  <c r="C76" i="177"/>
  <c r="CQ14" i="177"/>
  <c r="CR14" i="177" s="1"/>
  <c r="AV75" i="177"/>
  <c r="AV39" i="177"/>
  <c r="AD38" i="177"/>
  <c r="BN31" i="177"/>
  <c r="BR75" i="177"/>
  <c r="BR39" i="177"/>
  <c r="I81" i="177"/>
  <c r="I83" i="177" s="1"/>
  <c r="I84" i="177" s="1"/>
  <c r="I86" i="177" s="1"/>
  <c r="I87" i="177" s="1"/>
  <c r="I76" i="177"/>
  <c r="BP76" i="177"/>
  <c r="BN29" i="177"/>
  <c r="J38" i="177"/>
  <c r="BA76" i="177"/>
  <c r="CQ22" i="177"/>
  <c r="AW81" i="177"/>
  <c r="AW83" i="177" s="1"/>
  <c r="AW84" i="177" s="1"/>
  <c r="AW86" i="177" s="1"/>
  <c r="AW87" i="177" s="1"/>
  <c r="AW76" i="177"/>
  <c r="AS75" i="177"/>
  <c r="AS39" i="177"/>
  <c r="CJ54" i="177"/>
  <c r="Y54" i="177"/>
  <c r="BN44" i="177"/>
  <c r="AX38" i="177"/>
  <c r="AC81" i="177"/>
  <c r="AC83" i="177" s="1"/>
  <c r="AC84" i="177" s="1"/>
  <c r="AC76" i="177"/>
  <c r="CF81" i="177"/>
  <c r="CF83" i="177" s="1"/>
  <c r="CF84" i="177" s="1"/>
  <c r="CF86" i="177" s="1"/>
  <c r="CF87" i="177" s="1"/>
  <c r="CF76" i="177"/>
  <c r="M75" i="177"/>
  <c r="M39" i="177"/>
  <c r="BF76" i="177"/>
  <c r="H76" i="177"/>
  <c r="R75" i="177"/>
  <c r="CJ38" i="177"/>
  <c r="BC38" i="177"/>
  <c r="CL54" i="159"/>
  <c r="BS63" i="159"/>
  <c r="BS64" i="159"/>
  <c r="BS61" i="159"/>
  <c r="BS49" i="159"/>
  <c r="BS53" i="159"/>
  <c r="BS57" i="159"/>
  <c r="BS45" i="159"/>
  <c r="BS29" i="159"/>
  <c r="BS60" i="159"/>
  <c r="BS56" i="159"/>
  <c r="BS42" i="159"/>
  <c r="BS59" i="159"/>
  <c r="BS48" i="159"/>
  <c r="BS46" i="159"/>
  <c r="BS24" i="159"/>
  <c r="BS23" i="159"/>
  <c r="BS11" i="159"/>
  <c r="BS9" i="159"/>
  <c r="BS58" i="159"/>
  <c r="BS62" i="159"/>
  <c r="BS30" i="159"/>
  <c r="BS26" i="159"/>
  <c r="BS31" i="159"/>
  <c r="BS13" i="159"/>
  <c r="BS17" i="159"/>
  <c r="BS71" i="159"/>
  <c r="BS44" i="159"/>
  <c r="BS27" i="159"/>
  <c r="BS14" i="159"/>
  <c r="BS10" i="159"/>
  <c r="BS65" i="159"/>
  <c r="BS69" i="159"/>
  <c r="BS22" i="159"/>
  <c r="BS70" i="159"/>
  <c r="BS36" i="159"/>
  <c r="BS66" i="159"/>
  <c r="BS12" i="159"/>
  <c r="BS32" i="159"/>
  <c r="BS21" i="159"/>
  <c r="BS15" i="159"/>
  <c r="BS67" i="159"/>
  <c r="BS28" i="159"/>
  <c r="BS47" i="159"/>
  <c r="BS33" i="159"/>
  <c r="BS43" i="159"/>
  <c r="BS52" i="159"/>
  <c r="BS19" i="159"/>
  <c r="BS51" i="159"/>
  <c r="BS55" i="159"/>
  <c r="BS68" i="159"/>
  <c r="BS18" i="159"/>
  <c r="BS16" i="159"/>
  <c r="BS20" i="159"/>
  <c r="BS25" i="159"/>
  <c r="J75" i="159"/>
  <c r="J39" i="159"/>
  <c r="AD76" i="159"/>
  <c r="BW76" i="159"/>
  <c r="BW81" i="159"/>
  <c r="BW83" i="159" s="1"/>
  <c r="BW84" i="159" s="1"/>
  <c r="BW86" i="159" s="1"/>
  <c r="BW87" i="159" s="1"/>
  <c r="CK39" i="159"/>
  <c r="CE75" i="159"/>
  <c r="CE39" i="159"/>
  <c r="CQ15" i="159"/>
  <c r="CR15" i="159" s="1"/>
  <c r="CB75" i="159"/>
  <c r="CB39" i="159"/>
  <c r="AG76" i="159"/>
  <c r="CH62" i="159"/>
  <c r="CH63" i="159"/>
  <c r="CH60" i="159"/>
  <c r="CH58" i="159"/>
  <c r="CH56" i="159"/>
  <c r="CH53" i="159"/>
  <c r="CH49" i="159"/>
  <c r="CH59" i="159"/>
  <c r="CH57" i="159"/>
  <c r="CH52" i="159"/>
  <c r="CH30" i="159"/>
  <c r="CH42" i="159"/>
  <c r="CH32" i="159"/>
  <c r="CH64" i="159"/>
  <c r="CH61" i="159"/>
  <c r="CH44" i="159"/>
  <c r="CH24" i="159"/>
  <c r="CH23" i="159"/>
  <c r="CH11" i="159"/>
  <c r="CH9" i="159"/>
  <c r="CH51" i="159"/>
  <c r="CH47" i="159"/>
  <c r="CH33" i="159"/>
  <c r="CH26" i="159"/>
  <c r="CH29" i="159"/>
  <c r="BR75" i="159"/>
  <c r="CQ17" i="159"/>
  <c r="CR17" i="159" s="1"/>
  <c r="T89" i="159"/>
  <c r="BL76" i="159"/>
  <c r="BL81" i="159"/>
  <c r="BL83" i="159" s="1"/>
  <c r="BL84" i="159" s="1"/>
  <c r="BL86" i="159" s="1"/>
  <c r="BL87" i="159" s="1"/>
  <c r="C76" i="159"/>
  <c r="C81" i="159"/>
  <c r="C83" i="159" s="1"/>
  <c r="C84" i="159" s="1"/>
  <c r="CH16" i="159"/>
  <c r="BN70" i="159"/>
  <c r="BN69" i="159"/>
  <c r="BN68" i="159"/>
  <c r="BN67" i="159"/>
  <c r="BN66" i="159"/>
  <c r="BN65" i="159"/>
  <c r="BN62" i="159"/>
  <c r="BN61" i="159"/>
  <c r="BN60" i="159"/>
  <c r="BN59" i="159"/>
  <c r="BN57" i="159"/>
  <c r="BN53" i="159"/>
  <c r="BN55" i="159"/>
  <c r="BN49" i="159"/>
  <c r="BN51" i="159"/>
  <c r="BN52" i="159"/>
  <c r="BN46" i="159"/>
  <c r="BN47" i="159"/>
  <c r="BN36" i="159"/>
  <c r="BN33" i="159"/>
  <c r="BN45" i="159"/>
  <c r="BN43" i="159"/>
  <c r="BN44" i="159"/>
  <c r="BN32" i="159"/>
  <c r="BN26" i="159"/>
  <c r="BN48" i="159"/>
  <c r="BN21" i="159"/>
  <c r="BN18" i="159"/>
  <c r="BN15" i="159"/>
  <c r="BN12" i="159"/>
  <c r="BN20" i="159"/>
  <c r="BN17" i="159"/>
  <c r="BN14" i="159"/>
  <c r="BN22" i="159"/>
  <c r="BN19" i="159"/>
  <c r="BN16" i="159"/>
  <c r="BN13" i="159"/>
  <c r="CF76" i="159"/>
  <c r="CF81" i="159"/>
  <c r="CF83" i="159" s="1"/>
  <c r="CF84" i="159" s="1"/>
  <c r="CF86" i="159" s="1"/>
  <c r="CF87" i="159" s="1"/>
  <c r="CL43" i="159"/>
  <c r="CJ41" i="159"/>
  <c r="BN42" i="159"/>
  <c r="BQ81" i="159"/>
  <c r="BQ83" i="159" s="1"/>
  <c r="BQ84" i="159" s="1"/>
  <c r="BQ86" i="159" s="1"/>
  <c r="BQ87" i="159" s="1"/>
  <c r="BQ76" i="159"/>
  <c r="AM81" i="159"/>
  <c r="AM83" i="159" s="1"/>
  <c r="AM84" i="159" s="1"/>
  <c r="AM86" i="159" s="1"/>
  <c r="AM87" i="159" s="1"/>
  <c r="AM76" i="159"/>
  <c r="BN25" i="159"/>
  <c r="BZ81" i="159"/>
  <c r="BZ83" i="159" s="1"/>
  <c r="BZ84" i="159" s="1"/>
  <c r="BZ86" i="159" s="1"/>
  <c r="BZ87" i="159" s="1"/>
  <c r="BZ76" i="159"/>
  <c r="CH46" i="159"/>
  <c r="CH70" i="159"/>
  <c r="CH28" i="159"/>
  <c r="BU75" i="159"/>
  <c r="BU39" i="159"/>
  <c r="CQ12" i="159"/>
  <c r="CR12" i="159" s="1"/>
  <c r="CJ8" i="159"/>
  <c r="AX75" i="159"/>
  <c r="AX39" i="159"/>
  <c r="CH15" i="159"/>
  <c r="AN75" i="159"/>
  <c r="AQ76" i="159"/>
  <c r="CQ14" i="159"/>
  <c r="CR14" i="159" s="1"/>
  <c r="M76" i="159"/>
  <c r="M81" i="159"/>
  <c r="M83" i="159" s="1"/>
  <c r="M84" i="159" s="1"/>
  <c r="M86" i="159" s="1"/>
  <c r="M87" i="159" s="1"/>
  <c r="CH19" i="159"/>
  <c r="CQ27" i="159"/>
  <c r="CR27" i="159" s="1"/>
  <c r="CQ22" i="159"/>
  <c r="CH31" i="159"/>
  <c r="Y8" i="159"/>
  <c r="CH12" i="159"/>
  <c r="CH13" i="159"/>
  <c r="AV76" i="159"/>
  <c r="E75" i="159"/>
  <c r="CH67" i="159"/>
  <c r="CH45" i="159"/>
  <c r="CH43" i="159"/>
  <c r="CL36" i="159"/>
  <c r="CJ35" i="159"/>
  <c r="BW89" i="159"/>
  <c r="BG81" i="159"/>
  <c r="BG83" i="159" s="1"/>
  <c r="BG84" i="159" s="1"/>
  <c r="BG86" i="159" s="1"/>
  <c r="BG87" i="159" s="1"/>
  <c r="BG76" i="159"/>
  <c r="AC81" i="159"/>
  <c r="AC83" i="159" s="1"/>
  <c r="AC84" i="159" s="1"/>
  <c r="AC76" i="159"/>
  <c r="BP81" i="159"/>
  <c r="BP83" i="159" s="1"/>
  <c r="BP84" i="159" s="1"/>
  <c r="BP86" i="159" s="1"/>
  <c r="BP87" i="159" s="1"/>
  <c r="BP76" i="159"/>
  <c r="CL52" i="159"/>
  <c r="CJ50" i="159"/>
  <c r="BA75" i="159"/>
  <c r="BA39" i="159"/>
  <c r="CQ10" i="159"/>
  <c r="CR9" i="159" s="1"/>
  <c r="CL8" i="159"/>
  <c r="CB89" i="159"/>
  <c r="CH21" i="159"/>
  <c r="BN10" i="159"/>
  <c r="CQ32" i="159"/>
  <c r="CR32" i="159" s="1"/>
  <c r="CH17" i="159"/>
  <c r="BV76" i="159"/>
  <c r="BV81" i="159"/>
  <c r="BV83" i="159" s="1"/>
  <c r="BV84" i="159" s="1"/>
  <c r="BV86" i="159" s="1"/>
  <c r="BV87" i="159" s="1"/>
  <c r="CH25" i="159"/>
  <c r="CQ16" i="159"/>
  <c r="CR16" i="159" s="1"/>
  <c r="AI38" i="159"/>
  <c r="CG38" i="159"/>
  <c r="CQ26" i="159"/>
  <c r="CR26" i="159" s="1"/>
  <c r="BK75" i="159"/>
  <c r="BK39" i="159"/>
  <c r="T38" i="159"/>
  <c r="T75" i="159" s="1"/>
  <c r="T81" i="159" s="1"/>
  <c r="T83" i="159" s="1"/>
  <c r="T84" i="159" s="1"/>
  <c r="T86" i="159" s="1"/>
  <c r="O75" i="159"/>
  <c r="O39" i="159"/>
  <c r="BN24" i="159"/>
  <c r="CH10" i="159"/>
  <c r="AB76" i="159"/>
  <c r="CH14" i="159"/>
  <c r="CH69" i="159"/>
  <c r="BN58" i="159"/>
  <c r="CK41" i="159"/>
  <c r="CQ31" i="159"/>
  <c r="CR31" i="159" s="1"/>
  <c r="CJ5" i="159"/>
  <c r="CJ38" i="159" s="1"/>
  <c r="CL6" i="159"/>
  <c r="CL5" i="159" s="1"/>
  <c r="CQ21" i="159"/>
  <c r="CR21" i="159" s="1"/>
  <c r="AH76" i="159"/>
  <c r="AH81" i="159"/>
  <c r="AH83" i="159" s="1"/>
  <c r="AH84" i="159" s="1"/>
  <c r="AH86" i="159" s="1"/>
  <c r="AH87" i="159" s="1"/>
  <c r="E89" i="159"/>
  <c r="D76" i="159"/>
  <c r="D81" i="159"/>
  <c r="D83" i="159" s="1"/>
  <c r="D84" i="159" s="1"/>
  <c r="N76" i="159"/>
  <c r="N81" i="159"/>
  <c r="N83" i="159" s="1"/>
  <c r="N84" i="159" s="1"/>
  <c r="N86" i="159" s="1"/>
  <c r="N87" i="159" s="1"/>
  <c r="H81" i="159"/>
  <c r="H83" i="159" s="1"/>
  <c r="H84" i="159" s="1"/>
  <c r="H86" i="159" s="1"/>
  <c r="H87" i="159" s="1"/>
  <c r="H76" i="159"/>
  <c r="CH20" i="159"/>
  <c r="CQ13" i="159"/>
  <c r="CR13" i="159" s="1"/>
  <c r="AS38" i="159"/>
  <c r="BC38" i="159"/>
  <c r="J89" i="159"/>
  <c r="CH18" i="159"/>
  <c r="CQ19" i="159"/>
  <c r="CR19" i="159" s="1"/>
  <c r="CH71" i="159"/>
  <c r="CK54" i="159"/>
  <c r="CK75" i="159" s="1"/>
  <c r="CH55" i="159"/>
  <c r="CH36" i="159"/>
  <c r="BN29" i="159"/>
  <c r="BN31" i="159"/>
  <c r="CA81" i="159"/>
  <c r="CA83" i="159" s="1"/>
  <c r="CA84" i="159" s="1"/>
  <c r="CA86" i="159" s="1"/>
  <c r="CA87" i="159" s="1"/>
  <c r="CA76" i="159"/>
  <c r="AW81" i="159"/>
  <c r="AW83" i="159" s="1"/>
  <c r="AW84" i="159" s="1"/>
  <c r="AW86" i="159" s="1"/>
  <c r="AW87" i="159" s="1"/>
  <c r="AW76" i="159"/>
  <c r="I81" i="159"/>
  <c r="I83" i="159" s="1"/>
  <c r="I84" i="159" s="1"/>
  <c r="I86" i="159" s="1"/>
  <c r="I87" i="159" s="1"/>
  <c r="I76" i="159"/>
  <c r="BN27" i="159"/>
  <c r="O89" i="159"/>
  <c r="BF81" i="159"/>
  <c r="BF83" i="159" s="1"/>
  <c r="BF84" i="159" s="1"/>
  <c r="BF86" i="159" s="1"/>
  <c r="BF87" i="159" s="1"/>
  <c r="BF76" i="159"/>
  <c r="CL41" i="159"/>
  <c r="BN28" i="159"/>
  <c r="CH66" i="159"/>
  <c r="CP75" i="159"/>
  <c r="CP39" i="159"/>
  <c r="BN23" i="159"/>
  <c r="CQ18" i="159"/>
  <c r="CR18" i="159" s="1"/>
  <c r="AR76" i="159"/>
  <c r="AR81" i="159"/>
  <c r="AR83" i="159" s="1"/>
  <c r="AR84" i="159" s="1"/>
  <c r="AR86" i="159" s="1"/>
  <c r="AR87" i="159" s="1"/>
  <c r="BB76" i="159"/>
  <c r="BB81" i="159"/>
  <c r="BB83" i="159" s="1"/>
  <c r="BB84" i="159" s="1"/>
  <c r="BB86" i="159" s="1"/>
  <c r="BB87" i="159" s="1"/>
  <c r="CH27" i="159"/>
  <c r="CQ20" i="159"/>
  <c r="CR20" i="159" s="1"/>
  <c r="BN9" i="159"/>
  <c r="BH75" i="159"/>
  <c r="BH39" i="159"/>
  <c r="AL76" i="159"/>
  <c r="CH22" i="159"/>
  <c r="BM38" i="159"/>
  <c r="O75" i="176"/>
  <c r="O39" i="176"/>
  <c r="AX76" i="176"/>
  <c r="W75" i="176"/>
  <c r="BC75" i="176"/>
  <c r="BC39" i="176"/>
  <c r="CQ66" i="176"/>
  <c r="CQ54" i="176" s="1"/>
  <c r="CJ54" i="176"/>
  <c r="BN52" i="176"/>
  <c r="BK81" i="176"/>
  <c r="BK83" i="176" s="1"/>
  <c r="BK84" i="176" s="1"/>
  <c r="BK86" i="176" s="1"/>
  <c r="BK87" i="176" s="1"/>
  <c r="BK76" i="176"/>
  <c r="BN12" i="176"/>
  <c r="BN29" i="176"/>
  <c r="BN51" i="176"/>
  <c r="BN28" i="176"/>
  <c r="BN26" i="176"/>
  <c r="CF81" i="176"/>
  <c r="CF83" i="176" s="1"/>
  <c r="CF84" i="176" s="1"/>
  <c r="CF86" i="176" s="1"/>
  <c r="CF87" i="176" s="1"/>
  <c r="CF76" i="176"/>
  <c r="AQ76" i="176"/>
  <c r="CL6" i="176"/>
  <c r="CL5" i="176" s="1"/>
  <c r="BN25" i="176"/>
  <c r="CE76" i="176"/>
  <c r="CL43" i="176"/>
  <c r="CL41" i="176" s="1"/>
  <c r="CK41" i="176"/>
  <c r="AS38" i="176"/>
  <c r="BN10" i="176"/>
  <c r="BN17" i="176"/>
  <c r="CJ8" i="176"/>
  <c r="CJ38" i="176" s="1"/>
  <c r="CL9" i="176"/>
  <c r="AW81" i="176"/>
  <c r="AW83" i="176" s="1"/>
  <c r="AW84" i="176" s="1"/>
  <c r="AW86" i="176" s="1"/>
  <c r="AW87" i="176" s="1"/>
  <c r="AW76" i="176"/>
  <c r="BG81" i="176"/>
  <c r="BG83" i="176" s="1"/>
  <c r="BG84" i="176" s="1"/>
  <c r="BG86" i="176" s="1"/>
  <c r="BG87" i="176" s="1"/>
  <c r="BG76" i="176"/>
  <c r="BN23" i="176"/>
  <c r="CQ31" i="176"/>
  <c r="CR31" i="176" s="1"/>
  <c r="BV81" i="176"/>
  <c r="BV83" i="176" s="1"/>
  <c r="BV84" i="176" s="1"/>
  <c r="BV86" i="176" s="1"/>
  <c r="BV87" i="176" s="1"/>
  <c r="BV76" i="176"/>
  <c r="BA76" i="176"/>
  <c r="AM81" i="176"/>
  <c r="AM83" i="176" s="1"/>
  <c r="AM84" i="176" s="1"/>
  <c r="AM86" i="176" s="1"/>
  <c r="AM87" i="176" s="1"/>
  <c r="AM76" i="176"/>
  <c r="J75" i="176"/>
  <c r="J39" i="176"/>
  <c r="BN44" i="176"/>
  <c r="BZ76" i="176"/>
  <c r="AV76" i="176"/>
  <c r="AG76" i="176"/>
  <c r="BN42" i="176"/>
  <c r="BW75" i="176"/>
  <c r="BW39" i="176"/>
  <c r="AN75" i="176"/>
  <c r="AN39" i="176"/>
  <c r="CQ14" i="176"/>
  <c r="CR14" i="176" s="1"/>
  <c r="Y8" i="176"/>
  <c r="Y38" i="176" s="1"/>
  <c r="Y75" i="176" s="1"/>
  <c r="CB75" i="176"/>
  <c r="CB39" i="176"/>
  <c r="BN43" i="176"/>
  <c r="CL54" i="176"/>
  <c r="CL36" i="176"/>
  <c r="CJ35" i="176"/>
  <c r="BN55" i="176"/>
  <c r="BP76" i="176"/>
  <c r="AL76" i="176"/>
  <c r="BL75" i="176"/>
  <c r="BL39" i="176"/>
  <c r="CQ22" i="176"/>
  <c r="T38" i="176"/>
  <c r="T75" i="176" s="1"/>
  <c r="M76" i="176"/>
  <c r="AC81" i="176"/>
  <c r="AC83" i="176" s="1"/>
  <c r="AC84" i="176" s="1"/>
  <c r="AC76" i="176"/>
  <c r="CQ29" i="176"/>
  <c r="CR29" i="176" s="1"/>
  <c r="CG38" i="176"/>
  <c r="I75" i="176"/>
  <c r="I39" i="176"/>
  <c r="BQ81" i="176"/>
  <c r="BQ83" i="176" s="1"/>
  <c r="BQ84" i="176" s="1"/>
  <c r="BQ86" i="176" s="1"/>
  <c r="BQ87" i="176" s="1"/>
  <c r="BQ76" i="176"/>
  <c r="C39" i="176"/>
  <c r="C75" i="176"/>
  <c r="CQ24" i="176"/>
  <c r="CR24" i="176" s="1"/>
  <c r="AH81" i="176"/>
  <c r="AH83" i="176" s="1"/>
  <c r="AH84" i="176" s="1"/>
  <c r="AH86" i="176" s="1"/>
  <c r="AH87" i="176" s="1"/>
  <c r="AH76" i="176"/>
  <c r="BF76" i="176"/>
  <c r="AB76" i="176"/>
  <c r="BB81" i="176"/>
  <c r="BB83" i="176" s="1"/>
  <c r="BB84" i="176" s="1"/>
  <c r="BB86" i="176" s="1"/>
  <c r="BB87" i="176" s="1"/>
  <c r="BB76" i="176"/>
  <c r="CP75" i="176"/>
  <c r="CP39" i="176"/>
  <c r="BN65" i="176"/>
  <c r="BN62" i="176"/>
  <c r="BN71" i="176"/>
  <c r="BN69" i="176"/>
  <c r="BN68" i="176"/>
  <c r="BN67" i="176"/>
  <c r="BN63" i="176"/>
  <c r="BN64" i="176"/>
  <c r="BN61" i="176"/>
  <c r="BN31" i="176"/>
  <c r="BN36" i="176"/>
  <c r="BN70" i="176"/>
  <c r="BN59" i="176"/>
  <c r="BN57" i="176"/>
  <c r="BN66" i="176"/>
  <c r="BN53" i="176"/>
  <c r="BN49" i="176"/>
  <c r="BN13" i="176"/>
  <c r="BN56" i="176"/>
  <c r="BN24" i="176"/>
  <c r="BN18" i="176"/>
  <c r="BN11" i="176"/>
  <c r="CA81" i="176"/>
  <c r="CA83" i="176" s="1"/>
  <c r="CA84" i="176" s="1"/>
  <c r="CA86" i="176" s="1"/>
  <c r="CA87" i="176" s="1"/>
  <c r="CA76" i="176"/>
  <c r="BM38" i="176"/>
  <c r="CQ16" i="176"/>
  <c r="CR16" i="176" s="1"/>
  <c r="BN9" i="176"/>
  <c r="CK39" i="176"/>
  <c r="AI75" i="176"/>
  <c r="AI39" i="176"/>
  <c r="BN60" i="176"/>
  <c r="BN27" i="176"/>
  <c r="CL50" i="176"/>
  <c r="CK50" i="176"/>
  <c r="CK75" i="176" s="1"/>
  <c r="CL52" i="176"/>
  <c r="BN45" i="176"/>
  <c r="H76" i="176"/>
  <c r="D75" i="176"/>
  <c r="D39" i="176"/>
  <c r="BU76" i="176"/>
  <c r="CQ19" i="176"/>
  <c r="CR19" i="176" s="1"/>
  <c r="AR81" i="176"/>
  <c r="AR83" i="176" s="1"/>
  <c r="AR84" i="176" s="1"/>
  <c r="AR86" i="176" s="1"/>
  <c r="AR87" i="176" s="1"/>
  <c r="AR76" i="176"/>
  <c r="CQ21" i="176"/>
  <c r="CR21" i="176" s="1"/>
  <c r="BN22" i="176"/>
  <c r="AD75" i="176"/>
  <c r="AD39" i="176"/>
  <c r="BN32" i="176"/>
  <c r="CQ15" i="176"/>
  <c r="CR15" i="176" s="1"/>
  <c r="BH38" i="176"/>
  <c r="BR75" i="176"/>
  <c r="BR39" i="176"/>
  <c r="BN19" i="176"/>
  <c r="E38" i="176"/>
  <c r="AX117" i="157"/>
  <c r="CL68" i="158" l="1"/>
  <c r="Y38" i="171"/>
  <c r="Y75" i="171" s="1"/>
  <c r="BC75" i="171"/>
  <c r="BC81" i="171" s="1"/>
  <c r="BC83" i="171" s="1"/>
  <c r="BC84" i="171" s="1"/>
  <c r="BC86" i="171" s="1"/>
  <c r="BC87" i="171" s="1"/>
  <c r="P41" i="167"/>
  <c r="CH27" i="171"/>
  <c r="CH42" i="171"/>
  <c r="CH46" i="171"/>
  <c r="CH22" i="171"/>
  <c r="CH24" i="171"/>
  <c r="CH17" i="171"/>
  <c r="CH23" i="171"/>
  <c r="CH51" i="171"/>
  <c r="CH52" i="171"/>
  <c r="N76" i="167"/>
  <c r="N81" i="167"/>
  <c r="N83" i="167" s="1"/>
  <c r="N84" i="167" s="1"/>
  <c r="N86" i="167" s="1"/>
  <c r="N87" i="167" s="1"/>
  <c r="CK38" i="175"/>
  <c r="F8" i="171"/>
  <c r="BN12" i="171"/>
  <c r="BN63" i="171"/>
  <c r="BN59" i="171"/>
  <c r="BN14" i="171"/>
  <c r="BN25" i="171"/>
  <c r="T75" i="157"/>
  <c r="T81" i="157" s="1"/>
  <c r="T83" i="157" s="1"/>
  <c r="T84" i="157" s="1"/>
  <c r="T86" i="157" s="1"/>
  <c r="AI68" i="157"/>
  <c r="AI54" i="157" s="1"/>
  <c r="AH54" i="157"/>
  <c r="BC75" i="167"/>
  <c r="BC39" i="167"/>
  <c r="X68" i="157"/>
  <c r="CH48" i="159"/>
  <c r="CH68" i="159"/>
  <c r="CH65" i="159"/>
  <c r="CL55" i="158"/>
  <c r="I81" i="175"/>
  <c r="I83" i="175" s="1"/>
  <c r="I84" i="175" s="1"/>
  <c r="I86" i="175" s="1"/>
  <c r="I87" i="175" s="1"/>
  <c r="I76" i="175"/>
  <c r="AW75" i="158"/>
  <c r="AW39" i="158"/>
  <c r="BN16" i="176"/>
  <c r="BN14" i="176"/>
  <c r="BN20" i="176"/>
  <c r="BN46" i="176"/>
  <c r="BN21" i="176"/>
  <c r="BN48" i="176"/>
  <c r="BN58" i="176"/>
  <c r="BN15" i="176"/>
  <c r="BN30" i="176"/>
  <c r="BN33" i="176"/>
  <c r="BN47" i="176"/>
  <c r="BW38" i="157"/>
  <c r="T89" i="157"/>
  <c r="AW76" i="157"/>
  <c r="BM38" i="157"/>
  <c r="BM75" i="157" s="1"/>
  <c r="CB75" i="157"/>
  <c r="CL36" i="157"/>
  <c r="CL35" i="157" s="1"/>
  <c r="AQ75" i="157"/>
  <c r="AQ39" i="157"/>
  <c r="AM81" i="157"/>
  <c r="AM83" i="157" s="1"/>
  <c r="AM84" i="157" s="1"/>
  <c r="AM86" i="157" s="1"/>
  <c r="AM87" i="157" s="1"/>
  <c r="AM76" i="157"/>
  <c r="BZ76" i="157"/>
  <c r="CA81" i="157"/>
  <c r="CA83" i="157" s="1"/>
  <c r="CA84" i="157" s="1"/>
  <c r="CA86" i="157" s="1"/>
  <c r="CA87" i="157" s="1"/>
  <c r="CA76" i="157"/>
  <c r="BD94" i="157"/>
  <c r="BJ94" i="157"/>
  <c r="BD102" i="157"/>
  <c r="BJ102" i="157"/>
  <c r="AY118" i="157"/>
  <c r="AZ119" i="157"/>
  <c r="BB76" i="157"/>
  <c r="BB81" i="157"/>
  <c r="BB83" i="157" s="1"/>
  <c r="BB84" i="157" s="1"/>
  <c r="BB86" i="157" s="1"/>
  <c r="BB87" i="157" s="1"/>
  <c r="CG38" i="157"/>
  <c r="BJ101" i="157"/>
  <c r="BD101" i="157"/>
  <c r="BJ98" i="157"/>
  <c r="BD98" i="157"/>
  <c r="AS75" i="157"/>
  <c r="AS39" i="157"/>
  <c r="BH38" i="157"/>
  <c r="BJ108" i="157"/>
  <c r="BD108" i="157"/>
  <c r="BJ95" i="157"/>
  <c r="BD95" i="157"/>
  <c r="BM89" i="157"/>
  <c r="BJ96" i="157"/>
  <c r="BD96" i="157"/>
  <c r="BF76" i="157"/>
  <c r="CJ54" i="157"/>
  <c r="BV81" i="157"/>
  <c r="BV83" i="157" s="1"/>
  <c r="BV84" i="157" s="1"/>
  <c r="BV86" i="157" s="1"/>
  <c r="BV87" i="157" s="1"/>
  <c r="BV76" i="157"/>
  <c r="J76" i="157"/>
  <c r="BJ104" i="157"/>
  <c r="BD104" i="157"/>
  <c r="AR76" i="157"/>
  <c r="AR81" i="157"/>
  <c r="AR83" i="157" s="1"/>
  <c r="AR84" i="157" s="1"/>
  <c r="AR86" i="157" s="1"/>
  <c r="AR87" i="157" s="1"/>
  <c r="CJ41" i="157"/>
  <c r="E75" i="157"/>
  <c r="E39" i="157"/>
  <c r="CJ50" i="157"/>
  <c r="CL52" i="157"/>
  <c r="Y41" i="157"/>
  <c r="BD99" i="157"/>
  <c r="BJ99" i="157"/>
  <c r="BD105" i="157"/>
  <c r="BJ105" i="157"/>
  <c r="D86" i="157"/>
  <c r="D87" i="157" s="1"/>
  <c r="CF76" i="157"/>
  <c r="CF81" i="157"/>
  <c r="CF83" i="157" s="1"/>
  <c r="CF84" i="157" s="1"/>
  <c r="CF86" i="157" s="1"/>
  <c r="CF87" i="157" s="1"/>
  <c r="BG81" i="157"/>
  <c r="BG83" i="157" s="1"/>
  <c r="BG84" i="157" s="1"/>
  <c r="BG86" i="157" s="1"/>
  <c r="BG87" i="157" s="1"/>
  <c r="BG76" i="157"/>
  <c r="BD103" i="157"/>
  <c r="BJ103" i="157"/>
  <c r="BR38" i="157"/>
  <c r="BC38" i="157"/>
  <c r="BW75" i="157"/>
  <c r="BW39" i="157"/>
  <c r="CL41" i="157"/>
  <c r="BD97" i="157"/>
  <c r="BJ97" i="157"/>
  <c r="BA76" i="157"/>
  <c r="AV76" i="157"/>
  <c r="BD100" i="157"/>
  <c r="BJ100" i="157"/>
  <c r="Y50" i="157"/>
  <c r="I81" i="157"/>
  <c r="I83" i="157" s="1"/>
  <c r="I84" i="157" s="1"/>
  <c r="I86" i="157" s="1"/>
  <c r="I87" i="157" s="1"/>
  <c r="I76" i="157"/>
  <c r="BJ106" i="157"/>
  <c r="BD106" i="157"/>
  <c r="AB76" i="157"/>
  <c r="BJ110" i="157"/>
  <c r="BD110" i="157"/>
  <c r="AX38" i="157"/>
  <c r="BK81" i="157"/>
  <c r="BK83" i="157" s="1"/>
  <c r="BK84" i="157" s="1"/>
  <c r="BK86" i="157" s="1"/>
  <c r="BK87" i="157" s="1"/>
  <c r="BK76" i="157"/>
  <c r="CL78" i="157"/>
  <c r="BJ109" i="157"/>
  <c r="BD109" i="157"/>
  <c r="CE76" i="157"/>
  <c r="AG76" i="157"/>
  <c r="BL76" i="157"/>
  <c r="BL81" i="157"/>
  <c r="BL83" i="157" s="1"/>
  <c r="BL84" i="157" s="1"/>
  <c r="BL86" i="157" s="1"/>
  <c r="BL87" i="157" s="1"/>
  <c r="BP76" i="157"/>
  <c r="BD107" i="157"/>
  <c r="BJ107" i="157"/>
  <c r="O76" i="157"/>
  <c r="CJ39" i="158"/>
  <c r="CK8" i="158"/>
  <c r="CK38" i="158" s="1"/>
  <c r="CL9" i="158"/>
  <c r="CL36" i="158"/>
  <c r="CJ35" i="158"/>
  <c r="O76" i="158"/>
  <c r="AX76" i="158"/>
  <c r="CL41" i="158"/>
  <c r="BP76" i="158"/>
  <c r="BK76" i="158"/>
  <c r="BK81" i="158"/>
  <c r="BK83" i="158" s="1"/>
  <c r="BK84" i="158" s="1"/>
  <c r="BK86" i="158" s="1"/>
  <c r="BK87" i="158" s="1"/>
  <c r="BM75" i="158"/>
  <c r="BM39" i="158"/>
  <c r="CE76" i="158"/>
  <c r="AI38" i="158"/>
  <c r="BR75" i="158"/>
  <c r="BR39" i="158"/>
  <c r="T75" i="158"/>
  <c r="AQ76" i="158"/>
  <c r="BZ76" i="158"/>
  <c r="BA76" i="158"/>
  <c r="X75" i="158"/>
  <c r="X81" i="158" s="1"/>
  <c r="X83" i="158" s="1"/>
  <c r="AN75" i="158"/>
  <c r="AN39" i="158"/>
  <c r="Y54" i="158"/>
  <c r="Y75" i="158" s="1"/>
  <c r="BC38" i="158"/>
  <c r="AH81" i="158"/>
  <c r="AH83" i="158" s="1"/>
  <c r="AH84" i="158" s="1"/>
  <c r="AH86" i="158" s="1"/>
  <c r="AH87" i="158" s="1"/>
  <c r="AH76" i="158"/>
  <c r="W75" i="158"/>
  <c r="AC75" i="158"/>
  <c r="AL76" i="158"/>
  <c r="E76" i="158"/>
  <c r="AM81" i="158"/>
  <c r="AM83" i="158" s="1"/>
  <c r="AM84" i="158" s="1"/>
  <c r="AM86" i="158" s="1"/>
  <c r="AM87" i="158" s="1"/>
  <c r="AM76" i="158"/>
  <c r="CL54" i="158"/>
  <c r="CP76" i="158"/>
  <c r="CP81" i="158"/>
  <c r="CP83" i="158" s="1"/>
  <c r="CP84" i="158" s="1"/>
  <c r="CP86" i="158" s="1"/>
  <c r="CP87" i="158" s="1"/>
  <c r="C76" i="158"/>
  <c r="AS75" i="158"/>
  <c r="AS39" i="158"/>
  <c r="D86" i="158"/>
  <c r="D87" i="158" s="1"/>
  <c r="AB76" i="158"/>
  <c r="AD75" i="158"/>
  <c r="J76" i="158"/>
  <c r="AV76" i="158"/>
  <c r="AG76" i="158"/>
  <c r="AD54" i="158"/>
  <c r="N81" i="158"/>
  <c r="N83" i="158" s="1"/>
  <c r="N84" i="158" s="1"/>
  <c r="N86" i="158" s="1"/>
  <c r="N87" i="158" s="1"/>
  <c r="N76" i="158"/>
  <c r="CB76" i="158"/>
  <c r="BU76" i="158"/>
  <c r="CR31" i="158"/>
  <c r="CR8" i="158" s="1"/>
  <c r="CR38" i="158" s="1"/>
  <c r="CQ8" i="158"/>
  <c r="CQ38" i="158" s="1"/>
  <c r="BH75" i="158"/>
  <c r="BH39" i="158"/>
  <c r="BN71" i="158"/>
  <c r="BN64" i="158"/>
  <c r="BN53" i="158"/>
  <c r="BN52" i="158"/>
  <c r="BN51" i="158"/>
  <c r="BN46" i="158"/>
  <c r="BN44" i="158"/>
  <c r="BN36" i="158"/>
  <c r="BN56" i="158"/>
  <c r="BN47" i="158"/>
  <c r="BN48" i="158"/>
  <c r="BN23" i="158"/>
  <c r="BN22" i="158"/>
  <c r="BN16" i="158"/>
  <c r="BN33" i="158"/>
  <c r="BN18" i="158"/>
  <c r="BN45" i="158"/>
  <c r="BN12" i="158"/>
  <c r="BN49" i="158"/>
  <c r="BN32" i="158"/>
  <c r="BN43" i="158"/>
  <c r="BN31" i="158"/>
  <c r="BN25" i="158"/>
  <c r="BN42" i="158"/>
  <c r="BN15" i="158"/>
  <c r="BN10" i="158"/>
  <c r="BN28" i="158"/>
  <c r="BN27" i="158"/>
  <c r="BN21" i="158"/>
  <c r="BN20" i="158"/>
  <c r="BN62" i="158"/>
  <c r="BN57" i="158"/>
  <c r="BN68" i="158"/>
  <c r="BN14" i="158"/>
  <c r="BN13" i="158"/>
  <c r="BN59" i="158"/>
  <c r="BN61" i="158"/>
  <c r="BN11" i="158"/>
  <c r="BN24" i="158"/>
  <c r="BN60" i="158"/>
  <c r="BN55" i="158"/>
  <c r="BN58" i="158"/>
  <c r="BN67" i="158"/>
  <c r="BN66" i="158"/>
  <c r="BN29" i="158"/>
  <c r="BN63" i="158"/>
  <c r="BN17" i="158"/>
  <c r="BN30" i="158"/>
  <c r="BN65" i="158"/>
  <c r="BN69" i="158"/>
  <c r="BN9" i="158"/>
  <c r="BN70" i="158"/>
  <c r="BN26" i="158"/>
  <c r="BN19" i="158"/>
  <c r="CJ54" i="158"/>
  <c r="BF76" i="158"/>
  <c r="CJ41" i="158"/>
  <c r="CJ8" i="171"/>
  <c r="AV75" i="171"/>
  <c r="AV39" i="171"/>
  <c r="BG76" i="171"/>
  <c r="BG81" i="171"/>
  <c r="BG83" i="171" s="1"/>
  <c r="BG84" i="171" s="1"/>
  <c r="BG86" i="171" s="1"/>
  <c r="BG87" i="171" s="1"/>
  <c r="CL54" i="171"/>
  <c r="W38" i="171"/>
  <c r="W75" i="171" s="1"/>
  <c r="BV76" i="171"/>
  <c r="BV81" i="171"/>
  <c r="BV83" i="171" s="1"/>
  <c r="BV84" i="171" s="1"/>
  <c r="BV86" i="171" s="1"/>
  <c r="BV87" i="171" s="1"/>
  <c r="CP81" i="171"/>
  <c r="CP83" i="171" s="1"/>
  <c r="CP84" i="171" s="1"/>
  <c r="CP86" i="171" s="1"/>
  <c r="CP87" i="171" s="1"/>
  <c r="CP76" i="171"/>
  <c r="CA76" i="171"/>
  <c r="CA81" i="171"/>
  <c r="CA83" i="171" s="1"/>
  <c r="CA84" i="171" s="1"/>
  <c r="CA86" i="171" s="1"/>
  <c r="CA87" i="171" s="1"/>
  <c r="AB86" i="171"/>
  <c r="AB87" i="171" s="1"/>
  <c r="AX38" i="171"/>
  <c r="C86" i="171"/>
  <c r="C87" i="171" s="1"/>
  <c r="AH76" i="171"/>
  <c r="AH81" i="171"/>
  <c r="AH83" i="171" s="1"/>
  <c r="AH84" i="171" s="1"/>
  <c r="AH86" i="171" s="1"/>
  <c r="AH87" i="171" s="1"/>
  <c r="E76" i="171"/>
  <c r="E81" i="171"/>
  <c r="E83" i="171" s="1"/>
  <c r="E84" i="171" s="1"/>
  <c r="E86" i="171" s="1"/>
  <c r="E87" i="171" s="1"/>
  <c r="P72" i="171"/>
  <c r="P67" i="171"/>
  <c r="P61" i="171"/>
  <c r="P55" i="171"/>
  <c r="P85" i="171"/>
  <c r="P71" i="171"/>
  <c r="P65" i="171"/>
  <c r="P59" i="171"/>
  <c r="P66" i="171"/>
  <c r="P62" i="171"/>
  <c r="P68" i="171"/>
  <c r="P82" i="171"/>
  <c r="P78" i="171"/>
  <c r="P60" i="171"/>
  <c r="P56" i="171"/>
  <c r="P58" i="171"/>
  <c r="P53" i="171"/>
  <c r="P43" i="171"/>
  <c r="P70" i="171"/>
  <c r="P48" i="171"/>
  <c r="P46" i="171"/>
  <c r="P69" i="171"/>
  <c r="P42" i="171"/>
  <c r="P63" i="171"/>
  <c r="P44" i="171"/>
  <c r="T90" i="171"/>
  <c r="P57" i="171"/>
  <c r="P36" i="171"/>
  <c r="P32" i="171"/>
  <c r="P64" i="171"/>
  <c r="P31" i="171"/>
  <c r="P17" i="171"/>
  <c r="P12" i="171"/>
  <c r="P18" i="171"/>
  <c r="P20" i="171"/>
  <c r="P30" i="171"/>
  <c r="P29" i="171"/>
  <c r="P14" i="171"/>
  <c r="P11" i="171"/>
  <c r="P21" i="171"/>
  <c r="P22" i="171"/>
  <c r="P33" i="171"/>
  <c r="P16" i="171"/>
  <c r="P9" i="171"/>
  <c r="P45" i="171"/>
  <c r="P25" i="171"/>
  <c r="P79" i="171"/>
  <c r="P15" i="171"/>
  <c r="P24" i="171"/>
  <c r="P19" i="171"/>
  <c r="P52" i="171"/>
  <c r="P27" i="171"/>
  <c r="P51" i="171"/>
  <c r="P23" i="171"/>
  <c r="P47" i="171"/>
  <c r="P26" i="171"/>
  <c r="P74" i="171"/>
  <c r="P13" i="171"/>
  <c r="P10" i="171"/>
  <c r="P28" i="171"/>
  <c r="CJ5" i="171"/>
  <c r="CL6" i="171"/>
  <c r="CE81" i="171"/>
  <c r="CE83" i="171" s="1"/>
  <c r="CE84" i="171" s="1"/>
  <c r="CE86" i="171" s="1"/>
  <c r="CE87" i="171" s="1"/>
  <c r="CE76" i="171"/>
  <c r="CQ24" i="171"/>
  <c r="CR24" i="171" s="1"/>
  <c r="CT24" i="171" s="1"/>
  <c r="BD67" i="171"/>
  <c r="BD61" i="171"/>
  <c r="BD55" i="171"/>
  <c r="BD71" i="171"/>
  <c r="BD65" i="171"/>
  <c r="BD59" i="171"/>
  <c r="BD70" i="171"/>
  <c r="BD66" i="171"/>
  <c r="BD58" i="171"/>
  <c r="BD49" i="171"/>
  <c r="BD64" i="171"/>
  <c r="BD60" i="171"/>
  <c r="BD57" i="171"/>
  <c r="BD36" i="171"/>
  <c r="BD29" i="171"/>
  <c r="BD69" i="171"/>
  <c r="BD62" i="171"/>
  <c r="BD56" i="171"/>
  <c r="BD68" i="171"/>
  <c r="BD32" i="171"/>
  <c r="BD63" i="171"/>
  <c r="BD30" i="171"/>
  <c r="BD45" i="171"/>
  <c r="BD47" i="171"/>
  <c r="BD53" i="171"/>
  <c r="BD17" i="171"/>
  <c r="BD16" i="171"/>
  <c r="BD15" i="171"/>
  <c r="BD14" i="171"/>
  <c r="BD13" i="171"/>
  <c r="BD12" i="171"/>
  <c r="BD18" i="171"/>
  <c r="BD42" i="171"/>
  <c r="BD48" i="171"/>
  <c r="BD52" i="171"/>
  <c r="BD9" i="171"/>
  <c r="BD11" i="171"/>
  <c r="BD27" i="171"/>
  <c r="BD51" i="171"/>
  <c r="BD44" i="171"/>
  <c r="BD21" i="171"/>
  <c r="BD33" i="171"/>
  <c r="BD19" i="171"/>
  <c r="BD23" i="171"/>
  <c r="BD10" i="171"/>
  <c r="BD31" i="171"/>
  <c r="BD26" i="171"/>
  <c r="BD22" i="171"/>
  <c r="BD20" i="171"/>
  <c r="BD43" i="171"/>
  <c r="BD28" i="171"/>
  <c r="BD46" i="171"/>
  <c r="BS53" i="171"/>
  <c r="BS67" i="171"/>
  <c r="BS61" i="171"/>
  <c r="BS55" i="171"/>
  <c r="BS71" i="171"/>
  <c r="BS65" i="171"/>
  <c r="BS59" i="171"/>
  <c r="BS49" i="171"/>
  <c r="BS70" i="171"/>
  <c r="BS66" i="171"/>
  <c r="BS58" i="171"/>
  <c r="BS64" i="171"/>
  <c r="BS60" i="171"/>
  <c r="BS36" i="171"/>
  <c r="BS62" i="171"/>
  <c r="BS56" i="171"/>
  <c r="BS45" i="171"/>
  <c r="BS69" i="171"/>
  <c r="BS68" i="171"/>
  <c r="BS57" i="171"/>
  <c r="BS32" i="171"/>
  <c r="BS24" i="171"/>
  <c r="BS47" i="171"/>
  <c r="BS31" i="171"/>
  <c r="BS30" i="171"/>
  <c r="BS23" i="171"/>
  <c r="BS63" i="171"/>
  <c r="BS12" i="171"/>
  <c r="BS16" i="171"/>
  <c r="BS22" i="171"/>
  <c r="BS25" i="171"/>
  <c r="BS20" i="171"/>
  <c r="BS10" i="171"/>
  <c r="BS21" i="171"/>
  <c r="BS27" i="171"/>
  <c r="BS15" i="171"/>
  <c r="BS44" i="171"/>
  <c r="BS9" i="171"/>
  <c r="BS52" i="171"/>
  <c r="BS19" i="171"/>
  <c r="BS28" i="171"/>
  <c r="BS14" i="171"/>
  <c r="BS43" i="171"/>
  <c r="BS42" i="171"/>
  <c r="BS13" i="171"/>
  <c r="BS17" i="171"/>
  <c r="BS18" i="171"/>
  <c r="BS11" i="171"/>
  <c r="BS48" i="171"/>
  <c r="BS26" i="171"/>
  <c r="BS29" i="171"/>
  <c r="BS33" i="171"/>
  <c r="BS46" i="171"/>
  <c r="BS51" i="171"/>
  <c r="CG75" i="171"/>
  <c r="CG39" i="171"/>
  <c r="J81" i="171"/>
  <c r="J83" i="171" s="1"/>
  <c r="J84" i="171" s="1"/>
  <c r="J86" i="171" s="1"/>
  <c r="J87" i="171" s="1"/>
  <c r="J76" i="171"/>
  <c r="BU81" i="171"/>
  <c r="BU83" i="171" s="1"/>
  <c r="BU84" i="171" s="1"/>
  <c r="BU86" i="171" s="1"/>
  <c r="BU87" i="171" s="1"/>
  <c r="BU76" i="171"/>
  <c r="BM39" i="171"/>
  <c r="BM75" i="171"/>
  <c r="F69" i="171"/>
  <c r="F63" i="171"/>
  <c r="F57" i="171"/>
  <c r="F67" i="171"/>
  <c r="F61" i="171"/>
  <c r="F55" i="171"/>
  <c r="P54" i="171"/>
  <c r="F71" i="171"/>
  <c r="F68" i="171"/>
  <c r="F60" i="171"/>
  <c r="F59" i="171"/>
  <c r="F56" i="171"/>
  <c r="F54" i="171"/>
  <c r="K53" i="171"/>
  <c r="F51" i="171"/>
  <c r="F66" i="171"/>
  <c r="F65" i="171"/>
  <c r="F62" i="171"/>
  <c r="F47" i="171"/>
  <c r="F45" i="171"/>
  <c r="F43" i="171"/>
  <c r="F29" i="171"/>
  <c r="F32" i="171"/>
  <c r="F64" i="171"/>
  <c r="F53" i="171"/>
  <c r="F44" i="171"/>
  <c r="F42" i="171"/>
  <c r="F58" i="171"/>
  <c r="K41" i="171"/>
  <c r="F27" i="171"/>
  <c r="F31" i="171"/>
  <c r="F18" i="171"/>
  <c r="F17" i="171"/>
  <c r="F16" i="171"/>
  <c r="F14" i="171"/>
  <c r="F13" i="171"/>
  <c r="F12" i="171"/>
  <c r="F52" i="171"/>
  <c r="F33" i="171"/>
  <c r="F30" i="171"/>
  <c r="F48" i="171"/>
  <c r="F41" i="171"/>
  <c r="F28" i="171"/>
  <c r="F25" i="171"/>
  <c r="F19" i="171"/>
  <c r="F22" i="171"/>
  <c r="F46" i="171"/>
  <c r="F24" i="171"/>
  <c r="F70" i="171"/>
  <c r="K8" i="171"/>
  <c r="F21" i="171"/>
  <c r="F20" i="171"/>
  <c r="F11" i="171"/>
  <c r="F9" i="171"/>
  <c r="F36" i="171"/>
  <c r="F26" i="171"/>
  <c r="F10" i="171"/>
  <c r="K50" i="171"/>
  <c r="F15" i="171"/>
  <c r="F23" i="171"/>
  <c r="F50" i="171"/>
  <c r="CL41" i="171"/>
  <c r="AD81" i="171"/>
  <c r="AD83" i="171" s="1"/>
  <c r="AD84" i="171" s="1"/>
  <c r="AD86" i="171" s="1"/>
  <c r="AD87" i="171" s="1"/>
  <c r="AD76" i="171"/>
  <c r="AW81" i="171"/>
  <c r="AW83" i="171" s="1"/>
  <c r="AW84" i="171" s="1"/>
  <c r="AW86" i="171" s="1"/>
  <c r="AW87" i="171" s="1"/>
  <c r="AW76" i="171"/>
  <c r="BX69" i="171"/>
  <c r="BX63" i="171"/>
  <c r="BX57" i="171"/>
  <c r="BX67" i="171"/>
  <c r="BX61" i="171"/>
  <c r="BX55" i="171"/>
  <c r="BX58" i="171"/>
  <c r="BX49" i="171"/>
  <c r="BX64" i="171"/>
  <c r="BX60" i="171"/>
  <c r="BX48" i="171"/>
  <c r="BX46" i="171"/>
  <c r="BX70" i="171"/>
  <c r="BX66" i="171"/>
  <c r="BX29" i="171"/>
  <c r="BX59" i="171"/>
  <c r="BX47" i="171"/>
  <c r="BX45" i="171"/>
  <c r="BX44" i="171"/>
  <c r="BX42" i="171"/>
  <c r="BX32" i="171"/>
  <c r="BX71" i="171"/>
  <c r="BX33" i="171"/>
  <c r="BX65" i="171"/>
  <c r="BX53" i="171"/>
  <c r="BX51" i="171"/>
  <c r="BX25" i="171"/>
  <c r="BX56" i="171"/>
  <c r="BX43" i="171"/>
  <c r="BX18" i="171"/>
  <c r="BX17" i="171"/>
  <c r="BX16" i="171"/>
  <c r="BX62" i="171"/>
  <c r="BX31" i="171"/>
  <c r="BX30" i="171"/>
  <c r="BX27" i="171"/>
  <c r="BX68" i="171"/>
  <c r="BX28" i="171"/>
  <c r="BX19" i="171"/>
  <c r="BX22" i="171"/>
  <c r="BX21" i="171"/>
  <c r="BX20" i="171"/>
  <c r="BX11" i="171"/>
  <c r="BX9" i="171"/>
  <c r="BX23" i="171"/>
  <c r="BX14" i="171"/>
  <c r="BX52" i="171"/>
  <c r="BX26" i="171"/>
  <c r="BX13" i="171"/>
  <c r="BX36" i="171"/>
  <c r="BX10" i="171"/>
  <c r="BX24" i="171"/>
  <c r="BX12" i="171"/>
  <c r="BX15" i="171"/>
  <c r="H81" i="171"/>
  <c r="H83" i="171" s="1"/>
  <c r="H84" i="171" s="1"/>
  <c r="H86" i="171" s="1"/>
  <c r="H87" i="171" s="1"/>
  <c r="H76" i="171"/>
  <c r="BI53" i="171"/>
  <c r="BI69" i="171"/>
  <c r="BI63" i="171"/>
  <c r="BI57" i="171"/>
  <c r="BI49" i="171"/>
  <c r="BI67" i="171"/>
  <c r="BI61" i="171"/>
  <c r="BI55" i="171"/>
  <c r="BI58" i="171"/>
  <c r="BI64" i="171"/>
  <c r="BI60" i="171"/>
  <c r="BI48" i="171"/>
  <c r="BI46" i="171"/>
  <c r="BI70" i="171"/>
  <c r="BI66" i="171"/>
  <c r="BI29" i="171"/>
  <c r="BI47" i="171"/>
  <c r="BI45" i="171"/>
  <c r="BI33" i="171"/>
  <c r="BI32" i="171"/>
  <c r="BI59" i="171"/>
  <c r="BI62" i="171"/>
  <c r="BI31" i="171"/>
  <c r="BI30" i="171"/>
  <c r="BI18" i="171"/>
  <c r="BI17" i="171"/>
  <c r="BI16" i="171"/>
  <c r="BI27" i="171"/>
  <c r="BI25" i="171"/>
  <c r="BI68" i="171"/>
  <c r="BI65" i="171"/>
  <c r="BI56" i="171"/>
  <c r="BI42" i="171"/>
  <c r="BI28" i="171"/>
  <c r="BI71" i="171"/>
  <c r="BI44" i="171"/>
  <c r="BI43" i="171"/>
  <c r="BI51" i="171"/>
  <c r="BI21" i="171"/>
  <c r="BI22" i="171"/>
  <c r="BI20" i="171"/>
  <c r="BI11" i="171"/>
  <c r="BI9" i="171"/>
  <c r="BI19" i="171"/>
  <c r="BI12" i="171"/>
  <c r="BI13" i="171"/>
  <c r="BI36" i="171"/>
  <c r="BI14" i="171"/>
  <c r="BI24" i="171"/>
  <c r="BI26" i="171"/>
  <c r="BI10" i="171"/>
  <c r="BI15" i="171"/>
  <c r="BI23" i="171"/>
  <c r="BI52" i="171"/>
  <c r="CB81" i="171"/>
  <c r="CB83" i="171" s="1"/>
  <c r="CB84" i="171" s="1"/>
  <c r="CB86" i="171" s="1"/>
  <c r="CB87" i="171" s="1"/>
  <c r="CB76" i="171"/>
  <c r="O75" i="171"/>
  <c r="O39" i="171"/>
  <c r="AI75" i="171"/>
  <c r="AI39" i="171"/>
  <c r="BR81" i="171"/>
  <c r="BR83" i="171" s="1"/>
  <c r="BR84" i="171" s="1"/>
  <c r="BR86" i="171" s="1"/>
  <c r="BR87" i="171" s="1"/>
  <c r="BR76" i="171"/>
  <c r="AG76" i="171"/>
  <c r="AS76" i="171"/>
  <c r="BK81" i="171"/>
  <c r="BK83" i="171" s="1"/>
  <c r="BK84" i="171" s="1"/>
  <c r="BK86" i="171" s="1"/>
  <c r="BK87" i="171" s="1"/>
  <c r="BK76" i="171"/>
  <c r="K85" i="171"/>
  <c r="K56" i="171"/>
  <c r="K51" i="171"/>
  <c r="K62" i="171"/>
  <c r="K47" i="171"/>
  <c r="K45" i="171"/>
  <c r="K79" i="171"/>
  <c r="K68" i="171"/>
  <c r="K36" i="171"/>
  <c r="K48" i="171"/>
  <c r="K46" i="171"/>
  <c r="K33" i="171"/>
  <c r="K30" i="171"/>
  <c r="K72" i="171"/>
  <c r="K58" i="171"/>
  <c r="K42" i="171"/>
  <c r="K70" i="171"/>
  <c r="K29" i="171"/>
  <c r="K43" i="171"/>
  <c r="K74" i="171"/>
  <c r="K64" i="171"/>
  <c r="K27" i="171"/>
  <c r="K26" i="171"/>
  <c r="K25" i="171"/>
  <c r="K28" i="171"/>
  <c r="K20" i="171"/>
  <c r="K11" i="171"/>
  <c r="K22" i="171"/>
  <c r="K21" i="171"/>
  <c r="K9" i="171"/>
  <c r="K44" i="171"/>
  <c r="K19" i="171"/>
  <c r="K17" i="171"/>
  <c r="K61" i="171"/>
  <c r="K16" i="171"/>
  <c r="K23" i="171"/>
  <c r="K69" i="171"/>
  <c r="K24" i="171"/>
  <c r="K57" i="171"/>
  <c r="K52" i="171"/>
  <c r="K12" i="171"/>
  <c r="K32" i="171"/>
  <c r="K31" i="171"/>
  <c r="K15" i="171"/>
  <c r="K10" i="171"/>
  <c r="K60" i="171"/>
  <c r="K65" i="171"/>
  <c r="K82" i="171"/>
  <c r="K18" i="171"/>
  <c r="K13" i="171"/>
  <c r="K59" i="171"/>
  <c r="K71" i="171"/>
  <c r="K55" i="171"/>
  <c r="K14" i="171"/>
  <c r="K66" i="171"/>
  <c r="K67" i="171"/>
  <c r="K63" i="171"/>
  <c r="K78" i="171"/>
  <c r="BQ76" i="171"/>
  <c r="BQ81" i="171"/>
  <c r="BQ83" i="171" s="1"/>
  <c r="BQ84" i="171" s="1"/>
  <c r="BQ86" i="171" s="1"/>
  <c r="BQ87" i="171" s="1"/>
  <c r="AN76" i="171"/>
  <c r="CL8" i="171"/>
  <c r="CQ9" i="171"/>
  <c r="CL50" i="171"/>
  <c r="CT22" i="171"/>
  <c r="CR22" i="171"/>
  <c r="CL35" i="171"/>
  <c r="CQ36" i="171"/>
  <c r="P41" i="171"/>
  <c r="BW76" i="171"/>
  <c r="BW81" i="171"/>
  <c r="BW83" i="171" s="1"/>
  <c r="BW84" i="171" s="1"/>
  <c r="BW86" i="171" s="1"/>
  <c r="BW87" i="171" s="1"/>
  <c r="AM76" i="171"/>
  <c r="AM81" i="171"/>
  <c r="AM83" i="171" s="1"/>
  <c r="AM84" i="171" s="1"/>
  <c r="AM86" i="171" s="1"/>
  <c r="AM87" i="171" s="1"/>
  <c r="P50" i="171"/>
  <c r="AC76" i="171"/>
  <c r="AC81" i="171"/>
  <c r="AC83" i="171" s="1"/>
  <c r="AC84" i="171" s="1"/>
  <c r="CK76" i="171"/>
  <c r="CK81" i="171"/>
  <c r="CK83" i="171" s="1"/>
  <c r="BH81" i="171"/>
  <c r="BH83" i="171" s="1"/>
  <c r="BH84" i="171" s="1"/>
  <c r="BH86" i="171" s="1"/>
  <c r="BH87" i="171" s="1"/>
  <c r="BH76" i="171"/>
  <c r="CK75" i="167"/>
  <c r="CK39" i="167"/>
  <c r="CL35" i="167"/>
  <c r="CQ36" i="167"/>
  <c r="AX75" i="167"/>
  <c r="AX39" i="167"/>
  <c r="H81" i="167"/>
  <c r="H83" i="167" s="1"/>
  <c r="H84" i="167" s="1"/>
  <c r="H86" i="167" s="1"/>
  <c r="H87" i="167" s="1"/>
  <c r="H76" i="167"/>
  <c r="CG76" i="167"/>
  <c r="CG81" i="167"/>
  <c r="CG83" i="167" s="1"/>
  <c r="CG84" i="167" s="1"/>
  <c r="CG86" i="167" s="1"/>
  <c r="CG87" i="167" s="1"/>
  <c r="T75" i="167"/>
  <c r="T81" i="167" s="1"/>
  <c r="T83" i="167" s="1"/>
  <c r="T84" i="167" s="1"/>
  <c r="T86" i="167" s="1"/>
  <c r="CA81" i="167"/>
  <c r="CA83" i="167" s="1"/>
  <c r="CA84" i="167" s="1"/>
  <c r="CA86" i="167" s="1"/>
  <c r="CA87" i="167" s="1"/>
  <c r="CA76" i="167"/>
  <c r="C86" i="167"/>
  <c r="C87" i="167" s="1"/>
  <c r="K53" i="167"/>
  <c r="F58" i="167"/>
  <c r="F53" i="167"/>
  <c r="F46" i="167"/>
  <c r="F63" i="167"/>
  <c r="F55" i="167"/>
  <c r="P54" i="167"/>
  <c r="F66" i="167"/>
  <c r="F59" i="167"/>
  <c r="F24" i="167"/>
  <c r="F57" i="167"/>
  <c r="F26" i="167"/>
  <c r="F60" i="167"/>
  <c r="P50" i="167"/>
  <c r="F48" i="167"/>
  <c r="F23" i="167"/>
  <c r="F56" i="167"/>
  <c r="F12" i="167"/>
  <c r="F11" i="167"/>
  <c r="F9" i="167"/>
  <c r="F19" i="167"/>
  <c r="F47" i="167"/>
  <c r="F36" i="167"/>
  <c r="F42" i="167"/>
  <c r="F62" i="167"/>
  <c r="F67" i="167"/>
  <c r="F22" i="167"/>
  <c r="F43" i="167"/>
  <c r="F45" i="167"/>
  <c r="F21" i="167"/>
  <c r="F54" i="167"/>
  <c r="F8" i="167"/>
  <c r="F18" i="167"/>
  <c r="F20" i="167"/>
  <c r="F28" i="167"/>
  <c r="F32" i="167"/>
  <c r="F30" i="167"/>
  <c r="F29" i="167"/>
  <c r="F70" i="167"/>
  <c r="F10" i="167"/>
  <c r="F14" i="167"/>
  <c r="K41" i="167"/>
  <c r="F33" i="167"/>
  <c r="F68" i="167"/>
  <c r="F71" i="167"/>
  <c r="F52" i="167"/>
  <c r="F64" i="167"/>
  <c r="F13" i="167"/>
  <c r="F25" i="167"/>
  <c r="F44" i="167"/>
  <c r="F61" i="167"/>
  <c r="F65" i="167"/>
  <c r="F15" i="167"/>
  <c r="F16" i="167"/>
  <c r="F27" i="167"/>
  <c r="F51" i="167"/>
  <c r="F69" i="167"/>
  <c r="F31" i="167"/>
  <c r="F17" i="167"/>
  <c r="F50" i="167"/>
  <c r="Y38" i="167"/>
  <c r="Y75" i="167" s="1"/>
  <c r="CP81" i="167"/>
  <c r="CP83" i="167" s="1"/>
  <c r="CP84" i="167" s="1"/>
  <c r="CP86" i="167" s="1"/>
  <c r="CP87" i="167" s="1"/>
  <c r="CP76" i="167"/>
  <c r="E76" i="167"/>
  <c r="E81" i="167"/>
  <c r="E83" i="167" s="1"/>
  <c r="E84" i="167" s="1"/>
  <c r="E86" i="167" s="1"/>
  <c r="E87" i="167" s="1"/>
  <c r="CW22" i="167"/>
  <c r="CR22" i="167"/>
  <c r="CJ38" i="167"/>
  <c r="CL54" i="167"/>
  <c r="AB86" i="167"/>
  <c r="AB87" i="167" s="1"/>
  <c r="AC81" i="167"/>
  <c r="AC83" i="167" s="1"/>
  <c r="AC84" i="167" s="1"/>
  <c r="AC76" i="167"/>
  <c r="AM81" i="167"/>
  <c r="AM83" i="167" s="1"/>
  <c r="AM84" i="167" s="1"/>
  <c r="AM86" i="167" s="1"/>
  <c r="AM87" i="167" s="1"/>
  <c r="AM76" i="167"/>
  <c r="CT75" i="167"/>
  <c r="CT39" i="167"/>
  <c r="CU38" i="167"/>
  <c r="CU75" i="167" s="1"/>
  <c r="CQ8" i="167"/>
  <c r="CR9" i="167"/>
  <c r="AS38" i="167"/>
  <c r="CL5" i="167"/>
  <c r="CL38" i="167" s="1"/>
  <c r="CQ6" i="167"/>
  <c r="O76" i="167"/>
  <c r="O81" i="167"/>
  <c r="O83" i="167" s="1"/>
  <c r="O84" i="167" s="1"/>
  <c r="O86" i="167" s="1"/>
  <c r="O87" i="167" s="1"/>
  <c r="J76" i="167"/>
  <c r="J81" i="167"/>
  <c r="J83" i="167" s="1"/>
  <c r="J84" i="167" s="1"/>
  <c r="J86" i="167" s="1"/>
  <c r="J87" i="167" s="1"/>
  <c r="AN76" i="167"/>
  <c r="BG81" i="167"/>
  <c r="BG83" i="167" s="1"/>
  <c r="BG84" i="167" s="1"/>
  <c r="BG86" i="167" s="1"/>
  <c r="BG87" i="167" s="1"/>
  <c r="BG76" i="167"/>
  <c r="BN69" i="167"/>
  <c r="BN66" i="167"/>
  <c r="BN63" i="167"/>
  <c r="BN60" i="167"/>
  <c r="BN71" i="167"/>
  <c r="BN67" i="167"/>
  <c r="BN65" i="167"/>
  <c r="BN56" i="167"/>
  <c r="BN64" i="167"/>
  <c r="BN62" i="167"/>
  <c r="BN61" i="167"/>
  <c r="BN36" i="167"/>
  <c r="BN49" i="167"/>
  <c r="BN68" i="167"/>
  <c r="BN55" i="167"/>
  <c r="BN33" i="167"/>
  <c r="BN23" i="167"/>
  <c r="BN53" i="167"/>
  <c r="BN26" i="167"/>
  <c r="BN24" i="167"/>
  <c r="BN20" i="167"/>
  <c r="BN32" i="167"/>
  <c r="BN27" i="167"/>
  <c r="BN30" i="167"/>
  <c r="BN14" i="167"/>
  <c r="BN70" i="167"/>
  <c r="BN11" i="167"/>
  <c r="BN19" i="167"/>
  <c r="BN46" i="167"/>
  <c r="BN52" i="167"/>
  <c r="BN9" i="167"/>
  <c r="BN31" i="167"/>
  <c r="BN28" i="167"/>
  <c r="BN22" i="167"/>
  <c r="BN12" i="167"/>
  <c r="BN58" i="167"/>
  <c r="BN29" i="167"/>
  <c r="BN17" i="167"/>
  <c r="BN43" i="167"/>
  <c r="BN15" i="167"/>
  <c r="BN21" i="167"/>
  <c r="BN10" i="167"/>
  <c r="BN44" i="167"/>
  <c r="BN45" i="167"/>
  <c r="BN48" i="167"/>
  <c r="BN57" i="167"/>
  <c r="BN47" i="167"/>
  <c r="BN18" i="167"/>
  <c r="BN16" i="167"/>
  <c r="BN51" i="167"/>
  <c r="BN13" i="167"/>
  <c r="BN25" i="167"/>
  <c r="BN42" i="167"/>
  <c r="BN59" i="167"/>
  <c r="T90" i="167"/>
  <c r="P70" i="167"/>
  <c r="P67" i="167"/>
  <c r="P64" i="167"/>
  <c r="P61" i="167"/>
  <c r="P69" i="167"/>
  <c r="P66" i="167"/>
  <c r="P63" i="167"/>
  <c r="P72" i="167"/>
  <c r="P71" i="167"/>
  <c r="P56" i="167"/>
  <c r="P74" i="167"/>
  <c r="P65" i="167"/>
  <c r="P60" i="167"/>
  <c r="P58" i="167"/>
  <c r="P62" i="167"/>
  <c r="P59" i="167"/>
  <c r="P52" i="167"/>
  <c r="P51" i="167"/>
  <c r="P68" i="167"/>
  <c r="P33" i="167"/>
  <c r="P57" i="167"/>
  <c r="P28" i="167"/>
  <c r="P55" i="167"/>
  <c r="P30" i="167"/>
  <c r="P45" i="167"/>
  <c r="P22" i="167"/>
  <c r="P21" i="167"/>
  <c r="P42" i="167"/>
  <c r="P32" i="167"/>
  <c r="P27" i="167"/>
  <c r="P29" i="167"/>
  <c r="P20" i="167"/>
  <c r="P14" i="167"/>
  <c r="P15" i="167"/>
  <c r="P17" i="167"/>
  <c r="P53" i="167"/>
  <c r="P44" i="167"/>
  <c r="P18" i="167"/>
  <c r="P16" i="167"/>
  <c r="P43" i="167"/>
  <c r="P31" i="167"/>
  <c r="P13" i="167"/>
  <c r="P46" i="167"/>
  <c r="P19" i="167"/>
  <c r="P48" i="167"/>
  <c r="P24" i="167"/>
  <c r="P11" i="167"/>
  <c r="P9" i="167"/>
  <c r="P85" i="167"/>
  <c r="P79" i="167"/>
  <c r="P12" i="167"/>
  <c r="P25" i="167"/>
  <c r="P47" i="167"/>
  <c r="P78" i="167"/>
  <c r="P10" i="167"/>
  <c r="P82" i="167"/>
  <c r="P23" i="167"/>
  <c r="P36" i="167"/>
  <c r="P26" i="167"/>
  <c r="K69" i="167"/>
  <c r="K66" i="167"/>
  <c r="K63" i="167"/>
  <c r="K74" i="167"/>
  <c r="K71" i="167"/>
  <c r="K68" i="167"/>
  <c r="K65" i="167"/>
  <c r="K62" i="167"/>
  <c r="K79" i="167"/>
  <c r="K72" i="167"/>
  <c r="K70" i="167"/>
  <c r="K56" i="167"/>
  <c r="K67" i="167"/>
  <c r="K45" i="167"/>
  <c r="K44" i="167"/>
  <c r="K43" i="167"/>
  <c r="K42" i="167"/>
  <c r="K36" i="167"/>
  <c r="K64" i="167"/>
  <c r="K59" i="167"/>
  <c r="K33" i="167"/>
  <c r="K24" i="167"/>
  <c r="K61" i="167"/>
  <c r="K30" i="167"/>
  <c r="K25" i="167"/>
  <c r="K23" i="167"/>
  <c r="K19" i="167"/>
  <c r="K27" i="167"/>
  <c r="K17" i="167"/>
  <c r="K55" i="167"/>
  <c r="K16" i="167"/>
  <c r="K51" i="167"/>
  <c r="K31" i="167"/>
  <c r="K60" i="167"/>
  <c r="K15" i="167"/>
  <c r="K20" i="167"/>
  <c r="K13" i="167"/>
  <c r="K29" i="167"/>
  <c r="K82" i="167"/>
  <c r="K11" i="167"/>
  <c r="K18" i="167"/>
  <c r="K26" i="167"/>
  <c r="K12" i="167"/>
  <c r="K32" i="167"/>
  <c r="K28" i="167"/>
  <c r="K78" i="167"/>
  <c r="K21" i="167"/>
  <c r="K58" i="167"/>
  <c r="K47" i="167"/>
  <c r="K14" i="167"/>
  <c r="K10" i="167"/>
  <c r="K9" i="167"/>
  <c r="K46" i="167"/>
  <c r="K85" i="167"/>
  <c r="K57" i="167"/>
  <c r="K22" i="167"/>
  <c r="K52" i="167"/>
  <c r="K48" i="167"/>
  <c r="AW81" i="167"/>
  <c r="AW83" i="167" s="1"/>
  <c r="AW84" i="167" s="1"/>
  <c r="AW86" i="167" s="1"/>
  <c r="AW87" i="167" s="1"/>
  <c r="AW76" i="167"/>
  <c r="BM75" i="167"/>
  <c r="BM39" i="167"/>
  <c r="AD76" i="167"/>
  <c r="AD81" i="167"/>
  <c r="AD83" i="167" s="1"/>
  <c r="AD84" i="167" s="1"/>
  <c r="AD86" i="167" s="1"/>
  <c r="AD87" i="167" s="1"/>
  <c r="BR76" i="167"/>
  <c r="BR81" i="167"/>
  <c r="BR83" i="167" s="1"/>
  <c r="BR84" i="167" s="1"/>
  <c r="BR86" i="167" s="1"/>
  <c r="BR87" i="167" s="1"/>
  <c r="AI75" i="167"/>
  <c r="AI39" i="167"/>
  <c r="BW75" i="167"/>
  <c r="BW39" i="167"/>
  <c r="BQ81" i="167"/>
  <c r="BQ83" i="167" s="1"/>
  <c r="BQ84" i="167" s="1"/>
  <c r="BQ86" i="167" s="1"/>
  <c r="BQ87" i="167" s="1"/>
  <c r="BQ76" i="167"/>
  <c r="D81" i="167"/>
  <c r="D83" i="167" s="1"/>
  <c r="D84" i="167" s="1"/>
  <c r="D76" i="167"/>
  <c r="BH76" i="167"/>
  <c r="BH81" i="167"/>
  <c r="BH83" i="167" s="1"/>
  <c r="BH84" i="167" s="1"/>
  <c r="BH86" i="167" s="1"/>
  <c r="BH87" i="167" s="1"/>
  <c r="BV81" i="174"/>
  <c r="BV83" i="174" s="1"/>
  <c r="BV84" i="174" s="1"/>
  <c r="BV86" i="174" s="1"/>
  <c r="BV87" i="174" s="1"/>
  <c r="BV76" i="174"/>
  <c r="CF81" i="174"/>
  <c r="CF83" i="174" s="1"/>
  <c r="CF84" i="174" s="1"/>
  <c r="CF86" i="174" s="1"/>
  <c r="CF87" i="174" s="1"/>
  <c r="CF76" i="174"/>
  <c r="AX76" i="174"/>
  <c r="H76" i="174"/>
  <c r="AI76" i="174"/>
  <c r="BR76" i="174"/>
  <c r="BL81" i="174"/>
  <c r="BL83" i="174" s="1"/>
  <c r="BL84" i="174" s="1"/>
  <c r="BL86" i="174" s="1"/>
  <c r="BL87" i="174" s="1"/>
  <c r="BL76" i="174"/>
  <c r="BM81" i="174"/>
  <c r="BM83" i="174" s="1"/>
  <c r="BM84" i="174" s="1"/>
  <c r="BM86" i="174" s="1"/>
  <c r="BM87" i="174" s="1"/>
  <c r="BM76" i="174"/>
  <c r="AS76" i="174"/>
  <c r="CJ75" i="174"/>
  <c r="CJ39" i="174"/>
  <c r="J75" i="174"/>
  <c r="J39" i="174"/>
  <c r="CQ6" i="174"/>
  <c r="CL5" i="174"/>
  <c r="CL38" i="174" s="1"/>
  <c r="CB76" i="174"/>
  <c r="CG75" i="174"/>
  <c r="CG39" i="174"/>
  <c r="BB81" i="174"/>
  <c r="BB83" i="174" s="1"/>
  <c r="BB84" i="174" s="1"/>
  <c r="BB86" i="174" s="1"/>
  <c r="BB87" i="174" s="1"/>
  <c r="BB76" i="174"/>
  <c r="CR9" i="174"/>
  <c r="CQ8" i="174"/>
  <c r="O76" i="174"/>
  <c r="CK75" i="174"/>
  <c r="CK39" i="174"/>
  <c r="BC75" i="174"/>
  <c r="BC39" i="174"/>
  <c r="T38" i="174"/>
  <c r="T75" i="174" s="1"/>
  <c r="AN76" i="174"/>
  <c r="I81" i="174"/>
  <c r="I83" i="174" s="1"/>
  <c r="I84" i="174" s="1"/>
  <c r="I86" i="174" s="1"/>
  <c r="I87" i="174" s="1"/>
  <c r="I76" i="174"/>
  <c r="AC86" i="174"/>
  <c r="AC87" i="174" s="1"/>
  <c r="E76" i="174"/>
  <c r="AR81" i="174"/>
  <c r="AR83" i="174" s="1"/>
  <c r="AR84" i="174" s="1"/>
  <c r="AR86" i="174" s="1"/>
  <c r="AR87" i="174" s="1"/>
  <c r="AR76" i="174"/>
  <c r="BH75" i="174"/>
  <c r="BH39" i="174"/>
  <c r="D86" i="174"/>
  <c r="D87" i="174" s="1"/>
  <c r="AD75" i="174"/>
  <c r="AD39" i="174"/>
  <c r="AH81" i="174"/>
  <c r="AH83" i="174" s="1"/>
  <c r="AH84" i="174" s="1"/>
  <c r="AH86" i="174" s="1"/>
  <c r="AH87" i="174" s="1"/>
  <c r="AH76" i="174"/>
  <c r="CJ76" i="175"/>
  <c r="CK75" i="175"/>
  <c r="CK39" i="175"/>
  <c r="BW76" i="175"/>
  <c r="AG76" i="175"/>
  <c r="CG75" i="175"/>
  <c r="CG39" i="175"/>
  <c r="J76" i="175"/>
  <c r="BP76" i="175"/>
  <c r="O76" i="175"/>
  <c r="CL8" i="175"/>
  <c r="CQ9" i="175"/>
  <c r="AN76" i="175"/>
  <c r="AV76" i="175"/>
  <c r="AX76" i="175"/>
  <c r="BR75" i="175"/>
  <c r="BR39" i="175"/>
  <c r="BA76" i="175"/>
  <c r="AD76" i="175"/>
  <c r="BH75" i="175"/>
  <c r="BH39" i="175"/>
  <c r="BK81" i="175"/>
  <c r="BK83" i="175" s="1"/>
  <c r="BK84" i="175" s="1"/>
  <c r="BK86" i="175" s="1"/>
  <c r="BK87" i="175" s="1"/>
  <c r="BK76" i="175"/>
  <c r="AH81" i="175"/>
  <c r="AH83" i="175" s="1"/>
  <c r="AH84" i="175" s="1"/>
  <c r="AH76" i="175"/>
  <c r="BM76" i="175"/>
  <c r="BM81" i="175"/>
  <c r="BM83" i="175" s="1"/>
  <c r="BM84" i="175" s="1"/>
  <c r="BM86" i="175" s="1"/>
  <c r="BM87" i="175" s="1"/>
  <c r="BU76" i="175"/>
  <c r="CB76" i="175"/>
  <c r="N81" i="175"/>
  <c r="N83" i="175" s="1"/>
  <c r="N84" i="175" s="1"/>
  <c r="N86" i="175" s="1"/>
  <c r="N87" i="175" s="1"/>
  <c r="N76" i="175"/>
  <c r="BB76" i="175"/>
  <c r="BB81" i="175"/>
  <c r="BB83" i="175" s="1"/>
  <c r="BB84" i="175" s="1"/>
  <c r="BB86" i="175" s="1"/>
  <c r="BB87" i="175" s="1"/>
  <c r="AR81" i="175"/>
  <c r="AR83" i="175" s="1"/>
  <c r="AR84" i="175" s="1"/>
  <c r="AR86" i="175" s="1"/>
  <c r="AR87" i="175" s="1"/>
  <c r="AR76" i="175"/>
  <c r="D86" i="175"/>
  <c r="D87" i="175" s="1"/>
  <c r="AI75" i="175"/>
  <c r="AI39" i="175"/>
  <c r="AS76" i="175"/>
  <c r="BV81" i="175"/>
  <c r="BV83" i="175" s="1"/>
  <c r="BV84" i="175" s="1"/>
  <c r="BV86" i="175" s="1"/>
  <c r="BV87" i="175" s="1"/>
  <c r="BV76" i="175"/>
  <c r="BN53" i="175"/>
  <c r="BN24" i="175"/>
  <c r="BN52" i="175"/>
  <c r="BN48" i="175"/>
  <c r="BN46" i="175"/>
  <c r="BN44" i="175"/>
  <c r="BN45" i="175"/>
  <c r="BN43" i="175"/>
  <c r="BN42" i="175"/>
  <c r="BN71" i="175"/>
  <c r="BN11" i="175"/>
  <c r="BN27" i="175"/>
  <c r="BN25" i="175"/>
  <c r="BN36" i="175"/>
  <c r="BN51" i="175"/>
  <c r="BN47" i="175"/>
  <c r="BN30" i="175"/>
  <c r="BN49" i="175"/>
  <c r="BN28" i="175"/>
  <c r="BN9" i="175"/>
  <c r="BN33" i="175"/>
  <c r="BN31" i="175"/>
  <c r="BN23" i="175"/>
  <c r="BN29" i="175"/>
  <c r="BN10" i="175"/>
  <c r="BN57" i="175"/>
  <c r="BN60" i="175"/>
  <c r="BN12" i="175"/>
  <c r="BN18" i="175"/>
  <c r="BN63" i="175"/>
  <c r="BN64" i="175"/>
  <c r="BN32" i="175"/>
  <c r="BN13" i="175"/>
  <c r="BN19" i="175"/>
  <c r="BN69" i="175"/>
  <c r="BN15" i="175"/>
  <c r="BN22" i="175"/>
  <c r="BN67" i="175"/>
  <c r="BN20" i="175"/>
  <c r="BN68" i="175"/>
  <c r="BN26" i="175"/>
  <c r="BN56" i="175"/>
  <c r="BN21" i="175"/>
  <c r="BN61" i="175"/>
  <c r="BN66" i="175"/>
  <c r="BN14" i="175"/>
  <c r="BN58" i="175"/>
  <c r="BN62" i="175"/>
  <c r="BN16" i="175"/>
  <c r="BN70" i="175"/>
  <c r="BN59" i="175"/>
  <c r="BN17" i="175"/>
  <c r="BN65" i="175"/>
  <c r="BN55" i="175"/>
  <c r="AL76" i="175"/>
  <c r="CF76" i="175"/>
  <c r="CF81" i="175"/>
  <c r="CF83" i="175" s="1"/>
  <c r="CF84" i="175" s="1"/>
  <c r="CF86" i="175" s="1"/>
  <c r="CF87" i="175" s="1"/>
  <c r="CL41" i="175"/>
  <c r="CE76" i="175"/>
  <c r="BC76" i="175"/>
  <c r="CQ6" i="175"/>
  <c r="CL5" i="175"/>
  <c r="CL38" i="175" s="1"/>
  <c r="CL35" i="175"/>
  <c r="CQ36" i="175"/>
  <c r="AC86" i="177"/>
  <c r="AC87" i="177" s="1"/>
  <c r="O76" i="177"/>
  <c r="N81" i="177"/>
  <c r="N83" i="177" s="1"/>
  <c r="N84" i="177" s="1"/>
  <c r="N86" i="177" s="1"/>
  <c r="N87" i="177" s="1"/>
  <c r="N76" i="177"/>
  <c r="CB75" i="177"/>
  <c r="CB39" i="177"/>
  <c r="AB76" i="177"/>
  <c r="AL76" i="177"/>
  <c r="CL38" i="177"/>
  <c r="CK81" i="177"/>
  <c r="CK83" i="177" s="1"/>
  <c r="CK76" i="177"/>
  <c r="CT22" i="177"/>
  <c r="CR22" i="177"/>
  <c r="AX75" i="177"/>
  <c r="AX39" i="177"/>
  <c r="AS76" i="177"/>
  <c r="AD75" i="177"/>
  <c r="AD39" i="177"/>
  <c r="CQ35" i="177"/>
  <c r="CR36" i="177"/>
  <c r="CR35" i="177" s="1"/>
  <c r="BC75" i="177"/>
  <c r="BC39" i="177"/>
  <c r="M76" i="177"/>
  <c r="T75" i="177"/>
  <c r="BH76" i="177"/>
  <c r="Y75" i="177"/>
  <c r="CQ8" i="177"/>
  <c r="CQ38" i="177" s="1"/>
  <c r="CQ75" i="177" s="1"/>
  <c r="CJ75" i="177"/>
  <c r="CJ39" i="177"/>
  <c r="J75" i="177"/>
  <c r="J39" i="177"/>
  <c r="AV76" i="177"/>
  <c r="E76" i="177"/>
  <c r="BR76" i="177"/>
  <c r="D86" i="177"/>
  <c r="D87" i="177" s="1"/>
  <c r="BW76" i="177"/>
  <c r="CT9" i="177"/>
  <c r="CR8" i="177"/>
  <c r="CR38" i="177" s="1"/>
  <c r="CR75" i="177" s="1"/>
  <c r="AI76" i="177"/>
  <c r="AH81" i="177"/>
  <c r="AH83" i="177" s="1"/>
  <c r="AH84" i="177" s="1"/>
  <c r="AH86" i="177" s="1"/>
  <c r="AH87" i="177" s="1"/>
  <c r="AH76" i="177"/>
  <c r="CK81" i="159"/>
  <c r="CK83" i="159" s="1"/>
  <c r="CK76" i="159"/>
  <c r="F65" i="159"/>
  <c r="F64" i="159"/>
  <c r="F63" i="159"/>
  <c r="F62" i="159"/>
  <c r="F61" i="159"/>
  <c r="F60" i="159"/>
  <c r="F58" i="159"/>
  <c r="F59" i="159"/>
  <c r="F57" i="159"/>
  <c r="K53" i="159"/>
  <c r="F53" i="159"/>
  <c r="F56" i="159"/>
  <c r="F43" i="159"/>
  <c r="F42" i="159"/>
  <c r="F36" i="159"/>
  <c r="P41" i="159"/>
  <c r="F26" i="159"/>
  <c r="F30" i="159"/>
  <c r="F29" i="159"/>
  <c r="F25" i="159"/>
  <c r="F24" i="159"/>
  <c r="F23" i="159"/>
  <c r="F11" i="159"/>
  <c r="F9" i="159"/>
  <c r="F10" i="159"/>
  <c r="F17" i="159"/>
  <c r="F19" i="159"/>
  <c r="F21" i="159"/>
  <c r="F8" i="159"/>
  <c r="F31" i="159"/>
  <c r="K54" i="159"/>
  <c r="F45" i="159"/>
  <c r="F67" i="159"/>
  <c r="F69" i="159"/>
  <c r="F14" i="159"/>
  <c r="F18" i="159"/>
  <c r="F33" i="159"/>
  <c r="F55" i="159"/>
  <c r="F12" i="159"/>
  <c r="P54" i="159"/>
  <c r="K50" i="159"/>
  <c r="F52" i="159"/>
  <c r="F13" i="159"/>
  <c r="F15" i="159"/>
  <c r="F66" i="159"/>
  <c r="F70" i="159"/>
  <c r="F28" i="159"/>
  <c r="F68" i="159"/>
  <c r="F48" i="159"/>
  <c r="F47" i="159"/>
  <c r="F16" i="159"/>
  <c r="F46" i="159"/>
  <c r="F27" i="159"/>
  <c r="F51" i="159"/>
  <c r="F32" i="159"/>
  <c r="F71" i="159"/>
  <c r="F22" i="159"/>
  <c r="F20" i="159"/>
  <c r="F44" i="159"/>
  <c r="P50" i="159"/>
  <c r="BA76" i="159"/>
  <c r="C86" i="159"/>
  <c r="C87" i="159" s="1"/>
  <c r="CC70" i="159"/>
  <c r="CC69" i="159"/>
  <c r="CC68" i="159"/>
  <c r="CC67" i="159"/>
  <c r="CC66" i="159"/>
  <c r="CC65" i="159"/>
  <c r="CC62" i="159"/>
  <c r="CC61" i="159"/>
  <c r="CC60" i="159"/>
  <c r="CC59" i="159"/>
  <c r="CC57" i="159"/>
  <c r="CC55" i="159"/>
  <c r="CC53" i="159"/>
  <c r="CC47" i="159"/>
  <c r="CC44" i="159"/>
  <c r="CC48" i="159"/>
  <c r="CC45" i="159"/>
  <c r="CC52" i="159"/>
  <c r="CC46" i="159"/>
  <c r="CC43" i="159"/>
  <c r="CC26" i="159"/>
  <c r="CC49" i="159"/>
  <c r="CC33" i="159"/>
  <c r="CC32" i="159"/>
  <c r="CC36" i="159"/>
  <c r="CC51" i="159"/>
  <c r="CC22" i="159"/>
  <c r="CC19" i="159"/>
  <c r="CC16" i="159"/>
  <c r="CC13" i="159"/>
  <c r="CC21" i="159"/>
  <c r="CC18" i="159"/>
  <c r="CC15" i="159"/>
  <c r="CC12" i="159"/>
  <c r="CC20" i="159"/>
  <c r="CC17" i="159"/>
  <c r="CC14" i="159"/>
  <c r="CC9" i="159"/>
  <c r="CC42" i="159"/>
  <c r="CC64" i="159"/>
  <c r="CC31" i="159"/>
  <c r="CC11" i="159"/>
  <c r="CC27" i="159"/>
  <c r="CC29" i="159"/>
  <c r="CC58" i="159"/>
  <c r="CC56" i="159"/>
  <c r="CC24" i="159"/>
  <c r="CC28" i="159"/>
  <c r="CC10" i="159"/>
  <c r="CC30" i="159"/>
  <c r="CC63" i="159"/>
  <c r="CC23" i="159"/>
  <c r="CC25" i="159"/>
  <c r="CC71" i="159"/>
  <c r="CB76" i="159"/>
  <c r="CB81" i="159"/>
  <c r="CB83" i="159" s="1"/>
  <c r="CB84" i="159" s="1"/>
  <c r="CB86" i="159" s="1"/>
  <c r="CB87" i="159" s="1"/>
  <c r="P8" i="159"/>
  <c r="O76" i="159"/>
  <c r="O81" i="159"/>
  <c r="O83" i="159" s="1"/>
  <c r="O84" i="159" s="1"/>
  <c r="O86" i="159" s="1"/>
  <c r="O87" i="159" s="1"/>
  <c r="CL50" i="159"/>
  <c r="BR76" i="159"/>
  <c r="BR81" i="159"/>
  <c r="BR83" i="159" s="1"/>
  <c r="BR84" i="159" s="1"/>
  <c r="BR86" i="159" s="1"/>
  <c r="BR87" i="159" s="1"/>
  <c r="J76" i="159"/>
  <c r="J81" i="159"/>
  <c r="J83" i="159" s="1"/>
  <c r="J84" i="159" s="1"/>
  <c r="J86" i="159" s="1"/>
  <c r="J87" i="159" s="1"/>
  <c r="T90" i="159"/>
  <c r="P72" i="159"/>
  <c r="P59" i="159"/>
  <c r="P57" i="159"/>
  <c r="P78" i="159"/>
  <c r="P53" i="159"/>
  <c r="P65" i="159"/>
  <c r="P62" i="159"/>
  <c r="P60" i="159"/>
  <c r="P58" i="159"/>
  <c r="P64" i="159"/>
  <c r="P63" i="159"/>
  <c r="P48" i="159"/>
  <c r="P47" i="159"/>
  <c r="P61" i="159"/>
  <c r="P30" i="159"/>
  <c r="P45" i="159"/>
  <c r="P44" i="159"/>
  <c r="P42" i="159"/>
  <c r="P29" i="159"/>
  <c r="P25" i="159"/>
  <c r="P24" i="159"/>
  <c r="P23" i="159"/>
  <c r="P11" i="159"/>
  <c r="P9" i="159"/>
  <c r="P31" i="159"/>
  <c r="P43" i="159"/>
  <c r="P18" i="159"/>
  <c r="P28" i="159"/>
  <c r="P33" i="159"/>
  <c r="P51" i="159"/>
  <c r="P55" i="159"/>
  <c r="P68" i="159"/>
  <c r="P17" i="159"/>
  <c r="P10" i="159"/>
  <c r="P21" i="159"/>
  <c r="P13" i="159"/>
  <c r="P74" i="159"/>
  <c r="P69" i="159"/>
  <c r="P19" i="159"/>
  <c r="P71" i="159"/>
  <c r="P82" i="159"/>
  <c r="P16" i="159"/>
  <c r="P14" i="159"/>
  <c r="P27" i="159"/>
  <c r="P46" i="159"/>
  <c r="P70" i="159"/>
  <c r="P32" i="159"/>
  <c r="P56" i="159"/>
  <c r="P67" i="159"/>
  <c r="P12" i="159"/>
  <c r="P26" i="159"/>
  <c r="P22" i="159"/>
  <c r="P20" i="159"/>
  <c r="P52" i="159"/>
  <c r="P36" i="159"/>
  <c r="P66" i="159"/>
  <c r="P85" i="159"/>
  <c r="P15" i="159"/>
  <c r="P79" i="159"/>
  <c r="CG75" i="159"/>
  <c r="CG39" i="159"/>
  <c r="BX64" i="159"/>
  <c r="BX63" i="159"/>
  <c r="BX62" i="159"/>
  <c r="BX61" i="159"/>
  <c r="BX59" i="159"/>
  <c r="BX57" i="159"/>
  <c r="BX60" i="159"/>
  <c r="BX58" i="159"/>
  <c r="BX56" i="159"/>
  <c r="BX53" i="159"/>
  <c r="BX49" i="159"/>
  <c r="BX42" i="159"/>
  <c r="BX36" i="159"/>
  <c r="BX30" i="159"/>
  <c r="BX31" i="159"/>
  <c r="BX26" i="159"/>
  <c r="BX24" i="159"/>
  <c r="BX23" i="159"/>
  <c r="BX11" i="159"/>
  <c r="BX9" i="159"/>
  <c r="BX10" i="159"/>
  <c r="BX12" i="159"/>
  <c r="BX22" i="159"/>
  <c r="BX20" i="159"/>
  <c r="BX51" i="159"/>
  <c r="BX69" i="159"/>
  <c r="BX70" i="159"/>
  <c r="BX15" i="159"/>
  <c r="BX28" i="159"/>
  <c r="BX27" i="159"/>
  <c r="BX33" i="159"/>
  <c r="BX67" i="159"/>
  <c r="BX44" i="159"/>
  <c r="BX68" i="159"/>
  <c r="BX21" i="159"/>
  <c r="BX13" i="159"/>
  <c r="BX25" i="159"/>
  <c r="BX55" i="159"/>
  <c r="BX47" i="159"/>
  <c r="BX18" i="159"/>
  <c r="BX45" i="159"/>
  <c r="BX29" i="159"/>
  <c r="BX65" i="159"/>
  <c r="BX46" i="159"/>
  <c r="BX66" i="159"/>
  <c r="BX43" i="159"/>
  <c r="BX16" i="159"/>
  <c r="BX14" i="159"/>
  <c r="BX52" i="159"/>
  <c r="BX48" i="159"/>
  <c r="BX19" i="159"/>
  <c r="BX17" i="159"/>
  <c r="BX32" i="159"/>
  <c r="BX71" i="159"/>
  <c r="BH76" i="159"/>
  <c r="BH81" i="159"/>
  <c r="BH83" i="159" s="1"/>
  <c r="BH84" i="159" s="1"/>
  <c r="BH86" i="159" s="1"/>
  <c r="BH87" i="159" s="1"/>
  <c r="AS75" i="159"/>
  <c r="AS39" i="159"/>
  <c r="CJ75" i="159"/>
  <c r="CJ39" i="159"/>
  <c r="X84" i="159"/>
  <c r="X86" i="159" s="1"/>
  <c r="AC86" i="159"/>
  <c r="AC87" i="159" s="1"/>
  <c r="F50" i="159"/>
  <c r="CP76" i="159"/>
  <c r="CP81" i="159"/>
  <c r="CP83" i="159" s="1"/>
  <c r="CP84" i="159" s="1"/>
  <c r="CP86" i="159" s="1"/>
  <c r="CP87" i="159" s="1"/>
  <c r="Y38" i="159"/>
  <c r="Y75" i="159" s="1"/>
  <c r="AX76" i="159"/>
  <c r="BU76" i="159"/>
  <c r="BU81" i="159"/>
  <c r="BU83" i="159" s="1"/>
  <c r="BU84" i="159" s="1"/>
  <c r="BU86" i="159" s="1"/>
  <c r="BU87" i="159" s="1"/>
  <c r="F41" i="159"/>
  <c r="K8" i="159"/>
  <c r="CQ8" i="159"/>
  <c r="CQ38" i="159" s="1"/>
  <c r="D86" i="159"/>
  <c r="D87" i="159" s="1"/>
  <c r="K41" i="159"/>
  <c r="AI75" i="159"/>
  <c r="AI39" i="159"/>
  <c r="F54" i="159"/>
  <c r="CT22" i="159"/>
  <c r="CR22" i="159"/>
  <c r="CR8" i="159" s="1"/>
  <c r="CR38" i="159" s="1"/>
  <c r="AN76" i="159"/>
  <c r="BM75" i="159"/>
  <c r="BM39" i="159"/>
  <c r="K71" i="159"/>
  <c r="K70" i="159"/>
  <c r="K69" i="159"/>
  <c r="K68" i="159"/>
  <c r="K67" i="159"/>
  <c r="K66" i="159"/>
  <c r="K63" i="159"/>
  <c r="K62" i="159"/>
  <c r="K61" i="159"/>
  <c r="K60" i="159"/>
  <c r="K59" i="159"/>
  <c r="K58" i="159"/>
  <c r="K57" i="159"/>
  <c r="K82" i="159"/>
  <c r="K72" i="159"/>
  <c r="K56" i="159"/>
  <c r="K55" i="159"/>
  <c r="K51" i="159"/>
  <c r="K31" i="159"/>
  <c r="K48" i="159"/>
  <c r="K45" i="159"/>
  <c r="K32" i="159"/>
  <c r="K33" i="159"/>
  <c r="K46" i="159"/>
  <c r="K44" i="159"/>
  <c r="K52" i="159"/>
  <c r="K29" i="159"/>
  <c r="K26" i="159"/>
  <c r="K18" i="159"/>
  <c r="K20" i="159"/>
  <c r="K17" i="159"/>
  <c r="K14" i="159"/>
  <c r="K36" i="159"/>
  <c r="K12" i="159"/>
  <c r="K47" i="159"/>
  <c r="K15" i="159"/>
  <c r="K22" i="159"/>
  <c r="K19" i="159"/>
  <c r="K16" i="159"/>
  <c r="K13" i="159"/>
  <c r="K21" i="159"/>
  <c r="K9" i="159"/>
  <c r="K10" i="159"/>
  <c r="K85" i="159"/>
  <c r="K78" i="159"/>
  <c r="K79" i="159"/>
  <c r="K11" i="159"/>
  <c r="K65" i="159"/>
  <c r="K24" i="159"/>
  <c r="K23" i="159"/>
  <c r="K25" i="159"/>
  <c r="K30" i="159"/>
  <c r="K28" i="159"/>
  <c r="K42" i="159"/>
  <c r="K74" i="159"/>
  <c r="K27" i="159"/>
  <c r="K64" i="159"/>
  <c r="K43" i="159"/>
  <c r="BC75" i="159"/>
  <c r="BC39" i="159"/>
  <c r="CL38" i="159"/>
  <c r="BK76" i="159"/>
  <c r="BK81" i="159"/>
  <c r="BK83" i="159" s="1"/>
  <c r="BK84" i="159" s="1"/>
  <c r="BK86" i="159" s="1"/>
  <c r="BK87" i="159" s="1"/>
  <c r="CL35" i="159"/>
  <c r="CQ36" i="159"/>
  <c r="E76" i="159"/>
  <c r="E81" i="159"/>
  <c r="E83" i="159" s="1"/>
  <c r="E84" i="159" s="1"/>
  <c r="E86" i="159" s="1"/>
  <c r="E87" i="159" s="1"/>
  <c r="CE76" i="159"/>
  <c r="CE81" i="159"/>
  <c r="CE83" i="159" s="1"/>
  <c r="CE84" i="159" s="1"/>
  <c r="CE86" i="159" s="1"/>
  <c r="CE87" i="159" s="1"/>
  <c r="CB76" i="176"/>
  <c r="CJ75" i="176"/>
  <c r="CJ39" i="176"/>
  <c r="BH75" i="176"/>
  <c r="BH39" i="176"/>
  <c r="AD76" i="176"/>
  <c r="AI76" i="176"/>
  <c r="AC86" i="176"/>
  <c r="AC87" i="176" s="1"/>
  <c r="CT22" i="176"/>
  <c r="CT86" i="176" s="1"/>
  <c r="CR22" i="176"/>
  <c r="CL35" i="176"/>
  <c r="CQ36" i="176"/>
  <c r="E75" i="176"/>
  <c r="E39" i="176"/>
  <c r="I81" i="176"/>
  <c r="I83" i="176" s="1"/>
  <c r="I84" i="176" s="1"/>
  <c r="I86" i="176" s="1"/>
  <c r="I87" i="176" s="1"/>
  <c r="I76" i="176"/>
  <c r="AN76" i="176"/>
  <c r="BL81" i="176"/>
  <c r="BL83" i="176" s="1"/>
  <c r="BL84" i="176" s="1"/>
  <c r="BL86" i="176" s="1"/>
  <c r="BL87" i="176" s="1"/>
  <c r="BL76" i="176"/>
  <c r="BW76" i="176"/>
  <c r="J76" i="176"/>
  <c r="AS75" i="176"/>
  <c r="AS39" i="176"/>
  <c r="BC76" i="176"/>
  <c r="BR76" i="176"/>
  <c r="CQ9" i="176"/>
  <c r="CL8" i="176"/>
  <c r="CL38" i="176" s="1"/>
  <c r="O76" i="176"/>
  <c r="CP81" i="176"/>
  <c r="CP83" i="176" s="1"/>
  <c r="CP84" i="176" s="1"/>
  <c r="CP86" i="176" s="1"/>
  <c r="CP87" i="176" s="1"/>
  <c r="CP76" i="176"/>
  <c r="C76" i="176"/>
  <c r="D81" i="176"/>
  <c r="D83" i="176" s="1"/>
  <c r="D84" i="176" s="1"/>
  <c r="D76" i="176"/>
  <c r="CK81" i="176"/>
  <c r="CK83" i="176" s="1"/>
  <c r="CK76" i="176"/>
  <c r="BM75" i="176"/>
  <c r="BM39" i="176"/>
  <c r="CG75" i="176"/>
  <c r="CG39" i="176"/>
  <c r="AX118" i="157"/>
  <c r="BC105" i="157"/>
  <c r="BC102" i="157"/>
  <c r="BC76" i="171" l="1"/>
  <c r="X84" i="176"/>
  <c r="X86" i="176" s="1"/>
  <c r="CJ75" i="158"/>
  <c r="CJ38" i="171"/>
  <c r="CK68" i="157"/>
  <c r="X54" i="157"/>
  <c r="Y68" i="157"/>
  <c r="Y54" i="157" s="1"/>
  <c r="AW76" i="158"/>
  <c r="AW81" i="158"/>
  <c r="AW83" i="158" s="1"/>
  <c r="AW84" i="158" s="1"/>
  <c r="AW86" i="158" s="1"/>
  <c r="AW87" i="158" s="1"/>
  <c r="BC76" i="167"/>
  <c r="BC81" i="167"/>
  <c r="BC83" i="167" s="1"/>
  <c r="BC84" i="167" s="1"/>
  <c r="BC86" i="167" s="1"/>
  <c r="BC87" i="167" s="1"/>
  <c r="BM39" i="157"/>
  <c r="CB76" i="157"/>
  <c r="AX75" i="157"/>
  <c r="AX39" i="157"/>
  <c r="E76" i="157"/>
  <c r="BI96" i="157"/>
  <c r="BO96" i="157"/>
  <c r="BO97" i="157"/>
  <c r="BI97" i="157"/>
  <c r="BI99" i="157"/>
  <c r="BO99" i="157"/>
  <c r="BN49" i="157"/>
  <c r="BN53" i="157"/>
  <c r="BN62" i="157"/>
  <c r="BN47" i="157"/>
  <c r="BN56" i="157"/>
  <c r="BN42" i="157"/>
  <c r="BN36" i="157"/>
  <c r="BN26" i="157"/>
  <c r="BN23" i="157"/>
  <c r="BN31" i="157"/>
  <c r="BN68" i="157"/>
  <c r="BN51" i="157"/>
  <c r="BN28" i="157"/>
  <c r="BN22" i="157"/>
  <c r="BN25" i="157"/>
  <c r="BN33" i="157"/>
  <c r="BN15" i="157"/>
  <c r="BN18" i="157"/>
  <c r="BN48" i="157"/>
  <c r="BN60" i="157"/>
  <c r="BN59" i="157"/>
  <c r="BN46" i="157"/>
  <c r="BN17" i="157"/>
  <c r="BN21" i="157"/>
  <c r="BN29" i="157"/>
  <c r="BN19" i="157"/>
  <c r="BN24" i="157"/>
  <c r="BN32" i="157"/>
  <c r="BN11" i="157"/>
  <c r="BN14" i="157"/>
  <c r="BN65" i="157"/>
  <c r="BN45" i="157"/>
  <c r="BN69" i="157"/>
  <c r="BN10" i="157"/>
  <c r="BN20" i="157"/>
  <c r="BN44" i="157"/>
  <c r="BN58" i="157"/>
  <c r="BN71" i="157"/>
  <c r="BN12" i="157"/>
  <c r="BN70" i="157"/>
  <c r="BN27" i="157"/>
  <c r="BN66" i="157"/>
  <c r="BN55" i="157"/>
  <c r="BN43" i="157"/>
  <c r="BN57" i="157"/>
  <c r="BN67" i="157"/>
  <c r="BN16" i="157"/>
  <c r="BN64" i="157"/>
  <c r="BN61" i="157"/>
  <c r="BN52" i="157"/>
  <c r="BN63" i="157"/>
  <c r="BN13" i="157"/>
  <c r="BN30" i="157"/>
  <c r="BN9" i="157"/>
  <c r="BO102" i="157"/>
  <c r="BI102" i="157"/>
  <c r="BM81" i="157"/>
  <c r="BM83" i="157" s="1"/>
  <c r="BM84" i="157" s="1"/>
  <c r="BM86" i="157" s="1"/>
  <c r="BM87" i="157" s="1"/>
  <c r="BM76" i="157"/>
  <c r="BI109" i="157"/>
  <c r="BO109" i="157"/>
  <c r="BI103" i="157"/>
  <c r="BO103" i="157"/>
  <c r="CG75" i="157"/>
  <c r="CG39" i="157"/>
  <c r="AZ120" i="157"/>
  <c r="AY119" i="157"/>
  <c r="BC75" i="157"/>
  <c r="BC39" i="157"/>
  <c r="BI108" i="157"/>
  <c r="BO108" i="157"/>
  <c r="AS76" i="157"/>
  <c r="BI106" i="157"/>
  <c r="BO106" i="157"/>
  <c r="BO100" i="157"/>
  <c r="BI100" i="157"/>
  <c r="BW76" i="157"/>
  <c r="BR75" i="157"/>
  <c r="BR39" i="157"/>
  <c r="BO105" i="157"/>
  <c r="BI105" i="157"/>
  <c r="BI104" i="157"/>
  <c r="BO104" i="157"/>
  <c r="BI95" i="157"/>
  <c r="BO95" i="157"/>
  <c r="AQ76" i="157"/>
  <c r="BO107" i="157"/>
  <c r="BI107" i="157"/>
  <c r="BI110" i="157"/>
  <c r="BO110" i="157"/>
  <c r="CL50" i="157"/>
  <c r="BH75" i="157"/>
  <c r="BH39" i="157"/>
  <c r="BI98" i="157"/>
  <c r="BO98" i="157"/>
  <c r="BI101" i="157"/>
  <c r="BO101" i="157"/>
  <c r="BO94" i="157"/>
  <c r="BI94" i="157"/>
  <c r="CJ76" i="158"/>
  <c r="CQ75" i="158"/>
  <c r="CQ39" i="158"/>
  <c r="AD76" i="158"/>
  <c r="AS76" i="158"/>
  <c r="BC75" i="158"/>
  <c r="BC39" i="158"/>
  <c r="CQ36" i="158"/>
  <c r="CL35" i="158"/>
  <c r="CR75" i="158"/>
  <c r="CR39" i="158"/>
  <c r="CL8" i="158"/>
  <c r="BR76" i="158"/>
  <c r="CK75" i="158"/>
  <c r="CK39" i="158"/>
  <c r="AC81" i="158"/>
  <c r="AC83" i="158" s="1"/>
  <c r="AC84" i="158" s="1"/>
  <c r="AC76" i="158"/>
  <c r="AN76" i="158"/>
  <c r="AI75" i="158"/>
  <c r="AI39" i="158"/>
  <c r="BM81" i="158"/>
  <c r="BM83" i="158" s="1"/>
  <c r="BM84" i="158" s="1"/>
  <c r="BM86" i="158" s="1"/>
  <c r="BM87" i="158" s="1"/>
  <c r="BM76" i="158"/>
  <c r="BH76" i="158"/>
  <c r="AX75" i="171"/>
  <c r="AX39" i="171"/>
  <c r="CQ35" i="171"/>
  <c r="CR36" i="171"/>
  <c r="CR35" i="171" s="1"/>
  <c r="CJ39" i="171"/>
  <c r="CJ75" i="171"/>
  <c r="AC86" i="171"/>
  <c r="AC87" i="171" s="1"/>
  <c r="X84" i="171"/>
  <c r="AI76" i="171"/>
  <c r="AV76" i="171"/>
  <c r="CR9" i="171"/>
  <c r="CQ8" i="171"/>
  <c r="CG76" i="171"/>
  <c r="CG81" i="171"/>
  <c r="CG83" i="171" s="1"/>
  <c r="CG84" i="171" s="1"/>
  <c r="CG86" i="171" s="1"/>
  <c r="CG87" i="171" s="1"/>
  <c r="O76" i="171"/>
  <c r="O81" i="171"/>
  <c r="O83" i="171" s="1"/>
  <c r="O84" i="171" s="1"/>
  <c r="O86" i="171" s="1"/>
  <c r="O87" i="171" s="1"/>
  <c r="BM76" i="171"/>
  <c r="BM81" i="171"/>
  <c r="BM83" i="171" s="1"/>
  <c r="BM84" i="171" s="1"/>
  <c r="BM86" i="171" s="1"/>
  <c r="BM87" i="171" s="1"/>
  <c r="CQ6" i="171"/>
  <c r="CL5" i="171"/>
  <c r="CL38" i="171" s="1"/>
  <c r="AX76" i="167"/>
  <c r="CW9" i="167"/>
  <c r="CR8" i="167"/>
  <c r="CT76" i="167"/>
  <c r="CR36" i="167"/>
  <c r="CR35" i="167" s="1"/>
  <c r="CQ35" i="167"/>
  <c r="CL75" i="167"/>
  <c r="CL39" i="167"/>
  <c r="CJ75" i="167"/>
  <c r="CJ39" i="167"/>
  <c r="BW76" i="167"/>
  <c r="BW81" i="167"/>
  <c r="BW83" i="167" s="1"/>
  <c r="BW84" i="167" s="1"/>
  <c r="BW86" i="167" s="1"/>
  <c r="BW87" i="167" s="1"/>
  <c r="CQ5" i="167"/>
  <c r="CQ38" i="167" s="1"/>
  <c r="CR6" i="167"/>
  <c r="D86" i="167"/>
  <c r="D87" i="167" s="1"/>
  <c r="AI76" i="167"/>
  <c r="BM76" i="167"/>
  <c r="BM81" i="167"/>
  <c r="BM83" i="167" s="1"/>
  <c r="BM84" i="167" s="1"/>
  <c r="BM86" i="167" s="1"/>
  <c r="BM87" i="167" s="1"/>
  <c r="AS75" i="167"/>
  <c r="AS39" i="167"/>
  <c r="CU76" i="167"/>
  <c r="CU81" i="167"/>
  <c r="CU83" i="167" s="1"/>
  <c r="CU84" i="167" s="1"/>
  <c r="AC86" i="167"/>
  <c r="AC87" i="167" s="1"/>
  <c r="X84" i="167"/>
  <c r="X86" i="167" s="1"/>
  <c r="CK81" i="167"/>
  <c r="CK83" i="167" s="1"/>
  <c r="CK76" i="167"/>
  <c r="CT9" i="174"/>
  <c r="CR8" i="174"/>
  <c r="BH76" i="174"/>
  <c r="CL75" i="174"/>
  <c r="CL39" i="174"/>
  <c r="CG76" i="174"/>
  <c r="J76" i="174"/>
  <c r="AD76" i="174"/>
  <c r="BC76" i="174"/>
  <c r="X84" i="174"/>
  <c r="CK81" i="174"/>
  <c r="CK83" i="174" s="1"/>
  <c r="CK76" i="174"/>
  <c r="CQ5" i="174"/>
  <c r="CQ38" i="174" s="1"/>
  <c r="CR6" i="174"/>
  <c r="CJ76" i="174"/>
  <c r="CQ35" i="175"/>
  <c r="CR36" i="175"/>
  <c r="CR35" i="175" s="1"/>
  <c r="BR76" i="175"/>
  <c r="CR9" i="175"/>
  <c r="CR8" i="175" s="1"/>
  <c r="CQ8" i="175"/>
  <c r="AH86" i="175"/>
  <c r="AH87" i="175" s="1"/>
  <c r="X84" i="175"/>
  <c r="X86" i="175" s="1"/>
  <c r="CL75" i="175"/>
  <c r="CL39" i="175"/>
  <c r="CQ5" i="175"/>
  <c r="CQ38" i="175" s="1"/>
  <c r="CR6" i="175"/>
  <c r="AI76" i="175"/>
  <c r="CG76" i="175"/>
  <c r="CK81" i="175"/>
  <c r="CK83" i="175" s="1"/>
  <c r="CK76" i="175"/>
  <c r="BH76" i="175"/>
  <c r="CJ76" i="177"/>
  <c r="CR76" i="177"/>
  <c r="CQ76" i="177"/>
  <c r="AD76" i="177"/>
  <c r="CL75" i="177"/>
  <c r="CL39" i="177"/>
  <c r="BC76" i="177"/>
  <c r="AX76" i="177"/>
  <c r="J76" i="177"/>
  <c r="CB76" i="177"/>
  <c r="X84" i="177"/>
  <c r="X86" i="177" s="1"/>
  <c r="CR75" i="159"/>
  <c r="CR39" i="159"/>
  <c r="AI76" i="159"/>
  <c r="CR36" i="159"/>
  <c r="CR35" i="159" s="1"/>
  <c r="CQ35" i="159"/>
  <c r="BC76" i="159"/>
  <c r="CK84" i="159"/>
  <c r="CK86" i="159" s="1"/>
  <c r="CK87" i="159" s="1"/>
  <c r="CJ76" i="159"/>
  <c r="CG76" i="159"/>
  <c r="CG81" i="159"/>
  <c r="CG83" i="159" s="1"/>
  <c r="CG84" i="159" s="1"/>
  <c r="CG86" i="159" s="1"/>
  <c r="CG87" i="159" s="1"/>
  <c r="BM76" i="159"/>
  <c r="BM81" i="159"/>
  <c r="BM83" i="159" s="1"/>
  <c r="BM84" i="159" s="1"/>
  <c r="BM86" i="159" s="1"/>
  <c r="BM87" i="159" s="1"/>
  <c r="CL75" i="159"/>
  <c r="CL39" i="159"/>
  <c r="CQ75" i="159"/>
  <c r="CQ39" i="159"/>
  <c r="AS76" i="159"/>
  <c r="BM76" i="176"/>
  <c r="BM81" i="176"/>
  <c r="BM83" i="176" s="1"/>
  <c r="BM84" i="176" s="1"/>
  <c r="BM86" i="176" s="1"/>
  <c r="BM87" i="176" s="1"/>
  <c r="CQ8" i="176"/>
  <c r="CQ38" i="176" s="1"/>
  <c r="CR9" i="176"/>
  <c r="CR8" i="176" s="1"/>
  <c r="CR38" i="176" s="1"/>
  <c r="E76" i="176"/>
  <c r="CL75" i="176"/>
  <c r="CL39" i="176"/>
  <c r="BH76" i="176"/>
  <c r="CR36" i="176"/>
  <c r="CR35" i="176" s="1"/>
  <c r="CQ35" i="176"/>
  <c r="CJ76" i="176"/>
  <c r="CG76" i="176"/>
  <c r="D86" i="176"/>
  <c r="D87" i="176" s="1"/>
  <c r="CK84" i="176"/>
  <c r="CK86" i="176" s="1"/>
  <c r="CK87" i="176" s="1"/>
  <c r="AS76" i="176"/>
  <c r="AX119" i="157"/>
  <c r="BH105" i="157"/>
  <c r="BH102" i="157"/>
  <c r="BH95" i="157"/>
  <c r="CK84" i="177" l="1"/>
  <c r="CK86" i="177" s="1"/>
  <c r="CK87" i="177" s="1"/>
  <c r="CK54" i="157"/>
  <c r="CL68" i="157"/>
  <c r="CL54" i="157" s="1"/>
  <c r="BN96" i="157"/>
  <c r="BT96" i="157"/>
  <c r="BR76" i="157"/>
  <c r="BT106" i="157"/>
  <c r="BN106" i="157"/>
  <c r="BT109" i="157"/>
  <c r="BN109" i="157"/>
  <c r="BN102" i="157"/>
  <c r="BT102" i="157"/>
  <c r="BN107" i="157"/>
  <c r="BT107" i="157"/>
  <c r="BT104" i="157"/>
  <c r="BN104" i="157"/>
  <c r="BC76" i="157"/>
  <c r="AY120" i="157"/>
  <c r="AZ121" i="157"/>
  <c r="AX76" i="157"/>
  <c r="BT101" i="157"/>
  <c r="BN101" i="157"/>
  <c r="BN97" i="157"/>
  <c r="BT97" i="157"/>
  <c r="BT98" i="157"/>
  <c r="BN98" i="157"/>
  <c r="BT99" i="157"/>
  <c r="BN99" i="157"/>
  <c r="BT110" i="157"/>
  <c r="BN110" i="157"/>
  <c r="BN105" i="157"/>
  <c r="BT105" i="157"/>
  <c r="BT108" i="157"/>
  <c r="BN108" i="157"/>
  <c r="BN103" i="157"/>
  <c r="BT103" i="157"/>
  <c r="BN94" i="157"/>
  <c r="BT94" i="157"/>
  <c r="BH76" i="157"/>
  <c r="BT95" i="157"/>
  <c r="BN95" i="157"/>
  <c r="BN100" i="157"/>
  <c r="BT100" i="157"/>
  <c r="CG76" i="157"/>
  <c r="X84" i="158"/>
  <c r="AC86" i="158"/>
  <c r="AC87" i="158" s="1"/>
  <c r="CR81" i="158"/>
  <c r="CR76" i="158"/>
  <c r="CQ81" i="158"/>
  <c r="CQ83" i="158" s="1"/>
  <c r="CQ84" i="158" s="1"/>
  <c r="CQ86" i="158" s="1"/>
  <c r="CQ87" i="158" s="1"/>
  <c r="CQ76" i="158"/>
  <c r="AI76" i="158"/>
  <c r="CK81" i="158"/>
  <c r="CK83" i="158" s="1"/>
  <c r="CK76" i="158"/>
  <c r="CQ35" i="158"/>
  <c r="CR36" i="158"/>
  <c r="CR35" i="158" s="1"/>
  <c r="BC76" i="158"/>
  <c r="CL38" i="158"/>
  <c r="CJ76" i="171"/>
  <c r="CT9" i="171"/>
  <c r="CR8" i="171"/>
  <c r="X86" i="171"/>
  <c r="CK84" i="171"/>
  <c r="CK86" i="171" s="1"/>
  <c r="CK87" i="171" s="1"/>
  <c r="CR6" i="171"/>
  <c r="CQ5" i="171"/>
  <c r="CQ38" i="171" s="1"/>
  <c r="CL75" i="171"/>
  <c r="CL39" i="171"/>
  <c r="AX76" i="171"/>
  <c r="CQ75" i="167"/>
  <c r="CQ39" i="167"/>
  <c r="CL76" i="167"/>
  <c r="AS76" i="167"/>
  <c r="CK84" i="167"/>
  <c r="CK86" i="167" s="1"/>
  <c r="CK87" i="167" s="1"/>
  <c r="CJ76" i="167"/>
  <c r="CW6" i="167"/>
  <c r="CR5" i="167"/>
  <c r="CR38" i="167" s="1"/>
  <c r="CQ39" i="174"/>
  <c r="CQ75" i="174"/>
  <c r="X86" i="174"/>
  <c r="CK84" i="174"/>
  <c r="CK86" i="174" s="1"/>
  <c r="CK87" i="174" s="1"/>
  <c r="CL76" i="174"/>
  <c r="CT6" i="174"/>
  <c r="CR5" i="174"/>
  <c r="CR38" i="174" s="1"/>
  <c r="CT6" i="175"/>
  <c r="CR5" i="175"/>
  <c r="CR38" i="175" s="1"/>
  <c r="CK84" i="175"/>
  <c r="CK86" i="175" s="1"/>
  <c r="CK87" i="175" s="1"/>
  <c r="CL76" i="175"/>
  <c r="CQ75" i="175"/>
  <c r="CQ39" i="175"/>
  <c r="CL76" i="177"/>
  <c r="CL76" i="159"/>
  <c r="CR76" i="159"/>
  <c r="CQ76" i="159"/>
  <c r="CL76" i="176"/>
  <c r="CQ75" i="176"/>
  <c r="CQ39" i="176"/>
  <c r="CR75" i="176"/>
  <c r="CR39" i="176"/>
  <c r="AX120" i="157"/>
  <c r="BM106" i="157"/>
  <c r="BM95" i="157"/>
  <c r="BM107" i="157"/>
  <c r="BM102" i="157"/>
  <c r="BM109" i="157"/>
  <c r="BM105" i="157"/>
  <c r="BM94" i="157"/>
  <c r="BM108" i="157"/>
  <c r="CR83" i="158" l="1"/>
  <c r="CR84" i="158" s="1"/>
  <c r="CR86" i="158" s="1"/>
  <c r="CR87" i="158" s="1"/>
  <c r="BS98" i="157"/>
  <c r="BY98" i="157"/>
  <c r="BY107" i="157"/>
  <c r="BS107" i="157"/>
  <c r="BS108" i="157"/>
  <c r="BY108" i="157"/>
  <c r="BS99" i="157"/>
  <c r="BY99" i="157"/>
  <c r="BY97" i="157"/>
  <c r="BS97" i="157"/>
  <c r="BS106" i="157"/>
  <c r="BY106" i="157"/>
  <c r="BY100" i="157"/>
  <c r="BS100" i="157"/>
  <c r="BY94" i="157"/>
  <c r="BS94" i="157"/>
  <c r="BY105" i="157"/>
  <c r="BS105" i="157"/>
  <c r="BY102" i="157"/>
  <c r="BS102" i="157"/>
  <c r="AZ122" i="157"/>
  <c r="AY121" i="157"/>
  <c r="BY103" i="157"/>
  <c r="BS103" i="157"/>
  <c r="BS101" i="157"/>
  <c r="BY101" i="157"/>
  <c r="BS96" i="157"/>
  <c r="BY96" i="157"/>
  <c r="BS95" i="157"/>
  <c r="BY95" i="157"/>
  <c r="BS110" i="157"/>
  <c r="BY110" i="157"/>
  <c r="BS104" i="157"/>
  <c r="BY104" i="157"/>
  <c r="BS109" i="157"/>
  <c r="BY109" i="157"/>
  <c r="CL75" i="158"/>
  <c r="CL39" i="158"/>
  <c r="X86" i="158"/>
  <c r="CK84" i="158"/>
  <c r="CK86" i="158" s="1"/>
  <c r="CK87" i="158" s="1"/>
  <c r="CL76" i="171"/>
  <c r="CT6" i="171"/>
  <c r="CR5" i="171"/>
  <c r="CR38" i="171" s="1"/>
  <c r="CQ75" i="171"/>
  <c r="CQ39" i="171"/>
  <c r="CQ76" i="167"/>
  <c r="CR75" i="167"/>
  <c r="CR39" i="167"/>
  <c r="CQ76" i="174"/>
  <c r="CR75" i="174"/>
  <c r="CR39" i="174"/>
  <c r="CQ76" i="175"/>
  <c r="CR75" i="175"/>
  <c r="CR39" i="175"/>
  <c r="CR76" i="176"/>
  <c r="CQ76" i="176"/>
  <c r="AX121" i="157"/>
  <c r="BR95" i="157"/>
  <c r="BR102" i="157"/>
  <c r="BR105" i="157"/>
  <c r="CD109" i="157" l="1"/>
  <c r="BX109" i="157"/>
  <c r="CD110" i="157"/>
  <c r="BX110" i="157"/>
  <c r="BX102" i="157"/>
  <c r="CD102" i="157"/>
  <c r="BX94" i="157"/>
  <c r="CD94" i="157"/>
  <c r="BX97" i="157"/>
  <c r="CD97" i="157"/>
  <c r="BX107" i="157"/>
  <c r="CD107" i="157"/>
  <c r="CD101" i="157"/>
  <c r="BX101" i="157"/>
  <c r="CD104" i="157"/>
  <c r="BX104" i="157"/>
  <c r="CD95" i="157"/>
  <c r="BX95" i="157"/>
  <c r="BX99" i="157"/>
  <c r="CD99" i="157"/>
  <c r="CD98" i="157"/>
  <c r="BX98" i="157"/>
  <c r="BX103" i="157"/>
  <c r="CD103" i="157"/>
  <c r="BX100" i="157"/>
  <c r="CD100" i="157"/>
  <c r="CD96" i="157"/>
  <c r="BX96" i="157"/>
  <c r="CD106" i="157"/>
  <c r="BX106" i="157"/>
  <c r="CD108" i="157"/>
  <c r="BX108" i="157"/>
  <c r="AY122" i="157"/>
  <c r="AZ123" i="157"/>
  <c r="BX105" i="157"/>
  <c r="CD105" i="157"/>
  <c r="CL76" i="158"/>
  <c r="CR75" i="171"/>
  <c r="CR39" i="171"/>
  <c r="CQ76" i="171"/>
  <c r="CR76" i="167"/>
  <c r="CR76" i="175"/>
  <c r="BW105" i="157"/>
  <c r="AX122" i="157"/>
  <c r="BW102" i="157"/>
  <c r="BW95" i="157"/>
  <c r="CC106" i="157" l="1"/>
  <c r="CI106" i="157"/>
  <c r="CH106" i="157" s="1"/>
  <c r="CC95" i="157"/>
  <c r="CI95" i="157"/>
  <c r="CH95" i="157" s="1"/>
  <c r="AZ124" i="157"/>
  <c r="AY123" i="157"/>
  <c r="CI97" i="157"/>
  <c r="CH97" i="157" s="1"/>
  <c r="CC97" i="157"/>
  <c r="CI94" i="157"/>
  <c r="CH94" i="157" s="1"/>
  <c r="CC94" i="157"/>
  <c r="CC96" i="157"/>
  <c r="CI96" i="157"/>
  <c r="CH96" i="157" s="1"/>
  <c r="CC98" i="157"/>
  <c r="CI98" i="157"/>
  <c r="CH98" i="157" s="1"/>
  <c r="CC104" i="157"/>
  <c r="CI104" i="157"/>
  <c r="CH104" i="157" s="1"/>
  <c r="CC110" i="157"/>
  <c r="CI110" i="157"/>
  <c r="CH110" i="157" s="1"/>
  <c r="CI100" i="157"/>
  <c r="CH100" i="157" s="1"/>
  <c r="CC100" i="157"/>
  <c r="CC99" i="157"/>
  <c r="CI99" i="157"/>
  <c r="CH99" i="157" s="1"/>
  <c r="CC108" i="157"/>
  <c r="CI108" i="157"/>
  <c r="CH108" i="157" s="1"/>
  <c r="CC101" i="157"/>
  <c r="CI101" i="157"/>
  <c r="CH101" i="157" s="1"/>
  <c r="CC109" i="157"/>
  <c r="CI109" i="157"/>
  <c r="CH109" i="157" s="1"/>
  <c r="CI105" i="157"/>
  <c r="CH105" i="157" s="1"/>
  <c r="CC105" i="157"/>
  <c r="CC103" i="157"/>
  <c r="CI103" i="157"/>
  <c r="CH103" i="157" s="1"/>
  <c r="CI107" i="157"/>
  <c r="CH107" i="157" s="1"/>
  <c r="CC107" i="157"/>
  <c r="CI102" i="157"/>
  <c r="CH102" i="157" s="1"/>
  <c r="CC102" i="157"/>
  <c r="CR76" i="171"/>
  <c r="CG95" i="157"/>
  <c r="CG102" i="157"/>
  <c r="CB105" i="157"/>
  <c r="AX123" i="157"/>
  <c r="CG105" i="157"/>
  <c r="CB102" i="157"/>
  <c r="CB95" i="157"/>
  <c r="AY124" i="157" l="1"/>
  <c r="AZ125" i="157"/>
  <c r="AX124" i="157"/>
  <c r="AZ126" i="157" l="1"/>
  <c r="AY125" i="157"/>
  <c r="AX125" i="157"/>
  <c r="AY126" i="157" l="1"/>
  <c r="AZ127" i="157"/>
  <c r="AX126" i="157"/>
  <c r="AZ128" i="157" l="1"/>
  <c r="AY127" i="157"/>
  <c r="AX127" i="157"/>
  <c r="AY128" i="157" l="1"/>
  <c r="AZ129" i="157"/>
  <c r="AY129" i="157" s="1"/>
  <c r="AX128" i="157"/>
  <c r="AX129" i="157"/>
  <c r="AX112" i="157" l="1"/>
  <c r="M29" i="101" l="1"/>
  <c r="I29" i="101"/>
  <c r="E29" i="101"/>
  <c r="CB92" i="140" l="1"/>
  <c r="BW85" i="140"/>
  <c r="BR85" i="140"/>
  <c r="BM85" i="140"/>
  <c r="BH85" i="140"/>
  <c r="BC85" i="140"/>
  <c r="AX85" i="140"/>
  <c r="AS85" i="140"/>
  <c r="AN85" i="140"/>
  <c r="AI85" i="140"/>
  <c r="AD85" i="140"/>
  <c r="Y85" i="140"/>
  <c r="T85" i="140"/>
  <c r="M85" i="140"/>
  <c r="CA85" i="140" s="1"/>
  <c r="L85" i="140"/>
  <c r="BZ85" i="140" s="1"/>
  <c r="I85" i="140"/>
  <c r="E85" i="140"/>
  <c r="CH83" i="140"/>
  <c r="BW82" i="140"/>
  <c r="BR82" i="140"/>
  <c r="BM82" i="140"/>
  <c r="BH82" i="140"/>
  <c r="BC82" i="140"/>
  <c r="AX82" i="140"/>
  <c r="AS82" i="140"/>
  <c r="AN82" i="140"/>
  <c r="AI82" i="140"/>
  <c r="AD82" i="140"/>
  <c r="Y82" i="140"/>
  <c r="T82" i="140"/>
  <c r="M82" i="140"/>
  <c r="CA82" i="140" s="1"/>
  <c r="L82" i="140"/>
  <c r="BZ82" i="140" s="1"/>
  <c r="CB82" i="140" s="1"/>
  <c r="I82" i="140"/>
  <c r="E82" i="140"/>
  <c r="BW79" i="140"/>
  <c r="BW77" i="140" s="1"/>
  <c r="BR79" i="140"/>
  <c r="BM79" i="140"/>
  <c r="BH79" i="140"/>
  <c r="BC79" i="140"/>
  <c r="AX79" i="140"/>
  <c r="AS79" i="140"/>
  <c r="AS77" i="140" s="1"/>
  <c r="AN79" i="140"/>
  <c r="AI79" i="140"/>
  <c r="AD79" i="140"/>
  <c r="Y79" i="140"/>
  <c r="T79" i="140"/>
  <c r="M79" i="140"/>
  <c r="CA79" i="140" s="1"/>
  <c r="CA77" i="140" s="1"/>
  <c r="L79" i="140"/>
  <c r="BZ79" i="140" s="1"/>
  <c r="E79" i="140"/>
  <c r="BW78" i="140"/>
  <c r="BR78" i="140"/>
  <c r="BR77" i="140" s="1"/>
  <c r="BM78" i="140"/>
  <c r="BH78" i="140"/>
  <c r="BC78" i="140"/>
  <c r="AX78" i="140"/>
  <c r="AS78" i="140"/>
  <c r="AN78" i="140"/>
  <c r="AI78" i="140"/>
  <c r="AD78" i="140"/>
  <c r="Y78" i="140"/>
  <c r="T78" i="140"/>
  <c r="M78" i="140"/>
  <c r="CA78" i="140" s="1"/>
  <c r="L78" i="140"/>
  <c r="BZ78" i="140" s="1"/>
  <c r="BZ77" i="140" s="1"/>
  <c r="E78" i="140"/>
  <c r="BV77" i="140"/>
  <c r="BU77" i="140"/>
  <c r="BQ77" i="140"/>
  <c r="BP77" i="140"/>
  <c r="BM77" i="140"/>
  <c r="BL77" i="140"/>
  <c r="BK77" i="140"/>
  <c r="BG77" i="140"/>
  <c r="BF77" i="140"/>
  <c r="BC77" i="140"/>
  <c r="BB77" i="140"/>
  <c r="BA77" i="140"/>
  <c r="AW77" i="140"/>
  <c r="AV77" i="140"/>
  <c r="AR77" i="140"/>
  <c r="AQ77" i="140"/>
  <c r="AM77" i="140"/>
  <c r="AL77" i="140"/>
  <c r="AH77" i="140"/>
  <c r="AG77" i="140"/>
  <c r="AC77" i="140"/>
  <c r="AB77" i="140"/>
  <c r="Y77" i="140"/>
  <c r="X77" i="140"/>
  <c r="W77" i="140"/>
  <c r="T77" i="140"/>
  <c r="S77" i="140"/>
  <c r="R77" i="140"/>
  <c r="L77" i="140"/>
  <c r="I77" i="140"/>
  <c r="H77" i="140"/>
  <c r="G77" i="140"/>
  <c r="D77" i="140"/>
  <c r="C77" i="140"/>
  <c r="BW74" i="140"/>
  <c r="BR74" i="140"/>
  <c r="BR73" i="140" s="1"/>
  <c r="BM74" i="140"/>
  <c r="BH74" i="140"/>
  <c r="BC74" i="140"/>
  <c r="BC73" i="140" s="1"/>
  <c r="AX74" i="140"/>
  <c r="AS74" i="140"/>
  <c r="AN74" i="140"/>
  <c r="AI74" i="140"/>
  <c r="AI73" i="140" s="1"/>
  <c r="AD74" i="140"/>
  <c r="Y74" i="140"/>
  <c r="T74" i="140"/>
  <c r="M74" i="140"/>
  <c r="CA74" i="140" s="1"/>
  <c r="CA73" i="140" s="1"/>
  <c r="L74" i="140"/>
  <c r="I74" i="140"/>
  <c r="E74" i="140"/>
  <c r="BW73" i="140"/>
  <c r="BV73" i="140"/>
  <c r="BU73" i="140"/>
  <c r="BQ73" i="140"/>
  <c r="BP73" i="140"/>
  <c r="BL73" i="140"/>
  <c r="BK73" i="140"/>
  <c r="BH73" i="140"/>
  <c r="BG73" i="140"/>
  <c r="BF73" i="140"/>
  <c r="BB73" i="140"/>
  <c r="BA73" i="140"/>
  <c r="AX73" i="140"/>
  <c r="AW73" i="140"/>
  <c r="AV73" i="140"/>
  <c r="AS73" i="140"/>
  <c r="AR73" i="140"/>
  <c r="AQ73" i="140"/>
  <c r="AN73" i="140"/>
  <c r="AM73" i="140"/>
  <c r="AL73" i="140"/>
  <c r="AH73" i="140"/>
  <c r="AG73" i="140"/>
  <c r="AD73" i="140"/>
  <c r="AC73" i="140"/>
  <c r="AB73" i="140"/>
  <c r="Y73" i="140"/>
  <c r="X73" i="140"/>
  <c r="W73" i="140"/>
  <c r="T73" i="140"/>
  <c r="S73" i="140"/>
  <c r="R73" i="140"/>
  <c r="I73" i="140"/>
  <c r="H73" i="140"/>
  <c r="G73" i="140"/>
  <c r="E73" i="140"/>
  <c r="D73" i="140"/>
  <c r="C73" i="140"/>
  <c r="BW71" i="140"/>
  <c r="BR71" i="140"/>
  <c r="BM71" i="140"/>
  <c r="BH71" i="140"/>
  <c r="BC71" i="140"/>
  <c r="AX71" i="140"/>
  <c r="AS71" i="140"/>
  <c r="AN71" i="140"/>
  <c r="AI71" i="140"/>
  <c r="AD71" i="140"/>
  <c r="Y71" i="140"/>
  <c r="T71" i="140"/>
  <c r="M71" i="140"/>
  <c r="CA71" i="140" s="1"/>
  <c r="L71" i="140"/>
  <c r="BZ71" i="140" s="1"/>
  <c r="CB71" i="140" s="1"/>
  <c r="I71" i="140"/>
  <c r="E71" i="140"/>
  <c r="CA70" i="140"/>
  <c r="BW70" i="140"/>
  <c r="BR70" i="140"/>
  <c r="BM70" i="140"/>
  <c r="BH70" i="140"/>
  <c r="BC70" i="140"/>
  <c r="AX70" i="140"/>
  <c r="AS70" i="140"/>
  <c r="AN70" i="140"/>
  <c r="AI70" i="140"/>
  <c r="AD70" i="140"/>
  <c r="Y70" i="140"/>
  <c r="T70" i="140"/>
  <c r="M70" i="140"/>
  <c r="L70" i="140"/>
  <c r="BZ70" i="140" s="1"/>
  <c r="CB70" i="140" s="1"/>
  <c r="CG70" i="140" s="1"/>
  <c r="I70" i="140"/>
  <c r="E70" i="140"/>
  <c r="BW69" i="140"/>
  <c r="BR69" i="140"/>
  <c r="BM69" i="140"/>
  <c r="BH69" i="140"/>
  <c r="BC69" i="140"/>
  <c r="AX69" i="140"/>
  <c r="AS69" i="140"/>
  <c r="AN69" i="140"/>
  <c r="AI69" i="140"/>
  <c r="AD69" i="140"/>
  <c r="Y69" i="140"/>
  <c r="T69" i="140"/>
  <c r="M69" i="140"/>
  <c r="CA69" i="140" s="1"/>
  <c r="L69" i="140"/>
  <c r="N69" i="140" s="1"/>
  <c r="I69" i="140"/>
  <c r="E69" i="140"/>
  <c r="BW68" i="140"/>
  <c r="BR68" i="140"/>
  <c r="BM68" i="140"/>
  <c r="BH68" i="140"/>
  <c r="BC68" i="140"/>
  <c r="AX68" i="140"/>
  <c r="AS68" i="140"/>
  <c r="AN68" i="140"/>
  <c r="AI68" i="140"/>
  <c r="AD68" i="140"/>
  <c r="Y68" i="140"/>
  <c r="T68" i="140"/>
  <c r="M68" i="140"/>
  <c r="CA68" i="140" s="1"/>
  <c r="L68" i="140"/>
  <c r="BZ68" i="140" s="1"/>
  <c r="I68" i="140"/>
  <c r="E68" i="140"/>
  <c r="BZ67" i="140"/>
  <c r="CB67" i="140" s="1"/>
  <c r="BW67" i="140"/>
  <c r="BR67" i="140"/>
  <c r="BM67" i="140"/>
  <c r="BH67" i="140"/>
  <c r="BC67" i="140"/>
  <c r="AX67" i="140"/>
  <c r="AS67" i="140"/>
  <c r="AN67" i="140"/>
  <c r="AI67" i="140"/>
  <c r="AD67" i="140"/>
  <c r="Y67" i="140"/>
  <c r="T67" i="140"/>
  <c r="M67" i="140"/>
  <c r="CA67" i="140" s="1"/>
  <c r="L67" i="140"/>
  <c r="N67" i="140" s="1"/>
  <c r="I67" i="140"/>
  <c r="E67" i="140"/>
  <c r="BZ66" i="140"/>
  <c r="BW66" i="140"/>
  <c r="BR66" i="140"/>
  <c r="BM66" i="140"/>
  <c r="BH66" i="140"/>
  <c r="BC66" i="140"/>
  <c r="AX66" i="140"/>
  <c r="AS66" i="140"/>
  <c r="AN66" i="140"/>
  <c r="AI66" i="140"/>
  <c r="AD66" i="140"/>
  <c r="Y66" i="140"/>
  <c r="T66" i="140"/>
  <c r="M66" i="140"/>
  <c r="N66" i="140" s="1"/>
  <c r="L66" i="140"/>
  <c r="I66" i="140"/>
  <c r="E66" i="140"/>
  <c r="BW65" i="140"/>
  <c r="BR65" i="140"/>
  <c r="BM65" i="140"/>
  <c r="BH65" i="140"/>
  <c r="BC65" i="140"/>
  <c r="AX65" i="140"/>
  <c r="AS65" i="140"/>
  <c r="AN65" i="140"/>
  <c r="AI65" i="140"/>
  <c r="AD65" i="140"/>
  <c r="Y65" i="140"/>
  <c r="T65" i="140"/>
  <c r="N65" i="140"/>
  <c r="M65" i="140"/>
  <c r="L65" i="140"/>
  <c r="BZ65" i="140" s="1"/>
  <c r="H65" i="140"/>
  <c r="I65" i="140" s="1"/>
  <c r="I54" i="140" s="1"/>
  <c r="E65" i="140"/>
  <c r="BW64" i="140"/>
  <c r="BR64" i="140"/>
  <c r="BM64" i="140"/>
  <c r="BH64" i="140"/>
  <c r="BC64" i="140"/>
  <c r="AX64" i="140"/>
  <c r="AS64" i="140"/>
  <c r="AN64" i="140"/>
  <c r="AI64" i="140"/>
  <c r="AD64" i="140"/>
  <c r="Y64" i="140"/>
  <c r="T64" i="140"/>
  <c r="M64" i="140"/>
  <c r="CA64" i="140" s="1"/>
  <c r="L64" i="140"/>
  <c r="BZ64" i="140" s="1"/>
  <c r="CB64" i="140" s="1"/>
  <c r="I64" i="140"/>
  <c r="E64" i="140"/>
  <c r="CA63" i="140"/>
  <c r="BW63" i="140"/>
  <c r="BR63" i="140"/>
  <c r="BM63" i="140"/>
  <c r="BH63" i="140"/>
  <c r="BC63" i="140"/>
  <c r="AX63" i="140"/>
  <c r="AS63" i="140"/>
  <c r="AN63" i="140"/>
  <c r="AI63" i="140"/>
  <c r="AD63" i="140"/>
  <c r="Y63" i="140"/>
  <c r="T63" i="140"/>
  <c r="M63" i="140"/>
  <c r="L63" i="140"/>
  <c r="I63" i="140"/>
  <c r="E63" i="140"/>
  <c r="BW62" i="140"/>
  <c r="BR62" i="140"/>
  <c r="BM62" i="140"/>
  <c r="BH62" i="140"/>
  <c r="BC62" i="140"/>
  <c r="AX62" i="140"/>
  <c r="AS62" i="140"/>
  <c r="AN62" i="140"/>
  <c r="AI62" i="140"/>
  <c r="AD62" i="140"/>
  <c r="Y62" i="140"/>
  <c r="T62" i="140"/>
  <c r="M62" i="140"/>
  <c r="CA62" i="140" s="1"/>
  <c r="L62" i="140"/>
  <c r="BZ62" i="140" s="1"/>
  <c r="CB62" i="140" s="1"/>
  <c r="I62" i="140"/>
  <c r="E62" i="140"/>
  <c r="BW61" i="140"/>
  <c r="BR61" i="140"/>
  <c r="BM61" i="140"/>
  <c r="BH61" i="140"/>
  <c r="BC61" i="140"/>
  <c r="AX61" i="140"/>
  <c r="AS61" i="140"/>
  <c r="AN61" i="140"/>
  <c r="AI61" i="140"/>
  <c r="AD61" i="140"/>
  <c r="Y61" i="140"/>
  <c r="T61" i="140"/>
  <c r="M61" i="140"/>
  <c r="CA61" i="140" s="1"/>
  <c r="L61" i="140"/>
  <c r="N61" i="140" s="1"/>
  <c r="I61" i="140"/>
  <c r="E61" i="140"/>
  <c r="BW60" i="140"/>
  <c r="BR60" i="140"/>
  <c r="BM60" i="140"/>
  <c r="BH60" i="140"/>
  <c r="BC60" i="140"/>
  <c r="AX60" i="140"/>
  <c r="AS60" i="140"/>
  <c r="AN60" i="140"/>
  <c r="AI60" i="140"/>
  <c r="AD60" i="140"/>
  <c r="Y60" i="140"/>
  <c r="T60" i="140"/>
  <c r="M60" i="140"/>
  <c r="CA60" i="140" s="1"/>
  <c r="L60" i="140"/>
  <c r="BZ60" i="140" s="1"/>
  <c r="I60" i="140"/>
  <c r="E60" i="140"/>
  <c r="BW59" i="140"/>
  <c r="BR59" i="140"/>
  <c r="BM59" i="140"/>
  <c r="BH59" i="140"/>
  <c r="BC59" i="140"/>
  <c r="AX59" i="140"/>
  <c r="AS59" i="140"/>
  <c r="AN59" i="140"/>
  <c r="AI59" i="140"/>
  <c r="AD59" i="140"/>
  <c r="Y59" i="140"/>
  <c r="T59" i="140"/>
  <c r="M59" i="140"/>
  <c r="CA59" i="140" s="1"/>
  <c r="L59" i="140"/>
  <c r="BZ59" i="140" s="1"/>
  <c r="CB59" i="140" s="1"/>
  <c r="CG59" i="140" s="1"/>
  <c r="I59" i="140"/>
  <c r="E59" i="140"/>
  <c r="BW58" i="140"/>
  <c r="BR58" i="140"/>
  <c r="BM58" i="140"/>
  <c r="BH58" i="140"/>
  <c r="BC58" i="140"/>
  <c r="AX58" i="140"/>
  <c r="AS58" i="140"/>
  <c r="AN58" i="140"/>
  <c r="AI58" i="140"/>
  <c r="AD58" i="140"/>
  <c r="Y58" i="140"/>
  <c r="T58" i="140"/>
  <c r="M58" i="140"/>
  <c r="CA58" i="140" s="1"/>
  <c r="L58" i="140"/>
  <c r="BZ58" i="140" s="1"/>
  <c r="I58" i="140"/>
  <c r="E58" i="140"/>
  <c r="BW57" i="140"/>
  <c r="BR57" i="140"/>
  <c r="BM57" i="140"/>
  <c r="BH57" i="140"/>
  <c r="BC57" i="140"/>
  <c r="AX57" i="140"/>
  <c r="AS57" i="140"/>
  <c r="AN57" i="140"/>
  <c r="AI57" i="140"/>
  <c r="AD57" i="140"/>
  <c r="Y57" i="140"/>
  <c r="T57" i="140"/>
  <c r="M57" i="140"/>
  <c r="CA57" i="140" s="1"/>
  <c r="L57" i="140"/>
  <c r="BZ57" i="140" s="1"/>
  <c r="I57" i="140"/>
  <c r="E57" i="140"/>
  <c r="BW56" i="140"/>
  <c r="BR56" i="140"/>
  <c r="BM56" i="140"/>
  <c r="BH56" i="140"/>
  <c r="BC56" i="140"/>
  <c r="AX56" i="140"/>
  <c r="AS56" i="140"/>
  <c r="AN56" i="140"/>
  <c r="AI56" i="140"/>
  <c r="AD56" i="140"/>
  <c r="Y56" i="140"/>
  <c r="T56" i="140"/>
  <c r="M56" i="140"/>
  <c r="CA56" i="140" s="1"/>
  <c r="L56" i="140"/>
  <c r="BZ56" i="140" s="1"/>
  <c r="I56" i="140"/>
  <c r="E56" i="140"/>
  <c r="BW55" i="140"/>
  <c r="BW54" i="140" s="1"/>
  <c r="BR55" i="140"/>
  <c r="BM55" i="140"/>
  <c r="BH55" i="140"/>
  <c r="BC55" i="140"/>
  <c r="BC54" i="140" s="1"/>
  <c r="AX55" i="140"/>
  <c r="AS55" i="140"/>
  <c r="AN55" i="140"/>
  <c r="AI55" i="140"/>
  <c r="AI54" i="140" s="1"/>
  <c r="AD55" i="140"/>
  <c r="Y55" i="140"/>
  <c r="T55" i="140"/>
  <c r="N55" i="140"/>
  <c r="M55" i="140"/>
  <c r="CA55" i="140" s="1"/>
  <c r="L55" i="140"/>
  <c r="BZ55" i="140" s="1"/>
  <c r="I55" i="140"/>
  <c r="E55" i="140"/>
  <c r="BV54" i="140"/>
  <c r="BU54" i="140"/>
  <c r="BR54" i="140"/>
  <c r="BQ54" i="140"/>
  <c r="BP54" i="140"/>
  <c r="BM54" i="140"/>
  <c r="BL54" i="140"/>
  <c r="BK54" i="140"/>
  <c r="BH54" i="140"/>
  <c r="BG54" i="140"/>
  <c r="BF54" i="140"/>
  <c r="BB54" i="140"/>
  <c r="BA54" i="140"/>
  <c r="AX54" i="140"/>
  <c r="AW54" i="140"/>
  <c r="AV54" i="140"/>
  <c r="AS54" i="140"/>
  <c r="AR54" i="140"/>
  <c r="AQ54" i="140"/>
  <c r="AN54" i="140"/>
  <c r="AM54" i="140"/>
  <c r="AL54" i="140"/>
  <c r="AH54" i="140"/>
  <c r="AG54" i="140"/>
  <c r="AD54" i="140"/>
  <c r="AC54" i="140"/>
  <c r="AB54" i="140"/>
  <c r="Y54" i="140"/>
  <c r="X54" i="140"/>
  <c r="W54" i="140"/>
  <c r="T54" i="140"/>
  <c r="S54" i="140"/>
  <c r="R54" i="140"/>
  <c r="M54" i="140"/>
  <c r="L54" i="140"/>
  <c r="H54" i="140"/>
  <c r="G54" i="140"/>
  <c r="E54" i="140"/>
  <c r="D54" i="140"/>
  <c r="C54" i="140"/>
  <c r="BW52" i="140"/>
  <c r="BR52" i="140"/>
  <c r="BM52" i="140"/>
  <c r="BH52" i="140"/>
  <c r="BC52" i="140"/>
  <c r="AX52" i="140"/>
  <c r="AS52" i="140"/>
  <c r="AN52" i="140"/>
  <c r="AI52" i="140"/>
  <c r="AD52" i="140"/>
  <c r="Y52" i="140"/>
  <c r="T52" i="140"/>
  <c r="M52" i="140"/>
  <c r="CA52" i="140" s="1"/>
  <c r="L52" i="140"/>
  <c r="I52" i="140"/>
  <c r="E52" i="140"/>
  <c r="BW51" i="140"/>
  <c r="BR51" i="140"/>
  <c r="BR50" i="140" s="1"/>
  <c r="BM51" i="140"/>
  <c r="BH51" i="140"/>
  <c r="BC51" i="140"/>
  <c r="AX51" i="140"/>
  <c r="AX50" i="140" s="1"/>
  <c r="AS51" i="140"/>
  <c r="AN51" i="140"/>
  <c r="AI51" i="140"/>
  <c r="AD51" i="140"/>
  <c r="AD50" i="140" s="1"/>
  <c r="Y51" i="140"/>
  <c r="T51" i="140"/>
  <c r="M51" i="140"/>
  <c r="M50" i="140" s="1"/>
  <c r="L51" i="140"/>
  <c r="BZ51" i="140" s="1"/>
  <c r="I51" i="140"/>
  <c r="E51" i="140"/>
  <c r="BW50" i="140"/>
  <c r="BV50" i="140"/>
  <c r="BU50" i="140"/>
  <c r="BQ50" i="140"/>
  <c r="BP50" i="140"/>
  <c r="BM50" i="140"/>
  <c r="BL50" i="140"/>
  <c r="BK50" i="140"/>
  <c r="BH50" i="140"/>
  <c r="BG50" i="140"/>
  <c r="BF50" i="140"/>
  <c r="BC50" i="140"/>
  <c r="BB50" i="140"/>
  <c r="BA50" i="140"/>
  <c r="AW50" i="140"/>
  <c r="AV50" i="140"/>
  <c r="AS50" i="140"/>
  <c r="AR50" i="140"/>
  <c r="AQ50" i="140"/>
  <c r="AN50" i="140"/>
  <c r="AM50" i="140"/>
  <c r="AL50" i="140"/>
  <c r="AI50" i="140"/>
  <c r="AH50" i="140"/>
  <c r="AG50" i="140"/>
  <c r="AC50" i="140"/>
  <c r="AB50" i="140"/>
  <c r="Y50" i="140"/>
  <c r="X50" i="140"/>
  <c r="W50" i="140"/>
  <c r="T50" i="140"/>
  <c r="S50" i="140"/>
  <c r="R50" i="140"/>
  <c r="L50" i="140"/>
  <c r="I50" i="140"/>
  <c r="H50" i="140"/>
  <c r="G50" i="140"/>
  <c r="E50" i="140"/>
  <c r="D50" i="140"/>
  <c r="C50" i="140"/>
  <c r="BW48" i="140"/>
  <c r="BR48" i="140"/>
  <c r="BM48" i="140"/>
  <c r="BH48" i="140"/>
  <c r="BC48" i="140"/>
  <c r="AX48" i="140"/>
  <c r="AS48" i="140"/>
  <c r="AN48" i="140"/>
  <c r="AI48" i="140"/>
  <c r="AB48" i="140"/>
  <c r="AD48" i="140" s="1"/>
  <c r="Y48" i="140"/>
  <c r="T48" i="140"/>
  <c r="M48" i="140"/>
  <c r="CA48" i="140" s="1"/>
  <c r="L48" i="140"/>
  <c r="BZ48" i="140" s="1"/>
  <c r="I48" i="140"/>
  <c r="E48" i="140"/>
  <c r="BW47" i="140"/>
  <c r="BR47" i="140"/>
  <c r="BM47" i="140"/>
  <c r="BH47" i="140"/>
  <c r="BC47" i="140"/>
  <c r="AX47" i="140"/>
  <c r="AS47" i="140"/>
  <c r="AN47" i="140"/>
  <c r="AI47" i="140"/>
  <c r="AD47" i="140"/>
  <c r="Y47" i="140"/>
  <c r="T47" i="140"/>
  <c r="M47" i="140"/>
  <c r="L47" i="140"/>
  <c r="G47" i="140"/>
  <c r="E47" i="140"/>
  <c r="BW46" i="140"/>
  <c r="BR46" i="140"/>
  <c r="BM46" i="140"/>
  <c r="BH46" i="140"/>
  <c r="BC46" i="140"/>
  <c r="AX46" i="140"/>
  <c r="AS46" i="140"/>
  <c r="AN46" i="140"/>
  <c r="AI46" i="140"/>
  <c r="AD46" i="140"/>
  <c r="Y46" i="140"/>
  <c r="T46" i="140"/>
  <c r="M46" i="140"/>
  <c r="CA46" i="140" s="1"/>
  <c r="L46" i="140"/>
  <c r="BZ46" i="140" s="1"/>
  <c r="CB46" i="140" s="1"/>
  <c r="I46" i="140"/>
  <c r="E46" i="140"/>
  <c r="BW45" i="140"/>
  <c r="BR45" i="140"/>
  <c r="BM45" i="140"/>
  <c r="BH45" i="140"/>
  <c r="BC45" i="140"/>
  <c r="AX45" i="140"/>
  <c r="AS45" i="140"/>
  <c r="AN45" i="140"/>
  <c r="AI45" i="140"/>
  <c r="AD45" i="140"/>
  <c r="Y45" i="140"/>
  <c r="T45" i="140"/>
  <c r="M45" i="140"/>
  <c r="CA45" i="140" s="1"/>
  <c r="L45" i="140"/>
  <c r="BZ45" i="140" s="1"/>
  <c r="I45" i="140"/>
  <c r="E45" i="140"/>
  <c r="BW44" i="140"/>
  <c r="BR44" i="140"/>
  <c r="BM44" i="140"/>
  <c r="BH44" i="140"/>
  <c r="BC44" i="140"/>
  <c r="AX44" i="140"/>
  <c r="AS44" i="140"/>
  <c r="AN44" i="140"/>
  <c r="AI44" i="140"/>
  <c r="AD44" i="140"/>
  <c r="Y44" i="140"/>
  <c r="T44" i="140"/>
  <c r="M44" i="140"/>
  <c r="CA44" i="140" s="1"/>
  <c r="L44" i="140"/>
  <c r="BZ44" i="140" s="1"/>
  <c r="CB44" i="140" s="1"/>
  <c r="I44" i="140"/>
  <c r="E44" i="140"/>
  <c r="BW43" i="140"/>
  <c r="BR43" i="140"/>
  <c r="BM43" i="140"/>
  <c r="BH43" i="140"/>
  <c r="BC43" i="140"/>
  <c r="AX43" i="140"/>
  <c r="AS43" i="140"/>
  <c r="AN43" i="140"/>
  <c r="AI43" i="140"/>
  <c r="AD43" i="140"/>
  <c r="Y43" i="140"/>
  <c r="T43" i="140"/>
  <c r="M43" i="140"/>
  <c r="CA43" i="140" s="1"/>
  <c r="L43" i="140"/>
  <c r="BZ43" i="140" s="1"/>
  <c r="I43" i="140"/>
  <c r="E43" i="140"/>
  <c r="BW42" i="140"/>
  <c r="BR42" i="140"/>
  <c r="BR41" i="140" s="1"/>
  <c r="BM42" i="140"/>
  <c r="BH42" i="140"/>
  <c r="BC42" i="140"/>
  <c r="BC41" i="140" s="1"/>
  <c r="AX42" i="140"/>
  <c r="AS42" i="140"/>
  <c r="AN42" i="140"/>
  <c r="AN41" i="140" s="1"/>
  <c r="AI42" i="140"/>
  <c r="AI41" i="140" s="1"/>
  <c r="AD42" i="140"/>
  <c r="Y42" i="140"/>
  <c r="T42" i="140"/>
  <c r="T41" i="140" s="1"/>
  <c r="M42" i="140"/>
  <c r="CA42" i="140" s="1"/>
  <c r="L42" i="140"/>
  <c r="BZ42" i="140" s="1"/>
  <c r="I42" i="140"/>
  <c r="E42" i="140"/>
  <c r="BV41" i="140"/>
  <c r="BU41" i="140"/>
  <c r="BQ41" i="140"/>
  <c r="BP41" i="140"/>
  <c r="BM41" i="140"/>
  <c r="BL41" i="140"/>
  <c r="BK41" i="140"/>
  <c r="BG41" i="140"/>
  <c r="BF41" i="140"/>
  <c r="BB41" i="140"/>
  <c r="BA41" i="140"/>
  <c r="AW41" i="140"/>
  <c r="AV41" i="140"/>
  <c r="AS41" i="140"/>
  <c r="AR41" i="140"/>
  <c r="AQ41" i="140"/>
  <c r="AM41" i="140"/>
  <c r="AL41" i="140"/>
  <c r="AH41" i="140"/>
  <c r="AG41" i="140"/>
  <c r="AD41" i="140"/>
  <c r="AC41" i="140"/>
  <c r="AB41" i="140"/>
  <c r="X41" i="140"/>
  <c r="W41" i="140"/>
  <c r="S41" i="140"/>
  <c r="R41" i="140"/>
  <c r="M41" i="140"/>
  <c r="H41" i="140"/>
  <c r="G41" i="140"/>
  <c r="E41" i="140"/>
  <c r="D41" i="140"/>
  <c r="C41" i="140"/>
  <c r="BX37" i="140"/>
  <c r="BS37" i="140"/>
  <c r="BN37" i="140"/>
  <c r="BI37" i="140"/>
  <c r="BD37" i="140"/>
  <c r="AY37" i="140"/>
  <c r="AT37" i="140"/>
  <c r="AO37" i="140"/>
  <c r="AE37" i="140"/>
  <c r="Z37" i="140"/>
  <c r="BW36" i="140"/>
  <c r="BR36" i="140"/>
  <c r="BM36" i="140"/>
  <c r="BH36" i="140"/>
  <c r="BC36" i="140"/>
  <c r="AX36" i="140"/>
  <c r="AS36" i="140"/>
  <c r="AN36" i="140"/>
  <c r="AI36" i="140"/>
  <c r="AD36" i="140"/>
  <c r="Y36" i="140"/>
  <c r="T36" i="140"/>
  <c r="M36" i="140"/>
  <c r="CA36" i="140" s="1"/>
  <c r="CA35" i="140" s="1"/>
  <c r="L36" i="140"/>
  <c r="BZ36" i="140" s="1"/>
  <c r="I36" i="140"/>
  <c r="E36" i="140"/>
  <c r="BW35" i="140"/>
  <c r="BR35" i="140"/>
  <c r="BM35" i="140"/>
  <c r="BH35" i="140"/>
  <c r="BC35" i="140"/>
  <c r="AX35" i="140"/>
  <c r="AS35" i="140"/>
  <c r="AN35" i="140"/>
  <c r="AI35" i="140"/>
  <c r="AD35" i="140"/>
  <c r="Y35" i="140"/>
  <c r="T35" i="140"/>
  <c r="M35" i="140"/>
  <c r="L35" i="140"/>
  <c r="I35" i="140"/>
  <c r="E35" i="140"/>
  <c r="D35" i="140"/>
  <c r="C35" i="140"/>
  <c r="BW33" i="140"/>
  <c r="BR33" i="140"/>
  <c r="BM33" i="140"/>
  <c r="BH33" i="140"/>
  <c r="BC33" i="140"/>
  <c r="AX33" i="140"/>
  <c r="AS33" i="140"/>
  <c r="AN33" i="140"/>
  <c r="AI33" i="140"/>
  <c r="AD33" i="140"/>
  <c r="Y33" i="140"/>
  <c r="T33" i="140"/>
  <c r="M33" i="140"/>
  <c r="CA33" i="140" s="1"/>
  <c r="L33" i="140"/>
  <c r="BZ33" i="140" s="1"/>
  <c r="I33" i="140"/>
  <c r="E33" i="140"/>
  <c r="BW32" i="140"/>
  <c r="BR32" i="140"/>
  <c r="BM32" i="140"/>
  <c r="BH32" i="140"/>
  <c r="BC32" i="140"/>
  <c r="AX32" i="140"/>
  <c r="AS32" i="140"/>
  <c r="AN32" i="140"/>
  <c r="AI32" i="140"/>
  <c r="AD32" i="140"/>
  <c r="Y32" i="140"/>
  <c r="T32" i="140"/>
  <c r="M32" i="140"/>
  <c r="CA32" i="140" s="1"/>
  <c r="L32" i="140"/>
  <c r="BZ32" i="140" s="1"/>
  <c r="I32" i="140"/>
  <c r="E32" i="140"/>
  <c r="BZ31" i="140"/>
  <c r="BW31" i="140"/>
  <c r="BR31" i="140"/>
  <c r="BM31" i="140"/>
  <c r="BH31" i="140"/>
  <c r="BC31" i="140"/>
  <c r="AX31" i="140"/>
  <c r="AS31" i="140"/>
  <c r="AN31" i="140"/>
  <c r="AI31" i="140"/>
  <c r="AD31" i="140"/>
  <c r="Y31" i="140"/>
  <c r="T31" i="140"/>
  <c r="M31" i="140"/>
  <c r="CA31" i="140" s="1"/>
  <c r="L31" i="140"/>
  <c r="N31" i="140" s="1"/>
  <c r="I31" i="140"/>
  <c r="E31" i="140"/>
  <c r="BW30" i="140"/>
  <c r="BR30" i="140"/>
  <c r="BM30" i="140"/>
  <c r="BH30" i="140"/>
  <c r="BC30" i="140"/>
  <c r="AX30" i="140"/>
  <c r="AS30" i="140"/>
  <c r="AN30" i="140"/>
  <c r="AI30" i="140"/>
  <c r="AD30" i="140"/>
  <c r="Y30" i="140"/>
  <c r="T30" i="140"/>
  <c r="M30" i="140"/>
  <c r="CA30" i="140" s="1"/>
  <c r="L30" i="140"/>
  <c r="BZ30" i="140" s="1"/>
  <c r="I30" i="140"/>
  <c r="E30" i="140"/>
  <c r="BW29" i="140"/>
  <c r="BR29" i="140"/>
  <c r="BM29" i="140"/>
  <c r="BH29" i="140"/>
  <c r="BC29" i="140"/>
  <c r="AX29" i="140"/>
  <c r="AS29" i="140"/>
  <c r="AN29" i="140"/>
  <c r="AI29" i="140"/>
  <c r="AD29" i="140"/>
  <c r="Y29" i="140"/>
  <c r="T29" i="140"/>
  <c r="M29" i="140"/>
  <c r="CA29" i="140" s="1"/>
  <c r="L29" i="140"/>
  <c r="N29" i="140" s="1"/>
  <c r="G29" i="140"/>
  <c r="E29" i="140"/>
  <c r="BW28" i="140"/>
  <c r="BR28" i="140"/>
  <c r="BM28" i="140"/>
  <c r="BH28" i="140"/>
  <c r="BC28" i="140"/>
  <c r="AX28" i="140"/>
  <c r="AS28" i="140"/>
  <c r="AN28" i="140"/>
  <c r="AI28" i="140"/>
  <c r="AD28" i="140"/>
  <c r="Y28" i="140"/>
  <c r="T28" i="140"/>
  <c r="M28" i="140"/>
  <c r="CA28" i="140" s="1"/>
  <c r="L28" i="140"/>
  <c r="BZ28" i="140" s="1"/>
  <c r="I28" i="140"/>
  <c r="C28" i="140"/>
  <c r="E28" i="140" s="1"/>
  <c r="CA27" i="140"/>
  <c r="BW27" i="140"/>
  <c r="BR27" i="140"/>
  <c r="BM27" i="140"/>
  <c r="BH27" i="140"/>
  <c r="BC27" i="140"/>
  <c r="AX27" i="140"/>
  <c r="AS27" i="140"/>
  <c r="AN27" i="140"/>
  <c r="AI27" i="140"/>
  <c r="AB27" i="140"/>
  <c r="AD27" i="140" s="1"/>
  <c r="Y27" i="140"/>
  <c r="T27" i="140"/>
  <c r="M27" i="140"/>
  <c r="L27" i="140"/>
  <c r="I27" i="140"/>
  <c r="E27" i="140"/>
  <c r="CJ26" i="140"/>
  <c r="CH26" i="140"/>
  <c r="BW26" i="140"/>
  <c r="BR26" i="140"/>
  <c r="BM26" i="140"/>
  <c r="BH26" i="140"/>
  <c r="BC26" i="140"/>
  <c r="AX26" i="140"/>
  <c r="AS26" i="140"/>
  <c r="AN26" i="140"/>
  <c r="AG26" i="140"/>
  <c r="AI26" i="140" s="1"/>
  <c r="AI8" i="140" s="1"/>
  <c r="AI89" i="140" s="1"/>
  <c r="AJ22" i="140" s="1"/>
  <c r="AB26" i="140"/>
  <c r="AD26" i="140" s="1"/>
  <c r="Y26" i="140"/>
  <c r="R26" i="140"/>
  <c r="M26" i="140"/>
  <c r="CA26" i="140" s="1"/>
  <c r="G26" i="140"/>
  <c r="I26" i="140" s="1"/>
  <c r="E26" i="140"/>
  <c r="BW25" i="140"/>
  <c r="BR25" i="140"/>
  <c r="BM25" i="140"/>
  <c r="BH25" i="140"/>
  <c r="BC25" i="140"/>
  <c r="AX25" i="140"/>
  <c r="AS25" i="140"/>
  <c r="AN25" i="140"/>
  <c r="AI25" i="140"/>
  <c r="AD25" i="140"/>
  <c r="AB25" i="140"/>
  <c r="W25" i="140"/>
  <c r="Y25" i="140" s="1"/>
  <c r="T25" i="140"/>
  <c r="M25" i="140"/>
  <c r="CA25" i="140" s="1"/>
  <c r="G25" i="140"/>
  <c r="E25" i="140"/>
  <c r="BW24" i="140"/>
  <c r="BR24" i="140"/>
  <c r="BM24" i="140"/>
  <c r="BH24" i="140"/>
  <c r="BC24" i="140"/>
  <c r="AX24" i="140"/>
  <c r="AS24" i="140"/>
  <c r="AN24" i="140"/>
  <c r="AI24" i="140"/>
  <c r="AD24" i="140"/>
  <c r="T24" i="140"/>
  <c r="M24" i="140"/>
  <c r="CA24" i="140" s="1"/>
  <c r="L24" i="140"/>
  <c r="N24" i="140" s="1"/>
  <c r="G24" i="140"/>
  <c r="E24" i="140"/>
  <c r="BW23" i="140"/>
  <c r="BR23" i="140"/>
  <c r="BM23" i="140"/>
  <c r="BH23" i="140"/>
  <c r="BC23" i="140"/>
  <c r="AX23" i="140"/>
  <c r="AS23" i="140"/>
  <c r="AN23" i="140"/>
  <c r="AI23" i="140"/>
  <c r="AD23" i="140"/>
  <c r="Y23" i="140"/>
  <c r="T23" i="140"/>
  <c r="M23" i="140"/>
  <c r="CA23" i="140" s="1"/>
  <c r="L23" i="140"/>
  <c r="BZ23" i="140" s="1"/>
  <c r="I23" i="140"/>
  <c r="E23" i="140"/>
  <c r="BW22" i="140"/>
  <c r="BR22" i="140"/>
  <c r="BM22" i="140"/>
  <c r="BH22" i="140"/>
  <c r="BC22" i="140"/>
  <c r="AX22" i="140"/>
  <c r="AS22" i="140"/>
  <c r="AN22" i="140"/>
  <c r="AI22" i="140"/>
  <c r="AB22" i="140"/>
  <c r="AD22" i="140" s="1"/>
  <c r="W22" i="140"/>
  <c r="Y22" i="140" s="1"/>
  <c r="T22" i="140"/>
  <c r="M22" i="140"/>
  <c r="CA22" i="140" s="1"/>
  <c r="G22" i="140"/>
  <c r="I22" i="140" s="1"/>
  <c r="E22" i="140"/>
  <c r="BW21" i="140"/>
  <c r="BR21" i="140"/>
  <c r="BM21" i="140"/>
  <c r="BH21" i="140"/>
  <c r="BC21" i="140"/>
  <c r="AX21" i="140"/>
  <c r="AS21" i="140"/>
  <c r="AN21" i="140"/>
  <c r="AI21" i="140"/>
  <c r="AD21" i="140"/>
  <c r="Y21" i="140"/>
  <c r="R21" i="140"/>
  <c r="T21" i="140" s="1"/>
  <c r="M21" i="140"/>
  <c r="CA21" i="140" s="1"/>
  <c r="L21" i="140"/>
  <c r="G21" i="140"/>
  <c r="E21" i="140"/>
  <c r="CA20" i="140"/>
  <c r="BW20" i="140"/>
  <c r="BR20" i="140"/>
  <c r="BM20" i="140"/>
  <c r="BH20" i="140"/>
  <c r="BC20" i="140"/>
  <c r="AX20" i="140"/>
  <c r="AS20" i="140"/>
  <c r="AN20" i="140"/>
  <c r="AI20" i="140"/>
  <c r="AD20" i="140"/>
  <c r="Y20" i="140"/>
  <c r="R20" i="140"/>
  <c r="T20" i="140" s="1"/>
  <c r="M20" i="140"/>
  <c r="I20" i="140"/>
  <c r="E20" i="140"/>
  <c r="BW19" i="140"/>
  <c r="BR19" i="140"/>
  <c r="BM19" i="140"/>
  <c r="BH19" i="140"/>
  <c r="BC19" i="140"/>
  <c r="AX19" i="140"/>
  <c r="AS19" i="140"/>
  <c r="AN19" i="140"/>
  <c r="AG19" i="140"/>
  <c r="AI19" i="140" s="1"/>
  <c r="AB19" i="140"/>
  <c r="AD19" i="140" s="1"/>
  <c r="Y19" i="140"/>
  <c r="T19" i="140"/>
  <c r="M19" i="140"/>
  <c r="CA19" i="140" s="1"/>
  <c r="I19" i="140"/>
  <c r="E19" i="140"/>
  <c r="BW18" i="140"/>
  <c r="BR18" i="140"/>
  <c r="BM18" i="140"/>
  <c r="BH18" i="140"/>
  <c r="BC18" i="140"/>
  <c r="AX18" i="140"/>
  <c r="AS18" i="140"/>
  <c r="AN18" i="140"/>
  <c r="AI18" i="140"/>
  <c r="AB18" i="140"/>
  <c r="L18" i="140" s="1"/>
  <c r="N18" i="140" s="1"/>
  <c r="Y18" i="140"/>
  <c r="T18" i="140"/>
  <c r="M18" i="140"/>
  <c r="CA18" i="140" s="1"/>
  <c r="I18" i="140"/>
  <c r="E18" i="140"/>
  <c r="BZ17" i="140"/>
  <c r="BW17" i="140"/>
  <c r="BR17" i="140"/>
  <c r="BM17" i="140"/>
  <c r="BH17" i="140"/>
  <c r="BC17" i="140"/>
  <c r="AX17" i="140"/>
  <c r="AS17" i="140"/>
  <c r="AN17" i="140"/>
  <c r="AI17" i="140"/>
  <c r="AD17" i="140"/>
  <c r="Y17" i="140"/>
  <c r="T17" i="140"/>
  <c r="M17" i="140"/>
  <c r="CA17" i="140" s="1"/>
  <c r="L17" i="140"/>
  <c r="I17" i="140"/>
  <c r="E17" i="140"/>
  <c r="CK16" i="140"/>
  <c r="CI16" i="140"/>
  <c r="CI17" i="140" s="1"/>
  <c r="CI21" i="140" s="1"/>
  <c r="BW16" i="140"/>
  <c r="BR16" i="140"/>
  <c r="BM16" i="140"/>
  <c r="BH16" i="140"/>
  <c r="BC16" i="140"/>
  <c r="AX16" i="140"/>
  <c r="AS16" i="140"/>
  <c r="AN16" i="140"/>
  <c r="AI16" i="140"/>
  <c r="AD16" i="140"/>
  <c r="X16" i="140"/>
  <c r="Y16" i="140" s="1"/>
  <c r="Y8" i="140" s="1"/>
  <c r="T16" i="140"/>
  <c r="M16" i="140"/>
  <c r="CA16" i="140" s="1"/>
  <c r="L16" i="140"/>
  <c r="BZ16" i="140" s="1"/>
  <c r="I16" i="140"/>
  <c r="E16" i="140"/>
  <c r="BW15" i="140"/>
  <c r="BR15" i="140"/>
  <c r="BM15" i="140"/>
  <c r="BH15" i="140"/>
  <c r="BC15" i="140"/>
  <c r="AX15" i="140"/>
  <c r="AS15" i="140"/>
  <c r="AN15" i="140"/>
  <c r="AI15" i="140"/>
  <c r="AD15" i="140"/>
  <c r="Y15" i="140"/>
  <c r="T15" i="140"/>
  <c r="M15" i="140"/>
  <c r="CA15" i="140" s="1"/>
  <c r="L15" i="140"/>
  <c r="BZ15" i="140" s="1"/>
  <c r="I15" i="140"/>
  <c r="E15" i="140"/>
  <c r="CA14" i="140"/>
  <c r="BW14" i="140"/>
  <c r="BR14" i="140"/>
  <c r="BM14" i="140"/>
  <c r="BH14" i="140"/>
  <c r="BC14" i="140"/>
  <c r="AX14" i="140"/>
  <c r="AS14" i="140"/>
  <c r="AN14" i="140"/>
  <c r="AI14" i="140"/>
  <c r="AD14" i="140"/>
  <c r="Y14" i="140"/>
  <c r="T14" i="140"/>
  <c r="M14" i="140"/>
  <c r="L14" i="140"/>
  <c r="BZ14" i="140" s="1"/>
  <c r="I14" i="140"/>
  <c r="E14" i="140"/>
  <c r="BW13" i="140"/>
  <c r="BR13" i="140"/>
  <c r="BM13" i="140"/>
  <c r="BH13" i="140"/>
  <c r="BC13" i="140"/>
  <c r="AX13" i="140"/>
  <c r="AS13" i="140"/>
  <c r="AN13" i="140"/>
  <c r="AI13" i="140"/>
  <c r="AD13" i="140"/>
  <c r="Y13" i="140"/>
  <c r="T13" i="140"/>
  <c r="M13" i="140"/>
  <c r="CA13" i="140" s="1"/>
  <c r="L13" i="140"/>
  <c r="BZ13" i="140" s="1"/>
  <c r="CB13" i="140" s="1"/>
  <c r="I13" i="140"/>
  <c r="E13" i="140"/>
  <c r="BW12" i="140"/>
  <c r="BR12" i="140"/>
  <c r="BM12" i="140"/>
  <c r="BH12" i="140"/>
  <c r="BC12" i="140"/>
  <c r="AX12" i="140"/>
  <c r="AS12" i="140"/>
  <c r="AN12" i="140"/>
  <c r="AI12" i="140"/>
  <c r="AD12" i="140"/>
  <c r="Y12" i="140"/>
  <c r="S12" i="140"/>
  <c r="L12" i="140"/>
  <c r="I12" i="140"/>
  <c r="E12" i="140"/>
  <c r="BW11" i="140"/>
  <c r="BR11" i="140"/>
  <c r="BM11" i="140"/>
  <c r="BH11" i="140"/>
  <c r="BC11" i="140"/>
  <c r="AX11" i="140"/>
  <c r="AS11" i="140"/>
  <c r="AN11" i="140"/>
  <c r="AI11" i="140"/>
  <c r="AD11" i="140"/>
  <c r="Y11" i="140"/>
  <c r="T11" i="140"/>
  <c r="M11" i="140"/>
  <c r="CA11" i="140" s="1"/>
  <c r="L11" i="140"/>
  <c r="N11" i="140" s="1"/>
  <c r="I11" i="140"/>
  <c r="E11" i="140"/>
  <c r="BW10" i="140"/>
  <c r="BR10" i="140"/>
  <c r="BM10" i="140"/>
  <c r="BH10" i="140"/>
  <c r="BC10" i="140"/>
  <c r="AX10" i="140"/>
  <c r="AS10" i="140"/>
  <c r="AN10" i="140"/>
  <c r="AI10" i="140"/>
  <c r="AD10" i="140"/>
  <c r="Y10" i="140"/>
  <c r="T10" i="140"/>
  <c r="M10" i="140"/>
  <c r="CA10" i="140" s="1"/>
  <c r="L10" i="140"/>
  <c r="BZ10" i="140" s="1"/>
  <c r="I10" i="140"/>
  <c r="E10" i="140"/>
  <c r="BW9" i="140"/>
  <c r="BR9" i="140"/>
  <c r="BM9" i="140"/>
  <c r="BM8" i="140" s="1"/>
  <c r="BH9" i="140"/>
  <c r="BC9" i="140"/>
  <c r="BC8" i="140" s="1"/>
  <c r="BC89" i="140" s="1"/>
  <c r="AX9" i="140"/>
  <c r="AS9" i="140"/>
  <c r="AN9" i="140"/>
  <c r="AI9" i="140"/>
  <c r="AD9" i="140"/>
  <c r="Y9" i="140"/>
  <c r="T9" i="140"/>
  <c r="M9" i="140"/>
  <c r="CA9" i="140" s="1"/>
  <c r="L9" i="140"/>
  <c r="I9" i="140"/>
  <c r="E9" i="140"/>
  <c r="BV8" i="140"/>
  <c r="BU8" i="140"/>
  <c r="BR8" i="140"/>
  <c r="BQ8" i="140"/>
  <c r="BP8" i="140"/>
  <c r="BL8" i="140"/>
  <c r="BK8" i="140"/>
  <c r="BG8" i="140"/>
  <c r="BF8" i="140"/>
  <c r="BB8" i="140"/>
  <c r="BA8" i="140"/>
  <c r="AX8" i="140"/>
  <c r="AW8" i="140"/>
  <c r="AV8" i="140"/>
  <c r="AS8" i="140"/>
  <c r="AS89" i="140" s="1"/>
  <c r="AT23" i="140" s="1"/>
  <c r="AR8" i="140"/>
  <c r="AQ8" i="140"/>
  <c r="AN8" i="140"/>
  <c r="AN89" i="140" s="1"/>
  <c r="AM8" i="140"/>
  <c r="AL8" i="140"/>
  <c r="AH8" i="140"/>
  <c r="AG8" i="140"/>
  <c r="AC8" i="140"/>
  <c r="AB8" i="140"/>
  <c r="X8" i="140"/>
  <c r="W8" i="140"/>
  <c r="S8" i="140"/>
  <c r="R8" i="140"/>
  <c r="H8" i="140"/>
  <c r="G8" i="140"/>
  <c r="E8" i="140"/>
  <c r="E89" i="140" s="1"/>
  <c r="F14" i="140" s="1"/>
  <c r="D8" i="140"/>
  <c r="C8" i="140"/>
  <c r="BW7" i="140"/>
  <c r="BR7" i="140"/>
  <c r="BR5" i="140" s="1"/>
  <c r="BR38" i="140" s="1"/>
  <c r="BM7" i="140"/>
  <c r="BH7" i="140"/>
  <c r="BC7" i="140"/>
  <c r="AX7" i="140"/>
  <c r="AS7" i="140"/>
  <c r="AN7" i="140"/>
  <c r="AI7" i="140"/>
  <c r="AD7" i="140"/>
  <c r="Y7" i="140"/>
  <c r="T7" i="140"/>
  <c r="M7" i="140"/>
  <c r="CA7" i="140" s="1"/>
  <c r="L7" i="140"/>
  <c r="N7" i="140" s="1"/>
  <c r="I7" i="140"/>
  <c r="E7" i="140"/>
  <c r="BW6" i="140"/>
  <c r="BW5" i="140" s="1"/>
  <c r="BR6" i="140"/>
  <c r="BM6" i="140"/>
  <c r="BM5" i="140" s="1"/>
  <c r="BH6" i="140"/>
  <c r="BC6" i="140"/>
  <c r="BC5" i="140" s="1"/>
  <c r="AX6" i="140"/>
  <c r="AS6" i="140"/>
  <c r="AS5" i="140" s="1"/>
  <c r="AS38" i="140" s="1"/>
  <c r="AN6" i="140"/>
  <c r="AI6" i="140"/>
  <c r="AI5" i="140" s="1"/>
  <c r="AB6" i="140"/>
  <c r="AD6" i="140" s="1"/>
  <c r="W6" i="140"/>
  <c r="W5" i="140" s="1"/>
  <c r="W38" i="140" s="1"/>
  <c r="T6" i="140"/>
  <c r="M6" i="140"/>
  <c r="CA6" i="140" s="1"/>
  <c r="CA5" i="140" s="1"/>
  <c r="I6" i="140"/>
  <c r="E6" i="140"/>
  <c r="E5" i="140" s="1"/>
  <c r="E38" i="140" s="1"/>
  <c r="BV5" i="140"/>
  <c r="BV38" i="140" s="1"/>
  <c r="BU5" i="140"/>
  <c r="BU38" i="140" s="1"/>
  <c r="BQ5" i="140"/>
  <c r="BQ38" i="140" s="1"/>
  <c r="BP5" i="140"/>
  <c r="BP38" i="140" s="1"/>
  <c r="BL5" i="140"/>
  <c r="BL38" i="140" s="1"/>
  <c r="BK5" i="140"/>
  <c r="BK38" i="140" s="1"/>
  <c r="BH5" i="140"/>
  <c r="BG5" i="140"/>
  <c r="BG38" i="140" s="1"/>
  <c r="BF5" i="140"/>
  <c r="BF38" i="140" s="1"/>
  <c r="BB5" i="140"/>
  <c r="BB38" i="140" s="1"/>
  <c r="BA5" i="140"/>
  <c r="BA38" i="140" s="1"/>
  <c r="AX5" i="140"/>
  <c r="AX38" i="140" s="1"/>
  <c r="AW5" i="140"/>
  <c r="AW38" i="140" s="1"/>
  <c r="AV5" i="140"/>
  <c r="AV38" i="140" s="1"/>
  <c r="AR5" i="140"/>
  <c r="AR38" i="140" s="1"/>
  <c r="AQ5" i="140"/>
  <c r="AQ38" i="140" s="1"/>
  <c r="AN5" i="140"/>
  <c r="AN38" i="140" s="1"/>
  <c r="AM5" i="140"/>
  <c r="AM38" i="140" s="1"/>
  <c r="AL5" i="140"/>
  <c r="AL38" i="140" s="1"/>
  <c r="AH5" i="140"/>
  <c r="AH38" i="140" s="1"/>
  <c r="AG5" i="140"/>
  <c r="AG38" i="140" s="1"/>
  <c r="AC5" i="140"/>
  <c r="AC38" i="140" s="1"/>
  <c r="AB5" i="140"/>
  <c r="AB38" i="140" s="1"/>
  <c r="X5" i="140"/>
  <c r="X38" i="140" s="1"/>
  <c r="T5" i="140"/>
  <c r="S5" i="140"/>
  <c r="S38" i="140" s="1"/>
  <c r="R5" i="140"/>
  <c r="R38" i="140" s="1"/>
  <c r="I5" i="140"/>
  <c r="H5" i="140"/>
  <c r="H38" i="140" s="1"/>
  <c r="G5" i="140"/>
  <c r="G38" i="140" s="1"/>
  <c r="D5" i="140"/>
  <c r="D38" i="140" s="1"/>
  <c r="C5" i="140"/>
  <c r="M5" i="140" l="1"/>
  <c r="BM38" i="140"/>
  <c r="BZ7" i="140"/>
  <c r="CB7" i="140" s="1"/>
  <c r="BR89" i="140"/>
  <c r="F10" i="140"/>
  <c r="N10" i="140"/>
  <c r="AJ10" i="140"/>
  <c r="BW8" i="140"/>
  <c r="L20" i="140"/>
  <c r="BZ24" i="140"/>
  <c r="BW41" i="140"/>
  <c r="N56" i="140"/>
  <c r="BZ61" i="140"/>
  <c r="CB61" i="140" s="1"/>
  <c r="CE61" i="140" s="1"/>
  <c r="CA66" i="140"/>
  <c r="N70" i="140"/>
  <c r="AD5" i="140"/>
  <c r="N9" i="140"/>
  <c r="BS9" i="140"/>
  <c r="BH8" i="140"/>
  <c r="N13" i="140"/>
  <c r="CB15" i="140"/>
  <c r="BZ18" i="140"/>
  <c r="CB18" i="140" s="1"/>
  <c r="CG18" i="140" s="1"/>
  <c r="CB23" i="140"/>
  <c r="I24" i="140"/>
  <c r="L25" i="140"/>
  <c r="BZ25" i="140" s="1"/>
  <c r="CB25" i="140" s="1"/>
  <c r="BZ29" i="140"/>
  <c r="CB29" i="140" s="1"/>
  <c r="CB33" i="140"/>
  <c r="CG33" i="140" s="1"/>
  <c r="L41" i="140"/>
  <c r="Y41" i="140"/>
  <c r="Y89" i="140" s="1"/>
  <c r="N47" i="140"/>
  <c r="CA65" i="140"/>
  <c r="CB65" i="140" s="1"/>
  <c r="CB68" i="140"/>
  <c r="CG68" i="140" s="1"/>
  <c r="AD77" i="140"/>
  <c r="AI38" i="140"/>
  <c r="BC38" i="140"/>
  <c r="BD9" i="140"/>
  <c r="AT10" i="140"/>
  <c r="F11" i="140"/>
  <c r="CB42" i="140"/>
  <c r="N44" i="140"/>
  <c r="CB45" i="140"/>
  <c r="AO9" i="140"/>
  <c r="AT11" i="140"/>
  <c r="N17" i="140"/>
  <c r="AD18" i="140"/>
  <c r="AD8" i="140" s="1"/>
  <c r="AD89" i="140" s="1"/>
  <c r="AE11" i="140" s="1"/>
  <c r="L22" i="140"/>
  <c r="CB30" i="140"/>
  <c r="CB43" i="140"/>
  <c r="N46" i="140"/>
  <c r="BZ47" i="140"/>
  <c r="N52" i="140"/>
  <c r="N59" i="140"/>
  <c r="CE64" i="140"/>
  <c r="N64" i="140"/>
  <c r="CB66" i="140"/>
  <c r="BH77" i="140"/>
  <c r="CB85" i="140"/>
  <c r="CG7" i="140"/>
  <c r="CK5" i="140" s="1"/>
  <c r="CE7" i="140"/>
  <c r="E75" i="140"/>
  <c r="E39" i="140"/>
  <c r="BM75" i="140"/>
  <c r="BM39" i="140"/>
  <c r="AS75" i="140"/>
  <c r="AS39" i="140"/>
  <c r="BW38" i="140"/>
  <c r="W75" i="140"/>
  <c r="W39" i="140"/>
  <c r="BC75" i="140"/>
  <c r="BC39" i="140"/>
  <c r="BW89" i="140"/>
  <c r="BX8" i="140" s="1"/>
  <c r="AI75" i="140"/>
  <c r="AI39" i="140"/>
  <c r="CB10" i="140"/>
  <c r="CG10" i="140" s="1"/>
  <c r="CE13" i="140"/>
  <c r="CE15" i="140"/>
  <c r="AB75" i="140"/>
  <c r="AB39" i="140"/>
  <c r="BF75" i="140"/>
  <c r="BF39" i="140"/>
  <c r="AO74" i="140"/>
  <c r="AO70" i="140"/>
  <c r="AO66" i="140"/>
  <c r="AO73" i="140"/>
  <c r="AO71" i="140"/>
  <c r="AO68" i="140"/>
  <c r="AO56" i="140"/>
  <c r="AO61" i="140"/>
  <c r="AO55" i="140"/>
  <c r="AO47" i="140"/>
  <c r="AO51" i="140"/>
  <c r="AO48" i="140"/>
  <c r="AO46" i="140"/>
  <c r="AO60" i="140"/>
  <c r="AO62" i="140"/>
  <c r="AO57" i="140"/>
  <c r="AO36" i="140"/>
  <c r="AO35" i="140"/>
  <c r="AO32" i="140"/>
  <c r="AO28" i="140"/>
  <c r="AO44" i="140"/>
  <c r="AO24" i="140"/>
  <c r="AO14" i="140"/>
  <c r="AO25" i="140"/>
  <c r="AO18" i="140"/>
  <c r="AO17" i="140"/>
  <c r="AO16" i="140"/>
  <c r="BD70" i="140"/>
  <c r="BD66" i="140"/>
  <c r="BD71" i="140"/>
  <c r="BD68" i="140"/>
  <c r="BD56" i="140"/>
  <c r="BD61" i="140"/>
  <c r="BD55" i="140"/>
  <c r="BD47" i="140"/>
  <c r="BD51" i="140"/>
  <c r="BD48" i="140"/>
  <c r="BD46" i="140"/>
  <c r="BD63" i="140"/>
  <c r="BD60" i="140"/>
  <c r="BD57" i="140"/>
  <c r="BD36" i="140"/>
  <c r="BD35" i="140"/>
  <c r="BD32" i="140"/>
  <c r="BD28" i="140"/>
  <c r="BD44" i="140"/>
  <c r="BD14" i="140"/>
  <c r="BD24" i="140"/>
  <c r="BD25" i="140"/>
  <c r="BD26" i="140"/>
  <c r="BD18" i="140"/>
  <c r="BD17" i="140"/>
  <c r="BD16" i="140"/>
  <c r="BS67" i="140"/>
  <c r="BS70" i="140"/>
  <c r="BS66" i="140"/>
  <c r="BS71" i="140"/>
  <c r="BS68" i="140"/>
  <c r="BS56" i="140"/>
  <c r="BS61" i="140"/>
  <c r="BS55" i="140"/>
  <c r="BS47" i="140"/>
  <c r="BS44" i="140"/>
  <c r="BS51" i="140"/>
  <c r="BS48" i="140"/>
  <c r="BS46" i="140"/>
  <c r="BS60" i="140"/>
  <c r="BS63" i="140"/>
  <c r="BS57" i="140"/>
  <c r="BS41" i="140"/>
  <c r="BS36" i="140"/>
  <c r="BS35" i="140"/>
  <c r="BS32" i="140"/>
  <c r="BS28" i="140"/>
  <c r="BS14" i="140"/>
  <c r="BS24" i="140"/>
  <c r="BS25" i="140"/>
  <c r="BS18" i="140"/>
  <c r="BS17" i="140"/>
  <c r="BS16" i="140"/>
  <c r="BZ9" i="140"/>
  <c r="AO10" i="140"/>
  <c r="BD10" i="140"/>
  <c r="BS10" i="140"/>
  <c r="BZ11" i="140"/>
  <c r="CB11" i="140" s="1"/>
  <c r="M12" i="140"/>
  <c r="T12" i="140"/>
  <c r="AJ12" i="140"/>
  <c r="BD12" i="140"/>
  <c r="AJ13" i="140"/>
  <c r="AE15" i="140"/>
  <c r="CG15" i="140"/>
  <c r="AE16" i="140"/>
  <c r="AJ17" i="140"/>
  <c r="AJ18" i="140"/>
  <c r="AO19" i="140"/>
  <c r="AT20" i="140"/>
  <c r="AE26" i="140"/>
  <c r="G75" i="140"/>
  <c r="G39" i="140"/>
  <c r="AV75" i="140"/>
  <c r="AV39" i="140"/>
  <c r="BP75" i="140"/>
  <c r="BP39" i="140"/>
  <c r="H75" i="140"/>
  <c r="H39" i="140"/>
  <c r="S75" i="140"/>
  <c r="S39" i="140"/>
  <c r="AC75" i="140"/>
  <c r="AC39" i="140"/>
  <c r="AM75" i="140"/>
  <c r="AM39" i="140"/>
  <c r="AW75" i="140"/>
  <c r="AW39" i="140"/>
  <c r="BG75" i="140"/>
  <c r="BG39" i="140"/>
  <c r="BQ75" i="140"/>
  <c r="BQ39" i="140"/>
  <c r="Y6" i="140"/>
  <c r="Y5" i="140" s="1"/>
  <c r="Y38" i="140" s="1"/>
  <c r="AO8" i="140"/>
  <c r="BD8" i="140"/>
  <c r="BS8" i="140"/>
  <c r="AJ9" i="140"/>
  <c r="AJ11" i="140"/>
  <c r="AO12" i="140"/>
  <c r="AO13" i="140"/>
  <c r="BS13" i="140"/>
  <c r="AJ14" i="140"/>
  <c r="AJ15" i="140"/>
  <c r="AJ16" i="140"/>
  <c r="F19" i="140"/>
  <c r="AE20" i="140"/>
  <c r="BD21" i="140"/>
  <c r="CE23" i="140"/>
  <c r="AJ28" i="140"/>
  <c r="AJ29" i="140"/>
  <c r="CE30" i="140"/>
  <c r="AO30" i="140"/>
  <c r="BS30" i="140"/>
  <c r="AO31" i="140"/>
  <c r="BS31" i="140"/>
  <c r="R75" i="140"/>
  <c r="R39" i="140"/>
  <c r="AX39" i="140"/>
  <c r="L6" i="140"/>
  <c r="F82" i="140"/>
  <c r="F63" i="140"/>
  <c r="F70" i="140"/>
  <c r="F52" i="140"/>
  <c r="F54" i="140"/>
  <c r="F51" i="140"/>
  <c r="F46" i="140"/>
  <c r="F66" i="140"/>
  <c r="F64" i="140"/>
  <c r="F61" i="140"/>
  <c r="F59" i="140"/>
  <c r="F55" i="140"/>
  <c r="F33" i="140"/>
  <c r="F30" i="140"/>
  <c r="F27" i="140"/>
  <c r="F31" i="140"/>
  <c r="F29" i="140"/>
  <c r="F23" i="140"/>
  <c r="F22" i="140"/>
  <c r="AJ68" i="140"/>
  <c r="AJ79" i="140"/>
  <c r="AJ60" i="140"/>
  <c r="AJ45" i="140"/>
  <c r="AJ57" i="140"/>
  <c r="AJ54" i="140"/>
  <c r="AJ47" i="140"/>
  <c r="AJ63" i="140"/>
  <c r="AJ44" i="140"/>
  <c r="AJ42" i="140"/>
  <c r="AJ41" i="140"/>
  <c r="AJ33" i="140"/>
  <c r="AJ30" i="140"/>
  <c r="AJ27" i="140"/>
  <c r="AJ23" i="140"/>
  <c r="AJ24" i="140"/>
  <c r="AJ25" i="140"/>
  <c r="AJ21" i="140"/>
  <c r="BX10" i="140"/>
  <c r="CG11" i="140"/>
  <c r="AT13" i="140"/>
  <c r="BX13" i="140"/>
  <c r="AO15" i="140"/>
  <c r="BS15" i="140"/>
  <c r="F16" i="140"/>
  <c r="AT17" i="140"/>
  <c r="BX17" i="140"/>
  <c r="F18" i="140"/>
  <c r="AT18" i="140"/>
  <c r="BX18" i="140"/>
  <c r="AT19" i="140"/>
  <c r="F21" i="140"/>
  <c r="AE21" i="140"/>
  <c r="BS23" i="140"/>
  <c r="AT27" i="140"/>
  <c r="BH38" i="140"/>
  <c r="C38" i="140"/>
  <c r="AG75" i="140"/>
  <c r="AG39" i="140"/>
  <c r="AQ75" i="140"/>
  <c r="AQ39" i="140"/>
  <c r="BA75" i="140"/>
  <c r="BA39" i="140"/>
  <c r="BK75" i="140"/>
  <c r="BK39" i="140"/>
  <c r="BU75" i="140"/>
  <c r="BU39" i="140"/>
  <c r="F8" i="140"/>
  <c r="AJ8" i="140"/>
  <c r="AO11" i="140"/>
  <c r="BD11" i="140"/>
  <c r="BS11" i="140"/>
  <c r="F12" i="140"/>
  <c r="AT12" i="140"/>
  <c r="N15" i="140"/>
  <c r="AT15" i="140"/>
  <c r="BX15" i="140"/>
  <c r="AT16" i="140"/>
  <c r="BX16" i="140"/>
  <c r="CB17" i="140"/>
  <c r="AE19" i="140"/>
  <c r="F20" i="140"/>
  <c r="AJ20" i="140"/>
  <c r="BS20" i="140"/>
  <c r="BZ21" i="140"/>
  <c r="CB21" i="140" s="1"/>
  <c r="I21" i="140"/>
  <c r="AT22" i="140"/>
  <c r="BX22" i="140"/>
  <c r="AO26" i="140"/>
  <c r="BS26" i="140"/>
  <c r="AL75" i="140"/>
  <c r="AL39" i="140"/>
  <c r="AN75" i="140"/>
  <c r="AN39" i="140"/>
  <c r="D75" i="140"/>
  <c r="D39" i="140"/>
  <c r="AH75" i="140"/>
  <c r="AH39" i="140"/>
  <c r="BB75" i="140"/>
  <c r="BB39" i="140"/>
  <c r="BV75" i="140"/>
  <c r="BV39" i="140"/>
  <c r="AE79" i="140"/>
  <c r="AE63" i="140"/>
  <c r="AE77" i="140"/>
  <c r="AE78" i="140"/>
  <c r="AE74" i="140"/>
  <c r="AE70" i="140"/>
  <c r="AE66" i="140"/>
  <c r="AE52" i="140"/>
  <c r="AE50" i="140"/>
  <c r="AE51" i="140"/>
  <c r="AE46" i="140"/>
  <c r="AE61" i="140"/>
  <c r="AE59" i="140"/>
  <c r="AE55" i="140"/>
  <c r="AE47" i="140"/>
  <c r="AE33" i="140"/>
  <c r="AE30" i="140"/>
  <c r="AE31" i="140"/>
  <c r="AE29" i="140"/>
  <c r="AT63" i="140"/>
  <c r="AT78" i="140"/>
  <c r="AT77" i="140"/>
  <c r="AT74" i="140"/>
  <c r="AT70" i="140"/>
  <c r="AT66" i="140"/>
  <c r="AT52" i="140"/>
  <c r="AT50" i="140"/>
  <c r="AT51" i="140"/>
  <c r="AT48" i="140"/>
  <c r="AT46" i="140"/>
  <c r="AT61" i="140"/>
  <c r="AT59" i="140"/>
  <c r="AT55" i="140"/>
  <c r="AT47" i="140"/>
  <c r="AT33" i="140"/>
  <c r="AT30" i="140"/>
  <c r="AT26" i="140"/>
  <c r="AT41" i="140"/>
  <c r="AT31" i="140"/>
  <c r="AT29" i="140"/>
  <c r="AT43" i="140"/>
  <c r="AE12" i="140"/>
  <c r="F13" i="140"/>
  <c r="BD13" i="140"/>
  <c r="CB14" i="140"/>
  <c r="AT14" i="140"/>
  <c r="CG14" i="140"/>
  <c r="CB16" i="140"/>
  <c r="F17" i="140"/>
  <c r="CE18" i="140"/>
  <c r="BS19" i="140"/>
  <c r="BD20" i="140"/>
  <c r="BX20" i="140"/>
  <c r="N21" i="140"/>
  <c r="AO21" i="140"/>
  <c r="BS21" i="140"/>
  <c r="AE24" i="140"/>
  <c r="L26" i="140"/>
  <c r="N26" i="140" s="1"/>
  <c r="T26" i="140"/>
  <c r="BR75" i="140"/>
  <c r="BR39" i="140"/>
  <c r="X75" i="140"/>
  <c r="X39" i="140"/>
  <c r="AR75" i="140"/>
  <c r="AR39" i="140"/>
  <c r="BL75" i="140"/>
  <c r="BL39" i="140"/>
  <c r="AE8" i="140"/>
  <c r="AT8" i="140"/>
  <c r="F9" i="140"/>
  <c r="AE9" i="140"/>
  <c r="AT9" i="140"/>
  <c r="N12" i="140"/>
  <c r="BZ12" i="140"/>
  <c r="BS12" i="140"/>
  <c r="AE13" i="140"/>
  <c r="CG13" i="140"/>
  <c r="AE14" i="140"/>
  <c r="F15" i="140"/>
  <c r="BD15" i="140"/>
  <c r="AE17" i="140"/>
  <c r="AE18" i="140"/>
  <c r="AJ19" i="140"/>
  <c r="BD19" i="140"/>
  <c r="AO20" i="140"/>
  <c r="AT21" i="140"/>
  <c r="BX21" i="140"/>
  <c r="BZ22" i="140"/>
  <c r="CB22" i="140" s="1"/>
  <c r="N22" i="140"/>
  <c r="AE22" i="140"/>
  <c r="BD22" i="140"/>
  <c r="AE23" i="140"/>
  <c r="CB24" i="140"/>
  <c r="N14" i="140"/>
  <c r="N16" i="140"/>
  <c r="BS22" i="140"/>
  <c r="F24" i="140"/>
  <c r="AT24" i="140"/>
  <c r="AE25" i="140"/>
  <c r="AJ26" i="140"/>
  <c r="AO27" i="140"/>
  <c r="F28" i="140"/>
  <c r="AE28" i="140"/>
  <c r="CE29" i="140"/>
  <c r="AJ31" i="140"/>
  <c r="CB32" i="140"/>
  <c r="AT35" i="140"/>
  <c r="BX35" i="140"/>
  <c r="F41" i="140"/>
  <c r="AE41" i="140"/>
  <c r="CE42" i="140"/>
  <c r="AO41" i="140"/>
  <c r="CE43" i="140"/>
  <c r="AT32" i="140"/>
  <c r="BX32" i="140"/>
  <c r="BD33" i="140"/>
  <c r="F36" i="140"/>
  <c r="AE36" i="140"/>
  <c r="AT42" i="140"/>
  <c r="BX41" i="140"/>
  <c r="AT44" i="140"/>
  <c r="L19" i="140"/>
  <c r="AO22" i="140"/>
  <c r="N23" i="140"/>
  <c r="F26" i="140"/>
  <c r="BS27" i="140"/>
  <c r="CB28" i="140"/>
  <c r="AO29" i="140"/>
  <c r="BS29" i="140"/>
  <c r="AJ36" i="140"/>
  <c r="BD23" i="140"/>
  <c r="F25" i="140"/>
  <c r="BX25" i="140"/>
  <c r="AE27" i="140"/>
  <c r="BX27" i="140"/>
  <c r="AT28" i="140"/>
  <c r="BX28" i="140"/>
  <c r="CG30" i="140"/>
  <c r="CB31" i="140"/>
  <c r="F35" i="140"/>
  <c r="AE35" i="140"/>
  <c r="BZ35" i="140"/>
  <c r="CB36" i="140"/>
  <c r="BD41" i="140"/>
  <c r="F44" i="140"/>
  <c r="BX24" i="140"/>
  <c r="N27" i="140"/>
  <c r="BZ27" i="140"/>
  <c r="CB27" i="140" s="1"/>
  <c r="BD27" i="140"/>
  <c r="CG29" i="140"/>
  <c r="BD30" i="140"/>
  <c r="BD31" i="140"/>
  <c r="F32" i="140"/>
  <c r="AE32" i="140"/>
  <c r="CE33" i="140"/>
  <c r="AO33" i="140"/>
  <c r="BS33" i="140"/>
  <c r="AJ35" i="140"/>
  <c r="AT36" i="140"/>
  <c r="BX36" i="140"/>
  <c r="F42" i="140"/>
  <c r="AE42" i="140"/>
  <c r="F43" i="140"/>
  <c r="AE43" i="140"/>
  <c r="AE44" i="140"/>
  <c r="AO23" i="140"/>
  <c r="I25" i="140"/>
  <c r="N25" i="140"/>
  <c r="AT25" i="140"/>
  <c r="BD29" i="140"/>
  <c r="AJ32" i="140"/>
  <c r="BH41" i="140"/>
  <c r="BS43" i="140"/>
  <c r="CE45" i="140"/>
  <c r="AO45" i="140"/>
  <c r="BS45" i="140"/>
  <c r="AO52" i="140"/>
  <c r="BS52" i="140"/>
  <c r="F56" i="140"/>
  <c r="AT58" i="140"/>
  <c r="BX58" i="140"/>
  <c r="CE59" i="140"/>
  <c r="AT45" i="140"/>
  <c r="BX45" i="140"/>
  <c r="CE46" i="140"/>
  <c r="F48" i="140"/>
  <c r="AE48" i="140"/>
  <c r="F50" i="140"/>
  <c r="AJ51" i="140"/>
  <c r="AE56" i="140"/>
  <c r="CB57" i="140"/>
  <c r="BD59" i="140"/>
  <c r="F65" i="140"/>
  <c r="N28" i="140"/>
  <c r="I29" i="140"/>
  <c r="N32" i="140"/>
  <c r="N36" i="140"/>
  <c r="BZ41" i="140"/>
  <c r="BD43" i="140"/>
  <c r="BX43" i="140"/>
  <c r="CE44" i="140"/>
  <c r="F47" i="140"/>
  <c r="AJ48" i="140"/>
  <c r="AO50" i="140"/>
  <c r="BS50" i="140"/>
  <c r="CB51" i="140"/>
  <c r="AE54" i="140"/>
  <c r="AO54" i="140"/>
  <c r="BS54" i="140"/>
  <c r="AJ55" i="140"/>
  <c r="CB56" i="140"/>
  <c r="AJ56" i="140"/>
  <c r="AT57" i="140"/>
  <c r="BX57" i="140"/>
  <c r="BD58" i="140"/>
  <c r="F60" i="140"/>
  <c r="AE60" i="140"/>
  <c r="BD62" i="140"/>
  <c r="AE64" i="140"/>
  <c r="N30" i="140"/>
  <c r="N33" i="140"/>
  <c r="AO42" i="140"/>
  <c r="BD42" i="140"/>
  <c r="BS42" i="140"/>
  <c r="CG42" i="140"/>
  <c r="N43" i="140"/>
  <c r="AJ43" i="140"/>
  <c r="CG44" i="140"/>
  <c r="BD45" i="140"/>
  <c r="CB48" i="140"/>
  <c r="BD52" i="140"/>
  <c r="CA54" i="140"/>
  <c r="F58" i="140"/>
  <c r="AE58" i="140"/>
  <c r="AJ59" i="140"/>
  <c r="AJ61" i="140"/>
  <c r="AO63" i="140"/>
  <c r="N42" i="140"/>
  <c r="AO43" i="140"/>
  <c r="F45" i="140"/>
  <c r="AE45" i="140"/>
  <c r="AJ46" i="140"/>
  <c r="AT56" i="140"/>
  <c r="BX56" i="140"/>
  <c r="AJ58" i="140"/>
  <c r="AO59" i="140"/>
  <c r="BS59" i="140"/>
  <c r="CB60" i="140"/>
  <c r="AX41" i="140"/>
  <c r="AX89" i="140" s="1"/>
  <c r="AJ50" i="140"/>
  <c r="BD50" i="140"/>
  <c r="AJ52" i="140"/>
  <c r="AT54" i="140"/>
  <c r="BD54" i="140"/>
  <c r="CB55" i="140"/>
  <c r="F57" i="140"/>
  <c r="AE57" i="140"/>
  <c r="CB58" i="140"/>
  <c r="AO58" i="140"/>
  <c r="BS58" i="140"/>
  <c r="AT60" i="140"/>
  <c r="BX60" i="140"/>
  <c r="CE62" i="140"/>
  <c r="BS62" i="140"/>
  <c r="AT64" i="140"/>
  <c r="BX64" i="140"/>
  <c r="AO65" i="140"/>
  <c r="CA51" i="140"/>
  <c r="CA50" i="140" s="1"/>
  <c r="BZ52" i="140"/>
  <c r="CG61" i="140"/>
  <c r="AO64" i="140"/>
  <c r="AJ65" i="140"/>
  <c r="CE66" i="140"/>
  <c r="AT67" i="140"/>
  <c r="BX67" i="140"/>
  <c r="BD69" i="140"/>
  <c r="AO78" i="140"/>
  <c r="BS77" i="140"/>
  <c r="I47" i="140"/>
  <c r="N57" i="140"/>
  <c r="F62" i="140"/>
  <c r="AT62" i="140"/>
  <c r="CE67" i="140"/>
  <c r="F69" i="140"/>
  <c r="AE69" i="140"/>
  <c r="AJ70" i="140"/>
  <c r="F71" i="140"/>
  <c r="AE71" i="140"/>
  <c r="F73" i="140"/>
  <c r="BD73" i="140"/>
  <c r="N45" i="140"/>
  <c r="CA47" i="140"/>
  <c r="CA41" i="140" s="1"/>
  <c r="N48" i="140"/>
  <c r="N58" i="140"/>
  <c r="N60" i="140"/>
  <c r="BS64" i="140"/>
  <c r="BS65" i="140"/>
  <c r="F67" i="140"/>
  <c r="BD67" i="140"/>
  <c r="F68" i="140"/>
  <c r="AE68" i="140"/>
  <c r="AJ69" i="140"/>
  <c r="AJ71" i="140"/>
  <c r="N51" i="140"/>
  <c r="AE62" i="140"/>
  <c r="BX62" i="140"/>
  <c r="AT65" i="140"/>
  <c r="BX65" i="140"/>
  <c r="AJ66" i="140"/>
  <c r="AE67" i="140"/>
  <c r="AO69" i="140"/>
  <c r="BS69" i="140"/>
  <c r="CE71" i="140"/>
  <c r="BD78" i="140"/>
  <c r="AJ62" i="140"/>
  <c r="BZ63" i="140"/>
  <c r="CB63" i="140" s="1"/>
  <c r="N63" i="140"/>
  <c r="BD64" i="140"/>
  <c r="AJ67" i="140"/>
  <c r="CE68" i="140"/>
  <c r="AT69" i="140"/>
  <c r="BX69" i="140"/>
  <c r="CE70" i="140"/>
  <c r="AT71" i="140"/>
  <c r="AJ73" i="140"/>
  <c r="BS73" i="140"/>
  <c r="N62" i="140"/>
  <c r="AJ64" i="140"/>
  <c r="AE65" i="140"/>
  <c r="BD65" i="140"/>
  <c r="AO67" i="140"/>
  <c r="AT68" i="140"/>
  <c r="BX68" i="140"/>
  <c r="BZ69" i="140"/>
  <c r="CB69" i="140" s="1"/>
  <c r="N74" i="140"/>
  <c r="BM73" i="140"/>
  <c r="BM89" i="140" s="1"/>
  <c r="BS79" i="140"/>
  <c r="N68" i="140"/>
  <c r="BX73" i="140"/>
  <c r="BD77" i="140"/>
  <c r="F79" i="140"/>
  <c r="BD79" i="140"/>
  <c r="N71" i="140"/>
  <c r="BX71" i="140"/>
  <c r="AJ74" i="140"/>
  <c r="BS74" i="140"/>
  <c r="AJ78" i="140"/>
  <c r="BS78" i="140"/>
  <c r="AO79" i="140"/>
  <c r="BX79" i="140"/>
  <c r="N82" i="140"/>
  <c r="N85" i="140"/>
  <c r="BD74" i="140"/>
  <c r="M77" i="140"/>
  <c r="AN77" i="140"/>
  <c r="AO77" i="140" s="1"/>
  <c r="AX77" i="140"/>
  <c r="N78" i="140"/>
  <c r="L73" i="140"/>
  <c r="AT73" i="140"/>
  <c r="E77" i="140"/>
  <c r="AT79" i="140"/>
  <c r="F85" i="140"/>
  <c r="M73" i="140"/>
  <c r="AE73" i="140"/>
  <c r="BZ74" i="140"/>
  <c r="AI77" i="140"/>
  <c r="AJ77" i="140" s="1"/>
  <c r="N79" i="140"/>
  <c r="CE65" i="140" l="1"/>
  <c r="CG65" i="140"/>
  <c r="Z11" i="140"/>
  <c r="Z71" i="140"/>
  <c r="Z47" i="140"/>
  <c r="Z57" i="140"/>
  <c r="Z28" i="140"/>
  <c r="Z16" i="140"/>
  <c r="Z21" i="140"/>
  <c r="Z19" i="140"/>
  <c r="Z18" i="140"/>
  <c r="Z27" i="140"/>
  <c r="Z13" i="140"/>
  <c r="Z41" i="140"/>
  <c r="Z31" i="140"/>
  <c r="Z48" i="140"/>
  <c r="Z42" i="140"/>
  <c r="Z45" i="140"/>
  <c r="Z52" i="140"/>
  <c r="Z64" i="140"/>
  <c r="Z67" i="140"/>
  <c r="Z79" i="140"/>
  <c r="Z9" i="140"/>
  <c r="Z78" i="140"/>
  <c r="Z68" i="140"/>
  <c r="Z51" i="140"/>
  <c r="Z36" i="140"/>
  <c r="Z44" i="140"/>
  <c r="Z12" i="140"/>
  <c r="Z14" i="140"/>
  <c r="Z15" i="140"/>
  <c r="Z23" i="140"/>
  <c r="Z26" i="140"/>
  <c r="Z25" i="140"/>
  <c r="Z59" i="140"/>
  <c r="Z65" i="140"/>
  <c r="Z74" i="140"/>
  <c r="Z70" i="140"/>
  <c r="Z56" i="140"/>
  <c r="Z46" i="140"/>
  <c r="Z35" i="140"/>
  <c r="Z24" i="140"/>
  <c r="Z10" i="140"/>
  <c r="Z20" i="140"/>
  <c r="Z8" i="140"/>
  <c r="Z33" i="140"/>
  <c r="Z30" i="140"/>
  <c r="Z58" i="140"/>
  <c r="Z62" i="140"/>
  <c r="Z50" i="140"/>
  <c r="Z54" i="140"/>
  <c r="Z69" i="140"/>
  <c r="Z77" i="140"/>
  <c r="Z66" i="140"/>
  <c r="Z55" i="140"/>
  <c r="Z60" i="140"/>
  <c r="Z32" i="140"/>
  <c r="Z17" i="140"/>
  <c r="Z22" i="140"/>
  <c r="Z29" i="140"/>
  <c r="Z43" i="140"/>
  <c r="Z63" i="140"/>
  <c r="Z61" i="140"/>
  <c r="Z73" i="140"/>
  <c r="AE10" i="140"/>
  <c r="BZ20" i="140"/>
  <c r="CB20" i="140" s="1"/>
  <c r="N20" i="140"/>
  <c r="CB47" i="140"/>
  <c r="BZ26" i="140"/>
  <c r="CB26" i="140" s="1"/>
  <c r="AD38" i="140"/>
  <c r="AY68" i="140"/>
  <c r="AY69" i="140"/>
  <c r="AY79" i="140"/>
  <c r="AY63" i="140"/>
  <c r="AY60" i="140"/>
  <c r="AY45" i="140"/>
  <c r="AY57" i="140"/>
  <c r="AY54" i="140"/>
  <c r="AY47" i="140"/>
  <c r="AY44" i="140"/>
  <c r="AY23" i="140"/>
  <c r="AY42" i="140"/>
  <c r="AY33" i="140"/>
  <c r="AY30" i="140"/>
  <c r="AY27" i="140"/>
  <c r="AY24" i="140"/>
  <c r="AY22" i="140"/>
  <c r="AY21" i="140"/>
  <c r="AY12" i="140"/>
  <c r="AY19" i="140"/>
  <c r="AY20" i="140"/>
  <c r="AY11" i="140"/>
  <c r="AY9" i="140"/>
  <c r="AY25" i="140"/>
  <c r="AY14" i="140"/>
  <c r="AY15" i="140"/>
  <c r="AY32" i="140"/>
  <c r="AY29" i="140"/>
  <c r="AY58" i="140"/>
  <c r="AY52" i="140"/>
  <c r="AY51" i="140"/>
  <c r="AY71" i="140"/>
  <c r="AY78" i="140"/>
  <c r="AY13" i="140"/>
  <c r="AY18" i="140"/>
  <c r="AY16" i="140"/>
  <c r="AY48" i="140"/>
  <c r="AY55" i="140"/>
  <c r="AY62" i="140"/>
  <c r="AY10" i="140"/>
  <c r="AY36" i="140"/>
  <c r="AY50" i="140"/>
  <c r="AY67" i="140"/>
  <c r="AY65" i="140"/>
  <c r="AY73" i="140"/>
  <c r="AY74" i="140"/>
  <c r="AY35" i="140"/>
  <c r="AY31" i="140"/>
  <c r="AY61" i="140"/>
  <c r="AY46" i="140"/>
  <c r="AY8" i="140"/>
  <c r="AY17" i="140"/>
  <c r="AY28" i="140"/>
  <c r="AY59" i="140"/>
  <c r="AY56" i="140"/>
  <c r="AY70" i="140"/>
  <c r="AY26" i="140"/>
  <c r="AY43" i="140"/>
  <c r="AY66" i="140"/>
  <c r="AY64" i="140"/>
  <c r="BN79" i="140"/>
  <c r="BN68" i="140"/>
  <c r="BN69" i="140"/>
  <c r="BN60" i="140"/>
  <c r="BN45" i="140"/>
  <c r="BN63" i="140"/>
  <c r="BN57" i="140"/>
  <c r="BN54" i="140"/>
  <c r="BN47" i="140"/>
  <c r="BN44" i="140"/>
  <c r="BN23" i="140"/>
  <c r="BN42" i="140"/>
  <c r="BN33" i="140"/>
  <c r="BN30" i="140"/>
  <c r="BN25" i="140"/>
  <c r="BN21" i="140"/>
  <c r="BN14" i="140"/>
  <c r="BN12" i="140"/>
  <c r="BN19" i="140"/>
  <c r="BN27" i="140"/>
  <c r="BN20" i="140"/>
  <c r="BN11" i="140"/>
  <c r="BN9" i="140"/>
  <c r="BN24" i="140"/>
  <c r="BN16" i="140"/>
  <c r="BN26" i="140"/>
  <c r="BN32" i="140"/>
  <c r="BN61" i="140"/>
  <c r="BN58" i="140"/>
  <c r="BN62" i="140"/>
  <c r="BN65" i="140"/>
  <c r="BN71" i="140"/>
  <c r="BN18" i="140"/>
  <c r="BN28" i="140"/>
  <c r="BN78" i="140"/>
  <c r="BN10" i="140"/>
  <c r="BN22" i="140"/>
  <c r="BN52" i="140"/>
  <c r="BN77" i="140"/>
  <c r="BN74" i="140"/>
  <c r="BN13" i="140"/>
  <c r="BN29" i="140"/>
  <c r="BN36" i="140"/>
  <c r="BN35" i="140"/>
  <c r="BN41" i="140"/>
  <c r="BN56" i="140"/>
  <c r="BN46" i="140"/>
  <c r="BN66" i="140"/>
  <c r="BN15" i="140"/>
  <c r="BN31" i="140"/>
  <c r="BN59" i="140"/>
  <c r="BN43" i="140"/>
  <c r="BN64" i="140"/>
  <c r="BN70" i="140"/>
  <c r="BN67" i="140"/>
  <c r="BN17" i="140"/>
  <c r="BN8" i="140"/>
  <c r="BN51" i="140"/>
  <c r="BN48" i="140"/>
  <c r="BN55" i="140"/>
  <c r="BN50" i="140"/>
  <c r="CG48" i="140"/>
  <c r="CE48" i="140"/>
  <c r="I41" i="140"/>
  <c r="N19" i="140"/>
  <c r="BZ19" i="140"/>
  <c r="CB19" i="140" s="1"/>
  <c r="L8" i="140"/>
  <c r="CE32" i="140"/>
  <c r="CG24" i="140"/>
  <c r="CE24" i="140"/>
  <c r="BL81" i="140"/>
  <c r="BL83" i="140" s="1"/>
  <c r="BL84" i="140" s="1"/>
  <c r="BL86" i="140" s="1"/>
  <c r="BL87" i="140" s="1"/>
  <c r="BL76" i="140"/>
  <c r="BR81" i="140"/>
  <c r="BR83" i="140" s="1"/>
  <c r="BR84" i="140" s="1"/>
  <c r="BR86" i="140" s="1"/>
  <c r="BR87" i="140" s="1"/>
  <c r="BR76" i="140"/>
  <c r="AN81" i="140"/>
  <c r="AN83" i="140" s="1"/>
  <c r="AN84" i="140" s="1"/>
  <c r="AN86" i="140" s="1"/>
  <c r="AN87" i="140" s="1"/>
  <c r="AN76" i="140"/>
  <c r="CE17" i="140"/>
  <c r="CG17" i="140"/>
  <c r="T8" i="140"/>
  <c r="BW75" i="140"/>
  <c r="BW39" i="140"/>
  <c r="BN73" i="140"/>
  <c r="CE63" i="140"/>
  <c r="CE60" i="140"/>
  <c r="CE47" i="140"/>
  <c r="CE51" i="140"/>
  <c r="CE57" i="140"/>
  <c r="CG31" i="140"/>
  <c r="CE31" i="140"/>
  <c r="AH81" i="140"/>
  <c r="AH83" i="140" s="1"/>
  <c r="AH84" i="140" s="1"/>
  <c r="AH86" i="140" s="1"/>
  <c r="AH87" i="140" s="1"/>
  <c r="AH76" i="140"/>
  <c r="BK81" i="140"/>
  <c r="BK83" i="140" s="1"/>
  <c r="BK84" i="140" s="1"/>
  <c r="BK86" i="140" s="1"/>
  <c r="BK87" i="140" s="1"/>
  <c r="BK76" i="140"/>
  <c r="AG81" i="140"/>
  <c r="AG83" i="140" s="1"/>
  <c r="AG84" i="140" s="1"/>
  <c r="AG86" i="140" s="1"/>
  <c r="AG87" i="140" s="1"/>
  <c r="AG76" i="140"/>
  <c r="R81" i="140"/>
  <c r="R83" i="140" s="1"/>
  <c r="R84" i="140" s="1"/>
  <c r="R86" i="140" s="1"/>
  <c r="R87" i="140" s="1"/>
  <c r="R76" i="140"/>
  <c r="Y75" i="140"/>
  <c r="Y39" i="140"/>
  <c r="AW81" i="140"/>
  <c r="AW83" i="140" s="1"/>
  <c r="AW84" i="140" s="1"/>
  <c r="AW86" i="140" s="1"/>
  <c r="AW87" i="140" s="1"/>
  <c r="AW76" i="140"/>
  <c r="S81" i="140"/>
  <c r="S83" i="140" s="1"/>
  <c r="S84" i="140" s="1"/>
  <c r="S86" i="140" s="1"/>
  <c r="S87" i="140" s="1"/>
  <c r="S76" i="140"/>
  <c r="AV81" i="140"/>
  <c r="AV83" i="140" s="1"/>
  <c r="AV84" i="140" s="1"/>
  <c r="AV86" i="140" s="1"/>
  <c r="AV87" i="140" s="1"/>
  <c r="AV76" i="140"/>
  <c r="M8" i="140"/>
  <c r="M38" i="140" s="1"/>
  <c r="CA12" i="140"/>
  <c r="CA8" i="140" s="1"/>
  <c r="CA38" i="140" s="1"/>
  <c r="CB9" i="140"/>
  <c r="BZ8" i="140"/>
  <c r="BF81" i="140"/>
  <c r="BF83" i="140" s="1"/>
  <c r="BF84" i="140" s="1"/>
  <c r="BF86" i="140" s="1"/>
  <c r="BF87" i="140" s="1"/>
  <c r="BF76" i="140"/>
  <c r="BX78" i="140"/>
  <c r="BX74" i="140"/>
  <c r="BX63" i="140"/>
  <c r="BX77" i="140"/>
  <c r="BX70" i="140"/>
  <c r="BX66" i="140"/>
  <c r="BX52" i="140"/>
  <c r="BX50" i="140"/>
  <c r="BX51" i="140"/>
  <c r="BX48" i="140"/>
  <c r="BX46" i="140"/>
  <c r="BX61" i="140"/>
  <c r="BX59" i="140"/>
  <c r="BX55" i="140"/>
  <c r="BX54" i="140"/>
  <c r="BX47" i="140"/>
  <c r="BX42" i="140"/>
  <c r="BX33" i="140"/>
  <c r="BX30" i="140"/>
  <c r="BX26" i="140"/>
  <c r="BX44" i="140"/>
  <c r="BX31" i="140"/>
  <c r="BX29" i="140"/>
  <c r="BX23" i="140"/>
  <c r="BX11" i="140"/>
  <c r="BX9" i="140"/>
  <c r="BX14" i="140"/>
  <c r="BX12" i="140"/>
  <c r="BX19" i="140"/>
  <c r="E81" i="140"/>
  <c r="E83" i="140" s="1"/>
  <c r="E84" i="140" s="1"/>
  <c r="E86" i="140" s="1"/>
  <c r="E87" i="140" s="1"/>
  <c r="E76" i="140"/>
  <c r="CB79" i="140"/>
  <c r="CB52" i="140"/>
  <c r="BZ50" i="140"/>
  <c r="N35" i="140"/>
  <c r="CG36" i="140"/>
  <c r="CE36" i="140"/>
  <c r="CB35" i="140"/>
  <c r="AR81" i="140"/>
  <c r="AR83" i="140" s="1"/>
  <c r="AR84" i="140" s="1"/>
  <c r="AR86" i="140" s="1"/>
  <c r="AR87" i="140" s="1"/>
  <c r="AR76" i="140"/>
  <c r="AL81" i="140"/>
  <c r="AL83" i="140" s="1"/>
  <c r="AL84" i="140" s="1"/>
  <c r="AL86" i="140" s="1"/>
  <c r="AL87" i="140" s="1"/>
  <c r="AL76" i="140"/>
  <c r="C75" i="140"/>
  <c r="C39" i="140"/>
  <c r="CE11" i="140"/>
  <c r="AS76" i="140"/>
  <c r="AS81" i="140"/>
  <c r="AS83" i="140" s="1"/>
  <c r="AS84" i="140" s="1"/>
  <c r="AS86" i="140" s="1"/>
  <c r="AS87" i="140" s="1"/>
  <c r="BZ73" i="140"/>
  <c r="CB74" i="140"/>
  <c r="N73" i="140"/>
  <c r="CG63" i="140"/>
  <c r="CE58" i="140"/>
  <c r="CE55" i="140"/>
  <c r="CB54" i="140"/>
  <c r="AY41" i="140"/>
  <c r="N41" i="140"/>
  <c r="CG25" i="140"/>
  <c r="CK26" i="140" s="1"/>
  <c r="CE25" i="140"/>
  <c r="CG28" i="140"/>
  <c r="CE28" i="140"/>
  <c r="CE26" i="140"/>
  <c r="CG26" i="140"/>
  <c r="CE16" i="140"/>
  <c r="CG16" i="140"/>
  <c r="CE14" i="140"/>
  <c r="BV81" i="140"/>
  <c r="BV83" i="140" s="1"/>
  <c r="BV84" i="140" s="1"/>
  <c r="BV86" i="140" s="1"/>
  <c r="BV87" i="140" s="1"/>
  <c r="BV76" i="140"/>
  <c r="I8" i="140"/>
  <c r="BA81" i="140"/>
  <c r="BA83" i="140" s="1"/>
  <c r="BA84" i="140" s="1"/>
  <c r="BA86" i="140" s="1"/>
  <c r="BA87" i="140" s="1"/>
  <c r="BA76" i="140"/>
  <c r="BH75" i="140"/>
  <c r="BH39" i="140"/>
  <c r="N6" i="140"/>
  <c r="N5" i="140" s="1"/>
  <c r="L5" i="140"/>
  <c r="L38" i="140" s="1"/>
  <c r="BZ6" i="140"/>
  <c r="BQ81" i="140"/>
  <c r="BQ83" i="140" s="1"/>
  <c r="BQ84" i="140" s="1"/>
  <c r="BQ86" i="140" s="1"/>
  <c r="BQ87" i="140" s="1"/>
  <c r="BQ76" i="140"/>
  <c r="AM81" i="140"/>
  <c r="AM83" i="140" s="1"/>
  <c r="AM84" i="140" s="1"/>
  <c r="AM86" i="140" s="1"/>
  <c r="AM87" i="140" s="1"/>
  <c r="AM76" i="140"/>
  <c r="H81" i="140"/>
  <c r="H83" i="140" s="1"/>
  <c r="H84" i="140" s="1"/>
  <c r="H86" i="140" s="1"/>
  <c r="H87" i="140" s="1"/>
  <c r="H76" i="140"/>
  <c r="G81" i="140"/>
  <c r="G83" i="140" s="1"/>
  <c r="G84" i="140" s="1"/>
  <c r="G86" i="140" s="1"/>
  <c r="G87" i="140" s="1"/>
  <c r="G76" i="140"/>
  <c r="AB81" i="140"/>
  <c r="AB83" i="140" s="1"/>
  <c r="AB84" i="140" s="1"/>
  <c r="AB86" i="140" s="1"/>
  <c r="AB87" i="140" s="1"/>
  <c r="AB76" i="140"/>
  <c r="CE10" i="140"/>
  <c r="BC81" i="140"/>
  <c r="BC83" i="140" s="1"/>
  <c r="BC84" i="140" s="1"/>
  <c r="BC86" i="140" s="1"/>
  <c r="BC87" i="140" s="1"/>
  <c r="BC76" i="140"/>
  <c r="N77" i="140"/>
  <c r="CB78" i="140"/>
  <c r="CB77" i="140" s="1"/>
  <c r="CE69" i="140"/>
  <c r="N50" i="140"/>
  <c r="BZ54" i="140"/>
  <c r="CG58" i="140"/>
  <c r="CG60" i="140"/>
  <c r="CG47" i="140"/>
  <c r="CE27" i="140"/>
  <c r="CG27" i="140"/>
  <c r="CB12" i="140"/>
  <c r="X81" i="140"/>
  <c r="X83" i="140" s="1"/>
  <c r="X84" i="140" s="1"/>
  <c r="X86" i="140" s="1"/>
  <c r="X87" i="140" s="1"/>
  <c r="X76" i="140"/>
  <c r="D81" i="140"/>
  <c r="D83" i="140" s="1"/>
  <c r="D84" i="140" s="1"/>
  <c r="D86" i="140" s="1"/>
  <c r="D87" i="140" s="1"/>
  <c r="D76" i="140"/>
  <c r="CE21" i="140"/>
  <c r="BH89" i="140"/>
  <c r="BI41" i="140" s="1"/>
  <c r="AY77" i="140"/>
  <c r="N54" i="140"/>
  <c r="CE56" i="140"/>
  <c r="CB41" i="140"/>
  <c r="CE22" i="140"/>
  <c r="CG22" i="140"/>
  <c r="BB81" i="140"/>
  <c r="BB83" i="140" s="1"/>
  <c r="BB84" i="140" s="1"/>
  <c r="BB86" i="140" s="1"/>
  <c r="BB87" i="140" s="1"/>
  <c r="BB76" i="140"/>
  <c r="BU81" i="140"/>
  <c r="BU83" i="140" s="1"/>
  <c r="BU84" i="140" s="1"/>
  <c r="BU86" i="140" s="1"/>
  <c r="BU87" i="140" s="1"/>
  <c r="BU76" i="140"/>
  <c r="AQ81" i="140"/>
  <c r="AQ83" i="140" s="1"/>
  <c r="AQ84" i="140" s="1"/>
  <c r="AQ86" i="140" s="1"/>
  <c r="AQ87" i="140" s="1"/>
  <c r="AQ76" i="140"/>
  <c r="AX75" i="140"/>
  <c r="CG21" i="140"/>
  <c r="BG81" i="140"/>
  <c r="BG83" i="140" s="1"/>
  <c r="BG84" i="140" s="1"/>
  <c r="BG86" i="140" s="1"/>
  <c r="BG87" i="140" s="1"/>
  <c r="BG76" i="140"/>
  <c r="AC81" i="140"/>
  <c r="AC83" i="140" s="1"/>
  <c r="AC84" i="140" s="1"/>
  <c r="AC86" i="140" s="1"/>
  <c r="AC87" i="140" s="1"/>
  <c r="AC76" i="140"/>
  <c r="BP81" i="140"/>
  <c r="BP83" i="140" s="1"/>
  <c r="BP84" i="140" s="1"/>
  <c r="BP86" i="140" s="1"/>
  <c r="BP87" i="140" s="1"/>
  <c r="BP76" i="140"/>
  <c r="AI81" i="140"/>
  <c r="AI83" i="140" s="1"/>
  <c r="AI84" i="140" s="1"/>
  <c r="AI86" i="140" s="1"/>
  <c r="AI87" i="140" s="1"/>
  <c r="AI76" i="140"/>
  <c r="W81" i="140"/>
  <c r="W83" i="140" s="1"/>
  <c r="W84" i="140" s="1"/>
  <c r="W86" i="140" s="1"/>
  <c r="W87" i="140" s="1"/>
  <c r="W76" i="140"/>
  <c r="N8" i="140"/>
  <c r="BM81" i="140"/>
  <c r="BM83" i="140" s="1"/>
  <c r="BM84" i="140" s="1"/>
  <c r="BM86" i="140" s="1"/>
  <c r="BM87" i="140" s="1"/>
  <c r="BM76" i="140"/>
  <c r="AD75" i="140" l="1"/>
  <c r="AD39" i="140"/>
  <c r="CG20" i="140"/>
  <c r="CE20" i="140"/>
  <c r="CE74" i="140"/>
  <c r="CB73" i="140"/>
  <c r="CG74" i="140"/>
  <c r="BW76" i="140"/>
  <c r="BW81" i="140"/>
  <c r="BW83" i="140" s="1"/>
  <c r="BW84" i="140" s="1"/>
  <c r="BW86" i="140" s="1"/>
  <c r="BW87" i="140" s="1"/>
  <c r="CE19" i="140"/>
  <c r="CG19" i="140"/>
  <c r="BH76" i="140"/>
  <c r="BH81" i="140"/>
  <c r="BH83" i="140" s="1"/>
  <c r="BH84" i="140" s="1"/>
  <c r="BH86" i="140" s="1"/>
  <c r="BH87" i="140" s="1"/>
  <c r="Y81" i="140"/>
  <c r="Y83" i="140" s="1"/>
  <c r="Y84" i="140" s="1"/>
  <c r="Y86" i="140" s="1"/>
  <c r="Y87" i="140" s="1"/>
  <c r="Y76" i="140"/>
  <c r="O19" i="140"/>
  <c r="CE52" i="140"/>
  <c r="CG52" i="140"/>
  <c r="T89" i="140"/>
  <c r="U8" i="140" s="1"/>
  <c r="T38" i="140"/>
  <c r="N89" i="140"/>
  <c r="O77" i="140" s="1"/>
  <c r="AX81" i="140"/>
  <c r="AX83" i="140" s="1"/>
  <c r="AX84" i="140" s="1"/>
  <c r="AX86" i="140" s="1"/>
  <c r="AX87" i="140" s="1"/>
  <c r="AX76" i="140"/>
  <c r="BI78" i="140"/>
  <c r="BI74" i="140"/>
  <c r="BI63" i="140"/>
  <c r="BI70" i="140"/>
  <c r="BI66" i="140"/>
  <c r="BI52" i="140"/>
  <c r="BI50" i="140"/>
  <c r="BI51" i="140"/>
  <c r="BI48" i="140"/>
  <c r="BI46" i="140"/>
  <c r="BI64" i="140"/>
  <c r="BI61" i="140"/>
  <c r="BI59" i="140"/>
  <c r="BI55" i="140"/>
  <c r="BI54" i="140"/>
  <c r="BI47" i="140"/>
  <c r="BI42" i="140"/>
  <c r="BI43" i="140"/>
  <c r="BI33" i="140"/>
  <c r="BI30" i="140"/>
  <c r="BI26" i="140"/>
  <c r="BI31" i="140"/>
  <c r="BI29" i="140"/>
  <c r="BI22" i="140"/>
  <c r="BI11" i="140"/>
  <c r="BI9" i="140"/>
  <c r="BI14" i="140"/>
  <c r="BI12" i="140"/>
  <c r="BI19" i="140"/>
  <c r="BI15" i="140"/>
  <c r="BI23" i="140"/>
  <c r="BI10" i="140"/>
  <c r="BI28" i="140"/>
  <c r="BI36" i="140"/>
  <c r="BI27" i="140"/>
  <c r="BI45" i="140"/>
  <c r="BI77" i="140"/>
  <c r="BI67" i="140"/>
  <c r="BI17" i="140"/>
  <c r="BI35" i="140"/>
  <c r="BI58" i="140"/>
  <c r="BI57" i="140"/>
  <c r="BI69" i="140"/>
  <c r="BI71" i="140"/>
  <c r="BI68" i="140"/>
  <c r="BI62" i="140"/>
  <c r="BI73" i="140"/>
  <c r="BI8" i="140"/>
  <c r="BI32" i="140"/>
  <c r="BI24" i="140"/>
  <c r="BI65" i="140"/>
  <c r="BI16" i="140"/>
  <c r="BI21" i="140"/>
  <c r="BI18" i="140"/>
  <c r="BI20" i="140"/>
  <c r="BI56" i="140"/>
  <c r="BI25" i="140"/>
  <c r="BI60" i="140"/>
  <c r="BI79" i="140"/>
  <c r="BI13" i="140"/>
  <c r="BI44" i="140"/>
  <c r="CB6" i="140"/>
  <c r="BZ5" i="140"/>
  <c r="BZ38" i="140" s="1"/>
  <c r="CL16" i="140"/>
  <c r="CL17" i="140" s="1"/>
  <c r="CL21" i="140" s="1"/>
  <c r="CE9" i="140"/>
  <c r="CB8" i="140"/>
  <c r="CG9" i="140"/>
  <c r="CE12" i="140"/>
  <c r="CG12" i="140"/>
  <c r="L75" i="140"/>
  <c r="L39" i="140"/>
  <c r="I89" i="140"/>
  <c r="J8" i="140" s="1"/>
  <c r="I38" i="140"/>
  <c r="O73" i="140"/>
  <c r="CE79" i="140"/>
  <c r="CG79" i="140"/>
  <c r="CA75" i="140"/>
  <c r="CA39" i="140"/>
  <c r="O50" i="140"/>
  <c r="N38" i="140"/>
  <c r="C81" i="140"/>
  <c r="C83" i="140" s="1"/>
  <c r="C84" i="140" s="1"/>
  <c r="C86" i="140" s="1"/>
  <c r="C87" i="140" s="1"/>
  <c r="C76" i="140"/>
  <c r="O35" i="140"/>
  <c r="M75" i="140"/>
  <c r="M39" i="140"/>
  <c r="CB50" i="140"/>
  <c r="O8" i="140" l="1"/>
  <c r="O41" i="140"/>
  <c r="AD76" i="140"/>
  <c r="AD81" i="140"/>
  <c r="AD83" i="140" s="1"/>
  <c r="AD84" i="140" s="1"/>
  <c r="AD86" i="140" s="1"/>
  <c r="AD87" i="140" s="1"/>
  <c r="CB89" i="140"/>
  <c r="CC8" i="140"/>
  <c r="T75" i="140"/>
  <c r="T39" i="140"/>
  <c r="L81" i="140"/>
  <c r="L83" i="140" s="1"/>
  <c r="L84" i="140" s="1"/>
  <c r="L86" i="140" s="1"/>
  <c r="L87" i="140" s="1"/>
  <c r="L76" i="140"/>
  <c r="U73" i="140"/>
  <c r="U68" i="140"/>
  <c r="U79" i="140"/>
  <c r="U60" i="140"/>
  <c r="U48" i="140"/>
  <c r="U45" i="140"/>
  <c r="U57" i="140"/>
  <c r="U54" i="140"/>
  <c r="U47" i="140"/>
  <c r="U63" i="140"/>
  <c r="U44" i="140"/>
  <c r="U41" i="140"/>
  <c r="U42" i="140"/>
  <c r="U33" i="140"/>
  <c r="U30" i="140"/>
  <c r="U27" i="140"/>
  <c r="U23" i="140"/>
  <c r="U20" i="140"/>
  <c r="U16" i="140"/>
  <c r="U18" i="140"/>
  <c r="U14" i="140"/>
  <c r="U11" i="140"/>
  <c r="U9" i="140"/>
  <c r="U19" i="140"/>
  <c r="U13" i="140"/>
  <c r="U50" i="140"/>
  <c r="U55" i="140"/>
  <c r="U22" i="140"/>
  <c r="U24" i="140"/>
  <c r="U36" i="140"/>
  <c r="U67" i="140"/>
  <c r="U77" i="140"/>
  <c r="U35" i="140"/>
  <c r="U31" i="140"/>
  <c r="U61" i="140"/>
  <c r="U46" i="140"/>
  <c r="U74" i="140"/>
  <c r="U78" i="140"/>
  <c r="U64" i="140"/>
  <c r="U17" i="140"/>
  <c r="U25" i="140"/>
  <c r="U28" i="140"/>
  <c r="U59" i="140"/>
  <c r="U43" i="140"/>
  <c r="U56" i="140"/>
  <c r="U70" i="140"/>
  <c r="U66" i="140"/>
  <c r="U69" i="140"/>
  <c r="U10" i="140"/>
  <c r="U21" i="140"/>
  <c r="U15" i="140"/>
  <c r="U32" i="140"/>
  <c r="U29" i="140"/>
  <c r="U58" i="140"/>
  <c r="U52" i="140"/>
  <c r="U51" i="140"/>
  <c r="U62" i="140"/>
  <c r="U65" i="140"/>
  <c r="U71" i="140"/>
  <c r="U26" i="140"/>
  <c r="U12" i="140"/>
  <c r="I75" i="140"/>
  <c r="I39" i="140"/>
  <c r="M81" i="140"/>
  <c r="M83" i="140" s="1"/>
  <c r="M84" i="140" s="1"/>
  <c r="M86" i="140" s="1"/>
  <c r="M87" i="140" s="1"/>
  <c r="M76" i="140"/>
  <c r="CA81" i="140"/>
  <c r="CA83" i="140" s="1"/>
  <c r="CA84" i="140" s="1"/>
  <c r="CA86" i="140" s="1"/>
  <c r="CA87" i="140" s="1"/>
  <c r="CA76" i="140"/>
  <c r="BZ75" i="140"/>
  <c r="BZ39" i="140"/>
  <c r="O64" i="140"/>
  <c r="O61" i="140"/>
  <c r="O55" i="140"/>
  <c r="O31" i="140"/>
  <c r="O29" i="140"/>
  <c r="O18" i="140"/>
  <c r="O47" i="140"/>
  <c r="O10" i="140"/>
  <c r="O56" i="140"/>
  <c r="O59" i="140"/>
  <c r="O66" i="140"/>
  <c r="O69" i="140"/>
  <c r="O20" i="140"/>
  <c r="O67" i="140"/>
  <c r="O44" i="140"/>
  <c r="O52" i="140"/>
  <c r="O11" i="140"/>
  <c r="O13" i="140"/>
  <c r="O17" i="140"/>
  <c r="O70" i="140"/>
  <c r="O9" i="140"/>
  <c r="O24" i="140"/>
  <c r="O46" i="140"/>
  <c r="O65" i="140"/>
  <c r="O74" i="140"/>
  <c r="O78" i="140"/>
  <c r="O22" i="140"/>
  <c r="O57" i="140"/>
  <c r="O14" i="140"/>
  <c r="O63" i="140"/>
  <c r="O43" i="140"/>
  <c r="O45" i="140"/>
  <c r="O60" i="140"/>
  <c r="O33" i="140"/>
  <c r="O79" i="140"/>
  <c r="O71" i="140"/>
  <c r="O68" i="140"/>
  <c r="O28" i="140"/>
  <c r="O12" i="140"/>
  <c r="O30" i="140"/>
  <c r="O48" i="140"/>
  <c r="O42" i="140"/>
  <c r="O26" i="140"/>
  <c r="O58" i="140"/>
  <c r="O25" i="140"/>
  <c r="O21" i="140"/>
  <c r="O23" i="140"/>
  <c r="O62" i="140"/>
  <c r="O27" i="140"/>
  <c r="O36" i="140"/>
  <c r="O15" i="140"/>
  <c r="O32" i="140"/>
  <c r="O51" i="140"/>
  <c r="O16" i="140"/>
  <c r="O54" i="140"/>
  <c r="N75" i="140"/>
  <c r="N39" i="140"/>
  <c r="CB90" i="140"/>
  <c r="J78" i="140"/>
  <c r="J68" i="140"/>
  <c r="J79" i="140"/>
  <c r="J60" i="140"/>
  <c r="J48" i="140"/>
  <c r="J45" i="140"/>
  <c r="J57" i="140"/>
  <c r="J63" i="140"/>
  <c r="J44" i="140"/>
  <c r="J42" i="140"/>
  <c r="J33" i="140"/>
  <c r="J30" i="140"/>
  <c r="J23" i="140"/>
  <c r="J20" i="140"/>
  <c r="J18" i="140"/>
  <c r="J16" i="140"/>
  <c r="J19" i="140"/>
  <c r="J14" i="140"/>
  <c r="J11" i="140"/>
  <c r="J9" i="140"/>
  <c r="J10" i="140"/>
  <c r="J43" i="140"/>
  <c r="J55" i="140"/>
  <c r="J52" i="140"/>
  <c r="J62" i="140"/>
  <c r="J36" i="140"/>
  <c r="J35" i="140"/>
  <c r="J56" i="140"/>
  <c r="J46" i="140"/>
  <c r="J66" i="140"/>
  <c r="J65" i="140"/>
  <c r="J74" i="140"/>
  <c r="J24" i="140"/>
  <c r="J27" i="140"/>
  <c r="J59" i="140"/>
  <c r="J70" i="140"/>
  <c r="J64" i="140"/>
  <c r="J69" i="140"/>
  <c r="J73" i="140"/>
  <c r="J12" i="140"/>
  <c r="J13" i="140"/>
  <c r="J31" i="140"/>
  <c r="J51" i="140"/>
  <c r="J54" i="140"/>
  <c r="J15" i="140"/>
  <c r="J32" i="140"/>
  <c r="J50" i="140"/>
  <c r="J58" i="140"/>
  <c r="J71" i="140"/>
  <c r="J67" i="140"/>
  <c r="J77" i="140"/>
  <c r="J28" i="140"/>
  <c r="J26" i="140"/>
  <c r="J22" i="140"/>
  <c r="J17" i="140"/>
  <c r="J61" i="140"/>
  <c r="J21" i="140"/>
  <c r="J25" i="140"/>
  <c r="J29" i="140"/>
  <c r="J47" i="140"/>
  <c r="CE6" i="140"/>
  <c r="CB5" i="140"/>
  <c r="CG6" i="140"/>
  <c r="CG83" i="140" s="1"/>
  <c r="J41" i="140"/>
  <c r="N76" i="140" l="1"/>
  <c r="N81" i="140"/>
  <c r="N83" i="140" s="1"/>
  <c r="N84" i="140" s="1"/>
  <c r="N86" i="140" s="1"/>
  <c r="N87" i="140" s="1"/>
  <c r="T81" i="140"/>
  <c r="T83" i="140" s="1"/>
  <c r="T84" i="140" s="1"/>
  <c r="T86" i="140" s="1"/>
  <c r="T87" i="140" s="1"/>
  <c r="T76" i="140"/>
  <c r="BZ81" i="140"/>
  <c r="BZ83" i="140" s="1"/>
  <c r="BZ84" i="140" s="1"/>
  <c r="BZ86" i="140" s="1"/>
  <c r="BZ87" i="140" s="1"/>
  <c r="BZ76" i="140"/>
  <c r="I81" i="140"/>
  <c r="I83" i="140" s="1"/>
  <c r="I84" i="140" s="1"/>
  <c r="I86" i="140" s="1"/>
  <c r="I87" i="140" s="1"/>
  <c r="I76" i="140"/>
  <c r="CB38" i="140"/>
  <c r="CG5" i="140"/>
  <c r="CC72" i="140"/>
  <c r="CC49" i="140"/>
  <c r="CC15" i="140"/>
  <c r="CC59" i="140"/>
  <c r="CC71" i="140"/>
  <c r="CC68" i="140"/>
  <c r="CC70" i="140"/>
  <c r="CC29" i="140"/>
  <c r="CC65" i="140"/>
  <c r="CC62" i="140"/>
  <c r="CC66" i="140"/>
  <c r="CC18" i="140"/>
  <c r="CC43" i="140"/>
  <c r="CC44" i="140"/>
  <c r="CC61" i="140"/>
  <c r="CC67" i="140"/>
  <c r="CC20" i="140"/>
  <c r="CC23" i="140"/>
  <c r="CC13" i="140"/>
  <c r="CC33" i="140"/>
  <c r="CC45" i="140"/>
  <c r="CC64" i="140"/>
  <c r="CC30" i="140"/>
  <c r="CC42" i="140"/>
  <c r="CC46" i="140"/>
  <c r="CC48" i="140"/>
  <c r="CC17" i="140"/>
  <c r="CC60" i="140"/>
  <c r="CC55" i="140"/>
  <c r="CC25" i="140"/>
  <c r="CC21" i="140"/>
  <c r="CC56" i="140"/>
  <c r="CC22" i="140"/>
  <c r="CC32" i="140"/>
  <c r="CC47" i="140"/>
  <c r="CC57" i="140"/>
  <c r="CC26" i="140"/>
  <c r="CC14" i="140"/>
  <c r="CC10" i="140"/>
  <c r="CC27" i="140"/>
  <c r="CC63" i="140"/>
  <c r="CC11" i="140"/>
  <c r="CC24" i="140"/>
  <c r="CC36" i="140"/>
  <c r="CC35" i="140" s="1"/>
  <c r="CC58" i="140"/>
  <c r="CC69" i="140"/>
  <c r="CC51" i="140"/>
  <c r="CC31" i="140"/>
  <c r="CC28" i="140"/>
  <c r="CC16" i="140"/>
  <c r="CC41" i="140"/>
  <c r="CC52" i="140"/>
  <c r="CC12" i="140"/>
  <c r="CC54" i="140"/>
  <c r="CC19" i="140"/>
  <c r="CC9" i="140"/>
  <c r="CC74" i="140"/>
  <c r="CB75" i="140" l="1"/>
  <c r="CB39" i="140"/>
  <c r="CB81" i="140" l="1"/>
  <c r="CB83" i="140" s="1"/>
  <c r="CB84" i="140" s="1"/>
  <c r="CB86" i="140" s="1"/>
  <c r="CB76" i="140"/>
  <c r="CB87" i="140" l="1"/>
  <c r="CE86" i="140"/>
  <c r="CG89" i="140"/>
  <c r="CD92" i="140"/>
  <c r="CB93" i="140"/>
  <c r="CB99" i="140" s="1"/>
  <c r="CG90" i="140" l="1"/>
  <c r="G39" i="101" l="1"/>
  <c r="CQ74" i="169" l="1"/>
  <c r="C108" i="101" l="1"/>
  <c r="C85" i="101"/>
  <c r="AE63" i="101" l="1"/>
  <c r="AE58" i="101"/>
  <c r="AE55" i="101"/>
  <c r="AE46" i="101"/>
  <c r="AE45" i="101" l="1"/>
  <c r="CQ85" i="162" l="1"/>
  <c r="CP85" i="162"/>
  <c r="CL85" i="162"/>
  <c r="CK85" i="162"/>
  <c r="CJ85" i="162"/>
  <c r="CG85" i="162"/>
  <c r="CB85" i="162"/>
  <c r="BW85" i="162"/>
  <c r="BR85" i="162"/>
  <c r="BM85" i="162"/>
  <c r="BH85" i="162"/>
  <c r="BC85" i="162"/>
  <c r="AX85" i="162"/>
  <c r="AS85" i="162"/>
  <c r="AN85" i="162"/>
  <c r="AI85" i="162"/>
  <c r="AD85" i="162"/>
  <c r="X85" i="162"/>
  <c r="W85" i="162"/>
  <c r="Y85" i="162" s="1"/>
  <c r="S85" i="162"/>
  <c r="R85" i="162"/>
  <c r="T85" i="162" s="1"/>
  <c r="O85" i="162"/>
  <c r="J85" i="162"/>
  <c r="E85" i="162"/>
  <c r="CP82" i="162"/>
  <c r="CQ82" i="162" s="1"/>
  <c r="CL82" i="162"/>
  <c r="CG82" i="162"/>
  <c r="CB82" i="162"/>
  <c r="BW82" i="162"/>
  <c r="BR82" i="162"/>
  <c r="BM82" i="162"/>
  <c r="BH82" i="162"/>
  <c r="BC82" i="162"/>
  <c r="AX82" i="162"/>
  <c r="AS82" i="162"/>
  <c r="AN82" i="162"/>
  <c r="AI82" i="162"/>
  <c r="AD82" i="162"/>
  <c r="X82" i="162"/>
  <c r="Y82" i="162" s="1"/>
  <c r="W82" i="162"/>
  <c r="S82" i="162"/>
  <c r="R82" i="162"/>
  <c r="O82" i="162"/>
  <c r="J82" i="162"/>
  <c r="E82" i="162"/>
  <c r="CK80" i="162"/>
  <c r="CJ80" i="162"/>
  <c r="CP79" i="162"/>
  <c r="CG79" i="162"/>
  <c r="CB79" i="162"/>
  <c r="BW79" i="162"/>
  <c r="BR79" i="162"/>
  <c r="BM79" i="162"/>
  <c r="BM77" i="162" s="1"/>
  <c r="BH79" i="162"/>
  <c r="BC79" i="162"/>
  <c r="X79" i="162"/>
  <c r="S79" i="162"/>
  <c r="R79" i="162"/>
  <c r="O79" i="162"/>
  <c r="J79" i="162"/>
  <c r="E79" i="162"/>
  <c r="E77" i="162" s="1"/>
  <c r="CP78" i="162"/>
  <c r="CQ78" i="162" s="1"/>
  <c r="CG78" i="162"/>
  <c r="CB78" i="162"/>
  <c r="BW78" i="162"/>
  <c r="BW77" i="162" s="1"/>
  <c r="BR78" i="162"/>
  <c r="BR77" i="162" s="1"/>
  <c r="BM78" i="162"/>
  <c r="BH78" i="162"/>
  <c r="BH77" i="162" s="1"/>
  <c r="BC78" i="162"/>
  <c r="BC77" i="162" s="1"/>
  <c r="AX78" i="162"/>
  <c r="AS78" i="162"/>
  <c r="AN78" i="162"/>
  <c r="AI78" i="162"/>
  <c r="AD78" i="162"/>
  <c r="X78" i="162"/>
  <c r="CK78" i="162" s="1"/>
  <c r="W78" i="162"/>
  <c r="Y78" i="162" s="1"/>
  <c r="S78" i="162"/>
  <c r="R78" i="162"/>
  <c r="R77" i="162" s="1"/>
  <c r="O78" i="162"/>
  <c r="O77" i="162" s="1"/>
  <c r="J78" i="162"/>
  <c r="J77" i="162" s="1"/>
  <c r="E78" i="162"/>
  <c r="CP77" i="162"/>
  <c r="CF77" i="162"/>
  <c r="CE77" i="162"/>
  <c r="CA77" i="162"/>
  <c r="BZ77" i="162"/>
  <c r="BV77" i="162"/>
  <c r="BU77" i="162"/>
  <c r="BQ77" i="162"/>
  <c r="BP77" i="162"/>
  <c r="BL77" i="162"/>
  <c r="BK77" i="162"/>
  <c r="BG77" i="162"/>
  <c r="BF77" i="162"/>
  <c r="BB77" i="162"/>
  <c r="BA77" i="162"/>
  <c r="AW77" i="162"/>
  <c r="AR77" i="162"/>
  <c r="AM77" i="162"/>
  <c r="AH77" i="162"/>
  <c r="AC77" i="162"/>
  <c r="N77" i="162"/>
  <c r="M77" i="162"/>
  <c r="I77" i="162"/>
  <c r="H77" i="162"/>
  <c r="D77" i="162"/>
  <c r="C77" i="162"/>
  <c r="CP74" i="162"/>
  <c r="CK74" i="162"/>
  <c r="CJ74" i="162"/>
  <c r="CL74" i="162" s="1"/>
  <c r="CL73" i="162" s="1"/>
  <c r="CG74" i="162"/>
  <c r="CB74" i="162"/>
  <c r="BW74" i="162"/>
  <c r="BR74" i="162"/>
  <c r="BR73" i="162" s="1"/>
  <c r="BM74" i="162"/>
  <c r="BH74" i="162"/>
  <c r="BC74" i="162"/>
  <c r="AX74" i="162"/>
  <c r="AX73" i="162" s="1"/>
  <c r="AS74" i="162"/>
  <c r="AN74" i="162"/>
  <c r="AI74" i="162"/>
  <c r="AD74" i="162"/>
  <c r="AD73" i="162" s="1"/>
  <c r="X74" i="162"/>
  <c r="X73" i="162" s="1"/>
  <c r="W74" i="162"/>
  <c r="O74" i="162"/>
  <c r="O73" i="162" s="1"/>
  <c r="J74" i="162"/>
  <c r="E74" i="162"/>
  <c r="E73" i="162" s="1"/>
  <c r="CK73" i="162"/>
  <c r="CJ73" i="162"/>
  <c r="CG73" i="162"/>
  <c r="CF73" i="162"/>
  <c r="CE73" i="162"/>
  <c r="CB73" i="162"/>
  <c r="CA73" i="162"/>
  <c r="BZ73" i="162"/>
  <c r="BW73" i="162"/>
  <c r="BV73" i="162"/>
  <c r="BU73" i="162"/>
  <c r="BQ73" i="162"/>
  <c r="BP73" i="162"/>
  <c r="BM73" i="162"/>
  <c r="BL73" i="162"/>
  <c r="BK73" i="162"/>
  <c r="BH73" i="162"/>
  <c r="BG73" i="162"/>
  <c r="BF73" i="162"/>
  <c r="BC73" i="162"/>
  <c r="BB73" i="162"/>
  <c r="BA73" i="162"/>
  <c r="AW73" i="162"/>
  <c r="AV73" i="162"/>
  <c r="AS73" i="162"/>
  <c r="AR73" i="162"/>
  <c r="AQ73" i="162"/>
  <c r="AN73" i="162"/>
  <c r="AM73" i="162"/>
  <c r="AL73" i="162"/>
  <c r="AI73" i="162"/>
  <c r="AH73" i="162"/>
  <c r="AG73" i="162"/>
  <c r="CP77" i="157" s="1"/>
  <c r="AC73" i="162"/>
  <c r="AB73" i="162"/>
  <c r="Y73" i="162"/>
  <c r="W73" i="162"/>
  <c r="T73" i="162"/>
  <c r="S73" i="162"/>
  <c r="R73" i="162"/>
  <c r="N73" i="162"/>
  <c r="M73" i="162"/>
  <c r="J73" i="162"/>
  <c r="I73" i="162"/>
  <c r="H73" i="162"/>
  <c r="D73" i="162"/>
  <c r="C73" i="162"/>
  <c r="CP71" i="162"/>
  <c r="CQ71" i="162" s="1"/>
  <c r="CG71" i="162"/>
  <c r="CB71" i="162"/>
  <c r="BW71" i="162"/>
  <c r="BR71" i="162"/>
  <c r="BM71" i="162"/>
  <c r="BH71" i="162"/>
  <c r="BC71" i="162"/>
  <c r="AX71" i="162"/>
  <c r="AS71" i="162"/>
  <c r="AN71" i="162"/>
  <c r="AI71" i="162"/>
  <c r="AD71" i="162"/>
  <c r="X71" i="162"/>
  <c r="CK71" i="162" s="1"/>
  <c r="W71" i="162"/>
  <c r="S71" i="162"/>
  <c r="R71" i="162"/>
  <c r="O71" i="162"/>
  <c r="J71" i="162"/>
  <c r="E71" i="162"/>
  <c r="CP70" i="162"/>
  <c r="CQ70" i="162" s="1"/>
  <c r="CG70" i="162"/>
  <c r="CB70" i="162"/>
  <c r="BW70" i="162"/>
  <c r="BR70" i="162"/>
  <c r="BM70" i="162"/>
  <c r="BH70" i="162"/>
  <c r="BC70" i="162"/>
  <c r="AX70" i="162"/>
  <c r="AS70" i="162"/>
  <c r="AN70" i="162"/>
  <c r="AI70" i="162"/>
  <c r="AD70" i="162"/>
  <c r="X70" i="162"/>
  <c r="CK70" i="162" s="1"/>
  <c r="W70" i="162"/>
  <c r="S70" i="162"/>
  <c r="R70" i="162"/>
  <c r="O70" i="162"/>
  <c r="J70" i="162"/>
  <c r="E70" i="162"/>
  <c r="CP69" i="162"/>
  <c r="CQ69" i="162" s="1"/>
  <c r="CG69" i="162"/>
  <c r="CB69" i="162"/>
  <c r="BW69" i="162"/>
  <c r="BR69" i="162"/>
  <c r="BM69" i="162"/>
  <c r="BH69" i="162"/>
  <c r="BC69" i="162"/>
  <c r="AX69" i="162"/>
  <c r="AS69" i="162"/>
  <c r="AN69" i="162"/>
  <c r="AI69" i="162"/>
  <c r="AD69" i="162"/>
  <c r="X69" i="162"/>
  <c r="CK69" i="162" s="1"/>
  <c r="W69" i="162"/>
  <c r="S69" i="162"/>
  <c r="R69" i="162"/>
  <c r="O69" i="162"/>
  <c r="J69" i="162"/>
  <c r="E69" i="162"/>
  <c r="CP68" i="162"/>
  <c r="CQ68" i="162" s="1"/>
  <c r="CG68" i="162"/>
  <c r="CB68" i="162"/>
  <c r="BW68" i="162"/>
  <c r="BR68" i="162"/>
  <c r="BM68" i="162"/>
  <c r="BH68" i="162"/>
  <c r="BC68" i="162"/>
  <c r="AX68" i="162"/>
  <c r="AS68" i="162"/>
  <c r="AN68" i="162"/>
  <c r="AI68" i="162"/>
  <c r="AD68" i="162"/>
  <c r="X68" i="162"/>
  <c r="CK68" i="162" s="1"/>
  <c r="W68" i="162"/>
  <c r="S68" i="162"/>
  <c r="R68" i="162"/>
  <c r="O68" i="162"/>
  <c r="J68" i="162"/>
  <c r="E68" i="162"/>
  <c r="CP67" i="162"/>
  <c r="CQ67" i="162" s="1"/>
  <c r="CG67" i="162"/>
  <c r="CB67" i="162"/>
  <c r="BW67" i="162"/>
  <c r="BR67" i="162"/>
  <c r="BM67" i="162"/>
  <c r="BH67" i="162"/>
  <c r="BC67" i="162"/>
  <c r="AX67" i="162"/>
  <c r="AS67" i="162"/>
  <c r="AN67" i="162"/>
  <c r="AI67" i="162"/>
  <c r="AD67" i="162"/>
  <c r="X67" i="162"/>
  <c r="CK67" i="162" s="1"/>
  <c r="W67" i="162"/>
  <c r="S67" i="162"/>
  <c r="R67" i="162"/>
  <c r="O67" i="162"/>
  <c r="J67" i="162"/>
  <c r="E67" i="162"/>
  <c r="CP66" i="162"/>
  <c r="CQ66" i="162" s="1"/>
  <c r="CG66" i="162"/>
  <c r="CB66" i="162"/>
  <c r="BW66" i="162"/>
  <c r="BR66" i="162"/>
  <c r="BM66" i="162"/>
  <c r="BH66" i="162"/>
  <c r="BC66" i="162"/>
  <c r="AX66" i="162"/>
  <c r="AS66" i="162"/>
  <c r="AN66" i="162"/>
  <c r="AI66" i="162"/>
  <c r="AD66" i="162"/>
  <c r="X66" i="162"/>
  <c r="CK66" i="162" s="1"/>
  <c r="W66" i="162"/>
  <c r="S66" i="162"/>
  <c r="R66" i="162"/>
  <c r="O66" i="162"/>
  <c r="J66" i="162"/>
  <c r="E66" i="162"/>
  <c r="CP65" i="162"/>
  <c r="CQ65" i="162" s="1"/>
  <c r="CK65" i="162"/>
  <c r="CG65" i="162"/>
  <c r="CB65" i="162"/>
  <c r="BW65" i="162"/>
  <c r="BR65" i="162"/>
  <c r="BM65" i="162"/>
  <c r="BH65" i="162"/>
  <c r="BC65" i="162"/>
  <c r="AX65" i="162"/>
  <c r="AS65" i="162"/>
  <c r="AN65" i="162"/>
  <c r="AI65" i="162"/>
  <c r="AD65" i="162"/>
  <c r="X65" i="162"/>
  <c r="W65" i="162"/>
  <c r="S65" i="162"/>
  <c r="R65" i="162"/>
  <c r="O65" i="162"/>
  <c r="J65" i="162"/>
  <c r="E65" i="162"/>
  <c r="CP64" i="162"/>
  <c r="CQ64" i="162" s="1"/>
  <c r="CG64" i="162"/>
  <c r="CB64" i="162"/>
  <c r="BW64" i="162"/>
  <c r="BR64" i="162"/>
  <c r="BM64" i="162"/>
  <c r="BH64" i="162"/>
  <c r="BC64" i="162"/>
  <c r="AX64" i="162"/>
  <c r="AS64" i="162"/>
  <c r="AN64" i="162"/>
  <c r="AI64" i="162"/>
  <c r="AD64" i="162"/>
  <c r="X64" i="162"/>
  <c r="CK64" i="162" s="1"/>
  <c r="W64" i="162"/>
  <c r="S64" i="162"/>
  <c r="R64" i="162"/>
  <c r="O64" i="162"/>
  <c r="J64" i="162"/>
  <c r="E64" i="162"/>
  <c r="CP63" i="162"/>
  <c r="CQ63" i="162" s="1"/>
  <c r="CG63" i="162"/>
  <c r="CB63" i="162"/>
  <c r="BW63" i="162"/>
  <c r="BR63" i="162"/>
  <c r="BM63" i="162"/>
  <c r="BH63" i="162"/>
  <c r="BC63" i="162"/>
  <c r="AX63" i="162"/>
  <c r="AS63" i="162"/>
  <c r="AN63" i="162"/>
  <c r="AI63" i="162"/>
  <c r="AD63" i="162"/>
  <c r="X63" i="162"/>
  <c r="CK63" i="162" s="1"/>
  <c r="W63" i="162"/>
  <c r="S63" i="162"/>
  <c r="R63" i="162"/>
  <c r="O63" i="162"/>
  <c r="J63" i="162"/>
  <c r="E63" i="162"/>
  <c r="CP62" i="162"/>
  <c r="CQ62" i="162" s="1"/>
  <c r="CG62" i="162"/>
  <c r="CB62" i="162"/>
  <c r="BW62" i="162"/>
  <c r="BR62" i="162"/>
  <c r="BM62" i="162"/>
  <c r="BH62" i="162"/>
  <c r="BC62" i="162"/>
  <c r="AX62" i="162"/>
  <c r="AS62" i="162"/>
  <c r="AN62" i="162"/>
  <c r="AI62" i="162"/>
  <c r="AD62" i="162"/>
  <c r="X62" i="162"/>
  <c r="CK62" i="162" s="1"/>
  <c r="W62" i="162"/>
  <c r="S62" i="162"/>
  <c r="R62" i="162"/>
  <c r="O62" i="162"/>
  <c r="J62" i="162"/>
  <c r="E62" i="162"/>
  <c r="CP61" i="162"/>
  <c r="CQ61" i="162" s="1"/>
  <c r="CG61" i="162"/>
  <c r="CB61" i="162"/>
  <c r="BW61" i="162"/>
  <c r="BR61" i="162"/>
  <c r="BM61" i="162"/>
  <c r="BH61" i="162"/>
  <c r="BC61" i="162"/>
  <c r="AX61" i="162"/>
  <c r="AS61" i="162"/>
  <c r="AN61" i="162"/>
  <c r="AI61" i="162"/>
  <c r="AD61" i="162"/>
  <c r="X61" i="162"/>
  <c r="CK61" i="162" s="1"/>
  <c r="W61" i="162"/>
  <c r="S61" i="162"/>
  <c r="R61" i="162"/>
  <c r="O61" i="162"/>
  <c r="J61" i="162"/>
  <c r="E61" i="162"/>
  <c r="CP60" i="162"/>
  <c r="CQ60" i="162" s="1"/>
  <c r="CG60" i="162"/>
  <c r="CB60" i="162"/>
  <c r="BW60" i="162"/>
  <c r="BR60" i="162"/>
  <c r="BM60" i="162"/>
  <c r="BH60" i="162"/>
  <c r="BC60" i="162"/>
  <c r="AX60" i="162"/>
  <c r="AS60" i="162"/>
  <c r="AN60" i="162"/>
  <c r="AI60" i="162"/>
  <c r="AD60" i="162"/>
  <c r="X60" i="162"/>
  <c r="CK60" i="162" s="1"/>
  <c r="W60" i="162"/>
  <c r="S60" i="162"/>
  <c r="R60" i="162"/>
  <c r="O60" i="162"/>
  <c r="J60" i="162"/>
  <c r="E60" i="162"/>
  <c r="CP59" i="162"/>
  <c r="CQ59" i="162" s="1"/>
  <c r="CG59" i="162"/>
  <c r="CB59" i="162"/>
  <c r="BW59" i="162"/>
  <c r="BR59" i="162"/>
  <c r="BM59" i="162"/>
  <c r="BH59" i="162"/>
  <c r="BC59" i="162"/>
  <c r="AX59" i="162"/>
  <c r="AS59" i="162"/>
  <c r="AN59" i="162"/>
  <c r="AI59" i="162"/>
  <c r="AD59" i="162"/>
  <c r="X59" i="162"/>
  <c r="CK59" i="162" s="1"/>
  <c r="W59" i="162"/>
  <c r="S59" i="162"/>
  <c r="R59" i="162"/>
  <c r="O59" i="162"/>
  <c r="J59" i="162"/>
  <c r="E59" i="162"/>
  <c r="CP58" i="162"/>
  <c r="CQ58" i="162" s="1"/>
  <c r="CG58" i="162"/>
  <c r="CB58" i="162"/>
  <c r="BW58" i="162"/>
  <c r="BR58" i="162"/>
  <c r="BM58" i="162"/>
  <c r="BH58" i="162"/>
  <c r="BC58" i="162"/>
  <c r="AX58" i="162"/>
  <c r="AS58" i="162"/>
  <c r="AN58" i="162"/>
  <c r="AI58" i="162"/>
  <c r="AD58" i="162"/>
  <c r="X58" i="162"/>
  <c r="CK58" i="162" s="1"/>
  <c r="W58" i="162"/>
  <c r="S58" i="162"/>
  <c r="R58" i="162"/>
  <c r="O58" i="162"/>
  <c r="J58" i="162"/>
  <c r="E58" i="162"/>
  <c r="CP57" i="162"/>
  <c r="CQ57" i="162" s="1"/>
  <c r="CG57" i="162"/>
  <c r="CB57" i="162"/>
  <c r="BW57" i="162"/>
  <c r="BR57" i="162"/>
  <c r="BM57" i="162"/>
  <c r="BH57" i="162"/>
  <c r="BC57" i="162"/>
  <c r="AX57" i="162"/>
  <c r="AS57" i="162"/>
  <c r="AN57" i="162"/>
  <c r="AI57" i="162"/>
  <c r="AD57" i="162"/>
  <c r="X57" i="162"/>
  <c r="CK57" i="162" s="1"/>
  <c r="W57" i="162"/>
  <c r="S57" i="162"/>
  <c r="R57" i="162"/>
  <c r="O57" i="162"/>
  <c r="J57" i="162"/>
  <c r="E57" i="162"/>
  <c r="CP56" i="162"/>
  <c r="CQ56" i="162" s="1"/>
  <c r="CG56" i="162"/>
  <c r="CB56" i="162"/>
  <c r="BW56" i="162"/>
  <c r="BR56" i="162"/>
  <c r="BM56" i="162"/>
  <c r="BH56" i="162"/>
  <c r="BC56" i="162"/>
  <c r="AX56" i="162"/>
  <c r="AS56" i="162"/>
  <c r="AN56" i="162"/>
  <c r="AI56" i="162"/>
  <c r="AD56" i="162"/>
  <c r="X56" i="162"/>
  <c r="CK56" i="162" s="1"/>
  <c r="W56" i="162"/>
  <c r="S56" i="162"/>
  <c r="R56" i="162"/>
  <c r="O56" i="162"/>
  <c r="J56" i="162"/>
  <c r="E56" i="162"/>
  <c r="CP55" i="162"/>
  <c r="CQ55" i="162" s="1"/>
  <c r="CG55" i="162"/>
  <c r="CB55" i="162"/>
  <c r="CB54" i="162" s="1"/>
  <c r="BW55" i="162"/>
  <c r="BR55" i="162"/>
  <c r="BM55" i="162"/>
  <c r="BM54" i="162" s="1"/>
  <c r="BH55" i="162"/>
  <c r="BC55" i="162"/>
  <c r="AX55" i="162"/>
  <c r="AS55" i="162"/>
  <c r="AN55" i="162"/>
  <c r="AI55" i="162"/>
  <c r="AD55" i="162"/>
  <c r="X55" i="162"/>
  <c r="W55" i="162"/>
  <c r="S55" i="162"/>
  <c r="R55" i="162"/>
  <c r="O55" i="162"/>
  <c r="J55" i="162"/>
  <c r="E55" i="162"/>
  <c r="CF54" i="162"/>
  <c r="CE54" i="162"/>
  <c r="CA54" i="162"/>
  <c r="BZ54" i="162"/>
  <c r="BW54" i="162"/>
  <c r="BV54" i="162"/>
  <c r="BU54" i="162"/>
  <c r="BQ54" i="162"/>
  <c r="BP54" i="162"/>
  <c r="BL54" i="162"/>
  <c r="BK54" i="162"/>
  <c r="BG54" i="162"/>
  <c r="BF54" i="162"/>
  <c r="BB54" i="162"/>
  <c r="BA54" i="162"/>
  <c r="AX54" i="162"/>
  <c r="AW54" i="162"/>
  <c r="AV54" i="162"/>
  <c r="AS54" i="162"/>
  <c r="AR54" i="162"/>
  <c r="AQ54" i="162"/>
  <c r="AM54" i="162"/>
  <c r="AL54" i="162"/>
  <c r="AI54" i="162"/>
  <c r="AH54" i="162"/>
  <c r="AG54" i="162"/>
  <c r="AD54" i="162"/>
  <c r="AC54" i="162"/>
  <c r="AB54" i="162"/>
  <c r="N54" i="162"/>
  <c r="M54" i="162"/>
  <c r="J54" i="162"/>
  <c r="I54" i="162"/>
  <c r="H54" i="162"/>
  <c r="E54" i="162"/>
  <c r="D54" i="162"/>
  <c r="C54" i="162"/>
  <c r="CK53" i="162"/>
  <c r="CJ53" i="162"/>
  <c r="CP52" i="162"/>
  <c r="CQ52" i="162" s="1"/>
  <c r="CG52" i="162"/>
  <c r="CB52" i="162"/>
  <c r="BW52" i="162"/>
  <c r="BR52" i="162"/>
  <c r="BR50" i="162" s="1"/>
  <c r="BM52" i="162"/>
  <c r="BH52" i="162"/>
  <c r="BC52" i="162"/>
  <c r="AX52" i="162"/>
  <c r="AS52" i="162"/>
  <c r="AN52" i="162"/>
  <c r="AI52" i="162"/>
  <c r="AD52" i="162"/>
  <c r="AD50" i="162" s="1"/>
  <c r="X52" i="162"/>
  <c r="CK52" i="162" s="1"/>
  <c r="CK50" i="162" s="1"/>
  <c r="W52" i="162"/>
  <c r="CJ52" i="162" s="1"/>
  <c r="S52" i="162"/>
  <c r="S50" i="162" s="1"/>
  <c r="R52" i="162"/>
  <c r="O52" i="162"/>
  <c r="J52" i="162"/>
  <c r="E52" i="162"/>
  <c r="CP51" i="162"/>
  <c r="CQ51" i="162" s="1"/>
  <c r="CG51" i="162"/>
  <c r="CB51" i="162"/>
  <c r="BW51" i="162"/>
  <c r="BR51" i="162"/>
  <c r="BM51" i="162"/>
  <c r="BH51" i="162"/>
  <c r="BC51" i="162"/>
  <c r="BC50" i="162" s="1"/>
  <c r="AX51" i="162"/>
  <c r="AS51" i="162"/>
  <c r="AN51" i="162"/>
  <c r="AN50" i="162" s="1"/>
  <c r="AI51" i="162"/>
  <c r="AD51" i="162"/>
  <c r="X51" i="162"/>
  <c r="CK51" i="162" s="1"/>
  <c r="W51" i="162"/>
  <c r="Y51" i="162" s="1"/>
  <c r="T51" i="162"/>
  <c r="S51" i="162"/>
  <c r="R51" i="162"/>
  <c r="O51" i="162"/>
  <c r="O50" i="162" s="1"/>
  <c r="J51" i="162"/>
  <c r="E51" i="162"/>
  <c r="CG50" i="162"/>
  <c r="CF50" i="162"/>
  <c r="CE50" i="162"/>
  <c r="CA50" i="162"/>
  <c r="BZ50" i="162"/>
  <c r="BW50" i="162"/>
  <c r="BV50" i="162"/>
  <c r="BU50" i="162"/>
  <c r="BQ50" i="162"/>
  <c r="BP50" i="162"/>
  <c r="BL50" i="162"/>
  <c r="BK50" i="162"/>
  <c r="BG50" i="162"/>
  <c r="BF50" i="162"/>
  <c r="BB50" i="162"/>
  <c r="BA50" i="162"/>
  <c r="AW50" i="162"/>
  <c r="AV50" i="162"/>
  <c r="AR50" i="162"/>
  <c r="AQ50" i="162"/>
  <c r="AM50" i="162"/>
  <c r="AL50" i="162"/>
  <c r="AH50" i="162"/>
  <c r="AG50" i="162"/>
  <c r="AC50" i="162"/>
  <c r="AB50" i="162"/>
  <c r="X50" i="162"/>
  <c r="N50" i="162"/>
  <c r="M50" i="162"/>
  <c r="I50" i="162"/>
  <c r="H50" i="162"/>
  <c r="D50" i="162"/>
  <c r="C50" i="162"/>
  <c r="CP48" i="162"/>
  <c r="CQ48" i="162" s="1"/>
  <c r="CG48" i="162"/>
  <c r="CB48" i="162"/>
  <c r="BW48" i="162"/>
  <c r="BR48" i="162"/>
  <c r="BM48" i="162"/>
  <c r="BH48" i="162"/>
  <c r="BC48" i="162"/>
  <c r="AX48" i="162"/>
  <c r="AS48" i="162"/>
  <c r="AN48" i="162"/>
  <c r="AI48" i="162"/>
  <c r="AD48" i="162"/>
  <c r="X48" i="162"/>
  <c r="CK48" i="162" s="1"/>
  <c r="W48" i="162"/>
  <c r="CJ48" i="162" s="1"/>
  <c r="CL48" i="162" s="1"/>
  <c r="S48" i="162"/>
  <c r="T48" i="162" s="1"/>
  <c r="R48" i="162"/>
  <c r="O48" i="162"/>
  <c r="J48" i="162"/>
  <c r="E48" i="162"/>
  <c r="CP47" i="162"/>
  <c r="CQ47" i="162" s="1"/>
  <c r="CK47" i="162"/>
  <c r="CG47" i="162"/>
  <c r="CB47" i="162"/>
  <c r="BW47" i="162"/>
  <c r="BR47" i="162"/>
  <c r="BM47" i="162"/>
  <c r="BH47" i="162"/>
  <c r="BC47" i="162"/>
  <c r="AX47" i="162"/>
  <c r="AS47" i="162"/>
  <c r="AN47" i="162"/>
  <c r="AI47" i="162"/>
  <c r="AD47" i="162"/>
  <c r="X47" i="162"/>
  <c r="W47" i="162"/>
  <c r="CJ47" i="162" s="1"/>
  <c r="S47" i="162"/>
  <c r="T47" i="162" s="1"/>
  <c r="R47" i="162"/>
  <c r="O47" i="162"/>
  <c r="J47" i="162"/>
  <c r="E47" i="162"/>
  <c r="CQ46" i="162"/>
  <c r="CP46" i="162"/>
  <c r="CK46" i="162"/>
  <c r="CG46" i="162"/>
  <c r="CB46" i="162"/>
  <c r="BW46" i="162"/>
  <c r="BR46" i="162"/>
  <c r="BM46" i="162"/>
  <c r="BH46" i="162"/>
  <c r="BC46" i="162"/>
  <c r="AX46" i="162"/>
  <c r="AS46" i="162"/>
  <c r="AN46" i="162"/>
  <c r="AI46" i="162"/>
  <c r="AD46" i="162"/>
  <c r="Y46" i="162"/>
  <c r="X46" i="162"/>
  <c r="W46" i="162"/>
  <c r="CJ46" i="162" s="1"/>
  <c r="S46" i="162"/>
  <c r="R46" i="162"/>
  <c r="O46" i="162"/>
  <c r="J46" i="162"/>
  <c r="E46" i="162"/>
  <c r="CQ45" i="162"/>
  <c r="CP45" i="162"/>
  <c r="CG45" i="162"/>
  <c r="CB45" i="162"/>
  <c r="BW45" i="162"/>
  <c r="BR45" i="162"/>
  <c r="BM45" i="162"/>
  <c r="BH45" i="162"/>
  <c r="BC45" i="162"/>
  <c r="AX45" i="162"/>
  <c r="AS45" i="162"/>
  <c r="AN45" i="162"/>
  <c r="AN41" i="162" s="1"/>
  <c r="AI45" i="162"/>
  <c r="AD45" i="162"/>
  <c r="X45" i="162"/>
  <c r="CK45" i="162" s="1"/>
  <c r="W45" i="162"/>
  <c r="CJ45" i="162" s="1"/>
  <c r="S45" i="162"/>
  <c r="R45" i="162"/>
  <c r="O45" i="162"/>
  <c r="O41" i="162" s="1"/>
  <c r="J45" i="162"/>
  <c r="E45" i="162"/>
  <c r="CP44" i="162"/>
  <c r="CQ44" i="162" s="1"/>
  <c r="CG44" i="162"/>
  <c r="CB44" i="162"/>
  <c r="CB41" i="162" s="1"/>
  <c r="BW44" i="162"/>
  <c r="BR44" i="162"/>
  <c r="BM44" i="162"/>
  <c r="BH44" i="162"/>
  <c r="BC44" i="162"/>
  <c r="AX44" i="162"/>
  <c r="AS44" i="162"/>
  <c r="AN44" i="162"/>
  <c r="AI44" i="162"/>
  <c r="AD44" i="162"/>
  <c r="X44" i="162"/>
  <c r="CK44" i="162" s="1"/>
  <c r="W44" i="162"/>
  <c r="CJ44" i="162" s="1"/>
  <c r="S44" i="162"/>
  <c r="T44" i="162" s="1"/>
  <c r="R44" i="162"/>
  <c r="O44" i="162"/>
  <c r="J44" i="162"/>
  <c r="E44" i="162"/>
  <c r="CP43" i="162"/>
  <c r="CQ43" i="162" s="1"/>
  <c r="CK43" i="162"/>
  <c r="CG43" i="162"/>
  <c r="CB43" i="162"/>
  <c r="BW43" i="162"/>
  <c r="BR43" i="162"/>
  <c r="BR41" i="162" s="1"/>
  <c r="BM43" i="162"/>
  <c r="BH43" i="162"/>
  <c r="BC43" i="162"/>
  <c r="BC41" i="162" s="1"/>
  <c r="AX43" i="162"/>
  <c r="AS43" i="162"/>
  <c r="AN43" i="162"/>
  <c r="AI43" i="162"/>
  <c r="AI41" i="162" s="1"/>
  <c r="AD43" i="162"/>
  <c r="X43" i="162"/>
  <c r="W43" i="162"/>
  <c r="CJ43" i="162" s="1"/>
  <c r="S43" i="162"/>
  <c r="T43" i="162" s="1"/>
  <c r="R43" i="162"/>
  <c r="O43" i="162"/>
  <c r="J43" i="162"/>
  <c r="E43" i="162"/>
  <c r="CQ42" i="162"/>
  <c r="CP42" i="162"/>
  <c r="CK42" i="162"/>
  <c r="CK41" i="162" s="1"/>
  <c r="CG42" i="162"/>
  <c r="CG41" i="162" s="1"/>
  <c r="CB42" i="162"/>
  <c r="BW42" i="162"/>
  <c r="BR42" i="162"/>
  <c r="BM42" i="162"/>
  <c r="BH42" i="162"/>
  <c r="BC42" i="162"/>
  <c r="AX42" i="162"/>
  <c r="AX41" i="162" s="1"/>
  <c r="AS42" i="162"/>
  <c r="AN42" i="162"/>
  <c r="AI42" i="162"/>
  <c r="AD42" i="162"/>
  <c r="AD41" i="162" s="1"/>
  <c r="Y42" i="162"/>
  <c r="X42" i="162"/>
  <c r="W42" i="162"/>
  <c r="CJ42" i="162" s="1"/>
  <c r="S42" i="162"/>
  <c r="R42" i="162"/>
  <c r="R41" i="162" s="1"/>
  <c r="O42" i="162"/>
  <c r="J42" i="162"/>
  <c r="E42" i="162"/>
  <c r="CP41" i="162"/>
  <c r="CF41" i="162"/>
  <c r="CE41" i="162"/>
  <c r="CA41" i="162"/>
  <c r="BZ41" i="162"/>
  <c r="BW41" i="162"/>
  <c r="BV41" i="162"/>
  <c r="BU41" i="162"/>
  <c r="BQ41" i="162"/>
  <c r="BP41" i="162"/>
  <c r="BL41" i="162"/>
  <c r="BK41" i="162"/>
  <c r="BG41" i="162"/>
  <c r="BF41" i="162"/>
  <c r="BB41" i="162"/>
  <c r="BA41" i="162"/>
  <c r="AW41" i="162"/>
  <c r="AV41" i="162"/>
  <c r="AS41" i="162"/>
  <c r="AR41" i="162"/>
  <c r="AQ41" i="162"/>
  <c r="AM41" i="162"/>
  <c r="AL41" i="162"/>
  <c r="AH41" i="162"/>
  <c r="AG41" i="162"/>
  <c r="AC41" i="162"/>
  <c r="AB41" i="162"/>
  <c r="X41" i="162"/>
  <c r="N41" i="162"/>
  <c r="M41" i="162"/>
  <c r="I41" i="162"/>
  <c r="H41" i="162"/>
  <c r="E41" i="162"/>
  <c r="D41" i="162"/>
  <c r="C41" i="162"/>
  <c r="X37" i="162"/>
  <c r="W37" i="162"/>
  <c r="CK36" i="162"/>
  <c r="CK35" i="162" s="1"/>
  <c r="CG36" i="162"/>
  <c r="CB36" i="162"/>
  <c r="BW36" i="162"/>
  <c r="BW35" i="162" s="1"/>
  <c r="BR36" i="162"/>
  <c r="BM36" i="162"/>
  <c r="BH36" i="162"/>
  <c r="BC36" i="162"/>
  <c r="AX36" i="162"/>
  <c r="AX35" i="162" s="1"/>
  <c r="AS36" i="162"/>
  <c r="AS35" i="162" s="1"/>
  <c r="AN36" i="162"/>
  <c r="AI36" i="162"/>
  <c r="AD36" i="162"/>
  <c r="AD35" i="162" s="1"/>
  <c r="X36" i="162"/>
  <c r="W36" i="162"/>
  <c r="CJ36" i="162" s="1"/>
  <c r="S36" i="162"/>
  <c r="S35" i="162" s="1"/>
  <c r="R36" i="162"/>
  <c r="R35" i="162" s="1"/>
  <c r="O36" i="162"/>
  <c r="J36" i="162"/>
  <c r="E36" i="162"/>
  <c r="E35" i="162" s="1"/>
  <c r="CP35" i="162"/>
  <c r="CF35" i="162"/>
  <c r="CE35" i="162"/>
  <c r="CB35" i="162"/>
  <c r="CA35" i="162"/>
  <c r="BZ35" i="162"/>
  <c r="BV35" i="162"/>
  <c r="BU35" i="162"/>
  <c r="BQ35" i="162"/>
  <c r="BP35" i="162"/>
  <c r="BM35" i="162"/>
  <c r="BL35" i="162"/>
  <c r="BK35" i="162"/>
  <c r="BH35" i="162"/>
  <c r="BG35" i="162"/>
  <c r="BF35" i="162"/>
  <c r="BB35" i="162"/>
  <c r="BA35" i="162"/>
  <c r="AW35" i="162"/>
  <c r="AV35" i="162"/>
  <c r="AR35" i="162"/>
  <c r="AQ35" i="162"/>
  <c r="AM35" i="162"/>
  <c r="AL35" i="162"/>
  <c r="AI35" i="162"/>
  <c r="AH35" i="162"/>
  <c r="AG35" i="162"/>
  <c r="AC35" i="162"/>
  <c r="AB35" i="162"/>
  <c r="W35" i="162"/>
  <c r="O35" i="162"/>
  <c r="N35" i="162"/>
  <c r="M35" i="162"/>
  <c r="J35" i="162"/>
  <c r="I35" i="162"/>
  <c r="H35" i="162"/>
  <c r="D35" i="162"/>
  <c r="C35" i="162"/>
  <c r="CR33" i="162"/>
  <c r="CG33" i="162"/>
  <c r="CB33" i="162"/>
  <c r="BW33" i="162"/>
  <c r="BR33" i="162"/>
  <c r="BM33" i="162"/>
  <c r="BH33" i="162"/>
  <c r="BC33" i="162"/>
  <c r="AX33" i="162"/>
  <c r="AS33" i="162"/>
  <c r="AN33" i="162"/>
  <c r="AI33" i="162"/>
  <c r="AD33" i="162"/>
  <c r="X33" i="162"/>
  <c r="CK33" i="162" s="1"/>
  <c r="W33" i="162"/>
  <c r="CJ33" i="162" s="1"/>
  <c r="S33" i="162"/>
  <c r="R33" i="162"/>
  <c r="O33" i="162"/>
  <c r="J33" i="162"/>
  <c r="E33" i="162"/>
  <c r="CJ32" i="162"/>
  <c r="CG32" i="162"/>
  <c r="CB32" i="162"/>
  <c r="BW32" i="162"/>
  <c r="BR32" i="162"/>
  <c r="BM32" i="162"/>
  <c r="BH32" i="162"/>
  <c r="BC32" i="162"/>
  <c r="AX32" i="162"/>
  <c r="AS32" i="162"/>
  <c r="AN32" i="162"/>
  <c r="AI32" i="162"/>
  <c r="AD32" i="162"/>
  <c r="Y32" i="162"/>
  <c r="X32" i="162"/>
  <c r="CK32" i="162" s="1"/>
  <c r="W32" i="162"/>
  <c r="S32" i="162"/>
  <c r="R32" i="162"/>
  <c r="O32" i="162"/>
  <c r="J32" i="162"/>
  <c r="E32" i="162"/>
  <c r="CK31" i="162"/>
  <c r="CG31" i="162"/>
  <c r="CB31" i="162"/>
  <c r="BW31" i="162"/>
  <c r="BR31" i="162"/>
  <c r="BM31" i="162"/>
  <c r="BH31" i="162"/>
  <c r="BC31" i="162"/>
  <c r="AX31" i="162"/>
  <c r="AS31" i="162"/>
  <c r="AN31" i="162"/>
  <c r="AI31" i="162"/>
  <c r="AD31" i="162"/>
  <c r="Y31" i="162"/>
  <c r="X31" i="162"/>
  <c r="W31" i="162"/>
  <c r="CJ31" i="162" s="1"/>
  <c r="S31" i="162"/>
  <c r="R31" i="162"/>
  <c r="O31" i="162"/>
  <c r="J31" i="162"/>
  <c r="E31" i="162"/>
  <c r="CG30" i="162"/>
  <c r="CB30" i="162"/>
  <c r="BW30" i="162"/>
  <c r="BR30" i="162"/>
  <c r="BM30" i="162"/>
  <c r="BH30" i="162"/>
  <c r="BC30" i="162"/>
  <c r="AX30" i="162"/>
  <c r="AS30" i="162"/>
  <c r="AN30" i="162"/>
  <c r="AI30" i="162"/>
  <c r="AD30" i="162"/>
  <c r="X30" i="162"/>
  <c r="CK30" i="162" s="1"/>
  <c r="W30" i="162"/>
  <c r="CJ30" i="162" s="1"/>
  <c r="CL30" i="162" s="1"/>
  <c r="CQ30" i="162" s="1"/>
  <c r="CR30" i="162" s="1"/>
  <c r="S30" i="162"/>
  <c r="R30" i="162"/>
  <c r="O30" i="162"/>
  <c r="J30" i="162"/>
  <c r="E30" i="162"/>
  <c r="CG29" i="162"/>
  <c r="CB29" i="162"/>
  <c r="BW29" i="162"/>
  <c r="BR29" i="162"/>
  <c r="BM29" i="162"/>
  <c r="BH29" i="162"/>
  <c r="BC29" i="162"/>
  <c r="AX29" i="162"/>
  <c r="AS29" i="162"/>
  <c r="AN29" i="162"/>
  <c r="AI29" i="162"/>
  <c r="AD29" i="162"/>
  <c r="Y29" i="162"/>
  <c r="X29" i="162"/>
  <c r="CK29" i="162" s="1"/>
  <c r="W29" i="162"/>
  <c r="CJ29" i="162" s="1"/>
  <c r="S29" i="162"/>
  <c r="R29" i="162"/>
  <c r="T29" i="162" s="1"/>
  <c r="O29" i="162"/>
  <c r="J29" i="162"/>
  <c r="E29" i="162"/>
  <c r="CU28" i="162"/>
  <c r="CK28" i="162"/>
  <c r="CG28" i="162"/>
  <c r="CB28" i="162"/>
  <c r="BW28" i="162"/>
  <c r="BR28" i="162"/>
  <c r="BM28" i="162"/>
  <c r="BH28" i="162"/>
  <c r="BC28" i="162"/>
  <c r="AX28" i="162"/>
  <c r="AS28" i="162"/>
  <c r="AN28" i="162"/>
  <c r="AI28" i="162"/>
  <c r="AD28" i="162"/>
  <c r="X28" i="162"/>
  <c r="W28" i="162"/>
  <c r="CJ28" i="162" s="1"/>
  <c r="T28" i="162"/>
  <c r="S28" i="162"/>
  <c r="R28" i="162"/>
  <c r="O28" i="162"/>
  <c r="J28" i="162"/>
  <c r="E28" i="162"/>
  <c r="CG27" i="162"/>
  <c r="CB27" i="162"/>
  <c r="BW27" i="162"/>
  <c r="BR27" i="162"/>
  <c r="BM27" i="162"/>
  <c r="BH27" i="162"/>
  <c r="BC27" i="162"/>
  <c r="AX27" i="162"/>
  <c r="AS27" i="162"/>
  <c r="AN27" i="162"/>
  <c r="AI27" i="162"/>
  <c r="AD27" i="162"/>
  <c r="Y27" i="162"/>
  <c r="X27" i="162"/>
  <c r="CK27" i="162" s="1"/>
  <c r="W27" i="162"/>
  <c r="CJ27" i="162" s="1"/>
  <c r="S27" i="162"/>
  <c r="R27" i="162"/>
  <c r="T27" i="162" s="1"/>
  <c r="O27" i="162"/>
  <c r="J27" i="162"/>
  <c r="E27" i="162"/>
  <c r="CR26" i="162"/>
  <c r="CG26" i="162"/>
  <c r="CB26" i="162"/>
  <c r="BW26" i="162"/>
  <c r="BR26" i="162"/>
  <c r="BM26" i="162"/>
  <c r="BH26" i="162"/>
  <c r="BC26" i="162"/>
  <c r="AX26" i="162"/>
  <c r="AS26" i="162"/>
  <c r="AN26" i="162"/>
  <c r="AI26" i="162"/>
  <c r="AD26" i="162"/>
  <c r="X26" i="162"/>
  <c r="CK26" i="162" s="1"/>
  <c r="W26" i="162"/>
  <c r="Y26" i="162" s="1"/>
  <c r="S26" i="162"/>
  <c r="R26" i="162"/>
  <c r="O26" i="162"/>
  <c r="J26" i="162"/>
  <c r="E26" i="162"/>
  <c r="CG25" i="162"/>
  <c r="CB25" i="162"/>
  <c r="BW25" i="162"/>
  <c r="BR25" i="162"/>
  <c r="BM25" i="162"/>
  <c r="BH25" i="162"/>
  <c r="BC25" i="162"/>
  <c r="AX25" i="162"/>
  <c r="AS25" i="162"/>
  <c r="AN25" i="162"/>
  <c r="AI25" i="162"/>
  <c r="AD25" i="162"/>
  <c r="X25" i="162"/>
  <c r="W25" i="162"/>
  <c r="CJ25" i="162" s="1"/>
  <c r="S25" i="162"/>
  <c r="R25" i="162"/>
  <c r="O25" i="162"/>
  <c r="J25" i="162"/>
  <c r="E25" i="162"/>
  <c r="CG24" i="162"/>
  <c r="CB24" i="162"/>
  <c r="BW24" i="162"/>
  <c r="BR24" i="162"/>
  <c r="BM24" i="162"/>
  <c r="BH24" i="162"/>
  <c r="BC24" i="162"/>
  <c r="AX24" i="162"/>
  <c r="AS24" i="162"/>
  <c r="AL24" i="162"/>
  <c r="AL24" i="157" s="1"/>
  <c r="AI24" i="162"/>
  <c r="AD24" i="162"/>
  <c r="X24" i="162"/>
  <c r="CK24" i="162" s="1"/>
  <c r="W24" i="162"/>
  <c r="CJ24" i="162" s="1"/>
  <c r="CL24" i="162" s="1"/>
  <c r="S24" i="162"/>
  <c r="T24" i="162" s="1"/>
  <c r="R24" i="162"/>
  <c r="O24" i="162"/>
  <c r="J24" i="162"/>
  <c r="E24" i="162"/>
  <c r="CG23" i="162"/>
  <c r="CB23" i="162"/>
  <c r="BW23" i="162"/>
  <c r="BR23" i="162"/>
  <c r="BM23" i="162"/>
  <c r="BH23" i="162"/>
  <c r="BC23" i="162"/>
  <c r="AX23" i="162"/>
  <c r="AS23" i="162"/>
  <c r="AN23" i="162"/>
  <c r="AI23" i="162"/>
  <c r="AD23" i="162"/>
  <c r="X23" i="162"/>
  <c r="CK23" i="162" s="1"/>
  <c r="W23" i="162"/>
  <c r="CJ23" i="162" s="1"/>
  <c r="S23" i="162"/>
  <c r="R23" i="162"/>
  <c r="O23" i="162"/>
  <c r="J23" i="162"/>
  <c r="E23" i="162"/>
  <c r="CG22" i="162"/>
  <c r="CB22" i="162"/>
  <c r="BW22" i="162"/>
  <c r="BR22" i="162"/>
  <c r="BM22" i="162"/>
  <c r="BH22" i="162"/>
  <c r="BC22" i="162"/>
  <c r="AX22" i="162"/>
  <c r="AS22" i="162"/>
  <c r="AN22" i="162"/>
  <c r="AI22" i="162"/>
  <c r="AD22" i="162"/>
  <c r="X22" i="162"/>
  <c r="CK22" i="162" s="1"/>
  <c r="W22" i="162"/>
  <c r="CJ22" i="162" s="1"/>
  <c r="CL22" i="162" s="1"/>
  <c r="S22" i="162"/>
  <c r="R22" i="162"/>
  <c r="T22" i="162" s="1"/>
  <c r="O22" i="162"/>
  <c r="J22" i="162"/>
  <c r="E22" i="162"/>
  <c r="CJ21" i="162"/>
  <c r="CL21" i="162" s="1"/>
  <c r="CG21" i="162"/>
  <c r="CB21" i="162"/>
  <c r="BW21" i="162"/>
  <c r="BR21" i="162"/>
  <c r="BM21" i="162"/>
  <c r="BH21" i="162"/>
  <c r="BC21" i="162"/>
  <c r="AX21" i="162"/>
  <c r="AS21" i="162"/>
  <c r="AN21" i="162"/>
  <c r="AI21" i="162"/>
  <c r="AD21" i="162"/>
  <c r="X21" i="162"/>
  <c r="CK21" i="162" s="1"/>
  <c r="W21" i="162"/>
  <c r="S21" i="162"/>
  <c r="R21" i="162"/>
  <c r="T21" i="162" s="1"/>
  <c r="O21" i="162"/>
  <c r="J21" i="162"/>
  <c r="E21" i="162"/>
  <c r="CJ20" i="162"/>
  <c r="CL20" i="162" s="1"/>
  <c r="CG20" i="162"/>
  <c r="CB20" i="162"/>
  <c r="BW20" i="162"/>
  <c r="BR20" i="162"/>
  <c r="BM20" i="162"/>
  <c r="BH20" i="162"/>
  <c r="BC20" i="162"/>
  <c r="AX20" i="162"/>
  <c r="AS20" i="162"/>
  <c r="AN20" i="162"/>
  <c r="AI20" i="162"/>
  <c r="AD20" i="162"/>
  <c r="X20" i="162"/>
  <c r="CK20" i="162" s="1"/>
  <c r="W20" i="162"/>
  <c r="T20" i="162"/>
  <c r="S20" i="162"/>
  <c r="R20" i="162"/>
  <c r="O20" i="162"/>
  <c r="J20" i="162"/>
  <c r="E20" i="162"/>
  <c r="CG19" i="162"/>
  <c r="CB19" i="162"/>
  <c r="BW19" i="162"/>
  <c r="BR19" i="162"/>
  <c r="BM19" i="162"/>
  <c r="BH19" i="162"/>
  <c r="BC19" i="162"/>
  <c r="AX19" i="162"/>
  <c r="AS19" i="162"/>
  <c r="AN19" i="162"/>
  <c r="AI19" i="162"/>
  <c r="AD19" i="162"/>
  <c r="X19" i="162"/>
  <c r="CK19" i="162" s="1"/>
  <c r="W19" i="162"/>
  <c r="CJ19" i="162" s="1"/>
  <c r="CL19" i="162" s="1"/>
  <c r="T19" i="162"/>
  <c r="S19" i="162"/>
  <c r="R19" i="162"/>
  <c r="O19" i="162"/>
  <c r="J19" i="162"/>
  <c r="E19" i="162"/>
  <c r="CG18" i="162"/>
  <c r="CB18" i="162"/>
  <c r="BW18" i="162"/>
  <c r="BR18" i="162"/>
  <c r="BM18" i="162"/>
  <c r="BH18" i="162"/>
  <c r="BC18" i="162"/>
  <c r="AX18" i="162"/>
  <c r="AS18" i="162"/>
  <c r="AN18" i="162"/>
  <c r="AI18" i="162"/>
  <c r="AD18" i="162"/>
  <c r="X18" i="162"/>
  <c r="Y18" i="162" s="1"/>
  <c r="W18" i="162"/>
  <c r="CJ18" i="162" s="1"/>
  <c r="S18" i="162"/>
  <c r="R18" i="162"/>
  <c r="T18" i="162" s="1"/>
  <c r="O18" i="162"/>
  <c r="J18" i="162"/>
  <c r="E18" i="162"/>
  <c r="CJ17" i="162"/>
  <c r="CG17" i="162"/>
  <c r="CB17" i="162"/>
  <c r="BW17" i="162"/>
  <c r="BR17" i="162"/>
  <c r="BM17" i="162"/>
  <c r="BH17" i="162"/>
  <c r="BC17" i="162"/>
  <c r="AX17" i="162"/>
  <c r="AS17" i="162"/>
  <c r="AN17" i="162"/>
  <c r="AI17" i="162"/>
  <c r="AD17" i="162"/>
  <c r="X17" i="162"/>
  <c r="Y17" i="162" s="1"/>
  <c r="W17" i="162"/>
  <c r="S17" i="162"/>
  <c r="R17" i="162"/>
  <c r="O17" i="162"/>
  <c r="J17" i="162"/>
  <c r="E17" i="162"/>
  <c r="CJ16" i="162"/>
  <c r="CG16" i="162"/>
  <c r="CB16" i="162"/>
  <c r="BW16" i="162"/>
  <c r="BR16" i="162"/>
  <c r="BM16" i="162"/>
  <c r="BH16" i="162"/>
  <c r="BC16" i="162"/>
  <c r="AX16" i="162"/>
  <c r="AS16" i="162"/>
  <c r="AN16" i="162"/>
  <c r="AI16" i="162"/>
  <c r="AD16" i="162"/>
  <c r="X16" i="162"/>
  <c r="Y16" i="162" s="1"/>
  <c r="W16" i="162"/>
  <c r="S16" i="162"/>
  <c r="R16" i="162"/>
  <c r="T16" i="162" s="1"/>
  <c r="O16" i="162"/>
  <c r="J16" i="162"/>
  <c r="E16" i="162"/>
  <c r="CJ15" i="162"/>
  <c r="CG15" i="162"/>
  <c r="CB15" i="162"/>
  <c r="BW15" i="162"/>
  <c r="BR15" i="162"/>
  <c r="BM15" i="162"/>
  <c r="BH15" i="162"/>
  <c r="BC15" i="162"/>
  <c r="AX15" i="162"/>
  <c r="AS15" i="162"/>
  <c r="AN15" i="162"/>
  <c r="AI15" i="162"/>
  <c r="AD15" i="162"/>
  <c r="X15" i="162"/>
  <c r="W15" i="162"/>
  <c r="S15" i="162"/>
  <c r="T15" i="162" s="1"/>
  <c r="R15" i="162"/>
  <c r="O15" i="162"/>
  <c r="J15" i="162"/>
  <c r="E15" i="162"/>
  <c r="CJ14" i="162"/>
  <c r="CG14" i="162"/>
  <c r="CB14" i="162"/>
  <c r="BW14" i="162"/>
  <c r="BR14" i="162"/>
  <c r="BM14" i="162"/>
  <c r="BH14" i="162"/>
  <c r="BC14" i="162"/>
  <c r="AX14" i="162"/>
  <c r="AS14" i="162"/>
  <c r="AN14" i="162"/>
  <c r="AI14" i="162"/>
  <c r="AD14" i="162"/>
  <c r="X14" i="162"/>
  <c r="W14" i="162"/>
  <c r="S14" i="162"/>
  <c r="R14" i="162"/>
  <c r="O14" i="162"/>
  <c r="J14" i="162"/>
  <c r="E14" i="162"/>
  <c r="CJ13" i="162"/>
  <c r="CG13" i="162"/>
  <c r="CB13" i="162"/>
  <c r="BW13" i="162"/>
  <c r="BR13" i="162"/>
  <c r="BM13" i="162"/>
  <c r="BH13" i="162"/>
  <c r="BC13" i="162"/>
  <c r="AX13" i="162"/>
  <c r="AS13" i="162"/>
  <c r="AN13" i="162"/>
  <c r="AI13" i="162"/>
  <c r="AD13" i="162"/>
  <c r="X13" i="162"/>
  <c r="W13" i="162"/>
  <c r="S13" i="162"/>
  <c r="R13" i="162"/>
  <c r="O13" i="162"/>
  <c r="J13" i="162"/>
  <c r="E13" i="162"/>
  <c r="CJ12" i="162"/>
  <c r="CG12" i="162"/>
  <c r="CB12" i="162"/>
  <c r="BW12" i="162"/>
  <c r="BR12" i="162"/>
  <c r="BM12" i="162"/>
  <c r="BH12" i="162"/>
  <c r="BC12" i="162"/>
  <c r="AX12" i="162"/>
  <c r="AS12" i="162"/>
  <c r="AN12" i="162"/>
  <c r="AI12" i="162"/>
  <c r="AD12" i="162"/>
  <c r="X12" i="162"/>
  <c r="W12" i="162"/>
  <c r="T12" i="162"/>
  <c r="S12" i="162"/>
  <c r="R12" i="162"/>
  <c r="O12" i="162"/>
  <c r="J12" i="162"/>
  <c r="E12" i="162"/>
  <c r="CG11" i="162"/>
  <c r="CB11" i="162"/>
  <c r="BW11" i="162"/>
  <c r="BR11" i="162"/>
  <c r="BM11" i="162"/>
  <c r="BH11" i="162"/>
  <c r="BC11" i="162"/>
  <c r="AX11" i="162"/>
  <c r="AS11" i="162"/>
  <c r="AN11" i="162"/>
  <c r="AI11" i="162"/>
  <c r="AI98" i="157" s="1"/>
  <c r="AD11" i="162"/>
  <c r="X11" i="162"/>
  <c r="CK11" i="162" s="1"/>
  <c r="W11" i="162"/>
  <c r="CJ11" i="162" s="1"/>
  <c r="S11" i="162"/>
  <c r="R11" i="162"/>
  <c r="T11" i="162" s="1"/>
  <c r="O11" i="162"/>
  <c r="J11" i="162"/>
  <c r="E11" i="162"/>
  <c r="CJ10" i="162"/>
  <c r="CG10" i="162"/>
  <c r="CB10" i="162"/>
  <c r="BW10" i="162"/>
  <c r="BR10" i="162"/>
  <c r="BM10" i="162"/>
  <c r="BH10" i="162"/>
  <c r="BC10" i="162"/>
  <c r="AX10" i="162"/>
  <c r="AX8" i="162" s="1"/>
  <c r="AS10" i="162"/>
  <c r="AN10" i="162"/>
  <c r="AI10" i="162"/>
  <c r="AD10" i="162"/>
  <c r="Y10" i="162"/>
  <c r="X10" i="162"/>
  <c r="CK10" i="162" s="1"/>
  <c r="W10" i="162"/>
  <c r="S10" i="162"/>
  <c r="R10" i="162"/>
  <c r="O10" i="162"/>
  <c r="J10" i="162"/>
  <c r="E10" i="162"/>
  <c r="CJ9" i="162"/>
  <c r="CG9" i="162"/>
  <c r="CB9" i="162"/>
  <c r="BW9" i="162"/>
  <c r="BR9" i="162"/>
  <c r="BM9" i="162"/>
  <c r="BH9" i="162"/>
  <c r="BC9" i="162"/>
  <c r="BC8" i="162" s="1"/>
  <c r="AX9" i="162"/>
  <c r="AS9" i="162"/>
  <c r="AN9" i="162"/>
  <c r="AN98" i="157" s="1"/>
  <c r="AI9" i="162"/>
  <c r="AD9" i="162"/>
  <c r="X9" i="162"/>
  <c r="W9" i="162"/>
  <c r="T9" i="162"/>
  <c r="S9" i="162"/>
  <c r="R9" i="162"/>
  <c r="O9" i="162"/>
  <c r="J9" i="162"/>
  <c r="E9" i="162"/>
  <c r="CP8" i="162"/>
  <c r="CF8" i="162"/>
  <c r="CE8" i="162"/>
  <c r="CA8" i="162"/>
  <c r="BZ8" i="162"/>
  <c r="BV8" i="162"/>
  <c r="BU8" i="162"/>
  <c r="BQ8" i="162"/>
  <c r="BP8" i="162"/>
  <c r="BL8" i="162"/>
  <c r="BK8" i="162"/>
  <c r="BG8" i="162"/>
  <c r="BF8" i="162"/>
  <c r="BB8" i="162"/>
  <c r="BA8" i="162"/>
  <c r="AW8" i="162"/>
  <c r="AV8" i="162"/>
  <c r="AR8" i="162"/>
  <c r="AQ8" i="162"/>
  <c r="AM8" i="162"/>
  <c r="AH8" i="162"/>
  <c r="AG8" i="162"/>
  <c r="AC8" i="162"/>
  <c r="AB8" i="162"/>
  <c r="S8" i="162"/>
  <c r="N8" i="162"/>
  <c r="M8" i="162"/>
  <c r="I8" i="162"/>
  <c r="H8" i="162"/>
  <c r="D8" i="162"/>
  <c r="C8" i="162"/>
  <c r="CG7" i="162"/>
  <c r="CG5" i="162" s="1"/>
  <c r="CB7" i="162"/>
  <c r="BW7" i="162"/>
  <c r="BR7" i="162"/>
  <c r="BM7" i="162"/>
  <c r="BM5" i="162" s="1"/>
  <c r="BH7" i="162"/>
  <c r="BC7" i="162"/>
  <c r="AX7" i="162"/>
  <c r="AX5" i="162" s="1"/>
  <c r="AS7" i="162"/>
  <c r="AN7" i="162"/>
  <c r="AI7" i="162"/>
  <c r="AD7" i="162"/>
  <c r="AD5" i="162" s="1"/>
  <c r="X7" i="162"/>
  <c r="CK7" i="162" s="1"/>
  <c r="W7" i="162"/>
  <c r="CJ7" i="162" s="1"/>
  <c r="S7" i="162"/>
  <c r="R7" i="162"/>
  <c r="T7" i="162" s="1"/>
  <c r="O7" i="162"/>
  <c r="O5" i="162" s="1"/>
  <c r="J7" i="162"/>
  <c r="E7" i="162"/>
  <c r="CG6" i="162"/>
  <c r="CB6" i="162"/>
  <c r="BW6" i="162"/>
  <c r="BR6" i="162"/>
  <c r="BM6" i="162"/>
  <c r="BH6" i="162"/>
  <c r="BC6" i="162"/>
  <c r="AX6" i="162"/>
  <c r="AS6" i="162"/>
  <c r="AL6" i="162"/>
  <c r="AN6" i="162" s="1"/>
  <c r="AN5" i="162" s="1"/>
  <c r="AI6" i="162"/>
  <c r="AD6" i="162"/>
  <c r="X6" i="162"/>
  <c r="X5" i="162" s="1"/>
  <c r="T6" i="162"/>
  <c r="S6" i="162"/>
  <c r="R6" i="162"/>
  <c r="R5" i="162" s="1"/>
  <c r="O6" i="162"/>
  <c r="J6" i="162"/>
  <c r="J5" i="162" s="1"/>
  <c r="E6" i="162"/>
  <c r="CP5" i="162"/>
  <c r="CF5" i="162"/>
  <c r="CE5" i="162"/>
  <c r="CA5" i="162"/>
  <c r="CA38" i="162" s="1"/>
  <c r="BZ5" i="162"/>
  <c r="BZ38" i="162" s="1"/>
  <c r="BW5" i="162"/>
  <c r="BV5" i="162"/>
  <c r="BV38" i="162" s="1"/>
  <c r="BU5" i="162"/>
  <c r="BR5" i="162"/>
  <c r="BQ5" i="162"/>
  <c r="BQ38" i="162" s="1"/>
  <c r="BP5" i="162"/>
  <c r="BP38" i="162" s="1"/>
  <c r="BL5" i="162"/>
  <c r="BL38" i="162" s="1"/>
  <c r="BK5" i="162"/>
  <c r="BG5" i="162"/>
  <c r="BG38" i="162" s="1"/>
  <c r="BF5" i="162"/>
  <c r="BF38" i="162" s="1"/>
  <c r="BC5" i="162"/>
  <c r="BB5" i="162"/>
  <c r="BA5" i="162"/>
  <c r="AW5" i="162"/>
  <c r="AW38" i="162" s="1"/>
  <c r="AV5" i="162"/>
  <c r="AV38" i="162" s="1"/>
  <c r="AS5" i="162"/>
  <c r="AR5" i="162"/>
  <c r="AR38" i="162" s="1"/>
  <c r="AQ5" i="162"/>
  <c r="AM5" i="162"/>
  <c r="AM38" i="162" s="1"/>
  <c r="AI5" i="162"/>
  <c r="AH5" i="162"/>
  <c r="AH38" i="162" s="1"/>
  <c r="AG5" i="162"/>
  <c r="AC5" i="162"/>
  <c r="AC38" i="162" s="1"/>
  <c r="AB5" i="162"/>
  <c r="AB38" i="162" s="1"/>
  <c r="S5" i="162"/>
  <c r="N5" i="162"/>
  <c r="N38" i="162" s="1"/>
  <c r="M5" i="162"/>
  <c r="M38" i="162" s="1"/>
  <c r="M75" i="162" s="1"/>
  <c r="I5" i="162"/>
  <c r="I38" i="162" s="1"/>
  <c r="I75" i="162" s="1"/>
  <c r="H5" i="162"/>
  <c r="E5" i="162"/>
  <c r="D5" i="162"/>
  <c r="D38" i="162" s="1"/>
  <c r="C5" i="162"/>
  <c r="C38" i="162" s="1"/>
  <c r="BW8" i="162" l="1"/>
  <c r="BW89" i="162" s="1"/>
  <c r="AX38" i="162"/>
  <c r="W8" i="162"/>
  <c r="CB8" i="162"/>
  <c r="CL10" i="162"/>
  <c r="CQ10" i="162" s="1"/>
  <c r="Y11" i="162"/>
  <c r="T17" i="162"/>
  <c r="Y23" i="162"/>
  <c r="AN24" i="162"/>
  <c r="Y30" i="162"/>
  <c r="CL32" i="162"/>
  <c r="CQ32" i="162" s="1"/>
  <c r="CR32" i="162" s="1"/>
  <c r="T42" i="162"/>
  <c r="CL43" i="162"/>
  <c r="Y45" i="162"/>
  <c r="T46" i="162"/>
  <c r="CL47" i="162"/>
  <c r="T52" i="162"/>
  <c r="AL8" i="162"/>
  <c r="R8" i="162"/>
  <c r="R38" i="162" s="1"/>
  <c r="Y9" i="162"/>
  <c r="Y12" i="162"/>
  <c r="Y13" i="162"/>
  <c r="Y14" i="162"/>
  <c r="Y15" i="162"/>
  <c r="T23" i="162"/>
  <c r="T25" i="162"/>
  <c r="CJ26" i="162"/>
  <c r="CL26" i="162" s="1"/>
  <c r="CL27" i="162"/>
  <c r="CQ27" i="162" s="1"/>
  <c r="CR27" i="162" s="1"/>
  <c r="Y28" i="162"/>
  <c r="T33" i="162"/>
  <c r="Y33" i="162"/>
  <c r="J41" i="162"/>
  <c r="Y44" i="162"/>
  <c r="T45" i="162"/>
  <c r="Y48" i="162"/>
  <c r="CP50" i="162"/>
  <c r="CP54" i="162"/>
  <c r="CG77" i="162"/>
  <c r="S38" i="162"/>
  <c r="BH5" i="162"/>
  <c r="CB5" i="162"/>
  <c r="CB38" i="162" s="1"/>
  <c r="T10" i="162"/>
  <c r="CL11" i="162"/>
  <c r="BR8" i="162"/>
  <c r="T13" i="162"/>
  <c r="T14" i="162"/>
  <c r="CL23" i="162"/>
  <c r="CQ23" i="162" s="1"/>
  <c r="CR23" i="162" s="1"/>
  <c r="CL28" i="162"/>
  <c r="CQ28" i="162" s="1"/>
  <c r="CR28" i="162" s="1"/>
  <c r="CW28" i="162" s="1"/>
  <c r="T31" i="162"/>
  <c r="W41" i="162"/>
  <c r="CQ41" i="162"/>
  <c r="Y43" i="162"/>
  <c r="CL45" i="162"/>
  <c r="Y47" i="162"/>
  <c r="CQ50" i="162"/>
  <c r="T78" i="162"/>
  <c r="W24" i="157"/>
  <c r="AN24" i="157"/>
  <c r="Y41" i="162"/>
  <c r="T50" i="162"/>
  <c r="T68" i="162"/>
  <c r="T71" i="162"/>
  <c r="CB77" i="162"/>
  <c r="T82" i="162"/>
  <c r="BF75" i="162"/>
  <c r="BF39" i="162"/>
  <c r="N75" i="162"/>
  <c r="N39" i="162"/>
  <c r="AH75" i="162"/>
  <c r="AH39" i="162"/>
  <c r="AV75" i="162"/>
  <c r="AV39" i="162"/>
  <c r="CL7" i="162"/>
  <c r="CQ20" i="162"/>
  <c r="CR20" i="162" s="1"/>
  <c r="CQ22" i="162"/>
  <c r="D75" i="162"/>
  <c r="D39" i="162"/>
  <c r="BX12" i="162"/>
  <c r="BX15" i="162"/>
  <c r="BL75" i="162"/>
  <c r="BL39" i="162"/>
  <c r="T5" i="162"/>
  <c r="BX71" i="162"/>
  <c r="BX68" i="162"/>
  <c r="BX66" i="162"/>
  <c r="BX70" i="162"/>
  <c r="BX69" i="162"/>
  <c r="BX64" i="162"/>
  <c r="BX61" i="162"/>
  <c r="BX58" i="162"/>
  <c r="BX55" i="162"/>
  <c r="BX63" i="162"/>
  <c r="BX60" i="162"/>
  <c r="BX57" i="162"/>
  <c r="BX67" i="162"/>
  <c r="BX65" i="162"/>
  <c r="BX62" i="162"/>
  <c r="BX59" i="162"/>
  <c r="BX56" i="162"/>
  <c r="BX49" i="162"/>
  <c r="BX27" i="162"/>
  <c r="BX48" i="162"/>
  <c r="BX47" i="162"/>
  <c r="BX45" i="162"/>
  <c r="BX43" i="162"/>
  <c r="BX36" i="162"/>
  <c r="BX28" i="162"/>
  <c r="BX53" i="162"/>
  <c r="BX33" i="162"/>
  <c r="BX31" i="162"/>
  <c r="BX29" i="162"/>
  <c r="BX44" i="162"/>
  <c r="BX14" i="162"/>
  <c r="BX9" i="162"/>
  <c r="BX23" i="162"/>
  <c r="BX46" i="162"/>
  <c r="BX42" i="162"/>
  <c r="BX16" i="162"/>
  <c r="BX18" i="162"/>
  <c r="CQ19" i="162"/>
  <c r="CR19" i="162" s="1"/>
  <c r="CQ21" i="162"/>
  <c r="CR21" i="162" s="1"/>
  <c r="CQ24" i="162"/>
  <c r="CR24" i="162" s="1"/>
  <c r="BZ75" i="162"/>
  <c r="BZ39" i="162"/>
  <c r="AX39" i="162"/>
  <c r="CB39" i="162"/>
  <c r="CQ11" i="162"/>
  <c r="BX11" i="162"/>
  <c r="BC38" i="162"/>
  <c r="BW38" i="162"/>
  <c r="CK6" i="162"/>
  <c r="CK5" i="162" s="1"/>
  <c r="CK9" i="162"/>
  <c r="CK14" i="162"/>
  <c r="CL14" i="162" s="1"/>
  <c r="BX26" i="162"/>
  <c r="AB75" i="162"/>
  <c r="AB39" i="162"/>
  <c r="BV75" i="162"/>
  <c r="BV39" i="162"/>
  <c r="CL52" i="162"/>
  <c r="H38" i="162"/>
  <c r="AL5" i="162"/>
  <c r="AL38" i="162" s="1"/>
  <c r="BP75" i="162"/>
  <c r="BP39" i="162"/>
  <c r="W6" i="162"/>
  <c r="Y7" i="162"/>
  <c r="E8" i="162"/>
  <c r="AD8" i="162"/>
  <c r="AD38" i="162" s="1"/>
  <c r="AN8" i="162"/>
  <c r="BH8" i="162"/>
  <c r="CK13" i="162"/>
  <c r="CL13" i="162" s="1"/>
  <c r="CK25" i="162"/>
  <c r="CL25" i="162" s="1"/>
  <c r="Y25" i="162"/>
  <c r="AW75" i="162"/>
  <c r="AW39" i="162"/>
  <c r="CK12" i="162"/>
  <c r="CL12" i="162" s="1"/>
  <c r="CK18" i="162"/>
  <c r="CL18" i="162" s="1"/>
  <c r="BR38" i="162"/>
  <c r="O8" i="162"/>
  <c r="X8" i="162"/>
  <c r="X38" i="162" s="1"/>
  <c r="BX10" i="162"/>
  <c r="BX13" i="162"/>
  <c r="CK17" i="162"/>
  <c r="CL17" i="162" s="1"/>
  <c r="BX22" i="162"/>
  <c r="O54" i="162"/>
  <c r="I76" i="162"/>
  <c r="I81" i="162"/>
  <c r="I83" i="162" s="1"/>
  <c r="I84" i="162" s="1"/>
  <c r="I86" i="162" s="1"/>
  <c r="I87" i="162" s="1"/>
  <c r="AM75" i="162"/>
  <c r="AM39" i="162"/>
  <c r="BQ75" i="162"/>
  <c r="BQ39" i="162"/>
  <c r="AN35" i="162"/>
  <c r="C75" i="162"/>
  <c r="C39" i="162"/>
  <c r="M81" i="162"/>
  <c r="M83" i="162" s="1"/>
  <c r="M84" i="162" s="1"/>
  <c r="M86" i="162" s="1"/>
  <c r="M87" i="162" s="1"/>
  <c r="M76" i="162"/>
  <c r="AG38" i="162"/>
  <c r="AQ38" i="162"/>
  <c r="BA38" i="162"/>
  <c r="BK38" i="162"/>
  <c r="BU38" i="162"/>
  <c r="CE38" i="162"/>
  <c r="CP38" i="162"/>
  <c r="AI8" i="162"/>
  <c r="AS8" i="162"/>
  <c r="AS38" i="162" s="1"/>
  <c r="BM8" i="162"/>
  <c r="CG8" i="162"/>
  <c r="CK16" i="162"/>
  <c r="CL16" i="162" s="1"/>
  <c r="Y19" i="162"/>
  <c r="Y20" i="162"/>
  <c r="Y21" i="162"/>
  <c r="Y22" i="162"/>
  <c r="Y24" i="162"/>
  <c r="CL29" i="162"/>
  <c r="CL31" i="162"/>
  <c r="CL33" i="162"/>
  <c r="I39" i="162"/>
  <c r="AC75" i="162"/>
  <c r="AC39" i="162"/>
  <c r="BG75" i="162"/>
  <c r="BG39" i="162"/>
  <c r="CA75" i="162"/>
  <c r="CA39" i="162"/>
  <c r="BR35" i="162"/>
  <c r="AR75" i="162"/>
  <c r="AR39" i="162"/>
  <c r="Y67" i="162"/>
  <c r="CJ67" i="162"/>
  <c r="CL67" i="162" s="1"/>
  <c r="W54" i="162"/>
  <c r="BB38" i="162"/>
  <c r="CF38" i="162"/>
  <c r="J8" i="162"/>
  <c r="J38" i="162" s="1"/>
  <c r="CK15" i="162"/>
  <c r="CL15" i="162" s="1"/>
  <c r="BX19" i="162"/>
  <c r="BX20" i="162"/>
  <c r="BX21" i="162"/>
  <c r="BX24" i="162"/>
  <c r="T26" i="162"/>
  <c r="BX30" i="162"/>
  <c r="BX32" i="162"/>
  <c r="X35" i="162"/>
  <c r="Y36" i="162"/>
  <c r="Y35" i="162" s="1"/>
  <c r="BC35" i="162"/>
  <c r="CG35" i="162"/>
  <c r="M39" i="162"/>
  <c r="BM41" i="162"/>
  <c r="S54" i="162"/>
  <c r="BX25" i="162"/>
  <c r="S41" i="162"/>
  <c r="S75" i="162" s="1"/>
  <c r="S81" i="162" s="1"/>
  <c r="S83" i="162" s="1"/>
  <c r="S84" i="162" s="1"/>
  <c r="S86" i="162" s="1"/>
  <c r="E50" i="162"/>
  <c r="CB50" i="162"/>
  <c r="CB89" i="162" s="1"/>
  <c r="BH50" i="162"/>
  <c r="CG54" i="162"/>
  <c r="T36" i="162"/>
  <c r="T35" i="162" s="1"/>
  <c r="T41" i="162"/>
  <c r="CL42" i="162"/>
  <c r="CJ41" i="162"/>
  <c r="AI50" i="162"/>
  <c r="BM50" i="162"/>
  <c r="Y52" i="162"/>
  <c r="Y50" i="162" s="1"/>
  <c r="W50" i="162"/>
  <c r="AS50" i="162"/>
  <c r="X54" i="162"/>
  <c r="CK55" i="162"/>
  <c r="CK54" i="162" s="1"/>
  <c r="T30" i="162"/>
  <c r="T32" i="162"/>
  <c r="CJ35" i="162"/>
  <c r="CL36" i="162"/>
  <c r="CL44" i="162"/>
  <c r="CL46" i="162"/>
  <c r="BH41" i="162"/>
  <c r="AX50" i="162"/>
  <c r="AX75" i="162" s="1"/>
  <c r="CJ56" i="162"/>
  <c r="CL56" i="162" s="1"/>
  <c r="Y56" i="162"/>
  <c r="T57" i="162"/>
  <c r="CJ59" i="162"/>
  <c r="CL59" i="162" s="1"/>
  <c r="Y59" i="162"/>
  <c r="T60" i="162"/>
  <c r="CJ62" i="162"/>
  <c r="CL62" i="162" s="1"/>
  <c r="Y62" i="162"/>
  <c r="T63" i="162"/>
  <c r="CJ65" i="162"/>
  <c r="CL65" i="162" s="1"/>
  <c r="Y65" i="162"/>
  <c r="T66" i="162"/>
  <c r="J50" i="162"/>
  <c r="CJ51" i="162"/>
  <c r="CL51" i="162" s="1"/>
  <c r="T55" i="162"/>
  <c r="BR54" i="162"/>
  <c r="BR89" i="162" s="1"/>
  <c r="CJ57" i="162"/>
  <c r="CL57" i="162" s="1"/>
  <c r="Y57" i="162"/>
  <c r="T58" i="162"/>
  <c r="CJ60" i="162"/>
  <c r="CL60" i="162" s="1"/>
  <c r="Y60" i="162"/>
  <c r="T61" i="162"/>
  <c r="CJ63" i="162"/>
  <c r="CL63" i="162" s="1"/>
  <c r="Y63" i="162"/>
  <c r="T64" i="162"/>
  <c r="Y66" i="162"/>
  <c r="CJ66" i="162"/>
  <c r="CL66" i="162" s="1"/>
  <c r="BH54" i="162"/>
  <c r="BX52" i="162"/>
  <c r="BC54" i="162"/>
  <c r="BC89" i="162" s="1"/>
  <c r="T67" i="162"/>
  <c r="R54" i="162"/>
  <c r="BX51" i="162"/>
  <c r="R50" i="162"/>
  <c r="CJ55" i="162"/>
  <c r="Y55" i="162"/>
  <c r="AN54" i="162"/>
  <c r="CQ54" i="162"/>
  <c r="T56" i="162"/>
  <c r="CJ58" i="162"/>
  <c r="CL58" i="162" s="1"/>
  <c r="Y58" i="162"/>
  <c r="T59" i="162"/>
  <c r="CJ61" i="162"/>
  <c r="CL61" i="162" s="1"/>
  <c r="Y61" i="162"/>
  <c r="T62" i="162"/>
  <c r="CJ64" i="162"/>
  <c r="CL64" i="162" s="1"/>
  <c r="Y64" i="162"/>
  <c r="T65" i="162"/>
  <c r="CJ78" i="162"/>
  <c r="CJ69" i="162"/>
  <c r="CL69" i="162" s="1"/>
  <c r="Y69" i="162"/>
  <c r="T70" i="162"/>
  <c r="CQ74" i="162"/>
  <c r="CQ73" i="162" s="1"/>
  <c r="CP73" i="162"/>
  <c r="CJ70" i="162"/>
  <c r="CL70" i="162" s="1"/>
  <c r="Y70" i="162"/>
  <c r="T79" i="162"/>
  <c r="T77" i="162" s="1"/>
  <c r="S77" i="162"/>
  <c r="CJ68" i="162"/>
  <c r="CL68" i="162" s="1"/>
  <c r="Y68" i="162"/>
  <c r="T69" i="162"/>
  <c r="CJ71" i="162"/>
  <c r="CL71" i="162" s="1"/>
  <c r="Y71" i="162"/>
  <c r="CK79" i="162"/>
  <c r="CK77" i="162" s="1"/>
  <c r="X77" i="162"/>
  <c r="CB98" i="157"/>
  <c r="BW98" i="157"/>
  <c r="BC98" i="157"/>
  <c r="BR98" i="157"/>
  <c r="BM89" i="162" l="1"/>
  <c r="CB75" i="162"/>
  <c r="BX17" i="162"/>
  <c r="CJ8" i="162"/>
  <c r="Y8" i="162"/>
  <c r="Y24" i="157"/>
  <c r="CJ24" i="157"/>
  <c r="R75" i="162"/>
  <c r="R81" i="162" s="1"/>
  <c r="R83" i="162" s="1"/>
  <c r="R84" i="162" s="1"/>
  <c r="R86" i="162" s="1"/>
  <c r="T8" i="162"/>
  <c r="X75" i="162"/>
  <c r="X81" i="162" s="1"/>
  <c r="X83" i="162" s="1"/>
  <c r="CC70" i="162"/>
  <c r="CC67" i="162"/>
  <c r="CC49" i="162"/>
  <c r="CC69" i="162"/>
  <c r="CC71" i="162"/>
  <c r="CC68" i="162"/>
  <c r="CC66" i="162"/>
  <c r="CC53" i="162"/>
  <c r="CC63" i="162"/>
  <c r="CC60" i="162"/>
  <c r="CC57" i="162"/>
  <c r="CC47" i="162"/>
  <c r="CC46" i="162"/>
  <c r="CC45" i="162"/>
  <c r="CC44" i="162"/>
  <c r="CC43" i="162"/>
  <c r="CC65" i="162"/>
  <c r="CC62" i="162"/>
  <c r="CC59" i="162"/>
  <c r="CC56" i="162"/>
  <c r="CC64" i="162"/>
  <c r="CC61" i="162"/>
  <c r="CC58" i="162"/>
  <c r="CC55" i="162"/>
  <c r="CC48" i="162"/>
  <c r="CC36" i="162"/>
  <c r="CC42" i="162"/>
  <c r="CC33" i="162"/>
  <c r="CC31" i="162"/>
  <c r="CC29" i="162"/>
  <c r="CC52" i="162"/>
  <c r="CC32" i="162"/>
  <c r="CC30" i="162"/>
  <c r="CC23" i="162"/>
  <c r="CC11" i="162"/>
  <c r="CC10" i="162"/>
  <c r="CC15" i="162"/>
  <c r="CC17" i="162"/>
  <c r="CC20" i="162"/>
  <c r="CC24" i="162"/>
  <c r="CC28" i="162"/>
  <c r="CC27" i="162"/>
  <c r="CC9" i="162"/>
  <c r="CC51" i="162"/>
  <c r="CC21" i="162"/>
  <c r="CC13" i="162"/>
  <c r="CC22" i="162"/>
  <c r="CC16" i="162"/>
  <c r="CC14" i="162"/>
  <c r="CC18" i="162"/>
  <c r="CC19" i="162"/>
  <c r="CC26" i="162"/>
  <c r="CC25" i="162"/>
  <c r="CC12" i="162"/>
  <c r="CQ25" i="162"/>
  <c r="CR25" i="162" s="1"/>
  <c r="BD49" i="162"/>
  <c r="BD53" i="162"/>
  <c r="BD46" i="162"/>
  <c r="BD44" i="162"/>
  <c r="BD32" i="162"/>
  <c r="BD30" i="162"/>
  <c r="BD27" i="162"/>
  <c r="BD28" i="162"/>
  <c r="BD42" i="162"/>
  <c r="BD11" i="162"/>
  <c r="BD33" i="162"/>
  <c r="BD31" i="162"/>
  <c r="BD29" i="162"/>
  <c r="BD23" i="162"/>
  <c r="BD47" i="162"/>
  <c r="BD45" i="162"/>
  <c r="BD43" i="162"/>
  <c r="BD21" i="162"/>
  <c r="BD20" i="162"/>
  <c r="BD19" i="162"/>
  <c r="BD63" i="162"/>
  <c r="BD9" i="162"/>
  <c r="BD66" i="162"/>
  <c r="BD18" i="162"/>
  <c r="BD22" i="162"/>
  <c r="BD57" i="162"/>
  <c r="BD69" i="162"/>
  <c r="BD58" i="162"/>
  <c r="BD64" i="162"/>
  <c r="BD71" i="162"/>
  <c r="BD13" i="162"/>
  <c r="BD12" i="162"/>
  <c r="BD52" i="162"/>
  <c r="BD10" i="162"/>
  <c r="BD15" i="162"/>
  <c r="BD51" i="162"/>
  <c r="BD17" i="162"/>
  <c r="BD70" i="162"/>
  <c r="BD55" i="162"/>
  <c r="BD48" i="162"/>
  <c r="BD60" i="162"/>
  <c r="BD25" i="162"/>
  <c r="BD61" i="162"/>
  <c r="BD68" i="162"/>
  <c r="BD67" i="162"/>
  <c r="BD62" i="162"/>
  <c r="BD24" i="162"/>
  <c r="BD14" i="162"/>
  <c r="BD59" i="162"/>
  <c r="BD36" i="162"/>
  <c r="BD56" i="162"/>
  <c r="BD16" i="162"/>
  <c r="BD26" i="162"/>
  <c r="BD65" i="162"/>
  <c r="AS75" i="162"/>
  <c r="AS39" i="162"/>
  <c r="BS53" i="162"/>
  <c r="BS49" i="162"/>
  <c r="BS46" i="162"/>
  <c r="BS44" i="162"/>
  <c r="BS32" i="162"/>
  <c r="BS30" i="162"/>
  <c r="BS27" i="162"/>
  <c r="BS47" i="162"/>
  <c r="BS45" i="162"/>
  <c r="BS43" i="162"/>
  <c r="BS28" i="162"/>
  <c r="BS23" i="162"/>
  <c r="BS11" i="162"/>
  <c r="BS42" i="162"/>
  <c r="BS10" i="162"/>
  <c r="BS33" i="162"/>
  <c r="BS31" i="162"/>
  <c r="BS29" i="162"/>
  <c r="BS25" i="162"/>
  <c r="BS9" i="162"/>
  <c r="BS19" i="162"/>
  <c r="BS62" i="162"/>
  <c r="BS21" i="162"/>
  <c r="BS14" i="162"/>
  <c r="BS24" i="162"/>
  <c r="BS63" i="162"/>
  <c r="BS59" i="162"/>
  <c r="BS71" i="162"/>
  <c r="BS16" i="162"/>
  <c r="BS22" i="162"/>
  <c r="BS26" i="162"/>
  <c r="BS60" i="162"/>
  <c r="BS52" i="162"/>
  <c r="BS64" i="162"/>
  <c r="BS56" i="162"/>
  <c r="BS66" i="162"/>
  <c r="BS67" i="162"/>
  <c r="BS17" i="162"/>
  <c r="BS12" i="162"/>
  <c r="BS18" i="162"/>
  <c r="BS36" i="162"/>
  <c r="BS57" i="162"/>
  <c r="BS61" i="162"/>
  <c r="BS48" i="162"/>
  <c r="BS68" i="162"/>
  <c r="BS69" i="162"/>
  <c r="BS13" i="162"/>
  <c r="BS15" i="162"/>
  <c r="BS55" i="162"/>
  <c r="BS58" i="162"/>
  <c r="BS51" i="162"/>
  <c r="BS70" i="162"/>
  <c r="BS20" i="162"/>
  <c r="BS65" i="162"/>
  <c r="J75" i="162"/>
  <c r="J39" i="162"/>
  <c r="CQ15" i="162"/>
  <c r="CR15" i="162" s="1"/>
  <c r="CF75" i="162"/>
  <c r="CF39" i="162"/>
  <c r="BN20" i="162"/>
  <c r="CQ31" i="162"/>
  <c r="CR31" i="162" s="1"/>
  <c r="AQ75" i="162"/>
  <c r="AQ39" i="162"/>
  <c r="CQ13" i="162"/>
  <c r="CR13" i="162" s="1"/>
  <c r="CJ6" i="162"/>
  <c r="W5" i="162"/>
  <c r="W38" i="162" s="1"/>
  <c r="W75" i="162" s="1"/>
  <c r="Y6" i="162"/>
  <c r="Y5" i="162" s="1"/>
  <c r="Y38" i="162" s="1"/>
  <c r="BV81" i="162"/>
  <c r="BV83" i="162" s="1"/>
  <c r="BV84" i="162" s="1"/>
  <c r="BV86" i="162" s="1"/>
  <c r="BV87" i="162" s="1"/>
  <c r="BV76" i="162"/>
  <c r="BN13" i="162"/>
  <c r="BC75" i="162"/>
  <c r="BC39" i="162"/>
  <c r="AX76" i="162"/>
  <c r="CW24" i="162"/>
  <c r="CT24" i="162"/>
  <c r="CQ16" i="162"/>
  <c r="CR16" i="162" s="1"/>
  <c r="CR22" i="162"/>
  <c r="CT22" i="162"/>
  <c r="CL41" i="162"/>
  <c r="BB75" i="162"/>
  <c r="BB39" i="162"/>
  <c r="AR81" i="162"/>
  <c r="AR83" i="162" s="1"/>
  <c r="AR84" i="162" s="1"/>
  <c r="AR86" i="162" s="1"/>
  <c r="AR87" i="162" s="1"/>
  <c r="AR76" i="162"/>
  <c r="CA81" i="162"/>
  <c r="CA83" i="162" s="1"/>
  <c r="CA84" i="162" s="1"/>
  <c r="CA86" i="162" s="1"/>
  <c r="CA87" i="162" s="1"/>
  <c r="CA76" i="162"/>
  <c r="CQ29" i="162"/>
  <c r="CR29" i="162" s="1"/>
  <c r="CP75" i="162"/>
  <c r="CP39" i="162"/>
  <c r="AG75" i="162"/>
  <c r="AG39" i="162"/>
  <c r="BQ81" i="162"/>
  <c r="BQ83" i="162" s="1"/>
  <c r="BQ84" i="162" s="1"/>
  <c r="BQ86" i="162" s="1"/>
  <c r="BQ87" i="162" s="1"/>
  <c r="BQ76" i="162"/>
  <c r="BH89" i="162"/>
  <c r="AH81" i="162"/>
  <c r="AH83" i="162" s="1"/>
  <c r="AH84" i="162" s="1"/>
  <c r="AH86" i="162" s="1"/>
  <c r="AH87" i="162" s="1"/>
  <c r="AH76" i="162"/>
  <c r="Y54" i="162"/>
  <c r="T54" i="162"/>
  <c r="T89" i="162" s="1"/>
  <c r="BN51" i="162"/>
  <c r="BN9" i="162"/>
  <c r="CE75" i="162"/>
  <c r="CE39" i="162"/>
  <c r="CQ12" i="162"/>
  <c r="CR12" i="162" s="1"/>
  <c r="BN22" i="162"/>
  <c r="BP76" i="162"/>
  <c r="BP81" i="162"/>
  <c r="BP83" i="162" s="1"/>
  <c r="BP84" i="162" s="1"/>
  <c r="BP86" i="162" s="1"/>
  <c r="BP87" i="162" s="1"/>
  <c r="AB76" i="162"/>
  <c r="AI38" i="162"/>
  <c r="AN38" i="162"/>
  <c r="CL78" i="162"/>
  <c r="CJ54" i="162"/>
  <c r="CL55" i="162"/>
  <c r="CL35" i="162"/>
  <c r="CQ36" i="162"/>
  <c r="BN48" i="162"/>
  <c r="BN14" i="162"/>
  <c r="BN17" i="162"/>
  <c r="BG76" i="162"/>
  <c r="BG81" i="162"/>
  <c r="BG83" i="162" s="1"/>
  <c r="BG84" i="162" s="1"/>
  <c r="BG86" i="162" s="1"/>
  <c r="BG87" i="162" s="1"/>
  <c r="BN27" i="162"/>
  <c r="CG89" i="162"/>
  <c r="BU75" i="162"/>
  <c r="BU39" i="162"/>
  <c r="AM76" i="162"/>
  <c r="AM81" i="162"/>
  <c r="AM83" i="162" s="1"/>
  <c r="AM84" i="162" s="1"/>
  <c r="AM86" i="162" s="1"/>
  <c r="AM87" i="162" s="1"/>
  <c r="O89" i="162"/>
  <c r="BN12" i="162"/>
  <c r="AL75" i="162"/>
  <c r="AL39" i="162"/>
  <c r="CQ14" i="162"/>
  <c r="CR14" i="162" s="1"/>
  <c r="CG38" i="162"/>
  <c r="O38" i="162"/>
  <c r="BZ81" i="162"/>
  <c r="BZ83" i="162" s="1"/>
  <c r="BZ84" i="162" s="1"/>
  <c r="BZ86" i="162" s="1"/>
  <c r="BZ87" i="162" s="1"/>
  <c r="BZ76" i="162"/>
  <c r="CQ17" i="162"/>
  <c r="CR17" i="162" s="1"/>
  <c r="BH38" i="162"/>
  <c r="N81" i="162"/>
  <c r="N83" i="162" s="1"/>
  <c r="N84" i="162" s="1"/>
  <c r="N86" i="162" s="1"/>
  <c r="N87" i="162" s="1"/>
  <c r="N76" i="162"/>
  <c r="CL50" i="162"/>
  <c r="BN67" i="162"/>
  <c r="BN69" i="162"/>
  <c r="BN53" i="162"/>
  <c r="BN49" i="162"/>
  <c r="BN71" i="162"/>
  <c r="BN70" i="162"/>
  <c r="BN65" i="162"/>
  <c r="BN62" i="162"/>
  <c r="BN59" i="162"/>
  <c r="BN56" i="162"/>
  <c r="BN47" i="162"/>
  <c r="BN46" i="162"/>
  <c r="BN45" i="162"/>
  <c r="BN44" i="162"/>
  <c r="BN43" i="162"/>
  <c r="BN61" i="162"/>
  <c r="BN60" i="162"/>
  <c r="BN36" i="162"/>
  <c r="BN42" i="162"/>
  <c r="BN33" i="162"/>
  <c r="BN31" i="162"/>
  <c r="BN29" i="162"/>
  <c r="BN66" i="162"/>
  <c r="BN64" i="162"/>
  <c r="BN63" i="162"/>
  <c r="BN55" i="162"/>
  <c r="BN52" i="162"/>
  <c r="BN58" i="162"/>
  <c r="BN57" i="162"/>
  <c r="BN32" i="162"/>
  <c r="BN30" i="162"/>
  <c r="BN25" i="162"/>
  <c r="BN68" i="162"/>
  <c r="BN23" i="162"/>
  <c r="BN11" i="162"/>
  <c r="BK75" i="162"/>
  <c r="BK39" i="162"/>
  <c r="BN19" i="162"/>
  <c r="BN16" i="162"/>
  <c r="BR75" i="162"/>
  <c r="BR39" i="162"/>
  <c r="CQ18" i="162"/>
  <c r="CR18" i="162" s="1"/>
  <c r="AW76" i="162"/>
  <c r="AW81" i="162"/>
  <c r="AW83" i="162" s="1"/>
  <c r="AW84" i="162" s="1"/>
  <c r="AW86" i="162" s="1"/>
  <c r="AW87" i="162" s="1"/>
  <c r="BN18" i="162"/>
  <c r="E89" i="162"/>
  <c r="P54" i="162" s="1"/>
  <c r="H75" i="162"/>
  <c r="H39" i="162"/>
  <c r="CJ50" i="162"/>
  <c r="BW75" i="162"/>
  <c r="BW39" i="162"/>
  <c r="E38" i="162"/>
  <c r="CB81" i="162"/>
  <c r="CB83" i="162" s="1"/>
  <c r="CB84" i="162" s="1"/>
  <c r="CB86" i="162" s="1"/>
  <c r="CB87" i="162" s="1"/>
  <c r="CB76" i="162"/>
  <c r="AD75" i="162"/>
  <c r="AD39" i="162"/>
  <c r="T38" i="162"/>
  <c r="T75" i="162" s="1"/>
  <c r="T81" i="162" s="1"/>
  <c r="T83" i="162" s="1"/>
  <c r="T84" i="162" s="1"/>
  <c r="T86" i="162" s="1"/>
  <c r="J89" i="162"/>
  <c r="AC76" i="162"/>
  <c r="AC81" i="162"/>
  <c r="AC83" i="162" s="1"/>
  <c r="AC84" i="162" s="1"/>
  <c r="BN26" i="162"/>
  <c r="BN15" i="162"/>
  <c r="BA39" i="162"/>
  <c r="BA75" i="162"/>
  <c r="C76" i="162"/>
  <c r="C81" i="162"/>
  <c r="C83" i="162" s="1"/>
  <c r="C84" i="162" s="1"/>
  <c r="BN28" i="162"/>
  <c r="BN24" i="162"/>
  <c r="CL9" i="162"/>
  <c r="CK8" i="162"/>
  <c r="CK38" i="162" s="1"/>
  <c r="BM38" i="162"/>
  <c r="BL81" i="162"/>
  <c r="BL83" i="162" s="1"/>
  <c r="BL84" i="162" s="1"/>
  <c r="BL86" i="162" s="1"/>
  <c r="BL87" i="162" s="1"/>
  <c r="BL76" i="162"/>
  <c r="D81" i="162"/>
  <c r="D83" i="162" s="1"/>
  <c r="D84" i="162" s="1"/>
  <c r="D76" i="162"/>
  <c r="AV76" i="162"/>
  <c r="BF81" i="162"/>
  <c r="BF83" i="162" s="1"/>
  <c r="BF84" i="162" s="1"/>
  <c r="BF86" i="162" s="1"/>
  <c r="BF87" i="162" s="1"/>
  <c r="BF76" i="162"/>
  <c r="BM98" i="157"/>
  <c r="BH98" i="157"/>
  <c r="CG98" i="157"/>
  <c r="CL24" i="157" l="1"/>
  <c r="BN10" i="162"/>
  <c r="BN21" i="162"/>
  <c r="BA76" i="162"/>
  <c r="BA81" i="162"/>
  <c r="BA83" i="162" s="1"/>
  <c r="BA84" i="162" s="1"/>
  <c r="BA86" i="162" s="1"/>
  <c r="BA87" i="162" s="1"/>
  <c r="H76" i="162"/>
  <c r="H81" i="162"/>
  <c r="H83" i="162" s="1"/>
  <c r="H84" i="162" s="1"/>
  <c r="H86" i="162" s="1"/>
  <c r="H87" i="162" s="1"/>
  <c r="T90" i="162"/>
  <c r="P85" i="162"/>
  <c r="P74" i="162"/>
  <c r="P72" i="162"/>
  <c r="P78" i="162"/>
  <c r="P53" i="162"/>
  <c r="P47" i="162"/>
  <c r="P45" i="162"/>
  <c r="P43" i="162"/>
  <c r="P32" i="162"/>
  <c r="P30" i="162"/>
  <c r="P27" i="162"/>
  <c r="P42" i="162"/>
  <c r="P33" i="162"/>
  <c r="P31" i="162"/>
  <c r="P29" i="162"/>
  <c r="P28" i="162"/>
  <c r="P24" i="162"/>
  <c r="P48" i="162"/>
  <c r="P44" i="162"/>
  <c r="P10" i="162"/>
  <c r="P23" i="162"/>
  <c r="P11" i="162"/>
  <c r="P46" i="162"/>
  <c r="P36" i="162"/>
  <c r="P20" i="162"/>
  <c r="P14" i="162"/>
  <c r="P16" i="162"/>
  <c r="P21" i="162"/>
  <c r="P58" i="162"/>
  <c r="P70" i="162"/>
  <c r="P59" i="162"/>
  <c r="P65" i="162"/>
  <c r="P68" i="162"/>
  <c r="P52" i="162"/>
  <c r="P22" i="162"/>
  <c r="P15" i="162"/>
  <c r="P55" i="162"/>
  <c r="P25" i="162"/>
  <c r="P71" i="162"/>
  <c r="P51" i="162"/>
  <c r="P67" i="162"/>
  <c r="P82" i="162"/>
  <c r="P9" i="162"/>
  <c r="P19" i="162"/>
  <c r="P60" i="162"/>
  <c r="P17" i="162"/>
  <c r="P26" i="162"/>
  <c r="P61" i="162"/>
  <c r="P13" i="162"/>
  <c r="P56" i="162"/>
  <c r="P62" i="162"/>
  <c r="P69" i="162"/>
  <c r="P63" i="162"/>
  <c r="P66" i="162"/>
  <c r="P12" i="162"/>
  <c r="P18" i="162"/>
  <c r="P79" i="162"/>
  <c r="P64" i="162"/>
  <c r="P57" i="162"/>
  <c r="CH49" i="162"/>
  <c r="CH53" i="162"/>
  <c r="CH46" i="162"/>
  <c r="CH44" i="162"/>
  <c r="CH32" i="162"/>
  <c r="CH30" i="162"/>
  <c r="CH27" i="162"/>
  <c r="CH28" i="162"/>
  <c r="CH33" i="162"/>
  <c r="CH23" i="162"/>
  <c r="CH21" i="162"/>
  <c r="CH19" i="162"/>
  <c r="CH29" i="162"/>
  <c r="CH11" i="162"/>
  <c r="CH42" i="162"/>
  <c r="CH31" i="162"/>
  <c r="CH20" i="162"/>
  <c r="CH47" i="162"/>
  <c r="CH45" i="162"/>
  <c r="CH43" i="162"/>
  <c r="CH10" i="162"/>
  <c r="CH17" i="162"/>
  <c r="CH15" i="162"/>
  <c r="CH36" i="162"/>
  <c r="CH55" i="162"/>
  <c r="CH16" i="162"/>
  <c r="CH13" i="162"/>
  <c r="CH22" i="162"/>
  <c r="CH68" i="162"/>
  <c r="CH25" i="162"/>
  <c r="CH63" i="162"/>
  <c r="CH60" i="162"/>
  <c r="CH70" i="162"/>
  <c r="CH59" i="162"/>
  <c r="CH65" i="162"/>
  <c r="CH18" i="162"/>
  <c r="CH51" i="162"/>
  <c r="CH64" i="162"/>
  <c r="CH61" i="162"/>
  <c r="CH57" i="162"/>
  <c r="CH66" i="162"/>
  <c r="CH69" i="162"/>
  <c r="CH12" i="162"/>
  <c r="CH9" i="162"/>
  <c r="CH71" i="162"/>
  <c r="CH26" i="162"/>
  <c r="CH58" i="162"/>
  <c r="CH52" i="162"/>
  <c r="CH48" i="162"/>
  <c r="CH67" i="162"/>
  <c r="CH24" i="162"/>
  <c r="CH14" i="162"/>
  <c r="CH56" i="162"/>
  <c r="CH62" i="162"/>
  <c r="AN75" i="162"/>
  <c r="AN39" i="162"/>
  <c r="K50" i="162"/>
  <c r="E75" i="162"/>
  <c r="E39" i="162"/>
  <c r="F8" i="162"/>
  <c r="BH75" i="162"/>
  <c r="BH39" i="162"/>
  <c r="CL54" i="162"/>
  <c r="AI75" i="162"/>
  <c r="AI39" i="162"/>
  <c r="BB81" i="162"/>
  <c r="BB83" i="162" s="1"/>
  <c r="BB84" i="162" s="1"/>
  <c r="BB86" i="162" s="1"/>
  <c r="BB87" i="162" s="1"/>
  <c r="BB76" i="162"/>
  <c r="AS76" i="162"/>
  <c r="CT18" i="162"/>
  <c r="CW18" i="162"/>
  <c r="F71" i="162"/>
  <c r="F68" i="162"/>
  <c r="F70" i="162"/>
  <c r="F69" i="162"/>
  <c r="K53" i="162"/>
  <c r="F64" i="162"/>
  <c r="F61" i="162"/>
  <c r="F58" i="162"/>
  <c r="F55" i="162"/>
  <c r="K54" i="162"/>
  <c r="F66" i="162"/>
  <c r="F63" i="162"/>
  <c r="F60" i="162"/>
  <c r="F57" i="162"/>
  <c r="F67" i="162"/>
  <c r="F65" i="162"/>
  <c r="F62" i="162"/>
  <c r="F59" i="162"/>
  <c r="F56" i="162"/>
  <c r="F54" i="162"/>
  <c r="F53" i="162"/>
  <c r="F48" i="162"/>
  <c r="F46" i="162"/>
  <c r="F44" i="162"/>
  <c r="P41" i="162"/>
  <c r="F27" i="162"/>
  <c r="F41" i="162"/>
  <c r="F36" i="162"/>
  <c r="F42" i="162"/>
  <c r="F28" i="162"/>
  <c r="F32" i="162"/>
  <c r="F30" i="162"/>
  <c r="F23" i="162"/>
  <c r="F17" i="162"/>
  <c r="F47" i="162"/>
  <c r="F45" i="162"/>
  <c r="F43" i="162"/>
  <c r="F26" i="162"/>
  <c r="F24" i="162"/>
  <c r="P50" i="162"/>
  <c r="F13" i="162"/>
  <c r="F9" i="162"/>
  <c r="F18" i="162"/>
  <c r="F21" i="162"/>
  <c r="F29" i="162"/>
  <c r="F33" i="162"/>
  <c r="F14" i="162"/>
  <c r="F25" i="162"/>
  <c r="F19" i="162"/>
  <c r="F22" i="162"/>
  <c r="F10" i="162"/>
  <c r="F52" i="162"/>
  <c r="F12" i="162"/>
  <c r="K41" i="162"/>
  <c r="F31" i="162"/>
  <c r="F11" i="162"/>
  <c r="F20" i="162"/>
  <c r="F16" i="162"/>
  <c r="F15" i="162"/>
  <c r="F51" i="162"/>
  <c r="BW76" i="162"/>
  <c r="BW81" i="162"/>
  <c r="BW83" i="162" s="1"/>
  <c r="BW84" i="162" s="1"/>
  <c r="BW86" i="162" s="1"/>
  <c r="BW87" i="162" s="1"/>
  <c r="BR81" i="162"/>
  <c r="BR83" i="162" s="1"/>
  <c r="BR84" i="162" s="1"/>
  <c r="BR86" i="162" s="1"/>
  <c r="BR87" i="162" s="1"/>
  <c r="BR76" i="162"/>
  <c r="CG75" i="162"/>
  <c r="CG39" i="162"/>
  <c r="AL76" i="162"/>
  <c r="AG76" i="162"/>
  <c r="Y75" i="162"/>
  <c r="CW25" i="162"/>
  <c r="CT25" i="162"/>
  <c r="BK76" i="162"/>
  <c r="BK81" i="162"/>
  <c r="BK83" i="162" s="1"/>
  <c r="BK84" i="162" s="1"/>
  <c r="BK86" i="162" s="1"/>
  <c r="BK87" i="162" s="1"/>
  <c r="O75" i="162"/>
  <c r="O39" i="162"/>
  <c r="CK75" i="162"/>
  <c r="CK39" i="162"/>
  <c r="CE76" i="162"/>
  <c r="CE81" i="162"/>
  <c r="CE83" i="162" s="1"/>
  <c r="CE84" i="162" s="1"/>
  <c r="CE86" i="162" s="1"/>
  <c r="CE87" i="162" s="1"/>
  <c r="BC76" i="162"/>
  <c r="BC81" i="162"/>
  <c r="BC83" i="162" s="1"/>
  <c r="BC84" i="162" s="1"/>
  <c r="BC86" i="162" s="1"/>
  <c r="BC87" i="162" s="1"/>
  <c r="BM75" i="162"/>
  <c r="BM39" i="162"/>
  <c r="K8" i="162"/>
  <c r="C86" i="162"/>
  <c r="C87" i="162" s="1"/>
  <c r="K72" i="162"/>
  <c r="K74" i="162"/>
  <c r="K70" i="162"/>
  <c r="K67" i="162"/>
  <c r="K69" i="162"/>
  <c r="K79" i="162"/>
  <c r="K71" i="162"/>
  <c r="K68" i="162"/>
  <c r="K78" i="162"/>
  <c r="K66" i="162"/>
  <c r="K63" i="162"/>
  <c r="K60" i="162"/>
  <c r="K57" i="162"/>
  <c r="K51" i="162"/>
  <c r="K48" i="162"/>
  <c r="K47" i="162"/>
  <c r="K46" i="162"/>
  <c r="K45" i="162"/>
  <c r="K44" i="162"/>
  <c r="K65" i="162"/>
  <c r="K62" i="162"/>
  <c r="K59" i="162"/>
  <c r="K56" i="162"/>
  <c r="K64" i="162"/>
  <c r="K61" i="162"/>
  <c r="K58" i="162"/>
  <c r="K55" i="162"/>
  <c r="K42" i="162"/>
  <c r="K33" i="162"/>
  <c r="K31" i="162"/>
  <c r="K29" i="162"/>
  <c r="K43" i="162"/>
  <c r="K36" i="162"/>
  <c r="K24" i="162"/>
  <c r="K32" i="162"/>
  <c r="K30" i="162"/>
  <c r="K23" i="162"/>
  <c r="K11" i="162"/>
  <c r="K14" i="162"/>
  <c r="K28" i="162"/>
  <c r="K25" i="162"/>
  <c r="K27" i="162"/>
  <c r="K18" i="162"/>
  <c r="K21" i="162"/>
  <c r="K10" i="162"/>
  <c r="K16" i="162"/>
  <c r="K26" i="162"/>
  <c r="K20" i="162"/>
  <c r="K17" i="162"/>
  <c r="K12" i="162"/>
  <c r="K52" i="162"/>
  <c r="K82" i="162"/>
  <c r="K13" i="162"/>
  <c r="K22" i="162"/>
  <c r="K15" i="162"/>
  <c r="K19" i="162"/>
  <c r="K9" i="162"/>
  <c r="K85" i="162"/>
  <c r="AD76" i="162"/>
  <c r="CR36" i="162"/>
  <c r="CR35" i="162" s="1"/>
  <c r="CQ35" i="162"/>
  <c r="CF81" i="162"/>
  <c r="CF83" i="162" s="1"/>
  <c r="CF84" i="162" s="1"/>
  <c r="CF86" i="162" s="1"/>
  <c r="CF87" i="162" s="1"/>
  <c r="CF76" i="162"/>
  <c r="AC86" i="162"/>
  <c r="AC87" i="162" s="1"/>
  <c r="D86" i="162"/>
  <c r="D87" i="162" s="1"/>
  <c r="CQ9" i="162"/>
  <c r="CL8" i="162"/>
  <c r="F50" i="162"/>
  <c r="P8" i="162"/>
  <c r="BU81" i="162"/>
  <c r="BU83" i="162" s="1"/>
  <c r="BU84" i="162" s="1"/>
  <c r="BU86" i="162" s="1"/>
  <c r="BU87" i="162" s="1"/>
  <c r="BU76" i="162"/>
  <c r="BI70" i="162"/>
  <c r="BI53" i="162"/>
  <c r="BI49" i="162"/>
  <c r="BI68" i="162"/>
  <c r="BI66" i="162"/>
  <c r="BI63" i="162"/>
  <c r="BI60" i="162"/>
  <c r="BI57" i="162"/>
  <c r="BI69" i="162"/>
  <c r="BI58" i="162"/>
  <c r="BI27" i="162"/>
  <c r="BI59" i="162"/>
  <c r="BI47" i="162"/>
  <c r="BI45" i="162"/>
  <c r="BI43" i="162"/>
  <c r="BI61" i="162"/>
  <c r="BI36" i="162"/>
  <c r="BI28" i="162"/>
  <c r="BI65" i="162"/>
  <c r="BI64" i="162"/>
  <c r="BI55" i="162"/>
  <c r="BI46" i="162"/>
  <c r="BI44" i="162"/>
  <c r="BI71" i="162"/>
  <c r="BI62" i="162"/>
  <c r="BI23" i="162"/>
  <c r="BI16" i="162"/>
  <c r="BI56" i="162"/>
  <c r="BI42" i="162"/>
  <c r="BI33" i="162"/>
  <c r="BI31" i="162"/>
  <c r="BI29" i="162"/>
  <c r="BI18" i="162"/>
  <c r="BI12" i="162"/>
  <c r="BI9" i="162"/>
  <c r="BI11" i="162"/>
  <c r="BI48" i="162"/>
  <c r="BI67" i="162"/>
  <c r="BI17" i="162"/>
  <c r="BI21" i="162"/>
  <c r="BI51" i="162"/>
  <c r="BI30" i="162"/>
  <c r="BI13" i="162"/>
  <c r="BI19" i="162"/>
  <c r="BI32" i="162"/>
  <c r="BI10" i="162"/>
  <c r="BI14" i="162"/>
  <c r="BI15" i="162"/>
  <c r="BI24" i="162"/>
  <c r="BI26" i="162"/>
  <c r="BI25" i="162"/>
  <c r="BI52" i="162"/>
  <c r="BI22" i="162"/>
  <c r="BI20" i="162"/>
  <c r="CP76" i="162"/>
  <c r="CP81" i="162"/>
  <c r="CP83" i="162" s="1"/>
  <c r="CP84" i="162" s="1"/>
  <c r="CP86" i="162" s="1"/>
  <c r="CP87" i="162" s="1"/>
  <c r="CL6" i="162"/>
  <c r="CJ5" i="162"/>
  <c r="CJ38" i="162" s="1"/>
  <c r="AQ76" i="162"/>
  <c r="J81" i="162"/>
  <c r="J83" i="162" s="1"/>
  <c r="J84" i="162" s="1"/>
  <c r="J86" i="162" s="1"/>
  <c r="J87" i="162" s="1"/>
  <c r="J76" i="162"/>
  <c r="O76" i="162" l="1"/>
  <c r="O81" i="162"/>
  <c r="O83" i="162" s="1"/>
  <c r="O84" i="162" s="1"/>
  <c r="O86" i="162" s="1"/>
  <c r="O87" i="162" s="1"/>
  <c r="CR9" i="162"/>
  <c r="CQ8" i="162"/>
  <c r="BH81" i="162"/>
  <c r="BH83" i="162" s="1"/>
  <c r="BH84" i="162" s="1"/>
  <c r="BH86" i="162" s="1"/>
  <c r="BH87" i="162" s="1"/>
  <c r="BH76" i="162"/>
  <c r="AN76" i="162"/>
  <c r="CK81" i="162"/>
  <c r="CK83" i="162" s="1"/>
  <c r="CK76" i="162"/>
  <c r="BM76" i="162"/>
  <c r="BM81" i="162"/>
  <c r="BM83" i="162" s="1"/>
  <c r="BM84" i="162" s="1"/>
  <c r="BM86" i="162" s="1"/>
  <c r="BM87" i="162" s="1"/>
  <c r="CG76" i="162"/>
  <c r="CG81" i="162"/>
  <c r="CG83" i="162" s="1"/>
  <c r="CG84" i="162" s="1"/>
  <c r="CG86" i="162" s="1"/>
  <c r="CG87" i="162" s="1"/>
  <c r="AI76" i="162"/>
  <c r="CJ75" i="162"/>
  <c r="CJ39" i="162"/>
  <c r="E76" i="162"/>
  <c r="E81" i="162"/>
  <c r="E83" i="162" s="1"/>
  <c r="E84" i="162" s="1"/>
  <c r="E86" i="162" s="1"/>
  <c r="E87" i="162" s="1"/>
  <c r="CL5" i="162"/>
  <c r="CL38" i="162" s="1"/>
  <c r="CQ6" i="162"/>
  <c r="X84" i="162"/>
  <c r="CJ76" i="162" l="1"/>
  <c r="CQ5" i="162"/>
  <c r="CQ38" i="162" s="1"/>
  <c r="CR6" i="162"/>
  <c r="CL75" i="162"/>
  <c r="CL39" i="162"/>
  <c r="CW9" i="162"/>
  <c r="CR8" i="162"/>
  <c r="CT9" i="162"/>
  <c r="X86" i="162"/>
  <c r="CK84" i="162"/>
  <c r="CK86" i="162" s="1"/>
  <c r="CK87" i="162" s="1"/>
  <c r="CT6" i="162" l="1"/>
  <c r="CR5" i="162"/>
  <c r="CR38" i="162" s="1"/>
  <c r="CL76" i="162"/>
  <c r="CQ75" i="162"/>
  <c r="CQ39" i="162"/>
  <c r="CR75" i="162" l="1"/>
  <c r="CR39" i="162"/>
  <c r="CQ76" i="162"/>
  <c r="CR76" i="162" l="1"/>
  <c r="CP85" i="161" l="1"/>
  <c r="CQ85" i="161" s="1"/>
  <c r="CK85" i="161"/>
  <c r="CJ85" i="161"/>
  <c r="CL85" i="161" s="1"/>
  <c r="CG85" i="161"/>
  <c r="CB85" i="161"/>
  <c r="BW85" i="161"/>
  <c r="BR85" i="161"/>
  <c r="BM85" i="161"/>
  <c r="BH85" i="161"/>
  <c r="BC85" i="161"/>
  <c r="AX85" i="161"/>
  <c r="AS85" i="161"/>
  <c r="AN85" i="161"/>
  <c r="AI85" i="161"/>
  <c r="AD85" i="161"/>
  <c r="X85" i="161"/>
  <c r="W85" i="161"/>
  <c r="Y85" i="161" s="1"/>
  <c r="S85" i="161"/>
  <c r="R85" i="161"/>
  <c r="T85" i="161" s="1"/>
  <c r="O85" i="161"/>
  <c r="J85" i="161"/>
  <c r="E85" i="161"/>
  <c r="CQ82" i="161"/>
  <c r="CP82" i="161"/>
  <c r="CL82" i="161"/>
  <c r="CG82" i="161"/>
  <c r="CB82" i="161"/>
  <c r="BW82" i="161"/>
  <c r="BR82" i="161"/>
  <c r="BM82" i="161"/>
  <c r="BH82" i="161"/>
  <c r="BC82" i="161"/>
  <c r="AX82" i="161"/>
  <c r="AS82" i="161"/>
  <c r="AN82" i="161"/>
  <c r="AI82" i="161"/>
  <c r="AD82" i="161"/>
  <c r="X82" i="161"/>
  <c r="W82" i="161"/>
  <c r="Y82" i="161" s="1"/>
  <c r="S82" i="161"/>
  <c r="R82" i="161"/>
  <c r="T82" i="161" s="1"/>
  <c r="O82" i="161"/>
  <c r="J82" i="161"/>
  <c r="E82" i="161"/>
  <c r="CK80" i="161"/>
  <c r="CJ80" i="161"/>
  <c r="CP79" i="161"/>
  <c r="CG79" i="161"/>
  <c r="CB79" i="161"/>
  <c r="BW79" i="161"/>
  <c r="BR79" i="161"/>
  <c r="BM79" i="161"/>
  <c r="BH79" i="161"/>
  <c r="BC79" i="161"/>
  <c r="X79" i="161"/>
  <c r="CK79" i="161" s="1"/>
  <c r="S79" i="161"/>
  <c r="R79" i="161"/>
  <c r="T79" i="161" s="1"/>
  <c r="O79" i="161"/>
  <c r="J79" i="161"/>
  <c r="E79" i="161"/>
  <c r="CP78" i="161"/>
  <c r="CG78" i="161"/>
  <c r="CB78" i="161"/>
  <c r="BW78" i="161"/>
  <c r="BW77" i="161" s="1"/>
  <c r="BR78" i="161"/>
  <c r="BR77" i="161" s="1"/>
  <c r="BM78" i="161"/>
  <c r="BH78" i="161"/>
  <c r="BC78" i="161"/>
  <c r="AX78" i="161"/>
  <c r="AS78" i="161"/>
  <c r="AN78" i="161"/>
  <c r="AI78" i="161"/>
  <c r="AD78" i="161"/>
  <c r="X78" i="161"/>
  <c r="CK78" i="161" s="1"/>
  <c r="CK77" i="161" s="1"/>
  <c r="W78" i="161"/>
  <c r="S78" i="161"/>
  <c r="R78" i="161"/>
  <c r="O78" i="161"/>
  <c r="J78" i="161"/>
  <c r="J77" i="161" s="1"/>
  <c r="E78" i="161"/>
  <c r="CF77" i="161"/>
  <c r="CE77" i="161"/>
  <c r="CB77" i="161"/>
  <c r="CA77" i="161"/>
  <c r="BZ77" i="161"/>
  <c r="BV77" i="161"/>
  <c r="BU77" i="161"/>
  <c r="BQ77" i="161"/>
  <c r="BP77" i="161"/>
  <c r="BM77" i="161"/>
  <c r="BL77" i="161"/>
  <c r="BK77" i="161"/>
  <c r="BG77" i="161"/>
  <c r="BF77" i="161"/>
  <c r="BB77" i="161"/>
  <c r="BA77" i="161"/>
  <c r="AW77" i="161"/>
  <c r="AR77" i="161"/>
  <c r="AM77" i="161"/>
  <c r="AH77" i="161"/>
  <c r="AC77" i="161"/>
  <c r="X77" i="161"/>
  <c r="S77" i="161"/>
  <c r="N77" i="161"/>
  <c r="M77" i="161"/>
  <c r="I77" i="161"/>
  <c r="H77" i="161"/>
  <c r="E77" i="161"/>
  <c r="D77" i="161"/>
  <c r="C77" i="161"/>
  <c r="CP74" i="161"/>
  <c r="CQ74" i="161" s="1"/>
  <c r="CQ73" i="161" s="1"/>
  <c r="CK74" i="161"/>
  <c r="CJ74" i="161"/>
  <c r="CL74" i="161" s="1"/>
  <c r="CL73" i="161" s="1"/>
  <c r="CG74" i="161"/>
  <c r="CB74" i="161"/>
  <c r="BW74" i="161"/>
  <c r="BW73" i="161" s="1"/>
  <c r="BR74" i="161"/>
  <c r="BM74" i="161"/>
  <c r="BM73" i="161" s="1"/>
  <c r="BH74" i="161"/>
  <c r="BH73" i="161" s="1"/>
  <c r="BC74" i="161"/>
  <c r="AX74" i="161"/>
  <c r="AS74" i="161"/>
  <c r="AS73" i="161" s="1"/>
  <c r="AN74" i="161"/>
  <c r="AI74" i="161"/>
  <c r="AI73" i="161" s="1"/>
  <c r="AD74" i="161"/>
  <c r="X74" i="161"/>
  <c r="W74" i="161"/>
  <c r="W73" i="161" s="1"/>
  <c r="O74" i="161"/>
  <c r="O73" i="161" s="1"/>
  <c r="J74" i="161"/>
  <c r="E74" i="161"/>
  <c r="CK73" i="161"/>
  <c r="CJ73" i="161"/>
  <c r="CG73" i="161"/>
  <c r="CF73" i="161"/>
  <c r="CE73" i="161"/>
  <c r="CB73" i="161"/>
  <c r="CA73" i="161"/>
  <c r="BZ73" i="161"/>
  <c r="BV73" i="161"/>
  <c r="BU73" i="161"/>
  <c r="BR73" i="161"/>
  <c r="BQ73" i="161"/>
  <c r="BP73" i="161"/>
  <c r="BL73" i="161"/>
  <c r="BK73" i="161"/>
  <c r="BG73" i="161"/>
  <c r="BF73" i="161"/>
  <c r="BC73" i="161"/>
  <c r="BB73" i="161"/>
  <c r="BA73" i="161"/>
  <c r="AX73" i="161"/>
  <c r="AW73" i="161"/>
  <c r="AV73" i="161"/>
  <c r="AR73" i="161"/>
  <c r="AQ73" i="161"/>
  <c r="AN73" i="161"/>
  <c r="AM73" i="161"/>
  <c r="AL73" i="161"/>
  <c r="AH73" i="161"/>
  <c r="AG73" i="161"/>
  <c r="CP76" i="157" s="1"/>
  <c r="AD73" i="161"/>
  <c r="AC73" i="161"/>
  <c r="AB73" i="161"/>
  <c r="Y73" i="161"/>
  <c r="X73" i="161"/>
  <c r="T73" i="161"/>
  <c r="S73" i="161"/>
  <c r="R73" i="161"/>
  <c r="N73" i="161"/>
  <c r="M73" i="161"/>
  <c r="I73" i="161"/>
  <c r="H73" i="161"/>
  <c r="E73" i="161"/>
  <c r="D73" i="161"/>
  <c r="C73" i="161"/>
  <c r="CP71" i="161"/>
  <c r="CQ71" i="161" s="1"/>
  <c r="CG71" i="161"/>
  <c r="CB71" i="161"/>
  <c r="BW71" i="161"/>
  <c r="BR71" i="161"/>
  <c r="BM71" i="161"/>
  <c r="BH71" i="161"/>
  <c r="BC71" i="161"/>
  <c r="AX71" i="161"/>
  <c r="AS71" i="161"/>
  <c r="AN71" i="161"/>
  <c r="AI71" i="161"/>
  <c r="AD71" i="161"/>
  <c r="X71" i="161"/>
  <c r="CK71" i="161" s="1"/>
  <c r="W71" i="161"/>
  <c r="CJ71" i="161" s="1"/>
  <c r="S71" i="161"/>
  <c r="R71" i="161"/>
  <c r="T71" i="161" s="1"/>
  <c r="O71" i="161"/>
  <c r="J71" i="161"/>
  <c r="E71" i="161"/>
  <c r="CQ70" i="161"/>
  <c r="CP70" i="161"/>
  <c r="CG70" i="161"/>
  <c r="CB70" i="161"/>
  <c r="BW70" i="161"/>
  <c r="BR70" i="161"/>
  <c r="BM70" i="161"/>
  <c r="BH70" i="161"/>
  <c r="BC70" i="161"/>
  <c r="AX70" i="161"/>
  <c r="AS70" i="161"/>
  <c r="AN70" i="161"/>
  <c r="AI70" i="161"/>
  <c r="AD70" i="161"/>
  <c r="X70" i="161"/>
  <c r="CK70" i="161" s="1"/>
  <c r="W70" i="161"/>
  <c r="CJ70" i="161" s="1"/>
  <c r="CL70" i="161" s="1"/>
  <c r="S70" i="161"/>
  <c r="R70" i="161"/>
  <c r="T70" i="161" s="1"/>
  <c r="O70" i="161"/>
  <c r="J70" i="161"/>
  <c r="E70" i="161"/>
  <c r="CP69" i="161"/>
  <c r="CQ69" i="161" s="1"/>
  <c r="CG69" i="161"/>
  <c r="CB69" i="161"/>
  <c r="BW69" i="161"/>
  <c r="BR69" i="161"/>
  <c r="BM69" i="161"/>
  <c r="BH69" i="161"/>
  <c r="BC69" i="161"/>
  <c r="AX69" i="161"/>
  <c r="AS69" i="161"/>
  <c r="AN69" i="161"/>
  <c r="AI69" i="161"/>
  <c r="AD69" i="161"/>
  <c r="X69" i="161"/>
  <c r="CK69" i="161" s="1"/>
  <c r="W69" i="161"/>
  <c r="CJ69" i="161" s="1"/>
  <c r="CL69" i="161" s="1"/>
  <c r="T69" i="161"/>
  <c r="S69" i="161"/>
  <c r="R69" i="161"/>
  <c r="O69" i="161"/>
  <c r="J69" i="161"/>
  <c r="E69" i="161"/>
  <c r="CP68" i="161"/>
  <c r="CQ68" i="161" s="1"/>
  <c r="CG68" i="161"/>
  <c r="CB68" i="161"/>
  <c r="BW68" i="161"/>
  <c r="BR68" i="161"/>
  <c r="BM68" i="161"/>
  <c r="BH68" i="161"/>
  <c r="BC68" i="161"/>
  <c r="AX68" i="161"/>
  <c r="AS68" i="161"/>
  <c r="AN68" i="161"/>
  <c r="AI68" i="161"/>
  <c r="AD68" i="161"/>
  <c r="Y68" i="161"/>
  <c r="X68" i="161"/>
  <c r="CK68" i="161" s="1"/>
  <c r="W68" i="161"/>
  <c r="CJ68" i="161" s="1"/>
  <c r="T68" i="161"/>
  <c r="S68" i="161"/>
  <c r="R68" i="161"/>
  <c r="O68" i="161"/>
  <c r="J68" i="161"/>
  <c r="E68" i="161"/>
  <c r="CP67" i="161"/>
  <c r="CQ67" i="161" s="1"/>
  <c r="CG67" i="161"/>
  <c r="CB67" i="161"/>
  <c r="BW67" i="161"/>
  <c r="BR67" i="161"/>
  <c r="BM67" i="161"/>
  <c r="BH67" i="161"/>
  <c r="BC67" i="161"/>
  <c r="AX67" i="161"/>
  <c r="AS67" i="161"/>
  <c r="AN67" i="161"/>
  <c r="AI67" i="161"/>
  <c r="AD67" i="161"/>
  <c r="X67" i="161"/>
  <c r="CK67" i="161" s="1"/>
  <c r="W67" i="161"/>
  <c r="S67" i="161"/>
  <c r="R67" i="161"/>
  <c r="T67" i="161" s="1"/>
  <c r="O67" i="161"/>
  <c r="J67" i="161"/>
  <c r="E67" i="161"/>
  <c r="CQ66" i="161"/>
  <c r="CP66" i="161"/>
  <c r="CG66" i="161"/>
  <c r="CB66" i="161"/>
  <c r="BW66" i="161"/>
  <c r="BR66" i="161"/>
  <c r="BM66" i="161"/>
  <c r="BH66" i="161"/>
  <c r="BC66" i="161"/>
  <c r="AX66" i="161"/>
  <c r="AS66" i="161"/>
  <c r="AN66" i="161"/>
  <c r="AI66" i="161"/>
  <c r="AD66" i="161"/>
  <c r="X66" i="161"/>
  <c r="CK66" i="161" s="1"/>
  <c r="W66" i="161"/>
  <c r="CJ66" i="161" s="1"/>
  <c r="CL66" i="161" s="1"/>
  <c r="T66" i="161"/>
  <c r="S66" i="161"/>
  <c r="R66" i="161"/>
  <c r="O66" i="161"/>
  <c r="J66" i="161"/>
  <c r="E66" i="161"/>
  <c r="CP65" i="161"/>
  <c r="CQ65" i="161" s="1"/>
  <c r="CG65" i="161"/>
  <c r="CB65" i="161"/>
  <c r="BW65" i="161"/>
  <c r="BR65" i="161"/>
  <c r="BM65" i="161"/>
  <c r="BH65" i="161"/>
  <c r="BC65" i="161"/>
  <c r="AX65" i="161"/>
  <c r="AS65" i="161"/>
  <c r="AN65" i="161"/>
  <c r="AI65" i="161"/>
  <c r="AD65" i="161"/>
  <c r="X65" i="161"/>
  <c r="CK65" i="161" s="1"/>
  <c r="W65" i="161"/>
  <c r="CJ65" i="161" s="1"/>
  <c r="S65" i="161"/>
  <c r="R65" i="161"/>
  <c r="T65" i="161" s="1"/>
  <c r="O65" i="161"/>
  <c r="J65" i="161"/>
  <c r="E65" i="161"/>
  <c r="CQ64" i="161"/>
  <c r="CP64" i="161"/>
  <c r="CG64" i="161"/>
  <c r="CB64" i="161"/>
  <c r="BW64" i="161"/>
  <c r="BR64" i="161"/>
  <c r="BM64" i="161"/>
  <c r="BH64" i="161"/>
  <c r="BC64" i="161"/>
  <c r="AX64" i="161"/>
  <c r="AS64" i="161"/>
  <c r="AN64" i="161"/>
  <c r="AI64" i="161"/>
  <c r="AD64" i="161"/>
  <c r="X64" i="161"/>
  <c r="CK64" i="161" s="1"/>
  <c r="W64" i="161"/>
  <c r="CJ64" i="161" s="1"/>
  <c r="CL64" i="161" s="1"/>
  <c r="S64" i="161"/>
  <c r="R64" i="161"/>
  <c r="T64" i="161" s="1"/>
  <c r="O64" i="161"/>
  <c r="J64" i="161"/>
  <c r="E64" i="161"/>
  <c r="CQ63" i="161"/>
  <c r="CP63" i="161"/>
  <c r="CG63" i="161"/>
  <c r="CB63" i="161"/>
  <c r="BW63" i="161"/>
  <c r="BR63" i="161"/>
  <c r="BM63" i="161"/>
  <c r="BH63" i="161"/>
  <c r="BC63" i="161"/>
  <c r="AX63" i="161"/>
  <c r="AS63" i="161"/>
  <c r="AN63" i="161"/>
  <c r="AI63" i="161"/>
  <c r="AD63" i="161"/>
  <c r="X63" i="161"/>
  <c r="CK63" i="161" s="1"/>
  <c r="W63" i="161"/>
  <c r="CJ63" i="161" s="1"/>
  <c r="CL63" i="161" s="1"/>
  <c r="T63" i="161"/>
  <c r="S63" i="161"/>
  <c r="R63" i="161"/>
  <c r="O63" i="161"/>
  <c r="J63" i="161"/>
  <c r="E63" i="161"/>
  <c r="CP62" i="161"/>
  <c r="CQ62" i="161" s="1"/>
  <c r="CG62" i="161"/>
  <c r="CB62" i="161"/>
  <c r="BW62" i="161"/>
  <c r="BR62" i="161"/>
  <c r="BM62" i="161"/>
  <c r="BH62" i="161"/>
  <c r="BC62" i="161"/>
  <c r="AX62" i="161"/>
  <c r="AS62" i="161"/>
  <c r="AN62" i="161"/>
  <c r="AI62" i="161"/>
  <c r="AD62" i="161"/>
  <c r="X62" i="161"/>
  <c r="CK62" i="161" s="1"/>
  <c r="W62" i="161"/>
  <c r="S62" i="161"/>
  <c r="R62" i="161"/>
  <c r="O62" i="161"/>
  <c r="J62" i="161"/>
  <c r="E62" i="161"/>
  <c r="CP61" i="161"/>
  <c r="CQ61" i="161" s="1"/>
  <c r="CK61" i="161"/>
  <c r="CG61" i="161"/>
  <c r="CB61" i="161"/>
  <c r="BW61" i="161"/>
  <c r="BR61" i="161"/>
  <c r="BM61" i="161"/>
  <c r="BH61" i="161"/>
  <c r="BC61" i="161"/>
  <c r="AX61" i="161"/>
  <c r="AS61" i="161"/>
  <c r="AN61" i="161"/>
  <c r="AI61" i="161"/>
  <c r="AD61" i="161"/>
  <c r="X61" i="161"/>
  <c r="W61" i="161"/>
  <c r="CJ61" i="161" s="1"/>
  <c r="S61" i="161"/>
  <c r="R61" i="161"/>
  <c r="O61" i="161"/>
  <c r="J61" i="161"/>
  <c r="E61" i="161"/>
  <c r="CP60" i="161"/>
  <c r="CQ60" i="161" s="1"/>
  <c r="CG60" i="161"/>
  <c r="CB60" i="161"/>
  <c r="BW60" i="161"/>
  <c r="BR60" i="161"/>
  <c r="BM60" i="161"/>
  <c r="BH60" i="161"/>
  <c r="BC60" i="161"/>
  <c r="AX60" i="161"/>
  <c r="AS60" i="161"/>
  <c r="AN60" i="161"/>
  <c r="AI60" i="161"/>
  <c r="AD60" i="161"/>
  <c r="X60" i="161"/>
  <c r="CK60" i="161" s="1"/>
  <c r="W60" i="161"/>
  <c r="CJ60" i="161" s="1"/>
  <c r="S60" i="161"/>
  <c r="R60" i="161"/>
  <c r="O60" i="161"/>
  <c r="J60" i="161"/>
  <c r="E60" i="161"/>
  <c r="CP59" i="161"/>
  <c r="CQ59" i="161" s="1"/>
  <c r="CG59" i="161"/>
  <c r="CB59" i="161"/>
  <c r="BW59" i="161"/>
  <c r="BR59" i="161"/>
  <c r="BM59" i="161"/>
  <c r="BH59" i="161"/>
  <c r="BC59" i="161"/>
  <c r="AX59" i="161"/>
  <c r="AS59" i="161"/>
  <c r="AN59" i="161"/>
  <c r="AI59" i="161"/>
  <c r="AD59" i="161"/>
  <c r="X59" i="161"/>
  <c r="CK59" i="161" s="1"/>
  <c r="W59" i="161"/>
  <c r="CJ59" i="161" s="1"/>
  <c r="S59" i="161"/>
  <c r="R59" i="161"/>
  <c r="T59" i="161" s="1"/>
  <c r="O59" i="161"/>
  <c r="J59" i="161"/>
  <c r="E59" i="161"/>
  <c r="CP58" i="161"/>
  <c r="CQ58" i="161" s="1"/>
  <c r="CG58" i="161"/>
  <c r="CB58" i="161"/>
  <c r="BW58" i="161"/>
  <c r="BR58" i="161"/>
  <c r="BM58" i="161"/>
  <c r="BH58" i="161"/>
  <c r="BC58" i="161"/>
  <c r="AX58" i="161"/>
  <c r="AS58" i="161"/>
  <c r="AN58" i="161"/>
  <c r="AI58" i="161"/>
  <c r="AD58" i="161"/>
  <c r="X58" i="161"/>
  <c r="CK58" i="161" s="1"/>
  <c r="W58" i="161"/>
  <c r="CJ58" i="161" s="1"/>
  <c r="S58" i="161"/>
  <c r="R58" i="161"/>
  <c r="O58" i="161"/>
  <c r="J58" i="161"/>
  <c r="E58" i="161"/>
  <c r="CP57" i="161"/>
  <c r="CQ57" i="161" s="1"/>
  <c r="CK57" i="161"/>
  <c r="CG57" i="161"/>
  <c r="CB57" i="161"/>
  <c r="BW57" i="161"/>
  <c r="BR57" i="161"/>
  <c r="BM57" i="161"/>
  <c r="BH57" i="161"/>
  <c r="BC57" i="161"/>
  <c r="AX57" i="161"/>
  <c r="AS57" i="161"/>
  <c r="AN57" i="161"/>
  <c r="AI57" i="161"/>
  <c r="AD57" i="161"/>
  <c r="X57" i="161"/>
  <c r="W57" i="161"/>
  <c r="CJ57" i="161" s="1"/>
  <c r="S57" i="161"/>
  <c r="R57" i="161"/>
  <c r="R54" i="161" s="1"/>
  <c r="O57" i="161"/>
  <c r="J57" i="161"/>
  <c r="E57" i="161"/>
  <c r="CP56" i="161"/>
  <c r="CQ56" i="161" s="1"/>
  <c r="CG56" i="161"/>
  <c r="CB56" i="161"/>
  <c r="BW56" i="161"/>
  <c r="BR56" i="161"/>
  <c r="BM56" i="161"/>
  <c r="BH56" i="161"/>
  <c r="BC56" i="161"/>
  <c r="AX56" i="161"/>
  <c r="AS56" i="161"/>
  <c r="AN56" i="161"/>
  <c r="AI56" i="161"/>
  <c r="AD56" i="161"/>
  <c r="X56" i="161"/>
  <c r="CK56" i="161" s="1"/>
  <c r="W56" i="161"/>
  <c r="CJ56" i="161" s="1"/>
  <c r="S56" i="161"/>
  <c r="R56" i="161"/>
  <c r="O56" i="161"/>
  <c r="J56" i="161"/>
  <c r="E56" i="161"/>
  <c r="CP55" i="161"/>
  <c r="CQ55" i="161" s="1"/>
  <c r="CG55" i="161"/>
  <c r="CB55" i="161"/>
  <c r="BW55" i="161"/>
  <c r="BR55" i="161"/>
  <c r="BM55" i="161"/>
  <c r="BH55" i="161"/>
  <c r="BC55" i="161"/>
  <c r="AX55" i="161"/>
  <c r="AS55" i="161"/>
  <c r="AN55" i="161"/>
  <c r="AI55" i="161"/>
  <c r="AD55" i="161"/>
  <c r="X55" i="161"/>
  <c r="CK55" i="161" s="1"/>
  <c r="W55" i="161"/>
  <c r="CJ55" i="161" s="1"/>
  <c r="S55" i="161"/>
  <c r="R55" i="161"/>
  <c r="O55" i="161"/>
  <c r="O54" i="161" s="1"/>
  <c r="J55" i="161"/>
  <c r="E55" i="161"/>
  <c r="CG54" i="161"/>
  <c r="CF54" i="161"/>
  <c r="CE54" i="161"/>
  <c r="CA54" i="161"/>
  <c r="BZ54" i="161"/>
  <c r="BW54" i="161"/>
  <c r="BV54" i="161"/>
  <c r="BU54" i="161"/>
  <c r="BR54" i="161"/>
  <c r="BQ54" i="161"/>
  <c r="BP54" i="161"/>
  <c r="BL54" i="161"/>
  <c r="BK54" i="161"/>
  <c r="BH54" i="161"/>
  <c r="BG54" i="161"/>
  <c r="BF54" i="161"/>
  <c r="BC54" i="161"/>
  <c r="BB54" i="161"/>
  <c r="BA54" i="161"/>
  <c r="AW54" i="161"/>
  <c r="AV54" i="161"/>
  <c r="AS54" i="161"/>
  <c r="AR54" i="161"/>
  <c r="AQ54" i="161"/>
  <c r="AN54" i="161"/>
  <c r="AM54" i="161"/>
  <c r="AL54" i="161"/>
  <c r="AH54" i="161"/>
  <c r="AG54" i="161"/>
  <c r="AD54" i="161"/>
  <c r="AC54" i="161"/>
  <c r="AB54" i="161"/>
  <c r="X54" i="161"/>
  <c r="S54" i="161"/>
  <c r="N54" i="161"/>
  <c r="M54" i="161"/>
  <c r="I54" i="161"/>
  <c r="H54" i="161"/>
  <c r="E54" i="161"/>
  <c r="D54" i="161"/>
  <c r="C54" i="161"/>
  <c r="CK53" i="161"/>
  <c r="CJ53" i="161"/>
  <c r="CP52" i="161"/>
  <c r="CQ52" i="161" s="1"/>
  <c r="CG52" i="161"/>
  <c r="CB52" i="161"/>
  <c r="BW52" i="161"/>
  <c r="BW50" i="161" s="1"/>
  <c r="BR52" i="161"/>
  <c r="BM52" i="161"/>
  <c r="BH52" i="161"/>
  <c r="BC52" i="161"/>
  <c r="AX52" i="161"/>
  <c r="AS52" i="161"/>
  <c r="AN52" i="161"/>
  <c r="AI52" i="161"/>
  <c r="AD52" i="161"/>
  <c r="X52" i="161"/>
  <c r="CK52" i="161" s="1"/>
  <c r="W52" i="161"/>
  <c r="Y52" i="161" s="1"/>
  <c r="S52" i="161"/>
  <c r="S50" i="161" s="1"/>
  <c r="R52" i="161"/>
  <c r="O52" i="161"/>
  <c r="J52" i="161"/>
  <c r="E52" i="161"/>
  <c r="CP51" i="161"/>
  <c r="CQ51" i="161" s="1"/>
  <c r="CG51" i="161"/>
  <c r="CB51" i="161"/>
  <c r="CB50" i="161" s="1"/>
  <c r="BW51" i="161"/>
  <c r="BR51" i="161"/>
  <c r="BM51" i="161"/>
  <c r="BH51" i="161"/>
  <c r="BC51" i="161"/>
  <c r="AX51" i="161"/>
  <c r="AS51" i="161"/>
  <c r="AN51" i="161"/>
  <c r="AI51" i="161"/>
  <c r="AD51" i="161"/>
  <c r="X51" i="161"/>
  <c r="CK51" i="161" s="1"/>
  <c r="W51" i="161"/>
  <c r="CJ51" i="161" s="1"/>
  <c r="S51" i="161"/>
  <c r="R51" i="161"/>
  <c r="T51" i="161" s="1"/>
  <c r="O51" i="161"/>
  <c r="J51" i="161"/>
  <c r="J50" i="161" s="1"/>
  <c r="E51" i="161"/>
  <c r="CG50" i="161"/>
  <c r="CF50" i="161"/>
  <c r="CE50" i="161"/>
  <c r="CA50" i="161"/>
  <c r="BZ50" i="161"/>
  <c r="BV50" i="161"/>
  <c r="BU50" i="161"/>
  <c r="BR50" i="161"/>
  <c r="BQ50" i="161"/>
  <c r="BP50" i="161"/>
  <c r="BM50" i="161"/>
  <c r="BL50" i="161"/>
  <c r="BK50" i="161"/>
  <c r="BG50" i="161"/>
  <c r="BF50" i="161"/>
  <c r="BC50" i="161"/>
  <c r="BB50" i="161"/>
  <c r="BA50" i="161"/>
  <c r="AX50" i="161"/>
  <c r="AW50" i="161"/>
  <c r="AV50" i="161"/>
  <c r="AR50" i="161"/>
  <c r="AQ50" i="161"/>
  <c r="AN50" i="161"/>
  <c r="AM50" i="161"/>
  <c r="AL50" i="161"/>
  <c r="AI50" i="161"/>
  <c r="AH50" i="161"/>
  <c r="AG50" i="161"/>
  <c r="AC50" i="161"/>
  <c r="AB50" i="161"/>
  <c r="X50" i="161"/>
  <c r="O50" i="161"/>
  <c r="N50" i="161"/>
  <c r="M50" i="161"/>
  <c r="I50" i="161"/>
  <c r="H50" i="161"/>
  <c r="D50" i="161"/>
  <c r="C50" i="161"/>
  <c r="CQ48" i="161"/>
  <c r="CP48" i="161"/>
  <c r="CG48" i="161"/>
  <c r="CB48" i="161"/>
  <c r="BW48" i="161"/>
  <c r="BR48" i="161"/>
  <c r="BM48" i="161"/>
  <c r="BH48" i="161"/>
  <c r="BC48" i="161"/>
  <c r="AX48" i="161"/>
  <c r="AS48" i="161"/>
  <c r="AN48" i="161"/>
  <c r="AI48" i="161"/>
  <c r="AD48" i="161"/>
  <c r="X48" i="161"/>
  <c r="CK48" i="161" s="1"/>
  <c r="W48" i="161"/>
  <c r="CJ48" i="161" s="1"/>
  <c r="S48" i="161"/>
  <c r="R48" i="161"/>
  <c r="T48" i="161" s="1"/>
  <c r="O48" i="161"/>
  <c r="J48" i="161"/>
  <c r="E48" i="161"/>
  <c r="CP47" i="161"/>
  <c r="CQ47" i="161" s="1"/>
  <c r="CJ47" i="161"/>
  <c r="CG47" i="161"/>
  <c r="CB47" i="161"/>
  <c r="BW47" i="161"/>
  <c r="BR47" i="161"/>
  <c r="BM47" i="161"/>
  <c r="BH47" i="161"/>
  <c r="BC47" i="161"/>
  <c r="AX47" i="161"/>
  <c r="AS47" i="161"/>
  <c r="AN47" i="161"/>
  <c r="AI47" i="161"/>
  <c r="AD47" i="161"/>
  <c r="X47" i="161"/>
  <c r="Y47" i="161" s="1"/>
  <c r="W47" i="161"/>
  <c r="S47" i="161"/>
  <c r="R47" i="161"/>
  <c r="T47" i="161" s="1"/>
  <c r="O47" i="161"/>
  <c r="J47" i="161"/>
  <c r="E47" i="161"/>
  <c r="CP46" i="161"/>
  <c r="CQ46" i="161" s="1"/>
  <c r="CG46" i="161"/>
  <c r="CB46" i="161"/>
  <c r="BW46" i="161"/>
  <c r="BR46" i="161"/>
  <c r="BM46" i="161"/>
  <c r="BH46" i="161"/>
  <c r="BC46" i="161"/>
  <c r="AX46" i="161"/>
  <c r="AS46" i="161"/>
  <c r="AN46" i="161"/>
  <c r="AI46" i="161"/>
  <c r="AD46" i="161"/>
  <c r="X46" i="161"/>
  <c r="CK46" i="161" s="1"/>
  <c r="W46" i="161"/>
  <c r="S46" i="161"/>
  <c r="R46" i="161"/>
  <c r="T46" i="161" s="1"/>
  <c r="O46" i="161"/>
  <c r="J46" i="161"/>
  <c r="E46" i="161"/>
  <c r="CP45" i="161"/>
  <c r="CQ45" i="161" s="1"/>
  <c r="CG45" i="161"/>
  <c r="CB45" i="161"/>
  <c r="BW45" i="161"/>
  <c r="BR45" i="161"/>
  <c r="BM45" i="161"/>
  <c r="BH45" i="161"/>
  <c r="BC45" i="161"/>
  <c r="AX45" i="161"/>
  <c r="AS45" i="161"/>
  <c r="AN45" i="161"/>
  <c r="AI45" i="161"/>
  <c r="AD45" i="161"/>
  <c r="X45" i="161"/>
  <c r="CK45" i="161" s="1"/>
  <c r="W45" i="161"/>
  <c r="CJ45" i="161" s="1"/>
  <c r="S45" i="161"/>
  <c r="T45" i="161" s="1"/>
  <c r="R45" i="161"/>
  <c r="O45" i="161"/>
  <c r="J45" i="161"/>
  <c r="E45" i="161"/>
  <c r="CP44" i="161"/>
  <c r="CQ44" i="161" s="1"/>
  <c r="CG44" i="161"/>
  <c r="CB44" i="161"/>
  <c r="BW44" i="161"/>
  <c r="BR44" i="161"/>
  <c r="BM44" i="161"/>
  <c r="BH44" i="161"/>
  <c r="BC44" i="161"/>
  <c r="AX44" i="161"/>
  <c r="AS44" i="161"/>
  <c r="AN44" i="161"/>
  <c r="AI44" i="161"/>
  <c r="AD44" i="161"/>
  <c r="X44" i="161"/>
  <c r="CK44" i="161" s="1"/>
  <c r="W44" i="161"/>
  <c r="CJ44" i="161" s="1"/>
  <c r="T44" i="161"/>
  <c r="S44" i="161"/>
  <c r="R44" i="161"/>
  <c r="O44" i="161"/>
  <c r="J44" i="161"/>
  <c r="E44" i="161"/>
  <c r="CP43" i="161"/>
  <c r="CQ43" i="161" s="1"/>
  <c r="CG43" i="161"/>
  <c r="CB43" i="161"/>
  <c r="BW43" i="161"/>
  <c r="BR43" i="161"/>
  <c r="BM43" i="161"/>
  <c r="BH43" i="161"/>
  <c r="BC43" i="161"/>
  <c r="AX43" i="161"/>
  <c r="AS43" i="161"/>
  <c r="AN43" i="161"/>
  <c r="AN41" i="161" s="1"/>
  <c r="AI43" i="161"/>
  <c r="AD43" i="161"/>
  <c r="X43" i="161"/>
  <c r="CK43" i="161" s="1"/>
  <c r="W43" i="161"/>
  <c r="CJ43" i="161" s="1"/>
  <c r="S43" i="161"/>
  <c r="R43" i="161"/>
  <c r="T43" i="161" s="1"/>
  <c r="O43" i="161"/>
  <c r="O41" i="161" s="1"/>
  <c r="J43" i="161"/>
  <c r="E43" i="161"/>
  <c r="CP42" i="161"/>
  <c r="CQ42" i="161" s="1"/>
  <c r="CQ41" i="161" s="1"/>
  <c r="CG42" i="161"/>
  <c r="CB42" i="161"/>
  <c r="BW42" i="161"/>
  <c r="BR42" i="161"/>
  <c r="BM42" i="161"/>
  <c r="BH42" i="161"/>
  <c r="BC42" i="161"/>
  <c r="AX42" i="161"/>
  <c r="AX41" i="161" s="1"/>
  <c r="AS42" i="161"/>
  <c r="AN42" i="161"/>
  <c r="AI42" i="161"/>
  <c r="AD42" i="161"/>
  <c r="X42" i="161"/>
  <c r="CK42" i="161" s="1"/>
  <c r="W42" i="161"/>
  <c r="CJ42" i="161" s="1"/>
  <c r="S42" i="161"/>
  <c r="R42" i="161"/>
  <c r="R41" i="161" s="1"/>
  <c r="O42" i="161"/>
  <c r="J42" i="161"/>
  <c r="E42" i="161"/>
  <c r="CP41" i="161"/>
  <c r="CF41" i="161"/>
  <c r="CE41" i="161"/>
  <c r="CA41" i="161"/>
  <c r="BZ41" i="161"/>
  <c r="BV41" i="161"/>
  <c r="BU41" i="161"/>
  <c r="BR41" i="161"/>
  <c r="BQ41" i="161"/>
  <c r="BP41" i="161"/>
  <c r="BL41" i="161"/>
  <c r="BK41" i="161"/>
  <c r="BH41" i="161"/>
  <c r="BG41" i="161"/>
  <c r="BF41" i="161"/>
  <c r="BB41" i="161"/>
  <c r="BA41" i="161"/>
  <c r="AW41" i="161"/>
  <c r="AV41" i="161"/>
  <c r="AR41" i="161"/>
  <c r="AQ41" i="161"/>
  <c r="AM41" i="161"/>
  <c r="AL41" i="161"/>
  <c r="AH41" i="161"/>
  <c r="AG41" i="161"/>
  <c r="AD41" i="161"/>
  <c r="AC41" i="161"/>
  <c r="AB41" i="161"/>
  <c r="W41" i="161"/>
  <c r="S41" i="161"/>
  <c r="N41" i="161"/>
  <c r="M41" i="161"/>
  <c r="I41" i="161"/>
  <c r="H41" i="161"/>
  <c r="E41" i="161"/>
  <c r="D41" i="161"/>
  <c r="C41" i="161"/>
  <c r="X37" i="161"/>
  <c r="W37" i="161"/>
  <c r="CG36" i="161"/>
  <c r="CB36" i="161"/>
  <c r="BW36" i="161"/>
  <c r="BR36" i="161"/>
  <c r="BR35" i="161" s="1"/>
  <c r="BM36" i="161"/>
  <c r="BH36" i="161"/>
  <c r="BC36" i="161"/>
  <c r="BC35" i="161" s="1"/>
  <c r="AX36" i="161"/>
  <c r="AX35" i="161" s="1"/>
  <c r="AS36" i="161"/>
  <c r="AN36" i="161"/>
  <c r="AI36" i="161"/>
  <c r="AI35" i="161" s="1"/>
  <c r="AD36" i="161"/>
  <c r="X36" i="161"/>
  <c r="CK36" i="161" s="1"/>
  <c r="CK35" i="161" s="1"/>
  <c r="W36" i="161"/>
  <c r="CJ36" i="161" s="1"/>
  <c r="S36" i="161"/>
  <c r="S35" i="161" s="1"/>
  <c r="R36" i="161"/>
  <c r="O36" i="161"/>
  <c r="J36" i="161"/>
  <c r="J35" i="161" s="1"/>
  <c r="E36" i="161"/>
  <c r="CP35" i="161"/>
  <c r="CF35" i="161"/>
  <c r="CE35" i="161"/>
  <c r="CB35" i="161"/>
  <c r="CA35" i="161"/>
  <c r="BZ35" i="161"/>
  <c r="BW35" i="161"/>
  <c r="BV35" i="161"/>
  <c r="BU35" i="161"/>
  <c r="BQ35" i="161"/>
  <c r="BP35" i="161"/>
  <c r="BL35" i="161"/>
  <c r="BK35" i="161"/>
  <c r="BH35" i="161"/>
  <c r="BG35" i="161"/>
  <c r="BF35" i="161"/>
  <c r="BB35" i="161"/>
  <c r="BA35" i="161"/>
  <c r="AW35" i="161"/>
  <c r="AV35" i="161"/>
  <c r="AR35" i="161"/>
  <c r="AQ35" i="161"/>
  <c r="AM35" i="161"/>
  <c r="AL35" i="161"/>
  <c r="AH35" i="161"/>
  <c r="AG35" i="161"/>
  <c r="AC35" i="161"/>
  <c r="AB35" i="161"/>
  <c r="X35" i="161"/>
  <c r="W35" i="161"/>
  <c r="O35" i="161"/>
  <c r="N35" i="161"/>
  <c r="M35" i="161"/>
  <c r="I35" i="161"/>
  <c r="H35" i="161"/>
  <c r="E35" i="161"/>
  <c r="D35" i="161"/>
  <c r="C35" i="161"/>
  <c r="CR33" i="161"/>
  <c r="CJ33" i="161"/>
  <c r="CG33" i="161"/>
  <c r="CB33" i="161"/>
  <c r="BW33" i="161"/>
  <c r="BR33" i="161"/>
  <c r="BM33" i="161"/>
  <c r="BH33" i="161"/>
  <c r="BC33" i="161"/>
  <c r="AX33" i="161"/>
  <c r="AS33" i="161"/>
  <c r="AN33" i="161"/>
  <c r="AI33" i="161"/>
  <c r="AD33" i="161"/>
  <c r="X33" i="161"/>
  <c r="W33" i="161"/>
  <c r="S33" i="161"/>
  <c r="R33" i="161"/>
  <c r="T33" i="161" s="1"/>
  <c r="O33" i="161"/>
  <c r="J33" i="161"/>
  <c r="E33" i="161"/>
  <c r="CJ32" i="161"/>
  <c r="CG32" i="161"/>
  <c r="CB32" i="161"/>
  <c r="BW32" i="161"/>
  <c r="BR32" i="161"/>
  <c r="BM32" i="161"/>
  <c r="BH32" i="161"/>
  <c r="BC32" i="161"/>
  <c r="AX32" i="161"/>
  <c r="AS32" i="161"/>
  <c r="AN32" i="161"/>
  <c r="AI32" i="161"/>
  <c r="AD32" i="161"/>
  <c r="X32" i="161"/>
  <c r="W32" i="161"/>
  <c r="S32" i="161"/>
  <c r="R32" i="161"/>
  <c r="T32" i="161" s="1"/>
  <c r="O32" i="161"/>
  <c r="J32" i="161"/>
  <c r="E32" i="161"/>
  <c r="CJ31" i="161"/>
  <c r="CG31" i="161"/>
  <c r="CB31" i="161"/>
  <c r="BW31" i="161"/>
  <c r="BR31" i="161"/>
  <c r="BM31" i="161"/>
  <c r="BH31" i="161"/>
  <c r="BC31" i="161"/>
  <c r="AX31" i="161"/>
  <c r="AS31" i="161"/>
  <c r="AN31" i="161"/>
  <c r="AI31" i="161"/>
  <c r="AD31" i="161"/>
  <c r="X31" i="161"/>
  <c r="W31" i="161"/>
  <c r="S31" i="161"/>
  <c r="R31" i="161"/>
  <c r="T31" i="161" s="1"/>
  <c r="O31" i="161"/>
  <c r="J31" i="161"/>
  <c r="E31" i="161"/>
  <c r="CJ30" i="161"/>
  <c r="CG30" i="161"/>
  <c r="CB30" i="161"/>
  <c r="BW30" i="161"/>
  <c r="BR30" i="161"/>
  <c r="BM30" i="161"/>
  <c r="BH30" i="161"/>
  <c r="BC30" i="161"/>
  <c r="AX30" i="161"/>
  <c r="AS30" i="161"/>
  <c r="AN30" i="161"/>
  <c r="AI30" i="161"/>
  <c r="AD30" i="161"/>
  <c r="X30" i="161"/>
  <c r="W30" i="161"/>
  <c r="S30" i="161"/>
  <c r="R30" i="161"/>
  <c r="T30" i="161" s="1"/>
  <c r="O30" i="161"/>
  <c r="J30" i="161"/>
  <c r="E30" i="161"/>
  <c r="CJ29" i="161"/>
  <c r="CG29" i="161"/>
  <c r="CB29" i="161"/>
  <c r="BW29" i="161"/>
  <c r="BR29" i="161"/>
  <c r="BM29" i="161"/>
  <c r="BH29" i="161"/>
  <c r="BC29" i="161"/>
  <c r="AX29" i="161"/>
  <c r="AS29" i="161"/>
  <c r="AN29" i="161"/>
  <c r="AI29" i="161"/>
  <c r="AD29" i="161"/>
  <c r="X29" i="161"/>
  <c r="W29" i="161"/>
  <c r="S29" i="161"/>
  <c r="R29" i="161"/>
  <c r="T29" i="161" s="1"/>
  <c r="O29" i="161"/>
  <c r="J29" i="161"/>
  <c r="E29" i="161"/>
  <c r="CJ28" i="161"/>
  <c r="CG28" i="161"/>
  <c r="CB28" i="161"/>
  <c r="BW28" i="161"/>
  <c r="BR28" i="161"/>
  <c r="BM28" i="161"/>
  <c r="BH28" i="161"/>
  <c r="BC28" i="161"/>
  <c r="AX28" i="161"/>
  <c r="AS28" i="161"/>
  <c r="AN28" i="161"/>
  <c r="AI28" i="161"/>
  <c r="AD28" i="161"/>
  <c r="X28" i="161"/>
  <c r="W28" i="161"/>
  <c r="S28" i="161"/>
  <c r="R28" i="161"/>
  <c r="T28" i="161" s="1"/>
  <c r="O28" i="161"/>
  <c r="J28" i="161"/>
  <c r="E28" i="161"/>
  <c r="CJ27" i="161"/>
  <c r="CG27" i="161"/>
  <c r="CB27" i="161"/>
  <c r="BW27" i="161"/>
  <c r="BR27" i="161"/>
  <c r="BM27" i="161"/>
  <c r="BH27" i="161"/>
  <c r="BC27" i="161"/>
  <c r="AX27" i="161"/>
  <c r="AS27" i="161"/>
  <c r="AN27" i="161"/>
  <c r="AI27" i="161"/>
  <c r="AD27" i="161"/>
  <c r="Y27" i="161"/>
  <c r="X27" i="161"/>
  <c r="CK27" i="161" s="1"/>
  <c r="W27" i="161"/>
  <c r="S27" i="161"/>
  <c r="R27" i="161"/>
  <c r="T27" i="161" s="1"/>
  <c r="O27" i="161"/>
  <c r="J27" i="161"/>
  <c r="E27" i="161"/>
  <c r="CG26" i="161"/>
  <c r="CB26" i="161"/>
  <c r="BW26" i="161"/>
  <c r="BR26" i="161"/>
  <c r="BM26" i="161"/>
  <c r="BH26" i="161"/>
  <c r="BC26" i="161"/>
  <c r="AX26" i="161"/>
  <c r="AS26" i="161"/>
  <c r="AN26" i="161"/>
  <c r="AI26" i="161"/>
  <c r="AD26" i="161"/>
  <c r="X26" i="161"/>
  <c r="Y26" i="161" s="1"/>
  <c r="W26" i="161"/>
  <c r="CJ26" i="161" s="1"/>
  <c r="S26" i="161"/>
  <c r="R26" i="161"/>
  <c r="O26" i="161"/>
  <c r="J26" i="161"/>
  <c r="E26" i="161"/>
  <c r="CG25" i="161"/>
  <c r="CB25" i="161"/>
  <c r="BW25" i="161"/>
  <c r="BR25" i="161"/>
  <c r="BM25" i="161"/>
  <c r="BH25" i="161"/>
  <c r="BC25" i="161"/>
  <c r="AX25" i="161"/>
  <c r="AS25" i="161"/>
  <c r="AN25" i="161"/>
  <c r="AI25" i="161"/>
  <c r="AD25" i="161"/>
  <c r="X25" i="161"/>
  <c r="CK25" i="161" s="1"/>
  <c r="W25" i="161"/>
  <c r="S25" i="161"/>
  <c r="R25" i="161"/>
  <c r="T25" i="161" s="1"/>
  <c r="O25" i="161"/>
  <c r="J25" i="161"/>
  <c r="E25" i="161"/>
  <c r="CK24" i="161"/>
  <c r="CL24" i="161" s="1"/>
  <c r="CG24" i="161"/>
  <c r="CB24" i="161"/>
  <c r="BW24" i="161"/>
  <c r="BR24" i="161"/>
  <c r="BM24" i="161"/>
  <c r="BH24" i="161"/>
  <c r="BC24" i="161"/>
  <c r="AX24" i="161"/>
  <c r="AS24" i="161"/>
  <c r="AN24" i="161"/>
  <c r="AI24" i="161"/>
  <c r="AD24" i="161"/>
  <c r="Y24" i="161"/>
  <c r="X24" i="161"/>
  <c r="W24" i="161"/>
  <c r="CJ24" i="161" s="1"/>
  <c r="S24" i="161"/>
  <c r="T24" i="161" s="1"/>
  <c r="R24" i="161"/>
  <c r="O24" i="161"/>
  <c r="J24" i="161"/>
  <c r="E24" i="161"/>
  <c r="CG23" i="161"/>
  <c r="CB23" i="161"/>
  <c r="BW23" i="161"/>
  <c r="BR23" i="161"/>
  <c r="BM23" i="161"/>
  <c r="BH23" i="161"/>
  <c r="BC23" i="161"/>
  <c r="AX23" i="161"/>
  <c r="AS23" i="161"/>
  <c r="AN23" i="161"/>
  <c r="AI23" i="161"/>
  <c r="AD23" i="161"/>
  <c r="X23" i="161"/>
  <c r="CK23" i="161" s="1"/>
  <c r="W23" i="161"/>
  <c r="CJ23" i="161" s="1"/>
  <c r="S23" i="161"/>
  <c r="R23" i="161"/>
  <c r="O23" i="161"/>
  <c r="J23" i="161"/>
  <c r="E23" i="161"/>
  <c r="CG22" i="161"/>
  <c r="CB22" i="161"/>
  <c r="BW22" i="161"/>
  <c r="BR22" i="161"/>
  <c r="BM22" i="161"/>
  <c r="BH22" i="161"/>
  <c r="BC22" i="161"/>
  <c r="AX22" i="161"/>
  <c r="AS22" i="161"/>
  <c r="AN22" i="161"/>
  <c r="AI22" i="161"/>
  <c r="AD22" i="161"/>
  <c r="X22" i="161"/>
  <c r="CK22" i="161" s="1"/>
  <c r="W22" i="161"/>
  <c r="CJ22" i="161" s="1"/>
  <c r="S22" i="161"/>
  <c r="R22" i="161"/>
  <c r="T22" i="161" s="1"/>
  <c r="O22" i="161"/>
  <c r="J22" i="161"/>
  <c r="E22" i="161"/>
  <c r="CK21" i="161"/>
  <c r="CG21" i="161"/>
  <c r="CB21" i="161"/>
  <c r="BW21" i="161"/>
  <c r="BR21" i="161"/>
  <c r="BM21" i="161"/>
  <c r="BH21" i="161"/>
  <c r="BC21" i="161"/>
  <c r="AX21" i="161"/>
  <c r="AS21" i="161"/>
  <c r="AN21" i="161"/>
  <c r="AI21" i="161"/>
  <c r="AD21" i="161"/>
  <c r="X21" i="161"/>
  <c r="W21" i="161"/>
  <c r="CJ21" i="161" s="1"/>
  <c r="S21" i="161"/>
  <c r="R21" i="161"/>
  <c r="O21" i="161"/>
  <c r="J21" i="161"/>
  <c r="E21" i="161"/>
  <c r="CG20" i="161"/>
  <c r="CB20" i="161"/>
  <c r="BW20" i="161"/>
  <c r="BR20" i="161"/>
  <c r="BM20" i="161"/>
  <c r="BH20" i="161"/>
  <c r="BC20" i="161"/>
  <c r="AX20" i="161"/>
  <c r="AS20" i="161"/>
  <c r="AN20" i="161"/>
  <c r="AI20" i="161"/>
  <c r="AD20" i="161"/>
  <c r="X20" i="161"/>
  <c r="Y20" i="161" s="1"/>
  <c r="W20" i="161"/>
  <c r="CJ20" i="161" s="1"/>
  <c r="S20" i="161"/>
  <c r="R20" i="161"/>
  <c r="T20" i="161" s="1"/>
  <c r="O20" i="161"/>
  <c r="J20" i="161"/>
  <c r="E20" i="161"/>
  <c r="CK19" i="161"/>
  <c r="CG19" i="161"/>
  <c r="CB19" i="161"/>
  <c r="BW19" i="161"/>
  <c r="BR19" i="161"/>
  <c r="BM19" i="161"/>
  <c r="BH19" i="161"/>
  <c r="BC19" i="161"/>
  <c r="AX19" i="161"/>
  <c r="AS19" i="161"/>
  <c r="AN19" i="161"/>
  <c r="AI19" i="161"/>
  <c r="AD19" i="161"/>
  <c r="X19" i="161"/>
  <c r="W19" i="161"/>
  <c r="CJ19" i="161" s="1"/>
  <c r="S19" i="161"/>
  <c r="R19" i="161"/>
  <c r="O19" i="161"/>
  <c r="J19" i="161"/>
  <c r="E19" i="161"/>
  <c r="CG18" i="161"/>
  <c r="CB18" i="161"/>
  <c r="BW18" i="161"/>
  <c r="BR18" i="161"/>
  <c r="BM18" i="161"/>
  <c r="BH18" i="161"/>
  <c r="BC18" i="161"/>
  <c r="AX18" i="161"/>
  <c r="AS18" i="161"/>
  <c r="AN18" i="161"/>
  <c r="AI18" i="161"/>
  <c r="AD18" i="161"/>
  <c r="X18" i="161"/>
  <c r="Y18" i="161" s="1"/>
  <c r="W18" i="161"/>
  <c r="CJ18" i="161" s="1"/>
  <c r="S18" i="161"/>
  <c r="R18" i="161"/>
  <c r="T18" i="161" s="1"/>
  <c r="O18" i="161"/>
  <c r="J18" i="161"/>
  <c r="E18" i="161"/>
  <c r="CK17" i="161"/>
  <c r="CG17" i="161"/>
  <c r="CB17" i="161"/>
  <c r="BW17" i="161"/>
  <c r="BR17" i="161"/>
  <c r="BM17" i="161"/>
  <c r="BH17" i="161"/>
  <c r="BC17" i="161"/>
  <c r="AX17" i="161"/>
  <c r="AS17" i="161"/>
  <c r="AN17" i="161"/>
  <c r="AI17" i="161"/>
  <c r="AD17" i="161"/>
  <c r="X17" i="161"/>
  <c r="W17" i="161"/>
  <c r="CJ17" i="161" s="1"/>
  <c r="S17" i="161"/>
  <c r="R17" i="161"/>
  <c r="O17" i="161"/>
  <c r="J17" i="161"/>
  <c r="E17" i="161"/>
  <c r="CG16" i="161"/>
  <c r="CB16" i="161"/>
  <c r="BW16" i="161"/>
  <c r="BR16" i="161"/>
  <c r="BM16" i="161"/>
  <c r="BH16" i="161"/>
  <c r="BC16" i="161"/>
  <c r="AX16" i="161"/>
  <c r="AS16" i="161"/>
  <c r="AN16" i="161"/>
  <c r="AI16" i="161"/>
  <c r="AD16" i="161"/>
  <c r="X16" i="161"/>
  <c r="Y16" i="161" s="1"/>
  <c r="W16" i="161"/>
  <c r="CJ16" i="161" s="1"/>
  <c r="S16" i="161"/>
  <c r="R16" i="161"/>
  <c r="T16" i="161" s="1"/>
  <c r="O16" i="161"/>
  <c r="J16" i="161"/>
  <c r="E16" i="161"/>
  <c r="CK15" i="161"/>
  <c r="CG15" i="161"/>
  <c r="CB15" i="161"/>
  <c r="BW15" i="161"/>
  <c r="BR15" i="161"/>
  <c r="BM15" i="161"/>
  <c r="BH15" i="161"/>
  <c r="BC15" i="161"/>
  <c r="AX15" i="161"/>
  <c r="AS15" i="161"/>
  <c r="AN15" i="161"/>
  <c r="AI15" i="161"/>
  <c r="AD15" i="161"/>
  <c r="X15" i="161"/>
  <c r="W15" i="161"/>
  <c r="CJ15" i="161" s="1"/>
  <c r="S15" i="161"/>
  <c r="R15" i="161"/>
  <c r="O15" i="161"/>
  <c r="J15" i="161"/>
  <c r="E15" i="161"/>
  <c r="CG14" i="161"/>
  <c r="CB14" i="161"/>
  <c r="BW14" i="161"/>
  <c r="BR14" i="161"/>
  <c r="BM14" i="161"/>
  <c r="BH14" i="161"/>
  <c r="BC14" i="161"/>
  <c r="AX14" i="161"/>
  <c r="AS14" i="161"/>
  <c r="AN14" i="161"/>
  <c r="AI14" i="161"/>
  <c r="AD14" i="161"/>
  <c r="X14" i="161"/>
  <c r="Y14" i="161" s="1"/>
  <c r="W14" i="161"/>
  <c r="CJ14" i="161" s="1"/>
  <c r="S14" i="161"/>
  <c r="R14" i="161"/>
  <c r="T14" i="161" s="1"/>
  <c r="O14" i="161"/>
  <c r="J14" i="161"/>
  <c r="E14" i="161"/>
  <c r="CK13" i="161"/>
  <c r="CG13" i="161"/>
  <c r="CB13" i="161"/>
  <c r="BW13" i="161"/>
  <c r="BR13" i="161"/>
  <c r="BM13" i="161"/>
  <c r="BH13" i="161"/>
  <c r="BC13" i="161"/>
  <c r="AX13" i="161"/>
  <c r="AS13" i="161"/>
  <c r="AN13" i="161"/>
  <c r="AI13" i="161"/>
  <c r="AD13" i="161"/>
  <c r="X13" i="161"/>
  <c r="W13" i="161"/>
  <c r="CJ13" i="161" s="1"/>
  <c r="S13" i="161"/>
  <c r="R13" i="161"/>
  <c r="O13" i="161"/>
  <c r="J13" i="161"/>
  <c r="E13" i="161"/>
  <c r="CG12" i="161"/>
  <c r="CB12" i="161"/>
  <c r="BW12" i="161"/>
  <c r="BR12" i="161"/>
  <c r="BM12" i="161"/>
  <c r="BH12" i="161"/>
  <c r="BC12" i="161"/>
  <c r="AX12" i="161"/>
  <c r="AS12" i="161"/>
  <c r="AN12" i="161"/>
  <c r="AI12" i="161"/>
  <c r="AD12" i="161"/>
  <c r="X12" i="161"/>
  <c r="Y12" i="161" s="1"/>
  <c r="W12" i="161"/>
  <c r="CJ12" i="161" s="1"/>
  <c r="S12" i="161"/>
  <c r="R12" i="161"/>
  <c r="T12" i="161" s="1"/>
  <c r="O12" i="161"/>
  <c r="J12" i="161"/>
  <c r="E12" i="161"/>
  <c r="CK11" i="161"/>
  <c r="CG11" i="161"/>
  <c r="CB11" i="161"/>
  <c r="BW11" i="161"/>
  <c r="BR11" i="161"/>
  <c r="BM11" i="161"/>
  <c r="BH11" i="161"/>
  <c r="BC11" i="161"/>
  <c r="AX11" i="161"/>
  <c r="AS11" i="161"/>
  <c r="AN11" i="161"/>
  <c r="AI11" i="161"/>
  <c r="AI97" i="157" s="1"/>
  <c r="AD11" i="161"/>
  <c r="X11" i="161"/>
  <c r="W11" i="161"/>
  <c r="CJ11" i="161" s="1"/>
  <c r="S11" i="161"/>
  <c r="R11" i="161"/>
  <c r="O11" i="161"/>
  <c r="J11" i="161"/>
  <c r="E11" i="161"/>
  <c r="CG10" i="161"/>
  <c r="CG8" i="161" s="1"/>
  <c r="CB10" i="161"/>
  <c r="BW10" i="161"/>
  <c r="BR10" i="161"/>
  <c r="BM10" i="161"/>
  <c r="BH10" i="161"/>
  <c r="BC10" i="161"/>
  <c r="AX10" i="161"/>
  <c r="AS10" i="161"/>
  <c r="AN10" i="161"/>
  <c r="AN8" i="161" s="1"/>
  <c r="AI10" i="161"/>
  <c r="AD10" i="161"/>
  <c r="X10" i="161"/>
  <c r="Y10" i="161" s="1"/>
  <c r="W10" i="161"/>
  <c r="S10" i="161"/>
  <c r="R10" i="161"/>
  <c r="O10" i="161"/>
  <c r="J10" i="161"/>
  <c r="E10" i="161"/>
  <c r="CJ9" i="161"/>
  <c r="CL9" i="161" s="1"/>
  <c r="CG9" i="161"/>
  <c r="CB9" i="161"/>
  <c r="BW9" i="161"/>
  <c r="BR9" i="161"/>
  <c r="BR8" i="161" s="1"/>
  <c r="BR89" i="161" s="1"/>
  <c r="BM9" i="161"/>
  <c r="BH9" i="161"/>
  <c r="BC9" i="161"/>
  <c r="AX9" i="161"/>
  <c r="AX8" i="161" s="1"/>
  <c r="AS9" i="161"/>
  <c r="AN9" i="161"/>
  <c r="AN97" i="157" s="1"/>
  <c r="AI9" i="161"/>
  <c r="AD9" i="161"/>
  <c r="AD8" i="161" s="1"/>
  <c r="X9" i="161"/>
  <c r="CK9" i="161" s="1"/>
  <c r="W9" i="161"/>
  <c r="Y9" i="161" s="1"/>
  <c r="S9" i="161"/>
  <c r="R9" i="161"/>
  <c r="O9" i="161"/>
  <c r="J9" i="161"/>
  <c r="J8" i="161" s="1"/>
  <c r="E9" i="161"/>
  <c r="E8" i="161" s="1"/>
  <c r="CP8" i="161"/>
  <c r="CF8" i="161"/>
  <c r="CE8" i="161"/>
  <c r="CA8" i="161"/>
  <c r="BZ8" i="161"/>
  <c r="BV8" i="161"/>
  <c r="BU8" i="161"/>
  <c r="BQ8" i="161"/>
  <c r="BP8" i="161"/>
  <c r="BL8" i="161"/>
  <c r="BK8" i="161"/>
  <c r="BG8" i="161"/>
  <c r="BF8" i="161"/>
  <c r="BB8" i="161"/>
  <c r="BA8" i="161"/>
  <c r="AW8" i="161"/>
  <c r="AV8" i="161"/>
  <c r="AR8" i="161"/>
  <c r="AQ8" i="161"/>
  <c r="AM8" i="161"/>
  <c r="AL8" i="161"/>
  <c r="AH8" i="161"/>
  <c r="AG8" i="161"/>
  <c r="AC8" i="161"/>
  <c r="AB8" i="161"/>
  <c r="O8" i="161"/>
  <c r="N8" i="161"/>
  <c r="M8" i="161"/>
  <c r="I8" i="161"/>
  <c r="H8" i="161"/>
  <c r="D8" i="161"/>
  <c r="C8" i="161"/>
  <c r="CK7" i="161"/>
  <c r="CG7" i="161"/>
  <c r="CB7" i="161"/>
  <c r="BW7" i="161"/>
  <c r="BR7" i="161"/>
  <c r="BM7" i="161"/>
  <c r="BM5" i="161" s="1"/>
  <c r="BH7" i="161"/>
  <c r="BC7" i="161"/>
  <c r="AX7" i="161"/>
  <c r="AX5" i="161" s="1"/>
  <c r="AX38" i="161" s="1"/>
  <c r="AS7" i="161"/>
  <c r="AS5" i="161" s="1"/>
  <c r="AN7" i="161"/>
  <c r="AI7" i="161"/>
  <c r="AD7" i="161"/>
  <c r="Y7" i="161"/>
  <c r="X7" i="161"/>
  <c r="W7" i="161"/>
  <c r="CJ7" i="161" s="1"/>
  <c r="S7" i="161"/>
  <c r="R7" i="161"/>
  <c r="O7" i="161"/>
  <c r="J7" i="161"/>
  <c r="E7" i="161"/>
  <c r="CP6" i="161"/>
  <c r="CP5" i="161" s="1"/>
  <c r="CP38" i="161" s="1"/>
  <c r="CG6" i="161"/>
  <c r="CB6" i="161"/>
  <c r="CB5" i="161" s="1"/>
  <c r="BW6" i="161"/>
  <c r="BR6" i="161"/>
  <c r="BM6" i="161"/>
  <c r="BH6" i="161"/>
  <c r="BH5" i="161" s="1"/>
  <c r="BC6" i="161"/>
  <c r="BC5" i="161" s="1"/>
  <c r="AX6" i="161"/>
  <c r="AS6" i="161"/>
  <c r="AL6" i="161"/>
  <c r="AI6" i="161"/>
  <c r="AI5" i="161" s="1"/>
  <c r="AD6" i="161"/>
  <c r="X6" i="161"/>
  <c r="CK6" i="161" s="1"/>
  <c r="CK5" i="161" s="1"/>
  <c r="S6" i="161"/>
  <c r="S5" i="161" s="1"/>
  <c r="R6" i="161"/>
  <c r="O6" i="161"/>
  <c r="O5" i="161" s="1"/>
  <c r="O38" i="161" s="1"/>
  <c r="J6" i="161"/>
  <c r="J5" i="161" s="1"/>
  <c r="J38" i="161" s="1"/>
  <c r="E6" i="161"/>
  <c r="CF5" i="161"/>
  <c r="CF38" i="161" s="1"/>
  <c r="CE5" i="161"/>
  <c r="CE38" i="161" s="1"/>
  <c r="CA5" i="161"/>
  <c r="CA38" i="161" s="1"/>
  <c r="BZ5" i="161"/>
  <c r="BV5" i="161"/>
  <c r="BV38" i="161" s="1"/>
  <c r="BU5" i="161"/>
  <c r="BQ5" i="161"/>
  <c r="BQ38" i="161" s="1"/>
  <c r="BP5" i="161"/>
  <c r="BP38" i="161" s="1"/>
  <c r="BL5" i="161"/>
  <c r="BL38" i="161" s="1"/>
  <c r="BK5" i="161"/>
  <c r="BK38" i="161" s="1"/>
  <c r="BG5" i="161"/>
  <c r="BG38" i="161" s="1"/>
  <c r="BF5" i="161"/>
  <c r="BF38" i="161" s="1"/>
  <c r="BB5" i="161"/>
  <c r="BB38" i="161" s="1"/>
  <c r="BA5" i="161"/>
  <c r="BA38" i="161" s="1"/>
  <c r="AW5" i="161"/>
  <c r="AW38" i="161" s="1"/>
  <c r="AV5" i="161"/>
  <c r="AR5" i="161"/>
  <c r="AR38" i="161" s="1"/>
  <c r="AQ5" i="161"/>
  <c r="AQ38" i="161" s="1"/>
  <c r="AM5" i="161"/>
  <c r="AL5" i="161"/>
  <c r="AH5" i="161"/>
  <c r="AH38" i="161" s="1"/>
  <c r="AG5" i="161"/>
  <c r="AD5" i="161"/>
  <c r="AC5" i="161"/>
  <c r="AC38" i="161" s="1"/>
  <c r="AB5" i="161"/>
  <c r="AB38" i="161" s="1"/>
  <c r="R5" i="161"/>
  <c r="N5" i="161"/>
  <c r="N38" i="161" s="1"/>
  <c r="M5" i="161"/>
  <c r="I5" i="161"/>
  <c r="I38" i="161" s="1"/>
  <c r="H5" i="161"/>
  <c r="H38" i="161" s="1"/>
  <c r="D5" i="161"/>
  <c r="D38" i="161" s="1"/>
  <c r="D75" i="161" s="1"/>
  <c r="C5" i="161"/>
  <c r="BR97" i="157"/>
  <c r="BS21" i="161" l="1"/>
  <c r="BS23" i="161"/>
  <c r="AM38" i="161"/>
  <c r="CL11" i="161"/>
  <c r="CL13" i="161"/>
  <c r="CL15" i="161"/>
  <c r="CL19" i="161"/>
  <c r="X5" i="161"/>
  <c r="X38" i="161" s="1"/>
  <c r="X75" i="161" s="1"/>
  <c r="X81" i="161" s="1"/>
  <c r="X83" i="161" s="1"/>
  <c r="AG38" i="161"/>
  <c r="CG5" i="161"/>
  <c r="CG38" i="161" s="1"/>
  <c r="CL7" i="161"/>
  <c r="BW5" i="161"/>
  <c r="X8" i="161"/>
  <c r="CB8" i="161"/>
  <c r="S8" i="161"/>
  <c r="CK10" i="161"/>
  <c r="CK12" i="161"/>
  <c r="CK14" i="161"/>
  <c r="CK16" i="161"/>
  <c r="CK18" i="161"/>
  <c r="CK20" i="161"/>
  <c r="Y23" i="161"/>
  <c r="X41" i="161"/>
  <c r="T42" i="161"/>
  <c r="CL44" i="161"/>
  <c r="CL45" i="161"/>
  <c r="Y48" i="161"/>
  <c r="CP50" i="161"/>
  <c r="CK50" i="161"/>
  <c r="CP54" i="161"/>
  <c r="CL57" i="161"/>
  <c r="CL61" i="161"/>
  <c r="T62" i="161"/>
  <c r="O77" i="161"/>
  <c r="AN6" i="161"/>
  <c r="AN5" i="161" s="1"/>
  <c r="AN38" i="161" s="1"/>
  <c r="T7" i="161"/>
  <c r="O89" i="161"/>
  <c r="P21" i="161" s="1"/>
  <c r="BU38" i="161"/>
  <c r="S38" i="161"/>
  <c r="S75" i="161" s="1"/>
  <c r="S81" i="161" s="1"/>
  <c r="S83" i="161" s="1"/>
  <c r="S84" i="161" s="1"/>
  <c r="S86" i="161" s="1"/>
  <c r="BR5" i="161"/>
  <c r="BR38" i="161" s="1"/>
  <c r="T9" i="161"/>
  <c r="W8" i="161"/>
  <c r="Y11" i="161"/>
  <c r="CL12" i="161"/>
  <c r="Y13" i="161"/>
  <c r="CL14" i="161"/>
  <c r="T15" i="161"/>
  <c r="Y15" i="161"/>
  <c r="CL16" i="161"/>
  <c r="T17" i="161"/>
  <c r="Y17" i="161"/>
  <c r="CL18" i="161"/>
  <c r="T19" i="161"/>
  <c r="Y19" i="161"/>
  <c r="CL20" i="161"/>
  <c r="T21" i="161"/>
  <c r="Y21" i="161"/>
  <c r="CL22" i="161"/>
  <c r="T23" i="161"/>
  <c r="CK26" i="161"/>
  <c r="T36" i="161"/>
  <c r="T35" i="161" s="1"/>
  <c r="Y36" i="161"/>
  <c r="Y35" i="161" s="1"/>
  <c r="Y46" i="161"/>
  <c r="W50" i="161"/>
  <c r="CQ50" i="161"/>
  <c r="CJ52" i="161"/>
  <c r="T56" i="161"/>
  <c r="T60" i="161"/>
  <c r="Y62" i="161"/>
  <c r="Y63" i="161"/>
  <c r="CL65" i="161"/>
  <c r="CL68" i="161"/>
  <c r="Y69" i="161"/>
  <c r="CL71" i="161"/>
  <c r="BC77" i="161"/>
  <c r="CL43" i="161"/>
  <c r="Y51" i="161"/>
  <c r="Y50" i="161" s="1"/>
  <c r="T57" i="161"/>
  <c r="CL59" i="161"/>
  <c r="W6" i="161"/>
  <c r="W5" i="161" s="1"/>
  <c r="W38" i="161" s="1"/>
  <c r="W75" i="161" s="1"/>
  <c r="CL17" i="161"/>
  <c r="CL21" i="161"/>
  <c r="CQ21" i="161" s="1"/>
  <c r="CR21" i="161" s="1"/>
  <c r="Y22" i="161"/>
  <c r="CL23" i="161"/>
  <c r="CL56" i="161"/>
  <c r="CL60" i="161"/>
  <c r="CG77" i="161"/>
  <c r="AN75" i="161"/>
  <c r="AN39" i="161"/>
  <c r="BR75" i="161"/>
  <c r="BR39" i="161"/>
  <c r="CQ9" i="161"/>
  <c r="BF75" i="161"/>
  <c r="BF39" i="161"/>
  <c r="N75" i="161"/>
  <c r="N39" i="161"/>
  <c r="AD38" i="161"/>
  <c r="BB75" i="161"/>
  <c r="BB39" i="161"/>
  <c r="BP75" i="161"/>
  <c r="BP39" i="161"/>
  <c r="BS11" i="161"/>
  <c r="CQ15" i="161"/>
  <c r="CR15" i="161" s="1"/>
  <c r="CQ17" i="161"/>
  <c r="CR17" i="161" s="1"/>
  <c r="CQ19" i="161"/>
  <c r="CR19" i="161" s="1"/>
  <c r="CQ23" i="161"/>
  <c r="CR23" i="161" s="1"/>
  <c r="H75" i="161"/>
  <c r="H39" i="161"/>
  <c r="AH75" i="161"/>
  <c r="AH39" i="161"/>
  <c r="AV38" i="161"/>
  <c r="E5" i="161"/>
  <c r="E38" i="161" s="1"/>
  <c r="AI8" i="161"/>
  <c r="BM8" i="161"/>
  <c r="BM38" i="161" s="1"/>
  <c r="BS12" i="161"/>
  <c r="BS13" i="161"/>
  <c r="BS15" i="161"/>
  <c r="BS17" i="161"/>
  <c r="BS19" i="161"/>
  <c r="AR75" i="161"/>
  <c r="AR39" i="161"/>
  <c r="CQ11" i="161"/>
  <c r="CR11" i="161" s="1"/>
  <c r="AL38" i="161"/>
  <c r="CF75" i="161"/>
  <c r="CF39" i="161"/>
  <c r="Y6" i="161"/>
  <c r="Y5" i="161" s="1"/>
  <c r="R8" i="161"/>
  <c r="R38" i="161" s="1"/>
  <c r="T10" i="161"/>
  <c r="CQ12" i="161"/>
  <c r="CR12" i="161" s="1"/>
  <c r="T13" i="161"/>
  <c r="CQ14" i="161"/>
  <c r="CR14" i="161" s="1"/>
  <c r="CQ16" i="161"/>
  <c r="CR16" i="161" s="1"/>
  <c r="CQ18" i="161"/>
  <c r="CR18" i="161" s="1"/>
  <c r="CQ20" i="161"/>
  <c r="CR20" i="161" s="1"/>
  <c r="CQ22" i="161"/>
  <c r="CQ24" i="161"/>
  <c r="CR24" i="161" s="1"/>
  <c r="CT24" i="161" s="1"/>
  <c r="D81" i="161"/>
  <c r="D83" i="161" s="1"/>
  <c r="D84" i="161" s="1"/>
  <c r="D76" i="161"/>
  <c r="BQ75" i="161"/>
  <c r="BQ39" i="161"/>
  <c r="J39" i="161"/>
  <c r="AB75" i="161"/>
  <c r="AB39" i="161"/>
  <c r="AM75" i="161"/>
  <c r="AM39" i="161"/>
  <c r="AX39" i="161"/>
  <c r="BV75" i="161"/>
  <c r="BV39" i="161"/>
  <c r="O75" i="161"/>
  <c r="O39" i="161"/>
  <c r="CG39" i="161"/>
  <c r="BS67" i="161"/>
  <c r="BS53" i="161"/>
  <c r="BS48" i="161"/>
  <c r="BS68" i="161"/>
  <c r="BS69" i="161"/>
  <c r="BS63" i="161"/>
  <c r="BS62" i="161"/>
  <c r="BS70" i="161"/>
  <c r="BS64" i="161"/>
  <c r="BS49" i="161"/>
  <c r="BS71" i="161"/>
  <c r="BS65" i="161"/>
  <c r="BS66" i="161"/>
  <c r="BS27" i="161"/>
  <c r="BS26" i="161"/>
  <c r="BS24" i="161"/>
  <c r="BS9" i="161"/>
  <c r="AS8" i="161"/>
  <c r="AS38" i="161" s="1"/>
  <c r="BW8" i="161"/>
  <c r="BS10" i="161"/>
  <c r="BC8" i="161"/>
  <c r="BC38" i="161" s="1"/>
  <c r="I75" i="161"/>
  <c r="I39" i="161"/>
  <c r="CB38" i="161"/>
  <c r="BL75" i="161"/>
  <c r="BL39" i="161"/>
  <c r="BZ38" i="161"/>
  <c r="T6" i="161"/>
  <c r="T5" i="161" s="1"/>
  <c r="AI38" i="161"/>
  <c r="CJ6" i="161"/>
  <c r="BH8" i="161"/>
  <c r="BH38" i="161" s="1"/>
  <c r="T11" i="161"/>
  <c r="CQ13" i="161"/>
  <c r="CR13" i="161" s="1"/>
  <c r="BS14" i="161"/>
  <c r="BS16" i="161"/>
  <c r="BS18" i="161"/>
  <c r="BS20" i="161"/>
  <c r="BS22" i="161"/>
  <c r="D39" i="161"/>
  <c r="C38" i="161"/>
  <c r="M38" i="161"/>
  <c r="AG75" i="161"/>
  <c r="AG39" i="161"/>
  <c r="AQ75" i="161"/>
  <c r="AQ39" i="161"/>
  <c r="BA75" i="161"/>
  <c r="BA39" i="161"/>
  <c r="BK75" i="161"/>
  <c r="BK39" i="161"/>
  <c r="BU75" i="161"/>
  <c r="BU39" i="161"/>
  <c r="CE75" i="161"/>
  <c r="CE39" i="161"/>
  <c r="CP75" i="161"/>
  <c r="CP39" i="161"/>
  <c r="P9" i="161"/>
  <c r="P24" i="161"/>
  <c r="CL26" i="161"/>
  <c r="CK28" i="161"/>
  <c r="CL28" i="161" s="1"/>
  <c r="Y28" i="161"/>
  <c r="BS29" i="161"/>
  <c r="CK30" i="161"/>
  <c r="CL30" i="161" s="1"/>
  <c r="Y30" i="161"/>
  <c r="BS31" i="161"/>
  <c r="CK32" i="161"/>
  <c r="CL32" i="161" s="1"/>
  <c r="Y32" i="161"/>
  <c r="BS33" i="161"/>
  <c r="CL36" i="161"/>
  <c r="CJ35" i="161"/>
  <c r="AS35" i="161"/>
  <c r="CJ10" i="161"/>
  <c r="Y25" i="161"/>
  <c r="CJ25" i="161"/>
  <c r="CL25" i="161" s="1"/>
  <c r="P28" i="161"/>
  <c r="P30" i="161"/>
  <c r="P32" i="161"/>
  <c r="AI41" i="161"/>
  <c r="BM41" i="161"/>
  <c r="BS25" i="161"/>
  <c r="BS28" i="161"/>
  <c r="CK29" i="161"/>
  <c r="Y29" i="161"/>
  <c r="BS30" i="161"/>
  <c r="CK31" i="161"/>
  <c r="CL31" i="161" s="1"/>
  <c r="Y31" i="161"/>
  <c r="BS32" i="161"/>
  <c r="CK33" i="161"/>
  <c r="Y33" i="161"/>
  <c r="P36" i="161"/>
  <c r="AC75" i="161"/>
  <c r="AC39" i="161"/>
  <c r="AW75" i="161"/>
  <c r="AW39" i="161"/>
  <c r="BG75" i="161"/>
  <c r="BG39" i="161"/>
  <c r="CA75" i="161"/>
  <c r="CA39" i="161"/>
  <c r="P25" i="161"/>
  <c r="CL27" i="161"/>
  <c r="CL29" i="161"/>
  <c r="CL33" i="161"/>
  <c r="BM35" i="161"/>
  <c r="T41" i="161"/>
  <c r="P47" i="161"/>
  <c r="P85" i="161"/>
  <c r="P82" i="161"/>
  <c r="P79" i="161"/>
  <c r="P72" i="161"/>
  <c r="P70" i="161"/>
  <c r="P64" i="161"/>
  <c r="P71" i="161"/>
  <c r="P65" i="161"/>
  <c r="P66" i="161"/>
  <c r="P67" i="161"/>
  <c r="P53" i="161"/>
  <c r="P74" i="161"/>
  <c r="P68" i="161"/>
  <c r="P69" i="161"/>
  <c r="P63" i="161"/>
  <c r="T26" i="161"/>
  <c r="P29" i="161"/>
  <c r="P31" i="161"/>
  <c r="P33" i="161"/>
  <c r="BS42" i="161"/>
  <c r="P44" i="161"/>
  <c r="BS45" i="161"/>
  <c r="BS51" i="161"/>
  <c r="CL55" i="161"/>
  <c r="CG35" i="161"/>
  <c r="AS41" i="161"/>
  <c r="BW41" i="161"/>
  <c r="R35" i="161"/>
  <c r="BS36" i="161"/>
  <c r="P43" i="161"/>
  <c r="BS44" i="161"/>
  <c r="P46" i="161"/>
  <c r="CK54" i="161"/>
  <c r="CB41" i="161"/>
  <c r="J41" i="161"/>
  <c r="J75" i="161" s="1"/>
  <c r="CL58" i="161"/>
  <c r="AD35" i="161"/>
  <c r="AN35" i="161"/>
  <c r="P42" i="161"/>
  <c r="CL42" i="161"/>
  <c r="BS43" i="161"/>
  <c r="P45" i="161"/>
  <c r="CJ67" i="161"/>
  <c r="CL67" i="161" s="1"/>
  <c r="Y67" i="161"/>
  <c r="W54" i="161"/>
  <c r="P51" i="161"/>
  <c r="P56" i="161"/>
  <c r="BS57" i="161"/>
  <c r="P59" i="161"/>
  <c r="BS60" i="161"/>
  <c r="P62" i="161"/>
  <c r="J54" i="161"/>
  <c r="BS47" i="161"/>
  <c r="CL52" i="161"/>
  <c r="CJ50" i="161"/>
  <c r="BS55" i="161"/>
  <c r="CQ54" i="161"/>
  <c r="P57" i="161"/>
  <c r="BS58" i="161"/>
  <c r="P60" i="161"/>
  <c r="BS61" i="161"/>
  <c r="BM54" i="161"/>
  <c r="AI54" i="161"/>
  <c r="CJ46" i="161"/>
  <c r="CL46" i="161" s="1"/>
  <c r="AS50" i="161"/>
  <c r="P52" i="161"/>
  <c r="CB54" i="161"/>
  <c r="BC41" i="161"/>
  <c r="CG41" i="161"/>
  <c r="CG89" i="161" s="1"/>
  <c r="Y42" i="161"/>
  <c r="Y43" i="161"/>
  <c r="Y44" i="161"/>
  <c r="Y45" i="161"/>
  <c r="P48" i="161"/>
  <c r="CL48" i="161"/>
  <c r="E50" i="161"/>
  <c r="T52" i="161"/>
  <c r="T50" i="161" s="1"/>
  <c r="R50" i="161"/>
  <c r="BS52" i="161"/>
  <c r="P55" i="161"/>
  <c r="BS56" i="161"/>
  <c r="P58" i="161"/>
  <c r="BS59" i="161"/>
  <c r="P61" i="161"/>
  <c r="BS46" i="161"/>
  <c r="AD50" i="161"/>
  <c r="BH50" i="161"/>
  <c r="CL51" i="161"/>
  <c r="T55" i="161"/>
  <c r="T58" i="161"/>
  <c r="T61" i="161"/>
  <c r="AX54" i="161"/>
  <c r="AX75" i="161" s="1"/>
  <c r="CK47" i="161"/>
  <c r="CK41" i="161" s="1"/>
  <c r="CJ62" i="161"/>
  <c r="CL62" i="161" s="1"/>
  <c r="Y66" i="161"/>
  <c r="CP73" i="161"/>
  <c r="T78" i="161"/>
  <c r="T77" i="161" s="1"/>
  <c r="R77" i="161"/>
  <c r="Y55" i="161"/>
  <c r="Y56" i="161"/>
  <c r="Y57" i="161"/>
  <c r="Y58" i="161"/>
  <c r="Y59" i="161"/>
  <c r="Y60" i="161"/>
  <c r="Y61" i="161"/>
  <c r="Y65" i="161"/>
  <c r="Y71" i="161"/>
  <c r="Y64" i="161"/>
  <c r="Y70" i="161"/>
  <c r="Y78" i="161"/>
  <c r="CJ78" i="161"/>
  <c r="J73" i="161"/>
  <c r="BH77" i="161"/>
  <c r="P78" i="161"/>
  <c r="CP77" i="161"/>
  <c r="CQ78" i="161"/>
  <c r="CG97" i="157"/>
  <c r="CB89" i="161" l="1"/>
  <c r="Y8" i="161"/>
  <c r="P15" i="161"/>
  <c r="P19" i="161"/>
  <c r="CL47" i="161"/>
  <c r="CJ41" i="161"/>
  <c r="T8" i="161"/>
  <c r="R75" i="161"/>
  <c r="R81" i="161" s="1"/>
  <c r="R83" i="161" s="1"/>
  <c r="R84" i="161" s="1"/>
  <c r="R86" i="161" s="1"/>
  <c r="P11" i="161"/>
  <c r="CG75" i="161"/>
  <c r="P26" i="161"/>
  <c r="P22" i="161"/>
  <c r="P20" i="161"/>
  <c r="P18" i="161"/>
  <c r="P16" i="161"/>
  <c r="P12" i="161"/>
  <c r="P27" i="161"/>
  <c r="P14" i="161"/>
  <c r="P10" i="161"/>
  <c r="P23" i="161"/>
  <c r="P17" i="161"/>
  <c r="P13" i="161"/>
  <c r="CQ32" i="161"/>
  <c r="CR32" i="161" s="1"/>
  <c r="CQ28" i="161"/>
  <c r="CR28" i="161" s="1"/>
  <c r="CH66" i="161"/>
  <c r="CH49" i="161"/>
  <c r="CH48" i="161"/>
  <c r="CH67" i="161"/>
  <c r="CH68" i="161"/>
  <c r="CH69" i="161"/>
  <c r="CH63" i="161"/>
  <c r="CH62" i="161"/>
  <c r="CH53" i="161"/>
  <c r="CH70" i="161"/>
  <c r="CH64" i="161"/>
  <c r="CH71" i="161"/>
  <c r="CH65" i="161"/>
  <c r="CH26" i="161"/>
  <c r="CH24" i="161"/>
  <c r="CH9" i="161"/>
  <c r="CH23" i="161"/>
  <c r="CH11" i="161"/>
  <c r="CH22" i="161"/>
  <c r="CH20" i="161"/>
  <c r="CH18" i="161"/>
  <c r="CH16" i="161"/>
  <c r="CH14" i="161"/>
  <c r="CH10" i="161"/>
  <c r="CH21" i="161"/>
  <c r="CH19" i="161"/>
  <c r="CH17" i="161"/>
  <c r="CH15" i="161"/>
  <c r="CH13" i="161"/>
  <c r="CH12" i="161"/>
  <c r="CH27" i="161"/>
  <c r="CH43" i="161"/>
  <c r="CH61" i="161"/>
  <c r="CH51" i="161"/>
  <c r="CH60" i="161"/>
  <c r="CH29" i="161"/>
  <c r="CH52" i="161"/>
  <c r="CH58" i="161"/>
  <c r="CH46" i="161"/>
  <c r="CH28" i="161"/>
  <c r="CH44" i="161"/>
  <c r="CH31" i="161"/>
  <c r="CH55" i="161"/>
  <c r="CH57" i="161"/>
  <c r="CH25" i="161"/>
  <c r="CH30" i="161"/>
  <c r="CH33" i="161"/>
  <c r="CH45" i="161"/>
  <c r="CH59" i="161"/>
  <c r="CH47" i="161"/>
  <c r="CH32" i="161"/>
  <c r="CH42" i="161"/>
  <c r="CH56" i="161"/>
  <c r="CH36" i="161"/>
  <c r="CC49" i="161"/>
  <c r="CC46" i="161"/>
  <c r="CC67" i="161"/>
  <c r="CC61" i="161"/>
  <c r="CC60" i="161"/>
  <c r="CC59" i="161"/>
  <c r="CC58" i="161"/>
  <c r="CC57" i="161"/>
  <c r="CC56" i="161"/>
  <c r="CC55" i="161"/>
  <c r="CC53" i="161"/>
  <c r="CC69" i="161"/>
  <c r="CC62" i="161"/>
  <c r="CC63" i="161"/>
  <c r="CC23" i="161"/>
  <c r="CC22" i="161"/>
  <c r="CC21" i="161"/>
  <c r="CC20" i="161"/>
  <c r="CC19" i="161"/>
  <c r="CC18" i="161"/>
  <c r="CC17" i="161"/>
  <c r="CC16" i="161"/>
  <c r="CC15" i="161"/>
  <c r="CC14" i="161"/>
  <c r="CC13" i="161"/>
  <c r="CC12" i="161"/>
  <c r="CC11" i="161"/>
  <c r="CC10" i="161"/>
  <c r="CC36" i="161"/>
  <c r="CC24" i="161"/>
  <c r="CC9" i="161"/>
  <c r="CC25" i="161"/>
  <c r="CC33" i="161"/>
  <c r="CC30" i="161"/>
  <c r="CC52" i="161"/>
  <c r="CC31" i="161"/>
  <c r="CC28" i="161"/>
  <c r="CC45" i="161"/>
  <c r="CC70" i="161"/>
  <c r="CC29" i="161"/>
  <c r="CC66" i="161"/>
  <c r="CC42" i="161"/>
  <c r="CC44" i="161"/>
  <c r="CC71" i="161"/>
  <c r="CC27" i="161"/>
  <c r="CC26" i="161"/>
  <c r="CC64" i="161"/>
  <c r="CC51" i="161"/>
  <c r="CC68" i="161"/>
  <c r="CC47" i="161"/>
  <c r="CC32" i="161"/>
  <c r="CC43" i="161"/>
  <c r="CC65" i="161"/>
  <c r="CC48" i="161"/>
  <c r="BM75" i="161"/>
  <c r="BM39" i="161"/>
  <c r="CL50" i="161"/>
  <c r="Y41" i="161"/>
  <c r="CP76" i="161"/>
  <c r="CP81" i="161"/>
  <c r="CP83" i="161" s="1"/>
  <c r="CP84" i="161" s="1"/>
  <c r="CP86" i="161" s="1"/>
  <c r="CP87" i="161" s="1"/>
  <c r="BK76" i="161"/>
  <c r="BK81" i="161"/>
  <c r="BK83" i="161" s="1"/>
  <c r="BK84" i="161" s="1"/>
  <c r="BK86" i="161" s="1"/>
  <c r="BK87" i="161" s="1"/>
  <c r="CL6" i="161"/>
  <c r="CJ5" i="161"/>
  <c r="BW89" i="161"/>
  <c r="BC75" i="161"/>
  <c r="BC39" i="161"/>
  <c r="AX76" i="161"/>
  <c r="J76" i="161"/>
  <c r="J81" i="161"/>
  <c r="J83" i="161" s="1"/>
  <c r="J84" i="161" s="1"/>
  <c r="J86" i="161" s="1"/>
  <c r="J87" i="161" s="1"/>
  <c r="AR81" i="161"/>
  <c r="AR83" i="161" s="1"/>
  <c r="AR84" i="161" s="1"/>
  <c r="AR86" i="161" s="1"/>
  <c r="AR87" i="161" s="1"/>
  <c r="AR76" i="161"/>
  <c r="AV39" i="161"/>
  <c r="AV75" i="161"/>
  <c r="BB81" i="161"/>
  <c r="BB83" i="161" s="1"/>
  <c r="BB84" i="161" s="1"/>
  <c r="BB86" i="161" s="1"/>
  <c r="BB87" i="161" s="1"/>
  <c r="BB76" i="161"/>
  <c r="BH75" i="161"/>
  <c r="BH39" i="161"/>
  <c r="CL41" i="161"/>
  <c r="BG81" i="161"/>
  <c r="BG83" i="161" s="1"/>
  <c r="BG84" i="161" s="1"/>
  <c r="BG86" i="161" s="1"/>
  <c r="BG87" i="161" s="1"/>
  <c r="BG76" i="161"/>
  <c r="CL10" i="161"/>
  <c r="CJ8" i="161"/>
  <c r="M75" i="161"/>
  <c r="M39" i="161"/>
  <c r="CK8" i="161"/>
  <c r="CK38" i="161" s="1"/>
  <c r="AI75" i="161"/>
  <c r="AI39" i="161"/>
  <c r="CB75" i="161"/>
  <c r="CB39" i="161"/>
  <c r="BC89" i="161"/>
  <c r="CF81" i="161"/>
  <c r="CF83" i="161" s="1"/>
  <c r="CF84" i="161" s="1"/>
  <c r="CF86" i="161" s="1"/>
  <c r="CF87" i="161" s="1"/>
  <c r="CF76" i="161"/>
  <c r="AD75" i="161"/>
  <c r="AD39" i="161"/>
  <c r="T54" i="161"/>
  <c r="T89" i="161" s="1"/>
  <c r="CL54" i="161"/>
  <c r="CE76" i="161"/>
  <c r="CE81" i="161"/>
  <c r="CE83" i="161" s="1"/>
  <c r="CE84" i="161" s="1"/>
  <c r="CE86" i="161" s="1"/>
  <c r="CE87" i="161" s="1"/>
  <c r="BA76" i="161"/>
  <c r="BA81" i="161"/>
  <c r="BA83" i="161" s="1"/>
  <c r="BA84" i="161" s="1"/>
  <c r="BA86" i="161" s="1"/>
  <c r="BA87" i="161" s="1"/>
  <c r="C75" i="161"/>
  <c r="C39" i="161"/>
  <c r="T38" i="161"/>
  <c r="O81" i="161"/>
  <c r="O83" i="161" s="1"/>
  <c r="O84" i="161" s="1"/>
  <c r="O86" i="161" s="1"/>
  <c r="O87" i="161" s="1"/>
  <c r="O76" i="161"/>
  <c r="AM81" i="161"/>
  <c r="AM83" i="161" s="1"/>
  <c r="AM84" i="161" s="1"/>
  <c r="AM86" i="161" s="1"/>
  <c r="AM87" i="161" s="1"/>
  <c r="AM76" i="161"/>
  <c r="AL75" i="161"/>
  <c r="AL39" i="161"/>
  <c r="AH81" i="161"/>
  <c r="AH83" i="161" s="1"/>
  <c r="AH84" i="161" s="1"/>
  <c r="AH86" i="161" s="1"/>
  <c r="AH87" i="161" s="1"/>
  <c r="AH76" i="161"/>
  <c r="AN76" i="161"/>
  <c r="CL78" i="161"/>
  <c r="CJ54" i="161"/>
  <c r="AW81" i="161"/>
  <c r="AW83" i="161" s="1"/>
  <c r="AW84" i="161" s="1"/>
  <c r="AW86" i="161" s="1"/>
  <c r="AW87" i="161" s="1"/>
  <c r="AW76" i="161"/>
  <c r="CQ26" i="161"/>
  <c r="CR26" i="161" s="1"/>
  <c r="CT26" i="161" s="1"/>
  <c r="BH89" i="161"/>
  <c r="BZ75" i="161"/>
  <c r="BZ39" i="161"/>
  <c r="BQ76" i="161"/>
  <c r="BQ81" i="161"/>
  <c r="BQ83" i="161" s="1"/>
  <c r="BQ84" i="161" s="1"/>
  <c r="BQ86" i="161" s="1"/>
  <c r="BQ87" i="161" s="1"/>
  <c r="CR22" i="161"/>
  <c r="CT22" i="161"/>
  <c r="BW38" i="161"/>
  <c r="N76" i="161"/>
  <c r="N81" i="161"/>
  <c r="N83" i="161" s="1"/>
  <c r="N84" i="161" s="1"/>
  <c r="N86" i="161" s="1"/>
  <c r="N87" i="161" s="1"/>
  <c r="CR9" i="161"/>
  <c r="CQ31" i="161"/>
  <c r="CR31" i="161" s="1"/>
  <c r="BU76" i="161"/>
  <c r="BU81" i="161"/>
  <c r="BU83" i="161" s="1"/>
  <c r="BU84" i="161" s="1"/>
  <c r="BU86" i="161" s="1"/>
  <c r="BU87" i="161" s="1"/>
  <c r="AB76" i="161"/>
  <c r="AS75" i="161"/>
  <c r="AS39" i="161"/>
  <c r="H81" i="161"/>
  <c r="H83" i="161" s="1"/>
  <c r="H84" i="161" s="1"/>
  <c r="H86" i="161" s="1"/>
  <c r="H87" i="161" s="1"/>
  <c r="H76" i="161"/>
  <c r="BP81" i="161"/>
  <c r="BP83" i="161" s="1"/>
  <c r="BP84" i="161" s="1"/>
  <c r="BP86" i="161" s="1"/>
  <c r="BP87" i="161" s="1"/>
  <c r="BP76" i="161"/>
  <c r="CQ29" i="161"/>
  <c r="CR29" i="161" s="1"/>
  <c r="CQ27" i="161"/>
  <c r="CR27" i="161" s="1"/>
  <c r="CQ25" i="161"/>
  <c r="CR25" i="161" s="1"/>
  <c r="CT25" i="161" s="1"/>
  <c r="CQ36" i="161"/>
  <c r="CL35" i="161"/>
  <c r="AQ76" i="161"/>
  <c r="CQ30" i="161"/>
  <c r="CR30" i="161" s="1"/>
  <c r="I76" i="161"/>
  <c r="I81" i="161"/>
  <c r="I83" i="161" s="1"/>
  <c r="I84" i="161" s="1"/>
  <c r="I86" i="161" s="1"/>
  <c r="I87" i="161" s="1"/>
  <c r="BV81" i="161"/>
  <c r="BV83" i="161" s="1"/>
  <c r="BV84" i="161" s="1"/>
  <c r="BV86" i="161" s="1"/>
  <c r="BV87" i="161" s="1"/>
  <c r="BV76" i="161"/>
  <c r="Y54" i="161"/>
  <c r="CA76" i="161"/>
  <c r="CA81" i="161"/>
  <c r="CA83" i="161" s="1"/>
  <c r="CA84" i="161" s="1"/>
  <c r="CA86" i="161" s="1"/>
  <c r="CA87" i="161" s="1"/>
  <c r="AC81" i="161"/>
  <c r="AC83" i="161" s="1"/>
  <c r="AC84" i="161" s="1"/>
  <c r="AC76" i="161"/>
  <c r="J89" i="161"/>
  <c r="BL81" i="161"/>
  <c r="BL83" i="161" s="1"/>
  <c r="BL84" i="161" s="1"/>
  <c r="BL86" i="161" s="1"/>
  <c r="BL87" i="161" s="1"/>
  <c r="BL76" i="161"/>
  <c r="CG81" i="161"/>
  <c r="CG83" i="161" s="1"/>
  <c r="CG84" i="161" s="1"/>
  <c r="CG86" i="161" s="1"/>
  <c r="CG87" i="161" s="1"/>
  <c r="CG76" i="161"/>
  <c r="D86" i="161"/>
  <c r="D87" i="161" s="1"/>
  <c r="Y38" i="161"/>
  <c r="BM89" i="161"/>
  <c r="E75" i="161"/>
  <c r="E39" i="161"/>
  <c r="BF81" i="161"/>
  <c r="BF83" i="161" s="1"/>
  <c r="BF84" i="161" s="1"/>
  <c r="BF86" i="161" s="1"/>
  <c r="BF87" i="161" s="1"/>
  <c r="BF76" i="161"/>
  <c r="E89" i="161"/>
  <c r="F50" i="161" s="1"/>
  <c r="AG76" i="161"/>
  <c r="BR76" i="161"/>
  <c r="BR81" i="161"/>
  <c r="BR83" i="161" s="1"/>
  <c r="BR84" i="161" s="1"/>
  <c r="BR86" i="161" s="1"/>
  <c r="BR87" i="161" s="1"/>
  <c r="CB97" i="157"/>
  <c r="BW97" i="157"/>
  <c r="BC97" i="157"/>
  <c r="BH97" i="157"/>
  <c r="BM97" i="157"/>
  <c r="BW75" i="161" l="1"/>
  <c r="BW39" i="161"/>
  <c r="CQ6" i="161"/>
  <c r="CL5" i="161"/>
  <c r="F54" i="161"/>
  <c r="K50" i="161"/>
  <c r="K53" i="161"/>
  <c r="F62" i="161"/>
  <c r="F59" i="161"/>
  <c r="F56" i="161"/>
  <c r="F53" i="161"/>
  <c r="F61" i="161"/>
  <c r="F58" i="161"/>
  <c r="F55" i="161"/>
  <c r="F60" i="161"/>
  <c r="F57" i="161"/>
  <c r="P50" i="161"/>
  <c r="F46" i="161"/>
  <c r="F45" i="161"/>
  <c r="F44" i="161"/>
  <c r="F43" i="161"/>
  <c r="F42" i="161"/>
  <c r="F23" i="161"/>
  <c r="F22" i="161"/>
  <c r="F21" i="161"/>
  <c r="F20" i="161"/>
  <c r="F19" i="161"/>
  <c r="F18" i="161"/>
  <c r="F17" i="161"/>
  <c r="F16" i="161"/>
  <c r="F15" i="161"/>
  <c r="F14" i="161"/>
  <c r="F24" i="161"/>
  <c r="F25" i="161"/>
  <c r="F13" i="161"/>
  <c r="F10" i="161"/>
  <c r="F26" i="161"/>
  <c r="F12" i="161"/>
  <c r="F11" i="161"/>
  <c r="F30" i="161"/>
  <c r="F27" i="161"/>
  <c r="F52" i="161"/>
  <c r="F32" i="161"/>
  <c r="F36" i="161"/>
  <c r="F9" i="161"/>
  <c r="P8" i="161"/>
  <c r="P41" i="161"/>
  <c r="F71" i="161"/>
  <c r="F47" i="161"/>
  <c r="F8" i="161"/>
  <c r="K8" i="161"/>
  <c r="F65" i="161"/>
  <c r="F67" i="161"/>
  <c r="P54" i="161"/>
  <c r="F29" i="161"/>
  <c r="F48" i="161"/>
  <c r="F70" i="161"/>
  <c r="F69" i="161"/>
  <c r="F41" i="161"/>
  <c r="F28" i="161"/>
  <c r="F31" i="161"/>
  <c r="F51" i="161"/>
  <c r="F64" i="161"/>
  <c r="F63" i="161"/>
  <c r="F33" i="161"/>
  <c r="F68" i="161"/>
  <c r="F66" i="161"/>
  <c r="Y75" i="161"/>
  <c r="K41" i="161"/>
  <c r="AS76" i="161"/>
  <c r="BI53" i="161"/>
  <c r="BI60" i="161"/>
  <c r="BI57" i="161"/>
  <c r="BI59" i="161"/>
  <c r="BI56" i="161"/>
  <c r="BI49" i="161"/>
  <c r="BI61" i="161"/>
  <c r="BI58" i="161"/>
  <c r="BI55" i="161"/>
  <c r="BI45" i="161"/>
  <c r="BI44" i="161"/>
  <c r="BI43" i="161"/>
  <c r="BI42" i="161"/>
  <c r="BI26" i="161"/>
  <c r="BI23" i="161"/>
  <c r="BI22" i="161"/>
  <c r="BI21" i="161"/>
  <c r="BI20" i="161"/>
  <c r="BI19" i="161"/>
  <c r="BI18" i="161"/>
  <c r="BI17" i="161"/>
  <c r="BI16" i="161"/>
  <c r="BI15" i="161"/>
  <c r="BI14" i="161"/>
  <c r="BI13" i="161"/>
  <c r="BI24" i="161"/>
  <c r="BI12" i="161"/>
  <c r="BI11" i="161"/>
  <c r="BI25" i="161"/>
  <c r="BI10" i="161"/>
  <c r="BI28" i="161"/>
  <c r="BI30" i="161"/>
  <c r="BI29" i="161"/>
  <c r="BI31" i="161"/>
  <c r="BI33" i="161"/>
  <c r="BI47" i="161"/>
  <c r="BI67" i="161"/>
  <c r="BI66" i="161"/>
  <c r="BI62" i="161"/>
  <c r="BI48" i="161"/>
  <c r="BI71" i="161"/>
  <c r="BI63" i="161"/>
  <c r="BI69" i="161"/>
  <c r="BI65" i="161"/>
  <c r="BI36" i="161"/>
  <c r="BI46" i="161"/>
  <c r="BI64" i="161"/>
  <c r="BI70" i="161"/>
  <c r="BI32" i="161"/>
  <c r="BI9" i="161"/>
  <c r="BI52" i="161"/>
  <c r="BI51" i="161"/>
  <c r="BI27" i="161"/>
  <c r="BI68" i="161"/>
  <c r="BD68" i="161"/>
  <c r="BD49" i="161"/>
  <c r="BD48" i="161"/>
  <c r="BD69" i="161"/>
  <c r="BD63" i="161"/>
  <c r="BD70" i="161"/>
  <c r="BD64" i="161"/>
  <c r="BD71" i="161"/>
  <c r="BD65" i="161"/>
  <c r="BD53" i="161"/>
  <c r="BD66" i="161"/>
  <c r="BD67" i="161"/>
  <c r="BD24" i="161"/>
  <c r="BD9" i="161"/>
  <c r="BD26" i="161"/>
  <c r="BD10" i="161"/>
  <c r="BD21" i="161"/>
  <c r="BD19" i="161"/>
  <c r="BD17" i="161"/>
  <c r="BD15" i="161"/>
  <c r="BD13" i="161"/>
  <c r="BD14" i="161"/>
  <c r="BD23" i="161"/>
  <c r="BD12" i="161"/>
  <c r="BD22" i="161"/>
  <c r="BD20" i="161"/>
  <c r="BD18" i="161"/>
  <c r="BD16" i="161"/>
  <c r="BD11" i="161"/>
  <c r="BD29" i="161"/>
  <c r="BD52" i="161"/>
  <c r="BD46" i="161"/>
  <c r="BD57" i="161"/>
  <c r="BD28" i="161"/>
  <c r="BD31" i="161"/>
  <c r="BD44" i="161"/>
  <c r="BD36" i="161"/>
  <c r="BD25" i="161"/>
  <c r="BD30" i="161"/>
  <c r="BD33" i="161"/>
  <c r="BD45" i="161"/>
  <c r="BD62" i="161"/>
  <c r="BD47" i="161"/>
  <c r="BD27" i="161"/>
  <c r="BD32" i="161"/>
  <c r="BD42" i="161"/>
  <c r="BD59" i="161"/>
  <c r="BD61" i="161"/>
  <c r="BD56" i="161"/>
  <c r="BD58" i="161"/>
  <c r="BD43" i="161"/>
  <c r="BD60" i="161"/>
  <c r="BD51" i="161"/>
  <c r="BD55" i="161"/>
  <c r="K85" i="161"/>
  <c r="K78" i="161"/>
  <c r="K72" i="161"/>
  <c r="K47" i="161"/>
  <c r="K71" i="161"/>
  <c r="K65" i="161"/>
  <c r="K62" i="161"/>
  <c r="K61" i="161"/>
  <c r="K60" i="161"/>
  <c r="K59" i="161"/>
  <c r="K58" i="161"/>
  <c r="K57" i="161"/>
  <c r="K56" i="161"/>
  <c r="K55" i="161"/>
  <c r="K67" i="161"/>
  <c r="K36" i="161"/>
  <c r="K26" i="161"/>
  <c r="K23" i="161"/>
  <c r="K22" i="161"/>
  <c r="K21" i="161"/>
  <c r="K20" i="161"/>
  <c r="K19" i="161"/>
  <c r="K18" i="161"/>
  <c r="K17" i="161"/>
  <c r="K16" i="161"/>
  <c r="K15" i="161"/>
  <c r="K14" i="161"/>
  <c r="K13" i="161"/>
  <c r="K12" i="161"/>
  <c r="K11" i="161"/>
  <c r="K10" i="161"/>
  <c r="K25" i="161"/>
  <c r="T90" i="161"/>
  <c r="K70" i="161"/>
  <c r="K51" i="161"/>
  <c r="K82" i="161"/>
  <c r="K42" i="161"/>
  <c r="K66" i="161"/>
  <c r="K68" i="161"/>
  <c r="K48" i="161"/>
  <c r="K45" i="161"/>
  <c r="K32" i="161"/>
  <c r="K52" i="161"/>
  <c r="K63" i="161"/>
  <c r="K9" i="161"/>
  <c r="K46" i="161"/>
  <c r="K64" i="161"/>
  <c r="K69" i="161"/>
  <c r="K30" i="161"/>
  <c r="K29" i="161"/>
  <c r="K31" i="161"/>
  <c r="K33" i="161"/>
  <c r="K27" i="161"/>
  <c r="K43" i="161"/>
  <c r="K28" i="161"/>
  <c r="K24" i="161"/>
  <c r="K44" i="161"/>
  <c r="K74" i="161"/>
  <c r="K79" i="161"/>
  <c r="CT9" i="161"/>
  <c r="M81" i="161"/>
  <c r="M83" i="161" s="1"/>
  <c r="M84" i="161" s="1"/>
  <c r="M86" i="161" s="1"/>
  <c r="M87" i="161" s="1"/>
  <c r="M76" i="161"/>
  <c r="BH76" i="161"/>
  <c r="BH81" i="161"/>
  <c r="BH83" i="161" s="1"/>
  <c r="BH84" i="161" s="1"/>
  <c r="BH86" i="161" s="1"/>
  <c r="BH87" i="161" s="1"/>
  <c r="BN53" i="161"/>
  <c r="BN46" i="161"/>
  <c r="BN68" i="161"/>
  <c r="BN61" i="161"/>
  <c r="BN60" i="161"/>
  <c r="BN59" i="161"/>
  <c r="BN58" i="161"/>
  <c r="BN57" i="161"/>
  <c r="BN56" i="161"/>
  <c r="BN55" i="161"/>
  <c r="BN49" i="161"/>
  <c r="BN64" i="161"/>
  <c r="BN70" i="161"/>
  <c r="BN23" i="161"/>
  <c r="BN22" i="161"/>
  <c r="BN21" i="161"/>
  <c r="BN20" i="161"/>
  <c r="BN19" i="161"/>
  <c r="BN18" i="161"/>
  <c r="BN17" i="161"/>
  <c r="BN16" i="161"/>
  <c r="BN15" i="161"/>
  <c r="BN14" i="161"/>
  <c r="BN13" i="161"/>
  <c r="BN12" i="161"/>
  <c r="BN11" i="161"/>
  <c r="BN10" i="161"/>
  <c r="BN25" i="161"/>
  <c r="BN28" i="161"/>
  <c r="BN27" i="161"/>
  <c r="BN43" i="161"/>
  <c r="BN65" i="161"/>
  <c r="BN66" i="161"/>
  <c r="BN52" i="161"/>
  <c r="BN24" i="161"/>
  <c r="BN47" i="161"/>
  <c r="BN33" i="161"/>
  <c r="BN44" i="161"/>
  <c r="BN31" i="161"/>
  <c r="BN62" i="161"/>
  <c r="BN67" i="161"/>
  <c r="BN32" i="161"/>
  <c r="BN26" i="161"/>
  <c r="BN36" i="161"/>
  <c r="BN29" i="161"/>
  <c r="BN51" i="161"/>
  <c r="BN69" i="161"/>
  <c r="BN9" i="161"/>
  <c r="BN30" i="161"/>
  <c r="BN42" i="161"/>
  <c r="BN45" i="161"/>
  <c r="BN71" i="161"/>
  <c r="BN63" i="161"/>
  <c r="BN48" i="161"/>
  <c r="BZ81" i="161"/>
  <c r="BZ83" i="161" s="1"/>
  <c r="BZ84" i="161" s="1"/>
  <c r="BZ86" i="161" s="1"/>
  <c r="BZ87" i="161" s="1"/>
  <c r="BZ76" i="161"/>
  <c r="CQ10" i="161"/>
  <c r="CL8" i="161"/>
  <c r="K54" i="161"/>
  <c r="AL76" i="161"/>
  <c r="T75" i="161"/>
  <c r="T81" i="161" s="1"/>
  <c r="T83" i="161" s="1"/>
  <c r="T84" i="161" s="1"/>
  <c r="T86" i="161" s="1"/>
  <c r="AD76" i="161"/>
  <c r="CB76" i="161"/>
  <c r="CB81" i="161"/>
  <c r="CB83" i="161" s="1"/>
  <c r="CB84" i="161" s="1"/>
  <c r="CB86" i="161" s="1"/>
  <c r="CB87" i="161" s="1"/>
  <c r="BC81" i="161"/>
  <c r="BC83" i="161" s="1"/>
  <c r="BC84" i="161" s="1"/>
  <c r="BC86" i="161" s="1"/>
  <c r="BC87" i="161" s="1"/>
  <c r="BC76" i="161"/>
  <c r="X84" i="161"/>
  <c r="AC86" i="161"/>
  <c r="AC87" i="161" s="1"/>
  <c r="BX49" i="161"/>
  <c r="BX61" i="161"/>
  <c r="BX58" i="161"/>
  <c r="BX55" i="161"/>
  <c r="BX60" i="161"/>
  <c r="BX57" i="161"/>
  <c r="BX59" i="161"/>
  <c r="BX56" i="161"/>
  <c r="BX53" i="161"/>
  <c r="BX45" i="161"/>
  <c r="BX44" i="161"/>
  <c r="BX43" i="161"/>
  <c r="BX42" i="161"/>
  <c r="BX25" i="161"/>
  <c r="BX23" i="161"/>
  <c r="BX22" i="161"/>
  <c r="BX21" i="161"/>
  <c r="BX20" i="161"/>
  <c r="BX19" i="161"/>
  <c r="BX18" i="161"/>
  <c r="BX17" i="161"/>
  <c r="BX16" i="161"/>
  <c r="BX15" i="161"/>
  <c r="BX14" i="161"/>
  <c r="BX13" i="161"/>
  <c r="BX24" i="161"/>
  <c r="BX12" i="161"/>
  <c r="BX11" i="161"/>
  <c r="BX10" i="161"/>
  <c r="BX29" i="161"/>
  <c r="BX31" i="161"/>
  <c r="BX47" i="161"/>
  <c r="BX64" i="161"/>
  <c r="BX70" i="161"/>
  <c r="BX68" i="161"/>
  <c r="BX26" i="161"/>
  <c r="BX52" i="161"/>
  <c r="BX27" i="161"/>
  <c r="BX63" i="161"/>
  <c r="BX69" i="161"/>
  <c r="BX33" i="161"/>
  <c r="BX28" i="161"/>
  <c r="BX30" i="161"/>
  <c r="BX32" i="161"/>
  <c r="BX9" i="161"/>
  <c r="BX48" i="161"/>
  <c r="BX36" i="161"/>
  <c r="BX46" i="161"/>
  <c r="BX71" i="161"/>
  <c r="BX67" i="161"/>
  <c r="BX66" i="161"/>
  <c r="BX65" i="161"/>
  <c r="BX51" i="161"/>
  <c r="BX62" i="161"/>
  <c r="CK75" i="161"/>
  <c r="CK39" i="161"/>
  <c r="AV76" i="161"/>
  <c r="E81" i="161"/>
  <c r="E83" i="161" s="1"/>
  <c r="E84" i="161" s="1"/>
  <c r="E86" i="161" s="1"/>
  <c r="E87" i="161" s="1"/>
  <c r="E76" i="161"/>
  <c r="CQ35" i="161"/>
  <c r="CR36" i="161"/>
  <c r="CR35" i="161" s="1"/>
  <c r="C81" i="161"/>
  <c r="C83" i="161" s="1"/>
  <c r="C84" i="161" s="1"/>
  <c r="C76" i="161"/>
  <c r="AI76" i="161"/>
  <c r="CJ38" i="161"/>
  <c r="BM81" i="161"/>
  <c r="BM83" i="161" s="1"/>
  <c r="BM84" i="161" s="1"/>
  <c r="BM86" i="161" s="1"/>
  <c r="BM87" i="161" s="1"/>
  <c r="BM76" i="161"/>
  <c r="CL38" i="161" l="1"/>
  <c r="CJ75" i="161"/>
  <c r="CJ39" i="161"/>
  <c r="CK81" i="161"/>
  <c r="CK83" i="161" s="1"/>
  <c r="CK76" i="161"/>
  <c r="X86" i="161"/>
  <c r="CK84" i="161"/>
  <c r="CK86" i="161" s="1"/>
  <c r="CK87" i="161" s="1"/>
  <c r="CL75" i="161"/>
  <c r="CL39" i="161"/>
  <c r="CR6" i="161"/>
  <c r="CR5" i="161" s="1"/>
  <c r="CQ5" i="161"/>
  <c r="CR10" i="161"/>
  <c r="CR8" i="161" s="1"/>
  <c r="CQ8" i="161"/>
  <c r="C86" i="161"/>
  <c r="C87" i="161" s="1"/>
  <c r="BW81" i="161"/>
  <c r="BW83" i="161" s="1"/>
  <c r="BW84" i="161" s="1"/>
  <c r="BW86" i="161" s="1"/>
  <c r="BW87" i="161" s="1"/>
  <c r="BW76" i="161"/>
  <c r="CR38" i="161" l="1"/>
  <c r="CR75" i="161"/>
  <c r="CR39" i="161"/>
  <c r="CQ87" i="161"/>
  <c r="CQ38" i="161"/>
  <c r="CL76" i="161"/>
  <c r="CJ76" i="161"/>
  <c r="CQ75" i="161" l="1"/>
  <c r="CQ39" i="161"/>
  <c r="CR76" i="161"/>
  <c r="CQ76" i="161" l="1"/>
  <c r="I28" i="101" l="1"/>
  <c r="M28" i="101"/>
  <c r="E28" i="101"/>
  <c r="AV79" i="177" l="1"/>
  <c r="AV79" i="159"/>
  <c r="BA79" i="176"/>
  <c r="AV79" i="176"/>
  <c r="AV79" i="175"/>
  <c r="AV79" i="167"/>
  <c r="AV79" i="171"/>
  <c r="BA79" i="177"/>
  <c r="BA79" i="158"/>
  <c r="BA79" i="159"/>
  <c r="AQ79" i="158"/>
  <c r="BA79" i="175"/>
  <c r="AV79" i="174"/>
  <c r="BA79" i="174"/>
  <c r="AV79" i="162"/>
  <c r="BC79" i="175" l="1"/>
  <c r="BA77" i="175"/>
  <c r="BA81" i="175"/>
  <c r="BA83" i="175" s="1"/>
  <c r="BA84" i="175" s="1"/>
  <c r="BA86" i="175" s="1"/>
  <c r="BA87" i="175" s="1"/>
  <c r="BC79" i="177"/>
  <c r="BA77" i="177"/>
  <c r="BA81" i="177"/>
  <c r="BA83" i="177" s="1"/>
  <c r="BA84" i="177" s="1"/>
  <c r="BA86" i="177" s="1"/>
  <c r="BA87" i="177" s="1"/>
  <c r="AX79" i="176"/>
  <c r="AV77" i="176"/>
  <c r="AV81" i="176"/>
  <c r="AV83" i="176" s="1"/>
  <c r="AV84" i="176" s="1"/>
  <c r="AV86" i="176" s="1"/>
  <c r="AV87" i="176" s="1"/>
  <c r="AS79" i="158"/>
  <c r="AQ77" i="158"/>
  <c r="AQ81" i="158"/>
  <c r="AQ83" i="158" s="1"/>
  <c r="AQ84" i="158" s="1"/>
  <c r="AQ86" i="158" s="1"/>
  <c r="AQ87" i="158" s="1"/>
  <c r="AX79" i="171"/>
  <c r="AV77" i="171"/>
  <c r="AV81" i="171"/>
  <c r="AV83" i="171" s="1"/>
  <c r="AV84" i="171" s="1"/>
  <c r="AV86" i="171" s="1"/>
  <c r="AV87" i="171" s="1"/>
  <c r="BC79" i="176"/>
  <c r="BA77" i="176"/>
  <c r="BA81" i="176"/>
  <c r="BA83" i="176" s="1"/>
  <c r="BA84" i="176" s="1"/>
  <c r="BA86" i="176" s="1"/>
  <c r="BA87" i="176" s="1"/>
  <c r="BC79" i="174"/>
  <c r="BA77" i="174"/>
  <c r="BA81" i="174"/>
  <c r="BA83" i="174" s="1"/>
  <c r="BA84" i="174" s="1"/>
  <c r="BA86" i="174" s="1"/>
  <c r="BA87" i="174" s="1"/>
  <c r="BA77" i="159"/>
  <c r="BC79" i="159"/>
  <c r="BA81" i="159"/>
  <c r="BA83" i="159" s="1"/>
  <c r="BA84" i="159" s="1"/>
  <c r="BA86" i="159" s="1"/>
  <c r="BA87" i="159" s="1"/>
  <c r="CT79" i="167"/>
  <c r="AX79" i="167"/>
  <c r="AV77" i="167"/>
  <c r="AV81" i="167"/>
  <c r="AV83" i="167" s="1"/>
  <c r="AV84" i="167" s="1"/>
  <c r="AV86" i="167" s="1"/>
  <c r="AV87" i="167" s="1"/>
  <c r="AV77" i="159"/>
  <c r="AX79" i="159"/>
  <c r="AV81" i="159"/>
  <c r="AV83" i="159" s="1"/>
  <c r="AV84" i="159" s="1"/>
  <c r="AV86" i="159" s="1"/>
  <c r="AV87" i="159" s="1"/>
  <c r="AV77" i="174"/>
  <c r="AV81" i="174"/>
  <c r="AV83" i="174" s="1"/>
  <c r="AV84" i="174" s="1"/>
  <c r="AV86" i="174" s="1"/>
  <c r="AV87" i="174" s="1"/>
  <c r="AX79" i="174"/>
  <c r="BA77" i="158"/>
  <c r="BC79" i="158"/>
  <c r="BA81" i="158"/>
  <c r="BA83" i="158" s="1"/>
  <c r="BA84" i="158" s="1"/>
  <c r="BA86" i="158" s="1"/>
  <c r="BA87" i="158" s="1"/>
  <c r="AX79" i="175"/>
  <c r="AV77" i="175"/>
  <c r="AV81" i="175"/>
  <c r="AV83" i="175" s="1"/>
  <c r="AV84" i="175" s="1"/>
  <c r="AV86" i="175" s="1"/>
  <c r="AV87" i="175" s="1"/>
  <c r="AX79" i="177"/>
  <c r="AV77" i="177"/>
  <c r="AV81" i="177"/>
  <c r="AV83" i="177" s="1"/>
  <c r="AV84" i="177" s="1"/>
  <c r="AV86" i="177" s="1"/>
  <c r="AV87" i="177" s="1"/>
  <c r="AV77" i="162"/>
  <c r="AX79" i="162"/>
  <c r="AV81" i="162"/>
  <c r="AV83" i="162" s="1"/>
  <c r="AV84" i="162" s="1"/>
  <c r="AV86" i="162" s="1"/>
  <c r="AV87" i="162" s="1"/>
  <c r="BC77" i="158" l="1"/>
  <c r="BC89" i="158"/>
  <c r="BD66" i="158" s="1"/>
  <c r="BC81" i="158"/>
  <c r="BC83" i="158" s="1"/>
  <c r="BC84" i="158" s="1"/>
  <c r="BC86" i="158" s="1"/>
  <c r="BC87" i="158" s="1"/>
  <c r="AX77" i="177"/>
  <c r="AX89" i="177"/>
  <c r="AX81" i="177"/>
  <c r="AX83" i="177" s="1"/>
  <c r="AX84" i="177" s="1"/>
  <c r="AX86" i="177" s="1"/>
  <c r="AX77" i="174"/>
  <c r="AX89" i="174"/>
  <c r="AX81" i="174"/>
  <c r="AX83" i="174" s="1"/>
  <c r="AX84" i="174" s="1"/>
  <c r="AX86" i="174" s="1"/>
  <c r="AX77" i="159"/>
  <c r="AX89" i="159"/>
  <c r="AX81" i="159"/>
  <c r="AX83" i="159" s="1"/>
  <c r="AX84" i="159" s="1"/>
  <c r="AX86" i="159" s="1"/>
  <c r="BC77" i="159"/>
  <c r="BC89" i="159"/>
  <c r="BC81" i="159"/>
  <c r="BC83" i="159" s="1"/>
  <c r="BC84" i="159" s="1"/>
  <c r="BC86" i="159" s="1"/>
  <c r="BC87" i="159" s="1"/>
  <c r="BC77" i="174"/>
  <c r="BC89" i="174"/>
  <c r="BC81" i="174"/>
  <c r="BC83" i="174" s="1"/>
  <c r="BC84" i="174" s="1"/>
  <c r="BC86" i="174" s="1"/>
  <c r="BC87" i="174" s="1"/>
  <c r="BC77" i="177"/>
  <c r="BC89" i="177"/>
  <c r="BC81" i="177"/>
  <c r="BC83" i="177" s="1"/>
  <c r="BC84" i="177" s="1"/>
  <c r="BC86" i="177" s="1"/>
  <c r="BC87" i="177" s="1"/>
  <c r="AS77" i="158"/>
  <c r="AS89" i="158"/>
  <c r="AS81" i="158"/>
  <c r="AS83" i="158" s="1"/>
  <c r="AS84" i="158" s="1"/>
  <c r="AS86" i="158" s="1"/>
  <c r="AS87" i="158" s="1"/>
  <c r="AX77" i="176"/>
  <c r="AX89" i="176"/>
  <c r="AX81" i="176"/>
  <c r="AX83" i="176" s="1"/>
  <c r="AX84" i="176" s="1"/>
  <c r="AX86" i="176" s="1"/>
  <c r="AX77" i="167"/>
  <c r="AX89" i="167"/>
  <c r="AX81" i="167"/>
  <c r="AX83" i="167" s="1"/>
  <c r="AX84" i="167" s="1"/>
  <c r="AX86" i="167" s="1"/>
  <c r="CT77" i="167"/>
  <c r="CT81" i="167"/>
  <c r="CT83" i="167" s="1"/>
  <c r="CT84" i="167" s="1"/>
  <c r="CT86" i="167" s="1"/>
  <c r="AX77" i="171"/>
  <c r="AX89" i="171"/>
  <c r="AX81" i="171"/>
  <c r="AX83" i="171" s="1"/>
  <c r="AX84" i="171" s="1"/>
  <c r="AX86" i="171" s="1"/>
  <c r="AX77" i="175"/>
  <c r="AX89" i="175"/>
  <c r="AX81" i="175"/>
  <c r="AX83" i="175" s="1"/>
  <c r="AX84" i="175" s="1"/>
  <c r="AX86" i="175" s="1"/>
  <c r="BC77" i="176"/>
  <c r="BC89" i="176"/>
  <c r="BC81" i="176"/>
  <c r="BC83" i="176" s="1"/>
  <c r="BC84" i="176" s="1"/>
  <c r="BC86" i="176" s="1"/>
  <c r="BC87" i="176" s="1"/>
  <c r="BC77" i="175"/>
  <c r="BC81" i="175"/>
  <c r="BC83" i="175" s="1"/>
  <c r="BC84" i="175" s="1"/>
  <c r="BC86" i="175" s="1"/>
  <c r="BC87" i="175" s="1"/>
  <c r="BC89" i="175"/>
  <c r="AX77" i="162"/>
  <c r="AX89" i="162"/>
  <c r="AX81" i="162"/>
  <c r="AX83" i="162" s="1"/>
  <c r="AX84" i="162" s="1"/>
  <c r="AX86" i="162" s="1"/>
  <c r="BC94" i="157"/>
  <c r="AX95" i="157"/>
  <c r="AX98" i="157"/>
  <c r="AX106" i="157"/>
  <c r="AX109" i="157"/>
  <c r="BC109" i="157"/>
  <c r="AX107" i="157"/>
  <c r="BC95" i="157"/>
  <c r="AX105" i="157"/>
  <c r="AS94" i="157"/>
  <c r="AX108" i="157"/>
  <c r="BC107" i="157"/>
  <c r="BC106" i="157"/>
  <c r="BC108" i="157"/>
  <c r="AX102" i="157"/>
  <c r="BD63" i="175" l="1"/>
  <c r="BD59" i="175"/>
  <c r="BD56" i="175"/>
  <c r="BD64" i="175"/>
  <c r="BD55" i="175"/>
  <c r="BD69" i="175"/>
  <c r="BD33" i="175"/>
  <c r="BD11" i="175"/>
  <c r="BD68" i="175"/>
  <c r="BD17" i="175"/>
  <c r="BD13" i="175"/>
  <c r="BD51" i="175"/>
  <c r="BD12" i="175"/>
  <c r="BD62" i="175"/>
  <c r="BD53" i="175"/>
  <c r="BD67" i="175"/>
  <c r="BD52" i="175"/>
  <c r="BD48" i="175"/>
  <c r="BD66" i="175"/>
  <c r="BD31" i="175"/>
  <c r="BD49" i="175"/>
  <c r="BD45" i="175"/>
  <c r="BD25" i="175"/>
  <c r="BD16" i="175"/>
  <c r="BD15" i="175"/>
  <c r="BD26" i="175"/>
  <c r="BD70" i="175"/>
  <c r="BD61" i="175"/>
  <c r="BD65" i="175"/>
  <c r="BD58" i="175"/>
  <c r="BD42" i="175"/>
  <c r="BD36" i="175"/>
  <c r="BD46" i="175"/>
  <c r="BD29" i="175"/>
  <c r="BD32" i="175"/>
  <c r="BD20" i="175"/>
  <c r="BD14" i="175"/>
  <c r="BD18" i="175"/>
  <c r="BD43" i="175"/>
  <c r="BD47" i="175"/>
  <c r="BD71" i="175"/>
  <c r="BD60" i="175"/>
  <c r="BD57" i="175"/>
  <c r="BD44" i="175"/>
  <c r="BD28" i="175"/>
  <c r="BD30" i="175"/>
  <c r="BD21" i="175"/>
  <c r="BD22" i="175"/>
  <c r="BD19" i="175"/>
  <c r="BD27" i="175"/>
  <c r="BD23" i="175"/>
  <c r="BD24" i="175"/>
  <c r="BD9" i="175"/>
  <c r="BD10" i="175"/>
  <c r="BD62" i="176"/>
  <c r="BD53" i="176"/>
  <c r="BD17" i="176"/>
  <c r="BD11" i="176"/>
  <c r="BD16" i="176"/>
  <c r="BD23" i="176"/>
  <c r="BD65" i="176"/>
  <c r="BD26" i="176"/>
  <c r="BD69" i="176"/>
  <c r="BD68" i="176"/>
  <c r="BD29" i="176"/>
  <c r="BD43" i="176"/>
  <c r="BD36" i="176"/>
  <c r="BD58" i="176"/>
  <c r="BD24" i="176"/>
  <c r="BD25" i="176"/>
  <c r="BD18" i="176"/>
  <c r="BD14" i="176"/>
  <c r="BD13" i="176"/>
  <c r="BD71" i="176"/>
  <c r="BD42" i="176"/>
  <c r="BD61" i="176"/>
  <c r="BD21" i="176"/>
  <c r="BD60" i="176"/>
  <c r="BD47" i="176"/>
  <c r="BD70" i="176"/>
  <c r="BD64" i="176"/>
  <c r="BD55" i="176"/>
  <c r="BD33" i="176"/>
  <c r="BD57" i="176"/>
  <c r="BD15" i="176"/>
  <c r="BD9" i="176"/>
  <c r="BD31" i="176"/>
  <c r="BD22" i="176"/>
  <c r="BD45" i="176"/>
  <c r="BD51" i="176"/>
  <c r="BD66" i="176"/>
  <c r="BD46" i="176"/>
  <c r="BD52" i="176"/>
  <c r="BD10" i="176"/>
  <c r="BD49" i="176"/>
  <c r="BD56" i="176"/>
  <c r="BD32" i="176"/>
  <c r="BD28" i="176"/>
  <c r="BD20" i="176"/>
  <c r="BD27" i="176"/>
  <c r="BD30" i="176"/>
  <c r="BD19" i="176"/>
  <c r="BD67" i="176"/>
  <c r="BD63" i="176"/>
  <c r="BD59" i="176"/>
  <c r="BD48" i="176"/>
  <c r="BD44" i="176"/>
  <c r="BD12" i="176"/>
  <c r="CT87" i="167"/>
  <c r="CU86" i="167"/>
  <c r="BD69" i="177"/>
  <c r="BD70" i="177"/>
  <c r="BD62" i="177"/>
  <c r="BD53" i="177"/>
  <c r="BD36" i="177"/>
  <c r="BD11" i="177"/>
  <c r="BD19" i="177"/>
  <c r="BD52" i="177"/>
  <c r="BD27" i="177"/>
  <c r="BD12" i="177"/>
  <c r="BD47" i="177"/>
  <c r="BD29" i="177"/>
  <c r="BD31" i="177"/>
  <c r="BD59" i="177"/>
  <c r="BD66" i="177"/>
  <c r="BD67" i="177"/>
  <c r="BD63" i="177"/>
  <c r="BD21" i="177"/>
  <c r="BD25" i="177"/>
  <c r="BD32" i="177"/>
  <c r="BD14" i="177"/>
  <c r="BD51" i="177"/>
  <c r="BD42" i="177"/>
  <c r="BD28" i="177"/>
  <c r="BD48" i="177"/>
  <c r="BD46" i="177"/>
  <c r="BD22" i="177"/>
  <c r="BD61" i="177"/>
  <c r="BD65" i="177"/>
  <c r="BD71" i="177"/>
  <c r="BD49" i="177"/>
  <c r="BD18" i="177"/>
  <c r="BD23" i="177"/>
  <c r="BD9" i="177"/>
  <c r="BD26" i="177"/>
  <c r="BD44" i="177"/>
  <c r="BD58" i="177"/>
  <c r="BD20" i="177"/>
  <c r="BD56" i="177"/>
  <c r="BD60" i="177"/>
  <c r="BD13" i="177"/>
  <c r="BD64" i="177"/>
  <c r="BD68" i="177"/>
  <c r="BD55" i="177"/>
  <c r="BD33" i="177"/>
  <c r="BD24" i="177"/>
  <c r="BD10" i="177"/>
  <c r="BD43" i="177"/>
  <c r="BD16" i="177"/>
  <c r="BD17" i="177"/>
  <c r="BD15" i="177"/>
  <c r="BD45" i="177"/>
  <c r="BD57" i="177"/>
  <c r="BD30" i="177"/>
  <c r="AX87" i="159"/>
  <c r="AY60" i="174"/>
  <c r="AY55" i="174"/>
  <c r="AY51" i="174"/>
  <c r="AY32" i="174"/>
  <c r="AY16" i="174"/>
  <c r="AY31" i="174"/>
  <c r="AY13" i="174"/>
  <c r="AY42" i="174"/>
  <c r="AY11" i="174"/>
  <c r="AY65" i="174"/>
  <c r="AY24" i="174"/>
  <c r="AY71" i="174"/>
  <c r="AY26" i="174"/>
  <c r="AY44" i="174"/>
  <c r="AY59" i="174"/>
  <c r="AY53" i="174"/>
  <c r="AY30" i="174"/>
  <c r="AY28" i="174"/>
  <c r="AY14" i="174"/>
  <c r="AY19" i="174"/>
  <c r="AY29" i="174"/>
  <c r="AY64" i="174"/>
  <c r="AY67" i="174"/>
  <c r="AY9" i="174"/>
  <c r="AY45" i="174"/>
  <c r="AY25" i="174"/>
  <c r="AY46" i="174"/>
  <c r="AY70" i="174"/>
  <c r="AY52" i="174"/>
  <c r="AY20" i="174"/>
  <c r="AY17" i="174"/>
  <c r="AY48" i="174"/>
  <c r="AY66" i="174"/>
  <c r="AY43" i="174"/>
  <c r="AY56" i="174"/>
  <c r="AY18" i="174"/>
  <c r="AY15" i="174"/>
  <c r="AY69" i="174"/>
  <c r="AY61" i="174"/>
  <c r="AY22" i="174"/>
  <c r="AY58" i="174"/>
  <c r="AY27" i="174"/>
  <c r="AY12" i="174"/>
  <c r="AY33" i="174"/>
  <c r="AY23" i="174"/>
  <c r="AY62" i="174"/>
  <c r="AY63" i="174"/>
  <c r="AY57" i="174"/>
  <c r="AY49" i="174"/>
  <c r="AY10" i="174"/>
  <c r="AY47" i="174"/>
  <c r="AY21" i="174"/>
  <c r="AY68" i="174"/>
  <c r="AY36" i="174"/>
  <c r="AX87" i="171"/>
  <c r="AX87" i="176"/>
  <c r="AT69" i="158"/>
  <c r="AT59" i="158"/>
  <c r="AT58" i="158"/>
  <c r="AT46" i="158"/>
  <c r="AT43" i="158"/>
  <c r="AT16" i="158"/>
  <c r="AT26" i="158"/>
  <c r="AT47" i="158"/>
  <c r="AT36" i="158"/>
  <c r="AT13" i="158"/>
  <c r="AT11" i="158"/>
  <c r="AT32" i="158"/>
  <c r="AT15" i="158"/>
  <c r="AT68" i="158"/>
  <c r="AT63" i="158"/>
  <c r="AT57" i="158"/>
  <c r="AT60" i="158"/>
  <c r="AT44" i="158"/>
  <c r="AT20" i="158"/>
  <c r="AT29" i="158"/>
  <c r="AT23" i="158"/>
  <c r="AT28" i="158"/>
  <c r="AT19" i="158"/>
  <c r="AT18" i="158"/>
  <c r="AT24" i="158"/>
  <c r="AT62" i="158"/>
  <c r="AT48" i="158"/>
  <c r="AT55" i="158"/>
  <c r="AT67" i="158"/>
  <c r="AT49" i="158"/>
  <c r="AT53" i="158"/>
  <c r="AT66" i="158"/>
  <c r="AT14" i="158"/>
  <c r="AT22" i="158"/>
  <c r="AT25" i="158"/>
  <c r="AT12" i="158"/>
  <c r="AT17" i="158"/>
  <c r="AT56" i="158"/>
  <c r="AT31" i="158"/>
  <c r="AT10" i="158"/>
  <c r="AT33" i="158"/>
  <c r="AT70" i="158"/>
  <c r="AT61" i="158"/>
  <c r="AT51" i="158"/>
  <c r="AT65" i="158"/>
  <c r="AT45" i="158"/>
  <c r="AT42" i="158"/>
  <c r="AT9" i="158"/>
  <c r="AT52" i="158"/>
  <c r="AT27" i="158"/>
  <c r="AT21" i="158"/>
  <c r="AT30" i="158"/>
  <c r="AT64" i="158"/>
  <c r="AT71" i="158"/>
  <c r="AY70" i="159"/>
  <c r="AY66" i="159"/>
  <c r="AY59" i="159"/>
  <c r="AY48" i="159"/>
  <c r="AY44" i="159"/>
  <c r="AY26" i="159"/>
  <c r="AY20" i="159"/>
  <c r="AY19" i="159"/>
  <c r="AY21" i="159"/>
  <c r="AY24" i="159"/>
  <c r="AY30" i="159"/>
  <c r="AY29" i="159"/>
  <c r="AY23" i="159"/>
  <c r="AY10" i="159"/>
  <c r="AY69" i="159"/>
  <c r="AY62" i="159"/>
  <c r="AY56" i="159"/>
  <c r="AY45" i="159"/>
  <c r="AY51" i="159"/>
  <c r="AY49" i="159"/>
  <c r="AY17" i="159"/>
  <c r="AY16" i="159"/>
  <c r="AY18" i="159"/>
  <c r="AY27" i="159"/>
  <c r="AY65" i="159"/>
  <c r="AY57" i="159"/>
  <c r="AY25" i="159"/>
  <c r="AY9" i="159"/>
  <c r="AY68" i="159"/>
  <c r="AY61" i="159"/>
  <c r="AY55" i="159"/>
  <c r="AY46" i="159"/>
  <c r="AY32" i="159"/>
  <c r="AY33" i="159"/>
  <c r="AY14" i="159"/>
  <c r="AY13" i="159"/>
  <c r="AY15" i="159"/>
  <c r="AY42" i="159"/>
  <c r="AY63" i="159"/>
  <c r="AY58" i="159"/>
  <c r="AY28" i="159"/>
  <c r="AY67" i="159"/>
  <c r="AY60" i="159"/>
  <c r="AY53" i="159"/>
  <c r="AY43" i="159"/>
  <c r="AY47" i="159"/>
  <c r="AY36" i="159"/>
  <c r="AY22" i="159"/>
  <c r="AY52" i="159"/>
  <c r="AY12" i="159"/>
  <c r="AY64" i="159"/>
  <c r="AY11" i="159"/>
  <c r="AY31" i="159"/>
  <c r="AY71" i="159"/>
  <c r="AX87" i="175"/>
  <c r="AY46" i="171"/>
  <c r="AY55" i="171"/>
  <c r="AY47" i="171"/>
  <c r="AY42" i="171"/>
  <c r="AY33" i="171"/>
  <c r="AY20" i="171"/>
  <c r="AY26" i="171"/>
  <c r="AY25" i="171"/>
  <c r="AY65" i="171"/>
  <c r="AY13" i="171"/>
  <c r="AY66" i="171"/>
  <c r="AY59" i="171"/>
  <c r="AY57" i="171"/>
  <c r="AY53" i="171"/>
  <c r="AY70" i="171"/>
  <c r="AY68" i="171"/>
  <c r="AY45" i="171"/>
  <c r="AY28" i="171"/>
  <c r="AY36" i="171"/>
  <c r="AY11" i="171"/>
  <c r="AY22" i="171"/>
  <c r="AY69" i="171"/>
  <c r="AY10" i="171"/>
  <c r="AY16" i="171"/>
  <c r="AY31" i="171"/>
  <c r="AY14" i="171"/>
  <c r="AY60" i="171"/>
  <c r="AY64" i="171"/>
  <c r="AY58" i="171"/>
  <c r="AY67" i="171"/>
  <c r="AY61" i="171"/>
  <c r="AY44" i="171"/>
  <c r="AY21" i="171"/>
  <c r="AY9" i="171"/>
  <c r="AY12" i="171"/>
  <c r="AY52" i="171"/>
  <c r="AY32" i="171"/>
  <c r="AY29" i="171"/>
  <c r="AY18" i="171"/>
  <c r="AY17" i="171"/>
  <c r="AY24" i="171"/>
  <c r="AY48" i="171"/>
  <c r="AY56" i="171"/>
  <c r="AY30" i="171"/>
  <c r="AY43" i="171"/>
  <c r="AY49" i="171"/>
  <c r="AY19" i="171"/>
  <c r="AY62" i="171"/>
  <c r="AY15" i="171"/>
  <c r="AY51" i="171"/>
  <c r="AY63" i="171"/>
  <c r="AY23" i="171"/>
  <c r="AY71" i="171"/>
  <c r="AY27" i="171"/>
  <c r="AX87" i="167"/>
  <c r="AY71" i="176"/>
  <c r="AY62" i="176"/>
  <c r="AY63" i="176"/>
  <c r="AY49" i="176"/>
  <c r="AY58" i="176"/>
  <c r="AY15" i="176"/>
  <c r="AY14" i="176"/>
  <c r="AY48" i="176"/>
  <c r="AY27" i="176"/>
  <c r="AY9" i="176"/>
  <c r="AY26" i="176"/>
  <c r="AY51" i="176"/>
  <c r="AY22" i="176"/>
  <c r="AY69" i="176"/>
  <c r="AY66" i="176"/>
  <c r="AY53" i="176"/>
  <c r="AY55" i="176"/>
  <c r="AY57" i="176"/>
  <c r="AY45" i="176"/>
  <c r="AY20" i="176"/>
  <c r="AY13" i="176"/>
  <c r="AY59" i="176"/>
  <c r="AY19" i="176"/>
  <c r="AY42" i="176"/>
  <c r="AY46" i="176"/>
  <c r="AY28" i="176"/>
  <c r="AY70" i="176"/>
  <c r="AY67" i="176"/>
  <c r="AY61" i="176"/>
  <c r="AY36" i="176"/>
  <c r="AY31" i="176"/>
  <c r="AY17" i="176"/>
  <c r="AY24" i="176"/>
  <c r="AY56" i="176"/>
  <c r="AY18" i="176"/>
  <c r="AY32" i="176"/>
  <c r="AY25" i="176"/>
  <c r="AY30" i="176"/>
  <c r="AY23" i="176"/>
  <c r="AY33" i="176"/>
  <c r="AY68" i="176"/>
  <c r="AY65" i="176"/>
  <c r="AY64" i="176"/>
  <c r="AY60" i="176"/>
  <c r="AY29" i="176"/>
  <c r="AY12" i="176"/>
  <c r="AY11" i="176"/>
  <c r="AY10" i="176"/>
  <c r="AY21" i="176"/>
  <c r="AY47" i="176"/>
  <c r="AY43" i="176"/>
  <c r="AY52" i="176"/>
  <c r="AY16" i="176"/>
  <c r="AY44" i="176"/>
  <c r="BD64" i="159"/>
  <c r="BD62" i="159"/>
  <c r="BD63" i="159"/>
  <c r="BD33" i="159"/>
  <c r="BD32" i="159"/>
  <c r="BD9" i="159"/>
  <c r="BD31" i="159"/>
  <c r="BD27" i="159"/>
  <c r="BD55" i="159"/>
  <c r="BD43" i="159"/>
  <c r="BD48" i="159"/>
  <c r="BD28" i="159"/>
  <c r="BD60" i="159"/>
  <c r="BD59" i="159"/>
  <c r="BD30" i="159"/>
  <c r="BD29" i="159"/>
  <c r="BD23" i="159"/>
  <c r="BD25" i="159"/>
  <c r="BD56" i="159"/>
  <c r="BD14" i="159"/>
  <c r="BD22" i="159"/>
  <c r="BD21" i="159"/>
  <c r="BD65" i="159"/>
  <c r="BD66" i="159"/>
  <c r="BD68" i="159"/>
  <c r="BD58" i="159"/>
  <c r="BD57" i="159"/>
  <c r="BD52" i="159"/>
  <c r="BD45" i="159"/>
  <c r="BD11" i="159"/>
  <c r="BD13" i="159"/>
  <c r="BD42" i="159"/>
  <c r="BD69" i="159"/>
  <c r="BD46" i="159"/>
  <c r="BD18" i="159"/>
  <c r="BD19" i="159"/>
  <c r="BD61" i="159"/>
  <c r="BD24" i="159"/>
  <c r="BD20" i="159"/>
  <c r="BD10" i="159"/>
  <c r="BD70" i="159"/>
  <c r="BD47" i="159"/>
  <c r="BD53" i="159"/>
  <c r="BD26" i="159"/>
  <c r="BD44" i="159"/>
  <c r="BD12" i="159"/>
  <c r="BD17" i="159"/>
  <c r="BD16" i="159"/>
  <c r="BD49" i="159"/>
  <c r="BD51" i="159"/>
  <c r="BD67" i="159"/>
  <c r="BD36" i="159"/>
  <c r="BD15" i="159"/>
  <c r="BD71" i="159"/>
  <c r="AX87" i="177"/>
  <c r="BD68" i="158"/>
  <c r="BD69" i="158"/>
  <c r="BD36" i="158"/>
  <c r="BD24" i="158"/>
  <c r="BD11" i="158"/>
  <c r="BD33" i="158"/>
  <c r="BD13" i="158"/>
  <c r="BD31" i="158"/>
  <c r="BD62" i="158"/>
  <c r="BD47" i="158"/>
  <c r="BD58" i="158"/>
  <c r="BD30" i="158"/>
  <c r="BD67" i="158"/>
  <c r="BD65" i="158"/>
  <c r="BD63" i="158"/>
  <c r="BD53" i="158"/>
  <c r="BD25" i="158"/>
  <c r="BD17" i="158"/>
  <c r="BD12" i="158"/>
  <c r="BD21" i="158"/>
  <c r="BD26" i="158"/>
  <c r="BD45" i="158"/>
  <c r="BD23" i="158"/>
  <c r="BD56" i="158"/>
  <c r="BD61" i="158"/>
  <c r="BD42" i="158"/>
  <c r="BD48" i="158"/>
  <c r="BD28" i="158"/>
  <c r="BD70" i="158"/>
  <c r="BD49" i="158"/>
  <c r="BD18" i="158"/>
  <c r="BD22" i="158"/>
  <c r="BD9" i="158"/>
  <c r="BD44" i="158"/>
  <c r="BD29" i="158"/>
  <c r="BD59" i="158"/>
  <c r="BD32" i="158"/>
  <c r="BD71" i="158"/>
  <c r="BD60" i="158"/>
  <c r="BD51" i="158"/>
  <c r="BD55" i="158"/>
  <c r="BD57" i="158"/>
  <c r="BD20" i="158"/>
  <c r="BD14" i="158"/>
  <c r="BD46" i="158"/>
  <c r="BD43" i="158"/>
  <c r="BD19" i="158"/>
  <c r="BD64" i="158"/>
  <c r="BD15" i="158"/>
  <c r="BD10" i="158"/>
  <c r="BD16" i="158"/>
  <c r="BD27" i="158"/>
  <c r="BD52" i="158"/>
  <c r="AY24" i="175"/>
  <c r="AY44" i="175"/>
  <c r="AY69" i="175"/>
  <c r="AY25" i="175"/>
  <c r="AY31" i="175"/>
  <c r="AY36" i="175"/>
  <c r="AY10" i="175"/>
  <c r="AY60" i="175"/>
  <c r="AY17" i="175"/>
  <c r="AY19" i="175"/>
  <c r="AY22" i="175"/>
  <c r="AY65" i="175"/>
  <c r="AY12" i="175"/>
  <c r="AY21" i="175"/>
  <c r="AY52" i="175"/>
  <c r="AY53" i="175"/>
  <c r="AY11" i="175"/>
  <c r="AY51" i="175"/>
  <c r="AY45" i="175"/>
  <c r="AY29" i="175"/>
  <c r="AY9" i="175"/>
  <c r="AY64" i="175"/>
  <c r="AY58" i="175"/>
  <c r="AY57" i="175"/>
  <c r="AY15" i="175"/>
  <c r="AY18" i="175"/>
  <c r="AY20" i="175"/>
  <c r="AY67" i="175"/>
  <c r="AY48" i="175"/>
  <c r="AY47" i="175"/>
  <c r="AY43" i="175"/>
  <c r="AY49" i="175"/>
  <c r="AY26" i="175"/>
  <c r="AY30" i="175"/>
  <c r="AY28" i="175"/>
  <c r="AY32" i="175"/>
  <c r="AY66" i="175"/>
  <c r="AY62" i="175"/>
  <c r="AY56" i="175"/>
  <c r="AY68" i="175"/>
  <c r="AY63" i="175"/>
  <c r="AY46" i="175"/>
  <c r="AY42" i="175"/>
  <c r="AY27" i="175"/>
  <c r="AY33" i="175"/>
  <c r="AY71" i="175"/>
  <c r="AY23" i="175"/>
  <c r="AY16" i="175"/>
  <c r="AY55" i="175"/>
  <c r="AY61" i="175"/>
  <c r="AY14" i="175"/>
  <c r="AY70" i="175"/>
  <c r="AY59" i="175"/>
  <c r="AY13" i="175"/>
  <c r="AY63" i="167"/>
  <c r="AY68" i="167"/>
  <c r="AY56" i="167"/>
  <c r="AY59" i="167"/>
  <c r="AY31" i="167"/>
  <c r="AY43" i="167"/>
  <c r="AY44" i="167"/>
  <c r="AY23" i="167"/>
  <c r="AY11" i="167"/>
  <c r="AY21" i="167"/>
  <c r="AY16" i="167"/>
  <c r="AY32" i="167"/>
  <c r="AY19" i="167"/>
  <c r="AY60" i="167"/>
  <c r="AY49" i="167"/>
  <c r="AY61" i="167"/>
  <c r="AY55" i="167"/>
  <c r="AY26" i="167"/>
  <c r="AY58" i="167"/>
  <c r="AY17" i="167"/>
  <c r="AY33" i="167"/>
  <c r="AY18" i="167"/>
  <c r="AY52" i="167"/>
  <c r="AY9" i="167"/>
  <c r="AY57" i="167"/>
  <c r="AY27" i="167"/>
  <c r="AY66" i="167"/>
  <c r="AY62" i="167"/>
  <c r="AY46" i="167"/>
  <c r="AY24" i="167"/>
  <c r="AY15" i="167"/>
  <c r="AY13" i="167"/>
  <c r="AY14" i="167"/>
  <c r="AY71" i="167"/>
  <c r="AY53" i="167"/>
  <c r="AY42" i="167"/>
  <c r="AY45" i="167"/>
  <c r="AY12" i="167"/>
  <c r="AY22" i="167"/>
  <c r="AY47" i="167"/>
  <c r="AY70" i="167"/>
  <c r="AY65" i="167"/>
  <c r="AY25" i="167"/>
  <c r="AY36" i="167"/>
  <c r="AY30" i="167"/>
  <c r="AY29" i="167"/>
  <c r="AY10" i="167"/>
  <c r="AY69" i="167"/>
  <c r="AY64" i="167"/>
  <c r="AY67" i="167"/>
  <c r="AY28" i="167"/>
  <c r="AY20" i="167"/>
  <c r="AY48" i="167"/>
  <c r="AY51" i="167"/>
  <c r="BD53" i="174"/>
  <c r="BD60" i="174"/>
  <c r="BD45" i="174"/>
  <c r="BD24" i="174"/>
  <c r="BD15" i="174"/>
  <c r="BD18" i="174"/>
  <c r="BD12" i="174"/>
  <c r="BD59" i="174"/>
  <c r="BD58" i="174"/>
  <c r="BD48" i="174"/>
  <c r="BD63" i="174"/>
  <c r="BD61" i="174"/>
  <c r="BD23" i="174"/>
  <c r="BD71" i="174"/>
  <c r="BD70" i="174"/>
  <c r="BD46" i="174"/>
  <c r="BD44" i="174"/>
  <c r="BD43" i="174"/>
  <c r="BD13" i="174"/>
  <c r="BD16" i="174"/>
  <c r="BD9" i="174"/>
  <c r="BD51" i="174"/>
  <c r="BD66" i="174"/>
  <c r="BD47" i="174"/>
  <c r="BD68" i="174"/>
  <c r="BD27" i="174"/>
  <c r="BD33" i="174"/>
  <c r="BD49" i="174"/>
  <c r="BD55" i="174"/>
  <c r="BD29" i="174"/>
  <c r="BD26" i="174"/>
  <c r="BD19" i="174"/>
  <c r="BD30" i="174"/>
  <c r="BD14" i="174"/>
  <c r="BD11" i="174"/>
  <c r="BD67" i="174"/>
  <c r="BD10" i="174"/>
  <c r="BD57" i="174"/>
  <c r="BD62" i="174"/>
  <c r="BD31" i="174"/>
  <c r="BD52" i="174"/>
  <c r="BD56" i="174"/>
  <c r="BD42" i="174"/>
  <c r="BD22" i="174"/>
  <c r="BD25" i="174"/>
  <c r="BD17" i="174"/>
  <c r="BD20" i="174"/>
  <c r="BD21" i="174"/>
  <c r="BD32" i="174"/>
  <c r="BD28" i="174"/>
  <c r="BD36" i="174"/>
  <c r="BD64" i="174"/>
  <c r="BD65" i="174"/>
  <c r="BD69" i="174"/>
  <c r="AX87" i="174"/>
  <c r="AY68" i="177"/>
  <c r="AY67" i="177"/>
  <c r="AY61" i="177"/>
  <c r="AY46" i="177"/>
  <c r="AY31" i="177"/>
  <c r="AY48" i="177"/>
  <c r="AY18" i="177"/>
  <c r="AY27" i="177"/>
  <c r="AY19" i="177"/>
  <c r="AY13" i="177"/>
  <c r="AY9" i="177"/>
  <c r="AY64" i="177"/>
  <c r="AY63" i="177"/>
  <c r="AY25" i="177"/>
  <c r="AY69" i="177"/>
  <c r="AY60" i="177"/>
  <c r="AY59" i="177"/>
  <c r="AY49" i="177"/>
  <c r="AY26" i="177"/>
  <c r="AY32" i="177"/>
  <c r="AY30" i="177"/>
  <c r="AY15" i="177"/>
  <c r="AY16" i="177"/>
  <c r="AY12" i="177"/>
  <c r="AY45" i="177"/>
  <c r="AY10" i="177"/>
  <c r="AY52" i="177"/>
  <c r="AY66" i="177"/>
  <c r="AY58" i="177"/>
  <c r="AY57" i="177"/>
  <c r="AY42" i="177"/>
  <c r="AY20" i="177"/>
  <c r="AY47" i="177"/>
  <c r="AY29" i="177"/>
  <c r="AY44" i="177"/>
  <c r="AY33" i="177"/>
  <c r="AY11" i="177"/>
  <c r="AY56" i="177"/>
  <c r="AY62" i="177"/>
  <c r="AY23" i="177"/>
  <c r="AY71" i="177"/>
  <c r="AY70" i="177"/>
  <c r="AY53" i="177"/>
  <c r="AY55" i="177"/>
  <c r="AY36" i="177"/>
  <c r="AY17" i="177"/>
  <c r="AY21" i="177"/>
  <c r="AY28" i="177"/>
  <c r="AY22" i="177"/>
  <c r="AY14" i="177"/>
  <c r="AY43" i="177"/>
  <c r="AY51" i="177"/>
  <c r="AY65" i="177"/>
  <c r="AY24" i="177"/>
  <c r="AX87" i="162"/>
  <c r="AY70" i="162"/>
  <c r="AY52" i="162"/>
  <c r="AY43" i="162"/>
  <c r="AY66" i="162"/>
  <c r="AY33" i="162"/>
  <c r="AY11" i="162"/>
  <c r="AY28" i="162"/>
  <c r="AY19" i="162"/>
  <c r="AY17" i="162"/>
  <c r="AY53" i="162"/>
  <c r="AY48" i="162"/>
  <c r="AY64" i="162"/>
  <c r="AY63" i="162"/>
  <c r="AY31" i="162"/>
  <c r="AY24" i="162"/>
  <c r="AY14" i="162"/>
  <c r="AY22" i="162"/>
  <c r="AY13" i="162"/>
  <c r="AY56" i="162"/>
  <c r="AY42" i="162"/>
  <c r="AY51" i="162"/>
  <c r="AY69" i="162"/>
  <c r="AY65" i="162"/>
  <c r="AY47" i="162"/>
  <c r="AY61" i="162"/>
  <c r="AY60" i="162"/>
  <c r="AY29" i="162"/>
  <c r="AY12" i="162"/>
  <c r="AY27" i="162"/>
  <c r="AY25" i="162"/>
  <c r="AY49" i="162"/>
  <c r="AY62" i="162"/>
  <c r="AY46" i="162"/>
  <c r="AY58" i="162"/>
  <c r="AY57" i="162"/>
  <c r="AY32" i="162"/>
  <c r="AY18" i="162"/>
  <c r="AY9" i="162"/>
  <c r="AY15" i="162"/>
  <c r="AY68" i="162"/>
  <c r="AY67" i="162"/>
  <c r="AY10" i="162"/>
  <c r="AY71" i="162"/>
  <c r="AY59" i="162"/>
  <c r="AY45" i="162"/>
  <c r="AY55" i="162"/>
  <c r="AY36" i="162"/>
  <c r="AY30" i="162"/>
  <c r="AY21" i="162"/>
  <c r="AY16" i="162"/>
  <c r="AY26" i="162"/>
  <c r="AY44" i="162"/>
  <c r="AY23" i="162"/>
  <c r="AY20" i="162"/>
  <c r="C94" i="101" l="1"/>
  <c r="AF46" i="101" l="1"/>
  <c r="AD63" i="101"/>
  <c r="AD58" i="101"/>
  <c r="AD55" i="101"/>
  <c r="AD46" i="101"/>
  <c r="AF55" i="101"/>
  <c r="AF58" i="101"/>
  <c r="AF63" i="101"/>
  <c r="AD45" i="101" l="1"/>
  <c r="AF45" i="101"/>
  <c r="M27" i="101" l="1"/>
  <c r="E27" i="101"/>
  <c r="AQ79" i="159" l="1"/>
  <c r="AQ79" i="167"/>
  <c r="AQ79" i="171"/>
  <c r="AQ79" i="162"/>
  <c r="AV79" i="161"/>
  <c r="AQ79" i="161"/>
  <c r="AS79" i="171" l="1"/>
  <c r="AQ77" i="171"/>
  <c r="AQ81" i="171"/>
  <c r="AQ83" i="171" s="1"/>
  <c r="AQ84" i="171" s="1"/>
  <c r="AQ86" i="171" s="1"/>
  <c r="AQ87" i="171" s="1"/>
  <c r="AQ77" i="167"/>
  <c r="AS79" i="167"/>
  <c r="AQ81" i="167"/>
  <c r="AQ83" i="167" s="1"/>
  <c r="AQ84" i="167" s="1"/>
  <c r="AQ86" i="167" s="1"/>
  <c r="AQ87" i="167" s="1"/>
  <c r="AS79" i="159"/>
  <c r="AQ77" i="159"/>
  <c r="AQ81" i="159"/>
  <c r="AQ83" i="159" s="1"/>
  <c r="AQ84" i="159" s="1"/>
  <c r="AQ86" i="159" s="1"/>
  <c r="AQ87" i="159" s="1"/>
  <c r="AS79" i="161"/>
  <c r="AQ77" i="161"/>
  <c r="AQ81" i="161"/>
  <c r="AQ83" i="161" s="1"/>
  <c r="AQ84" i="161" s="1"/>
  <c r="AQ86" i="161" s="1"/>
  <c r="AQ87" i="161" s="1"/>
  <c r="AQ77" i="162"/>
  <c r="AS79" i="162"/>
  <c r="AQ81" i="162"/>
  <c r="AQ83" i="162" s="1"/>
  <c r="AQ84" i="162" s="1"/>
  <c r="AQ86" i="162" s="1"/>
  <c r="AQ87" i="162" s="1"/>
  <c r="AV77" i="161"/>
  <c r="AX79" i="161"/>
  <c r="AV81" i="161"/>
  <c r="AV83" i="161" s="1"/>
  <c r="AV84" i="161" s="1"/>
  <c r="AV86" i="161" s="1"/>
  <c r="AV87" i="161" s="1"/>
  <c r="AS77" i="159" l="1"/>
  <c r="AS89" i="159"/>
  <c r="AS81" i="159"/>
  <c r="AS83" i="159" s="1"/>
  <c r="AS84" i="159" s="1"/>
  <c r="AS86" i="159" s="1"/>
  <c r="AS87" i="159" s="1"/>
  <c r="AS77" i="167"/>
  <c r="AS89" i="167"/>
  <c r="AS81" i="167"/>
  <c r="AS83" i="167" s="1"/>
  <c r="AS84" i="167" s="1"/>
  <c r="AS86" i="167" s="1"/>
  <c r="AS87" i="167" s="1"/>
  <c r="AS77" i="171"/>
  <c r="AS89" i="171"/>
  <c r="AS81" i="171"/>
  <c r="AS83" i="171" s="1"/>
  <c r="AS84" i="171" s="1"/>
  <c r="AS86" i="171" s="1"/>
  <c r="AS87" i="171" s="1"/>
  <c r="AS77" i="162"/>
  <c r="AS89" i="162"/>
  <c r="AS81" i="162"/>
  <c r="AS83" i="162" s="1"/>
  <c r="AS84" i="162" s="1"/>
  <c r="AS86" i="162" s="1"/>
  <c r="AS87" i="162" s="1"/>
  <c r="AX77" i="161"/>
  <c r="AX81" i="161"/>
  <c r="AX83" i="161" s="1"/>
  <c r="AX84" i="161" s="1"/>
  <c r="AX86" i="161" s="1"/>
  <c r="AX89" i="161"/>
  <c r="AS77" i="161"/>
  <c r="AS89" i="161"/>
  <c r="AS81" i="161"/>
  <c r="AS83" i="161" s="1"/>
  <c r="AS84" i="161" s="1"/>
  <c r="AS86" i="161" s="1"/>
  <c r="AS87" i="161" s="1"/>
  <c r="AX97" i="157"/>
  <c r="AS95" i="157"/>
  <c r="AS98" i="157"/>
  <c r="AS97" i="157"/>
  <c r="AS105" i="157"/>
  <c r="AS102" i="157"/>
  <c r="AT57" i="171" l="1"/>
  <c r="AT58" i="171"/>
  <c r="AT48" i="171"/>
  <c r="AT49" i="171"/>
  <c r="AT45" i="171"/>
  <c r="AT42" i="171"/>
  <c r="AT17" i="171"/>
  <c r="AT62" i="171"/>
  <c r="AT23" i="171"/>
  <c r="AT9" i="171"/>
  <c r="AT36" i="171"/>
  <c r="AT12" i="171"/>
  <c r="AT13" i="171"/>
  <c r="AT67" i="171"/>
  <c r="AT53" i="171"/>
  <c r="AT46" i="171"/>
  <c r="AT29" i="171"/>
  <c r="AT32" i="171"/>
  <c r="AT33" i="171"/>
  <c r="AT59" i="171"/>
  <c r="AT30" i="171"/>
  <c r="AT20" i="171"/>
  <c r="AT71" i="171"/>
  <c r="AT26" i="171"/>
  <c r="AT10" i="171"/>
  <c r="AT15" i="171"/>
  <c r="AT69" i="171"/>
  <c r="AT61" i="171"/>
  <c r="AT64" i="171"/>
  <c r="AT70" i="171"/>
  <c r="AT65" i="171"/>
  <c r="AT31" i="171"/>
  <c r="AT27" i="171"/>
  <c r="AT56" i="171"/>
  <c r="AT68" i="171"/>
  <c r="AT11" i="171"/>
  <c r="AT28" i="171"/>
  <c r="AT25" i="171"/>
  <c r="AT14" i="171"/>
  <c r="AT51" i="171"/>
  <c r="AT63" i="171"/>
  <c r="AT55" i="171"/>
  <c r="AT60" i="171"/>
  <c r="AT66" i="171"/>
  <c r="AT47" i="171"/>
  <c r="AT44" i="171"/>
  <c r="AT18" i="171"/>
  <c r="AT43" i="171"/>
  <c r="AT21" i="171"/>
  <c r="AT22" i="171"/>
  <c r="AT19" i="171"/>
  <c r="AT52" i="171"/>
  <c r="AT24" i="171"/>
  <c r="AT16" i="171"/>
  <c r="AT64" i="159"/>
  <c r="AT59" i="159"/>
  <c r="AT49" i="159"/>
  <c r="AT36" i="159"/>
  <c r="AT23" i="159"/>
  <c r="AT31" i="159"/>
  <c r="AT28" i="159"/>
  <c r="AT68" i="159"/>
  <c r="AT29" i="159"/>
  <c r="AT13" i="159"/>
  <c r="AT55" i="159"/>
  <c r="AT25" i="159"/>
  <c r="AT33" i="159"/>
  <c r="AT70" i="159"/>
  <c r="AT63" i="159"/>
  <c r="AT57" i="159"/>
  <c r="AT56" i="159"/>
  <c r="AT26" i="159"/>
  <c r="AT11" i="159"/>
  <c r="AT22" i="159"/>
  <c r="AT51" i="159"/>
  <c r="AT32" i="159"/>
  <c r="AT52" i="159"/>
  <c r="AT21" i="159"/>
  <c r="AT69" i="159"/>
  <c r="AT45" i="159"/>
  <c r="AT71" i="159"/>
  <c r="AT62" i="159"/>
  <c r="AT60" i="159"/>
  <c r="AT53" i="159"/>
  <c r="AT30" i="159"/>
  <c r="AT9" i="159"/>
  <c r="AT14" i="159"/>
  <c r="AT27" i="159"/>
  <c r="AT17" i="159"/>
  <c r="AT44" i="159"/>
  <c r="AT46" i="159"/>
  <c r="AT20" i="159"/>
  <c r="AT47" i="159"/>
  <c r="AT48" i="159"/>
  <c r="AT65" i="159"/>
  <c r="AT61" i="159"/>
  <c r="AT58" i="159"/>
  <c r="AT42" i="159"/>
  <c r="AT24" i="159"/>
  <c r="AT10" i="159"/>
  <c r="AT12" i="159"/>
  <c r="AT67" i="159"/>
  <c r="AT15" i="159"/>
  <c r="AT66" i="159"/>
  <c r="AT43" i="159"/>
  <c r="AT18" i="159"/>
  <c r="AT16" i="159"/>
  <c r="AT19" i="159"/>
  <c r="AT66" i="167"/>
  <c r="AT70" i="167"/>
  <c r="AT57" i="167"/>
  <c r="AT69" i="167"/>
  <c r="AT47" i="167"/>
  <c r="AT27" i="167"/>
  <c r="AT68" i="167"/>
  <c r="AT23" i="167"/>
  <c r="AT10" i="167"/>
  <c r="AT32" i="167"/>
  <c r="AT24" i="167"/>
  <c r="AT30" i="167"/>
  <c r="AT43" i="167"/>
  <c r="AT25" i="167"/>
  <c r="AT63" i="167"/>
  <c r="AT67" i="167"/>
  <c r="AT52" i="167"/>
  <c r="AT56" i="167"/>
  <c r="AT26" i="167"/>
  <c r="AT42" i="167"/>
  <c r="AT19" i="167"/>
  <c r="AT45" i="167"/>
  <c r="AT11" i="167"/>
  <c r="AT62" i="167"/>
  <c r="AT71" i="167"/>
  <c r="AT65" i="167"/>
  <c r="AT36" i="167"/>
  <c r="AT58" i="167"/>
  <c r="AT55" i="167"/>
  <c r="AT60" i="167"/>
  <c r="AT51" i="167"/>
  <c r="AT61" i="167"/>
  <c r="AT17" i="167"/>
  <c r="AT21" i="167"/>
  <c r="AT15" i="167"/>
  <c r="AT13" i="167"/>
  <c r="AT9" i="167"/>
  <c r="AT33" i="167"/>
  <c r="AT16" i="167"/>
  <c r="AT44" i="167"/>
  <c r="AT49" i="167"/>
  <c r="AT46" i="167"/>
  <c r="AT53" i="167"/>
  <c r="AT59" i="167"/>
  <c r="AT22" i="167"/>
  <c r="AT64" i="167"/>
  <c r="AT31" i="167"/>
  <c r="AT48" i="167"/>
  <c r="AT14" i="167"/>
  <c r="AT20" i="167"/>
  <c r="AT29" i="167"/>
  <c r="AT12" i="167"/>
  <c r="AT18" i="167"/>
  <c r="AT28" i="167"/>
  <c r="AY46" i="161"/>
  <c r="AY59" i="161"/>
  <c r="AY71" i="161"/>
  <c r="AY19" i="161"/>
  <c r="AY13" i="161"/>
  <c r="AY45" i="161"/>
  <c r="AY24" i="161"/>
  <c r="AY51" i="161"/>
  <c r="AY9" i="161"/>
  <c r="AY69" i="161"/>
  <c r="AY65" i="161"/>
  <c r="AY18" i="161"/>
  <c r="AY70" i="161"/>
  <c r="AY66" i="161"/>
  <c r="AY33" i="161"/>
  <c r="AY27" i="161"/>
  <c r="AY30" i="161"/>
  <c r="AY62" i="161"/>
  <c r="AY16" i="161"/>
  <c r="AY25" i="161"/>
  <c r="AY52" i="161"/>
  <c r="AY60" i="161"/>
  <c r="AY28" i="161"/>
  <c r="AY48" i="161"/>
  <c r="AY58" i="161"/>
  <c r="AY12" i="161"/>
  <c r="AY68" i="161"/>
  <c r="AY56" i="161"/>
  <c r="AY10" i="161"/>
  <c r="AY49" i="161"/>
  <c r="AY63" i="161"/>
  <c r="AY57" i="161"/>
  <c r="AY23" i="161"/>
  <c r="AY17" i="161"/>
  <c r="AY11" i="161"/>
  <c r="AY36" i="161"/>
  <c r="AY47" i="161"/>
  <c r="AY22" i="161"/>
  <c r="AY44" i="161"/>
  <c r="AY14" i="161"/>
  <c r="AY32" i="161"/>
  <c r="AY20" i="161"/>
  <c r="AY42" i="161"/>
  <c r="AY61" i="161"/>
  <c r="AY55" i="161"/>
  <c r="AY21" i="161"/>
  <c r="AY15" i="161"/>
  <c r="AY31" i="161"/>
  <c r="AY29" i="161"/>
  <c r="AY26" i="161"/>
  <c r="AY43" i="161"/>
  <c r="AY64" i="161"/>
  <c r="AY53" i="161"/>
  <c r="AY67" i="161"/>
  <c r="AT49" i="161"/>
  <c r="AT58" i="161"/>
  <c r="AT44" i="161"/>
  <c r="AT21" i="161"/>
  <c r="AT15" i="161"/>
  <c r="AT12" i="161"/>
  <c r="AT68" i="161"/>
  <c r="AT32" i="161"/>
  <c r="AT63" i="161"/>
  <c r="AT45" i="161"/>
  <c r="AT10" i="161"/>
  <c r="AT71" i="161"/>
  <c r="AT53" i="161"/>
  <c r="AT55" i="161"/>
  <c r="AT43" i="161"/>
  <c r="AT20" i="161"/>
  <c r="AT14" i="161"/>
  <c r="AT31" i="161"/>
  <c r="AT67" i="161"/>
  <c r="AT36" i="161"/>
  <c r="AT29" i="161"/>
  <c r="AT22" i="161"/>
  <c r="AT62" i="161"/>
  <c r="AT60" i="161"/>
  <c r="AT42" i="161"/>
  <c r="AT19" i="161"/>
  <c r="AT13" i="161"/>
  <c r="AT27" i="161"/>
  <c r="AT33" i="161"/>
  <c r="AT48" i="161"/>
  <c r="AT69" i="161"/>
  <c r="AT30" i="161"/>
  <c r="AT59" i="161"/>
  <c r="AT57" i="161"/>
  <c r="AT25" i="161"/>
  <c r="AT18" i="161"/>
  <c r="AT24" i="161"/>
  <c r="AT26" i="161"/>
  <c r="AT9" i="161"/>
  <c r="AT66" i="161"/>
  <c r="AT47" i="161"/>
  <c r="AT16" i="161"/>
  <c r="AT70" i="161"/>
  <c r="AT56" i="161"/>
  <c r="AT46" i="161"/>
  <c r="AT23" i="161"/>
  <c r="AT17" i="161"/>
  <c r="AT11" i="161"/>
  <c r="AT51" i="161"/>
  <c r="AT28" i="161"/>
  <c r="AT64" i="161"/>
  <c r="AT65" i="161"/>
  <c r="AT61" i="161"/>
  <c r="AT52" i="161"/>
  <c r="AT69" i="162"/>
  <c r="AT57" i="162"/>
  <c r="AT53" i="162"/>
  <c r="AT45" i="162"/>
  <c r="AT42" i="162"/>
  <c r="AT33" i="162"/>
  <c r="AT51" i="162"/>
  <c r="AT24" i="162"/>
  <c r="AT26" i="162"/>
  <c r="AT71" i="162"/>
  <c r="AT49" i="162"/>
  <c r="AT64" i="162"/>
  <c r="AT43" i="162"/>
  <c r="AT18" i="162"/>
  <c r="AT31" i="162"/>
  <c r="AT67" i="162"/>
  <c r="AT15" i="162"/>
  <c r="AT22" i="162"/>
  <c r="AT68" i="162"/>
  <c r="AT65" i="162"/>
  <c r="AT61" i="162"/>
  <c r="AT27" i="162"/>
  <c r="AT12" i="162"/>
  <c r="AT29" i="162"/>
  <c r="AT10" i="162"/>
  <c r="AT9" i="162"/>
  <c r="AT25" i="162"/>
  <c r="AT66" i="162"/>
  <c r="AT62" i="162"/>
  <c r="AT58" i="162"/>
  <c r="AT36" i="162"/>
  <c r="AT48" i="162"/>
  <c r="AT14" i="162"/>
  <c r="AT19" i="162"/>
  <c r="AT21" i="162"/>
  <c r="AT32" i="162"/>
  <c r="AT63" i="162"/>
  <c r="AT59" i="162"/>
  <c r="AT55" i="162"/>
  <c r="AT28" i="162"/>
  <c r="AT46" i="162"/>
  <c r="AT11" i="162"/>
  <c r="AT30" i="162"/>
  <c r="AT17" i="162"/>
  <c r="AT16" i="162"/>
  <c r="AT70" i="162"/>
  <c r="AT52" i="162"/>
  <c r="AT60" i="162"/>
  <c r="AT20" i="162"/>
  <c r="AT56" i="162"/>
  <c r="AT13" i="162"/>
  <c r="AT44" i="162"/>
  <c r="AT47" i="162"/>
  <c r="AT23" i="162"/>
  <c r="AX87" i="161"/>
  <c r="CM7" i="131" l="1"/>
  <c r="CN7" i="131"/>
  <c r="CN26" i="131" s="1"/>
  <c r="AH26" i="131"/>
  <c r="CK26" i="131"/>
  <c r="CO26" i="131"/>
  <c r="ED85" i="80" l="1"/>
  <c r="EE85" i="80" s="1"/>
  <c r="DY85" i="80"/>
  <c r="DX85" i="80"/>
  <c r="DU85" i="80"/>
  <c r="DP85" i="80"/>
  <c r="DK85" i="80"/>
  <c r="DF85" i="80"/>
  <c r="DA85" i="80"/>
  <c r="CV85" i="80"/>
  <c r="CQ85" i="80"/>
  <c r="CL85" i="80"/>
  <c r="CG85" i="80"/>
  <c r="CB85" i="80"/>
  <c r="BW85" i="80"/>
  <c r="BR85" i="80"/>
  <c r="BL85" i="80"/>
  <c r="BK85" i="80"/>
  <c r="BG85" i="80"/>
  <c r="BF85" i="80"/>
  <c r="BC85" i="80"/>
  <c r="AX85" i="80"/>
  <c r="AS85" i="80"/>
  <c r="AN85" i="80"/>
  <c r="AI85" i="80"/>
  <c r="AD85" i="80"/>
  <c r="Y85" i="80"/>
  <c r="T85" i="80"/>
  <c r="O85" i="80"/>
  <c r="E85" i="80"/>
  <c r="ED82" i="80"/>
  <c r="EE82" i="80" s="1"/>
  <c r="DY82" i="80"/>
  <c r="DX82" i="80"/>
  <c r="DZ82" i="80" s="1"/>
  <c r="DU82" i="80"/>
  <c r="DP82" i="80"/>
  <c r="DK82" i="80"/>
  <c r="DF82" i="80"/>
  <c r="DA82" i="80"/>
  <c r="CV82" i="80"/>
  <c r="CQ82" i="80"/>
  <c r="CL82" i="80"/>
  <c r="CG82" i="80"/>
  <c r="CB82" i="80"/>
  <c r="BW82" i="80"/>
  <c r="BR82" i="80"/>
  <c r="BL82" i="80"/>
  <c r="BK82" i="80"/>
  <c r="BM82" i="80" s="1"/>
  <c r="BG82" i="80"/>
  <c r="BF82" i="80"/>
  <c r="BC82" i="80"/>
  <c r="AX82" i="80"/>
  <c r="AS82" i="80"/>
  <c r="AN82" i="80"/>
  <c r="AI82" i="80"/>
  <c r="AD82" i="80"/>
  <c r="Y82" i="80"/>
  <c r="T82" i="80"/>
  <c r="O82" i="80"/>
  <c r="E82" i="80"/>
  <c r="DY80" i="80"/>
  <c r="DX80" i="80"/>
  <c r="ED79" i="80"/>
  <c r="DA79" i="80"/>
  <c r="BL79" i="80"/>
  <c r="BG79" i="80"/>
  <c r="ED78" i="80"/>
  <c r="EE78" i="80" s="1"/>
  <c r="DU78" i="80"/>
  <c r="DP78" i="80"/>
  <c r="DK78" i="80"/>
  <c r="DF78" i="80"/>
  <c r="DA78" i="80"/>
  <c r="CV78" i="80"/>
  <c r="CQ78" i="80"/>
  <c r="CL78" i="80"/>
  <c r="CG78" i="80"/>
  <c r="CB78" i="80"/>
  <c r="BW78" i="80"/>
  <c r="BR78" i="80"/>
  <c r="BL78" i="80"/>
  <c r="DY78" i="80" s="1"/>
  <c r="BK78" i="80"/>
  <c r="BM78" i="80" s="1"/>
  <c r="BG78" i="80"/>
  <c r="BF78" i="80"/>
  <c r="BC78" i="80"/>
  <c r="AX78" i="80"/>
  <c r="AS78" i="80"/>
  <c r="AN78" i="80"/>
  <c r="AI78" i="80"/>
  <c r="AD78" i="80"/>
  <c r="AD77" i="80" s="1"/>
  <c r="Y78" i="80"/>
  <c r="T78" i="80"/>
  <c r="O78" i="80"/>
  <c r="E78" i="80"/>
  <c r="ED77" i="80"/>
  <c r="DT77" i="80"/>
  <c r="DO77" i="80"/>
  <c r="DJ77" i="80"/>
  <c r="DE77" i="80"/>
  <c r="CZ77" i="80"/>
  <c r="CY77" i="80"/>
  <c r="CU77" i="80"/>
  <c r="CP77" i="80"/>
  <c r="CK77" i="80"/>
  <c r="CF77" i="80"/>
  <c r="CA77" i="80"/>
  <c r="BV77" i="80"/>
  <c r="BQ77" i="80"/>
  <c r="BG77" i="80"/>
  <c r="BB77" i="80"/>
  <c r="AW77" i="80"/>
  <c r="AR77" i="80"/>
  <c r="AN77" i="80"/>
  <c r="AM77" i="80"/>
  <c r="AL77" i="80"/>
  <c r="AI77" i="80"/>
  <c r="AH77" i="80"/>
  <c r="AG77" i="80"/>
  <c r="AC77" i="80"/>
  <c r="AB77" i="80"/>
  <c r="Y77" i="80"/>
  <c r="X77" i="80"/>
  <c r="W77" i="80"/>
  <c r="T77" i="80"/>
  <c r="S77" i="80"/>
  <c r="R77" i="80"/>
  <c r="O77" i="80"/>
  <c r="N77" i="80"/>
  <c r="M77" i="80"/>
  <c r="D77" i="80"/>
  <c r="C77" i="80"/>
  <c r="ED74" i="80"/>
  <c r="EE74" i="80" s="1"/>
  <c r="EE73" i="80" s="1"/>
  <c r="DY74" i="80"/>
  <c r="DY73" i="80" s="1"/>
  <c r="DX74" i="80"/>
  <c r="DU74" i="80"/>
  <c r="DP74" i="80"/>
  <c r="DP73" i="80" s="1"/>
  <c r="DK74" i="80"/>
  <c r="DF74" i="80"/>
  <c r="DA74" i="80"/>
  <c r="CV74" i="80"/>
  <c r="CV73" i="80" s="1"/>
  <c r="CQ74" i="80"/>
  <c r="CL74" i="80"/>
  <c r="CL73" i="80" s="1"/>
  <c r="CG74" i="80"/>
  <c r="CG73" i="80" s="1"/>
  <c r="CB74" i="80"/>
  <c r="BW74" i="80"/>
  <c r="BR74" i="80"/>
  <c r="BR73" i="80" s="1"/>
  <c r="BL74" i="80"/>
  <c r="BL73" i="80" s="1"/>
  <c r="BK74" i="80"/>
  <c r="BK73" i="80" s="1"/>
  <c r="BC74" i="80"/>
  <c r="AX74" i="80"/>
  <c r="AS74" i="80"/>
  <c r="AN74" i="80"/>
  <c r="AN73" i="80" s="1"/>
  <c r="AI74" i="80"/>
  <c r="AD74" i="80"/>
  <c r="AD73" i="80" s="1"/>
  <c r="Y74" i="80"/>
  <c r="Y73" i="80" s="1"/>
  <c r="T74" i="80"/>
  <c r="O74" i="80"/>
  <c r="E74" i="80"/>
  <c r="E73" i="80" s="1"/>
  <c r="ED73" i="80"/>
  <c r="DU73" i="80"/>
  <c r="DT73" i="80"/>
  <c r="DS73" i="80"/>
  <c r="DO73" i="80"/>
  <c r="DN73" i="80"/>
  <c r="DK73" i="80"/>
  <c r="DJ73" i="80"/>
  <c r="DI73" i="80"/>
  <c r="DF73" i="80"/>
  <c r="DE73" i="80"/>
  <c r="DD73" i="80"/>
  <c r="DA73" i="80"/>
  <c r="CZ73" i="80"/>
  <c r="CY73" i="80"/>
  <c r="CU73" i="80"/>
  <c r="CT73" i="80"/>
  <c r="CQ73" i="80"/>
  <c r="CP73" i="80"/>
  <c r="CO73" i="80"/>
  <c r="CK73" i="80"/>
  <c r="CJ73" i="80"/>
  <c r="CF73" i="80"/>
  <c r="CE73" i="80"/>
  <c r="CB73" i="80"/>
  <c r="CA73" i="80"/>
  <c r="BZ73" i="80"/>
  <c r="BW73" i="80"/>
  <c r="BV73" i="80"/>
  <c r="BU73" i="80"/>
  <c r="CP82" i="157" s="1"/>
  <c r="BQ73" i="80"/>
  <c r="BP73" i="80"/>
  <c r="BM73" i="80"/>
  <c r="BH73" i="80"/>
  <c r="BG73" i="80"/>
  <c r="BF73" i="80"/>
  <c r="BC73" i="80"/>
  <c r="BB73" i="80"/>
  <c r="BA73" i="80"/>
  <c r="AX73" i="80"/>
  <c r="AW73" i="80"/>
  <c r="AV73" i="80"/>
  <c r="AS73" i="80"/>
  <c r="AR73" i="80"/>
  <c r="AQ73" i="80"/>
  <c r="AM73" i="80"/>
  <c r="AL73" i="80"/>
  <c r="AI73" i="80"/>
  <c r="AH73" i="80"/>
  <c r="AG73" i="80"/>
  <c r="AC73" i="80"/>
  <c r="AB73" i="80"/>
  <c r="X73" i="80"/>
  <c r="W73" i="80"/>
  <c r="T73" i="80"/>
  <c r="S73" i="80"/>
  <c r="R73" i="80"/>
  <c r="O73" i="80"/>
  <c r="N73" i="80"/>
  <c r="M73" i="80"/>
  <c r="D73" i="80"/>
  <c r="C73" i="80"/>
  <c r="DY72" i="80"/>
  <c r="DX72" i="80"/>
  <c r="ED71" i="80"/>
  <c r="EE71" i="80" s="1"/>
  <c r="DU71" i="80"/>
  <c r="DP71" i="80"/>
  <c r="DK71" i="80"/>
  <c r="DF71" i="80"/>
  <c r="DA71" i="80"/>
  <c r="CV71" i="80"/>
  <c r="CQ71" i="80"/>
  <c r="CL71" i="80"/>
  <c r="CG71" i="80"/>
  <c r="CB71" i="80"/>
  <c r="BW71" i="80"/>
  <c r="BR71" i="80"/>
  <c r="BL71" i="80"/>
  <c r="DY71" i="80" s="1"/>
  <c r="BK71" i="80"/>
  <c r="BG71" i="80"/>
  <c r="BF71" i="80"/>
  <c r="BC71" i="80"/>
  <c r="AX71" i="80"/>
  <c r="AS71" i="80"/>
  <c r="AN71" i="80"/>
  <c r="AI71" i="80"/>
  <c r="AD71" i="80"/>
  <c r="Y71" i="80"/>
  <c r="T71" i="80"/>
  <c r="O71" i="80"/>
  <c r="E71" i="80"/>
  <c r="ED70" i="80"/>
  <c r="EE70" i="80" s="1"/>
  <c r="DU70" i="80"/>
  <c r="DP70" i="80"/>
  <c r="DK70" i="80"/>
  <c r="DF70" i="80"/>
  <c r="DA70" i="80"/>
  <c r="CV70" i="80"/>
  <c r="CQ70" i="80"/>
  <c r="CL70" i="80"/>
  <c r="CG70" i="80"/>
  <c r="CB70" i="80"/>
  <c r="BW70" i="80"/>
  <c r="BR70" i="80"/>
  <c r="BL70" i="80"/>
  <c r="BK70" i="80"/>
  <c r="DX70" i="80" s="1"/>
  <c r="BG70" i="80"/>
  <c r="BF70" i="80"/>
  <c r="BH70" i="80" s="1"/>
  <c r="BC70" i="80"/>
  <c r="AX70" i="80"/>
  <c r="AS70" i="80"/>
  <c r="AN70" i="80"/>
  <c r="AI70" i="80"/>
  <c r="AD70" i="80"/>
  <c r="Y70" i="80"/>
  <c r="T70" i="80"/>
  <c r="O70" i="80"/>
  <c r="E70" i="80"/>
  <c r="ED69" i="80"/>
  <c r="EE69" i="80" s="1"/>
  <c r="DU69" i="80"/>
  <c r="DP69" i="80"/>
  <c r="DK69" i="80"/>
  <c r="DF69" i="80"/>
  <c r="DA69" i="80"/>
  <c r="CV69" i="80"/>
  <c r="CQ69" i="80"/>
  <c r="CL69" i="80"/>
  <c r="CG69" i="80"/>
  <c r="CB69" i="80"/>
  <c r="BW69" i="80"/>
  <c r="BR69" i="80"/>
  <c r="BL69" i="80"/>
  <c r="DY69" i="80" s="1"/>
  <c r="BK69" i="80"/>
  <c r="DX69" i="80" s="1"/>
  <c r="DZ69" i="80" s="1"/>
  <c r="BG69" i="80"/>
  <c r="BF69" i="80"/>
  <c r="BC69" i="80"/>
  <c r="AX69" i="80"/>
  <c r="AS69" i="80"/>
  <c r="AN69" i="80"/>
  <c r="AI69" i="80"/>
  <c r="AD69" i="80"/>
  <c r="Y69" i="80"/>
  <c r="T69" i="80"/>
  <c r="O69" i="80"/>
  <c r="E69" i="80"/>
  <c r="ED68" i="80"/>
  <c r="EE68" i="80" s="1"/>
  <c r="DU68" i="80"/>
  <c r="DP68" i="80"/>
  <c r="DK68" i="80"/>
  <c r="DF68" i="80"/>
  <c r="DA68" i="80"/>
  <c r="CV68" i="80"/>
  <c r="CQ68" i="80"/>
  <c r="CL68" i="80"/>
  <c r="CG68" i="80"/>
  <c r="CB68" i="80"/>
  <c r="BW68" i="80"/>
  <c r="BR68" i="80"/>
  <c r="BL68" i="80"/>
  <c r="DY68" i="80" s="1"/>
  <c r="BK68" i="80"/>
  <c r="BG68" i="80"/>
  <c r="BH68" i="80" s="1"/>
  <c r="BF68" i="80"/>
  <c r="BC68" i="80"/>
  <c r="AX68" i="80"/>
  <c r="AS68" i="80"/>
  <c r="AN68" i="80"/>
  <c r="AI68" i="80"/>
  <c r="AD68" i="80"/>
  <c r="Y68" i="80"/>
  <c r="T68" i="80"/>
  <c r="O68" i="80"/>
  <c r="E68" i="80"/>
  <c r="EE67" i="80"/>
  <c r="ED67" i="80"/>
  <c r="DU67" i="80"/>
  <c r="DP67" i="80"/>
  <c r="DK67" i="80"/>
  <c r="DF67" i="80"/>
  <c r="DA67" i="80"/>
  <c r="CV67" i="80"/>
  <c r="CQ67" i="80"/>
  <c r="CL67" i="80"/>
  <c r="CG67" i="80"/>
  <c r="CB67" i="80"/>
  <c r="BW67" i="80"/>
  <c r="BR67" i="80"/>
  <c r="BL67" i="80"/>
  <c r="DY67" i="80" s="1"/>
  <c r="BK67" i="80"/>
  <c r="DX67" i="80" s="1"/>
  <c r="BG67" i="80"/>
  <c r="BF67" i="80"/>
  <c r="BC67" i="80"/>
  <c r="AX67" i="80"/>
  <c r="AS67" i="80"/>
  <c r="AN67" i="80"/>
  <c r="AI67" i="80"/>
  <c r="AD67" i="80"/>
  <c r="Y67" i="80"/>
  <c r="T67" i="80"/>
  <c r="O67" i="80"/>
  <c r="E67" i="80"/>
  <c r="ED66" i="80"/>
  <c r="EE66" i="80" s="1"/>
  <c r="DU66" i="80"/>
  <c r="DP66" i="80"/>
  <c r="DK66" i="80"/>
  <c r="DF66" i="80"/>
  <c r="DA66" i="80"/>
  <c r="CV66" i="80"/>
  <c r="CQ66" i="80"/>
  <c r="CL66" i="80"/>
  <c r="CG66" i="80"/>
  <c r="CB66" i="80"/>
  <c r="BW66" i="80"/>
  <c r="BR66" i="80"/>
  <c r="BL66" i="80"/>
  <c r="DY66" i="80" s="1"/>
  <c r="BK66" i="80"/>
  <c r="DX66" i="80" s="1"/>
  <c r="BG66" i="80"/>
  <c r="BF66" i="80"/>
  <c r="BC66" i="80"/>
  <c r="AX66" i="80"/>
  <c r="AS66" i="80"/>
  <c r="AN66" i="80"/>
  <c r="AI66" i="80"/>
  <c r="AD66" i="80"/>
  <c r="Y66" i="80"/>
  <c r="T66" i="80"/>
  <c r="O66" i="80"/>
  <c r="E66" i="80"/>
  <c r="ED65" i="80"/>
  <c r="EE65" i="80" s="1"/>
  <c r="DU65" i="80"/>
  <c r="DP65" i="80"/>
  <c r="DK65" i="80"/>
  <c r="DF65" i="80"/>
  <c r="DA65" i="80"/>
  <c r="CV65" i="80"/>
  <c r="CQ65" i="80"/>
  <c r="CL65" i="80"/>
  <c r="CG65" i="80"/>
  <c r="CB65" i="80"/>
  <c r="BW65" i="80"/>
  <c r="BR65" i="80"/>
  <c r="BL65" i="80"/>
  <c r="DY65" i="80" s="1"/>
  <c r="BK65" i="80"/>
  <c r="DX65" i="80" s="1"/>
  <c r="DZ65" i="80" s="1"/>
  <c r="BG65" i="80"/>
  <c r="BF65" i="80"/>
  <c r="BH65" i="80" s="1"/>
  <c r="BC65" i="80"/>
  <c r="AX65" i="80"/>
  <c r="AS65" i="80"/>
  <c r="AN65" i="80"/>
  <c r="AI65" i="80"/>
  <c r="AD65" i="80"/>
  <c r="Y65" i="80"/>
  <c r="T65" i="80"/>
  <c r="O65" i="80"/>
  <c r="E65" i="80"/>
  <c r="ED64" i="80"/>
  <c r="EE64" i="80" s="1"/>
  <c r="DU64" i="80"/>
  <c r="DP64" i="80"/>
  <c r="DK64" i="80"/>
  <c r="DF64" i="80"/>
  <c r="DA64" i="80"/>
  <c r="CV64" i="80"/>
  <c r="CQ64" i="80"/>
  <c r="CL64" i="80"/>
  <c r="CG64" i="80"/>
  <c r="CB64" i="80"/>
  <c r="BW64" i="80"/>
  <c r="BR64" i="80"/>
  <c r="BL64" i="80"/>
  <c r="DY64" i="80" s="1"/>
  <c r="BK64" i="80"/>
  <c r="DX64" i="80" s="1"/>
  <c r="BG64" i="80"/>
  <c r="BF64" i="80"/>
  <c r="BC64" i="80"/>
  <c r="AX64" i="80"/>
  <c r="AS64" i="80"/>
  <c r="AN64" i="80"/>
  <c r="AI64" i="80"/>
  <c r="AD64" i="80"/>
  <c r="Y64" i="80"/>
  <c r="T64" i="80"/>
  <c r="O64" i="80"/>
  <c r="E64" i="80"/>
  <c r="ED63" i="80"/>
  <c r="EE63" i="80" s="1"/>
  <c r="DU63" i="80"/>
  <c r="DP63" i="80"/>
  <c r="DK63" i="80"/>
  <c r="DF63" i="80"/>
  <c r="DA63" i="80"/>
  <c r="CV63" i="80"/>
  <c r="CQ63" i="80"/>
  <c r="CL63" i="80"/>
  <c r="CG63" i="80"/>
  <c r="CB63" i="80"/>
  <c r="BW63" i="80"/>
  <c r="BR63" i="80"/>
  <c r="BL63" i="80"/>
  <c r="DY63" i="80" s="1"/>
  <c r="BK63" i="80"/>
  <c r="DX63" i="80" s="1"/>
  <c r="BG63" i="80"/>
  <c r="BF63" i="80"/>
  <c r="BH63" i="80" s="1"/>
  <c r="BC63" i="80"/>
  <c r="AX63" i="80"/>
  <c r="AS63" i="80"/>
  <c r="AN63" i="80"/>
  <c r="AI63" i="80"/>
  <c r="AD63" i="80"/>
  <c r="Y63" i="80"/>
  <c r="T63" i="80"/>
  <c r="O63" i="80"/>
  <c r="E63" i="80"/>
  <c r="ED62" i="80"/>
  <c r="EE62" i="80" s="1"/>
  <c r="DU62" i="80"/>
  <c r="DP62" i="80"/>
  <c r="DK62" i="80"/>
  <c r="DF62" i="80"/>
  <c r="DA62" i="80"/>
  <c r="CV62" i="80"/>
  <c r="CQ62" i="80"/>
  <c r="CL62" i="80"/>
  <c r="CG62" i="80"/>
  <c r="CB62" i="80"/>
  <c r="BW62" i="80"/>
  <c r="BR62" i="80"/>
  <c r="BL62" i="80"/>
  <c r="DY62" i="80" s="1"/>
  <c r="BK62" i="80"/>
  <c r="BG62" i="80"/>
  <c r="BF62" i="80"/>
  <c r="BH62" i="80" s="1"/>
  <c r="BC62" i="80"/>
  <c r="AX62" i="80"/>
  <c r="AS62" i="80"/>
  <c r="AN62" i="80"/>
  <c r="AI62" i="80"/>
  <c r="AD62" i="80"/>
  <c r="Y62" i="80"/>
  <c r="T62" i="80"/>
  <c r="O62" i="80"/>
  <c r="E62" i="80"/>
  <c r="ED61" i="80"/>
  <c r="EE61" i="80" s="1"/>
  <c r="DX61" i="80"/>
  <c r="DU61" i="80"/>
  <c r="DP61" i="80"/>
  <c r="DK61" i="80"/>
  <c r="DF61" i="80"/>
  <c r="DA61" i="80"/>
  <c r="CV61" i="80"/>
  <c r="CQ61" i="80"/>
  <c r="CL61" i="80"/>
  <c r="CG61" i="80"/>
  <c r="CB61" i="80"/>
  <c r="BW61" i="80"/>
  <c r="BR61" i="80"/>
  <c r="BL61" i="80"/>
  <c r="BK61" i="80"/>
  <c r="BG61" i="80"/>
  <c r="BF61" i="80"/>
  <c r="BH61" i="80" s="1"/>
  <c r="BC61" i="80"/>
  <c r="AX61" i="80"/>
  <c r="AS61" i="80"/>
  <c r="AN61" i="80"/>
  <c r="AI61" i="80"/>
  <c r="AD61" i="80"/>
  <c r="Y61" i="80"/>
  <c r="T61" i="80"/>
  <c r="O61" i="80"/>
  <c r="E61" i="80"/>
  <c r="ED60" i="80"/>
  <c r="EE60" i="80" s="1"/>
  <c r="DU60" i="80"/>
  <c r="DP60" i="80"/>
  <c r="DK60" i="80"/>
  <c r="DF60" i="80"/>
  <c r="DA60" i="80"/>
  <c r="CV60" i="80"/>
  <c r="CQ60" i="80"/>
  <c r="CL60" i="80"/>
  <c r="CG60" i="80"/>
  <c r="CB60" i="80"/>
  <c r="BW60" i="80"/>
  <c r="BR60" i="80"/>
  <c r="BL60" i="80"/>
  <c r="DY60" i="80" s="1"/>
  <c r="BK60" i="80"/>
  <c r="BM60" i="80" s="1"/>
  <c r="BG60" i="80"/>
  <c r="BF60" i="80"/>
  <c r="BH60" i="80" s="1"/>
  <c r="BC60" i="80"/>
  <c r="AX60" i="80"/>
  <c r="AS60" i="80"/>
  <c r="AN60" i="80"/>
  <c r="AI60" i="80"/>
  <c r="AD60" i="80"/>
  <c r="Y60" i="80"/>
  <c r="T60" i="80"/>
  <c r="O60" i="80"/>
  <c r="E60" i="80"/>
  <c r="ED59" i="80"/>
  <c r="EE59" i="80" s="1"/>
  <c r="DU59" i="80"/>
  <c r="DP59" i="80"/>
  <c r="DK59" i="80"/>
  <c r="DF59" i="80"/>
  <c r="DA59" i="80"/>
  <c r="CV59" i="80"/>
  <c r="CQ59" i="80"/>
  <c r="CL59" i="80"/>
  <c r="CG59" i="80"/>
  <c r="CB59" i="80"/>
  <c r="BW59" i="80"/>
  <c r="BR59" i="80"/>
  <c r="BL59" i="80"/>
  <c r="DY59" i="80" s="1"/>
  <c r="BK59" i="80"/>
  <c r="BH59" i="80"/>
  <c r="BG59" i="80"/>
  <c r="BF59" i="80"/>
  <c r="BC59" i="80"/>
  <c r="AX59" i="80"/>
  <c r="AS59" i="80"/>
  <c r="AN59" i="80"/>
  <c r="AI59" i="80"/>
  <c r="AD59" i="80"/>
  <c r="Y59" i="80"/>
  <c r="T59" i="80"/>
  <c r="O59" i="80"/>
  <c r="E59" i="80"/>
  <c r="ED58" i="80"/>
  <c r="EE58" i="80" s="1"/>
  <c r="DU58" i="80"/>
  <c r="DP58" i="80"/>
  <c r="DK58" i="80"/>
  <c r="DF58" i="80"/>
  <c r="DA58" i="80"/>
  <c r="CV58" i="80"/>
  <c r="CQ58" i="80"/>
  <c r="CL58" i="80"/>
  <c r="CG58" i="80"/>
  <c r="CB58" i="80"/>
  <c r="BW58" i="80"/>
  <c r="BR58" i="80"/>
  <c r="BL58" i="80"/>
  <c r="BK58" i="80"/>
  <c r="DX58" i="80" s="1"/>
  <c r="BG58" i="80"/>
  <c r="BF58" i="80"/>
  <c r="BH58" i="80" s="1"/>
  <c r="BC58" i="80"/>
  <c r="AX58" i="80"/>
  <c r="AS58" i="80"/>
  <c r="AN58" i="80"/>
  <c r="AI58" i="80"/>
  <c r="AD58" i="80"/>
  <c r="Y58" i="80"/>
  <c r="T58" i="80"/>
  <c r="O58" i="80"/>
  <c r="E58" i="80"/>
  <c r="ED57" i="80"/>
  <c r="EE57" i="80" s="1"/>
  <c r="DU57" i="80"/>
  <c r="DP57" i="80"/>
  <c r="DK57" i="80"/>
  <c r="DF57" i="80"/>
  <c r="DA57" i="80"/>
  <c r="CV57" i="80"/>
  <c r="CQ57" i="80"/>
  <c r="CL57" i="80"/>
  <c r="CG57" i="80"/>
  <c r="CB57" i="80"/>
  <c r="BW57" i="80"/>
  <c r="BR57" i="80"/>
  <c r="BL57" i="80"/>
  <c r="DY57" i="80" s="1"/>
  <c r="BK57" i="80"/>
  <c r="BM57" i="80" s="1"/>
  <c r="BG57" i="80"/>
  <c r="BF57" i="80"/>
  <c r="BC57" i="80"/>
  <c r="AX57" i="80"/>
  <c r="AS57" i="80"/>
  <c r="AN57" i="80"/>
  <c r="AI57" i="80"/>
  <c r="AD57" i="80"/>
  <c r="Y57" i="80"/>
  <c r="T57" i="80"/>
  <c r="O57" i="80"/>
  <c r="E57" i="80"/>
  <c r="ED56" i="80"/>
  <c r="EE56" i="80" s="1"/>
  <c r="DU56" i="80"/>
  <c r="DP56" i="80"/>
  <c r="DK56" i="80"/>
  <c r="DF56" i="80"/>
  <c r="DA56" i="80"/>
  <c r="CV56" i="80"/>
  <c r="CQ56" i="80"/>
  <c r="CL56" i="80"/>
  <c r="CG56" i="80"/>
  <c r="CB56" i="80"/>
  <c r="BW56" i="80"/>
  <c r="BR56" i="80"/>
  <c r="BL56" i="80"/>
  <c r="DY56" i="80" s="1"/>
  <c r="BK56" i="80"/>
  <c r="BG56" i="80"/>
  <c r="BH56" i="80" s="1"/>
  <c r="BF56" i="80"/>
  <c r="BC56" i="80"/>
  <c r="AX56" i="80"/>
  <c r="AS56" i="80"/>
  <c r="AN56" i="80"/>
  <c r="AI56" i="80"/>
  <c r="AD56" i="80"/>
  <c r="Y56" i="80"/>
  <c r="T56" i="80"/>
  <c r="O56" i="80"/>
  <c r="E56" i="80"/>
  <c r="ED55" i="80"/>
  <c r="EE55" i="80" s="1"/>
  <c r="DU55" i="80"/>
  <c r="DP55" i="80"/>
  <c r="DK55" i="80"/>
  <c r="DF55" i="80"/>
  <c r="DA55" i="80"/>
  <c r="CV55" i="80"/>
  <c r="CQ55" i="80"/>
  <c r="CL55" i="80"/>
  <c r="CG55" i="80"/>
  <c r="CB55" i="80"/>
  <c r="BW55" i="80"/>
  <c r="BR55" i="80"/>
  <c r="BL55" i="80"/>
  <c r="BK55" i="80"/>
  <c r="DX55" i="80" s="1"/>
  <c r="BG55" i="80"/>
  <c r="BF55" i="80"/>
  <c r="BC55" i="80"/>
  <c r="AX55" i="80"/>
  <c r="AS55" i="80"/>
  <c r="AN55" i="80"/>
  <c r="AI55" i="80"/>
  <c r="AD55" i="80"/>
  <c r="Y55" i="80"/>
  <c r="T55" i="80"/>
  <c r="O55" i="80"/>
  <c r="O54" i="80" s="1"/>
  <c r="E55" i="80"/>
  <c r="DT54" i="80"/>
  <c r="DS54" i="80"/>
  <c r="DO54" i="80"/>
  <c r="DN54" i="80"/>
  <c r="DJ54" i="80"/>
  <c r="DI54" i="80"/>
  <c r="DE54" i="80"/>
  <c r="DD54" i="80"/>
  <c r="DA54" i="80"/>
  <c r="CZ54" i="80"/>
  <c r="CY54" i="80"/>
  <c r="CU54" i="80"/>
  <c r="CT54" i="80"/>
  <c r="CP54" i="80"/>
  <c r="CO54" i="80"/>
  <c r="CK54" i="80"/>
  <c r="CJ54" i="80"/>
  <c r="CF54" i="80"/>
  <c r="CE54" i="80"/>
  <c r="CA54" i="80"/>
  <c r="BZ54" i="80"/>
  <c r="BV54" i="80"/>
  <c r="BU54" i="80"/>
  <c r="BQ54" i="80"/>
  <c r="BP54" i="80"/>
  <c r="BB54" i="80"/>
  <c r="BA54" i="80"/>
  <c r="AW54" i="80"/>
  <c r="AV54" i="80"/>
  <c r="AR54" i="80"/>
  <c r="AQ54" i="80"/>
  <c r="AM54" i="80"/>
  <c r="AL54" i="80"/>
  <c r="AH54" i="80"/>
  <c r="AG54" i="80"/>
  <c r="AC54" i="80"/>
  <c r="AB54" i="80"/>
  <c r="X54" i="80"/>
  <c r="W54" i="80"/>
  <c r="S54" i="80"/>
  <c r="R54" i="80"/>
  <c r="N54" i="80"/>
  <c r="M54" i="80"/>
  <c r="E54" i="80"/>
  <c r="D54" i="80"/>
  <c r="C54" i="80"/>
  <c r="DY53" i="80"/>
  <c r="DX53" i="80"/>
  <c r="ED52" i="80"/>
  <c r="EE52" i="80" s="1"/>
  <c r="DU52" i="80"/>
  <c r="DP52" i="80"/>
  <c r="DK52" i="80"/>
  <c r="DF52" i="80"/>
  <c r="DA52" i="80"/>
  <c r="CV52" i="80"/>
  <c r="CQ52" i="80"/>
  <c r="CL52" i="80"/>
  <c r="CG52" i="80"/>
  <c r="CB52" i="80"/>
  <c r="BW52" i="80"/>
  <c r="BR52" i="80"/>
  <c r="BL52" i="80"/>
  <c r="DY52" i="80" s="1"/>
  <c r="BK52" i="80"/>
  <c r="DX52" i="80" s="1"/>
  <c r="BG52" i="80"/>
  <c r="BF52" i="80"/>
  <c r="BC52" i="80"/>
  <c r="AX52" i="80"/>
  <c r="AS52" i="80"/>
  <c r="AN52" i="80"/>
  <c r="AI52" i="80"/>
  <c r="AD52" i="80"/>
  <c r="Y52" i="80"/>
  <c r="T52" i="80"/>
  <c r="O52" i="80"/>
  <c r="E52" i="80"/>
  <c r="ED51" i="80"/>
  <c r="EE51" i="80" s="1"/>
  <c r="DU51" i="80"/>
  <c r="DU50" i="80" s="1"/>
  <c r="DP51" i="80"/>
  <c r="DK51" i="80"/>
  <c r="DK50" i="80" s="1"/>
  <c r="DF51" i="80"/>
  <c r="DA51" i="80"/>
  <c r="CV51" i="80"/>
  <c r="CV50" i="80" s="1"/>
  <c r="CQ51" i="80"/>
  <c r="CQ50" i="80" s="1"/>
  <c r="CL51" i="80"/>
  <c r="CG51" i="80"/>
  <c r="CB51" i="80"/>
  <c r="BW51" i="80"/>
  <c r="BW50" i="80" s="1"/>
  <c r="BR51" i="80"/>
  <c r="BL51" i="80"/>
  <c r="DY51" i="80" s="1"/>
  <c r="BK51" i="80"/>
  <c r="BH51" i="80"/>
  <c r="BG51" i="80"/>
  <c r="BF51" i="80"/>
  <c r="BC51" i="80"/>
  <c r="AX51" i="80"/>
  <c r="AX50" i="80" s="1"/>
  <c r="AS51" i="80"/>
  <c r="AN51" i="80"/>
  <c r="AI51" i="80"/>
  <c r="AI50" i="80" s="1"/>
  <c r="AD51" i="80"/>
  <c r="Y51" i="80"/>
  <c r="T51" i="80"/>
  <c r="O51" i="80"/>
  <c r="O50" i="80" s="1"/>
  <c r="E51" i="80"/>
  <c r="DT50" i="80"/>
  <c r="DS50" i="80"/>
  <c r="DO50" i="80"/>
  <c r="DN50" i="80"/>
  <c r="DJ50" i="80"/>
  <c r="DI50" i="80"/>
  <c r="DE50" i="80"/>
  <c r="DD50" i="80"/>
  <c r="CZ50" i="80"/>
  <c r="CY50" i="80"/>
  <c r="CU50" i="80"/>
  <c r="CT50" i="80"/>
  <c r="CP50" i="80"/>
  <c r="CO50" i="80"/>
  <c r="CK50" i="80"/>
  <c r="CJ50" i="80"/>
  <c r="CG50" i="80"/>
  <c r="CF50" i="80"/>
  <c r="CE50" i="80"/>
  <c r="CA50" i="80"/>
  <c r="BZ50" i="80"/>
  <c r="BV50" i="80"/>
  <c r="BU50" i="80"/>
  <c r="BQ50" i="80"/>
  <c r="BP50" i="80"/>
  <c r="BL50" i="80"/>
  <c r="BC50" i="80"/>
  <c r="BB50" i="80"/>
  <c r="BA50" i="80"/>
  <c r="AW50" i="80"/>
  <c r="AV50" i="80"/>
  <c r="AR50" i="80"/>
  <c r="AQ50" i="80"/>
  <c r="AN50" i="80"/>
  <c r="AM50" i="80"/>
  <c r="AL50" i="80"/>
  <c r="AH50" i="80"/>
  <c r="AG50" i="80"/>
  <c r="AC50" i="80"/>
  <c r="AB50" i="80"/>
  <c r="X50" i="80"/>
  <c r="W50" i="80"/>
  <c r="T50" i="80"/>
  <c r="S50" i="80"/>
  <c r="R50" i="80"/>
  <c r="N50" i="80"/>
  <c r="M50" i="80"/>
  <c r="E50" i="80"/>
  <c r="D50" i="80"/>
  <c r="C50" i="80"/>
  <c r="DY49" i="80"/>
  <c r="DX49" i="80"/>
  <c r="ED48" i="80"/>
  <c r="EE48" i="80" s="1"/>
  <c r="DU48" i="80"/>
  <c r="DP48" i="80"/>
  <c r="DK48" i="80"/>
  <c r="DF48" i="80"/>
  <c r="DA48" i="80"/>
  <c r="CV48" i="80"/>
  <c r="CQ48" i="80"/>
  <c r="CL48" i="80"/>
  <c r="CG48" i="80"/>
  <c r="CB48" i="80"/>
  <c r="BW48" i="80"/>
  <c r="BR48" i="80"/>
  <c r="BL48" i="80"/>
  <c r="DY48" i="80" s="1"/>
  <c r="BK48" i="80"/>
  <c r="BG48" i="80"/>
  <c r="BF48" i="80"/>
  <c r="BC48" i="80"/>
  <c r="AX48" i="80"/>
  <c r="AS48" i="80"/>
  <c r="AN48" i="80"/>
  <c r="AI48" i="80"/>
  <c r="AD48" i="80"/>
  <c r="Y48" i="80"/>
  <c r="T48" i="80"/>
  <c r="O48" i="80"/>
  <c r="E48" i="80"/>
  <c r="ED47" i="80"/>
  <c r="EE47" i="80" s="1"/>
  <c r="DU47" i="80"/>
  <c r="DP47" i="80"/>
  <c r="DK47" i="80"/>
  <c r="DF47" i="80"/>
  <c r="DA47" i="80"/>
  <c r="CV47" i="80"/>
  <c r="CQ47" i="80"/>
  <c r="CL47" i="80"/>
  <c r="CG47" i="80"/>
  <c r="CB47" i="80"/>
  <c r="BW47" i="80"/>
  <c r="BR47" i="80"/>
  <c r="BL47" i="80"/>
  <c r="DY47" i="80" s="1"/>
  <c r="BK47" i="80"/>
  <c r="DX47" i="80" s="1"/>
  <c r="BG47" i="80"/>
  <c r="BF47" i="80"/>
  <c r="BC47" i="80"/>
  <c r="AX47" i="80"/>
  <c r="AS47" i="80"/>
  <c r="AN47" i="80"/>
  <c r="AI47" i="80"/>
  <c r="AD47" i="80"/>
  <c r="Y47" i="80"/>
  <c r="T47" i="80"/>
  <c r="O47" i="80"/>
  <c r="E47" i="80"/>
  <c r="ED46" i="80"/>
  <c r="EE46" i="80" s="1"/>
  <c r="DU46" i="80"/>
  <c r="DP46" i="80"/>
  <c r="DK46" i="80"/>
  <c r="DF46" i="80"/>
  <c r="DA46" i="80"/>
  <c r="CV46" i="80"/>
  <c r="CQ46" i="80"/>
  <c r="CL46" i="80"/>
  <c r="CG46" i="80"/>
  <c r="CB46" i="80"/>
  <c r="BW46" i="80"/>
  <c r="BR46" i="80"/>
  <c r="BL46" i="80"/>
  <c r="DY46" i="80" s="1"/>
  <c r="BK46" i="80"/>
  <c r="BG46" i="80"/>
  <c r="BF46" i="80"/>
  <c r="BC46" i="80"/>
  <c r="AX46" i="80"/>
  <c r="AS46" i="80"/>
  <c r="AN46" i="80"/>
  <c r="AI46" i="80"/>
  <c r="AD46" i="80"/>
  <c r="Y46" i="80"/>
  <c r="T46" i="80"/>
  <c r="O46" i="80"/>
  <c r="E46" i="80"/>
  <c r="ED45" i="80"/>
  <c r="EE45" i="80" s="1"/>
  <c r="DU45" i="80"/>
  <c r="DP45" i="80"/>
  <c r="DK45" i="80"/>
  <c r="DF45" i="80"/>
  <c r="DA45" i="80"/>
  <c r="CV45" i="80"/>
  <c r="CQ45" i="80"/>
  <c r="CL45" i="80"/>
  <c r="CG45" i="80"/>
  <c r="CB45" i="80"/>
  <c r="BW45" i="80"/>
  <c r="BR45" i="80"/>
  <c r="BL45" i="80"/>
  <c r="DY45" i="80" s="1"/>
  <c r="BK45" i="80"/>
  <c r="BG45" i="80"/>
  <c r="BF45" i="80"/>
  <c r="BC45" i="80"/>
  <c r="AX45" i="80"/>
  <c r="AS45" i="80"/>
  <c r="AN45" i="80"/>
  <c r="AI45" i="80"/>
  <c r="AD45" i="80"/>
  <c r="Y45" i="80"/>
  <c r="T45" i="80"/>
  <c r="O45" i="80"/>
  <c r="E45" i="80"/>
  <c r="ED44" i="80"/>
  <c r="EE44" i="80" s="1"/>
  <c r="DX44" i="80"/>
  <c r="DZ44" i="80" s="1"/>
  <c r="DU44" i="80"/>
  <c r="DP44" i="80"/>
  <c r="DK44" i="80"/>
  <c r="DF44" i="80"/>
  <c r="DA44" i="80"/>
  <c r="CV44" i="80"/>
  <c r="CQ44" i="80"/>
  <c r="CL44" i="80"/>
  <c r="CG44" i="80"/>
  <c r="CG41" i="80" s="1"/>
  <c r="CB44" i="80"/>
  <c r="BW44" i="80"/>
  <c r="BR44" i="80"/>
  <c r="BM44" i="80"/>
  <c r="BL44" i="80"/>
  <c r="DY44" i="80" s="1"/>
  <c r="BK44" i="80"/>
  <c r="BG44" i="80"/>
  <c r="BH44" i="80" s="1"/>
  <c r="BF44" i="80"/>
  <c r="BC44" i="80"/>
  <c r="AX44" i="80"/>
  <c r="AS44" i="80"/>
  <c r="AN44" i="80"/>
  <c r="AI44" i="80"/>
  <c r="AD44" i="80"/>
  <c r="Y44" i="80"/>
  <c r="T44" i="80"/>
  <c r="O44" i="80"/>
  <c r="E44" i="80"/>
  <c r="ED43" i="80"/>
  <c r="EE43" i="80" s="1"/>
  <c r="DU43" i="80"/>
  <c r="DP43" i="80"/>
  <c r="DK43" i="80"/>
  <c r="DF43" i="80"/>
  <c r="DA43" i="80"/>
  <c r="CV43" i="80"/>
  <c r="CQ43" i="80"/>
  <c r="CL43" i="80"/>
  <c r="CG43" i="80"/>
  <c r="CB43" i="80"/>
  <c r="BW43" i="80"/>
  <c r="BR43" i="80"/>
  <c r="BL43" i="80"/>
  <c r="DY43" i="80" s="1"/>
  <c r="BK43" i="80"/>
  <c r="BG43" i="80"/>
  <c r="BH43" i="80" s="1"/>
  <c r="BF43" i="80"/>
  <c r="BC43" i="80"/>
  <c r="AX43" i="80"/>
  <c r="AS43" i="80"/>
  <c r="AN43" i="80"/>
  <c r="AI43" i="80"/>
  <c r="AD43" i="80"/>
  <c r="Y43" i="80"/>
  <c r="T43" i="80"/>
  <c r="O43" i="80"/>
  <c r="E43" i="80"/>
  <c r="ED42" i="80"/>
  <c r="DU42" i="80"/>
  <c r="DP42" i="80"/>
  <c r="DK42" i="80"/>
  <c r="DF42" i="80"/>
  <c r="DF41" i="80" s="1"/>
  <c r="DA42" i="80"/>
  <c r="CV42" i="80"/>
  <c r="CQ42" i="80"/>
  <c r="CL42" i="80"/>
  <c r="CG42" i="80"/>
  <c r="CB42" i="80"/>
  <c r="BW42" i="80"/>
  <c r="BR42" i="80"/>
  <c r="BL42" i="80"/>
  <c r="BK42" i="80"/>
  <c r="DX42" i="80" s="1"/>
  <c r="BG42" i="80"/>
  <c r="BG41" i="80" s="1"/>
  <c r="BF42" i="80"/>
  <c r="BF41" i="80" s="1"/>
  <c r="BC42" i="80"/>
  <c r="BC41" i="80" s="1"/>
  <c r="AX42" i="80"/>
  <c r="AS42" i="80"/>
  <c r="AN42" i="80"/>
  <c r="AI42" i="80"/>
  <c r="AD42" i="80"/>
  <c r="Y42" i="80"/>
  <c r="T42" i="80"/>
  <c r="T41" i="80" s="1"/>
  <c r="O42" i="80"/>
  <c r="E42" i="80"/>
  <c r="DT41" i="80"/>
  <c r="DS41" i="80"/>
  <c r="DO41" i="80"/>
  <c r="DN41" i="80"/>
  <c r="DK41" i="80"/>
  <c r="DJ41" i="80"/>
  <c r="DI41" i="80"/>
  <c r="DE41" i="80"/>
  <c r="DD41" i="80"/>
  <c r="CZ41" i="80"/>
  <c r="CY41" i="80"/>
  <c r="CU41" i="80"/>
  <c r="CT41" i="80"/>
  <c r="CP41" i="80"/>
  <c r="CO41" i="80"/>
  <c r="CK41" i="80"/>
  <c r="CJ41" i="80"/>
  <c r="CF41" i="80"/>
  <c r="CE41" i="80"/>
  <c r="CA41" i="80"/>
  <c r="BZ41" i="80"/>
  <c r="BV41" i="80"/>
  <c r="BU41" i="80"/>
  <c r="BQ41" i="80"/>
  <c r="BP41" i="80"/>
  <c r="BB41" i="80"/>
  <c r="BA41" i="80"/>
  <c r="AX41" i="80"/>
  <c r="AW41" i="80"/>
  <c r="AV41" i="80"/>
  <c r="AR41" i="80"/>
  <c r="AQ41" i="80"/>
  <c r="AM41" i="80"/>
  <c r="AL41" i="80"/>
  <c r="AH41" i="80"/>
  <c r="AG41" i="80"/>
  <c r="AC41" i="80"/>
  <c r="AB41" i="80"/>
  <c r="X41" i="80"/>
  <c r="W41" i="80"/>
  <c r="S41" i="80"/>
  <c r="R41" i="80"/>
  <c r="N41" i="80"/>
  <c r="M41" i="80"/>
  <c r="D41" i="80"/>
  <c r="C41" i="80"/>
  <c r="DY37" i="80"/>
  <c r="DX37" i="80"/>
  <c r="BL37" i="80"/>
  <c r="BK37" i="80"/>
  <c r="DU36" i="80"/>
  <c r="DU35" i="80" s="1"/>
  <c r="DP36" i="80"/>
  <c r="DK36" i="80"/>
  <c r="DF36" i="80"/>
  <c r="DF35" i="80" s="1"/>
  <c r="DA36" i="80"/>
  <c r="CV36" i="80"/>
  <c r="CV35" i="80" s="1"/>
  <c r="CQ36" i="80"/>
  <c r="CL36" i="80"/>
  <c r="CG36" i="80"/>
  <c r="CG35" i="80" s="1"/>
  <c r="CB36" i="80"/>
  <c r="CB35" i="80" s="1"/>
  <c r="BW36" i="80"/>
  <c r="BR36" i="80"/>
  <c r="BR35" i="80" s="1"/>
  <c r="BL36" i="80"/>
  <c r="BK36" i="80"/>
  <c r="DX36" i="80" s="1"/>
  <c r="BG36" i="80"/>
  <c r="BG35" i="80" s="1"/>
  <c r="BF36" i="80"/>
  <c r="BF35" i="80" s="1"/>
  <c r="BC36" i="80"/>
  <c r="BC35" i="80" s="1"/>
  <c r="AX36" i="80"/>
  <c r="AS36" i="80"/>
  <c r="AS35" i="80" s="1"/>
  <c r="AN36" i="80"/>
  <c r="AN35" i="80" s="1"/>
  <c r="AI36" i="80"/>
  <c r="AD36" i="80"/>
  <c r="Y36" i="80"/>
  <c r="T36" i="80"/>
  <c r="T35" i="80" s="1"/>
  <c r="O36" i="80"/>
  <c r="E36" i="80"/>
  <c r="E35" i="80" s="1"/>
  <c r="ED35" i="80"/>
  <c r="DT35" i="80"/>
  <c r="DS35" i="80"/>
  <c r="DP35" i="80"/>
  <c r="DO35" i="80"/>
  <c r="DN35" i="80"/>
  <c r="DJ35" i="80"/>
  <c r="DI35" i="80"/>
  <c r="DE35" i="80"/>
  <c r="DD35" i="80"/>
  <c r="CZ35" i="80"/>
  <c r="CY35" i="80"/>
  <c r="CU35" i="80"/>
  <c r="CT35" i="80"/>
  <c r="CP35" i="80"/>
  <c r="CO35" i="80"/>
  <c r="CK35" i="80"/>
  <c r="CJ35" i="80"/>
  <c r="CF35" i="80"/>
  <c r="CE35" i="80"/>
  <c r="CA35" i="80"/>
  <c r="BZ35" i="80"/>
  <c r="BV35" i="80"/>
  <c r="BU35" i="80"/>
  <c r="BQ35" i="80"/>
  <c r="BP35" i="80"/>
  <c r="BK35" i="80"/>
  <c r="BB35" i="80"/>
  <c r="BA35" i="80"/>
  <c r="AW35" i="80"/>
  <c r="AV35" i="80"/>
  <c r="AR35" i="80"/>
  <c r="AQ35" i="80"/>
  <c r="AM35" i="80"/>
  <c r="AL35" i="80"/>
  <c r="AH35" i="80"/>
  <c r="AG35" i="80"/>
  <c r="AD35" i="80"/>
  <c r="AC35" i="80"/>
  <c r="AB35" i="80"/>
  <c r="Y35" i="80"/>
  <c r="X35" i="80"/>
  <c r="W35" i="80"/>
  <c r="S35" i="80"/>
  <c r="R35" i="80"/>
  <c r="N35" i="80"/>
  <c r="M35" i="80"/>
  <c r="D35" i="80"/>
  <c r="C35" i="80"/>
  <c r="EF33" i="80"/>
  <c r="DU33" i="80"/>
  <c r="DP33" i="80"/>
  <c r="DK33" i="80"/>
  <c r="DF33" i="80"/>
  <c r="DA33" i="80"/>
  <c r="CV33" i="80"/>
  <c r="CQ33" i="80"/>
  <c r="CL33" i="80"/>
  <c r="CG33" i="80"/>
  <c r="CB33" i="80"/>
  <c r="BW33" i="80"/>
  <c r="BR33" i="80"/>
  <c r="BL33" i="80"/>
  <c r="DY33" i="80" s="1"/>
  <c r="BK33" i="80"/>
  <c r="DX33" i="80" s="1"/>
  <c r="BG33" i="80"/>
  <c r="BF33" i="80"/>
  <c r="BC33" i="80"/>
  <c r="AX33" i="80"/>
  <c r="AS33" i="80"/>
  <c r="AN33" i="80"/>
  <c r="AI33" i="80"/>
  <c r="AD33" i="80"/>
  <c r="Y33" i="80"/>
  <c r="T33" i="80"/>
  <c r="O33" i="80"/>
  <c r="E33" i="80"/>
  <c r="DU32" i="80"/>
  <c r="DP32" i="80"/>
  <c r="DK32" i="80"/>
  <c r="DF32" i="80"/>
  <c r="DA32" i="80"/>
  <c r="CV32" i="80"/>
  <c r="CQ32" i="80"/>
  <c r="CL32" i="80"/>
  <c r="CG32" i="80"/>
  <c r="CB32" i="80"/>
  <c r="BW32" i="80"/>
  <c r="BR32" i="80"/>
  <c r="BL32" i="80"/>
  <c r="DY32" i="80" s="1"/>
  <c r="BK32" i="80"/>
  <c r="BG32" i="80"/>
  <c r="BF32" i="80"/>
  <c r="BC32" i="80"/>
  <c r="AX32" i="80"/>
  <c r="AS32" i="80"/>
  <c r="AN32" i="80"/>
  <c r="AI32" i="80"/>
  <c r="AD32" i="80"/>
  <c r="Y32" i="80"/>
  <c r="T32" i="80"/>
  <c r="O32" i="80"/>
  <c r="E32" i="80"/>
  <c r="DU31" i="80"/>
  <c r="DP31" i="80"/>
  <c r="DK31" i="80"/>
  <c r="DF31" i="80"/>
  <c r="DA31" i="80"/>
  <c r="CV31" i="80"/>
  <c r="CQ31" i="80"/>
  <c r="CL31" i="80"/>
  <c r="CG31" i="80"/>
  <c r="BZ31" i="80"/>
  <c r="BW31" i="80"/>
  <c r="BR31" i="80"/>
  <c r="BL31" i="80"/>
  <c r="BC31" i="80"/>
  <c r="AW31" i="80"/>
  <c r="AV31" i="80"/>
  <c r="AR31" i="80"/>
  <c r="AQ31" i="80"/>
  <c r="AN31" i="80"/>
  <c r="AI31" i="80"/>
  <c r="AD31" i="80"/>
  <c r="X31" i="80"/>
  <c r="Y31" i="80" s="1"/>
  <c r="Y8" i="80" s="1"/>
  <c r="T31" i="80"/>
  <c r="O31" i="80"/>
  <c r="E31" i="80"/>
  <c r="DU30" i="80"/>
  <c r="DP30" i="80"/>
  <c r="DK30" i="80"/>
  <c r="DF30" i="80"/>
  <c r="DA30" i="80"/>
  <c r="CV30" i="80"/>
  <c r="CQ30" i="80"/>
  <c r="CL30" i="80"/>
  <c r="CG30" i="80"/>
  <c r="CB30" i="80"/>
  <c r="BW30" i="80"/>
  <c r="BV30" i="80"/>
  <c r="AH30" i="157" s="1"/>
  <c r="BR30" i="80"/>
  <c r="BK30" i="80"/>
  <c r="BG30" i="80"/>
  <c r="BF30" i="80"/>
  <c r="BC30" i="80"/>
  <c r="AX30" i="80"/>
  <c r="AS30" i="80"/>
  <c r="AN30" i="80"/>
  <c r="AI30" i="80"/>
  <c r="AD30" i="80"/>
  <c r="Y30" i="80"/>
  <c r="T30" i="80"/>
  <c r="O30" i="80"/>
  <c r="E30" i="80"/>
  <c r="DU29" i="80"/>
  <c r="DP29" i="80"/>
  <c r="DK29" i="80"/>
  <c r="DF29" i="80"/>
  <c r="DA29" i="80"/>
  <c r="CV29" i="80"/>
  <c r="CQ29" i="80"/>
  <c r="CL29" i="80"/>
  <c r="CG29" i="80"/>
  <c r="CB29" i="80"/>
  <c r="BW29" i="80"/>
  <c r="BR29" i="80"/>
  <c r="BL29" i="80"/>
  <c r="BM29" i="80" s="1"/>
  <c r="BK29" i="80"/>
  <c r="DX29" i="80" s="1"/>
  <c r="BG29" i="80"/>
  <c r="BF29" i="80"/>
  <c r="BH29" i="80" s="1"/>
  <c r="BC29" i="80"/>
  <c r="AX29" i="80"/>
  <c r="AS29" i="80"/>
  <c r="AN29" i="80"/>
  <c r="AI29" i="80"/>
  <c r="AD29" i="80"/>
  <c r="Y29" i="80"/>
  <c r="T29" i="80"/>
  <c r="N29" i="80"/>
  <c r="O29" i="80" s="1"/>
  <c r="E29" i="80"/>
  <c r="DU28" i="80"/>
  <c r="DP28" i="80"/>
  <c r="DK28" i="80"/>
  <c r="DF28" i="80"/>
  <c r="DA28" i="80"/>
  <c r="CV28" i="80"/>
  <c r="CQ28" i="80"/>
  <c r="CL28" i="80"/>
  <c r="CG28" i="80"/>
  <c r="CB28" i="80"/>
  <c r="BW28" i="80"/>
  <c r="BR28" i="80"/>
  <c r="BL28" i="80"/>
  <c r="BK28" i="80"/>
  <c r="BF28" i="80"/>
  <c r="BB28" i="80"/>
  <c r="AX28" i="80"/>
  <c r="AS28" i="80"/>
  <c r="AN28" i="80"/>
  <c r="AI28" i="80"/>
  <c r="AD28" i="80"/>
  <c r="Y28" i="80"/>
  <c r="T28" i="80"/>
  <c r="O28" i="80"/>
  <c r="E28" i="80"/>
  <c r="DU27" i="80"/>
  <c r="DP27" i="80"/>
  <c r="DK27" i="80"/>
  <c r="DF27" i="80"/>
  <c r="DA27" i="80"/>
  <c r="CV27" i="80"/>
  <c r="CQ27" i="80"/>
  <c r="CL27" i="80"/>
  <c r="CG27" i="80"/>
  <c r="CB27" i="80"/>
  <c r="BW27" i="80"/>
  <c r="BR27" i="80"/>
  <c r="BL27" i="80"/>
  <c r="DY27" i="80" s="1"/>
  <c r="BK27" i="80"/>
  <c r="BG27" i="80"/>
  <c r="BF27" i="80"/>
  <c r="BC27" i="80"/>
  <c r="AX27" i="80"/>
  <c r="AS27" i="80"/>
  <c r="AN27" i="80"/>
  <c r="AI27" i="80"/>
  <c r="AD27" i="80"/>
  <c r="Y27" i="80"/>
  <c r="T27" i="80"/>
  <c r="O27" i="80"/>
  <c r="E27" i="80"/>
  <c r="DX26" i="80"/>
  <c r="DU26" i="80"/>
  <c r="DP26" i="80"/>
  <c r="DK26" i="80"/>
  <c r="DF26" i="80"/>
  <c r="DA26" i="80"/>
  <c r="CV26" i="80"/>
  <c r="CQ26" i="80"/>
  <c r="CL26" i="80"/>
  <c r="CG26" i="80"/>
  <c r="CB26" i="80"/>
  <c r="BW26" i="80"/>
  <c r="BR26" i="80"/>
  <c r="BL26" i="80"/>
  <c r="DY26" i="80" s="1"/>
  <c r="BK26" i="80"/>
  <c r="BG26" i="80"/>
  <c r="BF26" i="80"/>
  <c r="BC26" i="80"/>
  <c r="AX26" i="80"/>
  <c r="AS26" i="80"/>
  <c r="AN26" i="80"/>
  <c r="AI26" i="80"/>
  <c r="AD26" i="80"/>
  <c r="Y26" i="80"/>
  <c r="T26" i="80"/>
  <c r="O26" i="80"/>
  <c r="E26" i="80"/>
  <c r="DU25" i="80"/>
  <c r="DP25" i="80"/>
  <c r="DK25" i="80"/>
  <c r="DF25" i="80"/>
  <c r="DA25" i="80"/>
  <c r="CV25" i="80"/>
  <c r="CQ25" i="80"/>
  <c r="CL25" i="80"/>
  <c r="CG25" i="80"/>
  <c r="BZ25" i="80"/>
  <c r="BL25" i="80"/>
  <c r="DY25" i="80" s="1"/>
  <c r="BG25" i="80"/>
  <c r="BF25" i="80"/>
  <c r="BH25" i="80" s="1"/>
  <c r="BC25" i="80"/>
  <c r="AX25" i="80"/>
  <c r="AS25" i="80"/>
  <c r="AL25" i="80"/>
  <c r="AN25" i="80" s="1"/>
  <c r="AI25" i="80"/>
  <c r="AD25" i="80"/>
  <c r="Y25" i="80"/>
  <c r="T25" i="80"/>
  <c r="O25" i="80"/>
  <c r="E25" i="80"/>
  <c r="DU24" i="80"/>
  <c r="DP24" i="80"/>
  <c r="DK24" i="80"/>
  <c r="DF24" i="80"/>
  <c r="DA24" i="80"/>
  <c r="CV24" i="80"/>
  <c r="CQ24" i="80"/>
  <c r="CL24" i="80"/>
  <c r="CG24" i="80"/>
  <c r="CB24" i="80"/>
  <c r="BW24" i="80"/>
  <c r="BR24" i="80"/>
  <c r="BL24" i="80"/>
  <c r="DY24" i="80" s="1"/>
  <c r="BK24" i="80"/>
  <c r="BG24" i="80"/>
  <c r="BF24" i="80"/>
  <c r="BC24" i="80"/>
  <c r="AX24" i="80"/>
  <c r="AS24" i="80"/>
  <c r="AN24" i="80"/>
  <c r="AI24" i="80"/>
  <c r="AD24" i="80"/>
  <c r="Y24" i="80"/>
  <c r="T24" i="80"/>
  <c r="O24" i="80"/>
  <c r="E24" i="80"/>
  <c r="DU23" i="80"/>
  <c r="DP23" i="80"/>
  <c r="DK23" i="80"/>
  <c r="DF23" i="80"/>
  <c r="DA23" i="80"/>
  <c r="CV23" i="80"/>
  <c r="CQ23" i="80"/>
  <c r="CL23" i="80"/>
  <c r="CG23" i="80"/>
  <c r="CB23" i="80"/>
  <c r="BW23" i="80"/>
  <c r="BR23" i="80"/>
  <c r="BL23" i="80"/>
  <c r="DY23" i="80" s="1"/>
  <c r="BK23" i="80"/>
  <c r="BG23" i="80"/>
  <c r="BF23" i="80"/>
  <c r="BH23" i="80" s="1"/>
  <c r="BC23" i="80"/>
  <c r="AX23" i="80"/>
  <c r="AS23" i="80"/>
  <c r="DY22" i="80"/>
  <c r="DU22" i="80"/>
  <c r="DP22" i="80"/>
  <c r="DK22" i="80"/>
  <c r="DF22" i="80"/>
  <c r="DA22" i="80"/>
  <c r="CV22" i="80"/>
  <c r="CQ22" i="80"/>
  <c r="CL22" i="80"/>
  <c r="CG22" i="80"/>
  <c r="CB22" i="80"/>
  <c r="BW22" i="80"/>
  <c r="BR22" i="80"/>
  <c r="BL22" i="80"/>
  <c r="BK22" i="80"/>
  <c r="BM22" i="80" s="1"/>
  <c r="BG22" i="80"/>
  <c r="BF22" i="80"/>
  <c r="BC22" i="80"/>
  <c r="AX22" i="80"/>
  <c r="AS22" i="80"/>
  <c r="DU21" i="80"/>
  <c r="DP21" i="80"/>
  <c r="DK21" i="80"/>
  <c r="DF21" i="80"/>
  <c r="DA21" i="80"/>
  <c r="CV21" i="80"/>
  <c r="CQ21" i="80"/>
  <c r="CL21" i="80"/>
  <c r="CG21" i="80"/>
  <c r="CB21" i="80"/>
  <c r="BW21" i="80"/>
  <c r="BR21" i="80"/>
  <c r="BL21" i="80"/>
  <c r="DY21" i="80" s="1"/>
  <c r="BK21" i="80"/>
  <c r="DX21" i="80" s="1"/>
  <c r="BG21" i="80"/>
  <c r="BF21" i="80"/>
  <c r="BC21" i="80"/>
  <c r="AX21" i="80"/>
  <c r="AS21" i="80"/>
  <c r="AN21" i="80"/>
  <c r="AI21" i="80"/>
  <c r="AD21" i="80"/>
  <c r="W21" i="80"/>
  <c r="Y21" i="80" s="1"/>
  <c r="T21" i="80"/>
  <c r="O21" i="80"/>
  <c r="E21" i="80"/>
  <c r="DU20" i="80"/>
  <c r="DP20" i="80"/>
  <c r="DK20" i="80"/>
  <c r="DF20" i="80"/>
  <c r="DA20" i="80"/>
  <c r="CV20" i="80"/>
  <c r="CQ20" i="80"/>
  <c r="CL20" i="80"/>
  <c r="CG20" i="80"/>
  <c r="CB20" i="80"/>
  <c r="BW20" i="80"/>
  <c r="BR20" i="80"/>
  <c r="BL20" i="80"/>
  <c r="DY20" i="80" s="1"/>
  <c r="BK20" i="80"/>
  <c r="BG20" i="80"/>
  <c r="BF20" i="80"/>
  <c r="BC20" i="80"/>
  <c r="AX20" i="80"/>
  <c r="AS20" i="80"/>
  <c r="AN20" i="80"/>
  <c r="AI20" i="80"/>
  <c r="AD20" i="80"/>
  <c r="Y20" i="80"/>
  <c r="T20" i="80"/>
  <c r="O20" i="80"/>
  <c r="E20" i="80"/>
  <c r="DU19" i="80"/>
  <c r="DP19" i="80"/>
  <c r="DK19" i="80"/>
  <c r="DF19" i="80"/>
  <c r="DA19" i="80"/>
  <c r="CV19" i="80"/>
  <c r="CQ19" i="80"/>
  <c r="CL19" i="80"/>
  <c r="CG19" i="80"/>
  <c r="CB19" i="80"/>
  <c r="BW19" i="80"/>
  <c r="BR19" i="80"/>
  <c r="BL19" i="80"/>
  <c r="DY19" i="80" s="1"/>
  <c r="BK19" i="80"/>
  <c r="DX19" i="80" s="1"/>
  <c r="BG19" i="80"/>
  <c r="BF19" i="80"/>
  <c r="BC19" i="80"/>
  <c r="AX19" i="80"/>
  <c r="AS19" i="80"/>
  <c r="AN19" i="80"/>
  <c r="AI19" i="80"/>
  <c r="AD19" i="80"/>
  <c r="Y19" i="80"/>
  <c r="T19" i="80"/>
  <c r="O19" i="80"/>
  <c r="E19" i="80"/>
  <c r="DY18" i="80"/>
  <c r="DU18" i="80"/>
  <c r="DP18" i="80"/>
  <c r="DK18" i="80"/>
  <c r="DF18" i="80"/>
  <c r="DA18" i="80"/>
  <c r="CV18" i="80"/>
  <c r="CQ18" i="80"/>
  <c r="CL18" i="80"/>
  <c r="CG18" i="80"/>
  <c r="CB18" i="80"/>
  <c r="BW18" i="80"/>
  <c r="BR18" i="80"/>
  <c r="BL18" i="80"/>
  <c r="BK18" i="80"/>
  <c r="BM18" i="80" s="1"/>
  <c r="BG18" i="80"/>
  <c r="BF18" i="80"/>
  <c r="BC18" i="80"/>
  <c r="AX18" i="80"/>
  <c r="AS18" i="80"/>
  <c r="AN18" i="80"/>
  <c r="AI18" i="80"/>
  <c r="AD18" i="80"/>
  <c r="Y18" i="80"/>
  <c r="T18" i="80"/>
  <c r="O18" i="80"/>
  <c r="E18" i="80"/>
  <c r="DU17" i="80"/>
  <c r="DP17" i="80"/>
  <c r="DK17" i="80"/>
  <c r="DF17" i="80"/>
  <c r="DA17" i="80"/>
  <c r="CV17" i="80"/>
  <c r="CQ17" i="80"/>
  <c r="CL17" i="80"/>
  <c r="CG17" i="80"/>
  <c r="CB17" i="80"/>
  <c r="BW17" i="80"/>
  <c r="BR17" i="80"/>
  <c r="BL17" i="80"/>
  <c r="DY17" i="80" s="1"/>
  <c r="BK17" i="80"/>
  <c r="BG17" i="80"/>
  <c r="BF17" i="80"/>
  <c r="BC17" i="80"/>
  <c r="AX17" i="80"/>
  <c r="AS17" i="80"/>
  <c r="AN17" i="80"/>
  <c r="AI17" i="80"/>
  <c r="AD17" i="80"/>
  <c r="Y17" i="80"/>
  <c r="T17" i="80"/>
  <c r="O17" i="80"/>
  <c r="E17" i="80"/>
  <c r="DU16" i="80"/>
  <c r="DP16" i="80"/>
  <c r="DK16" i="80"/>
  <c r="DF16" i="80"/>
  <c r="DA16" i="80"/>
  <c r="CV16" i="80"/>
  <c r="CQ16" i="80"/>
  <c r="CL16" i="80"/>
  <c r="CG16" i="80"/>
  <c r="CB16" i="80"/>
  <c r="BW16" i="80"/>
  <c r="BR16" i="80"/>
  <c r="BL16" i="80"/>
  <c r="BK16" i="80"/>
  <c r="DX16" i="80" s="1"/>
  <c r="BG16" i="80"/>
  <c r="BF16" i="80"/>
  <c r="BC16" i="80"/>
  <c r="AX16" i="80"/>
  <c r="AS16" i="80"/>
  <c r="AN16" i="80"/>
  <c r="AI16" i="80"/>
  <c r="AD16" i="80"/>
  <c r="Y16" i="80"/>
  <c r="T16" i="80"/>
  <c r="O16" i="80"/>
  <c r="E16" i="80"/>
  <c r="DU15" i="80"/>
  <c r="DP15" i="80"/>
  <c r="DK15" i="80"/>
  <c r="DF15" i="80"/>
  <c r="DA15" i="80"/>
  <c r="CV15" i="80"/>
  <c r="CQ15" i="80"/>
  <c r="CL15" i="80"/>
  <c r="CG15" i="80"/>
  <c r="CB15" i="80"/>
  <c r="BW15" i="80"/>
  <c r="BR15" i="80"/>
  <c r="BL15" i="80"/>
  <c r="DY15" i="80" s="1"/>
  <c r="BK15" i="80"/>
  <c r="BG15" i="80"/>
  <c r="BF15" i="80"/>
  <c r="BH15" i="80" s="1"/>
  <c r="BC15" i="80"/>
  <c r="AX15" i="80"/>
  <c r="AS15" i="80"/>
  <c r="AN15" i="80"/>
  <c r="AI15" i="80"/>
  <c r="AD15" i="80"/>
  <c r="Y15" i="80"/>
  <c r="T15" i="80"/>
  <c r="O15" i="80"/>
  <c r="E15" i="80"/>
  <c r="DU14" i="80"/>
  <c r="DP14" i="80"/>
  <c r="DK14" i="80"/>
  <c r="DF14" i="80"/>
  <c r="DA14" i="80"/>
  <c r="CV14" i="80"/>
  <c r="CQ14" i="80"/>
  <c r="CL14" i="80"/>
  <c r="CG14" i="80"/>
  <c r="CB14" i="80"/>
  <c r="BW14" i="80"/>
  <c r="BR14" i="80"/>
  <c r="BL14" i="80"/>
  <c r="DY14" i="80" s="1"/>
  <c r="BK14" i="80"/>
  <c r="DX14" i="80" s="1"/>
  <c r="DZ14" i="80" s="1"/>
  <c r="EE14" i="80" s="1"/>
  <c r="EF14" i="80" s="1"/>
  <c r="BG14" i="80"/>
  <c r="BF14" i="80"/>
  <c r="BC14" i="80"/>
  <c r="AX14" i="80"/>
  <c r="AS14" i="80"/>
  <c r="AN14" i="80"/>
  <c r="AI14" i="80"/>
  <c r="AD14" i="80"/>
  <c r="Y14" i="80"/>
  <c r="T14" i="80"/>
  <c r="O14" i="80"/>
  <c r="E14" i="80"/>
  <c r="DU13" i="80"/>
  <c r="DP13" i="80"/>
  <c r="DK13" i="80"/>
  <c r="DF13" i="80"/>
  <c r="DA13" i="80"/>
  <c r="CV13" i="80"/>
  <c r="CQ13" i="80"/>
  <c r="CL13" i="80"/>
  <c r="CG13" i="80"/>
  <c r="CB13" i="80"/>
  <c r="BW13" i="80"/>
  <c r="BR13" i="80"/>
  <c r="BL13" i="80"/>
  <c r="BM13" i="80" s="1"/>
  <c r="BK13" i="80"/>
  <c r="DX13" i="80" s="1"/>
  <c r="BG13" i="80"/>
  <c r="BF13" i="80"/>
  <c r="BC13" i="80"/>
  <c r="AX13" i="80"/>
  <c r="AS13" i="80"/>
  <c r="AN13" i="80"/>
  <c r="AD13" i="80"/>
  <c r="Y13" i="80"/>
  <c r="T13" i="80"/>
  <c r="O13" i="80"/>
  <c r="E13" i="80"/>
  <c r="DU12" i="80"/>
  <c r="DP12" i="80"/>
  <c r="DK12" i="80"/>
  <c r="DF12" i="80"/>
  <c r="DA12" i="80"/>
  <c r="CV12" i="80"/>
  <c r="CQ12" i="80"/>
  <c r="CL12" i="80"/>
  <c r="CG12" i="80"/>
  <c r="CB12" i="80"/>
  <c r="BW12" i="80"/>
  <c r="BR12" i="80"/>
  <c r="BL12" i="80"/>
  <c r="DY12" i="80" s="1"/>
  <c r="BK12" i="80"/>
  <c r="DX12" i="80" s="1"/>
  <c r="DZ12" i="80" s="1"/>
  <c r="BG12" i="80"/>
  <c r="BF12" i="80"/>
  <c r="BC12" i="80"/>
  <c r="AX12" i="80"/>
  <c r="AS12" i="80"/>
  <c r="AN12" i="80"/>
  <c r="AD12" i="80"/>
  <c r="Y12" i="80"/>
  <c r="T12" i="80"/>
  <c r="O12" i="80"/>
  <c r="E12" i="80"/>
  <c r="DU11" i="80"/>
  <c r="DP11" i="80"/>
  <c r="DK11" i="80"/>
  <c r="DF11" i="80"/>
  <c r="DA11" i="80"/>
  <c r="CV11" i="80"/>
  <c r="CQ11" i="80"/>
  <c r="CL11" i="80"/>
  <c r="CG11" i="80"/>
  <c r="CB11" i="80"/>
  <c r="BW11" i="80"/>
  <c r="AI103" i="157" s="1"/>
  <c r="BR11" i="80"/>
  <c r="BL11" i="80"/>
  <c r="DY11" i="80" s="1"/>
  <c r="BK11" i="80"/>
  <c r="DX11" i="80" s="1"/>
  <c r="BG11" i="80"/>
  <c r="BF11" i="80"/>
  <c r="BC11" i="80"/>
  <c r="AX11" i="80"/>
  <c r="AS11" i="80"/>
  <c r="AN11" i="80"/>
  <c r="AD11" i="80"/>
  <c r="Y11" i="80"/>
  <c r="T11" i="80"/>
  <c r="O11" i="80"/>
  <c r="E11" i="80"/>
  <c r="DU10" i="80"/>
  <c r="DP10" i="80"/>
  <c r="DK10" i="80"/>
  <c r="DF10" i="80"/>
  <c r="DA10" i="80"/>
  <c r="CV10" i="80"/>
  <c r="CQ10" i="80"/>
  <c r="CL10" i="80"/>
  <c r="CG10" i="80"/>
  <c r="CB10" i="80"/>
  <c r="BW10" i="80"/>
  <c r="BR10" i="80"/>
  <c r="BL10" i="80"/>
  <c r="BM10" i="80" s="1"/>
  <c r="BK10" i="80"/>
  <c r="DX10" i="80" s="1"/>
  <c r="BG10" i="80"/>
  <c r="BF10" i="80"/>
  <c r="BC10" i="80"/>
  <c r="AX10" i="80"/>
  <c r="AS10" i="80"/>
  <c r="AN10" i="80"/>
  <c r="AD10" i="80"/>
  <c r="Y10" i="80"/>
  <c r="T10" i="80"/>
  <c r="O10" i="80"/>
  <c r="E10" i="80"/>
  <c r="DU9" i="80"/>
  <c r="DP9" i="80"/>
  <c r="DK9" i="80"/>
  <c r="DF9" i="80"/>
  <c r="DA9" i="80"/>
  <c r="CV9" i="80"/>
  <c r="CQ9" i="80"/>
  <c r="CL9" i="80"/>
  <c r="CG9" i="80"/>
  <c r="CB9" i="80"/>
  <c r="AN103" i="157" s="1"/>
  <c r="BV9" i="80"/>
  <c r="BQ9" i="80"/>
  <c r="BQ8" i="80" s="1"/>
  <c r="BK9" i="80"/>
  <c r="BF9" i="80"/>
  <c r="BC9" i="80"/>
  <c r="AW9" i="80"/>
  <c r="AW8" i="80" s="1"/>
  <c r="AR9" i="80"/>
  <c r="AN9" i="80"/>
  <c r="AD9" i="80"/>
  <c r="Y9" i="80"/>
  <c r="T9" i="80"/>
  <c r="O9" i="80"/>
  <c r="E9" i="80"/>
  <c r="E8" i="80" s="1"/>
  <c r="ED8" i="80"/>
  <c r="DT8" i="80"/>
  <c r="DS8" i="80"/>
  <c r="DO8" i="80"/>
  <c r="DN8" i="80"/>
  <c r="DK8" i="80"/>
  <c r="DJ8" i="80"/>
  <c r="DI8" i="80"/>
  <c r="DE8" i="80"/>
  <c r="DD8" i="80"/>
  <c r="CZ8" i="80"/>
  <c r="CY8" i="80"/>
  <c r="CV8" i="80"/>
  <c r="CU8" i="80"/>
  <c r="CT8" i="80"/>
  <c r="CP8" i="80"/>
  <c r="CO8" i="80"/>
  <c r="CK8" i="80"/>
  <c r="CJ8" i="80"/>
  <c r="CF8" i="80"/>
  <c r="CE8" i="80"/>
  <c r="CA8" i="80"/>
  <c r="BU8" i="80"/>
  <c r="BP8" i="80"/>
  <c r="BB8" i="80"/>
  <c r="BA8" i="80"/>
  <c r="AV8" i="80"/>
  <c r="AQ8" i="80"/>
  <c r="AM8" i="80"/>
  <c r="AL8" i="80"/>
  <c r="AH8" i="80"/>
  <c r="AG8" i="80"/>
  <c r="AC8" i="80"/>
  <c r="AB8" i="80"/>
  <c r="X8" i="80"/>
  <c r="W8" i="80"/>
  <c r="S8" i="80"/>
  <c r="R8" i="80"/>
  <c r="M8" i="80"/>
  <c r="D8" i="80"/>
  <c r="E79" i="80" s="1"/>
  <c r="E77" i="80" s="1"/>
  <c r="C8" i="80"/>
  <c r="DU7" i="80"/>
  <c r="DP7" i="80"/>
  <c r="DK7" i="80"/>
  <c r="DF7" i="80"/>
  <c r="DA7" i="80"/>
  <c r="DA5" i="80" s="1"/>
  <c r="CV7" i="80"/>
  <c r="CQ7" i="80"/>
  <c r="CL7" i="80"/>
  <c r="CG7" i="80"/>
  <c r="CB7" i="80"/>
  <c r="BW7" i="80"/>
  <c r="BR7" i="80"/>
  <c r="BL7" i="80"/>
  <c r="BK7" i="80"/>
  <c r="DX7" i="80" s="1"/>
  <c r="BG7" i="80"/>
  <c r="BF7" i="80"/>
  <c r="BC7" i="80"/>
  <c r="AX7" i="80"/>
  <c r="AS7" i="80"/>
  <c r="AN7" i="80"/>
  <c r="AI7" i="80"/>
  <c r="AD7" i="80"/>
  <c r="Y7" i="80"/>
  <c r="T7" i="80"/>
  <c r="O7" i="80"/>
  <c r="E7" i="80"/>
  <c r="DU6" i="80"/>
  <c r="DP6" i="80"/>
  <c r="DK6" i="80"/>
  <c r="DK5" i="80" s="1"/>
  <c r="DK38" i="80" s="1"/>
  <c r="DF6" i="80"/>
  <c r="DA6" i="80"/>
  <c r="CV6" i="80"/>
  <c r="CQ6" i="80"/>
  <c r="CL6" i="80"/>
  <c r="CG6" i="80"/>
  <c r="BZ6" i="80"/>
  <c r="BW6" i="80"/>
  <c r="BR6" i="80"/>
  <c r="BL6" i="80"/>
  <c r="BK6" i="80"/>
  <c r="BG6" i="80"/>
  <c r="BF6" i="80"/>
  <c r="BC6" i="80"/>
  <c r="AX6" i="80"/>
  <c r="AS6" i="80"/>
  <c r="AS5" i="80" s="1"/>
  <c r="AN6" i="80"/>
  <c r="AI6" i="80"/>
  <c r="AD6" i="80"/>
  <c r="Y6" i="80"/>
  <c r="Y5" i="80" s="1"/>
  <c r="T6" i="80"/>
  <c r="T5" i="80" s="1"/>
  <c r="O6" i="80"/>
  <c r="O5" i="80" s="1"/>
  <c r="E6" i="80"/>
  <c r="E5" i="80" s="1"/>
  <c r="ED5" i="80"/>
  <c r="ED38" i="80" s="1"/>
  <c r="DT5" i="80"/>
  <c r="DS5" i="80"/>
  <c r="DO5" i="80"/>
  <c r="DO38" i="80" s="1"/>
  <c r="DN5" i="80"/>
  <c r="DN38" i="80" s="1"/>
  <c r="DN75" i="80" s="1"/>
  <c r="DJ5" i="80"/>
  <c r="DI5" i="80"/>
  <c r="DI38" i="80" s="1"/>
  <c r="DE5" i="80"/>
  <c r="DE38" i="80" s="1"/>
  <c r="DD5" i="80"/>
  <c r="CZ5" i="80"/>
  <c r="CZ38" i="80" s="1"/>
  <c r="CZ75" i="80" s="1"/>
  <c r="CY5" i="80"/>
  <c r="CY38" i="80" s="1"/>
  <c r="CU5" i="80"/>
  <c r="CT5" i="80"/>
  <c r="CT38" i="80" s="1"/>
  <c r="CP5" i="80"/>
  <c r="CO5" i="80"/>
  <c r="CK5" i="80"/>
  <c r="CJ5" i="80"/>
  <c r="CJ38" i="80" s="1"/>
  <c r="CF5" i="80"/>
  <c r="CF38" i="80" s="1"/>
  <c r="CE5" i="80"/>
  <c r="CA5" i="80"/>
  <c r="BZ5" i="80"/>
  <c r="BW5" i="80"/>
  <c r="BV5" i="80"/>
  <c r="BU5" i="80"/>
  <c r="BU38" i="80" s="1"/>
  <c r="BR5" i="80"/>
  <c r="BQ5" i="80"/>
  <c r="BP5" i="80"/>
  <c r="BG5" i="80"/>
  <c r="BB5" i="80"/>
  <c r="BA5" i="80"/>
  <c r="BA38" i="80" s="1"/>
  <c r="BA75" i="80" s="1"/>
  <c r="AW5" i="80"/>
  <c r="AV5" i="80"/>
  <c r="AR5" i="80"/>
  <c r="AQ5" i="80"/>
  <c r="AQ38" i="80" s="1"/>
  <c r="AN5" i="80"/>
  <c r="AM5" i="80"/>
  <c r="AM38" i="80" s="1"/>
  <c r="AL5" i="80"/>
  <c r="AL38" i="80" s="1"/>
  <c r="AI5" i="80"/>
  <c r="AH5" i="80"/>
  <c r="AG5" i="80"/>
  <c r="AD5" i="80"/>
  <c r="AC5" i="80"/>
  <c r="AC38" i="80" s="1"/>
  <c r="AC75" i="80" s="1"/>
  <c r="AB5" i="80"/>
  <c r="X5" i="80"/>
  <c r="X38" i="80" s="1"/>
  <c r="W5" i="80"/>
  <c r="W38" i="80" s="1"/>
  <c r="S5" i="80"/>
  <c r="R5" i="80"/>
  <c r="N5" i="80"/>
  <c r="M5" i="80"/>
  <c r="M38" i="80" s="1"/>
  <c r="D5" i="80"/>
  <c r="C5" i="80"/>
  <c r="C38" i="80" s="1"/>
  <c r="CQ85" i="169"/>
  <c r="CP85" i="169"/>
  <c r="CK85" i="169"/>
  <c r="CJ85" i="169"/>
  <c r="CL85" i="169" s="1"/>
  <c r="CG85" i="169"/>
  <c r="CB85" i="169"/>
  <c r="BW85" i="169"/>
  <c r="BR85" i="169"/>
  <c r="BM85" i="169"/>
  <c r="BH85" i="169"/>
  <c r="BC85" i="169"/>
  <c r="AX85" i="169"/>
  <c r="AS85" i="169"/>
  <c r="AN85" i="169"/>
  <c r="AI85" i="169"/>
  <c r="AD85" i="169"/>
  <c r="X85" i="169"/>
  <c r="W85" i="169"/>
  <c r="S85" i="169"/>
  <c r="T85" i="169" s="1"/>
  <c r="R85" i="169"/>
  <c r="O85" i="169"/>
  <c r="J85" i="169"/>
  <c r="E85" i="169"/>
  <c r="CP82" i="169"/>
  <c r="CQ82" i="169" s="1"/>
  <c r="CL82" i="169"/>
  <c r="CG82" i="169"/>
  <c r="CB82" i="169"/>
  <c r="BW82" i="169"/>
  <c r="BR82" i="169"/>
  <c r="BM82" i="169"/>
  <c r="BH82" i="169"/>
  <c r="BC82" i="169"/>
  <c r="AX82" i="169"/>
  <c r="AS82" i="169"/>
  <c r="AN82" i="169"/>
  <c r="AI82" i="169"/>
  <c r="AD82" i="169"/>
  <c r="X82" i="169"/>
  <c r="W82" i="169"/>
  <c r="S82" i="169"/>
  <c r="R82" i="169"/>
  <c r="T82" i="169" s="1"/>
  <c r="O82" i="169"/>
  <c r="J82" i="169"/>
  <c r="E82" i="169"/>
  <c r="CK80" i="169"/>
  <c r="CJ80" i="169"/>
  <c r="CP79" i="169"/>
  <c r="BM79" i="169"/>
  <c r="X79" i="169"/>
  <c r="CK79" i="169" s="1"/>
  <c r="S79" i="169"/>
  <c r="CQ78" i="169"/>
  <c r="CP78" i="169"/>
  <c r="CG78" i="169"/>
  <c r="CB78" i="169"/>
  <c r="BW78" i="169"/>
  <c r="BR78" i="169"/>
  <c r="BM78" i="169"/>
  <c r="BH78" i="169"/>
  <c r="BC78" i="169"/>
  <c r="AX78" i="169"/>
  <c r="AS78" i="169"/>
  <c r="AN78" i="169"/>
  <c r="AI78" i="169"/>
  <c r="AD78" i="169"/>
  <c r="X78" i="169"/>
  <c r="W78" i="169"/>
  <c r="CJ78" i="169" s="1"/>
  <c r="S78" i="169"/>
  <c r="R78" i="169"/>
  <c r="T78" i="169" s="1"/>
  <c r="O78" i="169"/>
  <c r="J78" i="169"/>
  <c r="E78" i="169"/>
  <c r="CF77" i="169"/>
  <c r="CA77" i="169"/>
  <c r="BV77" i="169"/>
  <c r="BQ77" i="169"/>
  <c r="BM77" i="169"/>
  <c r="BL77" i="169"/>
  <c r="BK77" i="169"/>
  <c r="BG77" i="169"/>
  <c r="BB77" i="169"/>
  <c r="AW77" i="169"/>
  <c r="AR77" i="169"/>
  <c r="AM77" i="169"/>
  <c r="AH77" i="169"/>
  <c r="AC77" i="169"/>
  <c r="N77" i="169"/>
  <c r="I77" i="169"/>
  <c r="D77" i="169"/>
  <c r="CK74" i="169"/>
  <c r="CG74" i="169"/>
  <c r="CB74" i="169"/>
  <c r="CB73" i="169" s="1"/>
  <c r="BW74" i="169"/>
  <c r="BW73" i="169" s="1"/>
  <c r="BR74" i="169"/>
  <c r="BM74" i="169"/>
  <c r="BH74" i="169"/>
  <c r="BC74" i="169"/>
  <c r="BC73" i="169" s="1"/>
  <c r="AX74" i="169"/>
  <c r="AX73" i="169" s="1"/>
  <c r="AS74" i="169"/>
  <c r="AN74" i="169"/>
  <c r="AI74" i="169"/>
  <c r="AD74" i="169"/>
  <c r="X74" i="169"/>
  <c r="W74" i="169"/>
  <c r="O74" i="169"/>
  <c r="J74" i="169"/>
  <c r="E74" i="169"/>
  <c r="CP73" i="169"/>
  <c r="CK73" i="169"/>
  <c r="CG73" i="169"/>
  <c r="CF73" i="169"/>
  <c r="CE73" i="169"/>
  <c r="CA73" i="169"/>
  <c r="BZ73" i="169"/>
  <c r="BV73" i="169"/>
  <c r="BU73" i="169"/>
  <c r="BR73" i="169"/>
  <c r="BQ73" i="169"/>
  <c r="BP73" i="169"/>
  <c r="BM73" i="169"/>
  <c r="BL73" i="169"/>
  <c r="BK73" i="169"/>
  <c r="BH73" i="169"/>
  <c r="BG73" i="169"/>
  <c r="BF73" i="169"/>
  <c r="BB73" i="169"/>
  <c r="BA73" i="169"/>
  <c r="AW73" i="169"/>
  <c r="AV73" i="169"/>
  <c r="AS73" i="169"/>
  <c r="AR73" i="169"/>
  <c r="AQ73" i="169"/>
  <c r="AN73" i="169"/>
  <c r="AM73" i="169"/>
  <c r="AL73" i="169"/>
  <c r="AI73" i="169"/>
  <c r="AH73" i="169"/>
  <c r="AG73" i="169"/>
  <c r="CP84" i="157" s="1"/>
  <c r="AD73" i="169"/>
  <c r="AC73" i="169"/>
  <c r="AB73" i="169"/>
  <c r="X73" i="169"/>
  <c r="T73" i="169"/>
  <c r="S73" i="169"/>
  <c r="R73" i="169"/>
  <c r="N73" i="169"/>
  <c r="M73" i="169"/>
  <c r="J73" i="169"/>
  <c r="I73" i="169"/>
  <c r="H73" i="169"/>
  <c r="E73" i="169"/>
  <c r="D73" i="169"/>
  <c r="C73" i="169"/>
  <c r="CP71" i="169"/>
  <c r="CQ71" i="169" s="1"/>
  <c r="CG71" i="169"/>
  <c r="CB71" i="169"/>
  <c r="BW71" i="169"/>
  <c r="BR71" i="169"/>
  <c r="BM71" i="169"/>
  <c r="BH71" i="169"/>
  <c r="BC71" i="169"/>
  <c r="AX71" i="169"/>
  <c r="AS71" i="169"/>
  <c r="AN71" i="169"/>
  <c r="AI71" i="169"/>
  <c r="AD71" i="169"/>
  <c r="X71" i="169"/>
  <c r="CK71" i="169" s="1"/>
  <c r="W71" i="169"/>
  <c r="Y71" i="169" s="1"/>
  <c r="S71" i="169"/>
  <c r="R71" i="169"/>
  <c r="O71" i="169"/>
  <c r="J71" i="169"/>
  <c r="E71" i="169"/>
  <c r="CP70" i="169"/>
  <c r="CQ70" i="169" s="1"/>
  <c r="CG70" i="169"/>
  <c r="CB70" i="169"/>
  <c r="BW70" i="169"/>
  <c r="BR70" i="169"/>
  <c r="BM70" i="169"/>
  <c r="BH70" i="169"/>
  <c r="BC70" i="169"/>
  <c r="AX70" i="169"/>
  <c r="AS70" i="169"/>
  <c r="AN70" i="169"/>
  <c r="AI70" i="169"/>
  <c r="AD70" i="169"/>
  <c r="X70" i="169"/>
  <c r="CK70" i="169" s="1"/>
  <c r="W70" i="169"/>
  <c r="Y70" i="169" s="1"/>
  <c r="S70" i="169"/>
  <c r="R70" i="169"/>
  <c r="T70" i="169" s="1"/>
  <c r="O70" i="169"/>
  <c r="J70" i="169"/>
  <c r="E70" i="169"/>
  <c r="CP69" i="169"/>
  <c r="CQ69" i="169" s="1"/>
  <c r="CG69" i="169"/>
  <c r="CB69" i="169"/>
  <c r="BW69" i="169"/>
  <c r="BR69" i="169"/>
  <c r="BM69" i="169"/>
  <c r="BH69" i="169"/>
  <c r="BC69" i="169"/>
  <c r="AX69" i="169"/>
  <c r="AS69" i="169"/>
  <c r="AN69" i="169"/>
  <c r="AI69" i="169"/>
  <c r="AD69" i="169"/>
  <c r="X69" i="169"/>
  <c r="CK69" i="169" s="1"/>
  <c r="W69" i="169"/>
  <c r="CJ69" i="169" s="1"/>
  <c r="S69" i="169"/>
  <c r="R69" i="169"/>
  <c r="O69" i="169"/>
  <c r="J69" i="169"/>
  <c r="E69" i="169"/>
  <c r="CP68" i="169"/>
  <c r="CQ68" i="169" s="1"/>
  <c r="CG68" i="169"/>
  <c r="CB68" i="169"/>
  <c r="BW68" i="169"/>
  <c r="BR68" i="169"/>
  <c r="BM68" i="169"/>
  <c r="BH68" i="169"/>
  <c r="BC68" i="169"/>
  <c r="AX68" i="169"/>
  <c r="AS68" i="169"/>
  <c r="AN68" i="169"/>
  <c r="AI68" i="169"/>
  <c r="AD68" i="169"/>
  <c r="X68" i="169"/>
  <c r="CK68" i="169" s="1"/>
  <c r="W68" i="169"/>
  <c r="S68" i="169"/>
  <c r="R68" i="169"/>
  <c r="O68" i="169"/>
  <c r="J68" i="169"/>
  <c r="E68" i="169"/>
  <c r="CP67" i="169"/>
  <c r="CQ67" i="169" s="1"/>
  <c r="CG67" i="169"/>
  <c r="CB67" i="169"/>
  <c r="BW67" i="169"/>
  <c r="BR67" i="169"/>
  <c r="BM67" i="169"/>
  <c r="BH67" i="169"/>
  <c r="BC67" i="169"/>
  <c r="AX67" i="169"/>
  <c r="AS67" i="169"/>
  <c r="AN67" i="169"/>
  <c r="AI67" i="169"/>
  <c r="AD67" i="169"/>
  <c r="X67" i="169"/>
  <c r="CK67" i="169" s="1"/>
  <c r="W67" i="169"/>
  <c r="CJ67" i="169" s="1"/>
  <c r="S67" i="169"/>
  <c r="R67" i="169"/>
  <c r="T67" i="169" s="1"/>
  <c r="O67" i="169"/>
  <c r="J67" i="169"/>
  <c r="E67" i="169"/>
  <c r="CP66" i="169"/>
  <c r="CQ66" i="169" s="1"/>
  <c r="CG66" i="169"/>
  <c r="CB66" i="169"/>
  <c r="BW66" i="169"/>
  <c r="BR66" i="169"/>
  <c r="BM66" i="169"/>
  <c r="BH66" i="169"/>
  <c r="BC66" i="169"/>
  <c r="AX66" i="169"/>
  <c r="AS66" i="169"/>
  <c r="AN66" i="169"/>
  <c r="AI66" i="169"/>
  <c r="AD66" i="169"/>
  <c r="X66" i="169"/>
  <c r="CK66" i="169" s="1"/>
  <c r="W66" i="169"/>
  <c r="S66" i="169"/>
  <c r="R66" i="169"/>
  <c r="T66" i="169" s="1"/>
  <c r="O66" i="169"/>
  <c r="J66" i="169"/>
  <c r="E66" i="169"/>
  <c r="CP65" i="169"/>
  <c r="CQ65" i="169" s="1"/>
  <c r="CG65" i="169"/>
  <c r="CB65" i="169"/>
  <c r="BW65" i="169"/>
  <c r="BR65" i="169"/>
  <c r="BM65" i="169"/>
  <c r="BH65" i="169"/>
  <c r="BC65" i="169"/>
  <c r="AX65" i="169"/>
  <c r="AS65" i="169"/>
  <c r="AN65" i="169"/>
  <c r="AI65" i="169"/>
  <c r="AD65" i="169"/>
  <c r="X65" i="169"/>
  <c r="CK65" i="169" s="1"/>
  <c r="W65" i="169"/>
  <c r="Y65" i="169" s="1"/>
  <c r="S65" i="169"/>
  <c r="R65" i="169"/>
  <c r="O65" i="169"/>
  <c r="J65" i="169"/>
  <c r="E65" i="169"/>
  <c r="CP64" i="169"/>
  <c r="CQ64" i="169" s="1"/>
  <c r="CG64" i="169"/>
  <c r="CB64" i="169"/>
  <c r="BW64" i="169"/>
  <c r="BR64" i="169"/>
  <c r="BM64" i="169"/>
  <c r="BH64" i="169"/>
  <c r="BC64" i="169"/>
  <c r="AX64" i="169"/>
  <c r="AS64" i="169"/>
  <c r="AN64" i="169"/>
  <c r="AI64" i="169"/>
  <c r="AD64" i="169"/>
  <c r="X64" i="169"/>
  <c r="CK64" i="169" s="1"/>
  <c r="W64" i="169"/>
  <c r="CJ64" i="169" s="1"/>
  <c r="S64" i="169"/>
  <c r="R64" i="169"/>
  <c r="T64" i="169" s="1"/>
  <c r="O64" i="169"/>
  <c r="J64" i="169"/>
  <c r="E64" i="169"/>
  <c r="CQ63" i="169"/>
  <c r="CP63" i="169"/>
  <c r="CG63" i="169"/>
  <c r="CB63" i="169"/>
  <c r="BW63" i="169"/>
  <c r="BR63" i="169"/>
  <c r="BM63" i="169"/>
  <c r="BH63" i="169"/>
  <c r="BC63" i="169"/>
  <c r="AX63" i="169"/>
  <c r="AS63" i="169"/>
  <c r="AN63" i="169"/>
  <c r="AI63" i="169"/>
  <c r="AD63" i="169"/>
  <c r="X63" i="169"/>
  <c r="CK63" i="169" s="1"/>
  <c r="W63" i="169"/>
  <c r="CJ63" i="169" s="1"/>
  <c r="S63" i="169"/>
  <c r="R63" i="169"/>
  <c r="O63" i="169"/>
  <c r="J63" i="169"/>
  <c r="E63" i="169"/>
  <c r="CP62" i="169"/>
  <c r="CQ62" i="169" s="1"/>
  <c r="CG62" i="169"/>
  <c r="CB62" i="169"/>
  <c r="BW62" i="169"/>
  <c r="BR62" i="169"/>
  <c r="BM62" i="169"/>
  <c r="BH62" i="169"/>
  <c r="BC62" i="169"/>
  <c r="AX62" i="169"/>
  <c r="AS62" i="169"/>
  <c r="AN62" i="169"/>
  <c r="AI62" i="169"/>
  <c r="AD62" i="169"/>
  <c r="X62" i="169"/>
  <c r="CK62" i="169" s="1"/>
  <c r="W62" i="169"/>
  <c r="CJ62" i="169" s="1"/>
  <c r="S62" i="169"/>
  <c r="R62" i="169"/>
  <c r="O62" i="169"/>
  <c r="J62" i="169"/>
  <c r="E62" i="169"/>
  <c r="CP61" i="169"/>
  <c r="CQ61" i="169" s="1"/>
  <c r="CG61" i="169"/>
  <c r="CB61" i="169"/>
  <c r="BW61" i="169"/>
  <c r="BR61" i="169"/>
  <c r="BM61" i="169"/>
  <c r="BH61" i="169"/>
  <c r="BC61" i="169"/>
  <c r="AX61" i="169"/>
  <c r="AS61" i="169"/>
  <c r="AN61" i="169"/>
  <c r="AI61" i="169"/>
  <c r="AD61" i="169"/>
  <c r="X61" i="169"/>
  <c r="CK61" i="169" s="1"/>
  <c r="W61" i="169"/>
  <c r="CJ61" i="169" s="1"/>
  <c r="S61" i="169"/>
  <c r="R61" i="169"/>
  <c r="T61" i="169" s="1"/>
  <c r="O61" i="169"/>
  <c r="J61" i="169"/>
  <c r="E61" i="169"/>
  <c r="CP60" i="169"/>
  <c r="CQ60" i="169" s="1"/>
  <c r="CG60" i="169"/>
  <c r="CB60" i="169"/>
  <c r="BW60" i="169"/>
  <c r="BR60" i="169"/>
  <c r="BM60" i="169"/>
  <c r="BH60" i="169"/>
  <c r="BC60" i="169"/>
  <c r="AX60" i="169"/>
  <c r="AS60" i="169"/>
  <c r="AN60" i="169"/>
  <c r="AI60" i="169"/>
  <c r="AD60" i="169"/>
  <c r="X60" i="169"/>
  <c r="CK60" i="169" s="1"/>
  <c r="W60" i="169"/>
  <c r="S60" i="169"/>
  <c r="R60" i="169"/>
  <c r="T60" i="169" s="1"/>
  <c r="O60" i="169"/>
  <c r="J60" i="169"/>
  <c r="E60" i="169"/>
  <c r="CP59" i="169"/>
  <c r="CQ59" i="169" s="1"/>
  <c r="CG59" i="169"/>
  <c r="CB59" i="169"/>
  <c r="BW59" i="169"/>
  <c r="BR59" i="169"/>
  <c r="BM59" i="169"/>
  <c r="BH59" i="169"/>
  <c r="BC59" i="169"/>
  <c r="AX59" i="169"/>
  <c r="AS59" i="169"/>
  <c r="AN59" i="169"/>
  <c r="AI59" i="169"/>
  <c r="AD59" i="169"/>
  <c r="X59" i="169"/>
  <c r="CK59" i="169" s="1"/>
  <c r="W59" i="169"/>
  <c r="CJ59" i="169" s="1"/>
  <c r="S59" i="169"/>
  <c r="R59" i="169"/>
  <c r="T59" i="169" s="1"/>
  <c r="O59" i="169"/>
  <c r="J59" i="169"/>
  <c r="E59" i="169"/>
  <c r="CP58" i="169"/>
  <c r="CQ58" i="169" s="1"/>
  <c r="CG58" i="169"/>
  <c r="CB58" i="169"/>
  <c r="BW58" i="169"/>
  <c r="BR58" i="169"/>
  <c r="BM58" i="169"/>
  <c r="BH58" i="169"/>
  <c r="BC58" i="169"/>
  <c r="AX58" i="169"/>
  <c r="AS58" i="169"/>
  <c r="AN58" i="169"/>
  <c r="AI58" i="169"/>
  <c r="AD58" i="169"/>
  <c r="X58" i="169"/>
  <c r="CK58" i="169" s="1"/>
  <c r="W58" i="169"/>
  <c r="Y58" i="169" s="1"/>
  <c r="S58" i="169"/>
  <c r="T58" i="169" s="1"/>
  <c r="R58" i="169"/>
  <c r="O58" i="169"/>
  <c r="J58" i="169"/>
  <c r="E58" i="169"/>
  <c r="CP57" i="169"/>
  <c r="CQ57" i="169" s="1"/>
  <c r="CG57" i="169"/>
  <c r="CB57" i="169"/>
  <c r="BW57" i="169"/>
  <c r="BR57" i="169"/>
  <c r="BM57" i="169"/>
  <c r="BH57" i="169"/>
  <c r="BC57" i="169"/>
  <c r="AX57" i="169"/>
  <c r="AS57" i="169"/>
  <c r="AN57" i="169"/>
  <c r="AI57" i="169"/>
  <c r="AD57" i="169"/>
  <c r="X57" i="169"/>
  <c r="CK57" i="169" s="1"/>
  <c r="W57" i="169"/>
  <c r="CJ57" i="169" s="1"/>
  <c r="S57" i="169"/>
  <c r="R57" i="169"/>
  <c r="O57" i="169"/>
  <c r="J57" i="169"/>
  <c r="E57" i="169"/>
  <c r="CP56" i="169"/>
  <c r="CQ56" i="169" s="1"/>
  <c r="CG56" i="169"/>
  <c r="CB56" i="169"/>
  <c r="BW56" i="169"/>
  <c r="BR56" i="169"/>
  <c r="BM56" i="169"/>
  <c r="BH56" i="169"/>
  <c r="BC56" i="169"/>
  <c r="AX56" i="169"/>
  <c r="AS56" i="169"/>
  <c r="AN56" i="169"/>
  <c r="AI56" i="169"/>
  <c r="AD56" i="169"/>
  <c r="X56" i="169"/>
  <c r="CK56" i="169" s="1"/>
  <c r="W56" i="169"/>
  <c r="CJ56" i="169" s="1"/>
  <c r="S56" i="169"/>
  <c r="T56" i="169" s="1"/>
  <c r="R56" i="169"/>
  <c r="O56" i="169"/>
  <c r="J56" i="169"/>
  <c r="E56" i="169"/>
  <c r="CP55" i="169"/>
  <c r="CQ55" i="169" s="1"/>
  <c r="CG55" i="169"/>
  <c r="CB55" i="169"/>
  <c r="BW55" i="169"/>
  <c r="BR55" i="169"/>
  <c r="BM55" i="169"/>
  <c r="BH55" i="169"/>
  <c r="BH54" i="169" s="1"/>
  <c r="BC55" i="169"/>
  <c r="AX55" i="169"/>
  <c r="AS55" i="169"/>
  <c r="AN55" i="169"/>
  <c r="AN54" i="169" s="1"/>
  <c r="AI55" i="169"/>
  <c r="AD55" i="169"/>
  <c r="X55" i="169"/>
  <c r="CK55" i="169" s="1"/>
  <c r="W55" i="169"/>
  <c r="CJ55" i="169" s="1"/>
  <c r="S55" i="169"/>
  <c r="R55" i="169"/>
  <c r="T55" i="169" s="1"/>
  <c r="O55" i="169"/>
  <c r="O54" i="169" s="1"/>
  <c r="J55" i="169"/>
  <c r="E55" i="169"/>
  <c r="CF54" i="169"/>
  <c r="CE54" i="169"/>
  <c r="CA54" i="169"/>
  <c r="BZ54" i="169"/>
  <c r="BW54" i="169"/>
  <c r="BV54" i="169"/>
  <c r="BU54" i="169"/>
  <c r="BQ54" i="169"/>
  <c r="BP54" i="169"/>
  <c r="BL54" i="169"/>
  <c r="BK54" i="169"/>
  <c r="BG54" i="169"/>
  <c r="BF54" i="169"/>
  <c r="BB54" i="169"/>
  <c r="BA54" i="169"/>
  <c r="AW54" i="169"/>
  <c r="AV54" i="169"/>
  <c r="AR54" i="169"/>
  <c r="AQ54" i="169"/>
  <c r="AM54" i="169"/>
  <c r="AL54" i="169"/>
  <c r="AH54" i="169"/>
  <c r="AG54" i="169"/>
  <c r="AC54" i="169"/>
  <c r="AB54" i="169"/>
  <c r="N54" i="169"/>
  <c r="M54" i="169"/>
  <c r="I54" i="169"/>
  <c r="H54" i="169"/>
  <c r="E54" i="169"/>
  <c r="D54" i="169"/>
  <c r="C54" i="169"/>
  <c r="CK53" i="169"/>
  <c r="CJ53" i="169"/>
  <c r="CP52" i="169"/>
  <c r="CQ52" i="169" s="1"/>
  <c r="CG52" i="169"/>
  <c r="CB52" i="169"/>
  <c r="BW52" i="169"/>
  <c r="BR52" i="169"/>
  <c r="BM52" i="169"/>
  <c r="BH52" i="169"/>
  <c r="BC52" i="169"/>
  <c r="AX52" i="169"/>
  <c r="AS52" i="169"/>
  <c r="AN52" i="169"/>
  <c r="AI52" i="169"/>
  <c r="AD52" i="169"/>
  <c r="X52" i="169"/>
  <c r="CK52" i="169" s="1"/>
  <c r="W52" i="169"/>
  <c r="CJ52" i="169" s="1"/>
  <c r="S52" i="169"/>
  <c r="R52" i="169"/>
  <c r="O52" i="169"/>
  <c r="J52" i="169"/>
  <c r="E52" i="169"/>
  <c r="CP51" i="169"/>
  <c r="CQ51" i="169" s="1"/>
  <c r="CQ50" i="169" s="1"/>
  <c r="CG51" i="169"/>
  <c r="CB51" i="169"/>
  <c r="BW51" i="169"/>
  <c r="BR51" i="169"/>
  <c r="BR50" i="169" s="1"/>
  <c r="BM51" i="169"/>
  <c r="BH51" i="169"/>
  <c r="BH50" i="169" s="1"/>
  <c r="BC51" i="169"/>
  <c r="AX51" i="169"/>
  <c r="AX50" i="169" s="1"/>
  <c r="AS51" i="169"/>
  <c r="AS50" i="169" s="1"/>
  <c r="AN51" i="169"/>
  <c r="AI51" i="169"/>
  <c r="AD51" i="169"/>
  <c r="AD50" i="169" s="1"/>
  <c r="X51" i="169"/>
  <c r="CK51" i="169" s="1"/>
  <c r="W51" i="169"/>
  <c r="CJ51" i="169" s="1"/>
  <c r="S51" i="169"/>
  <c r="R51" i="169"/>
  <c r="R50" i="169" s="1"/>
  <c r="O51" i="169"/>
  <c r="O50" i="169" s="1"/>
  <c r="J51" i="169"/>
  <c r="E51" i="169"/>
  <c r="CP50" i="169"/>
  <c r="CG50" i="169"/>
  <c r="CF50" i="169"/>
  <c r="CE50" i="169"/>
  <c r="CB50" i="169"/>
  <c r="CA50" i="169"/>
  <c r="BZ50" i="169"/>
  <c r="BW50" i="169"/>
  <c r="BV50" i="169"/>
  <c r="BU50" i="169"/>
  <c r="BQ50" i="169"/>
  <c r="BP50" i="169"/>
  <c r="BM50" i="169"/>
  <c r="BL50" i="169"/>
  <c r="BK50" i="169"/>
  <c r="BG50" i="169"/>
  <c r="BF50" i="169"/>
  <c r="BC50" i="169"/>
  <c r="BB50" i="169"/>
  <c r="BA50" i="169"/>
  <c r="AW50" i="169"/>
  <c r="AV50" i="169"/>
  <c r="AR50" i="169"/>
  <c r="AQ50" i="169"/>
  <c r="AN50" i="169"/>
  <c r="AM50" i="169"/>
  <c r="AL50" i="169"/>
  <c r="AI50" i="169"/>
  <c r="AH50" i="169"/>
  <c r="AG50" i="169"/>
  <c r="AC50" i="169"/>
  <c r="AB50" i="169"/>
  <c r="N50" i="169"/>
  <c r="M50" i="169"/>
  <c r="I50" i="169"/>
  <c r="H50" i="169"/>
  <c r="E50" i="169"/>
  <c r="D50" i="169"/>
  <c r="C50" i="169"/>
  <c r="CP48" i="169"/>
  <c r="CQ48" i="169" s="1"/>
  <c r="CG48" i="169"/>
  <c r="CB48" i="169"/>
  <c r="BW48" i="169"/>
  <c r="BR48" i="169"/>
  <c r="BM48" i="169"/>
  <c r="BH48" i="169"/>
  <c r="BC48" i="169"/>
  <c r="AX48" i="169"/>
  <c r="AS48" i="169"/>
  <c r="AN48" i="169"/>
  <c r="AI48" i="169"/>
  <c r="AD48" i="169"/>
  <c r="X48" i="169"/>
  <c r="CK48" i="169" s="1"/>
  <c r="W48" i="169"/>
  <c r="CJ48" i="169" s="1"/>
  <c r="S48" i="169"/>
  <c r="R48" i="169"/>
  <c r="O48" i="169"/>
  <c r="J48" i="169"/>
  <c r="E48" i="169"/>
  <c r="CP47" i="169"/>
  <c r="CQ47" i="169" s="1"/>
  <c r="CG47" i="169"/>
  <c r="CB47" i="169"/>
  <c r="BW47" i="169"/>
  <c r="BR47" i="169"/>
  <c r="BM47" i="169"/>
  <c r="BH47" i="169"/>
  <c r="BC47" i="169"/>
  <c r="AX47" i="169"/>
  <c r="AS47" i="169"/>
  <c r="AN47" i="169"/>
  <c r="AI47" i="169"/>
  <c r="AD47" i="169"/>
  <c r="X47" i="169"/>
  <c r="CK47" i="169" s="1"/>
  <c r="W47" i="169"/>
  <c r="S47" i="169"/>
  <c r="R47" i="169"/>
  <c r="O47" i="169"/>
  <c r="J47" i="169"/>
  <c r="E47" i="169"/>
  <c r="CP46" i="169"/>
  <c r="CQ46" i="169" s="1"/>
  <c r="CG46" i="169"/>
  <c r="CB46" i="169"/>
  <c r="BW46" i="169"/>
  <c r="BR46" i="169"/>
  <c r="BM46" i="169"/>
  <c r="BH46" i="169"/>
  <c r="BC46" i="169"/>
  <c r="AX46" i="169"/>
  <c r="AS46" i="169"/>
  <c r="AN46" i="169"/>
  <c r="AI46" i="169"/>
  <c r="AD46" i="169"/>
  <c r="X46" i="169"/>
  <c r="CK46" i="169" s="1"/>
  <c r="W46" i="169"/>
  <c r="S46" i="169"/>
  <c r="R46" i="169"/>
  <c r="O46" i="169"/>
  <c r="J46" i="169"/>
  <c r="E46" i="169"/>
  <c r="CP45" i="169"/>
  <c r="CQ45" i="169" s="1"/>
  <c r="CG45" i="169"/>
  <c r="CB45" i="169"/>
  <c r="BW45" i="169"/>
  <c r="BR45" i="169"/>
  <c r="BM45" i="169"/>
  <c r="BH45" i="169"/>
  <c r="BC45" i="169"/>
  <c r="AX45" i="169"/>
  <c r="AS45" i="169"/>
  <c r="AN45" i="169"/>
  <c r="AI45" i="169"/>
  <c r="AD45" i="169"/>
  <c r="X45" i="169"/>
  <c r="CK45" i="169" s="1"/>
  <c r="W45" i="169"/>
  <c r="CJ45" i="169" s="1"/>
  <c r="S45" i="169"/>
  <c r="R45" i="169"/>
  <c r="O45" i="169"/>
  <c r="J45" i="169"/>
  <c r="E45" i="169"/>
  <c r="CP44" i="169"/>
  <c r="CQ44" i="169" s="1"/>
  <c r="CG44" i="169"/>
  <c r="CB44" i="169"/>
  <c r="BW44" i="169"/>
  <c r="BR44" i="169"/>
  <c r="BM44" i="169"/>
  <c r="BH44" i="169"/>
  <c r="BC44" i="169"/>
  <c r="AX44" i="169"/>
  <c r="AS44" i="169"/>
  <c r="AN44" i="169"/>
  <c r="AI44" i="169"/>
  <c r="AD44" i="169"/>
  <c r="X44" i="169"/>
  <c r="CK44" i="169" s="1"/>
  <c r="W44" i="169"/>
  <c r="CJ44" i="169" s="1"/>
  <c r="CL44" i="169" s="1"/>
  <c r="S44" i="169"/>
  <c r="R44" i="169"/>
  <c r="O44" i="169"/>
  <c r="J44" i="169"/>
  <c r="E44" i="169"/>
  <c r="CP43" i="169"/>
  <c r="CQ43" i="169" s="1"/>
  <c r="CG43" i="169"/>
  <c r="CB43" i="169"/>
  <c r="BW43" i="169"/>
  <c r="BR43" i="169"/>
  <c r="BM43" i="169"/>
  <c r="BH43" i="169"/>
  <c r="BC43" i="169"/>
  <c r="AX43" i="169"/>
  <c r="AS43" i="169"/>
  <c r="AN43" i="169"/>
  <c r="AI43" i="169"/>
  <c r="AD43" i="169"/>
  <c r="X43" i="169"/>
  <c r="CK43" i="169" s="1"/>
  <c r="W43" i="169"/>
  <c r="CJ43" i="169" s="1"/>
  <c r="S43" i="169"/>
  <c r="R43" i="169"/>
  <c r="O43" i="169"/>
  <c r="J43" i="169"/>
  <c r="E43" i="169"/>
  <c r="CP42" i="169"/>
  <c r="CQ42" i="169" s="1"/>
  <c r="CG42" i="169"/>
  <c r="CG41" i="169" s="1"/>
  <c r="CB42" i="169"/>
  <c r="CB41" i="169" s="1"/>
  <c r="BW42" i="169"/>
  <c r="BR42" i="169"/>
  <c r="BM42" i="169"/>
  <c r="BM41" i="169" s="1"/>
  <c r="BH42" i="169"/>
  <c r="BC42" i="169"/>
  <c r="AX42" i="169"/>
  <c r="AS42" i="169"/>
  <c r="AN42" i="169"/>
  <c r="AN41" i="169" s="1"/>
  <c r="AI42" i="169"/>
  <c r="AD42" i="169"/>
  <c r="X42" i="169"/>
  <c r="CK42" i="169" s="1"/>
  <c r="W42" i="169"/>
  <c r="CJ42" i="169" s="1"/>
  <c r="S42" i="169"/>
  <c r="R42" i="169"/>
  <c r="O42" i="169"/>
  <c r="J42" i="169"/>
  <c r="J41" i="169" s="1"/>
  <c r="E42" i="169"/>
  <c r="CF41" i="169"/>
  <c r="CE41" i="169"/>
  <c r="CA41" i="169"/>
  <c r="BZ41" i="169"/>
  <c r="BV41" i="169"/>
  <c r="BU41" i="169"/>
  <c r="BQ41" i="169"/>
  <c r="BP41" i="169"/>
  <c r="BL41" i="169"/>
  <c r="BK41" i="169"/>
  <c r="BG41" i="169"/>
  <c r="BF41" i="169"/>
  <c r="BB41" i="169"/>
  <c r="BA41" i="169"/>
  <c r="AW41" i="169"/>
  <c r="AV41" i="169"/>
  <c r="AS41" i="169"/>
  <c r="AR41" i="169"/>
  <c r="AQ41" i="169"/>
  <c r="AM41" i="169"/>
  <c r="AL41" i="169"/>
  <c r="AH41" i="169"/>
  <c r="AG41" i="169"/>
  <c r="AC41" i="169"/>
  <c r="AB41" i="169"/>
  <c r="N41" i="169"/>
  <c r="M41" i="169"/>
  <c r="I41" i="169"/>
  <c r="H41" i="169"/>
  <c r="D41" i="169"/>
  <c r="C41" i="169"/>
  <c r="X37" i="169"/>
  <c r="W37" i="169"/>
  <c r="CG36" i="169"/>
  <c r="CB36" i="169"/>
  <c r="BW36" i="169"/>
  <c r="BW35" i="169" s="1"/>
  <c r="BR36" i="169"/>
  <c r="BM36" i="169"/>
  <c r="BH36" i="169"/>
  <c r="BH35" i="169" s="1"/>
  <c r="BC36" i="169"/>
  <c r="BC35" i="169" s="1"/>
  <c r="AX36" i="169"/>
  <c r="AS36" i="169"/>
  <c r="AS35" i="169" s="1"/>
  <c r="AN36" i="169"/>
  <c r="AI36" i="169"/>
  <c r="AD36" i="169"/>
  <c r="AD35" i="169" s="1"/>
  <c r="X36" i="169"/>
  <c r="CK36" i="169" s="1"/>
  <c r="W36" i="169"/>
  <c r="CJ36" i="169" s="1"/>
  <c r="CJ35" i="169" s="1"/>
  <c r="S36" i="169"/>
  <c r="R36" i="169"/>
  <c r="T36" i="169" s="1"/>
  <c r="T35" i="169" s="1"/>
  <c r="O36" i="169"/>
  <c r="O35" i="169" s="1"/>
  <c r="J36" i="169"/>
  <c r="J35" i="169" s="1"/>
  <c r="E36" i="169"/>
  <c r="E35" i="169" s="1"/>
  <c r="CP35" i="169"/>
  <c r="CG35" i="169"/>
  <c r="CF35" i="169"/>
  <c r="CE35" i="169"/>
  <c r="CB35" i="169"/>
  <c r="CA35" i="169"/>
  <c r="BZ35" i="169"/>
  <c r="BV35" i="169"/>
  <c r="BU35" i="169"/>
  <c r="BR35" i="169"/>
  <c r="BQ35" i="169"/>
  <c r="BP35" i="169"/>
  <c r="BL35" i="169"/>
  <c r="BK35" i="169"/>
  <c r="BG35" i="169"/>
  <c r="BF35" i="169"/>
  <c r="BB35" i="169"/>
  <c r="BA35" i="169"/>
  <c r="AW35" i="169"/>
  <c r="AV35" i="169"/>
  <c r="AR35" i="169"/>
  <c r="AQ35" i="169"/>
  <c r="AN35" i="169"/>
  <c r="AM35" i="169"/>
  <c r="AL35" i="169"/>
  <c r="AH35" i="169"/>
  <c r="AG35" i="169"/>
  <c r="AC35" i="169"/>
  <c r="AB35" i="169"/>
  <c r="X35" i="169"/>
  <c r="S35" i="169"/>
  <c r="N35" i="169"/>
  <c r="M35" i="169"/>
  <c r="I35" i="169"/>
  <c r="H35" i="169"/>
  <c r="D35" i="169"/>
  <c r="C35" i="169"/>
  <c r="CR33" i="169"/>
  <c r="CG33" i="169"/>
  <c r="CB33" i="169"/>
  <c r="BW33" i="169"/>
  <c r="BR33" i="169"/>
  <c r="BM33" i="169"/>
  <c r="BH33" i="169"/>
  <c r="BC33" i="169"/>
  <c r="AX33" i="169"/>
  <c r="AS33" i="169"/>
  <c r="AN33" i="169"/>
  <c r="AI33" i="169"/>
  <c r="AD33" i="169"/>
  <c r="X33" i="169"/>
  <c r="CK33" i="169" s="1"/>
  <c r="W33" i="169"/>
  <c r="S33" i="169"/>
  <c r="R33" i="169"/>
  <c r="O33" i="169"/>
  <c r="J33" i="169"/>
  <c r="E33" i="169"/>
  <c r="CG32" i="169"/>
  <c r="CB32" i="169"/>
  <c r="BW32" i="169"/>
  <c r="BR32" i="169"/>
  <c r="BM32" i="169"/>
  <c r="BH32" i="169"/>
  <c r="BC32" i="169"/>
  <c r="AX32" i="169"/>
  <c r="AS32" i="169"/>
  <c r="AN32" i="169"/>
  <c r="AI32" i="169"/>
  <c r="AD32" i="169"/>
  <c r="X32" i="169"/>
  <c r="W32" i="169"/>
  <c r="CJ32" i="169" s="1"/>
  <c r="S32" i="169"/>
  <c r="R32" i="169"/>
  <c r="O32" i="169"/>
  <c r="J32" i="169"/>
  <c r="E32" i="169"/>
  <c r="CG31" i="169"/>
  <c r="CB31" i="169"/>
  <c r="BW31" i="169"/>
  <c r="BR31" i="169"/>
  <c r="BM31" i="169"/>
  <c r="BH31" i="169"/>
  <c r="BC31" i="169"/>
  <c r="AX31" i="169"/>
  <c r="AS31" i="169"/>
  <c r="AN31" i="169"/>
  <c r="AI31" i="169"/>
  <c r="AD31" i="169"/>
  <c r="X31" i="169"/>
  <c r="CK31" i="169" s="1"/>
  <c r="W31" i="169"/>
  <c r="CJ31" i="169" s="1"/>
  <c r="S31" i="169"/>
  <c r="R31" i="169"/>
  <c r="O31" i="169"/>
  <c r="J31" i="169"/>
  <c r="E31" i="169"/>
  <c r="CG30" i="169"/>
  <c r="CB30" i="169"/>
  <c r="BW30" i="169"/>
  <c r="BR30" i="169"/>
  <c r="BM30" i="169"/>
  <c r="BH30" i="169"/>
  <c r="BC30" i="169"/>
  <c r="AX30" i="169"/>
  <c r="AS30" i="169"/>
  <c r="AN30" i="169"/>
  <c r="AI30" i="169"/>
  <c r="AD30" i="169"/>
  <c r="X30" i="169"/>
  <c r="CK30" i="169" s="1"/>
  <c r="W30" i="169"/>
  <c r="CJ30" i="169" s="1"/>
  <c r="S30" i="169"/>
  <c r="R30" i="169"/>
  <c r="O30" i="169"/>
  <c r="J30" i="169"/>
  <c r="E30" i="169"/>
  <c r="CG29" i="169"/>
  <c r="CB29" i="169"/>
  <c r="BW29" i="169"/>
  <c r="BR29" i="169"/>
  <c r="BM29" i="169"/>
  <c r="BH29" i="169"/>
  <c r="BC29" i="169"/>
  <c r="AX29" i="169"/>
  <c r="AS29" i="169"/>
  <c r="AN29" i="169"/>
  <c r="AI29" i="169"/>
  <c r="AD29" i="169"/>
  <c r="X29" i="169"/>
  <c r="CK29" i="169" s="1"/>
  <c r="W29" i="169"/>
  <c r="CJ29" i="169" s="1"/>
  <c r="S29" i="169"/>
  <c r="R29" i="169"/>
  <c r="O29" i="169"/>
  <c r="J29" i="169"/>
  <c r="E29" i="169"/>
  <c r="CG28" i="169"/>
  <c r="CB28" i="169"/>
  <c r="BW28" i="169"/>
  <c r="BR28" i="169"/>
  <c r="BM28" i="169"/>
  <c r="BH28" i="169"/>
  <c r="BC28" i="169"/>
  <c r="AX28" i="169"/>
  <c r="AS28" i="169"/>
  <c r="AN28" i="169"/>
  <c r="AI28" i="169"/>
  <c r="AD28" i="169"/>
  <c r="X28" i="169"/>
  <c r="CK28" i="169" s="1"/>
  <c r="W28" i="169"/>
  <c r="CJ28" i="169" s="1"/>
  <c r="S28" i="169"/>
  <c r="T28" i="169" s="1"/>
  <c r="R28" i="169"/>
  <c r="O28" i="169"/>
  <c r="J28" i="169"/>
  <c r="E28" i="169"/>
  <c r="CG27" i="169"/>
  <c r="CB27" i="169"/>
  <c r="BW27" i="169"/>
  <c r="BR27" i="169"/>
  <c r="BM27" i="169"/>
  <c r="BH27" i="169"/>
  <c r="BC27" i="169"/>
  <c r="AX27" i="169"/>
  <c r="AS27" i="169"/>
  <c r="AN27" i="169"/>
  <c r="AI27" i="169"/>
  <c r="AD27" i="169"/>
  <c r="X27" i="169"/>
  <c r="CK27" i="169" s="1"/>
  <c r="W27" i="169"/>
  <c r="CJ27" i="169" s="1"/>
  <c r="S27" i="169"/>
  <c r="T27" i="169" s="1"/>
  <c r="R27" i="169"/>
  <c r="O27" i="169"/>
  <c r="J27" i="169"/>
  <c r="E27" i="169"/>
  <c r="CR26" i="169"/>
  <c r="CG26" i="169"/>
  <c r="CB26" i="169"/>
  <c r="BW26" i="169"/>
  <c r="BR26" i="169"/>
  <c r="BM26" i="169"/>
  <c r="BH26" i="169"/>
  <c r="BC26" i="169"/>
  <c r="AX26" i="169"/>
  <c r="AS26" i="169"/>
  <c r="AN26" i="169"/>
  <c r="AI26" i="169"/>
  <c r="AD26" i="169"/>
  <c r="X26" i="169"/>
  <c r="CK26" i="169" s="1"/>
  <c r="W26" i="169"/>
  <c r="Y26" i="169" s="1"/>
  <c r="S26" i="169"/>
  <c r="R26" i="169"/>
  <c r="O26" i="169"/>
  <c r="J26" i="169"/>
  <c r="E26" i="169"/>
  <c r="CG25" i="169"/>
  <c r="CB25" i="169"/>
  <c r="BW25" i="169"/>
  <c r="BR25" i="169"/>
  <c r="BM25" i="169"/>
  <c r="BH25" i="169"/>
  <c r="BC25" i="169"/>
  <c r="AX25" i="169"/>
  <c r="AS25" i="169"/>
  <c r="AL25" i="169"/>
  <c r="AN25" i="169" s="1"/>
  <c r="AI25" i="169"/>
  <c r="AD25" i="169"/>
  <c r="X25" i="169"/>
  <c r="CK25" i="169" s="1"/>
  <c r="W25" i="169"/>
  <c r="CJ25" i="169" s="1"/>
  <c r="S25" i="169"/>
  <c r="R25" i="169"/>
  <c r="O25" i="169"/>
  <c r="J25" i="169"/>
  <c r="E25" i="169"/>
  <c r="CG24" i="169"/>
  <c r="CB24" i="169"/>
  <c r="BW24" i="169"/>
  <c r="BR24" i="169"/>
  <c r="BM24" i="169"/>
  <c r="BH24" i="169"/>
  <c r="BC24" i="169"/>
  <c r="AX24" i="169"/>
  <c r="AS24" i="169"/>
  <c r="AN24" i="169"/>
  <c r="AI24" i="169"/>
  <c r="AD24" i="169"/>
  <c r="X24" i="169"/>
  <c r="CK24" i="169" s="1"/>
  <c r="W24" i="169"/>
  <c r="CJ24" i="169" s="1"/>
  <c r="S24" i="169"/>
  <c r="R24" i="169"/>
  <c r="O24" i="169"/>
  <c r="J24" i="169"/>
  <c r="E24" i="169"/>
  <c r="CG23" i="169"/>
  <c r="CB23" i="169"/>
  <c r="BW23" i="169"/>
  <c r="BR23" i="169"/>
  <c r="BM23" i="169"/>
  <c r="BH23" i="169"/>
  <c r="BC23" i="169"/>
  <c r="AX23" i="169"/>
  <c r="AS23" i="169"/>
  <c r="AN23" i="169"/>
  <c r="AI23" i="169"/>
  <c r="AD23" i="169"/>
  <c r="X23" i="169"/>
  <c r="CK23" i="169" s="1"/>
  <c r="W23" i="169"/>
  <c r="S23" i="169"/>
  <c r="R23" i="169"/>
  <c r="T23" i="169" s="1"/>
  <c r="O23" i="169"/>
  <c r="J23" i="169"/>
  <c r="E23" i="169"/>
  <c r="CG22" i="169"/>
  <c r="CB22" i="169"/>
  <c r="BW22" i="169"/>
  <c r="BR22" i="169"/>
  <c r="BM22" i="169"/>
  <c r="BH22" i="169"/>
  <c r="BC22" i="169"/>
  <c r="AX22" i="169"/>
  <c r="AS22" i="169"/>
  <c r="AN22" i="169"/>
  <c r="AI22" i="169"/>
  <c r="AD22" i="169"/>
  <c r="X22" i="169"/>
  <c r="CK22" i="169" s="1"/>
  <c r="W22" i="169"/>
  <c r="S22" i="169"/>
  <c r="R22" i="169"/>
  <c r="T22" i="169" s="1"/>
  <c r="O22" i="169"/>
  <c r="J22" i="169"/>
  <c r="E22" i="169"/>
  <c r="CG21" i="169"/>
  <c r="CB21" i="169"/>
  <c r="BW21" i="169"/>
  <c r="BR21" i="169"/>
  <c r="BM21" i="169"/>
  <c r="BH21" i="169"/>
  <c r="BC21" i="169"/>
  <c r="AX21" i="169"/>
  <c r="AS21" i="169"/>
  <c r="AN21" i="169"/>
  <c r="AI21" i="169"/>
  <c r="AD21" i="169"/>
  <c r="X21" i="169"/>
  <c r="CK21" i="169" s="1"/>
  <c r="W21" i="169"/>
  <c r="S21" i="169"/>
  <c r="R21" i="169"/>
  <c r="O21" i="169"/>
  <c r="J21" i="169"/>
  <c r="E21" i="169"/>
  <c r="CG20" i="169"/>
  <c r="CB20" i="169"/>
  <c r="BW20" i="169"/>
  <c r="BR20" i="169"/>
  <c r="BM20" i="169"/>
  <c r="BH20" i="169"/>
  <c r="BC20" i="169"/>
  <c r="AX20" i="169"/>
  <c r="AS20" i="169"/>
  <c r="AN20" i="169"/>
  <c r="AI20" i="169"/>
  <c r="AD20" i="169"/>
  <c r="X20" i="169"/>
  <c r="CK20" i="169" s="1"/>
  <c r="W20" i="169"/>
  <c r="S20" i="169"/>
  <c r="R20" i="169"/>
  <c r="O20" i="169"/>
  <c r="J20" i="169"/>
  <c r="E20" i="169"/>
  <c r="CG19" i="169"/>
  <c r="CB19" i="169"/>
  <c r="BW19" i="169"/>
  <c r="BR19" i="169"/>
  <c r="BM19" i="169"/>
  <c r="BH19" i="169"/>
  <c r="BC19" i="169"/>
  <c r="AX19" i="169"/>
  <c r="AS19" i="169"/>
  <c r="AN19" i="169"/>
  <c r="AI19" i="169"/>
  <c r="AD19" i="169"/>
  <c r="X19" i="169"/>
  <c r="CK19" i="169" s="1"/>
  <c r="W19" i="169"/>
  <c r="S19" i="169"/>
  <c r="R19" i="169"/>
  <c r="T19" i="169" s="1"/>
  <c r="O19" i="169"/>
  <c r="J19" i="169"/>
  <c r="E19" i="169"/>
  <c r="CG18" i="169"/>
  <c r="CB18" i="169"/>
  <c r="BW18" i="169"/>
  <c r="BR18" i="169"/>
  <c r="BM18" i="169"/>
  <c r="BH18" i="169"/>
  <c r="BC18" i="169"/>
  <c r="AX18" i="169"/>
  <c r="AS18" i="169"/>
  <c r="AN18" i="169"/>
  <c r="AI18" i="169"/>
  <c r="AD18" i="169"/>
  <c r="X18" i="169"/>
  <c r="CK18" i="169" s="1"/>
  <c r="W18" i="169"/>
  <c r="S18" i="169"/>
  <c r="R18" i="169"/>
  <c r="O18" i="169"/>
  <c r="J18" i="169"/>
  <c r="E18" i="169"/>
  <c r="CG17" i="169"/>
  <c r="CB17" i="169"/>
  <c r="BW17" i="169"/>
  <c r="BR17" i="169"/>
  <c r="BM17" i="169"/>
  <c r="BH17" i="169"/>
  <c r="BC17" i="169"/>
  <c r="AX17" i="169"/>
  <c r="AS17" i="169"/>
  <c r="AN17" i="169"/>
  <c r="AI17" i="169"/>
  <c r="AD17" i="169"/>
  <c r="X17" i="169"/>
  <c r="CK17" i="169" s="1"/>
  <c r="W17" i="169"/>
  <c r="S17" i="169"/>
  <c r="R17" i="169"/>
  <c r="O17" i="169"/>
  <c r="J17" i="169"/>
  <c r="E17" i="169"/>
  <c r="CG16" i="169"/>
  <c r="CB16" i="169"/>
  <c r="BW16" i="169"/>
  <c r="BR16" i="169"/>
  <c r="BM16" i="169"/>
  <c r="BH16" i="169"/>
  <c r="BC16" i="169"/>
  <c r="AX16" i="169"/>
  <c r="AS16" i="169"/>
  <c r="AN16" i="169"/>
  <c r="AI16" i="169"/>
  <c r="AD16" i="169"/>
  <c r="X16" i="169"/>
  <c r="CK16" i="169" s="1"/>
  <c r="W16" i="169"/>
  <c r="S16" i="169"/>
  <c r="R16" i="169"/>
  <c r="O16" i="169"/>
  <c r="J16" i="169"/>
  <c r="E16" i="169"/>
  <c r="CG15" i="169"/>
  <c r="CB15" i="169"/>
  <c r="BW15" i="169"/>
  <c r="BR15" i="169"/>
  <c r="BM15" i="169"/>
  <c r="BH15" i="169"/>
  <c r="BC15" i="169"/>
  <c r="AX15" i="169"/>
  <c r="AS15" i="169"/>
  <c r="AN15" i="169"/>
  <c r="AI15" i="169"/>
  <c r="AD15" i="169"/>
  <c r="X15" i="169"/>
  <c r="CK15" i="169" s="1"/>
  <c r="W15" i="169"/>
  <c r="S15" i="169"/>
  <c r="R15" i="169"/>
  <c r="T15" i="169" s="1"/>
  <c r="O15" i="169"/>
  <c r="J15" i="169"/>
  <c r="E15" i="169"/>
  <c r="CG14" i="169"/>
  <c r="CB14" i="169"/>
  <c r="BW14" i="169"/>
  <c r="BR14" i="169"/>
  <c r="BM14" i="169"/>
  <c r="BH14" i="169"/>
  <c r="BC14" i="169"/>
  <c r="AX14" i="169"/>
  <c r="AS14" i="169"/>
  <c r="AN14" i="169"/>
  <c r="AI14" i="169"/>
  <c r="AD14" i="169"/>
  <c r="X14" i="169"/>
  <c r="CK14" i="169" s="1"/>
  <c r="W14" i="169"/>
  <c r="S14" i="169"/>
  <c r="R14" i="169"/>
  <c r="O14" i="169"/>
  <c r="J14" i="169"/>
  <c r="E14" i="169"/>
  <c r="CG13" i="169"/>
  <c r="CB13" i="169"/>
  <c r="BW13" i="169"/>
  <c r="BR13" i="169"/>
  <c r="BM13" i="169"/>
  <c r="BH13" i="169"/>
  <c r="BC13" i="169"/>
  <c r="AX13" i="169"/>
  <c r="AS13" i="169"/>
  <c r="AN13" i="169"/>
  <c r="AI13" i="169"/>
  <c r="AD13" i="169"/>
  <c r="X13" i="169"/>
  <c r="CK13" i="169" s="1"/>
  <c r="W13" i="169"/>
  <c r="S13" i="169"/>
  <c r="R13" i="169"/>
  <c r="O13" i="169"/>
  <c r="J13" i="169"/>
  <c r="E13" i="169"/>
  <c r="CG12" i="169"/>
  <c r="CB12" i="169"/>
  <c r="BW12" i="169"/>
  <c r="BR12" i="169"/>
  <c r="BM12" i="169"/>
  <c r="BH12" i="169"/>
  <c r="BC12" i="169"/>
  <c r="AX12" i="169"/>
  <c r="AS12" i="169"/>
  <c r="AN12" i="169"/>
  <c r="AI12" i="169"/>
  <c r="AD12" i="169"/>
  <c r="X12" i="169"/>
  <c r="CK12" i="169" s="1"/>
  <c r="W12" i="169"/>
  <c r="S12" i="169"/>
  <c r="R12" i="169"/>
  <c r="O12" i="169"/>
  <c r="J12" i="169"/>
  <c r="E12" i="169"/>
  <c r="CG11" i="169"/>
  <c r="CB11" i="169"/>
  <c r="BW11" i="169"/>
  <c r="BR11" i="169"/>
  <c r="BM11" i="169"/>
  <c r="BH11" i="169"/>
  <c r="BC11" i="169"/>
  <c r="AX11" i="169"/>
  <c r="AS11" i="169"/>
  <c r="AN11" i="169"/>
  <c r="AI11" i="169"/>
  <c r="AI106" i="157" s="1"/>
  <c r="AD11" i="169"/>
  <c r="X11" i="169"/>
  <c r="CK11" i="169" s="1"/>
  <c r="W11" i="169"/>
  <c r="S11" i="169"/>
  <c r="R11" i="169"/>
  <c r="O11" i="169"/>
  <c r="J11" i="169"/>
  <c r="E11" i="169"/>
  <c r="CG10" i="169"/>
  <c r="CB10" i="169"/>
  <c r="BW10" i="169"/>
  <c r="BR10" i="169"/>
  <c r="BM10" i="169"/>
  <c r="BH10" i="169"/>
  <c r="BC10" i="169"/>
  <c r="AX10" i="169"/>
  <c r="AS10" i="169"/>
  <c r="AN10" i="169"/>
  <c r="AI10" i="169"/>
  <c r="AD10" i="169"/>
  <c r="X10" i="169"/>
  <c r="CK10" i="169" s="1"/>
  <c r="W10" i="169"/>
  <c r="S10" i="169"/>
  <c r="R10" i="169"/>
  <c r="O10" i="169"/>
  <c r="J10" i="169"/>
  <c r="E10" i="169"/>
  <c r="CG9" i="169"/>
  <c r="CB9" i="169"/>
  <c r="BW9" i="169"/>
  <c r="BR9" i="169"/>
  <c r="BM9" i="169"/>
  <c r="BM8" i="169" s="1"/>
  <c r="BH9" i="169"/>
  <c r="BC9" i="169"/>
  <c r="AX9" i="169"/>
  <c r="AS9" i="169"/>
  <c r="AN9" i="169"/>
  <c r="AN106" i="157" s="1"/>
  <c r="AI9" i="169"/>
  <c r="AD9" i="169"/>
  <c r="X9" i="169"/>
  <c r="CK9" i="169" s="1"/>
  <c r="W9" i="169"/>
  <c r="CJ9" i="169" s="1"/>
  <c r="S9" i="169"/>
  <c r="R9" i="169"/>
  <c r="T9" i="169" s="1"/>
  <c r="O9" i="169"/>
  <c r="J9" i="169"/>
  <c r="E9" i="169"/>
  <c r="CP8" i="169"/>
  <c r="CF8" i="169"/>
  <c r="CE8" i="169"/>
  <c r="CA8" i="169"/>
  <c r="BZ8" i="169"/>
  <c r="BW8" i="169"/>
  <c r="BV8" i="169"/>
  <c r="BU8" i="169"/>
  <c r="BQ8" i="169"/>
  <c r="BP8" i="169"/>
  <c r="BL8" i="169"/>
  <c r="BK8" i="169"/>
  <c r="BG8" i="169"/>
  <c r="BF8" i="169"/>
  <c r="BB8" i="169"/>
  <c r="BA8" i="169"/>
  <c r="AW8" i="169"/>
  <c r="AV8" i="169"/>
  <c r="AS8" i="169"/>
  <c r="AR8" i="169"/>
  <c r="AQ8" i="169"/>
  <c r="AM8" i="169"/>
  <c r="AL8" i="169"/>
  <c r="AI8" i="169"/>
  <c r="AH8" i="169"/>
  <c r="AG8" i="169"/>
  <c r="AC8" i="169"/>
  <c r="AB8" i="169"/>
  <c r="N8" i="169"/>
  <c r="M8" i="169"/>
  <c r="I8" i="169"/>
  <c r="H8" i="169"/>
  <c r="D8" i="169"/>
  <c r="C8" i="169"/>
  <c r="CG7" i="169"/>
  <c r="CB7" i="169"/>
  <c r="BW7" i="169"/>
  <c r="BR7" i="169"/>
  <c r="BM7" i="169"/>
  <c r="BH7" i="169"/>
  <c r="BC7" i="169"/>
  <c r="AX7" i="169"/>
  <c r="AS7" i="169"/>
  <c r="AN7" i="169"/>
  <c r="AI7" i="169"/>
  <c r="AD7" i="169"/>
  <c r="X7" i="169"/>
  <c r="W7" i="169"/>
  <c r="CJ7" i="169" s="1"/>
  <c r="S7" i="169"/>
  <c r="R7" i="169"/>
  <c r="O7" i="169"/>
  <c r="J7" i="169"/>
  <c r="E7" i="169"/>
  <c r="CG6" i="169"/>
  <c r="CB6" i="169"/>
  <c r="CB5" i="169" s="1"/>
  <c r="BW6" i="169"/>
  <c r="BR6" i="169"/>
  <c r="BM6" i="169"/>
  <c r="BH6" i="169"/>
  <c r="BH5" i="169" s="1"/>
  <c r="BC6" i="169"/>
  <c r="AX6" i="169"/>
  <c r="AS6" i="169"/>
  <c r="AS5" i="169" s="1"/>
  <c r="AS38" i="169" s="1"/>
  <c r="AL6" i="169"/>
  <c r="AN6" i="169" s="1"/>
  <c r="AN5" i="169" s="1"/>
  <c r="AI6" i="169"/>
  <c r="AD6" i="169"/>
  <c r="X6" i="169"/>
  <c r="X5" i="169" s="1"/>
  <c r="W6" i="169"/>
  <c r="CJ6" i="169" s="1"/>
  <c r="CJ5" i="169" s="1"/>
  <c r="S6" i="169"/>
  <c r="R6" i="169"/>
  <c r="O6" i="169"/>
  <c r="J6" i="169"/>
  <c r="J5" i="169" s="1"/>
  <c r="E6" i="169"/>
  <c r="CP5" i="169"/>
  <c r="CG5" i="169"/>
  <c r="CF5" i="169"/>
  <c r="CE5" i="169"/>
  <c r="CE38" i="169" s="1"/>
  <c r="CA5" i="169"/>
  <c r="CA38" i="169" s="1"/>
  <c r="BZ5" i="169"/>
  <c r="BZ38" i="169" s="1"/>
  <c r="BW5" i="169"/>
  <c r="BV5" i="169"/>
  <c r="BU5" i="169"/>
  <c r="BU38" i="169" s="1"/>
  <c r="BR5" i="169"/>
  <c r="BQ5" i="169"/>
  <c r="BP5" i="169"/>
  <c r="BM5" i="169"/>
  <c r="BL5" i="169"/>
  <c r="BK5" i="169"/>
  <c r="BG5" i="169"/>
  <c r="BG38" i="169" s="1"/>
  <c r="BF5" i="169"/>
  <c r="BF38" i="169" s="1"/>
  <c r="BC5" i="169"/>
  <c r="BB5" i="169"/>
  <c r="BA5" i="169"/>
  <c r="BA38" i="169" s="1"/>
  <c r="AW5" i="169"/>
  <c r="AW38" i="169" s="1"/>
  <c r="AV5" i="169"/>
  <c r="AV38" i="169" s="1"/>
  <c r="AR5" i="169"/>
  <c r="AQ5" i="169"/>
  <c r="AQ38" i="169" s="1"/>
  <c r="AM5" i="169"/>
  <c r="AM38" i="169" s="1"/>
  <c r="AL5" i="169"/>
  <c r="AL38" i="169" s="1"/>
  <c r="AI5" i="169"/>
  <c r="AI38" i="169" s="1"/>
  <c r="AH5" i="169"/>
  <c r="AG5" i="169"/>
  <c r="AG38" i="169" s="1"/>
  <c r="AD5" i="169"/>
  <c r="AC5" i="169"/>
  <c r="AC38" i="169" s="1"/>
  <c r="AB5" i="169"/>
  <c r="S5" i="169"/>
  <c r="O5" i="169"/>
  <c r="N5" i="169"/>
  <c r="N38" i="169" s="1"/>
  <c r="M5" i="169"/>
  <c r="M38" i="169" s="1"/>
  <c r="I5" i="169"/>
  <c r="H5" i="169"/>
  <c r="E5" i="169"/>
  <c r="D5" i="169"/>
  <c r="D38" i="169" s="1"/>
  <c r="C5" i="169"/>
  <c r="C38" i="169" s="1"/>
  <c r="CP85" i="170"/>
  <c r="CQ85" i="170" s="1"/>
  <c r="CL85" i="170"/>
  <c r="CK85" i="170"/>
  <c r="CJ85" i="170"/>
  <c r="CG85" i="170"/>
  <c r="CB85" i="170"/>
  <c r="BW85" i="170"/>
  <c r="BR85" i="170"/>
  <c r="BM85" i="170"/>
  <c r="BH85" i="170"/>
  <c r="BC85" i="170"/>
  <c r="AX85" i="170"/>
  <c r="AS85" i="170"/>
  <c r="AN85" i="170"/>
  <c r="AI85" i="170"/>
  <c r="AD85" i="170"/>
  <c r="X85" i="170"/>
  <c r="W85" i="170"/>
  <c r="Y85" i="170" s="1"/>
  <c r="S85" i="170"/>
  <c r="R85" i="170"/>
  <c r="O85" i="170"/>
  <c r="J85" i="170"/>
  <c r="E85" i="170"/>
  <c r="CP82" i="170"/>
  <c r="CQ82" i="170" s="1"/>
  <c r="CL82" i="170"/>
  <c r="CG82" i="170"/>
  <c r="CB82" i="170"/>
  <c r="BW82" i="170"/>
  <c r="BR82" i="170"/>
  <c r="BM82" i="170"/>
  <c r="BH82" i="170"/>
  <c r="BC82" i="170"/>
  <c r="AX82" i="170"/>
  <c r="AS82" i="170"/>
  <c r="AN82" i="170"/>
  <c r="AI82" i="170"/>
  <c r="AD82" i="170"/>
  <c r="X82" i="170"/>
  <c r="W82" i="170"/>
  <c r="S82" i="170"/>
  <c r="R82" i="170"/>
  <c r="T82" i="170" s="1"/>
  <c r="O82" i="170"/>
  <c r="J82" i="170"/>
  <c r="E82" i="170"/>
  <c r="CK80" i="170"/>
  <c r="CJ80" i="170"/>
  <c r="CP79" i="170"/>
  <c r="BM79" i="170"/>
  <c r="X79" i="170"/>
  <c r="CK79" i="170" s="1"/>
  <c r="S79" i="170"/>
  <c r="CP78" i="170"/>
  <c r="CG78" i="170"/>
  <c r="CB78" i="170"/>
  <c r="BW78" i="170"/>
  <c r="BR78" i="170"/>
  <c r="BM78" i="170"/>
  <c r="BH78" i="170"/>
  <c r="BC78" i="170"/>
  <c r="AX78" i="170"/>
  <c r="AS78" i="170"/>
  <c r="AN78" i="170"/>
  <c r="AI78" i="170"/>
  <c r="AD78" i="170"/>
  <c r="X78" i="170"/>
  <c r="CK78" i="170" s="1"/>
  <c r="CK77" i="170" s="1"/>
  <c r="W78" i="170"/>
  <c r="CJ78" i="170" s="1"/>
  <c r="S78" i="170"/>
  <c r="R78" i="170"/>
  <c r="O78" i="170"/>
  <c r="J78" i="170"/>
  <c r="E78" i="170"/>
  <c r="CF77" i="170"/>
  <c r="CA77" i="170"/>
  <c r="BV77" i="170"/>
  <c r="BQ77" i="170"/>
  <c r="BL77" i="170"/>
  <c r="BK77" i="170"/>
  <c r="BG77" i="170"/>
  <c r="BB77" i="170"/>
  <c r="AW77" i="170"/>
  <c r="AR77" i="170"/>
  <c r="AM77" i="170"/>
  <c r="AH77" i="170"/>
  <c r="AC77" i="170"/>
  <c r="X77" i="170"/>
  <c r="N77" i="170"/>
  <c r="I77" i="170"/>
  <c r="D77" i="170"/>
  <c r="CP74" i="170"/>
  <c r="CQ74" i="170" s="1"/>
  <c r="CQ73" i="170" s="1"/>
  <c r="CK74" i="170"/>
  <c r="CJ74" i="170"/>
  <c r="CG74" i="170"/>
  <c r="CG73" i="170" s="1"/>
  <c r="CB74" i="170"/>
  <c r="CB73" i="170" s="1"/>
  <c r="BW74" i="170"/>
  <c r="BW73" i="170" s="1"/>
  <c r="BR74" i="170"/>
  <c r="BR73" i="170" s="1"/>
  <c r="BM74" i="170"/>
  <c r="BH74" i="170"/>
  <c r="BC74" i="170"/>
  <c r="AX74" i="170"/>
  <c r="AX73" i="170" s="1"/>
  <c r="AS74" i="170"/>
  <c r="AS73" i="170" s="1"/>
  <c r="AN74" i="170"/>
  <c r="AI74" i="170"/>
  <c r="AD74" i="170"/>
  <c r="X74" i="170"/>
  <c r="W74" i="170"/>
  <c r="W73" i="170" s="1"/>
  <c r="O74" i="170"/>
  <c r="O73" i="170" s="1"/>
  <c r="J74" i="170"/>
  <c r="J73" i="170" s="1"/>
  <c r="E74" i="170"/>
  <c r="E73" i="170" s="1"/>
  <c r="CK73" i="170"/>
  <c r="CF73" i="170"/>
  <c r="CE73" i="170"/>
  <c r="CA73" i="170"/>
  <c r="BZ73" i="170"/>
  <c r="BV73" i="170"/>
  <c r="BU73" i="170"/>
  <c r="BQ73" i="170"/>
  <c r="BP73" i="170"/>
  <c r="BM73" i="170"/>
  <c r="BL73" i="170"/>
  <c r="BK73" i="170"/>
  <c r="BH73" i="170"/>
  <c r="BG73" i="170"/>
  <c r="BF73" i="170"/>
  <c r="BC73" i="170"/>
  <c r="BB73" i="170"/>
  <c r="BA73" i="170"/>
  <c r="AW73" i="170"/>
  <c r="AV73" i="170"/>
  <c r="AR73" i="170"/>
  <c r="AQ73" i="170"/>
  <c r="AN73" i="170"/>
  <c r="AM73" i="170"/>
  <c r="AL73" i="170"/>
  <c r="AI73" i="170"/>
  <c r="AH73" i="170"/>
  <c r="AG73" i="170"/>
  <c r="CP83" i="157" s="1"/>
  <c r="AD73" i="170"/>
  <c r="AC73" i="170"/>
  <c r="AB73" i="170"/>
  <c r="Y73" i="170"/>
  <c r="X73" i="170"/>
  <c r="T73" i="170"/>
  <c r="S73" i="170"/>
  <c r="R73" i="170"/>
  <c r="N73" i="170"/>
  <c r="M73" i="170"/>
  <c r="I73" i="170"/>
  <c r="H73" i="170"/>
  <c r="D73" i="170"/>
  <c r="C73" i="170"/>
  <c r="CP71" i="170"/>
  <c r="CQ71" i="170" s="1"/>
  <c r="CG71" i="170"/>
  <c r="CB71" i="170"/>
  <c r="BW71" i="170"/>
  <c r="BR71" i="170"/>
  <c r="BM71" i="170"/>
  <c r="BH71" i="170"/>
  <c r="BC71" i="170"/>
  <c r="AX71" i="170"/>
  <c r="AS71" i="170"/>
  <c r="AN71" i="170"/>
  <c r="AI71" i="170"/>
  <c r="AD71" i="170"/>
  <c r="X71" i="170"/>
  <c r="CK71" i="170" s="1"/>
  <c r="W71" i="170"/>
  <c r="S71" i="170"/>
  <c r="R71" i="170"/>
  <c r="O71" i="170"/>
  <c r="J71" i="170"/>
  <c r="E71" i="170"/>
  <c r="CP70" i="170"/>
  <c r="CQ70" i="170" s="1"/>
  <c r="CG70" i="170"/>
  <c r="CB70" i="170"/>
  <c r="BW70" i="170"/>
  <c r="BR70" i="170"/>
  <c r="BM70" i="170"/>
  <c r="BH70" i="170"/>
  <c r="BC70" i="170"/>
  <c r="AX70" i="170"/>
  <c r="AS70" i="170"/>
  <c r="AN70" i="170"/>
  <c r="AI70" i="170"/>
  <c r="AD70" i="170"/>
  <c r="X70" i="170"/>
  <c r="CK70" i="170" s="1"/>
  <c r="W70" i="170"/>
  <c r="S70" i="170"/>
  <c r="R70" i="170"/>
  <c r="T70" i="170" s="1"/>
  <c r="O70" i="170"/>
  <c r="J70" i="170"/>
  <c r="E70" i="170"/>
  <c r="CP69" i="170"/>
  <c r="CQ69" i="170" s="1"/>
  <c r="CG69" i="170"/>
  <c r="CB69" i="170"/>
  <c r="BW69" i="170"/>
  <c r="BR69" i="170"/>
  <c r="BM69" i="170"/>
  <c r="BH69" i="170"/>
  <c r="BC69" i="170"/>
  <c r="AX69" i="170"/>
  <c r="AS69" i="170"/>
  <c r="AN69" i="170"/>
  <c r="AI69" i="170"/>
  <c r="AD69" i="170"/>
  <c r="X69" i="170"/>
  <c r="CK69" i="170" s="1"/>
  <c r="W69" i="170"/>
  <c r="S69" i="170"/>
  <c r="R69" i="170"/>
  <c r="T69" i="170" s="1"/>
  <c r="O69" i="170"/>
  <c r="J69" i="170"/>
  <c r="E69" i="170"/>
  <c r="CP68" i="170"/>
  <c r="CQ68" i="170" s="1"/>
  <c r="CG68" i="170"/>
  <c r="CB68" i="170"/>
  <c r="BW68" i="170"/>
  <c r="BR68" i="170"/>
  <c r="BM68" i="170"/>
  <c r="BH68" i="170"/>
  <c r="BC68" i="170"/>
  <c r="AX68" i="170"/>
  <c r="AS68" i="170"/>
  <c r="AN68" i="170"/>
  <c r="AI68" i="170"/>
  <c r="AD68" i="170"/>
  <c r="X68" i="170"/>
  <c r="CK68" i="170" s="1"/>
  <c r="W68" i="170"/>
  <c r="S68" i="170"/>
  <c r="R68" i="170"/>
  <c r="T68" i="170" s="1"/>
  <c r="O68" i="170"/>
  <c r="J68" i="170"/>
  <c r="E68" i="170"/>
  <c r="CP67" i="170"/>
  <c r="CQ67" i="170" s="1"/>
  <c r="CG67" i="170"/>
  <c r="CB67" i="170"/>
  <c r="BW67" i="170"/>
  <c r="BR67" i="170"/>
  <c r="BM67" i="170"/>
  <c r="BH67" i="170"/>
  <c r="BC67" i="170"/>
  <c r="AX67" i="170"/>
  <c r="AS67" i="170"/>
  <c r="AN67" i="170"/>
  <c r="AI67" i="170"/>
  <c r="AD67" i="170"/>
  <c r="X67" i="170"/>
  <c r="CK67" i="170" s="1"/>
  <c r="W67" i="170"/>
  <c r="S67" i="170"/>
  <c r="R67" i="170"/>
  <c r="O67" i="170"/>
  <c r="J67" i="170"/>
  <c r="E67" i="170"/>
  <c r="CP66" i="170"/>
  <c r="CQ66" i="170" s="1"/>
  <c r="CG66" i="170"/>
  <c r="CB66" i="170"/>
  <c r="BW66" i="170"/>
  <c r="BR66" i="170"/>
  <c r="BM66" i="170"/>
  <c r="BH66" i="170"/>
  <c r="BC66" i="170"/>
  <c r="AX66" i="170"/>
  <c r="AS66" i="170"/>
  <c r="AN66" i="170"/>
  <c r="AI66" i="170"/>
  <c r="AD66" i="170"/>
  <c r="X66" i="170"/>
  <c r="CK66" i="170" s="1"/>
  <c r="W66" i="170"/>
  <c r="S66" i="170"/>
  <c r="R66" i="170"/>
  <c r="T66" i="170" s="1"/>
  <c r="O66" i="170"/>
  <c r="J66" i="170"/>
  <c r="E66" i="170"/>
  <c r="CP65" i="170"/>
  <c r="CG65" i="170"/>
  <c r="CB65" i="170"/>
  <c r="BW65" i="170"/>
  <c r="BR65" i="170"/>
  <c r="BM65" i="170"/>
  <c r="BH65" i="170"/>
  <c r="BC65" i="170"/>
  <c r="AX65" i="170"/>
  <c r="AS65" i="170"/>
  <c r="AN65" i="170"/>
  <c r="AI65" i="170"/>
  <c r="AD65" i="170"/>
  <c r="X65" i="170"/>
  <c r="CK65" i="170" s="1"/>
  <c r="W65" i="170"/>
  <c r="S65" i="170"/>
  <c r="R65" i="170"/>
  <c r="O65" i="170"/>
  <c r="J65" i="170"/>
  <c r="E65" i="170"/>
  <c r="CP64" i="170"/>
  <c r="CQ64" i="170" s="1"/>
  <c r="CG64" i="170"/>
  <c r="CB64" i="170"/>
  <c r="BW64" i="170"/>
  <c r="BR64" i="170"/>
  <c r="BM64" i="170"/>
  <c r="BH64" i="170"/>
  <c r="BC64" i="170"/>
  <c r="AX64" i="170"/>
  <c r="AS64" i="170"/>
  <c r="AN64" i="170"/>
  <c r="AI64" i="170"/>
  <c r="AD64" i="170"/>
  <c r="X64" i="170"/>
  <c r="W64" i="170"/>
  <c r="S64" i="170"/>
  <c r="R64" i="170"/>
  <c r="O64" i="170"/>
  <c r="J64" i="170"/>
  <c r="E64" i="170"/>
  <c r="CP63" i="170"/>
  <c r="CQ63" i="170" s="1"/>
  <c r="CG63" i="170"/>
  <c r="CB63" i="170"/>
  <c r="BW63" i="170"/>
  <c r="BR63" i="170"/>
  <c r="BM63" i="170"/>
  <c r="BH63" i="170"/>
  <c r="BC63" i="170"/>
  <c r="AX63" i="170"/>
  <c r="AS63" i="170"/>
  <c r="AN63" i="170"/>
  <c r="AI63" i="170"/>
  <c r="AD63" i="170"/>
  <c r="X63" i="170"/>
  <c r="CK63" i="170" s="1"/>
  <c r="W63" i="170"/>
  <c r="T63" i="170"/>
  <c r="S63" i="170"/>
  <c r="R63" i="170"/>
  <c r="O63" i="170"/>
  <c r="J63" i="170"/>
  <c r="E63" i="170"/>
  <c r="CP62" i="170"/>
  <c r="CQ62" i="170" s="1"/>
  <c r="CG62" i="170"/>
  <c r="CB62" i="170"/>
  <c r="BW62" i="170"/>
  <c r="BR62" i="170"/>
  <c r="BM62" i="170"/>
  <c r="BH62" i="170"/>
  <c r="BC62" i="170"/>
  <c r="AX62" i="170"/>
  <c r="AS62" i="170"/>
  <c r="AN62" i="170"/>
  <c r="AI62" i="170"/>
  <c r="AD62" i="170"/>
  <c r="X62" i="170"/>
  <c r="CK62" i="170" s="1"/>
  <c r="W62" i="170"/>
  <c r="S62" i="170"/>
  <c r="R62" i="170"/>
  <c r="O62" i="170"/>
  <c r="J62" i="170"/>
  <c r="E62" i="170"/>
  <c r="CP61" i="170"/>
  <c r="CQ61" i="170" s="1"/>
  <c r="CG61" i="170"/>
  <c r="CB61" i="170"/>
  <c r="BW61" i="170"/>
  <c r="BR61" i="170"/>
  <c r="BM61" i="170"/>
  <c r="BH61" i="170"/>
  <c r="BC61" i="170"/>
  <c r="AX61" i="170"/>
  <c r="AS61" i="170"/>
  <c r="AN61" i="170"/>
  <c r="AI61" i="170"/>
  <c r="AD61" i="170"/>
  <c r="X61" i="170"/>
  <c r="CK61" i="170" s="1"/>
  <c r="W61" i="170"/>
  <c r="S61" i="170"/>
  <c r="R61" i="170"/>
  <c r="T61" i="170" s="1"/>
  <c r="O61" i="170"/>
  <c r="J61" i="170"/>
  <c r="E61" i="170"/>
  <c r="CP60" i="170"/>
  <c r="CQ60" i="170" s="1"/>
  <c r="CG60" i="170"/>
  <c r="CB60" i="170"/>
  <c r="BW60" i="170"/>
  <c r="BR60" i="170"/>
  <c r="BM60" i="170"/>
  <c r="BH60" i="170"/>
  <c r="BC60" i="170"/>
  <c r="AX60" i="170"/>
  <c r="AS60" i="170"/>
  <c r="AN60" i="170"/>
  <c r="AI60" i="170"/>
  <c r="AD60" i="170"/>
  <c r="X60" i="170"/>
  <c r="CK60" i="170" s="1"/>
  <c r="W60" i="170"/>
  <c r="S60" i="170"/>
  <c r="R60" i="170"/>
  <c r="T60" i="170" s="1"/>
  <c r="O60" i="170"/>
  <c r="J60" i="170"/>
  <c r="E60" i="170"/>
  <c r="CP59" i="170"/>
  <c r="CQ59" i="170" s="1"/>
  <c r="CK59" i="170"/>
  <c r="CG59" i="170"/>
  <c r="CB59" i="170"/>
  <c r="BW59" i="170"/>
  <c r="BR59" i="170"/>
  <c r="BM59" i="170"/>
  <c r="BH59" i="170"/>
  <c r="BC59" i="170"/>
  <c r="AX59" i="170"/>
  <c r="AS59" i="170"/>
  <c r="AN59" i="170"/>
  <c r="AI59" i="170"/>
  <c r="AD59" i="170"/>
  <c r="X59" i="170"/>
  <c r="W59" i="170"/>
  <c r="S59" i="170"/>
  <c r="R59" i="170"/>
  <c r="O59" i="170"/>
  <c r="J59" i="170"/>
  <c r="E59" i="170"/>
  <c r="CQ58" i="170"/>
  <c r="CP58" i="170"/>
  <c r="CG58" i="170"/>
  <c r="CB58" i="170"/>
  <c r="BW58" i="170"/>
  <c r="BR58" i="170"/>
  <c r="BM58" i="170"/>
  <c r="BH58" i="170"/>
  <c r="BC58" i="170"/>
  <c r="AX58" i="170"/>
  <c r="AS58" i="170"/>
  <c r="AN58" i="170"/>
  <c r="AI58" i="170"/>
  <c r="AD58" i="170"/>
  <c r="X58" i="170"/>
  <c r="CK58" i="170" s="1"/>
  <c r="W58" i="170"/>
  <c r="S58" i="170"/>
  <c r="R58" i="170"/>
  <c r="O58" i="170"/>
  <c r="J58" i="170"/>
  <c r="E58" i="170"/>
  <c r="CP57" i="170"/>
  <c r="CQ57" i="170" s="1"/>
  <c r="CK57" i="170"/>
  <c r="CG57" i="170"/>
  <c r="CB57" i="170"/>
  <c r="BW57" i="170"/>
  <c r="BR57" i="170"/>
  <c r="BM57" i="170"/>
  <c r="BH57" i="170"/>
  <c r="BC57" i="170"/>
  <c r="AX57" i="170"/>
  <c r="AS57" i="170"/>
  <c r="AN57" i="170"/>
  <c r="AI57" i="170"/>
  <c r="AD57" i="170"/>
  <c r="X57" i="170"/>
  <c r="W57" i="170"/>
  <c r="S57" i="170"/>
  <c r="R57" i="170"/>
  <c r="O57" i="170"/>
  <c r="J57" i="170"/>
  <c r="E57" i="170"/>
  <c r="CP56" i="170"/>
  <c r="CQ56" i="170" s="1"/>
  <c r="CG56" i="170"/>
  <c r="CB56" i="170"/>
  <c r="BW56" i="170"/>
  <c r="BR56" i="170"/>
  <c r="BM56" i="170"/>
  <c r="BH56" i="170"/>
  <c r="BC56" i="170"/>
  <c r="AX56" i="170"/>
  <c r="AS56" i="170"/>
  <c r="AN56" i="170"/>
  <c r="AI56" i="170"/>
  <c r="AD56" i="170"/>
  <c r="X56" i="170"/>
  <c r="CK56" i="170" s="1"/>
  <c r="W56" i="170"/>
  <c r="S56" i="170"/>
  <c r="R56" i="170"/>
  <c r="R54" i="170" s="1"/>
  <c r="O56" i="170"/>
  <c r="J56" i="170"/>
  <c r="E56" i="170"/>
  <c r="CP55" i="170"/>
  <c r="CQ55" i="170" s="1"/>
  <c r="CG55" i="170"/>
  <c r="CB55" i="170"/>
  <c r="BW55" i="170"/>
  <c r="BW54" i="170" s="1"/>
  <c r="BR55" i="170"/>
  <c r="BM55" i="170"/>
  <c r="BH55" i="170"/>
  <c r="BH54" i="170" s="1"/>
  <c r="BC55" i="170"/>
  <c r="AX55" i="170"/>
  <c r="AS55" i="170"/>
  <c r="AN55" i="170"/>
  <c r="AI55" i="170"/>
  <c r="AD55" i="170"/>
  <c r="X55" i="170"/>
  <c r="CK55" i="170" s="1"/>
  <c r="W55" i="170"/>
  <c r="S55" i="170"/>
  <c r="R55" i="170"/>
  <c r="T55" i="170" s="1"/>
  <c r="O55" i="170"/>
  <c r="J55" i="170"/>
  <c r="E55" i="170"/>
  <c r="E54" i="170" s="1"/>
  <c r="CF54" i="170"/>
  <c r="CE54" i="170"/>
  <c r="CA54" i="170"/>
  <c r="BZ54" i="170"/>
  <c r="BV54" i="170"/>
  <c r="BU54" i="170"/>
  <c r="BQ54" i="170"/>
  <c r="BP54" i="170"/>
  <c r="BL54" i="170"/>
  <c r="BK54" i="170"/>
  <c r="BG54" i="170"/>
  <c r="BF54" i="170"/>
  <c r="BB54" i="170"/>
  <c r="BA54" i="170"/>
  <c r="AW54" i="170"/>
  <c r="AV54" i="170"/>
  <c r="AS54" i="170"/>
  <c r="AR54" i="170"/>
  <c r="AQ54" i="170"/>
  <c r="AM54" i="170"/>
  <c r="AL54" i="170"/>
  <c r="AH54" i="170"/>
  <c r="AG54" i="170"/>
  <c r="AD54" i="170"/>
  <c r="AC54" i="170"/>
  <c r="AB54" i="170"/>
  <c r="N54" i="170"/>
  <c r="M54" i="170"/>
  <c r="I54" i="170"/>
  <c r="H54" i="170"/>
  <c r="D54" i="170"/>
  <c r="C54" i="170"/>
  <c r="CK53" i="170"/>
  <c r="CJ53" i="170"/>
  <c r="CP52" i="170"/>
  <c r="CQ52" i="170" s="1"/>
  <c r="CG52" i="170"/>
  <c r="CB52" i="170"/>
  <c r="BW52" i="170"/>
  <c r="BR52" i="170"/>
  <c r="BM52" i="170"/>
  <c r="BH52" i="170"/>
  <c r="BC52" i="170"/>
  <c r="AX52" i="170"/>
  <c r="AS52" i="170"/>
  <c r="AN52" i="170"/>
  <c r="AI52" i="170"/>
  <c r="AD52" i="170"/>
  <c r="X52" i="170"/>
  <c r="CK52" i="170" s="1"/>
  <c r="W52" i="170"/>
  <c r="CJ52" i="170" s="1"/>
  <c r="S52" i="170"/>
  <c r="R52" i="170"/>
  <c r="T52" i="170" s="1"/>
  <c r="O52" i="170"/>
  <c r="J52" i="170"/>
  <c r="E52" i="170"/>
  <c r="CP51" i="170"/>
  <c r="CQ51" i="170" s="1"/>
  <c r="CG51" i="170"/>
  <c r="CG50" i="170" s="1"/>
  <c r="CB51" i="170"/>
  <c r="BW51" i="170"/>
  <c r="BR51" i="170"/>
  <c r="BR50" i="170" s="1"/>
  <c r="BM51" i="170"/>
  <c r="BH51" i="170"/>
  <c r="BH50" i="170" s="1"/>
  <c r="BC51" i="170"/>
  <c r="AX51" i="170"/>
  <c r="AS51" i="170"/>
  <c r="AN51" i="170"/>
  <c r="AN50" i="170" s="1"/>
  <c r="AI51" i="170"/>
  <c r="AD51" i="170"/>
  <c r="X51" i="170"/>
  <c r="CK51" i="170" s="1"/>
  <c r="W51" i="170"/>
  <c r="CJ51" i="170" s="1"/>
  <c r="S51" i="170"/>
  <c r="R51" i="170"/>
  <c r="O51" i="170"/>
  <c r="J51" i="170"/>
  <c r="J50" i="170" s="1"/>
  <c r="E51" i="170"/>
  <c r="CF50" i="170"/>
  <c r="CE50" i="170"/>
  <c r="CA50" i="170"/>
  <c r="BZ50" i="170"/>
  <c r="BW50" i="170"/>
  <c r="BV50" i="170"/>
  <c r="BU50" i="170"/>
  <c r="BQ50" i="170"/>
  <c r="BP50" i="170"/>
  <c r="BL50" i="170"/>
  <c r="BK50" i="170"/>
  <c r="BG50" i="170"/>
  <c r="BF50" i="170"/>
  <c r="BC50" i="170"/>
  <c r="BB50" i="170"/>
  <c r="BA50" i="170"/>
  <c r="AW50" i="170"/>
  <c r="AV50" i="170"/>
  <c r="AS50" i="170"/>
  <c r="AR50" i="170"/>
  <c r="AQ50" i="170"/>
  <c r="AM50" i="170"/>
  <c r="AL50" i="170"/>
  <c r="AH50" i="170"/>
  <c r="AG50" i="170"/>
  <c r="AC50" i="170"/>
  <c r="AB50" i="170"/>
  <c r="N50" i="170"/>
  <c r="M50" i="170"/>
  <c r="I50" i="170"/>
  <c r="H50" i="170"/>
  <c r="D50" i="170"/>
  <c r="C50" i="170"/>
  <c r="CP48" i="170"/>
  <c r="CQ48" i="170" s="1"/>
  <c r="CG48" i="170"/>
  <c r="CB48" i="170"/>
  <c r="BW48" i="170"/>
  <c r="BR48" i="170"/>
  <c r="BM48" i="170"/>
  <c r="BH48" i="170"/>
  <c r="BC48" i="170"/>
  <c r="AX48" i="170"/>
  <c r="AS48" i="170"/>
  <c r="AN48" i="170"/>
  <c r="AI48" i="170"/>
  <c r="AD48" i="170"/>
  <c r="X48" i="170"/>
  <c r="Y48" i="170" s="1"/>
  <c r="W48" i="170"/>
  <c r="CJ48" i="170" s="1"/>
  <c r="S48" i="170"/>
  <c r="T48" i="170" s="1"/>
  <c r="R48" i="170"/>
  <c r="O48" i="170"/>
  <c r="J48" i="170"/>
  <c r="E48" i="170"/>
  <c r="CP47" i="170"/>
  <c r="CQ47" i="170" s="1"/>
  <c r="CG47" i="170"/>
  <c r="CB47" i="170"/>
  <c r="BW47" i="170"/>
  <c r="BR47" i="170"/>
  <c r="BM47" i="170"/>
  <c r="BH47" i="170"/>
  <c r="BC47" i="170"/>
  <c r="AX47" i="170"/>
  <c r="AS47" i="170"/>
  <c r="AN47" i="170"/>
  <c r="AI47" i="170"/>
  <c r="AD47" i="170"/>
  <c r="X47" i="170"/>
  <c r="CK47" i="170" s="1"/>
  <c r="W47" i="170"/>
  <c r="CJ47" i="170" s="1"/>
  <c r="S47" i="170"/>
  <c r="R47" i="170"/>
  <c r="O47" i="170"/>
  <c r="J47" i="170"/>
  <c r="E47" i="170"/>
  <c r="CP46" i="170"/>
  <c r="CQ46" i="170" s="1"/>
  <c r="CG46" i="170"/>
  <c r="CB46" i="170"/>
  <c r="BW46" i="170"/>
  <c r="BR46" i="170"/>
  <c r="BM46" i="170"/>
  <c r="BH46" i="170"/>
  <c r="BC46" i="170"/>
  <c r="AX46" i="170"/>
  <c r="AS46" i="170"/>
  <c r="AN46" i="170"/>
  <c r="AI46" i="170"/>
  <c r="AD46" i="170"/>
  <c r="X46" i="170"/>
  <c r="CK46" i="170" s="1"/>
  <c r="W46" i="170"/>
  <c r="CJ46" i="170" s="1"/>
  <c r="S46" i="170"/>
  <c r="R46" i="170"/>
  <c r="O46" i="170"/>
  <c r="J46" i="170"/>
  <c r="E46" i="170"/>
  <c r="CP45" i="170"/>
  <c r="CQ45" i="170" s="1"/>
  <c r="CG45" i="170"/>
  <c r="CB45" i="170"/>
  <c r="BW45" i="170"/>
  <c r="BR45" i="170"/>
  <c r="BM45" i="170"/>
  <c r="BH45" i="170"/>
  <c r="BC45" i="170"/>
  <c r="AX45" i="170"/>
  <c r="AS45" i="170"/>
  <c r="AN45" i="170"/>
  <c r="AI45" i="170"/>
  <c r="AD45" i="170"/>
  <c r="X45" i="170"/>
  <c r="W45" i="170"/>
  <c r="CJ45" i="170" s="1"/>
  <c r="S45" i="170"/>
  <c r="T45" i="170" s="1"/>
  <c r="R45" i="170"/>
  <c r="O45" i="170"/>
  <c r="J45" i="170"/>
  <c r="E45" i="170"/>
  <c r="CP44" i="170"/>
  <c r="CQ44" i="170" s="1"/>
  <c r="CG44" i="170"/>
  <c r="CB44" i="170"/>
  <c r="BW44" i="170"/>
  <c r="BR44" i="170"/>
  <c r="BM44" i="170"/>
  <c r="BH44" i="170"/>
  <c r="BC44" i="170"/>
  <c r="AX44" i="170"/>
  <c r="AS44" i="170"/>
  <c r="AN44" i="170"/>
  <c r="AI44" i="170"/>
  <c r="AD44" i="170"/>
  <c r="X44" i="170"/>
  <c r="CK44" i="170" s="1"/>
  <c r="W44" i="170"/>
  <c r="CJ44" i="170" s="1"/>
  <c r="S44" i="170"/>
  <c r="R44" i="170"/>
  <c r="O44" i="170"/>
  <c r="J44" i="170"/>
  <c r="E44" i="170"/>
  <c r="CP43" i="170"/>
  <c r="CQ43" i="170" s="1"/>
  <c r="CG43" i="170"/>
  <c r="CB43" i="170"/>
  <c r="BW43" i="170"/>
  <c r="BR43" i="170"/>
  <c r="BM43" i="170"/>
  <c r="BH43" i="170"/>
  <c r="BC43" i="170"/>
  <c r="AX43" i="170"/>
  <c r="AS43" i="170"/>
  <c r="AS41" i="170" s="1"/>
  <c r="AN43" i="170"/>
  <c r="AI43" i="170"/>
  <c r="AD43" i="170"/>
  <c r="X43" i="170"/>
  <c r="CK43" i="170" s="1"/>
  <c r="W43" i="170"/>
  <c r="CJ43" i="170" s="1"/>
  <c r="S43" i="170"/>
  <c r="R43" i="170"/>
  <c r="T43" i="170" s="1"/>
  <c r="O43" i="170"/>
  <c r="J43" i="170"/>
  <c r="E43" i="170"/>
  <c r="CP42" i="170"/>
  <c r="CP41" i="170" s="1"/>
  <c r="CG42" i="170"/>
  <c r="CB42" i="170"/>
  <c r="BW42" i="170"/>
  <c r="BR42" i="170"/>
  <c r="BM42" i="170"/>
  <c r="BH42" i="170"/>
  <c r="BC42" i="170"/>
  <c r="AX42" i="170"/>
  <c r="AS42" i="170"/>
  <c r="AN42" i="170"/>
  <c r="AI42" i="170"/>
  <c r="AD42" i="170"/>
  <c r="X42" i="170"/>
  <c r="CK42" i="170" s="1"/>
  <c r="W42" i="170"/>
  <c r="CJ42" i="170" s="1"/>
  <c r="S42" i="170"/>
  <c r="T42" i="170" s="1"/>
  <c r="R42" i="170"/>
  <c r="O42" i="170"/>
  <c r="J42" i="170"/>
  <c r="E42" i="170"/>
  <c r="E41" i="170" s="1"/>
  <c r="CF41" i="170"/>
  <c r="CE41" i="170"/>
  <c r="CA41" i="170"/>
  <c r="BZ41" i="170"/>
  <c r="BV41" i="170"/>
  <c r="BU41" i="170"/>
  <c r="BQ41" i="170"/>
  <c r="BP41" i="170"/>
  <c r="BL41" i="170"/>
  <c r="BK41" i="170"/>
  <c r="BG41" i="170"/>
  <c r="BF41" i="170"/>
  <c r="BB41" i="170"/>
  <c r="BA41" i="170"/>
  <c r="AW41" i="170"/>
  <c r="AV41" i="170"/>
  <c r="AR41" i="170"/>
  <c r="AQ41" i="170"/>
  <c r="AM41" i="170"/>
  <c r="AL41" i="170"/>
  <c r="AH41" i="170"/>
  <c r="AG41" i="170"/>
  <c r="AD41" i="170"/>
  <c r="AC41" i="170"/>
  <c r="AB41" i="170"/>
  <c r="W41" i="170"/>
  <c r="S41" i="170"/>
  <c r="N41" i="170"/>
  <c r="M41" i="170"/>
  <c r="I41" i="170"/>
  <c r="H41" i="170"/>
  <c r="D41" i="170"/>
  <c r="C41" i="170"/>
  <c r="X37" i="170"/>
  <c r="W37" i="170"/>
  <c r="CG36" i="170"/>
  <c r="CB36" i="170"/>
  <c r="BW36" i="170"/>
  <c r="BR36" i="170"/>
  <c r="BR35" i="170" s="1"/>
  <c r="BM36" i="170"/>
  <c r="BH36" i="170"/>
  <c r="BH35" i="170" s="1"/>
  <c r="BC36" i="170"/>
  <c r="BC35" i="170" s="1"/>
  <c r="AX36" i="170"/>
  <c r="AX35" i="170" s="1"/>
  <c r="AS36" i="170"/>
  <c r="AN36" i="170"/>
  <c r="AN35" i="170" s="1"/>
  <c r="AI36" i="170"/>
  <c r="AI35" i="170" s="1"/>
  <c r="AD36" i="170"/>
  <c r="AD35" i="170" s="1"/>
  <c r="X36" i="170"/>
  <c r="CK36" i="170" s="1"/>
  <c r="CK35" i="170" s="1"/>
  <c r="W36" i="170"/>
  <c r="W35" i="170" s="1"/>
  <c r="S36" i="170"/>
  <c r="R36" i="170"/>
  <c r="O36" i="170"/>
  <c r="J36" i="170"/>
  <c r="E36" i="170"/>
  <c r="CP35" i="170"/>
  <c r="CG35" i="170"/>
  <c r="CF35" i="170"/>
  <c r="CE35" i="170"/>
  <c r="CB35" i="170"/>
  <c r="CA35" i="170"/>
  <c r="BZ35" i="170"/>
  <c r="BW35" i="170"/>
  <c r="BV35" i="170"/>
  <c r="BU35" i="170"/>
  <c r="BQ35" i="170"/>
  <c r="BP35" i="170"/>
  <c r="BM35" i="170"/>
  <c r="BL35" i="170"/>
  <c r="BK35" i="170"/>
  <c r="BG35" i="170"/>
  <c r="BF35" i="170"/>
  <c r="BB35" i="170"/>
  <c r="BA35" i="170"/>
  <c r="AW35" i="170"/>
  <c r="AV35" i="170"/>
  <c r="AS35" i="170"/>
  <c r="AR35" i="170"/>
  <c r="AQ35" i="170"/>
  <c r="AM35" i="170"/>
  <c r="AL35" i="170"/>
  <c r="AH35" i="170"/>
  <c r="AG35" i="170"/>
  <c r="AC35" i="170"/>
  <c r="AB35" i="170"/>
  <c r="X35" i="170"/>
  <c r="S35" i="170"/>
  <c r="R35" i="170"/>
  <c r="O35" i="170"/>
  <c r="N35" i="170"/>
  <c r="M35" i="170"/>
  <c r="J35" i="170"/>
  <c r="I35" i="170"/>
  <c r="H35" i="170"/>
  <c r="E35" i="170"/>
  <c r="D35" i="170"/>
  <c r="C35" i="170"/>
  <c r="CR33" i="170"/>
  <c r="CG33" i="170"/>
  <c r="CB33" i="170"/>
  <c r="BW33" i="170"/>
  <c r="BR33" i="170"/>
  <c r="BM33" i="170"/>
  <c r="BH33" i="170"/>
  <c r="BC33" i="170"/>
  <c r="AX33" i="170"/>
  <c r="AS33" i="170"/>
  <c r="AN33" i="170"/>
  <c r="AI33" i="170"/>
  <c r="AD33" i="170"/>
  <c r="X33" i="170"/>
  <c r="CK33" i="170" s="1"/>
  <c r="W33" i="170"/>
  <c r="S33" i="170"/>
  <c r="R33" i="170"/>
  <c r="T33" i="170" s="1"/>
  <c r="O33" i="170"/>
  <c r="J33" i="170"/>
  <c r="E33" i="170"/>
  <c r="CG32" i="170"/>
  <c r="CB32" i="170"/>
  <c r="BW32" i="170"/>
  <c r="BR32" i="170"/>
  <c r="BM32" i="170"/>
  <c r="BH32" i="170"/>
  <c r="BC32" i="170"/>
  <c r="AX32" i="170"/>
  <c r="AS32" i="170"/>
  <c r="AN32" i="170"/>
  <c r="AI32" i="170"/>
  <c r="AD32" i="170"/>
  <c r="X32" i="170"/>
  <c r="CK32" i="170" s="1"/>
  <c r="W32" i="170"/>
  <c r="S32" i="170"/>
  <c r="R32" i="170"/>
  <c r="O32" i="170"/>
  <c r="J32" i="170"/>
  <c r="E32" i="170"/>
  <c r="CG31" i="170"/>
  <c r="CB31" i="170"/>
  <c r="BW31" i="170"/>
  <c r="BR31" i="170"/>
  <c r="BM31" i="170"/>
  <c r="BH31" i="170"/>
  <c r="BC31" i="170"/>
  <c r="AX31" i="170"/>
  <c r="AS31" i="170"/>
  <c r="AN31" i="170"/>
  <c r="AI31" i="170"/>
  <c r="AD31" i="170"/>
  <c r="X31" i="170"/>
  <c r="CK31" i="170" s="1"/>
  <c r="W31" i="170"/>
  <c r="S31" i="170"/>
  <c r="R31" i="170"/>
  <c r="T31" i="170" s="1"/>
  <c r="O31" i="170"/>
  <c r="J31" i="170"/>
  <c r="E31" i="170"/>
  <c r="CG30" i="170"/>
  <c r="CB30" i="170"/>
  <c r="BW30" i="170"/>
  <c r="BR30" i="170"/>
  <c r="BM30" i="170"/>
  <c r="BH30" i="170"/>
  <c r="BC30" i="170"/>
  <c r="AX30" i="170"/>
  <c r="AS30" i="170"/>
  <c r="AN30" i="170"/>
  <c r="AI30" i="170"/>
  <c r="AD30" i="170"/>
  <c r="X30" i="170"/>
  <c r="CK30" i="170" s="1"/>
  <c r="W30" i="170"/>
  <c r="S30" i="170"/>
  <c r="R30" i="170"/>
  <c r="T30" i="170" s="1"/>
  <c r="O30" i="170"/>
  <c r="J30" i="170"/>
  <c r="E30" i="170"/>
  <c r="CG29" i="170"/>
  <c r="CB29" i="170"/>
  <c r="BW29" i="170"/>
  <c r="BR29" i="170"/>
  <c r="BM29" i="170"/>
  <c r="BH29" i="170"/>
  <c r="BC29" i="170"/>
  <c r="AX29" i="170"/>
  <c r="AS29" i="170"/>
  <c r="AN29" i="170"/>
  <c r="AI29" i="170"/>
  <c r="AD29" i="170"/>
  <c r="X29" i="170"/>
  <c r="CK29" i="170" s="1"/>
  <c r="W29" i="170"/>
  <c r="S29" i="170"/>
  <c r="R29" i="170"/>
  <c r="O29" i="170"/>
  <c r="J29" i="170"/>
  <c r="E29" i="170"/>
  <c r="CG28" i="170"/>
  <c r="CB28" i="170"/>
  <c r="BW28" i="170"/>
  <c r="BR28" i="170"/>
  <c r="BM28" i="170"/>
  <c r="BH28" i="170"/>
  <c r="BC28" i="170"/>
  <c r="AX28" i="170"/>
  <c r="AS28" i="170"/>
  <c r="AN28" i="170"/>
  <c r="AI28" i="170"/>
  <c r="AD28" i="170"/>
  <c r="X28" i="170"/>
  <c r="CK28" i="170" s="1"/>
  <c r="W28" i="170"/>
  <c r="S28" i="170"/>
  <c r="R28" i="170"/>
  <c r="O28" i="170"/>
  <c r="J28" i="170"/>
  <c r="E28" i="170"/>
  <c r="CG27" i="170"/>
  <c r="CB27" i="170"/>
  <c r="BW27" i="170"/>
  <c r="BR27" i="170"/>
  <c r="BM27" i="170"/>
  <c r="BH27" i="170"/>
  <c r="BC27" i="170"/>
  <c r="AX27" i="170"/>
  <c r="AS27" i="170"/>
  <c r="AN27" i="170"/>
  <c r="AI27" i="170"/>
  <c r="AD27" i="170"/>
  <c r="X27" i="170"/>
  <c r="CK27" i="170" s="1"/>
  <c r="W27" i="170"/>
  <c r="CJ27" i="170" s="1"/>
  <c r="S27" i="170"/>
  <c r="R27" i="170"/>
  <c r="T27" i="170" s="1"/>
  <c r="O27" i="170"/>
  <c r="J27" i="170"/>
  <c r="E27" i="170"/>
  <c r="CG26" i="170"/>
  <c r="CB26" i="170"/>
  <c r="BW26" i="170"/>
  <c r="BR26" i="170"/>
  <c r="BM26" i="170"/>
  <c r="BH26" i="170"/>
  <c r="BC26" i="170"/>
  <c r="AX26" i="170"/>
  <c r="AS26" i="170"/>
  <c r="AL26" i="170"/>
  <c r="AL26" i="157" s="1"/>
  <c r="AI26" i="170"/>
  <c r="AD26" i="170"/>
  <c r="X26" i="170"/>
  <c r="CK26" i="170" s="1"/>
  <c r="W26" i="170"/>
  <c r="CJ26" i="170" s="1"/>
  <c r="S26" i="170"/>
  <c r="T26" i="170" s="1"/>
  <c r="R26" i="170"/>
  <c r="O26" i="170"/>
  <c r="J26" i="170"/>
  <c r="E26" i="170"/>
  <c r="CR25" i="170"/>
  <c r="CG25" i="170"/>
  <c r="CB25" i="170"/>
  <c r="BW25" i="170"/>
  <c r="BR25" i="170"/>
  <c r="BM25" i="170"/>
  <c r="BH25" i="170"/>
  <c r="BC25" i="170"/>
  <c r="AX25" i="170"/>
  <c r="AS25" i="170"/>
  <c r="AN25" i="170"/>
  <c r="AI25" i="170"/>
  <c r="AD25" i="170"/>
  <c r="X25" i="170"/>
  <c r="CK25" i="170" s="1"/>
  <c r="W25" i="170"/>
  <c r="S25" i="170"/>
  <c r="R25" i="170"/>
  <c r="O25" i="170"/>
  <c r="J25" i="170"/>
  <c r="E25" i="170"/>
  <c r="CG24" i="170"/>
  <c r="CB24" i="170"/>
  <c r="BW24" i="170"/>
  <c r="BR24" i="170"/>
  <c r="BM24" i="170"/>
  <c r="BH24" i="170"/>
  <c r="BC24" i="170"/>
  <c r="AX24" i="170"/>
  <c r="AS24" i="170"/>
  <c r="AN24" i="170"/>
  <c r="AI24" i="170"/>
  <c r="AD24" i="170"/>
  <c r="X24" i="170"/>
  <c r="CK24" i="170" s="1"/>
  <c r="W24" i="170"/>
  <c r="S24" i="170"/>
  <c r="R24" i="170"/>
  <c r="O24" i="170"/>
  <c r="J24" i="170"/>
  <c r="E24" i="170"/>
  <c r="CK23" i="170"/>
  <c r="CG23" i="170"/>
  <c r="CB23" i="170"/>
  <c r="BW23" i="170"/>
  <c r="BR23" i="170"/>
  <c r="BM23" i="170"/>
  <c r="BH23" i="170"/>
  <c r="BC23" i="170"/>
  <c r="AX23" i="170"/>
  <c r="AS23" i="170"/>
  <c r="AN23" i="170"/>
  <c r="AI23" i="170"/>
  <c r="AD23" i="170"/>
  <c r="X23" i="170"/>
  <c r="W23" i="170"/>
  <c r="CJ23" i="170" s="1"/>
  <c r="S23" i="170"/>
  <c r="T23" i="170" s="1"/>
  <c r="R23" i="170"/>
  <c r="O23" i="170"/>
  <c r="J23" i="170"/>
  <c r="E23" i="170"/>
  <c r="CG22" i="170"/>
  <c r="CB22" i="170"/>
  <c r="BW22" i="170"/>
  <c r="BR22" i="170"/>
  <c r="BM22" i="170"/>
  <c r="BH22" i="170"/>
  <c r="BC22" i="170"/>
  <c r="AX22" i="170"/>
  <c r="AS22" i="170"/>
  <c r="AN22" i="170"/>
  <c r="AI22" i="170"/>
  <c r="AD22" i="170"/>
  <c r="X22" i="170"/>
  <c r="CK22" i="170" s="1"/>
  <c r="W22" i="170"/>
  <c r="S22" i="170"/>
  <c r="R22" i="170"/>
  <c r="O22" i="170"/>
  <c r="J22" i="170"/>
  <c r="E22" i="170"/>
  <c r="CG21" i="170"/>
  <c r="CB21" i="170"/>
  <c r="BW21" i="170"/>
  <c r="BR21" i="170"/>
  <c r="BM21" i="170"/>
  <c r="BH21" i="170"/>
  <c r="BC21" i="170"/>
  <c r="AX21" i="170"/>
  <c r="AS21" i="170"/>
  <c r="AN21" i="170"/>
  <c r="AI21" i="170"/>
  <c r="AD21" i="170"/>
  <c r="X21" i="170"/>
  <c r="CK21" i="170" s="1"/>
  <c r="W21" i="170"/>
  <c r="S21" i="170"/>
  <c r="R21" i="170"/>
  <c r="O21" i="170"/>
  <c r="J21" i="170"/>
  <c r="E21" i="170"/>
  <c r="CG20" i="170"/>
  <c r="CB20" i="170"/>
  <c r="BW20" i="170"/>
  <c r="BR20" i="170"/>
  <c r="BM20" i="170"/>
  <c r="BH20" i="170"/>
  <c r="BC20" i="170"/>
  <c r="AX20" i="170"/>
  <c r="AS20" i="170"/>
  <c r="AN20" i="170"/>
  <c r="AI20" i="170"/>
  <c r="AD20" i="170"/>
  <c r="X20" i="170"/>
  <c r="CK20" i="170" s="1"/>
  <c r="W20" i="170"/>
  <c r="S20" i="170"/>
  <c r="R20" i="170"/>
  <c r="T20" i="170" s="1"/>
  <c r="O20" i="170"/>
  <c r="J20" i="170"/>
  <c r="E20" i="170"/>
  <c r="CG19" i="170"/>
  <c r="CB19" i="170"/>
  <c r="BW19" i="170"/>
  <c r="BR19" i="170"/>
  <c r="BM19" i="170"/>
  <c r="BH19" i="170"/>
  <c r="BC19" i="170"/>
  <c r="AX19" i="170"/>
  <c r="AS19" i="170"/>
  <c r="AN19" i="170"/>
  <c r="AI19" i="170"/>
  <c r="AD19" i="170"/>
  <c r="X19" i="170"/>
  <c r="CK19" i="170" s="1"/>
  <c r="W19" i="170"/>
  <c r="S19" i="170"/>
  <c r="R19" i="170"/>
  <c r="O19" i="170"/>
  <c r="J19" i="170"/>
  <c r="E19" i="170"/>
  <c r="CG18" i="170"/>
  <c r="CB18" i="170"/>
  <c r="BW18" i="170"/>
  <c r="BR18" i="170"/>
  <c r="BM18" i="170"/>
  <c r="BH18" i="170"/>
  <c r="BC18" i="170"/>
  <c r="AX18" i="170"/>
  <c r="AS18" i="170"/>
  <c r="AN18" i="170"/>
  <c r="AI18" i="170"/>
  <c r="AD18" i="170"/>
  <c r="X18" i="170"/>
  <c r="CK18" i="170" s="1"/>
  <c r="W18" i="170"/>
  <c r="S18" i="170"/>
  <c r="R18" i="170"/>
  <c r="O18" i="170"/>
  <c r="J18" i="170"/>
  <c r="E18" i="170"/>
  <c r="CG17" i="170"/>
  <c r="CB17" i="170"/>
  <c r="BW17" i="170"/>
  <c r="BR17" i="170"/>
  <c r="BM17" i="170"/>
  <c r="BH17" i="170"/>
  <c r="BC17" i="170"/>
  <c r="AX17" i="170"/>
  <c r="AS17" i="170"/>
  <c r="AN17" i="170"/>
  <c r="AI17" i="170"/>
  <c r="AD17" i="170"/>
  <c r="X17" i="170"/>
  <c r="CK17" i="170" s="1"/>
  <c r="W17" i="170"/>
  <c r="S17" i="170"/>
  <c r="R17" i="170"/>
  <c r="O17" i="170"/>
  <c r="J17" i="170"/>
  <c r="E17" i="170"/>
  <c r="CG16" i="170"/>
  <c r="CB16" i="170"/>
  <c r="BW16" i="170"/>
  <c r="BR16" i="170"/>
  <c r="BM16" i="170"/>
  <c r="BH16" i="170"/>
  <c r="BC16" i="170"/>
  <c r="AX16" i="170"/>
  <c r="AS16" i="170"/>
  <c r="AN16" i="170"/>
  <c r="AI16" i="170"/>
  <c r="AD16" i="170"/>
  <c r="X16" i="170"/>
  <c r="CK16" i="170" s="1"/>
  <c r="W16" i="170"/>
  <c r="S16" i="170"/>
  <c r="R16" i="170"/>
  <c r="T16" i="170" s="1"/>
  <c r="O16" i="170"/>
  <c r="J16" i="170"/>
  <c r="E16" i="170"/>
  <c r="CG15" i="170"/>
  <c r="CB15" i="170"/>
  <c r="BW15" i="170"/>
  <c r="BR15" i="170"/>
  <c r="BM15" i="170"/>
  <c r="BH15" i="170"/>
  <c r="BC15" i="170"/>
  <c r="AX15" i="170"/>
  <c r="AS15" i="170"/>
  <c r="AN15" i="170"/>
  <c r="AI15" i="170"/>
  <c r="AD15" i="170"/>
  <c r="X15" i="170"/>
  <c r="CK15" i="170" s="1"/>
  <c r="W15" i="170"/>
  <c r="S15" i="170"/>
  <c r="R15" i="170"/>
  <c r="O15" i="170"/>
  <c r="J15" i="170"/>
  <c r="E15" i="170"/>
  <c r="CG14" i="170"/>
  <c r="CB14" i="170"/>
  <c r="BW14" i="170"/>
  <c r="BR14" i="170"/>
  <c r="BM14" i="170"/>
  <c r="BH14" i="170"/>
  <c r="BC14" i="170"/>
  <c r="AX14" i="170"/>
  <c r="AS14" i="170"/>
  <c r="AN14" i="170"/>
  <c r="AI14" i="170"/>
  <c r="AD14" i="170"/>
  <c r="X14" i="170"/>
  <c r="CK14" i="170" s="1"/>
  <c r="W14" i="170"/>
  <c r="S14" i="170"/>
  <c r="R14" i="170"/>
  <c r="O14" i="170"/>
  <c r="J14" i="170"/>
  <c r="E14" i="170"/>
  <c r="CG13" i="170"/>
  <c r="CB13" i="170"/>
  <c r="BW13" i="170"/>
  <c r="BR13" i="170"/>
  <c r="BM13" i="170"/>
  <c r="BH13" i="170"/>
  <c r="BC13" i="170"/>
  <c r="AX13" i="170"/>
  <c r="AS13" i="170"/>
  <c r="AN13" i="170"/>
  <c r="AI13" i="170"/>
  <c r="AD13" i="170"/>
  <c r="X13" i="170"/>
  <c r="CK13" i="170" s="1"/>
  <c r="W13" i="170"/>
  <c r="S13" i="170"/>
  <c r="R13" i="170"/>
  <c r="O13" i="170"/>
  <c r="J13" i="170"/>
  <c r="E13" i="170"/>
  <c r="CG12" i="170"/>
  <c r="CB12" i="170"/>
  <c r="BW12" i="170"/>
  <c r="BR12" i="170"/>
  <c r="BM12" i="170"/>
  <c r="BH12" i="170"/>
  <c r="BC12" i="170"/>
  <c r="AX12" i="170"/>
  <c r="AS12" i="170"/>
  <c r="AN12" i="170"/>
  <c r="AI12" i="170"/>
  <c r="AD12" i="170"/>
  <c r="X12" i="170"/>
  <c r="CK12" i="170" s="1"/>
  <c r="W12" i="170"/>
  <c r="S12" i="170"/>
  <c r="R12" i="170"/>
  <c r="O12" i="170"/>
  <c r="J12" i="170"/>
  <c r="E12" i="170"/>
  <c r="CG11" i="170"/>
  <c r="CB11" i="170"/>
  <c r="BW11" i="170"/>
  <c r="BR11" i="170"/>
  <c r="BM11" i="170"/>
  <c r="BH11" i="170"/>
  <c r="BC11" i="170"/>
  <c r="AX11" i="170"/>
  <c r="AS11" i="170"/>
  <c r="AN11" i="170"/>
  <c r="AI11" i="170"/>
  <c r="AI105" i="157" s="1"/>
  <c r="AD11" i="170"/>
  <c r="X11" i="170"/>
  <c r="CK11" i="170" s="1"/>
  <c r="W11" i="170"/>
  <c r="S11" i="170"/>
  <c r="R11" i="170"/>
  <c r="O11" i="170"/>
  <c r="J11" i="170"/>
  <c r="E11" i="170"/>
  <c r="CG10" i="170"/>
  <c r="CB10" i="170"/>
  <c r="BW10" i="170"/>
  <c r="BR10" i="170"/>
  <c r="BM10" i="170"/>
  <c r="BH10" i="170"/>
  <c r="BC10" i="170"/>
  <c r="AX10" i="170"/>
  <c r="AS10" i="170"/>
  <c r="AN10" i="170"/>
  <c r="AI10" i="170"/>
  <c r="AD10" i="170"/>
  <c r="X10" i="170"/>
  <c r="CK10" i="170" s="1"/>
  <c r="W10" i="170"/>
  <c r="S10" i="170"/>
  <c r="R10" i="170"/>
  <c r="O10" i="170"/>
  <c r="J10" i="170"/>
  <c r="E10" i="170"/>
  <c r="CG9" i="170"/>
  <c r="CB9" i="170"/>
  <c r="BW9" i="170"/>
  <c r="BR9" i="170"/>
  <c r="BM9" i="170"/>
  <c r="BH9" i="170"/>
  <c r="BC9" i="170"/>
  <c r="AX9" i="170"/>
  <c r="AS9" i="170"/>
  <c r="AS8" i="170" s="1"/>
  <c r="AN9" i="170"/>
  <c r="AN105" i="157" s="1"/>
  <c r="AI9" i="170"/>
  <c r="AD9" i="170"/>
  <c r="X9" i="170"/>
  <c r="W9" i="170"/>
  <c r="CJ9" i="170" s="1"/>
  <c r="S9" i="170"/>
  <c r="R9" i="170"/>
  <c r="O9" i="170"/>
  <c r="J9" i="170"/>
  <c r="E9" i="170"/>
  <c r="CP8" i="170"/>
  <c r="CF8" i="170"/>
  <c r="CE8" i="170"/>
  <c r="CA8" i="170"/>
  <c r="BZ8" i="170"/>
  <c r="BV8" i="170"/>
  <c r="BU8" i="170"/>
  <c r="BQ8" i="170"/>
  <c r="BP8" i="170"/>
  <c r="BL8" i="170"/>
  <c r="BK8" i="170"/>
  <c r="BG8" i="170"/>
  <c r="BF8" i="170"/>
  <c r="BB8" i="170"/>
  <c r="BA8" i="170"/>
  <c r="AW8" i="170"/>
  <c r="AV8" i="170"/>
  <c r="AR8" i="170"/>
  <c r="AQ8" i="170"/>
  <c r="AM8" i="170"/>
  <c r="AL8" i="170"/>
  <c r="AH8" i="170"/>
  <c r="AG8" i="170"/>
  <c r="AC8" i="170"/>
  <c r="AB8" i="170"/>
  <c r="X8" i="170"/>
  <c r="N8" i="170"/>
  <c r="M8" i="170"/>
  <c r="I8" i="170"/>
  <c r="H8" i="170"/>
  <c r="D8" i="170"/>
  <c r="C8" i="170"/>
  <c r="CG7" i="170"/>
  <c r="CB7" i="170"/>
  <c r="BW7" i="170"/>
  <c r="BR7" i="170"/>
  <c r="BM7" i="170"/>
  <c r="BH7" i="170"/>
  <c r="BC7" i="170"/>
  <c r="AX7" i="170"/>
  <c r="AS7" i="170"/>
  <c r="AN7" i="170"/>
  <c r="AI7" i="170"/>
  <c r="AD7" i="170"/>
  <c r="X7" i="170"/>
  <c r="CK7" i="170" s="1"/>
  <c r="CL7" i="170" s="1"/>
  <c r="W7" i="170"/>
  <c r="CJ7" i="170" s="1"/>
  <c r="S7" i="170"/>
  <c r="T7" i="170" s="1"/>
  <c r="R7" i="170"/>
  <c r="O7" i="170"/>
  <c r="J7" i="170"/>
  <c r="E7" i="170"/>
  <c r="CG6" i="170"/>
  <c r="CB6" i="170"/>
  <c r="CB5" i="170" s="1"/>
  <c r="BW6" i="170"/>
  <c r="BR6" i="170"/>
  <c r="BR5" i="170" s="1"/>
  <c r="BM6" i="170"/>
  <c r="BH6" i="170"/>
  <c r="BC6" i="170"/>
  <c r="AX6" i="170"/>
  <c r="AX5" i="170" s="1"/>
  <c r="AS6" i="170"/>
  <c r="AN6" i="170"/>
  <c r="AN5" i="170" s="1"/>
  <c r="AI6" i="170"/>
  <c r="AD6" i="170"/>
  <c r="AD5" i="170" s="1"/>
  <c r="X6" i="170"/>
  <c r="W6" i="170"/>
  <c r="CJ6" i="170" s="1"/>
  <c r="S6" i="170"/>
  <c r="R6" i="170"/>
  <c r="R5" i="170" s="1"/>
  <c r="O6" i="170"/>
  <c r="J6" i="170"/>
  <c r="E6" i="170"/>
  <c r="CP5" i="170"/>
  <c r="CF5" i="170"/>
  <c r="CE5" i="170"/>
  <c r="CA5" i="170"/>
  <c r="CA38" i="170" s="1"/>
  <c r="BZ5" i="170"/>
  <c r="BV5" i="170"/>
  <c r="BU5" i="170"/>
  <c r="BQ5" i="170"/>
  <c r="BP5" i="170"/>
  <c r="BP38" i="170" s="1"/>
  <c r="BL5" i="170"/>
  <c r="BK5" i="170"/>
  <c r="BG5" i="170"/>
  <c r="BG38" i="170" s="1"/>
  <c r="BF5" i="170"/>
  <c r="BF38" i="170" s="1"/>
  <c r="BB5" i="170"/>
  <c r="BB38" i="170" s="1"/>
  <c r="BA5" i="170"/>
  <c r="AW5" i="170"/>
  <c r="AW38" i="170" s="1"/>
  <c r="AV5" i="170"/>
  <c r="AV38" i="170" s="1"/>
  <c r="AS5" i="170"/>
  <c r="AR5" i="170"/>
  <c r="AQ5" i="170"/>
  <c r="AM5" i="170"/>
  <c r="AM38" i="170" s="1"/>
  <c r="AL5" i="170"/>
  <c r="AL38" i="170" s="1"/>
  <c r="AH5" i="170"/>
  <c r="AG5" i="170"/>
  <c r="AC5" i="170"/>
  <c r="AC38" i="170" s="1"/>
  <c r="AB5" i="170"/>
  <c r="AB38" i="170" s="1"/>
  <c r="N5" i="170"/>
  <c r="N38" i="170" s="1"/>
  <c r="M5" i="170"/>
  <c r="I5" i="170"/>
  <c r="H5" i="170"/>
  <c r="E5" i="170"/>
  <c r="D5" i="170"/>
  <c r="D38" i="170" s="1"/>
  <c r="C5" i="170"/>
  <c r="CP85" i="165"/>
  <c r="CQ85" i="165" s="1"/>
  <c r="CK85" i="165"/>
  <c r="CJ85" i="165"/>
  <c r="CL85" i="165" s="1"/>
  <c r="CG85" i="165"/>
  <c r="CB85" i="165"/>
  <c r="BW85" i="165"/>
  <c r="BR85" i="165"/>
  <c r="BM85" i="165"/>
  <c r="BH85" i="165"/>
  <c r="BC85" i="165"/>
  <c r="AX85" i="165"/>
  <c r="AS85" i="165"/>
  <c r="AN85" i="165"/>
  <c r="AI85" i="165"/>
  <c r="AD85" i="165"/>
  <c r="X85" i="165"/>
  <c r="W85" i="165"/>
  <c r="Y85" i="165" s="1"/>
  <c r="S85" i="165"/>
  <c r="R85" i="165"/>
  <c r="O85" i="165"/>
  <c r="J85" i="165"/>
  <c r="E85" i="165"/>
  <c r="CP82" i="165"/>
  <c r="CQ82" i="165" s="1"/>
  <c r="CL82" i="165"/>
  <c r="CG82" i="165"/>
  <c r="CB82" i="165"/>
  <c r="BW82" i="165"/>
  <c r="BR82" i="165"/>
  <c r="BM82" i="165"/>
  <c r="BH82" i="165"/>
  <c r="BC82" i="165"/>
  <c r="AX82" i="165"/>
  <c r="AS82" i="165"/>
  <c r="AN82" i="165"/>
  <c r="AI82" i="165"/>
  <c r="AD82" i="165"/>
  <c r="X82" i="165"/>
  <c r="W82" i="165"/>
  <c r="Y82" i="165" s="1"/>
  <c r="S82" i="165"/>
  <c r="R82" i="165"/>
  <c r="T82" i="165" s="1"/>
  <c r="O82" i="165"/>
  <c r="J82" i="165"/>
  <c r="E82" i="165"/>
  <c r="CK80" i="165"/>
  <c r="CJ80" i="165"/>
  <c r="CP79" i="165"/>
  <c r="BM79" i="165"/>
  <c r="X79" i="165"/>
  <c r="S79" i="165"/>
  <c r="CP78" i="165"/>
  <c r="CQ78" i="165" s="1"/>
  <c r="CG78" i="165"/>
  <c r="CB78" i="165"/>
  <c r="BW78" i="165"/>
  <c r="BR78" i="165"/>
  <c r="BM78" i="165"/>
  <c r="BM77" i="165" s="1"/>
  <c r="BH78" i="165"/>
  <c r="BC78" i="165"/>
  <c r="AX78" i="165"/>
  <c r="AS78" i="165"/>
  <c r="AN78" i="165"/>
  <c r="AI78" i="165"/>
  <c r="AD78" i="165"/>
  <c r="X78" i="165"/>
  <c r="CK78" i="165" s="1"/>
  <c r="W78" i="165"/>
  <c r="CJ78" i="165" s="1"/>
  <c r="CL78" i="165" s="1"/>
  <c r="S78" i="165"/>
  <c r="R78" i="165"/>
  <c r="T78" i="165" s="1"/>
  <c r="O78" i="165"/>
  <c r="J78" i="165"/>
  <c r="E78" i="165"/>
  <c r="CF77" i="165"/>
  <c r="CA77" i="165"/>
  <c r="BV77" i="165"/>
  <c r="BQ77" i="165"/>
  <c r="BL77" i="165"/>
  <c r="BK77" i="165"/>
  <c r="BG77" i="165"/>
  <c r="BB77" i="165"/>
  <c r="AW77" i="165"/>
  <c r="AR77" i="165"/>
  <c r="AM77" i="165"/>
  <c r="AH77" i="165"/>
  <c r="AC77" i="165"/>
  <c r="N77" i="165"/>
  <c r="I77" i="165"/>
  <c r="D77" i="165"/>
  <c r="CP74" i="165"/>
  <c r="CQ74" i="165" s="1"/>
  <c r="CQ73" i="165" s="1"/>
  <c r="CK74" i="165"/>
  <c r="CJ74" i="165"/>
  <c r="CG74" i="165"/>
  <c r="CB74" i="165"/>
  <c r="BW74" i="165"/>
  <c r="BW73" i="165" s="1"/>
  <c r="BR74" i="165"/>
  <c r="BR73" i="165" s="1"/>
  <c r="BM74" i="165"/>
  <c r="BM73" i="165" s="1"/>
  <c r="BH74" i="165"/>
  <c r="BH73" i="165" s="1"/>
  <c r="BC74" i="165"/>
  <c r="AX74" i="165"/>
  <c r="AX73" i="165" s="1"/>
  <c r="AS74" i="165"/>
  <c r="AS73" i="165" s="1"/>
  <c r="AN74" i="165"/>
  <c r="AI74" i="165"/>
  <c r="AI73" i="165" s="1"/>
  <c r="AD74" i="165"/>
  <c r="AD73" i="165" s="1"/>
  <c r="X74" i="165"/>
  <c r="X73" i="165" s="1"/>
  <c r="W74" i="165"/>
  <c r="O74" i="165"/>
  <c r="O73" i="165" s="1"/>
  <c r="J74" i="165"/>
  <c r="J73" i="165" s="1"/>
  <c r="E74" i="165"/>
  <c r="CP73" i="165"/>
  <c r="CK73" i="165"/>
  <c r="CJ73" i="165"/>
  <c r="CG73" i="165"/>
  <c r="CF73" i="165"/>
  <c r="CE73" i="165"/>
  <c r="CB73" i="165"/>
  <c r="CA73" i="165"/>
  <c r="BZ73" i="165"/>
  <c r="BV73" i="165"/>
  <c r="BU73" i="165"/>
  <c r="BQ73" i="165"/>
  <c r="BP73" i="165"/>
  <c r="BL73" i="165"/>
  <c r="BK73" i="165"/>
  <c r="BG73" i="165"/>
  <c r="BF73" i="165"/>
  <c r="BC73" i="165"/>
  <c r="BB73" i="165"/>
  <c r="BA73" i="165"/>
  <c r="AW73" i="165"/>
  <c r="AV73" i="165"/>
  <c r="AR73" i="165"/>
  <c r="AQ73" i="165"/>
  <c r="AN73" i="165"/>
  <c r="AM73" i="165"/>
  <c r="AL73" i="165"/>
  <c r="AH73" i="165"/>
  <c r="AG73" i="165"/>
  <c r="CP80" i="157" s="1"/>
  <c r="AC73" i="165"/>
  <c r="AB73" i="165"/>
  <c r="Y73" i="165"/>
  <c r="W73" i="165"/>
  <c r="T73" i="165"/>
  <c r="S73" i="165"/>
  <c r="R73" i="165"/>
  <c r="N73" i="165"/>
  <c r="M73" i="165"/>
  <c r="I73" i="165"/>
  <c r="H73" i="165"/>
  <c r="E73" i="165"/>
  <c r="D73" i="165"/>
  <c r="C73" i="165"/>
  <c r="CP71" i="165"/>
  <c r="CQ71" i="165" s="1"/>
  <c r="CK71" i="165"/>
  <c r="CG71" i="165"/>
  <c r="CB71" i="165"/>
  <c r="BW71" i="165"/>
  <c r="BR71" i="165"/>
  <c r="BM71" i="165"/>
  <c r="BH71" i="165"/>
  <c r="BC71" i="165"/>
  <c r="AX71" i="165"/>
  <c r="AS71" i="165"/>
  <c r="AN71" i="165"/>
  <c r="AI71" i="165"/>
  <c r="AD71" i="165"/>
  <c r="X71" i="165"/>
  <c r="W71" i="165"/>
  <c r="Y71" i="165" s="1"/>
  <c r="S71" i="165"/>
  <c r="R71" i="165"/>
  <c r="O71" i="165"/>
  <c r="J71" i="165"/>
  <c r="E71" i="165"/>
  <c r="CQ70" i="165"/>
  <c r="CP70" i="165"/>
  <c r="CG70" i="165"/>
  <c r="CB70" i="165"/>
  <c r="BW70" i="165"/>
  <c r="BR70" i="165"/>
  <c r="BM70" i="165"/>
  <c r="BH70" i="165"/>
  <c r="BC70" i="165"/>
  <c r="AX70" i="165"/>
  <c r="AS70" i="165"/>
  <c r="AN70" i="165"/>
  <c r="AI70" i="165"/>
  <c r="AD70" i="165"/>
  <c r="X70" i="165"/>
  <c r="CK70" i="165" s="1"/>
  <c r="W70" i="165"/>
  <c r="S70" i="165"/>
  <c r="R70" i="165"/>
  <c r="O70" i="165"/>
  <c r="J70" i="165"/>
  <c r="E70" i="165"/>
  <c r="CP69" i="165"/>
  <c r="CQ69" i="165" s="1"/>
  <c r="CK69" i="165"/>
  <c r="CG69" i="165"/>
  <c r="CB69" i="165"/>
  <c r="BW69" i="165"/>
  <c r="BR69" i="165"/>
  <c r="BM69" i="165"/>
  <c r="BH69" i="165"/>
  <c r="BC69" i="165"/>
  <c r="AX69" i="165"/>
  <c r="AS69" i="165"/>
  <c r="AN69" i="165"/>
  <c r="AI69" i="165"/>
  <c r="AD69" i="165"/>
  <c r="X69" i="165"/>
  <c r="W69" i="165"/>
  <c r="S69" i="165"/>
  <c r="R69" i="165"/>
  <c r="O69" i="165"/>
  <c r="J69" i="165"/>
  <c r="E69" i="165"/>
  <c r="CP68" i="165"/>
  <c r="CQ68" i="165" s="1"/>
  <c r="CG68" i="165"/>
  <c r="CB68" i="165"/>
  <c r="BW68" i="165"/>
  <c r="BR68" i="165"/>
  <c r="BM68" i="165"/>
  <c r="BH68" i="165"/>
  <c r="BC68" i="165"/>
  <c r="AX68" i="165"/>
  <c r="AS68" i="165"/>
  <c r="AN68" i="165"/>
  <c r="AI68" i="165"/>
  <c r="AD68" i="165"/>
  <c r="X68" i="165"/>
  <c r="CK68" i="165" s="1"/>
  <c r="W68" i="165"/>
  <c r="S68" i="165"/>
  <c r="R68" i="165"/>
  <c r="O68" i="165"/>
  <c r="J68" i="165"/>
  <c r="E68" i="165"/>
  <c r="CP67" i="165"/>
  <c r="CQ67" i="165" s="1"/>
  <c r="CG67" i="165"/>
  <c r="CB67" i="165"/>
  <c r="BW67" i="165"/>
  <c r="BR67" i="165"/>
  <c r="BM67" i="165"/>
  <c r="BH67" i="165"/>
  <c r="BC67" i="165"/>
  <c r="AX67" i="165"/>
  <c r="AS67" i="165"/>
  <c r="AN67" i="165"/>
  <c r="AI67" i="165"/>
  <c r="AD67" i="165"/>
  <c r="X67" i="165"/>
  <c r="CK67" i="165" s="1"/>
  <c r="W67" i="165"/>
  <c r="S67" i="165"/>
  <c r="R67" i="165"/>
  <c r="O67" i="165"/>
  <c r="J67" i="165"/>
  <c r="E67" i="165"/>
  <c r="CP66" i="165"/>
  <c r="CQ66" i="165" s="1"/>
  <c r="CG66" i="165"/>
  <c r="CB66" i="165"/>
  <c r="BW66" i="165"/>
  <c r="BR66" i="165"/>
  <c r="BM66" i="165"/>
  <c r="BH66" i="165"/>
  <c r="BC66" i="165"/>
  <c r="AX66" i="165"/>
  <c r="AS66" i="165"/>
  <c r="AN66" i="165"/>
  <c r="AI66" i="165"/>
  <c r="AD66" i="165"/>
  <c r="X66" i="165"/>
  <c r="CK66" i="165" s="1"/>
  <c r="W66" i="165"/>
  <c r="S66" i="165"/>
  <c r="R66" i="165"/>
  <c r="O66" i="165"/>
  <c r="J66" i="165"/>
  <c r="E66" i="165"/>
  <c r="CP65" i="165"/>
  <c r="CQ65" i="165" s="1"/>
  <c r="CK65" i="165"/>
  <c r="CG65" i="165"/>
  <c r="CB65" i="165"/>
  <c r="BW65" i="165"/>
  <c r="BR65" i="165"/>
  <c r="BM65" i="165"/>
  <c r="BH65" i="165"/>
  <c r="BC65" i="165"/>
  <c r="AX65" i="165"/>
  <c r="AS65" i="165"/>
  <c r="AN65" i="165"/>
  <c r="AI65" i="165"/>
  <c r="AD65" i="165"/>
  <c r="X65" i="165"/>
  <c r="W65" i="165"/>
  <c r="CJ65" i="165" s="1"/>
  <c r="CL65" i="165" s="1"/>
  <c r="S65" i="165"/>
  <c r="R65" i="165"/>
  <c r="O65" i="165"/>
  <c r="J65" i="165"/>
  <c r="E65" i="165"/>
  <c r="CP64" i="165"/>
  <c r="CQ64" i="165" s="1"/>
  <c r="CG64" i="165"/>
  <c r="CB64" i="165"/>
  <c r="BW64" i="165"/>
  <c r="BR64" i="165"/>
  <c r="BM64" i="165"/>
  <c r="BH64" i="165"/>
  <c r="BC64" i="165"/>
  <c r="AX64" i="165"/>
  <c r="AS64" i="165"/>
  <c r="AN64" i="165"/>
  <c r="AI64" i="165"/>
  <c r="AD64" i="165"/>
  <c r="X64" i="165"/>
  <c r="CK64" i="165" s="1"/>
  <c r="W64" i="165"/>
  <c r="S64" i="165"/>
  <c r="R64" i="165"/>
  <c r="O64" i="165"/>
  <c r="J64" i="165"/>
  <c r="E64" i="165"/>
  <c r="CP63" i="165"/>
  <c r="CQ63" i="165" s="1"/>
  <c r="CK63" i="165"/>
  <c r="CG63" i="165"/>
  <c r="CB63" i="165"/>
  <c r="BW63" i="165"/>
  <c r="BR63" i="165"/>
  <c r="BM63" i="165"/>
  <c r="BH63" i="165"/>
  <c r="BC63" i="165"/>
  <c r="AX63" i="165"/>
  <c r="AS63" i="165"/>
  <c r="AN63" i="165"/>
  <c r="AI63" i="165"/>
  <c r="AD63" i="165"/>
  <c r="X63" i="165"/>
  <c r="W63" i="165"/>
  <c r="Y63" i="165" s="1"/>
  <c r="S63" i="165"/>
  <c r="R63" i="165"/>
  <c r="O63" i="165"/>
  <c r="J63" i="165"/>
  <c r="E63" i="165"/>
  <c r="CP62" i="165"/>
  <c r="CQ62" i="165" s="1"/>
  <c r="CJ62" i="165"/>
  <c r="CG62" i="165"/>
  <c r="CB62" i="165"/>
  <c r="BW62" i="165"/>
  <c r="BR62" i="165"/>
  <c r="BM62" i="165"/>
  <c r="BH62" i="165"/>
  <c r="BC62" i="165"/>
  <c r="AX62" i="165"/>
  <c r="AS62" i="165"/>
  <c r="AN62" i="165"/>
  <c r="AI62" i="165"/>
  <c r="AD62" i="165"/>
  <c r="X62" i="165"/>
  <c r="CK62" i="165" s="1"/>
  <c r="W62" i="165"/>
  <c r="S62" i="165"/>
  <c r="R62" i="165"/>
  <c r="O62" i="165"/>
  <c r="J62" i="165"/>
  <c r="E62" i="165"/>
  <c r="CP61" i="165"/>
  <c r="CQ61" i="165" s="1"/>
  <c r="CK61" i="165"/>
  <c r="CG61" i="165"/>
  <c r="CB61" i="165"/>
  <c r="BW61" i="165"/>
  <c r="BR61" i="165"/>
  <c r="BM61" i="165"/>
  <c r="BH61" i="165"/>
  <c r="BC61" i="165"/>
  <c r="AX61" i="165"/>
  <c r="AS61" i="165"/>
  <c r="AN61" i="165"/>
  <c r="AI61" i="165"/>
  <c r="AD61" i="165"/>
  <c r="X61" i="165"/>
  <c r="W61" i="165"/>
  <c r="Y61" i="165" s="1"/>
  <c r="S61" i="165"/>
  <c r="R61" i="165"/>
  <c r="O61" i="165"/>
  <c r="J61" i="165"/>
  <c r="E61" i="165"/>
  <c r="CP60" i="165"/>
  <c r="CQ60" i="165" s="1"/>
  <c r="CG60" i="165"/>
  <c r="CB60" i="165"/>
  <c r="BW60" i="165"/>
  <c r="BR60" i="165"/>
  <c r="BM60" i="165"/>
  <c r="BH60" i="165"/>
  <c r="BC60" i="165"/>
  <c r="AX60" i="165"/>
  <c r="AS60" i="165"/>
  <c r="AN60" i="165"/>
  <c r="AI60" i="165"/>
  <c r="AD60" i="165"/>
  <c r="X60" i="165"/>
  <c r="CK60" i="165" s="1"/>
  <c r="W60" i="165"/>
  <c r="CJ60" i="165" s="1"/>
  <c r="S60" i="165"/>
  <c r="R60" i="165"/>
  <c r="O60" i="165"/>
  <c r="J60" i="165"/>
  <c r="E60" i="165"/>
  <c r="CP59" i="165"/>
  <c r="CQ59" i="165" s="1"/>
  <c r="CK59" i="165"/>
  <c r="CG59" i="165"/>
  <c r="CB59" i="165"/>
  <c r="BW59" i="165"/>
  <c r="BR59" i="165"/>
  <c r="BM59" i="165"/>
  <c r="BH59" i="165"/>
  <c r="BC59" i="165"/>
  <c r="AX59" i="165"/>
  <c r="AS59" i="165"/>
  <c r="AN59" i="165"/>
  <c r="AI59" i="165"/>
  <c r="AD59" i="165"/>
  <c r="X59" i="165"/>
  <c r="W59" i="165"/>
  <c r="Y59" i="165" s="1"/>
  <c r="S59" i="165"/>
  <c r="R59" i="165"/>
  <c r="O59" i="165"/>
  <c r="J59" i="165"/>
  <c r="E59" i="165"/>
  <c r="CP58" i="165"/>
  <c r="CQ58" i="165" s="1"/>
  <c r="CJ58" i="165"/>
  <c r="CG58" i="165"/>
  <c r="CB58" i="165"/>
  <c r="BW58" i="165"/>
  <c r="BR58" i="165"/>
  <c r="BM58" i="165"/>
  <c r="BH58" i="165"/>
  <c r="BC58" i="165"/>
  <c r="AX58" i="165"/>
  <c r="AS58" i="165"/>
  <c r="AN58" i="165"/>
  <c r="AI58" i="165"/>
  <c r="AD58" i="165"/>
  <c r="X58" i="165"/>
  <c r="CK58" i="165" s="1"/>
  <c r="W58" i="165"/>
  <c r="S58" i="165"/>
  <c r="R58" i="165"/>
  <c r="O58" i="165"/>
  <c r="J58" i="165"/>
  <c r="E58" i="165"/>
  <c r="CP57" i="165"/>
  <c r="CQ57" i="165" s="1"/>
  <c r="CK57" i="165"/>
  <c r="CG57" i="165"/>
  <c r="CB57" i="165"/>
  <c r="BW57" i="165"/>
  <c r="BR57" i="165"/>
  <c r="BM57" i="165"/>
  <c r="BH57" i="165"/>
  <c r="BC57" i="165"/>
  <c r="AX57" i="165"/>
  <c r="AS57" i="165"/>
  <c r="AN57" i="165"/>
  <c r="AI57" i="165"/>
  <c r="AD57" i="165"/>
  <c r="X57" i="165"/>
  <c r="W57" i="165"/>
  <c r="Y57" i="165" s="1"/>
  <c r="S57" i="165"/>
  <c r="R57" i="165"/>
  <c r="O57" i="165"/>
  <c r="J57" i="165"/>
  <c r="E57" i="165"/>
  <c r="CP56" i="165"/>
  <c r="CQ56" i="165" s="1"/>
  <c r="CG56" i="165"/>
  <c r="CB56" i="165"/>
  <c r="BW56" i="165"/>
  <c r="BW54" i="165" s="1"/>
  <c r="BR56" i="165"/>
  <c r="BM56" i="165"/>
  <c r="BH56" i="165"/>
  <c r="BC56" i="165"/>
  <c r="AX56" i="165"/>
  <c r="AS56" i="165"/>
  <c r="AN56" i="165"/>
  <c r="AI56" i="165"/>
  <c r="AD56" i="165"/>
  <c r="X56" i="165"/>
  <c r="W56" i="165"/>
  <c r="CJ56" i="165" s="1"/>
  <c r="S56" i="165"/>
  <c r="R56" i="165"/>
  <c r="O56" i="165"/>
  <c r="J56" i="165"/>
  <c r="E56" i="165"/>
  <c r="CP55" i="165"/>
  <c r="CQ55" i="165" s="1"/>
  <c r="CG55" i="165"/>
  <c r="CB55" i="165"/>
  <c r="BW55" i="165"/>
  <c r="BR55" i="165"/>
  <c r="BR54" i="165" s="1"/>
  <c r="BM55" i="165"/>
  <c r="BH55" i="165"/>
  <c r="BC55" i="165"/>
  <c r="AX55" i="165"/>
  <c r="AX54" i="165" s="1"/>
  <c r="AS55" i="165"/>
  <c r="AN55" i="165"/>
  <c r="AI55" i="165"/>
  <c r="AD55" i="165"/>
  <c r="X55" i="165"/>
  <c r="CK55" i="165" s="1"/>
  <c r="W55" i="165"/>
  <c r="CJ55" i="165" s="1"/>
  <c r="S55" i="165"/>
  <c r="R55" i="165"/>
  <c r="T55" i="165" s="1"/>
  <c r="O55" i="165"/>
  <c r="J55" i="165"/>
  <c r="J54" i="165" s="1"/>
  <c r="E55" i="165"/>
  <c r="CF54" i="165"/>
  <c r="CE54" i="165"/>
  <c r="CA54" i="165"/>
  <c r="BZ54" i="165"/>
  <c r="BV54" i="165"/>
  <c r="BU54" i="165"/>
  <c r="BQ54" i="165"/>
  <c r="BP54" i="165"/>
  <c r="BL54" i="165"/>
  <c r="BK54" i="165"/>
  <c r="BG54" i="165"/>
  <c r="BF54" i="165"/>
  <c r="BC54" i="165"/>
  <c r="BB54" i="165"/>
  <c r="BA54" i="165"/>
  <c r="AW54" i="165"/>
  <c r="AV54" i="165"/>
  <c r="AR54" i="165"/>
  <c r="AQ54" i="165"/>
  <c r="AM54" i="165"/>
  <c r="AL54" i="165"/>
  <c r="AI54" i="165"/>
  <c r="AH54" i="165"/>
  <c r="AG54" i="165"/>
  <c r="AC54" i="165"/>
  <c r="AB54" i="165"/>
  <c r="O54" i="165"/>
  <c r="N54" i="165"/>
  <c r="M54" i="165"/>
  <c r="I54" i="165"/>
  <c r="H54" i="165"/>
  <c r="D54" i="165"/>
  <c r="C54" i="165"/>
  <c r="CK53" i="165"/>
  <c r="CJ53" i="165"/>
  <c r="CP52" i="165"/>
  <c r="CQ52" i="165" s="1"/>
  <c r="CG52" i="165"/>
  <c r="CB52" i="165"/>
  <c r="BW52" i="165"/>
  <c r="BR52" i="165"/>
  <c r="BM52" i="165"/>
  <c r="BM50" i="165" s="1"/>
  <c r="BH52" i="165"/>
  <c r="BC52" i="165"/>
  <c r="AX52" i="165"/>
  <c r="AS52" i="165"/>
  <c r="AS50" i="165" s="1"/>
  <c r="AN52" i="165"/>
  <c r="AI52" i="165"/>
  <c r="AD52" i="165"/>
  <c r="X52" i="165"/>
  <c r="CK52" i="165" s="1"/>
  <c r="W52" i="165"/>
  <c r="CJ52" i="165" s="1"/>
  <c r="S52" i="165"/>
  <c r="R52" i="165"/>
  <c r="O52" i="165"/>
  <c r="J52" i="165"/>
  <c r="E52" i="165"/>
  <c r="E50" i="165" s="1"/>
  <c r="CP51" i="165"/>
  <c r="CQ51" i="165" s="1"/>
  <c r="CQ50" i="165" s="1"/>
  <c r="CG51" i="165"/>
  <c r="CB51" i="165"/>
  <c r="BW51" i="165"/>
  <c r="BW50" i="165" s="1"/>
  <c r="BR51" i="165"/>
  <c r="BM51" i="165"/>
  <c r="BH51" i="165"/>
  <c r="BC51" i="165"/>
  <c r="BC50" i="165" s="1"/>
  <c r="AX51" i="165"/>
  <c r="AS51" i="165"/>
  <c r="AN51" i="165"/>
  <c r="AI51" i="165"/>
  <c r="AI50" i="165" s="1"/>
  <c r="AD51" i="165"/>
  <c r="X51" i="165"/>
  <c r="CK51" i="165" s="1"/>
  <c r="W51" i="165"/>
  <c r="CJ51" i="165" s="1"/>
  <c r="S51" i="165"/>
  <c r="R51" i="165"/>
  <c r="T51" i="165" s="1"/>
  <c r="O51" i="165"/>
  <c r="J51" i="165"/>
  <c r="J50" i="165" s="1"/>
  <c r="E51" i="165"/>
  <c r="CP50" i="165"/>
  <c r="CF50" i="165"/>
  <c r="CE50" i="165"/>
  <c r="CA50" i="165"/>
  <c r="BZ50" i="165"/>
  <c r="BV50" i="165"/>
  <c r="BU50" i="165"/>
  <c r="BQ50" i="165"/>
  <c r="BP50" i="165"/>
  <c r="BL50" i="165"/>
  <c r="BK50" i="165"/>
  <c r="BG50" i="165"/>
  <c r="BF50" i="165"/>
  <c r="BB50" i="165"/>
  <c r="BA50" i="165"/>
  <c r="AW50" i="165"/>
  <c r="AV50" i="165"/>
  <c r="AR50" i="165"/>
  <c r="AQ50" i="165"/>
  <c r="AM50" i="165"/>
  <c r="AL50" i="165"/>
  <c r="AH50" i="165"/>
  <c r="AG50" i="165"/>
  <c r="AC50" i="165"/>
  <c r="AB50" i="165"/>
  <c r="O50" i="165"/>
  <c r="N50" i="165"/>
  <c r="M50" i="165"/>
  <c r="I50" i="165"/>
  <c r="H50" i="165"/>
  <c r="D50" i="165"/>
  <c r="C50" i="165"/>
  <c r="CP48" i="165"/>
  <c r="CQ48" i="165" s="1"/>
  <c r="CG48" i="165"/>
  <c r="CB48" i="165"/>
  <c r="BW48" i="165"/>
  <c r="BR48" i="165"/>
  <c r="BM48" i="165"/>
  <c r="BH48" i="165"/>
  <c r="BC48" i="165"/>
  <c r="AX48" i="165"/>
  <c r="AS48" i="165"/>
  <c r="AN48" i="165"/>
  <c r="AI48" i="165"/>
  <c r="AD48" i="165"/>
  <c r="X48" i="165"/>
  <c r="CK48" i="165" s="1"/>
  <c r="W48" i="165"/>
  <c r="CJ48" i="165" s="1"/>
  <c r="S48" i="165"/>
  <c r="R48" i="165"/>
  <c r="T48" i="165" s="1"/>
  <c r="O48" i="165"/>
  <c r="J48" i="165"/>
  <c r="E48" i="165"/>
  <c r="CP47" i="165"/>
  <c r="CQ47" i="165" s="1"/>
  <c r="CG47" i="165"/>
  <c r="CB47" i="165"/>
  <c r="BW47" i="165"/>
  <c r="BR47" i="165"/>
  <c r="BM47" i="165"/>
  <c r="BH47" i="165"/>
  <c r="BC47" i="165"/>
  <c r="AX47" i="165"/>
  <c r="AS47" i="165"/>
  <c r="AN47" i="165"/>
  <c r="AI47" i="165"/>
  <c r="AD47" i="165"/>
  <c r="X47" i="165"/>
  <c r="CK47" i="165" s="1"/>
  <c r="W47" i="165"/>
  <c r="CJ47" i="165" s="1"/>
  <c r="S47" i="165"/>
  <c r="R47" i="165"/>
  <c r="O47" i="165"/>
  <c r="J47" i="165"/>
  <c r="E47" i="165"/>
  <c r="CP46" i="165"/>
  <c r="CQ46" i="165" s="1"/>
  <c r="CG46" i="165"/>
  <c r="CB46" i="165"/>
  <c r="BW46" i="165"/>
  <c r="BR46" i="165"/>
  <c r="BM46" i="165"/>
  <c r="BH46" i="165"/>
  <c r="BC46" i="165"/>
  <c r="AX46" i="165"/>
  <c r="AS46" i="165"/>
  <c r="AN46" i="165"/>
  <c r="AI46" i="165"/>
  <c r="AD46" i="165"/>
  <c r="X46" i="165"/>
  <c r="CK46" i="165" s="1"/>
  <c r="W46" i="165"/>
  <c r="CJ46" i="165" s="1"/>
  <c r="S46" i="165"/>
  <c r="R46" i="165"/>
  <c r="T46" i="165" s="1"/>
  <c r="O46" i="165"/>
  <c r="J46" i="165"/>
  <c r="E46" i="165"/>
  <c r="CP45" i="165"/>
  <c r="CQ45" i="165" s="1"/>
  <c r="CG45" i="165"/>
  <c r="CB45" i="165"/>
  <c r="BW45" i="165"/>
  <c r="BR45" i="165"/>
  <c r="BM45" i="165"/>
  <c r="BH45" i="165"/>
  <c r="BC45" i="165"/>
  <c r="AX45" i="165"/>
  <c r="AS45" i="165"/>
  <c r="AN45" i="165"/>
  <c r="AI45" i="165"/>
  <c r="AD45" i="165"/>
  <c r="X45" i="165"/>
  <c r="CK45" i="165" s="1"/>
  <c r="W45" i="165"/>
  <c r="CJ45" i="165" s="1"/>
  <c r="S45" i="165"/>
  <c r="R45" i="165"/>
  <c r="O45" i="165"/>
  <c r="J45" i="165"/>
  <c r="E45" i="165"/>
  <c r="CP44" i="165"/>
  <c r="CQ44" i="165" s="1"/>
  <c r="CG44" i="165"/>
  <c r="CB44" i="165"/>
  <c r="BW44" i="165"/>
  <c r="BR44" i="165"/>
  <c r="BM44" i="165"/>
  <c r="BH44" i="165"/>
  <c r="BC44" i="165"/>
  <c r="AX44" i="165"/>
  <c r="AS44" i="165"/>
  <c r="AN44" i="165"/>
  <c r="AI44" i="165"/>
  <c r="AD44" i="165"/>
  <c r="X44" i="165"/>
  <c r="CK44" i="165" s="1"/>
  <c r="W44" i="165"/>
  <c r="CJ44" i="165" s="1"/>
  <c r="S44" i="165"/>
  <c r="R44" i="165"/>
  <c r="T44" i="165" s="1"/>
  <c r="O44" i="165"/>
  <c r="J44" i="165"/>
  <c r="E44" i="165"/>
  <c r="CP43" i="165"/>
  <c r="CQ43" i="165" s="1"/>
  <c r="CG43" i="165"/>
  <c r="CB43" i="165"/>
  <c r="BW43" i="165"/>
  <c r="BR43" i="165"/>
  <c r="BM43" i="165"/>
  <c r="BH43" i="165"/>
  <c r="BC43" i="165"/>
  <c r="AX43" i="165"/>
  <c r="AS43" i="165"/>
  <c r="AN43" i="165"/>
  <c r="AI43" i="165"/>
  <c r="AD43" i="165"/>
  <c r="X43" i="165"/>
  <c r="CK43" i="165" s="1"/>
  <c r="W43" i="165"/>
  <c r="CJ43" i="165" s="1"/>
  <c r="S43" i="165"/>
  <c r="R43" i="165"/>
  <c r="T43" i="165" s="1"/>
  <c r="O43" i="165"/>
  <c r="J43" i="165"/>
  <c r="E43" i="165"/>
  <c r="CP42" i="165"/>
  <c r="CG42" i="165"/>
  <c r="CG41" i="165" s="1"/>
  <c r="CB42" i="165"/>
  <c r="BW42" i="165"/>
  <c r="BR42" i="165"/>
  <c r="BM42" i="165"/>
  <c r="BM41" i="165" s="1"/>
  <c r="BH42" i="165"/>
  <c r="BC42" i="165"/>
  <c r="AX42" i="165"/>
  <c r="AX41" i="165" s="1"/>
  <c r="AS42" i="165"/>
  <c r="AN42" i="165"/>
  <c r="AI42" i="165"/>
  <c r="AD42" i="165"/>
  <c r="AD41" i="165" s="1"/>
  <c r="X42" i="165"/>
  <c r="W42" i="165"/>
  <c r="CJ42" i="165" s="1"/>
  <c r="S42" i="165"/>
  <c r="R42" i="165"/>
  <c r="T42" i="165" s="1"/>
  <c r="O42" i="165"/>
  <c r="J42" i="165"/>
  <c r="J41" i="165" s="1"/>
  <c r="E42" i="165"/>
  <c r="CF41" i="165"/>
  <c r="CE41" i="165"/>
  <c r="CA41" i="165"/>
  <c r="BZ41" i="165"/>
  <c r="BV41" i="165"/>
  <c r="BU41" i="165"/>
  <c r="BQ41" i="165"/>
  <c r="BP41" i="165"/>
  <c r="BL41" i="165"/>
  <c r="BK41" i="165"/>
  <c r="BG41" i="165"/>
  <c r="BF41" i="165"/>
  <c r="BB41" i="165"/>
  <c r="BA41" i="165"/>
  <c r="AW41" i="165"/>
  <c r="AV41" i="165"/>
  <c r="AS41" i="165"/>
  <c r="AR41" i="165"/>
  <c r="AQ41" i="165"/>
  <c r="AM41" i="165"/>
  <c r="AL41" i="165"/>
  <c r="AH41" i="165"/>
  <c r="AG41" i="165"/>
  <c r="AC41" i="165"/>
  <c r="AB41" i="165"/>
  <c r="S41" i="165"/>
  <c r="N41" i="165"/>
  <c r="M41" i="165"/>
  <c r="I41" i="165"/>
  <c r="H41" i="165"/>
  <c r="E41" i="165"/>
  <c r="D41" i="165"/>
  <c r="C41" i="165"/>
  <c r="X37" i="165"/>
  <c r="W37" i="165"/>
  <c r="CG36" i="165"/>
  <c r="CG35" i="165" s="1"/>
  <c r="CB36" i="165"/>
  <c r="BW36" i="165"/>
  <c r="BW35" i="165" s="1"/>
  <c r="BR36" i="165"/>
  <c r="BR35" i="165" s="1"/>
  <c r="BM36" i="165"/>
  <c r="BM35" i="165" s="1"/>
  <c r="BH36" i="165"/>
  <c r="BC36" i="165"/>
  <c r="BC35" i="165" s="1"/>
  <c r="AX36" i="165"/>
  <c r="AX35" i="165" s="1"/>
  <c r="AS36" i="165"/>
  <c r="AS35" i="165" s="1"/>
  <c r="AN36" i="165"/>
  <c r="AI36" i="165"/>
  <c r="AI35" i="165" s="1"/>
  <c r="AD36" i="165"/>
  <c r="AD35" i="165" s="1"/>
  <c r="Y36" i="165"/>
  <c r="Y35" i="165" s="1"/>
  <c r="X36" i="165"/>
  <c r="CK36" i="165" s="1"/>
  <c r="CK35" i="165" s="1"/>
  <c r="W36" i="165"/>
  <c r="CJ36" i="165" s="1"/>
  <c r="S36" i="165"/>
  <c r="S35" i="165" s="1"/>
  <c r="R36" i="165"/>
  <c r="R35" i="165" s="1"/>
  <c r="O36" i="165"/>
  <c r="J36" i="165"/>
  <c r="J35" i="165" s="1"/>
  <c r="E36" i="165"/>
  <c r="E35" i="165" s="1"/>
  <c r="CP35" i="165"/>
  <c r="CF35" i="165"/>
  <c r="CE35" i="165"/>
  <c r="CB35" i="165"/>
  <c r="CA35" i="165"/>
  <c r="BZ35" i="165"/>
  <c r="BV35" i="165"/>
  <c r="BU35" i="165"/>
  <c r="BQ35" i="165"/>
  <c r="BP35" i="165"/>
  <c r="BL35" i="165"/>
  <c r="BK35" i="165"/>
  <c r="BH35" i="165"/>
  <c r="BG35" i="165"/>
  <c r="BF35" i="165"/>
  <c r="BB35" i="165"/>
  <c r="BA35" i="165"/>
  <c r="AW35" i="165"/>
  <c r="AV35" i="165"/>
  <c r="AR35" i="165"/>
  <c r="AQ35" i="165"/>
  <c r="AN35" i="165"/>
  <c r="AM35" i="165"/>
  <c r="AL35" i="165"/>
  <c r="AH35" i="165"/>
  <c r="AG35" i="165"/>
  <c r="AC35" i="165"/>
  <c r="AB35" i="165"/>
  <c r="X35" i="165"/>
  <c r="O35" i="165"/>
  <c r="N35" i="165"/>
  <c r="M35" i="165"/>
  <c r="I35" i="165"/>
  <c r="H35" i="165"/>
  <c r="D35" i="165"/>
  <c r="C35" i="165"/>
  <c r="CR33" i="165"/>
  <c r="CG33" i="165"/>
  <c r="CB33" i="165"/>
  <c r="BW33" i="165"/>
  <c r="BR33" i="165"/>
  <c r="BM33" i="165"/>
  <c r="BH33" i="165"/>
  <c r="BC33" i="165"/>
  <c r="AX33" i="165"/>
  <c r="AS33" i="165"/>
  <c r="AN33" i="165"/>
  <c r="AI33" i="165"/>
  <c r="AD33" i="165"/>
  <c r="X33" i="165"/>
  <c r="CK33" i="165" s="1"/>
  <c r="W33" i="165"/>
  <c r="CJ33" i="165" s="1"/>
  <c r="S33" i="165"/>
  <c r="R33" i="165"/>
  <c r="O33" i="165"/>
  <c r="J33" i="165"/>
  <c r="E33" i="165"/>
  <c r="CG32" i="165"/>
  <c r="CB32" i="165"/>
  <c r="BW32" i="165"/>
  <c r="BR32" i="165"/>
  <c r="BM32" i="165"/>
  <c r="BH32" i="165"/>
  <c r="BC32" i="165"/>
  <c r="AX32" i="165"/>
  <c r="AS32" i="165"/>
  <c r="AN32" i="165"/>
  <c r="AI32" i="165"/>
  <c r="AD32" i="165"/>
  <c r="X32" i="165"/>
  <c r="CK32" i="165" s="1"/>
  <c r="W32" i="165"/>
  <c r="CJ32" i="165" s="1"/>
  <c r="S32" i="165"/>
  <c r="T32" i="165" s="1"/>
  <c r="R32" i="165"/>
  <c r="O32" i="165"/>
  <c r="J32" i="165"/>
  <c r="E32" i="165"/>
  <c r="CG31" i="165"/>
  <c r="CB31" i="165"/>
  <c r="BW31" i="165"/>
  <c r="BR31" i="165"/>
  <c r="BM31" i="165"/>
  <c r="BH31" i="165"/>
  <c r="BC31" i="165"/>
  <c r="AX31" i="165"/>
  <c r="AS31" i="165"/>
  <c r="AN31" i="165"/>
  <c r="AI31" i="165"/>
  <c r="AD31" i="165"/>
  <c r="X31" i="165"/>
  <c r="CK31" i="165" s="1"/>
  <c r="W31" i="165"/>
  <c r="CJ31" i="165" s="1"/>
  <c r="S31" i="165"/>
  <c r="R31" i="165"/>
  <c r="O31" i="165"/>
  <c r="J31" i="165"/>
  <c r="E31" i="165"/>
  <c r="CG30" i="165"/>
  <c r="CB30" i="165"/>
  <c r="BW30" i="165"/>
  <c r="BR30" i="165"/>
  <c r="BM30" i="165"/>
  <c r="BH30" i="165"/>
  <c r="BC30" i="165"/>
  <c r="AX30" i="165"/>
  <c r="AS30" i="165"/>
  <c r="AN30" i="165"/>
  <c r="AI30" i="165"/>
  <c r="AD30" i="165"/>
  <c r="X30" i="165"/>
  <c r="CK30" i="165" s="1"/>
  <c r="W30" i="165"/>
  <c r="CJ30" i="165" s="1"/>
  <c r="S30" i="165"/>
  <c r="R30" i="165"/>
  <c r="O30" i="165"/>
  <c r="J30" i="165"/>
  <c r="E30" i="165"/>
  <c r="CG29" i="165"/>
  <c r="CB29" i="165"/>
  <c r="BW29" i="165"/>
  <c r="BR29" i="165"/>
  <c r="BM29" i="165"/>
  <c r="BH29" i="165"/>
  <c r="BC29" i="165"/>
  <c r="AX29" i="165"/>
  <c r="AS29" i="165"/>
  <c r="AN29" i="165"/>
  <c r="AI29" i="165"/>
  <c r="AD29" i="165"/>
  <c r="X29" i="165"/>
  <c r="CK29" i="165" s="1"/>
  <c r="W29" i="165"/>
  <c r="CJ29" i="165" s="1"/>
  <c r="S29" i="165"/>
  <c r="R29" i="165"/>
  <c r="O29" i="165"/>
  <c r="J29" i="165"/>
  <c r="E29" i="165"/>
  <c r="CG28" i="165"/>
  <c r="CB28" i="165"/>
  <c r="BW28" i="165"/>
  <c r="BR28" i="165"/>
  <c r="BM28" i="165"/>
  <c r="BH28" i="165"/>
  <c r="BC28" i="165"/>
  <c r="AX28" i="165"/>
  <c r="AS28" i="165"/>
  <c r="AN28" i="165"/>
  <c r="AI28" i="165"/>
  <c r="AD28" i="165"/>
  <c r="X28" i="165"/>
  <c r="CK28" i="165" s="1"/>
  <c r="W28" i="165"/>
  <c r="CJ28" i="165" s="1"/>
  <c r="S28" i="165"/>
  <c r="R28" i="165"/>
  <c r="O28" i="165"/>
  <c r="J28" i="165"/>
  <c r="E28" i="165"/>
  <c r="CG27" i="165"/>
  <c r="CB27" i="165"/>
  <c r="BW27" i="165"/>
  <c r="BR27" i="165"/>
  <c r="BM27" i="165"/>
  <c r="BH27" i="165"/>
  <c r="BC27" i="165"/>
  <c r="AX27" i="165"/>
  <c r="AS27" i="165"/>
  <c r="AN27" i="165"/>
  <c r="AI27" i="165"/>
  <c r="AD27" i="165"/>
  <c r="X27" i="165"/>
  <c r="CK27" i="165" s="1"/>
  <c r="W27" i="165"/>
  <c r="CJ27" i="165" s="1"/>
  <c r="S27" i="165"/>
  <c r="R27" i="165"/>
  <c r="O27" i="165"/>
  <c r="J27" i="165"/>
  <c r="E27" i="165"/>
  <c r="CR26" i="165"/>
  <c r="CG26" i="165"/>
  <c r="CB26" i="165"/>
  <c r="BW26" i="165"/>
  <c r="BR26" i="165"/>
  <c r="BM26" i="165"/>
  <c r="BH26" i="165"/>
  <c r="BC26" i="165"/>
  <c r="AX26" i="165"/>
  <c r="AS26" i="165"/>
  <c r="AN26" i="165"/>
  <c r="AI26" i="165"/>
  <c r="AD26" i="165"/>
  <c r="X26" i="165"/>
  <c r="CK26" i="165" s="1"/>
  <c r="W26" i="165"/>
  <c r="CJ26" i="165" s="1"/>
  <c r="S26" i="165"/>
  <c r="R26" i="165"/>
  <c r="O26" i="165"/>
  <c r="J26" i="165"/>
  <c r="E26" i="165"/>
  <c r="CR25" i="165"/>
  <c r="CG25" i="165"/>
  <c r="CB25" i="165"/>
  <c r="BW25" i="165"/>
  <c r="BR25" i="165"/>
  <c r="BM25" i="165"/>
  <c r="BH25" i="165"/>
  <c r="BC25" i="165"/>
  <c r="AX25" i="165"/>
  <c r="AS25" i="165"/>
  <c r="AN25" i="165"/>
  <c r="AI25" i="165"/>
  <c r="AD25" i="165"/>
  <c r="X25" i="165"/>
  <c r="CK25" i="165" s="1"/>
  <c r="W25" i="165"/>
  <c r="Y25" i="165" s="1"/>
  <c r="S25" i="165"/>
  <c r="R25" i="165"/>
  <c r="T25" i="165" s="1"/>
  <c r="O25" i="165"/>
  <c r="J25" i="165"/>
  <c r="E25" i="165"/>
  <c r="CR24" i="165"/>
  <c r="CG24" i="165"/>
  <c r="CB24" i="165"/>
  <c r="BW24" i="165"/>
  <c r="BR24" i="165"/>
  <c r="BM24" i="165"/>
  <c r="BH24" i="165"/>
  <c r="BC24" i="165"/>
  <c r="AX24" i="165"/>
  <c r="AS24" i="165"/>
  <c r="AN24" i="165"/>
  <c r="AI24" i="165"/>
  <c r="AD24" i="165"/>
  <c r="X24" i="165"/>
  <c r="CK24" i="165" s="1"/>
  <c r="W24" i="165"/>
  <c r="CJ24" i="165" s="1"/>
  <c r="S24" i="165"/>
  <c r="R24" i="165"/>
  <c r="O24" i="165"/>
  <c r="J24" i="165"/>
  <c r="E24" i="165"/>
  <c r="CG23" i="165"/>
  <c r="CB23" i="165"/>
  <c r="BW23" i="165"/>
  <c r="BR23" i="165"/>
  <c r="BM23" i="165"/>
  <c r="BH23" i="165"/>
  <c r="BC23" i="165"/>
  <c r="AX23" i="165"/>
  <c r="AS23" i="165"/>
  <c r="AN23" i="165"/>
  <c r="AI23" i="165"/>
  <c r="AD23" i="165"/>
  <c r="X23" i="165"/>
  <c r="CK23" i="165" s="1"/>
  <c r="W23" i="165"/>
  <c r="CJ23" i="165" s="1"/>
  <c r="CL23" i="165" s="1"/>
  <c r="CQ23" i="165" s="1"/>
  <c r="CR23" i="165" s="1"/>
  <c r="S23" i="165"/>
  <c r="R23" i="165"/>
  <c r="T23" i="165" s="1"/>
  <c r="O23" i="165"/>
  <c r="J23" i="165"/>
  <c r="E23" i="165"/>
  <c r="CG22" i="165"/>
  <c r="CB22" i="165"/>
  <c r="BW22" i="165"/>
  <c r="BR22" i="165"/>
  <c r="BM22" i="165"/>
  <c r="BH22" i="165"/>
  <c r="BC22" i="165"/>
  <c r="AX22" i="165"/>
  <c r="AS22" i="165"/>
  <c r="AN22" i="165"/>
  <c r="AI22" i="165"/>
  <c r="AD22" i="165"/>
  <c r="X22" i="165"/>
  <c r="CK22" i="165" s="1"/>
  <c r="W22" i="165"/>
  <c r="CJ22" i="165" s="1"/>
  <c r="S22" i="165"/>
  <c r="R22" i="165"/>
  <c r="T22" i="165" s="1"/>
  <c r="O22" i="165"/>
  <c r="J22" i="165"/>
  <c r="E22" i="165"/>
  <c r="CG21" i="165"/>
  <c r="CB21" i="165"/>
  <c r="BW21" i="165"/>
  <c r="BR21" i="165"/>
  <c r="BM21" i="165"/>
  <c r="BH21" i="165"/>
  <c r="BC21" i="165"/>
  <c r="AX21" i="165"/>
  <c r="AS21" i="165"/>
  <c r="AN21" i="165"/>
  <c r="AI21" i="165"/>
  <c r="AD21" i="165"/>
  <c r="X21" i="165"/>
  <c r="CK21" i="165" s="1"/>
  <c r="W21" i="165"/>
  <c r="Y21" i="165" s="1"/>
  <c r="S21" i="165"/>
  <c r="R21" i="165"/>
  <c r="T21" i="165" s="1"/>
  <c r="O21" i="165"/>
  <c r="J21" i="165"/>
  <c r="E21" i="165"/>
  <c r="CJ20" i="165"/>
  <c r="CG20" i="165"/>
  <c r="CB20" i="165"/>
  <c r="BW20" i="165"/>
  <c r="BR20" i="165"/>
  <c r="BM20" i="165"/>
  <c r="BH20" i="165"/>
  <c r="BC20" i="165"/>
  <c r="AX20" i="165"/>
  <c r="AS20" i="165"/>
  <c r="AN20" i="165"/>
  <c r="AI20" i="165"/>
  <c r="AD20" i="165"/>
  <c r="X20" i="165"/>
  <c r="CK20" i="165" s="1"/>
  <c r="CL20" i="165" s="1"/>
  <c r="W20" i="165"/>
  <c r="S20" i="165"/>
  <c r="R20" i="165"/>
  <c r="O20" i="165"/>
  <c r="J20" i="165"/>
  <c r="E20" i="165"/>
  <c r="CJ19" i="165"/>
  <c r="CG19" i="165"/>
  <c r="CB19" i="165"/>
  <c r="BW19" i="165"/>
  <c r="BR19" i="165"/>
  <c r="BM19" i="165"/>
  <c r="BH19" i="165"/>
  <c r="BC19" i="165"/>
  <c r="AX19" i="165"/>
  <c r="AS19" i="165"/>
  <c r="AN19" i="165"/>
  <c r="AI19" i="165"/>
  <c r="AD19" i="165"/>
  <c r="X19" i="165"/>
  <c r="CK19" i="165" s="1"/>
  <c r="W19" i="165"/>
  <c r="S19" i="165"/>
  <c r="R19" i="165"/>
  <c r="T19" i="165" s="1"/>
  <c r="O19" i="165"/>
  <c r="J19" i="165"/>
  <c r="E19" i="165"/>
  <c r="CJ18" i="165"/>
  <c r="CG18" i="165"/>
  <c r="CB18" i="165"/>
  <c r="BW18" i="165"/>
  <c r="BR18" i="165"/>
  <c r="BM18" i="165"/>
  <c r="BH18" i="165"/>
  <c r="BC18" i="165"/>
  <c r="AX18" i="165"/>
  <c r="AS18" i="165"/>
  <c r="AN18" i="165"/>
  <c r="AI18" i="165"/>
  <c r="AD18" i="165"/>
  <c r="X18" i="165"/>
  <c r="CK18" i="165" s="1"/>
  <c r="W18" i="165"/>
  <c r="S18" i="165"/>
  <c r="R18" i="165"/>
  <c r="T18" i="165" s="1"/>
  <c r="O18" i="165"/>
  <c r="J18" i="165"/>
  <c r="E18" i="165"/>
  <c r="CJ17" i="165"/>
  <c r="CG17" i="165"/>
  <c r="CB17" i="165"/>
  <c r="BW17" i="165"/>
  <c r="BR17" i="165"/>
  <c r="BM17" i="165"/>
  <c r="BH17" i="165"/>
  <c r="BC17" i="165"/>
  <c r="AX17" i="165"/>
  <c r="AS17" i="165"/>
  <c r="AN17" i="165"/>
  <c r="AI17" i="165"/>
  <c r="AD17" i="165"/>
  <c r="X17" i="165"/>
  <c r="CK17" i="165" s="1"/>
  <c r="W17" i="165"/>
  <c r="Y17" i="165" s="1"/>
  <c r="S17" i="165"/>
  <c r="T17" i="165" s="1"/>
  <c r="R17" i="165"/>
  <c r="O17" i="165"/>
  <c r="J17" i="165"/>
  <c r="E17" i="165"/>
  <c r="CG16" i="165"/>
  <c r="CB16" i="165"/>
  <c r="BW16" i="165"/>
  <c r="BR16" i="165"/>
  <c r="BM16" i="165"/>
  <c r="BH16" i="165"/>
  <c r="BC16" i="165"/>
  <c r="AX16" i="165"/>
  <c r="AS16" i="165"/>
  <c r="AN16" i="165"/>
  <c r="AI16" i="165"/>
  <c r="AD16" i="165"/>
  <c r="X16" i="165"/>
  <c r="CK16" i="165" s="1"/>
  <c r="W16" i="165"/>
  <c r="CJ16" i="165" s="1"/>
  <c r="S16" i="165"/>
  <c r="R16" i="165"/>
  <c r="O16" i="165"/>
  <c r="J16" i="165"/>
  <c r="E16" i="165"/>
  <c r="CG15" i="165"/>
  <c r="CB15" i="165"/>
  <c r="BW15" i="165"/>
  <c r="BR15" i="165"/>
  <c r="BM15" i="165"/>
  <c r="BH15" i="165"/>
  <c r="BC15" i="165"/>
  <c r="AX15" i="165"/>
  <c r="AS15" i="165"/>
  <c r="AN15" i="165"/>
  <c r="AI15" i="165"/>
  <c r="AD15" i="165"/>
  <c r="X15" i="165"/>
  <c r="CK15" i="165" s="1"/>
  <c r="W15" i="165"/>
  <c r="CJ15" i="165" s="1"/>
  <c r="T15" i="165"/>
  <c r="S15" i="165"/>
  <c r="R15" i="165"/>
  <c r="O15" i="165"/>
  <c r="J15" i="165"/>
  <c r="E15" i="165"/>
  <c r="CG14" i="165"/>
  <c r="CB14" i="165"/>
  <c r="BW14" i="165"/>
  <c r="BR14" i="165"/>
  <c r="BM14" i="165"/>
  <c r="BH14" i="165"/>
  <c r="BC14" i="165"/>
  <c r="AX14" i="165"/>
  <c r="AS14" i="165"/>
  <c r="AN14" i="165"/>
  <c r="AI14" i="165"/>
  <c r="AD14" i="165"/>
  <c r="X14" i="165"/>
  <c r="CK14" i="165" s="1"/>
  <c r="W14" i="165"/>
  <c r="CJ14" i="165" s="1"/>
  <c r="S14" i="165"/>
  <c r="R14" i="165"/>
  <c r="T14" i="165" s="1"/>
  <c r="O14" i="165"/>
  <c r="J14" i="165"/>
  <c r="E14" i="165"/>
  <c r="CG13" i="165"/>
  <c r="CB13" i="165"/>
  <c r="BW13" i="165"/>
  <c r="BR13" i="165"/>
  <c r="BM13" i="165"/>
  <c r="BH13" i="165"/>
  <c r="BC13" i="165"/>
  <c r="AX13" i="165"/>
  <c r="AS13" i="165"/>
  <c r="AN13" i="165"/>
  <c r="AI13" i="165"/>
  <c r="AD13" i="165"/>
  <c r="X13" i="165"/>
  <c r="CK13" i="165" s="1"/>
  <c r="W13" i="165"/>
  <c r="CJ13" i="165" s="1"/>
  <c r="CL13" i="165" s="1"/>
  <c r="S13" i="165"/>
  <c r="R13" i="165"/>
  <c r="T13" i="165" s="1"/>
  <c r="O13" i="165"/>
  <c r="J13" i="165"/>
  <c r="E13" i="165"/>
  <c r="CG12" i="165"/>
  <c r="CB12" i="165"/>
  <c r="BW12" i="165"/>
  <c r="BR12" i="165"/>
  <c r="BM12" i="165"/>
  <c r="BH12" i="165"/>
  <c r="BC12" i="165"/>
  <c r="AX12" i="165"/>
  <c r="AS12" i="165"/>
  <c r="AN12" i="165"/>
  <c r="AI12" i="165"/>
  <c r="AD12" i="165"/>
  <c r="X12" i="165"/>
  <c r="CK12" i="165" s="1"/>
  <c r="W12" i="165"/>
  <c r="CJ12" i="165" s="1"/>
  <c r="CL12" i="165" s="1"/>
  <c r="S12" i="165"/>
  <c r="R12" i="165"/>
  <c r="T12" i="165" s="1"/>
  <c r="O12" i="165"/>
  <c r="J12" i="165"/>
  <c r="E12" i="165"/>
  <c r="CK11" i="165"/>
  <c r="CG11" i="165"/>
  <c r="CB11" i="165"/>
  <c r="BW11" i="165"/>
  <c r="BR11" i="165"/>
  <c r="BM11" i="165"/>
  <c r="BH11" i="165"/>
  <c r="BC11" i="165"/>
  <c r="AX11" i="165"/>
  <c r="AX8" i="165" s="1"/>
  <c r="AS11" i="165"/>
  <c r="AN11" i="165"/>
  <c r="AI11" i="165"/>
  <c r="AI101" i="157" s="1"/>
  <c r="AD11" i="165"/>
  <c r="X11" i="165"/>
  <c r="W11" i="165"/>
  <c r="CJ11" i="165" s="1"/>
  <c r="S11" i="165"/>
  <c r="R11" i="165"/>
  <c r="O11" i="165"/>
  <c r="J11" i="165"/>
  <c r="E11" i="165"/>
  <c r="CG10" i="165"/>
  <c r="CB10" i="165"/>
  <c r="BW10" i="165"/>
  <c r="BR10" i="165"/>
  <c r="BM10" i="165"/>
  <c r="BH10" i="165"/>
  <c r="BC10" i="165"/>
  <c r="AX10" i="165"/>
  <c r="AS10" i="165"/>
  <c r="AN10" i="165"/>
  <c r="AI10" i="165"/>
  <c r="AD10" i="165"/>
  <c r="X10" i="165"/>
  <c r="CK10" i="165" s="1"/>
  <c r="W10" i="165"/>
  <c r="S10" i="165"/>
  <c r="R10" i="165"/>
  <c r="O10" i="165"/>
  <c r="J10" i="165"/>
  <c r="E10" i="165"/>
  <c r="CG9" i="165"/>
  <c r="CB9" i="165"/>
  <c r="BW9" i="165"/>
  <c r="BW8" i="165" s="1"/>
  <c r="BR9" i="165"/>
  <c r="BM9" i="165"/>
  <c r="BH9" i="165"/>
  <c r="BC9" i="165"/>
  <c r="AX9" i="165"/>
  <c r="AS9" i="165"/>
  <c r="AN9" i="165"/>
  <c r="AI9" i="165"/>
  <c r="AD9" i="165"/>
  <c r="X9" i="165"/>
  <c r="X8" i="165" s="1"/>
  <c r="W9" i="165"/>
  <c r="CJ9" i="165" s="1"/>
  <c r="S9" i="165"/>
  <c r="R9" i="165"/>
  <c r="O9" i="165"/>
  <c r="J9" i="165"/>
  <c r="E9" i="165"/>
  <c r="CP8" i="165"/>
  <c r="CF8" i="165"/>
  <c r="CE8" i="165"/>
  <c r="CA8" i="165"/>
  <c r="BZ8" i="165"/>
  <c r="BV8" i="165"/>
  <c r="BU8" i="165"/>
  <c r="BQ8" i="165"/>
  <c r="BP8" i="165"/>
  <c r="BM8" i="165"/>
  <c r="BL8" i="165"/>
  <c r="BK8" i="165"/>
  <c r="BG8" i="165"/>
  <c r="BF8" i="165"/>
  <c r="BB8" i="165"/>
  <c r="BA8" i="165"/>
  <c r="AW8" i="165"/>
  <c r="AV8" i="165"/>
  <c r="AR8" i="165"/>
  <c r="AQ8" i="165"/>
  <c r="AM8" i="165"/>
  <c r="AL8" i="165"/>
  <c r="AH8" i="165"/>
  <c r="AG8" i="165"/>
  <c r="AC8" i="165"/>
  <c r="AB8" i="165"/>
  <c r="N8" i="165"/>
  <c r="M8" i="165"/>
  <c r="I8" i="165"/>
  <c r="H8" i="165"/>
  <c r="D8" i="165"/>
  <c r="C8" i="165"/>
  <c r="CG7" i="165"/>
  <c r="CB7" i="165"/>
  <c r="BW7" i="165"/>
  <c r="BR7" i="165"/>
  <c r="BM7" i="165"/>
  <c r="BH7" i="165"/>
  <c r="BC7" i="165"/>
  <c r="AX7" i="165"/>
  <c r="AS7" i="165"/>
  <c r="AN7" i="165"/>
  <c r="AI7" i="165"/>
  <c r="AD7" i="165"/>
  <c r="X7" i="165"/>
  <c r="CK7" i="165" s="1"/>
  <c r="W7" i="165"/>
  <c r="Y7" i="165" s="1"/>
  <c r="S7" i="165"/>
  <c r="R7" i="165"/>
  <c r="O7" i="165"/>
  <c r="J7" i="165"/>
  <c r="E7" i="165"/>
  <c r="CG6" i="165"/>
  <c r="CB6" i="165"/>
  <c r="BW6" i="165"/>
  <c r="BR6" i="165"/>
  <c r="BM6" i="165"/>
  <c r="BM5" i="165" s="1"/>
  <c r="BH6" i="165"/>
  <c r="BC6" i="165"/>
  <c r="BC5" i="165" s="1"/>
  <c r="AX6" i="165"/>
  <c r="AS6" i="165"/>
  <c r="AN6" i="165"/>
  <c r="AI6" i="165"/>
  <c r="AI5" i="165" s="1"/>
  <c r="AD6" i="165"/>
  <c r="X6" i="165"/>
  <c r="CK6" i="165" s="1"/>
  <c r="CK5" i="165" s="1"/>
  <c r="W6" i="165"/>
  <c r="CJ6" i="165" s="1"/>
  <c r="T6" i="165"/>
  <c r="S6" i="165"/>
  <c r="S5" i="165" s="1"/>
  <c r="R6" i="165"/>
  <c r="R5" i="165" s="1"/>
  <c r="O6" i="165"/>
  <c r="J6" i="165"/>
  <c r="J5" i="165" s="1"/>
  <c r="E6" i="165"/>
  <c r="CP5" i="165"/>
  <c r="CP38" i="165" s="1"/>
  <c r="CG5" i="165"/>
  <c r="CF5" i="165"/>
  <c r="CF38" i="165" s="1"/>
  <c r="CE5" i="165"/>
  <c r="CA5" i="165"/>
  <c r="BZ5" i="165"/>
  <c r="BZ38" i="165" s="1"/>
  <c r="BW5" i="165"/>
  <c r="BW38" i="165" s="1"/>
  <c r="BV5" i="165"/>
  <c r="BU5" i="165"/>
  <c r="BQ5" i="165"/>
  <c r="BP5" i="165"/>
  <c r="BP38" i="165" s="1"/>
  <c r="BL5" i="165"/>
  <c r="BL38" i="165" s="1"/>
  <c r="BK5" i="165"/>
  <c r="BG5" i="165"/>
  <c r="BG38" i="165" s="1"/>
  <c r="BF5" i="165"/>
  <c r="BB5" i="165"/>
  <c r="BB38" i="165" s="1"/>
  <c r="BA5" i="165"/>
  <c r="AW5" i="165"/>
  <c r="AW38" i="165" s="1"/>
  <c r="AV5" i="165"/>
  <c r="AS5" i="165"/>
  <c r="AR5" i="165"/>
  <c r="AQ5" i="165"/>
  <c r="AM5" i="165"/>
  <c r="AL5" i="165"/>
  <c r="AL38" i="165" s="1"/>
  <c r="AH5" i="165"/>
  <c r="AG5" i="165"/>
  <c r="AG38" i="165" s="1"/>
  <c r="AC5" i="165"/>
  <c r="AC38" i="165" s="1"/>
  <c r="AB5" i="165"/>
  <c r="AB38" i="165" s="1"/>
  <c r="X5" i="165"/>
  <c r="O5" i="165"/>
  <c r="N5" i="165"/>
  <c r="M5" i="165"/>
  <c r="I5" i="165"/>
  <c r="H5" i="165"/>
  <c r="E5" i="165"/>
  <c r="D5" i="165"/>
  <c r="D38" i="165" s="1"/>
  <c r="C5" i="165"/>
  <c r="CL36" i="165" l="1"/>
  <c r="CJ35" i="165"/>
  <c r="BA38" i="165"/>
  <c r="CL16" i="165"/>
  <c r="CJ21" i="165"/>
  <c r="CJ25" i="165"/>
  <c r="O8" i="165"/>
  <c r="AN50" i="165"/>
  <c r="BH50" i="165"/>
  <c r="CB50" i="165"/>
  <c r="AD50" i="165"/>
  <c r="AX50" i="165"/>
  <c r="X54" i="165"/>
  <c r="AS54" i="165"/>
  <c r="BM54" i="165"/>
  <c r="CG54" i="165"/>
  <c r="AN54" i="165"/>
  <c r="BH54" i="165"/>
  <c r="CB54" i="165"/>
  <c r="Y78" i="165"/>
  <c r="AN26" i="157"/>
  <c r="W26" i="157"/>
  <c r="BW41" i="170"/>
  <c r="T71" i="170"/>
  <c r="T11" i="169"/>
  <c r="CL56" i="169"/>
  <c r="AS54" i="169"/>
  <c r="BV8" i="80"/>
  <c r="CP18" i="157"/>
  <c r="CP9" i="157" s="1"/>
  <c r="AH9" i="157"/>
  <c r="DZ11" i="80"/>
  <c r="BM16" i="80"/>
  <c r="BG31" i="80"/>
  <c r="E41" i="80"/>
  <c r="DF50" i="80"/>
  <c r="N38" i="165"/>
  <c r="AR38" i="165"/>
  <c r="CA38" i="165"/>
  <c r="CJ7" i="165"/>
  <c r="CL7" i="165" s="1"/>
  <c r="AM38" i="165"/>
  <c r="AV38" i="165"/>
  <c r="BF38" i="165"/>
  <c r="T9" i="165"/>
  <c r="CK9" i="165"/>
  <c r="T10" i="165"/>
  <c r="AD8" i="165"/>
  <c r="BR8" i="165"/>
  <c r="T16" i="165"/>
  <c r="CL18" i="165"/>
  <c r="Y19" i="165"/>
  <c r="T26" i="165"/>
  <c r="T33" i="165"/>
  <c r="W35" i="165"/>
  <c r="AI41" i="165"/>
  <c r="BW41" i="165"/>
  <c r="T45" i="165"/>
  <c r="Y45" i="165"/>
  <c r="X50" i="165"/>
  <c r="CQ54" i="165"/>
  <c r="Y66" i="165"/>
  <c r="T85" i="165"/>
  <c r="H38" i="170"/>
  <c r="J5" i="170"/>
  <c r="BH5" i="170"/>
  <c r="Y26" i="170"/>
  <c r="AN26" i="170"/>
  <c r="T28" i="170"/>
  <c r="Y42" i="170"/>
  <c r="BH41" i="170"/>
  <c r="T59" i="170"/>
  <c r="T64" i="170"/>
  <c r="T65" i="170"/>
  <c r="T85" i="170"/>
  <c r="T6" i="169"/>
  <c r="T10" i="169"/>
  <c r="BC8" i="169"/>
  <c r="T14" i="169"/>
  <c r="T18" i="169"/>
  <c r="Y32" i="169"/>
  <c r="T42" i="169"/>
  <c r="AX41" i="169"/>
  <c r="T44" i="169"/>
  <c r="R41" i="169"/>
  <c r="AD54" i="169"/>
  <c r="BR54" i="169"/>
  <c r="T57" i="169"/>
  <c r="T62" i="169"/>
  <c r="T63" i="169"/>
  <c r="Y68" i="169"/>
  <c r="T71" i="169"/>
  <c r="CJ71" i="169"/>
  <c r="CL71" i="169" s="1"/>
  <c r="CP77" i="169"/>
  <c r="BQ38" i="80"/>
  <c r="DF5" i="80"/>
  <c r="AX5" i="80"/>
  <c r="CV5" i="80"/>
  <c r="DP5" i="80"/>
  <c r="BH11" i="80"/>
  <c r="BH14" i="80"/>
  <c r="BH16" i="80"/>
  <c r="BH18" i="80"/>
  <c r="DX18" i="80"/>
  <c r="BH19" i="80"/>
  <c r="BH20" i="80"/>
  <c r="BH22" i="80"/>
  <c r="DX22" i="80"/>
  <c r="DZ22" i="80" s="1"/>
  <c r="EE22" i="80" s="1"/>
  <c r="BH27" i="80"/>
  <c r="BL30" i="80"/>
  <c r="DY30" i="80" s="1"/>
  <c r="BH33" i="80"/>
  <c r="BM36" i="80"/>
  <c r="BM35" i="80" s="1"/>
  <c r="BH46" i="80"/>
  <c r="DZ47" i="80"/>
  <c r="Y50" i="80"/>
  <c r="BG50" i="80"/>
  <c r="BK54" i="80"/>
  <c r="BH66" i="80"/>
  <c r="BH67" i="80"/>
  <c r="BH85" i="80"/>
  <c r="DZ85" i="80"/>
  <c r="E8" i="165"/>
  <c r="BH8" i="165"/>
  <c r="CB41" i="165"/>
  <c r="Y82" i="170"/>
  <c r="T13" i="169"/>
  <c r="CL24" i="169"/>
  <c r="T25" i="169"/>
  <c r="CK32" i="169"/>
  <c r="T33" i="169"/>
  <c r="AI41" i="169"/>
  <c r="BC41" i="169"/>
  <c r="X50" i="169"/>
  <c r="J50" i="169"/>
  <c r="CJ58" i="169"/>
  <c r="CL58" i="169" s="1"/>
  <c r="CL59" i="169"/>
  <c r="S77" i="169"/>
  <c r="DU5" i="80"/>
  <c r="BH12" i="80"/>
  <c r="BZ8" i="80"/>
  <c r="AL25" i="157"/>
  <c r="BH26" i="80"/>
  <c r="DX78" i="80"/>
  <c r="DZ78" i="80" s="1"/>
  <c r="DA77" i="80"/>
  <c r="BK38" i="165"/>
  <c r="BQ38" i="165"/>
  <c r="AN5" i="165"/>
  <c r="BH5" i="165"/>
  <c r="CB5" i="165"/>
  <c r="J8" i="165"/>
  <c r="AN8" i="165"/>
  <c r="AN101" i="157"/>
  <c r="CL14" i="165"/>
  <c r="Y15" i="165"/>
  <c r="T20" i="165"/>
  <c r="CL22" i="165"/>
  <c r="T24" i="165"/>
  <c r="O41" i="165"/>
  <c r="T47" i="165"/>
  <c r="Y47" i="165"/>
  <c r="T52" i="165"/>
  <c r="Y52" i="165"/>
  <c r="R54" i="165"/>
  <c r="Y65" i="165"/>
  <c r="O5" i="170"/>
  <c r="CG5" i="170"/>
  <c r="T9" i="170"/>
  <c r="BW8" i="170"/>
  <c r="O8" i="170"/>
  <c r="T13" i="170"/>
  <c r="T17" i="170"/>
  <c r="T21" i="170"/>
  <c r="T22" i="170"/>
  <c r="T24" i="170"/>
  <c r="Y25" i="170"/>
  <c r="CL26" i="170"/>
  <c r="T44" i="170"/>
  <c r="T46" i="170"/>
  <c r="T47" i="170"/>
  <c r="R50" i="170"/>
  <c r="T57" i="170"/>
  <c r="T67" i="170"/>
  <c r="CL74" i="170"/>
  <c r="CL73" i="170" s="1"/>
  <c r="S77" i="170"/>
  <c r="Y7" i="169"/>
  <c r="T24" i="169"/>
  <c r="CL61" i="169"/>
  <c r="CL62" i="169"/>
  <c r="CL63" i="169"/>
  <c r="T65" i="169"/>
  <c r="T69" i="169"/>
  <c r="E38" i="80"/>
  <c r="CB6" i="80"/>
  <c r="CB5" i="80" s="1"/>
  <c r="AL6" i="157"/>
  <c r="BR9" i="80"/>
  <c r="AC9" i="157"/>
  <c r="X30" i="157"/>
  <c r="AI30" i="157"/>
  <c r="BK31" i="80"/>
  <c r="BM31" i="80" s="1"/>
  <c r="AL31" i="157"/>
  <c r="BH32" i="80"/>
  <c r="CB50" i="80"/>
  <c r="DP50" i="80"/>
  <c r="DK54" i="80"/>
  <c r="BH78" i="80"/>
  <c r="CQ36" i="165"/>
  <c r="CL35" i="165"/>
  <c r="E38" i="165"/>
  <c r="O38" i="165"/>
  <c r="Y14" i="165"/>
  <c r="Y18" i="165"/>
  <c r="Y20" i="165"/>
  <c r="CL27" i="165"/>
  <c r="CL31" i="165"/>
  <c r="C38" i="165"/>
  <c r="I38" i="165"/>
  <c r="BU38" i="165"/>
  <c r="W8" i="165"/>
  <c r="Y9" i="165"/>
  <c r="AS8" i="165"/>
  <c r="CL15" i="165"/>
  <c r="CL17" i="165"/>
  <c r="CL19" i="165"/>
  <c r="CL21" i="165"/>
  <c r="CL25" i="165"/>
  <c r="BC41" i="165"/>
  <c r="Y44" i="165"/>
  <c r="Y46" i="165"/>
  <c r="Y48" i="165"/>
  <c r="R50" i="165"/>
  <c r="T50" i="165"/>
  <c r="Y51" i="165"/>
  <c r="CG50" i="165"/>
  <c r="W54" i="165"/>
  <c r="CK56" i="165"/>
  <c r="CK54" i="165" s="1"/>
  <c r="T6" i="170"/>
  <c r="T5" i="170" s="1"/>
  <c r="S5" i="170"/>
  <c r="BC5" i="170"/>
  <c r="BW5" i="170"/>
  <c r="E8" i="170"/>
  <c r="E38" i="170" s="1"/>
  <c r="E39" i="170" s="1"/>
  <c r="CL51" i="170"/>
  <c r="CL52" i="170"/>
  <c r="CJ50" i="170"/>
  <c r="J38" i="165"/>
  <c r="H38" i="165"/>
  <c r="AN38" i="165"/>
  <c r="BC8" i="165"/>
  <c r="Y16" i="165"/>
  <c r="Y22" i="165"/>
  <c r="CL28" i="165"/>
  <c r="CL32" i="165"/>
  <c r="T36" i="165"/>
  <c r="T35" i="165" s="1"/>
  <c r="W41" i="165"/>
  <c r="X38" i="165"/>
  <c r="AH38" i="165"/>
  <c r="AQ38" i="165"/>
  <c r="BM38" i="165"/>
  <c r="BV38" i="165"/>
  <c r="CE38" i="165"/>
  <c r="AD5" i="165"/>
  <c r="AD38" i="165" s="1"/>
  <c r="AX5" i="165"/>
  <c r="AX38" i="165" s="1"/>
  <c r="BR5" i="165"/>
  <c r="BR38" i="165" s="1"/>
  <c r="T7" i="165"/>
  <c r="BN10" i="165"/>
  <c r="T11" i="165"/>
  <c r="Y11" i="165"/>
  <c r="Y26" i="165"/>
  <c r="T27" i="165"/>
  <c r="T28" i="165"/>
  <c r="R41" i="165"/>
  <c r="BH41" i="165"/>
  <c r="W50" i="165"/>
  <c r="S50" i="165"/>
  <c r="BR50" i="165"/>
  <c r="CK50" i="165"/>
  <c r="CP54" i="165"/>
  <c r="Y56" i="165"/>
  <c r="CJ57" i="165"/>
  <c r="CL57" i="165" s="1"/>
  <c r="Y58" i="165"/>
  <c r="CJ59" i="165"/>
  <c r="CL59" i="165" s="1"/>
  <c r="Y60" i="165"/>
  <c r="CJ61" i="165"/>
  <c r="CL61" i="165" s="1"/>
  <c r="Y62" i="165"/>
  <c r="CJ63" i="165"/>
  <c r="CL63" i="165" s="1"/>
  <c r="Y64" i="165"/>
  <c r="CJ64" i="165"/>
  <c r="Y70" i="165"/>
  <c r="T71" i="165"/>
  <c r="CL27" i="170"/>
  <c r="T32" i="170"/>
  <c r="CK50" i="170"/>
  <c r="BM89" i="165"/>
  <c r="CK8" i="165"/>
  <c r="CK38" i="165" s="1"/>
  <c r="S8" i="165"/>
  <c r="S38" i="165" s="1"/>
  <c r="S54" i="165"/>
  <c r="CP77" i="165"/>
  <c r="R8" i="170"/>
  <c r="R38" i="170" s="1"/>
  <c r="T14" i="170"/>
  <c r="T18" i="170"/>
  <c r="BH38" i="165"/>
  <c r="CL26" i="165"/>
  <c r="CL29" i="165"/>
  <c r="CL33" i="165"/>
  <c r="CL36" i="169"/>
  <c r="CK35" i="169"/>
  <c r="T69" i="165"/>
  <c r="CL74" i="165"/>
  <c r="CL73" i="165" s="1"/>
  <c r="C38" i="170"/>
  <c r="I38" i="170"/>
  <c r="BQ38" i="170"/>
  <c r="Y7" i="170"/>
  <c r="T12" i="170"/>
  <c r="CL23" i="170"/>
  <c r="CQ23" i="170" s="1"/>
  <c r="CR23" i="170" s="1"/>
  <c r="X41" i="170"/>
  <c r="O41" i="170"/>
  <c r="CQ42" i="170"/>
  <c r="CQ41" i="170" s="1"/>
  <c r="CL43" i="170"/>
  <c r="Y46" i="170"/>
  <c r="W50" i="170"/>
  <c r="CP50" i="170"/>
  <c r="T56" i="170"/>
  <c r="AX54" i="170"/>
  <c r="CP73" i="170"/>
  <c r="BM77" i="170"/>
  <c r="I38" i="169"/>
  <c r="BP38" i="169"/>
  <c r="CP38" i="169"/>
  <c r="AX5" i="169"/>
  <c r="T7" i="169"/>
  <c r="T5" i="169" s="1"/>
  <c r="O8" i="169"/>
  <c r="T17" i="169"/>
  <c r="T21" i="169"/>
  <c r="CJ26" i="169"/>
  <c r="CL26" i="169" s="1"/>
  <c r="CL27" i="169"/>
  <c r="CL28" i="169"/>
  <c r="CL29" i="169"/>
  <c r="CL30" i="169"/>
  <c r="CL31" i="169"/>
  <c r="CL32" i="169"/>
  <c r="Y36" i="169"/>
  <c r="Y35" i="169" s="1"/>
  <c r="CP41" i="169"/>
  <c r="O41" i="169"/>
  <c r="Y44" i="169"/>
  <c r="S41" i="169"/>
  <c r="CL48" i="169"/>
  <c r="S54" i="169"/>
  <c r="CP54" i="169"/>
  <c r="CK54" i="169"/>
  <c r="Y62" i="169"/>
  <c r="Y63" i="169"/>
  <c r="CJ68" i="169"/>
  <c r="CL68" i="169" s="1"/>
  <c r="D38" i="80"/>
  <c r="AB38" i="80"/>
  <c r="AB75" i="80" s="1"/>
  <c r="AH38" i="80"/>
  <c r="AW38" i="80"/>
  <c r="CA38" i="80"/>
  <c r="CK38" i="80"/>
  <c r="CU38" i="80"/>
  <c r="BH7" i="80"/>
  <c r="CL5" i="80"/>
  <c r="BR8" i="80"/>
  <c r="CQ8" i="80"/>
  <c r="BM14" i="80"/>
  <c r="BH17" i="80"/>
  <c r="BM21" i="80"/>
  <c r="BH24" i="80"/>
  <c r="BH30" i="80"/>
  <c r="DY31" i="80"/>
  <c r="BL35" i="80"/>
  <c r="BA39" i="80"/>
  <c r="BK50" i="80"/>
  <c r="DX57" i="80"/>
  <c r="DZ57" i="80" s="1"/>
  <c r="DX60" i="80"/>
  <c r="DZ60" i="80" s="1"/>
  <c r="BH71" i="80"/>
  <c r="T66" i="165"/>
  <c r="T67" i="165"/>
  <c r="Y69" i="165"/>
  <c r="T70" i="165"/>
  <c r="BZ38" i="170"/>
  <c r="O38" i="170"/>
  <c r="T11" i="170"/>
  <c r="T15" i="170"/>
  <c r="T19" i="170"/>
  <c r="T25" i="170"/>
  <c r="Y43" i="170"/>
  <c r="CL44" i="170"/>
  <c r="S54" i="170"/>
  <c r="T58" i="170"/>
  <c r="CJ73" i="170"/>
  <c r="AB38" i="169"/>
  <c r="BK38" i="169"/>
  <c r="BQ38" i="169"/>
  <c r="BW38" i="169"/>
  <c r="T12" i="169"/>
  <c r="T16" i="169"/>
  <c r="T20" i="169"/>
  <c r="CB8" i="169"/>
  <c r="CB38" i="169" s="1"/>
  <c r="CB39" i="169" s="1"/>
  <c r="CL25" i="169"/>
  <c r="Y31" i="169"/>
  <c r="W35" i="169"/>
  <c r="CQ41" i="169"/>
  <c r="T43" i="169"/>
  <c r="Y43" i="169"/>
  <c r="CL51" i="169"/>
  <c r="S50" i="169"/>
  <c r="X54" i="169"/>
  <c r="Y57" i="169"/>
  <c r="Y61" i="169"/>
  <c r="CL64" i="169"/>
  <c r="Y67" i="169"/>
  <c r="CJ70" i="169"/>
  <c r="CL70" i="169" s="1"/>
  <c r="S38" i="80"/>
  <c r="BP38" i="80"/>
  <c r="BV38" i="80"/>
  <c r="CE38" i="80"/>
  <c r="DD38" i="80"/>
  <c r="BH6" i="80"/>
  <c r="CG5" i="80"/>
  <c r="CQ5" i="80"/>
  <c r="CQ38" i="80" s="1"/>
  <c r="N8" i="80"/>
  <c r="N38" i="80" s="1"/>
  <c r="DY10" i="80"/>
  <c r="DZ10" i="80" s="1"/>
  <c r="EE10" i="80" s="1"/>
  <c r="EF10" i="80" s="1"/>
  <c r="DY13" i="80"/>
  <c r="DY16" i="80"/>
  <c r="DZ16" i="80" s="1"/>
  <c r="EE16" i="80" s="1"/>
  <c r="EF16" i="80" s="1"/>
  <c r="DY29" i="80"/>
  <c r="DZ29" i="80" s="1"/>
  <c r="EE29" i="80" s="1"/>
  <c r="EF29" i="80" s="1"/>
  <c r="AS31" i="80"/>
  <c r="BM33" i="80"/>
  <c r="DY36" i="80"/>
  <c r="DY35" i="80" s="1"/>
  <c r="BH42" i="80"/>
  <c r="AI41" i="80"/>
  <c r="BH47" i="80"/>
  <c r="BM47" i="80"/>
  <c r="BH48" i="80"/>
  <c r="ED50" i="80"/>
  <c r="BM52" i="80"/>
  <c r="BH64" i="80"/>
  <c r="BM64" i="80"/>
  <c r="AD54" i="80"/>
  <c r="BM66" i="80"/>
  <c r="BH69" i="80"/>
  <c r="BH82" i="80"/>
  <c r="BM85" i="80"/>
  <c r="R41" i="170"/>
  <c r="CL52" i="169"/>
  <c r="AV38" i="80"/>
  <c r="DN39" i="80"/>
  <c r="BH45" i="80"/>
  <c r="DZ63" i="80"/>
  <c r="Y44" i="170"/>
  <c r="Y47" i="170"/>
  <c r="Y51" i="170"/>
  <c r="Y52" i="170"/>
  <c r="T62" i="170"/>
  <c r="BM38" i="169"/>
  <c r="T29" i="169"/>
  <c r="T30" i="169"/>
  <c r="T31" i="169"/>
  <c r="T32" i="169"/>
  <c r="Y45" i="169"/>
  <c r="W41" i="169"/>
  <c r="CL57" i="169"/>
  <c r="Y64" i="169"/>
  <c r="CL67" i="169"/>
  <c r="BL9" i="80"/>
  <c r="BW9" i="80"/>
  <c r="AN8" i="80"/>
  <c r="AN38" i="80" s="1"/>
  <c r="DF8" i="80"/>
  <c r="DF38" i="80" s="1"/>
  <c r="DF39" i="80" s="1"/>
  <c r="DZ33" i="80"/>
  <c r="AD50" i="80"/>
  <c r="DY50" i="80"/>
  <c r="AM39" i="80"/>
  <c r="AM75" i="80"/>
  <c r="DP8" i="80"/>
  <c r="CU75" i="80"/>
  <c r="CU39" i="80"/>
  <c r="DE75" i="80"/>
  <c r="DE39" i="80"/>
  <c r="DU8" i="80"/>
  <c r="DY7" i="80"/>
  <c r="DZ7" i="80" s="1"/>
  <c r="BM7" i="80"/>
  <c r="BW8" i="80"/>
  <c r="X75" i="80"/>
  <c r="X39" i="80"/>
  <c r="AV75" i="80"/>
  <c r="AV39" i="80"/>
  <c r="DX6" i="80"/>
  <c r="BM6" i="80"/>
  <c r="BK5" i="80"/>
  <c r="DK75" i="80"/>
  <c r="DK39" i="80"/>
  <c r="BM15" i="80"/>
  <c r="DX15" i="80"/>
  <c r="DZ15" i="80" s="1"/>
  <c r="DX32" i="80"/>
  <c r="DZ32" i="80" s="1"/>
  <c r="BM32" i="80"/>
  <c r="AB81" i="80"/>
  <c r="AB83" i="80" s="1"/>
  <c r="AB84" i="80" s="1"/>
  <c r="AB86" i="80" s="1"/>
  <c r="AB87" i="80" s="1"/>
  <c r="AB76" i="80"/>
  <c r="AW75" i="80"/>
  <c r="AW39" i="80"/>
  <c r="CV38" i="80"/>
  <c r="DS38" i="80"/>
  <c r="BL5" i="80"/>
  <c r="DY6" i="80"/>
  <c r="DY5" i="80" s="1"/>
  <c r="CQ39" i="80"/>
  <c r="DI77" i="80"/>
  <c r="DK79" i="80"/>
  <c r="DK77" i="80" s="1"/>
  <c r="BM9" i="80"/>
  <c r="DX9" i="80"/>
  <c r="DX17" i="80"/>
  <c r="DZ17" i="80" s="1"/>
  <c r="BM17" i="80"/>
  <c r="M75" i="80"/>
  <c r="M39" i="80"/>
  <c r="CF75" i="80"/>
  <c r="CF39" i="80"/>
  <c r="AB39" i="80"/>
  <c r="DY58" i="80"/>
  <c r="BM58" i="80"/>
  <c r="AC81" i="80"/>
  <c r="AC83" i="80" s="1"/>
  <c r="AC84" i="80" s="1"/>
  <c r="AC86" i="80" s="1"/>
  <c r="AC87" i="80" s="1"/>
  <c r="AC76" i="80"/>
  <c r="BQ75" i="80"/>
  <c r="BQ39" i="80"/>
  <c r="CA75" i="80"/>
  <c r="CA39" i="80"/>
  <c r="BP77" i="80"/>
  <c r="BR79" i="80"/>
  <c r="BR77" i="80" s="1"/>
  <c r="DK89" i="80"/>
  <c r="AR8" i="80"/>
  <c r="AS9" i="80"/>
  <c r="BL8" i="80"/>
  <c r="DA8" i="80"/>
  <c r="DY9" i="80"/>
  <c r="EE11" i="80"/>
  <c r="EF11" i="80" s="1"/>
  <c r="EE12" i="80"/>
  <c r="EF12" i="80" s="1"/>
  <c r="CJ75" i="80"/>
  <c r="CJ39" i="80"/>
  <c r="AC39" i="80"/>
  <c r="DP54" i="80"/>
  <c r="S75" i="80"/>
  <c r="S39" i="80"/>
  <c r="BR38" i="80"/>
  <c r="Y38" i="80"/>
  <c r="BC5" i="80"/>
  <c r="BC79" i="80"/>
  <c r="BC77" i="80" s="1"/>
  <c r="BA77" i="80"/>
  <c r="BF79" i="80"/>
  <c r="BH79" i="80" s="1"/>
  <c r="CG79" i="80"/>
  <c r="CG77" i="80" s="1"/>
  <c r="CE77" i="80"/>
  <c r="BG9" i="80"/>
  <c r="BM11" i="80"/>
  <c r="T8" i="80"/>
  <c r="AL75" i="80"/>
  <c r="AL39" i="80"/>
  <c r="BW41" i="80"/>
  <c r="BC54" i="80"/>
  <c r="DX23" i="80"/>
  <c r="DZ23" i="80" s="1"/>
  <c r="EE23" i="80" s="1"/>
  <c r="EF23" i="80" s="1"/>
  <c r="BM23" i="80"/>
  <c r="DX28" i="80"/>
  <c r="BM28" i="80"/>
  <c r="DX30" i="80"/>
  <c r="DZ30" i="80" s="1"/>
  <c r="BM30" i="80"/>
  <c r="AX35" i="80"/>
  <c r="D75" i="80"/>
  <c r="D39" i="80"/>
  <c r="BU75" i="80"/>
  <c r="BU39" i="80"/>
  <c r="CE75" i="80"/>
  <c r="CE39" i="80"/>
  <c r="CG8" i="80"/>
  <c r="CL8" i="80"/>
  <c r="CL38" i="80" s="1"/>
  <c r="EF22" i="80"/>
  <c r="EH22" i="80"/>
  <c r="CL35" i="80"/>
  <c r="DK35" i="80"/>
  <c r="AD41" i="80"/>
  <c r="AN41" i="80"/>
  <c r="E75" i="80"/>
  <c r="E39" i="80"/>
  <c r="W75" i="80"/>
  <c r="W39" i="80"/>
  <c r="AH75" i="80"/>
  <c r="AH39" i="80"/>
  <c r="BV75" i="80"/>
  <c r="BV39" i="80"/>
  <c r="CT75" i="80"/>
  <c r="CT39" i="80"/>
  <c r="DD75" i="80"/>
  <c r="DD39" i="80"/>
  <c r="DO75" i="80"/>
  <c r="DO39" i="80"/>
  <c r="E89" i="80"/>
  <c r="CT77" i="80"/>
  <c r="CV79" i="80"/>
  <c r="BW79" i="80"/>
  <c r="BW77" i="80" s="1"/>
  <c r="BU77" i="80"/>
  <c r="BH10" i="80"/>
  <c r="F11" i="80"/>
  <c r="DZ13" i="80"/>
  <c r="DZ18" i="80"/>
  <c r="BM27" i="80"/>
  <c r="DX27" i="80"/>
  <c r="DZ27" i="80" s="1"/>
  <c r="AX31" i="80"/>
  <c r="BF31" i="80"/>
  <c r="BH31" i="80" s="1"/>
  <c r="CQ35" i="80"/>
  <c r="ED39" i="80"/>
  <c r="DU41" i="80"/>
  <c r="CB41" i="80"/>
  <c r="C75" i="80"/>
  <c r="C39" i="80"/>
  <c r="R38" i="80"/>
  <c r="BF5" i="80"/>
  <c r="BP75" i="80"/>
  <c r="BP39" i="80"/>
  <c r="BZ38" i="80"/>
  <c r="DN76" i="80"/>
  <c r="O8" i="80"/>
  <c r="O38" i="80" s="1"/>
  <c r="AD8" i="80"/>
  <c r="AX9" i="80"/>
  <c r="BH13" i="80"/>
  <c r="F20" i="80"/>
  <c r="DZ21" i="80"/>
  <c r="DX31" i="80"/>
  <c r="DZ31" i="80" s="1"/>
  <c r="DZ36" i="80"/>
  <c r="BR41" i="80"/>
  <c r="F45" i="80"/>
  <c r="DA50" i="80"/>
  <c r="BR54" i="80"/>
  <c r="BM45" i="80"/>
  <c r="DX45" i="80"/>
  <c r="DZ45" i="80" s="1"/>
  <c r="DA41" i="80"/>
  <c r="BR50" i="80"/>
  <c r="DF54" i="80"/>
  <c r="CV54" i="80"/>
  <c r="AG38" i="80"/>
  <c r="AQ75" i="80"/>
  <c r="AQ39" i="80"/>
  <c r="BA76" i="80"/>
  <c r="BA81" i="80"/>
  <c r="BA83" i="80" s="1"/>
  <c r="BA84" i="80" s="1"/>
  <c r="BA86" i="80" s="1"/>
  <c r="BA87" i="80" s="1"/>
  <c r="CO38" i="80"/>
  <c r="CY75" i="80"/>
  <c r="CY39" i="80"/>
  <c r="DI75" i="80"/>
  <c r="DI39" i="80"/>
  <c r="AX79" i="80"/>
  <c r="AX77" i="80" s="1"/>
  <c r="AV77" i="80"/>
  <c r="CB79" i="80"/>
  <c r="BZ77" i="80"/>
  <c r="CQ79" i="80"/>
  <c r="CQ77" i="80" s="1"/>
  <c r="CO77" i="80"/>
  <c r="DU79" i="80"/>
  <c r="DU77" i="80" s="1"/>
  <c r="DS77" i="80"/>
  <c r="F18" i="80"/>
  <c r="DZ19" i="80"/>
  <c r="CB25" i="80"/>
  <c r="BK25" i="80"/>
  <c r="DZ26" i="80"/>
  <c r="DY28" i="80"/>
  <c r="BG28" i="80"/>
  <c r="BH28" i="80" s="1"/>
  <c r="F29" i="80"/>
  <c r="O35" i="80"/>
  <c r="CP38" i="80"/>
  <c r="Y41" i="80"/>
  <c r="CG54" i="80"/>
  <c r="AR38" i="80"/>
  <c r="BB38" i="80"/>
  <c r="CZ81" i="80"/>
  <c r="CZ83" i="80" s="1"/>
  <c r="CZ84" i="80" s="1"/>
  <c r="CZ86" i="80" s="1"/>
  <c r="CZ87" i="80" s="1"/>
  <c r="CZ76" i="80"/>
  <c r="DJ38" i="80"/>
  <c r="DT38" i="80"/>
  <c r="AI8" i="80"/>
  <c r="AI38" i="80" s="1"/>
  <c r="BM12" i="80"/>
  <c r="BM19" i="80"/>
  <c r="DX20" i="80"/>
  <c r="DZ20" i="80" s="1"/>
  <c r="BM20" i="80"/>
  <c r="F24" i="80"/>
  <c r="BM26" i="80"/>
  <c r="BC28" i="80"/>
  <c r="BC8" i="80" s="1"/>
  <c r="F32" i="80"/>
  <c r="DX35" i="80"/>
  <c r="BW35" i="80"/>
  <c r="CV41" i="80"/>
  <c r="CV89" i="80" s="1"/>
  <c r="BM42" i="80"/>
  <c r="BK41" i="80"/>
  <c r="F48" i="80"/>
  <c r="CL79" i="80"/>
  <c r="CL77" i="80" s="1"/>
  <c r="CJ77" i="80"/>
  <c r="BH21" i="80"/>
  <c r="BM24" i="80"/>
  <c r="DX24" i="80"/>
  <c r="DZ24" i="80" s="1"/>
  <c r="F33" i="80"/>
  <c r="BH36" i="80"/>
  <c r="BH35" i="80" s="1"/>
  <c r="CZ39" i="80"/>
  <c r="DY42" i="80"/>
  <c r="DY41" i="80" s="1"/>
  <c r="BL41" i="80"/>
  <c r="CL41" i="80"/>
  <c r="BM48" i="80"/>
  <c r="DX48" i="80"/>
  <c r="DZ48" i="80" s="1"/>
  <c r="CB31" i="80"/>
  <c r="DA35" i="80"/>
  <c r="AS41" i="80"/>
  <c r="AI35" i="80"/>
  <c r="O41" i="80"/>
  <c r="CQ41" i="80"/>
  <c r="ED41" i="80"/>
  <c r="EE42" i="80"/>
  <c r="EE41" i="80" s="1"/>
  <c r="DP41" i="80"/>
  <c r="DZ52" i="80"/>
  <c r="F54" i="80"/>
  <c r="AS54" i="80"/>
  <c r="DY55" i="80"/>
  <c r="BL54" i="80"/>
  <c r="BM55" i="80"/>
  <c r="Y54" i="80"/>
  <c r="DU54" i="80"/>
  <c r="BW54" i="80"/>
  <c r="CL50" i="80"/>
  <c r="F56" i="80"/>
  <c r="AI54" i="80"/>
  <c r="BM71" i="80"/>
  <c r="DX71" i="80"/>
  <c r="DZ71" i="80" s="1"/>
  <c r="BM43" i="80"/>
  <c r="DX43" i="80"/>
  <c r="DZ43" i="80" s="1"/>
  <c r="F46" i="80"/>
  <c r="F51" i="80"/>
  <c r="BH52" i="80"/>
  <c r="BH50" i="80" s="1"/>
  <c r="BF50" i="80"/>
  <c r="BH55" i="80"/>
  <c r="BF54" i="80"/>
  <c r="CB54" i="80"/>
  <c r="T54" i="80"/>
  <c r="DZ58" i="80"/>
  <c r="BM46" i="80"/>
  <c r="DX46" i="80"/>
  <c r="DZ46" i="80" s="1"/>
  <c r="BM51" i="80"/>
  <c r="BM50" i="80" s="1"/>
  <c r="DX51" i="80"/>
  <c r="EE50" i="80"/>
  <c r="AN54" i="80"/>
  <c r="CL54" i="80"/>
  <c r="BG54" i="80"/>
  <c r="DZ55" i="80"/>
  <c r="BH57" i="80"/>
  <c r="DY61" i="80"/>
  <c r="DZ61" i="80" s="1"/>
  <c r="BM61" i="80"/>
  <c r="DZ66" i="80"/>
  <c r="AS50" i="80"/>
  <c r="ED54" i="80"/>
  <c r="AX54" i="80"/>
  <c r="DX56" i="80"/>
  <c r="BM56" i="80"/>
  <c r="DX59" i="80"/>
  <c r="DZ59" i="80" s="1"/>
  <c r="BM59" i="80"/>
  <c r="DX62" i="80"/>
  <c r="DZ62" i="80" s="1"/>
  <c r="BM62" i="80"/>
  <c r="F64" i="80"/>
  <c r="CQ54" i="80"/>
  <c r="EE54" i="80"/>
  <c r="DY70" i="80"/>
  <c r="BM70" i="80"/>
  <c r="BM63" i="80"/>
  <c r="BM65" i="80"/>
  <c r="DZ74" i="80"/>
  <c r="DZ73" i="80" s="1"/>
  <c r="DX73" i="80"/>
  <c r="CB77" i="80"/>
  <c r="DZ64" i="80"/>
  <c r="DZ67" i="80"/>
  <c r="F70" i="80"/>
  <c r="BM67" i="80"/>
  <c r="DX68" i="80"/>
  <c r="DZ68" i="80" s="1"/>
  <c r="BM68" i="80"/>
  <c r="F71" i="80"/>
  <c r="BM69" i="80"/>
  <c r="DZ70" i="80"/>
  <c r="DY79" i="80"/>
  <c r="DY77" i="80" s="1"/>
  <c r="BL77" i="80"/>
  <c r="BF77" i="80"/>
  <c r="BH77" i="80"/>
  <c r="CV77" i="80"/>
  <c r="CQ24" i="169"/>
  <c r="CR24" i="169" s="1"/>
  <c r="D75" i="169"/>
  <c r="D39" i="169"/>
  <c r="N75" i="169"/>
  <c r="N39" i="169"/>
  <c r="AI39" i="169"/>
  <c r="AS75" i="169"/>
  <c r="AS39" i="169"/>
  <c r="BC38" i="169"/>
  <c r="BM39" i="169"/>
  <c r="BW39" i="169"/>
  <c r="E79" i="169"/>
  <c r="E77" i="169" s="1"/>
  <c r="C77" i="169"/>
  <c r="AB77" i="169"/>
  <c r="W79" i="169"/>
  <c r="CJ79" i="169" s="1"/>
  <c r="AD79" i="169"/>
  <c r="AD77" i="169" s="1"/>
  <c r="BC79" i="169"/>
  <c r="BC77" i="169" s="1"/>
  <c r="BA77" i="169"/>
  <c r="W8" i="169"/>
  <c r="CJ10" i="169"/>
  <c r="CL10" i="169" s="1"/>
  <c r="Y10" i="169"/>
  <c r="CJ13" i="169"/>
  <c r="CL13" i="169" s="1"/>
  <c r="Y13" i="169"/>
  <c r="CJ16" i="169"/>
  <c r="CL16" i="169" s="1"/>
  <c r="Y16" i="169"/>
  <c r="CJ19" i="169"/>
  <c r="CL19" i="169" s="1"/>
  <c r="Y19" i="169"/>
  <c r="CJ22" i="169"/>
  <c r="CL22" i="169" s="1"/>
  <c r="Y22" i="169"/>
  <c r="CQ31" i="169"/>
  <c r="CR31" i="169" s="1"/>
  <c r="CQ36" i="169"/>
  <c r="CL35" i="169"/>
  <c r="O38" i="169"/>
  <c r="AB75" i="169"/>
  <c r="AB39" i="169"/>
  <c r="AL75" i="169"/>
  <c r="AL39" i="169"/>
  <c r="AV75" i="169"/>
  <c r="AV39" i="169"/>
  <c r="BF75" i="169"/>
  <c r="BF39" i="169"/>
  <c r="BP75" i="169"/>
  <c r="BP39" i="169"/>
  <c r="BZ75" i="169"/>
  <c r="BZ39" i="169"/>
  <c r="AQ77" i="169"/>
  <c r="AS79" i="169"/>
  <c r="AS77" i="169" s="1"/>
  <c r="T26" i="169"/>
  <c r="T8" i="169" s="1"/>
  <c r="T38" i="169" s="1"/>
  <c r="R8" i="169"/>
  <c r="CQ32" i="169"/>
  <c r="CR32" i="169" s="1"/>
  <c r="H38" i="169"/>
  <c r="R5" i="169"/>
  <c r="AC75" i="169"/>
  <c r="AC39" i="169"/>
  <c r="AM75" i="169"/>
  <c r="AM39" i="169"/>
  <c r="AW75" i="169"/>
  <c r="AW39" i="169"/>
  <c r="BG75" i="169"/>
  <c r="BG39" i="169"/>
  <c r="BQ75" i="169"/>
  <c r="BQ39" i="169"/>
  <c r="CA75" i="169"/>
  <c r="CA39" i="169"/>
  <c r="Y6" i="169"/>
  <c r="Y5" i="169" s="1"/>
  <c r="H77" i="169"/>
  <c r="J79" i="169"/>
  <c r="S8" i="169"/>
  <c r="S38" i="169" s="1"/>
  <c r="S75" i="169" s="1"/>
  <c r="S81" i="169" s="1"/>
  <c r="S83" i="169" s="1"/>
  <c r="S84" i="169" s="1"/>
  <c r="S86" i="169" s="1"/>
  <c r="AG77" i="169"/>
  <c r="AI79" i="169"/>
  <c r="AI77" i="169" s="1"/>
  <c r="AN8" i="169"/>
  <c r="CJ11" i="169"/>
  <c r="CL11" i="169" s="1"/>
  <c r="Y11" i="169"/>
  <c r="CJ14" i="169"/>
  <c r="CL14" i="169" s="1"/>
  <c r="Y14" i="169"/>
  <c r="CJ17" i="169"/>
  <c r="CL17" i="169" s="1"/>
  <c r="Y17" i="169"/>
  <c r="CJ20" i="169"/>
  <c r="CL20" i="169" s="1"/>
  <c r="Y20" i="169"/>
  <c r="CQ27" i="169"/>
  <c r="CR27" i="169" s="1"/>
  <c r="I75" i="169"/>
  <c r="I39" i="169"/>
  <c r="AN38" i="169"/>
  <c r="CK6" i="169"/>
  <c r="CK5" i="169" s="1"/>
  <c r="CK7" i="169"/>
  <c r="CL7" i="169" s="1"/>
  <c r="X8" i="169"/>
  <c r="X38" i="169" s="1"/>
  <c r="CG79" i="169"/>
  <c r="CG77" i="169" s="1"/>
  <c r="CE77" i="169"/>
  <c r="CL9" i="169"/>
  <c r="CJ23" i="169"/>
  <c r="CL23" i="169" s="1"/>
  <c r="Y23" i="169"/>
  <c r="CQ25" i="169"/>
  <c r="CR25" i="169" s="1"/>
  <c r="CT25" i="169" s="1"/>
  <c r="CQ28" i="169"/>
  <c r="CR28" i="169" s="1"/>
  <c r="AG75" i="169"/>
  <c r="AG39" i="169"/>
  <c r="AQ75" i="169"/>
  <c r="AQ39" i="169"/>
  <c r="BA75" i="169"/>
  <c r="BA39" i="169"/>
  <c r="BK75" i="169"/>
  <c r="BK39" i="169"/>
  <c r="BU75" i="169"/>
  <c r="BU39" i="169"/>
  <c r="CE75" i="169"/>
  <c r="CE39" i="169"/>
  <c r="CP75" i="169"/>
  <c r="CP39" i="169"/>
  <c r="AX79" i="169"/>
  <c r="AX77" i="169" s="1"/>
  <c r="AV77" i="169"/>
  <c r="BW79" i="169"/>
  <c r="BW77" i="169" s="1"/>
  <c r="BU77" i="169"/>
  <c r="CG8" i="169"/>
  <c r="CK8" i="169"/>
  <c r="BR8" i="169"/>
  <c r="CJ12" i="169"/>
  <c r="CL12" i="169" s="1"/>
  <c r="Y12" i="169"/>
  <c r="CJ15" i="169"/>
  <c r="CL15" i="169" s="1"/>
  <c r="Y15" i="169"/>
  <c r="CJ18" i="169"/>
  <c r="CL18" i="169" s="1"/>
  <c r="Y18" i="169"/>
  <c r="CJ21" i="169"/>
  <c r="CL21" i="169" s="1"/>
  <c r="Y21" i="169"/>
  <c r="AX8" i="169"/>
  <c r="E8" i="169"/>
  <c r="E38" i="169" s="1"/>
  <c r="CQ29" i="169"/>
  <c r="CR29" i="169" s="1"/>
  <c r="C75" i="169"/>
  <c r="C39" i="169"/>
  <c r="M75" i="169"/>
  <c r="M39" i="169"/>
  <c r="W5" i="169"/>
  <c r="AN79" i="169"/>
  <c r="AL77" i="169"/>
  <c r="Y9" i="169"/>
  <c r="AD8" i="169"/>
  <c r="BH8" i="169"/>
  <c r="CQ30" i="169"/>
  <c r="CR30" i="169" s="1"/>
  <c r="CJ33" i="169"/>
  <c r="CL33" i="169" s="1"/>
  <c r="Y33" i="169"/>
  <c r="AH38" i="169"/>
  <c r="AR38" i="169"/>
  <c r="BB38" i="169"/>
  <c r="BL38" i="169"/>
  <c r="BV38" i="169"/>
  <c r="CF38" i="169"/>
  <c r="J8" i="169"/>
  <c r="X41" i="169"/>
  <c r="BH41" i="169"/>
  <c r="BF77" i="169"/>
  <c r="BH79" i="169"/>
  <c r="BH77" i="169" s="1"/>
  <c r="BR79" i="169"/>
  <c r="BR77" i="169" s="1"/>
  <c r="BP77" i="169"/>
  <c r="CB79" i="169"/>
  <c r="BZ77" i="169"/>
  <c r="Y24" i="169"/>
  <c r="Y25" i="169"/>
  <c r="R35" i="169"/>
  <c r="AX35" i="169"/>
  <c r="AI35" i="169"/>
  <c r="E41" i="169"/>
  <c r="Y27" i="169"/>
  <c r="Y28" i="169"/>
  <c r="Y29" i="169"/>
  <c r="Y30" i="169"/>
  <c r="CK41" i="169"/>
  <c r="BR41" i="169"/>
  <c r="CL42" i="169"/>
  <c r="R79" i="169"/>
  <c r="O79" i="169"/>
  <c r="O77" i="169" s="1"/>
  <c r="M77" i="169"/>
  <c r="BM35" i="169"/>
  <c r="BW41" i="169"/>
  <c r="BW75" i="169" s="1"/>
  <c r="Y42" i="169"/>
  <c r="CL43" i="169"/>
  <c r="CL45" i="169"/>
  <c r="J54" i="169"/>
  <c r="AD41" i="169"/>
  <c r="CB54" i="169"/>
  <c r="T46" i="169"/>
  <c r="CJ50" i="169"/>
  <c r="T51" i="169"/>
  <c r="T48" i="169"/>
  <c r="CJ60" i="169"/>
  <c r="CL60" i="169" s="1"/>
  <c r="Y60" i="169"/>
  <c r="W54" i="169"/>
  <c r="T45" i="169"/>
  <c r="T41" i="169" s="1"/>
  <c r="CJ46" i="169"/>
  <c r="CL46" i="169" s="1"/>
  <c r="Y46" i="169"/>
  <c r="T47" i="169"/>
  <c r="CL50" i="169"/>
  <c r="T52" i="169"/>
  <c r="T68" i="169"/>
  <c r="T54" i="169" s="1"/>
  <c r="R54" i="169"/>
  <c r="CJ47" i="169"/>
  <c r="CL47" i="169" s="1"/>
  <c r="Y47" i="169"/>
  <c r="CK50" i="169"/>
  <c r="CL55" i="169"/>
  <c r="Y66" i="169"/>
  <c r="CJ66" i="169"/>
  <c r="CL66" i="169" s="1"/>
  <c r="AX54" i="169"/>
  <c r="AI54" i="169"/>
  <c r="AI75" i="169" s="1"/>
  <c r="BM54" i="169"/>
  <c r="BM89" i="169" s="1"/>
  <c r="BN68" i="169" s="1"/>
  <c r="CQ54" i="169"/>
  <c r="W73" i="169"/>
  <c r="Y73" i="169" s="1"/>
  <c r="CJ74" i="169"/>
  <c r="W50" i="169"/>
  <c r="BC54" i="169"/>
  <c r="BC89" i="169" s="1"/>
  <c r="CG54" i="169"/>
  <c r="Y55" i="169"/>
  <c r="Y56" i="169"/>
  <c r="Y59" i="169"/>
  <c r="CL69" i="169"/>
  <c r="Y48" i="169"/>
  <c r="Y51" i="169"/>
  <c r="Y52" i="169"/>
  <c r="BN62" i="169"/>
  <c r="AN77" i="169"/>
  <c r="CJ65" i="169"/>
  <c r="CL65" i="169" s="1"/>
  <c r="CB77" i="169"/>
  <c r="Y69" i="169"/>
  <c r="O73" i="169"/>
  <c r="J77" i="169"/>
  <c r="CK78" i="169"/>
  <c r="X77" i="169"/>
  <c r="Y82" i="169"/>
  <c r="Y85" i="169"/>
  <c r="Y78" i="169"/>
  <c r="CQ27" i="170"/>
  <c r="CR27" i="170" s="1"/>
  <c r="CQ26" i="170"/>
  <c r="CR26" i="170" s="1"/>
  <c r="CT26" i="170" s="1"/>
  <c r="CA75" i="170"/>
  <c r="CA39" i="170"/>
  <c r="CG79" i="170"/>
  <c r="CG77" i="170" s="1"/>
  <c r="CE77" i="170"/>
  <c r="CJ10" i="170"/>
  <c r="CL10" i="170" s="1"/>
  <c r="Y10" i="170"/>
  <c r="W8" i="170"/>
  <c r="CJ16" i="170"/>
  <c r="CL16" i="170" s="1"/>
  <c r="Y16" i="170"/>
  <c r="CJ22" i="170"/>
  <c r="CL22" i="170" s="1"/>
  <c r="Y22" i="170"/>
  <c r="AC75" i="170"/>
  <c r="AC39" i="170"/>
  <c r="AI5" i="170"/>
  <c r="BM5" i="170"/>
  <c r="J8" i="170"/>
  <c r="J38" i="170" s="1"/>
  <c r="CK9" i="170"/>
  <c r="CK8" i="170" s="1"/>
  <c r="Y9" i="170"/>
  <c r="BC8" i="170"/>
  <c r="BC38" i="170" s="1"/>
  <c r="CG8" i="170"/>
  <c r="CJ14" i="170"/>
  <c r="CL14" i="170" s="1"/>
  <c r="Y14" i="170"/>
  <c r="CJ20" i="170"/>
  <c r="CL20" i="170" s="1"/>
  <c r="Y20" i="170"/>
  <c r="AI8" i="170"/>
  <c r="BM8" i="170"/>
  <c r="CJ33" i="170"/>
  <c r="CL33" i="170" s="1"/>
  <c r="Y33" i="170"/>
  <c r="AR38" i="170"/>
  <c r="BB75" i="170"/>
  <c r="BB39" i="170"/>
  <c r="BZ75" i="170"/>
  <c r="BZ39" i="170"/>
  <c r="BA77" i="170"/>
  <c r="BC79" i="170"/>
  <c r="BC77" i="170" s="1"/>
  <c r="CJ15" i="170"/>
  <c r="CL15" i="170" s="1"/>
  <c r="Y15" i="170"/>
  <c r="CJ21" i="170"/>
  <c r="CL21" i="170" s="1"/>
  <c r="Y21" i="170"/>
  <c r="CJ24" i="170"/>
  <c r="CL24" i="170" s="1"/>
  <c r="Y24" i="170"/>
  <c r="BR54" i="170"/>
  <c r="I75" i="170"/>
  <c r="I39" i="170"/>
  <c r="BG75" i="170"/>
  <c r="BG39" i="170"/>
  <c r="CK6" i="170"/>
  <c r="CK5" i="170" s="1"/>
  <c r="X5" i="170"/>
  <c r="X38" i="170" s="1"/>
  <c r="BW79" i="170"/>
  <c r="BW89" i="170" s="1"/>
  <c r="BU77" i="170"/>
  <c r="AN8" i="170"/>
  <c r="BR8" i="170"/>
  <c r="CJ11" i="170"/>
  <c r="CL11" i="170" s="1"/>
  <c r="Y11" i="170"/>
  <c r="CJ17" i="170"/>
  <c r="CL17" i="170" s="1"/>
  <c r="Y17" i="170"/>
  <c r="AX8" i="170"/>
  <c r="CB8" i="170"/>
  <c r="AD8" i="170"/>
  <c r="AD38" i="170" s="1"/>
  <c r="H39" i="170"/>
  <c r="H75" i="170"/>
  <c r="BQ39" i="170"/>
  <c r="BQ75" i="170"/>
  <c r="CJ5" i="170"/>
  <c r="AQ77" i="170"/>
  <c r="AS79" i="170"/>
  <c r="AS89" i="170" s="1"/>
  <c r="AM75" i="170"/>
  <c r="AM39" i="170"/>
  <c r="AW75" i="170"/>
  <c r="AW39" i="170"/>
  <c r="Y6" i="170"/>
  <c r="Y5" i="170" s="1"/>
  <c r="AG77" i="170"/>
  <c r="AI79" i="170"/>
  <c r="AI77" i="170" s="1"/>
  <c r="CJ12" i="170"/>
  <c r="CL12" i="170" s="1"/>
  <c r="Y12" i="170"/>
  <c r="CJ18" i="170"/>
  <c r="CL18" i="170" s="1"/>
  <c r="Y18" i="170"/>
  <c r="S8" i="170"/>
  <c r="S38" i="170" s="1"/>
  <c r="T29" i="170"/>
  <c r="AN41" i="170"/>
  <c r="AN38" i="170"/>
  <c r="O39" i="170"/>
  <c r="CJ13" i="170"/>
  <c r="CL13" i="170" s="1"/>
  <c r="Y13" i="170"/>
  <c r="CJ19" i="170"/>
  <c r="CL19" i="170" s="1"/>
  <c r="Y19" i="170"/>
  <c r="BH8" i="170"/>
  <c r="CJ28" i="170"/>
  <c r="CL28" i="170" s="1"/>
  <c r="Y28" i="170"/>
  <c r="AB75" i="170"/>
  <c r="AB39" i="170"/>
  <c r="AL75" i="170"/>
  <c r="AL39" i="170"/>
  <c r="AV75" i="170"/>
  <c r="AV39" i="170"/>
  <c r="BF75" i="170"/>
  <c r="BF39" i="170"/>
  <c r="R79" i="170"/>
  <c r="T79" i="170" s="1"/>
  <c r="O79" i="170"/>
  <c r="M77" i="170"/>
  <c r="T10" i="170"/>
  <c r="Y31" i="170"/>
  <c r="CJ31" i="170"/>
  <c r="CL31" i="170" s="1"/>
  <c r="AI41" i="170"/>
  <c r="CG41" i="170"/>
  <c r="AX41" i="170"/>
  <c r="J79" i="170"/>
  <c r="H77" i="170"/>
  <c r="Y30" i="170"/>
  <c r="CJ30" i="170"/>
  <c r="CL30" i="170" s="1"/>
  <c r="BP39" i="170"/>
  <c r="BP75" i="170"/>
  <c r="BM41" i="170"/>
  <c r="T41" i="170"/>
  <c r="BR41" i="170"/>
  <c r="AI50" i="170"/>
  <c r="Y61" i="170"/>
  <c r="CJ61" i="170"/>
  <c r="CL61" i="170" s="1"/>
  <c r="AN54" i="170"/>
  <c r="C75" i="170"/>
  <c r="C39" i="170"/>
  <c r="M38" i="170"/>
  <c r="W5" i="170"/>
  <c r="AG38" i="170"/>
  <c r="AQ38" i="170"/>
  <c r="BA38" i="170"/>
  <c r="BK38" i="170"/>
  <c r="BU38" i="170"/>
  <c r="CE38" i="170"/>
  <c r="CP38" i="170"/>
  <c r="CJ25" i="170"/>
  <c r="CL25" i="170" s="1"/>
  <c r="Y29" i="170"/>
  <c r="CJ29" i="170"/>
  <c r="CL29" i="170" s="1"/>
  <c r="CL42" i="170"/>
  <c r="CL46" i="170"/>
  <c r="D75" i="170"/>
  <c r="D39" i="170"/>
  <c r="N75" i="170"/>
  <c r="N39" i="170"/>
  <c r="AH38" i="170"/>
  <c r="BL38" i="170"/>
  <c r="BV38" i="170"/>
  <c r="CF38" i="170"/>
  <c r="C77" i="170"/>
  <c r="E79" i="170"/>
  <c r="E77" i="170" s="1"/>
  <c r="W79" i="170"/>
  <c r="Y79" i="170" s="1"/>
  <c r="AD79" i="170"/>
  <c r="AB77" i="170"/>
  <c r="AL77" i="170"/>
  <c r="AN79" i="170"/>
  <c r="AN77" i="170" s="1"/>
  <c r="AX79" i="170"/>
  <c r="AX77" i="170" s="1"/>
  <c r="AV77" i="170"/>
  <c r="BF77" i="170"/>
  <c r="BH79" i="170"/>
  <c r="BH77" i="170" s="1"/>
  <c r="BR79" i="170"/>
  <c r="BR77" i="170" s="1"/>
  <c r="BP77" i="170"/>
  <c r="CB79" i="170"/>
  <c r="CB77" i="170" s="1"/>
  <c r="BZ77" i="170"/>
  <c r="Y23" i="170"/>
  <c r="Y27" i="170"/>
  <c r="Y32" i="170"/>
  <c r="CJ32" i="170"/>
  <c r="CL32" i="170" s="1"/>
  <c r="Y36" i="170"/>
  <c r="Y35" i="170" s="1"/>
  <c r="CJ36" i="170"/>
  <c r="CK45" i="170"/>
  <c r="CL45" i="170" s="1"/>
  <c r="Y45" i="170"/>
  <c r="Y41" i="170" s="1"/>
  <c r="T51" i="170"/>
  <c r="T50" i="170" s="1"/>
  <c r="S50" i="170"/>
  <c r="AS38" i="170"/>
  <c r="BW38" i="170"/>
  <c r="BC41" i="170"/>
  <c r="CB41" i="170"/>
  <c r="W54" i="170"/>
  <c r="BC54" i="170"/>
  <c r="J41" i="170"/>
  <c r="CB50" i="170"/>
  <c r="BM50" i="170"/>
  <c r="T54" i="170"/>
  <c r="AD77" i="170"/>
  <c r="CL78" i="170"/>
  <c r="T36" i="170"/>
  <c r="T35" i="170" s="1"/>
  <c r="CJ41" i="170"/>
  <c r="CL47" i="170"/>
  <c r="AD50" i="170"/>
  <c r="CB54" i="170"/>
  <c r="CL50" i="170"/>
  <c r="O54" i="170"/>
  <c r="E50" i="170"/>
  <c r="E89" i="170" s="1"/>
  <c r="AX50" i="170"/>
  <c r="J54" i="170"/>
  <c r="Y55" i="170"/>
  <c r="CJ55" i="170"/>
  <c r="Y60" i="170"/>
  <c r="CJ60" i="170"/>
  <c r="CL60" i="170" s="1"/>
  <c r="CQ50" i="170"/>
  <c r="Y56" i="170"/>
  <c r="CJ56" i="170"/>
  <c r="CL56" i="170" s="1"/>
  <c r="Y62" i="170"/>
  <c r="CJ62" i="170"/>
  <c r="CL62" i="170" s="1"/>
  <c r="CG54" i="170"/>
  <c r="CK48" i="170"/>
  <c r="CL48" i="170" s="1"/>
  <c r="BM54" i="170"/>
  <c r="Y59" i="170"/>
  <c r="CJ59" i="170"/>
  <c r="CL59" i="170" s="1"/>
  <c r="CQ65" i="170"/>
  <c r="CQ54" i="170" s="1"/>
  <c r="CP54" i="170"/>
  <c r="Y58" i="170"/>
  <c r="CJ58" i="170"/>
  <c r="CL58" i="170" s="1"/>
  <c r="CJ64" i="170"/>
  <c r="Y64" i="170"/>
  <c r="CJ67" i="170"/>
  <c r="CL67" i="170" s="1"/>
  <c r="Y67" i="170"/>
  <c r="CJ70" i="170"/>
  <c r="CL70" i="170" s="1"/>
  <c r="Y70" i="170"/>
  <c r="AI54" i="170"/>
  <c r="Y57" i="170"/>
  <c r="CJ57" i="170"/>
  <c r="CL57" i="170" s="1"/>
  <c r="CJ63" i="170"/>
  <c r="CL63" i="170" s="1"/>
  <c r="Y63" i="170"/>
  <c r="CK64" i="170"/>
  <c r="CK54" i="170" s="1"/>
  <c r="X54" i="170"/>
  <c r="O50" i="170"/>
  <c r="X50" i="170"/>
  <c r="CJ65" i="170"/>
  <c r="CL65" i="170" s="1"/>
  <c r="Y65" i="170"/>
  <c r="CJ68" i="170"/>
  <c r="CL68" i="170" s="1"/>
  <c r="Y68" i="170"/>
  <c r="CJ71" i="170"/>
  <c r="CL71" i="170" s="1"/>
  <c r="Y71" i="170"/>
  <c r="CJ66" i="170"/>
  <c r="CL66" i="170" s="1"/>
  <c r="Y66" i="170"/>
  <c r="CJ69" i="170"/>
  <c r="CL69" i="170" s="1"/>
  <c r="Y69" i="170"/>
  <c r="T78" i="170"/>
  <c r="T77" i="170" s="1"/>
  <c r="R77" i="170"/>
  <c r="CP77" i="170"/>
  <c r="CQ78" i="170"/>
  <c r="AS77" i="170"/>
  <c r="J77" i="170"/>
  <c r="Y78" i="170"/>
  <c r="Y77" i="170" s="1"/>
  <c r="AN39" i="165"/>
  <c r="BR39" i="165"/>
  <c r="T5" i="165"/>
  <c r="CQ13" i="165"/>
  <c r="CR13" i="165" s="1"/>
  <c r="AG75" i="165"/>
  <c r="AG39" i="165"/>
  <c r="AR75" i="165"/>
  <c r="AR39" i="165"/>
  <c r="J75" i="165"/>
  <c r="J39" i="165"/>
  <c r="AD39" i="165"/>
  <c r="BH75" i="165"/>
  <c r="BH39" i="165"/>
  <c r="CL6" i="165"/>
  <c r="CJ5" i="165"/>
  <c r="AX75" i="165"/>
  <c r="AX39" i="165"/>
  <c r="CQ12" i="165"/>
  <c r="CR12" i="165" s="1"/>
  <c r="D75" i="165"/>
  <c r="D39" i="165"/>
  <c r="N75" i="165"/>
  <c r="N39" i="165"/>
  <c r="AH75" i="165"/>
  <c r="AH39" i="165"/>
  <c r="BB75" i="165"/>
  <c r="BB39" i="165"/>
  <c r="BL75" i="165"/>
  <c r="BL39" i="165"/>
  <c r="BV75" i="165"/>
  <c r="BV39" i="165"/>
  <c r="CF75" i="165"/>
  <c r="CF39" i="165"/>
  <c r="E79" i="165"/>
  <c r="E77" i="165" s="1"/>
  <c r="C77" i="165"/>
  <c r="W79" i="165"/>
  <c r="AD79" i="165"/>
  <c r="AD77" i="165" s="1"/>
  <c r="AB77" i="165"/>
  <c r="AN79" i="165"/>
  <c r="AL77" i="165"/>
  <c r="AX79" i="165"/>
  <c r="AX77" i="165" s="1"/>
  <c r="AV77" i="165"/>
  <c r="BF77" i="165"/>
  <c r="BH79" i="165"/>
  <c r="BH89" i="165" s="1"/>
  <c r="BR79" i="165"/>
  <c r="BP77" i="165"/>
  <c r="CL9" i="165"/>
  <c r="Y12" i="165"/>
  <c r="Y13" i="165"/>
  <c r="CQ14" i="165"/>
  <c r="CR14" i="165" s="1"/>
  <c r="CQ17" i="165"/>
  <c r="CR17" i="165" s="1"/>
  <c r="CQ20" i="165"/>
  <c r="CR20" i="165" s="1"/>
  <c r="CG8" i="165"/>
  <c r="CG38" i="165" s="1"/>
  <c r="BN29" i="165"/>
  <c r="T31" i="165"/>
  <c r="BP75" i="165"/>
  <c r="BP39" i="165"/>
  <c r="I75" i="165"/>
  <c r="I39" i="165"/>
  <c r="AC75" i="165"/>
  <c r="AC39" i="165"/>
  <c r="AM75" i="165"/>
  <c r="AM39" i="165"/>
  <c r="AW75" i="165"/>
  <c r="AW39" i="165"/>
  <c r="BG75" i="165"/>
  <c r="BG39" i="165"/>
  <c r="BQ75" i="165"/>
  <c r="BQ39" i="165"/>
  <c r="CA75" i="165"/>
  <c r="CA39" i="165"/>
  <c r="AI79" i="165"/>
  <c r="AI77" i="165" s="1"/>
  <c r="AG77" i="165"/>
  <c r="AQ77" i="165"/>
  <c r="AS79" i="165"/>
  <c r="AS77" i="165" s="1"/>
  <c r="BN16" i="165"/>
  <c r="BN19" i="165"/>
  <c r="BN22" i="165"/>
  <c r="O75" i="165"/>
  <c r="O39" i="165"/>
  <c r="AS38" i="165"/>
  <c r="BM75" i="165"/>
  <c r="BM39" i="165"/>
  <c r="AL75" i="165"/>
  <c r="AL39" i="165"/>
  <c r="AV75" i="165"/>
  <c r="AV39" i="165"/>
  <c r="BZ75" i="165"/>
  <c r="BZ39" i="165"/>
  <c r="CQ29" i="165"/>
  <c r="CR29" i="165" s="1"/>
  <c r="Y6" i="165"/>
  <c r="Y5" i="165" s="1"/>
  <c r="H77" i="165"/>
  <c r="J79" i="165"/>
  <c r="J77" i="165" s="1"/>
  <c r="AI8" i="165"/>
  <c r="AI38" i="165" s="1"/>
  <c r="BN71" i="165"/>
  <c r="BN70" i="165"/>
  <c r="BN69" i="165"/>
  <c r="BN68" i="165"/>
  <c r="BN66" i="165"/>
  <c r="BN65" i="165"/>
  <c r="BN64" i="165"/>
  <c r="BN63" i="165"/>
  <c r="BN62" i="165"/>
  <c r="BN61" i="165"/>
  <c r="BN59" i="165"/>
  <c r="BN58" i="165"/>
  <c r="BN57" i="165"/>
  <c r="BN56" i="165"/>
  <c r="BN67" i="165"/>
  <c r="BN52" i="165"/>
  <c r="BN51" i="165"/>
  <c r="BN48" i="165"/>
  <c r="BN47" i="165"/>
  <c r="BN46" i="165"/>
  <c r="BN45" i="165"/>
  <c r="BN44" i="165"/>
  <c r="BN43" i="165"/>
  <c r="BN42" i="165"/>
  <c r="BN49" i="165"/>
  <c r="BN53" i="165"/>
  <c r="BN55" i="165"/>
  <c r="BN24" i="165"/>
  <c r="BN23" i="165"/>
  <c r="BN26" i="165"/>
  <c r="BN33" i="165"/>
  <c r="BN32" i="165"/>
  <c r="BN31" i="165"/>
  <c r="BN30" i="165"/>
  <c r="BN27" i="165"/>
  <c r="BN11" i="165"/>
  <c r="CB8" i="165"/>
  <c r="CB38" i="165" s="1"/>
  <c r="E39" i="165"/>
  <c r="BC38" i="165"/>
  <c r="BW75" i="165"/>
  <c r="BW39" i="165"/>
  <c r="H75" i="165"/>
  <c r="H39" i="165"/>
  <c r="AB75" i="165"/>
  <c r="AB39" i="165"/>
  <c r="BF75" i="165"/>
  <c r="BF39" i="165"/>
  <c r="C75" i="165"/>
  <c r="C39" i="165"/>
  <c r="M38" i="165"/>
  <c r="W5" i="165"/>
  <c r="W38" i="165" s="1"/>
  <c r="W75" i="165" s="1"/>
  <c r="AQ75" i="165"/>
  <c r="AQ39" i="165"/>
  <c r="BA75" i="165"/>
  <c r="BA39" i="165"/>
  <c r="BK75" i="165"/>
  <c r="BK39" i="165"/>
  <c r="BU75" i="165"/>
  <c r="BU39" i="165"/>
  <c r="CE75" i="165"/>
  <c r="CE39" i="165"/>
  <c r="CP39" i="165"/>
  <c r="J89" i="165"/>
  <c r="K9" i="165" s="1"/>
  <c r="R8" i="165"/>
  <c r="R38" i="165" s="1"/>
  <c r="R75" i="165" s="1"/>
  <c r="CB79" i="165"/>
  <c r="CB77" i="165" s="1"/>
  <c r="BZ77" i="165"/>
  <c r="K22" i="165"/>
  <c r="CL30" i="165"/>
  <c r="BN12" i="165"/>
  <c r="BN13" i="165"/>
  <c r="BN14" i="165"/>
  <c r="BN17" i="165"/>
  <c r="BN20" i="165"/>
  <c r="CL24" i="165"/>
  <c r="CQ28" i="165"/>
  <c r="CR28" i="165" s="1"/>
  <c r="BN28" i="165"/>
  <c r="T30" i="165"/>
  <c r="BR41" i="165"/>
  <c r="BR89" i="165" s="1"/>
  <c r="CQ16" i="165"/>
  <c r="CR16" i="165" s="1"/>
  <c r="CQ19" i="165"/>
  <c r="CR19" i="165" s="1"/>
  <c r="CQ22" i="165"/>
  <c r="CQ31" i="165"/>
  <c r="CR31" i="165" s="1"/>
  <c r="CK42" i="165"/>
  <c r="CK41" i="165" s="1"/>
  <c r="X41" i="165"/>
  <c r="X75" i="165" s="1"/>
  <c r="X81" i="165" s="1"/>
  <c r="X83" i="165" s="1"/>
  <c r="Y42" i="165"/>
  <c r="R79" i="165"/>
  <c r="T79" i="165" s="1"/>
  <c r="T77" i="165" s="1"/>
  <c r="O79" i="165"/>
  <c r="O89" i="165" s="1"/>
  <c r="M77" i="165"/>
  <c r="BN15" i="165"/>
  <c r="BN18" i="165"/>
  <c r="BN21" i="165"/>
  <c r="BN25" i="165"/>
  <c r="CQ32" i="165"/>
  <c r="CR32" i="165" s="1"/>
  <c r="BN36" i="165"/>
  <c r="CP41" i="165"/>
  <c r="CP75" i="165" s="1"/>
  <c r="CQ42" i="165"/>
  <c r="CQ41" i="165" s="1"/>
  <c r="BC79" i="165"/>
  <c r="BC89" i="165" s="1"/>
  <c r="BA77" i="165"/>
  <c r="BW79" i="165"/>
  <c r="BW77" i="165" s="1"/>
  <c r="BU77" i="165"/>
  <c r="CE77" i="165"/>
  <c r="CG79" i="165"/>
  <c r="CG77" i="165" s="1"/>
  <c r="Y10" i="165"/>
  <c r="CJ10" i="165"/>
  <c r="CL11" i="165"/>
  <c r="CQ15" i="165"/>
  <c r="CR15" i="165" s="1"/>
  <c r="CQ18" i="165"/>
  <c r="CR18" i="165" s="1"/>
  <c r="CQ21" i="165"/>
  <c r="CR21" i="165" s="1"/>
  <c r="CQ27" i="165"/>
  <c r="CR27" i="165" s="1"/>
  <c r="T29" i="165"/>
  <c r="Y23" i="165"/>
  <c r="Y24" i="165"/>
  <c r="E54" i="165"/>
  <c r="E75" i="165" s="1"/>
  <c r="CL43" i="165"/>
  <c r="CL45" i="165"/>
  <c r="CL47" i="165"/>
  <c r="CL51" i="165"/>
  <c r="AD54" i="165"/>
  <c r="AD75" i="165" s="1"/>
  <c r="T41" i="165"/>
  <c r="Y27" i="165"/>
  <c r="Y28" i="165"/>
  <c r="Y29" i="165"/>
  <c r="Y30" i="165"/>
  <c r="Y31" i="165"/>
  <c r="Y32" i="165"/>
  <c r="Y33" i="165"/>
  <c r="AN41" i="165"/>
  <c r="AN75" i="165" s="1"/>
  <c r="Y43" i="165"/>
  <c r="Y50" i="165"/>
  <c r="CL55" i="165"/>
  <c r="CJ41" i="165"/>
  <c r="CL44" i="165"/>
  <c r="CL46" i="165"/>
  <c r="CL48" i="165"/>
  <c r="CL52" i="165"/>
  <c r="CJ50" i="165"/>
  <c r="CK79" i="165"/>
  <c r="CK77" i="165" s="1"/>
  <c r="X77" i="165"/>
  <c r="T56" i="165"/>
  <c r="T58" i="165"/>
  <c r="T60" i="165"/>
  <c r="T62" i="165"/>
  <c r="T64" i="165"/>
  <c r="Y55" i="165"/>
  <c r="CL56" i="165"/>
  <c r="CL58" i="165"/>
  <c r="BN60" i="165"/>
  <c r="CL60" i="165"/>
  <c r="CL62" i="165"/>
  <c r="CL64" i="165"/>
  <c r="T57" i="165"/>
  <c r="T59" i="165"/>
  <c r="T61" i="165"/>
  <c r="T63" i="165"/>
  <c r="T65" i="165"/>
  <c r="Y68" i="165"/>
  <c r="CJ68" i="165"/>
  <c r="CL68" i="165" s="1"/>
  <c r="CJ66" i="165"/>
  <c r="Y67" i="165"/>
  <c r="CJ67" i="165"/>
  <c r="CL67" i="165" s="1"/>
  <c r="T68" i="165"/>
  <c r="CJ69" i="165"/>
  <c r="CL69" i="165" s="1"/>
  <c r="CJ70" i="165"/>
  <c r="CL70" i="165" s="1"/>
  <c r="CJ71" i="165"/>
  <c r="CL71" i="165" s="1"/>
  <c r="BH77" i="165"/>
  <c r="R77" i="165"/>
  <c r="S77" i="165"/>
  <c r="AN77" i="165"/>
  <c r="BR77" i="165"/>
  <c r="C99" i="101"/>
  <c r="AC64" i="101"/>
  <c r="AC63" i="101" s="1"/>
  <c r="AC58" i="101"/>
  <c r="AC55" i="101"/>
  <c r="AC46" i="101"/>
  <c r="BC104" i="157"/>
  <c r="BW110" i="157"/>
  <c r="BM101" i="157"/>
  <c r="BW103" i="157"/>
  <c r="BH101" i="157"/>
  <c r="BM104" i="157"/>
  <c r="BC101" i="157"/>
  <c r="BR101" i="157"/>
  <c r="AS103" i="157"/>
  <c r="BH110" i="157"/>
  <c r="BD31" i="165" l="1"/>
  <c r="BD24" i="165"/>
  <c r="BD57" i="165"/>
  <c r="BD29" i="165"/>
  <c r="K82" i="165"/>
  <c r="BC77" i="165"/>
  <c r="BN65" i="169"/>
  <c r="ED75" i="80"/>
  <c r="BM5" i="80"/>
  <c r="Y50" i="170"/>
  <c r="BH41" i="80"/>
  <c r="AN6" i="157"/>
  <c r="AN5" i="157" s="1"/>
  <c r="AL5" i="157"/>
  <c r="W6" i="157"/>
  <c r="CL9" i="170"/>
  <c r="CK38" i="170"/>
  <c r="BM38" i="170"/>
  <c r="W38" i="169"/>
  <c r="BN9" i="165"/>
  <c r="CK30" i="157"/>
  <c r="CL30" i="157" s="1"/>
  <c r="Y30" i="157"/>
  <c r="AN25" i="157"/>
  <c r="W25" i="157"/>
  <c r="AL8" i="157"/>
  <c r="Y89" i="80"/>
  <c r="AN31" i="157"/>
  <c r="W31" i="157"/>
  <c r="AD9" i="157"/>
  <c r="AC8" i="157"/>
  <c r="AC38" i="157" s="1"/>
  <c r="X9" i="157"/>
  <c r="AI9" i="157"/>
  <c r="AH8" i="157"/>
  <c r="AH38" i="157" s="1"/>
  <c r="CJ26" i="157"/>
  <c r="CL26" i="157" s="1"/>
  <c r="Y26" i="157"/>
  <c r="BN9" i="169"/>
  <c r="AI89" i="169"/>
  <c r="AJ56" i="169" s="1"/>
  <c r="R75" i="170"/>
  <c r="S75" i="165"/>
  <c r="S81" i="165" s="1"/>
  <c r="S83" i="165" s="1"/>
  <c r="S84" i="165" s="1"/>
  <c r="S86" i="165" s="1"/>
  <c r="BD15" i="169"/>
  <c r="BD11" i="169"/>
  <c r="BD16" i="169"/>
  <c r="BX36" i="170"/>
  <c r="BX27" i="170"/>
  <c r="BX64" i="170"/>
  <c r="BX67" i="170"/>
  <c r="BX51" i="170"/>
  <c r="BX65" i="170"/>
  <c r="N39" i="80"/>
  <c r="N75" i="80"/>
  <c r="CK75" i="165"/>
  <c r="CK39" i="165"/>
  <c r="K17" i="165"/>
  <c r="K12" i="165"/>
  <c r="BD67" i="165"/>
  <c r="T54" i="165"/>
  <c r="K55" i="165"/>
  <c r="BD28" i="165"/>
  <c r="AD89" i="165"/>
  <c r="BW77" i="170"/>
  <c r="BR89" i="170"/>
  <c r="X75" i="170"/>
  <c r="X81" i="170" s="1"/>
  <c r="X83" i="170" s="1"/>
  <c r="E75" i="170"/>
  <c r="O89" i="169"/>
  <c r="P12" i="169" s="1"/>
  <c r="AS89" i="169"/>
  <c r="Z69" i="80"/>
  <c r="Z71" i="80"/>
  <c r="BH5" i="80"/>
  <c r="CK75" i="80"/>
  <c r="CK39" i="80"/>
  <c r="K85" i="165"/>
  <c r="K78" i="165"/>
  <c r="K21" i="165"/>
  <c r="AC45" i="101"/>
  <c r="BD58" i="165"/>
  <c r="K36" i="165"/>
  <c r="K25" i="165"/>
  <c r="K18" i="165"/>
  <c r="R81" i="165"/>
  <c r="R83" i="165" s="1"/>
  <c r="R84" i="165" s="1"/>
  <c r="R86" i="165" s="1"/>
  <c r="E89" i="165"/>
  <c r="AN89" i="165"/>
  <c r="BH89" i="170"/>
  <c r="S75" i="170"/>
  <c r="S81" i="170" s="1"/>
  <c r="S83" i="170" s="1"/>
  <c r="S84" i="170" s="1"/>
  <c r="S86" i="170" s="1"/>
  <c r="AD89" i="169"/>
  <c r="Z66" i="80"/>
  <c r="Z65" i="80"/>
  <c r="BL38" i="80"/>
  <c r="BL75" i="80" s="1"/>
  <c r="BL81" i="80" s="1"/>
  <c r="BL83" i="80" s="1"/>
  <c r="BH54" i="80"/>
  <c r="CQ35" i="165"/>
  <c r="CR36" i="165"/>
  <c r="CR35" i="165" s="1"/>
  <c r="BG8" i="80"/>
  <c r="BG38" i="80" s="1"/>
  <c r="BG75" i="80" s="1"/>
  <c r="BG81" i="80" s="1"/>
  <c r="BG83" i="80" s="1"/>
  <c r="BG84" i="80" s="1"/>
  <c r="BG86" i="80" s="1"/>
  <c r="AQ76" i="80"/>
  <c r="AQ81" i="80"/>
  <c r="AQ83" i="80" s="1"/>
  <c r="AQ84" i="80" s="1"/>
  <c r="ED76" i="80"/>
  <c r="ED81" i="80"/>
  <c r="ED83" i="80" s="1"/>
  <c r="ED84" i="80" s="1"/>
  <c r="ED86" i="80" s="1"/>
  <c r="ED87" i="80" s="1"/>
  <c r="AN89" i="80"/>
  <c r="AJ72" i="80"/>
  <c r="AE72" i="80"/>
  <c r="AO72" i="80"/>
  <c r="Z72" i="80"/>
  <c r="Z63" i="80"/>
  <c r="Z60" i="80"/>
  <c r="Z57" i="80"/>
  <c r="Z61" i="80"/>
  <c r="Z22" i="80"/>
  <c r="Z23" i="80"/>
  <c r="Z16" i="80"/>
  <c r="Z12" i="80"/>
  <c r="Z9" i="80"/>
  <c r="Z13" i="80"/>
  <c r="Z10" i="80"/>
  <c r="Z11" i="80"/>
  <c r="Z17" i="80"/>
  <c r="Z62" i="80"/>
  <c r="Z64" i="80"/>
  <c r="Z70" i="80"/>
  <c r="Z56" i="80"/>
  <c r="Z59" i="80"/>
  <c r="Z68" i="80"/>
  <c r="Z32" i="80"/>
  <c r="Z14" i="80"/>
  <c r="Z15" i="80"/>
  <c r="Z8" i="80"/>
  <c r="E91" i="80"/>
  <c r="F72" i="80"/>
  <c r="F67" i="80"/>
  <c r="F63" i="80"/>
  <c r="F60" i="80"/>
  <c r="F57" i="80"/>
  <c r="F65" i="80"/>
  <c r="F61" i="80"/>
  <c r="F58" i="80"/>
  <c r="F55" i="80"/>
  <c r="F49" i="80"/>
  <c r="F44" i="80"/>
  <c r="F14" i="80"/>
  <c r="F47" i="80"/>
  <c r="F16" i="80"/>
  <c r="F52" i="80"/>
  <c r="F12" i="80"/>
  <c r="F30" i="80"/>
  <c r="F13" i="80"/>
  <c r="F10" i="80"/>
  <c r="F42" i="80"/>
  <c r="F31" i="80"/>
  <c r="F25" i="80"/>
  <c r="F17" i="80"/>
  <c r="F9" i="80"/>
  <c r="F28" i="80"/>
  <c r="F8" i="80"/>
  <c r="F69" i="80"/>
  <c r="F59" i="80"/>
  <c r="F19" i="80"/>
  <c r="F43" i="80"/>
  <c r="F66" i="80"/>
  <c r="F41" i="80"/>
  <c r="F26" i="80"/>
  <c r="F68" i="80"/>
  <c r="F21" i="80"/>
  <c r="F27" i="80"/>
  <c r="F15" i="80"/>
  <c r="F36" i="80"/>
  <c r="F62" i="80"/>
  <c r="CT81" i="80"/>
  <c r="CT83" i="80" s="1"/>
  <c r="CT84" i="80" s="1"/>
  <c r="CT86" i="80" s="1"/>
  <c r="CT87" i="80" s="1"/>
  <c r="CT76" i="80"/>
  <c r="BZ75" i="80"/>
  <c r="BZ39" i="80"/>
  <c r="C81" i="80"/>
  <c r="C83" i="80" s="1"/>
  <c r="C84" i="80" s="1"/>
  <c r="C86" i="80" s="1"/>
  <c r="C87" i="80" s="1"/>
  <c r="C76" i="80"/>
  <c r="DZ51" i="80"/>
  <c r="DX50" i="80"/>
  <c r="BC89" i="80"/>
  <c r="BB75" i="80"/>
  <c r="BB39" i="80"/>
  <c r="CO75" i="80"/>
  <c r="CO39" i="80"/>
  <c r="AI75" i="80"/>
  <c r="AI39" i="80"/>
  <c r="EE20" i="80"/>
  <c r="EF20" i="80" s="1"/>
  <c r="CB8" i="80"/>
  <c r="DZ28" i="80"/>
  <c r="AL81" i="80"/>
  <c r="AL83" i="80" s="1"/>
  <c r="AL84" i="80" s="1"/>
  <c r="AL86" i="80" s="1"/>
  <c r="AL87" i="80" s="1"/>
  <c r="AL76" i="80"/>
  <c r="BC38" i="80"/>
  <c r="S81" i="80"/>
  <c r="S83" i="80" s="1"/>
  <c r="S84" i="80" s="1"/>
  <c r="S86" i="80" s="1"/>
  <c r="S87" i="80" s="1"/>
  <c r="S76" i="80"/>
  <c r="DA89" i="80"/>
  <c r="DX41" i="80"/>
  <c r="DK81" i="80"/>
  <c r="DK83" i="80" s="1"/>
  <c r="DK84" i="80" s="1"/>
  <c r="DK86" i="80" s="1"/>
  <c r="DK87" i="80" s="1"/>
  <c r="DK76" i="80"/>
  <c r="X81" i="80"/>
  <c r="X83" i="80" s="1"/>
  <c r="X84" i="80" s="1"/>
  <c r="X86" i="80" s="1"/>
  <c r="X87" i="80" s="1"/>
  <c r="X76" i="80"/>
  <c r="DU89" i="80"/>
  <c r="DZ56" i="80"/>
  <c r="DX54" i="80"/>
  <c r="DN77" i="80"/>
  <c r="DP79" i="80"/>
  <c r="DP77" i="80" s="1"/>
  <c r="CP75" i="80"/>
  <c r="CP39" i="80"/>
  <c r="DX25" i="80"/>
  <c r="DZ25" i="80" s="1"/>
  <c r="BM25" i="80"/>
  <c r="BK8" i="80"/>
  <c r="BK38" i="80" s="1"/>
  <c r="BK75" i="80" s="1"/>
  <c r="CY76" i="80"/>
  <c r="CY81" i="80"/>
  <c r="CY83" i="80" s="1"/>
  <c r="CY84" i="80" s="1"/>
  <c r="CY86" i="80" s="1"/>
  <c r="CY87" i="80" s="1"/>
  <c r="AG75" i="80"/>
  <c r="AG39" i="80"/>
  <c r="EE21" i="80"/>
  <c r="EF21" i="80" s="1"/>
  <c r="AX8" i="80"/>
  <c r="EE18" i="80"/>
  <c r="EF18" i="80" s="1"/>
  <c r="W76" i="80"/>
  <c r="W81" i="80"/>
  <c r="W83" i="80" s="1"/>
  <c r="W84" i="80" s="1"/>
  <c r="W86" i="80" s="1"/>
  <c r="W87" i="80" s="1"/>
  <c r="CG89" i="80"/>
  <c r="D81" i="80"/>
  <c r="D83" i="80" s="1"/>
  <c r="D84" i="80" s="1"/>
  <c r="D86" i="80" s="1"/>
  <c r="D87" i="80" s="1"/>
  <c r="D76" i="80"/>
  <c r="T89" i="80"/>
  <c r="U8" i="80" s="1"/>
  <c r="Y75" i="80"/>
  <c r="Y39" i="80"/>
  <c r="CA81" i="80"/>
  <c r="CA83" i="80" s="1"/>
  <c r="CA84" i="80" s="1"/>
  <c r="CA86" i="80" s="1"/>
  <c r="CA87" i="80" s="1"/>
  <c r="CA76" i="80"/>
  <c r="DZ9" i="80"/>
  <c r="DZ42" i="80"/>
  <c r="CG38" i="80"/>
  <c r="CU81" i="80"/>
  <c r="CU83" i="80" s="1"/>
  <c r="CU84" i="80" s="1"/>
  <c r="CU86" i="80" s="1"/>
  <c r="CU87" i="80" s="1"/>
  <c r="CU76" i="80"/>
  <c r="EE13" i="80"/>
  <c r="EF13" i="80" s="1"/>
  <c r="BV81" i="80"/>
  <c r="BV83" i="80" s="1"/>
  <c r="BV84" i="80" s="1"/>
  <c r="BV86" i="80" s="1"/>
  <c r="BV87" i="80" s="1"/>
  <c r="BV76" i="80"/>
  <c r="EE17" i="80"/>
  <c r="EF17" i="80" s="1"/>
  <c r="EH17" i="80" s="1"/>
  <c r="BM8" i="80"/>
  <c r="DU38" i="80"/>
  <c r="O75" i="80"/>
  <c r="O39" i="80"/>
  <c r="AW76" i="80"/>
  <c r="AW81" i="80"/>
  <c r="AW83" i="80" s="1"/>
  <c r="AW84" i="80" s="1"/>
  <c r="AW86" i="80" s="1"/>
  <c r="AW87" i="80" s="1"/>
  <c r="AV81" i="80"/>
  <c r="AV83" i="80" s="1"/>
  <c r="AV84" i="80" s="1"/>
  <c r="AV86" i="80" s="1"/>
  <c r="AV87" i="80" s="1"/>
  <c r="AV76" i="80"/>
  <c r="BW89" i="80"/>
  <c r="CL75" i="80"/>
  <c r="CL39" i="80"/>
  <c r="DZ54" i="80"/>
  <c r="BM54" i="80"/>
  <c r="BM41" i="80"/>
  <c r="AI89" i="80"/>
  <c r="AJ8" i="80" s="1"/>
  <c r="AR75" i="80"/>
  <c r="AR39" i="80"/>
  <c r="EE19" i="80"/>
  <c r="EF19" i="80" s="1"/>
  <c r="DD77" i="80"/>
  <c r="DF79" i="80"/>
  <c r="DF77" i="80" s="1"/>
  <c r="O89" i="80"/>
  <c r="P8" i="80" s="1"/>
  <c r="EE27" i="80"/>
  <c r="EF27" i="80" s="1"/>
  <c r="EH27" i="80" s="1"/>
  <c r="BF8" i="80"/>
  <c r="BF38" i="80" s="1"/>
  <c r="BF75" i="80" s="1"/>
  <c r="BF81" i="80" s="1"/>
  <c r="BF83" i="80" s="1"/>
  <c r="BF84" i="80" s="1"/>
  <c r="BF86" i="80" s="1"/>
  <c r="E81" i="80"/>
  <c r="E83" i="80" s="1"/>
  <c r="E84" i="80" s="1"/>
  <c r="E86" i="80" s="1"/>
  <c r="E87" i="80" s="1"/>
  <c r="E76" i="80"/>
  <c r="CE76" i="80"/>
  <c r="CE81" i="80"/>
  <c r="CE83" i="80" s="1"/>
  <c r="CE84" i="80" s="1"/>
  <c r="CE86" i="80" s="1"/>
  <c r="CE87" i="80" s="1"/>
  <c r="AN75" i="80"/>
  <c r="AN39" i="80"/>
  <c r="AS8" i="80"/>
  <c r="BQ76" i="80"/>
  <c r="BQ81" i="80"/>
  <c r="BQ83" i="80" s="1"/>
  <c r="BQ84" i="80" s="1"/>
  <c r="CF81" i="80"/>
  <c r="CF83" i="80" s="1"/>
  <c r="CF84" i="80" s="1"/>
  <c r="CF86" i="80" s="1"/>
  <c r="CF87" i="80" s="1"/>
  <c r="CF76" i="80"/>
  <c r="DS75" i="80"/>
  <c r="DS39" i="80"/>
  <c r="EE32" i="80"/>
  <c r="EF32" i="80" s="1"/>
  <c r="EE15" i="80"/>
  <c r="EF15" i="80" s="1"/>
  <c r="BR89" i="80"/>
  <c r="BS31" i="80" s="1"/>
  <c r="BM38" i="80"/>
  <c r="T38" i="80"/>
  <c r="AM81" i="80"/>
  <c r="AM83" i="80" s="1"/>
  <c r="AM84" i="80" s="1"/>
  <c r="AM86" i="80" s="1"/>
  <c r="AM87" i="80" s="1"/>
  <c r="AM76" i="80"/>
  <c r="AD89" i="80"/>
  <c r="AE8" i="80" s="1"/>
  <c r="BP81" i="80"/>
  <c r="BP83" i="80" s="1"/>
  <c r="BP84" i="80" s="1"/>
  <c r="BP76" i="80"/>
  <c r="DO81" i="80"/>
  <c r="DO83" i="80" s="1"/>
  <c r="DO84" i="80" s="1"/>
  <c r="DO86" i="80" s="1"/>
  <c r="DO87" i="80" s="1"/>
  <c r="DO76" i="80"/>
  <c r="BR75" i="80"/>
  <c r="BR39" i="80"/>
  <c r="CJ81" i="80"/>
  <c r="CJ83" i="80" s="1"/>
  <c r="CJ84" i="80" s="1"/>
  <c r="CJ86" i="80" s="1"/>
  <c r="CJ87" i="80" s="1"/>
  <c r="CJ76" i="80"/>
  <c r="DA38" i="80"/>
  <c r="DT75" i="80"/>
  <c r="DT39" i="80"/>
  <c r="Z41" i="80"/>
  <c r="EE26" i="80"/>
  <c r="EF26" i="80" s="1"/>
  <c r="EH26" i="80" s="1"/>
  <c r="EE31" i="80"/>
  <c r="EF31" i="80" s="1"/>
  <c r="EH31" i="80" s="1"/>
  <c r="R75" i="80"/>
  <c r="R39" i="80"/>
  <c r="DD81" i="80"/>
  <c r="DD83" i="80" s="1"/>
  <c r="DD84" i="80" s="1"/>
  <c r="DD86" i="80" s="1"/>
  <c r="DD87" i="80" s="1"/>
  <c r="DD76" i="80"/>
  <c r="CL89" i="80"/>
  <c r="EE30" i="80"/>
  <c r="EF30" i="80" s="1"/>
  <c r="EH30" i="80" s="1"/>
  <c r="AD38" i="80"/>
  <c r="N81" i="80"/>
  <c r="N83" i="80" s="1"/>
  <c r="N84" i="80" s="1"/>
  <c r="N86" i="80" s="1"/>
  <c r="N87" i="80" s="1"/>
  <c r="N76" i="80"/>
  <c r="AS79" i="80"/>
  <c r="AS77" i="80" s="1"/>
  <c r="AQ77" i="80"/>
  <c r="BK79" i="80"/>
  <c r="CQ75" i="80"/>
  <c r="CV75" i="80"/>
  <c r="CV39" i="80"/>
  <c r="DX5" i="80"/>
  <c r="DZ6" i="80"/>
  <c r="BH9" i="80"/>
  <c r="BH8" i="80" s="1"/>
  <c r="DF75" i="80"/>
  <c r="U54" i="80"/>
  <c r="Z54" i="80"/>
  <c r="DY54" i="80"/>
  <c r="EE24" i="80"/>
  <c r="EF24" i="80" s="1"/>
  <c r="BW38" i="80"/>
  <c r="DJ75" i="80"/>
  <c r="DJ39" i="80"/>
  <c r="DI76" i="80"/>
  <c r="DI81" i="80"/>
  <c r="DI83" i="80" s="1"/>
  <c r="DI84" i="80" s="1"/>
  <c r="DI86" i="80" s="1"/>
  <c r="DI87" i="80" s="1"/>
  <c r="EE36" i="80"/>
  <c r="DZ35" i="80"/>
  <c r="DN81" i="80"/>
  <c r="DN83" i="80" s="1"/>
  <c r="DN84" i="80" s="1"/>
  <c r="DN86" i="80" s="1"/>
  <c r="DN87" i="80" s="1"/>
  <c r="AH81" i="80"/>
  <c r="AH83" i="80" s="1"/>
  <c r="AH84" i="80" s="1"/>
  <c r="AH86" i="80" s="1"/>
  <c r="AH87" i="80" s="1"/>
  <c r="AH76" i="80"/>
  <c r="AO41" i="80"/>
  <c r="CQ89" i="80"/>
  <c r="BU76" i="80"/>
  <c r="BU81" i="80"/>
  <c r="BU83" i="80" s="1"/>
  <c r="BU84" i="80" s="1"/>
  <c r="BU86" i="80" s="1"/>
  <c r="BU87" i="80" s="1"/>
  <c r="DY8" i="80"/>
  <c r="DY38" i="80" s="1"/>
  <c r="M76" i="80"/>
  <c r="M81" i="80"/>
  <c r="M83" i="80" s="1"/>
  <c r="M84" i="80" s="1"/>
  <c r="M86" i="80" s="1"/>
  <c r="M87" i="80" s="1"/>
  <c r="DE81" i="80"/>
  <c r="DE83" i="80" s="1"/>
  <c r="DE84" i="80" s="1"/>
  <c r="DE86" i="80" s="1"/>
  <c r="DE87" i="80" s="1"/>
  <c r="DE76" i="80"/>
  <c r="DP38" i="80"/>
  <c r="P68" i="169"/>
  <c r="CL79" i="169"/>
  <c r="CQ79" i="169"/>
  <c r="P71" i="169"/>
  <c r="CF75" i="169"/>
  <c r="CF39" i="169"/>
  <c r="CQ15" i="169"/>
  <c r="CR15" i="169" s="1"/>
  <c r="P28" i="169"/>
  <c r="AJ70" i="169"/>
  <c r="BN66" i="169"/>
  <c r="BN59" i="169"/>
  <c r="BN58" i="169"/>
  <c r="BN57" i="169"/>
  <c r="BN53" i="169"/>
  <c r="BN61" i="169"/>
  <c r="BN52" i="169"/>
  <c r="BN51" i="169"/>
  <c r="BN48" i="169"/>
  <c r="BN46" i="169"/>
  <c r="BN45" i="169"/>
  <c r="BN47" i="169"/>
  <c r="BN49" i="169"/>
  <c r="BN44" i="169"/>
  <c r="BN43" i="169"/>
  <c r="BN42" i="169"/>
  <c r="BN26" i="169"/>
  <c r="BN21" i="169"/>
  <c r="BN18" i="169"/>
  <c r="BN15" i="169"/>
  <c r="BN12" i="169"/>
  <c r="BN20" i="169"/>
  <c r="BN17" i="169"/>
  <c r="BN14" i="169"/>
  <c r="BN11" i="169"/>
  <c r="BN32" i="169"/>
  <c r="BN22" i="169"/>
  <c r="BN19" i="169"/>
  <c r="BN16" i="169"/>
  <c r="BN13" i="169"/>
  <c r="BN10" i="169"/>
  <c r="BN23" i="169"/>
  <c r="BN31" i="169"/>
  <c r="BN25" i="169"/>
  <c r="BN56" i="169"/>
  <c r="BN63" i="169"/>
  <c r="BN70" i="169"/>
  <c r="BN27" i="169"/>
  <c r="BN29" i="169"/>
  <c r="BN33" i="169"/>
  <c r="BN36" i="169"/>
  <c r="BN24" i="169"/>
  <c r="BN55" i="169"/>
  <c r="BN60" i="169"/>
  <c r="BN30" i="169"/>
  <c r="BN64" i="169"/>
  <c r="BN69" i="169"/>
  <c r="BN67" i="169"/>
  <c r="BN28" i="169"/>
  <c r="BN71" i="169"/>
  <c r="AJ60" i="169"/>
  <c r="P58" i="169"/>
  <c r="CJ41" i="169"/>
  <c r="BW76" i="169"/>
  <c r="BW81" i="169"/>
  <c r="BW83" i="169" s="1"/>
  <c r="BW84" i="169" s="1"/>
  <c r="BW86" i="169" s="1"/>
  <c r="BW87" i="169" s="1"/>
  <c r="AN75" i="169"/>
  <c r="AN39" i="169"/>
  <c r="CQ17" i="169"/>
  <c r="CR17" i="169" s="1"/>
  <c r="BD29" i="169"/>
  <c r="BZ81" i="169"/>
  <c r="BZ83" i="169" s="1"/>
  <c r="BZ84" i="169" s="1"/>
  <c r="BZ86" i="169" s="1"/>
  <c r="BZ87" i="169" s="1"/>
  <c r="BZ76" i="169"/>
  <c r="AV81" i="169"/>
  <c r="AV83" i="169" s="1"/>
  <c r="AV84" i="169" s="1"/>
  <c r="AV86" i="169" s="1"/>
  <c r="AV87" i="169" s="1"/>
  <c r="AV76" i="169"/>
  <c r="E75" i="169"/>
  <c r="E39" i="169"/>
  <c r="AI81" i="169"/>
  <c r="AI83" i="169" s="1"/>
  <c r="AI84" i="169" s="1"/>
  <c r="AI86" i="169" s="1"/>
  <c r="AI87" i="169" s="1"/>
  <c r="AI76" i="169"/>
  <c r="P43" i="169"/>
  <c r="P72" i="169"/>
  <c r="P64" i="169"/>
  <c r="P65" i="169"/>
  <c r="P60" i="169"/>
  <c r="P61" i="169"/>
  <c r="P53" i="169"/>
  <c r="P63" i="169"/>
  <c r="P62" i="169"/>
  <c r="P44" i="169"/>
  <c r="P45" i="169"/>
  <c r="P36" i="169"/>
  <c r="P25" i="169"/>
  <c r="P9" i="169"/>
  <c r="P30" i="169"/>
  <c r="P10" i="169"/>
  <c r="P32" i="169"/>
  <c r="P23" i="169"/>
  <c r="P59" i="169"/>
  <c r="P70" i="169"/>
  <c r="P20" i="169"/>
  <c r="P57" i="169"/>
  <c r="P56" i="169"/>
  <c r="P51" i="169"/>
  <c r="P66" i="169"/>
  <c r="P74" i="169"/>
  <c r="P26" i="169"/>
  <c r="P21" i="169"/>
  <c r="P22" i="169"/>
  <c r="P17" i="169"/>
  <c r="P27" i="169"/>
  <c r="P48" i="169"/>
  <c r="P52" i="169"/>
  <c r="P67" i="169"/>
  <c r="P69" i="169"/>
  <c r="P18" i="169"/>
  <c r="P19" i="169"/>
  <c r="P31" i="169"/>
  <c r="P14" i="169"/>
  <c r="P55" i="169"/>
  <c r="P42" i="169"/>
  <c r="P15" i="169"/>
  <c r="P29" i="169"/>
  <c r="P24" i="169"/>
  <c r="P16" i="169"/>
  <c r="P11" i="169"/>
  <c r="P33" i="169"/>
  <c r="P47" i="169"/>
  <c r="P82" i="169"/>
  <c r="P85" i="169"/>
  <c r="BH89" i="169"/>
  <c r="BH38" i="169"/>
  <c r="M81" i="169"/>
  <c r="M83" i="169" s="1"/>
  <c r="M84" i="169" s="1"/>
  <c r="M86" i="169" s="1"/>
  <c r="M87" i="169" s="1"/>
  <c r="M76" i="169"/>
  <c r="AJ61" i="169"/>
  <c r="AJ53" i="169"/>
  <c r="AJ52" i="169"/>
  <c r="AJ51" i="169"/>
  <c r="AJ48" i="169"/>
  <c r="AJ49" i="169"/>
  <c r="AJ59" i="169"/>
  <c r="AJ45" i="169"/>
  <c r="AJ57" i="169"/>
  <c r="AJ46" i="169"/>
  <c r="AJ44" i="169"/>
  <c r="AJ43" i="169"/>
  <c r="AJ42" i="169"/>
  <c r="AJ26" i="169"/>
  <c r="AJ58" i="169"/>
  <c r="AJ47" i="169"/>
  <c r="AJ33" i="169"/>
  <c r="AJ22" i="169"/>
  <c r="AJ19" i="169"/>
  <c r="AJ16" i="169"/>
  <c r="AJ13" i="169"/>
  <c r="AJ10" i="169"/>
  <c r="AJ21" i="169"/>
  <c r="AJ18" i="169"/>
  <c r="AJ15" i="169"/>
  <c r="AJ12" i="169"/>
  <c r="AJ23" i="169"/>
  <c r="AJ20" i="169"/>
  <c r="AJ17" i="169"/>
  <c r="AJ14" i="169"/>
  <c r="AJ11" i="169"/>
  <c r="AJ25" i="169"/>
  <c r="AJ9" i="169"/>
  <c r="AJ32" i="169"/>
  <c r="AJ62" i="169"/>
  <c r="AJ55" i="169"/>
  <c r="AJ63" i="169"/>
  <c r="AJ24" i="169"/>
  <c r="AJ30" i="169"/>
  <c r="AJ28" i="169"/>
  <c r="AJ36" i="169"/>
  <c r="AJ65" i="169"/>
  <c r="AJ69" i="169"/>
  <c r="AJ67" i="169"/>
  <c r="AJ27" i="169"/>
  <c r="AJ64" i="169"/>
  <c r="AJ71" i="169"/>
  <c r="AJ29" i="169"/>
  <c r="AJ31" i="169"/>
  <c r="AJ68" i="169"/>
  <c r="BD61" i="169"/>
  <c r="BD49" i="169"/>
  <c r="BD62" i="169"/>
  <c r="BD63" i="169"/>
  <c r="BD64" i="169"/>
  <c r="BD53" i="169"/>
  <c r="BD44" i="169"/>
  <c r="BD43" i="169"/>
  <c r="BD36" i="169"/>
  <c r="BD60" i="169"/>
  <c r="BD42" i="169"/>
  <c r="BD9" i="169"/>
  <c r="BD28" i="169"/>
  <c r="BD12" i="169"/>
  <c r="BD24" i="169"/>
  <c r="BD13" i="169"/>
  <c r="BD26" i="169"/>
  <c r="BD58" i="169"/>
  <c r="BD66" i="169"/>
  <c r="BD65" i="169"/>
  <c r="BD68" i="169"/>
  <c r="BD71" i="169"/>
  <c r="BD25" i="169"/>
  <c r="BD30" i="169"/>
  <c r="BD10" i="169"/>
  <c r="BD33" i="169"/>
  <c r="BD32" i="169"/>
  <c r="BD55" i="169"/>
  <c r="BD59" i="169"/>
  <c r="BD70" i="169"/>
  <c r="BD23" i="169"/>
  <c r="BD20" i="169"/>
  <c r="BD57" i="169"/>
  <c r="BD56" i="169"/>
  <c r="BD45" i="169"/>
  <c r="BD51" i="169"/>
  <c r="BD21" i="169"/>
  <c r="BD22" i="169"/>
  <c r="BD17" i="169"/>
  <c r="BD27" i="169"/>
  <c r="BD47" i="169"/>
  <c r="BD48" i="169"/>
  <c r="BD46" i="169"/>
  <c r="BD52" i="169"/>
  <c r="BD67" i="169"/>
  <c r="BD18" i="169"/>
  <c r="BD19" i="169"/>
  <c r="BD31" i="169"/>
  <c r="BD14" i="169"/>
  <c r="BD69" i="169"/>
  <c r="CQ22" i="169"/>
  <c r="CJ77" i="169"/>
  <c r="AJ66" i="169"/>
  <c r="P78" i="169"/>
  <c r="P46" i="169"/>
  <c r="CB89" i="169"/>
  <c r="Y8" i="169"/>
  <c r="BR89" i="169"/>
  <c r="BR38" i="169"/>
  <c r="BU81" i="169"/>
  <c r="BU83" i="169" s="1"/>
  <c r="BU84" i="169" s="1"/>
  <c r="BU86" i="169" s="1"/>
  <c r="BU87" i="169" s="1"/>
  <c r="BU76" i="169"/>
  <c r="AQ81" i="169"/>
  <c r="AQ83" i="169" s="1"/>
  <c r="AQ84" i="169" s="1"/>
  <c r="AQ86" i="169" s="1"/>
  <c r="AQ87" i="169" s="1"/>
  <c r="AQ76" i="169"/>
  <c r="P13" i="169"/>
  <c r="X75" i="169"/>
  <c r="X81" i="169" s="1"/>
  <c r="X83" i="169" s="1"/>
  <c r="CQ13" i="169"/>
  <c r="CR13" i="169" s="1"/>
  <c r="Y50" i="169"/>
  <c r="CJ54" i="169"/>
  <c r="Y41" i="169"/>
  <c r="CL41" i="169"/>
  <c r="BV75" i="169"/>
  <c r="BV39" i="169"/>
  <c r="AE26" i="169"/>
  <c r="BW89" i="169"/>
  <c r="E89" i="169"/>
  <c r="F8" i="169" s="1"/>
  <c r="AX89" i="169"/>
  <c r="CQ18" i="169"/>
  <c r="CR18" i="169" s="1"/>
  <c r="CQ23" i="169"/>
  <c r="CR23" i="169" s="1"/>
  <c r="CJ8" i="169"/>
  <c r="CJ38" i="169" s="1"/>
  <c r="CQ11" i="169"/>
  <c r="CR11" i="169" s="1"/>
  <c r="BQ81" i="169"/>
  <c r="BQ83" i="169" s="1"/>
  <c r="BQ84" i="169" s="1"/>
  <c r="BQ86" i="169" s="1"/>
  <c r="BQ87" i="169" s="1"/>
  <c r="BQ76" i="169"/>
  <c r="AM81" i="169"/>
  <c r="AM83" i="169" s="1"/>
  <c r="AM84" i="169" s="1"/>
  <c r="AM86" i="169" s="1"/>
  <c r="AM87" i="169" s="1"/>
  <c r="AM76" i="169"/>
  <c r="BM75" i="169"/>
  <c r="CB75" i="169"/>
  <c r="Y54" i="169"/>
  <c r="CQ73" i="169"/>
  <c r="CL74" i="169"/>
  <c r="CL73" i="169" s="1"/>
  <c r="CJ73" i="169"/>
  <c r="P79" i="169"/>
  <c r="BL75" i="169"/>
  <c r="BL39" i="169"/>
  <c r="AE49" i="169"/>
  <c r="AE53" i="169"/>
  <c r="AE51" i="169"/>
  <c r="AE46" i="169"/>
  <c r="AE45" i="169"/>
  <c r="AE52" i="169"/>
  <c r="AE47" i="169"/>
  <c r="AE48" i="169"/>
  <c r="AE33" i="169"/>
  <c r="AE20" i="169"/>
  <c r="AE19" i="169"/>
  <c r="AE18" i="169"/>
  <c r="AE16" i="169"/>
  <c r="AE13" i="169"/>
  <c r="AE11" i="169"/>
  <c r="AE10" i="169"/>
  <c r="AE9" i="169"/>
  <c r="AE27" i="169"/>
  <c r="AE32" i="169"/>
  <c r="AE31" i="169"/>
  <c r="AE30" i="169"/>
  <c r="AE29" i="169"/>
  <c r="AE28" i="169"/>
  <c r="C76" i="169"/>
  <c r="C81" i="169"/>
  <c r="C83" i="169" s="1"/>
  <c r="C84" i="169" s="1"/>
  <c r="AE14" i="169"/>
  <c r="CG89" i="169"/>
  <c r="CP81" i="169"/>
  <c r="CP83" i="169" s="1"/>
  <c r="CP84" i="169" s="1"/>
  <c r="CP86" i="169" s="1"/>
  <c r="CP87" i="169" s="1"/>
  <c r="CP76" i="169"/>
  <c r="BK81" i="169"/>
  <c r="BK83" i="169" s="1"/>
  <c r="BK84" i="169" s="1"/>
  <c r="BK86" i="169" s="1"/>
  <c r="BK87" i="169" s="1"/>
  <c r="BK76" i="169"/>
  <c r="AG81" i="169"/>
  <c r="AG83" i="169" s="1"/>
  <c r="AG84" i="169" s="1"/>
  <c r="AG86" i="169" s="1"/>
  <c r="AG87" i="169" s="1"/>
  <c r="AG76" i="169"/>
  <c r="CL8" i="169"/>
  <c r="CQ9" i="169"/>
  <c r="AN89" i="169"/>
  <c r="BP81" i="169"/>
  <c r="BP83" i="169" s="1"/>
  <c r="BP84" i="169" s="1"/>
  <c r="BP86" i="169" s="1"/>
  <c r="BP87" i="169" s="1"/>
  <c r="BP76" i="169"/>
  <c r="AL81" i="169"/>
  <c r="AL83" i="169" s="1"/>
  <c r="AL84" i="169" s="1"/>
  <c r="AL86" i="169" s="1"/>
  <c r="AL87" i="169" s="1"/>
  <c r="AL76" i="169"/>
  <c r="CQ16" i="169"/>
  <c r="CR16" i="169" s="1"/>
  <c r="CL6" i="169"/>
  <c r="BC75" i="169"/>
  <c r="BC39" i="169"/>
  <c r="N81" i="169"/>
  <c r="N83" i="169" s="1"/>
  <c r="N84" i="169" s="1"/>
  <c r="N86" i="169" s="1"/>
  <c r="N87" i="169" s="1"/>
  <c r="N76" i="169"/>
  <c r="AX38" i="169"/>
  <c r="T79" i="169"/>
  <c r="T77" i="169" s="1"/>
  <c r="R77" i="169"/>
  <c r="BB75" i="169"/>
  <c r="BB39" i="169"/>
  <c r="AE17" i="169"/>
  <c r="CK38" i="169"/>
  <c r="I81" i="169"/>
  <c r="I83" i="169" s="1"/>
  <c r="I84" i="169" s="1"/>
  <c r="I86" i="169" s="1"/>
  <c r="I87" i="169" s="1"/>
  <c r="I76" i="169"/>
  <c r="CQ20" i="169"/>
  <c r="CR20" i="169" s="1"/>
  <c r="AT53" i="169"/>
  <c r="AT49" i="169"/>
  <c r="AT52" i="169"/>
  <c r="AT48" i="169"/>
  <c r="AT46" i="169"/>
  <c r="AT45" i="169"/>
  <c r="AT47" i="169"/>
  <c r="AT51" i="169"/>
  <c r="AT20" i="169"/>
  <c r="AT19" i="169"/>
  <c r="AT18" i="169"/>
  <c r="AT15" i="169"/>
  <c r="AT13" i="169"/>
  <c r="AT12" i="169"/>
  <c r="AT11" i="169"/>
  <c r="AT10" i="169"/>
  <c r="AT33" i="169"/>
  <c r="AT9" i="169"/>
  <c r="AT29" i="169"/>
  <c r="AT28" i="169"/>
  <c r="AT25" i="169"/>
  <c r="AT27" i="169"/>
  <c r="AT36" i="169"/>
  <c r="AT31" i="169"/>
  <c r="AT30" i="169"/>
  <c r="Y38" i="169"/>
  <c r="BG81" i="169"/>
  <c r="BG83" i="169" s="1"/>
  <c r="BG84" i="169" s="1"/>
  <c r="BG86" i="169" s="1"/>
  <c r="BG87" i="169" s="1"/>
  <c r="BG76" i="169"/>
  <c r="AC81" i="169"/>
  <c r="AC83" i="169" s="1"/>
  <c r="AC84" i="169" s="1"/>
  <c r="AC76" i="169"/>
  <c r="AE21" i="169"/>
  <c r="AE15" i="169"/>
  <c r="CQ10" i="169"/>
  <c r="CR10" i="169" s="1"/>
  <c r="Y79" i="169"/>
  <c r="Y77" i="169" s="1"/>
  <c r="W77" i="169"/>
  <c r="CG38" i="169"/>
  <c r="AD38" i="169"/>
  <c r="AE44" i="169"/>
  <c r="AR75" i="169"/>
  <c r="AR39" i="169"/>
  <c r="AE25" i="169"/>
  <c r="AE23" i="169"/>
  <c r="W75" i="169"/>
  <c r="W81" i="169" s="1"/>
  <c r="W83" i="169" s="1"/>
  <c r="CQ12" i="169"/>
  <c r="CR12" i="169" s="1"/>
  <c r="CE76" i="169"/>
  <c r="CE81" i="169"/>
  <c r="CE83" i="169" s="1"/>
  <c r="CE84" i="169" s="1"/>
  <c r="CE86" i="169" s="1"/>
  <c r="CE87" i="169" s="1"/>
  <c r="BA76" i="169"/>
  <c r="BA81" i="169"/>
  <c r="BA83" i="169" s="1"/>
  <c r="BA84" i="169" s="1"/>
  <c r="BA86" i="169" s="1"/>
  <c r="BA87" i="169" s="1"/>
  <c r="AT17" i="169"/>
  <c r="R38" i="169"/>
  <c r="R75" i="169" s="1"/>
  <c r="R81" i="169" s="1"/>
  <c r="R83" i="169" s="1"/>
  <c r="R84" i="169" s="1"/>
  <c r="R86" i="169" s="1"/>
  <c r="BF81" i="169"/>
  <c r="BF83" i="169" s="1"/>
  <c r="BF84" i="169" s="1"/>
  <c r="BF86" i="169" s="1"/>
  <c r="BF87" i="169" s="1"/>
  <c r="BF76" i="169"/>
  <c r="AB81" i="169"/>
  <c r="AB83" i="169" s="1"/>
  <c r="AB84" i="169" s="1"/>
  <c r="AB76" i="169"/>
  <c r="CQ35" i="169"/>
  <c r="CR36" i="169"/>
  <c r="CR35" i="169" s="1"/>
  <c r="AT22" i="169"/>
  <c r="AS76" i="169"/>
  <c r="AS81" i="169"/>
  <c r="AS83" i="169" s="1"/>
  <c r="AS84" i="169" s="1"/>
  <c r="AS86" i="169" s="1"/>
  <c r="AS87" i="169" s="1"/>
  <c r="D81" i="169"/>
  <c r="D83" i="169" s="1"/>
  <c r="D84" i="169" s="1"/>
  <c r="D76" i="169"/>
  <c r="CK77" i="169"/>
  <c r="CL78" i="169"/>
  <c r="CL54" i="169"/>
  <c r="T50" i="169"/>
  <c r="T75" i="169" s="1"/>
  <c r="T81" i="169" s="1"/>
  <c r="T83" i="169" s="1"/>
  <c r="T84" i="169" s="1"/>
  <c r="T86" i="169" s="1"/>
  <c r="AE43" i="169"/>
  <c r="J89" i="169"/>
  <c r="K8" i="169"/>
  <c r="AH75" i="169"/>
  <c r="AH39" i="169"/>
  <c r="CQ21" i="169"/>
  <c r="CR21" i="169" s="1"/>
  <c r="AT23" i="169"/>
  <c r="CQ14" i="169"/>
  <c r="CR14" i="169" s="1"/>
  <c r="CA81" i="169"/>
  <c r="CA83" i="169" s="1"/>
  <c r="CA84" i="169" s="1"/>
  <c r="CA86" i="169" s="1"/>
  <c r="CA87" i="169" s="1"/>
  <c r="CA76" i="169"/>
  <c r="AW81" i="169"/>
  <c r="AW83" i="169" s="1"/>
  <c r="AW84" i="169" s="1"/>
  <c r="AW86" i="169" s="1"/>
  <c r="AW87" i="169" s="1"/>
  <c r="AW76" i="169"/>
  <c r="H75" i="169"/>
  <c r="H39" i="169"/>
  <c r="O75" i="169"/>
  <c r="O39" i="169"/>
  <c r="CQ19" i="169"/>
  <c r="CR19" i="169" s="1"/>
  <c r="J38" i="169"/>
  <c r="AT70" i="170"/>
  <c r="AT69" i="170"/>
  <c r="AT68" i="170"/>
  <c r="AT67" i="170"/>
  <c r="AT49" i="170"/>
  <c r="AT59" i="170"/>
  <c r="AT60" i="170"/>
  <c r="AT51" i="170"/>
  <c r="AT46" i="170"/>
  <c r="AT45" i="170"/>
  <c r="AT44" i="170"/>
  <c r="AT43" i="170"/>
  <c r="AT61" i="170"/>
  <c r="AT55" i="170"/>
  <c r="AT53" i="170"/>
  <c r="AT58" i="170"/>
  <c r="AT62" i="170"/>
  <c r="AT42" i="170"/>
  <c r="AT57" i="170"/>
  <c r="AT56" i="170"/>
  <c r="AT32" i="170"/>
  <c r="AT31" i="170"/>
  <c r="AT30" i="170"/>
  <c r="AT29" i="170"/>
  <c r="AT33" i="170"/>
  <c r="AT24" i="170"/>
  <c r="AT22" i="170"/>
  <c r="AT21" i="170"/>
  <c r="AT20" i="170"/>
  <c r="AT19" i="170"/>
  <c r="AT18" i="170"/>
  <c r="AT17" i="170"/>
  <c r="AT16" i="170"/>
  <c r="AT15" i="170"/>
  <c r="AT14" i="170"/>
  <c r="AT13" i="170"/>
  <c r="AT12" i="170"/>
  <c r="AT11" i="170"/>
  <c r="AT10" i="170"/>
  <c r="AT9" i="170"/>
  <c r="AT63" i="170"/>
  <c r="AT25" i="170"/>
  <c r="AT28" i="170"/>
  <c r="AT26" i="170"/>
  <c r="AT65" i="170"/>
  <c r="AT71" i="170"/>
  <c r="AT47" i="170"/>
  <c r="AT52" i="170"/>
  <c r="AT48" i="170"/>
  <c r="AT64" i="170"/>
  <c r="AT23" i="170"/>
  <c r="AT36" i="170"/>
  <c r="AT66" i="170"/>
  <c r="AT27" i="170"/>
  <c r="AD75" i="170"/>
  <c r="AD39" i="170"/>
  <c r="F71" i="170"/>
  <c r="F70" i="170"/>
  <c r="F69" i="170"/>
  <c r="F68" i="170"/>
  <c r="F67" i="170"/>
  <c r="F62" i="170"/>
  <c r="F56" i="170"/>
  <c r="F63" i="170"/>
  <c r="F57" i="170"/>
  <c r="F46" i="170"/>
  <c r="F45" i="170"/>
  <c r="F44" i="170"/>
  <c r="F43" i="170"/>
  <c r="F58" i="170"/>
  <c r="F61" i="170"/>
  <c r="F55" i="170"/>
  <c r="F53" i="170"/>
  <c r="F60" i="170"/>
  <c r="F47" i="170"/>
  <c r="F42" i="170"/>
  <c r="F32" i="170"/>
  <c r="F31" i="170"/>
  <c r="F30" i="170"/>
  <c r="F36" i="170"/>
  <c r="F24" i="170"/>
  <c r="F22" i="170"/>
  <c r="F21" i="170"/>
  <c r="F20" i="170"/>
  <c r="F19" i="170"/>
  <c r="F18" i="170"/>
  <c r="F17" i="170"/>
  <c r="F16" i="170"/>
  <c r="F15" i="170"/>
  <c r="F14" i="170"/>
  <c r="F13" i="170"/>
  <c r="F12" i="170"/>
  <c r="F11" i="170"/>
  <c r="F10" i="170"/>
  <c r="F59" i="170"/>
  <c r="F25" i="170"/>
  <c r="F9" i="170"/>
  <c r="F26" i="170"/>
  <c r="F29" i="170"/>
  <c r="K53" i="170"/>
  <c r="F33" i="170"/>
  <c r="F23" i="170"/>
  <c r="P8" i="170"/>
  <c r="F52" i="170"/>
  <c r="F28" i="170"/>
  <c r="P41" i="170"/>
  <c r="F54" i="170"/>
  <c r="F64" i="170"/>
  <c r="F65" i="170"/>
  <c r="F41" i="170"/>
  <c r="F8" i="170"/>
  <c r="F51" i="170"/>
  <c r="F27" i="170"/>
  <c r="F48" i="170"/>
  <c r="K50" i="170"/>
  <c r="F66" i="170"/>
  <c r="BC75" i="170"/>
  <c r="BC39" i="170"/>
  <c r="J75" i="170"/>
  <c r="J39" i="170"/>
  <c r="P50" i="170"/>
  <c r="CQ29" i="170"/>
  <c r="CR29" i="170" s="1"/>
  <c r="CJ8" i="170"/>
  <c r="CQ20" i="170"/>
  <c r="CR20" i="170" s="1"/>
  <c r="BK75" i="170"/>
  <c r="BK39" i="170"/>
  <c r="T8" i="170"/>
  <c r="BF81" i="170"/>
  <c r="BF83" i="170" s="1"/>
  <c r="BF84" i="170" s="1"/>
  <c r="BF86" i="170" s="1"/>
  <c r="BF87" i="170" s="1"/>
  <c r="BF76" i="170"/>
  <c r="BS62" i="170"/>
  <c r="BS61" i="170"/>
  <c r="BS60" i="170"/>
  <c r="BS59" i="170"/>
  <c r="BS58" i="170"/>
  <c r="BS57" i="170"/>
  <c r="BS56" i="170"/>
  <c r="BS55" i="170"/>
  <c r="BS53" i="170"/>
  <c r="BS49" i="170"/>
  <c r="BS44" i="170"/>
  <c r="BS36" i="170"/>
  <c r="BS32" i="170"/>
  <c r="BS31" i="170"/>
  <c r="BS30" i="170"/>
  <c r="BS29" i="170"/>
  <c r="BS33" i="170"/>
  <c r="BS43" i="170"/>
  <c r="BS27" i="170"/>
  <c r="BS23" i="170"/>
  <c r="BS28" i="170"/>
  <c r="BS47" i="170"/>
  <c r="BZ81" i="170"/>
  <c r="BZ83" i="170" s="1"/>
  <c r="BZ84" i="170" s="1"/>
  <c r="BZ86" i="170" s="1"/>
  <c r="BZ87" i="170" s="1"/>
  <c r="BZ76" i="170"/>
  <c r="CQ14" i="170"/>
  <c r="CR14" i="170" s="1"/>
  <c r="BM75" i="170"/>
  <c r="BM39" i="170"/>
  <c r="BS51" i="170"/>
  <c r="BX68" i="170"/>
  <c r="BS64" i="170"/>
  <c r="BS52" i="170"/>
  <c r="CJ54" i="170"/>
  <c r="CL55" i="170"/>
  <c r="P54" i="170"/>
  <c r="N81" i="170"/>
  <c r="N83" i="170" s="1"/>
  <c r="N84" i="170" s="1"/>
  <c r="N86" i="170" s="1"/>
  <c r="N87" i="170" s="1"/>
  <c r="N76" i="170"/>
  <c r="CL41" i="170"/>
  <c r="BS25" i="170"/>
  <c r="AQ75" i="170"/>
  <c r="AQ39" i="170"/>
  <c r="BS45" i="170"/>
  <c r="AV81" i="170"/>
  <c r="AV83" i="170" s="1"/>
  <c r="AV84" i="170" s="1"/>
  <c r="AV86" i="170" s="1"/>
  <c r="AV87" i="170" s="1"/>
  <c r="AV76" i="170"/>
  <c r="O89" i="170"/>
  <c r="P79" i="170" s="1"/>
  <c r="CQ18" i="170"/>
  <c r="CR18" i="170" s="1"/>
  <c r="AM76" i="170"/>
  <c r="AM81" i="170"/>
  <c r="AM83" i="170" s="1"/>
  <c r="AM84" i="170" s="1"/>
  <c r="AM86" i="170" s="1"/>
  <c r="AM87" i="170" s="1"/>
  <c r="BQ81" i="170"/>
  <c r="BQ83" i="170" s="1"/>
  <c r="BQ84" i="170" s="1"/>
  <c r="BQ86" i="170" s="1"/>
  <c r="BQ87" i="170" s="1"/>
  <c r="BQ76" i="170"/>
  <c r="BS22" i="170"/>
  <c r="CQ17" i="170"/>
  <c r="CR17" i="170" s="1"/>
  <c r="AN89" i="170"/>
  <c r="BR38" i="170"/>
  <c r="BS20" i="170"/>
  <c r="CQ15" i="170"/>
  <c r="CR15" i="170" s="1"/>
  <c r="BB76" i="170"/>
  <c r="BB81" i="170"/>
  <c r="BB83" i="170" s="1"/>
  <c r="BB84" i="170" s="1"/>
  <c r="BB86" i="170" s="1"/>
  <c r="BB87" i="170" s="1"/>
  <c r="Y8" i="170"/>
  <c r="AH75" i="170"/>
  <c r="AH39" i="170"/>
  <c r="BI71" i="170"/>
  <c r="BI70" i="170"/>
  <c r="BI69" i="170"/>
  <c r="BI53" i="170"/>
  <c r="BI58" i="170"/>
  <c r="BI59" i="170"/>
  <c r="BI49" i="170"/>
  <c r="BI46" i="170"/>
  <c r="BI45" i="170"/>
  <c r="BI44" i="170"/>
  <c r="BI43" i="170"/>
  <c r="BI42" i="170"/>
  <c r="BI60" i="170"/>
  <c r="BI57" i="170"/>
  <c r="BI56" i="170"/>
  <c r="BI52" i="170"/>
  <c r="BI47" i="170"/>
  <c r="BI32" i="170"/>
  <c r="BI31" i="170"/>
  <c r="BI30" i="170"/>
  <c r="BI29" i="170"/>
  <c r="BI61" i="170"/>
  <c r="BI33" i="170"/>
  <c r="BI24" i="170"/>
  <c r="BI22" i="170"/>
  <c r="BI21" i="170"/>
  <c r="BI20" i="170"/>
  <c r="BI19" i="170"/>
  <c r="BI18" i="170"/>
  <c r="BI17" i="170"/>
  <c r="BI16" i="170"/>
  <c r="BI15" i="170"/>
  <c r="BI14" i="170"/>
  <c r="BI13" i="170"/>
  <c r="BI12" i="170"/>
  <c r="BI11" i="170"/>
  <c r="BI10" i="170"/>
  <c r="BI62" i="170"/>
  <c r="BI9" i="170"/>
  <c r="BI48" i="170"/>
  <c r="BI55" i="170"/>
  <c r="BI51" i="170"/>
  <c r="CL8" i="170"/>
  <c r="CQ9" i="170"/>
  <c r="CJ38" i="170"/>
  <c r="CK39" i="170"/>
  <c r="BS46" i="170"/>
  <c r="BC89" i="170"/>
  <c r="AC81" i="170"/>
  <c r="AC83" i="170" s="1"/>
  <c r="AC84" i="170" s="1"/>
  <c r="AC76" i="170"/>
  <c r="BS24" i="170"/>
  <c r="BS69" i="170"/>
  <c r="BI63" i="170"/>
  <c r="BS71" i="170"/>
  <c r="CL64" i="170"/>
  <c r="BS67" i="170"/>
  <c r="Y54" i="170"/>
  <c r="CL36" i="170"/>
  <c r="CJ35" i="170"/>
  <c r="CF75" i="170"/>
  <c r="CF39" i="170"/>
  <c r="CK41" i="170"/>
  <c r="CK75" i="170" s="1"/>
  <c r="CP75" i="170"/>
  <c r="CP39" i="170"/>
  <c r="AG75" i="170"/>
  <c r="AG39" i="170"/>
  <c r="CQ30" i="170"/>
  <c r="CR30" i="170" s="1"/>
  <c r="CQ31" i="170"/>
  <c r="CR31" i="170" s="1"/>
  <c r="O77" i="170"/>
  <c r="CQ28" i="170"/>
  <c r="CR28" i="170" s="1"/>
  <c r="BI23" i="170"/>
  <c r="BS17" i="170"/>
  <c r="CQ12" i="170"/>
  <c r="CR12" i="170" s="1"/>
  <c r="Y38" i="170"/>
  <c r="BI28" i="170"/>
  <c r="BS16" i="170"/>
  <c r="CQ11" i="170"/>
  <c r="CR11" i="170" s="1"/>
  <c r="BS63" i="170"/>
  <c r="CQ24" i="170"/>
  <c r="CR24" i="170" s="1"/>
  <c r="CT24" i="170" s="1"/>
  <c r="BS14" i="170"/>
  <c r="AR75" i="170"/>
  <c r="AR39" i="170"/>
  <c r="K41" i="170"/>
  <c r="AS75" i="170"/>
  <c r="AS39" i="170"/>
  <c r="BL75" i="170"/>
  <c r="BL39" i="170"/>
  <c r="BU75" i="170"/>
  <c r="BU39" i="170"/>
  <c r="CQ16" i="170"/>
  <c r="CR16" i="170" s="1"/>
  <c r="W77" i="170"/>
  <c r="K54" i="170"/>
  <c r="F50" i="170"/>
  <c r="BW75" i="170"/>
  <c r="BW39" i="170"/>
  <c r="BV75" i="170"/>
  <c r="BV39" i="170"/>
  <c r="D81" i="170"/>
  <c r="D83" i="170" s="1"/>
  <c r="D84" i="170" s="1"/>
  <c r="D76" i="170"/>
  <c r="CE75" i="170"/>
  <c r="CE39" i="170"/>
  <c r="W38" i="170"/>
  <c r="W75" i="170" s="1"/>
  <c r="W81" i="170" s="1"/>
  <c r="W83" i="170" s="1"/>
  <c r="AL81" i="170"/>
  <c r="AL83" i="170" s="1"/>
  <c r="AL84" i="170" s="1"/>
  <c r="AL86" i="170" s="1"/>
  <c r="AL87" i="170" s="1"/>
  <c r="AL76" i="170"/>
  <c r="CQ19" i="170"/>
  <c r="CR19" i="170" s="1"/>
  <c r="O75" i="170"/>
  <c r="BI25" i="170"/>
  <c r="BS11" i="170"/>
  <c r="BH38" i="170"/>
  <c r="H81" i="170"/>
  <c r="H83" i="170" s="1"/>
  <c r="H84" i="170" s="1"/>
  <c r="H86" i="170" s="1"/>
  <c r="H87" i="170" s="1"/>
  <c r="H76" i="170"/>
  <c r="BI27" i="170"/>
  <c r="CB89" i="170"/>
  <c r="BS10" i="170"/>
  <c r="BG76" i="170"/>
  <c r="BG81" i="170"/>
  <c r="BG83" i="170" s="1"/>
  <c r="BG84" i="170" s="1"/>
  <c r="BG86" i="170" s="1"/>
  <c r="BG87" i="170" s="1"/>
  <c r="R81" i="170"/>
  <c r="R83" i="170" s="1"/>
  <c r="R84" i="170" s="1"/>
  <c r="R86" i="170" s="1"/>
  <c r="BM89" i="170"/>
  <c r="CG89" i="170"/>
  <c r="J89" i="170"/>
  <c r="K79" i="170" s="1"/>
  <c r="K8" i="170"/>
  <c r="CQ22" i="170"/>
  <c r="CQ32" i="170"/>
  <c r="CR32" i="170" s="1"/>
  <c r="M75" i="170"/>
  <c r="M39" i="170"/>
  <c r="CQ13" i="170"/>
  <c r="CR13" i="170" s="1"/>
  <c r="AN75" i="170"/>
  <c r="AN39" i="170"/>
  <c r="E81" i="170"/>
  <c r="E83" i="170" s="1"/>
  <c r="E84" i="170" s="1"/>
  <c r="E86" i="170" s="1"/>
  <c r="E87" i="170" s="1"/>
  <c r="E76" i="170"/>
  <c r="BX71" i="170"/>
  <c r="BX69" i="170"/>
  <c r="BX63" i="170"/>
  <c r="BX49" i="170"/>
  <c r="BX57" i="170"/>
  <c r="BX58" i="170"/>
  <c r="BX47" i="170"/>
  <c r="BX46" i="170"/>
  <c r="BX45" i="170"/>
  <c r="BX44" i="170"/>
  <c r="BX43" i="170"/>
  <c r="BX42" i="170"/>
  <c r="BX59" i="170"/>
  <c r="BX62" i="170"/>
  <c r="BX56" i="170"/>
  <c r="BX53" i="170"/>
  <c r="BX61" i="170"/>
  <c r="BX32" i="170"/>
  <c r="BX31" i="170"/>
  <c r="BX30" i="170"/>
  <c r="BX29" i="170"/>
  <c r="BX60" i="170"/>
  <c r="BX55" i="170"/>
  <c r="BX48" i="170"/>
  <c r="BX33" i="170"/>
  <c r="BX28" i="170"/>
  <c r="BX25" i="170"/>
  <c r="BX24" i="170"/>
  <c r="BX22" i="170"/>
  <c r="BX21" i="170"/>
  <c r="BX20" i="170"/>
  <c r="BX19" i="170"/>
  <c r="BX18" i="170"/>
  <c r="BX17" i="170"/>
  <c r="BX16" i="170"/>
  <c r="BX15" i="170"/>
  <c r="BX14" i="170"/>
  <c r="BX13" i="170"/>
  <c r="BX12" i="170"/>
  <c r="BX11" i="170"/>
  <c r="BX10" i="170"/>
  <c r="BX9" i="170"/>
  <c r="BX52" i="170"/>
  <c r="BX26" i="170"/>
  <c r="AB81" i="170"/>
  <c r="AB83" i="170" s="1"/>
  <c r="AB84" i="170" s="1"/>
  <c r="AB76" i="170"/>
  <c r="AW81" i="170"/>
  <c r="AW83" i="170" s="1"/>
  <c r="AW84" i="170" s="1"/>
  <c r="AW86" i="170" s="1"/>
  <c r="AW87" i="170" s="1"/>
  <c r="AW76" i="170"/>
  <c r="AX89" i="170"/>
  <c r="AI89" i="170"/>
  <c r="BS19" i="170"/>
  <c r="BS66" i="170"/>
  <c r="BX70" i="170"/>
  <c r="BX66" i="170"/>
  <c r="BI64" i="170"/>
  <c r="BS68" i="170"/>
  <c r="BS26" i="170"/>
  <c r="CJ79" i="170"/>
  <c r="BI66" i="170"/>
  <c r="BS42" i="170"/>
  <c r="BA75" i="170"/>
  <c r="BA39" i="170"/>
  <c r="C81" i="170"/>
  <c r="C83" i="170" s="1"/>
  <c r="C84" i="170" s="1"/>
  <c r="C76" i="170"/>
  <c r="BP81" i="170"/>
  <c r="BP83" i="170" s="1"/>
  <c r="BP84" i="170" s="1"/>
  <c r="BP86" i="170" s="1"/>
  <c r="BP87" i="170" s="1"/>
  <c r="BP76" i="170"/>
  <c r="CG38" i="170"/>
  <c r="CL6" i="170"/>
  <c r="AD89" i="170"/>
  <c r="CB38" i="170"/>
  <c r="I76" i="170"/>
  <c r="I81" i="170"/>
  <c r="I83" i="170" s="1"/>
  <c r="I84" i="170" s="1"/>
  <c r="I86" i="170" s="1"/>
  <c r="I87" i="170" s="1"/>
  <c r="CQ21" i="170"/>
  <c r="CR21" i="170" s="1"/>
  <c r="BS13" i="170"/>
  <c r="AI38" i="170"/>
  <c r="BX23" i="170"/>
  <c r="CQ10" i="170"/>
  <c r="CR10" i="170" s="1"/>
  <c r="CA76" i="170"/>
  <c r="CA81" i="170"/>
  <c r="CA83" i="170" s="1"/>
  <c r="CA84" i="170" s="1"/>
  <c r="CA86" i="170" s="1"/>
  <c r="CA87" i="170" s="1"/>
  <c r="AX38" i="170"/>
  <c r="CB75" i="165"/>
  <c r="CB39" i="165"/>
  <c r="AD81" i="165"/>
  <c r="AD83" i="165" s="1"/>
  <c r="AD84" i="165" s="1"/>
  <c r="AD86" i="165" s="1"/>
  <c r="AD87" i="165" s="1"/>
  <c r="AD76" i="165"/>
  <c r="P85" i="165"/>
  <c r="P71" i="165"/>
  <c r="P74" i="165"/>
  <c r="P78" i="165"/>
  <c r="P66" i="165"/>
  <c r="P72" i="165"/>
  <c r="P53" i="165"/>
  <c r="P55" i="165"/>
  <c r="P51" i="165"/>
  <c r="P47" i="165"/>
  <c r="P45" i="165"/>
  <c r="P26" i="165"/>
  <c r="P52" i="165"/>
  <c r="P48" i="165"/>
  <c r="P46" i="165"/>
  <c r="P44" i="165"/>
  <c r="P42" i="165"/>
  <c r="P22" i="165"/>
  <c r="P19" i="165"/>
  <c r="P16" i="165"/>
  <c r="P36" i="165"/>
  <c r="P25" i="165"/>
  <c r="P21" i="165"/>
  <c r="P18" i="165"/>
  <c r="P15" i="165"/>
  <c r="P9" i="165"/>
  <c r="P11" i="165"/>
  <c r="P20" i="165"/>
  <c r="P17" i="165"/>
  <c r="P14" i="165"/>
  <c r="P13" i="165"/>
  <c r="P12" i="165"/>
  <c r="P10" i="165"/>
  <c r="P43" i="165"/>
  <c r="P60" i="165"/>
  <c r="P59" i="165"/>
  <c r="P27" i="165"/>
  <c r="P63" i="165"/>
  <c r="P70" i="165"/>
  <c r="P32" i="165"/>
  <c r="P31" i="165"/>
  <c r="P58" i="165"/>
  <c r="P30" i="165"/>
  <c r="P23" i="165"/>
  <c r="P64" i="165"/>
  <c r="P28" i="165"/>
  <c r="P29" i="165"/>
  <c r="P57" i="165"/>
  <c r="P62" i="165"/>
  <c r="P67" i="165"/>
  <c r="P65" i="165"/>
  <c r="P33" i="165"/>
  <c r="P24" i="165"/>
  <c r="P69" i="165"/>
  <c r="P68" i="165"/>
  <c r="P56" i="165"/>
  <c r="P61" i="165"/>
  <c r="P82" i="165"/>
  <c r="CP81" i="165"/>
  <c r="CP83" i="165" s="1"/>
  <c r="CP84" i="165" s="1"/>
  <c r="CP86" i="165" s="1"/>
  <c r="CP87" i="165" s="1"/>
  <c r="CP76" i="165"/>
  <c r="AI75" i="165"/>
  <c r="AI39" i="165"/>
  <c r="AN81" i="165"/>
  <c r="AN83" i="165" s="1"/>
  <c r="AN84" i="165" s="1"/>
  <c r="AN86" i="165" s="1"/>
  <c r="AN87" i="165" s="1"/>
  <c r="AN76" i="165"/>
  <c r="BS71" i="165"/>
  <c r="BS70" i="165"/>
  <c r="BS65" i="165"/>
  <c r="BS49" i="165"/>
  <c r="BS26" i="165"/>
  <c r="BS51" i="165"/>
  <c r="BS47" i="165"/>
  <c r="BS45" i="165"/>
  <c r="BS53" i="165"/>
  <c r="BS52" i="165"/>
  <c r="BS48" i="165"/>
  <c r="BS46" i="165"/>
  <c r="BS44" i="165"/>
  <c r="BS22" i="165"/>
  <c r="BS19" i="165"/>
  <c r="BS16" i="165"/>
  <c r="BS36" i="165"/>
  <c r="BS25" i="165"/>
  <c r="BS21" i="165"/>
  <c r="BS18" i="165"/>
  <c r="BS15" i="165"/>
  <c r="BS9" i="165"/>
  <c r="BS20" i="165"/>
  <c r="BS17" i="165"/>
  <c r="BS14" i="165"/>
  <c r="BS11" i="165"/>
  <c r="BS27" i="165"/>
  <c r="BS30" i="165"/>
  <c r="BS13" i="165"/>
  <c r="BS12" i="165"/>
  <c r="BS42" i="165"/>
  <c r="BS59" i="165"/>
  <c r="BS63" i="165"/>
  <c r="BS58" i="165"/>
  <c r="BS64" i="165"/>
  <c r="BS23" i="165"/>
  <c r="BS10" i="165"/>
  <c r="BS24" i="165"/>
  <c r="BS66" i="165"/>
  <c r="BS29" i="165"/>
  <c r="BS33" i="165"/>
  <c r="BS32" i="165"/>
  <c r="BS28" i="165"/>
  <c r="BS31" i="165"/>
  <c r="BS57" i="165"/>
  <c r="BS61" i="165"/>
  <c r="BS69" i="165"/>
  <c r="BS56" i="165"/>
  <c r="BS62" i="165"/>
  <c r="BS68" i="165"/>
  <c r="BS55" i="165"/>
  <c r="BS60" i="165"/>
  <c r="BS67" i="165"/>
  <c r="BS43" i="165"/>
  <c r="CL10" i="165"/>
  <c r="CJ8" i="165"/>
  <c r="C76" i="165"/>
  <c r="C81" i="165"/>
  <c r="C83" i="165" s="1"/>
  <c r="C84" i="165" s="1"/>
  <c r="AE70" i="165"/>
  <c r="AE68" i="165"/>
  <c r="AE69" i="165"/>
  <c r="AE71" i="165"/>
  <c r="AE53" i="165"/>
  <c r="AE65" i="165"/>
  <c r="AE63" i="165"/>
  <c r="AE61" i="165"/>
  <c r="AE59" i="165"/>
  <c r="AE57" i="165"/>
  <c r="AE52" i="165"/>
  <c r="AE51" i="165"/>
  <c r="AE48" i="165"/>
  <c r="AE47" i="165"/>
  <c r="AE46" i="165"/>
  <c r="AE45" i="165"/>
  <c r="AE44" i="165"/>
  <c r="AE43" i="165"/>
  <c r="AE42" i="165"/>
  <c r="AE66" i="165"/>
  <c r="AE49" i="165"/>
  <c r="AE60" i="165"/>
  <c r="AE55" i="165"/>
  <c r="AE24" i="165"/>
  <c r="AE23" i="165"/>
  <c r="AE62" i="165"/>
  <c r="AE56" i="165"/>
  <c r="AE36" i="165"/>
  <c r="AE30" i="165"/>
  <c r="AE29" i="165"/>
  <c r="AE28" i="165"/>
  <c r="AE11" i="165"/>
  <c r="AE58" i="165"/>
  <c r="AE31" i="165"/>
  <c r="AE27" i="165"/>
  <c r="AE64" i="165"/>
  <c r="AE32" i="165"/>
  <c r="AE33" i="165"/>
  <c r="BI69" i="165"/>
  <c r="BI71" i="165"/>
  <c r="BI68" i="165"/>
  <c r="BI67" i="165"/>
  <c r="BI70" i="165"/>
  <c r="BI55" i="165"/>
  <c r="BI53" i="165"/>
  <c r="BI66" i="165"/>
  <c r="BI64" i="165"/>
  <c r="BI62" i="165"/>
  <c r="BI60" i="165"/>
  <c r="BI58" i="165"/>
  <c r="BI56" i="165"/>
  <c r="BI52" i="165"/>
  <c r="BI51" i="165"/>
  <c r="BI48" i="165"/>
  <c r="BI47" i="165"/>
  <c r="BI46" i="165"/>
  <c r="BI45" i="165"/>
  <c r="BI44" i="165"/>
  <c r="BI43" i="165"/>
  <c r="BI42" i="165"/>
  <c r="BI49" i="165"/>
  <c r="BI65" i="165"/>
  <c r="BI63" i="165"/>
  <c r="BI61" i="165"/>
  <c r="BI59" i="165"/>
  <c r="BI57" i="165"/>
  <c r="BI24" i="165"/>
  <c r="BI23" i="165"/>
  <c r="BI36" i="165"/>
  <c r="BI28" i="165"/>
  <c r="BI33" i="165"/>
  <c r="BI27" i="165"/>
  <c r="BI32" i="165"/>
  <c r="BI11" i="165"/>
  <c r="BI29" i="165"/>
  <c r="BI31" i="165"/>
  <c r="BI9" i="165"/>
  <c r="BI30" i="165"/>
  <c r="AG81" i="165"/>
  <c r="AG83" i="165" s="1"/>
  <c r="AG84" i="165" s="1"/>
  <c r="AG86" i="165" s="1"/>
  <c r="AG87" i="165" s="1"/>
  <c r="AG76" i="165"/>
  <c r="BD30" i="165"/>
  <c r="BI13" i="165"/>
  <c r="AE17" i="165"/>
  <c r="BI10" i="165"/>
  <c r="BI16" i="165"/>
  <c r="F70" i="165"/>
  <c r="F71" i="165"/>
  <c r="F69" i="165"/>
  <c r="F64" i="165"/>
  <c r="F62" i="165"/>
  <c r="F60" i="165"/>
  <c r="F58" i="165"/>
  <c r="K53" i="165"/>
  <c r="F52" i="165"/>
  <c r="F51" i="165"/>
  <c r="F48" i="165"/>
  <c r="F47" i="165"/>
  <c r="F46" i="165"/>
  <c r="F45" i="165"/>
  <c r="F44" i="165"/>
  <c r="F43" i="165"/>
  <c r="F42" i="165"/>
  <c r="F65" i="165"/>
  <c r="F63" i="165"/>
  <c r="F61" i="165"/>
  <c r="F59" i="165"/>
  <c r="F57" i="165"/>
  <c r="F53" i="165"/>
  <c r="F68" i="165"/>
  <c r="F66" i="165"/>
  <c r="P54" i="165"/>
  <c r="F50" i="165"/>
  <c r="F41" i="165"/>
  <c r="F24" i="165"/>
  <c r="F23" i="165"/>
  <c r="K41" i="165"/>
  <c r="F36" i="165"/>
  <c r="F32" i="165"/>
  <c r="F31" i="165"/>
  <c r="F11" i="165"/>
  <c r="P41" i="165"/>
  <c r="F30" i="165"/>
  <c r="F33" i="165"/>
  <c r="F27" i="165"/>
  <c r="F28" i="165"/>
  <c r="F29" i="165"/>
  <c r="K8" i="165"/>
  <c r="AO71" i="165"/>
  <c r="AO70" i="165"/>
  <c r="AO69" i="165"/>
  <c r="AO66" i="165"/>
  <c r="AO65" i="165"/>
  <c r="AO56" i="165"/>
  <c r="AO49" i="165"/>
  <c r="AO52" i="165"/>
  <c r="AO48" i="165"/>
  <c r="AO46" i="165"/>
  <c r="AO44" i="165"/>
  <c r="AO26" i="165"/>
  <c r="AO53" i="165"/>
  <c r="AO51" i="165"/>
  <c r="AO47" i="165"/>
  <c r="AO45" i="165"/>
  <c r="AO43" i="165"/>
  <c r="AO36" i="165"/>
  <c r="AO25" i="165"/>
  <c r="AO21" i="165"/>
  <c r="AO18" i="165"/>
  <c r="AO15" i="165"/>
  <c r="AO20" i="165"/>
  <c r="AO17" i="165"/>
  <c r="AO14" i="165"/>
  <c r="AO13" i="165"/>
  <c r="AO12" i="165"/>
  <c r="AO9" i="165"/>
  <c r="AO22" i="165"/>
  <c r="AO19" i="165"/>
  <c r="AO16" i="165"/>
  <c r="AO11" i="165"/>
  <c r="BD68" i="165"/>
  <c r="BD61" i="165"/>
  <c r="AO59" i="165"/>
  <c r="BD56" i="165"/>
  <c r="T8" i="165"/>
  <c r="T89" i="165" s="1"/>
  <c r="T90" i="165" s="1"/>
  <c r="AE22" i="165"/>
  <c r="F17" i="165"/>
  <c r="BI14" i="165"/>
  <c r="CQ11" i="165"/>
  <c r="AO27" i="165"/>
  <c r="K15" i="165"/>
  <c r="P50" i="165"/>
  <c r="F18" i="165"/>
  <c r="BI15" i="165"/>
  <c r="K20" i="165"/>
  <c r="K13" i="165"/>
  <c r="K16" i="165"/>
  <c r="AE21" i="165"/>
  <c r="BD32" i="165"/>
  <c r="AX89" i="165"/>
  <c r="F19" i="165"/>
  <c r="K10" i="165"/>
  <c r="AE15" i="165"/>
  <c r="AS75" i="165"/>
  <c r="AS39" i="165"/>
  <c r="F10" i="165"/>
  <c r="BG76" i="165"/>
  <c r="BG81" i="165"/>
  <c r="BG83" i="165" s="1"/>
  <c r="BG84" i="165" s="1"/>
  <c r="BG86" i="165" s="1"/>
  <c r="BG87" i="165" s="1"/>
  <c r="AC81" i="165"/>
  <c r="AC83" i="165" s="1"/>
  <c r="AC84" i="165" s="1"/>
  <c r="AC76" i="165"/>
  <c r="CF81" i="165"/>
  <c r="CF83" i="165" s="1"/>
  <c r="CF84" i="165" s="1"/>
  <c r="CF86" i="165" s="1"/>
  <c r="CF87" i="165" s="1"/>
  <c r="CF76" i="165"/>
  <c r="BB81" i="165"/>
  <c r="BB83" i="165" s="1"/>
  <c r="BB84" i="165" s="1"/>
  <c r="BB86" i="165" s="1"/>
  <c r="BB87" i="165" s="1"/>
  <c r="BB76" i="165"/>
  <c r="F8" i="165"/>
  <c r="CE81" i="165"/>
  <c r="CE83" i="165" s="1"/>
  <c r="CE84" i="165" s="1"/>
  <c r="CE86" i="165" s="1"/>
  <c r="CE87" i="165" s="1"/>
  <c r="CE76" i="165"/>
  <c r="BA76" i="165"/>
  <c r="BA81" i="165"/>
  <c r="BA83" i="165" s="1"/>
  <c r="BA84" i="165" s="1"/>
  <c r="BA86" i="165" s="1"/>
  <c r="BA87" i="165" s="1"/>
  <c r="AE18" i="165"/>
  <c r="BW89" i="165"/>
  <c r="AL76" i="165"/>
  <c r="AL81" i="165"/>
  <c r="AL83" i="165" s="1"/>
  <c r="AL84" i="165" s="1"/>
  <c r="AL86" i="165" s="1"/>
  <c r="AL87" i="165" s="1"/>
  <c r="W77" i="165"/>
  <c r="Y79" i="165"/>
  <c r="Y77" i="165" s="1"/>
  <c r="D81" i="165"/>
  <c r="D83" i="165" s="1"/>
  <c r="D84" i="165" s="1"/>
  <c r="D76" i="165"/>
  <c r="BD71" i="165"/>
  <c r="BD70" i="165"/>
  <c r="BD66" i="165"/>
  <c r="BD65" i="165"/>
  <c r="BD53" i="165"/>
  <c r="BD26" i="165"/>
  <c r="BD52" i="165"/>
  <c r="BD48" i="165"/>
  <c r="BD46" i="165"/>
  <c r="BD44" i="165"/>
  <c r="BD42" i="165"/>
  <c r="BD49" i="165"/>
  <c r="BD20" i="165"/>
  <c r="BD17" i="165"/>
  <c r="BD14" i="165"/>
  <c r="BD45" i="165"/>
  <c r="BD47" i="165"/>
  <c r="BD43" i="165"/>
  <c r="BD22" i="165"/>
  <c r="BD19" i="165"/>
  <c r="BD16" i="165"/>
  <c r="BD9" i="165"/>
  <c r="BD25" i="165"/>
  <c r="BD36" i="165"/>
  <c r="BD21" i="165"/>
  <c r="BD18" i="165"/>
  <c r="BD51" i="165"/>
  <c r="BD11" i="165"/>
  <c r="BD15" i="165"/>
  <c r="CL66" i="165"/>
  <c r="CJ54" i="165"/>
  <c r="AE16" i="165"/>
  <c r="BD27" i="165"/>
  <c r="E81" i="165"/>
  <c r="E83" i="165" s="1"/>
  <c r="E84" i="165" s="1"/>
  <c r="E86" i="165" s="1"/>
  <c r="E87" i="165" s="1"/>
  <c r="E76" i="165"/>
  <c r="O81" i="165"/>
  <c r="O83" i="165" s="1"/>
  <c r="O84" i="165" s="1"/>
  <c r="O86" i="165" s="1"/>
  <c r="O87" i="165" s="1"/>
  <c r="O76" i="165"/>
  <c r="BI26" i="165"/>
  <c r="CA81" i="165"/>
  <c r="CA83" i="165" s="1"/>
  <c r="CA84" i="165" s="1"/>
  <c r="CA86" i="165" s="1"/>
  <c r="CA87" i="165" s="1"/>
  <c r="CA76" i="165"/>
  <c r="AW81" i="165"/>
  <c r="AW83" i="165" s="1"/>
  <c r="AW84" i="165" s="1"/>
  <c r="AW86" i="165" s="1"/>
  <c r="AW87" i="165" s="1"/>
  <c r="AW76" i="165"/>
  <c r="I81" i="165"/>
  <c r="I83" i="165" s="1"/>
  <c r="I84" i="165" s="1"/>
  <c r="I86" i="165" s="1"/>
  <c r="I87" i="165" s="1"/>
  <c r="I76" i="165"/>
  <c r="CQ9" i="165"/>
  <c r="CL8" i="165"/>
  <c r="BV81" i="165"/>
  <c r="BV83" i="165" s="1"/>
  <c r="BV84" i="165" s="1"/>
  <c r="BV86" i="165" s="1"/>
  <c r="BV87" i="165" s="1"/>
  <c r="BV76" i="165"/>
  <c r="AH81" i="165"/>
  <c r="AH83" i="165" s="1"/>
  <c r="AH84" i="165" s="1"/>
  <c r="AH86" i="165" s="1"/>
  <c r="AH87" i="165" s="1"/>
  <c r="AH76" i="165"/>
  <c r="AX81" i="165"/>
  <c r="AX83" i="165" s="1"/>
  <c r="AX84" i="165" s="1"/>
  <c r="AX86" i="165" s="1"/>
  <c r="AX76" i="165"/>
  <c r="CK81" i="165"/>
  <c r="CK83" i="165" s="1"/>
  <c r="CK76" i="165"/>
  <c r="BD63" i="165"/>
  <c r="AO64" i="165"/>
  <c r="AO58" i="165"/>
  <c r="AO61" i="165"/>
  <c r="F54" i="165"/>
  <c r="F13" i="165"/>
  <c r="Y8" i="165"/>
  <c r="Y38" i="165" s="1"/>
  <c r="AO33" i="165"/>
  <c r="Y41" i="165"/>
  <c r="CT22" i="165"/>
  <c r="CR22" i="165"/>
  <c r="AE14" i="165"/>
  <c r="K71" i="165"/>
  <c r="K70" i="165"/>
  <c r="K69" i="165"/>
  <c r="K72" i="165"/>
  <c r="K68" i="165"/>
  <c r="K66" i="165"/>
  <c r="K65" i="165"/>
  <c r="K64" i="165"/>
  <c r="K63" i="165"/>
  <c r="K62" i="165"/>
  <c r="K61" i="165"/>
  <c r="K60" i="165"/>
  <c r="K59" i="165"/>
  <c r="K58" i="165"/>
  <c r="K57" i="165"/>
  <c r="K56" i="165"/>
  <c r="K74" i="165"/>
  <c r="K67" i="165"/>
  <c r="K52" i="165"/>
  <c r="K51" i="165"/>
  <c r="K48" i="165"/>
  <c r="K47" i="165"/>
  <c r="K46" i="165"/>
  <c r="K45" i="165"/>
  <c r="K44" i="165"/>
  <c r="K43" i="165"/>
  <c r="K42" i="165"/>
  <c r="K24" i="165"/>
  <c r="K23" i="165"/>
  <c r="K26" i="165"/>
  <c r="K33" i="165"/>
  <c r="K32" i="165"/>
  <c r="K31" i="165"/>
  <c r="K30" i="165"/>
  <c r="K29" i="165"/>
  <c r="K28" i="165"/>
  <c r="K27" i="165"/>
  <c r="K11" i="165"/>
  <c r="BU76" i="165"/>
  <c r="BU81" i="165"/>
  <c r="BU83" i="165" s="1"/>
  <c r="BU84" i="165" s="1"/>
  <c r="BU86" i="165" s="1"/>
  <c r="BU87" i="165" s="1"/>
  <c r="AQ76" i="165"/>
  <c r="AQ81" i="165"/>
  <c r="AQ83" i="165" s="1"/>
  <c r="AQ84" i="165" s="1"/>
  <c r="AQ86" i="165" s="1"/>
  <c r="AQ87" i="165" s="1"/>
  <c r="H81" i="165"/>
  <c r="H83" i="165" s="1"/>
  <c r="H84" i="165" s="1"/>
  <c r="H86" i="165" s="1"/>
  <c r="H87" i="165" s="1"/>
  <c r="H76" i="165"/>
  <c r="AO23" i="165"/>
  <c r="AI89" i="165"/>
  <c r="BZ76" i="165"/>
  <c r="BZ81" i="165"/>
  <c r="BZ83" i="165" s="1"/>
  <c r="BZ84" i="165" s="1"/>
  <c r="BZ86" i="165" s="1"/>
  <c r="BZ87" i="165" s="1"/>
  <c r="CG75" i="165"/>
  <c r="CG39" i="165"/>
  <c r="F56" i="165"/>
  <c r="AE26" i="165"/>
  <c r="BD13" i="165"/>
  <c r="CJ38" i="165"/>
  <c r="J81" i="165"/>
  <c r="J83" i="165" s="1"/>
  <c r="J84" i="165" s="1"/>
  <c r="J86" i="165" s="1"/>
  <c r="J87" i="165" s="1"/>
  <c r="J76" i="165"/>
  <c r="BR75" i="165"/>
  <c r="BD59" i="165"/>
  <c r="AO55" i="165"/>
  <c r="CL42" i="165"/>
  <c r="BD60" i="165"/>
  <c r="BD62" i="165"/>
  <c r="BD23" i="165"/>
  <c r="BI20" i="165"/>
  <c r="BI12" i="165"/>
  <c r="AO24" i="165"/>
  <c r="P79" i="165"/>
  <c r="O77" i="165"/>
  <c r="BI25" i="165"/>
  <c r="BI21" i="165"/>
  <c r="K14" i="165"/>
  <c r="BD33" i="165"/>
  <c r="K19" i="165"/>
  <c r="BD10" i="165"/>
  <c r="W81" i="165"/>
  <c r="W83" i="165" s="1"/>
  <c r="AE67" i="165"/>
  <c r="BW81" i="165"/>
  <c r="BW83" i="165" s="1"/>
  <c r="BW84" i="165" s="1"/>
  <c r="BW86" i="165" s="1"/>
  <c r="BW87" i="165" s="1"/>
  <c r="BW76" i="165"/>
  <c r="CB89" i="165"/>
  <c r="P8" i="165"/>
  <c r="BI22" i="165"/>
  <c r="BQ81" i="165"/>
  <c r="BQ83" i="165" s="1"/>
  <c r="BQ84" i="165" s="1"/>
  <c r="BQ86" i="165" s="1"/>
  <c r="BQ87" i="165" s="1"/>
  <c r="BQ76" i="165"/>
  <c r="AM76" i="165"/>
  <c r="AM81" i="165"/>
  <c r="AM83" i="165" s="1"/>
  <c r="AM84" i="165" s="1"/>
  <c r="AM86" i="165" s="1"/>
  <c r="AM87" i="165" s="1"/>
  <c r="BP81" i="165"/>
  <c r="BP83" i="165" s="1"/>
  <c r="BP84" i="165" s="1"/>
  <c r="BP86" i="165" s="1"/>
  <c r="BP87" i="165" s="1"/>
  <c r="BP76" i="165"/>
  <c r="CJ79" i="165"/>
  <c r="BL81" i="165"/>
  <c r="BL83" i="165" s="1"/>
  <c r="BL84" i="165" s="1"/>
  <c r="BL86" i="165" s="1"/>
  <c r="BL87" i="165" s="1"/>
  <c r="BL76" i="165"/>
  <c r="CQ6" i="165"/>
  <c r="CL5" i="165"/>
  <c r="CL38" i="165" s="1"/>
  <c r="BH81" i="165"/>
  <c r="BH83" i="165" s="1"/>
  <c r="BH84" i="165" s="1"/>
  <c r="BH86" i="165" s="1"/>
  <c r="BH87" i="165" s="1"/>
  <c r="BH76" i="165"/>
  <c r="AB81" i="165"/>
  <c r="AB83" i="165" s="1"/>
  <c r="AB84" i="165" s="1"/>
  <c r="AB76" i="165"/>
  <c r="BD69" i="165"/>
  <c r="Y54" i="165"/>
  <c r="AO62" i="165"/>
  <c r="BD55" i="165"/>
  <c r="F67" i="165"/>
  <c r="BD64" i="165"/>
  <c r="K50" i="165"/>
  <c r="CL50" i="165"/>
  <c r="F20" i="165"/>
  <c r="BI17" i="165"/>
  <c r="F12" i="165"/>
  <c r="F25" i="165"/>
  <c r="F21" i="165"/>
  <c r="BI18" i="165"/>
  <c r="AE13" i="165"/>
  <c r="CQ30" i="165"/>
  <c r="CR30" i="165" s="1"/>
  <c r="AE10" i="165"/>
  <c r="BK81" i="165"/>
  <c r="BK83" i="165" s="1"/>
  <c r="BK84" i="165" s="1"/>
  <c r="BK86" i="165" s="1"/>
  <c r="BK87" i="165" s="1"/>
  <c r="BK76" i="165"/>
  <c r="M75" i="165"/>
  <c r="M39" i="165"/>
  <c r="F26" i="165"/>
  <c r="BF76" i="165"/>
  <c r="BF81" i="165"/>
  <c r="BF83" i="165" s="1"/>
  <c r="BF84" i="165" s="1"/>
  <c r="BF86" i="165" s="1"/>
  <c r="BF87" i="165" s="1"/>
  <c r="BC75" i="165"/>
  <c r="BC39" i="165"/>
  <c r="F22" i="165"/>
  <c r="K79" i="165"/>
  <c r="BI19" i="165"/>
  <c r="AV81" i="165"/>
  <c r="AV83" i="165" s="1"/>
  <c r="AV84" i="165" s="1"/>
  <c r="AV86" i="165" s="1"/>
  <c r="AV87" i="165" s="1"/>
  <c r="AV76" i="165"/>
  <c r="BM81" i="165"/>
  <c r="BM83" i="165" s="1"/>
  <c r="BM84" i="165" s="1"/>
  <c r="BM86" i="165" s="1"/>
  <c r="BM87" i="165" s="1"/>
  <c r="BM76" i="165"/>
  <c r="AO30" i="165"/>
  <c r="CG89" i="165"/>
  <c r="BD12" i="165"/>
  <c r="N81" i="165"/>
  <c r="N83" i="165" s="1"/>
  <c r="N84" i="165" s="1"/>
  <c r="N86" i="165" s="1"/>
  <c r="N87" i="165" s="1"/>
  <c r="N76" i="165"/>
  <c r="F9" i="165"/>
  <c r="AE9" i="165"/>
  <c r="AR81" i="165"/>
  <c r="AR83" i="165" s="1"/>
  <c r="AR84" i="165" s="1"/>
  <c r="AR86" i="165" s="1"/>
  <c r="AR87" i="165" s="1"/>
  <c r="AR76" i="165"/>
  <c r="AS89" i="165"/>
  <c r="CB101" i="157"/>
  <c r="BR104" i="157"/>
  <c r="BC110" i="157"/>
  <c r="CB103" i="157"/>
  <c r="BH104" i="157"/>
  <c r="CG101" i="157"/>
  <c r="CG103" i="157"/>
  <c r="CG110" i="157"/>
  <c r="BM110" i="157"/>
  <c r="BW104" i="157"/>
  <c r="CB104" i="157"/>
  <c r="BW101" i="157"/>
  <c r="BH103" i="157"/>
  <c r="CG104" i="157"/>
  <c r="BC103" i="157"/>
  <c r="AS110" i="157"/>
  <c r="BR103" i="157"/>
  <c r="AX101" i="157"/>
  <c r="BM103" i="157"/>
  <c r="AS104" i="157"/>
  <c r="AS101" i="157"/>
  <c r="AI8" i="157" l="1"/>
  <c r="CJ31" i="157"/>
  <c r="CL31" i="157" s="1"/>
  <c r="Y31" i="157"/>
  <c r="CJ25" i="157"/>
  <c r="Y25" i="157"/>
  <c r="W8" i="157"/>
  <c r="Y75" i="165"/>
  <c r="Y81" i="165" s="1"/>
  <c r="Y83" i="165" s="1"/>
  <c r="Y84" i="165" s="1"/>
  <c r="Y86" i="165" s="1"/>
  <c r="T89" i="169"/>
  <c r="CK9" i="157"/>
  <c r="X8" i="157"/>
  <c r="X38" i="157" s="1"/>
  <c r="X75" i="157" s="1"/>
  <c r="X81" i="157" s="1"/>
  <c r="X83" i="157" s="1"/>
  <c r="Y9" i="157"/>
  <c r="Y8" i="157" s="1"/>
  <c r="AN8" i="157"/>
  <c r="W5" i="157"/>
  <c r="Y6" i="157"/>
  <c r="Y5" i="157" s="1"/>
  <c r="CJ6" i="157"/>
  <c r="Y75" i="170"/>
  <c r="Y81" i="170" s="1"/>
  <c r="Y83" i="170" s="1"/>
  <c r="Y84" i="170" s="1"/>
  <c r="Y86" i="170" s="1"/>
  <c r="AC75" i="157"/>
  <c r="AC39" i="157"/>
  <c r="Z58" i="80"/>
  <c r="Z55" i="80"/>
  <c r="Z67" i="80"/>
  <c r="AL38" i="157"/>
  <c r="AX87" i="165"/>
  <c r="AH75" i="157"/>
  <c r="AH39" i="157"/>
  <c r="AD8" i="157"/>
  <c r="CL77" i="169"/>
  <c r="DF89" i="80"/>
  <c r="AE20" i="165"/>
  <c r="AE12" i="165"/>
  <c r="AE25" i="165"/>
  <c r="AE19" i="165"/>
  <c r="AJ54" i="80"/>
  <c r="BI36" i="170"/>
  <c r="BI65" i="170"/>
  <c r="BI68" i="170"/>
  <c r="BI26" i="170"/>
  <c r="BI67" i="170"/>
  <c r="AO28" i="165"/>
  <c r="AO29" i="165"/>
  <c r="AO67" i="165"/>
  <c r="AO31" i="165"/>
  <c r="AO10" i="165"/>
  <c r="AO60" i="165"/>
  <c r="AO32" i="165"/>
  <c r="AO57" i="165"/>
  <c r="AO42" i="165"/>
  <c r="AO63" i="165"/>
  <c r="AO68" i="165"/>
  <c r="CK76" i="80"/>
  <c r="CK81" i="80"/>
  <c r="CK83" i="80" s="1"/>
  <c r="CK84" i="80" s="1"/>
  <c r="CK86" i="80" s="1"/>
  <c r="CK87" i="80" s="1"/>
  <c r="AT26" i="169"/>
  <c r="AT21" i="169"/>
  <c r="AT42" i="169"/>
  <c r="AT55" i="169"/>
  <c r="AT60" i="169"/>
  <c r="AT67" i="169"/>
  <c r="AT66" i="169"/>
  <c r="AT71" i="169"/>
  <c r="AT68" i="169"/>
  <c r="AT14" i="169"/>
  <c r="AT24" i="169"/>
  <c r="AT56" i="169"/>
  <c r="AT59" i="169"/>
  <c r="AT70" i="169"/>
  <c r="AT69" i="169"/>
  <c r="AT16" i="169"/>
  <c r="AT32" i="169"/>
  <c r="AT43" i="169"/>
  <c r="AT57" i="169"/>
  <c r="AT64" i="169"/>
  <c r="AT44" i="169"/>
  <c r="AT62" i="169"/>
  <c r="AT61" i="169"/>
  <c r="AT58" i="169"/>
  <c r="AT63" i="169"/>
  <c r="AT65" i="169"/>
  <c r="BS9" i="170"/>
  <c r="BS12" i="170"/>
  <c r="BS70" i="170"/>
  <c r="BS21" i="170"/>
  <c r="BS48" i="170"/>
  <c r="BS65" i="170"/>
  <c r="BS15" i="170"/>
  <c r="BS18" i="170"/>
  <c r="P41" i="80"/>
  <c r="AE12" i="169"/>
  <c r="AE62" i="169"/>
  <c r="AE58" i="169"/>
  <c r="AE42" i="169"/>
  <c r="AE55" i="169"/>
  <c r="AE63" i="169"/>
  <c r="AE61" i="169"/>
  <c r="AE59" i="169"/>
  <c r="AE22" i="169"/>
  <c r="AE64" i="169"/>
  <c r="AE56" i="169"/>
  <c r="AE67" i="169"/>
  <c r="AE60" i="169"/>
  <c r="AE69" i="169"/>
  <c r="AE71" i="169"/>
  <c r="AE24" i="169"/>
  <c r="AE36" i="169"/>
  <c r="AE70" i="169"/>
  <c r="AE57" i="169"/>
  <c r="AE65" i="169"/>
  <c r="AE68" i="169"/>
  <c r="AE66" i="169"/>
  <c r="K54" i="165"/>
  <c r="F15" i="165"/>
  <c r="F55" i="165"/>
  <c r="F14" i="165"/>
  <c r="F16" i="165"/>
  <c r="DJ81" i="80"/>
  <c r="DJ83" i="80" s="1"/>
  <c r="DJ84" i="80" s="1"/>
  <c r="DJ86" i="80" s="1"/>
  <c r="DJ87" i="80" s="1"/>
  <c r="DJ76" i="80"/>
  <c r="BM79" i="80"/>
  <c r="BM77" i="80" s="1"/>
  <c r="BK77" i="80"/>
  <c r="AN81" i="80"/>
  <c r="AN83" i="80" s="1"/>
  <c r="AN84" i="80" s="1"/>
  <c r="AN86" i="80" s="1"/>
  <c r="AN87" i="80" s="1"/>
  <c r="AN76" i="80"/>
  <c r="AR81" i="80"/>
  <c r="AR83" i="80" s="1"/>
  <c r="AR84" i="80" s="1"/>
  <c r="AR76" i="80"/>
  <c r="DU75" i="80"/>
  <c r="DU39" i="80"/>
  <c r="AX89" i="80"/>
  <c r="AX38" i="80"/>
  <c r="DY75" i="80"/>
  <c r="DY39" i="80"/>
  <c r="EF36" i="80"/>
  <c r="EF35" i="80" s="1"/>
  <c r="EE35" i="80"/>
  <c r="BW75" i="80"/>
  <c r="BW39" i="80"/>
  <c r="EE6" i="80"/>
  <c r="DZ5" i="80"/>
  <c r="BQ86" i="80"/>
  <c r="BQ87" i="80" s="1"/>
  <c r="BK81" i="80"/>
  <c r="BK83" i="80" s="1"/>
  <c r="BM89" i="80"/>
  <c r="EE28" i="80"/>
  <c r="EF28" i="80" s="1"/>
  <c r="EH28" i="80" s="1"/>
  <c r="AI81" i="80"/>
  <c r="AI83" i="80" s="1"/>
  <c r="AI84" i="80" s="1"/>
  <c r="AI86" i="80" s="1"/>
  <c r="AI87" i="80" s="1"/>
  <c r="AI76" i="80"/>
  <c r="BZ81" i="80"/>
  <c r="BZ83" i="80" s="1"/>
  <c r="BZ84" i="80" s="1"/>
  <c r="BZ86" i="80" s="1"/>
  <c r="BZ87" i="80" s="1"/>
  <c r="BZ76" i="80"/>
  <c r="AO54" i="80"/>
  <c r="AQ86" i="80"/>
  <c r="AQ87" i="80" s="1"/>
  <c r="BH89" i="80"/>
  <c r="BH38" i="80"/>
  <c r="BH75" i="80" s="1"/>
  <c r="BH81" i="80" s="1"/>
  <c r="BH83" i="80" s="1"/>
  <c r="BH84" i="80" s="1"/>
  <c r="BH86" i="80" s="1"/>
  <c r="AD75" i="80"/>
  <c r="AD39" i="80"/>
  <c r="R81" i="80"/>
  <c r="R83" i="80" s="1"/>
  <c r="R84" i="80" s="1"/>
  <c r="R86" i="80" s="1"/>
  <c r="R87" i="80" s="1"/>
  <c r="R76" i="80"/>
  <c r="DT81" i="80"/>
  <c r="DT83" i="80" s="1"/>
  <c r="DT84" i="80" s="1"/>
  <c r="DT86" i="80" s="1"/>
  <c r="DT87" i="80" s="1"/>
  <c r="DT76" i="80"/>
  <c r="T75" i="80"/>
  <c r="T39" i="80"/>
  <c r="AJ64" i="80"/>
  <c r="AJ70" i="80"/>
  <c r="AJ61" i="80"/>
  <c r="AJ58" i="80"/>
  <c r="AJ55" i="80"/>
  <c r="AJ59" i="80"/>
  <c r="AJ62" i="80"/>
  <c r="AJ29" i="80"/>
  <c r="AJ22" i="80"/>
  <c r="AJ16" i="80"/>
  <c r="AJ23" i="80"/>
  <c r="AJ10" i="80"/>
  <c r="AJ9" i="80"/>
  <c r="AJ13" i="80"/>
  <c r="AJ56" i="80"/>
  <c r="AJ30" i="80"/>
  <c r="AJ17" i="80"/>
  <c r="AJ12" i="80"/>
  <c r="AJ11" i="80"/>
  <c r="AJ14" i="80"/>
  <c r="AJ51" i="80"/>
  <c r="AJ20" i="80"/>
  <c r="AJ24" i="80"/>
  <c r="AJ50" i="80"/>
  <c r="AJ21" i="80"/>
  <c r="AJ28" i="80"/>
  <c r="AJ60" i="80"/>
  <c r="AJ67" i="80"/>
  <c r="AJ66" i="80"/>
  <c r="AJ71" i="80"/>
  <c r="AJ19" i="80"/>
  <c r="AJ69" i="80"/>
  <c r="AJ65" i="80"/>
  <c r="AJ32" i="80"/>
  <c r="AJ25" i="80"/>
  <c r="AJ26" i="80"/>
  <c r="AJ33" i="80"/>
  <c r="AI93" i="80"/>
  <c r="AJ63" i="80"/>
  <c r="AJ27" i="80"/>
  <c r="AJ15" i="80"/>
  <c r="AJ31" i="80"/>
  <c r="AJ68" i="80"/>
  <c r="AJ57" i="80"/>
  <c r="AJ18" i="80"/>
  <c r="CL81" i="80"/>
  <c r="CL83" i="80" s="1"/>
  <c r="CL84" i="80" s="1"/>
  <c r="CL86" i="80" s="1"/>
  <c r="CL76" i="80"/>
  <c r="CG75" i="80"/>
  <c r="CG39" i="80"/>
  <c r="CB89" i="80"/>
  <c r="CB38" i="80"/>
  <c r="DX79" i="80"/>
  <c r="BP86" i="80"/>
  <c r="BP87" i="80" s="1"/>
  <c r="BM75" i="80"/>
  <c r="BM81" i="80" s="1"/>
  <c r="BM83" i="80" s="1"/>
  <c r="BM84" i="80" s="1"/>
  <c r="BM86" i="80" s="1"/>
  <c r="AS89" i="80"/>
  <c r="AT8" i="80" s="1"/>
  <c r="AS38" i="80"/>
  <c r="DZ41" i="80"/>
  <c r="Y81" i="80"/>
  <c r="Y83" i="80" s="1"/>
  <c r="Y84" i="80" s="1"/>
  <c r="Y86" i="80" s="1"/>
  <c r="Y87" i="80" s="1"/>
  <c r="Y76" i="80"/>
  <c r="EE25" i="80"/>
  <c r="EF25" i="80" s="1"/>
  <c r="EH25" i="80" s="1"/>
  <c r="CO76" i="80"/>
  <c r="CO81" i="80"/>
  <c r="CO83" i="80" s="1"/>
  <c r="CO84" i="80" s="1"/>
  <c r="CO86" i="80" s="1"/>
  <c r="CO87" i="80" s="1"/>
  <c r="DZ50" i="80"/>
  <c r="DP75" i="80"/>
  <c r="DP39" i="80"/>
  <c r="CV81" i="80"/>
  <c r="CV83" i="80" s="1"/>
  <c r="CV84" i="80" s="1"/>
  <c r="CV86" i="80" s="1"/>
  <c r="CV87" i="80" s="1"/>
  <c r="CV76" i="80"/>
  <c r="DS76" i="80"/>
  <c r="DS81" i="80"/>
  <c r="DS83" i="80" s="1"/>
  <c r="DS84" i="80" s="1"/>
  <c r="DS86" i="80" s="1"/>
  <c r="DS87" i="80" s="1"/>
  <c r="EE9" i="80"/>
  <c r="DZ8" i="80"/>
  <c r="AG76" i="80"/>
  <c r="AG81" i="80"/>
  <c r="AG83" i="80" s="1"/>
  <c r="AG84" i="80" s="1"/>
  <c r="AG86" i="80" s="1"/>
  <c r="AG87" i="80" s="1"/>
  <c r="BC75" i="80"/>
  <c r="BC39" i="80"/>
  <c r="DF81" i="80"/>
  <c r="DF83" i="80" s="1"/>
  <c r="DF84" i="80" s="1"/>
  <c r="DF86" i="80" s="1"/>
  <c r="DF87" i="80" s="1"/>
  <c r="DF76" i="80"/>
  <c r="CQ81" i="80"/>
  <c r="CQ83" i="80" s="1"/>
  <c r="CQ84" i="80" s="1"/>
  <c r="CQ86" i="80" s="1"/>
  <c r="CQ87" i="80" s="1"/>
  <c r="CQ76" i="80"/>
  <c r="DA75" i="80"/>
  <c r="DA39" i="80"/>
  <c r="BR81" i="80"/>
  <c r="BR83" i="80" s="1"/>
  <c r="BR84" i="80" s="1"/>
  <c r="BR86" i="80" s="1"/>
  <c r="BR87" i="80" s="1"/>
  <c r="BR76" i="80"/>
  <c r="AE71" i="80"/>
  <c r="AE64" i="80"/>
  <c r="AO63" i="80"/>
  <c r="AE62" i="80"/>
  <c r="AO60" i="80"/>
  <c r="AE59" i="80"/>
  <c r="AO57" i="80"/>
  <c r="AE56" i="80"/>
  <c r="AO64" i="80"/>
  <c r="AE57" i="80"/>
  <c r="AE51" i="80"/>
  <c r="AO61" i="80"/>
  <c r="AO67" i="80"/>
  <c r="AO65" i="80"/>
  <c r="AE60" i="80"/>
  <c r="AE30" i="80"/>
  <c r="AE17" i="80"/>
  <c r="AE63" i="80"/>
  <c r="AO23" i="80"/>
  <c r="AE22" i="80"/>
  <c r="AO22" i="80"/>
  <c r="AE24" i="80"/>
  <c r="AO21" i="80"/>
  <c r="AE12" i="80"/>
  <c r="AE11" i="80"/>
  <c r="AO55" i="80"/>
  <c r="AE54" i="80"/>
  <c r="AE23" i="80"/>
  <c r="AO58" i="80"/>
  <c r="AO28" i="80"/>
  <c r="AO25" i="80"/>
  <c r="AO13" i="80"/>
  <c r="AO26" i="80"/>
  <c r="AO19" i="80"/>
  <c r="AO16" i="80"/>
  <c r="AE15" i="80"/>
  <c r="AO29" i="80"/>
  <c r="AE27" i="80"/>
  <c r="AO9" i="80"/>
  <c r="AE21" i="80"/>
  <c r="AO10" i="80"/>
  <c r="AO11" i="80"/>
  <c r="AO8" i="80"/>
  <c r="AE36" i="80"/>
  <c r="AE16" i="80"/>
  <c r="AJ36" i="80"/>
  <c r="AE55" i="80"/>
  <c r="AE61" i="80"/>
  <c r="AO68" i="80"/>
  <c r="AE65" i="80"/>
  <c r="AE31" i="80"/>
  <c r="AO24" i="80"/>
  <c r="AE33" i="80"/>
  <c r="AO59" i="80"/>
  <c r="AE14" i="80"/>
  <c r="AO56" i="80"/>
  <c r="AE58" i="80"/>
  <c r="AO70" i="80"/>
  <c r="AE9" i="80"/>
  <c r="AO30" i="80"/>
  <c r="AO33" i="80"/>
  <c r="AO17" i="80"/>
  <c r="AO20" i="80"/>
  <c r="AO14" i="80"/>
  <c r="AE10" i="80"/>
  <c r="AE18" i="80"/>
  <c r="AO32" i="80"/>
  <c r="AE28" i="80"/>
  <c r="AE26" i="80"/>
  <c r="AO69" i="80"/>
  <c r="AO66" i="80"/>
  <c r="AE70" i="80"/>
  <c r="AE25" i="80"/>
  <c r="AO31" i="80"/>
  <c r="AJ41" i="80"/>
  <c r="AE32" i="80"/>
  <c r="AO36" i="80"/>
  <c r="AO18" i="80"/>
  <c r="AE20" i="80"/>
  <c r="AO51" i="80"/>
  <c r="AE69" i="80"/>
  <c r="AO12" i="80"/>
  <c r="AE13" i="80"/>
  <c r="AO62" i="80"/>
  <c r="AO71" i="80"/>
  <c r="AE67" i="80"/>
  <c r="AE68" i="80"/>
  <c r="AE66" i="80"/>
  <c r="AE29" i="80"/>
  <c r="AO15" i="80"/>
  <c r="AO27" i="80"/>
  <c r="AE19" i="80"/>
  <c r="U72" i="80"/>
  <c r="P71" i="80"/>
  <c r="P72" i="80"/>
  <c r="U64" i="80"/>
  <c r="DL49" i="80"/>
  <c r="CH49" i="80"/>
  <c r="AT49" i="80"/>
  <c r="P49" i="80"/>
  <c r="U65" i="80"/>
  <c r="P62" i="80"/>
  <c r="U61" i="80"/>
  <c r="P59" i="80"/>
  <c r="U58" i="80"/>
  <c r="P56" i="80"/>
  <c r="U55" i="80"/>
  <c r="DQ49" i="80"/>
  <c r="CM49" i="80"/>
  <c r="AY49" i="80"/>
  <c r="U49" i="80"/>
  <c r="U70" i="80"/>
  <c r="P64" i="80"/>
  <c r="CW49" i="80"/>
  <c r="AO49" i="80"/>
  <c r="BX49" i="80"/>
  <c r="Z47" i="80"/>
  <c r="AE46" i="80"/>
  <c r="AO52" i="80"/>
  <c r="DV49" i="80"/>
  <c r="BS49" i="80"/>
  <c r="U45" i="80"/>
  <c r="AE43" i="80"/>
  <c r="U71" i="80"/>
  <c r="P63" i="80"/>
  <c r="DB49" i="80"/>
  <c r="AJ49" i="80"/>
  <c r="P47" i="80"/>
  <c r="AJ42" i="80"/>
  <c r="BD49" i="80"/>
  <c r="AJ48" i="80"/>
  <c r="P30" i="80"/>
  <c r="P17" i="80"/>
  <c r="P52" i="80"/>
  <c r="AE49" i="80"/>
  <c r="P46" i="80"/>
  <c r="CC49" i="80"/>
  <c r="U48" i="80"/>
  <c r="P44" i="80"/>
  <c r="U42" i="80"/>
  <c r="Z49" i="80"/>
  <c r="AO47" i="80"/>
  <c r="P12" i="80"/>
  <c r="P11" i="80"/>
  <c r="P27" i="80"/>
  <c r="P15" i="80"/>
  <c r="P51" i="80"/>
  <c r="Z48" i="80"/>
  <c r="AO45" i="80"/>
  <c r="CR49" i="80"/>
  <c r="AJ45" i="80"/>
  <c r="AO44" i="80"/>
  <c r="Z42" i="80"/>
  <c r="Z36" i="80"/>
  <c r="P24" i="80"/>
  <c r="Z52" i="80"/>
  <c r="U41" i="80"/>
  <c r="P43" i="80"/>
  <c r="DG49" i="80"/>
  <c r="AJ43" i="80"/>
  <c r="Z44" i="80"/>
  <c r="P33" i="80"/>
  <c r="P13" i="80"/>
  <c r="P29" i="80"/>
  <c r="AE42" i="80"/>
  <c r="U43" i="80"/>
  <c r="P28" i="80"/>
  <c r="U62" i="80"/>
  <c r="U51" i="80"/>
  <c r="AE47" i="80"/>
  <c r="AO46" i="80"/>
  <c r="U57" i="80"/>
  <c r="U69" i="80"/>
  <c r="P31" i="80"/>
  <c r="P20" i="80"/>
  <c r="Z46" i="80"/>
  <c r="Z43" i="80"/>
  <c r="AJ52" i="80"/>
  <c r="AE48" i="80"/>
  <c r="Z51" i="80"/>
  <c r="P69" i="80"/>
  <c r="P21" i="80"/>
  <c r="P9" i="80"/>
  <c r="P14" i="80"/>
  <c r="P19" i="80"/>
  <c r="U47" i="80"/>
  <c r="P60" i="80"/>
  <c r="U59" i="80"/>
  <c r="Z45" i="80"/>
  <c r="AJ47" i="80"/>
  <c r="P42" i="80"/>
  <c r="AE44" i="80"/>
  <c r="P67" i="80"/>
  <c r="U44" i="80"/>
  <c r="P66" i="80"/>
  <c r="P70" i="80"/>
  <c r="P16" i="80"/>
  <c r="P10" i="80"/>
  <c r="P26" i="80"/>
  <c r="AE52" i="80"/>
  <c r="P54" i="80"/>
  <c r="AO48" i="80"/>
  <c r="AO42" i="80"/>
  <c r="AE45" i="80"/>
  <c r="P45" i="80"/>
  <c r="U63" i="80"/>
  <c r="P65" i="80"/>
  <c r="P18" i="80"/>
  <c r="P55" i="80"/>
  <c r="P48" i="80"/>
  <c r="AJ44" i="80"/>
  <c r="P68" i="80"/>
  <c r="U36" i="80"/>
  <c r="P36" i="80"/>
  <c r="U46" i="80"/>
  <c r="U60" i="80"/>
  <c r="P57" i="80"/>
  <c r="U68" i="80"/>
  <c r="U66" i="80"/>
  <c r="P25" i="80"/>
  <c r="AO43" i="80"/>
  <c r="P61" i="80"/>
  <c r="AJ46" i="80"/>
  <c r="P32" i="80"/>
  <c r="U52" i="80"/>
  <c r="U56" i="80"/>
  <c r="P58" i="80"/>
  <c r="O81" i="80"/>
  <c r="O83" i="80" s="1"/>
  <c r="O84" i="80" s="1"/>
  <c r="O86" i="80" s="1"/>
  <c r="O87" i="80" s="1"/>
  <c r="O76" i="80"/>
  <c r="DP89" i="80"/>
  <c r="DX8" i="80"/>
  <c r="DX38" i="80" s="1"/>
  <c r="U31" i="80"/>
  <c r="U29" i="80"/>
  <c r="U16" i="80"/>
  <c r="U30" i="80"/>
  <c r="U17" i="80"/>
  <c r="Z29" i="80"/>
  <c r="U22" i="80"/>
  <c r="Z30" i="80"/>
  <c r="Z25" i="80"/>
  <c r="Z21" i="80"/>
  <c r="Z31" i="80"/>
  <c r="Z28" i="80"/>
  <c r="U14" i="80"/>
  <c r="U11" i="80"/>
  <c r="U32" i="80"/>
  <c r="U12" i="80"/>
  <c r="U9" i="80"/>
  <c r="Z26" i="80"/>
  <c r="Z24" i="80"/>
  <c r="Z33" i="80"/>
  <c r="U21" i="80"/>
  <c r="U67" i="80"/>
  <c r="Z18" i="80"/>
  <c r="U26" i="80"/>
  <c r="Z27" i="80"/>
  <c r="U25" i="80"/>
  <c r="U19" i="80"/>
  <c r="U28" i="80"/>
  <c r="Z20" i="80"/>
  <c r="U24" i="80"/>
  <c r="U27" i="80"/>
  <c r="U33" i="80"/>
  <c r="Z19" i="80"/>
  <c r="U10" i="80"/>
  <c r="U20" i="80"/>
  <c r="U18" i="80"/>
  <c r="U15" i="80"/>
  <c r="U13" i="80"/>
  <c r="AE41" i="80"/>
  <c r="CP81" i="80"/>
  <c r="CP83" i="80" s="1"/>
  <c r="CP84" i="80" s="1"/>
  <c r="CP86" i="80" s="1"/>
  <c r="CP87" i="80" s="1"/>
  <c r="CP76" i="80"/>
  <c r="BB81" i="80"/>
  <c r="BB83" i="80" s="1"/>
  <c r="BB84" i="80" s="1"/>
  <c r="BB86" i="80" s="1"/>
  <c r="BB87" i="80" s="1"/>
  <c r="BB76" i="80"/>
  <c r="K82" i="169"/>
  <c r="K72" i="169"/>
  <c r="K62" i="169"/>
  <c r="K52" i="169"/>
  <c r="K51" i="169"/>
  <c r="K48" i="169"/>
  <c r="K45" i="169"/>
  <c r="K46" i="169"/>
  <c r="K60" i="169"/>
  <c r="K47" i="169"/>
  <c r="K44" i="169"/>
  <c r="K43" i="169"/>
  <c r="K42" i="169"/>
  <c r="K26" i="169"/>
  <c r="K20" i="169"/>
  <c r="K17" i="169"/>
  <c r="K14" i="169"/>
  <c r="K11" i="169"/>
  <c r="K22" i="169"/>
  <c r="K19" i="169"/>
  <c r="K16" i="169"/>
  <c r="K13" i="169"/>
  <c r="K10" i="169"/>
  <c r="K24" i="169"/>
  <c r="K21" i="169"/>
  <c r="K18" i="169"/>
  <c r="K15" i="169"/>
  <c r="K12" i="169"/>
  <c r="K30" i="169"/>
  <c r="K36" i="169"/>
  <c r="K55" i="169"/>
  <c r="K57" i="169"/>
  <c r="K66" i="169"/>
  <c r="K70" i="169"/>
  <c r="K23" i="169"/>
  <c r="K29" i="169"/>
  <c r="K56" i="169"/>
  <c r="K31" i="169"/>
  <c r="K9" i="169"/>
  <c r="K25" i="169"/>
  <c r="K27" i="169"/>
  <c r="K59" i="169"/>
  <c r="K64" i="169"/>
  <c r="K67" i="169"/>
  <c r="K61" i="169"/>
  <c r="K69" i="169"/>
  <c r="K28" i="169"/>
  <c r="K58" i="169"/>
  <c r="K65" i="169"/>
  <c r="K33" i="169"/>
  <c r="K63" i="169"/>
  <c r="K68" i="169"/>
  <c r="K32" i="169"/>
  <c r="K85" i="169"/>
  <c r="K71" i="169"/>
  <c r="K78" i="169"/>
  <c r="K74" i="169"/>
  <c r="CG75" i="169"/>
  <c r="CG39" i="169"/>
  <c r="CQ6" i="169"/>
  <c r="CL5" i="169"/>
  <c r="CL38" i="169" s="1"/>
  <c r="BM81" i="169"/>
  <c r="BM83" i="169" s="1"/>
  <c r="BM84" i="169" s="1"/>
  <c r="BM86" i="169" s="1"/>
  <c r="BM87" i="169" s="1"/>
  <c r="BM76" i="169"/>
  <c r="CF81" i="169"/>
  <c r="CF83" i="169" s="1"/>
  <c r="CF84" i="169" s="1"/>
  <c r="CF86" i="169" s="1"/>
  <c r="CF87" i="169" s="1"/>
  <c r="CF76" i="169"/>
  <c r="BS64" i="169"/>
  <c r="BS60" i="169"/>
  <c r="BS61" i="169"/>
  <c r="BS53" i="169"/>
  <c r="BS62" i="169"/>
  <c r="BS49" i="169"/>
  <c r="BS58" i="169"/>
  <c r="BS57" i="169"/>
  <c r="BS44" i="169"/>
  <c r="BS43" i="169"/>
  <c r="BS59" i="169"/>
  <c r="BS36" i="169"/>
  <c r="BS63" i="169"/>
  <c r="BS16" i="169"/>
  <c r="BS17" i="169"/>
  <c r="BS12" i="169"/>
  <c r="BS29" i="169"/>
  <c r="BS46" i="169"/>
  <c r="BS48" i="169"/>
  <c r="BS65" i="169"/>
  <c r="BS13" i="169"/>
  <c r="BS14" i="169"/>
  <c r="BS27" i="169"/>
  <c r="BS24" i="169"/>
  <c r="BS9" i="169"/>
  <c r="BS66" i="169"/>
  <c r="BS10" i="169"/>
  <c r="BS31" i="169"/>
  <c r="BS11" i="169"/>
  <c r="BS32" i="169"/>
  <c r="BS56" i="169"/>
  <c r="BS69" i="169"/>
  <c r="BS71" i="169"/>
  <c r="BS30" i="169"/>
  <c r="BS25" i="169"/>
  <c r="BS21" i="169"/>
  <c r="BS55" i="169"/>
  <c r="BS47" i="169"/>
  <c r="BS52" i="169"/>
  <c r="BS22" i="169"/>
  <c r="BS28" i="169"/>
  <c r="BS18" i="169"/>
  <c r="BS51" i="169"/>
  <c r="BS23" i="169"/>
  <c r="BS33" i="169"/>
  <c r="BS70" i="169"/>
  <c r="BS68" i="169"/>
  <c r="BS26" i="169"/>
  <c r="BS20" i="169"/>
  <c r="BS15" i="169"/>
  <c r="BS45" i="169"/>
  <c r="BS19" i="169"/>
  <c r="BS67" i="169"/>
  <c r="BS42" i="169"/>
  <c r="AR81" i="169"/>
  <c r="AR83" i="169" s="1"/>
  <c r="AR84" i="169" s="1"/>
  <c r="AR86" i="169" s="1"/>
  <c r="AR87" i="169" s="1"/>
  <c r="AR76" i="169"/>
  <c r="AX75" i="169"/>
  <c r="AX39" i="169"/>
  <c r="AO62" i="169"/>
  <c r="AO63" i="169"/>
  <c r="AO53" i="169"/>
  <c r="AO64" i="169"/>
  <c r="AO59" i="169"/>
  <c r="AO58" i="169"/>
  <c r="AO57" i="169"/>
  <c r="AO60" i="169"/>
  <c r="AO49" i="169"/>
  <c r="AO44" i="169"/>
  <c r="AO61" i="169"/>
  <c r="AO36" i="169"/>
  <c r="AO42" i="169"/>
  <c r="AO43" i="169"/>
  <c r="AO9" i="169"/>
  <c r="AO20" i="169"/>
  <c r="AO27" i="169"/>
  <c r="AO21" i="169"/>
  <c r="AO24" i="169"/>
  <c r="AO16" i="169"/>
  <c r="AO51" i="169"/>
  <c r="AO66" i="169"/>
  <c r="AO17" i="169"/>
  <c r="AO25" i="169"/>
  <c r="AO18" i="169"/>
  <c r="AO13" i="169"/>
  <c r="AO46" i="169"/>
  <c r="AO56" i="169"/>
  <c r="AO69" i="169"/>
  <c r="AO71" i="169"/>
  <c r="AO14" i="169"/>
  <c r="AO23" i="169"/>
  <c r="AO28" i="169"/>
  <c r="AO15" i="169"/>
  <c r="AO30" i="169"/>
  <c r="AO10" i="169"/>
  <c r="AO55" i="169"/>
  <c r="AO65" i="169"/>
  <c r="AO11" i="169"/>
  <c r="AO12" i="169"/>
  <c r="AO52" i="169"/>
  <c r="AO32" i="169"/>
  <c r="AO26" i="169"/>
  <c r="AO22" i="169"/>
  <c r="AO31" i="169"/>
  <c r="AO48" i="169"/>
  <c r="AO45" i="169"/>
  <c r="AO70" i="169"/>
  <c r="AO68" i="169"/>
  <c r="AO67" i="169"/>
  <c r="AO33" i="169"/>
  <c r="AO29" i="169"/>
  <c r="AO19" i="169"/>
  <c r="AO47" i="169"/>
  <c r="C86" i="169"/>
  <c r="C87" i="169" s="1"/>
  <c r="AY60" i="169"/>
  <c r="AY65" i="169"/>
  <c r="AY49" i="169"/>
  <c r="AY52" i="169"/>
  <c r="AY51" i="169"/>
  <c r="AY48" i="169"/>
  <c r="AY47" i="169"/>
  <c r="AY53" i="169"/>
  <c r="AY46" i="169"/>
  <c r="AY44" i="169"/>
  <c r="AY43" i="169"/>
  <c r="AY42" i="169"/>
  <c r="AY45" i="169"/>
  <c r="AY26" i="169"/>
  <c r="AY20" i="169"/>
  <c r="AY17" i="169"/>
  <c r="AY14" i="169"/>
  <c r="AY11" i="169"/>
  <c r="AY22" i="169"/>
  <c r="AY19" i="169"/>
  <c r="AY16" i="169"/>
  <c r="AY13" i="169"/>
  <c r="AY10" i="169"/>
  <c r="AY21" i="169"/>
  <c r="AY18" i="169"/>
  <c r="AY15" i="169"/>
  <c r="AY12" i="169"/>
  <c r="AY33" i="169"/>
  <c r="AY9" i="169"/>
  <c r="AY36" i="169"/>
  <c r="AY63" i="169"/>
  <c r="AY62" i="169"/>
  <c r="AY71" i="169"/>
  <c r="AY30" i="169"/>
  <c r="AY57" i="169"/>
  <c r="AY68" i="169"/>
  <c r="AY64" i="169"/>
  <c r="AY29" i="169"/>
  <c r="AY23" i="169"/>
  <c r="AY25" i="169"/>
  <c r="AY31" i="169"/>
  <c r="AY27" i="169"/>
  <c r="AY59" i="169"/>
  <c r="AY66" i="169"/>
  <c r="AY67" i="169"/>
  <c r="AY70" i="169"/>
  <c r="AY24" i="169"/>
  <c r="AY32" i="169"/>
  <c r="AY61" i="169"/>
  <c r="AY69" i="169"/>
  <c r="AY28" i="169"/>
  <c r="AY55" i="169"/>
  <c r="AY56" i="169"/>
  <c r="AY58" i="169"/>
  <c r="BV81" i="169"/>
  <c r="BV83" i="169" s="1"/>
  <c r="BV84" i="169" s="1"/>
  <c r="BV86" i="169" s="1"/>
  <c r="BV87" i="169" s="1"/>
  <c r="BV76" i="169"/>
  <c r="Y89" i="169"/>
  <c r="T90" i="169"/>
  <c r="O81" i="169"/>
  <c r="O83" i="169" s="1"/>
  <c r="O84" i="169" s="1"/>
  <c r="O86" i="169" s="1"/>
  <c r="O87" i="169" s="1"/>
  <c r="O76" i="169"/>
  <c r="AC86" i="169"/>
  <c r="AC87" i="169" s="1"/>
  <c r="BB81" i="169"/>
  <c r="BB83" i="169" s="1"/>
  <c r="BB84" i="169" s="1"/>
  <c r="BB86" i="169" s="1"/>
  <c r="BB87" i="169" s="1"/>
  <c r="BB76" i="169"/>
  <c r="CR9" i="169"/>
  <c r="CQ8" i="169"/>
  <c r="CJ75" i="169"/>
  <c r="CJ39" i="169"/>
  <c r="CC49" i="169"/>
  <c r="CC60" i="169"/>
  <c r="CC52" i="169"/>
  <c r="CC51" i="169"/>
  <c r="CC48" i="169"/>
  <c r="CC47" i="169"/>
  <c r="CC46" i="169"/>
  <c r="CC53" i="169"/>
  <c r="CC45" i="169"/>
  <c r="CC44" i="169"/>
  <c r="CC43" i="169"/>
  <c r="CC42" i="169"/>
  <c r="CC26" i="169"/>
  <c r="CC22" i="169"/>
  <c r="CC19" i="169"/>
  <c r="CC16" i="169"/>
  <c r="CC13" i="169"/>
  <c r="CC10" i="169"/>
  <c r="CC21" i="169"/>
  <c r="CC18" i="169"/>
  <c r="CC15" i="169"/>
  <c r="CC12" i="169"/>
  <c r="CC23" i="169"/>
  <c r="CC20" i="169"/>
  <c r="CC17" i="169"/>
  <c r="CC14" i="169"/>
  <c r="CC11" i="169"/>
  <c r="CC32" i="169"/>
  <c r="CC56" i="169"/>
  <c r="CC55" i="169"/>
  <c r="CC9" i="169"/>
  <c r="CC25" i="169"/>
  <c r="CC33" i="169"/>
  <c r="CC58" i="169"/>
  <c r="CC66" i="169"/>
  <c r="CC63" i="169"/>
  <c r="CC71" i="169"/>
  <c r="CC30" i="169"/>
  <c r="CC59" i="169"/>
  <c r="CC68" i="169"/>
  <c r="CC28" i="169"/>
  <c r="CC57" i="169"/>
  <c r="CC27" i="169"/>
  <c r="CC36" i="169"/>
  <c r="CC64" i="169"/>
  <c r="CC65" i="169"/>
  <c r="CC67" i="169"/>
  <c r="CC70" i="169"/>
  <c r="CC69" i="169"/>
  <c r="CC24" i="169"/>
  <c r="CC31" i="169"/>
  <c r="CC61" i="169"/>
  <c r="CC29" i="169"/>
  <c r="CC62" i="169"/>
  <c r="CT22" i="169"/>
  <c r="CR22" i="169"/>
  <c r="E81" i="169"/>
  <c r="E83" i="169" s="1"/>
  <c r="E84" i="169" s="1"/>
  <c r="E86" i="169" s="1"/>
  <c r="E87" i="169" s="1"/>
  <c r="E76" i="169"/>
  <c r="CR79" i="169"/>
  <c r="CQ77" i="169"/>
  <c r="D86" i="169"/>
  <c r="D87" i="169" s="1"/>
  <c r="CL89" i="169"/>
  <c r="F53" i="169"/>
  <c r="F52" i="169"/>
  <c r="F48" i="169"/>
  <c r="F47" i="169"/>
  <c r="F46" i="169"/>
  <c r="K53" i="169"/>
  <c r="F51" i="169"/>
  <c r="F21" i="169"/>
  <c r="F20" i="169"/>
  <c r="F19" i="169"/>
  <c r="F18" i="169"/>
  <c r="F16" i="169"/>
  <c r="F15" i="169"/>
  <c r="F14" i="169"/>
  <c r="F13" i="169"/>
  <c r="F12" i="169"/>
  <c r="F11" i="169"/>
  <c r="F10" i="169"/>
  <c r="F9" i="169"/>
  <c r="F45" i="169"/>
  <c r="F29" i="169"/>
  <c r="F28" i="169"/>
  <c r="F27" i="169"/>
  <c r="F32" i="169"/>
  <c r="F33" i="169"/>
  <c r="F31" i="169"/>
  <c r="F30" i="169"/>
  <c r="F42" i="169"/>
  <c r="F36" i="169"/>
  <c r="F63" i="169"/>
  <c r="F68" i="169"/>
  <c r="F23" i="169"/>
  <c r="F50" i="169"/>
  <c r="P54" i="169"/>
  <c r="P41" i="169"/>
  <c r="F43" i="169"/>
  <c r="P50" i="169"/>
  <c r="F64" i="169"/>
  <c r="F71" i="169"/>
  <c r="F58" i="169"/>
  <c r="F67" i="169"/>
  <c r="F25" i="169"/>
  <c r="F55" i="169"/>
  <c r="F57" i="169"/>
  <c r="F60" i="169"/>
  <c r="F59" i="169"/>
  <c r="F22" i="169"/>
  <c r="F17" i="169"/>
  <c r="F24" i="169"/>
  <c r="K41" i="169"/>
  <c r="F44" i="169"/>
  <c r="K50" i="169"/>
  <c r="F56" i="169"/>
  <c r="F54" i="169"/>
  <c r="F62" i="169"/>
  <c r="F61" i="169"/>
  <c r="P8" i="169"/>
  <c r="F69" i="169"/>
  <c r="F26" i="169"/>
  <c r="F70" i="169"/>
  <c r="F66" i="169"/>
  <c r="F65" i="169"/>
  <c r="K54" i="169"/>
  <c r="J75" i="169"/>
  <c r="J39" i="169"/>
  <c r="H81" i="169"/>
  <c r="H83" i="169" s="1"/>
  <c r="H84" i="169" s="1"/>
  <c r="H86" i="169" s="1"/>
  <c r="H87" i="169" s="1"/>
  <c r="H76" i="169"/>
  <c r="AH81" i="169"/>
  <c r="AH83" i="169" s="1"/>
  <c r="AH84" i="169" s="1"/>
  <c r="AH86" i="169" s="1"/>
  <c r="AH87" i="169" s="1"/>
  <c r="AH76" i="169"/>
  <c r="AB86" i="169"/>
  <c r="AB87" i="169" s="1"/>
  <c r="W84" i="169"/>
  <c r="W86" i="169" s="1"/>
  <c r="BL81" i="169"/>
  <c r="BL83" i="169" s="1"/>
  <c r="BL84" i="169" s="1"/>
  <c r="BL86" i="169" s="1"/>
  <c r="BL87" i="169" s="1"/>
  <c r="BL76" i="169"/>
  <c r="BX53" i="169"/>
  <c r="BX49" i="169"/>
  <c r="BX51" i="169"/>
  <c r="BX47" i="169"/>
  <c r="BX46" i="169"/>
  <c r="BX52" i="169"/>
  <c r="BX48" i="169"/>
  <c r="BX33" i="169"/>
  <c r="BX20" i="169"/>
  <c r="BX19" i="169"/>
  <c r="BX18" i="169"/>
  <c r="BX15" i="169"/>
  <c r="BX13" i="169"/>
  <c r="BX12" i="169"/>
  <c r="BX11" i="169"/>
  <c r="BX10" i="169"/>
  <c r="BX32" i="169"/>
  <c r="BX9" i="169"/>
  <c r="BX27" i="169"/>
  <c r="BX31" i="169"/>
  <c r="BX30" i="169"/>
  <c r="BX29" i="169"/>
  <c r="BX28" i="169"/>
  <c r="BX25" i="169"/>
  <c r="BX22" i="169"/>
  <c r="BX24" i="169"/>
  <c r="BX55" i="169"/>
  <c r="BX57" i="169"/>
  <c r="BX60" i="169"/>
  <c r="BX64" i="169"/>
  <c r="BX58" i="169"/>
  <c r="BX70" i="169"/>
  <c r="BX71" i="169"/>
  <c r="BX69" i="169"/>
  <c r="BX68" i="169"/>
  <c r="BX42" i="169"/>
  <c r="BX59" i="169"/>
  <c r="BX63" i="169"/>
  <c r="BX21" i="169"/>
  <c r="BX16" i="169"/>
  <c r="BX17" i="169"/>
  <c r="BX23" i="169"/>
  <c r="BX36" i="169"/>
  <c r="BX43" i="169"/>
  <c r="BX26" i="169"/>
  <c r="BX14" i="169"/>
  <c r="BX44" i="169"/>
  <c r="BX61" i="169"/>
  <c r="BX56" i="169"/>
  <c r="BX62" i="169"/>
  <c r="BX67" i="169"/>
  <c r="BX65" i="169"/>
  <c r="BX66" i="169"/>
  <c r="BX45" i="169"/>
  <c r="BH75" i="169"/>
  <c r="BH39" i="169"/>
  <c r="F41" i="169"/>
  <c r="AD75" i="169"/>
  <c r="AD39" i="169"/>
  <c r="Y75" i="169"/>
  <c r="Y81" i="169" s="1"/>
  <c r="Y83" i="169" s="1"/>
  <c r="Y84" i="169" s="1"/>
  <c r="Y86" i="169" s="1"/>
  <c r="CK75" i="169"/>
  <c r="CK39" i="169"/>
  <c r="BC81" i="169"/>
  <c r="BC83" i="169" s="1"/>
  <c r="BC84" i="169" s="1"/>
  <c r="BC86" i="169" s="1"/>
  <c r="BC87" i="169" s="1"/>
  <c r="BC76" i="169"/>
  <c r="CH62" i="169"/>
  <c r="CH63" i="169"/>
  <c r="CH60" i="169"/>
  <c r="CH49" i="169"/>
  <c r="CH64" i="169"/>
  <c r="CH61" i="169"/>
  <c r="CH53" i="169"/>
  <c r="CH44" i="169"/>
  <c r="CH43" i="169"/>
  <c r="CH36" i="169"/>
  <c r="CH42" i="169"/>
  <c r="CH24" i="169"/>
  <c r="CH9" i="169"/>
  <c r="CH29" i="169"/>
  <c r="CH19" i="169"/>
  <c r="CH46" i="169"/>
  <c r="CH20" i="169"/>
  <c r="CH27" i="169"/>
  <c r="CH21" i="169"/>
  <c r="CH26" i="169"/>
  <c r="CH16" i="169"/>
  <c r="CH59" i="169"/>
  <c r="CH47" i="169"/>
  <c r="CH51" i="169"/>
  <c r="CH68" i="169"/>
  <c r="CH66" i="169"/>
  <c r="CH71" i="169"/>
  <c r="CH17" i="169"/>
  <c r="CH25" i="169"/>
  <c r="CH18" i="169"/>
  <c r="CH32" i="169"/>
  <c r="CH13" i="169"/>
  <c r="CH55" i="169"/>
  <c r="CH14" i="169"/>
  <c r="CH23" i="169"/>
  <c r="CH28" i="169"/>
  <c r="CH15" i="169"/>
  <c r="CH30" i="169"/>
  <c r="CH10" i="169"/>
  <c r="CH56" i="169"/>
  <c r="CH65" i="169"/>
  <c r="CH11" i="169"/>
  <c r="CH12" i="169"/>
  <c r="CH52" i="169"/>
  <c r="CH57" i="169"/>
  <c r="CH45" i="169"/>
  <c r="CH67" i="169"/>
  <c r="CH33" i="169"/>
  <c r="CH69" i="169"/>
  <c r="CH70" i="169"/>
  <c r="CH22" i="169"/>
  <c r="CH31" i="169"/>
  <c r="CH58" i="169"/>
  <c r="CH48" i="169"/>
  <c r="CB81" i="169"/>
  <c r="CB83" i="169" s="1"/>
  <c r="CB84" i="169" s="1"/>
  <c r="CB86" i="169" s="1"/>
  <c r="CB87" i="169" s="1"/>
  <c r="CB76" i="169"/>
  <c r="K79" i="169"/>
  <c r="BR75" i="169"/>
  <c r="BR39" i="169"/>
  <c r="BI49" i="169"/>
  <c r="BI53" i="169"/>
  <c r="BI47" i="169"/>
  <c r="BI48" i="169"/>
  <c r="BI51" i="169"/>
  <c r="BI45" i="169"/>
  <c r="BI52" i="169"/>
  <c r="BI36" i="169"/>
  <c r="BI20" i="169"/>
  <c r="BI19" i="169"/>
  <c r="BI18" i="169"/>
  <c r="BI17" i="169"/>
  <c r="BI15" i="169"/>
  <c r="BI13" i="169"/>
  <c r="BI12" i="169"/>
  <c r="BI11" i="169"/>
  <c r="BI10" i="169"/>
  <c r="BI46" i="169"/>
  <c r="BI9" i="169"/>
  <c r="BI33" i="169"/>
  <c r="BI31" i="169"/>
  <c r="BI30" i="169"/>
  <c r="BI29" i="169"/>
  <c r="BI28" i="169"/>
  <c r="BI25" i="169"/>
  <c r="BI27" i="169"/>
  <c r="BI24" i="169"/>
  <c r="BI26" i="169"/>
  <c r="BI43" i="169"/>
  <c r="BI58" i="169"/>
  <c r="BI14" i="169"/>
  <c r="BI16" i="169"/>
  <c r="BI32" i="169"/>
  <c r="BI42" i="169"/>
  <c r="BI59" i="169"/>
  <c r="BI63" i="169"/>
  <c r="BI66" i="169"/>
  <c r="BI68" i="169"/>
  <c r="BI44" i="169"/>
  <c r="BI70" i="169"/>
  <c r="BI22" i="169"/>
  <c r="BI56" i="169"/>
  <c r="BI61" i="169"/>
  <c r="BI60" i="169"/>
  <c r="BI64" i="169"/>
  <c r="BI21" i="169"/>
  <c r="BI67" i="169"/>
  <c r="BI62" i="169"/>
  <c r="BI69" i="169"/>
  <c r="BI65" i="169"/>
  <c r="BI71" i="169"/>
  <c r="BI55" i="169"/>
  <c r="BI57" i="169"/>
  <c r="BI23" i="169"/>
  <c r="AN81" i="169"/>
  <c r="AN83" i="169" s="1"/>
  <c r="AN84" i="169" s="1"/>
  <c r="AN86" i="169" s="1"/>
  <c r="AN87" i="169" s="1"/>
  <c r="AN76" i="169"/>
  <c r="CK76" i="170"/>
  <c r="CK81" i="170"/>
  <c r="CK83" i="170" s="1"/>
  <c r="CQ6" i="170"/>
  <c r="CL5" i="170"/>
  <c r="CL38" i="170" s="1"/>
  <c r="O81" i="170"/>
  <c r="O83" i="170" s="1"/>
  <c r="O84" i="170" s="1"/>
  <c r="O86" i="170" s="1"/>
  <c r="O87" i="170" s="1"/>
  <c r="O76" i="170"/>
  <c r="BR75" i="170"/>
  <c r="BR39" i="170"/>
  <c r="CG75" i="170"/>
  <c r="CG39" i="170"/>
  <c r="CE81" i="170"/>
  <c r="CE83" i="170" s="1"/>
  <c r="CE84" i="170" s="1"/>
  <c r="CE86" i="170" s="1"/>
  <c r="CE87" i="170" s="1"/>
  <c r="CE76" i="170"/>
  <c r="BW81" i="170"/>
  <c r="BW83" i="170" s="1"/>
  <c r="BW84" i="170" s="1"/>
  <c r="BW86" i="170" s="1"/>
  <c r="BW87" i="170" s="1"/>
  <c r="BW76" i="170"/>
  <c r="AR81" i="170"/>
  <c r="AR83" i="170" s="1"/>
  <c r="AR84" i="170" s="1"/>
  <c r="AR86" i="170" s="1"/>
  <c r="AR87" i="170" s="1"/>
  <c r="AR76" i="170"/>
  <c r="AG76" i="170"/>
  <c r="AG81" i="170"/>
  <c r="AG83" i="170" s="1"/>
  <c r="AG84" i="170" s="1"/>
  <c r="AG86" i="170" s="1"/>
  <c r="AG87" i="170" s="1"/>
  <c r="AC86" i="170"/>
  <c r="AC87" i="170" s="1"/>
  <c r="CR9" i="170"/>
  <c r="CQ8" i="170"/>
  <c r="AO63" i="170"/>
  <c r="AO62" i="170"/>
  <c r="AO61" i="170"/>
  <c r="AO60" i="170"/>
  <c r="AO59" i="170"/>
  <c r="AO58" i="170"/>
  <c r="AO57" i="170"/>
  <c r="AO56" i="170"/>
  <c r="AO55" i="170"/>
  <c r="AO53" i="170"/>
  <c r="AO47" i="170"/>
  <c r="AO36" i="170"/>
  <c r="AO32" i="170"/>
  <c r="AO31" i="170"/>
  <c r="AO30" i="170"/>
  <c r="AO29" i="170"/>
  <c r="AO33" i="170"/>
  <c r="AO49" i="170"/>
  <c r="AO27" i="170"/>
  <c r="AO23" i="170"/>
  <c r="AO28" i="170"/>
  <c r="AO45" i="170"/>
  <c r="AO10" i="170"/>
  <c r="AO26" i="170"/>
  <c r="AO9" i="170"/>
  <c r="AO12" i="170"/>
  <c r="AO13" i="170"/>
  <c r="AO42" i="170"/>
  <c r="AO46" i="170"/>
  <c r="AO69" i="170"/>
  <c r="AO71" i="170"/>
  <c r="AO44" i="170"/>
  <c r="AO18" i="170"/>
  <c r="AO19" i="170"/>
  <c r="AO22" i="170"/>
  <c r="AO68" i="170"/>
  <c r="AO11" i="170"/>
  <c r="AO15" i="170"/>
  <c r="AO43" i="170"/>
  <c r="AO52" i="170"/>
  <c r="AO70" i="170"/>
  <c r="AO66" i="170"/>
  <c r="AO17" i="170"/>
  <c r="AO21" i="170"/>
  <c r="AO14" i="170"/>
  <c r="AO67" i="170"/>
  <c r="AO64" i="170"/>
  <c r="AO51" i="170"/>
  <c r="AO65" i="170"/>
  <c r="AO16" i="170"/>
  <c r="AO48" i="170"/>
  <c r="AO24" i="170"/>
  <c r="AO20" i="170"/>
  <c r="AO25" i="170"/>
  <c r="CL54" i="170"/>
  <c r="T89" i="170"/>
  <c r="T38" i="170"/>
  <c r="T75" i="170" s="1"/>
  <c r="T81" i="170" s="1"/>
  <c r="T83" i="170" s="1"/>
  <c r="T84" i="170" s="1"/>
  <c r="T86" i="170" s="1"/>
  <c r="CQ79" i="170"/>
  <c r="CL79" i="170"/>
  <c r="CL77" i="170" s="1"/>
  <c r="CJ77" i="170"/>
  <c r="BN53" i="170"/>
  <c r="BN61" i="170"/>
  <c r="BN55" i="170"/>
  <c r="BN59" i="170"/>
  <c r="BN58" i="170"/>
  <c r="BN63" i="170"/>
  <c r="BN49" i="170"/>
  <c r="BN64" i="170"/>
  <c r="BN36" i="170"/>
  <c r="BN32" i="170"/>
  <c r="BN29" i="170"/>
  <c r="BN26" i="170"/>
  <c r="BN67" i="170"/>
  <c r="BN28" i="170"/>
  <c r="BN19" i="170"/>
  <c r="BN13" i="170"/>
  <c r="BN33" i="170"/>
  <c r="BN18" i="170"/>
  <c r="BN12" i="170"/>
  <c r="BN17" i="170"/>
  <c r="BN11" i="170"/>
  <c r="BN24" i="170"/>
  <c r="BN21" i="170"/>
  <c r="BN15" i="170"/>
  <c r="BN20" i="170"/>
  <c r="BN14" i="170"/>
  <c r="BN22" i="170"/>
  <c r="BN16" i="170"/>
  <c r="BN10" i="170"/>
  <c r="BN44" i="170"/>
  <c r="BN31" i="170"/>
  <c r="BN27" i="170"/>
  <c r="BN65" i="170"/>
  <c r="BN45" i="170"/>
  <c r="BN60" i="170"/>
  <c r="BN43" i="170"/>
  <c r="BN23" i="170"/>
  <c r="BN71" i="170"/>
  <c r="BN70" i="170"/>
  <c r="BN46" i="170"/>
  <c r="BN62" i="170"/>
  <c r="BN51" i="170"/>
  <c r="BN69" i="170"/>
  <c r="BN48" i="170"/>
  <c r="BN30" i="170"/>
  <c r="BN52" i="170"/>
  <c r="BN42" i="170"/>
  <c r="BN57" i="170"/>
  <c r="BN9" i="170"/>
  <c r="BN25" i="170"/>
  <c r="BN68" i="170"/>
  <c r="BN66" i="170"/>
  <c r="BN56" i="170"/>
  <c r="BN47" i="170"/>
  <c r="BA76" i="170"/>
  <c r="BA81" i="170"/>
  <c r="BA83" i="170" s="1"/>
  <c r="BA84" i="170" s="1"/>
  <c r="BA86" i="170" s="1"/>
  <c r="BA87" i="170" s="1"/>
  <c r="M76" i="170"/>
  <c r="M81" i="170"/>
  <c r="M83" i="170" s="1"/>
  <c r="M84" i="170" s="1"/>
  <c r="M86" i="170" s="1"/>
  <c r="M87" i="170" s="1"/>
  <c r="CT22" i="170"/>
  <c r="CR22" i="170"/>
  <c r="AS81" i="170"/>
  <c r="AS83" i="170" s="1"/>
  <c r="AS84" i="170" s="1"/>
  <c r="AS86" i="170" s="1"/>
  <c r="AS87" i="170" s="1"/>
  <c r="AS76" i="170"/>
  <c r="CL35" i="170"/>
  <c r="CQ36" i="170"/>
  <c r="BD62" i="170"/>
  <c r="BD61" i="170"/>
  <c r="BD60" i="170"/>
  <c r="BD59" i="170"/>
  <c r="BD58" i="170"/>
  <c r="BD57" i="170"/>
  <c r="BD56" i="170"/>
  <c r="BD55" i="170"/>
  <c r="BD49" i="170"/>
  <c r="BD53" i="170"/>
  <c r="BD46" i="170"/>
  <c r="BD36" i="170"/>
  <c r="BD32" i="170"/>
  <c r="BD31" i="170"/>
  <c r="BD30" i="170"/>
  <c r="BD29" i="170"/>
  <c r="BD33" i="170"/>
  <c r="BD45" i="170"/>
  <c r="BD27" i="170"/>
  <c r="BD23" i="170"/>
  <c r="BD28" i="170"/>
  <c r="BD43" i="170"/>
  <c r="BD42" i="170"/>
  <c r="BD13" i="170"/>
  <c r="BD9" i="170"/>
  <c r="BD17" i="170"/>
  <c r="BD10" i="170"/>
  <c r="BD44" i="170"/>
  <c r="BD65" i="170"/>
  <c r="BD48" i="170"/>
  <c r="BD26" i="170"/>
  <c r="BD12" i="170"/>
  <c r="BD14" i="170"/>
  <c r="BD15" i="170"/>
  <c r="BD22" i="170"/>
  <c r="BD52" i="170"/>
  <c r="BD18" i="170"/>
  <c r="BD20" i="170"/>
  <c r="BD21" i="170"/>
  <c r="BD25" i="170"/>
  <c r="BD63" i="170"/>
  <c r="BD19" i="170"/>
  <c r="BD24" i="170"/>
  <c r="BD16" i="170"/>
  <c r="BD68" i="170"/>
  <c r="BD11" i="170"/>
  <c r="BD71" i="170"/>
  <c r="BD51" i="170"/>
  <c r="BD66" i="170"/>
  <c r="BD70" i="170"/>
  <c r="BD47" i="170"/>
  <c r="BD67" i="170"/>
  <c r="BD69" i="170"/>
  <c r="BD64" i="170"/>
  <c r="BM81" i="170"/>
  <c r="BM83" i="170" s="1"/>
  <c r="BM84" i="170" s="1"/>
  <c r="BM86" i="170" s="1"/>
  <c r="BM87" i="170" s="1"/>
  <c r="BM76" i="170"/>
  <c r="C86" i="170"/>
  <c r="C87" i="170" s="1"/>
  <c r="BL81" i="170"/>
  <c r="BL83" i="170" s="1"/>
  <c r="BL84" i="170" s="1"/>
  <c r="BL86" i="170" s="1"/>
  <c r="BL87" i="170" s="1"/>
  <c r="BL76" i="170"/>
  <c r="CF81" i="170"/>
  <c r="CF83" i="170" s="1"/>
  <c r="CF84" i="170" s="1"/>
  <c r="CF86" i="170" s="1"/>
  <c r="CF87" i="170" s="1"/>
  <c r="CF76" i="170"/>
  <c r="CJ75" i="170"/>
  <c r="CJ39" i="170"/>
  <c r="Y89" i="170"/>
  <c r="J81" i="170"/>
  <c r="J83" i="170" s="1"/>
  <c r="J84" i="170" s="1"/>
  <c r="J86" i="170" s="1"/>
  <c r="J87" i="170" s="1"/>
  <c r="J76" i="170"/>
  <c r="AB86" i="170"/>
  <c r="AB87" i="170" s="1"/>
  <c r="BH75" i="170"/>
  <c r="BH39" i="170"/>
  <c r="D86" i="170"/>
  <c r="D87" i="170" s="1"/>
  <c r="CP76" i="170"/>
  <c r="CP81" i="170"/>
  <c r="CP83" i="170" s="1"/>
  <c r="CP84" i="170" s="1"/>
  <c r="CP86" i="170" s="1"/>
  <c r="CP87" i="170" s="1"/>
  <c r="BK81" i="170"/>
  <c r="BK83" i="170" s="1"/>
  <c r="BK84" i="170" s="1"/>
  <c r="BK86" i="170" s="1"/>
  <c r="BK87" i="170" s="1"/>
  <c r="BK76" i="170"/>
  <c r="BC81" i="170"/>
  <c r="BC83" i="170" s="1"/>
  <c r="BC84" i="170" s="1"/>
  <c r="BC86" i="170" s="1"/>
  <c r="BC87" i="170" s="1"/>
  <c r="BC76" i="170"/>
  <c r="AX75" i="170"/>
  <c r="AX39" i="170"/>
  <c r="AI75" i="170"/>
  <c r="AI39" i="170"/>
  <c r="CB75" i="170"/>
  <c r="CB39" i="170"/>
  <c r="AJ53" i="170"/>
  <c r="AJ63" i="170"/>
  <c r="AJ57" i="170"/>
  <c r="AJ61" i="170"/>
  <c r="AJ55" i="170"/>
  <c r="AJ49" i="170"/>
  <c r="AJ69" i="170"/>
  <c r="AJ59" i="170"/>
  <c r="AJ33" i="170"/>
  <c r="AJ31" i="170"/>
  <c r="AJ25" i="170"/>
  <c r="AJ36" i="170"/>
  <c r="AJ60" i="170"/>
  <c r="AJ24" i="170"/>
  <c r="AJ21" i="170"/>
  <c r="AJ15" i="170"/>
  <c r="AJ20" i="170"/>
  <c r="AJ14" i="170"/>
  <c r="AJ28" i="170"/>
  <c r="AJ19" i="170"/>
  <c r="AJ13" i="170"/>
  <c r="AJ17" i="170"/>
  <c r="AJ11" i="170"/>
  <c r="AJ22" i="170"/>
  <c r="AJ16" i="170"/>
  <c r="AJ10" i="170"/>
  <c r="AJ18" i="170"/>
  <c r="AJ12" i="170"/>
  <c r="AJ23" i="170"/>
  <c r="AJ26" i="170"/>
  <c r="AJ66" i="170"/>
  <c r="AJ44" i="170"/>
  <c r="AJ46" i="170"/>
  <c r="AJ65" i="170"/>
  <c r="AJ70" i="170"/>
  <c r="AJ43" i="170"/>
  <c r="AJ58" i="170"/>
  <c r="AJ30" i="170"/>
  <c r="AJ51" i="170"/>
  <c r="AJ67" i="170"/>
  <c r="AJ48" i="170"/>
  <c r="AJ52" i="170"/>
  <c r="AJ9" i="170"/>
  <c r="AJ45" i="170"/>
  <c r="AJ68" i="170"/>
  <c r="AJ56" i="170"/>
  <c r="AJ29" i="170"/>
  <c r="AJ32" i="170"/>
  <c r="AJ27" i="170"/>
  <c r="AJ62" i="170"/>
  <c r="AJ42" i="170"/>
  <c r="AJ64" i="170"/>
  <c r="AJ71" i="170"/>
  <c r="AJ47" i="170"/>
  <c r="AN81" i="170"/>
  <c r="AN83" i="170" s="1"/>
  <c r="AN84" i="170" s="1"/>
  <c r="AN86" i="170" s="1"/>
  <c r="AN87" i="170" s="1"/>
  <c r="AN76" i="170"/>
  <c r="K74" i="170"/>
  <c r="K72" i="170"/>
  <c r="K69" i="170"/>
  <c r="K66" i="170"/>
  <c r="K70" i="170"/>
  <c r="K67" i="170"/>
  <c r="K59" i="170"/>
  <c r="K71" i="170"/>
  <c r="K68" i="170"/>
  <c r="K65" i="170"/>
  <c r="K63" i="170"/>
  <c r="K57" i="170"/>
  <c r="K36" i="170"/>
  <c r="K62" i="170"/>
  <c r="K78" i="170"/>
  <c r="K55" i="170"/>
  <c r="K26" i="170"/>
  <c r="K29" i="170"/>
  <c r="K33" i="170"/>
  <c r="K17" i="170"/>
  <c r="K11" i="170"/>
  <c r="K22" i="170"/>
  <c r="K16" i="170"/>
  <c r="K10" i="170"/>
  <c r="K56" i="170"/>
  <c r="K24" i="170"/>
  <c r="K21" i="170"/>
  <c r="K15" i="170"/>
  <c r="K31" i="170"/>
  <c r="K28" i="170"/>
  <c r="K19" i="170"/>
  <c r="K13" i="170"/>
  <c r="K18" i="170"/>
  <c r="K12" i="170"/>
  <c r="K20" i="170"/>
  <c r="K14" i="170"/>
  <c r="K9" i="170"/>
  <c r="K43" i="170"/>
  <c r="K48" i="170"/>
  <c r="K82" i="170"/>
  <c r="K45" i="170"/>
  <c r="K60" i="170"/>
  <c r="K42" i="170"/>
  <c r="K27" i="170"/>
  <c r="K61" i="170"/>
  <c r="K52" i="170"/>
  <c r="K25" i="170"/>
  <c r="K30" i="170"/>
  <c r="K23" i="170"/>
  <c r="K32" i="170"/>
  <c r="K47" i="170"/>
  <c r="K51" i="170"/>
  <c r="K85" i="170"/>
  <c r="K44" i="170"/>
  <c r="K58" i="170"/>
  <c r="K64" i="170"/>
  <c r="K46" i="170"/>
  <c r="BU76" i="170"/>
  <c r="BU81" i="170"/>
  <c r="BU83" i="170" s="1"/>
  <c r="BU84" i="170" s="1"/>
  <c r="BU86" i="170" s="1"/>
  <c r="BU87" i="170" s="1"/>
  <c r="AQ81" i="170"/>
  <c r="AQ83" i="170" s="1"/>
  <c r="AQ84" i="170" s="1"/>
  <c r="AQ86" i="170" s="1"/>
  <c r="AQ87" i="170" s="1"/>
  <c r="AQ76" i="170"/>
  <c r="AE70" i="170"/>
  <c r="AE67" i="170"/>
  <c r="AE53" i="170"/>
  <c r="AE60" i="170"/>
  <c r="AE61" i="170"/>
  <c r="AE55" i="170"/>
  <c r="AE46" i="170"/>
  <c r="AE45" i="170"/>
  <c r="AE44" i="170"/>
  <c r="AE43" i="170"/>
  <c r="AE62" i="170"/>
  <c r="AE56" i="170"/>
  <c r="AE59" i="170"/>
  <c r="AE49" i="170"/>
  <c r="AE42" i="170"/>
  <c r="AE63" i="170"/>
  <c r="AE52" i="170"/>
  <c r="AE47" i="170"/>
  <c r="AE48" i="170"/>
  <c r="AE32" i="170"/>
  <c r="AE31" i="170"/>
  <c r="AE30" i="170"/>
  <c r="AE57" i="170"/>
  <c r="AE33" i="170"/>
  <c r="AE24" i="170"/>
  <c r="AE22" i="170"/>
  <c r="AE21" i="170"/>
  <c r="AE20" i="170"/>
  <c r="AE19" i="170"/>
  <c r="AE18" i="170"/>
  <c r="AE17" i="170"/>
  <c r="AE16" i="170"/>
  <c r="AE15" i="170"/>
  <c r="AE14" i="170"/>
  <c r="AE13" i="170"/>
  <c r="AE12" i="170"/>
  <c r="AE11" i="170"/>
  <c r="AE10" i="170"/>
  <c r="AE9" i="170"/>
  <c r="AE26" i="170"/>
  <c r="AE58" i="170"/>
  <c r="AE29" i="170"/>
  <c r="AE68" i="170"/>
  <c r="AE65" i="170"/>
  <c r="AE64" i="170"/>
  <c r="AE51" i="170"/>
  <c r="AE23" i="170"/>
  <c r="AE71" i="170"/>
  <c r="AE28" i="170"/>
  <c r="AE25" i="170"/>
  <c r="AE66" i="170"/>
  <c r="AE69" i="170"/>
  <c r="AE36" i="170"/>
  <c r="AE27" i="170"/>
  <c r="AY62" i="170"/>
  <c r="AY56" i="170"/>
  <c r="AY53" i="170"/>
  <c r="AY49" i="170"/>
  <c r="AY71" i="170"/>
  <c r="AY68" i="170"/>
  <c r="AY65" i="170"/>
  <c r="AY60" i="170"/>
  <c r="AY59" i="170"/>
  <c r="AY26" i="170"/>
  <c r="AY30" i="170"/>
  <c r="AY33" i="170"/>
  <c r="AY36" i="170"/>
  <c r="AY17" i="170"/>
  <c r="AY11" i="170"/>
  <c r="AY22" i="170"/>
  <c r="AY16" i="170"/>
  <c r="AY10" i="170"/>
  <c r="AY24" i="170"/>
  <c r="AY21" i="170"/>
  <c r="AY15" i="170"/>
  <c r="AY28" i="170"/>
  <c r="AY19" i="170"/>
  <c r="AY13" i="170"/>
  <c r="AY18" i="170"/>
  <c r="AY12" i="170"/>
  <c r="AY20" i="170"/>
  <c r="AY14" i="170"/>
  <c r="AY55" i="170"/>
  <c r="AY64" i="170"/>
  <c r="AY69" i="170"/>
  <c r="AY42" i="170"/>
  <c r="AY47" i="170"/>
  <c r="AY23" i="170"/>
  <c r="AY31" i="170"/>
  <c r="AY32" i="170"/>
  <c r="AY9" i="170"/>
  <c r="AY46" i="170"/>
  <c r="AY43" i="170"/>
  <c r="AY70" i="170"/>
  <c r="AY66" i="170"/>
  <c r="AY52" i="170"/>
  <c r="AY25" i="170"/>
  <c r="AY58" i="170"/>
  <c r="AY48" i="170"/>
  <c r="AY63" i="170"/>
  <c r="AY44" i="170"/>
  <c r="AY51" i="170"/>
  <c r="AY67" i="170"/>
  <c r="AY29" i="170"/>
  <c r="AY61" i="170"/>
  <c r="AY57" i="170"/>
  <c r="AY27" i="170"/>
  <c r="AY45" i="170"/>
  <c r="CH62" i="170"/>
  <c r="CH61" i="170"/>
  <c r="CH60" i="170"/>
  <c r="CH59" i="170"/>
  <c r="CH58" i="170"/>
  <c r="CH57" i="170"/>
  <c r="CH56" i="170"/>
  <c r="CH55" i="170"/>
  <c r="CH49" i="170"/>
  <c r="CH42" i="170"/>
  <c r="CH36" i="170"/>
  <c r="CH32" i="170"/>
  <c r="CH31" i="170"/>
  <c r="CH30" i="170"/>
  <c r="CH29" i="170"/>
  <c r="CH33" i="170"/>
  <c r="CH53" i="170"/>
  <c r="CH46" i="170"/>
  <c r="CH47" i="170"/>
  <c r="CH27" i="170"/>
  <c r="CH23" i="170"/>
  <c r="CH28" i="170"/>
  <c r="CH45" i="170"/>
  <c r="CH44" i="170"/>
  <c r="CH24" i="170"/>
  <c r="CH20" i="170"/>
  <c r="CH67" i="170"/>
  <c r="CH12" i="170"/>
  <c r="CH43" i="170"/>
  <c r="CH71" i="170"/>
  <c r="CH9" i="170"/>
  <c r="CH16" i="170"/>
  <c r="CH19" i="170"/>
  <c r="CH48" i="170"/>
  <c r="CH52" i="170"/>
  <c r="CH22" i="170"/>
  <c r="CH66" i="170"/>
  <c r="CH51" i="170"/>
  <c r="CH64" i="170"/>
  <c r="CH70" i="170"/>
  <c r="CH68" i="170"/>
  <c r="CH69" i="170"/>
  <c r="CH11" i="170"/>
  <c r="CH15" i="170"/>
  <c r="CH10" i="170"/>
  <c r="CH13" i="170"/>
  <c r="CH17" i="170"/>
  <c r="CH21" i="170"/>
  <c r="CH14" i="170"/>
  <c r="CH26" i="170"/>
  <c r="CH65" i="170"/>
  <c r="CH63" i="170"/>
  <c r="CH18" i="170"/>
  <c r="CH25" i="170"/>
  <c r="CC63" i="170"/>
  <c r="CC60" i="170"/>
  <c r="CC69" i="170"/>
  <c r="CC66" i="170"/>
  <c r="CC58" i="170"/>
  <c r="CC57" i="170"/>
  <c r="CC53" i="170"/>
  <c r="CC49" i="170"/>
  <c r="CC33" i="170"/>
  <c r="CC31" i="170"/>
  <c r="CC62" i="170"/>
  <c r="CC36" i="170"/>
  <c r="CC24" i="170"/>
  <c r="CC21" i="170"/>
  <c r="CC15" i="170"/>
  <c r="CC20" i="170"/>
  <c r="CC14" i="170"/>
  <c r="CC28" i="170"/>
  <c r="CC25" i="170"/>
  <c r="CC19" i="170"/>
  <c r="CC13" i="170"/>
  <c r="CC17" i="170"/>
  <c r="CC11" i="170"/>
  <c r="CC22" i="170"/>
  <c r="CC16" i="170"/>
  <c r="CC10" i="170"/>
  <c r="CC18" i="170"/>
  <c r="CC12" i="170"/>
  <c r="CC30" i="170"/>
  <c r="CC55" i="170"/>
  <c r="CC68" i="170"/>
  <c r="CC29" i="170"/>
  <c r="CC59" i="170"/>
  <c r="CC52" i="170"/>
  <c r="CC27" i="170"/>
  <c r="CC42" i="170"/>
  <c r="CC47" i="170"/>
  <c r="CC46" i="170"/>
  <c r="CC23" i="170"/>
  <c r="CC26" i="170"/>
  <c r="CC32" i="170"/>
  <c r="CC9" i="170"/>
  <c r="CC61" i="170"/>
  <c r="CC48" i="170"/>
  <c r="CC65" i="170"/>
  <c r="CC71" i="170"/>
  <c r="CC67" i="170"/>
  <c r="CC44" i="170"/>
  <c r="CC70" i="170"/>
  <c r="CC43" i="170"/>
  <c r="CC56" i="170"/>
  <c r="CC45" i="170"/>
  <c r="CC51" i="170"/>
  <c r="CC64" i="170"/>
  <c r="BV76" i="170"/>
  <c r="BV81" i="170"/>
  <c r="BV83" i="170" s="1"/>
  <c r="BV84" i="170" s="1"/>
  <c r="BV86" i="170" s="1"/>
  <c r="BV87" i="170" s="1"/>
  <c r="AH76" i="170"/>
  <c r="AH81" i="170"/>
  <c r="AH83" i="170" s="1"/>
  <c r="AH84" i="170" s="1"/>
  <c r="AH86" i="170" s="1"/>
  <c r="AH87" i="170" s="1"/>
  <c r="T90" i="170"/>
  <c r="P72" i="170"/>
  <c r="P63" i="170"/>
  <c r="P62" i="170"/>
  <c r="P61" i="170"/>
  <c r="P60" i="170"/>
  <c r="P59" i="170"/>
  <c r="P58" i="170"/>
  <c r="P57" i="170"/>
  <c r="P56" i="170"/>
  <c r="P55" i="170"/>
  <c r="P74" i="170"/>
  <c r="P82" i="170"/>
  <c r="P44" i="170"/>
  <c r="P32" i="170"/>
  <c r="P31" i="170"/>
  <c r="P30" i="170"/>
  <c r="P29" i="170"/>
  <c r="P53" i="170"/>
  <c r="P33" i="170"/>
  <c r="P43" i="170"/>
  <c r="P36" i="170"/>
  <c r="P42" i="170"/>
  <c r="P27" i="170"/>
  <c r="P23" i="170"/>
  <c r="P28" i="170"/>
  <c r="P47" i="170"/>
  <c r="P46" i="170"/>
  <c r="P26" i="170"/>
  <c r="P19" i="170"/>
  <c r="P24" i="170"/>
  <c r="P16" i="170"/>
  <c r="P51" i="170"/>
  <c r="P52" i="170"/>
  <c r="P67" i="170"/>
  <c r="P45" i="170"/>
  <c r="P15" i="170"/>
  <c r="P18" i="170"/>
  <c r="P20" i="170"/>
  <c r="P21" i="170"/>
  <c r="P48" i="170"/>
  <c r="P85" i="170"/>
  <c r="P71" i="170"/>
  <c r="P78" i="170"/>
  <c r="P11" i="170"/>
  <c r="P65" i="170"/>
  <c r="P66" i="170"/>
  <c r="P69" i="170"/>
  <c r="P13" i="170"/>
  <c r="P17" i="170"/>
  <c r="P9" i="170"/>
  <c r="P10" i="170"/>
  <c r="P68" i="170"/>
  <c r="P64" i="170"/>
  <c r="P70" i="170"/>
  <c r="P22" i="170"/>
  <c r="P12" i="170"/>
  <c r="P14" i="170"/>
  <c r="P25" i="170"/>
  <c r="AD81" i="170"/>
  <c r="AD83" i="170" s="1"/>
  <c r="AD84" i="170" s="1"/>
  <c r="AD86" i="170" s="1"/>
  <c r="AD87" i="170" s="1"/>
  <c r="AD76" i="170"/>
  <c r="BR81" i="165"/>
  <c r="BR83" i="165" s="1"/>
  <c r="BR84" i="165" s="1"/>
  <c r="BR86" i="165" s="1"/>
  <c r="BR87" i="165" s="1"/>
  <c r="BR76" i="165"/>
  <c r="AC86" i="165"/>
  <c r="AC87" i="165" s="1"/>
  <c r="X84" i="165"/>
  <c r="X86" i="165" s="1"/>
  <c r="CL41" i="165"/>
  <c r="CG81" i="165"/>
  <c r="CG83" i="165" s="1"/>
  <c r="CG84" i="165" s="1"/>
  <c r="CG86" i="165" s="1"/>
  <c r="CG87" i="165" s="1"/>
  <c r="CG76" i="165"/>
  <c r="AI81" i="165"/>
  <c r="AI83" i="165" s="1"/>
  <c r="AI84" i="165" s="1"/>
  <c r="AI86" i="165" s="1"/>
  <c r="AI87" i="165" s="1"/>
  <c r="AI76" i="165"/>
  <c r="CL39" i="165"/>
  <c r="CH71" i="165"/>
  <c r="CH70" i="165"/>
  <c r="CH65" i="165"/>
  <c r="CH53" i="165"/>
  <c r="CH52" i="165"/>
  <c r="CH48" i="165"/>
  <c r="CH46" i="165"/>
  <c r="CH44" i="165"/>
  <c r="CH26" i="165"/>
  <c r="CH49" i="165"/>
  <c r="CH51" i="165"/>
  <c r="CH47" i="165"/>
  <c r="CH45" i="165"/>
  <c r="CH43" i="165"/>
  <c r="CH36" i="165"/>
  <c r="CH25" i="165"/>
  <c r="CH21" i="165"/>
  <c r="CH18" i="165"/>
  <c r="CH15" i="165"/>
  <c r="CH20" i="165"/>
  <c r="CH17" i="165"/>
  <c r="CH14" i="165"/>
  <c r="CH13" i="165"/>
  <c r="CH12" i="165"/>
  <c r="CH9" i="165"/>
  <c r="CH22" i="165"/>
  <c r="CH19" i="165"/>
  <c r="CH11" i="165"/>
  <c r="CH16" i="165"/>
  <c r="CH27" i="165"/>
  <c r="CH59" i="165"/>
  <c r="CH67" i="165"/>
  <c r="CH69" i="165"/>
  <c r="CH32" i="165"/>
  <c r="CH28" i="165"/>
  <c r="CH56" i="165"/>
  <c r="CH62" i="165"/>
  <c r="CH31" i="165"/>
  <c r="CH23" i="165"/>
  <c r="CH55" i="165"/>
  <c r="CH66" i="165"/>
  <c r="CH42" i="165"/>
  <c r="CH33" i="165"/>
  <c r="CH58" i="165"/>
  <c r="CH30" i="165"/>
  <c r="CH10" i="165"/>
  <c r="CH57" i="165"/>
  <c r="CH24" i="165"/>
  <c r="CH29" i="165"/>
  <c r="CH63" i="165"/>
  <c r="CH60" i="165"/>
  <c r="CH61" i="165"/>
  <c r="CH64" i="165"/>
  <c r="CH68" i="165"/>
  <c r="CJ75" i="165"/>
  <c r="CJ39" i="165"/>
  <c r="Y89" i="165"/>
  <c r="AY71" i="165"/>
  <c r="AY70" i="165"/>
  <c r="AY69" i="165"/>
  <c r="AY68" i="165"/>
  <c r="AY67" i="165"/>
  <c r="AY66" i="165"/>
  <c r="AY65" i="165"/>
  <c r="AY64" i="165"/>
  <c r="AY63" i="165"/>
  <c r="AY62" i="165"/>
  <c r="AY61" i="165"/>
  <c r="AY59" i="165"/>
  <c r="AY58" i="165"/>
  <c r="AY57" i="165"/>
  <c r="AY56" i="165"/>
  <c r="AY52" i="165"/>
  <c r="AY51" i="165"/>
  <c r="AY48" i="165"/>
  <c r="AY47" i="165"/>
  <c r="AY46" i="165"/>
  <c r="AY45" i="165"/>
  <c r="AY44" i="165"/>
  <c r="AY43" i="165"/>
  <c r="AY42" i="165"/>
  <c r="AY53" i="165"/>
  <c r="AY55" i="165"/>
  <c r="AY49" i="165"/>
  <c r="AY24" i="165"/>
  <c r="AY23" i="165"/>
  <c r="AY26" i="165"/>
  <c r="AY33" i="165"/>
  <c r="AY32" i="165"/>
  <c r="AY31" i="165"/>
  <c r="AY30" i="165"/>
  <c r="AY27" i="165"/>
  <c r="AY11" i="165"/>
  <c r="AY10" i="165"/>
  <c r="AY19" i="165"/>
  <c r="AY20" i="165"/>
  <c r="AY21" i="165"/>
  <c r="AY16" i="165"/>
  <c r="AY60" i="165"/>
  <c r="AY9" i="165"/>
  <c r="AY12" i="165"/>
  <c r="AY18" i="165"/>
  <c r="AY17" i="165"/>
  <c r="AY13" i="165"/>
  <c r="AY15" i="165"/>
  <c r="AY14" i="165"/>
  <c r="AY28" i="165"/>
  <c r="AY25" i="165"/>
  <c r="AY36" i="165"/>
  <c r="AY29" i="165"/>
  <c r="AY22" i="165"/>
  <c r="CQ10" i="165"/>
  <c r="CQ79" i="165"/>
  <c r="CL79" i="165"/>
  <c r="CL77" i="165" s="1"/>
  <c r="CJ77" i="165"/>
  <c r="BX70" i="165"/>
  <c r="BX67" i="165"/>
  <c r="BX69" i="165"/>
  <c r="BX71" i="165"/>
  <c r="BX66" i="165"/>
  <c r="BX68" i="165"/>
  <c r="BX49" i="165"/>
  <c r="BX65" i="165"/>
  <c r="BX63" i="165"/>
  <c r="BX61" i="165"/>
  <c r="BX59" i="165"/>
  <c r="BX57" i="165"/>
  <c r="BX52" i="165"/>
  <c r="BX51" i="165"/>
  <c r="BX48" i="165"/>
  <c r="BX47" i="165"/>
  <c r="BX46" i="165"/>
  <c r="BX45" i="165"/>
  <c r="BX44" i="165"/>
  <c r="BX43" i="165"/>
  <c r="BX42" i="165"/>
  <c r="BX53" i="165"/>
  <c r="BX64" i="165"/>
  <c r="BX58" i="165"/>
  <c r="BX24" i="165"/>
  <c r="BX23" i="165"/>
  <c r="BX60" i="165"/>
  <c r="BX36" i="165"/>
  <c r="BX30" i="165"/>
  <c r="BX29" i="165"/>
  <c r="BX28" i="165"/>
  <c r="BX11" i="165"/>
  <c r="BX56" i="165"/>
  <c r="BX31" i="165"/>
  <c r="BX33" i="165"/>
  <c r="BX62" i="165"/>
  <c r="BX32" i="165"/>
  <c r="BX27" i="165"/>
  <c r="BX15" i="165"/>
  <c r="BX10" i="165"/>
  <c r="BX22" i="165"/>
  <c r="BX26" i="165"/>
  <c r="BX17" i="165"/>
  <c r="BX16" i="165"/>
  <c r="BX25" i="165"/>
  <c r="BX13" i="165"/>
  <c r="BX21" i="165"/>
  <c r="BX14" i="165"/>
  <c r="BX9" i="165"/>
  <c r="BX12" i="165"/>
  <c r="BX20" i="165"/>
  <c r="BX19" i="165"/>
  <c r="BX18" i="165"/>
  <c r="BX55" i="165"/>
  <c r="CL54" i="165"/>
  <c r="AJ71" i="165"/>
  <c r="AJ70" i="165"/>
  <c r="AJ69" i="165"/>
  <c r="AJ66" i="165"/>
  <c r="AJ65" i="165"/>
  <c r="AJ64" i="165"/>
  <c r="AJ63" i="165"/>
  <c r="AJ62" i="165"/>
  <c r="AJ61" i="165"/>
  <c r="AJ59" i="165"/>
  <c r="AJ58" i="165"/>
  <c r="AJ57" i="165"/>
  <c r="AJ56" i="165"/>
  <c r="AJ68" i="165"/>
  <c r="AJ52" i="165"/>
  <c r="AJ51" i="165"/>
  <c r="AJ48" i="165"/>
  <c r="AJ47" i="165"/>
  <c r="AJ46" i="165"/>
  <c r="AJ45" i="165"/>
  <c r="AJ44" i="165"/>
  <c r="AJ43" i="165"/>
  <c r="AJ42" i="165"/>
  <c r="AJ55" i="165"/>
  <c r="AJ49" i="165"/>
  <c r="AJ53" i="165"/>
  <c r="AJ24" i="165"/>
  <c r="AJ23" i="165"/>
  <c r="AJ26" i="165"/>
  <c r="AJ32" i="165"/>
  <c r="AJ31" i="165"/>
  <c r="AJ11" i="165"/>
  <c r="AJ29" i="165"/>
  <c r="AJ16" i="165"/>
  <c r="AJ25" i="165"/>
  <c r="AJ15" i="165"/>
  <c r="AJ36" i="165"/>
  <c r="AJ30" i="165"/>
  <c r="AJ13" i="165"/>
  <c r="AJ20" i="165"/>
  <c r="AJ28" i="165"/>
  <c r="AJ22" i="165"/>
  <c r="AJ27" i="165"/>
  <c r="AJ17" i="165"/>
  <c r="AJ9" i="165"/>
  <c r="AJ19" i="165"/>
  <c r="AJ14" i="165"/>
  <c r="AJ60" i="165"/>
  <c r="AJ21" i="165"/>
  <c r="AJ33" i="165"/>
  <c r="AJ12" i="165"/>
  <c r="AJ67" i="165"/>
  <c r="AJ18" i="165"/>
  <c r="AJ10" i="165"/>
  <c r="CQ8" i="165"/>
  <c r="CR9" i="165"/>
  <c r="D86" i="165"/>
  <c r="D87" i="165" s="1"/>
  <c r="T38" i="165"/>
  <c r="T75" i="165" s="1"/>
  <c r="T81" i="165" s="1"/>
  <c r="T83" i="165" s="1"/>
  <c r="T84" i="165" s="1"/>
  <c r="T86" i="165" s="1"/>
  <c r="AS81" i="165"/>
  <c r="AS83" i="165" s="1"/>
  <c r="AS84" i="165" s="1"/>
  <c r="AS86" i="165" s="1"/>
  <c r="AS87" i="165" s="1"/>
  <c r="AS76" i="165"/>
  <c r="C86" i="165"/>
  <c r="C87" i="165" s="1"/>
  <c r="M76" i="165"/>
  <c r="M81" i="165"/>
  <c r="M83" i="165" s="1"/>
  <c r="M84" i="165" s="1"/>
  <c r="M86" i="165" s="1"/>
  <c r="M87" i="165" s="1"/>
  <c r="AT70" i="165"/>
  <c r="AT68" i="165"/>
  <c r="AT71" i="165"/>
  <c r="AT67" i="165"/>
  <c r="AT64" i="165"/>
  <c r="AT62" i="165"/>
  <c r="AT60" i="165"/>
  <c r="AT58" i="165"/>
  <c r="AT49" i="165"/>
  <c r="AT69" i="165"/>
  <c r="AT52" i="165"/>
  <c r="AT51" i="165"/>
  <c r="AT48" i="165"/>
  <c r="AT47" i="165"/>
  <c r="AT46" i="165"/>
  <c r="AT45" i="165"/>
  <c r="AT44" i="165"/>
  <c r="AT43" i="165"/>
  <c r="AT42" i="165"/>
  <c r="AT65" i="165"/>
  <c r="AT63" i="165"/>
  <c r="AT61" i="165"/>
  <c r="AT59" i="165"/>
  <c r="AT57" i="165"/>
  <c r="AT53" i="165"/>
  <c r="AT66" i="165"/>
  <c r="AT55" i="165"/>
  <c r="AT24" i="165"/>
  <c r="AT23" i="165"/>
  <c r="AT36" i="165"/>
  <c r="AT32" i="165"/>
  <c r="AT31" i="165"/>
  <c r="AT30" i="165"/>
  <c r="AT11" i="165"/>
  <c r="AT33" i="165"/>
  <c r="AT27" i="165"/>
  <c r="AT9" i="165"/>
  <c r="AT28" i="165"/>
  <c r="AT29" i="165"/>
  <c r="AT17" i="165"/>
  <c r="AT14" i="165"/>
  <c r="AT12" i="165"/>
  <c r="AT20" i="165"/>
  <c r="AT16" i="165"/>
  <c r="AT15" i="165"/>
  <c r="AT19" i="165"/>
  <c r="AT10" i="165"/>
  <c r="AT25" i="165"/>
  <c r="AT26" i="165"/>
  <c r="AT13" i="165"/>
  <c r="AT18" i="165"/>
  <c r="AT56" i="165"/>
  <c r="AT22" i="165"/>
  <c r="AT21" i="165"/>
  <c r="BC81" i="165"/>
  <c r="BC83" i="165" s="1"/>
  <c r="BC84" i="165" s="1"/>
  <c r="BC86" i="165" s="1"/>
  <c r="BC87" i="165" s="1"/>
  <c r="BC76" i="165"/>
  <c r="W84" i="165"/>
  <c r="W86" i="165" s="1"/>
  <c r="AB86" i="165"/>
  <c r="AB87" i="165" s="1"/>
  <c r="CR6" i="165"/>
  <c r="CQ5" i="165"/>
  <c r="CQ38" i="165" s="1"/>
  <c r="CC71" i="165"/>
  <c r="CC70" i="165"/>
  <c r="CC69" i="165"/>
  <c r="CC68" i="165"/>
  <c r="CC65" i="165"/>
  <c r="CC64" i="165"/>
  <c r="CC63" i="165"/>
  <c r="CC62" i="165"/>
  <c r="CC61" i="165"/>
  <c r="CC59" i="165"/>
  <c r="CC58" i="165"/>
  <c r="CC57" i="165"/>
  <c r="CC56" i="165"/>
  <c r="CC55" i="165"/>
  <c r="CC52" i="165"/>
  <c r="CC51" i="165"/>
  <c r="CC48" i="165"/>
  <c r="CC47" i="165"/>
  <c r="CC46" i="165"/>
  <c r="CC45" i="165"/>
  <c r="CC44" i="165"/>
  <c r="CC43" i="165"/>
  <c r="CC42" i="165"/>
  <c r="CC53" i="165"/>
  <c r="CC49" i="165"/>
  <c r="CC67" i="165"/>
  <c r="CC24" i="165"/>
  <c r="CC23" i="165"/>
  <c r="CC26" i="165"/>
  <c r="CC33" i="165"/>
  <c r="CC32" i="165"/>
  <c r="CC31" i="165"/>
  <c r="CC30" i="165"/>
  <c r="CC27" i="165"/>
  <c r="CC11" i="165"/>
  <c r="CC15" i="165"/>
  <c r="CC10" i="165"/>
  <c r="CC36" i="165"/>
  <c r="CC12" i="165"/>
  <c r="CC14" i="165"/>
  <c r="CC21" i="165"/>
  <c r="CC25" i="165"/>
  <c r="CC18" i="165"/>
  <c r="CC29" i="165"/>
  <c r="CC13" i="165"/>
  <c r="CC20" i="165"/>
  <c r="CC28" i="165"/>
  <c r="CC9" i="165"/>
  <c r="CC19" i="165"/>
  <c r="CC60" i="165"/>
  <c r="CC16" i="165"/>
  <c r="CC22" i="165"/>
  <c r="CC17" i="165"/>
  <c r="CC66" i="165"/>
  <c r="CB81" i="165"/>
  <c r="CB83" i="165" s="1"/>
  <c r="CB84" i="165" s="1"/>
  <c r="CB86" i="165" s="1"/>
  <c r="CB87" i="165" s="1"/>
  <c r="CB76" i="165"/>
  <c r="AX110" i="157"/>
  <c r="BR110" i="157"/>
  <c r="CB110" i="157"/>
  <c r="W38" i="157" l="1"/>
  <c r="W75" i="157" s="1"/>
  <c r="CL89" i="165"/>
  <c r="CL87" i="80"/>
  <c r="AH76" i="157"/>
  <c r="AH81" i="157"/>
  <c r="AH83" i="157" s="1"/>
  <c r="AH84" i="157" s="1"/>
  <c r="AH86" i="157" s="1"/>
  <c r="AH87" i="157" s="1"/>
  <c r="AD38" i="157"/>
  <c r="AL75" i="157"/>
  <c r="AL39" i="157"/>
  <c r="CJ5" i="157"/>
  <c r="CL6" i="157"/>
  <c r="CL5" i="157" s="1"/>
  <c r="CK8" i="157"/>
  <c r="CK38" i="157" s="1"/>
  <c r="CL9" i="157"/>
  <c r="AN38" i="157"/>
  <c r="AC76" i="157"/>
  <c r="AC81" i="157"/>
  <c r="AC83" i="157" s="1"/>
  <c r="AC84" i="157" s="1"/>
  <c r="Y38" i="157"/>
  <c r="Y75" i="157" s="1"/>
  <c r="CL25" i="157"/>
  <c r="CJ8" i="157"/>
  <c r="AI38" i="157"/>
  <c r="CM42" i="165"/>
  <c r="CM66" i="165"/>
  <c r="CL90" i="169"/>
  <c r="DX75" i="80"/>
  <c r="DX39" i="80"/>
  <c r="CB75" i="80"/>
  <c r="CB39" i="80"/>
  <c r="T81" i="80"/>
  <c r="T83" i="80" s="1"/>
  <c r="T84" i="80" s="1"/>
  <c r="T86" i="80" s="1"/>
  <c r="T87" i="80" s="1"/>
  <c r="T76" i="80"/>
  <c r="BL84" i="80"/>
  <c r="BL86" i="80" s="1"/>
  <c r="DZ38" i="80"/>
  <c r="DU81" i="80"/>
  <c r="DU83" i="80" s="1"/>
  <c r="DU84" i="80" s="1"/>
  <c r="DU86" i="80" s="1"/>
  <c r="DU87" i="80" s="1"/>
  <c r="DU76" i="80"/>
  <c r="DQ71" i="80"/>
  <c r="CH71" i="80"/>
  <c r="AY71" i="80"/>
  <c r="BX70" i="80"/>
  <c r="DV69" i="80"/>
  <c r="CW71" i="80"/>
  <c r="CM70" i="80"/>
  <c r="DB71" i="80"/>
  <c r="BS71" i="80"/>
  <c r="DG69" i="80"/>
  <c r="DB64" i="80"/>
  <c r="CM64" i="80"/>
  <c r="BX64" i="80"/>
  <c r="AY64" i="80"/>
  <c r="DV63" i="80"/>
  <c r="DG63" i="80"/>
  <c r="CR63" i="80"/>
  <c r="BX71" i="80"/>
  <c r="CW53" i="80"/>
  <c r="BS53" i="80"/>
  <c r="DV53" i="80"/>
  <c r="CR53" i="80"/>
  <c r="BD53" i="80"/>
  <c r="DQ70" i="80"/>
  <c r="AT69" i="80"/>
  <c r="AY68" i="80"/>
  <c r="BD67" i="80"/>
  <c r="CW66" i="80"/>
  <c r="DB65" i="80"/>
  <c r="BD65" i="80"/>
  <c r="DL64" i="80"/>
  <c r="CC64" i="80"/>
  <c r="DL63" i="80"/>
  <c r="CC63" i="80"/>
  <c r="BD63" i="80"/>
  <c r="DL62" i="80"/>
  <c r="CW62" i="80"/>
  <c r="CH62" i="80"/>
  <c r="BS62" i="80"/>
  <c r="AT62" i="80"/>
  <c r="DQ61" i="80"/>
  <c r="DB61" i="80"/>
  <c r="CM61" i="80"/>
  <c r="BX61" i="80"/>
  <c r="AY61" i="80"/>
  <c r="DV60" i="80"/>
  <c r="DG60" i="80"/>
  <c r="CR60" i="80"/>
  <c r="CC60" i="80"/>
  <c r="BD60" i="80"/>
  <c r="DL59" i="80"/>
  <c r="CW59" i="80"/>
  <c r="CH59" i="80"/>
  <c r="BS59" i="80"/>
  <c r="AT59" i="80"/>
  <c r="DQ58" i="80"/>
  <c r="DB58" i="80"/>
  <c r="CM58" i="80"/>
  <c r="BX58" i="80"/>
  <c r="AY58" i="80"/>
  <c r="DV57" i="80"/>
  <c r="DG57" i="80"/>
  <c r="CR57" i="80"/>
  <c r="CC57" i="80"/>
  <c r="BD57" i="80"/>
  <c r="DL56" i="80"/>
  <c r="CW56" i="80"/>
  <c r="CH56" i="80"/>
  <c r="BS56" i="80"/>
  <c r="AT56" i="80"/>
  <c r="DQ55" i="80"/>
  <c r="DB55" i="80"/>
  <c r="CM55" i="80"/>
  <c r="BX55" i="80"/>
  <c r="AY55" i="80"/>
  <c r="DB53" i="80"/>
  <c r="BX53" i="80"/>
  <c r="CC67" i="80"/>
  <c r="AT66" i="80"/>
  <c r="DB63" i="80"/>
  <c r="CH63" i="80"/>
  <c r="CM62" i="80"/>
  <c r="CR61" i="80"/>
  <c r="CH60" i="80"/>
  <c r="CM59" i="80"/>
  <c r="CR58" i="80"/>
  <c r="CH57" i="80"/>
  <c r="DV67" i="80"/>
  <c r="CH66" i="80"/>
  <c r="CM65" i="80"/>
  <c r="BS64" i="80"/>
  <c r="AT63" i="80"/>
  <c r="AY62" i="80"/>
  <c r="BD61" i="80"/>
  <c r="AT60" i="80"/>
  <c r="AY59" i="80"/>
  <c r="BD58" i="80"/>
  <c r="AT57" i="80"/>
  <c r="AY56" i="80"/>
  <c r="BD55" i="80"/>
  <c r="DB70" i="80"/>
  <c r="CC70" i="80"/>
  <c r="CR67" i="80"/>
  <c r="CW63" i="80"/>
  <c r="CM53" i="80"/>
  <c r="CC52" i="80"/>
  <c r="AY48" i="80"/>
  <c r="CR47" i="80"/>
  <c r="CH69" i="80"/>
  <c r="DG53" i="80"/>
  <c r="CR52" i="80"/>
  <c r="CW51" i="80"/>
  <c r="CW50" i="80"/>
  <c r="DB48" i="80"/>
  <c r="CW46" i="80"/>
  <c r="CM45" i="80"/>
  <c r="AY70" i="80"/>
  <c r="CH53" i="80"/>
  <c r="DG52" i="80"/>
  <c r="DL51" i="80"/>
  <c r="BX51" i="80"/>
  <c r="AT51" i="80"/>
  <c r="DQ48" i="80"/>
  <c r="DG47" i="80"/>
  <c r="DL46" i="80"/>
  <c r="AT46" i="80"/>
  <c r="DB45" i="80"/>
  <c r="BD44" i="80"/>
  <c r="DL43" i="80"/>
  <c r="CM42" i="80"/>
  <c r="DL71" i="80"/>
  <c r="CM71" i="80"/>
  <c r="AT71" i="80"/>
  <c r="DV64" i="80"/>
  <c r="CW64" i="80"/>
  <c r="AY53" i="80"/>
  <c r="DV52" i="80"/>
  <c r="BS51" i="80"/>
  <c r="BX48" i="80"/>
  <c r="BD47" i="80"/>
  <c r="BS46" i="80"/>
  <c r="AY45" i="80"/>
  <c r="CR44" i="80"/>
  <c r="DQ42" i="80"/>
  <c r="BX62" i="80"/>
  <c r="CR55" i="80"/>
  <c r="DQ53" i="80"/>
  <c r="CH51" i="80"/>
  <c r="DV48" i="80"/>
  <c r="CH46" i="80"/>
  <c r="DG45" i="80"/>
  <c r="DV44" i="80"/>
  <c r="CW43" i="80"/>
  <c r="BX42" i="80"/>
  <c r="CW36" i="80"/>
  <c r="DQ31" i="80"/>
  <c r="DB31" i="80"/>
  <c r="CM31" i="80"/>
  <c r="BS30" i="80"/>
  <c r="AT30" i="80"/>
  <c r="DQ29" i="80"/>
  <c r="DB29" i="80"/>
  <c r="CM29" i="80"/>
  <c r="BX29" i="80"/>
  <c r="AY29" i="80"/>
  <c r="DL28" i="80"/>
  <c r="CW28" i="80"/>
  <c r="CH28" i="80"/>
  <c r="BS28" i="80"/>
  <c r="DV27" i="80"/>
  <c r="DG27" i="80"/>
  <c r="AY21" i="80"/>
  <c r="DL17" i="80"/>
  <c r="CW17" i="80"/>
  <c r="CH17" i="80"/>
  <c r="BS17" i="80"/>
  <c r="AT17" i="80"/>
  <c r="DQ16" i="80"/>
  <c r="DB16" i="80"/>
  <c r="CM16" i="80"/>
  <c r="BX16" i="80"/>
  <c r="AY16" i="80"/>
  <c r="DV15" i="80"/>
  <c r="DG15" i="80"/>
  <c r="CR15" i="80"/>
  <c r="CC15" i="80"/>
  <c r="DL53" i="80"/>
  <c r="CW52" i="80"/>
  <c r="BD48" i="80"/>
  <c r="CH47" i="80"/>
  <c r="CC44" i="80"/>
  <c r="BX43" i="80"/>
  <c r="AT43" i="80"/>
  <c r="DG42" i="80"/>
  <c r="BD42" i="80"/>
  <c r="BX65" i="80"/>
  <c r="AT52" i="80"/>
  <c r="AY51" i="80"/>
  <c r="DL47" i="80"/>
  <c r="DG44" i="80"/>
  <c r="CH44" i="80"/>
  <c r="AY43" i="80"/>
  <c r="CM68" i="80"/>
  <c r="DV61" i="80"/>
  <c r="DL60" i="80"/>
  <c r="DG48" i="80"/>
  <c r="CC47" i="80"/>
  <c r="DQ45" i="80"/>
  <c r="CR45" i="80"/>
  <c r="DV36" i="80"/>
  <c r="DV31" i="80"/>
  <c r="CC29" i="80"/>
  <c r="CM28" i="80"/>
  <c r="BS27" i="80"/>
  <c r="BD26" i="80"/>
  <c r="CH25" i="80"/>
  <c r="DL24" i="80"/>
  <c r="DQ23" i="80"/>
  <c r="BX23" i="80"/>
  <c r="CW22" i="80"/>
  <c r="DV21" i="80"/>
  <c r="AY20" i="80"/>
  <c r="BD19" i="80"/>
  <c r="CM17" i="80"/>
  <c r="CC16" i="80"/>
  <c r="BS15" i="80"/>
  <c r="CH13" i="80"/>
  <c r="BD13" i="80"/>
  <c r="CW12" i="80"/>
  <c r="AY12" i="80"/>
  <c r="AY10" i="80"/>
  <c r="DV9" i="80"/>
  <c r="DG9" i="80"/>
  <c r="CR9" i="80"/>
  <c r="CC9" i="80"/>
  <c r="DL69" i="80"/>
  <c r="BS63" i="80"/>
  <c r="DQ51" i="80"/>
  <c r="DV47" i="80"/>
  <c r="DL44" i="80"/>
  <c r="CH43" i="80"/>
  <c r="CR29" i="80"/>
  <c r="DB28" i="80"/>
  <c r="CH27" i="80"/>
  <c r="CW25" i="80"/>
  <c r="AT24" i="80"/>
  <c r="BD21" i="80"/>
  <c r="DB17" i="80"/>
  <c r="CR16" i="80"/>
  <c r="CH15" i="80"/>
  <c r="BX14" i="80"/>
  <c r="BX56" i="80"/>
  <c r="DB43" i="80"/>
  <c r="DB42" i="80"/>
  <c r="CC42" i="80"/>
  <c r="BS36" i="80"/>
  <c r="DG29" i="80"/>
  <c r="DQ28" i="80"/>
  <c r="CW27" i="80"/>
  <c r="DL25" i="80"/>
  <c r="DQ17" i="80"/>
  <c r="DG16" i="80"/>
  <c r="CW15" i="80"/>
  <c r="CM14" i="80"/>
  <c r="CC13" i="80"/>
  <c r="DQ59" i="80"/>
  <c r="DV58" i="80"/>
  <c r="BD52" i="80"/>
  <c r="BS69" i="80"/>
  <c r="DQ68" i="80"/>
  <c r="AT53" i="80"/>
  <c r="CM48" i="80"/>
  <c r="DQ46" i="80"/>
  <c r="BX45" i="80"/>
  <c r="BS44" i="80"/>
  <c r="BS43" i="80"/>
  <c r="AY42" i="80"/>
  <c r="AT36" i="80"/>
  <c r="DL33" i="80"/>
  <c r="BS33" i="80"/>
  <c r="DQ32" i="80"/>
  <c r="BX32" i="80"/>
  <c r="DG31" i="80"/>
  <c r="CW29" i="80"/>
  <c r="DG28" i="80"/>
  <c r="BX28" i="80"/>
  <c r="CM27" i="80"/>
  <c r="CR26" i="80"/>
  <c r="DB25" i="80"/>
  <c r="CW24" i="80"/>
  <c r="AT22" i="80"/>
  <c r="DG21" i="80"/>
  <c r="CM20" i="80"/>
  <c r="BX17" i="80"/>
  <c r="AY14" i="80"/>
  <c r="DV13" i="80"/>
  <c r="DL31" i="80"/>
  <c r="BX30" i="80"/>
  <c r="BD29" i="80"/>
  <c r="CC28" i="80"/>
  <c r="AT27" i="80"/>
  <c r="DQ24" i="80"/>
  <c r="CH22" i="80"/>
  <c r="DQ20" i="80"/>
  <c r="DV19" i="80"/>
  <c r="CH16" i="80"/>
  <c r="CM12" i="80"/>
  <c r="CR11" i="80"/>
  <c r="CR10" i="80"/>
  <c r="DL9" i="80"/>
  <c r="DB32" i="80"/>
  <c r="CH29" i="80"/>
  <c r="CM25" i="80"/>
  <c r="BS24" i="80"/>
  <c r="DB23" i="80"/>
  <c r="AT21" i="80"/>
  <c r="CR17" i="80"/>
  <c r="BX15" i="80"/>
  <c r="BD11" i="80"/>
  <c r="BD10" i="80"/>
  <c r="CR31" i="80"/>
  <c r="CC61" i="80"/>
  <c r="CC53" i="80"/>
  <c r="DG36" i="80"/>
  <c r="DQ30" i="80"/>
  <c r="CR28" i="80"/>
  <c r="BX27" i="80"/>
  <c r="CC21" i="80"/>
  <c r="AT18" i="80"/>
  <c r="AY17" i="80"/>
  <c r="DB14" i="80"/>
  <c r="CR13" i="80"/>
  <c r="DB12" i="80"/>
  <c r="DG10" i="80"/>
  <c r="CH9" i="80"/>
  <c r="CM56" i="80"/>
  <c r="AY46" i="80"/>
  <c r="AY30" i="80"/>
  <c r="CH24" i="80"/>
  <c r="DV16" i="80"/>
  <c r="DV29" i="80"/>
  <c r="CR21" i="80"/>
  <c r="DL15" i="80"/>
  <c r="DQ14" i="80"/>
  <c r="DG13" i="80"/>
  <c r="DV10" i="80"/>
  <c r="CC10" i="80"/>
  <c r="CW9" i="80"/>
  <c r="BS29" i="80"/>
  <c r="DL27" i="80"/>
  <c r="DV26" i="80"/>
  <c r="AT15" i="80"/>
  <c r="CC17" i="80"/>
  <c r="DL21" i="80"/>
  <c r="BD16" i="80"/>
  <c r="BS12" i="80"/>
  <c r="CW33" i="80"/>
  <c r="DV11" i="80"/>
  <c r="CW8" i="80"/>
  <c r="CC11" i="80"/>
  <c r="CW47" i="80"/>
  <c r="AT10" i="80"/>
  <c r="BS14" i="80"/>
  <c r="DG18" i="80"/>
  <c r="BS22" i="80"/>
  <c r="DV46" i="80"/>
  <c r="DL13" i="80"/>
  <c r="DL18" i="80"/>
  <c r="BD25" i="80"/>
  <c r="AT28" i="80"/>
  <c r="DV33" i="80"/>
  <c r="CM10" i="80"/>
  <c r="CH12" i="80"/>
  <c r="AT16" i="80"/>
  <c r="AY24" i="80"/>
  <c r="CH31" i="80"/>
  <c r="AT33" i="80"/>
  <c r="CM9" i="80"/>
  <c r="BX13" i="80"/>
  <c r="DV17" i="80"/>
  <c r="CH21" i="80"/>
  <c r="DQ25" i="80"/>
  <c r="DL29" i="80"/>
  <c r="CM36" i="80"/>
  <c r="BX11" i="80"/>
  <c r="CR20" i="80"/>
  <c r="CR36" i="80"/>
  <c r="CC18" i="80"/>
  <c r="BD20" i="80"/>
  <c r="AT23" i="80"/>
  <c r="DQ26" i="80"/>
  <c r="BX31" i="80"/>
  <c r="DV45" i="80"/>
  <c r="BS57" i="80"/>
  <c r="CR68" i="80"/>
  <c r="BX46" i="80"/>
  <c r="BS52" i="80"/>
  <c r="CW58" i="80"/>
  <c r="AY13" i="80"/>
  <c r="AY19" i="80"/>
  <c r="CH26" i="80"/>
  <c r="CH55" i="80"/>
  <c r="AT14" i="80"/>
  <c r="CR24" i="80"/>
  <c r="DL32" i="80"/>
  <c r="CR51" i="80"/>
  <c r="DB13" i="80"/>
  <c r="DQ18" i="80"/>
  <c r="BD33" i="80"/>
  <c r="DL45" i="80"/>
  <c r="CH52" i="80"/>
  <c r="BX60" i="80"/>
  <c r="BD36" i="80"/>
  <c r="DL42" i="80"/>
  <c r="CH42" i="80"/>
  <c r="CM51" i="80"/>
  <c r="CM57" i="80"/>
  <c r="DG65" i="80"/>
  <c r="CM47" i="80"/>
  <c r="CC46" i="80"/>
  <c r="DG58" i="80"/>
  <c r="AT64" i="80"/>
  <c r="BD70" i="80"/>
  <c r="DG50" i="80"/>
  <c r="AY65" i="80"/>
  <c r="DB60" i="80"/>
  <c r="AY63" i="80"/>
  <c r="DL68" i="80"/>
  <c r="DB69" i="80"/>
  <c r="CC68" i="80"/>
  <c r="CR71" i="80"/>
  <c r="CW20" i="80"/>
  <c r="AT13" i="80"/>
  <c r="BD14" i="80"/>
  <c r="DQ12" i="80"/>
  <c r="DB10" i="80"/>
  <c r="AY15" i="80"/>
  <c r="BS48" i="80"/>
  <c r="CH10" i="80"/>
  <c r="CH11" i="80"/>
  <c r="DV14" i="80"/>
  <c r="DG25" i="80"/>
  <c r="AT29" i="80"/>
  <c r="BD50" i="80"/>
  <c r="BS13" i="80"/>
  <c r="CM24" i="80"/>
  <c r="BX44" i="80"/>
  <c r="AY36" i="80"/>
  <c r="CR8" i="80"/>
  <c r="CW13" i="80"/>
  <c r="DG22" i="80"/>
  <c r="CW30" i="80"/>
  <c r="BI41" i="80"/>
  <c r="DQ11" i="80"/>
  <c r="DL16" i="80"/>
  <c r="DL22" i="80"/>
  <c r="AT44" i="80"/>
  <c r="CM13" i="80"/>
  <c r="DV18" i="80"/>
  <c r="BS20" i="80"/>
  <c r="CC23" i="80"/>
  <c r="BS42" i="80"/>
  <c r="CR46" i="80"/>
  <c r="BD69" i="80"/>
  <c r="CH19" i="80"/>
  <c r="DQ21" i="80"/>
  <c r="DG24" i="80"/>
  <c r="DB33" i="80"/>
  <c r="CM19" i="80"/>
  <c r="DB21" i="80"/>
  <c r="AY33" i="80"/>
  <c r="DB54" i="80"/>
  <c r="CM21" i="80"/>
  <c r="CC24" i="80"/>
  <c r="DL30" i="80"/>
  <c r="CM33" i="80"/>
  <c r="BD51" i="80"/>
  <c r="AY69" i="80"/>
  <c r="AT42" i="80"/>
  <c r="CH58" i="80"/>
  <c r="BX63" i="80"/>
  <c r="DQ36" i="80"/>
  <c r="BS47" i="80"/>
  <c r="DB62" i="80"/>
  <c r="CM46" i="80"/>
  <c r="DB59" i="80"/>
  <c r="AT65" i="80"/>
  <c r="CC43" i="80"/>
  <c r="CH61" i="80"/>
  <c r="AT67" i="80"/>
  <c r="BX47" i="80"/>
  <c r="BX52" i="80"/>
  <c r="CC55" i="80"/>
  <c r="DG64" i="80"/>
  <c r="DG46" i="80"/>
  <c r="DL65" i="80"/>
  <c r="DB68" i="80"/>
  <c r="DG56" i="80"/>
  <c r="BS61" i="80"/>
  <c r="BS65" i="80"/>
  <c r="BD59" i="80"/>
  <c r="BS67" i="80"/>
  <c r="CR66" i="80"/>
  <c r="DV68" i="80"/>
  <c r="DV65" i="80"/>
  <c r="CM67" i="80"/>
  <c r="CC69" i="80"/>
  <c r="DQ9" i="80"/>
  <c r="DG26" i="80"/>
  <c r="CM11" i="80"/>
  <c r="CC14" i="80"/>
  <c r="AT19" i="80"/>
  <c r="AY28" i="80"/>
  <c r="BD56" i="80"/>
  <c r="CC30" i="80"/>
  <c r="CR48" i="80"/>
  <c r="BS10" i="80"/>
  <c r="DG14" i="80"/>
  <c r="BS18" i="80"/>
  <c r="DL36" i="80"/>
  <c r="BX10" i="80"/>
  <c r="CW18" i="80"/>
  <c r="DG23" i="80"/>
  <c r="CW14" i="80"/>
  <c r="BX21" i="80"/>
  <c r="DV25" i="80"/>
  <c r="CW32" i="80"/>
  <c r="AT47" i="80"/>
  <c r="CM52" i="80"/>
  <c r="DQ60" i="80"/>
  <c r="CM22" i="80"/>
  <c r="CR14" i="80"/>
  <c r="BX9" i="80"/>
  <c r="DB19" i="80"/>
  <c r="AT11" i="80"/>
  <c r="CM15" i="80"/>
  <c r="DG19" i="80"/>
  <c r="AY25" i="80"/>
  <c r="CW31" i="80"/>
  <c r="AT58" i="80"/>
  <c r="DQ15" i="80"/>
  <c r="CM30" i="80"/>
  <c r="CH50" i="80"/>
  <c r="DB27" i="80"/>
  <c r="BX33" i="80"/>
  <c r="DV24" i="80"/>
  <c r="DL11" i="80"/>
  <c r="CH14" i="80"/>
  <c r="AY18" i="80"/>
  <c r="AT26" i="80"/>
  <c r="DV30" i="80"/>
  <c r="DL12" i="80"/>
  <c r="CH23" i="80"/>
  <c r="CH32" i="80"/>
  <c r="CC45" i="80"/>
  <c r="DL20" i="80"/>
  <c r="DV23" i="80"/>
  <c r="DB51" i="80"/>
  <c r="DB46" i="80"/>
  <c r="DG55" i="80"/>
  <c r="CR22" i="80"/>
  <c r="CH30" i="80"/>
  <c r="BD15" i="80"/>
  <c r="BX22" i="80"/>
  <c r="DG30" i="80"/>
  <c r="DG33" i="80"/>
  <c r="DQ62" i="80"/>
  <c r="DL14" i="80"/>
  <c r="BS19" i="80"/>
  <c r="CC22" i="80"/>
  <c r="BD31" i="80"/>
  <c r="BD43" i="80"/>
  <c r="DV51" i="80"/>
  <c r="CR69" i="80"/>
  <c r="CC59" i="80"/>
  <c r="CH41" i="80"/>
  <c r="DQ43" i="80"/>
  <c r="CC48" i="80"/>
  <c r="DV55" i="80"/>
  <c r="BD66" i="80"/>
  <c r="DG43" i="80"/>
  <c r="DB47" i="80"/>
  <c r="DB52" i="80"/>
  <c r="CW60" i="80"/>
  <c r="CH48" i="80"/>
  <c r="CC56" i="80"/>
  <c r="CR62" i="80"/>
  <c r="DL52" i="80"/>
  <c r="AT61" i="80"/>
  <c r="AY66" i="80"/>
  <c r="AY47" i="80"/>
  <c r="CW69" i="80"/>
  <c r="DB57" i="80"/>
  <c r="DL61" i="80"/>
  <c r="DQ65" i="80"/>
  <c r="CH70" i="80"/>
  <c r="AY60" i="80"/>
  <c r="CR65" i="80"/>
  <c r="CH65" i="80"/>
  <c r="DL67" i="80"/>
  <c r="CW70" i="80"/>
  <c r="AY67" i="80"/>
  <c r="BS16" i="80"/>
  <c r="CC19" i="80"/>
  <c r="BS8" i="80"/>
  <c r="DB18" i="80"/>
  <c r="DB11" i="80"/>
  <c r="DB20" i="80"/>
  <c r="DB26" i="80"/>
  <c r="AY32" i="80"/>
  <c r="DG8" i="80"/>
  <c r="AT25" i="80"/>
  <c r="AT12" i="80"/>
  <c r="BX19" i="80"/>
  <c r="CR43" i="80"/>
  <c r="DQ47" i="80"/>
  <c r="CH18" i="80"/>
  <c r="CC26" i="80"/>
  <c r="BS21" i="80"/>
  <c r="CW10" i="80"/>
  <c r="CM23" i="80"/>
  <c r="BX12" i="80"/>
  <c r="CR27" i="80"/>
  <c r="DB9" i="80"/>
  <c r="AY11" i="80"/>
  <c r="CW16" i="80"/>
  <c r="CW21" i="80"/>
  <c r="DQ56" i="80"/>
  <c r="DG11" i="80"/>
  <c r="DV28" i="80"/>
  <c r="AY27" i="80"/>
  <c r="AT32" i="80"/>
  <c r="DL10" i="80"/>
  <c r="DG12" i="80"/>
  <c r="DB15" i="80"/>
  <c r="BD24" i="80"/>
  <c r="CC27" i="80"/>
  <c r="CC32" i="80"/>
  <c r="BD9" i="80"/>
  <c r="DQ10" i="80"/>
  <c r="BX24" i="80"/>
  <c r="DB30" i="80"/>
  <c r="CH33" i="80"/>
  <c r="BS60" i="80"/>
  <c r="DQ19" i="80"/>
  <c r="CR30" i="80"/>
  <c r="CW44" i="80"/>
  <c r="AT48" i="80"/>
  <c r="DQ52" i="80"/>
  <c r="BD68" i="80"/>
  <c r="BD18" i="80"/>
  <c r="CC20" i="80"/>
  <c r="BS23" i="80"/>
  <c r="CC12" i="80"/>
  <c r="CR18" i="80"/>
  <c r="CR23" i="80"/>
  <c r="CM26" i="80"/>
  <c r="BD32" i="80"/>
  <c r="CM44" i="80"/>
  <c r="CW23" i="80"/>
  <c r="DL26" i="80"/>
  <c r="CR32" i="80"/>
  <c r="CM43" i="80"/>
  <c r="CM60" i="80"/>
  <c r="CH36" i="80"/>
  <c r="DV43" i="80"/>
  <c r="CC62" i="80"/>
  <c r="AT45" i="80"/>
  <c r="AT55" i="80"/>
  <c r="DL57" i="80"/>
  <c r="BX68" i="80"/>
  <c r="DV50" i="80"/>
  <c r="CC58" i="80"/>
  <c r="DG67" i="80"/>
  <c r="DV70" i="80"/>
  <c r="BS45" i="80"/>
  <c r="CW57" i="80"/>
  <c r="DQ63" i="80"/>
  <c r="CC51" i="80"/>
  <c r="CW48" i="80"/>
  <c r="DG51" i="80"/>
  <c r="BX67" i="80"/>
  <c r="DL58" i="80"/>
  <c r="CR64" i="80"/>
  <c r="CW67" i="80"/>
  <c r="AY57" i="80"/>
  <c r="CM66" i="80"/>
  <c r="CC66" i="80"/>
  <c r="DG68" i="80"/>
  <c r="CC71" i="80"/>
  <c r="DQ69" i="80"/>
  <c r="DQ66" i="80"/>
  <c r="CR70" i="80"/>
  <c r="BD71" i="80"/>
  <c r="AT70" i="80"/>
  <c r="BX20" i="80"/>
  <c r="CW11" i="80"/>
  <c r="DB24" i="80"/>
  <c r="CW26" i="80"/>
  <c r="DV12" i="80"/>
  <c r="DG17" i="80"/>
  <c r="AY22" i="80"/>
  <c r="DQ27" i="80"/>
  <c r="DQ33" i="80"/>
  <c r="BD41" i="80"/>
  <c r="CH64" i="80"/>
  <c r="DL8" i="80"/>
  <c r="BD22" i="80"/>
  <c r="DV32" i="80"/>
  <c r="BD30" i="80"/>
  <c r="DG61" i="80"/>
  <c r="CM32" i="80"/>
  <c r="BS9" i="80"/>
  <c r="BS11" i="80"/>
  <c r="BD17" i="80"/>
  <c r="CC33" i="80"/>
  <c r="CW19" i="80"/>
  <c r="AT31" i="80"/>
  <c r="CR50" i="80"/>
  <c r="BD46" i="80"/>
  <c r="CM18" i="80"/>
  <c r="BD27" i="80"/>
  <c r="BX18" i="80"/>
  <c r="CC36" i="80"/>
  <c r="BD64" i="80"/>
  <c r="AY50" i="80"/>
  <c r="CW68" i="80"/>
  <c r="DQ44" i="80"/>
  <c r="DQ64" i="80"/>
  <c r="BD62" i="80"/>
  <c r="CH67" i="80"/>
  <c r="CH68" i="80"/>
  <c r="CR19" i="80"/>
  <c r="CR25" i="80"/>
  <c r="CR59" i="80"/>
  <c r="DG41" i="80"/>
  <c r="DL19" i="80"/>
  <c r="BS26" i="80"/>
  <c r="DB66" i="80"/>
  <c r="CM63" i="80"/>
  <c r="CC50" i="80"/>
  <c r="DL55" i="80"/>
  <c r="DL66" i="80"/>
  <c r="BX36" i="80"/>
  <c r="DV59" i="80"/>
  <c r="DL48" i="80"/>
  <c r="DB56" i="80"/>
  <c r="BX57" i="80"/>
  <c r="DG62" i="80"/>
  <c r="DG71" i="80"/>
  <c r="BX66" i="80"/>
  <c r="CR33" i="80"/>
  <c r="AT20" i="80"/>
  <c r="AY26" i="80"/>
  <c r="DQ13" i="80"/>
  <c r="CH20" i="80"/>
  <c r="DG20" i="80"/>
  <c r="AY41" i="80"/>
  <c r="CW42" i="80"/>
  <c r="DB44" i="80"/>
  <c r="DL41" i="80"/>
  <c r="DQ50" i="80"/>
  <c r="DV62" i="80"/>
  <c r="DB67" i="80"/>
  <c r="AT68" i="80"/>
  <c r="DL70" i="80"/>
  <c r="BD12" i="80"/>
  <c r="BX26" i="80"/>
  <c r="DV56" i="80"/>
  <c r="BD23" i="80"/>
  <c r="DL54" i="80"/>
  <c r="DV22" i="80"/>
  <c r="DQ57" i="80"/>
  <c r="CW45" i="80"/>
  <c r="DG59" i="80"/>
  <c r="DL23" i="80"/>
  <c r="CM69" i="80"/>
  <c r="DB36" i="80"/>
  <c r="DL50" i="80"/>
  <c r="BX59" i="80"/>
  <c r="CC65" i="80"/>
  <c r="BS55" i="80"/>
  <c r="CW65" i="80"/>
  <c r="BS70" i="80"/>
  <c r="AY23" i="80"/>
  <c r="DV42" i="80"/>
  <c r="DB22" i="80"/>
  <c r="BS68" i="80"/>
  <c r="CR12" i="80"/>
  <c r="DV20" i="80"/>
  <c r="DG32" i="80"/>
  <c r="DQ22" i="80"/>
  <c r="BS32" i="80"/>
  <c r="CW61" i="80"/>
  <c r="BD45" i="80"/>
  <c r="CH45" i="80"/>
  <c r="CR42" i="80"/>
  <c r="AY44" i="80"/>
  <c r="CR56" i="80"/>
  <c r="DQ67" i="80"/>
  <c r="CW55" i="80"/>
  <c r="BS66" i="80"/>
  <c r="BX50" i="80"/>
  <c r="DG66" i="80"/>
  <c r="BS58" i="80"/>
  <c r="DG70" i="80"/>
  <c r="DV66" i="80"/>
  <c r="BX69" i="80"/>
  <c r="DV71" i="80"/>
  <c r="AY52" i="80"/>
  <c r="CC31" i="80"/>
  <c r="BS50" i="80"/>
  <c r="AY54" i="80"/>
  <c r="DV8" i="80"/>
  <c r="CM54" i="80"/>
  <c r="AY9" i="80"/>
  <c r="AT50" i="80"/>
  <c r="DB50" i="80"/>
  <c r="AY31" i="80"/>
  <c r="BS54" i="80"/>
  <c r="CC54" i="80"/>
  <c r="DV41" i="80"/>
  <c r="DQ8" i="80"/>
  <c r="DQ54" i="80"/>
  <c r="AT41" i="80"/>
  <c r="AT9" i="80"/>
  <c r="CW41" i="80"/>
  <c r="CM41" i="80"/>
  <c r="CM50" i="80"/>
  <c r="CC25" i="80"/>
  <c r="CR54" i="80"/>
  <c r="CH8" i="80"/>
  <c r="CC41" i="80"/>
  <c r="BX8" i="80"/>
  <c r="BD28" i="80"/>
  <c r="CM8" i="80"/>
  <c r="AT54" i="80"/>
  <c r="CR41" i="80"/>
  <c r="BN50" i="80"/>
  <c r="CW54" i="80"/>
  <c r="DQ41" i="80"/>
  <c r="BI50" i="80"/>
  <c r="BI54" i="80"/>
  <c r="BX41" i="80"/>
  <c r="DV54" i="80"/>
  <c r="DG54" i="80"/>
  <c r="BX54" i="80"/>
  <c r="BD8" i="80"/>
  <c r="DB8" i="80"/>
  <c r="BD54" i="80"/>
  <c r="BS41" i="80"/>
  <c r="CH54" i="80"/>
  <c r="DB41" i="80"/>
  <c r="CC8" i="80"/>
  <c r="AD81" i="80"/>
  <c r="AD83" i="80" s="1"/>
  <c r="AD84" i="80" s="1"/>
  <c r="AD86" i="80" s="1"/>
  <c r="AD87" i="80" s="1"/>
  <c r="AD76" i="80"/>
  <c r="BK84" i="80"/>
  <c r="BI8" i="80"/>
  <c r="BN8" i="80"/>
  <c r="EE5" i="80"/>
  <c r="EF6" i="80"/>
  <c r="DY81" i="80"/>
  <c r="DY83" i="80" s="1"/>
  <c r="DY76" i="80"/>
  <c r="BN54" i="80"/>
  <c r="EF9" i="80"/>
  <c r="EE8" i="80"/>
  <c r="DP81" i="80"/>
  <c r="DP83" i="80" s="1"/>
  <c r="DP84" i="80" s="1"/>
  <c r="DP86" i="80" s="1"/>
  <c r="DP87" i="80" s="1"/>
  <c r="DP76" i="80"/>
  <c r="BN41" i="80"/>
  <c r="BH90" i="80"/>
  <c r="AX75" i="80"/>
  <c r="AX39" i="80"/>
  <c r="DA81" i="80"/>
  <c r="DA83" i="80" s="1"/>
  <c r="DA84" i="80" s="1"/>
  <c r="DA86" i="80" s="1"/>
  <c r="DA87" i="80" s="1"/>
  <c r="DA76" i="80"/>
  <c r="BC81" i="80"/>
  <c r="BC83" i="80" s="1"/>
  <c r="BC84" i="80" s="1"/>
  <c r="BC86" i="80" s="1"/>
  <c r="BC87" i="80" s="1"/>
  <c r="BC76" i="80"/>
  <c r="AS39" i="80"/>
  <c r="AS75" i="80"/>
  <c r="DZ79" i="80"/>
  <c r="DX77" i="80"/>
  <c r="CG81" i="80"/>
  <c r="CG83" i="80" s="1"/>
  <c r="CG84" i="80" s="1"/>
  <c r="CG86" i="80" s="1"/>
  <c r="CG87" i="80" s="1"/>
  <c r="CG76" i="80"/>
  <c r="BW81" i="80"/>
  <c r="BW83" i="80" s="1"/>
  <c r="BW84" i="80" s="1"/>
  <c r="BW86" i="80" s="1"/>
  <c r="BW87" i="80" s="1"/>
  <c r="BW76" i="80"/>
  <c r="AY8" i="80"/>
  <c r="AR86" i="80"/>
  <c r="AR87" i="80" s="1"/>
  <c r="DY84" i="80"/>
  <c r="DY86" i="80" s="1"/>
  <c r="DY87" i="80" s="1"/>
  <c r="AD81" i="169"/>
  <c r="AD83" i="169" s="1"/>
  <c r="AD84" i="169" s="1"/>
  <c r="AD86" i="169" s="1"/>
  <c r="AD87" i="169" s="1"/>
  <c r="AD76" i="169"/>
  <c r="J81" i="169"/>
  <c r="J83" i="169" s="1"/>
  <c r="J84" i="169" s="1"/>
  <c r="J86" i="169" s="1"/>
  <c r="J87" i="169" s="1"/>
  <c r="J76" i="169"/>
  <c r="CT9" i="169"/>
  <c r="CR8" i="169"/>
  <c r="CJ84" i="169"/>
  <c r="CJ86" i="169" s="1"/>
  <c r="CJ87" i="169" s="1"/>
  <c r="CG81" i="169"/>
  <c r="CG83" i="169" s="1"/>
  <c r="CG84" i="169" s="1"/>
  <c r="CG86" i="169" s="1"/>
  <c r="CG87" i="169" s="1"/>
  <c r="CG76" i="169"/>
  <c r="CM49" i="169"/>
  <c r="CM72" i="169"/>
  <c r="CM27" i="169"/>
  <c r="CM29" i="169"/>
  <c r="CM48" i="169"/>
  <c r="CM56" i="169"/>
  <c r="CM51" i="169"/>
  <c r="CM68" i="169"/>
  <c r="CM26" i="169"/>
  <c r="CM52" i="169"/>
  <c r="CM24" i="169"/>
  <c r="CM36" i="169"/>
  <c r="CM30" i="169"/>
  <c r="CM61" i="169"/>
  <c r="CM28" i="169"/>
  <c r="CM44" i="169"/>
  <c r="CM63" i="169"/>
  <c r="CM70" i="169"/>
  <c r="CM32" i="169"/>
  <c r="CM64" i="169"/>
  <c r="CM58" i="169"/>
  <c r="CM57" i="169"/>
  <c r="CM59" i="169"/>
  <c r="CM62" i="169"/>
  <c r="CM31" i="169"/>
  <c r="CM25" i="169"/>
  <c r="CM71" i="169"/>
  <c r="CM67" i="169"/>
  <c r="CM60" i="169"/>
  <c r="CM18" i="169"/>
  <c r="CM45" i="169"/>
  <c r="CM65" i="169"/>
  <c r="CM19" i="169"/>
  <c r="CM46" i="169"/>
  <c r="CM9" i="169"/>
  <c r="CM69" i="169"/>
  <c r="CM55" i="169"/>
  <c r="CM15" i="169"/>
  <c r="CM13" i="169"/>
  <c r="CM23" i="169"/>
  <c r="CM10" i="169"/>
  <c r="CM43" i="169"/>
  <c r="CM14" i="169"/>
  <c r="CM17" i="169"/>
  <c r="CM42" i="169"/>
  <c r="CM33" i="169"/>
  <c r="CM22" i="169"/>
  <c r="CM16" i="169"/>
  <c r="CM20" i="169"/>
  <c r="CM12" i="169"/>
  <c r="CM21" i="169"/>
  <c r="CM11" i="169"/>
  <c r="CM47" i="169"/>
  <c r="CM66" i="169"/>
  <c r="BR81" i="169"/>
  <c r="BR83" i="169" s="1"/>
  <c r="BR84" i="169" s="1"/>
  <c r="BR86" i="169" s="1"/>
  <c r="BR87" i="169" s="1"/>
  <c r="BR76" i="169"/>
  <c r="CK81" i="169"/>
  <c r="CK83" i="169" s="1"/>
  <c r="CK76" i="169"/>
  <c r="BH81" i="169"/>
  <c r="BH83" i="169" s="1"/>
  <c r="BH84" i="169" s="1"/>
  <c r="BH86" i="169" s="1"/>
  <c r="BH87" i="169" s="1"/>
  <c r="BH76" i="169"/>
  <c r="CM41" i="169"/>
  <c r="CM54" i="169"/>
  <c r="AX81" i="169"/>
  <c r="AX83" i="169" s="1"/>
  <c r="AX84" i="169" s="1"/>
  <c r="AX86" i="169" s="1"/>
  <c r="AX76" i="169"/>
  <c r="CL75" i="169"/>
  <c r="CL39" i="169"/>
  <c r="CJ81" i="169"/>
  <c r="CJ83" i="169" s="1"/>
  <c r="CJ76" i="169"/>
  <c r="X84" i="169"/>
  <c r="CQ5" i="169"/>
  <c r="CQ38" i="169" s="1"/>
  <c r="CR6" i="169"/>
  <c r="CQ35" i="170"/>
  <c r="CR36" i="170"/>
  <c r="CR35" i="170" s="1"/>
  <c r="AI81" i="170"/>
  <c r="AI83" i="170" s="1"/>
  <c r="AI84" i="170" s="1"/>
  <c r="AI86" i="170" s="1"/>
  <c r="AI87" i="170" s="1"/>
  <c r="AI76" i="170"/>
  <c r="BH81" i="170"/>
  <c r="BH83" i="170" s="1"/>
  <c r="BH84" i="170" s="1"/>
  <c r="BH86" i="170" s="1"/>
  <c r="BH87" i="170" s="1"/>
  <c r="BH76" i="170"/>
  <c r="CR79" i="170"/>
  <c r="CQ77" i="170"/>
  <c r="CT9" i="170"/>
  <c r="CR8" i="170"/>
  <c r="AX81" i="170"/>
  <c r="AX83" i="170" s="1"/>
  <c r="AX84" i="170" s="1"/>
  <c r="AX86" i="170" s="1"/>
  <c r="AX76" i="170"/>
  <c r="CJ81" i="170"/>
  <c r="CJ83" i="170" s="1"/>
  <c r="CJ76" i="170"/>
  <c r="CG81" i="170"/>
  <c r="CG83" i="170" s="1"/>
  <c r="CG84" i="170" s="1"/>
  <c r="CG86" i="170" s="1"/>
  <c r="CG87" i="170" s="1"/>
  <c r="CG76" i="170"/>
  <c r="CQ5" i="170"/>
  <c r="CQ38" i="170" s="1"/>
  <c r="CR6" i="170"/>
  <c r="CL89" i="170"/>
  <c r="CM54" i="170" s="1"/>
  <c r="W84" i="170"/>
  <c r="X84" i="170"/>
  <c r="CL75" i="170"/>
  <c r="CL39" i="170"/>
  <c r="CB81" i="170"/>
  <c r="CB83" i="170" s="1"/>
  <c r="CB84" i="170" s="1"/>
  <c r="CB86" i="170" s="1"/>
  <c r="CB87" i="170" s="1"/>
  <c r="CB76" i="170"/>
  <c r="BR81" i="170"/>
  <c r="BR83" i="170" s="1"/>
  <c r="BR84" i="170" s="1"/>
  <c r="BR86" i="170" s="1"/>
  <c r="BR87" i="170" s="1"/>
  <c r="BR76" i="170"/>
  <c r="CM10" i="165"/>
  <c r="CM41" i="165"/>
  <c r="CM54" i="165"/>
  <c r="CL75" i="165"/>
  <c r="CQ75" i="165"/>
  <c r="CQ39" i="165"/>
  <c r="CM72" i="165"/>
  <c r="CM49" i="165"/>
  <c r="CM20" i="165"/>
  <c r="CM23" i="165"/>
  <c r="CM57" i="165"/>
  <c r="CM12" i="165"/>
  <c r="CM16" i="165"/>
  <c r="CM32" i="165"/>
  <c r="CM15" i="165"/>
  <c r="CM65" i="165"/>
  <c r="CM13" i="165"/>
  <c r="CM17" i="165"/>
  <c r="CM28" i="165"/>
  <c r="CM19" i="165"/>
  <c r="CM31" i="165"/>
  <c r="CM18" i="165"/>
  <c r="CM27" i="165"/>
  <c r="CM63" i="165"/>
  <c r="CM61" i="165"/>
  <c r="CM29" i="165"/>
  <c r="CM21" i="165"/>
  <c r="CM26" i="165"/>
  <c r="CM33" i="165"/>
  <c r="CM36" i="165"/>
  <c r="CM59" i="165"/>
  <c r="CM22" i="165"/>
  <c r="CM25" i="165"/>
  <c r="CM14" i="165"/>
  <c r="CM24" i="165"/>
  <c r="CM70" i="165"/>
  <c r="CM43" i="165"/>
  <c r="CM46" i="165"/>
  <c r="CM69" i="165"/>
  <c r="CM55" i="165"/>
  <c r="CM67" i="165"/>
  <c r="CM48" i="165"/>
  <c r="CM30" i="165"/>
  <c r="CM44" i="165"/>
  <c r="CM68" i="165"/>
  <c r="CM9" i="165"/>
  <c r="CM62" i="165"/>
  <c r="CM47" i="165"/>
  <c r="CM56" i="165"/>
  <c r="CM52" i="165"/>
  <c r="CM71" i="165"/>
  <c r="CM58" i="165"/>
  <c r="CM11" i="165"/>
  <c r="CM64" i="165"/>
  <c r="CM45" i="165"/>
  <c r="CM51" i="165"/>
  <c r="CM60" i="165"/>
  <c r="CT6" i="165"/>
  <c r="CR5" i="165"/>
  <c r="CK84" i="165"/>
  <c r="CK86" i="165" s="1"/>
  <c r="CK87" i="165" s="1"/>
  <c r="CL90" i="165"/>
  <c r="CJ84" i="165"/>
  <c r="CJ86" i="165" s="1"/>
  <c r="CJ87" i="165" s="1"/>
  <c r="CR8" i="165"/>
  <c r="CT9" i="165"/>
  <c r="CR79" i="165"/>
  <c r="CQ77" i="165"/>
  <c r="CJ81" i="165"/>
  <c r="CJ83" i="165" s="1"/>
  <c r="CJ76" i="165"/>
  <c r="AX104" i="157"/>
  <c r="AX103" i="157"/>
  <c r="AX87" i="170" l="1"/>
  <c r="AI75" i="157"/>
  <c r="AI39" i="157"/>
  <c r="CL8" i="157"/>
  <c r="CL38" i="157" s="1"/>
  <c r="AX87" i="169"/>
  <c r="AC86" i="157"/>
  <c r="AC87" i="157" s="1"/>
  <c r="X84" i="157"/>
  <c r="CK39" i="157"/>
  <c r="CK75" i="157"/>
  <c r="AL76" i="157"/>
  <c r="AD75" i="157"/>
  <c r="AD39" i="157"/>
  <c r="AN75" i="157"/>
  <c r="AN39" i="157"/>
  <c r="CJ38" i="157"/>
  <c r="EE79" i="80"/>
  <c r="DZ77" i="80"/>
  <c r="EF5" i="80"/>
  <c r="EH6" i="80"/>
  <c r="DZ75" i="80"/>
  <c r="DZ39" i="80"/>
  <c r="AS81" i="80"/>
  <c r="AS83" i="80" s="1"/>
  <c r="AS84" i="80" s="1"/>
  <c r="AS86" i="80" s="1"/>
  <c r="AS87" i="80" s="1"/>
  <c r="AS76" i="80"/>
  <c r="EE38" i="80"/>
  <c r="AX81" i="80"/>
  <c r="AX83" i="80" s="1"/>
  <c r="AX84" i="80" s="1"/>
  <c r="AX86" i="80" s="1"/>
  <c r="AX87" i="80" s="1"/>
  <c r="AX76" i="80"/>
  <c r="EH9" i="80"/>
  <c r="EF8" i="80"/>
  <c r="DZ89" i="80"/>
  <c r="CB81" i="80"/>
  <c r="CB83" i="80" s="1"/>
  <c r="CB84" i="80" s="1"/>
  <c r="CB86" i="80" s="1"/>
  <c r="CB87" i="80" s="1"/>
  <c r="CB76" i="80"/>
  <c r="BK86" i="80"/>
  <c r="DX84" i="80"/>
  <c r="DX86" i="80" s="1"/>
  <c r="DX87" i="80" s="1"/>
  <c r="DX81" i="80"/>
  <c r="DX83" i="80" s="1"/>
  <c r="DX76" i="80"/>
  <c r="X86" i="169"/>
  <c r="CK84" i="169"/>
  <c r="CK86" i="169" s="1"/>
  <c r="CK87" i="169" s="1"/>
  <c r="CT6" i="169"/>
  <c r="CR5" i="169"/>
  <c r="CR38" i="169" s="1"/>
  <c r="CL81" i="169"/>
  <c r="CL83" i="169" s="1"/>
  <c r="CL84" i="169" s="1"/>
  <c r="CL86" i="169" s="1"/>
  <c r="CL87" i="169" s="1"/>
  <c r="CL76" i="169"/>
  <c r="CQ75" i="169"/>
  <c r="CQ39" i="169"/>
  <c r="CL81" i="170"/>
  <c r="CL83" i="170" s="1"/>
  <c r="CL84" i="170" s="1"/>
  <c r="CL86" i="170" s="1"/>
  <c r="CL87" i="170" s="1"/>
  <c r="CL76" i="170"/>
  <c r="CQ75" i="170"/>
  <c r="CQ39" i="170"/>
  <c r="X86" i="170"/>
  <c r="CK84" i="170"/>
  <c r="CK86" i="170" s="1"/>
  <c r="CK87" i="170" s="1"/>
  <c r="W86" i="170"/>
  <c r="CJ84" i="170"/>
  <c r="CJ86" i="170" s="1"/>
  <c r="CJ87" i="170" s="1"/>
  <c r="CM72" i="170"/>
  <c r="CM49" i="170"/>
  <c r="CM52" i="170"/>
  <c r="CM27" i="170"/>
  <c r="CM43" i="170"/>
  <c r="CM26" i="170"/>
  <c r="CM23" i="170"/>
  <c r="CM44" i="170"/>
  <c r="CM51" i="170"/>
  <c r="CM47" i="170"/>
  <c r="CM56" i="170"/>
  <c r="CM12" i="170"/>
  <c r="CM33" i="170"/>
  <c r="CM70" i="170"/>
  <c r="CM58" i="170"/>
  <c r="CM13" i="170"/>
  <c r="CM20" i="170"/>
  <c r="CM30" i="170"/>
  <c r="CM24" i="170"/>
  <c r="CM63" i="170"/>
  <c r="CM60" i="170"/>
  <c r="CM32" i="170"/>
  <c r="CM61" i="170"/>
  <c r="CM59" i="170"/>
  <c r="CM14" i="170"/>
  <c r="CM18" i="170"/>
  <c r="CM15" i="170"/>
  <c r="CM45" i="170"/>
  <c r="CM28" i="170"/>
  <c r="CM46" i="170"/>
  <c r="CM25" i="170"/>
  <c r="CM11" i="170"/>
  <c r="CM68" i="170"/>
  <c r="CM57" i="170"/>
  <c r="CM71" i="170"/>
  <c r="CM17" i="170"/>
  <c r="CM9" i="170"/>
  <c r="CM69" i="170"/>
  <c r="CM62" i="170"/>
  <c r="CM67" i="170"/>
  <c r="CM48" i="170"/>
  <c r="CM29" i="170"/>
  <c r="CM42" i="170"/>
  <c r="CM31" i="170"/>
  <c r="CM16" i="170"/>
  <c r="CM66" i="170"/>
  <c r="CM19" i="170"/>
  <c r="CM22" i="170"/>
  <c r="CM10" i="170"/>
  <c r="CM65" i="170"/>
  <c r="CM21" i="170"/>
  <c r="CM64" i="170"/>
  <c r="CM55" i="170"/>
  <c r="CM41" i="170"/>
  <c r="CM36" i="170"/>
  <c r="CL90" i="170"/>
  <c r="CR5" i="170"/>
  <c r="CR38" i="170" s="1"/>
  <c r="CT6" i="170"/>
  <c r="CR38" i="165"/>
  <c r="CQ81" i="165"/>
  <c r="CQ83" i="165" s="1"/>
  <c r="CQ84" i="165" s="1"/>
  <c r="CQ86" i="165" s="1"/>
  <c r="CQ87" i="165" s="1"/>
  <c r="CQ76" i="165"/>
  <c r="CL81" i="165"/>
  <c r="CL83" i="165" s="1"/>
  <c r="CL84" i="165" s="1"/>
  <c r="CL86" i="165" s="1"/>
  <c r="CL87" i="165" s="1"/>
  <c r="CL76" i="165"/>
  <c r="CJ75" i="157" l="1"/>
  <c r="CJ39" i="157"/>
  <c r="AD76" i="157"/>
  <c r="CK81" i="157"/>
  <c r="CK83" i="157" s="1"/>
  <c r="CK76" i="157"/>
  <c r="AN76" i="157"/>
  <c r="CL39" i="157"/>
  <c r="CL75" i="157"/>
  <c r="AI76" i="157"/>
  <c r="X86" i="157"/>
  <c r="CK84" i="157"/>
  <c r="CK86" i="157" s="1"/>
  <c r="CK87" i="157" s="1"/>
  <c r="DZ81" i="80"/>
  <c r="DZ83" i="80" s="1"/>
  <c r="DZ84" i="80" s="1"/>
  <c r="DZ86" i="80" s="1"/>
  <c r="DZ87" i="80" s="1"/>
  <c r="DZ76" i="80"/>
  <c r="EE75" i="80"/>
  <c r="EE39" i="80"/>
  <c r="EF38" i="80"/>
  <c r="EA72" i="80"/>
  <c r="EA49" i="80"/>
  <c r="EA65" i="80"/>
  <c r="EA63" i="80"/>
  <c r="EA29" i="80"/>
  <c r="EA44" i="80"/>
  <c r="EA16" i="80"/>
  <c r="EA14" i="80"/>
  <c r="EA60" i="80"/>
  <c r="EA33" i="80"/>
  <c r="EA10" i="80"/>
  <c r="EA69" i="80"/>
  <c r="EA12" i="80"/>
  <c r="EA57" i="80"/>
  <c r="EA11" i="80"/>
  <c r="EA47" i="80"/>
  <c r="EA61" i="80"/>
  <c r="EA46" i="80"/>
  <c r="EA20" i="80"/>
  <c r="EA52" i="80"/>
  <c r="EA15" i="80"/>
  <c r="EA59" i="80"/>
  <c r="EA58" i="80"/>
  <c r="EA67" i="80"/>
  <c r="EA55" i="80"/>
  <c r="EA19" i="80"/>
  <c r="EA26" i="80"/>
  <c r="EA31" i="80"/>
  <c r="EA48" i="80"/>
  <c r="EA68" i="80"/>
  <c r="EA17" i="80"/>
  <c r="EA43" i="80"/>
  <c r="EA64" i="80"/>
  <c r="EA45" i="80"/>
  <c r="EA21" i="80"/>
  <c r="EA18" i="80"/>
  <c r="EA13" i="80"/>
  <c r="EA71" i="80"/>
  <c r="EA24" i="80"/>
  <c r="EA36" i="80"/>
  <c r="EA27" i="80"/>
  <c r="EA32" i="80"/>
  <c r="EA30" i="80"/>
  <c r="EA70" i="80"/>
  <c r="EA66" i="80"/>
  <c r="EA62" i="80"/>
  <c r="EA56" i="80"/>
  <c r="EA54" i="80"/>
  <c r="EA25" i="80"/>
  <c r="EA9" i="80"/>
  <c r="EA28" i="80"/>
  <c r="EA42" i="80"/>
  <c r="EA51" i="80"/>
  <c r="DZ90" i="80"/>
  <c r="EA41" i="80"/>
  <c r="EA8" i="80"/>
  <c r="EE77" i="80"/>
  <c r="EF79" i="80"/>
  <c r="CR75" i="169"/>
  <c r="CR39" i="169"/>
  <c r="CQ81" i="169"/>
  <c r="CQ83" i="169" s="1"/>
  <c r="CQ84" i="169" s="1"/>
  <c r="CQ86" i="169" s="1"/>
  <c r="CQ87" i="169" s="1"/>
  <c r="CQ76" i="169"/>
  <c r="CR75" i="170"/>
  <c r="CR39" i="170"/>
  <c r="CQ76" i="170"/>
  <c r="CQ81" i="170"/>
  <c r="CQ83" i="170" s="1"/>
  <c r="CQ84" i="170" s="1"/>
  <c r="CQ86" i="170" s="1"/>
  <c r="CQ87" i="170" s="1"/>
  <c r="CR75" i="165"/>
  <c r="CR39" i="165"/>
  <c r="CL76" i="157" l="1"/>
  <c r="CJ76" i="157"/>
  <c r="EF75" i="80"/>
  <c r="EF39" i="80"/>
  <c r="EE81" i="80"/>
  <c r="EE83" i="80" s="1"/>
  <c r="EE84" i="80" s="1"/>
  <c r="EE86" i="80" s="1"/>
  <c r="EE87" i="80" s="1"/>
  <c r="EE76" i="80"/>
  <c r="CR81" i="169"/>
  <c r="CR83" i="169" s="1"/>
  <c r="CR84" i="169" s="1"/>
  <c r="CR86" i="169" s="1"/>
  <c r="CR76" i="169"/>
  <c r="CR81" i="170"/>
  <c r="CR83" i="170" s="1"/>
  <c r="CR84" i="170" s="1"/>
  <c r="CR86" i="170" s="1"/>
  <c r="CR76" i="170"/>
  <c r="CR81" i="165"/>
  <c r="CR83" i="165" s="1"/>
  <c r="CR84" i="165" s="1"/>
  <c r="CR86" i="165" s="1"/>
  <c r="CR76" i="165"/>
  <c r="EF81" i="80" l="1"/>
  <c r="EF83" i="80" s="1"/>
  <c r="EF84" i="80" s="1"/>
  <c r="EF86" i="80" s="1"/>
  <c r="EF76" i="80"/>
  <c r="CR87" i="169"/>
  <c r="CT86" i="169"/>
  <c r="CR87" i="170"/>
  <c r="CT86" i="170"/>
  <c r="CR87" i="165"/>
  <c r="CT86" i="165"/>
  <c r="EF87" i="80" l="1"/>
  <c r="EH86" i="80"/>
  <c r="AH24" i="131"/>
  <c r="CP85" i="164" l="1"/>
  <c r="CQ85" i="164" s="1"/>
  <c r="CK85" i="164"/>
  <c r="CJ85" i="164"/>
  <c r="CG85" i="164"/>
  <c r="CB85" i="164"/>
  <c r="BW85" i="164"/>
  <c r="BR85" i="164"/>
  <c r="BM85" i="164"/>
  <c r="BH85" i="164"/>
  <c r="BC85" i="164"/>
  <c r="AX85" i="164"/>
  <c r="AS85" i="164"/>
  <c r="AN85" i="164"/>
  <c r="AI85" i="164"/>
  <c r="AD85" i="164"/>
  <c r="X85" i="164"/>
  <c r="W85" i="164"/>
  <c r="S85" i="164"/>
  <c r="R85" i="164"/>
  <c r="O85" i="164"/>
  <c r="J85" i="164"/>
  <c r="E85" i="164"/>
  <c r="CP82" i="164"/>
  <c r="CQ82" i="164" s="1"/>
  <c r="CL82" i="164"/>
  <c r="CG82" i="164"/>
  <c r="CB82" i="164"/>
  <c r="BW82" i="164"/>
  <c r="BR82" i="164"/>
  <c r="BM82" i="164"/>
  <c r="BH82" i="164"/>
  <c r="BC82" i="164"/>
  <c r="AX82" i="164"/>
  <c r="AS82" i="164"/>
  <c r="AN82" i="164"/>
  <c r="AI82" i="164"/>
  <c r="AD82" i="164"/>
  <c r="X82" i="164"/>
  <c r="Y82" i="164" s="1"/>
  <c r="W82" i="164"/>
  <c r="S82" i="164"/>
  <c r="R82" i="164"/>
  <c r="T82" i="164" s="1"/>
  <c r="O82" i="164"/>
  <c r="J82" i="164"/>
  <c r="E82" i="164"/>
  <c r="CK80" i="164"/>
  <c r="CJ80" i="164"/>
  <c r="CP79" i="164"/>
  <c r="BM79" i="164"/>
  <c r="X79" i="164"/>
  <c r="CK79" i="164" s="1"/>
  <c r="S79" i="164"/>
  <c r="CP78" i="164"/>
  <c r="CQ78" i="164" s="1"/>
  <c r="CG78" i="164"/>
  <c r="CB78" i="164"/>
  <c r="BW78" i="164"/>
  <c r="BR78" i="164"/>
  <c r="BM78" i="164"/>
  <c r="BM77" i="164" s="1"/>
  <c r="BH78" i="164"/>
  <c r="BC78" i="164"/>
  <c r="AX78" i="164"/>
  <c r="AS78" i="164"/>
  <c r="AN78" i="164"/>
  <c r="AI78" i="164"/>
  <c r="AD78" i="164"/>
  <c r="X78" i="164"/>
  <c r="CK78" i="164" s="1"/>
  <c r="CK77" i="164" s="1"/>
  <c r="W78" i="164"/>
  <c r="CJ78" i="164" s="1"/>
  <c r="S78" i="164"/>
  <c r="R78" i="164"/>
  <c r="T78" i="164" s="1"/>
  <c r="O78" i="164"/>
  <c r="J78" i="164"/>
  <c r="E78" i="164"/>
  <c r="CP77" i="164"/>
  <c r="CF77" i="164"/>
  <c r="CA77" i="164"/>
  <c r="BV77" i="164"/>
  <c r="BQ77" i="164"/>
  <c r="BL77" i="164"/>
  <c r="BK77" i="164"/>
  <c r="BG77" i="164"/>
  <c r="BB77" i="164"/>
  <c r="AW77" i="164"/>
  <c r="AR77" i="164"/>
  <c r="AM77" i="164"/>
  <c r="AH77" i="164"/>
  <c r="AC77" i="164"/>
  <c r="N77" i="164"/>
  <c r="I77" i="164"/>
  <c r="D77" i="164"/>
  <c r="CP74" i="164"/>
  <c r="CK74" i="164"/>
  <c r="CK73" i="164" s="1"/>
  <c r="CJ74" i="164"/>
  <c r="CG74" i="164"/>
  <c r="CB74" i="164"/>
  <c r="CB73" i="164" s="1"/>
  <c r="BW74" i="164"/>
  <c r="BW73" i="164" s="1"/>
  <c r="BR74" i="164"/>
  <c r="BM74" i="164"/>
  <c r="BM73" i="164" s="1"/>
  <c r="BH74" i="164"/>
  <c r="BC74" i="164"/>
  <c r="AX74" i="164"/>
  <c r="AX73" i="164" s="1"/>
  <c r="AS74" i="164"/>
  <c r="AS73" i="164" s="1"/>
  <c r="AN74" i="164"/>
  <c r="AN73" i="164" s="1"/>
  <c r="AI74" i="164"/>
  <c r="AI73" i="164" s="1"/>
  <c r="AD74" i="164"/>
  <c r="X74" i="164"/>
  <c r="W74" i="164"/>
  <c r="O74" i="164"/>
  <c r="O73" i="164" s="1"/>
  <c r="J74" i="164"/>
  <c r="E74" i="164"/>
  <c r="CJ73" i="164"/>
  <c r="CG73" i="164"/>
  <c r="CF73" i="164"/>
  <c r="CE73" i="164"/>
  <c r="CA73" i="164"/>
  <c r="BZ73" i="164"/>
  <c r="BV73" i="164"/>
  <c r="BU73" i="164"/>
  <c r="BR73" i="164"/>
  <c r="BQ73" i="164"/>
  <c r="BP73" i="164"/>
  <c r="BL73" i="164"/>
  <c r="BK73" i="164"/>
  <c r="BH73" i="164"/>
  <c r="BG73" i="164"/>
  <c r="BF73" i="164"/>
  <c r="BC73" i="164"/>
  <c r="BB73" i="164"/>
  <c r="BA73" i="164"/>
  <c r="AW73" i="164"/>
  <c r="AV73" i="164"/>
  <c r="AR73" i="164"/>
  <c r="AQ73" i="164"/>
  <c r="AM73" i="164"/>
  <c r="AL73" i="164"/>
  <c r="AH73" i="164"/>
  <c r="AG73" i="164"/>
  <c r="CP79" i="157" s="1"/>
  <c r="AD73" i="164"/>
  <c r="AC73" i="164"/>
  <c r="AB73" i="164"/>
  <c r="Y73" i="164"/>
  <c r="X73" i="164"/>
  <c r="W73" i="164"/>
  <c r="T73" i="164"/>
  <c r="S73" i="164"/>
  <c r="R73" i="164"/>
  <c r="N73" i="164"/>
  <c r="M73" i="164"/>
  <c r="J73" i="164"/>
  <c r="I73" i="164"/>
  <c r="H73" i="164"/>
  <c r="E73" i="164"/>
  <c r="D73" i="164"/>
  <c r="C73" i="164"/>
  <c r="CP71" i="164"/>
  <c r="CQ71" i="164" s="1"/>
  <c r="CG71" i="164"/>
  <c r="CB71" i="164"/>
  <c r="BW71" i="164"/>
  <c r="BR71" i="164"/>
  <c r="BM71" i="164"/>
  <c r="BH71" i="164"/>
  <c r="BC71" i="164"/>
  <c r="AX71" i="164"/>
  <c r="AS71" i="164"/>
  <c r="AN71" i="164"/>
  <c r="AI71" i="164"/>
  <c r="AD71" i="164"/>
  <c r="X71" i="164"/>
  <c r="CK71" i="164" s="1"/>
  <c r="W71" i="164"/>
  <c r="S71" i="164"/>
  <c r="R71" i="164"/>
  <c r="O71" i="164"/>
  <c r="J71" i="164"/>
  <c r="E71" i="164"/>
  <c r="CP70" i="164"/>
  <c r="CQ70" i="164" s="1"/>
  <c r="CG70" i="164"/>
  <c r="CB70" i="164"/>
  <c r="BW70" i="164"/>
  <c r="BR70" i="164"/>
  <c r="BM70" i="164"/>
  <c r="BH70" i="164"/>
  <c r="BC70" i="164"/>
  <c r="AX70" i="164"/>
  <c r="AS70" i="164"/>
  <c r="AN70" i="164"/>
  <c r="AI70" i="164"/>
  <c r="AD70" i="164"/>
  <c r="X70" i="164"/>
  <c r="CK70" i="164" s="1"/>
  <c r="W70" i="164"/>
  <c r="S70" i="164"/>
  <c r="R70" i="164"/>
  <c r="T70" i="164" s="1"/>
  <c r="O70" i="164"/>
  <c r="J70" i="164"/>
  <c r="E70" i="164"/>
  <c r="CP69" i="164"/>
  <c r="CQ69" i="164" s="1"/>
  <c r="CG69" i="164"/>
  <c r="CB69" i="164"/>
  <c r="BW69" i="164"/>
  <c r="BR69" i="164"/>
  <c r="BM69" i="164"/>
  <c r="BH69" i="164"/>
  <c r="BC69" i="164"/>
  <c r="AX69" i="164"/>
  <c r="AS69" i="164"/>
  <c r="AN69" i="164"/>
  <c r="AI69" i="164"/>
  <c r="AD69" i="164"/>
  <c r="X69" i="164"/>
  <c r="CK69" i="164" s="1"/>
  <c r="W69" i="164"/>
  <c r="S69" i="164"/>
  <c r="R69" i="164"/>
  <c r="O69" i="164"/>
  <c r="J69" i="164"/>
  <c r="E69" i="164"/>
  <c r="CP68" i="164"/>
  <c r="CQ68" i="164" s="1"/>
  <c r="CG68" i="164"/>
  <c r="CB68" i="164"/>
  <c r="BW68" i="164"/>
  <c r="BR68" i="164"/>
  <c r="BM68" i="164"/>
  <c r="BH68" i="164"/>
  <c r="BC68" i="164"/>
  <c r="AX68" i="164"/>
  <c r="AS68" i="164"/>
  <c r="AN68" i="164"/>
  <c r="AI68" i="164"/>
  <c r="AD68" i="164"/>
  <c r="X68" i="164"/>
  <c r="CK68" i="164" s="1"/>
  <c r="W68" i="164"/>
  <c r="S68" i="164"/>
  <c r="R68" i="164"/>
  <c r="O68" i="164"/>
  <c r="J68" i="164"/>
  <c r="E68" i="164"/>
  <c r="CP67" i="164"/>
  <c r="CQ67" i="164" s="1"/>
  <c r="CG67" i="164"/>
  <c r="CB67" i="164"/>
  <c r="BW67" i="164"/>
  <c r="BR67" i="164"/>
  <c r="BM67" i="164"/>
  <c r="BH67" i="164"/>
  <c r="BC67" i="164"/>
  <c r="AX67" i="164"/>
  <c r="AS67" i="164"/>
  <c r="AN67" i="164"/>
  <c r="AI67" i="164"/>
  <c r="AD67" i="164"/>
  <c r="X67" i="164"/>
  <c r="CK67" i="164" s="1"/>
  <c r="W67" i="164"/>
  <c r="S67" i="164"/>
  <c r="R67" i="164"/>
  <c r="O67" i="164"/>
  <c r="J67" i="164"/>
  <c r="E67" i="164"/>
  <c r="CP66" i="164"/>
  <c r="CQ66" i="164" s="1"/>
  <c r="CG66" i="164"/>
  <c r="CB66" i="164"/>
  <c r="BW66" i="164"/>
  <c r="BR66" i="164"/>
  <c r="BM66" i="164"/>
  <c r="BH66" i="164"/>
  <c r="BC66" i="164"/>
  <c r="AX66" i="164"/>
  <c r="AS66" i="164"/>
  <c r="AN66" i="164"/>
  <c r="AI66" i="164"/>
  <c r="AD66" i="164"/>
  <c r="X66" i="164"/>
  <c r="CK66" i="164" s="1"/>
  <c r="W66" i="164"/>
  <c r="S66" i="164"/>
  <c r="R66" i="164"/>
  <c r="O66" i="164"/>
  <c r="J66" i="164"/>
  <c r="E66" i="164"/>
  <c r="CP65" i="164"/>
  <c r="CQ65" i="164" s="1"/>
  <c r="CG65" i="164"/>
  <c r="CB65" i="164"/>
  <c r="BW65" i="164"/>
  <c r="BR65" i="164"/>
  <c r="BM65" i="164"/>
  <c r="BH65" i="164"/>
  <c r="BC65" i="164"/>
  <c r="AX65" i="164"/>
  <c r="AS65" i="164"/>
  <c r="AN65" i="164"/>
  <c r="AI65" i="164"/>
  <c r="AD65" i="164"/>
  <c r="X65" i="164"/>
  <c r="CK65" i="164" s="1"/>
  <c r="W65" i="164"/>
  <c r="S65" i="164"/>
  <c r="R65" i="164"/>
  <c r="O65" i="164"/>
  <c r="J65" i="164"/>
  <c r="E65" i="164"/>
  <c r="CP64" i="164"/>
  <c r="CQ64" i="164" s="1"/>
  <c r="CG64" i="164"/>
  <c r="CB64" i="164"/>
  <c r="BW64" i="164"/>
  <c r="BR64" i="164"/>
  <c r="BM64" i="164"/>
  <c r="BH64" i="164"/>
  <c r="BC64" i="164"/>
  <c r="AX64" i="164"/>
  <c r="AS64" i="164"/>
  <c r="AN64" i="164"/>
  <c r="AI64" i="164"/>
  <c r="AD64" i="164"/>
  <c r="X64" i="164"/>
  <c r="CK64" i="164" s="1"/>
  <c r="W64" i="164"/>
  <c r="CJ64" i="164" s="1"/>
  <c r="S64" i="164"/>
  <c r="R64" i="164"/>
  <c r="O64" i="164"/>
  <c r="J64" i="164"/>
  <c r="E64" i="164"/>
  <c r="CP63" i="164"/>
  <c r="CQ63" i="164" s="1"/>
  <c r="CG63" i="164"/>
  <c r="CB63" i="164"/>
  <c r="BW63" i="164"/>
  <c r="BR63" i="164"/>
  <c r="BM63" i="164"/>
  <c r="BH63" i="164"/>
  <c r="BC63" i="164"/>
  <c r="AX63" i="164"/>
  <c r="AS63" i="164"/>
  <c r="AN63" i="164"/>
  <c r="AI63" i="164"/>
  <c r="AD63" i="164"/>
  <c r="X63" i="164"/>
  <c r="CK63" i="164" s="1"/>
  <c r="W63" i="164"/>
  <c r="S63" i="164"/>
  <c r="R63" i="164"/>
  <c r="O63" i="164"/>
  <c r="J63" i="164"/>
  <c r="E63" i="164"/>
  <c r="CP62" i="164"/>
  <c r="CQ62" i="164" s="1"/>
  <c r="CG62" i="164"/>
  <c r="CB62" i="164"/>
  <c r="BW62" i="164"/>
  <c r="BR62" i="164"/>
  <c r="BM62" i="164"/>
  <c r="BH62" i="164"/>
  <c r="BC62" i="164"/>
  <c r="AX62" i="164"/>
  <c r="AS62" i="164"/>
  <c r="AN62" i="164"/>
  <c r="AI62" i="164"/>
  <c r="AD62" i="164"/>
  <c r="X62" i="164"/>
  <c r="CK62" i="164" s="1"/>
  <c r="W62" i="164"/>
  <c r="S62" i="164"/>
  <c r="R62" i="164"/>
  <c r="T62" i="164" s="1"/>
  <c r="O62" i="164"/>
  <c r="J62" i="164"/>
  <c r="E62" i="164"/>
  <c r="CP61" i="164"/>
  <c r="CQ61" i="164" s="1"/>
  <c r="CG61" i="164"/>
  <c r="CB61" i="164"/>
  <c r="BW61" i="164"/>
  <c r="BR61" i="164"/>
  <c r="BM61" i="164"/>
  <c r="BH61" i="164"/>
  <c r="BC61" i="164"/>
  <c r="AX61" i="164"/>
  <c r="AS61" i="164"/>
  <c r="AN61" i="164"/>
  <c r="AI61" i="164"/>
  <c r="AD61" i="164"/>
  <c r="X61" i="164"/>
  <c r="CK61" i="164" s="1"/>
  <c r="W61" i="164"/>
  <c r="S61" i="164"/>
  <c r="R61" i="164"/>
  <c r="O61" i="164"/>
  <c r="J61" i="164"/>
  <c r="E61" i="164"/>
  <c r="CP60" i="164"/>
  <c r="CQ60" i="164" s="1"/>
  <c r="CG60" i="164"/>
  <c r="CB60" i="164"/>
  <c r="BW60" i="164"/>
  <c r="BR60" i="164"/>
  <c r="BM60" i="164"/>
  <c r="BH60" i="164"/>
  <c r="BC60" i="164"/>
  <c r="AX60" i="164"/>
  <c r="AS60" i="164"/>
  <c r="AN60" i="164"/>
  <c r="AI60" i="164"/>
  <c r="AD60" i="164"/>
  <c r="X60" i="164"/>
  <c r="W60" i="164"/>
  <c r="CJ60" i="164" s="1"/>
  <c r="S60" i="164"/>
  <c r="R60" i="164"/>
  <c r="O60" i="164"/>
  <c r="J60" i="164"/>
  <c r="E60" i="164"/>
  <c r="CP59" i="164"/>
  <c r="CQ59" i="164" s="1"/>
  <c r="CG59" i="164"/>
  <c r="CB59" i="164"/>
  <c r="BW59" i="164"/>
  <c r="BR59" i="164"/>
  <c r="BM59" i="164"/>
  <c r="BH59" i="164"/>
  <c r="BC59" i="164"/>
  <c r="AX59" i="164"/>
  <c r="AS59" i="164"/>
  <c r="AN59" i="164"/>
  <c r="AI59" i="164"/>
  <c r="AD59" i="164"/>
  <c r="X59" i="164"/>
  <c r="Y59" i="164" s="1"/>
  <c r="W59" i="164"/>
  <c r="CJ59" i="164" s="1"/>
  <c r="S59" i="164"/>
  <c r="R59" i="164"/>
  <c r="T59" i="164" s="1"/>
  <c r="O59" i="164"/>
  <c r="J59" i="164"/>
  <c r="E59" i="164"/>
  <c r="CP58" i="164"/>
  <c r="CQ58" i="164" s="1"/>
  <c r="CG58" i="164"/>
  <c r="CB58" i="164"/>
  <c r="BW58" i="164"/>
  <c r="BR58" i="164"/>
  <c r="BM58" i="164"/>
  <c r="BH58" i="164"/>
  <c r="BC58" i="164"/>
  <c r="AX58" i="164"/>
  <c r="AS58" i="164"/>
  <c r="AN58" i="164"/>
  <c r="AI58" i="164"/>
  <c r="AD58" i="164"/>
  <c r="X58" i="164"/>
  <c r="CK58" i="164" s="1"/>
  <c r="W58" i="164"/>
  <c r="S58" i="164"/>
  <c r="R58" i="164"/>
  <c r="O58" i="164"/>
  <c r="J58" i="164"/>
  <c r="E58" i="164"/>
  <c r="CP57" i="164"/>
  <c r="CQ57" i="164" s="1"/>
  <c r="CG57" i="164"/>
  <c r="CB57" i="164"/>
  <c r="BW57" i="164"/>
  <c r="BR57" i="164"/>
  <c r="BM57" i="164"/>
  <c r="BH57" i="164"/>
  <c r="BC57" i="164"/>
  <c r="AX57" i="164"/>
  <c r="AS57" i="164"/>
  <c r="AN57" i="164"/>
  <c r="AI57" i="164"/>
  <c r="AD57" i="164"/>
  <c r="X57" i="164"/>
  <c r="W57" i="164"/>
  <c r="CJ57" i="164" s="1"/>
  <c r="S57" i="164"/>
  <c r="R57" i="164"/>
  <c r="O57" i="164"/>
  <c r="J57" i="164"/>
  <c r="E57" i="164"/>
  <c r="CP56" i="164"/>
  <c r="CQ56" i="164" s="1"/>
  <c r="CJ56" i="164"/>
  <c r="CG56" i="164"/>
  <c r="CB56" i="164"/>
  <c r="BW56" i="164"/>
  <c r="BR56" i="164"/>
  <c r="BM56" i="164"/>
  <c r="BH56" i="164"/>
  <c r="BC56" i="164"/>
  <c r="AX56" i="164"/>
  <c r="AS56" i="164"/>
  <c r="AN56" i="164"/>
  <c r="AI56" i="164"/>
  <c r="AD56" i="164"/>
  <c r="X56" i="164"/>
  <c r="CK56" i="164" s="1"/>
  <c r="W56" i="164"/>
  <c r="S56" i="164"/>
  <c r="R56" i="164"/>
  <c r="T56" i="164" s="1"/>
  <c r="O56" i="164"/>
  <c r="J56" i="164"/>
  <c r="E56" i="164"/>
  <c r="CP55" i="164"/>
  <c r="CQ55" i="164" s="1"/>
  <c r="CG55" i="164"/>
  <c r="CB55" i="164"/>
  <c r="BW55" i="164"/>
  <c r="BR55" i="164"/>
  <c r="BM55" i="164"/>
  <c r="BH55" i="164"/>
  <c r="BC55" i="164"/>
  <c r="AX55" i="164"/>
  <c r="AS55" i="164"/>
  <c r="AN55" i="164"/>
  <c r="AI55" i="164"/>
  <c r="AD55" i="164"/>
  <c r="X55" i="164"/>
  <c r="CK55" i="164" s="1"/>
  <c r="W55" i="164"/>
  <c r="S55" i="164"/>
  <c r="R55" i="164"/>
  <c r="T55" i="164" s="1"/>
  <c r="O55" i="164"/>
  <c r="J55" i="164"/>
  <c r="E55" i="164"/>
  <c r="CF54" i="164"/>
  <c r="CE54" i="164"/>
  <c r="CA54" i="164"/>
  <c r="BZ54" i="164"/>
  <c r="BV54" i="164"/>
  <c r="BU54" i="164"/>
  <c r="BQ54" i="164"/>
  <c r="BP54" i="164"/>
  <c r="BL54" i="164"/>
  <c r="BK54" i="164"/>
  <c r="BG54" i="164"/>
  <c r="BF54" i="164"/>
  <c r="BB54" i="164"/>
  <c r="BA54" i="164"/>
  <c r="AW54" i="164"/>
  <c r="AV54" i="164"/>
  <c r="AR54" i="164"/>
  <c r="AQ54" i="164"/>
  <c r="AM54" i="164"/>
  <c r="AL54" i="164"/>
  <c r="AH54" i="164"/>
  <c r="AG54" i="164"/>
  <c r="AC54" i="164"/>
  <c r="AB54" i="164"/>
  <c r="N54" i="164"/>
  <c r="M54" i="164"/>
  <c r="I54" i="164"/>
  <c r="H54" i="164"/>
  <c r="D54" i="164"/>
  <c r="C54" i="164"/>
  <c r="CK53" i="164"/>
  <c r="CJ53" i="164"/>
  <c r="CP52" i="164"/>
  <c r="CQ52" i="164" s="1"/>
  <c r="CG52" i="164"/>
  <c r="CB52" i="164"/>
  <c r="BW52" i="164"/>
  <c r="BR52" i="164"/>
  <c r="BM52" i="164"/>
  <c r="BH52" i="164"/>
  <c r="BC52" i="164"/>
  <c r="AX52" i="164"/>
  <c r="AS52" i="164"/>
  <c r="AN52" i="164"/>
  <c r="AI52" i="164"/>
  <c r="AD52" i="164"/>
  <c r="X52" i="164"/>
  <c r="CK52" i="164" s="1"/>
  <c r="W52" i="164"/>
  <c r="S52" i="164"/>
  <c r="R52" i="164"/>
  <c r="O52" i="164"/>
  <c r="J52" i="164"/>
  <c r="E52" i="164"/>
  <c r="E50" i="164" s="1"/>
  <c r="CP51" i="164"/>
  <c r="CQ51" i="164" s="1"/>
  <c r="CQ50" i="164" s="1"/>
  <c r="CG51" i="164"/>
  <c r="CG50" i="164" s="1"/>
  <c r="CB51" i="164"/>
  <c r="CB50" i="164" s="1"/>
  <c r="BW51" i="164"/>
  <c r="BR51" i="164"/>
  <c r="BR50" i="164" s="1"/>
  <c r="BM51" i="164"/>
  <c r="BH51" i="164"/>
  <c r="BC51" i="164"/>
  <c r="AX51" i="164"/>
  <c r="AS51" i="164"/>
  <c r="AS50" i="164" s="1"/>
  <c r="AN51" i="164"/>
  <c r="AI51" i="164"/>
  <c r="AD51" i="164"/>
  <c r="X51" i="164"/>
  <c r="CK51" i="164" s="1"/>
  <c r="W51" i="164"/>
  <c r="S51" i="164"/>
  <c r="R51" i="164"/>
  <c r="O51" i="164"/>
  <c r="O50" i="164" s="1"/>
  <c r="J51" i="164"/>
  <c r="E51" i="164"/>
  <c r="CP50" i="164"/>
  <c r="CF50" i="164"/>
  <c r="CE50" i="164"/>
  <c r="CA50" i="164"/>
  <c r="BZ50" i="164"/>
  <c r="BV50" i="164"/>
  <c r="BU50" i="164"/>
  <c r="BQ50" i="164"/>
  <c r="BP50" i="164"/>
  <c r="BM50" i="164"/>
  <c r="BL50" i="164"/>
  <c r="BK50" i="164"/>
  <c r="BH50" i="164"/>
  <c r="BG50" i="164"/>
  <c r="BF50" i="164"/>
  <c r="BB50" i="164"/>
  <c r="BA50" i="164"/>
  <c r="AX50" i="164"/>
  <c r="AW50" i="164"/>
  <c r="AV50" i="164"/>
  <c r="AR50" i="164"/>
  <c r="AQ50" i="164"/>
  <c r="AN50" i="164"/>
  <c r="AM50" i="164"/>
  <c r="AL50" i="164"/>
  <c r="AH50" i="164"/>
  <c r="AG50" i="164"/>
  <c r="AD50" i="164"/>
  <c r="AC50" i="164"/>
  <c r="AB50" i="164"/>
  <c r="R50" i="164"/>
  <c r="N50" i="164"/>
  <c r="M50" i="164"/>
  <c r="J50" i="164"/>
  <c r="I50" i="164"/>
  <c r="H50" i="164"/>
  <c r="D50" i="164"/>
  <c r="C50" i="164"/>
  <c r="CP48" i="164"/>
  <c r="CQ48" i="164" s="1"/>
  <c r="CG48" i="164"/>
  <c r="CB48" i="164"/>
  <c r="BW48" i="164"/>
  <c r="BR48" i="164"/>
  <c r="BM48" i="164"/>
  <c r="BH48" i="164"/>
  <c r="BC48" i="164"/>
  <c r="AX48" i="164"/>
  <c r="AS48" i="164"/>
  <c r="AN48" i="164"/>
  <c r="AI48" i="164"/>
  <c r="AD48" i="164"/>
  <c r="X48" i="164"/>
  <c r="CK48" i="164" s="1"/>
  <c r="W48" i="164"/>
  <c r="S48" i="164"/>
  <c r="R48" i="164"/>
  <c r="O48" i="164"/>
  <c r="J48" i="164"/>
  <c r="E48" i="164"/>
  <c r="CP47" i="164"/>
  <c r="CQ47" i="164" s="1"/>
  <c r="CG47" i="164"/>
  <c r="CB47" i="164"/>
  <c r="BW47" i="164"/>
  <c r="BR47" i="164"/>
  <c r="BM47" i="164"/>
  <c r="BH47" i="164"/>
  <c r="BC47" i="164"/>
  <c r="AX47" i="164"/>
  <c r="AS47" i="164"/>
  <c r="AN47" i="164"/>
  <c r="AI47" i="164"/>
  <c r="AD47" i="164"/>
  <c r="X47" i="164"/>
  <c r="CK47" i="164" s="1"/>
  <c r="W47" i="164"/>
  <c r="S47" i="164"/>
  <c r="R47" i="164"/>
  <c r="O47" i="164"/>
  <c r="J47" i="164"/>
  <c r="E47" i="164"/>
  <c r="CQ46" i="164"/>
  <c r="CP46" i="164"/>
  <c r="CG46" i="164"/>
  <c r="CB46" i="164"/>
  <c r="BW46" i="164"/>
  <c r="BR46" i="164"/>
  <c r="BM46" i="164"/>
  <c r="BH46" i="164"/>
  <c r="BC46" i="164"/>
  <c r="AX46" i="164"/>
  <c r="AS46" i="164"/>
  <c r="AN46" i="164"/>
  <c r="AI46" i="164"/>
  <c r="AD46" i="164"/>
  <c r="X46" i="164"/>
  <c r="CK46" i="164" s="1"/>
  <c r="W46" i="164"/>
  <c r="S46" i="164"/>
  <c r="R46" i="164"/>
  <c r="O46" i="164"/>
  <c r="J46" i="164"/>
  <c r="E46" i="164"/>
  <c r="CP45" i="164"/>
  <c r="CQ45" i="164" s="1"/>
  <c r="CG45" i="164"/>
  <c r="CB45" i="164"/>
  <c r="BW45" i="164"/>
  <c r="BR45" i="164"/>
  <c r="BM45" i="164"/>
  <c r="BH45" i="164"/>
  <c r="BC45" i="164"/>
  <c r="AX45" i="164"/>
  <c r="AS45" i="164"/>
  <c r="AN45" i="164"/>
  <c r="AI45" i="164"/>
  <c r="AD45" i="164"/>
  <c r="X45" i="164"/>
  <c r="CK45" i="164" s="1"/>
  <c r="W45" i="164"/>
  <c r="S45" i="164"/>
  <c r="R45" i="164"/>
  <c r="O45" i="164"/>
  <c r="J45" i="164"/>
  <c r="E45" i="164"/>
  <c r="CP44" i="164"/>
  <c r="CQ44" i="164" s="1"/>
  <c r="CK44" i="164"/>
  <c r="CG44" i="164"/>
  <c r="CB44" i="164"/>
  <c r="BW44" i="164"/>
  <c r="BR44" i="164"/>
  <c r="BM44" i="164"/>
  <c r="BH44" i="164"/>
  <c r="BC44" i="164"/>
  <c r="AX44" i="164"/>
  <c r="AS44" i="164"/>
  <c r="AN44" i="164"/>
  <c r="AI44" i="164"/>
  <c r="AD44" i="164"/>
  <c r="X44" i="164"/>
  <c r="W44" i="164"/>
  <c r="S44" i="164"/>
  <c r="R44" i="164"/>
  <c r="O44" i="164"/>
  <c r="J44" i="164"/>
  <c r="E44" i="164"/>
  <c r="CQ43" i="164"/>
  <c r="CP43" i="164"/>
  <c r="CG43" i="164"/>
  <c r="CB43" i="164"/>
  <c r="BW43" i="164"/>
  <c r="BR43" i="164"/>
  <c r="BM43" i="164"/>
  <c r="BH43" i="164"/>
  <c r="BC43" i="164"/>
  <c r="AX43" i="164"/>
  <c r="AS43" i="164"/>
  <c r="AN43" i="164"/>
  <c r="AI43" i="164"/>
  <c r="AD43" i="164"/>
  <c r="X43" i="164"/>
  <c r="CK43" i="164" s="1"/>
  <c r="W43" i="164"/>
  <c r="S43" i="164"/>
  <c r="R43" i="164"/>
  <c r="O43" i="164"/>
  <c r="J43" i="164"/>
  <c r="E43" i="164"/>
  <c r="CP42" i="164"/>
  <c r="CQ42" i="164" s="1"/>
  <c r="CG42" i="164"/>
  <c r="CB42" i="164"/>
  <c r="BW42" i="164"/>
  <c r="BR42" i="164"/>
  <c r="BM42" i="164"/>
  <c r="BH42" i="164"/>
  <c r="BC42" i="164"/>
  <c r="AX42" i="164"/>
  <c r="AS42" i="164"/>
  <c r="AN42" i="164"/>
  <c r="AI42" i="164"/>
  <c r="AD42" i="164"/>
  <c r="X42" i="164"/>
  <c r="Y42" i="164" s="1"/>
  <c r="W42" i="164"/>
  <c r="CJ42" i="164" s="1"/>
  <c r="S42" i="164"/>
  <c r="R42" i="164"/>
  <c r="O42" i="164"/>
  <c r="J42" i="164"/>
  <c r="E42" i="164"/>
  <c r="E41" i="164" s="1"/>
  <c r="CP41" i="164"/>
  <c r="CG41" i="164"/>
  <c r="CF41" i="164"/>
  <c r="CE41" i="164"/>
  <c r="CA41" i="164"/>
  <c r="BZ41" i="164"/>
  <c r="BW41" i="164"/>
  <c r="BV41" i="164"/>
  <c r="BU41" i="164"/>
  <c r="BR41" i="164"/>
  <c r="BQ41" i="164"/>
  <c r="BP41" i="164"/>
  <c r="BM41" i="164"/>
  <c r="BL41" i="164"/>
  <c r="BK41" i="164"/>
  <c r="BG41" i="164"/>
  <c r="BF41" i="164"/>
  <c r="BC41" i="164"/>
  <c r="BB41" i="164"/>
  <c r="BA41" i="164"/>
  <c r="AX41" i="164"/>
  <c r="AW41" i="164"/>
  <c r="AV41" i="164"/>
  <c r="AS41" i="164"/>
  <c r="AR41" i="164"/>
  <c r="AQ41" i="164"/>
  <c r="AM41" i="164"/>
  <c r="AL41" i="164"/>
  <c r="AI41" i="164"/>
  <c r="AH41" i="164"/>
  <c r="AG41" i="164"/>
  <c r="AD41" i="164"/>
  <c r="AC41" i="164"/>
  <c r="AB41" i="164"/>
  <c r="X41" i="164"/>
  <c r="R41" i="164"/>
  <c r="O41" i="164"/>
  <c r="N41" i="164"/>
  <c r="M41" i="164"/>
  <c r="J41" i="164"/>
  <c r="I41" i="164"/>
  <c r="H41" i="164"/>
  <c r="D41" i="164"/>
  <c r="C41" i="164"/>
  <c r="X37" i="164"/>
  <c r="W37" i="164"/>
  <c r="CG36" i="164"/>
  <c r="CB36" i="164"/>
  <c r="CB35" i="164" s="1"/>
  <c r="BW36" i="164"/>
  <c r="BR36" i="164"/>
  <c r="BM36" i="164"/>
  <c r="BH36" i="164"/>
  <c r="BH35" i="164" s="1"/>
  <c r="BC36" i="164"/>
  <c r="AX36" i="164"/>
  <c r="AS36" i="164"/>
  <c r="AN36" i="164"/>
  <c r="AN35" i="164" s="1"/>
  <c r="AI36" i="164"/>
  <c r="AD36" i="164"/>
  <c r="X36" i="164"/>
  <c r="W36" i="164"/>
  <c r="CJ36" i="164" s="1"/>
  <c r="CJ35" i="164" s="1"/>
  <c r="S36" i="164"/>
  <c r="R36" i="164"/>
  <c r="R35" i="164" s="1"/>
  <c r="O36" i="164"/>
  <c r="O35" i="164" s="1"/>
  <c r="J36" i="164"/>
  <c r="E36" i="164"/>
  <c r="CP35" i="164"/>
  <c r="CF35" i="164"/>
  <c r="CE35" i="164"/>
  <c r="CA35" i="164"/>
  <c r="BZ35" i="164"/>
  <c r="BV35" i="164"/>
  <c r="BU35" i="164"/>
  <c r="BR35" i="164"/>
  <c r="BQ35" i="164"/>
  <c r="BP35" i="164"/>
  <c r="BL35" i="164"/>
  <c r="BK35" i="164"/>
  <c r="BG35" i="164"/>
  <c r="BF35" i="164"/>
  <c r="BB35" i="164"/>
  <c r="BA35" i="164"/>
  <c r="AX35" i="164"/>
  <c r="AW35" i="164"/>
  <c r="AV35" i="164"/>
  <c r="AR35" i="164"/>
  <c r="AQ35" i="164"/>
  <c r="AM35" i="164"/>
  <c r="AL35" i="164"/>
  <c r="AI35" i="164"/>
  <c r="AH35" i="164"/>
  <c r="AG35" i="164"/>
  <c r="AD35" i="164"/>
  <c r="AC35" i="164"/>
  <c r="AB35" i="164"/>
  <c r="W35" i="164"/>
  <c r="S35" i="164"/>
  <c r="N35" i="164"/>
  <c r="M35" i="164"/>
  <c r="I35" i="164"/>
  <c r="H35" i="164"/>
  <c r="E35" i="164"/>
  <c r="D35" i="164"/>
  <c r="C35" i="164"/>
  <c r="CR33" i="164"/>
  <c r="CG33" i="164"/>
  <c r="CB33" i="164"/>
  <c r="BW33" i="164"/>
  <c r="BR33" i="164"/>
  <c r="BM33" i="164"/>
  <c r="BH33" i="164"/>
  <c r="BC33" i="164"/>
  <c r="AX33" i="164"/>
  <c r="AS33" i="164"/>
  <c r="AN33" i="164"/>
  <c r="AI33" i="164"/>
  <c r="AD33" i="164"/>
  <c r="X33" i="164"/>
  <c r="CK33" i="164" s="1"/>
  <c r="W33" i="164"/>
  <c r="S33" i="164"/>
  <c r="R33" i="164"/>
  <c r="O33" i="164"/>
  <c r="J33" i="164"/>
  <c r="E33" i="164"/>
  <c r="CG32" i="164"/>
  <c r="CB32" i="164"/>
  <c r="BW32" i="164"/>
  <c r="BR32" i="164"/>
  <c r="BM32" i="164"/>
  <c r="BH32" i="164"/>
  <c r="BC32" i="164"/>
  <c r="AX32" i="164"/>
  <c r="AS32" i="164"/>
  <c r="AN32" i="164"/>
  <c r="AI32" i="164"/>
  <c r="AD32" i="164"/>
  <c r="X32" i="164"/>
  <c r="CK32" i="164" s="1"/>
  <c r="W32" i="164"/>
  <c r="S32" i="164"/>
  <c r="R32" i="164"/>
  <c r="T32" i="164" s="1"/>
  <c r="O32" i="164"/>
  <c r="J32" i="164"/>
  <c r="E32" i="164"/>
  <c r="CG31" i="164"/>
  <c r="CB31" i="164"/>
  <c r="BW31" i="164"/>
  <c r="BR31" i="164"/>
  <c r="BM31" i="164"/>
  <c r="BH31" i="164"/>
  <c r="BC31" i="164"/>
  <c r="AX31" i="164"/>
  <c r="AS31" i="164"/>
  <c r="AN31" i="164"/>
  <c r="AI31" i="164"/>
  <c r="AD31" i="164"/>
  <c r="X31" i="164"/>
  <c r="CK31" i="164" s="1"/>
  <c r="W31" i="164"/>
  <c r="S31" i="164"/>
  <c r="R31" i="164"/>
  <c r="O31" i="164"/>
  <c r="J31" i="164"/>
  <c r="E31" i="164"/>
  <c r="CG30" i="164"/>
  <c r="CB30" i="164"/>
  <c r="BW30" i="164"/>
  <c r="BR30" i="164"/>
  <c r="BM30" i="164"/>
  <c r="BH30" i="164"/>
  <c r="BC30" i="164"/>
  <c r="AX30" i="164"/>
  <c r="AS30" i="164"/>
  <c r="AN30" i="164"/>
  <c r="AI30" i="164"/>
  <c r="AD30" i="164"/>
  <c r="X30" i="164"/>
  <c r="CK30" i="164" s="1"/>
  <c r="W30" i="164"/>
  <c r="S30" i="164"/>
  <c r="R30" i="164"/>
  <c r="O30" i="164"/>
  <c r="J30" i="164"/>
  <c r="E30" i="164"/>
  <c r="CG29" i="164"/>
  <c r="CB29" i="164"/>
  <c r="BW29" i="164"/>
  <c r="BR29" i="164"/>
  <c r="BM29" i="164"/>
  <c r="BH29" i="164"/>
  <c r="BC29" i="164"/>
  <c r="AX29" i="164"/>
  <c r="AS29" i="164"/>
  <c r="AN29" i="164"/>
  <c r="AI29" i="164"/>
  <c r="AD29" i="164"/>
  <c r="X29" i="164"/>
  <c r="CK29" i="164" s="1"/>
  <c r="W29" i="164"/>
  <c r="S29" i="164"/>
  <c r="R29" i="164"/>
  <c r="O29" i="164"/>
  <c r="J29" i="164"/>
  <c r="E29" i="164"/>
  <c r="CG28" i="164"/>
  <c r="CB28" i="164"/>
  <c r="BW28" i="164"/>
  <c r="BR28" i="164"/>
  <c r="BM28" i="164"/>
  <c r="BH28" i="164"/>
  <c r="BC28" i="164"/>
  <c r="AX28" i="164"/>
  <c r="AS28" i="164"/>
  <c r="AN28" i="164"/>
  <c r="AI28" i="164"/>
  <c r="AD28" i="164"/>
  <c r="X28" i="164"/>
  <c r="CK28" i="164" s="1"/>
  <c r="W28" i="164"/>
  <c r="S28" i="164"/>
  <c r="R28" i="164"/>
  <c r="T28" i="164" s="1"/>
  <c r="O28" i="164"/>
  <c r="J28" i="164"/>
  <c r="E28" i="164"/>
  <c r="CG27" i="164"/>
  <c r="CB27" i="164"/>
  <c r="BW27" i="164"/>
  <c r="BR27" i="164"/>
  <c r="BM27" i="164"/>
  <c r="BH27" i="164"/>
  <c r="BC27" i="164"/>
  <c r="AX27" i="164"/>
  <c r="AS27" i="164"/>
  <c r="AN27" i="164"/>
  <c r="AI27" i="164"/>
  <c r="AD27" i="164"/>
  <c r="X27" i="164"/>
  <c r="CK27" i="164" s="1"/>
  <c r="W27" i="164"/>
  <c r="S27" i="164"/>
  <c r="R27" i="164"/>
  <c r="O27" i="164"/>
  <c r="J27" i="164"/>
  <c r="E27" i="164"/>
  <c r="CG26" i="164"/>
  <c r="CB26" i="164"/>
  <c r="BW26" i="164"/>
  <c r="BR26" i="164"/>
  <c r="BM26" i="164"/>
  <c r="BH26" i="164"/>
  <c r="BC26" i="164"/>
  <c r="AX26" i="164"/>
  <c r="AS26" i="164"/>
  <c r="AN26" i="164"/>
  <c r="AI26" i="164"/>
  <c r="AD26" i="164"/>
  <c r="X26" i="164"/>
  <c r="CK26" i="164" s="1"/>
  <c r="W26" i="164"/>
  <c r="S26" i="164"/>
  <c r="R26" i="164"/>
  <c r="O26" i="164"/>
  <c r="J26" i="164"/>
  <c r="E26" i="164"/>
  <c r="CG25" i="164"/>
  <c r="CB25" i="164"/>
  <c r="BW25" i="164"/>
  <c r="BR25" i="164"/>
  <c r="BM25" i="164"/>
  <c r="BH25" i="164"/>
  <c r="BC25" i="164"/>
  <c r="AX25" i="164"/>
  <c r="AS25" i="164"/>
  <c r="AN25" i="164"/>
  <c r="AI25" i="164"/>
  <c r="AD25" i="164"/>
  <c r="X25" i="164"/>
  <c r="CK25" i="164" s="1"/>
  <c r="W25" i="164"/>
  <c r="S25" i="164"/>
  <c r="R25" i="164"/>
  <c r="O25" i="164"/>
  <c r="J25" i="164"/>
  <c r="E25" i="164"/>
  <c r="CG24" i="164"/>
  <c r="CB24" i="164"/>
  <c r="BW24" i="164"/>
  <c r="BR24" i="164"/>
  <c r="BM24" i="164"/>
  <c r="BH24" i="164"/>
  <c r="BC24" i="164"/>
  <c r="AX24" i="164"/>
  <c r="AS24" i="164"/>
  <c r="AN24" i="164"/>
  <c r="AI24" i="164"/>
  <c r="AD24" i="164"/>
  <c r="X24" i="164"/>
  <c r="CK24" i="164" s="1"/>
  <c r="W24" i="164"/>
  <c r="S24" i="164"/>
  <c r="R24" i="164"/>
  <c r="T24" i="164" s="1"/>
  <c r="O24" i="164"/>
  <c r="J24" i="164"/>
  <c r="E24" i="164"/>
  <c r="CG23" i="164"/>
  <c r="CB23" i="164"/>
  <c r="BW23" i="164"/>
  <c r="BR23" i="164"/>
  <c r="BM23" i="164"/>
  <c r="BH23" i="164"/>
  <c r="BC23" i="164"/>
  <c r="AX23" i="164"/>
  <c r="AS23" i="164"/>
  <c r="AN23" i="164"/>
  <c r="AI23" i="164"/>
  <c r="AD23" i="164"/>
  <c r="X23" i="164"/>
  <c r="CK23" i="164" s="1"/>
  <c r="W23" i="164"/>
  <c r="S23" i="164"/>
  <c r="R23" i="164"/>
  <c r="O23" i="164"/>
  <c r="J23" i="164"/>
  <c r="E23" i="164"/>
  <c r="CG22" i="164"/>
  <c r="CB22" i="164"/>
  <c r="BW22" i="164"/>
  <c r="BR22" i="164"/>
  <c r="BM22" i="164"/>
  <c r="BH22" i="164"/>
  <c r="BC22" i="164"/>
  <c r="AX22" i="164"/>
  <c r="AS22" i="164"/>
  <c r="AN22" i="164"/>
  <c r="AI22" i="164"/>
  <c r="AD22" i="164"/>
  <c r="X22" i="164"/>
  <c r="CK22" i="164" s="1"/>
  <c r="W22" i="164"/>
  <c r="CJ22" i="164" s="1"/>
  <c r="S22" i="164"/>
  <c r="R22" i="164"/>
  <c r="O22" i="164"/>
  <c r="J22" i="164"/>
  <c r="E22" i="164"/>
  <c r="CG21" i="164"/>
  <c r="CB21" i="164"/>
  <c r="BW21" i="164"/>
  <c r="BR21" i="164"/>
  <c r="BM21" i="164"/>
  <c r="BH21" i="164"/>
  <c r="BC21" i="164"/>
  <c r="AX21" i="164"/>
  <c r="AS21" i="164"/>
  <c r="AN21" i="164"/>
  <c r="AI21" i="164"/>
  <c r="AD21" i="164"/>
  <c r="X21" i="164"/>
  <c r="CK21" i="164" s="1"/>
  <c r="W21" i="164"/>
  <c r="CJ21" i="164" s="1"/>
  <c r="S21" i="164"/>
  <c r="R21" i="164"/>
  <c r="O21" i="164"/>
  <c r="J21" i="164"/>
  <c r="E21" i="164"/>
  <c r="CG20" i="164"/>
  <c r="CB20" i="164"/>
  <c r="BW20" i="164"/>
  <c r="BR20" i="164"/>
  <c r="BM20" i="164"/>
  <c r="BH20" i="164"/>
  <c r="BC20" i="164"/>
  <c r="AX20" i="164"/>
  <c r="AS20" i="164"/>
  <c r="AN20" i="164"/>
  <c r="AI20" i="164"/>
  <c r="AD20" i="164"/>
  <c r="X20" i="164"/>
  <c r="CK20" i="164" s="1"/>
  <c r="W20" i="164"/>
  <c r="CJ20" i="164" s="1"/>
  <c r="S20" i="164"/>
  <c r="R20" i="164"/>
  <c r="T20" i="164" s="1"/>
  <c r="O20" i="164"/>
  <c r="J20" i="164"/>
  <c r="E20" i="164"/>
  <c r="CG19" i="164"/>
  <c r="CB19" i="164"/>
  <c r="BW19" i="164"/>
  <c r="BR19" i="164"/>
  <c r="BM19" i="164"/>
  <c r="BH19" i="164"/>
  <c r="BC19" i="164"/>
  <c r="AX19" i="164"/>
  <c r="AS19" i="164"/>
  <c r="AN19" i="164"/>
  <c r="AI19" i="164"/>
  <c r="AD19" i="164"/>
  <c r="X19" i="164"/>
  <c r="CK19" i="164" s="1"/>
  <c r="W19" i="164"/>
  <c r="Y19" i="164" s="1"/>
  <c r="S19" i="164"/>
  <c r="R19" i="164"/>
  <c r="T19" i="164" s="1"/>
  <c r="O19" i="164"/>
  <c r="J19" i="164"/>
  <c r="E19" i="164"/>
  <c r="CJ18" i="164"/>
  <c r="CG18" i="164"/>
  <c r="CB18" i="164"/>
  <c r="BW18" i="164"/>
  <c r="BR18" i="164"/>
  <c r="BM18" i="164"/>
  <c r="BH18" i="164"/>
  <c r="BC18" i="164"/>
  <c r="AX18" i="164"/>
  <c r="AS18" i="164"/>
  <c r="AN18" i="164"/>
  <c r="AI18" i="164"/>
  <c r="AD18" i="164"/>
  <c r="X18" i="164"/>
  <c r="CK18" i="164" s="1"/>
  <c r="W18" i="164"/>
  <c r="S18" i="164"/>
  <c r="R18" i="164"/>
  <c r="T18" i="164" s="1"/>
  <c r="O18" i="164"/>
  <c r="J18" i="164"/>
  <c r="E18" i="164"/>
  <c r="CJ17" i="164"/>
  <c r="CG17" i="164"/>
  <c r="CB17" i="164"/>
  <c r="BW17" i="164"/>
  <c r="BR17" i="164"/>
  <c r="BM17" i="164"/>
  <c r="BH17" i="164"/>
  <c r="BC17" i="164"/>
  <c r="AX17" i="164"/>
  <c r="AS17" i="164"/>
  <c r="AN17" i="164"/>
  <c r="AI17" i="164"/>
  <c r="AD17" i="164"/>
  <c r="X17" i="164"/>
  <c r="CK17" i="164" s="1"/>
  <c r="W17" i="164"/>
  <c r="S17" i="164"/>
  <c r="R17" i="164"/>
  <c r="T17" i="164" s="1"/>
  <c r="O17" i="164"/>
  <c r="J17" i="164"/>
  <c r="E17" i="164"/>
  <c r="CG16" i="164"/>
  <c r="CB16" i="164"/>
  <c r="BW16" i="164"/>
  <c r="BR16" i="164"/>
  <c r="BM16" i="164"/>
  <c r="BH16" i="164"/>
  <c r="BC16" i="164"/>
  <c r="AX16" i="164"/>
  <c r="AS16" i="164"/>
  <c r="AN16" i="164"/>
  <c r="AI16" i="164"/>
  <c r="AD16" i="164"/>
  <c r="X16" i="164"/>
  <c r="CK16" i="164" s="1"/>
  <c r="W16" i="164"/>
  <c r="CJ16" i="164" s="1"/>
  <c r="S16" i="164"/>
  <c r="R16" i="164"/>
  <c r="T16" i="164" s="1"/>
  <c r="O16" i="164"/>
  <c r="J16" i="164"/>
  <c r="E16" i="164"/>
  <c r="CG15" i="164"/>
  <c r="CB15" i="164"/>
  <c r="BW15" i="164"/>
  <c r="BR15" i="164"/>
  <c r="BM15" i="164"/>
  <c r="BH15" i="164"/>
  <c r="BC15" i="164"/>
  <c r="AX15" i="164"/>
  <c r="AS15" i="164"/>
  <c r="AN15" i="164"/>
  <c r="AI15" i="164"/>
  <c r="AD15" i="164"/>
  <c r="X15" i="164"/>
  <c r="CK15" i="164" s="1"/>
  <c r="W15" i="164"/>
  <c r="CJ15" i="164" s="1"/>
  <c r="S15" i="164"/>
  <c r="R15" i="164"/>
  <c r="T15" i="164" s="1"/>
  <c r="O15" i="164"/>
  <c r="J15" i="164"/>
  <c r="E15" i="164"/>
  <c r="CG14" i="164"/>
  <c r="CB14" i="164"/>
  <c r="BW14" i="164"/>
  <c r="BR14" i="164"/>
  <c r="BM14" i="164"/>
  <c r="BH14" i="164"/>
  <c r="BC14" i="164"/>
  <c r="AX14" i="164"/>
  <c r="AS14" i="164"/>
  <c r="AN14" i="164"/>
  <c r="AI14" i="164"/>
  <c r="AD14" i="164"/>
  <c r="X14" i="164"/>
  <c r="CK14" i="164" s="1"/>
  <c r="W14" i="164"/>
  <c r="CJ14" i="164" s="1"/>
  <c r="S14" i="164"/>
  <c r="R14" i="164"/>
  <c r="T14" i="164" s="1"/>
  <c r="O14" i="164"/>
  <c r="J14" i="164"/>
  <c r="E14" i="164"/>
  <c r="CG13" i="164"/>
  <c r="CB13" i="164"/>
  <c r="BW13" i="164"/>
  <c r="BR13" i="164"/>
  <c r="BM13" i="164"/>
  <c r="BH13" i="164"/>
  <c r="BC13" i="164"/>
  <c r="AX13" i="164"/>
  <c r="AS13" i="164"/>
  <c r="AN13" i="164"/>
  <c r="AI13" i="164"/>
  <c r="AD13" i="164"/>
  <c r="X13" i="164"/>
  <c r="CK13" i="164" s="1"/>
  <c r="W13" i="164"/>
  <c r="CJ13" i="164" s="1"/>
  <c r="CL13" i="164" s="1"/>
  <c r="CQ13" i="164" s="1"/>
  <c r="CR13" i="164" s="1"/>
  <c r="S13" i="164"/>
  <c r="R13" i="164"/>
  <c r="O13" i="164"/>
  <c r="J13" i="164"/>
  <c r="E13" i="164"/>
  <c r="CG12" i="164"/>
  <c r="CB12" i="164"/>
  <c r="BW12" i="164"/>
  <c r="BR12" i="164"/>
  <c r="BM12" i="164"/>
  <c r="BH12" i="164"/>
  <c r="BC12" i="164"/>
  <c r="AX12" i="164"/>
  <c r="AS12" i="164"/>
  <c r="AN12" i="164"/>
  <c r="AI12" i="164"/>
  <c r="AD12" i="164"/>
  <c r="X12" i="164"/>
  <c r="CK12" i="164" s="1"/>
  <c r="W12" i="164"/>
  <c r="CJ12" i="164" s="1"/>
  <c r="CL12" i="164" s="1"/>
  <c r="S12" i="164"/>
  <c r="R12" i="164"/>
  <c r="T12" i="164" s="1"/>
  <c r="O12" i="164"/>
  <c r="J12" i="164"/>
  <c r="E12" i="164"/>
  <c r="CG11" i="164"/>
  <c r="CB11" i="164"/>
  <c r="BW11" i="164"/>
  <c r="BR11" i="164"/>
  <c r="BM11" i="164"/>
  <c r="BH11" i="164"/>
  <c r="BC11" i="164"/>
  <c r="AX11" i="164"/>
  <c r="AS11" i="164"/>
  <c r="AN11" i="164"/>
  <c r="AI11" i="164"/>
  <c r="AI100" i="157" s="1"/>
  <c r="AD11" i="164"/>
  <c r="X11" i="164"/>
  <c r="CK11" i="164" s="1"/>
  <c r="W11" i="164"/>
  <c r="S11" i="164"/>
  <c r="R11" i="164"/>
  <c r="O11" i="164"/>
  <c r="J11" i="164"/>
  <c r="E11" i="164"/>
  <c r="CG10" i="164"/>
  <c r="CB10" i="164"/>
  <c r="BW10" i="164"/>
  <c r="BR10" i="164"/>
  <c r="BM10" i="164"/>
  <c r="BH10" i="164"/>
  <c r="BC10" i="164"/>
  <c r="AX10" i="164"/>
  <c r="AS10" i="164"/>
  <c r="AN10" i="164"/>
  <c r="AI10" i="164"/>
  <c r="AD10" i="164"/>
  <c r="X10" i="164"/>
  <c r="W10" i="164"/>
  <c r="CJ10" i="164" s="1"/>
  <c r="S10" i="164"/>
  <c r="R10" i="164"/>
  <c r="O10" i="164"/>
  <c r="J10" i="164"/>
  <c r="E10" i="164"/>
  <c r="CG9" i="164"/>
  <c r="CB9" i="164"/>
  <c r="BW9" i="164"/>
  <c r="BR9" i="164"/>
  <c r="BM9" i="164"/>
  <c r="BH9" i="164"/>
  <c r="BC9" i="164"/>
  <c r="AX9" i="164"/>
  <c r="AS9" i="164"/>
  <c r="AN9" i="164"/>
  <c r="AN100" i="157" s="1"/>
  <c r="AI9" i="164"/>
  <c r="AD9" i="164"/>
  <c r="X9" i="164"/>
  <c r="CK9" i="164" s="1"/>
  <c r="W9" i="164"/>
  <c r="S9" i="164"/>
  <c r="T9" i="164" s="1"/>
  <c r="R9" i="164"/>
  <c r="O9" i="164"/>
  <c r="J9" i="164"/>
  <c r="E9" i="164"/>
  <c r="CP8" i="164"/>
  <c r="CF8" i="164"/>
  <c r="CE8" i="164"/>
  <c r="CA8" i="164"/>
  <c r="BZ8" i="164"/>
  <c r="BV8" i="164"/>
  <c r="BU8" i="164"/>
  <c r="BQ8" i="164"/>
  <c r="BP8" i="164"/>
  <c r="BL8" i="164"/>
  <c r="BK8" i="164"/>
  <c r="BG8" i="164"/>
  <c r="BF8" i="164"/>
  <c r="BB8" i="164"/>
  <c r="BA8" i="164"/>
  <c r="AW8" i="164"/>
  <c r="AV8" i="164"/>
  <c r="AR8" i="164"/>
  <c r="AQ8" i="164"/>
  <c r="AM8" i="164"/>
  <c r="AL8" i="164"/>
  <c r="AH8" i="164"/>
  <c r="AG8" i="164"/>
  <c r="AC8" i="164"/>
  <c r="AB8" i="164"/>
  <c r="N8" i="164"/>
  <c r="M8" i="164"/>
  <c r="I8" i="164"/>
  <c r="H8" i="164"/>
  <c r="D8" i="164"/>
  <c r="C8" i="164"/>
  <c r="CG7" i="164"/>
  <c r="CB7" i="164"/>
  <c r="BW7" i="164"/>
  <c r="BR7" i="164"/>
  <c r="BM7" i="164"/>
  <c r="BM5" i="164" s="1"/>
  <c r="BH7" i="164"/>
  <c r="BC7" i="164"/>
  <c r="AX7" i="164"/>
  <c r="AS7" i="164"/>
  <c r="AN7" i="164"/>
  <c r="AI7" i="164"/>
  <c r="AD7" i="164"/>
  <c r="X7" i="164"/>
  <c r="CK7" i="164" s="1"/>
  <c r="W7" i="164"/>
  <c r="CJ7" i="164" s="1"/>
  <c r="S7" i="164"/>
  <c r="R7" i="164"/>
  <c r="O7" i="164"/>
  <c r="J7" i="164"/>
  <c r="E7" i="164"/>
  <c r="CG6" i="164"/>
  <c r="CB6" i="164"/>
  <c r="CB5" i="164" s="1"/>
  <c r="BW6" i="164"/>
  <c r="BR6" i="164"/>
  <c r="BM6" i="164"/>
  <c r="BH6" i="164"/>
  <c r="BH5" i="164" s="1"/>
  <c r="BC6" i="164"/>
  <c r="BC5" i="164" s="1"/>
  <c r="AX6" i="164"/>
  <c r="AS6" i="164"/>
  <c r="AN6" i="164"/>
  <c r="AN5" i="164" s="1"/>
  <c r="AI6" i="164"/>
  <c r="AD6" i="164"/>
  <c r="X6" i="164"/>
  <c r="W6" i="164"/>
  <c r="CJ6" i="164" s="1"/>
  <c r="CJ5" i="164" s="1"/>
  <c r="S6" i="164"/>
  <c r="R6" i="164"/>
  <c r="R5" i="164" s="1"/>
  <c r="O6" i="164"/>
  <c r="O5" i="164" s="1"/>
  <c r="J6" i="164"/>
  <c r="E6" i="164"/>
  <c r="CP5" i="164"/>
  <c r="CG5" i="164"/>
  <c r="CF5" i="164"/>
  <c r="CF38" i="164" s="1"/>
  <c r="CE5" i="164"/>
  <c r="CA5" i="164"/>
  <c r="BZ5" i="164"/>
  <c r="BW5" i="164"/>
  <c r="BV5" i="164"/>
  <c r="BV38" i="164" s="1"/>
  <c r="BV75" i="164" s="1"/>
  <c r="BU5" i="164"/>
  <c r="BQ5" i="164"/>
  <c r="BQ38" i="164" s="1"/>
  <c r="BP5" i="164"/>
  <c r="BL5" i="164"/>
  <c r="BL38" i="164" s="1"/>
  <c r="BK5" i="164"/>
  <c r="BK38" i="164" s="1"/>
  <c r="BG5" i="164"/>
  <c r="BF5" i="164"/>
  <c r="BB5" i="164"/>
  <c r="BB38" i="164" s="1"/>
  <c r="BA5" i="164"/>
  <c r="AW5" i="164"/>
  <c r="AV5" i="164"/>
  <c r="AS5" i="164"/>
  <c r="AR5" i="164"/>
  <c r="AR38" i="164" s="1"/>
  <c r="AQ5" i="164"/>
  <c r="AM5" i="164"/>
  <c r="AL5" i="164"/>
  <c r="AI5" i="164"/>
  <c r="AH5" i="164"/>
  <c r="AH38" i="164" s="1"/>
  <c r="AG5" i="164"/>
  <c r="AC5" i="164"/>
  <c r="AB5" i="164"/>
  <c r="X5" i="164"/>
  <c r="S5" i="164"/>
  <c r="N5" i="164"/>
  <c r="M5" i="164"/>
  <c r="I5" i="164"/>
  <c r="I38" i="164" s="1"/>
  <c r="H5" i="164"/>
  <c r="H38" i="164" s="1"/>
  <c r="H75" i="164" s="1"/>
  <c r="D5" i="164"/>
  <c r="C5" i="164"/>
  <c r="C38" i="164" s="1"/>
  <c r="CP85" i="160"/>
  <c r="CQ85" i="160" s="1"/>
  <c r="CK85" i="160"/>
  <c r="CJ85" i="160"/>
  <c r="CL85" i="160" s="1"/>
  <c r="CG85" i="160"/>
  <c r="CB85" i="160"/>
  <c r="BW85" i="160"/>
  <c r="BR85" i="160"/>
  <c r="BM85" i="160"/>
  <c r="BH85" i="160"/>
  <c r="BC85" i="160"/>
  <c r="AX85" i="160"/>
  <c r="AS85" i="160"/>
  <c r="AN85" i="160"/>
  <c r="AI85" i="160"/>
  <c r="AD85" i="160"/>
  <c r="X85" i="160"/>
  <c r="W85" i="160"/>
  <c r="Y85" i="160" s="1"/>
  <c r="S85" i="160"/>
  <c r="T85" i="160" s="1"/>
  <c r="R85" i="160"/>
  <c r="O85" i="160"/>
  <c r="J85" i="160"/>
  <c r="E85" i="160"/>
  <c r="CP82" i="160"/>
  <c r="CQ82" i="160" s="1"/>
  <c r="CL82" i="160"/>
  <c r="CG82" i="160"/>
  <c r="CB82" i="160"/>
  <c r="BW82" i="160"/>
  <c r="BR82" i="160"/>
  <c r="BM82" i="160"/>
  <c r="BH82" i="160"/>
  <c r="BC82" i="160"/>
  <c r="AX82" i="160"/>
  <c r="AS82" i="160"/>
  <c r="AN82" i="160"/>
  <c r="AI82" i="160"/>
  <c r="AD82" i="160"/>
  <c r="X82" i="160"/>
  <c r="W82" i="160"/>
  <c r="S82" i="160"/>
  <c r="R82" i="160"/>
  <c r="T82" i="160" s="1"/>
  <c r="O82" i="160"/>
  <c r="J82" i="160"/>
  <c r="E82" i="160"/>
  <c r="CK80" i="160"/>
  <c r="CJ80" i="160"/>
  <c r="CP79" i="160"/>
  <c r="CR79" i="160" s="1"/>
  <c r="BM79" i="160"/>
  <c r="X79" i="160"/>
  <c r="CK79" i="160" s="1"/>
  <c r="S79" i="160"/>
  <c r="CP78" i="160"/>
  <c r="CG78" i="160"/>
  <c r="CB78" i="160"/>
  <c r="BW78" i="160"/>
  <c r="BR78" i="160"/>
  <c r="BM78" i="160"/>
  <c r="BH78" i="160"/>
  <c r="BC78" i="160"/>
  <c r="AX78" i="160"/>
  <c r="AS78" i="160"/>
  <c r="AN78" i="160"/>
  <c r="AI78" i="160"/>
  <c r="AD78" i="160"/>
  <c r="X78" i="160"/>
  <c r="CK78" i="160" s="1"/>
  <c r="W78" i="160"/>
  <c r="S78" i="160"/>
  <c r="S77" i="160" s="1"/>
  <c r="R78" i="160"/>
  <c r="O78" i="160"/>
  <c r="J78" i="160"/>
  <c r="E78" i="160"/>
  <c r="CF77" i="160"/>
  <c r="CA77" i="160"/>
  <c r="BV77" i="160"/>
  <c r="BQ77" i="160"/>
  <c r="BL77" i="160"/>
  <c r="BK77" i="160"/>
  <c r="BG77" i="160"/>
  <c r="BB77" i="160"/>
  <c r="AW77" i="160"/>
  <c r="AR77" i="160"/>
  <c r="AM77" i="160"/>
  <c r="AH77" i="160"/>
  <c r="AC77" i="160"/>
  <c r="X77" i="160"/>
  <c r="N77" i="160"/>
  <c r="I77" i="160"/>
  <c r="D77" i="160"/>
  <c r="CP74" i="160"/>
  <c r="CQ74" i="160" s="1"/>
  <c r="CQ73" i="160" s="1"/>
  <c r="CK74" i="160"/>
  <c r="CK73" i="160" s="1"/>
  <c r="CJ74" i="160"/>
  <c r="CG74" i="160"/>
  <c r="CB74" i="160"/>
  <c r="CB73" i="160" s="1"/>
  <c r="BW74" i="160"/>
  <c r="BW73" i="160" s="1"/>
  <c r="BR74" i="160"/>
  <c r="BR73" i="160" s="1"/>
  <c r="BM74" i="160"/>
  <c r="BH74" i="160"/>
  <c r="BC74" i="160"/>
  <c r="BC73" i="160" s="1"/>
  <c r="AX74" i="160"/>
  <c r="AX73" i="160" s="1"/>
  <c r="AS74" i="160"/>
  <c r="AN74" i="160"/>
  <c r="AI74" i="160"/>
  <c r="AI73" i="160" s="1"/>
  <c r="AD74" i="160"/>
  <c r="X74" i="160"/>
  <c r="W74" i="160"/>
  <c r="W73" i="160" s="1"/>
  <c r="O74" i="160"/>
  <c r="J74" i="160"/>
  <c r="J73" i="160" s="1"/>
  <c r="E74" i="160"/>
  <c r="CP73" i="160"/>
  <c r="CJ73" i="160"/>
  <c r="CG73" i="160"/>
  <c r="CF73" i="160"/>
  <c r="CE73" i="160"/>
  <c r="CA73" i="160"/>
  <c r="BZ73" i="160"/>
  <c r="BV73" i="160"/>
  <c r="BU73" i="160"/>
  <c r="BQ73" i="160"/>
  <c r="BP73" i="160"/>
  <c r="BM73" i="160"/>
  <c r="BL73" i="160"/>
  <c r="BK73" i="160"/>
  <c r="BH73" i="160"/>
  <c r="BG73" i="160"/>
  <c r="BF73" i="160"/>
  <c r="BB73" i="160"/>
  <c r="BA73" i="160"/>
  <c r="AW73" i="160"/>
  <c r="AV73" i="160"/>
  <c r="AS73" i="160"/>
  <c r="AR73" i="160"/>
  <c r="AQ73" i="160"/>
  <c r="AN73" i="160"/>
  <c r="AM73" i="160"/>
  <c r="AL73" i="160"/>
  <c r="AH73" i="160"/>
  <c r="AG73" i="160"/>
  <c r="CP75" i="157" s="1"/>
  <c r="AD73" i="160"/>
  <c r="AC73" i="160"/>
  <c r="AB73" i="160"/>
  <c r="Y73" i="160"/>
  <c r="X73" i="160"/>
  <c r="T73" i="160"/>
  <c r="S73" i="160"/>
  <c r="R73" i="160"/>
  <c r="O73" i="160"/>
  <c r="N73" i="160"/>
  <c r="M73" i="160"/>
  <c r="I73" i="160"/>
  <c r="H73" i="160"/>
  <c r="E73" i="160"/>
  <c r="D73" i="160"/>
  <c r="C73" i="160"/>
  <c r="CQ71" i="160"/>
  <c r="CP71" i="160"/>
  <c r="CG71" i="160"/>
  <c r="CB71" i="160"/>
  <c r="BW71" i="160"/>
  <c r="BR71" i="160"/>
  <c r="BM71" i="160"/>
  <c r="BH71" i="160"/>
  <c r="BC71" i="160"/>
  <c r="AX71" i="160"/>
  <c r="AS71" i="160"/>
  <c r="AN71" i="160"/>
  <c r="AI71" i="160"/>
  <c r="AD71" i="160"/>
  <c r="X71" i="160"/>
  <c r="CK71" i="160" s="1"/>
  <c r="W71" i="160"/>
  <c r="CJ71" i="160" s="1"/>
  <c r="S71" i="160"/>
  <c r="R71" i="160"/>
  <c r="O71" i="160"/>
  <c r="J71" i="160"/>
  <c r="E71" i="160"/>
  <c r="CP70" i="160"/>
  <c r="CQ70" i="160" s="1"/>
  <c r="CG70" i="160"/>
  <c r="CB70" i="160"/>
  <c r="BW70" i="160"/>
  <c r="BR70" i="160"/>
  <c r="BM70" i="160"/>
  <c r="BH70" i="160"/>
  <c r="BC70" i="160"/>
  <c r="AX70" i="160"/>
  <c r="AS70" i="160"/>
  <c r="AN70" i="160"/>
  <c r="AI70" i="160"/>
  <c r="AD70" i="160"/>
  <c r="X70" i="160"/>
  <c r="CK70" i="160" s="1"/>
  <c r="W70" i="160"/>
  <c r="CJ70" i="160" s="1"/>
  <c r="S70" i="160"/>
  <c r="R70" i="160"/>
  <c r="O70" i="160"/>
  <c r="J70" i="160"/>
  <c r="E70" i="160"/>
  <c r="CP69" i="160"/>
  <c r="CQ69" i="160" s="1"/>
  <c r="CG69" i="160"/>
  <c r="CB69" i="160"/>
  <c r="BW69" i="160"/>
  <c r="BR69" i="160"/>
  <c r="BM69" i="160"/>
  <c r="BH69" i="160"/>
  <c r="BC69" i="160"/>
  <c r="AX69" i="160"/>
  <c r="AS69" i="160"/>
  <c r="AN69" i="160"/>
  <c r="AI69" i="160"/>
  <c r="AD69" i="160"/>
  <c r="X69" i="160"/>
  <c r="CK69" i="160" s="1"/>
  <c r="W69" i="160"/>
  <c r="CJ69" i="160" s="1"/>
  <c r="S69" i="160"/>
  <c r="R69" i="160"/>
  <c r="O69" i="160"/>
  <c r="J69" i="160"/>
  <c r="E69" i="160"/>
  <c r="CP68" i="160"/>
  <c r="CQ68" i="160" s="1"/>
  <c r="CG68" i="160"/>
  <c r="CB68" i="160"/>
  <c r="BW68" i="160"/>
  <c r="BR68" i="160"/>
  <c r="BM68" i="160"/>
  <c r="BH68" i="160"/>
  <c r="BC68" i="160"/>
  <c r="AX68" i="160"/>
  <c r="AS68" i="160"/>
  <c r="AN68" i="160"/>
  <c r="AI68" i="160"/>
  <c r="AD68" i="160"/>
  <c r="X68" i="160"/>
  <c r="W68" i="160"/>
  <c r="CJ68" i="160" s="1"/>
  <c r="S68" i="160"/>
  <c r="R68" i="160"/>
  <c r="O68" i="160"/>
  <c r="J68" i="160"/>
  <c r="E68" i="160"/>
  <c r="CP67" i="160"/>
  <c r="CQ67" i="160" s="1"/>
  <c r="CG67" i="160"/>
  <c r="CB67" i="160"/>
  <c r="BW67" i="160"/>
  <c r="BR67" i="160"/>
  <c r="BM67" i="160"/>
  <c r="BH67" i="160"/>
  <c r="BC67" i="160"/>
  <c r="AX67" i="160"/>
  <c r="AS67" i="160"/>
  <c r="AN67" i="160"/>
  <c r="AI67" i="160"/>
  <c r="AD67" i="160"/>
  <c r="X67" i="160"/>
  <c r="CK67" i="160" s="1"/>
  <c r="W67" i="160"/>
  <c r="CJ67" i="160" s="1"/>
  <c r="S67" i="160"/>
  <c r="R67" i="160"/>
  <c r="O67" i="160"/>
  <c r="J67" i="160"/>
  <c r="E67" i="160"/>
  <c r="CP66" i="160"/>
  <c r="CQ66" i="160" s="1"/>
  <c r="CG66" i="160"/>
  <c r="CB66" i="160"/>
  <c r="BW66" i="160"/>
  <c r="BR66" i="160"/>
  <c r="BM66" i="160"/>
  <c r="BH66" i="160"/>
  <c r="BC66" i="160"/>
  <c r="AX66" i="160"/>
  <c r="AS66" i="160"/>
  <c r="AN66" i="160"/>
  <c r="AI66" i="160"/>
  <c r="AD66" i="160"/>
  <c r="X66" i="160"/>
  <c r="CK66" i="160" s="1"/>
  <c r="W66" i="160"/>
  <c r="CJ66" i="160" s="1"/>
  <c r="S66" i="160"/>
  <c r="R66" i="160"/>
  <c r="O66" i="160"/>
  <c r="J66" i="160"/>
  <c r="E66" i="160"/>
  <c r="CP65" i="160"/>
  <c r="CQ65" i="160" s="1"/>
  <c r="CG65" i="160"/>
  <c r="CB65" i="160"/>
  <c r="BW65" i="160"/>
  <c r="BR65" i="160"/>
  <c r="BM65" i="160"/>
  <c r="BH65" i="160"/>
  <c r="BC65" i="160"/>
  <c r="AX65" i="160"/>
  <c r="AS65" i="160"/>
  <c r="AN65" i="160"/>
  <c r="AI65" i="160"/>
  <c r="AD65" i="160"/>
  <c r="X65" i="160"/>
  <c r="Y65" i="160" s="1"/>
  <c r="W65" i="160"/>
  <c r="CJ65" i="160" s="1"/>
  <c r="S65" i="160"/>
  <c r="R65" i="160"/>
  <c r="O65" i="160"/>
  <c r="J65" i="160"/>
  <c r="E65" i="160"/>
  <c r="CP64" i="160"/>
  <c r="CQ64" i="160" s="1"/>
  <c r="CG64" i="160"/>
  <c r="CB64" i="160"/>
  <c r="BW64" i="160"/>
  <c r="BR64" i="160"/>
  <c r="BM64" i="160"/>
  <c r="BH64" i="160"/>
  <c r="BC64" i="160"/>
  <c r="AX64" i="160"/>
  <c r="AS64" i="160"/>
  <c r="AN64" i="160"/>
  <c r="AI64" i="160"/>
  <c r="AD64" i="160"/>
  <c r="X64" i="160"/>
  <c r="Y64" i="160" s="1"/>
  <c r="W64" i="160"/>
  <c r="CJ64" i="160" s="1"/>
  <c r="S64" i="160"/>
  <c r="R64" i="160"/>
  <c r="O64" i="160"/>
  <c r="J64" i="160"/>
  <c r="E64" i="160"/>
  <c r="CP63" i="160"/>
  <c r="CQ63" i="160" s="1"/>
  <c r="CG63" i="160"/>
  <c r="CB63" i="160"/>
  <c r="BW63" i="160"/>
  <c r="BR63" i="160"/>
  <c r="BM63" i="160"/>
  <c r="BH63" i="160"/>
  <c r="BC63" i="160"/>
  <c r="AX63" i="160"/>
  <c r="AS63" i="160"/>
  <c r="AN63" i="160"/>
  <c r="AI63" i="160"/>
  <c r="AD63" i="160"/>
  <c r="X63" i="160"/>
  <c r="CK63" i="160" s="1"/>
  <c r="W63" i="160"/>
  <c r="S63" i="160"/>
  <c r="R63" i="160"/>
  <c r="T63" i="160" s="1"/>
  <c r="O63" i="160"/>
  <c r="J63" i="160"/>
  <c r="E63" i="160"/>
  <c r="CP62" i="160"/>
  <c r="CQ62" i="160" s="1"/>
  <c r="CG62" i="160"/>
  <c r="CB62" i="160"/>
  <c r="BW62" i="160"/>
  <c r="BR62" i="160"/>
  <c r="BM62" i="160"/>
  <c r="BH62" i="160"/>
  <c r="BC62" i="160"/>
  <c r="AX62" i="160"/>
  <c r="AS62" i="160"/>
  <c r="AN62" i="160"/>
  <c r="AI62" i="160"/>
  <c r="AD62" i="160"/>
  <c r="X62" i="160"/>
  <c r="CK62" i="160" s="1"/>
  <c r="W62" i="160"/>
  <c r="S62" i="160"/>
  <c r="R62" i="160"/>
  <c r="T62" i="160" s="1"/>
  <c r="O62" i="160"/>
  <c r="J62" i="160"/>
  <c r="E62" i="160"/>
  <c r="CP61" i="160"/>
  <c r="CQ61" i="160" s="1"/>
  <c r="CG61" i="160"/>
  <c r="CB61" i="160"/>
  <c r="BW61" i="160"/>
  <c r="BR61" i="160"/>
  <c r="BM61" i="160"/>
  <c r="BH61" i="160"/>
  <c r="BC61" i="160"/>
  <c r="AX61" i="160"/>
  <c r="AS61" i="160"/>
  <c r="AN61" i="160"/>
  <c r="AI61" i="160"/>
  <c r="AD61" i="160"/>
  <c r="X61" i="160"/>
  <c r="CK61" i="160" s="1"/>
  <c r="W61" i="160"/>
  <c r="S61" i="160"/>
  <c r="R61" i="160"/>
  <c r="T61" i="160" s="1"/>
  <c r="O61" i="160"/>
  <c r="J61" i="160"/>
  <c r="E61" i="160"/>
  <c r="CP60" i="160"/>
  <c r="CG60" i="160"/>
  <c r="CB60" i="160"/>
  <c r="BW60" i="160"/>
  <c r="BR60" i="160"/>
  <c r="BM60" i="160"/>
  <c r="BH60" i="160"/>
  <c r="BC60" i="160"/>
  <c r="AX60" i="160"/>
  <c r="AS60" i="160"/>
  <c r="AN60" i="160"/>
  <c r="AI60" i="160"/>
  <c r="AD60" i="160"/>
  <c r="X60" i="160"/>
  <c r="CK60" i="160" s="1"/>
  <c r="W60" i="160"/>
  <c r="S60" i="160"/>
  <c r="R60" i="160"/>
  <c r="O60" i="160"/>
  <c r="J60" i="160"/>
  <c r="E60" i="160"/>
  <c r="CP59" i="160"/>
  <c r="CQ59" i="160" s="1"/>
  <c r="CG59" i="160"/>
  <c r="CB59" i="160"/>
  <c r="BW59" i="160"/>
  <c r="BR59" i="160"/>
  <c r="BM59" i="160"/>
  <c r="BH59" i="160"/>
  <c r="BC59" i="160"/>
  <c r="AX59" i="160"/>
  <c r="AS59" i="160"/>
  <c r="AN59" i="160"/>
  <c r="AI59" i="160"/>
  <c r="AD59" i="160"/>
  <c r="X59" i="160"/>
  <c r="CK59" i="160" s="1"/>
  <c r="W59" i="160"/>
  <c r="S59" i="160"/>
  <c r="R59" i="160"/>
  <c r="O59" i="160"/>
  <c r="J59" i="160"/>
  <c r="E59" i="160"/>
  <c r="CP58" i="160"/>
  <c r="CQ58" i="160" s="1"/>
  <c r="CK58" i="160"/>
  <c r="CG58" i="160"/>
  <c r="CB58" i="160"/>
  <c r="BW58" i="160"/>
  <c r="BR58" i="160"/>
  <c r="BM58" i="160"/>
  <c r="BH58" i="160"/>
  <c r="BC58" i="160"/>
  <c r="AX58" i="160"/>
  <c r="AS58" i="160"/>
  <c r="AN58" i="160"/>
  <c r="AI58" i="160"/>
  <c r="AD58" i="160"/>
  <c r="X58" i="160"/>
  <c r="W58" i="160"/>
  <c r="S58" i="160"/>
  <c r="R58" i="160"/>
  <c r="O58" i="160"/>
  <c r="J58" i="160"/>
  <c r="E58" i="160"/>
  <c r="CP57" i="160"/>
  <c r="CQ57" i="160" s="1"/>
  <c r="CG57" i="160"/>
  <c r="CB57" i="160"/>
  <c r="BW57" i="160"/>
  <c r="BR57" i="160"/>
  <c r="BM57" i="160"/>
  <c r="BH57" i="160"/>
  <c r="BC57" i="160"/>
  <c r="AX57" i="160"/>
  <c r="AS57" i="160"/>
  <c r="AN57" i="160"/>
  <c r="AI57" i="160"/>
  <c r="AD57" i="160"/>
  <c r="X57" i="160"/>
  <c r="CK57" i="160" s="1"/>
  <c r="W57" i="160"/>
  <c r="S57" i="160"/>
  <c r="R57" i="160"/>
  <c r="O57" i="160"/>
  <c r="J57" i="160"/>
  <c r="E57" i="160"/>
  <c r="CP56" i="160"/>
  <c r="CQ56" i="160" s="1"/>
  <c r="CG56" i="160"/>
  <c r="CB56" i="160"/>
  <c r="BW56" i="160"/>
  <c r="BR56" i="160"/>
  <c r="BM56" i="160"/>
  <c r="BH56" i="160"/>
  <c r="BC56" i="160"/>
  <c r="AX56" i="160"/>
  <c r="AS56" i="160"/>
  <c r="AN56" i="160"/>
  <c r="AI56" i="160"/>
  <c r="AD56" i="160"/>
  <c r="X56" i="160"/>
  <c r="CK56" i="160" s="1"/>
  <c r="W56" i="160"/>
  <c r="CJ56" i="160" s="1"/>
  <c r="S56" i="160"/>
  <c r="T56" i="160" s="1"/>
  <c r="R56" i="160"/>
  <c r="O56" i="160"/>
  <c r="J56" i="160"/>
  <c r="E56" i="160"/>
  <c r="CP55" i="160"/>
  <c r="CQ55" i="160" s="1"/>
  <c r="CG55" i="160"/>
  <c r="CB55" i="160"/>
  <c r="CB54" i="160" s="1"/>
  <c r="BW55" i="160"/>
  <c r="BR55" i="160"/>
  <c r="BM55" i="160"/>
  <c r="BH55" i="160"/>
  <c r="BC55" i="160"/>
  <c r="BC54" i="160" s="1"/>
  <c r="AX55" i="160"/>
  <c r="AS55" i="160"/>
  <c r="AN55" i="160"/>
  <c r="AI55" i="160"/>
  <c r="AD55" i="160"/>
  <c r="X55" i="160"/>
  <c r="CK55" i="160" s="1"/>
  <c r="W55" i="160"/>
  <c r="CJ55" i="160" s="1"/>
  <c r="S55" i="160"/>
  <c r="T55" i="160" s="1"/>
  <c r="R55" i="160"/>
  <c r="O55" i="160"/>
  <c r="J55" i="160"/>
  <c r="E55" i="160"/>
  <c r="CF54" i="160"/>
  <c r="CE54" i="160"/>
  <c r="CA54" i="160"/>
  <c r="BZ54" i="160"/>
  <c r="BV54" i="160"/>
  <c r="BU54" i="160"/>
  <c r="BQ54" i="160"/>
  <c r="BP54" i="160"/>
  <c r="BL54" i="160"/>
  <c r="BK54" i="160"/>
  <c r="BG54" i="160"/>
  <c r="BF54" i="160"/>
  <c r="BB54" i="160"/>
  <c r="BA54" i="160"/>
  <c r="AW54" i="160"/>
  <c r="AV54" i="160"/>
  <c r="AS54" i="160"/>
  <c r="AR54" i="160"/>
  <c r="AQ54" i="160"/>
  <c r="AM54" i="160"/>
  <c r="AL54" i="160"/>
  <c r="AH54" i="160"/>
  <c r="AG54" i="160"/>
  <c r="AC54" i="160"/>
  <c r="AB54" i="160"/>
  <c r="N54" i="160"/>
  <c r="M54" i="160"/>
  <c r="I54" i="160"/>
  <c r="H54" i="160"/>
  <c r="D54" i="160"/>
  <c r="C54" i="160"/>
  <c r="CK53" i="160"/>
  <c r="CJ53" i="160"/>
  <c r="CP52" i="160"/>
  <c r="CQ52" i="160" s="1"/>
  <c r="CJ52" i="160"/>
  <c r="CG52" i="160"/>
  <c r="CB52" i="160"/>
  <c r="BW52" i="160"/>
  <c r="BR52" i="160"/>
  <c r="BM52" i="160"/>
  <c r="BH52" i="160"/>
  <c r="BC52" i="160"/>
  <c r="AX52" i="160"/>
  <c r="AS52" i="160"/>
  <c r="AN52" i="160"/>
  <c r="AI52" i="160"/>
  <c r="AD52" i="160"/>
  <c r="X52" i="160"/>
  <c r="W52" i="160"/>
  <c r="S52" i="160"/>
  <c r="R52" i="160"/>
  <c r="T52" i="160" s="1"/>
  <c r="O52" i="160"/>
  <c r="J52" i="160"/>
  <c r="E52" i="160"/>
  <c r="CP51" i="160"/>
  <c r="CJ51" i="160"/>
  <c r="CG51" i="160"/>
  <c r="CB51" i="160"/>
  <c r="BW51" i="160"/>
  <c r="BW50" i="160" s="1"/>
  <c r="BR51" i="160"/>
  <c r="BM51" i="160"/>
  <c r="BH51" i="160"/>
  <c r="BC51" i="160"/>
  <c r="BC50" i="160" s="1"/>
  <c r="AX51" i="160"/>
  <c r="AS51" i="160"/>
  <c r="AN51" i="160"/>
  <c r="AI51" i="160"/>
  <c r="AD51" i="160"/>
  <c r="X51" i="160"/>
  <c r="CK51" i="160" s="1"/>
  <c r="W51" i="160"/>
  <c r="S51" i="160"/>
  <c r="R51" i="160"/>
  <c r="O51" i="160"/>
  <c r="J51" i="160"/>
  <c r="E51" i="160"/>
  <c r="CG50" i="160"/>
  <c r="CF50" i="160"/>
  <c r="CE50" i="160"/>
  <c r="CB50" i="160"/>
  <c r="CA50" i="160"/>
  <c r="BZ50" i="160"/>
  <c r="BV50" i="160"/>
  <c r="BU50" i="160"/>
  <c r="BQ50" i="160"/>
  <c r="BP50" i="160"/>
  <c r="BM50" i="160"/>
  <c r="BL50" i="160"/>
  <c r="BK50" i="160"/>
  <c r="BG50" i="160"/>
  <c r="BF50" i="160"/>
  <c r="BB50" i="160"/>
  <c r="BA50" i="160"/>
  <c r="AX50" i="160"/>
  <c r="AW50" i="160"/>
  <c r="AV50" i="160"/>
  <c r="AR50" i="160"/>
  <c r="AQ50" i="160"/>
  <c r="AM50" i="160"/>
  <c r="AL50" i="160"/>
  <c r="AI50" i="160"/>
  <c r="AH50" i="160"/>
  <c r="AG50" i="160"/>
  <c r="AC50" i="160"/>
  <c r="AB50" i="160"/>
  <c r="W50" i="160"/>
  <c r="N50" i="160"/>
  <c r="M50" i="160"/>
  <c r="J50" i="160"/>
  <c r="I50" i="160"/>
  <c r="H50" i="160"/>
  <c r="D50" i="160"/>
  <c r="C50" i="160"/>
  <c r="CP48" i="160"/>
  <c r="CQ48" i="160" s="1"/>
  <c r="CG48" i="160"/>
  <c r="CB48" i="160"/>
  <c r="BW48" i="160"/>
  <c r="BR48" i="160"/>
  <c r="BM48" i="160"/>
  <c r="BH48" i="160"/>
  <c r="BC48" i="160"/>
  <c r="AX48" i="160"/>
  <c r="AS48" i="160"/>
  <c r="AN48" i="160"/>
  <c r="AI48" i="160"/>
  <c r="AD48" i="160"/>
  <c r="X48" i="160"/>
  <c r="CK48" i="160" s="1"/>
  <c r="W48" i="160"/>
  <c r="CJ48" i="160" s="1"/>
  <c r="S48" i="160"/>
  <c r="R48" i="160"/>
  <c r="O48" i="160"/>
  <c r="J48" i="160"/>
  <c r="E48" i="160"/>
  <c r="CP47" i="160"/>
  <c r="CQ47" i="160" s="1"/>
  <c r="CG47" i="160"/>
  <c r="CB47" i="160"/>
  <c r="BW47" i="160"/>
  <c r="BR47" i="160"/>
  <c r="BM47" i="160"/>
  <c r="BH47" i="160"/>
  <c r="BC47" i="160"/>
  <c r="AX47" i="160"/>
  <c r="AS47" i="160"/>
  <c r="AN47" i="160"/>
  <c r="AI47" i="160"/>
  <c r="AD47" i="160"/>
  <c r="X47" i="160"/>
  <c r="CK47" i="160" s="1"/>
  <c r="W47" i="160"/>
  <c r="CJ47" i="160" s="1"/>
  <c r="S47" i="160"/>
  <c r="R47" i="160"/>
  <c r="T47" i="160" s="1"/>
  <c r="O47" i="160"/>
  <c r="J47" i="160"/>
  <c r="E47" i="160"/>
  <c r="CP46" i="160"/>
  <c r="CQ46" i="160" s="1"/>
  <c r="CG46" i="160"/>
  <c r="CB46" i="160"/>
  <c r="BW46" i="160"/>
  <c r="BR46" i="160"/>
  <c r="BM46" i="160"/>
  <c r="BH46" i="160"/>
  <c r="BC46" i="160"/>
  <c r="AX46" i="160"/>
  <c r="AS46" i="160"/>
  <c r="AN46" i="160"/>
  <c r="AI46" i="160"/>
  <c r="AD46" i="160"/>
  <c r="X46" i="160"/>
  <c r="CK46" i="160" s="1"/>
  <c r="W46" i="160"/>
  <c r="CJ46" i="160" s="1"/>
  <c r="S46" i="160"/>
  <c r="R46" i="160"/>
  <c r="O46" i="160"/>
  <c r="J46" i="160"/>
  <c r="E46" i="160"/>
  <c r="CP45" i="160"/>
  <c r="CQ45" i="160" s="1"/>
  <c r="CG45" i="160"/>
  <c r="CB45" i="160"/>
  <c r="BW45" i="160"/>
  <c r="BR45" i="160"/>
  <c r="BM45" i="160"/>
  <c r="BH45" i="160"/>
  <c r="BC45" i="160"/>
  <c r="AX45" i="160"/>
  <c r="AS45" i="160"/>
  <c r="AN45" i="160"/>
  <c r="AI45" i="160"/>
  <c r="AD45" i="160"/>
  <c r="X45" i="160"/>
  <c r="CK45" i="160" s="1"/>
  <c r="W45" i="160"/>
  <c r="S45" i="160"/>
  <c r="R45" i="160"/>
  <c r="O45" i="160"/>
  <c r="J45" i="160"/>
  <c r="E45" i="160"/>
  <c r="CP44" i="160"/>
  <c r="CQ44" i="160" s="1"/>
  <c r="CG44" i="160"/>
  <c r="CB44" i="160"/>
  <c r="BW44" i="160"/>
  <c r="BR44" i="160"/>
  <c r="BM44" i="160"/>
  <c r="BH44" i="160"/>
  <c r="BC44" i="160"/>
  <c r="AX44" i="160"/>
  <c r="AS44" i="160"/>
  <c r="AN44" i="160"/>
  <c r="AI44" i="160"/>
  <c r="AD44" i="160"/>
  <c r="X44" i="160"/>
  <c r="CK44" i="160" s="1"/>
  <c r="W44" i="160"/>
  <c r="S44" i="160"/>
  <c r="R44" i="160"/>
  <c r="O44" i="160"/>
  <c r="J44" i="160"/>
  <c r="E44" i="160"/>
  <c r="CP43" i="160"/>
  <c r="CQ43" i="160" s="1"/>
  <c r="CJ43" i="160"/>
  <c r="CG43" i="160"/>
  <c r="CB43" i="160"/>
  <c r="BW43" i="160"/>
  <c r="BR43" i="160"/>
  <c r="BM43" i="160"/>
  <c r="BM41" i="160" s="1"/>
  <c r="BH43" i="160"/>
  <c r="BC43" i="160"/>
  <c r="AX43" i="160"/>
  <c r="AS43" i="160"/>
  <c r="AN43" i="160"/>
  <c r="AI43" i="160"/>
  <c r="AD43" i="160"/>
  <c r="X43" i="160"/>
  <c r="CK43" i="160" s="1"/>
  <c r="W43" i="160"/>
  <c r="S43" i="160"/>
  <c r="R43" i="160"/>
  <c r="O43" i="160"/>
  <c r="O41" i="160" s="1"/>
  <c r="J43" i="160"/>
  <c r="E43" i="160"/>
  <c r="CP42" i="160"/>
  <c r="CJ42" i="160"/>
  <c r="CG42" i="160"/>
  <c r="CB42" i="160"/>
  <c r="BW42" i="160"/>
  <c r="BR42" i="160"/>
  <c r="BM42" i="160"/>
  <c r="BH42" i="160"/>
  <c r="BC42" i="160"/>
  <c r="AX42" i="160"/>
  <c r="AX41" i="160" s="1"/>
  <c r="AS42" i="160"/>
  <c r="AN42" i="160"/>
  <c r="AI42" i="160"/>
  <c r="AI41" i="160" s="1"/>
  <c r="AD42" i="160"/>
  <c r="X42" i="160"/>
  <c r="CK42" i="160" s="1"/>
  <c r="W42" i="160"/>
  <c r="S42" i="160"/>
  <c r="S41" i="160" s="1"/>
  <c r="R42" i="160"/>
  <c r="O42" i="160"/>
  <c r="J42" i="160"/>
  <c r="E42" i="160"/>
  <c r="CF41" i="160"/>
  <c r="CE41" i="160"/>
  <c r="CB41" i="160"/>
  <c r="CA41" i="160"/>
  <c r="BZ41" i="160"/>
  <c r="BV41" i="160"/>
  <c r="BU41" i="160"/>
  <c r="BQ41" i="160"/>
  <c r="BP41" i="160"/>
  <c r="BL41" i="160"/>
  <c r="BK41" i="160"/>
  <c r="BG41" i="160"/>
  <c r="BF41" i="160"/>
  <c r="BB41" i="160"/>
  <c r="BA41" i="160"/>
  <c r="AW41" i="160"/>
  <c r="AV41" i="160"/>
  <c r="AR41" i="160"/>
  <c r="AQ41" i="160"/>
  <c r="AM41" i="160"/>
  <c r="AL41" i="160"/>
  <c r="AH41" i="160"/>
  <c r="AG41" i="160"/>
  <c r="AC41" i="160"/>
  <c r="AB41" i="160"/>
  <c r="N41" i="160"/>
  <c r="M41" i="160"/>
  <c r="I41" i="160"/>
  <c r="H41" i="160"/>
  <c r="D41" i="160"/>
  <c r="C41" i="160"/>
  <c r="X37" i="160"/>
  <c r="W37" i="160"/>
  <c r="CG36" i="160"/>
  <c r="CB36" i="160"/>
  <c r="BW36" i="160"/>
  <c r="BW35" i="160" s="1"/>
  <c r="BR36" i="160"/>
  <c r="BM36" i="160"/>
  <c r="BH36" i="160"/>
  <c r="BC36" i="160"/>
  <c r="BC35" i="160" s="1"/>
  <c r="AX36" i="160"/>
  <c r="AS36" i="160"/>
  <c r="AN36" i="160"/>
  <c r="AN35" i="160" s="1"/>
  <c r="AI36" i="160"/>
  <c r="AI35" i="160" s="1"/>
  <c r="AD36" i="160"/>
  <c r="X36" i="160"/>
  <c r="CK36" i="160" s="1"/>
  <c r="CK35" i="160" s="1"/>
  <c r="W36" i="160"/>
  <c r="CJ36" i="160" s="1"/>
  <c r="CJ35" i="160" s="1"/>
  <c r="S36" i="160"/>
  <c r="R36" i="160"/>
  <c r="R35" i="160" s="1"/>
  <c r="O36" i="160"/>
  <c r="O35" i="160" s="1"/>
  <c r="J36" i="160"/>
  <c r="E36" i="160"/>
  <c r="CP35" i="160"/>
  <c r="CG35" i="160"/>
  <c r="CF35" i="160"/>
  <c r="CE35" i="160"/>
  <c r="CB35" i="160"/>
  <c r="CA35" i="160"/>
  <c r="BZ35" i="160"/>
  <c r="BV35" i="160"/>
  <c r="BU35" i="160"/>
  <c r="BR35" i="160"/>
  <c r="BQ35" i="160"/>
  <c r="BP35" i="160"/>
  <c r="BM35" i="160"/>
  <c r="BL35" i="160"/>
  <c r="BK35" i="160"/>
  <c r="BH35" i="160"/>
  <c r="BG35" i="160"/>
  <c r="BF35" i="160"/>
  <c r="BB35" i="160"/>
  <c r="BA35" i="160"/>
  <c r="AW35" i="160"/>
  <c r="AV35" i="160"/>
  <c r="AS35" i="160"/>
  <c r="AR35" i="160"/>
  <c r="AQ35" i="160"/>
  <c r="AM35" i="160"/>
  <c r="AL35" i="160"/>
  <c r="AH35" i="160"/>
  <c r="AG35" i="160"/>
  <c r="AD35" i="160"/>
  <c r="AC35" i="160"/>
  <c r="AB35" i="160"/>
  <c r="S35" i="160"/>
  <c r="N35" i="160"/>
  <c r="M35" i="160"/>
  <c r="I35" i="160"/>
  <c r="H35" i="160"/>
  <c r="E35" i="160"/>
  <c r="D35" i="160"/>
  <c r="C35" i="160"/>
  <c r="CR33" i="160"/>
  <c r="CG33" i="160"/>
  <c r="CB33" i="160"/>
  <c r="BW33" i="160"/>
  <c r="BR33" i="160"/>
  <c r="BM33" i="160"/>
  <c r="BH33" i="160"/>
  <c r="BC33" i="160"/>
  <c r="AX33" i="160"/>
  <c r="AS33" i="160"/>
  <c r="AN33" i="160"/>
  <c r="AI33" i="160"/>
  <c r="AD33" i="160"/>
  <c r="X33" i="160"/>
  <c r="W33" i="160"/>
  <c r="CJ33" i="160" s="1"/>
  <c r="S33" i="160"/>
  <c r="R33" i="160"/>
  <c r="O33" i="160"/>
  <c r="J33" i="160"/>
  <c r="E33" i="160"/>
  <c r="CG32" i="160"/>
  <c r="CB32" i="160"/>
  <c r="BW32" i="160"/>
  <c r="BR32" i="160"/>
  <c r="BM32" i="160"/>
  <c r="BH32" i="160"/>
  <c r="BC32" i="160"/>
  <c r="AX32" i="160"/>
  <c r="AS32" i="160"/>
  <c r="AN32" i="160"/>
  <c r="AI32" i="160"/>
  <c r="AD32" i="160"/>
  <c r="X32" i="160"/>
  <c r="W32" i="160"/>
  <c r="CJ32" i="160" s="1"/>
  <c r="S32" i="160"/>
  <c r="R32" i="160"/>
  <c r="O32" i="160"/>
  <c r="J32" i="160"/>
  <c r="E32" i="160"/>
  <c r="CG31" i="160"/>
  <c r="CB31" i="160"/>
  <c r="BW31" i="160"/>
  <c r="BR31" i="160"/>
  <c r="BM31" i="160"/>
  <c r="BH31" i="160"/>
  <c r="BC31" i="160"/>
  <c r="AX31" i="160"/>
  <c r="AS31" i="160"/>
  <c r="AN31" i="160"/>
  <c r="AI31" i="160"/>
  <c r="AD31" i="160"/>
  <c r="X31" i="160"/>
  <c r="W31" i="160"/>
  <c r="CJ31" i="160" s="1"/>
  <c r="S31" i="160"/>
  <c r="R31" i="160"/>
  <c r="T31" i="160" s="1"/>
  <c r="O31" i="160"/>
  <c r="J31" i="160"/>
  <c r="E31" i="160"/>
  <c r="CG30" i="160"/>
  <c r="CB30" i="160"/>
  <c r="BW30" i="160"/>
  <c r="BR30" i="160"/>
  <c r="BM30" i="160"/>
  <c r="BH30" i="160"/>
  <c r="BC30" i="160"/>
  <c r="AX30" i="160"/>
  <c r="AS30" i="160"/>
  <c r="AN30" i="160"/>
  <c r="AI30" i="160"/>
  <c r="AD30" i="160"/>
  <c r="X30" i="160"/>
  <c r="CK30" i="160" s="1"/>
  <c r="W30" i="160"/>
  <c r="CJ30" i="160" s="1"/>
  <c r="S30" i="160"/>
  <c r="R30" i="160"/>
  <c r="O30" i="160"/>
  <c r="J30" i="160"/>
  <c r="E30" i="160"/>
  <c r="CG29" i="160"/>
  <c r="CB29" i="160"/>
  <c r="BW29" i="160"/>
  <c r="BR29" i="160"/>
  <c r="BM29" i="160"/>
  <c r="BH29" i="160"/>
  <c r="BC29" i="160"/>
  <c r="AX29" i="160"/>
  <c r="AS29" i="160"/>
  <c r="AN29" i="160"/>
  <c r="AI29" i="160"/>
  <c r="AD29" i="160"/>
  <c r="X29" i="160"/>
  <c r="CK29" i="160" s="1"/>
  <c r="W29" i="160"/>
  <c r="CJ29" i="160" s="1"/>
  <c r="S29" i="160"/>
  <c r="R29" i="160"/>
  <c r="O29" i="160"/>
  <c r="J29" i="160"/>
  <c r="E29" i="160"/>
  <c r="CG28" i="160"/>
  <c r="CB28" i="160"/>
  <c r="BW28" i="160"/>
  <c r="BR28" i="160"/>
  <c r="BM28" i="160"/>
  <c r="BH28" i="160"/>
  <c r="BC28" i="160"/>
  <c r="AX28" i="160"/>
  <c r="AS28" i="160"/>
  <c r="AN28" i="160"/>
  <c r="AI28" i="160"/>
  <c r="AD28" i="160"/>
  <c r="X28" i="160"/>
  <c r="CK28" i="160" s="1"/>
  <c r="W28" i="160"/>
  <c r="CJ28" i="160" s="1"/>
  <c r="CL28" i="160" s="1"/>
  <c r="S28" i="160"/>
  <c r="R28" i="160"/>
  <c r="O28" i="160"/>
  <c r="J28" i="160"/>
  <c r="E28" i="160"/>
  <c r="CG27" i="160"/>
  <c r="CB27" i="160"/>
  <c r="BW27" i="160"/>
  <c r="BR27" i="160"/>
  <c r="BM27" i="160"/>
  <c r="BH27" i="160"/>
  <c r="BC27" i="160"/>
  <c r="AX27" i="160"/>
  <c r="AS27" i="160"/>
  <c r="AN27" i="160"/>
  <c r="AI27" i="160"/>
  <c r="AD27" i="160"/>
  <c r="X27" i="160"/>
  <c r="W27" i="160"/>
  <c r="CJ27" i="160" s="1"/>
  <c r="S27" i="160"/>
  <c r="R27" i="160"/>
  <c r="O27" i="160"/>
  <c r="J27" i="160"/>
  <c r="E27" i="160"/>
  <c r="CR26" i="160"/>
  <c r="CG26" i="160"/>
  <c r="CB26" i="160"/>
  <c r="BW26" i="160"/>
  <c r="BR26" i="160"/>
  <c r="BM26" i="160"/>
  <c r="BH26" i="160"/>
  <c r="BC26" i="160"/>
  <c r="AX26" i="160"/>
  <c r="AS26" i="160"/>
  <c r="AN26" i="160"/>
  <c r="AI26" i="160"/>
  <c r="AD26" i="160"/>
  <c r="X26" i="160"/>
  <c r="CK26" i="160" s="1"/>
  <c r="W26" i="160"/>
  <c r="S26" i="160"/>
  <c r="R26" i="160"/>
  <c r="T26" i="160" s="1"/>
  <c r="O26" i="160"/>
  <c r="J26" i="160"/>
  <c r="E26" i="160"/>
  <c r="CR25" i="160"/>
  <c r="CG25" i="160"/>
  <c r="CB25" i="160"/>
  <c r="BW25" i="160"/>
  <c r="BR25" i="160"/>
  <c r="BM25" i="160"/>
  <c r="BH25" i="160"/>
  <c r="BC25" i="160"/>
  <c r="AX25" i="160"/>
  <c r="AS25" i="160"/>
  <c r="AN25" i="160"/>
  <c r="AI25" i="160"/>
  <c r="AD25" i="160"/>
  <c r="X25" i="160"/>
  <c r="CK25" i="160" s="1"/>
  <c r="W25" i="160"/>
  <c r="CJ25" i="160" s="1"/>
  <c r="S25" i="160"/>
  <c r="R25" i="160"/>
  <c r="T25" i="160" s="1"/>
  <c r="O25" i="160"/>
  <c r="J25" i="160"/>
  <c r="E25" i="160"/>
  <c r="CG24" i="160"/>
  <c r="CB24" i="160"/>
  <c r="BW24" i="160"/>
  <c r="BR24" i="160"/>
  <c r="BM24" i="160"/>
  <c r="BH24" i="160"/>
  <c r="BC24" i="160"/>
  <c r="AX24" i="160"/>
  <c r="AS24" i="160"/>
  <c r="AN24" i="160"/>
  <c r="AI24" i="160"/>
  <c r="AD24" i="160"/>
  <c r="X24" i="160"/>
  <c r="CK24" i="160" s="1"/>
  <c r="W24" i="160"/>
  <c r="CJ24" i="160" s="1"/>
  <c r="S24" i="160"/>
  <c r="R24" i="160"/>
  <c r="O24" i="160"/>
  <c r="J24" i="160"/>
  <c r="E24" i="160"/>
  <c r="CG23" i="160"/>
  <c r="CB23" i="160"/>
  <c r="BW23" i="160"/>
  <c r="BR23" i="160"/>
  <c r="BM23" i="160"/>
  <c r="BH23" i="160"/>
  <c r="BC23" i="160"/>
  <c r="AX23" i="160"/>
  <c r="AS23" i="160"/>
  <c r="AN23" i="160"/>
  <c r="AI23" i="160"/>
  <c r="AD23" i="160"/>
  <c r="X23" i="160"/>
  <c r="CK23" i="160" s="1"/>
  <c r="W23" i="160"/>
  <c r="CJ23" i="160" s="1"/>
  <c r="CL23" i="160" s="1"/>
  <c r="CQ23" i="160" s="1"/>
  <c r="CR23" i="160" s="1"/>
  <c r="S23" i="160"/>
  <c r="R23" i="160"/>
  <c r="T23" i="160" s="1"/>
  <c r="O23" i="160"/>
  <c r="J23" i="160"/>
  <c r="E23" i="160"/>
  <c r="CG22" i="160"/>
  <c r="CB22" i="160"/>
  <c r="BW22" i="160"/>
  <c r="BR22" i="160"/>
  <c r="BM22" i="160"/>
  <c r="BH22" i="160"/>
  <c r="BC22" i="160"/>
  <c r="AX22" i="160"/>
  <c r="AS22" i="160"/>
  <c r="AN22" i="160"/>
  <c r="AI22" i="160"/>
  <c r="AD22" i="160"/>
  <c r="X22" i="160"/>
  <c r="CK22" i="160" s="1"/>
  <c r="W22" i="160"/>
  <c r="CJ22" i="160" s="1"/>
  <c r="S22" i="160"/>
  <c r="R22" i="160"/>
  <c r="T22" i="160" s="1"/>
  <c r="O22" i="160"/>
  <c r="J22" i="160"/>
  <c r="E22" i="160"/>
  <c r="CG21" i="160"/>
  <c r="CB21" i="160"/>
  <c r="BW21" i="160"/>
  <c r="BR21" i="160"/>
  <c r="BM21" i="160"/>
  <c r="BH21" i="160"/>
  <c r="BC21" i="160"/>
  <c r="AX21" i="160"/>
  <c r="AS21" i="160"/>
  <c r="AN21" i="160"/>
  <c r="AI21" i="160"/>
  <c r="AD21" i="160"/>
  <c r="X21" i="160"/>
  <c r="CK21" i="160" s="1"/>
  <c r="W21" i="160"/>
  <c r="CJ21" i="160" s="1"/>
  <c r="S21" i="160"/>
  <c r="T21" i="160" s="1"/>
  <c r="R21" i="160"/>
  <c r="O21" i="160"/>
  <c r="J21" i="160"/>
  <c r="E21" i="160"/>
  <c r="CG20" i="160"/>
  <c r="CB20" i="160"/>
  <c r="BW20" i="160"/>
  <c r="BR20" i="160"/>
  <c r="BM20" i="160"/>
  <c r="BH20" i="160"/>
  <c r="BC20" i="160"/>
  <c r="AX20" i="160"/>
  <c r="AS20" i="160"/>
  <c r="AN20" i="160"/>
  <c r="AI20" i="160"/>
  <c r="AD20" i="160"/>
  <c r="X20" i="160"/>
  <c r="CK20" i="160" s="1"/>
  <c r="W20" i="160"/>
  <c r="CJ20" i="160" s="1"/>
  <c r="S20" i="160"/>
  <c r="R20" i="160"/>
  <c r="O20" i="160"/>
  <c r="J20" i="160"/>
  <c r="E20" i="160"/>
  <c r="CG19" i="160"/>
  <c r="CB19" i="160"/>
  <c r="BW19" i="160"/>
  <c r="BR19" i="160"/>
  <c r="BM19" i="160"/>
  <c r="BH19" i="160"/>
  <c r="BC19" i="160"/>
  <c r="AX19" i="160"/>
  <c r="AS19" i="160"/>
  <c r="AN19" i="160"/>
  <c r="AI19" i="160"/>
  <c r="AD19" i="160"/>
  <c r="X19" i="160"/>
  <c r="CK19" i="160" s="1"/>
  <c r="W19" i="160"/>
  <c r="CJ19" i="160" s="1"/>
  <c r="CL19" i="160" s="1"/>
  <c r="CQ19" i="160" s="1"/>
  <c r="CR19" i="160" s="1"/>
  <c r="S19" i="160"/>
  <c r="R19" i="160"/>
  <c r="O19" i="160"/>
  <c r="J19" i="160"/>
  <c r="E19" i="160"/>
  <c r="CG18" i="160"/>
  <c r="CB18" i="160"/>
  <c r="BW18" i="160"/>
  <c r="BR18" i="160"/>
  <c r="BM18" i="160"/>
  <c r="BH18" i="160"/>
  <c r="BC18" i="160"/>
  <c r="AX18" i="160"/>
  <c r="AS18" i="160"/>
  <c r="AN18" i="160"/>
  <c r="AI18" i="160"/>
  <c r="AD18" i="160"/>
  <c r="X18" i="160"/>
  <c r="CK18" i="160" s="1"/>
  <c r="W18" i="160"/>
  <c r="CJ18" i="160" s="1"/>
  <c r="CL18" i="160" s="1"/>
  <c r="CQ18" i="160" s="1"/>
  <c r="CR18" i="160" s="1"/>
  <c r="S18" i="160"/>
  <c r="R18" i="160"/>
  <c r="O18" i="160"/>
  <c r="J18" i="160"/>
  <c r="E18" i="160"/>
  <c r="CG17" i="160"/>
  <c r="CB17" i="160"/>
  <c r="BW17" i="160"/>
  <c r="BR17" i="160"/>
  <c r="BM17" i="160"/>
  <c r="BH17" i="160"/>
  <c r="BC17" i="160"/>
  <c r="AX17" i="160"/>
  <c r="AS17" i="160"/>
  <c r="AN17" i="160"/>
  <c r="AI17" i="160"/>
  <c r="AD17" i="160"/>
  <c r="X17" i="160"/>
  <c r="CK17" i="160" s="1"/>
  <c r="W17" i="160"/>
  <c r="CJ17" i="160" s="1"/>
  <c r="CL17" i="160" s="1"/>
  <c r="CQ17" i="160" s="1"/>
  <c r="CR17" i="160" s="1"/>
  <c r="S17" i="160"/>
  <c r="R17" i="160"/>
  <c r="O17" i="160"/>
  <c r="J17" i="160"/>
  <c r="E17" i="160"/>
  <c r="CG16" i="160"/>
  <c r="CB16" i="160"/>
  <c r="BW16" i="160"/>
  <c r="BR16" i="160"/>
  <c r="BM16" i="160"/>
  <c r="BH16" i="160"/>
  <c r="BC16" i="160"/>
  <c r="AX16" i="160"/>
  <c r="AS16" i="160"/>
  <c r="AN16" i="160"/>
  <c r="AI16" i="160"/>
  <c r="AD16" i="160"/>
  <c r="X16" i="160"/>
  <c r="CK16" i="160" s="1"/>
  <c r="W16" i="160"/>
  <c r="CJ16" i="160" s="1"/>
  <c r="CL16" i="160" s="1"/>
  <c r="CQ16" i="160" s="1"/>
  <c r="CR16" i="160" s="1"/>
  <c r="S16" i="160"/>
  <c r="R16" i="160"/>
  <c r="O16" i="160"/>
  <c r="J16" i="160"/>
  <c r="E16" i="160"/>
  <c r="CG15" i="160"/>
  <c r="CB15" i="160"/>
  <c r="BW15" i="160"/>
  <c r="BR15" i="160"/>
  <c r="BM15" i="160"/>
  <c r="BH15" i="160"/>
  <c r="BC15" i="160"/>
  <c r="AX15" i="160"/>
  <c r="AS15" i="160"/>
  <c r="AN15" i="160"/>
  <c r="AI15" i="160"/>
  <c r="AD15" i="160"/>
  <c r="X15" i="160"/>
  <c r="CK15" i="160" s="1"/>
  <c r="W15" i="160"/>
  <c r="CJ15" i="160" s="1"/>
  <c r="CL15" i="160" s="1"/>
  <c r="CQ15" i="160" s="1"/>
  <c r="CR15" i="160" s="1"/>
  <c r="S15" i="160"/>
  <c r="R15" i="160"/>
  <c r="O15" i="160"/>
  <c r="J15" i="160"/>
  <c r="E15" i="160"/>
  <c r="CG14" i="160"/>
  <c r="CB14" i="160"/>
  <c r="BW14" i="160"/>
  <c r="BR14" i="160"/>
  <c r="BM14" i="160"/>
  <c r="BH14" i="160"/>
  <c r="BC14" i="160"/>
  <c r="AX14" i="160"/>
  <c r="AS14" i="160"/>
  <c r="AN14" i="160"/>
  <c r="AI14" i="160"/>
  <c r="AD14" i="160"/>
  <c r="X14" i="160"/>
  <c r="CK14" i="160" s="1"/>
  <c r="W14" i="160"/>
  <c r="CJ14" i="160" s="1"/>
  <c r="CL14" i="160" s="1"/>
  <c r="CQ14" i="160" s="1"/>
  <c r="CR14" i="160" s="1"/>
  <c r="S14" i="160"/>
  <c r="R14" i="160"/>
  <c r="O14" i="160"/>
  <c r="J14" i="160"/>
  <c r="E14" i="160"/>
  <c r="CG13" i="160"/>
  <c r="CB13" i="160"/>
  <c r="BW13" i="160"/>
  <c r="BR13" i="160"/>
  <c r="BM13" i="160"/>
  <c r="BH13" i="160"/>
  <c r="BC13" i="160"/>
  <c r="AX13" i="160"/>
  <c r="AS13" i="160"/>
  <c r="AN13" i="160"/>
  <c r="AI13" i="160"/>
  <c r="AD13" i="160"/>
  <c r="X13" i="160"/>
  <c r="CK13" i="160" s="1"/>
  <c r="W13" i="160"/>
  <c r="CJ13" i="160" s="1"/>
  <c r="S13" i="160"/>
  <c r="R13" i="160"/>
  <c r="O13" i="160"/>
  <c r="J13" i="160"/>
  <c r="E13" i="160"/>
  <c r="CG12" i="160"/>
  <c r="CB12" i="160"/>
  <c r="BW12" i="160"/>
  <c r="BR12" i="160"/>
  <c r="BM12" i="160"/>
  <c r="BH12" i="160"/>
  <c r="BC12" i="160"/>
  <c r="AX12" i="160"/>
  <c r="AS12" i="160"/>
  <c r="AN12" i="160"/>
  <c r="AI12" i="160"/>
  <c r="AD12" i="160"/>
  <c r="X12" i="160"/>
  <c r="CK12" i="160" s="1"/>
  <c r="W12" i="160"/>
  <c r="CJ12" i="160" s="1"/>
  <c r="S12" i="160"/>
  <c r="R12" i="160"/>
  <c r="O12" i="160"/>
  <c r="J12" i="160"/>
  <c r="E12" i="160"/>
  <c r="CJ11" i="160"/>
  <c r="CG11" i="160"/>
  <c r="CB11" i="160"/>
  <c r="BW11" i="160"/>
  <c r="BR11" i="160"/>
  <c r="BM11" i="160"/>
  <c r="BH11" i="160"/>
  <c r="BC11" i="160"/>
  <c r="AX11" i="160"/>
  <c r="AS11" i="160"/>
  <c r="AN11" i="160"/>
  <c r="AI11" i="160"/>
  <c r="AI96" i="157" s="1"/>
  <c r="AD11" i="160"/>
  <c r="X11" i="160"/>
  <c r="CK11" i="160" s="1"/>
  <c r="W11" i="160"/>
  <c r="S11" i="160"/>
  <c r="R11" i="160"/>
  <c r="T11" i="160" s="1"/>
  <c r="O11" i="160"/>
  <c r="J11" i="160"/>
  <c r="E11" i="160"/>
  <c r="CJ10" i="160"/>
  <c r="CG10" i="160"/>
  <c r="CB10" i="160"/>
  <c r="BW10" i="160"/>
  <c r="BR10" i="160"/>
  <c r="BM10" i="160"/>
  <c r="BH10" i="160"/>
  <c r="BC10" i="160"/>
  <c r="AX10" i="160"/>
  <c r="AS10" i="160"/>
  <c r="AN10" i="160"/>
  <c r="AI10" i="160"/>
  <c r="AD10" i="160"/>
  <c r="X10" i="160"/>
  <c r="CK10" i="160" s="1"/>
  <c r="W10" i="160"/>
  <c r="S10" i="160"/>
  <c r="R10" i="160"/>
  <c r="T10" i="160" s="1"/>
  <c r="O10" i="160"/>
  <c r="J10" i="160"/>
  <c r="E10" i="160"/>
  <c r="CG9" i="160"/>
  <c r="CG8" i="160" s="1"/>
  <c r="CB9" i="160"/>
  <c r="BW9" i="160"/>
  <c r="BR9" i="160"/>
  <c r="BM9" i="160"/>
  <c r="BH9" i="160"/>
  <c r="BC9" i="160"/>
  <c r="AX9" i="160"/>
  <c r="AS9" i="160"/>
  <c r="AN9" i="160"/>
  <c r="AN96" i="157" s="1"/>
  <c r="AI9" i="160"/>
  <c r="AD9" i="160"/>
  <c r="X9" i="160"/>
  <c r="CK9" i="160" s="1"/>
  <c r="W9" i="160"/>
  <c r="CJ9" i="160" s="1"/>
  <c r="S9" i="160"/>
  <c r="R9" i="160"/>
  <c r="O9" i="160"/>
  <c r="J9" i="160"/>
  <c r="E9" i="160"/>
  <c r="CP8" i="160"/>
  <c r="CF8" i="160"/>
  <c r="CE8" i="160"/>
  <c r="CA8" i="160"/>
  <c r="BZ8" i="160"/>
  <c r="BV8" i="160"/>
  <c r="BU8" i="160"/>
  <c r="BQ8" i="160"/>
  <c r="BP8" i="160"/>
  <c r="BL8" i="160"/>
  <c r="BK8" i="160"/>
  <c r="BG8" i="160"/>
  <c r="BF8" i="160"/>
  <c r="BB8" i="160"/>
  <c r="BA8" i="160"/>
  <c r="AW8" i="160"/>
  <c r="AV8" i="160"/>
  <c r="AR8" i="160"/>
  <c r="AQ8" i="160"/>
  <c r="AM8" i="160"/>
  <c r="AL8" i="160"/>
  <c r="AH8" i="160"/>
  <c r="AG8" i="160"/>
  <c r="AC8" i="160"/>
  <c r="AB8" i="160"/>
  <c r="N8" i="160"/>
  <c r="M8" i="160"/>
  <c r="I8" i="160"/>
  <c r="H8" i="160"/>
  <c r="E8" i="160"/>
  <c r="D8" i="160"/>
  <c r="C8" i="160"/>
  <c r="CG7" i="160"/>
  <c r="CB7" i="160"/>
  <c r="BW7" i="160"/>
  <c r="BR7" i="160"/>
  <c r="BM7" i="160"/>
  <c r="BH7" i="160"/>
  <c r="BC7" i="160"/>
  <c r="AX7" i="160"/>
  <c r="AS7" i="160"/>
  <c r="AN7" i="160"/>
  <c r="AI7" i="160"/>
  <c r="AD7" i="160"/>
  <c r="X7" i="160"/>
  <c r="CK7" i="160" s="1"/>
  <c r="W7" i="160"/>
  <c r="CJ7" i="160" s="1"/>
  <c r="S7" i="160"/>
  <c r="R7" i="160"/>
  <c r="O7" i="160"/>
  <c r="J7" i="160"/>
  <c r="E7" i="160"/>
  <c r="CR6" i="160"/>
  <c r="CG6" i="160"/>
  <c r="CB6" i="160"/>
  <c r="CB5" i="160" s="1"/>
  <c r="BW6" i="160"/>
  <c r="BR6" i="160"/>
  <c r="BM6" i="160"/>
  <c r="BH6" i="160"/>
  <c r="BH5" i="160" s="1"/>
  <c r="BC6" i="160"/>
  <c r="BC5" i="160" s="1"/>
  <c r="AX6" i="160"/>
  <c r="AS6" i="160"/>
  <c r="AN6" i="160"/>
  <c r="AN5" i="160" s="1"/>
  <c r="AI6" i="160"/>
  <c r="AD6" i="160"/>
  <c r="X6" i="160"/>
  <c r="CK6" i="160" s="1"/>
  <c r="CK5" i="160" s="1"/>
  <c r="W6" i="160"/>
  <c r="CJ6" i="160" s="1"/>
  <c r="S6" i="160"/>
  <c r="S5" i="160" s="1"/>
  <c r="R6" i="160"/>
  <c r="R5" i="160" s="1"/>
  <c r="O6" i="160"/>
  <c r="J6" i="160"/>
  <c r="E6" i="160"/>
  <c r="CR5" i="160"/>
  <c r="CQ5" i="160"/>
  <c r="CP5" i="160"/>
  <c r="CP38" i="160" s="1"/>
  <c r="CF5" i="160"/>
  <c r="CE5" i="160"/>
  <c r="CE38" i="160" s="1"/>
  <c r="CA5" i="160"/>
  <c r="BZ5" i="160"/>
  <c r="BZ38" i="160" s="1"/>
  <c r="BW5" i="160"/>
  <c r="BV5" i="160"/>
  <c r="BU5" i="160"/>
  <c r="BU38" i="160" s="1"/>
  <c r="BR5" i="160"/>
  <c r="BQ5" i="160"/>
  <c r="BP5" i="160"/>
  <c r="BL5" i="160"/>
  <c r="BK5" i="160"/>
  <c r="BK38" i="160" s="1"/>
  <c r="BG5" i="160"/>
  <c r="BF5" i="160"/>
  <c r="BB5" i="160"/>
  <c r="BA5" i="160"/>
  <c r="BA38" i="160" s="1"/>
  <c r="AX5" i="160"/>
  <c r="AW5" i="160"/>
  <c r="AV5" i="160"/>
  <c r="AV38" i="160" s="1"/>
  <c r="AR5" i="160"/>
  <c r="AQ5" i="160"/>
  <c r="AQ38" i="160" s="1"/>
  <c r="AM5" i="160"/>
  <c r="AL5" i="160"/>
  <c r="AI5" i="160"/>
  <c r="AH5" i="160"/>
  <c r="AG5" i="160"/>
  <c r="AD5" i="160"/>
  <c r="AC5" i="160"/>
  <c r="AB5" i="160"/>
  <c r="AB38" i="160" s="1"/>
  <c r="N5" i="160"/>
  <c r="M5" i="160"/>
  <c r="M38" i="160" s="1"/>
  <c r="I5" i="160"/>
  <c r="I38" i="160" s="1"/>
  <c r="H5" i="160"/>
  <c r="E5" i="160"/>
  <c r="D5" i="160"/>
  <c r="C5" i="160"/>
  <c r="C38" i="160" s="1"/>
  <c r="AX8" i="160" l="1"/>
  <c r="CL25" i="160"/>
  <c r="T28" i="160"/>
  <c r="Y33" i="160"/>
  <c r="AS50" i="160"/>
  <c r="E54" i="160"/>
  <c r="BR54" i="160"/>
  <c r="CK42" i="164"/>
  <c r="CK41" i="164"/>
  <c r="E54" i="164"/>
  <c r="T58" i="164"/>
  <c r="Y62" i="164"/>
  <c r="J5" i="160"/>
  <c r="T27" i="160"/>
  <c r="Y32" i="160"/>
  <c r="AI54" i="160"/>
  <c r="AX54" i="160"/>
  <c r="Y67" i="160"/>
  <c r="W8" i="164"/>
  <c r="CL18" i="164"/>
  <c r="S50" i="164"/>
  <c r="AI50" i="164"/>
  <c r="BW50" i="164"/>
  <c r="Y58" i="164"/>
  <c r="BH54" i="164"/>
  <c r="T65" i="164"/>
  <c r="T66" i="164"/>
  <c r="T69" i="164"/>
  <c r="T85" i="164"/>
  <c r="CL85" i="164"/>
  <c r="BM5" i="160"/>
  <c r="N38" i="160"/>
  <c r="BF38" i="160"/>
  <c r="T7" i="160"/>
  <c r="Y14" i="160"/>
  <c r="Y15" i="160"/>
  <c r="Y16" i="160"/>
  <c r="Y17" i="160"/>
  <c r="Y18" i="160"/>
  <c r="Y19" i="160"/>
  <c r="Y20" i="160"/>
  <c r="T24" i="160"/>
  <c r="Y30" i="160"/>
  <c r="Y31" i="160"/>
  <c r="T32" i="160"/>
  <c r="Y51" i="160"/>
  <c r="CL55" i="160"/>
  <c r="CL56" i="160"/>
  <c r="BM54" i="160"/>
  <c r="Y68" i="160"/>
  <c r="Y71" i="160"/>
  <c r="CK77" i="160"/>
  <c r="AD5" i="164"/>
  <c r="AX5" i="164"/>
  <c r="BR5" i="164"/>
  <c r="E5" i="164"/>
  <c r="T11" i="164"/>
  <c r="T13" i="164"/>
  <c r="T21" i="164"/>
  <c r="T22" i="164"/>
  <c r="T30" i="164"/>
  <c r="AD54" i="164"/>
  <c r="BR54" i="164"/>
  <c r="CL56" i="164"/>
  <c r="X54" i="164"/>
  <c r="CL78" i="164"/>
  <c r="AS5" i="160"/>
  <c r="CF38" i="160"/>
  <c r="CB8" i="160"/>
  <c r="CB38" i="160" s="1"/>
  <c r="T13" i="160"/>
  <c r="S8" i="160"/>
  <c r="AI8" i="160"/>
  <c r="J41" i="160"/>
  <c r="W41" i="160"/>
  <c r="Y45" i="160"/>
  <c r="T48" i="160"/>
  <c r="T66" i="160"/>
  <c r="Y66" i="160"/>
  <c r="T68" i="160"/>
  <c r="CL70" i="160"/>
  <c r="T6" i="164"/>
  <c r="T36" i="164"/>
  <c r="T35" i="164" s="1"/>
  <c r="AN41" i="164"/>
  <c r="BH41" i="164"/>
  <c r="CB41" i="164"/>
  <c r="CJ5" i="160"/>
  <c r="CL6" i="160"/>
  <c r="CL5" i="160" s="1"/>
  <c r="CQ41" i="164"/>
  <c r="CL67" i="160"/>
  <c r="CL22" i="164"/>
  <c r="W5" i="160"/>
  <c r="AL38" i="160"/>
  <c r="AL75" i="160" s="1"/>
  <c r="AX38" i="160"/>
  <c r="S38" i="160"/>
  <c r="Y6" i="160"/>
  <c r="CG5" i="160"/>
  <c r="CG38" i="160" s="1"/>
  <c r="BW8" i="160"/>
  <c r="CL21" i="160"/>
  <c r="CQ21" i="160" s="1"/>
  <c r="CR21" i="160" s="1"/>
  <c r="CL22" i="160"/>
  <c r="CQ22" i="160" s="1"/>
  <c r="CT22" i="160" s="1"/>
  <c r="CT86" i="160" s="1"/>
  <c r="Y28" i="160"/>
  <c r="Y36" i="160"/>
  <c r="Y35" i="160" s="1"/>
  <c r="Y42" i="160"/>
  <c r="CJ44" i="160"/>
  <c r="S50" i="160"/>
  <c r="Y55" i="160"/>
  <c r="Y56" i="160"/>
  <c r="Y59" i="160"/>
  <c r="T64" i="160"/>
  <c r="S54" i="160"/>
  <c r="D38" i="164"/>
  <c r="M38" i="164"/>
  <c r="M75" i="164" s="1"/>
  <c r="W5" i="164"/>
  <c r="W38" i="164" s="1"/>
  <c r="AG38" i="164"/>
  <c r="BL75" i="164"/>
  <c r="BU38" i="164"/>
  <c r="BU39" i="164" s="1"/>
  <c r="CL7" i="164"/>
  <c r="Y10" i="164"/>
  <c r="CL16" i="164"/>
  <c r="Y17" i="164"/>
  <c r="T26" i="164"/>
  <c r="X50" i="164"/>
  <c r="T51" i="164"/>
  <c r="Y60" i="164"/>
  <c r="CL64" i="164"/>
  <c r="X77" i="164"/>
  <c r="S77" i="164"/>
  <c r="X5" i="160"/>
  <c r="AG38" i="160"/>
  <c r="AG75" i="160" s="1"/>
  <c r="BP38" i="160"/>
  <c r="T6" i="160"/>
  <c r="T5" i="160" s="1"/>
  <c r="BC8" i="160"/>
  <c r="Y11" i="160"/>
  <c r="CL13" i="160"/>
  <c r="CQ13" i="160" s="1"/>
  <c r="CR13" i="160" s="1"/>
  <c r="O8" i="160"/>
  <c r="CL24" i="160"/>
  <c r="T29" i="160"/>
  <c r="Y29" i="160"/>
  <c r="W35" i="160"/>
  <c r="T36" i="160"/>
  <c r="T35" i="160" s="1"/>
  <c r="AS41" i="160"/>
  <c r="Y43" i="160"/>
  <c r="CJ45" i="160"/>
  <c r="CL45" i="160" s="1"/>
  <c r="Y52" i="160"/>
  <c r="Y50" i="160" s="1"/>
  <c r="CG54" i="160"/>
  <c r="Y63" i="160"/>
  <c r="T69" i="160"/>
  <c r="Y69" i="160"/>
  <c r="Y70" i="160"/>
  <c r="AQ38" i="164"/>
  <c r="AW38" i="164"/>
  <c r="AW75" i="164" s="1"/>
  <c r="CE38" i="164"/>
  <c r="T7" i="164"/>
  <c r="R8" i="164"/>
  <c r="CL17" i="164"/>
  <c r="CQ17" i="164" s="1"/>
  <c r="CR17" i="164" s="1"/>
  <c r="CJ19" i="164"/>
  <c r="CL19" i="164" s="1"/>
  <c r="CQ19" i="164" s="1"/>
  <c r="CR19" i="164" s="1"/>
  <c r="CL20" i="164"/>
  <c r="CQ20" i="164" s="1"/>
  <c r="CR20" i="164" s="1"/>
  <c r="Y21" i="164"/>
  <c r="H39" i="164"/>
  <c r="T43" i="164"/>
  <c r="T45" i="164"/>
  <c r="T47" i="164"/>
  <c r="BC50" i="164"/>
  <c r="CP54" i="164"/>
  <c r="Y56" i="164"/>
  <c r="CK57" i="164"/>
  <c r="T67" i="164"/>
  <c r="T71" i="164"/>
  <c r="AI38" i="160"/>
  <c r="CL11" i="160"/>
  <c r="CQ11" i="160" s="1"/>
  <c r="CR11" i="160" s="1"/>
  <c r="CL15" i="164"/>
  <c r="CQ15" i="164" s="1"/>
  <c r="CR15" i="164" s="1"/>
  <c r="E38" i="160"/>
  <c r="O5" i="160"/>
  <c r="J8" i="160"/>
  <c r="AS8" i="160"/>
  <c r="CL12" i="160"/>
  <c r="CQ12" i="160" s="1"/>
  <c r="CR12" i="160" s="1"/>
  <c r="T14" i="160"/>
  <c r="T15" i="160"/>
  <c r="T16" i="160"/>
  <c r="T17" i="160"/>
  <c r="T18" i="160"/>
  <c r="T19" i="160"/>
  <c r="T20" i="160"/>
  <c r="T30" i="160"/>
  <c r="X35" i="160"/>
  <c r="Y44" i="160"/>
  <c r="T46" i="160"/>
  <c r="T51" i="160"/>
  <c r="T50" i="160" s="1"/>
  <c r="Y57" i="160"/>
  <c r="T65" i="160"/>
  <c r="BM77" i="160"/>
  <c r="AR75" i="164"/>
  <c r="CF75" i="164"/>
  <c r="Y13" i="164"/>
  <c r="CL14" i="164"/>
  <c r="Y15" i="164"/>
  <c r="CL21" i="164"/>
  <c r="CJ58" i="164"/>
  <c r="CL58" i="164" s="1"/>
  <c r="T64" i="164"/>
  <c r="T68" i="164"/>
  <c r="CL74" i="164"/>
  <c r="CL73" i="164" s="1"/>
  <c r="Y78" i="164"/>
  <c r="Y85" i="164"/>
  <c r="BK75" i="164"/>
  <c r="BK39" i="164"/>
  <c r="CQ14" i="164"/>
  <c r="CR14" i="164" s="1"/>
  <c r="CQ16" i="164"/>
  <c r="CR16" i="164" s="1"/>
  <c r="AQ75" i="164"/>
  <c r="AQ39" i="164"/>
  <c r="CQ22" i="164"/>
  <c r="CE75" i="164"/>
  <c r="CE39" i="164"/>
  <c r="CQ21" i="164"/>
  <c r="CR21" i="164" s="1"/>
  <c r="BQ75" i="164"/>
  <c r="BQ39" i="164"/>
  <c r="AD8" i="164"/>
  <c r="BH8" i="164"/>
  <c r="BH38" i="164" s="1"/>
  <c r="CJ24" i="164"/>
  <c r="CL24" i="164" s="1"/>
  <c r="Y24" i="164"/>
  <c r="CJ30" i="164"/>
  <c r="CL30" i="164" s="1"/>
  <c r="Y30" i="164"/>
  <c r="AS35" i="164"/>
  <c r="BW35" i="164"/>
  <c r="C75" i="164"/>
  <c r="C39" i="164"/>
  <c r="CJ45" i="164"/>
  <c r="CL45" i="164" s="1"/>
  <c r="Y45" i="164"/>
  <c r="CJ51" i="164"/>
  <c r="CL51" i="164" s="1"/>
  <c r="Y51" i="164"/>
  <c r="AX54" i="164"/>
  <c r="I75" i="164"/>
  <c r="I39" i="164"/>
  <c r="BG38" i="164"/>
  <c r="BU75" i="164"/>
  <c r="J5" i="164"/>
  <c r="Y6" i="164"/>
  <c r="CK6" i="164"/>
  <c r="CK5" i="164" s="1"/>
  <c r="AI8" i="164"/>
  <c r="BM8" i="164"/>
  <c r="CQ12" i="164"/>
  <c r="CR12" i="164" s="1"/>
  <c r="Y14" i="164"/>
  <c r="CQ18" i="164"/>
  <c r="CR18" i="164" s="1"/>
  <c r="Y20" i="164"/>
  <c r="CJ25" i="164"/>
  <c r="CL25" i="164" s="1"/>
  <c r="Y25" i="164"/>
  <c r="T27" i="164"/>
  <c r="CJ31" i="164"/>
  <c r="CL31" i="164" s="1"/>
  <c r="Y31" i="164"/>
  <c r="T33" i="164"/>
  <c r="CJ43" i="164"/>
  <c r="CL43" i="164" s="1"/>
  <c r="Y43" i="164"/>
  <c r="W41" i="164"/>
  <c r="T57" i="164"/>
  <c r="R54" i="164"/>
  <c r="AD38" i="164"/>
  <c r="CJ26" i="164"/>
  <c r="CL26" i="164" s="1"/>
  <c r="Y26" i="164"/>
  <c r="CJ32" i="164"/>
  <c r="CL32" i="164" s="1"/>
  <c r="Y32" i="164"/>
  <c r="CK36" i="164"/>
  <c r="X35" i="164"/>
  <c r="BC35" i="164"/>
  <c r="AS54" i="164"/>
  <c r="AN54" i="164"/>
  <c r="N38" i="164"/>
  <c r="AM38" i="164"/>
  <c r="BA38" i="164"/>
  <c r="R38" i="164"/>
  <c r="T10" i="164"/>
  <c r="AS8" i="164"/>
  <c r="BW8" i="164"/>
  <c r="BW38" i="164" s="1"/>
  <c r="CJ11" i="164"/>
  <c r="CL11" i="164" s="1"/>
  <c r="Y11" i="164"/>
  <c r="Y12" i="164"/>
  <c r="Y18" i="164"/>
  <c r="T23" i="164"/>
  <c r="CJ27" i="164"/>
  <c r="CL27" i="164" s="1"/>
  <c r="Y27" i="164"/>
  <c r="T29" i="164"/>
  <c r="CJ33" i="164"/>
  <c r="CL33" i="164" s="1"/>
  <c r="Y33" i="164"/>
  <c r="S41" i="164"/>
  <c r="CB54" i="164"/>
  <c r="D75" i="164"/>
  <c r="D39" i="164"/>
  <c r="AC38" i="164"/>
  <c r="BM38" i="164"/>
  <c r="CP38" i="164"/>
  <c r="CJ9" i="164"/>
  <c r="Y9" i="164"/>
  <c r="E8" i="164"/>
  <c r="AX8" i="164"/>
  <c r="AX38" i="164" s="1"/>
  <c r="CB8" i="164"/>
  <c r="CB38" i="164" s="1"/>
  <c r="BC8" i="164"/>
  <c r="BC38" i="164" s="1"/>
  <c r="CG8" i="164"/>
  <c r="CJ28" i="164"/>
  <c r="CL28" i="164" s="1"/>
  <c r="Y28" i="164"/>
  <c r="BC54" i="164"/>
  <c r="CQ74" i="164"/>
  <c r="CQ73" i="164" s="1"/>
  <c r="CP73" i="164"/>
  <c r="J35" i="164"/>
  <c r="CG35" i="164"/>
  <c r="Y64" i="164"/>
  <c r="E38" i="164"/>
  <c r="AG75" i="164"/>
  <c r="AG39" i="164"/>
  <c r="CA38" i="164"/>
  <c r="T5" i="164"/>
  <c r="Y7" i="164"/>
  <c r="S8" i="164"/>
  <c r="S38" i="164" s="1"/>
  <c r="J8" i="164"/>
  <c r="Y16" i="164"/>
  <c r="Y22" i="164"/>
  <c r="CJ23" i="164"/>
  <c r="CL23" i="164" s="1"/>
  <c r="Y23" i="164"/>
  <c r="T25" i="164"/>
  <c r="CJ29" i="164"/>
  <c r="CL29" i="164" s="1"/>
  <c r="Y29" i="164"/>
  <c r="T31" i="164"/>
  <c r="CJ47" i="164"/>
  <c r="CL47" i="164" s="1"/>
  <c r="Y47" i="164"/>
  <c r="O54" i="164"/>
  <c r="AH75" i="164"/>
  <c r="AR76" i="164"/>
  <c r="AR81" i="164"/>
  <c r="AR83" i="164" s="1"/>
  <c r="AR84" i="164" s="1"/>
  <c r="AR86" i="164" s="1"/>
  <c r="AR87" i="164" s="1"/>
  <c r="BB75" i="164"/>
  <c r="BL76" i="164"/>
  <c r="BL81" i="164"/>
  <c r="BL83" i="164" s="1"/>
  <c r="BL84" i="164" s="1"/>
  <c r="BL86" i="164" s="1"/>
  <c r="BL87" i="164" s="1"/>
  <c r="BV76" i="164"/>
  <c r="BV81" i="164"/>
  <c r="BV83" i="164" s="1"/>
  <c r="BV84" i="164" s="1"/>
  <c r="BV86" i="164" s="1"/>
  <c r="BV87" i="164" s="1"/>
  <c r="CF76" i="164"/>
  <c r="CF81" i="164"/>
  <c r="CF83" i="164" s="1"/>
  <c r="CF84" i="164" s="1"/>
  <c r="CF86" i="164" s="1"/>
  <c r="CF87" i="164" s="1"/>
  <c r="AN8" i="164"/>
  <c r="BR8" i="164"/>
  <c r="BR38" i="164" s="1"/>
  <c r="CK10" i="164"/>
  <c r="CK8" i="164" s="1"/>
  <c r="Y36" i="164"/>
  <c r="Y35" i="164" s="1"/>
  <c r="AH39" i="164"/>
  <c r="BB39" i="164"/>
  <c r="BV39" i="164"/>
  <c r="CL42" i="164"/>
  <c r="T44" i="164"/>
  <c r="T46" i="164"/>
  <c r="T48" i="164"/>
  <c r="T52" i="164"/>
  <c r="CK50" i="164"/>
  <c r="J54" i="164"/>
  <c r="BW54" i="164"/>
  <c r="CJ62" i="164"/>
  <c r="CL62" i="164" s="1"/>
  <c r="W54" i="164"/>
  <c r="CJ67" i="164"/>
  <c r="CL67" i="164" s="1"/>
  <c r="Y67" i="164"/>
  <c r="H76" i="164"/>
  <c r="AB38" i="164"/>
  <c r="AL38" i="164"/>
  <c r="AV38" i="164"/>
  <c r="BF38" i="164"/>
  <c r="BP38" i="164"/>
  <c r="BZ38" i="164"/>
  <c r="O8" i="164"/>
  <c r="X8" i="164"/>
  <c r="X38" i="164" s="1"/>
  <c r="X75" i="164" s="1"/>
  <c r="X81" i="164" s="1"/>
  <c r="X83" i="164" s="1"/>
  <c r="CJ44" i="164"/>
  <c r="CL44" i="164" s="1"/>
  <c r="Y44" i="164"/>
  <c r="CJ46" i="164"/>
  <c r="CL46" i="164" s="1"/>
  <c r="Y46" i="164"/>
  <c r="CJ48" i="164"/>
  <c r="CL48" i="164" s="1"/>
  <c r="Y48" i="164"/>
  <c r="CJ52" i="164"/>
  <c r="Y52" i="164"/>
  <c r="W50" i="164"/>
  <c r="CG54" i="164"/>
  <c r="AI54" i="164"/>
  <c r="BM54" i="164"/>
  <c r="CL57" i="164"/>
  <c r="T60" i="164"/>
  <c r="CJ70" i="164"/>
  <c r="CL70" i="164" s="1"/>
  <c r="Y70" i="164"/>
  <c r="BM35" i="164"/>
  <c r="AR39" i="164"/>
  <c r="BL39" i="164"/>
  <c r="CF39" i="164"/>
  <c r="T42" i="164"/>
  <c r="S54" i="164"/>
  <c r="CQ54" i="164"/>
  <c r="Y55" i="164"/>
  <c r="CJ65" i="164"/>
  <c r="CL65" i="164" s="1"/>
  <c r="Y65" i="164"/>
  <c r="CK60" i="164"/>
  <c r="CL60" i="164" s="1"/>
  <c r="CJ61" i="164"/>
  <c r="CL61" i="164" s="1"/>
  <c r="Y61" i="164"/>
  <c r="CJ63" i="164"/>
  <c r="CL63" i="164" s="1"/>
  <c r="Y63" i="164"/>
  <c r="CJ68" i="164"/>
  <c r="CL68" i="164" s="1"/>
  <c r="Y68" i="164"/>
  <c r="CK59" i="164"/>
  <c r="CL59" i="164" s="1"/>
  <c r="CJ55" i="164"/>
  <c r="Y57" i="164"/>
  <c r="CJ71" i="164"/>
  <c r="CL71" i="164" s="1"/>
  <c r="Y71" i="164"/>
  <c r="T61" i="164"/>
  <c r="T63" i="164"/>
  <c r="CJ66" i="164"/>
  <c r="CL66" i="164" s="1"/>
  <c r="Y66" i="164"/>
  <c r="CJ69" i="164"/>
  <c r="CL69" i="164" s="1"/>
  <c r="Y69" i="164"/>
  <c r="CQ24" i="160"/>
  <c r="CR24" i="160" s="1"/>
  <c r="BC38" i="160"/>
  <c r="CL7" i="160"/>
  <c r="CL9" i="160"/>
  <c r="C75" i="160"/>
  <c r="C39" i="160"/>
  <c r="M75" i="160"/>
  <c r="M39" i="160"/>
  <c r="AG76" i="160"/>
  <c r="AQ75" i="160"/>
  <c r="AQ39" i="160"/>
  <c r="BA75" i="160"/>
  <c r="BA39" i="160"/>
  <c r="BK75" i="160"/>
  <c r="BK39" i="160"/>
  <c r="BU75" i="160"/>
  <c r="BU39" i="160"/>
  <c r="CE75" i="160"/>
  <c r="CE39" i="160"/>
  <c r="CP39" i="160"/>
  <c r="Y7" i="160"/>
  <c r="Y5" i="160" s="1"/>
  <c r="AD8" i="160"/>
  <c r="AN8" i="160"/>
  <c r="AN38" i="160" s="1"/>
  <c r="BH8" i="160"/>
  <c r="BR8" i="160"/>
  <c r="Y10" i="160"/>
  <c r="AG39" i="160"/>
  <c r="BW54" i="160"/>
  <c r="AX75" i="160"/>
  <c r="AX39" i="160"/>
  <c r="CQ28" i="160"/>
  <c r="CR28" i="160" s="1"/>
  <c r="D38" i="160"/>
  <c r="N75" i="160"/>
  <c r="N39" i="160"/>
  <c r="AH38" i="160"/>
  <c r="AR38" i="160"/>
  <c r="BB38" i="160"/>
  <c r="BL38" i="160"/>
  <c r="BV38" i="160"/>
  <c r="CF75" i="160"/>
  <c r="CF39" i="160"/>
  <c r="W8" i="160"/>
  <c r="W38" i="160" s="1"/>
  <c r="CL10" i="160"/>
  <c r="Y21" i="160"/>
  <c r="CK27" i="160"/>
  <c r="CL27" i="160" s="1"/>
  <c r="Y27" i="160"/>
  <c r="E39" i="160"/>
  <c r="AI75" i="160"/>
  <c r="AI39" i="160"/>
  <c r="AS38" i="160"/>
  <c r="BW38" i="160"/>
  <c r="X8" i="160"/>
  <c r="X38" i="160" s="1"/>
  <c r="Y9" i="160"/>
  <c r="Y12" i="160"/>
  <c r="Y13" i="160"/>
  <c r="CL36" i="160"/>
  <c r="AB75" i="160"/>
  <c r="AB39" i="160"/>
  <c r="H38" i="160"/>
  <c r="AV75" i="160"/>
  <c r="AV39" i="160"/>
  <c r="BF75" i="160"/>
  <c r="BF39" i="160"/>
  <c r="BP75" i="160"/>
  <c r="BP39" i="160"/>
  <c r="BZ75" i="160"/>
  <c r="BZ39" i="160"/>
  <c r="BM8" i="160"/>
  <c r="BM89" i="160" s="1"/>
  <c r="BN30" i="160" s="1"/>
  <c r="CL20" i="160"/>
  <c r="CJ26" i="160"/>
  <c r="CL26" i="160" s="1"/>
  <c r="Y26" i="160"/>
  <c r="CL30" i="160"/>
  <c r="J38" i="160"/>
  <c r="BH38" i="160"/>
  <c r="I75" i="160"/>
  <c r="I39" i="160"/>
  <c r="AC38" i="160"/>
  <c r="AM38" i="160"/>
  <c r="AW38" i="160"/>
  <c r="BG38" i="160"/>
  <c r="BQ38" i="160"/>
  <c r="CA38" i="160"/>
  <c r="R8" i="160"/>
  <c r="R38" i="160" s="1"/>
  <c r="T9" i="160"/>
  <c r="T12" i="160"/>
  <c r="Y22" i="160"/>
  <c r="BN24" i="160"/>
  <c r="CL29" i="160"/>
  <c r="CK32" i="160"/>
  <c r="T33" i="160"/>
  <c r="BN36" i="160"/>
  <c r="BW41" i="160"/>
  <c r="CK41" i="160"/>
  <c r="O50" i="160"/>
  <c r="CQ51" i="160"/>
  <c r="CQ50" i="160" s="1"/>
  <c r="CP50" i="160"/>
  <c r="CK31" i="160"/>
  <c r="CL31" i="160" s="1"/>
  <c r="CK33" i="160"/>
  <c r="CL33" i="160" s="1"/>
  <c r="AD41" i="160"/>
  <c r="Y60" i="160"/>
  <c r="CJ60" i="160"/>
  <c r="CL60" i="160" s="1"/>
  <c r="Y23" i="160"/>
  <c r="Y24" i="160"/>
  <c r="Y25" i="160"/>
  <c r="J35" i="160"/>
  <c r="AX35" i="160"/>
  <c r="CQ42" i="160"/>
  <c r="CQ41" i="160" s="1"/>
  <c r="CP41" i="160"/>
  <c r="BN32" i="160"/>
  <c r="CL32" i="160"/>
  <c r="BC41" i="160"/>
  <c r="CL43" i="160"/>
  <c r="CL46" i="160"/>
  <c r="CL48" i="160"/>
  <c r="AN50" i="160"/>
  <c r="BR50" i="160"/>
  <c r="CK52" i="160"/>
  <c r="CK50" i="160" s="1"/>
  <c r="X50" i="160"/>
  <c r="Y58" i="160"/>
  <c r="CJ58" i="160"/>
  <c r="CL58" i="160" s="1"/>
  <c r="X41" i="160"/>
  <c r="T42" i="160"/>
  <c r="BH41" i="160"/>
  <c r="T44" i="160"/>
  <c r="Y47" i="160"/>
  <c r="BN56" i="160"/>
  <c r="AN41" i="160"/>
  <c r="CG41" i="160"/>
  <c r="BN55" i="160"/>
  <c r="BH54" i="160"/>
  <c r="CQ60" i="160"/>
  <c r="CQ54" i="160" s="1"/>
  <c r="CP54" i="160"/>
  <c r="E41" i="160"/>
  <c r="CL42" i="160"/>
  <c r="CL44" i="160"/>
  <c r="CL47" i="160"/>
  <c r="E50" i="160"/>
  <c r="R41" i="160"/>
  <c r="BR41" i="160"/>
  <c r="T43" i="160"/>
  <c r="T45" i="160"/>
  <c r="Y46" i="160"/>
  <c r="Y48" i="160"/>
  <c r="AD50" i="160"/>
  <c r="BH50" i="160"/>
  <c r="CL51" i="160"/>
  <c r="AN54" i="160"/>
  <c r="J54" i="160"/>
  <c r="R54" i="160"/>
  <c r="T57" i="160"/>
  <c r="CJ57" i="160"/>
  <c r="T59" i="160"/>
  <c r="CJ59" i="160"/>
  <c r="CL59" i="160" s="1"/>
  <c r="Y61" i="160"/>
  <c r="CJ61" i="160"/>
  <c r="CL61" i="160" s="1"/>
  <c r="R50" i="160"/>
  <c r="CJ50" i="160"/>
  <c r="AD54" i="160"/>
  <c r="BN64" i="160"/>
  <c r="CP77" i="160"/>
  <c r="CQ78" i="160"/>
  <c r="CQ77" i="160" s="1"/>
  <c r="W54" i="160"/>
  <c r="T58" i="160"/>
  <c r="T60" i="160"/>
  <c r="Y62" i="160"/>
  <c r="CJ62" i="160"/>
  <c r="CL62" i="160" s="1"/>
  <c r="O54" i="160"/>
  <c r="X54" i="160"/>
  <c r="BN63" i="160"/>
  <c r="BN67" i="160"/>
  <c r="BN70" i="160"/>
  <c r="CL71" i="160"/>
  <c r="CJ63" i="160"/>
  <c r="CL63" i="160" s="1"/>
  <c r="CK65" i="160"/>
  <c r="CL65" i="160" s="1"/>
  <c r="T67" i="160"/>
  <c r="CK68" i="160"/>
  <c r="CL68" i="160" s="1"/>
  <c r="T70" i="160"/>
  <c r="CL74" i="160"/>
  <c r="CL73" i="160" s="1"/>
  <c r="CK64" i="160"/>
  <c r="BN66" i="160"/>
  <c r="BN69" i="160"/>
  <c r="BN71" i="160"/>
  <c r="BN65" i="160"/>
  <c r="CL66" i="160"/>
  <c r="BN68" i="160"/>
  <c r="CL69" i="160"/>
  <c r="T71" i="160"/>
  <c r="T78" i="160"/>
  <c r="Y82" i="160"/>
  <c r="CJ78" i="160"/>
  <c r="Y78" i="160"/>
  <c r="BM96" i="157"/>
  <c r="CB75" i="160" l="1"/>
  <c r="CB39" i="160"/>
  <c r="T54" i="160"/>
  <c r="Y41" i="160"/>
  <c r="CJ8" i="160"/>
  <c r="CJ38" i="160" s="1"/>
  <c r="T41" i="164"/>
  <c r="S75" i="164"/>
  <c r="S81" i="164" s="1"/>
  <c r="S83" i="164" s="1"/>
  <c r="S84" i="164" s="1"/>
  <c r="S86" i="164" s="1"/>
  <c r="BN31" i="160"/>
  <c r="BN23" i="160"/>
  <c r="CJ41" i="160"/>
  <c r="CP75" i="160"/>
  <c r="BN33" i="160"/>
  <c r="O38" i="160"/>
  <c r="CR22" i="160"/>
  <c r="X75" i="160"/>
  <c r="X81" i="160" s="1"/>
  <c r="X83" i="160" s="1"/>
  <c r="W75" i="160"/>
  <c r="BN28" i="160"/>
  <c r="CK8" i="160"/>
  <c r="CK38" i="160" s="1"/>
  <c r="T8" i="164"/>
  <c r="T38" i="164" s="1"/>
  <c r="CL6" i="164"/>
  <c r="M39" i="164"/>
  <c r="W75" i="164"/>
  <c r="R75" i="160"/>
  <c r="T50" i="164"/>
  <c r="AW39" i="164"/>
  <c r="S75" i="160"/>
  <c r="S81" i="160" s="1"/>
  <c r="S83" i="160" s="1"/>
  <c r="S84" i="160" s="1"/>
  <c r="S86" i="160" s="1"/>
  <c r="Y54" i="160"/>
  <c r="AL39" i="160"/>
  <c r="CL52" i="160"/>
  <c r="BZ75" i="164"/>
  <c r="BZ39" i="164"/>
  <c r="BR75" i="164"/>
  <c r="BR39" i="164"/>
  <c r="CK54" i="164"/>
  <c r="AN38" i="164"/>
  <c r="Y8" i="164"/>
  <c r="BA75" i="164"/>
  <c r="BA39" i="164"/>
  <c r="BB76" i="164"/>
  <c r="BB81" i="164"/>
  <c r="BB83" i="164" s="1"/>
  <c r="BB84" i="164" s="1"/>
  <c r="BB86" i="164" s="1"/>
  <c r="BB87" i="164" s="1"/>
  <c r="CQ28" i="164"/>
  <c r="CR28" i="164" s="1"/>
  <c r="CB75" i="164"/>
  <c r="CB39" i="164"/>
  <c r="CQ27" i="164"/>
  <c r="CR27" i="164" s="1"/>
  <c r="CL36" i="164"/>
  <c r="CK35" i="164"/>
  <c r="BU76" i="164"/>
  <c r="AX75" i="164"/>
  <c r="AX39" i="164"/>
  <c r="BW75" i="164"/>
  <c r="BW39" i="164"/>
  <c r="CL41" i="164"/>
  <c r="CA75" i="164"/>
  <c r="CA39" i="164"/>
  <c r="BC75" i="164"/>
  <c r="BC39" i="164"/>
  <c r="O38" i="164"/>
  <c r="AB75" i="164"/>
  <c r="AB39" i="164"/>
  <c r="D76" i="164"/>
  <c r="D81" i="164"/>
  <c r="D83" i="164" s="1"/>
  <c r="D84" i="164" s="1"/>
  <c r="BH75" i="164"/>
  <c r="BH39" i="164"/>
  <c r="CJ8" i="164"/>
  <c r="CJ38" i="164" s="1"/>
  <c r="CL9" i="164"/>
  <c r="AQ76" i="164"/>
  <c r="CJ54" i="164"/>
  <c r="CL55" i="164"/>
  <c r="Y54" i="164"/>
  <c r="CL52" i="164"/>
  <c r="CJ50" i="164"/>
  <c r="AL75" i="164"/>
  <c r="AL39" i="164"/>
  <c r="CQ23" i="164"/>
  <c r="CR23" i="164" s="1"/>
  <c r="E75" i="164"/>
  <c r="E39" i="164"/>
  <c r="AW76" i="164"/>
  <c r="AW81" i="164"/>
  <c r="AW83" i="164" s="1"/>
  <c r="AW84" i="164" s="1"/>
  <c r="AW86" i="164" s="1"/>
  <c r="AW87" i="164" s="1"/>
  <c r="R75" i="164"/>
  <c r="CQ25" i="164"/>
  <c r="CR25" i="164" s="1"/>
  <c r="CE76" i="164"/>
  <c r="AD75" i="164"/>
  <c r="AD39" i="164"/>
  <c r="C76" i="164"/>
  <c r="BP75" i="164"/>
  <c r="BP39" i="164"/>
  <c r="CJ41" i="164"/>
  <c r="CQ29" i="164"/>
  <c r="CR29" i="164" s="1"/>
  <c r="CP75" i="164"/>
  <c r="CP39" i="164"/>
  <c r="N75" i="164"/>
  <c r="N39" i="164"/>
  <c r="CQ32" i="164"/>
  <c r="CR32" i="164" s="1"/>
  <c r="CG38" i="164"/>
  <c r="T54" i="164"/>
  <c r="CQ31" i="164"/>
  <c r="CR31" i="164" s="1"/>
  <c r="CK38" i="164"/>
  <c r="Y50" i="164"/>
  <c r="CT22" i="164"/>
  <c r="CR22" i="164"/>
  <c r="CL10" i="164"/>
  <c r="BF75" i="164"/>
  <c r="BF39" i="164"/>
  <c r="AG76" i="164"/>
  <c r="BM75" i="164"/>
  <c r="BM39" i="164"/>
  <c r="CQ11" i="164"/>
  <c r="BM89" i="164"/>
  <c r="Y5" i="164"/>
  <c r="CQ24" i="164"/>
  <c r="CR24" i="164" s="1"/>
  <c r="BQ76" i="164"/>
  <c r="BQ81" i="164"/>
  <c r="BQ83" i="164" s="1"/>
  <c r="BQ84" i="164" s="1"/>
  <c r="BQ86" i="164" s="1"/>
  <c r="BQ87" i="164" s="1"/>
  <c r="AI38" i="164"/>
  <c r="AM75" i="164"/>
  <c r="AM39" i="164"/>
  <c r="BG75" i="164"/>
  <c r="BG39" i="164"/>
  <c r="CQ30" i="164"/>
  <c r="CR30" i="164" s="1"/>
  <c r="AV75" i="164"/>
  <c r="AV39" i="164"/>
  <c r="AH76" i="164"/>
  <c r="AH81" i="164"/>
  <c r="AH83" i="164" s="1"/>
  <c r="AH84" i="164" s="1"/>
  <c r="AH86" i="164" s="1"/>
  <c r="AH87" i="164" s="1"/>
  <c r="AC75" i="164"/>
  <c r="AC39" i="164"/>
  <c r="CL5" i="164"/>
  <c r="CQ6" i="164"/>
  <c r="CQ26" i="164"/>
  <c r="CR26" i="164" s="1"/>
  <c r="M76" i="164"/>
  <c r="Y41" i="164"/>
  <c r="J38" i="164"/>
  <c r="I76" i="164"/>
  <c r="I81" i="164"/>
  <c r="I83" i="164" s="1"/>
  <c r="I84" i="164" s="1"/>
  <c r="I86" i="164" s="1"/>
  <c r="I87" i="164" s="1"/>
  <c r="AS38" i="164"/>
  <c r="BK76" i="164"/>
  <c r="BK81" i="164"/>
  <c r="BK83" i="164" s="1"/>
  <c r="BK84" i="164" s="1"/>
  <c r="BK86" i="164" s="1"/>
  <c r="BK87" i="164" s="1"/>
  <c r="CQ31" i="160"/>
  <c r="CR31" i="160" s="1"/>
  <c r="CP76" i="160"/>
  <c r="CP81" i="160"/>
  <c r="CP83" i="160" s="1"/>
  <c r="CP84" i="160" s="1"/>
  <c r="CP86" i="160" s="1"/>
  <c r="CP87" i="160" s="1"/>
  <c r="CQ27" i="160"/>
  <c r="CR27" i="160" s="1"/>
  <c r="CK39" i="160"/>
  <c r="CJ39" i="160"/>
  <c r="CQ30" i="160"/>
  <c r="CR30" i="160" s="1"/>
  <c r="CQ32" i="160"/>
  <c r="CR32" i="160" s="1"/>
  <c r="T8" i="160"/>
  <c r="AM75" i="160"/>
  <c r="AM39" i="160"/>
  <c r="CQ20" i="160"/>
  <c r="CR20" i="160" s="1"/>
  <c r="H75" i="160"/>
  <c r="H39" i="160"/>
  <c r="AI76" i="160"/>
  <c r="CF81" i="160"/>
  <c r="CF83" i="160" s="1"/>
  <c r="CF84" i="160" s="1"/>
  <c r="CF86" i="160" s="1"/>
  <c r="CF87" i="160" s="1"/>
  <c r="CF76" i="160"/>
  <c r="M76" i="160"/>
  <c r="CQ9" i="160"/>
  <c r="CL8" i="160"/>
  <c r="AW75" i="160"/>
  <c r="AW39" i="160"/>
  <c r="BP76" i="160"/>
  <c r="AC75" i="160"/>
  <c r="AC39" i="160"/>
  <c r="BF76" i="160"/>
  <c r="Y8" i="160"/>
  <c r="BV75" i="160"/>
  <c r="BV39" i="160"/>
  <c r="BU76" i="160"/>
  <c r="AQ76" i="160"/>
  <c r="CL57" i="160"/>
  <c r="CJ54" i="160"/>
  <c r="CJ75" i="160" s="1"/>
  <c r="CQ29" i="160"/>
  <c r="CR29" i="160" s="1"/>
  <c r="CA75" i="160"/>
  <c r="CA39" i="160"/>
  <c r="AB76" i="160"/>
  <c r="AN75" i="160"/>
  <c r="AN39" i="160"/>
  <c r="BW75" i="160"/>
  <c r="BW39" i="160"/>
  <c r="E75" i="160"/>
  <c r="BL75" i="160"/>
  <c r="BL39" i="160"/>
  <c r="N81" i="160"/>
  <c r="N83" i="160" s="1"/>
  <c r="N84" i="160" s="1"/>
  <c r="N86" i="160" s="1"/>
  <c r="N87" i="160" s="1"/>
  <c r="N76" i="160"/>
  <c r="C76" i="160"/>
  <c r="BR38" i="160"/>
  <c r="CG75" i="160"/>
  <c r="CG39" i="160"/>
  <c r="T41" i="160"/>
  <c r="CB76" i="160"/>
  <c r="AH75" i="160"/>
  <c r="AH39" i="160"/>
  <c r="CE76" i="160"/>
  <c r="CL64" i="160"/>
  <c r="CK54" i="160"/>
  <c r="CK75" i="160" s="1"/>
  <c r="CL50" i="160"/>
  <c r="BQ75" i="160"/>
  <c r="BQ39" i="160"/>
  <c r="I81" i="160"/>
  <c r="I83" i="160" s="1"/>
  <c r="I84" i="160" s="1"/>
  <c r="I86" i="160" s="1"/>
  <c r="I87" i="160" s="1"/>
  <c r="I76" i="160"/>
  <c r="BZ76" i="160"/>
  <c r="AV76" i="160"/>
  <c r="CQ36" i="160"/>
  <c r="CL35" i="160"/>
  <c r="BM38" i="160"/>
  <c r="CQ10" i="160"/>
  <c r="CR10" i="160" s="1"/>
  <c r="BB75" i="160"/>
  <c r="BB39" i="160"/>
  <c r="D75" i="160"/>
  <c r="D39" i="160"/>
  <c r="AX76" i="160"/>
  <c r="BK76" i="160"/>
  <c r="BK81" i="160"/>
  <c r="BK83" i="160" s="1"/>
  <c r="BK84" i="160" s="1"/>
  <c r="BK86" i="160" s="1"/>
  <c r="BK87" i="160" s="1"/>
  <c r="AD38" i="160"/>
  <c r="BC75" i="160"/>
  <c r="BC39" i="160"/>
  <c r="CL41" i="160"/>
  <c r="J75" i="160"/>
  <c r="J39" i="160"/>
  <c r="AL76" i="160"/>
  <c r="BA76" i="160"/>
  <c r="O75" i="160"/>
  <c r="O39" i="160"/>
  <c r="CL78" i="160"/>
  <c r="BG75" i="160"/>
  <c r="BG39" i="160"/>
  <c r="BH75" i="160"/>
  <c r="BH39" i="160"/>
  <c r="BN52" i="160"/>
  <c r="BN51" i="160"/>
  <c r="BN48" i="160"/>
  <c r="BN47" i="160"/>
  <c r="BN46" i="160"/>
  <c r="BN45" i="160"/>
  <c r="BN44" i="160"/>
  <c r="BN43" i="160"/>
  <c r="BN42" i="160"/>
  <c r="BN62" i="160"/>
  <c r="BN60" i="160"/>
  <c r="BN58" i="160"/>
  <c r="BN49" i="160"/>
  <c r="BN61" i="160"/>
  <c r="BN59" i="160"/>
  <c r="BN53" i="160"/>
  <c r="BN57" i="160"/>
  <c r="BN27" i="160"/>
  <c r="BN10" i="160"/>
  <c r="BN26" i="160"/>
  <c r="BN19" i="160"/>
  <c r="BN17" i="160"/>
  <c r="BN15" i="160"/>
  <c r="BN13" i="160"/>
  <c r="BN21" i="160"/>
  <c r="BN11" i="160"/>
  <c r="BN22" i="160"/>
  <c r="BN20" i="160"/>
  <c r="BN18" i="160"/>
  <c r="BN16" i="160"/>
  <c r="BN14" i="160"/>
  <c r="BN12" i="160"/>
  <c r="BN9" i="160"/>
  <c r="AS75" i="160"/>
  <c r="AS39" i="160"/>
  <c r="BN29" i="160"/>
  <c r="BN25" i="160"/>
  <c r="AR75" i="160"/>
  <c r="AR39" i="160"/>
  <c r="BM100" i="157"/>
  <c r="T75" i="164" l="1"/>
  <c r="Y38" i="164"/>
  <c r="Y75" i="164" s="1"/>
  <c r="J75" i="164"/>
  <c r="J39" i="164"/>
  <c r="AV76" i="164"/>
  <c r="CG75" i="164"/>
  <c r="CG39" i="164"/>
  <c r="E76" i="164"/>
  <c r="D86" i="164"/>
  <c r="D87" i="164" s="1"/>
  <c r="O75" i="164"/>
  <c r="O39" i="164"/>
  <c r="CQ5" i="164"/>
  <c r="CR6" i="164"/>
  <c r="CR5" i="164" s="1"/>
  <c r="BM76" i="164"/>
  <c r="BM81" i="164"/>
  <c r="BM83" i="164" s="1"/>
  <c r="BM84" i="164" s="1"/>
  <c r="BM86" i="164" s="1"/>
  <c r="BM87" i="164" s="1"/>
  <c r="N76" i="164"/>
  <c r="N81" i="164"/>
  <c r="N83" i="164" s="1"/>
  <c r="N84" i="164" s="1"/>
  <c r="N86" i="164" s="1"/>
  <c r="N87" i="164" s="1"/>
  <c r="AD76" i="164"/>
  <c r="BH76" i="164"/>
  <c r="AB76" i="164"/>
  <c r="BC76" i="164"/>
  <c r="AN75" i="164"/>
  <c r="AN39" i="164"/>
  <c r="BR76" i="164"/>
  <c r="BN71" i="164"/>
  <c r="BN68" i="164"/>
  <c r="BN65" i="164"/>
  <c r="BN69" i="164"/>
  <c r="BN66" i="164"/>
  <c r="BN55" i="164"/>
  <c r="BN63" i="164"/>
  <c r="BN61" i="164"/>
  <c r="BN53" i="164"/>
  <c r="BN67" i="164"/>
  <c r="BN62" i="164"/>
  <c r="BN64" i="164"/>
  <c r="BN51" i="164"/>
  <c r="BN47" i="164"/>
  <c r="BN45" i="164"/>
  <c r="BN43" i="164"/>
  <c r="BN70" i="164"/>
  <c r="BN49" i="164"/>
  <c r="BN32" i="164"/>
  <c r="BN26" i="164"/>
  <c r="BN31" i="164"/>
  <c r="BN25" i="164"/>
  <c r="BN42" i="164"/>
  <c r="BN30" i="164"/>
  <c r="BN24" i="164"/>
  <c r="BN44" i="164"/>
  <c r="BN29" i="164"/>
  <c r="BN23" i="164"/>
  <c r="BN52" i="164"/>
  <c r="BN46" i="164"/>
  <c r="BN28" i="164"/>
  <c r="BN9" i="164"/>
  <c r="BN48" i="164"/>
  <c r="BN33" i="164"/>
  <c r="BN27" i="164"/>
  <c r="BN11" i="164"/>
  <c r="BN21" i="164"/>
  <c r="BN18" i="164"/>
  <c r="BN17" i="164"/>
  <c r="BN60" i="164"/>
  <c r="BN36" i="164"/>
  <c r="BN59" i="164"/>
  <c r="BN10" i="164"/>
  <c r="BN15" i="164"/>
  <c r="BN14" i="164"/>
  <c r="BN22" i="164"/>
  <c r="BN19" i="164"/>
  <c r="BN58" i="164"/>
  <c r="BN12" i="164"/>
  <c r="BN20" i="164"/>
  <c r="BN56" i="164"/>
  <c r="BN16" i="164"/>
  <c r="BN13" i="164"/>
  <c r="BN57" i="164"/>
  <c r="BZ76" i="164"/>
  <c r="AS39" i="164"/>
  <c r="AS75" i="164"/>
  <c r="AM76" i="164"/>
  <c r="AM81" i="164"/>
  <c r="AM83" i="164" s="1"/>
  <c r="AM84" i="164" s="1"/>
  <c r="AM86" i="164" s="1"/>
  <c r="AM87" i="164" s="1"/>
  <c r="BF76" i="164"/>
  <c r="CK75" i="164"/>
  <c r="CK39" i="164"/>
  <c r="CP76" i="164"/>
  <c r="CP81" i="164"/>
  <c r="CP83" i="164" s="1"/>
  <c r="CP84" i="164" s="1"/>
  <c r="CP86" i="164" s="1"/>
  <c r="CP87" i="164" s="1"/>
  <c r="CQ9" i="164"/>
  <c r="CL8" i="164"/>
  <c r="BW76" i="164"/>
  <c r="CB76" i="164"/>
  <c r="AI75" i="164"/>
  <c r="AI39" i="164"/>
  <c r="AL76" i="164"/>
  <c r="CJ75" i="164"/>
  <c r="CJ39" i="164"/>
  <c r="CA76" i="164"/>
  <c r="CA81" i="164"/>
  <c r="CA83" i="164" s="1"/>
  <c r="CA84" i="164" s="1"/>
  <c r="CA86" i="164" s="1"/>
  <c r="CA87" i="164" s="1"/>
  <c r="BG76" i="164"/>
  <c r="BG81" i="164"/>
  <c r="BG83" i="164" s="1"/>
  <c r="BG84" i="164" s="1"/>
  <c r="BG86" i="164" s="1"/>
  <c r="BG87" i="164" s="1"/>
  <c r="BP76" i="164"/>
  <c r="BA76" i="164"/>
  <c r="AC76" i="164"/>
  <c r="AC81" i="164"/>
  <c r="AC83" i="164" s="1"/>
  <c r="AC84" i="164" s="1"/>
  <c r="CL50" i="164"/>
  <c r="CQ10" i="164"/>
  <c r="CL54" i="164"/>
  <c r="AX76" i="164"/>
  <c r="CQ36" i="164"/>
  <c r="CL35" i="164"/>
  <c r="CJ76" i="160"/>
  <c r="CK81" i="160"/>
  <c r="CK83" i="160" s="1"/>
  <c r="CK76" i="160"/>
  <c r="AH81" i="160"/>
  <c r="AH83" i="160" s="1"/>
  <c r="AH84" i="160" s="1"/>
  <c r="AH86" i="160" s="1"/>
  <c r="AH87" i="160" s="1"/>
  <c r="AH76" i="160"/>
  <c r="AW81" i="160"/>
  <c r="AW83" i="160" s="1"/>
  <c r="AW84" i="160" s="1"/>
  <c r="AW86" i="160" s="1"/>
  <c r="AW87" i="160" s="1"/>
  <c r="AW76" i="160"/>
  <c r="AS76" i="160"/>
  <c r="BC76" i="160"/>
  <c r="BQ81" i="160"/>
  <c r="BQ83" i="160" s="1"/>
  <c r="BQ84" i="160" s="1"/>
  <c r="BQ86" i="160" s="1"/>
  <c r="BQ87" i="160" s="1"/>
  <c r="BQ76" i="160"/>
  <c r="AN76" i="160"/>
  <c r="AR81" i="160"/>
  <c r="AR83" i="160" s="1"/>
  <c r="AR84" i="160" s="1"/>
  <c r="AR86" i="160" s="1"/>
  <c r="AR87" i="160" s="1"/>
  <c r="AR76" i="160"/>
  <c r="BH76" i="160"/>
  <c r="O76" i="160"/>
  <c r="J76" i="160"/>
  <c r="AD75" i="160"/>
  <c r="AD39" i="160"/>
  <c r="BM75" i="160"/>
  <c r="BM39" i="160"/>
  <c r="CL54" i="160"/>
  <c r="CL38" i="160"/>
  <c r="AM81" i="160"/>
  <c r="AM83" i="160" s="1"/>
  <c r="AM84" i="160" s="1"/>
  <c r="AM86" i="160" s="1"/>
  <c r="AM87" i="160" s="1"/>
  <c r="AM76" i="160"/>
  <c r="Y38" i="160"/>
  <c r="Y75" i="160" s="1"/>
  <c r="D81" i="160"/>
  <c r="D83" i="160" s="1"/>
  <c r="D84" i="160" s="1"/>
  <c r="D76" i="160"/>
  <c r="CG76" i="160"/>
  <c r="E76" i="160"/>
  <c r="BV81" i="160"/>
  <c r="BV83" i="160" s="1"/>
  <c r="BV84" i="160" s="1"/>
  <c r="BV86" i="160" s="1"/>
  <c r="BV87" i="160" s="1"/>
  <c r="BV76" i="160"/>
  <c r="CQ8" i="160"/>
  <c r="CQ38" i="160" s="1"/>
  <c r="CR9" i="160"/>
  <c r="CR8" i="160" s="1"/>
  <c r="CR38" i="160" s="1"/>
  <c r="T38" i="160"/>
  <c r="T75" i="160" s="1"/>
  <c r="BL81" i="160"/>
  <c r="BL83" i="160" s="1"/>
  <c r="BL84" i="160" s="1"/>
  <c r="BL86" i="160" s="1"/>
  <c r="BL87" i="160" s="1"/>
  <c r="BL76" i="160"/>
  <c r="BG81" i="160"/>
  <c r="BG83" i="160" s="1"/>
  <c r="BG84" i="160" s="1"/>
  <c r="BG86" i="160" s="1"/>
  <c r="BG87" i="160" s="1"/>
  <c r="BG76" i="160"/>
  <c r="BR75" i="160"/>
  <c r="BR39" i="160"/>
  <c r="H76" i="160"/>
  <c r="BB81" i="160"/>
  <c r="BB83" i="160" s="1"/>
  <c r="BB84" i="160" s="1"/>
  <c r="BB86" i="160" s="1"/>
  <c r="BB87" i="160" s="1"/>
  <c r="BB76" i="160"/>
  <c r="CR36" i="160"/>
  <c r="CR35" i="160" s="1"/>
  <c r="CQ35" i="160"/>
  <c r="BW76" i="160"/>
  <c r="CA81" i="160"/>
  <c r="CA83" i="160" s="1"/>
  <c r="CA84" i="160" s="1"/>
  <c r="CA86" i="160" s="1"/>
  <c r="CA87" i="160" s="1"/>
  <c r="CA76" i="160"/>
  <c r="AC81" i="160"/>
  <c r="AC83" i="160" s="1"/>
  <c r="AC84" i="160" s="1"/>
  <c r="AC76" i="160"/>
  <c r="CR9" i="164" l="1"/>
  <c r="CQ8" i="164"/>
  <c r="CK76" i="164"/>
  <c r="CK81" i="164"/>
  <c r="CK83" i="164" s="1"/>
  <c r="AS76" i="164"/>
  <c r="O76" i="164"/>
  <c r="CG76" i="164"/>
  <c r="AI76" i="164"/>
  <c r="AN76" i="164"/>
  <c r="CQ38" i="164"/>
  <c r="CR36" i="164"/>
  <c r="CR35" i="164" s="1"/>
  <c r="CQ35" i="164"/>
  <c r="CJ76" i="164"/>
  <c r="X84" i="164"/>
  <c r="X86" i="164" s="1"/>
  <c r="AC86" i="164"/>
  <c r="AC87" i="164" s="1"/>
  <c r="CL38" i="164"/>
  <c r="J76" i="164"/>
  <c r="D86" i="160"/>
  <c r="D87" i="160" s="1"/>
  <c r="CL75" i="160"/>
  <c r="CL39" i="160"/>
  <c r="X84" i="160"/>
  <c r="X86" i="160" s="1"/>
  <c r="AC86" i="160"/>
  <c r="AC87" i="160" s="1"/>
  <c r="BR76" i="160"/>
  <c r="AD76" i="160"/>
  <c r="CR75" i="160"/>
  <c r="CR39" i="160"/>
  <c r="BM76" i="160"/>
  <c r="BM81" i="160"/>
  <c r="BM83" i="160" s="1"/>
  <c r="BM84" i="160" s="1"/>
  <c r="BM86" i="160" s="1"/>
  <c r="BM87" i="160" s="1"/>
  <c r="CQ75" i="160"/>
  <c r="CQ39" i="160"/>
  <c r="CL75" i="164" l="1"/>
  <c r="CL39" i="164"/>
  <c r="CQ75" i="164"/>
  <c r="CQ39" i="164"/>
  <c r="CK84" i="164"/>
  <c r="CK86" i="164" s="1"/>
  <c r="CK87" i="164" s="1"/>
  <c r="CT9" i="164"/>
  <c r="CR8" i="164"/>
  <c r="CR38" i="164" s="1"/>
  <c r="CR75" i="164" s="1"/>
  <c r="CQ81" i="160"/>
  <c r="CQ83" i="160" s="1"/>
  <c r="CQ84" i="160" s="1"/>
  <c r="CQ86" i="160" s="1"/>
  <c r="CQ87" i="160" s="1"/>
  <c r="CQ76" i="160"/>
  <c r="CR76" i="160"/>
  <c r="CR81" i="160"/>
  <c r="CR83" i="160" s="1"/>
  <c r="CR84" i="160" s="1"/>
  <c r="CR86" i="160" s="1"/>
  <c r="CR87" i="160" s="1"/>
  <c r="CK84" i="160"/>
  <c r="CK86" i="160" s="1"/>
  <c r="CK87" i="160" s="1"/>
  <c r="CL76" i="160"/>
  <c r="CL76" i="164" l="1"/>
  <c r="CQ76" i="164"/>
  <c r="M26" i="101" l="1"/>
  <c r="I26" i="101"/>
  <c r="I27" i="101" s="1"/>
  <c r="E26" i="101"/>
  <c r="AL79" i="171" l="1"/>
  <c r="AL79" i="167"/>
  <c r="AL77" i="167" l="1"/>
  <c r="AL81" i="167"/>
  <c r="AL83" i="167" s="1"/>
  <c r="AL84" i="167" s="1"/>
  <c r="AL86" i="167" s="1"/>
  <c r="AL87" i="167" s="1"/>
  <c r="AN79" i="167"/>
  <c r="AN79" i="171"/>
  <c r="AL77" i="171"/>
  <c r="AL81" i="171"/>
  <c r="AL83" i="171" s="1"/>
  <c r="AL84" i="171" s="1"/>
  <c r="AL86" i="171" s="1"/>
  <c r="AL87" i="171" s="1"/>
  <c r="AN77" i="171" l="1"/>
  <c r="AN89" i="171"/>
  <c r="AN81" i="171"/>
  <c r="AN83" i="171" s="1"/>
  <c r="AN84" i="171" s="1"/>
  <c r="AN86" i="171" s="1"/>
  <c r="AN87" i="171" s="1"/>
  <c r="AN77" i="167"/>
  <c r="AN89" i="167"/>
  <c r="AN81" i="167"/>
  <c r="AN83" i="167" s="1"/>
  <c r="AN84" i="167" s="1"/>
  <c r="AN86" i="167" s="1"/>
  <c r="AN87" i="167" s="1"/>
  <c r="AO53" i="171" l="1"/>
  <c r="AO71" i="171"/>
  <c r="AO70" i="171"/>
  <c r="AO60" i="171"/>
  <c r="AO57" i="171"/>
  <c r="AO47" i="171"/>
  <c r="AO31" i="171"/>
  <c r="AO15" i="171"/>
  <c r="AO42" i="171"/>
  <c r="AO11" i="171"/>
  <c r="AO26" i="171"/>
  <c r="AO33" i="171"/>
  <c r="AO46" i="171"/>
  <c r="AO24" i="171"/>
  <c r="AO67" i="171"/>
  <c r="AO65" i="171"/>
  <c r="AO66" i="171"/>
  <c r="AO36" i="171"/>
  <c r="AO56" i="171"/>
  <c r="AO30" i="171"/>
  <c r="AO25" i="171"/>
  <c r="AO13" i="171"/>
  <c r="AO51" i="171"/>
  <c r="AO22" i="171"/>
  <c r="AO43" i="171"/>
  <c r="AO21" i="171"/>
  <c r="AO44" i="171"/>
  <c r="AO29" i="171"/>
  <c r="AO61" i="171"/>
  <c r="AO59" i="171"/>
  <c r="AO58" i="171"/>
  <c r="AO63" i="171"/>
  <c r="AO32" i="171"/>
  <c r="AO45" i="171"/>
  <c r="AO17" i="171"/>
  <c r="AO12" i="171"/>
  <c r="AO23" i="171"/>
  <c r="AO52" i="171"/>
  <c r="AO18" i="171"/>
  <c r="AO19" i="171"/>
  <c r="AO20" i="171"/>
  <c r="AO55" i="171"/>
  <c r="AO49" i="171"/>
  <c r="AO64" i="171"/>
  <c r="AO62" i="171"/>
  <c r="AO69" i="171"/>
  <c r="AO68" i="171"/>
  <c r="AO16" i="171"/>
  <c r="AO14" i="171"/>
  <c r="AO9" i="171"/>
  <c r="AO27" i="171"/>
  <c r="AO28" i="171"/>
  <c r="AO48" i="171"/>
  <c r="AO10" i="171"/>
  <c r="AO25" i="167"/>
  <c r="AO51" i="167"/>
  <c r="AO49" i="167"/>
  <c r="AO71" i="167"/>
  <c r="AO32" i="167"/>
  <c r="AO57" i="167"/>
  <c r="AO31" i="167"/>
  <c r="AO17" i="167"/>
  <c r="AO67" i="167"/>
  <c r="AO68" i="167"/>
  <c r="AO53" i="167"/>
  <c r="AO28" i="167"/>
  <c r="AO13" i="167"/>
  <c r="AO26" i="167"/>
  <c r="AO23" i="167"/>
  <c r="AO62" i="167"/>
  <c r="AO60" i="167"/>
  <c r="AO29" i="167"/>
  <c r="AO20" i="167"/>
  <c r="AO12" i="167"/>
  <c r="AO42" i="167"/>
  <c r="AO24" i="167"/>
  <c r="AO69" i="167"/>
  <c r="AO48" i="167"/>
  <c r="AO27" i="167"/>
  <c r="AO55" i="167"/>
  <c r="AO14" i="167"/>
  <c r="AO45" i="167"/>
  <c r="AO70" i="167"/>
  <c r="AO9" i="167"/>
  <c r="AO65" i="167"/>
  <c r="AO47" i="167"/>
  <c r="AO16" i="167"/>
  <c r="AO66" i="167"/>
  <c r="AO15" i="167"/>
  <c r="AO33" i="167"/>
  <c r="AO10" i="167"/>
  <c r="AO19" i="167"/>
  <c r="AO58" i="167"/>
  <c r="AO44" i="167"/>
  <c r="AO63" i="167"/>
  <c r="AO11" i="167"/>
  <c r="AO59" i="167"/>
  <c r="AO36" i="167"/>
  <c r="AO21" i="167"/>
  <c r="AO61" i="167"/>
  <c r="AO22" i="167"/>
  <c r="AO64" i="167"/>
  <c r="AO46" i="167"/>
  <c r="AO56" i="167"/>
  <c r="AO52" i="167"/>
  <c r="AO30" i="167"/>
  <c r="AO18" i="167"/>
  <c r="AO43" i="167"/>
  <c r="CP85" i="163" l="1"/>
  <c r="CQ85" i="163" s="1"/>
  <c r="CK85" i="163"/>
  <c r="CJ85" i="163"/>
  <c r="CG85" i="163"/>
  <c r="CB85" i="163"/>
  <c r="BW85" i="163"/>
  <c r="BR85" i="163"/>
  <c r="BM85" i="163"/>
  <c r="BH85" i="163"/>
  <c r="BC85" i="163"/>
  <c r="AX85" i="163"/>
  <c r="AS85" i="163"/>
  <c r="AN85" i="163"/>
  <c r="AI85" i="163"/>
  <c r="AD85" i="163"/>
  <c r="X85" i="163"/>
  <c r="W85" i="163"/>
  <c r="S85" i="163"/>
  <c r="R85" i="163"/>
  <c r="T85" i="163" s="1"/>
  <c r="O85" i="163"/>
  <c r="J85" i="163"/>
  <c r="E85" i="163"/>
  <c r="CP82" i="163"/>
  <c r="CQ82" i="163" s="1"/>
  <c r="CL82" i="163"/>
  <c r="CG82" i="163"/>
  <c r="CB82" i="163"/>
  <c r="BW82" i="163"/>
  <c r="BR82" i="163"/>
  <c r="BM82" i="163"/>
  <c r="BH82" i="163"/>
  <c r="BC82" i="163"/>
  <c r="AX82" i="163"/>
  <c r="AS82" i="163"/>
  <c r="AN82" i="163"/>
  <c r="AI82" i="163"/>
  <c r="AD82" i="163"/>
  <c r="X82" i="163"/>
  <c r="Y82" i="163" s="1"/>
  <c r="W82" i="163"/>
  <c r="S82" i="163"/>
  <c r="T82" i="163" s="1"/>
  <c r="R82" i="163"/>
  <c r="O82" i="163"/>
  <c r="J82" i="163"/>
  <c r="E82" i="163"/>
  <c r="CK80" i="163"/>
  <c r="CJ80" i="163"/>
  <c r="BM79" i="163"/>
  <c r="X79" i="163"/>
  <c r="CK79" i="163" s="1"/>
  <c r="S79" i="163"/>
  <c r="CQ78" i="163"/>
  <c r="CG78" i="163"/>
  <c r="CB78" i="163"/>
  <c r="BW78" i="163"/>
  <c r="BR78" i="163"/>
  <c r="BM78" i="163"/>
  <c r="BM77" i="163" s="1"/>
  <c r="BH78" i="163"/>
  <c r="BC78" i="163"/>
  <c r="AX78" i="163"/>
  <c r="AS78" i="163"/>
  <c r="AN78" i="163"/>
  <c r="AI78" i="163"/>
  <c r="AD78" i="163"/>
  <c r="X78" i="163"/>
  <c r="W78" i="163"/>
  <c r="S78" i="163"/>
  <c r="R78" i="163"/>
  <c r="O78" i="163"/>
  <c r="J78" i="163"/>
  <c r="E78" i="163"/>
  <c r="CP77" i="163"/>
  <c r="CF77" i="163"/>
  <c r="CA77" i="163"/>
  <c r="BV77" i="163"/>
  <c r="BQ77" i="163"/>
  <c r="BL77" i="163"/>
  <c r="BK77" i="163"/>
  <c r="BG77" i="163"/>
  <c r="BB77" i="163"/>
  <c r="AW77" i="163"/>
  <c r="AR77" i="163"/>
  <c r="AM77" i="163"/>
  <c r="AH77" i="163"/>
  <c r="AC77" i="163"/>
  <c r="N77" i="163"/>
  <c r="I77" i="163"/>
  <c r="D77" i="163"/>
  <c r="CP74" i="163"/>
  <c r="CQ74" i="163" s="1"/>
  <c r="CQ73" i="163" s="1"/>
  <c r="CK74" i="163"/>
  <c r="CK73" i="163" s="1"/>
  <c r="CJ74" i="163"/>
  <c r="CJ73" i="163" s="1"/>
  <c r="CG74" i="163"/>
  <c r="CG73" i="163" s="1"/>
  <c r="CB74" i="163"/>
  <c r="BW74" i="163"/>
  <c r="BR74" i="163"/>
  <c r="BR73" i="163" s="1"/>
  <c r="BM74" i="163"/>
  <c r="BM73" i="163" s="1"/>
  <c r="BH74" i="163"/>
  <c r="BH73" i="163" s="1"/>
  <c r="BC74" i="163"/>
  <c r="AX74" i="163"/>
  <c r="AS74" i="163"/>
  <c r="AN74" i="163"/>
  <c r="AN73" i="163" s="1"/>
  <c r="AI74" i="163"/>
  <c r="AD74" i="163"/>
  <c r="AD73" i="163" s="1"/>
  <c r="X74" i="163"/>
  <c r="X73" i="163" s="1"/>
  <c r="W74" i="163"/>
  <c r="O74" i="163"/>
  <c r="J74" i="163"/>
  <c r="J73" i="163" s="1"/>
  <c r="E74" i="163"/>
  <c r="CF73" i="163"/>
  <c r="CE73" i="163"/>
  <c r="CB73" i="163"/>
  <c r="CA73" i="163"/>
  <c r="BZ73" i="163"/>
  <c r="BW73" i="163"/>
  <c r="BV73" i="163"/>
  <c r="BU73" i="163"/>
  <c r="BQ73" i="163"/>
  <c r="BP73" i="163"/>
  <c r="BL73" i="163"/>
  <c r="BK73" i="163"/>
  <c r="BG73" i="163"/>
  <c r="BF73" i="163"/>
  <c r="BC73" i="163"/>
  <c r="BB73" i="163"/>
  <c r="BA73" i="163"/>
  <c r="AX73" i="163"/>
  <c r="AW73" i="163"/>
  <c r="AV73" i="163"/>
  <c r="AS73" i="163"/>
  <c r="AR73" i="163"/>
  <c r="AQ73" i="163"/>
  <c r="AM73" i="163"/>
  <c r="AL73" i="163"/>
  <c r="AI73" i="163"/>
  <c r="AH73" i="163"/>
  <c r="AG73" i="163"/>
  <c r="CP78" i="157" s="1"/>
  <c r="AC73" i="163"/>
  <c r="AB73" i="163"/>
  <c r="Y73" i="163"/>
  <c r="W73" i="163"/>
  <c r="T73" i="163"/>
  <c r="S73" i="163"/>
  <c r="R73" i="163"/>
  <c r="O73" i="163"/>
  <c r="N73" i="163"/>
  <c r="M73" i="163"/>
  <c r="I73" i="163"/>
  <c r="H73" i="163"/>
  <c r="E73" i="163"/>
  <c r="D73" i="163"/>
  <c r="C73" i="163"/>
  <c r="CQ71" i="163"/>
  <c r="CG71" i="163"/>
  <c r="CB71" i="163"/>
  <c r="BW71" i="163"/>
  <c r="BR71" i="163"/>
  <c r="BM71" i="163"/>
  <c r="BH71" i="163"/>
  <c r="BC71" i="163"/>
  <c r="AX71" i="163"/>
  <c r="AS71" i="163"/>
  <c r="AN71" i="163"/>
  <c r="AI71" i="163"/>
  <c r="AD71" i="163"/>
  <c r="X71" i="163"/>
  <c r="CK71" i="163" s="1"/>
  <c r="W71" i="163"/>
  <c r="CJ71" i="163" s="1"/>
  <c r="S71" i="163"/>
  <c r="R71" i="163"/>
  <c r="O71" i="163"/>
  <c r="J71" i="163"/>
  <c r="E71" i="163"/>
  <c r="CQ70" i="163"/>
  <c r="CG70" i="163"/>
  <c r="CB70" i="163"/>
  <c r="BW70" i="163"/>
  <c r="BR70" i="163"/>
  <c r="BM70" i="163"/>
  <c r="BH70" i="163"/>
  <c r="BC70" i="163"/>
  <c r="AX70" i="163"/>
  <c r="AS70" i="163"/>
  <c r="AN70" i="163"/>
  <c r="AI70" i="163"/>
  <c r="AD70" i="163"/>
  <c r="X70" i="163"/>
  <c r="CK70" i="163" s="1"/>
  <c r="W70" i="163"/>
  <c r="S70" i="163"/>
  <c r="R70" i="163"/>
  <c r="T70" i="163" s="1"/>
  <c r="O70" i="163"/>
  <c r="J70" i="163"/>
  <c r="E70" i="163"/>
  <c r="CQ69" i="163"/>
  <c r="CG69" i="163"/>
  <c r="CB69" i="163"/>
  <c r="BW69" i="163"/>
  <c r="BR69" i="163"/>
  <c r="BM69" i="163"/>
  <c r="BH69" i="163"/>
  <c r="BC69" i="163"/>
  <c r="AX69" i="163"/>
  <c r="AS69" i="163"/>
  <c r="AN69" i="163"/>
  <c r="AI69" i="163"/>
  <c r="AD69" i="163"/>
  <c r="X69" i="163"/>
  <c r="CK69" i="163" s="1"/>
  <c r="W69" i="163"/>
  <c r="S69" i="163"/>
  <c r="R69" i="163"/>
  <c r="T69" i="163" s="1"/>
  <c r="O69" i="163"/>
  <c r="J69" i="163"/>
  <c r="E69" i="163"/>
  <c r="CQ68" i="163"/>
  <c r="CG68" i="163"/>
  <c r="CB68" i="163"/>
  <c r="BW68" i="163"/>
  <c r="BR68" i="163"/>
  <c r="BM68" i="163"/>
  <c r="BH68" i="163"/>
  <c r="BC68" i="163"/>
  <c r="AX68" i="163"/>
  <c r="AS68" i="163"/>
  <c r="AN68" i="163"/>
  <c r="AI68" i="163"/>
  <c r="AD68" i="163"/>
  <c r="X68" i="163"/>
  <c r="CK68" i="163" s="1"/>
  <c r="W68" i="163"/>
  <c r="CJ68" i="163" s="1"/>
  <c r="CL68" i="163" s="1"/>
  <c r="S68" i="163"/>
  <c r="R68" i="163"/>
  <c r="O68" i="163"/>
  <c r="J68" i="163"/>
  <c r="E68" i="163"/>
  <c r="CQ67" i="163"/>
  <c r="CG67" i="163"/>
  <c r="CB67" i="163"/>
  <c r="BW67" i="163"/>
  <c r="BR67" i="163"/>
  <c r="BM67" i="163"/>
  <c r="BH67" i="163"/>
  <c r="BC67" i="163"/>
  <c r="AX67" i="163"/>
  <c r="AS67" i="163"/>
  <c r="AN67" i="163"/>
  <c r="AI67" i="163"/>
  <c r="AD67" i="163"/>
  <c r="X67" i="163"/>
  <c r="CK67" i="163" s="1"/>
  <c r="W67" i="163"/>
  <c r="Y67" i="163" s="1"/>
  <c r="S67" i="163"/>
  <c r="R67" i="163"/>
  <c r="O67" i="163"/>
  <c r="J67" i="163"/>
  <c r="E67" i="163"/>
  <c r="CQ66" i="163"/>
  <c r="CG66" i="163"/>
  <c r="CB66" i="163"/>
  <c r="BW66" i="163"/>
  <c r="BR66" i="163"/>
  <c r="BM66" i="163"/>
  <c r="BH66" i="163"/>
  <c r="BC66" i="163"/>
  <c r="AX66" i="163"/>
  <c r="AS66" i="163"/>
  <c r="AN66" i="163"/>
  <c r="AI66" i="163"/>
  <c r="AD66" i="163"/>
  <c r="X66" i="163"/>
  <c r="CK66" i="163" s="1"/>
  <c r="W66" i="163"/>
  <c r="S66" i="163"/>
  <c r="T66" i="163" s="1"/>
  <c r="R66" i="163"/>
  <c r="O66" i="163"/>
  <c r="J66" i="163"/>
  <c r="E66" i="163"/>
  <c r="CQ65" i="163"/>
  <c r="CJ65" i="163"/>
  <c r="CG65" i="163"/>
  <c r="CB65" i="163"/>
  <c r="BW65" i="163"/>
  <c r="BR65" i="163"/>
  <c r="BM65" i="163"/>
  <c r="BH65" i="163"/>
  <c r="BC65" i="163"/>
  <c r="AX65" i="163"/>
  <c r="AS65" i="163"/>
  <c r="AN65" i="163"/>
  <c r="AI65" i="163"/>
  <c r="AD65" i="163"/>
  <c r="Y65" i="163"/>
  <c r="X65" i="163"/>
  <c r="CK65" i="163" s="1"/>
  <c r="W65" i="163"/>
  <c r="S65" i="163"/>
  <c r="R65" i="163"/>
  <c r="T65" i="163" s="1"/>
  <c r="O65" i="163"/>
  <c r="J65" i="163"/>
  <c r="E65" i="163"/>
  <c r="CQ64" i="163"/>
  <c r="CG64" i="163"/>
  <c r="CB64" i="163"/>
  <c r="BW64" i="163"/>
  <c r="BR64" i="163"/>
  <c r="BM64" i="163"/>
  <c r="BH64" i="163"/>
  <c r="BC64" i="163"/>
  <c r="AX64" i="163"/>
  <c r="AS64" i="163"/>
  <c r="AN64" i="163"/>
  <c r="AI64" i="163"/>
  <c r="AD64" i="163"/>
  <c r="X64" i="163"/>
  <c r="CK64" i="163" s="1"/>
  <c r="W64" i="163"/>
  <c r="CJ64" i="163" s="1"/>
  <c r="S64" i="163"/>
  <c r="R64" i="163"/>
  <c r="O64" i="163"/>
  <c r="J64" i="163"/>
  <c r="E64" i="163"/>
  <c r="CQ63" i="163"/>
  <c r="CG63" i="163"/>
  <c r="CB63" i="163"/>
  <c r="BW63" i="163"/>
  <c r="BR63" i="163"/>
  <c r="BM63" i="163"/>
  <c r="BH63" i="163"/>
  <c r="BC63" i="163"/>
  <c r="AX63" i="163"/>
  <c r="AS63" i="163"/>
  <c r="AN63" i="163"/>
  <c r="AI63" i="163"/>
  <c r="AD63" i="163"/>
  <c r="X63" i="163"/>
  <c r="W63" i="163"/>
  <c r="CJ63" i="163" s="1"/>
  <c r="S63" i="163"/>
  <c r="R63" i="163"/>
  <c r="O63" i="163"/>
  <c r="J63" i="163"/>
  <c r="E63" i="163"/>
  <c r="CQ62" i="163"/>
  <c r="CG62" i="163"/>
  <c r="CB62" i="163"/>
  <c r="BW62" i="163"/>
  <c r="BR62" i="163"/>
  <c r="BM62" i="163"/>
  <c r="BH62" i="163"/>
  <c r="BC62" i="163"/>
  <c r="AX62" i="163"/>
  <c r="AS62" i="163"/>
  <c r="AN62" i="163"/>
  <c r="AI62" i="163"/>
  <c r="AD62" i="163"/>
  <c r="X62" i="163"/>
  <c r="CK62" i="163" s="1"/>
  <c r="W62" i="163"/>
  <c r="S62" i="163"/>
  <c r="R62" i="163"/>
  <c r="O62" i="163"/>
  <c r="J62" i="163"/>
  <c r="E62" i="163"/>
  <c r="CQ61" i="163"/>
  <c r="CG61" i="163"/>
  <c r="CB61" i="163"/>
  <c r="BW61" i="163"/>
  <c r="BR61" i="163"/>
  <c r="BM61" i="163"/>
  <c r="BH61" i="163"/>
  <c r="BC61" i="163"/>
  <c r="AX61" i="163"/>
  <c r="AS61" i="163"/>
  <c r="AN61" i="163"/>
  <c r="AI61" i="163"/>
  <c r="AD61" i="163"/>
  <c r="X61" i="163"/>
  <c r="CK61" i="163" s="1"/>
  <c r="W61" i="163"/>
  <c r="CJ61" i="163" s="1"/>
  <c r="S61" i="163"/>
  <c r="R61" i="163"/>
  <c r="O61" i="163"/>
  <c r="J61" i="163"/>
  <c r="E61" i="163"/>
  <c r="CQ60" i="163"/>
  <c r="CJ60" i="163"/>
  <c r="CG60" i="163"/>
  <c r="CB60" i="163"/>
  <c r="BW60" i="163"/>
  <c r="BR60" i="163"/>
  <c r="BM60" i="163"/>
  <c r="BH60" i="163"/>
  <c r="BC60" i="163"/>
  <c r="AX60" i="163"/>
  <c r="AS60" i="163"/>
  <c r="AN60" i="163"/>
  <c r="AI60" i="163"/>
  <c r="AD60" i="163"/>
  <c r="Y60" i="163"/>
  <c r="X60" i="163"/>
  <c r="CK60" i="163" s="1"/>
  <c r="W60" i="163"/>
  <c r="S60" i="163"/>
  <c r="R60" i="163"/>
  <c r="O60" i="163"/>
  <c r="J60" i="163"/>
  <c r="E60" i="163"/>
  <c r="CQ59" i="163"/>
  <c r="CG59" i="163"/>
  <c r="CB59" i="163"/>
  <c r="BW59" i="163"/>
  <c r="BR59" i="163"/>
  <c r="BM59" i="163"/>
  <c r="BH59" i="163"/>
  <c r="BC59" i="163"/>
  <c r="AX59" i="163"/>
  <c r="AS59" i="163"/>
  <c r="AN59" i="163"/>
  <c r="AI59" i="163"/>
  <c r="AD59" i="163"/>
  <c r="X59" i="163"/>
  <c r="CK59" i="163" s="1"/>
  <c r="W59" i="163"/>
  <c r="CJ59" i="163" s="1"/>
  <c r="CL59" i="163" s="1"/>
  <c r="S59" i="163"/>
  <c r="R59" i="163"/>
  <c r="O59" i="163"/>
  <c r="J59" i="163"/>
  <c r="E59" i="163"/>
  <c r="CQ58" i="163"/>
  <c r="CG58" i="163"/>
  <c r="CB58" i="163"/>
  <c r="BW58" i="163"/>
  <c r="BR58" i="163"/>
  <c r="BM58" i="163"/>
  <c r="BH58" i="163"/>
  <c r="BC58" i="163"/>
  <c r="AX58" i="163"/>
  <c r="AS58" i="163"/>
  <c r="AN58" i="163"/>
  <c r="AI58" i="163"/>
  <c r="AD58" i="163"/>
  <c r="X58" i="163"/>
  <c r="CK58" i="163" s="1"/>
  <c r="W58" i="163"/>
  <c r="CJ58" i="163" s="1"/>
  <c r="S58" i="163"/>
  <c r="R58" i="163"/>
  <c r="O58" i="163"/>
  <c r="J58" i="163"/>
  <c r="E58" i="163"/>
  <c r="CQ57" i="163"/>
  <c r="CG57" i="163"/>
  <c r="CB57" i="163"/>
  <c r="BW57" i="163"/>
  <c r="BR57" i="163"/>
  <c r="BM57" i="163"/>
  <c r="BH57" i="163"/>
  <c r="BC57" i="163"/>
  <c r="AX57" i="163"/>
  <c r="AS57" i="163"/>
  <c r="AN57" i="163"/>
  <c r="AI57" i="163"/>
  <c r="AD57" i="163"/>
  <c r="X57" i="163"/>
  <c r="CK57" i="163" s="1"/>
  <c r="W57" i="163"/>
  <c r="CJ57" i="163" s="1"/>
  <c r="CL57" i="163" s="1"/>
  <c r="S57" i="163"/>
  <c r="R57" i="163"/>
  <c r="O57" i="163"/>
  <c r="J57" i="163"/>
  <c r="E57" i="163"/>
  <c r="CQ56" i="163"/>
  <c r="CG56" i="163"/>
  <c r="CB56" i="163"/>
  <c r="BW56" i="163"/>
  <c r="BR56" i="163"/>
  <c r="BM56" i="163"/>
  <c r="BH56" i="163"/>
  <c r="BC56" i="163"/>
  <c r="AX56" i="163"/>
  <c r="AS56" i="163"/>
  <c r="AN56" i="163"/>
  <c r="AI56" i="163"/>
  <c r="AD56" i="163"/>
  <c r="X56" i="163"/>
  <c r="W56" i="163"/>
  <c r="CJ56" i="163" s="1"/>
  <c r="S56" i="163"/>
  <c r="R56" i="163"/>
  <c r="O56" i="163"/>
  <c r="J56" i="163"/>
  <c r="E56" i="163"/>
  <c r="CQ55" i="163"/>
  <c r="CG55" i="163"/>
  <c r="CB55" i="163"/>
  <c r="BW55" i="163"/>
  <c r="BR55" i="163"/>
  <c r="BM55" i="163"/>
  <c r="BH55" i="163"/>
  <c r="BC55" i="163"/>
  <c r="AX55" i="163"/>
  <c r="AS55" i="163"/>
  <c r="AN55" i="163"/>
  <c r="AI55" i="163"/>
  <c r="AD55" i="163"/>
  <c r="AD54" i="163" s="1"/>
  <c r="X55" i="163"/>
  <c r="W55" i="163"/>
  <c r="S55" i="163"/>
  <c r="R55" i="163"/>
  <c r="O55" i="163"/>
  <c r="J55" i="163"/>
  <c r="E55" i="163"/>
  <c r="CP54" i="163"/>
  <c r="CF54" i="163"/>
  <c r="CE54" i="163"/>
  <c r="CA54" i="163"/>
  <c r="BZ54" i="163"/>
  <c r="BV54" i="163"/>
  <c r="BU54" i="163"/>
  <c r="BQ54" i="163"/>
  <c r="BP54" i="163"/>
  <c r="BL54" i="163"/>
  <c r="BK54" i="163"/>
  <c r="BG54" i="163"/>
  <c r="BF54" i="163"/>
  <c r="BB54" i="163"/>
  <c r="BA54" i="163"/>
  <c r="AW54" i="163"/>
  <c r="AV54" i="163"/>
  <c r="AR54" i="163"/>
  <c r="AQ54" i="163"/>
  <c r="AM54" i="163"/>
  <c r="AL54" i="163"/>
  <c r="AH54" i="163"/>
  <c r="AG54" i="163"/>
  <c r="AC54" i="163"/>
  <c r="AB54" i="163"/>
  <c r="N54" i="163"/>
  <c r="M54" i="163"/>
  <c r="I54" i="163"/>
  <c r="H54" i="163"/>
  <c r="D54" i="163"/>
  <c r="C54" i="163"/>
  <c r="CK53" i="163"/>
  <c r="CJ53" i="163"/>
  <c r="CP52" i="163"/>
  <c r="CQ52" i="163" s="1"/>
  <c r="CK52" i="163"/>
  <c r="CG52" i="163"/>
  <c r="CB52" i="163"/>
  <c r="BW52" i="163"/>
  <c r="BR52" i="163"/>
  <c r="BR50" i="163" s="1"/>
  <c r="BM52" i="163"/>
  <c r="BH52" i="163"/>
  <c r="BC52" i="163"/>
  <c r="AX52" i="163"/>
  <c r="AS52" i="163"/>
  <c r="AN52" i="163"/>
  <c r="AI52" i="163"/>
  <c r="AD52" i="163"/>
  <c r="X52" i="163"/>
  <c r="W52" i="163"/>
  <c r="CJ52" i="163" s="1"/>
  <c r="S52" i="163"/>
  <c r="R52" i="163"/>
  <c r="T52" i="163" s="1"/>
  <c r="O52" i="163"/>
  <c r="J52" i="163"/>
  <c r="E52" i="163"/>
  <c r="CP51" i="163"/>
  <c r="CQ51" i="163" s="1"/>
  <c r="CG51" i="163"/>
  <c r="CB51" i="163"/>
  <c r="BW51" i="163"/>
  <c r="BR51" i="163"/>
  <c r="BM51" i="163"/>
  <c r="BH51" i="163"/>
  <c r="BH50" i="163" s="1"/>
  <c r="BC51" i="163"/>
  <c r="BC50" i="163" s="1"/>
  <c r="AX51" i="163"/>
  <c r="AS51" i="163"/>
  <c r="AN51" i="163"/>
  <c r="AI51" i="163"/>
  <c r="AD51" i="163"/>
  <c r="X51" i="163"/>
  <c r="CK51" i="163" s="1"/>
  <c r="W51" i="163"/>
  <c r="CJ51" i="163" s="1"/>
  <c r="S51" i="163"/>
  <c r="R51" i="163"/>
  <c r="O51" i="163"/>
  <c r="J51" i="163"/>
  <c r="J50" i="163" s="1"/>
  <c r="E51" i="163"/>
  <c r="CG50" i="163"/>
  <c r="CF50" i="163"/>
  <c r="CE50" i="163"/>
  <c r="CA50" i="163"/>
  <c r="BZ50" i="163"/>
  <c r="BV50" i="163"/>
  <c r="BU50" i="163"/>
  <c r="BQ50" i="163"/>
  <c r="BP50" i="163"/>
  <c r="BL50" i="163"/>
  <c r="BK50" i="163"/>
  <c r="BG50" i="163"/>
  <c r="BF50" i="163"/>
  <c r="BB50" i="163"/>
  <c r="BA50" i="163"/>
  <c r="AW50" i="163"/>
  <c r="AV50" i="163"/>
  <c r="AR50" i="163"/>
  <c r="AQ50" i="163"/>
  <c r="AN50" i="163"/>
  <c r="AM50" i="163"/>
  <c r="AL50" i="163"/>
  <c r="AH50" i="163"/>
  <c r="AG50" i="163"/>
  <c r="AC50" i="163"/>
  <c r="AB50" i="163"/>
  <c r="X50" i="163"/>
  <c r="O50" i="163"/>
  <c r="N50" i="163"/>
  <c r="M50" i="163"/>
  <c r="I50" i="163"/>
  <c r="H50" i="163"/>
  <c r="D50" i="163"/>
  <c r="C50" i="163"/>
  <c r="CQ48" i="163"/>
  <c r="CP48" i="163"/>
  <c r="CG48" i="163"/>
  <c r="CB48" i="163"/>
  <c r="BW48" i="163"/>
  <c r="BR48" i="163"/>
  <c r="BM48" i="163"/>
  <c r="BH48" i="163"/>
  <c r="BC48" i="163"/>
  <c r="AX48" i="163"/>
  <c r="AS48" i="163"/>
  <c r="AN48" i="163"/>
  <c r="AI48" i="163"/>
  <c r="AD48" i="163"/>
  <c r="X48" i="163"/>
  <c r="CK48" i="163" s="1"/>
  <c r="W48" i="163"/>
  <c r="CJ48" i="163" s="1"/>
  <c r="CL48" i="163" s="1"/>
  <c r="S48" i="163"/>
  <c r="R48" i="163"/>
  <c r="O48" i="163"/>
  <c r="J48" i="163"/>
  <c r="E48" i="163"/>
  <c r="CP47" i="163"/>
  <c r="CQ47" i="163" s="1"/>
  <c r="CJ47" i="163"/>
  <c r="CG47" i="163"/>
  <c r="CB47" i="163"/>
  <c r="BW47" i="163"/>
  <c r="BR47" i="163"/>
  <c r="BM47" i="163"/>
  <c r="BH47" i="163"/>
  <c r="BC47" i="163"/>
  <c r="AX47" i="163"/>
  <c r="AS47" i="163"/>
  <c r="AN47" i="163"/>
  <c r="AI47" i="163"/>
  <c r="AD47" i="163"/>
  <c r="Y47" i="163"/>
  <c r="X47" i="163"/>
  <c r="CK47" i="163" s="1"/>
  <c r="W47" i="163"/>
  <c r="S47" i="163"/>
  <c r="T47" i="163" s="1"/>
  <c r="R47" i="163"/>
  <c r="O47" i="163"/>
  <c r="J47" i="163"/>
  <c r="E47" i="163"/>
  <c r="CQ46" i="163"/>
  <c r="CP46" i="163"/>
  <c r="CJ46" i="163"/>
  <c r="CG46" i="163"/>
  <c r="CB46" i="163"/>
  <c r="BW46" i="163"/>
  <c r="BR46" i="163"/>
  <c r="BM46" i="163"/>
  <c r="BH46" i="163"/>
  <c r="BC46" i="163"/>
  <c r="AX46" i="163"/>
  <c r="AS46" i="163"/>
  <c r="AN46" i="163"/>
  <c r="AI46" i="163"/>
  <c r="AD46" i="163"/>
  <c r="Y46" i="163"/>
  <c r="X46" i="163"/>
  <c r="CK46" i="163" s="1"/>
  <c r="W46" i="163"/>
  <c r="S46" i="163"/>
  <c r="R46" i="163"/>
  <c r="O46" i="163"/>
  <c r="J46" i="163"/>
  <c r="E46" i="163"/>
  <c r="CQ45" i="163"/>
  <c r="CP45" i="163"/>
  <c r="CG45" i="163"/>
  <c r="CB45" i="163"/>
  <c r="BW45" i="163"/>
  <c r="BR45" i="163"/>
  <c r="BM45" i="163"/>
  <c r="BH45" i="163"/>
  <c r="BC45" i="163"/>
  <c r="AX45" i="163"/>
  <c r="AS45" i="163"/>
  <c r="AN45" i="163"/>
  <c r="AI45" i="163"/>
  <c r="AD45" i="163"/>
  <c r="X45" i="163"/>
  <c r="CK45" i="163" s="1"/>
  <c r="W45" i="163"/>
  <c r="Y45" i="163" s="1"/>
  <c r="S45" i="163"/>
  <c r="R45" i="163"/>
  <c r="T45" i="163" s="1"/>
  <c r="O45" i="163"/>
  <c r="J45" i="163"/>
  <c r="E45" i="163"/>
  <c r="CP44" i="163"/>
  <c r="CQ44" i="163" s="1"/>
  <c r="CK44" i="163"/>
  <c r="CG44" i="163"/>
  <c r="CB44" i="163"/>
  <c r="BW44" i="163"/>
  <c r="BR44" i="163"/>
  <c r="BM44" i="163"/>
  <c r="BH44" i="163"/>
  <c r="BC44" i="163"/>
  <c r="AX44" i="163"/>
  <c r="AS44" i="163"/>
  <c r="AN44" i="163"/>
  <c r="AI44" i="163"/>
  <c r="AD44" i="163"/>
  <c r="X44" i="163"/>
  <c r="W44" i="163"/>
  <c r="CJ44" i="163" s="1"/>
  <c r="S44" i="163"/>
  <c r="T44" i="163" s="1"/>
  <c r="R44" i="163"/>
  <c r="O44" i="163"/>
  <c r="J44" i="163"/>
  <c r="E44" i="163"/>
  <c r="CP43" i="163"/>
  <c r="CQ43" i="163" s="1"/>
  <c r="CG43" i="163"/>
  <c r="CB43" i="163"/>
  <c r="BW43" i="163"/>
  <c r="BR43" i="163"/>
  <c r="BR41" i="163" s="1"/>
  <c r="BM43" i="163"/>
  <c r="BH43" i="163"/>
  <c r="BC43" i="163"/>
  <c r="AX43" i="163"/>
  <c r="AS43" i="163"/>
  <c r="AN43" i="163"/>
  <c r="AI43" i="163"/>
  <c r="AD43" i="163"/>
  <c r="X43" i="163"/>
  <c r="CK43" i="163" s="1"/>
  <c r="W43" i="163"/>
  <c r="CJ43" i="163" s="1"/>
  <c r="CL43" i="163" s="1"/>
  <c r="S43" i="163"/>
  <c r="R43" i="163"/>
  <c r="O43" i="163"/>
  <c r="J43" i="163"/>
  <c r="E43" i="163"/>
  <c r="CQ42" i="163"/>
  <c r="CP42" i="163"/>
  <c r="CG42" i="163"/>
  <c r="CB42" i="163"/>
  <c r="BW42" i="163"/>
  <c r="BR42" i="163"/>
  <c r="BM42" i="163"/>
  <c r="BH42" i="163"/>
  <c r="BC42" i="163"/>
  <c r="BC41" i="163" s="1"/>
  <c r="AX42" i="163"/>
  <c r="AS42" i="163"/>
  <c r="AN42" i="163"/>
  <c r="AN41" i="163" s="1"/>
  <c r="AI42" i="163"/>
  <c r="AD42" i="163"/>
  <c r="X42" i="163"/>
  <c r="CK42" i="163" s="1"/>
  <c r="W42" i="163"/>
  <c r="CJ42" i="163" s="1"/>
  <c r="S42" i="163"/>
  <c r="R42" i="163"/>
  <c r="R41" i="163" s="1"/>
  <c r="O42" i="163"/>
  <c r="O41" i="163" s="1"/>
  <c r="J42" i="163"/>
  <c r="E42" i="163"/>
  <c r="CF41" i="163"/>
  <c r="CE41" i="163"/>
  <c r="CA41" i="163"/>
  <c r="BZ41" i="163"/>
  <c r="BV41" i="163"/>
  <c r="BU41" i="163"/>
  <c r="BQ41" i="163"/>
  <c r="BP41" i="163"/>
  <c r="BM41" i="163"/>
  <c r="BL41" i="163"/>
  <c r="BK41" i="163"/>
  <c r="BG41" i="163"/>
  <c r="BF41" i="163"/>
  <c r="BB41" i="163"/>
  <c r="BA41" i="163"/>
  <c r="AW41" i="163"/>
  <c r="AV41" i="163"/>
  <c r="AR41" i="163"/>
  <c r="AQ41" i="163"/>
  <c r="AM41" i="163"/>
  <c r="AL41" i="163"/>
  <c r="AI41" i="163"/>
  <c r="AH41" i="163"/>
  <c r="AG41" i="163"/>
  <c r="AC41" i="163"/>
  <c r="AB41" i="163"/>
  <c r="W41" i="163"/>
  <c r="N41" i="163"/>
  <c r="M41" i="163"/>
  <c r="I41" i="163"/>
  <c r="H41" i="163"/>
  <c r="D41" i="163"/>
  <c r="C41" i="163"/>
  <c r="X37" i="163"/>
  <c r="W37" i="163"/>
  <c r="CG36" i="163"/>
  <c r="CG35" i="163" s="1"/>
  <c r="CB36" i="163"/>
  <c r="CB35" i="163" s="1"/>
  <c r="BW36" i="163"/>
  <c r="BR36" i="163"/>
  <c r="BR35" i="163" s="1"/>
  <c r="BM36" i="163"/>
  <c r="BM35" i="163" s="1"/>
  <c r="BH36" i="163"/>
  <c r="BH35" i="163" s="1"/>
  <c r="BC36" i="163"/>
  <c r="BC35" i="163" s="1"/>
  <c r="AX36" i="163"/>
  <c r="AX35" i="163" s="1"/>
  <c r="AS36" i="163"/>
  <c r="AN36" i="163"/>
  <c r="AN35" i="163" s="1"/>
  <c r="AI36" i="163"/>
  <c r="AI35" i="163" s="1"/>
  <c r="AD36" i="163"/>
  <c r="X36" i="163"/>
  <c r="CK36" i="163" s="1"/>
  <c r="CK35" i="163" s="1"/>
  <c r="W36" i="163"/>
  <c r="S36" i="163"/>
  <c r="S35" i="163" s="1"/>
  <c r="R36" i="163"/>
  <c r="O36" i="163"/>
  <c r="O35" i="163" s="1"/>
  <c r="J36" i="163"/>
  <c r="J35" i="163" s="1"/>
  <c r="E36" i="163"/>
  <c r="CP35" i="163"/>
  <c r="CF35" i="163"/>
  <c r="CE35" i="163"/>
  <c r="CA35" i="163"/>
  <c r="BZ35" i="163"/>
  <c r="BW35" i="163"/>
  <c r="BV35" i="163"/>
  <c r="BU35" i="163"/>
  <c r="BQ35" i="163"/>
  <c r="BP35" i="163"/>
  <c r="BL35" i="163"/>
  <c r="BK35" i="163"/>
  <c r="BG35" i="163"/>
  <c r="BF35" i="163"/>
  <c r="BB35" i="163"/>
  <c r="BA35" i="163"/>
  <c r="AW35" i="163"/>
  <c r="AV35" i="163"/>
  <c r="AS35" i="163"/>
  <c r="AR35" i="163"/>
  <c r="AQ35" i="163"/>
  <c r="AM35" i="163"/>
  <c r="AL35" i="163"/>
  <c r="AH35" i="163"/>
  <c r="AG35" i="163"/>
  <c r="AD35" i="163"/>
  <c r="AC35" i="163"/>
  <c r="AB35" i="163"/>
  <c r="R35" i="163"/>
  <c r="N35" i="163"/>
  <c r="M35" i="163"/>
  <c r="I35" i="163"/>
  <c r="H35" i="163"/>
  <c r="E35" i="163"/>
  <c r="D35" i="163"/>
  <c r="C35" i="163"/>
  <c r="CR33" i="163"/>
  <c r="CG33" i="163"/>
  <c r="CB33" i="163"/>
  <c r="BW33" i="163"/>
  <c r="BR33" i="163"/>
  <c r="BM33" i="163"/>
  <c r="BH33" i="163"/>
  <c r="BC33" i="163"/>
  <c r="AX33" i="163"/>
  <c r="AS33" i="163"/>
  <c r="AN33" i="163"/>
  <c r="AI33" i="163"/>
  <c r="AD33" i="163"/>
  <c r="X33" i="163"/>
  <c r="CK33" i="163" s="1"/>
  <c r="W33" i="163"/>
  <c r="CJ33" i="163" s="1"/>
  <c r="S33" i="163"/>
  <c r="R33" i="163"/>
  <c r="T33" i="163" s="1"/>
  <c r="O33" i="163"/>
  <c r="J33" i="163"/>
  <c r="E33" i="163"/>
  <c r="CG32" i="163"/>
  <c r="CB32" i="163"/>
  <c r="BW32" i="163"/>
  <c r="BR32" i="163"/>
  <c r="BM32" i="163"/>
  <c r="BH32" i="163"/>
  <c r="BC32" i="163"/>
  <c r="AX32" i="163"/>
  <c r="AS32" i="163"/>
  <c r="AN32" i="163"/>
  <c r="AI32" i="163"/>
  <c r="AD32" i="163"/>
  <c r="X32" i="163"/>
  <c r="CK32" i="163" s="1"/>
  <c r="W32" i="163"/>
  <c r="S32" i="163"/>
  <c r="R32" i="163"/>
  <c r="T32" i="163" s="1"/>
  <c r="O32" i="163"/>
  <c r="J32" i="163"/>
  <c r="E32" i="163"/>
  <c r="CG31" i="163"/>
  <c r="CB31" i="163"/>
  <c r="BW31" i="163"/>
  <c r="BR31" i="163"/>
  <c r="BM31" i="163"/>
  <c r="BH31" i="163"/>
  <c r="BC31" i="163"/>
  <c r="AX31" i="163"/>
  <c r="AS31" i="163"/>
  <c r="AN31" i="163"/>
  <c r="AI31" i="163"/>
  <c r="AD31" i="163"/>
  <c r="X31" i="163"/>
  <c r="CK31" i="163" s="1"/>
  <c r="W31" i="163"/>
  <c r="CJ31" i="163" s="1"/>
  <c r="S31" i="163"/>
  <c r="R31" i="163"/>
  <c r="O31" i="163"/>
  <c r="J31" i="163"/>
  <c r="E31" i="163"/>
  <c r="CG30" i="163"/>
  <c r="CB30" i="163"/>
  <c r="BW30" i="163"/>
  <c r="BR30" i="163"/>
  <c r="BM30" i="163"/>
  <c r="BH30" i="163"/>
  <c r="BC30" i="163"/>
  <c r="AX30" i="163"/>
  <c r="AS30" i="163"/>
  <c r="AN30" i="163"/>
  <c r="AI30" i="163"/>
  <c r="AD30" i="163"/>
  <c r="X30" i="163"/>
  <c r="CK30" i="163" s="1"/>
  <c r="CL30" i="163" s="1"/>
  <c r="W30" i="163"/>
  <c r="CJ30" i="163" s="1"/>
  <c r="S30" i="163"/>
  <c r="R30" i="163"/>
  <c r="O30" i="163"/>
  <c r="J30" i="163"/>
  <c r="E30" i="163"/>
  <c r="CG29" i="163"/>
  <c r="CB29" i="163"/>
  <c r="BW29" i="163"/>
  <c r="BR29" i="163"/>
  <c r="BM29" i="163"/>
  <c r="BH29" i="163"/>
  <c r="BC29" i="163"/>
  <c r="AX29" i="163"/>
  <c r="AS29" i="163"/>
  <c r="AN29" i="163"/>
  <c r="AI29" i="163"/>
  <c r="AD29" i="163"/>
  <c r="X29" i="163"/>
  <c r="CK29" i="163" s="1"/>
  <c r="W29" i="163"/>
  <c r="S29" i="163"/>
  <c r="R29" i="163"/>
  <c r="O29" i="163"/>
  <c r="J29" i="163"/>
  <c r="E29" i="163"/>
  <c r="CG28" i="163"/>
  <c r="CB28" i="163"/>
  <c r="BW28" i="163"/>
  <c r="BR28" i="163"/>
  <c r="BM28" i="163"/>
  <c r="BH28" i="163"/>
  <c r="BC28" i="163"/>
  <c r="AX28" i="163"/>
  <c r="AS28" i="163"/>
  <c r="AN28" i="163"/>
  <c r="AI28" i="163"/>
  <c r="AD28" i="163"/>
  <c r="X28" i="163"/>
  <c r="CK28" i="163" s="1"/>
  <c r="W28" i="163"/>
  <c r="CJ28" i="163" s="1"/>
  <c r="S28" i="163"/>
  <c r="T28" i="163" s="1"/>
  <c r="R28" i="163"/>
  <c r="O28" i="163"/>
  <c r="J28" i="163"/>
  <c r="E28" i="163"/>
  <c r="CG27" i="163"/>
  <c r="CB27" i="163"/>
  <c r="BW27" i="163"/>
  <c r="BR27" i="163"/>
  <c r="BM27" i="163"/>
  <c r="BH27" i="163"/>
  <c r="BC27" i="163"/>
  <c r="AX27" i="163"/>
  <c r="AS27" i="163"/>
  <c r="AN27" i="163"/>
  <c r="AI27" i="163"/>
  <c r="AD27" i="163"/>
  <c r="X27" i="163"/>
  <c r="W27" i="163"/>
  <c r="CJ27" i="163" s="1"/>
  <c r="S27" i="163"/>
  <c r="T27" i="163" s="1"/>
  <c r="R27" i="163"/>
  <c r="O27" i="163"/>
  <c r="J27" i="163"/>
  <c r="E27" i="163"/>
  <c r="CG26" i="163"/>
  <c r="CB26" i="163"/>
  <c r="BW26" i="163"/>
  <c r="BR26" i="163"/>
  <c r="BM26" i="163"/>
  <c r="BH26" i="163"/>
  <c r="BC26" i="163"/>
  <c r="AX26" i="163"/>
  <c r="AS26" i="163"/>
  <c r="AN26" i="163"/>
  <c r="AI26" i="163"/>
  <c r="AD26" i="163"/>
  <c r="X26" i="163"/>
  <c r="CK26" i="163" s="1"/>
  <c r="W26" i="163"/>
  <c r="S26" i="163"/>
  <c r="R26" i="163"/>
  <c r="T26" i="163" s="1"/>
  <c r="O26" i="163"/>
  <c r="J26" i="163"/>
  <c r="E26" i="163"/>
  <c r="CG25" i="163"/>
  <c r="CB25" i="163"/>
  <c r="BW25" i="163"/>
  <c r="BR25" i="163"/>
  <c r="BM25" i="163"/>
  <c r="BH25" i="163"/>
  <c r="BC25" i="163"/>
  <c r="AX25" i="163"/>
  <c r="AS25" i="163"/>
  <c r="AN25" i="163"/>
  <c r="AI25" i="163"/>
  <c r="AD25" i="163"/>
  <c r="X25" i="163"/>
  <c r="Y25" i="163" s="1"/>
  <c r="W25" i="163"/>
  <c r="CJ25" i="163" s="1"/>
  <c r="S25" i="163"/>
  <c r="R25" i="163"/>
  <c r="T25" i="163" s="1"/>
  <c r="O25" i="163"/>
  <c r="J25" i="163"/>
  <c r="E25" i="163"/>
  <c r="CG24" i="163"/>
  <c r="CB24" i="163"/>
  <c r="BW24" i="163"/>
  <c r="BR24" i="163"/>
  <c r="BM24" i="163"/>
  <c r="BH24" i="163"/>
  <c r="BC24" i="163"/>
  <c r="AX24" i="163"/>
  <c r="AS24" i="163"/>
  <c r="AN24" i="163"/>
  <c r="AI24" i="163"/>
  <c r="AD24" i="163"/>
  <c r="X24" i="163"/>
  <c r="CK24" i="163" s="1"/>
  <c r="W24" i="163"/>
  <c r="CJ24" i="163" s="1"/>
  <c r="S24" i="163"/>
  <c r="R24" i="163"/>
  <c r="T24" i="163" s="1"/>
  <c r="O24" i="163"/>
  <c r="J24" i="163"/>
  <c r="E24" i="163"/>
  <c r="CG23" i="163"/>
  <c r="CB23" i="163"/>
  <c r="BW23" i="163"/>
  <c r="BR23" i="163"/>
  <c r="BM23" i="163"/>
  <c r="BH23" i="163"/>
  <c r="BC23" i="163"/>
  <c r="AX23" i="163"/>
  <c r="AS23" i="163"/>
  <c r="AN23" i="163"/>
  <c r="AI23" i="163"/>
  <c r="AD23" i="163"/>
  <c r="X23" i="163"/>
  <c r="Y23" i="163" s="1"/>
  <c r="W23" i="163"/>
  <c r="CJ23" i="163" s="1"/>
  <c r="S23" i="163"/>
  <c r="R23" i="163"/>
  <c r="O23" i="163"/>
  <c r="J23" i="163"/>
  <c r="E23" i="163"/>
  <c r="CG22" i="163"/>
  <c r="CB22" i="163"/>
  <c r="BW22" i="163"/>
  <c r="BR22" i="163"/>
  <c r="BM22" i="163"/>
  <c r="BH22" i="163"/>
  <c r="BC22" i="163"/>
  <c r="AX22" i="163"/>
  <c r="AS22" i="163"/>
  <c r="AN22" i="163"/>
  <c r="AI22" i="163"/>
  <c r="AD22" i="163"/>
  <c r="X22" i="163"/>
  <c r="CK22" i="163" s="1"/>
  <c r="W22" i="163"/>
  <c r="S22" i="163"/>
  <c r="R22" i="163"/>
  <c r="O22" i="163"/>
  <c r="J22" i="163"/>
  <c r="E22" i="163"/>
  <c r="CG21" i="163"/>
  <c r="CB21" i="163"/>
  <c r="BW21" i="163"/>
  <c r="BR21" i="163"/>
  <c r="BM21" i="163"/>
  <c r="BH21" i="163"/>
  <c r="BC21" i="163"/>
  <c r="AX21" i="163"/>
  <c r="AS21" i="163"/>
  <c r="AN21" i="163"/>
  <c r="AI21" i="163"/>
  <c r="AD21" i="163"/>
  <c r="X21" i="163"/>
  <c r="CK21" i="163" s="1"/>
  <c r="W21" i="163"/>
  <c r="Y21" i="163" s="1"/>
  <c r="S21" i="163"/>
  <c r="R21" i="163"/>
  <c r="O21" i="163"/>
  <c r="J21" i="163"/>
  <c r="E21" i="163"/>
  <c r="CG20" i="163"/>
  <c r="CB20" i="163"/>
  <c r="BW20" i="163"/>
  <c r="BR20" i="163"/>
  <c r="BM20" i="163"/>
  <c r="BH20" i="163"/>
  <c r="BC20" i="163"/>
  <c r="AX20" i="163"/>
  <c r="AS20" i="163"/>
  <c r="AN20" i="163"/>
  <c r="AI20" i="163"/>
  <c r="AD20" i="163"/>
  <c r="X20" i="163"/>
  <c r="CK20" i="163" s="1"/>
  <c r="W20" i="163"/>
  <c r="CJ20" i="163" s="1"/>
  <c r="CL20" i="163" s="1"/>
  <c r="S20" i="163"/>
  <c r="R20" i="163"/>
  <c r="O20" i="163"/>
  <c r="J20" i="163"/>
  <c r="E20" i="163"/>
  <c r="CG19" i="163"/>
  <c r="CB19" i="163"/>
  <c r="BW19" i="163"/>
  <c r="BR19" i="163"/>
  <c r="BM19" i="163"/>
  <c r="BH19" i="163"/>
  <c r="BC19" i="163"/>
  <c r="AX19" i="163"/>
  <c r="AS19" i="163"/>
  <c r="AN19" i="163"/>
  <c r="AI19" i="163"/>
  <c r="AD19" i="163"/>
  <c r="X19" i="163"/>
  <c r="CK19" i="163" s="1"/>
  <c r="W19" i="163"/>
  <c r="S19" i="163"/>
  <c r="R19" i="163"/>
  <c r="O19" i="163"/>
  <c r="J19" i="163"/>
  <c r="E19" i="163"/>
  <c r="CG18" i="163"/>
  <c r="CB18" i="163"/>
  <c r="BW18" i="163"/>
  <c r="BR18" i="163"/>
  <c r="BM18" i="163"/>
  <c r="BH18" i="163"/>
  <c r="BC18" i="163"/>
  <c r="AX18" i="163"/>
  <c r="AS18" i="163"/>
  <c r="AN18" i="163"/>
  <c r="AI18" i="163"/>
  <c r="AD18" i="163"/>
  <c r="X18" i="163"/>
  <c r="CK18" i="163" s="1"/>
  <c r="W18" i="163"/>
  <c r="S18" i="163"/>
  <c r="R18" i="163"/>
  <c r="T18" i="163" s="1"/>
  <c r="O18" i="163"/>
  <c r="J18" i="163"/>
  <c r="E18" i="163"/>
  <c r="CJ17" i="163"/>
  <c r="CL17" i="163" s="1"/>
  <c r="CG17" i="163"/>
  <c r="CB17" i="163"/>
  <c r="BW17" i="163"/>
  <c r="BR17" i="163"/>
  <c r="BM17" i="163"/>
  <c r="BH17" i="163"/>
  <c r="BC17" i="163"/>
  <c r="AX17" i="163"/>
  <c r="AS17" i="163"/>
  <c r="AN17" i="163"/>
  <c r="AI17" i="163"/>
  <c r="AD17" i="163"/>
  <c r="Y17" i="163"/>
  <c r="X17" i="163"/>
  <c r="CK17" i="163" s="1"/>
  <c r="W17" i="163"/>
  <c r="S17" i="163"/>
  <c r="R17" i="163"/>
  <c r="O17" i="163"/>
  <c r="J17" i="163"/>
  <c r="E17" i="163"/>
  <c r="CG16" i="163"/>
  <c r="CB16" i="163"/>
  <c r="BW16" i="163"/>
  <c r="BR16" i="163"/>
  <c r="BM16" i="163"/>
  <c r="BH16" i="163"/>
  <c r="BC16" i="163"/>
  <c r="AX16" i="163"/>
  <c r="AS16" i="163"/>
  <c r="AN16" i="163"/>
  <c r="AI16" i="163"/>
  <c r="AD16" i="163"/>
  <c r="Y16" i="163"/>
  <c r="X16" i="163"/>
  <c r="CK16" i="163" s="1"/>
  <c r="W16" i="163"/>
  <c r="CJ16" i="163" s="1"/>
  <c r="S16" i="163"/>
  <c r="R16" i="163"/>
  <c r="O16" i="163"/>
  <c r="J16" i="163"/>
  <c r="E16" i="163"/>
  <c r="CG15" i="163"/>
  <c r="CB15" i="163"/>
  <c r="BW15" i="163"/>
  <c r="BR15" i="163"/>
  <c r="BM15" i="163"/>
  <c r="BH15" i="163"/>
  <c r="BC15" i="163"/>
  <c r="AX15" i="163"/>
  <c r="AS15" i="163"/>
  <c r="AN15" i="163"/>
  <c r="AI15" i="163"/>
  <c r="AD15" i="163"/>
  <c r="X15" i="163"/>
  <c r="CK15" i="163" s="1"/>
  <c r="W15" i="163"/>
  <c r="S15" i="163"/>
  <c r="R15" i="163"/>
  <c r="T15" i="163" s="1"/>
  <c r="O15" i="163"/>
  <c r="J15" i="163"/>
  <c r="E15" i="163"/>
  <c r="CG14" i="163"/>
  <c r="CB14" i="163"/>
  <c r="BW14" i="163"/>
  <c r="BR14" i="163"/>
  <c r="BM14" i="163"/>
  <c r="BH14" i="163"/>
  <c r="BC14" i="163"/>
  <c r="AX14" i="163"/>
  <c r="AS14" i="163"/>
  <c r="AN14" i="163"/>
  <c r="AI14" i="163"/>
  <c r="AD14" i="163"/>
  <c r="Y14" i="163"/>
  <c r="X14" i="163"/>
  <c r="CK14" i="163" s="1"/>
  <c r="W14" i="163"/>
  <c r="CJ14" i="163" s="1"/>
  <c r="S14" i="163"/>
  <c r="R14" i="163"/>
  <c r="O14" i="163"/>
  <c r="J14" i="163"/>
  <c r="E14" i="163"/>
  <c r="CG13" i="163"/>
  <c r="CB13" i="163"/>
  <c r="BW13" i="163"/>
  <c r="BR13" i="163"/>
  <c r="BM13" i="163"/>
  <c r="BH13" i="163"/>
  <c r="BC13" i="163"/>
  <c r="AX13" i="163"/>
  <c r="AS13" i="163"/>
  <c r="AN13" i="163"/>
  <c r="AI13" i="163"/>
  <c r="AD13" i="163"/>
  <c r="X13" i="163"/>
  <c r="CK13" i="163" s="1"/>
  <c r="W13" i="163"/>
  <c r="CJ13" i="163" s="1"/>
  <c r="S13" i="163"/>
  <c r="R13" i="163"/>
  <c r="T13" i="163" s="1"/>
  <c r="O13" i="163"/>
  <c r="J13" i="163"/>
  <c r="E13" i="163"/>
  <c r="CG12" i="163"/>
  <c r="CB12" i="163"/>
  <c r="BW12" i="163"/>
  <c r="BR12" i="163"/>
  <c r="BM12" i="163"/>
  <c r="BH12" i="163"/>
  <c r="BC12" i="163"/>
  <c r="AX12" i="163"/>
  <c r="AS12" i="163"/>
  <c r="AN12" i="163"/>
  <c r="AI12" i="163"/>
  <c r="AD12" i="163"/>
  <c r="X12" i="163"/>
  <c r="CK12" i="163" s="1"/>
  <c r="W12" i="163"/>
  <c r="Y12" i="163" s="1"/>
  <c r="S12" i="163"/>
  <c r="R12" i="163"/>
  <c r="T12" i="163" s="1"/>
  <c r="O12" i="163"/>
  <c r="J12" i="163"/>
  <c r="E12" i="163"/>
  <c r="CG11" i="163"/>
  <c r="CB11" i="163"/>
  <c r="BW11" i="163"/>
  <c r="BR11" i="163"/>
  <c r="BM11" i="163"/>
  <c r="BH11" i="163"/>
  <c r="BC11" i="163"/>
  <c r="AX11" i="163"/>
  <c r="AS11" i="163"/>
  <c r="AN11" i="163"/>
  <c r="AI11" i="163"/>
  <c r="AI99" i="157" s="1"/>
  <c r="AI94" i="157" s="1"/>
  <c r="AD11" i="163"/>
  <c r="X11" i="163"/>
  <c r="CK11" i="163" s="1"/>
  <c r="W11" i="163"/>
  <c r="S11" i="163"/>
  <c r="R11" i="163"/>
  <c r="O11" i="163"/>
  <c r="J11" i="163"/>
  <c r="E11" i="163"/>
  <c r="CG10" i="163"/>
  <c r="CB10" i="163"/>
  <c r="BW10" i="163"/>
  <c r="BR10" i="163"/>
  <c r="BM10" i="163"/>
  <c r="BH10" i="163"/>
  <c r="BC10" i="163"/>
  <c r="AX10" i="163"/>
  <c r="AS10" i="163"/>
  <c r="AN10" i="163"/>
  <c r="AI10" i="163"/>
  <c r="AD10" i="163"/>
  <c r="X10" i="163"/>
  <c r="CK10" i="163" s="1"/>
  <c r="W10" i="163"/>
  <c r="S10" i="163"/>
  <c r="R10" i="163"/>
  <c r="O10" i="163"/>
  <c r="J10" i="163"/>
  <c r="E10" i="163"/>
  <c r="CG9" i="163"/>
  <c r="CB9" i="163"/>
  <c r="BW9" i="163"/>
  <c r="BR9" i="163"/>
  <c r="BM9" i="163"/>
  <c r="BH9" i="163"/>
  <c r="BC9" i="163"/>
  <c r="AX9" i="163"/>
  <c r="AS9" i="163"/>
  <c r="AN9" i="163"/>
  <c r="AN99" i="157" s="1"/>
  <c r="AN94" i="157" s="1"/>
  <c r="AI9" i="163"/>
  <c r="AD9" i="163"/>
  <c r="X9" i="163"/>
  <c r="W9" i="163"/>
  <c r="S9" i="163"/>
  <c r="S8" i="163" s="1"/>
  <c r="R9" i="163"/>
  <c r="O9" i="163"/>
  <c r="J9" i="163"/>
  <c r="E9" i="163"/>
  <c r="CP8" i="163"/>
  <c r="CF8" i="163"/>
  <c r="CE8" i="163"/>
  <c r="CA8" i="163"/>
  <c r="BZ8" i="163"/>
  <c r="BV8" i="163"/>
  <c r="BU8" i="163"/>
  <c r="BQ8" i="163"/>
  <c r="BP8" i="163"/>
  <c r="BL8" i="163"/>
  <c r="BK8" i="163"/>
  <c r="BG8" i="163"/>
  <c r="BF8" i="163"/>
  <c r="BB8" i="163"/>
  <c r="BA8" i="163"/>
  <c r="AW8" i="163"/>
  <c r="AV8" i="163"/>
  <c r="AR8" i="163"/>
  <c r="AQ8" i="163"/>
  <c r="AM8" i="163"/>
  <c r="AL8" i="163"/>
  <c r="AH8" i="163"/>
  <c r="AG8" i="163"/>
  <c r="AC8" i="163"/>
  <c r="AB8" i="163"/>
  <c r="N8" i="163"/>
  <c r="M8" i="163"/>
  <c r="I8" i="163"/>
  <c r="H8" i="163"/>
  <c r="D8" i="163"/>
  <c r="C8" i="163"/>
  <c r="CJ7" i="163"/>
  <c r="CG7" i="163"/>
  <c r="CB7" i="163"/>
  <c r="BW7" i="163"/>
  <c r="BR7" i="163"/>
  <c r="BM7" i="163"/>
  <c r="BH7" i="163"/>
  <c r="BC7" i="163"/>
  <c r="BC5" i="163" s="1"/>
  <c r="AX7" i="163"/>
  <c r="AS7" i="163"/>
  <c r="AN7" i="163"/>
  <c r="AI7" i="163"/>
  <c r="AI5" i="163" s="1"/>
  <c r="AD7" i="163"/>
  <c r="X7" i="163"/>
  <c r="W7" i="163"/>
  <c r="S7" i="163"/>
  <c r="R7" i="163"/>
  <c r="O7" i="163"/>
  <c r="J7" i="163"/>
  <c r="E7" i="163"/>
  <c r="CG6" i="163"/>
  <c r="CG5" i="163" s="1"/>
  <c r="CB6" i="163"/>
  <c r="CB5" i="163" s="1"/>
  <c r="BW6" i="163"/>
  <c r="BR6" i="163"/>
  <c r="BM6" i="163"/>
  <c r="BM5" i="163" s="1"/>
  <c r="BH6" i="163"/>
  <c r="BC6" i="163"/>
  <c r="AX6" i="163"/>
  <c r="AS6" i="163"/>
  <c r="AS5" i="163" s="1"/>
  <c r="AN6" i="163"/>
  <c r="AN5" i="163" s="1"/>
  <c r="AI6" i="163"/>
  <c r="AD6" i="163"/>
  <c r="X6" i="163"/>
  <c r="CK6" i="163" s="1"/>
  <c r="CK5" i="163" s="1"/>
  <c r="W6" i="163"/>
  <c r="S6" i="163"/>
  <c r="S5" i="163" s="1"/>
  <c r="R6" i="163"/>
  <c r="T6" i="163" s="1"/>
  <c r="O6" i="163"/>
  <c r="O5" i="163" s="1"/>
  <c r="J6" i="163"/>
  <c r="E6" i="163"/>
  <c r="CP5" i="163"/>
  <c r="CF5" i="163"/>
  <c r="CF38" i="163" s="1"/>
  <c r="CE5" i="163"/>
  <c r="CE38" i="163" s="1"/>
  <c r="CE75" i="163" s="1"/>
  <c r="CA5" i="163"/>
  <c r="BZ5" i="163"/>
  <c r="BZ38" i="163" s="1"/>
  <c r="BV5" i="163"/>
  <c r="BV38" i="163" s="1"/>
  <c r="BU5" i="163"/>
  <c r="BU38" i="163" s="1"/>
  <c r="BQ5" i="163"/>
  <c r="BP5" i="163"/>
  <c r="BP38" i="163" s="1"/>
  <c r="BP39" i="163" s="1"/>
  <c r="BL5" i="163"/>
  <c r="BL38" i="163" s="1"/>
  <c r="BK5" i="163"/>
  <c r="BG5" i="163"/>
  <c r="BG38" i="163" s="1"/>
  <c r="BF5" i="163"/>
  <c r="BB5" i="163"/>
  <c r="BA5" i="163"/>
  <c r="AW5" i="163"/>
  <c r="AV5" i="163"/>
  <c r="AR5" i="163"/>
  <c r="AQ5" i="163"/>
  <c r="AM5" i="163"/>
  <c r="AL5" i="163"/>
  <c r="AH5" i="163"/>
  <c r="AG5" i="163"/>
  <c r="AC5" i="163"/>
  <c r="AB5" i="163"/>
  <c r="R5" i="163"/>
  <c r="N5" i="163"/>
  <c r="N38" i="163" s="1"/>
  <c r="M5" i="163"/>
  <c r="I5" i="163"/>
  <c r="H5" i="163"/>
  <c r="D5" i="163"/>
  <c r="D38" i="163" s="1"/>
  <c r="C5" i="163"/>
  <c r="CK50" i="163" l="1"/>
  <c r="T7" i="163"/>
  <c r="C38" i="163"/>
  <c r="M38" i="163"/>
  <c r="M39" i="163" s="1"/>
  <c r="AM38" i="163"/>
  <c r="AW38" i="163"/>
  <c r="AW75" i="163" s="1"/>
  <c r="BF38" i="163"/>
  <c r="BF75" i="163" s="1"/>
  <c r="Y6" i="163"/>
  <c r="O8" i="163"/>
  <c r="T10" i="163"/>
  <c r="T20" i="163"/>
  <c r="Y20" i="163"/>
  <c r="T22" i="163"/>
  <c r="T30" i="163"/>
  <c r="T31" i="163"/>
  <c r="X35" i="163"/>
  <c r="CJ45" i="163"/>
  <c r="CL47" i="163"/>
  <c r="T48" i="163"/>
  <c r="Y48" i="163"/>
  <c r="Y56" i="163"/>
  <c r="CL60" i="163"/>
  <c r="T63" i="163"/>
  <c r="Y64" i="163"/>
  <c r="T67" i="163"/>
  <c r="Y68" i="163"/>
  <c r="T71" i="163"/>
  <c r="CL13" i="163"/>
  <c r="CQ13" i="163" s="1"/>
  <c r="CR13" i="163" s="1"/>
  <c r="T16" i="163"/>
  <c r="T17" i="163"/>
  <c r="T19" i="163"/>
  <c r="T21" i="163"/>
  <c r="T43" i="163"/>
  <c r="AD41" i="163"/>
  <c r="S50" i="163"/>
  <c r="CQ50" i="163"/>
  <c r="T59" i="163"/>
  <c r="Y69" i="163"/>
  <c r="T78" i="163"/>
  <c r="E41" i="163"/>
  <c r="CL51" i="163"/>
  <c r="Y85" i="163"/>
  <c r="I38" i="163"/>
  <c r="AL38" i="163"/>
  <c r="AV38" i="163"/>
  <c r="T11" i="163"/>
  <c r="CJ12" i="163"/>
  <c r="CL12" i="163" s="1"/>
  <c r="CQ12" i="163" s="1"/>
  <c r="CR12" i="163" s="1"/>
  <c r="T14" i="163"/>
  <c r="Y30" i="163"/>
  <c r="CP41" i="163"/>
  <c r="Y42" i="163"/>
  <c r="AS41" i="163"/>
  <c r="CG41" i="163"/>
  <c r="CL44" i="163"/>
  <c r="T46" i="163"/>
  <c r="CQ41" i="163"/>
  <c r="X5" i="163"/>
  <c r="AQ38" i="163"/>
  <c r="AQ75" i="163" s="1"/>
  <c r="E5" i="163"/>
  <c r="AX5" i="163"/>
  <c r="BR5" i="163"/>
  <c r="CJ6" i="163"/>
  <c r="Y13" i="163"/>
  <c r="CL14" i="163"/>
  <c r="CL16" i="163"/>
  <c r="CJ21" i="163"/>
  <c r="CL21" i="163" s="1"/>
  <c r="T23" i="163"/>
  <c r="CK23" i="163"/>
  <c r="CL23" i="163" s="1"/>
  <c r="CQ23" i="163" s="1"/>
  <c r="CR23" i="163" s="1"/>
  <c r="CL24" i="163"/>
  <c r="CQ24" i="163" s="1"/>
  <c r="CR24" i="163" s="1"/>
  <c r="CK25" i="163"/>
  <c r="CL25" i="163" s="1"/>
  <c r="CQ25" i="163" s="1"/>
  <c r="CR25" i="163" s="1"/>
  <c r="Y31" i="163"/>
  <c r="X41" i="163"/>
  <c r="Y43" i="163"/>
  <c r="CP50" i="163"/>
  <c r="T56" i="163"/>
  <c r="CK56" i="163"/>
  <c r="CL56" i="163" s="1"/>
  <c r="S77" i="163"/>
  <c r="AH38" i="163"/>
  <c r="AB38" i="163"/>
  <c r="AR38" i="163"/>
  <c r="BB38" i="163"/>
  <c r="BK38" i="163"/>
  <c r="BW5" i="163"/>
  <c r="AN8" i="163"/>
  <c r="T9" i="163"/>
  <c r="Y24" i="163"/>
  <c r="Y28" i="163"/>
  <c r="CL33" i="163"/>
  <c r="BF39" i="163"/>
  <c r="Y44" i="163"/>
  <c r="Y51" i="163"/>
  <c r="Y52" i="163"/>
  <c r="CL58" i="163"/>
  <c r="T61" i="163"/>
  <c r="CJ69" i="163"/>
  <c r="CL69" i="163" s="1"/>
  <c r="CP73" i="163"/>
  <c r="CL74" i="163"/>
  <c r="CL73" i="163" s="1"/>
  <c r="CL85" i="163"/>
  <c r="CL31" i="163"/>
  <c r="CQ31" i="163" s="1"/>
  <c r="CR31" i="163" s="1"/>
  <c r="T60" i="163"/>
  <c r="W5" i="163"/>
  <c r="T29" i="163"/>
  <c r="Y33" i="163"/>
  <c r="CL45" i="163"/>
  <c r="CL46" i="163"/>
  <c r="Y58" i="163"/>
  <c r="T62" i="163"/>
  <c r="CL65" i="163"/>
  <c r="T68" i="163"/>
  <c r="AQ39" i="163"/>
  <c r="D39" i="163"/>
  <c r="D75" i="163"/>
  <c r="AV75" i="163"/>
  <c r="AV39" i="163"/>
  <c r="BG39" i="163"/>
  <c r="BG75" i="163"/>
  <c r="BU75" i="163"/>
  <c r="BU39" i="163"/>
  <c r="AS8" i="163"/>
  <c r="E8" i="163"/>
  <c r="E38" i="163" s="1"/>
  <c r="BR54" i="163"/>
  <c r="CB79" i="163"/>
  <c r="CB77" i="163" s="1"/>
  <c r="BZ77" i="163"/>
  <c r="X8" i="163"/>
  <c r="CK9" i="163"/>
  <c r="BZ75" i="163"/>
  <c r="BZ39" i="163"/>
  <c r="AL75" i="163"/>
  <c r="AL39" i="163"/>
  <c r="CB8" i="163"/>
  <c r="CB38" i="163" s="1"/>
  <c r="J8" i="163"/>
  <c r="BC8" i="163"/>
  <c r="AB39" i="163"/>
  <c r="AB75" i="163"/>
  <c r="AM75" i="163"/>
  <c r="AM39" i="163"/>
  <c r="BB39" i="163"/>
  <c r="BB75" i="163"/>
  <c r="AB77" i="163"/>
  <c r="AD79" i="163"/>
  <c r="AD77" i="163" s="1"/>
  <c r="BC79" i="163"/>
  <c r="BC77" i="163" s="1"/>
  <c r="BA77" i="163"/>
  <c r="AI8" i="163"/>
  <c r="BH8" i="163"/>
  <c r="CQ17" i="163"/>
  <c r="CR17" i="163" s="1"/>
  <c r="J41" i="163"/>
  <c r="CJ66" i="163"/>
  <c r="CL66" i="163" s="1"/>
  <c r="Y66" i="163"/>
  <c r="N75" i="163"/>
  <c r="N39" i="163"/>
  <c r="AC38" i="163"/>
  <c r="Y7" i="163"/>
  <c r="Y5" i="163" s="1"/>
  <c r="CK7" i="163"/>
  <c r="CL7" i="163" s="1"/>
  <c r="AD8" i="163"/>
  <c r="CG8" i="163"/>
  <c r="CJ18" i="163"/>
  <c r="CL18" i="163" s="1"/>
  <c r="Y18" i="163"/>
  <c r="CJ19" i="163"/>
  <c r="CL19" i="163" s="1"/>
  <c r="Y19" i="163"/>
  <c r="CQ21" i="163"/>
  <c r="CR21" i="163" s="1"/>
  <c r="Y22" i="163"/>
  <c r="CJ22" i="163"/>
  <c r="CL22" i="163" s="1"/>
  <c r="BW50" i="163"/>
  <c r="AX54" i="163"/>
  <c r="CB54" i="163"/>
  <c r="C75" i="163"/>
  <c r="C39" i="163"/>
  <c r="O38" i="163"/>
  <c r="CF39" i="163"/>
  <c r="CF75" i="163"/>
  <c r="T8" i="163"/>
  <c r="CJ11" i="163"/>
  <c r="CL11" i="163" s="1"/>
  <c r="Y11" i="163"/>
  <c r="W8" i="163"/>
  <c r="W38" i="163" s="1"/>
  <c r="CQ14" i="163"/>
  <c r="CR14" i="163" s="1"/>
  <c r="CQ20" i="163"/>
  <c r="CR20" i="163" s="1"/>
  <c r="E54" i="163"/>
  <c r="CK55" i="163"/>
  <c r="X54" i="163"/>
  <c r="I39" i="163"/>
  <c r="I75" i="163"/>
  <c r="X38" i="163"/>
  <c r="AW76" i="163"/>
  <c r="AW81" i="163"/>
  <c r="AW83" i="163" s="1"/>
  <c r="AW84" i="163" s="1"/>
  <c r="AW86" i="163" s="1"/>
  <c r="AW87" i="163" s="1"/>
  <c r="BK75" i="163"/>
  <c r="BK39" i="163"/>
  <c r="BV75" i="163"/>
  <c r="BV39" i="163"/>
  <c r="CG38" i="163"/>
  <c r="J5" i="163"/>
  <c r="J38" i="163" s="1"/>
  <c r="H77" i="163"/>
  <c r="J79" i="163"/>
  <c r="J77" i="163" s="1"/>
  <c r="AV77" i="163"/>
  <c r="AX79" i="163"/>
  <c r="BR8" i="163"/>
  <c r="Y50" i="163"/>
  <c r="CB50" i="163"/>
  <c r="CJ70" i="163"/>
  <c r="CL70" i="163" s="1"/>
  <c r="Y70" i="163"/>
  <c r="M75" i="163"/>
  <c r="BA38" i="163"/>
  <c r="AD5" i="163"/>
  <c r="BH5" i="163"/>
  <c r="W79" i="163"/>
  <c r="AX8" i="163"/>
  <c r="AX38" i="163" s="1"/>
  <c r="CQ16" i="163"/>
  <c r="CR16" i="163" s="1"/>
  <c r="AX50" i="163"/>
  <c r="Y55" i="163"/>
  <c r="CJ55" i="163"/>
  <c r="W54" i="163"/>
  <c r="CB41" i="163"/>
  <c r="BM50" i="163"/>
  <c r="J54" i="163"/>
  <c r="T5" i="163"/>
  <c r="AS38" i="163"/>
  <c r="BM8" i="163"/>
  <c r="BM38" i="163" s="1"/>
  <c r="CJ15" i="163"/>
  <c r="CL15" i="163" s="1"/>
  <c r="Y15" i="163"/>
  <c r="CQ30" i="163"/>
  <c r="CR30" i="163" s="1"/>
  <c r="BL39" i="163"/>
  <c r="BL75" i="163"/>
  <c r="AW39" i="163"/>
  <c r="BH41" i="163"/>
  <c r="CL50" i="163"/>
  <c r="CJ50" i="163"/>
  <c r="CL52" i="163"/>
  <c r="AG77" i="163"/>
  <c r="AI79" i="163"/>
  <c r="AI77" i="163" s="1"/>
  <c r="CK27" i="163"/>
  <c r="CL27" i="163" s="1"/>
  <c r="Y27" i="163"/>
  <c r="T42" i="163"/>
  <c r="T41" i="163" s="1"/>
  <c r="S41" i="163"/>
  <c r="CL42" i="163"/>
  <c r="CJ41" i="163"/>
  <c r="BW41" i="163"/>
  <c r="AD50" i="163"/>
  <c r="CL61" i="163"/>
  <c r="AH39" i="163"/>
  <c r="AH75" i="163"/>
  <c r="BF76" i="163"/>
  <c r="BQ38" i="163"/>
  <c r="CE76" i="163"/>
  <c r="CE81" i="163"/>
  <c r="CE83" i="163" s="1"/>
  <c r="CE84" i="163" s="1"/>
  <c r="CE86" i="163" s="1"/>
  <c r="CE87" i="163" s="1"/>
  <c r="S38" i="163"/>
  <c r="AN38" i="163"/>
  <c r="CJ9" i="163"/>
  <c r="Y9" i="163"/>
  <c r="R8" i="163"/>
  <c r="R38" i="163" s="1"/>
  <c r="BW8" i="163"/>
  <c r="T36" i="163"/>
  <c r="T35" i="163" s="1"/>
  <c r="CE39" i="163"/>
  <c r="CK41" i="163"/>
  <c r="Y71" i="163"/>
  <c r="CJ32" i="163"/>
  <c r="CL32" i="163" s="1"/>
  <c r="Y32" i="163"/>
  <c r="CJ36" i="163"/>
  <c r="Y36" i="163"/>
  <c r="Y35" i="163" s="1"/>
  <c r="AX41" i="163"/>
  <c r="T51" i="163"/>
  <c r="T50" i="163" s="1"/>
  <c r="R50" i="163"/>
  <c r="CG54" i="163"/>
  <c r="CK63" i="163"/>
  <c r="CL63" i="163" s="1"/>
  <c r="Y63" i="163"/>
  <c r="Y10" i="163"/>
  <c r="CJ10" i="163"/>
  <c r="CL10" i="163" s="1"/>
  <c r="CJ29" i="163"/>
  <c r="CL29" i="163" s="1"/>
  <c r="Y29" i="163"/>
  <c r="W35" i="163"/>
  <c r="CQ54" i="163"/>
  <c r="CL71" i="163"/>
  <c r="X77" i="163"/>
  <c r="CK78" i="163"/>
  <c r="CK77" i="163" s="1"/>
  <c r="CL28" i="163"/>
  <c r="BH54" i="163"/>
  <c r="W50" i="163"/>
  <c r="S54" i="163"/>
  <c r="AS54" i="163"/>
  <c r="CJ26" i="163"/>
  <c r="CL26" i="163" s="1"/>
  <c r="Y26" i="163"/>
  <c r="BM54" i="163"/>
  <c r="CJ62" i="163"/>
  <c r="CL62" i="163" s="1"/>
  <c r="Y62" i="163"/>
  <c r="CL64" i="163"/>
  <c r="AX77" i="163"/>
  <c r="AS50" i="163"/>
  <c r="AN54" i="163"/>
  <c r="R54" i="163"/>
  <c r="T57" i="163"/>
  <c r="O54" i="163"/>
  <c r="H38" i="163"/>
  <c r="AG38" i="163"/>
  <c r="AR39" i="163"/>
  <c r="AR75" i="163"/>
  <c r="CA38" i="163"/>
  <c r="CP38" i="163"/>
  <c r="E50" i="163"/>
  <c r="AI50" i="163"/>
  <c r="T55" i="163"/>
  <c r="AI54" i="163"/>
  <c r="Y57" i="163"/>
  <c r="T58" i="163"/>
  <c r="Y59" i="163"/>
  <c r="Y61" i="163"/>
  <c r="CJ67" i="163"/>
  <c r="CL67" i="163" s="1"/>
  <c r="BP75" i="163"/>
  <c r="T64" i="163"/>
  <c r="Y78" i="163"/>
  <c r="BC54" i="163"/>
  <c r="BW54" i="163"/>
  <c r="CJ78" i="163"/>
  <c r="BH38" i="163" l="1"/>
  <c r="Y41" i="163"/>
  <c r="AD38" i="163"/>
  <c r="CL6" i="163"/>
  <c r="CJ5" i="163"/>
  <c r="AI89" i="163"/>
  <c r="CK8" i="163"/>
  <c r="CK38" i="163" s="1"/>
  <c r="CK39" i="163" s="1"/>
  <c r="E75" i="163"/>
  <c r="E39" i="163"/>
  <c r="Y79" i="163"/>
  <c r="W77" i="163"/>
  <c r="CB75" i="163"/>
  <c r="CB39" i="163"/>
  <c r="AV76" i="163"/>
  <c r="AV81" i="163"/>
  <c r="AV83" i="163" s="1"/>
  <c r="AV84" i="163" s="1"/>
  <c r="AV86" i="163" s="1"/>
  <c r="AV87" i="163" s="1"/>
  <c r="CP75" i="163"/>
  <c r="CP39" i="163"/>
  <c r="H39" i="163"/>
  <c r="H75" i="163"/>
  <c r="CQ29" i="163"/>
  <c r="CR29" i="163" s="1"/>
  <c r="CQ10" i="163"/>
  <c r="CJ35" i="163"/>
  <c r="CL36" i="163"/>
  <c r="CJ8" i="163"/>
  <c r="CJ38" i="163" s="1"/>
  <c r="CL9" i="163"/>
  <c r="W75" i="163"/>
  <c r="W81" i="163" s="1"/>
  <c r="W83" i="163" s="1"/>
  <c r="AS75" i="163"/>
  <c r="AS39" i="163"/>
  <c r="CJ54" i="163"/>
  <c r="CL55" i="163"/>
  <c r="I81" i="163"/>
  <c r="I83" i="163" s="1"/>
  <c r="I84" i="163" s="1"/>
  <c r="I86" i="163" s="1"/>
  <c r="I87" i="163" s="1"/>
  <c r="I76" i="163"/>
  <c r="O75" i="163"/>
  <c r="O39" i="163"/>
  <c r="AJ53" i="163"/>
  <c r="AJ64" i="163"/>
  <c r="AJ68" i="163"/>
  <c r="AJ56" i="163"/>
  <c r="AJ70" i="163"/>
  <c r="AJ58" i="163"/>
  <c r="AJ52" i="163"/>
  <c r="AJ23" i="163"/>
  <c r="AJ26" i="163"/>
  <c r="AJ17" i="163"/>
  <c r="AJ21" i="163"/>
  <c r="AJ49" i="163"/>
  <c r="AJ69" i="163"/>
  <c r="AJ31" i="163"/>
  <c r="AJ32" i="163"/>
  <c r="AJ15" i="163"/>
  <c r="AJ10" i="163"/>
  <c r="AJ29" i="163"/>
  <c r="AJ14" i="163"/>
  <c r="AJ25" i="163"/>
  <c r="AJ12" i="163"/>
  <c r="AJ11" i="163"/>
  <c r="BZ76" i="163"/>
  <c r="BZ81" i="163"/>
  <c r="BZ83" i="163" s="1"/>
  <c r="BZ84" i="163" s="1"/>
  <c r="BZ86" i="163" s="1"/>
  <c r="BZ87" i="163" s="1"/>
  <c r="BG76" i="163"/>
  <c r="BG81" i="163"/>
  <c r="BG83" i="163" s="1"/>
  <c r="BG84" i="163" s="1"/>
  <c r="BG86" i="163" s="1"/>
  <c r="BG87" i="163" s="1"/>
  <c r="BP76" i="163"/>
  <c r="BP81" i="163"/>
  <c r="BP83" i="163" s="1"/>
  <c r="BP84" i="163" s="1"/>
  <c r="BP86" i="163" s="1"/>
  <c r="BP87" i="163" s="1"/>
  <c r="AJ55" i="163"/>
  <c r="CA39" i="163"/>
  <c r="CA75" i="163"/>
  <c r="AJ42" i="163"/>
  <c r="AJ67" i="163"/>
  <c r="AJ36" i="163"/>
  <c r="BH79" i="163"/>
  <c r="BH77" i="163" s="1"/>
  <c r="BF77" i="163"/>
  <c r="BQ75" i="163"/>
  <c r="BQ39" i="163"/>
  <c r="T38" i="163"/>
  <c r="AJ63" i="163"/>
  <c r="Y54" i="163"/>
  <c r="BA75" i="163"/>
  <c r="BA39" i="163"/>
  <c r="BK81" i="163"/>
  <c r="BK83" i="163" s="1"/>
  <c r="BK84" i="163" s="1"/>
  <c r="BK86" i="163" s="1"/>
  <c r="BK87" i="163" s="1"/>
  <c r="BK76" i="163"/>
  <c r="AX75" i="163"/>
  <c r="AX39" i="163"/>
  <c r="AJ9" i="163"/>
  <c r="AM81" i="163"/>
  <c r="AM83" i="163" s="1"/>
  <c r="AM84" i="163" s="1"/>
  <c r="AM86" i="163" s="1"/>
  <c r="AM87" i="163" s="1"/>
  <c r="AM76" i="163"/>
  <c r="BC89" i="163"/>
  <c r="Y77" i="163"/>
  <c r="CE77" i="163"/>
  <c r="CG79" i="163"/>
  <c r="CG77" i="163" s="1"/>
  <c r="BC38" i="163"/>
  <c r="CQ26" i="163"/>
  <c r="CR26" i="163" s="1"/>
  <c r="AJ47" i="163"/>
  <c r="AJ46" i="163"/>
  <c r="AJ61" i="163"/>
  <c r="BR38" i="163"/>
  <c r="BF81" i="163"/>
  <c r="BF83" i="163" s="1"/>
  <c r="BF84" i="163" s="1"/>
  <c r="BF86" i="163" s="1"/>
  <c r="BF87" i="163" s="1"/>
  <c r="BL76" i="163"/>
  <c r="BL81" i="163"/>
  <c r="BL83" i="163" s="1"/>
  <c r="BL84" i="163" s="1"/>
  <c r="BL86" i="163" s="1"/>
  <c r="BL87" i="163" s="1"/>
  <c r="R75" i="163"/>
  <c r="AX89" i="163"/>
  <c r="M76" i="163"/>
  <c r="M81" i="163"/>
  <c r="M83" i="163" s="1"/>
  <c r="M84" i="163" s="1"/>
  <c r="M86" i="163" s="1"/>
  <c r="M87" i="163" s="1"/>
  <c r="J39" i="163"/>
  <c r="J75" i="163"/>
  <c r="CQ11" i="163"/>
  <c r="C76" i="163"/>
  <c r="C81" i="163"/>
  <c r="C83" i="163" s="1"/>
  <c r="C84" i="163" s="1"/>
  <c r="CQ22" i="163"/>
  <c r="CQ19" i="163"/>
  <c r="CR19" i="163" s="1"/>
  <c r="BW38" i="163"/>
  <c r="AB76" i="163"/>
  <c r="AB81" i="163"/>
  <c r="AB83" i="163" s="1"/>
  <c r="AB84" i="163" s="1"/>
  <c r="AL76" i="163"/>
  <c r="AL81" i="163"/>
  <c r="AL83" i="163" s="1"/>
  <c r="AL84" i="163" s="1"/>
  <c r="AL86" i="163" s="1"/>
  <c r="AL87" i="163" s="1"/>
  <c r="AJ13" i="163"/>
  <c r="AQ77" i="163"/>
  <c r="AS79" i="163"/>
  <c r="AS77" i="163" s="1"/>
  <c r="AJ30" i="163"/>
  <c r="AJ45" i="163"/>
  <c r="S75" i="163"/>
  <c r="S81" i="163" s="1"/>
  <c r="S83" i="163" s="1"/>
  <c r="S84" i="163" s="1"/>
  <c r="S86" i="163" s="1"/>
  <c r="AH81" i="163"/>
  <c r="AH83" i="163" s="1"/>
  <c r="AH84" i="163" s="1"/>
  <c r="AH86" i="163" s="1"/>
  <c r="AH87" i="163" s="1"/>
  <c r="AH76" i="163"/>
  <c r="CQ27" i="163"/>
  <c r="CR27" i="163" s="1"/>
  <c r="BM89" i="163"/>
  <c r="AJ48" i="163"/>
  <c r="AJ65" i="163"/>
  <c r="BH75" i="163"/>
  <c r="BH39" i="163"/>
  <c r="AI38" i="163"/>
  <c r="CK54" i="163"/>
  <c r="CK75" i="163" s="1"/>
  <c r="CF76" i="163"/>
  <c r="CF81" i="163"/>
  <c r="CF83" i="163" s="1"/>
  <c r="CF84" i="163" s="1"/>
  <c r="CF86" i="163" s="1"/>
  <c r="CF87" i="163" s="1"/>
  <c r="AD89" i="163"/>
  <c r="BB76" i="163"/>
  <c r="BB81" i="163"/>
  <c r="BB83" i="163" s="1"/>
  <c r="BB84" i="163" s="1"/>
  <c r="BB86" i="163" s="1"/>
  <c r="BB87" i="163" s="1"/>
  <c r="J89" i="163"/>
  <c r="K79" i="163" s="1"/>
  <c r="D81" i="163"/>
  <c r="D83" i="163" s="1"/>
  <c r="D84" i="163" s="1"/>
  <c r="D76" i="163"/>
  <c r="AJ18" i="163"/>
  <c r="T54" i="163"/>
  <c r="BU77" i="163"/>
  <c r="BW79" i="163"/>
  <c r="BW77" i="163" s="1"/>
  <c r="AR81" i="163"/>
  <c r="AR83" i="163" s="1"/>
  <c r="AR84" i="163" s="1"/>
  <c r="AR86" i="163" s="1"/>
  <c r="AR87" i="163" s="1"/>
  <c r="AR76" i="163"/>
  <c r="CQ28" i="163"/>
  <c r="CR28" i="163" s="1"/>
  <c r="CJ79" i="163"/>
  <c r="E79" i="163"/>
  <c r="E77" i="163" s="1"/>
  <c r="C77" i="163"/>
  <c r="CQ32" i="163"/>
  <c r="CR32" i="163" s="1"/>
  <c r="AN75" i="163"/>
  <c r="AN39" i="163"/>
  <c r="CL41" i="163"/>
  <c r="AN79" i="163"/>
  <c r="AN77" i="163" s="1"/>
  <c r="AL77" i="163"/>
  <c r="CG75" i="163"/>
  <c r="CG39" i="163"/>
  <c r="AC75" i="163"/>
  <c r="AC39" i="163"/>
  <c r="BM75" i="163"/>
  <c r="BM39" i="163"/>
  <c r="AQ81" i="163"/>
  <c r="AQ83" i="163" s="1"/>
  <c r="AQ84" i="163" s="1"/>
  <c r="AQ86" i="163" s="1"/>
  <c r="AQ87" i="163" s="1"/>
  <c r="AQ76" i="163"/>
  <c r="CL78" i="163"/>
  <c r="M77" i="163"/>
  <c r="O79" i="163"/>
  <c r="R79" i="163"/>
  <c r="AG75" i="163"/>
  <c r="AG39" i="163"/>
  <c r="AJ71" i="163"/>
  <c r="AJ59" i="163"/>
  <c r="AJ19" i="163"/>
  <c r="AJ51" i="163"/>
  <c r="AJ16" i="163"/>
  <c r="Y8" i="163"/>
  <c r="Y38" i="163" s="1"/>
  <c r="CQ15" i="163"/>
  <c r="CR15" i="163" s="1"/>
  <c r="BR79" i="163"/>
  <c r="BR77" i="163" s="1"/>
  <c r="BP77" i="163"/>
  <c r="AD39" i="163"/>
  <c r="AD75" i="163"/>
  <c r="AJ28" i="163"/>
  <c r="BV76" i="163"/>
  <c r="BV81" i="163"/>
  <c r="BV83" i="163" s="1"/>
  <c r="BV84" i="163" s="1"/>
  <c r="BV86" i="163" s="1"/>
  <c r="BV87" i="163" s="1"/>
  <c r="X75" i="163"/>
  <c r="X81" i="163" s="1"/>
  <c r="X83" i="163" s="1"/>
  <c r="CQ18" i="163"/>
  <c r="CR18" i="163" s="1"/>
  <c r="N76" i="163"/>
  <c r="N81" i="163"/>
  <c r="N83" i="163" s="1"/>
  <c r="N84" i="163" s="1"/>
  <c r="N86" i="163" s="1"/>
  <c r="N87" i="163" s="1"/>
  <c r="CB89" i="163"/>
  <c r="BU76" i="163"/>
  <c r="BU81" i="163"/>
  <c r="BU83" i="163" s="1"/>
  <c r="BU84" i="163" s="1"/>
  <c r="BU86" i="163" s="1"/>
  <c r="BU87" i="163" s="1"/>
  <c r="CK98" i="131"/>
  <c r="CK97" i="131"/>
  <c r="BC99" i="157"/>
  <c r="BM99" i="157"/>
  <c r="CB99" i="157"/>
  <c r="BM93" i="157" l="1"/>
  <c r="BM90" i="157"/>
  <c r="E89" i="163"/>
  <c r="K41" i="163"/>
  <c r="AN89" i="163"/>
  <c r="CQ6" i="163"/>
  <c r="CL5" i="163"/>
  <c r="F8" i="163"/>
  <c r="AJ43" i="163"/>
  <c r="AJ24" i="163"/>
  <c r="AJ57" i="163"/>
  <c r="AJ66" i="163"/>
  <c r="AJ20" i="163"/>
  <c r="AJ62" i="163"/>
  <c r="AJ27" i="163"/>
  <c r="AJ33" i="163"/>
  <c r="AJ22" i="163"/>
  <c r="AJ44" i="163"/>
  <c r="AJ60" i="163"/>
  <c r="K54" i="163"/>
  <c r="R81" i="163"/>
  <c r="R83" i="163" s="1"/>
  <c r="R84" i="163" s="1"/>
  <c r="R86" i="163" s="1"/>
  <c r="CK81" i="163"/>
  <c r="CK83" i="163" s="1"/>
  <c r="CK76" i="163"/>
  <c r="CG81" i="163"/>
  <c r="CG83" i="163" s="1"/>
  <c r="CG84" i="163" s="1"/>
  <c r="CG86" i="163" s="1"/>
  <c r="CG87" i="163" s="1"/>
  <c r="CG76" i="163"/>
  <c r="CQ79" i="163"/>
  <c r="CL79" i="163"/>
  <c r="CL77" i="163" s="1"/>
  <c r="D86" i="163"/>
  <c r="D87" i="163" s="1"/>
  <c r="AE65" i="163"/>
  <c r="AE62" i="163"/>
  <c r="AE58" i="163"/>
  <c r="AE28" i="163"/>
  <c r="AE11" i="163"/>
  <c r="AE43" i="163"/>
  <c r="AE33" i="163"/>
  <c r="AE29" i="163"/>
  <c r="AE70" i="163"/>
  <c r="AE56" i="163"/>
  <c r="AE53" i="163"/>
  <c r="AE45" i="163"/>
  <c r="AE68" i="163"/>
  <c r="AE66" i="163"/>
  <c r="AE48" i="163"/>
  <c r="AE30" i="163"/>
  <c r="AE27" i="163"/>
  <c r="AE25" i="163"/>
  <c r="AE47" i="163"/>
  <c r="AE46" i="163"/>
  <c r="AE31" i="163"/>
  <c r="AE24" i="163"/>
  <c r="AE26" i="163"/>
  <c r="AE23" i="163"/>
  <c r="AE61" i="163"/>
  <c r="AE42" i="163"/>
  <c r="AE36" i="163"/>
  <c r="AE44" i="163"/>
  <c r="AE9" i="163"/>
  <c r="AE49" i="163"/>
  <c r="AE32" i="163"/>
  <c r="AE14" i="163"/>
  <c r="AE10" i="163"/>
  <c r="AE20" i="163"/>
  <c r="AE59" i="163"/>
  <c r="AE15" i="163"/>
  <c r="AE21" i="163"/>
  <c r="AE71" i="163"/>
  <c r="AE52" i="163"/>
  <c r="AE67" i="163"/>
  <c r="AE51" i="163"/>
  <c r="AE16" i="163"/>
  <c r="AE13" i="163"/>
  <c r="AE60" i="163"/>
  <c r="AE12" i="163"/>
  <c r="AE18" i="163"/>
  <c r="AE17" i="163"/>
  <c r="AE22" i="163"/>
  <c r="AE57" i="163"/>
  <c r="AE55" i="163"/>
  <c r="AE19" i="163"/>
  <c r="AE63" i="163"/>
  <c r="AE69" i="163"/>
  <c r="AE64" i="163"/>
  <c r="BH81" i="163"/>
  <c r="BH83" i="163" s="1"/>
  <c r="BH84" i="163" s="1"/>
  <c r="BH86" i="163" s="1"/>
  <c r="BH87" i="163" s="1"/>
  <c r="BH76" i="163"/>
  <c r="BD53" i="163"/>
  <c r="BD70" i="163"/>
  <c r="BD66" i="163"/>
  <c r="BD63" i="163"/>
  <c r="BD56" i="163"/>
  <c r="BD52" i="163"/>
  <c r="BD44" i="163"/>
  <c r="BD36" i="163"/>
  <c r="BD60" i="163"/>
  <c r="BD58" i="163"/>
  <c r="BD42" i="163"/>
  <c r="BD47" i="163"/>
  <c r="BD46" i="163"/>
  <c r="BD30" i="163"/>
  <c r="BD51" i="163"/>
  <c r="BD25" i="163"/>
  <c r="BD48" i="163"/>
  <c r="BD45" i="163"/>
  <c r="BD17" i="163"/>
  <c r="BD49" i="163"/>
  <c r="BD15" i="163"/>
  <c r="BD31" i="163"/>
  <c r="BD27" i="163"/>
  <c r="BD43" i="163"/>
  <c r="BD14" i="163"/>
  <c r="BD11" i="163"/>
  <c r="BD68" i="163"/>
  <c r="BD18" i="163"/>
  <c r="BD24" i="163"/>
  <c r="BD12" i="163"/>
  <c r="BD19" i="163"/>
  <c r="BD64" i="163"/>
  <c r="BD69" i="163"/>
  <c r="BD55" i="163"/>
  <c r="BD33" i="163"/>
  <c r="BD23" i="163"/>
  <c r="BD20" i="163"/>
  <c r="BD65" i="163"/>
  <c r="BD71" i="163"/>
  <c r="BD67" i="163"/>
  <c r="BD10" i="163"/>
  <c r="BD9" i="163"/>
  <c r="BD21" i="163"/>
  <c r="BD32" i="163"/>
  <c r="BD28" i="163"/>
  <c r="BD16" i="163"/>
  <c r="BD29" i="163"/>
  <c r="BD13" i="163"/>
  <c r="BD26" i="163"/>
  <c r="BD59" i="163"/>
  <c r="BD62" i="163"/>
  <c r="BD22" i="163"/>
  <c r="BD61" i="163"/>
  <c r="BD57" i="163"/>
  <c r="AX81" i="163"/>
  <c r="AX83" i="163" s="1"/>
  <c r="AX84" i="163" s="1"/>
  <c r="AX86" i="163" s="1"/>
  <c r="AX76" i="163"/>
  <c r="BA76" i="163"/>
  <c r="BA81" i="163"/>
  <c r="BA83" i="163" s="1"/>
  <c r="BA84" i="163" s="1"/>
  <c r="BA86" i="163" s="1"/>
  <c r="BA87" i="163" s="1"/>
  <c r="BQ81" i="163"/>
  <c r="BQ83" i="163" s="1"/>
  <c r="BQ84" i="163" s="1"/>
  <c r="BQ86" i="163" s="1"/>
  <c r="BQ87" i="163" s="1"/>
  <c r="BQ76" i="163"/>
  <c r="CL8" i="163"/>
  <c r="CQ9" i="163"/>
  <c r="CB81" i="163"/>
  <c r="CB83" i="163" s="1"/>
  <c r="CB84" i="163" s="1"/>
  <c r="CB86" i="163" s="1"/>
  <c r="CB87" i="163" s="1"/>
  <c r="CB76" i="163"/>
  <c r="AO71" i="163"/>
  <c r="AO70" i="163"/>
  <c r="AO66" i="163"/>
  <c r="AO69" i="163"/>
  <c r="AO59" i="163"/>
  <c r="AO60" i="163"/>
  <c r="AO53" i="163"/>
  <c r="AO46" i="163"/>
  <c r="AO47" i="163"/>
  <c r="AO36" i="163"/>
  <c r="AO52" i="163"/>
  <c r="AO42" i="163"/>
  <c r="AO49" i="163"/>
  <c r="AO58" i="163"/>
  <c r="AO48" i="163"/>
  <c r="AO25" i="163"/>
  <c r="AO28" i="163"/>
  <c r="AO51" i="163"/>
  <c r="AO44" i="163"/>
  <c r="AO43" i="163"/>
  <c r="AO45" i="163"/>
  <c r="AO56" i="163"/>
  <c r="AO27" i="163"/>
  <c r="AO31" i="163"/>
  <c r="AO15" i="163"/>
  <c r="AO33" i="163"/>
  <c r="AO29" i="163"/>
  <c r="AO14" i="163"/>
  <c r="AO64" i="163"/>
  <c r="AO10" i="163"/>
  <c r="AO24" i="163"/>
  <c r="AO9" i="163"/>
  <c r="AO30" i="163"/>
  <c r="AO62" i="163"/>
  <c r="AO55" i="163"/>
  <c r="AO23" i="163"/>
  <c r="AO12" i="163"/>
  <c r="AO20" i="163"/>
  <c r="AO63" i="163"/>
  <c r="AO61" i="163"/>
  <c r="AO18" i="163"/>
  <c r="AO13" i="163"/>
  <c r="AO67" i="163"/>
  <c r="AO65" i="163"/>
  <c r="AO57" i="163"/>
  <c r="AO17" i="163"/>
  <c r="AO32" i="163"/>
  <c r="AO22" i="163"/>
  <c r="AO16" i="163"/>
  <c r="AO11" i="163"/>
  <c r="AO21" i="163"/>
  <c r="AO19" i="163"/>
  <c r="AO68" i="163"/>
  <c r="AO26" i="163"/>
  <c r="AG81" i="163"/>
  <c r="AG83" i="163" s="1"/>
  <c r="AG84" i="163" s="1"/>
  <c r="AG86" i="163" s="1"/>
  <c r="AG87" i="163" s="1"/>
  <c r="AG76" i="163"/>
  <c r="BM81" i="163"/>
  <c r="BM83" i="163" s="1"/>
  <c r="BM84" i="163" s="1"/>
  <c r="BM86" i="163" s="1"/>
  <c r="BM87" i="163" s="1"/>
  <c r="BM76" i="163"/>
  <c r="AN81" i="163"/>
  <c r="AN83" i="163" s="1"/>
  <c r="AN84" i="163" s="1"/>
  <c r="AN86" i="163" s="1"/>
  <c r="AN87" i="163" s="1"/>
  <c r="AN76" i="163"/>
  <c r="AB86" i="163"/>
  <c r="AB87" i="163" s="1"/>
  <c r="CT22" i="163"/>
  <c r="CR22" i="163"/>
  <c r="J81" i="163"/>
  <c r="J83" i="163" s="1"/>
  <c r="J84" i="163" s="1"/>
  <c r="J86" i="163" s="1"/>
  <c r="J87" i="163" s="1"/>
  <c r="J76" i="163"/>
  <c r="CG89" i="163"/>
  <c r="CA81" i="163"/>
  <c r="CA83" i="163" s="1"/>
  <c r="CA84" i="163" s="1"/>
  <c r="CA86" i="163" s="1"/>
  <c r="CA87" i="163" s="1"/>
  <c r="CA76" i="163"/>
  <c r="CL54" i="163"/>
  <c r="CJ75" i="163"/>
  <c r="CJ39" i="163"/>
  <c r="Y75" i="163"/>
  <c r="Y81" i="163" s="1"/>
  <c r="Y83" i="163" s="1"/>
  <c r="Y84" i="163" s="1"/>
  <c r="Y86" i="163" s="1"/>
  <c r="T79" i="163"/>
  <c r="T77" i="163" s="1"/>
  <c r="R77" i="163"/>
  <c r="K85" i="163"/>
  <c r="K70" i="163"/>
  <c r="K56" i="163"/>
  <c r="K72" i="163"/>
  <c r="K68" i="163"/>
  <c r="K51" i="163"/>
  <c r="K61" i="163"/>
  <c r="K57" i="163"/>
  <c r="K78" i="163"/>
  <c r="K52" i="163"/>
  <c r="K26" i="163"/>
  <c r="K23" i="163"/>
  <c r="K19" i="163"/>
  <c r="K16" i="163"/>
  <c r="K64" i="163"/>
  <c r="K63" i="163"/>
  <c r="K58" i="163"/>
  <c r="K29" i="163"/>
  <c r="K22" i="163"/>
  <c r="K13" i="163"/>
  <c r="K33" i="163"/>
  <c r="K67" i="163"/>
  <c r="K10" i="163"/>
  <c r="K74" i="163"/>
  <c r="K17" i="163"/>
  <c r="K15" i="163"/>
  <c r="K11" i="163"/>
  <c r="K18" i="163"/>
  <c r="K20" i="163"/>
  <c r="K27" i="163"/>
  <c r="K60" i="163"/>
  <c r="K9" i="163"/>
  <c r="K42" i="163"/>
  <c r="K25" i="163"/>
  <c r="K66" i="163"/>
  <c r="K69" i="163"/>
  <c r="K14" i="163"/>
  <c r="K30" i="163"/>
  <c r="K21" i="163"/>
  <c r="K28" i="163"/>
  <c r="K32" i="163"/>
  <c r="K62" i="163"/>
  <c r="K24" i="163"/>
  <c r="K65" i="163"/>
  <c r="K45" i="163"/>
  <c r="K71" i="163"/>
  <c r="K46" i="163"/>
  <c r="K43" i="163"/>
  <c r="K36" i="163"/>
  <c r="K59" i="163"/>
  <c r="K31" i="163"/>
  <c r="K12" i="163"/>
  <c r="K48" i="163"/>
  <c r="K55" i="163"/>
  <c r="K44" i="163"/>
  <c r="K47" i="163"/>
  <c r="K82" i="163"/>
  <c r="CQ36" i="163"/>
  <c r="CL35" i="163"/>
  <c r="H76" i="163"/>
  <c r="H81" i="163"/>
  <c r="H83" i="163" s="1"/>
  <c r="H84" i="163" s="1"/>
  <c r="H86" i="163" s="1"/>
  <c r="H87" i="163" s="1"/>
  <c r="P79" i="163"/>
  <c r="O77" i="163"/>
  <c r="O89" i="163"/>
  <c r="AC81" i="163"/>
  <c r="AC83" i="163" s="1"/>
  <c r="AC84" i="163" s="1"/>
  <c r="AC76" i="163"/>
  <c r="BN53" i="163"/>
  <c r="BN64" i="163"/>
  <c r="BN69" i="163"/>
  <c r="BN68" i="163"/>
  <c r="BN49" i="163"/>
  <c r="BN56" i="163"/>
  <c r="BN61" i="163"/>
  <c r="BN70" i="163"/>
  <c r="BN23" i="163"/>
  <c r="BN57" i="163"/>
  <c r="BN55" i="163"/>
  <c r="BN32" i="163"/>
  <c r="BN12" i="163"/>
  <c r="BN29" i="163"/>
  <c r="BN17" i="163"/>
  <c r="BN36" i="163"/>
  <c r="BN13" i="163"/>
  <c r="BN16" i="163"/>
  <c r="BN58" i="163"/>
  <c r="BN10" i="163"/>
  <c r="BN9" i="163"/>
  <c r="BN21" i="163"/>
  <c r="BN18" i="163"/>
  <c r="BN22" i="163"/>
  <c r="BN20" i="163"/>
  <c r="BN14" i="163"/>
  <c r="BN52" i="163"/>
  <c r="BN19" i="163"/>
  <c r="BN44" i="163"/>
  <c r="BN65" i="163"/>
  <c r="BN24" i="163"/>
  <c r="BN67" i="163"/>
  <c r="BN46" i="163"/>
  <c r="BN33" i="163"/>
  <c r="BN28" i="163"/>
  <c r="BN60" i="163"/>
  <c r="BN45" i="163"/>
  <c r="BN26" i="163"/>
  <c r="BN25" i="163"/>
  <c r="BN15" i="163"/>
  <c r="BN31" i="163"/>
  <c r="BN51" i="163"/>
  <c r="BN30" i="163"/>
  <c r="BN47" i="163"/>
  <c r="BN66" i="163"/>
  <c r="BN11" i="163"/>
  <c r="BN62" i="163"/>
  <c r="BN42" i="163"/>
  <c r="BN48" i="163"/>
  <c r="BN59" i="163"/>
  <c r="BN63" i="163"/>
  <c r="BN27" i="163"/>
  <c r="BN71" i="163"/>
  <c r="BN43" i="163"/>
  <c r="BW39" i="163"/>
  <c r="BW75" i="163"/>
  <c r="C86" i="163"/>
  <c r="C87" i="163" s="1"/>
  <c r="AS89" i="163"/>
  <c r="O76" i="163"/>
  <c r="O81" i="163"/>
  <c r="O83" i="163" s="1"/>
  <c r="O84" i="163" s="1"/>
  <c r="O86" i="163" s="1"/>
  <c r="O87" i="163" s="1"/>
  <c r="AD81" i="163"/>
  <c r="AD83" i="163" s="1"/>
  <c r="AD84" i="163" s="1"/>
  <c r="AD86" i="163" s="1"/>
  <c r="AD87" i="163" s="1"/>
  <c r="AD76" i="163"/>
  <c r="Y89" i="163"/>
  <c r="AI39" i="163"/>
  <c r="AI75" i="163"/>
  <c r="BR75" i="163"/>
  <c r="BR39" i="163"/>
  <c r="BR89" i="163"/>
  <c r="T75" i="163"/>
  <c r="T81" i="163" s="1"/>
  <c r="T83" i="163" s="1"/>
  <c r="T84" i="163" s="1"/>
  <c r="T86" i="163" s="1"/>
  <c r="AS76" i="163"/>
  <c r="AS81" i="163"/>
  <c r="AS83" i="163" s="1"/>
  <c r="AS84" i="163" s="1"/>
  <c r="AS86" i="163" s="1"/>
  <c r="AS87" i="163" s="1"/>
  <c r="CC49" i="163"/>
  <c r="CC64" i="163"/>
  <c r="CC68" i="163"/>
  <c r="CC56" i="163"/>
  <c r="CC55" i="163"/>
  <c r="CC52" i="163"/>
  <c r="CC23" i="163"/>
  <c r="CC20" i="163"/>
  <c r="CC17" i="163"/>
  <c r="CC14" i="163"/>
  <c r="CC66" i="163"/>
  <c r="CC29" i="163"/>
  <c r="CC16" i="163"/>
  <c r="CC53" i="163"/>
  <c r="CC36" i="163"/>
  <c r="CC22" i="163"/>
  <c r="CC13" i="163"/>
  <c r="CC12" i="163"/>
  <c r="CC58" i="163"/>
  <c r="CC28" i="163"/>
  <c r="CC25" i="163"/>
  <c r="CC10" i="163"/>
  <c r="CC9" i="163"/>
  <c r="CC33" i="163"/>
  <c r="CC19" i="163"/>
  <c r="CC15" i="163"/>
  <c r="CC70" i="163"/>
  <c r="CC21" i="163"/>
  <c r="CC18" i="163"/>
  <c r="CC31" i="163"/>
  <c r="CC62" i="163"/>
  <c r="CC42" i="163"/>
  <c r="CC63" i="163"/>
  <c r="CC30" i="163"/>
  <c r="CC65" i="163"/>
  <c r="CC61" i="163"/>
  <c r="CC32" i="163"/>
  <c r="CC44" i="163"/>
  <c r="CC69" i="163"/>
  <c r="CC59" i="163"/>
  <c r="CC57" i="163"/>
  <c r="CC51" i="163"/>
  <c r="CC27" i="163"/>
  <c r="CC67" i="163"/>
  <c r="CC46" i="163"/>
  <c r="CC60" i="163"/>
  <c r="CC47" i="163"/>
  <c r="CC71" i="163"/>
  <c r="CC24" i="163"/>
  <c r="CC45" i="163"/>
  <c r="CC48" i="163"/>
  <c r="CC11" i="163"/>
  <c r="CC43" i="163"/>
  <c r="CC26" i="163"/>
  <c r="CJ77" i="163"/>
  <c r="K53" i="163"/>
  <c r="F28" i="163"/>
  <c r="F11" i="163"/>
  <c r="F71" i="163"/>
  <c r="F68" i="163"/>
  <c r="F65" i="163"/>
  <c r="F56" i="163"/>
  <c r="F64" i="163"/>
  <c r="F62" i="163"/>
  <c r="F33" i="163"/>
  <c r="K50" i="163"/>
  <c r="F59" i="163"/>
  <c r="F53" i="163"/>
  <c r="F25" i="163"/>
  <c r="F58" i="163"/>
  <c r="F31" i="163"/>
  <c r="F9" i="163"/>
  <c r="F36" i="163"/>
  <c r="F29" i="163"/>
  <c r="F32" i="163"/>
  <c r="F43" i="163"/>
  <c r="P41" i="163"/>
  <c r="F23" i="163"/>
  <c r="F10" i="163"/>
  <c r="F45" i="163"/>
  <c r="F66" i="163"/>
  <c r="F30" i="163"/>
  <c r="F26" i="163"/>
  <c r="F47" i="163"/>
  <c r="F27" i="163"/>
  <c r="F24" i="163"/>
  <c r="F44" i="163"/>
  <c r="F48" i="163"/>
  <c r="F46" i="163"/>
  <c r="F13" i="163"/>
  <c r="F21" i="163"/>
  <c r="F60" i="163"/>
  <c r="F12" i="163"/>
  <c r="F42" i="163"/>
  <c r="F19" i="163"/>
  <c r="F20" i="163"/>
  <c r="F67" i="163"/>
  <c r="F52" i="163"/>
  <c r="P8" i="163"/>
  <c r="F22" i="163"/>
  <c r="P50" i="163"/>
  <c r="F16" i="163"/>
  <c r="F69" i="163"/>
  <c r="F14" i="163"/>
  <c r="F61" i="163"/>
  <c r="F57" i="163"/>
  <c r="F63" i="163"/>
  <c r="F15" i="163"/>
  <c r="F18" i="163"/>
  <c r="F55" i="163"/>
  <c r="F41" i="163"/>
  <c r="F17" i="163"/>
  <c r="F70" i="163"/>
  <c r="F51" i="163"/>
  <c r="BH89" i="163"/>
  <c r="AY49" i="163"/>
  <c r="AY64" i="163"/>
  <c r="AY68" i="163"/>
  <c r="AY53" i="163"/>
  <c r="AY56" i="163"/>
  <c r="AY23" i="163"/>
  <c r="AY70" i="163"/>
  <c r="AY67" i="163"/>
  <c r="AY62" i="163"/>
  <c r="AY58" i="163"/>
  <c r="AY28" i="163"/>
  <c r="AY19" i="163"/>
  <c r="AY29" i="163"/>
  <c r="AY11" i="163"/>
  <c r="AY13" i="163"/>
  <c r="AY33" i="163"/>
  <c r="AY16" i="163"/>
  <c r="AY14" i="163"/>
  <c r="AY48" i="163"/>
  <c r="AY31" i="163"/>
  <c r="AY30" i="163"/>
  <c r="AY44" i="163"/>
  <c r="AY18" i="163"/>
  <c r="AY24" i="163"/>
  <c r="AY17" i="163"/>
  <c r="AY12" i="163"/>
  <c r="AY25" i="163"/>
  <c r="AY51" i="163"/>
  <c r="AY69" i="163"/>
  <c r="AY10" i="163"/>
  <c r="AY60" i="163"/>
  <c r="AY71" i="163"/>
  <c r="AY61" i="163"/>
  <c r="AY20" i="163"/>
  <c r="AY32" i="163"/>
  <c r="AY66" i="163"/>
  <c r="AY57" i="163"/>
  <c r="AY63" i="163"/>
  <c r="AY21" i="163"/>
  <c r="AY43" i="163"/>
  <c r="AY45" i="163"/>
  <c r="AY27" i="163"/>
  <c r="AY42" i="163"/>
  <c r="AY9" i="163"/>
  <c r="AY46" i="163"/>
  <c r="AY22" i="163"/>
  <c r="AY55" i="163"/>
  <c r="AY36" i="163"/>
  <c r="AY52" i="163"/>
  <c r="AY65" i="163"/>
  <c r="AY47" i="163"/>
  <c r="AY26" i="163"/>
  <c r="AY59" i="163"/>
  <c r="AY15" i="163"/>
  <c r="BW89" i="163"/>
  <c r="BC39" i="163"/>
  <c r="BC75" i="163"/>
  <c r="CP81" i="163"/>
  <c r="CP83" i="163" s="1"/>
  <c r="CP84" i="163" s="1"/>
  <c r="CP86" i="163" s="1"/>
  <c r="CP87" i="163" s="1"/>
  <c r="CP76" i="163"/>
  <c r="E76" i="163"/>
  <c r="E81" i="163"/>
  <c r="E83" i="163" s="1"/>
  <c r="E84" i="163" s="1"/>
  <c r="E86" i="163" s="1"/>
  <c r="E87" i="163" s="1"/>
  <c r="AS99" i="157"/>
  <c r="BH99" i="157"/>
  <c r="CG99" i="157"/>
  <c r="BR99" i="157"/>
  <c r="AX99" i="157"/>
  <c r="BW99" i="157"/>
  <c r="AX87" i="163" l="1"/>
  <c r="P54" i="163"/>
  <c r="F54" i="163"/>
  <c r="W84" i="163"/>
  <c r="W86" i="163" s="1"/>
  <c r="F50" i="163"/>
  <c r="K8" i="163"/>
  <c r="T89" i="163"/>
  <c r="CQ5" i="163"/>
  <c r="CR6" i="163"/>
  <c r="CR5" i="163" s="1"/>
  <c r="BI58" i="163"/>
  <c r="BI28" i="163"/>
  <c r="BI11" i="163"/>
  <c r="BI49" i="163"/>
  <c r="BI66" i="163"/>
  <c r="BI68" i="163"/>
  <c r="BI33" i="163"/>
  <c r="BI29" i="163"/>
  <c r="BI60" i="163"/>
  <c r="BI36" i="163"/>
  <c r="BI26" i="163"/>
  <c r="BI25" i="163"/>
  <c r="BI31" i="163"/>
  <c r="BI62" i="163"/>
  <c r="BI32" i="163"/>
  <c r="BI9" i="163"/>
  <c r="BI24" i="163"/>
  <c r="BI70" i="163"/>
  <c r="BI65" i="163"/>
  <c r="BI45" i="163"/>
  <c r="BI53" i="163"/>
  <c r="BI23" i="163"/>
  <c r="BI30" i="163"/>
  <c r="BI56" i="163"/>
  <c r="BI27" i="163"/>
  <c r="BI10" i="163"/>
  <c r="BI42" i="163"/>
  <c r="BI13" i="163"/>
  <c r="BI19" i="163"/>
  <c r="BI57" i="163"/>
  <c r="BI44" i="163"/>
  <c r="BI52" i="163"/>
  <c r="BI64" i="163"/>
  <c r="BI21" i="163"/>
  <c r="BI61" i="163"/>
  <c r="BI51" i="163"/>
  <c r="BI59" i="163"/>
  <c r="BI71" i="163"/>
  <c r="BI14" i="163"/>
  <c r="BI20" i="163"/>
  <c r="BI43" i="163"/>
  <c r="BI67" i="163"/>
  <c r="BI69" i="163"/>
  <c r="BI16" i="163"/>
  <c r="BI22" i="163"/>
  <c r="BI46" i="163"/>
  <c r="BI47" i="163"/>
  <c r="BI17" i="163"/>
  <c r="BI63" i="163"/>
  <c r="BI55" i="163"/>
  <c r="BI48" i="163"/>
  <c r="BI12" i="163"/>
  <c r="BI18" i="163"/>
  <c r="BI15" i="163"/>
  <c r="BW81" i="163"/>
  <c r="BW83" i="163" s="1"/>
  <c r="BW84" i="163" s="1"/>
  <c r="BW86" i="163" s="1"/>
  <c r="BW87" i="163" s="1"/>
  <c r="BW76" i="163"/>
  <c r="CR36" i="163"/>
  <c r="CR35" i="163" s="1"/>
  <c r="CQ35" i="163"/>
  <c r="CR79" i="163"/>
  <c r="CQ77" i="163"/>
  <c r="BR81" i="163"/>
  <c r="BR83" i="163" s="1"/>
  <c r="BR84" i="163" s="1"/>
  <c r="BR86" i="163" s="1"/>
  <c r="BR87" i="163" s="1"/>
  <c r="BR76" i="163"/>
  <c r="CH49" i="163"/>
  <c r="CH70" i="163"/>
  <c r="CH66" i="163"/>
  <c r="CH52" i="163"/>
  <c r="CH60" i="163"/>
  <c r="CH53" i="163"/>
  <c r="CH51" i="163"/>
  <c r="CH47" i="163"/>
  <c r="CH42" i="163"/>
  <c r="CH36" i="163"/>
  <c r="CH46" i="163"/>
  <c r="CH44" i="163"/>
  <c r="CH45" i="163"/>
  <c r="CH43" i="163"/>
  <c r="CH24" i="163"/>
  <c r="CH68" i="163"/>
  <c r="CH63" i="163"/>
  <c r="CH28" i="163"/>
  <c r="CH59" i="163"/>
  <c r="CH31" i="163"/>
  <c r="CH25" i="163"/>
  <c r="CH58" i="163"/>
  <c r="CH20" i="163"/>
  <c r="CH48" i="163"/>
  <c r="CH65" i="163"/>
  <c r="CH23" i="163"/>
  <c r="CH11" i="163"/>
  <c r="CH30" i="163"/>
  <c r="CH64" i="163"/>
  <c r="CH22" i="163"/>
  <c r="CH56" i="163"/>
  <c r="CH17" i="163"/>
  <c r="CH33" i="163"/>
  <c r="CH27" i="163"/>
  <c r="CH61" i="163"/>
  <c r="CH67" i="163"/>
  <c r="CH71" i="163"/>
  <c r="CH12" i="163"/>
  <c r="CH14" i="163"/>
  <c r="CH21" i="163"/>
  <c r="CH55" i="163"/>
  <c r="CH9" i="163"/>
  <c r="CH15" i="163"/>
  <c r="CH62" i="163"/>
  <c r="CH13" i="163"/>
  <c r="CH16" i="163"/>
  <c r="CH18" i="163"/>
  <c r="CH32" i="163"/>
  <c r="CH26" i="163"/>
  <c r="CH29" i="163"/>
  <c r="CH10" i="163"/>
  <c r="CH19" i="163"/>
  <c r="CH57" i="163"/>
  <c r="CH69" i="163"/>
  <c r="AI76" i="163"/>
  <c r="AI81" i="163"/>
  <c r="AI83" i="163" s="1"/>
  <c r="AI84" i="163" s="1"/>
  <c r="AI86" i="163" s="1"/>
  <c r="AI87" i="163" s="1"/>
  <c r="CJ76" i="163"/>
  <c r="CJ81" i="163"/>
  <c r="CJ83" i="163" s="1"/>
  <c r="BC81" i="163"/>
  <c r="BC83" i="163" s="1"/>
  <c r="BC84" i="163" s="1"/>
  <c r="BC86" i="163" s="1"/>
  <c r="BC87" i="163" s="1"/>
  <c r="BC76" i="163"/>
  <c r="AT49" i="163"/>
  <c r="AT58" i="163"/>
  <c r="AT28" i="163"/>
  <c r="AT11" i="163"/>
  <c r="AT62" i="163"/>
  <c r="AT53" i="163"/>
  <c r="AT33" i="163"/>
  <c r="AT29" i="163"/>
  <c r="AT24" i="163"/>
  <c r="AT70" i="163"/>
  <c r="AT59" i="163"/>
  <c r="AT25" i="163"/>
  <c r="AT31" i="163"/>
  <c r="AT27" i="163"/>
  <c r="AT71" i="163"/>
  <c r="AT68" i="163"/>
  <c r="AT30" i="163"/>
  <c r="AT23" i="163"/>
  <c r="AT56" i="163"/>
  <c r="AT55" i="163"/>
  <c r="AT36" i="163"/>
  <c r="AT66" i="163"/>
  <c r="AT26" i="163"/>
  <c r="AT32" i="163"/>
  <c r="AT9" i="163"/>
  <c r="AT64" i="163"/>
  <c r="AT60" i="163"/>
  <c r="AT51" i="163"/>
  <c r="AT18" i="163"/>
  <c r="AT21" i="163"/>
  <c r="AT13" i="163"/>
  <c r="AT42" i="163"/>
  <c r="AT15" i="163"/>
  <c r="AT22" i="163"/>
  <c r="AT47" i="163"/>
  <c r="AT52" i="163"/>
  <c r="AT45" i="163"/>
  <c r="AT46" i="163"/>
  <c r="AT17" i="163"/>
  <c r="AT65" i="163"/>
  <c r="AT44" i="163"/>
  <c r="AT63" i="163"/>
  <c r="AT57" i="163"/>
  <c r="AT16" i="163"/>
  <c r="AT19" i="163"/>
  <c r="AT10" i="163"/>
  <c r="AT48" i="163"/>
  <c r="AT12" i="163"/>
  <c r="AT43" i="163"/>
  <c r="AT14" i="163"/>
  <c r="AT20" i="163"/>
  <c r="AT61" i="163"/>
  <c r="AT67" i="163"/>
  <c r="AT69" i="163"/>
  <c r="BS70" i="163"/>
  <c r="BS66" i="163"/>
  <c r="BS60" i="163"/>
  <c r="BS51" i="163"/>
  <c r="BS49" i="163"/>
  <c r="BS47" i="163"/>
  <c r="BS43" i="163"/>
  <c r="BS36" i="163"/>
  <c r="BS56" i="163"/>
  <c r="BS45" i="163"/>
  <c r="BS69" i="163"/>
  <c r="BS52" i="163"/>
  <c r="BS24" i="163"/>
  <c r="BS18" i="163"/>
  <c r="BS53" i="163"/>
  <c r="BS44" i="163"/>
  <c r="BS21" i="163"/>
  <c r="BS27" i="163"/>
  <c r="BS25" i="163"/>
  <c r="BS15" i="163"/>
  <c r="BS71" i="163"/>
  <c r="BS46" i="163"/>
  <c r="BS31" i="163"/>
  <c r="BS64" i="163"/>
  <c r="BS42" i="163"/>
  <c r="BS19" i="163"/>
  <c r="BS29" i="163"/>
  <c r="BS28" i="163"/>
  <c r="BS13" i="163"/>
  <c r="BS48" i="163"/>
  <c r="BS12" i="163"/>
  <c r="BS16" i="163"/>
  <c r="BS57" i="163"/>
  <c r="BS11" i="163"/>
  <c r="BS58" i="163"/>
  <c r="BS32" i="163"/>
  <c r="BS62" i="163"/>
  <c r="BS67" i="163"/>
  <c r="BS68" i="163"/>
  <c r="BS33" i="163"/>
  <c r="BS65" i="163"/>
  <c r="BS63" i="163"/>
  <c r="BS14" i="163"/>
  <c r="BS20" i="163"/>
  <c r="BS61" i="163"/>
  <c r="BS9" i="163"/>
  <c r="BS22" i="163"/>
  <c r="BS30" i="163"/>
  <c r="BS55" i="163"/>
  <c r="BS23" i="163"/>
  <c r="BS26" i="163"/>
  <c r="BS10" i="163"/>
  <c r="BS17" i="163"/>
  <c r="BS59" i="163"/>
  <c r="AC86" i="163"/>
  <c r="AC87" i="163" s="1"/>
  <c r="X84" i="163"/>
  <c r="CR9" i="163"/>
  <c r="CQ8" i="163"/>
  <c r="CQ38" i="163" s="1"/>
  <c r="BX58" i="163"/>
  <c r="BX28" i="163"/>
  <c r="BX11" i="163"/>
  <c r="BX71" i="163"/>
  <c r="BX68" i="163"/>
  <c r="BX66" i="163"/>
  <c r="BX53" i="163"/>
  <c r="BX49" i="163"/>
  <c r="BX33" i="163"/>
  <c r="BX30" i="163"/>
  <c r="BX29" i="163"/>
  <c r="BX26" i="163"/>
  <c r="BX67" i="163"/>
  <c r="BX59" i="163"/>
  <c r="BX25" i="163"/>
  <c r="BX23" i="163"/>
  <c r="BX46" i="163"/>
  <c r="BX42" i="163"/>
  <c r="BX31" i="163"/>
  <c r="BX56" i="163"/>
  <c r="BX62" i="163"/>
  <c r="BX48" i="163"/>
  <c r="BX44" i="163"/>
  <c r="BX36" i="163"/>
  <c r="BX70" i="163"/>
  <c r="BX27" i="163"/>
  <c r="BX24" i="163"/>
  <c r="BX55" i="163"/>
  <c r="BX43" i="163"/>
  <c r="BX32" i="163"/>
  <c r="BX10" i="163"/>
  <c r="BX9" i="163"/>
  <c r="BX45" i="163"/>
  <c r="BX64" i="163"/>
  <c r="BX15" i="163"/>
  <c r="BX20" i="163"/>
  <c r="BX51" i="163"/>
  <c r="BX60" i="163"/>
  <c r="BX16" i="163"/>
  <c r="BX22" i="163"/>
  <c r="BX63" i="163"/>
  <c r="BX69" i="163"/>
  <c r="BX47" i="163"/>
  <c r="BX21" i="163"/>
  <c r="BX52" i="163"/>
  <c r="BX61" i="163"/>
  <c r="BX13" i="163"/>
  <c r="BX19" i="163"/>
  <c r="BX12" i="163"/>
  <c r="BX17" i="163"/>
  <c r="BX18" i="163"/>
  <c r="BX14" i="163"/>
  <c r="BX57" i="163"/>
  <c r="BX65" i="163"/>
  <c r="CJ84" i="163"/>
  <c r="CJ86" i="163" s="1"/>
  <c r="CJ87" i="163" s="1"/>
  <c r="P72" i="163"/>
  <c r="P66" i="163"/>
  <c r="P48" i="163"/>
  <c r="P47" i="163"/>
  <c r="P65" i="163"/>
  <c r="P36" i="163"/>
  <c r="T90" i="163"/>
  <c r="P85" i="163"/>
  <c r="P60" i="163"/>
  <c r="P45" i="163"/>
  <c r="P22" i="163"/>
  <c r="P18" i="163"/>
  <c r="P44" i="163"/>
  <c r="P42" i="163"/>
  <c r="P15" i="163"/>
  <c r="P46" i="163"/>
  <c r="P43" i="163"/>
  <c r="P21" i="163"/>
  <c r="P19" i="163"/>
  <c r="P53" i="163"/>
  <c r="P30" i="163"/>
  <c r="P56" i="163"/>
  <c r="P51" i="163"/>
  <c r="P25" i="163"/>
  <c r="P20" i="163"/>
  <c r="P13" i="163"/>
  <c r="P52" i="163"/>
  <c r="P63" i="163"/>
  <c r="P29" i="163"/>
  <c r="P17" i="163"/>
  <c r="P24" i="163"/>
  <c r="P33" i="163"/>
  <c r="P16" i="163"/>
  <c r="P12" i="163"/>
  <c r="P31" i="163"/>
  <c r="P68" i="163"/>
  <c r="P14" i="163"/>
  <c r="P26" i="163"/>
  <c r="P82" i="163"/>
  <c r="P58" i="163"/>
  <c r="P64" i="163"/>
  <c r="P70" i="163"/>
  <c r="P32" i="163"/>
  <c r="P71" i="163"/>
  <c r="P57" i="163"/>
  <c r="P55" i="163"/>
  <c r="P67" i="163"/>
  <c r="P59" i="163"/>
  <c r="P62" i="163"/>
  <c r="P11" i="163"/>
  <c r="P28" i="163"/>
  <c r="P23" i="163"/>
  <c r="P9" i="163"/>
  <c r="P69" i="163"/>
  <c r="P74" i="163"/>
  <c r="P78" i="163"/>
  <c r="P10" i="163"/>
  <c r="P27" i="163"/>
  <c r="P61" i="163"/>
  <c r="CL89" i="163"/>
  <c r="CM54" i="163" s="1"/>
  <c r="CL38" i="163"/>
  <c r="CQ39" i="163" l="1"/>
  <c r="CQ75" i="163"/>
  <c r="CT9" i="163"/>
  <c r="CR8" i="163"/>
  <c r="CR38" i="163" s="1"/>
  <c r="CM72" i="163"/>
  <c r="CM49" i="163"/>
  <c r="CM31" i="163"/>
  <c r="CM51" i="163"/>
  <c r="CM21" i="163"/>
  <c r="CM20" i="163"/>
  <c r="CM59" i="163"/>
  <c r="CM23" i="163"/>
  <c r="CM14" i="163"/>
  <c r="CM60" i="163"/>
  <c r="CM12" i="163"/>
  <c r="CM56" i="163"/>
  <c r="CM13" i="163"/>
  <c r="CM44" i="163"/>
  <c r="CM57" i="163"/>
  <c r="CM16" i="163"/>
  <c r="CM45" i="163"/>
  <c r="CM24" i="163"/>
  <c r="CM25" i="163"/>
  <c r="CM47" i="163"/>
  <c r="CM46" i="163"/>
  <c r="CM68" i="163"/>
  <c r="CM48" i="163"/>
  <c r="CM58" i="163"/>
  <c r="CM69" i="163"/>
  <c r="CM65" i="163"/>
  <c r="CM17" i="163"/>
  <c r="CM30" i="163"/>
  <c r="CM33" i="163"/>
  <c r="CM43" i="163"/>
  <c r="CM11" i="163"/>
  <c r="CM27" i="163"/>
  <c r="CM61" i="163"/>
  <c r="CM10" i="163"/>
  <c r="CM63" i="163"/>
  <c r="CM66" i="163"/>
  <c r="CM26" i="163"/>
  <c r="CM52" i="163"/>
  <c r="CM42" i="163"/>
  <c r="CM62" i="163"/>
  <c r="CM32" i="163"/>
  <c r="CM64" i="163"/>
  <c r="CM15" i="163"/>
  <c r="CM18" i="163"/>
  <c r="CM22" i="163"/>
  <c r="CM67" i="163"/>
  <c r="CM71" i="163"/>
  <c r="CM29" i="163"/>
  <c r="CM28" i="163"/>
  <c r="CM70" i="163"/>
  <c r="CM19" i="163"/>
  <c r="CM36" i="163"/>
  <c r="CM55" i="163"/>
  <c r="CM41" i="163"/>
  <c r="CM9" i="163"/>
  <c r="X86" i="163"/>
  <c r="CK84" i="163"/>
  <c r="CK86" i="163" s="1"/>
  <c r="CK87" i="163" s="1"/>
  <c r="CL75" i="163"/>
  <c r="CL39" i="163"/>
  <c r="CR39" i="163" l="1"/>
  <c r="CR75" i="163"/>
  <c r="CL81" i="163"/>
  <c r="CL83" i="163" s="1"/>
  <c r="CL84" i="163" s="1"/>
  <c r="CL86" i="163" s="1"/>
  <c r="CL87" i="163" s="1"/>
  <c r="CL76" i="163"/>
  <c r="CQ81" i="163"/>
  <c r="CQ83" i="163" s="1"/>
  <c r="CQ84" i="163" s="1"/>
  <c r="CQ86" i="163" s="1"/>
  <c r="CQ76" i="163"/>
  <c r="CR76" i="163" l="1"/>
  <c r="CR81" i="163"/>
  <c r="CR83" i="163" s="1"/>
  <c r="CR84" i="163" s="1"/>
  <c r="CR86" i="163"/>
  <c r="CQ87" i="163"/>
  <c r="AB63" i="101" l="1"/>
  <c r="AB58" i="101"/>
  <c r="AB55" i="101"/>
  <c r="AB46" i="101"/>
  <c r="AB45" i="101" l="1"/>
  <c r="M25" i="101" l="1"/>
  <c r="E25" i="101"/>
  <c r="AG79" i="167" l="1"/>
  <c r="AL79" i="159"/>
  <c r="AG79" i="159"/>
  <c r="AG79" i="171"/>
  <c r="AL79" i="158"/>
  <c r="AL79" i="162"/>
  <c r="AG79" i="162"/>
  <c r="AL79" i="161"/>
  <c r="AG79" i="161"/>
  <c r="AG79" i="164"/>
  <c r="AG77" i="171" l="1"/>
  <c r="AI79" i="171"/>
  <c r="W79" i="171"/>
  <c r="AG81" i="171"/>
  <c r="AG83" i="171" s="1"/>
  <c r="AG84" i="171" s="1"/>
  <c r="AG77" i="159"/>
  <c r="AI79" i="159"/>
  <c r="AG81" i="159"/>
  <c r="AG83" i="159" s="1"/>
  <c r="AG84" i="159" s="1"/>
  <c r="AG86" i="159" s="1"/>
  <c r="AG87" i="159" s="1"/>
  <c r="AN79" i="159"/>
  <c r="AL77" i="159"/>
  <c r="AL81" i="159"/>
  <c r="AL83" i="159" s="1"/>
  <c r="AL84" i="159" s="1"/>
  <c r="AL86" i="159" s="1"/>
  <c r="AL87" i="159" s="1"/>
  <c r="AL77" i="158"/>
  <c r="AN79" i="158"/>
  <c r="AL81" i="158"/>
  <c r="AL83" i="158" s="1"/>
  <c r="AL84" i="158" s="1"/>
  <c r="AL86" i="158" s="1"/>
  <c r="AL87" i="158" s="1"/>
  <c r="W79" i="167"/>
  <c r="AI79" i="167"/>
  <c r="AG77" i="167"/>
  <c r="AG81" i="167"/>
  <c r="AG83" i="167" s="1"/>
  <c r="AG84" i="167" s="1"/>
  <c r="AG77" i="161"/>
  <c r="AI79" i="161"/>
  <c r="AG81" i="161"/>
  <c r="AG83" i="161" s="1"/>
  <c r="AG84" i="161" s="1"/>
  <c r="AG86" i="161" s="1"/>
  <c r="AG87" i="161" s="1"/>
  <c r="AG77" i="162"/>
  <c r="AI79" i="162"/>
  <c r="AG81" i="162"/>
  <c r="AG83" i="162" s="1"/>
  <c r="AG84" i="162" s="1"/>
  <c r="AG86" i="162" s="1"/>
  <c r="AG87" i="162" s="1"/>
  <c r="AN79" i="162"/>
  <c r="AL77" i="162"/>
  <c r="AL81" i="162"/>
  <c r="AL83" i="162" s="1"/>
  <c r="AL84" i="162" s="1"/>
  <c r="AL86" i="162" s="1"/>
  <c r="AL87" i="162" s="1"/>
  <c r="AL77" i="161"/>
  <c r="AN79" i="161"/>
  <c r="AL81" i="161"/>
  <c r="AL83" i="161" s="1"/>
  <c r="AL84" i="161" s="1"/>
  <c r="AL86" i="161" s="1"/>
  <c r="AL87" i="161" s="1"/>
  <c r="AI79" i="164"/>
  <c r="AG77" i="164"/>
  <c r="AG81" i="164"/>
  <c r="AG83" i="164" s="1"/>
  <c r="AG84" i="164" s="1"/>
  <c r="AG86" i="164" s="1"/>
  <c r="AG87" i="164" s="1"/>
  <c r="AI77" i="167" l="1"/>
  <c r="AI89" i="167"/>
  <c r="AI81" i="167"/>
  <c r="AI83" i="167" s="1"/>
  <c r="AI84" i="167" s="1"/>
  <c r="AI86" i="167" s="1"/>
  <c r="AI87" i="167" s="1"/>
  <c r="AG86" i="171"/>
  <c r="AG87" i="171" s="1"/>
  <c r="W84" i="171"/>
  <c r="CJ79" i="167"/>
  <c r="Y79" i="167"/>
  <c r="W77" i="167"/>
  <c r="W81" i="167"/>
  <c r="W83" i="167" s="1"/>
  <c r="Y79" i="171"/>
  <c r="W77" i="171"/>
  <c r="CJ79" i="171"/>
  <c r="W81" i="171"/>
  <c r="W83" i="171" s="1"/>
  <c r="AG86" i="167"/>
  <c r="AG87" i="167" s="1"/>
  <c r="W84" i="167"/>
  <c r="AI77" i="159"/>
  <c r="AI89" i="159"/>
  <c r="AI81" i="159"/>
  <c r="AI83" i="159" s="1"/>
  <c r="AI84" i="159" s="1"/>
  <c r="AI86" i="159" s="1"/>
  <c r="AI87" i="159" s="1"/>
  <c r="AI77" i="171"/>
  <c r="AI89" i="171"/>
  <c r="AI81" i="171"/>
  <c r="AI83" i="171" s="1"/>
  <c r="AI84" i="171" s="1"/>
  <c r="AI86" i="171" s="1"/>
  <c r="AI87" i="171" s="1"/>
  <c r="AN77" i="158"/>
  <c r="AN89" i="158"/>
  <c r="AN81" i="158"/>
  <c r="AN83" i="158" s="1"/>
  <c r="AN84" i="158" s="1"/>
  <c r="AN86" i="158" s="1"/>
  <c r="AN87" i="158" s="1"/>
  <c r="AN77" i="159"/>
  <c r="AN89" i="159"/>
  <c r="AN81" i="159"/>
  <c r="AN83" i="159" s="1"/>
  <c r="AN84" i="159" s="1"/>
  <c r="AN86" i="159" s="1"/>
  <c r="AN87" i="159" s="1"/>
  <c r="AN89" i="161"/>
  <c r="AN81" i="161"/>
  <c r="AN83" i="161" s="1"/>
  <c r="AN84" i="161" s="1"/>
  <c r="AN86" i="161" s="1"/>
  <c r="AN87" i="161" s="1"/>
  <c r="AN77" i="161"/>
  <c r="AN77" i="162"/>
  <c r="AN89" i="162"/>
  <c r="AN81" i="162"/>
  <c r="AN83" i="162" s="1"/>
  <c r="AN84" i="162" s="1"/>
  <c r="AN86" i="162" s="1"/>
  <c r="AN87" i="162" s="1"/>
  <c r="AI77" i="161"/>
  <c r="AI89" i="161"/>
  <c r="AI81" i="161"/>
  <c r="AI83" i="161" s="1"/>
  <c r="AI84" i="161" s="1"/>
  <c r="AI86" i="161" s="1"/>
  <c r="AI87" i="161" s="1"/>
  <c r="AI77" i="162"/>
  <c r="AI89" i="162"/>
  <c r="AI81" i="162"/>
  <c r="AI83" i="162" s="1"/>
  <c r="AI84" i="162" s="1"/>
  <c r="AI86" i="162" s="1"/>
  <c r="AI87" i="162" s="1"/>
  <c r="AI77" i="164"/>
  <c r="AI89" i="164"/>
  <c r="AI81" i="164"/>
  <c r="AI83" i="164" s="1"/>
  <c r="AI84" i="164" s="1"/>
  <c r="AI86" i="164" s="1"/>
  <c r="AI87" i="164" s="1"/>
  <c r="CK95" i="131"/>
  <c r="AJ48" i="171" l="1"/>
  <c r="AJ56" i="171"/>
  <c r="AJ42" i="171"/>
  <c r="AJ45" i="171"/>
  <c r="AJ49" i="171"/>
  <c r="AJ11" i="171"/>
  <c r="AJ19" i="171"/>
  <c r="AJ10" i="171"/>
  <c r="AJ14" i="171"/>
  <c r="AJ57" i="171"/>
  <c r="AJ13" i="171"/>
  <c r="AJ29" i="171"/>
  <c r="AJ23" i="171"/>
  <c r="AJ46" i="171"/>
  <c r="AJ68" i="171"/>
  <c r="AJ30" i="171"/>
  <c r="AJ28" i="171"/>
  <c r="AJ25" i="171"/>
  <c r="AJ9" i="171"/>
  <c r="AJ51" i="171"/>
  <c r="AJ27" i="171"/>
  <c r="AJ17" i="171"/>
  <c r="AJ66" i="171"/>
  <c r="AJ16" i="171"/>
  <c r="AJ12" i="171"/>
  <c r="AJ24" i="171"/>
  <c r="AJ53" i="171"/>
  <c r="AJ70" i="171"/>
  <c r="AJ61" i="171"/>
  <c r="AJ55" i="171"/>
  <c r="AJ62" i="171"/>
  <c r="AJ36" i="171"/>
  <c r="AJ67" i="171"/>
  <c r="AJ22" i="171"/>
  <c r="AJ63" i="171"/>
  <c r="AJ18" i="171"/>
  <c r="AJ71" i="171"/>
  <c r="AJ60" i="171"/>
  <c r="AJ15" i="171"/>
  <c r="AJ59" i="171"/>
  <c r="AJ64" i="171"/>
  <c r="AJ58" i="171"/>
  <c r="AJ44" i="171"/>
  <c r="AJ47" i="171"/>
  <c r="AJ43" i="171"/>
  <c r="AJ20" i="171"/>
  <c r="AJ33" i="171"/>
  <c r="AJ21" i="171"/>
  <c r="AJ69" i="171"/>
  <c r="AJ31" i="171"/>
  <c r="AJ52" i="171"/>
  <c r="AJ32" i="171"/>
  <c r="AJ26" i="171"/>
  <c r="AJ65" i="171"/>
  <c r="CL79" i="171"/>
  <c r="CJ77" i="171"/>
  <c r="CJ81" i="171"/>
  <c r="CJ83" i="171" s="1"/>
  <c r="AO68" i="158"/>
  <c r="AO47" i="158"/>
  <c r="AO14" i="158"/>
  <c r="AO12" i="158"/>
  <c r="AO59" i="158"/>
  <c r="AO29" i="158"/>
  <c r="AO43" i="158"/>
  <c r="AO64" i="158"/>
  <c r="AO67" i="158"/>
  <c r="AO15" i="158"/>
  <c r="AO60" i="158"/>
  <c r="AO57" i="158"/>
  <c r="AO32" i="158"/>
  <c r="AO27" i="158"/>
  <c r="AO62" i="158"/>
  <c r="AO25" i="158"/>
  <c r="AO16" i="158"/>
  <c r="AO20" i="158"/>
  <c r="AO61" i="158"/>
  <c r="AO19" i="158"/>
  <c r="AO42" i="158"/>
  <c r="AO58" i="158"/>
  <c r="AO22" i="158"/>
  <c r="AO13" i="158"/>
  <c r="AO56" i="158"/>
  <c r="AO21" i="158"/>
  <c r="AO69" i="158"/>
  <c r="AO49" i="158"/>
  <c r="AO18" i="158"/>
  <c r="AO17" i="158"/>
  <c r="AO36" i="158"/>
  <c r="AO23" i="158"/>
  <c r="AO46" i="158"/>
  <c r="AO52" i="158"/>
  <c r="AO65" i="158"/>
  <c r="AO44" i="158"/>
  <c r="AO55" i="158"/>
  <c r="AO66" i="158"/>
  <c r="AO9" i="158"/>
  <c r="AO31" i="158"/>
  <c r="AO63" i="158"/>
  <c r="AO53" i="158"/>
  <c r="AO24" i="158"/>
  <c r="AO30" i="158"/>
  <c r="AO45" i="158"/>
  <c r="AO10" i="158"/>
  <c r="AO48" i="158"/>
  <c r="AO51" i="158"/>
  <c r="AO28" i="158"/>
  <c r="AO26" i="158"/>
  <c r="AO70" i="158"/>
  <c r="AO71" i="158"/>
  <c r="AO11" i="158"/>
  <c r="AO33" i="158"/>
  <c r="W86" i="167"/>
  <c r="CJ84" i="167"/>
  <c r="CJ86" i="167" s="1"/>
  <c r="CJ87" i="167" s="1"/>
  <c r="Y77" i="167"/>
  <c r="Y89" i="167"/>
  <c r="Y81" i="167"/>
  <c r="Y83" i="167" s="1"/>
  <c r="Y84" i="167" s="1"/>
  <c r="Y86" i="167" s="1"/>
  <c r="AO62" i="159"/>
  <c r="AO49" i="159"/>
  <c r="AO61" i="159"/>
  <c r="AO46" i="159"/>
  <c r="AO24" i="159"/>
  <c r="AO30" i="159"/>
  <c r="AO13" i="159"/>
  <c r="AO19" i="159"/>
  <c r="AO21" i="159"/>
  <c r="AO43" i="159"/>
  <c r="AO14" i="159"/>
  <c r="AO70" i="159"/>
  <c r="AO12" i="159"/>
  <c r="AO71" i="159"/>
  <c r="AO63" i="159"/>
  <c r="AO60" i="159"/>
  <c r="AO42" i="159"/>
  <c r="AO29" i="159"/>
  <c r="AO23" i="159"/>
  <c r="AO26" i="159"/>
  <c r="AO69" i="159"/>
  <c r="AO36" i="159"/>
  <c r="AO67" i="159"/>
  <c r="AO45" i="159"/>
  <c r="AO18" i="159"/>
  <c r="AO68" i="159"/>
  <c r="AO27" i="159"/>
  <c r="AO59" i="159"/>
  <c r="AO58" i="159"/>
  <c r="AO64" i="159"/>
  <c r="AO31" i="159"/>
  <c r="AO11" i="159"/>
  <c r="AO44" i="159"/>
  <c r="AO51" i="159"/>
  <c r="AO17" i="159"/>
  <c r="AO28" i="159"/>
  <c r="AO15" i="159"/>
  <c r="AO32" i="159"/>
  <c r="AO25" i="159"/>
  <c r="AO48" i="159"/>
  <c r="AO65" i="159"/>
  <c r="AO57" i="159"/>
  <c r="AO53" i="159"/>
  <c r="AO52" i="159"/>
  <c r="AO47" i="159"/>
  <c r="AO9" i="159"/>
  <c r="AO20" i="159"/>
  <c r="AO16" i="159"/>
  <c r="AO10" i="159"/>
  <c r="AO55" i="159"/>
  <c r="AO33" i="159"/>
  <c r="AO56" i="159"/>
  <c r="AO22" i="159"/>
  <c r="AO66" i="159"/>
  <c r="Y77" i="171"/>
  <c r="Y81" i="171"/>
  <c r="Y83" i="171" s="1"/>
  <c r="Y84" i="171" s="1"/>
  <c r="Y86" i="171" s="1"/>
  <c r="Y89" i="171"/>
  <c r="CL79" i="167"/>
  <c r="CJ77" i="167"/>
  <c r="CJ81" i="167"/>
  <c r="CJ83" i="167" s="1"/>
  <c r="AJ53" i="167"/>
  <c r="AJ65" i="167"/>
  <c r="AJ58" i="167"/>
  <c r="AJ62" i="167"/>
  <c r="AJ24" i="167"/>
  <c r="AJ25" i="167"/>
  <c r="AJ10" i="167"/>
  <c r="AJ51" i="167"/>
  <c r="AJ48" i="167"/>
  <c r="AJ57" i="167"/>
  <c r="AJ12" i="167"/>
  <c r="AJ43" i="167"/>
  <c r="AJ11" i="167"/>
  <c r="AJ69" i="167"/>
  <c r="AJ70" i="167"/>
  <c r="AJ61" i="167"/>
  <c r="AJ55" i="167"/>
  <c r="AJ32" i="167"/>
  <c r="AJ36" i="167"/>
  <c r="AJ21" i="167"/>
  <c r="AJ33" i="167"/>
  <c r="AJ28" i="167"/>
  <c r="AJ60" i="167"/>
  <c r="AJ30" i="167"/>
  <c r="AJ44" i="167"/>
  <c r="AJ19" i="167"/>
  <c r="AJ17" i="167"/>
  <c r="AJ66" i="167"/>
  <c r="AJ68" i="167"/>
  <c r="AJ56" i="167"/>
  <c r="AJ71" i="167"/>
  <c r="AJ23" i="167"/>
  <c r="AJ29" i="167"/>
  <c r="AJ16" i="167"/>
  <c r="AJ31" i="167"/>
  <c r="AJ45" i="167"/>
  <c r="AJ13" i="167"/>
  <c r="AJ22" i="167"/>
  <c r="AJ15" i="167"/>
  <c r="AJ46" i="167"/>
  <c r="AJ26" i="167"/>
  <c r="AJ63" i="167"/>
  <c r="AJ67" i="167"/>
  <c r="AJ59" i="167"/>
  <c r="AJ64" i="167"/>
  <c r="AJ49" i="167"/>
  <c r="AJ18" i="167"/>
  <c r="AJ20" i="167"/>
  <c r="AJ47" i="167"/>
  <c r="AJ9" i="167"/>
  <c r="AJ14" i="167"/>
  <c r="AJ52" i="167"/>
  <c r="AJ42" i="167"/>
  <c r="AJ27" i="167"/>
  <c r="AJ57" i="159"/>
  <c r="AJ10" i="159"/>
  <c r="AJ58" i="159"/>
  <c r="AJ24" i="159"/>
  <c r="AJ68" i="159"/>
  <c r="AJ61" i="159"/>
  <c r="AJ56" i="159"/>
  <c r="AJ47" i="159"/>
  <c r="AJ45" i="159"/>
  <c r="AJ26" i="159"/>
  <c r="AJ16" i="159"/>
  <c r="AJ15" i="159"/>
  <c r="AJ20" i="159"/>
  <c r="AJ63" i="159"/>
  <c r="AJ64" i="159"/>
  <c r="AJ67" i="159"/>
  <c r="AJ60" i="159"/>
  <c r="AJ55" i="159"/>
  <c r="AJ44" i="159"/>
  <c r="AJ43" i="159"/>
  <c r="AJ51" i="159"/>
  <c r="AJ13" i="159"/>
  <c r="AJ12" i="159"/>
  <c r="AJ17" i="159"/>
  <c r="AJ29" i="159"/>
  <c r="AJ11" i="159"/>
  <c r="AJ70" i="159"/>
  <c r="AJ66" i="159"/>
  <c r="AJ59" i="159"/>
  <c r="AJ49" i="159"/>
  <c r="AJ46" i="159"/>
  <c r="AJ36" i="159"/>
  <c r="AJ22" i="159"/>
  <c r="AJ21" i="159"/>
  <c r="AJ25" i="159"/>
  <c r="AJ14" i="159"/>
  <c r="AJ42" i="159"/>
  <c r="AJ71" i="159"/>
  <c r="AJ9" i="159"/>
  <c r="AJ69" i="159"/>
  <c r="AJ62" i="159"/>
  <c r="AJ53" i="159"/>
  <c r="AJ52" i="159"/>
  <c r="AJ32" i="159"/>
  <c r="AJ33" i="159"/>
  <c r="AJ19" i="159"/>
  <c r="AJ18" i="159"/>
  <c r="AJ48" i="159"/>
  <c r="AJ65" i="159"/>
  <c r="AJ28" i="159"/>
  <c r="AJ31" i="159"/>
  <c r="AJ27" i="159"/>
  <c r="AJ23" i="159"/>
  <c r="AJ30" i="159"/>
  <c r="CJ84" i="171"/>
  <c r="CJ86" i="171" s="1"/>
  <c r="CJ87" i="171" s="1"/>
  <c r="W86" i="171"/>
  <c r="AJ62" i="161"/>
  <c r="AJ56" i="161"/>
  <c r="AJ22" i="161"/>
  <c r="AJ16" i="161"/>
  <c r="AJ10" i="161"/>
  <c r="AJ44" i="161"/>
  <c r="AJ32" i="161"/>
  <c r="AJ30" i="161"/>
  <c r="AJ25" i="161"/>
  <c r="AJ11" i="161"/>
  <c r="AJ71" i="161"/>
  <c r="AJ61" i="161"/>
  <c r="AJ55" i="161"/>
  <c r="AJ21" i="161"/>
  <c r="AJ15" i="161"/>
  <c r="AJ65" i="161"/>
  <c r="AJ33" i="161"/>
  <c r="AJ42" i="161"/>
  <c r="AJ45" i="161"/>
  <c r="AJ28" i="161"/>
  <c r="AJ64" i="161"/>
  <c r="AJ68" i="161"/>
  <c r="AJ60" i="161"/>
  <c r="AJ49" i="161"/>
  <c r="AJ20" i="161"/>
  <c r="AJ14" i="161"/>
  <c r="AJ52" i="161"/>
  <c r="AJ27" i="161"/>
  <c r="AJ29" i="161"/>
  <c r="AJ63" i="161"/>
  <c r="AJ43" i="161"/>
  <c r="AJ17" i="161"/>
  <c r="AJ53" i="161"/>
  <c r="AJ59" i="161"/>
  <c r="AJ66" i="161"/>
  <c r="AJ19" i="161"/>
  <c r="AJ13" i="161"/>
  <c r="AJ24" i="161"/>
  <c r="AJ36" i="161"/>
  <c r="AJ51" i="161"/>
  <c r="AJ67" i="161"/>
  <c r="AJ23" i="161"/>
  <c r="AJ9" i="161"/>
  <c r="AJ70" i="161"/>
  <c r="AJ58" i="161"/>
  <c r="AJ46" i="161"/>
  <c r="AJ18" i="161"/>
  <c r="AJ12" i="161"/>
  <c r="AJ26" i="161"/>
  <c r="AJ31" i="161"/>
  <c r="AJ69" i="161"/>
  <c r="AJ48" i="161"/>
  <c r="AJ57" i="161"/>
  <c r="AJ47" i="161"/>
  <c r="AJ68" i="162"/>
  <c r="AJ58" i="162"/>
  <c r="AJ44" i="162"/>
  <c r="AJ42" i="162"/>
  <c r="AJ32" i="162"/>
  <c r="AJ62" i="162"/>
  <c r="AJ21" i="162"/>
  <c r="AJ20" i="162"/>
  <c r="AJ53" i="162"/>
  <c r="AJ55" i="162"/>
  <c r="AJ70" i="162"/>
  <c r="AJ33" i="162"/>
  <c r="AJ30" i="162"/>
  <c r="AJ56" i="162"/>
  <c r="AJ28" i="162"/>
  <c r="AJ17" i="162"/>
  <c r="AJ61" i="162"/>
  <c r="AJ43" i="162"/>
  <c r="AJ12" i="162"/>
  <c r="AJ67" i="162"/>
  <c r="AJ48" i="162"/>
  <c r="AJ69" i="162"/>
  <c r="AJ31" i="162"/>
  <c r="AJ63" i="162"/>
  <c r="AJ57" i="162"/>
  <c r="AJ15" i="162"/>
  <c r="AJ22" i="162"/>
  <c r="AJ14" i="162"/>
  <c r="AJ13" i="162"/>
  <c r="AJ49" i="162"/>
  <c r="AJ47" i="162"/>
  <c r="AJ36" i="162"/>
  <c r="AJ29" i="162"/>
  <c r="AJ24" i="162"/>
  <c r="AJ23" i="162"/>
  <c r="AJ19" i="162"/>
  <c r="AJ25" i="162"/>
  <c r="AJ71" i="162"/>
  <c r="AJ59" i="162"/>
  <c r="AJ64" i="162"/>
  <c r="AJ46" i="162"/>
  <c r="AJ60" i="162"/>
  <c r="AJ65" i="162"/>
  <c r="AJ52" i="162"/>
  <c r="AJ11" i="162"/>
  <c r="AJ9" i="162"/>
  <c r="AJ18" i="162"/>
  <c r="AJ45" i="162"/>
  <c r="AJ66" i="162"/>
  <c r="AJ16" i="162"/>
  <c r="AJ51" i="162"/>
  <c r="AJ27" i="162"/>
  <c r="AJ10" i="162"/>
  <c r="AJ26" i="162"/>
  <c r="AO53" i="161"/>
  <c r="AO64" i="161"/>
  <c r="AO68" i="161"/>
  <c r="AO22" i="161"/>
  <c r="AO21" i="161"/>
  <c r="AO61" i="161"/>
  <c r="AO55" i="161"/>
  <c r="AO29" i="161"/>
  <c r="AO44" i="161"/>
  <c r="AO59" i="161"/>
  <c r="AO52" i="161"/>
  <c r="AO71" i="161"/>
  <c r="AO26" i="161"/>
  <c r="AO20" i="161"/>
  <c r="AO19" i="161"/>
  <c r="AO25" i="161"/>
  <c r="AO62" i="161"/>
  <c r="AO32" i="161"/>
  <c r="AO46" i="161"/>
  <c r="AO10" i="161"/>
  <c r="AO51" i="161"/>
  <c r="AO65" i="161"/>
  <c r="AO24" i="161"/>
  <c r="AO18" i="161"/>
  <c r="AO17" i="161"/>
  <c r="AO58" i="161"/>
  <c r="AO57" i="161"/>
  <c r="AO36" i="161"/>
  <c r="AO33" i="161"/>
  <c r="AO11" i="161"/>
  <c r="AO48" i="161"/>
  <c r="AO66" i="161"/>
  <c r="AO9" i="161"/>
  <c r="AO16" i="161"/>
  <c r="AO15" i="161"/>
  <c r="AO60" i="161"/>
  <c r="AO30" i="161"/>
  <c r="AO56" i="161"/>
  <c r="AO43" i="161"/>
  <c r="AO69" i="161"/>
  <c r="AO47" i="161"/>
  <c r="AO49" i="161"/>
  <c r="AO23" i="161"/>
  <c r="AO14" i="161"/>
  <c r="AO13" i="161"/>
  <c r="AO28" i="161"/>
  <c r="AO42" i="161"/>
  <c r="AO27" i="161"/>
  <c r="AO63" i="161"/>
  <c r="AO70" i="161"/>
  <c r="AO67" i="161"/>
  <c r="AO12" i="161"/>
  <c r="AO45" i="161"/>
  <c r="AO31" i="161"/>
  <c r="AO53" i="162"/>
  <c r="AO30" i="162"/>
  <c r="AO33" i="162"/>
  <c r="AO21" i="162"/>
  <c r="AO16" i="162"/>
  <c r="AO70" i="162"/>
  <c r="AO25" i="162"/>
  <c r="AO52" i="162"/>
  <c r="AO17" i="162"/>
  <c r="AO49" i="162"/>
  <c r="AO27" i="162"/>
  <c r="AO31" i="162"/>
  <c r="AO11" i="162"/>
  <c r="AO24" i="162"/>
  <c r="AO71" i="162"/>
  <c r="AO57" i="162"/>
  <c r="AO64" i="162"/>
  <c r="AO15" i="162"/>
  <c r="AO47" i="162"/>
  <c r="AO28" i="162"/>
  <c r="AO29" i="162"/>
  <c r="AO22" i="162"/>
  <c r="AO13" i="162"/>
  <c r="AO51" i="162"/>
  <c r="AO69" i="162"/>
  <c r="AO14" i="162"/>
  <c r="AO36" i="162"/>
  <c r="AO45" i="162"/>
  <c r="AO48" i="162"/>
  <c r="AO23" i="162"/>
  <c r="AO20" i="162"/>
  <c r="AO59" i="162"/>
  <c r="AO56" i="162"/>
  <c r="AO68" i="162"/>
  <c r="AO65" i="162"/>
  <c r="AO62" i="162"/>
  <c r="AO43" i="162"/>
  <c r="AO46" i="162"/>
  <c r="AO19" i="162"/>
  <c r="AO42" i="162"/>
  <c r="AO63" i="162"/>
  <c r="AO60" i="162"/>
  <c r="AO12" i="162"/>
  <c r="AO55" i="162"/>
  <c r="AO66" i="162"/>
  <c r="AO9" i="162"/>
  <c r="AO58" i="162"/>
  <c r="AO44" i="162"/>
  <c r="AO10" i="162"/>
  <c r="AO67" i="162"/>
  <c r="AO18" i="162"/>
  <c r="AO61" i="162"/>
  <c r="AO32" i="162"/>
  <c r="AO26" i="162"/>
  <c r="AJ70" i="164"/>
  <c r="AJ63" i="164"/>
  <c r="AJ45" i="164"/>
  <c r="AJ48" i="164"/>
  <c r="AJ9" i="164"/>
  <c r="AJ32" i="164"/>
  <c r="AJ18" i="164"/>
  <c r="AJ16" i="164"/>
  <c r="AJ58" i="164"/>
  <c r="AJ67" i="164"/>
  <c r="AJ61" i="164"/>
  <c r="AJ43" i="164"/>
  <c r="AJ30" i="164"/>
  <c r="AJ33" i="164"/>
  <c r="AJ26" i="164"/>
  <c r="AJ10" i="164"/>
  <c r="AJ19" i="164"/>
  <c r="AJ36" i="164"/>
  <c r="AJ71" i="164"/>
  <c r="AJ64" i="164"/>
  <c r="AJ66" i="164"/>
  <c r="AJ24" i="164"/>
  <c r="AJ27" i="164"/>
  <c r="AJ52" i="164"/>
  <c r="AJ17" i="164"/>
  <c r="AJ12" i="164"/>
  <c r="AJ59" i="164"/>
  <c r="AJ68" i="164"/>
  <c r="AJ51" i="164"/>
  <c r="AJ55" i="164"/>
  <c r="AJ29" i="164"/>
  <c r="AJ11" i="164"/>
  <c r="AJ46" i="164"/>
  <c r="AJ60" i="164"/>
  <c r="AJ13" i="164"/>
  <c r="AJ20" i="164"/>
  <c r="AJ53" i="164"/>
  <c r="AJ47" i="164"/>
  <c r="AJ42" i="164"/>
  <c r="AJ28" i="164"/>
  <c r="AJ44" i="164"/>
  <c r="AJ25" i="164"/>
  <c r="AJ14" i="164"/>
  <c r="AJ21" i="164"/>
  <c r="AJ57" i="164"/>
  <c r="AJ69" i="164"/>
  <c r="AJ56" i="164"/>
  <c r="AJ23" i="164"/>
  <c r="AJ62" i="164"/>
  <c r="AJ31" i="164"/>
  <c r="AJ65" i="164"/>
  <c r="AJ15" i="164"/>
  <c r="AJ22" i="164"/>
  <c r="AJ49" i="164"/>
  <c r="CH95" i="131"/>
  <c r="CL89" i="167" l="1"/>
  <c r="CQ79" i="167"/>
  <c r="CL77" i="167"/>
  <c r="CL81" i="167"/>
  <c r="CL83" i="167" s="1"/>
  <c r="CL84" i="167" s="1"/>
  <c r="CL86" i="167" s="1"/>
  <c r="CL87" i="167" s="1"/>
  <c r="CL89" i="171"/>
  <c r="CL90" i="171" s="1"/>
  <c r="CQ79" i="171"/>
  <c r="CL77" i="171"/>
  <c r="CL81" i="171"/>
  <c r="CL83" i="171" s="1"/>
  <c r="CL84" i="171" s="1"/>
  <c r="CL86" i="171" s="1"/>
  <c r="CL87" i="171" s="1"/>
  <c r="CQ77" i="171" l="1"/>
  <c r="CR79" i="171"/>
  <c r="CR81" i="171" s="1"/>
  <c r="CR83" i="171" s="1"/>
  <c r="CR84" i="171" s="1"/>
  <c r="CQ81" i="171"/>
  <c r="CQ83" i="171" s="1"/>
  <c r="CQ84" i="171" s="1"/>
  <c r="CQ86" i="171" s="1"/>
  <c r="CR79" i="167"/>
  <c r="CR81" i="167" s="1"/>
  <c r="CR83" i="167" s="1"/>
  <c r="CR84" i="167" s="1"/>
  <c r="CQ77" i="167"/>
  <c r="CQ81" i="167"/>
  <c r="CQ83" i="167" s="1"/>
  <c r="CQ84" i="167" s="1"/>
  <c r="CQ86" i="167" s="1"/>
  <c r="CM69" i="171"/>
  <c r="CM65" i="171"/>
  <c r="CM12" i="171"/>
  <c r="CM56" i="171"/>
  <c r="CM23" i="171"/>
  <c r="CM15" i="171"/>
  <c r="CM29" i="171"/>
  <c r="CM67" i="171"/>
  <c r="CM18" i="171"/>
  <c r="CM46" i="171"/>
  <c r="CM44" i="171"/>
  <c r="CM61" i="171"/>
  <c r="CM55" i="171"/>
  <c r="CM72" i="171"/>
  <c r="CM63" i="171"/>
  <c r="CM13" i="171"/>
  <c r="CM16" i="171"/>
  <c r="CM14" i="171"/>
  <c r="CM30" i="171"/>
  <c r="CM59" i="171"/>
  <c r="CM43" i="171"/>
  <c r="CM71" i="171"/>
  <c r="CM33" i="171"/>
  <c r="CM28" i="171"/>
  <c r="CM19" i="171"/>
  <c r="CM51" i="171"/>
  <c r="CM24" i="171"/>
  <c r="CM54" i="171"/>
  <c r="CM49" i="171"/>
  <c r="CM57" i="171"/>
  <c r="CM17" i="171"/>
  <c r="CM60" i="171"/>
  <c r="CM31" i="171"/>
  <c r="CM25" i="171"/>
  <c r="CM64" i="171"/>
  <c r="CM26" i="171"/>
  <c r="CM70" i="171"/>
  <c r="CM48" i="171"/>
  <c r="CM45" i="171"/>
  <c r="CM27" i="171"/>
  <c r="CM36" i="171"/>
  <c r="CM42" i="171"/>
  <c r="CM41" i="171"/>
  <c r="CM47" i="171"/>
  <c r="CM32" i="171"/>
  <c r="CM66" i="171"/>
  <c r="CM52" i="171"/>
  <c r="CM68" i="171"/>
  <c r="CM58" i="171"/>
  <c r="CM21" i="171"/>
  <c r="CM10" i="171"/>
  <c r="CM22" i="171"/>
  <c r="CM11" i="171"/>
  <c r="CM20" i="171"/>
  <c r="CM62" i="171"/>
  <c r="CM9" i="171"/>
  <c r="CM55" i="167"/>
  <c r="CM72" i="167"/>
  <c r="CM14" i="167"/>
  <c r="CM71" i="167"/>
  <c r="CM13" i="167"/>
  <c r="CM27" i="167"/>
  <c r="CM46" i="167"/>
  <c r="CM20" i="167"/>
  <c r="CM59" i="167"/>
  <c r="CM17" i="167"/>
  <c r="CM43" i="167"/>
  <c r="CM30" i="167"/>
  <c r="CM67" i="167"/>
  <c r="CM45" i="167"/>
  <c r="CM36" i="167"/>
  <c r="CM49" i="167"/>
  <c r="CM24" i="167"/>
  <c r="CM32" i="167"/>
  <c r="CM19" i="167"/>
  <c r="CM48" i="167"/>
  <c r="CM56" i="167"/>
  <c r="CM23" i="167"/>
  <c r="CM68" i="167"/>
  <c r="CM70" i="167"/>
  <c r="CM60" i="167"/>
  <c r="CM22" i="167"/>
  <c r="CM63" i="167"/>
  <c r="CM12" i="167"/>
  <c r="CM41" i="167"/>
  <c r="CM54" i="167"/>
  <c r="CM57" i="167"/>
  <c r="CM44" i="167"/>
  <c r="CM62" i="167"/>
  <c r="CM10" i="167"/>
  <c r="CM66" i="167"/>
  <c r="CM15" i="167"/>
  <c r="CM29" i="167"/>
  <c r="CM9" i="167"/>
  <c r="CM21" i="167"/>
  <c r="CM25" i="167"/>
  <c r="CM26" i="167"/>
  <c r="CM18" i="167"/>
  <c r="CM33" i="167"/>
  <c r="CM16" i="167"/>
  <c r="CM11" i="167"/>
  <c r="CM65" i="167"/>
  <c r="CM69" i="167"/>
  <c r="CM51" i="167"/>
  <c r="CM28" i="167"/>
  <c r="CM52" i="167"/>
  <c r="CM61" i="167"/>
  <c r="CM31" i="167"/>
  <c r="CM47" i="167"/>
  <c r="CM58" i="167"/>
  <c r="CM64" i="167"/>
  <c r="CM42" i="167"/>
  <c r="CL90" i="167"/>
  <c r="CQ87" i="171" l="1"/>
  <c r="CR86" i="171"/>
  <c r="CT86" i="171" s="1"/>
  <c r="CR86" i="167"/>
  <c r="CW86" i="167" s="1"/>
  <c r="CQ87" i="167"/>
  <c r="I24" i="101" l="1"/>
  <c r="I25" i="101" l="1"/>
  <c r="CM26" i="131" l="1"/>
  <c r="CC85" i="131"/>
  <c r="BX85" i="131"/>
  <c r="BS85" i="131"/>
  <c r="BN85" i="131"/>
  <c r="BI85" i="131"/>
  <c r="BD85" i="131"/>
  <c r="AY85" i="131"/>
  <c r="AT85" i="131"/>
  <c r="AO85" i="131"/>
  <c r="AJ85" i="131"/>
  <c r="AE85" i="131"/>
  <c r="Z85" i="131"/>
  <c r="S85" i="131"/>
  <c r="CG85" i="131" s="1"/>
  <c r="R85" i="131"/>
  <c r="CF85" i="131" s="1"/>
  <c r="CH85" i="131" s="1"/>
  <c r="O85" i="131"/>
  <c r="J85" i="131"/>
  <c r="E85" i="131"/>
  <c r="CC82" i="131"/>
  <c r="BX82" i="131"/>
  <c r="BS82" i="131"/>
  <c r="BN82" i="131"/>
  <c r="BI82" i="131"/>
  <c r="BD82" i="131"/>
  <c r="AY82" i="131"/>
  <c r="AT82" i="131"/>
  <c r="AO82" i="131"/>
  <c r="AJ82" i="131"/>
  <c r="AE82" i="131"/>
  <c r="Z82" i="131"/>
  <c r="S82" i="131"/>
  <c r="CG82" i="131" s="1"/>
  <c r="R82" i="131"/>
  <c r="CF82" i="131" s="1"/>
  <c r="O82" i="131"/>
  <c r="J82" i="131"/>
  <c r="E82" i="131"/>
  <c r="BO79" i="131"/>
  <c r="S79" i="131"/>
  <c r="CG79" i="131" s="1"/>
  <c r="CG77" i="131" s="1"/>
  <c r="E79" i="131"/>
  <c r="CC78" i="131"/>
  <c r="CC77" i="131" s="1"/>
  <c r="BX78" i="131"/>
  <c r="BX77" i="131" s="1"/>
  <c r="BS78" i="131"/>
  <c r="BN78" i="131"/>
  <c r="BN77" i="131" s="1"/>
  <c r="BI78" i="131"/>
  <c r="BI77" i="131" s="1"/>
  <c r="BD78" i="131"/>
  <c r="AY78" i="131"/>
  <c r="AT78" i="131"/>
  <c r="AT77" i="131" s="1"/>
  <c r="AO78" i="131"/>
  <c r="AJ78" i="131"/>
  <c r="AE78" i="131"/>
  <c r="Z78" i="131"/>
  <c r="S78" i="131"/>
  <c r="R78" i="131"/>
  <c r="CF78" i="131" s="1"/>
  <c r="E78" i="131"/>
  <c r="CB77" i="131"/>
  <c r="CA77" i="131"/>
  <c r="BW77" i="131"/>
  <c r="BV77" i="131"/>
  <c r="BS77" i="131"/>
  <c r="BR77" i="131"/>
  <c r="BQ77" i="131"/>
  <c r="BM77" i="131"/>
  <c r="BL77" i="131"/>
  <c r="BH77" i="131"/>
  <c r="BG77" i="131"/>
  <c r="BD77" i="131"/>
  <c r="BC77" i="131"/>
  <c r="BB77" i="131"/>
  <c r="AY77" i="131"/>
  <c r="AX77" i="131"/>
  <c r="AW77" i="131"/>
  <c r="AS77" i="131"/>
  <c r="AR77" i="131"/>
  <c r="AN77" i="131"/>
  <c r="AI77" i="131"/>
  <c r="AE77" i="131"/>
  <c r="AD77" i="131"/>
  <c r="AC77" i="131"/>
  <c r="Y77" i="131"/>
  <c r="O77" i="131"/>
  <c r="N77" i="131"/>
  <c r="M77" i="131"/>
  <c r="J77" i="131"/>
  <c r="I77" i="131"/>
  <c r="H77" i="131"/>
  <c r="E77" i="131"/>
  <c r="D77" i="131"/>
  <c r="C77" i="131"/>
  <c r="CC74" i="131"/>
  <c r="BX74" i="131"/>
  <c r="BX73" i="131" s="1"/>
  <c r="BS74" i="131"/>
  <c r="BN74" i="131"/>
  <c r="BI74" i="131"/>
  <c r="BI73" i="131" s="1"/>
  <c r="BD74" i="131"/>
  <c r="BD73" i="131" s="1"/>
  <c r="AY74" i="131"/>
  <c r="AY73" i="131" s="1"/>
  <c r="AT74" i="131"/>
  <c r="AO74" i="131"/>
  <c r="AJ74" i="131"/>
  <c r="AE74" i="131"/>
  <c r="AE73" i="131" s="1"/>
  <c r="Z74" i="131"/>
  <c r="S74" i="131"/>
  <c r="R74" i="131"/>
  <c r="CF74" i="131" s="1"/>
  <c r="CF73" i="131" s="1"/>
  <c r="O74" i="131"/>
  <c r="O73" i="131" s="1"/>
  <c r="E74" i="131"/>
  <c r="CC73" i="131"/>
  <c r="CB73" i="131"/>
  <c r="CA73" i="131"/>
  <c r="BW73" i="131"/>
  <c r="BV73" i="131"/>
  <c r="BS73" i="131"/>
  <c r="BR73" i="131"/>
  <c r="BQ73" i="131"/>
  <c r="BN73" i="131"/>
  <c r="BM73" i="131"/>
  <c r="BL73" i="131"/>
  <c r="BH73" i="131"/>
  <c r="BG73" i="131"/>
  <c r="BC73" i="131"/>
  <c r="BB73" i="131"/>
  <c r="AX73" i="131"/>
  <c r="AW73" i="131"/>
  <c r="AT73" i="131"/>
  <c r="AS73" i="131"/>
  <c r="AR73" i="131"/>
  <c r="AO73" i="131"/>
  <c r="AN73" i="131"/>
  <c r="AM73" i="131"/>
  <c r="AJ73" i="131"/>
  <c r="AI73" i="131"/>
  <c r="AH73" i="131"/>
  <c r="AD73" i="131"/>
  <c r="AC73" i="131"/>
  <c r="Z73" i="131"/>
  <c r="Y73" i="131"/>
  <c r="X73" i="131"/>
  <c r="R73" i="131"/>
  <c r="N73" i="131"/>
  <c r="M73" i="131"/>
  <c r="J73" i="131"/>
  <c r="I73" i="131"/>
  <c r="H73" i="131"/>
  <c r="E73" i="131"/>
  <c r="D73" i="131"/>
  <c r="C73" i="131"/>
  <c r="CC71" i="131"/>
  <c r="BX71" i="131"/>
  <c r="BS71" i="131"/>
  <c r="BN71" i="131"/>
  <c r="BO71" i="131" s="1"/>
  <c r="BI71" i="131"/>
  <c r="BD71" i="131"/>
  <c r="AY71" i="131"/>
  <c r="AT71" i="131"/>
  <c r="AO71" i="131"/>
  <c r="AJ71" i="131"/>
  <c r="AE71" i="131"/>
  <c r="Z71" i="131"/>
  <c r="S71" i="131"/>
  <c r="CG71" i="131" s="1"/>
  <c r="R71" i="131"/>
  <c r="O71" i="131"/>
  <c r="J71" i="131"/>
  <c r="E71" i="131"/>
  <c r="CC70" i="131"/>
  <c r="BX70" i="131"/>
  <c r="BS70" i="131"/>
  <c r="BO70" i="131"/>
  <c r="BN70" i="131"/>
  <c r="BI70" i="131"/>
  <c r="BD70" i="131"/>
  <c r="AY70" i="131"/>
  <c r="AT70" i="131"/>
  <c r="AO70" i="131"/>
  <c r="AJ70" i="131"/>
  <c r="AE70" i="131"/>
  <c r="Z70" i="131"/>
  <c r="S70" i="131"/>
  <c r="CG70" i="131" s="1"/>
  <c r="R70" i="131"/>
  <c r="CF70" i="131" s="1"/>
  <c r="CH70" i="131" s="1"/>
  <c r="O70" i="131"/>
  <c r="J70" i="131"/>
  <c r="E70" i="131"/>
  <c r="CC69" i="131"/>
  <c r="BX69" i="131"/>
  <c r="BS69" i="131"/>
  <c r="BN69" i="131"/>
  <c r="BO69" i="131" s="1"/>
  <c r="BI69" i="131"/>
  <c r="BD69" i="131"/>
  <c r="AY69" i="131"/>
  <c r="AT69" i="131"/>
  <c r="AO69" i="131"/>
  <c r="AJ69" i="131"/>
  <c r="AE69" i="131"/>
  <c r="Z69" i="131"/>
  <c r="S69" i="131"/>
  <c r="CG69" i="131" s="1"/>
  <c r="R69" i="131"/>
  <c r="O69" i="131"/>
  <c r="J69" i="131"/>
  <c r="E69" i="131"/>
  <c r="CF68" i="131"/>
  <c r="CC68" i="131"/>
  <c r="BX68" i="131"/>
  <c r="BS68" i="131"/>
  <c r="BN68" i="131"/>
  <c r="BO68" i="131" s="1"/>
  <c r="BI68" i="131"/>
  <c r="BD68" i="131"/>
  <c r="AY68" i="131"/>
  <c r="AT68" i="131"/>
  <c r="AO68" i="131"/>
  <c r="AJ68" i="131"/>
  <c r="AE68" i="131"/>
  <c r="Z68" i="131"/>
  <c r="S68" i="131"/>
  <c r="CG68" i="131" s="1"/>
  <c r="R68" i="131"/>
  <c r="T68" i="131" s="1"/>
  <c r="O68" i="131"/>
  <c r="J68" i="131"/>
  <c r="E68" i="131"/>
  <c r="CC67" i="131"/>
  <c r="BX67" i="131"/>
  <c r="BS67" i="131"/>
  <c r="BN67" i="131"/>
  <c r="BO67" i="131" s="1"/>
  <c r="BI67" i="131"/>
  <c r="BD67" i="131"/>
  <c r="AY67" i="131"/>
  <c r="AT67" i="131"/>
  <c r="AO67" i="131"/>
  <c r="AJ67" i="131"/>
  <c r="AE67" i="131"/>
  <c r="Z67" i="131"/>
  <c r="S67" i="131"/>
  <c r="CG67" i="131" s="1"/>
  <c r="R67" i="131"/>
  <c r="T67" i="131" s="1"/>
  <c r="O67" i="131"/>
  <c r="J67" i="131"/>
  <c r="E67" i="131"/>
  <c r="CC66" i="131"/>
  <c r="BX66" i="131"/>
  <c r="BS66" i="131"/>
  <c r="BN66" i="131"/>
  <c r="BO66" i="131" s="1"/>
  <c r="BI66" i="131"/>
  <c r="BD66" i="131"/>
  <c r="AY66" i="131"/>
  <c r="AT66" i="131"/>
  <c r="AO66" i="131"/>
  <c r="AJ66" i="131"/>
  <c r="AE66" i="131"/>
  <c r="Z66" i="131"/>
  <c r="S66" i="131"/>
  <c r="CG66" i="131" s="1"/>
  <c r="R66" i="131"/>
  <c r="O66" i="131"/>
  <c r="J66" i="131"/>
  <c r="E66" i="131"/>
  <c r="CC65" i="131"/>
  <c r="BX65" i="131"/>
  <c r="BS65" i="131"/>
  <c r="BN65" i="131"/>
  <c r="BO65" i="131" s="1"/>
  <c r="BI65" i="131"/>
  <c r="BD65" i="131"/>
  <c r="AY65" i="131"/>
  <c r="AT65" i="131"/>
  <c r="AO65" i="131"/>
  <c r="AJ65" i="131"/>
  <c r="AE65" i="131"/>
  <c r="Z65" i="131"/>
  <c r="S65" i="131"/>
  <c r="CG65" i="131" s="1"/>
  <c r="R65" i="131"/>
  <c r="O65" i="131"/>
  <c r="J65" i="131"/>
  <c r="E65" i="131"/>
  <c r="CC64" i="131"/>
  <c r="BX64" i="131"/>
  <c r="BS64" i="131"/>
  <c r="BN64" i="131"/>
  <c r="BO64" i="131" s="1"/>
  <c r="BI64" i="131"/>
  <c r="BD64" i="131"/>
  <c r="AY64" i="131"/>
  <c r="AT64" i="131"/>
  <c r="AO64" i="131"/>
  <c r="AJ64" i="131"/>
  <c r="AE64" i="131"/>
  <c r="Z64" i="131"/>
  <c r="S64" i="131"/>
  <c r="CG64" i="131" s="1"/>
  <c r="R64" i="131"/>
  <c r="CF64" i="131" s="1"/>
  <c r="O64" i="131"/>
  <c r="J64" i="131"/>
  <c r="E64" i="131"/>
  <c r="CF63" i="131"/>
  <c r="CH63" i="131" s="1"/>
  <c r="CC63" i="131"/>
  <c r="BX63" i="131"/>
  <c r="BS63" i="131"/>
  <c r="BN63" i="131"/>
  <c r="BO63" i="131" s="1"/>
  <c r="BI63" i="131"/>
  <c r="BD63" i="131"/>
  <c r="AY63" i="131"/>
  <c r="AT63" i="131"/>
  <c r="AO63" i="131"/>
  <c r="AJ63" i="131"/>
  <c r="AE63" i="131"/>
  <c r="Z63" i="131"/>
  <c r="S63" i="131"/>
  <c r="CG63" i="131" s="1"/>
  <c r="R63" i="131"/>
  <c r="O63" i="131"/>
  <c r="J63" i="131"/>
  <c r="E63" i="131"/>
  <c r="CC62" i="131"/>
  <c r="BX62" i="131"/>
  <c r="BS62" i="131"/>
  <c r="BN62" i="131"/>
  <c r="BO62" i="131" s="1"/>
  <c r="BI62" i="131"/>
  <c r="BD62" i="131"/>
  <c r="AY62" i="131"/>
  <c r="AT62" i="131"/>
  <c r="AO62" i="131"/>
  <c r="AJ62" i="131"/>
  <c r="AE62" i="131"/>
  <c r="Z62" i="131"/>
  <c r="S62" i="131"/>
  <c r="CG62" i="131" s="1"/>
  <c r="R62" i="131"/>
  <c r="O62" i="131"/>
  <c r="J62" i="131"/>
  <c r="E62" i="131"/>
  <c r="CC61" i="131"/>
  <c r="BX61" i="131"/>
  <c r="BS61" i="131"/>
  <c r="BN61" i="131"/>
  <c r="BO61" i="131" s="1"/>
  <c r="BI61" i="131"/>
  <c r="BD61" i="131"/>
  <c r="AY61" i="131"/>
  <c r="AT61" i="131"/>
  <c r="AO61" i="131"/>
  <c r="AJ61" i="131"/>
  <c r="AE61" i="131"/>
  <c r="Z61" i="131"/>
  <c r="T61" i="131"/>
  <c r="S61" i="131"/>
  <c r="CG61" i="131" s="1"/>
  <c r="R61" i="131"/>
  <c r="CF61" i="131" s="1"/>
  <c r="O61" i="131"/>
  <c r="J61" i="131"/>
  <c r="E61" i="131"/>
  <c r="CC60" i="131"/>
  <c r="BX60" i="131"/>
  <c r="BS60" i="131"/>
  <c r="BN60" i="131"/>
  <c r="BO60" i="131" s="1"/>
  <c r="BI60" i="131"/>
  <c r="BD60" i="131"/>
  <c r="AY60" i="131"/>
  <c r="AT60" i="131"/>
  <c r="AO60" i="131"/>
  <c r="AJ60" i="131"/>
  <c r="AE60" i="131"/>
  <c r="Z60" i="131"/>
  <c r="S60" i="131"/>
  <c r="CG60" i="131" s="1"/>
  <c r="R60" i="131"/>
  <c r="CF60" i="131" s="1"/>
  <c r="O60" i="131"/>
  <c r="J60" i="131"/>
  <c r="E60" i="131"/>
  <c r="CC59" i="131"/>
  <c r="BX59" i="131"/>
  <c r="BS59" i="131"/>
  <c r="BN59" i="131"/>
  <c r="BO59" i="131" s="1"/>
  <c r="BI59" i="131"/>
  <c r="BD59" i="131"/>
  <c r="AY59" i="131"/>
  <c r="AT59" i="131"/>
  <c r="AO59" i="131"/>
  <c r="AJ59" i="131"/>
  <c r="AE59" i="131"/>
  <c r="Z59" i="131"/>
  <c r="S59" i="131"/>
  <c r="CG59" i="131" s="1"/>
  <c r="R59" i="131"/>
  <c r="O59" i="131"/>
  <c r="J59" i="131"/>
  <c r="E59" i="131"/>
  <c r="CC58" i="131"/>
  <c r="BX58" i="131"/>
  <c r="BS58" i="131"/>
  <c r="BN58" i="131"/>
  <c r="BO58" i="131" s="1"/>
  <c r="BI58" i="131"/>
  <c r="BD58" i="131"/>
  <c r="AY58" i="131"/>
  <c r="AT58" i="131"/>
  <c r="AO58" i="131"/>
  <c r="AJ58" i="131"/>
  <c r="AE58" i="131"/>
  <c r="Z58" i="131"/>
  <c r="S58" i="131"/>
  <c r="R58" i="131"/>
  <c r="CF58" i="131" s="1"/>
  <c r="O58" i="131"/>
  <c r="J58" i="131"/>
  <c r="E58" i="131"/>
  <c r="CC57" i="131"/>
  <c r="BX57" i="131"/>
  <c r="BS57" i="131"/>
  <c r="BO57" i="131"/>
  <c r="BN57" i="131"/>
  <c r="BI57" i="131"/>
  <c r="BD57" i="131"/>
  <c r="AY57" i="131"/>
  <c r="AT57" i="131"/>
  <c r="AO57" i="131"/>
  <c r="AJ57" i="131"/>
  <c r="AE57" i="131"/>
  <c r="Z57" i="131"/>
  <c r="S57" i="131"/>
  <c r="CG57" i="131" s="1"/>
  <c r="R57" i="131"/>
  <c r="O57" i="131"/>
  <c r="J57" i="131"/>
  <c r="E57" i="131"/>
  <c r="CC56" i="131"/>
  <c r="BX56" i="131"/>
  <c r="BS56" i="131"/>
  <c r="BN56" i="131"/>
  <c r="BO56" i="131" s="1"/>
  <c r="BI56" i="131"/>
  <c r="BD56" i="131"/>
  <c r="AY56" i="131"/>
  <c r="AT56" i="131"/>
  <c r="AO56" i="131"/>
  <c r="AJ56" i="131"/>
  <c r="AE56" i="131"/>
  <c r="Z56" i="131"/>
  <c r="S56" i="131"/>
  <c r="CG56" i="131" s="1"/>
  <c r="R56" i="131"/>
  <c r="CF56" i="131" s="1"/>
  <c r="O56" i="131"/>
  <c r="J56" i="131"/>
  <c r="E56" i="131"/>
  <c r="CC55" i="131"/>
  <c r="BX55" i="131"/>
  <c r="BS55" i="131"/>
  <c r="BN55" i="131"/>
  <c r="BI55" i="131"/>
  <c r="BD55" i="131"/>
  <c r="AY55" i="131"/>
  <c r="AT55" i="131"/>
  <c r="AO55" i="131"/>
  <c r="AJ55" i="131"/>
  <c r="AE55" i="131"/>
  <c r="Z55" i="131"/>
  <c r="S55" i="131"/>
  <c r="R55" i="131"/>
  <c r="T55" i="131" s="1"/>
  <c r="O55" i="131"/>
  <c r="J55" i="131"/>
  <c r="E55" i="131"/>
  <c r="CB54" i="131"/>
  <c r="CA54" i="131"/>
  <c r="BW54" i="131"/>
  <c r="BV54" i="131"/>
  <c r="BR54" i="131"/>
  <c r="BQ54" i="131"/>
  <c r="BM54" i="131"/>
  <c r="BL54" i="131"/>
  <c r="BH54" i="131"/>
  <c r="BG54" i="131"/>
  <c r="BC54" i="131"/>
  <c r="BB54" i="131"/>
  <c r="AX54" i="131"/>
  <c r="AW54" i="131"/>
  <c r="AS54" i="131"/>
  <c r="AR54" i="131"/>
  <c r="AN54" i="131"/>
  <c r="AM54" i="131"/>
  <c r="AI54" i="131"/>
  <c r="AH54" i="131"/>
  <c r="AD54" i="131"/>
  <c r="AC54" i="131"/>
  <c r="Y54" i="131"/>
  <c r="X54" i="131"/>
  <c r="N54" i="131"/>
  <c r="M54" i="131"/>
  <c r="I54" i="131"/>
  <c r="H54" i="131"/>
  <c r="D54" i="131"/>
  <c r="C54" i="131"/>
  <c r="CC52" i="131"/>
  <c r="BX52" i="131"/>
  <c r="BS52" i="131"/>
  <c r="BN52" i="131"/>
  <c r="BI52" i="131"/>
  <c r="BD52" i="131"/>
  <c r="AY52" i="131"/>
  <c r="AT52" i="131"/>
  <c r="AO52" i="131"/>
  <c r="AJ52" i="131"/>
  <c r="AE52" i="131"/>
  <c r="Z52" i="131"/>
  <c r="S52" i="131"/>
  <c r="CG52" i="131" s="1"/>
  <c r="R52" i="131"/>
  <c r="CF52" i="131" s="1"/>
  <c r="CH52" i="131" s="1"/>
  <c r="O52" i="131"/>
  <c r="J52" i="131"/>
  <c r="E52" i="131"/>
  <c r="CC51" i="131"/>
  <c r="BX51" i="131"/>
  <c r="BS51" i="131"/>
  <c r="BN51" i="131"/>
  <c r="BO51" i="131" s="1"/>
  <c r="BI51" i="131"/>
  <c r="BD51" i="131"/>
  <c r="AY51" i="131"/>
  <c r="AT51" i="131"/>
  <c r="AO51" i="131"/>
  <c r="AJ51" i="131"/>
  <c r="AE51" i="131"/>
  <c r="Z51" i="131"/>
  <c r="S51" i="131"/>
  <c r="CG51" i="131" s="1"/>
  <c r="R51" i="131"/>
  <c r="CF51" i="131" s="1"/>
  <c r="O51" i="131"/>
  <c r="J51" i="131"/>
  <c r="E51" i="131"/>
  <c r="E50" i="131" s="1"/>
  <c r="CB50" i="131"/>
  <c r="CA50" i="131"/>
  <c r="BW50" i="131"/>
  <c r="BV50" i="131"/>
  <c r="BR50" i="131"/>
  <c r="BQ50" i="131"/>
  <c r="BM50" i="131"/>
  <c r="BL50" i="131"/>
  <c r="BH50" i="131"/>
  <c r="BG50" i="131"/>
  <c r="BC50" i="131"/>
  <c r="BB50" i="131"/>
  <c r="AX50" i="131"/>
  <c r="AW50" i="131"/>
  <c r="AS50" i="131"/>
  <c r="AR50" i="131"/>
  <c r="AN50" i="131"/>
  <c r="AM50" i="131"/>
  <c r="AI50" i="131"/>
  <c r="AH50" i="131"/>
  <c r="AD50" i="131"/>
  <c r="AC50" i="131"/>
  <c r="Y50" i="131"/>
  <c r="X50" i="131"/>
  <c r="N50" i="131"/>
  <c r="M50" i="131"/>
  <c r="I50" i="131"/>
  <c r="H50" i="131"/>
  <c r="D50" i="131"/>
  <c r="C50" i="131"/>
  <c r="CC48" i="131"/>
  <c r="BX48" i="131"/>
  <c r="BS48" i="131"/>
  <c r="BN48" i="131"/>
  <c r="BO48" i="131" s="1"/>
  <c r="BI48" i="131"/>
  <c r="BD48" i="131"/>
  <c r="AY48" i="131"/>
  <c r="AT48" i="131"/>
  <c r="AO48" i="131"/>
  <c r="AJ48" i="131"/>
  <c r="AE48" i="131"/>
  <c r="Z48" i="131"/>
  <c r="S48" i="131"/>
  <c r="CG48" i="131" s="1"/>
  <c r="R48" i="131"/>
  <c r="CF48" i="131" s="1"/>
  <c r="O48" i="131"/>
  <c r="J48" i="131"/>
  <c r="E48" i="131"/>
  <c r="CC47" i="131"/>
  <c r="BX47" i="131"/>
  <c r="BS47" i="131"/>
  <c r="BN47" i="131"/>
  <c r="BO47" i="131" s="1"/>
  <c r="BI47" i="131"/>
  <c r="BD47" i="131"/>
  <c r="AY47" i="131"/>
  <c r="AT47" i="131"/>
  <c r="AO47" i="131"/>
  <c r="AJ47" i="131"/>
  <c r="AE47" i="131"/>
  <c r="Z47" i="131"/>
  <c r="S47" i="131"/>
  <c r="CG47" i="131" s="1"/>
  <c r="R47" i="131"/>
  <c r="O47" i="131"/>
  <c r="H47" i="131"/>
  <c r="J47" i="131" s="1"/>
  <c r="E47" i="131"/>
  <c r="CC46" i="131"/>
  <c r="BX46" i="131"/>
  <c r="BS46" i="131"/>
  <c r="BO46" i="131"/>
  <c r="BN46" i="131"/>
  <c r="BI46" i="131"/>
  <c r="BD46" i="131"/>
  <c r="AY46" i="131"/>
  <c r="AT46" i="131"/>
  <c r="AO46" i="131"/>
  <c r="AJ46" i="131"/>
  <c r="AE46" i="131"/>
  <c r="Z46" i="131"/>
  <c r="S46" i="131"/>
  <c r="CG46" i="131" s="1"/>
  <c r="R46" i="131"/>
  <c r="O46" i="131"/>
  <c r="J46" i="131"/>
  <c r="E46" i="131"/>
  <c r="CC45" i="131"/>
  <c r="BX45" i="131"/>
  <c r="BS45" i="131"/>
  <c r="BN45" i="131"/>
  <c r="BO45" i="131" s="1"/>
  <c r="BI45" i="131"/>
  <c r="BD45" i="131"/>
  <c r="AY45" i="131"/>
  <c r="AT45" i="131"/>
  <c r="AO45" i="131"/>
  <c r="AJ45" i="131"/>
  <c r="AE45" i="131"/>
  <c r="Z45" i="131"/>
  <c r="S45" i="131"/>
  <c r="CG45" i="131" s="1"/>
  <c r="R45" i="131"/>
  <c r="O45" i="131"/>
  <c r="J45" i="131"/>
  <c r="E45" i="131"/>
  <c r="CC44" i="131"/>
  <c r="BX44" i="131"/>
  <c r="BS44" i="131"/>
  <c r="BN44" i="131"/>
  <c r="BO44" i="131" s="1"/>
  <c r="BI44" i="131"/>
  <c r="BD44" i="131"/>
  <c r="AY44" i="131"/>
  <c r="AT44" i="131"/>
  <c r="AO44" i="131"/>
  <c r="AJ44" i="131"/>
  <c r="AE44" i="131"/>
  <c r="Z44" i="131"/>
  <c r="S44" i="131"/>
  <c r="CG44" i="131" s="1"/>
  <c r="R44" i="131"/>
  <c r="O44" i="131"/>
  <c r="J44" i="131"/>
  <c r="E44" i="131"/>
  <c r="CC43" i="131"/>
  <c r="BX43" i="131"/>
  <c r="BS43" i="131"/>
  <c r="BN43" i="131"/>
  <c r="BO43" i="131" s="1"/>
  <c r="BI43" i="131"/>
  <c r="BD43" i="131"/>
  <c r="AY43" i="131"/>
  <c r="AT43" i="131"/>
  <c r="AO43" i="131"/>
  <c r="AJ43" i="131"/>
  <c r="AE43" i="131"/>
  <c r="Z43" i="131"/>
  <c r="S43" i="131"/>
  <c r="R43" i="131"/>
  <c r="CF43" i="131" s="1"/>
  <c r="O43" i="131"/>
  <c r="J43" i="131"/>
  <c r="E43" i="131"/>
  <c r="CC42" i="131"/>
  <c r="BX42" i="131"/>
  <c r="BS42" i="131"/>
  <c r="BN42" i="131"/>
  <c r="BI42" i="131"/>
  <c r="BD42" i="131"/>
  <c r="AY42" i="131"/>
  <c r="AT42" i="131"/>
  <c r="AO42" i="131"/>
  <c r="AJ42" i="131"/>
  <c r="AE42" i="131"/>
  <c r="Z42" i="131"/>
  <c r="S42" i="131"/>
  <c r="R42" i="131"/>
  <c r="O42" i="131"/>
  <c r="J42" i="131"/>
  <c r="E42" i="131"/>
  <c r="CB41" i="131"/>
  <c r="CA41" i="131"/>
  <c r="BW41" i="131"/>
  <c r="BV41" i="131"/>
  <c r="BR41" i="131"/>
  <c r="BQ41" i="131"/>
  <c r="BM41" i="131"/>
  <c r="BL41" i="131"/>
  <c r="BH41" i="131"/>
  <c r="BG41" i="131"/>
  <c r="BC41" i="131"/>
  <c r="BB41" i="131"/>
  <c r="AX41" i="131"/>
  <c r="AW41" i="131"/>
  <c r="AS41" i="131"/>
  <c r="AR41" i="131"/>
  <c r="AN41" i="131"/>
  <c r="AM41" i="131"/>
  <c r="AI41" i="131"/>
  <c r="AH41" i="131"/>
  <c r="AD41" i="131"/>
  <c r="AC41" i="131"/>
  <c r="Y41" i="131"/>
  <c r="X41" i="131"/>
  <c r="N41" i="131"/>
  <c r="M41" i="131"/>
  <c r="I41" i="131"/>
  <c r="H41" i="131"/>
  <c r="D41" i="131"/>
  <c r="C41" i="131"/>
  <c r="CC36" i="131"/>
  <c r="CC35" i="131" s="1"/>
  <c r="BX36" i="131"/>
  <c r="BX35" i="131" s="1"/>
  <c r="BS36" i="131"/>
  <c r="BS35" i="131" s="1"/>
  <c r="BN36" i="131"/>
  <c r="BI36" i="131"/>
  <c r="BI35" i="131" s="1"/>
  <c r="BD36" i="131"/>
  <c r="BD35" i="131" s="1"/>
  <c r="AY36" i="131"/>
  <c r="AT36" i="131"/>
  <c r="AO36" i="131"/>
  <c r="AJ36" i="131"/>
  <c r="AJ35" i="131" s="1"/>
  <c r="AE36" i="131"/>
  <c r="AE35" i="131" s="1"/>
  <c r="Z36" i="131"/>
  <c r="Z35" i="131" s="1"/>
  <c r="S36" i="131"/>
  <c r="R36" i="131"/>
  <c r="R35" i="131" s="1"/>
  <c r="N36" i="131"/>
  <c r="M36" i="131"/>
  <c r="J36" i="131"/>
  <c r="E36" i="131"/>
  <c r="E35" i="131" s="1"/>
  <c r="CD35" i="131"/>
  <c r="BY35" i="131"/>
  <c r="BT35" i="131"/>
  <c r="BO35" i="131"/>
  <c r="BN35" i="131"/>
  <c r="BJ35" i="131"/>
  <c r="BE35" i="131"/>
  <c r="AZ35" i="131"/>
  <c r="AY35" i="131"/>
  <c r="AU35" i="131"/>
  <c r="AT35" i="131"/>
  <c r="AP35" i="131"/>
  <c r="AO35" i="131"/>
  <c r="AK35" i="131"/>
  <c r="AF35" i="131"/>
  <c r="AA35" i="131"/>
  <c r="N35" i="131"/>
  <c r="M35" i="131"/>
  <c r="D35" i="131"/>
  <c r="C35" i="131"/>
  <c r="CC33" i="131"/>
  <c r="BX33" i="131"/>
  <c r="BS33" i="131"/>
  <c r="BN33" i="131"/>
  <c r="BO33" i="131" s="1"/>
  <c r="BI33" i="131"/>
  <c r="BD33" i="131"/>
  <c r="AY33" i="131"/>
  <c r="AT33" i="131"/>
  <c r="AO33" i="131"/>
  <c r="AJ33" i="131"/>
  <c r="AE33" i="131"/>
  <c r="Z33" i="131"/>
  <c r="S33" i="131"/>
  <c r="CG33" i="131" s="1"/>
  <c r="R33" i="131"/>
  <c r="O33" i="131"/>
  <c r="J33" i="131"/>
  <c r="E33" i="131"/>
  <c r="CC32" i="131"/>
  <c r="BX32" i="131"/>
  <c r="BS32" i="131"/>
  <c r="BN32" i="131"/>
  <c r="BO32" i="131" s="1"/>
  <c r="BI32" i="131"/>
  <c r="BD32" i="131"/>
  <c r="AY32" i="131"/>
  <c r="AT32" i="131"/>
  <c r="AO32" i="131"/>
  <c r="AJ32" i="131"/>
  <c r="AE32" i="131"/>
  <c r="Z32" i="131"/>
  <c r="S32" i="131"/>
  <c r="CG32" i="131" s="1"/>
  <c r="R32" i="131"/>
  <c r="CF32" i="131" s="1"/>
  <c r="O32" i="131"/>
  <c r="J32" i="131"/>
  <c r="E32" i="131"/>
  <c r="CC31" i="131"/>
  <c r="BX31" i="131"/>
  <c r="BS31" i="131"/>
  <c r="BN31" i="131"/>
  <c r="BO31" i="131" s="1"/>
  <c r="BI31" i="131"/>
  <c r="BD31" i="131"/>
  <c r="AY31" i="131"/>
  <c r="AT31" i="131"/>
  <c r="AO31" i="131"/>
  <c r="AJ31" i="131"/>
  <c r="AE31" i="131"/>
  <c r="Z31" i="131"/>
  <c r="S31" i="131"/>
  <c r="CG31" i="131" s="1"/>
  <c r="R31" i="131"/>
  <c r="CF31" i="131" s="1"/>
  <c r="O31" i="131"/>
  <c r="J31" i="131"/>
  <c r="E31" i="131"/>
  <c r="CC30" i="131"/>
  <c r="BX30" i="131"/>
  <c r="BS30" i="131"/>
  <c r="BO30" i="131"/>
  <c r="BN30" i="131"/>
  <c r="BI30" i="131"/>
  <c r="BD30" i="131"/>
  <c r="AY30" i="131"/>
  <c r="AT30" i="131"/>
  <c r="AO30" i="131"/>
  <c r="AJ30" i="131"/>
  <c r="AE30" i="131"/>
  <c r="Z30" i="131"/>
  <c r="S30" i="131"/>
  <c r="R30" i="131"/>
  <c r="O30" i="131"/>
  <c r="I30" i="131"/>
  <c r="J30" i="131" s="1"/>
  <c r="E30" i="131"/>
  <c r="CC29" i="131"/>
  <c r="BX29" i="131"/>
  <c r="BS29" i="131"/>
  <c r="BO29" i="131"/>
  <c r="BN29" i="131"/>
  <c r="BI29" i="131"/>
  <c r="BD29" i="131"/>
  <c r="AY29" i="131"/>
  <c r="AT29" i="131"/>
  <c r="AO29" i="131"/>
  <c r="AJ29" i="131"/>
  <c r="AE29" i="131"/>
  <c r="Z29" i="131"/>
  <c r="S29" i="131"/>
  <c r="CG29" i="131" s="1"/>
  <c r="R29" i="131"/>
  <c r="CF29" i="131" s="1"/>
  <c r="O29" i="131"/>
  <c r="J29" i="131"/>
  <c r="E29" i="131"/>
  <c r="CC28" i="131"/>
  <c r="BX28" i="131"/>
  <c r="BS28" i="131"/>
  <c r="BN28" i="131"/>
  <c r="BO28" i="131" s="1"/>
  <c r="BI28" i="131"/>
  <c r="BD28" i="131"/>
  <c r="AY28" i="131"/>
  <c r="AT28" i="131"/>
  <c r="AO28" i="131"/>
  <c r="AJ28" i="131"/>
  <c r="AE28" i="131"/>
  <c r="Z28" i="131"/>
  <c r="S28" i="131"/>
  <c r="CG28" i="131" s="1"/>
  <c r="R28" i="131"/>
  <c r="CF28" i="131" s="1"/>
  <c r="O28" i="131"/>
  <c r="J28" i="131"/>
  <c r="C28" i="131"/>
  <c r="C8" i="131" s="1"/>
  <c r="CC27" i="131"/>
  <c r="BX27" i="131"/>
  <c r="BS27" i="131"/>
  <c r="BN27" i="131"/>
  <c r="BO27" i="131" s="1"/>
  <c r="BI27" i="131"/>
  <c r="BD27" i="131"/>
  <c r="AY27" i="131"/>
  <c r="AT27" i="131"/>
  <c r="AO27" i="131"/>
  <c r="AJ27" i="131"/>
  <c r="AE27" i="131"/>
  <c r="Z27" i="131"/>
  <c r="S27" i="131"/>
  <c r="CG27" i="131" s="1"/>
  <c r="R27" i="131"/>
  <c r="CF27" i="131" s="1"/>
  <c r="CH27" i="131" s="1"/>
  <c r="CL27" i="131" s="1"/>
  <c r="O27" i="131"/>
  <c r="J27" i="131"/>
  <c r="E27" i="131"/>
  <c r="CC26" i="131"/>
  <c r="BX26" i="131"/>
  <c r="BS26" i="131"/>
  <c r="BN26" i="131"/>
  <c r="BO26" i="131" s="1"/>
  <c r="BI26" i="131"/>
  <c r="BD26" i="131"/>
  <c r="AY26" i="131"/>
  <c r="AT26" i="131"/>
  <c r="AO26" i="131"/>
  <c r="AJ26" i="131"/>
  <c r="AE26" i="131"/>
  <c r="Z26" i="131"/>
  <c r="S26" i="131"/>
  <c r="R26" i="131"/>
  <c r="CF26" i="131" s="1"/>
  <c r="O26" i="131"/>
  <c r="J26" i="131"/>
  <c r="E26" i="131"/>
  <c r="CC25" i="131"/>
  <c r="BX25" i="131"/>
  <c r="BS25" i="131"/>
  <c r="BN25" i="131"/>
  <c r="BO25" i="131" s="1"/>
  <c r="BI25" i="131"/>
  <c r="BD25" i="131"/>
  <c r="AY25" i="131"/>
  <c r="AT25" i="131"/>
  <c r="AO25" i="131"/>
  <c r="AJ25" i="131"/>
  <c r="AE25" i="131"/>
  <c r="Z25" i="131"/>
  <c r="S25" i="131"/>
  <c r="CG25" i="131" s="1"/>
  <c r="R25" i="131"/>
  <c r="O25" i="131"/>
  <c r="J25" i="131"/>
  <c r="E25" i="131"/>
  <c r="CC24" i="131"/>
  <c r="BX24" i="131"/>
  <c r="BS24" i="131"/>
  <c r="BN24" i="131"/>
  <c r="BO24" i="131" s="1"/>
  <c r="BI24" i="131"/>
  <c r="BD24" i="131"/>
  <c r="AY24" i="131"/>
  <c r="AT24" i="131"/>
  <c r="AO24" i="131"/>
  <c r="AJ24" i="131"/>
  <c r="AE24" i="131"/>
  <c r="Z24" i="131"/>
  <c r="S24" i="131"/>
  <c r="CG24" i="131" s="1"/>
  <c r="R24" i="131"/>
  <c r="CF24" i="131" s="1"/>
  <c r="O24" i="131"/>
  <c r="J24" i="131"/>
  <c r="E24" i="131"/>
  <c r="CC23" i="131"/>
  <c r="BX23" i="131"/>
  <c r="BS23" i="131"/>
  <c r="BO23" i="131"/>
  <c r="BN23" i="131"/>
  <c r="BI23" i="131"/>
  <c r="BD23" i="131"/>
  <c r="AY23" i="131"/>
  <c r="AT23" i="131"/>
  <c r="AO23" i="131"/>
  <c r="AJ23" i="131"/>
  <c r="AE23" i="131"/>
  <c r="Z23" i="131"/>
  <c r="S23" i="131"/>
  <c r="CG23" i="131" s="1"/>
  <c r="R23" i="131"/>
  <c r="CF23" i="131" s="1"/>
  <c r="O23" i="131"/>
  <c r="J23" i="131"/>
  <c r="E23" i="131"/>
  <c r="CC22" i="131"/>
  <c r="BX22" i="131"/>
  <c r="BS22" i="131"/>
  <c r="BN22" i="131"/>
  <c r="BO22" i="131" s="1"/>
  <c r="BI22" i="131"/>
  <c r="BD22" i="131"/>
  <c r="AY22" i="131"/>
  <c r="AT22" i="131"/>
  <c r="AO22" i="131"/>
  <c r="AJ22" i="131"/>
  <c r="AE22" i="131"/>
  <c r="Z22" i="131"/>
  <c r="S22" i="131"/>
  <c r="CG22" i="131" s="1"/>
  <c r="R22" i="131"/>
  <c r="CF22" i="131" s="1"/>
  <c r="CH22" i="131" s="1"/>
  <c r="O22" i="131"/>
  <c r="H22" i="131"/>
  <c r="J22" i="131" s="1"/>
  <c r="E22" i="131"/>
  <c r="CC21" i="131"/>
  <c r="BX21" i="131"/>
  <c r="BS21" i="131"/>
  <c r="BN21" i="131"/>
  <c r="BO21" i="131" s="1"/>
  <c r="BI21" i="131"/>
  <c r="BD21" i="131"/>
  <c r="AY21" i="131"/>
  <c r="AT21" i="131"/>
  <c r="AO21" i="131"/>
  <c r="AJ21" i="131"/>
  <c r="AE21" i="131"/>
  <c r="Z21" i="131"/>
  <c r="S21" i="131"/>
  <c r="CG21" i="131" s="1"/>
  <c r="R21" i="131"/>
  <c r="O21" i="131"/>
  <c r="H21" i="131"/>
  <c r="E21" i="131"/>
  <c r="CC20" i="131"/>
  <c r="BX20" i="131"/>
  <c r="BS20" i="131"/>
  <c r="BO20" i="131"/>
  <c r="BN20" i="131"/>
  <c r="BI20" i="131"/>
  <c r="BD20" i="131"/>
  <c r="AY20" i="131"/>
  <c r="AT20" i="131"/>
  <c r="AO20" i="131"/>
  <c r="AJ20" i="131"/>
  <c r="AE20" i="131"/>
  <c r="Z20" i="131"/>
  <c r="S20" i="131"/>
  <c r="CG20" i="131" s="1"/>
  <c r="R20" i="131"/>
  <c r="CF20" i="131" s="1"/>
  <c r="O20" i="131"/>
  <c r="J20" i="131"/>
  <c r="E20" i="131"/>
  <c r="CC19" i="131"/>
  <c r="BX19" i="131"/>
  <c r="BS19" i="131"/>
  <c r="BN19" i="131"/>
  <c r="BO19" i="131" s="1"/>
  <c r="BI19" i="131"/>
  <c r="BD19" i="131"/>
  <c r="AY19" i="131"/>
  <c r="AT19" i="131"/>
  <c r="AO19" i="131"/>
  <c r="AJ19" i="131"/>
  <c r="AE19" i="131"/>
  <c r="Z19" i="131"/>
  <c r="S19" i="131"/>
  <c r="R19" i="131"/>
  <c r="CF19" i="131" s="1"/>
  <c r="O19" i="131"/>
  <c r="J19" i="131"/>
  <c r="E19" i="131"/>
  <c r="CC18" i="131"/>
  <c r="BX18" i="131"/>
  <c r="BS18" i="131"/>
  <c r="BN18" i="131"/>
  <c r="BO18" i="131" s="1"/>
  <c r="BI18" i="131"/>
  <c r="BD18" i="131"/>
  <c r="AY18" i="131"/>
  <c r="AT18" i="131"/>
  <c r="AO18" i="131"/>
  <c r="AJ18" i="131"/>
  <c r="AE18" i="131"/>
  <c r="Z18" i="131"/>
  <c r="S18" i="131"/>
  <c r="CG18" i="131" s="1"/>
  <c r="R18" i="131"/>
  <c r="CF18" i="131" s="1"/>
  <c r="O18" i="131"/>
  <c r="J18" i="131"/>
  <c r="E18" i="131"/>
  <c r="CC17" i="131"/>
  <c r="BX17" i="131"/>
  <c r="BS17" i="131"/>
  <c r="BN17" i="131"/>
  <c r="BO17" i="131" s="1"/>
  <c r="BI17" i="131"/>
  <c r="BD17" i="131"/>
  <c r="AY17" i="131"/>
  <c r="AT17" i="131"/>
  <c r="AO17" i="131"/>
  <c r="AJ17" i="131"/>
  <c r="AE17" i="131"/>
  <c r="Z17" i="131"/>
  <c r="S17" i="131"/>
  <c r="CG17" i="131" s="1"/>
  <c r="R17" i="131"/>
  <c r="O17" i="131"/>
  <c r="J17" i="131"/>
  <c r="E17" i="131"/>
  <c r="CC16" i="131"/>
  <c r="BX16" i="131"/>
  <c r="BS16" i="131"/>
  <c r="BN16" i="131"/>
  <c r="BO16" i="131" s="1"/>
  <c r="BI16" i="131"/>
  <c r="BD16" i="131"/>
  <c r="AY16" i="131"/>
  <c r="AT16" i="131"/>
  <c r="AO16" i="131"/>
  <c r="AJ16" i="131"/>
  <c r="AE16" i="131"/>
  <c r="Z16" i="131"/>
  <c r="S16" i="131"/>
  <c r="CG16" i="131" s="1"/>
  <c r="R16" i="131"/>
  <c r="O16" i="131"/>
  <c r="J16" i="131"/>
  <c r="E16" i="131"/>
  <c r="CC15" i="131"/>
  <c r="BX15" i="131"/>
  <c r="BS15" i="131"/>
  <c r="BN15" i="131"/>
  <c r="BO15" i="131" s="1"/>
  <c r="BI15" i="131"/>
  <c r="BD15" i="131"/>
  <c r="AY15" i="131"/>
  <c r="AT15" i="131"/>
  <c r="AO15" i="131"/>
  <c r="AJ15" i="131"/>
  <c r="AE15" i="131"/>
  <c r="Z15" i="131"/>
  <c r="S15" i="131"/>
  <c r="CG15" i="131" s="1"/>
  <c r="R15" i="131"/>
  <c r="O15" i="131"/>
  <c r="J15" i="131"/>
  <c r="E15" i="131"/>
  <c r="CF14" i="131"/>
  <c r="CC14" i="131"/>
  <c r="BX14" i="131"/>
  <c r="BS14" i="131"/>
  <c r="BO14" i="131"/>
  <c r="BN14" i="131"/>
  <c r="BI14" i="131"/>
  <c r="BD14" i="131"/>
  <c r="AY14" i="131"/>
  <c r="AT14" i="131"/>
  <c r="AO14" i="131"/>
  <c r="AJ14" i="131"/>
  <c r="AE14" i="131"/>
  <c r="Z14" i="131"/>
  <c r="S14" i="131"/>
  <c r="CG14" i="131" s="1"/>
  <c r="R14" i="131"/>
  <c r="O14" i="131"/>
  <c r="J14" i="131"/>
  <c r="E14" i="131"/>
  <c r="CC13" i="131"/>
  <c r="BX13" i="131"/>
  <c r="BS13" i="131"/>
  <c r="BN13" i="131"/>
  <c r="BO13" i="131" s="1"/>
  <c r="BI13" i="131"/>
  <c r="BD13" i="131"/>
  <c r="AY13" i="131"/>
  <c r="AT13" i="131"/>
  <c r="AO13" i="131"/>
  <c r="AJ13" i="131"/>
  <c r="AE13" i="131"/>
  <c r="Z13" i="131"/>
  <c r="S13" i="131"/>
  <c r="CG13" i="131" s="1"/>
  <c r="R13" i="131"/>
  <c r="O13" i="131"/>
  <c r="J13" i="131"/>
  <c r="E13" i="131"/>
  <c r="CG12" i="131"/>
  <c r="CC12" i="131"/>
  <c r="BX12" i="131"/>
  <c r="BS12" i="131"/>
  <c r="BO12" i="131"/>
  <c r="BN12" i="131"/>
  <c r="BI12" i="131"/>
  <c r="BD12" i="131"/>
  <c r="AY12" i="131"/>
  <c r="AT12" i="131"/>
  <c r="AO12" i="131"/>
  <c r="AJ12" i="131"/>
  <c r="AE12" i="131"/>
  <c r="Z12" i="131"/>
  <c r="S12" i="131"/>
  <c r="R12" i="131"/>
  <c r="O12" i="131"/>
  <c r="J12" i="131"/>
  <c r="E12" i="131"/>
  <c r="CC11" i="131"/>
  <c r="BX11" i="131"/>
  <c r="BS11" i="131"/>
  <c r="BN11" i="131"/>
  <c r="BO11" i="131" s="1"/>
  <c r="BI11" i="131"/>
  <c r="BD11" i="131"/>
  <c r="AY11" i="131"/>
  <c r="AT11" i="131"/>
  <c r="AO11" i="131"/>
  <c r="AJ11" i="131"/>
  <c r="AE11" i="131"/>
  <c r="Z11" i="131"/>
  <c r="S11" i="131"/>
  <c r="CG11" i="131" s="1"/>
  <c r="R11" i="131"/>
  <c r="O11" i="131"/>
  <c r="J11" i="131"/>
  <c r="E11" i="131"/>
  <c r="CC10" i="131"/>
  <c r="BX10" i="131"/>
  <c r="BS10" i="131"/>
  <c r="BN10" i="131"/>
  <c r="BO10" i="131" s="1"/>
  <c r="BI10" i="131"/>
  <c r="BD10" i="131"/>
  <c r="AY10" i="131"/>
  <c r="AT10" i="131"/>
  <c r="AO10" i="131"/>
  <c r="AJ10" i="131"/>
  <c r="AE10" i="131"/>
  <c r="Z10" i="131"/>
  <c r="S10" i="131"/>
  <c r="CG10" i="131" s="1"/>
  <c r="R10" i="131"/>
  <c r="CF10" i="131" s="1"/>
  <c r="CH10" i="131" s="1"/>
  <c r="O10" i="131"/>
  <c r="J10" i="131"/>
  <c r="E10" i="131"/>
  <c r="CC9" i="131"/>
  <c r="BX9" i="131"/>
  <c r="BS9" i="131"/>
  <c r="BN9" i="131"/>
  <c r="BO9" i="131" s="1"/>
  <c r="BI9" i="131"/>
  <c r="BD9" i="131"/>
  <c r="AY9" i="131"/>
  <c r="AT9" i="131"/>
  <c r="AO9" i="131"/>
  <c r="AJ9" i="131"/>
  <c r="AE9" i="131"/>
  <c r="Z9" i="131"/>
  <c r="S9" i="131"/>
  <c r="R9" i="131"/>
  <c r="O9" i="131"/>
  <c r="J9" i="131"/>
  <c r="E9" i="131"/>
  <c r="CB8" i="131"/>
  <c r="CA8" i="131"/>
  <c r="BW8" i="131"/>
  <c r="BV8" i="131"/>
  <c r="BR8" i="131"/>
  <c r="BQ8" i="131"/>
  <c r="BM8" i="131"/>
  <c r="BL8" i="131"/>
  <c r="BH8" i="131"/>
  <c r="BG8" i="131"/>
  <c r="BC8" i="131"/>
  <c r="BB8" i="131"/>
  <c r="AX8" i="131"/>
  <c r="AW8" i="131"/>
  <c r="AS8" i="131"/>
  <c r="AR8" i="131"/>
  <c r="AN8" i="131"/>
  <c r="AM79" i="131" s="1"/>
  <c r="AO79" i="131" s="1"/>
  <c r="AM8" i="131"/>
  <c r="AI8" i="131"/>
  <c r="AH79" i="131" s="1"/>
  <c r="AJ79" i="131" s="1"/>
  <c r="AJ77" i="131" s="1"/>
  <c r="AH8" i="131"/>
  <c r="AD8" i="131"/>
  <c r="AC8" i="131"/>
  <c r="Y8" i="131"/>
  <c r="X8" i="131"/>
  <c r="N8" i="131"/>
  <c r="M8" i="131"/>
  <c r="I8" i="131"/>
  <c r="D8" i="131"/>
  <c r="CC7" i="131"/>
  <c r="BX7" i="131"/>
  <c r="BS7" i="131"/>
  <c r="BN7" i="131"/>
  <c r="BI7" i="131"/>
  <c r="BD7" i="131"/>
  <c r="BD5" i="131" s="1"/>
  <c r="AY7" i="131"/>
  <c r="AT7" i="131"/>
  <c r="AO7" i="131"/>
  <c r="AJ7" i="131"/>
  <c r="AE7" i="131"/>
  <c r="Z7" i="131"/>
  <c r="S7" i="131"/>
  <c r="CG7" i="131" s="1"/>
  <c r="R7" i="131"/>
  <c r="O7" i="131"/>
  <c r="J7" i="131"/>
  <c r="E7" i="131"/>
  <c r="CC6" i="131"/>
  <c r="BX6" i="131"/>
  <c r="BS6" i="131"/>
  <c r="BN6" i="131"/>
  <c r="BN5" i="131" s="1"/>
  <c r="BI6" i="131"/>
  <c r="BI5" i="131" s="1"/>
  <c r="BD6" i="131"/>
  <c r="AY6" i="131"/>
  <c r="AT6" i="131"/>
  <c r="AO6" i="131"/>
  <c r="AO5" i="131" s="1"/>
  <c r="AJ6" i="131"/>
  <c r="AE6" i="131"/>
  <c r="Z6" i="131"/>
  <c r="S6" i="131"/>
  <c r="CG6" i="131" s="1"/>
  <c r="CH6" i="131" s="1"/>
  <c r="R6" i="131"/>
  <c r="CF6" i="131" s="1"/>
  <c r="O6" i="131"/>
  <c r="J6" i="131"/>
  <c r="J5" i="131" s="1"/>
  <c r="E6" i="131"/>
  <c r="E5" i="131" s="1"/>
  <c r="CB5" i="131"/>
  <c r="CB38" i="131" s="1"/>
  <c r="CA5" i="131"/>
  <c r="BW5" i="131"/>
  <c r="BV5" i="131"/>
  <c r="BV38" i="131" s="1"/>
  <c r="BR5" i="131"/>
  <c r="BQ5" i="131"/>
  <c r="BM5" i="131"/>
  <c r="BM38" i="131" s="1"/>
  <c r="BL5" i="131"/>
  <c r="BL38" i="131" s="1"/>
  <c r="BH5" i="131"/>
  <c r="BG5" i="131"/>
  <c r="BC5" i="131"/>
  <c r="BC38" i="131" s="1"/>
  <c r="BB5" i="131"/>
  <c r="BB38" i="131" s="1"/>
  <c r="AX5" i="131"/>
  <c r="AW5" i="131"/>
  <c r="AS5" i="131"/>
  <c r="AR5" i="131"/>
  <c r="AR38" i="131" s="1"/>
  <c r="AN5" i="131"/>
  <c r="AM5" i="131"/>
  <c r="AI5" i="131"/>
  <c r="AH5" i="131"/>
  <c r="AD5" i="131"/>
  <c r="AC5" i="131"/>
  <c r="Z5" i="131"/>
  <c r="Y5" i="131"/>
  <c r="Y38" i="131" s="1"/>
  <c r="X5" i="131"/>
  <c r="X38" i="131" s="1"/>
  <c r="N5" i="131"/>
  <c r="M5" i="131"/>
  <c r="M38" i="131" s="1"/>
  <c r="I5" i="131"/>
  <c r="H5" i="131"/>
  <c r="D5" i="131"/>
  <c r="D38" i="131" s="1"/>
  <c r="C5" i="131"/>
  <c r="CA85" i="111"/>
  <c r="BZ85" i="111"/>
  <c r="CB85" i="111" s="1"/>
  <c r="BW85" i="111"/>
  <c r="BR85" i="111"/>
  <c r="BM85" i="111"/>
  <c r="BH85" i="111"/>
  <c r="BC85" i="111"/>
  <c r="AX85" i="111"/>
  <c r="AS85" i="111"/>
  <c r="AN85" i="111"/>
  <c r="AI85" i="111"/>
  <c r="AD85" i="111"/>
  <c r="Y85" i="111"/>
  <c r="T85" i="111"/>
  <c r="N85" i="111"/>
  <c r="E85" i="111"/>
  <c r="CA82" i="111"/>
  <c r="BZ82" i="111"/>
  <c r="CB82" i="111" s="1"/>
  <c r="BW82" i="111"/>
  <c r="BR82" i="111"/>
  <c r="BM82" i="111"/>
  <c r="BH82" i="111"/>
  <c r="BC82" i="111"/>
  <c r="AX82" i="111"/>
  <c r="AS82" i="111"/>
  <c r="AN82" i="111"/>
  <c r="AI82" i="111"/>
  <c r="AD82" i="111"/>
  <c r="Y82" i="111"/>
  <c r="T82" i="111"/>
  <c r="N82" i="111"/>
  <c r="E82" i="111"/>
  <c r="CA79" i="111"/>
  <c r="CA77" i="111" s="1"/>
  <c r="E79" i="111"/>
  <c r="CA78" i="111"/>
  <c r="BZ78" i="111"/>
  <c r="CB78" i="111" s="1"/>
  <c r="BW78" i="111"/>
  <c r="BR78" i="111"/>
  <c r="BM78" i="111"/>
  <c r="BH78" i="111"/>
  <c r="BC78" i="111"/>
  <c r="AX78" i="111"/>
  <c r="AS78" i="111"/>
  <c r="AN78" i="111"/>
  <c r="AI78" i="111"/>
  <c r="AD78" i="111"/>
  <c r="Y78" i="111"/>
  <c r="T78" i="111"/>
  <c r="T77" i="111" s="1"/>
  <c r="E78" i="111"/>
  <c r="E77" i="111" s="1"/>
  <c r="BV77" i="111"/>
  <c r="BQ77" i="111"/>
  <c r="BP77" i="111"/>
  <c r="BL77" i="111"/>
  <c r="BK77" i="111"/>
  <c r="BG77" i="111"/>
  <c r="BF77" i="111"/>
  <c r="BB77" i="111"/>
  <c r="BA77" i="111"/>
  <c r="AW77" i="111"/>
  <c r="AV77" i="111"/>
  <c r="AR77" i="111"/>
  <c r="AQ77" i="111"/>
  <c r="AM77" i="111"/>
  <c r="AL77" i="111"/>
  <c r="AH77" i="111"/>
  <c r="AG77" i="111"/>
  <c r="AC77" i="111"/>
  <c r="AB77" i="111"/>
  <c r="X77" i="111"/>
  <c r="W77" i="111"/>
  <c r="S77" i="111"/>
  <c r="R77" i="111"/>
  <c r="N77" i="111"/>
  <c r="M77" i="111"/>
  <c r="L77" i="111"/>
  <c r="D77" i="111"/>
  <c r="C77" i="111"/>
  <c r="CA74" i="111"/>
  <c r="CA73" i="111" s="1"/>
  <c r="BZ74" i="111"/>
  <c r="BZ73" i="111" s="1"/>
  <c r="BW74" i="111"/>
  <c r="BW73" i="111" s="1"/>
  <c r="BR74" i="111"/>
  <c r="BM74" i="111"/>
  <c r="BH74" i="111"/>
  <c r="BH73" i="111" s="1"/>
  <c r="BC74" i="111"/>
  <c r="AX74" i="111"/>
  <c r="AS74" i="111"/>
  <c r="AS73" i="111" s="1"/>
  <c r="AN74" i="111"/>
  <c r="AN73" i="111" s="1"/>
  <c r="AI74" i="111"/>
  <c r="AD74" i="111"/>
  <c r="Y74" i="111"/>
  <c r="Y73" i="111" s="1"/>
  <c r="T74" i="111"/>
  <c r="T73" i="111" s="1"/>
  <c r="N74" i="111"/>
  <c r="N73" i="111" s="1"/>
  <c r="C74" i="111"/>
  <c r="E74" i="111" s="1"/>
  <c r="E73" i="111" s="1"/>
  <c r="BV73" i="111"/>
  <c r="BU73" i="111"/>
  <c r="BR73" i="111"/>
  <c r="BQ73" i="111"/>
  <c r="BP73" i="111"/>
  <c r="BM73" i="111"/>
  <c r="BL73" i="111"/>
  <c r="BK73" i="111"/>
  <c r="BG73" i="111"/>
  <c r="BF73" i="111"/>
  <c r="BC73" i="111"/>
  <c r="BB73" i="111"/>
  <c r="BA73" i="111"/>
  <c r="AX73" i="111"/>
  <c r="AW73" i="111"/>
  <c r="AV73" i="111"/>
  <c r="AR73" i="111"/>
  <c r="AQ73" i="111"/>
  <c r="AM73" i="111"/>
  <c r="AL73" i="111"/>
  <c r="AI73" i="111"/>
  <c r="AH73" i="111"/>
  <c r="AG73" i="111"/>
  <c r="AD73" i="111"/>
  <c r="AC73" i="111"/>
  <c r="AB73" i="111"/>
  <c r="X73" i="111"/>
  <c r="W73" i="111"/>
  <c r="S73" i="111"/>
  <c r="R73" i="111"/>
  <c r="M73" i="111"/>
  <c r="L73" i="111"/>
  <c r="D73" i="111"/>
  <c r="CA71" i="111"/>
  <c r="BZ71" i="111"/>
  <c r="BW71" i="111"/>
  <c r="BR71" i="111"/>
  <c r="BM71" i="111"/>
  <c r="BH71" i="111"/>
  <c r="BC71" i="111"/>
  <c r="AX71" i="111"/>
  <c r="AS71" i="111"/>
  <c r="AN71" i="111"/>
  <c r="AI71" i="111"/>
  <c r="AD71" i="111"/>
  <c r="Y71" i="111"/>
  <c r="T71" i="111"/>
  <c r="N71" i="111"/>
  <c r="E71" i="111"/>
  <c r="CA70" i="111"/>
  <c r="BZ70" i="111"/>
  <c r="BW70" i="111"/>
  <c r="BR70" i="111"/>
  <c r="BM70" i="111"/>
  <c r="BH70" i="111"/>
  <c r="BC70" i="111"/>
  <c r="AX70" i="111"/>
  <c r="AS70" i="111"/>
  <c r="AN70" i="111"/>
  <c r="AI70" i="111"/>
  <c r="AD70" i="111"/>
  <c r="Y70" i="111"/>
  <c r="T70" i="111"/>
  <c r="N70" i="111"/>
  <c r="E70" i="111"/>
  <c r="CA69" i="111"/>
  <c r="BZ69" i="111"/>
  <c r="CB69" i="111" s="1"/>
  <c r="BW69" i="111"/>
  <c r="BR69" i="111"/>
  <c r="BM69" i="111"/>
  <c r="BH69" i="111"/>
  <c r="BC69" i="111"/>
  <c r="AX69" i="111"/>
  <c r="AS69" i="111"/>
  <c r="AN69" i="111"/>
  <c r="AI69" i="111"/>
  <c r="AD69" i="111"/>
  <c r="Y69" i="111"/>
  <c r="T69" i="111"/>
  <c r="N69" i="111"/>
  <c r="E69" i="111"/>
  <c r="CA68" i="111"/>
  <c r="BZ68" i="111"/>
  <c r="BW68" i="111"/>
  <c r="BR68" i="111"/>
  <c r="BM68" i="111"/>
  <c r="BH68" i="111"/>
  <c r="BC68" i="111"/>
  <c r="AX68" i="111"/>
  <c r="AS68" i="111"/>
  <c r="AN68" i="111"/>
  <c r="AI68" i="111"/>
  <c r="AD68" i="111"/>
  <c r="Y68" i="111"/>
  <c r="T68" i="111"/>
  <c r="N68" i="111"/>
  <c r="E68" i="111"/>
  <c r="CA67" i="111"/>
  <c r="BZ67" i="111"/>
  <c r="BW67" i="111"/>
  <c r="BR67" i="111"/>
  <c r="BM67" i="111"/>
  <c r="BH67" i="111"/>
  <c r="BC67" i="111"/>
  <c r="AX67" i="111"/>
  <c r="AS67" i="111"/>
  <c r="AN67" i="111"/>
  <c r="AI67" i="111"/>
  <c r="AD67" i="111"/>
  <c r="Y67" i="111"/>
  <c r="T67" i="111"/>
  <c r="N67" i="111"/>
  <c r="E67" i="111"/>
  <c r="CA66" i="111"/>
  <c r="CB66" i="111" s="1"/>
  <c r="BZ66" i="111"/>
  <c r="BW66" i="111"/>
  <c r="BR66" i="111"/>
  <c r="BM66" i="111"/>
  <c r="BH66" i="111"/>
  <c r="BC66" i="111"/>
  <c r="AX66" i="111"/>
  <c r="AS66" i="111"/>
  <c r="AN66" i="111"/>
  <c r="AI66" i="111"/>
  <c r="AD66" i="111"/>
  <c r="Y66" i="111"/>
  <c r="T66" i="111"/>
  <c r="N66" i="111"/>
  <c r="E66" i="111"/>
  <c r="CA65" i="111"/>
  <c r="BZ65" i="111"/>
  <c r="BW65" i="111"/>
  <c r="BR65" i="111"/>
  <c r="BM65" i="111"/>
  <c r="BH65" i="111"/>
  <c r="BC65" i="111"/>
  <c r="AX65" i="111"/>
  <c r="AS65" i="111"/>
  <c r="AN65" i="111"/>
  <c r="AI65" i="111"/>
  <c r="AD65" i="111"/>
  <c r="Y65" i="111"/>
  <c r="T65" i="111"/>
  <c r="N65" i="111"/>
  <c r="E65" i="111"/>
  <c r="CA64" i="111"/>
  <c r="BZ64" i="111"/>
  <c r="BW64" i="111"/>
  <c r="BR64" i="111"/>
  <c r="BM64" i="111"/>
  <c r="BH64" i="111"/>
  <c r="BC64" i="111"/>
  <c r="AX64" i="111"/>
  <c r="AS64" i="111"/>
  <c r="AN64" i="111"/>
  <c r="AI64" i="111"/>
  <c r="AD64" i="111"/>
  <c r="Y64" i="111"/>
  <c r="T64" i="111"/>
  <c r="N64" i="111"/>
  <c r="E64" i="111"/>
  <c r="CA63" i="111"/>
  <c r="BZ63" i="111"/>
  <c r="BW63" i="111"/>
  <c r="BR63" i="111"/>
  <c r="BM63" i="111"/>
  <c r="BH63" i="111"/>
  <c r="BC63" i="111"/>
  <c r="AX63" i="111"/>
  <c r="AS63" i="111"/>
  <c r="AN63" i="111"/>
  <c r="AI63" i="111"/>
  <c r="AD63" i="111"/>
  <c r="Y63" i="111"/>
  <c r="T63" i="111"/>
  <c r="N63" i="111"/>
  <c r="E63" i="111"/>
  <c r="CA62" i="111"/>
  <c r="BZ62" i="111"/>
  <c r="BW62" i="111"/>
  <c r="BR62" i="111"/>
  <c r="BM62" i="111"/>
  <c r="BH62" i="111"/>
  <c r="BC62" i="111"/>
  <c r="AX62" i="111"/>
  <c r="AS62" i="111"/>
  <c r="AN62" i="111"/>
  <c r="AI62" i="111"/>
  <c r="AD62" i="111"/>
  <c r="Y62" i="111"/>
  <c r="T62" i="111"/>
  <c r="N62" i="111"/>
  <c r="E62" i="111"/>
  <c r="CA61" i="111"/>
  <c r="BZ61" i="111"/>
  <c r="BW61" i="111"/>
  <c r="BR61" i="111"/>
  <c r="BM61" i="111"/>
  <c r="BH61" i="111"/>
  <c r="BC61" i="111"/>
  <c r="AX61" i="111"/>
  <c r="AS61" i="111"/>
  <c r="AN61" i="111"/>
  <c r="AI61" i="111"/>
  <c r="AD61" i="111"/>
  <c r="Y61" i="111"/>
  <c r="T61" i="111"/>
  <c r="N61" i="111"/>
  <c r="E61" i="111"/>
  <c r="CA60" i="111"/>
  <c r="BZ60" i="111"/>
  <c r="BW60" i="111"/>
  <c r="BR60" i="111"/>
  <c r="BM60" i="111"/>
  <c r="BH60" i="111"/>
  <c r="BC60" i="111"/>
  <c r="AX60" i="111"/>
  <c r="AS60" i="111"/>
  <c r="AN60" i="111"/>
  <c r="AI60" i="111"/>
  <c r="AD60" i="111"/>
  <c r="Y60" i="111"/>
  <c r="T60" i="111"/>
  <c r="N60" i="111"/>
  <c r="E60" i="111"/>
  <c r="CA59" i="111"/>
  <c r="BZ59" i="111"/>
  <c r="BW59" i="111"/>
  <c r="BR59" i="111"/>
  <c r="BM59" i="111"/>
  <c r="BH59" i="111"/>
  <c r="BC59" i="111"/>
  <c r="AX59" i="111"/>
  <c r="AS59" i="111"/>
  <c r="AN59" i="111"/>
  <c r="AI59" i="111"/>
  <c r="AD59" i="111"/>
  <c r="Y59" i="111"/>
  <c r="T59" i="111"/>
  <c r="N59" i="111"/>
  <c r="E59" i="111"/>
  <c r="CA58" i="111"/>
  <c r="BZ58" i="111"/>
  <c r="BW58" i="111"/>
  <c r="BR58" i="111"/>
  <c r="BM58" i="111"/>
  <c r="BH58" i="111"/>
  <c r="BC58" i="111"/>
  <c r="AX58" i="111"/>
  <c r="AS58" i="111"/>
  <c r="AN58" i="111"/>
  <c r="AI58" i="111"/>
  <c r="AD58" i="111"/>
  <c r="Y58" i="111"/>
  <c r="T58" i="111"/>
  <c r="N58" i="111"/>
  <c r="E58" i="111"/>
  <c r="CA57" i="111"/>
  <c r="BZ57" i="111"/>
  <c r="BW57" i="111"/>
  <c r="BR57" i="111"/>
  <c r="BM57" i="111"/>
  <c r="BH57" i="111"/>
  <c r="BC57" i="111"/>
  <c r="AX57" i="111"/>
  <c r="AS57" i="111"/>
  <c r="AN57" i="111"/>
  <c r="AI57" i="111"/>
  <c r="AD57" i="111"/>
  <c r="Y57" i="111"/>
  <c r="T57" i="111"/>
  <c r="N57" i="111"/>
  <c r="E57" i="111"/>
  <c r="CA56" i="111"/>
  <c r="BZ56" i="111"/>
  <c r="BW56" i="111"/>
  <c r="BR56" i="111"/>
  <c r="BM56" i="111"/>
  <c r="BH56" i="111"/>
  <c r="BC56" i="111"/>
  <c r="AX56" i="111"/>
  <c r="AS56" i="111"/>
  <c r="AN56" i="111"/>
  <c r="AI56" i="111"/>
  <c r="AD56" i="111"/>
  <c r="Y56" i="111"/>
  <c r="T56" i="111"/>
  <c r="N56" i="111"/>
  <c r="E56" i="111"/>
  <c r="CA55" i="111"/>
  <c r="BZ55" i="111"/>
  <c r="BW55" i="111"/>
  <c r="BR55" i="111"/>
  <c r="BM55" i="111"/>
  <c r="BH55" i="111"/>
  <c r="BC55" i="111"/>
  <c r="AX55" i="111"/>
  <c r="AS55" i="111"/>
  <c r="AN55" i="111"/>
  <c r="AI55" i="111"/>
  <c r="AD55" i="111"/>
  <c r="Y55" i="111"/>
  <c r="T55" i="111"/>
  <c r="T54" i="111" s="1"/>
  <c r="N55" i="111"/>
  <c r="E55" i="111"/>
  <c r="BV54" i="111"/>
  <c r="BU54" i="111"/>
  <c r="BQ54" i="111"/>
  <c r="BP54" i="111"/>
  <c r="BM54" i="111"/>
  <c r="BL54" i="111"/>
  <c r="BK54" i="111"/>
  <c r="BG54" i="111"/>
  <c r="BF54" i="111"/>
  <c r="BB54" i="111"/>
  <c r="BA54" i="111"/>
  <c r="AW54" i="111"/>
  <c r="AV54" i="111"/>
  <c r="AR54" i="111"/>
  <c r="AQ54" i="111"/>
  <c r="AM54" i="111"/>
  <c r="AL54" i="111"/>
  <c r="AH54" i="111"/>
  <c r="AG54" i="111"/>
  <c r="AC54" i="111"/>
  <c r="AB54" i="111"/>
  <c r="X54" i="111"/>
  <c r="W54" i="111"/>
  <c r="S54" i="111"/>
  <c r="R54" i="111"/>
  <c r="M54" i="111"/>
  <c r="L54" i="111"/>
  <c r="D54" i="111"/>
  <c r="C54" i="111"/>
  <c r="CA52" i="111"/>
  <c r="CB52" i="111" s="1"/>
  <c r="BZ52" i="111"/>
  <c r="BW52" i="111"/>
  <c r="BR52" i="111"/>
  <c r="BM52" i="111"/>
  <c r="BH52" i="111"/>
  <c r="BC52" i="111"/>
  <c r="AX52" i="111"/>
  <c r="AS52" i="111"/>
  <c r="AN52" i="111"/>
  <c r="AI52" i="111"/>
  <c r="AD52" i="111"/>
  <c r="Y52" i="111"/>
  <c r="T52" i="111"/>
  <c r="N52" i="111"/>
  <c r="E52" i="111"/>
  <c r="CA51" i="111"/>
  <c r="CA50" i="111" s="1"/>
  <c r="BZ51" i="111"/>
  <c r="BW51" i="111"/>
  <c r="BW50" i="111" s="1"/>
  <c r="BR51" i="111"/>
  <c r="BM51" i="111"/>
  <c r="BM50" i="111" s="1"/>
  <c r="BH51" i="111"/>
  <c r="BC51" i="111"/>
  <c r="AX51" i="111"/>
  <c r="AX50" i="111" s="1"/>
  <c r="AS51" i="111"/>
  <c r="AS50" i="111" s="1"/>
  <c r="AN51" i="111"/>
  <c r="AI51" i="111"/>
  <c r="AI50" i="111" s="1"/>
  <c r="AD51" i="111"/>
  <c r="Y51" i="111"/>
  <c r="T51" i="111"/>
  <c r="T50" i="111" s="1"/>
  <c r="N51" i="111"/>
  <c r="E51" i="111"/>
  <c r="BZ50" i="111"/>
  <c r="BV50" i="111"/>
  <c r="BU50" i="111"/>
  <c r="BQ50" i="111"/>
  <c r="BP50" i="111"/>
  <c r="BL50" i="111"/>
  <c r="BK50" i="111"/>
  <c r="BH50" i="111"/>
  <c r="BG50" i="111"/>
  <c r="BF50" i="111"/>
  <c r="BB50" i="111"/>
  <c r="BA50" i="111"/>
  <c r="AW50" i="111"/>
  <c r="AV50" i="111"/>
  <c r="AR50" i="111"/>
  <c r="AQ50" i="111"/>
  <c r="AM50" i="111"/>
  <c r="AL50" i="111"/>
  <c r="AH50" i="111"/>
  <c r="AG50" i="111"/>
  <c r="AD50" i="111"/>
  <c r="AC50" i="111"/>
  <c r="AB50" i="111"/>
  <c r="X50" i="111"/>
  <c r="W50" i="111"/>
  <c r="S50" i="111"/>
  <c r="R50" i="111"/>
  <c r="N50" i="111"/>
  <c r="M50" i="111"/>
  <c r="L50" i="111"/>
  <c r="CA48" i="111"/>
  <c r="BZ48" i="111"/>
  <c r="BW48" i="111"/>
  <c r="BR48" i="111"/>
  <c r="BM48" i="111"/>
  <c r="BH48" i="111"/>
  <c r="BC48" i="111"/>
  <c r="AX48" i="111"/>
  <c r="AS48" i="111"/>
  <c r="AN48" i="111"/>
  <c r="AI48" i="111"/>
  <c r="AD48" i="111"/>
  <c r="Y48" i="111"/>
  <c r="T48" i="111"/>
  <c r="N48" i="111"/>
  <c r="E48" i="111"/>
  <c r="CA47" i="111"/>
  <c r="BZ47" i="111"/>
  <c r="CB47" i="111" s="1"/>
  <c r="BW47" i="111"/>
  <c r="BR47" i="111"/>
  <c r="BM47" i="111"/>
  <c r="BH47" i="111"/>
  <c r="BC47" i="111"/>
  <c r="AX47" i="111"/>
  <c r="AS47" i="111"/>
  <c r="AN47" i="111"/>
  <c r="AI47" i="111"/>
  <c r="AD47" i="111"/>
  <c r="Y47" i="111"/>
  <c r="T47" i="111"/>
  <c r="N47" i="111"/>
  <c r="E47" i="111"/>
  <c r="CA46" i="111"/>
  <c r="BZ46" i="111"/>
  <c r="BW46" i="111"/>
  <c r="BR46" i="111"/>
  <c r="BM46" i="111"/>
  <c r="BH46" i="111"/>
  <c r="BC46" i="111"/>
  <c r="AX46" i="111"/>
  <c r="AS46" i="111"/>
  <c r="AN46" i="111"/>
  <c r="AI46" i="111"/>
  <c r="AD46" i="111"/>
  <c r="Y46" i="111"/>
  <c r="T46" i="111"/>
  <c r="N46" i="111"/>
  <c r="E46" i="111"/>
  <c r="CA45" i="111"/>
  <c r="BZ45" i="111"/>
  <c r="BW45" i="111"/>
  <c r="BR45" i="111"/>
  <c r="BM45" i="111"/>
  <c r="BH45" i="111"/>
  <c r="BC45" i="111"/>
  <c r="AX45" i="111"/>
  <c r="AS45" i="111"/>
  <c r="AN45" i="111"/>
  <c r="AI45" i="111"/>
  <c r="AD45" i="111"/>
  <c r="Y45" i="111"/>
  <c r="T45" i="111"/>
  <c r="N45" i="111"/>
  <c r="E45" i="111"/>
  <c r="CA44" i="111"/>
  <c r="CB44" i="111" s="1"/>
  <c r="BZ44" i="111"/>
  <c r="BW44" i="111"/>
  <c r="BR44" i="111"/>
  <c r="BM44" i="111"/>
  <c r="BH44" i="111"/>
  <c r="BC44" i="111"/>
  <c r="AX44" i="111"/>
  <c r="AS44" i="111"/>
  <c r="AN44" i="111"/>
  <c r="AI44" i="111"/>
  <c r="AD44" i="111"/>
  <c r="Y44" i="111"/>
  <c r="T44" i="111"/>
  <c r="N44" i="111"/>
  <c r="E44" i="111"/>
  <c r="CA43" i="111"/>
  <c r="BZ43" i="111"/>
  <c r="BW43" i="111"/>
  <c r="BR43" i="111"/>
  <c r="BM43" i="111"/>
  <c r="BH43" i="111"/>
  <c r="BC43" i="111"/>
  <c r="AX43" i="111"/>
  <c r="AS43" i="111"/>
  <c r="AN43" i="111"/>
  <c r="AI43" i="111"/>
  <c r="AD43" i="111"/>
  <c r="Y43" i="111"/>
  <c r="T43" i="111"/>
  <c r="N43" i="111"/>
  <c r="E43" i="111"/>
  <c r="CA42" i="111"/>
  <c r="BZ42" i="111"/>
  <c r="BW42" i="111"/>
  <c r="BR42" i="111"/>
  <c r="BM42" i="111"/>
  <c r="BH42" i="111"/>
  <c r="BH41" i="111" s="1"/>
  <c r="BC42" i="111"/>
  <c r="AX42" i="111"/>
  <c r="AX41" i="111" s="1"/>
  <c r="AS42" i="111"/>
  <c r="AN42" i="111"/>
  <c r="AI42" i="111"/>
  <c r="AD42" i="111"/>
  <c r="AD41" i="111" s="1"/>
  <c r="Y42" i="111"/>
  <c r="T42" i="111"/>
  <c r="N42" i="111"/>
  <c r="E42" i="111"/>
  <c r="BV41" i="111"/>
  <c r="BU41" i="111"/>
  <c r="BQ41" i="111"/>
  <c r="BP41" i="111"/>
  <c r="BL41" i="111"/>
  <c r="BK41" i="111"/>
  <c r="BG41" i="111"/>
  <c r="BF41" i="111"/>
  <c r="BB41" i="111"/>
  <c r="BA41" i="111"/>
  <c r="AW41" i="111"/>
  <c r="AV41" i="111"/>
  <c r="AR41" i="111"/>
  <c r="AQ41" i="111"/>
  <c r="AM41" i="111"/>
  <c r="AL41" i="111"/>
  <c r="AI41" i="111"/>
  <c r="AH41" i="111"/>
  <c r="AG41" i="111"/>
  <c r="AC41" i="111"/>
  <c r="AB41" i="111"/>
  <c r="X41" i="111"/>
  <c r="W41" i="111"/>
  <c r="S41" i="111"/>
  <c r="R41" i="111"/>
  <c r="N41" i="111"/>
  <c r="M41" i="111"/>
  <c r="L41" i="111"/>
  <c r="D41" i="111"/>
  <c r="C41" i="111"/>
  <c r="CA36" i="111"/>
  <c r="CA35" i="111" s="1"/>
  <c r="BW36" i="111"/>
  <c r="BW35" i="111" s="1"/>
  <c r="BP36" i="111"/>
  <c r="BM36" i="111"/>
  <c r="BH36" i="111"/>
  <c r="BH35" i="111" s="1"/>
  <c r="BC36" i="111"/>
  <c r="AX36" i="111"/>
  <c r="AS36" i="111"/>
  <c r="AN36" i="111"/>
  <c r="AI36" i="111"/>
  <c r="AI35" i="111" s="1"/>
  <c r="AD36" i="111"/>
  <c r="Y36" i="111"/>
  <c r="T36" i="111"/>
  <c r="T35" i="111" s="1"/>
  <c r="N36" i="111"/>
  <c r="N35" i="111" s="1"/>
  <c r="E36" i="111"/>
  <c r="E35" i="111" s="1"/>
  <c r="BM35" i="111"/>
  <c r="BC35" i="111"/>
  <c r="AX35" i="111"/>
  <c r="AS35" i="111"/>
  <c r="AN35" i="111"/>
  <c r="AM35" i="111"/>
  <c r="AL35" i="111"/>
  <c r="AH35" i="111"/>
  <c r="AG35" i="111"/>
  <c r="AC35" i="111"/>
  <c r="AB35" i="111"/>
  <c r="Y35" i="111"/>
  <c r="X35" i="111"/>
  <c r="W35" i="111"/>
  <c r="S35" i="111"/>
  <c r="R35" i="111"/>
  <c r="M35" i="111"/>
  <c r="L35" i="111"/>
  <c r="D35" i="111"/>
  <c r="C35" i="111"/>
  <c r="CA33" i="111"/>
  <c r="BZ33" i="111"/>
  <c r="BW33" i="111"/>
  <c r="BR33" i="111"/>
  <c r="BM33" i="111"/>
  <c r="BH33" i="111"/>
  <c r="BC33" i="111"/>
  <c r="AX33" i="111"/>
  <c r="AS33" i="111"/>
  <c r="AN33" i="111"/>
  <c r="AI33" i="111"/>
  <c r="AD33" i="111"/>
  <c r="Y33" i="111"/>
  <c r="T33" i="111"/>
  <c r="N33" i="111"/>
  <c r="I33" i="111"/>
  <c r="E33" i="111"/>
  <c r="CA32" i="111"/>
  <c r="BZ32" i="111"/>
  <c r="CB32" i="111" s="1"/>
  <c r="BW32" i="111"/>
  <c r="BR32" i="111"/>
  <c r="BM32" i="111"/>
  <c r="BH32" i="111"/>
  <c r="BC32" i="111"/>
  <c r="AX32" i="111"/>
  <c r="AS32" i="111"/>
  <c r="AN32" i="111"/>
  <c r="AI32" i="111"/>
  <c r="AD32" i="111"/>
  <c r="Y32" i="111"/>
  <c r="T32" i="111"/>
  <c r="N32" i="111"/>
  <c r="I32" i="111"/>
  <c r="E32" i="111"/>
  <c r="CA31" i="111"/>
  <c r="BZ31" i="111"/>
  <c r="BW31" i="111"/>
  <c r="BR31" i="111"/>
  <c r="BM31" i="111"/>
  <c r="BH31" i="111"/>
  <c r="BC31" i="111"/>
  <c r="AX31" i="111"/>
  <c r="AS31" i="111"/>
  <c r="AN31" i="111"/>
  <c r="AI31" i="111"/>
  <c r="AD31" i="111"/>
  <c r="Y31" i="111"/>
  <c r="T31" i="111"/>
  <c r="N31" i="111"/>
  <c r="I31" i="111"/>
  <c r="E31" i="111"/>
  <c r="CA30" i="111"/>
  <c r="BZ30" i="111"/>
  <c r="BW30" i="111"/>
  <c r="BR30" i="111"/>
  <c r="BM30" i="111"/>
  <c r="BH30" i="111"/>
  <c r="BC30" i="111"/>
  <c r="AX30" i="111"/>
  <c r="AS30" i="111"/>
  <c r="AN30" i="111"/>
  <c r="AI30" i="111"/>
  <c r="AD30" i="111"/>
  <c r="Y30" i="111"/>
  <c r="T30" i="111"/>
  <c r="N30" i="111"/>
  <c r="I30" i="111"/>
  <c r="E30" i="111"/>
  <c r="CA29" i="111"/>
  <c r="BZ29" i="111"/>
  <c r="BW29" i="111"/>
  <c r="BR29" i="111"/>
  <c r="BM29" i="111"/>
  <c r="BH29" i="111"/>
  <c r="BC29" i="111"/>
  <c r="AX29" i="111"/>
  <c r="AS29" i="111"/>
  <c r="AN29" i="111"/>
  <c r="AI29" i="111"/>
  <c r="AD29" i="111"/>
  <c r="Y29" i="111"/>
  <c r="T29" i="111"/>
  <c r="N29" i="111"/>
  <c r="I29" i="111"/>
  <c r="E29" i="111"/>
  <c r="CA28" i="111"/>
  <c r="BZ28" i="111"/>
  <c r="BW28" i="111"/>
  <c r="BR28" i="111"/>
  <c r="BM28" i="111"/>
  <c r="BH28" i="111"/>
  <c r="BC28" i="111"/>
  <c r="AX28" i="111"/>
  <c r="AS28" i="111"/>
  <c r="AN28" i="111"/>
  <c r="AI28" i="111"/>
  <c r="AD28" i="111"/>
  <c r="Y28" i="111"/>
  <c r="T28" i="111"/>
  <c r="N28" i="111"/>
  <c r="I28" i="111"/>
  <c r="E28" i="111"/>
  <c r="CA27" i="111"/>
  <c r="BZ27" i="111"/>
  <c r="CB27" i="111" s="1"/>
  <c r="BW27" i="111"/>
  <c r="BR27" i="111"/>
  <c r="BM27" i="111"/>
  <c r="BH27" i="111"/>
  <c r="BC27" i="111"/>
  <c r="AX27" i="111"/>
  <c r="AS27" i="111"/>
  <c r="AN27" i="111"/>
  <c r="AI27" i="111"/>
  <c r="AD27" i="111"/>
  <c r="Y27" i="111"/>
  <c r="T27" i="111"/>
  <c r="N27" i="111"/>
  <c r="I27" i="111"/>
  <c r="E27" i="111"/>
  <c r="CA26" i="111"/>
  <c r="BW26" i="111"/>
  <c r="BR26" i="111"/>
  <c r="BM26" i="111"/>
  <c r="BH26" i="111"/>
  <c r="BC26" i="111"/>
  <c r="AV26" i="111"/>
  <c r="AX26" i="111" s="1"/>
  <c r="AS26" i="111"/>
  <c r="AL26" i="111"/>
  <c r="AN26" i="111" s="1"/>
  <c r="AI26" i="111"/>
  <c r="AB26" i="111"/>
  <c r="AD26" i="111" s="1"/>
  <c r="Y26" i="111"/>
  <c r="T26" i="111"/>
  <c r="L26" i="111"/>
  <c r="N26" i="111" s="1"/>
  <c r="I26" i="111"/>
  <c r="G26" i="111"/>
  <c r="E26" i="111"/>
  <c r="CA25" i="111"/>
  <c r="BZ25" i="111"/>
  <c r="CB25" i="111" s="1"/>
  <c r="BW25" i="111"/>
  <c r="BR25" i="111"/>
  <c r="BM25" i="111"/>
  <c r="BH25" i="111"/>
  <c r="BC25" i="111"/>
  <c r="AX25" i="111"/>
  <c r="AS25" i="111"/>
  <c r="AN25" i="111"/>
  <c r="AI25" i="111"/>
  <c r="AD25" i="111"/>
  <c r="Y25" i="111"/>
  <c r="T25" i="111"/>
  <c r="N25" i="111"/>
  <c r="I25" i="111"/>
  <c r="E25" i="111"/>
  <c r="CA24" i="111"/>
  <c r="BZ24" i="111"/>
  <c r="BW24" i="111"/>
  <c r="BR24" i="111"/>
  <c r="BM24" i="111"/>
  <c r="BH24" i="111"/>
  <c r="BC24" i="111"/>
  <c r="AX24" i="111"/>
  <c r="AS24" i="111"/>
  <c r="AN24" i="111"/>
  <c r="AI24" i="111"/>
  <c r="AD24" i="111"/>
  <c r="Y24" i="111"/>
  <c r="T24" i="111"/>
  <c r="N24" i="111"/>
  <c r="I24" i="111"/>
  <c r="E24" i="111"/>
  <c r="CA23" i="111"/>
  <c r="BZ23" i="111"/>
  <c r="BW23" i="111"/>
  <c r="BR23" i="111"/>
  <c r="BM23" i="111"/>
  <c r="BH23" i="111"/>
  <c r="BC23" i="111"/>
  <c r="AX23" i="111"/>
  <c r="AS23" i="111"/>
  <c r="AN23" i="111"/>
  <c r="AI23" i="111"/>
  <c r="AD23" i="111"/>
  <c r="Y23" i="111"/>
  <c r="T23" i="111"/>
  <c r="N23" i="111"/>
  <c r="I23" i="111"/>
  <c r="CA22" i="111"/>
  <c r="BZ22" i="111"/>
  <c r="BW22" i="111"/>
  <c r="BR22" i="111"/>
  <c r="BM22" i="111"/>
  <c r="BH22" i="111"/>
  <c r="BC22" i="111"/>
  <c r="AX22" i="111"/>
  <c r="AS22" i="111"/>
  <c r="AN22" i="111"/>
  <c r="AI22" i="111"/>
  <c r="AD22" i="111"/>
  <c r="Y22" i="111"/>
  <c r="T22" i="111"/>
  <c r="N22" i="111"/>
  <c r="I22" i="111"/>
  <c r="CA21" i="111"/>
  <c r="BZ21" i="111"/>
  <c r="CB21" i="111" s="1"/>
  <c r="BW21" i="111"/>
  <c r="BR21" i="111"/>
  <c r="BM21" i="111"/>
  <c r="BH21" i="111"/>
  <c r="BC21" i="111"/>
  <c r="AX21" i="111"/>
  <c r="AS21" i="111"/>
  <c r="AN21" i="111"/>
  <c r="AI21" i="111"/>
  <c r="AD21" i="111"/>
  <c r="Y21" i="111"/>
  <c r="T21" i="111"/>
  <c r="N21" i="111"/>
  <c r="I21" i="111"/>
  <c r="E21" i="111"/>
  <c r="CA20" i="111"/>
  <c r="BZ20" i="111"/>
  <c r="BW20" i="111"/>
  <c r="BR20" i="111"/>
  <c r="BM20" i="111"/>
  <c r="BH20" i="111"/>
  <c r="BC20" i="111"/>
  <c r="AX20" i="111"/>
  <c r="AS20" i="111"/>
  <c r="AN20" i="111"/>
  <c r="AI20" i="111"/>
  <c r="AD20" i="111"/>
  <c r="Y20" i="111"/>
  <c r="T20" i="111"/>
  <c r="N20" i="111"/>
  <c r="I20" i="111"/>
  <c r="E20" i="111"/>
  <c r="CA19" i="111"/>
  <c r="BZ19" i="111"/>
  <c r="BW19" i="111"/>
  <c r="BR19" i="111"/>
  <c r="BM19" i="111"/>
  <c r="BH19" i="111"/>
  <c r="BC19" i="111"/>
  <c r="AX19" i="111"/>
  <c r="AS19" i="111"/>
  <c r="AN19" i="111"/>
  <c r="AI19" i="111"/>
  <c r="AD19" i="111"/>
  <c r="Y19" i="111"/>
  <c r="T19" i="111"/>
  <c r="N19" i="111"/>
  <c r="I19" i="111"/>
  <c r="E19" i="111"/>
  <c r="CA18" i="111"/>
  <c r="BZ18" i="111"/>
  <c r="BW18" i="111"/>
  <c r="BR18" i="111"/>
  <c r="BM18" i="111"/>
  <c r="BH18" i="111"/>
  <c r="BC18" i="111"/>
  <c r="AX18" i="111"/>
  <c r="AS18" i="111"/>
  <c r="AN18" i="111"/>
  <c r="AI18" i="111"/>
  <c r="AD18" i="111"/>
  <c r="Y18" i="111"/>
  <c r="T18" i="111"/>
  <c r="N18" i="111"/>
  <c r="I18" i="111"/>
  <c r="E18" i="111"/>
  <c r="CA17" i="111"/>
  <c r="BZ17" i="111"/>
  <c r="BW17" i="111"/>
  <c r="BR17" i="111"/>
  <c r="BM17" i="111"/>
  <c r="BH17" i="111"/>
  <c r="BC17" i="111"/>
  <c r="AX17" i="111"/>
  <c r="AS17" i="111"/>
  <c r="AN17" i="111"/>
  <c r="AI17" i="111"/>
  <c r="AD17" i="111"/>
  <c r="Y17" i="111"/>
  <c r="T17" i="111"/>
  <c r="N17" i="111"/>
  <c r="I17" i="111"/>
  <c r="E17" i="111"/>
  <c r="BZ16" i="111"/>
  <c r="BW16" i="111"/>
  <c r="BR16" i="111"/>
  <c r="BM16" i="111"/>
  <c r="BH16" i="111"/>
  <c r="BC16" i="111"/>
  <c r="AX16" i="111"/>
  <c r="AS16" i="111"/>
  <c r="AN16" i="111"/>
  <c r="AI16" i="111"/>
  <c r="AD16" i="111"/>
  <c r="Y16" i="111"/>
  <c r="T16" i="111"/>
  <c r="N16" i="111"/>
  <c r="H16" i="111"/>
  <c r="I16" i="111" s="1"/>
  <c r="E16" i="111"/>
  <c r="CA15" i="111"/>
  <c r="BZ15" i="111"/>
  <c r="BW15" i="111"/>
  <c r="BR15" i="111"/>
  <c r="BM15" i="111"/>
  <c r="BH15" i="111"/>
  <c r="BC15" i="111"/>
  <c r="AX15" i="111"/>
  <c r="AS15" i="111"/>
  <c r="AN15" i="111"/>
  <c r="AI15" i="111"/>
  <c r="AD15" i="111"/>
  <c r="Y15" i="111"/>
  <c r="T15" i="111"/>
  <c r="N15" i="111"/>
  <c r="I15" i="111"/>
  <c r="E15" i="111"/>
  <c r="CA14" i="111"/>
  <c r="BZ14" i="111"/>
  <c r="BW14" i="111"/>
  <c r="BR14" i="111"/>
  <c r="BM14" i="111"/>
  <c r="BH14" i="111"/>
  <c r="BC14" i="111"/>
  <c r="AX14" i="111"/>
  <c r="AS14" i="111"/>
  <c r="AN14" i="111"/>
  <c r="AI14" i="111"/>
  <c r="AD14" i="111"/>
  <c r="Y14" i="111"/>
  <c r="T14" i="111"/>
  <c r="N14" i="111"/>
  <c r="I14" i="111"/>
  <c r="E14" i="111"/>
  <c r="CA13" i="111"/>
  <c r="BZ13" i="111"/>
  <c r="CB13" i="111" s="1"/>
  <c r="BW13" i="111"/>
  <c r="BR13" i="111"/>
  <c r="BM13" i="111"/>
  <c r="BH13" i="111"/>
  <c r="BC13" i="111"/>
  <c r="AX13" i="111"/>
  <c r="AS13" i="111"/>
  <c r="AN13" i="111"/>
  <c r="AI13" i="111"/>
  <c r="AD13" i="111"/>
  <c r="Y13" i="111"/>
  <c r="T13" i="111"/>
  <c r="N13" i="111"/>
  <c r="I13" i="111"/>
  <c r="E13" i="111"/>
  <c r="BZ12" i="111"/>
  <c r="BW12" i="111"/>
  <c r="BR12" i="111"/>
  <c r="BM12" i="111"/>
  <c r="BH12" i="111"/>
  <c r="BC12" i="111"/>
  <c r="AX12" i="111"/>
  <c r="AS12" i="111"/>
  <c r="AN12" i="111"/>
  <c r="AI12" i="111"/>
  <c r="AD12" i="111"/>
  <c r="Y12" i="111"/>
  <c r="T12" i="111"/>
  <c r="N12" i="111"/>
  <c r="H12" i="111"/>
  <c r="CA12" i="111" s="1"/>
  <c r="E12" i="111"/>
  <c r="CA11" i="111"/>
  <c r="BZ11" i="111"/>
  <c r="BW11" i="111"/>
  <c r="BR11" i="111"/>
  <c r="BM11" i="111"/>
  <c r="BH11" i="111"/>
  <c r="BC11" i="111"/>
  <c r="AX11" i="111"/>
  <c r="AS11" i="111"/>
  <c r="AN11" i="111"/>
  <c r="AI11" i="111"/>
  <c r="AD11" i="111"/>
  <c r="Y11" i="111"/>
  <c r="T11" i="111"/>
  <c r="N11" i="111"/>
  <c r="I11" i="111"/>
  <c r="E11" i="111"/>
  <c r="CA10" i="111"/>
  <c r="BZ10" i="111"/>
  <c r="CB10" i="111" s="1"/>
  <c r="BW10" i="111"/>
  <c r="BR10" i="111"/>
  <c r="BM10" i="111"/>
  <c r="BH10" i="111"/>
  <c r="BC10" i="111"/>
  <c r="AX10" i="111"/>
  <c r="AS10" i="111"/>
  <c r="AN10" i="111"/>
  <c r="AI10" i="111"/>
  <c r="AD10" i="111"/>
  <c r="Y10" i="111"/>
  <c r="T10" i="111"/>
  <c r="N10" i="111"/>
  <c r="I10" i="111"/>
  <c r="E10" i="111"/>
  <c r="CA9" i="111"/>
  <c r="BZ9" i="111"/>
  <c r="BW9" i="111"/>
  <c r="BR9" i="111"/>
  <c r="BM9" i="111"/>
  <c r="BH9" i="111"/>
  <c r="BC9" i="111"/>
  <c r="AX9" i="111"/>
  <c r="AS9" i="111"/>
  <c r="AN9" i="111"/>
  <c r="AI9" i="111"/>
  <c r="AD9" i="111"/>
  <c r="Y9" i="111"/>
  <c r="T9" i="111"/>
  <c r="N9" i="111"/>
  <c r="I9" i="111"/>
  <c r="E9" i="111"/>
  <c r="BV8" i="111"/>
  <c r="BU8" i="111"/>
  <c r="BR8" i="111"/>
  <c r="BQ8" i="111"/>
  <c r="BP8" i="111"/>
  <c r="BL8" i="111"/>
  <c r="BK8" i="111"/>
  <c r="BG8" i="111"/>
  <c r="BF8" i="111"/>
  <c r="BB8" i="111"/>
  <c r="BA8" i="111"/>
  <c r="AW8" i="111"/>
  <c r="AV8" i="111"/>
  <c r="AR8" i="111"/>
  <c r="AQ8" i="111"/>
  <c r="AM8" i="111"/>
  <c r="AL8" i="111"/>
  <c r="AH8" i="111"/>
  <c r="AG8" i="111"/>
  <c r="AC8" i="111"/>
  <c r="AB8" i="111"/>
  <c r="X8" i="111"/>
  <c r="W8" i="111"/>
  <c r="S8" i="111"/>
  <c r="R8" i="111"/>
  <c r="M8" i="111"/>
  <c r="L8" i="111"/>
  <c r="G8" i="111"/>
  <c r="D8" i="111"/>
  <c r="C8" i="111"/>
  <c r="CA7" i="111"/>
  <c r="BW7" i="111"/>
  <c r="BR7" i="111"/>
  <c r="BM7" i="111"/>
  <c r="BH7" i="111"/>
  <c r="BC7" i="111"/>
  <c r="AX7" i="111"/>
  <c r="AS7" i="111"/>
  <c r="AN7" i="111"/>
  <c r="AI7" i="111"/>
  <c r="AB7" i="111"/>
  <c r="AD7" i="111" s="1"/>
  <c r="Y7" i="111"/>
  <c r="T7" i="111"/>
  <c r="N7" i="111"/>
  <c r="E7" i="111"/>
  <c r="CA6" i="111"/>
  <c r="CA5" i="111" s="1"/>
  <c r="BW6" i="111"/>
  <c r="BW5" i="111" s="1"/>
  <c r="BR6" i="111"/>
  <c r="BM6" i="111"/>
  <c r="BM5" i="111" s="1"/>
  <c r="BH6" i="111"/>
  <c r="BC6" i="111"/>
  <c r="AV6" i="111"/>
  <c r="AX6" i="111" s="1"/>
  <c r="AS6" i="111"/>
  <c r="AL6" i="111"/>
  <c r="AN6" i="111" s="1"/>
  <c r="AI6" i="111"/>
  <c r="AD6" i="111"/>
  <c r="Y6" i="111"/>
  <c r="T6" i="111"/>
  <c r="N6" i="111"/>
  <c r="E6" i="111"/>
  <c r="E5" i="111" s="1"/>
  <c r="BV5" i="111"/>
  <c r="BV38" i="111" s="1"/>
  <c r="BU5" i="111"/>
  <c r="BU38" i="111" s="1"/>
  <c r="BR5" i="111"/>
  <c r="BR38" i="111" s="1"/>
  <c r="BQ5" i="111"/>
  <c r="BQ38" i="111" s="1"/>
  <c r="BP5" i="111"/>
  <c r="BL5" i="111"/>
  <c r="BL38" i="111" s="1"/>
  <c r="BK5" i="111"/>
  <c r="BK38" i="111" s="1"/>
  <c r="BK75" i="111" s="1"/>
  <c r="BG5" i="111"/>
  <c r="BG38" i="111" s="1"/>
  <c r="BF5" i="111"/>
  <c r="BF38" i="111" s="1"/>
  <c r="BC5" i="111"/>
  <c r="BB5" i="111"/>
  <c r="BB38" i="111" s="1"/>
  <c r="BA5" i="111"/>
  <c r="AW5" i="111"/>
  <c r="AW38" i="111" s="1"/>
  <c r="AR5" i="111"/>
  <c r="AR38" i="111" s="1"/>
  <c r="AQ5" i="111"/>
  <c r="AQ38" i="111" s="1"/>
  <c r="AM5" i="111"/>
  <c r="AM38" i="111" s="1"/>
  <c r="AL5" i="111"/>
  <c r="AI5" i="111"/>
  <c r="AH5" i="111"/>
  <c r="AG5" i="111"/>
  <c r="AG38" i="111" s="1"/>
  <c r="AC5" i="111"/>
  <c r="AC38" i="111" s="1"/>
  <c r="AB5" i="111"/>
  <c r="AB38" i="111" s="1"/>
  <c r="X5" i="111"/>
  <c r="X38" i="111" s="1"/>
  <c r="W5" i="111"/>
  <c r="T5" i="111"/>
  <c r="S5" i="111"/>
  <c r="S38" i="111" s="1"/>
  <c r="R5" i="111"/>
  <c r="N5" i="111"/>
  <c r="M5" i="111"/>
  <c r="M38" i="111" s="1"/>
  <c r="L5" i="111"/>
  <c r="L38" i="111" s="1"/>
  <c r="D5" i="111"/>
  <c r="D38" i="111" s="1"/>
  <c r="C5" i="111"/>
  <c r="C38" i="111" s="1"/>
  <c r="C75" i="111" s="1"/>
  <c r="CB14" i="111" l="1"/>
  <c r="CB22" i="111"/>
  <c r="CB28" i="111"/>
  <c r="CB31" i="111"/>
  <c r="BM41" i="111"/>
  <c r="AM38" i="131"/>
  <c r="AW38" i="131"/>
  <c r="AW39" i="131" s="1"/>
  <c r="T12" i="131"/>
  <c r="T14" i="131"/>
  <c r="T16" i="131"/>
  <c r="O36" i="131"/>
  <c r="O35" i="131" s="1"/>
  <c r="CG50" i="131"/>
  <c r="T63" i="131"/>
  <c r="BZ7" i="111"/>
  <c r="CB7" i="111" s="1"/>
  <c r="BC8" i="111"/>
  <c r="BW8" i="111"/>
  <c r="CB15" i="111"/>
  <c r="CB29" i="111"/>
  <c r="CB33" i="111"/>
  <c r="AX54" i="111"/>
  <c r="CA54" i="111"/>
  <c r="BG38" i="131"/>
  <c r="CA38" i="131"/>
  <c r="J41" i="131"/>
  <c r="T44" i="131"/>
  <c r="T47" i="131"/>
  <c r="O50" i="131"/>
  <c r="CF55" i="131"/>
  <c r="CH61" i="131"/>
  <c r="CH82" i="131"/>
  <c r="AS5" i="111"/>
  <c r="CB11" i="111"/>
  <c r="CB17" i="111"/>
  <c r="CB30" i="111"/>
  <c r="CB43" i="111"/>
  <c r="CB56" i="111"/>
  <c r="CB58" i="111"/>
  <c r="CB59" i="111"/>
  <c r="CB61" i="111"/>
  <c r="CB62" i="111"/>
  <c r="CB63" i="111"/>
  <c r="CB64" i="111"/>
  <c r="AJ5" i="131"/>
  <c r="AY5" i="131"/>
  <c r="CH18" i="131"/>
  <c r="T21" i="131"/>
  <c r="T31" i="131"/>
  <c r="T42" i="131"/>
  <c r="BX41" i="131"/>
  <c r="CH51" i="131"/>
  <c r="CH64" i="131"/>
  <c r="T85" i="131"/>
  <c r="AD8" i="111"/>
  <c r="T78" i="131"/>
  <c r="CH20" i="131"/>
  <c r="CH29" i="131"/>
  <c r="T8" i="111"/>
  <c r="CH14" i="131"/>
  <c r="CL14" i="131" s="1"/>
  <c r="AV5" i="111"/>
  <c r="AV38" i="111" s="1"/>
  <c r="AV75" i="111" s="1"/>
  <c r="BC38" i="111"/>
  <c r="BC39" i="111" s="1"/>
  <c r="H8" i="111"/>
  <c r="I12" i="111"/>
  <c r="I8" i="111" s="1"/>
  <c r="I89" i="111" s="1"/>
  <c r="BM8" i="111"/>
  <c r="BM89" i="111" s="1"/>
  <c r="AN8" i="111"/>
  <c r="CA16" i="111"/>
  <c r="CB20" i="111"/>
  <c r="BW41" i="111"/>
  <c r="Y54" i="111"/>
  <c r="CB57" i="111"/>
  <c r="CB60" i="111"/>
  <c r="CB65" i="111"/>
  <c r="C73" i="111"/>
  <c r="N38" i="131"/>
  <c r="AW75" i="131"/>
  <c r="BW38" i="131"/>
  <c r="BX5" i="131"/>
  <c r="CF16" i="131"/>
  <c r="CH16" i="131" s="1"/>
  <c r="CC8" i="131"/>
  <c r="T25" i="131"/>
  <c r="E28" i="131"/>
  <c r="E8" i="131" s="1"/>
  <c r="E38" i="131" s="1"/>
  <c r="T29" i="131"/>
  <c r="CC41" i="131"/>
  <c r="R50" i="131"/>
  <c r="R54" i="131"/>
  <c r="BX54" i="131"/>
  <c r="T64" i="131"/>
  <c r="T70" i="131"/>
  <c r="AM77" i="131"/>
  <c r="T82" i="131"/>
  <c r="AD5" i="111"/>
  <c r="AD38" i="111" s="1"/>
  <c r="Y8" i="111"/>
  <c r="AY8" i="131"/>
  <c r="CH56" i="131"/>
  <c r="CH68" i="131"/>
  <c r="AN5" i="111"/>
  <c r="AX8" i="111"/>
  <c r="AX89" i="111" s="1"/>
  <c r="CB23" i="111"/>
  <c r="CB67" i="111"/>
  <c r="CB68" i="111"/>
  <c r="AX38" i="131"/>
  <c r="O5" i="131"/>
  <c r="AE5" i="131"/>
  <c r="BS5" i="131"/>
  <c r="CG5" i="131"/>
  <c r="CC5" i="131"/>
  <c r="T20" i="131"/>
  <c r="T28" i="131"/>
  <c r="CF36" i="131"/>
  <c r="CF35" i="131" s="1"/>
  <c r="CF42" i="131"/>
  <c r="CF44" i="131"/>
  <c r="CH44" i="131" s="1"/>
  <c r="T56" i="131"/>
  <c r="T60" i="131"/>
  <c r="AH77" i="131"/>
  <c r="CA8" i="111"/>
  <c r="CA38" i="111" s="1"/>
  <c r="CA39" i="111" s="1"/>
  <c r="R38" i="111"/>
  <c r="R75" i="111" s="1"/>
  <c r="AH38" i="111"/>
  <c r="AH39" i="111" s="1"/>
  <c r="BH5" i="111"/>
  <c r="BZ6" i="111"/>
  <c r="CB9" i="111"/>
  <c r="N8" i="111"/>
  <c r="N38" i="111" s="1"/>
  <c r="CB12" i="111"/>
  <c r="AI8" i="111"/>
  <c r="CB18" i="111"/>
  <c r="CB19" i="111"/>
  <c r="CB45" i="111"/>
  <c r="CB48" i="111"/>
  <c r="BC54" i="111"/>
  <c r="CB71" i="111"/>
  <c r="CB74" i="111"/>
  <c r="CB73" i="111" s="1"/>
  <c r="C38" i="131"/>
  <c r="AT5" i="131"/>
  <c r="BN8" i="131"/>
  <c r="BO8" i="131" s="1"/>
  <c r="T10" i="131"/>
  <c r="CF12" i="131"/>
  <c r="CH12" i="131" s="1"/>
  <c r="T18" i="131"/>
  <c r="T27" i="131"/>
  <c r="T51" i="131"/>
  <c r="T52" i="131"/>
  <c r="CC54" i="131"/>
  <c r="T57" i="131"/>
  <c r="AO77" i="131"/>
  <c r="T26" i="131"/>
  <c r="CG26" i="131"/>
  <c r="CH26" i="131" s="1"/>
  <c r="CL26" i="131" s="1"/>
  <c r="AH38" i="131"/>
  <c r="AH75" i="131" s="1"/>
  <c r="AI38" i="131"/>
  <c r="AI75" i="131" s="1"/>
  <c r="AI81" i="131" s="1"/>
  <c r="AI83" i="131" s="1"/>
  <c r="AI84" i="131" s="1"/>
  <c r="AI86" i="131" s="1"/>
  <c r="AI87" i="131" s="1"/>
  <c r="AJ8" i="131"/>
  <c r="AJ38" i="131" s="1"/>
  <c r="AJ39" i="131" s="1"/>
  <c r="T24" i="131"/>
  <c r="CL6" i="131"/>
  <c r="M75" i="131"/>
  <c r="M39" i="131"/>
  <c r="AS38" i="131"/>
  <c r="BG75" i="131"/>
  <c r="BG39" i="131"/>
  <c r="BV75" i="131"/>
  <c r="BV39" i="131"/>
  <c r="T9" i="131"/>
  <c r="CF9" i="131"/>
  <c r="R8" i="131"/>
  <c r="CL16" i="131"/>
  <c r="CH50" i="131"/>
  <c r="AR75" i="131"/>
  <c r="AR39" i="131"/>
  <c r="AY38" i="131"/>
  <c r="J35" i="131"/>
  <c r="N75" i="131"/>
  <c r="N39" i="131"/>
  <c r="BW75" i="131"/>
  <c r="BW39" i="131"/>
  <c r="AT8" i="131"/>
  <c r="AJ50" i="131"/>
  <c r="BL75" i="131"/>
  <c r="BL39" i="131"/>
  <c r="T46" i="131"/>
  <c r="CF46" i="131"/>
  <c r="CH46" i="131" s="1"/>
  <c r="R41" i="131"/>
  <c r="Y39" i="131"/>
  <c r="Y75" i="131"/>
  <c r="BB75" i="131"/>
  <c r="BB39" i="131"/>
  <c r="BM75" i="131"/>
  <c r="BM39" i="131"/>
  <c r="AE8" i="131"/>
  <c r="AE38" i="131" s="1"/>
  <c r="CL10" i="131"/>
  <c r="T13" i="131"/>
  <c r="CF13" i="131"/>
  <c r="CH13" i="131" s="1"/>
  <c r="CG19" i="131"/>
  <c r="CH19" i="131" s="1"/>
  <c r="T19" i="131"/>
  <c r="H8" i="131"/>
  <c r="J21" i="131"/>
  <c r="CF21" i="131"/>
  <c r="CH21" i="131" s="1"/>
  <c r="CL22" i="131"/>
  <c r="BO42" i="131"/>
  <c r="BN41" i="131"/>
  <c r="BO41" i="131" s="1"/>
  <c r="T17" i="131"/>
  <c r="CF17" i="131"/>
  <c r="CH17" i="131" s="1"/>
  <c r="C75" i="131"/>
  <c r="C39" i="131"/>
  <c r="CG9" i="131"/>
  <c r="S8" i="131"/>
  <c r="BX8" i="131"/>
  <c r="D75" i="131"/>
  <c r="D39" i="131"/>
  <c r="X75" i="131"/>
  <c r="X39" i="131"/>
  <c r="T11" i="131"/>
  <c r="CF11" i="131"/>
  <c r="CH11" i="131" s="1"/>
  <c r="CL18" i="131"/>
  <c r="BC75" i="131"/>
  <c r="BC39" i="131"/>
  <c r="S5" i="131"/>
  <c r="T7" i="131"/>
  <c r="CF7" i="131"/>
  <c r="AT38" i="131"/>
  <c r="BX38" i="131"/>
  <c r="BI8" i="131"/>
  <c r="CL12" i="131"/>
  <c r="T15" i="131"/>
  <c r="CF15" i="131"/>
  <c r="CH15" i="131" s="1"/>
  <c r="CH23" i="131"/>
  <c r="S35" i="131"/>
  <c r="T36" i="131"/>
  <c r="CG36" i="131"/>
  <c r="CG35" i="131" s="1"/>
  <c r="O41" i="131"/>
  <c r="AO54" i="131"/>
  <c r="AM75" i="131"/>
  <c r="AM39" i="131"/>
  <c r="BI41" i="131"/>
  <c r="AT50" i="131"/>
  <c r="R5" i="131"/>
  <c r="AC38" i="131"/>
  <c r="BQ38" i="131"/>
  <c r="CL29" i="131"/>
  <c r="T50" i="131"/>
  <c r="I38" i="131"/>
  <c r="AD38" i="131"/>
  <c r="AN38" i="131"/>
  <c r="BH38" i="131"/>
  <c r="BR38" i="131"/>
  <c r="CB39" i="131"/>
  <c r="CB75" i="131"/>
  <c r="T6" i="131"/>
  <c r="J8" i="131"/>
  <c r="Z8" i="131"/>
  <c r="AO8" i="131"/>
  <c r="AO38" i="131" s="1"/>
  <c r="BD8" i="131"/>
  <c r="BS8" i="131"/>
  <c r="T22" i="131"/>
  <c r="CF25" i="131"/>
  <c r="CH25" i="131" s="1"/>
  <c r="CH28" i="131"/>
  <c r="AE41" i="131"/>
  <c r="BO52" i="131"/>
  <c r="BN50" i="131"/>
  <c r="BO50" i="131" s="1"/>
  <c r="Z54" i="131"/>
  <c r="BI54" i="131"/>
  <c r="CG58" i="131"/>
  <c r="T58" i="131"/>
  <c r="AO50" i="131"/>
  <c r="O8" i="131"/>
  <c r="BS41" i="131"/>
  <c r="AO41" i="131"/>
  <c r="CL63" i="131"/>
  <c r="CL68" i="131"/>
  <c r="H38" i="131"/>
  <c r="AW76" i="131"/>
  <c r="AW81" i="131"/>
  <c r="AW83" i="131" s="1"/>
  <c r="AW84" i="131" s="1"/>
  <c r="AW86" i="131" s="1"/>
  <c r="AW87" i="131" s="1"/>
  <c r="CA75" i="131"/>
  <c r="CA39" i="131"/>
  <c r="Z41" i="131"/>
  <c r="AY41" i="131"/>
  <c r="T23" i="131"/>
  <c r="CH24" i="131"/>
  <c r="CL24" i="131" s="1"/>
  <c r="AT41" i="131"/>
  <c r="J50" i="131"/>
  <c r="T59" i="131"/>
  <c r="CF59" i="131"/>
  <c r="CH59" i="131" s="1"/>
  <c r="S73" i="131"/>
  <c r="CG74" i="131"/>
  <c r="CG30" i="131"/>
  <c r="CH31" i="131"/>
  <c r="CH32" i="131"/>
  <c r="AJ41" i="131"/>
  <c r="CG43" i="131"/>
  <c r="CH43" i="131" s="1"/>
  <c r="T43" i="131"/>
  <c r="AE50" i="131"/>
  <c r="BN54" i="131"/>
  <c r="BO54" i="131" s="1"/>
  <c r="BO55" i="131"/>
  <c r="T30" i="131"/>
  <c r="CF30" i="131"/>
  <c r="T33" i="131"/>
  <c r="CF33" i="131"/>
  <c r="CH33" i="131" s="1"/>
  <c r="BD41" i="131"/>
  <c r="BI50" i="131"/>
  <c r="AY54" i="131"/>
  <c r="AE54" i="131"/>
  <c r="AJ54" i="131"/>
  <c r="CF69" i="131"/>
  <c r="CH69" i="131" s="1"/>
  <c r="T69" i="131"/>
  <c r="T32" i="131"/>
  <c r="CC50" i="131"/>
  <c r="CC89" i="131" s="1"/>
  <c r="O54" i="131"/>
  <c r="BD54" i="131"/>
  <c r="T45" i="131"/>
  <c r="CF45" i="131"/>
  <c r="CH45" i="131" s="1"/>
  <c r="CL45" i="131" s="1"/>
  <c r="CH96" i="131" s="1"/>
  <c r="BD50" i="131"/>
  <c r="BX50" i="131"/>
  <c r="J54" i="131"/>
  <c r="E54" i="131"/>
  <c r="BS54" i="131"/>
  <c r="CF67" i="131"/>
  <c r="CH67" i="131" s="1"/>
  <c r="CG42" i="131"/>
  <c r="S41" i="131"/>
  <c r="CF47" i="131"/>
  <c r="CH47" i="131" s="1"/>
  <c r="Z50" i="131"/>
  <c r="AY50" i="131"/>
  <c r="E41" i="131"/>
  <c r="CH48" i="131"/>
  <c r="BS50" i="131"/>
  <c r="S50" i="131"/>
  <c r="CF50" i="131"/>
  <c r="AT54" i="131"/>
  <c r="CH58" i="131"/>
  <c r="T62" i="131"/>
  <c r="CF62" i="131"/>
  <c r="CH62" i="131" s="1"/>
  <c r="CH78" i="131"/>
  <c r="T48" i="131"/>
  <c r="CF65" i="131"/>
  <c r="CH65" i="131" s="1"/>
  <c r="T65" i="131"/>
  <c r="CG55" i="131"/>
  <c r="S54" i="131"/>
  <c r="CF57" i="131"/>
  <c r="CH60" i="131"/>
  <c r="CF71" i="131"/>
  <c r="CH71" i="131" s="1"/>
  <c r="T71" i="131"/>
  <c r="S77" i="131"/>
  <c r="CG78" i="131"/>
  <c r="CF66" i="131"/>
  <c r="CH66" i="131" s="1"/>
  <c r="T66" i="131"/>
  <c r="T74" i="131"/>
  <c r="AM75" i="111"/>
  <c r="AM39" i="111"/>
  <c r="BM38" i="111"/>
  <c r="E8" i="111"/>
  <c r="AC75" i="111"/>
  <c r="AC39" i="111"/>
  <c r="BQ75" i="111"/>
  <c r="BQ39" i="111"/>
  <c r="AS8" i="111"/>
  <c r="S75" i="111"/>
  <c r="S39" i="111"/>
  <c r="BW38" i="111"/>
  <c r="D75" i="111"/>
  <c r="D39" i="111"/>
  <c r="BG75" i="111"/>
  <c r="BG39" i="111"/>
  <c r="Y5" i="111"/>
  <c r="AX5" i="111"/>
  <c r="BZ5" i="111"/>
  <c r="CB6" i="111"/>
  <c r="CB5" i="111" s="1"/>
  <c r="BH8" i="111"/>
  <c r="BH38" i="111" s="1"/>
  <c r="AW75" i="111"/>
  <c r="AW39" i="111"/>
  <c r="T38" i="111"/>
  <c r="BR39" i="111"/>
  <c r="AN77" i="111"/>
  <c r="BC77" i="111"/>
  <c r="BR77" i="111"/>
  <c r="BZ26" i="111"/>
  <c r="CB26" i="111" s="1"/>
  <c r="C39" i="111"/>
  <c r="L75" i="111"/>
  <c r="L39" i="111"/>
  <c r="W38" i="111"/>
  <c r="AG75" i="111"/>
  <c r="AG39" i="111"/>
  <c r="AQ75" i="111"/>
  <c r="AQ39" i="111"/>
  <c r="BA38" i="111"/>
  <c r="BK76" i="111"/>
  <c r="BK81" i="111"/>
  <c r="BK83" i="111" s="1"/>
  <c r="BK84" i="111" s="1"/>
  <c r="BK86" i="111" s="1"/>
  <c r="BK87" i="111" s="1"/>
  <c r="BU75" i="111"/>
  <c r="BU39" i="111"/>
  <c r="M75" i="111"/>
  <c r="M39" i="111"/>
  <c r="X75" i="111"/>
  <c r="X39" i="111"/>
  <c r="AR75" i="111"/>
  <c r="AR39" i="111"/>
  <c r="BB75" i="111"/>
  <c r="BB39" i="111"/>
  <c r="BL75" i="111"/>
  <c r="BL39" i="111"/>
  <c r="BV75" i="111"/>
  <c r="BV39" i="111"/>
  <c r="AI77" i="111"/>
  <c r="AX77" i="111"/>
  <c r="BM77" i="111"/>
  <c r="CB16" i="111"/>
  <c r="AI38" i="111"/>
  <c r="BK39" i="111"/>
  <c r="E50" i="111"/>
  <c r="AN50" i="111"/>
  <c r="BR50" i="111"/>
  <c r="C81" i="111"/>
  <c r="C83" i="111" s="1"/>
  <c r="C76" i="111"/>
  <c r="AB75" i="111"/>
  <c r="AB39" i="111"/>
  <c r="AL38" i="111"/>
  <c r="AV39" i="111"/>
  <c r="BF75" i="111"/>
  <c r="BF39" i="111"/>
  <c r="BP38" i="111"/>
  <c r="AD77" i="111"/>
  <c r="BR36" i="111"/>
  <c r="BZ36" i="111"/>
  <c r="N54" i="111"/>
  <c r="AS54" i="111"/>
  <c r="CA41" i="111"/>
  <c r="AI54" i="111"/>
  <c r="CB24" i="111"/>
  <c r="Y50" i="111"/>
  <c r="BC50" i="111"/>
  <c r="AD54" i="111"/>
  <c r="BH54" i="111"/>
  <c r="E41" i="111"/>
  <c r="AD35" i="111"/>
  <c r="T41" i="111"/>
  <c r="AS41" i="111"/>
  <c r="CB55" i="111"/>
  <c r="BZ54" i="111"/>
  <c r="BZ41" i="111"/>
  <c r="CB46" i="111"/>
  <c r="CB51" i="111"/>
  <c r="E54" i="111"/>
  <c r="AN54" i="111"/>
  <c r="BR54" i="111"/>
  <c r="BW54" i="111"/>
  <c r="Y41" i="111"/>
  <c r="AN41" i="111"/>
  <c r="BC41" i="111"/>
  <c r="BR41" i="111"/>
  <c r="CB42" i="111"/>
  <c r="Y77" i="111"/>
  <c r="CB70" i="111"/>
  <c r="BH77" i="111"/>
  <c r="AS77" i="111"/>
  <c r="CD69" i="131" l="1"/>
  <c r="CD43" i="131"/>
  <c r="CD54" i="131"/>
  <c r="Y89" i="111"/>
  <c r="Z14" i="111" s="1"/>
  <c r="AN38" i="111"/>
  <c r="CC38" i="131"/>
  <c r="AN89" i="111"/>
  <c r="AO64" i="111"/>
  <c r="BN78" i="111"/>
  <c r="AO14" i="111"/>
  <c r="AO47" i="111"/>
  <c r="AO57" i="111"/>
  <c r="AO63" i="111"/>
  <c r="AY8" i="111"/>
  <c r="AY14" i="111"/>
  <c r="AY61" i="111"/>
  <c r="AY71" i="111"/>
  <c r="AY74" i="111"/>
  <c r="AY79" i="111"/>
  <c r="AY25" i="111"/>
  <c r="AY30" i="111"/>
  <c r="AY19" i="111"/>
  <c r="AY48" i="111"/>
  <c r="AY42" i="111"/>
  <c r="AY58" i="111"/>
  <c r="AY68" i="111"/>
  <c r="AY64" i="111"/>
  <c r="AY73" i="111"/>
  <c r="AY15" i="111"/>
  <c r="AY17" i="111"/>
  <c r="AY41" i="111"/>
  <c r="AY35" i="111"/>
  <c r="AY62" i="111"/>
  <c r="AY67" i="111"/>
  <c r="AY21" i="111"/>
  <c r="AY54" i="111"/>
  <c r="AY43" i="111"/>
  <c r="AY50" i="111"/>
  <c r="AY59" i="111"/>
  <c r="AY65" i="111"/>
  <c r="BN8" i="111"/>
  <c r="BN43" i="111"/>
  <c r="BN19" i="111"/>
  <c r="BN41" i="111"/>
  <c r="BN50" i="111"/>
  <c r="BN64" i="111"/>
  <c r="BN65" i="111"/>
  <c r="BN35" i="111"/>
  <c r="BN54" i="111"/>
  <c r="BN61" i="111"/>
  <c r="BN59" i="111"/>
  <c r="BN28" i="111"/>
  <c r="BN71" i="111"/>
  <c r="AY77" i="111"/>
  <c r="AH75" i="111"/>
  <c r="R39" i="111"/>
  <c r="CA75" i="111"/>
  <c r="CA76" i="111" s="1"/>
  <c r="BN77" i="111"/>
  <c r="CF41" i="131"/>
  <c r="AX39" i="131"/>
  <c r="AX75" i="131"/>
  <c r="BN38" i="131"/>
  <c r="BN39" i="131" s="1"/>
  <c r="BR75" i="111"/>
  <c r="BR81" i="111" s="1"/>
  <c r="BR83" i="111" s="1"/>
  <c r="BR84" i="111" s="1"/>
  <c r="BR86" i="111" s="1"/>
  <c r="BR87" i="111" s="1"/>
  <c r="BR89" i="111"/>
  <c r="AX38" i="111"/>
  <c r="CD21" i="131"/>
  <c r="CD31" i="131"/>
  <c r="C84" i="111"/>
  <c r="C86" i="111" s="1"/>
  <c r="C87" i="111" s="1"/>
  <c r="CH36" i="131"/>
  <c r="CP26" i="131"/>
  <c r="AH39" i="131"/>
  <c r="S38" i="131"/>
  <c r="S39" i="131" s="1"/>
  <c r="AI76" i="131"/>
  <c r="AI39" i="131"/>
  <c r="R38" i="131"/>
  <c r="R39" i="131" s="1"/>
  <c r="BN15" i="111"/>
  <c r="BN73" i="111"/>
  <c r="BN68" i="111"/>
  <c r="Z59" i="111"/>
  <c r="Z65" i="111"/>
  <c r="BN21" i="111"/>
  <c r="BN42" i="111"/>
  <c r="BN63" i="111"/>
  <c r="BN30" i="111"/>
  <c r="BN23" i="111"/>
  <c r="BN13" i="111"/>
  <c r="BN74" i="111"/>
  <c r="BN62" i="111"/>
  <c r="BN67" i="111"/>
  <c r="BN58" i="111"/>
  <c r="BN56" i="111"/>
  <c r="BN36" i="111"/>
  <c r="BN17" i="111"/>
  <c r="AY13" i="111"/>
  <c r="Z60" i="111"/>
  <c r="BN66" i="111"/>
  <c r="BN60" i="111"/>
  <c r="BN32" i="111"/>
  <c r="BN48" i="111"/>
  <c r="BN79" i="111"/>
  <c r="AY26" i="111"/>
  <c r="CL25" i="131"/>
  <c r="C81" i="131"/>
  <c r="C83" i="131" s="1"/>
  <c r="C84" i="131" s="1"/>
  <c r="C86" i="131" s="1"/>
  <c r="C87" i="131" s="1"/>
  <c r="C76" i="131"/>
  <c r="AJ89" i="131"/>
  <c r="AK79" i="131" s="1"/>
  <c r="AJ75" i="131"/>
  <c r="CB81" i="131"/>
  <c r="CB83" i="131" s="1"/>
  <c r="CB84" i="131" s="1"/>
  <c r="CB86" i="131" s="1"/>
  <c r="CB87" i="131" s="1"/>
  <c r="CB76" i="131"/>
  <c r="BC81" i="131"/>
  <c r="BC83" i="131" s="1"/>
  <c r="BC84" i="131" s="1"/>
  <c r="BC86" i="131" s="1"/>
  <c r="BC87" i="131" s="1"/>
  <c r="BC76" i="131"/>
  <c r="CH35" i="131"/>
  <c r="BD89" i="131"/>
  <c r="BD38" i="131"/>
  <c r="BQ39" i="131"/>
  <c r="BQ75" i="131"/>
  <c r="CL15" i="131"/>
  <c r="AO75" i="131"/>
  <c r="AO39" i="131"/>
  <c r="CD79" i="131"/>
  <c r="CD67" i="131"/>
  <c r="CD64" i="131"/>
  <c r="CD61" i="131"/>
  <c r="CD59" i="131"/>
  <c r="CD71" i="131"/>
  <c r="CD66" i="131"/>
  <c r="CD60" i="131"/>
  <c r="CD45" i="131"/>
  <c r="CD30" i="131"/>
  <c r="CD48" i="131"/>
  <c r="CD65" i="131"/>
  <c r="CD46" i="131"/>
  <c r="CD42" i="131"/>
  <c r="CD68" i="131"/>
  <c r="CD55" i="131"/>
  <c r="CD33" i="131"/>
  <c r="CD18" i="131"/>
  <c r="CD44" i="131"/>
  <c r="CD41" i="131"/>
  <c r="CD57" i="131"/>
  <c r="CD47" i="131"/>
  <c r="CD23" i="131"/>
  <c r="CD14" i="131"/>
  <c r="CD26" i="131"/>
  <c r="CD20" i="131"/>
  <c r="CD12" i="131"/>
  <c r="CD10" i="131"/>
  <c r="CD16" i="131"/>
  <c r="CD27" i="131"/>
  <c r="CD13" i="131"/>
  <c r="CD24" i="131"/>
  <c r="CD28" i="131"/>
  <c r="CD29" i="131"/>
  <c r="CD25" i="131"/>
  <c r="CD70" i="131"/>
  <c r="CD8" i="131"/>
  <c r="CD22" i="131"/>
  <c r="CD9" i="131"/>
  <c r="CD15" i="131"/>
  <c r="CD58" i="131"/>
  <c r="CD17" i="131"/>
  <c r="CD11" i="131"/>
  <c r="CD19" i="131"/>
  <c r="CD32" i="131"/>
  <c r="CD62" i="131"/>
  <c r="CD51" i="131"/>
  <c r="CL71" i="131"/>
  <c r="CH57" i="131"/>
  <c r="CF54" i="131"/>
  <c r="CL47" i="131"/>
  <c r="CL59" i="131"/>
  <c r="AY89" i="131"/>
  <c r="AZ50" i="131" s="1"/>
  <c r="AC75" i="131"/>
  <c r="AC39" i="131"/>
  <c r="CH42" i="131"/>
  <c r="CG41" i="131"/>
  <c r="BB81" i="131"/>
  <c r="BB83" i="131" s="1"/>
  <c r="BB84" i="131" s="1"/>
  <c r="BB86" i="131" s="1"/>
  <c r="BB87" i="131" s="1"/>
  <c r="BB76" i="131"/>
  <c r="CG54" i="131"/>
  <c r="CH55" i="131"/>
  <c r="CG73" i="131"/>
  <c r="CH74" i="131"/>
  <c r="AE75" i="131"/>
  <c r="AE39" i="131"/>
  <c r="E89" i="131"/>
  <c r="BS89" i="131"/>
  <c r="BT8" i="131" s="1"/>
  <c r="BS38" i="131"/>
  <c r="I39" i="131"/>
  <c r="I75" i="131"/>
  <c r="BX75" i="131"/>
  <c r="BX39" i="131"/>
  <c r="T73" i="131"/>
  <c r="CD52" i="131"/>
  <c r="CD63" i="131"/>
  <c r="CD56" i="131"/>
  <c r="AM76" i="131"/>
  <c r="AM81" i="131"/>
  <c r="AM83" i="131" s="1"/>
  <c r="AM84" i="131" s="1"/>
  <c r="AM86" i="131" s="1"/>
  <c r="AM87" i="131" s="1"/>
  <c r="CL13" i="131"/>
  <c r="BT50" i="131"/>
  <c r="CL33" i="131"/>
  <c r="T41" i="131"/>
  <c r="BT41" i="131"/>
  <c r="E75" i="131"/>
  <c r="E39" i="131"/>
  <c r="J89" i="131"/>
  <c r="K8" i="131" s="1"/>
  <c r="AN39" i="131"/>
  <c r="AN75" i="131"/>
  <c r="CL11" i="131"/>
  <c r="X76" i="131"/>
  <c r="BX89" i="131"/>
  <c r="CL21" i="131"/>
  <c r="CL19" i="131"/>
  <c r="AY75" i="131"/>
  <c r="AY39" i="131"/>
  <c r="T8" i="131"/>
  <c r="CL60" i="131"/>
  <c r="CL65" i="131"/>
  <c r="BT54" i="131"/>
  <c r="BE50" i="131"/>
  <c r="CL69" i="131"/>
  <c r="BE41" i="131"/>
  <c r="H39" i="131"/>
  <c r="H75" i="131"/>
  <c r="CL28" i="131"/>
  <c r="T5" i="131"/>
  <c r="AD75" i="131"/>
  <c r="AD39" i="131"/>
  <c r="T35" i="131"/>
  <c r="BI89" i="131"/>
  <c r="BJ50" i="131" s="1"/>
  <c r="BJ8" i="131"/>
  <c r="S75" i="131"/>
  <c r="AH81" i="131"/>
  <c r="AH83" i="131" s="1"/>
  <c r="AH84" i="131" s="1"/>
  <c r="AH86" i="131" s="1"/>
  <c r="AH87" i="131" s="1"/>
  <c r="AH76" i="131"/>
  <c r="K21" i="131"/>
  <c r="BM81" i="131"/>
  <c r="BM83" i="131" s="1"/>
  <c r="BM84" i="131" s="1"/>
  <c r="BM86" i="131" s="1"/>
  <c r="BM87" i="131" s="1"/>
  <c r="BM76" i="131"/>
  <c r="BG76" i="131"/>
  <c r="BG81" i="131"/>
  <c r="BG83" i="131" s="1"/>
  <c r="BG84" i="131" s="1"/>
  <c r="BG86" i="131" s="1"/>
  <c r="BG87" i="131" s="1"/>
  <c r="D81" i="131"/>
  <c r="D83" i="131" s="1"/>
  <c r="D84" i="131" s="1"/>
  <c r="D86" i="131" s="1"/>
  <c r="D87" i="131" s="1"/>
  <c r="D76" i="131"/>
  <c r="CG8" i="131"/>
  <c r="CG38" i="131" s="1"/>
  <c r="BW81" i="131"/>
  <c r="BW83" i="131" s="1"/>
  <c r="BW84" i="131" s="1"/>
  <c r="BW86" i="131" s="1"/>
  <c r="BW87" i="131" s="1"/>
  <c r="BW76" i="131"/>
  <c r="K35" i="131"/>
  <c r="AR81" i="131"/>
  <c r="AR83" i="131" s="1"/>
  <c r="AR84" i="131" s="1"/>
  <c r="AR86" i="131" s="1"/>
  <c r="AR87" i="131" s="1"/>
  <c r="AR76" i="131"/>
  <c r="BI38" i="131"/>
  <c r="AS39" i="131"/>
  <c r="AS75" i="131"/>
  <c r="CL58" i="131"/>
  <c r="F41" i="131"/>
  <c r="CH30" i="131"/>
  <c r="CA76" i="131"/>
  <c r="CA81" i="131"/>
  <c r="CA83" i="131" s="1"/>
  <c r="CA84" i="131" s="1"/>
  <c r="CA86" i="131" s="1"/>
  <c r="CA87" i="131" s="1"/>
  <c r="O89" i="131"/>
  <c r="P8" i="131" s="1"/>
  <c r="AO89" i="131"/>
  <c r="AP79" i="131" s="1"/>
  <c r="BR39" i="131"/>
  <c r="BR75" i="131"/>
  <c r="AT75" i="131"/>
  <c r="AT39" i="131"/>
  <c r="O38" i="131"/>
  <c r="BN75" i="131"/>
  <c r="Y81" i="131"/>
  <c r="Y83" i="131" s="1"/>
  <c r="Y84" i="131" s="1"/>
  <c r="Y86" i="131" s="1"/>
  <c r="Y87" i="131" s="1"/>
  <c r="Y76" i="131"/>
  <c r="AT89" i="131"/>
  <c r="AU54" i="131" s="1"/>
  <c r="AU8" i="131"/>
  <c r="N81" i="131"/>
  <c r="N83" i="131" s="1"/>
  <c r="N84" i="131" s="1"/>
  <c r="N86" i="131" s="1"/>
  <c r="N87" i="131" s="1"/>
  <c r="N76" i="131"/>
  <c r="M81" i="131"/>
  <c r="M83" i="131" s="1"/>
  <c r="M84" i="131" s="1"/>
  <c r="M86" i="131" s="1"/>
  <c r="M87" i="131" s="1"/>
  <c r="M76" i="131"/>
  <c r="CD50" i="131"/>
  <c r="T54" i="131"/>
  <c r="Z38" i="131"/>
  <c r="BH75" i="131"/>
  <c r="BH39" i="131"/>
  <c r="BJ41" i="131"/>
  <c r="CH7" i="131"/>
  <c r="CL7" i="131" s="1"/>
  <c r="CF5" i="131"/>
  <c r="J38" i="131"/>
  <c r="AE89" i="131"/>
  <c r="AF79" i="131" s="1"/>
  <c r="BL81" i="131"/>
  <c r="BL83" i="131" s="1"/>
  <c r="BL84" i="131" s="1"/>
  <c r="BL86" i="131" s="1"/>
  <c r="BL87" i="131" s="1"/>
  <c r="BL76" i="131"/>
  <c r="CC75" i="131"/>
  <c r="CC39" i="131"/>
  <c r="CF8" i="131"/>
  <c r="CH9" i="131"/>
  <c r="BV81" i="131"/>
  <c r="BV83" i="131" s="1"/>
  <c r="BV84" i="131" s="1"/>
  <c r="BV86" i="131" s="1"/>
  <c r="BV87" i="131" s="1"/>
  <c r="BV76" i="131"/>
  <c r="BH75" i="111"/>
  <c r="BH39" i="111"/>
  <c r="CA81" i="111"/>
  <c r="CA83" i="111" s="1"/>
  <c r="CA84" i="111" s="1"/>
  <c r="CA86" i="111" s="1"/>
  <c r="CA87" i="111" s="1"/>
  <c r="BS74" i="111"/>
  <c r="BS71" i="111"/>
  <c r="BS70" i="111"/>
  <c r="BS68" i="111"/>
  <c r="BS55" i="111"/>
  <c r="BS45" i="111"/>
  <c r="BS44" i="111"/>
  <c r="BS43" i="111"/>
  <c r="BS46" i="111"/>
  <c r="BS31" i="111"/>
  <c r="BS25" i="111"/>
  <c r="BS16" i="111"/>
  <c r="BS51" i="111"/>
  <c r="BS18" i="111"/>
  <c r="BS14" i="111"/>
  <c r="BS24" i="111"/>
  <c r="BS15" i="111"/>
  <c r="BS11" i="111"/>
  <c r="BS9" i="111"/>
  <c r="BS12" i="111"/>
  <c r="AO71" i="111"/>
  <c r="AO70" i="111"/>
  <c r="AO68" i="111"/>
  <c r="AO69" i="111"/>
  <c r="AT78" i="111"/>
  <c r="AO56" i="111"/>
  <c r="AO55" i="111"/>
  <c r="AO45" i="111"/>
  <c r="BI78" i="111"/>
  <c r="AO44" i="111"/>
  <c r="AO43" i="111"/>
  <c r="BI37" i="111"/>
  <c r="AO31" i="111"/>
  <c r="AO16" i="111"/>
  <c r="AO46" i="111"/>
  <c r="AO36" i="111"/>
  <c r="BS37" i="111"/>
  <c r="BN37" i="111"/>
  <c r="AO25" i="111"/>
  <c r="AO18" i="111"/>
  <c r="AO11" i="111"/>
  <c r="AO9" i="111"/>
  <c r="AO51" i="111"/>
  <c r="AO24" i="111"/>
  <c r="AO15" i="111"/>
  <c r="AO12" i="111"/>
  <c r="BS66" i="111"/>
  <c r="Z63" i="111"/>
  <c r="BS67" i="111"/>
  <c r="BS64" i="111"/>
  <c r="BS61" i="111"/>
  <c r="BS42" i="111"/>
  <c r="AO41" i="111"/>
  <c r="BS62" i="111"/>
  <c r="CB54" i="111"/>
  <c r="Z28" i="111"/>
  <c r="AO67" i="111"/>
  <c r="Z35" i="111"/>
  <c r="BS33" i="111"/>
  <c r="Z22" i="111"/>
  <c r="AB81" i="111"/>
  <c r="AB83" i="111" s="1"/>
  <c r="AB84" i="111" s="1"/>
  <c r="AB86" i="111" s="1"/>
  <c r="AB87" i="111" s="1"/>
  <c r="AB76" i="111"/>
  <c r="BS50" i="111"/>
  <c r="Z47" i="111"/>
  <c r="AO27" i="111"/>
  <c r="AO23" i="111"/>
  <c r="AO17" i="111"/>
  <c r="Z20" i="111"/>
  <c r="BC89" i="111"/>
  <c r="BD77" i="111" s="1"/>
  <c r="L76" i="111"/>
  <c r="L81" i="111"/>
  <c r="L83" i="111" s="1"/>
  <c r="L84" i="111" s="1"/>
  <c r="L86" i="111" s="1"/>
  <c r="L87" i="111" s="1"/>
  <c r="AY32" i="111"/>
  <c r="AO13" i="111"/>
  <c r="E89" i="111"/>
  <c r="F41" i="111" s="1"/>
  <c r="F8" i="111"/>
  <c r="E38" i="111"/>
  <c r="CB50" i="111"/>
  <c r="BP75" i="111"/>
  <c r="BP39" i="111"/>
  <c r="BS20" i="111"/>
  <c r="BS13" i="111"/>
  <c r="Z66" i="111"/>
  <c r="BS69" i="111"/>
  <c r="AO66" i="111"/>
  <c r="Z67" i="111"/>
  <c r="Z64" i="111"/>
  <c r="Z61" i="111"/>
  <c r="Z41" i="111"/>
  <c r="AO61" i="111"/>
  <c r="BS58" i="111"/>
  <c r="AO62" i="111"/>
  <c r="AO58" i="111"/>
  <c r="AO32" i="111"/>
  <c r="BS48" i="111"/>
  <c r="AO33" i="111"/>
  <c r="BF81" i="111"/>
  <c r="BF83" i="111" s="1"/>
  <c r="BF84" i="111" s="1"/>
  <c r="BF86" i="111" s="1"/>
  <c r="BF87" i="111" s="1"/>
  <c r="BF76" i="111"/>
  <c r="AO52" i="111"/>
  <c r="AO22" i="111"/>
  <c r="BL76" i="111"/>
  <c r="BL81" i="111"/>
  <c r="BL83" i="111" s="1"/>
  <c r="BL84" i="111" s="1"/>
  <c r="BL86" i="111" s="1"/>
  <c r="BL87" i="111" s="1"/>
  <c r="X76" i="111"/>
  <c r="X81" i="111"/>
  <c r="X83" i="111" s="1"/>
  <c r="X84" i="111" s="1"/>
  <c r="X86" i="111" s="1"/>
  <c r="X87" i="111" s="1"/>
  <c r="AQ76" i="111"/>
  <c r="AQ81" i="111"/>
  <c r="AQ83" i="111" s="1"/>
  <c r="AQ84" i="111" s="1"/>
  <c r="AQ86" i="111" s="1"/>
  <c r="AQ87" i="111" s="1"/>
  <c r="AO65" i="111"/>
  <c r="AW81" i="111"/>
  <c r="AW83" i="111" s="1"/>
  <c r="AW84" i="111" s="1"/>
  <c r="AW86" i="111" s="1"/>
  <c r="AW87" i="111" s="1"/>
  <c r="AW76" i="111"/>
  <c r="Z13" i="111"/>
  <c r="AH76" i="111"/>
  <c r="AH81" i="111"/>
  <c r="AH83" i="111" s="1"/>
  <c r="AH84" i="111" s="1"/>
  <c r="AH86" i="111" s="1"/>
  <c r="AH87" i="111" s="1"/>
  <c r="AY69" i="111"/>
  <c r="AY70" i="111"/>
  <c r="AY60" i="111"/>
  <c r="AY52" i="111"/>
  <c r="AY47" i="111"/>
  <c r="AY51" i="111"/>
  <c r="AY46" i="111"/>
  <c r="AY63" i="111"/>
  <c r="AY56" i="111"/>
  <c r="AY66" i="111"/>
  <c r="AY55" i="111"/>
  <c r="AY45" i="111"/>
  <c r="AY33" i="111"/>
  <c r="AY29" i="111"/>
  <c r="AY24" i="111"/>
  <c r="AY23" i="111"/>
  <c r="AY18" i="111"/>
  <c r="AY31" i="111"/>
  <c r="AY57" i="111"/>
  <c r="AY36" i="111"/>
  <c r="AY27" i="111"/>
  <c r="AY11" i="111"/>
  <c r="AY12" i="111"/>
  <c r="AY44" i="111"/>
  <c r="AY20" i="111"/>
  <c r="AY22" i="111"/>
  <c r="AY16" i="111"/>
  <c r="AY9" i="111"/>
  <c r="CB8" i="111"/>
  <c r="CB38" i="111" s="1"/>
  <c r="AC81" i="111"/>
  <c r="AC83" i="111" s="1"/>
  <c r="AC84" i="111" s="1"/>
  <c r="AC86" i="111" s="1"/>
  <c r="AC87" i="111" s="1"/>
  <c r="AC76" i="111"/>
  <c r="BN69" i="111"/>
  <c r="BN70" i="111"/>
  <c r="BN52" i="111"/>
  <c r="BN47" i="111"/>
  <c r="BN57" i="111"/>
  <c r="BN51" i="111"/>
  <c r="BN46" i="111"/>
  <c r="BN55" i="111"/>
  <c r="BN45" i="111"/>
  <c r="BN33" i="111"/>
  <c r="BN29" i="111"/>
  <c r="BN44" i="111"/>
  <c r="BN24" i="111"/>
  <c r="BN18" i="111"/>
  <c r="BN31" i="111"/>
  <c r="BN25" i="111"/>
  <c r="BN27" i="111"/>
  <c r="BN26" i="111"/>
  <c r="BN22" i="111"/>
  <c r="BN12" i="111"/>
  <c r="BN14" i="111"/>
  <c r="BN20" i="111"/>
  <c r="BN9" i="111"/>
  <c r="BN11" i="111"/>
  <c r="BQ81" i="111"/>
  <c r="BQ83" i="111" s="1"/>
  <c r="BQ84" i="111" s="1"/>
  <c r="BQ86" i="111" s="1"/>
  <c r="BQ87" i="111" s="1"/>
  <c r="BQ76" i="111"/>
  <c r="BS78" i="111"/>
  <c r="AO42" i="111"/>
  <c r="Z62" i="111"/>
  <c r="BS54" i="111"/>
  <c r="Z58" i="111"/>
  <c r="BS32" i="111"/>
  <c r="Z52" i="111"/>
  <c r="AO48" i="111"/>
  <c r="BS30" i="111"/>
  <c r="BS26" i="111"/>
  <c r="BS19" i="111"/>
  <c r="AO50" i="111"/>
  <c r="AO35" i="111"/>
  <c r="BC75" i="111"/>
  <c r="AO20" i="111"/>
  <c r="BS8" i="111"/>
  <c r="BS21" i="111"/>
  <c r="BU76" i="111"/>
  <c r="Z29" i="111"/>
  <c r="T75" i="111"/>
  <c r="T39" i="111"/>
  <c r="BS10" i="111"/>
  <c r="AX75" i="111"/>
  <c r="AX39" i="111"/>
  <c r="BW75" i="111"/>
  <c r="BW39" i="111"/>
  <c r="AS89" i="111"/>
  <c r="AT8" i="111" s="1"/>
  <c r="AD89" i="111"/>
  <c r="AE54" i="111" s="1"/>
  <c r="AM81" i="111"/>
  <c r="AM83" i="111" s="1"/>
  <c r="AM84" i="111" s="1"/>
  <c r="AM86" i="111" s="1"/>
  <c r="AM87" i="111" s="1"/>
  <c r="AM76" i="111"/>
  <c r="AR76" i="111"/>
  <c r="AR81" i="111"/>
  <c r="AR83" i="111" s="1"/>
  <c r="AR84" i="111" s="1"/>
  <c r="AR86" i="111" s="1"/>
  <c r="AR87" i="111" s="1"/>
  <c r="BA75" i="111"/>
  <c r="BA39" i="111"/>
  <c r="BS77" i="111"/>
  <c r="BH89" i="111"/>
  <c r="BI54" i="111" s="1"/>
  <c r="Z10" i="111"/>
  <c r="AN92" i="111"/>
  <c r="BS57" i="111"/>
  <c r="Z42" i="111"/>
  <c r="CB41" i="111"/>
  <c r="AO54" i="111"/>
  <c r="AO60" i="111"/>
  <c r="AO59" i="111"/>
  <c r="Z48" i="111"/>
  <c r="Z32" i="111"/>
  <c r="Z50" i="111"/>
  <c r="AO28" i="111"/>
  <c r="Z30" i="111"/>
  <c r="CB36" i="111"/>
  <c r="BZ35" i="111"/>
  <c r="AO30" i="111"/>
  <c r="AV81" i="111"/>
  <c r="AV83" i="111" s="1"/>
  <c r="AV84" i="111" s="1"/>
  <c r="AV86" i="111" s="1"/>
  <c r="AV87" i="111" s="1"/>
  <c r="AV76" i="111"/>
  <c r="F50" i="111"/>
  <c r="BS29" i="111"/>
  <c r="AO19" i="111"/>
  <c r="AI75" i="111"/>
  <c r="AI39" i="111"/>
  <c r="BB76" i="111"/>
  <c r="BB81" i="111"/>
  <c r="BB83" i="111" s="1"/>
  <c r="BB84" i="111" s="1"/>
  <c r="BB86" i="111" s="1"/>
  <c r="BB87" i="111" s="1"/>
  <c r="M76" i="111"/>
  <c r="M81" i="111"/>
  <c r="M83" i="111" s="1"/>
  <c r="M84" i="111" s="1"/>
  <c r="M86" i="111" s="1"/>
  <c r="M87" i="111" s="1"/>
  <c r="AO21" i="111"/>
  <c r="AG76" i="111"/>
  <c r="AG81" i="111"/>
  <c r="AG83" i="111" s="1"/>
  <c r="AG84" i="111" s="1"/>
  <c r="AG86" i="111" s="1"/>
  <c r="AG87" i="111" s="1"/>
  <c r="AO79" i="111"/>
  <c r="BS65" i="111"/>
  <c r="AO10" i="111"/>
  <c r="BN10" i="111"/>
  <c r="Y92" i="111"/>
  <c r="Y38" i="111"/>
  <c r="D81" i="111"/>
  <c r="D83" i="111" s="1"/>
  <c r="D84" i="111" s="1"/>
  <c r="D86" i="111" s="1"/>
  <c r="D87" i="111" s="1"/>
  <c r="D76" i="111"/>
  <c r="T89" i="111"/>
  <c r="U41" i="111" s="1"/>
  <c r="AS38" i="111"/>
  <c r="R81" i="111"/>
  <c r="R83" i="111" s="1"/>
  <c r="R84" i="111" s="1"/>
  <c r="R86" i="111" s="1"/>
  <c r="R87" i="111" s="1"/>
  <c r="R76" i="111"/>
  <c r="AY10" i="111"/>
  <c r="BM75" i="111"/>
  <c r="BM39" i="111"/>
  <c r="AI89" i="111"/>
  <c r="N75" i="111"/>
  <c r="N39" i="111"/>
  <c r="BV76" i="111"/>
  <c r="BV81" i="111"/>
  <c r="BV83" i="111" s="1"/>
  <c r="BV84" i="111" s="1"/>
  <c r="BV86" i="111" s="1"/>
  <c r="BV87" i="111" s="1"/>
  <c r="Z71" i="111"/>
  <c r="Z70" i="111"/>
  <c r="Z72" i="111"/>
  <c r="Z68" i="111"/>
  <c r="Z56" i="111"/>
  <c r="Z55" i="111"/>
  <c r="Z49" i="111"/>
  <c r="Z45" i="111"/>
  <c r="Z54" i="111"/>
  <c r="Z44" i="111"/>
  <c r="Z43" i="111"/>
  <c r="Z46" i="111"/>
  <c r="Z31" i="111"/>
  <c r="Z21" i="111"/>
  <c r="Z16" i="111"/>
  <c r="Z36" i="111"/>
  <c r="Z51" i="111"/>
  <c r="Z23" i="111"/>
  <c r="Z19" i="111"/>
  <c r="Z17" i="111"/>
  <c r="Z18" i="111"/>
  <c r="Z24" i="111"/>
  <c r="Z15" i="111"/>
  <c r="Z11" i="111"/>
  <c r="Z9" i="111"/>
  <c r="Z12" i="111"/>
  <c r="BG81" i="111"/>
  <c r="BG83" i="111" s="1"/>
  <c r="BG84" i="111" s="1"/>
  <c r="BG86" i="111" s="1"/>
  <c r="BG87" i="111" s="1"/>
  <c r="BG76" i="111"/>
  <c r="BS73" i="111"/>
  <c r="BD78" i="111"/>
  <c r="BS60" i="111"/>
  <c r="Z57" i="111"/>
  <c r="AY78" i="111"/>
  <c r="AO78" i="111"/>
  <c r="BS41" i="111"/>
  <c r="F54" i="111"/>
  <c r="BS47" i="111"/>
  <c r="Z69" i="111"/>
  <c r="BS36" i="111"/>
  <c r="BR35" i="111"/>
  <c r="BS35" i="111" s="1"/>
  <c r="BS23" i="111"/>
  <c r="AL75" i="111"/>
  <c r="AL39" i="111"/>
  <c r="Z26" i="111"/>
  <c r="AO29" i="111"/>
  <c r="Z25" i="111"/>
  <c r="BS17" i="111"/>
  <c r="AO26" i="111"/>
  <c r="Z33" i="111"/>
  <c r="BZ8" i="111"/>
  <c r="BZ38" i="111" s="1"/>
  <c r="W75" i="111"/>
  <c r="W39" i="111"/>
  <c r="AY28" i="111"/>
  <c r="Z27" i="111"/>
  <c r="BS79" i="111"/>
  <c r="Z79" i="111"/>
  <c r="Z8" i="111"/>
  <c r="AD75" i="111"/>
  <c r="AD39" i="111"/>
  <c r="AE39" i="111" s="1"/>
  <c r="AE38" i="111"/>
  <c r="BN16" i="111"/>
  <c r="S81" i="111"/>
  <c r="S83" i="111" s="1"/>
  <c r="S84" i="111" s="1"/>
  <c r="S86" i="111" s="1"/>
  <c r="S87" i="111" s="1"/>
  <c r="S76" i="111"/>
  <c r="AN75" i="111"/>
  <c r="AO38" i="111"/>
  <c r="AN39" i="111"/>
  <c r="AO39" i="111" s="1"/>
  <c r="AO8" i="111"/>
  <c r="N89" i="111"/>
  <c r="AX81" i="131" l="1"/>
  <c r="AX83" i="131" s="1"/>
  <c r="AX84" i="131" s="1"/>
  <c r="AX86" i="131" s="1"/>
  <c r="AX87" i="131" s="1"/>
  <c r="AX76" i="131"/>
  <c r="BR76" i="111"/>
  <c r="AU50" i="131"/>
  <c r="BS27" i="111"/>
  <c r="BS22" i="111"/>
  <c r="BS56" i="111"/>
  <c r="BS52" i="111"/>
  <c r="BS28" i="111"/>
  <c r="BS63" i="111"/>
  <c r="BS59" i="111"/>
  <c r="AP8" i="131"/>
  <c r="R75" i="131"/>
  <c r="R76" i="131" s="1"/>
  <c r="AK54" i="131"/>
  <c r="AK50" i="131"/>
  <c r="AF70" i="131"/>
  <c r="AF68" i="131"/>
  <c r="AF60" i="131"/>
  <c r="AF51" i="131"/>
  <c r="AF48" i="131"/>
  <c r="AF29" i="131"/>
  <c r="AF26" i="131"/>
  <c r="AF67" i="131"/>
  <c r="AF55" i="131"/>
  <c r="AF62" i="131"/>
  <c r="AF58" i="131"/>
  <c r="AF47" i="131"/>
  <c r="AF46" i="131"/>
  <c r="AF69" i="131"/>
  <c r="AF64" i="131"/>
  <c r="AF71" i="131"/>
  <c r="AF19" i="131"/>
  <c r="AF31" i="131"/>
  <c r="AF45" i="131"/>
  <c r="AF20" i="131"/>
  <c r="AF24" i="131"/>
  <c r="AF9" i="131"/>
  <c r="AF25" i="131"/>
  <c r="AF22" i="131"/>
  <c r="AF21" i="131"/>
  <c r="AF17" i="131"/>
  <c r="AF42" i="131"/>
  <c r="AF32" i="131"/>
  <c r="AF61" i="131"/>
  <c r="AF66" i="131"/>
  <c r="AF16" i="131"/>
  <c r="AF11" i="131"/>
  <c r="AF30" i="131"/>
  <c r="AF44" i="131"/>
  <c r="AF33" i="131"/>
  <c r="AF57" i="131"/>
  <c r="AF63" i="131"/>
  <c r="AF13" i="131"/>
  <c r="AF12" i="131"/>
  <c r="AF15" i="131"/>
  <c r="AF23" i="131"/>
  <c r="AF28" i="131"/>
  <c r="AF59" i="131"/>
  <c r="AF27" i="131"/>
  <c r="AF18" i="131"/>
  <c r="AF14" i="131"/>
  <c r="AF65" i="131"/>
  <c r="AF56" i="131"/>
  <c r="AF10" i="131"/>
  <c r="AF52" i="131"/>
  <c r="AF43" i="131"/>
  <c r="AT76" i="131"/>
  <c r="AT81" i="131"/>
  <c r="AT83" i="131" s="1"/>
  <c r="AT84" i="131" s="1"/>
  <c r="AT86" i="131" s="1"/>
  <c r="AT87" i="131" s="1"/>
  <c r="BY79" i="131"/>
  <c r="BY70" i="131"/>
  <c r="BY71" i="131"/>
  <c r="BY69" i="131"/>
  <c r="BY68" i="131"/>
  <c r="BY62" i="131"/>
  <c r="BY48" i="131"/>
  <c r="BY55" i="131"/>
  <c r="BY29" i="131"/>
  <c r="BY26" i="131"/>
  <c r="BY63" i="131"/>
  <c r="BY46" i="131"/>
  <c r="BY42" i="131"/>
  <c r="BY58" i="131"/>
  <c r="BY31" i="131"/>
  <c r="BY56" i="131"/>
  <c r="BY64" i="131"/>
  <c r="BY32" i="131"/>
  <c r="BY22" i="131"/>
  <c r="BY60" i="131"/>
  <c r="BY24" i="131"/>
  <c r="BY25" i="131"/>
  <c r="BY51" i="131"/>
  <c r="BY20" i="131"/>
  <c r="BY45" i="131"/>
  <c r="BY18" i="131"/>
  <c r="BY17" i="131"/>
  <c r="BY9" i="131"/>
  <c r="BY43" i="131"/>
  <c r="BY33" i="131"/>
  <c r="BY23" i="131"/>
  <c r="BY19" i="131"/>
  <c r="BY52" i="131"/>
  <c r="BY30" i="131"/>
  <c r="BY10" i="131"/>
  <c r="BY14" i="131"/>
  <c r="BY13" i="131"/>
  <c r="BY27" i="131"/>
  <c r="BY54" i="131"/>
  <c r="BY67" i="131"/>
  <c r="BY12" i="131"/>
  <c r="BY21" i="131"/>
  <c r="BY11" i="131"/>
  <c r="BY15" i="131"/>
  <c r="BY41" i="131"/>
  <c r="BY44" i="131"/>
  <c r="BY57" i="131"/>
  <c r="BY47" i="131"/>
  <c r="BY16" i="131"/>
  <c r="BY65" i="131"/>
  <c r="BY28" i="131"/>
  <c r="BY59" i="131"/>
  <c r="BY61" i="131"/>
  <c r="BY66" i="131"/>
  <c r="AN76" i="131"/>
  <c r="AN81" i="131"/>
  <c r="AN83" i="131" s="1"/>
  <c r="AN84" i="131" s="1"/>
  <c r="AN86" i="131" s="1"/>
  <c r="AN87" i="131" s="1"/>
  <c r="CH41" i="131"/>
  <c r="BQ76" i="131"/>
  <c r="BQ81" i="131"/>
  <c r="BQ83" i="131" s="1"/>
  <c r="BQ84" i="131" s="1"/>
  <c r="BQ86" i="131" s="1"/>
  <c r="BQ87" i="131" s="1"/>
  <c r="AP71" i="131"/>
  <c r="AP69" i="131"/>
  <c r="AP63" i="131"/>
  <c r="AP66" i="131"/>
  <c r="AP56" i="131"/>
  <c r="AP64" i="131"/>
  <c r="AP65" i="131"/>
  <c r="AP28" i="131"/>
  <c r="AP33" i="131"/>
  <c r="AP17" i="131"/>
  <c r="AP15" i="131"/>
  <c r="AP13" i="131"/>
  <c r="AP11" i="131"/>
  <c r="AP9" i="131"/>
  <c r="AP30" i="131"/>
  <c r="AP25" i="131"/>
  <c r="AP27" i="131"/>
  <c r="AP32" i="131"/>
  <c r="AP26" i="131"/>
  <c r="AP67" i="131"/>
  <c r="AP58" i="131"/>
  <c r="AP47" i="131"/>
  <c r="AP62" i="131"/>
  <c r="AP16" i="131"/>
  <c r="AP21" i="131"/>
  <c r="AP10" i="131"/>
  <c r="AP51" i="131"/>
  <c r="AP43" i="131"/>
  <c r="AP59" i="131"/>
  <c r="AP46" i="131"/>
  <c r="AP52" i="131"/>
  <c r="AP20" i="131"/>
  <c r="AP19" i="131"/>
  <c r="AP23" i="131"/>
  <c r="AP55" i="131"/>
  <c r="AP70" i="131"/>
  <c r="AP42" i="131"/>
  <c r="AP44" i="131"/>
  <c r="AP61" i="131"/>
  <c r="AP14" i="131"/>
  <c r="AP57" i="131"/>
  <c r="AP45" i="131"/>
  <c r="AP24" i="131"/>
  <c r="AP48" i="131"/>
  <c r="AP68" i="131"/>
  <c r="AP31" i="131"/>
  <c r="AP29" i="131"/>
  <c r="AP60" i="131"/>
  <c r="AP18" i="131"/>
  <c r="AP22" i="131"/>
  <c r="AP12" i="131"/>
  <c r="AE81" i="131"/>
  <c r="AE83" i="131" s="1"/>
  <c r="AE84" i="131" s="1"/>
  <c r="AE86" i="131" s="1"/>
  <c r="AE87" i="131" s="1"/>
  <c r="AE76" i="131"/>
  <c r="AP41" i="131"/>
  <c r="AF50" i="131"/>
  <c r="J75" i="131"/>
  <c r="J39" i="131"/>
  <c r="AF41" i="131"/>
  <c r="H76" i="131"/>
  <c r="H81" i="131"/>
  <c r="H83" i="131" s="1"/>
  <c r="H84" i="131" s="1"/>
  <c r="H86" i="131" s="1"/>
  <c r="H87" i="131" s="1"/>
  <c r="AZ79" i="131"/>
  <c r="AZ70" i="131"/>
  <c r="AZ67" i="131"/>
  <c r="AZ64" i="131"/>
  <c r="AZ59" i="131"/>
  <c r="AZ65" i="131"/>
  <c r="AZ57" i="131"/>
  <c r="AZ51" i="131"/>
  <c r="AZ30" i="131"/>
  <c r="AZ46" i="131"/>
  <c r="AZ48" i="131"/>
  <c r="AZ47" i="131"/>
  <c r="AZ45" i="131"/>
  <c r="AZ58" i="131"/>
  <c r="AZ44" i="131"/>
  <c r="AZ27" i="131"/>
  <c r="AZ62" i="131"/>
  <c r="AZ23" i="131"/>
  <c r="AZ18" i="131"/>
  <c r="AZ33" i="131"/>
  <c r="AZ66" i="131"/>
  <c r="AZ12" i="131"/>
  <c r="AZ20" i="131"/>
  <c r="AZ16" i="131"/>
  <c r="AZ14" i="131"/>
  <c r="AZ10" i="131"/>
  <c r="AZ61" i="131"/>
  <c r="AZ60" i="131"/>
  <c r="AZ19" i="131"/>
  <c r="AZ32" i="131"/>
  <c r="AZ56" i="131"/>
  <c r="AZ28" i="131"/>
  <c r="AZ55" i="131"/>
  <c r="AZ26" i="131"/>
  <c r="AZ25" i="131"/>
  <c r="AZ17" i="131"/>
  <c r="AZ11" i="131"/>
  <c r="AZ21" i="131"/>
  <c r="AZ42" i="131"/>
  <c r="AZ69" i="131"/>
  <c r="AZ63" i="131"/>
  <c r="AZ8" i="131"/>
  <c r="AZ24" i="131"/>
  <c r="AZ13" i="131"/>
  <c r="AZ29" i="131"/>
  <c r="AZ71" i="131"/>
  <c r="AZ22" i="131"/>
  <c r="AZ68" i="131"/>
  <c r="AZ9" i="131"/>
  <c r="AZ52" i="131"/>
  <c r="AZ43" i="131"/>
  <c r="AZ15" i="131"/>
  <c r="AZ31" i="131"/>
  <c r="BD39" i="131"/>
  <c r="BD75" i="131"/>
  <c r="CF38" i="131"/>
  <c r="Z39" i="131"/>
  <c r="Z75" i="131"/>
  <c r="BN76" i="131"/>
  <c r="BN81" i="131"/>
  <c r="BN83" i="131" s="1"/>
  <c r="BN84" i="131" s="1"/>
  <c r="BN86" i="131" s="1"/>
  <c r="BN87" i="131" s="1"/>
  <c r="CL30" i="131"/>
  <c r="AS81" i="131"/>
  <c r="AS83" i="131" s="1"/>
  <c r="AS84" i="131" s="1"/>
  <c r="AS86" i="131" s="1"/>
  <c r="AS87" i="131" s="1"/>
  <c r="AS76" i="131"/>
  <c r="AF54" i="131"/>
  <c r="K79" i="131"/>
  <c r="K64" i="131"/>
  <c r="K59" i="131"/>
  <c r="K67" i="131"/>
  <c r="K44" i="131"/>
  <c r="K48" i="131"/>
  <c r="K62" i="131"/>
  <c r="K57" i="131"/>
  <c r="K46" i="131"/>
  <c r="K65" i="131"/>
  <c r="K33" i="131"/>
  <c r="K31" i="131"/>
  <c r="K60" i="131"/>
  <c r="K55" i="131"/>
  <c r="K26" i="131"/>
  <c r="K18" i="131"/>
  <c r="K45" i="131"/>
  <c r="K27" i="131"/>
  <c r="K23" i="131"/>
  <c r="K20" i="131"/>
  <c r="K22" i="131"/>
  <c r="K12" i="131"/>
  <c r="K16" i="131"/>
  <c r="K68" i="131"/>
  <c r="K14" i="131"/>
  <c r="K10" i="131"/>
  <c r="K66" i="131"/>
  <c r="K41" i="131"/>
  <c r="K30" i="131"/>
  <c r="K42" i="131"/>
  <c r="K70" i="131"/>
  <c r="K69" i="131"/>
  <c r="K19" i="131"/>
  <c r="K15" i="131"/>
  <c r="K29" i="131"/>
  <c r="K25" i="131"/>
  <c r="K71" i="131"/>
  <c r="K28" i="131"/>
  <c r="K47" i="131"/>
  <c r="K17" i="131"/>
  <c r="K9" i="131"/>
  <c r="K11" i="131"/>
  <c r="K36" i="131"/>
  <c r="K24" i="131"/>
  <c r="K51" i="131"/>
  <c r="K58" i="131"/>
  <c r="K63" i="131"/>
  <c r="K52" i="131"/>
  <c r="K32" i="131"/>
  <c r="K56" i="131"/>
  <c r="K13" i="131"/>
  <c r="K61" i="131"/>
  <c r="K43" i="131"/>
  <c r="AZ54" i="131"/>
  <c r="BT71" i="131"/>
  <c r="BT63" i="131"/>
  <c r="BT56" i="131"/>
  <c r="BT70" i="131"/>
  <c r="BT65" i="131"/>
  <c r="BT57" i="131"/>
  <c r="BT79" i="131"/>
  <c r="BT43" i="131"/>
  <c r="BT48" i="131"/>
  <c r="BT28" i="131"/>
  <c r="BT44" i="131"/>
  <c r="BT21" i="131"/>
  <c r="BT17" i="131"/>
  <c r="BT15" i="131"/>
  <c r="BT13" i="131"/>
  <c r="BT11" i="131"/>
  <c r="BT9" i="131"/>
  <c r="BT32" i="131"/>
  <c r="BT69" i="131"/>
  <c r="BT66" i="131"/>
  <c r="BT29" i="131"/>
  <c r="BT27" i="131"/>
  <c r="BT25" i="131"/>
  <c r="BT19" i="131"/>
  <c r="BT26" i="131"/>
  <c r="BT10" i="131"/>
  <c r="BT42" i="131"/>
  <c r="BT64" i="131"/>
  <c r="BT68" i="131"/>
  <c r="BT12" i="131"/>
  <c r="BT18" i="131"/>
  <c r="BT20" i="131"/>
  <c r="BT61" i="131"/>
  <c r="BT47" i="131"/>
  <c r="BT60" i="131"/>
  <c r="BT24" i="131"/>
  <c r="BT16" i="131"/>
  <c r="BT14" i="131"/>
  <c r="BT33" i="131"/>
  <c r="BT23" i="131"/>
  <c r="BT51" i="131"/>
  <c r="BT67" i="131"/>
  <c r="BT52" i="131"/>
  <c r="BT58" i="131"/>
  <c r="BT55" i="131"/>
  <c r="BT30" i="131"/>
  <c r="BT31" i="131"/>
  <c r="BT22" i="131"/>
  <c r="BT45" i="131"/>
  <c r="BT62" i="131"/>
  <c r="BT46" i="131"/>
  <c r="BT59" i="131"/>
  <c r="CL74" i="131"/>
  <c r="CH97" i="131" s="1"/>
  <c r="CH73" i="131"/>
  <c r="AZ41" i="131"/>
  <c r="AO81" i="131"/>
  <c r="AO83" i="131" s="1"/>
  <c r="AO84" i="131" s="1"/>
  <c r="AO86" i="131" s="1"/>
  <c r="AO87" i="131" s="1"/>
  <c r="AO76" i="131"/>
  <c r="BE71" i="131"/>
  <c r="BE68" i="131"/>
  <c r="BE67" i="131"/>
  <c r="BE65" i="131"/>
  <c r="BE59" i="131"/>
  <c r="BE57" i="131"/>
  <c r="BE63" i="131"/>
  <c r="BE70" i="131"/>
  <c r="BE66" i="131"/>
  <c r="BE32" i="131"/>
  <c r="BE29" i="131"/>
  <c r="BE17" i="131"/>
  <c r="BE15" i="131"/>
  <c r="BE13" i="131"/>
  <c r="BE11" i="131"/>
  <c r="BE9" i="131"/>
  <c r="BE56" i="131"/>
  <c r="BE28" i="131"/>
  <c r="BE79" i="131"/>
  <c r="BE33" i="131"/>
  <c r="BE48" i="131"/>
  <c r="BE21" i="131"/>
  <c r="BE12" i="131"/>
  <c r="BE14" i="131"/>
  <c r="BE26" i="131"/>
  <c r="BE20" i="131"/>
  <c r="BE58" i="131"/>
  <c r="BE23" i="131"/>
  <c r="BE10" i="131"/>
  <c r="BE16" i="131"/>
  <c r="BE30" i="131"/>
  <c r="BE25" i="131"/>
  <c r="BE52" i="131"/>
  <c r="BE61" i="131"/>
  <c r="BE69" i="131"/>
  <c r="BE18" i="131"/>
  <c r="BE24" i="131"/>
  <c r="BE47" i="131"/>
  <c r="BE60" i="131"/>
  <c r="BE55" i="131"/>
  <c r="BE19" i="131"/>
  <c r="BE22" i="131"/>
  <c r="BE43" i="131"/>
  <c r="BE27" i="131"/>
  <c r="BE42" i="131"/>
  <c r="BE64" i="131"/>
  <c r="BE51" i="131"/>
  <c r="BE45" i="131"/>
  <c r="BE62" i="131"/>
  <c r="BE46" i="131"/>
  <c r="BE31" i="131"/>
  <c r="BE44" i="131"/>
  <c r="CH5" i="131"/>
  <c r="AU79" i="131"/>
  <c r="AU70" i="131"/>
  <c r="AU68" i="131"/>
  <c r="AU58" i="131"/>
  <c r="AU48" i="131"/>
  <c r="AU71" i="131"/>
  <c r="AU64" i="131"/>
  <c r="AU47" i="131"/>
  <c r="AU45" i="131"/>
  <c r="AU29" i="131"/>
  <c r="AU26" i="131"/>
  <c r="AU60" i="131"/>
  <c r="AU55" i="131"/>
  <c r="AU52" i="131"/>
  <c r="AU59" i="131"/>
  <c r="AU56" i="131"/>
  <c r="AU43" i="131"/>
  <c r="AU31" i="131"/>
  <c r="AU30" i="131"/>
  <c r="AU25" i="131"/>
  <c r="AU24" i="131"/>
  <c r="AU46" i="131"/>
  <c r="AU42" i="131"/>
  <c r="AU32" i="131"/>
  <c r="AU20" i="131"/>
  <c r="AU63" i="131"/>
  <c r="AU65" i="131"/>
  <c r="AU14" i="131"/>
  <c r="AU18" i="131"/>
  <c r="AU33" i="131"/>
  <c r="AU11" i="131"/>
  <c r="AU16" i="131"/>
  <c r="AU10" i="131"/>
  <c r="AU62" i="131"/>
  <c r="AU13" i="131"/>
  <c r="AU22" i="131"/>
  <c r="AU12" i="131"/>
  <c r="AU17" i="131"/>
  <c r="AU23" i="131"/>
  <c r="AU67" i="131"/>
  <c r="AU15" i="131"/>
  <c r="AU51" i="131"/>
  <c r="AU27" i="131"/>
  <c r="AU21" i="131"/>
  <c r="AU19" i="131"/>
  <c r="AU57" i="131"/>
  <c r="AU66" i="131"/>
  <c r="AU61" i="131"/>
  <c r="AU9" i="131"/>
  <c r="AU28" i="131"/>
  <c r="AU69" i="131"/>
  <c r="AU44" i="131"/>
  <c r="O75" i="131"/>
  <c r="O39" i="131"/>
  <c r="BR76" i="131"/>
  <c r="BR81" i="131"/>
  <c r="BR83" i="131" s="1"/>
  <c r="BR84" i="131" s="1"/>
  <c r="BR86" i="131" s="1"/>
  <c r="BR87" i="131" s="1"/>
  <c r="AD81" i="131"/>
  <c r="AD83" i="131" s="1"/>
  <c r="AD84" i="131" s="1"/>
  <c r="AD86" i="131" s="1"/>
  <c r="AD87" i="131" s="1"/>
  <c r="AD76" i="131"/>
  <c r="K50" i="131"/>
  <c r="BY50" i="131"/>
  <c r="BX76" i="131"/>
  <c r="BX81" i="131"/>
  <c r="BX83" i="131" s="1"/>
  <c r="BX84" i="131" s="1"/>
  <c r="BX86" i="131" s="1"/>
  <c r="BX87" i="131" s="1"/>
  <c r="F70" i="131"/>
  <c r="F85" i="131"/>
  <c r="F68" i="131"/>
  <c r="F66" i="131"/>
  <c r="F55" i="131"/>
  <c r="F71" i="131"/>
  <c r="F60" i="131"/>
  <c r="F58" i="131"/>
  <c r="F29" i="131"/>
  <c r="F69" i="131"/>
  <c r="F56" i="131"/>
  <c r="F47" i="131"/>
  <c r="F48" i="131"/>
  <c r="F82" i="131"/>
  <c r="F36" i="131"/>
  <c r="F79" i="131"/>
  <c r="F30" i="131"/>
  <c r="F21" i="131"/>
  <c r="F26" i="131"/>
  <c r="F24" i="131"/>
  <c r="F64" i="131"/>
  <c r="F20" i="131"/>
  <c r="F22" i="131"/>
  <c r="F52" i="131"/>
  <c r="F63" i="131"/>
  <c r="F28" i="131"/>
  <c r="F23" i="131"/>
  <c r="F31" i="131"/>
  <c r="F19" i="131"/>
  <c r="F16" i="131"/>
  <c r="F10" i="131"/>
  <c r="F59" i="131"/>
  <c r="F25" i="131"/>
  <c r="F45" i="131"/>
  <c r="F42" i="131"/>
  <c r="F9" i="131"/>
  <c r="F15" i="131"/>
  <c r="F18" i="131"/>
  <c r="F27" i="131"/>
  <c r="F46" i="131"/>
  <c r="F35" i="131"/>
  <c r="F65" i="131"/>
  <c r="F57" i="131"/>
  <c r="F67" i="131"/>
  <c r="F8" i="131"/>
  <c r="F33" i="131"/>
  <c r="F73" i="131"/>
  <c r="F14" i="131"/>
  <c r="F17" i="131"/>
  <c r="F44" i="131"/>
  <c r="F11" i="131"/>
  <c r="F12" i="131"/>
  <c r="F50" i="131"/>
  <c r="F43" i="131"/>
  <c r="F61" i="131"/>
  <c r="F13" i="131"/>
  <c r="F51" i="131"/>
  <c r="F32" i="131"/>
  <c r="F62" i="131"/>
  <c r="BE8" i="131"/>
  <c r="AU41" i="131"/>
  <c r="F54" i="131"/>
  <c r="AJ76" i="131"/>
  <c r="AJ81" i="131"/>
  <c r="AJ83" i="131" s="1"/>
  <c r="AJ84" i="131" s="1"/>
  <c r="AJ86" i="131" s="1"/>
  <c r="AJ87" i="131" s="1"/>
  <c r="E76" i="131"/>
  <c r="E81" i="131"/>
  <c r="E83" i="131" s="1"/>
  <c r="E84" i="131" s="1"/>
  <c r="E86" i="131" s="1"/>
  <c r="E87" i="131" s="1"/>
  <c r="BS75" i="131"/>
  <c r="BS39" i="131"/>
  <c r="AK71" i="131"/>
  <c r="AK67" i="131"/>
  <c r="AK64" i="131"/>
  <c r="AK59" i="131"/>
  <c r="AK55" i="131"/>
  <c r="AK65" i="131"/>
  <c r="AK57" i="131"/>
  <c r="AK30" i="131"/>
  <c r="AK60" i="131"/>
  <c r="AK66" i="131"/>
  <c r="AK33" i="131"/>
  <c r="AK46" i="131"/>
  <c r="AK27" i="131"/>
  <c r="AK18" i="131"/>
  <c r="AK70" i="131"/>
  <c r="AK48" i="131"/>
  <c r="AK47" i="131"/>
  <c r="AK31" i="131"/>
  <c r="AK14" i="131"/>
  <c r="AK20" i="131"/>
  <c r="AK16" i="131"/>
  <c r="AK29" i="131"/>
  <c r="AK23" i="131"/>
  <c r="AK12" i="131"/>
  <c r="AK10" i="131"/>
  <c r="AK8" i="131"/>
  <c r="AK22" i="131"/>
  <c r="AK44" i="131"/>
  <c r="AK58" i="131"/>
  <c r="AK43" i="131"/>
  <c r="AK21" i="131"/>
  <c r="AK42" i="131"/>
  <c r="AK52" i="131"/>
  <c r="AK62" i="131"/>
  <c r="AK63" i="131"/>
  <c r="AK51" i="131"/>
  <c r="AK13" i="131"/>
  <c r="AK17" i="131"/>
  <c r="AK25" i="131"/>
  <c r="AK45" i="131"/>
  <c r="AK11" i="131"/>
  <c r="AK9" i="131"/>
  <c r="AK26" i="131"/>
  <c r="AK32" i="131"/>
  <c r="AK24" i="131"/>
  <c r="AK61" i="131"/>
  <c r="AK68" i="131"/>
  <c r="AK19" i="131"/>
  <c r="AK28" i="131"/>
  <c r="AK69" i="131"/>
  <c r="AK56" i="131"/>
  <c r="AK15" i="131"/>
  <c r="CC76" i="131"/>
  <c r="CC81" i="131"/>
  <c r="CC83" i="131" s="1"/>
  <c r="CC84" i="131" s="1"/>
  <c r="CC86" i="131" s="1"/>
  <c r="CC87" i="131" s="1"/>
  <c r="BH81" i="131"/>
  <c r="BH83" i="131" s="1"/>
  <c r="BH84" i="131" s="1"/>
  <c r="BH86" i="131" s="1"/>
  <c r="BH87" i="131" s="1"/>
  <c r="BH76" i="131"/>
  <c r="BJ70" i="131"/>
  <c r="BJ79" i="131"/>
  <c r="BJ68" i="131"/>
  <c r="BJ69" i="131"/>
  <c r="BJ58" i="131"/>
  <c r="BJ52" i="131"/>
  <c r="BJ48" i="131"/>
  <c r="BJ47" i="131"/>
  <c r="BJ62" i="131"/>
  <c r="BJ60" i="131"/>
  <c r="BJ56" i="131"/>
  <c r="BJ46" i="131"/>
  <c r="BJ43" i="131"/>
  <c r="BJ42" i="131"/>
  <c r="BJ29" i="131"/>
  <c r="BJ26" i="131"/>
  <c r="BJ63" i="131"/>
  <c r="BJ31" i="131"/>
  <c r="BJ28" i="131"/>
  <c r="BJ24" i="131"/>
  <c r="BJ20" i="131"/>
  <c r="BJ32" i="131"/>
  <c r="BJ22" i="131"/>
  <c r="BJ55" i="131"/>
  <c r="BJ64" i="131"/>
  <c r="BJ12" i="131"/>
  <c r="BJ33" i="131"/>
  <c r="BJ14" i="131"/>
  <c r="BJ71" i="131"/>
  <c r="BJ11" i="131"/>
  <c r="BJ16" i="131"/>
  <c r="BJ18" i="131"/>
  <c r="BJ23" i="131"/>
  <c r="BJ13" i="131"/>
  <c r="BJ10" i="131"/>
  <c r="BJ17" i="131"/>
  <c r="BJ57" i="131"/>
  <c r="BJ51" i="131"/>
  <c r="BJ67" i="131"/>
  <c r="BJ44" i="131"/>
  <c r="BJ9" i="131"/>
  <c r="BJ45" i="131"/>
  <c r="BJ25" i="131"/>
  <c r="BJ19" i="131"/>
  <c r="BJ59" i="131"/>
  <c r="BJ21" i="131"/>
  <c r="BJ27" i="131"/>
  <c r="BJ61" i="131"/>
  <c r="BJ15" i="131"/>
  <c r="BJ30" i="131"/>
  <c r="BJ65" i="131"/>
  <c r="BJ66" i="131"/>
  <c r="AP50" i="131"/>
  <c r="AK41" i="131"/>
  <c r="CL9" i="131"/>
  <c r="CH8" i="131"/>
  <c r="AF8" i="131"/>
  <c r="AP54" i="131"/>
  <c r="K54" i="131"/>
  <c r="P79" i="131"/>
  <c r="P78" i="131"/>
  <c r="P71" i="131"/>
  <c r="P61" i="131"/>
  <c r="P65" i="131"/>
  <c r="P66" i="131"/>
  <c r="P46" i="131"/>
  <c r="P67" i="131"/>
  <c r="P59" i="131"/>
  <c r="P52" i="131"/>
  <c r="P44" i="131"/>
  <c r="P36" i="131"/>
  <c r="P68" i="131"/>
  <c r="P24" i="131"/>
  <c r="P17" i="131"/>
  <c r="P15" i="131"/>
  <c r="P13" i="131"/>
  <c r="P11" i="131"/>
  <c r="P28" i="131"/>
  <c r="P64" i="131"/>
  <c r="P26" i="131"/>
  <c r="P56" i="131"/>
  <c r="P32" i="131"/>
  <c r="P23" i="131"/>
  <c r="P29" i="131"/>
  <c r="P25" i="131"/>
  <c r="P35" i="131"/>
  <c r="P16" i="131"/>
  <c r="P43" i="131"/>
  <c r="P62" i="131"/>
  <c r="P58" i="131"/>
  <c r="P12" i="131"/>
  <c r="P21" i="131"/>
  <c r="P42" i="131"/>
  <c r="P31" i="131"/>
  <c r="P47" i="131"/>
  <c r="P74" i="131"/>
  <c r="P51" i="131"/>
  <c r="P10" i="131"/>
  <c r="P19" i="131"/>
  <c r="P27" i="131"/>
  <c r="P9" i="131"/>
  <c r="P57" i="131"/>
  <c r="P30" i="131"/>
  <c r="P77" i="131"/>
  <c r="P14" i="131"/>
  <c r="P33" i="131"/>
  <c r="P48" i="131"/>
  <c r="P18" i="131"/>
  <c r="P63" i="131"/>
  <c r="P70" i="131"/>
  <c r="P20" i="131"/>
  <c r="P22" i="131"/>
  <c r="P55" i="131"/>
  <c r="P69" i="131"/>
  <c r="P45" i="131"/>
  <c r="P50" i="131"/>
  <c r="P73" i="131"/>
  <c r="P60" i="131"/>
  <c r="BE54" i="131"/>
  <c r="BI75" i="131"/>
  <c r="BI39" i="131"/>
  <c r="CG75" i="131"/>
  <c r="CG39" i="131"/>
  <c r="S81" i="131"/>
  <c r="S83" i="131" s="1"/>
  <c r="S84" i="131" s="1"/>
  <c r="S86" i="131" s="1"/>
  <c r="S87" i="131" s="1"/>
  <c r="S76" i="131"/>
  <c r="T38" i="131"/>
  <c r="AY76" i="131"/>
  <c r="AY81" i="131"/>
  <c r="AY83" i="131" s="1"/>
  <c r="AY84" i="131" s="1"/>
  <c r="AY86" i="131" s="1"/>
  <c r="AY87" i="131" s="1"/>
  <c r="BY8" i="131"/>
  <c r="BJ54" i="131"/>
  <c r="P41" i="131"/>
  <c r="I76" i="131"/>
  <c r="I81" i="131"/>
  <c r="I83" i="131" s="1"/>
  <c r="I84" i="131" s="1"/>
  <c r="I86" i="131" s="1"/>
  <c r="I87" i="131" s="1"/>
  <c r="CH54" i="131"/>
  <c r="AC76" i="131"/>
  <c r="AC81" i="131"/>
  <c r="AC83" i="131" s="1"/>
  <c r="AC84" i="131" s="1"/>
  <c r="AC86" i="131" s="1"/>
  <c r="AC87" i="131" s="1"/>
  <c r="P54" i="131"/>
  <c r="CB75" i="111"/>
  <c r="CB39" i="111"/>
  <c r="BZ75" i="111"/>
  <c r="BZ39" i="111"/>
  <c r="AL81" i="111"/>
  <c r="AL83" i="111" s="1"/>
  <c r="AL84" i="111" s="1"/>
  <c r="AL86" i="111" s="1"/>
  <c r="AL87" i="111" s="1"/>
  <c r="AL76" i="111"/>
  <c r="BD50" i="111"/>
  <c r="AJ71" i="111"/>
  <c r="AJ70" i="111"/>
  <c r="AJ69" i="111"/>
  <c r="AJ66" i="111"/>
  <c r="AJ63" i="111"/>
  <c r="AJ52" i="111"/>
  <c r="AJ47" i="111"/>
  <c r="AJ51" i="111"/>
  <c r="AJ46" i="111"/>
  <c r="AJ56" i="111"/>
  <c r="AJ57" i="111"/>
  <c r="AJ55" i="111"/>
  <c r="AJ45" i="111"/>
  <c r="AJ60" i="111"/>
  <c r="AJ33" i="111"/>
  <c r="AJ29" i="111"/>
  <c r="AJ25" i="111"/>
  <c r="AJ24" i="111"/>
  <c r="AJ18" i="111"/>
  <c r="AJ44" i="111"/>
  <c r="AJ31" i="111"/>
  <c r="AJ36" i="111"/>
  <c r="AJ27" i="111"/>
  <c r="AJ20" i="111"/>
  <c r="AJ14" i="111"/>
  <c r="AJ12" i="111"/>
  <c r="AJ22" i="111"/>
  <c r="AJ11" i="111"/>
  <c r="AJ9" i="111"/>
  <c r="AJ10" i="111"/>
  <c r="AJ35" i="111"/>
  <c r="AI92" i="111"/>
  <c r="AJ28" i="111"/>
  <c r="AJ42" i="111"/>
  <c r="AJ19" i="111"/>
  <c r="AJ30" i="111"/>
  <c r="AJ68" i="111"/>
  <c r="AJ64" i="111"/>
  <c r="AJ21" i="111"/>
  <c r="AJ67" i="111"/>
  <c r="AJ61" i="111"/>
  <c r="AJ8" i="111"/>
  <c r="AJ13" i="111"/>
  <c r="AJ79" i="111"/>
  <c r="AJ59" i="111"/>
  <c r="AJ17" i="111"/>
  <c r="AJ65" i="111"/>
  <c r="AJ58" i="111"/>
  <c r="AJ32" i="111"/>
  <c r="AJ41" i="111"/>
  <c r="AJ50" i="111"/>
  <c r="AJ78" i="111"/>
  <c r="AJ26" i="111"/>
  <c r="AJ23" i="111"/>
  <c r="AJ15" i="111"/>
  <c r="AJ48" i="111"/>
  <c r="AJ62" i="111"/>
  <c r="AJ16" i="111"/>
  <c r="AJ43" i="111"/>
  <c r="AN81" i="111"/>
  <c r="AN83" i="111" s="1"/>
  <c r="AN84" i="111" s="1"/>
  <c r="AN86" i="111" s="1"/>
  <c r="AN87" i="111" s="1"/>
  <c r="AN76" i="111"/>
  <c r="AD81" i="111"/>
  <c r="AD83" i="111" s="1"/>
  <c r="AD84" i="111" s="1"/>
  <c r="AD86" i="111" s="1"/>
  <c r="AD87" i="111" s="1"/>
  <c r="AD76" i="111"/>
  <c r="U71" i="111"/>
  <c r="U69" i="111"/>
  <c r="U72" i="111"/>
  <c r="U70" i="111"/>
  <c r="U49" i="111"/>
  <c r="U52" i="111"/>
  <c r="U47" i="111"/>
  <c r="U57" i="111"/>
  <c r="U51" i="111"/>
  <c r="U46" i="111"/>
  <c r="U56" i="111"/>
  <c r="U55" i="111"/>
  <c r="U45" i="111"/>
  <c r="U33" i="111"/>
  <c r="U29" i="111"/>
  <c r="U26" i="111"/>
  <c r="U44" i="111"/>
  <c r="U28" i="111"/>
  <c r="U24" i="111"/>
  <c r="U18" i="111"/>
  <c r="U31" i="111"/>
  <c r="U36" i="111"/>
  <c r="U27" i="111"/>
  <c r="U22" i="111"/>
  <c r="U12" i="111"/>
  <c r="U16" i="111"/>
  <c r="U20" i="111"/>
  <c r="U23" i="111"/>
  <c r="U9" i="111"/>
  <c r="U11" i="111"/>
  <c r="U10" i="111"/>
  <c r="U43" i="111"/>
  <c r="U61" i="111"/>
  <c r="U68" i="111"/>
  <c r="U63" i="111"/>
  <c r="U19" i="111"/>
  <c r="U13" i="111"/>
  <c r="U66" i="111"/>
  <c r="U58" i="111"/>
  <c r="U65" i="111"/>
  <c r="U25" i="111"/>
  <c r="U17" i="111"/>
  <c r="U64" i="111"/>
  <c r="U8" i="111"/>
  <c r="U42" i="111"/>
  <c r="U21" i="111"/>
  <c r="U62" i="111"/>
  <c r="U15" i="111"/>
  <c r="U60" i="111"/>
  <c r="U59" i="111"/>
  <c r="U32" i="111"/>
  <c r="U48" i="111"/>
  <c r="U14" i="111"/>
  <c r="U30" i="111"/>
  <c r="U54" i="111"/>
  <c r="U67" i="111"/>
  <c r="AJ39" i="111"/>
  <c r="BA76" i="111"/>
  <c r="BA81" i="111"/>
  <c r="BA83" i="111" s="1"/>
  <c r="BA84" i="111" s="1"/>
  <c r="BA86" i="111" s="1"/>
  <c r="BA87" i="111" s="1"/>
  <c r="AE35" i="111"/>
  <c r="E75" i="111"/>
  <c r="E39" i="111"/>
  <c r="N81" i="111"/>
  <c r="N83" i="111" s="1"/>
  <c r="N84" i="111" s="1"/>
  <c r="N86" i="111" s="1"/>
  <c r="N87" i="111" s="1"/>
  <c r="N76" i="111"/>
  <c r="Y75" i="111"/>
  <c r="Z38" i="111"/>
  <c r="Y39" i="111"/>
  <c r="Z39" i="111" s="1"/>
  <c r="BI70" i="111"/>
  <c r="BI69" i="111"/>
  <c r="BI74" i="111"/>
  <c r="BI71" i="111"/>
  <c r="BI67" i="111"/>
  <c r="BI48" i="111"/>
  <c r="BI44" i="111"/>
  <c r="BI52" i="111"/>
  <c r="BI51" i="111"/>
  <c r="BI50" i="111"/>
  <c r="BI46" i="111"/>
  <c r="BI61" i="111"/>
  <c r="BI42" i="111"/>
  <c r="BI45" i="111"/>
  <c r="BI55" i="111"/>
  <c r="BI26" i="111"/>
  <c r="BI22" i="111"/>
  <c r="BI21" i="111"/>
  <c r="BI20" i="111"/>
  <c r="BI58" i="111"/>
  <c r="BI33" i="111"/>
  <c r="BI29" i="111"/>
  <c r="BI24" i="111"/>
  <c r="BI19" i="111"/>
  <c r="BI18" i="111"/>
  <c r="BI30" i="111"/>
  <c r="BI11" i="111"/>
  <c r="BI9" i="111"/>
  <c r="BI16" i="111"/>
  <c r="BI35" i="111"/>
  <c r="BI31" i="111"/>
  <c r="BI17" i="111"/>
  <c r="BI12" i="111"/>
  <c r="BI64" i="111"/>
  <c r="BI27" i="111"/>
  <c r="BI41" i="111"/>
  <c r="BI23" i="111"/>
  <c r="BI65" i="111"/>
  <c r="BI56" i="111"/>
  <c r="BI57" i="111"/>
  <c r="BI59" i="111"/>
  <c r="BI73" i="111"/>
  <c r="BI47" i="111"/>
  <c r="BI36" i="111"/>
  <c r="BI60" i="111"/>
  <c r="BI63" i="111"/>
  <c r="BI66" i="111"/>
  <c r="BI68" i="111"/>
  <c r="BI28" i="111"/>
  <c r="BI14" i="111"/>
  <c r="BI32" i="111"/>
  <c r="BI25" i="111"/>
  <c r="BI79" i="111"/>
  <c r="BI15" i="111"/>
  <c r="BI43" i="111"/>
  <c r="BI10" i="111"/>
  <c r="BI13" i="111"/>
  <c r="BI62" i="111"/>
  <c r="BC81" i="111"/>
  <c r="BC83" i="111" s="1"/>
  <c r="BC84" i="111" s="1"/>
  <c r="BC86" i="111" s="1"/>
  <c r="BC87" i="111" s="1"/>
  <c r="BC76" i="111"/>
  <c r="AS75" i="111"/>
  <c r="AS39" i="111"/>
  <c r="AJ38" i="111"/>
  <c r="AX81" i="111"/>
  <c r="AX83" i="111" s="1"/>
  <c r="AX84" i="111" s="1"/>
  <c r="AX86" i="111" s="1"/>
  <c r="AX87" i="111" s="1"/>
  <c r="AX76" i="111"/>
  <c r="W76" i="111"/>
  <c r="W81" i="111"/>
  <c r="W83" i="111" s="1"/>
  <c r="W84" i="111" s="1"/>
  <c r="W86" i="111" s="1"/>
  <c r="W87" i="111" s="1"/>
  <c r="O39" i="111"/>
  <c r="BM81" i="111"/>
  <c r="BM83" i="111" s="1"/>
  <c r="BM84" i="111" s="1"/>
  <c r="BM86" i="111" s="1"/>
  <c r="BM87" i="111" s="1"/>
  <c r="BM76" i="111"/>
  <c r="AI81" i="111"/>
  <c r="AI83" i="111" s="1"/>
  <c r="AI84" i="111" s="1"/>
  <c r="AI86" i="111" s="1"/>
  <c r="AI87" i="111" s="1"/>
  <c r="AI76" i="111"/>
  <c r="AT70" i="111"/>
  <c r="AT69" i="111"/>
  <c r="AT67" i="111"/>
  <c r="AT64" i="111"/>
  <c r="AT61" i="111"/>
  <c r="AT74" i="111"/>
  <c r="AT48" i="111"/>
  <c r="AT44" i="111"/>
  <c r="AT52" i="111"/>
  <c r="AT58" i="111"/>
  <c r="AT51" i="111"/>
  <c r="AT46" i="111"/>
  <c r="AT42" i="111"/>
  <c r="AT26" i="111"/>
  <c r="AT22" i="111"/>
  <c r="AT20" i="111"/>
  <c r="AT33" i="111"/>
  <c r="AT29" i="111"/>
  <c r="AT30" i="111"/>
  <c r="AT24" i="111"/>
  <c r="AT18" i="111"/>
  <c r="AT45" i="111"/>
  <c r="AT31" i="111"/>
  <c r="AT16" i="111"/>
  <c r="AT11" i="111"/>
  <c r="AT9" i="111"/>
  <c r="AT12" i="111"/>
  <c r="AT55" i="111"/>
  <c r="AT36" i="111"/>
  <c r="AT15" i="111"/>
  <c r="AT65" i="111"/>
  <c r="AT60" i="111"/>
  <c r="AT10" i="111"/>
  <c r="AT21" i="111"/>
  <c r="AT19" i="111"/>
  <c r="AT25" i="111"/>
  <c r="AT14" i="111"/>
  <c r="AT71" i="111"/>
  <c r="AT73" i="111"/>
  <c r="AT68" i="111"/>
  <c r="AT13" i="111"/>
  <c r="AT79" i="111"/>
  <c r="AT57" i="111"/>
  <c r="AT17" i="111"/>
  <c r="AT28" i="111"/>
  <c r="AT63" i="111"/>
  <c r="AT27" i="111"/>
  <c r="AT56" i="111"/>
  <c r="AT23" i="111"/>
  <c r="AT43" i="111"/>
  <c r="AT47" i="111"/>
  <c r="AT50" i="111"/>
  <c r="AT59" i="111"/>
  <c r="AT62" i="111"/>
  <c r="AT66" i="111"/>
  <c r="AT32" i="111"/>
  <c r="AT35" i="111"/>
  <c r="AT54" i="111"/>
  <c r="BI77" i="111"/>
  <c r="CB35" i="111"/>
  <c r="BW76" i="111"/>
  <c r="BD74" i="111"/>
  <c r="BD71" i="111"/>
  <c r="BD70" i="111"/>
  <c r="BX78" i="111"/>
  <c r="BD68" i="111"/>
  <c r="BD65" i="111"/>
  <c r="BD62" i="111"/>
  <c r="BD56" i="111"/>
  <c r="BD55" i="111"/>
  <c r="BD54" i="111"/>
  <c r="BD45" i="111"/>
  <c r="BD44" i="111"/>
  <c r="BD43" i="111"/>
  <c r="BD51" i="111"/>
  <c r="BD31" i="111"/>
  <c r="BD17" i="111"/>
  <c r="BD16" i="111"/>
  <c r="BX37" i="111"/>
  <c r="BD21" i="111"/>
  <c r="BD46" i="111"/>
  <c r="BD12" i="111"/>
  <c r="BD24" i="111"/>
  <c r="BD15" i="111"/>
  <c r="BD18" i="111"/>
  <c r="BD23" i="111"/>
  <c r="BD19" i="111"/>
  <c r="BD11" i="111"/>
  <c r="BD9" i="111"/>
  <c r="BD10" i="111"/>
  <c r="BD14" i="111"/>
  <c r="BD36" i="111"/>
  <c r="BD57" i="111"/>
  <c r="BD67" i="111"/>
  <c r="BD26" i="111"/>
  <c r="BD27" i="111"/>
  <c r="BD33" i="111"/>
  <c r="BD25" i="111"/>
  <c r="BD32" i="111"/>
  <c r="BD35" i="111"/>
  <c r="BD69" i="111"/>
  <c r="BD64" i="111"/>
  <c r="BD22" i="111"/>
  <c r="BD59" i="111"/>
  <c r="BD20" i="111"/>
  <c r="BD48" i="111"/>
  <c r="BD61" i="111"/>
  <c r="BD29" i="111"/>
  <c r="BD28" i="111"/>
  <c r="BD42" i="111"/>
  <c r="BD66" i="111"/>
  <c r="BD58" i="111"/>
  <c r="BD8" i="111"/>
  <c r="BD60" i="111"/>
  <c r="BD13" i="111"/>
  <c r="BD79" i="111"/>
  <c r="BD52" i="111"/>
  <c r="BD30" i="111"/>
  <c r="BD63" i="111"/>
  <c r="BD73" i="111"/>
  <c r="BD47" i="111"/>
  <c r="AE70" i="111"/>
  <c r="AE72" i="111"/>
  <c r="AE69" i="111"/>
  <c r="AE49" i="111"/>
  <c r="AE48" i="111"/>
  <c r="AE58" i="111"/>
  <c r="AE50" i="111"/>
  <c r="AE44" i="111"/>
  <c r="AE52" i="111"/>
  <c r="AE51" i="111"/>
  <c r="AE46" i="111"/>
  <c r="AE42" i="111"/>
  <c r="AE30" i="111"/>
  <c r="AE22" i="111"/>
  <c r="AE20" i="111"/>
  <c r="AE19" i="111"/>
  <c r="AE45" i="111"/>
  <c r="AE33" i="111"/>
  <c r="AE29" i="111"/>
  <c r="AE55" i="111"/>
  <c r="AE24" i="111"/>
  <c r="AE18" i="111"/>
  <c r="AE16" i="111"/>
  <c r="AE11" i="111"/>
  <c r="AE9" i="111"/>
  <c r="AE21" i="111"/>
  <c r="AE12" i="111"/>
  <c r="AE17" i="111"/>
  <c r="AE31" i="111"/>
  <c r="AE79" i="111"/>
  <c r="AE57" i="111"/>
  <c r="AE56" i="111"/>
  <c r="AE66" i="111"/>
  <c r="AE59" i="111"/>
  <c r="AE15" i="111"/>
  <c r="AE47" i="111"/>
  <c r="AE60" i="111"/>
  <c r="AE65" i="111"/>
  <c r="AE28" i="111"/>
  <c r="AE32" i="111"/>
  <c r="AE71" i="111"/>
  <c r="AD92" i="111"/>
  <c r="AE27" i="111"/>
  <c r="AE62" i="111"/>
  <c r="AE8" i="111"/>
  <c r="AE10" i="111"/>
  <c r="AE13" i="111"/>
  <c r="AE41" i="111"/>
  <c r="AE63" i="111"/>
  <c r="AE64" i="111"/>
  <c r="AE36" i="111"/>
  <c r="AE67" i="111"/>
  <c r="AE14" i="111"/>
  <c r="AE43" i="111"/>
  <c r="AE25" i="111"/>
  <c r="AE23" i="111"/>
  <c r="AE61" i="111"/>
  <c r="AE26" i="111"/>
  <c r="AE68" i="111"/>
  <c r="O70" i="111"/>
  <c r="O78" i="111"/>
  <c r="O71" i="111"/>
  <c r="O79" i="111"/>
  <c r="O48" i="111"/>
  <c r="O61" i="111"/>
  <c r="O52" i="111"/>
  <c r="O64" i="111"/>
  <c r="O51" i="111"/>
  <c r="O46" i="111"/>
  <c r="O67" i="111"/>
  <c r="O42" i="111"/>
  <c r="O58" i="111"/>
  <c r="O45" i="111"/>
  <c r="O41" i="111"/>
  <c r="O55" i="111"/>
  <c r="O50" i="111"/>
  <c r="O22" i="111"/>
  <c r="O20" i="111"/>
  <c r="O33" i="111"/>
  <c r="O29" i="111"/>
  <c r="O35" i="111"/>
  <c r="O28" i="111"/>
  <c r="O24" i="111"/>
  <c r="O30" i="111"/>
  <c r="O18" i="111"/>
  <c r="O11" i="111"/>
  <c r="O9" i="111"/>
  <c r="O16" i="111"/>
  <c r="O31" i="111"/>
  <c r="O12" i="111"/>
  <c r="O10" i="111"/>
  <c r="O21" i="111"/>
  <c r="O19" i="111"/>
  <c r="O25" i="111"/>
  <c r="O57" i="111"/>
  <c r="O60" i="111"/>
  <c r="O14" i="111"/>
  <c r="O8" i="111"/>
  <c r="O13" i="111"/>
  <c r="O56" i="111"/>
  <c r="O23" i="111"/>
  <c r="O63" i="111"/>
  <c r="O66" i="111"/>
  <c r="O68" i="111"/>
  <c r="O15" i="111"/>
  <c r="O27" i="111"/>
  <c r="O43" i="111"/>
  <c r="O47" i="111"/>
  <c r="O65" i="111"/>
  <c r="O17" i="111"/>
  <c r="O26" i="111"/>
  <c r="O62" i="111"/>
  <c r="O44" i="111"/>
  <c r="O32" i="111"/>
  <c r="O36" i="111"/>
  <c r="O59" i="111"/>
  <c r="O69" i="111"/>
  <c r="O54" i="111"/>
  <c r="O38" i="111"/>
  <c r="BI8" i="111"/>
  <c r="T81" i="111"/>
  <c r="T83" i="111" s="1"/>
  <c r="T84" i="111" s="1"/>
  <c r="T86" i="111" s="1"/>
  <c r="T87" i="111" s="1"/>
  <c r="T76" i="111"/>
  <c r="AT41" i="111"/>
  <c r="AJ54" i="111"/>
  <c r="BP81" i="111"/>
  <c r="BP83" i="111" s="1"/>
  <c r="BP84" i="111" s="1"/>
  <c r="BP86" i="111" s="1"/>
  <c r="BP87" i="111" s="1"/>
  <c r="BP76" i="111"/>
  <c r="F79" i="111"/>
  <c r="F71" i="111"/>
  <c r="F70" i="111"/>
  <c r="F68" i="111"/>
  <c r="F65" i="111"/>
  <c r="F62" i="111"/>
  <c r="F72" i="111"/>
  <c r="F56" i="111"/>
  <c r="F55" i="111"/>
  <c r="F45" i="111"/>
  <c r="F44" i="111"/>
  <c r="F43" i="111"/>
  <c r="F35" i="111"/>
  <c r="F51" i="111"/>
  <c r="F21" i="111"/>
  <c r="F36" i="111"/>
  <c r="F30" i="111"/>
  <c r="F27" i="111"/>
  <c r="F19" i="111"/>
  <c r="F46" i="111"/>
  <c r="F17" i="111"/>
  <c r="F33" i="111"/>
  <c r="F32" i="111"/>
  <c r="F12" i="111"/>
  <c r="F10" i="111"/>
  <c r="F29" i="111"/>
  <c r="F16" i="111"/>
  <c r="F13" i="111"/>
  <c r="F15" i="111"/>
  <c r="F20" i="111"/>
  <c r="F52" i="111"/>
  <c r="F64" i="111"/>
  <c r="F85" i="111"/>
  <c r="F28" i="111"/>
  <c r="F48" i="111"/>
  <c r="F61" i="111"/>
  <c r="F11" i="111"/>
  <c r="F31" i="111"/>
  <c r="F26" i="111"/>
  <c r="F24" i="111"/>
  <c r="F69" i="111"/>
  <c r="F66" i="111"/>
  <c r="F82" i="111"/>
  <c r="F9" i="111"/>
  <c r="F42" i="111"/>
  <c r="F57" i="111"/>
  <c r="F14" i="111"/>
  <c r="F59" i="111"/>
  <c r="F58" i="111"/>
  <c r="F63" i="111"/>
  <c r="F73" i="111"/>
  <c r="F67" i="111"/>
  <c r="F25" i="111"/>
  <c r="F47" i="111"/>
  <c r="F60" i="111"/>
  <c r="F18" i="111"/>
  <c r="AT77" i="111"/>
  <c r="BD41" i="111"/>
  <c r="BH81" i="111"/>
  <c r="BH83" i="111" s="1"/>
  <c r="BH84" i="111" s="1"/>
  <c r="BH86" i="111" s="1"/>
  <c r="BH87" i="111" s="1"/>
  <c r="BH76" i="111"/>
  <c r="CL5" i="131" l="1"/>
  <c r="CO5" i="131" s="1"/>
  <c r="CH38" i="131"/>
  <c r="Z76" i="131"/>
  <c r="T75" i="131"/>
  <c r="T39" i="131"/>
  <c r="BI81" i="131"/>
  <c r="BI83" i="131" s="1"/>
  <c r="BI84" i="131" s="1"/>
  <c r="BI86" i="131" s="1"/>
  <c r="BI87" i="131" s="1"/>
  <c r="BI76" i="131"/>
  <c r="BS76" i="131"/>
  <c r="BS81" i="131"/>
  <c r="BS83" i="131" s="1"/>
  <c r="BS84" i="131" s="1"/>
  <c r="BS86" i="131" s="1"/>
  <c r="BS87" i="131" s="1"/>
  <c r="O76" i="131"/>
  <c r="O81" i="131"/>
  <c r="O83" i="131" s="1"/>
  <c r="O84" i="131" s="1"/>
  <c r="O86" i="131" s="1"/>
  <c r="O87" i="131" s="1"/>
  <c r="CO7" i="131"/>
  <c r="CG81" i="131"/>
  <c r="CG83" i="131" s="1"/>
  <c r="CG84" i="131" s="1"/>
  <c r="CG86" i="131" s="1"/>
  <c r="CG87" i="131" s="1"/>
  <c r="CG76" i="131"/>
  <c r="CF75" i="131"/>
  <c r="CF39" i="131"/>
  <c r="BD76" i="131"/>
  <c r="BD81" i="131"/>
  <c r="BD83" i="131" s="1"/>
  <c r="BD84" i="131" s="1"/>
  <c r="BD86" i="131" s="1"/>
  <c r="BD87" i="131" s="1"/>
  <c r="J81" i="131"/>
  <c r="J83" i="131" s="1"/>
  <c r="J84" i="131" s="1"/>
  <c r="J86" i="131" s="1"/>
  <c r="J87" i="131" s="1"/>
  <c r="J76" i="131"/>
  <c r="E81" i="111"/>
  <c r="E83" i="111" s="1"/>
  <c r="E84" i="111" s="1"/>
  <c r="E86" i="111" s="1"/>
  <c r="E87" i="111" s="1"/>
  <c r="E76" i="111"/>
  <c r="BZ76" i="111"/>
  <c r="Y81" i="111"/>
  <c r="Y83" i="111" s="1"/>
  <c r="Y84" i="111" s="1"/>
  <c r="Y86" i="111" s="1"/>
  <c r="Y87" i="111" s="1"/>
  <c r="Y76" i="111"/>
  <c r="AS81" i="111"/>
  <c r="AS83" i="111" s="1"/>
  <c r="AS84" i="111" s="1"/>
  <c r="AS86" i="111" s="1"/>
  <c r="AS87" i="111" s="1"/>
  <c r="AS76" i="111"/>
  <c r="CB76" i="111"/>
  <c r="CH75" i="131" l="1"/>
  <c r="CH39" i="131"/>
  <c r="CF76" i="131"/>
  <c r="T76" i="131"/>
  <c r="CH76" i="131" l="1"/>
  <c r="AA64" i="101" l="1"/>
  <c r="AA63" i="101" s="1"/>
  <c r="AA58" i="101"/>
  <c r="AA55" i="101"/>
  <c r="AA46" i="101"/>
  <c r="AA45" i="101" l="1"/>
  <c r="M24" i="101"/>
  <c r="E24" i="101"/>
  <c r="AB79" i="159" l="1"/>
  <c r="AB79" i="158"/>
  <c r="AB79" i="162"/>
  <c r="AB79" i="161"/>
  <c r="AB79" i="164"/>
  <c r="BU79" i="111"/>
  <c r="X79" i="131"/>
  <c r="AB81" i="158" l="1"/>
  <c r="AB83" i="158" s="1"/>
  <c r="AB84" i="158" s="1"/>
  <c r="AD79" i="158"/>
  <c r="AB77" i="158"/>
  <c r="AB77" i="159"/>
  <c r="W79" i="159"/>
  <c r="AD79" i="159"/>
  <c r="AB81" i="159"/>
  <c r="AB83" i="159" s="1"/>
  <c r="AB84" i="159" s="1"/>
  <c r="AB77" i="162"/>
  <c r="AD79" i="162"/>
  <c r="W79" i="162"/>
  <c r="AB81" i="162"/>
  <c r="AB83" i="162" s="1"/>
  <c r="AB84" i="162" s="1"/>
  <c r="W79" i="161"/>
  <c r="AD79" i="161"/>
  <c r="AB77" i="161"/>
  <c r="AB81" i="161"/>
  <c r="AB83" i="161" s="1"/>
  <c r="AB84" i="161" s="1"/>
  <c r="AB77" i="164"/>
  <c r="AD79" i="164"/>
  <c r="AB81" i="164"/>
  <c r="AB83" i="164" s="1"/>
  <c r="AB84" i="164" s="1"/>
  <c r="X77" i="131"/>
  <c r="R79" i="131"/>
  <c r="X81" i="131"/>
  <c r="X83" i="131" s="1"/>
  <c r="X84" i="131" s="1"/>
  <c r="X86" i="131" s="1"/>
  <c r="X87" i="131" s="1"/>
  <c r="Z79" i="131"/>
  <c r="BZ79" i="111"/>
  <c r="BW79" i="111"/>
  <c r="BU77" i="111"/>
  <c r="BU81" i="111"/>
  <c r="BU83" i="111" s="1"/>
  <c r="BU84" i="111" s="1"/>
  <c r="BU86" i="111" s="1"/>
  <c r="BU87" i="111" s="1"/>
  <c r="AD77" i="159" l="1"/>
  <c r="AD89" i="159"/>
  <c r="AD81" i="159"/>
  <c r="AD83" i="159" s="1"/>
  <c r="AD84" i="159" s="1"/>
  <c r="AD86" i="159" s="1"/>
  <c r="AD87" i="159" s="1"/>
  <c r="W81" i="159"/>
  <c r="W83" i="159" s="1"/>
  <c r="CJ79" i="159"/>
  <c r="Y79" i="159"/>
  <c r="W77" i="159"/>
  <c r="AD77" i="158"/>
  <c r="AD81" i="158"/>
  <c r="AD83" i="158" s="1"/>
  <c r="AD84" i="158" s="1"/>
  <c r="AD86" i="158" s="1"/>
  <c r="AD87" i="158" s="1"/>
  <c r="AD89" i="158"/>
  <c r="AB86" i="158"/>
  <c r="AB87" i="158" s="1"/>
  <c r="AB86" i="159"/>
  <c r="AB87" i="159" s="1"/>
  <c r="W84" i="159"/>
  <c r="AD77" i="162"/>
  <c r="AD89" i="162"/>
  <c r="AD81" i="162"/>
  <c r="AD83" i="162" s="1"/>
  <c r="AD84" i="162" s="1"/>
  <c r="AD86" i="162" s="1"/>
  <c r="AD87" i="162" s="1"/>
  <c r="AD77" i="161"/>
  <c r="AD89" i="161"/>
  <c r="AD81" i="161"/>
  <c r="AD83" i="161" s="1"/>
  <c r="AD84" i="161" s="1"/>
  <c r="AD86" i="161" s="1"/>
  <c r="AD87" i="161" s="1"/>
  <c r="W77" i="161"/>
  <c r="W81" i="161"/>
  <c r="W83" i="161" s="1"/>
  <c r="CJ79" i="161"/>
  <c r="Y79" i="161"/>
  <c r="AB86" i="161"/>
  <c r="AB87" i="161" s="1"/>
  <c r="W84" i="161"/>
  <c r="AB86" i="162"/>
  <c r="AB87" i="162" s="1"/>
  <c r="W84" i="162"/>
  <c r="Y79" i="162"/>
  <c r="W77" i="162"/>
  <c r="CJ79" i="162"/>
  <c r="W81" i="162"/>
  <c r="W83" i="162" s="1"/>
  <c r="AB86" i="164"/>
  <c r="AB87" i="164" s="1"/>
  <c r="AD77" i="164"/>
  <c r="AD89" i="164"/>
  <c r="AD81" i="164"/>
  <c r="AD83" i="164" s="1"/>
  <c r="AD84" i="164" s="1"/>
  <c r="AD86" i="164" s="1"/>
  <c r="AD87" i="164" s="1"/>
  <c r="BZ77" i="111"/>
  <c r="BZ81" i="111"/>
  <c r="BZ83" i="111" s="1"/>
  <c r="BZ84" i="111" s="1"/>
  <c r="BZ86" i="111" s="1"/>
  <c r="BZ87" i="111" s="1"/>
  <c r="R77" i="131"/>
  <c r="R81" i="131"/>
  <c r="R83" i="131" s="1"/>
  <c r="R84" i="131" s="1"/>
  <c r="R86" i="131" s="1"/>
  <c r="R87" i="131" s="1"/>
  <c r="CF79" i="131"/>
  <c r="Z89" i="131"/>
  <c r="Z77" i="131"/>
  <c r="T79" i="131"/>
  <c r="Z81" i="131"/>
  <c r="Z83" i="131" s="1"/>
  <c r="Z84" i="131" s="1"/>
  <c r="Z86" i="131" s="1"/>
  <c r="Z87" i="131" s="1"/>
  <c r="CB79" i="111"/>
  <c r="BW77" i="111"/>
  <c r="BW89" i="111"/>
  <c r="BX79" i="111" s="1"/>
  <c r="BW81" i="111"/>
  <c r="BW83" i="111" s="1"/>
  <c r="BW84" i="111" s="1"/>
  <c r="BW86" i="111" s="1"/>
  <c r="BW87" i="111" s="1"/>
  <c r="W86" i="159" l="1"/>
  <c r="CJ84" i="159"/>
  <c r="CJ86" i="159" s="1"/>
  <c r="CJ87" i="159" s="1"/>
  <c r="AE62" i="158"/>
  <c r="AE69" i="158"/>
  <c r="AE49" i="158"/>
  <c r="AE20" i="158"/>
  <c r="AE16" i="158"/>
  <c r="AE26" i="158"/>
  <c r="AE12" i="158"/>
  <c r="AE25" i="158"/>
  <c r="AE42" i="158"/>
  <c r="AE21" i="158"/>
  <c r="AE52" i="158"/>
  <c r="AE24" i="158"/>
  <c r="AE47" i="158"/>
  <c r="AE63" i="158"/>
  <c r="AE67" i="158"/>
  <c r="AE66" i="158"/>
  <c r="AE56" i="158"/>
  <c r="AE14" i="158"/>
  <c r="AE61" i="158"/>
  <c r="AE22" i="158"/>
  <c r="AE36" i="158"/>
  <c r="AE18" i="158"/>
  <c r="AE10" i="158"/>
  <c r="AE45" i="158"/>
  <c r="AE15" i="158"/>
  <c r="AE9" i="158"/>
  <c r="AE68" i="158"/>
  <c r="AE70" i="158"/>
  <c r="AE60" i="158"/>
  <c r="AE59" i="158"/>
  <c r="AE51" i="158"/>
  <c r="AE29" i="158"/>
  <c r="AE43" i="158"/>
  <c r="AE23" i="158"/>
  <c r="AE19" i="158"/>
  <c r="AE28" i="158"/>
  <c r="AE71" i="158"/>
  <c r="AE33" i="158"/>
  <c r="AE44" i="158"/>
  <c r="AE17" i="158"/>
  <c r="AE65" i="158"/>
  <c r="AE53" i="158"/>
  <c r="AE58" i="158"/>
  <c r="AE48" i="158"/>
  <c r="AE27" i="158"/>
  <c r="AE30" i="158"/>
  <c r="AE13" i="158"/>
  <c r="AE11" i="158"/>
  <c r="AE55" i="158"/>
  <c r="AE46" i="158"/>
  <c r="AE32" i="158"/>
  <c r="AE31" i="158"/>
  <c r="AE57" i="158"/>
  <c r="Y77" i="159"/>
  <c r="Y89" i="159"/>
  <c r="Y81" i="159"/>
  <c r="Y83" i="159" s="1"/>
  <c r="Y84" i="159" s="1"/>
  <c r="Y86" i="159" s="1"/>
  <c r="AE12" i="159"/>
  <c r="AE51" i="159"/>
  <c r="AE17" i="159"/>
  <c r="AE65" i="159"/>
  <c r="AE61" i="159"/>
  <c r="AE49" i="159"/>
  <c r="AE29" i="159"/>
  <c r="AE11" i="159"/>
  <c r="AE21" i="159"/>
  <c r="AE45" i="159"/>
  <c r="AE64" i="159"/>
  <c r="AE60" i="159"/>
  <c r="AE42" i="159"/>
  <c r="AE26" i="159"/>
  <c r="AE9" i="159"/>
  <c r="AE68" i="159"/>
  <c r="AE13" i="159"/>
  <c r="AE47" i="159"/>
  <c r="AE18" i="159"/>
  <c r="AE32" i="159"/>
  <c r="AE30" i="159"/>
  <c r="AE63" i="159"/>
  <c r="AE58" i="159"/>
  <c r="AE57" i="159"/>
  <c r="AE24" i="159"/>
  <c r="AE59" i="159"/>
  <c r="AE46" i="159"/>
  <c r="AE71" i="159"/>
  <c r="AE52" i="159"/>
  <c r="AE31" i="159"/>
  <c r="AE62" i="159"/>
  <c r="AE36" i="159"/>
  <c r="AE53" i="159"/>
  <c r="AE23" i="159"/>
  <c r="AE10" i="159"/>
  <c r="AE69" i="159"/>
  <c r="AE43" i="159"/>
  <c r="AE16" i="159"/>
  <c r="AE70" i="159"/>
  <c r="AE15" i="159"/>
  <c r="AE48" i="159"/>
  <c r="AE56" i="159"/>
  <c r="AE14" i="159"/>
  <c r="AE33" i="159"/>
  <c r="AE25" i="159"/>
  <c r="AE67" i="159"/>
  <c r="AE19" i="159"/>
  <c r="AE55" i="159"/>
  <c r="AE27" i="159"/>
  <c r="AE20" i="159"/>
  <c r="AE28" i="159"/>
  <c r="AE66" i="159"/>
  <c r="AE44" i="159"/>
  <c r="AE22" i="159"/>
  <c r="CJ77" i="159"/>
  <c r="CQ79" i="159"/>
  <c r="CL79" i="159"/>
  <c r="CJ81" i="159"/>
  <c r="CJ83" i="159" s="1"/>
  <c r="Y77" i="162"/>
  <c r="Y89" i="162"/>
  <c r="Y81" i="162"/>
  <c r="Y83" i="162" s="1"/>
  <c r="Y84" i="162" s="1"/>
  <c r="Y86" i="162" s="1"/>
  <c r="W86" i="161"/>
  <c r="CJ84" i="161"/>
  <c r="CJ86" i="161" s="1"/>
  <c r="CJ87" i="161" s="1"/>
  <c r="Y77" i="161"/>
  <c r="Y89" i="161"/>
  <c r="Y81" i="161"/>
  <c r="Y83" i="161" s="1"/>
  <c r="Y84" i="161" s="1"/>
  <c r="Y86" i="161" s="1"/>
  <c r="AE65" i="162"/>
  <c r="AE70" i="162"/>
  <c r="AE48" i="162"/>
  <c r="AE29" i="162"/>
  <c r="AE14" i="162"/>
  <c r="AE47" i="162"/>
  <c r="AE30" i="162"/>
  <c r="AE62" i="162"/>
  <c r="AE43" i="162"/>
  <c r="AE46" i="162"/>
  <c r="AE61" i="162"/>
  <c r="AE55" i="162"/>
  <c r="AE45" i="162"/>
  <c r="AE27" i="162"/>
  <c r="AE53" i="162"/>
  <c r="AE24" i="162"/>
  <c r="AE13" i="162"/>
  <c r="AE69" i="162"/>
  <c r="AE63" i="162"/>
  <c r="AE59" i="162"/>
  <c r="AE44" i="162"/>
  <c r="AE42" i="162"/>
  <c r="AE56" i="162"/>
  <c r="AE58" i="162"/>
  <c r="AE36" i="162"/>
  <c r="AE23" i="162"/>
  <c r="AE66" i="162"/>
  <c r="AE16" i="162"/>
  <c r="AE49" i="162"/>
  <c r="AE31" i="162"/>
  <c r="AE17" i="162"/>
  <c r="AE67" i="162"/>
  <c r="AE68" i="162"/>
  <c r="AE57" i="162"/>
  <c r="AE28" i="162"/>
  <c r="AE33" i="162"/>
  <c r="AE60" i="162"/>
  <c r="AE12" i="162"/>
  <c r="AE71" i="162"/>
  <c r="AE64" i="162"/>
  <c r="AE25" i="162"/>
  <c r="AE9" i="162"/>
  <c r="AE26" i="162"/>
  <c r="AE19" i="162"/>
  <c r="AE15" i="162"/>
  <c r="AE21" i="162"/>
  <c r="AE22" i="162"/>
  <c r="AE18" i="162"/>
  <c r="AE32" i="162"/>
  <c r="AE52" i="162"/>
  <c r="AE20" i="162"/>
  <c r="AE10" i="162"/>
  <c r="AE11" i="162"/>
  <c r="AE51" i="162"/>
  <c r="CL79" i="162"/>
  <c r="CJ77" i="162"/>
  <c r="CJ81" i="162"/>
  <c r="CJ83" i="162" s="1"/>
  <c r="W86" i="162"/>
  <c r="CJ84" i="162"/>
  <c r="CJ86" i="162" s="1"/>
  <c r="CJ87" i="162" s="1"/>
  <c r="CJ77" i="161"/>
  <c r="CQ79" i="161"/>
  <c r="CL79" i="161"/>
  <c r="CJ81" i="161"/>
  <c r="CJ83" i="161" s="1"/>
  <c r="AE61" i="161"/>
  <c r="AE59" i="161"/>
  <c r="AE42" i="161"/>
  <c r="AE21" i="161"/>
  <c r="AE15" i="161"/>
  <c r="AE10" i="161"/>
  <c r="AE51" i="161"/>
  <c r="AE63" i="161"/>
  <c r="AE31" i="161"/>
  <c r="AE62" i="161"/>
  <c r="AE9" i="161"/>
  <c r="AE58" i="161"/>
  <c r="AE56" i="161"/>
  <c r="AE26" i="161"/>
  <c r="AE20" i="161"/>
  <c r="AE14" i="161"/>
  <c r="AE36" i="161"/>
  <c r="AE69" i="161"/>
  <c r="AE67" i="161"/>
  <c r="AE33" i="161"/>
  <c r="AE22" i="161"/>
  <c r="AE55" i="161"/>
  <c r="AE46" i="161"/>
  <c r="AE25" i="161"/>
  <c r="AE19" i="161"/>
  <c r="AE24" i="161"/>
  <c r="AE48" i="161"/>
  <c r="AE68" i="161"/>
  <c r="AE65" i="161"/>
  <c r="AE64" i="161"/>
  <c r="AE16" i="161"/>
  <c r="AE60" i="161"/>
  <c r="AE45" i="161"/>
  <c r="AE49" i="161"/>
  <c r="AE18" i="161"/>
  <c r="AE11" i="161"/>
  <c r="AE66" i="161"/>
  <c r="AE32" i="161"/>
  <c r="AE71" i="161"/>
  <c r="AE47" i="161"/>
  <c r="AE43" i="161"/>
  <c r="AE52" i="161"/>
  <c r="AE57" i="161"/>
  <c r="AE44" i="161"/>
  <c r="AE23" i="161"/>
  <c r="AE17" i="161"/>
  <c r="AE12" i="161"/>
  <c r="AE28" i="161"/>
  <c r="AE27" i="161"/>
  <c r="AE30" i="161"/>
  <c r="AE70" i="161"/>
  <c r="AE53" i="161"/>
  <c r="AE13" i="161"/>
  <c r="AE29" i="161"/>
  <c r="AE71" i="164"/>
  <c r="AE61" i="164"/>
  <c r="AE67" i="164"/>
  <c r="AE59" i="164"/>
  <c r="AE23" i="164"/>
  <c r="AE48" i="164"/>
  <c r="AE27" i="164"/>
  <c r="AE19" i="164"/>
  <c r="AE20" i="164"/>
  <c r="AE68" i="164"/>
  <c r="AE70" i="164"/>
  <c r="AE42" i="164"/>
  <c r="AE57" i="164"/>
  <c r="AE53" i="164"/>
  <c r="AE30" i="164"/>
  <c r="AE11" i="164"/>
  <c r="AE56" i="164"/>
  <c r="AE17" i="164"/>
  <c r="AE65" i="164"/>
  <c r="AE49" i="164"/>
  <c r="AE51" i="164"/>
  <c r="AE44" i="164"/>
  <c r="AE52" i="164"/>
  <c r="AE24" i="164"/>
  <c r="AE12" i="164"/>
  <c r="AE14" i="164"/>
  <c r="AE10" i="164"/>
  <c r="AE69" i="164"/>
  <c r="AE64" i="164"/>
  <c r="AE47" i="164"/>
  <c r="AE32" i="164"/>
  <c r="AE46" i="164"/>
  <c r="AE28" i="164"/>
  <c r="AE60" i="164"/>
  <c r="AE13" i="164"/>
  <c r="AE16" i="164"/>
  <c r="AE63" i="164"/>
  <c r="AE55" i="164"/>
  <c r="AE43" i="164"/>
  <c r="AE29" i="164"/>
  <c r="AE25" i="164"/>
  <c r="AE33" i="164"/>
  <c r="AE21" i="164"/>
  <c r="AE22" i="164"/>
  <c r="AE58" i="164"/>
  <c r="AE45" i="164"/>
  <c r="AE36" i="164"/>
  <c r="AE26" i="164"/>
  <c r="AE31" i="164"/>
  <c r="AE9" i="164"/>
  <c r="AE66" i="164"/>
  <c r="AE15" i="164"/>
  <c r="AE62" i="164"/>
  <c r="AE18" i="164"/>
  <c r="CB77" i="111"/>
  <c r="CB89" i="111"/>
  <c r="CB90" i="111" s="1"/>
  <c r="CB81" i="111"/>
  <c r="CB83" i="111" s="1"/>
  <c r="CB84" i="111" s="1"/>
  <c r="CB86" i="111" s="1"/>
  <c r="CF77" i="131"/>
  <c r="CF81" i="131"/>
  <c r="CF83" i="131" s="1"/>
  <c r="CF84" i="131" s="1"/>
  <c r="CF86" i="131" s="1"/>
  <c r="CF87" i="131" s="1"/>
  <c r="T89" i="131"/>
  <c r="U79" i="131" s="1"/>
  <c r="CH79" i="131"/>
  <c r="T77" i="131"/>
  <c r="T81" i="131"/>
  <c r="T83" i="131" s="1"/>
  <c r="T84" i="131" s="1"/>
  <c r="T86" i="131" s="1"/>
  <c r="T87" i="131" s="1"/>
  <c r="AA79" i="131"/>
  <c r="AA71" i="131"/>
  <c r="AA56" i="131"/>
  <c r="AA15" i="131"/>
  <c r="AA26" i="131"/>
  <c r="AA10" i="131"/>
  <c r="AA16" i="131"/>
  <c r="AA31" i="131"/>
  <c r="AA64" i="131"/>
  <c r="AA23" i="131"/>
  <c r="AA50" i="131"/>
  <c r="AA61" i="131"/>
  <c r="AA68" i="131"/>
  <c r="AA13" i="131"/>
  <c r="AA12" i="131"/>
  <c r="AA55" i="131"/>
  <c r="AA24" i="131"/>
  <c r="AA33" i="131"/>
  <c r="AA48" i="131"/>
  <c r="AA22" i="131"/>
  <c r="AA66" i="131"/>
  <c r="AA44" i="131"/>
  <c r="AA11" i="131"/>
  <c r="AA14" i="131"/>
  <c r="AA42" i="131"/>
  <c r="AA19" i="131"/>
  <c r="AA57" i="131"/>
  <c r="AA60" i="131"/>
  <c r="AA67" i="131"/>
  <c r="AA52" i="131"/>
  <c r="AA28" i="131"/>
  <c r="AA32" i="131"/>
  <c r="AA20" i="131"/>
  <c r="AA47" i="131"/>
  <c r="AA63" i="131"/>
  <c r="AA59" i="131"/>
  <c r="AA18" i="131"/>
  <c r="AA8" i="131"/>
  <c r="AA78" i="131"/>
  <c r="AA69" i="131"/>
  <c r="AA30" i="131"/>
  <c r="AA29" i="131"/>
  <c r="AA46" i="131"/>
  <c r="AA9" i="131"/>
  <c r="AA51" i="131"/>
  <c r="AA70" i="131"/>
  <c r="AA21" i="131"/>
  <c r="AA41" i="131"/>
  <c r="K74" i="131"/>
  <c r="AA43" i="131"/>
  <c r="AA17" i="131"/>
  <c r="AA65" i="131"/>
  <c r="AA62" i="131"/>
  <c r="AA27" i="131"/>
  <c r="AA25" i="131"/>
  <c r="AA45" i="131"/>
  <c r="AA58" i="131"/>
  <c r="AA54" i="131"/>
  <c r="BX54" i="111"/>
  <c r="BX44" i="111"/>
  <c r="BX22" i="111"/>
  <c r="BX55" i="111"/>
  <c r="BX16" i="111"/>
  <c r="BX63" i="111"/>
  <c r="BX26" i="111"/>
  <c r="BX61" i="111"/>
  <c r="BX59" i="111"/>
  <c r="BX19" i="111"/>
  <c r="BX52" i="111"/>
  <c r="BX20" i="111"/>
  <c r="BX36" i="111"/>
  <c r="BX12" i="111"/>
  <c r="BX60" i="111"/>
  <c r="BX35" i="111"/>
  <c r="BX8" i="111"/>
  <c r="BX71" i="111"/>
  <c r="BX27" i="111"/>
  <c r="BX70" i="111"/>
  <c r="BX51" i="111"/>
  <c r="BX45" i="111"/>
  <c r="BX24" i="111"/>
  <c r="BX31" i="111"/>
  <c r="BX62" i="111"/>
  <c r="BX32" i="111"/>
  <c r="BX50" i="111"/>
  <c r="BX13" i="111"/>
  <c r="BX47" i="111"/>
  <c r="BX69" i="111"/>
  <c r="BX46" i="111"/>
  <c r="BX41" i="111"/>
  <c r="BX18" i="111"/>
  <c r="BX10" i="111"/>
  <c r="BX65" i="111"/>
  <c r="BX14" i="111"/>
  <c r="BX15" i="111"/>
  <c r="BX25" i="111"/>
  <c r="BX64" i="111"/>
  <c r="BX74" i="111"/>
  <c r="BX42" i="111"/>
  <c r="BX33" i="111"/>
  <c r="BX11" i="111"/>
  <c r="BX57" i="111"/>
  <c r="BX68" i="111"/>
  <c r="BX67" i="111"/>
  <c r="BX21" i="111"/>
  <c r="BX43" i="111"/>
  <c r="BX23" i="111"/>
  <c r="BX48" i="111"/>
  <c r="BX30" i="111"/>
  <c r="BX29" i="111"/>
  <c r="BX9" i="111"/>
  <c r="BX28" i="111"/>
  <c r="BX73" i="111"/>
  <c r="BX58" i="111"/>
  <c r="BX66" i="111"/>
  <c r="BX56" i="111"/>
  <c r="BX17" i="111"/>
  <c r="BX77" i="111"/>
  <c r="CL77" i="159" l="1"/>
  <c r="CL89" i="159"/>
  <c r="CL90" i="159" s="1"/>
  <c r="CL81" i="159"/>
  <c r="CL83" i="159" s="1"/>
  <c r="CL84" i="159" s="1"/>
  <c r="CL86" i="159" s="1"/>
  <c r="CL87" i="159" s="1"/>
  <c r="CQ77" i="159"/>
  <c r="CR79" i="159"/>
  <c r="CR81" i="159" s="1"/>
  <c r="CR83" i="159" s="1"/>
  <c r="CR84" i="159" s="1"/>
  <c r="CR86" i="159" s="1"/>
  <c r="CR87" i="159" s="1"/>
  <c r="CQ81" i="159"/>
  <c r="CQ83" i="159" s="1"/>
  <c r="CQ84" i="159" s="1"/>
  <c r="CQ86" i="159" s="1"/>
  <c r="CQ87" i="159" s="1"/>
  <c r="CQ77" i="161"/>
  <c r="CR79" i="161"/>
  <c r="CR81" i="161" s="1"/>
  <c r="CR83" i="161" s="1"/>
  <c r="CR84" i="161" s="1"/>
  <c r="CR86" i="161" s="1"/>
  <c r="CQ81" i="161"/>
  <c r="CQ83" i="161" s="1"/>
  <c r="CQ84" i="161" s="1"/>
  <c r="CQ79" i="162"/>
  <c r="CL77" i="162"/>
  <c r="CL89" i="162"/>
  <c r="CL81" i="162"/>
  <c r="CL83" i="162" s="1"/>
  <c r="CL84" i="162" s="1"/>
  <c r="CL86" i="162" s="1"/>
  <c r="CL87" i="162" s="1"/>
  <c r="CL77" i="161"/>
  <c r="CL89" i="161"/>
  <c r="CL81" i="161"/>
  <c r="CL83" i="161" s="1"/>
  <c r="CL84" i="161" s="1"/>
  <c r="CL86" i="161" s="1"/>
  <c r="CL87" i="161" s="1"/>
  <c r="U77" i="131"/>
  <c r="CH89" i="131"/>
  <c r="CH90" i="131" s="1"/>
  <c r="CH77" i="131"/>
  <c r="CL79" i="131"/>
  <c r="CL89" i="131" s="1"/>
  <c r="CH81" i="131"/>
  <c r="CH83" i="131" s="1"/>
  <c r="CH84" i="131" s="1"/>
  <c r="CH86" i="131" s="1"/>
  <c r="CH93" i="131" s="1"/>
  <c r="CH100" i="131" s="1"/>
  <c r="U8" i="131"/>
  <c r="U55" i="131"/>
  <c r="U61" i="131"/>
  <c r="U25" i="131"/>
  <c r="U31" i="131"/>
  <c r="U56" i="131"/>
  <c r="U46" i="131"/>
  <c r="U22" i="131"/>
  <c r="U9" i="131"/>
  <c r="U33" i="131"/>
  <c r="U54" i="131"/>
  <c r="U78" i="131"/>
  <c r="U20" i="131"/>
  <c r="U29" i="131"/>
  <c r="U16" i="131"/>
  <c r="U10" i="131"/>
  <c r="U74" i="131"/>
  <c r="U11" i="131"/>
  <c r="U58" i="131"/>
  <c r="U17" i="131"/>
  <c r="U35" i="131"/>
  <c r="U70" i="131"/>
  <c r="U12" i="131"/>
  <c r="U52" i="131"/>
  <c r="U18" i="131"/>
  <c r="U51" i="131"/>
  <c r="U13" i="131"/>
  <c r="U66" i="131"/>
  <c r="U50" i="131"/>
  <c r="U43" i="131"/>
  <c r="U68" i="131"/>
  <c r="U14" i="131"/>
  <c r="U44" i="131"/>
  <c r="U47" i="131"/>
  <c r="U64" i="131"/>
  <c r="U48" i="131"/>
  <c r="U32" i="131"/>
  <c r="U71" i="131"/>
  <c r="U45" i="131"/>
  <c r="U41" i="131"/>
  <c r="U73" i="131"/>
  <c r="U60" i="131"/>
  <c r="U26" i="131"/>
  <c r="U24" i="131"/>
  <c r="U63" i="131"/>
  <c r="U42" i="131"/>
  <c r="U65" i="131"/>
  <c r="U19" i="131"/>
  <c r="U15" i="131"/>
  <c r="U62" i="131"/>
  <c r="U30" i="131"/>
  <c r="U57" i="131"/>
  <c r="U27" i="131"/>
  <c r="U28" i="131"/>
  <c r="U21" i="131"/>
  <c r="U67" i="131"/>
  <c r="U36" i="131"/>
  <c r="U23" i="131"/>
  <c r="U69" i="131"/>
  <c r="U59" i="131"/>
  <c r="CB87" i="111"/>
  <c r="CB93" i="111"/>
  <c r="CB100" i="111" s="1"/>
  <c r="CC100" i="111" s="1"/>
  <c r="CC41" i="111"/>
  <c r="CC54" i="111"/>
  <c r="CC56" i="111"/>
  <c r="CC11" i="111"/>
  <c r="CC17" i="111"/>
  <c r="CC32" i="111"/>
  <c r="CC25" i="111"/>
  <c r="CC20" i="111"/>
  <c r="CC29" i="111"/>
  <c r="CC71" i="111"/>
  <c r="CC46" i="111"/>
  <c r="CC59" i="111"/>
  <c r="CC30" i="111"/>
  <c r="CC19" i="111"/>
  <c r="CC31" i="111"/>
  <c r="CC52" i="111"/>
  <c r="CC47" i="111"/>
  <c r="CC33" i="111"/>
  <c r="CC55" i="111"/>
  <c r="CC51" i="111"/>
  <c r="CC8" i="111"/>
  <c r="CC43" i="111"/>
  <c r="CC44" i="111"/>
  <c r="CC27" i="111"/>
  <c r="CC10" i="111"/>
  <c r="CC61" i="111"/>
  <c r="CC68" i="111"/>
  <c r="CC65" i="111"/>
  <c r="CC42" i="111"/>
  <c r="CC24" i="111"/>
  <c r="CC36" i="111"/>
  <c r="CC15" i="111"/>
  <c r="CC45" i="111"/>
  <c r="CC57" i="111"/>
  <c r="CC12" i="111"/>
  <c r="CC13" i="111"/>
  <c r="CC60" i="111"/>
  <c r="CC58" i="111"/>
  <c r="CC16" i="111"/>
  <c r="CC72" i="111"/>
  <c r="CC49" i="111"/>
  <c r="CC63" i="111"/>
  <c r="CC48" i="111"/>
  <c r="CC21" i="111"/>
  <c r="CC23" i="111"/>
  <c r="CC9" i="111"/>
  <c r="CC64" i="111"/>
  <c r="CC26" i="111"/>
  <c r="CC69" i="111"/>
  <c r="CC18" i="111"/>
  <c r="CC14" i="111"/>
  <c r="CC67" i="111"/>
  <c r="CC62" i="111"/>
  <c r="CC22" i="111"/>
  <c r="CC28" i="111"/>
  <c r="CC66" i="111"/>
  <c r="CC70" i="111"/>
  <c r="CP85" i="166"/>
  <c r="CQ85" i="166" s="1"/>
  <c r="CK85" i="166"/>
  <c r="CJ85" i="166"/>
  <c r="CG85" i="166"/>
  <c r="CB85" i="166"/>
  <c r="BW85" i="166"/>
  <c r="BR85" i="166"/>
  <c r="BM85" i="166"/>
  <c r="BH85" i="166"/>
  <c r="BC85" i="166"/>
  <c r="AX85" i="166"/>
  <c r="AS85" i="166"/>
  <c r="AN85" i="166"/>
  <c r="AI85" i="166"/>
  <c r="AD85" i="166"/>
  <c r="X85" i="166"/>
  <c r="W85" i="166"/>
  <c r="S85" i="166"/>
  <c r="R85" i="166"/>
  <c r="O85" i="166"/>
  <c r="J85" i="166"/>
  <c r="E85" i="166"/>
  <c r="CP82" i="166"/>
  <c r="CQ82" i="166" s="1"/>
  <c r="CL82" i="166"/>
  <c r="CG82" i="166"/>
  <c r="CB82" i="166"/>
  <c r="BW82" i="166"/>
  <c r="BR82" i="166"/>
  <c r="BM82" i="166"/>
  <c r="BH82" i="166"/>
  <c r="BC82" i="166"/>
  <c r="AX82" i="166"/>
  <c r="AS82" i="166"/>
  <c r="AN82" i="166"/>
  <c r="AI82" i="166"/>
  <c r="AD82" i="166"/>
  <c r="X82" i="166"/>
  <c r="W82" i="166"/>
  <c r="Y82" i="166" s="1"/>
  <c r="S82" i="166"/>
  <c r="R82" i="166"/>
  <c r="O82" i="166"/>
  <c r="J82" i="166"/>
  <c r="E82" i="166"/>
  <c r="CK80" i="166"/>
  <c r="CJ80" i="166"/>
  <c r="CP79" i="166"/>
  <c r="CR79" i="166" s="1"/>
  <c r="BM79" i="166"/>
  <c r="X79" i="166"/>
  <c r="CK79" i="166" s="1"/>
  <c r="S79" i="166"/>
  <c r="CP78" i="166"/>
  <c r="CQ78" i="166" s="1"/>
  <c r="CQ77" i="166" s="1"/>
  <c r="CG78" i="166"/>
  <c r="CB78" i="166"/>
  <c r="BW78" i="166"/>
  <c r="BR78" i="166"/>
  <c r="BM78" i="166"/>
  <c r="BH78" i="166"/>
  <c r="BC78" i="166"/>
  <c r="AX78" i="166"/>
  <c r="AS78" i="166"/>
  <c r="AN78" i="166"/>
  <c r="AI78" i="166"/>
  <c r="AD78" i="166"/>
  <c r="X78" i="166"/>
  <c r="CK78" i="166" s="1"/>
  <c r="CK77" i="166" s="1"/>
  <c r="W78" i="166"/>
  <c r="CJ78" i="166" s="1"/>
  <c r="S78" i="166"/>
  <c r="S77" i="166" s="1"/>
  <c r="R78" i="166"/>
  <c r="O78" i="166"/>
  <c r="J78" i="166"/>
  <c r="E78" i="166"/>
  <c r="CP77" i="166"/>
  <c r="CF77" i="166"/>
  <c r="CA77" i="166"/>
  <c r="BV77" i="166"/>
  <c r="BQ77" i="166"/>
  <c r="BM77" i="166"/>
  <c r="BL77" i="166"/>
  <c r="BK77" i="166"/>
  <c r="BG77" i="166"/>
  <c r="BB77" i="166"/>
  <c r="AW77" i="166"/>
  <c r="AR77" i="166"/>
  <c r="AM77" i="166"/>
  <c r="AH77" i="166"/>
  <c r="AC77" i="166"/>
  <c r="N77" i="166"/>
  <c r="I77" i="166"/>
  <c r="D77" i="166"/>
  <c r="CP74" i="166"/>
  <c r="CQ74" i="166" s="1"/>
  <c r="CQ73" i="166" s="1"/>
  <c r="CK74" i="166"/>
  <c r="CJ74" i="166"/>
  <c r="CG74" i="166"/>
  <c r="CB74" i="166"/>
  <c r="BW74" i="166"/>
  <c r="BW73" i="166" s="1"/>
  <c r="BR74" i="166"/>
  <c r="BR73" i="166" s="1"/>
  <c r="BM74" i="166"/>
  <c r="BH74" i="166"/>
  <c r="BH73" i="166" s="1"/>
  <c r="BC74" i="166"/>
  <c r="BC73" i="166" s="1"/>
  <c r="AX74" i="166"/>
  <c r="AS74" i="166"/>
  <c r="AN74" i="166"/>
  <c r="AI74" i="166"/>
  <c r="AI73" i="166" s="1"/>
  <c r="AD74" i="166"/>
  <c r="AD73" i="166" s="1"/>
  <c r="X74" i="166"/>
  <c r="X73" i="166" s="1"/>
  <c r="W74" i="166"/>
  <c r="W73" i="166" s="1"/>
  <c r="O74" i="166"/>
  <c r="J74" i="166"/>
  <c r="E74" i="166"/>
  <c r="CP73" i="166"/>
  <c r="CK73" i="166"/>
  <c r="CG73" i="166"/>
  <c r="CF73" i="166"/>
  <c r="CE73" i="166"/>
  <c r="CB73" i="166"/>
  <c r="CA73" i="166"/>
  <c r="BZ73" i="166"/>
  <c r="BV73" i="166"/>
  <c r="BU73" i="166"/>
  <c r="BQ73" i="166"/>
  <c r="BP73" i="166"/>
  <c r="BM73" i="166"/>
  <c r="BL73" i="166"/>
  <c r="BK73" i="166"/>
  <c r="BG73" i="166"/>
  <c r="BF73" i="166"/>
  <c r="BB73" i="166"/>
  <c r="BA73" i="166"/>
  <c r="AX73" i="166"/>
  <c r="AW73" i="166"/>
  <c r="AV73" i="166"/>
  <c r="AS73" i="166"/>
  <c r="AR73" i="166"/>
  <c r="AQ73" i="166"/>
  <c r="AN73" i="166"/>
  <c r="AM73" i="166"/>
  <c r="AL73" i="166"/>
  <c r="AH73" i="166"/>
  <c r="AG73" i="166"/>
  <c r="AC73" i="166"/>
  <c r="AB73" i="166"/>
  <c r="Y73" i="166"/>
  <c r="T73" i="166"/>
  <c r="S73" i="166"/>
  <c r="R73" i="166"/>
  <c r="N73" i="166"/>
  <c r="M73" i="166"/>
  <c r="J73" i="166"/>
  <c r="I73" i="166"/>
  <c r="H73" i="166"/>
  <c r="E73" i="166"/>
  <c r="D73" i="166"/>
  <c r="C73" i="166"/>
  <c r="CP71" i="166"/>
  <c r="CQ71" i="166" s="1"/>
  <c r="CG71" i="166"/>
  <c r="CB71" i="166"/>
  <c r="BW71" i="166"/>
  <c r="BR71" i="166"/>
  <c r="BM71" i="166"/>
  <c r="BH71" i="166"/>
  <c r="BC71" i="166"/>
  <c r="AX71" i="166"/>
  <c r="AS71" i="166"/>
  <c r="AN71" i="166"/>
  <c r="AI71" i="166"/>
  <c r="AD71" i="166"/>
  <c r="X71" i="166"/>
  <c r="CK71" i="166" s="1"/>
  <c r="W71" i="166"/>
  <c r="S71" i="166"/>
  <c r="R71" i="166"/>
  <c r="T71" i="166" s="1"/>
  <c r="O71" i="166"/>
  <c r="J71" i="166"/>
  <c r="E71" i="166"/>
  <c r="CP70" i="166"/>
  <c r="CQ70" i="166" s="1"/>
  <c r="CG70" i="166"/>
  <c r="CB70" i="166"/>
  <c r="BW70" i="166"/>
  <c r="BR70" i="166"/>
  <c r="BM70" i="166"/>
  <c r="BH70" i="166"/>
  <c r="BC70" i="166"/>
  <c r="AX70" i="166"/>
  <c r="AS70" i="166"/>
  <c r="AN70" i="166"/>
  <c r="AI70" i="166"/>
  <c r="AD70" i="166"/>
  <c r="X70" i="166"/>
  <c r="CK70" i="166" s="1"/>
  <c r="W70" i="166"/>
  <c r="CJ70" i="166" s="1"/>
  <c r="S70" i="166"/>
  <c r="R70" i="166"/>
  <c r="T70" i="166" s="1"/>
  <c r="O70" i="166"/>
  <c r="J70" i="166"/>
  <c r="E70" i="166"/>
  <c r="CP69" i="166"/>
  <c r="CQ69" i="166" s="1"/>
  <c r="CG69" i="166"/>
  <c r="CB69" i="166"/>
  <c r="BW69" i="166"/>
  <c r="BR69" i="166"/>
  <c r="BM69" i="166"/>
  <c r="BH69" i="166"/>
  <c r="BC69" i="166"/>
  <c r="AX69" i="166"/>
  <c r="AS69" i="166"/>
  <c r="AN69" i="166"/>
  <c r="AI69" i="166"/>
  <c r="AD69" i="166"/>
  <c r="X69" i="166"/>
  <c r="CK69" i="166" s="1"/>
  <c r="W69" i="166"/>
  <c r="CJ69" i="166" s="1"/>
  <c r="S69" i="166"/>
  <c r="R69" i="166"/>
  <c r="T69" i="166" s="1"/>
  <c r="O69" i="166"/>
  <c r="J69" i="166"/>
  <c r="E69" i="166"/>
  <c r="CP68" i="166"/>
  <c r="CQ68" i="166" s="1"/>
  <c r="CG68" i="166"/>
  <c r="CB68" i="166"/>
  <c r="BW68" i="166"/>
  <c r="BR68" i="166"/>
  <c r="BM68" i="166"/>
  <c r="BH68" i="166"/>
  <c r="BC68" i="166"/>
  <c r="AX68" i="166"/>
  <c r="AX54" i="166" s="1"/>
  <c r="AS68" i="166"/>
  <c r="AN68" i="166"/>
  <c r="AI68" i="166"/>
  <c r="AD68" i="166"/>
  <c r="AD54" i="166" s="1"/>
  <c r="Y68" i="166"/>
  <c r="X68" i="166"/>
  <c r="CK68" i="166" s="1"/>
  <c r="W68" i="166"/>
  <c r="CJ68" i="166" s="1"/>
  <c r="S68" i="166"/>
  <c r="T68" i="166" s="1"/>
  <c r="R68" i="166"/>
  <c r="O68" i="166"/>
  <c r="J68" i="166"/>
  <c r="E68" i="166"/>
  <c r="CP67" i="166"/>
  <c r="CQ67" i="166" s="1"/>
  <c r="CG67" i="166"/>
  <c r="CB67" i="166"/>
  <c r="BW67" i="166"/>
  <c r="BR67" i="166"/>
  <c r="BM67" i="166"/>
  <c r="BH67" i="166"/>
  <c r="BC67" i="166"/>
  <c r="AX67" i="166"/>
  <c r="AS67" i="166"/>
  <c r="AN67" i="166"/>
  <c r="AI67" i="166"/>
  <c r="AD67" i="166"/>
  <c r="X67" i="166"/>
  <c r="CK67" i="166" s="1"/>
  <c r="W67" i="166"/>
  <c r="CJ67" i="166" s="1"/>
  <c r="S67" i="166"/>
  <c r="R67" i="166"/>
  <c r="O67" i="166"/>
  <c r="J67" i="166"/>
  <c r="E67" i="166"/>
  <c r="CP66" i="166"/>
  <c r="CQ66" i="166" s="1"/>
  <c r="CG66" i="166"/>
  <c r="CB66" i="166"/>
  <c r="BW66" i="166"/>
  <c r="BR66" i="166"/>
  <c r="BM66" i="166"/>
  <c r="BH66" i="166"/>
  <c r="BC66" i="166"/>
  <c r="AX66" i="166"/>
  <c r="AS66" i="166"/>
  <c r="AN66" i="166"/>
  <c r="AI66" i="166"/>
  <c r="AD66" i="166"/>
  <c r="X66" i="166"/>
  <c r="CK66" i="166" s="1"/>
  <c r="W66" i="166"/>
  <c r="CJ66" i="166" s="1"/>
  <c r="S66" i="166"/>
  <c r="R66" i="166"/>
  <c r="O66" i="166"/>
  <c r="J66" i="166"/>
  <c r="E66" i="166"/>
  <c r="CP65" i="166"/>
  <c r="CQ65" i="166" s="1"/>
  <c r="CG65" i="166"/>
  <c r="CB65" i="166"/>
  <c r="BW65" i="166"/>
  <c r="BR65" i="166"/>
  <c r="BM65" i="166"/>
  <c r="BH65" i="166"/>
  <c r="BC65" i="166"/>
  <c r="AX65" i="166"/>
  <c r="AS65" i="166"/>
  <c r="AN65" i="166"/>
  <c r="AI65" i="166"/>
  <c r="AD65" i="166"/>
  <c r="X65" i="166"/>
  <c r="CK65" i="166" s="1"/>
  <c r="W65" i="166"/>
  <c r="CJ65" i="166" s="1"/>
  <c r="CL65" i="166" s="1"/>
  <c r="S65" i="166"/>
  <c r="R65" i="166"/>
  <c r="O65" i="166"/>
  <c r="J65" i="166"/>
  <c r="E65" i="166"/>
  <c r="CP64" i="166"/>
  <c r="CQ64" i="166" s="1"/>
  <c r="CG64" i="166"/>
  <c r="CB64" i="166"/>
  <c r="BW64" i="166"/>
  <c r="BR64" i="166"/>
  <c r="BM64" i="166"/>
  <c r="BH64" i="166"/>
  <c r="BC64" i="166"/>
  <c r="AX64" i="166"/>
  <c r="AS64" i="166"/>
  <c r="AN64" i="166"/>
  <c r="AI64" i="166"/>
  <c r="AD64" i="166"/>
  <c r="X64" i="166"/>
  <c r="CK64" i="166" s="1"/>
  <c r="W64" i="166"/>
  <c r="CJ64" i="166" s="1"/>
  <c r="S64" i="166"/>
  <c r="R64" i="166"/>
  <c r="O64" i="166"/>
  <c r="J64" i="166"/>
  <c r="E64" i="166"/>
  <c r="CP63" i="166"/>
  <c r="CQ63" i="166" s="1"/>
  <c r="CG63" i="166"/>
  <c r="CB63" i="166"/>
  <c r="BW63" i="166"/>
  <c r="BR63" i="166"/>
  <c r="BM63" i="166"/>
  <c r="BH63" i="166"/>
  <c r="BC63" i="166"/>
  <c r="AX63" i="166"/>
  <c r="AS63" i="166"/>
  <c r="AN63" i="166"/>
  <c r="AI63" i="166"/>
  <c r="AD63" i="166"/>
  <c r="X63" i="166"/>
  <c r="CK63" i="166" s="1"/>
  <c r="W63" i="166"/>
  <c r="CJ63" i="166" s="1"/>
  <c r="S63" i="166"/>
  <c r="R63" i="166"/>
  <c r="O63" i="166"/>
  <c r="J63" i="166"/>
  <c r="E63" i="166"/>
  <c r="CP62" i="166"/>
  <c r="CQ62" i="166" s="1"/>
  <c r="CG62" i="166"/>
  <c r="CB62" i="166"/>
  <c r="BW62" i="166"/>
  <c r="BR62" i="166"/>
  <c r="BM62" i="166"/>
  <c r="BH62" i="166"/>
  <c r="BC62" i="166"/>
  <c r="AX62" i="166"/>
  <c r="AS62" i="166"/>
  <c r="AN62" i="166"/>
  <c r="AI62" i="166"/>
  <c r="AD62" i="166"/>
  <c r="X62" i="166"/>
  <c r="CK62" i="166" s="1"/>
  <c r="W62" i="166"/>
  <c r="CJ62" i="166" s="1"/>
  <c r="CL62" i="166" s="1"/>
  <c r="S62" i="166"/>
  <c r="R62" i="166"/>
  <c r="O62" i="166"/>
  <c r="J62" i="166"/>
  <c r="E62" i="166"/>
  <c r="CP61" i="166"/>
  <c r="CQ61" i="166" s="1"/>
  <c r="CG61" i="166"/>
  <c r="CB61" i="166"/>
  <c r="BW61" i="166"/>
  <c r="BR61" i="166"/>
  <c r="BM61" i="166"/>
  <c r="BH61" i="166"/>
  <c r="BC61" i="166"/>
  <c r="AX61" i="166"/>
  <c r="AS61" i="166"/>
  <c r="AN61" i="166"/>
  <c r="AI61" i="166"/>
  <c r="AD61" i="166"/>
  <c r="X61" i="166"/>
  <c r="CK61" i="166" s="1"/>
  <c r="W61" i="166"/>
  <c r="CJ61" i="166" s="1"/>
  <c r="S61" i="166"/>
  <c r="R61" i="166"/>
  <c r="O61" i="166"/>
  <c r="J61" i="166"/>
  <c r="E61" i="166"/>
  <c r="CP60" i="166"/>
  <c r="CQ60" i="166" s="1"/>
  <c r="CG60" i="166"/>
  <c r="CB60" i="166"/>
  <c r="BW60" i="166"/>
  <c r="BR60" i="166"/>
  <c r="BM60" i="166"/>
  <c r="BH60" i="166"/>
  <c r="BC60" i="166"/>
  <c r="AX60" i="166"/>
  <c r="AS60" i="166"/>
  <c r="AN60" i="166"/>
  <c r="AI60" i="166"/>
  <c r="AD60" i="166"/>
  <c r="X60" i="166"/>
  <c r="CK60" i="166" s="1"/>
  <c r="W60" i="166"/>
  <c r="CJ60" i="166" s="1"/>
  <c r="S60" i="166"/>
  <c r="R60" i="166"/>
  <c r="O60" i="166"/>
  <c r="J60" i="166"/>
  <c r="E60" i="166"/>
  <c r="CP59" i="166"/>
  <c r="CQ59" i="166" s="1"/>
  <c r="CG59" i="166"/>
  <c r="CB59" i="166"/>
  <c r="BW59" i="166"/>
  <c r="BR59" i="166"/>
  <c r="BM59" i="166"/>
  <c r="BH59" i="166"/>
  <c r="BC59" i="166"/>
  <c r="AX59" i="166"/>
  <c r="AS59" i="166"/>
  <c r="AN59" i="166"/>
  <c r="AI59" i="166"/>
  <c r="AD59" i="166"/>
  <c r="X59" i="166"/>
  <c r="CK59" i="166" s="1"/>
  <c r="W59" i="166"/>
  <c r="CJ59" i="166" s="1"/>
  <c r="S59" i="166"/>
  <c r="R59" i="166"/>
  <c r="O59" i="166"/>
  <c r="J59" i="166"/>
  <c r="E59" i="166"/>
  <c r="CP58" i="166"/>
  <c r="CQ58" i="166" s="1"/>
  <c r="CG58" i="166"/>
  <c r="CB58" i="166"/>
  <c r="BW58" i="166"/>
  <c r="BR58" i="166"/>
  <c r="BM58" i="166"/>
  <c r="BH58" i="166"/>
  <c r="BC58" i="166"/>
  <c r="AX58" i="166"/>
  <c r="AS58" i="166"/>
  <c r="AN58" i="166"/>
  <c r="AI58" i="166"/>
  <c r="AD58" i="166"/>
  <c r="X58" i="166"/>
  <c r="W58" i="166"/>
  <c r="CJ58" i="166" s="1"/>
  <c r="S58" i="166"/>
  <c r="R58" i="166"/>
  <c r="O58" i="166"/>
  <c r="J58" i="166"/>
  <c r="E58" i="166"/>
  <c r="CP57" i="166"/>
  <c r="CQ57" i="166" s="1"/>
  <c r="CG57" i="166"/>
  <c r="CB57" i="166"/>
  <c r="BW57" i="166"/>
  <c r="BR57" i="166"/>
  <c r="BM57" i="166"/>
  <c r="BH57" i="166"/>
  <c r="BC57" i="166"/>
  <c r="AX57" i="166"/>
  <c r="AS57" i="166"/>
  <c r="AN57" i="166"/>
  <c r="AI57" i="166"/>
  <c r="AD57" i="166"/>
  <c r="X57" i="166"/>
  <c r="CK57" i="166" s="1"/>
  <c r="W57" i="166"/>
  <c r="CJ57" i="166" s="1"/>
  <c r="S57" i="166"/>
  <c r="R57" i="166"/>
  <c r="O57" i="166"/>
  <c r="J57" i="166"/>
  <c r="E57" i="166"/>
  <c r="CP56" i="166"/>
  <c r="CQ56" i="166" s="1"/>
  <c r="CG56" i="166"/>
  <c r="CB56" i="166"/>
  <c r="BW56" i="166"/>
  <c r="BR56" i="166"/>
  <c r="BM56" i="166"/>
  <c r="BH56" i="166"/>
  <c r="BC56" i="166"/>
  <c r="AX56" i="166"/>
  <c r="AS56" i="166"/>
  <c r="AN56" i="166"/>
  <c r="AI56" i="166"/>
  <c r="AD56" i="166"/>
  <c r="X56" i="166"/>
  <c r="CK56" i="166" s="1"/>
  <c r="W56" i="166"/>
  <c r="CJ56" i="166" s="1"/>
  <c r="CL56" i="166" s="1"/>
  <c r="S56" i="166"/>
  <c r="R56" i="166"/>
  <c r="O56" i="166"/>
  <c r="J56" i="166"/>
  <c r="E56" i="166"/>
  <c r="CP55" i="166"/>
  <c r="CG55" i="166"/>
  <c r="CB55" i="166"/>
  <c r="BW55" i="166"/>
  <c r="BR55" i="166"/>
  <c r="BM55" i="166"/>
  <c r="BH55" i="166"/>
  <c r="BC55" i="166"/>
  <c r="AX55" i="166"/>
  <c r="AS55" i="166"/>
  <c r="AN55" i="166"/>
  <c r="AI55" i="166"/>
  <c r="AD55" i="166"/>
  <c r="X55" i="166"/>
  <c r="CK55" i="166" s="1"/>
  <c r="W55" i="166"/>
  <c r="CJ55" i="166" s="1"/>
  <c r="S55" i="166"/>
  <c r="S54" i="166" s="1"/>
  <c r="R55" i="166"/>
  <c r="O55" i="166"/>
  <c r="J55" i="166"/>
  <c r="E55" i="166"/>
  <c r="CF54" i="166"/>
  <c r="CE54" i="166"/>
  <c r="CB54" i="166"/>
  <c r="CA54" i="166"/>
  <c r="BZ54" i="166"/>
  <c r="BV54" i="166"/>
  <c r="BU54" i="166"/>
  <c r="BQ54" i="166"/>
  <c r="BP54" i="166"/>
  <c r="BL54" i="166"/>
  <c r="BK54" i="166"/>
  <c r="BH54" i="166"/>
  <c r="BG54" i="166"/>
  <c r="BF54" i="166"/>
  <c r="BB54" i="166"/>
  <c r="BA54" i="166"/>
  <c r="AW54" i="166"/>
  <c r="AV54" i="166"/>
  <c r="AR54" i="166"/>
  <c r="AQ54" i="166"/>
  <c r="AM54" i="166"/>
  <c r="AL54" i="166"/>
  <c r="AH54" i="166"/>
  <c r="AG54" i="166"/>
  <c r="AC54" i="166"/>
  <c r="AB54" i="166"/>
  <c r="W54" i="166"/>
  <c r="R54" i="166"/>
  <c r="O54" i="166"/>
  <c r="N54" i="166"/>
  <c r="M54" i="166"/>
  <c r="I54" i="166"/>
  <c r="H54" i="166"/>
  <c r="D54" i="166"/>
  <c r="C54" i="166"/>
  <c r="CK53" i="166"/>
  <c r="CJ53" i="166"/>
  <c r="CP52" i="166"/>
  <c r="CQ52" i="166" s="1"/>
  <c r="CG52" i="166"/>
  <c r="CB52" i="166"/>
  <c r="BW52" i="166"/>
  <c r="BR52" i="166"/>
  <c r="BM52" i="166"/>
  <c r="BH52" i="166"/>
  <c r="BC52" i="166"/>
  <c r="AX52" i="166"/>
  <c r="AS52" i="166"/>
  <c r="AN52" i="166"/>
  <c r="AI52" i="166"/>
  <c r="AD52" i="166"/>
  <c r="X52" i="166"/>
  <c r="CK52" i="166" s="1"/>
  <c r="W52" i="166"/>
  <c r="S52" i="166"/>
  <c r="S50" i="166" s="1"/>
  <c r="R52" i="166"/>
  <c r="O52" i="166"/>
  <c r="J52" i="166"/>
  <c r="E52" i="166"/>
  <c r="CP51" i="166"/>
  <c r="CQ51" i="166" s="1"/>
  <c r="CG51" i="166"/>
  <c r="CB51" i="166"/>
  <c r="BW51" i="166"/>
  <c r="BR51" i="166"/>
  <c r="BM51" i="166"/>
  <c r="BH51" i="166"/>
  <c r="BC51" i="166"/>
  <c r="AX51" i="166"/>
  <c r="AS51" i="166"/>
  <c r="AN51" i="166"/>
  <c r="AI51" i="166"/>
  <c r="AD51" i="166"/>
  <c r="X51" i="166"/>
  <c r="CK51" i="166" s="1"/>
  <c r="W51" i="166"/>
  <c r="S51" i="166"/>
  <c r="R51" i="166"/>
  <c r="O51" i="166"/>
  <c r="J51" i="166"/>
  <c r="E51" i="166"/>
  <c r="E50" i="166" s="1"/>
  <c r="CP50" i="166"/>
  <c r="CG50" i="166"/>
  <c r="CF50" i="166"/>
  <c r="CE50" i="166"/>
  <c r="CB50" i="166"/>
  <c r="CA50" i="166"/>
  <c r="BZ50" i="166"/>
  <c r="BW50" i="166"/>
  <c r="BV50" i="166"/>
  <c r="BU50" i="166"/>
  <c r="BR50" i="166"/>
  <c r="BQ50" i="166"/>
  <c r="BP50" i="166"/>
  <c r="BM50" i="166"/>
  <c r="BL50" i="166"/>
  <c r="BK50" i="166"/>
  <c r="BH50" i="166"/>
  <c r="BG50" i="166"/>
  <c r="BF50" i="166"/>
  <c r="BC50" i="166"/>
  <c r="BB50" i="166"/>
  <c r="BA50" i="166"/>
  <c r="AX50" i="166"/>
  <c r="AW50" i="166"/>
  <c r="AV50" i="166"/>
  <c r="AS50" i="166"/>
  <c r="AR50" i="166"/>
  <c r="AQ50" i="166"/>
  <c r="AN50" i="166"/>
  <c r="AM50" i="166"/>
  <c r="AL50" i="166"/>
  <c r="AI50" i="166"/>
  <c r="AH50" i="166"/>
  <c r="AG50" i="166"/>
  <c r="AD50" i="166"/>
  <c r="AC50" i="166"/>
  <c r="AB50" i="166"/>
  <c r="X50" i="166"/>
  <c r="R50" i="166"/>
  <c r="O50" i="166"/>
  <c r="N50" i="166"/>
  <c r="M50" i="166"/>
  <c r="J50" i="166"/>
  <c r="I50" i="166"/>
  <c r="H50" i="166"/>
  <c r="D50" i="166"/>
  <c r="C50" i="166"/>
  <c r="CP48" i="166"/>
  <c r="CQ48" i="166" s="1"/>
  <c r="CG48" i="166"/>
  <c r="CB48" i="166"/>
  <c r="BW48" i="166"/>
  <c r="BR48" i="166"/>
  <c r="BM48" i="166"/>
  <c r="BH48" i="166"/>
  <c r="BC48" i="166"/>
  <c r="AX48" i="166"/>
  <c r="AS48" i="166"/>
  <c r="AN48" i="166"/>
  <c r="AI48" i="166"/>
  <c r="AD48" i="166"/>
  <c r="X48" i="166"/>
  <c r="CK48" i="166" s="1"/>
  <c r="W48" i="166"/>
  <c r="S48" i="166"/>
  <c r="R48" i="166"/>
  <c r="O48" i="166"/>
  <c r="J48" i="166"/>
  <c r="E48" i="166"/>
  <c r="CP47" i="166"/>
  <c r="CQ47" i="166" s="1"/>
  <c r="CG47" i="166"/>
  <c r="CB47" i="166"/>
  <c r="BW47" i="166"/>
  <c r="BR47" i="166"/>
  <c r="BM47" i="166"/>
  <c r="BH47" i="166"/>
  <c r="BC47" i="166"/>
  <c r="AX47" i="166"/>
  <c r="AS47" i="166"/>
  <c r="AN47" i="166"/>
  <c r="AI47" i="166"/>
  <c r="AD47" i="166"/>
  <c r="X47" i="166"/>
  <c r="CK47" i="166" s="1"/>
  <c r="W47" i="166"/>
  <c r="Y47" i="166" s="1"/>
  <c r="S47" i="166"/>
  <c r="R47" i="166"/>
  <c r="T47" i="166" s="1"/>
  <c r="O47" i="166"/>
  <c r="J47" i="166"/>
  <c r="E47" i="166"/>
  <c r="CP46" i="166"/>
  <c r="CQ46" i="166" s="1"/>
  <c r="CG46" i="166"/>
  <c r="CB46" i="166"/>
  <c r="BW46" i="166"/>
  <c r="BR46" i="166"/>
  <c r="BM46" i="166"/>
  <c r="BH46" i="166"/>
  <c r="BC46" i="166"/>
  <c r="AX46" i="166"/>
  <c r="AS46" i="166"/>
  <c r="AN46" i="166"/>
  <c r="AI46" i="166"/>
  <c r="AD46" i="166"/>
  <c r="X46" i="166"/>
  <c r="CK46" i="166" s="1"/>
  <c r="W46" i="166"/>
  <c r="Y46" i="166" s="1"/>
  <c r="S46" i="166"/>
  <c r="R46" i="166"/>
  <c r="O46" i="166"/>
  <c r="J46" i="166"/>
  <c r="E46" i="166"/>
  <c r="CP45" i="166"/>
  <c r="CQ45" i="166" s="1"/>
  <c r="CG45" i="166"/>
  <c r="CB45" i="166"/>
  <c r="BW45" i="166"/>
  <c r="BR45" i="166"/>
  <c r="BM45" i="166"/>
  <c r="BH45" i="166"/>
  <c r="BC45" i="166"/>
  <c r="AX45" i="166"/>
  <c r="AS45" i="166"/>
  <c r="AN45" i="166"/>
  <c r="AI45" i="166"/>
  <c r="AD45" i="166"/>
  <c r="X45" i="166"/>
  <c r="CK45" i="166" s="1"/>
  <c r="W45" i="166"/>
  <c r="S45" i="166"/>
  <c r="R45" i="166"/>
  <c r="T45" i="166" s="1"/>
  <c r="O45" i="166"/>
  <c r="J45" i="166"/>
  <c r="E45" i="166"/>
  <c r="CP44" i="166"/>
  <c r="CQ44" i="166" s="1"/>
  <c r="CG44" i="166"/>
  <c r="CB44" i="166"/>
  <c r="BW44" i="166"/>
  <c r="BR44" i="166"/>
  <c r="BM44" i="166"/>
  <c r="BH44" i="166"/>
  <c r="BC44" i="166"/>
  <c r="AX44" i="166"/>
  <c r="AS44" i="166"/>
  <c r="AN44" i="166"/>
  <c r="AI44" i="166"/>
  <c r="AD44" i="166"/>
  <c r="X44" i="166"/>
  <c r="CK44" i="166" s="1"/>
  <c r="W44" i="166"/>
  <c r="S44" i="166"/>
  <c r="R44" i="166"/>
  <c r="T44" i="166" s="1"/>
  <c r="O44" i="166"/>
  <c r="J44" i="166"/>
  <c r="E44" i="166"/>
  <c r="CP43" i="166"/>
  <c r="CQ43" i="166" s="1"/>
  <c r="CG43" i="166"/>
  <c r="CB43" i="166"/>
  <c r="BW43" i="166"/>
  <c r="BR43" i="166"/>
  <c r="BM43" i="166"/>
  <c r="BH43" i="166"/>
  <c r="BC43" i="166"/>
  <c r="AX43" i="166"/>
  <c r="AS43" i="166"/>
  <c r="AN43" i="166"/>
  <c r="AI43" i="166"/>
  <c r="AD43" i="166"/>
  <c r="X43" i="166"/>
  <c r="CK43" i="166" s="1"/>
  <c r="W43" i="166"/>
  <c r="Y43" i="166" s="1"/>
  <c r="S43" i="166"/>
  <c r="R43" i="166"/>
  <c r="T43" i="166" s="1"/>
  <c r="O43" i="166"/>
  <c r="J43" i="166"/>
  <c r="E43" i="166"/>
  <c r="CP42" i="166"/>
  <c r="CQ42" i="166" s="1"/>
  <c r="CG42" i="166"/>
  <c r="CB42" i="166"/>
  <c r="BW42" i="166"/>
  <c r="BR42" i="166"/>
  <c r="BM42" i="166"/>
  <c r="BH42" i="166"/>
  <c r="BH41" i="166" s="1"/>
  <c r="BC42" i="166"/>
  <c r="AX42" i="166"/>
  <c r="AS42" i="166"/>
  <c r="AN42" i="166"/>
  <c r="AN41" i="166" s="1"/>
  <c r="AI42" i="166"/>
  <c r="AD42" i="166"/>
  <c r="X42" i="166"/>
  <c r="CK42" i="166" s="1"/>
  <c r="CK41" i="166" s="1"/>
  <c r="W42" i="166"/>
  <c r="CJ42" i="166" s="1"/>
  <c r="S42" i="166"/>
  <c r="S41" i="166" s="1"/>
  <c r="R42" i="166"/>
  <c r="O42" i="166"/>
  <c r="O41" i="166" s="1"/>
  <c r="J42" i="166"/>
  <c r="E42" i="166"/>
  <c r="CP41" i="166"/>
  <c r="CF41" i="166"/>
  <c r="CE41" i="166"/>
  <c r="CA41" i="166"/>
  <c r="BZ41" i="166"/>
  <c r="BV41" i="166"/>
  <c r="BU41" i="166"/>
  <c r="BR41" i="166"/>
  <c r="BQ41" i="166"/>
  <c r="BP41" i="166"/>
  <c r="BL41" i="166"/>
  <c r="BK41" i="166"/>
  <c r="BG41" i="166"/>
  <c r="BF41" i="166"/>
  <c r="BC41" i="166"/>
  <c r="BB41" i="166"/>
  <c r="BA41" i="166"/>
  <c r="AX41" i="166"/>
  <c r="AW41" i="166"/>
  <c r="AV41" i="166"/>
  <c r="AR41" i="166"/>
  <c r="AQ41" i="166"/>
  <c r="AM41" i="166"/>
  <c r="AL41" i="166"/>
  <c r="AH41" i="166"/>
  <c r="AG41" i="166"/>
  <c r="AC41" i="166"/>
  <c r="AB41" i="166"/>
  <c r="X41" i="166"/>
  <c r="N41" i="166"/>
  <c r="M41" i="166"/>
  <c r="J41" i="166"/>
  <c r="I41" i="166"/>
  <c r="H41" i="166"/>
  <c r="D41" i="166"/>
  <c r="C41" i="166"/>
  <c r="X37" i="166"/>
  <c r="W37" i="166"/>
  <c r="CG36" i="166"/>
  <c r="CB36" i="166"/>
  <c r="CB35" i="166" s="1"/>
  <c r="BW36" i="166"/>
  <c r="BR36" i="166"/>
  <c r="BM36" i="166"/>
  <c r="BH36" i="166"/>
  <c r="BC36" i="166"/>
  <c r="AX36" i="166"/>
  <c r="AS36" i="166"/>
  <c r="AN36" i="166"/>
  <c r="AI36" i="166"/>
  <c r="AD36" i="166"/>
  <c r="X36" i="166"/>
  <c r="W36" i="166"/>
  <c r="CJ36" i="166" s="1"/>
  <c r="S36" i="166"/>
  <c r="R36" i="166"/>
  <c r="T36" i="166" s="1"/>
  <c r="T35" i="166" s="1"/>
  <c r="O36" i="166"/>
  <c r="J36" i="166"/>
  <c r="E36" i="166"/>
  <c r="CP35" i="166"/>
  <c r="CF35" i="166"/>
  <c r="CE35" i="166"/>
  <c r="CA35" i="166"/>
  <c r="BZ35" i="166"/>
  <c r="BV35" i="166"/>
  <c r="BU35" i="166"/>
  <c r="BQ35" i="166"/>
  <c r="BP35" i="166"/>
  <c r="BM35" i="166"/>
  <c r="BL35" i="166"/>
  <c r="BK35" i="166"/>
  <c r="BG35" i="166"/>
  <c r="BF35" i="166"/>
  <c r="BB35" i="166"/>
  <c r="BA35" i="166"/>
  <c r="AX35" i="166"/>
  <c r="AW35" i="166"/>
  <c r="AV35" i="166"/>
  <c r="AR35" i="166"/>
  <c r="AQ35" i="166"/>
  <c r="AM35" i="166"/>
  <c r="AL35" i="166"/>
  <c r="AI35" i="166"/>
  <c r="AH35" i="166"/>
  <c r="AG35" i="166"/>
  <c r="AC35" i="166"/>
  <c r="AB35" i="166"/>
  <c r="S35" i="166"/>
  <c r="R35" i="166"/>
  <c r="N35" i="166"/>
  <c r="M35" i="166"/>
  <c r="J35" i="166"/>
  <c r="I35" i="166"/>
  <c r="H35" i="166"/>
  <c r="D35" i="166"/>
  <c r="C35" i="166"/>
  <c r="CR33" i="166"/>
  <c r="CG33" i="166"/>
  <c r="CB33" i="166"/>
  <c r="BW33" i="166"/>
  <c r="BR33" i="166"/>
  <c r="BM33" i="166"/>
  <c r="BH33" i="166"/>
  <c r="BC33" i="166"/>
  <c r="AX33" i="166"/>
  <c r="AS33" i="166"/>
  <c r="AN33" i="166"/>
  <c r="AI33" i="166"/>
  <c r="AD33" i="166"/>
  <c r="X33" i="166"/>
  <c r="CK33" i="166" s="1"/>
  <c r="W33" i="166"/>
  <c r="Y33" i="166" s="1"/>
  <c r="S33" i="166"/>
  <c r="R33" i="166"/>
  <c r="O33" i="166"/>
  <c r="J33" i="166"/>
  <c r="E33" i="166"/>
  <c r="CG32" i="166"/>
  <c r="CB32" i="166"/>
  <c r="BW32" i="166"/>
  <c r="BR32" i="166"/>
  <c r="BM32" i="166"/>
  <c r="BH32" i="166"/>
  <c r="BC32" i="166"/>
  <c r="AX32" i="166"/>
  <c r="AS32" i="166"/>
  <c r="AN32" i="166"/>
  <c r="AI32" i="166"/>
  <c r="AD32" i="166"/>
  <c r="X32" i="166"/>
  <c r="CK32" i="166" s="1"/>
  <c r="W32" i="166"/>
  <c r="Y32" i="166" s="1"/>
  <c r="S32" i="166"/>
  <c r="R32" i="166"/>
  <c r="T32" i="166" s="1"/>
  <c r="O32" i="166"/>
  <c r="J32" i="166"/>
  <c r="E32" i="166"/>
  <c r="CG31" i="166"/>
  <c r="CB31" i="166"/>
  <c r="BW31" i="166"/>
  <c r="BR31" i="166"/>
  <c r="BM31" i="166"/>
  <c r="BH31" i="166"/>
  <c r="BC31" i="166"/>
  <c r="AX31" i="166"/>
  <c r="AS31" i="166"/>
  <c r="AN31" i="166"/>
  <c r="AI31" i="166"/>
  <c r="AD31" i="166"/>
  <c r="X31" i="166"/>
  <c r="CK31" i="166" s="1"/>
  <c r="W31" i="166"/>
  <c r="S31" i="166"/>
  <c r="R31" i="166"/>
  <c r="O31" i="166"/>
  <c r="J31" i="166"/>
  <c r="E31" i="166"/>
  <c r="CG30" i="166"/>
  <c r="CB30" i="166"/>
  <c r="BW30" i="166"/>
  <c r="BR30" i="166"/>
  <c r="BM30" i="166"/>
  <c r="BH30" i="166"/>
  <c r="BC30" i="166"/>
  <c r="AX30" i="166"/>
  <c r="AS30" i="166"/>
  <c r="AN30" i="166"/>
  <c r="AI30" i="166"/>
  <c r="AD30" i="166"/>
  <c r="X30" i="166"/>
  <c r="CK30" i="166" s="1"/>
  <c r="W30" i="166"/>
  <c r="CJ30" i="166" s="1"/>
  <c r="CL30" i="166" s="1"/>
  <c r="S30" i="166"/>
  <c r="R30" i="166"/>
  <c r="O30" i="166"/>
  <c r="J30" i="166"/>
  <c r="E30" i="166"/>
  <c r="CG29" i="166"/>
  <c r="CB29" i="166"/>
  <c r="BW29" i="166"/>
  <c r="BR29" i="166"/>
  <c r="BM29" i="166"/>
  <c r="BH29" i="166"/>
  <c r="BC29" i="166"/>
  <c r="AX29" i="166"/>
  <c r="AS29" i="166"/>
  <c r="AN29" i="166"/>
  <c r="AI29" i="166"/>
  <c r="AD29" i="166"/>
  <c r="X29" i="166"/>
  <c r="CK29" i="166" s="1"/>
  <c r="W29" i="166"/>
  <c r="CJ29" i="166" s="1"/>
  <c r="S29" i="166"/>
  <c r="R29" i="166"/>
  <c r="O29" i="166"/>
  <c r="J29" i="166"/>
  <c r="E29" i="166"/>
  <c r="CG28" i="166"/>
  <c r="CB28" i="166"/>
  <c r="BW28" i="166"/>
  <c r="BR28" i="166"/>
  <c r="BM28" i="166"/>
  <c r="BH28" i="166"/>
  <c r="BC28" i="166"/>
  <c r="AX28" i="166"/>
  <c r="AS28" i="166"/>
  <c r="AN28" i="166"/>
  <c r="AI28" i="166"/>
  <c r="AD28" i="166"/>
  <c r="X28" i="166"/>
  <c r="CK28" i="166" s="1"/>
  <c r="W28" i="166"/>
  <c r="S28" i="166"/>
  <c r="T28" i="166" s="1"/>
  <c r="R28" i="166"/>
  <c r="O28" i="166"/>
  <c r="J28" i="166"/>
  <c r="E28" i="166"/>
  <c r="CG27" i="166"/>
  <c r="CB27" i="166"/>
  <c r="BW27" i="166"/>
  <c r="BR27" i="166"/>
  <c r="BM27" i="166"/>
  <c r="BH27" i="166"/>
  <c r="BC27" i="166"/>
  <c r="AX27" i="166"/>
  <c r="AS27" i="166"/>
  <c r="AN27" i="166"/>
  <c r="AI27" i="166"/>
  <c r="AD27" i="166"/>
  <c r="X27" i="166"/>
  <c r="CK27" i="166" s="1"/>
  <c r="W27" i="166"/>
  <c r="S27" i="166"/>
  <c r="R27" i="166"/>
  <c r="T27" i="166" s="1"/>
  <c r="O27" i="166"/>
  <c r="J27" i="166"/>
  <c r="E27" i="166"/>
  <c r="CR26" i="166"/>
  <c r="CG26" i="166"/>
  <c r="CB26" i="166"/>
  <c r="BW26" i="166"/>
  <c r="BR26" i="166"/>
  <c r="BM26" i="166"/>
  <c r="BH26" i="166"/>
  <c r="BC26" i="166"/>
  <c r="AX26" i="166"/>
  <c r="AS26" i="166"/>
  <c r="AN26" i="166"/>
  <c r="AI26" i="166"/>
  <c r="AD26" i="166"/>
  <c r="X26" i="166"/>
  <c r="CK26" i="166" s="1"/>
  <c r="W26" i="166"/>
  <c r="CJ26" i="166" s="1"/>
  <c r="S26" i="166"/>
  <c r="R26" i="166"/>
  <c r="O26" i="166"/>
  <c r="J26" i="166"/>
  <c r="E26" i="166"/>
  <c r="CR25" i="166"/>
  <c r="CG25" i="166"/>
  <c r="CB25" i="166"/>
  <c r="BW25" i="166"/>
  <c r="BR25" i="166"/>
  <c r="BM25" i="166"/>
  <c r="BH25" i="166"/>
  <c r="BC25" i="166"/>
  <c r="AX25" i="166"/>
  <c r="AS25" i="166"/>
  <c r="AN25" i="166"/>
  <c r="AI25" i="166"/>
  <c r="AD25" i="166"/>
  <c r="X25" i="166"/>
  <c r="CK25" i="166" s="1"/>
  <c r="W25" i="166"/>
  <c r="S25" i="166"/>
  <c r="R25" i="166"/>
  <c r="T25" i="166" s="1"/>
  <c r="O25" i="166"/>
  <c r="J25" i="166"/>
  <c r="E25" i="166"/>
  <c r="CJ24" i="166"/>
  <c r="CL24" i="166" s="1"/>
  <c r="CQ24" i="166" s="1"/>
  <c r="CR24" i="166" s="1"/>
  <c r="CG24" i="166"/>
  <c r="CB24" i="166"/>
  <c r="BW24" i="166"/>
  <c r="BR24" i="166"/>
  <c r="BM24" i="166"/>
  <c r="BH24" i="166"/>
  <c r="BC24" i="166"/>
  <c r="AX24" i="166"/>
  <c r="AS24" i="166"/>
  <c r="AN24" i="166"/>
  <c r="AI24" i="166"/>
  <c r="AD24" i="166"/>
  <c r="X24" i="166"/>
  <c r="CK24" i="166" s="1"/>
  <c r="W24" i="166"/>
  <c r="S24" i="166"/>
  <c r="R24" i="166"/>
  <c r="T24" i="166" s="1"/>
  <c r="O24" i="166"/>
  <c r="J24" i="166"/>
  <c r="E24" i="166"/>
  <c r="CJ23" i="166"/>
  <c r="CG23" i="166"/>
  <c r="CB23" i="166"/>
  <c r="BW23" i="166"/>
  <c r="BR23" i="166"/>
  <c r="BM23" i="166"/>
  <c r="BH23" i="166"/>
  <c r="BC23" i="166"/>
  <c r="AX23" i="166"/>
  <c r="AS23" i="166"/>
  <c r="AN23" i="166"/>
  <c r="AI23" i="166"/>
  <c r="AD23" i="166"/>
  <c r="X23" i="166"/>
  <c r="CK23" i="166" s="1"/>
  <c r="W23" i="166"/>
  <c r="S23" i="166"/>
  <c r="R23" i="166"/>
  <c r="T23" i="166" s="1"/>
  <c r="O23" i="166"/>
  <c r="J23" i="166"/>
  <c r="E23" i="166"/>
  <c r="CG22" i="166"/>
  <c r="CB22" i="166"/>
  <c r="BW22" i="166"/>
  <c r="BR22" i="166"/>
  <c r="BM22" i="166"/>
  <c r="BH22" i="166"/>
  <c r="BC22" i="166"/>
  <c r="AX22" i="166"/>
  <c r="AS22" i="166"/>
  <c r="AN22" i="166"/>
  <c r="AI22" i="166"/>
  <c r="AD22" i="166"/>
  <c r="X22" i="166"/>
  <c r="CK22" i="166" s="1"/>
  <c r="W22" i="166"/>
  <c r="CJ22" i="166" s="1"/>
  <c r="S22" i="166"/>
  <c r="R22" i="166"/>
  <c r="O22" i="166"/>
  <c r="J22" i="166"/>
  <c r="E22" i="166"/>
  <c r="CG21" i="166"/>
  <c r="CB21" i="166"/>
  <c r="BW21" i="166"/>
  <c r="BR21" i="166"/>
  <c r="BM21" i="166"/>
  <c r="BH21" i="166"/>
  <c r="BC21" i="166"/>
  <c r="AX21" i="166"/>
  <c r="AS21" i="166"/>
  <c r="AN21" i="166"/>
  <c r="AI21" i="166"/>
  <c r="AD21" i="166"/>
  <c r="X21" i="166"/>
  <c r="CK21" i="166" s="1"/>
  <c r="W21" i="166"/>
  <c r="CJ21" i="166" s="1"/>
  <c r="S21" i="166"/>
  <c r="R21" i="166"/>
  <c r="O21" i="166"/>
  <c r="J21" i="166"/>
  <c r="E21" i="166"/>
  <c r="CG20" i="166"/>
  <c r="CB20" i="166"/>
  <c r="BW20" i="166"/>
  <c r="BR20" i="166"/>
  <c r="BM20" i="166"/>
  <c r="BH20" i="166"/>
  <c r="BC20" i="166"/>
  <c r="AX20" i="166"/>
  <c r="AS20" i="166"/>
  <c r="AN20" i="166"/>
  <c r="AI20" i="166"/>
  <c r="AD20" i="166"/>
  <c r="X20" i="166"/>
  <c r="CK20" i="166" s="1"/>
  <c r="W20" i="166"/>
  <c r="CJ20" i="166" s="1"/>
  <c r="S20" i="166"/>
  <c r="R20" i="166"/>
  <c r="O20" i="166"/>
  <c r="J20" i="166"/>
  <c r="E20" i="166"/>
  <c r="CG19" i="166"/>
  <c r="CB19" i="166"/>
  <c r="BW19" i="166"/>
  <c r="BR19" i="166"/>
  <c r="BM19" i="166"/>
  <c r="BH19" i="166"/>
  <c r="BC19" i="166"/>
  <c r="AX19" i="166"/>
  <c r="AS19" i="166"/>
  <c r="AN19" i="166"/>
  <c r="AI19" i="166"/>
  <c r="AD19" i="166"/>
  <c r="X19" i="166"/>
  <c r="W19" i="166"/>
  <c r="CJ19" i="166" s="1"/>
  <c r="S19" i="166"/>
  <c r="R19" i="166"/>
  <c r="O19" i="166"/>
  <c r="J19" i="166"/>
  <c r="E19" i="166"/>
  <c r="CG18" i="166"/>
  <c r="CB18" i="166"/>
  <c r="BW18" i="166"/>
  <c r="BR18" i="166"/>
  <c r="BM18" i="166"/>
  <c r="BH18" i="166"/>
  <c r="BC18" i="166"/>
  <c r="AX18" i="166"/>
  <c r="AS18" i="166"/>
  <c r="AN18" i="166"/>
  <c r="AI18" i="166"/>
  <c r="AD18" i="166"/>
  <c r="X18" i="166"/>
  <c r="W18" i="166"/>
  <c r="CJ18" i="166" s="1"/>
  <c r="S18" i="166"/>
  <c r="R18" i="166"/>
  <c r="T18" i="166" s="1"/>
  <c r="O18" i="166"/>
  <c r="J18" i="166"/>
  <c r="E18" i="166"/>
  <c r="CG17" i="166"/>
  <c r="CB17" i="166"/>
  <c r="BW17" i="166"/>
  <c r="BR17" i="166"/>
  <c r="BM17" i="166"/>
  <c r="BH17" i="166"/>
  <c r="BC17" i="166"/>
  <c r="AX17" i="166"/>
  <c r="AS17" i="166"/>
  <c r="AN17" i="166"/>
  <c r="AI17" i="166"/>
  <c r="AD17" i="166"/>
  <c r="X17" i="166"/>
  <c r="W17" i="166"/>
  <c r="CJ17" i="166" s="1"/>
  <c r="S17" i="166"/>
  <c r="R17" i="166"/>
  <c r="T17" i="166" s="1"/>
  <c r="O17" i="166"/>
  <c r="J17" i="166"/>
  <c r="E17" i="166"/>
  <c r="CG16" i="166"/>
  <c r="CB16" i="166"/>
  <c r="BW16" i="166"/>
  <c r="BR16" i="166"/>
  <c r="BM16" i="166"/>
  <c r="BH16" i="166"/>
  <c r="BC16" i="166"/>
  <c r="AX16" i="166"/>
  <c r="AS16" i="166"/>
  <c r="AN16" i="166"/>
  <c r="AI16" i="166"/>
  <c r="AD16" i="166"/>
  <c r="X16" i="166"/>
  <c r="W16" i="166"/>
  <c r="CJ16" i="166" s="1"/>
  <c r="S16" i="166"/>
  <c r="R16" i="166"/>
  <c r="O16" i="166"/>
  <c r="J16" i="166"/>
  <c r="E16" i="166"/>
  <c r="CG15" i="166"/>
  <c r="CB15" i="166"/>
  <c r="BW15" i="166"/>
  <c r="BR15" i="166"/>
  <c r="BM15" i="166"/>
  <c r="BH15" i="166"/>
  <c r="BC15" i="166"/>
  <c r="AX15" i="166"/>
  <c r="AS15" i="166"/>
  <c r="AN15" i="166"/>
  <c r="AI15" i="166"/>
  <c r="AD15" i="166"/>
  <c r="X15" i="166"/>
  <c r="W15" i="166"/>
  <c r="CJ15" i="166" s="1"/>
  <c r="S15" i="166"/>
  <c r="R15" i="166"/>
  <c r="O15" i="166"/>
  <c r="J15" i="166"/>
  <c r="E15" i="166"/>
  <c r="CG14" i="166"/>
  <c r="CB14" i="166"/>
  <c r="BW14" i="166"/>
  <c r="BR14" i="166"/>
  <c r="BM14" i="166"/>
  <c r="BH14" i="166"/>
  <c r="BC14" i="166"/>
  <c r="AX14" i="166"/>
  <c r="AS14" i="166"/>
  <c r="AN14" i="166"/>
  <c r="AI14" i="166"/>
  <c r="AD14" i="166"/>
  <c r="X14" i="166"/>
  <c r="Y14" i="166" s="1"/>
  <c r="W14" i="166"/>
  <c r="CJ14" i="166" s="1"/>
  <c r="S14" i="166"/>
  <c r="R14" i="166"/>
  <c r="T14" i="166" s="1"/>
  <c r="O14" i="166"/>
  <c r="J14" i="166"/>
  <c r="E14" i="166"/>
  <c r="CJ13" i="166"/>
  <c r="CG13" i="166"/>
  <c r="CB13" i="166"/>
  <c r="BW13" i="166"/>
  <c r="BR13" i="166"/>
  <c r="BR8" i="166" s="1"/>
  <c r="BM13" i="166"/>
  <c r="BH13" i="166"/>
  <c r="BC13" i="166"/>
  <c r="AX13" i="166"/>
  <c r="AS13" i="166"/>
  <c r="AN13" i="166"/>
  <c r="AI13" i="166"/>
  <c r="AD13" i="166"/>
  <c r="X13" i="166"/>
  <c r="Y13" i="166" s="1"/>
  <c r="W13" i="166"/>
  <c r="S13" i="166"/>
  <c r="R13" i="166"/>
  <c r="T13" i="166" s="1"/>
  <c r="O13" i="166"/>
  <c r="J13" i="166"/>
  <c r="E13" i="166"/>
  <c r="CG12" i="166"/>
  <c r="CB12" i="166"/>
  <c r="BW12" i="166"/>
  <c r="BR12" i="166"/>
  <c r="BM12" i="166"/>
  <c r="BH12" i="166"/>
  <c r="BC12" i="166"/>
  <c r="AX12" i="166"/>
  <c r="AS12" i="166"/>
  <c r="AN12" i="166"/>
  <c r="AI12" i="166"/>
  <c r="AD12" i="166"/>
  <c r="X12" i="166"/>
  <c r="W12" i="166"/>
  <c r="CJ12" i="166" s="1"/>
  <c r="S12" i="166"/>
  <c r="R12" i="166"/>
  <c r="T12" i="166" s="1"/>
  <c r="O12" i="166"/>
  <c r="J12" i="166"/>
  <c r="E12" i="166"/>
  <c r="CG11" i="166"/>
  <c r="CB11" i="166"/>
  <c r="BW11" i="166"/>
  <c r="BR11" i="166"/>
  <c r="BM11" i="166"/>
  <c r="BH11" i="166"/>
  <c r="BC11" i="166"/>
  <c r="AX11" i="166"/>
  <c r="AS11" i="166"/>
  <c r="AN11" i="166"/>
  <c r="AI11" i="166"/>
  <c r="AD11" i="166"/>
  <c r="X11" i="166"/>
  <c r="W11" i="166"/>
  <c r="CJ11" i="166" s="1"/>
  <c r="S11" i="166"/>
  <c r="R11" i="166"/>
  <c r="O11" i="166"/>
  <c r="J11" i="166"/>
  <c r="E11" i="166"/>
  <c r="CG10" i="166"/>
  <c r="CB10" i="166"/>
  <c r="BW10" i="166"/>
  <c r="BR10" i="166"/>
  <c r="BM10" i="166"/>
  <c r="BH10" i="166"/>
  <c r="BC10" i="166"/>
  <c r="AX10" i="166"/>
  <c r="AS10" i="166"/>
  <c r="AN10" i="166"/>
  <c r="AI10" i="166"/>
  <c r="AD10" i="166"/>
  <c r="X10" i="166"/>
  <c r="W10" i="166"/>
  <c r="CJ10" i="166" s="1"/>
  <c r="S10" i="166"/>
  <c r="S8" i="166" s="1"/>
  <c r="R10" i="166"/>
  <c r="O10" i="166"/>
  <c r="J10" i="166"/>
  <c r="E10" i="166"/>
  <c r="CG9" i="166"/>
  <c r="CB9" i="166"/>
  <c r="BW9" i="166"/>
  <c r="BR9" i="166"/>
  <c r="BM9" i="166"/>
  <c r="BH9" i="166"/>
  <c r="BC9" i="166"/>
  <c r="AX9" i="166"/>
  <c r="AS9" i="166"/>
  <c r="AN9" i="166"/>
  <c r="AI9" i="166"/>
  <c r="AD9" i="166"/>
  <c r="X9" i="166"/>
  <c r="CK9" i="166" s="1"/>
  <c r="W9" i="166"/>
  <c r="CJ9" i="166" s="1"/>
  <c r="T9" i="166"/>
  <c r="S9" i="166"/>
  <c r="R9" i="166"/>
  <c r="O9" i="166"/>
  <c r="J9" i="166"/>
  <c r="E9" i="166"/>
  <c r="CP8" i="166"/>
  <c r="CF8" i="166"/>
  <c r="CE8" i="166"/>
  <c r="CA8" i="166"/>
  <c r="BZ8" i="166"/>
  <c r="BV8" i="166"/>
  <c r="BU8" i="166"/>
  <c r="BQ8" i="166"/>
  <c r="BP8" i="166"/>
  <c r="BL8" i="166"/>
  <c r="BK8" i="166"/>
  <c r="BG8" i="166"/>
  <c r="BF8" i="166"/>
  <c r="BB8" i="166"/>
  <c r="BA8" i="166"/>
  <c r="AW8" i="166"/>
  <c r="AV8" i="166"/>
  <c r="AR8" i="166"/>
  <c r="AQ8" i="166"/>
  <c r="AM8" i="166"/>
  <c r="AL8" i="166"/>
  <c r="AH8" i="166"/>
  <c r="AG8" i="166"/>
  <c r="AC8" i="166"/>
  <c r="AB8" i="166"/>
  <c r="W8" i="166"/>
  <c r="N8" i="166"/>
  <c r="M8" i="166"/>
  <c r="I8" i="166"/>
  <c r="H8" i="166"/>
  <c r="D8" i="166"/>
  <c r="C8" i="166"/>
  <c r="CG7" i="166"/>
  <c r="CB7" i="166"/>
  <c r="BW7" i="166"/>
  <c r="BR7" i="166"/>
  <c r="BM7" i="166"/>
  <c r="BH7" i="166"/>
  <c r="BC7" i="166"/>
  <c r="AX7" i="166"/>
  <c r="AS7" i="166"/>
  <c r="AN7" i="166"/>
  <c r="AI7" i="166"/>
  <c r="AD7" i="166"/>
  <c r="X7" i="166"/>
  <c r="W7" i="166"/>
  <c r="CJ7" i="166" s="1"/>
  <c r="S7" i="166"/>
  <c r="R7" i="166"/>
  <c r="T7" i="166" s="1"/>
  <c r="O7" i="166"/>
  <c r="J7" i="166"/>
  <c r="E7" i="166"/>
  <c r="CR6" i="166"/>
  <c r="CR5" i="166" s="1"/>
  <c r="CG6" i="166"/>
  <c r="CB6" i="166"/>
  <c r="CB5" i="166" s="1"/>
  <c r="BW6" i="166"/>
  <c r="BW5" i="166" s="1"/>
  <c r="BR6" i="166"/>
  <c r="BM6" i="166"/>
  <c r="BH6" i="166"/>
  <c r="BC6" i="166"/>
  <c r="AX6" i="166"/>
  <c r="AX5" i="166" s="1"/>
  <c r="AS6" i="166"/>
  <c r="AS5" i="166" s="1"/>
  <c r="AN6" i="166"/>
  <c r="AI6" i="166"/>
  <c r="AD6" i="166"/>
  <c r="AD5" i="166" s="1"/>
  <c r="X6" i="166"/>
  <c r="CK6" i="166" s="1"/>
  <c r="CK5" i="166" s="1"/>
  <c r="W6" i="166"/>
  <c r="S6" i="166"/>
  <c r="R6" i="166"/>
  <c r="T6" i="166" s="1"/>
  <c r="O6" i="166"/>
  <c r="J6" i="166"/>
  <c r="E6" i="166"/>
  <c r="E5" i="166" s="1"/>
  <c r="CQ5" i="166"/>
  <c r="CP5" i="166"/>
  <c r="CP38" i="166" s="1"/>
  <c r="CF5" i="166"/>
  <c r="CF38" i="166" s="1"/>
  <c r="CE5" i="166"/>
  <c r="CA5" i="166"/>
  <c r="CA38" i="166" s="1"/>
  <c r="BZ5" i="166"/>
  <c r="BZ38" i="166" s="1"/>
  <c r="BV5" i="166"/>
  <c r="BU5" i="166"/>
  <c r="BQ5" i="166"/>
  <c r="BQ38" i="166" s="1"/>
  <c r="BP5" i="166"/>
  <c r="BP38" i="166" s="1"/>
  <c r="BM5" i="166"/>
  <c r="BL5" i="166"/>
  <c r="BK5" i="166"/>
  <c r="BK38" i="166" s="1"/>
  <c r="BH5" i="166"/>
  <c r="BG5" i="166"/>
  <c r="BF5" i="166"/>
  <c r="BF38" i="166" s="1"/>
  <c r="BB5" i="166"/>
  <c r="BB38" i="166" s="1"/>
  <c r="BA5" i="166"/>
  <c r="BA38" i="166" s="1"/>
  <c r="AW5" i="166"/>
  <c r="AW38" i="166" s="1"/>
  <c r="AV5" i="166"/>
  <c r="AR5" i="166"/>
  <c r="AR38" i="166" s="1"/>
  <c r="AQ5" i="166"/>
  <c r="AQ38" i="166" s="1"/>
  <c r="AM5" i="166"/>
  <c r="AM38" i="166" s="1"/>
  <c r="AL5" i="166"/>
  <c r="AL38" i="166" s="1"/>
  <c r="AI5" i="166"/>
  <c r="AH5" i="166"/>
  <c r="AG5" i="166"/>
  <c r="AG38" i="166" s="1"/>
  <c r="AC5" i="166"/>
  <c r="AC38" i="166" s="1"/>
  <c r="AB5" i="166"/>
  <c r="AB38" i="166" s="1"/>
  <c r="X5" i="166"/>
  <c r="S5" i="166"/>
  <c r="R5" i="166"/>
  <c r="O5" i="166"/>
  <c r="N5" i="166"/>
  <c r="N38" i="166" s="1"/>
  <c r="M5" i="166"/>
  <c r="I5" i="166"/>
  <c r="I38" i="166" s="1"/>
  <c r="H5" i="166"/>
  <c r="D5" i="166"/>
  <c r="C5" i="166"/>
  <c r="S38" i="166" l="1"/>
  <c r="BL38" i="166"/>
  <c r="BU38" i="166"/>
  <c r="CE38" i="166"/>
  <c r="Y21" i="166"/>
  <c r="W35" i="166"/>
  <c r="X77" i="166"/>
  <c r="T85" i="166"/>
  <c r="CL85" i="166"/>
  <c r="R8" i="166"/>
  <c r="R38" i="166" s="1"/>
  <c r="Y10" i="166"/>
  <c r="T16" i="166"/>
  <c r="T20" i="166"/>
  <c r="T22" i="166"/>
  <c r="Y27" i="166"/>
  <c r="CL57" i="166"/>
  <c r="CL60" i="166"/>
  <c r="CL63" i="166"/>
  <c r="CL78" i="166"/>
  <c r="T82" i="166"/>
  <c r="Y85" i="166"/>
  <c r="CM62" i="159"/>
  <c r="CM61" i="159"/>
  <c r="CM23" i="159"/>
  <c r="CM25" i="159"/>
  <c r="CM30" i="159"/>
  <c r="CM16" i="159"/>
  <c r="CM56" i="159"/>
  <c r="CM45" i="159"/>
  <c r="CM46" i="159"/>
  <c r="CM10" i="159"/>
  <c r="CM18" i="159"/>
  <c r="CM20" i="159"/>
  <c r="CM54" i="159"/>
  <c r="CM36" i="159"/>
  <c r="CM72" i="159"/>
  <c r="CM33" i="159"/>
  <c r="CM71" i="159"/>
  <c r="CM9" i="159"/>
  <c r="CM69" i="159"/>
  <c r="CM65" i="159"/>
  <c r="CM42" i="159"/>
  <c r="CM68" i="159"/>
  <c r="CM27" i="159"/>
  <c r="CM44" i="159"/>
  <c r="CM21" i="159"/>
  <c r="CM15" i="159"/>
  <c r="CM13" i="159"/>
  <c r="CM43" i="159"/>
  <c r="CM41" i="159"/>
  <c r="CM49" i="159"/>
  <c r="CM28" i="159"/>
  <c r="CM67" i="159"/>
  <c r="CM48" i="159"/>
  <c r="CM63" i="159"/>
  <c r="CM55" i="159"/>
  <c r="CM58" i="159"/>
  <c r="CM32" i="159"/>
  <c r="CM47" i="159"/>
  <c r="CM12" i="159"/>
  <c r="CM70" i="159"/>
  <c r="CM59" i="159"/>
  <c r="CM64" i="159"/>
  <c r="CM52" i="159"/>
  <c r="CM24" i="159"/>
  <c r="CM51" i="159"/>
  <c r="CM60" i="159"/>
  <c r="CM29" i="159"/>
  <c r="CM11" i="159"/>
  <c r="CM17" i="159"/>
  <c r="CM66" i="159"/>
  <c r="CM26" i="159"/>
  <c r="CM19" i="159"/>
  <c r="CM22" i="159"/>
  <c r="CM57" i="159"/>
  <c r="CM31" i="159"/>
  <c r="CM14" i="159"/>
  <c r="AH38" i="166"/>
  <c r="T10" i="166"/>
  <c r="T15" i="166"/>
  <c r="T19" i="166"/>
  <c r="T29" i="166"/>
  <c r="Y31" i="166"/>
  <c r="T33" i="166"/>
  <c r="T46" i="166"/>
  <c r="T51" i="166"/>
  <c r="T55" i="166"/>
  <c r="BR54" i="166"/>
  <c r="T56" i="166"/>
  <c r="T57" i="166"/>
  <c r="T58" i="166"/>
  <c r="T59" i="166"/>
  <c r="T60" i="166"/>
  <c r="T61" i="166"/>
  <c r="T62" i="166"/>
  <c r="T63" i="166"/>
  <c r="T64" i="166"/>
  <c r="T65" i="166"/>
  <c r="T66" i="166"/>
  <c r="T67" i="166"/>
  <c r="Y71" i="166"/>
  <c r="CM20" i="161"/>
  <c r="CM15" i="161"/>
  <c r="CM56" i="161"/>
  <c r="CM12" i="161"/>
  <c r="CM61" i="161"/>
  <c r="CM32" i="161"/>
  <c r="CM36" i="161"/>
  <c r="CM51" i="161"/>
  <c r="CM46" i="161"/>
  <c r="CM30" i="161"/>
  <c r="CM26" i="161"/>
  <c r="CM33" i="161"/>
  <c r="CM16" i="161"/>
  <c r="CM65" i="161"/>
  <c r="CM42" i="161"/>
  <c r="CM67" i="161"/>
  <c r="CM13" i="161"/>
  <c r="CM63" i="161"/>
  <c r="CM55" i="161"/>
  <c r="CM48" i="161"/>
  <c r="CM45" i="161"/>
  <c r="CM18" i="161"/>
  <c r="CM47" i="161"/>
  <c r="CM44" i="161"/>
  <c r="CM21" i="161"/>
  <c r="CM66" i="161"/>
  <c r="CM22" i="161"/>
  <c r="CM64" i="161"/>
  <c r="CM52" i="161"/>
  <c r="CM59" i="161"/>
  <c r="CM28" i="161"/>
  <c r="CM57" i="161"/>
  <c r="CM54" i="161"/>
  <c r="CM71" i="161"/>
  <c r="CM62" i="161"/>
  <c r="CM43" i="161"/>
  <c r="CM69" i="161"/>
  <c r="CM10" i="161"/>
  <c r="CM58" i="161"/>
  <c r="CM24" i="161"/>
  <c r="CM72" i="161"/>
  <c r="CM60" i="161"/>
  <c r="CM9" i="161"/>
  <c r="CM49" i="161"/>
  <c r="CM70" i="161"/>
  <c r="CM68" i="161"/>
  <c r="CM17" i="161"/>
  <c r="CM23" i="161"/>
  <c r="CM19" i="161"/>
  <c r="CM29" i="161"/>
  <c r="CM27" i="161"/>
  <c r="CM31" i="161"/>
  <c r="CM41" i="161"/>
  <c r="CM14" i="161"/>
  <c r="CM11" i="161"/>
  <c r="CM25" i="161"/>
  <c r="CM9" i="162"/>
  <c r="CM55" i="162"/>
  <c r="CM49" i="162"/>
  <c r="CM47" i="162"/>
  <c r="CM22" i="162"/>
  <c r="CM46" i="162"/>
  <c r="CM17" i="162"/>
  <c r="CM68" i="162"/>
  <c r="CM56" i="162"/>
  <c r="CM69" i="162"/>
  <c r="CM65" i="162"/>
  <c r="CM48" i="162"/>
  <c r="CM20" i="162"/>
  <c r="CM24" i="162"/>
  <c r="CM12" i="162"/>
  <c r="CM64" i="162"/>
  <c r="CM70" i="162"/>
  <c r="CM13" i="162"/>
  <c r="CM15" i="162"/>
  <c r="CM67" i="162"/>
  <c r="CM41" i="162"/>
  <c r="CM32" i="162"/>
  <c r="CM28" i="162"/>
  <c r="CM23" i="162"/>
  <c r="CM14" i="162"/>
  <c r="CM25" i="162"/>
  <c r="CM42" i="162"/>
  <c r="CM63" i="162"/>
  <c r="CM31" i="162"/>
  <c r="CM57" i="162"/>
  <c r="CM54" i="162"/>
  <c r="CM30" i="162"/>
  <c r="CM10" i="162"/>
  <c r="CM43" i="162"/>
  <c r="CM33" i="162"/>
  <c r="CM60" i="162"/>
  <c r="CM61" i="162"/>
  <c r="CM62" i="162"/>
  <c r="CM59" i="162"/>
  <c r="CM45" i="162"/>
  <c r="CM58" i="162"/>
  <c r="CM18" i="162"/>
  <c r="CM52" i="162"/>
  <c r="CM21" i="162"/>
  <c r="CM16" i="162"/>
  <c r="CM29" i="162"/>
  <c r="CM27" i="162"/>
  <c r="CM66" i="162"/>
  <c r="CM44" i="162"/>
  <c r="CM26" i="162"/>
  <c r="CM19" i="162"/>
  <c r="CM36" i="162"/>
  <c r="CM72" i="162"/>
  <c r="CM11" i="162"/>
  <c r="CM51" i="162"/>
  <c r="CM71" i="162"/>
  <c r="CR79" i="162"/>
  <c r="CR81" i="162" s="1"/>
  <c r="CR83" i="162" s="1"/>
  <c r="CR84" i="162" s="1"/>
  <c r="CR86" i="162" s="1"/>
  <c r="CQ77" i="162"/>
  <c r="CQ81" i="162"/>
  <c r="CQ83" i="162" s="1"/>
  <c r="CQ84" i="162" s="1"/>
  <c r="CQ86" i="162" s="1"/>
  <c r="CQ87" i="162" s="1"/>
  <c r="CR87" i="161"/>
  <c r="CT86" i="161"/>
  <c r="CL26" i="166"/>
  <c r="T54" i="166"/>
  <c r="CL69" i="166"/>
  <c r="CL70" i="166"/>
  <c r="T5" i="166"/>
  <c r="CL21" i="166"/>
  <c r="CL22" i="166"/>
  <c r="CL20" i="166"/>
  <c r="CL29" i="166"/>
  <c r="CL66" i="166"/>
  <c r="CL67" i="166"/>
  <c r="CL68" i="166"/>
  <c r="BC5" i="166"/>
  <c r="Y12" i="166"/>
  <c r="Y20" i="166"/>
  <c r="Y22" i="166"/>
  <c r="Y26" i="166"/>
  <c r="CJ27" i="166"/>
  <c r="CL27" i="166" s="1"/>
  <c r="CJ33" i="166"/>
  <c r="CL33" i="166" s="1"/>
  <c r="Y45" i="166"/>
  <c r="CJ46" i="166"/>
  <c r="CL46" i="166" s="1"/>
  <c r="Y66" i="166"/>
  <c r="CJ71" i="166"/>
  <c r="CL71" i="166" s="1"/>
  <c r="Y78" i="166"/>
  <c r="AN5" i="166"/>
  <c r="Y9" i="166"/>
  <c r="T11" i="166"/>
  <c r="Y16" i="166"/>
  <c r="Y19" i="166"/>
  <c r="Y25" i="166"/>
  <c r="T26" i="166"/>
  <c r="Y28" i="166"/>
  <c r="T30" i="166"/>
  <c r="CJ32" i="166"/>
  <c r="CL32" i="166" s="1"/>
  <c r="CL61" i="166"/>
  <c r="CG5" i="166"/>
  <c r="CK12" i="166"/>
  <c r="CL12" i="166" s="1"/>
  <c r="Y29" i="166"/>
  <c r="T31" i="166"/>
  <c r="CJ31" i="166"/>
  <c r="CL31" i="166" s="1"/>
  <c r="CJ45" i="166"/>
  <c r="CL45" i="166" s="1"/>
  <c r="Y67" i="166"/>
  <c r="Y69" i="166"/>
  <c r="Y70" i="166"/>
  <c r="BR5" i="166"/>
  <c r="CK16" i="166"/>
  <c r="CL16" i="166" s="1"/>
  <c r="CK19" i="166"/>
  <c r="CL19" i="166" s="1"/>
  <c r="T21" i="166"/>
  <c r="CJ25" i="166"/>
  <c r="CJ28" i="166"/>
  <c r="CL28" i="166" s="1"/>
  <c r="Y30" i="166"/>
  <c r="CL55" i="166"/>
  <c r="CL59" i="166"/>
  <c r="CH87" i="131"/>
  <c r="CI56" i="131"/>
  <c r="CI20" i="131"/>
  <c r="CI26" i="131"/>
  <c r="CI32" i="131"/>
  <c r="CI48" i="131"/>
  <c r="CI24" i="131"/>
  <c r="CI33" i="131"/>
  <c r="CI28" i="131"/>
  <c r="CI55" i="131"/>
  <c r="CI72" i="131"/>
  <c r="CI14" i="131"/>
  <c r="CI18" i="131"/>
  <c r="CI64" i="131"/>
  <c r="CI46" i="131"/>
  <c r="CI59" i="131"/>
  <c r="CI11" i="131"/>
  <c r="CI60" i="131"/>
  <c r="CI30" i="131"/>
  <c r="CI41" i="131"/>
  <c r="CI27" i="131"/>
  <c r="CI22" i="131"/>
  <c r="CI12" i="131"/>
  <c r="CI68" i="131"/>
  <c r="CI71" i="131"/>
  <c r="CI17" i="131"/>
  <c r="CI23" i="131"/>
  <c r="CI58" i="131"/>
  <c r="CI9" i="131"/>
  <c r="CI8" i="131"/>
  <c r="CI29" i="131"/>
  <c r="CI63" i="131"/>
  <c r="CI61" i="131"/>
  <c r="CI66" i="131"/>
  <c r="CI62" i="131"/>
  <c r="CI69" i="131"/>
  <c r="CI25" i="131"/>
  <c r="CI36" i="131"/>
  <c r="CI35" i="131" s="1"/>
  <c r="CI57" i="131"/>
  <c r="CI44" i="131"/>
  <c r="CI16" i="131"/>
  <c r="CI70" i="131"/>
  <c r="CI67" i="131"/>
  <c r="CI43" i="131"/>
  <c r="CI45" i="131"/>
  <c r="CI47" i="131"/>
  <c r="CI31" i="131"/>
  <c r="CI42" i="131"/>
  <c r="CI54" i="131"/>
  <c r="CI52" i="131"/>
  <c r="CI10" i="131"/>
  <c r="CI51" i="131"/>
  <c r="CI65" i="131"/>
  <c r="CI15" i="131"/>
  <c r="CI13" i="131"/>
  <c r="CI21" i="131"/>
  <c r="CI19" i="131"/>
  <c r="CI74" i="131"/>
  <c r="CK7" i="166"/>
  <c r="CL7" i="166" s="1"/>
  <c r="Y7" i="166"/>
  <c r="AN8" i="166"/>
  <c r="J8" i="166"/>
  <c r="Y15" i="166"/>
  <c r="CK15" i="166"/>
  <c r="CL15" i="166" s="1"/>
  <c r="O8" i="166"/>
  <c r="CK10" i="166"/>
  <c r="AB75" i="166"/>
  <c r="AB39" i="166"/>
  <c r="AL75" i="166"/>
  <c r="AL39" i="166"/>
  <c r="BL39" i="166"/>
  <c r="BL75" i="166"/>
  <c r="BZ75" i="166"/>
  <c r="BZ39" i="166"/>
  <c r="Y17" i="166"/>
  <c r="CK17" i="166"/>
  <c r="CL17" i="166" s="1"/>
  <c r="AM75" i="166"/>
  <c r="AM39" i="166"/>
  <c r="BB75" i="166"/>
  <c r="BB39" i="166"/>
  <c r="I75" i="166"/>
  <c r="I39" i="166"/>
  <c r="BV38" i="166"/>
  <c r="BW8" i="166"/>
  <c r="BW38" i="166" s="1"/>
  <c r="CL10" i="166"/>
  <c r="Y18" i="166"/>
  <c r="CK18" i="166"/>
  <c r="CL18" i="166" s="1"/>
  <c r="O38" i="166"/>
  <c r="BF75" i="166"/>
  <c r="BF39" i="166"/>
  <c r="BP75" i="166"/>
  <c r="BP39" i="166"/>
  <c r="CJ6" i="166"/>
  <c r="W5" i="166"/>
  <c r="W38" i="166" s="1"/>
  <c r="Y6" i="166"/>
  <c r="Y5" i="166" s="1"/>
  <c r="AI8" i="166"/>
  <c r="CK11" i="166"/>
  <c r="Y11" i="166"/>
  <c r="CQ12" i="166"/>
  <c r="CR12" i="166" s="1"/>
  <c r="CQ19" i="166"/>
  <c r="CR19" i="166" s="1"/>
  <c r="AR39" i="166"/>
  <c r="AR75" i="166"/>
  <c r="CF75" i="166"/>
  <c r="CF39" i="166"/>
  <c r="J5" i="166"/>
  <c r="J38" i="166" s="1"/>
  <c r="BR38" i="166"/>
  <c r="AX8" i="166"/>
  <c r="AX38" i="166" s="1"/>
  <c r="E35" i="166"/>
  <c r="CK36" i="166"/>
  <c r="CK35" i="166" s="1"/>
  <c r="X35" i="166"/>
  <c r="BC35" i="166"/>
  <c r="CG35" i="166"/>
  <c r="AH39" i="166"/>
  <c r="AH75" i="166"/>
  <c r="AV38" i="166"/>
  <c r="T8" i="166"/>
  <c r="CL9" i="166"/>
  <c r="CQ16" i="166"/>
  <c r="CR16" i="166" s="1"/>
  <c r="CG8" i="166"/>
  <c r="AD8" i="166"/>
  <c r="CQ29" i="166"/>
  <c r="CR29" i="166" s="1"/>
  <c r="D38" i="166"/>
  <c r="N39" i="166"/>
  <c r="N75" i="166"/>
  <c r="E8" i="166"/>
  <c r="E38" i="166" s="1"/>
  <c r="X8" i="166"/>
  <c r="X38" i="166" s="1"/>
  <c r="BH8" i="166"/>
  <c r="BC8" i="166"/>
  <c r="BC38" i="166" s="1"/>
  <c r="CK13" i="166"/>
  <c r="CL13" i="166" s="1"/>
  <c r="Y36" i="166"/>
  <c r="Y35" i="166" s="1"/>
  <c r="H38" i="166"/>
  <c r="AC75" i="166"/>
  <c r="AC39" i="166"/>
  <c r="AW75" i="166"/>
  <c r="AW39" i="166"/>
  <c r="BG38" i="166"/>
  <c r="BQ75" i="166"/>
  <c r="BQ39" i="166"/>
  <c r="CA75" i="166"/>
  <c r="CA39" i="166"/>
  <c r="CQ32" i="166"/>
  <c r="CR32" i="166" s="1"/>
  <c r="CL42" i="166"/>
  <c r="CK58" i="166"/>
  <c r="CK54" i="166" s="1"/>
  <c r="X54" i="166"/>
  <c r="S75" i="166"/>
  <c r="S81" i="166" s="1"/>
  <c r="S83" i="166" s="1"/>
  <c r="S84" i="166" s="1"/>
  <c r="S86" i="166" s="1"/>
  <c r="AD38" i="166"/>
  <c r="BH38" i="166"/>
  <c r="CQ31" i="166"/>
  <c r="CR31" i="166" s="1"/>
  <c r="BU75" i="166"/>
  <c r="BU39" i="166"/>
  <c r="Y44" i="166"/>
  <c r="CJ44" i="166"/>
  <c r="CL44" i="166" s="1"/>
  <c r="Y48" i="166"/>
  <c r="CJ48" i="166"/>
  <c r="CL48" i="166" s="1"/>
  <c r="BA75" i="166"/>
  <c r="BA39" i="166"/>
  <c r="CP39" i="166"/>
  <c r="CB8" i="166"/>
  <c r="AS8" i="166"/>
  <c r="AS38" i="166" s="1"/>
  <c r="CK14" i="166"/>
  <c r="CL14" i="166" s="1"/>
  <c r="Y23" i="166"/>
  <c r="CQ28" i="166"/>
  <c r="CR28" i="166" s="1"/>
  <c r="CQ30" i="166"/>
  <c r="CR30" i="166" s="1"/>
  <c r="T42" i="166"/>
  <c r="CJ52" i="166"/>
  <c r="Y52" i="166"/>
  <c r="W50" i="166"/>
  <c r="CQ20" i="166"/>
  <c r="CR20" i="166" s="1"/>
  <c r="CQ22" i="166"/>
  <c r="CQ27" i="166"/>
  <c r="CR27" i="166" s="1"/>
  <c r="AS35" i="166"/>
  <c r="BW35" i="166"/>
  <c r="AI41" i="166"/>
  <c r="T48" i="166"/>
  <c r="AI54" i="166"/>
  <c r="BM54" i="166"/>
  <c r="CL64" i="166"/>
  <c r="CQ21" i="166"/>
  <c r="CR21" i="166" s="1"/>
  <c r="CL23" i="166"/>
  <c r="CL25" i="166"/>
  <c r="AD35" i="166"/>
  <c r="BH35" i="166"/>
  <c r="CL36" i="166"/>
  <c r="Y42" i="166"/>
  <c r="W41" i="166"/>
  <c r="C38" i="166"/>
  <c r="M38" i="166"/>
  <c r="AG75" i="166"/>
  <c r="AG39" i="166"/>
  <c r="AQ75" i="166"/>
  <c r="AQ39" i="166"/>
  <c r="BK75" i="166"/>
  <c r="BK39" i="166"/>
  <c r="CE75" i="166"/>
  <c r="CE39" i="166"/>
  <c r="BM8" i="166"/>
  <c r="Y24" i="166"/>
  <c r="O35" i="166"/>
  <c r="AD41" i="166"/>
  <c r="E41" i="166"/>
  <c r="J54" i="166"/>
  <c r="BC54" i="166"/>
  <c r="CG54" i="166"/>
  <c r="E54" i="166"/>
  <c r="CJ35" i="166"/>
  <c r="AN35" i="166"/>
  <c r="BR35" i="166"/>
  <c r="CQ55" i="166"/>
  <c r="CQ54" i="166" s="1"/>
  <c r="CP54" i="166"/>
  <c r="CP75" i="166" s="1"/>
  <c r="R41" i="166"/>
  <c r="BW41" i="166"/>
  <c r="CJ47" i="166"/>
  <c r="CL47" i="166" s="1"/>
  <c r="AS54" i="166"/>
  <c r="BW54" i="166"/>
  <c r="AS41" i="166"/>
  <c r="CB41" i="166"/>
  <c r="BM41" i="166"/>
  <c r="CQ41" i="166"/>
  <c r="CJ51" i="166"/>
  <c r="CL51" i="166" s="1"/>
  <c r="Y51" i="166"/>
  <c r="Y50" i="166" s="1"/>
  <c r="CQ50" i="166"/>
  <c r="T52" i="166"/>
  <c r="T50" i="166" s="1"/>
  <c r="CK50" i="166"/>
  <c r="AN54" i="166"/>
  <c r="T78" i="166"/>
  <c r="CJ43" i="166"/>
  <c r="CL43" i="166" s="1"/>
  <c r="CJ54" i="166"/>
  <c r="CJ73" i="166"/>
  <c r="CL74" i="166"/>
  <c r="CL73" i="166" s="1"/>
  <c r="Y55" i="166"/>
  <c r="Y56" i="166"/>
  <c r="Y57" i="166"/>
  <c r="Y58" i="166"/>
  <c r="Y59" i="166"/>
  <c r="Y60" i="166"/>
  <c r="Y61" i="166"/>
  <c r="Y62" i="166"/>
  <c r="Y63" i="166"/>
  <c r="Y64" i="166"/>
  <c r="Y65" i="166"/>
  <c r="CG41" i="166"/>
  <c r="O73" i="166"/>
  <c r="CJ8" i="166" l="1"/>
  <c r="R75" i="166"/>
  <c r="CT86" i="162"/>
  <c r="CR87" i="162"/>
  <c r="CW86" i="162"/>
  <c r="Y8" i="166"/>
  <c r="CK8" i="166"/>
  <c r="CK38" i="166" s="1"/>
  <c r="CK39" i="166" s="1"/>
  <c r="CL35" i="166"/>
  <c r="CQ36" i="166"/>
  <c r="CQ13" i="166"/>
  <c r="CR13" i="166" s="1"/>
  <c r="CL11" i="166"/>
  <c r="CL6" i="166"/>
  <c r="CL5" i="166" s="1"/>
  <c r="CJ5" i="166"/>
  <c r="CJ38" i="166" s="1"/>
  <c r="AH76" i="166"/>
  <c r="AH81" i="166"/>
  <c r="AH83" i="166" s="1"/>
  <c r="AH84" i="166" s="1"/>
  <c r="AH86" i="166" s="1"/>
  <c r="AH87" i="166" s="1"/>
  <c r="CF76" i="166"/>
  <c r="CF81" i="166"/>
  <c r="CF83" i="166" s="1"/>
  <c r="CF84" i="166" s="1"/>
  <c r="CF86" i="166" s="1"/>
  <c r="CF87" i="166" s="1"/>
  <c r="CG38" i="166"/>
  <c r="BL76" i="166"/>
  <c r="BL81" i="166"/>
  <c r="BL83" i="166" s="1"/>
  <c r="BL84" i="166" s="1"/>
  <c r="BL86" i="166" s="1"/>
  <c r="BL87" i="166" s="1"/>
  <c r="AM81" i="166"/>
  <c r="AM83" i="166" s="1"/>
  <c r="AM84" i="166" s="1"/>
  <c r="AM86" i="166" s="1"/>
  <c r="AM87" i="166" s="1"/>
  <c r="AM76" i="166"/>
  <c r="CL52" i="166"/>
  <c r="CJ50" i="166"/>
  <c r="AW81" i="166"/>
  <c r="AW83" i="166" s="1"/>
  <c r="AW84" i="166" s="1"/>
  <c r="AW86" i="166" s="1"/>
  <c r="AW87" i="166" s="1"/>
  <c r="AW76" i="166"/>
  <c r="T38" i="166"/>
  <c r="AX75" i="166"/>
  <c r="AX39" i="166"/>
  <c r="AN38" i="166"/>
  <c r="BC75" i="166"/>
  <c r="BC39" i="166"/>
  <c r="BV39" i="166"/>
  <c r="BV75" i="166"/>
  <c r="CT22" i="166"/>
  <c r="CT86" i="166" s="1"/>
  <c r="CR22" i="166"/>
  <c r="CE76" i="166"/>
  <c r="AR76" i="166"/>
  <c r="AR81" i="166"/>
  <c r="AR83" i="166" s="1"/>
  <c r="AR84" i="166" s="1"/>
  <c r="AR86" i="166" s="1"/>
  <c r="AR87" i="166" s="1"/>
  <c r="E75" i="166"/>
  <c r="E39" i="166"/>
  <c r="BR75" i="166"/>
  <c r="BR39" i="166"/>
  <c r="BP76" i="166"/>
  <c r="CQ10" i="166"/>
  <c r="CR10" i="166" s="1"/>
  <c r="Y54" i="166"/>
  <c r="AQ76" i="166"/>
  <c r="Y41" i="166"/>
  <c r="CL58" i="166"/>
  <c r="T41" i="166"/>
  <c r="BU76" i="166"/>
  <c r="CJ41" i="166"/>
  <c r="N76" i="166"/>
  <c r="N81" i="166"/>
  <c r="N83" i="166" s="1"/>
  <c r="N84" i="166" s="1"/>
  <c r="N86" i="166" s="1"/>
  <c r="N87" i="166" s="1"/>
  <c r="AV75" i="166"/>
  <c r="AV39" i="166"/>
  <c r="AI38" i="166"/>
  <c r="W75" i="166"/>
  <c r="O75" i="166"/>
  <c r="O39" i="166"/>
  <c r="BZ76" i="166"/>
  <c r="AB76" i="166"/>
  <c r="CP81" i="166"/>
  <c r="CP83" i="166" s="1"/>
  <c r="CP84" i="166" s="1"/>
  <c r="CP86" i="166" s="1"/>
  <c r="CP87" i="166" s="1"/>
  <c r="CP76" i="166"/>
  <c r="D39" i="166"/>
  <c r="D75" i="166"/>
  <c r="BH75" i="166"/>
  <c r="BH39" i="166"/>
  <c r="CQ15" i="166"/>
  <c r="CR15" i="166" s="1"/>
  <c r="CQ17" i="166"/>
  <c r="CR17" i="166" s="1"/>
  <c r="M75" i="166"/>
  <c r="M39" i="166"/>
  <c r="AC81" i="166"/>
  <c r="AC83" i="166" s="1"/>
  <c r="AC84" i="166" s="1"/>
  <c r="AC76" i="166"/>
  <c r="CB38" i="166"/>
  <c r="BM89" i="166"/>
  <c r="BK81" i="166"/>
  <c r="BK83" i="166" s="1"/>
  <c r="BK84" i="166" s="1"/>
  <c r="BK86" i="166" s="1"/>
  <c r="BK87" i="166" s="1"/>
  <c r="BK76" i="166"/>
  <c r="C75" i="166"/>
  <c r="C39" i="166"/>
  <c r="BA76" i="166"/>
  <c r="AD75" i="166"/>
  <c r="AD39" i="166"/>
  <c r="BQ81" i="166"/>
  <c r="BQ83" i="166" s="1"/>
  <c r="BQ84" i="166" s="1"/>
  <c r="BQ86" i="166" s="1"/>
  <c r="BQ87" i="166" s="1"/>
  <c r="BQ76" i="166"/>
  <c r="I81" i="166"/>
  <c r="I83" i="166" s="1"/>
  <c r="I84" i="166" s="1"/>
  <c r="I86" i="166" s="1"/>
  <c r="I87" i="166" s="1"/>
  <c r="I76" i="166"/>
  <c r="AL76" i="166"/>
  <c r="AG76" i="166"/>
  <c r="CQ14" i="166"/>
  <c r="CR14" i="166" s="1"/>
  <c r="CA81" i="166"/>
  <c r="CA83" i="166" s="1"/>
  <c r="CA84" i="166" s="1"/>
  <c r="CA86" i="166" s="1"/>
  <c r="CA87" i="166" s="1"/>
  <c r="CA76" i="166"/>
  <c r="X75" i="166"/>
  <c r="X81" i="166" s="1"/>
  <c r="X83" i="166" s="1"/>
  <c r="BW75" i="166"/>
  <c r="BW39" i="166"/>
  <c r="CQ18" i="166"/>
  <c r="CR18" i="166" s="1"/>
  <c r="AS75" i="166"/>
  <c r="AS39" i="166"/>
  <c r="CL50" i="166"/>
  <c r="CQ23" i="166"/>
  <c r="CR23" i="166" s="1"/>
  <c r="CL41" i="166"/>
  <c r="BG75" i="166"/>
  <c r="BG39" i="166"/>
  <c r="H75" i="166"/>
  <c r="H39" i="166"/>
  <c r="BM38" i="166"/>
  <c r="CQ9" i="166"/>
  <c r="CL8" i="166"/>
  <c r="J75" i="166"/>
  <c r="J39" i="166"/>
  <c r="Y38" i="166"/>
  <c r="Y75" i="166" s="1"/>
  <c r="BF76" i="166"/>
  <c r="BB76" i="166"/>
  <c r="BB81" i="166"/>
  <c r="BB83" i="166" s="1"/>
  <c r="BB84" i="166" s="1"/>
  <c r="BB86" i="166" s="1"/>
  <c r="BB87" i="166" s="1"/>
  <c r="CK75" i="166" l="1"/>
  <c r="BR76" i="166"/>
  <c r="J76" i="166"/>
  <c r="AS76" i="166"/>
  <c r="AD76" i="166"/>
  <c r="C76" i="166"/>
  <c r="O76" i="166"/>
  <c r="BC76" i="166"/>
  <c r="AN75" i="166"/>
  <c r="AN39" i="166"/>
  <c r="T75" i="166"/>
  <c r="CJ75" i="166"/>
  <c r="CJ39" i="166"/>
  <c r="CQ11" i="166"/>
  <c r="CR11" i="166" s="1"/>
  <c r="CL54" i="166"/>
  <c r="AX76" i="166"/>
  <c r="CR36" i="166"/>
  <c r="CR35" i="166" s="1"/>
  <c r="CQ35" i="166"/>
  <c r="H76" i="166"/>
  <c r="CB75" i="166"/>
  <c r="CB39" i="166"/>
  <c r="BH76" i="166"/>
  <c r="AV76" i="166"/>
  <c r="CL38" i="166"/>
  <c r="AI75" i="166"/>
  <c r="AI39" i="166"/>
  <c r="BM75" i="166"/>
  <c r="BM39" i="166"/>
  <c r="BW76" i="166"/>
  <c r="CR9" i="166"/>
  <c r="CR8" i="166" s="1"/>
  <c r="CR38" i="166" s="1"/>
  <c r="BG81" i="166"/>
  <c r="BG83" i="166" s="1"/>
  <c r="BG84" i="166" s="1"/>
  <c r="BG86" i="166" s="1"/>
  <c r="BG87" i="166" s="1"/>
  <c r="BG76" i="166"/>
  <c r="BN53" i="166"/>
  <c r="BN48" i="166"/>
  <c r="BN42" i="166"/>
  <c r="BN36" i="166"/>
  <c r="BN25" i="166"/>
  <c r="BN24" i="166"/>
  <c r="BN23" i="166"/>
  <c r="BN49" i="166"/>
  <c r="BN52" i="166"/>
  <c r="BN51" i="166"/>
  <c r="BN45" i="166"/>
  <c r="BN47" i="166"/>
  <c r="BN31" i="166"/>
  <c r="BN20" i="166"/>
  <c r="BN26" i="166"/>
  <c r="BN13" i="166"/>
  <c r="BN19" i="166"/>
  <c r="BN57" i="166"/>
  <c r="BN62" i="166"/>
  <c r="BN15" i="166"/>
  <c r="BN32" i="166"/>
  <c r="BN59" i="166"/>
  <c r="BN65" i="166"/>
  <c r="BN14" i="166"/>
  <c r="BN27" i="166"/>
  <c r="BN69" i="166"/>
  <c r="BN56" i="166"/>
  <c r="BN9" i="166"/>
  <c r="BN66" i="166"/>
  <c r="BN30" i="166"/>
  <c r="BN61" i="166"/>
  <c r="BN22" i="166"/>
  <c r="BN10" i="166"/>
  <c r="BN16" i="166"/>
  <c r="BN70" i="166"/>
  <c r="BN67" i="166"/>
  <c r="BN21" i="166"/>
  <c r="BN55" i="166"/>
  <c r="BN71" i="166"/>
  <c r="BN29" i="166"/>
  <c r="BN12" i="166"/>
  <c r="BN18" i="166"/>
  <c r="BN28" i="166"/>
  <c r="BN33" i="166"/>
  <c r="BN60" i="166"/>
  <c r="BN44" i="166"/>
  <c r="BN11" i="166"/>
  <c r="BN43" i="166"/>
  <c r="BN64" i="166"/>
  <c r="BN46" i="166"/>
  <c r="BN17" i="166"/>
  <c r="BN68" i="166"/>
  <c r="BN63" i="166"/>
  <c r="BN58" i="166"/>
  <c r="M76" i="166"/>
  <c r="E76" i="166"/>
  <c r="BV76" i="166"/>
  <c r="BV81" i="166"/>
  <c r="BV83" i="166" s="1"/>
  <c r="BV84" i="166" s="1"/>
  <c r="BV86" i="166" s="1"/>
  <c r="BV87" i="166" s="1"/>
  <c r="AC86" i="166"/>
  <c r="AC87" i="166" s="1"/>
  <c r="D76" i="166"/>
  <c r="D81" i="166"/>
  <c r="D83" i="166" s="1"/>
  <c r="D84" i="166" s="1"/>
  <c r="CG75" i="166"/>
  <c r="CG39" i="166"/>
  <c r="CK81" i="166"/>
  <c r="CK83" i="166" s="1"/>
  <c r="CK76" i="166"/>
  <c r="CQ8" i="166" l="1"/>
  <c r="CQ38" i="166" s="1"/>
  <c r="CB76" i="166"/>
  <c r="CJ76" i="166"/>
  <c r="CL75" i="166"/>
  <c r="CL39" i="166"/>
  <c r="CG76" i="166"/>
  <c r="X84" i="166"/>
  <c r="X86" i="166" s="1"/>
  <c r="D86" i="166"/>
  <c r="D87" i="166" s="1"/>
  <c r="CQ39" i="166"/>
  <c r="CQ75" i="166"/>
  <c r="BM76" i="166"/>
  <c r="BM81" i="166"/>
  <c r="BM83" i="166" s="1"/>
  <c r="BM84" i="166" s="1"/>
  <c r="BM86" i="166" s="1"/>
  <c r="BM87" i="166" s="1"/>
  <c r="AN76" i="166"/>
  <c r="CR75" i="166"/>
  <c r="CR39" i="166"/>
  <c r="AI76" i="166"/>
  <c r="CK84" i="166" l="1"/>
  <c r="CK86" i="166" s="1"/>
  <c r="CK87" i="166" s="1"/>
  <c r="CR76" i="166"/>
  <c r="CR81" i="166"/>
  <c r="CR83" i="166" s="1"/>
  <c r="CR84" i="166" s="1"/>
  <c r="CR86" i="166" s="1"/>
  <c r="CR87" i="166" s="1"/>
  <c r="CL76" i="166"/>
  <c r="CQ76" i="166"/>
  <c r="CQ81" i="166"/>
  <c r="CQ83" i="166" s="1"/>
  <c r="CQ84" i="166" s="1"/>
  <c r="CQ86" i="166" s="1"/>
  <c r="CQ87" i="166" s="1"/>
  <c r="DF100" i="82"/>
  <c r="DA100" i="82"/>
  <c r="DF99" i="82"/>
  <c r="DA99" i="82"/>
  <c r="ED97" i="82"/>
  <c r="DF97" i="82"/>
  <c r="DA97" i="82"/>
  <c r="CV97" i="82"/>
  <c r="CV96" i="82"/>
  <c r="DF95" i="82"/>
  <c r="DA95" i="82"/>
  <c r="CV95" i="82"/>
  <c r="DF94" i="82"/>
  <c r="DA94" i="82"/>
  <c r="CV94" i="82"/>
  <c r="BB94" i="82"/>
  <c r="DY85" i="82"/>
  <c r="DX85" i="82"/>
  <c r="DU85" i="82"/>
  <c r="DP85" i="82"/>
  <c r="DK85" i="82"/>
  <c r="DF85" i="82"/>
  <c r="DA85" i="82"/>
  <c r="CV85" i="82"/>
  <c r="CQ85" i="82"/>
  <c r="CL85" i="82"/>
  <c r="CG85" i="82"/>
  <c r="CB85" i="82"/>
  <c r="BW85" i="82"/>
  <c r="BR85" i="82"/>
  <c r="BL85" i="82"/>
  <c r="BM85" i="82" s="1"/>
  <c r="BO85" i="82" s="1"/>
  <c r="BK85" i="82"/>
  <c r="BC85" i="82"/>
  <c r="AX85" i="82"/>
  <c r="AS85" i="82"/>
  <c r="AN85" i="82"/>
  <c r="AI85" i="82"/>
  <c r="AD85" i="82"/>
  <c r="Y85" i="82"/>
  <c r="T85" i="82"/>
  <c r="J85" i="82"/>
  <c r="E85" i="82"/>
  <c r="DZ82" i="82"/>
  <c r="DY82" i="82"/>
  <c r="DX82" i="82"/>
  <c r="DU82" i="82"/>
  <c r="DP82" i="82"/>
  <c r="DK82" i="82"/>
  <c r="DF82" i="82"/>
  <c r="DA82" i="82"/>
  <c r="CV82" i="82"/>
  <c r="CQ82" i="82"/>
  <c r="CL82" i="82"/>
  <c r="CG82" i="82"/>
  <c r="CB82" i="82"/>
  <c r="BW82" i="82"/>
  <c r="BR82" i="82"/>
  <c r="BL82" i="82"/>
  <c r="BK82" i="82"/>
  <c r="BC82" i="82"/>
  <c r="AX82" i="82"/>
  <c r="AS82" i="82"/>
  <c r="AN82" i="82"/>
  <c r="AI82" i="82"/>
  <c r="AD82" i="82"/>
  <c r="Y82" i="82"/>
  <c r="T82" i="82"/>
  <c r="J82" i="82"/>
  <c r="E82" i="82"/>
  <c r="DY80" i="82"/>
  <c r="DX80" i="82"/>
  <c r="DY79" i="82"/>
  <c r="DP79" i="82"/>
  <c r="BL79" i="82"/>
  <c r="M79" i="82"/>
  <c r="DY78" i="82"/>
  <c r="DX78" i="82"/>
  <c r="DU78" i="82"/>
  <c r="DP78" i="82"/>
  <c r="DP77" i="82" s="1"/>
  <c r="DK78" i="82"/>
  <c r="DF78" i="82"/>
  <c r="DA78" i="82"/>
  <c r="CV78" i="82"/>
  <c r="CQ78" i="82"/>
  <c r="CL78" i="82"/>
  <c r="CG78" i="82"/>
  <c r="CB78" i="82"/>
  <c r="BW78" i="82"/>
  <c r="BR78" i="82"/>
  <c r="BL78" i="82"/>
  <c r="BK78" i="82"/>
  <c r="BC78" i="82"/>
  <c r="AX78" i="82"/>
  <c r="AS78" i="82"/>
  <c r="AN78" i="82"/>
  <c r="AI78" i="82"/>
  <c r="AD78" i="82"/>
  <c r="Y78" i="82"/>
  <c r="T78" i="82"/>
  <c r="J78" i="82"/>
  <c r="E78" i="82"/>
  <c r="ED77" i="82"/>
  <c r="DY77" i="82"/>
  <c r="DT77" i="82"/>
  <c r="DO77" i="82"/>
  <c r="DN77" i="82"/>
  <c r="DJ77" i="82"/>
  <c r="DE77" i="82"/>
  <c r="CZ77" i="82"/>
  <c r="CU77" i="82"/>
  <c r="CP77" i="82"/>
  <c r="CK77" i="82"/>
  <c r="CF77" i="82"/>
  <c r="CA77" i="82"/>
  <c r="BV77" i="82"/>
  <c r="BQ77" i="82"/>
  <c r="BB77" i="82"/>
  <c r="AW77" i="82"/>
  <c r="AR77" i="82"/>
  <c r="AM77" i="82"/>
  <c r="AH77" i="82"/>
  <c r="AC77" i="82"/>
  <c r="X77" i="82"/>
  <c r="S77" i="82"/>
  <c r="I77" i="82"/>
  <c r="D77" i="82"/>
  <c r="C77" i="82"/>
  <c r="DY74" i="82"/>
  <c r="DY73" i="82" s="1"/>
  <c r="DU74" i="82"/>
  <c r="DU73" i="82" s="1"/>
  <c r="DP74" i="82"/>
  <c r="DK74" i="82"/>
  <c r="DK73" i="82" s="1"/>
  <c r="DF74" i="82"/>
  <c r="DA74" i="82"/>
  <c r="CV74" i="82"/>
  <c r="CQ74" i="82"/>
  <c r="CQ73" i="82" s="1"/>
  <c r="CL74" i="82"/>
  <c r="CG74" i="82"/>
  <c r="CG73" i="82" s="1"/>
  <c r="CB74" i="82"/>
  <c r="BW74" i="82"/>
  <c r="BW73" i="82" s="1"/>
  <c r="BR74" i="82"/>
  <c r="BR73" i="82" s="1"/>
  <c r="BL74" i="82"/>
  <c r="BK74" i="82"/>
  <c r="BM74" i="82" s="1"/>
  <c r="BC74" i="82"/>
  <c r="BC73" i="82" s="1"/>
  <c r="BA74" i="82"/>
  <c r="AX74" i="82"/>
  <c r="AQ74" i="82"/>
  <c r="AS74" i="82" s="1"/>
  <c r="AS73" i="82" s="1"/>
  <c r="AN74" i="82"/>
  <c r="AL74" i="82"/>
  <c r="AG74" i="82"/>
  <c r="AI74" i="82" s="1"/>
  <c r="AD74" i="82"/>
  <c r="Y74" i="82"/>
  <c r="Y73" i="82" s="1"/>
  <c r="T74" i="82"/>
  <c r="J74" i="82"/>
  <c r="J73" i="82" s="1"/>
  <c r="E74" i="82"/>
  <c r="ED73" i="82"/>
  <c r="DT73" i="82"/>
  <c r="DS73" i="82"/>
  <c r="DP73" i="82"/>
  <c r="DO73" i="82"/>
  <c r="DN73" i="82"/>
  <c r="DJ73" i="82"/>
  <c r="DI73" i="82"/>
  <c r="DF73" i="82"/>
  <c r="DE73" i="82"/>
  <c r="DD73" i="82"/>
  <c r="DA73" i="82"/>
  <c r="CZ73" i="82"/>
  <c r="CY73" i="82"/>
  <c r="CV73" i="82"/>
  <c r="CU73" i="82"/>
  <c r="CT73" i="82"/>
  <c r="CP73" i="82"/>
  <c r="CO73" i="82"/>
  <c r="CL73" i="82"/>
  <c r="CK73" i="82"/>
  <c r="CJ73" i="82"/>
  <c r="CF73" i="82"/>
  <c r="CE73" i="82"/>
  <c r="CB73" i="82"/>
  <c r="CA73" i="82"/>
  <c r="BZ73" i="82"/>
  <c r="BU73" i="82"/>
  <c r="BP73" i="82"/>
  <c r="BL73" i="82"/>
  <c r="BK73" i="82"/>
  <c r="BA73" i="82"/>
  <c r="AX73" i="82"/>
  <c r="AV73" i="82"/>
  <c r="AM73" i="82"/>
  <c r="AL73" i="82"/>
  <c r="AI73" i="82"/>
  <c r="AH73" i="82"/>
  <c r="AG73" i="82"/>
  <c r="AD73" i="82"/>
  <c r="AC73" i="82"/>
  <c r="AB73" i="82"/>
  <c r="X73" i="82"/>
  <c r="W73" i="82"/>
  <c r="T73" i="82"/>
  <c r="S73" i="82"/>
  <c r="R73" i="82"/>
  <c r="I73" i="82"/>
  <c r="H73" i="82"/>
  <c r="D73" i="82"/>
  <c r="C73" i="82"/>
  <c r="DY72" i="82"/>
  <c r="DX72" i="82"/>
  <c r="DY71" i="82"/>
  <c r="DX71" i="82"/>
  <c r="DU71" i="82"/>
  <c r="DP71" i="82"/>
  <c r="DK71" i="82"/>
  <c r="DF71" i="82"/>
  <c r="DA71" i="82"/>
  <c r="CV71" i="82"/>
  <c r="CQ71" i="82"/>
  <c r="CL71" i="82"/>
  <c r="CG71" i="82"/>
  <c r="CB71" i="82"/>
  <c r="BW71" i="82"/>
  <c r="BR71" i="82"/>
  <c r="BL71" i="82"/>
  <c r="BK71" i="82"/>
  <c r="BC71" i="82"/>
  <c r="AX71" i="82"/>
  <c r="AS71" i="82"/>
  <c r="AN71" i="82"/>
  <c r="AI71" i="82"/>
  <c r="AD71" i="82"/>
  <c r="Y71" i="82"/>
  <c r="T71" i="82"/>
  <c r="J71" i="82"/>
  <c r="E71" i="82"/>
  <c r="DY70" i="82"/>
  <c r="DX70" i="82"/>
  <c r="DU70" i="82"/>
  <c r="DP70" i="82"/>
  <c r="DK70" i="82"/>
  <c r="DF70" i="82"/>
  <c r="DA70" i="82"/>
  <c r="CV70" i="82"/>
  <c r="CQ70" i="82"/>
  <c r="CL70" i="82"/>
  <c r="CG70" i="82"/>
  <c r="CB70" i="82"/>
  <c r="BW70" i="82"/>
  <c r="BR70" i="82"/>
  <c r="BL70" i="82"/>
  <c r="BK70" i="82"/>
  <c r="BC70" i="82"/>
  <c r="AX70" i="82"/>
  <c r="AS70" i="82"/>
  <c r="AN70" i="82"/>
  <c r="AI70" i="82"/>
  <c r="AD70" i="82"/>
  <c r="Y70" i="82"/>
  <c r="T70" i="82"/>
  <c r="J70" i="82"/>
  <c r="E70" i="82"/>
  <c r="DY69" i="82"/>
  <c r="DU69" i="82"/>
  <c r="DP69" i="82"/>
  <c r="DK69" i="82"/>
  <c r="DF69" i="82"/>
  <c r="DA69" i="82"/>
  <c r="CV69" i="82"/>
  <c r="CQ69" i="82"/>
  <c r="CL69" i="82"/>
  <c r="CG69" i="82"/>
  <c r="CB69" i="82"/>
  <c r="BW69" i="82"/>
  <c r="BR69" i="82"/>
  <c r="BL69" i="82"/>
  <c r="BK69" i="82"/>
  <c r="BC69" i="82"/>
  <c r="AX69" i="82"/>
  <c r="AS69" i="82"/>
  <c r="AN69" i="82"/>
  <c r="AL69" i="82"/>
  <c r="DX69" i="82" s="1"/>
  <c r="DZ69" i="82" s="1"/>
  <c r="AI69" i="82"/>
  <c r="AD69" i="82"/>
  <c r="Y69" i="82"/>
  <c r="T69" i="82"/>
  <c r="J69" i="82"/>
  <c r="E69" i="82"/>
  <c r="DY68" i="82"/>
  <c r="DU68" i="82"/>
  <c r="DP68" i="82"/>
  <c r="DK68" i="82"/>
  <c r="DF68" i="82"/>
  <c r="DA68" i="82"/>
  <c r="CV68" i="82"/>
  <c r="CQ68" i="82"/>
  <c r="CL68" i="82"/>
  <c r="CG68" i="82"/>
  <c r="CB68" i="82"/>
  <c r="BW68" i="82"/>
  <c r="BR68" i="82"/>
  <c r="BL68" i="82"/>
  <c r="BK68" i="82"/>
  <c r="BC68" i="82"/>
  <c r="AX68" i="82"/>
  <c r="AS68" i="82"/>
  <c r="AQ68" i="82"/>
  <c r="DX68" i="82" s="1"/>
  <c r="AN68" i="82"/>
  <c r="AI68" i="82"/>
  <c r="AD68" i="82"/>
  <c r="Y68" i="82"/>
  <c r="T68" i="82"/>
  <c r="J68" i="82"/>
  <c r="E68" i="82"/>
  <c r="DU67" i="82"/>
  <c r="DP67" i="82"/>
  <c r="DK67" i="82"/>
  <c r="DF67" i="82"/>
  <c r="DA67" i="82"/>
  <c r="CV67" i="82"/>
  <c r="CQ67" i="82"/>
  <c r="CL67" i="82"/>
  <c r="CG67" i="82"/>
  <c r="CB67" i="82"/>
  <c r="BW67" i="82"/>
  <c r="BR67" i="82"/>
  <c r="BL67" i="82"/>
  <c r="BK67" i="82"/>
  <c r="BC67" i="82"/>
  <c r="AX67" i="82"/>
  <c r="AQ67" i="82"/>
  <c r="AS67" i="82" s="1"/>
  <c r="AN67" i="82"/>
  <c r="AI67" i="82"/>
  <c r="AD67" i="82"/>
  <c r="X67" i="82"/>
  <c r="Y67" i="82" s="1"/>
  <c r="T67" i="82"/>
  <c r="J67" i="82"/>
  <c r="E67" i="82"/>
  <c r="DY66" i="82"/>
  <c r="DZ66" i="82" s="1"/>
  <c r="DX66" i="82"/>
  <c r="DU66" i="82"/>
  <c r="DP66" i="82"/>
  <c r="DK66" i="82"/>
  <c r="DF66" i="82"/>
  <c r="DA66" i="82"/>
  <c r="CV66" i="82"/>
  <c r="CQ66" i="82"/>
  <c r="CL66" i="82"/>
  <c r="CG66" i="82"/>
  <c r="CB66" i="82"/>
  <c r="BW66" i="82"/>
  <c r="BR66" i="82"/>
  <c r="BL66" i="82"/>
  <c r="BK66" i="82"/>
  <c r="BC66" i="82"/>
  <c r="AX66" i="82"/>
  <c r="AS66" i="82"/>
  <c r="AN66" i="82"/>
  <c r="AI66" i="82"/>
  <c r="AD66" i="82"/>
  <c r="Y66" i="82"/>
  <c r="T66" i="82"/>
  <c r="J66" i="82"/>
  <c r="E66" i="82"/>
  <c r="DY65" i="82"/>
  <c r="DX65" i="82"/>
  <c r="DU65" i="82"/>
  <c r="DP65" i="82"/>
  <c r="DK65" i="82"/>
  <c r="DF65" i="82"/>
  <c r="DA65" i="82"/>
  <c r="CV65" i="82"/>
  <c r="CQ65" i="82"/>
  <c r="CL65" i="82"/>
  <c r="CG65" i="82"/>
  <c r="CB65" i="82"/>
  <c r="BW65" i="82"/>
  <c r="BR65" i="82"/>
  <c r="BL65" i="82"/>
  <c r="BK65" i="82"/>
  <c r="BC65" i="82"/>
  <c r="AX65" i="82"/>
  <c r="AS65" i="82"/>
  <c r="AN65" i="82"/>
  <c r="AI65" i="82"/>
  <c r="AD65" i="82"/>
  <c r="Y65" i="82"/>
  <c r="T65" i="82"/>
  <c r="J65" i="82"/>
  <c r="E65" i="82"/>
  <c r="DY64" i="82"/>
  <c r="DU64" i="82"/>
  <c r="DP64" i="82"/>
  <c r="DK64" i="82"/>
  <c r="DF64" i="82"/>
  <c r="DA64" i="82"/>
  <c r="CV64" i="82"/>
  <c r="CQ64" i="82"/>
  <c r="CL64" i="82"/>
  <c r="CG64" i="82"/>
  <c r="CB64" i="82"/>
  <c r="BW64" i="82"/>
  <c r="BR64" i="82"/>
  <c r="BL64" i="82"/>
  <c r="BK64" i="82"/>
  <c r="BM64" i="82" s="1"/>
  <c r="EE64" i="82" s="1"/>
  <c r="BA64" i="82"/>
  <c r="BC64" i="82" s="1"/>
  <c r="AX64" i="82"/>
  <c r="AS64" i="82"/>
  <c r="AL64" i="82"/>
  <c r="AI64" i="82"/>
  <c r="AG64" i="82"/>
  <c r="AD64" i="82"/>
  <c r="Y64" i="82"/>
  <c r="T64" i="82"/>
  <c r="J64" i="82"/>
  <c r="E64" i="82"/>
  <c r="DY63" i="82"/>
  <c r="DX63" i="82"/>
  <c r="DZ63" i="82" s="1"/>
  <c r="DU63" i="82"/>
  <c r="DP63" i="82"/>
  <c r="DK63" i="82"/>
  <c r="DF63" i="82"/>
  <c r="DA63" i="82"/>
  <c r="CV63" i="82"/>
  <c r="CQ63" i="82"/>
  <c r="CL63" i="82"/>
  <c r="CG63" i="82"/>
  <c r="CB63" i="82"/>
  <c r="BW63" i="82"/>
  <c r="BR63" i="82"/>
  <c r="BL63" i="82"/>
  <c r="BK63" i="82"/>
  <c r="BM63" i="82" s="1"/>
  <c r="EE63" i="82" s="1"/>
  <c r="BC63" i="82"/>
  <c r="AX63" i="82"/>
  <c r="AQ63" i="82"/>
  <c r="AS63" i="82" s="1"/>
  <c r="AN63" i="82"/>
  <c r="AI63" i="82"/>
  <c r="AD63" i="82"/>
  <c r="Y63" i="82"/>
  <c r="T63" i="82"/>
  <c r="J63" i="82"/>
  <c r="E63" i="82"/>
  <c r="DY62" i="82"/>
  <c r="DU62" i="82"/>
  <c r="DP62" i="82"/>
  <c r="DK62" i="82"/>
  <c r="DF62" i="82"/>
  <c r="DA62" i="82"/>
  <c r="CV62" i="82"/>
  <c r="CQ62" i="82"/>
  <c r="CL62" i="82"/>
  <c r="CG62" i="82"/>
  <c r="CB62" i="82"/>
  <c r="BW62" i="82"/>
  <c r="BR62" i="82"/>
  <c r="BL62" i="82"/>
  <c r="BK62" i="82"/>
  <c r="BM62" i="82" s="1"/>
  <c r="BA62" i="82"/>
  <c r="BC62" i="82" s="1"/>
  <c r="AX62" i="82"/>
  <c r="AS62" i="82"/>
  <c r="AN62" i="82"/>
  <c r="AI62" i="82"/>
  <c r="AG62" i="82"/>
  <c r="AD62" i="82"/>
  <c r="Y62" i="82"/>
  <c r="R62" i="82"/>
  <c r="T62" i="82" s="1"/>
  <c r="J62" i="82"/>
  <c r="E62" i="82"/>
  <c r="DY61" i="82"/>
  <c r="DX61" i="82"/>
  <c r="DZ61" i="82" s="1"/>
  <c r="DU61" i="82"/>
  <c r="DP61" i="82"/>
  <c r="DK61" i="82"/>
  <c r="DF61" i="82"/>
  <c r="DA61" i="82"/>
  <c r="CV61" i="82"/>
  <c r="CQ61" i="82"/>
  <c r="CL61" i="82"/>
  <c r="CG61" i="82"/>
  <c r="CB61" i="82"/>
  <c r="BW61" i="82"/>
  <c r="BR61" i="82"/>
  <c r="BL61" i="82"/>
  <c r="BK61" i="82"/>
  <c r="BC61" i="82"/>
  <c r="AX61" i="82"/>
  <c r="AS61" i="82"/>
  <c r="AN61" i="82"/>
  <c r="AI61" i="82"/>
  <c r="AD61" i="82"/>
  <c r="Y61" i="82"/>
  <c r="T61" i="82"/>
  <c r="J61" i="82"/>
  <c r="E61" i="82"/>
  <c r="DY60" i="82"/>
  <c r="DX60" i="82"/>
  <c r="DP60" i="82"/>
  <c r="DK60" i="82"/>
  <c r="DF60" i="82"/>
  <c r="DA60" i="82"/>
  <c r="CV60" i="82"/>
  <c r="CQ60" i="82"/>
  <c r="CL60" i="82"/>
  <c r="CG60" i="82"/>
  <c r="CB60" i="82"/>
  <c r="BW60" i="82"/>
  <c r="BR60" i="82"/>
  <c r="BL60" i="82"/>
  <c r="BK60" i="82"/>
  <c r="BC60" i="82"/>
  <c r="AX60" i="82"/>
  <c r="AS60" i="82"/>
  <c r="AN60" i="82"/>
  <c r="AI60" i="82"/>
  <c r="AD60" i="82"/>
  <c r="Y60" i="82"/>
  <c r="T60" i="82"/>
  <c r="J60" i="82"/>
  <c r="E60" i="82"/>
  <c r="DY59" i="82"/>
  <c r="DX59" i="82"/>
  <c r="DU59" i="82"/>
  <c r="DP59" i="82"/>
  <c r="DK59" i="82"/>
  <c r="DF59" i="82"/>
  <c r="DA59" i="82"/>
  <c r="CV59" i="82"/>
  <c r="CQ59" i="82"/>
  <c r="CL59" i="82"/>
  <c r="CG59" i="82"/>
  <c r="CB59" i="82"/>
  <c r="BW59" i="82"/>
  <c r="BR59" i="82"/>
  <c r="BL59" i="82"/>
  <c r="BK59" i="82"/>
  <c r="BC59" i="82"/>
  <c r="AX59" i="82"/>
  <c r="AS59" i="82"/>
  <c r="AN59" i="82"/>
  <c r="AI59" i="82"/>
  <c r="AD59" i="82"/>
  <c r="Y59" i="82"/>
  <c r="T59" i="82"/>
  <c r="J59" i="82"/>
  <c r="E59" i="82"/>
  <c r="DY58" i="82"/>
  <c r="DX58" i="82"/>
  <c r="DZ58" i="82" s="1"/>
  <c r="DU58" i="82"/>
  <c r="DP58" i="82"/>
  <c r="DK58" i="82"/>
  <c r="DF58" i="82"/>
  <c r="DA58" i="82"/>
  <c r="CV58" i="82"/>
  <c r="CQ58" i="82"/>
  <c r="CL58" i="82"/>
  <c r="CG58" i="82"/>
  <c r="CB58" i="82"/>
  <c r="BW58" i="82"/>
  <c r="BR58" i="82"/>
  <c r="BL58" i="82"/>
  <c r="BK58" i="82"/>
  <c r="BM58" i="82" s="1"/>
  <c r="BC58" i="82"/>
  <c r="AX58" i="82"/>
  <c r="AS58" i="82"/>
  <c r="AN58" i="82"/>
  <c r="AI58" i="82"/>
  <c r="AD58" i="82"/>
  <c r="Y58" i="82"/>
  <c r="T58" i="82"/>
  <c r="J58" i="82"/>
  <c r="E58" i="82"/>
  <c r="DY57" i="82"/>
  <c r="DU57" i="82"/>
  <c r="DP57" i="82"/>
  <c r="DK57" i="82"/>
  <c r="DF57" i="82"/>
  <c r="DA57" i="82"/>
  <c r="CV57" i="82"/>
  <c r="CQ57" i="82"/>
  <c r="CL57" i="82"/>
  <c r="CG57" i="82"/>
  <c r="CB57" i="82"/>
  <c r="BW57" i="82"/>
  <c r="BR57" i="82"/>
  <c r="BL57" i="82"/>
  <c r="BK57" i="82"/>
  <c r="BM57" i="82" s="1"/>
  <c r="BC57" i="82"/>
  <c r="AX57" i="82"/>
  <c r="AS57" i="82"/>
  <c r="AN57" i="82"/>
  <c r="AG57" i="82"/>
  <c r="AI57" i="82" s="1"/>
  <c r="AD57" i="82"/>
  <c r="Y57" i="82"/>
  <c r="T57" i="82"/>
  <c r="J57" i="82"/>
  <c r="E57" i="82"/>
  <c r="DY56" i="82"/>
  <c r="DX56" i="82"/>
  <c r="DZ56" i="82" s="1"/>
  <c r="DU56" i="82"/>
  <c r="DP56" i="82"/>
  <c r="DK56" i="82"/>
  <c r="DF56" i="82"/>
  <c r="DF54" i="82" s="1"/>
  <c r="DA56" i="82"/>
  <c r="CV56" i="82"/>
  <c r="CQ56" i="82"/>
  <c r="CL56" i="82"/>
  <c r="CL54" i="82" s="1"/>
  <c r="CG56" i="82"/>
  <c r="CB56" i="82"/>
  <c r="BW56" i="82"/>
  <c r="BR56" i="82"/>
  <c r="BL56" i="82"/>
  <c r="BK56" i="82"/>
  <c r="BC56" i="82"/>
  <c r="AX56" i="82"/>
  <c r="AS56" i="82"/>
  <c r="AN56" i="82"/>
  <c r="AG56" i="82"/>
  <c r="AI56" i="82" s="1"/>
  <c r="AD56" i="82"/>
  <c r="Y56" i="82"/>
  <c r="T56" i="82"/>
  <c r="J56" i="82"/>
  <c r="E56" i="82"/>
  <c r="DY55" i="82"/>
  <c r="DU55" i="82"/>
  <c r="DP55" i="82"/>
  <c r="DK55" i="82"/>
  <c r="DF55" i="82"/>
  <c r="DA55" i="82"/>
  <c r="DA54" i="82" s="1"/>
  <c r="CV55" i="82"/>
  <c r="CQ55" i="82"/>
  <c r="CL55" i="82"/>
  <c r="CG55" i="82"/>
  <c r="CB55" i="82"/>
  <c r="BW55" i="82"/>
  <c r="BW54" i="82" s="1"/>
  <c r="BR55" i="82"/>
  <c r="BL55" i="82"/>
  <c r="BK55" i="82"/>
  <c r="BC55" i="82"/>
  <c r="AX55" i="82"/>
  <c r="AS55" i="82"/>
  <c r="AN55" i="82"/>
  <c r="AG55" i="82"/>
  <c r="AI55" i="82" s="1"/>
  <c r="AD55" i="82"/>
  <c r="Y55" i="82"/>
  <c r="T55" i="82"/>
  <c r="J55" i="82"/>
  <c r="E55" i="82"/>
  <c r="ED54" i="82"/>
  <c r="DT54" i="82"/>
  <c r="DS54" i="82"/>
  <c r="DO54" i="82"/>
  <c r="DN54" i="82"/>
  <c r="DJ54" i="82"/>
  <c r="DI54" i="82"/>
  <c r="DE54" i="82"/>
  <c r="DD54" i="82"/>
  <c r="CZ54" i="82"/>
  <c r="CY54" i="82"/>
  <c r="CU54" i="82"/>
  <c r="CT54" i="82"/>
  <c r="CP54" i="82"/>
  <c r="CO54" i="82"/>
  <c r="CK54" i="82"/>
  <c r="CJ54" i="82"/>
  <c r="CF54" i="82"/>
  <c r="CE54" i="82"/>
  <c r="CA54" i="82"/>
  <c r="BZ54" i="82"/>
  <c r="BV54" i="82"/>
  <c r="BU54" i="82"/>
  <c r="BQ54" i="82"/>
  <c r="BP54" i="82"/>
  <c r="BB54" i="82"/>
  <c r="BA54" i="82"/>
  <c r="AW54" i="82"/>
  <c r="AV54" i="82"/>
  <c r="AR54" i="82"/>
  <c r="AQ54" i="82"/>
  <c r="AM54" i="82"/>
  <c r="AH54" i="82"/>
  <c r="AG54" i="82"/>
  <c r="AC54" i="82"/>
  <c r="AB54" i="82"/>
  <c r="X54" i="82"/>
  <c r="W54" i="82"/>
  <c r="S54" i="82"/>
  <c r="R54" i="82"/>
  <c r="I54" i="82"/>
  <c r="H54" i="82"/>
  <c r="D54" i="82"/>
  <c r="C54" i="82"/>
  <c r="DY53" i="82"/>
  <c r="DX53" i="82"/>
  <c r="DY52" i="82"/>
  <c r="DX52" i="82"/>
  <c r="DZ52" i="82" s="1"/>
  <c r="DU52" i="82"/>
  <c r="DP52" i="82"/>
  <c r="DK52" i="82"/>
  <c r="DF52" i="82"/>
  <c r="DA52" i="82"/>
  <c r="CV52" i="82"/>
  <c r="CQ52" i="82"/>
  <c r="CL52" i="82"/>
  <c r="CG52" i="82"/>
  <c r="CB52" i="82"/>
  <c r="BW52" i="82"/>
  <c r="BR52" i="82"/>
  <c r="BL52" i="82"/>
  <c r="BK52" i="82"/>
  <c r="BM52" i="82" s="1"/>
  <c r="EE52" i="82" s="1"/>
  <c r="BC52" i="82"/>
  <c r="AX52" i="82"/>
  <c r="AS52" i="82"/>
  <c r="AN52" i="82"/>
  <c r="AI52" i="82"/>
  <c r="AD52" i="82"/>
  <c r="Y52" i="82"/>
  <c r="T52" i="82"/>
  <c r="J52" i="82"/>
  <c r="E52" i="82"/>
  <c r="DY51" i="82"/>
  <c r="DX51" i="82"/>
  <c r="DZ51" i="82" s="1"/>
  <c r="DU51" i="82"/>
  <c r="DU50" i="82" s="1"/>
  <c r="DP51" i="82"/>
  <c r="DP50" i="82" s="1"/>
  <c r="DK51" i="82"/>
  <c r="DF51" i="82"/>
  <c r="DA51" i="82"/>
  <c r="CV51" i="82"/>
  <c r="CV50" i="82" s="1"/>
  <c r="CQ51" i="82"/>
  <c r="CL51" i="82"/>
  <c r="CG51" i="82"/>
  <c r="CB51" i="82"/>
  <c r="CB50" i="82" s="1"/>
  <c r="BW51" i="82"/>
  <c r="BR51" i="82"/>
  <c r="BR50" i="82" s="1"/>
  <c r="BL51" i="82"/>
  <c r="BL50" i="82" s="1"/>
  <c r="BK51" i="82"/>
  <c r="BM51" i="82" s="1"/>
  <c r="BM50" i="82" s="1"/>
  <c r="BC51" i="82"/>
  <c r="AX51" i="82"/>
  <c r="AX50" i="82" s="1"/>
  <c r="AS51" i="82"/>
  <c r="AN51" i="82"/>
  <c r="AN50" i="82" s="1"/>
  <c r="AI51" i="82"/>
  <c r="AD51" i="82"/>
  <c r="Y51" i="82"/>
  <c r="T51" i="82"/>
  <c r="T50" i="82" s="1"/>
  <c r="J51" i="82"/>
  <c r="E51" i="82"/>
  <c r="ED50" i="82"/>
  <c r="DY50" i="82"/>
  <c r="DT50" i="82"/>
  <c r="DS50" i="82"/>
  <c r="DO50" i="82"/>
  <c r="DN50" i="82"/>
  <c r="DK50" i="82"/>
  <c r="DJ50" i="82"/>
  <c r="DI50" i="82"/>
  <c r="DE50" i="82"/>
  <c r="DD50" i="82"/>
  <c r="DA50" i="82"/>
  <c r="CZ50" i="82"/>
  <c r="CY50" i="82"/>
  <c r="CU50" i="82"/>
  <c r="CT50" i="82"/>
  <c r="CP50" i="82"/>
  <c r="CO50" i="82"/>
  <c r="CL50" i="82"/>
  <c r="CK50" i="82"/>
  <c r="CJ50" i="82"/>
  <c r="CG50" i="82"/>
  <c r="CF50" i="82"/>
  <c r="CE50" i="82"/>
  <c r="CA50" i="82"/>
  <c r="BZ50" i="82"/>
  <c r="BW50" i="82"/>
  <c r="BV50" i="82"/>
  <c r="BU50" i="82"/>
  <c r="BQ50" i="82"/>
  <c r="BP50" i="82"/>
  <c r="BC50" i="82"/>
  <c r="BB50" i="82"/>
  <c r="BA50" i="82"/>
  <c r="AS50" i="82"/>
  <c r="AR50" i="82"/>
  <c r="AQ50" i="82"/>
  <c r="AM50" i="82"/>
  <c r="AL50" i="82"/>
  <c r="AI50" i="82"/>
  <c r="AH50" i="82"/>
  <c r="AG50" i="82"/>
  <c r="AC50" i="82"/>
  <c r="AB50" i="82"/>
  <c r="Y50" i="82"/>
  <c r="X50" i="82"/>
  <c r="W50" i="82"/>
  <c r="S50" i="82"/>
  <c r="R50" i="82"/>
  <c r="J50" i="82"/>
  <c r="I50" i="82"/>
  <c r="H50" i="82"/>
  <c r="D50" i="82"/>
  <c r="C50" i="82"/>
  <c r="DY49" i="82"/>
  <c r="DX49" i="82"/>
  <c r="DU49" i="82"/>
  <c r="DP49" i="82"/>
  <c r="DK49" i="82"/>
  <c r="DF49" i="82"/>
  <c r="DA49" i="82"/>
  <c r="CV49" i="82"/>
  <c r="CQ49" i="82"/>
  <c r="DY48" i="82"/>
  <c r="DX48" i="82"/>
  <c r="DZ48" i="82" s="1"/>
  <c r="DU48" i="82"/>
  <c r="DP48" i="82"/>
  <c r="DK48" i="82"/>
  <c r="DF48" i="82"/>
  <c r="DA48" i="82"/>
  <c r="CV48" i="82"/>
  <c r="CQ48" i="82"/>
  <c r="CL48" i="82"/>
  <c r="CG48" i="82"/>
  <c r="CB48" i="82"/>
  <c r="BW48" i="82"/>
  <c r="BR48" i="82"/>
  <c r="BL48" i="82"/>
  <c r="BK48" i="82"/>
  <c r="BM48" i="82" s="1"/>
  <c r="EE48" i="82" s="1"/>
  <c r="BC48" i="82"/>
  <c r="AX48" i="82"/>
  <c r="AS48" i="82"/>
  <c r="AN48" i="82"/>
  <c r="AI48" i="82"/>
  <c r="AD48" i="82"/>
  <c r="Y48" i="82"/>
  <c r="T48" i="82"/>
  <c r="J48" i="82"/>
  <c r="E48" i="82"/>
  <c r="DY47" i="82"/>
  <c r="DU47" i="82"/>
  <c r="DP47" i="82"/>
  <c r="DK47" i="82"/>
  <c r="DF47" i="82"/>
  <c r="DA47" i="82"/>
  <c r="CV47" i="82"/>
  <c r="CQ47" i="82"/>
  <c r="CL47" i="82"/>
  <c r="CG47" i="82"/>
  <c r="CB47" i="82"/>
  <c r="BW47" i="82"/>
  <c r="BR47" i="82"/>
  <c r="BL47" i="82"/>
  <c r="BK47" i="82"/>
  <c r="BC47" i="82"/>
  <c r="AX47" i="82"/>
  <c r="AS47" i="82"/>
  <c r="AN47" i="82"/>
  <c r="AG47" i="82"/>
  <c r="AI47" i="82" s="1"/>
  <c r="AD47" i="82"/>
  <c r="W47" i="82"/>
  <c r="Y47" i="82" s="1"/>
  <c r="T47" i="82"/>
  <c r="J47" i="82"/>
  <c r="E47" i="82"/>
  <c r="DY46" i="82"/>
  <c r="DX46" i="82"/>
  <c r="DZ46" i="82" s="1"/>
  <c r="DU46" i="82"/>
  <c r="DP46" i="82"/>
  <c r="DK46" i="82"/>
  <c r="DF46" i="82"/>
  <c r="DA46" i="82"/>
  <c r="CV46" i="82"/>
  <c r="CQ46" i="82"/>
  <c r="CL46" i="82"/>
  <c r="CG46" i="82"/>
  <c r="CB46" i="82"/>
  <c r="BW46" i="82"/>
  <c r="BR46" i="82"/>
  <c r="BL46" i="82"/>
  <c r="BK46" i="82"/>
  <c r="BC46" i="82"/>
  <c r="AX46" i="82"/>
  <c r="AS46" i="82"/>
  <c r="AN46" i="82"/>
  <c r="AI46" i="82"/>
  <c r="AD46" i="82"/>
  <c r="Y46" i="82"/>
  <c r="T46" i="82"/>
  <c r="J46" i="82"/>
  <c r="E46" i="82"/>
  <c r="DY45" i="82"/>
  <c r="DX45" i="82"/>
  <c r="DU45" i="82"/>
  <c r="DP45" i="82"/>
  <c r="DK45" i="82"/>
  <c r="DF45" i="82"/>
  <c r="DA45" i="82"/>
  <c r="CV45" i="82"/>
  <c r="CQ45" i="82"/>
  <c r="CL45" i="82"/>
  <c r="CG45" i="82"/>
  <c r="CB45" i="82"/>
  <c r="BW45" i="82"/>
  <c r="BR45" i="82"/>
  <c r="BL45" i="82"/>
  <c r="BK45" i="82"/>
  <c r="BC45" i="82"/>
  <c r="AX45" i="82"/>
  <c r="AS45" i="82"/>
  <c r="AN45" i="82"/>
  <c r="AI45" i="82"/>
  <c r="AD45" i="82"/>
  <c r="Y45" i="82"/>
  <c r="T45" i="82"/>
  <c r="J45" i="82"/>
  <c r="E45" i="82"/>
  <c r="DX44" i="82"/>
  <c r="DU44" i="82"/>
  <c r="DP44" i="82"/>
  <c r="DK44" i="82"/>
  <c r="DF44" i="82"/>
  <c r="DA44" i="82"/>
  <c r="CV44" i="82"/>
  <c r="CQ44" i="82"/>
  <c r="CL44" i="82"/>
  <c r="CG44" i="82"/>
  <c r="CB44" i="82"/>
  <c r="BW44" i="82"/>
  <c r="BR44" i="82"/>
  <c r="BL44" i="82"/>
  <c r="BK44" i="82"/>
  <c r="BC44" i="82"/>
  <c r="BB44" i="82"/>
  <c r="AX44" i="82"/>
  <c r="AR44" i="82"/>
  <c r="AN44" i="82"/>
  <c r="AI44" i="82"/>
  <c r="AD44" i="82"/>
  <c r="Y44" i="82"/>
  <c r="T44" i="82"/>
  <c r="J44" i="82"/>
  <c r="E44" i="82"/>
  <c r="DY43" i="82"/>
  <c r="DX43" i="82"/>
  <c r="DZ43" i="82" s="1"/>
  <c r="DU43" i="82"/>
  <c r="DP43" i="82"/>
  <c r="DK43" i="82"/>
  <c r="DF43" i="82"/>
  <c r="DA43" i="82"/>
  <c r="CV43" i="82"/>
  <c r="CQ43" i="82"/>
  <c r="CL43" i="82"/>
  <c r="CG43" i="82"/>
  <c r="CB43" i="82"/>
  <c r="BW43" i="82"/>
  <c r="BR43" i="82"/>
  <c r="BL43" i="82"/>
  <c r="BK43" i="82"/>
  <c r="BK41" i="82" s="1"/>
  <c r="BC43" i="82"/>
  <c r="AX43" i="82"/>
  <c r="AS43" i="82"/>
  <c r="AN43" i="82"/>
  <c r="AI43" i="82"/>
  <c r="AD43" i="82"/>
  <c r="Y43" i="82"/>
  <c r="T43" i="82"/>
  <c r="J43" i="82"/>
  <c r="E43" i="82"/>
  <c r="DY42" i="82"/>
  <c r="DX42" i="82"/>
  <c r="DU42" i="82"/>
  <c r="DP42" i="82"/>
  <c r="DK42" i="82"/>
  <c r="DF42" i="82"/>
  <c r="DA42" i="82"/>
  <c r="CV42" i="82"/>
  <c r="CQ42" i="82"/>
  <c r="CL42" i="82"/>
  <c r="CG42" i="82"/>
  <c r="CB42" i="82"/>
  <c r="BW42" i="82"/>
  <c r="BR42" i="82"/>
  <c r="BL42" i="82"/>
  <c r="BK42" i="82"/>
  <c r="BC42" i="82"/>
  <c r="AX42" i="82"/>
  <c r="AS42" i="82"/>
  <c r="AN42" i="82"/>
  <c r="AI42" i="82"/>
  <c r="AD42" i="82"/>
  <c r="AD41" i="82" s="1"/>
  <c r="Y42" i="82"/>
  <c r="T42" i="82"/>
  <c r="J42" i="82"/>
  <c r="E42" i="82"/>
  <c r="ED41" i="82"/>
  <c r="DT41" i="82"/>
  <c r="DS41" i="82"/>
  <c r="DO41" i="82"/>
  <c r="DN41" i="82"/>
  <c r="DJ41" i="82"/>
  <c r="DI41" i="82"/>
  <c r="DE41" i="82"/>
  <c r="DD41" i="82"/>
  <c r="CZ41" i="82"/>
  <c r="CY41" i="82"/>
  <c r="CU41" i="82"/>
  <c r="CT41" i="82"/>
  <c r="CP41" i="82"/>
  <c r="CO41" i="82"/>
  <c r="CK41" i="82"/>
  <c r="CJ41" i="82"/>
  <c r="CF41" i="82"/>
  <c r="CE41" i="82"/>
  <c r="CA41" i="82"/>
  <c r="BZ41" i="82"/>
  <c r="BV41" i="82"/>
  <c r="BU41" i="82"/>
  <c r="BQ41" i="82"/>
  <c r="BP41" i="82"/>
  <c r="BC41" i="82"/>
  <c r="BB41" i="82"/>
  <c r="BA41" i="82"/>
  <c r="AW41" i="82"/>
  <c r="AV41" i="82"/>
  <c r="AR41" i="82"/>
  <c r="AQ41" i="82"/>
  <c r="AM41" i="82"/>
  <c r="AL41" i="82"/>
  <c r="AH41" i="82"/>
  <c r="AG41" i="82"/>
  <c r="AC41" i="82"/>
  <c r="AB41" i="82"/>
  <c r="X41" i="82"/>
  <c r="W41" i="82"/>
  <c r="S41" i="82"/>
  <c r="R41" i="82"/>
  <c r="I41" i="82"/>
  <c r="H41" i="82"/>
  <c r="D41" i="82"/>
  <c r="C41" i="82"/>
  <c r="DY37" i="82"/>
  <c r="DX37" i="82"/>
  <c r="DY36" i="82"/>
  <c r="DU36" i="82"/>
  <c r="DP36" i="82"/>
  <c r="DK36" i="82"/>
  <c r="DF36" i="82"/>
  <c r="DA36" i="82"/>
  <c r="CV36" i="82"/>
  <c r="CQ36" i="82"/>
  <c r="CL36" i="82"/>
  <c r="CG36" i="82"/>
  <c r="CB36" i="82"/>
  <c r="BW36" i="82"/>
  <c r="BR36" i="82"/>
  <c r="BR35" i="82" s="1"/>
  <c r="BL36" i="82"/>
  <c r="BL35" i="82" s="1"/>
  <c r="BK36" i="82"/>
  <c r="BM36" i="82" s="1"/>
  <c r="BC36" i="82"/>
  <c r="AX36" i="82"/>
  <c r="AQ36" i="82"/>
  <c r="AS36" i="82" s="1"/>
  <c r="AL36" i="82"/>
  <c r="AN36" i="82" s="1"/>
  <c r="AI36" i="82"/>
  <c r="AD36" i="82"/>
  <c r="AD35" i="82" s="1"/>
  <c r="Y36" i="82"/>
  <c r="T36" i="82"/>
  <c r="T35" i="82" s="1"/>
  <c r="J36" i="82"/>
  <c r="J35" i="82" s="1"/>
  <c r="E36" i="82"/>
  <c r="ED35" i="82"/>
  <c r="DY35" i="82"/>
  <c r="DT35" i="82"/>
  <c r="DS35" i="82"/>
  <c r="DO35" i="82"/>
  <c r="DN35" i="82"/>
  <c r="DP35" i="82" s="1"/>
  <c r="DJ35" i="82"/>
  <c r="DI35" i="82"/>
  <c r="DE35" i="82"/>
  <c r="DD35" i="82"/>
  <c r="CZ35" i="82"/>
  <c r="CY35" i="82"/>
  <c r="CU35" i="82"/>
  <c r="CT35" i="82"/>
  <c r="CP35" i="82"/>
  <c r="CO35" i="82"/>
  <c r="CL35" i="82"/>
  <c r="CK35" i="82"/>
  <c r="CJ35" i="82"/>
  <c r="CF35" i="82"/>
  <c r="CE35" i="82"/>
  <c r="CA35" i="82"/>
  <c r="BZ35" i="82"/>
  <c r="BW35" i="82"/>
  <c r="BV35" i="82"/>
  <c r="BU35" i="82"/>
  <c r="BC35" i="82"/>
  <c r="AN35" i="82"/>
  <c r="AM35" i="82"/>
  <c r="AI35" i="82"/>
  <c r="AH35" i="82"/>
  <c r="AG35" i="82"/>
  <c r="AC35" i="82"/>
  <c r="AB35" i="82"/>
  <c r="X35" i="82"/>
  <c r="W35" i="82"/>
  <c r="S35" i="82"/>
  <c r="R35" i="82"/>
  <c r="I35" i="82"/>
  <c r="H35" i="82"/>
  <c r="D35" i="82"/>
  <c r="C35" i="82"/>
  <c r="DY34" i="82"/>
  <c r="DX34" i="82"/>
  <c r="DU34" i="82"/>
  <c r="DP34" i="82"/>
  <c r="DK34" i="82"/>
  <c r="DF34" i="82"/>
  <c r="DA34" i="82"/>
  <c r="CV34" i="82"/>
  <c r="CQ34" i="82"/>
  <c r="DY33" i="82"/>
  <c r="DX33" i="82"/>
  <c r="DU33" i="82"/>
  <c r="DP33" i="82"/>
  <c r="DK33" i="82"/>
  <c r="DF33" i="82"/>
  <c r="DA33" i="82"/>
  <c r="CV33" i="82"/>
  <c r="CQ33" i="82"/>
  <c r="CL33" i="82"/>
  <c r="CG33" i="82"/>
  <c r="CB33" i="82"/>
  <c r="BW33" i="82"/>
  <c r="BR33" i="82"/>
  <c r="BL33" i="82"/>
  <c r="BK33" i="82"/>
  <c r="BM33" i="82" s="1"/>
  <c r="BC33" i="82"/>
  <c r="AX33" i="82"/>
  <c r="AS33" i="82"/>
  <c r="AN33" i="82"/>
  <c r="AI33" i="82"/>
  <c r="AD33" i="82"/>
  <c r="Y33" i="82"/>
  <c r="T33" i="82"/>
  <c r="J33" i="82"/>
  <c r="E33" i="82"/>
  <c r="DY32" i="82"/>
  <c r="DX32" i="82"/>
  <c r="DZ32" i="82" s="1"/>
  <c r="DU32" i="82"/>
  <c r="DP32" i="82"/>
  <c r="DK32" i="82"/>
  <c r="DF32" i="82"/>
  <c r="DA32" i="82"/>
  <c r="CV32" i="82"/>
  <c r="CQ32" i="82"/>
  <c r="CL32" i="82"/>
  <c r="CG32" i="82"/>
  <c r="CB32" i="82"/>
  <c r="BW32" i="82"/>
  <c r="BR32" i="82"/>
  <c r="BL32" i="82"/>
  <c r="BK32" i="82"/>
  <c r="BC32" i="82"/>
  <c r="AX32" i="82"/>
  <c r="AS32" i="82"/>
  <c r="AN32" i="82"/>
  <c r="AI32" i="82"/>
  <c r="AD32" i="82"/>
  <c r="Y32" i="82"/>
  <c r="T32" i="82"/>
  <c r="J32" i="82"/>
  <c r="E32" i="82"/>
  <c r="DY31" i="82"/>
  <c r="DX31" i="82"/>
  <c r="DZ31" i="82" s="1"/>
  <c r="DU31" i="82"/>
  <c r="DP31" i="82"/>
  <c r="DK31" i="82"/>
  <c r="DF31" i="82"/>
  <c r="DA31" i="82"/>
  <c r="CV31" i="82"/>
  <c r="CQ31" i="82"/>
  <c r="CL31" i="82"/>
  <c r="CG31" i="82"/>
  <c r="CB31" i="82"/>
  <c r="BW31" i="82"/>
  <c r="BR31" i="82"/>
  <c r="BL31" i="82"/>
  <c r="BK31" i="82"/>
  <c r="BC31" i="82"/>
  <c r="AX31" i="82"/>
  <c r="AS31" i="82"/>
  <c r="AN31" i="82"/>
  <c r="AI31" i="82"/>
  <c r="AD31" i="82"/>
  <c r="Y31" i="82"/>
  <c r="T31" i="82"/>
  <c r="J31" i="82"/>
  <c r="D31" i="82"/>
  <c r="C31" i="82"/>
  <c r="E31" i="82" s="1"/>
  <c r="DX30" i="82"/>
  <c r="DU30" i="82"/>
  <c r="DP30" i="82"/>
  <c r="DK30" i="82"/>
  <c r="DF30" i="82"/>
  <c r="DA30" i="82"/>
  <c r="CV30" i="82"/>
  <c r="CQ30" i="82"/>
  <c r="CL30" i="82"/>
  <c r="CG30" i="82"/>
  <c r="CB30" i="82"/>
  <c r="BW30" i="82"/>
  <c r="BR30" i="82"/>
  <c r="BL30" i="82"/>
  <c r="BK30" i="82"/>
  <c r="BB30" i="82"/>
  <c r="BC30" i="82" s="1"/>
  <c r="AX30" i="82"/>
  <c r="AS30" i="82"/>
  <c r="AN30" i="82"/>
  <c r="AI30" i="82"/>
  <c r="AD30" i="82"/>
  <c r="X30" i="82"/>
  <c r="T30" i="82"/>
  <c r="J30" i="82"/>
  <c r="D30" i="82"/>
  <c r="E30" i="82" s="1"/>
  <c r="DY29" i="82"/>
  <c r="DX29" i="82"/>
  <c r="DZ29" i="82" s="1"/>
  <c r="DU29" i="82"/>
  <c r="DP29" i="82"/>
  <c r="DK29" i="82"/>
  <c r="DF29" i="82"/>
  <c r="DA29" i="82"/>
  <c r="CV29" i="82"/>
  <c r="CQ29" i="82"/>
  <c r="CL29" i="82"/>
  <c r="CG29" i="82"/>
  <c r="CB29" i="82"/>
  <c r="BW29" i="82"/>
  <c r="BR29" i="82"/>
  <c r="BL29" i="82"/>
  <c r="BK29" i="82"/>
  <c r="BC29" i="82"/>
  <c r="AX29" i="82"/>
  <c r="AS29" i="82"/>
  <c r="AN29" i="82"/>
  <c r="AI29" i="82"/>
  <c r="AD29" i="82"/>
  <c r="Y29" i="82"/>
  <c r="T29" i="82"/>
  <c r="J29" i="82"/>
  <c r="D29" i="82"/>
  <c r="C29" i="82"/>
  <c r="E29" i="82" s="1"/>
  <c r="DU28" i="82"/>
  <c r="DP28" i="82"/>
  <c r="DK28" i="82"/>
  <c r="DF28" i="82"/>
  <c r="DA28" i="82"/>
  <c r="CV28" i="82"/>
  <c r="CQ28" i="82"/>
  <c r="CL28" i="82"/>
  <c r="CG28" i="82"/>
  <c r="CB28" i="82"/>
  <c r="BW28" i="82"/>
  <c r="BR28" i="82"/>
  <c r="BL28" i="82"/>
  <c r="BK28" i="82"/>
  <c r="BM28" i="82" s="1"/>
  <c r="EE28" i="82" s="1"/>
  <c r="BA28" i="82"/>
  <c r="BC28" i="82" s="1"/>
  <c r="AX28" i="82"/>
  <c r="AS28" i="82"/>
  <c r="AN28" i="82"/>
  <c r="AH28" i="82"/>
  <c r="DY28" i="82" s="1"/>
  <c r="AB28" i="82"/>
  <c r="W28" i="82"/>
  <c r="Y28" i="82" s="1"/>
  <c r="R28" i="82"/>
  <c r="J28" i="82"/>
  <c r="D28" i="82"/>
  <c r="C28" i="82"/>
  <c r="E28" i="82" s="1"/>
  <c r="DY27" i="82"/>
  <c r="DU27" i="82"/>
  <c r="DP27" i="82"/>
  <c r="DK27" i="82"/>
  <c r="DF27" i="82"/>
  <c r="DA27" i="82"/>
  <c r="CV27" i="82"/>
  <c r="CQ27" i="82"/>
  <c r="CL27" i="82"/>
  <c r="CG27" i="82"/>
  <c r="CB27" i="82"/>
  <c r="BW27" i="82"/>
  <c r="BR27" i="82"/>
  <c r="BL27" i="82"/>
  <c r="BK27" i="82"/>
  <c r="BC27" i="82"/>
  <c r="AX27" i="82"/>
  <c r="AS27" i="82"/>
  <c r="AN27" i="82"/>
  <c r="AI27" i="82"/>
  <c r="AD27" i="82"/>
  <c r="W27" i="82"/>
  <c r="Y27" i="82" s="1"/>
  <c r="R27" i="82"/>
  <c r="J27" i="82"/>
  <c r="C27" i="82"/>
  <c r="E27" i="82" s="1"/>
  <c r="DY26" i="82"/>
  <c r="DU26" i="82"/>
  <c r="DP26" i="82"/>
  <c r="DK26" i="82"/>
  <c r="DF26" i="82"/>
  <c r="DA26" i="82"/>
  <c r="CV26" i="82"/>
  <c r="CQ26" i="82"/>
  <c r="CL26" i="82"/>
  <c r="CG26" i="82"/>
  <c r="CB26" i="82"/>
  <c r="BW26" i="82"/>
  <c r="BR26" i="82"/>
  <c r="BL26" i="82"/>
  <c r="BK26" i="82"/>
  <c r="BA26" i="82"/>
  <c r="BC26" i="82" s="1"/>
  <c r="AX26" i="82"/>
  <c r="AQ26" i="82"/>
  <c r="AS26" i="82" s="1"/>
  <c r="AL26" i="82"/>
  <c r="AN26" i="82" s="1"/>
  <c r="AG26" i="82"/>
  <c r="AI26" i="82" s="1"/>
  <c r="AB26" i="82"/>
  <c r="AD26" i="82" s="1"/>
  <c r="W26" i="82"/>
  <c r="Y26" i="82" s="1"/>
  <c r="R26" i="82"/>
  <c r="J26" i="82"/>
  <c r="E26" i="82"/>
  <c r="DY25" i="82"/>
  <c r="DU25" i="82"/>
  <c r="DP25" i="82"/>
  <c r="DK25" i="82"/>
  <c r="DF25" i="82"/>
  <c r="DA25" i="82"/>
  <c r="CV25" i="82"/>
  <c r="CQ25" i="82"/>
  <c r="CL25" i="82"/>
  <c r="CG25" i="82"/>
  <c r="CB25" i="82"/>
  <c r="BW25" i="82"/>
  <c r="BR25" i="82"/>
  <c r="BL25" i="82"/>
  <c r="BK25" i="82"/>
  <c r="BC25" i="82"/>
  <c r="AX25" i="82"/>
  <c r="AS25" i="82"/>
  <c r="AL25" i="82"/>
  <c r="AN25" i="82" s="1"/>
  <c r="AG25" i="82"/>
  <c r="AD25" i="82"/>
  <c r="Y25" i="82"/>
  <c r="T25" i="82"/>
  <c r="J25" i="82"/>
  <c r="C25" i="82"/>
  <c r="E25" i="82" s="1"/>
  <c r="DY24" i="82"/>
  <c r="DU24" i="82"/>
  <c r="DP24" i="82"/>
  <c r="DK24" i="82"/>
  <c r="DF24" i="82"/>
  <c r="DA24" i="82"/>
  <c r="CV24" i="82"/>
  <c r="CQ24" i="82"/>
  <c r="CL24" i="82"/>
  <c r="CG24" i="82"/>
  <c r="CB24" i="82"/>
  <c r="BW24" i="82"/>
  <c r="BR24" i="82"/>
  <c r="BL24" i="82"/>
  <c r="BK24" i="82"/>
  <c r="BC24" i="82"/>
  <c r="AX24" i="82"/>
  <c r="AS24" i="82"/>
  <c r="AN24" i="82"/>
  <c r="AI24" i="82"/>
  <c r="AG24" i="82"/>
  <c r="AB24" i="82"/>
  <c r="AD24" i="82" s="1"/>
  <c r="W24" i="82"/>
  <c r="Y24" i="82" s="1"/>
  <c r="T24" i="82"/>
  <c r="J24" i="82"/>
  <c r="E24" i="82"/>
  <c r="DY23" i="82"/>
  <c r="DX23" i="82"/>
  <c r="DU23" i="82"/>
  <c r="DP23" i="82"/>
  <c r="DK23" i="82"/>
  <c r="DF23" i="82"/>
  <c r="DA23" i="82"/>
  <c r="CV23" i="82"/>
  <c r="CQ23" i="82"/>
  <c r="CL23" i="82"/>
  <c r="CG23" i="82"/>
  <c r="CB23" i="82"/>
  <c r="BW23" i="82"/>
  <c r="BR23" i="82"/>
  <c r="BL23" i="82"/>
  <c r="BK23" i="82"/>
  <c r="BC23" i="82"/>
  <c r="AX23" i="82"/>
  <c r="AS23" i="82"/>
  <c r="AN23" i="82"/>
  <c r="AI23" i="82"/>
  <c r="AD23" i="82"/>
  <c r="Y23" i="82"/>
  <c r="T23" i="82"/>
  <c r="EE22" i="82"/>
  <c r="DY22" i="82"/>
  <c r="DU22" i="82"/>
  <c r="DP22" i="82"/>
  <c r="DK22" i="82"/>
  <c r="DF22" i="82"/>
  <c r="DA22" i="82"/>
  <c r="CV22" i="82"/>
  <c r="CQ22" i="82"/>
  <c r="CL22" i="82"/>
  <c r="CG22" i="82"/>
  <c r="CB22" i="82"/>
  <c r="BW22" i="82"/>
  <c r="BR22" i="82"/>
  <c r="BL22" i="82"/>
  <c r="BK22" i="82"/>
  <c r="BC22" i="82"/>
  <c r="AX22" i="82"/>
  <c r="AQ22" i="82"/>
  <c r="DX22" i="82" s="1"/>
  <c r="AN22" i="82"/>
  <c r="AI22" i="82"/>
  <c r="AD22" i="82"/>
  <c r="Y22" i="82"/>
  <c r="W22" i="82"/>
  <c r="T22" i="82"/>
  <c r="EF21" i="82"/>
  <c r="DY21" i="82"/>
  <c r="DX21" i="82"/>
  <c r="DU21" i="82"/>
  <c r="DP21" i="82"/>
  <c r="DK21" i="82"/>
  <c r="DF21" i="82"/>
  <c r="DA21" i="82"/>
  <c r="CV21" i="82"/>
  <c r="CQ21" i="82"/>
  <c r="CL21" i="82"/>
  <c r="CG21" i="82"/>
  <c r="CB21" i="82"/>
  <c r="BW21" i="82"/>
  <c r="BR21" i="82"/>
  <c r="BL21" i="82"/>
  <c r="BK21" i="82"/>
  <c r="BM21" i="82" s="1"/>
  <c r="BC21" i="82"/>
  <c r="AX21" i="82"/>
  <c r="AS21" i="82"/>
  <c r="AN21" i="82"/>
  <c r="AI21" i="82"/>
  <c r="AD21" i="82"/>
  <c r="Y21" i="82"/>
  <c r="T21" i="82"/>
  <c r="J21" i="82"/>
  <c r="E21" i="82"/>
  <c r="DY20" i="82"/>
  <c r="DX20" i="82"/>
  <c r="DU20" i="82"/>
  <c r="DP20" i="82"/>
  <c r="DK20" i="82"/>
  <c r="DF20" i="82"/>
  <c r="DA20" i="82"/>
  <c r="CV20" i="82"/>
  <c r="CQ20" i="82"/>
  <c r="CL20" i="82"/>
  <c r="CG20" i="82"/>
  <c r="CB20" i="82"/>
  <c r="BW20" i="82"/>
  <c r="BR20" i="82"/>
  <c r="BL20" i="82"/>
  <c r="BK20" i="82"/>
  <c r="BM20" i="82" s="1"/>
  <c r="BC20" i="82"/>
  <c r="AX20" i="82"/>
  <c r="AS20" i="82"/>
  <c r="AN20" i="82"/>
  <c r="AI20" i="82"/>
  <c r="AD20" i="82"/>
  <c r="Y20" i="82"/>
  <c r="T20" i="82"/>
  <c r="J20" i="82"/>
  <c r="E20" i="82"/>
  <c r="DX19" i="82"/>
  <c r="DU19" i="82"/>
  <c r="DP19" i="82"/>
  <c r="DK19" i="82"/>
  <c r="DF19" i="82"/>
  <c r="DA19" i="82"/>
  <c r="CV19" i="82"/>
  <c r="CQ19" i="82"/>
  <c r="CL19" i="82"/>
  <c r="CG19" i="82"/>
  <c r="CB19" i="82"/>
  <c r="BW19" i="82"/>
  <c r="BR19" i="82"/>
  <c r="BL19" i="82"/>
  <c r="BK19" i="82"/>
  <c r="BB19" i="82"/>
  <c r="BC19" i="82" s="1"/>
  <c r="AX19" i="82"/>
  <c r="AS19" i="82"/>
  <c r="AN19" i="82"/>
  <c r="AI19" i="82"/>
  <c r="AD19" i="82"/>
  <c r="Y19" i="82"/>
  <c r="T19" i="82"/>
  <c r="J19" i="82"/>
  <c r="C19" i="82"/>
  <c r="E19" i="82" s="1"/>
  <c r="DX18" i="82"/>
  <c r="DU18" i="82"/>
  <c r="DP18" i="82"/>
  <c r="DK18" i="82"/>
  <c r="DF18" i="82"/>
  <c r="DA18" i="82"/>
  <c r="CV18" i="82"/>
  <c r="CQ18" i="82"/>
  <c r="CL18" i="82"/>
  <c r="CG18" i="82"/>
  <c r="CB18" i="82"/>
  <c r="BW18" i="82"/>
  <c r="BR18" i="82"/>
  <c r="BL18" i="82"/>
  <c r="BK18" i="82"/>
  <c r="BB18" i="82"/>
  <c r="BC18" i="82" s="1"/>
  <c r="AX18" i="82"/>
  <c r="AS18" i="82"/>
  <c r="AM18" i="82"/>
  <c r="AN18" i="82" s="1"/>
  <c r="AH18" i="82"/>
  <c r="AD18" i="82"/>
  <c r="Y18" i="82"/>
  <c r="T18" i="82"/>
  <c r="J18" i="82"/>
  <c r="E18" i="82"/>
  <c r="DY17" i="82"/>
  <c r="DX17" i="82"/>
  <c r="DU17" i="82"/>
  <c r="DP17" i="82"/>
  <c r="DK17" i="82"/>
  <c r="DF17" i="82"/>
  <c r="DA17" i="82"/>
  <c r="CV17" i="82"/>
  <c r="CQ17" i="82"/>
  <c r="CL17" i="82"/>
  <c r="CG17" i="82"/>
  <c r="CB17" i="82"/>
  <c r="BW17" i="82"/>
  <c r="BR17" i="82"/>
  <c r="BL17" i="82"/>
  <c r="BK17" i="82"/>
  <c r="BM17" i="82" s="1"/>
  <c r="EE17" i="82" s="1"/>
  <c r="BC17" i="82"/>
  <c r="AX17" i="82"/>
  <c r="AS17" i="82"/>
  <c r="AN17" i="82"/>
  <c r="AI17" i="82"/>
  <c r="AD17" i="82"/>
  <c r="Y17" i="82"/>
  <c r="T17" i="82"/>
  <c r="J17" i="82"/>
  <c r="E17" i="82"/>
  <c r="DX16" i="82"/>
  <c r="DU16" i="82"/>
  <c r="DP16" i="82"/>
  <c r="DK16" i="82"/>
  <c r="DF16" i="82"/>
  <c r="DA16" i="82"/>
  <c r="CV16" i="82"/>
  <c r="CQ16" i="82"/>
  <c r="CL16" i="82"/>
  <c r="CG16" i="82"/>
  <c r="CB16" i="82"/>
  <c r="BW16" i="82"/>
  <c r="BR16" i="82"/>
  <c r="BM16" i="82"/>
  <c r="EE16" i="82" s="1"/>
  <c r="BL16" i="82"/>
  <c r="BK16" i="82"/>
  <c r="BC16" i="82"/>
  <c r="AX16" i="82"/>
  <c r="AR16" i="82"/>
  <c r="AS16" i="82" s="1"/>
  <c r="AM16" i="82"/>
  <c r="AN16" i="82" s="1"/>
  <c r="AH16" i="82"/>
  <c r="AI16" i="82" s="1"/>
  <c r="AC16" i="82"/>
  <c r="AD16" i="82" s="1"/>
  <c r="X16" i="82"/>
  <c r="Y16" i="82" s="1"/>
  <c r="S16" i="82"/>
  <c r="J16" i="82"/>
  <c r="E16" i="82"/>
  <c r="DY15" i="82"/>
  <c r="DX15" i="82"/>
  <c r="DU15" i="82"/>
  <c r="DP15" i="82"/>
  <c r="DK15" i="82"/>
  <c r="DF15" i="82"/>
  <c r="DA15" i="82"/>
  <c r="CV15" i="82"/>
  <c r="CQ15" i="82"/>
  <c r="CL15" i="82"/>
  <c r="CG15" i="82"/>
  <c r="CB15" i="82"/>
  <c r="BW15" i="82"/>
  <c r="BR15" i="82"/>
  <c r="BL15" i="82"/>
  <c r="BK15" i="82"/>
  <c r="BC15" i="82"/>
  <c r="AX15" i="82"/>
  <c r="AS15" i="82"/>
  <c r="AN15" i="82"/>
  <c r="AI15" i="82"/>
  <c r="AD15" i="82"/>
  <c r="Y15" i="82"/>
  <c r="T15" i="82"/>
  <c r="J15" i="82"/>
  <c r="E15" i="82"/>
  <c r="DY14" i="82"/>
  <c r="DU14" i="82"/>
  <c r="DP14" i="82"/>
  <c r="DK14" i="82"/>
  <c r="DF14" i="82"/>
  <c r="DA14" i="82"/>
  <c r="CV14" i="82"/>
  <c r="CQ14" i="82"/>
  <c r="CL14" i="82"/>
  <c r="CG14" i="82"/>
  <c r="CB14" i="82"/>
  <c r="BW14" i="82"/>
  <c r="BR14" i="82"/>
  <c r="BL14" i="82"/>
  <c r="BK14" i="82"/>
  <c r="BC14" i="82"/>
  <c r="AX14" i="82"/>
  <c r="AS14" i="82"/>
  <c r="AN14" i="82"/>
  <c r="AI14" i="82"/>
  <c r="AG14" i="82"/>
  <c r="DX14" i="82" s="1"/>
  <c r="DZ14" i="82" s="1"/>
  <c r="AD14" i="82"/>
  <c r="Y14" i="82"/>
  <c r="T14" i="82"/>
  <c r="J14" i="82"/>
  <c r="E14" i="82"/>
  <c r="DY13" i="82"/>
  <c r="DU13" i="82"/>
  <c r="DP13" i="82"/>
  <c r="DK13" i="82"/>
  <c r="DF13" i="82"/>
  <c r="DA13" i="82"/>
  <c r="CV13" i="82"/>
  <c r="CQ13" i="82"/>
  <c r="CL13" i="82"/>
  <c r="CG13" i="82"/>
  <c r="CB13" i="82"/>
  <c r="BW13" i="82"/>
  <c r="BR13" i="82"/>
  <c r="BL13" i="82"/>
  <c r="BK13" i="82"/>
  <c r="BC13" i="82"/>
  <c r="AX13" i="82"/>
  <c r="AS13" i="82"/>
  <c r="AN13" i="82"/>
  <c r="AI13" i="82"/>
  <c r="AG13" i="82"/>
  <c r="DX13" i="82" s="1"/>
  <c r="DZ13" i="82" s="1"/>
  <c r="AD13" i="82"/>
  <c r="Y13" i="82"/>
  <c r="T13" i="82"/>
  <c r="J13" i="82"/>
  <c r="E13" i="82"/>
  <c r="DU12" i="82"/>
  <c r="DP12" i="82"/>
  <c r="DK12" i="82"/>
  <c r="DF12" i="82"/>
  <c r="DA12" i="82"/>
  <c r="CV12" i="82"/>
  <c r="CQ12" i="82"/>
  <c r="CL12" i="82"/>
  <c r="CG12" i="82"/>
  <c r="CB12" i="82"/>
  <c r="BW12" i="82"/>
  <c r="BR12" i="82"/>
  <c r="BL12" i="82"/>
  <c r="BK12" i="82"/>
  <c r="BC12" i="82"/>
  <c r="AX12" i="82"/>
  <c r="AS12" i="82"/>
  <c r="AN12" i="82"/>
  <c r="AG12" i="82"/>
  <c r="AI12" i="82" s="1"/>
  <c r="AD12" i="82"/>
  <c r="Y12" i="82"/>
  <c r="S12" i="82"/>
  <c r="J12" i="82"/>
  <c r="E12" i="82"/>
  <c r="DY11" i="82"/>
  <c r="DX11" i="82"/>
  <c r="DU11" i="82"/>
  <c r="DP11" i="82"/>
  <c r="DK11" i="82"/>
  <c r="DF11" i="82"/>
  <c r="DA11" i="82"/>
  <c r="CV11" i="82"/>
  <c r="CQ11" i="82"/>
  <c r="CL11" i="82"/>
  <c r="CG11" i="82"/>
  <c r="CB11" i="82"/>
  <c r="BW11" i="82"/>
  <c r="BR11" i="82"/>
  <c r="BL11" i="82"/>
  <c r="BK11" i="82"/>
  <c r="BC11" i="82"/>
  <c r="AX11" i="82"/>
  <c r="AS11" i="82"/>
  <c r="AN11" i="82"/>
  <c r="AI11" i="82"/>
  <c r="AD11" i="82"/>
  <c r="Y11" i="82"/>
  <c r="T11" i="82"/>
  <c r="J11" i="82"/>
  <c r="E11" i="82"/>
  <c r="DY10" i="82"/>
  <c r="DX10" i="82"/>
  <c r="DU10" i="82"/>
  <c r="DP10" i="82"/>
  <c r="DK10" i="82"/>
  <c r="DF10" i="82"/>
  <c r="DA10" i="82"/>
  <c r="CV10" i="82"/>
  <c r="CQ10" i="82"/>
  <c r="CL10" i="82"/>
  <c r="CG10" i="82"/>
  <c r="CB10" i="82"/>
  <c r="BW10" i="82"/>
  <c r="BR10" i="82"/>
  <c r="BL10" i="82"/>
  <c r="BK10" i="82"/>
  <c r="BM10" i="82" s="1"/>
  <c r="BC10" i="82"/>
  <c r="AX10" i="82"/>
  <c r="AS10" i="82"/>
  <c r="AN10" i="82"/>
  <c r="AI10" i="82"/>
  <c r="AD10" i="82"/>
  <c r="Y10" i="82"/>
  <c r="T10" i="82"/>
  <c r="J10" i="82"/>
  <c r="E10" i="82"/>
  <c r="DX9" i="82"/>
  <c r="DU9" i="82"/>
  <c r="DP9" i="82"/>
  <c r="DK9" i="82"/>
  <c r="DF9" i="82"/>
  <c r="DA9" i="82"/>
  <c r="CV9" i="82"/>
  <c r="CQ9" i="82"/>
  <c r="CL9" i="82"/>
  <c r="CG9" i="82"/>
  <c r="CB9" i="82"/>
  <c r="BW9" i="82"/>
  <c r="BR9" i="82"/>
  <c r="BL9" i="82"/>
  <c r="BM9" i="82" s="1"/>
  <c r="BK9" i="82"/>
  <c r="BC9" i="82"/>
  <c r="AX9" i="82"/>
  <c r="AS9" i="82"/>
  <c r="AN9" i="82"/>
  <c r="AI9" i="82"/>
  <c r="AD9" i="82"/>
  <c r="X9" i="82"/>
  <c r="Y9" i="82" s="1"/>
  <c r="S9" i="82"/>
  <c r="T9" i="82" s="1"/>
  <c r="J9" i="82"/>
  <c r="E9" i="82"/>
  <c r="ED8" i="82"/>
  <c r="DT8" i="82"/>
  <c r="DS8" i="82"/>
  <c r="DO8" i="82"/>
  <c r="DN8" i="82"/>
  <c r="DJ8" i="82"/>
  <c r="DI8" i="82"/>
  <c r="DE8" i="82"/>
  <c r="DD8" i="82"/>
  <c r="CZ8" i="82"/>
  <c r="CY8" i="82"/>
  <c r="CU8" i="82"/>
  <c r="CT8" i="82"/>
  <c r="CP8" i="82"/>
  <c r="CO8" i="82"/>
  <c r="CK8" i="82"/>
  <c r="CJ8" i="82"/>
  <c r="CF8" i="82"/>
  <c r="CE8" i="82"/>
  <c r="CA8" i="82"/>
  <c r="BZ8" i="82"/>
  <c r="BV8" i="82"/>
  <c r="BU8" i="82"/>
  <c r="BQ8" i="82"/>
  <c r="BP8" i="82"/>
  <c r="AW8" i="82"/>
  <c r="AV8" i="82"/>
  <c r="AR8" i="82"/>
  <c r="AM8" i="82"/>
  <c r="AC8" i="82"/>
  <c r="AD79" i="82" s="1"/>
  <c r="R8" i="82"/>
  <c r="I8" i="82"/>
  <c r="J79" i="82" s="1"/>
  <c r="H79" i="82" s="1"/>
  <c r="H77" i="82" s="1"/>
  <c r="H8" i="82"/>
  <c r="D8" i="82"/>
  <c r="E79" i="82" s="1"/>
  <c r="E77" i="82" s="1"/>
  <c r="DY7" i="82"/>
  <c r="DU7" i="82"/>
  <c r="DP7" i="82"/>
  <c r="DK7" i="82"/>
  <c r="DF7" i="82"/>
  <c r="DA7" i="82"/>
  <c r="CV7" i="82"/>
  <c r="CQ7" i="82"/>
  <c r="CL7" i="82"/>
  <c r="CG7" i="82"/>
  <c r="CB7" i="82"/>
  <c r="BW7" i="82"/>
  <c r="BR7" i="82"/>
  <c r="BL7" i="82"/>
  <c r="BK7" i="82"/>
  <c r="BC7" i="82"/>
  <c r="BA7" i="82"/>
  <c r="DX7" i="82" s="1"/>
  <c r="DZ7" i="82" s="1"/>
  <c r="AX7" i="82"/>
  <c r="AS7" i="82"/>
  <c r="AN7" i="82"/>
  <c r="AI7" i="82"/>
  <c r="AD7" i="82"/>
  <c r="Y7" i="82"/>
  <c r="T7" i="82"/>
  <c r="J7" i="82"/>
  <c r="E7" i="82"/>
  <c r="DY6" i="82"/>
  <c r="DU6" i="82"/>
  <c r="DP6" i="82"/>
  <c r="DP5" i="82" s="1"/>
  <c r="DK6" i="82"/>
  <c r="DF6" i="82"/>
  <c r="DF5" i="82" s="1"/>
  <c r="DA6" i="82"/>
  <c r="CV6" i="82"/>
  <c r="CV5" i="82" s="1"/>
  <c r="CQ6" i="82"/>
  <c r="CL6" i="82"/>
  <c r="CL5" i="82" s="1"/>
  <c r="CG6" i="82"/>
  <c r="CB6" i="82"/>
  <c r="BW6" i="82"/>
  <c r="BR6" i="82"/>
  <c r="BR5" i="82" s="1"/>
  <c r="BL6" i="82"/>
  <c r="BK6" i="82"/>
  <c r="BA6" i="82"/>
  <c r="BC6" i="82" s="1"/>
  <c r="BC5" i="82" s="1"/>
  <c r="AX6" i="82"/>
  <c r="AQ6" i="82"/>
  <c r="AS6" i="82" s="1"/>
  <c r="AS5" i="82" s="1"/>
  <c r="AL6" i="82"/>
  <c r="AN6" i="82" s="1"/>
  <c r="AN5" i="82" s="1"/>
  <c r="AG6" i="82"/>
  <c r="AI6" i="82" s="1"/>
  <c r="AI5" i="82" s="1"/>
  <c r="AB6" i="82"/>
  <c r="W6" i="82"/>
  <c r="Y6" i="82" s="1"/>
  <c r="Y5" i="82" s="1"/>
  <c r="T6" i="82"/>
  <c r="T5" i="82" s="1"/>
  <c r="J6" i="82"/>
  <c r="J5" i="82" s="1"/>
  <c r="E6" i="82"/>
  <c r="ED5" i="82"/>
  <c r="DT5" i="82"/>
  <c r="DT38" i="82" s="1"/>
  <c r="DS5" i="82"/>
  <c r="DS38" i="82" s="1"/>
  <c r="DO5" i="82"/>
  <c r="DN5" i="82"/>
  <c r="DJ5" i="82"/>
  <c r="DJ38" i="82" s="1"/>
  <c r="DI5" i="82"/>
  <c r="DE5" i="82"/>
  <c r="DD5" i="82"/>
  <c r="CZ5" i="82"/>
  <c r="CZ38" i="82" s="1"/>
  <c r="CY5" i="82"/>
  <c r="CY38" i="82" s="1"/>
  <c r="CY75" i="82" s="1"/>
  <c r="CU5" i="82"/>
  <c r="CU38" i="82" s="1"/>
  <c r="CT5" i="82"/>
  <c r="CP5" i="82"/>
  <c r="CP38" i="82" s="1"/>
  <c r="CO5" i="82"/>
  <c r="CO38" i="82" s="1"/>
  <c r="CK5" i="82"/>
  <c r="CJ5" i="82"/>
  <c r="CF5" i="82"/>
  <c r="CF38" i="82" s="1"/>
  <c r="CE5" i="82"/>
  <c r="CB5" i="82"/>
  <c r="CA5" i="82"/>
  <c r="BZ5" i="82"/>
  <c r="BV5" i="82"/>
  <c r="BV38" i="82" s="1"/>
  <c r="BU5" i="82"/>
  <c r="BQ5" i="82"/>
  <c r="BQ38" i="82" s="1"/>
  <c r="BP5" i="82"/>
  <c r="BB5" i="82"/>
  <c r="AW5" i="82"/>
  <c r="AW38" i="82" s="1"/>
  <c r="AV5" i="82"/>
  <c r="AR5" i="82"/>
  <c r="AM5" i="82"/>
  <c r="AM38" i="82" s="1"/>
  <c r="AH5" i="82"/>
  <c r="AC5" i="82"/>
  <c r="X5" i="82"/>
  <c r="S5" i="82"/>
  <c r="R5" i="82"/>
  <c r="I5" i="82"/>
  <c r="I38" i="82" s="1"/>
  <c r="H5" i="82"/>
  <c r="H38" i="82" s="1"/>
  <c r="E5" i="82"/>
  <c r="D5" i="82"/>
  <c r="C5" i="82"/>
  <c r="AC38" i="82" l="1"/>
  <c r="BP38" i="82"/>
  <c r="BZ38" i="82"/>
  <c r="AH8" i="82"/>
  <c r="AX8" i="82"/>
  <c r="BM13" i="82"/>
  <c r="DZ23" i="82"/>
  <c r="DX26" i="82"/>
  <c r="BM26" i="82"/>
  <c r="DX28" i="82"/>
  <c r="DZ28" i="82" s="1"/>
  <c r="AI28" i="82"/>
  <c r="CV35" i="82"/>
  <c r="DZ59" i="82"/>
  <c r="BM61" i="82"/>
  <c r="EE61" i="82" s="1"/>
  <c r="BM65" i="82"/>
  <c r="BM67" i="82"/>
  <c r="BM69" i="82"/>
  <c r="BM70" i="82"/>
  <c r="BM78" i="82"/>
  <c r="AH38" i="82"/>
  <c r="CJ38" i="82"/>
  <c r="CT38" i="82"/>
  <c r="DD38" i="82"/>
  <c r="DN38" i="82"/>
  <c r="ED38" i="82"/>
  <c r="DA5" i="82"/>
  <c r="CQ5" i="82"/>
  <c r="DK5" i="82"/>
  <c r="W8" i="82"/>
  <c r="AL8" i="82"/>
  <c r="DX27" i="82"/>
  <c r="DZ27" i="82" s="1"/>
  <c r="DZ33" i="82"/>
  <c r="BK35" i="82"/>
  <c r="CQ35" i="82"/>
  <c r="DA35" i="82"/>
  <c r="DK35" i="82"/>
  <c r="DU35" i="82"/>
  <c r="DZ68" i="82"/>
  <c r="BM68" i="82"/>
  <c r="W5" i="82"/>
  <c r="W38" i="82" s="1"/>
  <c r="BA5" i="82"/>
  <c r="BU38" i="82"/>
  <c r="BU75" i="82" s="1"/>
  <c r="BK5" i="82"/>
  <c r="X8" i="82"/>
  <c r="BA8" i="82"/>
  <c r="DZ10" i="82"/>
  <c r="BM14" i="82"/>
  <c r="DZ17" i="82"/>
  <c r="BM18" i="82"/>
  <c r="EE18" i="82" s="1"/>
  <c r="DZ21" i="82"/>
  <c r="BM24" i="82"/>
  <c r="EE24" i="82" s="1"/>
  <c r="T27" i="82"/>
  <c r="BM27" i="82"/>
  <c r="EE27" i="82" s="1"/>
  <c r="BM29" i="82"/>
  <c r="BM32" i="82"/>
  <c r="BM46" i="82"/>
  <c r="EE46" i="82" s="1"/>
  <c r="Y41" i="82"/>
  <c r="T54" i="82"/>
  <c r="BM55" i="82"/>
  <c r="DP54" i="82"/>
  <c r="DZ65" i="82"/>
  <c r="BM66" i="82"/>
  <c r="EE66" i="82" s="1"/>
  <c r="DZ70" i="82"/>
  <c r="X38" i="82"/>
  <c r="BM42" i="82"/>
  <c r="CG41" i="82"/>
  <c r="BM44" i="82"/>
  <c r="E50" i="82"/>
  <c r="AD50" i="82"/>
  <c r="DX62" i="82"/>
  <c r="DZ62" i="82" s="1"/>
  <c r="BM73" i="82"/>
  <c r="EE74" i="82"/>
  <c r="EE73" i="82" s="1"/>
  <c r="AB8" i="82"/>
  <c r="BM30" i="82"/>
  <c r="BM47" i="82"/>
  <c r="DX55" i="82"/>
  <c r="DZ55" i="82" s="1"/>
  <c r="BM56" i="82"/>
  <c r="EE56" i="82" s="1"/>
  <c r="DX57" i="82"/>
  <c r="DZ57" i="82" s="1"/>
  <c r="BL54" i="82"/>
  <c r="DZ78" i="82"/>
  <c r="BW5" i="82"/>
  <c r="BM7" i="82"/>
  <c r="DY9" i="82"/>
  <c r="BM11" i="82"/>
  <c r="EE11" i="82" s="1"/>
  <c r="DX12" i="82"/>
  <c r="BM15" i="82"/>
  <c r="DY19" i="82"/>
  <c r="DZ19" i="82" s="1"/>
  <c r="T26" i="82"/>
  <c r="T28" i="82"/>
  <c r="DF35" i="82"/>
  <c r="DX36" i="82"/>
  <c r="DK41" i="82"/>
  <c r="BM45" i="82"/>
  <c r="DX50" i="82"/>
  <c r="CQ50" i="82"/>
  <c r="BM60" i="82"/>
  <c r="DX67" i="82"/>
  <c r="DZ71" i="82"/>
  <c r="DZ85" i="82"/>
  <c r="CG5" i="82"/>
  <c r="DU5" i="82"/>
  <c r="DZ11" i="82"/>
  <c r="DZ15" i="82"/>
  <c r="BM19" i="82"/>
  <c r="DZ20" i="82"/>
  <c r="DX24" i="82"/>
  <c r="DZ24" i="82" s="1"/>
  <c r="BM31" i="82"/>
  <c r="DU41" i="82"/>
  <c r="BM6" i="82"/>
  <c r="BM5" i="82" s="1"/>
  <c r="DY5" i="82"/>
  <c r="BM12" i="82"/>
  <c r="DZ22" i="82"/>
  <c r="BM25" i="82"/>
  <c r="EE25" i="82" s="1"/>
  <c r="DX47" i="82"/>
  <c r="DZ47" i="82" s="1"/>
  <c r="BK50" i="82"/>
  <c r="DZ60" i="82"/>
  <c r="BL77" i="82"/>
  <c r="EE12" i="82"/>
  <c r="DN75" i="82"/>
  <c r="DN39" i="82"/>
  <c r="EE13" i="82"/>
  <c r="EE19" i="82"/>
  <c r="EE26" i="82"/>
  <c r="H75" i="82"/>
  <c r="H39" i="82"/>
  <c r="AC75" i="82"/>
  <c r="AC39" i="82"/>
  <c r="BL5" i="82"/>
  <c r="DD75" i="82"/>
  <c r="DD39" i="82"/>
  <c r="EE6" i="82"/>
  <c r="J8" i="82"/>
  <c r="DY12" i="82"/>
  <c r="DZ12" i="82" s="1"/>
  <c r="S8" i="82"/>
  <c r="S38" i="82" s="1"/>
  <c r="T12" i="82"/>
  <c r="EE15" i="82"/>
  <c r="EE32" i="82"/>
  <c r="BZ75" i="82"/>
  <c r="BZ39" i="82"/>
  <c r="I75" i="82"/>
  <c r="I39" i="82"/>
  <c r="AG5" i="82"/>
  <c r="AW75" i="82"/>
  <c r="AW39" i="82"/>
  <c r="BP75" i="82"/>
  <c r="BP39" i="82"/>
  <c r="CP75" i="82"/>
  <c r="CP39" i="82"/>
  <c r="DS75" i="82"/>
  <c r="DS39" i="82"/>
  <c r="J38" i="82"/>
  <c r="DX6" i="82"/>
  <c r="BW8" i="82"/>
  <c r="DA8" i="82"/>
  <c r="DA38" i="82" s="1"/>
  <c r="X75" i="82"/>
  <c r="X39" i="82"/>
  <c r="EE9" i="82"/>
  <c r="BM8" i="82"/>
  <c r="AH75" i="82"/>
  <c r="AH39" i="82"/>
  <c r="BQ75" i="82"/>
  <c r="BQ39" i="82"/>
  <c r="CT75" i="82"/>
  <c r="CT39" i="82"/>
  <c r="DT75" i="82"/>
  <c r="DT39" i="82"/>
  <c r="AX5" i="82"/>
  <c r="BW38" i="82"/>
  <c r="AN8" i="82"/>
  <c r="EE30" i="82"/>
  <c r="CZ75" i="82"/>
  <c r="CZ39" i="82"/>
  <c r="EE14" i="82"/>
  <c r="AM75" i="82"/>
  <c r="AM39" i="82"/>
  <c r="CF75" i="82"/>
  <c r="CF39" i="82"/>
  <c r="CU75" i="82"/>
  <c r="CU39" i="82"/>
  <c r="AD77" i="82"/>
  <c r="AB79" i="82"/>
  <c r="AB77" i="82" s="1"/>
  <c r="BB8" i="82"/>
  <c r="DZ9" i="82"/>
  <c r="EE10" i="82"/>
  <c r="DX25" i="82"/>
  <c r="DZ25" i="82" s="1"/>
  <c r="AI25" i="82"/>
  <c r="AG8" i="82"/>
  <c r="DZ26" i="82"/>
  <c r="D38" i="82"/>
  <c r="W75" i="82"/>
  <c r="W39" i="82"/>
  <c r="AQ5" i="82"/>
  <c r="BV75" i="82"/>
  <c r="BV39" i="82"/>
  <c r="CJ75" i="82"/>
  <c r="CJ39" i="82"/>
  <c r="DJ75" i="82"/>
  <c r="DJ39" i="82"/>
  <c r="AB5" i="82"/>
  <c r="AB38" i="82" s="1"/>
  <c r="AD6" i="82"/>
  <c r="AD5" i="82" s="1"/>
  <c r="BL8" i="82"/>
  <c r="BK8" i="82"/>
  <c r="BK38" i="82" s="1"/>
  <c r="CL8" i="82"/>
  <c r="DP8" i="82"/>
  <c r="E8" i="82"/>
  <c r="DY16" i="82"/>
  <c r="T16" i="82"/>
  <c r="DX35" i="82"/>
  <c r="DZ36" i="82"/>
  <c r="DZ50" i="82"/>
  <c r="E54" i="82"/>
  <c r="EE60" i="82"/>
  <c r="E38" i="82"/>
  <c r="C8" i="82"/>
  <c r="C38" i="82" s="1"/>
  <c r="CB8" i="82"/>
  <c r="CQ8" i="82"/>
  <c r="CQ38" i="82" s="1"/>
  <c r="DF8" i="82"/>
  <c r="DF38" i="82" s="1"/>
  <c r="DU8" i="82"/>
  <c r="DU38" i="82" s="1"/>
  <c r="EE21" i="82"/>
  <c r="CG35" i="82"/>
  <c r="AS35" i="82"/>
  <c r="AX41" i="82"/>
  <c r="AR38" i="82"/>
  <c r="CA38" i="82"/>
  <c r="CK38" i="82"/>
  <c r="DE38" i="82"/>
  <c r="DO38" i="82"/>
  <c r="BC8" i="82"/>
  <c r="BC38" i="82" s="1"/>
  <c r="DX8" i="82"/>
  <c r="DY18" i="82"/>
  <c r="DZ18" i="82" s="1"/>
  <c r="DY30" i="82"/>
  <c r="Y30" i="82"/>
  <c r="Y8" i="82" s="1"/>
  <c r="Y38" i="82" s="1"/>
  <c r="BU39" i="82"/>
  <c r="J41" i="82"/>
  <c r="BR41" i="82"/>
  <c r="CV41" i="82"/>
  <c r="DZ42" i="82"/>
  <c r="DX41" i="82"/>
  <c r="BW41" i="82"/>
  <c r="DA41" i="82"/>
  <c r="EE57" i="82"/>
  <c r="AI18" i="82"/>
  <c r="AD28" i="82"/>
  <c r="AI41" i="82"/>
  <c r="DF41" i="82"/>
  <c r="DZ30" i="82"/>
  <c r="EE31" i="82"/>
  <c r="CO75" i="82"/>
  <c r="CO39" i="82"/>
  <c r="E41" i="82"/>
  <c r="AN41" i="82"/>
  <c r="EE42" i="82"/>
  <c r="CQ41" i="82"/>
  <c r="R38" i="82"/>
  <c r="AL5" i="82"/>
  <c r="AL38" i="82" s="1"/>
  <c r="AV38" i="82"/>
  <c r="BU76" i="82"/>
  <c r="CE38" i="82"/>
  <c r="CY76" i="82"/>
  <c r="DI38" i="82"/>
  <c r="ED75" i="82"/>
  <c r="ED39" i="82"/>
  <c r="AQ8" i="82"/>
  <c r="BR8" i="82"/>
  <c r="CG8" i="82"/>
  <c r="CV8" i="82"/>
  <c r="DK8" i="82"/>
  <c r="AS22" i="82"/>
  <c r="AS8" i="82" s="1"/>
  <c r="CY39" i="82"/>
  <c r="T41" i="82"/>
  <c r="EE45" i="82"/>
  <c r="Y35" i="82"/>
  <c r="CB35" i="82"/>
  <c r="EE47" i="82"/>
  <c r="BC54" i="82"/>
  <c r="EE36" i="82"/>
  <c r="EE35" i="82" s="1"/>
  <c r="BM43" i="82"/>
  <c r="BM41" i="82" s="1"/>
  <c r="BL41" i="82"/>
  <c r="EE44" i="82"/>
  <c r="DF50" i="82"/>
  <c r="E35" i="82"/>
  <c r="AL35" i="82"/>
  <c r="AX35" i="82"/>
  <c r="BM35" i="82"/>
  <c r="CB41" i="82"/>
  <c r="CL41" i="82"/>
  <c r="DP41" i="82"/>
  <c r="DY44" i="82"/>
  <c r="DZ44" i="82" s="1"/>
  <c r="AS44" i="82"/>
  <c r="DZ45" i="82"/>
  <c r="BO51" i="82"/>
  <c r="BO52" i="82"/>
  <c r="Y54" i="82"/>
  <c r="AI54" i="82"/>
  <c r="CV54" i="82"/>
  <c r="J54" i="82"/>
  <c r="AS54" i="82"/>
  <c r="AN64" i="82"/>
  <c r="AL54" i="82"/>
  <c r="EE51" i="82"/>
  <c r="EE50" i="82" s="1"/>
  <c r="EE55" i="82"/>
  <c r="CQ54" i="82"/>
  <c r="CG54" i="82"/>
  <c r="AD54" i="82"/>
  <c r="BM59" i="82"/>
  <c r="BK54" i="82"/>
  <c r="BR54" i="82"/>
  <c r="DK54" i="82"/>
  <c r="EE70" i="82"/>
  <c r="J77" i="82"/>
  <c r="AX54" i="82"/>
  <c r="EE58" i="82"/>
  <c r="CB54" i="82"/>
  <c r="DU54" i="82"/>
  <c r="EE62" i="82"/>
  <c r="DX64" i="82"/>
  <c r="DZ64" i="82" s="1"/>
  <c r="DY67" i="82"/>
  <c r="DY54" i="82" s="1"/>
  <c r="EE78" i="82"/>
  <c r="EE67" i="82"/>
  <c r="EE68" i="82"/>
  <c r="AN73" i="82"/>
  <c r="BM71" i="82"/>
  <c r="DX74" i="82"/>
  <c r="BM82" i="82"/>
  <c r="E73" i="82"/>
  <c r="DF98" i="82" l="1"/>
  <c r="BA38" i="82"/>
  <c r="AI8" i="82"/>
  <c r="AI38" i="82" s="1"/>
  <c r="DY8" i="82"/>
  <c r="DY38" i="82" s="1"/>
  <c r="CV98" i="82"/>
  <c r="DZ54" i="82"/>
  <c r="DZ67" i="82"/>
  <c r="EE7" i="82"/>
  <c r="EE5" i="82" s="1"/>
  <c r="BO7" i="82"/>
  <c r="AS38" i="82"/>
  <c r="AI75" i="82"/>
  <c r="AI39" i="82"/>
  <c r="Y75" i="82"/>
  <c r="Y39" i="82"/>
  <c r="BC75" i="82"/>
  <c r="BC39" i="82"/>
  <c r="DY39" i="82"/>
  <c r="CO76" i="82"/>
  <c r="AW76" i="82"/>
  <c r="AW81" i="82"/>
  <c r="AW83" i="82" s="1"/>
  <c r="AW84" i="82" s="1"/>
  <c r="AW86" i="82" s="1"/>
  <c r="AW87" i="82" s="1"/>
  <c r="DN81" i="82"/>
  <c r="DN83" i="82" s="1"/>
  <c r="DN84" i="82" s="1"/>
  <c r="DN86" i="82" s="1"/>
  <c r="DN87" i="82" s="1"/>
  <c r="DN76" i="82"/>
  <c r="AN54" i="82"/>
  <c r="DA98" i="82"/>
  <c r="EE43" i="82"/>
  <c r="ED76" i="82"/>
  <c r="ED81" i="82"/>
  <c r="ED83" i="82" s="1"/>
  <c r="ED84" i="82" s="1"/>
  <c r="ED86" i="82" s="1"/>
  <c r="DE75" i="82"/>
  <c r="DE39" i="82"/>
  <c r="E89" i="82"/>
  <c r="F8" i="82" s="1"/>
  <c r="CJ76" i="82"/>
  <c r="D75" i="82"/>
  <c r="D39" i="82"/>
  <c r="DZ16" i="82"/>
  <c r="DZ8" i="82" s="1"/>
  <c r="AM81" i="82"/>
  <c r="AM83" i="82" s="1"/>
  <c r="AM84" i="82" s="1"/>
  <c r="AM86" i="82" s="1"/>
  <c r="AM87" i="82" s="1"/>
  <c r="AM76" i="82"/>
  <c r="DA75" i="82"/>
  <c r="DA39" i="82"/>
  <c r="BQ81" i="82"/>
  <c r="BQ83" i="82" s="1"/>
  <c r="BQ84" i="82" s="1"/>
  <c r="BQ86" i="82" s="1"/>
  <c r="BQ87" i="82" s="1"/>
  <c r="BQ76" i="82"/>
  <c r="AG38" i="82"/>
  <c r="AN38" i="82"/>
  <c r="AC81" i="82"/>
  <c r="AC83" i="82" s="1"/>
  <c r="AC84" i="82" s="1"/>
  <c r="AC86" i="82" s="1"/>
  <c r="AC87" i="82" s="1"/>
  <c r="AC76" i="82"/>
  <c r="DY41" i="82"/>
  <c r="DY75" i="82" s="1"/>
  <c r="DI75" i="82"/>
  <c r="DI39" i="82"/>
  <c r="AV75" i="82"/>
  <c r="AV39" i="82"/>
  <c r="AS41" i="82"/>
  <c r="CK75" i="82"/>
  <c r="CK39" i="82"/>
  <c r="S75" i="82"/>
  <c r="S39" i="82"/>
  <c r="DZ6" i="82"/>
  <c r="DX5" i="82"/>
  <c r="CP81" i="82"/>
  <c r="CP83" i="82" s="1"/>
  <c r="CP84" i="82" s="1"/>
  <c r="CP86" i="82" s="1"/>
  <c r="CP87" i="82" s="1"/>
  <c r="CP76" i="82"/>
  <c r="DZ35" i="82"/>
  <c r="CQ75" i="82"/>
  <c r="CQ39" i="82"/>
  <c r="DS76" i="82"/>
  <c r="DZ74" i="82"/>
  <c r="DZ73" i="82" s="1"/>
  <c r="DX73" i="82"/>
  <c r="DX54" i="82"/>
  <c r="AL75" i="82"/>
  <c r="AL39" i="82"/>
  <c r="F41" i="82"/>
  <c r="DF75" i="82"/>
  <c r="DF39" i="82"/>
  <c r="DZ41" i="82"/>
  <c r="CA75" i="82"/>
  <c r="CA39" i="82"/>
  <c r="AB75" i="82"/>
  <c r="AB39" i="82"/>
  <c r="BV81" i="82"/>
  <c r="BV83" i="82" s="1"/>
  <c r="BV84" i="82" s="1"/>
  <c r="BV86" i="82" s="1"/>
  <c r="BV87" i="82" s="1"/>
  <c r="BV76" i="82"/>
  <c r="CU81" i="82"/>
  <c r="CU83" i="82" s="1"/>
  <c r="CU84" i="82" s="1"/>
  <c r="CU86" i="82" s="1"/>
  <c r="CU87" i="82" s="1"/>
  <c r="CU76" i="82"/>
  <c r="CZ81" i="82"/>
  <c r="CZ83" i="82" s="1"/>
  <c r="CZ84" i="82" s="1"/>
  <c r="CZ86" i="82" s="1"/>
  <c r="CZ87" i="82" s="1"/>
  <c r="CZ76" i="82"/>
  <c r="DK38" i="82"/>
  <c r="BW75" i="82"/>
  <c r="BW39" i="82"/>
  <c r="DT81" i="82"/>
  <c r="DT83" i="82" s="1"/>
  <c r="DT84" i="82" s="1"/>
  <c r="DT86" i="82" s="1"/>
  <c r="DT87" i="82" s="1"/>
  <c r="DT76" i="82"/>
  <c r="EE8" i="82"/>
  <c r="CV38" i="82"/>
  <c r="I76" i="82"/>
  <c r="I81" i="82"/>
  <c r="I83" i="82" s="1"/>
  <c r="I84" i="82" s="1"/>
  <c r="I86" i="82" s="1"/>
  <c r="I87" i="82" s="1"/>
  <c r="J89" i="82"/>
  <c r="K8" i="82" s="1"/>
  <c r="H76" i="82"/>
  <c r="H81" i="82"/>
  <c r="H83" i="82" s="1"/>
  <c r="H84" i="82" s="1"/>
  <c r="H86" i="82" s="1"/>
  <c r="H87" i="82" s="1"/>
  <c r="CL38" i="82"/>
  <c r="DO75" i="82"/>
  <c r="DO39" i="82"/>
  <c r="E75" i="82"/>
  <c r="E39" i="82"/>
  <c r="F39" i="82" s="1"/>
  <c r="EE59" i="82"/>
  <c r="BM54" i="82"/>
  <c r="R75" i="82"/>
  <c r="R39" i="82"/>
  <c r="BB38" i="82"/>
  <c r="F54" i="82"/>
  <c r="DU75" i="82"/>
  <c r="DU39" i="82"/>
  <c r="AQ38" i="82"/>
  <c r="X81" i="82"/>
  <c r="X83" i="82" s="1"/>
  <c r="X84" i="82" s="1"/>
  <c r="X86" i="82" s="1"/>
  <c r="X87" i="82" s="1"/>
  <c r="X76" i="82"/>
  <c r="J75" i="82"/>
  <c r="J39" i="82"/>
  <c r="BP76" i="82"/>
  <c r="DD76" i="82"/>
  <c r="DP89" i="82"/>
  <c r="DP91" i="82" s="1"/>
  <c r="W76" i="82"/>
  <c r="EE54" i="82"/>
  <c r="CE75" i="82"/>
  <c r="CE39" i="82"/>
  <c r="EE41" i="82"/>
  <c r="CB38" i="82"/>
  <c r="AR75" i="82"/>
  <c r="AR39" i="82"/>
  <c r="C75" i="82"/>
  <c r="C39" i="82"/>
  <c r="BK75" i="82"/>
  <c r="BK39" i="82"/>
  <c r="DJ81" i="82"/>
  <c r="DJ83" i="82" s="1"/>
  <c r="DJ84" i="82" s="1"/>
  <c r="DJ86" i="82" s="1"/>
  <c r="DJ87" i="82" s="1"/>
  <c r="DJ76" i="82"/>
  <c r="AD8" i="82"/>
  <c r="AD38" i="82" s="1"/>
  <c r="T8" i="82"/>
  <c r="CF81" i="82"/>
  <c r="CF83" i="82" s="1"/>
  <c r="CF84" i="82" s="1"/>
  <c r="CF86" i="82" s="1"/>
  <c r="CF87" i="82" s="1"/>
  <c r="CF76" i="82"/>
  <c r="CG38" i="82"/>
  <c r="AX38" i="82"/>
  <c r="CT76" i="82"/>
  <c r="AH76" i="82"/>
  <c r="AH81" i="82"/>
  <c r="AH83" i="82" s="1"/>
  <c r="AH84" i="82" s="1"/>
  <c r="AH86" i="82" s="1"/>
  <c r="AH87" i="82" s="1"/>
  <c r="DP38" i="82"/>
  <c r="BR38" i="82"/>
  <c r="BZ76" i="82"/>
  <c r="BM38" i="82"/>
  <c r="BL38" i="82"/>
  <c r="F38" i="82" l="1"/>
  <c r="BA75" i="82"/>
  <c r="BA76" i="82" s="1"/>
  <c r="BA39" i="82"/>
  <c r="K41" i="82"/>
  <c r="F73" i="82"/>
  <c r="EE38" i="82"/>
  <c r="AD75" i="82"/>
  <c r="AD39" i="82"/>
  <c r="EE75" i="82"/>
  <c r="EE39" i="82"/>
  <c r="AR76" i="82"/>
  <c r="AR81" i="82"/>
  <c r="AR83" i="82" s="1"/>
  <c r="AR84" i="82" s="1"/>
  <c r="AR86" i="82" s="1"/>
  <c r="AR87" i="82" s="1"/>
  <c r="CL75" i="82"/>
  <c r="CL39" i="82"/>
  <c r="DX38" i="82"/>
  <c r="DZ5" i="82"/>
  <c r="DZ38" i="82" s="1"/>
  <c r="F72" i="82"/>
  <c r="BX71" i="82"/>
  <c r="F71" i="82"/>
  <c r="BX65" i="82"/>
  <c r="BX63" i="82"/>
  <c r="BX62" i="82"/>
  <c r="BX66" i="82"/>
  <c r="F65" i="82"/>
  <c r="F66" i="82"/>
  <c r="F69" i="82"/>
  <c r="F64" i="82"/>
  <c r="BX57" i="82"/>
  <c r="BX56" i="82"/>
  <c r="BX55" i="82"/>
  <c r="F68" i="82"/>
  <c r="BX58" i="82"/>
  <c r="BX60" i="82"/>
  <c r="F53" i="82"/>
  <c r="F63" i="82"/>
  <c r="F62" i="82"/>
  <c r="BX59" i="82"/>
  <c r="BX50" i="82"/>
  <c r="F47" i="82"/>
  <c r="F49" i="82"/>
  <c r="F43" i="82"/>
  <c r="F37" i="82"/>
  <c r="F32" i="82"/>
  <c r="BX28" i="82"/>
  <c r="BX27" i="82"/>
  <c r="F25" i="82"/>
  <c r="F45" i="82"/>
  <c r="BX36" i="82"/>
  <c r="F33" i="82"/>
  <c r="F21" i="82"/>
  <c r="BX43" i="82"/>
  <c r="BX24" i="82"/>
  <c r="BX45" i="82"/>
  <c r="F40" i="82"/>
  <c r="BX35" i="82"/>
  <c r="F56" i="82"/>
  <c r="F17" i="82"/>
  <c r="BX47" i="82"/>
  <c r="F34" i="82"/>
  <c r="BX32" i="82"/>
  <c r="BX31" i="82"/>
  <c r="BX15" i="82"/>
  <c r="BX9" i="82"/>
  <c r="BX11" i="82"/>
  <c r="BX30" i="82"/>
  <c r="BX14" i="82"/>
  <c r="F14" i="82"/>
  <c r="BX17" i="82"/>
  <c r="BX21" i="82"/>
  <c r="BX29" i="82"/>
  <c r="F20" i="82"/>
  <c r="F44" i="82"/>
  <c r="BX52" i="82"/>
  <c r="F58" i="82"/>
  <c r="BX61" i="82"/>
  <c r="BX33" i="82"/>
  <c r="BX12" i="82"/>
  <c r="F11" i="82"/>
  <c r="F36" i="82"/>
  <c r="F19" i="82"/>
  <c r="F42" i="82"/>
  <c r="BX19" i="82"/>
  <c r="BX42" i="82"/>
  <c r="BX54" i="82"/>
  <c r="F59" i="82"/>
  <c r="F60" i="82"/>
  <c r="BX51" i="82"/>
  <c r="BX70" i="82"/>
  <c r="BX13" i="82"/>
  <c r="F27" i="82"/>
  <c r="F13" i="82"/>
  <c r="F24" i="82"/>
  <c r="F55" i="82"/>
  <c r="F26" i="82"/>
  <c r="BX26" i="82"/>
  <c r="F50" i="82"/>
  <c r="BX46" i="82"/>
  <c r="BX68" i="82"/>
  <c r="F70" i="82"/>
  <c r="BX64" i="82"/>
  <c r="F31" i="82"/>
  <c r="F51" i="82"/>
  <c r="BX10" i="82"/>
  <c r="BX18" i="82"/>
  <c r="F16" i="82"/>
  <c r="F12" i="82"/>
  <c r="BX16" i="82"/>
  <c r="F29" i="82"/>
  <c r="BX48" i="82"/>
  <c r="F46" i="82"/>
  <c r="F57" i="82"/>
  <c r="BX25" i="82"/>
  <c r="F9" i="82"/>
  <c r="BX20" i="82"/>
  <c r="F30" i="82"/>
  <c r="F10" i="82"/>
  <c r="BX22" i="82"/>
  <c r="F15" i="82"/>
  <c r="BX23" i="82"/>
  <c r="F28" i="82"/>
  <c r="F48" i="82"/>
  <c r="F52" i="82"/>
  <c r="F61" i="82"/>
  <c r="F67" i="82"/>
  <c r="F74" i="82"/>
  <c r="F18" i="82"/>
  <c r="BX44" i="82"/>
  <c r="BX67" i="82"/>
  <c r="BX69" i="82"/>
  <c r="BM75" i="82"/>
  <c r="BM39" i="82"/>
  <c r="CG75" i="82"/>
  <c r="CG39" i="82"/>
  <c r="AB76" i="82"/>
  <c r="AB81" i="82"/>
  <c r="AB83" i="82" s="1"/>
  <c r="AB84" i="82" s="1"/>
  <c r="AB86" i="82" s="1"/>
  <c r="AB87" i="82" s="1"/>
  <c r="DI76" i="82"/>
  <c r="Y76" i="82"/>
  <c r="BK76" i="82"/>
  <c r="AQ75" i="82"/>
  <c r="AQ39" i="82"/>
  <c r="BW76" i="82"/>
  <c r="AN75" i="82"/>
  <c r="AN39" i="82"/>
  <c r="T38" i="82"/>
  <c r="CE76" i="82"/>
  <c r="E81" i="82"/>
  <c r="E83" i="82" s="1"/>
  <c r="E84" i="82" s="1"/>
  <c r="E86" i="82" s="1"/>
  <c r="E87" i="82" s="1"/>
  <c r="E76" i="82"/>
  <c r="DK75" i="82"/>
  <c r="DK39" i="82"/>
  <c r="AL76" i="82"/>
  <c r="CK81" i="82"/>
  <c r="CK83" i="82" s="1"/>
  <c r="CK84" i="82" s="1"/>
  <c r="CK86" i="82" s="1"/>
  <c r="CK87" i="82" s="1"/>
  <c r="CK76" i="82"/>
  <c r="AG75" i="82"/>
  <c r="AG39" i="82"/>
  <c r="D81" i="82"/>
  <c r="D83" i="82" s="1"/>
  <c r="D84" i="82" s="1"/>
  <c r="D86" i="82" s="1"/>
  <c r="D87" i="82" s="1"/>
  <c r="D76" i="82"/>
  <c r="ED87" i="82"/>
  <c r="ED96" i="82"/>
  <c r="EE96" i="82" s="1"/>
  <c r="BC76" i="82"/>
  <c r="BR75" i="82"/>
  <c r="BR39" i="82"/>
  <c r="AX75" i="82"/>
  <c r="AX39" i="82"/>
  <c r="AD89" i="82"/>
  <c r="DG39" i="82" s="1"/>
  <c r="C76" i="82"/>
  <c r="C81" i="82"/>
  <c r="C83" i="82" s="1"/>
  <c r="C84" i="82" s="1"/>
  <c r="C86" i="82" s="1"/>
  <c r="C87" i="82" s="1"/>
  <c r="CB75" i="82"/>
  <c r="CB39" i="82"/>
  <c r="BB75" i="82"/>
  <c r="BB39" i="82"/>
  <c r="R76" i="82"/>
  <c r="CV75" i="82"/>
  <c r="CV39" i="82"/>
  <c r="AV76" i="82"/>
  <c r="F35" i="82"/>
  <c r="AI76" i="82"/>
  <c r="S81" i="82"/>
  <c r="S83" i="82" s="1"/>
  <c r="S84" i="82" s="1"/>
  <c r="S86" i="82" s="1"/>
  <c r="S87" i="82" s="1"/>
  <c r="S76" i="82"/>
  <c r="DY81" i="82"/>
  <c r="DY83" i="82" s="1"/>
  <c r="DY84" i="82" s="1"/>
  <c r="DY86" i="82" s="1"/>
  <c r="DY87" i="82" s="1"/>
  <c r="DY76" i="82"/>
  <c r="BL75" i="82"/>
  <c r="BL39" i="82"/>
  <c r="DP75" i="82"/>
  <c r="DP39" i="82"/>
  <c r="J81" i="82"/>
  <c r="J83" i="82" s="1"/>
  <c r="J84" i="82" s="1"/>
  <c r="J86" i="82" s="1"/>
  <c r="J87" i="82" s="1"/>
  <c r="J76" i="82"/>
  <c r="DU76" i="82"/>
  <c r="DO81" i="82"/>
  <c r="DO83" i="82" s="1"/>
  <c r="DO84" i="82" s="1"/>
  <c r="DO86" i="82" s="1"/>
  <c r="DO87" i="82" s="1"/>
  <c r="DO76" i="82"/>
  <c r="Z72" i="82"/>
  <c r="K72" i="82"/>
  <c r="EA72" i="82"/>
  <c r="K65" i="82"/>
  <c r="K69" i="82"/>
  <c r="K68" i="82"/>
  <c r="K66" i="82"/>
  <c r="K64" i="82"/>
  <c r="K63" i="82"/>
  <c r="AE72" i="82"/>
  <c r="Z49" i="82"/>
  <c r="K60" i="82"/>
  <c r="K58" i="82"/>
  <c r="K57" i="82"/>
  <c r="K56" i="82"/>
  <c r="K55" i="82"/>
  <c r="K62" i="82"/>
  <c r="K71" i="82"/>
  <c r="K47" i="82"/>
  <c r="AE49" i="82"/>
  <c r="K49" i="82"/>
  <c r="K45" i="82"/>
  <c r="K30" i="82"/>
  <c r="K24" i="82"/>
  <c r="K32" i="82"/>
  <c r="K43" i="82"/>
  <c r="K25" i="82"/>
  <c r="K19" i="82"/>
  <c r="K9" i="82"/>
  <c r="K15" i="82"/>
  <c r="K14" i="82"/>
  <c r="K13" i="82"/>
  <c r="K11" i="82"/>
  <c r="K26" i="82"/>
  <c r="K16" i="82"/>
  <c r="K42" i="82"/>
  <c r="K12" i="82"/>
  <c r="K10" i="82"/>
  <c r="K17" i="82"/>
  <c r="K28" i="82"/>
  <c r="K29" i="82"/>
  <c r="K48" i="82"/>
  <c r="K18" i="82"/>
  <c r="K21" i="82"/>
  <c r="K36" i="82"/>
  <c r="K46" i="82"/>
  <c r="K44" i="82"/>
  <c r="K51" i="82"/>
  <c r="K31" i="82"/>
  <c r="K52" i="82"/>
  <c r="K61" i="82"/>
  <c r="K20" i="82"/>
  <c r="K33" i="82"/>
  <c r="K27" i="82"/>
  <c r="K59" i="82"/>
  <c r="K67" i="82"/>
  <c r="K70" i="82"/>
  <c r="CA81" i="82"/>
  <c r="CA83" i="82" s="1"/>
  <c r="CA84" i="82" s="1"/>
  <c r="CA86" i="82" s="1"/>
  <c r="CA87" i="82" s="1"/>
  <c r="CA76" i="82"/>
  <c r="DF76" i="82"/>
  <c r="CQ76" i="82"/>
  <c r="K54" i="82"/>
  <c r="DA76" i="82"/>
  <c r="DE81" i="82"/>
  <c r="DE83" i="82" s="1"/>
  <c r="DE84" i="82" s="1"/>
  <c r="DE86" i="82" s="1"/>
  <c r="DE87" i="82" s="1"/>
  <c r="DE76" i="82"/>
  <c r="AS75" i="82"/>
  <c r="AS39" i="82"/>
  <c r="CW38" i="82" l="1"/>
  <c r="DB39" i="82"/>
  <c r="CW39" i="82"/>
  <c r="CC39" i="82"/>
  <c r="DQ38" i="82"/>
  <c r="DQ39" i="82"/>
  <c r="DL38" i="82"/>
  <c r="DV39" i="82"/>
  <c r="AE8" i="82"/>
  <c r="CH38" i="82"/>
  <c r="T75" i="82"/>
  <c r="T39" i="82"/>
  <c r="CL76" i="82"/>
  <c r="AS76" i="82"/>
  <c r="DP81" i="82"/>
  <c r="DP83" i="82" s="1"/>
  <c r="DP84" i="82" s="1"/>
  <c r="DP86" i="82" s="1"/>
  <c r="DP87" i="82" s="1"/>
  <c r="DP76" i="82"/>
  <c r="AX76" i="82"/>
  <c r="CH39" i="82"/>
  <c r="EE76" i="82"/>
  <c r="CB76" i="82"/>
  <c r="AQ76" i="82"/>
  <c r="AG76" i="82"/>
  <c r="CG76" i="82"/>
  <c r="BL81" i="82"/>
  <c r="BL83" i="82" s="1"/>
  <c r="BL84" i="82" s="1"/>
  <c r="BL86" i="82" s="1"/>
  <c r="BL87" i="82" s="1"/>
  <c r="BL76" i="82"/>
  <c r="BB81" i="82"/>
  <c r="BB83" i="82" s="1"/>
  <c r="BB84" i="82" s="1"/>
  <c r="BB86" i="82" s="1"/>
  <c r="BB87" i="82" s="1"/>
  <c r="BB76" i="82"/>
  <c r="AN76" i="82"/>
  <c r="DZ75" i="82"/>
  <c r="DZ39" i="82"/>
  <c r="DV71" i="82"/>
  <c r="DG71" i="82"/>
  <c r="CR71" i="82"/>
  <c r="CC71" i="82"/>
  <c r="DL71" i="82"/>
  <c r="CW70" i="82"/>
  <c r="DV66" i="82"/>
  <c r="DG66" i="82"/>
  <c r="CR66" i="82"/>
  <c r="CC66" i="82"/>
  <c r="DQ65" i="82"/>
  <c r="DB65" i="82"/>
  <c r="CM65" i="82"/>
  <c r="AE65" i="82"/>
  <c r="CM71" i="82"/>
  <c r="DL64" i="82"/>
  <c r="CW64" i="82"/>
  <c r="CH64" i="82"/>
  <c r="DQ63" i="82"/>
  <c r="DB63" i="82"/>
  <c r="CM63" i="82"/>
  <c r="DQ62" i="82"/>
  <c r="DB62" i="82"/>
  <c r="CM62" i="82"/>
  <c r="DB71" i="82"/>
  <c r="DL70" i="82"/>
  <c r="AE69" i="82"/>
  <c r="AE68" i="82"/>
  <c r="AE67" i="82"/>
  <c r="DQ66" i="82"/>
  <c r="DB66" i="82"/>
  <c r="CM66" i="82"/>
  <c r="AE66" i="82"/>
  <c r="DL65" i="82"/>
  <c r="CW65" i="82"/>
  <c r="CH65" i="82"/>
  <c r="AE64" i="82"/>
  <c r="AE63" i="82"/>
  <c r="DQ71" i="82"/>
  <c r="CH71" i="82"/>
  <c r="AE71" i="82"/>
  <c r="CR61" i="82"/>
  <c r="DL66" i="82"/>
  <c r="CR65" i="82"/>
  <c r="DL59" i="82"/>
  <c r="CW59" i="82"/>
  <c r="CH59" i="82"/>
  <c r="DQ57" i="82"/>
  <c r="DB57" i="82"/>
  <c r="CM57" i="82"/>
  <c r="DQ56" i="82"/>
  <c r="DB56" i="82"/>
  <c r="CM56" i="82"/>
  <c r="DQ55" i="82"/>
  <c r="DB55" i="82"/>
  <c r="CM55" i="82"/>
  <c r="CW71" i="82"/>
  <c r="DG61" i="82"/>
  <c r="DB60" i="82"/>
  <c r="CH60" i="82"/>
  <c r="AE60" i="82"/>
  <c r="DQ58" i="82"/>
  <c r="DB58" i="82"/>
  <c r="CM58" i="82"/>
  <c r="AE58" i="82"/>
  <c r="AE57" i="82"/>
  <c r="AE56" i="82"/>
  <c r="AE55" i="82"/>
  <c r="DL52" i="82"/>
  <c r="CW52" i="82"/>
  <c r="CH52" i="82"/>
  <c r="DL51" i="82"/>
  <c r="CW51" i="82"/>
  <c r="CH51" i="82"/>
  <c r="CH66" i="82"/>
  <c r="DG65" i="82"/>
  <c r="DV60" i="82"/>
  <c r="DV59" i="82"/>
  <c r="DG59" i="82"/>
  <c r="CR59" i="82"/>
  <c r="CC59" i="82"/>
  <c r="DV61" i="82"/>
  <c r="CC61" i="82"/>
  <c r="DQ60" i="82"/>
  <c r="CR56" i="82"/>
  <c r="DB59" i="82"/>
  <c r="CR57" i="82"/>
  <c r="DG55" i="82"/>
  <c r="DQ49" i="82"/>
  <c r="DB49" i="82"/>
  <c r="CM49" i="82"/>
  <c r="DL47" i="82"/>
  <c r="CW47" i="82"/>
  <c r="CH47" i="82"/>
  <c r="CC65" i="82"/>
  <c r="DG56" i="82"/>
  <c r="CH49" i="82"/>
  <c r="DQ59" i="82"/>
  <c r="DG57" i="82"/>
  <c r="DV55" i="82"/>
  <c r="CC55" i="82"/>
  <c r="DL49" i="82"/>
  <c r="CW49" i="82"/>
  <c r="CC49" i="82"/>
  <c r="DV47" i="82"/>
  <c r="DG47" i="82"/>
  <c r="CR47" i="82"/>
  <c r="CC47" i="82"/>
  <c r="DV45" i="82"/>
  <c r="DG45" i="82"/>
  <c r="CR45" i="82"/>
  <c r="CC45" i="82"/>
  <c r="DV43" i="82"/>
  <c r="DG43" i="82"/>
  <c r="CR43" i="82"/>
  <c r="CC43" i="82"/>
  <c r="CW66" i="82"/>
  <c r="DV65" i="82"/>
  <c r="DV56" i="82"/>
  <c r="CC56" i="82"/>
  <c r="CR49" i="82"/>
  <c r="CM45" i="82"/>
  <c r="DQ43" i="82"/>
  <c r="CH43" i="82"/>
  <c r="DV57" i="82"/>
  <c r="CM47" i="82"/>
  <c r="DB45" i="82"/>
  <c r="CW43" i="82"/>
  <c r="DL32" i="82"/>
  <c r="CW32" i="82"/>
  <c r="CH32" i="82"/>
  <c r="DL30" i="82"/>
  <c r="CW30" i="82"/>
  <c r="CH30" i="82"/>
  <c r="DQ28" i="82"/>
  <c r="DB28" i="82"/>
  <c r="CM28" i="82"/>
  <c r="DQ27" i="82"/>
  <c r="DB27" i="82"/>
  <c r="CM27" i="82"/>
  <c r="AE27" i="82"/>
  <c r="DV26" i="82"/>
  <c r="DG26" i="82"/>
  <c r="CR26" i="82"/>
  <c r="CC26" i="82"/>
  <c r="AE26" i="82"/>
  <c r="DV25" i="82"/>
  <c r="DG25" i="82"/>
  <c r="CR25" i="82"/>
  <c r="CC25" i="82"/>
  <c r="DL24" i="82"/>
  <c r="CW24" i="82"/>
  <c r="CH24" i="82"/>
  <c r="CM59" i="82"/>
  <c r="DQ54" i="82"/>
  <c r="DG49" i="82"/>
  <c r="DQ45" i="82"/>
  <c r="CH45" i="82"/>
  <c r="DL43" i="82"/>
  <c r="DQ36" i="82"/>
  <c r="DB36" i="82"/>
  <c r="CM36" i="82"/>
  <c r="DL33" i="82"/>
  <c r="CW33" i="82"/>
  <c r="CH33" i="82"/>
  <c r="DV31" i="82"/>
  <c r="DG31" i="82"/>
  <c r="CR31" i="82"/>
  <c r="CC31" i="82"/>
  <c r="DL29" i="82"/>
  <c r="CW29" i="82"/>
  <c r="CH29" i="82"/>
  <c r="DL23" i="82"/>
  <c r="CW23" i="82"/>
  <c r="CH23" i="82"/>
  <c r="DV22" i="82"/>
  <c r="DG22" i="82"/>
  <c r="CR22" i="82"/>
  <c r="CC22" i="82"/>
  <c r="DL21" i="82"/>
  <c r="CW21" i="82"/>
  <c r="CH21" i="82"/>
  <c r="DV20" i="82"/>
  <c r="DG20" i="82"/>
  <c r="CR20" i="82"/>
  <c r="CC20" i="82"/>
  <c r="CR55" i="82"/>
  <c r="DB47" i="82"/>
  <c r="CW45" i="82"/>
  <c r="DL45" i="82"/>
  <c r="DB43" i="82"/>
  <c r="CM35" i="82"/>
  <c r="CR28" i="82"/>
  <c r="DV27" i="82"/>
  <c r="CC27" i="82"/>
  <c r="CW26" i="82"/>
  <c r="AE25" i="82"/>
  <c r="DQ24" i="82"/>
  <c r="DG19" i="82"/>
  <c r="DV18" i="82"/>
  <c r="DG18" i="82"/>
  <c r="CR18" i="82"/>
  <c r="CC18" i="82"/>
  <c r="CC57" i="82"/>
  <c r="DV33" i="82"/>
  <c r="CC33" i="82"/>
  <c r="DB32" i="82"/>
  <c r="DB31" i="82"/>
  <c r="DB30" i="82"/>
  <c r="DG29" i="82"/>
  <c r="CH25" i="82"/>
  <c r="AE18" i="82"/>
  <c r="DV15" i="82"/>
  <c r="DQ47" i="82"/>
  <c r="CM32" i="82"/>
  <c r="CM30" i="82"/>
  <c r="DL25" i="82"/>
  <c r="AE23" i="82"/>
  <c r="DV19" i="82"/>
  <c r="AE20" i="82"/>
  <c r="CW19" i="82"/>
  <c r="CW17" i="82"/>
  <c r="CH17" i="82"/>
  <c r="DQ35" i="82"/>
  <c r="DG28" i="82"/>
  <c r="CR27" i="82"/>
  <c r="DL26" i="82"/>
  <c r="CM24" i="82"/>
  <c r="CH19" i="82"/>
  <c r="DL17" i="82"/>
  <c r="DG15" i="82"/>
  <c r="CR15" i="82"/>
  <c r="CC15" i="82"/>
  <c r="CM43" i="82"/>
  <c r="DB35" i="82"/>
  <c r="DV28" i="82"/>
  <c r="CC28" i="82"/>
  <c r="DG27" i="82"/>
  <c r="CH26" i="82"/>
  <c r="DB24" i="82"/>
  <c r="DL19" i="82"/>
  <c r="CC19" i="82"/>
  <c r="DV49" i="82"/>
  <c r="CR33" i="82"/>
  <c r="DQ32" i="82"/>
  <c r="AE32" i="82"/>
  <c r="CR17" i="82"/>
  <c r="AE15" i="82"/>
  <c r="AE14" i="82"/>
  <c r="AE13" i="82"/>
  <c r="AE12" i="82"/>
  <c r="DQ11" i="82"/>
  <c r="DL9" i="82"/>
  <c r="DQ30" i="82"/>
  <c r="DV29" i="82"/>
  <c r="DQ15" i="82"/>
  <c r="CC11" i="82"/>
  <c r="DQ31" i="82"/>
  <c r="DG17" i="82"/>
  <c r="CR11" i="82"/>
  <c r="CM9" i="82"/>
  <c r="DB15" i="82"/>
  <c r="DB11" i="82"/>
  <c r="CR19" i="82"/>
  <c r="CM15" i="82"/>
  <c r="DG11" i="82"/>
  <c r="DB9" i="82"/>
  <c r="AE9" i="82"/>
  <c r="CW25" i="82"/>
  <c r="DV17" i="82"/>
  <c r="CC17" i="82"/>
  <c r="DV11" i="82"/>
  <c r="CM11" i="82"/>
  <c r="DQ9" i="82"/>
  <c r="CH9" i="82"/>
  <c r="CC29" i="82"/>
  <c r="AE11" i="82"/>
  <c r="CW9" i="82"/>
  <c r="CC16" i="82"/>
  <c r="CM22" i="82"/>
  <c r="CW10" i="82"/>
  <c r="DQ12" i="82"/>
  <c r="DV14" i="82"/>
  <c r="DL16" i="82"/>
  <c r="AE21" i="82"/>
  <c r="CW13" i="82"/>
  <c r="CR10" i="82"/>
  <c r="DG9" i="82"/>
  <c r="AE79" i="82"/>
  <c r="CC23" i="82"/>
  <c r="DQ10" i="82"/>
  <c r="CC12" i="82"/>
  <c r="DQ33" i="82"/>
  <c r="DB54" i="82"/>
  <c r="DB21" i="82"/>
  <c r="CW42" i="82"/>
  <c r="DQ46" i="82"/>
  <c r="CW27" i="82"/>
  <c r="CM26" i="82"/>
  <c r="CH28" i="82"/>
  <c r="DV50" i="82"/>
  <c r="DQ25" i="82"/>
  <c r="AE33" i="82"/>
  <c r="DG44" i="82"/>
  <c r="DV46" i="82"/>
  <c r="CH44" i="82"/>
  <c r="DG51" i="82"/>
  <c r="DG58" i="82"/>
  <c r="CM42" i="82"/>
  <c r="DV44" i="82"/>
  <c r="DQ50" i="82"/>
  <c r="CM54" i="82"/>
  <c r="CM51" i="82"/>
  <c r="AE59" i="82"/>
  <c r="CR67" i="82"/>
  <c r="CH70" i="82"/>
  <c r="CR62" i="82"/>
  <c r="CW67" i="82"/>
  <c r="DB67" i="82"/>
  <c r="DB69" i="82"/>
  <c r="CC67" i="82"/>
  <c r="CC69" i="82"/>
  <c r="DL67" i="82"/>
  <c r="CR63" i="82"/>
  <c r="DQ67" i="82"/>
  <c r="AE73" i="82"/>
  <c r="AE22" i="82"/>
  <c r="CM12" i="82"/>
  <c r="CH16" i="82"/>
  <c r="DV23" i="82"/>
  <c r="DL36" i="82"/>
  <c r="CM31" i="82"/>
  <c r="AE19" i="82"/>
  <c r="AE10" i="82"/>
  <c r="DV21" i="82"/>
  <c r="CM46" i="82"/>
  <c r="AE24" i="82"/>
  <c r="DL28" i="82"/>
  <c r="DQ22" i="82"/>
  <c r="CC21" i="82"/>
  <c r="CM16" i="82"/>
  <c r="CH12" i="82"/>
  <c r="DG16" i="82"/>
  <c r="DL11" i="82"/>
  <c r="DB14" i="82"/>
  <c r="CR16" i="82"/>
  <c r="CM18" i="82"/>
  <c r="DB26" i="82"/>
  <c r="CH10" i="82"/>
  <c r="CM20" i="82"/>
  <c r="DG23" i="82"/>
  <c r="CC9" i="82"/>
  <c r="DG12" i="82"/>
  <c r="DQ17" i="82"/>
  <c r="CH41" i="82"/>
  <c r="DQ21" i="82"/>
  <c r="DB25" i="82"/>
  <c r="DV41" i="82"/>
  <c r="CM25" i="82"/>
  <c r="DB44" i="82"/>
  <c r="CR24" i="82"/>
  <c r="DQ29" i="82"/>
  <c r="DV35" i="82"/>
  <c r="CC48" i="82"/>
  <c r="CH31" i="82"/>
  <c r="CW44" i="82"/>
  <c r="CC52" i="82"/>
  <c r="DL44" i="82"/>
  <c r="CH50" i="82"/>
  <c r="CR48" i="82"/>
  <c r="DQ42" i="82"/>
  <c r="CR52" i="82"/>
  <c r="CW55" i="82"/>
  <c r="CH58" i="82"/>
  <c r="CR68" i="82"/>
  <c r="CR60" i="82"/>
  <c r="DQ52" i="82"/>
  <c r="DL56" i="82"/>
  <c r="DV67" i="82"/>
  <c r="DB52" i="82"/>
  <c r="CW57" i="82"/>
  <c r="CC60" i="82"/>
  <c r="DV62" i="82"/>
  <c r="CM70" i="82"/>
  <c r="CW62" i="82"/>
  <c r="CR64" i="82"/>
  <c r="CM61" i="82"/>
  <c r="DG67" i="82"/>
  <c r="DG69" i="82"/>
  <c r="DL61" i="82"/>
  <c r="CH68" i="82"/>
  <c r="DQ61" i="82"/>
  <c r="DV63" i="82"/>
  <c r="CM68" i="82"/>
  <c r="CC70" i="82"/>
  <c r="CW28" i="82"/>
  <c r="CW15" i="82"/>
  <c r="CW50" i="82"/>
  <c r="CH57" i="82"/>
  <c r="CR13" i="82"/>
  <c r="DB17" i="82"/>
  <c r="DG21" i="82"/>
  <c r="DG33" i="82"/>
  <c r="CR12" i="82"/>
  <c r="DQ16" i="82"/>
  <c r="DV24" i="82"/>
  <c r="DL12" i="82"/>
  <c r="DV16" i="82"/>
  <c r="DQ18" i="82"/>
  <c r="CR9" i="82"/>
  <c r="DL10" i="82"/>
  <c r="DB12" i="82"/>
  <c r="CC14" i="82"/>
  <c r="DQ20" i="82"/>
  <c r="CW36" i="82"/>
  <c r="CH11" i="82"/>
  <c r="CH14" i="82"/>
  <c r="CR35" i="82"/>
  <c r="DL41" i="82"/>
  <c r="CC32" i="82"/>
  <c r="CH22" i="82"/>
  <c r="DG30" i="82"/>
  <c r="CM19" i="82"/>
  <c r="AE30" i="82"/>
  <c r="DG48" i="82"/>
  <c r="CM29" i="82"/>
  <c r="DB33" i="82"/>
  <c r="CR42" i="82"/>
  <c r="CH46" i="82"/>
  <c r="DL22" i="82"/>
  <c r="CR30" i="82"/>
  <c r="DB42" i="82"/>
  <c r="DG52" i="82"/>
  <c r="CC42" i="82"/>
  <c r="DG54" i="82"/>
  <c r="CH42" i="82"/>
  <c r="DV48" i="82"/>
  <c r="DV52" i="82"/>
  <c r="DL58" i="82"/>
  <c r="CM60" i="82"/>
  <c r="DV68" i="82"/>
  <c r="CR51" i="82"/>
  <c r="CW63" i="82"/>
  <c r="CR69" i="82"/>
  <c r="CW60" i="82"/>
  <c r="CW69" i="82"/>
  <c r="DV64" i="82"/>
  <c r="CH63" i="82"/>
  <c r="DL68" i="82"/>
  <c r="DQ68" i="82"/>
  <c r="DG70" i="82"/>
  <c r="CR70" i="82"/>
  <c r="DQ14" i="82"/>
  <c r="CW12" i="82"/>
  <c r="CM17" i="82"/>
  <c r="DG13" i="82"/>
  <c r="DL13" i="82"/>
  <c r="AE17" i="82"/>
  <c r="CW20" i="82"/>
  <c r="DQ23" i="82"/>
  <c r="DG32" i="82"/>
  <c r="CM50" i="82"/>
  <c r="CR50" i="82"/>
  <c r="CC58" i="82"/>
  <c r="DG46" i="82"/>
  <c r="DL57" i="82"/>
  <c r="DV51" i="82"/>
  <c r="DV13" i="82"/>
  <c r="CW35" i="82"/>
  <c r="DV12" i="82"/>
  <c r="CW14" i="82"/>
  <c r="CH27" i="82"/>
  <c r="CM13" i="82"/>
  <c r="CC10" i="82"/>
  <c r="DB13" i="82"/>
  <c r="DG14" i="82"/>
  <c r="CW16" i="82"/>
  <c r="DL14" i="82"/>
  <c r="CC24" i="82"/>
  <c r="DB29" i="82"/>
  <c r="DL35" i="82"/>
  <c r="CW22" i="82"/>
  <c r="CC30" i="82"/>
  <c r="DV32" i="82"/>
  <c r="DB19" i="82"/>
  <c r="DQ26" i="82"/>
  <c r="DL27" i="82"/>
  <c r="DG35" i="82"/>
  <c r="DL46" i="82"/>
  <c r="DL20" i="82"/>
  <c r="CC36" i="82"/>
  <c r="CH48" i="82"/>
  <c r="DG42" i="82"/>
  <c r="CM48" i="82"/>
  <c r="DL42" i="82"/>
  <c r="DB46" i="82"/>
  <c r="AE62" i="82"/>
  <c r="CM52" i="82"/>
  <c r="DB50" i="82"/>
  <c r="DQ51" i="82"/>
  <c r="CR58" i="82"/>
  <c r="CW58" i="82"/>
  <c r="CC51" i="82"/>
  <c r="DV69" i="82"/>
  <c r="CM64" i="82"/>
  <c r="DB68" i="82"/>
  <c r="DL63" i="82"/>
  <c r="CC68" i="82"/>
  <c r="DG60" i="82"/>
  <c r="DB64" i="82"/>
  <c r="CH69" i="82"/>
  <c r="CH62" i="82"/>
  <c r="CC64" i="82"/>
  <c r="CM69" i="82"/>
  <c r="DV70" i="82"/>
  <c r="DV9" i="82"/>
  <c r="DB10" i="82"/>
  <c r="DL18" i="82"/>
  <c r="CH15" i="82"/>
  <c r="CH20" i="82"/>
  <c r="CC44" i="82"/>
  <c r="DQ44" i="82"/>
  <c r="CR44" i="82"/>
  <c r="CW61" i="82"/>
  <c r="DQ13" i="82"/>
  <c r="AE16" i="82"/>
  <c r="CR23" i="82"/>
  <c r="AE31" i="82"/>
  <c r="CH36" i="82"/>
  <c r="CH18" i="82"/>
  <c r="CM14" i="82"/>
  <c r="DB18" i="82"/>
  <c r="DG10" i="82"/>
  <c r="CR29" i="82"/>
  <c r="DV10" i="82"/>
  <c r="CC13" i="82"/>
  <c r="CR21" i="82"/>
  <c r="CM10" i="82"/>
  <c r="CH13" i="82"/>
  <c r="DB16" i="82"/>
  <c r="CW18" i="82"/>
  <c r="CM23" i="82"/>
  <c r="DV30" i="82"/>
  <c r="DG36" i="82"/>
  <c r="DQ19" i="82"/>
  <c r="AE29" i="82"/>
  <c r="CR36" i="82"/>
  <c r="DB48" i="82"/>
  <c r="DL31" i="82"/>
  <c r="DG24" i="82"/>
  <c r="DV42" i="82"/>
  <c r="CM21" i="82"/>
  <c r="DB23" i="82"/>
  <c r="DV36" i="82"/>
  <c r="DL48" i="82"/>
  <c r="DQ48" i="82"/>
  <c r="CM44" i="82"/>
  <c r="CC50" i="82"/>
  <c r="CC46" i="82"/>
  <c r="CW48" i="82"/>
  <c r="CH56" i="82"/>
  <c r="DL50" i="82"/>
  <c r="DV58" i="82"/>
  <c r="DB51" i="82"/>
  <c r="DL55" i="82"/>
  <c r="DB61" i="82"/>
  <c r="DQ64" i="82"/>
  <c r="CW68" i="82"/>
  <c r="AE70" i="82"/>
  <c r="CC63" i="82"/>
  <c r="DG68" i="82"/>
  <c r="CC62" i="82"/>
  <c r="DL69" i="82"/>
  <c r="DL60" i="82"/>
  <c r="DL62" i="82"/>
  <c r="DG64" i="82"/>
  <c r="DQ69" i="82"/>
  <c r="DQ70" i="82"/>
  <c r="DB70" i="82"/>
  <c r="CR14" i="82"/>
  <c r="DB20" i="82"/>
  <c r="DL15" i="82"/>
  <c r="DB22" i="82"/>
  <c r="CW11" i="82"/>
  <c r="CW31" i="82"/>
  <c r="CW56" i="82"/>
  <c r="CM33" i="82"/>
  <c r="CR32" i="82"/>
  <c r="CR46" i="82"/>
  <c r="CW46" i="82"/>
  <c r="CH55" i="82"/>
  <c r="CH61" i="82"/>
  <c r="DG62" i="82"/>
  <c r="DG63" i="82"/>
  <c r="CM67" i="82"/>
  <c r="CH67" i="82"/>
  <c r="AE61" i="82"/>
  <c r="DQ41" i="82"/>
  <c r="DL8" i="82"/>
  <c r="DB8" i="82"/>
  <c r="CC35" i="82"/>
  <c r="DG8" i="82"/>
  <c r="DG50" i="82"/>
  <c r="CM41" i="82"/>
  <c r="CM8" i="82"/>
  <c r="CR38" i="82"/>
  <c r="CH8" i="82"/>
  <c r="DG38" i="82"/>
  <c r="DV38" i="82"/>
  <c r="CH35" i="82"/>
  <c r="AE54" i="82"/>
  <c r="DB38" i="82"/>
  <c r="AD93" i="82"/>
  <c r="CC54" i="82"/>
  <c r="DV8" i="82"/>
  <c r="CR41" i="82"/>
  <c r="CR54" i="82"/>
  <c r="DB41" i="82"/>
  <c r="CC8" i="82"/>
  <c r="DQ8" i="82"/>
  <c r="CH54" i="82"/>
  <c r="CC41" i="82"/>
  <c r="AE28" i="82"/>
  <c r="DL54" i="82"/>
  <c r="CW8" i="82"/>
  <c r="DG41" i="82"/>
  <c r="CW54" i="82"/>
  <c r="CR8" i="82"/>
  <c r="DV54" i="82"/>
  <c r="CW41" i="82"/>
  <c r="BR76" i="82"/>
  <c r="DL39" i="82"/>
  <c r="DX75" i="82"/>
  <c r="DX39" i="82"/>
  <c r="CM38" i="82"/>
  <c r="CV76" i="82"/>
  <c r="CC38" i="82"/>
  <c r="CR39" i="82"/>
  <c r="DK76" i="82"/>
  <c r="BM76" i="82"/>
  <c r="CM39" i="82"/>
  <c r="AD81" i="82"/>
  <c r="AD83" i="82" s="1"/>
  <c r="AD84" i="82" s="1"/>
  <c r="AD86" i="82" s="1"/>
  <c r="AD76" i="82"/>
  <c r="AD87" i="82" l="1"/>
  <c r="DX76" i="82"/>
  <c r="DZ76" i="82"/>
  <c r="T76" i="82"/>
  <c r="W85" i="142" l="1"/>
  <c r="V85" i="142"/>
  <c r="W82" i="142"/>
  <c r="V82" i="142"/>
  <c r="W79" i="142"/>
  <c r="V79" i="142"/>
  <c r="W78" i="142"/>
  <c r="V78" i="142"/>
  <c r="W74" i="142"/>
  <c r="V74" i="142"/>
  <c r="W71" i="142"/>
  <c r="V71" i="142"/>
  <c r="W70" i="142"/>
  <c r="V70" i="142"/>
  <c r="W69" i="142"/>
  <c r="V69" i="142"/>
  <c r="W68" i="142"/>
  <c r="V68" i="142"/>
  <c r="W67" i="142"/>
  <c r="V67" i="142"/>
  <c r="W66" i="142"/>
  <c r="V66" i="142"/>
  <c r="W65" i="142"/>
  <c r="V65" i="142"/>
  <c r="W64" i="142"/>
  <c r="V64" i="142"/>
  <c r="W63" i="142"/>
  <c r="V63" i="142"/>
  <c r="W62" i="142"/>
  <c r="V62" i="142"/>
  <c r="W61" i="142"/>
  <c r="V61" i="142"/>
  <c r="W60" i="142"/>
  <c r="V60" i="142"/>
  <c r="W59" i="142"/>
  <c r="V59" i="142"/>
  <c r="W58" i="142"/>
  <c r="V58" i="142"/>
  <c r="W57" i="142"/>
  <c r="V57" i="142"/>
  <c r="W56" i="142"/>
  <c r="V56" i="142"/>
  <c r="W55" i="142"/>
  <c r="V55" i="142"/>
  <c r="W52" i="142"/>
  <c r="V52" i="142"/>
  <c r="W51" i="142"/>
  <c r="V51" i="142"/>
  <c r="W48" i="142"/>
  <c r="V48" i="142"/>
  <c r="W47" i="142"/>
  <c r="V47" i="142"/>
  <c r="W46" i="142"/>
  <c r="V46" i="142"/>
  <c r="W45" i="142"/>
  <c r="V45" i="142"/>
  <c r="W44" i="142"/>
  <c r="V44" i="142"/>
  <c r="W43" i="142"/>
  <c r="V43" i="142"/>
  <c r="W42" i="142"/>
  <c r="V42" i="142"/>
  <c r="W36" i="142"/>
  <c r="V36" i="142"/>
  <c r="W33" i="142"/>
  <c r="V33" i="142"/>
  <c r="W32" i="142"/>
  <c r="V32" i="142"/>
  <c r="W31" i="142"/>
  <c r="V31" i="142"/>
  <c r="W30" i="142"/>
  <c r="V30" i="142"/>
  <c r="W29" i="142"/>
  <c r="V29" i="142"/>
  <c r="W28" i="142"/>
  <c r="V28" i="142"/>
  <c r="W27" i="142"/>
  <c r="V27" i="142"/>
  <c r="W26" i="142"/>
  <c r="V26" i="142"/>
  <c r="W25" i="142"/>
  <c r="V25" i="142"/>
  <c r="W24" i="142"/>
  <c r="V24" i="142"/>
  <c r="W23" i="142"/>
  <c r="V23" i="142"/>
  <c r="W22" i="142"/>
  <c r="V22" i="142"/>
  <c r="W21" i="142"/>
  <c r="V21" i="142"/>
  <c r="W20" i="142"/>
  <c r="V20" i="142"/>
  <c r="W19" i="142"/>
  <c r="V19" i="142"/>
  <c r="W18" i="142"/>
  <c r="W17" i="142"/>
  <c r="V17" i="142"/>
  <c r="W16" i="142"/>
  <c r="V16" i="142"/>
  <c r="W15" i="142"/>
  <c r="V15" i="142"/>
  <c r="W14" i="142"/>
  <c r="V14" i="142"/>
  <c r="W13" i="142"/>
  <c r="V13" i="142"/>
  <c r="W12" i="142"/>
  <c r="V12" i="142"/>
  <c r="W11" i="142"/>
  <c r="V11" i="142"/>
  <c r="W10" i="142"/>
  <c r="V10" i="142"/>
  <c r="W9" i="142"/>
  <c r="V9" i="142"/>
  <c r="W7" i="142"/>
  <c r="V7" i="142"/>
  <c r="W6" i="142"/>
  <c r="V6" i="142"/>
  <c r="M23" i="101"/>
  <c r="I22" i="101"/>
  <c r="E22" i="101"/>
  <c r="S85" i="142"/>
  <c r="S82" i="142"/>
  <c r="S78" i="142"/>
  <c r="T78" i="142" s="1"/>
  <c r="R77" i="142"/>
  <c r="Q77" i="142"/>
  <c r="S74" i="142"/>
  <c r="S73" i="142" s="1"/>
  <c r="R73" i="142"/>
  <c r="Q73" i="142"/>
  <c r="S71" i="142"/>
  <c r="S70" i="142"/>
  <c r="S69" i="142"/>
  <c r="S68" i="142"/>
  <c r="S67" i="142"/>
  <c r="S66" i="142"/>
  <c r="S65" i="142"/>
  <c r="S64" i="142"/>
  <c r="S63" i="142"/>
  <c r="S62" i="142"/>
  <c r="S61" i="142"/>
  <c r="S60" i="142"/>
  <c r="S59" i="142"/>
  <c r="S58" i="142"/>
  <c r="S57" i="142"/>
  <c r="S54" i="142" s="1"/>
  <c r="S56" i="142"/>
  <c r="S55" i="142"/>
  <c r="R54" i="142"/>
  <c r="Q54" i="142"/>
  <c r="S52" i="142"/>
  <c r="S51" i="142"/>
  <c r="R50" i="142"/>
  <c r="Q50" i="142"/>
  <c r="S48" i="142"/>
  <c r="S47" i="142"/>
  <c r="S46" i="142"/>
  <c r="S45" i="142"/>
  <c r="S44" i="142"/>
  <c r="S43" i="142"/>
  <c r="S42" i="142"/>
  <c r="R41" i="142"/>
  <c r="Q41" i="142"/>
  <c r="T37" i="142"/>
  <c r="S36" i="142"/>
  <c r="S35" i="142" s="1"/>
  <c r="S33" i="142"/>
  <c r="S32" i="142"/>
  <c r="S31" i="142"/>
  <c r="S30" i="142"/>
  <c r="S29" i="142"/>
  <c r="S28" i="142"/>
  <c r="S27" i="142"/>
  <c r="S26" i="142"/>
  <c r="S25" i="142"/>
  <c r="S24" i="142"/>
  <c r="S23" i="142"/>
  <c r="S22" i="142"/>
  <c r="S21" i="142"/>
  <c r="S20" i="142"/>
  <c r="S19" i="142"/>
  <c r="S18" i="142"/>
  <c r="S17" i="142"/>
  <c r="S16" i="142"/>
  <c r="S15" i="142"/>
  <c r="S14" i="142"/>
  <c r="S13" i="142"/>
  <c r="S12" i="142"/>
  <c r="S11" i="142"/>
  <c r="S10" i="142"/>
  <c r="S9" i="142"/>
  <c r="R8" i="142"/>
  <c r="Q8" i="142"/>
  <c r="S7" i="142"/>
  <c r="S6" i="142"/>
  <c r="S5" i="142" s="1"/>
  <c r="R5" i="142"/>
  <c r="R38" i="142" s="1"/>
  <c r="Q5" i="142"/>
  <c r="Q38" i="142" s="1"/>
  <c r="H79" i="177" l="1"/>
  <c r="M79" i="175"/>
  <c r="AQ79" i="177"/>
  <c r="M79" i="174"/>
  <c r="BF79" i="174"/>
  <c r="BU79" i="174"/>
  <c r="M79" i="158"/>
  <c r="M79" i="157"/>
  <c r="BF79" i="158"/>
  <c r="BF79" i="177"/>
  <c r="AQ79" i="176"/>
  <c r="BU79" i="176"/>
  <c r="H79" i="176"/>
  <c r="CE79" i="176"/>
  <c r="BF79" i="175"/>
  <c r="AG79" i="177"/>
  <c r="AG79" i="175"/>
  <c r="BU79" i="175"/>
  <c r="H79" i="175"/>
  <c r="AB79" i="174"/>
  <c r="BP79" i="174"/>
  <c r="AG79" i="174"/>
  <c r="CE79" i="174"/>
  <c r="CE79" i="158"/>
  <c r="BP79" i="158"/>
  <c r="BZ79" i="158"/>
  <c r="AB79" i="177"/>
  <c r="BZ79" i="176"/>
  <c r="M79" i="176"/>
  <c r="BF79" i="176"/>
  <c r="AB79" i="176"/>
  <c r="BU79" i="177"/>
  <c r="AB79" i="175"/>
  <c r="BP79" i="175"/>
  <c r="BP79" i="177"/>
  <c r="AQ79" i="175"/>
  <c r="CE79" i="175"/>
  <c r="AL79" i="174"/>
  <c r="BZ79" i="174"/>
  <c r="AQ79" i="174"/>
  <c r="BU79" i="158"/>
  <c r="AL79" i="177"/>
  <c r="AG79" i="176"/>
  <c r="M79" i="177"/>
  <c r="H79" i="174"/>
  <c r="BP79" i="176"/>
  <c r="AL79" i="176"/>
  <c r="CE79" i="177"/>
  <c r="AL79" i="175"/>
  <c r="BZ79" i="175"/>
  <c r="BZ79" i="177"/>
  <c r="H79" i="158"/>
  <c r="H79" i="157"/>
  <c r="AG79" i="158"/>
  <c r="AV79" i="158"/>
  <c r="Q39" i="142"/>
  <c r="Q75" i="142"/>
  <c r="Q81" i="142" s="1"/>
  <c r="Q83" i="142" s="1"/>
  <c r="Q84" i="142" s="1"/>
  <c r="Q86" i="142" s="1"/>
  <c r="Q87" i="142" s="1"/>
  <c r="S8" i="142"/>
  <c r="CE79" i="164"/>
  <c r="AV79" i="164"/>
  <c r="H79" i="164"/>
  <c r="BF79" i="160"/>
  <c r="AB79" i="160"/>
  <c r="AB79" i="157" s="1"/>
  <c r="AG79" i="160"/>
  <c r="BZ79" i="164"/>
  <c r="AQ79" i="164"/>
  <c r="BA79" i="160"/>
  <c r="BA79" i="157" s="1"/>
  <c r="M79" i="160"/>
  <c r="BA79" i="164"/>
  <c r="BU79" i="164"/>
  <c r="AL79" i="164"/>
  <c r="CE79" i="160"/>
  <c r="AV79" i="160"/>
  <c r="H79" i="160"/>
  <c r="M79" i="164"/>
  <c r="BP79" i="164"/>
  <c r="BZ79" i="160"/>
  <c r="AQ79" i="160"/>
  <c r="AQ79" i="157" s="1"/>
  <c r="BP79" i="160"/>
  <c r="BF79" i="164"/>
  <c r="BU79" i="160"/>
  <c r="AL79" i="160"/>
  <c r="BZ79" i="166"/>
  <c r="AQ79" i="166"/>
  <c r="BU79" i="166"/>
  <c r="AL79" i="166"/>
  <c r="BP79" i="166"/>
  <c r="AG79" i="166"/>
  <c r="AV79" i="166"/>
  <c r="BF79" i="166"/>
  <c r="AB79" i="166"/>
  <c r="BA79" i="166"/>
  <c r="M79" i="166"/>
  <c r="CE79" i="166"/>
  <c r="H79" i="166"/>
  <c r="DS79" i="82"/>
  <c r="S38" i="142"/>
  <c r="R75" i="142"/>
  <c r="R39" i="142"/>
  <c r="Q76" i="142"/>
  <c r="S41" i="142"/>
  <c r="S50" i="142"/>
  <c r="J79" i="158" l="1"/>
  <c r="H77" i="158"/>
  <c r="H81" i="158"/>
  <c r="H83" i="158" s="1"/>
  <c r="H84" i="158" s="1"/>
  <c r="H86" i="158" s="1"/>
  <c r="H87" i="158" s="1"/>
  <c r="CG79" i="177"/>
  <c r="CE77" i="177"/>
  <c r="CE81" i="177"/>
  <c r="CE83" i="177" s="1"/>
  <c r="CE84" i="177" s="1"/>
  <c r="CE86" i="177" s="1"/>
  <c r="CE87" i="177" s="1"/>
  <c r="O79" i="177"/>
  <c r="M77" i="177"/>
  <c r="M81" i="177"/>
  <c r="M83" i="177" s="1"/>
  <c r="M84" i="177" s="1"/>
  <c r="M86" i="177" s="1"/>
  <c r="M87" i="177" s="1"/>
  <c r="AQ77" i="174"/>
  <c r="AS79" i="174"/>
  <c r="AQ81" i="174"/>
  <c r="AQ83" i="174" s="1"/>
  <c r="AQ84" i="174" s="1"/>
  <c r="AQ86" i="174" s="1"/>
  <c r="AQ87" i="174" s="1"/>
  <c r="AS79" i="175"/>
  <c r="AQ81" i="175"/>
  <c r="AQ83" i="175" s="1"/>
  <c r="AQ84" i="175" s="1"/>
  <c r="AQ86" i="175" s="1"/>
  <c r="AQ87" i="175" s="1"/>
  <c r="AQ77" i="175"/>
  <c r="BU77" i="177"/>
  <c r="BW79" i="177"/>
  <c r="BU81" i="177"/>
  <c r="BU83" i="177" s="1"/>
  <c r="BU84" i="177" s="1"/>
  <c r="BU86" i="177" s="1"/>
  <c r="BU87" i="177" s="1"/>
  <c r="BZ77" i="176"/>
  <c r="BZ81" i="176"/>
  <c r="BZ83" i="176" s="1"/>
  <c r="BZ84" i="176" s="1"/>
  <c r="BZ86" i="176" s="1"/>
  <c r="BZ87" i="176" s="1"/>
  <c r="CB79" i="176"/>
  <c r="CE79" i="157"/>
  <c r="CG79" i="158"/>
  <c r="CE77" i="158"/>
  <c r="CE81" i="158"/>
  <c r="CE83" i="158" s="1"/>
  <c r="CE84" i="158" s="1"/>
  <c r="CE86" i="158" s="1"/>
  <c r="CE87" i="158" s="1"/>
  <c r="AB77" i="174"/>
  <c r="AB81" i="174"/>
  <c r="AB83" i="174" s="1"/>
  <c r="AB84" i="174" s="1"/>
  <c r="W79" i="174"/>
  <c r="AD79" i="174"/>
  <c r="AI79" i="177"/>
  <c r="AG77" i="177"/>
  <c r="AG81" i="177"/>
  <c r="AG83" i="177" s="1"/>
  <c r="AG84" i="177" s="1"/>
  <c r="AG86" i="177" s="1"/>
  <c r="AG87" i="177" s="1"/>
  <c r="BW79" i="176"/>
  <c r="BU77" i="176"/>
  <c r="BU81" i="176"/>
  <c r="BU83" i="176" s="1"/>
  <c r="BU84" i="176" s="1"/>
  <c r="BU86" i="176" s="1"/>
  <c r="BU87" i="176" s="1"/>
  <c r="M77" i="157"/>
  <c r="O79" i="157"/>
  <c r="M81" i="157"/>
  <c r="M83" i="157" s="1"/>
  <c r="M84" i="157" s="1"/>
  <c r="M86" i="157" s="1"/>
  <c r="M87" i="157" s="1"/>
  <c r="M77" i="174"/>
  <c r="O79" i="174"/>
  <c r="M81" i="174"/>
  <c r="M83" i="174" s="1"/>
  <c r="M84" i="174" s="1"/>
  <c r="M86" i="174" s="1"/>
  <c r="M87" i="174" s="1"/>
  <c r="BA77" i="157"/>
  <c r="BC79" i="157"/>
  <c r="BA81" i="157"/>
  <c r="BA83" i="157" s="1"/>
  <c r="BA84" i="157" s="1"/>
  <c r="BA86" i="157" s="1"/>
  <c r="BA87" i="157" s="1"/>
  <c r="AD79" i="157"/>
  <c r="AB77" i="157"/>
  <c r="AB81" i="157"/>
  <c r="AB83" i="157" s="1"/>
  <c r="AB84" i="157" s="1"/>
  <c r="AV77" i="158"/>
  <c r="AX79" i="158"/>
  <c r="AV81" i="158"/>
  <c r="AV83" i="158" s="1"/>
  <c r="AV84" i="158" s="1"/>
  <c r="AV86" i="158" s="1"/>
  <c r="AV87" i="158" s="1"/>
  <c r="AV79" i="157"/>
  <c r="BZ77" i="177"/>
  <c r="CB79" i="177"/>
  <c r="BZ81" i="177"/>
  <c r="BZ83" i="177" s="1"/>
  <c r="BZ84" i="177" s="1"/>
  <c r="BZ86" i="177" s="1"/>
  <c r="BZ87" i="177" s="1"/>
  <c r="AN79" i="176"/>
  <c r="AL77" i="176"/>
  <c r="AL81" i="176"/>
  <c r="AL83" i="176" s="1"/>
  <c r="AL84" i="176" s="1"/>
  <c r="AL86" i="176" s="1"/>
  <c r="AL87" i="176" s="1"/>
  <c r="AI79" i="176"/>
  <c r="AG77" i="176"/>
  <c r="AG81" i="176"/>
  <c r="AG83" i="176" s="1"/>
  <c r="AG84" i="176" s="1"/>
  <c r="AG86" i="176" s="1"/>
  <c r="AG87" i="176" s="1"/>
  <c r="BZ81" i="174"/>
  <c r="BZ83" i="174" s="1"/>
  <c r="BZ84" i="174" s="1"/>
  <c r="BZ86" i="174" s="1"/>
  <c r="BZ87" i="174" s="1"/>
  <c r="CB79" i="174"/>
  <c r="BZ77" i="174"/>
  <c r="BP77" i="177"/>
  <c r="BP81" i="177"/>
  <c r="BP83" i="177" s="1"/>
  <c r="BP84" i="177" s="1"/>
  <c r="BP86" i="177" s="1"/>
  <c r="BP87" i="177" s="1"/>
  <c r="BR79" i="177"/>
  <c r="AD79" i="176"/>
  <c r="AB77" i="176"/>
  <c r="W79" i="176"/>
  <c r="AB81" i="176"/>
  <c r="AB83" i="176" s="1"/>
  <c r="AB84" i="176" s="1"/>
  <c r="AB77" i="177"/>
  <c r="W79" i="177"/>
  <c r="AD79" i="177"/>
  <c r="AB81" i="177"/>
  <c r="AB83" i="177" s="1"/>
  <c r="AB84" i="177" s="1"/>
  <c r="CE77" i="174"/>
  <c r="CG79" i="174"/>
  <c r="CE81" i="174"/>
  <c r="CE83" i="174" s="1"/>
  <c r="CE84" i="174" s="1"/>
  <c r="CE86" i="174" s="1"/>
  <c r="CE87" i="174" s="1"/>
  <c r="H81" i="175"/>
  <c r="H83" i="175" s="1"/>
  <c r="H84" i="175" s="1"/>
  <c r="H86" i="175" s="1"/>
  <c r="H87" i="175" s="1"/>
  <c r="J79" i="175"/>
  <c r="H77" i="175"/>
  <c r="BF77" i="175"/>
  <c r="BH79" i="175"/>
  <c r="BF81" i="175"/>
  <c r="BF83" i="175" s="1"/>
  <c r="BF84" i="175" s="1"/>
  <c r="BF86" i="175" s="1"/>
  <c r="BF87" i="175" s="1"/>
  <c r="AS79" i="176"/>
  <c r="AQ77" i="176"/>
  <c r="AQ81" i="176"/>
  <c r="AQ83" i="176" s="1"/>
  <c r="AQ84" i="176" s="1"/>
  <c r="AQ86" i="176" s="1"/>
  <c r="AQ87" i="176" s="1"/>
  <c r="M77" i="158"/>
  <c r="O79" i="158"/>
  <c r="M81" i="158"/>
  <c r="M83" i="158" s="1"/>
  <c r="M84" i="158" s="1"/>
  <c r="M86" i="158" s="1"/>
  <c r="M87" i="158" s="1"/>
  <c r="AQ77" i="177"/>
  <c r="AS79" i="177"/>
  <c r="AQ81" i="177"/>
  <c r="AQ83" i="177" s="1"/>
  <c r="AQ84" i="177" s="1"/>
  <c r="AQ86" i="177" s="1"/>
  <c r="AQ87" i="177" s="1"/>
  <c r="AL79" i="157"/>
  <c r="AS79" i="157"/>
  <c r="AQ77" i="157"/>
  <c r="AQ81" i="157"/>
  <c r="AQ83" i="157" s="1"/>
  <c r="AQ84" i="157" s="1"/>
  <c r="AQ86" i="157" s="1"/>
  <c r="AQ87" i="157" s="1"/>
  <c r="AG79" i="157"/>
  <c r="AI79" i="158"/>
  <c r="AG77" i="158"/>
  <c r="AG81" i="158"/>
  <c r="AG83" i="158" s="1"/>
  <c r="AG84" i="158" s="1"/>
  <c r="W79" i="158"/>
  <c r="CB79" i="175"/>
  <c r="BZ77" i="175"/>
  <c r="BZ81" i="175"/>
  <c r="BZ83" i="175" s="1"/>
  <c r="BZ84" i="175" s="1"/>
  <c r="BZ86" i="175" s="1"/>
  <c r="BZ87" i="175" s="1"/>
  <c r="BR79" i="176"/>
  <c r="BP81" i="176"/>
  <c r="BP83" i="176" s="1"/>
  <c r="BP84" i="176" s="1"/>
  <c r="BP86" i="176" s="1"/>
  <c r="BP87" i="176" s="1"/>
  <c r="BP77" i="176"/>
  <c r="AL77" i="177"/>
  <c r="AN79" i="177"/>
  <c r="AL81" i="177"/>
  <c r="AL83" i="177" s="1"/>
  <c r="AL84" i="177" s="1"/>
  <c r="AL86" i="177" s="1"/>
  <c r="AL87" i="177" s="1"/>
  <c r="AN79" i="174"/>
  <c r="AL77" i="174"/>
  <c r="AL81" i="174"/>
  <c r="AL83" i="174" s="1"/>
  <c r="AL84" i="174" s="1"/>
  <c r="AL86" i="174" s="1"/>
  <c r="AL87" i="174" s="1"/>
  <c r="BR79" i="175"/>
  <c r="BP77" i="175"/>
  <c r="BP81" i="175"/>
  <c r="BP83" i="175" s="1"/>
  <c r="BP84" i="175" s="1"/>
  <c r="BP86" i="175" s="1"/>
  <c r="BP87" i="175" s="1"/>
  <c r="BH79" i="176"/>
  <c r="BF77" i="176"/>
  <c r="BF81" i="176"/>
  <c r="BF83" i="176" s="1"/>
  <c r="BF84" i="176" s="1"/>
  <c r="BF86" i="176" s="1"/>
  <c r="BF87" i="176" s="1"/>
  <c r="BZ79" i="157"/>
  <c r="BZ77" i="158"/>
  <c r="CB79" i="158"/>
  <c r="BZ81" i="158"/>
  <c r="BZ83" i="158" s="1"/>
  <c r="BZ84" i="158" s="1"/>
  <c r="BZ86" i="158" s="1"/>
  <c r="BZ87" i="158" s="1"/>
  <c r="AI79" i="174"/>
  <c r="AG77" i="174"/>
  <c r="AG81" i="174"/>
  <c r="AG83" i="174" s="1"/>
  <c r="AG84" i="174" s="1"/>
  <c r="AG86" i="174" s="1"/>
  <c r="AG87" i="174" s="1"/>
  <c r="BW79" i="175"/>
  <c r="BU77" i="175"/>
  <c r="BU81" i="175"/>
  <c r="BU83" i="175" s="1"/>
  <c r="BU84" i="175" s="1"/>
  <c r="BU86" i="175" s="1"/>
  <c r="BU87" i="175" s="1"/>
  <c r="CE77" i="176"/>
  <c r="CG79" i="176"/>
  <c r="CE81" i="176"/>
  <c r="CE83" i="176" s="1"/>
  <c r="CE84" i="176" s="1"/>
  <c r="CE86" i="176" s="1"/>
  <c r="CE87" i="176" s="1"/>
  <c r="BH79" i="177"/>
  <c r="BF77" i="177"/>
  <c r="BF81" i="177"/>
  <c r="BF83" i="177" s="1"/>
  <c r="BF84" i="177" s="1"/>
  <c r="BF86" i="177" s="1"/>
  <c r="BF87" i="177" s="1"/>
  <c r="BW79" i="174"/>
  <c r="BU77" i="174"/>
  <c r="BU81" i="174"/>
  <c r="BU83" i="174" s="1"/>
  <c r="BU84" i="174" s="1"/>
  <c r="BU86" i="174" s="1"/>
  <c r="BU87" i="174" s="1"/>
  <c r="M77" i="175"/>
  <c r="M81" i="175"/>
  <c r="M83" i="175" s="1"/>
  <c r="M84" i="175" s="1"/>
  <c r="M86" i="175" s="1"/>
  <c r="M87" i="175" s="1"/>
  <c r="O79" i="175"/>
  <c r="H77" i="157"/>
  <c r="J79" i="157"/>
  <c r="H81" i="157"/>
  <c r="H83" i="157" s="1"/>
  <c r="H84" i="157" s="1"/>
  <c r="H86" i="157" s="1"/>
  <c r="H87" i="157" s="1"/>
  <c r="AN79" i="175"/>
  <c r="AL77" i="175"/>
  <c r="AL81" i="175"/>
  <c r="AL83" i="175" s="1"/>
  <c r="AL84" i="175" s="1"/>
  <c r="AL86" i="175" s="1"/>
  <c r="AL87" i="175" s="1"/>
  <c r="H77" i="174"/>
  <c r="J79" i="174"/>
  <c r="H81" i="174"/>
  <c r="H83" i="174" s="1"/>
  <c r="H84" i="174" s="1"/>
  <c r="H86" i="174" s="1"/>
  <c r="H87" i="174" s="1"/>
  <c r="BU79" i="157"/>
  <c r="BU77" i="158"/>
  <c r="BW79" i="158"/>
  <c r="BU81" i="158"/>
  <c r="BU83" i="158" s="1"/>
  <c r="BU84" i="158" s="1"/>
  <c r="BU86" i="158" s="1"/>
  <c r="BU87" i="158" s="1"/>
  <c r="CE77" i="175"/>
  <c r="CG79" i="175"/>
  <c r="CE81" i="175"/>
  <c r="CE83" i="175" s="1"/>
  <c r="CE84" i="175" s="1"/>
  <c r="CE86" i="175" s="1"/>
  <c r="CE87" i="175" s="1"/>
  <c r="AB81" i="175"/>
  <c r="AB83" i="175" s="1"/>
  <c r="AB84" i="175" s="1"/>
  <c r="W79" i="175"/>
  <c r="AD79" i="175"/>
  <c r="AB77" i="175"/>
  <c r="M77" i="176"/>
  <c r="O79" i="176"/>
  <c r="M81" i="176"/>
  <c r="M83" i="176" s="1"/>
  <c r="M84" i="176" s="1"/>
  <c r="M86" i="176" s="1"/>
  <c r="M87" i="176" s="1"/>
  <c r="BP79" i="157"/>
  <c r="BP77" i="158"/>
  <c r="BR79" i="158"/>
  <c r="BP81" i="158"/>
  <c r="BP83" i="158" s="1"/>
  <c r="BP84" i="158" s="1"/>
  <c r="BP86" i="158" s="1"/>
  <c r="BP87" i="158" s="1"/>
  <c r="BP81" i="174"/>
  <c r="BP83" i="174" s="1"/>
  <c r="BP84" i="174" s="1"/>
  <c r="BP86" i="174" s="1"/>
  <c r="BP87" i="174" s="1"/>
  <c r="BR79" i="174"/>
  <c r="BP77" i="174"/>
  <c r="AI79" i="175"/>
  <c r="AG77" i="175"/>
  <c r="AG81" i="175"/>
  <c r="AG83" i="175" s="1"/>
  <c r="AG84" i="175" s="1"/>
  <c r="AG86" i="175" s="1"/>
  <c r="AG87" i="175" s="1"/>
  <c r="J79" i="176"/>
  <c r="H77" i="176"/>
  <c r="H81" i="176"/>
  <c r="H83" i="176" s="1"/>
  <c r="H84" i="176" s="1"/>
  <c r="H86" i="176" s="1"/>
  <c r="H87" i="176" s="1"/>
  <c r="BF79" i="157"/>
  <c r="BH79" i="158"/>
  <c r="BF77" i="158"/>
  <c r="BF81" i="158"/>
  <c r="BF83" i="158" s="1"/>
  <c r="BF84" i="158" s="1"/>
  <c r="BF86" i="158" s="1"/>
  <c r="BF87" i="158" s="1"/>
  <c r="BH79" i="174"/>
  <c r="BF77" i="174"/>
  <c r="BF81" i="174"/>
  <c r="BF83" i="174" s="1"/>
  <c r="BF84" i="174" s="1"/>
  <c r="BF86" i="174" s="1"/>
  <c r="BF87" i="174" s="1"/>
  <c r="J79" i="177"/>
  <c r="H77" i="177"/>
  <c r="H81" i="177"/>
  <c r="H83" i="177" s="1"/>
  <c r="H84" i="177" s="1"/>
  <c r="H86" i="177" s="1"/>
  <c r="H87" i="177" s="1"/>
  <c r="CB79" i="164"/>
  <c r="BZ77" i="164"/>
  <c r="BZ81" i="164"/>
  <c r="BZ83" i="164" s="1"/>
  <c r="BZ84" i="164" s="1"/>
  <c r="BZ86" i="164" s="1"/>
  <c r="BZ87" i="164" s="1"/>
  <c r="AN79" i="160"/>
  <c r="AL77" i="160"/>
  <c r="AL81" i="160"/>
  <c r="AL83" i="160" s="1"/>
  <c r="AL84" i="160" s="1"/>
  <c r="AL86" i="160" s="1"/>
  <c r="AL87" i="160" s="1"/>
  <c r="BR79" i="164"/>
  <c r="BP77" i="164"/>
  <c r="BP81" i="164"/>
  <c r="BP83" i="164" s="1"/>
  <c r="BP84" i="164" s="1"/>
  <c r="BP86" i="164" s="1"/>
  <c r="BP87" i="164" s="1"/>
  <c r="BW79" i="164"/>
  <c r="BU77" i="164"/>
  <c r="BU81" i="164"/>
  <c r="BU83" i="164" s="1"/>
  <c r="BU84" i="164" s="1"/>
  <c r="BU86" i="164" s="1"/>
  <c r="BU87" i="164" s="1"/>
  <c r="AG77" i="160"/>
  <c r="AI79" i="160"/>
  <c r="AG81" i="160"/>
  <c r="AG83" i="160" s="1"/>
  <c r="AG84" i="160" s="1"/>
  <c r="AG86" i="160" s="1"/>
  <c r="AG87" i="160" s="1"/>
  <c r="CB79" i="160"/>
  <c r="BZ77" i="160"/>
  <c r="BZ81" i="160"/>
  <c r="BZ83" i="160" s="1"/>
  <c r="BZ84" i="160" s="1"/>
  <c r="BZ86" i="160" s="1"/>
  <c r="BZ87" i="160" s="1"/>
  <c r="BU77" i="160"/>
  <c r="BW79" i="160"/>
  <c r="BU81" i="160"/>
  <c r="BU83" i="160" s="1"/>
  <c r="BU84" i="160" s="1"/>
  <c r="BU86" i="160" s="1"/>
  <c r="BU87" i="160" s="1"/>
  <c r="O79" i="164"/>
  <c r="M77" i="164"/>
  <c r="M81" i="164"/>
  <c r="M83" i="164" s="1"/>
  <c r="M84" i="164" s="1"/>
  <c r="M86" i="164" s="1"/>
  <c r="M87" i="164" s="1"/>
  <c r="BA77" i="164"/>
  <c r="BC79" i="164"/>
  <c r="BA81" i="164"/>
  <c r="BA83" i="164" s="1"/>
  <c r="BA84" i="164" s="1"/>
  <c r="BA86" i="164" s="1"/>
  <c r="BA87" i="164" s="1"/>
  <c r="W79" i="160"/>
  <c r="AD79" i="160"/>
  <c r="AB77" i="160"/>
  <c r="AB81" i="160"/>
  <c r="AB83" i="160" s="1"/>
  <c r="AB84" i="160" s="1"/>
  <c r="AN79" i="164"/>
  <c r="AL77" i="164"/>
  <c r="AL81" i="164"/>
  <c r="AL83" i="164" s="1"/>
  <c r="AL84" i="164" s="1"/>
  <c r="W79" i="164"/>
  <c r="BF77" i="164"/>
  <c r="BH79" i="164"/>
  <c r="BF81" i="164"/>
  <c r="BF83" i="164" s="1"/>
  <c r="BF84" i="164" s="1"/>
  <c r="BF86" i="164" s="1"/>
  <c r="BF87" i="164" s="1"/>
  <c r="J79" i="160"/>
  <c r="H77" i="160"/>
  <c r="H81" i="160"/>
  <c r="H83" i="160" s="1"/>
  <c r="H84" i="160" s="1"/>
  <c r="H86" i="160" s="1"/>
  <c r="H87" i="160" s="1"/>
  <c r="O79" i="160"/>
  <c r="M77" i="160"/>
  <c r="M81" i="160"/>
  <c r="M83" i="160" s="1"/>
  <c r="M84" i="160" s="1"/>
  <c r="M86" i="160" s="1"/>
  <c r="M87" i="160" s="1"/>
  <c r="BF77" i="160"/>
  <c r="BH79" i="160"/>
  <c r="BF81" i="160"/>
  <c r="BF83" i="160" s="1"/>
  <c r="BF84" i="160" s="1"/>
  <c r="BF86" i="160" s="1"/>
  <c r="BF87" i="160" s="1"/>
  <c r="BR79" i="160"/>
  <c r="BP77" i="160"/>
  <c r="BP81" i="160"/>
  <c r="BP83" i="160" s="1"/>
  <c r="BP84" i="160" s="1"/>
  <c r="BP86" i="160" s="1"/>
  <c r="BP87" i="160" s="1"/>
  <c r="AX79" i="160"/>
  <c r="AV77" i="160"/>
  <c r="AV81" i="160"/>
  <c r="AV83" i="160" s="1"/>
  <c r="AV84" i="160" s="1"/>
  <c r="AV86" i="160" s="1"/>
  <c r="AV87" i="160" s="1"/>
  <c r="BC79" i="160"/>
  <c r="BA77" i="160"/>
  <c r="BA81" i="160"/>
  <c r="BA83" i="160" s="1"/>
  <c r="BA84" i="160" s="1"/>
  <c r="BA86" i="160" s="1"/>
  <c r="BA87" i="160" s="1"/>
  <c r="J79" i="164"/>
  <c r="H77" i="164"/>
  <c r="H81" i="164"/>
  <c r="H83" i="164" s="1"/>
  <c r="H84" i="164" s="1"/>
  <c r="H86" i="164" s="1"/>
  <c r="H87" i="164" s="1"/>
  <c r="CG79" i="164"/>
  <c r="CE77" i="164"/>
  <c r="CE81" i="164"/>
  <c r="CE83" i="164" s="1"/>
  <c r="CE84" i="164" s="1"/>
  <c r="CE86" i="164" s="1"/>
  <c r="CE87" i="164" s="1"/>
  <c r="AS79" i="160"/>
  <c r="AQ77" i="160"/>
  <c r="AQ81" i="160"/>
  <c r="AQ83" i="160" s="1"/>
  <c r="AQ84" i="160" s="1"/>
  <c r="AQ86" i="160" s="1"/>
  <c r="AQ87" i="160" s="1"/>
  <c r="CE77" i="160"/>
  <c r="CG79" i="160"/>
  <c r="CE81" i="160"/>
  <c r="CE83" i="160" s="1"/>
  <c r="CE84" i="160" s="1"/>
  <c r="CE86" i="160" s="1"/>
  <c r="CE87" i="160" s="1"/>
  <c r="AQ77" i="164"/>
  <c r="AS79" i="164"/>
  <c r="AQ81" i="164"/>
  <c r="AQ83" i="164" s="1"/>
  <c r="AQ84" i="164" s="1"/>
  <c r="AQ86" i="164" s="1"/>
  <c r="AQ87" i="164" s="1"/>
  <c r="AV77" i="164"/>
  <c r="AX79" i="164"/>
  <c r="AV81" i="164"/>
  <c r="AV83" i="164" s="1"/>
  <c r="AV84" i="164" s="1"/>
  <c r="AV86" i="164" s="1"/>
  <c r="AV87" i="164" s="1"/>
  <c r="DU79" i="82"/>
  <c r="DS77" i="82"/>
  <c r="DS81" i="82"/>
  <c r="DS83" i="82" s="1"/>
  <c r="DS84" i="82" s="1"/>
  <c r="DS86" i="82" s="1"/>
  <c r="DS87" i="82" s="1"/>
  <c r="AD79" i="166"/>
  <c r="AB77" i="166"/>
  <c r="W79" i="166"/>
  <c r="AB81" i="166"/>
  <c r="AB83" i="166" s="1"/>
  <c r="AB84" i="166" s="1"/>
  <c r="BW79" i="166"/>
  <c r="BU77" i="166"/>
  <c r="BU81" i="166"/>
  <c r="BU83" i="166" s="1"/>
  <c r="BU84" i="166" s="1"/>
  <c r="BU86" i="166" s="1"/>
  <c r="BU87" i="166" s="1"/>
  <c r="AQ77" i="166"/>
  <c r="AS79" i="166"/>
  <c r="AQ81" i="166"/>
  <c r="AQ83" i="166" s="1"/>
  <c r="AQ84" i="166" s="1"/>
  <c r="AQ86" i="166" s="1"/>
  <c r="AQ87" i="166" s="1"/>
  <c r="BH79" i="166"/>
  <c r="BF77" i="166"/>
  <c r="BF81" i="166"/>
  <c r="BF83" i="166" s="1"/>
  <c r="BF84" i="166" s="1"/>
  <c r="BF86" i="166" s="1"/>
  <c r="BF87" i="166" s="1"/>
  <c r="AV77" i="166"/>
  <c r="AX79" i="166"/>
  <c r="AV81" i="166"/>
  <c r="AV83" i="166" s="1"/>
  <c r="AV84" i="166" s="1"/>
  <c r="AV86" i="166" s="1"/>
  <c r="AV87" i="166" s="1"/>
  <c r="CB79" i="166"/>
  <c r="BZ77" i="166"/>
  <c r="BZ81" i="166"/>
  <c r="BZ83" i="166" s="1"/>
  <c r="BZ84" i="166" s="1"/>
  <c r="BZ86" i="166" s="1"/>
  <c r="BZ87" i="166" s="1"/>
  <c r="AL77" i="166"/>
  <c r="AN79" i="166"/>
  <c r="AL81" i="166"/>
  <c r="AL83" i="166" s="1"/>
  <c r="AL84" i="166" s="1"/>
  <c r="AL86" i="166" s="1"/>
  <c r="AL87" i="166" s="1"/>
  <c r="J79" i="166"/>
  <c r="H77" i="166"/>
  <c r="H81" i="166"/>
  <c r="H83" i="166" s="1"/>
  <c r="H84" i="166" s="1"/>
  <c r="H86" i="166" s="1"/>
  <c r="H87" i="166" s="1"/>
  <c r="AG77" i="166"/>
  <c r="AI79" i="166"/>
  <c r="AG81" i="166"/>
  <c r="AG83" i="166" s="1"/>
  <c r="AG84" i="166" s="1"/>
  <c r="AG86" i="166" s="1"/>
  <c r="AG87" i="166" s="1"/>
  <c r="CG79" i="166"/>
  <c r="CE77" i="166"/>
  <c r="CE81" i="166"/>
  <c r="CE83" i="166" s="1"/>
  <c r="CE84" i="166" s="1"/>
  <c r="CE86" i="166" s="1"/>
  <c r="CE87" i="166" s="1"/>
  <c r="O79" i="166"/>
  <c r="M77" i="166"/>
  <c r="M81" i="166"/>
  <c r="M83" i="166" s="1"/>
  <c r="M84" i="166" s="1"/>
  <c r="M86" i="166" s="1"/>
  <c r="M87" i="166" s="1"/>
  <c r="BR79" i="166"/>
  <c r="BP77" i="166"/>
  <c r="BP81" i="166"/>
  <c r="BP83" i="166" s="1"/>
  <c r="BP84" i="166" s="1"/>
  <c r="BP86" i="166" s="1"/>
  <c r="BP87" i="166" s="1"/>
  <c r="BA77" i="166"/>
  <c r="BC79" i="166"/>
  <c r="BA81" i="166"/>
  <c r="BA83" i="166" s="1"/>
  <c r="BA84" i="166" s="1"/>
  <c r="BA86" i="166" s="1"/>
  <c r="BA87" i="166" s="1"/>
  <c r="R76" i="142"/>
  <c r="R81" i="142"/>
  <c r="R83" i="142" s="1"/>
  <c r="R84" i="142" s="1"/>
  <c r="R86" i="142" s="1"/>
  <c r="R87" i="142" s="1"/>
  <c r="S39" i="142"/>
  <c r="S75" i="142"/>
  <c r="W79" i="157" l="1"/>
  <c r="W77" i="157"/>
  <c r="Y79" i="157"/>
  <c r="CJ79" i="157"/>
  <c r="W81" i="157"/>
  <c r="W83" i="157" s="1"/>
  <c r="BH77" i="174"/>
  <c r="BH89" i="174"/>
  <c r="BH81" i="174"/>
  <c r="BH83" i="174" s="1"/>
  <c r="BH84" i="174" s="1"/>
  <c r="BH86" i="174" s="1"/>
  <c r="BH87" i="174" s="1"/>
  <c r="BH79" i="157"/>
  <c r="BF77" i="157"/>
  <c r="BF81" i="157"/>
  <c r="BF83" i="157" s="1"/>
  <c r="BF84" i="157" s="1"/>
  <c r="BF86" i="157" s="1"/>
  <c r="BF87" i="157" s="1"/>
  <c r="BR77" i="174"/>
  <c r="BR89" i="174"/>
  <c r="BR81" i="174"/>
  <c r="BR83" i="174" s="1"/>
  <c r="BR84" i="174" s="1"/>
  <c r="BR86" i="174" s="1"/>
  <c r="BR87" i="174" s="1"/>
  <c r="W81" i="175"/>
  <c r="W83" i="175" s="1"/>
  <c r="Y79" i="175"/>
  <c r="W77" i="175"/>
  <c r="BU77" i="157"/>
  <c r="BW79" i="157"/>
  <c r="BU81" i="157"/>
  <c r="BU83" i="157" s="1"/>
  <c r="BU84" i="157" s="1"/>
  <c r="BU86" i="157" s="1"/>
  <c r="BU87" i="157" s="1"/>
  <c r="J77" i="157"/>
  <c r="J89" i="157"/>
  <c r="K79" i="157"/>
  <c r="J81" i="157"/>
  <c r="J83" i="157" s="1"/>
  <c r="J84" i="157" s="1"/>
  <c r="J86" i="157" s="1"/>
  <c r="J87" i="157" s="1"/>
  <c r="BW77" i="174"/>
  <c r="BW81" i="174"/>
  <c r="BW83" i="174" s="1"/>
  <c r="BW84" i="174" s="1"/>
  <c r="BW86" i="174" s="1"/>
  <c r="BW87" i="174" s="1"/>
  <c r="BW89" i="174"/>
  <c r="AI77" i="174"/>
  <c r="AI89" i="174"/>
  <c r="AI81" i="174"/>
  <c r="AI83" i="174" s="1"/>
  <c r="AI84" i="174" s="1"/>
  <c r="AI86" i="174" s="1"/>
  <c r="AI87" i="174" s="1"/>
  <c r="BZ77" i="157"/>
  <c r="CB79" i="157"/>
  <c r="BZ81" i="157"/>
  <c r="BZ83" i="157" s="1"/>
  <c r="BZ84" i="157" s="1"/>
  <c r="BZ86" i="157" s="1"/>
  <c r="BZ87" i="157" s="1"/>
  <c r="AG86" i="158"/>
  <c r="AG87" i="158" s="1"/>
  <c r="W84" i="158"/>
  <c r="W86" i="158" s="1"/>
  <c r="AD77" i="177"/>
  <c r="AD89" i="177"/>
  <c r="AD81" i="177"/>
  <c r="AD83" i="177" s="1"/>
  <c r="AD84" i="177" s="1"/>
  <c r="AD86" i="177" s="1"/>
  <c r="AD87" i="177" s="1"/>
  <c r="W81" i="176"/>
  <c r="W83" i="176" s="1"/>
  <c r="Y79" i="176"/>
  <c r="W77" i="176"/>
  <c r="CB77" i="177"/>
  <c r="CB89" i="177"/>
  <c r="CB81" i="177"/>
  <c r="CB83" i="177" s="1"/>
  <c r="CB84" i="177" s="1"/>
  <c r="CB86" i="177" s="1"/>
  <c r="CB87" i="177" s="1"/>
  <c r="AX77" i="158"/>
  <c r="AX89" i="158"/>
  <c r="AX81" i="158"/>
  <c r="AX83" i="158" s="1"/>
  <c r="AX84" i="158" s="1"/>
  <c r="AX86" i="158" s="1"/>
  <c r="W84" i="174"/>
  <c r="W86" i="174" s="1"/>
  <c r="AB86" i="174"/>
  <c r="AB87" i="174" s="1"/>
  <c r="CG77" i="158"/>
  <c r="CG81" i="158"/>
  <c r="CG83" i="158" s="1"/>
  <c r="CG84" i="158" s="1"/>
  <c r="CG86" i="158" s="1"/>
  <c r="CG87" i="158" s="1"/>
  <c r="CG89" i="158"/>
  <c r="AS77" i="174"/>
  <c r="AS89" i="174"/>
  <c r="AS81" i="174"/>
  <c r="AS83" i="174" s="1"/>
  <c r="AS84" i="174" s="1"/>
  <c r="AS86" i="174" s="1"/>
  <c r="AS87" i="174" s="1"/>
  <c r="O77" i="177"/>
  <c r="O89" i="177"/>
  <c r="P79" i="177"/>
  <c r="O81" i="177"/>
  <c r="O83" i="177" s="1"/>
  <c r="O84" i="177" s="1"/>
  <c r="O86" i="177" s="1"/>
  <c r="O87" i="177" s="1"/>
  <c r="CG77" i="177"/>
  <c r="CG81" i="177"/>
  <c r="CG83" i="177" s="1"/>
  <c r="CG84" i="177" s="1"/>
  <c r="CG86" i="177" s="1"/>
  <c r="CG87" i="177" s="1"/>
  <c r="CG89" i="177"/>
  <c r="J77" i="177"/>
  <c r="J89" i="177"/>
  <c r="K79" i="177" s="1"/>
  <c r="J81" i="177"/>
  <c r="J83" i="177" s="1"/>
  <c r="J84" i="177" s="1"/>
  <c r="J86" i="177" s="1"/>
  <c r="J87" i="177" s="1"/>
  <c r="BP77" i="157"/>
  <c r="BR79" i="157"/>
  <c r="BP81" i="157"/>
  <c r="BP83" i="157" s="1"/>
  <c r="BP84" i="157" s="1"/>
  <c r="BP86" i="157" s="1"/>
  <c r="BP87" i="157" s="1"/>
  <c r="AB86" i="175"/>
  <c r="AB87" i="175" s="1"/>
  <c r="W84" i="175"/>
  <c r="W86" i="175" s="1"/>
  <c r="CG77" i="176"/>
  <c r="CG89" i="176"/>
  <c r="CG81" i="176"/>
  <c r="CG83" i="176" s="1"/>
  <c r="CG84" i="176" s="1"/>
  <c r="CG86" i="176" s="1"/>
  <c r="CG87" i="176" s="1"/>
  <c r="BW77" i="175"/>
  <c r="BW89" i="175"/>
  <c r="BW81" i="175"/>
  <c r="BW83" i="175" s="1"/>
  <c r="BW84" i="175" s="1"/>
  <c r="BW86" i="175" s="1"/>
  <c r="BW87" i="175" s="1"/>
  <c r="AN77" i="174"/>
  <c r="AN89" i="174"/>
  <c r="AN81" i="174"/>
  <c r="AN83" i="174" s="1"/>
  <c r="AN84" i="174" s="1"/>
  <c r="AN86" i="174" s="1"/>
  <c r="AN87" i="174" s="1"/>
  <c r="AS77" i="177"/>
  <c r="AS89" i="177"/>
  <c r="AS81" i="177"/>
  <c r="AS83" i="177" s="1"/>
  <c r="AS84" i="177" s="1"/>
  <c r="AS86" i="177" s="1"/>
  <c r="AS87" i="177" s="1"/>
  <c r="O77" i="158"/>
  <c r="O89" i="158"/>
  <c r="O81" i="158"/>
  <c r="O83" i="158" s="1"/>
  <c r="O84" i="158" s="1"/>
  <c r="O86" i="158" s="1"/>
  <c r="O87" i="158" s="1"/>
  <c r="P79" i="158"/>
  <c r="AS77" i="176"/>
  <c r="AS89" i="176"/>
  <c r="AS81" i="176"/>
  <c r="AS83" i="176" s="1"/>
  <c r="AS84" i="176" s="1"/>
  <c r="AS86" i="176" s="1"/>
  <c r="AS87" i="176" s="1"/>
  <c r="CG77" i="174"/>
  <c r="CG89" i="174"/>
  <c r="CG81" i="174"/>
  <c r="CG83" i="174" s="1"/>
  <c r="CG84" i="174" s="1"/>
  <c r="CG86" i="174" s="1"/>
  <c r="CG87" i="174" s="1"/>
  <c r="Y79" i="177"/>
  <c r="W81" i="177"/>
  <c r="W83" i="177" s="1"/>
  <c r="W77" i="177"/>
  <c r="AD77" i="157"/>
  <c r="AD89" i="157"/>
  <c r="AD81" i="157"/>
  <c r="AD83" i="157" s="1"/>
  <c r="AD84" i="157" s="1"/>
  <c r="AD86" i="157" s="1"/>
  <c r="AD87" i="157" s="1"/>
  <c r="AI77" i="177"/>
  <c r="AI89" i="177"/>
  <c r="AI81" i="177"/>
  <c r="AI83" i="177" s="1"/>
  <c r="AI84" i="177" s="1"/>
  <c r="AI86" i="177" s="1"/>
  <c r="AI87" i="177" s="1"/>
  <c r="CG79" i="157"/>
  <c r="CE77" i="157"/>
  <c r="CE81" i="157"/>
  <c r="CE83" i="157" s="1"/>
  <c r="CE84" i="157" s="1"/>
  <c r="CE86" i="157" s="1"/>
  <c r="CE87" i="157" s="1"/>
  <c r="AI77" i="175"/>
  <c r="AI89" i="175"/>
  <c r="AI81" i="175"/>
  <c r="AI83" i="175" s="1"/>
  <c r="AI84" i="175" s="1"/>
  <c r="AI86" i="175" s="1"/>
  <c r="AI87" i="175" s="1"/>
  <c r="BW77" i="158"/>
  <c r="BW81" i="158"/>
  <c r="BW83" i="158" s="1"/>
  <c r="BW84" i="158" s="1"/>
  <c r="BW86" i="158" s="1"/>
  <c r="BW87" i="158" s="1"/>
  <c r="BW89" i="158"/>
  <c r="J77" i="174"/>
  <c r="J89" i="174"/>
  <c r="J81" i="174"/>
  <c r="J83" i="174" s="1"/>
  <c r="J84" i="174" s="1"/>
  <c r="J86" i="174" s="1"/>
  <c r="J87" i="174" s="1"/>
  <c r="AN77" i="175"/>
  <c r="AN89" i="175"/>
  <c r="AN81" i="175"/>
  <c r="AN83" i="175" s="1"/>
  <c r="AN84" i="175" s="1"/>
  <c r="AN86" i="175" s="1"/>
  <c r="AN87" i="175" s="1"/>
  <c r="CB77" i="158"/>
  <c r="CB89" i="158"/>
  <c r="CB81" i="158"/>
  <c r="CB83" i="158" s="1"/>
  <c r="CB84" i="158" s="1"/>
  <c r="CB86" i="158" s="1"/>
  <c r="CB87" i="158" s="1"/>
  <c r="BR77" i="175"/>
  <c r="BR89" i="175"/>
  <c r="BR81" i="175"/>
  <c r="BR83" i="175" s="1"/>
  <c r="BR84" i="175" s="1"/>
  <c r="BR86" i="175" s="1"/>
  <c r="BR87" i="175" s="1"/>
  <c r="CB77" i="175"/>
  <c r="CB89" i="175"/>
  <c r="CB81" i="175"/>
  <c r="CB83" i="175" s="1"/>
  <c r="CB84" i="175" s="1"/>
  <c r="CB86" i="175" s="1"/>
  <c r="CB87" i="175" s="1"/>
  <c r="AI77" i="158"/>
  <c r="AI89" i="158"/>
  <c r="AI81" i="158"/>
  <c r="AI83" i="158" s="1"/>
  <c r="AI84" i="158" s="1"/>
  <c r="AI86" i="158" s="1"/>
  <c r="AI87" i="158" s="1"/>
  <c r="AS77" i="157"/>
  <c r="AS89" i="157"/>
  <c r="AS81" i="157"/>
  <c r="AS83" i="157" s="1"/>
  <c r="AS84" i="157" s="1"/>
  <c r="AS86" i="157" s="1"/>
  <c r="AS87" i="157" s="1"/>
  <c r="J89" i="175"/>
  <c r="K79" i="175"/>
  <c r="J81" i="175"/>
  <c r="J83" i="175" s="1"/>
  <c r="J84" i="175" s="1"/>
  <c r="J86" i="175" s="1"/>
  <c r="J87" i="175" s="1"/>
  <c r="J77" i="175"/>
  <c r="AD77" i="176"/>
  <c r="AD89" i="176"/>
  <c r="AD81" i="176"/>
  <c r="AD83" i="176" s="1"/>
  <c r="AD84" i="176" s="1"/>
  <c r="AD86" i="176" s="1"/>
  <c r="AD87" i="176" s="1"/>
  <c r="AN77" i="176"/>
  <c r="AN89" i="176"/>
  <c r="AN81" i="176"/>
  <c r="AN83" i="176" s="1"/>
  <c r="AN84" i="176" s="1"/>
  <c r="AN86" i="176" s="1"/>
  <c r="AN87" i="176" s="1"/>
  <c r="AV77" i="157"/>
  <c r="AX79" i="157"/>
  <c r="AV81" i="157"/>
  <c r="AV83" i="157" s="1"/>
  <c r="AV84" i="157" s="1"/>
  <c r="AV86" i="157" s="1"/>
  <c r="AV87" i="157" s="1"/>
  <c r="AB86" i="157"/>
  <c r="AB87" i="157" s="1"/>
  <c r="O77" i="174"/>
  <c r="O89" i="174"/>
  <c r="P79" i="174"/>
  <c r="O81" i="174"/>
  <c r="O83" i="174" s="1"/>
  <c r="O84" i="174" s="1"/>
  <c r="O86" i="174" s="1"/>
  <c r="O87" i="174" s="1"/>
  <c r="O77" i="157"/>
  <c r="O89" i="157"/>
  <c r="P79" i="157" s="1"/>
  <c r="O81" i="157"/>
  <c r="O83" i="157" s="1"/>
  <c r="O84" i="157" s="1"/>
  <c r="O86" i="157" s="1"/>
  <c r="O87" i="157" s="1"/>
  <c r="BW77" i="176"/>
  <c r="BW89" i="176"/>
  <c r="BW81" i="176"/>
  <c r="BW83" i="176" s="1"/>
  <c r="BW84" i="176" s="1"/>
  <c r="BW86" i="176" s="1"/>
  <c r="BW87" i="176" s="1"/>
  <c r="AD77" i="174"/>
  <c r="AD89" i="174"/>
  <c r="AD81" i="174"/>
  <c r="AD83" i="174" s="1"/>
  <c r="AD84" i="174" s="1"/>
  <c r="AD86" i="174" s="1"/>
  <c r="AD87" i="174" s="1"/>
  <c r="CB77" i="176"/>
  <c r="CB89" i="176"/>
  <c r="CB81" i="176"/>
  <c r="CB83" i="176" s="1"/>
  <c r="CB84" i="176" s="1"/>
  <c r="CB86" i="176" s="1"/>
  <c r="CB87" i="176" s="1"/>
  <c r="BW77" i="177"/>
  <c r="BW89" i="177"/>
  <c r="BW81" i="177"/>
  <c r="BW83" i="177" s="1"/>
  <c r="BW84" i="177" s="1"/>
  <c r="BW86" i="177" s="1"/>
  <c r="BW87" i="177" s="1"/>
  <c r="AS77" i="175"/>
  <c r="AS89" i="175"/>
  <c r="AS81" i="175"/>
  <c r="AS83" i="175" s="1"/>
  <c r="AS84" i="175" s="1"/>
  <c r="AS86" i="175" s="1"/>
  <c r="AS87" i="175" s="1"/>
  <c r="BH77" i="158"/>
  <c r="BH89" i="158"/>
  <c r="BH81" i="158"/>
  <c r="BH83" i="158" s="1"/>
  <c r="BH84" i="158" s="1"/>
  <c r="BH86" i="158" s="1"/>
  <c r="BH87" i="158" s="1"/>
  <c r="J77" i="176"/>
  <c r="J89" i="176"/>
  <c r="K79" i="176" s="1"/>
  <c r="J81" i="176"/>
  <c r="J83" i="176" s="1"/>
  <c r="J84" i="176" s="1"/>
  <c r="J86" i="176" s="1"/>
  <c r="J87" i="176" s="1"/>
  <c r="BR77" i="158"/>
  <c r="BR89" i="158"/>
  <c r="BR81" i="158"/>
  <c r="BR83" i="158" s="1"/>
  <c r="BR84" i="158" s="1"/>
  <c r="BR86" i="158" s="1"/>
  <c r="BR87" i="158" s="1"/>
  <c r="O89" i="176"/>
  <c r="O77" i="176"/>
  <c r="O81" i="176"/>
  <c r="O83" i="176" s="1"/>
  <c r="O84" i="176" s="1"/>
  <c r="O86" i="176" s="1"/>
  <c r="O87" i="176" s="1"/>
  <c r="AD77" i="175"/>
  <c r="AD81" i="175"/>
  <c r="AD83" i="175" s="1"/>
  <c r="AD84" i="175" s="1"/>
  <c r="AD86" i="175" s="1"/>
  <c r="AD87" i="175" s="1"/>
  <c r="AD89" i="175"/>
  <c r="CG77" i="175"/>
  <c r="CG89" i="175"/>
  <c r="CG81" i="175"/>
  <c r="CG83" i="175" s="1"/>
  <c r="CG84" i="175" s="1"/>
  <c r="CG86" i="175" s="1"/>
  <c r="CG87" i="175" s="1"/>
  <c r="O81" i="175"/>
  <c r="O83" i="175" s="1"/>
  <c r="O84" i="175" s="1"/>
  <c r="O86" i="175" s="1"/>
  <c r="O87" i="175" s="1"/>
  <c r="O89" i="175"/>
  <c r="O77" i="175"/>
  <c r="BH77" i="177"/>
  <c r="BH89" i="177"/>
  <c r="BH81" i="177"/>
  <c r="BH83" i="177" s="1"/>
  <c r="BH84" i="177" s="1"/>
  <c r="BH86" i="177" s="1"/>
  <c r="BH87" i="177" s="1"/>
  <c r="BH77" i="176"/>
  <c r="BH89" i="176"/>
  <c r="BH81" i="176"/>
  <c r="BH83" i="176" s="1"/>
  <c r="BH84" i="176" s="1"/>
  <c r="BH86" i="176" s="1"/>
  <c r="BH87" i="176" s="1"/>
  <c r="AN77" i="177"/>
  <c r="AN89" i="177"/>
  <c r="AN81" i="177"/>
  <c r="AN83" i="177" s="1"/>
  <c r="AN84" i="177" s="1"/>
  <c r="AN86" i="177" s="1"/>
  <c r="AN87" i="177" s="1"/>
  <c r="BR77" i="176"/>
  <c r="BR81" i="176"/>
  <c r="BR83" i="176" s="1"/>
  <c r="BR84" i="176" s="1"/>
  <c r="BR86" i="176" s="1"/>
  <c r="BR87" i="176" s="1"/>
  <c r="BR89" i="176"/>
  <c r="W81" i="158"/>
  <c r="W83" i="158" s="1"/>
  <c r="Y79" i="158"/>
  <c r="W77" i="158"/>
  <c r="AI79" i="157"/>
  <c r="AG77" i="157"/>
  <c r="AG81" i="157"/>
  <c r="AG83" i="157" s="1"/>
  <c r="AG84" i="157" s="1"/>
  <c r="AG86" i="157" s="1"/>
  <c r="AG87" i="157" s="1"/>
  <c r="AN79" i="157"/>
  <c r="AL77" i="157"/>
  <c r="AL81" i="157"/>
  <c r="AL83" i="157" s="1"/>
  <c r="AL84" i="157" s="1"/>
  <c r="AL86" i="157" s="1"/>
  <c r="AL87" i="157" s="1"/>
  <c r="BH77" i="175"/>
  <c r="BH89" i="175"/>
  <c r="BH81" i="175"/>
  <c r="BH83" i="175" s="1"/>
  <c r="BH84" i="175" s="1"/>
  <c r="BH86" i="175" s="1"/>
  <c r="BH87" i="175" s="1"/>
  <c r="W84" i="177"/>
  <c r="W86" i="177" s="1"/>
  <c r="AB86" i="177"/>
  <c r="AB87" i="177" s="1"/>
  <c r="W84" i="176"/>
  <c r="W86" i="176" s="1"/>
  <c r="AB86" i="176"/>
  <c r="AB87" i="176" s="1"/>
  <c r="BR77" i="177"/>
  <c r="BR81" i="177"/>
  <c r="BR83" i="177" s="1"/>
  <c r="BR84" i="177" s="1"/>
  <c r="BR86" i="177" s="1"/>
  <c r="BR87" i="177" s="1"/>
  <c r="BR89" i="177"/>
  <c r="CB77" i="174"/>
  <c r="CB89" i="174"/>
  <c r="CB81" i="174"/>
  <c r="CB83" i="174" s="1"/>
  <c r="CB84" i="174" s="1"/>
  <c r="CB86" i="174" s="1"/>
  <c r="CB87" i="174" s="1"/>
  <c r="AI77" i="176"/>
  <c r="AI89" i="176"/>
  <c r="AI81" i="176"/>
  <c r="AI83" i="176" s="1"/>
  <c r="AI84" i="176" s="1"/>
  <c r="AI86" i="176" s="1"/>
  <c r="AI87" i="176" s="1"/>
  <c r="BC77" i="157"/>
  <c r="BC89" i="157"/>
  <c r="BC81" i="157"/>
  <c r="BC83" i="157" s="1"/>
  <c r="BC84" i="157" s="1"/>
  <c r="BC86" i="157" s="1"/>
  <c r="BC87" i="157" s="1"/>
  <c r="W81" i="174"/>
  <c r="W83" i="174" s="1"/>
  <c r="W77" i="174"/>
  <c r="Y79" i="174"/>
  <c r="J89" i="158"/>
  <c r="J77" i="158"/>
  <c r="J81" i="158"/>
  <c r="J83" i="158" s="1"/>
  <c r="J84" i="158" s="1"/>
  <c r="J86" i="158" s="1"/>
  <c r="J87" i="158" s="1"/>
  <c r="AS77" i="164"/>
  <c r="AS89" i="164"/>
  <c r="AS81" i="164"/>
  <c r="AS83" i="164" s="1"/>
  <c r="AS84" i="164" s="1"/>
  <c r="AS86" i="164" s="1"/>
  <c r="AS87" i="164" s="1"/>
  <c r="J89" i="160"/>
  <c r="K79" i="160" s="1"/>
  <c r="J77" i="160"/>
  <c r="J81" i="160"/>
  <c r="J83" i="160" s="1"/>
  <c r="J84" i="160" s="1"/>
  <c r="J86" i="160" s="1"/>
  <c r="J87" i="160" s="1"/>
  <c r="O77" i="164"/>
  <c r="O89" i="164"/>
  <c r="O81" i="164"/>
  <c r="O83" i="164" s="1"/>
  <c r="O84" i="164" s="1"/>
  <c r="O86" i="164" s="1"/>
  <c r="O87" i="164" s="1"/>
  <c r="CB77" i="160"/>
  <c r="CB89" i="160"/>
  <c r="CB81" i="160"/>
  <c r="CB83" i="160" s="1"/>
  <c r="CB84" i="160" s="1"/>
  <c r="CB86" i="160" s="1"/>
  <c r="CB87" i="160" s="1"/>
  <c r="BC77" i="160"/>
  <c r="BC89" i="160"/>
  <c r="BC81" i="160"/>
  <c r="BC83" i="160" s="1"/>
  <c r="BC84" i="160" s="1"/>
  <c r="BC86" i="160" s="1"/>
  <c r="BC87" i="160" s="1"/>
  <c r="AL86" i="164"/>
  <c r="AL87" i="164" s="1"/>
  <c r="W84" i="164"/>
  <c r="W86" i="164" s="1"/>
  <c r="AS77" i="160"/>
  <c r="AS89" i="160"/>
  <c r="AS81" i="160"/>
  <c r="AS83" i="160" s="1"/>
  <c r="AS84" i="160" s="1"/>
  <c r="AS86" i="160" s="1"/>
  <c r="AS87" i="160" s="1"/>
  <c r="AN77" i="164"/>
  <c r="AN89" i="164"/>
  <c r="AN81" i="164"/>
  <c r="AN83" i="164" s="1"/>
  <c r="AN84" i="164" s="1"/>
  <c r="AN86" i="164" s="1"/>
  <c r="AN87" i="164" s="1"/>
  <c r="BC77" i="164"/>
  <c r="BC89" i="164"/>
  <c r="BC81" i="164"/>
  <c r="BC83" i="164" s="1"/>
  <c r="BC84" i="164" s="1"/>
  <c r="BC86" i="164" s="1"/>
  <c r="BC87" i="164" s="1"/>
  <c r="BW77" i="164"/>
  <c r="BW89" i="164"/>
  <c r="BW81" i="164"/>
  <c r="BW83" i="164" s="1"/>
  <c r="BW84" i="164" s="1"/>
  <c r="BW86" i="164" s="1"/>
  <c r="BW87" i="164" s="1"/>
  <c r="AN77" i="160"/>
  <c r="AN89" i="160"/>
  <c r="AN81" i="160"/>
  <c r="AN83" i="160" s="1"/>
  <c r="AN84" i="160" s="1"/>
  <c r="AN86" i="160" s="1"/>
  <c r="AN87" i="160" s="1"/>
  <c r="BR77" i="160"/>
  <c r="BR89" i="160"/>
  <c r="BR81" i="160"/>
  <c r="BR83" i="160" s="1"/>
  <c r="BR84" i="160" s="1"/>
  <c r="BR86" i="160" s="1"/>
  <c r="BR87" i="160" s="1"/>
  <c r="Y79" i="160"/>
  <c r="W81" i="160"/>
  <c r="W83" i="160" s="1"/>
  <c r="W77" i="160"/>
  <c r="J77" i="164"/>
  <c r="J89" i="164"/>
  <c r="K79" i="164" s="1"/>
  <c r="J81" i="164"/>
  <c r="J83" i="164" s="1"/>
  <c r="J84" i="164" s="1"/>
  <c r="J86" i="164" s="1"/>
  <c r="J87" i="164" s="1"/>
  <c r="AX77" i="160"/>
  <c r="AX89" i="160"/>
  <c r="AX81" i="160"/>
  <c r="AX83" i="160" s="1"/>
  <c r="AX84" i="160" s="1"/>
  <c r="AX86" i="160" s="1"/>
  <c r="BH77" i="164"/>
  <c r="BH89" i="164"/>
  <c r="BH81" i="164"/>
  <c r="BH83" i="164" s="1"/>
  <c r="BH84" i="164" s="1"/>
  <c r="BH86" i="164" s="1"/>
  <c r="BH87" i="164" s="1"/>
  <c r="W84" i="160"/>
  <c r="W86" i="160" s="1"/>
  <c r="AB86" i="160"/>
  <c r="AB87" i="160" s="1"/>
  <c r="BW77" i="160"/>
  <c r="BW89" i="160"/>
  <c r="BW81" i="160"/>
  <c r="BW83" i="160" s="1"/>
  <c r="BW84" i="160" s="1"/>
  <c r="BW86" i="160" s="1"/>
  <c r="BW87" i="160" s="1"/>
  <c r="AX77" i="164"/>
  <c r="AX89" i="164"/>
  <c r="AX81" i="164"/>
  <c r="AX83" i="164" s="1"/>
  <c r="AX84" i="164" s="1"/>
  <c r="AX86" i="164" s="1"/>
  <c r="CG77" i="160"/>
  <c r="CG89" i="160"/>
  <c r="CG81" i="160"/>
  <c r="CG83" i="160" s="1"/>
  <c r="CG84" i="160" s="1"/>
  <c r="CG86" i="160" s="1"/>
  <c r="CG87" i="160" s="1"/>
  <c r="O89" i="160"/>
  <c r="P79" i="160" s="1"/>
  <c r="O77" i="160"/>
  <c r="O81" i="160"/>
  <c r="O83" i="160" s="1"/>
  <c r="O84" i="160" s="1"/>
  <c r="O86" i="160" s="1"/>
  <c r="O87" i="160" s="1"/>
  <c r="AI89" i="160"/>
  <c r="AI77" i="160"/>
  <c r="AI81" i="160"/>
  <c r="AI83" i="160" s="1"/>
  <c r="AI84" i="160" s="1"/>
  <c r="AI86" i="160" s="1"/>
  <c r="AI87" i="160" s="1"/>
  <c r="CG77" i="164"/>
  <c r="CG89" i="164"/>
  <c r="CG81" i="164"/>
  <c r="CG83" i="164" s="1"/>
  <c r="CG84" i="164" s="1"/>
  <c r="CG86" i="164" s="1"/>
  <c r="CG87" i="164" s="1"/>
  <c r="BH77" i="160"/>
  <c r="BH89" i="160"/>
  <c r="BH81" i="160"/>
  <c r="BH83" i="160" s="1"/>
  <c r="BH84" i="160" s="1"/>
  <c r="BH86" i="160" s="1"/>
  <c r="BH87" i="160" s="1"/>
  <c r="Y79" i="164"/>
  <c r="W81" i="164"/>
  <c r="W83" i="164" s="1"/>
  <c r="W77" i="164"/>
  <c r="AD77" i="160"/>
  <c r="AD89" i="160"/>
  <c r="AD90" i="157" s="1"/>
  <c r="AD81" i="160"/>
  <c r="AD83" i="160" s="1"/>
  <c r="AD84" i="160" s="1"/>
  <c r="AD86" i="160" s="1"/>
  <c r="AD87" i="160" s="1"/>
  <c r="BR77" i="164"/>
  <c r="BR89" i="164"/>
  <c r="BR81" i="164"/>
  <c r="BR83" i="164" s="1"/>
  <c r="BR84" i="164" s="1"/>
  <c r="BR86" i="164" s="1"/>
  <c r="BR87" i="164" s="1"/>
  <c r="CB77" i="164"/>
  <c r="CB89" i="164"/>
  <c r="CB81" i="164"/>
  <c r="CB83" i="164" s="1"/>
  <c r="CB84" i="164" s="1"/>
  <c r="CB86" i="164" s="1"/>
  <c r="CB87" i="164" s="1"/>
  <c r="CB77" i="166"/>
  <c r="CB89" i="166"/>
  <c r="CB81" i="166"/>
  <c r="CB83" i="166" s="1"/>
  <c r="CB84" i="166" s="1"/>
  <c r="CB86" i="166" s="1"/>
  <c r="CB87" i="166" s="1"/>
  <c r="AX77" i="166"/>
  <c r="AX89" i="166"/>
  <c r="AX81" i="166"/>
  <c r="AX83" i="166" s="1"/>
  <c r="AX84" i="166" s="1"/>
  <c r="AX86" i="166" s="1"/>
  <c r="AX87" i="166" s="1"/>
  <c r="W77" i="166"/>
  <c r="Y79" i="166"/>
  <c r="W81" i="166"/>
  <c r="W83" i="166" s="1"/>
  <c r="CG77" i="166"/>
  <c r="CG89" i="166"/>
  <c r="CG81" i="166"/>
  <c r="CG83" i="166" s="1"/>
  <c r="CG84" i="166" s="1"/>
  <c r="CG86" i="166" s="1"/>
  <c r="CG87" i="166" s="1"/>
  <c r="BW77" i="166"/>
  <c r="BW89" i="166"/>
  <c r="BW81" i="166"/>
  <c r="BW83" i="166" s="1"/>
  <c r="BW84" i="166" s="1"/>
  <c r="BW86" i="166" s="1"/>
  <c r="BW87" i="166" s="1"/>
  <c r="AB86" i="166"/>
  <c r="AB87" i="166" s="1"/>
  <c r="W84" i="166"/>
  <c r="W86" i="166" s="1"/>
  <c r="J77" i="166"/>
  <c r="J89" i="166"/>
  <c r="J81" i="166"/>
  <c r="J83" i="166" s="1"/>
  <c r="J84" i="166" s="1"/>
  <c r="J86" i="166" s="1"/>
  <c r="J87" i="166" s="1"/>
  <c r="AD77" i="166"/>
  <c r="AD89" i="166"/>
  <c r="AD81" i="166"/>
  <c r="AD83" i="166" s="1"/>
  <c r="AD84" i="166" s="1"/>
  <c r="AD86" i="166" s="1"/>
  <c r="AD87" i="166" s="1"/>
  <c r="BC77" i="166"/>
  <c r="BC89" i="166"/>
  <c r="BC81" i="166"/>
  <c r="BC83" i="166" s="1"/>
  <c r="BC84" i="166" s="1"/>
  <c r="BC86" i="166" s="1"/>
  <c r="BC87" i="166" s="1"/>
  <c r="DU77" i="82"/>
  <c r="DU89" i="82"/>
  <c r="DU91" i="82" s="1"/>
  <c r="DU81" i="82"/>
  <c r="DU83" i="82" s="1"/>
  <c r="DU84" i="82" s="1"/>
  <c r="DU86" i="82" s="1"/>
  <c r="DU87" i="82" s="1"/>
  <c r="BR89" i="166"/>
  <c r="BR77" i="166"/>
  <c r="BR81" i="166"/>
  <c r="BR83" i="166" s="1"/>
  <c r="BR84" i="166" s="1"/>
  <c r="BR86" i="166" s="1"/>
  <c r="BR87" i="166" s="1"/>
  <c r="AS77" i="166"/>
  <c r="AS89" i="166"/>
  <c r="AS81" i="166"/>
  <c r="AS83" i="166" s="1"/>
  <c r="AS84" i="166" s="1"/>
  <c r="AS86" i="166" s="1"/>
  <c r="AS87" i="166" s="1"/>
  <c r="AN77" i="166"/>
  <c r="AN89" i="166"/>
  <c r="AN81" i="166"/>
  <c r="AN83" i="166" s="1"/>
  <c r="AN84" i="166" s="1"/>
  <c r="AN86" i="166" s="1"/>
  <c r="AN87" i="166" s="1"/>
  <c r="O89" i="166"/>
  <c r="O77" i="166"/>
  <c r="O81" i="166"/>
  <c r="O83" i="166" s="1"/>
  <c r="O84" i="166" s="1"/>
  <c r="O86" i="166" s="1"/>
  <c r="O87" i="166" s="1"/>
  <c r="AI77" i="166"/>
  <c r="AI89" i="166"/>
  <c r="AI81" i="166"/>
  <c r="AI83" i="166" s="1"/>
  <c r="AI84" i="166" s="1"/>
  <c r="AI86" i="166" s="1"/>
  <c r="AI87" i="166" s="1"/>
  <c r="BH77" i="166"/>
  <c r="BH89" i="166"/>
  <c r="BH81" i="166"/>
  <c r="BH83" i="166" s="1"/>
  <c r="BH84" i="166" s="1"/>
  <c r="BH86" i="166" s="1"/>
  <c r="BH87" i="166" s="1"/>
  <c r="S76" i="142"/>
  <c r="AS106" i="157"/>
  <c r="BW100" i="157"/>
  <c r="BH109" i="157"/>
  <c r="CG94" i="157"/>
  <c r="BH106" i="157"/>
  <c r="CB94" i="157"/>
  <c r="BW107" i="157"/>
  <c r="AS107" i="157"/>
  <c r="BR96" i="157"/>
  <c r="BW94" i="157"/>
  <c r="BW106" i="157"/>
  <c r="AS108" i="157"/>
  <c r="BW96" i="157"/>
  <c r="BR108" i="157"/>
  <c r="BR107" i="157"/>
  <c r="BC100" i="157"/>
  <c r="AS100" i="157"/>
  <c r="BH100" i="157"/>
  <c r="CG96" i="157"/>
  <c r="BW108" i="157"/>
  <c r="CB108" i="157"/>
  <c r="CB109" i="157"/>
  <c r="CG107" i="157"/>
  <c r="BH94" i="157"/>
  <c r="BC96" i="157"/>
  <c r="CG109" i="157"/>
  <c r="CG100" i="157"/>
  <c r="BH108" i="157"/>
  <c r="CG106" i="157"/>
  <c r="CB100" i="157"/>
  <c r="CB96" i="157"/>
  <c r="AS96" i="157"/>
  <c r="BR109" i="157"/>
  <c r="BH107" i="157"/>
  <c r="CB107" i="157"/>
  <c r="BR106" i="157"/>
  <c r="AS109" i="157"/>
  <c r="BR94" i="157"/>
  <c r="BH96" i="157"/>
  <c r="CG108" i="157"/>
  <c r="BR100" i="157"/>
  <c r="AX94" i="157"/>
  <c r="CB106" i="157"/>
  <c r="BW109" i="157"/>
  <c r="AX100" i="157"/>
  <c r="AX96" i="157"/>
  <c r="BC93" i="157" l="1"/>
  <c r="BH93" i="157"/>
  <c r="CG93" i="157"/>
  <c r="BR93" i="157"/>
  <c r="CB93" i="157"/>
  <c r="BW93" i="157"/>
  <c r="AX93" i="157"/>
  <c r="AS93" i="157"/>
  <c r="BC90" i="157"/>
  <c r="CC58" i="174"/>
  <c r="CC52" i="174"/>
  <c r="CC48" i="174"/>
  <c r="CC27" i="174"/>
  <c r="CC28" i="174"/>
  <c r="CC16" i="174"/>
  <c r="CC17" i="174"/>
  <c r="CC19" i="174"/>
  <c r="CC71" i="174"/>
  <c r="CC21" i="174"/>
  <c r="CC24" i="174"/>
  <c r="CC36" i="174"/>
  <c r="CC61" i="174"/>
  <c r="CC57" i="174"/>
  <c r="CC49" i="174"/>
  <c r="CC46" i="174"/>
  <c r="CC33" i="174"/>
  <c r="CC56" i="174"/>
  <c r="CC14" i="174"/>
  <c r="CC15" i="174"/>
  <c r="CC13" i="174"/>
  <c r="CC9" i="174"/>
  <c r="CC22" i="174"/>
  <c r="CC44" i="174"/>
  <c r="CC67" i="174"/>
  <c r="CC66" i="174"/>
  <c r="CC53" i="174"/>
  <c r="CC30" i="174"/>
  <c r="CC18" i="174"/>
  <c r="CC26" i="174"/>
  <c r="CC23" i="174"/>
  <c r="CC64" i="174"/>
  <c r="CC70" i="174"/>
  <c r="CC60" i="174"/>
  <c r="CC32" i="174"/>
  <c r="CC31" i="174"/>
  <c r="CC12" i="174"/>
  <c r="CC62" i="174"/>
  <c r="CC45" i="174"/>
  <c r="CC42" i="174"/>
  <c r="CC59" i="174"/>
  <c r="CC29" i="174"/>
  <c r="CC51" i="174"/>
  <c r="CC10" i="174"/>
  <c r="CC69" i="174"/>
  <c r="CC68" i="174"/>
  <c r="CC63" i="174"/>
  <c r="CC55" i="174"/>
  <c r="CC47" i="174"/>
  <c r="CC20" i="174"/>
  <c r="CC25" i="174"/>
  <c r="CC11" i="174"/>
  <c r="CC43" i="174"/>
  <c r="CC65" i="174"/>
  <c r="BI65" i="176"/>
  <c r="BI28" i="176"/>
  <c r="BI45" i="176"/>
  <c r="BI22" i="176"/>
  <c r="BI29" i="176"/>
  <c r="BI48" i="176"/>
  <c r="BI9" i="176"/>
  <c r="BI64" i="176"/>
  <c r="BI61" i="176"/>
  <c r="BI23" i="176"/>
  <c r="BI67" i="176"/>
  <c r="BI24" i="176"/>
  <c r="BI15" i="176"/>
  <c r="BI62" i="176"/>
  <c r="BI63" i="176"/>
  <c r="BI52" i="176"/>
  <c r="BI60" i="176"/>
  <c r="BI21" i="176"/>
  <c r="BI19" i="176"/>
  <c r="BI30" i="176"/>
  <c r="BI11" i="176"/>
  <c r="BI70" i="176"/>
  <c r="BI14" i="176"/>
  <c r="BI57" i="176"/>
  <c r="BI66" i="176"/>
  <c r="BI16" i="176"/>
  <c r="BI68" i="176"/>
  <c r="BI53" i="176"/>
  <c r="BI47" i="176"/>
  <c r="BI46" i="176"/>
  <c r="BI42" i="176"/>
  <c r="BI27" i="176"/>
  <c r="BI51" i="176"/>
  <c r="BI25" i="176"/>
  <c r="BI55" i="176"/>
  <c r="BI59" i="176"/>
  <c r="BI69" i="176"/>
  <c r="BI56" i="176"/>
  <c r="BI36" i="176"/>
  <c r="BI18" i="176"/>
  <c r="BI32" i="176"/>
  <c r="BI49" i="176"/>
  <c r="BI44" i="176"/>
  <c r="BI43" i="176"/>
  <c r="BI26" i="176"/>
  <c r="BI31" i="176"/>
  <c r="BI20" i="176"/>
  <c r="BI10" i="176"/>
  <c r="BI58" i="176"/>
  <c r="BI12" i="176"/>
  <c r="BI13" i="176"/>
  <c r="BI33" i="176"/>
  <c r="BI17" i="176"/>
  <c r="BI71" i="176"/>
  <c r="P79" i="176"/>
  <c r="P72" i="176"/>
  <c r="P58" i="176"/>
  <c r="P59" i="176"/>
  <c r="P20" i="176"/>
  <c r="P25" i="176"/>
  <c r="P23" i="176"/>
  <c r="P27" i="176"/>
  <c r="P10" i="176"/>
  <c r="P48" i="176"/>
  <c r="P74" i="176"/>
  <c r="P15" i="176"/>
  <c r="P65" i="176"/>
  <c r="P60" i="176"/>
  <c r="P12" i="176"/>
  <c r="P14" i="176"/>
  <c r="P63" i="176"/>
  <c r="P33" i="176"/>
  <c r="P24" i="176"/>
  <c r="P56" i="176"/>
  <c r="P17" i="176"/>
  <c r="P11" i="176"/>
  <c r="P52" i="176"/>
  <c r="P46" i="176"/>
  <c r="P21" i="176"/>
  <c r="P78" i="176"/>
  <c r="P26" i="176"/>
  <c r="P71" i="176"/>
  <c r="P68" i="176"/>
  <c r="P9" i="176"/>
  <c r="P36" i="176"/>
  <c r="P66" i="176"/>
  <c r="P32" i="176"/>
  <c r="P55" i="176"/>
  <c r="P13" i="176"/>
  <c r="P16" i="176"/>
  <c r="P19" i="176"/>
  <c r="P45" i="176"/>
  <c r="P43" i="176"/>
  <c r="P61" i="176"/>
  <c r="P22" i="176"/>
  <c r="P31" i="176"/>
  <c r="P29" i="176"/>
  <c r="P70" i="176"/>
  <c r="P51" i="176"/>
  <c r="P57" i="176"/>
  <c r="P30" i="176"/>
  <c r="P28" i="176"/>
  <c r="P62" i="176"/>
  <c r="P53" i="176"/>
  <c r="P18" i="176"/>
  <c r="P82" i="176"/>
  <c r="P69" i="176"/>
  <c r="P47" i="176"/>
  <c r="P44" i="176"/>
  <c r="P67" i="176"/>
  <c r="P64" i="176"/>
  <c r="P85" i="176"/>
  <c r="P42" i="176"/>
  <c r="AT68" i="175"/>
  <c r="AT45" i="175"/>
  <c r="AT31" i="175"/>
  <c r="AT24" i="175"/>
  <c r="AT52" i="175"/>
  <c r="AT30" i="175"/>
  <c r="AT22" i="175"/>
  <c r="AT18" i="175"/>
  <c r="AT55" i="175"/>
  <c r="AT14" i="175"/>
  <c r="AT36" i="175"/>
  <c r="AT15" i="175"/>
  <c r="AT58" i="175"/>
  <c r="AT65" i="175"/>
  <c r="AT43" i="175"/>
  <c r="AT29" i="175"/>
  <c r="AT42" i="175"/>
  <c r="AT28" i="175"/>
  <c r="AT27" i="175"/>
  <c r="AT11" i="175"/>
  <c r="AT61" i="175"/>
  <c r="AT10" i="175"/>
  <c r="AT16" i="175"/>
  <c r="AT20" i="175"/>
  <c r="AT26" i="175"/>
  <c r="AT17" i="175"/>
  <c r="AT66" i="175"/>
  <c r="AT51" i="175"/>
  <c r="AT67" i="175"/>
  <c r="AT44" i="175"/>
  <c r="AT48" i="175"/>
  <c r="AT46" i="175"/>
  <c r="AT25" i="175"/>
  <c r="AT19" i="175"/>
  <c r="AT69" i="175"/>
  <c r="AT9" i="175"/>
  <c r="AT60" i="175"/>
  <c r="AT13" i="175"/>
  <c r="AT56" i="175"/>
  <c r="AT21" i="175"/>
  <c r="AT53" i="175"/>
  <c r="AT47" i="175"/>
  <c r="AT49" i="175"/>
  <c r="AT33" i="175"/>
  <c r="AT64" i="175"/>
  <c r="AT32" i="175"/>
  <c r="AT62" i="175"/>
  <c r="AT12" i="175"/>
  <c r="AT23" i="175"/>
  <c r="AT70" i="175"/>
  <c r="AT59" i="175"/>
  <c r="AT63" i="175"/>
  <c r="AT71" i="175"/>
  <c r="AT57" i="175"/>
  <c r="BX49" i="176"/>
  <c r="BX43" i="176"/>
  <c r="BX48" i="176"/>
  <c r="BX29" i="176"/>
  <c r="BX47" i="176"/>
  <c r="BX22" i="176"/>
  <c r="BX10" i="176"/>
  <c r="BX11" i="176"/>
  <c r="BX56" i="176"/>
  <c r="BX58" i="176"/>
  <c r="BX69" i="176"/>
  <c r="BX60" i="176"/>
  <c r="BX70" i="176"/>
  <c r="BX18" i="176"/>
  <c r="BX53" i="176"/>
  <c r="BX28" i="176"/>
  <c r="BX45" i="176"/>
  <c r="BX25" i="176"/>
  <c r="BX26" i="176"/>
  <c r="BX21" i="176"/>
  <c r="BX14" i="176"/>
  <c r="BX16" i="176"/>
  <c r="BX9" i="176"/>
  <c r="BX32" i="176"/>
  <c r="BX63" i="176"/>
  <c r="BX55" i="176"/>
  <c r="BX64" i="176"/>
  <c r="BX31" i="176"/>
  <c r="BX52" i="176"/>
  <c r="BX30" i="176"/>
  <c r="BX42" i="176"/>
  <c r="BX20" i="176"/>
  <c r="BX59" i="176"/>
  <c r="BX19" i="176"/>
  <c r="BX13" i="176"/>
  <c r="BX15" i="176"/>
  <c r="BX17" i="176"/>
  <c r="BX67" i="176"/>
  <c r="BX61" i="176"/>
  <c r="BX66" i="176"/>
  <c r="BX23" i="176"/>
  <c r="BX46" i="176"/>
  <c r="BX51" i="176"/>
  <c r="BX65" i="176"/>
  <c r="BX62" i="176"/>
  <c r="BX44" i="176"/>
  <c r="BX27" i="176"/>
  <c r="BX57" i="176"/>
  <c r="BX24" i="176"/>
  <c r="BX71" i="176"/>
  <c r="BX33" i="176"/>
  <c r="BX36" i="176"/>
  <c r="BX68" i="176"/>
  <c r="BX12" i="176"/>
  <c r="P74" i="174"/>
  <c r="P64" i="174"/>
  <c r="P65" i="174"/>
  <c r="P68" i="174"/>
  <c r="P24" i="174"/>
  <c r="P20" i="174"/>
  <c r="P12" i="174"/>
  <c r="P25" i="174"/>
  <c r="P21" i="174"/>
  <c r="P13" i="174"/>
  <c r="P28" i="174"/>
  <c r="P36" i="174"/>
  <c r="P57" i="174"/>
  <c r="P32" i="174"/>
  <c r="P85" i="174"/>
  <c r="P63" i="174"/>
  <c r="P70" i="174"/>
  <c r="P56" i="174"/>
  <c r="P67" i="174"/>
  <c r="P47" i="174"/>
  <c r="P18" i="174"/>
  <c r="P9" i="174"/>
  <c r="P45" i="174"/>
  <c r="P19" i="174"/>
  <c r="P52" i="174"/>
  <c r="P10" i="174"/>
  <c r="P51" i="174"/>
  <c r="P58" i="174"/>
  <c r="P55" i="174"/>
  <c r="P71" i="174"/>
  <c r="P53" i="174"/>
  <c r="P61" i="174"/>
  <c r="P44" i="174"/>
  <c r="P59" i="174"/>
  <c r="P46" i="174"/>
  <c r="P16" i="174"/>
  <c r="P43" i="174"/>
  <c r="P29" i="174"/>
  <c r="P17" i="174"/>
  <c r="P31" i="174"/>
  <c r="P33" i="174"/>
  <c r="P23" i="174"/>
  <c r="P48" i="174"/>
  <c r="P82" i="174"/>
  <c r="P66" i="174"/>
  <c r="P72" i="174"/>
  <c r="P62" i="174"/>
  <c r="P22" i="174"/>
  <c r="P42" i="174"/>
  <c r="P26" i="174"/>
  <c r="P14" i="174"/>
  <c r="P30" i="174"/>
  <c r="P27" i="174"/>
  <c r="P15" i="174"/>
  <c r="P78" i="174"/>
  <c r="P60" i="174"/>
  <c r="P11" i="174"/>
  <c r="P69" i="174"/>
  <c r="AO59" i="176"/>
  <c r="AO56" i="176"/>
  <c r="AO58" i="176"/>
  <c r="AO28" i="176"/>
  <c r="AO62" i="176"/>
  <c r="AO12" i="176"/>
  <c r="AO13" i="176"/>
  <c r="AO14" i="176"/>
  <c r="AO48" i="176"/>
  <c r="AO69" i="176"/>
  <c r="AO10" i="176"/>
  <c r="AO31" i="176"/>
  <c r="AO9" i="176"/>
  <c r="AO52" i="176"/>
  <c r="AO33" i="176"/>
  <c r="AO49" i="176"/>
  <c r="AO23" i="176"/>
  <c r="AO19" i="176"/>
  <c r="AO15" i="176"/>
  <c r="AO55" i="176"/>
  <c r="AO36" i="176"/>
  <c r="AO67" i="176"/>
  <c r="AO51" i="176"/>
  <c r="AO71" i="176"/>
  <c r="AO20" i="176"/>
  <c r="AO63" i="176"/>
  <c r="AO25" i="176"/>
  <c r="AO32" i="176"/>
  <c r="AO57" i="176"/>
  <c r="AO18" i="176"/>
  <c r="AO17" i="176"/>
  <c r="AO21" i="176"/>
  <c r="AO22" i="176"/>
  <c r="AO66" i="176"/>
  <c r="AO27" i="176"/>
  <c r="AO61" i="176"/>
  <c r="AO46" i="176"/>
  <c r="AO29" i="176"/>
  <c r="AO60" i="176"/>
  <c r="AO68" i="176"/>
  <c r="AO53" i="176"/>
  <c r="AO64" i="176"/>
  <c r="AO65" i="176"/>
  <c r="AO26" i="176"/>
  <c r="AO24" i="176"/>
  <c r="AO16" i="176"/>
  <c r="AO11" i="176"/>
  <c r="AO30" i="176"/>
  <c r="AO42" i="176"/>
  <c r="AO44" i="176"/>
  <c r="AO70" i="176"/>
  <c r="AO45" i="176"/>
  <c r="AO47" i="176"/>
  <c r="AO43" i="176"/>
  <c r="K74" i="175"/>
  <c r="K48" i="175"/>
  <c r="K71" i="175"/>
  <c r="K11" i="175"/>
  <c r="K25" i="175"/>
  <c r="K29" i="175"/>
  <c r="K18" i="175"/>
  <c r="K78" i="175"/>
  <c r="K56" i="175"/>
  <c r="K58" i="175"/>
  <c r="K20" i="175"/>
  <c r="K14" i="175"/>
  <c r="K28" i="175"/>
  <c r="K68" i="175"/>
  <c r="K55" i="175"/>
  <c r="K72" i="175"/>
  <c r="K46" i="175"/>
  <c r="K30" i="175"/>
  <c r="K51" i="175"/>
  <c r="K33" i="175"/>
  <c r="K47" i="175"/>
  <c r="K69" i="175"/>
  <c r="K82" i="175"/>
  <c r="K70" i="175"/>
  <c r="K13" i="175"/>
  <c r="K12" i="175"/>
  <c r="K57" i="175"/>
  <c r="K17" i="175"/>
  <c r="K26" i="175"/>
  <c r="K85" i="175"/>
  <c r="K44" i="175"/>
  <c r="K23" i="175"/>
  <c r="K43" i="175"/>
  <c r="K36" i="175"/>
  <c r="K24" i="175"/>
  <c r="K61" i="175"/>
  <c r="K15" i="175"/>
  <c r="K62" i="175"/>
  <c r="K10" i="175"/>
  <c r="K21" i="175"/>
  <c r="K60" i="175"/>
  <c r="K66" i="175"/>
  <c r="K22" i="175"/>
  <c r="K52" i="175"/>
  <c r="K42" i="175"/>
  <c r="K45" i="175"/>
  <c r="K31" i="175"/>
  <c r="K27" i="175"/>
  <c r="K32" i="175"/>
  <c r="K67" i="175"/>
  <c r="K59" i="175"/>
  <c r="K16" i="175"/>
  <c r="K9" i="175"/>
  <c r="K19" i="175"/>
  <c r="K65" i="175"/>
  <c r="K63" i="175"/>
  <c r="K64" i="175"/>
  <c r="CC24" i="175"/>
  <c r="CC46" i="175"/>
  <c r="CC11" i="175"/>
  <c r="CC23" i="175"/>
  <c r="CC30" i="175"/>
  <c r="CC33" i="175"/>
  <c r="CC14" i="175"/>
  <c r="CC15" i="175"/>
  <c r="CC9" i="175"/>
  <c r="CC56" i="175"/>
  <c r="CC16" i="175"/>
  <c r="CC67" i="175"/>
  <c r="CC32" i="175"/>
  <c r="CC71" i="175"/>
  <c r="CC44" i="175"/>
  <c r="CC51" i="175"/>
  <c r="CC29" i="175"/>
  <c r="CC26" i="175"/>
  <c r="CC31" i="175"/>
  <c r="CC20" i="175"/>
  <c r="CC61" i="175"/>
  <c r="CC70" i="175"/>
  <c r="CC18" i="175"/>
  <c r="CC19" i="175"/>
  <c r="CC59" i="175"/>
  <c r="CC17" i="175"/>
  <c r="CC69" i="175"/>
  <c r="CC52" i="175"/>
  <c r="CC42" i="175"/>
  <c r="CC27" i="175"/>
  <c r="CC53" i="175"/>
  <c r="CC36" i="175"/>
  <c r="CC21" i="175"/>
  <c r="CC60" i="175"/>
  <c r="CC65" i="175"/>
  <c r="CC22" i="175"/>
  <c r="CC13" i="175"/>
  <c r="CC55" i="175"/>
  <c r="CC57" i="175"/>
  <c r="CC62" i="175"/>
  <c r="CC49" i="175"/>
  <c r="CC48" i="175"/>
  <c r="CC45" i="175"/>
  <c r="CC25" i="175"/>
  <c r="CC43" i="175"/>
  <c r="CC47" i="175"/>
  <c r="CC28" i="175"/>
  <c r="CC64" i="175"/>
  <c r="CC12" i="175"/>
  <c r="CC63" i="175"/>
  <c r="CC10" i="175"/>
  <c r="CC58" i="175"/>
  <c r="CC68" i="175"/>
  <c r="CC66" i="175"/>
  <c r="K79" i="174"/>
  <c r="K60" i="174"/>
  <c r="K55" i="174"/>
  <c r="K48" i="174"/>
  <c r="K21" i="174"/>
  <c r="K13" i="174"/>
  <c r="K28" i="174"/>
  <c r="K16" i="174"/>
  <c r="K29" i="174"/>
  <c r="K45" i="174"/>
  <c r="K43" i="174"/>
  <c r="K36" i="174"/>
  <c r="K11" i="174"/>
  <c r="K61" i="174"/>
  <c r="K62" i="174"/>
  <c r="K59" i="174"/>
  <c r="K56" i="174"/>
  <c r="K32" i="174"/>
  <c r="K19" i="174"/>
  <c r="K31" i="174"/>
  <c r="K26" i="174"/>
  <c r="K14" i="174"/>
  <c r="K63" i="174"/>
  <c r="K65" i="174"/>
  <c r="K78" i="174"/>
  <c r="K44" i="174"/>
  <c r="K42" i="174"/>
  <c r="K67" i="174"/>
  <c r="K68" i="174"/>
  <c r="K74" i="174"/>
  <c r="K52" i="174"/>
  <c r="K17" i="174"/>
  <c r="K20" i="174"/>
  <c r="K85" i="174"/>
  <c r="K69" i="174"/>
  <c r="K23" i="174"/>
  <c r="K71" i="174"/>
  <c r="K72" i="174"/>
  <c r="K51" i="174"/>
  <c r="K15" i="174"/>
  <c r="K18" i="174"/>
  <c r="K47" i="174"/>
  <c r="K64" i="174"/>
  <c r="K70" i="174"/>
  <c r="K58" i="174"/>
  <c r="K30" i="174"/>
  <c r="K10" i="174"/>
  <c r="K12" i="174"/>
  <c r="K9" i="174"/>
  <c r="K22" i="174"/>
  <c r="K25" i="174"/>
  <c r="K57" i="174"/>
  <c r="K27" i="174"/>
  <c r="K82" i="174"/>
  <c r="K33" i="174"/>
  <c r="K24" i="174"/>
  <c r="K66" i="174"/>
  <c r="K46" i="174"/>
  <c r="AJ69" i="177"/>
  <c r="AJ68" i="177"/>
  <c r="AJ47" i="177"/>
  <c r="AJ20" i="177"/>
  <c r="AJ22" i="177"/>
  <c r="AJ29" i="177"/>
  <c r="AJ63" i="177"/>
  <c r="AJ11" i="177"/>
  <c r="AJ61" i="177"/>
  <c r="AJ46" i="177"/>
  <c r="AJ43" i="177"/>
  <c r="AJ14" i="177"/>
  <c r="AJ31" i="177"/>
  <c r="AJ9" i="177"/>
  <c r="AJ70" i="177"/>
  <c r="AJ59" i="177"/>
  <c r="AJ26" i="177"/>
  <c r="AJ18" i="177"/>
  <c r="AJ12" i="177"/>
  <c r="AJ64" i="177"/>
  <c r="AJ65" i="177"/>
  <c r="AJ67" i="177"/>
  <c r="AJ60" i="177"/>
  <c r="AJ23" i="177"/>
  <c r="AJ45" i="177"/>
  <c r="AJ48" i="177"/>
  <c r="AJ42" i="177"/>
  <c r="AJ10" i="177"/>
  <c r="AJ53" i="177"/>
  <c r="AJ57" i="177"/>
  <c r="AJ16" i="177"/>
  <c r="AJ56" i="177"/>
  <c r="AJ13" i="177"/>
  <c r="AJ58" i="177"/>
  <c r="AJ28" i="177"/>
  <c r="AJ15" i="177"/>
  <c r="AJ71" i="177"/>
  <c r="AJ51" i="177"/>
  <c r="AJ21" i="177"/>
  <c r="AJ66" i="177"/>
  <c r="AJ19" i="177"/>
  <c r="AJ49" i="177"/>
  <c r="AJ52" i="177"/>
  <c r="AJ17" i="177"/>
  <c r="AJ30" i="177"/>
  <c r="AJ24" i="177"/>
  <c r="AJ44" i="177"/>
  <c r="AJ32" i="177"/>
  <c r="AJ62" i="177"/>
  <c r="AJ36" i="177"/>
  <c r="AJ33" i="177"/>
  <c r="AJ55" i="177"/>
  <c r="AJ27" i="177"/>
  <c r="AJ25" i="177"/>
  <c r="AT15" i="176"/>
  <c r="AT59" i="176"/>
  <c r="AT60" i="176"/>
  <c r="AT64" i="176"/>
  <c r="AT23" i="176"/>
  <c r="AT16" i="176"/>
  <c r="AT33" i="176"/>
  <c r="AT17" i="176"/>
  <c r="AT12" i="176"/>
  <c r="AT9" i="176"/>
  <c r="AT53" i="176"/>
  <c r="AT48" i="176"/>
  <c r="AT71" i="176"/>
  <c r="AT44" i="176"/>
  <c r="AT63" i="176"/>
  <c r="AT22" i="176"/>
  <c r="AT36" i="176"/>
  <c r="AT19" i="176"/>
  <c r="AT24" i="176"/>
  <c r="AT70" i="176"/>
  <c r="AT45" i="176"/>
  <c r="AT62" i="176"/>
  <c r="AT52" i="176"/>
  <c r="AT46" i="176"/>
  <c r="AT21" i="176"/>
  <c r="AT43" i="176"/>
  <c r="AT26" i="176"/>
  <c r="AT58" i="176"/>
  <c r="AT56" i="176"/>
  <c r="AT11" i="176"/>
  <c r="AT14" i="176"/>
  <c r="AT65" i="176"/>
  <c r="AT68" i="176"/>
  <c r="AT42" i="176"/>
  <c r="AT66" i="176"/>
  <c r="AT27" i="176"/>
  <c r="AT67" i="176"/>
  <c r="AT20" i="176"/>
  <c r="AT10" i="176"/>
  <c r="AT55" i="176"/>
  <c r="AT31" i="176"/>
  <c r="AT18" i="176"/>
  <c r="AT57" i="176"/>
  <c r="AT49" i="176"/>
  <c r="AT51" i="176"/>
  <c r="AT28" i="176"/>
  <c r="AT47" i="176"/>
  <c r="AT69" i="176"/>
  <c r="AT25" i="176"/>
  <c r="AT30" i="176"/>
  <c r="AT29" i="176"/>
  <c r="AT61" i="176"/>
  <c r="AT13" i="176"/>
  <c r="AT32" i="176"/>
  <c r="P72" i="158"/>
  <c r="P56" i="158"/>
  <c r="P25" i="158"/>
  <c r="P24" i="158"/>
  <c r="P14" i="158"/>
  <c r="P36" i="158"/>
  <c r="P48" i="158"/>
  <c r="P19" i="158"/>
  <c r="P28" i="158"/>
  <c r="P51" i="158"/>
  <c r="P60" i="158"/>
  <c r="P21" i="158"/>
  <c r="P63" i="158"/>
  <c r="P65" i="158"/>
  <c r="P70" i="158"/>
  <c r="P69" i="158"/>
  <c r="P55" i="158"/>
  <c r="P18" i="158"/>
  <c r="P20" i="158"/>
  <c r="P9" i="158"/>
  <c r="P13" i="158"/>
  <c r="P46" i="158"/>
  <c r="P43" i="158"/>
  <c r="P45" i="158"/>
  <c r="P58" i="158"/>
  <c r="P59" i="158"/>
  <c r="P11" i="158"/>
  <c r="P47" i="158"/>
  <c r="P85" i="158"/>
  <c r="P64" i="158"/>
  <c r="P53" i="158"/>
  <c r="P17" i="158"/>
  <c r="P12" i="158"/>
  <c r="P33" i="158"/>
  <c r="P42" i="158"/>
  <c r="P15" i="158"/>
  <c r="P62" i="158"/>
  <c r="P26" i="158"/>
  <c r="P71" i="158"/>
  <c r="P68" i="158"/>
  <c r="P16" i="158"/>
  <c r="P52" i="158"/>
  <c r="P29" i="158"/>
  <c r="P78" i="158"/>
  <c r="P74" i="158"/>
  <c r="P30" i="158"/>
  <c r="P27" i="158"/>
  <c r="P23" i="158"/>
  <c r="P10" i="158"/>
  <c r="P31" i="158"/>
  <c r="P22" i="158"/>
  <c r="P32" i="158"/>
  <c r="P61" i="158"/>
  <c r="P44" i="158"/>
  <c r="P67" i="158"/>
  <c r="P82" i="158"/>
  <c r="P66" i="158"/>
  <c r="P57" i="158"/>
  <c r="CH70" i="176"/>
  <c r="CH58" i="176"/>
  <c r="CH55" i="176"/>
  <c r="CH51" i="176"/>
  <c r="CH44" i="176"/>
  <c r="CH60" i="176"/>
  <c r="CH53" i="176"/>
  <c r="CH17" i="176"/>
  <c r="CH42" i="176"/>
  <c r="CH31" i="176"/>
  <c r="CH13" i="176"/>
  <c r="CH49" i="176"/>
  <c r="CH57" i="176"/>
  <c r="CH28" i="176"/>
  <c r="CH21" i="176"/>
  <c r="CH46" i="176"/>
  <c r="CH69" i="176"/>
  <c r="CH9" i="176"/>
  <c r="CH52" i="176"/>
  <c r="CH19" i="176"/>
  <c r="CH48" i="176"/>
  <c r="CH64" i="176"/>
  <c r="CH65" i="176"/>
  <c r="CH23" i="176"/>
  <c r="CH59" i="176"/>
  <c r="CH22" i="176"/>
  <c r="CH71" i="176"/>
  <c r="CH67" i="176"/>
  <c r="CH14" i="176"/>
  <c r="CH36" i="176"/>
  <c r="CH56" i="176"/>
  <c r="CH47" i="176"/>
  <c r="CH16" i="176"/>
  <c r="CH24" i="176"/>
  <c r="CH62" i="176"/>
  <c r="CH25" i="176"/>
  <c r="CH66" i="176"/>
  <c r="CH32" i="176"/>
  <c r="CH63" i="176"/>
  <c r="CH27" i="176"/>
  <c r="CH30" i="176"/>
  <c r="CH61" i="176"/>
  <c r="CH29" i="176"/>
  <c r="CH20" i="176"/>
  <c r="CH26" i="176"/>
  <c r="CH33" i="176"/>
  <c r="CH11" i="176"/>
  <c r="CH43" i="176"/>
  <c r="CH12" i="176"/>
  <c r="CH15" i="176"/>
  <c r="CH68" i="176"/>
  <c r="CH18" i="176"/>
  <c r="CH10" i="176"/>
  <c r="CH45" i="176"/>
  <c r="P68" i="177"/>
  <c r="P64" i="177"/>
  <c r="P74" i="177"/>
  <c r="P36" i="177"/>
  <c r="P23" i="177"/>
  <c r="P10" i="177"/>
  <c r="P27" i="177"/>
  <c r="P11" i="177"/>
  <c r="P51" i="177"/>
  <c r="P44" i="177"/>
  <c r="P31" i="177"/>
  <c r="P46" i="177"/>
  <c r="P19" i="177"/>
  <c r="P62" i="177"/>
  <c r="P85" i="177"/>
  <c r="P69" i="177"/>
  <c r="P63" i="177"/>
  <c r="P53" i="177"/>
  <c r="P26" i="177"/>
  <c r="P20" i="177"/>
  <c r="P30" i="177"/>
  <c r="P9" i="177"/>
  <c r="P16" i="177"/>
  <c r="P43" i="177"/>
  <c r="P52" i="177"/>
  <c r="P57" i="177"/>
  <c r="P56" i="177"/>
  <c r="P12" i="177"/>
  <c r="P82" i="177"/>
  <c r="P72" i="177"/>
  <c r="P66" i="177"/>
  <c r="P70" i="177"/>
  <c r="P55" i="177"/>
  <c r="P25" i="177"/>
  <c r="P17" i="177"/>
  <c r="P29" i="177"/>
  <c r="P21" i="177"/>
  <c r="P48" i="177"/>
  <c r="P22" i="177"/>
  <c r="P60" i="177"/>
  <c r="P78" i="177"/>
  <c r="P14" i="177"/>
  <c r="P47" i="177"/>
  <c r="P61" i="177"/>
  <c r="P71" i="177"/>
  <c r="P65" i="177"/>
  <c r="P67" i="177"/>
  <c r="P33" i="177"/>
  <c r="P24" i="177"/>
  <c r="P32" i="177"/>
  <c r="P28" i="177"/>
  <c r="P18" i="177"/>
  <c r="P45" i="177"/>
  <c r="P15" i="177"/>
  <c r="P59" i="177"/>
  <c r="P42" i="177"/>
  <c r="P13" i="177"/>
  <c r="P58" i="177"/>
  <c r="AE60" i="177"/>
  <c r="AE56" i="177"/>
  <c r="AE33" i="177"/>
  <c r="AE15" i="177"/>
  <c r="AE10" i="177"/>
  <c r="AE29" i="177"/>
  <c r="AE65" i="177"/>
  <c r="AE63" i="177"/>
  <c r="AE42" i="177"/>
  <c r="AE66" i="177"/>
  <c r="AE14" i="177"/>
  <c r="AE18" i="177"/>
  <c r="AE46" i="177"/>
  <c r="AE71" i="177"/>
  <c r="AE58" i="177"/>
  <c r="AE45" i="177"/>
  <c r="AE36" i="177"/>
  <c r="AE12" i="177"/>
  <c r="AE26" i="177"/>
  <c r="AE24" i="177"/>
  <c r="AE30" i="177"/>
  <c r="AE23" i="177"/>
  <c r="AE51" i="177"/>
  <c r="AE69" i="177"/>
  <c r="AE44" i="177"/>
  <c r="AE21" i="177"/>
  <c r="AE61" i="177"/>
  <c r="AE55" i="177"/>
  <c r="AE22" i="177"/>
  <c r="AE43" i="177"/>
  <c r="AE16" i="177"/>
  <c r="AE11" i="177"/>
  <c r="AE57" i="177"/>
  <c r="AE25" i="177"/>
  <c r="AE47" i="177"/>
  <c r="AE59" i="177"/>
  <c r="AE68" i="177"/>
  <c r="AE31" i="177"/>
  <c r="AE17" i="177"/>
  <c r="AE67" i="177"/>
  <c r="AE53" i="177"/>
  <c r="AE49" i="177"/>
  <c r="AE19" i="177"/>
  <c r="AE32" i="177"/>
  <c r="AE13" i="177"/>
  <c r="AE9" i="177"/>
  <c r="AE62" i="177"/>
  <c r="AE48" i="177"/>
  <c r="AE20" i="177"/>
  <c r="AE52" i="177"/>
  <c r="AE70" i="177"/>
  <c r="AE28" i="177"/>
  <c r="AE27" i="177"/>
  <c r="AE64" i="177"/>
  <c r="AJ59" i="174"/>
  <c r="AJ49" i="174"/>
  <c r="AJ47" i="174"/>
  <c r="AJ31" i="174"/>
  <c r="AJ48" i="174"/>
  <c r="AJ13" i="174"/>
  <c r="AJ18" i="174"/>
  <c r="AJ10" i="174"/>
  <c r="AJ9" i="174"/>
  <c r="AJ45" i="174"/>
  <c r="AJ11" i="174"/>
  <c r="AJ42" i="174"/>
  <c r="AJ70" i="174"/>
  <c r="AJ24" i="174"/>
  <c r="AJ58" i="174"/>
  <c r="AJ53" i="174"/>
  <c r="AJ26" i="174"/>
  <c r="AJ29" i="174"/>
  <c r="AJ19" i="174"/>
  <c r="AJ56" i="174"/>
  <c r="AJ16" i="174"/>
  <c r="AJ36" i="174"/>
  <c r="AJ61" i="174"/>
  <c r="AJ64" i="174"/>
  <c r="AJ23" i="174"/>
  <c r="AJ67" i="174"/>
  <c r="AJ25" i="174"/>
  <c r="AJ60" i="174"/>
  <c r="AJ32" i="174"/>
  <c r="AJ30" i="174"/>
  <c r="AJ20" i="174"/>
  <c r="AJ46" i="174"/>
  <c r="AJ68" i="174"/>
  <c r="AJ65" i="174"/>
  <c r="AJ57" i="174"/>
  <c r="AJ51" i="174"/>
  <c r="AJ17" i="174"/>
  <c r="AJ14" i="174"/>
  <c r="AJ63" i="174"/>
  <c r="AJ22" i="174"/>
  <c r="AJ69" i="174"/>
  <c r="AJ55" i="174"/>
  <c r="AJ33" i="174"/>
  <c r="AJ15" i="174"/>
  <c r="AJ12" i="174"/>
  <c r="AJ43" i="174"/>
  <c r="AJ21" i="174"/>
  <c r="AJ62" i="174"/>
  <c r="AJ52" i="174"/>
  <c r="AJ28" i="174"/>
  <c r="AJ27" i="174"/>
  <c r="AJ44" i="174"/>
  <c r="AJ71" i="174"/>
  <c r="AJ66" i="174"/>
  <c r="BS71" i="174"/>
  <c r="BS70" i="174"/>
  <c r="BS59" i="174"/>
  <c r="BS42" i="174"/>
  <c r="BS61" i="174"/>
  <c r="BS28" i="174"/>
  <c r="BS23" i="174"/>
  <c r="BS29" i="174"/>
  <c r="BS53" i="174"/>
  <c r="BS60" i="174"/>
  <c r="BS25" i="174"/>
  <c r="BS19" i="174"/>
  <c r="BS16" i="174"/>
  <c r="BS33" i="174"/>
  <c r="BS31" i="174"/>
  <c r="BS63" i="174"/>
  <c r="BS62" i="174"/>
  <c r="BS65" i="174"/>
  <c r="BS17" i="174"/>
  <c r="BS12" i="174"/>
  <c r="BS48" i="174"/>
  <c r="BS55" i="174"/>
  <c r="BS49" i="174"/>
  <c r="BS43" i="174"/>
  <c r="BS22" i="174"/>
  <c r="BS13" i="174"/>
  <c r="BS20" i="174"/>
  <c r="BS10" i="174"/>
  <c r="BS47" i="174"/>
  <c r="BS15" i="174"/>
  <c r="BS56" i="174"/>
  <c r="BS27" i="174"/>
  <c r="BS57" i="174"/>
  <c r="BS11" i="174"/>
  <c r="BS21" i="174"/>
  <c r="BS51" i="174"/>
  <c r="BS46" i="174"/>
  <c r="BS30" i="174"/>
  <c r="BS68" i="174"/>
  <c r="BS18" i="174"/>
  <c r="BS44" i="174"/>
  <c r="BS32" i="174"/>
  <c r="BS26" i="174"/>
  <c r="BS52" i="174"/>
  <c r="BS9" i="174"/>
  <c r="BS66" i="174"/>
  <c r="BS58" i="174"/>
  <c r="BS64" i="174"/>
  <c r="BS14" i="174"/>
  <c r="BS67" i="174"/>
  <c r="BS36" i="174"/>
  <c r="BS69" i="174"/>
  <c r="BS24" i="174"/>
  <c r="BS45" i="174"/>
  <c r="BH77" i="157"/>
  <c r="BH89" i="157"/>
  <c r="BH81" i="157"/>
  <c r="BH83" i="157" s="1"/>
  <c r="BH84" i="157" s="1"/>
  <c r="BH86" i="157" s="1"/>
  <c r="BH87" i="157" s="1"/>
  <c r="K79" i="158"/>
  <c r="K78" i="158"/>
  <c r="K48" i="158"/>
  <c r="K42" i="158"/>
  <c r="K16" i="158"/>
  <c r="K21" i="158"/>
  <c r="K33" i="158"/>
  <c r="K30" i="158"/>
  <c r="K60" i="158"/>
  <c r="K19" i="158"/>
  <c r="K24" i="158"/>
  <c r="K85" i="158"/>
  <c r="K26" i="158"/>
  <c r="K63" i="158"/>
  <c r="K69" i="158"/>
  <c r="K82" i="158"/>
  <c r="K52" i="158"/>
  <c r="K72" i="158"/>
  <c r="K28" i="158"/>
  <c r="K32" i="158"/>
  <c r="K18" i="158"/>
  <c r="K14" i="158"/>
  <c r="K25" i="158"/>
  <c r="K58" i="158"/>
  <c r="K65" i="158"/>
  <c r="K62" i="158"/>
  <c r="K13" i="158"/>
  <c r="K43" i="158"/>
  <c r="K64" i="158"/>
  <c r="K74" i="158"/>
  <c r="K51" i="158"/>
  <c r="K46" i="158"/>
  <c r="K23" i="158"/>
  <c r="K15" i="158"/>
  <c r="K47" i="158"/>
  <c r="K9" i="158"/>
  <c r="K11" i="158"/>
  <c r="K68" i="158"/>
  <c r="K36" i="158"/>
  <c r="K70" i="158"/>
  <c r="K66" i="158"/>
  <c r="K56" i="158"/>
  <c r="K67" i="158"/>
  <c r="K17" i="158"/>
  <c r="K57" i="158"/>
  <c r="K44" i="158"/>
  <c r="K22" i="158"/>
  <c r="K12" i="158"/>
  <c r="K31" i="158"/>
  <c r="K45" i="158"/>
  <c r="K10" i="158"/>
  <c r="K27" i="158"/>
  <c r="K29" i="158"/>
  <c r="K71" i="158"/>
  <c r="K20" i="158"/>
  <c r="K59" i="158"/>
  <c r="K55" i="158"/>
  <c r="K61" i="158"/>
  <c r="AJ63" i="176"/>
  <c r="AJ49" i="176"/>
  <c r="AJ60" i="176"/>
  <c r="AJ69" i="176"/>
  <c r="AJ33" i="176"/>
  <c r="AJ59" i="176"/>
  <c r="AJ16" i="176"/>
  <c r="AJ42" i="176"/>
  <c r="AJ52" i="176"/>
  <c r="AJ58" i="176"/>
  <c r="AJ28" i="176"/>
  <c r="AJ55" i="176"/>
  <c r="AJ30" i="176"/>
  <c r="AJ65" i="176"/>
  <c r="AJ70" i="176"/>
  <c r="AJ66" i="176"/>
  <c r="AJ56" i="176"/>
  <c r="AJ31" i="176"/>
  <c r="AJ64" i="176"/>
  <c r="AJ32" i="176"/>
  <c r="AJ22" i="176"/>
  <c r="AJ45" i="176"/>
  <c r="AJ23" i="176"/>
  <c r="AJ25" i="176"/>
  <c r="AJ44" i="176"/>
  <c r="AJ48" i="176"/>
  <c r="AJ57" i="176"/>
  <c r="AJ62" i="176"/>
  <c r="AJ68" i="176"/>
  <c r="AJ36" i="176"/>
  <c r="AJ29" i="176"/>
  <c r="AJ9" i="176"/>
  <c r="AJ15" i="176"/>
  <c r="AJ14" i="176"/>
  <c r="AJ19" i="176"/>
  <c r="AJ17" i="176"/>
  <c r="AJ47" i="176"/>
  <c r="AJ43" i="176"/>
  <c r="AJ18" i="176"/>
  <c r="AJ51" i="176"/>
  <c r="AJ46" i="176"/>
  <c r="AJ71" i="176"/>
  <c r="AJ53" i="176"/>
  <c r="AJ61" i="176"/>
  <c r="AJ67" i="176"/>
  <c r="AJ13" i="176"/>
  <c r="AJ12" i="176"/>
  <c r="AJ26" i="176"/>
  <c r="AJ27" i="176"/>
  <c r="AJ20" i="176"/>
  <c r="AJ10" i="176"/>
  <c r="AJ21" i="176"/>
  <c r="AJ11" i="176"/>
  <c r="AJ24" i="176"/>
  <c r="AI77" i="157"/>
  <c r="AI89" i="157"/>
  <c r="AI81" i="157"/>
  <c r="AI83" i="157" s="1"/>
  <c r="AI84" i="157" s="1"/>
  <c r="AI86" i="157" s="1"/>
  <c r="AI87" i="157" s="1"/>
  <c r="BS57" i="176"/>
  <c r="BS32" i="176"/>
  <c r="BS16" i="176"/>
  <c r="BS14" i="176"/>
  <c r="BS24" i="176"/>
  <c r="BS13" i="176"/>
  <c r="BS59" i="176"/>
  <c r="BS70" i="176"/>
  <c r="BS71" i="176"/>
  <c r="BS51" i="176"/>
  <c r="BS27" i="176"/>
  <c r="BS19" i="176"/>
  <c r="BS10" i="176"/>
  <c r="BS31" i="176"/>
  <c r="BS49" i="176"/>
  <c r="BS30" i="176"/>
  <c r="BS64" i="176"/>
  <c r="BS9" i="176"/>
  <c r="BS15" i="176"/>
  <c r="BS21" i="176"/>
  <c r="BS45" i="176"/>
  <c r="BS60" i="176"/>
  <c r="BS11" i="176"/>
  <c r="BS62" i="176"/>
  <c r="BS42" i="176"/>
  <c r="BS43" i="176"/>
  <c r="BS63" i="176"/>
  <c r="BS55" i="176"/>
  <c r="BS23" i="176"/>
  <c r="BS28" i="176"/>
  <c r="BS12" i="176"/>
  <c r="BS61" i="176"/>
  <c r="BS52" i="176"/>
  <c r="BS66" i="176"/>
  <c r="BS20" i="176"/>
  <c r="BS22" i="176"/>
  <c r="BS68" i="176"/>
  <c r="BS25" i="176"/>
  <c r="BS36" i="176"/>
  <c r="BS47" i="176"/>
  <c r="BS53" i="176"/>
  <c r="BS33" i="176"/>
  <c r="BS58" i="176"/>
  <c r="BS18" i="176"/>
  <c r="BS56" i="176"/>
  <c r="BS17" i="176"/>
  <c r="BS46" i="176"/>
  <c r="BS69" i="176"/>
  <c r="BS44" i="176"/>
  <c r="BS26" i="176"/>
  <c r="BS48" i="176"/>
  <c r="BS29" i="176"/>
  <c r="BS67" i="176"/>
  <c r="BS65" i="176"/>
  <c r="AO26" i="177"/>
  <c r="AO47" i="177"/>
  <c r="AO46" i="177"/>
  <c r="AO20" i="177"/>
  <c r="AO44" i="177"/>
  <c r="AO48" i="177"/>
  <c r="AO57" i="177"/>
  <c r="AO13" i="177"/>
  <c r="AO45" i="177"/>
  <c r="AO10" i="177"/>
  <c r="AO70" i="177"/>
  <c r="AO63" i="177"/>
  <c r="AO64" i="177"/>
  <c r="AO29" i="177"/>
  <c r="AO18" i="177"/>
  <c r="AO52" i="177"/>
  <c r="AO25" i="177"/>
  <c r="AO67" i="177"/>
  <c r="AO53" i="177"/>
  <c r="AO65" i="177"/>
  <c r="AO28" i="177"/>
  <c r="AO55" i="177"/>
  <c r="AO32" i="177"/>
  <c r="AO59" i="177"/>
  <c r="AO56" i="177"/>
  <c r="AO24" i="177"/>
  <c r="AO16" i="177"/>
  <c r="AO71" i="177"/>
  <c r="AO49" i="177"/>
  <c r="AO66" i="177"/>
  <c r="AO27" i="177"/>
  <c r="AO33" i="177"/>
  <c r="AO9" i="177"/>
  <c r="AO31" i="177"/>
  <c r="AO43" i="177"/>
  <c r="AO60" i="177"/>
  <c r="AO22" i="177"/>
  <c r="AO61" i="177"/>
  <c r="AO15" i="177"/>
  <c r="AO17" i="177"/>
  <c r="AO51" i="177"/>
  <c r="AO68" i="177"/>
  <c r="AO69" i="177"/>
  <c r="AO30" i="177"/>
  <c r="AO21" i="177"/>
  <c r="AO36" i="177"/>
  <c r="AO62" i="177"/>
  <c r="AO42" i="177"/>
  <c r="AO11" i="177"/>
  <c r="AO58" i="177"/>
  <c r="AO23" i="177"/>
  <c r="AO12" i="177"/>
  <c r="AO19" i="177"/>
  <c r="AO14" i="177"/>
  <c r="CH70" i="175"/>
  <c r="CH61" i="175"/>
  <c r="CH65" i="175"/>
  <c r="CH67" i="175"/>
  <c r="CH56" i="175"/>
  <c r="CH30" i="175"/>
  <c r="CH42" i="175"/>
  <c r="CH32" i="175"/>
  <c r="CH27" i="175"/>
  <c r="CH23" i="175"/>
  <c r="CH14" i="175"/>
  <c r="CH12" i="175"/>
  <c r="CH25" i="175"/>
  <c r="CH26" i="175"/>
  <c r="CH66" i="175"/>
  <c r="CH60" i="175"/>
  <c r="CH53" i="175"/>
  <c r="CH52" i="175"/>
  <c r="CH43" i="175"/>
  <c r="CH36" i="175"/>
  <c r="CH49" i="175"/>
  <c r="CH24" i="175"/>
  <c r="CH57" i="175"/>
  <c r="CH11" i="175"/>
  <c r="CH21" i="175"/>
  <c r="CH18" i="175"/>
  <c r="CH17" i="175"/>
  <c r="CH20" i="175"/>
  <c r="CH63" i="175"/>
  <c r="CH59" i="175"/>
  <c r="CH69" i="175"/>
  <c r="CH71" i="175"/>
  <c r="CH28" i="175"/>
  <c r="CH33" i="175"/>
  <c r="CH48" i="175"/>
  <c r="CH22" i="175"/>
  <c r="CH64" i="175"/>
  <c r="CH10" i="175"/>
  <c r="CH9" i="175"/>
  <c r="CH19" i="175"/>
  <c r="CH16" i="175"/>
  <c r="CH62" i="175"/>
  <c r="CH68" i="175"/>
  <c r="CH55" i="175"/>
  <c r="CH58" i="175"/>
  <c r="CH44" i="175"/>
  <c r="CH31" i="175"/>
  <c r="CH45" i="175"/>
  <c r="CH29" i="175"/>
  <c r="CH46" i="175"/>
  <c r="CH51" i="175"/>
  <c r="CH13" i="175"/>
  <c r="CH47" i="175"/>
  <c r="CH15" i="175"/>
  <c r="BI62" i="158"/>
  <c r="BI68" i="158"/>
  <c r="BI61" i="158"/>
  <c r="BI60" i="158"/>
  <c r="BI48" i="158"/>
  <c r="BI20" i="158"/>
  <c r="BI29" i="158"/>
  <c r="BI9" i="158"/>
  <c r="BI49" i="158"/>
  <c r="BI24" i="158"/>
  <c r="BI44" i="158"/>
  <c r="BI36" i="158"/>
  <c r="BI18" i="158"/>
  <c r="BI31" i="158"/>
  <c r="BI69" i="158"/>
  <c r="BI67" i="158"/>
  <c r="BI58" i="158"/>
  <c r="BI70" i="158"/>
  <c r="BI45" i="158"/>
  <c r="BI14" i="158"/>
  <c r="BI16" i="158"/>
  <c r="BI47" i="158"/>
  <c r="BI17" i="158"/>
  <c r="BI46" i="158"/>
  <c r="BI52" i="158"/>
  <c r="BI21" i="158"/>
  <c r="BI15" i="158"/>
  <c r="BI66" i="158"/>
  <c r="BI65" i="158"/>
  <c r="BI53" i="158"/>
  <c r="BI59" i="158"/>
  <c r="BI42" i="158"/>
  <c r="BI23" i="158"/>
  <c r="BI26" i="158"/>
  <c r="BI28" i="158"/>
  <c r="BI25" i="158"/>
  <c r="BI71" i="158"/>
  <c r="BI27" i="158"/>
  <c r="BI10" i="158"/>
  <c r="BI51" i="158"/>
  <c r="BI63" i="158"/>
  <c r="BI64" i="158"/>
  <c r="BI56" i="158"/>
  <c r="BI57" i="158"/>
  <c r="BI55" i="158"/>
  <c r="BI30" i="158"/>
  <c r="BI19" i="158"/>
  <c r="BI12" i="158"/>
  <c r="BI22" i="158"/>
  <c r="BI11" i="158"/>
  <c r="BI13" i="158"/>
  <c r="BI43" i="158"/>
  <c r="BI33" i="158"/>
  <c r="BI32" i="158"/>
  <c r="BH90" i="157"/>
  <c r="AE57" i="174"/>
  <c r="AE53" i="174"/>
  <c r="AE36" i="174"/>
  <c r="AE23" i="174"/>
  <c r="AE63" i="174"/>
  <c r="AE28" i="174"/>
  <c r="AE30" i="174"/>
  <c r="AE14" i="174"/>
  <c r="AE52" i="174"/>
  <c r="AE47" i="174"/>
  <c r="AE31" i="174"/>
  <c r="AE51" i="174"/>
  <c r="AE18" i="174"/>
  <c r="AE69" i="174"/>
  <c r="AE60" i="174"/>
  <c r="AE55" i="174"/>
  <c r="AE24" i="174"/>
  <c r="AE15" i="174"/>
  <c r="AE56" i="174"/>
  <c r="AE66" i="174"/>
  <c r="AE46" i="174"/>
  <c r="AE20" i="174"/>
  <c r="AE64" i="174"/>
  <c r="AE65" i="174"/>
  <c r="AE13" i="174"/>
  <c r="AE44" i="174"/>
  <c r="AE48" i="174"/>
  <c r="AE11" i="174"/>
  <c r="AE33" i="174"/>
  <c r="AE21" i="174"/>
  <c r="AE26" i="174"/>
  <c r="AE61" i="174"/>
  <c r="AE27" i="174"/>
  <c r="AE59" i="174"/>
  <c r="AE9" i="174"/>
  <c r="AE32" i="174"/>
  <c r="AE42" i="174"/>
  <c r="AE45" i="174"/>
  <c r="AE16" i="174"/>
  <c r="AE12" i="174"/>
  <c r="AE58" i="174"/>
  <c r="AE10" i="174"/>
  <c r="AE43" i="174"/>
  <c r="AE25" i="174"/>
  <c r="AE70" i="174"/>
  <c r="AE29" i="174"/>
  <c r="AE68" i="174"/>
  <c r="AE49" i="174"/>
  <c r="AE22" i="174"/>
  <c r="AE71" i="174"/>
  <c r="AE17" i="174"/>
  <c r="AE19" i="174"/>
  <c r="AE62" i="174"/>
  <c r="AE67" i="174"/>
  <c r="AX77" i="157"/>
  <c r="AX89" i="157"/>
  <c r="AX90" i="157" s="1"/>
  <c r="AX81" i="157"/>
  <c r="AX83" i="157" s="1"/>
  <c r="AX84" i="157" s="1"/>
  <c r="AX86" i="157" s="1"/>
  <c r="AX87" i="157" s="1"/>
  <c r="AI90" i="157"/>
  <c r="AJ53" i="158"/>
  <c r="AJ45" i="158"/>
  <c r="AJ16" i="158"/>
  <c r="AJ12" i="158"/>
  <c r="AJ32" i="158"/>
  <c r="AJ11" i="158"/>
  <c r="AJ67" i="158"/>
  <c r="AJ29" i="158"/>
  <c r="AJ26" i="158"/>
  <c r="AJ63" i="158"/>
  <c r="AJ61" i="158"/>
  <c r="AJ60" i="158"/>
  <c r="AJ68" i="158"/>
  <c r="AJ52" i="158"/>
  <c r="AJ42" i="158"/>
  <c r="AJ48" i="158"/>
  <c r="AJ33" i="158"/>
  <c r="AJ18" i="158"/>
  <c r="AJ17" i="158"/>
  <c r="AJ56" i="158"/>
  <c r="AJ14" i="158"/>
  <c r="AJ62" i="158"/>
  <c r="AJ58" i="158"/>
  <c r="AJ70" i="158"/>
  <c r="AJ66" i="158"/>
  <c r="AJ27" i="158"/>
  <c r="AJ51" i="158"/>
  <c r="AJ23" i="158"/>
  <c r="AJ31" i="158"/>
  <c r="AJ25" i="158"/>
  <c r="AJ15" i="158"/>
  <c r="AJ36" i="158"/>
  <c r="AJ43" i="158"/>
  <c r="AJ19" i="158"/>
  <c r="AJ47" i="158"/>
  <c r="AJ69" i="158"/>
  <c r="AJ10" i="158"/>
  <c r="AJ65" i="158"/>
  <c r="AJ30" i="158"/>
  <c r="AJ71" i="158"/>
  <c r="AJ49" i="158"/>
  <c r="AJ22" i="158"/>
  <c r="AJ46" i="158"/>
  <c r="AJ44" i="158"/>
  <c r="AJ21" i="158"/>
  <c r="AJ24" i="158"/>
  <c r="AJ57" i="158"/>
  <c r="AJ13" i="158"/>
  <c r="AJ28" i="158"/>
  <c r="AJ59" i="158"/>
  <c r="AJ20" i="158"/>
  <c r="AJ9" i="158"/>
  <c r="AJ55" i="158"/>
  <c r="AO69" i="175"/>
  <c r="AO71" i="175"/>
  <c r="AO55" i="175"/>
  <c r="AO60" i="175"/>
  <c r="AO53" i="175"/>
  <c r="AO42" i="175"/>
  <c r="AO32" i="175"/>
  <c r="AO33" i="175"/>
  <c r="AO27" i="175"/>
  <c r="AO56" i="175"/>
  <c r="AO20" i="175"/>
  <c r="AO15" i="175"/>
  <c r="AO22" i="175"/>
  <c r="AO23" i="175"/>
  <c r="AO70" i="175"/>
  <c r="AO67" i="175"/>
  <c r="AO63" i="175"/>
  <c r="AO59" i="175"/>
  <c r="AO28" i="175"/>
  <c r="AO30" i="175"/>
  <c r="AO47" i="175"/>
  <c r="AO31" i="175"/>
  <c r="AO9" i="175"/>
  <c r="AO19" i="175"/>
  <c r="AO45" i="175"/>
  <c r="AO21" i="175"/>
  <c r="AO24" i="175"/>
  <c r="AO17" i="175"/>
  <c r="AO68" i="175"/>
  <c r="AO64" i="175"/>
  <c r="AO62" i="175"/>
  <c r="AO46" i="175"/>
  <c r="AO66" i="175"/>
  <c r="AO58" i="175"/>
  <c r="AO57" i="175"/>
  <c r="AO16" i="175"/>
  <c r="AO43" i="175"/>
  <c r="AO11" i="175"/>
  <c r="AO26" i="175"/>
  <c r="AO18" i="175"/>
  <c r="AO12" i="175"/>
  <c r="AO65" i="175"/>
  <c r="AO49" i="175"/>
  <c r="AO61" i="175"/>
  <c r="AO36" i="175"/>
  <c r="AO52" i="175"/>
  <c r="AO44" i="175"/>
  <c r="AO48" i="175"/>
  <c r="AO13" i="175"/>
  <c r="AO29" i="175"/>
  <c r="AO10" i="175"/>
  <c r="AO51" i="175"/>
  <c r="AO25" i="175"/>
  <c r="AO14" i="175"/>
  <c r="CH70" i="174"/>
  <c r="CH56" i="174"/>
  <c r="CH28" i="174"/>
  <c r="CH20" i="174"/>
  <c r="CH12" i="174"/>
  <c r="CH55" i="174"/>
  <c r="CH13" i="174"/>
  <c r="CH67" i="174"/>
  <c r="CH49" i="174"/>
  <c r="CH53" i="174"/>
  <c r="CH43" i="174"/>
  <c r="CH18" i="174"/>
  <c r="CH29" i="174"/>
  <c r="CH19" i="174"/>
  <c r="CH24" i="174"/>
  <c r="CH26" i="174"/>
  <c r="CH47" i="174"/>
  <c r="CH57" i="174"/>
  <c r="CH32" i="174"/>
  <c r="CH60" i="174"/>
  <c r="CH45" i="174"/>
  <c r="CH21" i="174"/>
  <c r="CH16" i="174"/>
  <c r="CH23" i="174"/>
  <c r="CH17" i="174"/>
  <c r="CH22" i="174"/>
  <c r="CH65" i="174"/>
  <c r="CH27" i="174"/>
  <c r="CH51" i="174"/>
  <c r="CH25" i="174"/>
  <c r="CH9" i="174"/>
  <c r="CH71" i="174"/>
  <c r="CH58" i="174"/>
  <c r="CH44" i="174"/>
  <c r="CH42" i="174"/>
  <c r="CH14" i="174"/>
  <c r="CH11" i="174"/>
  <c r="CH15" i="174"/>
  <c r="CH66" i="174"/>
  <c r="CH46" i="174"/>
  <c r="CH68" i="174"/>
  <c r="CH61" i="174"/>
  <c r="CH33" i="174"/>
  <c r="CH30" i="174"/>
  <c r="CH62" i="174"/>
  <c r="CH36" i="174"/>
  <c r="CH48" i="174"/>
  <c r="CH10" i="174"/>
  <c r="CH64" i="174"/>
  <c r="CH52" i="174"/>
  <c r="CH59" i="174"/>
  <c r="CH31" i="174"/>
  <c r="CH69" i="174"/>
  <c r="CH63" i="174"/>
  <c r="BX60" i="175"/>
  <c r="BX43" i="175"/>
  <c r="BX64" i="175"/>
  <c r="BX52" i="175"/>
  <c r="BX42" i="175"/>
  <c r="BX24" i="175"/>
  <c r="BX66" i="175"/>
  <c r="BX27" i="175"/>
  <c r="BX9" i="175"/>
  <c r="BX22" i="175"/>
  <c r="BX16" i="175"/>
  <c r="BX13" i="175"/>
  <c r="BX19" i="175"/>
  <c r="BX51" i="175"/>
  <c r="BX49" i="175"/>
  <c r="BX63" i="175"/>
  <c r="BX31" i="175"/>
  <c r="BX33" i="175"/>
  <c r="BX68" i="175"/>
  <c r="BX11" i="175"/>
  <c r="BX18" i="175"/>
  <c r="BX36" i="175"/>
  <c r="BX21" i="175"/>
  <c r="BX65" i="175"/>
  <c r="BX71" i="175"/>
  <c r="BX56" i="175"/>
  <c r="BX53" i="175"/>
  <c r="BX47" i="175"/>
  <c r="BX46" i="175"/>
  <c r="BX61" i="175"/>
  <c r="BX29" i="175"/>
  <c r="BX32" i="175"/>
  <c r="BX25" i="175"/>
  <c r="BX28" i="175"/>
  <c r="BX15" i="175"/>
  <c r="BX57" i="175"/>
  <c r="BX10" i="175"/>
  <c r="BX58" i="175"/>
  <c r="BX23" i="175"/>
  <c r="BX55" i="175"/>
  <c r="BX62" i="175"/>
  <c r="BX45" i="175"/>
  <c r="BX67" i="175"/>
  <c r="BX59" i="175"/>
  <c r="BX48" i="175"/>
  <c r="BX30" i="175"/>
  <c r="BX12" i="175"/>
  <c r="BX44" i="175"/>
  <c r="BX14" i="175"/>
  <c r="BX17" i="175"/>
  <c r="BX20" i="175"/>
  <c r="BX69" i="175"/>
  <c r="BX26" i="175"/>
  <c r="BX70" i="175"/>
  <c r="BR77" i="157"/>
  <c r="BR89" i="157"/>
  <c r="BR81" i="157"/>
  <c r="BR83" i="157" s="1"/>
  <c r="BR84" i="157" s="1"/>
  <c r="BR86" i="157" s="1"/>
  <c r="BR87" i="157" s="1"/>
  <c r="K78" i="177"/>
  <c r="K72" i="177"/>
  <c r="K68" i="177"/>
  <c r="K60" i="177"/>
  <c r="K59" i="177"/>
  <c r="K45" i="177"/>
  <c r="K27" i="177"/>
  <c r="K19" i="177"/>
  <c r="K15" i="177"/>
  <c r="K23" i="177"/>
  <c r="K26" i="177"/>
  <c r="K47" i="177"/>
  <c r="K11" i="177"/>
  <c r="K44" i="177"/>
  <c r="K82" i="177"/>
  <c r="K70" i="177"/>
  <c r="K69" i="177"/>
  <c r="K58" i="177"/>
  <c r="K56" i="177"/>
  <c r="K32" i="177"/>
  <c r="K21" i="177"/>
  <c r="K16" i="177"/>
  <c r="K12" i="177"/>
  <c r="K20" i="177"/>
  <c r="K25" i="177"/>
  <c r="K9" i="177"/>
  <c r="K42" i="177"/>
  <c r="K48" i="177"/>
  <c r="K66" i="177"/>
  <c r="K67" i="177"/>
  <c r="K64" i="177"/>
  <c r="K63" i="177"/>
  <c r="K43" i="177"/>
  <c r="K52" i="177"/>
  <c r="K18" i="177"/>
  <c r="K55" i="177"/>
  <c r="K24" i="177"/>
  <c r="K17" i="177"/>
  <c r="K13" i="177"/>
  <c r="K29" i="177"/>
  <c r="K74" i="177"/>
  <c r="K30" i="177"/>
  <c r="K85" i="177"/>
  <c r="K65" i="177"/>
  <c r="K71" i="177"/>
  <c r="K62" i="177"/>
  <c r="K61" i="177"/>
  <c r="K51" i="177"/>
  <c r="K28" i="177"/>
  <c r="K22" i="177"/>
  <c r="K33" i="177"/>
  <c r="K36" i="177"/>
  <c r="K14" i="177"/>
  <c r="K10" i="177"/>
  <c r="K31" i="177"/>
  <c r="K46" i="177"/>
  <c r="K57" i="177"/>
  <c r="CH47" i="158"/>
  <c r="CH66" i="158"/>
  <c r="CH63" i="158"/>
  <c r="CH53" i="158"/>
  <c r="CH28" i="158"/>
  <c r="CH14" i="158"/>
  <c r="CH9" i="158"/>
  <c r="CH27" i="158"/>
  <c r="CH68" i="158"/>
  <c r="CH29" i="158"/>
  <c r="CH52" i="158"/>
  <c r="CH62" i="158"/>
  <c r="CH16" i="158"/>
  <c r="CH71" i="158"/>
  <c r="CH60" i="158"/>
  <c r="CH57" i="158"/>
  <c r="CH49" i="158"/>
  <c r="CH25" i="158"/>
  <c r="CH20" i="158"/>
  <c r="CH26" i="158"/>
  <c r="CH11" i="158"/>
  <c r="CH61" i="158"/>
  <c r="CH19" i="158"/>
  <c r="CH58" i="158"/>
  <c r="CH65" i="158"/>
  <c r="CH15" i="158"/>
  <c r="CH43" i="158"/>
  <c r="CH33" i="158"/>
  <c r="CH55" i="158"/>
  <c r="CH30" i="158"/>
  <c r="CH18" i="158"/>
  <c r="CH12" i="158"/>
  <c r="CH21" i="158"/>
  <c r="CH56" i="158"/>
  <c r="CH22" i="158"/>
  <c r="CH48" i="158"/>
  <c r="CH67" i="158"/>
  <c r="CH70" i="158"/>
  <c r="CH51" i="158"/>
  <c r="CH13" i="158"/>
  <c r="CH69" i="158"/>
  <c r="CH36" i="158"/>
  <c r="CH24" i="158"/>
  <c r="CH17" i="158"/>
  <c r="CH45" i="158"/>
  <c r="CH59" i="158"/>
  <c r="CH10" i="158"/>
  <c r="CH46" i="158"/>
  <c r="CH64" i="158"/>
  <c r="CH32" i="158"/>
  <c r="CH42" i="158"/>
  <c r="CH44" i="158"/>
  <c r="CH23" i="158"/>
  <c r="CH31" i="158"/>
  <c r="Y77" i="176"/>
  <c r="Y89" i="176"/>
  <c r="Y81" i="176"/>
  <c r="Y83" i="176" s="1"/>
  <c r="Y84" i="176" s="1"/>
  <c r="Y86" i="176" s="1"/>
  <c r="CB77" i="157"/>
  <c r="CB89" i="157"/>
  <c r="CB81" i="157"/>
  <c r="CB83" i="157" s="1"/>
  <c r="CB84" i="157" s="1"/>
  <c r="CB86" i="157" s="1"/>
  <c r="CB87" i="157" s="1"/>
  <c r="Y77" i="175"/>
  <c r="Y89" i="175"/>
  <c r="Y81" i="175"/>
  <c r="Y83" i="175" s="1"/>
  <c r="Y84" i="175" s="1"/>
  <c r="Y86" i="175" s="1"/>
  <c r="CL79" i="157"/>
  <c r="CJ77" i="157"/>
  <c r="CJ81" i="157"/>
  <c r="CJ83" i="157" s="1"/>
  <c r="Y81" i="174"/>
  <c r="Y83" i="174" s="1"/>
  <c r="Y84" i="174" s="1"/>
  <c r="Y86" i="174" s="1"/>
  <c r="Y89" i="174"/>
  <c r="Y77" i="174"/>
  <c r="BD63" i="157"/>
  <c r="BD46" i="157"/>
  <c r="BD14" i="157"/>
  <c r="BD58" i="157"/>
  <c r="BD45" i="157"/>
  <c r="BD65" i="157"/>
  <c r="BD18" i="157"/>
  <c r="BD61" i="157"/>
  <c r="BD12" i="157"/>
  <c r="BD47" i="157"/>
  <c r="BD24" i="157"/>
  <c r="BD67" i="157"/>
  <c r="BD9" i="157"/>
  <c r="BD57" i="157"/>
  <c r="BD25" i="157"/>
  <c r="BD16" i="157"/>
  <c r="BD51" i="157"/>
  <c r="BD48" i="157"/>
  <c r="BD68" i="157"/>
  <c r="BD15" i="157"/>
  <c r="BD29" i="157"/>
  <c r="BD36" i="157"/>
  <c r="BD10" i="157"/>
  <c r="BD70" i="157"/>
  <c r="BD22" i="157"/>
  <c r="BD69" i="157"/>
  <c r="BD49" i="157"/>
  <c r="BD27" i="157"/>
  <c r="BD71" i="157"/>
  <c r="BD26" i="157"/>
  <c r="BD11" i="157"/>
  <c r="BD43" i="157"/>
  <c r="BD33" i="157"/>
  <c r="BD52" i="157"/>
  <c r="BD23" i="157"/>
  <c r="BD31" i="157"/>
  <c r="BD28" i="157"/>
  <c r="BD53" i="157"/>
  <c r="BD55" i="157"/>
  <c r="BD17" i="157"/>
  <c r="BD30" i="157"/>
  <c r="BD19" i="157"/>
  <c r="BD32" i="157"/>
  <c r="BD13" i="157"/>
  <c r="BD44" i="157"/>
  <c r="BD66" i="157"/>
  <c r="BD64" i="157"/>
  <c r="BD56" i="157"/>
  <c r="BD21" i="157"/>
  <c r="BD62" i="157"/>
  <c r="BD20" i="157"/>
  <c r="BD42" i="157"/>
  <c r="BD60" i="157"/>
  <c r="BD59" i="157"/>
  <c r="BS66" i="177"/>
  <c r="BS70" i="177"/>
  <c r="BS55" i="177"/>
  <c r="BS24" i="177"/>
  <c r="BS33" i="177"/>
  <c r="BS10" i="177"/>
  <c r="BS20" i="177"/>
  <c r="BS15" i="177"/>
  <c r="BS48" i="177"/>
  <c r="BS43" i="177"/>
  <c r="BS52" i="177"/>
  <c r="BS17" i="177"/>
  <c r="BS12" i="177"/>
  <c r="BS58" i="177"/>
  <c r="BS65" i="177"/>
  <c r="BS67" i="177"/>
  <c r="BS49" i="177"/>
  <c r="BS23" i="177"/>
  <c r="BS36" i="177"/>
  <c r="BS11" i="177"/>
  <c r="BS30" i="177"/>
  <c r="BS19" i="177"/>
  <c r="BS47" i="177"/>
  <c r="BS26" i="177"/>
  <c r="BS56" i="177"/>
  <c r="BS16" i="177"/>
  <c r="BS42" i="177"/>
  <c r="BS64" i="177"/>
  <c r="BS53" i="177"/>
  <c r="BS71" i="177"/>
  <c r="BS21" i="177"/>
  <c r="BS32" i="177"/>
  <c r="BS29" i="177"/>
  <c r="BS59" i="177"/>
  <c r="BS31" i="177"/>
  <c r="BS62" i="177"/>
  <c r="BS51" i="177"/>
  <c r="BS27" i="177"/>
  <c r="BS57" i="177"/>
  <c r="BS44" i="177"/>
  <c r="BS69" i="177"/>
  <c r="BS63" i="177"/>
  <c r="BS68" i="177"/>
  <c r="BS25" i="177"/>
  <c r="BS18" i="177"/>
  <c r="BS9" i="177"/>
  <c r="BS14" i="177"/>
  <c r="BS13" i="177"/>
  <c r="BS46" i="177"/>
  <c r="BS60" i="177"/>
  <c r="BS45" i="177"/>
  <c r="BS28" i="177"/>
  <c r="BS61" i="177"/>
  <c r="BS22" i="177"/>
  <c r="BI49" i="175"/>
  <c r="BI43" i="175"/>
  <c r="BI24" i="175"/>
  <c r="BI42" i="175"/>
  <c r="BI36" i="175"/>
  <c r="BI17" i="175"/>
  <c r="BI55" i="175"/>
  <c r="BI22" i="175"/>
  <c r="BI53" i="175"/>
  <c r="BI27" i="175"/>
  <c r="BI52" i="175"/>
  <c r="BI65" i="175"/>
  <c r="BI20" i="175"/>
  <c r="BI18" i="175"/>
  <c r="BI71" i="175"/>
  <c r="BI48" i="175"/>
  <c r="BI25" i="175"/>
  <c r="BI32" i="175"/>
  <c r="BI56" i="175"/>
  <c r="BI15" i="175"/>
  <c r="BI11" i="175"/>
  <c r="BI47" i="175"/>
  <c r="BI29" i="175"/>
  <c r="BI28" i="175"/>
  <c r="BI23" i="175"/>
  <c r="BI14" i="175"/>
  <c r="BI57" i="175"/>
  <c r="BI70" i="175"/>
  <c r="BI26" i="175"/>
  <c r="BI44" i="175"/>
  <c r="BI68" i="175"/>
  <c r="BI12" i="175"/>
  <c r="BI51" i="175"/>
  <c r="BI10" i="175"/>
  <c r="BI19" i="175"/>
  <c r="BI67" i="175"/>
  <c r="BI31" i="175"/>
  <c r="BI59" i="175"/>
  <c r="BI13" i="175"/>
  <c r="BI66" i="175"/>
  <c r="BI16" i="175"/>
  <c r="BI69" i="175"/>
  <c r="BI58" i="175"/>
  <c r="BI45" i="175"/>
  <c r="BI64" i="175"/>
  <c r="BI33" i="175"/>
  <c r="BI61" i="175"/>
  <c r="BI46" i="175"/>
  <c r="BI21" i="175"/>
  <c r="BI30" i="175"/>
  <c r="BI63" i="175"/>
  <c r="BI60" i="175"/>
  <c r="BI9" i="175"/>
  <c r="BI62" i="175"/>
  <c r="AN77" i="157"/>
  <c r="AN89" i="157"/>
  <c r="AN81" i="157"/>
  <c r="AN83" i="157" s="1"/>
  <c r="AN84" i="157" s="1"/>
  <c r="AN86" i="157" s="1"/>
  <c r="AN87" i="157" s="1"/>
  <c r="P79" i="175"/>
  <c r="P72" i="175"/>
  <c r="P66" i="175"/>
  <c r="P82" i="175"/>
  <c r="P58" i="175"/>
  <c r="P28" i="175"/>
  <c r="P23" i="175"/>
  <c r="P30" i="175"/>
  <c r="P60" i="175"/>
  <c r="P32" i="175"/>
  <c r="P42" i="175"/>
  <c r="P44" i="175"/>
  <c r="P19" i="175"/>
  <c r="P45" i="175"/>
  <c r="P24" i="175"/>
  <c r="P47" i="175"/>
  <c r="P69" i="175"/>
  <c r="P65" i="175"/>
  <c r="P63" i="175"/>
  <c r="P57" i="175"/>
  <c r="P71" i="175"/>
  <c r="P22" i="175"/>
  <c r="P29" i="175"/>
  <c r="P15" i="175"/>
  <c r="P12" i="175"/>
  <c r="P31" i="175"/>
  <c r="P85" i="175"/>
  <c r="P25" i="175"/>
  <c r="P26" i="175"/>
  <c r="P52" i="175"/>
  <c r="P51" i="175"/>
  <c r="P68" i="175"/>
  <c r="P64" i="175"/>
  <c r="P61" i="175"/>
  <c r="P70" i="175"/>
  <c r="P55" i="175"/>
  <c r="P48" i="175"/>
  <c r="P21" i="175"/>
  <c r="P10" i="175"/>
  <c r="P11" i="175"/>
  <c r="P27" i="175"/>
  <c r="P78" i="175"/>
  <c r="P16" i="175"/>
  <c r="P46" i="175"/>
  <c r="P43" i="175"/>
  <c r="P67" i="175"/>
  <c r="P53" i="175"/>
  <c r="P59" i="175"/>
  <c r="P33" i="175"/>
  <c r="P62" i="175"/>
  <c r="P36" i="175"/>
  <c r="P18" i="175"/>
  <c r="P56" i="175"/>
  <c r="P9" i="175"/>
  <c r="P14" i="175"/>
  <c r="P74" i="175"/>
  <c r="P17" i="175"/>
  <c r="P20" i="175"/>
  <c r="P13" i="175"/>
  <c r="BS53" i="158"/>
  <c r="BS25" i="158"/>
  <c r="BS20" i="158"/>
  <c r="BS16" i="158"/>
  <c r="BS48" i="158"/>
  <c r="BS26" i="158"/>
  <c r="BS58" i="158"/>
  <c r="BS29" i="158"/>
  <c r="BS70" i="158"/>
  <c r="BS68" i="158"/>
  <c r="BS42" i="158"/>
  <c r="BS44" i="158"/>
  <c r="BS15" i="158"/>
  <c r="BS63" i="158"/>
  <c r="BS30" i="158"/>
  <c r="BS18" i="158"/>
  <c r="BS24" i="158"/>
  <c r="BS11" i="158"/>
  <c r="BS46" i="158"/>
  <c r="BS19" i="158"/>
  <c r="BS66" i="158"/>
  <c r="BS45" i="158"/>
  <c r="BS13" i="158"/>
  <c r="BS31" i="158"/>
  <c r="BS67" i="158"/>
  <c r="BS56" i="158"/>
  <c r="BS52" i="158"/>
  <c r="BS55" i="158"/>
  <c r="BS36" i="158"/>
  <c r="BS17" i="158"/>
  <c r="BS12" i="158"/>
  <c r="BS9" i="158"/>
  <c r="BS60" i="158"/>
  <c r="BS57" i="158"/>
  <c r="BS22" i="158"/>
  <c r="BS51" i="158"/>
  <c r="BS32" i="158"/>
  <c r="BS21" i="158"/>
  <c r="BS10" i="158"/>
  <c r="BS71" i="158"/>
  <c r="BS47" i="158"/>
  <c r="BS49" i="158"/>
  <c r="BS28" i="158"/>
  <c r="BS14" i="158"/>
  <c r="BS23" i="158"/>
  <c r="BS33" i="158"/>
  <c r="BS64" i="158"/>
  <c r="BS65" i="158"/>
  <c r="BS43" i="158"/>
  <c r="BS61" i="158"/>
  <c r="BS69" i="158"/>
  <c r="BS59" i="158"/>
  <c r="BS62" i="158"/>
  <c r="BS27" i="158"/>
  <c r="K64" i="176"/>
  <c r="K66" i="176"/>
  <c r="K62" i="176"/>
  <c r="K68" i="176"/>
  <c r="K11" i="176"/>
  <c r="K36" i="176"/>
  <c r="K28" i="176"/>
  <c r="K47" i="176"/>
  <c r="K43" i="176"/>
  <c r="K24" i="176"/>
  <c r="K26" i="176"/>
  <c r="K19" i="176"/>
  <c r="K18" i="176"/>
  <c r="K42" i="176"/>
  <c r="K74" i="176"/>
  <c r="K70" i="176"/>
  <c r="K69" i="176"/>
  <c r="K29" i="176"/>
  <c r="K16" i="176"/>
  <c r="K23" i="176"/>
  <c r="K20" i="176"/>
  <c r="K55" i="176"/>
  <c r="K46" i="176"/>
  <c r="K56" i="176"/>
  <c r="K48" i="176"/>
  <c r="K45" i="176"/>
  <c r="K30" i="176"/>
  <c r="K85" i="176"/>
  <c r="K82" i="176"/>
  <c r="K71" i="176"/>
  <c r="K72" i="176"/>
  <c r="K65" i="176"/>
  <c r="K15" i="176"/>
  <c r="K57" i="176"/>
  <c r="K9" i="176"/>
  <c r="K21" i="176"/>
  <c r="K51" i="176"/>
  <c r="K59" i="176"/>
  <c r="K25" i="176"/>
  <c r="K13" i="176"/>
  <c r="K78" i="176"/>
  <c r="K10" i="176"/>
  <c r="K44" i="176"/>
  <c r="K67" i="176"/>
  <c r="K61" i="176"/>
  <c r="K63" i="176"/>
  <c r="K31" i="176"/>
  <c r="K12" i="176"/>
  <c r="K60" i="176"/>
  <c r="K14" i="176"/>
  <c r="K58" i="176"/>
  <c r="K33" i="176"/>
  <c r="K17" i="176"/>
  <c r="K52" i="176"/>
  <c r="K27" i="176"/>
  <c r="K22" i="176"/>
  <c r="K32" i="176"/>
  <c r="CC67" i="176"/>
  <c r="CC68" i="176"/>
  <c r="CC66" i="176"/>
  <c r="CC18" i="176"/>
  <c r="CC13" i="176"/>
  <c r="CC19" i="176"/>
  <c r="CC45" i="176"/>
  <c r="CC65" i="176"/>
  <c r="CC36" i="176"/>
  <c r="CC33" i="176"/>
  <c r="CC16" i="176"/>
  <c r="CC27" i="176"/>
  <c r="CC25" i="176"/>
  <c r="CC29" i="176"/>
  <c r="CC71" i="176"/>
  <c r="CC56" i="176"/>
  <c r="CC32" i="176"/>
  <c r="CC28" i="176"/>
  <c r="CC42" i="176"/>
  <c r="CC51" i="176"/>
  <c r="CC47" i="176"/>
  <c r="CC64" i="176"/>
  <c r="CC55" i="176"/>
  <c r="CC12" i="176"/>
  <c r="CC58" i="176"/>
  <c r="CC59" i="176"/>
  <c r="CC10" i="176"/>
  <c r="CC22" i="176"/>
  <c r="CC26" i="176"/>
  <c r="CC43" i="176"/>
  <c r="CC62" i="176"/>
  <c r="CC14" i="176"/>
  <c r="CC11" i="176"/>
  <c r="CC24" i="176"/>
  <c r="CC21" i="176"/>
  <c r="CC17" i="176"/>
  <c r="CC69" i="176"/>
  <c r="CC46" i="176"/>
  <c r="CC23" i="176"/>
  <c r="CC52" i="176"/>
  <c r="CC15" i="176"/>
  <c r="CC57" i="176"/>
  <c r="CC70" i="176"/>
  <c r="CC9" i="176"/>
  <c r="CC61" i="176"/>
  <c r="CC30" i="176"/>
  <c r="CC63" i="176"/>
  <c r="CC20" i="176"/>
  <c r="CC31" i="176"/>
  <c r="CC44" i="176"/>
  <c r="CC48" i="176"/>
  <c r="CC53" i="176"/>
  <c r="CC60" i="176"/>
  <c r="CC49" i="176"/>
  <c r="W84" i="157"/>
  <c r="W86" i="157" s="1"/>
  <c r="AT53" i="157"/>
  <c r="AT63" i="157"/>
  <c r="AT21" i="157"/>
  <c r="AT16" i="157"/>
  <c r="AT71" i="157"/>
  <c r="AT18" i="157"/>
  <c r="AT64" i="157"/>
  <c r="AT9" i="157"/>
  <c r="AT17" i="157"/>
  <c r="AT31" i="157"/>
  <c r="AT30" i="157"/>
  <c r="AT62" i="157"/>
  <c r="AT36" i="157"/>
  <c r="AT52" i="157"/>
  <c r="AT66" i="157"/>
  <c r="AT69" i="157"/>
  <c r="AT29" i="157"/>
  <c r="AT12" i="157"/>
  <c r="AT57" i="157"/>
  <c r="AT48" i="157"/>
  <c r="AT19" i="157"/>
  <c r="AT25" i="157"/>
  <c r="AT51" i="157"/>
  <c r="AT22" i="157"/>
  <c r="AT65" i="157"/>
  <c r="AT59" i="157"/>
  <c r="AT56" i="157"/>
  <c r="AT60" i="157"/>
  <c r="AT27" i="157"/>
  <c r="AT32" i="157"/>
  <c r="AT46" i="157"/>
  <c r="AT15" i="157"/>
  <c r="AT44" i="157"/>
  <c r="AT28" i="157"/>
  <c r="AT23" i="157"/>
  <c r="AT11" i="157"/>
  <c r="AT47" i="157"/>
  <c r="AT70" i="157"/>
  <c r="AT13" i="157"/>
  <c r="AT55" i="157"/>
  <c r="AT49" i="157"/>
  <c r="AT43" i="157"/>
  <c r="AT24" i="157"/>
  <c r="AT14" i="157"/>
  <c r="AT33" i="157"/>
  <c r="AT26" i="157"/>
  <c r="AT58" i="157"/>
  <c r="AT67" i="157"/>
  <c r="AT20" i="157"/>
  <c r="AT61" i="157"/>
  <c r="AT10" i="157"/>
  <c r="AT45" i="157"/>
  <c r="AT42" i="157"/>
  <c r="AT68" i="157"/>
  <c r="CC52" i="158"/>
  <c r="CC46" i="158"/>
  <c r="CC43" i="158"/>
  <c r="CC47" i="158"/>
  <c r="CC18" i="158"/>
  <c r="CC32" i="158"/>
  <c r="CC21" i="158"/>
  <c r="CC11" i="158"/>
  <c r="CC63" i="158"/>
  <c r="CC17" i="158"/>
  <c r="CC65" i="158"/>
  <c r="CC62" i="158"/>
  <c r="CC51" i="158"/>
  <c r="CC44" i="158"/>
  <c r="CC23" i="158"/>
  <c r="CC31" i="158"/>
  <c r="CC12" i="158"/>
  <c r="CC28" i="158"/>
  <c r="CC30" i="158"/>
  <c r="CC55" i="158"/>
  <c r="CC60" i="158"/>
  <c r="CC59" i="158"/>
  <c r="CC29" i="158"/>
  <c r="CC64" i="158"/>
  <c r="CC56" i="158"/>
  <c r="CC36" i="158"/>
  <c r="CC22" i="158"/>
  <c r="CC42" i="158"/>
  <c r="CC33" i="158"/>
  <c r="CC15" i="158"/>
  <c r="CC45" i="158"/>
  <c r="CC58" i="158"/>
  <c r="CC10" i="158"/>
  <c r="CC66" i="158"/>
  <c r="CC24" i="158"/>
  <c r="CC71" i="158"/>
  <c r="CC48" i="158"/>
  <c r="CC49" i="158"/>
  <c r="CC16" i="158"/>
  <c r="CC27" i="158"/>
  <c r="CC53" i="158"/>
  <c r="CC25" i="158"/>
  <c r="CC14" i="158"/>
  <c r="CC61" i="158"/>
  <c r="CC20" i="158"/>
  <c r="CC69" i="158"/>
  <c r="CC67" i="158"/>
  <c r="CC68" i="158"/>
  <c r="CC26" i="158"/>
  <c r="CC57" i="158"/>
  <c r="CC13" i="158"/>
  <c r="CC9" i="158"/>
  <c r="CC70" i="158"/>
  <c r="CC19" i="158"/>
  <c r="BX62" i="158"/>
  <c r="BX70" i="158"/>
  <c r="BX67" i="158"/>
  <c r="BX68" i="158"/>
  <c r="BX30" i="158"/>
  <c r="BX28" i="158"/>
  <c r="BX22" i="158"/>
  <c r="BX58" i="158"/>
  <c r="BX12" i="158"/>
  <c r="BX17" i="158"/>
  <c r="BX27" i="158"/>
  <c r="BX10" i="158"/>
  <c r="BX45" i="158"/>
  <c r="BX31" i="158"/>
  <c r="BX65" i="158"/>
  <c r="BX60" i="158"/>
  <c r="BX59" i="158"/>
  <c r="BX61" i="158"/>
  <c r="BX20" i="158"/>
  <c r="BX57" i="158"/>
  <c r="BX55" i="158"/>
  <c r="BX16" i="158"/>
  <c r="BX53" i="158"/>
  <c r="BX33" i="158"/>
  <c r="BX11" i="158"/>
  <c r="BX71" i="158"/>
  <c r="BX46" i="158"/>
  <c r="BX69" i="158"/>
  <c r="BX56" i="158"/>
  <c r="BX66" i="158"/>
  <c r="BX51" i="158"/>
  <c r="BX14" i="158"/>
  <c r="BX26" i="158"/>
  <c r="BX18" i="158"/>
  <c r="BX36" i="158"/>
  <c r="BX13" i="158"/>
  <c r="BX15" i="158"/>
  <c r="BX44" i="158"/>
  <c r="BX21" i="158"/>
  <c r="BX24" i="158"/>
  <c r="BX63" i="158"/>
  <c r="BX64" i="158"/>
  <c r="BX49" i="158"/>
  <c r="BX43" i="158"/>
  <c r="BX47" i="158"/>
  <c r="BX29" i="158"/>
  <c r="BX23" i="158"/>
  <c r="BX9" i="158"/>
  <c r="BX19" i="158"/>
  <c r="BX52" i="158"/>
  <c r="BX32" i="158"/>
  <c r="BX42" i="158"/>
  <c r="BX48" i="158"/>
  <c r="BX25" i="158"/>
  <c r="AJ70" i="175"/>
  <c r="AJ48" i="175"/>
  <c r="AJ47" i="175"/>
  <c r="AJ27" i="175"/>
  <c r="AJ43" i="175"/>
  <c r="AJ31" i="175"/>
  <c r="AJ61" i="175"/>
  <c r="AJ19" i="175"/>
  <c r="AJ67" i="175"/>
  <c r="AJ55" i="175"/>
  <c r="AJ59" i="175"/>
  <c r="AJ14" i="175"/>
  <c r="AJ65" i="175"/>
  <c r="AJ64" i="175"/>
  <c r="AJ49" i="175"/>
  <c r="AJ46" i="175"/>
  <c r="AJ11" i="175"/>
  <c r="AJ25" i="175"/>
  <c r="AJ69" i="175"/>
  <c r="AJ30" i="175"/>
  <c r="AJ58" i="175"/>
  <c r="AJ15" i="175"/>
  <c r="AJ9" i="175"/>
  <c r="AJ18" i="175"/>
  <c r="AJ60" i="175"/>
  <c r="AJ17" i="175"/>
  <c r="AJ66" i="175"/>
  <c r="AJ22" i="175"/>
  <c r="AJ24" i="175"/>
  <c r="AJ44" i="175"/>
  <c r="AJ53" i="175"/>
  <c r="AJ29" i="175"/>
  <c r="AJ45" i="175"/>
  <c r="AJ23" i="175"/>
  <c r="AJ16" i="175"/>
  <c r="AJ21" i="175"/>
  <c r="AJ13" i="175"/>
  <c r="AJ68" i="175"/>
  <c r="AJ57" i="175"/>
  <c r="AJ56" i="175"/>
  <c r="AJ71" i="175"/>
  <c r="AJ52" i="175"/>
  <c r="AJ42" i="175"/>
  <c r="AJ36" i="175"/>
  <c r="AJ51" i="175"/>
  <c r="AJ33" i="175"/>
  <c r="AJ26" i="175"/>
  <c r="AJ10" i="175"/>
  <c r="AJ63" i="175"/>
  <c r="AJ20" i="175"/>
  <c r="AJ28" i="175"/>
  <c r="AJ32" i="175"/>
  <c r="AJ62" i="175"/>
  <c r="AJ12" i="175"/>
  <c r="CG77" i="157"/>
  <c r="CG89" i="157"/>
  <c r="CG81" i="157"/>
  <c r="CG83" i="157" s="1"/>
  <c r="CG84" i="157" s="1"/>
  <c r="CG86" i="157" s="1"/>
  <c r="CG87" i="157" s="1"/>
  <c r="AO59" i="174"/>
  <c r="AO69" i="174"/>
  <c r="AO44" i="174"/>
  <c r="AO25" i="174"/>
  <c r="AO13" i="174"/>
  <c r="AO20" i="174"/>
  <c r="AO12" i="174"/>
  <c r="AO27" i="174"/>
  <c r="AO10" i="174"/>
  <c r="AO62" i="174"/>
  <c r="AO33" i="174"/>
  <c r="AO31" i="174"/>
  <c r="AO68" i="174"/>
  <c r="AO71" i="174"/>
  <c r="AO57" i="174"/>
  <c r="AO46" i="174"/>
  <c r="AO23" i="174"/>
  <c r="AO19" i="174"/>
  <c r="AO55" i="174"/>
  <c r="AO18" i="174"/>
  <c r="AO28" i="174"/>
  <c r="AO67" i="174"/>
  <c r="AO26" i="174"/>
  <c r="AO63" i="174"/>
  <c r="AO47" i="174"/>
  <c r="AO64" i="174"/>
  <c r="AO58" i="174"/>
  <c r="AO53" i="174"/>
  <c r="AO56" i="174"/>
  <c r="AO21" i="174"/>
  <c r="AO42" i="174"/>
  <c r="AO17" i="174"/>
  <c r="AO29" i="174"/>
  <c r="AO16" i="174"/>
  <c r="AO22" i="174"/>
  <c r="AO66" i="174"/>
  <c r="AO32" i="174"/>
  <c r="AO36" i="174"/>
  <c r="AO24" i="174"/>
  <c r="AO60" i="174"/>
  <c r="AO51" i="174"/>
  <c r="AO70" i="174"/>
  <c r="AO49" i="174"/>
  <c r="AO45" i="174"/>
  <c r="AO43" i="174"/>
  <c r="AO15" i="174"/>
  <c r="AO11" i="174"/>
  <c r="AO14" i="174"/>
  <c r="AO9" i="174"/>
  <c r="AO65" i="174"/>
  <c r="AO52" i="174"/>
  <c r="AO48" i="174"/>
  <c r="AO30" i="174"/>
  <c r="AO61" i="174"/>
  <c r="AX87" i="158"/>
  <c r="CC71" i="177"/>
  <c r="CC53" i="177"/>
  <c r="CC59" i="177"/>
  <c r="CC55" i="177"/>
  <c r="CC20" i="177"/>
  <c r="CC49" i="177"/>
  <c r="CC24" i="177"/>
  <c r="CC19" i="177"/>
  <c r="CC29" i="177"/>
  <c r="CC33" i="177"/>
  <c r="CC45" i="177"/>
  <c r="CC64" i="177"/>
  <c r="CC63" i="177"/>
  <c r="CC68" i="177"/>
  <c r="CC60" i="177"/>
  <c r="CC57" i="177"/>
  <c r="CC48" i="177"/>
  <c r="CC17" i="177"/>
  <c r="CC21" i="177"/>
  <c r="CC23" i="177"/>
  <c r="CC16" i="177"/>
  <c r="CC28" i="177"/>
  <c r="CC14" i="177"/>
  <c r="CC56" i="177"/>
  <c r="CC11" i="177"/>
  <c r="CC62" i="177"/>
  <c r="CC70" i="177"/>
  <c r="CC69" i="177"/>
  <c r="CC58" i="177"/>
  <c r="CC47" i="177"/>
  <c r="CC36" i="177"/>
  <c r="CC46" i="177"/>
  <c r="CC18" i="177"/>
  <c r="CC15" i="177"/>
  <c r="CC42" i="177"/>
  <c r="CC27" i="177"/>
  <c r="CC13" i="177"/>
  <c r="CC43" i="177"/>
  <c r="CC51" i="177"/>
  <c r="CC9" i="177"/>
  <c r="CC67" i="177"/>
  <c r="CC66" i="177"/>
  <c r="CC61" i="177"/>
  <c r="CC44" i="177"/>
  <c r="CC26" i="177"/>
  <c r="CC32" i="177"/>
  <c r="CC25" i="177"/>
  <c r="CC22" i="177"/>
  <c r="CC30" i="177"/>
  <c r="CC12" i="177"/>
  <c r="CC10" i="177"/>
  <c r="CC65" i="177"/>
  <c r="CC52" i="177"/>
  <c r="CC31" i="177"/>
  <c r="BX67" i="174"/>
  <c r="BX60" i="174"/>
  <c r="BX70" i="174"/>
  <c r="BX55" i="174"/>
  <c r="BX53" i="174"/>
  <c r="BX10" i="174"/>
  <c r="BX19" i="174"/>
  <c r="BX45" i="174"/>
  <c r="BX27" i="174"/>
  <c r="BX20" i="174"/>
  <c r="BX21" i="174"/>
  <c r="BX42" i="174"/>
  <c r="BX14" i="174"/>
  <c r="BX51" i="174"/>
  <c r="BX66" i="174"/>
  <c r="BX58" i="174"/>
  <c r="BX69" i="174"/>
  <c r="BX23" i="174"/>
  <c r="BX36" i="174"/>
  <c r="BX16" i="174"/>
  <c r="BX68" i="174"/>
  <c r="BX29" i="174"/>
  <c r="BX18" i="174"/>
  <c r="BX15" i="174"/>
  <c r="BX30" i="174"/>
  <c r="BX46" i="174"/>
  <c r="BX12" i="174"/>
  <c r="BX64" i="174"/>
  <c r="BX65" i="174"/>
  <c r="BX59" i="174"/>
  <c r="BX56" i="174"/>
  <c r="BX11" i="174"/>
  <c r="BX24" i="174"/>
  <c r="BX44" i="174"/>
  <c r="BX48" i="174"/>
  <c r="BX28" i="174"/>
  <c r="BX32" i="174"/>
  <c r="BX47" i="174"/>
  <c r="BX17" i="174"/>
  <c r="BX62" i="174"/>
  <c r="BX31" i="174"/>
  <c r="BX63" i="174"/>
  <c r="BX57" i="174"/>
  <c r="BX49" i="174"/>
  <c r="BX9" i="174"/>
  <c r="BX22" i="174"/>
  <c r="BX13" i="174"/>
  <c r="BX71" i="174"/>
  <c r="BX52" i="174"/>
  <c r="BX43" i="174"/>
  <c r="BX33" i="174"/>
  <c r="BX25" i="174"/>
  <c r="BX61" i="174"/>
  <c r="BX26" i="174"/>
  <c r="BW77" i="157"/>
  <c r="BW89" i="157"/>
  <c r="BW81" i="157"/>
  <c r="BW83" i="157" s="1"/>
  <c r="BW84" i="157" s="1"/>
  <c r="BW86" i="157" s="1"/>
  <c r="BW87" i="157" s="1"/>
  <c r="BI63" i="174"/>
  <c r="BI61" i="174"/>
  <c r="BI68" i="174"/>
  <c r="BI71" i="174"/>
  <c r="BI60" i="174"/>
  <c r="BI59" i="174"/>
  <c r="BI53" i="174"/>
  <c r="BI9" i="174"/>
  <c r="BI23" i="174"/>
  <c r="BI44" i="174"/>
  <c r="BI49" i="174"/>
  <c r="BI62" i="174"/>
  <c r="BI36" i="174"/>
  <c r="BI17" i="174"/>
  <c r="BI14" i="174"/>
  <c r="BI33" i="174"/>
  <c r="BI28" i="174"/>
  <c r="BI30" i="174"/>
  <c r="BI51" i="174"/>
  <c r="BI45" i="174"/>
  <c r="BI70" i="174"/>
  <c r="BI66" i="174"/>
  <c r="BI64" i="174"/>
  <c r="BI58" i="174"/>
  <c r="BI21" i="174"/>
  <c r="BI25" i="174"/>
  <c r="BI22" i="174"/>
  <c r="BI47" i="174"/>
  <c r="BI29" i="174"/>
  <c r="BI48" i="174"/>
  <c r="BI15" i="174"/>
  <c r="BI46" i="174"/>
  <c r="BI67" i="174"/>
  <c r="BI65" i="174"/>
  <c r="BI11" i="174"/>
  <c r="BI10" i="174"/>
  <c r="BI69" i="174"/>
  <c r="BI19" i="174"/>
  <c r="BI26" i="174"/>
  <c r="BI16" i="174"/>
  <c r="BI42" i="174"/>
  <c r="BI43" i="174"/>
  <c r="BI32" i="174"/>
  <c r="BI56" i="174"/>
  <c r="BI55" i="174"/>
  <c r="BI57" i="174"/>
  <c r="BI20" i="174"/>
  <c r="BI12" i="174"/>
  <c r="BI27" i="174"/>
  <c r="BI24" i="174"/>
  <c r="BI13" i="174"/>
  <c r="BI18" i="174"/>
  <c r="BI31" i="174"/>
  <c r="BI52" i="174"/>
  <c r="Y77" i="157"/>
  <c r="Y89" i="157"/>
  <c r="Y81" i="157"/>
  <c r="Y83" i="157" s="1"/>
  <c r="Y84" i="157" s="1"/>
  <c r="Y86" i="157" s="1"/>
  <c r="AN90" i="157"/>
  <c r="AS90" i="157"/>
  <c r="Y89" i="158"/>
  <c r="Y77" i="158"/>
  <c r="Y81" i="158"/>
  <c r="Y83" i="158" s="1"/>
  <c r="Y84" i="158" s="1"/>
  <c r="Y86" i="158" s="1"/>
  <c r="BI49" i="177"/>
  <c r="BI43" i="177"/>
  <c r="BI36" i="177"/>
  <c r="BI14" i="177"/>
  <c r="BI29" i="177"/>
  <c r="BI26" i="177"/>
  <c r="BI63" i="177"/>
  <c r="BI28" i="177"/>
  <c r="BI64" i="177"/>
  <c r="BI20" i="177"/>
  <c r="BI17" i="177"/>
  <c r="BI44" i="177"/>
  <c r="BI65" i="177"/>
  <c r="BI60" i="177"/>
  <c r="BI22" i="177"/>
  <c r="BI32" i="177"/>
  <c r="BI10" i="177"/>
  <c r="BI47" i="177"/>
  <c r="BI24" i="177"/>
  <c r="BI69" i="177"/>
  <c r="BI12" i="177"/>
  <c r="BI18" i="177"/>
  <c r="BI11" i="177"/>
  <c r="BI66" i="177"/>
  <c r="BI27" i="177"/>
  <c r="BI71" i="177"/>
  <c r="BI53" i="177"/>
  <c r="BI58" i="177"/>
  <c r="BI19" i="177"/>
  <c r="BI13" i="177"/>
  <c r="BI16" i="177"/>
  <c r="BI59" i="177"/>
  <c r="BI30" i="177"/>
  <c r="BI68" i="177"/>
  <c r="BI25" i="177"/>
  <c r="BI21" i="177"/>
  <c r="BI46" i="177"/>
  <c r="BI48" i="177"/>
  <c r="BI51" i="177"/>
  <c r="BI70" i="177"/>
  <c r="BI55" i="177"/>
  <c r="BI56" i="177"/>
  <c r="BI33" i="177"/>
  <c r="BI15" i="177"/>
  <c r="BI23" i="177"/>
  <c r="BI42" i="177"/>
  <c r="BI61" i="177"/>
  <c r="BI67" i="177"/>
  <c r="BI31" i="177"/>
  <c r="BI57" i="177"/>
  <c r="BI45" i="177"/>
  <c r="BI9" i="177"/>
  <c r="BI62" i="177"/>
  <c r="BI52" i="177"/>
  <c r="AE65" i="175"/>
  <c r="AE43" i="175"/>
  <c r="AE31" i="175"/>
  <c r="AE44" i="175"/>
  <c r="AE27" i="175"/>
  <c r="AE24" i="175"/>
  <c r="AE22" i="175"/>
  <c r="AE15" i="175"/>
  <c r="AE10" i="175"/>
  <c r="AE69" i="175"/>
  <c r="AE14" i="175"/>
  <c r="AE11" i="175"/>
  <c r="AE58" i="175"/>
  <c r="AE51" i="175"/>
  <c r="AE67" i="175"/>
  <c r="AE29" i="175"/>
  <c r="AE32" i="175"/>
  <c r="AE68" i="175"/>
  <c r="AE25" i="175"/>
  <c r="AE26" i="175"/>
  <c r="AE21" i="175"/>
  <c r="AE19" i="175"/>
  <c r="AE16" i="175"/>
  <c r="AE62" i="175"/>
  <c r="AE12" i="175"/>
  <c r="AE20" i="175"/>
  <c r="AE49" i="175"/>
  <c r="AE47" i="175"/>
  <c r="AE52" i="175"/>
  <c r="AE33" i="175"/>
  <c r="AE30" i="175"/>
  <c r="AE46" i="175"/>
  <c r="AE18" i="175"/>
  <c r="AE63" i="175"/>
  <c r="AE71" i="175"/>
  <c r="AE64" i="175"/>
  <c r="AE36" i="175"/>
  <c r="AE59" i="175"/>
  <c r="AE60" i="175"/>
  <c r="AE57" i="175"/>
  <c r="AE66" i="175"/>
  <c r="AE45" i="175"/>
  <c r="AE53" i="175"/>
  <c r="AE48" i="175"/>
  <c r="AE42" i="175"/>
  <c r="AE28" i="175"/>
  <c r="AE13" i="175"/>
  <c r="AE23" i="175"/>
  <c r="AE9" i="175"/>
  <c r="AE17" i="175"/>
  <c r="AE56" i="175"/>
  <c r="AE70" i="175"/>
  <c r="AE61" i="175"/>
  <c r="AE55" i="175"/>
  <c r="BX55" i="177"/>
  <c r="BX22" i="177"/>
  <c r="BX36" i="177"/>
  <c r="BX10" i="177"/>
  <c r="BX62" i="177"/>
  <c r="BX12" i="177"/>
  <c r="BX60" i="177"/>
  <c r="BX58" i="177"/>
  <c r="BX24" i="177"/>
  <c r="BX48" i="177"/>
  <c r="BX67" i="177"/>
  <c r="BX11" i="177"/>
  <c r="BX63" i="177"/>
  <c r="BX61" i="177"/>
  <c r="BX53" i="177"/>
  <c r="BX19" i="177"/>
  <c r="BX32" i="177"/>
  <c r="BX14" i="177"/>
  <c r="BX68" i="177"/>
  <c r="BX9" i="177"/>
  <c r="BX66" i="177"/>
  <c r="BX70" i="177"/>
  <c r="BX23" i="177"/>
  <c r="BX27" i="177"/>
  <c r="BX69" i="177"/>
  <c r="BX18" i="177"/>
  <c r="BX56" i="177"/>
  <c r="BX59" i="177"/>
  <c r="BX49" i="177"/>
  <c r="BX16" i="177"/>
  <c r="BX44" i="177"/>
  <c r="BX21" i="177"/>
  <c r="BX65" i="177"/>
  <c r="BX43" i="177"/>
  <c r="BX17" i="177"/>
  <c r="BX13" i="177"/>
  <c r="BX20" i="177"/>
  <c r="BX51" i="177"/>
  <c r="BX29" i="177"/>
  <c r="BX28" i="177"/>
  <c r="BX26" i="177"/>
  <c r="BX57" i="177"/>
  <c r="BX42" i="177"/>
  <c r="BX33" i="177"/>
  <c r="BX15" i="177"/>
  <c r="BX30" i="177"/>
  <c r="BX25" i="177"/>
  <c r="BX47" i="177"/>
  <c r="BX46" i="177"/>
  <c r="BX45" i="177"/>
  <c r="BX52" i="177"/>
  <c r="BX71" i="177"/>
  <c r="BX64" i="177"/>
  <c r="BX31" i="177"/>
  <c r="P82" i="157"/>
  <c r="P61" i="157"/>
  <c r="P69" i="157"/>
  <c r="P14" i="157"/>
  <c r="P22" i="157"/>
  <c r="P64" i="157"/>
  <c r="P26" i="157"/>
  <c r="P11" i="157"/>
  <c r="P24" i="157"/>
  <c r="P78" i="157"/>
  <c r="P43" i="157"/>
  <c r="P44" i="157"/>
  <c r="P9" i="157"/>
  <c r="P70" i="157"/>
  <c r="P74" i="157"/>
  <c r="P62" i="157"/>
  <c r="P60" i="157"/>
  <c r="P63" i="157"/>
  <c r="P57" i="157"/>
  <c r="P30" i="157"/>
  <c r="P51" i="157"/>
  <c r="P46" i="157"/>
  <c r="P25" i="157"/>
  <c r="P58" i="157"/>
  <c r="P12" i="157"/>
  <c r="P85" i="157"/>
  <c r="P56" i="157"/>
  <c r="P28" i="157"/>
  <c r="P48" i="157"/>
  <c r="P72" i="157"/>
  <c r="P67" i="157"/>
  <c r="P53" i="157"/>
  <c r="P33" i="157"/>
  <c r="P18" i="157"/>
  <c r="P21" i="157"/>
  <c r="P10" i="157"/>
  <c r="P68" i="157"/>
  <c r="P16" i="157"/>
  <c r="P42" i="157"/>
  <c r="P36" i="157"/>
  <c r="P13" i="157"/>
  <c r="P59" i="157"/>
  <c r="P27" i="157"/>
  <c r="P32" i="157"/>
  <c r="P71" i="157"/>
  <c r="P66" i="157"/>
  <c r="P45" i="157"/>
  <c r="P20" i="157"/>
  <c r="P17" i="157"/>
  <c r="P47" i="157"/>
  <c r="P23" i="157"/>
  <c r="P55" i="157"/>
  <c r="P19" i="157"/>
  <c r="P52" i="157"/>
  <c r="P31" i="157"/>
  <c r="P15" i="157"/>
  <c r="P65" i="157"/>
  <c r="P29" i="157"/>
  <c r="AE53" i="176"/>
  <c r="AE43" i="176"/>
  <c r="AE48" i="176"/>
  <c r="AE27" i="176"/>
  <c r="AE19" i="176"/>
  <c r="AE65" i="176"/>
  <c r="AE9" i="176"/>
  <c r="AE63" i="176"/>
  <c r="AE61" i="176"/>
  <c r="AE16" i="176"/>
  <c r="AE11" i="176"/>
  <c r="AE55" i="176"/>
  <c r="AE36" i="176"/>
  <c r="AE15" i="176"/>
  <c r="AE49" i="176"/>
  <c r="AE30" i="176"/>
  <c r="AE45" i="176"/>
  <c r="AE26" i="176"/>
  <c r="AE22" i="176"/>
  <c r="AE44" i="176"/>
  <c r="AE14" i="176"/>
  <c r="AE71" i="176"/>
  <c r="AE64" i="176"/>
  <c r="AE32" i="176"/>
  <c r="AE56" i="176"/>
  <c r="AE57" i="176"/>
  <c r="AE31" i="176"/>
  <c r="AE62" i="176"/>
  <c r="AE52" i="176"/>
  <c r="AE28" i="176"/>
  <c r="AE42" i="176"/>
  <c r="AE25" i="176"/>
  <c r="AE21" i="176"/>
  <c r="AE10" i="176"/>
  <c r="AE67" i="176"/>
  <c r="AE12" i="176"/>
  <c r="AE23" i="176"/>
  <c r="AE69" i="176"/>
  <c r="AE59" i="176"/>
  <c r="AE66" i="176"/>
  <c r="AE68" i="176"/>
  <c r="AE46" i="176"/>
  <c r="AE51" i="176"/>
  <c r="AE29" i="176"/>
  <c r="AE20" i="176"/>
  <c r="AE47" i="176"/>
  <c r="AE70" i="176"/>
  <c r="AE24" i="176"/>
  <c r="AE17" i="176"/>
  <c r="AE13" i="176"/>
  <c r="AE33" i="176"/>
  <c r="AE58" i="176"/>
  <c r="AE18" i="176"/>
  <c r="AE60" i="176"/>
  <c r="BS70" i="175"/>
  <c r="BS58" i="175"/>
  <c r="BS69" i="175"/>
  <c r="BS30" i="175"/>
  <c r="BS14" i="175"/>
  <c r="BS48" i="175"/>
  <c r="BS27" i="175"/>
  <c r="BS31" i="175"/>
  <c r="BS24" i="175"/>
  <c r="BS51" i="175"/>
  <c r="BS65" i="175"/>
  <c r="BS9" i="175"/>
  <c r="BS45" i="175"/>
  <c r="BS26" i="175"/>
  <c r="BS49" i="175"/>
  <c r="BS52" i="175"/>
  <c r="BS68" i="175"/>
  <c r="BS61" i="175"/>
  <c r="BS11" i="175"/>
  <c r="BS64" i="175"/>
  <c r="BS44" i="175"/>
  <c r="BS18" i="175"/>
  <c r="BS15" i="175"/>
  <c r="BS32" i="175"/>
  <c r="BS53" i="175"/>
  <c r="BS21" i="175"/>
  <c r="BS23" i="175"/>
  <c r="BS67" i="175"/>
  <c r="BS57" i="175"/>
  <c r="BS36" i="175"/>
  <c r="BS20" i="175"/>
  <c r="BS63" i="175"/>
  <c r="BS46" i="175"/>
  <c r="BS47" i="175"/>
  <c r="BS59" i="175"/>
  <c r="BS62" i="175"/>
  <c r="BS19" i="175"/>
  <c r="BS16" i="175"/>
  <c r="BS22" i="175"/>
  <c r="BS25" i="175"/>
  <c r="BS71" i="175"/>
  <c r="BS66" i="175"/>
  <c r="BS56" i="175"/>
  <c r="BS28" i="175"/>
  <c r="BS17" i="175"/>
  <c r="BS60" i="175"/>
  <c r="BS29" i="175"/>
  <c r="BS33" i="175"/>
  <c r="BS42" i="175"/>
  <c r="BS55" i="175"/>
  <c r="BS12" i="175"/>
  <c r="BS13" i="175"/>
  <c r="BS10" i="175"/>
  <c r="BS43" i="175"/>
  <c r="AE63" i="157"/>
  <c r="AE16" i="157"/>
  <c r="AE24" i="157"/>
  <c r="AE29" i="157"/>
  <c r="AE36" i="157"/>
  <c r="AE27" i="157"/>
  <c r="AE71" i="157"/>
  <c r="AE31" i="157"/>
  <c r="AE25" i="157"/>
  <c r="AE58" i="157"/>
  <c r="AE22" i="157"/>
  <c r="AE18" i="157"/>
  <c r="AE56" i="157"/>
  <c r="AE57" i="157"/>
  <c r="AE13" i="157"/>
  <c r="AE11" i="157"/>
  <c r="AE60" i="157"/>
  <c r="AE66" i="157"/>
  <c r="AE21" i="157"/>
  <c r="AE51" i="157"/>
  <c r="AE59" i="157"/>
  <c r="AE33" i="157"/>
  <c r="AE28" i="157"/>
  <c r="AE70" i="157"/>
  <c r="AE30" i="157"/>
  <c r="AE68" i="157"/>
  <c r="AE53" i="157"/>
  <c r="AE49" i="157"/>
  <c r="AE10" i="157"/>
  <c r="AE26" i="157"/>
  <c r="AE55" i="157"/>
  <c r="AE12" i="157"/>
  <c r="AE20" i="157"/>
  <c r="AE67" i="157"/>
  <c r="AE44" i="157"/>
  <c r="AE46" i="157"/>
  <c r="AE17" i="157"/>
  <c r="AE64" i="157"/>
  <c r="AE23" i="157"/>
  <c r="AE14" i="157"/>
  <c r="AE69" i="157"/>
  <c r="AE48" i="157"/>
  <c r="AE42" i="157"/>
  <c r="AE43" i="157"/>
  <c r="AE19" i="157"/>
  <c r="AE32" i="157"/>
  <c r="AE45" i="157"/>
  <c r="AE15" i="157"/>
  <c r="AE61" i="157"/>
  <c r="AE62" i="157"/>
  <c r="AE65" i="157"/>
  <c r="AE52" i="157"/>
  <c r="AE47" i="157"/>
  <c r="AE9" i="157"/>
  <c r="Y77" i="177"/>
  <c r="Y81" i="177"/>
  <c r="Y83" i="177" s="1"/>
  <c r="Y84" i="177" s="1"/>
  <c r="Y86" i="177" s="1"/>
  <c r="Y89" i="177"/>
  <c r="AT61" i="177"/>
  <c r="AT19" i="177"/>
  <c r="AT49" i="177"/>
  <c r="AT13" i="177"/>
  <c r="AT47" i="177"/>
  <c r="AT24" i="177"/>
  <c r="AT64" i="177"/>
  <c r="AT63" i="177"/>
  <c r="AT56" i="177"/>
  <c r="AT29" i="177"/>
  <c r="AT48" i="177"/>
  <c r="AT26" i="177"/>
  <c r="AT68" i="177"/>
  <c r="AT55" i="177"/>
  <c r="AT59" i="177"/>
  <c r="AT33" i="177"/>
  <c r="AT32" i="177"/>
  <c r="AT15" i="177"/>
  <c r="AT25" i="177"/>
  <c r="AT12" i="177"/>
  <c r="AT9" i="177"/>
  <c r="AT20" i="177"/>
  <c r="AT60" i="177"/>
  <c r="AT18" i="177"/>
  <c r="AT65" i="177"/>
  <c r="AT17" i="177"/>
  <c r="AT70" i="177"/>
  <c r="AT53" i="177"/>
  <c r="AT57" i="177"/>
  <c r="AT42" i="177"/>
  <c r="AT16" i="177"/>
  <c r="AT28" i="177"/>
  <c r="AT51" i="177"/>
  <c r="AT14" i="177"/>
  <c r="AT46" i="177"/>
  <c r="AT31" i="177"/>
  <c r="AT69" i="177"/>
  <c r="AT43" i="177"/>
  <c r="AT66" i="177"/>
  <c r="AT23" i="177"/>
  <c r="AT21" i="177"/>
  <c r="AT44" i="177"/>
  <c r="AT22" i="177"/>
  <c r="AT36" i="177"/>
  <c r="AT10" i="177"/>
  <c r="AT30" i="177"/>
  <c r="AT71" i="177"/>
  <c r="AT52" i="177"/>
  <c r="AT58" i="177"/>
  <c r="AT45" i="177"/>
  <c r="AT67" i="177"/>
  <c r="AT11" i="177"/>
  <c r="AT27" i="177"/>
  <c r="AT62" i="177"/>
  <c r="CH66" i="177"/>
  <c r="CH70" i="177"/>
  <c r="CH53" i="177"/>
  <c r="CH30" i="177"/>
  <c r="CH36" i="177"/>
  <c r="CH10" i="177"/>
  <c r="CH14" i="177"/>
  <c r="CH61" i="177"/>
  <c r="CH17" i="177"/>
  <c r="CH44" i="177"/>
  <c r="CH59" i="177"/>
  <c r="CH42" i="177"/>
  <c r="CH57" i="177"/>
  <c r="CH71" i="177"/>
  <c r="CH65" i="177"/>
  <c r="CH67" i="177"/>
  <c r="CH21" i="177"/>
  <c r="CH29" i="177"/>
  <c r="CH11" i="177"/>
  <c r="CH15" i="177"/>
  <c r="CH47" i="177"/>
  <c r="CH48" i="177"/>
  <c r="CH26" i="177"/>
  <c r="CH43" i="177"/>
  <c r="CH13" i="177"/>
  <c r="CH56" i="177"/>
  <c r="CH22" i="177"/>
  <c r="CH68" i="177"/>
  <c r="CH64" i="177"/>
  <c r="CH49" i="177"/>
  <c r="CH18" i="177"/>
  <c r="CH28" i="177"/>
  <c r="CH32" i="177"/>
  <c r="CH24" i="177"/>
  <c r="CH62" i="177"/>
  <c r="CH19" i="177"/>
  <c r="CH31" i="177"/>
  <c r="CH51" i="177"/>
  <c r="CH20" i="177"/>
  <c r="CH58" i="177"/>
  <c r="CH12" i="177"/>
  <c r="CH69" i="177"/>
  <c r="CH63" i="177"/>
  <c r="CH55" i="177"/>
  <c r="CH33" i="177"/>
  <c r="CH27" i="177"/>
  <c r="CH9" i="177"/>
  <c r="CH45" i="177"/>
  <c r="CH46" i="177"/>
  <c r="CH23" i="177"/>
  <c r="CH52" i="177"/>
  <c r="CH60" i="177"/>
  <c r="CH16" i="177"/>
  <c r="CH25" i="177"/>
  <c r="AT69" i="174"/>
  <c r="AT58" i="174"/>
  <c r="AT67" i="174"/>
  <c r="AT24" i="174"/>
  <c r="AT64" i="174"/>
  <c r="AT10" i="174"/>
  <c r="AT26" i="174"/>
  <c r="AT42" i="174"/>
  <c r="AT32" i="174"/>
  <c r="AT27" i="174"/>
  <c r="AT14" i="174"/>
  <c r="AT13" i="174"/>
  <c r="AT15" i="174"/>
  <c r="AT29" i="174"/>
  <c r="AT68" i="174"/>
  <c r="AT57" i="174"/>
  <c r="AT53" i="174"/>
  <c r="AT11" i="174"/>
  <c r="AT59" i="174"/>
  <c r="AT22" i="174"/>
  <c r="AT12" i="174"/>
  <c r="AT17" i="174"/>
  <c r="AT47" i="174"/>
  <c r="AT43" i="174"/>
  <c r="AT20" i="174"/>
  <c r="AT16" i="174"/>
  <c r="AT31" i="174"/>
  <c r="AT63" i="174"/>
  <c r="AT71" i="174"/>
  <c r="AT49" i="174"/>
  <c r="AT19" i="174"/>
  <c r="AT30" i="174"/>
  <c r="AT21" i="174"/>
  <c r="AT45" i="174"/>
  <c r="AT62" i="174"/>
  <c r="AT70" i="174"/>
  <c r="AT61" i="174"/>
  <c r="AT18" i="174"/>
  <c r="AT46" i="174"/>
  <c r="AT51" i="174"/>
  <c r="AT23" i="174"/>
  <c r="AT60" i="174"/>
  <c r="AT56" i="174"/>
  <c r="AT36" i="174"/>
  <c r="AT28" i="174"/>
  <c r="AT33" i="174"/>
  <c r="AT48" i="174"/>
  <c r="AT65" i="174"/>
  <c r="AT55" i="174"/>
  <c r="AT9" i="174"/>
  <c r="AT25" i="174"/>
  <c r="AT52" i="174"/>
  <c r="AT44" i="174"/>
  <c r="AT66" i="174"/>
  <c r="AY62" i="158"/>
  <c r="AY45" i="158"/>
  <c r="AY44" i="158"/>
  <c r="AY32" i="158"/>
  <c r="AY48" i="158"/>
  <c r="AY18" i="158"/>
  <c r="AY11" i="158"/>
  <c r="AY29" i="158"/>
  <c r="AY57" i="158"/>
  <c r="AY17" i="158"/>
  <c r="AY68" i="158"/>
  <c r="AY60" i="158"/>
  <c r="AY59" i="158"/>
  <c r="AY71" i="158"/>
  <c r="AY56" i="158"/>
  <c r="AY53" i="158"/>
  <c r="AY23" i="158"/>
  <c r="AY15" i="158"/>
  <c r="AY31" i="158"/>
  <c r="AY27" i="158"/>
  <c r="AY42" i="158"/>
  <c r="AY64" i="158"/>
  <c r="AY14" i="158"/>
  <c r="AY19" i="158"/>
  <c r="AY67" i="158"/>
  <c r="AY70" i="158"/>
  <c r="AY66" i="158"/>
  <c r="AY52" i="158"/>
  <c r="AY47" i="158"/>
  <c r="AY49" i="158"/>
  <c r="AY22" i="158"/>
  <c r="AY21" i="158"/>
  <c r="AY33" i="158"/>
  <c r="AY30" i="158"/>
  <c r="AY55" i="158"/>
  <c r="AY43" i="158"/>
  <c r="AY13" i="158"/>
  <c r="AY58" i="158"/>
  <c r="AY26" i="158"/>
  <c r="AY20" i="158"/>
  <c r="AY65" i="158"/>
  <c r="AY51" i="158"/>
  <c r="AY36" i="158"/>
  <c r="AY46" i="158"/>
  <c r="AY16" i="158"/>
  <c r="AY12" i="158"/>
  <c r="AY25" i="158"/>
  <c r="AY10" i="158"/>
  <c r="AY28" i="158"/>
  <c r="AY69" i="158"/>
  <c r="AY24" i="158"/>
  <c r="AY63" i="158"/>
  <c r="AY61" i="158"/>
  <c r="AY9" i="158"/>
  <c r="K64" i="157"/>
  <c r="K78" i="157"/>
  <c r="K52" i="157"/>
  <c r="K16" i="157"/>
  <c r="K12" i="157"/>
  <c r="K46" i="157"/>
  <c r="K19" i="157"/>
  <c r="K51" i="157"/>
  <c r="K66" i="157"/>
  <c r="K28" i="157"/>
  <c r="K71" i="157"/>
  <c r="K30" i="157"/>
  <c r="K26" i="157"/>
  <c r="K43" i="157"/>
  <c r="K82" i="157"/>
  <c r="K68" i="157"/>
  <c r="K56" i="157"/>
  <c r="K10" i="157"/>
  <c r="K11" i="157"/>
  <c r="K63" i="157"/>
  <c r="K55" i="157"/>
  <c r="K58" i="157"/>
  <c r="K44" i="157"/>
  <c r="K31" i="157"/>
  <c r="K70" i="157"/>
  <c r="K36" i="157"/>
  <c r="K47" i="157"/>
  <c r="K27" i="157"/>
  <c r="K85" i="157"/>
  <c r="K65" i="157"/>
  <c r="K48" i="157"/>
  <c r="K18" i="157"/>
  <c r="K60" i="157"/>
  <c r="K25" i="157"/>
  <c r="K22" i="157"/>
  <c r="K23" i="157"/>
  <c r="K9" i="157"/>
  <c r="K24" i="157"/>
  <c r="K45" i="157"/>
  <c r="K17" i="157"/>
  <c r="K57" i="157"/>
  <c r="K42" i="157"/>
  <c r="K74" i="157"/>
  <c r="K72" i="157"/>
  <c r="K59" i="157"/>
  <c r="K62" i="157"/>
  <c r="K15" i="157"/>
  <c r="K13" i="157"/>
  <c r="K33" i="157"/>
  <c r="K29" i="157"/>
  <c r="K32" i="157"/>
  <c r="K14" i="157"/>
  <c r="K20" i="157"/>
  <c r="K61" i="157"/>
  <c r="K21" i="157"/>
  <c r="K69" i="157"/>
  <c r="K67" i="157"/>
  <c r="AX87" i="164"/>
  <c r="AX87" i="160"/>
  <c r="BI69" i="164"/>
  <c r="BI65" i="164"/>
  <c r="BI68" i="164"/>
  <c r="BI42" i="164"/>
  <c r="BI28" i="164"/>
  <c r="BI11" i="164"/>
  <c r="BI29" i="164"/>
  <c r="BI12" i="164"/>
  <c r="BI19" i="164"/>
  <c r="BI66" i="164"/>
  <c r="BI49" i="164"/>
  <c r="BI55" i="164"/>
  <c r="BI51" i="164"/>
  <c r="BI9" i="164"/>
  <c r="BI32" i="164"/>
  <c r="BI23" i="164"/>
  <c r="BI60" i="164"/>
  <c r="BI20" i="164"/>
  <c r="BI70" i="164"/>
  <c r="BI64" i="164"/>
  <c r="BI52" i="164"/>
  <c r="BI47" i="164"/>
  <c r="BI31" i="164"/>
  <c r="BI26" i="164"/>
  <c r="BI10" i="164"/>
  <c r="BI15" i="164"/>
  <c r="BI22" i="164"/>
  <c r="BI67" i="164"/>
  <c r="BI62" i="164"/>
  <c r="BI48" i="164"/>
  <c r="BI45" i="164"/>
  <c r="BI59" i="164"/>
  <c r="BI25" i="164"/>
  <c r="BI14" i="164"/>
  <c r="BI17" i="164"/>
  <c r="BI56" i="164"/>
  <c r="BI61" i="164"/>
  <c r="BI71" i="164"/>
  <c r="BI44" i="164"/>
  <c r="BI53" i="164"/>
  <c r="BI27" i="164"/>
  <c r="BI24" i="164"/>
  <c r="BI18" i="164"/>
  <c r="BI58" i="164"/>
  <c r="BI36" i="164"/>
  <c r="BI30" i="164"/>
  <c r="BI63" i="164"/>
  <c r="BI13" i="164"/>
  <c r="BI57" i="164"/>
  <c r="BI16" i="164"/>
  <c r="BI46" i="164"/>
  <c r="BI21" i="164"/>
  <c r="BI43" i="164"/>
  <c r="BI33" i="164"/>
  <c r="P79" i="164"/>
  <c r="P52" i="164"/>
  <c r="P44" i="164"/>
  <c r="P31" i="164"/>
  <c r="P25" i="164"/>
  <c r="P61" i="164"/>
  <c r="P70" i="164"/>
  <c r="P66" i="164"/>
  <c r="P17" i="164"/>
  <c r="P18" i="164"/>
  <c r="P58" i="164"/>
  <c r="P51" i="164"/>
  <c r="P43" i="164"/>
  <c r="P30" i="164"/>
  <c r="P24" i="164"/>
  <c r="P15" i="164"/>
  <c r="P10" i="164"/>
  <c r="P22" i="164"/>
  <c r="P12" i="164"/>
  <c r="P14" i="164"/>
  <c r="P82" i="164"/>
  <c r="P48" i="164"/>
  <c r="P53" i="164"/>
  <c r="P29" i="164"/>
  <c r="P23" i="164"/>
  <c r="P64" i="164"/>
  <c r="P16" i="164"/>
  <c r="P20" i="164"/>
  <c r="P65" i="164"/>
  <c r="P67" i="164"/>
  <c r="P47" i="164"/>
  <c r="P42" i="164"/>
  <c r="P28" i="164"/>
  <c r="P11" i="164"/>
  <c r="P62" i="164"/>
  <c r="P21" i="164"/>
  <c r="P36" i="164"/>
  <c r="P71" i="164"/>
  <c r="P13" i="164"/>
  <c r="P72" i="164"/>
  <c r="P45" i="164"/>
  <c r="P32" i="164"/>
  <c r="P26" i="164"/>
  <c r="P63" i="164"/>
  <c r="P59" i="164"/>
  <c r="P55" i="164"/>
  <c r="P68" i="164"/>
  <c r="P78" i="164"/>
  <c r="P69" i="164"/>
  <c r="P60" i="164"/>
  <c r="P74" i="164"/>
  <c r="P19" i="164"/>
  <c r="P46" i="164"/>
  <c r="P57" i="164"/>
  <c r="P33" i="164"/>
  <c r="P85" i="164"/>
  <c r="P27" i="164"/>
  <c r="P56" i="164"/>
  <c r="P9" i="164"/>
  <c r="CH70" i="160"/>
  <c r="CH55" i="160"/>
  <c r="CH20" i="160"/>
  <c r="CH47" i="160"/>
  <c r="CH27" i="160"/>
  <c r="CH24" i="160"/>
  <c r="CH25" i="160"/>
  <c r="CH71" i="160"/>
  <c r="CH43" i="160"/>
  <c r="CH67" i="160"/>
  <c r="CH56" i="160"/>
  <c r="CH22" i="160"/>
  <c r="CH57" i="160"/>
  <c r="CH28" i="160"/>
  <c r="CH42" i="160"/>
  <c r="CH48" i="160"/>
  <c r="CH12" i="160"/>
  <c r="CH46" i="160"/>
  <c r="CH53" i="160"/>
  <c r="CH26" i="160"/>
  <c r="CH16" i="160"/>
  <c r="CH66" i="160"/>
  <c r="CH45" i="160"/>
  <c r="CH61" i="160"/>
  <c r="CH32" i="160"/>
  <c r="CH13" i="160"/>
  <c r="CH51" i="160"/>
  <c r="CH68" i="160"/>
  <c r="CH36" i="160"/>
  <c r="CH17" i="160"/>
  <c r="CH58" i="160"/>
  <c r="CH62" i="160"/>
  <c r="CH44" i="160"/>
  <c r="CH64" i="160"/>
  <c r="CH14" i="160"/>
  <c r="CH18" i="160"/>
  <c r="CH69" i="160"/>
  <c r="CH49" i="160"/>
  <c r="CH9" i="160"/>
  <c r="CH52" i="160"/>
  <c r="CH11" i="160"/>
  <c r="CH31" i="160"/>
  <c r="CH33" i="160"/>
  <c r="CH63" i="160"/>
  <c r="CH29" i="160"/>
  <c r="CH15" i="160"/>
  <c r="CH19" i="160"/>
  <c r="CH65" i="160"/>
  <c r="CH60" i="160"/>
  <c r="CH21" i="160"/>
  <c r="CH30" i="160"/>
  <c r="CH23" i="160"/>
  <c r="CH59" i="160"/>
  <c r="CH10" i="160"/>
  <c r="BX65" i="160"/>
  <c r="BX55" i="160"/>
  <c r="BX20" i="160"/>
  <c r="BX60" i="160"/>
  <c r="BX10" i="160"/>
  <c r="BX59" i="160"/>
  <c r="BX27" i="160"/>
  <c r="BX18" i="160"/>
  <c r="BX52" i="160"/>
  <c r="BX71" i="160"/>
  <c r="BX53" i="160"/>
  <c r="BX16" i="160"/>
  <c r="BX32" i="160"/>
  <c r="BX30" i="160"/>
  <c r="BX48" i="160"/>
  <c r="BX51" i="160"/>
  <c r="BX42" i="160"/>
  <c r="BX22" i="160"/>
  <c r="BX69" i="160"/>
  <c r="BX58" i="160"/>
  <c r="BX15" i="160"/>
  <c r="BX25" i="160"/>
  <c r="BX31" i="160"/>
  <c r="BX64" i="160"/>
  <c r="BX46" i="160"/>
  <c r="BX57" i="160"/>
  <c r="BX61" i="160"/>
  <c r="BX70" i="160"/>
  <c r="BX66" i="160"/>
  <c r="BX33" i="160"/>
  <c r="BX14" i="160"/>
  <c r="BX24" i="160"/>
  <c r="BX36" i="160"/>
  <c r="BX11" i="160"/>
  <c r="BX63" i="160"/>
  <c r="BX19" i="160"/>
  <c r="BX68" i="160"/>
  <c r="BX56" i="160"/>
  <c r="BX21" i="160"/>
  <c r="BX12" i="160"/>
  <c r="BX9" i="160"/>
  <c r="BX45" i="160"/>
  <c r="BX26" i="160"/>
  <c r="BX47" i="160"/>
  <c r="BX44" i="160"/>
  <c r="BX23" i="160"/>
  <c r="BX43" i="160"/>
  <c r="BX13" i="160"/>
  <c r="BX67" i="160"/>
  <c r="BX17" i="160"/>
  <c r="BX49" i="160"/>
  <c r="BX62" i="160"/>
  <c r="BX28" i="160"/>
  <c r="BX29" i="160"/>
  <c r="AO65" i="160"/>
  <c r="AO26" i="160"/>
  <c r="AO21" i="160"/>
  <c r="AO29" i="160"/>
  <c r="AO23" i="160"/>
  <c r="AO58" i="160"/>
  <c r="AO11" i="160"/>
  <c r="AO25" i="160"/>
  <c r="AO64" i="160"/>
  <c r="AO49" i="160"/>
  <c r="AO20" i="160"/>
  <c r="AO16" i="160"/>
  <c r="AO62" i="160"/>
  <c r="AO61" i="160"/>
  <c r="AO66" i="160"/>
  <c r="AO32" i="160"/>
  <c r="AO69" i="160"/>
  <c r="AO51" i="160"/>
  <c r="AO71" i="160"/>
  <c r="AO36" i="160"/>
  <c r="AO10" i="160"/>
  <c r="AO45" i="160"/>
  <c r="AO43" i="160"/>
  <c r="AO59" i="160"/>
  <c r="AO18" i="160"/>
  <c r="AO30" i="160"/>
  <c r="AO63" i="160"/>
  <c r="AO53" i="160"/>
  <c r="AO22" i="160"/>
  <c r="AO15" i="160"/>
  <c r="AO55" i="160"/>
  <c r="AO12" i="160"/>
  <c r="AO27" i="160"/>
  <c r="AO67" i="160"/>
  <c r="AO48" i="160"/>
  <c r="AO24" i="160"/>
  <c r="AO47" i="160"/>
  <c r="AO44" i="160"/>
  <c r="AO70" i="160"/>
  <c r="AO33" i="160"/>
  <c r="AO19" i="160"/>
  <c r="AO14" i="160"/>
  <c r="AO31" i="160"/>
  <c r="AO46" i="160"/>
  <c r="AO17" i="160"/>
  <c r="AO13" i="160"/>
  <c r="AO52" i="160"/>
  <c r="AO68" i="160"/>
  <c r="AO42" i="160"/>
  <c r="AO28" i="160"/>
  <c r="AO60" i="160"/>
  <c r="AO57" i="160"/>
  <c r="AO9" i="160"/>
  <c r="AO56" i="160"/>
  <c r="BD52" i="164"/>
  <c r="BD45" i="164"/>
  <c r="BD32" i="164"/>
  <c r="BD26" i="164"/>
  <c r="BD62" i="164"/>
  <c r="BD65" i="164"/>
  <c r="BD67" i="164"/>
  <c r="BD22" i="164"/>
  <c r="BD70" i="164"/>
  <c r="BD49" i="164"/>
  <c r="BD43" i="164"/>
  <c r="BD30" i="164"/>
  <c r="BD24" i="164"/>
  <c r="BD21" i="164"/>
  <c r="BD16" i="164"/>
  <c r="BD66" i="164"/>
  <c r="BD59" i="164"/>
  <c r="BD69" i="164"/>
  <c r="BD51" i="164"/>
  <c r="BD44" i="164"/>
  <c r="BD31" i="164"/>
  <c r="BD25" i="164"/>
  <c r="BD64" i="164"/>
  <c r="BD71" i="164"/>
  <c r="BD13" i="164"/>
  <c r="BD14" i="164"/>
  <c r="BD61" i="164"/>
  <c r="BD48" i="164"/>
  <c r="BD42" i="164"/>
  <c r="BD29" i="164"/>
  <c r="BD23" i="164"/>
  <c r="BD36" i="164"/>
  <c r="BD15" i="164"/>
  <c r="BD17" i="164"/>
  <c r="BD18" i="164"/>
  <c r="BD68" i="164"/>
  <c r="BD47" i="164"/>
  <c r="BD53" i="164"/>
  <c r="BD28" i="164"/>
  <c r="BD11" i="164"/>
  <c r="BD19" i="164"/>
  <c r="BD12" i="164"/>
  <c r="BD56" i="164"/>
  <c r="BD10" i="164"/>
  <c r="BD57" i="164"/>
  <c r="BD9" i="164"/>
  <c r="BD27" i="164"/>
  <c r="BD20" i="164"/>
  <c r="BD63" i="164"/>
  <c r="BD46" i="164"/>
  <c r="BD60" i="164"/>
  <c r="BD58" i="164"/>
  <c r="BD33" i="164"/>
  <c r="BD55" i="164"/>
  <c r="AY47" i="160"/>
  <c r="AY60" i="160"/>
  <c r="AY49" i="160"/>
  <c r="AY13" i="160"/>
  <c r="AY18" i="160"/>
  <c r="AY23" i="160"/>
  <c r="AY36" i="160"/>
  <c r="AY56" i="160"/>
  <c r="AY30" i="160"/>
  <c r="AY46" i="160"/>
  <c r="AY58" i="160"/>
  <c r="AY62" i="160"/>
  <c r="AY10" i="160"/>
  <c r="AY16" i="160"/>
  <c r="AY63" i="160"/>
  <c r="AY28" i="160"/>
  <c r="AY68" i="160"/>
  <c r="AY55" i="160"/>
  <c r="AY52" i="160"/>
  <c r="AY42" i="160"/>
  <c r="AY19" i="160"/>
  <c r="AY20" i="160"/>
  <c r="AY31" i="160"/>
  <c r="AY29" i="160"/>
  <c r="AY21" i="160"/>
  <c r="AY25" i="160"/>
  <c r="AY51" i="160"/>
  <c r="AY61" i="160"/>
  <c r="AY17" i="160"/>
  <c r="AY14" i="160"/>
  <c r="AY64" i="160"/>
  <c r="AY70" i="160"/>
  <c r="AY57" i="160"/>
  <c r="AY32" i="160"/>
  <c r="AY43" i="160"/>
  <c r="AY66" i="160"/>
  <c r="AY48" i="160"/>
  <c r="AY53" i="160"/>
  <c r="AY15" i="160"/>
  <c r="AY22" i="160"/>
  <c r="AY69" i="160"/>
  <c r="AY71" i="160"/>
  <c r="AY9" i="160"/>
  <c r="AY33" i="160"/>
  <c r="AY45" i="160"/>
  <c r="AY59" i="160"/>
  <c r="AY26" i="160"/>
  <c r="AY12" i="160"/>
  <c r="AY65" i="160"/>
  <c r="AY67" i="160"/>
  <c r="AY44" i="160"/>
  <c r="AY24" i="160"/>
  <c r="AY11" i="160"/>
  <c r="AY27" i="160"/>
  <c r="CC13" i="164"/>
  <c r="CC36" i="164"/>
  <c r="CC71" i="164"/>
  <c r="CC63" i="164"/>
  <c r="CC44" i="164"/>
  <c r="CC11" i="164"/>
  <c r="CC26" i="164"/>
  <c r="CC30" i="164"/>
  <c r="CC16" i="164"/>
  <c r="CC21" i="164"/>
  <c r="CC20" i="164"/>
  <c r="CC68" i="164"/>
  <c r="CC61" i="164"/>
  <c r="CC42" i="164"/>
  <c r="CC47" i="164"/>
  <c r="CC64" i="164"/>
  <c r="CC29" i="164"/>
  <c r="CC58" i="164"/>
  <c r="CC15" i="164"/>
  <c r="CC65" i="164"/>
  <c r="CC69" i="164"/>
  <c r="CC62" i="164"/>
  <c r="CC24" i="164"/>
  <c r="CC51" i="164"/>
  <c r="CC23" i="164"/>
  <c r="CC59" i="164"/>
  <c r="CC14" i="164"/>
  <c r="CC22" i="164"/>
  <c r="CC18" i="164"/>
  <c r="CC67" i="164"/>
  <c r="CC52" i="164"/>
  <c r="CC53" i="164"/>
  <c r="CC66" i="164"/>
  <c r="CC45" i="164"/>
  <c r="CC28" i="164"/>
  <c r="CC10" i="164"/>
  <c r="CC55" i="164"/>
  <c r="CC57" i="164"/>
  <c r="CC60" i="164"/>
  <c r="CC70" i="164"/>
  <c r="CC46" i="164"/>
  <c r="CC27" i="164"/>
  <c r="CC32" i="164"/>
  <c r="CC25" i="164"/>
  <c r="CC12" i="164"/>
  <c r="CC19" i="164"/>
  <c r="CC9" i="164"/>
  <c r="CC49" i="164"/>
  <c r="CC17" i="164"/>
  <c r="CC48" i="164"/>
  <c r="CC56" i="164"/>
  <c r="CC33" i="164"/>
  <c r="CC43" i="164"/>
  <c r="CC31" i="164"/>
  <c r="CH52" i="164"/>
  <c r="CH45" i="164"/>
  <c r="CH64" i="164"/>
  <c r="CH28" i="164"/>
  <c r="CH11" i="164"/>
  <c r="CH65" i="164"/>
  <c r="CH57" i="164"/>
  <c r="CH60" i="164"/>
  <c r="CH69" i="164"/>
  <c r="CH51" i="164"/>
  <c r="CH44" i="164"/>
  <c r="CH33" i="164"/>
  <c r="CH27" i="164"/>
  <c r="CH9" i="164"/>
  <c r="CH71" i="164"/>
  <c r="CH56" i="164"/>
  <c r="CH66" i="164"/>
  <c r="CH17" i="164"/>
  <c r="CH49" i="164"/>
  <c r="CH43" i="164"/>
  <c r="CH32" i="164"/>
  <c r="CH26" i="164"/>
  <c r="CH22" i="164"/>
  <c r="CH13" i="164"/>
  <c r="CH16" i="164"/>
  <c r="CH12" i="164"/>
  <c r="CH55" i="164"/>
  <c r="CH48" i="164"/>
  <c r="CH42" i="164"/>
  <c r="CH31" i="164"/>
  <c r="CH25" i="164"/>
  <c r="CH14" i="164"/>
  <c r="CH21" i="164"/>
  <c r="CH15" i="164"/>
  <c r="CH61" i="164"/>
  <c r="CH68" i="164"/>
  <c r="CH46" i="164"/>
  <c r="CH62" i="164"/>
  <c r="CH29" i="164"/>
  <c r="CH23" i="164"/>
  <c r="CH58" i="164"/>
  <c r="CH67" i="164"/>
  <c r="CH63" i="164"/>
  <c r="CH36" i="164"/>
  <c r="CH70" i="164"/>
  <c r="CH30" i="164"/>
  <c r="CH10" i="164"/>
  <c r="CH24" i="164"/>
  <c r="CH18" i="164"/>
  <c r="CH19" i="164"/>
  <c r="CH47" i="164"/>
  <c r="CH20" i="164"/>
  <c r="CH53" i="164"/>
  <c r="CH59" i="164"/>
  <c r="Y77" i="160"/>
  <c r="Y89" i="160"/>
  <c r="Y81" i="160"/>
  <c r="Y83" i="160" s="1"/>
  <c r="Y84" i="160" s="1"/>
  <c r="Y86" i="160" s="1"/>
  <c r="AT66" i="160"/>
  <c r="AT49" i="160"/>
  <c r="AT63" i="160"/>
  <c r="AT13" i="160"/>
  <c r="AT23" i="160"/>
  <c r="AT11" i="160"/>
  <c r="AT36" i="160"/>
  <c r="AT18" i="160"/>
  <c r="AT43" i="160"/>
  <c r="AT67" i="160"/>
  <c r="AT58" i="160"/>
  <c r="AT20" i="160"/>
  <c r="AT70" i="160"/>
  <c r="AT60" i="160"/>
  <c r="AT21" i="160"/>
  <c r="AT33" i="160"/>
  <c r="AT28" i="160"/>
  <c r="AT27" i="160"/>
  <c r="AT17" i="160"/>
  <c r="AT19" i="160"/>
  <c r="AT47" i="160"/>
  <c r="AT64" i="160"/>
  <c r="AT16" i="160"/>
  <c r="AT24" i="160"/>
  <c r="AT46" i="160"/>
  <c r="AT61" i="160"/>
  <c r="AT9" i="160"/>
  <c r="AT51" i="160"/>
  <c r="AT59" i="160"/>
  <c r="AT15" i="160"/>
  <c r="AT10" i="160"/>
  <c r="AT42" i="160"/>
  <c r="AT22" i="160"/>
  <c r="AT71" i="160"/>
  <c r="AT44" i="160"/>
  <c r="AT53" i="160"/>
  <c r="AT57" i="160"/>
  <c r="AT14" i="160"/>
  <c r="AT29" i="160"/>
  <c r="AT45" i="160"/>
  <c r="AT65" i="160"/>
  <c r="AT48" i="160"/>
  <c r="AT69" i="160"/>
  <c r="AT62" i="160"/>
  <c r="AT68" i="160"/>
  <c r="AT56" i="160"/>
  <c r="AT31" i="160"/>
  <c r="AT30" i="160"/>
  <c r="AT12" i="160"/>
  <c r="AT26" i="160"/>
  <c r="AT55" i="160"/>
  <c r="AT52" i="160"/>
  <c r="AT32" i="160"/>
  <c r="AT25" i="160"/>
  <c r="K71" i="160"/>
  <c r="K29" i="160"/>
  <c r="K78" i="160"/>
  <c r="K48" i="160"/>
  <c r="K42" i="160"/>
  <c r="K27" i="160"/>
  <c r="K23" i="160"/>
  <c r="K66" i="160"/>
  <c r="K31" i="160"/>
  <c r="K72" i="160"/>
  <c r="K47" i="160"/>
  <c r="K63" i="160"/>
  <c r="K36" i="160"/>
  <c r="K74" i="160"/>
  <c r="K46" i="160"/>
  <c r="K61" i="160"/>
  <c r="K30" i="160"/>
  <c r="K33" i="160"/>
  <c r="K82" i="160"/>
  <c r="K51" i="160"/>
  <c r="K52" i="160"/>
  <c r="K62" i="160"/>
  <c r="K10" i="160"/>
  <c r="K13" i="160"/>
  <c r="K28" i="160"/>
  <c r="K64" i="160"/>
  <c r="K14" i="160"/>
  <c r="K68" i="160"/>
  <c r="K45" i="160"/>
  <c r="K26" i="160"/>
  <c r="K11" i="160"/>
  <c r="K12" i="160"/>
  <c r="K55" i="160"/>
  <c r="K25" i="160"/>
  <c r="K70" i="160"/>
  <c r="K32" i="160"/>
  <c r="K56" i="160"/>
  <c r="K44" i="160"/>
  <c r="K20" i="160"/>
  <c r="K22" i="160"/>
  <c r="K21" i="160"/>
  <c r="K65" i="160"/>
  <c r="K57" i="160"/>
  <c r="K58" i="160"/>
  <c r="K24" i="160"/>
  <c r="K43" i="160"/>
  <c r="K18" i="160"/>
  <c r="K19" i="160"/>
  <c r="K85" i="160"/>
  <c r="K69" i="160"/>
  <c r="K15" i="160"/>
  <c r="K60" i="160"/>
  <c r="K16" i="160"/>
  <c r="K17" i="160"/>
  <c r="K67" i="160"/>
  <c r="K9" i="160"/>
  <c r="K59" i="160"/>
  <c r="Y77" i="164"/>
  <c r="Y89" i="164"/>
  <c r="Y81" i="164"/>
  <c r="Y83" i="164" s="1"/>
  <c r="Y84" i="164" s="1"/>
  <c r="Y86" i="164" s="1"/>
  <c r="CC57" i="160"/>
  <c r="CC15" i="160"/>
  <c r="CC18" i="160"/>
  <c r="CC59" i="160"/>
  <c r="CC10" i="160"/>
  <c r="CC46" i="160"/>
  <c r="CC62" i="160"/>
  <c r="CC9" i="160"/>
  <c r="CC55" i="160"/>
  <c r="CC30" i="160"/>
  <c r="CC56" i="160"/>
  <c r="CC67" i="160"/>
  <c r="CC53" i="160"/>
  <c r="CC19" i="160"/>
  <c r="CC49" i="160"/>
  <c r="CC44" i="160"/>
  <c r="CC13" i="160"/>
  <c r="CC70" i="160"/>
  <c r="CC64" i="160"/>
  <c r="CC36" i="160"/>
  <c r="CC66" i="160"/>
  <c r="CC47" i="160"/>
  <c r="CC27" i="160"/>
  <c r="CC43" i="160"/>
  <c r="CC52" i="160"/>
  <c r="CC14" i="160"/>
  <c r="CC63" i="160"/>
  <c r="CC25" i="160"/>
  <c r="CC23" i="160"/>
  <c r="CC61" i="160"/>
  <c r="CC42" i="160"/>
  <c r="CC51" i="160"/>
  <c r="CC60" i="160"/>
  <c r="CC65" i="160"/>
  <c r="CC31" i="160"/>
  <c r="CC28" i="160"/>
  <c r="CC20" i="160"/>
  <c r="CC48" i="160"/>
  <c r="CC11" i="160"/>
  <c r="CC29" i="160"/>
  <c r="CC24" i="160"/>
  <c r="CC71" i="160"/>
  <c r="CC32" i="160"/>
  <c r="CC22" i="160"/>
  <c r="CC21" i="160"/>
  <c r="CC16" i="160"/>
  <c r="CC58" i="160"/>
  <c r="CC45" i="160"/>
  <c r="CC26" i="160"/>
  <c r="CC68" i="160"/>
  <c r="CC12" i="160"/>
  <c r="CC69" i="160"/>
  <c r="CC33" i="160"/>
  <c r="CC17" i="160"/>
  <c r="AY61" i="164"/>
  <c r="AY51" i="164"/>
  <c r="AY53" i="164"/>
  <c r="AY31" i="164"/>
  <c r="AY29" i="164"/>
  <c r="AY26" i="164"/>
  <c r="AY17" i="164"/>
  <c r="AY20" i="164"/>
  <c r="AY19" i="164"/>
  <c r="AY70" i="164"/>
  <c r="AY49" i="164"/>
  <c r="AY45" i="164"/>
  <c r="AY48" i="164"/>
  <c r="AY28" i="164"/>
  <c r="AY33" i="164"/>
  <c r="AY10" i="164"/>
  <c r="AY16" i="164"/>
  <c r="AY57" i="164"/>
  <c r="AY68" i="164"/>
  <c r="AY47" i="164"/>
  <c r="AY52" i="164"/>
  <c r="AY25" i="164"/>
  <c r="AY23" i="164"/>
  <c r="AY18" i="164"/>
  <c r="AY12" i="164"/>
  <c r="AY15" i="164"/>
  <c r="AY22" i="164"/>
  <c r="AY67" i="164"/>
  <c r="AY69" i="164"/>
  <c r="AY43" i="164"/>
  <c r="AY46" i="164"/>
  <c r="AY9" i="164"/>
  <c r="AY27" i="164"/>
  <c r="AY60" i="164"/>
  <c r="AY55" i="164"/>
  <c r="AY13" i="164"/>
  <c r="AY66" i="164"/>
  <c r="AY62" i="164"/>
  <c r="AY71" i="164"/>
  <c r="AY44" i="164"/>
  <c r="AY30" i="164"/>
  <c r="AY11" i="164"/>
  <c r="AY59" i="164"/>
  <c r="AY58" i="164"/>
  <c r="AY14" i="164"/>
  <c r="AY64" i="164"/>
  <c r="AY56" i="164"/>
  <c r="AY65" i="164"/>
  <c r="AY36" i="164"/>
  <c r="AY21" i="164"/>
  <c r="AY42" i="164"/>
  <c r="AY63" i="164"/>
  <c r="AY24" i="164"/>
  <c r="AY32" i="164"/>
  <c r="K64" i="164"/>
  <c r="K69" i="164"/>
  <c r="K33" i="164"/>
  <c r="K43" i="164"/>
  <c r="K47" i="164"/>
  <c r="K16" i="164"/>
  <c r="K10" i="164"/>
  <c r="K14" i="164"/>
  <c r="K22" i="164"/>
  <c r="K72" i="164"/>
  <c r="K62" i="164"/>
  <c r="K52" i="164"/>
  <c r="K27" i="164"/>
  <c r="K31" i="164"/>
  <c r="K29" i="164"/>
  <c r="K15" i="164"/>
  <c r="K60" i="164"/>
  <c r="K20" i="164"/>
  <c r="K57" i="164"/>
  <c r="K71" i="164"/>
  <c r="K70" i="164"/>
  <c r="K48" i="164"/>
  <c r="K11" i="164"/>
  <c r="K25" i="164"/>
  <c r="K23" i="164"/>
  <c r="K13" i="164"/>
  <c r="K78" i="164"/>
  <c r="K85" i="164"/>
  <c r="K36" i="164"/>
  <c r="K68" i="164"/>
  <c r="K66" i="164"/>
  <c r="K46" i="164"/>
  <c r="K51" i="164"/>
  <c r="K45" i="164"/>
  <c r="K42" i="164"/>
  <c r="K56" i="164"/>
  <c r="K21" i="164"/>
  <c r="K18" i="164"/>
  <c r="K58" i="164"/>
  <c r="K74" i="164"/>
  <c r="K61" i="164"/>
  <c r="K67" i="164"/>
  <c r="K26" i="164"/>
  <c r="K24" i="164"/>
  <c r="K9" i="164"/>
  <c r="K82" i="164"/>
  <c r="K12" i="164"/>
  <c r="K59" i="164"/>
  <c r="K63" i="164"/>
  <c r="K19" i="164"/>
  <c r="K44" i="164"/>
  <c r="K55" i="164"/>
  <c r="K32" i="164"/>
  <c r="K30" i="164"/>
  <c r="K28" i="164"/>
  <c r="K17" i="164"/>
  <c r="K65" i="164"/>
  <c r="BS55" i="160"/>
  <c r="BS36" i="160"/>
  <c r="BS16" i="160"/>
  <c r="BS13" i="160"/>
  <c r="BS10" i="160"/>
  <c r="BS23" i="160"/>
  <c r="BS60" i="160"/>
  <c r="BS68" i="160"/>
  <c r="BS66" i="160"/>
  <c r="BS67" i="160"/>
  <c r="BS30" i="160"/>
  <c r="BS19" i="160"/>
  <c r="BS12" i="160"/>
  <c r="BS32" i="160"/>
  <c r="BS45" i="160"/>
  <c r="BS48" i="160"/>
  <c r="BS33" i="160"/>
  <c r="BS25" i="160"/>
  <c r="BS70" i="160"/>
  <c r="BS56" i="160"/>
  <c r="BS21" i="160"/>
  <c r="BS14" i="160"/>
  <c r="BS24" i="160"/>
  <c r="BS27" i="160"/>
  <c r="BS63" i="160"/>
  <c r="BS11" i="160"/>
  <c r="BS31" i="160"/>
  <c r="BS71" i="160"/>
  <c r="BS28" i="160"/>
  <c r="BS20" i="160"/>
  <c r="BS22" i="160"/>
  <c r="BS15" i="160"/>
  <c r="BS65" i="160"/>
  <c r="BS64" i="160"/>
  <c r="BS69" i="160"/>
  <c r="BS61" i="160"/>
  <c r="BS18" i="160"/>
  <c r="BS51" i="160"/>
  <c r="BS46" i="160"/>
  <c r="BS26" i="160"/>
  <c r="BS49" i="160"/>
  <c r="BS9" i="160"/>
  <c r="BS43" i="160"/>
  <c r="BS58" i="160"/>
  <c r="BS59" i="160"/>
  <c r="BS53" i="160"/>
  <c r="BS17" i="160"/>
  <c r="BS57" i="160"/>
  <c r="BS62" i="160"/>
  <c r="BS29" i="160"/>
  <c r="BS47" i="160"/>
  <c r="BS42" i="160"/>
  <c r="BS52" i="160"/>
  <c r="BS44" i="160"/>
  <c r="BX70" i="164"/>
  <c r="BX65" i="164"/>
  <c r="BX42" i="164"/>
  <c r="BX9" i="164"/>
  <c r="BX32" i="164"/>
  <c r="BX47" i="164"/>
  <c r="BX17" i="164"/>
  <c r="BX14" i="164"/>
  <c r="BX18" i="164"/>
  <c r="BX68" i="164"/>
  <c r="BX71" i="164"/>
  <c r="BX29" i="164"/>
  <c r="BX57" i="164"/>
  <c r="BX26" i="164"/>
  <c r="BX30" i="164"/>
  <c r="BX16" i="164"/>
  <c r="BX12" i="164"/>
  <c r="BX60" i="164"/>
  <c r="BX69" i="164"/>
  <c r="BX53" i="164"/>
  <c r="BX52" i="164"/>
  <c r="BX23" i="164"/>
  <c r="BX33" i="164"/>
  <c r="BX51" i="164"/>
  <c r="BX24" i="164"/>
  <c r="BX21" i="164"/>
  <c r="BX15" i="164"/>
  <c r="BX66" i="164"/>
  <c r="BX64" i="164"/>
  <c r="BX48" i="164"/>
  <c r="BX59" i="164"/>
  <c r="BX27" i="164"/>
  <c r="BX45" i="164"/>
  <c r="BX20" i="164"/>
  <c r="BX36" i="164"/>
  <c r="BX58" i="164"/>
  <c r="BX61" i="164"/>
  <c r="BX67" i="164"/>
  <c r="BX44" i="164"/>
  <c r="BX28" i="164"/>
  <c r="BX43" i="164"/>
  <c r="BX25" i="164"/>
  <c r="BX10" i="164"/>
  <c r="BX55" i="164"/>
  <c r="BX22" i="164"/>
  <c r="BX63" i="164"/>
  <c r="BX19" i="164"/>
  <c r="BX62" i="164"/>
  <c r="BX13" i="164"/>
  <c r="BX46" i="164"/>
  <c r="BX56" i="164"/>
  <c r="BX49" i="164"/>
  <c r="BX11" i="164"/>
  <c r="BX31" i="164"/>
  <c r="AO53" i="164"/>
  <c r="AO45" i="164"/>
  <c r="AO31" i="164"/>
  <c r="AO25" i="164"/>
  <c r="AO64" i="164"/>
  <c r="AO52" i="164"/>
  <c r="AO44" i="164"/>
  <c r="AO30" i="164"/>
  <c r="AO24" i="164"/>
  <c r="AO62" i="164"/>
  <c r="AO46" i="164"/>
  <c r="AO48" i="164"/>
  <c r="AO29" i="164"/>
  <c r="AO9" i="164"/>
  <c r="AO68" i="164"/>
  <c r="AO60" i="164"/>
  <c r="AO13" i="164"/>
  <c r="AO16" i="164"/>
  <c r="AO27" i="164"/>
  <c r="AO56" i="164"/>
  <c r="AO18" i="164"/>
  <c r="AO61" i="164"/>
  <c r="AO65" i="164"/>
  <c r="AO47" i="164"/>
  <c r="AO28" i="164"/>
  <c r="AO42" i="164"/>
  <c r="AO57" i="164"/>
  <c r="AO70" i="164"/>
  <c r="AO14" i="164"/>
  <c r="AO15" i="164"/>
  <c r="AO10" i="164"/>
  <c r="AO43" i="164"/>
  <c r="AO49" i="164"/>
  <c r="AO26" i="164"/>
  <c r="AO63" i="164"/>
  <c r="AO19" i="164"/>
  <c r="AO17" i="164"/>
  <c r="AO58" i="164"/>
  <c r="AO20" i="164"/>
  <c r="AO33" i="164"/>
  <c r="AO23" i="164"/>
  <c r="AO21" i="164"/>
  <c r="AO22" i="164"/>
  <c r="AO59" i="164"/>
  <c r="AO66" i="164"/>
  <c r="AO67" i="164"/>
  <c r="AO71" i="164"/>
  <c r="AO51" i="164"/>
  <c r="AO12" i="164"/>
  <c r="AO32" i="164"/>
  <c r="AO69" i="164"/>
  <c r="AO11" i="164"/>
  <c r="AO55" i="164"/>
  <c r="AO36" i="164"/>
  <c r="BD63" i="160"/>
  <c r="BD55" i="160"/>
  <c r="BD22" i="160"/>
  <c r="BD33" i="160"/>
  <c r="BD17" i="160"/>
  <c r="BD67" i="160"/>
  <c r="BD32" i="160"/>
  <c r="BD14" i="160"/>
  <c r="BD71" i="160"/>
  <c r="BD68" i="160"/>
  <c r="BD36" i="160"/>
  <c r="BD12" i="160"/>
  <c r="BD42" i="160"/>
  <c r="BD23" i="160"/>
  <c r="BD59" i="160"/>
  <c r="BD48" i="160"/>
  <c r="BD30" i="160"/>
  <c r="BD47" i="160"/>
  <c r="BD69" i="160"/>
  <c r="BD26" i="160"/>
  <c r="BD9" i="160"/>
  <c r="BD45" i="160"/>
  <c r="BD52" i="160"/>
  <c r="BD61" i="160"/>
  <c r="BD31" i="160"/>
  <c r="BD29" i="160"/>
  <c r="BD18" i="160"/>
  <c r="BD53" i="160"/>
  <c r="BD21" i="160"/>
  <c r="BD11" i="160"/>
  <c r="BD57" i="160"/>
  <c r="BD19" i="160"/>
  <c r="BD60" i="160"/>
  <c r="BD27" i="160"/>
  <c r="BD46" i="160"/>
  <c r="BD10" i="160"/>
  <c r="BD64" i="160"/>
  <c r="BD49" i="160"/>
  <c r="BD56" i="160"/>
  <c r="BD28" i="160"/>
  <c r="BD58" i="160"/>
  <c r="BD43" i="160"/>
  <c r="BD15" i="160"/>
  <c r="BD13" i="160"/>
  <c r="BD65" i="160"/>
  <c r="BD16" i="160"/>
  <c r="BD66" i="160"/>
  <c r="BD62" i="160"/>
  <c r="BD20" i="160"/>
  <c r="BD51" i="160"/>
  <c r="BD25" i="160"/>
  <c r="BD44" i="160"/>
  <c r="BD70" i="160"/>
  <c r="BD24" i="160"/>
  <c r="AT71" i="164"/>
  <c r="AT53" i="164"/>
  <c r="AT67" i="164"/>
  <c r="AT42" i="164"/>
  <c r="AT24" i="164"/>
  <c r="AT43" i="164"/>
  <c r="AT9" i="164"/>
  <c r="AT14" i="164"/>
  <c r="AT19" i="164"/>
  <c r="AT68" i="164"/>
  <c r="AT64" i="164"/>
  <c r="AT57" i="164"/>
  <c r="AT47" i="164"/>
  <c r="AT32" i="164"/>
  <c r="AT29" i="164"/>
  <c r="AT15" i="164"/>
  <c r="AT18" i="164"/>
  <c r="AT16" i="164"/>
  <c r="AT36" i="164"/>
  <c r="AT65" i="164"/>
  <c r="AT62" i="164"/>
  <c r="AT52" i="164"/>
  <c r="AT33" i="164"/>
  <c r="AT26" i="164"/>
  <c r="AT23" i="164"/>
  <c r="AT21" i="164"/>
  <c r="AT17" i="164"/>
  <c r="AT63" i="164"/>
  <c r="AT59" i="164"/>
  <c r="AT48" i="164"/>
  <c r="AT27" i="164"/>
  <c r="AT49" i="164"/>
  <c r="AT51" i="164"/>
  <c r="AT22" i="164"/>
  <c r="AT56" i="164"/>
  <c r="AT13" i="164"/>
  <c r="AT69" i="164"/>
  <c r="AT66" i="164"/>
  <c r="AT44" i="164"/>
  <c r="AT30" i="164"/>
  <c r="AT25" i="164"/>
  <c r="AT28" i="164"/>
  <c r="AT55" i="164"/>
  <c r="AT45" i="164"/>
  <c r="AT61" i="164"/>
  <c r="AT58" i="164"/>
  <c r="AT70" i="164"/>
  <c r="AT46" i="164"/>
  <c r="AT12" i="164"/>
  <c r="AT11" i="164"/>
  <c r="AT31" i="164"/>
  <c r="AT20" i="164"/>
  <c r="AT60" i="164"/>
  <c r="AT10" i="164"/>
  <c r="AJ63" i="160"/>
  <c r="AJ69" i="160"/>
  <c r="AJ23" i="160"/>
  <c r="AJ71" i="160"/>
  <c r="AJ31" i="160"/>
  <c r="AJ29" i="160"/>
  <c r="AJ67" i="160"/>
  <c r="AJ52" i="160"/>
  <c r="AJ44" i="160"/>
  <c r="AJ57" i="160"/>
  <c r="AJ19" i="160"/>
  <c r="AJ11" i="160"/>
  <c r="AJ24" i="160"/>
  <c r="AJ58" i="160"/>
  <c r="AJ14" i="160"/>
  <c r="AJ30" i="160"/>
  <c r="AJ70" i="160"/>
  <c r="AJ51" i="160"/>
  <c r="AJ43" i="160"/>
  <c r="AJ53" i="160"/>
  <c r="AJ13" i="160"/>
  <c r="AJ26" i="160"/>
  <c r="AJ68" i="160"/>
  <c r="AJ56" i="160"/>
  <c r="AJ17" i="160"/>
  <c r="AJ36" i="160"/>
  <c r="AJ48" i="160"/>
  <c r="AJ42" i="160"/>
  <c r="AJ27" i="160"/>
  <c r="AJ20" i="160"/>
  <c r="AJ22" i="160"/>
  <c r="AJ25" i="160"/>
  <c r="AJ66" i="160"/>
  <c r="AJ59" i="160"/>
  <c r="AJ64" i="160"/>
  <c r="AJ33" i="160"/>
  <c r="AJ61" i="160"/>
  <c r="AJ47" i="160"/>
  <c r="AJ49" i="160"/>
  <c r="AJ21" i="160"/>
  <c r="AJ18" i="160"/>
  <c r="AJ15" i="160"/>
  <c r="AJ55" i="160"/>
  <c r="AJ45" i="160"/>
  <c r="AJ28" i="160"/>
  <c r="AJ65" i="160"/>
  <c r="AJ60" i="160"/>
  <c r="AJ46" i="160"/>
  <c r="AJ62" i="160"/>
  <c r="AJ10" i="160"/>
  <c r="AJ16" i="160"/>
  <c r="AJ12" i="160"/>
  <c r="AJ32" i="160"/>
  <c r="AJ9" i="160"/>
  <c r="BS19" i="164"/>
  <c r="BS57" i="164"/>
  <c r="BS56" i="164"/>
  <c r="BS55" i="164"/>
  <c r="BS67" i="164"/>
  <c r="BS36" i="164"/>
  <c r="BS68" i="164"/>
  <c r="BS71" i="164"/>
  <c r="BS63" i="164"/>
  <c r="BS59" i="164"/>
  <c r="BS21" i="164"/>
  <c r="BS65" i="164"/>
  <c r="BS58" i="164"/>
  <c r="BS70" i="164"/>
  <c r="BS60" i="164"/>
  <c r="BS66" i="164"/>
  <c r="BS61" i="164"/>
  <c r="BS69" i="164"/>
  <c r="BS16" i="164"/>
  <c r="BS53" i="164"/>
  <c r="BS45" i="164"/>
  <c r="BS33" i="164"/>
  <c r="BS27" i="164"/>
  <c r="BS9" i="164"/>
  <c r="BS52" i="164"/>
  <c r="BS44" i="164"/>
  <c r="BS32" i="164"/>
  <c r="BS26" i="164"/>
  <c r="BS62" i="164"/>
  <c r="BS13" i="164"/>
  <c r="BS51" i="164"/>
  <c r="BS43" i="164"/>
  <c r="BS31" i="164"/>
  <c r="BS25" i="164"/>
  <c r="BS22" i="164"/>
  <c r="BS10" i="164"/>
  <c r="BS15" i="164"/>
  <c r="BS12" i="164"/>
  <c r="BS48" i="164"/>
  <c r="BS42" i="164"/>
  <c r="BS30" i="164"/>
  <c r="BS24" i="164"/>
  <c r="BS20" i="164"/>
  <c r="BS18" i="164"/>
  <c r="BS46" i="164"/>
  <c r="BS64" i="164"/>
  <c r="BS28" i="164"/>
  <c r="BS11" i="164"/>
  <c r="BS47" i="164"/>
  <c r="BS49" i="164"/>
  <c r="BS29" i="164"/>
  <c r="BS17" i="164"/>
  <c r="BS23" i="164"/>
  <c r="BS14" i="164"/>
  <c r="AE67" i="160"/>
  <c r="AE57" i="160"/>
  <c r="AE16" i="160"/>
  <c r="AE23" i="160"/>
  <c r="AE27" i="160"/>
  <c r="AE22" i="160"/>
  <c r="AE52" i="160"/>
  <c r="AE42" i="160"/>
  <c r="AE61" i="160"/>
  <c r="AE71" i="160"/>
  <c r="AE68" i="160"/>
  <c r="AE49" i="160"/>
  <c r="AE14" i="160"/>
  <c r="AE48" i="160"/>
  <c r="AE17" i="160"/>
  <c r="AE12" i="160"/>
  <c r="AE28" i="160"/>
  <c r="AE53" i="160"/>
  <c r="AE59" i="160"/>
  <c r="AE15" i="160"/>
  <c r="AE10" i="160"/>
  <c r="AE31" i="160"/>
  <c r="AE36" i="160"/>
  <c r="AE47" i="160"/>
  <c r="AE60" i="160"/>
  <c r="AE62" i="160"/>
  <c r="AE64" i="160"/>
  <c r="AE55" i="160"/>
  <c r="AE25" i="160"/>
  <c r="AE44" i="160"/>
  <c r="AE19" i="160"/>
  <c r="AE32" i="160"/>
  <c r="AE65" i="160"/>
  <c r="AE24" i="160"/>
  <c r="AE46" i="160"/>
  <c r="AE43" i="160"/>
  <c r="AE9" i="160"/>
  <c r="AE56" i="160"/>
  <c r="AE69" i="160"/>
  <c r="AE33" i="160"/>
  <c r="AE58" i="160"/>
  <c r="AE18" i="160"/>
  <c r="AE45" i="160"/>
  <c r="AE20" i="160"/>
  <c r="AE66" i="160"/>
  <c r="AE21" i="160"/>
  <c r="AE11" i="160"/>
  <c r="AE30" i="160"/>
  <c r="AE26" i="160"/>
  <c r="AE70" i="160"/>
  <c r="AE29" i="160"/>
  <c r="AE51" i="160"/>
  <c r="AE63" i="160"/>
  <c r="AE13" i="160"/>
  <c r="BI66" i="160"/>
  <c r="BI70" i="160"/>
  <c r="BI15" i="160"/>
  <c r="BI28" i="160"/>
  <c r="BI10" i="160"/>
  <c r="BI26" i="160"/>
  <c r="BI27" i="160"/>
  <c r="BI17" i="160"/>
  <c r="BI60" i="160"/>
  <c r="BI67" i="160"/>
  <c r="BI42" i="160"/>
  <c r="BI13" i="160"/>
  <c r="BI24" i="160"/>
  <c r="BI31" i="160"/>
  <c r="BI63" i="160"/>
  <c r="BI46" i="160"/>
  <c r="BI47" i="160"/>
  <c r="BI45" i="160"/>
  <c r="BI53" i="160"/>
  <c r="BI44" i="160"/>
  <c r="BI14" i="160"/>
  <c r="BI25" i="160"/>
  <c r="BI33" i="160"/>
  <c r="BI48" i="160"/>
  <c r="BI36" i="160"/>
  <c r="BI52" i="160"/>
  <c r="BI59" i="160"/>
  <c r="BI55" i="160"/>
  <c r="BI30" i="160"/>
  <c r="BI51" i="160"/>
  <c r="BI61" i="160"/>
  <c r="BI18" i="160"/>
  <c r="BI49" i="160"/>
  <c r="BI29" i="160"/>
  <c r="BI22" i="160"/>
  <c r="BI64" i="160"/>
  <c r="BI58" i="160"/>
  <c r="BI68" i="160"/>
  <c r="BI21" i="160"/>
  <c r="BI23" i="160"/>
  <c r="BI57" i="160"/>
  <c r="BI62" i="160"/>
  <c r="BI71" i="160"/>
  <c r="BI20" i="160"/>
  <c r="BI12" i="160"/>
  <c r="BI11" i="160"/>
  <c r="BI65" i="160"/>
  <c r="BI69" i="160"/>
  <c r="BI16" i="160"/>
  <c r="BI43" i="160"/>
  <c r="BI9" i="160"/>
  <c r="BI32" i="160"/>
  <c r="BI19" i="160"/>
  <c r="BI56" i="160"/>
  <c r="P78" i="160"/>
  <c r="P57" i="160"/>
  <c r="P22" i="160"/>
  <c r="P14" i="160"/>
  <c r="P63" i="160"/>
  <c r="P47" i="160"/>
  <c r="P24" i="160"/>
  <c r="P48" i="160"/>
  <c r="P45" i="160"/>
  <c r="P65" i="160"/>
  <c r="P72" i="160"/>
  <c r="P26" i="160"/>
  <c r="P55" i="160"/>
  <c r="P25" i="160"/>
  <c r="P12" i="160"/>
  <c r="P82" i="160"/>
  <c r="P51" i="160"/>
  <c r="P19" i="160"/>
  <c r="P58" i="160"/>
  <c r="P64" i="160"/>
  <c r="P69" i="160"/>
  <c r="P36" i="160"/>
  <c r="P21" i="160"/>
  <c r="P31" i="160"/>
  <c r="P33" i="160"/>
  <c r="P85" i="160"/>
  <c r="P60" i="160"/>
  <c r="P44" i="160"/>
  <c r="P9" i="160"/>
  <c r="P70" i="160"/>
  <c r="P66" i="160"/>
  <c r="P30" i="160"/>
  <c r="P11" i="160"/>
  <c r="P43" i="160"/>
  <c r="P17" i="160"/>
  <c r="P18" i="160"/>
  <c r="P68" i="160"/>
  <c r="P46" i="160"/>
  <c r="P10" i="160"/>
  <c r="P74" i="160"/>
  <c r="P56" i="160"/>
  <c r="P28" i="160"/>
  <c r="P15" i="160"/>
  <c r="P61" i="160"/>
  <c r="P32" i="160"/>
  <c r="P27" i="160"/>
  <c r="P42" i="160"/>
  <c r="P59" i="160"/>
  <c r="P62" i="160"/>
  <c r="P29" i="160"/>
  <c r="P52" i="160"/>
  <c r="P53" i="160"/>
  <c r="P20" i="160"/>
  <c r="P23" i="160"/>
  <c r="P67" i="160"/>
  <c r="P16" i="160"/>
  <c r="P13" i="160"/>
  <c r="P71" i="160"/>
  <c r="BX64" i="166"/>
  <c r="BX58" i="166"/>
  <c r="BX68" i="166"/>
  <c r="BX48" i="166"/>
  <c r="BX18" i="166"/>
  <c r="BX24" i="166"/>
  <c r="BX46" i="166"/>
  <c r="BX69" i="166"/>
  <c r="BX36" i="166"/>
  <c r="BX63" i="166"/>
  <c r="BX57" i="166"/>
  <c r="BX67" i="166"/>
  <c r="BX49" i="166"/>
  <c r="BX22" i="166"/>
  <c r="BX9" i="166"/>
  <c r="BX31" i="166"/>
  <c r="BX15" i="166"/>
  <c r="BX10" i="166"/>
  <c r="BX62" i="166"/>
  <c r="BX56" i="166"/>
  <c r="BX66" i="166"/>
  <c r="BX44" i="166"/>
  <c r="BX52" i="166"/>
  <c r="BX11" i="166"/>
  <c r="BX30" i="166"/>
  <c r="BX14" i="166"/>
  <c r="BX29" i="166"/>
  <c r="BX60" i="166"/>
  <c r="BX53" i="166"/>
  <c r="BX42" i="166"/>
  <c r="BX26" i="166"/>
  <c r="BX13" i="166"/>
  <c r="BX32" i="166"/>
  <c r="BX71" i="166"/>
  <c r="BX43" i="166"/>
  <c r="BX33" i="166"/>
  <c r="BX65" i="166"/>
  <c r="BX21" i="166"/>
  <c r="BX23" i="166"/>
  <c r="BX61" i="166"/>
  <c r="BX19" i="166"/>
  <c r="BX47" i="166"/>
  <c r="BX59" i="166"/>
  <c r="BX20" i="166"/>
  <c r="BX70" i="166"/>
  <c r="BX55" i="166"/>
  <c r="BX16" i="166"/>
  <c r="BX17" i="166"/>
  <c r="BX45" i="166"/>
  <c r="BX25" i="166"/>
  <c r="BX28" i="166"/>
  <c r="BX51" i="166"/>
  <c r="BX27" i="166"/>
  <c r="BX12" i="166"/>
  <c r="BI12" i="166"/>
  <c r="BI14" i="166"/>
  <c r="BI23" i="166"/>
  <c r="BI70" i="166"/>
  <c r="BI30" i="166"/>
  <c r="BI48" i="166"/>
  <c r="BI66" i="166"/>
  <c r="BI71" i="166"/>
  <c r="BI17" i="166"/>
  <c r="BI15" i="166"/>
  <c r="BI25" i="166"/>
  <c r="BI36" i="166"/>
  <c r="BI27" i="166"/>
  <c r="BI44" i="166"/>
  <c r="BI32" i="166"/>
  <c r="BI67" i="166"/>
  <c r="BI47" i="166"/>
  <c r="BI33" i="166"/>
  <c r="BI18" i="166"/>
  <c r="BI24" i="166"/>
  <c r="BI42" i="166"/>
  <c r="BI68" i="166"/>
  <c r="BI69" i="166"/>
  <c r="BI13" i="166"/>
  <c r="BI28" i="166"/>
  <c r="BI16" i="166"/>
  <c r="BI31" i="166"/>
  <c r="BI63" i="166"/>
  <c r="BI57" i="166"/>
  <c r="BI49" i="166"/>
  <c r="BI45" i="166"/>
  <c r="BI62" i="166"/>
  <c r="BI56" i="166"/>
  <c r="BI52" i="166"/>
  <c r="BI26" i="166"/>
  <c r="BI64" i="166"/>
  <c r="BI61" i="166"/>
  <c r="BI55" i="166"/>
  <c r="BI43" i="166"/>
  <c r="BI11" i="166"/>
  <c r="BI58" i="166"/>
  <c r="BI60" i="166"/>
  <c r="BI51" i="166"/>
  <c r="BI21" i="166"/>
  <c r="BI10" i="166"/>
  <c r="BI9" i="166"/>
  <c r="BI29" i="166"/>
  <c r="BI53" i="166"/>
  <c r="BI65" i="166"/>
  <c r="BI59" i="166"/>
  <c r="BI46" i="166"/>
  <c r="BI19" i="166"/>
  <c r="BI22" i="166"/>
  <c r="BI20" i="166"/>
  <c r="AE69" i="166"/>
  <c r="AE63" i="166"/>
  <c r="AE57" i="166"/>
  <c r="AE52" i="166"/>
  <c r="AE16" i="166"/>
  <c r="AE20" i="166"/>
  <c r="AE9" i="166"/>
  <c r="AE32" i="166"/>
  <c r="AE27" i="166"/>
  <c r="AE68" i="166"/>
  <c r="AE62" i="166"/>
  <c r="AE56" i="166"/>
  <c r="AE51" i="166"/>
  <c r="AE67" i="166"/>
  <c r="AE61" i="166"/>
  <c r="AE55" i="166"/>
  <c r="AE47" i="166"/>
  <c r="AE14" i="166"/>
  <c r="AE53" i="166"/>
  <c r="AE29" i="166"/>
  <c r="AE25" i="166"/>
  <c r="AE66" i="166"/>
  <c r="AE60" i="166"/>
  <c r="AE49" i="166"/>
  <c r="AE19" i="166"/>
  <c r="AE13" i="166"/>
  <c r="AE10" i="166"/>
  <c r="AE33" i="166"/>
  <c r="AE30" i="166"/>
  <c r="AE70" i="166"/>
  <c r="AE65" i="166"/>
  <c r="AE59" i="166"/>
  <c r="AE48" i="166"/>
  <c r="AE18" i="166"/>
  <c r="AE26" i="166"/>
  <c r="AE11" i="166"/>
  <c r="AE24" i="166"/>
  <c r="AE36" i="166"/>
  <c r="AE23" i="166"/>
  <c r="AE22" i="166"/>
  <c r="AE43" i="166"/>
  <c r="AE64" i="166"/>
  <c r="AE45" i="166"/>
  <c r="AE71" i="166"/>
  <c r="AE58" i="166"/>
  <c r="AE12" i="166"/>
  <c r="AE44" i="166"/>
  <c r="AE42" i="166"/>
  <c r="AE21" i="166"/>
  <c r="AE31" i="166"/>
  <c r="AE46" i="166"/>
  <c r="AE17" i="166"/>
  <c r="AE28" i="166"/>
  <c r="AE15" i="166"/>
  <c r="CH67" i="166"/>
  <c r="CH31" i="166"/>
  <c r="CH18" i="166"/>
  <c r="CH26" i="166"/>
  <c r="CH11" i="166"/>
  <c r="CH62" i="166"/>
  <c r="CH64" i="166"/>
  <c r="CH61" i="166"/>
  <c r="CH56" i="166"/>
  <c r="CH66" i="166"/>
  <c r="CH30" i="166"/>
  <c r="CH17" i="166"/>
  <c r="CH22" i="166"/>
  <c r="CH12" i="166"/>
  <c r="CH25" i="166"/>
  <c r="CH46" i="166"/>
  <c r="CH57" i="166"/>
  <c r="CH60" i="166"/>
  <c r="CH71" i="166"/>
  <c r="CH49" i="166"/>
  <c r="CH29" i="166"/>
  <c r="CH16" i="166"/>
  <c r="CH20" i="166"/>
  <c r="CH45" i="166"/>
  <c r="CH47" i="166"/>
  <c r="CH44" i="166"/>
  <c r="CH24" i="166"/>
  <c r="CH69" i="166"/>
  <c r="CH33" i="166"/>
  <c r="CH27" i="166"/>
  <c r="CH14" i="166"/>
  <c r="CH21" i="166"/>
  <c r="CH51" i="166"/>
  <c r="CH59" i="166"/>
  <c r="CH65" i="166"/>
  <c r="CH23" i="166"/>
  <c r="CH32" i="166"/>
  <c r="CH9" i="166"/>
  <c r="CH63" i="166"/>
  <c r="CH28" i="166"/>
  <c r="CH58" i="166"/>
  <c r="CH36" i="166"/>
  <c r="CH19" i="166"/>
  <c r="CH43" i="166"/>
  <c r="CH48" i="166"/>
  <c r="CH70" i="166"/>
  <c r="CH15" i="166"/>
  <c r="CH55" i="166"/>
  <c r="CH68" i="166"/>
  <c r="CH13" i="166"/>
  <c r="CH42" i="166"/>
  <c r="CH52" i="166"/>
  <c r="CH53" i="166"/>
  <c r="CH10" i="166"/>
  <c r="AY24" i="166"/>
  <c r="AY46" i="166"/>
  <c r="AY55" i="166"/>
  <c r="AY29" i="166"/>
  <c r="AY10" i="166"/>
  <c r="AY15" i="166"/>
  <c r="AY56" i="166"/>
  <c r="AY22" i="166"/>
  <c r="AY21" i="166"/>
  <c r="AY23" i="166"/>
  <c r="AY51" i="166"/>
  <c r="AY66" i="166"/>
  <c r="AY20" i="166"/>
  <c r="AY28" i="166"/>
  <c r="AY12" i="166"/>
  <c r="AY58" i="166"/>
  <c r="AY45" i="166"/>
  <c r="AY17" i="166"/>
  <c r="AY49" i="166"/>
  <c r="AY52" i="166"/>
  <c r="AY11" i="166"/>
  <c r="AY65" i="166"/>
  <c r="AY26" i="166"/>
  <c r="AY33" i="166"/>
  <c r="AY64" i="166"/>
  <c r="AY71" i="166"/>
  <c r="AY16" i="166"/>
  <c r="AY43" i="166"/>
  <c r="AY53" i="166"/>
  <c r="AY47" i="166"/>
  <c r="AY68" i="166"/>
  <c r="AY14" i="166"/>
  <c r="AY32" i="166"/>
  <c r="AY9" i="166"/>
  <c r="AY70" i="166"/>
  <c r="AY61" i="166"/>
  <c r="AY36" i="166"/>
  <c r="AY42" i="166"/>
  <c r="AY13" i="166"/>
  <c r="AY31" i="166"/>
  <c r="AY69" i="166"/>
  <c r="AY60" i="166"/>
  <c r="AY18" i="166"/>
  <c r="AY44" i="166"/>
  <c r="AY57" i="166"/>
  <c r="AY19" i="166"/>
  <c r="AY59" i="166"/>
  <c r="AY27" i="166"/>
  <c r="AY48" i="166"/>
  <c r="AY67" i="166"/>
  <c r="AY62" i="166"/>
  <c r="AY63" i="166"/>
  <c r="AY25" i="166"/>
  <c r="AY30" i="166"/>
  <c r="AO69" i="166"/>
  <c r="AO29" i="166"/>
  <c r="AO49" i="166"/>
  <c r="AO18" i="166"/>
  <c r="AO62" i="166"/>
  <c r="AO60" i="166"/>
  <c r="AO63" i="166"/>
  <c r="AO12" i="166"/>
  <c r="AO36" i="166"/>
  <c r="AO53" i="166"/>
  <c r="AO28" i="166"/>
  <c r="AO21" i="166"/>
  <c r="AO19" i="166"/>
  <c r="AO64" i="166"/>
  <c r="AO52" i="166"/>
  <c r="AO56" i="166"/>
  <c r="AO13" i="166"/>
  <c r="AO47" i="166"/>
  <c r="AO33" i="166"/>
  <c r="AO27" i="166"/>
  <c r="AO22" i="166"/>
  <c r="AO15" i="166"/>
  <c r="AO17" i="166"/>
  <c r="AO46" i="166"/>
  <c r="AO14" i="166"/>
  <c r="AO24" i="166"/>
  <c r="AO23" i="166"/>
  <c r="AO71" i="166"/>
  <c r="AO31" i="166"/>
  <c r="AO67" i="166"/>
  <c r="AO20" i="166"/>
  <c r="AO11" i="166"/>
  <c r="AO58" i="166"/>
  <c r="AO61" i="166"/>
  <c r="AO57" i="166"/>
  <c r="AO43" i="166"/>
  <c r="AO66" i="166"/>
  <c r="AO51" i="166"/>
  <c r="AO65" i="166"/>
  <c r="AO26" i="166"/>
  <c r="AO59" i="166"/>
  <c r="AO9" i="166"/>
  <c r="AO70" i="166"/>
  <c r="AO16" i="166"/>
  <c r="AO45" i="166"/>
  <c r="AO32" i="166"/>
  <c r="AO10" i="166"/>
  <c r="AO55" i="166"/>
  <c r="AO30" i="166"/>
  <c r="AO42" i="166"/>
  <c r="AO25" i="166"/>
  <c r="AO44" i="166"/>
  <c r="AO48" i="166"/>
  <c r="AO68" i="166"/>
  <c r="AT62" i="166"/>
  <c r="AT56" i="166"/>
  <c r="AT46" i="166"/>
  <c r="AT52" i="166"/>
  <c r="AT23" i="166"/>
  <c r="AT36" i="166"/>
  <c r="AT69" i="166"/>
  <c r="AT18" i="166"/>
  <c r="AT43" i="166"/>
  <c r="AT61" i="166"/>
  <c r="AT55" i="166"/>
  <c r="AT19" i="166"/>
  <c r="AT44" i="166"/>
  <c r="AT31" i="166"/>
  <c r="AT68" i="166"/>
  <c r="AT29" i="166"/>
  <c r="AT25" i="166"/>
  <c r="AT11" i="166"/>
  <c r="AT60" i="166"/>
  <c r="AT53" i="166"/>
  <c r="AT26" i="166"/>
  <c r="AT27" i="166"/>
  <c r="AT67" i="166"/>
  <c r="AT48" i="166"/>
  <c r="AT66" i="166"/>
  <c r="AT15" i="166"/>
  <c r="AT28" i="166"/>
  <c r="AT64" i="166"/>
  <c r="AT58" i="166"/>
  <c r="AT51" i="166"/>
  <c r="AT20" i="166"/>
  <c r="AT32" i="166"/>
  <c r="AT71" i="166"/>
  <c r="AT24" i="166"/>
  <c r="AT42" i="166"/>
  <c r="AT10" i="166"/>
  <c r="AT47" i="166"/>
  <c r="AT30" i="166"/>
  <c r="AT16" i="166"/>
  <c r="AT49" i="166"/>
  <c r="AT70" i="166"/>
  <c r="AT9" i="166"/>
  <c r="AT65" i="166"/>
  <c r="AT22" i="166"/>
  <c r="AT12" i="166"/>
  <c r="AT63" i="166"/>
  <c r="AT21" i="166"/>
  <c r="AT45" i="166"/>
  <c r="AT59" i="166"/>
  <c r="AT14" i="166"/>
  <c r="AT33" i="166"/>
  <c r="AT57" i="166"/>
  <c r="AT17" i="166"/>
  <c r="AT13" i="166"/>
  <c r="K79" i="166"/>
  <c r="K46" i="166"/>
  <c r="K85" i="166"/>
  <c r="K11" i="166"/>
  <c r="K66" i="166"/>
  <c r="K27" i="166"/>
  <c r="K56" i="166"/>
  <c r="K12" i="166"/>
  <c r="K57" i="166"/>
  <c r="K10" i="166"/>
  <c r="K70" i="166"/>
  <c r="K36" i="166"/>
  <c r="K45" i="166"/>
  <c r="K20" i="166"/>
  <c r="K19" i="166"/>
  <c r="K31" i="166"/>
  <c r="K9" i="166"/>
  <c r="K26" i="166"/>
  <c r="K65" i="166"/>
  <c r="K28" i="166"/>
  <c r="K71" i="166"/>
  <c r="K25" i="166"/>
  <c r="K52" i="166"/>
  <c r="K63" i="166"/>
  <c r="K48" i="166"/>
  <c r="K78" i="166"/>
  <c r="K22" i="166"/>
  <c r="K64" i="166"/>
  <c r="K67" i="166"/>
  <c r="K30" i="166"/>
  <c r="K24" i="166"/>
  <c r="K51" i="166"/>
  <c r="K42" i="166"/>
  <c r="K17" i="166"/>
  <c r="K59" i="166"/>
  <c r="K15" i="166"/>
  <c r="K33" i="166"/>
  <c r="K58" i="166"/>
  <c r="K61" i="166"/>
  <c r="K23" i="166"/>
  <c r="K43" i="166"/>
  <c r="K62" i="166"/>
  <c r="K60" i="166"/>
  <c r="K69" i="166"/>
  <c r="K29" i="166"/>
  <c r="K32" i="166"/>
  <c r="K47" i="166"/>
  <c r="K44" i="166"/>
  <c r="K18" i="166"/>
  <c r="K21" i="166"/>
  <c r="K68" i="166"/>
  <c r="K74" i="166"/>
  <c r="K55" i="166"/>
  <c r="K16" i="166"/>
  <c r="K14" i="166"/>
  <c r="K72" i="166"/>
  <c r="K82" i="166"/>
  <c r="K13" i="166"/>
  <c r="Y77" i="166"/>
  <c r="Y89" i="166"/>
  <c r="Y81" i="166"/>
  <c r="Y83" i="166" s="1"/>
  <c r="Y84" i="166" s="1"/>
  <c r="Y86" i="166" s="1"/>
  <c r="P79" i="166"/>
  <c r="P72" i="166"/>
  <c r="P32" i="166"/>
  <c r="P82" i="166"/>
  <c r="P45" i="166"/>
  <c r="P19" i="166"/>
  <c r="P55" i="166"/>
  <c r="P47" i="166"/>
  <c r="P51" i="166"/>
  <c r="P17" i="166"/>
  <c r="P23" i="166"/>
  <c r="P69" i="166"/>
  <c r="P31" i="166"/>
  <c r="P26" i="166"/>
  <c r="P58" i="166"/>
  <c r="P74" i="166"/>
  <c r="P57" i="166"/>
  <c r="P14" i="166"/>
  <c r="P61" i="166"/>
  <c r="P66" i="166"/>
  <c r="P33" i="166"/>
  <c r="P25" i="166"/>
  <c r="P42" i="166"/>
  <c r="P13" i="166"/>
  <c r="P68" i="166"/>
  <c r="P30" i="166"/>
  <c r="P22" i="166"/>
  <c r="P43" i="166"/>
  <c r="P10" i="166"/>
  <c r="P59" i="166"/>
  <c r="P12" i="166"/>
  <c r="P63" i="166"/>
  <c r="P48" i="166"/>
  <c r="P78" i="166"/>
  <c r="P67" i="166"/>
  <c r="P29" i="166"/>
  <c r="P21" i="166"/>
  <c r="P52" i="166"/>
  <c r="P46" i="166"/>
  <c r="P11" i="166"/>
  <c r="P9" i="166"/>
  <c r="P65" i="166"/>
  <c r="P64" i="166"/>
  <c r="P27" i="166"/>
  <c r="P44" i="166"/>
  <c r="P56" i="166"/>
  <c r="P71" i="166"/>
  <c r="P53" i="166"/>
  <c r="P28" i="166"/>
  <c r="P20" i="166"/>
  <c r="P60" i="166"/>
  <c r="P15" i="166"/>
  <c r="P36" i="166"/>
  <c r="P24" i="166"/>
  <c r="P85" i="166"/>
  <c r="P18" i="166"/>
  <c r="P70" i="166"/>
  <c r="P62" i="166"/>
  <c r="P16" i="166"/>
  <c r="BS10" i="166"/>
  <c r="BS46" i="166"/>
  <c r="BS55" i="166"/>
  <c r="BS57" i="166"/>
  <c r="BS71" i="166"/>
  <c r="BS32" i="166"/>
  <c r="BS26" i="166"/>
  <c r="BS19" i="166"/>
  <c r="BS21" i="166"/>
  <c r="BS59" i="166"/>
  <c r="BS64" i="166"/>
  <c r="BS56" i="166"/>
  <c r="BS36" i="166"/>
  <c r="BS70" i="166"/>
  <c r="BS31" i="166"/>
  <c r="BS22" i="166"/>
  <c r="BS18" i="166"/>
  <c r="BS13" i="166"/>
  <c r="BS45" i="166"/>
  <c r="BS44" i="166"/>
  <c r="BS9" i="166"/>
  <c r="BS66" i="166"/>
  <c r="BS69" i="166"/>
  <c r="BS30" i="166"/>
  <c r="BS20" i="166"/>
  <c r="BS17" i="166"/>
  <c r="BS24" i="166"/>
  <c r="BS58" i="166"/>
  <c r="BS12" i="166"/>
  <c r="BS23" i="166"/>
  <c r="BS25" i="166"/>
  <c r="BS14" i="166"/>
  <c r="BS43" i="166"/>
  <c r="BS53" i="166"/>
  <c r="BS29" i="166"/>
  <c r="BS67" i="166"/>
  <c r="BS16" i="166"/>
  <c r="BS65" i="166"/>
  <c r="BS60" i="166"/>
  <c r="BS51" i="166"/>
  <c r="BS52" i="166"/>
  <c r="BS48" i="166"/>
  <c r="BS33" i="166"/>
  <c r="BS47" i="166"/>
  <c r="BS63" i="166"/>
  <c r="BS49" i="166"/>
  <c r="BS28" i="166"/>
  <c r="BS68" i="166"/>
  <c r="BS15" i="166"/>
  <c r="BS11" i="166"/>
  <c r="BS42" i="166"/>
  <c r="BS61" i="166"/>
  <c r="BS27" i="166"/>
  <c r="BS62" i="166"/>
  <c r="BD68" i="166"/>
  <c r="BD31" i="166"/>
  <c r="BD26" i="166"/>
  <c r="BD16" i="166"/>
  <c r="BD65" i="166"/>
  <c r="BD11" i="166"/>
  <c r="BD62" i="166"/>
  <c r="BD51" i="166"/>
  <c r="BD52" i="166"/>
  <c r="BD67" i="166"/>
  <c r="BD30" i="166"/>
  <c r="BD22" i="166"/>
  <c r="BD12" i="166"/>
  <c r="BD44" i="166"/>
  <c r="BD14" i="166"/>
  <c r="BD42" i="166"/>
  <c r="BD23" i="166"/>
  <c r="BD48" i="166"/>
  <c r="BD71" i="166"/>
  <c r="BD66" i="166"/>
  <c r="BD29" i="166"/>
  <c r="BD20" i="166"/>
  <c r="BD19" i="166"/>
  <c r="BD25" i="166"/>
  <c r="BD36" i="166"/>
  <c r="BD56" i="166"/>
  <c r="BD45" i="166"/>
  <c r="BD70" i="166"/>
  <c r="BD53" i="166"/>
  <c r="BD28" i="166"/>
  <c r="BD18" i="166"/>
  <c r="BD17" i="166"/>
  <c r="BD43" i="166"/>
  <c r="BD55" i="166"/>
  <c r="BD46" i="166"/>
  <c r="BD59" i="166"/>
  <c r="BD69" i="166"/>
  <c r="BD33" i="166"/>
  <c r="BD27" i="166"/>
  <c r="BD15" i="166"/>
  <c r="BD9" i="166"/>
  <c r="BD63" i="166"/>
  <c r="BD57" i="166"/>
  <c r="BD58" i="166"/>
  <c r="BD61" i="166"/>
  <c r="BD49" i="166"/>
  <c r="BD24" i="166"/>
  <c r="BD32" i="166"/>
  <c r="BD47" i="166"/>
  <c r="BD21" i="166"/>
  <c r="BD13" i="166"/>
  <c r="BD10" i="166"/>
  <c r="BD64" i="166"/>
  <c r="BD60" i="166"/>
  <c r="CC12" i="166"/>
  <c r="CC33" i="166"/>
  <c r="CC43" i="166"/>
  <c r="CC64" i="166"/>
  <c r="CC66" i="166"/>
  <c r="CC18" i="166"/>
  <c r="CC60" i="166"/>
  <c r="CC62" i="166"/>
  <c r="CC17" i="166"/>
  <c r="CC31" i="166"/>
  <c r="CC48" i="166"/>
  <c r="CC63" i="166"/>
  <c r="CC65" i="166"/>
  <c r="CC26" i="166"/>
  <c r="CC32" i="166"/>
  <c r="CC47" i="166"/>
  <c r="CC44" i="166"/>
  <c r="CC14" i="166"/>
  <c r="CC10" i="166"/>
  <c r="CC52" i="166"/>
  <c r="CC55" i="166"/>
  <c r="CC28" i="166"/>
  <c r="CC36" i="166"/>
  <c r="CC46" i="166"/>
  <c r="CC19" i="166"/>
  <c r="CC29" i="166"/>
  <c r="CC69" i="166"/>
  <c r="CC16" i="166"/>
  <c r="CC68" i="166"/>
  <c r="CC53" i="166"/>
  <c r="CC11" i="166"/>
  <c r="CC9" i="166"/>
  <c r="CC25" i="166"/>
  <c r="CC51" i="166"/>
  <c r="CC59" i="166"/>
  <c r="CC13" i="166"/>
  <c r="CC27" i="166"/>
  <c r="CC42" i="166"/>
  <c r="CC15" i="166"/>
  <c r="CC71" i="166"/>
  <c r="CC56" i="166"/>
  <c r="CC22" i="166"/>
  <c r="CC24" i="166"/>
  <c r="CC67" i="166"/>
  <c r="CC57" i="166"/>
  <c r="CC58" i="166"/>
  <c r="CC49" i="166"/>
  <c r="CC23" i="166"/>
  <c r="CC45" i="166"/>
  <c r="CC20" i="166"/>
  <c r="CC21" i="166"/>
  <c r="CC70" i="166"/>
  <c r="CC30" i="166"/>
  <c r="CC61" i="166"/>
  <c r="AJ52" i="166"/>
  <c r="AJ51" i="166"/>
  <c r="AJ32" i="166"/>
  <c r="AJ69" i="166"/>
  <c r="AJ71" i="166"/>
  <c r="AJ56" i="166"/>
  <c r="AJ63" i="166"/>
  <c r="AJ12" i="166"/>
  <c r="AJ60" i="166"/>
  <c r="AJ44" i="166"/>
  <c r="AJ43" i="166"/>
  <c r="AJ59" i="166"/>
  <c r="AJ30" i="166"/>
  <c r="AJ11" i="166"/>
  <c r="AJ62" i="166"/>
  <c r="AJ10" i="166"/>
  <c r="AJ67" i="166"/>
  <c r="AJ29" i="166"/>
  <c r="AJ36" i="166"/>
  <c r="AJ49" i="166"/>
  <c r="AJ65" i="166"/>
  <c r="AJ16" i="166"/>
  <c r="AJ58" i="166"/>
  <c r="AJ20" i="166"/>
  <c r="AJ31" i="166"/>
  <c r="AJ45" i="166"/>
  <c r="AJ33" i="166"/>
  <c r="AJ25" i="166"/>
  <c r="AJ47" i="166"/>
  <c r="AJ27" i="166"/>
  <c r="AJ42" i="166"/>
  <c r="AJ14" i="166"/>
  <c r="AJ46" i="166"/>
  <c r="AJ19" i="166"/>
  <c r="AJ64" i="166"/>
  <c r="AJ18" i="166"/>
  <c r="AJ24" i="166"/>
  <c r="AJ21" i="166"/>
  <c r="AJ48" i="166"/>
  <c r="AJ61" i="166"/>
  <c r="AJ15" i="166"/>
  <c r="AJ17" i="166"/>
  <c r="AJ26" i="166"/>
  <c r="AJ28" i="166"/>
  <c r="AJ68" i="166"/>
  <c r="AJ23" i="166"/>
  <c r="AJ57" i="166"/>
  <c r="AJ13" i="166"/>
  <c r="AJ9" i="166"/>
  <c r="AJ22" i="166"/>
  <c r="AJ66" i="166"/>
  <c r="AJ70" i="166"/>
  <c r="AJ53" i="166"/>
  <c r="AJ55" i="166"/>
  <c r="BX58" i="157" l="1"/>
  <c r="BX13" i="157"/>
  <c r="BX19" i="157"/>
  <c r="BX60" i="157"/>
  <c r="BX29" i="157"/>
  <c r="BX56" i="157"/>
  <c r="BX52" i="157"/>
  <c r="BX53" i="157"/>
  <c r="BX27" i="157"/>
  <c r="BX30" i="157"/>
  <c r="BX55" i="157"/>
  <c r="BX62" i="157"/>
  <c r="BX42" i="157"/>
  <c r="BX49" i="157"/>
  <c r="BX43" i="157"/>
  <c r="BX24" i="157"/>
  <c r="BX17" i="157"/>
  <c r="BX59" i="157"/>
  <c r="BX66" i="157"/>
  <c r="BX32" i="157"/>
  <c r="BX21" i="157"/>
  <c r="BX11" i="157"/>
  <c r="BX22" i="157"/>
  <c r="BX44" i="157"/>
  <c r="BX12" i="157"/>
  <c r="BX70" i="157"/>
  <c r="BX14" i="157"/>
  <c r="BX26" i="157"/>
  <c r="BX71" i="157"/>
  <c r="BX46" i="157"/>
  <c r="BX33" i="157"/>
  <c r="BX47" i="157"/>
  <c r="BX36" i="157"/>
  <c r="BX65" i="157"/>
  <c r="BX25" i="157"/>
  <c r="BX23" i="157"/>
  <c r="BX64" i="157"/>
  <c r="BX69" i="157"/>
  <c r="BX10" i="157"/>
  <c r="BX28" i="157"/>
  <c r="BX68" i="157"/>
  <c r="BX61" i="157"/>
  <c r="BX67" i="157"/>
  <c r="BX45" i="157"/>
  <c r="BX9" i="157"/>
  <c r="BX16" i="157"/>
  <c r="BX31" i="157"/>
  <c r="BX48" i="157"/>
  <c r="BX51" i="157"/>
  <c r="BX57" i="157"/>
  <c r="BX63" i="157"/>
  <c r="BX15" i="157"/>
  <c r="BX18" i="157"/>
  <c r="BX20" i="157"/>
  <c r="CC49" i="157"/>
  <c r="CC42" i="157"/>
  <c r="CC17" i="157"/>
  <c r="CC45" i="157"/>
  <c r="CC29" i="157"/>
  <c r="CC63" i="157"/>
  <c r="CC48" i="157"/>
  <c r="CC68" i="157"/>
  <c r="CC9" i="157"/>
  <c r="CC28" i="157"/>
  <c r="CC25" i="157"/>
  <c r="CC14" i="157"/>
  <c r="CC64" i="157"/>
  <c r="CC55" i="157"/>
  <c r="CC65" i="157"/>
  <c r="CC19" i="157"/>
  <c r="CC10" i="157"/>
  <c r="CC69" i="157"/>
  <c r="CC61" i="157"/>
  <c r="CC18" i="157"/>
  <c r="CC15" i="157"/>
  <c r="CC66" i="157"/>
  <c r="CC11" i="157"/>
  <c r="CC62" i="157"/>
  <c r="CC16" i="157"/>
  <c r="CC43" i="157"/>
  <c r="CC52" i="157"/>
  <c r="CC47" i="157"/>
  <c r="CC23" i="157"/>
  <c r="CC12" i="157"/>
  <c r="CC24" i="157"/>
  <c r="CC31" i="157"/>
  <c r="CC27" i="157"/>
  <c r="CC30" i="157"/>
  <c r="CC33" i="157"/>
  <c r="CC13" i="157"/>
  <c r="CC56" i="157"/>
  <c r="CC32" i="157"/>
  <c r="CC36" i="157"/>
  <c r="CC60" i="157"/>
  <c r="CC53" i="157"/>
  <c r="CC59" i="157"/>
  <c r="CC20" i="157"/>
  <c r="CC21" i="157"/>
  <c r="CC22" i="157"/>
  <c r="CC46" i="157"/>
  <c r="CC67" i="157"/>
  <c r="CC71" i="157"/>
  <c r="CC57" i="157"/>
  <c r="CC26" i="157"/>
  <c r="CC51" i="157"/>
  <c r="CC70" i="157"/>
  <c r="CC44" i="157"/>
  <c r="CC58" i="157"/>
  <c r="BI63" i="157"/>
  <c r="BI16" i="157"/>
  <c r="BI10" i="157"/>
  <c r="BI21" i="157"/>
  <c r="BI11" i="157"/>
  <c r="BI51" i="157"/>
  <c r="BI23" i="157"/>
  <c r="BI19" i="157"/>
  <c r="BI33" i="157"/>
  <c r="BI47" i="157"/>
  <c r="BI30" i="157"/>
  <c r="BI18" i="157"/>
  <c r="BI52" i="157"/>
  <c r="BI49" i="157"/>
  <c r="BI15" i="157"/>
  <c r="BI9" i="157"/>
  <c r="BI57" i="157"/>
  <c r="BI27" i="157"/>
  <c r="BI64" i="157"/>
  <c r="BI12" i="157"/>
  <c r="BI36" i="157"/>
  <c r="BI22" i="157"/>
  <c r="BI29" i="157"/>
  <c r="BI68" i="157"/>
  <c r="BI65" i="157"/>
  <c r="BI61" i="157"/>
  <c r="BI53" i="157"/>
  <c r="BI48" i="157"/>
  <c r="BI60" i="157"/>
  <c r="BI24" i="157"/>
  <c r="BI28" i="157"/>
  <c r="BI42" i="157"/>
  <c r="BI55" i="157"/>
  <c r="BI26" i="157"/>
  <c r="BI14" i="157"/>
  <c r="BI67" i="157"/>
  <c r="BI25" i="157"/>
  <c r="BI56" i="157"/>
  <c r="BI58" i="157"/>
  <c r="BI59" i="157"/>
  <c r="BI69" i="157"/>
  <c r="BI43" i="157"/>
  <c r="BI13" i="157"/>
  <c r="BI20" i="157"/>
  <c r="BI71" i="157"/>
  <c r="BI45" i="157"/>
  <c r="BI70" i="157"/>
  <c r="BI17" i="157"/>
  <c r="BI32" i="157"/>
  <c r="BI46" i="157"/>
  <c r="BI66" i="157"/>
  <c r="BI44" i="157"/>
  <c r="BI31" i="157"/>
  <c r="BI62" i="157"/>
  <c r="BS66" i="157"/>
  <c r="BS22" i="157"/>
  <c r="BS42" i="157"/>
  <c r="BS13" i="157"/>
  <c r="BS28" i="157"/>
  <c r="BS27" i="157"/>
  <c r="BS10" i="157"/>
  <c r="BS52" i="157"/>
  <c r="BS11" i="157"/>
  <c r="BS70" i="157"/>
  <c r="BS16" i="157"/>
  <c r="BS56" i="157"/>
  <c r="BS45" i="157"/>
  <c r="BS44" i="157"/>
  <c r="BS33" i="157"/>
  <c r="BS67" i="157"/>
  <c r="BS32" i="157"/>
  <c r="BS48" i="157"/>
  <c r="BS47" i="157"/>
  <c r="BS23" i="157"/>
  <c r="BS18" i="157"/>
  <c r="BS55" i="157"/>
  <c r="BS29" i="157"/>
  <c r="BS51" i="157"/>
  <c r="BS62" i="157"/>
  <c r="BS57" i="157"/>
  <c r="BS53" i="157"/>
  <c r="BS60" i="157"/>
  <c r="BS30" i="157"/>
  <c r="BS24" i="157"/>
  <c r="BS12" i="157"/>
  <c r="BS58" i="157"/>
  <c r="BS46" i="157"/>
  <c r="BS64" i="157"/>
  <c r="BS19" i="157"/>
  <c r="BS59" i="157"/>
  <c r="BS43" i="157"/>
  <c r="BS20" i="157"/>
  <c r="BS36" i="157"/>
  <c r="BS63" i="157"/>
  <c r="BS49" i="157"/>
  <c r="BS25" i="157"/>
  <c r="BS31" i="157"/>
  <c r="BS65" i="157"/>
  <c r="BS26" i="157"/>
  <c r="BS21" i="157"/>
  <c r="BS68" i="157"/>
  <c r="BS17" i="157"/>
  <c r="BS71" i="157"/>
  <c r="BS9" i="157"/>
  <c r="BS61" i="157"/>
  <c r="BS15" i="157"/>
  <c r="BS14" i="157"/>
  <c r="BS69" i="157"/>
  <c r="BW90" i="157"/>
  <c r="AY53" i="157"/>
  <c r="AY47" i="157"/>
  <c r="AY23" i="157"/>
  <c r="AY25" i="157"/>
  <c r="AY9" i="157"/>
  <c r="AY61" i="157"/>
  <c r="AY14" i="157"/>
  <c r="AY67" i="157"/>
  <c r="AY12" i="157"/>
  <c r="AY43" i="157"/>
  <c r="AY10" i="157"/>
  <c r="AY63" i="157"/>
  <c r="AY13" i="157"/>
  <c r="AY44" i="157"/>
  <c r="AY49" i="157"/>
  <c r="AY20" i="157"/>
  <c r="AY42" i="157"/>
  <c r="AY70" i="157"/>
  <c r="AY27" i="157"/>
  <c r="AY11" i="157"/>
  <c r="AY28" i="157"/>
  <c r="AY26" i="157"/>
  <c r="AY56" i="157"/>
  <c r="AY48" i="157"/>
  <c r="AY29" i="157"/>
  <c r="AY64" i="157"/>
  <c r="AY24" i="157"/>
  <c r="AY55" i="157"/>
  <c r="AY65" i="157"/>
  <c r="AY18" i="157"/>
  <c r="AY45" i="157"/>
  <c r="AY51" i="157"/>
  <c r="AY15" i="157"/>
  <c r="AY62" i="157"/>
  <c r="AY16" i="157"/>
  <c r="AY32" i="157"/>
  <c r="AY57" i="157"/>
  <c r="AY69" i="157"/>
  <c r="AY36" i="157"/>
  <c r="AY17" i="157"/>
  <c r="AY21" i="157"/>
  <c r="AY59" i="157"/>
  <c r="AY19" i="157"/>
  <c r="AY22" i="157"/>
  <c r="AY46" i="157"/>
  <c r="AY33" i="157"/>
  <c r="AY52" i="157"/>
  <c r="AY31" i="157"/>
  <c r="AY30" i="157"/>
  <c r="AY71" i="157"/>
  <c r="AY66" i="157"/>
  <c r="AY68" i="157"/>
  <c r="AY60" i="157"/>
  <c r="AY58" i="157"/>
  <c r="AJ49" i="157"/>
  <c r="AJ68" i="157"/>
  <c r="AJ56" i="157"/>
  <c r="AJ31" i="157"/>
  <c r="AJ29" i="157"/>
  <c r="AJ24" i="157"/>
  <c r="AJ28" i="157"/>
  <c r="AJ51" i="157"/>
  <c r="AJ27" i="157"/>
  <c r="AJ20" i="157"/>
  <c r="AJ67" i="157"/>
  <c r="AJ46" i="157"/>
  <c r="AJ43" i="157"/>
  <c r="AJ53" i="157"/>
  <c r="AJ45" i="157"/>
  <c r="AJ62" i="157"/>
  <c r="AJ14" i="157"/>
  <c r="AJ13" i="157"/>
  <c r="AJ63" i="157"/>
  <c r="AJ17" i="157"/>
  <c r="AJ60" i="157"/>
  <c r="AJ59" i="157"/>
  <c r="AJ71" i="157"/>
  <c r="AJ64" i="157"/>
  <c r="AJ11" i="157"/>
  <c r="AJ48" i="157"/>
  <c r="AJ55" i="157"/>
  <c r="AJ70" i="157"/>
  <c r="AJ42" i="157"/>
  <c r="AJ26" i="157"/>
  <c r="AJ18" i="157"/>
  <c r="AJ32" i="157"/>
  <c r="AJ19" i="157"/>
  <c r="AJ16" i="157"/>
  <c r="AJ66" i="157"/>
  <c r="AJ65" i="157"/>
  <c r="AJ69" i="157"/>
  <c r="AJ52" i="157"/>
  <c r="AJ61" i="157"/>
  <c r="AJ47" i="157"/>
  <c r="AJ36" i="157"/>
  <c r="AJ23" i="157"/>
  <c r="AJ21" i="157"/>
  <c r="AJ44" i="157"/>
  <c r="AJ15" i="157"/>
  <c r="AJ33" i="157"/>
  <c r="AJ12" i="157"/>
  <c r="AJ25" i="157"/>
  <c r="AJ10" i="157"/>
  <c r="AJ58" i="157"/>
  <c r="AJ57" i="157"/>
  <c r="AJ22" i="157"/>
  <c r="AJ30" i="157"/>
  <c r="AJ9" i="157"/>
  <c r="CH60" i="157"/>
  <c r="CH49" i="157"/>
  <c r="CH57" i="157"/>
  <c r="CH22" i="157"/>
  <c r="CH27" i="157"/>
  <c r="CH48" i="157"/>
  <c r="CH16" i="157"/>
  <c r="CH70" i="157"/>
  <c r="CH10" i="157"/>
  <c r="CH29" i="157"/>
  <c r="CH59" i="157"/>
  <c r="CH20" i="157"/>
  <c r="CH52" i="157"/>
  <c r="CH47" i="157"/>
  <c r="CH69" i="157"/>
  <c r="CH46" i="157"/>
  <c r="CH12" i="157"/>
  <c r="CH23" i="157"/>
  <c r="CH32" i="157"/>
  <c r="CH25" i="157"/>
  <c r="CH33" i="157"/>
  <c r="CH18" i="157"/>
  <c r="CH64" i="157"/>
  <c r="CH21" i="157"/>
  <c r="CH19" i="157"/>
  <c r="CH56" i="157"/>
  <c r="CH43" i="157"/>
  <c r="CH63" i="157"/>
  <c r="CH61" i="157"/>
  <c r="CH13" i="157"/>
  <c r="CH36" i="157"/>
  <c r="CH66" i="157"/>
  <c r="CH30" i="157"/>
  <c r="CH58" i="157"/>
  <c r="CH24" i="157"/>
  <c r="CH68" i="157"/>
  <c r="CH11" i="157"/>
  <c r="CH28" i="157"/>
  <c r="CH45" i="157"/>
  <c r="CH9" i="157"/>
  <c r="CH55" i="157"/>
  <c r="CH53" i="157"/>
  <c r="CH17" i="157"/>
  <c r="CH14" i="157"/>
  <c r="CH31" i="157"/>
  <c r="CH62" i="157"/>
  <c r="CH15" i="157"/>
  <c r="CH51" i="157"/>
  <c r="CH26" i="157"/>
  <c r="CH71" i="157"/>
  <c r="CH67" i="157"/>
  <c r="CH65" i="157"/>
  <c r="CH44" i="157"/>
  <c r="CH42" i="157"/>
  <c r="AO44" i="157"/>
  <c r="AO28" i="157"/>
  <c r="AO18" i="157"/>
  <c r="AO65" i="157"/>
  <c r="AO15" i="157"/>
  <c r="AO62" i="157"/>
  <c r="AO42" i="157"/>
  <c r="AO19" i="157"/>
  <c r="AO11" i="157"/>
  <c r="AO68" i="157"/>
  <c r="AO21" i="157"/>
  <c r="AO57" i="157"/>
  <c r="AO53" i="157"/>
  <c r="AO58" i="157"/>
  <c r="AO16" i="157"/>
  <c r="AO13" i="157"/>
  <c r="AO43" i="157"/>
  <c r="AO71" i="157"/>
  <c r="AO59" i="157"/>
  <c r="AO70" i="157"/>
  <c r="AO46" i="157"/>
  <c r="AO32" i="157"/>
  <c r="AO69" i="157"/>
  <c r="AO27" i="157"/>
  <c r="AO66" i="157"/>
  <c r="AO30" i="157"/>
  <c r="AO22" i="157"/>
  <c r="AO61" i="157"/>
  <c r="AO17" i="157"/>
  <c r="AO12" i="157"/>
  <c r="AO47" i="157"/>
  <c r="AO52" i="157"/>
  <c r="AO9" i="157"/>
  <c r="AO45" i="157"/>
  <c r="AO20" i="157"/>
  <c r="AO29" i="157"/>
  <c r="AO36" i="157"/>
  <c r="AO56" i="157"/>
  <c r="AO60" i="157"/>
  <c r="AO49" i="157"/>
  <c r="AO33" i="157"/>
  <c r="AO48" i="157"/>
  <c r="AO10" i="157"/>
  <c r="AO23" i="157"/>
  <c r="AO67" i="157"/>
  <c r="AO64" i="157"/>
  <c r="AO55" i="157"/>
  <c r="AO14" i="157"/>
  <c r="AO51" i="157"/>
  <c r="AO63" i="157"/>
  <c r="AO24" i="157"/>
  <c r="AO26" i="157"/>
  <c r="AO31" i="157"/>
  <c r="AO25" i="157"/>
  <c r="CG90" i="157"/>
  <c r="CB90" i="157"/>
  <c r="CL77" i="157"/>
  <c r="CL89" i="157"/>
  <c r="CL81" i="157"/>
  <c r="CL83" i="157" s="1"/>
  <c r="CL84" i="157" s="1"/>
  <c r="CL86" i="157" s="1"/>
  <c r="CL87" i="157" s="1"/>
  <c r="BR90" i="157"/>
  <c r="C39" i="101"/>
  <c r="CM10" i="157" l="1"/>
  <c r="CM36" i="157"/>
  <c r="CM44" i="157"/>
  <c r="CM56" i="157"/>
  <c r="CM51" i="157"/>
  <c r="CM55" i="157"/>
  <c r="CM68" i="157"/>
  <c r="CM14" i="157"/>
  <c r="CM48" i="157"/>
  <c r="CM18" i="157"/>
  <c r="CM52" i="157"/>
  <c r="CM59" i="157"/>
  <c r="CM11" i="157"/>
  <c r="CM64" i="157"/>
  <c r="CM63" i="157"/>
  <c r="CM32" i="157"/>
  <c r="CM28" i="157"/>
  <c r="CM66" i="157"/>
  <c r="CM15" i="157"/>
  <c r="CM13" i="157"/>
  <c r="CM16" i="157"/>
  <c r="CM19" i="157"/>
  <c r="CM43" i="157"/>
  <c r="CM70" i="157"/>
  <c r="CM41" i="157"/>
  <c r="CM72" i="157"/>
  <c r="CM12" i="157"/>
  <c r="CM60" i="157"/>
  <c r="CM27" i="157"/>
  <c r="CM20" i="157"/>
  <c r="CM29" i="157"/>
  <c r="CM42" i="157"/>
  <c r="CM45" i="157"/>
  <c r="CM67" i="157"/>
  <c r="CM61" i="157"/>
  <c r="CM33" i="157"/>
  <c r="CM49" i="157"/>
  <c r="CM69" i="157"/>
  <c r="CM65" i="157"/>
  <c r="CM22" i="157"/>
  <c r="CM71" i="157"/>
  <c r="CM23" i="157"/>
  <c r="CM17" i="157"/>
  <c r="CM46" i="157"/>
  <c r="CM62" i="157"/>
  <c r="CM21" i="157"/>
  <c r="CM47" i="157"/>
  <c r="CM57" i="157"/>
  <c r="CM58" i="157"/>
  <c r="CM54" i="157"/>
  <c r="CM24" i="157"/>
  <c r="CM26" i="157"/>
  <c r="CM30" i="157"/>
  <c r="CM31" i="157"/>
  <c r="CM25" i="157"/>
  <c r="CM9" i="157"/>
  <c r="C81" i="101" l="1"/>
  <c r="C78" i="101" s="1"/>
  <c r="I23" i="101" l="1"/>
  <c r="E23" i="101"/>
  <c r="S79" i="142" l="1"/>
  <c r="S77" i="142" l="1"/>
  <c r="S89" i="142"/>
  <c r="S81" i="142"/>
  <c r="S83" i="142" s="1"/>
  <c r="S84" i="142" s="1"/>
  <c r="S86" i="142" s="1"/>
  <c r="S87" i="142" s="1"/>
  <c r="T20" i="142" l="1"/>
  <c r="T62" i="142"/>
  <c r="T24" i="142"/>
  <c r="T14" i="142"/>
  <c r="T43" i="142"/>
  <c r="T54" i="142"/>
  <c r="T22" i="142"/>
  <c r="T55" i="142"/>
  <c r="T25" i="142"/>
  <c r="T41" i="142"/>
  <c r="T17" i="142"/>
  <c r="T10" i="142"/>
  <c r="T42" i="142"/>
  <c r="T26" i="142"/>
  <c r="T59" i="142"/>
  <c r="T32" i="142"/>
  <c r="T11" i="142"/>
  <c r="T67" i="142"/>
  <c r="T73" i="142"/>
  <c r="T66" i="142"/>
  <c r="T18" i="142"/>
  <c r="T28" i="142"/>
  <c r="T64" i="142"/>
  <c r="T60" i="142"/>
  <c r="T70" i="142"/>
  <c r="T74" i="142"/>
  <c r="T56" i="142"/>
  <c r="T21" i="142"/>
  <c r="T33" i="142"/>
  <c r="T51" i="142"/>
  <c r="T52" i="142"/>
  <c r="T12" i="142"/>
  <c r="T69" i="142"/>
  <c r="T8" i="142"/>
  <c r="T61" i="142"/>
  <c r="T71" i="142"/>
  <c r="T29" i="142"/>
  <c r="T27" i="142"/>
  <c r="T46" i="142"/>
  <c r="T13" i="142"/>
  <c r="T19" i="142"/>
  <c r="T48" i="142"/>
  <c r="T16" i="142"/>
  <c r="T31" i="142"/>
  <c r="T63" i="142"/>
  <c r="T30" i="142"/>
  <c r="T45" i="142"/>
  <c r="T47" i="142"/>
  <c r="T68" i="142"/>
  <c r="T44" i="142"/>
  <c r="T23" i="142"/>
  <c r="T36" i="142"/>
  <c r="T57" i="142"/>
  <c r="T35" i="142"/>
  <c r="T58" i="142"/>
  <c r="T9" i="142"/>
  <c r="T65" i="142"/>
  <c r="T15" i="142"/>
  <c r="T50" i="142"/>
  <c r="T79" i="142"/>
  <c r="T77" i="142"/>
  <c r="N85" i="142" l="1"/>
  <c r="N82" i="142"/>
  <c r="N78" i="142"/>
  <c r="O78" i="142" s="1"/>
  <c r="M77" i="142"/>
  <c r="L77" i="142"/>
  <c r="N74" i="142"/>
  <c r="N73" i="142" s="1"/>
  <c r="M73" i="142"/>
  <c r="L73" i="142"/>
  <c r="N71" i="142"/>
  <c r="N70" i="142"/>
  <c r="N69" i="142"/>
  <c r="N68" i="142"/>
  <c r="N67" i="142"/>
  <c r="N66" i="142"/>
  <c r="N65" i="142"/>
  <c r="N64" i="142"/>
  <c r="N63" i="142"/>
  <c r="N62" i="142"/>
  <c r="N61" i="142"/>
  <c r="N60" i="142"/>
  <c r="N59" i="142"/>
  <c r="N58" i="142"/>
  <c r="N57" i="142"/>
  <c r="N56" i="142"/>
  <c r="N55" i="142"/>
  <c r="M54" i="142"/>
  <c r="L54" i="142"/>
  <c r="N52" i="142"/>
  <c r="N51" i="142"/>
  <c r="M50" i="142"/>
  <c r="L50" i="142"/>
  <c r="N48" i="142"/>
  <c r="N47" i="142"/>
  <c r="N46" i="142"/>
  <c r="N45" i="142"/>
  <c r="N44" i="142"/>
  <c r="N43" i="142"/>
  <c r="N42" i="142"/>
  <c r="M41" i="142"/>
  <c r="L41" i="142"/>
  <c r="N36" i="142"/>
  <c r="N35" i="142" s="1"/>
  <c r="N33" i="142"/>
  <c r="N32" i="142"/>
  <c r="N31" i="142"/>
  <c r="N30" i="142"/>
  <c r="N29" i="142"/>
  <c r="N28" i="142"/>
  <c r="N27" i="142"/>
  <c r="N26" i="142"/>
  <c r="N25" i="142"/>
  <c r="N24" i="142"/>
  <c r="N23" i="142"/>
  <c r="N22" i="142"/>
  <c r="N21" i="142"/>
  <c r="N20" i="142"/>
  <c r="N19" i="142"/>
  <c r="N18" i="142"/>
  <c r="N17" i="142"/>
  <c r="N16" i="142"/>
  <c r="N15" i="142"/>
  <c r="N14" i="142"/>
  <c r="N13" i="142"/>
  <c r="N12" i="142"/>
  <c r="N11" i="142"/>
  <c r="N10" i="142"/>
  <c r="N9" i="142"/>
  <c r="M8" i="142"/>
  <c r="L8" i="142"/>
  <c r="N7" i="142"/>
  <c r="N6" i="142"/>
  <c r="M5" i="142"/>
  <c r="L5" i="142"/>
  <c r="N79" i="142" l="1"/>
  <c r="N77" i="142" s="1"/>
  <c r="N41" i="142"/>
  <c r="N54" i="142"/>
  <c r="N5" i="142"/>
  <c r="L38" i="142"/>
  <c r="L39" i="142" s="1"/>
  <c r="M38" i="142"/>
  <c r="N8" i="142"/>
  <c r="N50" i="142"/>
  <c r="BV85" i="114"/>
  <c r="BU85" i="114"/>
  <c r="BV82" i="114"/>
  <c r="BU82" i="114"/>
  <c r="BV79" i="114"/>
  <c r="BU79" i="114"/>
  <c r="BV78" i="114"/>
  <c r="BU78" i="114"/>
  <c r="BV74" i="114"/>
  <c r="BU74" i="114"/>
  <c r="BV71" i="114"/>
  <c r="BU71" i="114"/>
  <c r="BV70" i="114"/>
  <c r="BU70" i="114"/>
  <c r="BV69" i="114"/>
  <c r="BU69" i="114"/>
  <c r="BV68" i="114"/>
  <c r="BU68" i="114"/>
  <c r="BV67" i="114"/>
  <c r="BU67" i="114"/>
  <c r="BV66" i="114"/>
  <c r="BU66" i="114"/>
  <c r="BV65" i="114"/>
  <c r="BU65" i="114"/>
  <c r="BV64" i="114"/>
  <c r="BU64" i="114"/>
  <c r="BV63" i="114"/>
  <c r="BU63" i="114"/>
  <c r="BV62" i="114"/>
  <c r="BU62" i="114"/>
  <c r="BV61" i="114"/>
  <c r="BU61" i="114"/>
  <c r="BV60" i="114"/>
  <c r="BU60" i="114"/>
  <c r="BV59" i="114"/>
  <c r="BU59" i="114"/>
  <c r="BV58" i="114"/>
  <c r="BU58" i="114"/>
  <c r="BV57" i="114"/>
  <c r="BU57" i="114"/>
  <c r="BV56" i="114"/>
  <c r="BU56" i="114"/>
  <c r="BV55" i="114"/>
  <c r="BU55" i="114"/>
  <c r="BV52" i="114"/>
  <c r="BU52" i="114"/>
  <c r="BV51" i="114"/>
  <c r="BU51" i="114"/>
  <c r="BV48" i="114"/>
  <c r="BU48" i="114"/>
  <c r="BV47" i="114"/>
  <c r="BU47" i="114"/>
  <c r="BV46" i="114"/>
  <c r="BU46" i="114"/>
  <c r="BV45" i="114"/>
  <c r="BV44" i="114"/>
  <c r="BU44" i="114"/>
  <c r="BV43" i="114"/>
  <c r="BU43" i="114"/>
  <c r="BV42" i="114"/>
  <c r="BU42" i="114"/>
  <c r="BV36" i="114"/>
  <c r="BU36" i="114"/>
  <c r="BV33" i="114"/>
  <c r="BU33" i="114"/>
  <c r="BV32" i="114"/>
  <c r="BU32" i="114"/>
  <c r="BV31" i="114"/>
  <c r="BU31" i="114"/>
  <c r="BV30" i="114"/>
  <c r="BU30" i="114"/>
  <c r="BV29" i="114"/>
  <c r="BU29" i="114"/>
  <c r="BV28" i="114"/>
  <c r="BU28" i="114"/>
  <c r="BV27" i="114"/>
  <c r="BU27" i="114"/>
  <c r="BV26" i="114"/>
  <c r="BV25" i="114"/>
  <c r="BV24" i="114"/>
  <c r="BU24" i="114"/>
  <c r="BV23" i="114"/>
  <c r="BU23" i="114"/>
  <c r="BV22" i="114"/>
  <c r="BV21" i="114"/>
  <c r="BU21" i="114"/>
  <c r="BV20" i="114"/>
  <c r="BU20" i="114"/>
  <c r="BV19" i="114"/>
  <c r="BU19" i="114"/>
  <c r="BV18" i="114"/>
  <c r="BU18" i="114"/>
  <c r="BV17" i="114"/>
  <c r="BU17" i="114"/>
  <c r="BU16" i="114"/>
  <c r="BV15" i="114"/>
  <c r="BU15" i="114"/>
  <c r="BV14" i="114"/>
  <c r="BU14" i="114"/>
  <c r="BV13" i="114"/>
  <c r="BU13" i="114"/>
  <c r="BV12" i="114"/>
  <c r="BU12" i="114"/>
  <c r="BV11" i="114"/>
  <c r="BU11" i="114"/>
  <c r="BV10" i="114"/>
  <c r="BU10" i="114"/>
  <c r="BV9" i="114"/>
  <c r="BU9" i="114"/>
  <c r="BV7" i="114"/>
  <c r="BU7" i="114"/>
  <c r="BV6" i="114"/>
  <c r="BR85" i="114"/>
  <c r="BR82" i="114"/>
  <c r="BR78" i="114"/>
  <c r="BQ77" i="114"/>
  <c r="BP77" i="114"/>
  <c r="BR74" i="114"/>
  <c r="BQ73" i="114"/>
  <c r="BP73" i="114"/>
  <c r="BR71" i="114"/>
  <c r="BR70" i="114"/>
  <c r="BR69" i="114"/>
  <c r="BR68" i="114"/>
  <c r="BR67" i="114"/>
  <c r="BR66" i="114"/>
  <c r="BR65" i="114"/>
  <c r="BR64" i="114"/>
  <c r="BR63" i="114"/>
  <c r="BR62" i="114"/>
  <c r="BR61" i="114"/>
  <c r="BR60" i="114"/>
  <c r="BR59" i="114"/>
  <c r="BR58" i="114"/>
  <c r="BR57" i="114"/>
  <c r="BR56" i="114"/>
  <c r="BR55" i="114"/>
  <c r="BQ54" i="114"/>
  <c r="BP54" i="114"/>
  <c r="BR52" i="114"/>
  <c r="BR51" i="114"/>
  <c r="BQ50" i="114"/>
  <c r="BP50" i="114"/>
  <c r="BR48" i="114"/>
  <c r="BR47" i="114"/>
  <c r="BR46" i="114"/>
  <c r="BR45" i="114"/>
  <c r="BR44" i="114"/>
  <c r="BR43" i="114"/>
  <c r="BR42" i="114"/>
  <c r="BR41" i="114" s="1"/>
  <c r="BQ41" i="114"/>
  <c r="BP41" i="114"/>
  <c r="BR36" i="114"/>
  <c r="BR35" i="114" s="1"/>
  <c r="BR33" i="114"/>
  <c r="BR32" i="114"/>
  <c r="BR31" i="114"/>
  <c r="BR30" i="114"/>
  <c r="BR29" i="114"/>
  <c r="BR28" i="114"/>
  <c r="BR27" i="114"/>
  <c r="BR26" i="114"/>
  <c r="BR25" i="114"/>
  <c r="BR24" i="114"/>
  <c r="BR23" i="114"/>
  <c r="BR22" i="114"/>
  <c r="BR21" i="114"/>
  <c r="BR20" i="114"/>
  <c r="BR19" i="114"/>
  <c r="BR18" i="114"/>
  <c r="BR17" i="114"/>
  <c r="BR16" i="114"/>
  <c r="BR15" i="114"/>
  <c r="BR14" i="114"/>
  <c r="BR13" i="114"/>
  <c r="BR12" i="114"/>
  <c r="BR11" i="114"/>
  <c r="BR10" i="114"/>
  <c r="BR9" i="114"/>
  <c r="BP8" i="114"/>
  <c r="BR7" i="114"/>
  <c r="BR6" i="114"/>
  <c r="BR5" i="114" s="1"/>
  <c r="BQ5" i="114"/>
  <c r="BP5" i="114"/>
  <c r="BR8" i="114" l="1"/>
  <c r="BR50" i="114"/>
  <c r="L75" i="142"/>
  <c r="L81" i="142" s="1"/>
  <c r="L83" i="142" s="1"/>
  <c r="L84" i="142" s="1"/>
  <c r="L86" i="142" s="1"/>
  <c r="L87" i="142" s="1"/>
  <c r="BP38" i="114"/>
  <c r="BP75" i="114" s="1"/>
  <c r="L76" i="142"/>
  <c r="N89" i="142"/>
  <c r="N38" i="142"/>
  <c r="M75" i="142"/>
  <c r="M39" i="142"/>
  <c r="BR38" i="114"/>
  <c r="BR39" i="114"/>
  <c r="BR54" i="114"/>
  <c r="BR75" i="114" s="1"/>
  <c r="BR73" i="114"/>
  <c r="BP39" i="114"/>
  <c r="BQ8" i="114"/>
  <c r="BR79" i="114" s="1"/>
  <c r="BR89" i="114" l="1"/>
  <c r="BS50" i="114" s="1"/>
  <c r="O8" i="142"/>
  <c r="O77" i="142"/>
  <c r="M81" i="142"/>
  <c r="M83" i="142" s="1"/>
  <c r="M84" i="142" s="1"/>
  <c r="M86" i="142" s="1"/>
  <c r="M87" i="142" s="1"/>
  <c r="M76" i="142"/>
  <c r="O27" i="142"/>
  <c r="O33" i="142"/>
  <c r="O21" i="142"/>
  <c r="O74" i="142"/>
  <c r="O71" i="142"/>
  <c r="O68" i="142"/>
  <c r="O65" i="142"/>
  <c r="O62" i="142"/>
  <c r="O59" i="142"/>
  <c r="O56" i="142"/>
  <c r="O30" i="142"/>
  <c r="O24" i="142"/>
  <c r="O79" i="142"/>
  <c r="O47" i="142"/>
  <c r="O10" i="142"/>
  <c r="O46" i="142"/>
  <c r="O70" i="142"/>
  <c r="O28" i="142"/>
  <c r="O23" i="142"/>
  <c r="O18" i="142"/>
  <c r="O67" i="142"/>
  <c r="O13" i="142"/>
  <c r="O41" i="142"/>
  <c r="O64" i="142"/>
  <c r="O9" i="142"/>
  <c r="O35" i="142"/>
  <c r="O29" i="142"/>
  <c r="O45" i="142"/>
  <c r="O43" i="142"/>
  <c r="O58" i="142"/>
  <c r="O19" i="142"/>
  <c r="O44" i="142"/>
  <c r="O14" i="142"/>
  <c r="O25" i="142"/>
  <c r="O61" i="142"/>
  <c r="O22" i="142"/>
  <c r="O48" i="142"/>
  <c r="O54" i="142"/>
  <c r="O36" i="142"/>
  <c r="O51" i="142"/>
  <c r="O55" i="142"/>
  <c r="O20" i="142"/>
  <c r="O60" i="142"/>
  <c r="O57" i="142"/>
  <c r="O26" i="142"/>
  <c r="O15" i="142"/>
  <c r="O31" i="142"/>
  <c r="O66" i="142"/>
  <c r="O11" i="142"/>
  <c r="O73" i="142"/>
  <c r="O63" i="142"/>
  <c r="O32" i="142"/>
  <c r="O42" i="142"/>
  <c r="O52" i="142"/>
  <c r="O16" i="142"/>
  <c r="O17" i="142"/>
  <c r="O12" i="142"/>
  <c r="O69" i="142"/>
  <c r="N39" i="142"/>
  <c r="N75" i="142"/>
  <c r="O50" i="142"/>
  <c r="BP76" i="114"/>
  <c r="BP81" i="114"/>
  <c r="BP83" i="114" s="1"/>
  <c r="BP84" i="114" s="1"/>
  <c r="BP86" i="114" s="1"/>
  <c r="BP87" i="114" s="1"/>
  <c r="BR77" i="114"/>
  <c r="BR76" i="114"/>
  <c r="BR81" i="114"/>
  <c r="BR83" i="114" s="1"/>
  <c r="BR84" i="114" s="1"/>
  <c r="BR86" i="114" s="1"/>
  <c r="BR87" i="114" s="1"/>
  <c r="BQ38" i="114"/>
  <c r="BS52" i="114" l="1"/>
  <c r="BS44" i="114"/>
  <c r="BS70" i="114"/>
  <c r="BS25" i="114"/>
  <c r="BS9" i="114"/>
  <c r="BS16" i="114"/>
  <c r="BS41" i="114"/>
  <c r="BS73" i="114"/>
  <c r="BS54" i="114"/>
  <c r="BS13" i="114"/>
  <c r="BS32" i="114"/>
  <c r="BS42" i="114"/>
  <c r="BS20" i="114"/>
  <c r="BS43" i="114"/>
  <c r="BS15" i="114"/>
  <c r="BS12" i="114"/>
  <c r="BS47" i="114"/>
  <c r="BS18" i="114"/>
  <c r="BS74" i="114"/>
  <c r="BS8" i="114"/>
  <c r="BS59" i="114"/>
  <c r="BS57" i="114"/>
  <c r="BS67" i="114"/>
  <c r="BS63" i="114"/>
  <c r="BS36" i="114"/>
  <c r="BS30" i="114"/>
  <c r="BS45" i="114"/>
  <c r="BS17" i="114"/>
  <c r="BS22" i="114"/>
  <c r="BS26" i="114"/>
  <c r="BS31" i="114"/>
  <c r="BS48" i="114"/>
  <c r="BS61" i="114"/>
  <c r="BS11" i="114"/>
  <c r="BS21" i="114"/>
  <c r="BS68" i="114"/>
  <c r="BS77" i="114"/>
  <c r="BS33" i="114"/>
  <c r="BS19" i="114"/>
  <c r="BS55" i="114"/>
  <c r="BS51" i="114"/>
  <c r="BS14" i="114"/>
  <c r="BS65" i="114"/>
  <c r="BS23" i="114"/>
  <c r="BS71" i="114"/>
  <c r="BS24" i="114"/>
  <c r="BS27" i="114"/>
  <c r="BS10" i="114"/>
  <c r="BS28" i="114"/>
  <c r="BS64" i="114"/>
  <c r="BS29" i="114"/>
  <c r="BS56" i="114"/>
  <c r="BS60" i="114"/>
  <c r="BS62" i="114"/>
  <c r="BS66" i="114"/>
  <c r="BS69" i="114"/>
  <c r="BS79" i="114"/>
  <c r="BS58" i="114"/>
  <c r="BS35" i="114"/>
  <c r="BS46" i="114"/>
  <c r="N76" i="142"/>
  <c r="N81" i="142"/>
  <c r="N83" i="142" s="1"/>
  <c r="N84" i="142" s="1"/>
  <c r="N86" i="142" s="1"/>
  <c r="N87" i="142" s="1"/>
  <c r="BQ75" i="114"/>
  <c r="BQ39" i="114"/>
  <c r="Z64" i="101"/>
  <c r="O66" i="101"/>
  <c r="C66" i="101" s="1"/>
  <c r="E39" i="101" s="1"/>
  <c r="G37" i="101"/>
  <c r="C65" i="101"/>
  <c r="C56" i="101"/>
  <c r="U64" i="101"/>
  <c r="Z60" i="101"/>
  <c r="C60" i="101" s="1"/>
  <c r="Z63" i="101"/>
  <c r="Z55" i="101"/>
  <c r="Z46" i="101"/>
  <c r="Z58" i="101" l="1"/>
  <c r="BQ81" i="114"/>
  <c r="BQ83" i="114" s="1"/>
  <c r="BQ84" i="114" s="1"/>
  <c r="BQ86" i="114" s="1"/>
  <c r="BQ87" i="114" s="1"/>
  <c r="BQ76" i="114"/>
  <c r="Z45" i="101"/>
  <c r="G36" i="101" l="1"/>
  <c r="Y64" i="101" l="1"/>
  <c r="Y63" i="101" s="1"/>
  <c r="Y61" i="101"/>
  <c r="Y58" i="101" s="1"/>
  <c r="Y46" i="101"/>
  <c r="Y55" i="101"/>
  <c r="K21" i="101"/>
  <c r="M21" i="101" s="1"/>
  <c r="E21" i="101"/>
  <c r="I21" i="101"/>
  <c r="C79" i="176" l="1"/>
  <c r="C79" i="175"/>
  <c r="C79" i="177"/>
  <c r="C79" i="174"/>
  <c r="C79" i="158"/>
  <c r="C79" i="157"/>
  <c r="C79" i="164"/>
  <c r="C79" i="160"/>
  <c r="C79" i="166"/>
  <c r="DI79" i="82"/>
  <c r="Y45" i="101"/>
  <c r="C2" i="101"/>
  <c r="E79" i="177" l="1"/>
  <c r="C77" i="177"/>
  <c r="C81" i="177"/>
  <c r="C83" i="177" s="1"/>
  <c r="C84" i="177" s="1"/>
  <c r="CJ79" i="177"/>
  <c r="R79" i="177"/>
  <c r="E79" i="174"/>
  <c r="C77" i="174"/>
  <c r="C81" i="174"/>
  <c r="C83" i="174" s="1"/>
  <c r="C84" i="174" s="1"/>
  <c r="CJ79" i="174"/>
  <c r="R79" i="174"/>
  <c r="C77" i="157"/>
  <c r="E79" i="157"/>
  <c r="C81" i="157"/>
  <c r="C83" i="157" s="1"/>
  <c r="C84" i="157" s="1"/>
  <c r="E79" i="175"/>
  <c r="C77" i="175"/>
  <c r="C81" i="175"/>
  <c r="C83" i="175" s="1"/>
  <c r="C84" i="175" s="1"/>
  <c r="CJ79" i="175"/>
  <c r="R79" i="175"/>
  <c r="E79" i="158"/>
  <c r="C77" i="158"/>
  <c r="C81" i="158"/>
  <c r="C83" i="158" s="1"/>
  <c r="C84" i="158" s="1"/>
  <c r="CJ79" i="158"/>
  <c r="R79" i="158"/>
  <c r="E79" i="176"/>
  <c r="C77" i="176"/>
  <c r="C81" i="176"/>
  <c r="C83" i="176" s="1"/>
  <c r="C84" i="176" s="1"/>
  <c r="CJ79" i="176"/>
  <c r="R79" i="176"/>
  <c r="C77" i="160"/>
  <c r="E79" i="160"/>
  <c r="CJ79" i="160"/>
  <c r="C81" i="160"/>
  <c r="C83" i="160" s="1"/>
  <c r="C84" i="160" s="1"/>
  <c r="R79" i="160"/>
  <c r="E79" i="164"/>
  <c r="C77" i="164"/>
  <c r="C81" i="164"/>
  <c r="C83" i="164" s="1"/>
  <c r="C84" i="164" s="1"/>
  <c r="CJ79" i="164"/>
  <c r="R79" i="164"/>
  <c r="DI77" i="82"/>
  <c r="DK79" i="82"/>
  <c r="DI81" i="82"/>
  <c r="DI83" i="82" s="1"/>
  <c r="DI84" i="82" s="1"/>
  <c r="DI86" i="82" s="1"/>
  <c r="DI87" i="82" s="1"/>
  <c r="E79" i="166"/>
  <c r="C77" i="166"/>
  <c r="C81" i="166"/>
  <c r="C83" i="166" s="1"/>
  <c r="C84" i="166" s="1"/>
  <c r="R79" i="166"/>
  <c r="CJ79" i="166"/>
  <c r="C86" i="174" l="1"/>
  <c r="C87" i="174" s="1"/>
  <c r="CJ84" i="174"/>
  <c r="CJ86" i="174" s="1"/>
  <c r="CJ87" i="174" s="1"/>
  <c r="CL79" i="176"/>
  <c r="CJ77" i="176"/>
  <c r="CJ81" i="176"/>
  <c r="CJ83" i="176" s="1"/>
  <c r="R77" i="158"/>
  <c r="R81" i="158"/>
  <c r="R83" i="158" s="1"/>
  <c r="R84" i="158" s="1"/>
  <c r="R86" i="158" s="1"/>
  <c r="T79" i="158"/>
  <c r="E77" i="158"/>
  <c r="E89" i="158"/>
  <c r="E81" i="158"/>
  <c r="E83" i="158" s="1"/>
  <c r="E84" i="158" s="1"/>
  <c r="E86" i="158" s="1"/>
  <c r="E87" i="158" s="1"/>
  <c r="C86" i="177"/>
  <c r="C87" i="177" s="1"/>
  <c r="CJ84" i="177"/>
  <c r="CJ86" i="177" s="1"/>
  <c r="CJ87" i="177" s="1"/>
  <c r="C86" i="175"/>
  <c r="C87" i="175" s="1"/>
  <c r="CJ84" i="175"/>
  <c r="CJ86" i="175" s="1"/>
  <c r="CJ87" i="175" s="1"/>
  <c r="CQ79" i="177"/>
  <c r="CL79" i="177"/>
  <c r="CJ81" i="177"/>
  <c r="CJ83" i="177" s="1"/>
  <c r="CJ77" i="177"/>
  <c r="C86" i="176"/>
  <c r="C87" i="176" s="1"/>
  <c r="CJ84" i="176"/>
  <c r="CJ86" i="176" s="1"/>
  <c r="CJ87" i="176" s="1"/>
  <c r="CL79" i="158"/>
  <c r="CJ77" i="158"/>
  <c r="CJ81" i="158"/>
  <c r="CJ83" i="158" s="1"/>
  <c r="R81" i="175"/>
  <c r="R83" i="175" s="1"/>
  <c r="R84" i="175" s="1"/>
  <c r="R86" i="175" s="1"/>
  <c r="T79" i="175"/>
  <c r="R77" i="175"/>
  <c r="E81" i="175"/>
  <c r="E83" i="175" s="1"/>
  <c r="E84" i="175" s="1"/>
  <c r="E86" i="175" s="1"/>
  <c r="E87" i="175" s="1"/>
  <c r="E77" i="175"/>
  <c r="E89" i="175"/>
  <c r="T79" i="174"/>
  <c r="R77" i="174"/>
  <c r="R81" i="174"/>
  <c r="R83" i="174" s="1"/>
  <c r="R84" i="174" s="1"/>
  <c r="R86" i="174" s="1"/>
  <c r="E77" i="174"/>
  <c r="E89" i="174"/>
  <c r="E81" i="174"/>
  <c r="E83" i="174" s="1"/>
  <c r="E84" i="174" s="1"/>
  <c r="E86" i="174" s="1"/>
  <c r="E87" i="174" s="1"/>
  <c r="T79" i="176"/>
  <c r="R77" i="176"/>
  <c r="R81" i="176"/>
  <c r="R83" i="176" s="1"/>
  <c r="R84" i="176" s="1"/>
  <c r="R86" i="176" s="1"/>
  <c r="E77" i="176"/>
  <c r="E89" i="176"/>
  <c r="E81" i="176"/>
  <c r="E83" i="176" s="1"/>
  <c r="E84" i="176" s="1"/>
  <c r="E86" i="176" s="1"/>
  <c r="E87" i="176" s="1"/>
  <c r="E77" i="157"/>
  <c r="E89" i="157"/>
  <c r="E81" i="157"/>
  <c r="E83" i="157" s="1"/>
  <c r="E84" i="157" s="1"/>
  <c r="E86" i="157" s="1"/>
  <c r="E87" i="157" s="1"/>
  <c r="C86" i="158"/>
  <c r="C87" i="158" s="1"/>
  <c r="CJ84" i="158"/>
  <c r="CJ86" i="158" s="1"/>
  <c r="CJ87" i="158" s="1"/>
  <c r="CJ81" i="175"/>
  <c r="CJ83" i="175" s="1"/>
  <c r="CJ77" i="175"/>
  <c r="CL79" i="175"/>
  <c r="C86" i="157"/>
  <c r="C87" i="157" s="1"/>
  <c r="CJ84" i="157"/>
  <c r="CJ86" i="157" s="1"/>
  <c r="CJ87" i="157" s="1"/>
  <c r="CJ81" i="174"/>
  <c r="CJ83" i="174" s="1"/>
  <c r="CL79" i="174"/>
  <c r="CJ77" i="174"/>
  <c r="T79" i="177"/>
  <c r="R77" i="177"/>
  <c r="R81" i="177"/>
  <c r="R83" i="177" s="1"/>
  <c r="R84" i="177" s="1"/>
  <c r="R86" i="177" s="1"/>
  <c r="E77" i="177"/>
  <c r="E89" i="177"/>
  <c r="E81" i="177"/>
  <c r="E83" i="177" s="1"/>
  <c r="E84" i="177" s="1"/>
  <c r="E86" i="177" s="1"/>
  <c r="E87" i="177" s="1"/>
  <c r="E77" i="164"/>
  <c r="E89" i="164"/>
  <c r="E81" i="164"/>
  <c r="E83" i="164" s="1"/>
  <c r="E84" i="164" s="1"/>
  <c r="E86" i="164" s="1"/>
  <c r="E87" i="164" s="1"/>
  <c r="T79" i="160"/>
  <c r="R77" i="160"/>
  <c r="R81" i="160"/>
  <c r="R83" i="160" s="1"/>
  <c r="R84" i="160" s="1"/>
  <c r="R86" i="160" s="1"/>
  <c r="R77" i="164"/>
  <c r="T79" i="164"/>
  <c r="R81" i="164"/>
  <c r="R83" i="164" s="1"/>
  <c r="R84" i="164" s="1"/>
  <c r="R86" i="164" s="1"/>
  <c r="CJ84" i="160"/>
  <c r="CJ86" i="160" s="1"/>
  <c r="CJ87" i="160" s="1"/>
  <c r="C86" i="160"/>
  <c r="C87" i="160" s="1"/>
  <c r="CQ79" i="164"/>
  <c r="CJ81" i="164"/>
  <c r="CJ83" i="164" s="1"/>
  <c r="CL79" i="164"/>
  <c r="CJ77" i="164"/>
  <c r="CL79" i="160"/>
  <c r="CJ77" i="160"/>
  <c r="CJ81" i="160"/>
  <c r="CJ83" i="160" s="1"/>
  <c r="C86" i="164"/>
  <c r="C87" i="164" s="1"/>
  <c r="CJ84" i="164"/>
  <c r="CJ86" i="164" s="1"/>
  <c r="CJ87" i="164" s="1"/>
  <c r="E77" i="160"/>
  <c r="E89" i="160"/>
  <c r="E81" i="160"/>
  <c r="E83" i="160" s="1"/>
  <c r="E84" i="160" s="1"/>
  <c r="E86" i="160" s="1"/>
  <c r="E87" i="160" s="1"/>
  <c r="DK77" i="82"/>
  <c r="DK89" i="82"/>
  <c r="DK91" i="82" s="1"/>
  <c r="DK81" i="82"/>
  <c r="DK83" i="82" s="1"/>
  <c r="DK84" i="82" s="1"/>
  <c r="DK86" i="82" s="1"/>
  <c r="CJ77" i="166"/>
  <c r="CL79" i="166"/>
  <c r="CJ81" i="166"/>
  <c r="CJ83" i="166" s="1"/>
  <c r="T79" i="166"/>
  <c r="R77" i="166"/>
  <c r="R81" i="166"/>
  <c r="R83" i="166" s="1"/>
  <c r="R84" i="166" s="1"/>
  <c r="R86" i="166" s="1"/>
  <c r="C86" i="166"/>
  <c r="C87" i="166" s="1"/>
  <c r="CJ84" i="166"/>
  <c r="CJ86" i="166" s="1"/>
  <c r="CJ87" i="166" s="1"/>
  <c r="E77" i="166"/>
  <c r="E89" i="166"/>
  <c r="E81" i="166"/>
  <c r="E83" i="166" s="1"/>
  <c r="E84" i="166" s="1"/>
  <c r="E86" i="166" s="1"/>
  <c r="E87" i="166" s="1"/>
  <c r="F55" i="177" l="1"/>
  <c r="F56" i="177"/>
  <c r="F22" i="177"/>
  <c r="F41" i="177"/>
  <c r="F28" i="177"/>
  <c r="F26" i="177"/>
  <c r="F43" i="177"/>
  <c r="F13" i="177"/>
  <c r="F65" i="177"/>
  <c r="F66" i="177"/>
  <c r="F71" i="177"/>
  <c r="P54" i="177"/>
  <c r="F36" i="177"/>
  <c r="F23" i="177"/>
  <c r="F17" i="177"/>
  <c r="F15" i="177"/>
  <c r="F46" i="177"/>
  <c r="K8" i="177"/>
  <c r="F61" i="177"/>
  <c r="F18" i="177"/>
  <c r="F64" i="177"/>
  <c r="F11" i="177"/>
  <c r="F70" i="177"/>
  <c r="P41" i="177"/>
  <c r="F69" i="177"/>
  <c r="F12" i="177"/>
  <c r="F59" i="177"/>
  <c r="F51" i="177"/>
  <c r="F24" i="177"/>
  <c r="F53" i="177"/>
  <c r="F62" i="177"/>
  <c r="F14" i="177"/>
  <c r="F54" i="177"/>
  <c r="F25" i="177"/>
  <c r="F19" i="177"/>
  <c r="F63" i="177"/>
  <c r="F8" i="177"/>
  <c r="F48" i="177"/>
  <c r="F60" i="177"/>
  <c r="P8" i="177"/>
  <c r="F21" i="177"/>
  <c r="K54" i="177"/>
  <c r="F20" i="177"/>
  <c r="F45" i="177"/>
  <c r="K50" i="177"/>
  <c r="F44" i="177"/>
  <c r="F16" i="177"/>
  <c r="P50" i="177"/>
  <c r="F42" i="177"/>
  <c r="F10" i="177"/>
  <c r="F58" i="177"/>
  <c r="F52" i="177"/>
  <c r="F50" i="177"/>
  <c r="F30" i="177"/>
  <c r="F27" i="177"/>
  <c r="F47" i="177"/>
  <c r="F31" i="177"/>
  <c r="F33" i="177"/>
  <c r="F9" i="177"/>
  <c r="K41" i="177"/>
  <c r="F32" i="177"/>
  <c r="F57" i="177"/>
  <c r="F67" i="177"/>
  <c r="K53" i="177"/>
  <c r="F29" i="177"/>
  <c r="F68" i="177"/>
  <c r="T77" i="177"/>
  <c r="T89" i="177"/>
  <c r="T90" i="177" s="1"/>
  <c r="T81" i="177"/>
  <c r="T83" i="177" s="1"/>
  <c r="T84" i="177" s="1"/>
  <c r="T86" i="177" s="1"/>
  <c r="F41" i="157"/>
  <c r="P41" i="157"/>
  <c r="P8" i="157"/>
  <c r="F8" i="157"/>
  <c r="P54" i="157"/>
  <c r="K50" i="157"/>
  <c r="K54" i="157"/>
  <c r="K53" i="157"/>
  <c r="F58" i="157"/>
  <c r="F55" i="157"/>
  <c r="F42" i="157"/>
  <c r="F26" i="157"/>
  <c r="F10" i="157"/>
  <c r="F52" i="157"/>
  <c r="F13" i="157"/>
  <c r="F27" i="157"/>
  <c r="F30" i="157"/>
  <c r="F66" i="157"/>
  <c r="F69" i="157"/>
  <c r="F17" i="157"/>
  <c r="F18" i="157"/>
  <c r="F33" i="157"/>
  <c r="F63" i="157"/>
  <c r="F67" i="157"/>
  <c r="F53" i="157"/>
  <c r="F36" i="157"/>
  <c r="F23" i="157"/>
  <c r="F9" i="157"/>
  <c r="K8" i="157"/>
  <c r="F28" i="157"/>
  <c r="F65" i="157"/>
  <c r="F44" i="157"/>
  <c r="F29" i="157"/>
  <c r="F25" i="157"/>
  <c r="F50" i="157"/>
  <c r="F46" i="157"/>
  <c r="F70" i="157"/>
  <c r="F47" i="157"/>
  <c r="F51" i="157"/>
  <c r="F16" i="157"/>
  <c r="F12" i="157"/>
  <c r="F20" i="157"/>
  <c r="F19" i="157"/>
  <c r="F60" i="157"/>
  <c r="F15" i="157"/>
  <c r="F62" i="157"/>
  <c r="P50" i="157"/>
  <c r="F59" i="157"/>
  <c r="F32" i="157"/>
  <c r="F56" i="157"/>
  <c r="F54" i="157"/>
  <c r="F64" i="157"/>
  <c r="F61" i="157"/>
  <c r="F45" i="157"/>
  <c r="F31" i="157"/>
  <c r="F11" i="157"/>
  <c r="F14" i="157"/>
  <c r="F22" i="157"/>
  <c r="F21" i="157"/>
  <c r="F57" i="157"/>
  <c r="F43" i="157"/>
  <c r="F48" i="157"/>
  <c r="F68" i="157"/>
  <c r="F24" i="157"/>
  <c r="F71" i="157"/>
  <c r="K41" i="157"/>
  <c r="CQ81" i="177"/>
  <c r="CQ83" i="177" s="1"/>
  <c r="CQ84" i="177" s="1"/>
  <c r="CQ86" i="177" s="1"/>
  <c r="CR79" i="177"/>
  <c r="CR81" i="177" s="1"/>
  <c r="CR83" i="177" s="1"/>
  <c r="CR84" i="177" s="1"/>
  <c r="CQ77" i="177"/>
  <c r="T89" i="158"/>
  <c r="T90" i="158" s="1"/>
  <c r="T81" i="158"/>
  <c r="T83" i="158" s="1"/>
  <c r="T84" i="158" s="1"/>
  <c r="T86" i="158" s="1"/>
  <c r="T77" i="158"/>
  <c r="P54" i="174"/>
  <c r="F8" i="174"/>
  <c r="F66" i="174"/>
  <c r="F59" i="174"/>
  <c r="F64" i="174"/>
  <c r="F53" i="174"/>
  <c r="F65" i="174"/>
  <c r="P41" i="174"/>
  <c r="F26" i="174"/>
  <c r="F52" i="174"/>
  <c r="F15" i="174"/>
  <c r="F13" i="174"/>
  <c r="F47" i="174"/>
  <c r="F41" i="174"/>
  <c r="F45" i="174"/>
  <c r="F14" i="174"/>
  <c r="F69" i="174"/>
  <c r="F70" i="174"/>
  <c r="F57" i="174"/>
  <c r="F58" i="174"/>
  <c r="F36" i="174"/>
  <c r="F68" i="174"/>
  <c r="F25" i="174"/>
  <c r="F51" i="174"/>
  <c r="F22" i="174"/>
  <c r="F42" i="174"/>
  <c r="F19" i="174"/>
  <c r="F56" i="174"/>
  <c r="F31" i="174"/>
  <c r="F46" i="174"/>
  <c r="F32" i="174"/>
  <c r="F50" i="174"/>
  <c r="F71" i="174"/>
  <c r="K53" i="174"/>
  <c r="F11" i="174"/>
  <c r="F20" i="174"/>
  <c r="F30" i="174"/>
  <c r="F48" i="174"/>
  <c r="P8" i="174"/>
  <c r="F17" i="174"/>
  <c r="F63" i="174"/>
  <c r="F62" i="174"/>
  <c r="F9" i="174"/>
  <c r="F27" i="174"/>
  <c r="F28" i="174"/>
  <c r="K50" i="174"/>
  <c r="F23" i="174"/>
  <c r="F44" i="174"/>
  <c r="F67" i="174"/>
  <c r="F55" i="174"/>
  <c r="F24" i="174"/>
  <c r="F33" i="174"/>
  <c r="F29" i="174"/>
  <c r="F21" i="174"/>
  <c r="F18" i="174"/>
  <c r="P50" i="174"/>
  <c r="F61" i="174"/>
  <c r="F60" i="174"/>
  <c r="F10" i="174"/>
  <c r="F43" i="174"/>
  <c r="F16" i="174"/>
  <c r="K41" i="174"/>
  <c r="F12" i="174"/>
  <c r="F54" i="174"/>
  <c r="K8" i="174"/>
  <c r="K54" i="174"/>
  <c r="T77" i="174"/>
  <c r="T89" i="174"/>
  <c r="T90" i="174" s="1"/>
  <c r="T81" i="174"/>
  <c r="T83" i="174" s="1"/>
  <c r="T84" i="174" s="1"/>
  <c r="T86" i="174" s="1"/>
  <c r="CL89" i="176"/>
  <c r="CL90" i="176" s="1"/>
  <c r="CQ79" i="176"/>
  <c r="CL77" i="176"/>
  <c r="CL81" i="176"/>
  <c r="CL83" i="176" s="1"/>
  <c r="CL84" i="176" s="1"/>
  <c r="CL86" i="176" s="1"/>
  <c r="CL87" i="176" s="1"/>
  <c r="CL81" i="174"/>
  <c r="CL83" i="174" s="1"/>
  <c r="CL84" i="174" s="1"/>
  <c r="CL86" i="174" s="1"/>
  <c r="CL87" i="174" s="1"/>
  <c r="CQ79" i="174"/>
  <c r="CL77" i="174"/>
  <c r="CL89" i="174"/>
  <c r="CL89" i="175"/>
  <c r="CQ79" i="175"/>
  <c r="CL77" i="175"/>
  <c r="CL81" i="175"/>
  <c r="CL83" i="175" s="1"/>
  <c r="CL84" i="175" s="1"/>
  <c r="CL86" i="175" s="1"/>
  <c r="CL87" i="175" s="1"/>
  <c r="K8" i="175"/>
  <c r="P50" i="175"/>
  <c r="F64" i="175"/>
  <c r="F63" i="175"/>
  <c r="F66" i="175"/>
  <c r="F31" i="175"/>
  <c r="F48" i="175"/>
  <c r="F67" i="175"/>
  <c r="F16" i="175"/>
  <c r="F23" i="175"/>
  <c r="F11" i="175"/>
  <c r="F21" i="175"/>
  <c r="P41" i="175"/>
  <c r="F68" i="175"/>
  <c r="K54" i="175"/>
  <c r="F70" i="175"/>
  <c r="F71" i="175"/>
  <c r="F41" i="175"/>
  <c r="F62" i="175"/>
  <c r="F61" i="175"/>
  <c r="F51" i="175"/>
  <c r="F29" i="175"/>
  <c r="F47" i="175"/>
  <c r="F30" i="175"/>
  <c r="F13" i="175"/>
  <c r="F33" i="175"/>
  <c r="F17" i="175"/>
  <c r="F18" i="175"/>
  <c r="F32" i="175"/>
  <c r="F56" i="175"/>
  <c r="F50" i="175"/>
  <c r="F54" i="175"/>
  <c r="F8" i="175"/>
  <c r="F58" i="175"/>
  <c r="F60" i="175"/>
  <c r="F44" i="175"/>
  <c r="F46" i="175"/>
  <c r="F27" i="175"/>
  <c r="F36" i="175"/>
  <c r="F28" i="175"/>
  <c r="P54" i="175"/>
  <c r="F24" i="175"/>
  <c r="F14" i="175"/>
  <c r="F45" i="175"/>
  <c r="F12" i="175"/>
  <c r="P8" i="175"/>
  <c r="F59" i="175"/>
  <c r="F26" i="175"/>
  <c r="F22" i="175"/>
  <c r="F69" i="175"/>
  <c r="F53" i="175"/>
  <c r="K53" i="175"/>
  <c r="F42" i="175"/>
  <c r="K41" i="175"/>
  <c r="F52" i="175"/>
  <c r="F25" i="175"/>
  <c r="F19" i="175"/>
  <c r="F43" i="175"/>
  <c r="F20" i="175"/>
  <c r="F65" i="175"/>
  <c r="F15" i="175"/>
  <c r="F57" i="175"/>
  <c r="F10" i="175"/>
  <c r="F55" i="175"/>
  <c r="F9" i="175"/>
  <c r="K50" i="175"/>
  <c r="CL90" i="175"/>
  <c r="T77" i="175"/>
  <c r="T89" i="175"/>
  <c r="T90" i="175" s="1"/>
  <c r="T81" i="175"/>
  <c r="T83" i="175" s="1"/>
  <c r="T84" i="175" s="1"/>
  <c r="T86" i="175" s="1"/>
  <c r="CL77" i="158"/>
  <c r="CL89" i="158"/>
  <c r="CL81" i="158"/>
  <c r="CL83" i="158" s="1"/>
  <c r="CL84" i="158" s="1"/>
  <c r="CL86" i="158" s="1"/>
  <c r="CL87" i="158" s="1"/>
  <c r="F66" i="158"/>
  <c r="F71" i="158"/>
  <c r="F61" i="158"/>
  <c r="F56" i="158"/>
  <c r="F42" i="158"/>
  <c r="F57" i="158"/>
  <c r="F14" i="158"/>
  <c r="F23" i="158"/>
  <c r="F29" i="158"/>
  <c r="F13" i="158"/>
  <c r="F10" i="158"/>
  <c r="F8" i="158"/>
  <c r="P8" i="158"/>
  <c r="F48" i="158"/>
  <c r="F21" i="158"/>
  <c r="F64" i="158"/>
  <c r="F67" i="158"/>
  <c r="F58" i="158"/>
  <c r="F55" i="158"/>
  <c r="F69" i="158"/>
  <c r="F30" i="158"/>
  <c r="K41" i="158"/>
  <c r="F52" i="158"/>
  <c r="F18" i="158"/>
  <c r="F36" i="158"/>
  <c r="F31" i="158"/>
  <c r="F9" i="158"/>
  <c r="F12" i="158"/>
  <c r="F24" i="158"/>
  <c r="F54" i="158"/>
  <c r="F50" i="158"/>
  <c r="F41" i="158"/>
  <c r="F63" i="158"/>
  <c r="F68" i="158"/>
  <c r="F70" i="158"/>
  <c r="K53" i="158"/>
  <c r="F53" i="158"/>
  <c r="F27" i="158"/>
  <c r="F19" i="158"/>
  <c r="F26" i="158"/>
  <c r="F11" i="158"/>
  <c r="F43" i="158"/>
  <c r="F32" i="158"/>
  <c r="F15" i="158"/>
  <c r="F45" i="158"/>
  <c r="F47" i="158"/>
  <c r="F44" i="158"/>
  <c r="P50" i="158"/>
  <c r="K54" i="158"/>
  <c r="P41" i="158"/>
  <c r="P54" i="158"/>
  <c r="F62" i="158"/>
  <c r="F65" i="158"/>
  <c r="F59" i="158"/>
  <c r="F51" i="158"/>
  <c r="F60" i="158"/>
  <c r="F20" i="158"/>
  <c r="F28" i="158"/>
  <c r="F16" i="158"/>
  <c r="F22" i="158"/>
  <c r="F17" i="158"/>
  <c r="F33" i="158"/>
  <c r="F25" i="158"/>
  <c r="K50" i="158"/>
  <c r="F46" i="158"/>
  <c r="K8" i="158"/>
  <c r="P54" i="176"/>
  <c r="K54" i="176"/>
  <c r="P41" i="176"/>
  <c r="P8" i="176"/>
  <c r="K41" i="176"/>
  <c r="K53" i="176"/>
  <c r="F46" i="176"/>
  <c r="F51" i="176"/>
  <c r="F19" i="176"/>
  <c r="F67" i="176"/>
  <c r="F29" i="176"/>
  <c r="F30" i="176"/>
  <c r="F36" i="176"/>
  <c r="F41" i="176"/>
  <c r="F17" i="176"/>
  <c r="F66" i="176"/>
  <c r="F57" i="176"/>
  <c r="F56" i="176"/>
  <c r="F32" i="176"/>
  <c r="F54" i="176"/>
  <c r="P50" i="176"/>
  <c r="F28" i="176"/>
  <c r="F43" i="176"/>
  <c r="F48" i="176"/>
  <c r="F45" i="176"/>
  <c r="F27" i="176"/>
  <c r="F26" i="176"/>
  <c r="F22" i="176"/>
  <c r="F62" i="176"/>
  <c r="F11" i="176"/>
  <c r="F58" i="176"/>
  <c r="F63" i="176"/>
  <c r="F14" i="176"/>
  <c r="F65" i="176"/>
  <c r="F68" i="176"/>
  <c r="F64" i="176"/>
  <c r="F61" i="176"/>
  <c r="F50" i="176"/>
  <c r="F47" i="176"/>
  <c r="F44" i="176"/>
  <c r="F60" i="176"/>
  <c r="F21" i="176"/>
  <c r="K8" i="176"/>
  <c r="F59" i="176"/>
  <c r="F31" i="176"/>
  <c r="F16" i="176"/>
  <c r="F70" i="176"/>
  <c r="F23" i="176"/>
  <c r="F12" i="176"/>
  <c r="F15" i="176"/>
  <c r="K50" i="176"/>
  <c r="F53" i="176"/>
  <c r="F52" i="176"/>
  <c r="F25" i="176"/>
  <c r="F42" i="176"/>
  <c r="F71" i="176"/>
  <c r="F10" i="176"/>
  <c r="F20" i="176"/>
  <c r="F13" i="176"/>
  <c r="F69" i="176"/>
  <c r="F55" i="176"/>
  <c r="F9" i="176"/>
  <c r="F18" i="176"/>
  <c r="F33" i="176"/>
  <c r="F24" i="176"/>
  <c r="F8" i="176"/>
  <c r="T90" i="176"/>
  <c r="T89" i="176"/>
  <c r="T81" i="176"/>
  <c r="T83" i="176" s="1"/>
  <c r="T84" i="176" s="1"/>
  <c r="T86" i="176" s="1"/>
  <c r="T77" i="176"/>
  <c r="CL81" i="177"/>
  <c r="CL83" i="177" s="1"/>
  <c r="CL84" i="177" s="1"/>
  <c r="CL86" i="177" s="1"/>
  <c r="CL87" i="177" s="1"/>
  <c r="CL77" i="177"/>
  <c r="CL89" i="177"/>
  <c r="T77" i="164"/>
  <c r="T89" i="164"/>
  <c r="T90" i="164" s="1"/>
  <c r="T81" i="164"/>
  <c r="T83" i="164" s="1"/>
  <c r="T84" i="164" s="1"/>
  <c r="T86" i="164" s="1"/>
  <c r="P54" i="164"/>
  <c r="F8" i="164"/>
  <c r="F68" i="164"/>
  <c r="F63" i="164"/>
  <c r="F44" i="164"/>
  <c r="F23" i="164"/>
  <c r="F33" i="164"/>
  <c r="F25" i="164"/>
  <c r="K50" i="164"/>
  <c r="F17" i="164"/>
  <c r="F10" i="164"/>
  <c r="F16" i="164"/>
  <c r="K54" i="164"/>
  <c r="F64" i="164"/>
  <c r="F58" i="164"/>
  <c r="F71" i="164"/>
  <c r="K41" i="164"/>
  <c r="F32" i="164"/>
  <c r="F27" i="164"/>
  <c r="F51" i="164"/>
  <c r="F15" i="164"/>
  <c r="F22" i="164"/>
  <c r="P50" i="164"/>
  <c r="F50" i="164"/>
  <c r="F62" i="164"/>
  <c r="F61" i="164"/>
  <c r="F65" i="164"/>
  <c r="F67" i="164"/>
  <c r="F26" i="164"/>
  <c r="F11" i="164"/>
  <c r="F45" i="164"/>
  <c r="F13" i="164"/>
  <c r="F36" i="164"/>
  <c r="F69" i="164"/>
  <c r="K53" i="164"/>
  <c r="F53" i="164"/>
  <c r="F70" i="164"/>
  <c r="F46" i="164"/>
  <c r="F29" i="164"/>
  <c r="F9" i="164"/>
  <c r="F31" i="164"/>
  <c r="F19" i="164"/>
  <c r="F18" i="164"/>
  <c r="F56" i="164"/>
  <c r="F55" i="164"/>
  <c r="F66" i="164"/>
  <c r="F42" i="164"/>
  <c r="F21" i="164"/>
  <c r="F57" i="164"/>
  <c r="P8" i="164"/>
  <c r="K8" i="164"/>
  <c r="F41" i="164"/>
  <c r="F28" i="164"/>
  <c r="F20" i="164"/>
  <c r="F52" i="164"/>
  <c r="F60" i="164"/>
  <c r="F14" i="164"/>
  <c r="F48" i="164"/>
  <c r="F43" i="164"/>
  <c r="F54" i="164"/>
  <c r="P41" i="164"/>
  <c r="F30" i="164"/>
  <c r="F12" i="164"/>
  <c r="F47" i="164"/>
  <c r="F24" i="164"/>
  <c r="F59" i="164"/>
  <c r="CL77" i="160"/>
  <c r="CL89" i="160"/>
  <c r="CL90" i="160" s="1"/>
  <c r="CL81" i="160"/>
  <c r="CL83" i="160" s="1"/>
  <c r="CL84" i="160" s="1"/>
  <c r="CL86" i="160" s="1"/>
  <c r="CL87" i="160" s="1"/>
  <c r="CQ77" i="164"/>
  <c r="CR79" i="164"/>
  <c r="CR81" i="164" s="1"/>
  <c r="CR83" i="164" s="1"/>
  <c r="CR84" i="164" s="1"/>
  <c r="CQ81" i="164"/>
  <c r="CQ83" i="164" s="1"/>
  <c r="CQ84" i="164" s="1"/>
  <c r="CQ86" i="164" s="1"/>
  <c r="CL77" i="164"/>
  <c r="CL89" i="164"/>
  <c r="CL81" i="164"/>
  <c r="CL83" i="164" s="1"/>
  <c r="CL84" i="164" s="1"/>
  <c r="CL86" i="164" s="1"/>
  <c r="CL87" i="164" s="1"/>
  <c r="F68" i="160"/>
  <c r="F56" i="160"/>
  <c r="F21" i="160"/>
  <c r="F13" i="160"/>
  <c r="F25" i="160"/>
  <c r="F61" i="160"/>
  <c r="F8" i="160"/>
  <c r="P8" i="160"/>
  <c r="F51" i="160"/>
  <c r="F64" i="160"/>
  <c r="F71" i="160"/>
  <c r="F55" i="160"/>
  <c r="F20" i="160"/>
  <c r="F33" i="160"/>
  <c r="F24" i="160"/>
  <c r="F63" i="160"/>
  <c r="K41" i="160"/>
  <c r="F11" i="160"/>
  <c r="F62" i="160"/>
  <c r="F26" i="160"/>
  <c r="F66" i="160"/>
  <c r="F53" i="160"/>
  <c r="F17" i="160"/>
  <c r="F30" i="160"/>
  <c r="F23" i="160"/>
  <c r="F31" i="160"/>
  <c r="F48" i="160"/>
  <c r="F18" i="160"/>
  <c r="F10" i="160"/>
  <c r="F59" i="160"/>
  <c r="P54" i="160"/>
  <c r="K53" i="160"/>
  <c r="F58" i="160"/>
  <c r="F16" i="160"/>
  <c r="F29" i="160"/>
  <c r="F9" i="160"/>
  <c r="F45" i="160"/>
  <c r="F36" i="160"/>
  <c r="F46" i="160"/>
  <c r="F19" i="160"/>
  <c r="F27" i="160"/>
  <c r="K54" i="160"/>
  <c r="F67" i="160"/>
  <c r="F57" i="160"/>
  <c r="F22" i="160"/>
  <c r="F14" i="160"/>
  <c r="F32" i="160"/>
  <c r="K8" i="160"/>
  <c r="F42" i="160"/>
  <c r="F65" i="160"/>
  <c r="P41" i="160"/>
  <c r="K50" i="160"/>
  <c r="F28" i="160"/>
  <c r="F47" i="160"/>
  <c r="F12" i="160"/>
  <c r="F50" i="160"/>
  <c r="F41" i="160"/>
  <c r="F70" i="160"/>
  <c r="F44" i="160"/>
  <c r="P50" i="160"/>
  <c r="F43" i="160"/>
  <c r="F69" i="160"/>
  <c r="F54" i="160"/>
  <c r="F15" i="160"/>
  <c r="F60" i="160"/>
  <c r="F52" i="160"/>
  <c r="T77" i="160"/>
  <c r="T89" i="160"/>
  <c r="T90" i="160" s="1"/>
  <c r="T81" i="160"/>
  <c r="T83" i="160" s="1"/>
  <c r="T84" i="160" s="1"/>
  <c r="T86" i="160" s="1"/>
  <c r="DK87" i="82"/>
  <c r="F41" i="166"/>
  <c r="F8" i="166"/>
  <c r="K8" i="166"/>
  <c r="F62" i="166"/>
  <c r="F56" i="166"/>
  <c r="F68" i="166"/>
  <c r="F43" i="166"/>
  <c r="F16" i="166"/>
  <c r="F12" i="166"/>
  <c r="F46" i="166"/>
  <c r="F23" i="166"/>
  <c r="K41" i="166"/>
  <c r="F71" i="166"/>
  <c r="F61" i="166"/>
  <c r="F55" i="166"/>
  <c r="F67" i="166"/>
  <c r="F26" i="166"/>
  <c r="F15" i="166"/>
  <c r="F9" i="166"/>
  <c r="F45" i="166"/>
  <c r="F25" i="166"/>
  <c r="P41" i="166"/>
  <c r="F30" i="166"/>
  <c r="F66" i="166"/>
  <c r="F60" i="166"/>
  <c r="F53" i="166"/>
  <c r="K53" i="166"/>
  <c r="F22" i="166"/>
  <c r="F47" i="166"/>
  <c r="F10" i="166"/>
  <c r="F42" i="166"/>
  <c r="F28" i="166"/>
  <c r="F50" i="166"/>
  <c r="F65" i="166"/>
  <c r="F59" i="166"/>
  <c r="F44" i="166"/>
  <c r="P50" i="166"/>
  <c r="F19" i="166"/>
  <c r="F14" i="166"/>
  <c r="F52" i="166"/>
  <c r="F24" i="166"/>
  <c r="F32" i="166"/>
  <c r="F70" i="166"/>
  <c r="F64" i="166"/>
  <c r="F58" i="166"/>
  <c r="F51" i="166"/>
  <c r="F20" i="166"/>
  <c r="F18" i="166"/>
  <c r="K50" i="166"/>
  <c r="F27" i="166"/>
  <c r="F33" i="166"/>
  <c r="F36" i="166"/>
  <c r="P54" i="166"/>
  <c r="F69" i="166"/>
  <c r="F48" i="166"/>
  <c r="F21" i="166"/>
  <c r="F11" i="166"/>
  <c r="F17" i="166"/>
  <c r="F13" i="166"/>
  <c r="F63" i="166"/>
  <c r="F29" i="166"/>
  <c r="P8" i="166"/>
  <c r="F57" i="166"/>
  <c r="F31" i="166"/>
  <c r="K54" i="166"/>
  <c r="F54" i="166"/>
  <c r="T77" i="166"/>
  <c r="T89" i="166"/>
  <c r="T90" i="166" s="1"/>
  <c r="T81" i="166"/>
  <c r="T83" i="166" s="1"/>
  <c r="T84" i="166" s="1"/>
  <c r="T86" i="166" s="1"/>
  <c r="CL77" i="166"/>
  <c r="CL89" i="166"/>
  <c r="CL81" i="166"/>
  <c r="CL83" i="166" s="1"/>
  <c r="CL84" i="166" s="1"/>
  <c r="CL86" i="166" s="1"/>
  <c r="CL87" i="166" s="1"/>
  <c r="CL90" i="177" l="1"/>
  <c r="CM72" i="177"/>
  <c r="CM68" i="177"/>
  <c r="CM29" i="177"/>
  <c r="CM59" i="177"/>
  <c r="CM57" i="177"/>
  <c r="CM43" i="177"/>
  <c r="CM55" i="177"/>
  <c r="CM64" i="177"/>
  <c r="CM16" i="177"/>
  <c r="CM45" i="177"/>
  <c r="CM31" i="177"/>
  <c r="CM69" i="177"/>
  <c r="CM63" i="177"/>
  <c r="CM54" i="177"/>
  <c r="CM49" i="177"/>
  <c r="CM18" i="177"/>
  <c r="CM71" i="177"/>
  <c r="CM67" i="177"/>
  <c r="CM70" i="177"/>
  <c r="CM46" i="177"/>
  <c r="CM60" i="177"/>
  <c r="CM19" i="177"/>
  <c r="CM25" i="177"/>
  <c r="CM23" i="177"/>
  <c r="CM20" i="177"/>
  <c r="CM58" i="177"/>
  <c r="CM10" i="177"/>
  <c r="CM41" i="177"/>
  <c r="CM32" i="177"/>
  <c r="CM21" i="177"/>
  <c r="CM28" i="177"/>
  <c r="CM9" i="177"/>
  <c r="CM61" i="177"/>
  <c r="CM14" i="177"/>
  <c r="CM47" i="177"/>
  <c r="CM66" i="177"/>
  <c r="CM33" i="177"/>
  <c r="CM51" i="177"/>
  <c r="CM15" i="177"/>
  <c r="CM36" i="177"/>
  <c r="CM17" i="177"/>
  <c r="CM52" i="177"/>
  <c r="CM26" i="177"/>
  <c r="CM11" i="177"/>
  <c r="CM27" i="177"/>
  <c r="CM13" i="177"/>
  <c r="CM30" i="177"/>
  <c r="CM22" i="177"/>
  <c r="CM12" i="177"/>
  <c r="CM44" i="177"/>
  <c r="CM62" i="177"/>
  <c r="CM42" i="177"/>
  <c r="CM65" i="177"/>
  <c r="CM48" i="177"/>
  <c r="CM24" i="177"/>
  <c r="CM56" i="177"/>
  <c r="CL90" i="158"/>
  <c r="CM19" i="158"/>
  <c r="CM22" i="158"/>
  <c r="CM27" i="158"/>
  <c r="CM24" i="158"/>
  <c r="CM12" i="158"/>
  <c r="CM45" i="158"/>
  <c r="CM16" i="158"/>
  <c r="CM52" i="158"/>
  <c r="CM59" i="158"/>
  <c r="CM15" i="158"/>
  <c r="CM68" i="158"/>
  <c r="CM47" i="158"/>
  <c r="CM55" i="158"/>
  <c r="CM9" i="158"/>
  <c r="CM72" i="158"/>
  <c r="CM13" i="158"/>
  <c r="CM21" i="158"/>
  <c r="CM67" i="158"/>
  <c r="CM29" i="158"/>
  <c r="CM63" i="158"/>
  <c r="CM11" i="158"/>
  <c r="CM57" i="158"/>
  <c r="CM48" i="158"/>
  <c r="CM51" i="158"/>
  <c r="CM65" i="158"/>
  <c r="CM30" i="158"/>
  <c r="CM10" i="158"/>
  <c r="CM36" i="158"/>
  <c r="CM49" i="158"/>
  <c r="CM17" i="158"/>
  <c r="CM42" i="158"/>
  <c r="CM14" i="158"/>
  <c r="CM70" i="158"/>
  <c r="CM18" i="158"/>
  <c r="CM33" i="158"/>
  <c r="CM61" i="158"/>
  <c r="CM62" i="158"/>
  <c r="CM46" i="158"/>
  <c r="CM66" i="158"/>
  <c r="CM64" i="158"/>
  <c r="CM44" i="158"/>
  <c r="CM54" i="158"/>
  <c r="CM20" i="158"/>
  <c r="CM26" i="158"/>
  <c r="CM60" i="158"/>
  <c r="CM58" i="158"/>
  <c r="CM69" i="158"/>
  <c r="CM25" i="158"/>
  <c r="CM43" i="158"/>
  <c r="CM23" i="158"/>
  <c r="CM71" i="158"/>
  <c r="CM32" i="158"/>
  <c r="CM31" i="158"/>
  <c r="CM28" i="158"/>
  <c r="CM56" i="158"/>
  <c r="CM41" i="158"/>
  <c r="CM49" i="174"/>
  <c r="CM14" i="174"/>
  <c r="CM18" i="174"/>
  <c r="CM12" i="174"/>
  <c r="CM65" i="174"/>
  <c r="CM46" i="174"/>
  <c r="CM45" i="174"/>
  <c r="CM70" i="174"/>
  <c r="CM59" i="174"/>
  <c r="CM61" i="174"/>
  <c r="CM62" i="174"/>
  <c r="CM69" i="174"/>
  <c r="CM68" i="174"/>
  <c r="CM52" i="174"/>
  <c r="CM36" i="174"/>
  <c r="CM17" i="174"/>
  <c r="CM42" i="174"/>
  <c r="CM20" i="174"/>
  <c r="CM63" i="174"/>
  <c r="CM43" i="174"/>
  <c r="CM71" i="174"/>
  <c r="CM47" i="174"/>
  <c r="CM9" i="174"/>
  <c r="CM56" i="174"/>
  <c r="CM10" i="174"/>
  <c r="CM64" i="174"/>
  <c r="CM29" i="174"/>
  <c r="CM41" i="174"/>
  <c r="CM44" i="174"/>
  <c r="CM58" i="174"/>
  <c r="CM21" i="174"/>
  <c r="CM22" i="174"/>
  <c r="CM31" i="174"/>
  <c r="CM15" i="174"/>
  <c r="CM19" i="174"/>
  <c r="CM57" i="174"/>
  <c r="CM27" i="174"/>
  <c r="CM32" i="174"/>
  <c r="CM51" i="174"/>
  <c r="CM25" i="174"/>
  <c r="CM24" i="174"/>
  <c r="CM54" i="174"/>
  <c r="CM72" i="174"/>
  <c r="CM60" i="174"/>
  <c r="CM13" i="174"/>
  <c r="CM11" i="174"/>
  <c r="CM33" i="174"/>
  <c r="CM16" i="174"/>
  <c r="CM26" i="174"/>
  <c r="CM66" i="174"/>
  <c r="CM23" i="174"/>
  <c r="CM48" i="174"/>
  <c r="CM30" i="174"/>
  <c r="CM28" i="174"/>
  <c r="CM55" i="174"/>
  <c r="CM67" i="174"/>
  <c r="CR79" i="175"/>
  <c r="CR81" i="175" s="1"/>
  <c r="CR83" i="175" s="1"/>
  <c r="CR84" i="175" s="1"/>
  <c r="CQ77" i="175"/>
  <c r="CQ81" i="175"/>
  <c r="CQ83" i="175" s="1"/>
  <c r="CQ84" i="175" s="1"/>
  <c r="CQ86" i="175" s="1"/>
  <c r="CQ81" i="174"/>
  <c r="CQ83" i="174" s="1"/>
  <c r="CQ84" i="174" s="1"/>
  <c r="CQ86" i="174" s="1"/>
  <c r="CR79" i="174"/>
  <c r="CR81" i="174" s="1"/>
  <c r="CR83" i="174" s="1"/>
  <c r="CR84" i="174" s="1"/>
  <c r="CQ77" i="174"/>
  <c r="CQ81" i="176"/>
  <c r="CQ83" i="176" s="1"/>
  <c r="CQ84" i="176" s="1"/>
  <c r="CQ86" i="176" s="1"/>
  <c r="CQ87" i="176" s="1"/>
  <c r="CR79" i="176"/>
  <c r="CR81" i="176" s="1"/>
  <c r="CR83" i="176" s="1"/>
  <c r="CR84" i="176" s="1"/>
  <c r="CR86" i="176" s="1"/>
  <c r="CR87" i="176" s="1"/>
  <c r="CQ77" i="176"/>
  <c r="CM49" i="175"/>
  <c r="CM18" i="175"/>
  <c r="CM61" i="175"/>
  <c r="CM32" i="175"/>
  <c r="CM23" i="175"/>
  <c r="CM64" i="175"/>
  <c r="CM68" i="175"/>
  <c r="CM58" i="175"/>
  <c r="CM10" i="175"/>
  <c r="CM47" i="175"/>
  <c r="CM19" i="175"/>
  <c r="CM30" i="175"/>
  <c r="CM15" i="175"/>
  <c r="CM43" i="175"/>
  <c r="CM72" i="175"/>
  <c r="CM56" i="175"/>
  <c r="CM60" i="175"/>
  <c r="CM55" i="175"/>
  <c r="CM27" i="175"/>
  <c r="CM51" i="175"/>
  <c r="CM71" i="175"/>
  <c r="CM48" i="175"/>
  <c r="CM16" i="175"/>
  <c r="CM25" i="175"/>
  <c r="CM52" i="175"/>
  <c r="CM46" i="175"/>
  <c r="CM45" i="175"/>
  <c r="CM69" i="175"/>
  <c r="CM12" i="175"/>
  <c r="CM17" i="175"/>
  <c r="CM33" i="175"/>
  <c r="CM21" i="175"/>
  <c r="CM20" i="175"/>
  <c r="CM14" i="175"/>
  <c r="CM57" i="175"/>
  <c r="CM13" i="175"/>
  <c r="CM29" i="175"/>
  <c r="CM11" i="175"/>
  <c r="CM44" i="175"/>
  <c r="CM36" i="175"/>
  <c r="CM9" i="175"/>
  <c r="CM70" i="175"/>
  <c r="CM67" i="175"/>
  <c r="CM22" i="175"/>
  <c r="CM66" i="175"/>
  <c r="CM59" i="175"/>
  <c r="CM63" i="175"/>
  <c r="CM62" i="175"/>
  <c r="CM31" i="175"/>
  <c r="CM24" i="175"/>
  <c r="CM28" i="175"/>
  <c r="CM26" i="175"/>
  <c r="CM65" i="175"/>
  <c r="CM42" i="175"/>
  <c r="CM54" i="175"/>
  <c r="CM41" i="175"/>
  <c r="CM17" i="176"/>
  <c r="CM61" i="176"/>
  <c r="CM32" i="176"/>
  <c r="CM18" i="176"/>
  <c r="CM11" i="176"/>
  <c r="CM59" i="176"/>
  <c r="CM65" i="176"/>
  <c r="CM66" i="176"/>
  <c r="CM71" i="176"/>
  <c r="CM24" i="176"/>
  <c r="CM44" i="176"/>
  <c r="CM57" i="176"/>
  <c r="CM9" i="176"/>
  <c r="CM41" i="176"/>
  <c r="CM12" i="176"/>
  <c r="CM63" i="176"/>
  <c r="CM27" i="176"/>
  <c r="CM13" i="176"/>
  <c r="CM30" i="176"/>
  <c r="CM31" i="176"/>
  <c r="CM26" i="176"/>
  <c r="CM70" i="176"/>
  <c r="CM47" i="176"/>
  <c r="CM19" i="176"/>
  <c r="CM60" i="176"/>
  <c r="CM67" i="176"/>
  <c r="CM43" i="176"/>
  <c r="CM52" i="176"/>
  <c r="CM72" i="176"/>
  <c r="CM20" i="176"/>
  <c r="CM56" i="176"/>
  <c r="CM23" i="176"/>
  <c r="CM25" i="176"/>
  <c r="CM64" i="176"/>
  <c r="CM69" i="176"/>
  <c r="CM48" i="176"/>
  <c r="CM22" i="176"/>
  <c r="CM68" i="176"/>
  <c r="CM21" i="176"/>
  <c r="CM14" i="176"/>
  <c r="CM51" i="176"/>
  <c r="CM36" i="176"/>
  <c r="CM49" i="176"/>
  <c r="CM10" i="176"/>
  <c r="CM58" i="176"/>
  <c r="CM28" i="176"/>
  <c r="CM33" i="176"/>
  <c r="CM45" i="176"/>
  <c r="CM62" i="176"/>
  <c r="CM16" i="176"/>
  <c r="CM15" i="176"/>
  <c r="CM29" i="176"/>
  <c r="CM46" i="176"/>
  <c r="CM55" i="176"/>
  <c r="CM42" i="176"/>
  <c r="CM54" i="176"/>
  <c r="CL90" i="174"/>
  <c r="CQ87" i="177"/>
  <c r="CR86" i="177"/>
  <c r="CM49" i="164"/>
  <c r="CM58" i="164"/>
  <c r="CM13" i="164"/>
  <c r="CM44" i="164"/>
  <c r="CM59" i="164"/>
  <c r="CM11" i="164"/>
  <c r="CM71" i="164"/>
  <c r="CM45" i="164"/>
  <c r="CM36" i="164"/>
  <c r="CM54" i="164"/>
  <c r="CM16" i="164"/>
  <c r="CM14" i="164"/>
  <c r="CM21" i="164"/>
  <c r="CM62" i="164"/>
  <c r="CM30" i="164"/>
  <c r="CM24" i="164"/>
  <c r="CM33" i="164"/>
  <c r="CM9" i="164"/>
  <c r="CM28" i="164"/>
  <c r="CM51" i="164"/>
  <c r="CM10" i="164"/>
  <c r="CM15" i="164"/>
  <c r="CM64" i="164"/>
  <c r="CM31" i="164"/>
  <c r="CM63" i="164"/>
  <c r="CM52" i="164"/>
  <c r="CM70" i="164"/>
  <c r="CM47" i="164"/>
  <c r="CM57" i="164"/>
  <c r="CM26" i="164"/>
  <c r="CM25" i="164"/>
  <c r="CM22" i="164"/>
  <c r="CM20" i="164"/>
  <c r="CM12" i="164"/>
  <c r="CM43" i="164"/>
  <c r="CM68" i="164"/>
  <c r="CM67" i="164"/>
  <c r="CM66" i="164"/>
  <c r="CM61" i="164"/>
  <c r="CM46" i="164"/>
  <c r="CM55" i="164"/>
  <c r="CM19" i="164"/>
  <c r="CM56" i="164"/>
  <c r="CM65" i="164"/>
  <c r="CM29" i="164"/>
  <c r="CM69" i="164"/>
  <c r="CM23" i="164"/>
  <c r="CM60" i="164"/>
  <c r="CM48" i="164"/>
  <c r="CM41" i="164"/>
  <c r="CM72" i="164"/>
  <c r="CM18" i="164"/>
  <c r="CM17" i="164"/>
  <c r="CM42" i="164"/>
  <c r="CM32" i="164"/>
  <c r="CM27" i="164"/>
  <c r="CM57" i="160"/>
  <c r="CM54" i="160"/>
  <c r="CM72" i="160"/>
  <c r="CM16" i="160"/>
  <c r="CM21" i="160"/>
  <c r="CM23" i="160"/>
  <c r="CM20" i="160"/>
  <c r="CM58" i="160"/>
  <c r="CM69" i="160"/>
  <c r="CM43" i="160"/>
  <c r="CM66" i="160"/>
  <c r="CM63" i="160"/>
  <c r="CM13" i="160"/>
  <c r="CM31" i="160"/>
  <c r="CM62" i="160"/>
  <c r="CM49" i="160"/>
  <c r="CM14" i="160"/>
  <c r="CM28" i="160"/>
  <c r="CM24" i="160"/>
  <c r="CM44" i="160"/>
  <c r="CM9" i="160"/>
  <c r="CM61" i="160"/>
  <c r="CM51" i="160"/>
  <c r="CM29" i="160"/>
  <c r="CM59" i="160"/>
  <c r="CM27" i="160"/>
  <c r="CM30" i="160"/>
  <c r="CM22" i="160"/>
  <c r="CM70" i="160"/>
  <c r="CM48" i="160"/>
  <c r="CM47" i="160"/>
  <c r="CM17" i="160"/>
  <c r="CM15" i="160"/>
  <c r="CM11" i="160"/>
  <c r="CM56" i="160"/>
  <c r="CM46" i="160"/>
  <c r="CM64" i="160"/>
  <c r="CM55" i="160"/>
  <c r="CM10" i="160"/>
  <c r="CM19" i="160"/>
  <c r="CM12" i="160"/>
  <c r="CM45" i="160"/>
  <c r="CM65" i="160"/>
  <c r="CM33" i="160"/>
  <c r="CM36" i="160"/>
  <c r="CM32" i="160"/>
  <c r="CM68" i="160"/>
  <c r="CM71" i="160"/>
  <c r="CM26" i="160"/>
  <c r="CM60" i="160"/>
  <c r="CM41" i="160"/>
  <c r="CM18" i="160"/>
  <c r="CM67" i="160"/>
  <c r="CM25" i="160"/>
  <c r="CM52" i="160"/>
  <c r="CM42" i="160"/>
  <c r="CQ87" i="164"/>
  <c r="CR86" i="164"/>
  <c r="CT86" i="164" s="1"/>
  <c r="CM52" i="166"/>
  <c r="CM57" i="166"/>
  <c r="CM71" i="166"/>
  <c r="CM12" i="166"/>
  <c r="CM59" i="166"/>
  <c r="CM24" i="166"/>
  <c r="CM48" i="166"/>
  <c r="CM23" i="166"/>
  <c r="CM42" i="166"/>
  <c r="CM68" i="166"/>
  <c r="CM10" i="166"/>
  <c r="CM67" i="166"/>
  <c r="CM60" i="166"/>
  <c r="CM70" i="166"/>
  <c r="CM65" i="166"/>
  <c r="CM30" i="166"/>
  <c r="CM15" i="166"/>
  <c r="CM43" i="166"/>
  <c r="CM13" i="166"/>
  <c r="CM58" i="166"/>
  <c r="CM41" i="166"/>
  <c r="CM55" i="166"/>
  <c r="CM18" i="166"/>
  <c r="CM72" i="166"/>
  <c r="CM19" i="166"/>
  <c r="CM20" i="166"/>
  <c r="CM16" i="166"/>
  <c r="CM46" i="166"/>
  <c r="CM45" i="166"/>
  <c r="CM17" i="166"/>
  <c r="CM51" i="166"/>
  <c r="CM64" i="166"/>
  <c r="CM11" i="166"/>
  <c r="CM21" i="166"/>
  <c r="CM54" i="166"/>
  <c r="CM49" i="166"/>
  <c r="CM26" i="166"/>
  <c r="CM33" i="166"/>
  <c r="CM31" i="166"/>
  <c r="CM66" i="166"/>
  <c r="CM62" i="166"/>
  <c r="CM25" i="166"/>
  <c r="CM9" i="166"/>
  <c r="CM44" i="166"/>
  <c r="CM69" i="166"/>
  <c r="CM28" i="166"/>
  <c r="CM63" i="166"/>
  <c r="CM27" i="166"/>
  <c r="CM22" i="166"/>
  <c r="CM32" i="166"/>
  <c r="CM29" i="166"/>
  <c r="CM14" i="166"/>
  <c r="CM36" i="166"/>
  <c r="CM47" i="166"/>
  <c r="CM61" i="166"/>
  <c r="CM56" i="166"/>
  <c r="CL90" i="166"/>
  <c r="CR87" i="177" l="1"/>
  <c r="CT86" i="177"/>
  <c r="CQ87" i="174"/>
  <c r="CR86" i="174"/>
  <c r="CR86" i="175"/>
  <c r="CQ87" i="175"/>
  <c r="G18" i="142"/>
  <c r="V18" i="142" s="1"/>
  <c r="CR87" i="174" l="1"/>
  <c r="CT86" i="174"/>
  <c r="CT86" i="175"/>
  <c r="CR87" i="175"/>
  <c r="BL16" i="114"/>
  <c r="AH79" i="134" l="1"/>
  <c r="AC79" i="134"/>
  <c r="S79" i="134"/>
  <c r="X79" i="134"/>
  <c r="X85" i="142" l="1"/>
  <c r="I85" i="142"/>
  <c r="E85" i="142"/>
  <c r="X82" i="142"/>
  <c r="I82" i="142"/>
  <c r="E82" i="142"/>
  <c r="V77" i="142"/>
  <c r="E79" i="142"/>
  <c r="X78" i="142"/>
  <c r="I78" i="142"/>
  <c r="J78" i="142" s="1"/>
  <c r="E78" i="142"/>
  <c r="W77" i="142"/>
  <c r="H77" i="142"/>
  <c r="G77" i="142"/>
  <c r="D77" i="142"/>
  <c r="C77" i="142"/>
  <c r="X74" i="142"/>
  <c r="I74" i="142"/>
  <c r="I73" i="142" s="1"/>
  <c r="E74" i="142"/>
  <c r="E73" i="142" s="1"/>
  <c r="W73" i="142"/>
  <c r="V73" i="142"/>
  <c r="H73" i="142"/>
  <c r="G73" i="142"/>
  <c r="D73" i="142"/>
  <c r="C73" i="142"/>
  <c r="X71" i="142"/>
  <c r="I71" i="142"/>
  <c r="E71" i="142"/>
  <c r="X70" i="142"/>
  <c r="I70" i="142"/>
  <c r="E70" i="142"/>
  <c r="I69" i="142"/>
  <c r="E69" i="142"/>
  <c r="X68" i="142"/>
  <c r="I68" i="142"/>
  <c r="E68" i="142"/>
  <c r="I67" i="142"/>
  <c r="E67" i="142"/>
  <c r="I66" i="142"/>
  <c r="E66" i="142"/>
  <c r="X65" i="142"/>
  <c r="I65" i="142"/>
  <c r="E65" i="142"/>
  <c r="X64" i="142"/>
  <c r="I64" i="142"/>
  <c r="E64" i="142"/>
  <c r="I63" i="142"/>
  <c r="E63" i="142"/>
  <c r="X62" i="142"/>
  <c r="I62" i="142"/>
  <c r="E62" i="142"/>
  <c r="I61" i="142"/>
  <c r="E61" i="142"/>
  <c r="I60" i="142"/>
  <c r="E60" i="142"/>
  <c r="X59" i="142"/>
  <c r="I59" i="142"/>
  <c r="E59" i="142"/>
  <c r="I58" i="142"/>
  <c r="E58" i="142"/>
  <c r="I57" i="142"/>
  <c r="E57" i="142"/>
  <c r="I56" i="142"/>
  <c r="E56" i="142"/>
  <c r="I55" i="142"/>
  <c r="E55" i="142"/>
  <c r="H54" i="142"/>
  <c r="G54" i="142"/>
  <c r="D54" i="142"/>
  <c r="C54" i="142"/>
  <c r="W50" i="142"/>
  <c r="I52" i="142"/>
  <c r="E52" i="142"/>
  <c r="I51" i="142"/>
  <c r="E51" i="142"/>
  <c r="H50" i="142"/>
  <c r="G50" i="142"/>
  <c r="D50" i="142"/>
  <c r="C50" i="142"/>
  <c r="I48" i="142"/>
  <c r="E48" i="142"/>
  <c r="X47" i="142"/>
  <c r="I47" i="142"/>
  <c r="E47" i="142"/>
  <c r="X46" i="142"/>
  <c r="I46" i="142"/>
  <c r="E46" i="142"/>
  <c r="I45" i="142"/>
  <c r="E45" i="142"/>
  <c r="I44" i="142"/>
  <c r="E44" i="142"/>
  <c r="I43" i="142"/>
  <c r="E43" i="142"/>
  <c r="I42" i="142"/>
  <c r="E42" i="142"/>
  <c r="H41" i="142"/>
  <c r="G41" i="142"/>
  <c r="D41" i="142"/>
  <c r="C41" i="142"/>
  <c r="J37" i="142"/>
  <c r="W35" i="142"/>
  <c r="I36" i="142"/>
  <c r="E36" i="142"/>
  <c r="E35" i="142" s="1"/>
  <c r="V35" i="142"/>
  <c r="D35" i="142"/>
  <c r="C35" i="142"/>
  <c r="I33" i="142"/>
  <c r="E33" i="142"/>
  <c r="I32" i="142"/>
  <c r="E32" i="142"/>
  <c r="I31" i="142"/>
  <c r="E31" i="142"/>
  <c r="I30" i="142"/>
  <c r="E30" i="142"/>
  <c r="X29" i="142"/>
  <c r="I29" i="142"/>
  <c r="E29" i="142"/>
  <c r="I28" i="142"/>
  <c r="E28" i="142"/>
  <c r="I27" i="142"/>
  <c r="E27" i="142"/>
  <c r="X26" i="142"/>
  <c r="I26" i="142"/>
  <c r="E26" i="142"/>
  <c r="I25" i="142"/>
  <c r="E25" i="142"/>
  <c r="I24" i="142"/>
  <c r="E24" i="142"/>
  <c r="X23" i="142"/>
  <c r="I23" i="142"/>
  <c r="E23" i="142"/>
  <c r="I22" i="142"/>
  <c r="E22" i="142"/>
  <c r="I21" i="142"/>
  <c r="E21" i="142"/>
  <c r="X20" i="142"/>
  <c r="I20" i="142"/>
  <c r="E20" i="142"/>
  <c r="I19" i="142"/>
  <c r="E19" i="142"/>
  <c r="I18" i="142"/>
  <c r="E18" i="142"/>
  <c r="I17" i="142"/>
  <c r="E17" i="142"/>
  <c r="I16" i="142"/>
  <c r="E16" i="142"/>
  <c r="I15" i="142"/>
  <c r="E15" i="142"/>
  <c r="X14" i="142"/>
  <c r="I14" i="142"/>
  <c r="E14" i="142"/>
  <c r="I13" i="142"/>
  <c r="E13" i="142"/>
  <c r="I12" i="142"/>
  <c r="E12" i="142"/>
  <c r="X11" i="142"/>
  <c r="I11" i="142"/>
  <c r="E11" i="142"/>
  <c r="I10" i="142"/>
  <c r="E10" i="142"/>
  <c r="V8" i="142"/>
  <c r="I9" i="142"/>
  <c r="E9" i="142"/>
  <c r="H8" i="142"/>
  <c r="G8" i="142"/>
  <c r="D8" i="142"/>
  <c r="C8" i="142"/>
  <c r="X7" i="142"/>
  <c r="I7" i="142"/>
  <c r="E7" i="142"/>
  <c r="I6" i="142"/>
  <c r="E6" i="142"/>
  <c r="E5" i="142" s="1"/>
  <c r="H5" i="142"/>
  <c r="G5" i="142"/>
  <c r="D5" i="142"/>
  <c r="C5" i="142"/>
  <c r="C38" i="142" s="1"/>
  <c r="E77" i="142" l="1"/>
  <c r="E8" i="142"/>
  <c r="E38" i="142" s="1"/>
  <c r="E39" i="142" s="1"/>
  <c r="E41" i="142"/>
  <c r="E50" i="142"/>
  <c r="I5" i="142"/>
  <c r="I79" i="142"/>
  <c r="X79" i="142" s="1"/>
  <c r="E54" i="142"/>
  <c r="D38" i="142"/>
  <c r="W41" i="142"/>
  <c r="X51" i="142"/>
  <c r="X58" i="142"/>
  <c r="V41" i="142"/>
  <c r="W54" i="142"/>
  <c r="X57" i="142"/>
  <c r="X10" i="142"/>
  <c r="X13" i="142"/>
  <c r="X19" i="142"/>
  <c r="X22" i="142"/>
  <c r="X25" i="142"/>
  <c r="X28" i="142"/>
  <c r="X31" i="142"/>
  <c r="X42" i="142"/>
  <c r="X48" i="142"/>
  <c r="X63" i="142"/>
  <c r="X69" i="142"/>
  <c r="X52" i="142"/>
  <c r="X56" i="142"/>
  <c r="X12" i="142"/>
  <c r="X15" i="142"/>
  <c r="X21" i="142"/>
  <c r="X24" i="142"/>
  <c r="X27" i="142"/>
  <c r="X30" i="142"/>
  <c r="X33" i="142"/>
  <c r="I41" i="142"/>
  <c r="V54" i="142"/>
  <c r="X61" i="142"/>
  <c r="X17" i="142"/>
  <c r="X32" i="142"/>
  <c r="X43" i="142"/>
  <c r="V5" i="142"/>
  <c r="V38" i="142" s="1"/>
  <c r="X45" i="142"/>
  <c r="X60" i="142"/>
  <c r="X67" i="142"/>
  <c r="X16" i="142"/>
  <c r="I54" i="142"/>
  <c r="I8" i="142"/>
  <c r="X44" i="142"/>
  <c r="X55" i="142"/>
  <c r="X66" i="142"/>
  <c r="G38" i="142"/>
  <c r="G75" i="142" s="1"/>
  <c r="X18" i="142"/>
  <c r="AB18" i="142" s="1"/>
  <c r="C75" i="142"/>
  <c r="C39" i="142"/>
  <c r="H38" i="142"/>
  <c r="X6" i="142"/>
  <c r="X5" i="142" s="1"/>
  <c r="AB5" i="142" s="1"/>
  <c r="W5" i="142"/>
  <c r="D75" i="142"/>
  <c r="D39" i="142"/>
  <c r="X73" i="142"/>
  <c r="W8" i="142"/>
  <c r="X9" i="142"/>
  <c r="X36" i="142"/>
  <c r="E89" i="142"/>
  <c r="F63" i="142" s="1"/>
  <c r="I35" i="142"/>
  <c r="I50" i="142"/>
  <c r="V50" i="142"/>
  <c r="F71" i="142" l="1"/>
  <c r="F45" i="142"/>
  <c r="F55" i="142"/>
  <c r="G39" i="142"/>
  <c r="V39" i="142"/>
  <c r="V75" i="142"/>
  <c r="V76" i="142" s="1"/>
  <c r="I89" i="142"/>
  <c r="J67" i="142" s="1"/>
  <c r="F42" i="142"/>
  <c r="X41" i="142"/>
  <c r="E75" i="142"/>
  <c r="F68" i="142"/>
  <c r="I38" i="142"/>
  <c r="I39" i="142" s="1"/>
  <c r="X50" i="142"/>
  <c r="X54" i="142"/>
  <c r="F52" i="142"/>
  <c r="F33" i="142"/>
  <c r="F30" i="142"/>
  <c r="F27" i="142"/>
  <c r="F24" i="142"/>
  <c r="F18" i="142"/>
  <c r="F15" i="142"/>
  <c r="F9" i="142"/>
  <c r="F32" i="142"/>
  <c r="F36" i="142"/>
  <c r="F12" i="142"/>
  <c r="F72" i="142"/>
  <c r="F21" i="142"/>
  <c r="F29" i="142"/>
  <c r="F23" i="142"/>
  <c r="F17" i="142"/>
  <c r="F11" i="142"/>
  <c r="F26" i="142"/>
  <c r="F20" i="142"/>
  <c r="F14" i="142"/>
  <c r="F85" i="142"/>
  <c r="F41" i="142"/>
  <c r="F44" i="142"/>
  <c r="F35" i="142"/>
  <c r="F22" i="142"/>
  <c r="F10" i="142"/>
  <c r="F54" i="142"/>
  <c r="F70" i="142"/>
  <c r="F59" i="142"/>
  <c r="F25" i="142"/>
  <c r="F13" i="142"/>
  <c r="F51" i="142"/>
  <c r="F73" i="142"/>
  <c r="F60" i="142"/>
  <c r="X35" i="142"/>
  <c r="F8" i="142"/>
  <c r="F64" i="142"/>
  <c r="F61" i="142"/>
  <c r="F50" i="142"/>
  <c r="W38" i="142"/>
  <c r="W75" i="142" s="1"/>
  <c r="F47" i="142"/>
  <c r="C81" i="142"/>
  <c r="C83" i="142" s="1"/>
  <c r="C84" i="142" s="1"/>
  <c r="C86" i="142" s="1"/>
  <c r="C87" i="142" s="1"/>
  <c r="C76" i="142"/>
  <c r="F57" i="142"/>
  <c r="F79" i="142"/>
  <c r="F58" i="142"/>
  <c r="X8" i="142"/>
  <c r="D81" i="142"/>
  <c r="D83" i="142" s="1"/>
  <c r="D84" i="142" s="1"/>
  <c r="D86" i="142" s="1"/>
  <c r="D87" i="142" s="1"/>
  <c r="D76" i="142"/>
  <c r="F62" i="142"/>
  <c r="F43" i="142"/>
  <c r="H39" i="142"/>
  <c r="H75" i="142"/>
  <c r="F65" i="142"/>
  <c r="F66" i="142"/>
  <c r="E81" i="142"/>
  <c r="E83" i="142" s="1"/>
  <c r="E84" i="142" s="1"/>
  <c r="E86" i="142" s="1"/>
  <c r="E87" i="142" s="1"/>
  <c r="E76" i="142"/>
  <c r="F67" i="142"/>
  <c r="F56" i="142"/>
  <c r="F69" i="142"/>
  <c r="F82" i="142"/>
  <c r="F46" i="142"/>
  <c r="F28" i="142"/>
  <c r="F16" i="142"/>
  <c r="G76" i="142"/>
  <c r="G81" i="142"/>
  <c r="G83" i="142" s="1"/>
  <c r="G84" i="142" s="1"/>
  <c r="G86" i="142" s="1"/>
  <c r="G87" i="142" s="1"/>
  <c r="I77" i="142"/>
  <c r="X77" i="142"/>
  <c r="F48" i="142"/>
  <c r="F31" i="142"/>
  <c r="F19" i="142"/>
  <c r="AL85" i="134"/>
  <c r="AK85" i="134"/>
  <c r="AM85" i="134" s="1"/>
  <c r="AH85" i="134"/>
  <c r="AC85" i="134"/>
  <c r="X85" i="134"/>
  <c r="S85" i="134"/>
  <c r="N85" i="134"/>
  <c r="I85" i="134"/>
  <c r="E85" i="134"/>
  <c r="AL82" i="134"/>
  <c r="AK82" i="134"/>
  <c r="AH82" i="134"/>
  <c r="AC82" i="134"/>
  <c r="X82" i="134"/>
  <c r="S82" i="134"/>
  <c r="N82" i="134"/>
  <c r="I82" i="134"/>
  <c r="E82" i="134"/>
  <c r="AL79" i="134"/>
  <c r="AK79" i="134"/>
  <c r="E79" i="134"/>
  <c r="AL78" i="134"/>
  <c r="AK78" i="134"/>
  <c r="AH78" i="134"/>
  <c r="AI78" i="134" s="1"/>
  <c r="AC78" i="134"/>
  <c r="X78" i="134"/>
  <c r="S78" i="134"/>
  <c r="T78" i="134" s="1"/>
  <c r="N78" i="134"/>
  <c r="I78" i="134"/>
  <c r="E78" i="134"/>
  <c r="AL77" i="134"/>
  <c r="AG77" i="134"/>
  <c r="AF77" i="134"/>
  <c r="AB77" i="134"/>
  <c r="AA77" i="134"/>
  <c r="W77" i="134"/>
  <c r="V77" i="134"/>
  <c r="R77" i="134"/>
  <c r="Q77" i="134"/>
  <c r="N77" i="134"/>
  <c r="M77" i="134"/>
  <c r="L77" i="134"/>
  <c r="H77" i="134"/>
  <c r="G77" i="134"/>
  <c r="D77" i="134"/>
  <c r="C77" i="134"/>
  <c r="AL74" i="134"/>
  <c r="AL73" i="134" s="1"/>
  <c r="AK74" i="134"/>
  <c r="AK73" i="134" s="1"/>
  <c r="AH74" i="134"/>
  <c r="AH73" i="134" s="1"/>
  <c r="AC74" i="134"/>
  <c r="AC73" i="134" s="1"/>
  <c r="X74" i="134"/>
  <c r="S74" i="134"/>
  <c r="S73" i="134" s="1"/>
  <c r="N74" i="134"/>
  <c r="N73" i="134" s="1"/>
  <c r="I74" i="134"/>
  <c r="E74" i="134"/>
  <c r="AG73" i="134"/>
  <c r="AF73" i="134"/>
  <c r="AB73" i="134"/>
  <c r="AA73" i="134"/>
  <c r="X73" i="134"/>
  <c r="W73" i="134"/>
  <c r="V73" i="134"/>
  <c r="R73" i="134"/>
  <c r="Q73" i="134"/>
  <c r="M73" i="134"/>
  <c r="L73" i="134"/>
  <c r="H73" i="134"/>
  <c r="G73" i="134"/>
  <c r="E73" i="134"/>
  <c r="D73" i="134"/>
  <c r="C73" i="134"/>
  <c r="AL71" i="134"/>
  <c r="AK71" i="134"/>
  <c r="AH71" i="134"/>
  <c r="AC71" i="134"/>
  <c r="X71" i="134"/>
  <c r="S71" i="134"/>
  <c r="N71" i="134"/>
  <c r="I71" i="134"/>
  <c r="E71" i="134"/>
  <c r="AL70" i="134"/>
  <c r="AK70" i="134"/>
  <c r="AH70" i="134"/>
  <c r="AC70" i="134"/>
  <c r="X70" i="134"/>
  <c r="S70" i="134"/>
  <c r="N70" i="134"/>
  <c r="I70" i="134"/>
  <c r="E70" i="134"/>
  <c r="AL69" i="134"/>
  <c r="AK69" i="134"/>
  <c r="AH69" i="134"/>
  <c r="AC69" i="134"/>
  <c r="X69" i="134"/>
  <c r="S69" i="134"/>
  <c r="N69" i="134"/>
  <c r="I69" i="134"/>
  <c r="E69" i="134"/>
  <c r="AL68" i="134"/>
  <c r="AK68" i="134"/>
  <c r="AH68" i="134"/>
  <c r="AC68" i="134"/>
  <c r="X68" i="134"/>
  <c r="S68" i="134"/>
  <c r="N68" i="134"/>
  <c r="I68" i="134"/>
  <c r="E68" i="134"/>
  <c r="AL67" i="134"/>
  <c r="AK67" i="134"/>
  <c r="AH67" i="134"/>
  <c r="AC67" i="134"/>
  <c r="X67" i="134"/>
  <c r="S67" i="134"/>
  <c r="N67" i="134"/>
  <c r="I67" i="134"/>
  <c r="E67" i="134"/>
  <c r="AL66" i="134"/>
  <c r="AK66" i="134"/>
  <c r="AH66" i="134"/>
  <c r="AC66" i="134"/>
  <c r="X66" i="134"/>
  <c r="S66" i="134"/>
  <c r="N66" i="134"/>
  <c r="I66" i="134"/>
  <c r="E66" i="134"/>
  <c r="AL65" i="134"/>
  <c r="AK65" i="134"/>
  <c r="AH65" i="134"/>
  <c r="AC65" i="134"/>
  <c r="X65" i="134"/>
  <c r="S65" i="134"/>
  <c r="N65" i="134"/>
  <c r="I65" i="134"/>
  <c r="E65" i="134"/>
  <c r="AL64" i="134"/>
  <c r="AK64" i="134"/>
  <c r="AM64" i="134" s="1"/>
  <c r="AH64" i="134"/>
  <c r="AC64" i="134"/>
  <c r="X64" i="134"/>
  <c r="S64" i="134"/>
  <c r="N64" i="134"/>
  <c r="I64" i="134"/>
  <c r="E64" i="134"/>
  <c r="AL63" i="134"/>
  <c r="AK63" i="134"/>
  <c r="AH63" i="134"/>
  <c r="AC63" i="134"/>
  <c r="X63" i="134"/>
  <c r="S63" i="134"/>
  <c r="N63" i="134"/>
  <c r="I63" i="134"/>
  <c r="E63" i="134"/>
  <c r="AL62" i="134"/>
  <c r="AK62" i="134"/>
  <c r="AH62" i="134"/>
  <c r="AC62" i="134"/>
  <c r="X62" i="134"/>
  <c r="S62" i="134"/>
  <c r="N62" i="134"/>
  <c r="I62" i="134"/>
  <c r="E62" i="134"/>
  <c r="AL61" i="134"/>
  <c r="AK61" i="134"/>
  <c r="AH61" i="134"/>
  <c r="AC61" i="134"/>
  <c r="X61" i="134"/>
  <c r="S61" i="134"/>
  <c r="N61" i="134"/>
  <c r="I61" i="134"/>
  <c r="E61" i="134"/>
  <c r="AL60" i="134"/>
  <c r="AK60" i="134"/>
  <c r="AH60" i="134"/>
  <c r="AC60" i="134"/>
  <c r="X60" i="134"/>
  <c r="S60" i="134"/>
  <c r="N60" i="134"/>
  <c r="I60" i="134"/>
  <c r="E60" i="134"/>
  <c r="AL59" i="134"/>
  <c r="AK59" i="134"/>
  <c r="AH59" i="134"/>
  <c r="AC59" i="134"/>
  <c r="X59" i="134"/>
  <c r="S59" i="134"/>
  <c r="N59" i="134"/>
  <c r="I59" i="134"/>
  <c r="E59" i="134"/>
  <c r="AL58" i="134"/>
  <c r="AK58" i="134"/>
  <c r="AH58" i="134"/>
  <c r="AC58" i="134"/>
  <c r="X58" i="134"/>
  <c r="S58" i="134"/>
  <c r="N58" i="134"/>
  <c r="I58" i="134"/>
  <c r="E58" i="134"/>
  <c r="AL57" i="134"/>
  <c r="AK57" i="134"/>
  <c r="AH57" i="134"/>
  <c r="AC57" i="134"/>
  <c r="X57" i="134"/>
  <c r="S57" i="134"/>
  <c r="N57" i="134"/>
  <c r="I57" i="134"/>
  <c r="E57" i="134"/>
  <c r="AL56" i="134"/>
  <c r="AK56" i="134"/>
  <c r="AH56" i="134"/>
  <c r="AC56" i="134"/>
  <c r="X56" i="134"/>
  <c r="S56" i="134"/>
  <c r="N56" i="134"/>
  <c r="I56" i="134"/>
  <c r="E56" i="134"/>
  <c r="AL55" i="134"/>
  <c r="AL54" i="134" s="1"/>
  <c r="AK55" i="134"/>
  <c r="AH55" i="134"/>
  <c r="AC55" i="134"/>
  <c r="X55" i="134"/>
  <c r="S55" i="134"/>
  <c r="N55" i="134"/>
  <c r="I55" i="134"/>
  <c r="E55" i="134"/>
  <c r="AG54" i="134"/>
  <c r="AF54" i="134"/>
  <c r="AB54" i="134"/>
  <c r="AA54" i="134"/>
  <c r="W54" i="134"/>
  <c r="V54" i="134"/>
  <c r="R54" i="134"/>
  <c r="Q54" i="134"/>
  <c r="M54" i="134"/>
  <c r="L54" i="134"/>
  <c r="H54" i="134"/>
  <c r="G54" i="134"/>
  <c r="D54" i="134"/>
  <c r="C54" i="134"/>
  <c r="AL52" i="134"/>
  <c r="AK52" i="134"/>
  <c r="AK50" i="134" s="1"/>
  <c r="AH52" i="134"/>
  <c r="AC52" i="134"/>
  <c r="X52" i="134"/>
  <c r="S52" i="134"/>
  <c r="N52" i="134"/>
  <c r="I52" i="134"/>
  <c r="E52" i="134"/>
  <c r="AL51" i="134"/>
  <c r="AM51" i="134" s="1"/>
  <c r="AK51" i="134"/>
  <c r="AH51" i="134"/>
  <c r="AC51" i="134"/>
  <c r="AC50" i="134" s="1"/>
  <c r="X51" i="134"/>
  <c r="X50" i="134" s="1"/>
  <c r="S51" i="134"/>
  <c r="N51" i="134"/>
  <c r="N50" i="134" s="1"/>
  <c r="I51" i="134"/>
  <c r="I50" i="134" s="1"/>
  <c r="E51" i="134"/>
  <c r="AG50" i="134"/>
  <c r="AF50" i="134"/>
  <c r="AB50" i="134"/>
  <c r="AA50" i="134"/>
  <c r="W50" i="134"/>
  <c r="V50" i="134"/>
  <c r="R50" i="134"/>
  <c r="Q50" i="134"/>
  <c r="M50" i="134"/>
  <c r="L50" i="134"/>
  <c r="H50" i="134"/>
  <c r="G50" i="134"/>
  <c r="D50" i="134"/>
  <c r="C50" i="134"/>
  <c r="AL48" i="134"/>
  <c r="AK48" i="134"/>
  <c r="AH48" i="134"/>
  <c r="AC48" i="134"/>
  <c r="X48" i="134"/>
  <c r="S48" i="134"/>
  <c r="N48" i="134"/>
  <c r="I48" i="134"/>
  <c r="E48" i="134"/>
  <c r="AL47" i="134"/>
  <c r="AK47" i="134"/>
  <c r="AH47" i="134"/>
  <c r="AC47" i="134"/>
  <c r="X47" i="134"/>
  <c r="S47" i="134"/>
  <c r="N47" i="134"/>
  <c r="I47" i="134"/>
  <c r="E47" i="134"/>
  <c r="AL46" i="134"/>
  <c r="AK46" i="134"/>
  <c r="AH46" i="134"/>
  <c r="AC46" i="134"/>
  <c r="X46" i="134"/>
  <c r="S46" i="134"/>
  <c r="N46" i="134"/>
  <c r="I46" i="134"/>
  <c r="E46" i="134"/>
  <c r="AL45" i="134"/>
  <c r="AK45" i="134"/>
  <c r="AH45" i="134"/>
  <c r="AC45" i="134"/>
  <c r="X45" i="134"/>
  <c r="S45" i="134"/>
  <c r="N45" i="134"/>
  <c r="I45" i="134"/>
  <c r="E45" i="134"/>
  <c r="AL44" i="134"/>
  <c r="AK44" i="134"/>
  <c r="AH44" i="134"/>
  <c r="AC44" i="134"/>
  <c r="X44" i="134"/>
  <c r="S44" i="134"/>
  <c r="N44" i="134"/>
  <c r="I44" i="134"/>
  <c r="E44" i="134"/>
  <c r="AL43" i="134"/>
  <c r="AK43" i="134"/>
  <c r="AH43" i="134"/>
  <c r="AC43" i="134"/>
  <c r="X43" i="134"/>
  <c r="S43" i="134"/>
  <c r="N43" i="134"/>
  <c r="I43" i="134"/>
  <c r="E43" i="134"/>
  <c r="AL42" i="134"/>
  <c r="AL41" i="134" s="1"/>
  <c r="AK42" i="134"/>
  <c r="AH42" i="134"/>
  <c r="AC42" i="134"/>
  <c r="X42" i="134"/>
  <c r="S42" i="134"/>
  <c r="N42" i="134"/>
  <c r="I42" i="134"/>
  <c r="I41" i="134" s="1"/>
  <c r="E42" i="134"/>
  <c r="AG41" i="134"/>
  <c r="AF41" i="134"/>
  <c r="AB41" i="134"/>
  <c r="AA41" i="134"/>
  <c r="W41" i="134"/>
  <c r="V41" i="134"/>
  <c r="R41" i="134"/>
  <c r="Q41" i="134"/>
  <c r="M41" i="134"/>
  <c r="L41" i="134"/>
  <c r="H41" i="134"/>
  <c r="G41" i="134"/>
  <c r="E41" i="134"/>
  <c r="D41" i="134"/>
  <c r="C41" i="134"/>
  <c r="AI37" i="134"/>
  <c r="AL36" i="134"/>
  <c r="AL35" i="134" s="1"/>
  <c r="AK36" i="134"/>
  <c r="AK35" i="134" s="1"/>
  <c r="AH36" i="134"/>
  <c r="AC36" i="134"/>
  <c r="X36" i="134"/>
  <c r="S36" i="134"/>
  <c r="S35" i="134" s="1"/>
  <c r="N36" i="134"/>
  <c r="I36" i="134"/>
  <c r="E36" i="134"/>
  <c r="E35" i="134" s="1"/>
  <c r="AH35" i="134"/>
  <c r="AC35" i="134"/>
  <c r="X35" i="134"/>
  <c r="N35" i="134"/>
  <c r="I35" i="134"/>
  <c r="D35" i="134"/>
  <c r="C35" i="134"/>
  <c r="AL33" i="134"/>
  <c r="AM33" i="134" s="1"/>
  <c r="AK33" i="134"/>
  <c r="AH33" i="134"/>
  <c r="AC33" i="134"/>
  <c r="X33" i="134"/>
  <c r="S33" i="134"/>
  <c r="N33" i="134"/>
  <c r="I33" i="134"/>
  <c r="E33" i="134"/>
  <c r="AL32" i="134"/>
  <c r="AK32" i="134"/>
  <c r="AM32" i="134" s="1"/>
  <c r="AH32" i="134"/>
  <c r="AC32" i="134"/>
  <c r="X32" i="134"/>
  <c r="S32" i="134"/>
  <c r="N32" i="134"/>
  <c r="I32" i="134"/>
  <c r="E32" i="134"/>
  <c r="AL31" i="134"/>
  <c r="AM31" i="134" s="1"/>
  <c r="AK31" i="134"/>
  <c r="AH31" i="134"/>
  <c r="AC31" i="134"/>
  <c r="X31" i="134"/>
  <c r="S31" i="134"/>
  <c r="N31" i="134"/>
  <c r="I31" i="134"/>
  <c r="E31" i="134"/>
  <c r="AL30" i="134"/>
  <c r="AK30" i="134"/>
  <c r="AH30" i="134"/>
  <c r="AC30" i="134"/>
  <c r="X30" i="134"/>
  <c r="S30" i="134"/>
  <c r="N30" i="134"/>
  <c r="I30" i="134"/>
  <c r="E30" i="134"/>
  <c r="AL29" i="134"/>
  <c r="AM29" i="134" s="1"/>
  <c r="AK29" i="134"/>
  <c r="AH29" i="134"/>
  <c r="AC29" i="134"/>
  <c r="X29" i="134"/>
  <c r="S29" i="134"/>
  <c r="N29" i="134"/>
  <c r="I29" i="134"/>
  <c r="E29" i="134"/>
  <c r="AL28" i="134"/>
  <c r="AK28" i="134"/>
  <c r="AM28" i="134" s="1"/>
  <c r="AH28" i="134"/>
  <c r="AC28" i="134"/>
  <c r="X28" i="134"/>
  <c r="S28" i="134"/>
  <c r="N28" i="134"/>
  <c r="I28" i="134"/>
  <c r="E28" i="134"/>
  <c r="AL27" i="134"/>
  <c r="AK27" i="134"/>
  <c r="AH27" i="134"/>
  <c r="AC27" i="134"/>
  <c r="X27" i="134"/>
  <c r="S27" i="134"/>
  <c r="N27" i="134"/>
  <c r="I27" i="134"/>
  <c r="E27" i="134"/>
  <c r="AM26" i="134"/>
  <c r="AL26" i="134"/>
  <c r="AK26" i="134"/>
  <c r="AH26" i="134"/>
  <c r="AC26" i="134"/>
  <c r="X26" i="134"/>
  <c r="S26" i="134"/>
  <c r="N26" i="134"/>
  <c r="I26" i="134"/>
  <c r="E26" i="134"/>
  <c r="AL25" i="134"/>
  <c r="AK25" i="134"/>
  <c r="AM25" i="134" s="1"/>
  <c r="AH25" i="134"/>
  <c r="AC25" i="134"/>
  <c r="X25" i="134"/>
  <c r="S25" i="134"/>
  <c r="N25" i="134"/>
  <c r="I25" i="134"/>
  <c r="E25" i="134"/>
  <c r="AL24" i="134"/>
  <c r="AM24" i="134" s="1"/>
  <c r="AK24" i="134"/>
  <c r="AH24" i="134"/>
  <c r="AC24" i="134"/>
  <c r="X24" i="134"/>
  <c r="S24" i="134"/>
  <c r="N24" i="134"/>
  <c r="I24" i="134"/>
  <c r="E24" i="134"/>
  <c r="AL23" i="134"/>
  <c r="AK23" i="134"/>
  <c r="AH23" i="134"/>
  <c r="AC23" i="134"/>
  <c r="X23" i="134"/>
  <c r="S23" i="134"/>
  <c r="N23" i="134"/>
  <c r="I23" i="134"/>
  <c r="E23" i="134"/>
  <c r="AL22" i="134"/>
  <c r="AM22" i="134" s="1"/>
  <c r="AK22" i="134"/>
  <c r="AH22" i="134"/>
  <c r="AC22" i="134"/>
  <c r="X22" i="134"/>
  <c r="S22" i="134"/>
  <c r="N22" i="134"/>
  <c r="I22" i="134"/>
  <c r="E22" i="134"/>
  <c r="AL21" i="134"/>
  <c r="AK21" i="134"/>
  <c r="AM21" i="134" s="1"/>
  <c r="AH21" i="134"/>
  <c r="AC21" i="134"/>
  <c r="X21" i="134"/>
  <c r="S21" i="134"/>
  <c r="N21" i="134"/>
  <c r="I21" i="134"/>
  <c r="E21" i="134"/>
  <c r="AL20" i="134"/>
  <c r="AM20" i="134" s="1"/>
  <c r="AK20" i="134"/>
  <c r="AH20" i="134"/>
  <c r="AC20" i="134"/>
  <c r="X20" i="134"/>
  <c r="S20" i="134"/>
  <c r="N20" i="134"/>
  <c r="I20" i="134"/>
  <c r="E20" i="134"/>
  <c r="AL19" i="134"/>
  <c r="AK19" i="134"/>
  <c r="AH19" i="134"/>
  <c r="AC19" i="134"/>
  <c r="X19" i="134"/>
  <c r="S19" i="134"/>
  <c r="N19" i="134"/>
  <c r="I19" i="134"/>
  <c r="E19" i="134"/>
  <c r="AL18" i="134"/>
  <c r="AH18" i="134"/>
  <c r="AC18" i="134"/>
  <c r="X18" i="134"/>
  <c r="Q18" i="134"/>
  <c r="Q8" i="134" s="1"/>
  <c r="N18" i="134"/>
  <c r="I18" i="134"/>
  <c r="E18" i="134"/>
  <c r="AL17" i="134"/>
  <c r="AK17" i="134"/>
  <c r="AH17" i="134"/>
  <c r="AC17" i="134"/>
  <c r="X17" i="134"/>
  <c r="S17" i="134"/>
  <c r="N17" i="134"/>
  <c r="I17" i="134"/>
  <c r="E17" i="134"/>
  <c r="AM16" i="134"/>
  <c r="AL16" i="134"/>
  <c r="AK16" i="134"/>
  <c r="AH16" i="134"/>
  <c r="AC16" i="134"/>
  <c r="X16" i="134"/>
  <c r="S16" i="134"/>
  <c r="N16" i="134"/>
  <c r="I16" i="134"/>
  <c r="E16" i="134"/>
  <c r="AL15" i="134"/>
  <c r="AK15" i="134"/>
  <c r="AM15" i="134" s="1"/>
  <c r="AH15" i="134"/>
  <c r="AC15" i="134"/>
  <c r="X15" i="134"/>
  <c r="S15" i="134"/>
  <c r="N15" i="134"/>
  <c r="I15" i="134"/>
  <c r="E15" i="134"/>
  <c r="AM14" i="134"/>
  <c r="AL14" i="134"/>
  <c r="AK14" i="134"/>
  <c r="AH14" i="134"/>
  <c r="AC14" i="134"/>
  <c r="X14" i="134"/>
  <c r="S14" i="134"/>
  <c r="N14" i="134"/>
  <c r="I14" i="134"/>
  <c r="E14" i="134"/>
  <c r="AL13" i="134"/>
  <c r="AK13" i="134"/>
  <c r="AH13" i="134"/>
  <c r="AC13" i="134"/>
  <c r="X13" i="134"/>
  <c r="S13" i="134"/>
  <c r="N13" i="134"/>
  <c r="I13" i="134"/>
  <c r="E13" i="134"/>
  <c r="AL12" i="134"/>
  <c r="AK12" i="134"/>
  <c r="AH12" i="134"/>
  <c r="AC12" i="134"/>
  <c r="X12" i="134"/>
  <c r="S12" i="134"/>
  <c r="N12" i="134"/>
  <c r="I12" i="134"/>
  <c r="E12" i="134"/>
  <c r="AL11" i="134"/>
  <c r="AK11" i="134"/>
  <c r="AM11" i="134" s="1"/>
  <c r="AH11" i="134"/>
  <c r="AC11" i="134"/>
  <c r="X11" i="134"/>
  <c r="S11" i="134"/>
  <c r="N11" i="134"/>
  <c r="I11" i="134"/>
  <c r="E11" i="134"/>
  <c r="AL10" i="134"/>
  <c r="AM10" i="134" s="1"/>
  <c r="AK10" i="134"/>
  <c r="AH10" i="134"/>
  <c r="AC10" i="134"/>
  <c r="X10" i="134"/>
  <c r="X8" i="134" s="1"/>
  <c r="S10" i="134"/>
  <c r="N10" i="134"/>
  <c r="I10" i="134"/>
  <c r="E10" i="134"/>
  <c r="AL9" i="134"/>
  <c r="AK9" i="134"/>
  <c r="AH9" i="134"/>
  <c r="AC9" i="134"/>
  <c r="X9" i="134"/>
  <c r="S9" i="134"/>
  <c r="N9" i="134"/>
  <c r="I9" i="134"/>
  <c r="E9" i="134"/>
  <c r="AG8" i="134"/>
  <c r="AF8" i="134"/>
  <c r="AB8" i="134"/>
  <c r="AA8" i="134"/>
  <c r="W8" i="134"/>
  <c r="V8" i="134"/>
  <c r="R8" i="134"/>
  <c r="M8" i="134"/>
  <c r="L8" i="134"/>
  <c r="H8" i="134"/>
  <c r="G8" i="134"/>
  <c r="D8" i="134"/>
  <c r="C8" i="134"/>
  <c r="AL7" i="134"/>
  <c r="AL5" i="134" s="1"/>
  <c r="AK7" i="134"/>
  <c r="AH7" i="134"/>
  <c r="AC7" i="134"/>
  <c r="X7" i="134"/>
  <c r="S7" i="134"/>
  <c r="N7" i="134"/>
  <c r="I7" i="134"/>
  <c r="E7" i="134"/>
  <c r="AL6" i="134"/>
  <c r="AH6" i="134"/>
  <c r="AA6" i="134"/>
  <c r="X6" i="134"/>
  <c r="X5" i="134" s="1"/>
  <c r="Q6" i="134"/>
  <c r="S6" i="134" s="1"/>
  <c r="S5" i="134" s="1"/>
  <c r="N6" i="134"/>
  <c r="I6" i="134"/>
  <c r="I5" i="134" s="1"/>
  <c r="E6" i="134"/>
  <c r="E5" i="134" s="1"/>
  <c r="AH5" i="134"/>
  <c r="AG5" i="134"/>
  <c r="AG38" i="134" s="1"/>
  <c r="AF5" i="134"/>
  <c r="AB5" i="134"/>
  <c r="W5" i="134"/>
  <c r="V5" i="134"/>
  <c r="R5" i="134"/>
  <c r="Q5" i="134"/>
  <c r="N5" i="134"/>
  <c r="M5" i="134"/>
  <c r="L5" i="134"/>
  <c r="L38" i="134" s="1"/>
  <c r="H5" i="134"/>
  <c r="G5" i="134"/>
  <c r="D5" i="134"/>
  <c r="D38" i="134" s="1"/>
  <c r="C5" i="134"/>
  <c r="R38" i="134" l="1"/>
  <c r="I8" i="134"/>
  <c r="V38" i="134"/>
  <c r="AM9" i="134"/>
  <c r="AM12" i="134"/>
  <c r="AM13" i="134"/>
  <c r="S18" i="134"/>
  <c r="AK18" i="134"/>
  <c r="AM18" i="134" s="1"/>
  <c r="AM19" i="134"/>
  <c r="AM23" i="134"/>
  <c r="AM30" i="134"/>
  <c r="S41" i="134"/>
  <c r="AK41" i="134"/>
  <c r="N41" i="134"/>
  <c r="AH41" i="134"/>
  <c r="AC41" i="134"/>
  <c r="N54" i="134"/>
  <c r="AC54" i="134"/>
  <c r="AM58" i="134"/>
  <c r="AM62" i="134"/>
  <c r="AM66" i="134"/>
  <c r="AM70" i="134"/>
  <c r="AM74" i="134"/>
  <c r="AM73" i="134" s="1"/>
  <c r="I75" i="142"/>
  <c r="I81" i="142" s="1"/>
  <c r="I83" i="142" s="1"/>
  <c r="I84" i="142" s="1"/>
  <c r="I86" i="142" s="1"/>
  <c r="I87" i="142" s="1"/>
  <c r="AM17" i="134"/>
  <c r="X41" i="134"/>
  <c r="AM43" i="134"/>
  <c r="AM47" i="134"/>
  <c r="AM55" i="134"/>
  <c r="AM59" i="134"/>
  <c r="AM63" i="134"/>
  <c r="AM67" i="134"/>
  <c r="AM71" i="134"/>
  <c r="J64" i="142"/>
  <c r="J69" i="142"/>
  <c r="J68" i="142"/>
  <c r="J12" i="142"/>
  <c r="J52" i="142"/>
  <c r="J58" i="142"/>
  <c r="J36" i="142"/>
  <c r="J31" i="142"/>
  <c r="J46" i="142"/>
  <c r="J28" i="142"/>
  <c r="J74" i="142"/>
  <c r="J71" i="142"/>
  <c r="J23" i="142"/>
  <c r="J66" i="142"/>
  <c r="J25" i="142"/>
  <c r="J79" i="142"/>
  <c r="J16" i="142"/>
  <c r="J8" i="142"/>
  <c r="J51" i="142"/>
  <c r="J44" i="142"/>
  <c r="J65" i="142"/>
  <c r="J45" i="142"/>
  <c r="J61" i="142"/>
  <c r="J22" i="142"/>
  <c r="J14" i="142"/>
  <c r="G38" i="134"/>
  <c r="G75" i="134" s="1"/>
  <c r="AM7" i="134"/>
  <c r="E8" i="134"/>
  <c r="AM44" i="134"/>
  <c r="AM48" i="134"/>
  <c r="AM56" i="134"/>
  <c r="AM60" i="134"/>
  <c r="AM68" i="134"/>
  <c r="Q38" i="134"/>
  <c r="AM45" i="134"/>
  <c r="AM61" i="134"/>
  <c r="AM65" i="134"/>
  <c r="AM69" i="134"/>
  <c r="AM78" i="134"/>
  <c r="AM82" i="134"/>
  <c r="AM27" i="134"/>
  <c r="AM36" i="134"/>
  <c r="AM35" i="134" s="1"/>
  <c r="AM42" i="134"/>
  <c r="AM46" i="134"/>
  <c r="AL8" i="134"/>
  <c r="J42" i="142"/>
  <c r="J9" i="142"/>
  <c r="J43" i="142"/>
  <c r="J11" i="142"/>
  <c r="J33" i="142"/>
  <c r="J73" i="142"/>
  <c r="J54" i="142"/>
  <c r="J57" i="142"/>
  <c r="J27" i="142"/>
  <c r="J21" i="142"/>
  <c r="J30" i="142"/>
  <c r="J13" i="142"/>
  <c r="J26" i="142"/>
  <c r="J32" i="142"/>
  <c r="J35" i="142"/>
  <c r="J70" i="142"/>
  <c r="J24" i="142"/>
  <c r="J59" i="142"/>
  <c r="J48" i="142"/>
  <c r="J18" i="142"/>
  <c r="J19" i="142"/>
  <c r="J17" i="142"/>
  <c r="J62" i="142"/>
  <c r="J63" i="142"/>
  <c r="J77" i="142"/>
  <c r="J50" i="142"/>
  <c r="J60" i="142"/>
  <c r="J55" i="142"/>
  <c r="J56" i="142"/>
  <c r="J47" i="142"/>
  <c r="J41" i="142"/>
  <c r="J10" i="142"/>
  <c r="J29" i="142"/>
  <c r="J20" i="142"/>
  <c r="J15" i="142"/>
  <c r="V81" i="142"/>
  <c r="V83" i="142" s="1"/>
  <c r="V84" i="142" s="1"/>
  <c r="V86" i="142" s="1"/>
  <c r="V87" i="142" s="1"/>
  <c r="H76" i="142"/>
  <c r="H81" i="142"/>
  <c r="H83" i="142" s="1"/>
  <c r="H84" i="142" s="1"/>
  <c r="H86" i="142" s="1"/>
  <c r="H87" i="142" s="1"/>
  <c r="W39" i="142"/>
  <c r="X89" i="142"/>
  <c r="X38" i="142"/>
  <c r="Q75" i="134"/>
  <c r="Q39" i="134"/>
  <c r="L75" i="134"/>
  <c r="L39" i="134"/>
  <c r="V75" i="134"/>
  <c r="V39" i="134"/>
  <c r="S8" i="134"/>
  <c r="C38" i="134"/>
  <c r="X38" i="134"/>
  <c r="AC6" i="134"/>
  <c r="AC5" i="134" s="1"/>
  <c r="AA5" i="134"/>
  <c r="AA38" i="134" s="1"/>
  <c r="G81" i="134"/>
  <c r="G83" i="134" s="1"/>
  <c r="G84" i="134" s="1"/>
  <c r="G86" i="134" s="1"/>
  <c r="G87" i="134" s="1"/>
  <c r="G76" i="134"/>
  <c r="G39" i="134"/>
  <c r="AF38" i="134"/>
  <c r="X77" i="134"/>
  <c r="N8" i="134"/>
  <c r="AH8" i="134"/>
  <c r="AC8" i="134"/>
  <c r="E38" i="134"/>
  <c r="I38" i="134"/>
  <c r="AK8" i="134"/>
  <c r="AK6" i="134"/>
  <c r="H38" i="134"/>
  <c r="R75" i="134"/>
  <c r="R39" i="134"/>
  <c r="AB38" i="134"/>
  <c r="AL38" i="134"/>
  <c r="AM52" i="134"/>
  <c r="AM50" i="134" s="1"/>
  <c r="AL50" i="134"/>
  <c r="X54" i="134"/>
  <c r="X89" i="134" s="1"/>
  <c r="Y67" i="134" s="1"/>
  <c r="D75" i="134"/>
  <c r="D39" i="134"/>
  <c r="W38" i="134"/>
  <c r="AM79" i="134"/>
  <c r="AM77" i="134" s="1"/>
  <c r="AH77" i="134"/>
  <c r="I77" i="134"/>
  <c r="M38" i="134"/>
  <c r="AG75" i="134"/>
  <c r="AG39" i="134"/>
  <c r="N38" i="134"/>
  <c r="AH38" i="134"/>
  <c r="AM41" i="134"/>
  <c r="I54" i="134"/>
  <c r="AM57" i="134"/>
  <c r="AK54" i="134"/>
  <c r="E54" i="134"/>
  <c r="S54" i="134"/>
  <c r="AH54" i="134"/>
  <c r="E77" i="134"/>
  <c r="E50" i="134"/>
  <c r="E89" i="134" s="1"/>
  <c r="S50" i="134"/>
  <c r="AH50" i="134"/>
  <c r="AC77" i="134"/>
  <c r="I73" i="134"/>
  <c r="S77" i="134"/>
  <c r="AK77" i="134"/>
  <c r="I76" i="142" l="1"/>
  <c r="Y8" i="142"/>
  <c r="X90" i="142"/>
  <c r="W81" i="142"/>
  <c r="W83" i="142" s="1"/>
  <c r="W84" i="142" s="1"/>
  <c r="W86" i="142" s="1"/>
  <c r="W87" i="142" s="1"/>
  <c r="W76" i="142"/>
  <c r="X39" i="142"/>
  <c r="X75" i="142"/>
  <c r="Y72" i="142"/>
  <c r="Y49" i="142"/>
  <c r="Y29" i="142"/>
  <c r="Y11" i="142"/>
  <c r="Y17" i="142"/>
  <c r="Y23" i="142"/>
  <c r="Y14" i="142"/>
  <c r="Y64" i="142"/>
  <c r="Y31" i="142"/>
  <c r="Y56" i="142"/>
  <c r="Y59" i="142"/>
  <c r="Y30" i="142"/>
  <c r="Y33" i="142"/>
  <c r="Y60" i="142"/>
  <c r="Y52" i="142"/>
  <c r="Y74" i="142"/>
  <c r="Y63" i="142"/>
  <c r="Y12" i="142"/>
  <c r="Y61" i="142"/>
  <c r="Y55" i="142"/>
  <c r="Y18" i="142"/>
  <c r="Y62" i="142"/>
  <c r="Y26" i="142"/>
  <c r="Y28" i="142"/>
  <c r="Y24" i="142"/>
  <c r="Y20" i="142"/>
  <c r="Y32" i="142"/>
  <c r="Y65" i="142"/>
  <c r="Y47" i="142"/>
  <c r="Y67" i="142"/>
  <c r="Y70" i="142"/>
  <c r="Y21" i="142"/>
  <c r="Y25" i="142"/>
  <c r="Y45" i="142"/>
  <c r="Y10" i="142"/>
  <c r="Y22" i="142"/>
  <c r="Y42" i="142"/>
  <c r="Y57" i="142"/>
  <c r="Y46" i="142"/>
  <c r="Y19" i="142"/>
  <c r="Y68" i="142"/>
  <c r="Y15" i="142"/>
  <c r="Y71" i="142"/>
  <c r="Y27" i="142"/>
  <c r="Y51" i="142"/>
  <c r="Y43" i="142"/>
  <c r="Y66" i="142"/>
  <c r="Y69" i="142"/>
  <c r="Y48" i="142"/>
  <c r="Y16" i="142"/>
  <c r="Y13" i="142"/>
  <c r="Y44" i="142"/>
  <c r="Y58" i="142"/>
  <c r="Y41" i="142"/>
  <c r="Y36" i="142"/>
  <c r="Y35" i="142" s="1"/>
  <c r="Y9" i="142"/>
  <c r="Y54" i="142"/>
  <c r="F73" i="134"/>
  <c r="F72" i="134"/>
  <c r="F56" i="134"/>
  <c r="F18" i="134"/>
  <c r="F17" i="134"/>
  <c r="F16" i="134"/>
  <c r="F15" i="134"/>
  <c r="F14" i="134"/>
  <c r="F13" i="134"/>
  <c r="F11" i="134"/>
  <c r="F82" i="134"/>
  <c r="F55" i="134"/>
  <c r="F12" i="134"/>
  <c r="F10" i="134"/>
  <c r="F9" i="134"/>
  <c r="F41" i="134"/>
  <c r="F47" i="134"/>
  <c r="F44" i="134"/>
  <c r="F45" i="134"/>
  <c r="F42" i="134"/>
  <c r="F46" i="134"/>
  <c r="F43" i="134"/>
  <c r="F33" i="134"/>
  <c r="F28" i="134"/>
  <c r="F85" i="134"/>
  <c r="F32" i="134"/>
  <c r="F69" i="134"/>
  <c r="F68" i="134"/>
  <c r="F51" i="134"/>
  <c r="F67" i="134"/>
  <c r="F61" i="134"/>
  <c r="F20" i="134"/>
  <c r="F25" i="134"/>
  <c r="F23" i="134"/>
  <c r="F62" i="134"/>
  <c r="F24" i="134"/>
  <c r="F8" i="134"/>
  <c r="F19" i="134"/>
  <c r="F30" i="134"/>
  <c r="F27" i="134"/>
  <c r="F35" i="134"/>
  <c r="F31" i="134"/>
  <c r="F29" i="134"/>
  <c r="F52" i="134"/>
  <c r="F58" i="134"/>
  <c r="F22" i="134"/>
  <c r="F26" i="134"/>
  <c r="F48" i="134"/>
  <c r="F36" i="134"/>
  <c r="F59" i="134"/>
  <c r="F63" i="134"/>
  <c r="F60" i="134"/>
  <c r="F64" i="134"/>
  <c r="F79" i="134"/>
  <c r="F57" i="134"/>
  <c r="F65" i="134"/>
  <c r="F66" i="134"/>
  <c r="F21" i="134"/>
  <c r="F71" i="134"/>
  <c r="F70" i="134"/>
  <c r="I89" i="134"/>
  <c r="Y71" i="134"/>
  <c r="Y70" i="134"/>
  <c r="Y69" i="134"/>
  <c r="Y68" i="134"/>
  <c r="Y50" i="134"/>
  <c r="Y51" i="134"/>
  <c r="Y52" i="134"/>
  <c r="Y18" i="134"/>
  <c r="Y26" i="134"/>
  <c r="Y28" i="134"/>
  <c r="Y17" i="134"/>
  <c r="Y16" i="134"/>
  <c r="Y15" i="134"/>
  <c r="Y14" i="134"/>
  <c r="Y13" i="134"/>
  <c r="Y12" i="134"/>
  <c r="Y11" i="134"/>
  <c r="Y10" i="134"/>
  <c r="Y9" i="134"/>
  <c r="Y19" i="134"/>
  <c r="Y22" i="134"/>
  <c r="Y21" i="134"/>
  <c r="Y79" i="134"/>
  <c r="Y48" i="134"/>
  <c r="Y8" i="134"/>
  <c r="Y44" i="134"/>
  <c r="Y31" i="134"/>
  <c r="Y42" i="134"/>
  <c r="Y59" i="134"/>
  <c r="Y63" i="134"/>
  <c r="Y33" i="134"/>
  <c r="Y58" i="134"/>
  <c r="Y66" i="134"/>
  <c r="Y56" i="134"/>
  <c r="Y24" i="134"/>
  <c r="Y23" i="134"/>
  <c r="Y35" i="134"/>
  <c r="Y29" i="134"/>
  <c r="Y45" i="134"/>
  <c r="Y62" i="134"/>
  <c r="Y64" i="134"/>
  <c r="Y20" i="134"/>
  <c r="Y27" i="134"/>
  <c r="Y47" i="134"/>
  <c r="Y30" i="134"/>
  <c r="Y57" i="134"/>
  <c r="Y61" i="134"/>
  <c r="Y65" i="134"/>
  <c r="Y25" i="134"/>
  <c r="Y41" i="134"/>
  <c r="Y36" i="134"/>
  <c r="Y32" i="134"/>
  <c r="Y43" i="134"/>
  <c r="Y55" i="134"/>
  <c r="Y73" i="134"/>
  <c r="Y74" i="134"/>
  <c r="Y46" i="134"/>
  <c r="Y60" i="134"/>
  <c r="N75" i="134"/>
  <c r="N39" i="134"/>
  <c r="AM54" i="134"/>
  <c r="M75" i="134"/>
  <c r="M39" i="134"/>
  <c r="R81" i="134"/>
  <c r="R83" i="134" s="1"/>
  <c r="R84" i="134" s="1"/>
  <c r="R86" i="134" s="1"/>
  <c r="R87" i="134" s="1"/>
  <c r="R76" i="134"/>
  <c r="AC89" i="134"/>
  <c r="AD8" i="134" s="1"/>
  <c r="AF75" i="134"/>
  <c r="AF39" i="134"/>
  <c r="C75" i="134"/>
  <c r="C39" i="134"/>
  <c r="V81" i="134"/>
  <c r="V83" i="134" s="1"/>
  <c r="V84" i="134" s="1"/>
  <c r="V86" i="134" s="1"/>
  <c r="V87" i="134" s="1"/>
  <c r="V76" i="134"/>
  <c r="F54" i="134"/>
  <c r="AH75" i="134"/>
  <c r="AH39" i="134"/>
  <c r="W75" i="134"/>
  <c r="W39" i="134"/>
  <c r="AK5" i="134"/>
  <c r="AK38" i="134" s="1"/>
  <c r="AM6" i="134"/>
  <c r="N89" i="134"/>
  <c r="O8" i="134" s="1"/>
  <c r="S89" i="134"/>
  <c r="T8" i="134" s="1"/>
  <c r="I75" i="134"/>
  <c r="I39" i="134"/>
  <c r="AL75" i="134"/>
  <c r="AL39" i="134"/>
  <c r="L81" i="134"/>
  <c r="L83" i="134" s="1"/>
  <c r="L84" i="134" s="1"/>
  <c r="L86" i="134" s="1"/>
  <c r="L87" i="134" s="1"/>
  <c r="L76" i="134"/>
  <c r="Q81" i="134"/>
  <c r="Q83" i="134" s="1"/>
  <c r="Q84" i="134" s="1"/>
  <c r="Q86" i="134" s="1"/>
  <c r="Q87" i="134" s="1"/>
  <c r="Q76" i="134"/>
  <c r="S38" i="134"/>
  <c r="AB75" i="134"/>
  <c r="AB39" i="134"/>
  <c r="AM8" i="134"/>
  <c r="E75" i="134"/>
  <c r="E39" i="134"/>
  <c r="AH89" i="134"/>
  <c r="AI54" i="134" s="1"/>
  <c r="AA75" i="134"/>
  <c r="AA39" i="134"/>
  <c r="J54" i="134"/>
  <c r="Y54" i="134"/>
  <c r="H75" i="134"/>
  <c r="H39" i="134"/>
  <c r="F50" i="134"/>
  <c r="D76" i="134"/>
  <c r="D81" i="134"/>
  <c r="D83" i="134" s="1"/>
  <c r="D84" i="134" s="1"/>
  <c r="D86" i="134" s="1"/>
  <c r="D87" i="134" s="1"/>
  <c r="AG76" i="134"/>
  <c r="AG81" i="134"/>
  <c r="AG83" i="134" s="1"/>
  <c r="AG84" i="134" s="1"/>
  <c r="AG86" i="134" s="1"/>
  <c r="AG87" i="134" s="1"/>
  <c r="AC38" i="134"/>
  <c r="X75" i="134"/>
  <c r="X39" i="134"/>
  <c r="AI8" i="134" l="1"/>
  <c r="T50" i="134"/>
  <c r="AI77" i="134"/>
  <c r="X81" i="142"/>
  <c r="X83" i="142" s="1"/>
  <c r="X84" i="142" s="1"/>
  <c r="X86" i="142" s="1"/>
  <c r="X93" i="142" s="1"/>
  <c r="X97" i="142" s="1"/>
  <c r="X76" i="142"/>
  <c r="I81" i="134"/>
  <c r="I83" i="134" s="1"/>
  <c r="I84" i="134" s="1"/>
  <c r="I86" i="134" s="1"/>
  <c r="I87" i="134" s="1"/>
  <c r="I76" i="134"/>
  <c r="X76" i="134"/>
  <c r="X81" i="134"/>
  <c r="X83" i="134" s="1"/>
  <c r="X84" i="134" s="1"/>
  <c r="X86" i="134" s="1"/>
  <c r="X87" i="134" s="1"/>
  <c r="AI56" i="134"/>
  <c r="AI17" i="134"/>
  <c r="AI16" i="134"/>
  <c r="AI15" i="134"/>
  <c r="AI14" i="134"/>
  <c r="AI12" i="134"/>
  <c r="AI11" i="134"/>
  <c r="AI47" i="134"/>
  <c r="AI46" i="134"/>
  <c r="AI45" i="134"/>
  <c r="AI44" i="134"/>
  <c r="AI43" i="134"/>
  <c r="AI42" i="134"/>
  <c r="AI41" i="134"/>
  <c r="AI13" i="134"/>
  <c r="AI10" i="134"/>
  <c r="AI9" i="134"/>
  <c r="AI20" i="134"/>
  <c r="AI27" i="134"/>
  <c r="AI79" i="134"/>
  <c r="AI52" i="134"/>
  <c r="AI59" i="134"/>
  <c r="AI63" i="134"/>
  <c r="AI60" i="134"/>
  <c r="AI64" i="134"/>
  <c r="AI74" i="134"/>
  <c r="AI55" i="134"/>
  <c r="AI48" i="134"/>
  <c r="AI25" i="134"/>
  <c r="AI33" i="134"/>
  <c r="AI35" i="134"/>
  <c r="AI32" i="134"/>
  <c r="AI69" i="134"/>
  <c r="AI68" i="134"/>
  <c r="AI18" i="134"/>
  <c r="AI29" i="134"/>
  <c r="AI26" i="134"/>
  <c r="AI23" i="134"/>
  <c r="AI36" i="134"/>
  <c r="AI19" i="134"/>
  <c r="AI24" i="134"/>
  <c r="AI22" i="134"/>
  <c r="AI30" i="134"/>
  <c r="AI57" i="134"/>
  <c r="AI61" i="134"/>
  <c r="AI65" i="134"/>
  <c r="AI62" i="134"/>
  <c r="AI66" i="134"/>
  <c r="AI67" i="134"/>
  <c r="AI21" i="134"/>
  <c r="AI28" i="134"/>
  <c r="AI31" i="134"/>
  <c r="AI51" i="134"/>
  <c r="AI71" i="134"/>
  <c r="AI70" i="134"/>
  <c r="AI73" i="134"/>
  <c r="AI58" i="134"/>
  <c r="AB81" i="134"/>
  <c r="AB83" i="134" s="1"/>
  <c r="AB84" i="134" s="1"/>
  <c r="AB86" i="134" s="1"/>
  <c r="AB87" i="134" s="1"/>
  <c r="AB76" i="134"/>
  <c r="AF81" i="134"/>
  <c r="AF83" i="134" s="1"/>
  <c r="AF84" i="134" s="1"/>
  <c r="AF86" i="134" s="1"/>
  <c r="AF87" i="134" s="1"/>
  <c r="AF76" i="134"/>
  <c r="M76" i="134"/>
  <c r="M81" i="134"/>
  <c r="M83" i="134" s="1"/>
  <c r="M84" i="134" s="1"/>
  <c r="M86" i="134" s="1"/>
  <c r="M87" i="134" s="1"/>
  <c r="T59" i="134"/>
  <c r="T56" i="134"/>
  <c r="T55" i="134"/>
  <c r="T47" i="134"/>
  <c r="T46" i="134"/>
  <c r="T45" i="134"/>
  <c r="T44" i="134"/>
  <c r="T43" i="134"/>
  <c r="T42" i="134"/>
  <c r="T17" i="134"/>
  <c r="T16" i="134"/>
  <c r="T15" i="134"/>
  <c r="T14" i="134"/>
  <c r="T13" i="134"/>
  <c r="T12" i="134"/>
  <c r="T10" i="134"/>
  <c r="T9" i="134"/>
  <c r="T41" i="134"/>
  <c r="T11" i="134"/>
  <c r="T20" i="134"/>
  <c r="T19" i="134"/>
  <c r="T24" i="134"/>
  <c r="T22" i="134"/>
  <c r="T52" i="134"/>
  <c r="T73" i="134"/>
  <c r="T26" i="134"/>
  <c r="T67" i="134"/>
  <c r="T71" i="134"/>
  <c r="T27" i="134"/>
  <c r="T30" i="134"/>
  <c r="T60" i="134"/>
  <c r="T64" i="134"/>
  <c r="T61" i="134"/>
  <c r="T65" i="134"/>
  <c r="T57" i="134"/>
  <c r="T25" i="134"/>
  <c r="T23" i="134"/>
  <c r="T29" i="134"/>
  <c r="T28" i="134"/>
  <c r="T51" i="134"/>
  <c r="T62" i="134"/>
  <c r="T21" i="134"/>
  <c r="T35" i="134"/>
  <c r="T58" i="134"/>
  <c r="T18" i="134"/>
  <c r="T36" i="134"/>
  <c r="T31" i="134"/>
  <c r="T70" i="134"/>
  <c r="T69" i="134"/>
  <c r="T32" i="134"/>
  <c r="T33" i="134"/>
  <c r="T68" i="134"/>
  <c r="T74" i="134"/>
  <c r="T48" i="134"/>
  <c r="T79" i="134"/>
  <c r="T66" i="134"/>
  <c r="T63" i="134"/>
  <c r="W76" i="134"/>
  <c r="W81" i="134"/>
  <c r="W83" i="134" s="1"/>
  <c r="W84" i="134" s="1"/>
  <c r="W86" i="134" s="1"/>
  <c r="W87" i="134" s="1"/>
  <c r="T77" i="134"/>
  <c r="E76" i="134"/>
  <c r="E81" i="134"/>
  <c r="E83" i="134" s="1"/>
  <c r="E84" i="134" s="1"/>
  <c r="E86" i="134" s="1"/>
  <c r="E87" i="134" s="1"/>
  <c r="AD71" i="134"/>
  <c r="AD70" i="134"/>
  <c r="AD69" i="134"/>
  <c r="AD68" i="134"/>
  <c r="AD67" i="134"/>
  <c r="AD74" i="134"/>
  <c r="AD73" i="134"/>
  <c r="AD48" i="134"/>
  <c r="AD36" i="134"/>
  <c r="AD35" i="134"/>
  <c r="AD19" i="134"/>
  <c r="AD13" i="134"/>
  <c r="AD57" i="134"/>
  <c r="AD63" i="134"/>
  <c r="AD54" i="134"/>
  <c r="AD62" i="134"/>
  <c r="AD55" i="134"/>
  <c r="AD11" i="134"/>
  <c r="AD24" i="134"/>
  <c r="AD18" i="134"/>
  <c r="AD33" i="134"/>
  <c r="AD56" i="134"/>
  <c r="AD65" i="134"/>
  <c r="AD50" i="134"/>
  <c r="AD43" i="134"/>
  <c r="AD25" i="134"/>
  <c r="AD12" i="134"/>
  <c r="AD28" i="134"/>
  <c r="AD44" i="134"/>
  <c r="AD23" i="134"/>
  <c r="AD29" i="134"/>
  <c r="AD46" i="134"/>
  <c r="AD15" i="134"/>
  <c r="AD42" i="134"/>
  <c r="AD20" i="134"/>
  <c r="AD47" i="134"/>
  <c r="AD30" i="134"/>
  <c r="AD52" i="134"/>
  <c r="AD32" i="134"/>
  <c r="AD31" i="134"/>
  <c r="AD41" i="134"/>
  <c r="AD58" i="134"/>
  <c r="AD64" i="134"/>
  <c r="AD14" i="134"/>
  <c r="AD22" i="134"/>
  <c r="AD16" i="134"/>
  <c r="AD45" i="134"/>
  <c r="AD9" i="134"/>
  <c r="AD10" i="134"/>
  <c r="AD17" i="134"/>
  <c r="AD21" i="134"/>
  <c r="AD27" i="134"/>
  <c r="AD26" i="134"/>
  <c r="AD51" i="134"/>
  <c r="AD79" i="134"/>
  <c r="AD60" i="134"/>
  <c r="AD66" i="134"/>
  <c r="AD59" i="134"/>
  <c r="AD61" i="134"/>
  <c r="AM89" i="134"/>
  <c r="AN8" i="134" s="1"/>
  <c r="S75" i="134"/>
  <c r="S39" i="134"/>
  <c r="AL81" i="134"/>
  <c r="AL83" i="134" s="1"/>
  <c r="AL84" i="134" s="1"/>
  <c r="AL86" i="134" s="1"/>
  <c r="AL87" i="134" s="1"/>
  <c r="AL76" i="134"/>
  <c r="O71" i="134"/>
  <c r="O70" i="134"/>
  <c r="O69" i="134"/>
  <c r="O68" i="134"/>
  <c r="O67" i="134"/>
  <c r="O79" i="134"/>
  <c r="O74" i="134"/>
  <c r="O48" i="134"/>
  <c r="O36" i="134"/>
  <c r="O35" i="134"/>
  <c r="O73" i="134"/>
  <c r="O27" i="134"/>
  <c r="O12" i="134"/>
  <c r="O18" i="134"/>
  <c r="O22" i="134"/>
  <c r="O28" i="134"/>
  <c r="O23" i="134"/>
  <c r="O54" i="134"/>
  <c r="O42" i="134"/>
  <c r="O41" i="134"/>
  <c r="O32" i="134"/>
  <c r="O52" i="134"/>
  <c r="O61" i="134"/>
  <c r="O55" i="134"/>
  <c r="O50" i="134"/>
  <c r="O58" i="134"/>
  <c r="O63" i="134"/>
  <c r="O59" i="134"/>
  <c r="O13" i="134"/>
  <c r="O43" i="134"/>
  <c r="O64" i="134"/>
  <c r="O29" i="134"/>
  <c r="O57" i="134"/>
  <c r="O9" i="134"/>
  <c r="O14" i="134"/>
  <c r="O65" i="134"/>
  <c r="O24" i="134"/>
  <c r="O26" i="134"/>
  <c r="O15" i="134"/>
  <c r="O19" i="134"/>
  <c r="O33" i="134"/>
  <c r="O45" i="134"/>
  <c r="O60" i="134"/>
  <c r="O66" i="134"/>
  <c r="O10" i="134"/>
  <c r="O16" i="134"/>
  <c r="O25" i="134"/>
  <c r="O21" i="134"/>
  <c r="O11" i="134"/>
  <c r="O17" i="134"/>
  <c r="O51" i="134"/>
  <c r="O30" i="134"/>
  <c r="O47" i="134"/>
  <c r="O56" i="134"/>
  <c r="O62" i="134"/>
  <c r="O44" i="134"/>
  <c r="O20" i="134"/>
  <c r="O31" i="134"/>
  <c r="O46" i="134"/>
  <c r="AH76" i="134"/>
  <c r="AH81" i="134"/>
  <c r="AH83" i="134" s="1"/>
  <c r="AH84" i="134" s="1"/>
  <c r="AH86" i="134" s="1"/>
  <c r="AH87" i="134" s="1"/>
  <c r="AI50" i="134"/>
  <c r="H81" i="134"/>
  <c r="H83" i="134" s="1"/>
  <c r="H84" i="134" s="1"/>
  <c r="H86" i="134" s="1"/>
  <c r="H87" i="134" s="1"/>
  <c r="H76" i="134"/>
  <c r="AK39" i="134"/>
  <c r="AK75" i="134"/>
  <c r="AC75" i="134"/>
  <c r="AC39" i="134"/>
  <c r="T54" i="134"/>
  <c r="AA81" i="134"/>
  <c r="AA83" i="134" s="1"/>
  <c r="AA84" i="134" s="1"/>
  <c r="AA86" i="134" s="1"/>
  <c r="AA87" i="134" s="1"/>
  <c r="AA76" i="134"/>
  <c r="AM5" i="134"/>
  <c r="AM38" i="134" s="1"/>
  <c r="C81" i="134"/>
  <c r="C83" i="134" s="1"/>
  <c r="C84" i="134" s="1"/>
  <c r="C86" i="134" s="1"/>
  <c r="C87" i="134" s="1"/>
  <c r="C76" i="134"/>
  <c r="N76" i="134"/>
  <c r="N81" i="134"/>
  <c r="N83" i="134" s="1"/>
  <c r="N84" i="134" s="1"/>
  <c r="N86" i="134" s="1"/>
  <c r="N87" i="134" s="1"/>
  <c r="J71" i="134"/>
  <c r="J70" i="134"/>
  <c r="J79" i="134"/>
  <c r="J34" i="134"/>
  <c r="J50" i="134"/>
  <c r="J37" i="134"/>
  <c r="J51" i="134"/>
  <c r="J27" i="134"/>
  <c r="J52" i="134"/>
  <c r="J18" i="134"/>
  <c r="J17" i="134"/>
  <c r="J12" i="134"/>
  <c r="J10" i="134"/>
  <c r="J16" i="134"/>
  <c r="J14" i="134"/>
  <c r="J9" i="134"/>
  <c r="J15" i="134"/>
  <c r="J13" i="134"/>
  <c r="J11" i="134"/>
  <c r="J48" i="134"/>
  <c r="J29" i="134"/>
  <c r="J67" i="134"/>
  <c r="J55" i="134"/>
  <c r="J60" i="134"/>
  <c r="J64" i="134"/>
  <c r="J74" i="134"/>
  <c r="J47" i="134"/>
  <c r="J25" i="134"/>
  <c r="J43" i="134"/>
  <c r="J56" i="134"/>
  <c r="J19" i="134"/>
  <c r="J30" i="134"/>
  <c r="J33" i="134"/>
  <c r="J63" i="134"/>
  <c r="J28" i="134"/>
  <c r="J24" i="134"/>
  <c r="J45" i="134"/>
  <c r="J42" i="134"/>
  <c r="J57" i="134"/>
  <c r="J20" i="134"/>
  <c r="J44" i="134"/>
  <c r="J35" i="134"/>
  <c r="J8" i="134"/>
  <c r="J26" i="134"/>
  <c r="J23" i="134"/>
  <c r="J22" i="134"/>
  <c r="J21" i="134"/>
  <c r="J36" i="134"/>
  <c r="J78" i="134"/>
  <c r="J61" i="134"/>
  <c r="J65" i="134"/>
  <c r="J68" i="134"/>
  <c r="J41" i="134"/>
  <c r="J59" i="134"/>
  <c r="J69" i="134"/>
  <c r="J31" i="134"/>
  <c r="J32" i="134"/>
  <c r="J46" i="134"/>
  <c r="J58" i="134"/>
  <c r="J62" i="134"/>
  <c r="J66" i="134"/>
  <c r="X87" i="142" l="1"/>
  <c r="AM75" i="134"/>
  <c r="AM39" i="134"/>
  <c r="AC81" i="134"/>
  <c r="AC83" i="134" s="1"/>
  <c r="AC84" i="134" s="1"/>
  <c r="AC86" i="134" s="1"/>
  <c r="AC87" i="134" s="1"/>
  <c r="AC76" i="134"/>
  <c r="AN72" i="134"/>
  <c r="AN74" i="134"/>
  <c r="AN49" i="134"/>
  <c r="AN48" i="134"/>
  <c r="AN36" i="134"/>
  <c r="AN35" i="134" s="1"/>
  <c r="AN9" i="134"/>
  <c r="AN15" i="134"/>
  <c r="AN27" i="134"/>
  <c r="AN23" i="134"/>
  <c r="AN32" i="134"/>
  <c r="AN33" i="134"/>
  <c r="AN44" i="134"/>
  <c r="AN61" i="134"/>
  <c r="AN65" i="134"/>
  <c r="AN68" i="134"/>
  <c r="AN45" i="134"/>
  <c r="AN55" i="134"/>
  <c r="AN67" i="134"/>
  <c r="AN70" i="134"/>
  <c r="AN29" i="134"/>
  <c r="AN30" i="134"/>
  <c r="AN60" i="134"/>
  <c r="AN10" i="134"/>
  <c r="AN16" i="134"/>
  <c r="AN28" i="134"/>
  <c r="AN24" i="134"/>
  <c r="AN22" i="134"/>
  <c r="AN31" i="134"/>
  <c r="AN11" i="134"/>
  <c r="AN17" i="134"/>
  <c r="AN25" i="134"/>
  <c r="AN26" i="134"/>
  <c r="AN51" i="134"/>
  <c r="AN56" i="134"/>
  <c r="AN12" i="134"/>
  <c r="AN21" i="134"/>
  <c r="AN42" i="134"/>
  <c r="AN47" i="134"/>
  <c r="AN59" i="134"/>
  <c r="AN63" i="134"/>
  <c r="AN69" i="134"/>
  <c r="AN13" i="134"/>
  <c r="AN14" i="134"/>
  <c r="AN19" i="134"/>
  <c r="AN43" i="134"/>
  <c r="AN58" i="134"/>
  <c r="AN62" i="134"/>
  <c r="AN66" i="134"/>
  <c r="AN46" i="134"/>
  <c r="AN64" i="134"/>
  <c r="AN20" i="134"/>
  <c r="AN71" i="134"/>
  <c r="AN18" i="134"/>
  <c r="AN52" i="134"/>
  <c r="AN57" i="134"/>
  <c r="AN41" i="134"/>
  <c r="S81" i="134"/>
  <c r="S83" i="134" s="1"/>
  <c r="S84" i="134" s="1"/>
  <c r="S86" i="134" s="1"/>
  <c r="S87" i="134" s="1"/>
  <c r="S76" i="134"/>
  <c r="AM90" i="134"/>
  <c r="AK81" i="134"/>
  <c r="AK83" i="134" s="1"/>
  <c r="AK84" i="134" s="1"/>
  <c r="AK86" i="134" s="1"/>
  <c r="AK87" i="134" s="1"/>
  <c r="AK76" i="134"/>
  <c r="AN54" i="134"/>
  <c r="AM81" i="134" l="1"/>
  <c r="AM83" i="134" s="1"/>
  <c r="AM84" i="134" s="1"/>
  <c r="AM86" i="134" s="1"/>
  <c r="AM87" i="134" s="1"/>
  <c r="AM76" i="134"/>
  <c r="BM85" i="114" l="1"/>
  <c r="BM82" i="114"/>
  <c r="BM78" i="114"/>
  <c r="BL77" i="114"/>
  <c r="BK77" i="114"/>
  <c r="BM74" i="114"/>
  <c r="BL73" i="114"/>
  <c r="BK73" i="114"/>
  <c r="BM71" i="114"/>
  <c r="BM70" i="114"/>
  <c r="BM69" i="114"/>
  <c r="BM68" i="114"/>
  <c r="BM67" i="114"/>
  <c r="BM66" i="114"/>
  <c r="BM65" i="114"/>
  <c r="BM64" i="114"/>
  <c r="BM63" i="114"/>
  <c r="BM62" i="114"/>
  <c r="BM61" i="114"/>
  <c r="BM60" i="114"/>
  <c r="BM59" i="114"/>
  <c r="BM58" i="114"/>
  <c r="BM57" i="114"/>
  <c r="BM56" i="114"/>
  <c r="BM55" i="114"/>
  <c r="BL54" i="114"/>
  <c r="BK54" i="114"/>
  <c r="BM52" i="114"/>
  <c r="BM51" i="114"/>
  <c r="BL50" i="114"/>
  <c r="BK50" i="114"/>
  <c r="BM48" i="114"/>
  <c r="BM47" i="114"/>
  <c r="BM46" i="114"/>
  <c r="BM45" i="114"/>
  <c r="BM44" i="114"/>
  <c r="BM43" i="114"/>
  <c r="BM42" i="114"/>
  <c r="BL41" i="114"/>
  <c r="BK41" i="114"/>
  <c r="BM36" i="114"/>
  <c r="BM33" i="114"/>
  <c r="BM32" i="114"/>
  <c r="BM31" i="114"/>
  <c r="BM30" i="114"/>
  <c r="BM29" i="114"/>
  <c r="BM28" i="114"/>
  <c r="BM27" i="114"/>
  <c r="BM26" i="114"/>
  <c r="BM25" i="114"/>
  <c r="BM24" i="114"/>
  <c r="BM23" i="114"/>
  <c r="BM22" i="114"/>
  <c r="BM21" i="114"/>
  <c r="BM20" i="114"/>
  <c r="BM19" i="114"/>
  <c r="BM18" i="114"/>
  <c r="BM17" i="114"/>
  <c r="BM16" i="114"/>
  <c r="BM15" i="114"/>
  <c r="BM14" i="114"/>
  <c r="BM13" i="114"/>
  <c r="BM12" i="114"/>
  <c r="BM11" i="114"/>
  <c r="BM10" i="114"/>
  <c r="BM9" i="114"/>
  <c r="BL8" i="114"/>
  <c r="BM79" i="114" s="1"/>
  <c r="BM7" i="114"/>
  <c r="BM5" i="114" s="1"/>
  <c r="BM6" i="114"/>
  <c r="BL5" i="114"/>
  <c r="BK5" i="114"/>
  <c r="CQ103" i="126"/>
  <c r="CE26" i="126"/>
  <c r="CG26" i="126" s="1"/>
  <c r="BZ26" i="126"/>
  <c r="CP85" i="126"/>
  <c r="CO85" i="126"/>
  <c r="CQ85" i="126" s="1"/>
  <c r="CP82" i="126"/>
  <c r="CO82" i="126"/>
  <c r="CP79" i="126"/>
  <c r="CO79" i="126"/>
  <c r="CP78" i="126"/>
  <c r="CO78" i="126"/>
  <c r="CP74" i="126"/>
  <c r="CP73" i="126" s="1"/>
  <c r="CO74" i="126"/>
  <c r="CO73" i="126" s="1"/>
  <c r="CP71" i="126"/>
  <c r="CO71" i="126"/>
  <c r="CP70" i="126"/>
  <c r="CO70" i="126"/>
  <c r="CQ70" i="126" s="1"/>
  <c r="CP69" i="126"/>
  <c r="CO69" i="126"/>
  <c r="CP68" i="126"/>
  <c r="CO68" i="126"/>
  <c r="CP67" i="126"/>
  <c r="CO67" i="126"/>
  <c r="CP66" i="126"/>
  <c r="CO66" i="126"/>
  <c r="CP64" i="126"/>
  <c r="CO64" i="126"/>
  <c r="CP63" i="126"/>
  <c r="CP62" i="126"/>
  <c r="CO62" i="126"/>
  <c r="CO61" i="126"/>
  <c r="CP60" i="126"/>
  <c r="CO60" i="126"/>
  <c r="CP59" i="126"/>
  <c r="CQ59" i="126" s="1"/>
  <c r="CO59" i="126"/>
  <c r="CO58" i="126"/>
  <c r="CP57" i="126"/>
  <c r="CQ57" i="126" s="1"/>
  <c r="CO57" i="126"/>
  <c r="CP56" i="126"/>
  <c r="CO56" i="126"/>
  <c r="CQ56" i="126" s="1"/>
  <c r="CP55" i="126"/>
  <c r="CO55" i="126"/>
  <c r="CP52" i="126"/>
  <c r="CO52" i="126"/>
  <c r="CP51" i="126"/>
  <c r="CO51" i="126"/>
  <c r="CP48" i="126"/>
  <c r="CP47" i="126"/>
  <c r="CP46" i="126"/>
  <c r="CO46" i="126"/>
  <c r="CP45" i="126"/>
  <c r="CP44" i="126"/>
  <c r="CO44" i="126"/>
  <c r="CP43" i="126"/>
  <c r="CP42" i="126"/>
  <c r="CO42" i="126"/>
  <c r="CP36" i="126"/>
  <c r="CP35" i="126" s="1"/>
  <c r="CO33" i="126"/>
  <c r="CP32" i="126"/>
  <c r="CO32" i="126"/>
  <c r="CQ32" i="126" s="1"/>
  <c r="CO31" i="126"/>
  <c r="CO30" i="126"/>
  <c r="CP27" i="126"/>
  <c r="CP26" i="126"/>
  <c r="CP24" i="126"/>
  <c r="CP23" i="126"/>
  <c r="CQ23" i="126" s="1"/>
  <c r="CO23" i="126"/>
  <c r="CP22" i="126"/>
  <c r="CP21" i="126"/>
  <c r="CP20" i="126"/>
  <c r="CP19" i="126"/>
  <c r="CP18" i="126"/>
  <c r="CP17" i="126"/>
  <c r="CO17" i="126"/>
  <c r="CO16" i="126"/>
  <c r="CP15" i="126"/>
  <c r="CO15" i="126"/>
  <c r="CP14" i="126"/>
  <c r="CO14" i="126"/>
  <c r="CP13" i="126"/>
  <c r="CO13" i="126"/>
  <c r="CP11" i="126"/>
  <c r="CP10" i="126"/>
  <c r="CP9" i="126"/>
  <c r="CP6" i="126"/>
  <c r="CE18" i="126"/>
  <c r="CE8" i="126" s="1"/>
  <c r="BZ18" i="126"/>
  <c r="CB18" i="126" s="1"/>
  <c r="CG85" i="126"/>
  <c r="CG82" i="126"/>
  <c r="CG78" i="126"/>
  <c r="CF77" i="126"/>
  <c r="CE77" i="126"/>
  <c r="CG74" i="126"/>
  <c r="CF73" i="126"/>
  <c r="CE73" i="126"/>
  <c r="CF58" i="126"/>
  <c r="CF54" i="126" s="1"/>
  <c r="CG57" i="126"/>
  <c r="CG56" i="126"/>
  <c r="CG55" i="126"/>
  <c r="CE54" i="126"/>
  <c r="CG52" i="126"/>
  <c r="CG51" i="126"/>
  <c r="CF50" i="126"/>
  <c r="CE50" i="126"/>
  <c r="CG48" i="126"/>
  <c r="CG47" i="126"/>
  <c r="CG46" i="126"/>
  <c r="CG45" i="126"/>
  <c r="CG44" i="126"/>
  <c r="CG43" i="126"/>
  <c r="CG42" i="126"/>
  <c r="CF41" i="126"/>
  <c r="CG36" i="126"/>
  <c r="CG33" i="126"/>
  <c r="CG32" i="126"/>
  <c r="CG31" i="126"/>
  <c r="CG30" i="126"/>
  <c r="CG29" i="126"/>
  <c r="CG28" i="126"/>
  <c r="CG27" i="126"/>
  <c r="CG24" i="126"/>
  <c r="CG23" i="126"/>
  <c r="CG22" i="126"/>
  <c r="CG21" i="126"/>
  <c r="CG20" i="126"/>
  <c r="CG19" i="126"/>
  <c r="CG17" i="126"/>
  <c r="CG16" i="126"/>
  <c r="CG15" i="126"/>
  <c r="CG14" i="126"/>
  <c r="CG13" i="126"/>
  <c r="CG12" i="126"/>
  <c r="CG11" i="126"/>
  <c r="CG10" i="126"/>
  <c r="CG9" i="126"/>
  <c r="CF8" i="126"/>
  <c r="CG7" i="126"/>
  <c r="CG6" i="126"/>
  <c r="CF5" i="126"/>
  <c r="CE5" i="126"/>
  <c r="CL85" i="126"/>
  <c r="CB85" i="126"/>
  <c r="BW85" i="126"/>
  <c r="BR85" i="126"/>
  <c r="BM85" i="126"/>
  <c r="BH85" i="126"/>
  <c r="BC85" i="126"/>
  <c r="AX85" i="126"/>
  <c r="AS85" i="126"/>
  <c r="AN85" i="126"/>
  <c r="AI85" i="126"/>
  <c r="AD85" i="126"/>
  <c r="Y85" i="126"/>
  <c r="T85" i="126"/>
  <c r="O85" i="126"/>
  <c r="I85" i="126"/>
  <c r="E85" i="126"/>
  <c r="CL82" i="126"/>
  <c r="CB82" i="126"/>
  <c r="BW82" i="126"/>
  <c r="BR82" i="126"/>
  <c r="BM82" i="126"/>
  <c r="BH82" i="126"/>
  <c r="BC82" i="126"/>
  <c r="AX82" i="126"/>
  <c r="AS82" i="126"/>
  <c r="AN82" i="126"/>
  <c r="AI82" i="126"/>
  <c r="AD82" i="126"/>
  <c r="Y82" i="126"/>
  <c r="T82" i="126"/>
  <c r="O82" i="126"/>
  <c r="I82" i="126"/>
  <c r="E82" i="126"/>
  <c r="CP80" i="126"/>
  <c r="CO80" i="126"/>
  <c r="CP77" i="126"/>
  <c r="BW79" i="126"/>
  <c r="BR79" i="126"/>
  <c r="BM79" i="126"/>
  <c r="BH79" i="126"/>
  <c r="BC79" i="126"/>
  <c r="AS79" i="126"/>
  <c r="AN79" i="126"/>
  <c r="AI79" i="126"/>
  <c r="AD79" i="126"/>
  <c r="Y79" i="126"/>
  <c r="E79" i="126"/>
  <c r="CL78" i="126"/>
  <c r="CB78" i="126"/>
  <c r="BW78" i="126"/>
  <c r="BR78" i="126"/>
  <c r="BM78" i="126"/>
  <c r="BM77" i="126" s="1"/>
  <c r="BH78" i="126"/>
  <c r="BC78" i="126"/>
  <c r="AX78" i="126"/>
  <c r="AS78" i="126"/>
  <c r="AN78" i="126"/>
  <c r="AI78" i="126"/>
  <c r="AD78" i="126"/>
  <c r="Y78" i="126"/>
  <c r="T78" i="126"/>
  <c r="O78" i="126"/>
  <c r="O77" i="126" s="1"/>
  <c r="I78" i="126"/>
  <c r="I77" i="126" s="1"/>
  <c r="E78" i="126"/>
  <c r="E77" i="126" s="1"/>
  <c r="CK77" i="126"/>
  <c r="CJ77" i="126"/>
  <c r="CB77" i="126"/>
  <c r="CA77" i="126"/>
  <c r="BZ77" i="126"/>
  <c r="BV77" i="126"/>
  <c r="BU77" i="126"/>
  <c r="BQ77" i="126"/>
  <c r="BP77" i="126"/>
  <c r="BL77" i="126"/>
  <c r="BK77" i="126"/>
  <c r="BG77" i="126"/>
  <c r="BF77" i="126"/>
  <c r="BB77" i="126"/>
  <c r="BA77" i="126"/>
  <c r="AX77" i="126"/>
  <c r="AW77" i="126"/>
  <c r="AV77" i="126"/>
  <c r="AR77" i="126"/>
  <c r="AQ77" i="126"/>
  <c r="AM77" i="126"/>
  <c r="AL77" i="126"/>
  <c r="AH77" i="126"/>
  <c r="AG77" i="126"/>
  <c r="AC77" i="126"/>
  <c r="AB77" i="126"/>
  <c r="X77" i="126"/>
  <c r="W77" i="126"/>
  <c r="T77" i="126"/>
  <c r="S77" i="126"/>
  <c r="R77" i="126"/>
  <c r="N77" i="126"/>
  <c r="M77" i="126"/>
  <c r="H77" i="126"/>
  <c r="G77" i="126"/>
  <c r="D77" i="126"/>
  <c r="C77" i="126"/>
  <c r="X75" i="126"/>
  <c r="X81" i="126" s="1"/>
  <c r="X83" i="126" s="1"/>
  <c r="W75" i="126"/>
  <c r="W81" i="126" s="1"/>
  <c r="W83" i="126" s="1"/>
  <c r="S75" i="126"/>
  <c r="S81" i="126" s="1"/>
  <c r="R75" i="126"/>
  <c r="N75" i="126"/>
  <c r="N81" i="126" s="1"/>
  <c r="N83" i="126" s="1"/>
  <c r="M75" i="126"/>
  <c r="M81" i="126" s="1"/>
  <c r="M83" i="126" s="1"/>
  <c r="CL74" i="126"/>
  <c r="CL73" i="126" s="1"/>
  <c r="CB74" i="126"/>
  <c r="CB73" i="126" s="1"/>
  <c r="BW74" i="126"/>
  <c r="BR74" i="126"/>
  <c r="BR73" i="126" s="1"/>
  <c r="BM74" i="126"/>
  <c r="BM73" i="126" s="1"/>
  <c r="BH74" i="126"/>
  <c r="BH73" i="126" s="1"/>
  <c r="BC74" i="126"/>
  <c r="AX74" i="126"/>
  <c r="AX73" i="126" s="1"/>
  <c r="AS74" i="126"/>
  <c r="AS73" i="126" s="1"/>
  <c r="AN74" i="126"/>
  <c r="AN73" i="126" s="1"/>
  <c r="AI74" i="126"/>
  <c r="AD74" i="126"/>
  <c r="AD73" i="126" s="1"/>
  <c r="Y74" i="126"/>
  <c r="Y73" i="126" s="1"/>
  <c r="T74" i="126"/>
  <c r="T73" i="126" s="1"/>
  <c r="O74" i="126"/>
  <c r="I74" i="126"/>
  <c r="E74" i="126"/>
  <c r="CK73" i="126"/>
  <c r="CJ73" i="126"/>
  <c r="CA73" i="126"/>
  <c r="BZ73" i="126"/>
  <c r="BW73" i="126"/>
  <c r="BV73" i="126"/>
  <c r="BU73" i="126"/>
  <c r="BQ73" i="126"/>
  <c r="BP73" i="126"/>
  <c r="BL73" i="126"/>
  <c r="BK73" i="126"/>
  <c r="BG73" i="126"/>
  <c r="BF73" i="126"/>
  <c r="BC73" i="126"/>
  <c r="BB73" i="126"/>
  <c r="BA73" i="126"/>
  <c r="AW73" i="126"/>
  <c r="AV73" i="126"/>
  <c r="AR73" i="126"/>
  <c r="AQ73" i="126"/>
  <c r="AM73" i="126"/>
  <c r="AL73" i="126"/>
  <c r="AH73" i="126"/>
  <c r="AG73" i="126"/>
  <c r="AC73" i="126"/>
  <c r="AB73" i="126"/>
  <c r="X73" i="126"/>
  <c r="W73" i="126"/>
  <c r="S73" i="126"/>
  <c r="R73" i="126"/>
  <c r="N73" i="126"/>
  <c r="M73" i="126"/>
  <c r="H73" i="126"/>
  <c r="G73" i="126"/>
  <c r="E73" i="126"/>
  <c r="D73" i="126"/>
  <c r="C73" i="126"/>
  <c r="BW71" i="126"/>
  <c r="BR71" i="126"/>
  <c r="BM71" i="126"/>
  <c r="BH71" i="126"/>
  <c r="BC71" i="126"/>
  <c r="AX71" i="126"/>
  <c r="AS71" i="126"/>
  <c r="AN71" i="126"/>
  <c r="AI71" i="126"/>
  <c r="AD71" i="126"/>
  <c r="Y71" i="126"/>
  <c r="T71" i="126"/>
  <c r="O71" i="126"/>
  <c r="I71" i="126"/>
  <c r="E71" i="126"/>
  <c r="BW70" i="126"/>
  <c r="BR70" i="126"/>
  <c r="BM70" i="126"/>
  <c r="BH70" i="126"/>
  <c r="BC70" i="126"/>
  <c r="AX70" i="126"/>
  <c r="AS70" i="126"/>
  <c r="AN70" i="126"/>
  <c r="AI70" i="126"/>
  <c r="AD70" i="126"/>
  <c r="Y70" i="126"/>
  <c r="T70" i="126"/>
  <c r="O70" i="126"/>
  <c r="I70" i="126"/>
  <c r="E70" i="126"/>
  <c r="BW69" i="126"/>
  <c r="BR69" i="126"/>
  <c r="BM69" i="126"/>
  <c r="BH69" i="126"/>
  <c r="BC69" i="126"/>
  <c r="AX69" i="126"/>
  <c r="AS69" i="126"/>
  <c r="AN69" i="126"/>
  <c r="AI69" i="126"/>
  <c r="AD69" i="126"/>
  <c r="Y69" i="126"/>
  <c r="T69" i="126"/>
  <c r="O69" i="126"/>
  <c r="I69" i="126"/>
  <c r="E69" i="126"/>
  <c r="CQ68" i="126"/>
  <c r="BW68" i="126"/>
  <c r="BR68" i="126"/>
  <c r="BM68" i="126"/>
  <c r="BH68" i="126"/>
  <c r="BC68" i="126"/>
  <c r="AX68" i="126"/>
  <c r="AS68" i="126"/>
  <c r="AN68" i="126"/>
  <c r="AI68" i="126"/>
  <c r="AD68" i="126"/>
  <c r="Y68" i="126"/>
  <c r="T68" i="126"/>
  <c r="O68" i="126"/>
  <c r="I68" i="126"/>
  <c r="E68" i="126"/>
  <c r="BW67" i="126"/>
  <c r="BR67" i="126"/>
  <c r="BM67" i="126"/>
  <c r="BH67" i="126"/>
  <c r="BC67" i="126"/>
  <c r="AX67" i="126"/>
  <c r="AS67" i="126"/>
  <c r="AN67" i="126"/>
  <c r="AI67" i="126"/>
  <c r="AD67" i="126"/>
  <c r="Y67" i="126"/>
  <c r="T67" i="126"/>
  <c r="O67" i="126"/>
  <c r="I67" i="126"/>
  <c r="E67" i="126"/>
  <c r="BW66" i="126"/>
  <c r="BR66" i="126"/>
  <c r="BM66" i="126"/>
  <c r="BH66" i="126"/>
  <c r="BC66" i="126"/>
  <c r="AX66" i="126"/>
  <c r="AS66" i="126"/>
  <c r="AN66" i="126"/>
  <c r="AI66" i="126"/>
  <c r="AD66" i="126"/>
  <c r="Y66" i="126"/>
  <c r="T66" i="126"/>
  <c r="O66" i="126"/>
  <c r="I66" i="126"/>
  <c r="E66" i="126"/>
  <c r="BW65" i="126"/>
  <c r="BP65" i="126"/>
  <c r="BR65" i="126" s="1"/>
  <c r="BL65" i="126"/>
  <c r="BM65" i="126" s="1"/>
  <c r="BF65" i="126"/>
  <c r="BA65" i="126"/>
  <c r="AV65" i="126"/>
  <c r="AX65" i="126" s="1"/>
  <c r="AQ65" i="126"/>
  <c r="AS65" i="126" s="1"/>
  <c r="AL65" i="126"/>
  <c r="AN65" i="126" s="1"/>
  <c r="AG65" i="126"/>
  <c r="AI65" i="126" s="1"/>
  <c r="AD65" i="126"/>
  <c r="Y65" i="126"/>
  <c r="R65" i="126"/>
  <c r="T65" i="126" s="1"/>
  <c r="M65" i="126"/>
  <c r="I65" i="126"/>
  <c r="E65" i="126"/>
  <c r="BW64" i="126"/>
  <c r="BR64" i="126"/>
  <c r="BM64" i="126"/>
  <c r="BH64" i="126"/>
  <c r="BC64" i="126"/>
  <c r="AX64" i="126"/>
  <c r="AS64" i="126"/>
  <c r="AN64" i="126"/>
  <c r="AI64" i="126"/>
  <c r="AD64" i="126"/>
  <c r="Y64" i="126"/>
  <c r="T64" i="126"/>
  <c r="O64" i="126"/>
  <c r="I64" i="126"/>
  <c r="E64" i="126"/>
  <c r="BW63" i="126"/>
  <c r="BR63" i="126"/>
  <c r="BM63" i="126"/>
  <c r="BH63" i="126"/>
  <c r="BA63" i="126"/>
  <c r="BC63" i="126" s="1"/>
  <c r="AX63" i="126"/>
  <c r="AS63" i="126"/>
  <c r="AL63" i="126"/>
  <c r="AN63" i="126" s="1"/>
  <c r="AG63" i="126"/>
  <c r="AG54" i="126" s="1"/>
  <c r="AD63" i="126"/>
  <c r="Y63" i="126"/>
  <c r="T63" i="126"/>
  <c r="O63" i="126"/>
  <c r="I63" i="126"/>
  <c r="E63" i="126"/>
  <c r="BW62" i="126"/>
  <c r="BR62" i="126"/>
  <c r="BM62" i="126"/>
  <c r="BH62" i="126"/>
  <c r="BC62" i="126"/>
  <c r="AX62" i="126"/>
  <c r="AS62" i="126"/>
  <c r="AN62" i="126"/>
  <c r="AI62" i="126"/>
  <c r="AD62" i="126"/>
  <c r="Y62" i="126"/>
  <c r="T62" i="126"/>
  <c r="O62" i="126"/>
  <c r="I62" i="126"/>
  <c r="E62" i="126"/>
  <c r="BV61" i="126"/>
  <c r="BQ61" i="126"/>
  <c r="BR61" i="126" s="1"/>
  <c r="BM61" i="126"/>
  <c r="BH61" i="126"/>
  <c r="BC61" i="126"/>
  <c r="AX61" i="126"/>
  <c r="AS61" i="126"/>
  <c r="AN61" i="126"/>
  <c r="AI61" i="126"/>
  <c r="AD61" i="126"/>
  <c r="Y61" i="126"/>
  <c r="T61" i="126"/>
  <c r="O61" i="126"/>
  <c r="I61" i="126"/>
  <c r="E61" i="126"/>
  <c r="BW60" i="126"/>
  <c r="BR60" i="126"/>
  <c r="BM60" i="126"/>
  <c r="BH60" i="126"/>
  <c r="BC60" i="126"/>
  <c r="AX60" i="126"/>
  <c r="AS60" i="126"/>
  <c r="AN60" i="126"/>
  <c r="AI60" i="126"/>
  <c r="AD60" i="126"/>
  <c r="Y60" i="126"/>
  <c r="T60" i="126"/>
  <c r="O60" i="126"/>
  <c r="I60" i="126"/>
  <c r="E60" i="126"/>
  <c r="BW59" i="126"/>
  <c r="BR59" i="126"/>
  <c r="BM59" i="126"/>
  <c r="BH59" i="126"/>
  <c r="BC59" i="126"/>
  <c r="AX59" i="126"/>
  <c r="AS59" i="126"/>
  <c r="AN59" i="126"/>
  <c r="AI59" i="126"/>
  <c r="AD59" i="126"/>
  <c r="Y59" i="126"/>
  <c r="T59" i="126"/>
  <c r="O59" i="126"/>
  <c r="I59" i="126"/>
  <c r="E59" i="126"/>
  <c r="CK58" i="126"/>
  <c r="CK54" i="126" s="1"/>
  <c r="CA58" i="126"/>
  <c r="BV58" i="126"/>
  <c r="BW58" i="126" s="1"/>
  <c r="BR58" i="126"/>
  <c r="BM58" i="126"/>
  <c r="BH58" i="126"/>
  <c r="BC58" i="126"/>
  <c r="AX58" i="126"/>
  <c r="AR58" i="126"/>
  <c r="AN58" i="126"/>
  <c r="AI58" i="126"/>
  <c r="AD58" i="126"/>
  <c r="Y58" i="126"/>
  <c r="T58" i="126"/>
  <c r="O58" i="126"/>
  <c r="I58" i="126"/>
  <c r="E58" i="126"/>
  <c r="CL57" i="126"/>
  <c r="CB57" i="126"/>
  <c r="BW57" i="126"/>
  <c r="BR57" i="126"/>
  <c r="BM57" i="126"/>
  <c r="BH57" i="126"/>
  <c r="BC57" i="126"/>
  <c r="AX57" i="126"/>
  <c r="AS57" i="126"/>
  <c r="AN57" i="126"/>
  <c r="AI57" i="126"/>
  <c r="AD57" i="126"/>
  <c r="Y57" i="126"/>
  <c r="T57" i="126"/>
  <c r="O57" i="126"/>
  <c r="I57" i="126"/>
  <c r="E57" i="126"/>
  <c r="CL56" i="126"/>
  <c r="CB56" i="126"/>
  <c r="BW56" i="126"/>
  <c r="BR56" i="126"/>
  <c r="BM56" i="126"/>
  <c r="BH56" i="126"/>
  <c r="BC56" i="126"/>
  <c r="AX56" i="126"/>
  <c r="AS56" i="126"/>
  <c r="AN56" i="126"/>
  <c r="AI56" i="126"/>
  <c r="AD56" i="126"/>
  <c r="Y56" i="126"/>
  <c r="T56" i="126"/>
  <c r="O56" i="126"/>
  <c r="I56" i="126"/>
  <c r="E56" i="126"/>
  <c r="CL55" i="126"/>
  <c r="CB55" i="126"/>
  <c r="BW55" i="126"/>
  <c r="BR55" i="126"/>
  <c r="BM55" i="126"/>
  <c r="BH55" i="126"/>
  <c r="BC55" i="126"/>
  <c r="AX55" i="126"/>
  <c r="AS55" i="126"/>
  <c r="AN55" i="126"/>
  <c r="AI55" i="126"/>
  <c r="AD55" i="126"/>
  <c r="Y55" i="126"/>
  <c r="T55" i="126"/>
  <c r="O55" i="126"/>
  <c r="I55" i="126"/>
  <c r="E55" i="126"/>
  <c r="CJ54" i="126"/>
  <c r="BZ54" i="126"/>
  <c r="BU54" i="126"/>
  <c r="BK54" i="126"/>
  <c r="BG54" i="126"/>
  <c r="BB54" i="126"/>
  <c r="AW54" i="126"/>
  <c r="AV54" i="126"/>
  <c r="AQ54" i="126"/>
  <c r="AM54" i="126"/>
  <c r="AH54" i="126"/>
  <c r="AC54" i="126"/>
  <c r="AB54" i="126"/>
  <c r="H54" i="126"/>
  <c r="G54" i="126"/>
  <c r="D54" i="126"/>
  <c r="C54" i="126"/>
  <c r="CP53" i="126"/>
  <c r="CO53" i="126"/>
  <c r="CL52" i="126"/>
  <c r="CB52" i="126"/>
  <c r="BW52" i="126"/>
  <c r="BR52" i="126"/>
  <c r="BM52" i="126"/>
  <c r="BH52" i="126"/>
  <c r="BC52" i="126"/>
  <c r="AX52" i="126"/>
  <c r="AS52" i="126"/>
  <c r="AN52" i="126"/>
  <c r="AI52" i="126"/>
  <c r="AD52" i="126"/>
  <c r="Y52" i="126"/>
  <c r="T52" i="126"/>
  <c r="O52" i="126"/>
  <c r="I52" i="126"/>
  <c r="E52" i="126"/>
  <c r="CL51" i="126"/>
  <c r="CB51" i="126"/>
  <c r="BW51" i="126"/>
  <c r="BR51" i="126"/>
  <c r="BR50" i="126" s="1"/>
  <c r="BM51" i="126"/>
  <c r="BH51" i="126"/>
  <c r="BC51" i="126"/>
  <c r="BC50" i="126" s="1"/>
  <c r="AX51" i="126"/>
  <c r="AX50" i="126" s="1"/>
  <c r="AS51" i="126"/>
  <c r="AN51" i="126"/>
  <c r="AI51" i="126"/>
  <c r="AI50" i="126" s="1"/>
  <c r="AD51" i="126"/>
  <c r="Y51" i="126"/>
  <c r="T51" i="126"/>
  <c r="O51" i="126"/>
  <c r="O50" i="126" s="1"/>
  <c r="I51" i="126"/>
  <c r="E51" i="126"/>
  <c r="CK50" i="126"/>
  <c r="CJ50" i="126"/>
  <c r="CA50" i="126"/>
  <c r="BZ50" i="126"/>
  <c r="BV50" i="126"/>
  <c r="BU50" i="126"/>
  <c r="BQ50" i="126"/>
  <c r="BP50" i="126"/>
  <c r="BL50" i="126"/>
  <c r="BK50" i="126"/>
  <c r="BG50" i="126"/>
  <c r="BF50" i="126"/>
  <c r="BB50" i="126"/>
  <c r="BA50" i="126"/>
  <c r="AW50" i="126"/>
  <c r="AV50" i="126"/>
  <c r="AR50" i="126"/>
  <c r="AQ50" i="126"/>
  <c r="AM50" i="126"/>
  <c r="AL50" i="126"/>
  <c r="AH50" i="126"/>
  <c r="AG50" i="126"/>
  <c r="H50" i="126"/>
  <c r="G50" i="126"/>
  <c r="D50" i="126"/>
  <c r="C50" i="126"/>
  <c r="CP49" i="126"/>
  <c r="CO49" i="126"/>
  <c r="CL48" i="126"/>
  <c r="CB48" i="126"/>
  <c r="BW48" i="126"/>
  <c r="BR48" i="126"/>
  <c r="BK48" i="126"/>
  <c r="BM48" i="126" s="1"/>
  <c r="BF48" i="126"/>
  <c r="BH48" i="126" s="1"/>
  <c r="BC48" i="126"/>
  <c r="AV48" i="126"/>
  <c r="AQ48" i="126"/>
  <c r="AS48" i="126" s="1"/>
  <c r="AN48" i="126"/>
  <c r="AI48" i="126"/>
  <c r="AD48" i="126"/>
  <c r="Y48" i="126"/>
  <c r="T48" i="126"/>
  <c r="O48" i="126"/>
  <c r="I48" i="126"/>
  <c r="E48" i="126"/>
  <c r="CL47" i="126"/>
  <c r="CB47" i="126"/>
  <c r="BU47" i="126"/>
  <c r="BP47" i="126"/>
  <c r="BM47" i="126"/>
  <c r="BH47" i="126"/>
  <c r="BA47" i="126"/>
  <c r="BC47" i="126" s="1"/>
  <c r="AX47" i="126"/>
  <c r="AS47" i="126"/>
  <c r="AN47" i="126"/>
  <c r="AI47" i="126"/>
  <c r="AD47" i="126"/>
  <c r="Y47" i="126"/>
  <c r="R47" i="126"/>
  <c r="O47" i="126"/>
  <c r="I47" i="126"/>
  <c r="E47" i="126"/>
  <c r="CL46" i="126"/>
  <c r="CB46" i="126"/>
  <c r="BW46" i="126"/>
  <c r="BR46" i="126"/>
  <c r="BM46" i="126"/>
  <c r="BH46" i="126"/>
  <c r="BC46" i="126"/>
  <c r="AX46" i="126"/>
  <c r="AS46" i="126"/>
  <c r="AN46" i="126"/>
  <c r="AI46" i="126"/>
  <c r="AD46" i="126"/>
  <c r="Y46" i="126"/>
  <c r="T46" i="126"/>
  <c r="O46" i="126"/>
  <c r="I46" i="126"/>
  <c r="E46" i="126"/>
  <c r="CL45" i="126"/>
  <c r="CB45" i="126"/>
  <c r="BW45" i="126"/>
  <c r="BR45" i="126"/>
  <c r="BK45" i="126"/>
  <c r="BF45" i="126"/>
  <c r="BA45" i="126"/>
  <c r="BC45" i="126" s="1"/>
  <c r="AV45" i="126"/>
  <c r="AX45" i="126" s="1"/>
  <c r="AQ45" i="126"/>
  <c r="AL45" i="126"/>
  <c r="AG45" i="126"/>
  <c r="AI45" i="126" s="1"/>
  <c r="AD45" i="126"/>
  <c r="Y45" i="126"/>
  <c r="T45" i="126"/>
  <c r="M45" i="126"/>
  <c r="I45" i="126"/>
  <c r="E45" i="126"/>
  <c r="CL44" i="126"/>
  <c r="CB44" i="126"/>
  <c r="BW44" i="126"/>
  <c r="BR44" i="126"/>
  <c r="BM44" i="126"/>
  <c r="BH44" i="126"/>
  <c r="BC44" i="126"/>
  <c r="AX44" i="126"/>
  <c r="AS44" i="126"/>
  <c r="AN44" i="126"/>
  <c r="AI44" i="126"/>
  <c r="AD44" i="126"/>
  <c r="Y44" i="126"/>
  <c r="T44" i="126"/>
  <c r="O44" i="126"/>
  <c r="I44" i="126"/>
  <c r="E44" i="126"/>
  <c r="CL43" i="126"/>
  <c r="BZ43" i="126"/>
  <c r="BZ41" i="126" s="1"/>
  <c r="BW43" i="126"/>
  <c r="BR43" i="126"/>
  <c r="BK43" i="126"/>
  <c r="BM43" i="126" s="1"/>
  <c r="BF43" i="126"/>
  <c r="BH43" i="126" s="1"/>
  <c r="BA43" i="126"/>
  <c r="BC43" i="126" s="1"/>
  <c r="AX43" i="126"/>
  <c r="AS43" i="126"/>
  <c r="AN43" i="126"/>
  <c r="AG43" i="126"/>
  <c r="AD43" i="126"/>
  <c r="Y43" i="126"/>
  <c r="T43" i="126"/>
  <c r="O43" i="126"/>
  <c r="I43" i="126"/>
  <c r="E43" i="126"/>
  <c r="CL42" i="126"/>
  <c r="CB42" i="126"/>
  <c r="BW42" i="126"/>
  <c r="BR42" i="126"/>
  <c r="BM42" i="126"/>
  <c r="BH42" i="126"/>
  <c r="BC42" i="126"/>
  <c r="AX42" i="126"/>
  <c r="AS42" i="126"/>
  <c r="AN42" i="126"/>
  <c r="AI42" i="126"/>
  <c r="AD42" i="126"/>
  <c r="Y42" i="126"/>
  <c r="T42" i="126"/>
  <c r="O42" i="126"/>
  <c r="I42" i="126"/>
  <c r="E42" i="126"/>
  <c r="CK41" i="126"/>
  <c r="CJ41" i="126"/>
  <c r="CA41" i="126"/>
  <c r="BV41" i="126"/>
  <c r="BQ41" i="126"/>
  <c r="BL41" i="126"/>
  <c r="BG41" i="126"/>
  <c r="BB41" i="126"/>
  <c r="AW41" i="126"/>
  <c r="AR41" i="126"/>
  <c r="AM41" i="126"/>
  <c r="AH41" i="126"/>
  <c r="AC41" i="126"/>
  <c r="AB41" i="126"/>
  <c r="H41" i="126"/>
  <c r="G41" i="126"/>
  <c r="D41" i="126"/>
  <c r="C41" i="126"/>
  <c r="CL36" i="126"/>
  <c r="CL35" i="126" s="1"/>
  <c r="CB36" i="126"/>
  <c r="BW36" i="126"/>
  <c r="BR36" i="126"/>
  <c r="BM36" i="126"/>
  <c r="BM35" i="126" s="1"/>
  <c r="BH36" i="126"/>
  <c r="BC36" i="126"/>
  <c r="BC35" i="126" s="1"/>
  <c r="AX36" i="126"/>
  <c r="AX35" i="126" s="1"/>
  <c r="AQ36" i="126"/>
  <c r="AS36" i="126" s="1"/>
  <c r="AS35" i="126" s="1"/>
  <c r="AN36" i="126"/>
  <c r="AN35" i="126" s="1"/>
  <c r="AI36" i="126"/>
  <c r="AD36" i="126"/>
  <c r="Y36" i="126"/>
  <c r="Y35" i="126" s="1"/>
  <c r="R36" i="126"/>
  <c r="T36" i="126" s="1"/>
  <c r="T35" i="126" s="1"/>
  <c r="O36" i="126"/>
  <c r="I36" i="126"/>
  <c r="I35" i="126" s="1"/>
  <c r="E36" i="126"/>
  <c r="CB35" i="126"/>
  <c r="BR35" i="126"/>
  <c r="BJ35" i="126"/>
  <c r="BG35" i="126"/>
  <c r="BF35" i="126"/>
  <c r="BE35" i="126"/>
  <c r="BB35" i="126"/>
  <c r="BA35" i="126"/>
  <c r="AZ35" i="126"/>
  <c r="AW35" i="126"/>
  <c r="AV35" i="126"/>
  <c r="AR35" i="126"/>
  <c r="AP35" i="126"/>
  <c r="AO35" i="126"/>
  <c r="AM35" i="126"/>
  <c r="AL35" i="126"/>
  <c r="AK35" i="126"/>
  <c r="AI35" i="126"/>
  <c r="AH35" i="126"/>
  <c r="AG35" i="126"/>
  <c r="AC35" i="126"/>
  <c r="AB35" i="126"/>
  <c r="N35" i="126"/>
  <c r="M35" i="126"/>
  <c r="H35" i="126"/>
  <c r="G35" i="126"/>
  <c r="D35" i="126"/>
  <c r="C35" i="126"/>
  <c r="CL33" i="126"/>
  <c r="CB33" i="126"/>
  <c r="BW33" i="126"/>
  <c r="BR33" i="126"/>
  <c r="BL33" i="126"/>
  <c r="BM33" i="126" s="1"/>
  <c r="BH33" i="126"/>
  <c r="BB33" i="126"/>
  <c r="BC33" i="126" s="1"/>
  <c r="AX33" i="126"/>
  <c r="AS33" i="126"/>
  <c r="AN33" i="126"/>
  <c r="AH33" i="126"/>
  <c r="AI33" i="126" s="1"/>
  <c r="AD33" i="126"/>
  <c r="Y33" i="126"/>
  <c r="T33" i="126"/>
  <c r="O33" i="126"/>
  <c r="I33" i="126"/>
  <c r="E33" i="126"/>
  <c r="CL32" i="126"/>
  <c r="CB32" i="126"/>
  <c r="BW32" i="126"/>
  <c r="BR32" i="126"/>
  <c r="BM32" i="126"/>
  <c r="BH32" i="126"/>
  <c r="BC32" i="126"/>
  <c r="AX32" i="126"/>
  <c r="AS32" i="126"/>
  <c r="AN32" i="126"/>
  <c r="AI32" i="126"/>
  <c r="AD32" i="126"/>
  <c r="Y32" i="126"/>
  <c r="T32" i="126"/>
  <c r="O32" i="126"/>
  <c r="I32" i="126"/>
  <c r="E32" i="126"/>
  <c r="CL31" i="126"/>
  <c r="CB31" i="126"/>
  <c r="BW31" i="126"/>
  <c r="BR31" i="126"/>
  <c r="BM31" i="126"/>
  <c r="BH31" i="126"/>
  <c r="BB31" i="126"/>
  <c r="BC31" i="126" s="1"/>
  <c r="AX31" i="126"/>
  <c r="AS31" i="126"/>
  <c r="AN31" i="126"/>
  <c r="AI31" i="126"/>
  <c r="AD31" i="126"/>
  <c r="Y31" i="126"/>
  <c r="T31" i="126"/>
  <c r="O31" i="126"/>
  <c r="I31" i="126"/>
  <c r="E31" i="126"/>
  <c r="CL30" i="126"/>
  <c r="CB30" i="126"/>
  <c r="BW30" i="126"/>
  <c r="BQ30" i="126"/>
  <c r="BR30" i="126" s="1"/>
  <c r="BM30" i="126"/>
  <c r="BG30" i="126"/>
  <c r="BH30" i="126" s="1"/>
  <c r="BB30" i="126"/>
  <c r="BC30" i="126" s="1"/>
  <c r="AW30" i="126"/>
  <c r="AR30" i="126"/>
  <c r="AS30" i="126" s="1"/>
  <c r="AM30" i="126"/>
  <c r="AN30" i="126" s="1"/>
  <c r="AH30" i="126"/>
  <c r="AD30" i="126"/>
  <c r="Y30" i="126"/>
  <c r="T30" i="126"/>
  <c r="O30" i="126"/>
  <c r="H30" i="126"/>
  <c r="I30" i="126" s="1"/>
  <c r="E30" i="126"/>
  <c r="CL29" i="126"/>
  <c r="CB29" i="126"/>
  <c r="BW29" i="126"/>
  <c r="BR29" i="126"/>
  <c r="BM29" i="126"/>
  <c r="BF29" i="126"/>
  <c r="BH29" i="126" s="1"/>
  <c r="BA29" i="126"/>
  <c r="BC29" i="126" s="1"/>
  <c r="AV29" i="126"/>
  <c r="AX29" i="126" s="1"/>
  <c r="AS29" i="126"/>
  <c r="AL29" i="126"/>
  <c r="AN29" i="126" s="1"/>
  <c r="AH29" i="126"/>
  <c r="CP29" i="126" s="1"/>
  <c r="AD29" i="126"/>
  <c r="Y29" i="126"/>
  <c r="T29" i="126"/>
  <c r="O29" i="126"/>
  <c r="I29" i="126"/>
  <c r="E29" i="126"/>
  <c r="CL28" i="126"/>
  <c r="CB28" i="126"/>
  <c r="BU28" i="126"/>
  <c r="BW28" i="126" s="1"/>
  <c r="BP28" i="126"/>
  <c r="BR28" i="126" s="1"/>
  <c r="BK28" i="126"/>
  <c r="BM28" i="126" s="1"/>
  <c r="BF28" i="126"/>
  <c r="BH28" i="126" s="1"/>
  <c r="AV28" i="126"/>
  <c r="AX28" i="126" s="1"/>
  <c r="AQ28" i="126"/>
  <c r="AS28" i="126" s="1"/>
  <c r="AL28" i="126"/>
  <c r="AN28" i="126" s="1"/>
  <c r="AH28" i="126"/>
  <c r="CP28" i="126" s="1"/>
  <c r="AG28" i="126"/>
  <c r="AI28" i="126" s="1"/>
  <c r="AB28" i="126"/>
  <c r="AD28" i="126" s="1"/>
  <c r="W28" i="126"/>
  <c r="Y28" i="126" s="1"/>
  <c r="R28" i="126"/>
  <c r="T28" i="126" s="1"/>
  <c r="M28" i="126"/>
  <c r="O28" i="126" s="1"/>
  <c r="I28" i="126"/>
  <c r="E28" i="126"/>
  <c r="CL27" i="126"/>
  <c r="CB27" i="126"/>
  <c r="BW27" i="126"/>
  <c r="BP27" i="126"/>
  <c r="BR27" i="126" s="1"/>
  <c r="BK27" i="126"/>
  <c r="BM27" i="126" s="1"/>
  <c r="BF27" i="126"/>
  <c r="BH27" i="126" s="1"/>
  <c r="BA27" i="126"/>
  <c r="AX27" i="126"/>
  <c r="AS27" i="126"/>
  <c r="AN27" i="126"/>
  <c r="AI27" i="126"/>
  <c r="AD27" i="126"/>
  <c r="W27" i="126"/>
  <c r="T27" i="126"/>
  <c r="O27" i="126"/>
  <c r="I27" i="126"/>
  <c r="E27" i="126"/>
  <c r="CJ26" i="126"/>
  <c r="CL26" i="126" s="1"/>
  <c r="CB26" i="126"/>
  <c r="BW26" i="126"/>
  <c r="BP26" i="126"/>
  <c r="BR26" i="126" s="1"/>
  <c r="BK26" i="126"/>
  <c r="BM26" i="126" s="1"/>
  <c r="BF26" i="126"/>
  <c r="BH26" i="126" s="1"/>
  <c r="BA26" i="126"/>
  <c r="BC26" i="126" s="1"/>
  <c r="AV26" i="126"/>
  <c r="AX26" i="126" s="1"/>
  <c r="AQ26" i="126"/>
  <c r="AS26" i="126" s="1"/>
  <c r="AL26" i="126"/>
  <c r="AN26" i="126" s="1"/>
  <c r="AG26" i="126"/>
  <c r="AI26" i="126" s="1"/>
  <c r="AB26" i="126"/>
  <c r="AD26" i="126" s="1"/>
  <c r="W26" i="126"/>
  <c r="Y26" i="126" s="1"/>
  <c r="R26" i="126"/>
  <c r="O26" i="126"/>
  <c r="G26" i="126"/>
  <c r="I26" i="126" s="1"/>
  <c r="E26" i="126"/>
  <c r="CL25" i="126"/>
  <c r="BZ25" i="126"/>
  <c r="BW25" i="126"/>
  <c r="BP25" i="126"/>
  <c r="BR25" i="126" s="1"/>
  <c r="BK25" i="126"/>
  <c r="BM25" i="126" s="1"/>
  <c r="BF25" i="126"/>
  <c r="BH25" i="126" s="1"/>
  <c r="BA25" i="126"/>
  <c r="BC25" i="126" s="1"/>
  <c r="AV25" i="126"/>
  <c r="AX25" i="126" s="1"/>
  <c r="AQ25" i="126"/>
  <c r="AS25" i="126" s="1"/>
  <c r="AL25" i="126"/>
  <c r="AN25" i="126" s="1"/>
  <c r="AH25" i="126"/>
  <c r="CP25" i="126" s="1"/>
  <c r="AG25" i="126"/>
  <c r="AD25" i="126"/>
  <c r="Y25" i="126"/>
  <c r="R25" i="126"/>
  <c r="T25" i="126" s="1"/>
  <c r="O25" i="126"/>
  <c r="I25" i="126"/>
  <c r="E25" i="126"/>
  <c r="CL24" i="126"/>
  <c r="CB24" i="126"/>
  <c r="BU24" i="126"/>
  <c r="BW24" i="126" s="1"/>
  <c r="BP24" i="126"/>
  <c r="BK24" i="126"/>
  <c r="BM24" i="126" s="1"/>
  <c r="BF24" i="126"/>
  <c r="BH24" i="126" s="1"/>
  <c r="BA24" i="126"/>
  <c r="BC24" i="126" s="1"/>
  <c r="AV24" i="126"/>
  <c r="AQ24" i="126"/>
  <c r="AS24" i="126" s="1"/>
  <c r="AL24" i="126"/>
  <c r="AN24" i="126" s="1"/>
  <c r="AG24" i="126"/>
  <c r="AI24" i="126" s="1"/>
  <c r="AB24" i="126"/>
  <c r="AD24" i="126" s="1"/>
  <c r="Y24" i="126"/>
  <c r="R24" i="126"/>
  <c r="M24" i="126"/>
  <c r="O24" i="126" s="1"/>
  <c r="I24" i="126"/>
  <c r="E24" i="126"/>
  <c r="CL23" i="126"/>
  <c r="CB23" i="126"/>
  <c r="BW23" i="126"/>
  <c r="BR23" i="126"/>
  <c r="BM23" i="126"/>
  <c r="BH23" i="126"/>
  <c r="BC23" i="126"/>
  <c r="AX23" i="126"/>
  <c r="AS23" i="126"/>
  <c r="AN23" i="126"/>
  <c r="AI23" i="126"/>
  <c r="AD23" i="126"/>
  <c r="Y23" i="126"/>
  <c r="T23" i="126"/>
  <c r="O23" i="126"/>
  <c r="I23" i="126"/>
  <c r="E23" i="126"/>
  <c r="CL22" i="126"/>
  <c r="CB22" i="126"/>
  <c r="BW22" i="126"/>
  <c r="BP22" i="126"/>
  <c r="BR22" i="126" s="1"/>
  <c r="BK22" i="126"/>
  <c r="BM22" i="126" s="1"/>
  <c r="BF22" i="126"/>
  <c r="BH22" i="126" s="1"/>
  <c r="BA22" i="126"/>
  <c r="BC22" i="126" s="1"/>
  <c r="AV22" i="126"/>
  <c r="AX22" i="126" s="1"/>
  <c r="AQ22" i="126"/>
  <c r="AS22" i="126" s="1"/>
  <c r="AL22" i="126"/>
  <c r="AN22" i="126" s="1"/>
  <c r="AG22" i="126"/>
  <c r="AI22" i="126" s="1"/>
  <c r="AB22" i="126"/>
  <c r="AD22" i="126" s="1"/>
  <c r="W22" i="126"/>
  <c r="Y22" i="126" s="1"/>
  <c r="R22" i="126"/>
  <c r="T22" i="126" s="1"/>
  <c r="M22" i="126"/>
  <c r="O22" i="126" s="1"/>
  <c r="I22" i="126"/>
  <c r="E22" i="126"/>
  <c r="CL21" i="126"/>
  <c r="CB21" i="126"/>
  <c r="BW21" i="126"/>
  <c r="BR21" i="126"/>
  <c r="BM21" i="126"/>
  <c r="BH21" i="126"/>
  <c r="BC21" i="126"/>
  <c r="AX21" i="126"/>
  <c r="AS21" i="126"/>
  <c r="AL21" i="126"/>
  <c r="CO21" i="126" s="1"/>
  <c r="AI21" i="126"/>
  <c r="AD21" i="126"/>
  <c r="Y21" i="126"/>
  <c r="T21" i="126"/>
  <c r="O21" i="126"/>
  <c r="I21" i="126"/>
  <c r="E21" i="126"/>
  <c r="CL20" i="126"/>
  <c r="CB20" i="126"/>
  <c r="BW20" i="126"/>
  <c r="BP20" i="126"/>
  <c r="BR20" i="126" s="1"/>
  <c r="BM20" i="126"/>
  <c r="BF20" i="126"/>
  <c r="BH20" i="126" s="1"/>
  <c r="BC20" i="126"/>
  <c r="AV20" i="126"/>
  <c r="AX20" i="126" s="1"/>
  <c r="AS20" i="126"/>
  <c r="AN20" i="126"/>
  <c r="AI20" i="126"/>
  <c r="AD20" i="126"/>
  <c r="Y20" i="126"/>
  <c r="T20" i="126"/>
  <c r="O20" i="126"/>
  <c r="I20" i="126"/>
  <c r="E20" i="126"/>
  <c r="CL19" i="126"/>
  <c r="CB19" i="126"/>
  <c r="BW19" i="126"/>
  <c r="BR19" i="126"/>
  <c r="BK19" i="126"/>
  <c r="BM19" i="126" s="1"/>
  <c r="BH19" i="126"/>
  <c r="BC19" i="126"/>
  <c r="AX19" i="126"/>
  <c r="AS19" i="126"/>
  <c r="AN19" i="126"/>
  <c r="AG19" i="126"/>
  <c r="AI19" i="126" s="1"/>
  <c r="AB19" i="126"/>
  <c r="AD19" i="126" s="1"/>
  <c r="W19" i="126"/>
  <c r="Y19" i="126" s="1"/>
  <c r="T19" i="126"/>
  <c r="M19" i="126"/>
  <c r="I19" i="126"/>
  <c r="E19" i="126"/>
  <c r="CL18" i="126"/>
  <c r="BU18" i="126"/>
  <c r="BW18" i="126" s="1"/>
  <c r="BP18" i="126"/>
  <c r="BR18" i="126" s="1"/>
  <c r="BK18" i="126"/>
  <c r="BF18" i="126"/>
  <c r="BH18" i="126" s="1"/>
  <c r="BA18" i="126"/>
  <c r="BC18" i="126" s="1"/>
  <c r="AV18" i="126"/>
  <c r="AX18" i="126" s="1"/>
  <c r="AQ18" i="126"/>
  <c r="AS18" i="126" s="1"/>
  <c r="AL18" i="126"/>
  <c r="AN18" i="126" s="1"/>
  <c r="AG18" i="126"/>
  <c r="AI18" i="126" s="1"/>
  <c r="AB18" i="126"/>
  <c r="AD18" i="126" s="1"/>
  <c r="W18" i="126"/>
  <c r="Y18" i="126" s="1"/>
  <c r="R18" i="126"/>
  <c r="O18" i="126"/>
  <c r="G18" i="126"/>
  <c r="I18" i="126" s="1"/>
  <c r="E18" i="126"/>
  <c r="CL17" i="126"/>
  <c r="CB17" i="126"/>
  <c r="BW17" i="126"/>
  <c r="BR17" i="126"/>
  <c r="BM17" i="126"/>
  <c r="BH17" i="126"/>
  <c r="BC17" i="126"/>
  <c r="AX17" i="126"/>
  <c r="AS17" i="126"/>
  <c r="AN17" i="126"/>
  <c r="AI17" i="126"/>
  <c r="AD17" i="126"/>
  <c r="Y17" i="126"/>
  <c r="T17" i="126"/>
  <c r="O17" i="126"/>
  <c r="I17" i="126"/>
  <c r="E17" i="126"/>
  <c r="CL16" i="126"/>
  <c r="CB16" i="126"/>
  <c r="BW16" i="126"/>
  <c r="BQ16" i="126"/>
  <c r="BR16" i="126" s="1"/>
  <c r="BL16" i="126"/>
  <c r="BL8" i="126" s="1"/>
  <c r="BG16" i="126"/>
  <c r="BH16" i="126" s="1"/>
  <c r="BB16" i="126"/>
  <c r="BC16" i="126" s="1"/>
  <c r="AW16" i="126"/>
  <c r="AX16" i="126" s="1"/>
  <c r="AR16" i="126"/>
  <c r="AS16" i="126" s="1"/>
  <c r="AM16" i="126"/>
  <c r="AN16" i="126" s="1"/>
  <c r="AH16" i="126"/>
  <c r="AD16" i="126"/>
  <c r="Y16" i="126"/>
  <c r="T16" i="126"/>
  <c r="O16" i="126"/>
  <c r="I16" i="126"/>
  <c r="E16" i="126"/>
  <c r="CL15" i="126"/>
  <c r="CB15" i="126"/>
  <c r="BW15" i="126"/>
  <c r="BR15" i="126"/>
  <c r="BM15" i="126"/>
  <c r="BH15" i="126"/>
  <c r="BC15" i="126"/>
  <c r="AX15" i="126"/>
  <c r="AS15" i="126"/>
  <c r="AN15" i="126"/>
  <c r="AI15" i="126"/>
  <c r="AD15" i="126"/>
  <c r="Y15" i="126"/>
  <c r="T15" i="126"/>
  <c r="O15" i="126"/>
  <c r="H15" i="126"/>
  <c r="I15" i="126" s="1"/>
  <c r="E15" i="126"/>
  <c r="CL14" i="126"/>
  <c r="CB14" i="126"/>
  <c r="BW14" i="126"/>
  <c r="BR14" i="126"/>
  <c r="BM14" i="126"/>
  <c r="BH14" i="126"/>
  <c r="BC14" i="126"/>
  <c r="AX14" i="126"/>
  <c r="AS14" i="126"/>
  <c r="AN14" i="126"/>
  <c r="AI14" i="126"/>
  <c r="AD14" i="126"/>
  <c r="Y14" i="126"/>
  <c r="T14" i="126"/>
  <c r="O14" i="126"/>
  <c r="I14" i="126"/>
  <c r="E14" i="126"/>
  <c r="CL13" i="126"/>
  <c r="CB13" i="126"/>
  <c r="BW13" i="126"/>
  <c r="BR13" i="126"/>
  <c r="BM13" i="126"/>
  <c r="BH13" i="126"/>
  <c r="BC13" i="126"/>
  <c r="AX13" i="126"/>
  <c r="AS13" i="126"/>
  <c r="AN13" i="126"/>
  <c r="AI13" i="126"/>
  <c r="AD13" i="126"/>
  <c r="Y13" i="126"/>
  <c r="T13" i="126"/>
  <c r="O13" i="126"/>
  <c r="I13" i="126"/>
  <c r="E13" i="126"/>
  <c r="CL12" i="126"/>
  <c r="CB12" i="126"/>
  <c r="BW12" i="126"/>
  <c r="BR12" i="126"/>
  <c r="BM12" i="126"/>
  <c r="BH12" i="126"/>
  <c r="BA12" i="126"/>
  <c r="CO12" i="126" s="1"/>
  <c r="AX12" i="126"/>
  <c r="AR12" i="126"/>
  <c r="CP12" i="126" s="1"/>
  <c r="AN12" i="126"/>
  <c r="AI12" i="126"/>
  <c r="AD12" i="126"/>
  <c r="Y12" i="126"/>
  <c r="T12" i="126"/>
  <c r="O12" i="126"/>
  <c r="I12" i="126"/>
  <c r="E12" i="126"/>
  <c r="CL11" i="126"/>
  <c r="CB11" i="126"/>
  <c r="BW11" i="126"/>
  <c r="BR11" i="126"/>
  <c r="BM11" i="126"/>
  <c r="BH11" i="126"/>
  <c r="BA11" i="126"/>
  <c r="BC11" i="126" s="1"/>
  <c r="AX11" i="126"/>
  <c r="AS11" i="126"/>
  <c r="AN11" i="126"/>
  <c r="AI11" i="126"/>
  <c r="AD11" i="126"/>
  <c r="Y11" i="126"/>
  <c r="T11" i="126"/>
  <c r="O11" i="126"/>
  <c r="I11" i="126"/>
  <c r="E11" i="126"/>
  <c r="CL10" i="126"/>
  <c r="CB10" i="126"/>
  <c r="BW10" i="126"/>
  <c r="BR10" i="126"/>
  <c r="BM10" i="126"/>
  <c r="BH10" i="126"/>
  <c r="BA10" i="126"/>
  <c r="CO10" i="126" s="1"/>
  <c r="AX10" i="126"/>
  <c r="AS10" i="126"/>
  <c r="AN10" i="126"/>
  <c r="AI10" i="126"/>
  <c r="AD10" i="126"/>
  <c r="Y10" i="126"/>
  <c r="T10" i="126"/>
  <c r="O10" i="126"/>
  <c r="I10" i="126"/>
  <c r="E10" i="126"/>
  <c r="CL9" i="126"/>
  <c r="CB9" i="126"/>
  <c r="BW9" i="126"/>
  <c r="BR9" i="126"/>
  <c r="BM9" i="126"/>
  <c r="BH9" i="126"/>
  <c r="BA9" i="126"/>
  <c r="BC9" i="126" s="1"/>
  <c r="AX9" i="126"/>
  <c r="AS9" i="126"/>
  <c r="AL9" i="126"/>
  <c r="AI9" i="126"/>
  <c r="AD9" i="126"/>
  <c r="Y9" i="126"/>
  <c r="T9" i="126"/>
  <c r="O9" i="126"/>
  <c r="I9" i="126"/>
  <c r="E9" i="126"/>
  <c r="CK8" i="126"/>
  <c r="CJ8" i="126"/>
  <c r="CA8" i="126"/>
  <c r="BV8" i="126"/>
  <c r="BQ8" i="126"/>
  <c r="AM8" i="126"/>
  <c r="AC8" i="126"/>
  <c r="X8" i="126"/>
  <c r="S8" i="126"/>
  <c r="N8" i="126"/>
  <c r="D8" i="126"/>
  <c r="C8" i="126"/>
  <c r="CJ7" i="126"/>
  <c r="CL7" i="126" s="1"/>
  <c r="CB7" i="126"/>
  <c r="BU7" i="126"/>
  <c r="BW7" i="126" s="1"/>
  <c r="BQ7" i="126"/>
  <c r="BR7" i="126" s="1"/>
  <c r="BM7" i="126"/>
  <c r="BH7" i="126"/>
  <c r="BC7" i="126"/>
  <c r="AX7" i="126"/>
  <c r="AS7" i="126"/>
  <c r="AN7" i="126"/>
  <c r="AI7" i="126"/>
  <c r="AD7" i="126"/>
  <c r="Y7" i="126"/>
  <c r="S7" i="126"/>
  <c r="O7" i="126"/>
  <c r="I7" i="126"/>
  <c r="E7" i="126"/>
  <c r="CL6" i="126"/>
  <c r="CB6" i="126"/>
  <c r="BW6" i="126"/>
  <c r="BP6" i="126"/>
  <c r="BR6" i="126" s="1"/>
  <c r="BK6" i="126"/>
  <c r="BM6" i="126" s="1"/>
  <c r="BF6" i="126"/>
  <c r="BH6" i="126" s="1"/>
  <c r="BA6" i="126"/>
  <c r="BC6" i="126" s="1"/>
  <c r="BC5" i="126" s="1"/>
  <c r="AV6" i="126"/>
  <c r="AX6" i="126" s="1"/>
  <c r="AS6" i="126"/>
  <c r="AL6" i="126"/>
  <c r="AN6" i="126" s="1"/>
  <c r="AG6" i="126"/>
  <c r="AD6" i="126"/>
  <c r="Y6" i="126"/>
  <c r="T6" i="126"/>
  <c r="O6" i="126"/>
  <c r="G6" i="126"/>
  <c r="I6" i="126" s="1"/>
  <c r="E6" i="126"/>
  <c r="E5" i="126" s="1"/>
  <c r="CK5" i="126"/>
  <c r="CA5" i="126"/>
  <c r="BZ5" i="126"/>
  <c r="BV5" i="126"/>
  <c r="BU5" i="126"/>
  <c r="BQ5" i="126"/>
  <c r="BP5" i="126"/>
  <c r="BL5" i="126"/>
  <c r="BG5" i="126"/>
  <c r="BB5" i="126"/>
  <c r="AW5" i="126"/>
  <c r="AR5" i="126"/>
  <c r="AQ5" i="126"/>
  <c r="AM5" i="126"/>
  <c r="AH5" i="126"/>
  <c r="AC5" i="126"/>
  <c r="AB5" i="126"/>
  <c r="X5" i="126"/>
  <c r="W5" i="126"/>
  <c r="S5" i="126"/>
  <c r="R5" i="126"/>
  <c r="N5" i="126"/>
  <c r="N76" i="126" s="1"/>
  <c r="M5" i="126"/>
  <c r="H5" i="126"/>
  <c r="D5" i="126"/>
  <c r="C5" i="126"/>
  <c r="CP58" i="126" l="1"/>
  <c r="CO9" i="126"/>
  <c r="BL54" i="126"/>
  <c r="BL38" i="114"/>
  <c r="E50" i="126"/>
  <c r="BM50" i="126"/>
  <c r="CL50" i="126"/>
  <c r="BM41" i="114"/>
  <c r="BM50" i="114"/>
  <c r="BM54" i="114"/>
  <c r="O5" i="126"/>
  <c r="CQ15" i="126"/>
  <c r="CL5" i="126"/>
  <c r="AI25" i="126"/>
  <c r="T50" i="126"/>
  <c r="AN50" i="126"/>
  <c r="BH50" i="126"/>
  <c r="CB50" i="126"/>
  <c r="CQ79" i="126"/>
  <c r="CQ51" i="126"/>
  <c r="BM8" i="114"/>
  <c r="BL75" i="114"/>
  <c r="BL39" i="114"/>
  <c r="BK8" i="114"/>
  <c r="BK38" i="114" s="1"/>
  <c r="BM73" i="114"/>
  <c r="BM77" i="114"/>
  <c r="BM35" i="114"/>
  <c r="CP61" i="126"/>
  <c r="CO6" i="126"/>
  <c r="BR5" i="126"/>
  <c r="CL58" i="126"/>
  <c r="BW5" i="126"/>
  <c r="BC41" i="126"/>
  <c r="W84" i="126"/>
  <c r="W86" i="126" s="1"/>
  <c r="BL38" i="126"/>
  <c r="CA38" i="126"/>
  <c r="CO20" i="126"/>
  <c r="CQ20" i="126" s="1"/>
  <c r="AL54" i="126"/>
  <c r="CG50" i="126"/>
  <c r="CG58" i="126"/>
  <c r="I5" i="126"/>
  <c r="AN5" i="126"/>
  <c r="G8" i="126"/>
  <c r="BK8" i="126"/>
  <c r="CO19" i="126"/>
  <c r="CQ19" i="126" s="1"/>
  <c r="AQ35" i="126"/>
  <c r="AB75" i="126"/>
  <c r="AB81" i="126" s="1"/>
  <c r="AB83" i="126" s="1"/>
  <c r="AB84" i="126" s="1"/>
  <c r="AB86" i="126" s="1"/>
  <c r="AB87" i="126" s="1"/>
  <c r="CO63" i="126"/>
  <c r="BR77" i="126"/>
  <c r="CQ66" i="126"/>
  <c r="CQ82" i="126"/>
  <c r="M8" i="126"/>
  <c r="CO18" i="126"/>
  <c r="CO43" i="126"/>
  <c r="CQ43" i="126" s="1"/>
  <c r="CO47" i="126"/>
  <c r="AX5" i="126"/>
  <c r="CB5" i="126"/>
  <c r="BQ54" i="126"/>
  <c r="CO65" i="126"/>
  <c r="X84" i="126"/>
  <c r="X86" i="126" s="1"/>
  <c r="CO11" i="126"/>
  <c r="CO27" i="126"/>
  <c r="CP30" i="126"/>
  <c r="BC77" i="126"/>
  <c r="CE38" i="126"/>
  <c r="CQ60" i="126"/>
  <c r="CQ64" i="126"/>
  <c r="D38" i="126"/>
  <c r="D75" i="126" s="1"/>
  <c r="CQ21" i="126"/>
  <c r="CO22" i="126"/>
  <c r="CQ22" i="126" s="1"/>
  <c r="BP8" i="126"/>
  <c r="BA54" i="126"/>
  <c r="N84" i="126"/>
  <c r="N86" i="126" s="1"/>
  <c r="CP31" i="126"/>
  <c r="CO26" i="126"/>
  <c r="CQ26" i="126" s="1"/>
  <c r="G5" i="126"/>
  <c r="CO48" i="126"/>
  <c r="CQ48" i="126" s="1"/>
  <c r="T18" i="126"/>
  <c r="BC65" i="126"/>
  <c r="CP7" i="126"/>
  <c r="BF5" i="126"/>
  <c r="BC10" i="126"/>
  <c r="O19" i="126"/>
  <c r="O8" i="126" s="1"/>
  <c r="O38" i="126" s="1"/>
  <c r="AN21" i="126"/>
  <c r="AG41" i="126"/>
  <c r="Y50" i="126"/>
  <c r="BV54" i="126"/>
  <c r="AX54" i="126"/>
  <c r="AI63" i="126"/>
  <c r="Y77" i="126"/>
  <c r="CP33" i="126"/>
  <c r="CP65" i="126"/>
  <c r="CP54" i="126" s="1"/>
  <c r="CP16" i="126"/>
  <c r="AG5" i="126"/>
  <c r="T26" i="126"/>
  <c r="AI43" i="126"/>
  <c r="I50" i="126"/>
  <c r="BP54" i="126"/>
  <c r="CO7" i="126"/>
  <c r="C38" i="126"/>
  <c r="C39" i="126" s="1"/>
  <c r="BV38" i="126"/>
  <c r="AD5" i="126"/>
  <c r="Y27" i="126"/>
  <c r="BA28" i="126"/>
  <c r="BC28" i="126" s="1"/>
  <c r="T47" i="126"/>
  <c r="T41" i="126" s="1"/>
  <c r="CQ61" i="126"/>
  <c r="BH77" i="126"/>
  <c r="CQ80" i="126"/>
  <c r="CG5" i="126"/>
  <c r="CO25" i="126"/>
  <c r="CQ25" i="126" s="1"/>
  <c r="CO36" i="126"/>
  <c r="CQ36" i="126" s="1"/>
  <c r="AV8" i="126"/>
  <c r="BH5" i="126"/>
  <c r="AI6" i="126"/>
  <c r="AI5" i="126" s="1"/>
  <c r="CB43" i="126"/>
  <c r="E54" i="126"/>
  <c r="CG54" i="126"/>
  <c r="CO29" i="126"/>
  <c r="CQ29" i="126" s="1"/>
  <c r="CO45" i="126"/>
  <c r="CQ45" i="126" s="1"/>
  <c r="BQ38" i="126"/>
  <c r="BM5" i="126"/>
  <c r="W8" i="126"/>
  <c r="AL5" i="126"/>
  <c r="CJ5" i="126"/>
  <c r="CJ38" i="126" s="1"/>
  <c r="CJ39" i="126" s="1"/>
  <c r="BC12" i="126"/>
  <c r="CQ63" i="126"/>
  <c r="O65" i="126"/>
  <c r="CO24" i="126"/>
  <c r="CF38" i="126"/>
  <c r="CF39" i="126" s="1"/>
  <c r="CE39" i="126"/>
  <c r="CG41" i="126"/>
  <c r="CE41" i="126"/>
  <c r="CE75" i="126" s="1"/>
  <c r="CG35" i="126"/>
  <c r="CG73" i="126"/>
  <c r="CG77" i="126"/>
  <c r="CG18" i="126"/>
  <c r="CG8" i="126" s="1"/>
  <c r="CQ67" i="126"/>
  <c r="CQ10" i="126"/>
  <c r="CQ71" i="126"/>
  <c r="CQ13" i="126"/>
  <c r="CQ14" i="126"/>
  <c r="CQ44" i="126"/>
  <c r="CP50" i="126"/>
  <c r="AD8" i="126"/>
  <c r="AD38" i="126" s="1"/>
  <c r="BL75" i="126"/>
  <c r="BL39" i="126"/>
  <c r="BH8" i="126"/>
  <c r="CQ58" i="126"/>
  <c r="T24" i="126"/>
  <c r="R8" i="126"/>
  <c r="H8" i="126"/>
  <c r="H38" i="126" s="1"/>
  <c r="BW8" i="126"/>
  <c r="BR24" i="126"/>
  <c r="CK38" i="126"/>
  <c r="BA5" i="126"/>
  <c r="AB8" i="126"/>
  <c r="BB8" i="126"/>
  <c r="BB38" i="126" s="1"/>
  <c r="E35" i="126"/>
  <c r="BP38" i="126"/>
  <c r="Y5" i="126"/>
  <c r="AS5" i="126"/>
  <c r="E8" i="126"/>
  <c r="AQ8" i="126"/>
  <c r="AQ38" i="126" s="1"/>
  <c r="BF8" i="126"/>
  <c r="BU8" i="126"/>
  <c r="BU38" i="126" s="1"/>
  <c r="I8" i="126"/>
  <c r="CQ12" i="126"/>
  <c r="CQ17" i="126"/>
  <c r="AX24" i="126"/>
  <c r="CQ42" i="126"/>
  <c r="CP41" i="126"/>
  <c r="I41" i="126"/>
  <c r="BR54" i="126"/>
  <c r="N87" i="126"/>
  <c r="AN9" i="126"/>
  <c r="AG8" i="126"/>
  <c r="AG38" i="126" s="1"/>
  <c r="BF41" i="126"/>
  <c r="BH45" i="126"/>
  <c r="O54" i="126"/>
  <c r="Y54" i="126"/>
  <c r="AI73" i="126"/>
  <c r="I38" i="126"/>
  <c r="BQ39" i="126"/>
  <c r="AW8" i="126"/>
  <c r="AW38" i="126" s="1"/>
  <c r="AX30" i="126"/>
  <c r="CL41" i="126"/>
  <c r="BW50" i="126"/>
  <c r="CB58" i="126"/>
  <c r="CA54" i="126"/>
  <c r="CA75" i="126" s="1"/>
  <c r="AV5" i="126"/>
  <c r="CQ24" i="126"/>
  <c r="AI29" i="126"/>
  <c r="T7" i="126"/>
  <c r="T5" i="126" s="1"/>
  <c r="AH8" i="126"/>
  <c r="AH38" i="126" s="1"/>
  <c r="BM18" i="126"/>
  <c r="CB25" i="126"/>
  <c r="BZ8" i="126"/>
  <c r="BZ38" i="126" s="1"/>
  <c r="CQ27" i="126"/>
  <c r="BC27" i="126"/>
  <c r="AI30" i="126"/>
  <c r="BW35" i="126"/>
  <c r="BK41" i="126"/>
  <c r="BM45" i="126"/>
  <c r="BM41" i="126" s="1"/>
  <c r="BU41" i="126"/>
  <c r="BW47" i="126"/>
  <c r="BW41" i="126" s="1"/>
  <c r="AX48" i="126"/>
  <c r="AX41" i="126" s="1"/>
  <c r="AV41" i="126"/>
  <c r="AD50" i="126"/>
  <c r="AD54" i="126"/>
  <c r="I73" i="126"/>
  <c r="AD77" i="126"/>
  <c r="CL77" i="126"/>
  <c r="D81" i="126"/>
  <c r="D83" i="126" s="1"/>
  <c r="D84" i="126" s="1"/>
  <c r="D86" i="126" s="1"/>
  <c r="D87" i="126" s="1"/>
  <c r="D76" i="126"/>
  <c r="AM38" i="126"/>
  <c r="BK5" i="126"/>
  <c r="BK38" i="126" s="1"/>
  <c r="CP5" i="126"/>
  <c r="AL8" i="126"/>
  <c r="BA8" i="126"/>
  <c r="Y8" i="126"/>
  <c r="CL8" i="126"/>
  <c r="CL38" i="126" s="1"/>
  <c r="CQ11" i="126"/>
  <c r="AS12" i="126"/>
  <c r="AR8" i="126"/>
  <c r="AR38" i="126" s="1"/>
  <c r="AI16" i="126"/>
  <c r="BM16" i="126"/>
  <c r="CQ18" i="126"/>
  <c r="AD35" i="126"/>
  <c r="AC75" i="126"/>
  <c r="Y41" i="126"/>
  <c r="O45" i="126"/>
  <c r="O41" i="126" s="1"/>
  <c r="AN45" i="126"/>
  <c r="AN41" i="126" s="1"/>
  <c r="AL41" i="126"/>
  <c r="T54" i="126"/>
  <c r="BW61" i="126"/>
  <c r="M76" i="126"/>
  <c r="AI77" i="126"/>
  <c r="W87" i="126"/>
  <c r="AS50" i="126"/>
  <c r="S83" i="126"/>
  <c r="S84" i="126" s="1"/>
  <c r="S86" i="126" s="1"/>
  <c r="S87" i="126" s="1"/>
  <c r="BG8" i="126"/>
  <c r="BG38" i="126" s="1"/>
  <c r="BR47" i="126"/>
  <c r="BR41" i="126" s="1"/>
  <c r="BP41" i="126"/>
  <c r="CQ62" i="126"/>
  <c r="BH65" i="126"/>
  <c r="BF54" i="126"/>
  <c r="X87" i="126"/>
  <c r="AQ41" i="126"/>
  <c r="AS45" i="126"/>
  <c r="AS41" i="126" s="1"/>
  <c r="CQ78" i="126"/>
  <c r="CO77" i="126"/>
  <c r="BH35" i="126"/>
  <c r="CA39" i="126"/>
  <c r="CQ31" i="126"/>
  <c r="CQ33" i="126"/>
  <c r="O35" i="126"/>
  <c r="CQ47" i="126"/>
  <c r="CO50" i="126"/>
  <c r="CQ55" i="126"/>
  <c r="AS58" i="126"/>
  <c r="AR54" i="126"/>
  <c r="M84" i="126"/>
  <c r="M86" i="126" s="1"/>
  <c r="M87" i="126" s="1"/>
  <c r="BA41" i="126"/>
  <c r="AN54" i="126"/>
  <c r="BM54" i="126"/>
  <c r="CL54" i="126"/>
  <c r="W76" i="126"/>
  <c r="BW77" i="126"/>
  <c r="AB76" i="126"/>
  <c r="E41" i="126"/>
  <c r="AI41" i="126"/>
  <c r="CB41" i="126"/>
  <c r="AD41" i="126"/>
  <c r="CQ46" i="126"/>
  <c r="CQ52" i="126"/>
  <c r="I54" i="126"/>
  <c r="AI54" i="126"/>
  <c r="BC54" i="126"/>
  <c r="CB54" i="126"/>
  <c r="CQ69" i="126"/>
  <c r="O73" i="126"/>
  <c r="R76" i="126"/>
  <c r="R81" i="126"/>
  <c r="R83" i="126" s="1"/>
  <c r="R84" i="126" s="1"/>
  <c r="R86" i="126" s="1"/>
  <c r="R87" i="126" s="1"/>
  <c r="S76" i="126"/>
  <c r="AS77" i="126"/>
  <c r="X76" i="126"/>
  <c r="CQ74" i="126"/>
  <c r="AN77" i="126"/>
  <c r="CP8" i="126" l="1"/>
  <c r="BL76" i="114"/>
  <c r="BL81" i="114"/>
  <c r="BL83" i="114" s="1"/>
  <c r="BL84" i="114" s="1"/>
  <c r="BL86" i="114" s="1"/>
  <c r="BL87" i="114" s="1"/>
  <c r="BM89" i="114"/>
  <c r="BN8" i="114" s="1"/>
  <c r="BM38" i="114"/>
  <c r="BK75" i="114"/>
  <c r="BK39" i="114"/>
  <c r="CO35" i="126"/>
  <c r="BF38" i="126"/>
  <c r="CF75" i="126"/>
  <c r="CF81" i="126" s="1"/>
  <c r="CF83" i="126" s="1"/>
  <c r="CF84" i="126" s="1"/>
  <c r="CF86" i="126" s="1"/>
  <c r="CF87" i="126" s="1"/>
  <c r="CQ16" i="126"/>
  <c r="CG38" i="126"/>
  <c r="CG39" i="126" s="1"/>
  <c r="AL38" i="126"/>
  <c r="AL75" i="126" s="1"/>
  <c r="BV75" i="126"/>
  <c r="BV39" i="126"/>
  <c r="BC8" i="126"/>
  <c r="BC38" i="126" s="1"/>
  <c r="G38" i="126"/>
  <c r="BQ75" i="126"/>
  <c r="CQ7" i="126"/>
  <c r="D39" i="126"/>
  <c r="BH38" i="126"/>
  <c r="AV38" i="126"/>
  <c r="CJ75" i="126"/>
  <c r="C75" i="126"/>
  <c r="C76" i="126" s="1"/>
  <c r="Y38" i="126"/>
  <c r="Y39" i="126" s="1"/>
  <c r="CO28" i="126"/>
  <c r="CQ28" i="126" s="1"/>
  <c r="CF76" i="126"/>
  <c r="CE81" i="126"/>
  <c r="CE83" i="126" s="1"/>
  <c r="CE84" i="126" s="1"/>
  <c r="CE86" i="126" s="1"/>
  <c r="CE87" i="126" s="1"/>
  <c r="CE76" i="126"/>
  <c r="CG89" i="126"/>
  <c r="CH8" i="126" s="1"/>
  <c r="AR39" i="126"/>
  <c r="AR75" i="126"/>
  <c r="AM75" i="126"/>
  <c r="AM39" i="126"/>
  <c r="AS54" i="126"/>
  <c r="O75" i="126"/>
  <c r="O39" i="126"/>
  <c r="H75" i="126"/>
  <c r="H39" i="126"/>
  <c r="CA76" i="126"/>
  <c r="CA81" i="126"/>
  <c r="CA83" i="126" s="1"/>
  <c r="CA84" i="126" s="1"/>
  <c r="CA86" i="126" s="1"/>
  <c r="CA87" i="126" s="1"/>
  <c r="BR8" i="126"/>
  <c r="CP38" i="126"/>
  <c r="BW54" i="126"/>
  <c r="BW89" i="126" s="1"/>
  <c r="BU75" i="126"/>
  <c r="BU39" i="126"/>
  <c r="CQ65" i="126"/>
  <c r="CO54" i="126"/>
  <c r="CQ50" i="126"/>
  <c r="CQ30" i="126"/>
  <c r="BK75" i="126"/>
  <c r="BK39" i="126"/>
  <c r="BZ75" i="126"/>
  <c r="BZ39" i="126"/>
  <c r="BF75" i="126"/>
  <c r="BF39" i="126"/>
  <c r="CQ73" i="126"/>
  <c r="AS8" i="126"/>
  <c r="AN8" i="126"/>
  <c r="G39" i="126"/>
  <c r="G75" i="126"/>
  <c r="AD39" i="126"/>
  <c r="AD75" i="126"/>
  <c r="BH41" i="126"/>
  <c r="BG75" i="126"/>
  <c r="BG39" i="126"/>
  <c r="CB8" i="126"/>
  <c r="AH75" i="126"/>
  <c r="AH39" i="126"/>
  <c r="AW75" i="126"/>
  <c r="AW39" i="126"/>
  <c r="CO8" i="126"/>
  <c r="CQ9" i="126"/>
  <c r="BB75" i="126"/>
  <c r="BB39" i="126"/>
  <c r="BC39" i="126"/>
  <c r="BC75" i="126"/>
  <c r="BH54" i="126"/>
  <c r="I75" i="126"/>
  <c r="I39" i="126"/>
  <c r="CJ76" i="126"/>
  <c r="CJ81" i="126"/>
  <c r="CJ83" i="126" s="1"/>
  <c r="CJ84" i="126" s="1"/>
  <c r="CJ86" i="126" s="1"/>
  <c r="CJ87" i="126" s="1"/>
  <c r="CQ41" i="126"/>
  <c r="I89" i="126"/>
  <c r="J54" i="126" s="1"/>
  <c r="CK75" i="126"/>
  <c r="CK39" i="126"/>
  <c r="AC76" i="126"/>
  <c r="AC81" i="126"/>
  <c r="AC83" i="126" s="1"/>
  <c r="AC84" i="126" s="1"/>
  <c r="AC86" i="126" s="1"/>
  <c r="AC87" i="126" s="1"/>
  <c r="AI8" i="126"/>
  <c r="BC89" i="126"/>
  <c r="BD54" i="126" s="1"/>
  <c r="BV81" i="126"/>
  <c r="BV83" i="126" s="1"/>
  <c r="BV84" i="126" s="1"/>
  <c r="BV86" i="126" s="1"/>
  <c r="BV87" i="126" s="1"/>
  <c r="BV76" i="126"/>
  <c r="CQ77" i="126"/>
  <c r="CO41" i="126"/>
  <c r="AG75" i="126"/>
  <c r="AG39" i="126"/>
  <c r="CQ35" i="126"/>
  <c r="AQ75" i="126"/>
  <c r="AQ39" i="126"/>
  <c r="BW38" i="126"/>
  <c r="CL39" i="126"/>
  <c r="CL75" i="126"/>
  <c r="AV75" i="126"/>
  <c r="AV39" i="126"/>
  <c r="BQ76" i="126"/>
  <c r="BQ81" i="126"/>
  <c r="BQ83" i="126" s="1"/>
  <c r="BQ84" i="126" s="1"/>
  <c r="BQ86" i="126" s="1"/>
  <c r="BQ87" i="126" s="1"/>
  <c r="E89" i="126"/>
  <c r="F8" i="126" s="1"/>
  <c r="O89" i="126"/>
  <c r="BH39" i="126"/>
  <c r="Y89" i="126"/>
  <c r="BP75" i="126"/>
  <c r="BP39" i="126"/>
  <c r="BA38" i="126"/>
  <c r="BM8" i="126"/>
  <c r="CL89" i="126"/>
  <c r="CM54" i="126" s="1"/>
  <c r="CQ6" i="126"/>
  <c r="CO5" i="126"/>
  <c r="J41" i="126"/>
  <c r="AX8" i="126"/>
  <c r="T8" i="126"/>
  <c r="T38" i="126" s="1"/>
  <c r="BL81" i="126"/>
  <c r="BL83" i="126" s="1"/>
  <c r="BL84" i="126" s="1"/>
  <c r="BL86" i="126" s="1"/>
  <c r="BL87" i="126" s="1"/>
  <c r="BL76" i="126"/>
  <c r="E38" i="126"/>
  <c r="AD89" i="126"/>
  <c r="BN73" i="114" l="1"/>
  <c r="BN77" i="114"/>
  <c r="BN35" i="114"/>
  <c r="BN28" i="114"/>
  <c r="BN33" i="114"/>
  <c r="BN30" i="114"/>
  <c r="BN27" i="114"/>
  <c r="BN31" i="114"/>
  <c r="BN26" i="114"/>
  <c r="BN12" i="114"/>
  <c r="BN62" i="114"/>
  <c r="BN46" i="114"/>
  <c r="BN58" i="114"/>
  <c r="BN59" i="114"/>
  <c r="BN10" i="114"/>
  <c r="BN60" i="114"/>
  <c r="BN23" i="114"/>
  <c r="BN41" i="114"/>
  <c r="BN63" i="114"/>
  <c r="BN21" i="114"/>
  <c r="BN64" i="114"/>
  <c r="BN36" i="114"/>
  <c r="BN18" i="114"/>
  <c r="BN68" i="114"/>
  <c r="BN51" i="114"/>
  <c r="BN9" i="114"/>
  <c r="BN65" i="114"/>
  <c r="BN16" i="114"/>
  <c r="BN66" i="114"/>
  <c r="BN29" i="114"/>
  <c r="BN13" i="114"/>
  <c r="BN70" i="114"/>
  <c r="BN32" i="114"/>
  <c r="BN24" i="114"/>
  <c r="BN74" i="114"/>
  <c r="BN57" i="114"/>
  <c r="BN15" i="114"/>
  <c r="BN71" i="114"/>
  <c r="BN22" i="114"/>
  <c r="BN20" i="114"/>
  <c r="BN44" i="114"/>
  <c r="BN45" i="114"/>
  <c r="BN54" i="114"/>
  <c r="BN47" i="114"/>
  <c r="BN50" i="114"/>
  <c r="BN19" i="114"/>
  <c r="BN69" i="114"/>
  <c r="BN42" i="114"/>
  <c r="BN43" i="114"/>
  <c r="BN11" i="114"/>
  <c r="BN61" i="114"/>
  <c r="BN55" i="114"/>
  <c r="BN52" i="114"/>
  <c r="BN56" i="114"/>
  <c r="BN25" i="114"/>
  <c r="BN14" i="114"/>
  <c r="BN48" i="114"/>
  <c r="BN79" i="114"/>
  <c r="BN17" i="114"/>
  <c r="BN67" i="114"/>
  <c r="BK76" i="114"/>
  <c r="BK81" i="114"/>
  <c r="BK83" i="114" s="1"/>
  <c r="BK84" i="114" s="1"/>
  <c r="BK86" i="114" s="1"/>
  <c r="BK87" i="114" s="1"/>
  <c r="BM39" i="114"/>
  <c r="BM75" i="114"/>
  <c r="CG75" i="126"/>
  <c r="AL39" i="126"/>
  <c r="CM77" i="126"/>
  <c r="BD8" i="126"/>
  <c r="BD27" i="126"/>
  <c r="BX77" i="126"/>
  <c r="BX8" i="126"/>
  <c r="CM8" i="126"/>
  <c r="J8" i="126"/>
  <c r="Y75" i="126"/>
  <c r="C81" i="126"/>
  <c r="C83" i="126" s="1"/>
  <c r="C84" i="126" s="1"/>
  <c r="C86" i="126" s="1"/>
  <c r="C87" i="126" s="1"/>
  <c r="CO38" i="126"/>
  <c r="CH79" i="126"/>
  <c r="CH66" i="126"/>
  <c r="CH60" i="126"/>
  <c r="CH42" i="126"/>
  <c r="CH16" i="126"/>
  <c r="CH13" i="126"/>
  <c r="CH10" i="126"/>
  <c r="CH33" i="126"/>
  <c r="CH71" i="126"/>
  <c r="CH65" i="126"/>
  <c r="CH59" i="126"/>
  <c r="CH27" i="126"/>
  <c r="CH19" i="126"/>
  <c r="CH70" i="126"/>
  <c r="CH64" i="126"/>
  <c r="CH22" i="126"/>
  <c r="CH69" i="126"/>
  <c r="CH63" i="126"/>
  <c r="CH55" i="126"/>
  <c r="CH52" i="126"/>
  <c r="CH46" i="126"/>
  <c r="CH31" i="126"/>
  <c r="CH28" i="126"/>
  <c r="CH23" i="126"/>
  <c r="CH20" i="126"/>
  <c r="CH68" i="126"/>
  <c r="CH62" i="126"/>
  <c r="CH67" i="126"/>
  <c r="CH61" i="126"/>
  <c r="CH57" i="126"/>
  <c r="CH51" i="126"/>
  <c r="CH48" i="126"/>
  <c r="CH45" i="126"/>
  <c r="CH30" i="126"/>
  <c r="CH29" i="126"/>
  <c r="CH36" i="126"/>
  <c r="CH47" i="126"/>
  <c r="CH32" i="126"/>
  <c r="CH17" i="126"/>
  <c r="CH50" i="126"/>
  <c r="CH9" i="126"/>
  <c r="CH43" i="126"/>
  <c r="CH44" i="126"/>
  <c r="CH24" i="126"/>
  <c r="CH12" i="126"/>
  <c r="CH54" i="126"/>
  <c r="CH15" i="126"/>
  <c r="CH56" i="126"/>
  <c r="CH74" i="126"/>
  <c r="CH21" i="126"/>
  <c r="CH11" i="126"/>
  <c r="CH14" i="126"/>
  <c r="CH58" i="126"/>
  <c r="CH18" i="126"/>
  <c r="CH73" i="126"/>
  <c r="CH35" i="126"/>
  <c r="CH41" i="126"/>
  <c r="CG76" i="126"/>
  <c r="CG81" i="126"/>
  <c r="CG83" i="126" s="1"/>
  <c r="CG84" i="126" s="1"/>
  <c r="CG86" i="126" s="1"/>
  <c r="CG87" i="126" s="1"/>
  <c r="CH77" i="126"/>
  <c r="CK81" i="126"/>
  <c r="CK83" i="126" s="1"/>
  <c r="CK84" i="126" s="1"/>
  <c r="CK86" i="126" s="1"/>
  <c r="CK87" i="126" s="1"/>
  <c r="CK76" i="126"/>
  <c r="BB81" i="126"/>
  <c r="BB83" i="126" s="1"/>
  <c r="BB84" i="126" s="1"/>
  <c r="BB86" i="126" s="1"/>
  <c r="BB87" i="126" s="1"/>
  <c r="BB76" i="126"/>
  <c r="AS89" i="126"/>
  <c r="AJ8" i="126" s="1"/>
  <c r="O81" i="126"/>
  <c r="O83" i="126" s="1"/>
  <c r="O84" i="126" s="1"/>
  <c r="O86" i="126" s="1"/>
  <c r="O87" i="126" s="1"/>
  <c r="O76" i="126"/>
  <c r="AM76" i="126"/>
  <c r="AM81" i="126"/>
  <c r="AM83" i="126" s="1"/>
  <c r="AM84" i="126" s="1"/>
  <c r="AM86" i="126" s="1"/>
  <c r="AM87" i="126" s="1"/>
  <c r="AX89" i="126"/>
  <c r="AX38" i="126"/>
  <c r="CL81" i="126"/>
  <c r="CL83" i="126" s="1"/>
  <c r="CL84" i="126" s="1"/>
  <c r="CL86" i="126" s="1"/>
  <c r="CL87" i="126" s="1"/>
  <c r="CL76" i="126"/>
  <c r="AG76" i="126"/>
  <c r="AG81" i="126"/>
  <c r="AG83" i="126" s="1"/>
  <c r="AG84" i="126" s="1"/>
  <c r="AG86" i="126" s="1"/>
  <c r="AG87" i="126" s="1"/>
  <c r="AS38" i="126"/>
  <c r="BX54" i="126"/>
  <c r="BX41" i="126"/>
  <c r="BR89" i="126"/>
  <c r="BS8" i="126" s="1"/>
  <c r="BR38" i="126"/>
  <c r="E75" i="126"/>
  <c r="E39" i="126"/>
  <c r="BP76" i="126"/>
  <c r="BP81" i="126"/>
  <c r="BP83" i="126" s="1"/>
  <c r="BP84" i="126" s="1"/>
  <c r="BP86" i="126" s="1"/>
  <c r="BP87" i="126" s="1"/>
  <c r="BH89" i="126"/>
  <c r="F72" i="126"/>
  <c r="F67" i="126"/>
  <c r="F79" i="126"/>
  <c r="F64" i="126"/>
  <c r="F68" i="126"/>
  <c r="F71" i="126"/>
  <c r="F51" i="126"/>
  <c r="F63" i="126"/>
  <c r="F61" i="126"/>
  <c r="F65" i="126"/>
  <c r="F52" i="126"/>
  <c r="F59" i="126"/>
  <c r="F55" i="126"/>
  <c r="F46" i="126"/>
  <c r="F26" i="126"/>
  <c r="F17" i="126"/>
  <c r="F11" i="126"/>
  <c r="F45" i="126"/>
  <c r="F43" i="126"/>
  <c r="F42" i="126"/>
  <c r="F30" i="126"/>
  <c r="F70" i="126"/>
  <c r="F20" i="126"/>
  <c r="F47" i="126"/>
  <c r="F14" i="126"/>
  <c r="F12" i="126"/>
  <c r="F21" i="126"/>
  <c r="F25" i="126"/>
  <c r="F36" i="126"/>
  <c r="F19" i="126"/>
  <c r="F29" i="126"/>
  <c r="F24" i="126"/>
  <c r="F48" i="126"/>
  <c r="F32" i="126"/>
  <c r="F22" i="126"/>
  <c r="F9" i="126"/>
  <c r="F54" i="126"/>
  <c r="F27" i="126"/>
  <c r="F69" i="126"/>
  <c r="F50" i="126"/>
  <c r="F31" i="126"/>
  <c r="F66" i="126"/>
  <c r="F73" i="126"/>
  <c r="F28" i="126"/>
  <c r="F16" i="126"/>
  <c r="F13" i="126"/>
  <c r="F15" i="126"/>
  <c r="F33" i="126"/>
  <c r="F18" i="126"/>
  <c r="F23" i="126"/>
  <c r="F58" i="126"/>
  <c r="F62" i="126"/>
  <c r="F57" i="126"/>
  <c r="F60" i="126"/>
  <c r="F85" i="126"/>
  <c r="F82" i="126"/>
  <c r="F10" i="126"/>
  <c r="F56" i="126"/>
  <c r="F44" i="126"/>
  <c r="AQ76" i="126"/>
  <c r="AQ81" i="126"/>
  <c r="AQ83" i="126" s="1"/>
  <c r="AQ84" i="126" s="1"/>
  <c r="AQ86" i="126" s="1"/>
  <c r="AQ87" i="126" s="1"/>
  <c r="T75" i="126"/>
  <c r="T39" i="126"/>
  <c r="F41" i="126"/>
  <c r="AI89" i="126"/>
  <c r="AI38" i="126"/>
  <c r="BX61" i="126"/>
  <c r="CM66" i="126"/>
  <c r="CM63" i="126"/>
  <c r="CM69" i="126"/>
  <c r="CM71" i="126"/>
  <c r="CM62" i="126"/>
  <c r="CM59" i="126"/>
  <c r="CM55" i="126"/>
  <c r="CM79" i="126"/>
  <c r="CM68" i="126"/>
  <c r="CM67" i="126"/>
  <c r="CM64" i="126"/>
  <c r="CM60" i="126"/>
  <c r="CM51" i="126"/>
  <c r="CM36" i="126"/>
  <c r="CM31" i="126"/>
  <c r="CM74" i="126"/>
  <c r="CM70" i="126"/>
  <c r="CM61" i="126"/>
  <c r="CM42" i="126"/>
  <c r="CM52" i="126"/>
  <c r="CM65" i="126"/>
  <c r="CM18" i="126"/>
  <c r="CM9" i="126"/>
  <c r="CM22" i="126"/>
  <c r="CM15" i="126"/>
  <c r="CM19" i="126"/>
  <c r="CM28" i="126"/>
  <c r="CM32" i="126"/>
  <c r="CM47" i="126"/>
  <c r="CM13" i="126"/>
  <c r="CM43" i="126"/>
  <c r="CM25" i="126"/>
  <c r="CM35" i="126"/>
  <c r="CM30" i="126"/>
  <c r="CM24" i="126"/>
  <c r="CM11" i="126"/>
  <c r="CM27" i="126"/>
  <c r="CM46" i="126"/>
  <c r="CM14" i="126"/>
  <c r="CM29" i="126"/>
  <c r="CM73" i="126"/>
  <c r="CM50" i="126"/>
  <c r="CM12" i="126"/>
  <c r="CM10" i="126"/>
  <c r="CM20" i="126"/>
  <c r="CM48" i="126"/>
  <c r="CM16" i="126"/>
  <c r="CM58" i="126"/>
  <c r="CM23" i="126"/>
  <c r="CM33" i="126"/>
  <c r="CM57" i="126"/>
  <c r="CM56" i="126"/>
  <c r="CM45" i="126"/>
  <c r="CM44" i="126"/>
  <c r="CM21" i="126"/>
  <c r="CM17" i="126"/>
  <c r="CM26" i="126"/>
  <c r="BX47" i="126"/>
  <c r="BH75" i="126"/>
  <c r="BW39" i="126"/>
  <c r="BW75" i="126"/>
  <c r="AL76" i="126"/>
  <c r="AL81" i="126"/>
  <c r="AL83" i="126" s="1"/>
  <c r="AL84" i="126" s="1"/>
  <c r="AL86" i="126" s="1"/>
  <c r="AL87" i="126" s="1"/>
  <c r="J79" i="126"/>
  <c r="J67" i="126"/>
  <c r="J70" i="126"/>
  <c r="J55" i="126"/>
  <c r="J47" i="126"/>
  <c r="J68" i="126"/>
  <c r="J64" i="126"/>
  <c r="J50" i="126"/>
  <c r="J48" i="126"/>
  <c r="J43" i="126"/>
  <c r="J29" i="126"/>
  <c r="J42" i="126"/>
  <c r="J63" i="126"/>
  <c r="J61" i="126"/>
  <c r="J65" i="126"/>
  <c r="J52" i="126"/>
  <c r="J30" i="126"/>
  <c r="J22" i="126"/>
  <c r="J21" i="126"/>
  <c r="J25" i="126"/>
  <c r="J20" i="126"/>
  <c r="J44" i="126"/>
  <c r="J59" i="126"/>
  <c r="J51" i="126"/>
  <c r="J19" i="126"/>
  <c r="J12" i="126"/>
  <c r="J10" i="126"/>
  <c r="J15" i="126"/>
  <c r="J46" i="126"/>
  <c r="J36" i="126"/>
  <c r="J33" i="126"/>
  <c r="J27" i="126"/>
  <c r="J13" i="126"/>
  <c r="J23" i="126"/>
  <c r="J71" i="126"/>
  <c r="J18" i="126"/>
  <c r="J11" i="126"/>
  <c r="J17" i="126"/>
  <c r="J16" i="126"/>
  <c r="J32" i="126"/>
  <c r="J66" i="126"/>
  <c r="J56" i="126"/>
  <c r="J26" i="126"/>
  <c r="J31" i="126"/>
  <c r="J58" i="126"/>
  <c r="J9" i="126"/>
  <c r="J28" i="126"/>
  <c r="J60" i="126"/>
  <c r="J45" i="126"/>
  <c r="J77" i="126"/>
  <c r="J57" i="126"/>
  <c r="J24" i="126"/>
  <c r="J35" i="126"/>
  <c r="J62" i="126"/>
  <c r="J69" i="126"/>
  <c r="J14" i="126"/>
  <c r="AW76" i="126"/>
  <c r="AW81" i="126"/>
  <c r="AW83" i="126" s="1"/>
  <c r="AW84" i="126" s="1"/>
  <c r="AW86" i="126" s="1"/>
  <c r="AW87" i="126" s="1"/>
  <c r="BG76" i="126"/>
  <c r="BG81" i="126"/>
  <c r="BG83" i="126" s="1"/>
  <c r="BG84" i="126" s="1"/>
  <c r="BG86" i="126" s="1"/>
  <c r="BG87" i="126" s="1"/>
  <c r="CQ54" i="126"/>
  <c r="AD81" i="126"/>
  <c r="AD83" i="126" s="1"/>
  <c r="AD84" i="126" s="1"/>
  <c r="AD86" i="126" s="1"/>
  <c r="AD87" i="126" s="1"/>
  <c r="AD76" i="126"/>
  <c r="AN89" i="126"/>
  <c r="AO8" i="126" s="1"/>
  <c r="AN38" i="126"/>
  <c r="BX35" i="126"/>
  <c r="H76" i="126"/>
  <c r="H81" i="126"/>
  <c r="H83" i="126" s="1"/>
  <c r="H84" i="126" s="1"/>
  <c r="H86" i="126" s="1"/>
  <c r="H87" i="126" s="1"/>
  <c r="BM89" i="126"/>
  <c r="BM38" i="126"/>
  <c r="I81" i="126"/>
  <c r="I83" i="126" s="1"/>
  <c r="I84" i="126" s="1"/>
  <c r="I86" i="126" s="1"/>
  <c r="I87" i="126" s="1"/>
  <c r="I76" i="126"/>
  <c r="T89" i="126"/>
  <c r="CO75" i="126"/>
  <c r="CO39" i="126"/>
  <c r="BX74" i="126"/>
  <c r="BX79" i="126"/>
  <c r="BX71" i="126"/>
  <c r="BX70" i="126"/>
  <c r="BX65" i="126"/>
  <c r="BX59" i="126"/>
  <c r="BX30" i="126"/>
  <c r="BX68" i="126"/>
  <c r="BX48" i="126"/>
  <c r="BX45" i="126"/>
  <c r="BX46" i="126"/>
  <c r="BX43" i="126"/>
  <c r="BX14" i="126"/>
  <c r="BX31" i="126"/>
  <c r="BX17" i="126"/>
  <c r="BX42" i="126"/>
  <c r="BX66" i="126"/>
  <c r="BX52" i="126"/>
  <c r="BX22" i="126"/>
  <c r="BX33" i="126"/>
  <c r="BX26" i="126"/>
  <c r="BX25" i="126"/>
  <c r="BX12" i="126"/>
  <c r="BX51" i="126"/>
  <c r="BX24" i="126"/>
  <c r="BX16" i="126"/>
  <c r="BX13" i="126"/>
  <c r="BX15" i="126"/>
  <c r="BX27" i="126"/>
  <c r="BX23" i="126"/>
  <c r="BX56" i="126"/>
  <c r="BX19" i="126"/>
  <c r="BX32" i="126"/>
  <c r="BX62" i="126"/>
  <c r="BX55" i="126"/>
  <c r="BX58" i="126"/>
  <c r="BX20" i="126"/>
  <c r="BX21" i="126"/>
  <c r="BX57" i="126"/>
  <c r="BX60" i="126"/>
  <c r="BX67" i="126"/>
  <c r="BX63" i="126"/>
  <c r="BX29" i="126"/>
  <c r="BX11" i="126"/>
  <c r="BX73" i="126"/>
  <c r="BX69" i="126"/>
  <c r="BX44" i="126"/>
  <c r="BX18" i="126"/>
  <c r="BX36" i="126"/>
  <c r="BX64" i="126"/>
  <c r="BX10" i="126"/>
  <c r="BX28" i="126"/>
  <c r="BX9" i="126"/>
  <c r="AH81" i="126"/>
  <c r="AH83" i="126" s="1"/>
  <c r="AH84" i="126" s="1"/>
  <c r="AH86" i="126" s="1"/>
  <c r="AH87" i="126" s="1"/>
  <c r="AH76" i="126"/>
  <c r="G76" i="126"/>
  <c r="G81" i="126"/>
  <c r="G83" i="126" s="1"/>
  <c r="G84" i="126" s="1"/>
  <c r="G86" i="126" s="1"/>
  <c r="G87" i="126" s="1"/>
  <c r="BZ76" i="126"/>
  <c r="BZ81" i="126"/>
  <c r="BZ83" i="126" s="1"/>
  <c r="BZ84" i="126" s="1"/>
  <c r="BZ86" i="126" s="1"/>
  <c r="BZ87" i="126" s="1"/>
  <c r="BU76" i="126"/>
  <c r="BU81" i="126"/>
  <c r="BU83" i="126" s="1"/>
  <c r="BU84" i="126" s="1"/>
  <c r="BU86" i="126" s="1"/>
  <c r="BU87" i="126" s="1"/>
  <c r="AR81" i="126"/>
  <c r="AR83" i="126" s="1"/>
  <c r="AR84" i="126" s="1"/>
  <c r="AR86" i="126" s="1"/>
  <c r="AR87" i="126" s="1"/>
  <c r="AR76" i="126"/>
  <c r="CQ5" i="126"/>
  <c r="BA75" i="126"/>
  <c r="BA39" i="126"/>
  <c r="AV76" i="126"/>
  <c r="AV81" i="126"/>
  <c r="AV83" i="126" s="1"/>
  <c r="AV84" i="126" s="1"/>
  <c r="AV86" i="126" s="1"/>
  <c r="AV87" i="126" s="1"/>
  <c r="F35" i="126"/>
  <c r="BD79" i="126"/>
  <c r="BI74" i="126"/>
  <c r="BD67" i="126"/>
  <c r="BD70" i="126"/>
  <c r="BD55" i="126"/>
  <c r="BD68" i="126"/>
  <c r="BD48" i="126"/>
  <c r="BD64" i="126"/>
  <c r="BD42" i="126"/>
  <c r="BD61" i="126"/>
  <c r="BD73" i="126"/>
  <c r="BD52" i="126"/>
  <c r="BD78" i="126"/>
  <c r="BD51" i="126"/>
  <c r="BD21" i="126"/>
  <c r="BD59" i="126"/>
  <c r="BD25" i="126"/>
  <c r="BD20" i="126"/>
  <c r="BD15" i="126"/>
  <c r="BD74" i="126"/>
  <c r="BD16" i="126"/>
  <c r="BD30" i="126"/>
  <c r="BD23" i="126"/>
  <c r="BD29" i="126"/>
  <c r="BD9" i="126"/>
  <c r="BD12" i="126"/>
  <c r="BD19" i="126"/>
  <c r="BD10" i="126"/>
  <c r="J74" i="126"/>
  <c r="BD14" i="126"/>
  <c r="BD33" i="126"/>
  <c r="BD69" i="126"/>
  <c r="BD11" i="126"/>
  <c r="BD18" i="126"/>
  <c r="BD31" i="126"/>
  <c r="BD77" i="126"/>
  <c r="BD41" i="126"/>
  <c r="BD58" i="126"/>
  <c r="BD17" i="126"/>
  <c r="BD24" i="126"/>
  <c r="BD26" i="126"/>
  <c r="BD28" i="126"/>
  <c r="BD65" i="126"/>
  <c r="BD71" i="126"/>
  <c r="BD46" i="126"/>
  <c r="BD22" i="126"/>
  <c r="BD57" i="126"/>
  <c r="BD60" i="126"/>
  <c r="BD62" i="126"/>
  <c r="BD13" i="126"/>
  <c r="BD50" i="126"/>
  <c r="BD56" i="126"/>
  <c r="BD43" i="126"/>
  <c r="BD44" i="126"/>
  <c r="BI78" i="126"/>
  <c r="BD63" i="126"/>
  <c r="BI77" i="126"/>
  <c r="BD45" i="126"/>
  <c r="BD32" i="126"/>
  <c r="BI73" i="126"/>
  <c r="BD66" i="126"/>
  <c r="J78" i="126"/>
  <c r="CM41" i="126"/>
  <c r="Y81" i="126"/>
  <c r="Y83" i="126" s="1"/>
  <c r="Y84" i="126" s="1"/>
  <c r="Y86" i="126" s="1"/>
  <c r="Y87" i="126" s="1"/>
  <c r="Y76" i="126"/>
  <c r="BC81" i="126"/>
  <c r="BC83" i="126" s="1"/>
  <c r="BC84" i="126" s="1"/>
  <c r="BC86" i="126" s="1"/>
  <c r="BC87" i="126" s="1"/>
  <c r="BC76" i="126"/>
  <c r="CQ8" i="126"/>
  <c r="CQ89" i="126" s="1"/>
  <c r="CB89" i="126"/>
  <c r="CC8" i="126"/>
  <c r="CB38" i="126"/>
  <c r="BF76" i="126"/>
  <c r="BF81" i="126"/>
  <c r="BF83" i="126" s="1"/>
  <c r="BF84" i="126" s="1"/>
  <c r="BF86" i="126" s="1"/>
  <c r="BF87" i="126" s="1"/>
  <c r="BX50" i="126"/>
  <c r="BK76" i="126"/>
  <c r="BK81" i="126"/>
  <c r="BK83" i="126" s="1"/>
  <c r="BK84" i="126" s="1"/>
  <c r="BK86" i="126" s="1"/>
  <c r="BK87" i="126" s="1"/>
  <c r="J73" i="126"/>
  <c r="CP75" i="126"/>
  <c r="CP39" i="126"/>
  <c r="AT54" i="126"/>
  <c r="BM76" i="114" l="1"/>
  <c r="BM81" i="114"/>
  <c r="BM83" i="114" s="1"/>
  <c r="BM84" i="114" s="1"/>
  <c r="BM86" i="114" s="1"/>
  <c r="BM87" i="114" s="1"/>
  <c r="CH37" i="126"/>
  <c r="CH78" i="126"/>
  <c r="BN8" i="126"/>
  <c r="CQ38" i="126"/>
  <c r="BI79" i="126"/>
  <c r="BI71" i="126"/>
  <c r="BI70" i="126"/>
  <c r="BI58" i="126"/>
  <c r="BI59" i="126"/>
  <c r="BI47" i="126"/>
  <c r="BI63" i="126"/>
  <c r="BI68" i="126"/>
  <c r="BI46" i="126"/>
  <c r="BI52" i="126"/>
  <c r="BI31" i="126"/>
  <c r="BI19" i="126"/>
  <c r="BI42" i="126"/>
  <c r="BI28" i="126"/>
  <c r="BI20" i="126"/>
  <c r="BI61" i="126"/>
  <c r="BI22" i="126"/>
  <c r="BI14" i="126"/>
  <c r="BI17" i="126"/>
  <c r="BI12" i="126"/>
  <c r="BI25" i="126"/>
  <c r="BI55" i="126"/>
  <c r="BI62" i="126"/>
  <c r="BI18" i="126"/>
  <c r="BI29" i="126"/>
  <c r="BI48" i="126"/>
  <c r="BI15" i="126"/>
  <c r="BI33" i="126"/>
  <c r="BI24" i="126"/>
  <c r="BI27" i="126"/>
  <c r="BI50" i="126"/>
  <c r="BI16" i="126"/>
  <c r="BI67" i="126"/>
  <c r="BI44" i="126"/>
  <c r="BI21" i="126"/>
  <c r="BI30" i="126"/>
  <c r="BI64" i="126"/>
  <c r="BI51" i="126"/>
  <c r="BI26" i="126"/>
  <c r="BI13" i="126"/>
  <c r="BI11" i="126"/>
  <c r="BI36" i="126"/>
  <c r="BI43" i="126"/>
  <c r="BI69" i="126"/>
  <c r="BI56" i="126"/>
  <c r="BI9" i="126"/>
  <c r="BI10" i="126"/>
  <c r="BI57" i="126"/>
  <c r="BI23" i="126"/>
  <c r="BI60" i="126"/>
  <c r="BI32" i="126"/>
  <c r="BI66" i="126"/>
  <c r="BI65" i="126"/>
  <c r="BI45" i="126"/>
  <c r="BI35" i="126"/>
  <c r="BI8" i="126"/>
  <c r="AY67" i="126"/>
  <c r="AY74" i="126"/>
  <c r="AY64" i="126"/>
  <c r="AY68" i="126"/>
  <c r="AY79" i="126"/>
  <c r="AY71" i="126"/>
  <c r="AY51" i="126"/>
  <c r="AY36" i="126"/>
  <c r="AY35" i="126" s="1"/>
  <c r="AY61" i="126"/>
  <c r="AY65" i="126"/>
  <c r="AY52" i="126"/>
  <c r="AY59" i="126"/>
  <c r="AY58" i="126"/>
  <c r="AY55" i="126"/>
  <c r="AY45" i="126"/>
  <c r="AY46" i="126"/>
  <c r="AY33" i="126"/>
  <c r="AY19" i="126"/>
  <c r="AY70" i="126"/>
  <c r="AY50" i="126"/>
  <c r="AY17" i="126"/>
  <c r="AY11" i="126"/>
  <c r="AY9" i="126"/>
  <c r="AY42" i="126"/>
  <c r="BD36" i="126"/>
  <c r="BD35" i="126" s="1"/>
  <c r="AY15" i="126"/>
  <c r="AY14" i="126"/>
  <c r="AY22" i="126"/>
  <c r="AY32" i="126"/>
  <c r="AY31" i="126"/>
  <c r="AY13" i="126"/>
  <c r="AY26" i="126"/>
  <c r="AY63" i="126"/>
  <c r="AY12" i="126"/>
  <c r="AY20" i="126"/>
  <c r="AY54" i="126"/>
  <c r="AY21" i="126"/>
  <c r="AY27" i="126"/>
  <c r="AY69" i="126"/>
  <c r="AY44" i="126"/>
  <c r="AY62" i="126"/>
  <c r="AY29" i="126"/>
  <c r="AY16" i="126"/>
  <c r="AY57" i="126"/>
  <c r="AY25" i="126"/>
  <c r="AY10" i="126"/>
  <c r="AY18" i="126"/>
  <c r="AY43" i="126"/>
  <c r="AY23" i="126"/>
  <c r="AY66" i="126"/>
  <c r="AY60" i="126"/>
  <c r="AY47" i="126"/>
  <c r="AY28" i="126"/>
  <c r="AY56" i="126"/>
  <c r="AY41" i="126"/>
  <c r="AY24" i="126"/>
  <c r="AY30" i="126"/>
  <c r="AY48" i="126"/>
  <c r="AO72" i="126"/>
  <c r="AO67" i="126"/>
  <c r="AO70" i="126"/>
  <c r="AO55" i="126"/>
  <c r="AO49" i="126"/>
  <c r="AO68" i="126"/>
  <c r="AO51" i="126"/>
  <c r="AO48" i="126"/>
  <c r="AO33" i="126"/>
  <c r="AO42" i="126"/>
  <c r="AO69" i="126"/>
  <c r="AO64" i="126"/>
  <c r="AO63" i="126"/>
  <c r="AO61" i="126"/>
  <c r="AO65" i="126"/>
  <c r="AO52" i="126"/>
  <c r="AO59" i="126"/>
  <c r="AO12" i="126"/>
  <c r="AO22" i="126"/>
  <c r="AO20" i="126"/>
  <c r="AO15" i="126"/>
  <c r="AO10" i="126"/>
  <c r="AO28" i="126"/>
  <c r="AO18" i="126"/>
  <c r="AO27" i="126"/>
  <c r="AO44" i="126"/>
  <c r="AO32" i="126"/>
  <c r="AO43" i="126"/>
  <c r="AO50" i="126"/>
  <c r="AO62" i="126"/>
  <c r="AO17" i="126"/>
  <c r="AO14" i="126"/>
  <c r="AO57" i="126"/>
  <c r="AO30" i="126"/>
  <c r="AO11" i="126"/>
  <c r="AO58" i="126"/>
  <c r="AO79" i="126"/>
  <c r="AO23" i="126"/>
  <c r="AO19" i="126"/>
  <c r="AO71" i="126"/>
  <c r="AO21" i="126"/>
  <c r="AO25" i="126"/>
  <c r="AO26" i="126"/>
  <c r="AO13" i="126"/>
  <c r="AO46" i="126"/>
  <c r="AO16" i="126"/>
  <c r="AO66" i="126"/>
  <c r="AO47" i="126"/>
  <c r="AO31" i="126"/>
  <c r="AO24" i="126"/>
  <c r="AO60" i="126"/>
  <c r="AO29" i="126"/>
  <c r="AO56" i="126"/>
  <c r="AO54" i="126"/>
  <c r="AO41" i="126"/>
  <c r="AO9" i="126"/>
  <c r="AO45" i="126"/>
  <c r="BW81" i="126"/>
  <c r="BW83" i="126" s="1"/>
  <c r="BW84" i="126" s="1"/>
  <c r="BW86" i="126" s="1"/>
  <c r="BW87" i="126" s="1"/>
  <c r="BW76" i="126"/>
  <c r="BS79" i="126"/>
  <c r="BS67" i="126"/>
  <c r="BS70" i="126"/>
  <c r="BS65" i="126"/>
  <c r="BS55" i="126"/>
  <c r="BS73" i="126"/>
  <c r="BS68" i="126"/>
  <c r="BS31" i="126"/>
  <c r="BS63" i="126"/>
  <c r="BS43" i="126"/>
  <c r="BS42" i="126"/>
  <c r="BS51" i="126"/>
  <c r="BS36" i="126"/>
  <c r="BS74" i="126"/>
  <c r="BS52" i="126"/>
  <c r="BS15" i="126"/>
  <c r="BS69" i="126"/>
  <c r="BS64" i="126"/>
  <c r="BS9" i="126"/>
  <c r="BS59" i="126"/>
  <c r="BS21" i="126"/>
  <c r="BS11" i="126"/>
  <c r="BS71" i="126"/>
  <c r="BS12" i="126"/>
  <c r="BS14" i="126"/>
  <c r="BS25" i="126"/>
  <c r="BS26" i="126"/>
  <c r="BS18" i="126"/>
  <c r="BS10" i="126"/>
  <c r="BS16" i="126"/>
  <c r="BS35" i="126"/>
  <c r="BS48" i="126"/>
  <c r="BS13" i="126"/>
  <c r="BS22" i="126"/>
  <c r="BS17" i="126"/>
  <c r="BS27" i="126"/>
  <c r="BS28" i="126"/>
  <c r="BS50" i="126"/>
  <c r="BS19" i="126"/>
  <c r="BS20" i="126"/>
  <c r="BS23" i="126"/>
  <c r="BS56" i="126"/>
  <c r="BS33" i="126"/>
  <c r="BS58" i="126"/>
  <c r="BS29" i="126"/>
  <c r="BS32" i="126"/>
  <c r="BS46" i="126"/>
  <c r="BS62" i="126"/>
  <c r="BS66" i="126"/>
  <c r="BS30" i="126"/>
  <c r="BS60" i="126"/>
  <c r="BS77" i="126"/>
  <c r="BS57" i="126"/>
  <c r="BS44" i="126"/>
  <c r="BS45" i="126"/>
  <c r="BS61" i="126"/>
  <c r="BS41" i="126"/>
  <c r="BS47" i="126"/>
  <c r="BS54" i="126"/>
  <c r="BS24" i="126"/>
  <c r="CB75" i="126"/>
  <c r="CB39" i="126"/>
  <c r="CR54" i="126"/>
  <c r="U79" i="126"/>
  <c r="AT74" i="126"/>
  <c r="AJ67" i="126"/>
  <c r="U67" i="126"/>
  <c r="Z67" i="126"/>
  <c r="AJ64" i="126"/>
  <c r="U64" i="126"/>
  <c r="AT71" i="126"/>
  <c r="AE71" i="126"/>
  <c r="P71" i="126"/>
  <c r="Z70" i="126"/>
  <c r="AJ68" i="126"/>
  <c r="U68" i="126"/>
  <c r="Z55" i="126"/>
  <c r="Z45" i="126"/>
  <c r="P79" i="126"/>
  <c r="AJ71" i="126"/>
  <c r="U71" i="126"/>
  <c r="AT70" i="126"/>
  <c r="AE70" i="126"/>
  <c r="P70" i="126"/>
  <c r="Z68" i="126"/>
  <c r="AT65" i="126"/>
  <c r="AJ51" i="126"/>
  <c r="U51" i="126"/>
  <c r="P47" i="126"/>
  <c r="AE45" i="126"/>
  <c r="AJ36" i="126"/>
  <c r="AE73" i="126"/>
  <c r="AJ70" i="126"/>
  <c r="U63" i="126"/>
  <c r="AJ61" i="126"/>
  <c r="U61" i="126"/>
  <c r="AT59" i="126"/>
  <c r="AE59" i="126"/>
  <c r="P59" i="126"/>
  <c r="AJ56" i="126"/>
  <c r="U55" i="126"/>
  <c r="Z48" i="126"/>
  <c r="Z43" i="126"/>
  <c r="Z29" i="126"/>
  <c r="AE68" i="126"/>
  <c r="AE66" i="126"/>
  <c r="U65" i="126"/>
  <c r="AJ52" i="126"/>
  <c r="U52" i="126"/>
  <c r="Z42" i="126"/>
  <c r="U70" i="126"/>
  <c r="Z63" i="126"/>
  <c r="Z61" i="126"/>
  <c r="AJ59" i="126"/>
  <c r="U59" i="126"/>
  <c r="U56" i="126"/>
  <c r="Z51" i="126"/>
  <c r="AE48" i="126"/>
  <c r="P48" i="126"/>
  <c r="AE43" i="126"/>
  <c r="P43" i="126"/>
  <c r="Z36" i="126"/>
  <c r="AE29" i="126"/>
  <c r="P29" i="126"/>
  <c r="P68" i="126"/>
  <c r="Z65" i="126"/>
  <c r="AJ60" i="126"/>
  <c r="Z52" i="126"/>
  <c r="AT46" i="126"/>
  <c r="AE46" i="126"/>
  <c r="P46" i="126"/>
  <c r="P63" i="126"/>
  <c r="P52" i="126"/>
  <c r="AE42" i="126"/>
  <c r="AJ33" i="126"/>
  <c r="P33" i="126"/>
  <c r="AJ20" i="126"/>
  <c r="AT17" i="126"/>
  <c r="AJ15" i="126"/>
  <c r="U14" i="126"/>
  <c r="Z12" i="126"/>
  <c r="AT11" i="126"/>
  <c r="Z10" i="126"/>
  <c r="Z64" i="126"/>
  <c r="AE61" i="126"/>
  <c r="U60" i="126"/>
  <c r="AT42" i="126"/>
  <c r="AE27" i="126"/>
  <c r="Z21" i="126"/>
  <c r="AT48" i="126"/>
  <c r="U46" i="126"/>
  <c r="AE33" i="126"/>
  <c r="P14" i="126"/>
  <c r="U12" i="126"/>
  <c r="AE65" i="126"/>
  <c r="AT61" i="126"/>
  <c r="AT33" i="126"/>
  <c r="Z28" i="126"/>
  <c r="AT27" i="126"/>
  <c r="P22" i="126"/>
  <c r="U21" i="126"/>
  <c r="Z20" i="126"/>
  <c r="AJ17" i="126"/>
  <c r="Z15" i="126"/>
  <c r="AE14" i="126"/>
  <c r="AJ12" i="126"/>
  <c r="AJ11" i="126"/>
  <c r="P10" i="126"/>
  <c r="AT68" i="126"/>
  <c r="AE63" i="126"/>
  <c r="AE52" i="126"/>
  <c r="Z59" i="126"/>
  <c r="AT52" i="126"/>
  <c r="Z50" i="126"/>
  <c r="AE47" i="126"/>
  <c r="AJ46" i="126"/>
  <c r="U43" i="126"/>
  <c r="AJ42" i="126"/>
  <c r="AJ21" i="126"/>
  <c r="P17" i="126"/>
  <c r="AT14" i="126"/>
  <c r="P11" i="126"/>
  <c r="AE10" i="126"/>
  <c r="Z69" i="126"/>
  <c r="P61" i="126"/>
  <c r="P42" i="126"/>
  <c r="AJ22" i="126"/>
  <c r="U20" i="126"/>
  <c r="AT19" i="126"/>
  <c r="Z19" i="126"/>
  <c r="AE17" i="126"/>
  <c r="U15" i="126"/>
  <c r="AE11" i="126"/>
  <c r="AT10" i="126"/>
  <c r="AJ14" i="126"/>
  <c r="U17" i="126"/>
  <c r="U11" i="126"/>
  <c r="AJ55" i="126"/>
  <c r="U42" i="126"/>
  <c r="AT16" i="126"/>
  <c r="AE31" i="126"/>
  <c r="P13" i="126"/>
  <c r="U32" i="126"/>
  <c r="AE15" i="126"/>
  <c r="P15" i="126"/>
  <c r="P20" i="126"/>
  <c r="Z14" i="126"/>
  <c r="AT23" i="126"/>
  <c r="AT30" i="126"/>
  <c r="AT60" i="126"/>
  <c r="AE79" i="126"/>
  <c r="Z16" i="126"/>
  <c r="AT20" i="126"/>
  <c r="U26" i="126"/>
  <c r="AE16" i="126"/>
  <c r="Z24" i="126"/>
  <c r="AE25" i="126"/>
  <c r="AT47" i="126"/>
  <c r="AJ58" i="126"/>
  <c r="AJ79" i="126"/>
  <c r="AE21" i="126"/>
  <c r="P9" i="126"/>
  <c r="AE9" i="126"/>
  <c r="P24" i="126"/>
  <c r="Z17" i="126"/>
  <c r="AE26" i="126"/>
  <c r="U25" i="126"/>
  <c r="AT31" i="126"/>
  <c r="Z56" i="126"/>
  <c r="P18" i="126"/>
  <c r="U35" i="126"/>
  <c r="U23" i="126"/>
  <c r="Z44" i="126"/>
  <c r="AT62" i="126"/>
  <c r="AE44" i="126"/>
  <c r="AT57" i="126"/>
  <c r="AT25" i="126"/>
  <c r="AE22" i="126"/>
  <c r="AE24" i="126"/>
  <c r="AJ18" i="126"/>
  <c r="U29" i="126"/>
  <c r="U16" i="126"/>
  <c r="Z23" i="126"/>
  <c r="AJ28" i="126"/>
  <c r="Z30" i="126"/>
  <c r="Z71" i="126"/>
  <c r="U10" i="126"/>
  <c r="Z18" i="126"/>
  <c r="U27" i="126"/>
  <c r="U45" i="126"/>
  <c r="AE19" i="126"/>
  <c r="AJ24" i="126"/>
  <c r="U30" i="126"/>
  <c r="AE58" i="126"/>
  <c r="AT15" i="126"/>
  <c r="AJ23" i="126"/>
  <c r="Z32" i="126"/>
  <c r="AJ25" i="126"/>
  <c r="Z22" i="126"/>
  <c r="AT13" i="126"/>
  <c r="AE12" i="126"/>
  <c r="P12" i="126"/>
  <c r="AE62" i="126"/>
  <c r="AJ74" i="126"/>
  <c r="AE23" i="126"/>
  <c r="AT67" i="126"/>
  <c r="P28" i="126"/>
  <c r="AJ45" i="126"/>
  <c r="AE56" i="126"/>
  <c r="P65" i="126"/>
  <c r="P16" i="126"/>
  <c r="P25" i="126"/>
  <c r="U57" i="126"/>
  <c r="U47" i="126"/>
  <c r="Z31" i="126"/>
  <c r="Z47" i="126"/>
  <c r="Z62" i="126"/>
  <c r="U36" i="126"/>
  <c r="AJ50" i="126"/>
  <c r="Z74" i="126"/>
  <c r="U44" i="126"/>
  <c r="Z57" i="126"/>
  <c r="P74" i="126"/>
  <c r="Z66" i="126"/>
  <c r="U73" i="126"/>
  <c r="AT32" i="126"/>
  <c r="U69" i="126"/>
  <c r="P51" i="126"/>
  <c r="AE60" i="126"/>
  <c r="AT35" i="126"/>
  <c r="AJ19" i="126"/>
  <c r="U28" i="126"/>
  <c r="AT63" i="126"/>
  <c r="P55" i="126"/>
  <c r="Z35" i="126"/>
  <c r="U9" i="126"/>
  <c r="Z26" i="126"/>
  <c r="AE28" i="126"/>
  <c r="AE32" i="126"/>
  <c r="P57" i="126"/>
  <c r="P64" i="126"/>
  <c r="AT56" i="126"/>
  <c r="P44" i="126"/>
  <c r="U48" i="126"/>
  <c r="AE13" i="126"/>
  <c r="AJ35" i="126"/>
  <c r="Z27" i="126"/>
  <c r="P67" i="126"/>
  <c r="AE20" i="126"/>
  <c r="U19" i="126"/>
  <c r="AJ13" i="126"/>
  <c r="P21" i="126"/>
  <c r="AJ9" i="126"/>
  <c r="AT18" i="126"/>
  <c r="AT36" i="126"/>
  <c r="AT28" i="126"/>
  <c r="AT21" i="126"/>
  <c r="P27" i="126"/>
  <c r="AJ43" i="126"/>
  <c r="AT44" i="126"/>
  <c r="AT22" i="126"/>
  <c r="P26" i="126"/>
  <c r="U31" i="126"/>
  <c r="U13" i="126"/>
  <c r="AJ27" i="126"/>
  <c r="U62" i="126"/>
  <c r="AT66" i="126"/>
  <c r="AJ65" i="126"/>
  <c r="Z33" i="126"/>
  <c r="AT79" i="126"/>
  <c r="AJ47" i="126"/>
  <c r="U58" i="126"/>
  <c r="U74" i="126"/>
  <c r="AT26" i="126"/>
  <c r="AE18" i="126"/>
  <c r="U18" i="126"/>
  <c r="AE51" i="126"/>
  <c r="Z60" i="126"/>
  <c r="P30" i="126"/>
  <c r="Z73" i="126"/>
  <c r="U22" i="126"/>
  <c r="AJ26" i="126"/>
  <c r="Z9" i="126"/>
  <c r="AE67" i="126"/>
  <c r="AE69" i="126"/>
  <c r="P31" i="126"/>
  <c r="AT9" i="126"/>
  <c r="AJ32" i="126"/>
  <c r="AJ57" i="126"/>
  <c r="AJ63" i="126"/>
  <c r="AJ66" i="126"/>
  <c r="AT43" i="126"/>
  <c r="AT69" i="126"/>
  <c r="AT55" i="126"/>
  <c r="AJ69" i="126"/>
  <c r="AJ62" i="126"/>
  <c r="Z46" i="126"/>
  <c r="P50" i="126"/>
  <c r="P36" i="126"/>
  <c r="P62" i="126"/>
  <c r="AE64" i="126"/>
  <c r="Z25" i="126"/>
  <c r="P19" i="126"/>
  <c r="AJ48" i="126"/>
  <c r="Z13" i="126"/>
  <c r="P23" i="126"/>
  <c r="P60" i="126"/>
  <c r="AE55" i="126"/>
  <c r="AJ31" i="126"/>
  <c r="P32" i="126"/>
  <c r="P58" i="126"/>
  <c r="AT64" i="126"/>
  <c r="AT73" i="126"/>
  <c r="AE74" i="126"/>
  <c r="P69" i="126"/>
  <c r="Z79" i="126"/>
  <c r="Z11" i="126"/>
  <c r="U33" i="126"/>
  <c r="AJ10" i="126"/>
  <c r="AT24" i="126"/>
  <c r="AE36" i="126"/>
  <c r="Z58" i="126"/>
  <c r="U66" i="126"/>
  <c r="P66" i="126"/>
  <c r="AE30" i="126"/>
  <c r="P56" i="126"/>
  <c r="AJ44" i="126"/>
  <c r="AT29" i="126"/>
  <c r="AT51" i="126"/>
  <c r="U50" i="126"/>
  <c r="AE57" i="126"/>
  <c r="AT12" i="126"/>
  <c r="U24" i="126"/>
  <c r="AE8" i="126"/>
  <c r="AJ41" i="126"/>
  <c r="AJ73" i="126"/>
  <c r="Z8" i="126"/>
  <c r="AT41" i="126"/>
  <c r="U41" i="126"/>
  <c r="AJ54" i="126"/>
  <c r="AJ16" i="126"/>
  <c r="P41" i="126"/>
  <c r="AE41" i="126"/>
  <c r="P73" i="126"/>
  <c r="AT50" i="126"/>
  <c r="P35" i="126"/>
  <c r="Z54" i="126"/>
  <c r="U54" i="126"/>
  <c r="P45" i="126"/>
  <c r="AJ30" i="126"/>
  <c r="P54" i="126"/>
  <c r="AT58" i="126"/>
  <c r="Z41" i="126"/>
  <c r="AE35" i="126"/>
  <c r="AE50" i="126"/>
  <c r="AT45" i="126"/>
  <c r="P8" i="126"/>
  <c r="AE54" i="126"/>
  <c r="AJ29" i="126"/>
  <c r="CP76" i="126"/>
  <c r="CP81" i="126"/>
  <c r="CP83" i="126" s="1"/>
  <c r="CP84" i="126" s="1"/>
  <c r="CP86" i="126" s="1"/>
  <c r="CP87" i="126" s="1"/>
  <c r="BA76" i="126"/>
  <c r="BA81" i="126"/>
  <c r="BA83" i="126" s="1"/>
  <c r="BA84" i="126" s="1"/>
  <c r="BA86" i="126" s="1"/>
  <c r="BA87" i="126" s="1"/>
  <c r="BM39" i="126"/>
  <c r="BM75" i="126"/>
  <c r="BH81" i="126"/>
  <c r="BH83" i="126" s="1"/>
  <c r="BH84" i="126" s="1"/>
  <c r="BH86" i="126" s="1"/>
  <c r="BH87" i="126" s="1"/>
  <c r="BH76" i="126"/>
  <c r="CO81" i="126"/>
  <c r="CO83" i="126" s="1"/>
  <c r="CO84" i="126" s="1"/>
  <c r="CO86" i="126" s="1"/>
  <c r="CO76" i="126"/>
  <c r="T81" i="126"/>
  <c r="T83" i="126" s="1"/>
  <c r="T84" i="126" s="1"/>
  <c r="T86" i="126" s="1"/>
  <c r="T87" i="126" s="1"/>
  <c r="T76" i="126"/>
  <c r="E76" i="126"/>
  <c r="E81" i="126"/>
  <c r="E83" i="126" s="1"/>
  <c r="E84" i="126" s="1"/>
  <c r="E86" i="126" s="1"/>
  <c r="E87" i="126" s="1"/>
  <c r="AS39" i="126"/>
  <c r="AS75" i="126"/>
  <c r="AX75" i="126"/>
  <c r="AX39" i="126"/>
  <c r="CC68" i="126"/>
  <c r="CC67" i="126"/>
  <c r="CC64" i="126"/>
  <c r="CC79" i="126"/>
  <c r="CC71" i="126"/>
  <c r="CC70" i="126"/>
  <c r="CC61" i="126"/>
  <c r="CC74" i="126"/>
  <c r="CC59" i="126"/>
  <c r="CC66" i="126"/>
  <c r="CC60" i="126"/>
  <c r="CC48" i="126"/>
  <c r="CC62" i="126"/>
  <c r="CC51" i="126"/>
  <c r="CC36" i="126"/>
  <c r="CC69" i="126"/>
  <c r="CC56" i="126"/>
  <c r="CC52" i="126"/>
  <c r="CC65" i="126"/>
  <c r="CC30" i="126"/>
  <c r="CC27" i="126"/>
  <c r="CC63" i="126"/>
  <c r="CC17" i="126"/>
  <c r="CC12" i="126"/>
  <c r="CC42" i="126"/>
  <c r="CC29" i="126"/>
  <c r="CC33" i="126"/>
  <c r="CC20" i="126"/>
  <c r="CC15" i="126"/>
  <c r="CC46" i="126"/>
  <c r="CC14" i="126"/>
  <c r="CC55" i="126"/>
  <c r="CC31" i="126"/>
  <c r="CC19" i="126"/>
  <c r="CC24" i="126"/>
  <c r="CC28" i="126"/>
  <c r="CC32" i="126"/>
  <c r="CC44" i="126"/>
  <c r="CC10" i="126"/>
  <c r="CC22" i="126"/>
  <c r="CC16" i="126"/>
  <c r="CC35" i="126"/>
  <c r="CC57" i="126"/>
  <c r="CC26" i="126"/>
  <c r="CC11" i="126"/>
  <c r="CC13" i="126"/>
  <c r="CC43" i="126"/>
  <c r="CC18" i="126"/>
  <c r="CC77" i="126"/>
  <c r="CC9" i="126"/>
  <c r="CC47" i="126"/>
  <c r="CC50" i="126"/>
  <c r="CC73" i="126"/>
  <c r="CC23" i="126"/>
  <c r="CC21" i="126"/>
  <c r="CC45" i="126"/>
  <c r="CC41" i="126"/>
  <c r="CC58" i="126"/>
  <c r="CC25" i="126"/>
  <c r="CC54" i="126"/>
  <c r="U8" i="126"/>
  <c r="BN67" i="126"/>
  <c r="CC37" i="126"/>
  <c r="BN74" i="126"/>
  <c r="BN64" i="126"/>
  <c r="BN79" i="126"/>
  <c r="BN68" i="126"/>
  <c r="BN71" i="126"/>
  <c r="BN51" i="126"/>
  <c r="BN37" i="126"/>
  <c r="BN36" i="126"/>
  <c r="BN61" i="126"/>
  <c r="BN58" i="126"/>
  <c r="BN55" i="126"/>
  <c r="CM37" i="126"/>
  <c r="BX37" i="126"/>
  <c r="BN52" i="126"/>
  <c r="BN70" i="126"/>
  <c r="BN59" i="126"/>
  <c r="BN56" i="126"/>
  <c r="BN42" i="126"/>
  <c r="BS37" i="126"/>
  <c r="BN46" i="126"/>
  <c r="BN33" i="126"/>
  <c r="BN14" i="126"/>
  <c r="BN60" i="126"/>
  <c r="BN19" i="126"/>
  <c r="BN31" i="126"/>
  <c r="BN28" i="126"/>
  <c r="BN17" i="126"/>
  <c r="BN12" i="126"/>
  <c r="BN20" i="126"/>
  <c r="BN15" i="126"/>
  <c r="BN43" i="126"/>
  <c r="BN25" i="126"/>
  <c r="BN30" i="126"/>
  <c r="BN13" i="126"/>
  <c r="BN27" i="126"/>
  <c r="BN73" i="126"/>
  <c r="BN48" i="126"/>
  <c r="BN24" i="126"/>
  <c r="BN47" i="126"/>
  <c r="BN57" i="126"/>
  <c r="BN29" i="126"/>
  <c r="BN65" i="126"/>
  <c r="BN26" i="126"/>
  <c r="BN21" i="126"/>
  <c r="BN69" i="126"/>
  <c r="BN77" i="126"/>
  <c r="BN22" i="126"/>
  <c r="BN9" i="126"/>
  <c r="BN63" i="126"/>
  <c r="BN35" i="126"/>
  <c r="BN23" i="126"/>
  <c r="BN50" i="126"/>
  <c r="BN78" i="126"/>
  <c r="BN44" i="126"/>
  <c r="CC78" i="126"/>
  <c r="BN10" i="126"/>
  <c r="BN32" i="126"/>
  <c r="CM78" i="126"/>
  <c r="BN66" i="126"/>
  <c r="BX78" i="126"/>
  <c r="BN11" i="126"/>
  <c r="BN62" i="126"/>
  <c r="BS78" i="126"/>
  <c r="BN16" i="126"/>
  <c r="BN18" i="126"/>
  <c r="BN54" i="126"/>
  <c r="BN45" i="126"/>
  <c r="BN41" i="126"/>
  <c r="AN75" i="126"/>
  <c r="AN39" i="126"/>
  <c r="AI39" i="126"/>
  <c r="AI75" i="126"/>
  <c r="BR75" i="126"/>
  <c r="BR39" i="126"/>
  <c r="BI41" i="126"/>
  <c r="AY8" i="126"/>
  <c r="AT8" i="126"/>
  <c r="BI54" i="126"/>
  <c r="CR8" i="126" l="1"/>
  <c r="BM81" i="126"/>
  <c r="BM83" i="126" s="1"/>
  <c r="BM84" i="126" s="1"/>
  <c r="BM86" i="126" s="1"/>
  <c r="BM87" i="126" s="1"/>
  <c r="BM76" i="126"/>
  <c r="CR72" i="126"/>
  <c r="CR49" i="126"/>
  <c r="CR67" i="126"/>
  <c r="CR59" i="126"/>
  <c r="CR51" i="126"/>
  <c r="CR64" i="126"/>
  <c r="CR15" i="126"/>
  <c r="CR61" i="126"/>
  <c r="CR20" i="126"/>
  <c r="CR25" i="126"/>
  <c r="CR21" i="126"/>
  <c r="CR14" i="126"/>
  <c r="CR10" i="126"/>
  <c r="CR60" i="126"/>
  <c r="CR26" i="126"/>
  <c r="CR71" i="126"/>
  <c r="CR70" i="126"/>
  <c r="CR23" i="126"/>
  <c r="CR66" i="126"/>
  <c r="CR44" i="126"/>
  <c r="CR57" i="126"/>
  <c r="CR63" i="126"/>
  <c r="CR68" i="126"/>
  <c r="CR13" i="126"/>
  <c r="CR32" i="126"/>
  <c r="CR43" i="126"/>
  <c r="CR56" i="126"/>
  <c r="CR22" i="126"/>
  <c r="CR29" i="126"/>
  <c r="CR24" i="126"/>
  <c r="CR58" i="126"/>
  <c r="CR52" i="126"/>
  <c r="CR46" i="126"/>
  <c r="CR11" i="126"/>
  <c r="CR18" i="126"/>
  <c r="CR62" i="126"/>
  <c r="CR28" i="126"/>
  <c r="CR16" i="126"/>
  <c r="CR17" i="126"/>
  <c r="CR12" i="126"/>
  <c r="CR36" i="126"/>
  <c r="CR35" i="126" s="1"/>
  <c r="CR48" i="126"/>
  <c r="CR33" i="126"/>
  <c r="CR55" i="126"/>
  <c r="CR19" i="126"/>
  <c r="CR42" i="126"/>
  <c r="CR27" i="126"/>
  <c r="CR47" i="126"/>
  <c r="CR45" i="126"/>
  <c r="CR31" i="126"/>
  <c r="CR69" i="126"/>
  <c r="CR74" i="126"/>
  <c r="CR65" i="126"/>
  <c r="CR30" i="126"/>
  <c r="CR9" i="126"/>
  <c r="CR41" i="126"/>
  <c r="AN81" i="126"/>
  <c r="AN83" i="126" s="1"/>
  <c r="AN84" i="126" s="1"/>
  <c r="AN86" i="126" s="1"/>
  <c r="AN87" i="126" s="1"/>
  <c r="AN76" i="126"/>
  <c r="CB81" i="126"/>
  <c r="CB83" i="126" s="1"/>
  <c r="CB84" i="126" s="1"/>
  <c r="CB86" i="126" s="1"/>
  <c r="CB87" i="126" s="1"/>
  <c r="CB76" i="126"/>
  <c r="AI76" i="126"/>
  <c r="AI81" i="126"/>
  <c r="AI83" i="126" s="1"/>
  <c r="AI84" i="126" s="1"/>
  <c r="AI86" i="126" s="1"/>
  <c r="AI87" i="126" s="1"/>
  <c r="AX81" i="126"/>
  <c r="AX83" i="126" s="1"/>
  <c r="AX84" i="126" s="1"/>
  <c r="AX86" i="126" s="1"/>
  <c r="AX87" i="126" s="1"/>
  <c r="AX76" i="126"/>
  <c r="BR81" i="126"/>
  <c r="BR83" i="126" s="1"/>
  <c r="BR84" i="126" s="1"/>
  <c r="BR86" i="126" s="1"/>
  <c r="BR87" i="126" s="1"/>
  <c r="BR76" i="126"/>
  <c r="AS81" i="126"/>
  <c r="AS83" i="126" s="1"/>
  <c r="AS84" i="126" s="1"/>
  <c r="AS86" i="126" s="1"/>
  <c r="AS87" i="126" s="1"/>
  <c r="AS76" i="126"/>
  <c r="CQ39" i="126"/>
  <c r="CQ75" i="126"/>
  <c r="CQ81" i="126" l="1"/>
  <c r="CQ83" i="126" s="1"/>
  <c r="CQ84" i="126" s="1"/>
  <c r="CQ86" i="126" s="1"/>
  <c r="CQ87" i="126" s="1"/>
  <c r="CQ76" i="126"/>
  <c r="E79" i="138" l="1"/>
  <c r="X55" i="101" l="1"/>
  <c r="X64" i="101"/>
  <c r="X63" i="101" s="1"/>
  <c r="X61" i="101"/>
  <c r="X58" i="101" s="1"/>
  <c r="X46" i="101"/>
  <c r="X45" i="101" l="1"/>
  <c r="R85" i="138" l="1"/>
  <c r="Q85" i="138"/>
  <c r="R82" i="138"/>
  <c r="Q82" i="138"/>
  <c r="R79" i="138"/>
  <c r="Q79" i="138"/>
  <c r="R78" i="138"/>
  <c r="Q78" i="138"/>
  <c r="R74" i="138"/>
  <c r="Q74" i="138"/>
  <c r="R71" i="138"/>
  <c r="Q71" i="138"/>
  <c r="R70" i="138"/>
  <c r="Q70" i="138"/>
  <c r="R69" i="138"/>
  <c r="Q69" i="138"/>
  <c r="R68" i="138"/>
  <c r="Q68" i="138"/>
  <c r="R67" i="138"/>
  <c r="Q67" i="138"/>
  <c r="R66" i="138"/>
  <c r="Q66" i="138"/>
  <c r="R65" i="138"/>
  <c r="Q65" i="138"/>
  <c r="R64" i="138"/>
  <c r="Q64" i="138"/>
  <c r="R63" i="138"/>
  <c r="Q63" i="138"/>
  <c r="R62" i="138"/>
  <c r="Q62" i="138"/>
  <c r="R61" i="138"/>
  <c r="Q61" i="138"/>
  <c r="R60" i="138"/>
  <c r="Q60" i="138"/>
  <c r="R59" i="138"/>
  <c r="Q59" i="138"/>
  <c r="R58" i="138"/>
  <c r="Q58" i="138"/>
  <c r="R57" i="138"/>
  <c r="Q57" i="138"/>
  <c r="R56" i="138"/>
  <c r="Q56" i="138"/>
  <c r="R55" i="138"/>
  <c r="Q55" i="138"/>
  <c r="R52" i="138"/>
  <c r="Q52" i="138"/>
  <c r="R51" i="138"/>
  <c r="Q51" i="138"/>
  <c r="R48" i="138"/>
  <c r="Q48" i="138"/>
  <c r="R47" i="138"/>
  <c r="Q47" i="138"/>
  <c r="R46" i="138"/>
  <c r="Q46" i="138"/>
  <c r="R45" i="138"/>
  <c r="Q45" i="138"/>
  <c r="R44" i="138"/>
  <c r="Q44" i="138"/>
  <c r="R43" i="138"/>
  <c r="Q43" i="138"/>
  <c r="R42" i="138"/>
  <c r="Q42" i="138"/>
  <c r="R36" i="138"/>
  <c r="Q36" i="138"/>
  <c r="R33" i="138"/>
  <c r="Q33" i="138"/>
  <c r="R32" i="138"/>
  <c r="Q32" i="138"/>
  <c r="R31" i="138"/>
  <c r="Q31" i="138"/>
  <c r="R30" i="138"/>
  <c r="Q30" i="138"/>
  <c r="R29" i="138"/>
  <c r="Q29" i="138"/>
  <c r="R28" i="138"/>
  <c r="Q28" i="138"/>
  <c r="R27" i="138"/>
  <c r="Q27" i="138"/>
  <c r="R26" i="138"/>
  <c r="Q26" i="138"/>
  <c r="R25" i="138"/>
  <c r="Q25" i="138"/>
  <c r="R24" i="138"/>
  <c r="Q24" i="138"/>
  <c r="R23" i="138"/>
  <c r="Q23" i="138"/>
  <c r="R22" i="138"/>
  <c r="Q22" i="138"/>
  <c r="R21" i="138"/>
  <c r="Q21" i="138"/>
  <c r="R20" i="138"/>
  <c r="Q20" i="138"/>
  <c r="R19" i="138"/>
  <c r="Q19" i="138"/>
  <c r="R18" i="138"/>
  <c r="Q18" i="138"/>
  <c r="R17" i="138"/>
  <c r="Q17" i="138"/>
  <c r="Q16" i="138"/>
  <c r="R15" i="138"/>
  <c r="Q15" i="138"/>
  <c r="R14" i="138"/>
  <c r="Q14" i="138"/>
  <c r="R13" i="138"/>
  <c r="Q13" i="138"/>
  <c r="R12" i="138"/>
  <c r="Q12" i="138"/>
  <c r="R11" i="138"/>
  <c r="Q11" i="138"/>
  <c r="R10" i="138"/>
  <c r="Q10" i="138"/>
  <c r="R9" i="138"/>
  <c r="Q9" i="138"/>
  <c r="Q7" i="138"/>
  <c r="R7" i="138"/>
  <c r="R6" i="138"/>
  <c r="Q6" i="138"/>
  <c r="M20" i="101" l="1"/>
  <c r="DD79" i="82" s="1"/>
  <c r="I20" i="101"/>
  <c r="E20" i="101"/>
  <c r="DF79" i="82" l="1"/>
  <c r="DD77" i="82"/>
  <c r="DD81" i="82"/>
  <c r="DD83" i="82" s="1"/>
  <c r="DD84" i="82" s="1"/>
  <c r="DD86" i="82" s="1"/>
  <c r="DD87" i="82" s="1"/>
  <c r="U48" i="101"/>
  <c r="C48" i="101" s="1"/>
  <c r="DF77" i="82" l="1"/>
  <c r="DF89" i="82"/>
  <c r="DF91" i="82" s="1"/>
  <c r="DF81" i="82"/>
  <c r="DF83" i="82" s="1"/>
  <c r="DF84" i="82" s="1"/>
  <c r="DF86" i="82" s="1"/>
  <c r="DF87" i="82" l="1"/>
  <c r="BF26" i="114" l="1"/>
  <c r="BH85" i="114"/>
  <c r="BH82" i="114"/>
  <c r="BH78" i="114"/>
  <c r="BG77" i="114"/>
  <c r="BF77" i="114"/>
  <c r="BH74" i="114"/>
  <c r="BG73" i="114"/>
  <c r="BF73" i="114"/>
  <c r="BH71" i="114"/>
  <c r="BH70" i="114"/>
  <c r="BH69" i="114"/>
  <c r="BH68" i="114"/>
  <c r="BH67" i="114"/>
  <c r="BH66" i="114"/>
  <c r="BH65" i="114"/>
  <c r="BH64" i="114"/>
  <c r="BH63" i="114"/>
  <c r="BH62" i="114"/>
  <c r="BH61" i="114"/>
  <c r="BH60" i="114"/>
  <c r="BH59" i="114"/>
  <c r="BH58" i="114"/>
  <c r="BH57" i="114"/>
  <c r="BH56" i="114"/>
  <c r="BH55" i="114"/>
  <c r="BG54" i="114"/>
  <c r="BF54" i="114"/>
  <c r="BH52" i="114"/>
  <c r="BH51" i="114"/>
  <c r="BG50" i="114"/>
  <c r="BF50" i="114"/>
  <c r="BH48" i="114"/>
  <c r="BH47" i="114"/>
  <c r="BH46" i="114"/>
  <c r="BH45" i="114"/>
  <c r="BH44" i="114"/>
  <c r="BH43" i="114"/>
  <c r="BH42" i="114"/>
  <c r="BH41" i="114"/>
  <c r="BG41" i="114"/>
  <c r="BF41" i="114"/>
  <c r="BH36" i="114"/>
  <c r="BH35" i="114" s="1"/>
  <c r="BH33" i="114"/>
  <c r="BH32" i="114"/>
  <c r="BH31" i="114"/>
  <c r="BH30" i="114"/>
  <c r="BH29" i="114"/>
  <c r="BH28" i="114"/>
  <c r="BH27" i="114"/>
  <c r="BH26" i="114"/>
  <c r="BH25" i="114"/>
  <c r="BH24" i="114"/>
  <c r="BH23" i="114"/>
  <c r="BH22" i="114"/>
  <c r="BH21" i="114"/>
  <c r="BH20" i="114"/>
  <c r="BH19" i="114"/>
  <c r="BH18" i="114"/>
  <c r="BH17" i="114"/>
  <c r="BH16" i="114"/>
  <c r="BH15" i="114"/>
  <c r="BH14" i="114"/>
  <c r="BH13" i="114"/>
  <c r="BH12" i="114"/>
  <c r="BH11" i="114"/>
  <c r="BH10" i="114"/>
  <c r="BH9" i="114"/>
  <c r="BG8" i="114"/>
  <c r="BH79" i="114" s="1"/>
  <c r="BF8" i="114"/>
  <c r="BH7" i="114"/>
  <c r="BH6" i="114"/>
  <c r="BH5" i="114" s="1"/>
  <c r="BG5" i="114"/>
  <c r="BF5" i="114"/>
  <c r="N85" i="138"/>
  <c r="N82" i="138"/>
  <c r="N78" i="138"/>
  <c r="O78" i="138" s="1"/>
  <c r="M77" i="138"/>
  <c r="L77" i="138"/>
  <c r="N74" i="138"/>
  <c r="N73" i="138" s="1"/>
  <c r="M73" i="138"/>
  <c r="L73" i="138"/>
  <c r="N71" i="138"/>
  <c r="N70" i="138"/>
  <c r="N69" i="138"/>
  <c r="N68" i="138"/>
  <c r="N67" i="138"/>
  <c r="N66" i="138"/>
  <c r="N65" i="138"/>
  <c r="N64" i="138"/>
  <c r="N63" i="138"/>
  <c r="N62" i="138"/>
  <c r="N61" i="138"/>
  <c r="N60" i="138"/>
  <c r="N59" i="138"/>
  <c r="N58" i="138"/>
  <c r="N57" i="138"/>
  <c r="N56" i="138"/>
  <c r="N55" i="138"/>
  <c r="M54" i="138"/>
  <c r="L54" i="138"/>
  <c r="N52" i="138"/>
  <c r="N51" i="138"/>
  <c r="M50" i="138"/>
  <c r="L50" i="138"/>
  <c r="N48" i="138"/>
  <c r="N47" i="138"/>
  <c r="N46" i="138"/>
  <c r="N45" i="138"/>
  <c r="N44" i="138"/>
  <c r="N43" i="138"/>
  <c r="N42" i="138"/>
  <c r="M41" i="138"/>
  <c r="L41" i="138"/>
  <c r="O37" i="138"/>
  <c r="N36" i="138"/>
  <c r="N35" i="138" s="1"/>
  <c r="N33" i="138"/>
  <c r="N32" i="138"/>
  <c r="N31" i="138"/>
  <c r="N30" i="138"/>
  <c r="N29" i="138"/>
  <c r="N28" i="138"/>
  <c r="N27" i="138"/>
  <c r="N26" i="138"/>
  <c r="N25" i="138"/>
  <c r="N24" i="138"/>
  <c r="N23" i="138"/>
  <c r="N22" i="138"/>
  <c r="N21" i="138"/>
  <c r="N20" i="138"/>
  <c r="N19" i="138"/>
  <c r="N18" i="138"/>
  <c r="N17" i="138"/>
  <c r="N16" i="138"/>
  <c r="N15" i="138"/>
  <c r="N14" i="138"/>
  <c r="N13" i="138"/>
  <c r="N12" i="138"/>
  <c r="N11" i="138"/>
  <c r="N10" i="138"/>
  <c r="N9" i="138"/>
  <c r="M8" i="138"/>
  <c r="S79" i="138" s="1"/>
  <c r="W79" i="138" s="1"/>
  <c r="L8" i="138"/>
  <c r="N7" i="138"/>
  <c r="N6" i="138"/>
  <c r="N5" i="138" s="1"/>
  <c r="M5" i="138"/>
  <c r="L5" i="138"/>
  <c r="BH50" i="114" l="1"/>
  <c r="L38" i="138"/>
  <c r="L75" i="138" s="1"/>
  <c r="L81" i="138" s="1"/>
  <c r="L83" i="138" s="1"/>
  <c r="L84" i="138" s="1"/>
  <c r="L86" i="138" s="1"/>
  <c r="L87" i="138" s="1"/>
  <c r="BH8" i="114"/>
  <c r="BH38" i="114" s="1"/>
  <c r="BH39" i="114" s="1"/>
  <c r="N54" i="138"/>
  <c r="N50" i="138"/>
  <c r="M38" i="138"/>
  <c r="N41" i="138"/>
  <c r="BF38" i="114"/>
  <c r="BF75" i="114" s="1"/>
  <c r="BH77" i="114"/>
  <c r="BG38" i="114"/>
  <c r="BH54" i="114"/>
  <c r="BH73" i="114"/>
  <c r="N77" i="138"/>
  <c r="N8" i="138"/>
  <c r="L76" i="138"/>
  <c r="L39" i="138"/>
  <c r="BF39" i="114" l="1"/>
  <c r="M39" i="138"/>
  <c r="M75" i="138"/>
  <c r="BF76" i="114"/>
  <c r="BF81" i="114"/>
  <c r="BF83" i="114" s="1"/>
  <c r="BF84" i="114" s="1"/>
  <c r="BF86" i="114" s="1"/>
  <c r="BF87" i="114" s="1"/>
  <c r="BH89" i="114"/>
  <c r="BG75" i="114"/>
  <c r="BG39" i="114"/>
  <c r="BH75" i="114"/>
  <c r="N89" i="138"/>
  <c r="O79" i="138" s="1"/>
  <c r="N38" i="138"/>
  <c r="M76" i="138" l="1"/>
  <c r="M81" i="138"/>
  <c r="M83" i="138" s="1"/>
  <c r="M84" i="138" s="1"/>
  <c r="M86" i="138" s="1"/>
  <c r="M87" i="138" s="1"/>
  <c r="BG81" i="114"/>
  <c r="BG83" i="114" s="1"/>
  <c r="BG84" i="114" s="1"/>
  <c r="BG86" i="114" s="1"/>
  <c r="BG87" i="114" s="1"/>
  <c r="BG76" i="114"/>
  <c r="BI31" i="114"/>
  <c r="BI22" i="114"/>
  <c r="BI13" i="114"/>
  <c r="BI25" i="114"/>
  <c r="BI16" i="114"/>
  <c r="BI35" i="114"/>
  <c r="BI28" i="114"/>
  <c r="BI19" i="114"/>
  <c r="BI10" i="114"/>
  <c r="BI69" i="114"/>
  <c r="BI52" i="114"/>
  <c r="BI20" i="114"/>
  <c r="BI71" i="114"/>
  <c r="BI12" i="114"/>
  <c r="BI17" i="114"/>
  <c r="BI61" i="114"/>
  <c r="BI27" i="114"/>
  <c r="BI68" i="114"/>
  <c r="BI33" i="114"/>
  <c r="BI51" i="114"/>
  <c r="BI15" i="114"/>
  <c r="BI58" i="114"/>
  <c r="BI29" i="114"/>
  <c r="BI46" i="114"/>
  <c r="BI21" i="114"/>
  <c r="BI26" i="114"/>
  <c r="BI67" i="114"/>
  <c r="BI45" i="114"/>
  <c r="BI64" i="114"/>
  <c r="BI42" i="114"/>
  <c r="BI63" i="114"/>
  <c r="BI30" i="114"/>
  <c r="BI14" i="114"/>
  <c r="BI50" i="114"/>
  <c r="BI74" i="114"/>
  <c r="BI48" i="114"/>
  <c r="BI43" i="114"/>
  <c r="BI57" i="114"/>
  <c r="BI8" i="114"/>
  <c r="BI24" i="114"/>
  <c r="BI23" i="114"/>
  <c r="BI41" i="114"/>
  <c r="BI32" i="114"/>
  <c r="BI59" i="114"/>
  <c r="BI60" i="114"/>
  <c r="BI44" i="114"/>
  <c r="BI9" i="114"/>
  <c r="BI56" i="114"/>
  <c r="BI36" i="114"/>
  <c r="BI47" i="114"/>
  <c r="BI11" i="114"/>
  <c r="BI65" i="114"/>
  <c r="BI79" i="114"/>
  <c r="BI66" i="114"/>
  <c r="BI55" i="114"/>
  <c r="BI18" i="114"/>
  <c r="BI62" i="114"/>
  <c r="BI70" i="114"/>
  <c r="BI73" i="114"/>
  <c r="BI77" i="114"/>
  <c r="BH76" i="114"/>
  <c r="BH81" i="114"/>
  <c r="BH83" i="114" s="1"/>
  <c r="BH84" i="114" s="1"/>
  <c r="BH86" i="114" s="1"/>
  <c r="BH87" i="114" s="1"/>
  <c r="BI54" i="114"/>
  <c r="O69" i="138"/>
  <c r="O66" i="138"/>
  <c r="O60" i="138"/>
  <c r="O51" i="138"/>
  <c r="O42" i="138"/>
  <c r="O63" i="138"/>
  <c r="O54" i="138"/>
  <c r="O45" i="138"/>
  <c r="O57" i="138"/>
  <c r="O48" i="138"/>
  <c r="O26" i="138"/>
  <c r="O9" i="138"/>
  <c r="O62" i="138"/>
  <c r="O35" i="138"/>
  <c r="O17" i="138"/>
  <c r="O12" i="138"/>
  <c r="O70" i="138"/>
  <c r="O52" i="138"/>
  <c r="O32" i="138"/>
  <c r="O15" i="138"/>
  <c r="O67" i="138"/>
  <c r="O58" i="138"/>
  <c r="O23" i="138"/>
  <c r="O18" i="138"/>
  <c r="O13" i="138"/>
  <c r="O47" i="138"/>
  <c r="O55" i="138"/>
  <c r="O41" i="138"/>
  <c r="O21" i="138"/>
  <c r="O10" i="138"/>
  <c r="O68" i="138"/>
  <c r="O29" i="138"/>
  <c r="O24" i="138"/>
  <c r="O19" i="138"/>
  <c r="O56" i="138"/>
  <c r="O50" i="138"/>
  <c r="O27" i="138"/>
  <c r="O16" i="138"/>
  <c r="O73" i="138"/>
  <c r="O36" i="138"/>
  <c r="O30" i="138"/>
  <c r="O25" i="138"/>
  <c r="O65" i="138"/>
  <c r="O14" i="138"/>
  <c r="O61" i="138"/>
  <c r="O33" i="138"/>
  <c r="O22" i="138"/>
  <c r="O59" i="138"/>
  <c r="O46" i="138"/>
  <c r="O31" i="138"/>
  <c r="O71" i="138"/>
  <c r="O20" i="138"/>
  <c r="O44" i="138"/>
  <c r="O28" i="138"/>
  <c r="O11" i="138"/>
  <c r="O74" i="138"/>
  <c r="O64" i="138"/>
  <c r="O43" i="138"/>
  <c r="O77" i="138"/>
  <c r="N75" i="138"/>
  <c r="N39" i="138"/>
  <c r="O8" i="138"/>
  <c r="N76" i="138" l="1"/>
  <c r="N81" i="138"/>
  <c r="N83" i="138" s="1"/>
  <c r="N84" i="138" s="1"/>
  <c r="N86" i="138" s="1"/>
  <c r="N87" i="138" s="1"/>
  <c r="M19" i="101" l="1"/>
  <c r="CY79" i="82" s="1"/>
  <c r="I19" i="101"/>
  <c r="E19" i="101"/>
  <c r="DA79" i="82" l="1"/>
  <c r="CY81" i="82"/>
  <c r="CY83" i="82" s="1"/>
  <c r="CY84" i="82" s="1"/>
  <c r="CY86" i="82" s="1"/>
  <c r="CY87" i="82" s="1"/>
  <c r="CY77" i="82"/>
  <c r="DA77" i="82" l="1"/>
  <c r="DA89" i="82"/>
  <c r="DA91" i="82" s="1"/>
  <c r="DA81" i="82"/>
  <c r="DA83" i="82" s="1"/>
  <c r="DA84" i="82" s="1"/>
  <c r="DA86" i="82" s="1"/>
  <c r="DA87" i="82" s="1"/>
  <c r="H16" i="138" l="1"/>
  <c r="S85" i="138"/>
  <c r="I85" i="138"/>
  <c r="E85" i="138"/>
  <c r="S82" i="138"/>
  <c r="I82" i="138"/>
  <c r="E82" i="138"/>
  <c r="I78" i="138"/>
  <c r="E78" i="138"/>
  <c r="E77" i="138" s="1"/>
  <c r="R77" i="138"/>
  <c r="H77" i="138"/>
  <c r="G77" i="138"/>
  <c r="D77" i="138"/>
  <c r="C77" i="138"/>
  <c r="S74" i="138"/>
  <c r="I74" i="138"/>
  <c r="E74" i="138"/>
  <c r="E73" i="138" s="1"/>
  <c r="R73" i="138"/>
  <c r="Q73" i="138"/>
  <c r="I73" i="138"/>
  <c r="H73" i="138"/>
  <c r="G73" i="138"/>
  <c r="D73" i="138"/>
  <c r="C73" i="138"/>
  <c r="S71" i="138"/>
  <c r="I71" i="138"/>
  <c r="E71" i="138"/>
  <c r="I70" i="138"/>
  <c r="E70" i="138"/>
  <c r="S69" i="138"/>
  <c r="I69" i="138"/>
  <c r="E69" i="138"/>
  <c r="I68" i="138"/>
  <c r="E68" i="138"/>
  <c r="S67" i="138"/>
  <c r="I67" i="138"/>
  <c r="E67" i="138"/>
  <c r="S66" i="138"/>
  <c r="I66" i="138"/>
  <c r="E66" i="138"/>
  <c r="I65" i="138"/>
  <c r="E65" i="138"/>
  <c r="I64" i="138"/>
  <c r="E64" i="138"/>
  <c r="S63" i="138"/>
  <c r="I63" i="138"/>
  <c r="E63" i="138"/>
  <c r="S62" i="138"/>
  <c r="I62" i="138"/>
  <c r="E62" i="138"/>
  <c r="I61" i="138"/>
  <c r="E61" i="138"/>
  <c r="S60" i="138"/>
  <c r="I60" i="138"/>
  <c r="E60" i="138"/>
  <c r="I59" i="138"/>
  <c r="E59" i="138"/>
  <c r="S58" i="138"/>
  <c r="I58" i="138"/>
  <c r="E58" i="138"/>
  <c r="S57" i="138"/>
  <c r="I57" i="138"/>
  <c r="E57" i="138"/>
  <c r="I56" i="138"/>
  <c r="E56" i="138"/>
  <c r="I55" i="138"/>
  <c r="E55" i="138"/>
  <c r="H54" i="138"/>
  <c r="G54" i="138"/>
  <c r="D54" i="138"/>
  <c r="C54" i="138"/>
  <c r="S52" i="138"/>
  <c r="I52" i="138"/>
  <c r="E52" i="138"/>
  <c r="R50" i="138"/>
  <c r="I51" i="138"/>
  <c r="E51" i="138"/>
  <c r="H50" i="138"/>
  <c r="G50" i="138"/>
  <c r="D50" i="138"/>
  <c r="C50" i="138"/>
  <c r="S48" i="138"/>
  <c r="I48" i="138"/>
  <c r="E48" i="138"/>
  <c r="S47" i="138"/>
  <c r="I47" i="138"/>
  <c r="E47" i="138"/>
  <c r="I46" i="138"/>
  <c r="E46" i="138"/>
  <c r="S45" i="138"/>
  <c r="I45" i="138"/>
  <c r="E45" i="138"/>
  <c r="S44" i="138"/>
  <c r="I44" i="138"/>
  <c r="E44" i="138"/>
  <c r="I43" i="138"/>
  <c r="E43" i="138"/>
  <c r="I42" i="138"/>
  <c r="E42" i="138"/>
  <c r="H41" i="138"/>
  <c r="G41" i="138"/>
  <c r="D41" i="138"/>
  <c r="C41" i="138"/>
  <c r="S36" i="138"/>
  <c r="S35" i="138" s="1"/>
  <c r="I36" i="138"/>
  <c r="I35" i="138" s="1"/>
  <c r="E36" i="138"/>
  <c r="E35" i="138" s="1"/>
  <c r="R35" i="138"/>
  <c r="Q35" i="138"/>
  <c r="D35" i="138"/>
  <c r="C35" i="138"/>
  <c r="S33" i="138"/>
  <c r="I33" i="138"/>
  <c r="E33" i="138"/>
  <c r="S32" i="138"/>
  <c r="I32" i="138"/>
  <c r="E32" i="138"/>
  <c r="S31" i="138"/>
  <c r="I31" i="138"/>
  <c r="E31" i="138"/>
  <c r="E30" i="138"/>
  <c r="I29" i="138"/>
  <c r="E29" i="138"/>
  <c r="I28" i="138"/>
  <c r="E28" i="138"/>
  <c r="I27" i="138"/>
  <c r="E27" i="138"/>
  <c r="S26" i="138"/>
  <c r="I26" i="138"/>
  <c r="E26" i="138"/>
  <c r="S25" i="138"/>
  <c r="I25" i="138"/>
  <c r="E25" i="138"/>
  <c r="S24" i="138"/>
  <c r="I24" i="138"/>
  <c r="E24" i="138"/>
  <c r="I23" i="138"/>
  <c r="E23" i="138"/>
  <c r="I22" i="138"/>
  <c r="E22" i="138"/>
  <c r="I21" i="138"/>
  <c r="E21" i="138"/>
  <c r="S20" i="138"/>
  <c r="I20" i="138"/>
  <c r="E20" i="138"/>
  <c r="I19" i="138"/>
  <c r="E19" i="138"/>
  <c r="I18" i="138"/>
  <c r="C8" i="138"/>
  <c r="S17" i="138"/>
  <c r="I17" i="138"/>
  <c r="E17" i="138"/>
  <c r="E16" i="138"/>
  <c r="S15" i="138"/>
  <c r="I15" i="138"/>
  <c r="E15" i="138"/>
  <c r="S14" i="138"/>
  <c r="I14" i="138"/>
  <c r="E14" i="138"/>
  <c r="S13" i="138"/>
  <c r="I13" i="138"/>
  <c r="E13" i="138"/>
  <c r="S12" i="138"/>
  <c r="I12" i="138"/>
  <c r="E12" i="138"/>
  <c r="I11" i="138"/>
  <c r="E11" i="138"/>
  <c r="I10" i="138"/>
  <c r="E10" i="138"/>
  <c r="S9" i="138"/>
  <c r="I9" i="138"/>
  <c r="E9" i="138"/>
  <c r="G8" i="138"/>
  <c r="D8" i="138"/>
  <c r="S7" i="138"/>
  <c r="I7" i="138"/>
  <c r="E7" i="138"/>
  <c r="S6" i="138"/>
  <c r="I6" i="138"/>
  <c r="I5" i="138" s="1"/>
  <c r="E6" i="138"/>
  <c r="E5" i="138" s="1"/>
  <c r="R5" i="138"/>
  <c r="H5" i="138"/>
  <c r="G5" i="138"/>
  <c r="D5" i="138"/>
  <c r="C5" i="138"/>
  <c r="AW16" i="114"/>
  <c r="E50" i="138" l="1"/>
  <c r="D38" i="138"/>
  <c r="I50" i="138"/>
  <c r="I54" i="138"/>
  <c r="R16" i="138"/>
  <c r="S5" i="138"/>
  <c r="R41" i="138"/>
  <c r="S18" i="138"/>
  <c r="S21" i="138"/>
  <c r="S27" i="138"/>
  <c r="Q50" i="138"/>
  <c r="S61" i="138"/>
  <c r="S68" i="138"/>
  <c r="S19" i="138"/>
  <c r="S22" i="138"/>
  <c r="S28" i="138"/>
  <c r="S46" i="138"/>
  <c r="S51" i="138"/>
  <c r="S50" i="138" s="1"/>
  <c r="S59" i="138"/>
  <c r="S70" i="138"/>
  <c r="I41" i="138"/>
  <c r="I16" i="138"/>
  <c r="G38" i="138"/>
  <c r="G75" i="138" s="1"/>
  <c r="S16" i="138"/>
  <c r="S29" i="138"/>
  <c r="S23" i="138"/>
  <c r="H8" i="138"/>
  <c r="R8" i="138"/>
  <c r="R38" i="138" s="1"/>
  <c r="I30" i="138"/>
  <c r="D75" i="138"/>
  <c r="D39" i="138"/>
  <c r="S30" i="138"/>
  <c r="Q41" i="138"/>
  <c r="S42" i="138"/>
  <c r="S43" i="138"/>
  <c r="Q54" i="138"/>
  <c r="S55" i="138"/>
  <c r="S56" i="138"/>
  <c r="C38" i="138"/>
  <c r="R54" i="138"/>
  <c r="Q5" i="138"/>
  <c r="S78" i="138"/>
  <c r="Q77" i="138"/>
  <c r="E18" i="138"/>
  <c r="S10" i="138"/>
  <c r="Q8" i="138"/>
  <c r="S11" i="138"/>
  <c r="E41" i="138"/>
  <c r="E54" i="138"/>
  <c r="S64" i="138"/>
  <c r="S65" i="138"/>
  <c r="S73" i="138"/>
  <c r="G39" i="138" l="1"/>
  <c r="Q38" i="138"/>
  <c r="Q39" i="138" s="1"/>
  <c r="H38" i="138"/>
  <c r="H39" i="138" s="1"/>
  <c r="S8" i="138"/>
  <c r="S41" i="138"/>
  <c r="S54" i="138"/>
  <c r="E8" i="138"/>
  <c r="I8" i="138"/>
  <c r="C39" i="138"/>
  <c r="C75" i="138"/>
  <c r="R75" i="138"/>
  <c r="R39" i="138"/>
  <c r="G81" i="138"/>
  <c r="G83" i="138" s="1"/>
  <c r="G84" i="138" s="1"/>
  <c r="G86" i="138" s="1"/>
  <c r="G87" i="138" s="1"/>
  <c r="G76" i="138"/>
  <c r="D81" i="138"/>
  <c r="D83" i="138" s="1"/>
  <c r="D84" i="138" s="1"/>
  <c r="D86" i="138" s="1"/>
  <c r="D87" i="138" s="1"/>
  <c r="D76" i="138"/>
  <c r="H75" i="138" l="1"/>
  <c r="Q75" i="138"/>
  <c r="Q81" i="138" s="1"/>
  <c r="Q83" i="138" s="1"/>
  <c r="Q84" i="138" s="1"/>
  <c r="Q86" i="138" s="1"/>
  <c r="Q87" i="138" s="1"/>
  <c r="I38" i="138"/>
  <c r="R76" i="138"/>
  <c r="R81" i="138"/>
  <c r="R83" i="138" s="1"/>
  <c r="R84" i="138" s="1"/>
  <c r="R86" i="138" s="1"/>
  <c r="R87" i="138" s="1"/>
  <c r="E89" i="138"/>
  <c r="E38" i="138"/>
  <c r="C81" i="138"/>
  <c r="C83" i="138" s="1"/>
  <c r="C84" i="138" s="1"/>
  <c r="C86" i="138" s="1"/>
  <c r="C87" i="138" s="1"/>
  <c r="C76" i="138"/>
  <c r="H81" i="138"/>
  <c r="H83" i="138" s="1"/>
  <c r="H84" i="138" s="1"/>
  <c r="H86" i="138" s="1"/>
  <c r="H87" i="138" s="1"/>
  <c r="H76" i="138"/>
  <c r="S38" i="138"/>
  <c r="F8" i="138" l="1"/>
  <c r="F79" i="138"/>
  <c r="Q76" i="138"/>
  <c r="E75" i="138"/>
  <c r="E39" i="138"/>
  <c r="I39" i="138"/>
  <c r="I75" i="138"/>
  <c r="S75" i="138"/>
  <c r="S39" i="138"/>
  <c r="F85" i="138"/>
  <c r="F82" i="138"/>
  <c r="F70" i="138"/>
  <c r="F16" i="138"/>
  <c r="F52" i="138"/>
  <c r="F15" i="138"/>
  <c r="F10" i="138"/>
  <c r="F58" i="138"/>
  <c r="F67" i="138"/>
  <c r="F20" i="138"/>
  <c r="F13" i="138"/>
  <c r="F69" i="138"/>
  <c r="F64" i="138"/>
  <c r="F23" i="138"/>
  <c r="F45" i="138"/>
  <c r="F60" i="138"/>
  <c r="F55" i="138"/>
  <c r="F47" i="138"/>
  <c r="F42" i="138"/>
  <c r="F36" i="138"/>
  <c r="F72" i="138"/>
  <c r="F61" i="138"/>
  <c r="F48" i="138"/>
  <c r="F26" i="138"/>
  <c r="F29" i="138"/>
  <c r="F31" i="138"/>
  <c r="F46" i="138"/>
  <c r="F73" i="138"/>
  <c r="F19" i="138"/>
  <c r="F71" i="138"/>
  <c r="F62" i="138"/>
  <c r="F50" i="138"/>
  <c r="F57" i="138"/>
  <c r="F59" i="138"/>
  <c r="F32" i="138"/>
  <c r="F14" i="138"/>
  <c r="F35" i="138"/>
  <c r="F9" i="138"/>
  <c r="F66" i="138"/>
  <c r="F11" i="138"/>
  <c r="F51" i="138"/>
  <c r="F21" i="138"/>
  <c r="F68" i="138"/>
  <c r="F17" i="138"/>
  <c r="F44" i="138"/>
  <c r="F22" i="138"/>
  <c r="F25" i="138"/>
  <c r="F43" i="138"/>
  <c r="F12" i="138"/>
  <c r="F33" i="138"/>
  <c r="F63" i="138"/>
  <c r="F28" i="138"/>
  <c r="F24" i="138"/>
  <c r="F65" i="138"/>
  <c r="F27" i="138"/>
  <c r="F56" i="138"/>
  <c r="F30" i="138"/>
  <c r="F41" i="138"/>
  <c r="F18" i="138"/>
  <c r="F54" i="138"/>
  <c r="E81" i="138" l="1"/>
  <c r="E83" i="138" s="1"/>
  <c r="E84" i="138" s="1"/>
  <c r="E86" i="138" s="1"/>
  <c r="E87" i="138" s="1"/>
  <c r="E76" i="138"/>
  <c r="S76" i="138"/>
  <c r="I76" i="138"/>
  <c r="CQ97" i="126" l="1"/>
  <c r="AS93" i="126" l="1"/>
  <c r="CQ93" i="126" l="1"/>
  <c r="CQ100" i="126" l="1"/>
  <c r="CR100" i="126" s="1"/>
  <c r="BC85" i="114" l="1"/>
  <c r="BC82" i="114"/>
  <c r="BC78" i="114"/>
  <c r="BB77" i="114"/>
  <c r="BA77" i="114"/>
  <c r="BC74" i="114"/>
  <c r="BC73" i="114" s="1"/>
  <c r="BB73" i="114"/>
  <c r="BA73" i="114"/>
  <c r="BC71" i="114"/>
  <c r="BC70" i="114"/>
  <c r="BC69" i="114"/>
  <c r="BC68" i="114"/>
  <c r="BC67" i="114"/>
  <c r="BC66" i="114"/>
  <c r="BC65" i="114"/>
  <c r="BC64" i="114"/>
  <c r="BC63" i="114"/>
  <c r="BC62" i="114"/>
  <c r="BC61" i="114"/>
  <c r="BC60" i="114"/>
  <c r="BC59" i="114"/>
  <c r="BC58" i="114"/>
  <c r="BC57" i="114"/>
  <c r="BC56" i="114"/>
  <c r="BC55" i="114"/>
  <c r="BB54" i="114"/>
  <c r="BA54" i="114"/>
  <c r="BC52" i="114"/>
  <c r="BC51" i="114"/>
  <c r="BB50" i="114"/>
  <c r="BA50" i="114"/>
  <c r="BC48" i="114"/>
  <c r="BC47" i="114"/>
  <c r="BC46" i="114"/>
  <c r="BC45" i="114"/>
  <c r="BC44" i="114"/>
  <c r="BC43" i="114"/>
  <c r="BC42" i="114"/>
  <c r="BB41" i="114"/>
  <c r="BA41" i="114"/>
  <c r="BC36" i="114"/>
  <c r="BC33" i="114"/>
  <c r="BC32" i="114"/>
  <c r="BC31" i="114"/>
  <c r="BC30" i="114"/>
  <c r="BC29" i="114"/>
  <c r="BC28" i="114"/>
  <c r="BC27" i="114"/>
  <c r="BC26" i="114"/>
  <c r="BC25" i="114"/>
  <c r="BC24" i="114"/>
  <c r="BC23" i="114"/>
  <c r="BC22" i="114"/>
  <c r="BC21" i="114"/>
  <c r="BC20" i="114"/>
  <c r="BC19" i="114"/>
  <c r="BC18" i="114"/>
  <c r="BC17" i="114"/>
  <c r="BC16" i="114"/>
  <c r="BC15" i="114"/>
  <c r="BC14" i="114"/>
  <c r="BC13" i="114"/>
  <c r="BC12" i="114"/>
  <c r="BC11" i="114"/>
  <c r="BC10" i="114"/>
  <c r="BC9" i="114"/>
  <c r="BB8" i="114"/>
  <c r="BA8" i="114"/>
  <c r="BC7" i="114"/>
  <c r="BC6" i="114"/>
  <c r="BC5" i="114" s="1"/>
  <c r="BB5" i="114"/>
  <c r="BA5" i="114"/>
  <c r="AL66" i="116"/>
  <c r="AK66" i="116"/>
  <c r="BC54" i="114" l="1"/>
  <c r="BA38" i="114"/>
  <c r="BA39" i="114" s="1"/>
  <c r="BB38" i="114"/>
  <c r="BB75" i="114" s="1"/>
  <c r="BC8" i="114"/>
  <c r="BC38" i="114" s="1"/>
  <c r="BC35" i="114"/>
  <c r="BC41" i="114"/>
  <c r="BC50" i="114"/>
  <c r="M62" i="101"/>
  <c r="BA75" i="114" l="1"/>
  <c r="BB39" i="114"/>
  <c r="BB76" i="114"/>
  <c r="BB81" i="114"/>
  <c r="BB83" i="114" s="1"/>
  <c r="BB84" i="114" s="1"/>
  <c r="BB86" i="114" s="1"/>
  <c r="BB87" i="114" s="1"/>
  <c r="BA76" i="114"/>
  <c r="BA81" i="114"/>
  <c r="BA83" i="114" s="1"/>
  <c r="BA84" i="114" s="1"/>
  <c r="BA86" i="114" s="1"/>
  <c r="BA87" i="114" s="1"/>
  <c r="BC39" i="114"/>
  <c r="BC75" i="114"/>
  <c r="BC76" i="114" l="1"/>
  <c r="O70" i="101" l="1"/>
  <c r="P70" i="101"/>
  <c r="S70" i="101"/>
  <c r="T70" i="101"/>
  <c r="U70" i="101"/>
  <c r="P71" i="101"/>
  <c r="S71" i="101"/>
  <c r="T71" i="101"/>
  <c r="U71" i="101"/>
  <c r="C72" i="101"/>
  <c r="S73" i="101"/>
  <c r="T73" i="101"/>
  <c r="U74" i="101" l="1"/>
  <c r="S74" i="101"/>
  <c r="T74" i="101"/>
  <c r="C70" i="101"/>
  <c r="C71" i="101"/>
  <c r="C73" i="101"/>
  <c r="V50" i="101"/>
  <c r="V59" i="101"/>
  <c r="C59" i="101" s="1"/>
  <c r="V64" i="101"/>
  <c r="R58" i="101"/>
  <c r="U58" i="101"/>
  <c r="W58" i="101"/>
  <c r="Q58" i="101"/>
  <c r="T61" i="101"/>
  <c r="T58" i="101" s="1"/>
  <c r="V46" i="101" l="1"/>
  <c r="C50" i="101"/>
  <c r="V58" i="101"/>
  <c r="X93" i="114" l="1"/>
  <c r="AC92" i="114"/>
  <c r="AC94" i="114" s="1"/>
  <c r="X92" i="114"/>
  <c r="BW85" i="114"/>
  <c r="AX85" i="114"/>
  <c r="AS85" i="114"/>
  <c r="AN85" i="114"/>
  <c r="AI85" i="114"/>
  <c r="AD85" i="114"/>
  <c r="Y85" i="114"/>
  <c r="T85" i="114"/>
  <c r="N85" i="114"/>
  <c r="E85" i="114"/>
  <c r="AX82" i="114"/>
  <c r="AS82" i="114"/>
  <c r="AN82" i="114"/>
  <c r="AI82" i="114"/>
  <c r="AD82" i="114"/>
  <c r="Y82" i="114"/>
  <c r="T82" i="114"/>
  <c r="E82" i="114"/>
  <c r="BV77" i="114"/>
  <c r="BU77" i="114"/>
  <c r="I79" i="114"/>
  <c r="E79" i="114"/>
  <c r="BW78" i="114"/>
  <c r="AX78" i="114"/>
  <c r="AS78" i="114"/>
  <c r="AN78" i="114"/>
  <c r="AI78" i="114"/>
  <c r="AD78" i="114"/>
  <c r="Y78" i="114"/>
  <c r="T78" i="114"/>
  <c r="E78" i="114"/>
  <c r="AW77" i="114"/>
  <c r="AV77" i="114"/>
  <c r="AR77" i="114"/>
  <c r="AQ77" i="114"/>
  <c r="AM77" i="114"/>
  <c r="AL77" i="114"/>
  <c r="AH77" i="114"/>
  <c r="AG77" i="114"/>
  <c r="AC77" i="114"/>
  <c r="AB77" i="114"/>
  <c r="X77" i="114"/>
  <c r="W77" i="114"/>
  <c r="S77" i="114"/>
  <c r="R77" i="114"/>
  <c r="N77" i="114"/>
  <c r="M77" i="114"/>
  <c r="L77" i="114"/>
  <c r="D77" i="114"/>
  <c r="C77" i="114"/>
  <c r="BW74" i="114"/>
  <c r="BW73" i="114" s="1"/>
  <c r="AX74" i="114"/>
  <c r="AS74" i="114"/>
  <c r="AN74" i="114"/>
  <c r="AN73" i="114" s="1"/>
  <c r="AI74" i="114"/>
  <c r="AD74" i="114"/>
  <c r="Y74" i="114"/>
  <c r="Y73" i="114" s="1"/>
  <c r="T74" i="114"/>
  <c r="T73" i="114" s="1"/>
  <c r="N74" i="114"/>
  <c r="E74" i="114"/>
  <c r="BU73" i="114"/>
  <c r="AX73" i="114"/>
  <c r="AW73" i="114"/>
  <c r="AV73" i="114"/>
  <c r="AS73" i="114"/>
  <c r="AR73" i="114"/>
  <c r="AQ73" i="114"/>
  <c r="AM73" i="114"/>
  <c r="AL73" i="114"/>
  <c r="AI73" i="114"/>
  <c r="AH73" i="114"/>
  <c r="AG73" i="114"/>
  <c r="AD73" i="114"/>
  <c r="AC73" i="114"/>
  <c r="AB73" i="114"/>
  <c r="X73" i="114"/>
  <c r="W73" i="114"/>
  <c r="S73" i="114"/>
  <c r="R73" i="114"/>
  <c r="M73" i="114"/>
  <c r="L73" i="114"/>
  <c r="E73" i="114"/>
  <c r="D73" i="114"/>
  <c r="C73" i="114"/>
  <c r="AX71" i="114"/>
  <c r="AS71" i="114"/>
  <c r="AN71" i="114"/>
  <c r="AI71" i="114"/>
  <c r="AD71" i="114"/>
  <c r="Y71" i="114"/>
  <c r="T71" i="114"/>
  <c r="N71" i="114"/>
  <c r="E71" i="114"/>
  <c r="BW70" i="114"/>
  <c r="AX70" i="114"/>
  <c r="AS70" i="114"/>
  <c r="AN70" i="114"/>
  <c r="AI70" i="114"/>
  <c r="AD70" i="114"/>
  <c r="Y70" i="114"/>
  <c r="T70" i="114"/>
  <c r="N70" i="114"/>
  <c r="E70" i="114"/>
  <c r="AX69" i="114"/>
  <c r="AS69" i="114"/>
  <c r="AN69" i="114"/>
  <c r="AI69" i="114"/>
  <c r="AD69" i="114"/>
  <c r="Y69" i="114"/>
  <c r="T69" i="114"/>
  <c r="N69" i="114"/>
  <c r="E69" i="114"/>
  <c r="AX68" i="114"/>
  <c r="AS68" i="114"/>
  <c r="AN68" i="114"/>
  <c r="AI68" i="114"/>
  <c r="AD68" i="114"/>
  <c r="Y68" i="114"/>
  <c r="T68" i="114"/>
  <c r="N68" i="114"/>
  <c r="E68" i="114"/>
  <c r="BW67" i="114"/>
  <c r="AX67" i="114"/>
  <c r="AS67" i="114"/>
  <c r="AN67" i="114"/>
  <c r="AI67" i="114"/>
  <c r="AD67" i="114"/>
  <c r="Y67" i="114"/>
  <c r="T67" i="114"/>
  <c r="N67" i="114"/>
  <c r="E67" i="114"/>
  <c r="BW66" i="114"/>
  <c r="AX66" i="114"/>
  <c r="AS66" i="114"/>
  <c r="AN66" i="114"/>
  <c r="AI66" i="114"/>
  <c r="AD66" i="114"/>
  <c r="Y66" i="114"/>
  <c r="T66" i="114"/>
  <c r="N66" i="114"/>
  <c r="E66" i="114"/>
  <c r="AX65" i="114"/>
  <c r="AS65" i="114"/>
  <c r="AN65" i="114"/>
  <c r="AI65" i="114"/>
  <c r="AD65" i="114"/>
  <c r="Y65" i="114"/>
  <c r="T65" i="114"/>
  <c r="N65" i="114"/>
  <c r="E65" i="114"/>
  <c r="AX64" i="114"/>
  <c r="AS64" i="114"/>
  <c r="AN64" i="114"/>
  <c r="AI64" i="114"/>
  <c r="AD64" i="114"/>
  <c r="Y64" i="114"/>
  <c r="T64" i="114"/>
  <c r="N64" i="114"/>
  <c r="E64" i="114"/>
  <c r="AX63" i="114"/>
  <c r="AS63" i="114"/>
  <c r="AN63" i="114"/>
  <c r="AI63" i="114"/>
  <c r="AD63" i="114"/>
  <c r="Y63" i="114"/>
  <c r="T63" i="114"/>
  <c r="N63" i="114"/>
  <c r="E63" i="114"/>
  <c r="AX62" i="114"/>
  <c r="AS62" i="114"/>
  <c r="AN62" i="114"/>
  <c r="AI62" i="114"/>
  <c r="AD62" i="114"/>
  <c r="Y62" i="114"/>
  <c r="T62" i="114"/>
  <c r="N62" i="114"/>
  <c r="E62" i="114"/>
  <c r="AX61" i="114"/>
  <c r="AS61" i="114"/>
  <c r="AN61" i="114"/>
  <c r="AI61" i="114"/>
  <c r="AD61" i="114"/>
  <c r="Y61" i="114"/>
  <c r="T61" i="114"/>
  <c r="N61" i="114"/>
  <c r="E61" i="114"/>
  <c r="AX60" i="114"/>
  <c r="AS60" i="114"/>
  <c r="AN60" i="114"/>
  <c r="AI60" i="114"/>
  <c r="AD60" i="114"/>
  <c r="Y60" i="114"/>
  <c r="T60" i="114"/>
  <c r="N60" i="114"/>
  <c r="E60" i="114"/>
  <c r="AX59" i="114"/>
  <c r="AS59" i="114"/>
  <c r="AN59" i="114"/>
  <c r="AI59" i="114"/>
  <c r="AD59" i="114"/>
  <c r="Y59" i="114"/>
  <c r="T59" i="114"/>
  <c r="N59" i="114"/>
  <c r="E59" i="114"/>
  <c r="AX58" i="114"/>
  <c r="AS58" i="114"/>
  <c r="AN58" i="114"/>
  <c r="AI58" i="114"/>
  <c r="AI54" i="114" s="1"/>
  <c r="AD58" i="114"/>
  <c r="Y58" i="114"/>
  <c r="T58" i="114"/>
  <c r="N58" i="114"/>
  <c r="E58" i="114"/>
  <c r="AX57" i="114"/>
  <c r="AS57" i="114"/>
  <c r="AN57" i="114"/>
  <c r="AI57" i="114"/>
  <c r="AD57" i="114"/>
  <c r="Y57" i="114"/>
  <c r="T57" i="114"/>
  <c r="N57" i="114"/>
  <c r="E57" i="114"/>
  <c r="AX56" i="114"/>
  <c r="AS56" i="114"/>
  <c r="AS54" i="114" s="1"/>
  <c r="AN56" i="114"/>
  <c r="AI56" i="114"/>
  <c r="AD56" i="114"/>
  <c r="Y56" i="114"/>
  <c r="T56" i="114"/>
  <c r="T54" i="114" s="1"/>
  <c r="N56" i="114"/>
  <c r="E56" i="114"/>
  <c r="AX55" i="114"/>
  <c r="AX54" i="114" s="1"/>
  <c r="AS55" i="114"/>
  <c r="AN55" i="114"/>
  <c r="AI55" i="114"/>
  <c r="AD55" i="114"/>
  <c r="Y55" i="114"/>
  <c r="T55" i="114"/>
  <c r="N55" i="114"/>
  <c r="E55" i="114"/>
  <c r="E54" i="114" s="1"/>
  <c r="AW54" i="114"/>
  <c r="AV54" i="114"/>
  <c r="AR54" i="114"/>
  <c r="AQ54" i="114"/>
  <c r="AM54" i="114"/>
  <c r="AL54" i="114"/>
  <c r="AH54" i="114"/>
  <c r="AG54" i="114"/>
  <c r="AC54" i="114"/>
  <c r="AB54" i="114"/>
  <c r="X54" i="114"/>
  <c r="W54" i="114"/>
  <c r="S54" i="114"/>
  <c r="R54" i="114"/>
  <c r="M54" i="114"/>
  <c r="L54" i="114"/>
  <c r="I54" i="114"/>
  <c r="H54" i="114"/>
  <c r="G54" i="114"/>
  <c r="D54" i="114"/>
  <c r="C54" i="114"/>
  <c r="BV50" i="114"/>
  <c r="BW52" i="114"/>
  <c r="AX52" i="114"/>
  <c r="AS52" i="114"/>
  <c r="AN52" i="114"/>
  <c r="AI52" i="114"/>
  <c r="AD52" i="114"/>
  <c r="Y52" i="114"/>
  <c r="T52" i="114"/>
  <c r="N52" i="114"/>
  <c r="E52" i="114"/>
  <c r="BW51" i="114"/>
  <c r="AX51" i="114"/>
  <c r="AS51" i="114"/>
  <c r="AN51" i="114"/>
  <c r="AI51" i="114"/>
  <c r="AD51" i="114"/>
  <c r="AD50" i="114" s="1"/>
  <c r="Y51" i="114"/>
  <c r="T51" i="114"/>
  <c r="N51" i="114"/>
  <c r="E51" i="114"/>
  <c r="AW50" i="114"/>
  <c r="AV50" i="114"/>
  <c r="AR50" i="114"/>
  <c r="AQ50" i="114"/>
  <c r="AM50" i="114"/>
  <c r="AL50" i="114"/>
  <c r="AH50" i="114"/>
  <c r="AG50" i="114"/>
  <c r="AC50" i="114"/>
  <c r="AB50" i="114"/>
  <c r="X50" i="114"/>
  <c r="W50" i="114"/>
  <c r="S50" i="114"/>
  <c r="R50" i="114"/>
  <c r="M50" i="114"/>
  <c r="L50" i="114"/>
  <c r="BW48" i="114"/>
  <c r="AX48" i="114"/>
  <c r="AS48" i="114"/>
  <c r="AN48" i="114"/>
  <c r="AI48" i="114"/>
  <c r="AD48" i="114"/>
  <c r="Y48" i="114"/>
  <c r="T48" i="114"/>
  <c r="N48" i="114"/>
  <c r="E48" i="114"/>
  <c r="AX47" i="114"/>
  <c r="AS47" i="114"/>
  <c r="AN47" i="114"/>
  <c r="AI47" i="114"/>
  <c r="AD47" i="114"/>
  <c r="Y47" i="114"/>
  <c r="T47" i="114"/>
  <c r="N47" i="114"/>
  <c r="E47" i="114"/>
  <c r="AX46" i="114"/>
  <c r="AS46" i="114"/>
  <c r="AN46" i="114"/>
  <c r="AI46" i="114"/>
  <c r="AD46" i="114"/>
  <c r="Y46" i="114"/>
  <c r="T46" i="114"/>
  <c r="N46" i="114"/>
  <c r="E46" i="114"/>
  <c r="AX45" i="114"/>
  <c r="AS45" i="114"/>
  <c r="AN45" i="114"/>
  <c r="AI45" i="114"/>
  <c r="AB45" i="114"/>
  <c r="BU45" i="114" s="1"/>
  <c r="Y45" i="114"/>
  <c r="T45" i="114"/>
  <c r="N45" i="114"/>
  <c r="E45" i="114"/>
  <c r="BW44" i="114"/>
  <c r="AX44" i="114"/>
  <c r="AS44" i="114"/>
  <c r="AN44" i="114"/>
  <c r="AI44" i="114"/>
  <c r="AD44" i="114"/>
  <c r="Y44" i="114"/>
  <c r="T44" i="114"/>
  <c r="N44" i="114"/>
  <c r="E44" i="114"/>
  <c r="AX43" i="114"/>
  <c r="AS43" i="114"/>
  <c r="AN43" i="114"/>
  <c r="AI43" i="114"/>
  <c r="AD43" i="114"/>
  <c r="Y43" i="114"/>
  <c r="Y41" i="114" s="1"/>
  <c r="T43" i="114"/>
  <c r="N43" i="114"/>
  <c r="E43" i="114"/>
  <c r="AX42" i="114"/>
  <c r="AX41" i="114" s="1"/>
  <c r="AS42" i="114"/>
  <c r="AN42" i="114"/>
  <c r="AI42" i="114"/>
  <c r="AD42" i="114"/>
  <c r="Y42" i="114"/>
  <c r="T42" i="114"/>
  <c r="N42" i="114"/>
  <c r="E42" i="114"/>
  <c r="AW41" i="114"/>
  <c r="AV41" i="114"/>
  <c r="AR41" i="114"/>
  <c r="AQ41" i="114"/>
  <c r="AM41" i="114"/>
  <c r="AL41" i="114"/>
  <c r="AH41" i="114"/>
  <c r="AG41" i="114"/>
  <c r="AC41" i="114"/>
  <c r="X41" i="114"/>
  <c r="W41" i="114"/>
  <c r="S41" i="114"/>
  <c r="R41" i="114"/>
  <c r="M41" i="114"/>
  <c r="L41" i="114"/>
  <c r="I41" i="114"/>
  <c r="H41" i="114"/>
  <c r="G41" i="114"/>
  <c r="E41" i="114"/>
  <c r="D41" i="114"/>
  <c r="C41" i="114"/>
  <c r="AX36" i="114"/>
  <c r="AX35" i="114" s="1"/>
  <c r="AS36" i="114"/>
  <c r="AS35" i="114" s="1"/>
  <c r="AN36" i="114"/>
  <c r="AN35" i="114" s="1"/>
  <c r="AI36" i="114"/>
  <c r="AD36" i="114"/>
  <c r="AD35" i="114" s="1"/>
  <c r="Y36" i="114"/>
  <c r="Y35" i="114" s="1"/>
  <c r="T36" i="114"/>
  <c r="T35" i="114" s="1"/>
  <c r="N36" i="114"/>
  <c r="N35" i="114" s="1"/>
  <c r="E36" i="114"/>
  <c r="BU35" i="114"/>
  <c r="AI35" i="114"/>
  <c r="S35" i="114"/>
  <c r="R35" i="114"/>
  <c r="E35" i="114"/>
  <c r="D35" i="114"/>
  <c r="C35" i="114"/>
  <c r="BW33" i="114"/>
  <c r="AX33" i="114"/>
  <c r="AS33" i="114"/>
  <c r="AN33" i="114"/>
  <c r="AI33" i="114"/>
  <c r="AD33" i="114"/>
  <c r="Y33" i="114"/>
  <c r="T33" i="114"/>
  <c r="N33" i="114"/>
  <c r="I33" i="114"/>
  <c r="E33" i="114"/>
  <c r="BW32" i="114"/>
  <c r="AX32" i="114"/>
  <c r="AS32" i="114"/>
  <c r="AN32" i="114"/>
  <c r="AI32" i="114"/>
  <c r="AD32" i="114"/>
  <c r="Y32" i="114"/>
  <c r="T32" i="114"/>
  <c r="N32" i="114"/>
  <c r="I32" i="114"/>
  <c r="E32" i="114"/>
  <c r="BW31" i="114"/>
  <c r="AX31" i="114"/>
  <c r="AS31" i="114"/>
  <c r="AN31" i="114"/>
  <c r="AI31" i="114"/>
  <c r="AD31" i="114"/>
  <c r="Y31" i="114"/>
  <c r="T31" i="114"/>
  <c r="N31" i="114"/>
  <c r="I31" i="114"/>
  <c r="E31" i="114"/>
  <c r="BW30" i="114"/>
  <c r="AX30" i="114"/>
  <c r="AS30" i="114"/>
  <c r="AN30" i="114"/>
  <c r="AI30" i="114"/>
  <c r="AD30" i="114"/>
  <c r="Y30" i="114"/>
  <c r="T30" i="114"/>
  <c r="N30" i="114"/>
  <c r="I30" i="114"/>
  <c r="E30" i="114"/>
  <c r="BW29" i="114"/>
  <c r="AX29" i="114"/>
  <c r="AS29" i="114"/>
  <c r="AN29" i="114"/>
  <c r="AI29" i="114"/>
  <c r="AD29" i="114"/>
  <c r="Y29" i="114"/>
  <c r="T29" i="114"/>
  <c r="N29" i="114"/>
  <c r="I29" i="114"/>
  <c r="D29" i="114"/>
  <c r="E29" i="114" s="1"/>
  <c r="BW28" i="114"/>
  <c r="AX28" i="114"/>
  <c r="AS28" i="114"/>
  <c r="AN28" i="114"/>
  <c r="AI28" i="114"/>
  <c r="AD28" i="114"/>
  <c r="Y28" i="114"/>
  <c r="T28" i="114"/>
  <c r="N28" i="114"/>
  <c r="I28" i="114"/>
  <c r="E28" i="114"/>
  <c r="AX27" i="114"/>
  <c r="AS27" i="114"/>
  <c r="AN27" i="114"/>
  <c r="AI27" i="114"/>
  <c r="AD27" i="114"/>
  <c r="Y27" i="114"/>
  <c r="T27" i="114"/>
  <c r="N27" i="114"/>
  <c r="I27" i="114"/>
  <c r="E27" i="114"/>
  <c r="AV26" i="114"/>
  <c r="AX26" i="114" s="1"/>
  <c r="AS26" i="114"/>
  <c r="AL26" i="114"/>
  <c r="AN26" i="114" s="1"/>
  <c r="AI26" i="114"/>
  <c r="AB26" i="114"/>
  <c r="AD26" i="114" s="1"/>
  <c r="W26" i="114"/>
  <c r="T26" i="114"/>
  <c r="N26" i="114"/>
  <c r="I26" i="114"/>
  <c r="E26" i="114"/>
  <c r="AV25" i="114"/>
  <c r="AV8" i="114" s="1"/>
  <c r="AS25" i="114"/>
  <c r="AL25" i="114"/>
  <c r="AN25" i="114" s="1"/>
  <c r="AI25" i="114"/>
  <c r="AB25" i="114"/>
  <c r="AD25" i="114" s="1"/>
  <c r="Y25" i="114"/>
  <c r="T25" i="114"/>
  <c r="N25" i="114"/>
  <c r="I25" i="114"/>
  <c r="G25" i="114"/>
  <c r="E25" i="114"/>
  <c r="AX24" i="114"/>
  <c r="AS24" i="114"/>
  <c r="AN24" i="114"/>
  <c r="AI24" i="114"/>
  <c r="AD24" i="114"/>
  <c r="Y24" i="114"/>
  <c r="T24" i="114"/>
  <c r="N24" i="114"/>
  <c r="I24" i="114"/>
  <c r="E24" i="114"/>
  <c r="AX23" i="114"/>
  <c r="AS23" i="114"/>
  <c r="AN23" i="114"/>
  <c r="AI23" i="114"/>
  <c r="AD23" i="114"/>
  <c r="Y23" i="114"/>
  <c r="T23" i="114"/>
  <c r="N23" i="114"/>
  <c r="E23" i="114"/>
  <c r="AX22" i="114"/>
  <c r="AS22" i="114"/>
  <c r="AN22" i="114"/>
  <c r="AI22" i="114"/>
  <c r="AD22" i="114"/>
  <c r="Y22" i="114"/>
  <c r="T22" i="114"/>
  <c r="L22" i="114"/>
  <c r="N22" i="114" s="1"/>
  <c r="G22" i="114"/>
  <c r="E22" i="114"/>
  <c r="BW21" i="114"/>
  <c r="CA21" i="114" s="1"/>
  <c r="AX21" i="114"/>
  <c r="AS21" i="114"/>
  <c r="AN21" i="114"/>
  <c r="AI21" i="114"/>
  <c r="AD21" i="114"/>
  <c r="Y21" i="114"/>
  <c r="T21" i="114"/>
  <c r="N21" i="114"/>
  <c r="I21" i="114"/>
  <c r="E21" i="114"/>
  <c r="BW20" i="114"/>
  <c r="AX20" i="114"/>
  <c r="AS20" i="114"/>
  <c r="AN20" i="114"/>
  <c r="AI20" i="114"/>
  <c r="AD20" i="114"/>
  <c r="Y20" i="114"/>
  <c r="T20" i="114"/>
  <c r="N20" i="114"/>
  <c r="I20" i="114"/>
  <c r="E20" i="114"/>
  <c r="BW19" i="114"/>
  <c r="AX19" i="114"/>
  <c r="AS19" i="114"/>
  <c r="AN19" i="114"/>
  <c r="AI19" i="114"/>
  <c r="AD19" i="114"/>
  <c r="Y19" i="114"/>
  <c r="T19" i="114"/>
  <c r="N19" i="114"/>
  <c r="I19" i="114"/>
  <c r="E19" i="114"/>
  <c r="BW18" i="114"/>
  <c r="CA18" i="114" s="1"/>
  <c r="AX18" i="114"/>
  <c r="AS18" i="114"/>
  <c r="AN18" i="114"/>
  <c r="AI18" i="114"/>
  <c r="AD18" i="114"/>
  <c r="AE18" i="114" s="1"/>
  <c r="Y18" i="114"/>
  <c r="T18" i="114"/>
  <c r="N18" i="114"/>
  <c r="I18" i="114"/>
  <c r="E18" i="114"/>
  <c r="BW17" i="114"/>
  <c r="AX17" i="114"/>
  <c r="AS17" i="114"/>
  <c r="AN17" i="114"/>
  <c r="AI17" i="114"/>
  <c r="AD17" i="114"/>
  <c r="Y17" i="114"/>
  <c r="T17" i="114"/>
  <c r="N17" i="114"/>
  <c r="I17" i="114"/>
  <c r="E17" i="114"/>
  <c r="AX16" i="114"/>
  <c r="AS16" i="114"/>
  <c r="AN16" i="114"/>
  <c r="AI16" i="114"/>
  <c r="AC16" i="114"/>
  <c r="AD16" i="114" s="1"/>
  <c r="Y16" i="114"/>
  <c r="T16" i="114"/>
  <c r="M16" i="114"/>
  <c r="BV16" i="114" s="1"/>
  <c r="I16" i="114"/>
  <c r="E16" i="114"/>
  <c r="AX15" i="114"/>
  <c r="AS15" i="114"/>
  <c r="AN15" i="114"/>
  <c r="AI15" i="114"/>
  <c r="AD15" i="114"/>
  <c r="Y15" i="114"/>
  <c r="T15" i="114"/>
  <c r="N15" i="114"/>
  <c r="I15" i="114"/>
  <c r="E15" i="114"/>
  <c r="BW14" i="114"/>
  <c r="AX14" i="114"/>
  <c r="AS14" i="114"/>
  <c r="AN14" i="114"/>
  <c r="AI14" i="114"/>
  <c r="AD14" i="114"/>
  <c r="Y14" i="114"/>
  <c r="T14" i="114"/>
  <c r="N14" i="114"/>
  <c r="I14" i="114"/>
  <c r="E14" i="114"/>
  <c r="AX13" i="114"/>
  <c r="AS13" i="114"/>
  <c r="AN13" i="114"/>
  <c r="AI13" i="114"/>
  <c r="AD13" i="114"/>
  <c r="Y13" i="114"/>
  <c r="T13" i="114"/>
  <c r="N13" i="114"/>
  <c r="I13" i="114"/>
  <c r="E13" i="114"/>
  <c r="BW12" i="114"/>
  <c r="AX12" i="114"/>
  <c r="AS12" i="114"/>
  <c r="AN12" i="114"/>
  <c r="AI12" i="114"/>
  <c r="AD12" i="114"/>
  <c r="Y12" i="114"/>
  <c r="T12" i="114"/>
  <c r="N12" i="114"/>
  <c r="I12" i="114"/>
  <c r="E12" i="114"/>
  <c r="BW11" i="114"/>
  <c r="AX11" i="114"/>
  <c r="AS11" i="114"/>
  <c r="AN11" i="114"/>
  <c r="AI11" i="114"/>
  <c r="AD11" i="114"/>
  <c r="Y11" i="114"/>
  <c r="T11" i="114"/>
  <c r="N11" i="114"/>
  <c r="I11" i="114"/>
  <c r="E11" i="114"/>
  <c r="BW10" i="114"/>
  <c r="AX10" i="114"/>
  <c r="AS10" i="114"/>
  <c r="AN10" i="114"/>
  <c r="AI10" i="114"/>
  <c r="AD10" i="114"/>
  <c r="Y10" i="114"/>
  <c r="T10" i="114"/>
  <c r="N10" i="114"/>
  <c r="I10" i="114"/>
  <c r="E10" i="114"/>
  <c r="AX9" i="114"/>
  <c r="AS9" i="114"/>
  <c r="AN9" i="114"/>
  <c r="AI9" i="114"/>
  <c r="AD9" i="114"/>
  <c r="Y9" i="114"/>
  <c r="T9" i="114"/>
  <c r="N9" i="114"/>
  <c r="I9" i="114"/>
  <c r="E9" i="114"/>
  <c r="AW8" i="114"/>
  <c r="AR8" i="114"/>
  <c r="AQ8" i="114"/>
  <c r="AM8" i="114"/>
  <c r="AL8" i="114"/>
  <c r="AH8" i="114"/>
  <c r="AG8" i="114"/>
  <c r="AC8" i="114"/>
  <c r="X8" i="114"/>
  <c r="W8" i="114"/>
  <c r="S8" i="114"/>
  <c r="R8" i="114"/>
  <c r="M8" i="114"/>
  <c r="L8" i="114"/>
  <c r="H8" i="114"/>
  <c r="D8" i="114"/>
  <c r="C8" i="114"/>
  <c r="BW7" i="114"/>
  <c r="AX7" i="114"/>
  <c r="AS7" i="114"/>
  <c r="AN7" i="114"/>
  <c r="AI7" i="114"/>
  <c r="AD7" i="114"/>
  <c r="AD5" i="114" s="1"/>
  <c r="Y7" i="114"/>
  <c r="T7" i="114"/>
  <c r="N7" i="114"/>
  <c r="E7" i="114"/>
  <c r="BV5" i="114"/>
  <c r="AV6" i="114"/>
  <c r="AV5" i="114" s="1"/>
  <c r="AS6" i="114"/>
  <c r="AN6" i="114"/>
  <c r="AI6" i="114"/>
  <c r="AD6" i="114"/>
  <c r="AB6" i="114"/>
  <c r="W6" i="114"/>
  <c r="BU6" i="114" s="1"/>
  <c r="T6" i="114"/>
  <c r="T5" i="114" s="1"/>
  <c r="N6" i="114"/>
  <c r="N5" i="114" s="1"/>
  <c r="E6" i="114"/>
  <c r="E5" i="114" s="1"/>
  <c r="AW5" i="114"/>
  <c r="AW38" i="114" s="1"/>
  <c r="AR5" i="114"/>
  <c r="AR38" i="114" s="1"/>
  <c r="AQ5" i="114"/>
  <c r="AQ38" i="114" s="1"/>
  <c r="AM5" i="114"/>
  <c r="AL5" i="114"/>
  <c r="AH5" i="114"/>
  <c r="AH38" i="114" s="1"/>
  <c r="AG5" i="114"/>
  <c r="AG38" i="114" s="1"/>
  <c r="AC5" i="114"/>
  <c r="AB5" i="114"/>
  <c r="X5" i="114"/>
  <c r="X38" i="114" s="1"/>
  <c r="S5" i="114"/>
  <c r="R5" i="114"/>
  <c r="M5" i="114"/>
  <c r="L5" i="114"/>
  <c r="I5" i="114"/>
  <c r="H5" i="114"/>
  <c r="G5" i="114"/>
  <c r="D5" i="114"/>
  <c r="C5" i="114"/>
  <c r="C38" i="114" s="1"/>
  <c r="AC38" i="114" l="1"/>
  <c r="AX25" i="114"/>
  <c r="AI41" i="114"/>
  <c r="AD45" i="114"/>
  <c r="C75" i="114"/>
  <c r="S38" i="114"/>
  <c r="AN8" i="114"/>
  <c r="N16" i="114"/>
  <c r="BU26" i="114"/>
  <c r="AB41" i="114"/>
  <c r="AB8" i="114"/>
  <c r="AB38" i="114" s="1"/>
  <c r="X94" i="114"/>
  <c r="W5" i="114"/>
  <c r="W38" i="114" s="1"/>
  <c r="W75" i="114" s="1"/>
  <c r="AM38" i="114"/>
  <c r="AS5" i="114"/>
  <c r="BU25" i="114"/>
  <c r="AN54" i="114"/>
  <c r="N54" i="114"/>
  <c r="D38" i="114"/>
  <c r="D75" i="114" s="1"/>
  <c r="H38" i="114"/>
  <c r="AV38" i="114"/>
  <c r="AN5" i="114"/>
  <c r="Y54" i="114"/>
  <c r="E77" i="114"/>
  <c r="AD8" i="114"/>
  <c r="AD38" i="114" s="1"/>
  <c r="BU22" i="114"/>
  <c r="BW22" i="114" s="1"/>
  <c r="AD54" i="114"/>
  <c r="M38" i="114"/>
  <c r="BV41" i="114"/>
  <c r="BW62" i="114"/>
  <c r="BW27" i="114"/>
  <c r="BW56" i="114"/>
  <c r="H75" i="114"/>
  <c r="H81" i="114" s="1"/>
  <c r="H83" i="114" s="1"/>
  <c r="H84" i="114" s="1"/>
  <c r="H86" i="114" s="1"/>
  <c r="BU50" i="114"/>
  <c r="BW23" i="114"/>
  <c r="BW68" i="114"/>
  <c r="BW15" i="114"/>
  <c r="BW47" i="114"/>
  <c r="BW59" i="114"/>
  <c r="BW65" i="114"/>
  <c r="BW71" i="114"/>
  <c r="BW24" i="114"/>
  <c r="L38" i="114"/>
  <c r="BW13" i="114"/>
  <c r="BW43" i="114"/>
  <c r="BW45" i="114"/>
  <c r="BW46" i="114"/>
  <c r="BW69" i="114"/>
  <c r="AM75" i="114"/>
  <c r="AM39" i="114"/>
  <c r="AC75" i="114"/>
  <c r="AC39" i="114"/>
  <c r="BW42" i="114"/>
  <c r="BU41" i="114"/>
  <c r="W39" i="114"/>
  <c r="C76" i="114"/>
  <c r="C81" i="114"/>
  <c r="C83" i="114" s="1"/>
  <c r="C84" i="114" s="1"/>
  <c r="C86" i="114" s="1"/>
  <c r="C87" i="114" s="1"/>
  <c r="BV35" i="114"/>
  <c r="BW36" i="114"/>
  <c r="AD41" i="114"/>
  <c r="L39" i="114"/>
  <c r="L75" i="114"/>
  <c r="AI5" i="114"/>
  <c r="AN38" i="114"/>
  <c r="N8" i="114"/>
  <c r="N38" i="114" s="1"/>
  <c r="C39" i="114"/>
  <c r="BW9" i="114"/>
  <c r="S75" i="114"/>
  <c r="S39" i="114"/>
  <c r="Y6" i="114"/>
  <c r="Y5" i="114" s="1"/>
  <c r="AV75" i="114"/>
  <c r="AV39" i="114"/>
  <c r="E8" i="114"/>
  <c r="AQ39" i="114"/>
  <c r="AQ75" i="114"/>
  <c r="AG39" i="114"/>
  <c r="AG75" i="114"/>
  <c r="AW75" i="114"/>
  <c r="AW39" i="114"/>
  <c r="AS8" i="114"/>
  <c r="I8" i="114"/>
  <c r="I89" i="114" s="1"/>
  <c r="I22" i="114"/>
  <c r="G8" i="114"/>
  <c r="G38" i="114" s="1"/>
  <c r="G75" i="114" s="1"/>
  <c r="G81" i="114" s="1"/>
  <c r="G83" i="114" s="1"/>
  <c r="G84" i="114" s="1"/>
  <c r="G86" i="114" s="1"/>
  <c r="D39" i="114"/>
  <c r="T41" i="114"/>
  <c r="AS50" i="114"/>
  <c r="D76" i="114"/>
  <c r="D81" i="114"/>
  <c r="D83" i="114" s="1"/>
  <c r="D84" i="114" s="1"/>
  <c r="D86" i="114" s="1"/>
  <c r="D87" i="114" s="1"/>
  <c r="M75" i="114"/>
  <c r="M39" i="114"/>
  <c r="X75" i="114"/>
  <c r="X39" i="114"/>
  <c r="AH75" i="114"/>
  <c r="AH39" i="114"/>
  <c r="AR75" i="114"/>
  <c r="AR39" i="114"/>
  <c r="BW26" i="114"/>
  <c r="Y50" i="114"/>
  <c r="AX6" i="114"/>
  <c r="AX5" i="114" s="1"/>
  <c r="T8" i="114"/>
  <c r="AI8" i="114"/>
  <c r="AX8" i="114"/>
  <c r="BW16" i="114"/>
  <c r="Y26" i="114"/>
  <c r="Y8" i="114" s="1"/>
  <c r="R38" i="114"/>
  <c r="AL38" i="114"/>
  <c r="AN41" i="114"/>
  <c r="AS41" i="114"/>
  <c r="N50" i="114"/>
  <c r="N41" i="114"/>
  <c r="BW50" i="114"/>
  <c r="E50" i="114"/>
  <c r="AI50" i="114"/>
  <c r="BV54" i="114"/>
  <c r="AX50" i="114"/>
  <c r="BW55" i="114"/>
  <c r="BW57" i="114"/>
  <c r="BW82" i="114"/>
  <c r="AN50" i="114"/>
  <c r="BW58" i="114"/>
  <c r="BW60" i="114"/>
  <c r="BW64" i="114"/>
  <c r="N73" i="114"/>
  <c r="T50" i="114"/>
  <c r="BW61" i="114"/>
  <c r="BW63" i="114"/>
  <c r="BU54" i="114"/>
  <c r="BV73" i="114"/>
  <c r="AB75" i="114" l="1"/>
  <c r="AB39" i="114"/>
  <c r="L81" i="114"/>
  <c r="L83" i="114" s="1"/>
  <c r="L84" i="114" s="1"/>
  <c r="L86" i="114" s="1"/>
  <c r="L87" i="114" s="1"/>
  <c r="L76" i="114"/>
  <c r="W81" i="114"/>
  <c r="W83" i="114" s="1"/>
  <c r="W84" i="114" s="1"/>
  <c r="W86" i="114" s="1"/>
  <c r="W87" i="114" s="1"/>
  <c r="W76" i="114"/>
  <c r="AV81" i="114"/>
  <c r="AV83" i="114" s="1"/>
  <c r="AV84" i="114" s="1"/>
  <c r="AV86" i="114" s="1"/>
  <c r="AV87" i="114" s="1"/>
  <c r="AV76" i="114"/>
  <c r="AD75" i="114"/>
  <c r="AD39" i="114"/>
  <c r="AB81" i="114"/>
  <c r="AB83" i="114" s="1"/>
  <c r="AB84" i="114" s="1"/>
  <c r="AB86" i="114" s="1"/>
  <c r="AB87" i="114" s="1"/>
  <c r="AB76" i="114"/>
  <c r="AQ81" i="114"/>
  <c r="AQ83" i="114" s="1"/>
  <c r="AQ84" i="114" s="1"/>
  <c r="AQ86" i="114" s="1"/>
  <c r="AQ87" i="114" s="1"/>
  <c r="AQ76" i="114"/>
  <c r="Y38" i="114"/>
  <c r="N89" i="114"/>
  <c r="O41" i="114" s="1"/>
  <c r="AR76" i="114"/>
  <c r="AR81" i="114"/>
  <c r="AR83" i="114" s="1"/>
  <c r="AR84" i="114" s="1"/>
  <c r="AR86" i="114" s="1"/>
  <c r="AR87" i="114" s="1"/>
  <c r="I38" i="114"/>
  <c r="I75" i="114" s="1"/>
  <c r="I81" i="114" s="1"/>
  <c r="I83" i="114" s="1"/>
  <c r="I84" i="114" s="1"/>
  <c r="I86" i="114" s="1"/>
  <c r="AL75" i="114"/>
  <c r="AL39" i="114"/>
  <c r="AH76" i="114"/>
  <c r="AH81" i="114"/>
  <c r="AH83" i="114" s="1"/>
  <c r="AH84" i="114" s="1"/>
  <c r="AH86" i="114" s="1"/>
  <c r="AH87" i="114" s="1"/>
  <c r="T38" i="114"/>
  <c r="BW6" i="114"/>
  <c r="BW5" i="114" s="1"/>
  <c r="CA6" i="114"/>
  <c r="BW97" i="114" s="1"/>
  <c r="BU5" i="114"/>
  <c r="BV8" i="114"/>
  <c r="BV38" i="114" s="1"/>
  <c r="AN75" i="114"/>
  <c r="AN39" i="114"/>
  <c r="AC81" i="114"/>
  <c r="AC83" i="114" s="1"/>
  <c r="AC84" i="114" s="1"/>
  <c r="AC86" i="114" s="1"/>
  <c r="AC87" i="114" s="1"/>
  <c r="AC76" i="114"/>
  <c r="M76" i="114"/>
  <c r="M81" i="114"/>
  <c r="M83" i="114" s="1"/>
  <c r="M84" i="114" s="1"/>
  <c r="M86" i="114" s="1"/>
  <c r="M87" i="114" s="1"/>
  <c r="R75" i="114"/>
  <c r="R39" i="114"/>
  <c r="CA16" i="114"/>
  <c r="AX38" i="114"/>
  <c r="AW81" i="114"/>
  <c r="AW83" i="114" s="1"/>
  <c r="AW84" i="114" s="1"/>
  <c r="AW86" i="114" s="1"/>
  <c r="AW87" i="114" s="1"/>
  <c r="AW76" i="114"/>
  <c r="E89" i="114"/>
  <c r="F50" i="114" s="1"/>
  <c r="AI38" i="114"/>
  <c r="AS38" i="114"/>
  <c r="BW54" i="114"/>
  <c r="N39" i="114"/>
  <c r="N75" i="114"/>
  <c r="CA26" i="114"/>
  <c r="BW98" i="114" s="1"/>
  <c r="X76" i="114"/>
  <c r="X81" i="114"/>
  <c r="X83" i="114" s="1"/>
  <c r="X84" i="114" s="1"/>
  <c r="X86" i="114" s="1"/>
  <c r="X87" i="114" s="1"/>
  <c r="BW25" i="114"/>
  <c r="BW8" i="114" s="1"/>
  <c r="BU8" i="114"/>
  <c r="AG81" i="114"/>
  <c r="AG83" i="114" s="1"/>
  <c r="AG84" i="114" s="1"/>
  <c r="AG86" i="114" s="1"/>
  <c r="AG87" i="114" s="1"/>
  <c r="AG76" i="114"/>
  <c r="S81" i="114"/>
  <c r="S83" i="114" s="1"/>
  <c r="S84" i="114" s="1"/>
  <c r="S86" i="114" s="1"/>
  <c r="S87" i="114" s="1"/>
  <c r="S76" i="114"/>
  <c r="E38" i="114"/>
  <c r="BW35" i="114"/>
  <c r="BW41" i="114"/>
  <c r="AM81" i="114"/>
  <c r="AM83" i="114" s="1"/>
  <c r="AM84" i="114" s="1"/>
  <c r="AM86" i="114" s="1"/>
  <c r="AM87" i="114" s="1"/>
  <c r="AM76" i="114"/>
  <c r="F8" i="114" l="1"/>
  <c r="O50" i="114"/>
  <c r="O73" i="114"/>
  <c r="O8" i="114"/>
  <c r="N81" i="114"/>
  <c r="N83" i="114" s="1"/>
  <c r="N84" i="114" s="1"/>
  <c r="N86" i="114" s="1"/>
  <c r="N87" i="114" s="1"/>
  <c r="N76" i="114"/>
  <c r="AL81" i="114"/>
  <c r="AL83" i="114" s="1"/>
  <c r="AL84" i="114" s="1"/>
  <c r="AL86" i="114" s="1"/>
  <c r="AL87" i="114" s="1"/>
  <c r="AL76" i="114"/>
  <c r="E75" i="114"/>
  <c r="E39" i="114"/>
  <c r="F71" i="114"/>
  <c r="F68" i="114"/>
  <c r="F65" i="114"/>
  <c r="F62" i="114"/>
  <c r="F72" i="114"/>
  <c r="F60" i="114"/>
  <c r="F58" i="114"/>
  <c r="F56" i="114"/>
  <c r="F48" i="114"/>
  <c r="F69" i="114"/>
  <c r="F67" i="114"/>
  <c r="F61" i="114"/>
  <c r="F57" i="114"/>
  <c r="F28" i="114"/>
  <c r="F73" i="114"/>
  <c r="F70" i="114"/>
  <c r="F63" i="114"/>
  <c r="F64" i="114"/>
  <c r="F47" i="114"/>
  <c r="F46" i="114"/>
  <c r="F59" i="114"/>
  <c r="F55" i="114"/>
  <c r="F33" i="114"/>
  <c r="F35" i="114"/>
  <c r="F21" i="114"/>
  <c r="F16" i="114"/>
  <c r="F14" i="114"/>
  <c r="F12" i="114"/>
  <c r="F20" i="114"/>
  <c r="F66" i="114"/>
  <c r="F26" i="114"/>
  <c r="F42" i="114"/>
  <c r="F9" i="114"/>
  <c r="F29" i="114"/>
  <c r="F41" i="114"/>
  <c r="F36" i="114"/>
  <c r="F31" i="114"/>
  <c r="F18" i="114"/>
  <c r="F11" i="114"/>
  <c r="F79" i="114"/>
  <c r="F82" i="114"/>
  <c r="F27" i="114"/>
  <c r="F45" i="114"/>
  <c r="F13" i="114"/>
  <c r="F19" i="114"/>
  <c r="F30" i="114"/>
  <c r="F43" i="114"/>
  <c r="F24" i="114"/>
  <c r="F51" i="114"/>
  <c r="F44" i="114"/>
  <c r="F15" i="114"/>
  <c r="F85" i="114"/>
  <c r="F32" i="114"/>
  <c r="F52" i="114"/>
  <c r="F17" i="114"/>
  <c r="F54" i="114"/>
  <c r="F25" i="114"/>
  <c r="F10" i="114"/>
  <c r="BW38" i="114"/>
  <c r="Y75" i="114"/>
  <c r="Y39" i="114"/>
  <c r="AD76" i="114"/>
  <c r="AS75" i="114"/>
  <c r="AS39" i="114"/>
  <c r="AI75" i="114"/>
  <c r="AI39" i="114"/>
  <c r="R81" i="114"/>
  <c r="R83" i="114" s="1"/>
  <c r="R84" i="114" s="1"/>
  <c r="R86" i="114" s="1"/>
  <c r="R87" i="114" s="1"/>
  <c r="R76" i="114"/>
  <c r="AN76" i="114"/>
  <c r="T75" i="114"/>
  <c r="T39" i="114"/>
  <c r="BV75" i="114"/>
  <c r="BV39" i="114"/>
  <c r="AX75" i="114"/>
  <c r="AX39" i="114"/>
  <c r="BU38" i="114"/>
  <c r="O78" i="114"/>
  <c r="O69" i="114"/>
  <c r="O66" i="114"/>
  <c r="O63" i="114"/>
  <c r="O79" i="114"/>
  <c r="O45" i="114"/>
  <c r="O42" i="114"/>
  <c r="O33" i="114"/>
  <c r="O64" i="114"/>
  <c r="O62" i="114"/>
  <c r="O61" i="114"/>
  <c r="O59" i="114"/>
  <c r="O57" i="114"/>
  <c r="O55" i="114"/>
  <c r="O71" i="114"/>
  <c r="O60" i="114"/>
  <c r="O58" i="114"/>
  <c r="O56" i="114"/>
  <c r="O65" i="114"/>
  <c r="O43" i="114"/>
  <c r="O26" i="114"/>
  <c r="O67" i="114"/>
  <c r="O70" i="114"/>
  <c r="O68" i="114"/>
  <c r="O20" i="114"/>
  <c r="O47" i="114"/>
  <c r="O36" i="114"/>
  <c r="O16" i="114"/>
  <c r="O15" i="114"/>
  <c r="O19" i="114"/>
  <c r="O48" i="114"/>
  <c r="O28" i="114"/>
  <c r="O24" i="114"/>
  <c r="O9" i="114"/>
  <c r="O11" i="114"/>
  <c r="O30" i="114"/>
  <c r="O77" i="114"/>
  <c r="O32" i="114"/>
  <c r="O35" i="114"/>
  <c r="O14" i="114"/>
  <c r="O12" i="114"/>
  <c r="O18" i="114"/>
  <c r="O27" i="114"/>
  <c r="O44" i="114"/>
  <c r="O54" i="114"/>
  <c r="O23" i="114"/>
  <c r="O74" i="114"/>
  <c r="O52" i="114"/>
  <c r="O10" i="114"/>
  <c r="O22" i="114"/>
  <c r="O51" i="114"/>
  <c r="O21" i="114"/>
  <c r="O13" i="114"/>
  <c r="O29" i="114"/>
  <c r="O17" i="114"/>
  <c r="O25" i="114"/>
  <c r="O31" i="114"/>
  <c r="O46" i="114"/>
  <c r="BU75" i="114" l="1"/>
  <c r="BU39" i="114"/>
  <c r="T76" i="114"/>
  <c r="AI76" i="114"/>
  <c r="E76" i="114"/>
  <c r="E81" i="114"/>
  <c r="E83" i="114" s="1"/>
  <c r="E84" i="114" s="1"/>
  <c r="E86" i="114" s="1"/>
  <c r="E87" i="114" s="1"/>
  <c r="AX76" i="114"/>
  <c r="Y76" i="114"/>
  <c r="BV76" i="114"/>
  <c r="BV81" i="114"/>
  <c r="BV83" i="114" s="1"/>
  <c r="BV84" i="114" s="1"/>
  <c r="BV86" i="114" s="1"/>
  <c r="BV87" i="114" s="1"/>
  <c r="AS76" i="114"/>
  <c r="BW75" i="114"/>
  <c r="BW39" i="114"/>
  <c r="BW76" i="114" l="1"/>
  <c r="BU81" i="114"/>
  <c r="BU83" i="114" s="1"/>
  <c r="BU84" i="114" s="1"/>
  <c r="BU86" i="114" s="1"/>
  <c r="BU87" i="114" s="1"/>
  <c r="BU76" i="114"/>
  <c r="AH98" i="136" l="1"/>
  <c r="AH96" i="136"/>
  <c r="AH100" i="136" s="1"/>
  <c r="AG85" i="136"/>
  <c r="AF85" i="136"/>
  <c r="AH85" i="136" s="1"/>
  <c r="AC85" i="136"/>
  <c r="X85" i="136"/>
  <c r="S85" i="136"/>
  <c r="N85" i="136"/>
  <c r="I85" i="136"/>
  <c r="E85" i="136"/>
  <c r="AG82" i="136"/>
  <c r="AF82" i="136"/>
  <c r="AH82" i="136" s="1"/>
  <c r="AC82" i="136"/>
  <c r="X82" i="136"/>
  <c r="S82" i="136"/>
  <c r="N82" i="136"/>
  <c r="I82" i="136"/>
  <c r="E82" i="136"/>
  <c r="AG79" i="136"/>
  <c r="AG77" i="136" s="1"/>
  <c r="AF79" i="136"/>
  <c r="N79" i="136"/>
  <c r="E79" i="136"/>
  <c r="AG78" i="136"/>
  <c r="AF78" i="136"/>
  <c r="AF77" i="136" s="1"/>
  <c r="AC78" i="136"/>
  <c r="AC77" i="136" s="1"/>
  <c r="X78" i="136"/>
  <c r="Y78" i="136" s="1"/>
  <c r="S78" i="136"/>
  <c r="T78" i="136" s="1"/>
  <c r="N78" i="136"/>
  <c r="N77" i="136" s="1"/>
  <c r="I78" i="136"/>
  <c r="E78" i="136"/>
  <c r="E77" i="136" s="1"/>
  <c r="AB77" i="136"/>
  <c r="AA77" i="136"/>
  <c r="X77" i="136"/>
  <c r="W77" i="136"/>
  <c r="V77" i="136"/>
  <c r="R77" i="136"/>
  <c r="Q77" i="136"/>
  <c r="M77" i="136"/>
  <c r="L77" i="136"/>
  <c r="H77" i="136"/>
  <c r="G77" i="136"/>
  <c r="D77" i="136"/>
  <c r="C77" i="136"/>
  <c r="AG74" i="136"/>
  <c r="AG73" i="136" s="1"/>
  <c r="AF74" i="136"/>
  <c r="AC74" i="136"/>
  <c r="X74" i="136"/>
  <c r="S74" i="136"/>
  <c r="S73" i="136" s="1"/>
  <c r="N74" i="136"/>
  <c r="N73" i="136" s="1"/>
  <c r="I74" i="136"/>
  <c r="E74" i="136"/>
  <c r="E73" i="136" s="1"/>
  <c r="AF73" i="136"/>
  <c r="AC73" i="136"/>
  <c r="AB73" i="136"/>
  <c r="AA73" i="136"/>
  <c r="X73" i="136"/>
  <c r="W73" i="136"/>
  <c r="V73" i="136"/>
  <c r="R73" i="136"/>
  <c r="Q73" i="136"/>
  <c r="M73" i="136"/>
  <c r="L73" i="136"/>
  <c r="I73" i="136"/>
  <c r="H73" i="136"/>
  <c r="G73" i="136"/>
  <c r="D73" i="136"/>
  <c r="C73" i="136"/>
  <c r="AD72" i="136"/>
  <c r="Y72" i="136"/>
  <c r="AG71" i="136"/>
  <c r="AF71" i="136"/>
  <c r="AH71" i="136" s="1"/>
  <c r="AC71" i="136"/>
  <c r="X71" i="136"/>
  <c r="S71" i="136"/>
  <c r="N71" i="136"/>
  <c r="I71" i="136"/>
  <c r="E71" i="136"/>
  <c r="AG70" i="136"/>
  <c r="AF70" i="136"/>
  <c r="AC70" i="136"/>
  <c r="X70" i="136"/>
  <c r="S70" i="136"/>
  <c r="N70" i="136"/>
  <c r="I70" i="136"/>
  <c r="E70" i="136"/>
  <c r="AG69" i="136"/>
  <c r="AF69" i="136"/>
  <c r="AH69" i="136" s="1"/>
  <c r="AC69" i="136"/>
  <c r="X69" i="136"/>
  <c r="S69" i="136"/>
  <c r="N69" i="136"/>
  <c r="I69" i="136"/>
  <c r="E69" i="136"/>
  <c r="AG68" i="136"/>
  <c r="AF68" i="136"/>
  <c r="AH68" i="136" s="1"/>
  <c r="AC68" i="136"/>
  <c r="X68" i="136"/>
  <c r="S68" i="136"/>
  <c r="N68" i="136"/>
  <c r="I68" i="136"/>
  <c r="E68" i="136"/>
  <c r="AG67" i="136"/>
  <c r="AH67" i="136" s="1"/>
  <c r="AF67" i="136"/>
  <c r="AC67" i="136"/>
  <c r="X67" i="136"/>
  <c r="S67" i="136"/>
  <c r="N67" i="136"/>
  <c r="I67" i="136"/>
  <c r="E67" i="136"/>
  <c r="AG66" i="136"/>
  <c r="AF66" i="136"/>
  <c r="AC66" i="136"/>
  <c r="X66" i="136"/>
  <c r="S66" i="136"/>
  <c r="N66" i="136"/>
  <c r="I66" i="136"/>
  <c r="E66" i="136"/>
  <c r="AG65" i="136"/>
  <c r="AH65" i="136" s="1"/>
  <c r="AF65" i="136"/>
  <c r="AC65" i="136"/>
  <c r="X65" i="136"/>
  <c r="S65" i="136"/>
  <c r="N65" i="136"/>
  <c r="I65" i="136"/>
  <c r="E65" i="136"/>
  <c r="AG64" i="136"/>
  <c r="AF64" i="136"/>
  <c r="AC64" i="136"/>
  <c r="X64" i="136"/>
  <c r="S64" i="136"/>
  <c r="N64" i="136"/>
  <c r="I64" i="136"/>
  <c r="E64" i="136"/>
  <c r="AG63" i="136"/>
  <c r="AF63" i="136"/>
  <c r="AC63" i="136"/>
  <c r="X63" i="136"/>
  <c r="S63" i="136"/>
  <c r="N63" i="136"/>
  <c r="I63" i="136"/>
  <c r="E63" i="136"/>
  <c r="AG62" i="136"/>
  <c r="AF62" i="136"/>
  <c r="AH62" i="136" s="1"/>
  <c r="AC62" i="136"/>
  <c r="X62" i="136"/>
  <c r="S62" i="136"/>
  <c r="N62" i="136"/>
  <c r="I62" i="136"/>
  <c r="E62" i="136"/>
  <c r="AG61" i="136"/>
  <c r="AF61" i="136"/>
  <c r="AC61" i="136"/>
  <c r="X61" i="136"/>
  <c r="S61" i="136"/>
  <c r="N61" i="136"/>
  <c r="I61" i="136"/>
  <c r="E61" i="136"/>
  <c r="AG60" i="136"/>
  <c r="AF60" i="136"/>
  <c r="AC60" i="136"/>
  <c r="X60" i="136"/>
  <c r="S60" i="136"/>
  <c r="N60" i="136"/>
  <c r="I60" i="136"/>
  <c r="E60" i="136"/>
  <c r="AG59" i="136"/>
  <c r="AF59" i="136"/>
  <c r="AH59" i="136" s="1"/>
  <c r="AC59" i="136"/>
  <c r="X59" i="136"/>
  <c r="S59" i="136"/>
  <c r="N59" i="136"/>
  <c r="I59" i="136"/>
  <c r="E59" i="136"/>
  <c r="AG58" i="136"/>
  <c r="AF58" i="136"/>
  <c r="AH58" i="136" s="1"/>
  <c r="AC58" i="136"/>
  <c r="X58" i="136"/>
  <c r="S58" i="136"/>
  <c r="N58" i="136"/>
  <c r="I58" i="136"/>
  <c r="E58" i="136"/>
  <c r="AG57" i="136"/>
  <c r="AF57" i="136"/>
  <c r="AC57" i="136"/>
  <c r="X57" i="136"/>
  <c r="S57" i="136"/>
  <c r="N57" i="136"/>
  <c r="I57" i="136"/>
  <c r="E57" i="136"/>
  <c r="AG56" i="136"/>
  <c r="AF56" i="136"/>
  <c r="AH56" i="136" s="1"/>
  <c r="AC56" i="136"/>
  <c r="X56" i="136"/>
  <c r="S56" i="136"/>
  <c r="N56" i="136"/>
  <c r="I56" i="136"/>
  <c r="E56" i="136"/>
  <c r="AG55" i="136"/>
  <c r="AF55" i="136"/>
  <c r="AC55" i="136"/>
  <c r="X55" i="136"/>
  <c r="S55" i="136"/>
  <c r="N55" i="136"/>
  <c r="N54" i="136" s="1"/>
  <c r="I55" i="136"/>
  <c r="E55" i="136"/>
  <c r="E54" i="136" s="1"/>
  <c r="AG54" i="136"/>
  <c r="AB54" i="136"/>
  <c r="AA54" i="136"/>
  <c r="X54" i="136"/>
  <c r="W54" i="136"/>
  <c r="V54" i="136"/>
  <c r="R54" i="136"/>
  <c r="Q54" i="136"/>
  <c r="M54" i="136"/>
  <c r="L54" i="136"/>
  <c r="H54" i="136"/>
  <c r="G54" i="136"/>
  <c r="D54" i="136"/>
  <c r="C54" i="136"/>
  <c r="AG52" i="136"/>
  <c r="AF52" i="136"/>
  <c r="AC52" i="136"/>
  <c r="AD52" i="136" s="1"/>
  <c r="X52" i="136"/>
  <c r="Y52" i="136" s="1"/>
  <c r="S52" i="136"/>
  <c r="N52" i="136"/>
  <c r="I52" i="136"/>
  <c r="E52" i="136"/>
  <c r="AG51" i="136"/>
  <c r="AF51" i="136"/>
  <c r="AH51" i="136" s="1"/>
  <c r="AC51" i="136"/>
  <c r="X51" i="136"/>
  <c r="Y51" i="136" s="1"/>
  <c r="S51" i="136"/>
  <c r="N51" i="136"/>
  <c r="I51" i="136"/>
  <c r="I50" i="136" s="1"/>
  <c r="E51" i="136"/>
  <c r="AB50" i="136"/>
  <c r="AA50" i="136"/>
  <c r="W50" i="136"/>
  <c r="V50" i="136"/>
  <c r="R50" i="136"/>
  <c r="Q50" i="136"/>
  <c r="M50" i="136"/>
  <c r="L50" i="136"/>
  <c r="H50" i="136"/>
  <c r="G50" i="136"/>
  <c r="D50" i="136"/>
  <c r="C50" i="136"/>
  <c r="AD49" i="136"/>
  <c r="Y49" i="136"/>
  <c r="AG48" i="136"/>
  <c r="AF48" i="136"/>
  <c r="AC48" i="136"/>
  <c r="X48" i="136"/>
  <c r="S48" i="136"/>
  <c r="N48" i="136"/>
  <c r="I48" i="136"/>
  <c r="E48" i="136"/>
  <c r="AG47" i="136"/>
  <c r="AF47" i="136"/>
  <c r="AC47" i="136"/>
  <c r="X47" i="136"/>
  <c r="S47" i="136"/>
  <c r="N47" i="136"/>
  <c r="I47" i="136"/>
  <c r="E47" i="136"/>
  <c r="AG46" i="136"/>
  <c r="AF46" i="136"/>
  <c r="AC46" i="136"/>
  <c r="X46" i="136"/>
  <c r="S46" i="136"/>
  <c r="N46" i="136"/>
  <c r="I46" i="136"/>
  <c r="E46" i="136"/>
  <c r="AG45" i="136"/>
  <c r="AF45" i="136"/>
  <c r="AC45" i="136"/>
  <c r="X45" i="136"/>
  <c r="S45" i="136"/>
  <c r="N45" i="136"/>
  <c r="I45" i="136"/>
  <c r="E45" i="136"/>
  <c r="AG44" i="136"/>
  <c r="AF44" i="136"/>
  <c r="AC44" i="136"/>
  <c r="X44" i="136"/>
  <c r="S44" i="136"/>
  <c r="N44" i="136"/>
  <c r="I44" i="136"/>
  <c r="E44" i="136"/>
  <c r="AG43" i="136"/>
  <c r="AF43" i="136"/>
  <c r="AC43" i="136"/>
  <c r="X43" i="136"/>
  <c r="S43" i="136"/>
  <c r="N43" i="136"/>
  <c r="I43" i="136"/>
  <c r="E43" i="136"/>
  <c r="AG42" i="136"/>
  <c r="AF42" i="136"/>
  <c r="AC42" i="136"/>
  <c r="X42" i="136"/>
  <c r="S42" i="136"/>
  <c r="N42" i="136"/>
  <c r="I42" i="136"/>
  <c r="E42" i="136"/>
  <c r="AB41" i="136"/>
  <c r="AA41" i="136"/>
  <c r="W41" i="136"/>
  <c r="V41" i="136"/>
  <c r="R41" i="136"/>
  <c r="Q41" i="136"/>
  <c r="M41" i="136"/>
  <c r="L41" i="136"/>
  <c r="H41" i="136"/>
  <c r="G41" i="136"/>
  <c r="D41" i="136"/>
  <c r="C41" i="136"/>
  <c r="AD37" i="136"/>
  <c r="Y37" i="136"/>
  <c r="AG36" i="136"/>
  <c r="AG35" i="136" s="1"/>
  <c r="AF36" i="136"/>
  <c r="AH36" i="136" s="1"/>
  <c r="AC36" i="136"/>
  <c r="X36" i="136"/>
  <c r="S36" i="136"/>
  <c r="S35" i="136" s="1"/>
  <c r="N36" i="136"/>
  <c r="I36" i="136"/>
  <c r="E36" i="136"/>
  <c r="E35" i="136" s="1"/>
  <c r="AF35" i="136"/>
  <c r="AC35" i="136"/>
  <c r="AD35" i="136" s="1"/>
  <c r="N35" i="136"/>
  <c r="D35" i="136"/>
  <c r="C35" i="136"/>
  <c r="AD34" i="136"/>
  <c r="Y34" i="136"/>
  <c r="AG33" i="136"/>
  <c r="AF33" i="136"/>
  <c r="AH33" i="136" s="1"/>
  <c r="AC33" i="136"/>
  <c r="X33" i="136"/>
  <c r="S33" i="136"/>
  <c r="N33" i="136"/>
  <c r="I33" i="136"/>
  <c r="E33" i="136"/>
  <c r="AG32" i="136"/>
  <c r="AF32" i="136"/>
  <c r="AC32" i="136"/>
  <c r="X32" i="136"/>
  <c r="S32" i="136"/>
  <c r="N32" i="136"/>
  <c r="I32" i="136"/>
  <c r="E32" i="136"/>
  <c r="AG31" i="136"/>
  <c r="AF31" i="136"/>
  <c r="AH31" i="136" s="1"/>
  <c r="AC31" i="136"/>
  <c r="X31" i="136"/>
  <c r="S31" i="136"/>
  <c r="N31" i="136"/>
  <c r="I31" i="136"/>
  <c r="E31" i="136"/>
  <c r="AG30" i="136"/>
  <c r="AF30" i="136"/>
  <c r="AH30" i="136" s="1"/>
  <c r="AC30" i="136"/>
  <c r="X30" i="136"/>
  <c r="S30" i="136"/>
  <c r="N30" i="136"/>
  <c r="I30" i="136"/>
  <c r="E30" i="136"/>
  <c r="AG29" i="136"/>
  <c r="AF29" i="136"/>
  <c r="AC29" i="136"/>
  <c r="X29" i="136"/>
  <c r="S29" i="136"/>
  <c r="N29" i="136"/>
  <c r="I29" i="136"/>
  <c r="E29" i="136"/>
  <c r="AG28" i="136"/>
  <c r="AF28" i="136"/>
  <c r="AH28" i="136" s="1"/>
  <c r="AC28" i="136"/>
  <c r="X28" i="136"/>
  <c r="S28" i="136"/>
  <c r="N28" i="136"/>
  <c r="I28" i="136"/>
  <c r="C28" i="136"/>
  <c r="E28" i="136" s="1"/>
  <c r="AG27" i="136"/>
  <c r="AF27" i="136"/>
  <c r="AC27" i="136"/>
  <c r="X27" i="136"/>
  <c r="S27" i="136"/>
  <c r="N27" i="136"/>
  <c r="I27" i="136"/>
  <c r="E27" i="136"/>
  <c r="AG26" i="136"/>
  <c r="AC26" i="136"/>
  <c r="X26" i="136"/>
  <c r="S26" i="136"/>
  <c r="L26" i="136"/>
  <c r="N26" i="136" s="1"/>
  <c r="I26" i="136"/>
  <c r="E26" i="136"/>
  <c r="AG25" i="136"/>
  <c r="AC25" i="136"/>
  <c r="X25" i="136"/>
  <c r="S25" i="136"/>
  <c r="L25" i="136"/>
  <c r="N25" i="136" s="1"/>
  <c r="I25" i="136"/>
  <c r="E25" i="136"/>
  <c r="AG24" i="136"/>
  <c r="AF24" i="136"/>
  <c r="AC24" i="136"/>
  <c r="X24" i="136"/>
  <c r="S24" i="136"/>
  <c r="N24" i="136"/>
  <c r="I24" i="136"/>
  <c r="E24" i="136"/>
  <c r="AG23" i="136"/>
  <c r="AF23" i="136"/>
  <c r="AC23" i="136"/>
  <c r="X23" i="136"/>
  <c r="S23" i="136"/>
  <c r="N23" i="136"/>
  <c r="I23" i="136"/>
  <c r="E23" i="136"/>
  <c r="AG22" i="136"/>
  <c r="AF22" i="136"/>
  <c r="AC22" i="136"/>
  <c r="X22" i="136"/>
  <c r="S22" i="136"/>
  <c r="N22" i="136"/>
  <c r="I22" i="136"/>
  <c r="E22" i="136"/>
  <c r="AG21" i="136"/>
  <c r="AF21" i="136"/>
  <c r="AC21" i="136"/>
  <c r="X21" i="136"/>
  <c r="S21" i="136"/>
  <c r="N21" i="136"/>
  <c r="I21" i="136"/>
  <c r="E21" i="136"/>
  <c r="AG20" i="136"/>
  <c r="AF20" i="136"/>
  <c r="AC20" i="136"/>
  <c r="X20" i="136"/>
  <c r="S20" i="136"/>
  <c r="N20" i="136"/>
  <c r="I20" i="136"/>
  <c r="E20" i="136"/>
  <c r="AG19" i="136"/>
  <c r="AF19" i="136"/>
  <c r="AC19" i="136"/>
  <c r="X19" i="136"/>
  <c r="S19" i="136"/>
  <c r="N19" i="136"/>
  <c r="I19" i="136"/>
  <c r="E19" i="136"/>
  <c r="AH18" i="136"/>
  <c r="AG18" i="136"/>
  <c r="AF18" i="136"/>
  <c r="AC18" i="136"/>
  <c r="X18" i="136"/>
  <c r="S18" i="136"/>
  <c r="N18" i="136"/>
  <c r="I18" i="136"/>
  <c r="E18" i="136"/>
  <c r="AG17" i="136"/>
  <c r="AF17" i="136"/>
  <c r="AC17" i="136"/>
  <c r="X17" i="136"/>
  <c r="S17" i="136"/>
  <c r="N17" i="136"/>
  <c r="I17" i="136"/>
  <c r="E17" i="136"/>
  <c r="AF16" i="136"/>
  <c r="AC16" i="136"/>
  <c r="X16" i="136"/>
  <c r="S16" i="136"/>
  <c r="M16" i="136"/>
  <c r="N16" i="136" s="1"/>
  <c r="I16" i="136"/>
  <c r="E16" i="136"/>
  <c r="AG15" i="136"/>
  <c r="AF15" i="136"/>
  <c r="AH15" i="136" s="1"/>
  <c r="AC15" i="136"/>
  <c r="X15" i="136"/>
  <c r="S15" i="136"/>
  <c r="N15" i="136"/>
  <c r="I15" i="136"/>
  <c r="E15" i="136"/>
  <c r="AG14" i="136"/>
  <c r="AF14" i="136"/>
  <c r="AH14" i="136" s="1"/>
  <c r="AC14" i="136"/>
  <c r="X14" i="136"/>
  <c r="S14" i="136"/>
  <c r="N14" i="136"/>
  <c r="I14" i="136"/>
  <c r="E14" i="136"/>
  <c r="AG13" i="136"/>
  <c r="AF13" i="136"/>
  <c r="AC13" i="136"/>
  <c r="X13" i="136"/>
  <c r="S13" i="136"/>
  <c r="N13" i="136"/>
  <c r="I13" i="136"/>
  <c r="E13" i="136"/>
  <c r="AG12" i="136"/>
  <c r="AF12" i="136"/>
  <c r="AH12" i="136" s="1"/>
  <c r="AC12" i="136"/>
  <c r="X12" i="136"/>
  <c r="S12" i="136"/>
  <c r="N12" i="136"/>
  <c r="I12" i="136"/>
  <c r="E12" i="136"/>
  <c r="AG11" i="136"/>
  <c r="AF11" i="136"/>
  <c r="AH11" i="136" s="1"/>
  <c r="AC11" i="136"/>
  <c r="X11" i="136"/>
  <c r="S11" i="136"/>
  <c r="N11" i="136"/>
  <c r="I11" i="136"/>
  <c r="E11" i="136"/>
  <c r="AG10" i="136"/>
  <c r="AF10" i="136"/>
  <c r="AH10" i="136" s="1"/>
  <c r="AC10" i="136"/>
  <c r="X10" i="136"/>
  <c r="S10" i="136"/>
  <c r="N10" i="136"/>
  <c r="I10" i="136"/>
  <c r="E10" i="136"/>
  <c r="AG9" i="136"/>
  <c r="AF9" i="136"/>
  <c r="AC9" i="136"/>
  <c r="X9" i="136"/>
  <c r="S9" i="136"/>
  <c r="S8" i="136" s="1"/>
  <c r="N9" i="136"/>
  <c r="N8" i="136" s="1"/>
  <c r="I9" i="136"/>
  <c r="E9" i="136"/>
  <c r="AB8" i="136"/>
  <c r="AA8" i="136"/>
  <c r="W8" i="136"/>
  <c r="V8" i="136"/>
  <c r="R8" i="136"/>
  <c r="Q8" i="136"/>
  <c r="M8" i="136"/>
  <c r="H8" i="136"/>
  <c r="G8" i="136"/>
  <c r="D8" i="136"/>
  <c r="C8" i="136"/>
  <c r="AG7" i="136"/>
  <c r="AH7" i="136" s="1"/>
  <c r="AF7" i="136"/>
  <c r="AC7" i="136"/>
  <c r="X7" i="136"/>
  <c r="S7" i="136"/>
  <c r="N7" i="136"/>
  <c r="I7" i="136"/>
  <c r="E7" i="136"/>
  <c r="AG6" i="136"/>
  <c r="AG5" i="136" s="1"/>
  <c r="AC6" i="136"/>
  <c r="AC5" i="136" s="1"/>
  <c r="X6" i="136"/>
  <c r="X5" i="136" s="1"/>
  <c r="S6" i="136"/>
  <c r="L6" i="136"/>
  <c r="N6" i="136" s="1"/>
  <c r="I6" i="136"/>
  <c r="E6" i="136"/>
  <c r="AB5" i="136"/>
  <c r="AB38" i="136" s="1"/>
  <c r="AA5" i="136"/>
  <c r="AA38" i="136" s="1"/>
  <c r="W5" i="136"/>
  <c r="V5" i="136"/>
  <c r="R5" i="136"/>
  <c r="R38" i="136" s="1"/>
  <c r="Q5" i="136"/>
  <c r="Q38" i="136" s="1"/>
  <c r="M5" i="136"/>
  <c r="H5" i="136"/>
  <c r="H38" i="136" s="1"/>
  <c r="G5" i="136"/>
  <c r="D5" i="136"/>
  <c r="D38" i="136" s="1"/>
  <c r="C5" i="136"/>
  <c r="C38" i="136" l="1"/>
  <c r="M38" i="136"/>
  <c r="M75" i="136" s="1"/>
  <c r="AG16" i="136"/>
  <c r="AG8" i="136" s="1"/>
  <c r="AG38" i="136" s="1"/>
  <c r="AH21" i="136"/>
  <c r="AH22" i="136"/>
  <c r="AH23" i="136"/>
  <c r="AH24" i="136"/>
  <c r="AG50" i="136"/>
  <c r="AH61" i="136"/>
  <c r="AH70" i="136"/>
  <c r="AH74" i="136"/>
  <c r="AH73" i="136" s="1"/>
  <c r="AH43" i="136"/>
  <c r="AH45" i="136"/>
  <c r="AH46" i="136"/>
  <c r="AH48" i="136"/>
  <c r="AH55" i="136"/>
  <c r="AH66" i="136"/>
  <c r="L5" i="136"/>
  <c r="E5" i="136"/>
  <c r="I5" i="136"/>
  <c r="E8" i="136"/>
  <c r="X8" i="136"/>
  <c r="AG41" i="136"/>
  <c r="AH78" i="136"/>
  <c r="S5" i="136"/>
  <c r="S38" i="136" s="1"/>
  <c r="W38" i="136"/>
  <c r="I8" i="136"/>
  <c r="AH17" i="136"/>
  <c r="AH60" i="136"/>
  <c r="AH20" i="136"/>
  <c r="AH27" i="136"/>
  <c r="AC54" i="136"/>
  <c r="AH64" i="136"/>
  <c r="S39" i="136"/>
  <c r="AB75" i="136"/>
  <c r="AB39" i="136"/>
  <c r="AM12" i="136"/>
  <c r="AM14" i="136"/>
  <c r="X38" i="136"/>
  <c r="Q39" i="136"/>
  <c r="Q75" i="136"/>
  <c r="D75" i="136"/>
  <c r="D39" i="136"/>
  <c r="AC8" i="136"/>
  <c r="R75" i="136"/>
  <c r="R39" i="136"/>
  <c r="AA75" i="136"/>
  <c r="AA39" i="136"/>
  <c r="G38" i="136"/>
  <c r="H75" i="136"/>
  <c r="H39" i="136"/>
  <c r="N5" i="136"/>
  <c r="N38" i="136" s="1"/>
  <c r="I38" i="136"/>
  <c r="W75" i="136"/>
  <c r="W39" i="136"/>
  <c r="AH9" i="136"/>
  <c r="C75" i="136"/>
  <c r="C39" i="136"/>
  <c r="V38" i="136"/>
  <c r="AH52" i="136"/>
  <c r="AF50" i="136"/>
  <c r="AH13" i="136"/>
  <c r="AH16" i="136"/>
  <c r="AF25" i="136"/>
  <c r="AH25" i="136" s="1"/>
  <c r="I35" i="136"/>
  <c r="AH50" i="136"/>
  <c r="AH29" i="136"/>
  <c r="E41" i="136"/>
  <c r="I41" i="136"/>
  <c r="AH44" i="136"/>
  <c r="X50" i="136"/>
  <c r="Y50" i="136" s="1"/>
  <c r="I54" i="136"/>
  <c r="M76" i="136"/>
  <c r="M81" i="136"/>
  <c r="M83" i="136" s="1"/>
  <c r="M84" i="136" s="1"/>
  <c r="M86" i="136" s="1"/>
  <c r="M87" i="136" s="1"/>
  <c r="AH57" i="136"/>
  <c r="AF54" i="136"/>
  <c r="AF6" i="136"/>
  <c r="AH19" i="136"/>
  <c r="AH32" i="136"/>
  <c r="AH35" i="136"/>
  <c r="M39" i="136"/>
  <c r="N41" i="136"/>
  <c r="AH42" i="136"/>
  <c r="AF41" i="136"/>
  <c r="AH47" i="136"/>
  <c r="X35" i="136"/>
  <c r="Y35" i="136" s="1"/>
  <c r="L8" i="136"/>
  <c r="L38" i="136" s="1"/>
  <c r="AF26" i="136"/>
  <c r="AH26" i="136" s="1"/>
  <c r="AC41" i="136"/>
  <c r="S41" i="136"/>
  <c r="X41" i="136"/>
  <c r="X89" i="136" s="1"/>
  <c r="S54" i="136"/>
  <c r="E50" i="136"/>
  <c r="AC50" i="136"/>
  <c r="AD50" i="136" s="1"/>
  <c r="AD51" i="136"/>
  <c r="N50" i="136"/>
  <c r="S50" i="136"/>
  <c r="AH63" i="136"/>
  <c r="E38" i="136" l="1"/>
  <c r="E39" i="136" s="1"/>
  <c r="N89" i="136"/>
  <c r="O19" i="136" s="1"/>
  <c r="AH54" i="136"/>
  <c r="O26" i="136"/>
  <c r="O64" i="136"/>
  <c r="O66" i="136"/>
  <c r="O51" i="136"/>
  <c r="O16" i="136"/>
  <c r="L75" i="136"/>
  <c r="L39" i="136"/>
  <c r="Y79" i="136"/>
  <c r="Y47" i="136"/>
  <c r="Y44" i="136"/>
  <c r="Y32" i="136"/>
  <c r="Y74" i="136"/>
  <c r="Y64" i="136"/>
  <c r="Y58" i="136"/>
  <c r="Y27" i="136"/>
  <c r="Y22" i="136"/>
  <c r="Y33" i="136"/>
  <c r="Y25" i="136"/>
  <c r="Y17" i="136"/>
  <c r="Y16" i="136"/>
  <c r="Y45" i="136"/>
  <c r="Y30" i="136"/>
  <c r="Y26" i="136"/>
  <c r="Y13" i="136"/>
  <c r="Y42" i="136"/>
  <c r="Y20" i="136"/>
  <c r="Y19" i="136"/>
  <c r="AD36" i="136"/>
  <c r="Y23" i="136"/>
  <c r="Y11" i="136"/>
  <c r="Y12" i="136"/>
  <c r="Y9" i="136"/>
  <c r="Y10" i="136"/>
  <c r="Y55" i="136"/>
  <c r="Y68" i="136"/>
  <c r="Y57" i="136"/>
  <c r="Y69" i="136"/>
  <c r="Y48" i="136"/>
  <c r="Y24" i="136"/>
  <c r="Y63" i="136"/>
  <c r="Y36" i="136"/>
  <c r="Y18" i="136"/>
  <c r="Y31" i="136"/>
  <c r="Y59" i="136"/>
  <c r="Y70" i="136"/>
  <c r="Y29" i="136"/>
  <c r="Y61" i="136"/>
  <c r="Y46" i="136"/>
  <c r="Y54" i="136"/>
  <c r="Y14" i="136"/>
  <c r="Y60" i="136"/>
  <c r="Y62" i="136"/>
  <c r="Y65" i="136"/>
  <c r="Y15" i="136"/>
  <c r="Y8" i="136"/>
  <c r="Y21" i="136"/>
  <c r="Y71" i="136"/>
  <c r="Y43" i="136"/>
  <c r="Y66" i="136"/>
  <c r="Y56" i="136"/>
  <c r="Y67" i="136"/>
  <c r="Y28" i="136"/>
  <c r="I39" i="136"/>
  <c r="I75" i="136"/>
  <c r="N75" i="136"/>
  <c r="N39" i="136"/>
  <c r="AB76" i="136"/>
  <c r="AB81" i="136"/>
  <c r="AB83" i="136" s="1"/>
  <c r="AB84" i="136" s="1"/>
  <c r="AB86" i="136" s="1"/>
  <c r="AB87" i="136" s="1"/>
  <c r="O67" i="136"/>
  <c r="O69" i="136"/>
  <c r="O47" i="136"/>
  <c r="O41" i="136"/>
  <c r="O44" i="136"/>
  <c r="V75" i="136"/>
  <c r="V39" i="136"/>
  <c r="W76" i="136"/>
  <c r="W81" i="136"/>
  <c r="W83" i="136" s="1"/>
  <c r="W84" i="136" s="1"/>
  <c r="W86" i="136" s="1"/>
  <c r="W87" i="136" s="1"/>
  <c r="D76" i="136"/>
  <c r="D81" i="136"/>
  <c r="D83" i="136" s="1"/>
  <c r="D84" i="136" s="1"/>
  <c r="D86" i="136" s="1"/>
  <c r="D87" i="136" s="1"/>
  <c r="Q76" i="136"/>
  <c r="Q81" i="136"/>
  <c r="Q83" i="136" s="1"/>
  <c r="Q84" i="136" s="1"/>
  <c r="Q86" i="136" s="1"/>
  <c r="Q87" i="136" s="1"/>
  <c r="AM25" i="136"/>
  <c r="O74" i="136"/>
  <c r="O45" i="136"/>
  <c r="O42" i="136"/>
  <c r="O33" i="136"/>
  <c r="O30" i="136"/>
  <c r="O62" i="136"/>
  <c r="O56" i="136"/>
  <c r="O35" i="136"/>
  <c r="O23" i="136"/>
  <c r="O79" i="136"/>
  <c r="O46" i="136"/>
  <c r="O31" i="136"/>
  <c r="O21" i="136"/>
  <c r="O15" i="136"/>
  <c r="O20" i="136"/>
  <c r="O10" i="136"/>
  <c r="O43" i="136"/>
  <c r="O28" i="136"/>
  <c r="O36" i="136"/>
  <c r="O24" i="136"/>
  <c r="O17" i="136"/>
  <c r="O12" i="136"/>
  <c r="O9" i="136"/>
  <c r="O18" i="136"/>
  <c r="O11" i="136"/>
  <c r="O14" i="136"/>
  <c r="O50" i="136"/>
  <c r="C81" i="136"/>
  <c r="C83" i="136" s="1"/>
  <c r="C84" i="136" s="1"/>
  <c r="C86" i="136" s="1"/>
  <c r="C87" i="136" s="1"/>
  <c r="C76" i="136"/>
  <c r="O27" i="136"/>
  <c r="O32" i="136"/>
  <c r="AF8" i="136"/>
  <c r="AM13" i="136"/>
  <c r="O13" i="136"/>
  <c r="R76" i="136"/>
  <c r="R81" i="136"/>
  <c r="R83" i="136" s="1"/>
  <c r="R84" i="136" s="1"/>
  <c r="R86" i="136" s="1"/>
  <c r="R87" i="136" s="1"/>
  <c r="O29" i="136"/>
  <c r="O71" i="136"/>
  <c r="X75" i="136"/>
  <c r="X39" i="136"/>
  <c r="O70" i="136"/>
  <c r="O48" i="136"/>
  <c r="O52" i="136"/>
  <c r="O59" i="136"/>
  <c r="AH6" i="136"/>
  <c r="AH5" i="136" s="1"/>
  <c r="AF5" i="136"/>
  <c r="AF38" i="136" s="1"/>
  <c r="O54" i="136"/>
  <c r="O25" i="136"/>
  <c r="AH8" i="136"/>
  <c r="H76" i="136"/>
  <c r="H81" i="136"/>
  <c r="H83" i="136" s="1"/>
  <c r="H84" i="136" s="1"/>
  <c r="H86" i="136" s="1"/>
  <c r="H87" i="136" s="1"/>
  <c r="AC89" i="136"/>
  <c r="AD8" i="136" s="1"/>
  <c r="AG75" i="136"/>
  <c r="AG39" i="136"/>
  <c r="S75" i="136"/>
  <c r="Y41" i="136"/>
  <c r="E89" i="136"/>
  <c r="O63" i="136"/>
  <c r="O65" i="136"/>
  <c r="E75" i="136"/>
  <c r="O68" i="136"/>
  <c r="O60" i="136"/>
  <c r="AM26" i="136"/>
  <c r="O58" i="136"/>
  <c r="O55" i="136"/>
  <c r="O57" i="136"/>
  <c r="O22" i="136"/>
  <c r="AH41" i="136"/>
  <c r="G39" i="136"/>
  <c r="G75" i="136"/>
  <c r="AA76" i="136"/>
  <c r="AA81" i="136"/>
  <c r="AA83" i="136" s="1"/>
  <c r="AA84" i="136" s="1"/>
  <c r="AA86" i="136" s="1"/>
  <c r="AA87" i="136" s="1"/>
  <c r="AC38" i="136"/>
  <c r="O8" i="136"/>
  <c r="O61" i="136" l="1"/>
  <c r="F85" i="136"/>
  <c r="F79" i="136"/>
  <c r="F46" i="136"/>
  <c r="F43" i="136"/>
  <c r="F31" i="136"/>
  <c r="F16" i="136"/>
  <c r="F82" i="136"/>
  <c r="F72" i="136"/>
  <c r="F66" i="136"/>
  <c r="F60" i="136"/>
  <c r="F36" i="136"/>
  <c r="F24" i="136"/>
  <c r="F25" i="136"/>
  <c r="F18" i="136"/>
  <c r="F11" i="136"/>
  <c r="F27" i="136"/>
  <c r="F22" i="136"/>
  <c r="F47" i="136"/>
  <c r="F32" i="136"/>
  <c r="F21" i="136"/>
  <c r="F15" i="136"/>
  <c r="F13" i="136"/>
  <c r="F44" i="136"/>
  <c r="F29" i="136"/>
  <c r="F19" i="136"/>
  <c r="F10" i="136"/>
  <c r="F26" i="136"/>
  <c r="F12" i="136"/>
  <c r="F9" i="136"/>
  <c r="F28" i="136"/>
  <c r="F48" i="136"/>
  <c r="F65" i="136"/>
  <c r="F70" i="136"/>
  <c r="F69" i="136"/>
  <c r="F61" i="136"/>
  <c r="F42" i="136"/>
  <c r="F55" i="136"/>
  <c r="F63" i="136"/>
  <c r="F56" i="136"/>
  <c r="F20" i="136"/>
  <c r="F57" i="136"/>
  <c r="F68" i="136"/>
  <c r="F58" i="136"/>
  <c r="F62" i="136"/>
  <c r="F17" i="136"/>
  <c r="F30" i="136"/>
  <c r="F14" i="136"/>
  <c r="F23" i="136"/>
  <c r="F35" i="136"/>
  <c r="F45" i="136"/>
  <c r="F59" i="136"/>
  <c r="F51" i="136"/>
  <c r="F8" i="136"/>
  <c r="F33" i="136"/>
  <c r="F52" i="136"/>
  <c r="F73" i="136"/>
  <c r="F54" i="136"/>
  <c r="F64" i="136"/>
  <c r="F67" i="136"/>
  <c r="F71" i="136"/>
  <c r="AG76" i="136"/>
  <c r="AG81" i="136"/>
  <c r="AG83" i="136" s="1"/>
  <c r="AG84" i="136" s="1"/>
  <c r="AG86" i="136" s="1"/>
  <c r="AG87" i="136" s="1"/>
  <c r="AD41" i="136"/>
  <c r="X81" i="136"/>
  <c r="X83" i="136" s="1"/>
  <c r="X84" i="136" s="1"/>
  <c r="X86" i="136" s="1"/>
  <c r="X87" i="136" s="1"/>
  <c r="X76" i="136"/>
  <c r="N81" i="136"/>
  <c r="N83" i="136" s="1"/>
  <c r="N84" i="136" s="1"/>
  <c r="N86" i="136" s="1"/>
  <c r="N87" i="136" s="1"/>
  <c r="N76" i="136"/>
  <c r="AC75" i="136"/>
  <c r="AC39" i="136"/>
  <c r="I76" i="136"/>
  <c r="AD79" i="136"/>
  <c r="AD74" i="136"/>
  <c r="AD62" i="136"/>
  <c r="AD73" i="136"/>
  <c r="AD45" i="136"/>
  <c r="AD42" i="136"/>
  <c r="AD33" i="136"/>
  <c r="AD30" i="136"/>
  <c r="AD26" i="136"/>
  <c r="AD25" i="136"/>
  <c r="AD15" i="136"/>
  <c r="AD23" i="136"/>
  <c r="AD21" i="136"/>
  <c r="AD56" i="136"/>
  <c r="AD46" i="136"/>
  <c r="AD31" i="136"/>
  <c r="AD20" i="136"/>
  <c r="AD65" i="136"/>
  <c r="AD59" i="136"/>
  <c r="AD43" i="136"/>
  <c r="AD28" i="136"/>
  <c r="AD18" i="136"/>
  <c r="AD14" i="136"/>
  <c r="AD24" i="136"/>
  <c r="AD17" i="136"/>
  <c r="AD12" i="136"/>
  <c r="AD9" i="136"/>
  <c r="AD10" i="136"/>
  <c r="AD11" i="136"/>
  <c r="AD19" i="136"/>
  <c r="AD47" i="136"/>
  <c r="AD58" i="136"/>
  <c r="AD77" i="136"/>
  <c r="AD67" i="136"/>
  <c r="AD78" i="136"/>
  <c r="AD48" i="136"/>
  <c r="AD66" i="136"/>
  <c r="AD27" i="136"/>
  <c r="AD60" i="136"/>
  <c r="AD68" i="136"/>
  <c r="AD29" i="136"/>
  <c r="AD32" i="136"/>
  <c r="AD22" i="136"/>
  <c r="AD70" i="136"/>
  <c r="AD61" i="136"/>
  <c r="AD16" i="136"/>
  <c r="AD55" i="136"/>
  <c r="AD71" i="136"/>
  <c r="AD63" i="136"/>
  <c r="AD13" i="136"/>
  <c r="AD44" i="136"/>
  <c r="AD54" i="136"/>
  <c r="AD64" i="136"/>
  <c r="AD57" i="136"/>
  <c r="AD69" i="136"/>
  <c r="E81" i="136"/>
  <c r="E83" i="136" s="1"/>
  <c r="E84" i="136" s="1"/>
  <c r="E86" i="136" s="1"/>
  <c r="E87" i="136" s="1"/>
  <c r="E76" i="136"/>
  <c r="AF75" i="136"/>
  <c r="AF39" i="136"/>
  <c r="F41" i="136"/>
  <c r="AH38" i="136"/>
  <c r="AM5" i="136"/>
  <c r="L81" i="136"/>
  <c r="L83" i="136" s="1"/>
  <c r="L84" i="136" s="1"/>
  <c r="L86" i="136" s="1"/>
  <c r="L87" i="136" s="1"/>
  <c r="L76" i="136"/>
  <c r="G76" i="136"/>
  <c r="G81" i="136"/>
  <c r="G83" i="136" s="1"/>
  <c r="G84" i="136" s="1"/>
  <c r="G86" i="136" s="1"/>
  <c r="G87" i="136" s="1"/>
  <c r="S76" i="136"/>
  <c r="V81" i="136"/>
  <c r="V83" i="136" s="1"/>
  <c r="V84" i="136" s="1"/>
  <c r="V86" i="136" s="1"/>
  <c r="V87" i="136" s="1"/>
  <c r="V76" i="136"/>
  <c r="F50" i="136"/>
  <c r="AC81" i="136" l="1"/>
  <c r="AC83" i="136" s="1"/>
  <c r="AC84" i="136" s="1"/>
  <c r="AC86" i="136" s="1"/>
  <c r="AC87" i="136" s="1"/>
  <c r="AC76" i="136"/>
  <c r="AF81" i="136"/>
  <c r="AF83" i="136" s="1"/>
  <c r="AF84" i="136" s="1"/>
  <c r="AF86" i="136" s="1"/>
  <c r="AF87" i="136" s="1"/>
  <c r="AF76" i="136"/>
  <c r="AH75" i="136"/>
  <c r="AH39" i="136"/>
  <c r="AH76" i="136" l="1"/>
  <c r="W63" i="101" l="1"/>
  <c r="V63" i="101"/>
  <c r="R63" i="101"/>
  <c r="Q63" i="101"/>
  <c r="P63" i="101"/>
  <c r="O63" i="101"/>
  <c r="N63" i="101"/>
  <c r="M63" i="101"/>
  <c r="L63" i="101"/>
  <c r="K63" i="101"/>
  <c r="J63" i="101"/>
  <c r="I63" i="101"/>
  <c r="H63" i="101"/>
  <c r="G63" i="101"/>
  <c r="F63" i="101"/>
  <c r="E63" i="101"/>
  <c r="D63" i="101"/>
  <c r="E38" i="101"/>
  <c r="U63" i="101"/>
  <c r="T63" i="101"/>
  <c r="S64" i="101"/>
  <c r="C64" i="101" s="1"/>
  <c r="P58" i="101"/>
  <c r="O58" i="101"/>
  <c r="N58" i="101"/>
  <c r="M58" i="101"/>
  <c r="L58" i="101"/>
  <c r="K58" i="101"/>
  <c r="J58" i="101"/>
  <c r="I58" i="101"/>
  <c r="H58" i="101"/>
  <c r="G58" i="101"/>
  <c r="F58" i="101"/>
  <c r="E58" i="101"/>
  <c r="D58" i="101"/>
  <c r="D55" i="101"/>
  <c r="E55" i="101"/>
  <c r="F55" i="101"/>
  <c r="G55" i="101"/>
  <c r="H55" i="101"/>
  <c r="I55" i="101"/>
  <c r="J55" i="101"/>
  <c r="K55" i="101"/>
  <c r="L55" i="101"/>
  <c r="M55" i="101"/>
  <c r="N55" i="101"/>
  <c r="P55" i="101"/>
  <c r="Q55" i="101"/>
  <c r="R55" i="101"/>
  <c r="S55" i="101"/>
  <c r="T55" i="101"/>
  <c r="U55" i="101"/>
  <c r="V55" i="101"/>
  <c r="W55" i="101"/>
  <c r="F46" i="101"/>
  <c r="G46" i="101"/>
  <c r="H46" i="101"/>
  <c r="J46" i="101"/>
  <c r="K46" i="101"/>
  <c r="L46" i="101"/>
  <c r="M46" i="101"/>
  <c r="N46" i="101"/>
  <c r="O46" i="101"/>
  <c r="P46" i="101"/>
  <c r="Q46" i="101"/>
  <c r="R46" i="101"/>
  <c r="S46" i="101"/>
  <c r="T46" i="101"/>
  <c r="W46" i="101"/>
  <c r="S63" i="101" l="1"/>
  <c r="R45" i="101"/>
  <c r="L45" i="101"/>
  <c r="F45" i="101"/>
  <c r="K45" i="101"/>
  <c r="N45" i="101"/>
  <c r="M45" i="101"/>
  <c r="Q45" i="101"/>
  <c r="H45" i="101"/>
  <c r="W45" i="101"/>
  <c r="G45" i="101"/>
  <c r="V45" i="101"/>
  <c r="J45" i="101"/>
  <c r="P45" i="101"/>
  <c r="U46" i="101"/>
  <c r="U45" i="101" s="1"/>
  <c r="T45" i="101"/>
  <c r="S61" i="101"/>
  <c r="O57" i="101"/>
  <c r="C57" i="101" s="1"/>
  <c r="C55" i="101" s="1"/>
  <c r="D38" i="101" s="1"/>
  <c r="C61" i="101" l="1"/>
  <c r="C58" i="101" s="1"/>
  <c r="D39" i="101" s="1"/>
  <c r="S58" i="101"/>
  <c r="C63" i="101"/>
  <c r="E37" i="101"/>
  <c r="O55" i="101"/>
  <c r="O45" i="101" s="1"/>
  <c r="E36" i="101" l="1"/>
  <c r="S45" i="101"/>
  <c r="AL6" i="116" l="1"/>
  <c r="AK6" i="116"/>
  <c r="S85" i="116"/>
  <c r="S82" i="116"/>
  <c r="S78" i="116"/>
  <c r="T78" i="116" s="1"/>
  <c r="R77" i="116"/>
  <c r="Q77" i="116"/>
  <c r="S74" i="116"/>
  <c r="S73" i="116"/>
  <c r="R73" i="116"/>
  <c r="Q73" i="116"/>
  <c r="S71" i="116"/>
  <c r="S70" i="116"/>
  <c r="S69" i="116"/>
  <c r="S68" i="116"/>
  <c r="S67" i="116"/>
  <c r="S66" i="116"/>
  <c r="S65" i="116"/>
  <c r="S64" i="116"/>
  <c r="S63" i="116"/>
  <c r="S62" i="116"/>
  <c r="S61" i="116"/>
  <c r="S60" i="116"/>
  <c r="S59" i="116"/>
  <c r="S58" i="116"/>
  <c r="S57" i="116"/>
  <c r="S56" i="116"/>
  <c r="S55" i="116"/>
  <c r="R54" i="116"/>
  <c r="Q54" i="116"/>
  <c r="S52" i="116"/>
  <c r="S51" i="116"/>
  <c r="R50" i="116"/>
  <c r="Q50" i="116"/>
  <c r="S48" i="116"/>
  <c r="S47" i="116"/>
  <c r="S46" i="116"/>
  <c r="S45" i="116"/>
  <c r="S44" i="116"/>
  <c r="S43" i="116"/>
  <c r="S42" i="116"/>
  <c r="R41" i="116"/>
  <c r="Q41" i="116"/>
  <c r="S36" i="116"/>
  <c r="S35" i="116" s="1"/>
  <c r="S33" i="116"/>
  <c r="S32" i="116"/>
  <c r="S31" i="116"/>
  <c r="S30" i="116"/>
  <c r="S29" i="116"/>
  <c r="S28" i="116"/>
  <c r="S27" i="116"/>
  <c r="S26" i="116"/>
  <c r="S25" i="116"/>
  <c r="S24" i="116"/>
  <c r="S23" i="116"/>
  <c r="S22" i="116"/>
  <c r="S21" i="116"/>
  <c r="S20" i="116"/>
  <c r="S19" i="116"/>
  <c r="S18" i="116"/>
  <c r="S17" i="116"/>
  <c r="S16" i="116"/>
  <c r="S15" i="116"/>
  <c r="S14" i="116"/>
  <c r="S13" i="116"/>
  <c r="S12" i="116"/>
  <c r="S11" i="116"/>
  <c r="S10" i="116"/>
  <c r="S9" i="116"/>
  <c r="R8" i="116"/>
  <c r="Q8" i="116"/>
  <c r="S7" i="116"/>
  <c r="S6" i="116"/>
  <c r="S5" i="116" s="1"/>
  <c r="R5" i="116"/>
  <c r="R38" i="116" s="1"/>
  <c r="Q5" i="116"/>
  <c r="Q38" i="116" s="1"/>
  <c r="Q75" i="116" s="1"/>
  <c r="S41" i="116" l="1"/>
  <c r="S54" i="116"/>
  <c r="S50" i="116"/>
  <c r="S8" i="116"/>
  <c r="S38" i="116" s="1"/>
  <c r="Q76" i="116"/>
  <c r="Q81" i="116"/>
  <c r="Q83" i="116" s="1"/>
  <c r="Q84" i="116" s="1"/>
  <c r="Q86" i="116" s="1"/>
  <c r="Q87" i="116" s="1"/>
  <c r="R75" i="116"/>
  <c r="R39" i="116"/>
  <c r="Q39" i="116"/>
  <c r="S39" i="116" l="1"/>
  <c r="S75" i="116"/>
  <c r="R76" i="116"/>
  <c r="R81" i="116"/>
  <c r="R83" i="116" s="1"/>
  <c r="R84" i="116" s="1"/>
  <c r="R86" i="116" s="1"/>
  <c r="R87" i="116" s="1"/>
  <c r="S76" i="116" l="1"/>
  <c r="AM96" i="134" l="1"/>
  <c r="AL85" i="116"/>
  <c r="AK85" i="116"/>
  <c r="AH85" i="116"/>
  <c r="AC85" i="116"/>
  <c r="X85" i="116"/>
  <c r="N85" i="116"/>
  <c r="I85" i="116"/>
  <c r="E85" i="116"/>
  <c r="AL82" i="116"/>
  <c r="AK82" i="116"/>
  <c r="AH82" i="116"/>
  <c r="AC82" i="116"/>
  <c r="X82" i="116"/>
  <c r="N82" i="116"/>
  <c r="I82" i="116"/>
  <c r="E82" i="116"/>
  <c r="AL79" i="116"/>
  <c r="AK79" i="116"/>
  <c r="E79" i="116"/>
  <c r="AL78" i="116"/>
  <c r="AK78" i="116"/>
  <c r="AH78" i="116"/>
  <c r="AC78" i="116"/>
  <c r="X78" i="116"/>
  <c r="N78" i="116"/>
  <c r="I78" i="116"/>
  <c r="E78" i="116"/>
  <c r="AG77" i="116"/>
  <c r="AF77" i="116"/>
  <c r="AB77" i="116"/>
  <c r="AA77" i="116"/>
  <c r="W77" i="116"/>
  <c r="V77" i="116"/>
  <c r="M77" i="116"/>
  <c r="L77" i="116"/>
  <c r="H77" i="116"/>
  <c r="G77" i="116"/>
  <c r="E77" i="116"/>
  <c r="D77" i="116"/>
  <c r="C77" i="116"/>
  <c r="AL74" i="116"/>
  <c r="AL73" i="116" s="1"/>
  <c r="AK74" i="116"/>
  <c r="AM74" i="116" s="1"/>
  <c r="AM73" i="116" s="1"/>
  <c r="AH74" i="116"/>
  <c r="AH73" i="116" s="1"/>
  <c r="AC74" i="116"/>
  <c r="X74" i="116"/>
  <c r="X73" i="116" s="1"/>
  <c r="N74" i="116"/>
  <c r="N73" i="116" s="1"/>
  <c r="I74" i="116"/>
  <c r="C74" i="116"/>
  <c r="AG73" i="116"/>
  <c r="AF73" i="116"/>
  <c r="AC73" i="116"/>
  <c r="AB73" i="116"/>
  <c r="AA73" i="116"/>
  <c r="W73" i="116"/>
  <c r="V73" i="116"/>
  <c r="M73" i="116"/>
  <c r="L73" i="116"/>
  <c r="I73" i="116"/>
  <c r="H73" i="116"/>
  <c r="G73" i="116"/>
  <c r="D73" i="116"/>
  <c r="AL71" i="116"/>
  <c r="AK71" i="116"/>
  <c r="AH71" i="116"/>
  <c r="AC71" i="116"/>
  <c r="X71" i="116"/>
  <c r="N71" i="116"/>
  <c r="I71" i="116"/>
  <c r="E71" i="116"/>
  <c r="AL70" i="116"/>
  <c r="AK70" i="116"/>
  <c r="AH70" i="116"/>
  <c r="AC70" i="116"/>
  <c r="X70" i="116"/>
  <c r="N70" i="116"/>
  <c r="I70" i="116"/>
  <c r="E70" i="116"/>
  <c r="AL69" i="116"/>
  <c r="AK69" i="116"/>
  <c r="AH69" i="116"/>
  <c r="AC69" i="116"/>
  <c r="X69" i="116"/>
  <c r="N69" i="116"/>
  <c r="I69" i="116"/>
  <c r="E69" i="116"/>
  <c r="AL68" i="116"/>
  <c r="AK68" i="116"/>
  <c r="AH68" i="116"/>
  <c r="AC68" i="116"/>
  <c r="X68" i="116"/>
  <c r="N68" i="116"/>
  <c r="I68" i="116"/>
  <c r="E68" i="116"/>
  <c r="AL67" i="116"/>
  <c r="AK67" i="116"/>
  <c r="AH67" i="116"/>
  <c r="AC67" i="116"/>
  <c r="X67" i="116"/>
  <c r="N67" i="116"/>
  <c r="I67" i="116"/>
  <c r="E67" i="116"/>
  <c r="AH66" i="116"/>
  <c r="AC66" i="116"/>
  <c r="X66" i="116"/>
  <c r="N66" i="116"/>
  <c r="I66" i="116"/>
  <c r="E66" i="116"/>
  <c r="AL65" i="116"/>
  <c r="AK65" i="116"/>
  <c r="AH65" i="116"/>
  <c r="AC65" i="116"/>
  <c r="X65" i="116"/>
  <c r="N65" i="116"/>
  <c r="I65" i="116"/>
  <c r="E65" i="116"/>
  <c r="AL64" i="116"/>
  <c r="AK64" i="116"/>
  <c r="AH64" i="116"/>
  <c r="AC64" i="116"/>
  <c r="X64" i="116"/>
  <c r="N64" i="116"/>
  <c r="I64" i="116"/>
  <c r="E64" i="116"/>
  <c r="AL63" i="116"/>
  <c r="AK63" i="116"/>
  <c r="AH63" i="116"/>
  <c r="AC63" i="116"/>
  <c r="X63" i="116"/>
  <c r="N63" i="116"/>
  <c r="I63" i="116"/>
  <c r="E63" i="116"/>
  <c r="AL62" i="116"/>
  <c r="AK62" i="116"/>
  <c r="AH62" i="116"/>
  <c r="AC62" i="116"/>
  <c r="X62" i="116"/>
  <c r="N62" i="116"/>
  <c r="I62" i="116"/>
  <c r="E62" i="116"/>
  <c r="AL61" i="116"/>
  <c r="AK61" i="116"/>
  <c r="AH61" i="116"/>
  <c r="AC61" i="116"/>
  <c r="X61" i="116"/>
  <c r="N61" i="116"/>
  <c r="I61" i="116"/>
  <c r="E61" i="116"/>
  <c r="AL60" i="116"/>
  <c r="AK60" i="116"/>
  <c r="AH60" i="116"/>
  <c r="AC60" i="116"/>
  <c r="X60" i="116"/>
  <c r="N60" i="116"/>
  <c r="I60" i="116"/>
  <c r="E60" i="116"/>
  <c r="AL59" i="116"/>
  <c r="AK59" i="116"/>
  <c r="AH59" i="116"/>
  <c r="AC59" i="116"/>
  <c r="X59" i="116"/>
  <c r="N59" i="116"/>
  <c r="I59" i="116"/>
  <c r="E59" i="116"/>
  <c r="AL58" i="116"/>
  <c r="AK58" i="116"/>
  <c r="AH58" i="116"/>
  <c r="AC58" i="116"/>
  <c r="X58" i="116"/>
  <c r="N58" i="116"/>
  <c r="I58" i="116"/>
  <c r="E58" i="116"/>
  <c r="AL57" i="116"/>
  <c r="AK57" i="116"/>
  <c r="AH57" i="116"/>
  <c r="AC57" i="116"/>
  <c r="X57" i="116"/>
  <c r="N57" i="116"/>
  <c r="I57" i="116"/>
  <c r="E57" i="116"/>
  <c r="AL56" i="116"/>
  <c r="AK56" i="116"/>
  <c r="AH56" i="116"/>
  <c r="AC56" i="116"/>
  <c r="X56" i="116"/>
  <c r="N56" i="116"/>
  <c r="I56" i="116"/>
  <c r="E56" i="116"/>
  <c r="AL55" i="116"/>
  <c r="AK55" i="116"/>
  <c r="AM55" i="116" s="1"/>
  <c r="AH55" i="116"/>
  <c r="AC55" i="116"/>
  <c r="X55" i="116"/>
  <c r="N55" i="116"/>
  <c r="I55" i="116"/>
  <c r="E55" i="116"/>
  <c r="AG54" i="116"/>
  <c r="AF54" i="116"/>
  <c r="AB54" i="116"/>
  <c r="AA54" i="116"/>
  <c r="W54" i="116"/>
  <c r="V54" i="116"/>
  <c r="M54" i="116"/>
  <c r="L54" i="116"/>
  <c r="H54" i="116"/>
  <c r="G54" i="116"/>
  <c r="E54" i="116"/>
  <c r="D54" i="116"/>
  <c r="C54" i="116"/>
  <c r="AL52" i="116"/>
  <c r="AK52" i="116"/>
  <c r="AH52" i="116"/>
  <c r="AC52" i="116"/>
  <c r="X52" i="116"/>
  <c r="N52" i="116"/>
  <c r="I52" i="116"/>
  <c r="E52" i="116"/>
  <c r="AL51" i="116"/>
  <c r="AK51" i="116"/>
  <c r="AH51" i="116"/>
  <c r="AH50" i="116" s="1"/>
  <c r="AC51" i="116"/>
  <c r="AC50" i="116" s="1"/>
  <c r="X51" i="116"/>
  <c r="N51" i="116"/>
  <c r="N50" i="116" s="1"/>
  <c r="I51" i="116"/>
  <c r="I50" i="116" s="1"/>
  <c r="E51" i="116"/>
  <c r="E50" i="116" s="1"/>
  <c r="AG50" i="116"/>
  <c r="AF50" i="116"/>
  <c r="AB50" i="116"/>
  <c r="AA50" i="116"/>
  <c r="W50" i="116"/>
  <c r="V50" i="116"/>
  <c r="M50" i="116"/>
  <c r="L50" i="116"/>
  <c r="H50" i="116"/>
  <c r="G50" i="116"/>
  <c r="AL48" i="116"/>
  <c r="AK48" i="116"/>
  <c r="AH48" i="116"/>
  <c r="AC48" i="116"/>
  <c r="X48" i="116"/>
  <c r="N48" i="116"/>
  <c r="I48" i="116"/>
  <c r="E48" i="116"/>
  <c r="AL47" i="116"/>
  <c r="AK47" i="116"/>
  <c r="AH47" i="116"/>
  <c r="AC47" i="116"/>
  <c r="X47" i="116"/>
  <c r="N47" i="116"/>
  <c r="I47" i="116"/>
  <c r="E47" i="116"/>
  <c r="AL46" i="116"/>
  <c r="AK46" i="116"/>
  <c r="AH46" i="116"/>
  <c r="AC46" i="116"/>
  <c r="X46" i="116"/>
  <c r="N46" i="116"/>
  <c r="I46" i="116"/>
  <c r="E46" i="116"/>
  <c r="AL45" i="116"/>
  <c r="AK45" i="116"/>
  <c r="AH45" i="116"/>
  <c r="AC45" i="116"/>
  <c r="X45" i="116"/>
  <c r="N45" i="116"/>
  <c r="I45" i="116"/>
  <c r="E45" i="116"/>
  <c r="AL44" i="116"/>
  <c r="AK44" i="116"/>
  <c r="AH44" i="116"/>
  <c r="AC44" i="116"/>
  <c r="X44" i="116"/>
  <c r="N44" i="116"/>
  <c r="I44" i="116"/>
  <c r="E44" i="116"/>
  <c r="AL43" i="116"/>
  <c r="AK43" i="116"/>
  <c r="AH43" i="116"/>
  <c r="AC43" i="116"/>
  <c r="X43" i="116"/>
  <c r="N43" i="116"/>
  <c r="I43" i="116"/>
  <c r="E43" i="116"/>
  <c r="AL42" i="116"/>
  <c r="AK42" i="116"/>
  <c r="AH42" i="116"/>
  <c r="AC42" i="116"/>
  <c r="X42" i="116"/>
  <c r="N42" i="116"/>
  <c r="I42" i="116"/>
  <c r="E42" i="116"/>
  <c r="AL41" i="116"/>
  <c r="AG41" i="116"/>
  <c r="AF41" i="116"/>
  <c r="AB41" i="116"/>
  <c r="AA41" i="116"/>
  <c r="W41" i="116"/>
  <c r="V41" i="116"/>
  <c r="M41" i="116"/>
  <c r="L41" i="116"/>
  <c r="H41" i="116"/>
  <c r="G41" i="116"/>
  <c r="D41" i="116"/>
  <c r="C41" i="116"/>
  <c r="AL36" i="116"/>
  <c r="AL35" i="116" s="1"/>
  <c r="AK36" i="116"/>
  <c r="AK35" i="116" s="1"/>
  <c r="AH36" i="116"/>
  <c r="AC36" i="116"/>
  <c r="AC35" i="116" s="1"/>
  <c r="X36" i="116"/>
  <c r="X35" i="116" s="1"/>
  <c r="N36" i="116"/>
  <c r="N35" i="116" s="1"/>
  <c r="I36" i="116"/>
  <c r="I35" i="116" s="1"/>
  <c r="E36" i="116"/>
  <c r="E35" i="116" s="1"/>
  <c r="AG35" i="116"/>
  <c r="AF35" i="116"/>
  <c r="AB35" i="116"/>
  <c r="AA35" i="116"/>
  <c r="W35" i="116"/>
  <c r="V35" i="116"/>
  <c r="M35" i="116"/>
  <c r="L35" i="116"/>
  <c r="H35" i="116"/>
  <c r="G35" i="116"/>
  <c r="D35" i="116"/>
  <c r="C35" i="116"/>
  <c r="AL33" i="116"/>
  <c r="AK33" i="116"/>
  <c r="AH33" i="116"/>
  <c r="AC33" i="116"/>
  <c r="X33" i="116"/>
  <c r="N33" i="116"/>
  <c r="I33" i="116"/>
  <c r="E33" i="116"/>
  <c r="AL32" i="116"/>
  <c r="AK32" i="116"/>
  <c r="AH32" i="116"/>
  <c r="AC32" i="116"/>
  <c r="X32" i="116"/>
  <c r="N32" i="116"/>
  <c r="I32" i="116"/>
  <c r="E32" i="116"/>
  <c r="AL31" i="116"/>
  <c r="AK31" i="116"/>
  <c r="AH31" i="116"/>
  <c r="AC31" i="116"/>
  <c r="X31" i="116"/>
  <c r="N31" i="116"/>
  <c r="I31" i="116"/>
  <c r="E31" i="116"/>
  <c r="AL30" i="116"/>
  <c r="AK30" i="116"/>
  <c r="AH30" i="116"/>
  <c r="AC30" i="116"/>
  <c r="X30" i="116"/>
  <c r="N30" i="116"/>
  <c r="I30" i="116"/>
  <c r="E30" i="116"/>
  <c r="AL29" i="116"/>
  <c r="AK29" i="116"/>
  <c r="AH29" i="116"/>
  <c r="AC29" i="116"/>
  <c r="X29" i="116"/>
  <c r="N29" i="116"/>
  <c r="I29" i="116"/>
  <c r="E29" i="116"/>
  <c r="AL28" i="116"/>
  <c r="AK28" i="116"/>
  <c r="AH28" i="116"/>
  <c r="AC28" i="116"/>
  <c r="X28" i="116"/>
  <c r="N28" i="116"/>
  <c r="I28" i="116"/>
  <c r="E28" i="116"/>
  <c r="AL27" i="116"/>
  <c r="AK27" i="116"/>
  <c r="AH27" i="116"/>
  <c r="AC27" i="116"/>
  <c r="X27" i="116"/>
  <c r="N27" i="116"/>
  <c r="I27" i="116"/>
  <c r="E27" i="116"/>
  <c r="AL26" i="116"/>
  <c r="AK26" i="116"/>
  <c r="AH26" i="116"/>
  <c r="AC26" i="116"/>
  <c r="X26" i="116"/>
  <c r="N26" i="116"/>
  <c r="I26" i="116"/>
  <c r="E26" i="116"/>
  <c r="AL25" i="116"/>
  <c r="AM25" i="116" s="1"/>
  <c r="AK25" i="116"/>
  <c r="AH25" i="116"/>
  <c r="AC25" i="116"/>
  <c r="X25" i="116"/>
  <c r="N25" i="116"/>
  <c r="I25" i="116"/>
  <c r="E25" i="116"/>
  <c r="AL24" i="116"/>
  <c r="AK24" i="116"/>
  <c r="AH24" i="116"/>
  <c r="AC24" i="116"/>
  <c r="X24" i="116"/>
  <c r="N24" i="116"/>
  <c r="I24" i="116"/>
  <c r="E24" i="116"/>
  <c r="AL23" i="116"/>
  <c r="AK23" i="116"/>
  <c r="AH23" i="116"/>
  <c r="AC23" i="116"/>
  <c r="X23" i="116"/>
  <c r="N23" i="116"/>
  <c r="I23" i="116"/>
  <c r="AL22" i="116"/>
  <c r="AK22" i="116"/>
  <c r="AH22" i="116"/>
  <c r="AC22" i="116"/>
  <c r="X22" i="116"/>
  <c r="N22" i="116"/>
  <c r="I22" i="116"/>
  <c r="AL21" i="116"/>
  <c r="AK21" i="116"/>
  <c r="AM21" i="116" s="1"/>
  <c r="AH21" i="116"/>
  <c r="AC21" i="116"/>
  <c r="X21" i="116"/>
  <c r="N21" i="116"/>
  <c r="I21" i="116"/>
  <c r="E21" i="116"/>
  <c r="AL20" i="116"/>
  <c r="AK20" i="116"/>
  <c r="AH20" i="116"/>
  <c r="AC20" i="116"/>
  <c r="X20" i="116"/>
  <c r="N20" i="116"/>
  <c r="I20" i="116"/>
  <c r="E20" i="116"/>
  <c r="AL19" i="116"/>
  <c r="AK19" i="116"/>
  <c r="AH19" i="116"/>
  <c r="AC19" i="116"/>
  <c r="X19" i="116"/>
  <c r="N19" i="116"/>
  <c r="I19" i="116"/>
  <c r="E19" i="116"/>
  <c r="AL18" i="116"/>
  <c r="AH18" i="116"/>
  <c r="AC18" i="116"/>
  <c r="X18" i="116"/>
  <c r="N18" i="116"/>
  <c r="G18" i="116"/>
  <c r="G8" i="116" s="1"/>
  <c r="E18" i="116"/>
  <c r="AL17" i="116"/>
  <c r="AK17" i="116"/>
  <c r="AH17" i="116"/>
  <c r="AC17" i="116"/>
  <c r="X17" i="116"/>
  <c r="N17" i="116"/>
  <c r="I17" i="116"/>
  <c r="E17" i="116"/>
  <c r="AL16" i="116"/>
  <c r="AK16" i="116"/>
  <c r="AM16" i="116" s="1"/>
  <c r="AH16" i="116"/>
  <c r="AC16" i="116"/>
  <c r="X16" i="116"/>
  <c r="N16" i="116"/>
  <c r="I16" i="116"/>
  <c r="E16" i="116"/>
  <c r="AL15" i="116"/>
  <c r="AK15" i="116"/>
  <c r="AH15" i="116"/>
  <c r="AC15" i="116"/>
  <c r="X15" i="116"/>
  <c r="N15" i="116"/>
  <c r="I15" i="116"/>
  <c r="E15" i="116"/>
  <c r="AL14" i="116"/>
  <c r="AK14" i="116"/>
  <c r="AH14" i="116"/>
  <c r="AC14" i="116"/>
  <c r="X14" i="116"/>
  <c r="N14" i="116"/>
  <c r="I14" i="116"/>
  <c r="E14" i="116"/>
  <c r="AL13" i="116"/>
  <c r="AK13" i="116"/>
  <c r="AH13" i="116"/>
  <c r="AC13" i="116"/>
  <c r="X13" i="116"/>
  <c r="N13" i="116"/>
  <c r="I13" i="116"/>
  <c r="E13" i="116"/>
  <c r="AL12" i="116"/>
  <c r="AK12" i="116"/>
  <c r="AM12" i="116" s="1"/>
  <c r="AH12" i="116"/>
  <c r="AC12" i="116"/>
  <c r="X12" i="116"/>
  <c r="N12" i="116"/>
  <c r="I12" i="116"/>
  <c r="E12" i="116"/>
  <c r="AL11" i="116"/>
  <c r="AK11" i="116"/>
  <c r="AM11" i="116" s="1"/>
  <c r="AH11" i="116"/>
  <c r="AC11" i="116"/>
  <c r="X11" i="116"/>
  <c r="N11" i="116"/>
  <c r="I11" i="116"/>
  <c r="E11" i="116"/>
  <c r="AL10" i="116"/>
  <c r="AK10" i="116"/>
  <c r="AH10" i="116"/>
  <c r="AC10" i="116"/>
  <c r="X10" i="116"/>
  <c r="N10" i="116"/>
  <c r="I10" i="116"/>
  <c r="E10" i="116"/>
  <c r="AL9" i="116"/>
  <c r="AK9" i="116"/>
  <c r="AM9" i="116" s="1"/>
  <c r="AH9" i="116"/>
  <c r="AC9" i="116"/>
  <c r="X9" i="116"/>
  <c r="N9" i="116"/>
  <c r="I9" i="116"/>
  <c r="E9" i="116"/>
  <c r="AG8" i="116"/>
  <c r="AF8" i="116"/>
  <c r="AB8" i="116"/>
  <c r="AC79" i="116" s="1"/>
  <c r="AA8" i="116"/>
  <c r="W8" i="116"/>
  <c r="V8" i="116"/>
  <c r="M8" i="116"/>
  <c r="L8" i="116"/>
  <c r="H8" i="116"/>
  <c r="D8" i="116"/>
  <c r="C8" i="116"/>
  <c r="AL7" i="116"/>
  <c r="AK7" i="116"/>
  <c r="AH7" i="116"/>
  <c r="AC7" i="116"/>
  <c r="X7" i="116"/>
  <c r="N7" i="116"/>
  <c r="I7" i="116"/>
  <c r="E7" i="116"/>
  <c r="AL5" i="116"/>
  <c r="AK5" i="116"/>
  <c r="AH6" i="116"/>
  <c r="AH5" i="116" s="1"/>
  <c r="AC6" i="116"/>
  <c r="AC5" i="116" s="1"/>
  <c r="X6" i="116"/>
  <c r="X5" i="116" s="1"/>
  <c r="N6" i="116"/>
  <c r="I6" i="116"/>
  <c r="I5" i="116" s="1"/>
  <c r="E6" i="116"/>
  <c r="E5" i="116" s="1"/>
  <c r="AG5" i="116"/>
  <c r="AF5" i="116"/>
  <c r="AB5" i="116"/>
  <c r="AB38" i="116" s="1"/>
  <c r="AA5" i="116"/>
  <c r="W5" i="116"/>
  <c r="W38" i="116" s="1"/>
  <c r="V5" i="116"/>
  <c r="N5" i="116"/>
  <c r="M5" i="116"/>
  <c r="L5" i="116"/>
  <c r="H5" i="116"/>
  <c r="H38" i="116" s="1"/>
  <c r="G5" i="116"/>
  <c r="D5" i="116"/>
  <c r="C5" i="116"/>
  <c r="AM64" i="116" l="1"/>
  <c r="AH54" i="116"/>
  <c r="AM19" i="116"/>
  <c r="AC41" i="116"/>
  <c r="AK54" i="116"/>
  <c r="AM28" i="116"/>
  <c r="AM32" i="116"/>
  <c r="AM33" i="116"/>
  <c r="AH41" i="116"/>
  <c r="X54" i="116"/>
  <c r="N41" i="116"/>
  <c r="AM43" i="116"/>
  <c r="AM46" i="116"/>
  <c r="AM47" i="116"/>
  <c r="AM15" i="116"/>
  <c r="AM82" i="116"/>
  <c r="AM20" i="116"/>
  <c r="AM23" i="116"/>
  <c r="AM52" i="116"/>
  <c r="AM56" i="116"/>
  <c r="AM59" i="116"/>
  <c r="AM68" i="116"/>
  <c r="AM60" i="116"/>
  <c r="AK77" i="116"/>
  <c r="AC8" i="116"/>
  <c r="AC38" i="116" s="1"/>
  <c r="AL50" i="116"/>
  <c r="E41" i="116"/>
  <c r="I54" i="116"/>
  <c r="AM57" i="116"/>
  <c r="AM61" i="116"/>
  <c r="AM65" i="116"/>
  <c r="AM69" i="116"/>
  <c r="G38" i="116"/>
  <c r="G75" i="116" s="1"/>
  <c r="AM42" i="116"/>
  <c r="AK41" i="116"/>
  <c r="AH77" i="116"/>
  <c r="X41" i="116"/>
  <c r="D38" i="116"/>
  <c r="D75" i="116" s="1"/>
  <c r="M38" i="116"/>
  <c r="AM27" i="116"/>
  <c r="AM31" i="116"/>
  <c r="AM7" i="116"/>
  <c r="X8" i="116"/>
  <c r="X38" i="116" s="1"/>
  <c r="AM13" i="116"/>
  <c r="AM17" i="116"/>
  <c r="AM24" i="116"/>
  <c r="AM29" i="116"/>
  <c r="I41" i="116"/>
  <c r="AM44" i="116"/>
  <c r="AM48" i="116"/>
  <c r="AM58" i="116"/>
  <c r="AM62" i="116"/>
  <c r="AM66" i="116"/>
  <c r="AM70" i="116"/>
  <c r="AA38" i="116"/>
  <c r="AA39" i="116" s="1"/>
  <c r="AG38" i="116"/>
  <c r="AG75" i="116" s="1"/>
  <c r="AM10" i="116"/>
  <c r="AM14" i="116"/>
  <c r="AM26" i="116"/>
  <c r="AM30" i="116"/>
  <c r="AM36" i="116"/>
  <c r="AM35" i="116" s="1"/>
  <c r="AM45" i="116"/>
  <c r="AM51" i="116"/>
  <c r="AM50" i="116" s="1"/>
  <c r="AM63" i="116"/>
  <c r="AM67" i="116"/>
  <c r="AM71" i="116"/>
  <c r="AM85" i="116"/>
  <c r="AG39" i="116"/>
  <c r="D39" i="116"/>
  <c r="AB75" i="116"/>
  <c r="AB39" i="116"/>
  <c r="N8" i="116"/>
  <c r="N38" i="116" s="1"/>
  <c r="AH8" i="116"/>
  <c r="G81" i="116"/>
  <c r="G83" i="116" s="1"/>
  <c r="G84" i="116" s="1"/>
  <c r="G86" i="116" s="1"/>
  <c r="G87" i="116" s="1"/>
  <c r="G76" i="116"/>
  <c r="H75" i="116"/>
  <c r="H39" i="116"/>
  <c r="W75" i="116"/>
  <c r="W39" i="116"/>
  <c r="M75" i="116"/>
  <c r="M39" i="116"/>
  <c r="E8" i="116"/>
  <c r="AA75" i="116"/>
  <c r="G39" i="116"/>
  <c r="AM6" i="116"/>
  <c r="AM5" i="116" s="1"/>
  <c r="C38" i="116"/>
  <c r="L38" i="116"/>
  <c r="V38" i="116"/>
  <c r="AF38" i="116"/>
  <c r="N54" i="116"/>
  <c r="AM22" i="116"/>
  <c r="E74" i="116"/>
  <c r="E73" i="116" s="1"/>
  <c r="C73" i="116"/>
  <c r="AK18" i="116"/>
  <c r="AM18" i="116" s="1"/>
  <c r="I18" i="116"/>
  <c r="I8" i="116" s="1"/>
  <c r="I38" i="116" s="1"/>
  <c r="AL8" i="116"/>
  <c r="AL38" i="116" s="1"/>
  <c r="AC54" i="116"/>
  <c r="AH35" i="116"/>
  <c r="X50" i="116"/>
  <c r="AL54" i="116"/>
  <c r="AK50" i="116"/>
  <c r="AL77" i="116"/>
  <c r="AM78" i="116"/>
  <c r="AK73" i="116"/>
  <c r="AM41" i="116" l="1"/>
  <c r="AM54" i="116"/>
  <c r="AL75" i="116"/>
  <c r="AL39" i="116"/>
  <c r="I75" i="116"/>
  <c r="I39" i="116"/>
  <c r="AB76" i="116"/>
  <c r="AB81" i="116"/>
  <c r="AB83" i="116" s="1"/>
  <c r="AB84" i="116" s="1"/>
  <c r="AB86" i="116" s="1"/>
  <c r="AB87" i="116" s="1"/>
  <c r="AF75" i="116"/>
  <c r="AF39" i="116"/>
  <c r="W81" i="116"/>
  <c r="W83" i="116" s="1"/>
  <c r="W84" i="116" s="1"/>
  <c r="W86" i="116" s="1"/>
  <c r="W87" i="116" s="1"/>
  <c r="W76" i="116"/>
  <c r="N39" i="116"/>
  <c r="N75" i="116"/>
  <c r="X75" i="116"/>
  <c r="X39" i="116"/>
  <c r="M81" i="116"/>
  <c r="M83" i="116" s="1"/>
  <c r="M84" i="116" s="1"/>
  <c r="M86" i="116" s="1"/>
  <c r="M87" i="116" s="1"/>
  <c r="M76" i="116"/>
  <c r="AH89" i="116"/>
  <c r="AI8" i="116" s="1"/>
  <c r="D81" i="116"/>
  <c r="D83" i="116" s="1"/>
  <c r="D84" i="116" s="1"/>
  <c r="D86" i="116" s="1"/>
  <c r="D87" i="116" s="1"/>
  <c r="D76" i="116"/>
  <c r="L75" i="116"/>
  <c r="L39" i="116"/>
  <c r="E89" i="116"/>
  <c r="F8" i="116" s="1"/>
  <c r="AA81" i="116"/>
  <c r="AA83" i="116" s="1"/>
  <c r="AA84" i="116" s="1"/>
  <c r="AA86" i="116" s="1"/>
  <c r="AA87" i="116" s="1"/>
  <c r="AA76" i="116"/>
  <c r="C75" i="116"/>
  <c r="C39" i="116"/>
  <c r="H76" i="116"/>
  <c r="H81" i="116"/>
  <c r="H83" i="116" s="1"/>
  <c r="H84" i="116" s="1"/>
  <c r="H86" i="116" s="1"/>
  <c r="H87" i="116" s="1"/>
  <c r="AH38" i="116"/>
  <c r="AG81" i="116"/>
  <c r="AG83" i="116" s="1"/>
  <c r="AG84" i="116" s="1"/>
  <c r="AG86" i="116" s="1"/>
  <c r="AG87" i="116" s="1"/>
  <c r="AG76" i="116"/>
  <c r="V75" i="116"/>
  <c r="V39" i="116"/>
  <c r="AM8" i="116"/>
  <c r="AM38" i="116" s="1"/>
  <c r="AI35" i="116"/>
  <c r="AC75" i="116"/>
  <c r="AC39" i="116"/>
  <c r="AK8" i="116"/>
  <c r="AK38" i="116" s="1"/>
  <c r="E38" i="116"/>
  <c r="F73" i="116" l="1"/>
  <c r="AM75" i="116"/>
  <c r="AM39" i="116"/>
  <c r="E75" i="116"/>
  <c r="E39" i="116"/>
  <c r="C76" i="116"/>
  <c r="C81" i="116"/>
  <c r="C83" i="116" s="1"/>
  <c r="C84" i="116" s="1"/>
  <c r="C86" i="116" s="1"/>
  <c r="C87" i="116" s="1"/>
  <c r="X76" i="116"/>
  <c r="AC76" i="116"/>
  <c r="AI73" i="116"/>
  <c r="AI71" i="116"/>
  <c r="AI70" i="116"/>
  <c r="AI69" i="116"/>
  <c r="AI68" i="116"/>
  <c r="AI67" i="116"/>
  <c r="AI66" i="116"/>
  <c r="AI65" i="116"/>
  <c r="AI64" i="116"/>
  <c r="AI63" i="116"/>
  <c r="AI62" i="116"/>
  <c r="AI61" i="116"/>
  <c r="AI60" i="116"/>
  <c r="AI59" i="116"/>
  <c r="AI58" i="116"/>
  <c r="AI57" i="116"/>
  <c r="AI56" i="116"/>
  <c r="AI55" i="116"/>
  <c r="AI74" i="116"/>
  <c r="AI19" i="116"/>
  <c r="AI17" i="116"/>
  <c r="AI15" i="116"/>
  <c r="AI13" i="116"/>
  <c r="AI11" i="116"/>
  <c r="AI52" i="116"/>
  <c r="AI51" i="116"/>
  <c r="AI48" i="116"/>
  <c r="AI47" i="116"/>
  <c r="AI46" i="116"/>
  <c r="AI45" i="116"/>
  <c r="AI44" i="116"/>
  <c r="AI43" i="116"/>
  <c r="AI42" i="116"/>
  <c r="AI41" i="116"/>
  <c r="AI18" i="116"/>
  <c r="AI12" i="116"/>
  <c r="AI16" i="116"/>
  <c r="AI14" i="116"/>
  <c r="AI10" i="116"/>
  <c r="AI79" i="116"/>
  <c r="AI28" i="116"/>
  <c r="AI22" i="116"/>
  <c r="AI23" i="116"/>
  <c r="AI29" i="116"/>
  <c r="AI36" i="116"/>
  <c r="AI32" i="116"/>
  <c r="AI27" i="116"/>
  <c r="AI50" i="116"/>
  <c r="AI20" i="116"/>
  <c r="AI24" i="116"/>
  <c r="AI25" i="116"/>
  <c r="AI30" i="116"/>
  <c r="AI31" i="116"/>
  <c r="AI54" i="116"/>
  <c r="AI26" i="116"/>
  <c r="AI21" i="116"/>
  <c r="AI33" i="116"/>
  <c r="AI9" i="116"/>
  <c r="I76" i="116"/>
  <c r="L76" i="116"/>
  <c r="L81" i="116"/>
  <c r="L83" i="116" s="1"/>
  <c r="L84" i="116" s="1"/>
  <c r="L86" i="116" s="1"/>
  <c r="L87" i="116" s="1"/>
  <c r="AK75" i="116"/>
  <c r="AK39" i="116"/>
  <c r="F72" i="116"/>
  <c r="F71" i="116"/>
  <c r="F70" i="116"/>
  <c r="F69" i="116"/>
  <c r="F68" i="116"/>
  <c r="F67" i="116"/>
  <c r="F66" i="116"/>
  <c r="F65" i="116"/>
  <c r="F64" i="116"/>
  <c r="F63" i="116"/>
  <c r="F62" i="116"/>
  <c r="F61" i="116"/>
  <c r="F60" i="116"/>
  <c r="F59" i="116"/>
  <c r="F58" i="116"/>
  <c r="F57" i="116"/>
  <c r="F56" i="116"/>
  <c r="F85" i="116"/>
  <c r="F35" i="116"/>
  <c r="F20" i="116"/>
  <c r="F9" i="116"/>
  <c r="F52" i="116"/>
  <c r="F51" i="116"/>
  <c r="F27" i="116"/>
  <c r="F12" i="116"/>
  <c r="F36" i="116"/>
  <c r="F29" i="116"/>
  <c r="F25" i="116"/>
  <c r="F50" i="116"/>
  <c r="F82" i="116"/>
  <c r="F42" i="116"/>
  <c r="F30" i="116"/>
  <c r="F54" i="116"/>
  <c r="F55" i="116"/>
  <c r="F44" i="116"/>
  <c r="F15" i="116"/>
  <c r="F46" i="116"/>
  <c r="F10" i="116"/>
  <c r="F33" i="116"/>
  <c r="F18" i="116"/>
  <c r="F48" i="116"/>
  <c r="F28" i="116"/>
  <c r="F32" i="116"/>
  <c r="F79" i="116"/>
  <c r="F45" i="116"/>
  <c r="F11" i="116"/>
  <c r="F24" i="116"/>
  <c r="F19" i="116"/>
  <c r="F31" i="116"/>
  <c r="F14" i="116"/>
  <c r="F13" i="116"/>
  <c r="F26" i="116"/>
  <c r="F47" i="116"/>
  <c r="F21" i="116"/>
  <c r="F17" i="116"/>
  <c r="F16" i="116"/>
  <c r="F41" i="116"/>
  <c r="F43" i="116"/>
  <c r="N76" i="116"/>
  <c r="AF76" i="116"/>
  <c r="AF81" i="116"/>
  <c r="AF83" i="116" s="1"/>
  <c r="AF84" i="116" s="1"/>
  <c r="AF86" i="116" s="1"/>
  <c r="AF87" i="116" s="1"/>
  <c r="V76" i="116"/>
  <c r="V81" i="116"/>
  <c r="V83" i="116" s="1"/>
  <c r="V84" i="116" s="1"/>
  <c r="V86" i="116" s="1"/>
  <c r="V87" i="116" s="1"/>
  <c r="AH75" i="116"/>
  <c r="AH39" i="116"/>
  <c r="AL76" i="116"/>
  <c r="AL81" i="116"/>
  <c r="AL83" i="116" s="1"/>
  <c r="AL84" i="116" s="1"/>
  <c r="AL86" i="116" s="1"/>
  <c r="AL87" i="116" s="1"/>
  <c r="AH81" i="116" l="1"/>
  <c r="AH83" i="116" s="1"/>
  <c r="AH84" i="116" s="1"/>
  <c r="AH86" i="116" s="1"/>
  <c r="AH87" i="116" s="1"/>
  <c r="AH76" i="116"/>
  <c r="E81" i="116"/>
  <c r="E83" i="116" s="1"/>
  <c r="E84" i="116" s="1"/>
  <c r="E86" i="116" s="1"/>
  <c r="E87" i="116" s="1"/>
  <c r="E76" i="116"/>
  <c r="AK81" i="116"/>
  <c r="AK83" i="116" s="1"/>
  <c r="AK84" i="116" s="1"/>
  <c r="AK86" i="116" s="1"/>
  <c r="AK87" i="116" s="1"/>
  <c r="AK76" i="116"/>
  <c r="AM76" i="116"/>
  <c r="M15" i="101" l="1"/>
  <c r="CG79" i="82" s="1"/>
  <c r="M16" i="101"/>
  <c r="CJ79" i="82" s="1"/>
  <c r="M17" i="101"/>
  <c r="CO79" i="82" s="1"/>
  <c r="I15" i="101"/>
  <c r="I16" i="101"/>
  <c r="I17" i="101"/>
  <c r="E15" i="101"/>
  <c r="E16" i="101"/>
  <c r="E17" i="101"/>
  <c r="CQ79" i="82" l="1"/>
  <c r="CO77" i="82"/>
  <c r="CO81" i="82"/>
  <c r="CO83" i="82" s="1"/>
  <c r="CO84" i="82" s="1"/>
  <c r="CO86" i="82" s="1"/>
  <c r="CO87" i="82" s="1"/>
  <c r="CL79" i="82"/>
  <c r="CJ77" i="82"/>
  <c r="CJ81" i="82"/>
  <c r="CJ83" i="82" s="1"/>
  <c r="CJ84" i="82" s="1"/>
  <c r="CJ86" i="82" s="1"/>
  <c r="CJ87" i="82" s="1"/>
  <c r="CE79" i="82"/>
  <c r="CG77" i="82"/>
  <c r="CG89" i="82"/>
  <c r="CG91" i="82" s="1"/>
  <c r="CG81" i="82"/>
  <c r="CG83" i="82" s="1"/>
  <c r="CG84" i="82" s="1"/>
  <c r="CG86" i="82" s="1"/>
  <c r="X79" i="116"/>
  <c r="AN79" i="114"/>
  <c r="AS79" i="114"/>
  <c r="S79" i="136"/>
  <c r="S79" i="116"/>
  <c r="AI79" i="114"/>
  <c r="I79" i="136"/>
  <c r="N79" i="116"/>
  <c r="I79" i="116"/>
  <c r="CG93" i="82" l="1"/>
  <c r="CE77" i="82"/>
  <c r="CE81" i="82"/>
  <c r="CE83" i="82" s="1"/>
  <c r="CE84" i="82" s="1"/>
  <c r="CE86" i="82" s="1"/>
  <c r="CE87" i="82" s="1"/>
  <c r="CL77" i="82"/>
  <c r="CL89" i="82"/>
  <c r="CL91" i="82" s="1"/>
  <c r="CL81" i="82"/>
  <c r="CL83" i="82" s="1"/>
  <c r="CL84" i="82" s="1"/>
  <c r="CL86" i="82" s="1"/>
  <c r="CL87" i="82" s="1"/>
  <c r="CG87" i="82"/>
  <c r="CQ77" i="82"/>
  <c r="CQ89" i="82"/>
  <c r="CQ91" i="82" s="1"/>
  <c r="CQ81" i="82"/>
  <c r="CQ83" i="82" s="1"/>
  <c r="CQ84" i="82" s="1"/>
  <c r="CQ86" i="82" s="1"/>
  <c r="CQ87" i="82" s="1"/>
  <c r="S77" i="136"/>
  <c r="S89" i="136"/>
  <c r="T79" i="136" s="1"/>
  <c r="S81" i="136"/>
  <c r="S83" i="136" s="1"/>
  <c r="S84" i="136" s="1"/>
  <c r="S86" i="136" s="1"/>
  <c r="S87" i="136" s="1"/>
  <c r="AS89" i="114"/>
  <c r="AS77" i="114"/>
  <c r="AS81" i="114"/>
  <c r="AS83" i="114" s="1"/>
  <c r="AS84" i="114" s="1"/>
  <c r="AS86" i="114" s="1"/>
  <c r="AS87" i="114" s="1"/>
  <c r="AN89" i="114"/>
  <c r="AN77" i="114"/>
  <c r="AN81" i="114"/>
  <c r="AN83" i="114" s="1"/>
  <c r="AN84" i="114" s="1"/>
  <c r="AN86" i="114" s="1"/>
  <c r="AN87" i="114" s="1"/>
  <c r="X77" i="116"/>
  <c r="X89" i="116"/>
  <c r="X81" i="116"/>
  <c r="X83" i="116" s="1"/>
  <c r="X84" i="116" s="1"/>
  <c r="X86" i="116" s="1"/>
  <c r="X87" i="116" s="1"/>
  <c r="AI77" i="114"/>
  <c r="AI89" i="114"/>
  <c r="AI81" i="114"/>
  <c r="AI83" i="114" s="1"/>
  <c r="AI84" i="114" s="1"/>
  <c r="AI86" i="114" s="1"/>
  <c r="AI87" i="114" s="1"/>
  <c r="AH79" i="136"/>
  <c r="I77" i="136"/>
  <c r="I89" i="136"/>
  <c r="J79" i="136" s="1"/>
  <c r="I81" i="136"/>
  <c r="I83" i="136" s="1"/>
  <c r="I84" i="136" s="1"/>
  <c r="I86" i="136" s="1"/>
  <c r="I87" i="136" s="1"/>
  <c r="S89" i="116"/>
  <c r="S77" i="116"/>
  <c r="S81" i="116"/>
  <c r="S83" i="116" s="1"/>
  <c r="S84" i="116" s="1"/>
  <c r="S86" i="116" s="1"/>
  <c r="S87" i="116" s="1"/>
  <c r="N77" i="116"/>
  <c r="N89" i="116"/>
  <c r="O79" i="116" s="1"/>
  <c r="N81" i="116"/>
  <c r="N83" i="116" s="1"/>
  <c r="N84" i="116" s="1"/>
  <c r="N86" i="116" s="1"/>
  <c r="N87" i="116" s="1"/>
  <c r="I77" i="116"/>
  <c r="I89" i="116"/>
  <c r="I81" i="116"/>
  <c r="I83" i="116" s="1"/>
  <c r="I84" i="116" s="1"/>
  <c r="I86" i="116" s="1"/>
  <c r="I87" i="116" s="1"/>
  <c r="BS37" i="114" l="1"/>
  <c r="BS78" i="114"/>
  <c r="BN37" i="114"/>
  <c r="BN78" i="114"/>
  <c r="BD78" i="114"/>
  <c r="BI37" i="114"/>
  <c r="BI78" i="114"/>
  <c r="Y79" i="116"/>
  <c r="X93" i="116"/>
  <c r="T77" i="136"/>
  <c r="AT77" i="114"/>
  <c r="AJ50" i="114"/>
  <c r="AJ8" i="114"/>
  <c r="AJ64" i="114"/>
  <c r="AJ66" i="114"/>
  <c r="AJ78" i="114"/>
  <c r="AJ69" i="114"/>
  <c r="AJ48" i="114"/>
  <c r="AJ17" i="114"/>
  <c r="AJ28" i="114"/>
  <c r="AJ19" i="114"/>
  <c r="AJ22" i="114"/>
  <c r="AJ33" i="114"/>
  <c r="AJ62" i="114"/>
  <c r="AJ68" i="114"/>
  <c r="AJ56" i="114"/>
  <c r="AJ41" i="114"/>
  <c r="AJ60" i="114"/>
  <c r="AJ9" i="114"/>
  <c r="AJ29" i="114"/>
  <c r="AJ23" i="114"/>
  <c r="AJ18" i="114"/>
  <c r="AJ70" i="114"/>
  <c r="AJ36" i="114"/>
  <c r="AJ58" i="114"/>
  <c r="AJ46" i="114"/>
  <c r="AJ13" i="114"/>
  <c r="AJ16" i="114"/>
  <c r="AJ20" i="114"/>
  <c r="AJ44" i="114"/>
  <c r="AJ73" i="114"/>
  <c r="AJ25" i="114"/>
  <c r="AJ74" i="114"/>
  <c r="AJ71" i="114"/>
  <c r="AJ11" i="114"/>
  <c r="AJ31" i="114"/>
  <c r="AJ14" i="114"/>
  <c r="AJ65" i="114"/>
  <c r="AJ57" i="114"/>
  <c r="AJ30" i="114"/>
  <c r="AJ10" i="114"/>
  <c r="AJ52" i="114"/>
  <c r="AJ47" i="114"/>
  <c r="AJ45" i="114"/>
  <c r="AJ24" i="114"/>
  <c r="AJ21" i="114"/>
  <c r="AJ67" i="114"/>
  <c r="AJ54" i="114"/>
  <c r="AJ35" i="114"/>
  <c r="AJ61" i="114"/>
  <c r="AJ32" i="114"/>
  <c r="AJ43" i="114"/>
  <c r="AJ63" i="114"/>
  <c r="AJ26" i="114"/>
  <c r="AJ51" i="114"/>
  <c r="AJ27" i="114"/>
  <c r="AJ12" i="114"/>
  <c r="AJ59" i="114"/>
  <c r="AJ15" i="114"/>
  <c r="AJ55" i="114"/>
  <c r="AJ42" i="114"/>
  <c r="AH77" i="136"/>
  <c r="AH89" i="136"/>
  <c r="AH81" i="136"/>
  <c r="AH83" i="136" s="1"/>
  <c r="AH84" i="136" s="1"/>
  <c r="AH86" i="136" s="1"/>
  <c r="AJ77" i="114"/>
  <c r="AO77" i="114"/>
  <c r="T74" i="136"/>
  <c r="T24" i="136"/>
  <c r="T48" i="136"/>
  <c r="T15" i="136"/>
  <c r="T29" i="136"/>
  <c r="T25" i="136"/>
  <c r="T73" i="136"/>
  <c r="T62" i="136"/>
  <c r="T68" i="136"/>
  <c r="T50" i="136"/>
  <c r="T43" i="136"/>
  <c r="T19" i="136"/>
  <c r="T60" i="136"/>
  <c r="T63" i="136"/>
  <c r="T9" i="136"/>
  <c r="T70" i="136"/>
  <c r="T56" i="136"/>
  <c r="T55" i="136"/>
  <c r="T64" i="136"/>
  <c r="T54" i="136"/>
  <c r="T31" i="136"/>
  <c r="T27" i="136"/>
  <c r="T16" i="136"/>
  <c r="T45" i="136"/>
  <c r="T23" i="136"/>
  <c r="T46" i="136"/>
  <c r="T57" i="136"/>
  <c r="T44" i="136"/>
  <c r="T13" i="136"/>
  <c r="T12" i="136"/>
  <c r="T66" i="136"/>
  <c r="T42" i="136"/>
  <c r="T17" i="136"/>
  <c r="T65" i="136"/>
  <c r="T52" i="136"/>
  <c r="T67" i="136"/>
  <c r="T18" i="136"/>
  <c r="T47" i="136"/>
  <c r="T26" i="136"/>
  <c r="T28" i="136"/>
  <c r="T14" i="136"/>
  <c r="T22" i="136"/>
  <c r="T32" i="136"/>
  <c r="T8" i="136"/>
  <c r="T35" i="136"/>
  <c r="T33" i="136"/>
  <c r="T58" i="136"/>
  <c r="T20" i="136"/>
  <c r="T36" i="136"/>
  <c r="T11" i="136"/>
  <c r="T21" i="136"/>
  <c r="T10" i="136"/>
  <c r="T30" i="136"/>
  <c r="T51" i="136"/>
  <c r="T71" i="136"/>
  <c r="T59" i="136"/>
  <c r="T61" i="136"/>
  <c r="T69" i="136"/>
  <c r="T41" i="136"/>
  <c r="AO79" i="114"/>
  <c r="AO26" i="114"/>
  <c r="AO74" i="114"/>
  <c r="AO69" i="114"/>
  <c r="AO70" i="114"/>
  <c r="AO46" i="114"/>
  <c r="AO16" i="114"/>
  <c r="AO9" i="114"/>
  <c r="AO42" i="114"/>
  <c r="AO12" i="114"/>
  <c r="AO20" i="114"/>
  <c r="AO52" i="114"/>
  <c r="AO43" i="114"/>
  <c r="AO71" i="114"/>
  <c r="AO67" i="114"/>
  <c r="AO48" i="114"/>
  <c r="AO78" i="114"/>
  <c r="AO57" i="114"/>
  <c r="AO25" i="114"/>
  <c r="AO28" i="114"/>
  <c r="AO19" i="114"/>
  <c r="AO23" i="114"/>
  <c r="AO50" i="114"/>
  <c r="AO18" i="114"/>
  <c r="AO65" i="114"/>
  <c r="AO58" i="114"/>
  <c r="AO61" i="114"/>
  <c r="AO55" i="114"/>
  <c r="AO17" i="114"/>
  <c r="AO32" i="114"/>
  <c r="AO73" i="114"/>
  <c r="AO35" i="114"/>
  <c r="AO15" i="114"/>
  <c r="AO22" i="114"/>
  <c r="AO62" i="114"/>
  <c r="AO56" i="114"/>
  <c r="AO54" i="114"/>
  <c r="AO24" i="114"/>
  <c r="AO66" i="114"/>
  <c r="AO45" i="114"/>
  <c r="AO41" i="114"/>
  <c r="AO33" i="114"/>
  <c r="AO11" i="114"/>
  <c r="AO10" i="114"/>
  <c r="AO8" i="114"/>
  <c r="AO21" i="114"/>
  <c r="AO44" i="114"/>
  <c r="AO36" i="114"/>
  <c r="AO63" i="114"/>
  <c r="AO13" i="114"/>
  <c r="AT78" i="114"/>
  <c r="AO47" i="114"/>
  <c r="AO31" i="114"/>
  <c r="AO68" i="114"/>
  <c r="AO59" i="114"/>
  <c r="AO29" i="114"/>
  <c r="AO14" i="114"/>
  <c r="AY78" i="114"/>
  <c r="AO64" i="114"/>
  <c r="AO27" i="114"/>
  <c r="AO30" i="114"/>
  <c r="AO60" i="114"/>
  <c r="AO51" i="114"/>
  <c r="Y59" i="116"/>
  <c r="Y70" i="116"/>
  <c r="Y56" i="116"/>
  <c r="Y33" i="116"/>
  <c r="Y8" i="116"/>
  <c r="Y20" i="116"/>
  <c r="Y45" i="116"/>
  <c r="Y13" i="116"/>
  <c r="Y18" i="116"/>
  <c r="Y46" i="116"/>
  <c r="Y74" i="116"/>
  <c r="Y67" i="116"/>
  <c r="Y30" i="116"/>
  <c r="Y17" i="116"/>
  <c r="Y25" i="116"/>
  <c r="Y50" i="116"/>
  <c r="Y68" i="116"/>
  <c r="Y62" i="116"/>
  <c r="Y48" i="116"/>
  <c r="Y63" i="116"/>
  <c r="Y60" i="116"/>
  <c r="Y29" i="116"/>
  <c r="Y42" i="116"/>
  <c r="Y10" i="116"/>
  <c r="Y47" i="116"/>
  <c r="Y69" i="116"/>
  <c r="Y71" i="116"/>
  <c r="Y64" i="116"/>
  <c r="Y31" i="116"/>
  <c r="Y27" i="116"/>
  <c r="Y41" i="116"/>
  <c r="Y43" i="116"/>
  <c r="Y44" i="116"/>
  <c r="Y15" i="116"/>
  <c r="Y36" i="116"/>
  <c r="Y14" i="116"/>
  <c r="Y61" i="116"/>
  <c r="Y73" i="116"/>
  <c r="Y58" i="116"/>
  <c r="Y26" i="116"/>
  <c r="Y24" i="116"/>
  <c r="Y16" i="116"/>
  <c r="Y52" i="116"/>
  <c r="Y23" i="116"/>
  <c r="Y19" i="116"/>
  <c r="Y22" i="116"/>
  <c r="Y57" i="116"/>
  <c r="Y54" i="116"/>
  <c r="Y21" i="116"/>
  <c r="Y11" i="116"/>
  <c r="Y35" i="116"/>
  <c r="Y66" i="116"/>
  <c r="Y32" i="116"/>
  <c r="Y55" i="116"/>
  <c r="Y12" i="116"/>
  <c r="Y65" i="116"/>
  <c r="Y28" i="116"/>
  <c r="Y51" i="116"/>
  <c r="Y9" i="116"/>
  <c r="AT79" i="114"/>
  <c r="AT63" i="114"/>
  <c r="AT55" i="114"/>
  <c r="AT56" i="114"/>
  <c r="AT54" i="114"/>
  <c r="AT68" i="114"/>
  <c r="AT18" i="114"/>
  <c r="AT46" i="114"/>
  <c r="AT36" i="114"/>
  <c r="AT10" i="114"/>
  <c r="AT50" i="114"/>
  <c r="AT8" i="114"/>
  <c r="AT33" i="114"/>
  <c r="AT65" i="114"/>
  <c r="AT45" i="114"/>
  <c r="AT61" i="114"/>
  <c r="AT19" i="114"/>
  <c r="AT52" i="114"/>
  <c r="AT12" i="114"/>
  <c r="AT17" i="114"/>
  <c r="AT25" i="114"/>
  <c r="AT69" i="114"/>
  <c r="AT59" i="114"/>
  <c r="AT60" i="114"/>
  <c r="AT64" i="114"/>
  <c r="AT30" i="114"/>
  <c r="AT9" i="114"/>
  <c r="AT35" i="114"/>
  <c r="AT24" i="114"/>
  <c r="AT73" i="114"/>
  <c r="AT31" i="114"/>
  <c r="AT42" i="114"/>
  <c r="AT48" i="114"/>
  <c r="AT51" i="114"/>
  <c r="AT28" i="114"/>
  <c r="AT13" i="114"/>
  <c r="AT41" i="114"/>
  <c r="AT57" i="114"/>
  <c r="AT47" i="114"/>
  <c r="AT16" i="114"/>
  <c r="AT26" i="114"/>
  <c r="AT32" i="114"/>
  <c r="AT74" i="114"/>
  <c r="AT22" i="114"/>
  <c r="AT15" i="114"/>
  <c r="AT14" i="114"/>
  <c r="AT67" i="114"/>
  <c r="AT11" i="114"/>
  <c r="AT58" i="114"/>
  <c r="AT44" i="114"/>
  <c r="AT62" i="114"/>
  <c r="AT21" i="114"/>
  <c r="AT20" i="114"/>
  <c r="AT23" i="114"/>
  <c r="AT71" i="114"/>
  <c r="AT29" i="114"/>
  <c r="AT70" i="114"/>
  <c r="AT43" i="114"/>
  <c r="AT66" i="114"/>
  <c r="AT27" i="114"/>
  <c r="J37" i="136"/>
  <c r="J22" i="136"/>
  <c r="J12" i="136"/>
  <c r="J51" i="136"/>
  <c r="J16" i="136"/>
  <c r="J63" i="136"/>
  <c r="J56" i="136"/>
  <c r="J8" i="136"/>
  <c r="J66" i="136"/>
  <c r="J15" i="136"/>
  <c r="J14" i="136"/>
  <c r="J43" i="136"/>
  <c r="J35" i="136"/>
  <c r="J45" i="136"/>
  <c r="J33" i="136"/>
  <c r="J24" i="136"/>
  <c r="J46" i="136"/>
  <c r="J57" i="136"/>
  <c r="J78" i="136"/>
  <c r="J55" i="136"/>
  <c r="J70" i="136"/>
  <c r="J32" i="136"/>
  <c r="J67" i="136"/>
  <c r="J9" i="136"/>
  <c r="J48" i="136"/>
  <c r="J18" i="136"/>
  <c r="J69" i="136"/>
  <c r="J59" i="136"/>
  <c r="J64" i="136"/>
  <c r="J34" i="136"/>
  <c r="J42" i="136"/>
  <c r="J60" i="136"/>
  <c r="J61" i="136"/>
  <c r="J30" i="136"/>
  <c r="J11" i="136"/>
  <c r="J36" i="136"/>
  <c r="J41" i="136"/>
  <c r="J47" i="136"/>
  <c r="J26" i="136"/>
  <c r="J17" i="136"/>
  <c r="J20" i="136"/>
  <c r="J10" i="136"/>
  <c r="J21" i="136"/>
  <c r="J52" i="136"/>
  <c r="J29" i="136"/>
  <c r="J13" i="136"/>
  <c r="J31" i="136"/>
  <c r="J44" i="136"/>
  <c r="J25" i="136"/>
  <c r="J50" i="136"/>
  <c r="J74" i="136"/>
  <c r="J19" i="136"/>
  <c r="J68" i="136"/>
  <c r="J58" i="136"/>
  <c r="J62" i="136"/>
  <c r="J28" i="136"/>
  <c r="J54" i="136"/>
  <c r="J27" i="136"/>
  <c r="J23" i="136"/>
  <c r="J71" i="136"/>
  <c r="J65" i="136"/>
  <c r="T77" i="116"/>
  <c r="T25" i="116"/>
  <c r="T30" i="116"/>
  <c r="T20" i="116"/>
  <c r="T59" i="116"/>
  <c r="T35" i="116"/>
  <c r="T23" i="116"/>
  <c r="T73" i="116"/>
  <c r="T67" i="116"/>
  <c r="T47" i="116"/>
  <c r="T54" i="116"/>
  <c r="T29" i="116"/>
  <c r="T43" i="116"/>
  <c r="T44" i="116"/>
  <c r="T33" i="116"/>
  <c r="T61" i="116"/>
  <c r="T36" i="116"/>
  <c r="T52" i="116"/>
  <c r="T57" i="116"/>
  <c r="T16" i="116"/>
  <c r="T63" i="116"/>
  <c r="T22" i="116"/>
  <c r="T56" i="116"/>
  <c r="T55" i="116"/>
  <c r="T8" i="116"/>
  <c r="T71" i="116"/>
  <c r="T32" i="116"/>
  <c r="T28" i="116"/>
  <c r="T11" i="116"/>
  <c r="T68" i="116"/>
  <c r="T26" i="116"/>
  <c r="T13" i="116"/>
  <c r="T51" i="116"/>
  <c r="T19" i="116"/>
  <c r="T60" i="116"/>
  <c r="T65" i="116"/>
  <c r="T9" i="116"/>
  <c r="T18" i="116"/>
  <c r="T45" i="116"/>
  <c r="T15" i="116"/>
  <c r="T58" i="116"/>
  <c r="T69" i="116"/>
  <c r="T62" i="116"/>
  <c r="T70" i="116"/>
  <c r="T12" i="116"/>
  <c r="T46" i="116"/>
  <c r="T42" i="116"/>
  <c r="T24" i="116"/>
  <c r="T17" i="116"/>
  <c r="T27" i="116"/>
  <c r="T66" i="116"/>
  <c r="T50" i="116"/>
  <c r="T74" i="116"/>
  <c r="T14" i="116"/>
  <c r="T48" i="116"/>
  <c r="T41" i="116"/>
  <c r="T64" i="116"/>
  <c r="T21" i="116"/>
  <c r="T10" i="116"/>
  <c r="T31" i="116"/>
  <c r="T79" i="116"/>
  <c r="O54" i="116"/>
  <c r="O74" i="116"/>
  <c r="O65" i="116"/>
  <c r="O15" i="116"/>
  <c r="O16" i="116"/>
  <c r="O20" i="116"/>
  <c r="O24" i="116"/>
  <c r="O59" i="116"/>
  <c r="O36" i="116"/>
  <c r="O43" i="116"/>
  <c r="O27" i="116"/>
  <c r="O60" i="116"/>
  <c r="O63" i="116"/>
  <c r="O50" i="116"/>
  <c r="O35" i="116"/>
  <c r="O23" i="116"/>
  <c r="O73" i="116"/>
  <c r="O70" i="116"/>
  <c r="O13" i="116"/>
  <c r="O14" i="116"/>
  <c r="O9" i="116"/>
  <c r="O42" i="116"/>
  <c r="O61" i="116"/>
  <c r="O46" i="116"/>
  <c r="O64" i="116"/>
  <c r="O52" i="116"/>
  <c r="O33" i="116"/>
  <c r="O41" i="116"/>
  <c r="O30" i="116"/>
  <c r="O19" i="116"/>
  <c r="O67" i="116"/>
  <c r="O12" i="116"/>
  <c r="O48" i="116"/>
  <c r="O22" i="116"/>
  <c r="O29" i="116"/>
  <c r="O51" i="116"/>
  <c r="O25" i="116"/>
  <c r="O17" i="116"/>
  <c r="O31" i="116"/>
  <c r="O62" i="116"/>
  <c r="O10" i="116"/>
  <c r="O66" i="116"/>
  <c r="O45" i="116"/>
  <c r="O26" i="116"/>
  <c r="O21" i="116"/>
  <c r="O55" i="116"/>
  <c r="O28" i="116"/>
  <c r="O57" i="116"/>
  <c r="O8" i="116"/>
  <c r="O69" i="116"/>
  <c r="O47" i="116"/>
  <c r="O58" i="116"/>
  <c r="O71" i="116"/>
  <c r="O18" i="116"/>
  <c r="O44" i="116"/>
  <c r="O68" i="116"/>
  <c r="O56" i="116"/>
  <c r="O32" i="116"/>
  <c r="O11" i="116"/>
  <c r="J8" i="116"/>
  <c r="J63" i="116"/>
  <c r="J71" i="116"/>
  <c r="J70" i="116"/>
  <c r="J49" i="116"/>
  <c r="J23" i="116"/>
  <c r="J21" i="116"/>
  <c r="J47" i="116"/>
  <c r="J33" i="116"/>
  <c r="J51" i="116"/>
  <c r="J42" i="116"/>
  <c r="J17" i="116"/>
  <c r="J55" i="116"/>
  <c r="J11" i="116"/>
  <c r="J18" i="116"/>
  <c r="J72" i="116"/>
  <c r="J61" i="116"/>
  <c r="J68" i="116"/>
  <c r="J62" i="116"/>
  <c r="J64" i="116"/>
  <c r="J19" i="116"/>
  <c r="J36" i="116"/>
  <c r="J41" i="116"/>
  <c r="J22" i="116"/>
  <c r="J10" i="116"/>
  <c r="J45" i="116"/>
  <c r="J24" i="116"/>
  <c r="J46" i="116"/>
  <c r="J31" i="116"/>
  <c r="J66" i="116"/>
  <c r="J56" i="116"/>
  <c r="J67" i="116"/>
  <c r="J43" i="116"/>
  <c r="J20" i="116"/>
  <c r="J28" i="116"/>
  <c r="J48" i="116"/>
  <c r="J59" i="116"/>
  <c r="J30" i="116"/>
  <c r="J13" i="116"/>
  <c r="J29" i="116"/>
  <c r="J54" i="116"/>
  <c r="J25" i="116"/>
  <c r="J52" i="116"/>
  <c r="J69" i="116"/>
  <c r="J14" i="116"/>
  <c r="J15" i="116"/>
  <c r="J58" i="116"/>
  <c r="J16" i="116"/>
  <c r="J32" i="116"/>
  <c r="J57" i="116"/>
  <c r="J9" i="116"/>
  <c r="J44" i="116"/>
  <c r="J27" i="116"/>
  <c r="J65" i="116"/>
  <c r="J60" i="116"/>
  <c r="J26" i="116"/>
  <c r="J12" i="116"/>
  <c r="AM93" i="134" l="1"/>
  <c r="AM99" i="134" s="1"/>
  <c r="AH93" i="136"/>
  <c r="AH87" i="136"/>
  <c r="AH102" i="136"/>
  <c r="AI8" i="136"/>
  <c r="AI41" i="136"/>
  <c r="AI30" i="136"/>
  <c r="AI64" i="136"/>
  <c r="AI58" i="136"/>
  <c r="AI69" i="136"/>
  <c r="AI71" i="136"/>
  <c r="AI48" i="136"/>
  <c r="AI65" i="136"/>
  <c r="AI57" i="136"/>
  <c r="AI29" i="136"/>
  <c r="AI15" i="136"/>
  <c r="AI66" i="136"/>
  <c r="AI59" i="136"/>
  <c r="AI36" i="136"/>
  <c r="AI35" i="136" s="1"/>
  <c r="AI10" i="136"/>
  <c r="AI67" i="136"/>
  <c r="AI42" i="136"/>
  <c r="AI49" i="136"/>
  <c r="AI33" i="136"/>
  <c r="AI14" i="136"/>
  <c r="AI18" i="136"/>
  <c r="AI27" i="136"/>
  <c r="AI31" i="136"/>
  <c r="AI11" i="136"/>
  <c r="AI25" i="136"/>
  <c r="AI16" i="136"/>
  <c r="AI45" i="136"/>
  <c r="AI55" i="136"/>
  <c r="AI61" i="136"/>
  <c r="AI62" i="136"/>
  <c r="AI32" i="136"/>
  <c r="AI74" i="136"/>
  <c r="AI9" i="136"/>
  <c r="AI72" i="136"/>
  <c r="AI17" i="136"/>
  <c r="AI23" i="136"/>
  <c r="AI44" i="136"/>
  <c r="AI51" i="136"/>
  <c r="AI46" i="136"/>
  <c r="AI56" i="136"/>
  <c r="AI60" i="136"/>
  <c r="AI70" i="136"/>
  <c r="AI24" i="136"/>
  <c r="AI43" i="136"/>
  <c r="AI47" i="136"/>
  <c r="AI54" i="136"/>
  <c r="AI52" i="136"/>
  <c r="AI21" i="136"/>
  <c r="AI28" i="136"/>
  <c r="AI20" i="136"/>
  <c r="AI63" i="136"/>
  <c r="AI12" i="136"/>
  <c r="AI19" i="136"/>
  <c r="AI13" i="136"/>
  <c r="AI68" i="136"/>
  <c r="AI22" i="136"/>
  <c r="AI26" i="136"/>
  <c r="AH90" i="136"/>
  <c r="BJ100" i="115" l="1"/>
  <c r="BL100" i="115" s="1"/>
  <c r="BL96" i="115"/>
  <c r="BK85" i="115"/>
  <c r="BJ85" i="115"/>
  <c r="BG85" i="115"/>
  <c r="BB85" i="115"/>
  <c r="AW85" i="115"/>
  <c r="AR85" i="115"/>
  <c r="AM85" i="115"/>
  <c r="AH85" i="115"/>
  <c r="AC85" i="115"/>
  <c r="X85" i="115"/>
  <c r="S85" i="115"/>
  <c r="I85" i="115"/>
  <c r="E85" i="115"/>
  <c r="BL82" i="115"/>
  <c r="BK82" i="115"/>
  <c r="BJ82" i="115"/>
  <c r="BG82" i="115"/>
  <c r="BB82" i="115"/>
  <c r="AW82" i="115"/>
  <c r="AR82" i="115"/>
  <c r="AM82" i="115"/>
  <c r="AH82" i="115"/>
  <c r="AC82" i="115"/>
  <c r="X82" i="115"/>
  <c r="S82" i="115"/>
  <c r="I82" i="115"/>
  <c r="BO82" i="115" s="1"/>
  <c r="E82" i="115"/>
  <c r="BK79" i="115"/>
  <c r="BJ79" i="115"/>
  <c r="X79" i="115"/>
  <c r="BL79" i="115" s="1"/>
  <c r="E79" i="115"/>
  <c r="BK78" i="115"/>
  <c r="BJ78" i="115"/>
  <c r="BG78" i="115"/>
  <c r="BB78" i="115"/>
  <c r="AW78" i="115"/>
  <c r="AR78" i="115"/>
  <c r="AR77" i="115" s="1"/>
  <c r="AM78" i="115"/>
  <c r="AM77" i="115" s="1"/>
  <c r="AH78" i="115"/>
  <c r="AC78" i="115"/>
  <c r="AC77" i="115" s="1"/>
  <c r="X78" i="115"/>
  <c r="S78" i="115"/>
  <c r="S77" i="115" s="1"/>
  <c r="I78" i="115"/>
  <c r="E78" i="115"/>
  <c r="BK77" i="115"/>
  <c r="BG77" i="115"/>
  <c r="BF77" i="115"/>
  <c r="BE77" i="115"/>
  <c r="BB77" i="115"/>
  <c r="BA77" i="115"/>
  <c r="AZ77" i="115"/>
  <c r="AW77" i="115"/>
  <c r="AV77" i="115"/>
  <c r="AU77" i="115"/>
  <c r="AQ77" i="115"/>
  <c r="AP77" i="115"/>
  <c r="AL77" i="115"/>
  <c r="AK77" i="115"/>
  <c r="AH77" i="115"/>
  <c r="AG77" i="115"/>
  <c r="AF77" i="115"/>
  <c r="AB77" i="115"/>
  <c r="AA77" i="115"/>
  <c r="X77" i="115"/>
  <c r="W77" i="115"/>
  <c r="V77" i="115"/>
  <c r="R77" i="115"/>
  <c r="Q77" i="115"/>
  <c r="H77" i="115"/>
  <c r="G77" i="115"/>
  <c r="E77" i="115"/>
  <c r="D77" i="115"/>
  <c r="C77" i="115"/>
  <c r="BK74" i="115"/>
  <c r="BK73" i="115" s="1"/>
  <c r="BJ74" i="115"/>
  <c r="BG74" i="115"/>
  <c r="BG73" i="115" s="1"/>
  <c r="BB74" i="115"/>
  <c r="AW74" i="115"/>
  <c r="AW73" i="115" s="1"/>
  <c r="AR74" i="115"/>
  <c r="AR73" i="115" s="1"/>
  <c r="AM74" i="115"/>
  <c r="AM73" i="115" s="1"/>
  <c r="AH74" i="115"/>
  <c r="AH73" i="115" s="1"/>
  <c r="AC74" i="115"/>
  <c r="AC73" i="115" s="1"/>
  <c r="X74" i="115"/>
  <c r="S74" i="115"/>
  <c r="S73" i="115" s="1"/>
  <c r="I74" i="115"/>
  <c r="C74" i="115"/>
  <c r="C73" i="115" s="1"/>
  <c r="BF73" i="115"/>
  <c r="BE73" i="115"/>
  <c r="BB73" i="115"/>
  <c r="BA73" i="115"/>
  <c r="AZ73" i="115"/>
  <c r="AV73" i="115"/>
  <c r="AU73" i="115"/>
  <c r="AQ73" i="115"/>
  <c r="AP73" i="115"/>
  <c r="AL73" i="115"/>
  <c r="AK73" i="115"/>
  <c r="AG73" i="115"/>
  <c r="AF73" i="115"/>
  <c r="AB73" i="115"/>
  <c r="AA73" i="115"/>
  <c r="X73" i="115"/>
  <c r="W73" i="115"/>
  <c r="V73" i="115"/>
  <c r="R73" i="115"/>
  <c r="Q73" i="115"/>
  <c r="I73" i="115"/>
  <c r="H73" i="115"/>
  <c r="G73" i="115"/>
  <c r="D73" i="115"/>
  <c r="BO72" i="115"/>
  <c r="BK71" i="115"/>
  <c r="BJ71" i="115"/>
  <c r="BG71" i="115"/>
  <c r="BB71" i="115"/>
  <c r="AW71" i="115"/>
  <c r="AR71" i="115"/>
  <c r="AM71" i="115"/>
  <c r="AH71" i="115"/>
  <c r="AC71" i="115"/>
  <c r="X71" i="115"/>
  <c r="S71" i="115"/>
  <c r="N71" i="115"/>
  <c r="I71" i="115"/>
  <c r="E71" i="115"/>
  <c r="BK70" i="115"/>
  <c r="BJ70" i="115"/>
  <c r="BL70" i="115" s="1"/>
  <c r="BG70" i="115"/>
  <c r="BB70" i="115"/>
  <c r="AW70" i="115"/>
  <c r="AR70" i="115"/>
  <c r="AM70" i="115"/>
  <c r="AH70" i="115"/>
  <c r="AC70" i="115"/>
  <c r="X70" i="115"/>
  <c r="S70" i="115"/>
  <c r="N70" i="115"/>
  <c r="I70" i="115"/>
  <c r="E70" i="115"/>
  <c r="BK69" i="115"/>
  <c r="BJ69" i="115"/>
  <c r="BL69" i="115" s="1"/>
  <c r="BR69" i="115" s="1"/>
  <c r="BG69" i="115"/>
  <c r="BB69" i="115"/>
  <c r="AW69" i="115"/>
  <c r="AR69" i="115"/>
  <c r="AM69" i="115"/>
  <c r="AH69" i="115"/>
  <c r="AC69" i="115"/>
  <c r="X69" i="115"/>
  <c r="S69" i="115"/>
  <c r="N69" i="115"/>
  <c r="I69" i="115"/>
  <c r="E69" i="115"/>
  <c r="BK68" i="115"/>
  <c r="BJ68" i="115"/>
  <c r="BG68" i="115"/>
  <c r="BB68" i="115"/>
  <c r="AW68" i="115"/>
  <c r="AR68" i="115"/>
  <c r="AM68" i="115"/>
  <c r="AH68" i="115"/>
  <c r="AC68" i="115"/>
  <c r="X68" i="115"/>
  <c r="S68" i="115"/>
  <c r="N68" i="115"/>
  <c r="I68" i="115"/>
  <c r="E68" i="115"/>
  <c r="BK67" i="115"/>
  <c r="BJ67" i="115"/>
  <c r="BL67" i="115" s="1"/>
  <c r="BG67" i="115"/>
  <c r="BB67" i="115"/>
  <c r="AW67" i="115"/>
  <c r="AR67" i="115"/>
  <c r="AM67" i="115"/>
  <c r="AH67" i="115"/>
  <c r="AC67" i="115"/>
  <c r="X67" i="115"/>
  <c r="S67" i="115"/>
  <c r="N67" i="115"/>
  <c r="I67" i="115"/>
  <c r="E67" i="115"/>
  <c r="BK66" i="115"/>
  <c r="BJ66" i="115"/>
  <c r="BG66" i="115"/>
  <c r="BB66" i="115"/>
  <c r="AW66" i="115"/>
  <c r="AR66" i="115"/>
  <c r="AM66" i="115"/>
  <c r="AH66" i="115"/>
  <c r="AC66" i="115"/>
  <c r="X66" i="115"/>
  <c r="S66" i="115"/>
  <c r="N66" i="115"/>
  <c r="I66" i="115"/>
  <c r="E66" i="115"/>
  <c r="BK65" i="115"/>
  <c r="BG65" i="115"/>
  <c r="BB65" i="115"/>
  <c r="AW65" i="115"/>
  <c r="AR65" i="115"/>
  <c r="AM65" i="115"/>
  <c r="AH65" i="115"/>
  <c r="AC65" i="115"/>
  <c r="X65" i="115"/>
  <c r="Q65" i="115"/>
  <c r="Q54" i="115" s="1"/>
  <c r="N65" i="115"/>
  <c r="I65" i="115"/>
  <c r="E65" i="115"/>
  <c r="BK64" i="115"/>
  <c r="BJ64" i="115"/>
  <c r="BG64" i="115"/>
  <c r="BB64" i="115"/>
  <c r="AW64" i="115"/>
  <c r="AR64" i="115"/>
  <c r="AM64" i="115"/>
  <c r="AH64" i="115"/>
  <c r="AC64" i="115"/>
  <c r="X64" i="115"/>
  <c r="S64" i="115"/>
  <c r="N64" i="115"/>
  <c r="I64" i="115"/>
  <c r="E64" i="115"/>
  <c r="BK63" i="115"/>
  <c r="BJ63" i="115"/>
  <c r="BG63" i="115"/>
  <c r="BB63" i="115"/>
  <c r="AW63" i="115"/>
  <c r="AR63" i="115"/>
  <c r="AM63" i="115"/>
  <c r="AH63" i="115"/>
  <c r="AC63" i="115"/>
  <c r="X63" i="115"/>
  <c r="S63" i="115"/>
  <c r="N63" i="115"/>
  <c r="I63" i="115"/>
  <c r="E63" i="115"/>
  <c r="BK62" i="115"/>
  <c r="BJ62" i="115"/>
  <c r="BG62" i="115"/>
  <c r="BB62" i="115"/>
  <c r="AW62" i="115"/>
  <c r="AR62" i="115"/>
  <c r="AM62" i="115"/>
  <c r="AH62" i="115"/>
  <c r="AC62" i="115"/>
  <c r="X62" i="115"/>
  <c r="S62" i="115"/>
  <c r="N62" i="115"/>
  <c r="I62" i="115"/>
  <c r="E62" i="115"/>
  <c r="BK61" i="115"/>
  <c r="BJ61" i="115"/>
  <c r="BG61" i="115"/>
  <c r="BB61" i="115"/>
  <c r="AW61" i="115"/>
  <c r="AR61" i="115"/>
  <c r="AM61" i="115"/>
  <c r="AH61" i="115"/>
  <c r="AC61" i="115"/>
  <c r="X61" i="115"/>
  <c r="S61" i="115"/>
  <c r="N61" i="115"/>
  <c r="I61" i="115"/>
  <c r="E61" i="115"/>
  <c r="BK60" i="115"/>
  <c r="BJ60" i="115"/>
  <c r="BG60" i="115"/>
  <c r="BB60" i="115"/>
  <c r="AW60" i="115"/>
  <c r="AR60" i="115"/>
  <c r="AM60" i="115"/>
  <c r="AH60" i="115"/>
  <c r="AC60" i="115"/>
  <c r="X60" i="115"/>
  <c r="S60" i="115"/>
  <c r="N60" i="115"/>
  <c r="I60" i="115"/>
  <c r="E60" i="115"/>
  <c r="BK59" i="115"/>
  <c r="BJ59" i="115"/>
  <c r="BG59" i="115"/>
  <c r="BB59" i="115"/>
  <c r="AW59" i="115"/>
  <c r="AR59" i="115"/>
  <c r="AM59" i="115"/>
  <c r="AH59" i="115"/>
  <c r="AC59" i="115"/>
  <c r="X59" i="115"/>
  <c r="S59" i="115"/>
  <c r="N59" i="115"/>
  <c r="I59" i="115"/>
  <c r="E59" i="115"/>
  <c r="BK58" i="115"/>
  <c r="BJ58" i="115"/>
  <c r="BG58" i="115"/>
  <c r="BB58" i="115"/>
  <c r="AW58" i="115"/>
  <c r="AR58" i="115"/>
  <c r="AM58" i="115"/>
  <c r="AH58" i="115"/>
  <c r="AC58" i="115"/>
  <c r="X58" i="115"/>
  <c r="S58" i="115"/>
  <c r="N58" i="115"/>
  <c r="I58" i="115"/>
  <c r="E58" i="115"/>
  <c r="BK57" i="115"/>
  <c r="BJ57" i="115"/>
  <c r="BG57" i="115"/>
  <c r="BB57" i="115"/>
  <c r="AW57" i="115"/>
  <c r="AR57" i="115"/>
  <c r="AM57" i="115"/>
  <c r="AH57" i="115"/>
  <c r="AC57" i="115"/>
  <c r="X57" i="115"/>
  <c r="S57" i="115"/>
  <c r="N57" i="115"/>
  <c r="I57" i="115"/>
  <c r="E57" i="115"/>
  <c r="BK56" i="115"/>
  <c r="BJ56" i="115"/>
  <c r="BG56" i="115"/>
  <c r="BB56" i="115"/>
  <c r="AW56" i="115"/>
  <c r="AR56" i="115"/>
  <c r="AM56" i="115"/>
  <c r="AH56" i="115"/>
  <c r="AC56" i="115"/>
  <c r="X56" i="115"/>
  <c r="S56" i="115"/>
  <c r="N56" i="115"/>
  <c r="I56" i="115"/>
  <c r="E56" i="115"/>
  <c r="BK55" i="115"/>
  <c r="BJ55" i="115"/>
  <c r="BG55" i="115"/>
  <c r="BB55" i="115"/>
  <c r="AW55" i="115"/>
  <c r="AR55" i="115"/>
  <c r="AM55" i="115"/>
  <c r="AH55" i="115"/>
  <c r="AC55" i="115"/>
  <c r="X55" i="115"/>
  <c r="S55" i="115"/>
  <c r="N55" i="115"/>
  <c r="I55" i="115"/>
  <c r="I54" i="115" s="1"/>
  <c r="E55" i="115"/>
  <c r="BF54" i="115"/>
  <c r="BE54" i="115"/>
  <c r="BA54" i="115"/>
  <c r="AZ54" i="115"/>
  <c r="AV54" i="115"/>
  <c r="AU54" i="115"/>
  <c r="AQ54" i="115"/>
  <c r="AP54" i="115"/>
  <c r="AL54" i="115"/>
  <c r="AK54" i="115"/>
  <c r="AG54" i="115"/>
  <c r="AF54" i="115"/>
  <c r="AB54" i="115"/>
  <c r="AA54" i="115"/>
  <c r="W54" i="115"/>
  <c r="V54" i="115"/>
  <c r="R54" i="115"/>
  <c r="H54" i="115"/>
  <c r="G54" i="115"/>
  <c r="D54" i="115"/>
  <c r="C54" i="115"/>
  <c r="BK52" i="115"/>
  <c r="BJ52" i="115"/>
  <c r="BG52" i="115"/>
  <c r="BB52" i="115"/>
  <c r="AW52" i="115"/>
  <c r="AR52" i="115"/>
  <c r="AM52" i="115"/>
  <c r="AH52" i="115"/>
  <c r="AC52" i="115"/>
  <c r="X52" i="115"/>
  <c r="S52" i="115"/>
  <c r="N52" i="115"/>
  <c r="I52" i="115"/>
  <c r="E52" i="115"/>
  <c r="BK51" i="115"/>
  <c r="BK50" i="115" s="1"/>
  <c r="BJ51" i="115"/>
  <c r="BJ50" i="115" s="1"/>
  <c r="BG51" i="115"/>
  <c r="BB51" i="115"/>
  <c r="AW51" i="115"/>
  <c r="AR51" i="115"/>
  <c r="AM51" i="115"/>
  <c r="AH51" i="115"/>
  <c r="AC51" i="115"/>
  <c r="X51" i="115"/>
  <c r="S51" i="115"/>
  <c r="N51" i="115"/>
  <c r="I51" i="115"/>
  <c r="E51" i="115"/>
  <c r="E50" i="115" s="1"/>
  <c r="BF50" i="115"/>
  <c r="BE50" i="115"/>
  <c r="BA50" i="115"/>
  <c r="AZ50" i="115"/>
  <c r="AV50" i="115"/>
  <c r="AU50" i="115"/>
  <c r="AQ50" i="115"/>
  <c r="AP50" i="115"/>
  <c r="AL50" i="115"/>
  <c r="AK50" i="115"/>
  <c r="AG50" i="115"/>
  <c r="AF50" i="115"/>
  <c r="AB50" i="115"/>
  <c r="AA50" i="115"/>
  <c r="W50" i="115"/>
  <c r="V50" i="115"/>
  <c r="R50" i="115"/>
  <c r="Q50" i="115"/>
  <c r="H50" i="115"/>
  <c r="G50" i="115"/>
  <c r="BO49" i="115"/>
  <c r="BK49" i="115"/>
  <c r="BJ49" i="115"/>
  <c r="BK48" i="115"/>
  <c r="BG48" i="115"/>
  <c r="BB48" i="115"/>
  <c r="AW48" i="115"/>
  <c r="AR48" i="115"/>
  <c r="AM48" i="115"/>
  <c r="AH48" i="115"/>
  <c r="AC48" i="115"/>
  <c r="X48" i="115"/>
  <c r="S48" i="115"/>
  <c r="L48" i="115"/>
  <c r="I48" i="115"/>
  <c r="E48" i="115"/>
  <c r="BK47" i="115"/>
  <c r="BG47" i="115"/>
  <c r="BB47" i="115"/>
  <c r="AW47" i="115"/>
  <c r="AR47" i="115"/>
  <c r="AM47" i="115"/>
  <c r="AH47" i="115"/>
  <c r="AC47" i="115"/>
  <c r="V47" i="115"/>
  <c r="S47" i="115"/>
  <c r="L47" i="115"/>
  <c r="N47" i="115" s="1"/>
  <c r="I47" i="115"/>
  <c r="E47" i="115"/>
  <c r="BK46" i="115"/>
  <c r="BJ46" i="115"/>
  <c r="BG46" i="115"/>
  <c r="BB46" i="115"/>
  <c r="AW46" i="115"/>
  <c r="AR46" i="115"/>
  <c r="AM46" i="115"/>
  <c r="AH46" i="115"/>
  <c r="AC46" i="115"/>
  <c r="X46" i="115"/>
  <c r="S46" i="115"/>
  <c r="N46" i="115"/>
  <c r="I46" i="115"/>
  <c r="E46" i="115"/>
  <c r="BK45" i="115"/>
  <c r="BJ45" i="115"/>
  <c r="BL45" i="115" s="1"/>
  <c r="BG45" i="115"/>
  <c r="BB45" i="115"/>
  <c r="AW45" i="115"/>
  <c r="AR45" i="115"/>
  <c r="AM45" i="115"/>
  <c r="AH45" i="115"/>
  <c r="AC45" i="115"/>
  <c r="X45" i="115"/>
  <c r="S45" i="115"/>
  <c r="N45" i="115"/>
  <c r="I45" i="115"/>
  <c r="E45" i="115"/>
  <c r="BK44" i="115"/>
  <c r="BJ44" i="115"/>
  <c r="BG44" i="115"/>
  <c r="BB44" i="115"/>
  <c r="AW44" i="115"/>
  <c r="AR44" i="115"/>
  <c r="AM44" i="115"/>
  <c r="AH44" i="115"/>
  <c r="AC44" i="115"/>
  <c r="X44" i="115"/>
  <c r="S44" i="115"/>
  <c r="N44" i="115"/>
  <c r="I44" i="115"/>
  <c r="E44" i="115"/>
  <c r="BK43" i="115"/>
  <c r="BJ43" i="115"/>
  <c r="BG43" i="115"/>
  <c r="BB43" i="115"/>
  <c r="AW43" i="115"/>
  <c r="AR43" i="115"/>
  <c r="AM43" i="115"/>
  <c r="AH43" i="115"/>
  <c r="AC43" i="115"/>
  <c r="X43" i="115"/>
  <c r="S43" i="115"/>
  <c r="N43" i="115"/>
  <c r="I43" i="115"/>
  <c r="E43" i="115"/>
  <c r="BK42" i="115"/>
  <c r="BJ42" i="115"/>
  <c r="BG42" i="115"/>
  <c r="BB42" i="115"/>
  <c r="AW42" i="115"/>
  <c r="AR42" i="115"/>
  <c r="AM42" i="115"/>
  <c r="AH42" i="115"/>
  <c r="AC42" i="115"/>
  <c r="X42" i="115"/>
  <c r="S42" i="115"/>
  <c r="N42" i="115"/>
  <c r="I42" i="115"/>
  <c r="E42" i="115"/>
  <c r="BF41" i="115"/>
  <c r="BE41" i="115"/>
  <c r="BA41" i="115"/>
  <c r="AZ41" i="115"/>
  <c r="AV41" i="115"/>
  <c r="AU41" i="115"/>
  <c r="AQ41" i="115"/>
  <c r="AP41" i="115"/>
  <c r="AL41" i="115"/>
  <c r="AK41" i="115"/>
  <c r="AG41" i="115"/>
  <c r="AF41" i="115"/>
  <c r="AB41" i="115"/>
  <c r="AA41" i="115"/>
  <c r="W41" i="115"/>
  <c r="R41" i="115"/>
  <c r="Q41" i="115"/>
  <c r="H41" i="115"/>
  <c r="G41" i="115"/>
  <c r="D41" i="115"/>
  <c r="C41" i="115"/>
  <c r="BK40" i="115"/>
  <c r="BJ40" i="115"/>
  <c r="BK36" i="115"/>
  <c r="BJ36" i="115"/>
  <c r="BG36" i="115"/>
  <c r="BB36" i="115"/>
  <c r="BB35" i="115" s="1"/>
  <c r="AW36" i="115"/>
  <c r="AR36" i="115"/>
  <c r="AM36" i="115"/>
  <c r="AM35" i="115" s="1"/>
  <c r="AH36" i="115"/>
  <c r="AC36" i="115"/>
  <c r="X36" i="115"/>
  <c r="X35" i="115" s="1"/>
  <c r="S36" i="115"/>
  <c r="N36" i="115"/>
  <c r="I36" i="115"/>
  <c r="E36" i="115"/>
  <c r="BK35" i="115"/>
  <c r="BF35" i="115"/>
  <c r="BE35" i="115"/>
  <c r="BA35" i="115"/>
  <c r="AZ35" i="115"/>
  <c r="AV35" i="115"/>
  <c r="AU35" i="115"/>
  <c r="AQ35" i="115"/>
  <c r="AP35" i="115"/>
  <c r="AL35" i="115"/>
  <c r="AK35" i="115"/>
  <c r="AG35" i="115"/>
  <c r="AF35" i="115"/>
  <c r="AB35" i="115"/>
  <c r="AA35" i="115"/>
  <c r="W35" i="115"/>
  <c r="V35" i="115"/>
  <c r="R35" i="115"/>
  <c r="Q35" i="115"/>
  <c r="I35" i="115"/>
  <c r="H35" i="115"/>
  <c r="G35" i="115"/>
  <c r="E35" i="115"/>
  <c r="D35" i="115"/>
  <c r="C35" i="115"/>
  <c r="BK33" i="115"/>
  <c r="BJ33" i="115"/>
  <c r="BG33" i="115"/>
  <c r="BB33" i="115"/>
  <c r="AW33" i="115"/>
  <c r="AR33" i="115"/>
  <c r="AM33" i="115"/>
  <c r="AH33" i="115"/>
  <c r="AC33" i="115"/>
  <c r="X33" i="115"/>
  <c r="S33" i="115"/>
  <c r="N33" i="115"/>
  <c r="I33" i="115"/>
  <c r="E33" i="115"/>
  <c r="BK32" i="115"/>
  <c r="BJ32" i="115"/>
  <c r="BL32" i="115" s="1"/>
  <c r="BG32" i="115"/>
  <c r="BB32" i="115"/>
  <c r="AW32" i="115"/>
  <c r="AR32" i="115"/>
  <c r="AM32" i="115"/>
  <c r="AH32" i="115"/>
  <c r="AC32" i="115"/>
  <c r="X32" i="115"/>
  <c r="S32" i="115"/>
  <c r="N32" i="115"/>
  <c r="I32" i="115"/>
  <c r="E32" i="115"/>
  <c r="BJ31" i="115"/>
  <c r="BG31" i="115"/>
  <c r="BB31" i="115"/>
  <c r="AW31" i="115"/>
  <c r="AR31" i="115"/>
  <c r="AM31" i="115"/>
  <c r="AH31" i="115"/>
  <c r="AC31" i="115"/>
  <c r="X31" i="115"/>
  <c r="S31" i="115"/>
  <c r="M31" i="115"/>
  <c r="N31" i="115" s="1"/>
  <c r="G31" i="115"/>
  <c r="I31" i="115" s="1"/>
  <c r="E31" i="115"/>
  <c r="BG30" i="115"/>
  <c r="BB30" i="115"/>
  <c r="AW30" i="115"/>
  <c r="AR30" i="115"/>
  <c r="AM30" i="115"/>
  <c r="AH30" i="115"/>
  <c r="AC30" i="115"/>
  <c r="W30" i="115"/>
  <c r="V30" i="115"/>
  <c r="BJ30" i="115" s="1"/>
  <c r="R30" i="115"/>
  <c r="S30" i="115" s="1"/>
  <c r="N30" i="115"/>
  <c r="I30" i="115"/>
  <c r="E30" i="115"/>
  <c r="BK29" i="115"/>
  <c r="BG29" i="115"/>
  <c r="BB29" i="115"/>
  <c r="AW29" i="115"/>
  <c r="AR29" i="115"/>
  <c r="AM29" i="115"/>
  <c r="AH29" i="115"/>
  <c r="AC29" i="115"/>
  <c r="X29" i="115"/>
  <c r="Q29" i="115"/>
  <c r="BJ29" i="115" s="1"/>
  <c r="N29" i="115"/>
  <c r="H29" i="115"/>
  <c r="I29" i="115" s="1"/>
  <c r="E29" i="115"/>
  <c r="BJ28" i="115"/>
  <c r="BG28" i="115"/>
  <c r="BB28" i="115"/>
  <c r="AW28" i="115"/>
  <c r="AR28" i="115"/>
  <c r="AM28" i="115"/>
  <c r="AH28" i="115"/>
  <c r="AC28" i="115"/>
  <c r="X28" i="115"/>
  <c r="R28" i="115"/>
  <c r="N28" i="115"/>
  <c r="I28" i="115"/>
  <c r="E28" i="115"/>
  <c r="BK27" i="115"/>
  <c r="BJ27" i="115"/>
  <c r="BL27" i="115" s="1"/>
  <c r="BG27" i="115"/>
  <c r="BB27" i="115"/>
  <c r="AW27" i="115"/>
  <c r="AR27" i="115"/>
  <c r="AM27" i="115"/>
  <c r="AH27" i="115"/>
  <c r="AC27" i="115"/>
  <c r="X27" i="115"/>
  <c r="S27" i="115"/>
  <c r="N27" i="115"/>
  <c r="I27" i="115"/>
  <c r="E27" i="115"/>
  <c r="BK26" i="115"/>
  <c r="BE26" i="115"/>
  <c r="BG26" i="115" s="1"/>
  <c r="BB26" i="115"/>
  <c r="AW26" i="115"/>
  <c r="AP26" i="115"/>
  <c r="AP8" i="115" s="1"/>
  <c r="AM26" i="115"/>
  <c r="AH26" i="115"/>
  <c r="AC26" i="115"/>
  <c r="V26" i="115"/>
  <c r="X26" i="115" s="1"/>
  <c r="Q26" i="115"/>
  <c r="N26" i="115"/>
  <c r="I26" i="115"/>
  <c r="E26" i="115"/>
  <c r="BE25" i="115"/>
  <c r="BG25" i="115" s="1"/>
  <c r="BB25" i="115"/>
  <c r="AW25" i="115"/>
  <c r="AR25" i="115"/>
  <c r="AM25" i="115"/>
  <c r="AH25" i="115"/>
  <c r="AC25" i="115"/>
  <c r="X25" i="115"/>
  <c r="R25" i="115"/>
  <c r="BK25" i="115" s="1"/>
  <c r="Q25" i="115"/>
  <c r="N25" i="115"/>
  <c r="I25" i="115"/>
  <c r="E25" i="115"/>
  <c r="BK24" i="115"/>
  <c r="BG24" i="115"/>
  <c r="BB24" i="115"/>
  <c r="AW24" i="115"/>
  <c r="AR24" i="115"/>
  <c r="AM24" i="115"/>
  <c r="AH24" i="115"/>
  <c r="AC24" i="115"/>
  <c r="V24" i="115"/>
  <c r="X24" i="115" s="1"/>
  <c r="Q24" i="115"/>
  <c r="BJ24" i="115" s="1"/>
  <c r="BL24" i="115" s="1"/>
  <c r="BR24" i="115" s="1"/>
  <c r="N24" i="115"/>
  <c r="I24" i="115"/>
  <c r="E24" i="115"/>
  <c r="BK23" i="115"/>
  <c r="BL23" i="115" s="1"/>
  <c r="BJ23" i="115"/>
  <c r="BG23" i="115"/>
  <c r="BB23" i="115"/>
  <c r="AW23" i="115"/>
  <c r="AR23" i="115"/>
  <c r="AM23" i="115"/>
  <c r="AH23" i="115"/>
  <c r="AC23" i="115"/>
  <c r="X23" i="115"/>
  <c r="S23" i="115"/>
  <c r="N23" i="115"/>
  <c r="I23" i="115"/>
  <c r="BK22" i="115"/>
  <c r="BG22" i="115"/>
  <c r="BB22" i="115"/>
  <c r="AW22" i="115"/>
  <c r="AR22" i="115"/>
  <c r="AM22" i="115"/>
  <c r="AH22" i="115"/>
  <c r="AC22" i="115"/>
  <c r="V22" i="115"/>
  <c r="X22" i="115" s="1"/>
  <c r="Q22" i="115"/>
  <c r="N22" i="115"/>
  <c r="I22" i="115"/>
  <c r="BK21" i="115"/>
  <c r="BG21" i="115"/>
  <c r="BB21" i="115"/>
  <c r="AW21" i="115"/>
  <c r="AR21" i="115"/>
  <c r="AM21" i="115"/>
  <c r="AH21" i="115"/>
  <c r="AC21" i="115"/>
  <c r="X21" i="115"/>
  <c r="Q21" i="115"/>
  <c r="N21" i="115"/>
  <c r="I21" i="115"/>
  <c r="E21" i="115"/>
  <c r="BK20" i="115"/>
  <c r="BG20" i="115"/>
  <c r="BB20" i="115"/>
  <c r="AW20" i="115"/>
  <c r="AR20" i="115"/>
  <c r="AM20" i="115"/>
  <c r="AH20" i="115"/>
  <c r="AC20" i="115"/>
  <c r="V20" i="115"/>
  <c r="X20" i="115" s="1"/>
  <c r="Q20" i="115"/>
  <c r="N20" i="115"/>
  <c r="I20" i="115"/>
  <c r="E20" i="115"/>
  <c r="BK19" i="115"/>
  <c r="BJ19" i="115"/>
  <c r="BG19" i="115"/>
  <c r="BB19" i="115"/>
  <c r="AW19" i="115"/>
  <c r="AR19" i="115"/>
  <c r="AM19" i="115"/>
  <c r="AH19" i="115"/>
  <c r="AC19" i="115"/>
  <c r="X19" i="115"/>
  <c r="S19" i="115"/>
  <c r="N19" i="115"/>
  <c r="I19" i="115"/>
  <c r="E19" i="115"/>
  <c r="BK18" i="115"/>
  <c r="BG18" i="115"/>
  <c r="BB18" i="115"/>
  <c r="AW18" i="115"/>
  <c r="AR18" i="115"/>
  <c r="AK18" i="115"/>
  <c r="AM18" i="115" s="1"/>
  <c r="AH18" i="115"/>
  <c r="AC18" i="115"/>
  <c r="X18" i="115"/>
  <c r="Q18" i="115"/>
  <c r="BJ18" i="115" s="1"/>
  <c r="BL18" i="115" s="1"/>
  <c r="BR18" i="115" s="1"/>
  <c r="N18" i="115"/>
  <c r="I18" i="115"/>
  <c r="E18" i="115"/>
  <c r="BK17" i="115"/>
  <c r="BJ17" i="115"/>
  <c r="BG17" i="115"/>
  <c r="BB17" i="115"/>
  <c r="AW17" i="115"/>
  <c r="AR17" i="115"/>
  <c r="AM17" i="115"/>
  <c r="AH17" i="115"/>
  <c r="AC17" i="115"/>
  <c r="X17" i="115"/>
  <c r="S17" i="115"/>
  <c r="N17" i="115"/>
  <c r="I17" i="115"/>
  <c r="E17" i="115"/>
  <c r="BJ16" i="115"/>
  <c r="BF16" i="115"/>
  <c r="BG16" i="115" s="1"/>
  <c r="BB16" i="115"/>
  <c r="AV16" i="115"/>
  <c r="AW16" i="115" s="1"/>
  <c r="AQ16" i="115"/>
  <c r="AR16" i="115" s="1"/>
  <c r="AM16" i="115"/>
  <c r="AH16" i="115"/>
  <c r="AC16" i="115"/>
  <c r="W16" i="115"/>
  <c r="W8" i="115" s="1"/>
  <c r="S16" i="115"/>
  <c r="N16" i="115"/>
  <c r="I16" i="115"/>
  <c r="E16" i="115"/>
  <c r="BK15" i="115"/>
  <c r="BJ15" i="115"/>
  <c r="BG15" i="115"/>
  <c r="BB15" i="115"/>
  <c r="AW15" i="115"/>
  <c r="AR15" i="115"/>
  <c r="AM15" i="115"/>
  <c r="AH15" i="115"/>
  <c r="AC15" i="115"/>
  <c r="X15" i="115"/>
  <c r="S15" i="115"/>
  <c r="N15" i="115"/>
  <c r="I15" i="115"/>
  <c r="E15" i="115"/>
  <c r="BK14" i="115"/>
  <c r="BG14" i="115"/>
  <c r="BB14" i="115"/>
  <c r="AW14" i="115"/>
  <c r="AR14" i="115"/>
  <c r="AM14" i="115"/>
  <c r="AH14" i="115"/>
  <c r="AC14" i="115"/>
  <c r="X14" i="115"/>
  <c r="S14" i="115"/>
  <c r="L14" i="115"/>
  <c r="BJ14" i="115" s="1"/>
  <c r="BL14" i="115" s="1"/>
  <c r="I14" i="115"/>
  <c r="E14" i="115"/>
  <c r="BK13" i="115"/>
  <c r="BJ13" i="115"/>
  <c r="BG13" i="115"/>
  <c r="BB13" i="115"/>
  <c r="AW13" i="115"/>
  <c r="AR13" i="115"/>
  <c r="AM13" i="115"/>
  <c r="AH13" i="115"/>
  <c r="AC13" i="115"/>
  <c r="X13" i="115"/>
  <c r="S13" i="115"/>
  <c r="N13" i="115"/>
  <c r="I13" i="115"/>
  <c r="E13" i="115"/>
  <c r="BJ12" i="115"/>
  <c r="BG12" i="115"/>
  <c r="BB12" i="115"/>
  <c r="AW12" i="115"/>
  <c r="AR12" i="115"/>
  <c r="AM12" i="115"/>
  <c r="AH12" i="115"/>
  <c r="AC12" i="115"/>
  <c r="X12" i="115"/>
  <c r="R12" i="115"/>
  <c r="BK12" i="115" s="1"/>
  <c r="N12" i="115"/>
  <c r="I12" i="115"/>
  <c r="E12" i="115"/>
  <c r="BK11" i="115"/>
  <c r="BJ11" i="115"/>
  <c r="BG11" i="115"/>
  <c r="BB11" i="115"/>
  <c r="AW11" i="115"/>
  <c r="AR11" i="115"/>
  <c r="AM11" i="115"/>
  <c r="AH11" i="115"/>
  <c r="AC11" i="115"/>
  <c r="X11" i="115"/>
  <c r="S11" i="115"/>
  <c r="N11" i="115"/>
  <c r="I11" i="115"/>
  <c r="E11" i="115"/>
  <c r="BK10" i="115"/>
  <c r="BJ10" i="115"/>
  <c r="BG10" i="115"/>
  <c r="BB10" i="115"/>
  <c r="AW10" i="115"/>
  <c r="AR10" i="115"/>
  <c r="AM10" i="115"/>
  <c r="AH10" i="115"/>
  <c r="AC10" i="115"/>
  <c r="X10" i="115"/>
  <c r="S10" i="115"/>
  <c r="N10" i="115"/>
  <c r="I10" i="115"/>
  <c r="E10" i="115"/>
  <c r="E8" i="115" s="1"/>
  <c r="BK9" i="115"/>
  <c r="BJ9" i="115"/>
  <c r="BG9" i="115"/>
  <c r="BB9" i="115"/>
  <c r="AW9" i="115"/>
  <c r="AR9" i="115"/>
  <c r="AM9" i="115"/>
  <c r="AH9" i="115"/>
  <c r="AH8" i="115" s="1"/>
  <c r="AC9" i="115"/>
  <c r="X9" i="115"/>
  <c r="S9" i="115"/>
  <c r="N9" i="115"/>
  <c r="I9" i="115"/>
  <c r="E9" i="115"/>
  <c r="BE8" i="115"/>
  <c r="BA8" i="115"/>
  <c r="AZ8" i="115"/>
  <c r="AV8" i="115"/>
  <c r="AU8" i="115"/>
  <c r="AQ8" i="115"/>
  <c r="AL8" i="115"/>
  <c r="AK8" i="115"/>
  <c r="AG8" i="115"/>
  <c r="AF8" i="115"/>
  <c r="AB8" i="115"/>
  <c r="AA8" i="115"/>
  <c r="V8" i="115"/>
  <c r="R8" i="115"/>
  <c r="H8" i="115"/>
  <c r="D8" i="115"/>
  <c r="C8" i="115"/>
  <c r="BK7" i="115"/>
  <c r="BL7" i="115" s="1"/>
  <c r="BR7" i="115" s="1"/>
  <c r="BJ7" i="115"/>
  <c r="BG7" i="115"/>
  <c r="BB7" i="115"/>
  <c r="AW7" i="115"/>
  <c r="AR7" i="115"/>
  <c r="AM7" i="115"/>
  <c r="AH7" i="115"/>
  <c r="AC7" i="115"/>
  <c r="X7" i="115"/>
  <c r="S7" i="115"/>
  <c r="N7" i="115"/>
  <c r="I7" i="115"/>
  <c r="E7" i="115"/>
  <c r="BK6" i="115"/>
  <c r="BG6" i="115"/>
  <c r="BG5" i="115" s="1"/>
  <c r="BB6" i="115"/>
  <c r="BB5" i="115" s="1"/>
  <c r="AW6" i="115"/>
  <c r="AR6" i="115"/>
  <c r="AR5" i="115" s="1"/>
  <c r="AM6" i="115"/>
  <c r="AM5" i="115" s="1"/>
  <c r="AH6" i="115"/>
  <c r="AH5" i="115" s="1"/>
  <c r="AC6" i="115"/>
  <c r="V6" i="115"/>
  <c r="BJ6" i="115" s="1"/>
  <c r="S6" i="115"/>
  <c r="S5" i="115" s="1"/>
  <c r="N6" i="115"/>
  <c r="E6" i="115"/>
  <c r="BF5" i="115"/>
  <c r="BE5" i="115"/>
  <c r="BA5" i="115"/>
  <c r="AZ5" i="115"/>
  <c r="AZ38" i="115" s="1"/>
  <c r="AW5" i="115"/>
  <c r="AV5" i="115"/>
  <c r="AV38" i="115" s="1"/>
  <c r="AU5" i="115"/>
  <c r="AQ5" i="115"/>
  <c r="AP5" i="115"/>
  <c r="AL5" i="115"/>
  <c r="AK5" i="115"/>
  <c r="AG5" i="115"/>
  <c r="AG38" i="115" s="1"/>
  <c r="AF5" i="115"/>
  <c r="AC5" i="115"/>
  <c r="AB5" i="115"/>
  <c r="AB38" i="115" s="1"/>
  <c r="AA5" i="115"/>
  <c r="W5" i="115"/>
  <c r="R5" i="115"/>
  <c r="Q5" i="115"/>
  <c r="I5" i="115"/>
  <c r="H5" i="115"/>
  <c r="G5" i="115"/>
  <c r="E5" i="115"/>
  <c r="D5" i="115"/>
  <c r="C5" i="115"/>
  <c r="AM50" i="115" l="1"/>
  <c r="BG50" i="115"/>
  <c r="BL9" i="115"/>
  <c r="BR9" i="115" s="1"/>
  <c r="BG41" i="115"/>
  <c r="BL52" i="115"/>
  <c r="BR52" i="115" s="1"/>
  <c r="BL57" i="115"/>
  <c r="BL59" i="115"/>
  <c r="BR59" i="115" s="1"/>
  <c r="BL63" i="115"/>
  <c r="BR63" i="115" s="1"/>
  <c r="BL10" i="115"/>
  <c r="BR10" i="115" s="1"/>
  <c r="BO32" i="115"/>
  <c r="BB50" i="115"/>
  <c r="BL60" i="115"/>
  <c r="BR60" i="115" s="1"/>
  <c r="BL62" i="115"/>
  <c r="BL85" i="115"/>
  <c r="BO10" i="115"/>
  <c r="D38" i="115"/>
  <c r="AM8" i="115"/>
  <c r="BL17" i="115"/>
  <c r="BL19" i="115"/>
  <c r="BR19" i="115" s="1"/>
  <c r="BJ22" i="115"/>
  <c r="BL22" i="115" s="1"/>
  <c r="BJ26" i="115"/>
  <c r="BL26" i="115" s="1"/>
  <c r="BR26" i="115" s="1"/>
  <c r="BL29" i="115"/>
  <c r="BL33" i="115"/>
  <c r="AC41" i="115"/>
  <c r="BL15" i="115"/>
  <c r="BK31" i="115"/>
  <c r="BL58" i="115"/>
  <c r="C38" i="115"/>
  <c r="V5" i="115"/>
  <c r="V38" i="115" s="1"/>
  <c r="AU38" i="115"/>
  <c r="BL11" i="115"/>
  <c r="BO11" i="115" s="1"/>
  <c r="BJ20" i="115"/>
  <c r="BL20" i="115" s="1"/>
  <c r="BO20" i="115" s="1"/>
  <c r="BJ25" i="115"/>
  <c r="BL25" i="115" s="1"/>
  <c r="BR25" i="115" s="1"/>
  <c r="AH41" i="115"/>
  <c r="BL43" i="115"/>
  <c r="BJ47" i="115"/>
  <c r="BL47" i="115" s="1"/>
  <c r="BL78" i="115"/>
  <c r="BL77" i="115" s="1"/>
  <c r="E38" i="115"/>
  <c r="E39" i="115" s="1"/>
  <c r="W38" i="115"/>
  <c r="W75" i="115" s="1"/>
  <c r="AK38" i="115"/>
  <c r="BA38" i="115"/>
  <c r="BB8" i="115"/>
  <c r="BB38" i="115" s="1"/>
  <c r="N14" i="115"/>
  <c r="X16" i="115"/>
  <c r="S25" i="115"/>
  <c r="S29" i="115"/>
  <c r="BL55" i="115"/>
  <c r="BO55" i="115" s="1"/>
  <c r="BO67" i="115"/>
  <c r="E74" i="115"/>
  <c r="E73" i="115" s="1"/>
  <c r="AF38" i="115"/>
  <c r="AF75" i="115" s="1"/>
  <c r="AL38" i="115"/>
  <c r="AL39" i="115" s="1"/>
  <c r="X6" i="115"/>
  <c r="X5" i="115" s="1"/>
  <c r="BK5" i="115"/>
  <c r="BF8" i="115"/>
  <c r="BR11" i="115"/>
  <c r="BO15" i="115"/>
  <c r="AR26" i="115"/>
  <c r="BK30" i="115"/>
  <c r="BL30" i="115" s="1"/>
  <c r="X47" i="115"/>
  <c r="BO59" i="115"/>
  <c r="BL66" i="115"/>
  <c r="BJ77" i="115"/>
  <c r="BF38" i="115"/>
  <c r="BF39" i="115" s="1"/>
  <c r="BO9" i="115"/>
  <c r="G8" i="115"/>
  <c r="G38" i="115" s="1"/>
  <c r="BO25" i="115"/>
  <c r="BO43" i="115"/>
  <c r="AC54" i="115"/>
  <c r="R38" i="115"/>
  <c r="R75" i="115" s="1"/>
  <c r="Q8" i="115"/>
  <c r="Q38" i="115" s="1"/>
  <c r="AR8" i="115"/>
  <c r="AR38" i="115" s="1"/>
  <c r="AC8" i="115"/>
  <c r="BO14" i="115"/>
  <c r="X30" i="115"/>
  <c r="X8" i="115" s="1"/>
  <c r="BL31" i="115"/>
  <c r="BR31" i="115" s="1"/>
  <c r="V41" i="115"/>
  <c r="AW41" i="115"/>
  <c r="BL46" i="115"/>
  <c r="BO46" i="115" s="1"/>
  <c r="S50" i="115"/>
  <c r="BK54" i="115"/>
  <c r="BL61" i="115"/>
  <c r="BO61" i="115" s="1"/>
  <c r="BL64" i="115"/>
  <c r="BO64" i="115" s="1"/>
  <c r="BO66" i="115"/>
  <c r="BL68" i="115"/>
  <c r="BO68" i="115" s="1"/>
  <c r="BL71" i="115"/>
  <c r="BO78" i="115"/>
  <c r="BO22" i="115"/>
  <c r="BR22" i="115"/>
  <c r="AM38" i="115"/>
  <c r="AW8" i="115"/>
  <c r="AW38" i="115" s="1"/>
  <c r="BJ5" i="115"/>
  <c r="BL6" i="115"/>
  <c r="AV75" i="115"/>
  <c r="AV39" i="115"/>
  <c r="BR27" i="115"/>
  <c r="BR47" i="115"/>
  <c r="C75" i="115"/>
  <c r="C39" i="115"/>
  <c r="AA38" i="115"/>
  <c r="AK75" i="115"/>
  <c r="AK39" i="115"/>
  <c r="AU75" i="115"/>
  <c r="AU39" i="115"/>
  <c r="BE38" i="115"/>
  <c r="S12" i="115"/>
  <c r="BL12" i="115"/>
  <c r="BK16" i="115"/>
  <c r="BL16" i="115" s="1"/>
  <c r="S18" i="115"/>
  <c r="S20" i="115"/>
  <c r="BR20" i="115"/>
  <c r="BO24" i="115"/>
  <c r="S26" i="115"/>
  <c r="S28" i="115"/>
  <c r="BK28" i="115"/>
  <c r="BL28" i="115" s="1"/>
  <c r="BO28" i="115" s="1"/>
  <c r="AC38" i="115"/>
  <c r="BO23" i="115"/>
  <c r="BO27" i="115"/>
  <c r="I50" i="115"/>
  <c r="BO52" i="115"/>
  <c r="AB75" i="115"/>
  <c r="AB39" i="115"/>
  <c r="V75" i="115"/>
  <c r="V39" i="115"/>
  <c r="AP38" i="115"/>
  <c r="AZ75" i="115"/>
  <c r="AZ39" i="115"/>
  <c r="I8" i="115"/>
  <c r="BG8" i="115"/>
  <c r="BL13" i="115"/>
  <c r="BO13" i="115" s="1"/>
  <c r="S22" i="115"/>
  <c r="E54" i="115"/>
  <c r="AW54" i="115"/>
  <c r="AL75" i="115"/>
  <c r="H38" i="115"/>
  <c r="W39" i="115"/>
  <c r="AG75" i="115"/>
  <c r="AG39" i="115"/>
  <c r="AQ38" i="115"/>
  <c r="BA75" i="115"/>
  <c r="BA39" i="115"/>
  <c r="BR14" i="115"/>
  <c r="BO18" i="115"/>
  <c r="S35" i="115"/>
  <c r="AW35" i="115"/>
  <c r="D75" i="115"/>
  <c r="D39" i="115"/>
  <c r="I38" i="115"/>
  <c r="AH38" i="115"/>
  <c r="BR15" i="115"/>
  <c r="BJ21" i="115"/>
  <c r="S21" i="115"/>
  <c r="AR41" i="115"/>
  <c r="BO45" i="115"/>
  <c r="BG54" i="115"/>
  <c r="BR29" i="115"/>
  <c r="AH35" i="115"/>
  <c r="BJ35" i="115"/>
  <c r="BL36" i="115"/>
  <c r="X41" i="115"/>
  <c r="AR54" i="115"/>
  <c r="S24" i="115"/>
  <c r="BO33" i="115"/>
  <c r="BR43" i="115"/>
  <c r="BK41" i="115"/>
  <c r="BL44" i="115"/>
  <c r="BO47" i="115"/>
  <c r="AH54" i="115"/>
  <c r="BO29" i="115"/>
  <c r="BO31" i="115"/>
  <c r="X54" i="115"/>
  <c r="S41" i="115"/>
  <c r="AH50" i="115"/>
  <c r="BR62" i="115"/>
  <c r="AC35" i="115"/>
  <c r="BG35" i="115"/>
  <c r="BO60" i="115"/>
  <c r="I41" i="115"/>
  <c r="BL42" i="115"/>
  <c r="AR50" i="115"/>
  <c r="X50" i="115"/>
  <c r="BL51" i="115"/>
  <c r="BO57" i="115"/>
  <c r="BO58" i="115"/>
  <c r="BO63" i="115"/>
  <c r="BB41" i="115"/>
  <c r="BJ48" i="115"/>
  <c r="BL48" i="115" s="1"/>
  <c r="N48" i="115"/>
  <c r="AC50" i="115"/>
  <c r="AC89" i="115" s="1"/>
  <c r="AD42" i="115" s="1"/>
  <c r="BL56" i="115"/>
  <c r="BB54" i="115"/>
  <c r="BR58" i="115"/>
  <c r="AR35" i="115"/>
  <c r="E41" i="115"/>
  <c r="AM41" i="115"/>
  <c r="AW50" i="115"/>
  <c r="AM54" i="115"/>
  <c r="BO62" i="115"/>
  <c r="BJ65" i="115"/>
  <c r="BL65" i="115" s="1"/>
  <c r="S65" i="115"/>
  <c r="BO70" i="115"/>
  <c r="BR68" i="115"/>
  <c r="BO69" i="115"/>
  <c r="BO71" i="115"/>
  <c r="BL74" i="115"/>
  <c r="BO74" i="115" s="1"/>
  <c r="BR79" i="115"/>
  <c r="BO79" i="115"/>
  <c r="AD62" i="115"/>
  <c r="BR70" i="115"/>
  <c r="BJ73" i="115"/>
  <c r="I77" i="115"/>
  <c r="AH89" i="115" l="1"/>
  <c r="BB89" i="115"/>
  <c r="BB93" i="115" s="1"/>
  <c r="AD63" i="115"/>
  <c r="BO26" i="115"/>
  <c r="AR89" i="115"/>
  <c r="AR93" i="115" s="1"/>
  <c r="BO17" i="115"/>
  <c r="BR17" i="115"/>
  <c r="BO19" i="115"/>
  <c r="AS26" i="115"/>
  <c r="AI26" i="115"/>
  <c r="AS45" i="115"/>
  <c r="AI59" i="115"/>
  <c r="AX68" i="115"/>
  <c r="BC55" i="115"/>
  <c r="AS63" i="115"/>
  <c r="AS47" i="115"/>
  <c r="AX22" i="115"/>
  <c r="AN12" i="115"/>
  <c r="BC32" i="115"/>
  <c r="AX65" i="115"/>
  <c r="BC48" i="115"/>
  <c r="BC42" i="115"/>
  <c r="BC13" i="115"/>
  <c r="AX26" i="115"/>
  <c r="AI41" i="115"/>
  <c r="AN33" i="115"/>
  <c r="AX42" i="115"/>
  <c r="Q75" i="115"/>
  <c r="Q81" i="115" s="1"/>
  <c r="Q83" i="115" s="1"/>
  <c r="Q84" i="115" s="1"/>
  <c r="Q86" i="115" s="1"/>
  <c r="Q87" i="115" s="1"/>
  <c r="Q39" i="115"/>
  <c r="BJ41" i="115"/>
  <c r="AM89" i="115"/>
  <c r="AM93" i="115" s="1"/>
  <c r="BF75" i="115"/>
  <c r="BF76" i="115" s="1"/>
  <c r="AF39" i="115"/>
  <c r="R39" i="115"/>
  <c r="E75" i="115"/>
  <c r="E76" i="115" s="1"/>
  <c r="AD48" i="115"/>
  <c r="AD46" i="115"/>
  <c r="BR30" i="115"/>
  <c r="BO30" i="115"/>
  <c r="AK81" i="115"/>
  <c r="AK83" i="115" s="1"/>
  <c r="AK84" i="115" s="1"/>
  <c r="AK86" i="115" s="1"/>
  <c r="AK87" i="115" s="1"/>
  <c r="AK76" i="115"/>
  <c r="AG81" i="115"/>
  <c r="AG83" i="115" s="1"/>
  <c r="AG84" i="115" s="1"/>
  <c r="AG86" i="115" s="1"/>
  <c r="AG87" i="115" s="1"/>
  <c r="AG76" i="115"/>
  <c r="E81" i="115"/>
  <c r="E83" i="115" s="1"/>
  <c r="E84" i="115" s="1"/>
  <c r="E86" i="115" s="1"/>
  <c r="E87" i="115" s="1"/>
  <c r="BR16" i="115"/>
  <c r="BL99" i="115" s="1"/>
  <c r="BO16" i="115"/>
  <c r="AS70" i="115"/>
  <c r="BC68" i="115"/>
  <c r="AN68" i="115"/>
  <c r="AX67" i="115"/>
  <c r="AI67" i="115"/>
  <c r="BC66" i="115"/>
  <c r="AN66" i="115"/>
  <c r="AN64" i="115"/>
  <c r="AX62" i="115"/>
  <c r="AI71" i="115"/>
  <c r="AS69" i="115"/>
  <c r="BC64" i="115"/>
  <c r="AS61" i="115"/>
  <c r="BC58" i="115"/>
  <c r="AN58" i="115"/>
  <c r="AX57" i="115"/>
  <c r="AI57" i="115"/>
  <c r="AS49" i="115"/>
  <c r="AN49" i="115"/>
  <c r="AI62" i="115"/>
  <c r="AX49" i="115"/>
  <c r="AS66" i="115"/>
  <c r="AN60" i="115"/>
  <c r="AS59" i="115"/>
  <c r="AI58" i="115"/>
  <c r="AI55" i="115"/>
  <c r="AX51" i="115"/>
  <c r="AI49" i="115"/>
  <c r="AI48" i="115"/>
  <c r="AX46" i="115"/>
  <c r="BC45" i="115"/>
  <c r="AS44" i="115"/>
  <c r="AI43" i="115"/>
  <c r="AI42" i="115"/>
  <c r="AX31" i="115"/>
  <c r="AI31" i="115"/>
  <c r="AX71" i="115"/>
  <c r="AX58" i="115"/>
  <c r="AN56" i="115"/>
  <c r="AX55" i="115"/>
  <c r="AN52" i="115"/>
  <c r="AI47" i="115"/>
  <c r="AX30" i="115"/>
  <c r="AI30" i="115"/>
  <c r="BC29" i="115"/>
  <c r="AN29" i="115"/>
  <c r="BC60" i="115"/>
  <c r="AS57" i="115"/>
  <c r="BC56" i="115"/>
  <c r="AX48" i="115"/>
  <c r="AS46" i="115"/>
  <c r="AS65" i="115"/>
  <c r="BC63" i="115"/>
  <c r="BC52" i="115"/>
  <c r="AX47" i="115"/>
  <c r="AN43" i="115"/>
  <c r="AS28" i="115"/>
  <c r="AN57" i="115"/>
  <c r="AI51" i="115"/>
  <c r="BC49" i="115"/>
  <c r="AI44" i="115"/>
  <c r="AN31" i="115"/>
  <c r="AX56" i="115"/>
  <c r="AN24" i="115"/>
  <c r="BC23" i="115"/>
  <c r="AS22" i="115"/>
  <c r="BC21" i="115"/>
  <c r="AS19" i="115"/>
  <c r="BC18" i="115"/>
  <c r="AS17" i="115"/>
  <c r="AI14" i="115"/>
  <c r="AX13" i="115"/>
  <c r="AS11" i="115"/>
  <c r="AN10" i="115"/>
  <c r="AX44" i="115"/>
  <c r="AI28" i="115"/>
  <c r="AI27" i="115"/>
  <c r="AI23" i="115"/>
  <c r="AI16" i="115"/>
  <c r="BC10" i="115"/>
  <c r="AN9" i="115"/>
  <c r="AI24" i="115"/>
  <c r="AX23" i="115"/>
  <c r="AS13" i="115"/>
  <c r="AX28" i="115"/>
  <c r="AX27" i="115"/>
  <c r="AX24" i="115"/>
  <c r="AS14" i="115"/>
  <c r="AN20" i="115"/>
  <c r="AS10" i="115"/>
  <c r="AN21" i="115"/>
  <c r="BC20" i="115"/>
  <c r="BC31" i="115"/>
  <c r="AX25" i="115"/>
  <c r="AS12" i="115"/>
  <c r="AN18" i="115"/>
  <c r="AI25" i="115"/>
  <c r="AS23" i="115"/>
  <c r="AN46" i="115"/>
  <c r="AN14" i="115"/>
  <c r="AI17" i="115"/>
  <c r="AI10" i="115"/>
  <c r="AN19" i="115"/>
  <c r="BC11" i="115"/>
  <c r="BC14" i="115"/>
  <c r="AX29" i="115"/>
  <c r="AX41" i="115"/>
  <c r="AN27" i="115"/>
  <c r="AS32" i="115"/>
  <c r="AS48" i="115"/>
  <c r="AN71" i="115"/>
  <c r="AS30" i="115"/>
  <c r="AS36" i="115"/>
  <c r="AI66" i="115"/>
  <c r="AS51" i="115"/>
  <c r="AX64" i="115"/>
  <c r="AN48" i="115"/>
  <c r="AS67" i="115"/>
  <c r="AX66" i="115"/>
  <c r="BC71" i="115"/>
  <c r="AI64" i="115"/>
  <c r="AX63" i="115"/>
  <c r="AS71" i="115"/>
  <c r="AS18" i="115"/>
  <c r="AS20" i="115"/>
  <c r="AI15" i="115"/>
  <c r="AX19" i="115"/>
  <c r="AS27" i="115"/>
  <c r="AN15" i="115"/>
  <c r="BC27" i="115"/>
  <c r="BC17" i="115"/>
  <c r="AI12" i="115"/>
  <c r="AX20" i="115"/>
  <c r="AI20" i="115"/>
  <c r="AS25" i="115"/>
  <c r="AN50" i="115"/>
  <c r="AN28" i="115"/>
  <c r="AS31" i="115"/>
  <c r="AI56" i="115"/>
  <c r="AI33" i="115"/>
  <c r="BC26" i="115"/>
  <c r="AI60" i="115"/>
  <c r="AX69" i="115"/>
  <c r="BC50" i="115"/>
  <c r="AS56" i="115"/>
  <c r="AI65" i="115"/>
  <c r="AN42" i="115"/>
  <c r="BC51" i="115"/>
  <c r="AN55" i="115"/>
  <c r="BC57" i="115"/>
  <c r="AS64" i="115"/>
  <c r="BC69" i="115"/>
  <c r="AS21" i="115"/>
  <c r="AN23" i="115"/>
  <c r="AN13" i="115"/>
  <c r="AX11" i="115"/>
  <c r="AS24" i="115"/>
  <c r="AX10" i="115"/>
  <c r="AI19" i="115"/>
  <c r="AN11" i="115"/>
  <c r="AN17" i="115"/>
  <c r="AX21" i="115"/>
  <c r="BC28" i="115"/>
  <c r="AX60" i="115"/>
  <c r="BC30" i="115"/>
  <c r="AN32" i="115"/>
  <c r="AX43" i="115"/>
  <c r="AS58" i="115"/>
  <c r="BC43" i="115"/>
  <c r="AI36" i="115"/>
  <c r="AN30" i="115"/>
  <c r="AI46" i="115"/>
  <c r="AN51" i="115"/>
  <c r="AN61" i="115"/>
  <c r="AI45" i="115"/>
  <c r="AX61" i="115"/>
  <c r="AX59" i="115"/>
  <c r="AI61" i="115"/>
  <c r="AI69" i="115"/>
  <c r="AN62" i="115"/>
  <c r="BC67" i="115"/>
  <c r="BC65" i="115"/>
  <c r="BC70" i="115"/>
  <c r="AN65" i="115"/>
  <c r="BC24" i="115"/>
  <c r="BC22" i="115"/>
  <c r="AS9" i="115"/>
  <c r="AI13" i="115"/>
  <c r="BC15" i="115"/>
  <c r="AI11" i="115"/>
  <c r="BC25" i="115"/>
  <c r="AI18" i="115"/>
  <c r="AI21" i="115"/>
  <c r="AH93" i="115"/>
  <c r="AI32" i="115"/>
  <c r="BC33" i="115"/>
  <c r="AN45" i="115"/>
  <c r="AS55" i="115"/>
  <c r="AX32" i="115"/>
  <c r="AN69" i="115"/>
  <c r="AS29" i="115"/>
  <c r="AX45" i="115"/>
  <c r="BC36" i="115"/>
  <c r="AN63" i="115"/>
  <c r="AN47" i="115"/>
  <c r="BC46" i="115"/>
  <c r="AI68" i="115"/>
  <c r="AN67" i="115"/>
  <c r="AI70" i="115"/>
  <c r="AX14" i="115"/>
  <c r="AX15" i="115"/>
  <c r="BC19" i="115"/>
  <c r="AX17" i="115"/>
  <c r="AI22" i="115"/>
  <c r="BC9" i="115"/>
  <c r="BC12" i="115"/>
  <c r="AX18" i="115"/>
  <c r="AN22" i="115"/>
  <c r="AS15" i="115"/>
  <c r="AN25" i="115"/>
  <c r="AX9" i="115"/>
  <c r="AN16" i="115"/>
  <c r="AN26" i="115"/>
  <c r="AS33" i="115"/>
  <c r="AX33" i="115"/>
  <c r="BC44" i="115"/>
  <c r="BC59" i="115"/>
  <c r="AI29" i="115"/>
  <c r="AN44" i="115"/>
  <c r="AN36" i="115"/>
  <c r="AS43" i="115"/>
  <c r="AI52" i="115"/>
  <c r="BC47" i="115"/>
  <c r="AN59" i="115"/>
  <c r="AI63" i="115"/>
  <c r="AS52" i="115"/>
  <c r="AS68" i="115"/>
  <c r="AX52" i="115"/>
  <c r="AS60" i="115"/>
  <c r="BC62" i="115"/>
  <c r="AN70" i="115"/>
  <c r="AX70" i="115"/>
  <c r="AS62" i="115"/>
  <c r="BC61" i="115"/>
  <c r="AC75" i="115"/>
  <c r="AC39" i="115"/>
  <c r="AD70" i="115"/>
  <c r="AD71" i="115"/>
  <c r="AD69" i="115"/>
  <c r="AD66" i="115"/>
  <c r="AD49" i="115"/>
  <c r="AD44" i="115"/>
  <c r="AD57" i="115"/>
  <c r="AD58" i="115"/>
  <c r="AD55" i="115"/>
  <c r="AD59" i="115"/>
  <c r="AD13" i="115"/>
  <c r="AD14" i="115"/>
  <c r="AD17" i="115"/>
  <c r="AD11" i="115"/>
  <c r="AD9" i="115"/>
  <c r="AD22" i="115"/>
  <c r="AD19" i="115"/>
  <c r="AX16" i="115"/>
  <c r="AD27" i="115"/>
  <c r="AD47" i="115"/>
  <c r="AN8" i="115"/>
  <c r="AD24" i="115"/>
  <c r="AD15" i="115"/>
  <c r="AD10" i="115"/>
  <c r="AD23" i="115"/>
  <c r="AD61" i="115"/>
  <c r="AD60" i="115"/>
  <c r="AD68" i="115"/>
  <c r="AD43" i="115"/>
  <c r="AS8" i="115"/>
  <c r="AD20" i="115"/>
  <c r="AD18" i="115"/>
  <c r="BC8" i="115"/>
  <c r="AD25" i="115"/>
  <c r="AD28" i="115"/>
  <c r="AD29" i="115"/>
  <c r="AD52" i="115"/>
  <c r="AD31" i="115"/>
  <c r="AD51" i="115"/>
  <c r="AD21" i="115"/>
  <c r="AD45" i="115"/>
  <c r="AD32" i="115"/>
  <c r="AD54" i="115"/>
  <c r="AD64" i="115"/>
  <c r="AD12" i="115"/>
  <c r="AD26" i="115"/>
  <c r="AD8" i="115"/>
  <c r="AC93" i="115"/>
  <c r="AI8" i="115"/>
  <c r="AD16" i="115"/>
  <c r="AD30" i="115"/>
  <c r="AD33" i="115"/>
  <c r="AD65" i="115"/>
  <c r="AD56" i="115"/>
  <c r="AD67" i="115"/>
  <c r="AS42" i="115"/>
  <c r="AX12" i="115"/>
  <c r="AP75" i="115"/>
  <c r="AP39" i="115"/>
  <c r="AD41" i="115"/>
  <c r="AX36" i="115"/>
  <c r="BC16" i="115"/>
  <c r="AI9" i="115"/>
  <c r="BC54" i="115"/>
  <c r="BR48" i="115"/>
  <c r="BO48" i="115"/>
  <c r="BL50" i="115"/>
  <c r="BO51" i="115"/>
  <c r="BL35" i="115"/>
  <c r="BO36" i="115"/>
  <c r="AH75" i="115"/>
  <c r="AH39" i="115"/>
  <c r="AL76" i="115"/>
  <c r="AL81" i="115"/>
  <c r="AL83" i="115" s="1"/>
  <c r="AL84" i="115" s="1"/>
  <c r="AL86" i="115" s="1"/>
  <c r="AL87" i="115" s="1"/>
  <c r="BO12" i="115"/>
  <c r="BR12" i="115"/>
  <c r="AA75" i="115"/>
  <c r="AA39" i="115"/>
  <c r="AX50" i="115"/>
  <c r="AI50" i="115"/>
  <c r="AI54" i="115"/>
  <c r="BR44" i="115"/>
  <c r="BO44" i="115"/>
  <c r="W81" i="115"/>
  <c r="W83" i="115" s="1"/>
  <c r="W84" i="115" s="1"/>
  <c r="W86" i="115" s="1"/>
  <c r="W87" i="115" s="1"/>
  <c r="W76" i="115"/>
  <c r="AX54" i="115"/>
  <c r="BG89" i="115"/>
  <c r="BH8" i="115" s="1"/>
  <c r="AF76" i="115"/>
  <c r="AF81" i="115"/>
  <c r="AF83" i="115" s="1"/>
  <c r="AF84" i="115" s="1"/>
  <c r="AF86" i="115" s="1"/>
  <c r="AF87" i="115" s="1"/>
  <c r="BG38" i="115"/>
  <c r="BR28" i="115"/>
  <c r="S8" i="115"/>
  <c r="BE75" i="115"/>
  <c r="BE39" i="115"/>
  <c r="BR65" i="115"/>
  <c r="BO65" i="115"/>
  <c r="BO56" i="115"/>
  <c r="AN41" i="115"/>
  <c r="BJ54" i="115"/>
  <c r="BL21" i="115"/>
  <c r="BJ8" i="115"/>
  <c r="BJ38" i="115" s="1"/>
  <c r="X89" i="115"/>
  <c r="Y8" i="115" s="1"/>
  <c r="X38" i="115"/>
  <c r="BF81" i="115"/>
  <c r="BF83" i="115" s="1"/>
  <c r="BF84" i="115" s="1"/>
  <c r="BF86" i="115" s="1"/>
  <c r="BF87" i="115" s="1"/>
  <c r="BA81" i="115"/>
  <c r="BA83" i="115" s="1"/>
  <c r="BA84" i="115" s="1"/>
  <c r="BA86" i="115" s="1"/>
  <c r="BA87" i="115" s="1"/>
  <c r="BA76" i="115"/>
  <c r="H75" i="115"/>
  <c r="H39" i="115"/>
  <c r="I89" i="115"/>
  <c r="BK8" i="115"/>
  <c r="BK38" i="115" s="1"/>
  <c r="Q76" i="115"/>
  <c r="BL73" i="115"/>
  <c r="E89" i="115"/>
  <c r="F41" i="115" s="1"/>
  <c r="I75" i="115"/>
  <c r="I39" i="115"/>
  <c r="AQ75" i="115"/>
  <c r="AQ39" i="115"/>
  <c r="S54" i="115"/>
  <c r="V76" i="115"/>
  <c r="V81" i="115"/>
  <c r="V83" i="115" s="1"/>
  <c r="V84" i="115" s="1"/>
  <c r="V86" i="115" s="1"/>
  <c r="V87" i="115" s="1"/>
  <c r="AW75" i="115"/>
  <c r="AW39" i="115"/>
  <c r="AU81" i="115"/>
  <c r="AU83" i="115" s="1"/>
  <c r="AU84" i="115" s="1"/>
  <c r="AU86" i="115" s="1"/>
  <c r="AU87" i="115" s="1"/>
  <c r="AU76" i="115"/>
  <c r="AW89" i="115"/>
  <c r="AW93" i="115" s="1"/>
  <c r="AX8" i="115"/>
  <c r="R76" i="115"/>
  <c r="R81" i="115"/>
  <c r="R83" i="115" s="1"/>
  <c r="R84" i="115" s="1"/>
  <c r="R86" i="115" s="1"/>
  <c r="R87" i="115" s="1"/>
  <c r="AN54" i="115"/>
  <c r="BL54" i="115"/>
  <c r="BC41" i="115"/>
  <c r="AS50" i="115"/>
  <c r="BO42" i="115"/>
  <c r="BL41" i="115"/>
  <c r="AS54" i="115"/>
  <c r="AS41" i="115"/>
  <c r="BB75" i="115"/>
  <c r="BB39" i="115"/>
  <c r="D76" i="115"/>
  <c r="D81" i="115"/>
  <c r="D83" i="115" s="1"/>
  <c r="D84" i="115" s="1"/>
  <c r="D86" i="115" s="1"/>
  <c r="D87" i="115" s="1"/>
  <c r="BR13" i="115"/>
  <c r="AZ76" i="115"/>
  <c r="AZ81" i="115"/>
  <c r="AZ83" i="115" s="1"/>
  <c r="AZ84" i="115" s="1"/>
  <c r="AZ86" i="115" s="1"/>
  <c r="AZ87" i="115" s="1"/>
  <c r="G75" i="115"/>
  <c r="G39" i="115"/>
  <c r="AB76" i="115"/>
  <c r="AB81" i="115"/>
  <c r="AB83" i="115" s="1"/>
  <c r="AB84" i="115" s="1"/>
  <c r="AB86" i="115" s="1"/>
  <c r="AB87" i="115" s="1"/>
  <c r="C81" i="115"/>
  <c r="C83" i="115" s="1"/>
  <c r="C84" i="115" s="1"/>
  <c r="C86" i="115" s="1"/>
  <c r="C87" i="115" s="1"/>
  <c r="C76" i="115"/>
  <c r="AV76" i="115"/>
  <c r="AV81" i="115"/>
  <c r="AV83" i="115" s="1"/>
  <c r="AV84" i="115" s="1"/>
  <c r="AV86" i="115" s="1"/>
  <c r="AV87" i="115" s="1"/>
  <c r="BL5" i="115"/>
  <c r="BR6" i="115"/>
  <c r="BO6" i="115"/>
  <c r="AR75" i="115"/>
  <c r="AR39" i="115"/>
  <c r="AM75" i="115"/>
  <c r="AM39" i="115"/>
  <c r="AM81" i="115" l="1"/>
  <c r="AM83" i="115" s="1"/>
  <c r="AM84" i="115" s="1"/>
  <c r="AM86" i="115" s="1"/>
  <c r="AM87" i="115" s="1"/>
  <c r="AM76" i="115"/>
  <c r="F85" i="115"/>
  <c r="F72" i="115"/>
  <c r="F63" i="115"/>
  <c r="F82" i="115"/>
  <c r="F32" i="115"/>
  <c r="F31" i="115"/>
  <c r="F57" i="115"/>
  <c r="F48" i="115"/>
  <c r="F42" i="115"/>
  <c r="F28" i="115"/>
  <c r="F59" i="115"/>
  <c r="F43" i="115"/>
  <c r="F29" i="115"/>
  <c r="F45" i="115"/>
  <c r="F25" i="115"/>
  <c r="F9" i="115"/>
  <c r="F14" i="115"/>
  <c r="F16" i="115"/>
  <c r="F15" i="115"/>
  <c r="F10" i="115"/>
  <c r="F19" i="115"/>
  <c r="F27" i="115"/>
  <c r="F55" i="115"/>
  <c r="F36" i="115"/>
  <c r="F33" i="115"/>
  <c r="F58" i="115"/>
  <c r="F60" i="115"/>
  <c r="F68" i="115"/>
  <c r="F56" i="115"/>
  <c r="F71" i="115"/>
  <c r="F69" i="115"/>
  <c r="F11" i="115"/>
  <c r="F18" i="115"/>
  <c r="F30" i="115"/>
  <c r="F51" i="115"/>
  <c r="F50" i="115"/>
  <c r="F65" i="115"/>
  <c r="F61" i="115"/>
  <c r="F52" i="115"/>
  <c r="F79" i="115"/>
  <c r="F70" i="115"/>
  <c r="F17" i="115"/>
  <c r="F20" i="115"/>
  <c r="F62" i="115"/>
  <c r="F67" i="115"/>
  <c r="F66" i="115"/>
  <c r="F8" i="115"/>
  <c r="F44" i="115"/>
  <c r="F12" i="115"/>
  <c r="F26" i="115"/>
  <c r="F21" i="115"/>
  <c r="F35" i="115"/>
  <c r="F46" i="115"/>
  <c r="F47" i="115"/>
  <c r="F73" i="115"/>
  <c r="F24" i="115"/>
  <c r="F13" i="115"/>
  <c r="F64" i="115"/>
  <c r="Y29" i="115"/>
  <c r="Y31" i="115"/>
  <c r="Y9" i="115"/>
  <c r="Y23" i="115"/>
  <c r="Y10" i="115"/>
  <c r="Y21" i="115"/>
  <c r="AS16" i="115"/>
  <c r="Y20" i="115"/>
  <c r="Y26" i="115"/>
  <c r="Y13" i="115"/>
  <c r="Y16" i="115"/>
  <c r="Y19" i="115"/>
  <c r="Y15" i="115"/>
  <c r="Y30" i="115"/>
  <c r="Y27" i="115"/>
  <c r="Y14" i="115"/>
  <c r="Y33" i="115"/>
  <c r="Y28" i="115"/>
  <c r="Y18" i="115"/>
  <c r="Y24" i="115"/>
  <c r="Y25" i="115"/>
  <c r="Y11" i="115"/>
  <c r="Y22" i="115"/>
  <c r="Y32" i="115"/>
  <c r="Y17" i="115"/>
  <c r="Y12" i="115"/>
  <c r="BE81" i="115"/>
  <c r="BE83" i="115" s="1"/>
  <c r="BE84" i="115" s="1"/>
  <c r="BE86" i="115" s="1"/>
  <c r="BE87" i="115" s="1"/>
  <c r="BE76" i="115"/>
  <c r="F54" i="115"/>
  <c r="H81" i="115"/>
  <c r="H83" i="115" s="1"/>
  <c r="H84" i="115" s="1"/>
  <c r="H86" i="115" s="1"/>
  <c r="H87" i="115" s="1"/>
  <c r="H76" i="115"/>
  <c r="G76" i="115"/>
  <c r="G81" i="115"/>
  <c r="G83" i="115" s="1"/>
  <c r="G84" i="115" s="1"/>
  <c r="G86" i="115" s="1"/>
  <c r="G87" i="115" s="1"/>
  <c r="S89" i="115"/>
  <c r="T54" i="115" s="1"/>
  <c r="S38" i="115"/>
  <c r="AA81" i="115"/>
  <c r="AA83" i="115" s="1"/>
  <c r="AA84" i="115" s="1"/>
  <c r="AA86" i="115" s="1"/>
  <c r="AA87" i="115" s="1"/>
  <c r="AA76" i="115"/>
  <c r="BJ75" i="115"/>
  <c r="BJ39" i="115"/>
  <c r="AR81" i="115"/>
  <c r="AR83" i="115" s="1"/>
  <c r="AR84" i="115" s="1"/>
  <c r="AR86" i="115" s="1"/>
  <c r="AR87" i="115" s="1"/>
  <c r="AR76" i="115"/>
  <c r="BR21" i="115"/>
  <c r="BO21" i="115"/>
  <c r="BL8" i="115"/>
  <c r="BL38" i="115" s="1"/>
  <c r="I81" i="115"/>
  <c r="I83" i="115" s="1"/>
  <c r="I84" i="115" s="1"/>
  <c r="I86" i="115" s="1"/>
  <c r="I87" i="115" s="1"/>
  <c r="I76" i="115"/>
  <c r="BG75" i="115"/>
  <c r="BG39" i="115"/>
  <c r="AP76" i="115"/>
  <c r="AP81" i="115"/>
  <c r="AP83" i="115" s="1"/>
  <c r="AP84" i="115" s="1"/>
  <c r="AP86" i="115" s="1"/>
  <c r="AP87" i="115" s="1"/>
  <c r="BB81" i="115"/>
  <c r="BB83" i="115" s="1"/>
  <c r="BB84" i="115" s="1"/>
  <c r="BB86" i="115" s="1"/>
  <c r="BB87" i="115" s="1"/>
  <c r="BB76" i="115"/>
  <c r="AQ81" i="115"/>
  <c r="AQ83" i="115" s="1"/>
  <c r="AQ84" i="115" s="1"/>
  <c r="AQ86" i="115" s="1"/>
  <c r="AQ87" i="115" s="1"/>
  <c r="AQ76" i="115"/>
  <c r="BH79" i="115"/>
  <c r="BH70" i="115"/>
  <c r="BH63" i="115"/>
  <c r="BH66" i="115"/>
  <c r="BH49" i="115"/>
  <c r="BH69" i="115"/>
  <c r="BH44" i="115"/>
  <c r="BH59" i="115"/>
  <c r="BH61" i="115"/>
  <c r="BH57" i="115"/>
  <c r="BH58" i="115"/>
  <c r="BH42" i="115"/>
  <c r="BH28" i="115"/>
  <c r="BH45" i="115"/>
  <c r="BH12" i="115"/>
  <c r="BH55" i="115"/>
  <c r="BH13" i="115"/>
  <c r="BH21" i="115"/>
  <c r="BH18" i="115"/>
  <c r="BH14" i="115"/>
  <c r="BH17" i="115"/>
  <c r="BH23" i="115"/>
  <c r="BH27" i="115"/>
  <c r="BH24" i="115"/>
  <c r="BH36" i="115"/>
  <c r="BH41" i="115"/>
  <c r="BH46" i="115"/>
  <c r="BH60" i="115"/>
  <c r="BH48" i="115"/>
  <c r="BH31" i="115"/>
  <c r="BH52" i="115"/>
  <c r="BH56" i="115"/>
  <c r="BH25" i="115"/>
  <c r="BG93" i="115"/>
  <c r="BH15" i="115"/>
  <c r="BH51" i="115"/>
  <c r="BH68" i="115"/>
  <c r="BH65" i="115"/>
  <c r="BH9" i="115"/>
  <c r="BH20" i="115"/>
  <c r="BH11" i="115"/>
  <c r="BH64" i="115"/>
  <c r="BH29" i="115"/>
  <c r="BH43" i="115"/>
  <c r="BH47" i="115"/>
  <c r="BH71" i="115"/>
  <c r="BH78" i="115"/>
  <c r="BH26" i="115"/>
  <c r="BH22" i="115"/>
  <c r="BH19" i="115"/>
  <c r="BH50" i="115"/>
  <c r="BH32" i="115"/>
  <c r="BH62" i="115"/>
  <c r="BH16" i="115"/>
  <c r="BH30" i="115"/>
  <c r="BH67" i="115"/>
  <c r="BH10" i="115"/>
  <c r="BH33" i="115"/>
  <c r="AH81" i="115"/>
  <c r="AH83" i="115" s="1"/>
  <c r="AH84" i="115" s="1"/>
  <c r="AH86" i="115" s="1"/>
  <c r="AH87" i="115" s="1"/>
  <c r="AH76" i="115"/>
  <c r="BK75" i="115"/>
  <c r="BK39" i="115"/>
  <c r="AW81" i="115"/>
  <c r="AW83" i="115" s="1"/>
  <c r="AW84" i="115" s="1"/>
  <c r="AW86" i="115" s="1"/>
  <c r="AW87" i="115" s="1"/>
  <c r="AW76" i="115"/>
  <c r="X75" i="115"/>
  <c r="X39" i="115"/>
  <c r="BH54" i="115"/>
  <c r="AC81" i="115"/>
  <c r="AC83" i="115" s="1"/>
  <c r="AC84" i="115" s="1"/>
  <c r="AC86" i="115" s="1"/>
  <c r="AC87" i="115" s="1"/>
  <c r="AC76" i="115"/>
  <c r="T8" i="115" l="1"/>
  <c r="BJ76" i="115"/>
  <c r="BJ81" i="115"/>
  <c r="BJ83" i="115" s="1"/>
  <c r="BJ84" i="115" s="1"/>
  <c r="BJ86" i="115" s="1"/>
  <c r="BJ87" i="115" s="1"/>
  <c r="X81" i="115"/>
  <c r="X83" i="115" s="1"/>
  <c r="X84" i="115" s="1"/>
  <c r="X86" i="115" s="1"/>
  <c r="X87" i="115" s="1"/>
  <c r="X76" i="115"/>
  <c r="BG81" i="115"/>
  <c r="BG83" i="115" s="1"/>
  <c r="BG84" i="115" s="1"/>
  <c r="BG86" i="115" s="1"/>
  <c r="BG87" i="115" s="1"/>
  <c r="BG76" i="115"/>
  <c r="S75" i="115"/>
  <c r="S39" i="115"/>
  <c r="BL75" i="115"/>
  <c r="BL39" i="115"/>
  <c r="BK81" i="115"/>
  <c r="BK83" i="115" s="1"/>
  <c r="BK84" i="115" s="1"/>
  <c r="BK86" i="115" s="1"/>
  <c r="BK87" i="115" s="1"/>
  <c r="BK76" i="115"/>
  <c r="BL89" i="115"/>
  <c r="BM8" i="115" s="1"/>
  <c r="Y72" i="115"/>
  <c r="J72" i="115"/>
  <c r="J69" i="115"/>
  <c r="Y68" i="115"/>
  <c r="J70" i="115"/>
  <c r="Y66" i="115"/>
  <c r="T71" i="115"/>
  <c r="J68" i="115"/>
  <c r="T62" i="115"/>
  <c r="J59" i="115"/>
  <c r="Y58" i="115"/>
  <c r="J49" i="115"/>
  <c r="T72" i="115"/>
  <c r="Y64" i="115"/>
  <c r="T58" i="115"/>
  <c r="T55" i="115"/>
  <c r="Y52" i="115"/>
  <c r="J51" i="115"/>
  <c r="Y56" i="115"/>
  <c r="J36" i="115"/>
  <c r="J33" i="115"/>
  <c r="T31" i="115"/>
  <c r="Y49" i="115"/>
  <c r="J46" i="115"/>
  <c r="J30" i="115"/>
  <c r="T67" i="115"/>
  <c r="J58" i="115"/>
  <c r="T56" i="115"/>
  <c r="J55" i="115"/>
  <c r="T51" i="115"/>
  <c r="T49" i="115"/>
  <c r="J42" i="115"/>
  <c r="Y45" i="115"/>
  <c r="J27" i="115"/>
  <c r="T44" i="115"/>
  <c r="T48" i="115"/>
  <c r="T46" i="115"/>
  <c r="Y60" i="115"/>
  <c r="J32" i="115"/>
  <c r="T25" i="115"/>
  <c r="T23" i="115"/>
  <c r="T16" i="115"/>
  <c r="T15" i="115"/>
  <c r="J31" i="115"/>
  <c r="J21" i="115"/>
  <c r="J19" i="115"/>
  <c r="J17" i="115"/>
  <c r="J11" i="115"/>
  <c r="T13" i="115"/>
  <c r="J24" i="115"/>
  <c r="T27" i="115"/>
  <c r="J10" i="115"/>
  <c r="J23" i="115"/>
  <c r="Y47" i="115"/>
  <c r="J13" i="115"/>
  <c r="J43" i="115"/>
  <c r="J60" i="115"/>
  <c r="Y59" i="115"/>
  <c r="T61" i="115"/>
  <c r="T69" i="115"/>
  <c r="Y69" i="115"/>
  <c r="J66" i="115"/>
  <c r="J20" i="115"/>
  <c r="T17" i="115"/>
  <c r="Y43" i="115"/>
  <c r="T42" i="115"/>
  <c r="Y42" i="115"/>
  <c r="T30" i="115"/>
  <c r="Y44" i="115"/>
  <c r="Y48" i="115"/>
  <c r="J44" i="115"/>
  <c r="T45" i="115"/>
  <c r="T60" i="115"/>
  <c r="J61" i="115"/>
  <c r="Y67" i="115"/>
  <c r="Y70" i="115"/>
  <c r="T64" i="115"/>
  <c r="J62" i="115"/>
  <c r="T9" i="115"/>
  <c r="T32" i="115"/>
  <c r="Y63" i="115"/>
  <c r="J45" i="115"/>
  <c r="Y36" i="115"/>
  <c r="J63" i="115"/>
  <c r="T47" i="115"/>
  <c r="J67" i="115"/>
  <c r="J25" i="115"/>
  <c r="J16" i="115"/>
  <c r="J12" i="115"/>
  <c r="J18" i="115"/>
  <c r="T36" i="115"/>
  <c r="T33" i="115"/>
  <c r="J29" i="115"/>
  <c r="J28" i="115"/>
  <c r="Y62" i="115"/>
  <c r="Y51" i="115"/>
  <c r="J57" i="115"/>
  <c r="J56" i="115"/>
  <c r="T70" i="115"/>
  <c r="Y61" i="115"/>
  <c r="T43" i="115"/>
  <c r="T14" i="115"/>
  <c r="J9" i="115"/>
  <c r="J22" i="115"/>
  <c r="J52" i="115"/>
  <c r="T10" i="115"/>
  <c r="J14" i="115"/>
  <c r="Y55" i="115"/>
  <c r="J48" i="115"/>
  <c r="T66" i="115"/>
  <c r="T68" i="115"/>
  <c r="J71" i="115"/>
  <c r="T63" i="115"/>
  <c r="Y46" i="115"/>
  <c r="Y71" i="115"/>
  <c r="AD36" i="115"/>
  <c r="J15" i="115"/>
  <c r="Y57" i="115"/>
  <c r="Y65" i="115"/>
  <c r="T59" i="115"/>
  <c r="T57" i="115"/>
  <c r="J26" i="115"/>
  <c r="T19" i="115"/>
  <c r="J47" i="115"/>
  <c r="J64" i="115"/>
  <c r="J54" i="115"/>
  <c r="T11" i="115"/>
  <c r="T52" i="115"/>
  <c r="J65" i="115"/>
  <c r="T29" i="115"/>
  <c r="T26" i="115"/>
  <c r="T65" i="115"/>
  <c r="T22" i="115"/>
  <c r="T41" i="115"/>
  <c r="J41" i="115"/>
  <c r="Y41" i="115"/>
  <c r="Y54" i="115"/>
  <c r="T21" i="115"/>
  <c r="T12" i="115"/>
  <c r="J8" i="115"/>
  <c r="T28" i="115"/>
  <c r="T20" i="115"/>
  <c r="T24" i="115"/>
  <c r="T18" i="115"/>
  <c r="BL81" i="115" l="1"/>
  <c r="BL83" i="115" s="1"/>
  <c r="BL84" i="115" s="1"/>
  <c r="BL76" i="115"/>
  <c r="BM72" i="115"/>
  <c r="BM49" i="115"/>
  <c r="BM64" i="115"/>
  <c r="BM60" i="115"/>
  <c r="BM11" i="115"/>
  <c r="BM19" i="115"/>
  <c r="BM29" i="115"/>
  <c r="BM63" i="115"/>
  <c r="BM22" i="115"/>
  <c r="BM46" i="115"/>
  <c r="BM14" i="115"/>
  <c r="BM10" i="115"/>
  <c r="BM32" i="115"/>
  <c r="BM43" i="115"/>
  <c r="BM67" i="115"/>
  <c r="BM61" i="115"/>
  <c r="BM24" i="115"/>
  <c r="BM17" i="115"/>
  <c r="BM20" i="115"/>
  <c r="BM25" i="115"/>
  <c r="BM55" i="115"/>
  <c r="BM69" i="115"/>
  <c r="BM23" i="115"/>
  <c r="BM27" i="115"/>
  <c r="BM15" i="115"/>
  <c r="BM26" i="115"/>
  <c r="BM31" i="115"/>
  <c r="BM33" i="115"/>
  <c r="BM62" i="115"/>
  <c r="BM58" i="115"/>
  <c r="BM59" i="115"/>
  <c r="BM47" i="115"/>
  <c r="BM45" i="115"/>
  <c r="BM18" i="115"/>
  <c r="BM57" i="115"/>
  <c r="BM52" i="115"/>
  <c r="BM66" i="115"/>
  <c r="BM68" i="115"/>
  <c r="BM70" i="115"/>
  <c r="BM9" i="115"/>
  <c r="BM71" i="115"/>
  <c r="BM16" i="115"/>
  <c r="BM44" i="115"/>
  <c r="BM28" i="115"/>
  <c r="BM65" i="115"/>
  <c r="BM12" i="115"/>
  <c r="BM30" i="115"/>
  <c r="BM42" i="115"/>
  <c r="BM13" i="115"/>
  <c r="BM48" i="115"/>
  <c r="BM56" i="115"/>
  <c r="BM74" i="115"/>
  <c r="BM51" i="115"/>
  <c r="BM36" i="115"/>
  <c r="BM35" i="115" s="1"/>
  <c r="BM41" i="115"/>
  <c r="BM54" i="115"/>
  <c r="BM21" i="115"/>
  <c r="S81" i="115"/>
  <c r="S83" i="115" s="1"/>
  <c r="S84" i="115" s="1"/>
  <c r="S86" i="115" s="1"/>
  <c r="S87" i="115" s="1"/>
  <c r="S76" i="115"/>
  <c r="BO84" i="115" l="1"/>
  <c r="BL86" i="115"/>
  <c r="BL87" i="115" s="1"/>
  <c r="BL98" i="115"/>
  <c r="BL101" i="115" s="1"/>
  <c r="G14" i="101" l="1"/>
  <c r="G2" i="101" s="1"/>
  <c r="BU85" i="98" l="1"/>
  <c r="BT85" i="98"/>
  <c r="BV85" i="98" s="1"/>
  <c r="BQ85" i="98"/>
  <c r="BL85" i="98"/>
  <c r="BG85" i="98"/>
  <c r="BU82" i="98"/>
  <c r="BT82" i="98"/>
  <c r="BQ82" i="98"/>
  <c r="BL82" i="98"/>
  <c r="BG82" i="98"/>
  <c r="BV79" i="98"/>
  <c r="BU79" i="98"/>
  <c r="BT79" i="98"/>
  <c r="BT77" i="98" s="1"/>
  <c r="BU78" i="98"/>
  <c r="BT78" i="98"/>
  <c r="BQ78" i="98"/>
  <c r="BQ77" i="98" s="1"/>
  <c r="BL78" i="98"/>
  <c r="BL77" i="98" s="1"/>
  <c r="BG78" i="98"/>
  <c r="BP77" i="98"/>
  <c r="BO77" i="98"/>
  <c r="BK77" i="98"/>
  <c r="BJ77" i="98"/>
  <c r="BF77" i="98"/>
  <c r="BE77" i="98"/>
  <c r="BU74" i="98"/>
  <c r="BU73" i="98" s="1"/>
  <c r="BT74" i="98"/>
  <c r="BT73" i="98" s="1"/>
  <c r="BQ74" i="98"/>
  <c r="BQ73" i="98" s="1"/>
  <c r="BL74" i="98"/>
  <c r="BL73" i="98" s="1"/>
  <c r="BG74" i="98"/>
  <c r="BG73" i="98" s="1"/>
  <c r="BP73" i="98"/>
  <c r="BO73" i="98"/>
  <c r="BK73" i="98"/>
  <c r="BJ73" i="98"/>
  <c r="BF73" i="98"/>
  <c r="BE73" i="98"/>
  <c r="BU71" i="98"/>
  <c r="BT71" i="98"/>
  <c r="BQ71" i="98"/>
  <c r="BL71" i="98"/>
  <c r="BG71" i="98"/>
  <c r="BU70" i="98"/>
  <c r="BT70" i="98"/>
  <c r="BQ70" i="98"/>
  <c r="BL70" i="98"/>
  <c r="BG70" i="98"/>
  <c r="BU69" i="98"/>
  <c r="BT69" i="98"/>
  <c r="BV69" i="98" s="1"/>
  <c r="BQ69" i="98"/>
  <c r="BL69" i="98"/>
  <c r="BG69" i="98"/>
  <c r="BU68" i="98"/>
  <c r="BT68" i="98"/>
  <c r="BQ68" i="98"/>
  <c r="BL68" i="98"/>
  <c r="BG68" i="98"/>
  <c r="BU67" i="98"/>
  <c r="BT67" i="98"/>
  <c r="BQ67" i="98"/>
  <c r="BL67" i="98"/>
  <c r="BG67" i="98"/>
  <c r="BU66" i="98"/>
  <c r="BT66" i="98"/>
  <c r="BV66" i="98" s="1"/>
  <c r="BQ66" i="98"/>
  <c r="BL66" i="98"/>
  <c r="BG66" i="98"/>
  <c r="BU65" i="98"/>
  <c r="BQ65" i="98"/>
  <c r="BL65" i="98"/>
  <c r="BG65" i="98"/>
  <c r="BU64" i="98"/>
  <c r="BT64" i="98"/>
  <c r="BQ64" i="98"/>
  <c r="BL64" i="98"/>
  <c r="BG64" i="98"/>
  <c r="BU63" i="98"/>
  <c r="BQ63" i="98"/>
  <c r="BL63" i="98"/>
  <c r="BG63" i="98"/>
  <c r="BU62" i="98"/>
  <c r="BT62" i="98"/>
  <c r="BQ62" i="98"/>
  <c r="BL62" i="98"/>
  <c r="BG62" i="98"/>
  <c r="BU61" i="98"/>
  <c r="BT61" i="98"/>
  <c r="BQ61" i="98"/>
  <c r="BL61" i="98"/>
  <c r="BG61" i="98"/>
  <c r="BU60" i="98"/>
  <c r="BT60" i="98"/>
  <c r="BQ60" i="98"/>
  <c r="BL60" i="98"/>
  <c r="BG60" i="98"/>
  <c r="BU59" i="98"/>
  <c r="BT59" i="98"/>
  <c r="BV59" i="98" s="1"/>
  <c r="BQ59" i="98"/>
  <c r="BL59" i="98"/>
  <c r="BG59" i="98"/>
  <c r="BU58" i="98"/>
  <c r="BT58" i="98"/>
  <c r="BQ58" i="98"/>
  <c r="BL58" i="98"/>
  <c r="BG58" i="98"/>
  <c r="BU57" i="98"/>
  <c r="BT57" i="98"/>
  <c r="BQ57" i="98"/>
  <c r="BL57" i="98"/>
  <c r="BG57" i="98"/>
  <c r="BU56" i="98"/>
  <c r="BT56" i="98"/>
  <c r="BV56" i="98" s="1"/>
  <c r="BQ56" i="98"/>
  <c r="BL56" i="98"/>
  <c r="BG56" i="98"/>
  <c r="BU55" i="98"/>
  <c r="BT55" i="98"/>
  <c r="BQ55" i="98"/>
  <c r="BL55" i="98"/>
  <c r="BG55" i="98"/>
  <c r="BP54" i="98"/>
  <c r="BO54" i="98"/>
  <c r="BK54" i="98"/>
  <c r="BJ54" i="98"/>
  <c r="BF54" i="98"/>
  <c r="BE54" i="98"/>
  <c r="BU52" i="98"/>
  <c r="BT52" i="98"/>
  <c r="BQ52" i="98"/>
  <c r="BL52" i="98"/>
  <c r="BG52" i="98"/>
  <c r="BU51" i="98"/>
  <c r="BT51" i="98"/>
  <c r="BQ51" i="98"/>
  <c r="BL51" i="98"/>
  <c r="BG51" i="98"/>
  <c r="BP50" i="98"/>
  <c r="BO50" i="98"/>
  <c r="BK50" i="98"/>
  <c r="BJ50" i="98"/>
  <c r="BF50" i="98"/>
  <c r="BE50" i="98"/>
  <c r="BU48" i="98"/>
  <c r="BQ48" i="98"/>
  <c r="BL48" i="98"/>
  <c r="BG48" i="98"/>
  <c r="BU47" i="98"/>
  <c r="BQ47" i="98"/>
  <c r="BL47" i="98"/>
  <c r="BG47" i="98"/>
  <c r="BU46" i="98"/>
  <c r="BT46" i="98"/>
  <c r="BQ46" i="98"/>
  <c r="BL46" i="98"/>
  <c r="BG46" i="98"/>
  <c r="BU45" i="98"/>
  <c r="BT45" i="98"/>
  <c r="BQ45" i="98"/>
  <c r="BL45" i="98"/>
  <c r="BG45" i="98"/>
  <c r="BU44" i="98"/>
  <c r="BT44" i="98"/>
  <c r="BQ44" i="98"/>
  <c r="BL44" i="98"/>
  <c r="BG44" i="98"/>
  <c r="BU43" i="98"/>
  <c r="BT43" i="98"/>
  <c r="BQ43" i="98"/>
  <c r="BL43" i="98"/>
  <c r="BG43" i="98"/>
  <c r="BU42" i="98"/>
  <c r="BT42" i="98"/>
  <c r="BQ42" i="98"/>
  <c r="BL42" i="98"/>
  <c r="BG42" i="98"/>
  <c r="BP41" i="98"/>
  <c r="BO41" i="98"/>
  <c r="BK41" i="98"/>
  <c r="BJ41" i="98"/>
  <c r="BF41" i="98"/>
  <c r="BE41" i="98"/>
  <c r="BU36" i="98"/>
  <c r="BU35" i="98" s="1"/>
  <c r="BT36" i="98"/>
  <c r="BT35" i="98" s="1"/>
  <c r="BQ36" i="98"/>
  <c r="BQ35" i="98" s="1"/>
  <c r="BL36" i="98"/>
  <c r="BG36" i="98"/>
  <c r="BP35" i="98"/>
  <c r="BO35" i="98"/>
  <c r="BK35" i="98"/>
  <c r="BJ35" i="98"/>
  <c r="BF35" i="98"/>
  <c r="BE35" i="98"/>
  <c r="BU33" i="98"/>
  <c r="BT33" i="98"/>
  <c r="BQ33" i="98"/>
  <c r="BL33" i="98"/>
  <c r="BG33" i="98"/>
  <c r="BU32" i="98"/>
  <c r="BT32" i="98"/>
  <c r="BQ32" i="98"/>
  <c r="BL32" i="98"/>
  <c r="BG32" i="98"/>
  <c r="BU31" i="98"/>
  <c r="BT31" i="98"/>
  <c r="BQ31" i="98"/>
  <c r="BL31" i="98"/>
  <c r="BG31" i="98"/>
  <c r="BT30" i="98"/>
  <c r="BQ30" i="98"/>
  <c r="BL30" i="98"/>
  <c r="BG30" i="98"/>
  <c r="BU29" i="98"/>
  <c r="BQ29" i="98"/>
  <c r="BL29" i="98"/>
  <c r="BG29" i="98"/>
  <c r="BQ28" i="98"/>
  <c r="BL28" i="98"/>
  <c r="BG28" i="98"/>
  <c r="BU27" i="98"/>
  <c r="BT27" i="98"/>
  <c r="BQ27" i="98"/>
  <c r="BL27" i="98"/>
  <c r="BG27" i="98"/>
  <c r="BU26" i="98"/>
  <c r="BQ26" i="98"/>
  <c r="BL26" i="98"/>
  <c r="BG26" i="98"/>
  <c r="BU25" i="98"/>
  <c r="BQ25" i="98"/>
  <c r="BL25" i="98"/>
  <c r="BG25" i="98"/>
  <c r="BU24" i="98"/>
  <c r="BQ24" i="98"/>
  <c r="BL24" i="98"/>
  <c r="BG24" i="98"/>
  <c r="BU23" i="98"/>
  <c r="BQ23" i="98"/>
  <c r="BL23" i="98"/>
  <c r="BG23" i="98"/>
  <c r="BU22" i="98"/>
  <c r="BQ22" i="98"/>
  <c r="BL22" i="98"/>
  <c r="BG22" i="98"/>
  <c r="BU21" i="98"/>
  <c r="BQ21" i="98"/>
  <c r="BL21" i="98"/>
  <c r="BG21" i="98"/>
  <c r="BU20" i="98"/>
  <c r="BT20" i="98"/>
  <c r="BQ20" i="98"/>
  <c r="BL20" i="98"/>
  <c r="BG20" i="98"/>
  <c r="BU19" i="98"/>
  <c r="BT19" i="98"/>
  <c r="BQ19" i="98"/>
  <c r="BL19" i="98"/>
  <c r="BG19" i="98"/>
  <c r="BU18" i="98"/>
  <c r="BQ18" i="98"/>
  <c r="BL18" i="98"/>
  <c r="BG18" i="98"/>
  <c r="BU17" i="98"/>
  <c r="BT17" i="98"/>
  <c r="BQ17" i="98"/>
  <c r="BL17" i="98"/>
  <c r="BG17" i="98"/>
  <c r="BT16" i="98"/>
  <c r="BQ16" i="98"/>
  <c r="BL16" i="98"/>
  <c r="BG16" i="98"/>
  <c r="BU15" i="98"/>
  <c r="BT15" i="98"/>
  <c r="BQ15" i="98"/>
  <c r="BL15" i="98"/>
  <c r="BG15" i="98"/>
  <c r="BU14" i="98"/>
  <c r="BT14" i="98"/>
  <c r="BQ14" i="98"/>
  <c r="BL14" i="98"/>
  <c r="BG14" i="98"/>
  <c r="BU13" i="98"/>
  <c r="BT13" i="98"/>
  <c r="BQ13" i="98"/>
  <c r="BL13" i="98"/>
  <c r="BG13" i="98"/>
  <c r="BQ12" i="98"/>
  <c r="BL12" i="98"/>
  <c r="BG12" i="98"/>
  <c r="BU11" i="98"/>
  <c r="BT11" i="98"/>
  <c r="BQ11" i="98"/>
  <c r="BL11" i="98"/>
  <c r="BG11" i="98"/>
  <c r="BU10" i="98"/>
  <c r="BT10" i="98"/>
  <c r="BQ10" i="98"/>
  <c r="BL10" i="98"/>
  <c r="BG10" i="98"/>
  <c r="BU9" i="98"/>
  <c r="BV9" i="98" s="1"/>
  <c r="BT9" i="98"/>
  <c r="BQ9" i="98"/>
  <c r="BL9" i="98"/>
  <c r="BG9" i="98"/>
  <c r="BP8" i="98"/>
  <c r="BO8" i="98"/>
  <c r="BK8" i="98"/>
  <c r="BJ8" i="98"/>
  <c r="BF8" i="98"/>
  <c r="BE8" i="98"/>
  <c r="BU7" i="98"/>
  <c r="BT7" i="98"/>
  <c r="BV7" i="98" s="1"/>
  <c r="BQ7" i="98"/>
  <c r="BL7" i="98"/>
  <c r="BG7" i="98"/>
  <c r="BU6" i="98"/>
  <c r="BU5" i="98" s="1"/>
  <c r="BQ6" i="98"/>
  <c r="BQ5" i="98" s="1"/>
  <c r="BL6" i="98"/>
  <c r="BG6" i="98"/>
  <c r="BG5" i="98" s="1"/>
  <c r="BP5" i="98"/>
  <c r="BP38" i="98" s="1"/>
  <c r="BO5" i="98"/>
  <c r="BK5" i="98"/>
  <c r="BK38" i="98" s="1"/>
  <c r="BJ5" i="98"/>
  <c r="BF5" i="98"/>
  <c r="BF38" i="98" s="1"/>
  <c r="BF75" i="98" s="1"/>
  <c r="BE5" i="98"/>
  <c r="BE38" i="98" l="1"/>
  <c r="BO38" i="98"/>
  <c r="BV20" i="98"/>
  <c r="BG8" i="98"/>
  <c r="BG38" i="98" s="1"/>
  <c r="BU54" i="98"/>
  <c r="BJ38" i="98"/>
  <c r="BV17" i="98"/>
  <c r="BV19" i="98"/>
  <c r="BV32" i="98"/>
  <c r="BV71" i="98"/>
  <c r="BV78" i="98"/>
  <c r="BV77" i="98" s="1"/>
  <c r="BV31" i="98"/>
  <c r="BF39" i="98"/>
  <c r="BV43" i="98"/>
  <c r="BV44" i="98"/>
  <c r="BQ50" i="98"/>
  <c r="BV62" i="98"/>
  <c r="BV68" i="98"/>
  <c r="BL8" i="98"/>
  <c r="BV45" i="98"/>
  <c r="BU77" i="98"/>
  <c r="BV33" i="98"/>
  <c r="BQ41" i="98"/>
  <c r="BV46" i="98"/>
  <c r="BV52" i="98"/>
  <c r="BV82" i="98"/>
  <c r="BQ8" i="98"/>
  <c r="BQ38" i="98" s="1"/>
  <c r="BV11" i="98"/>
  <c r="BV15" i="98"/>
  <c r="BV27" i="98"/>
  <c r="BV36" i="98"/>
  <c r="BV35" i="98" s="1"/>
  <c r="BV57" i="98"/>
  <c r="BV60" i="98"/>
  <c r="BV14" i="98"/>
  <c r="BV13" i="98"/>
  <c r="BU41" i="98"/>
  <c r="BU50" i="98"/>
  <c r="BV58" i="98"/>
  <c r="BV61" i="98"/>
  <c r="BV64" i="98"/>
  <c r="BV67" i="98"/>
  <c r="BV70" i="98"/>
  <c r="BV74" i="98"/>
  <c r="BV73" i="98" s="1"/>
  <c r="BQ39" i="98"/>
  <c r="BK75" i="98"/>
  <c r="BK39" i="98"/>
  <c r="BO39" i="98"/>
  <c r="BO75" i="98"/>
  <c r="BL5" i="98"/>
  <c r="BP75" i="98"/>
  <c r="BP39" i="98"/>
  <c r="BJ75" i="98"/>
  <c r="BJ39" i="98"/>
  <c r="BG41" i="98"/>
  <c r="BL41" i="98"/>
  <c r="BV51" i="98"/>
  <c r="BT50" i="98"/>
  <c r="BV55" i="98"/>
  <c r="BE75" i="98"/>
  <c r="BE39" i="98"/>
  <c r="BF81" i="98"/>
  <c r="BF83" i="98" s="1"/>
  <c r="BF84" i="98" s="1"/>
  <c r="BF86" i="98" s="1"/>
  <c r="BF87" i="98" s="1"/>
  <c r="BF76" i="98"/>
  <c r="BL35" i="98"/>
  <c r="BQ54" i="98"/>
  <c r="BV42" i="98"/>
  <c r="BG50" i="98"/>
  <c r="BL50" i="98"/>
  <c r="BG54" i="98"/>
  <c r="BL54" i="98"/>
  <c r="BV10" i="98"/>
  <c r="BG35" i="98"/>
  <c r="BQ75" i="98" l="1"/>
  <c r="BL89" i="98"/>
  <c r="BQ89" i="98"/>
  <c r="BM79" i="98"/>
  <c r="BM49" i="98"/>
  <c r="BR72" i="98"/>
  <c r="BR32" i="98"/>
  <c r="BM31" i="98"/>
  <c r="BR29" i="98"/>
  <c r="BM28" i="98"/>
  <c r="BR26" i="98"/>
  <c r="BM25" i="98"/>
  <c r="BR23" i="98"/>
  <c r="BM22" i="98"/>
  <c r="BR20" i="98"/>
  <c r="BM19" i="98"/>
  <c r="BR17" i="98"/>
  <c r="BM16" i="98"/>
  <c r="BR14" i="98"/>
  <c r="BM13" i="98"/>
  <c r="BR11" i="98"/>
  <c r="BM10" i="98"/>
  <c r="BM72" i="98"/>
  <c r="BR79" i="98"/>
  <c r="BR33" i="98"/>
  <c r="BM32" i="98"/>
  <c r="BR30" i="98"/>
  <c r="BM29" i="98"/>
  <c r="BR27" i="98"/>
  <c r="BM26" i="98"/>
  <c r="BR24" i="98"/>
  <c r="BM23" i="98"/>
  <c r="BR21" i="98"/>
  <c r="BM20" i="98"/>
  <c r="BR18" i="98"/>
  <c r="BM17" i="98"/>
  <c r="BR15" i="98"/>
  <c r="BM14" i="98"/>
  <c r="BR12" i="98"/>
  <c r="BM11" i="98"/>
  <c r="BR9" i="98"/>
  <c r="BM30" i="98"/>
  <c r="BR25" i="98"/>
  <c r="BM12" i="98"/>
  <c r="BM27" i="98"/>
  <c r="BR22" i="98"/>
  <c r="BM9" i="98"/>
  <c r="BM8" i="98"/>
  <c r="BR49" i="98"/>
  <c r="BM24" i="98"/>
  <c r="BR19" i="98"/>
  <c r="BM21" i="98"/>
  <c r="BR16" i="98"/>
  <c r="BR31" i="98"/>
  <c r="BM18" i="98"/>
  <c r="BR13" i="98"/>
  <c r="BM33" i="98"/>
  <c r="BR28" i="98"/>
  <c r="BM15" i="98"/>
  <c r="BR10" i="98"/>
  <c r="BR41" i="98"/>
  <c r="BM51" i="98"/>
  <c r="BM45" i="98"/>
  <c r="BR45" i="98"/>
  <c r="BR61" i="98"/>
  <c r="BR70" i="98"/>
  <c r="BR42" i="98"/>
  <c r="BM65" i="98"/>
  <c r="BR48" i="98"/>
  <c r="BR55" i="98"/>
  <c r="BM60" i="98"/>
  <c r="BR69" i="98"/>
  <c r="BR52" i="98"/>
  <c r="BR46" i="98"/>
  <c r="BM52" i="98"/>
  <c r="BM57" i="98"/>
  <c r="BM66" i="98"/>
  <c r="BR64" i="98"/>
  <c r="BM44" i="98"/>
  <c r="BM55" i="98"/>
  <c r="BM64" i="98"/>
  <c r="BR47" i="98"/>
  <c r="BM61" i="98"/>
  <c r="BM70" i="98"/>
  <c r="BR8" i="98"/>
  <c r="BR58" i="98"/>
  <c r="BR67" i="98"/>
  <c r="BM46" i="98"/>
  <c r="BR56" i="98"/>
  <c r="BR65" i="98"/>
  <c r="BM62" i="98"/>
  <c r="BM71" i="98"/>
  <c r="BM43" i="98"/>
  <c r="BR62" i="98"/>
  <c r="BR71" i="98"/>
  <c r="BM42" i="98"/>
  <c r="BM58" i="98"/>
  <c r="BM67" i="98"/>
  <c r="BM47" i="98"/>
  <c r="BR57" i="98"/>
  <c r="BR66" i="98"/>
  <c r="BR51" i="98"/>
  <c r="BM63" i="98"/>
  <c r="BR63" i="98"/>
  <c r="BR43" i="98"/>
  <c r="BM59" i="98"/>
  <c r="BM68" i="98"/>
  <c r="BR50" i="98"/>
  <c r="BR59" i="98"/>
  <c r="BR68" i="98"/>
  <c r="BM48" i="98"/>
  <c r="BR44" i="98"/>
  <c r="BM69" i="98"/>
  <c r="BR60" i="98"/>
  <c r="BM56" i="98"/>
  <c r="BQ81" i="98"/>
  <c r="BQ83" i="98" s="1"/>
  <c r="BQ84" i="98" s="1"/>
  <c r="BQ86" i="98" s="1"/>
  <c r="BQ87" i="98" s="1"/>
  <c r="BQ76" i="98"/>
  <c r="BE76" i="98"/>
  <c r="BE81" i="98"/>
  <c r="BE83" i="98" s="1"/>
  <c r="BE84" i="98" s="1"/>
  <c r="BE86" i="98" s="1"/>
  <c r="BE87" i="98" s="1"/>
  <c r="BM41" i="98"/>
  <c r="BP81" i="98"/>
  <c r="BP83" i="98" s="1"/>
  <c r="BP84" i="98" s="1"/>
  <c r="BP86" i="98" s="1"/>
  <c r="BP87" i="98" s="1"/>
  <c r="BP76" i="98"/>
  <c r="BL92" i="98"/>
  <c r="BL38" i="98"/>
  <c r="BK81" i="98"/>
  <c r="BK83" i="98" s="1"/>
  <c r="BK84" i="98" s="1"/>
  <c r="BK86" i="98" s="1"/>
  <c r="BK87" i="98" s="1"/>
  <c r="BK76" i="98"/>
  <c r="BG39" i="98"/>
  <c r="BG75" i="98"/>
  <c r="BM50" i="98"/>
  <c r="BV50" i="98"/>
  <c r="BO81" i="98"/>
  <c r="BO83" i="98" s="1"/>
  <c r="BO84" i="98" s="1"/>
  <c r="BO86" i="98" s="1"/>
  <c r="BO87" i="98" s="1"/>
  <c r="BO76" i="98"/>
  <c r="BJ81" i="98"/>
  <c r="BJ83" i="98" s="1"/>
  <c r="BJ84" i="98" s="1"/>
  <c r="BJ86" i="98" s="1"/>
  <c r="BJ87" i="98" s="1"/>
  <c r="BJ76" i="98"/>
  <c r="BM54" i="98"/>
  <c r="BR54" i="98"/>
  <c r="BL75" i="98" l="1"/>
  <c r="BL39" i="98"/>
  <c r="BG76" i="98"/>
  <c r="BL81" i="98" l="1"/>
  <c r="BL83" i="98" s="1"/>
  <c r="BL84" i="98" s="1"/>
  <c r="BL86" i="98" s="1"/>
  <c r="BL87" i="98" s="1"/>
  <c r="BL76" i="98"/>
  <c r="AW79" i="109" l="1"/>
  <c r="AU6" i="109" l="1"/>
  <c r="BK85" i="99"/>
  <c r="BJ85" i="99"/>
  <c r="BK82" i="99"/>
  <c r="BJ82" i="99"/>
  <c r="BK79" i="99"/>
  <c r="BJ79" i="99"/>
  <c r="BK78" i="99"/>
  <c r="BJ78" i="99"/>
  <c r="BK74" i="99"/>
  <c r="BJ74" i="99"/>
  <c r="BK71" i="99"/>
  <c r="BJ71" i="99"/>
  <c r="BK70" i="99"/>
  <c r="BJ70" i="99"/>
  <c r="BK69" i="99"/>
  <c r="BJ69" i="99"/>
  <c r="BK68" i="99"/>
  <c r="BJ68" i="99"/>
  <c r="BK67" i="99"/>
  <c r="BJ67" i="99"/>
  <c r="BK66" i="99"/>
  <c r="BJ66" i="99"/>
  <c r="BK65" i="99"/>
  <c r="BJ65" i="99"/>
  <c r="BK64" i="99"/>
  <c r="BJ64" i="99"/>
  <c r="BK63" i="99"/>
  <c r="BK62" i="99"/>
  <c r="BJ62" i="99"/>
  <c r="BK61" i="99"/>
  <c r="BJ61" i="99"/>
  <c r="BK60" i="99"/>
  <c r="BK59" i="99"/>
  <c r="BK57" i="99"/>
  <c r="BJ57" i="99"/>
  <c r="BK56" i="99"/>
  <c r="BJ56" i="99"/>
  <c r="BK55" i="99"/>
  <c r="BJ55" i="99"/>
  <c r="BK52" i="99"/>
  <c r="BJ52" i="99"/>
  <c r="BK51" i="99"/>
  <c r="BJ51" i="99"/>
  <c r="BK48" i="99"/>
  <c r="BJ48" i="99"/>
  <c r="BK47" i="99"/>
  <c r="BJ47" i="99"/>
  <c r="BK46" i="99"/>
  <c r="BJ46" i="99"/>
  <c r="BK45" i="99"/>
  <c r="BJ45" i="99"/>
  <c r="BK44" i="99"/>
  <c r="BJ44" i="99"/>
  <c r="BK43" i="99"/>
  <c r="BJ43" i="99"/>
  <c r="BK42" i="99"/>
  <c r="BJ42" i="99"/>
  <c r="BK36" i="99"/>
  <c r="BJ36" i="99"/>
  <c r="BK33" i="99"/>
  <c r="BJ33" i="99"/>
  <c r="BK32" i="99"/>
  <c r="BJ32" i="99"/>
  <c r="BK31" i="99"/>
  <c r="BJ31" i="99"/>
  <c r="BJ30" i="99"/>
  <c r="BK28" i="99"/>
  <c r="BK27" i="99"/>
  <c r="BJ27" i="99"/>
  <c r="BK26" i="99"/>
  <c r="BK25" i="99"/>
  <c r="BK24" i="99"/>
  <c r="BK23" i="99"/>
  <c r="BJ23" i="99"/>
  <c r="BK22" i="99"/>
  <c r="BK21" i="99"/>
  <c r="BK20" i="99"/>
  <c r="BK19" i="99"/>
  <c r="BJ19" i="99"/>
  <c r="BK18" i="99"/>
  <c r="BK17" i="99"/>
  <c r="BJ17" i="99"/>
  <c r="BK16" i="99"/>
  <c r="BJ16" i="99"/>
  <c r="BK15" i="99"/>
  <c r="BJ15" i="99"/>
  <c r="BK14" i="99"/>
  <c r="BJ14" i="99"/>
  <c r="BK13" i="99"/>
  <c r="BJ13" i="99"/>
  <c r="BK12" i="99"/>
  <c r="BJ12" i="99"/>
  <c r="BK11" i="99"/>
  <c r="BK10" i="99"/>
  <c r="BK9" i="99"/>
  <c r="BJ7" i="99"/>
  <c r="BK7" i="99"/>
  <c r="BK6" i="99"/>
  <c r="BA85" i="86"/>
  <c r="AZ85" i="86"/>
  <c r="BA79" i="86"/>
  <c r="AZ79" i="86"/>
  <c r="BA78" i="86"/>
  <c r="AZ78" i="86"/>
  <c r="BA74" i="86"/>
  <c r="AZ74" i="86"/>
  <c r="BA71" i="86"/>
  <c r="AZ71" i="86"/>
  <c r="BA70" i="86"/>
  <c r="AZ70" i="86"/>
  <c r="BA69" i="86"/>
  <c r="AZ69" i="86"/>
  <c r="BA68" i="86"/>
  <c r="AZ68" i="86"/>
  <c r="BA67" i="86"/>
  <c r="AZ67" i="86"/>
  <c r="BA66" i="86"/>
  <c r="AZ66" i="86"/>
  <c r="BA65" i="86"/>
  <c r="AZ65" i="86"/>
  <c r="BA64" i="86"/>
  <c r="AZ64" i="86"/>
  <c r="BA63" i="86"/>
  <c r="AZ63" i="86"/>
  <c r="BA62" i="86"/>
  <c r="AZ62" i="86"/>
  <c r="BA61" i="86"/>
  <c r="AZ61" i="86"/>
  <c r="BA60" i="86"/>
  <c r="AZ60" i="86"/>
  <c r="BA59" i="86"/>
  <c r="AZ59" i="86"/>
  <c r="BA58" i="86"/>
  <c r="AZ58" i="86"/>
  <c r="BA57" i="86"/>
  <c r="AZ57" i="86"/>
  <c r="BA56" i="86"/>
  <c r="AZ56" i="86"/>
  <c r="BA55" i="86"/>
  <c r="AZ55" i="86"/>
  <c r="BA52" i="86"/>
  <c r="AZ52" i="86"/>
  <c r="BA51" i="86"/>
  <c r="AZ51" i="86"/>
  <c r="BA48" i="86"/>
  <c r="AZ48" i="86"/>
  <c r="BA47" i="86"/>
  <c r="AZ47" i="86"/>
  <c r="BA46" i="86"/>
  <c r="AZ46" i="86"/>
  <c r="BA45" i="86"/>
  <c r="AZ45" i="86"/>
  <c r="BA44" i="86"/>
  <c r="AZ44" i="86"/>
  <c r="BA43" i="86"/>
  <c r="AZ43" i="86"/>
  <c r="BA42" i="86"/>
  <c r="AZ42" i="86"/>
  <c r="BA36" i="86"/>
  <c r="AZ36" i="86"/>
  <c r="BA33" i="86"/>
  <c r="AZ33" i="86"/>
  <c r="BA32" i="86"/>
  <c r="AZ32" i="86"/>
  <c r="BA31" i="86"/>
  <c r="BA30" i="86"/>
  <c r="AZ30" i="86"/>
  <c r="BA29" i="86"/>
  <c r="AZ29" i="86"/>
  <c r="BA28" i="86"/>
  <c r="AZ28" i="86"/>
  <c r="BA27" i="86"/>
  <c r="AZ27" i="86"/>
  <c r="BA26" i="86"/>
  <c r="BA25" i="86"/>
  <c r="BA24" i="86"/>
  <c r="BA23" i="86"/>
  <c r="AZ23" i="86"/>
  <c r="BA22" i="86"/>
  <c r="AZ22" i="86"/>
  <c r="BA21" i="86"/>
  <c r="BA20" i="86"/>
  <c r="AZ20" i="86"/>
  <c r="BA19" i="86"/>
  <c r="AZ19" i="86"/>
  <c r="BA18" i="86"/>
  <c r="BA17" i="86"/>
  <c r="AZ17" i="86"/>
  <c r="AZ16" i="86"/>
  <c r="BA15" i="86"/>
  <c r="AZ15" i="86"/>
  <c r="BA14" i="86"/>
  <c r="AZ14" i="86"/>
  <c r="BA13" i="86"/>
  <c r="AZ13" i="86"/>
  <c r="BA12" i="86"/>
  <c r="AZ12" i="86"/>
  <c r="BA11" i="86"/>
  <c r="AZ11" i="86"/>
  <c r="BA10" i="86"/>
  <c r="AZ10" i="86"/>
  <c r="BA9" i="86"/>
  <c r="AZ9" i="86"/>
  <c r="AZ7" i="86"/>
  <c r="BA7" i="86"/>
  <c r="BA6" i="86"/>
  <c r="E79" i="108"/>
  <c r="AQ85" i="108" l="1"/>
  <c r="AP85" i="108"/>
  <c r="AQ82" i="108"/>
  <c r="AP82" i="108"/>
  <c r="AQ79" i="108"/>
  <c r="AP79" i="108"/>
  <c r="AQ78" i="108"/>
  <c r="AP78" i="108"/>
  <c r="AQ74" i="108"/>
  <c r="AQ73" i="108" s="1"/>
  <c r="AQ72" i="108"/>
  <c r="AP72" i="108"/>
  <c r="AQ71" i="108"/>
  <c r="AP71" i="108"/>
  <c r="AQ70" i="108"/>
  <c r="AP70" i="108"/>
  <c r="AR70" i="108" s="1"/>
  <c r="AQ69" i="108"/>
  <c r="AP69" i="108"/>
  <c r="AQ68" i="108"/>
  <c r="AP68" i="108"/>
  <c r="AR68" i="108" s="1"/>
  <c r="AQ67" i="108"/>
  <c r="AP67" i="108"/>
  <c r="AQ66" i="108"/>
  <c r="AP66" i="108"/>
  <c r="AQ65" i="108"/>
  <c r="AP65" i="108"/>
  <c r="AQ64" i="108"/>
  <c r="AR64" i="108" s="1"/>
  <c r="AP64" i="108"/>
  <c r="AQ63" i="108"/>
  <c r="AP63" i="108"/>
  <c r="AQ62" i="108"/>
  <c r="AP62" i="108"/>
  <c r="AQ61" i="108"/>
  <c r="AP61" i="108"/>
  <c r="AQ60" i="108"/>
  <c r="AP60" i="108"/>
  <c r="AQ59" i="108"/>
  <c r="AP59" i="108"/>
  <c r="AQ58" i="108"/>
  <c r="AP58" i="108"/>
  <c r="AQ57" i="108"/>
  <c r="AP57" i="108"/>
  <c r="AQ56" i="108"/>
  <c r="AP56" i="108"/>
  <c r="AR55" i="108"/>
  <c r="AQ55" i="108"/>
  <c r="AP55" i="108"/>
  <c r="AQ53" i="108"/>
  <c r="AP53" i="108"/>
  <c r="AQ52" i="108"/>
  <c r="AP52" i="108"/>
  <c r="AQ51" i="108"/>
  <c r="AP51" i="108"/>
  <c r="AQ49" i="108"/>
  <c r="AP49" i="108"/>
  <c r="AQ48" i="108"/>
  <c r="AP48" i="108"/>
  <c r="AQ47" i="108"/>
  <c r="AP47" i="108"/>
  <c r="AQ46" i="108"/>
  <c r="AP46" i="108"/>
  <c r="AQ45" i="108"/>
  <c r="AP45" i="108"/>
  <c r="AQ44" i="108"/>
  <c r="AP44" i="108"/>
  <c r="AQ43" i="108"/>
  <c r="AP43" i="108"/>
  <c r="AQ42" i="108"/>
  <c r="AP42" i="108"/>
  <c r="AR42" i="108" s="1"/>
  <c r="AQ36" i="108"/>
  <c r="AQ35" i="108" s="1"/>
  <c r="AP36" i="108"/>
  <c r="AP35" i="108" s="1"/>
  <c r="AQ33" i="108"/>
  <c r="AP33" i="108"/>
  <c r="AR33" i="108" s="1"/>
  <c r="AQ32" i="108"/>
  <c r="AP32" i="108"/>
  <c r="AQ31" i="108"/>
  <c r="AP31" i="108"/>
  <c r="AR31" i="108" s="1"/>
  <c r="AQ30" i="108"/>
  <c r="AP30" i="108"/>
  <c r="AR30" i="108" s="1"/>
  <c r="AQ29" i="108"/>
  <c r="AP29" i="108"/>
  <c r="AR29" i="108" s="1"/>
  <c r="AQ28" i="108"/>
  <c r="AP28" i="108"/>
  <c r="AR28" i="108" s="1"/>
  <c r="AQ27" i="108"/>
  <c r="AP27" i="108"/>
  <c r="AQ26" i="108"/>
  <c r="AQ25" i="108"/>
  <c r="AQ24" i="108"/>
  <c r="AP24" i="108"/>
  <c r="AR24" i="108" s="1"/>
  <c r="AQ23" i="108"/>
  <c r="AP23" i="108"/>
  <c r="AR23" i="108" s="1"/>
  <c r="AQ22" i="108"/>
  <c r="AP22" i="108"/>
  <c r="AQ21" i="108"/>
  <c r="AP21" i="108"/>
  <c r="AR21" i="108" s="1"/>
  <c r="AQ20" i="108"/>
  <c r="AP20" i="108"/>
  <c r="AR20" i="108" s="1"/>
  <c r="AQ19" i="108"/>
  <c r="AP19" i="108"/>
  <c r="AQ18" i="108"/>
  <c r="AQ17" i="108"/>
  <c r="AP17" i="108"/>
  <c r="AP16" i="108"/>
  <c r="AQ15" i="108"/>
  <c r="AP15" i="108"/>
  <c r="AQ14" i="108"/>
  <c r="AQ13" i="108"/>
  <c r="AQ12" i="108"/>
  <c r="AP12" i="108"/>
  <c r="AQ11" i="108"/>
  <c r="AP11" i="108"/>
  <c r="AQ10" i="108"/>
  <c r="AP10" i="108"/>
  <c r="AQ9" i="108"/>
  <c r="AP9" i="108"/>
  <c r="AQ7" i="108"/>
  <c r="AP7" i="108"/>
  <c r="AQ6" i="108"/>
  <c r="AQ5" i="108" s="1"/>
  <c r="AM85" i="108"/>
  <c r="AM82" i="108"/>
  <c r="AM78" i="108"/>
  <c r="AM77" i="108" s="1"/>
  <c r="AL77" i="108"/>
  <c r="AK77" i="108"/>
  <c r="AM74" i="108"/>
  <c r="AM73" i="108" s="1"/>
  <c r="AL73" i="108"/>
  <c r="AK73" i="108"/>
  <c r="AM71" i="108"/>
  <c r="AM70" i="108"/>
  <c r="AM69" i="108"/>
  <c r="AM68" i="108"/>
  <c r="AM67" i="108"/>
  <c r="AM66" i="108"/>
  <c r="AM65" i="108"/>
  <c r="AM64" i="108"/>
  <c r="AM63" i="108"/>
  <c r="AM62" i="108"/>
  <c r="AM61" i="108"/>
  <c r="AM60" i="108"/>
  <c r="AM59" i="108"/>
  <c r="AM58" i="108"/>
  <c r="AM57" i="108"/>
  <c r="AM56" i="108"/>
  <c r="AM55" i="108"/>
  <c r="AM54" i="108" s="1"/>
  <c r="AL54" i="108"/>
  <c r="AK54" i="108"/>
  <c r="AM52" i="108"/>
  <c r="AM51" i="108"/>
  <c r="AM50" i="108" s="1"/>
  <c r="AL50" i="108"/>
  <c r="AK50" i="108"/>
  <c r="AM48" i="108"/>
  <c r="AM47" i="108"/>
  <c r="AM46" i="108"/>
  <c r="AM45" i="108"/>
  <c r="AM44" i="108"/>
  <c r="AM43" i="108"/>
  <c r="AM42" i="108"/>
  <c r="AL41" i="108"/>
  <c r="AK41" i="108"/>
  <c r="AM36" i="108"/>
  <c r="AL35" i="108"/>
  <c r="AK35" i="108"/>
  <c r="AM33" i="108"/>
  <c r="AM32" i="108"/>
  <c r="AM31" i="108"/>
  <c r="AM30" i="108"/>
  <c r="AM29" i="108"/>
  <c r="AM28" i="108"/>
  <c r="AM27" i="108"/>
  <c r="AM26" i="108"/>
  <c r="AK25" i="108"/>
  <c r="AM25" i="108" s="1"/>
  <c r="AM24" i="108"/>
  <c r="AM22" i="108"/>
  <c r="AM21" i="108"/>
  <c r="AM20" i="108"/>
  <c r="AM19" i="108"/>
  <c r="AM18" i="108"/>
  <c r="AM17" i="108"/>
  <c r="AM16" i="108"/>
  <c r="AM15" i="108"/>
  <c r="AM14" i="108"/>
  <c r="AM13" i="108"/>
  <c r="AM12" i="108"/>
  <c r="AM11" i="108"/>
  <c r="AM10" i="108"/>
  <c r="AM9" i="108"/>
  <c r="AL8" i="108"/>
  <c r="AK8" i="108"/>
  <c r="AM7" i="108"/>
  <c r="AM6" i="108"/>
  <c r="AL5" i="108"/>
  <c r="AL38" i="108" s="1"/>
  <c r="AK5" i="108"/>
  <c r="AK38" i="108" s="1"/>
  <c r="BB85" i="98"/>
  <c r="AW85" i="98"/>
  <c r="BB82" i="98"/>
  <c r="AW82" i="98"/>
  <c r="BB78" i="98"/>
  <c r="AW78" i="98"/>
  <c r="BB77" i="98"/>
  <c r="BA77" i="98"/>
  <c r="AZ77" i="98"/>
  <c r="AW77" i="98"/>
  <c r="AV77" i="98"/>
  <c r="AU77" i="98"/>
  <c r="BB74" i="98"/>
  <c r="AW74" i="98"/>
  <c r="AW73" i="98" s="1"/>
  <c r="BB73" i="98"/>
  <c r="BA73" i="98"/>
  <c r="AZ73" i="98"/>
  <c r="AV73" i="98"/>
  <c r="AU73" i="98"/>
  <c r="BB71" i="98"/>
  <c r="AW71" i="98"/>
  <c r="BB70" i="98"/>
  <c r="AW70" i="98"/>
  <c r="BB69" i="98"/>
  <c r="AW69" i="98"/>
  <c r="BB68" i="98"/>
  <c r="AW68" i="98"/>
  <c r="BB67" i="98"/>
  <c r="AW67" i="98"/>
  <c r="BB66" i="98"/>
  <c r="AW66" i="98"/>
  <c r="BB65" i="98"/>
  <c r="AW65" i="98"/>
  <c r="BB64" i="98"/>
  <c r="AW64" i="98"/>
  <c r="BB63" i="98"/>
  <c r="AW63" i="98"/>
  <c r="BB62" i="98"/>
  <c r="AW62" i="98"/>
  <c r="BB61" i="98"/>
  <c r="AW61" i="98"/>
  <c r="BB60" i="98"/>
  <c r="AW60" i="98"/>
  <c r="BB59" i="98"/>
  <c r="AW59" i="98"/>
  <c r="BB58" i="98"/>
  <c r="AW58" i="98"/>
  <c r="BB57" i="98"/>
  <c r="AW57" i="98"/>
  <c r="BB56" i="98"/>
  <c r="AW56" i="98"/>
  <c r="BB55" i="98"/>
  <c r="BB54" i="98" s="1"/>
  <c r="AW55" i="98"/>
  <c r="BA54" i="98"/>
  <c r="AZ54" i="98"/>
  <c r="AV54" i="98"/>
  <c r="AU54" i="98"/>
  <c r="BB52" i="98"/>
  <c r="AW52" i="98"/>
  <c r="AW50" i="98" s="1"/>
  <c r="BB51" i="98"/>
  <c r="AW51" i="98"/>
  <c r="BA50" i="98"/>
  <c r="AZ50" i="98"/>
  <c r="AV50" i="98"/>
  <c r="AU50" i="98"/>
  <c r="BB48" i="98"/>
  <c r="AU48" i="98"/>
  <c r="BB47" i="98"/>
  <c r="AW47" i="98"/>
  <c r="BB46" i="98"/>
  <c r="AW46" i="98"/>
  <c r="BB45" i="98"/>
  <c r="AW45" i="98"/>
  <c r="BB44" i="98"/>
  <c r="AW44" i="98"/>
  <c r="BB43" i="98"/>
  <c r="AW43" i="98"/>
  <c r="BB42" i="98"/>
  <c r="AW42" i="98"/>
  <c r="BA41" i="98"/>
  <c r="AZ41" i="98"/>
  <c r="AV41" i="98"/>
  <c r="AU41" i="98"/>
  <c r="BB36" i="98"/>
  <c r="BB35" i="98" s="1"/>
  <c r="AW36" i="98"/>
  <c r="AW35" i="98" s="1"/>
  <c r="BA35" i="98"/>
  <c r="AZ35" i="98"/>
  <c r="AV35" i="98"/>
  <c r="AU35" i="98"/>
  <c r="BB33" i="98"/>
  <c r="AW33" i="98"/>
  <c r="BB32" i="98"/>
  <c r="AW32" i="98"/>
  <c r="BB31" i="98"/>
  <c r="AW31" i="98"/>
  <c r="BB30" i="98"/>
  <c r="AW30" i="98"/>
  <c r="BB29" i="98"/>
  <c r="AW29" i="98"/>
  <c r="BB28" i="98"/>
  <c r="AW28" i="98"/>
  <c r="BB27" i="98"/>
  <c r="AW27" i="98"/>
  <c r="BB26" i="98"/>
  <c r="AU26" i="98"/>
  <c r="AW26" i="98" s="1"/>
  <c r="BB25" i="98"/>
  <c r="AU25" i="98"/>
  <c r="AW25" i="98" s="1"/>
  <c r="BB24" i="98"/>
  <c r="AW24" i="98"/>
  <c r="BB23" i="98"/>
  <c r="AW23" i="98"/>
  <c r="BB22" i="98"/>
  <c r="AW22" i="98"/>
  <c r="BB21" i="98"/>
  <c r="AW21" i="98"/>
  <c r="BB20" i="98"/>
  <c r="AW20" i="98"/>
  <c r="BB19" i="98"/>
  <c r="AW19" i="98"/>
  <c r="BB18" i="98"/>
  <c r="AU18" i="98"/>
  <c r="AW18" i="98" s="1"/>
  <c r="BB17" i="98"/>
  <c r="AW17" i="98"/>
  <c r="BB16" i="98"/>
  <c r="AW16" i="98"/>
  <c r="BB15" i="98"/>
  <c r="AW15" i="98"/>
  <c r="BB14" i="98"/>
  <c r="AW14" i="98"/>
  <c r="BB13" i="98"/>
  <c r="AW13" i="98"/>
  <c r="BB12" i="98"/>
  <c r="AW12" i="98"/>
  <c r="BB11" i="98"/>
  <c r="AW11" i="98"/>
  <c r="BB10" i="98"/>
  <c r="AW10" i="98"/>
  <c r="BB9" i="98"/>
  <c r="AW9" i="98"/>
  <c r="BA8" i="98"/>
  <c r="AZ8" i="98"/>
  <c r="AV8" i="98"/>
  <c r="BB7" i="98"/>
  <c r="AW7" i="98"/>
  <c r="BB6" i="98"/>
  <c r="AW6" i="98"/>
  <c r="BA5" i="98"/>
  <c r="AZ5" i="98"/>
  <c r="AZ38" i="98" s="1"/>
  <c r="AV5" i="98"/>
  <c r="AU5" i="98"/>
  <c r="BA85" i="127"/>
  <c r="AZ85" i="127"/>
  <c r="BA82" i="127"/>
  <c r="AZ82" i="127"/>
  <c r="BA79" i="127"/>
  <c r="AZ79" i="127"/>
  <c r="BA78" i="127"/>
  <c r="AZ78" i="127"/>
  <c r="BA74" i="127"/>
  <c r="AZ74" i="127"/>
  <c r="BA71" i="127"/>
  <c r="AZ71" i="127"/>
  <c r="BA70" i="127"/>
  <c r="AZ70" i="127"/>
  <c r="BA69" i="127"/>
  <c r="AZ69" i="127"/>
  <c r="BA68" i="127"/>
  <c r="AZ68" i="127"/>
  <c r="BA67" i="127"/>
  <c r="AZ67" i="127"/>
  <c r="BA66" i="127"/>
  <c r="AZ66" i="127"/>
  <c r="AZ65" i="127"/>
  <c r="BA64" i="127"/>
  <c r="AZ64" i="127"/>
  <c r="BA63" i="127"/>
  <c r="AZ63" i="127"/>
  <c r="BA62" i="127"/>
  <c r="AZ62" i="127"/>
  <c r="BA61" i="127"/>
  <c r="AZ61" i="127"/>
  <c r="BA60" i="127"/>
  <c r="AZ60" i="127"/>
  <c r="BA59" i="127"/>
  <c r="AZ59" i="127"/>
  <c r="BA58" i="127"/>
  <c r="AZ58" i="127"/>
  <c r="BA57" i="127"/>
  <c r="AZ57" i="127"/>
  <c r="BA56" i="127"/>
  <c r="AZ56" i="127"/>
  <c r="BA55" i="127"/>
  <c r="AZ55" i="127"/>
  <c r="BA52" i="127"/>
  <c r="AZ52" i="127"/>
  <c r="BA51" i="127"/>
  <c r="AZ51" i="127"/>
  <c r="BA48" i="127"/>
  <c r="AZ48" i="127"/>
  <c r="BA47" i="127"/>
  <c r="AZ47" i="127"/>
  <c r="BA46" i="127"/>
  <c r="AZ46" i="127"/>
  <c r="BA45" i="127"/>
  <c r="AZ45" i="127"/>
  <c r="BA44" i="127"/>
  <c r="AZ44" i="127"/>
  <c r="BA43" i="127"/>
  <c r="AZ43" i="127"/>
  <c r="BA42" i="127"/>
  <c r="AZ42" i="127"/>
  <c r="BA36" i="127"/>
  <c r="AZ36" i="127"/>
  <c r="BA33" i="127"/>
  <c r="AZ33" i="127"/>
  <c r="BA32" i="127"/>
  <c r="AZ32" i="127"/>
  <c r="AZ31" i="127"/>
  <c r="AZ30" i="127"/>
  <c r="BA29" i="127"/>
  <c r="BA28" i="127"/>
  <c r="AZ28" i="127"/>
  <c r="BA27" i="127"/>
  <c r="AZ27" i="127"/>
  <c r="BA26" i="127"/>
  <c r="BA25" i="127"/>
  <c r="AZ25" i="127"/>
  <c r="BA24" i="127"/>
  <c r="BA23" i="127"/>
  <c r="AZ23" i="127"/>
  <c r="BA22" i="127"/>
  <c r="AZ22" i="127"/>
  <c r="BA21" i="127"/>
  <c r="AZ21" i="127"/>
  <c r="BA20" i="127"/>
  <c r="AZ20" i="127"/>
  <c r="BA19" i="127"/>
  <c r="AZ19" i="127"/>
  <c r="BA18" i="127"/>
  <c r="AZ18" i="127"/>
  <c r="BA17" i="127"/>
  <c r="AZ17" i="127"/>
  <c r="BA16" i="127"/>
  <c r="AZ16" i="127"/>
  <c r="BA15" i="127"/>
  <c r="AZ15" i="127"/>
  <c r="BA14" i="127"/>
  <c r="AZ14" i="127"/>
  <c r="BA13" i="127"/>
  <c r="AZ13" i="127"/>
  <c r="BA12" i="127"/>
  <c r="AZ12" i="127"/>
  <c r="BA11" i="127"/>
  <c r="AZ11" i="127"/>
  <c r="BA10" i="127"/>
  <c r="AZ10" i="127"/>
  <c r="BA9" i="127"/>
  <c r="AZ9" i="127"/>
  <c r="AZ7" i="127"/>
  <c r="BA7" i="127"/>
  <c r="BA6" i="127"/>
  <c r="AZ6" i="127"/>
  <c r="AQ54" i="108" l="1"/>
  <c r="AR44" i="108"/>
  <c r="AR82" i="108"/>
  <c r="AP54" i="108"/>
  <c r="AR85" i="108"/>
  <c r="AR67" i="108"/>
  <c r="AR71" i="108"/>
  <c r="AQ50" i="108"/>
  <c r="BA38" i="98"/>
  <c r="BB5" i="98"/>
  <c r="AM8" i="108"/>
  <c r="AM41" i="108"/>
  <c r="AR9" i="108"/>
  <c r="AR11" i="108"/>
  <c r="AR19" i="108"/>
  <c r="AR46" i="108"/>
  <c r="AR48" i="108"/>
  <c r="AR51" i="108"/>
  <c r="AR53" i="108"/>
  <c r="AR59" i="108"/>
  <c r="AR61" i="108"/>
  <c r="AR63" i="108"/>
  <c r="AV38" i="98"/>
  <c r="AM5" i="108"/>
  <c r="AM38" i="108" s="1"/>
  <c r="AR12" i="108"/>
  <c r="AR17" i="108"/>
  <c r="AR45" i="108"/>
  <c r="AR56" i="108"/>
  <c r="AR58" i="108"/>
  <c r="AR66" i="108"/>
  <c r="AQ41" i="108"/>
  <c r="AW5" i="98"/>
  <c r="AP25" i="108"/>
  <c r="AR25" i="108" s="1"/>
  <c r="AR60" i="108"/>
  <c r="AR65" i="108"/>
  <c r="AR72" i="108"/>
  <c r="AP77" i="108"/>
  <c r="AP41" i="108"/>
  <c r="AW48" i="98"/>
  <c r="AW41" i="98" s="1"/>
  <c r="BT48" i="98"/>
  <c r="BV48" i="98" s="1"/>
  <c r="AR7" i="108"/>
  <c r="AR10" i="108"/>
  <c r="AR15" i="108"/>
  <c r="AR22" i="108"/>
  <c r="AR27" i="108"/>
  <c r="AR32" i="108"/>
  <c r="AR47" i="108"/>
  <c r="AP50" i="108"/>
  <c r="AR57" i="108"/>
  <c r="AR62" i="108"/>
  <c r="AR69" i="108"/>
  <c r="AQ77" i="108"/>
  <c r="AR52" i="108"/>
  <c r="AR36" i="108"/>
  <c r="AR43" i="108"/>
  <c r="AR78" i="108"/>
  <c r="AK75" i="108"/>
  <c r="AK39" i="108"/>
  <c r="AL75" i="108"/>
  <c r="AL39" i="108"/>
  <c r="AM89" i="108"/>
  <c r="AN26" i="108" s="1"/>
  <c r="AM35" i="108"/>
  <c r="AW8" i="98"/>
  <c r="AV39" i="98"/>
  <c r="AV75" i="98"/>
  <c r="AZ39" i="98"/>
  <c r="AZ75" i="98"/>
  <c r="BA75" i="98"/>
  <c r="BA39" i="98"/>
  <c r="BB50" i="98"/>
  <c r="AW54" i="98"/>
  <c r="AU8" i="98"/>
  <c r="AU38" i="98" s="1"/>
  <c r="BB8" i="98"/>
  <c r="BB38" i="98" s="1"/>
  <c r="BB41" i="98"/>
  <c r="AM75" i="108" l="1"/>
  <c r="AM39" i="108"/>
  <c r="AN46" i="108"/>
  <c r="AN35" i="108"/>
  <c r="AN36" i="108"/>
  <c r="AR54" i="108"/>
  <c r="AN18" i="108"/>
  <c r="AN10" i="108"/>
  <c r="AR35" i="108"/>
  <c r="AR41" i="108"/>
  <c r="AR50" i="108"/>
  <c r="AN40" i="108"/>
  <c r="AN34" i="108"/>
  <c r="AN79" i="108"/>
  <c r="AN71" i="108"/>
  <c r="AN70" i="108"/>
  <c r="AN69" i="108"/>
  <c r="AN68" i="108"/>
  <c r="AN67" i="108"/>
  <c r="AN66" i="108"/>
  <c r="AN65" i="108"/>
  <c r="AN64" i="108"/>
  <c r="AN63" i="108"/>
  <c r="AN62" i="108"/>
  <c r="AN61" i="108"/>
  <c r="AN60" i="108"/>
  <c r="AN59" i="108"/>
  <c r="AN58" i="108"/>
  <c r="AN57" i="108"/>
  <c r="AN56" i="108"/>
  <c r="AN55" i="108"/>
  <c r="AN54" i="108"/>
  <c r="AN52" i="108"/>
  <c r="AN51" i="108"/>
  <c r="AN49" i="108"/>
  <c r="AN37" i="108"/>
  <c r="AN24" i="108"/>
  <c r="AN72" i="108"/>
  <c r="AN53" i="108"/>
  <c r="AN23" i="108"/>
  <c r="AN25" i="108"/>
  <c r="AN15" i="108"/>
  <c r="AN43" i="108"/>
  <c r="AN33" i="108"/>
  <c r="AL76" i="108"/>
  <c r="AL81" i="108"/>
  <c r="AL83" i="108" s="1"/>
  <c r="AL84" i="108" s="1"/>
  <c r="AL86" i="108" s="1"/>
  <c r="AL87" i="108" s="1"/>
  <c r="AN12" i="108"/>
  <c r="AN22" i="108"/>
  <c r="AN39" i="108"/>
  <c r="AN50" i="108"/>
  <c r="AN31" i="108"/>
  <c r="AN20" i="108"/>
  <c r="AN78" i="108"/>
  <c r="AN48" i="108"/>
  <c r="AN9" i="108"/>
  <c r="AN32" i="108"/>
  <c r="AN19" i="108"/>
  <c r="AN38" i="108"/>
  <c r="AN47" i="108"/>
  <c r="AN29" i="108"/>
  <c r="AN17" i="108"/>
  <c r="AN45" i="108"/>
  <c r="AN30" i="108"/>
  <c r="AN16" i="108"/>
  <c r="AM81" i="108"/>
  <c r="AM83" i="108" s="1"/>
  <c r="AM84" i="108" s="1"/>
  <c r="AM86" i="108" s="1"/>
  <c r="AM87" i="108" s="1"/>
  <c r="AM76" i="108"/>
  <c r="AN44" i="108"/>
  <c r="AN27" i="108"/>
  <c r="AN14" i="108"/>
  <c r="AN42" i="108"/>
  <c r="AN21" i="108"/>
  <c r="AN28" i="108"/>
  <c r="AN13" i="108"/>
  <c r="AN41" i="108"/>
  <c r="AN8" i="108"/>
  <c r="AN11" i="108"/>
  <c r="AK76" i="108"/>
  <c r="AK81" i="108"/>
  <c r="AK83" i="108" s="1"/>
  <c r="AK84" i="108" s="1"/>
  <c r="AK86" i="108" s="1"/>
  <c r="AK87" i="108" s="1"/>
  <c r="AU39" i="98"/>
  <c r="AU75" i="98"/>
  <c r="AV81" i="98"/>
  <c r="AV83" i="98" s="1"/>
  <c r="AV84" i="98" s="1"/>
  <c r="AV86" i="98" s="1"/>
  <c r="AV87" i="98" s="1"/>
  <c r="AV76" i="98"/>
  <c r="BB75" i="98"/>
  <c r="BB39" i="98"/>
  <c r="BA76" i="98"/>
  <c r="BA81" i="98"/>
  <c r="BA83" i="98" s="1"/>
  <c r="BA84" i="98" s="1"/>
  <c r="BA86" i="98" s="1"/>
  <c r="BA87" i="98" s="1"/>
  <c r="AW89" i="98"/>
  <c r="AW38" i="98"/>
  <c r="BB89" i="98"/>
  <c r="BC50" i="98" s="1"/>
  <c r="AZ76" i="98"/>
  <c r="AZ81" i="98"/>
  <c r="AZ83" i="98" s="1"/>
  <c r="AZ84" i="98" s="1"/>
  <c r="AZ86" i="98" s="1"/>
  <c r="AZ87" i="98" s="1"/>
  <c r="BB85" i="91"/>
  <c r="BB82" i="91"/>
  <c r="BB78" i="91"/>
  <c r="BA77" i="91"/>
  <c r="AZ77" i="91"/>
  <c r="BB74" i="91"/>
  <c r="BB73" i="91" s="1"/>
  <c r="BA73" i="91"/>
  <c r="AZ73" i="91"/>
  <c r="BB71" i="91"/>
  <c r="BB70" i="91"/>
  <c r="BB69" i="91"/>
  <c r="BB68" i="91"/>
  <c r="BB67" i="91"/>
  <c r="BB66" i="91"/>
  <c r="BB65" i="91"/>
  <c r="BB64" i="91"/>
  <c r="BB63" i="91"/>
  <c r="BB62" i="91"/>
  <c r="BB61" i="91"/>
  <c r="BB60" i="91"/>
  <c r="BB59" i="91"/>
  <c r="BB58" i="91"/>
  <c r="BB57" i="91"/>
  <c r="BB56" i="91"/>
  <c r="BB55" i="91"/>
  <c r="BA54" i="91"/>
  <c r="AZ54" i="91"/>
  <c r="BB52" i="91"/>
  <c r="BB51" i="91"/>
  <c r="BA50" i="91"/>
  <c r="AZ50" i="91"/>
  <c r="BB48" i="91"/>
  <c r="BB47" i="91"/>
  <c r="BB46" i="91"/>
  <c r="BB45" i="91"/>
  <c r="BB44" i="91"/>
  <c r="BB43" i="91"/>
  <c r="BB42" i="91"/>
  <c r="BA41" i="91"/>
  <c r="AZ41" i="91"/>
  <c r="BB36" i="91"/>
  <c r="BB35" i="91" s="1"/>
  <c r="BA35" i="91"/>
  <c r="AZ35" i="91"/>
  <c r="BB33" i="91"/>
  <c r="BB32" i="91"/>
  <c r="BB31" i="91"/>
  <c r="BB30" i="91"/>
  <c r="BB29" i="91"/>
  <c r="BB28" i="91"/>
  <c r="BB27" i="91"/>
  <c r="BB26" i="91"/>
  <c r="AZ26" i="91"/>
  <c r="BB25" i="91"/>
  <c r="BB24" i="91"/>
  <c r="BB23" i="91"/>
  <c r="BB22" i="91"/>
  <c r="BB21" i="91"/>
  <c r="BB20" i="91"/>
  <c r="BB19" i="91"/>
  <c r="BB18" i="91"/>
  <c r="BB17" i="91"/>
  <c r="BB16" i="91"/>
  <c r="BB15" i="91"/>
  <c r="BB14" i="91"/>
  <c r="BB13" i="91"/>
  <c r="BB12" i="91"/>
  <c r="BB11" i="91"/>
  <c r="BB10" i="91"/>
  <c r="BB9" i="91"/>
  <c r="BA8" i="91"/>
  <c r="AZ8" i="91"/>
  <c r="BB7" i="91"/>
  <c r="BB6" i="91"/>
  <c r="BB5" i="91" s="1"/>
  <c r="BA5" i="91"/>
  <c r="BA38" i="91" s="1"/>
  <c r="AZ5" i="91"/>
  <c r="AZ38" i="91" s="1"/>
  <c r="AR85" i="109"/>
  <c r="AR82" i="109"/>
  <c r="AR78" i="109"/>
  <c r="AQ77" i="109"/>
  <c r="AP77" i="109"/>
  <c r="AR74" i="109"/>
  <c r="AR73" i="109" s="1"/>
  <c r="AQ73" i="109"/>
  <c r="AP73" i="109"/>
  <c r="AR71" i="109"/>
  <c r="AR70" i="109"/>
  <c r="AR69" i="109"/>
  <c r="AR68" i="109"/>
  <c r="AR67" i="109"/>
  <c r="AR66" i="109"/>
  <c r="AR65" i="109"/>
  <c r="AR64" i="109"/>
  <c r="AR63" i="109"/>
  <c r="AR62" i="109"/>
  <c r="AR61" i="109"/>
  <c r="AR60" i="109"/>
  <c r="AR59" i="109"/>
  <c r="AR58" i="109"/>
  <c r="AR57" i="109"/>
  <c r="AR56" i="109"/>
  <c r="AR55" i="109"/>
  <c r="AQ54" i="109"/>
  <c r="AP54" i="109"/>
  <c r="AR52" i="109"/>
  <c r="AR51" i="109"/>
  <c r="AQ50" i="109"/>
  <c r="AP50" i="109"/>
  <c r="AR48" i="109"/>
  <c r="AR47" i="109"/>
  <c r="AR46" i="109"/>
  <c r="AR45" i="109"/>
  <c r="AR44" i="109"/>
  <c r="AR43" i="109"/>
  <c r="AR42" i="109"/>
  <c r="AQ41" i="109"/>
  <c r="AP41" i="109"/>
  <c r="AR36" i="109"/>
  <c r="AR35" i="109"/>
  <c r="AQ35" i="109"/>
  <c r="AP35" i="109"/>
  <c r="AR33" i="109"/>
  <c r="AR32" i="109"/>
  <c r="AR31" i="109"/>
  <c r="AR30" i="109"/>
  <c r="AR29" i="109"/>
  <c r="AR28" i="109"/>
  <c r="AR27" i="109"/>
  <c r="AP26" i="109"/>
  <c r="AR26" i="109" s="1"/>
  <c r="AR25" i="109"/>
  <c r="AR24" i="109"/>
  <c r="AR22" i="109"/>
  <c r="AR21" i="109"/>
  <c r="AR20" i="109"/>
  <c r="AR19" i="109"/>
  <c r="AR18" i="109"/>
  <c r="AR17" i="109"/>
  <c r="AR16" i="109"/>
  <c r="AR15" i="109"/>
  <c r="AR14" i="109"/>
  <c r="AR13" i="109"/>
  <c r="AR12" i="109"/>
  <c r="AR11" i="109"/>
  <c r="AR10" i="109"/>
  <c r="AR9" i="109"/>
  <c r="AQ8" i="109"/>
  <c r="AR7" i="109"/>
  <c r="AR6" i="109"/>
  <c r="AQ5" i="109"/>
  <c r="AP5" i="109"/>
  <c r="BG85" i="99"/>
  <c r="BG82" i="99"/>
  <c r="BG78" i="99"/>
  <c r="BG77" i="99" s="1"/>
  <c r="BF77" i="99"/>
  <c r="BE77" i="99"/>
  <c r="BG74" i="99"/>
  <c r="BG73" i="99"/>
  <c r="BF73" i="99"/>
  <c r="BE73" i="99"/>
  <c r="BH71" i="99"/>
  <c r="BG71" i="99"/>
  <c r="BH70" i="99"/>
  <c r="BG70" i="99"/>
  <c r="BH69" i="99"/>
  <c r="BG69" i="99"/>
  <c r="BH68" i="99"/>
  <c r="BG68" i="99"/>
  <c r="BH67" i="99"/>
  <c r="BG67" i="99"/>
  <c r="BH66" i="99"/>
  <c r="BG66" i="99"/>
  <c r="BH65" i="99"/>
  <c r="BG65" i="99"/>
  <c r="BH64" i="99"/>
  <c r="BG64" i="99"/>
  <c r="BH63" i="99"/>
  <c r="BG63" i="99"/>
  <c r="BH62" i="99"/>
  <c r="BG62" i="99"/>
  <c r="BH61" i="99"/>
  <c r="BG61" i="99"/>
  <c r="BH60" i="99"/>
  <c r="BG60" i="99"/>
  <c r="BH59" i="99"/>
  <c r="BG59" i="99"/>
  <c r="BH58" i="99"/>
  <c r="BG58" i="99"/>
  <c r="BH57" i="99"/>
  <c r="BG57" i="99"/>
  <c r="BH56" i="99"/>
  <c r="BG56" i="99"/>
  <c r="BH55" i="99"/>
  <c r="BG55" i="99"/>
  <c r="BH54" i="99"/>
  <c r="BF54" i="99"/>
  <c r="BE54" i="99"/>
  <c r="BH53" i="99"/>
  <c r="BH52" i="99"/>
  <c r="BG52" i="99"/>
  <c r="BH51" i="99"/>
  <c r="BG51" i="99"/>
  <c r="BH50" i="99"/>
  <c r="BF50" i="99"/>
  <c r="BE50" i="99"/>
  <c r="BH49" i="99"/>
  <c r="BH48" i="99"/>
  <c r="BG48" i="99"/>
  <c r="BH47" i="99"/>
  <c r="BG47" i="99"/>
  <c r="BH46" i="99"/>
  <c r="BG46" i="99"/>
  <c r="BH45" i="99"/>
  <c r="BG45" i="99"/>
  <c r="BH44" i="99"/>
  <c r="BG44" i="99"/>
  <c r="BH43" i="99"/>
  <c r="BG43" i="99"/>
  <c r="BH42" i="99"/>
  <c r="BG42" i="99"/>
  <c r="BH41" i="99"/>
  <c r="BF41" i="99"/>
  <c r="BE41" i="99"/>
  <c r="BH40" i="99"/>
  <c r="BH39" i="99"/>
  <c r="BH38" i="99"/>
  <c r="BH37" i="99"/>
  <c r="BH36" i="99"/>
  <c r="BG36" i="99"/>
  <c r="BG35" i="99" s="1"/>
  <c r="BH35" i="99"/>
  <c r="BF35" i="99"/>
  <c r="BE35" i="99"/>
  <c r="BH34" i="99"/>
  <c r="BH33" i="99"/>
  <c r="BG33" i="99"/>
  <c r="BH32" i="99"/>
  <c r="BG32" i="99"/>
  <c r="BH31" i="99"/>
  <c r="BG31" i="99"/>
  <c r="BH30" i="99"/>
  <c r="BG30" i="99"/>
  <c r="BH29" i="99"/>
  <c r="BG29" i="99"/>
  <c r="BH28" i="99"/>
  <c r="BG28" i="99"/>
  <c r="BH27" i="99"/>
  <c r="BG27" i="99"/>
  <c r="BH26" i="99"/>
  <c r="BG26" i="99"/>
  <c r="BH25" i="99"/>
  <c r="BE25" i="99"/>
  <c r="BG25" i="99" s="1"/>
  <c r="BH24" i="99"/>
  <c r="BG24" i="99"/>
  <c r="BH23" i="99"/>
  <c r="BG23" i="99"/>
  <c r="BH22" i="99"/>
  <c r="BG22" i="99"/>
  <c r="BH21" i="99"/>
  <c r="BG21" i="99"/>
  <c r="BH20" i="99"/>
  <c r="BG20" i="99"/>
  <c r="BH19" i="99"/>
  <c r="BG19" i="99"/>
  <c r="BH18" i="99"/>
  <c r="BG18" i="99"/>
  <c r="BH17" i="99"/>
  <c r="BG17" i="99"/>
  <c r="BH16" i="99"/>
  <c r="BG16" i="99"/>
  <c r="BH15" i="99"/>
  <c r="BG15" i="99"/>
  <c r="BH14" i="99"/>
  <c r="BG14" i="99"/>
  <c r="BH13" i="99"/>
  <c r="BG13" i="99"/>
  <c r="BH12" i="99"/>
  <c r="BG12" i="99"/>
  <c r="BH11" i="99"/>
  <c r="BG11" i="99"/>
  <c r="BH10" i="99"/>
  <c r="BG10" i="99"/>
  <c r="BH9" i="99"/>
  <c r="BG9" i="99"/>
  <c r="BF8" i="99"/>
  <c r="BE8" i="99"/>
  <c r="BG7" i="99"/>
  <c r="BG6" i="99"/>
  <c r="BG5" i="99" s="1"/>
  <c r="BF5" i="99"/>
  <c r="BF38" i="99" s="1"/>
  <c r="BE5" i="99"/>
  <c r="BE38" i="99" s="1"/>
  <c r="AW85" i="86"/>
  <c r="AW82" i="86"/>
  <c r="AW78" i="86"/>
  <c r="AW77" i="86" s="1"/>
  <c r="AV77" i="86"/>
  <c r="AU77" i="86"/>
  <c r="AW74" i="86"/>
  <c r="AW73" i="86" s="1"/>
  <c r="AV73" i="86"/>
  <c r="AU73" i="86"/>
  <c r="AW71" i="86"/>
  <c r="AW70" i="86"/>
  <c r="AW69" i="86"/>
  <c r="AW68" i="86"/>
  <c r="AW67" i="86"/>
  <c r="AW66" i="86"/>
  <c r="AW65" i="86"/>
  <c r="AW64" i="86"/>
  <c r="AW63" i="86"/>
  <c r="AW62" i="86"/>
  <c r="AW61" i="86"/>
  <c r="AW60" i="86"/>
  <c r="AW59" i="86"/>
  <c r="AW58" i="86"/>
  <c r="AW57" i="86"/>
  <c r="AW56" i="86"/>
  <c r="AW55" i="86"/>
  <c r="AV54" i="86"/>
  <c r="AU54" i="86"/>
  <c r="AW52" i="86"/>
  <c r="AW51" i="86"/>
  <c r="AV50" i="86"/>
  <c r="AU50" i="86"/>
  <c r="AW48" i="86"/>
  <c r="AW47" i="86"/>
  <c r="AW46" i="86"/>
  <c r="AW45" i="86"/>
  <c r="AW44" i="86"/>
  <c r="AW43" i="86"/>
  <c r="AW42" i="86"/>
  <c r="AV41" i="86"/>
  <c r="AU41" i="86"/>
  <c r="AW36" i="86"/>
  <c r="AW35" i="86" s="1"/>
  <c r="AV35" i="86"/>
  <c r="AU35" i="86"/>
  <c r="AW33" i="86"/>
  <c r="AW32" i="86"/>
  <c r="AW31" i="86"/>
  <c r="AW30" i="86"/>
  <c r="AW29" i="86"/>
  <c r="AW28" i="86"/>
  <c r="AW27" i="86"/>
  <c r="AW26" i="86"/>
  <c r="AU25" i="86"/>
  <c r="AU8" i="86" s="1"/>
  <c r="AW24" i="86"/>
  <c r="AW21" i="86"/>
  <c r="AW20" i="86"/>
  <c r="AW19" i="86"/>
  <c r="AW18" i="86"/>
  <c r="AW17" i="86"/>
  <c r="AW16" i="86"/>
  <c r="AW15" i="86"/>
  <c r="AW14" i="86"/>
  <c r="AW13" i="86"/>
  <c r="AW12" i="86"/>
  <c r="AW11" i="86"/>
  <c r="AW10" i="86"/>
  <c r="AW9" i="86"/>
  <c r="AV8" i="86"/>
  <c r="AW7" i="86"/>
  <c r="AW6" i="86"/>
  <c r="AW5" i="86" s="1"/>
  <c r="AV5" i="86"/>
  <c r="AU5" i="86"/>
  <c r="AW85" i="103"/>
  <c r="AW82" i="103"/>
  <c r="AW78" i="103"/>
  <c r="AW77" i="103" s="1"/>
  <c r="AV77" i="103"/>
  <c r="AU77" i="103"/>
  <c r="AW74" i="103"/>
  <c r="AW73" i="103" s="1"/>
  <c r="AV73" i="103"/>
  <c r="AU73" i="103"/>
  <c r="AW71" i="103"/>
  <c r="AW70" i="103"/>
  <c r="AW69" i="103"/>
  <c r="AW68" i="103"/>
  <c r="AW67" i="103"/>
  <c r="AW66" i="103"/>
  <c r="AW65" i="103"/>
  <c r="AW64" i="103"/>
  <c r="AW63" i="103"/>
  <c r="AW62" i="103"/>
  <c r="AW61" i="103"/>
  <c r="AW60" i="103"/>
  <c r="AW59" i="103"/>
  <c r="AW58" i="103"/>
  <c r="AW57" i="103"/>
  <c r="AW56" i="103"/>
  <c r="AW55" i="103"/>
  <c r="AV54" i="103"/>
  <c r="AU54" i="103"/>
  <c r="AW52" i="103"/>
  <c r="AW51" i="103"/>
  <c r="AV50" i="103"/>
  <c r="AU50" i="103"/>
  <c r="AW48" i="103"/>
  <c r="AW47" i="103"/>
  <c r="AW46" i="103"/>
  <c r="AW45" i="103"/>
  <c r="AW44" i="103"/>
  <c r="AW43" i="103"/>
  <c r="AW42" i="103"/>
  <c r="AV41" i="103"/>
  <c r="AU41" i="103"/>
  <c r="AW36" i="103"/>
  <c r="AW35" i="103" s="1"/>
  <c r="AV35" i="103"/>
  <c r="AU35" i="103"/>
  <c r="AW33" i="103"/>
  <c r="AW32" i="103"/>
  <c r="AW31" i="103"/>
  <c r="AW30" i="103"/>
  <c r="AW29" i="103"/>
  <c r="AW28" i="103"/>
  <c r="AW27" i="103"/>
  <c r="AU26" i="103"/>
  <c r="AW26" i="103" s="1"/>
  <c r="AW25" i="103"/>
  <c r="AW24" i="103"/>
  <c r="AW22" i="103"/>
  <c r="AW21" i="103"/>
  <c r="AW20" i="103"/>
  <c r="AW19" i="103"/>
  <c r="AW18" i="103"/>
  <c r="AW17" i="103"/>
  <c r="AW16" i="103"/>
  <c r="AW15" i="103"/>
  <c r="AW14" i="103"/>
  <c r="AW13" i="103"/>
  <c r="AW12" i="103"/>
  <c r="AW11" i="103"/>
  <c r="AW10" i="103"/>
  <c r="AW9" i="103"/>
  <c r="AV8" i="103"/>
  <c r="AW7" i="103"/>
  <c r="AW6" i="103"/>
  <c r="AV5" i="103"/>
  <c r="AU5" i="103"/>
  <c r="AC85" i="127"/>
  <c r="X85" i="127"/>
  <c r="S85" i="127"/>
  <c r="N85" i="127"/>
  <c r="AC82" i="127"/>
  <c r="X82" i="127"/>
  <c r="S82" i="127"/>
  <c r="N82" i="127"/>
  <c r="AC78" i="127"/>
  <c r="X78" i="127"/>
  <c r="S78" i="127"/>
  <c r="N78" i="127"/>
  <c r="AB77" i="127"/>
  <c r="AA77" i="127"/>
  <c r="W77" i="127"/>
  <c r="V77" i="127"/>
  <c r="R77" i="127"/>
  <c r="Q77" i="127"/>
  <c r="M77" i="127"/>
  <c r="L77" i="127"/>
  <c r="AC74" i="127"/>
  <c r="X74" i="127"/>
  <c r="S74" i="127"/>
  <c r="S73" i="127" s="1"/>
  <c r="N74" i="127"/>
  <c r="AB73" i="127"/>
  <c r="AA73" i="127"/>
  <c r="X73" i="127"/>
  <c r="W73" i="127"/>
  <c r="V73" i="127"/>
  <c r="R73" i="127"/>
  <c r="Q73" i="127"/>
  <c r="M73" i="127"/>
  <c r="L73" i="127"/>
  <c r="AC71" i="127"/>
  <c r="X71" i="127"/>
  <c r="S71" i="127"/>
  <c r="N71" i="127"/>
  <c r="AC70" i="127"/>
  <c r="X70" i="127"/>
  <c r="S70" i="127"/>
  <c r="N70" i="127"/>
  <c r="AC69" i="127"/>
  <c r="X69" i="127"/>
  <c r="S69" i="127"/>
  <c r="N69" i="127"/>
  <c r="AC68" i="127"/>
  <c r="X68" i="127"/>
  <c r="S68" i="127"/>
  <c r="N68" i="127"/>
  <c r="AC67" i="127"/>
  <c r="X67" i="127"/>
  <c r="S67" i="127"/>
  <c r="N67" i="127"/>
  <c r="AC66" i="127"/>
  <c r="X66" i="127"/>
  <c r="S66" i="127"/>
  <c r="N66" i="127"/>
  <c r="AC65" i="127"/>
  <c r="X65" i="127"/>
  <c r="S65" i="127"/>
  <c r="M65" i="127"/>
  <c r="BA65" i="127" s="1"/>
  <c r="AC64" i="127"/>
  <c r="X64" i="127"/>
  <c r="S64" i="127"/>
  <c r="N64" i="127"/>
  <c r="AC63" i="127"/>
  <c r="X63" i="127"/>
  <c r="S63" i="127"/>
  <c r="N63" i="127"/>
  <c r="AC62" i="127"/>
  <c r="X62" i="127"/>
  <c r="S62" i="127"/>
  <c r="N62" i="127"/>
  <c r="AC61" i="127"/>
  <c r="X61" i="127"/>
  <c r="S61" i="127"/>
  <c r="N61" i="127"/>
  <c r="AC60" i="127"/>
  <c r="X60" i="127"/>
  <c r="S60" i="127"/>
  <c r="N60" i="127"/>
  <c r="AC59" i="127"/>
  <c r="X59" i="127"/>
  <c r="S59" i="127"/>
  <c r="N59" i="127"/>
  <c r="AC58" i="127"/>
  <c r="X58" i="127"/>
  <c r="S58" i="127"/>
  <c r="N58" i="127"/>
  <c r="AC57" i="127"/>
  <c r="X57" i="127"/>
  <c r="S57" i="127"/>
  <c r="N57" i="127"/>
  <c r="AC56" i="127"/>
  <c r="X56" i="127"/>
  <c r="S56" i="127"/>
  <c r="N56" i="127"/>
  <c r="AC55" i="127"/>
  <c r="X55" i="127"/>
  <c r="X54" i="127" s="1"/>
  <c r="S55" i="127"/>
  <c r="N55" i="127"/>
  <c r="AB54" i="127"/>
  <c r="AA54" i="127"/>
  <c r="W54" i="127"/>
  <c r="V54" i="127"/>
  <c r="R54" i="127"/>
  <c r="Q54" i="127"/>
  <c r="M54" i="127"/>
  <c r="L54" i="127"/>
  <c r="AC52" i="127"/>
  <c r="X52" i="127"/>
  <c r="S52" i="127"/>
  <c r="N52" i="127"/>
  <c r="AC51" i="127"/>
  <c r="AC50" i="127" s="1"/>
  <c r="X51" i="127"/>
  <c r="X50" i="127" s="1"/>
  <c r="S51" i="127"/>
  <c r="S50" i="127" s="1"/>
  <c r="N51" i="127"/>
  <c r="AB50" i="127"/>
  <c r="AA50" i="127"/>
  <c r="W50" i="127"/>
  <c r="V50" i="127"/>
  <c r="R50" i="127"/>
  <c r="Q50" i="127"/>
  <c r="N50" i="127"/>
  <c r="M50" i="127"/>
  <c r="L50" i="127"/>
  <c r="AC48" i="127"/>
  <c r="X48" i="127"/>
  <c r="S48" i="127"/>
  <c r="N48" i="127"/>
  <c r="AC47" i="127"/>
  <c r="N47" i="127"/>
  <c r="AC46" i="127"/>
  <c r="X46" i="127"/>
  <c r="S46" i="127"/>
  <c r="N46" i="127"/>
  <c r="AC45" i="127"/>
  <c r="X45" i="127"/>
  <c r="S45" i="127"/>
  <c r="N45" i="127"/>
  <c r="AC44" i="127"/>
  <c r="X44" i="127"/>
  <c r="S44" i="127"/>
  <c r="N44" i="127"/>
  <c r="AC43" i="127"/>
  <c r="X43" i="127"/>
  <c r="S43" i="127"/>
  <c r="N43" i="127"/>
  <c r="AC42" i="127"/>
  <c r="X42" i="127"/>
  <c r="S42" i="127"/>
  <c r="N42" i="127"/>
  <c r="AB41" i="127"/>
  <c r="AA41" i="127"/>
  <c r="W41" i="127"/>
  <c r="V41" i="127"/>
  <c r="R41" i="127"/>
  <c r="Q41" i="127"/>
  <c r="M41" i="127"/>
  <c r="L41" i="127"/>
  <c r="AC36" i="127"/>
  <c r="X36" i="127"/>
  <c r="S36" i="127"/>
  <c r="S35" i="127" s="1"/>
  <c r="N36" i="127"/>
  <c r="N35" i="127" s="1"/>
  <c r="AC35" i="127"/>
  <c r="X35" i="127"/>
  <c r="T35" i="127"/>
  <c r="M35" i="127"/>
  <c r="L35" i="127"/>
  <c r="AC33" i="127"/>
  <c r="X33" i="127"/>
  <c r="S33" i="127"/>
  <c r="N33" i="127"/>
  <c r="AC32" i="127"/>
  <c r="X32" i="127"/>
  <c r="S32" i="127"/>
  <c r="N32" i="127"/>
  <c r="AC31" i="127"/>
  <c r="X31" i="127"/>
  <c r="S31" i="127"/>
  <c r="M31" i="127"/>
  <c r="AB30" i="127"/>
  <c r="AC30" i="127" s="1"/>
  <c r="X30" i="127"/>
  <c r="S30" i="127"/>
  <c r="M30" i="127"/>
  <c r="AC29" i="127"/>
  <c r="V29" i="127"/>
  <c r="V8" i="127" s="1"/>
  <c r="Q29" i="127"/>
  <c r="N29" i="127"/>
  <c r="AC28" i="127"/>
  <c r="X28" i="127"/>
  <c r="S28" i="127"/>
  <c r="N28" i="127"/>
  <c r="AC27" i="127"/>
  <c r="X27" i="127"/>
  <c r="S27" i="127"/>
  <c r="N27" i="127"/>
  <c r="AA26" i="127"/>
  <c r="AZ26" i="127" s="1"/>
  <c r="X26" i="127"/>
  <c r="S26" i="127"/>
  <c r="N26" i="127"/>
  <c r="AC25" i="127"/>
  <c r="AA24" i="127"/>
  <c r="AZ24" i="127" s="1"/>
  <c r="AC23" i="127"/>
  <c r="AC22" i="127"/>
  <c r="AC21" i="127"/>
  <c r="AC20" i="127"/>
  <c r="AC19" i="127"/>
  <c r="AC18" i="127"/>
  <c r="AC17" i="127"/>
  <c r="AC16" i="127"/>
  <c r="AC15" i="127"/>
  <c r="AC14" i="127"/>
  <c r="AC13" i="127"/>
  <c r="AC12" i="127"/>
  <c r="AC11" i="127"/>
  <c r="AC10" i="127"/>
  <c r="AC9" i="127"/>
  <c r="AB8" i="127"/>
  <c r="W8" i="127"/>
  <c r="R8" i="127"/>
  <c r="L8" i="127"/>
  <c r="AC7" i="127"/>
  <c r="X7" i="127"/>
  <c r="S7" i="127"/>
  <c r="N7" i="127"/>
  <c r="AC6" i="127"/>
  <c r="AC5" i="127" s="1"/>
  <c r="X6" i="127"/>
  <c r="S6" i="127"/>
  <c r="S5" i="127" s="1"/>
  <c r="N6" i="127"/>
  <c r="N5" i="127" s="1"/>
  <c r="AB5" i="127"/>
  <c r="AB38" i="127" s="1"/>
  <c r="AB75" i="127" s="1"/>
  <c r="AA5" i="127"/>
  <c r="X5" i="127"/>
  <c r="W5" i="127"/>
  <c r="W38" i="127" s="1"/>
  <c r="V5" i="127"/>
  <c r="R5" i="127"/>
  <c r="R38" i="127" s="1"/>
  <c r="R75" i="127" s="1"/>
  <c r="Q5" i="127"/>
  <c r="M5" i="127"/>
  <c r="L5" i="127"/>
  <c r="AW54" i="103" l="1"/>
  <c r="BA75" i="91"/>
  <c r="L38" i="127"/>
  <c r="L39" i="127" s="1"/>
  <c r="BG41" i="99"/>
  <c r="AR41" i="109"/>
  <c r="AW54" i="86"/>
  <c r="AR50" i="109"/>
  <c r="BB50" i="91"/>
  <c r="BB89" i="91" s="1"/>
  <c r="V38" i="127"/>
  <c r="V75" i="127" s="1"/>
  <c r="AU38" i="86"/>
  <c r="S54" i="127"/>
  <c r="AW50" i="103"/>
  <c r="AA8" i="127"/>
  <c r="AC26" i="127"/>
  <c r="AW41" i="86"/>
  <c r="AX54" i="98"/>
  <c r="BR38" i="98"/>
  <c r="BH38" i="98"/>
  <c r="BR39" i="98"/>
  <c r="BM38" i="98"/>
  <c r="BH39" i="98"/>
  <c r="BM39" i="98"/>
  <c r="AA38" i="127"/>
  <c r="AA75" i="127" s="1"/>
  <c r="AW8" i="103"/>
  <c r="AV38" i="86"/>
  <c r="AV39" i="86" s="1"/>
  <c r="BG50" i="99"/>
  <c r="BG54" i="99"/>
  <c r="AQ38" i="109"/>
  <c r="AQ75" i="109" s="1"/>
  <c r="AR54" i="109"/>
  <c r="BB8" i="91"/>
  <c r="BB38" i="91" s="1"/>
  <c r="N31" i="127"/>
  <c r="BA31" i="127"/>
  <c r="M8" i="127"/>
  <c r="M38" i="127" s="1"/>
  <c r="X29" i="127"/>
  <c r="X8" i="127" s="1"/>
  <c r="X38" i="127" s="1"/>
  <c r="AV38" i="103"/>
  <c r="AW50" i="86"/>
  <c r="BB54" i="91"/>
  <c r="AC24" i="127"/>
  <c r="AC8" i="127" s="1"/>
  <c r="S29" i="127"/>
  <c r="AZ29" i="127"/>
  <c r="N30" i="127"/>
  <c r="BA30" i="127"/>
  <c r="N65" i="127"/>
  <c r="AW5" i="103"/>
  <c r="AW41" i="103"/>
  <c r="BG38" i="99"/>
  <c r="BG39" i="99" s="1"/>
  <c r="BG8" i="99"/>
  <c r="AR5" i="109"/>
  <c r="BB41" i="91"/>
  <c r="BC8" i="98"/>
  <c r="BC49" i="98"/>
  <c r="BC47" i="98"/>
  <c r="BC44" i="98"/>
  <c r="BC36" i="98"/>
  <c r="BC33" i="98"/>
  <c r="BC30" i="98"/>
  <c r="BC27" i="98"/>
  <c r="BC23" i="98"/>
  <c r="BC20" i="98"/>
  <c r="BC79" i="98"/>
  <c r="BC72" i="98"/>
  <c r="BC45" i="98"/>
  <c r="BC42" i="98"/>
  <c r="BC31" i="98"/>
  <c r="BC28" i="98"/>
  <c r="BC24" i="98"/>
  <c r="BC21" i="98"/>
  <c r="BC18" i="98"/>
  <c r="BC71" i="98"/>
  <c r="BC25" i="98"/>
  <c r="BC15" i="98"/>
  <c r="BC12" i="98"/>
  <c r="BC9" i="98"/>
  <c r="BC43" i="98"/>
  <c r="BC63" i="98"/>
  <c r="BC29" i="98"/>
  <c r="BC58" i="98"/>
  <c r="BC19" i="98"/>
  <c r="BC48" i="98"/>
  <c r="BC68" i="98"/>
  <c r="BC46" i="98"/>
  <c r="BC66" i="98"/>
  <c r="BC32" i="98"/>
  <c r="BC61" i="98"/>
  <c r="BC22" i="98"/>
  <c r="BB92" i="98"/>
  <c r="BC11" i="98"/>
  <c r="BC69" i="98"/>
  <c r="BC64" i="98"/>
  <c r="BC56" i="98"/>
  <c r="BC14" i="98"/>
  <c r="BC54" i="98"/>
  <c r="BC52" i="98"/>
  <c r="BC67" i="98"/>
  <c r="BC10" i="98"/>
  <c r="BC59" i="98"/>
  <c r="BC51" i="98"/>
  <c r="BC17" i="98"/>
  <c r="BC57" i="98"/>
  <c r="BC70" i="98"/>
  <c r="BC13" i="98"/>
  <c r="BC62" i="98"/>
  <c r="BC60" i="98"/>
  <c r="BC26" i="98"/>
  <c r="BC55" i="98"/>
  <c r="BC16" i="98"/>
  <c r="BC65" i="98"/>
  <c r="BC41" i="98"/>
  <c r="AW39" i="98"/>
  <c r="AX39" i="98" s="1"/>
  <c r="AW75" i="98"/>
  <c r="AX38" i="98"/>
  <c r="BC38" i="98"/>
  <c r="AX49" i="98"/>
  <c r="AX46" i="98"/>
  <c r="AX43" i="98"/>
  <c r="AX32" i="98"/>
  <c r="AX29" i="98"/>
  <c r="AX22" i="98"/>
  <c r="AX19" i="98"/>
  <c r="AX79" i="98"/>
  <c r="AX72" i="98"/>
  <c r="AX47" i="98"/>
  <c r="AX44" i="98"/>
  <c r="AX36" i="98"/>
  <c r="AX35" i="98"/>
  <c r="AX33" i="98"/>
  <c r="AX30" i="98"/>
  <c r="AX27" i="98"/>
  <c r="AX23" i="98"/>
  <c r="AX20" i="98"/>
  <c r="AX70" i="98"/>
  <c r="AX17" i="98"/>
  <c r="AX14" i="98"/>
  <c r="AX11" i="98"/>
  <c r="AW92" i="98"/>
  <c r="AX15" i="98"/>
  <c r="AX61" i="98"/>
  <c r="AX48" i="98"/>
  <c r="AX71" i="98"/>
  <c r="AX63" i="98"/>
  <c r="AX64" i="98"/>
  <c r="AX10" i="98"/>
  <c r="AX56" i="98"/>
  <c r="AX51" i="98"/>
  <c r="AX66" i="98"/>
  <c r="AX52" i="98"/>
  <c r="AX18" i="98"/>
  <c r="AX50" i="98"/>
  <c r="AX67" i="98"/>
  <c r="AX13" i="98"/>
  <c r="AX59" i="98"/>
  <c r="AX25" i="98"/>
  <c r="AX41" i="98"/>
  <c r="AX69" i="98"/>
  <c r="AX21" i="98"/>
  <c r="AX16" i="98"/>
  <c r="AX62" i="98"/>
  <c r="AX28" i="98"/>
  <c r="AX9" i="98"/>
  <c r="AX24" i="98"/>
  <c r="AX55" i="98"/>
  <c r="AX42" i="98"/>
  <c r="AX65" i="98"/>
  <c r="AX31" i="98"/>
  <c r="AX57" i="98"/>
  <c r="AX26" i="98"/>
  <c r="AX12" i="98"/>
  <c r="AX58" i="98"/>
  <c r="AX45" i="98"/>
  <c r="AX68" i="98"/>
  <c r="BC35" i="98"/>
  <c r="AX60" i="98"/>
  <c r="BC39" i="98"/>
  <c r="AU81" i="98"/>
  <c r="AU83" i="98" s="1"/>
  <c r="AU84" i="98" s="1"/>
  <c r="AU86" i="98" s="1"/>
  <c r="AU87" i="98" s="1"/>
  <c r="AU76" i="98"/>
  <c r="AX8" i="98"/>
  <c r="BB76" i="98"/>
  <c r="BB81" i="98"/>
  <c r="BB83" i="98" s="1"/>
  <c r="BB84" i="98" s="1"/>
  <c r="BB86" i="98" s="1"/>
  <c r="BB87" i="98" s="1"/>
  <c r="AZ75" i="91"/>
  <c r="AZ39" i="91"/>
  <c r="BA81" i="91"/>
  <c r="BA83" i="91" s="1"/>
  <c r="BA84" i="91" s="1"/>
  <c r="BA86" i="91" s="1"/>
  <c r="BA87" i="91" s="1"/>
  <c r="BA76" i="91"/>
  <c r="BB77" i="91"/>
  <c r="BA39" i="91"/>
  <c r="AQ39" i="109"/>
  <c r="AP8" i="109"/>
  <c r="AP38" i="109" s="1"/>
  <c r="AR77" i="109"/>
  <c r="AR8" i="109"/>
  <c r="BE39" i="99"/>
  <c r="BE75" i="99"/>
  <c r="BF39" i="99"/>
  <c r="BF75" i="99"/>
  <c r="AV75" i="86"/>
  <c r="AU75" i="86"/>
  <c r="AU39" i="86"/>
  <c r="AW25" i="86"/>
  <c r="AV39" i="103"/>
  <c r="AV75" i="103"/>
  <c r="AW38" i="103"/>
  <c r="AU8" i="103"/>
  <c r="AU38" i="103" s="1"/>
  <c r="N8" i="127"/>
  <c r="N38" i="127" s="1"/>
  <c r="V81" i="127"/>
  <c r="V83" i="127" s="1"/>
  <c r="V84" i="127" s="1"/>
  <c r="V86" i="127" s="1"/>
  <c r="V87" i="127" s="1"/>
  <c r="V76" i="127"/>
  <c r="N41" i="127"/>
  <c r="S8" i="127"/>
  <c r="S38" i="127" s="1"/>
  <c r="R39" i="127"/>
  <c r="AB76" i="127"/>
  <c r="AB81" i="127"/>
  <c r="AB83" i="127" s="1"/>
  <c r="AB84" i="127" s="1"/>
  <c r="AB86" i="127" s="1"/>
  <c r="AB87" i="127" s="1"/>
  <c r="W75" i="127"/>
  <c r="W39" i="127"/>
  <c r="AB39" i="127"/>
  <c r="R76" i="127"/>
  <c r="R81" i="127"/>
  <c r="R83" i="127" s="1"/>
  <c r="R84" i="127" s="1"/>
  <c r="R86" i="127" s="1"/>
  <c r="R87" i="127" s="1"/>
  <c r="X41" i="127"/>
  <c r="AC41" i="127"/>
  <c r="S41" i="127"/>
  <c r="V39" i="127"/>
  <c r="L75" i="127"/>
  <c r="Q8" i="127"/>
  <c r="Q38" i="127" s="1"/>
  <c r="N54" i="127"/>
  <c r="AC54" i="127"/>
  <c r="AC73" i="127"/>
  <c r="N73" i="127"/>
  <c r="BC45" i="91" l="1"/>
  <c r="BC18" i="91"/>
  <c r="BC56" i="91"/>
  <c r="BC66" i="91"/>
  <c r="BC67" i="91"/>
  <c r="BC25" i="91"/>
  <c r="AW89" i="103"/>
  <c r="AX58" i="103" s="1"/>
  <c r="BB75" i="91"/>
  <c r="BB81" i="91" s="1"/>
  <c r="BB83" i="91" s="1"/>
  <c r="BB84" i="91" s="1"/>
  <c r="BB86" i="91" s="1"/>
  <c r="BB87" i="91" s="1"/>
  <c r="BB39" i="91"/>
  <c r="BC39" i="91" s="1"/>
  <c r="BC61" i="91"/>
  <c r="BC60" i="91"/>
  <c r="BC71" i="91"/>
  <c r="BC22" i="91"/>
  <c r="BC41" i="91"/>
  <c r="BC35" i="91"/>
  <c r="BC24" i="91"/>
  <c r="BC65" i="91"/>
  <c r="BC62" i="91"/>
  <c r="AX42" i="103"/>
  <c r="AX66" i="103"/>
  <c r="BG75" i="99"/>
  <c r="BG76" i="99" s="1"/>
  <c r="BC16" i="91"/>
  <c r="AA39" i="127"/>
  <c r="BC42" i="91"/>
  <c r="BC55" i="91"/>
  <c r="BC19" i="91"/>
  <c r="BC48" i="91"/>
  <c r="BC12" i="91"/>
  <c r="BC59" i="91"/>
  <c r="BC70" i="91"/>
  <c r="BC69" i="91"/>
  <c r="BC9" i="91"/>
  <c r="BC43" i="91"/>
  <c r="BC13" i="91"/>
  <c r="BC77" i="91"/>
  <c r="BC47" i="91"/>
  <c r="BC64" i="91"/>
  <c r="BG89" i="99"/>
  <c r="BH8" i="99" s="1"/>
  <c r="BC44" i="91"/>
  <c r="BC10" i="91"/>
  <c r="BC8" i="91"/>
  <c r="BC36" i="91"/>
  <c r="BC28" i="91"/>
  <c r="BC58" i="91"/>
  <c r="BC50" i="91"/>
  <c r="BC38" i="91"/>
  <c r="BC52" i="91"/>
  <c r="AW76" i="98"/>
  <c r="AW81" i="98"/>
  <c r="AW83" i="98" s="1"/>
  <c r="AW84" i="98" s="1"/>
  <c r="AW86" i="98" s="1"/>
  <c r="AW87" i="98" s="1"/>
  <c r="AX57" i="103"/>
  <c r="AX54" i="103"/>
  <c r="AX68" i="103"/>
  <c r="AX61" i="103"/>
  <c r="AX71" i="103"/>
  <c r="AX11" i="103"/>
  <c r="BC80" i="91"/>
  <c r="BC53" i="91"/>
  <c r="BC23" i="91"/>
  <c r="BC20" i="91"/>
  <c r="BC17" i="91"/>
  <c r="BC14" i="91"/>
  <c r="BC11" i="91"/>
  <c r="BC78" i="91"/>
  <c r="BC72" i="91"/>
  <c r="BC49" i="91"/>
  <c r="BC33" i="91"/>
  <c r="BC30" i="91"/>
  <c r="BC37" i="91"/>
  <c r="BC34" i="91"/>
  <c r="BC74" i="91"/>
  <c r="BC51" i="91"/>
  <c r="BC27" i="91"/>
  <c r="BC40" i="91"/>
  <c r="BC32" i="91"/>
  <c r="BC29" i="91"/>
  <c r="BC26" i="91"/>
  <c r="BC54" i="91"/>
  <c r="AZ81" i="91"/>
  <c r="AZ83" i="91" s="1"/>
  <c r="AZ84" i="91" s="1"/>
  <c r="AZ86" i="91" s="1"/>
  <c r="AZ87" i="91" s="1"/>
  <c r="AZ76" i="91"/>
  <c r="BC63" i="91"/>
  <c r="BC21" i="91"/>
  <c r="BC73" i="91"/>
  <c r="BC31" i="91"/>
  <c r="BC46" i="91"/>
  <c r="BC57" i="91"/>
  <c r="BC15" i="91"/>
  <c r="BC68" i="91"/>
  <c r="BC79" i="91"/>
  <c r="AP75" i="109"/>
  <c r="AP39" i="109"/>
  <c r="AR89" i="109"/>
  <c r="AS8" i="109" s="1"/>
  <c r="AR38" i="109"/>
  <c r="AQ76" i="109"/>
  <c r="AQ81" i="109"/>
  <c r="AQ83" i="109" s="1"/>
  <c r="AQ84" i="109" s="1"/>
  <c r="AQ86" i="109" s="1"/>
  <c r="AQ87" i="109" s="1"/>
  <c r="BF76" i="99"/>
  <c r="BF81" i="99"/>
  <c r="BF83" i="99" s="1"/>
  <c r="BF84" i="99" s="1"/>
  <c r="BF86" i="99" s="1"/>
  <c r="BF87" i="99" s="1"/>
  <c r="BE76" i="99"/>
  <c r="BE81" i="99"/>
  <c r="BE83" i="99" s="1"/>
  <c r="BE84" i="99" s="1"/>
  <c r="BE86" i="99" s="1"/>
  <c r="BE87" i="99" s="1"/>
  <c r="BG81" i="99"/>
  <c r="BG83" i="99" s="1"/>
  <c r="BG84" i="99" s="1"/>
  <c r="BG86" i="99" s="1"/>
  <c r="BG87" i="99" s="1"/>
  <c r="AU81" i="86"/>
  <c r="AU83" i="86" s="1"/>
  <c r="AU84" i="86" s="1"/>
  <c r="AU86" i="86" s="1"/>
  <c r="AU87" i="86" s="1"/>
  <c r="AU76" i="86"/>
  <c r="AV76" i="86"/>
  <c r="AV81" i="86"/>
  <c r="AV83" i="86" s="1"/>
  <c r="AV84" i="86" s="1"/>
  <c r="AV86" i="86" s="1"/>
  <c r="AV87" i="86" s="1"/>
  <c r="AW8" i="86"/>
  <c r="AU75" i="103"/>
  <c r="AU39" i="103"/>
  <c r="AX8" i="103"/>
  <c r="AX46" i="103"/>
  <c r="AX14" i="103"/>
  <c r="AX26" i="103"/>
  <c r="AX41" i="103"/>
  <c r="AX79" i="103"/>
  <c r="AX16" i="103"/>
  <c r="AX77" i="103"/>
  <c r="AX28" i="103"/>
  <c r="AX22" i="103"/>
  <c r="AX13" i="103"/>
  <c r="AX23" i="103"/>
  <c r="AX31" i="103"/>
  <c r="AX19" i="103"/>
  <c r="AX10" i="103"/>
  <c r="AX33" i="103"/>
  <c r="AX30" i="103"/>
  <c r="AX27" i="103"/>
  <c r="AX21" i="103"/>
  <c r="AX18" i="103"/>
  <c r="AX15" i="103"/>
  <c r="AX12" i="103"/>
  <c r="AX9" i="103"/>
  <c r="AX70" i="103"/>
  <c r="AX69" i="103"/>
  <c r="AW39" i="103"/>
  <c r="AW75" i="103"/>
  <c r="AX25" i="103"/>
  <c r="AX24" i="103"/>
  <c r="AX60" i="103"/>
  <c r="AX64" i="103"/>
  <c r="AX63" i="103"/>
  <c r="AX78" i="103"/>
  <c r="AX67" i="103"/>
  <c r="AX17" i="103"/>
  <c r="AX43" i="103"/>
  <c r="AX47" i="103"/>
  <c r="AX65" i="103"/>
  <c r="AX45" i="103"/>
  <c r="AX44" i="103"/>
  <c r="AX62" i="103"/>
  <c r="AX55" i="103"/>
  <c r="AV81" i="103"/>
  <c r="AV83" i="103" s="1"/>
  <c r="AV84" i="103" s="1"/>
  <c r="AV86" i="103" s="1"/>
  <c r="AV87" i="103" s="1"/>
  <c r="AV76" i="103"/>
  <c r="AX29" i="103"/>
  <c r="AX59" i="103"/>
  <c r="AX20" i="103"/>
  <c r="AX32" i="103"/>
  <c r="AX56" i="103"/>
  <c r="AX48" i="103"/>
  <c r="S75" i="127"/>
  <c r="S39" i="127"/>
  <c r="X75" i="127"/>
  <c r="X39" i="127"/>
  <c r="Q75" i="127"/>
  <c r="Q39" i="127"/>
  <c r="N75" i="127"/>
  <c r="N39" i="127"/>
  <c r="AA76" i="127"/>
  <c r="AA81" i="127"/>
  <c r="AA83" i="127" s="1"/>
  <c r="AA84" i="127" s="1"/>
  <c r="AA86" i="127" s="1"/>
  <c r="AA87" i="127" s="1"/>
  <c r="M75" i="127"/>
  <c r="M39" i="127"/>
  <c r="W81" i="127"/>
  <c r="W83" i="127" s="1"/>
  <c r="W84" i="127" s="1"/>
  <c r="W86" i="127" s="1"/>
  <c r="W87" i="127" s="1"/>
  <c r="W76" i="127"/>
  <c r="L81" i="127"/>
  <c r="L83" i="127" s="1"/>
  <c r="L84" i="127" s="1"/>
  <c r="L86" i="127" s="1"/>
  <c r="L87" i="127" s="1"/>
  <c r="L76" i="127"/>
  <c r="AC38" i="127"/>
  <c r="BB76" i="91" l="1"/>
  <c r="AR39" i="109"/>
  <c r="AR75" i="109"/>
  <c r="AS80" i="109"/>
  <c r="AS32" i="109"/>
  <c r="AS29" i="109"/>
  <c r="AS20" i="109"/>
  <c r="AS17" i="109"/>
  <c r="AS14" i="109"/>
  <c r="AS11" i="109"/>
  <c r="AS23" i="109"/>
  <c r="AS31" i="109"/>
  <c r="AS28" i="109"/>
  <c r="AS22" i="109"/>
  <c r="AS19" i="109"/>
  <c r="AS16" i="109"/>
  <c r="AS13" i="109"/>
  <c r="AS10" i="109"/>
  <c r="AS9" i="109"/>
  <c r="AS69" i="109"/>
  <c r="AS65" i="109"/>
  <c r="AS41" i="109"/>
  <c r="AS42" i="109"/>
  <c r="AS27" i="109"/>
  <c r="AS15" i="109"/>
  <c r="AS71" i="109"/>
  <c r="AS47" i="109"/>
  <c r="AS48" i="109"/>
  <c r="AS33" i="109"/>
  <c r="AS21" i="109"/>
  <c r="AS45" i="109"/>
  <c r="AS24" i="109"/>
  <c r="AS60" i="109"/>
  <c r="AS54" i="109"/>
  <c r="AS43" i="109"/>
  <c r="AS44" i="109"/>
  <c r="AS58" i="109"/>
  <c r="AS30" i="109"/>
  <c r="AS12" i="109"/>
  <c r="AS66" i="109"/>
  <c r="AS61" i="109"/>
  <c r="AS56" i="109"/>
  <c r="AS55" i="109"/>
  <c r="AS57" i="109"/>
  <c r="AS64" i="109"/>
  <c r="AS46" i="109"/>
  <c r="AS18" i="109"/>
  <c r="AS78" i="109"/>
  <c r="AS67" i="109"/>
  <c r="AS62" i="109"/>
  <c r="AS63" i="109"/>
  <c r="AS70" i="109"/>
  <c r="AS59" i="109"/>
  <c r="AS25" i="109"/>
  <c r="AS26" i="109"/>
  <c r="AS79" i="109"/>
  <c r="AS68" i="109"/>
  <c r="AP76" i="109"/>
  <c r="AP81" i="109"/>
  <c r="AP83" i="109" s="1"/>
  <c r="AP84" i="109" s="1"/>
  <c r="AP86" i="109" s="1"/>
  <c r="AP87" i="109" s="1"/>
  <c r="AW89" i="86"/>
  <c r="AW93" i="86" s="1"/>
  <c r="AW38" i="86"/>
  <c r="AW76" i="103"/>
  <c r="AW81" i="103"/>
  <c r="AU76" i="103"/>
  <c r="AU81" i="103"/>
  <c r="AU83" i="103" s="1"/>
  <c r="AU84" i="103" s="1"/>
  <c r="AU86" i="103" s="1"/>
  <c r="AU87" i="103" s="1"/>
  <c r="N76" i="127"/>
  <c r="M81" i="127"/>
  <c r="M83" i="127" s="1"/>
  <c r="M84" i="127" s="1"/>
  <c r="M86" i="127" s="1"/>
  <c r="M87" i="127" s="1"/>
  <c r="M76" i="127"/>
  <c r="Q76" i="127"/>
  <c r="Q81" i="127"/>
  <c r="Q83" i="127" s="1"/>
  <c r="Q84" i="127" s="1"/>
  <c r="Q86" i="127" s="1"/>
  <c r="Q87" i="127" s="1"/>
  <c r="X76" i="127"/>
  <c r="AC75" i="127"/>
  <c r="AC39" i="127"/>
  <c r="S76" i="127"/>
  <c r="AR76" i="109" l="1"/>
  <c r="AR81" i="109"/>
  <c r="AR83" i="109" s="1"/>
  <c r="AR84" i="109" s="1"/>
  <c r="AR86" i="109" s="1"/>
  <c r="AR87" i="109" s="1"/>
  <c r="AW75" i="86"/>
  <c r="AW39" i="86"/>
  <c r="AW83" i="103"/>
  <c r="AC76" i="127"/>
  <c r="AW76" i="86" l="1"/>
  <c r="AW81" i="86"/>
  <c r="AW83" i="86" s="1"/>
  <c r="AW84" i="86" s="1"/>
  <c r="AW86" i="86" s="1"/>
  <c r="AW87" i="86" s="1"/>
  <c r="AW84" i="103"/>
  <c r="AW86" i="103" l="1"/>
  <c r="AW87" i="103" s="1"/>
  <c r="AR85" i="103" l="1"/>
  <c r="AM85" i="103"/>
  <c r="AH85" i="103"/>
  <c r="AR82" i="103"/>
  <c r="AM82" i="103"/>
  <c r="AH82" i="103"/>
  <c r="AR78" i="103"/>
  <c r="AM78" i="103"/>
  <c r="AH78" i="103"/>
  <c r="AH77" i="103" s="1"/>
  <c r="AQ77" i="103"/>
  <c r="AP77" i="103"/>
  <c r="AL77" i="103"/>
  <c r="AK77" i="103"/>
  <c r="AG77" i="103"/>
  <c r="AF77" i="103"/>
  <c r="AR74" i="103"/>
  <c r="AR73" i="103" s="1"/>
  <c r="AM74" i="103"/>
  <c r="AH74" i="103"/>
  <c r="AH73" i="103" s="1"/>
  <c r="AQ73" i="103"/>
  <c r="AP73" i="103"/>
  <c r="AM73" i="103"/>
  <c r="AL73" i="103"/>
  <c r="AK73" i="103"/>
  <c r="AG73" i="103"/>
  <c r="AF73" i="103"/>
  <c r="AR71" i="103"/>
  <c r="AM71" i="103"/>
  <c r="AH71" i="103"/>
  <c r="AR70" i="103"/>
  <c r="AM70" i="103"/>
  <c r="AH70" i="103"/>
  <c r="AR69" i="103"/>
  <c r="AM69" i="103"/>
  <c r="AH69" i="103"/>
  <c r="AR68" i="103"/>
  <c r="AM68" i="103"/>
  <c r="AH68" i="103"/>
  <c r="AR67" i="103"/>
  <c r="AM67" i="103"/>
  <c r="AH67" i="103"/>
  <c r="AR66" i="103"/>
  <c r="AM66" i="103"/>
  <c r="AH66" i="103"/>
  <c r="AR65" i="103"/>
  <c r="AM65" i="103"/>
  <c r="AH65" i="103"/>
  <c r="AR64" i="103"/>
  <c r="AM64" i="103"/>
  <c r="AH64" i="103"/>
  <c r="AR63" i="103"/>
  <c r="AM63" i="103"/>
  <c r="AH63" i="103"/>
  <c r="AR62" i="103"/>
  <c r="AM62" i="103"/>
  <c r="AH62" i="103"/>
  <c r="AR61" i="103"/>
  <c r="AM61" i="103"/>
  <c r="AH61" i="103"/>
  <c r="AR60" i="103"/>
  <c r="AM60" i="103"/>
  <c r="AH60" i="103"/>
  <c r="AR59" i="103"/>
  <c r="AM59" i="103"/>
  <c r="AH59" i="103"/>
  <c r="AR58" i="103"/>
  <c r="AM58" i="103"/>
  <c r="AH58" i="103"/>
  <c r="AR57" i="103"/>
  <c r="AM57" i="103"/>
  <c r="AH57" i="103"/>
  <c r="AR56" i="103"/>
  <c r="AM56" i="103"/>
  <c r="AH56" i="103"/>
  <c r="AR55" i="103"/>
  <c r="AM55" i="103"/>
  <c r="AH55" i="103"/>
  <c r="AQ54" i="103"/>
  <c r="AP54" i="103"/>
  <c r="AL54" i="103"/>
  <c r="AK54" i="103"/>
  <c r="AG54" i="103"/>
  <c r="AF54" i="103"/>
  <c r="AR52" i="103"/>
  <c r="AM52" i="103"/>
  <c r="AH52" i="103"/>
  <c r="AR51" i="103"/>
  <c r="AR50" i="103" s="1"/>
  <c r="AM51" i="103"/>
  <c r="AH51" i="103"/>
  <c r="AH50" i="103" s="1"/>
  <c r="AQ50" i="103"/>
  <c r="AP50" i="103"/>
  <c r="AL50" i="103"/>
  <c r="AK50" i="103"/>
  <c r="AG50" i="103"/>
  <c r="AF50" i="103"/>
  <c r="AR48" i="103"/>
  <c r="AM48" i="103"/>
  <c r="AH48" i="103"/>
  <c r="AR47" i="103"/>
  <c r="AM47" i="103"/>
  <c r="AH47" i="103"/>
  <c r="AR46" i="103"/>
  <c r="AM46" i="103"/>
  <c r="AH46" i="103"/>
  <c r="AR45" i="103"/>
  <c r="AM45" i="103"/>
  <c r="AH45" i="103"/>
  <c r="AR44" i="103"/>
  <c r="AM44" i="103"/>
  <c r="AH44" i="103"/>
  <c r="AR43" i="103"/>
  <c r="AM43" i="103"/>
  <c r="AH43" i="103"/>
  <c r="AR42" i="103"/>
  <c r="AR41" i="103" s="1"/>
  <c r="AM42" i="103"/>
  <c r="AH42" i="103"/>
  <c r="AH41" i="103" s="1"/>
  <c r="AQ41" i="103"/>
  <c r="AP41" i="103"/>
  <c r="AL41" i="103"/>
  <c r="AK41" i="103"/>
  <c r="AG41" i="103"/>
  <c r="AF41" i="103"/>
  <c r="AR36" i="103"/>
  <c r="AR35" i="103" s="1"/>
  <c r="AM36" i="103"/>
  <c r="AM35" i="103" s="1"/>
  <c r="AH36" i="103"/>
  <c r="AH35" i="103" s="1"/>
  <c r="AQ35" i="103"/>
  <c r="AP35" i="103"/>
  <c r="AL35" i="103"/>
  <c r="AK35" i="103"/>
  <c r="AG35" i="103"/>
  <c r="AF35" i="103"/>
  <c r="AR33" i="103"/>
  <c r="AM33" i="103"/>
  <c r="AH33" i="103"/>
  <c r="AR32" i="103"/>
  <c r="AM32" i="103"/>
  <c r="AH32" i="103"/>
  <c r="AR31" i="103"/>
  <c r="AM31" i="103"/>
  <c r="AH31" i="103"/>
  <c r="AR30" i="103"/>
  <c r="AM30" i="103"/>
  <c r="AH30" i="103"/>
  <c r="AR29" i="103"/>
  <c r="AM29" i="103"/>
  <c r="AH29" i="103"/>
  <c r="AR28" i="103"/>
  <c r="AM28" i="103"/>
  <c r="AH28" i="103"/>
  <c r="AR27" i="103"/>
  <c r="AM27" i="103"/>
  <c r="AH27" i="103"/>
  <c r="AR26" i="103"/>
  <c r="AL26" i="103"/>
  <c r="AL8" i="103" s="1"/>
  <c r="AK26" i="103"/>
  <c r="AH26" i="103"/>
  <c r="AR25" i="103"/>
  <c r="AM25" i="103"/>
  <c r="AH25" i="103"/>
  <c r="AP24" i="103"/>
  <c r="AR24" i="103" s="1"/>
  <c r="AK24" i="103"/>
  <c r="AM24" i="103" s="1"/>
  <c r="AF24" i="103"/>
  <c r="AH24" i="103" s="1"/>
  <c r="AR22" i="103"/>
  <c r="AM22" i="103"/>
  <c r="AH22" i="103"/>
  <c r="AR21" i="103"/>
  <c r="AM21" i="103"/>
  <c r="AH21" i="103"/>
  <c r="AR20" i="103"/>
  <c r="AM20" i="103"/>
  <c r="AH20" i="103"/>
  <c r="AR19" i="103"/>
  <c r="AM19" i="103"/>
  <c r="AH19" i="103"/>
  <c r="AP18" i="103"/>
  <c r="AR18" i="103" s="1"/>
  <c r="AM18" i="103"/>
  <c r="AR17" i="103"/>
  <c r="AM17" i="103"/>
  <c r="AH17" i="103"/>
  <c r="AR16" i="103"/>
  <c r="AM16" i="103"/>
  <c r="AH16" i="103"/>
  <c r="AR15" i="103"/>
  <c r="AM15" i="103"/>
  <c r="AH15" i="103"/>
  <c r="AR14" i="103"/>
  <c r="AM14" i="103"/>
  <c r="AH14" i="103"/>
  <c r="AR13" i="103"/>
  <c r="AM13" i="103"/>
  <c r="AH13" i="103"/>
  <c r="AR12" i="103"/>
  <c r="AM12" i="103"/>
  <c r="AH12" i="103"/>
  <c r="AR11" i="103"/>
  <c r="AM11" i="103"/>
  <c r="AH11" i="103"/>
  <c r="AR10" i="103"/>
  <c r="AM10" i="103"/>
  <c r="AH10" i="103"/>
  <c r="AR9" i="103"/>
  <c r="AM9" i="103"/>
  <c r="AH9" i="103"/>
  <c r="AQ8" i="103"/>
  <c r="AG8" i="103"/>
  <c r="AR7" i="103"/>
  <c r="AM7" i="103"/>
  <c r="AH7" i="103"/>
  <c r="AR6" i="103"/>
  <c r="AM6" i="103"/>
  <c r="AM5" i="103" s="1"/>
  <c r="AH6" i="103"/>
  <c r="AQ5" i="103"/>
  <c r="AP5" i="103"/>
  <c r="AL5" i="103"/>
  <c r="AK5" i="103"/>
  <c r="AG5" i="103"/>
  <c r="AG38" i="103" s="1"/>
  <c r="AF5" i="103"/>
  <c r="AR85" i="98"/>
  <c r="AM85" i="98"/>
  <c r="AH85" i="98"/>
  <c r="AR82" i="98"/>
  <c r="AM82" i="98"/>
  <c r="AH82" i="98"/>
  <c r="AR78" i="98"/>
  <c r="AM78" i="98"/>
  <c r="AH78" i="98"/>
  <c r="AQ77" i="98"/>
  <c r="AP77" i="98"/>
  <c r="AL77" i="98"/>
  <c r="AK77" i="98"/>
  <c r="AG77" i="98"/>
  <c r="AF77" i="98"/>
  <c r="AR74" i="98"/>
  <c r="AM74" i="98"/>
  <c r="AM73" i="98" s="1"/>
  <c r="AH74" i="98"/>
  <c r="AH73" i="98" s="1"/>
  <c r="AR73" i="98"/>
  <c r="AQ73" i="98"/>
  <c r="AP73" i="98"/>
  <c r="AL73" i="98"/>
  <c r="AK73" i="98"/>
  <c r="AG73" i="98"/>
  <c r="AF73" i="98"/>
  <c r="AR71" i="98"/>
  <c r="AM71" i="98"/>
  <c r="AH71" i="98"/>
  <c r="AR70" i="98"/>
  <c r="AM70" i="98"/>
  <c r="AH70" i="98"/>
  <c r="AR69" i="98"/>
  <c r="AM69" i="98"/>
  <c r="AH69" i="98"/>
  <c r="AR68" i="98"/>
  <c r="AM68" i="98"/>
  <c r="AH68" i="98"/>
  <c r="AR67" i="98"/>
  <c r="AM67" i="98"/>
  <c r="AH67" i="98"/>
  <c r="AR66" i="98"/>
  <c r="AM66" i="98"/>
  <c r="AH66" i="98"/>
  <c r="AR65" i="98"/>
  <c r="AM65" i="98"/>
  <c r="AH65" i="98"/>
  <c r="AR64" i="98"/>
  <c r="AM64" i="98"/>
  <c r="AH64" i="98"/>
  <c r="AR63" i="98"/>
  <c r="AM63" i="98"/>
  <c r="AH63" i="98"/>
  <c r="AR62" i="98"/>
  <c r="AM62" i="98"/>
  <c r="AH62" i="98"/>
  <c r="AR61" i="98"/>
  <c r="AM61" i="98"/>
  <c r="AH61" i="98"/>
  <c r="AR60" i="98"/>
  <c r="AM60" i="98"/>
  <c r="AH60" i="98"/>
  <c r="AR59" i="98"/>
  <c r="AM59" i="98"/>
  <c r="AH59" i="98"/>
  <c r="AR58" i="98"/>
  <c r="AM58" i="98"/>
  <c r="AH58" i="98"/>
  <c r="AR57" i="98"/>
  <c r="AM57" i="98"/>
  <c r="AH57" i="98"/>
  <c r="AR56" i="98"/>
  <c r="AM56" i="98"/>
  <c r="AH56" i="98"/>
  <c r="AR55" i="98"/>
  <c r="AM55" i="98"/>
  <c r="AH55" i="98"/>
  <c r="AQ54" i="98"/>
  <c r="AP54" i="98"/>
  <c r="AL54" i="98"/>
  <c r="AK54" i="98"/>
  <c r="AG54" i="98"/>
  <c r="AF54" i="98"/>
  <c r="AR52" i="98"/>
  <c r="AM52" i="98"/>
  <c r="AM50" i="98" s="1"/>
  <c r="AH52" i="98"/>
  <c r="AR51" i="98"/>
  <c r="AM51" i="98"/>
  <c r="AH51" i="98"/>
  <c r="AQ50" i="98"/>
  <c r="AP50" i="98"/>
  <c r="AL50" i="98"/>
  <c r="AK50" i="98"/>
  <c r="AG50" i="98"/>
  <c r="AF50" i="98"/>
  <c r="AR48" i="98"/>
  <c r="AM48" i="98"/>
  <c r="AH48" i="98"/>
  <c r="AR47" i="98"/>
  <c r="AM47" i="98"/>
  <c r="AH47" i="98"/>
  <c r="AR46" i="98"/>
  <c r="AM46" i="98"/>
  <c r="AH46" i="98"/>
  <c r="AR45" i="98"/>
  <c r="AM45" i="98"/>
  <c r="AH45" i="98"/>
  <c r="AR44" i="98"/>
  <c r="AM44" i="98"/>
  <c r="AH44" i="98"/>
  <c r="AR43" i="98"/>
  <c r="AM43" i="98"/>
  <c r="AH43" i="98"/>
  <c r="AR42" i="98"/>
  <c r="AM42" i="98"/>
  <c r="AH42" i="98"/>
  <c r="AQ41" i="98"/>
  <c r="AP41" i="98"/>
  <c r="AL41" i="98"/>
  <c r="AK41" i="98"/>
  <c r="AG41" i="98"/>
  <c r="AF41" i="98"/>
  <c r="AR36" i="98"/>
  <c r="AR35" i="98" s="1"/>
  <c r="AM36" i="98"/>
  <c r="AM35" i="98" s="1"/>
  <c r="AH36" i="98"/>
  <c r="AH35" i="98" s="1"/>
  <c r="AQ35" i="98"/>
  <c r="AP35" i="98"/>
  <c r="AL35" i="98"/>
  <c r="AK35" i="98"/>
  <c r="AG35" i="98"/>
  <c r="AF35" i="98"/>
  <c r="AR33" i="98"/>
  <c r="AM33" i="98"/>
  <c r="AH33" i="98"/>
  <c r="AR32" i="98"/>
  <c r="AM32" i="98"/>
  <c r="AH32" i="98"/>
  <c r="AR31" i="98"/>
  <c r="AM31" i="98"/>
  <c r="AH31" i="98"/>
  <c r="AR30" i="98"/>
  <c r="AM30" i="98"/>
  <c r="AH30" i="98"/>
  <c r="AR29" i="98"/>
  <c r="AM29" i="98"/>
  <c r="AH29" i="98"/>
  <c r="AR28" i="98"/>
  <c r="AM28" i="98"/>
  <c r="AH28" i="98"/>
  <c r="AR27" i="98"/>
  <c r="AM27" i="98"/>
  <c r="AH27" i="98"/>
  <c r="AR26" i="98"/>
  <c r="AM26" i="98"/>
  <c r="AH26" i="98"/>
  <c r="AR25" i="98"/>
  <c r="AM25" i="98"/>
  <c r="AH25" i="98"/>
  <c r="AR24" i="98"/>
  <c r="AM24" i="98"/>
  <c r="AH24" i="98"/>
  <c r="AR23" i="98"/>
  <c r="AM23" i="98"/>
  <c r="AF23" i="98"/>
  <c r="AH23" i="98" s="1"/>
  <c r="AR22" i="98"/>
  <c r="AM22" i="98"/>
  <c r="AH22" i="98"/>
  <c r="AR21" i="98"/>
  <c r="AM21" i="98"/>
  <c r="AH21" i="98"/>
  <c r="AR20" i="98"/>
  <c r="AM20" i="98"/>
  <c r="AH20" i="98"/>
  <c r="AR19" i="98"/>
  <c r="AM19" i="98"/>
  <c r="AH19" i="98"/>
  <c r="AR18" i="98"/>
  <c r="AM18" i="98"/>
  <c r="AH18" i="98"/>
  <c r="AR17" i="98"/>
  <c r="AM17" i="98"/>
  <c r="AH17" i="98"/>
  <c r="AR16" i="98"/>
  <c r="AM16" i="98"/>
  <c r="AH16" i="98"/>
  <c r="AR15" i="98"/>
  <c r="AM15" i="98"/>
  <c r="AH15" i="98"/>
  <c r="AR14" i="98"/>
  <c r="AM14" i="98"/>
  <c r="AH14" i="98"/>
  <c r="AR13" i="98"/>
  <c r="AM13" i="98"/>
  <c r="AH13" i="98"/>
  <c r="AR12" i="98"/>
  <c r="AM12" i="98"/>
  <c r="AH12" i="98"/>
  <c r="AR11" i="98"/>
  <c r="AM11" i="98"/>
  <c r="AH11" i="98"/>
  <c r="AR10" i="98"/>
  <c r="AM10" i="98"/>
  <c r="AH10" i="98"/>
  <c r="AR9" i="98"/>
  <c r="AM9" i="98"/>
  <c r="AH9" i="98"/>
  <c r="AQ8" i="98"/>
  <c r="AP8" i="98"/>
  <c r="AL8" i="98"/>
  <c r="AM77" i="98" s="1"/>
  <c r="AK8" i="98"/>
  <c r="AG8" i="98"/>
  <c r="AR7" i="98"/>
  <c r="AM7" i="98"/>
  <c r="AH7" i="98"/>
  <c r="AR6" i="98"/>
  <c r="AM6" i="98"/>
  <c r="AM5" i="98" s="1"/>
  <c r="AF6" i="98"/>
  <c r="AH6" i="98" s="1"/>
  <c r="AH5" i="98" s="1"/>
  <c r="AQ5" i="98"/>
  <c r="AP5" i="98"/>
  <c r="AL5" i="98"/>
  <c r="AL38" i="98" s="1"/>
  <c r="AK5" i="98"/>
  <c r="AG5" i="98"/>
  <c r="AV85" i="109"/>
  <c r="AU85" i="109"/>
  <c r="AM85" i="109"/>
  <c r="AH85" i="109"/>
  <c r="AC85" i="109"/>
  <c r="X85" i="109"/>
  <c r="S85" i="109"/>
  <c r="N85" i="109"/>
  <c r="E85" i="109"/>
  <c r="AV82" i="109"/>
  <c r="AU82" i="109"/>
  <c r="AM82" i="109"/>
  <c r="AH82" i="109"/>
  <c r="AC82" i="109"/>
  <c r="X82" i="109"/>
  <c r="S82" i="109"/>
  <c r="N82" i="109"/>
  <c r="E82" i="109"/>
  <c r="AV80" i="109"/>
  <c r="AU80" i="109"/>
  <c r="AV79" i="109"/>
  <c r="AU79" i="109"/>
  <c r="E79" i="109"/>
  <c r="AV78" i="109"/>
  <c r="AU78" i="109"/>
  <c r="AM78" i="109"/>
  <c r="AH78" i="109"/>
  <c r="AC78" i="109"/>
  <c r="X78" i="109"/>
  <c r="S78" i="109"/>
  <c r="N78" i="109"/>
  <c r="E78" i="109"/>
  <c r="AL77" i="109"/>
  <c r="AK77" i="109"/>
  <c r="AG77" i="109"/>
  <c r="AF77" i="109"/>
  <c r="AB77" i="109"/>
  <c r="AA77" i="109"/>
  <c r="W77" i="109"/>
  <c r="V77" i="109"/>
  <c r="R77" i="109"/>
  <c r="Q77" i="109"/>
  <c r="M77" i="109"/>
  <c r="L77" i="109"/>
  <c r="D77" i="109"/>
  <c r="C77" i="109"/>
  <c r="AV74" i="109"/>
  <c r="AV73" i="109" s="1"/>
  <c r="AU74" i="109"/>
  <c r="AU73" i="109" s="1"/>
  <c r="AM74" i="109"/>
  <c r="AM73" i="109" s="1"/>
  <c r="AH74" i="109"/>
  <c r="AH73" i="109" s="1"/>
  <c r="AC74" i="109"/>
  <c r="AC73" i="109" s="1"/>
  <c r="X74" i="109"/>
  <c r="X73" i="109" s="1"/>
  <c r="S74" i="109"/>
  <c r="S73" i="109" s="1"/>
  <c r="N74" i="109"/>
  <c r="N73" i="109" s="1"/>
  <c r="E74" i="109"/>
  <c r="E73" i="109" s="1"/>
  <c r="AL73" i="109"/>
  <c r="AK73" i="109"/>
  <c r="AG73" i="109"/>
  <c r="AF73" i="109"/>
  <c r="AB73" i="109"/>
  <c r="AA73" i="109"/>
  <c r="W73" i="109"/>
  <c r="V73" i="109"/>
  <c r="R73" i="109"/>
  <c r="Q73" i="109"/>
  <c r="M73" i="109"/>
  <c r="L73" i="109"/>
  <c r="D73" i="109"/>
  <c r="C73" i="109"/>
  <c r="AV72" i="109"/>
  <c r="AU72" i="109"/>
  <c r="E72" i="109"/>
  <c r="AV71" i="109"/>
  <c r="AU71" i="109"/>
  <c r="AM71" i="109"/>
  <c r="AH71" i="109"/>
  <c r="AC71" i="109"/>
  <c r="X71" i="109"/>
  <c r="S71" i="109"/>
  <c r="N71" i="109"/>
  <c r="E71" i="109"/>
  <c r="AV70" i="109"/>
  <c r="AU70" i="109"/>
  <c r="AM70" i="109"/>
  <c r="AH70" i="109"/>
  <c r="AC70" i="109"/>
  <c r="X70" i="109"/>
  <c r="S70" i="109"/>
  <c r="N70" i="109"/>
  <c r="E70" i="109"/>
  <c r="AV69" i="109"/>
  <c r="AU69" i="109"/>
  <c r="AM69" i="109"/>
  <c r="AH69" i="109"/>
  <c r="AC69" i="109"/>
  <c r="X69" i="109"/>
  <c r="S69" i="109"/>
  <c r="N69" i="109"/>
  <c r="E69" i="109"/>
  <c r="AV68" i="109"/>
  <c r="AU68" i="109"/>
  <c r="AM68" i="109"/>
  <c r="AH68" i="109"/>
  <c r="AC68" i="109"/>
  <c r="X68" i="109"/>
  <c r="S68" i="109"/>
  <c r="N68" i="109"/>
  <c r="E68" i="109"/>
  <c r="AV67" i="109"/>
  <c r="AU67" i="109"/>
  <c r="AW67" i="109" s="1"/>
  <c r="AM67" i="109"/>
  <c r="AH67" i="109"/>
  <c r="AC67" i="109"/>
  <c r="X67" i="109"/>
  <c r="S67" i="109"/>
  <c r="N67" i="109"/>
  <c r="E67" i="109"/>
  <c r="AV66" i="109"/>
  <c r="AU66" i="109"/>
  <c r="AM66" i="109"/>
  <c r="AH66" i="109"/>
  <c r="AC66" i="109"/>
  <c r="X66" i="109"/>
  <c r="S66" i="109"/>
  <c r="N66" i="109"/>
  <c r="E66" i="109"/>
  <c r="AV65" i="109"/>
  <c r="AU65" i="109"/>
  <c r="AM65" i="109"/>
  <c r="AH65" i="109"/>
  <c r="AC65" i="109"/>
  <c r="X65" i="109"/>
  <c r="S65" i="109"/>
  <c r="N65" i="109"/>
  <c r="E65" i="109"/>
  <c r="AV64" i="109"/>
  <c r="AU64" i="109"/>
  <c r="AM64" i="109"/>
  <c r="AH64" i="109"/>
  <c r="AC64" i="109"/>
  <c r="X64" i="109"/>
  <c r="S64" i="109"/>
  <c r="N64" i="109"/>
  <c r="E64" i="109"/>
  <c r="AV63" i="109"/>
  <c r="AU63" i="109"/>
  <c r="AW63" i="109" s="1"/>
  <c r="AM63" i="109"/>
  <c r="AH63" i="109"/>
  <c r="AC63" i="109"/>
  <c r="X63" i="109"/>
  <c r="S63" i="109"/>
  <c r="N63" i="109"/>
  <c r="E63" i="109"/>
  <c r="AV62" i="109"/>
  <c r="AU62" i="109"/>
  <c r="AM62" i="109"/>
  <c r="AH62" i="109"/>
  <c r="AC62" i="109"/>
  <c r="X62" i="109"/>
  <c r="S62" i="109"/>
  <c r="N62" i="109"/>
  <c r="E62" i="109"/>
  <c r="AV61" i="109"/>
  <c r="AU61" i="109"/>
  <c r="AM61" i="109"/>
  <c r="AH61" i="109"/>
  <c r="AC61" i="109"/>
  <c r="X61" i="109"/>
  <c r="S61" i="109"/>
  <c r="N61" i="109"/>
  <c r="E61" i="109"/>
  <c r="AV60" i="109"/>
  <c r="AU60" i="109"/>
  <c r="AM60" i="109"/>
  <c r="AH60" i="109"/>
  <c r="AC60" i="109"/>
  <c r="X60" i="109"/>
  <c r="S60" i="109"/>
  <c r="N60" i="109"/>
  <c r="E60" i="109"/>
  <c r="AV59" i="109"/>
  <c r="AU59" i="109"/>
  <c r="AW59" i="109" s="1"/>
  <c r="AM59" i="109"/>
  <c r="AH59" i="109"/>
  <c r="AC59" i="109"/>
  <c r="X59" i="109"/>
  <c r="S59" i="109"/>
  <c r="N59" i="109"/>
  <c r="E59" i="109"/>
  <c r="AV58" i="109"/>
  <c r="AU58" i="109"/>
  <c r="AM58" i="109"/>
  <c r="AH58" i="109"/>
  <c r="AC58" i="109"/>
  <c r="X58" i="109"/>
  <c r="S58" i="109"/>
  <c r="N58" i="109"/>
  <c r="E58" i="109"/>
  <c r="AV57" i="109"/>
  <c r="AU57" i="109"/>
  <c r="AM57" i="109"/>
  <c r="AH57" i="109"/>
  <c r="AC57" i="109"/>
  <c r="X57" i="109"/>
  <c r="S57" i="109"/>
  <c r="N57" i="109"/>
  <c r="E57" i="109"/>
  <c r="AV56" i="109"/>
  <c r="AU56" i="109"/>
  <c r="AM56" i="109"/>
  <c r="AH56" i="109"/>
  <c r="AC56" i="109"/>
  <c r="X56" i="109"/>
  <c r="S56" i="109"/>
  <c r="N56" i="109"/>
  <c r="E56" i="109"/>
  <c r="AV55" i="109"/>
  <c r="AU55" i="109"/>
  <c r="AM55" i="109"/>
  <c r="AH55" i="109"/>
  <c r="AC55" i="109"/>
  <c r="X55" i="109"/>
  <c r="X54" i="109" s="1"/>
  <c r="S55" i="109"/>
  <c r="N55" i="109"/>
  <c r="E55" i="109"/>
  <c r="AV54" i="109"/>
  <c r="AL54" i="109"/>
  <c r="AK54" i="109"/>
  <c r="AG54" i="109"/>
  <c r="AF54" i="109"/>
  <c r="AB54" i="109"/>
  <c r="AA54" i="109"/>
  <c r="W54" i="109"/>
  <c r="V54" i="109"/>
  <c r="R54" i="109"/>
  <c r="Q54" i="109"/>
  <c r="M54" i="109"/>
  <c r="L54" i="109"/>
  <c r="D54" i="109"/>
  <c r="C54" i="109"/>
  <c r="AV53" i="109"/>
  <c r="AU53" i="109"/>
  <c r="AV52" i="109"/>
  <c r="AU52" i="109"/>
  <c r="AM52" i="109"/>
  <c r="AH52" i="109"/>
  <c r="AC52" i="109"/>
  <c r="X52" i="109"/>
  <c r="S52" i="109"/>
  <c r="N52" i="109"/>
  <c r="N50" i="109" s="1"/>
  <c r="E52" i="109"/>
  <c r="AV51" i="109"/>
  <c r="AU51" i="109"/>
  <c r="AM51" i="109"/>
  <c r="AH51" i="109"/>
  <c r="AC51" i="109"/>
  <c r="X51" i="109"/>
  <c r="S51" i="109"/>
  <c r="N51" i="109"/>
  <c r="E51" i="109"/>
  <c r="AL50" i="109"/>
  <c r="AK50" i="109"/>
  <c r="AG50" i="109"/>
  <c r="AF50" i="109"/>
  <c r="AB50" i="109"/>
  <c r="AA50" i="109"/>
  <c r="W50" i="109"/>
  <c r="V50" i="109"/>
  <c r="R50" i="109"/>
  <c r="Q50" i="109"/>
  <c r="M50" i="109"/>
  <c r="L50" i="109"/>
  <c r="D50" i="109"/>
  <c r="C50" i="109"/>
  <c r="AV49" i="109"/>
  <c r="AU49" i="109"/>
  <c r="E49" i="109"/>
  <c r="AV48" i="109"/>
  <c r="AU48" i="109"/>
  <c r="AM48" i="109"/>
  <c r="AH48" i="109"/>
  <c r="AC48" i="109"/>
  <c r="X48" i="109"/>
  <c r="S48" i="109"/>
  <c r="N48" i="109"/>
  <c r="E48" i="109"/>
  <c r="AV47" i="109"/>
  <c r="AU47" i="109"/>
  <c r="AM47" i="109"/>
  <c r="AH47" i="109"/>
  <c r="AC47" i="109"/>
  <c r="X47" i="109"/>
  <c r="S47" i="109"/>
  <c r="N47" i="109"/>
  <c r="E47" i="109"/>
  <c r="AV46" i="109"/>
  <c r="AU46" i="109"/>
  <c r="AM46" i="109"/>
  <c r="AH46" i="109"/>
  <c r="AC46" i="109"/>
  <c r="X46" i="109"/>
  <c r="S46" i="109"/>
  <c r="N46" i="109"/>
  <c r="E46" i="109"/>
  <c r="AV45" i="109"/>
  <c r="AU45" i="109"/>
  <c r="AM45" i="109"/>
  <c r="AH45" i="109"/>
  <c r="AC45" i="109"/>
  <c r="X45" i="109"/>
  <c r="S45" i="109"/>
  <c r="N45" i="109"/>
  <c r="E45" i="109"/>
  <c r="AV44" i="109"/>
  <c r="AU44" i="109"/>
  <c r="AM44" i="109"/>
  <c r="AH44" i="109"/>
  <c r="AC44" i="109"/>
  <c r="X44" i="109"/>
  <c r="S44" i="109"/>
  <c r="N44" i="109"/>
  <c r="E44" i="109"/>
  <c r="AV43" i="109"/>
  <c r="AU43" i="109"/>
  <c r="AM43" i="109"/>
  <c r="AH43" i="109"/>
  <c r="AC43" i="109"/>
  <c r="X43" i="109"/>
  <c r="S43" i="109"/>
  <c r="N43" i="109"/>
  <c r="E43" i="109"/>
  <c r="AV42" i="109"/>
  <c r="AU42" i="109"/>
  <c r="AM42" i="109"/>
  <c r="AH42" i="109"/>
  <c r="AC42" i="109"/>
  <c r="X42" i="109"/>
  <c r="S42" i="109"/>
  <c r="N42" i="109"/>
  <c r="E42" i="109"/>
  <c r="AL41" i="109"/>
  <c r="AK41" i="109"/>
  <c r="AG41" i="109"/>
  <c r="AF41" i="109"/>
  <c r="AB41" i="109"/>
  <c r="AA41" i="109"/>
  <c r="W41" i="109"/>
  <c r="V41" i="109"/>
  <c r="S41" i="109"/>
  <c r="R41" i="109"/>
  <c r="Q41" i="109"/>
  <c r="M41" i="109"/>
  <c r="L41" i="109"/>
  <c r="D41" i="109"/>
  <c r="C41" i="109"/>
  <c r="AV37" i="109"/>
  <c r="AU37" i="109"/>
  <c r="AV36" i="109"/>
  <c r="AV35" i="109" s="1"/>
  <c r="AU36" i="109"/>
  <c r="AM36" i="109"/>
  <c r="AM35" i="109" s="1"/>
  <c r="AH36" i="109"/>
  <c r="AC36" i="109"/>
  <c r="X36" i="109"/>
  <c r="S36" i="109"/>
  <c r="N36" i="109"/>
  <c r="E36" i="109"/>
  <c r="E35" i="109" s="1"/>
  <c r="AU35" i="109"/>
  <c r="AL35" i="109"/>
  <c r="AK35" i="109"/>
  <c r="AG35" i="109"/>
  <c r="AF35" i="109"/>
  <c r="AB35" i="109"/>
  <c r="AA35" i="109"/>
  <c r="W35" i="109"/>
  <c r="V35" i="109"/>
  <c r="S35" i="109"/>
  <c r="R35" i="109"/>
  <c r="Q35" i="109"/>
  <c r="M35" i="109"/>
  <c r="L35" i="109"/>
  <c r="D35" i="109"/>
  <c r="C35" i="109"/>
  <c r="AV33" i="109"/>
  <c r="AU33" i="109"/>
  <c r="AM33" i="109"/>
  <c r="AH33" i="109"/>
  <c r="AC33" i="109"/>
  <c r="X33" i="109"/>
  <c r="S33" i="109"/>
  <c r="N33" i="109"/>
  <c r="E33" i="109"/>
  <c r="AV32" i="109"/>
  <c r="AU32" i="109"/>
  <c r="AM32" i="109"/>
  <c r="AH32" i="109"/>
  <c r="AC32" i="109"/>
  <c r="X32" i="109"/>
  <c r="S32" i="109"/>
  <c r="N32" i="109"/>
  <c r="E32" i="109"/>
  <c r="AV31" i="109"/>
  <c r="AU31" i="109"/>
  <c r="AM31" i="109"/>
  <c r="AH31" i="109"/>
  <c r="AC31" i="109"/>
  <c r="X31" i="109"/>
  <c r="S31" i="109"/>
  <c r="N31" i="109"/>
  <c r="E31" i="109"/>
  <c r="AV30" i="109"/>
  <c r="AU30" i="109"/>
  <c r="AM30" i="109"/>
  <c r="AH30" i="109"/>
  <c r="AC30" i="109"/>
  <c r="X30" i="109"/>
  <c r="S30" i="109"/>
  <c r="N30" i="109"/>
  <c r="E30" i="109"/>
  <c r="AV29" i="109"/>
  <c r="AU29" i="109"/>
  <c r="AM29" i="109"/>
  <c r="AH29" i="109"/>
  <c r="AC29" i="109"/>
  <c r="X29" i="109"/>
  <c r="S29" i="109"/>
  <c r="N29" i="109"/>
  <c r="E29" i="109"/>
  <c r="AV28" i="109"/>
  <c r="AU28" i="109"/>
  <c r="AM28" i="109"/>
  <c r="AH28" i="109"/>
  <c r="AC28" i="109"/>
  <c r="X28" i="109"/>
  <c r="S28" i="109"/>
  <c r="N28" i="109"/>
  <c r="E28" i="109"/>
  <c r="AV27" i="109"/>
  <c r="AU27" i="109"/>
  <c r="AM27" i="109"/>
  <c r="AH27" i="109"/>
  <c r="AC27" i="109"/>
  <c r="X27" i="109"/>
  <c r="S27" i="109"/>
  <c r="N27" i="109"/>
  <c r="E27" i="109"/>
  <c r="AV26" i="109"/>
  <c r="AM26" i="109"/>
  <c r="AH26" i="109"/>
  <c r="AC26" i="109"/>
  <c r="V26" i="109"/>
  <c r="AU26" i="109" s="1"/>
  <c r="AW26" i="109" s="1"/>
  <c r="S26" i="109"/>
  <c r="N26" i="109"/>
  <c r="E26" i="109"/>
  <c r="AV25" i="109"/>
  <c r="AM25" i="109"/>
  <c r="AH25" i="109"/>
  <c r="AC25" i="109"/>
  <c r="X25" i="109"/>
  <c r="S25" i="109"/>
  <c r="L25" i="109"/>
  <c r="AU25" i="109" s="1"/>
  <c r="E25" i="109"/>
  <c r="AV24" i="109"/>
  <c r="AU24" i="109"/>
  <c r="AM24" i="109"/>
  <c r="AH24" i="109"/>
  <c r="AC24" i="109"/>
  <c r="X24" i="109"/>
  <c r="S24" i="109"/>
  <c r="N24" i="109"/>
  <c r="E24" i="109"/>
  <c r="AV23" i="109"/>
  <c r="AU23" i="109"/>
  <c r="E23" i="109"/>
  <c r="AV22" i="109"/>
  <c r="AU22" i="109"/>
  <c r="AM22" i="109"/>
  <c r="AH22" i="109"/>
  <c r="AC22" i="109"/>
  <c r="X22" i="109"/>
  <c r="S22" i="109"/>
  <c r="N22" i="109"/>
  <c r="E22" i="109"/>
  <c r="AV21" i="109"/>
  <c r="AU21" i="109"/>
  <c r="AM21" i="109"/>
  <c r="AH21" i="109"/>
  <c r="AC21" i="109"/>
  <c r="X21" i="109"/>
  <c r="S21" i="109"/>
  <c r="N21" i="109"/>
  <c r="E21" i="109"/>
  <c r="AV20" i="109"/>
  <c r="AU20" i="109"/>
  <c r="AM20" i="109"/>
  <c r="AH20" i="109"/>
  <c r="AC20" i="109"/>
  <c r="X20" i="109"/>
  <c r="S20" i="109"/>
  <c r="N20" i="109"/>
  <c r="E20" i="109"/>
  <c r="AV19" i="109"/>
  <c r="AU19" i="109"/>
  <c r="AM19" i="109"/>
  <c r="AH19" i="109"/>
  <c r="AC19" i="109"/>
  <c r="X19" i="109"/>
  <c r="S19" i="109"/>
  <c r="N19" i="109"/>
  <c r="E19" i="109"/>
  <c r="AV18" i="109"/>
  <c r="AU18" i="109"/>
  <c r="AM18" i="109"/>
  <c r="AH18" i="109"/>
  <c r="AC18" i="109"/>
  <c r="X18" i="109"/>
  <c r="S18" i="109"/>
  <c r="N18" i="109"/>
  <c r="E18" i="109"/>
  <c r="AV17" i="109"/>
  <c r="AU17" i="109"/>
  <c r="AM17" i="109"/>
  <c r="AH17" i="109"/>
  <c r="AC17" i="109"/>
  <c r="X17" i="109"/>
  <c r="S17" i="109"/>
  <c r="N17" i="109"/>
  <c r="E17" i="109"/>
  <c r="AV16" i="109"/>
  <c r="AU16" i="109"/>
  <c r="AM16" i="109"/>
  <c r="AH16" i="109"/>
  <c r="AC16" i="109"/>
  <c r="X16" i="109"/>
  <c r="S16" i="109"/>
  <c r="N16" i="109"/>
  <c r="E16" i="109"/>
  <c r="AV15" i="109"/>
  <c r="AU15" i="109"/>
  <c r="AM15" i="109"/>
  <c r="AH15" i="109"/>
  <c r="AC15" i="109"/>
  <c r="X15" i="109"/>
  <c r="S15" i="109"/>
  <c r="N15" i="109"/>
  <c r="E15" i="109"/>
  <c r="AV14" i="109"/>
  <c r="AU14" i="109"/>
  <c r="AM14" i="109"/>
  <c r="AH14" i="109"/>
  <c r="AC14" i="109"/>
  <c r="X14" i="109"/>
  <c r="S14" i="109"/>
  <c r="N14" i="109"/>
  <c r="E14" i="109"/>
  <c r="AV13" i="109"/>
  <c r="AU13" i="109"/>
  <c r="AM13" i="109"/>
  <c r="AH13" i="109"/>
  <c r="AC13" i="109"/>
  <c r="X13" i="109"/>
  <c r="S13" i="109"/>
  <c r="N13" i="109"/>
  <c r="E13" i="109"/>
  <c r="AV12" i="109"/>
  <c r="AU12" i="109"/>
  <c r="AW12" i="109" s="1"/>
  <c r="AM12" i="109"/>
  <c r="AH12" i="109"/>
  <c r="AC12" i="109"/>
  <c r="X12" i="109"/>
  <c r="S12" i="109"/>
  <c r="N12" i="109"/>
  <c r="E12" i="109"/>
  <c r="AV11" i="109"/>
  <c r="AU11" i="109"/>
  <c r="AM11" i="109"/>
  <c r="AH11" i="109"/>
  <c r="AC11" i="109"/>
  <c r="X11" i="109"/>
  <c r="S11" i="109"/>
  <c r="N11" i="109"/>
  <c r="E11" i="109"/>
  <c r="AV10" i="109"/>
  <c r="AU10" i="109"/>
  <c r="AM10" i="109"/>
  <c r="AH10" i="109"/>
  <c r="AC10" i="109"/>
  <c r="X10" i="109"/>
  <c r="S10" i="109"/>
  <c r="N10" i="109"/>
  <c r="E10" i="109"/>
  <c r="AV9" i="109"/>
  <c r="AU9" i="109"/>
  <c r="AM9" i="109"/>
  <c r="AH9" i="109"/>
  <c r="AC9" i="109"/>
  <c r="X9" i="109"/>
  <c r="S9" i="109"/>
  <c r="N9" i="109"/>
  <c r="E9" i="109"/>
  <c r="AL8" i="109"/>
  <c r="AK8" i="109"/>
  <c r="AG8" i="109"/>
  <c r="AF8" i="109"/>
  <c r="AB8" i="109"/>
  <c r="AA8" i="109"/>
  <c r="W8" i="109"/>
  <c r="R8" i="109"/>
  <c r="Q8" i="109"/>
  <c r="M8" i="109"/>
  <c r="D8" i="109"/>
  <c r="C8" i="109"/>
  <c r="AV7" i="109"/>
  <c r="AU7" i="109"/>
  <c r="AU5" i="109" s="1"/>
  <c r="AM7" i="109"/>
  <c r="AH7" i="109"/>
  <c r="AC7" i="109"/>
  <c r="X7" i="109"/>
  <c r="S7" i="109"/>
  <c r="N7" i="109"/>
  <c r="E7" i="109"/>
  <c r="AV6" i="109"/>
  <c r="AW6" i="109" s="1"/>
  <c r="AM6" i="109"/>
  <c r="AH6" i="109"/>
  <c r="AH5" i="109" s="1"/>
  <c r="AC6" i="109"/>
  <c r="AC5" i="109" s="1"/>
  <c r="X6" i="109"/>
  <c r="S6" i="109"/>
  <c r="S5" i="109" s="1"/>
  <c r="N6" i="109"/>
  <c r="N5" i="109" s="1"/>
  <c r="E6" i="109"/>
  <c r="E5" i="109" s="1"/>
  <c r="AM5" i="109"/>
  <c r="AL5" i="109"/>
  <c r="AK5" i="109"/>
  <c r="AG5" i="109"/>
  <c r="AF5" i="109"/>
  <c r="AB5" i="109"/>
  <c r="AA5" i="109"/>
  <c r="W5" i="109"/>
  <c r="V5" i="109"/>
  <c r="R5" i="109"/>
  <c r="Q5" i="109"/>
  <c r="M5" i="109"/>
  <c r="L5" i="109"/>
  <c r="D5" i="109"/>
  <c r="D38" i="109" s="1"/>
  <c r="C5" i="109"/>
  <c r="C38" i="109" s="1"/>
  <c r="AH8" i="98" l="1"/>
  <c r="M38" i="109"/>
  <c r="M75" i="109" s="1"/>
  <c r="AV5" i="109"/>
  <c r="AW17" i="109"/>
  <c r="AW28" i="109"/>
  <c r="AW29" i="109"/>
  <c r="AW33" i="109"/>
  <c r="AP38" i="98"/>
  <c r="AP39" i="98" s="1"/>
  <c r="AF8" i="98"/>
  <c r="AH5" i="103"/>
  <c r="AA38" i="109"/>
  <c r="S77" i="109"/>
  <c r="AW22" i="109"/>
  <c r="AK38" i="98"/>
  <c r="AF8" i="103"/>
  <c r="AH54" i="103"/>
  <c r="AM54" i="103"/>
  <c r="AB38" i="109"/>
  <c r="E41" i="109"/>
  <c r="AC41" i="109"/>
  <c r="AU41" i="109"/>
  <c r="AM41" i="109"/>
  <c r="AW56" i="109"/>
  <c r="AW60" i="109"/>
  <c r="AW64" i="109"/>
  <c r="AV77" i="109"/>
  <c r="AW85" i="109"/>
  <c r="AM41" i="98"/>
  <c r="AR5" i="103"/>
  <c r="AM50" i="103"/>
  <c r="L8" i="109"/>
  <c r="AV50" i="109"/>
  <c r="AW57" i="109"/>
  <c r="AW61" i="109"/>
  <c r="AW65" i="109"/>
  <c r="E77" i="109"/>
  <c r="AQ38" i="103"/>
  <c r="AM26" i="103"/>
  <c r="AR54" i="103"/>
  <c r="AW45" i="109"/>
  <c r="AM54" i="98"/>
  <c r="AK38" i="109"/>
  <c r="AW47" i="109"/>
  <c r="AH41" i="98"/>
  <c r="AP8" i="103"/>
  <c r="X26" i="109"/>
  <c r="E50" i="109"/>
  <c r="AW68" i="109"/>
  <c r="AW69" i="109"/>
  <c r="AP75" i="98"/>
  <c r="AR5" i="98"/>
  <c r="AL38" i="103"/>
  <c r="AL75" i="103" s="1"/>
  <c r="AW32" i="109"/>
  <c r="AF5" i="98"/>
  <c r="AF38" i="98" s="1"/>
  <c r="AG38" i="109"/>
  <c r="AG75" i="109" s="1"/>
  <c r="V8" i="109"/>
  <c r="V38" i="109" s="1"/>
  <c r="AF38" i="109"/>
  <c r="AW10" i="109"/>
  <c r="AW23" i="109"/>
  <c r="N25" i="109"/>
  <c r="AW36" i="109"/>
  <c r="AW42" i="109"/>
  <c r="AW46" i="109"/>
  <c r="AW53" i="109"/>
  <c r="AW58" i="109"/>
  <c r="AW62" i="109"/>
  <c r="AQ38" i="98"/>
  <c r="AQ75" i="98" s="1"/>
  <c r="AR41" i="98"/>
  <c r="AF38" i="103"/>
  <c r="AF39" i="103" s="1"/>
  <c r="AK8" i="103"/>
  <c r="AK38" i="103" s="1"/>
  <c r="AK39" i="103" s="1"/>
  <c r="AW25" i="109"/>
  <c r="AW27" i="109"/>
  <c r="AW66" i="109"/>
  <c r="AV8" i="109"/>
  <c r="AW31" i="109"/>
  <c r="AW70" i="109"/>
  <c r="AW72" i="109"/>
  <c r="AW7" i="109"/>
  <c r="AW5" i="109" s="1"/>
  <c r="AW51" i="109"/>
  <c r="AW14" i="109"/>
  <c r="AW16" i="109"/>
  <c r="AW18" i="109"/>
  <c r="AW20" i="109"/>
  <c r="AW24" i="109"/>
  <c r="AW44" i="109"/>
  <c r="AW30" i="109"/>
  <c r="AW71" i="109"/>
  <c r="AF75" i="103"/>
  <c r="AG75" i="103"/>
  <c r="AG39" i="103"/>
  <c r="AM8" i="103"/>
  <c r="AP38" i="103"/>
  <c r="AH8" i="103"/>
  <c r="AM41" i="103"/>
  <c r="AL39" i="103"/>
  <c r="AR38" i="103"/>
  <c r="AQ75" i="103"/>
  <c r="AQ39" i="103"/>
  <c r="AR8" i="103"/>
  <c r="AK75" i="98"/>
  <c r="AK39" i="98"/>
  <c r="AF75" i="98"/>
  <c r="AF39" i="98"/>
  <c r="AL75" i="98"/>
  <c r="AL39" i="98"/>
  <c r="AG38" i="98"/>
  <c r="AR77" i="98"/>
  <c r="AH38" i="98"/>
  <c r="AP81" i="98"/>
  <c r="AP83" i="98" s="1"/>
  <c r="AP84" i="98" s="1"/>
  <c r="AP86" i="98" s="1"/>
  <c r="AP87" i="98" s="1"/>
  <c r="AP76" i="98"/>
  <c r="AM8" i="98"/>
  <c r="AM38" i="98" s="1"/>
  <c r="AR8" i="98"/>
  <c r="AH50" i="98"/>
  <c r="AH89" i="98" s="1"/>
  <c r="AR54" i="98"/>
  <c r="AR50" i="98"/>
  <c r="AH54" i="98"/>
  <c r="AK75" i="109"/>
  <c r="AK39" i="109"/>
  <c r="C75" i="109"/>
  <c r="C39" i="109"/>
  <c r="D75" i="109"/>
  <c r="D39" i="109"/>
  <c r="X77" i="109"/>
  <c r="X8" i="109"/>
  <c r="N35" i="109"/>
  <c r="AA75" i="109"/>
  <c r="AA39" i="109"/>
  <c r="Q38" i="109"/>
  <c r="W38" i="109"/>
  <c r="AF75" i="109"/>
  <c r="AF39" i="109"/>
  <c r="AM77" i="109"/>
  <c r="E8" i="109"/>
  <c r="E38" i="109" s="1"/>
  <c r="S8" i="109"/>
  <c r="AC8" i="109"/>
  <c r="AM8" i="109"/>
  <c r="AM38" i="109" s="1"/>
  <c r="AW9" i="109"/>
  <c r="AW13" i="109"/>
  <c r="AW21" i="109"/>
  <c r="N8" i="109"/>
  <c r="AU8" i="109"/>
  <c r="AU38" i="109" s="1"/>
  <c r="X35" i="109"/>
  <c r="AW35" i="109"/>
  <c r="M39" i="109"/>
  <c r="M76" i="109"/>
  <c r="M81" i="109"/>
  <c r="M83" i="109" s="1"/>
  <c r="M84" i="109" s="1"/>
  <c r="M86" i="109" s="1"/>
  <c r="M87" i="109" s="1"/>
  <c r="X41" i="109"/>
  <c r="AV38" i="109"/>
  <c r="AB75" i="109"/>
  <c r="AB39" i="109"/>
  <c r="X5" i="109"/>
  <c r="AW11" i="109"/>
  <c r="AW15" i="109"/>
  <c r="AW19" i="109"/>
  <c r="AH8" i="109"/>
  <c r="AH38" i="109" s="1"/>
  <c r="AC35" i="109"/>
  <c r="AV41" i="109"/>
  <c r="AH54" i="109"/>
  <c r="AW78" i="109"/>
  <c r="AW77" i="109" s="1"/>
  <c r="AU77" i="109"/>
  <c r="L38" i="109"/>
  <c r="R38" i="109"/>
  <c r="AL38" i="109"/>
  <c r="AW43" i="109"/>
  <c r="AW48" i="109"/>
  <c r="AC50" i="109"/>
  <c r="E54" i="109"/>
  <c r="AC54" i="109"/>
  <c r="AW55" i="109"/>
  <c r="AU54" i="109"/>
  <c r="AH35" i="109"/>
  <c r="N41" i="109"/>
  <c r="O41" i="109" s="1"/>
  <c r="AH41" i="109"/>
  <c r="N54" i="109"/>
  <c r="S50" i="109"/>
  <c r="AM50" i="109"/>
  <c r="AW52" i="109"/>
  <c r="AW50" i="109" s="1"/>
  <c r="AU50" i="109"/>
  <c r="S54" i="109"/>
  <c r="AM54" i="109"/>
  <c r="X50" i="109"/>
  <c r="AH50" i="109"/>
  <c r="N77" i="109"/>
  <c r="AC77" i="109"/>
  <c r="AW74" i="109"/>
  <c r="AW73" i="109" s="1"/>
  <c r="AH77" i="109"/>
  <c r="AW82" i="109"/>
  <c r="V75" i="109" l="1"/>
  <c r="V39" i="109"/>
  <c r="X38" i="109"/>
  <c r="X75" i="109" s="1"/>
  <c r="AG39" i="109"/>
  <c r="AK75" i="103"/>
  <c r="AK76" i="103" s="1"/>
  <c r="AR38" i="98"/>
  <c r="AR39" i="98" s="1"/>
  <c r="AQ39" i="98"/>
  <c r="AI23" i="98"/>
  <c r="AI51" i="98"/>
  <c r="AI64" i="98"/>
  <c r="AI60" i="98"/>
  <c r="AI68" i="98"/>
  <c r="AI56" i="98"/>
  <c r="AH77" i="98"/>
  <c r="AK81" i="103"/>
  <c r="AK83" i="103" s="1"/>
  <c r="AK84" i="103" s="1"/>
  <c r="AK86" i="103" s="1"/>
  <c r="AK87" i="103" s="1"/>
  <c r="AH89" i="103"/>
  <c r="AI8" i="103" s="1"/>
  <c r="AM38" i="103"/>
  <c r="AL76" i="103"/>
  <c r="AL81" i="103"/>
  <c r="AL83" i="103" s="1"/>
  <c r="AL84" i="103" s="1"/>
  <c r="AL86" i="103" s="1"/>
  <c r="AL87" i="103" s="1"/>
  <c r="AG76" i="103"/>
  <c r="AG81" i="103"/>
  <c r="AG83" i="103" s="1"/>
  <c r="AG84" i="103" s="1"/>
  <c r="AG86" i="103" s="1"/>
  <c r="AG87" i="103" s="1"/>
  <c r="AH38" i="103"/>
  <c r="AQ76" i="103"/>
  <c r="AQ81" i="103"/>
  <c r="AQ83" i="103" s="1"/>
  <c r="AQ84" i="103" s="1"/>
  <c r="AQ86" i="103" s="1"/>
  <c r="AQ87" i="103" s="1"/>
  <c r="AR75" i="103"/>
  <c r="AR39" i="103"/>
  <c r="AP39" i="103"/>
  <c r="AP75" i="103"/>
  <c r="AF81" i="103"/>
  <c r="AF83" i="103" s="1"/>
  <c r="AF84" i="103" s="1"/>
  <c r="AF86" i="103" s="1"/>
  <c r="AF87" i="103" s="1"/>
  <c r="AF76" i="103"/>
  <c r="AR75" i="98"/>
  <c r="AM75" i="98"/>
  <c r="AM39" i="98"/>
  <c r="AI71" i="98"/>
  <c r="AI67" i="98"/>
  <c r="AI63" i="98"/>
  <c r="AI59" i="98"/>
  <c r="AI55" i="98"/>
  <c r="AI32" i="98"/>
  <c r="AI28" i="98"/>
  <c r="AI24" i="98"/>
  <c r="AG75" i="98"/>
  <c r="AG39" i="98"/>
  <c r="AL76" i="98"/>
  <c r="AL81" i="98"/>
  <c r="AL83" i="98" s="1"/>
  <c r="AL84" i="98" s="1"/>
  <c r="AL86" i="98" s="1"/>
  <c r="AL87" i="98" s="1"/>
  <c r="AQ81" i="98"/>
  <c r="AQ83" i="98" s="1"/>
  <c r="AQ84" i="98" s="1"/>
  <c r="AQ86" i="98" s="1"/>
  <c r="AQ87" i="98" s="1"/>
  <c r="AQ76" i="98"/>
  <c r="AI25" i="98"/>
  <c r="AI70" i="98"/>
  <c r="AI66" i="98"/>
  <c r="AI62" i="98"/>
  <c r="AI58" i="98"/>
  <c r="AR89" i="98"/>
  <c r="AS54" i="98" s="1"/>
  <c r="AH92" i="98"/>
  <c r="AI31" i="98"/>
  <c r="AI27" i="98"/>
  <c r="AI48" i="98"/>
  <c r="AI47" i="98"/>
  <c r="AI46" i="98"/>
  <c r="AI45" i="98"/>
  <c r="AI44" i="98"/>
  <c r="AI43" i="98"/>
  <c r="AI49" i="98"/>
  <c r="AI42" i="98"/>
  <c r="AI72" i="98"/>
  <c r="AI8" i="98"/>
  <c r="AI22" i="98"/>
  <c r="AI21" i="98"/>
  <c r="AI20" i="98"/>
  <c r="AI19" i="98"/>
  <c r="AI18" i="98"/>
  <c r="AI17" i="98"/>
  <c r="AI16" i="98"/>
  <c r="AI15" i="98"/>
  <c r="AI14" i="98"/>
  <c r="AI13" i="98"/>
  <c r="AI12" i="98"/>
  <c r="AI11" i="98"/>
  <c r="AI10" i="98"/>
  <c r="AI9" i="98"/>
  <c r="AI36" i="98"/>
  <c r="AI29" i="98"/>
  <c r="AI69" i="98"/>
  <c r="AI65" i="98"/>
  <c r="AI61" i="98"/>
  <c r="AI57" i="98"/>
  <c r="AI33" i="98"/>
  <c r="AI52" i="98"/>
  <c r="AM89" i="98"/>
  <c r="AN8" i="98" s="1"/>
  <c r="AH75" i="98"/>
  <c r="AH39" i="98"/>
  <c r="AI30" i="98"/>
  <c r="AI26" i="98"/>
  <c r="AF81" i="98"/>
  <c r="AF83" i="98" s="1"/>
  <c r="AF84" i="98" s="1"/>
  <c r="AF86" i="98" s="1"/>
  <c r="AF87" i="98" s="1"/>
  <c r="AF76" i="98"/>
  <c r="AK81" i="98"/>
  <c r="AK83" i="98" s="1"/>
  <c r="AK84" i="98" s="1"/>
  <c r="AK86" i="98" s="1"/>
  <c r="AK87" i="98" s="1"/>
  <c r="AK76" i="98"/>
  <c r="AH75" i="109"/>
  <c r="AH39" i="109"/>
  <c r="AM89" i="109"/>
  <c r="AN8" i="109" s="1"/>
  <c r="AA76" i="109"/>
  <c r="AA81" i="109"/>
  <c r="AA83" i="109" s="1"/>
  <c r="AA84" i="109" s="1"/>
  <c r="AA86" i="109" s="1"/>
  <c r="AA87" i="109" s="1"/>
  <c r="AU75" i="109"/>
  <c r="AU39" i="109"/>
  <c r="AW54" i="109"/>
  <c r="AL75" i="109"/>
  <c r="AL39" i="109"/>
  <c r="AB76" i="109"/>
  <c r="AB81" i="109"/>
  <c r="AB83" i="109" s="1"/>
  <c r="AB84" i="109" s="1"/>
  <c r="AB86" i="109" s="1"/>
  <c r="AB87" i="109" s="1"/>
  <c r="AC89" i="109"/>
  <c r="AI50" i="109" s="1"/>
  <c r="Q75" i="109"/>
  <c r="Q39" i="109"/>
  <c r="AC38" i="109"/>
  <c r="C76" i="109"/>
  <c r="C81" i="109"/>
  <c r="C83" i="109" s="1"/>
  <c r="C84" i="109" s="1"/>
  <c r="C86" i="109" s="1"/>
  <c r="C87" i="109" s="1"/>
  <c r="AG76" i="109"/>
  <c r="AG81" i="109"/>
  <c r="AG83" i="109" s="1"/>
  <c r="AG84" i="109" s="1"/>
  <c r="AG86" i="109" s="1"/>
  <c r="AG87" i="109" s="1"/>
  <c r="AM75" i="109"/>
  <c r="AM39" i="109"/>
  <c r="W75" i="109"/>
  <c r="W39" i="109"/>
  <c r="AW41" i="109"/>
  <c r="R75" i="109"/>
  <c r="R39" i="109"/>
  <c r="AH89" i="109"/>
  <c r="AI8" i="109" s="1"/>
  <c r="AV75" i="109"/>
  <c r="AV39" i="109"/>
  <c r="S89" i="109"/>
  <c r="E75" i="109"/>
  <c r="E39" i="109"/>
  <c r="X89" i="109"/>
  <c r="Y50" i="109" s="1"/>
  <c r="L75" i="109"/>
  <c r="L39" i="109"/>
  <c r="N89" i="109"/>
  <c r="O54" i="109" s="1"/>
  <c r="AW8" i="109"/>
  <c r="E89" i="109"/>
  <c r="F54" i="109" s="1"/>
  <c r="AF81" i="109"/>
  <c r="AF83" i="109" s="1"/>
  <c r="AF84" i="109" s="1"/>
  <c r="AF86" i="109" s="1"/>
  <c r="AF87" i="109" s="1"/>
  <c r="AF76" i="109"/>
  <c r="D76" i="109"/>
  <c r="D81" i="109"/>
  <c r="D83" i="109" s="1"/>
  <c r="D84" i="109" s="1"/>
  <c r="D86" i="109" s="1"/>
  <c r="D87" i="109" s="1"/>
  <c r="S38" i="109"/>
  <c r="V76" i="109"/>
  <c r="V81" i="109"/>
  <c r="V83" i="109" s="1"/>
  <c r="V84" i="109" s="1"/>
  <c r="V86" i="109" s="1"/>
  <c r="V87" i="109" s="1"/>
  <c r="AK81" i="109"/>
  <c r="AK83" i="109" s="1"/>
  <c r="AK84" i="109" s="1"/>
  <c r="AK86" i="109" s="1"/>
  <c r="AK87" i="109" s="1"/>
  <c r="AK76" i="109"/>
  <c r="N38" i="109"/>
  <c r="AW89" i="109" l="1"/>
  <c r="AW90" i="109" s="1"/>
  <c r="AN54" i="109"/>
  <c r="AX80" i="103"/>
  <c r="AX82" i="103"/>
  <c r="AX85" i="103"/>
  <c r="AX81" i="103"/>
  <c r="AX83" i="103"/>
  <c r="AX84" i="103"/>
  <c r="X39" i="109"/>
  <c r="T8" i="109"/>
  <c r="AS72" i="109"/>
  <c r="AS53" i="109"/>
  <c r="AS49" i="109"/>
  <c r="AS37" i="109"/>
  <c r="AS34" i="109"/>
  <c r="AS51" i="109"/>
  <c r="AS40" i="109"/>
  <c r="AS36" i="109"/>
  <c r="AS35" i="109"/>
  <c r="AS50" i="109"/>
  <c r="AS52" i="109"/>
  <c r="AS38" i="109"/>
  <c r="AS39" i="109"/>
  <c r="Y35" i="109"/>
  <c r="T54" i="109"/>
  <c r="AM75" i="103"/>
  <c r="AM39" i="103"/>
  <c r="AI80" i="103"/>
  <c r="AS78" i="103"/>
  <c r="AI78" i="103"/>
  <c r="AI53" i="103"/>
  <c r="AI49" i="103"/>
  <c r="AI79" i="103"/>
  <c r="AS80" i="103"/>
  <c r="AS85" i="103"/>
  <c r="AI47" i="103"/>
  <c r="AI45" i="103"/>
  <c r="AI43" i="103"/>
  <c r="AI82" i="103"/>
  <c r="AI52" i="103"/>
  <c r="AI32" i="103"/>
  <c r="AI30" i="103"/>
  <c r="AI29" i="103"/>
  <c r="AI28" i="103"/>
  <c r="AS82" i="103"/>
  <c r="AI48" i="103"/>
  <c r="AI46" i="103"/>
  <c r="AI44" i="103"/>
  <c r="AI42" i="103"/>
  <c r="AI85" i="103"/>
  <c r="AI33" i="103"/>
  <c r="AN80" i="103"/>
  <c r="AI31" i="103"/>
  <c r="AI25" i="103"/>
  <c r="AI23" i="103"/>
  <c r="AI51" i="103"/>
  <c r="AI18" i="103"/>
  <c r="AI26" i="103"/>
  <c r="AH94" i="103"/>
  <c r="AI12" i="103"/>
  <c r="AI16" i="103"/>
  <c r="AI58" i="103"/>
  <c r="AI62" i="103"/>
  <c r="AI66" i="103"/>
  <c r="AI70" i="103"/>
  <c r="AI22" i="103"/>
  <c r="AI24" i="103"/>
  <c r="AI9" i="103"/>
  <c r="AI13" i="103"/>
  <c r="AI17" i="103"/>
  <c r="AI55" i="103"/>
  <c r="AI59" i="103"/>
  <c r="AI63" i="103"/>
  <c r="AI67" i="103"/>
  <c r="AI71" i="103"/>
  <c r="AI19" i="103"/>
  <c r="AI27" i="103"/>
  <c r="AN78" i="103"/>
  <c r="AI57" i="103"/>
  <c r="AI61" i="103"/>
  <c r="AI69" i="103"/>
  <c r="AI21" i="103"/>
  <c r="AN85" i="103"/>
  <c r="AI10" i="103"/>
  <c r="AI14" i="103"/>
  <c r="AI56" i="103"/>
  <c r="AI60" i="103"/>
  <c r="AI64" i="103"/>
  <c r="AI68" i="103"/>
  <c r="AI20" i="103"/>
  <c r="AI50" i="103"/>
  <c r="AI77" i="103"/>
  <c r="AI54" i="103"/>
  <c r="AI11" i="103"/>
  <c r="AI15" i="103"/>
  <c r="AI65" i="103"/>
  <c r="AI41" i="103"/>
  <c r="AN82" i="103"/>
  <c r="AP81" i="103"/>
  <c r="AP83" i="103" s="1"/>
  <c r="AP84" i="103" s="1"/>
  <c r="AP86" i="103" s="1"/>
  <c r="AP87" i="103" s="1"/>
  <c r="AP76" i="103"/>
  <c r="AR76" i="103"/>
  <c r="AH39" i="103"/>
  <c r="AH75" i="103"/>
  <c r="AS8" i="98"/>
  <c r="AG81" i="98"/>
  <c r="AG83" i="98" s="1"/>
  <c r="AG84" i="98" s="1"/>
  <c r="AG86" i="98" s="1"/>
  <c r="AG87" i="98" s="1"/>
  <c r="AG76" i="98"/>
  <c r="AM81" i="98"/>
  <c r="AM83" i="98" s="1"/>
  <c r="AM84" i="98" s="1"/>
  <c r="AM86" i="98" s="1"/>
  <c r="AM87" i="98" s="1"/>
  <c r="AM76" i="98"/>
  <c r="AH81" i="98"/>
  <c r="AH83" i="98" s="1"/>
  <c r="AH84" i="98" s="1"/>
  <c r="AH86" i="98" s="1"/>
  <c r="AH87" i="98" s="1"/>
  <c r="AH76" i="98"/>
  <c r="AN49" i="98"/>
  <c r="AN72" i="98"/>
  <c r="AN47" i="98"/>
  <c r="AN45" i="98"/>
  <c r="AN43" i="98"/>
  <c r="AN41" i="98"/>
  <c r="AN36" i="98"/>
  <c r="AN48" i="98"/>
  <c r="AN46" i="98"/>
  <c r="AN44" i="98"/>
  <c r="AN42" i="98"/>
  <c r="AN9" i="98"/>
  <c r="AN11" i="98"/>
  <c r="AN22" i="98"/>
  <c r="AN21" i="98"/>
  <c r="AN20" i="98"/>
  <c r="AN19" i="98"/>
  <c r="AN18" i="98"/>
  <c r="AN17" i="98"/>
  <c r="AN16" i="98"/>
  <c r="AN15" i="98"/>
  <c r="AN14" i="98"/>
  <c r="AN13" i="98"/>
  <c r="AN12" i="98"/>
  <c r="AN10" i="98"/>
  <c r="AM92" i="98"/>
  <c r="AN24" i="98"/>
  <c r="AN28" i="98"/>
  <c r="AN32" i="98"/>
  <c r="AN58" i="98"/>
  <c r="AN62" i="98"/>
  <c r="AN66" i="98"/>
  <c r="AN70" i="98"/>
  <c r="AN27" i="98"/>
  <c r="AN57" i="98"/>
  <c r="AN65" i="98"/>
  <c r="AN33" i="98"/>
  <c r="AN25" i="98"/>
  <c r="AN29" i="98"/>
  <c r="AN54" i="98"/>
  <c r="AN51" i="98"/>
  <c r="AN50" i="98"/>
  <c r="AN55" i="98"/>
  <c r="AN59" i="98"/>
  <c r="AN63" i="98"/>
  <c r="AN67" i="98"/>
  <c r="AN71" i="98"/>
  <c r="AN61" i="98"/>
  <c r="AN26" i="98"/>
  <c r="AN30" i="98"/>
  <c r="AN52" i="98"/>
  <c r="AN56" i="98"/>
  <c r="AN60" i="98"/>
  <c r="AN64" i="98"/>
  <c r="AN68" i="98"/>
  <c r="AN23" i="98"/>
  <c r="AN31" i="98"/>
  <c r="AN69" i="98"/>
  <c r="AS49" i="98"/>
  <c r="AS72" i="98"/>
  <c r="AS48" i="98"/>
  <c r="AS47" i="98"/>
  <c r="AS46" i="98"/>
  <c r="AS45" i="98"/>
  <c r="AS44" i="98"/>
  <c r="AS43" i="98"/>
  <c r="AS42" i="98"/>
  <c r="AS36" i="98"/>
  <c r="AS22" i="98"/>
  <c r="AS21" i="98"/>
  <c r="AS20" i="98"/>
  <c r="AS19" i="98"/>
  <c r="AS18" i="98"/>
  <c r="AS17" i="98"/>
  <c r="AS16" i="98"/>
  <c r="AS15" i="98"/>
  <c r="AS14" i="98"/>
  <c r="AS13" i="98"/>
  <c r="AS12" i="98"/>
  <c r="AS11" i="98"/>
  <c r="AS10" i="98"/>
  <c r="AS9" i="98"/>
  <c r="AS24" i="98"/>
  <c r="AS28" i="98"/>
  <c r="AS32" i="98"/>
  <c r="AS56" i="98"/>
  <c r="AS60" i="98"/>
  <c r="AS64" i="98"/>
  <c r="AS68" i="98"/>
  <c r="AS52" i="98"/>
  <c r="AS41" i="98"/>
  <c r="AS63" i="98"/>
  <c r="AS71" i="98"/>
  <c r="AS51" i="98"/>
  <c r="AS25" i="98"/>
  <c r="AS29" i="98"/>
  <c r="AS57" i="98"/>
  <c r="AS61" i="98"/>
  <c r="AS65" i="98"/>
  <c r="AS69" i="98"/>
  <c r="AS26" i="98"/>
  <c r="AS30" i="98"/>
  <c r="AS23" i="98"/>
  <c r="AS58" i="98"/>
  <c r="AS62" i="98"/>
  <c r="AS66" i="98"/>
  <c r="AS70" i="98"/>
  <c r="AR92" i="98"/>
  <c r="AS27" i="98"/>
  <c r="AS31" i="98"/>
  <c r="AS33" i="98"/>
  <c r="AS55" i="98"/>
  <c r="AS59" i="98"/>
  <c r="AS67" i="98"/>
  <c r="AS50" i="98"/>
  <c r="AR76" i="98"/>
  <c r="AR81" i="98"/>
  <c r="AR83" i="98" s="1"/>
  <c r="AR84" i="98" s="1"/>
  <c r="AR86" i="98" s="1"/>
  <c r="AR87" i="98" s="1"/>
  <c r="E81" i="109"/>
  <c r="E83" i="109" s="1"/>
  <c r="E84" i="109" s="1"/>
  <c r="E86" i="109" s="1"/>
  <c r="E87" i="109" s="1"/>
  <c r="E76" i="109"/>
  <c r="R81" i="109"/>
  <c r="R83" i="109" s="1"/>
  <c r="R84" i="109" s="1"/>
  <c r="R86" i="109" s="1"/>
  <c r="R87" i="109" s="1"/>
  <c r="R76" i="109"/>
  <c r="AC75" i="109"/>
  <c r="AC39" i="109"/>
  <c r="AD39" i="109" s="1"/>
  <c r="AD38" i="109"/>
  <c r="AD71" i="109"/>
  <c r="AI53" i="109"/>
  <c r="AD49" i="109"/>
  <c r="AD40" i="109"/>
  <c r="AD53" i="109"/>
  <c r="AI37" i="109"/>
  <c r="AN49" i="109"/>
  <c r="AD46" i="109"/>
  <c r="AN53" i="109"/>
  <c r="AD47" i="109"/>
  <c r="AD43" i="109"/>
  <c r="AN34" i="109"/>
  <c r="AD70" i="109"/>
  <c r="AI49" i="109"/>
  <c r="AD44" i="109"/>
  <c r="AI34" i="109"/>
  <c r="AD23" i="109"/>
  <c r="AD48" i="109"/>
  <c r="AD45" i="109"/>
  <c r="AN40" i="109"/>
  <c r="AD37" i="109"/>
  <c r="AD30" i="109"/>
  <c r="AD26" i="109"/>
  <c r="AD15" i="109"/>
  <c r="AD42" i="109"/>
  <c r="AI40" i="109"/>
  <c r="AN36" i="109"/>
  <c r="AD34" i="109"/>
  <c r="AD32" i="109"/>
  <c r="AD28" i="109"/>
  <c r="AD22" i="109"/>
  <c r="AD13" i="109"/>
  <c r="AD9" i="109"/>
  <c r="AN37" i="109"/>
  <c r="AD19" i="109"/>
  <c r="AD11" i="109"/>
  <c r="AN35" i="109"/>
  <c r="AD33" i="109"/>
  <c r="AD25" i="109"/>
  <c r="AD27" i="109"/>
  <c r="AD10" i="109"/>
  <c r="AD16" i="109"/>
  <c r="AD18" i="109"/>
  <c r="AD79" i="109"/>
  <c r="AD41" i="109"/>
  <c r="AD61" i="109"/>
  <c r="AD52" i="109"/>
  <c r="AD58" i="109"/>
  <c r="AD62" i="109"/>
  <c r="AD66" i="109"/>
  <c r="AD57" i="109"/>
  <c r="AD60" i="109"/>
  <c r="AD68" i="109"/>
  <c r="AD29" i="109"/>
  <c r="AD14" i="109"/>
  <c r="AI52" i="109"/>
  <c r="AD51" i="109"/>
  <c r="AN52" i="109"/>
  <c r="AD55" i="109"/>
  <c r="AI36" i="109"/>
  <c r="AD59" i="109"/>
  <c r="AD63" i="109"/>
  <c r="AD67" i="109"/>
  <c r="AD69" i="109"/>
  <c r="AD17" i="109"/>
  <c r="AD56" i="109"/>
  <c r="AD64" i="109"/>
  <c r="AD31" i="109"/>
  <c r="AD21" i="109"/>
  <c r="AD24" i="109"/>
  <c r="AD36" i="109"/>
  <c r="AI51" i="109"/>
  <c r="AN51" i="109"/>
  <c r="AD12" i="109"/>
  <c r="AD20" i="109"/>
  <c r="AD65" i="109"/>
  <c r="N75" i="109"/>
  <c r="N39" i="109"/>
  <c r="AI54" i="109"/>
  <c r="AD50" i="109"/>
  <c r="Y8" i="109"/>
  <c r="AN38" i="109"/>
  <c r="Y39" i="109"/>
  <c r="AU76" i="109"/>
  <c r="AU81" i="109"/>
  <c r="AU83" i="109" s="1"/>
  <c r="AU84" i="109" s="1"/>
  <c r="AU86" i="109" s="1"/>
  <c r="AU87" i="109" s="1"/>
  <c r="AN71" i="109"/>
  <c r="AN69" i="109"/>
  <c r="AN48" i="109"/>
  <c r="AN46" i="109"/>
  <c r="AN42" i="109"/>
  <c r="AN47" i="109"/>
  <c r="AN43" i="109"/>
  <c r="AN44" i="109"/>
  <c r="AN23" i="109"/>
  <c r="AN19" i="109"/>
  <c r="AN11" i="109"/>
  <c r="AN45" i="109"/>
  <c r="AN31" i="109"/>
  <c r="AN27" i="109"/>
  <c r="AN13" i="109"/>
  <c r="AN9" i="109"/>
  <c r="AN29" i="109"/>
  <c r="AN15" i="109"/>
  <c r="AN32" i="109"/>
  <c r="AN25" i="109"/>
  <c r="AN30" i="109"/>
  <c r="AN20" i="109"/>
  <c r="AN22" i="109"/>
  <c r="AN60" i="109"/>
  <c r="AN58" i="109"/>
  <c r="AN62" i="109"/>
  <c r="AN66" i="109"/>
  <c r="AN61" i="109"/>
  <c r="AN68" i="109"/>
  <c r="AN21" i="109"/>
  <c r="AN12" i="109"/>
  <c r="AN16" i="109"/>
  <c r="AN24" i="109"/>
  <c r="AN64" i="109"/>
  <c r="AN56" i="109"/>
  <c r="AN70" i="109"/>
  <c r="AN28" i="109"/>
  <c r="AN17" i="109"/>
  <c r="AN26" i="109"/>
  <c r="AN18" i="109"/>
  <c r="AN41" i="109"/>
  <c r="AN55" i="109"/>
  <c r="AN59" i="109"/>
  <c r="AN63" i="109"/>
  <c r="AN67" i="109"/>
  <c r="AN10" i="109"/>
  <c r="AN14" i="109"/>
  <c r="AN57" i="109"/>
  <c r="AN65" i="109"/>
  <c r="AI38" i="109"/>
  <c r="O72" i="109"/>
  <c r="O66" i="109"/>
  <c r="O62" i="109"/>
  <c r="O58" i="109"/>
  <c r="O55" i="109"/>
  <c r="O67" i="109"/>
  <c r="O63" i="109"/>
  <c r="O59" i="109"/>
  <c r="O68" i="109"/>
  <c r="O64" i="109"/>
  <c r="O60" i="109"/>
  <c r="O56" i="109"/>
  <c r="O65" i="109"/>
  <c r="O61" i="109"/>
  <c r="O57" i="109"/>
  <c r="O49" i="109"/>
  <c r="O23" i="109"/>
  <c r="O18" i="109"/>
  <c r="O14" i="109"/>
  <c r="O10" i="109"/>
  <c r="O13" i="109"/>
  <c r="O26" i="109"/>
  <c r="O19" i="109"/>
  <c r="O15" i="109"/>
  <c r="O11" i="109"/>
  <c r="O17" i="109"/>
  <c r="O9" i="109"/>
  <c r="O20" i="109"/>
  <c r="O16" i="109"/>
  <c r="O12" i="109"/>
  <c r="O21" i="109"/>
  <c r="O25" i="109"/>
  <c r="O28" i="109"/>
  <c r="O32" i="109"/>
  <c r="O27" i="109"/>
  <c r="O31" i="109"/>
  <c r="O52" i="109"/>
  <c r="O43" i="109"/>
  <c r="O71" i="109"/>
  <c r="O70" i="109"/>
  <c r="O24" i="109"/>
  <c r="O36" i="109"/>
  <c r="O29" i="109"/>
  <c r="O44" i="109"/>
  <c r="O47" i="109"/>
  <c r="O42" i="109"/>
  <c r="O51" i="109"/>
  <c r="O45" i="109"/>
  <c r="O33" i="109"/>
  <c r="O30" i="109"/>
  <c r="O46" i="109"/>
  <c r="O69" i="109"/>
  <c r="O48" i="109"/>
  <c r="O22" i="109"/>
  <c r="S75" i="109"/>
  <c r="S39" i="109"/>
  <c r="T39" i="109" s="1"/>
  <c r="T38" i="109"/>
  <c r="AX41" i="109"/>
  <c r="AW38" i="109"/>
  <c r="AD54" i="109"/>
  <c r="Y78" i="109"/>
  <c r="Y65" i="109"/>
  <c r="Y61" i="109"/>
  <c r="Y57" i="109"/>
  <c r="Y55" i="109"/>
  <c r="Y66" i="109"/>
  <c r="Y62" i="109"/>
  <c r="Y58" i="109"/>
  <c r="Y48" i="109"/>
  <c r="AI78" i="109"/>
  <c r="Y67" i="109"/>
  <c r="Y63" i="109"/>
  <c r="Y59" i="109"/>
  <c r="Y56" i="109"/>
  <c r="Y68" i="109"/>
  <c r="Y54" i="109"/>
  <c r="Y64" i="109"/>
  <c r="Y60" i="109"/>
  <c r="Y18" i="109"/>
  <c r="Y14" i="109"/>
  <c r="Y10" i="109"/>
  <c r="Y21" i="109"/>
  <c r="Y19" i="109"/>
  <c r="Y15" i="109"/>
  <c r="Y11" i="109"/>
  <c r="Y13" i="109"/>
  <c r="Y23" i="109"/>
  <c r="Y20" i="109"/>
  <c r="Y16" i="109"/>
  <c r="Y12" i="109"/>
  <c r="Y17" i="109"/>
  <c r="Y9" i="109"/>
  <c r="Y22" i="109"/>
  <c r="Y28" i="109"/>
  <c r="Y32" i="109"/>
  <c r="Y43" i="109"/>
  <c r="Y47" i="109"/>
  <c r="Y46" i="109"/>
  <c r="AN78" i="109"/>
  <c r="Y70" i="109"/>
  <c r="Y25" i="109"/>
  <c r="Y44" i="109"/>
  <c r="Y29" i="109"/>
  <c r="Y33" i="109"/>
  <c r="Y45" i="109"/>
  <c r="Y27" i="109"/>
  <c r="Y30" i="109"/>
  <c r="Y42" i="109"/>
  <c r="Y24" i="109"/>
  <c r="Y79" i="109"/>
  <c r="Y51" i="109"/>
  <c r="Y69" i="109"/>
  <c r="Y31" i="109"/>
  <c r="Y52" i="109"/>
  <c r="Y71" i="109"/>
  <c r="AD78" i="109"/>
  <c r="Y72" i="109"/>
  <c r="AN72" i="109"/>
  <c r="T72" i="109"/>
  <c r="AI72" i="109"/>
  <c r="AD72" i="109"/>
  <c r="Y49" i="109"/>
  <c r="Y40" i="109"/>
  <c r="T71" i="109"/>
  <c r="Y53" i="109"/>
  <c r="T49" i="109"/>
  <c r="T47" i="109"/>
  <c r="T44" i="109"/>
  <c r="T40" i="109"/>
  <c r="Y37" i="109"/>
  <c r="T36" i="109"/>
  <c r="T35" i="109"/>
  <c r="T34" i="109"/>
  <c r="T53" i="109"/>
  <c r="T48" i="109"/>
  <c r="T45" i="109"/>
  <c r="T37" i="109"/>
  <c r="T46" i="109"/>
  <c r="T42" i="109"/>
  <c r="T32" i="109"/>
  <c r="T19" i="109"/>
  <c r="T11" i="109"/>
  <c r="T33" i="109"/>
  <c r="T29" i="109"/>
  <c r="T13" i="109"/>
  <c r="T9" i="109"/>
  <c r="T27" i="109"/>
  <c r="T26" i="109"/>
  <c r="T15" i="109"/>
  <c r="Y34" i="109"/>
  <c r="T25" i="109"/>
  <c r="T43" i="109"/>
  <c r="T31" i="109"/>
  <c r="T23" i="109"/>
  <c r="T21" i="109"/>
  <c r="T12" i="109"/>
  <c r="T16" i="109"/>
  <c r="T52" i="109"/>
  <c r="T51" i="109"/>
  <c r="T55" i="109"/>
  <c r="T57" i="109"/>
  <c r="T61" i="109"/>
  <c r="T65" i="109"/>
  <c r="T69" i="109"/>
  <c r="T17" i="109"/>
  <c r="T18" i="109"/>
  <c r="T41" i="109"/>
  <c r="T66" i="109"/>
  <c r="T70" i="109"/>
  <c r="T59" i="109"/>
  <c r="T63" i="109"/>
  <c r="T67" i="109"/>
  <c r="T28" i="109"/>
  <c r="T10" i="109"/>
  <c r="T14" i="109"/>
  <c r="T24" i="109"/>
  <c r="T62" i="109"/>
  <c r="T56" i="109"/>
  <c r="T60" i="109"/>
  <c r="T64" i="109"/>
  <c r="T68" i="109"/>
  <c r="T30" i="109"/>
  <c r="T20" i="109"/>
  <c r="T22" i="109"/>
  <c r="Y26" i="109"/>
  <c r="Y36" i="109"/>
  <c r="T58" i="109"/>
  <c r="AI64" i="109"/>
  <c r="AI60" i="109"/>
  <c r="AI56" i="109"/>
  <c r="AI55" i="109"/>
  <c r="AI65" i="109"/>
  <c r="AI61" i="109"/>
  <c r="AI57" i="109"/>
  <c r="AI48" i="109"/>
  <c r="AI66" i="109"/>
  <c r="AI62" i="109"/>
  <c r="AI58" i="109"/>
  <c r="AI59" i="109"/>
  <c r="AI67" i="109"/>
  <c r="AI63" i="109"/>
  <c r="AI18" i="109"/>
  <c r="AI14" i="109"/>
  <c r="AI10" i="109"/>
  <c r="AI17" i="109"/>
  <c r="AI9" i="109"/>
  <c r="AI23" i="109"/>
  <c r="AI19" i="109"/>
  <c r="AI15" i="109"/>
  <c r="AI11" i="109"/>
  <c r="AI24" i="109"/>
  <c r="AI21" i="109"/>
  <c r="AI20" i="109"/>
  <c r="AI16" i="109"/>
  <c r="AI12" i="109"/>
  <c r="AN33" i="109"/>
  <c r="AI13" i="109"/>
  <c r="AI27" i="109"/>
  <c r="AI22" i="109"/>
  <c r="AI28" i="109"/>
  <c r="AI32" i="109"/>
  <c r="AI44" i="109"/>
  <c r="AI68" i="109"/>
  <c r="AI25" i="109"/>
  <c r="AI79" i="109"/>
  <c r="AI43" i="109"/>
  <c r="AI47" i="109"/>
  <c r="AI31" i="109"/>
  <c r="AI71" i="109"/>
  <c r="AI26" i="109"/>
  <c r="AI30" i="109"/>
  <c r="AI29" i="109"/>
  <c r="AI33" i="109"/>
  <c r="AI70" i="109"/>
  <c r="AI69" i="109"/>
  <c r="AI42" i="109"/>
  <c r="AI46" i="109"/>
  <c r="AI45" i="109"/>
  <c r="AN39" i="109"/>
  <c r="Q81" i="109"/>
  <c r="Q83" i="109" s="1"/>
  <c r="Q84" i="109" s="1"/>
  <c r="Q86" i="109" s="1"/>
  <c r="Q87" i="109" s="1"/>
  <c r="Q76" i="109"/>
  <c r="Y41" i="109"/>
  <c r="Y38" i="109"/>
  <c r="AL81" i="109"/>
  <c r="AL83" i="109" s="1"/>
  <c r="AL84" i="109" s="1"/>
  <c r="AL86" i="109" s="1"/>
  <c r="AL87" i="109" s="1"/>
  <c r="AL76" i="109"/>
  <c r="AX54" i="109"/>
  <c r="AI39" i="109"/>
  <c r="F82" i="109"/>
  <c r="F79" i="109"/>
  <c r="F72" i="109"/>
  <c r="F48" i="109"/>
  <c r="F45" i="109"/>
  <c r="F46" i="109"/>
  <c r="F42" i="109"/>
  <c r="F47" i="109"/>
  <c r="F43" i="109"/>
  <c r="F36" i="109"/>
  <c r="F35" i="109"/>
  <c r="F33" i="109"/>
  <c r="F32" i="109"/>
  <c r="F26" i="109"/>
  <c r="F15" i="109"/>
  <c r="F30" i="109"/>
  <c r="F13" i="109"/>
  <c r="F19" i="109"/>
  <c r="F11" i="109"/>
  <c r="F44" i="109"/>
  <c r="F28" i="109"/>
  <c r="F29" i="109"/>
  <c r="F14" i="109"/>
  <c r="F24" i="109"/>
  <c r="F59" i="109"/>
  <c r="F69" i="109"/>
  <c r="F85" i="109"/>
  <c r="F73" i="109"/>
  <c r="F55" i="109"/>
  <c r="F52" i="109"/>
  <c r="F65" i="109"/>
  <c r="F31" i="109"/>
  <c r="F21" i="109"/>
  <c r="F50" i="109"/>
  <c r="F58" i="109"/>
  <c r="F62" i="109"/>
  <c r="F66" i="109"/>
  <c r="F51" i="109"/>
  <c r="F61" i="109"/>
  <c r="F12" i="109"/>
  <c r="F20" i="109"/>
  <c r="F17" i="109"/>
  <c r="F25" i="109"/>
  <c r="F41" i="109"/>
  <c r="F67" i="109"/>
  <c r="F71" i="109"/>
  <c r="F56" i="109"/>
  <c r="F60" i="109"/>
  <c r="F64" i="109"/>
  <c r="F68" i="109"/>
  <c r="F70" i="109"/>
  <c r="F27" i="109"/>
  <c r="F10" i="109"/>
  <c r="F16" i="109"/>
  <c r="F18" i="109"/>
  <c r="F9" i="109"/>
  <c r="F63" i="109"/>
  <c r="F57" i="109"/>
  <c r="W81" i="109"/>
  <c r="W83" i="109" s="1"/>
  <c r="W84" i="109" s="1"/>
  <c r="W86" i="109" s="1"/>
  <c r="W87" i="109" s="1"/>
  <c r="W76" i="109"/>
  <c r="F8" i="109"/>
  <c r="O8" i="109"/>
  <c r="L81" i="109"/>
  <c r="L83" i="109" s="1"/>
  <c r="L84" i="109" s="1"/>
  <c r="L86" i="109" s="1"/>
  <c r="L87" i="109" s="1"/>
  <c r="L76" i="109"/>
  <c r="AI41" i="109"/>
  <c r="AV76" i="109"/>
  <c r="AV81" i="109"/>
  <c r="AV83" i="109" s="1"/>
  <c r="AV84" i="109" s="1"/>
  <c r="AV86" i="109" s="1"/>
  <c r="AV87" i="109" s="1"/>
  <c r="AN50" i="109"/>
  <c r="AM76" i="109"/>
  <c r="AM81" i="109"/>
  <c r="AM83" i="109" s="1"/>
  <c r="AM84" i="109" s="1"/>
  <c r="AM86" i="109" s="1"/>
  <c r="AM87" i="109" s="1"/>
  <c r="AD35" i="109"/>
  <c r="AD8" i="109"/>
  <c r="X81" i="109"/>
  <c r="X83" i="109" s="1"/>
  <c r="X84" i="109" s="1"/>
  <c r="X86" i="109" s="1"/>
  <c r="X87" i="109" s="1"/>
  <c r="X76" i="109"/>
  <c r="AI35" i="109"/>
  <c r="T50" i="109"/>
  <c r="AH76" i="109"/>
  <c r="AH81" i="109"/>
  <c r="AH83" i="109" s="1"/>
  <c r="AH84" i="109" s="1"/>
  <c r="AH86" i="109" s="1"/>
  <c r="AH87" i="109" s="1"/>
  <c r="AX8" i="109" l="1"/>
  <c r="AH81" i="103"/>
  <c r="AH76" i="103"/>
  <c r="AM76" i="103"/>
  <c r="S76" i="109"/>
  <c r="S81" i="109"/>
  <c r="S83" i="109" s="1"/>
  <c r="S84" i="109" s="1"/>
  <c r="S86" i="109" s="1"/>
  <c r="S87" i="109" s="1"/>
  <c r="AW75" i="109"/>
  <c r="AW39" i="109"/>
  <c r="AX66" i="109"/>
  <c r="AX62" i="109"/>
  <c r="AX58" i="109"/>
  <c r="AX49" i="109"/>
  <c r="AX65" i="109"/>
  <c r="AX61" i="109"/>
  <c r="AX57" i="109"/>
  <c r="AX20" i="109"/>
  <c r="AX16" i="109"/>
  <c r="AX12" i="109"/>
  <c r="AX25" i="109"/>
  <c r="AX17" i="109"/>
  <c r="AX44" i="109"/>
  <c r="AX70" i="109"/>
  <c r="AX64" i="109"/>
  <c r="AX69" i="109"/>
  <c r="AX72" i="109"/>
  <c r="AX27" i="109"/>
  <c r="AX10" i="109"/>
  <c r="AX18" i="109"/>
  <c r="AX26" i="109"/>
  <c r="AX33" i="109"/>
  <c r="AX36" i="109"/>
  <c r="AX45" i="109"/>
  <c r="AX29" i="109"/>
  <c r="AX47" i="109"/>
  <c r="AX71" i="109"/>
  <c r="AX60" i="109"/>
  <c r="AX63" i="109"/>
  <c r="AX30" i="109"/>
  <c r="AX46" i="109"/>
  <c r="AX32" i="109"/>
  <c r="AX14" i="109"/>
  <c r="AX28" i="109"/>
  <c r="AX56" i="109"/>
  <c r="AX67" i="109"/>
  <c r="AX51" i="109"/>
  <c r="AX42" i="109"/>
  <c r="AX59" i="109"/>
  <c r="AX31" i="109"/>
  <c r="AX24" i="109"/>
  <c r="AX68" i="109"/>
  <c r="AX48" i="109"/>
  <c r="AX13" i="109"/>
  <c r="AX19" i="109"/>
  <c r="AX43" i="109"/>
  <c r="AX52" i="109"/>
  <c r="AX55" i="109"/>
  <c r="AX21" i="109"/>
  <c r="AX9" i="109"/>
  <c r="AX15" i="109"/>
  <c r="AX11" i="109"/>
  <c r="N76" i="109"/>
  <c r="N81" i="109"/>
  <c r="N83" i="109" s="1"/>
  <c r="N84" i="109" s="1"/>
  <c r="N86" i="109" s="1"/>
  <c r="N87" i="109" s="1"/>
  <c r="AC81" i="109"/>
  <c r="AC83" i="109" s="1"/>
  <c r="AC84" i="109" s="1"/>
  <c r="AC86" i="109" s="1"/>
  <c r="AC87" i="109" s="1"/>
  <c r="AC76" i="109"/>
  <c r="AI81" i="103" l="1"/>
  <c r="AH83" i="103"/>
  <c r="AW81" i="109"/>
  <c r="AW83" i="109" s="1"/>
  <c r="AW84" i="109" s="1"/>
  <c r="AW86" i="109" s="1"/>
  <c r="AW76" i="109"/>
  <c r="AW87" i="109" l="1"/>
  <c r="AW94" i="109"/>
  <c r="AI83" i="103"/>
  <c r="AH84" i="103"/>
  <c r="AI84" i="103" l="1"/>
  <c r="AH86" i="103"/>
  <c r="AH87" i="103" s="1"/>
  <c r="AC85" i="98" l="1"/>
  <c r="X85" i="98"/>
  <c r="S85" i="98"/>
  <c r="N85" i="98"/>
  <c r="E85" i="98"/>
  <c r="AC82" i="98"/>
  <c r="X82" i="98"/>
  <c r="S82" i="98"/>
  <c r="N82" i="98"/>
  <c r="E82" i="98"/>
  <c r="E79" i="98"/>
  <c r="AC78" i="98"/>
  <c r="AC77" i="98" s="1"/>
  <c r="X78" i="98"/>
  <c r="X77" i="98" s="1"/>
  <c r="S78" i="98"/>
  <c r="S77" i="98" s="1"/>
  <c r="N78" i="98"/>
  <c r="N77" i="98" s="1"/>
  <c r="E78" i="98"/>
  <c r="E77" i="98" s="1"/>
  <c r="AB77" i="98"/>
  <c r="AA77" i="98"/>
  <c r="W77" i="98"/>
  <c r="V77" i="98"/>
  <c r="R77" i="98"/>
  <c r="Q77" i="98"/>
  <c r="M77" i="98"/>
  <c r="L77" i="98"/>
  <c r="D77" i="98"/>
  <c r="C77" i="98"/>
  <c r="AC74" i="98"/>
  <c r="AC73" i="98" s="1"/>
  <c r="X74" i="98"/>
  <c r="X73" i="98" s="1"/>
  <c r="C74" i="98"/>
  <c r="E74" i="98" s="1"/>
  <c r="E73" i="98" s="1"/>
  <c r="AB73" i="98"/>
  <c r="AA73" i="98"/>
  <c r="W73" i="98"/>
  <c r="V73" i="98"/>
  <c r="S73" i="98"/>
  <c r="R73" i="98"/>
  <c r="Q73" i="98"/>
  <c r="N73" i="98"/>
  <c r="M73" i="98"/>
  <c r="L73" i="98"/>
  <c r="D73" i="98"/>
  <c r="AC71" i="98"/>
  <c r="X71" i="98"/>
  <c r="S71" i="98"/>
  <c r="N71" i="98"/>
  <c r="E71" i="98"/>
  <c r="AC70" i="98"/>
  <c r="X70" i="98"/>
  <c r="S70" i="98"/>
  <c r="N70" i="98"/>
  <c r="E70" i="98"/>
  <c r="AC69" i="98"/>
  <c r="X69" i="98"/>
  <c r="S69" i="98"/>
  <c r="N69" i="98"/>
  <c r="C69" i="98"/>
  <c r="E69" i="98" s="1"/>
  <c r="AC68" i="98"/>
  <c r="X68" i="98"/>
  <c r="S68" i="98"/>
  <c r="N68" i="98"/>
  <c r="E68" i="98"/>
  <c r="AC67" i="98"/>
  <c r="X67" i="98"/>
  <c r="S67" i="98"/>
  <c r="N67" i="98"/>
  <c r="E67" i="98"/>
  <c r="AC66" i="98"/>
  <c r="X66" i="98"/>
  <c r="S66" i="98"/>
  <c r="N66" i="98"/>
  <c r="E66" i="98"/>
  <c r="AC65" i="98"/>
  <c r="X65" i="98"/>
  <c r="Q65" i="98"/>
  <c r="S65" i="98" s="1"/>
  <c r="L65" i="98"/>
  <c r="E65" i="98"/>
  <c r="AC64" i="98"/>
  <c r="X64" i="98"/>
  <c r="S64" i="98"/>
  <c r="N64" i="98"/>
  <c r="E64" i="98"/>
  <c r="AC63" i="98"/>
  <c r="X63" i="98"/>
  <c r="Q63" i="98"/>
  <c r="S63" i="98" s="1"/>
  <c r="L63" i="98"/>
  <c r="BT63" i="98" s="1"/>
  <c r="E63" i="98"/>
  <c r="AC62" i="98"/>
  <c r="X62" i="98"/>
  <c r="S62" i="98"/>
  <c r="N62" i="98"/>
  <c r="E62" i="98"/>
  <c r="AC61" i="98"/>
  <c r="X61" i="98"/>
  <c r="S61" i="98"/>
  <c r="N61" i="98"/>
  <c r="E61" i="98"/>
  <c r="AC60" i="98"/>
  <c r="X60" i="98"/>
  <c r="S60" i="98"/>
  <c r="N60" i="98"/>
  <c r="E60" i="98"/>
  <c r="AC59" i="98"/>
  <c r="X59" i="98"/>
  <c r="S59" i="98"/>
  <c r="N59" i="98"/>
  <c r="E59" i="98"/>
  <c r="AC58" i="98"/>
  <c r="X58" i="98"/>
  <c r="S58" i="98"/>
  <c r="N58" i="98"/>
  <c r="E58" i="98"/>
  <c r="AC57" i="98"/>
  <c r="X57" i="98"/>
  <c r="S57" i="98"/>
  <c r="N57" i="98"/>
  <c r="E57" i="98"/>
  <c r="AC56" i="98"/>
  <c r="X56" i="98"/>
  <c r="S56" i="98"/>
  <c r="N56" i="98"/>
  <c r="E56" i="98"/>
  <c r="AC55" i="98"/>
  <c r="X55" i="98"/>
  <c r="S55" i="98"/>
  <c r="N55" i="98"/>
  <c r="E55" i="98"/>
  <c r="AB54" i="98"/>
  <c r="AA54" i="98"/>
  <c r="W54" i="98"/>
  <c r="V54" i="98"/>
  <c r="R54" i="98"/>
  <c r="M54" i="98"/>
  <c r="D54" i="98"/>
  <c r="C54" i="98"/>
  <c r="AC52" i="98"/>
  <c r="X52" i="98"/>
  <c r="S52" i="98"/>
  <c r="N52" i="98"/>
  <c r="E52" i="98"/>
  <c r="AC51" i="98"/>
  <c r="X51" i="98"/>
  <c r="S51" i="98"/>
  <c r="N51" i="98"/>
  <c r="E51" i="98"/>
  <c r="AB50" i="98"/>
  <c r="AA50" i="98"/>
  <c r="W50" i="98"/>
  <c r="V50" i="98"/>
  <c r="R50" i="98"/>
  <c r="Q50" i="98"/>
  <c r="M50" i="98"/>
  <c r="L50" i="98"/>
  <c r="AC48" i="98"/>
  <c r="X48" i="98"/>
  <c r="S48" i="98"/>
  <c r="N48" i="98"/>
  <c r="E48" i="98"/>
  <c r="AC47" i="98"/>
  <c r="X47" i="98"/>
  <c r="Q47" i="98"/>
  <c r="BT47" i="98" s="1"/>
  <c r="N47" i="98"/>
  <c r="E47" i="98"/>
  <c r="AC46" i="98"/>
  <c r="X46" i="98"/>
  <c r="S46" i="98"/>
  <c r="N46" i="98"/>
  <c r="E46" i="98"/>
  <c r="AC45" i="98"/>
  <c r="X45" i="98"/>
  <c r="S45" i="98"/>
  <c r="N45" i="98"/>
  <c r="E45" i="98"/>
  <c r="AC44" i="98"/>
  <c r="X44" i="98"/>
  <c r="S44" i="98"/>
  <c r="N44" i="98"/>
  <c r="E44" i="98"/>
  <c r="AC43" i="98"/>
  <c r="X43" i="98"/>
  <c r="S43" i="98"/>
  <c r="N43" i="98"/>
  <c r="E43" i="98"/>
  <c r="AC42" i="98"/>
  <c r="X42" i="98"/>
  <c r="S42" i="98"/>
  <c r="N42" i="98"/>
  <c r="E42" i="98"/>
  <c r="AB41" i="98"/>
  <c r="AA41" i="98"/>
  <c r="W41" i="98"/>
  <c r="V41" i="98"/>
  <c r="R41" i="98"/>
  <c r="Q41" i="98"/>
  <c r="M41" i="98"/>
  <c r="L41" i="98"/>
  <c r="D41" i="98"/>
  <c r="C41" i="98"/>
  <c r="AC36" i="98"/>
  <c r="AC35" i="98" s="1"/>
  <c r="X36" i="98"/>
  <c r="S36" i="98"/>
  <c r="S35" i="98" s="1"/>
  <c r="N36" i="98"/>
  <c r="N35" i="98" s="1"/>
  <c r="E36" i="98"/>
  <c r="AB35" i="98"/>
  <c r="AA35" i="98"/>
  <c r="X35" i="98"/>
  <c r="W35" i="98"/>
  <c r="V35" i="98"/>
  <c r="R35" i="98"/>
  <c r="Q35" i="98"/>
  <c r="M35" i="98"/>
  <c r="L35" i="98"/>
  <c r="E35" i="98"/>
  <c r="D35" i="98"/>
  <c r="C35" i="98"/>
  <c r="AC33" i="98"/>
  <c r="X33" i="98"/>
  <c r="S33" i="98"/>
  <c r="N33" i="98"/>
  <c r="E33" i="98"/>
  <c r="AC32" i="98"/>
  <c r="X32" i="98"/>
  <c r="S32" i="98"/>
  <c r="N32" i="98"/>
  <c r="E32" i="98"/>
  <c r="AC31" i="98"/>
  <c r="X31" i="98"/>
  <c r="S31" i="98"/>
  <c r="N31" i="98"/>
  <c r="D31" i="98"/>
  <c r="E31" i="98" s="1"/>
  <c r="AC30" i="98"/>
  <c r="X30" i="98"/>
  <c r="R30" i="98"/>
  <c r="N30" i="98"/>
  <c r="E30" i="98"/>
  <c r="AC29" i="98"/>
  <c r="X29" i="98"/>
  <c r="S29" i="98"/>
  <c r="L29" i="98"/>
  <c r="BT29" i="98" s="1"/>
  <c r="BV29" i="98" s="1"/>
  <c r="E29" i="98"/>
  <c r="AC28" i="98"/>
  <c r="X28" i="98"/>
  <c r="R28" i="98"/>
  <c r="Q28" i="98"/>
  <c r="L28" i="98"/>
  <c r="N28" i="98" s="1"/>
  <c r="D28" i="98"/>
  <c r="C28" i="98"/>
  <c r="AC27" i="98"/>
  <c r="X27" i="98"/>
  <c r="S27" i="98"/>
  <c r="N27" i="98"/>
  <c r="E27" i="98"/>
  <c r="AC26" i="98"/>
  <c r="X26" i="98"/>
  <c r="Q26" i="98"/>
  <c r="N26" i="98"/>
  <c r="E26" i="98"/>
  <c r="AC25" i="98"/>
  <c r="X25" i="98"/>
  <c r="Q25" i="98"/>
  <c r="BT25" i="98" s="1"/>
  <c r="BV25" i="98" s="1"/>
  <c r="N25" i="98"/>
  <c r="E25" i="98"/>
  <c r="AC24" i="98"/>
  <c r="X24" i="98"/>
  <c r="Q24" i="98"/>
  <c r="BT24" i="98" s="1"/>
  <c r="BV24" i="98" s="1"/>
  <c r="N24" i="98"/>
  <c r="E24" i="98"/>
  <c r="V23" i="98"/>
  <c r="X23" i="98" s="1"/>
  <c r="Q23" i="98"/>
  <c r="BT23" i="98" s="1"/>
  <c r="BV23" i="98" s="1"/>
  <c r="E23" i="98"/>
  <c r="X22" i="98"/>
  <c r="Q22" i="98"/>
  <c r="BT22" i="98" s="1"/>
  <c r="BV22" i="98" s="1"/>
  <c r="E22" i="98"/>
  <c r="AC21" i="98"/>
  <c r="X21" i="98"/>
  <c r="Q21" i="98"/>
  <c r="BT21" i="98" s="1"/>
  <c r="BV21" i="98" s="1"/>
  <c r="N21" i="98"/>
  <c r="E21" i="98"/>
  <c r="AC20" i="98"/>
  <c r="X20" i="98"/>
  <c r="S20" i="98"/>
  <c r="N20" i="98"/>
  <c r="E20" i="98"/>
  <c r="AC19" i="98"/>
  <c r="X19" i="98"/>
  <c r="S19" i="98"/>
  <c r="N19" i="98"/>
  <c r="E19" i="98"/>
  <c r="AC18" i="98"/>
  <c r="X18" i="98"/>
  <c r="Q18" i="98"/>
  <c r="BT18" i="98" s="1"/>
  <c r="BV18" i="98" s="1"/>
  <c r="N18" i="98"/>
  <c r="E18" i="98"/>
  <c r="AC17" i="98"/>
  <c r="X17" i="98"/>
  <c r="S17" i="98"/>
  <c r="N17" i="98"/>
  <c r="E17" i="98"/>
  <c r="AC16" i="98"/>
  <c r="W16" i="98"/>
  <c r="W8" i="98" s="1"/>
  <c r="R16" i="98"/>
  <c r="N16" i="98"/>
  <c r="E16" i="98"/>
  <c r="AC15" i="98"/>
  <c r="X15" i="98"/>
  <c r="S15" i="98"/>
  <c r="N15" i="98"/>
  <c r="E15" i="98"/>
  <c r="AC14" i="98"/>
  <c r="X14" i="98"/>
  <c r="S14" i="98"/>
  <c r="N14" i="98"/>
  <c r="E14" i="98"/>
  <c r="AC13" i="98"/>
  <c r="X13" i="98"/>
  <c r="S13" i="98"/>
  <c r="N13" i="98"/>
  <c r="E13" i="98"/>
  <c r="AC12" i="98"/>
  <c r="X12" i="98"/>
  <c r="R12" i="98"/>
  <c r="Q12" i="98"/>
  <c r="BT12" i="98" s="1"/>
  <c r="M12" i="98"/>
  <c r="M8" i="98" s="1"/>
  <c r="E12" i="98"/>
  <c r="AC11" i="98"/>
  <c r="X11" i="98"/>
  <c r="S11" i="98"/>
  <c r="N11" i="98"/>
  <c r="E11" i="98"/>
  <c r="AC10" i="98"/>
  <c r="X10" i="98"/>
  <c r="S10" i="98"/>
  <c r="N10" i="98"/>
  <c r="E10" i="98"/>
  <c r="AC9" i="98"/>
  <c r="X9" i="98"/>
  <c r="S9" i="98"/>
  <c r="N9" i="98"/>
  <c r="E9" i="98"/>
  <c r="AB8" i="98"/>
  <c r="AA8" i="98"/>
  <c r="C8" i="98"/>
  <c r="AC7" i="98"/>
  <c r="X7" i="98"/>
  <c r="S7" i="98"/>
  <c r="N7" i="98"/>
  <c r="E7" i="98"/>
  <c r="AC6" i="98"/>
  <c r="AC5" i="98" s="1"/>
  <c r="V6" i="98"/>
  <c r="BT6" i="98" s="1"/>
  <c r="S6" i="98"/>
  <c r="S5" i="98" s="1"/>
  <c r="N6" i="98"/>
  <c r="N5" i="98" s="1"/>
  <c r="E6" i="98"/>
  <c r="AB5" i="98"/>
  <c r="AA5" i="98"/>
  <c r="W5" i="98"/>
  <c r="R5" i="98"/>
  <c r="Q5" i="98"/>
  <c r="M5" i="98"/>
  <c r="L5" i="98"/>
  <c r="E5" i="98"/>
  <c r="D5" i="98"/>
  <c r="C5" i="98"/>
  <c r="BK85" i="103"/>
  <c r="BJ85" i="103"/>
  <c r="BG85" i="103"/>
  <c r="BB85" i="103"/>
  <c r="AC85" i="103"/>
  <c r="X85" i="103"/>
  <c r="S85" i="103"/>
  <c r="N85" i="103"/>
  <c r="E85" i="103"/>
  <c r="BK82" i="103"/>
  <c r="BJ82" i="103"/>
  <c r="BG82" i="103"/>
  <c r="BB82" i="103"/>
  <c r="AC82" i="103"/>
  <c r="X82" i="103"/>
  <c r="S82" i="103"/>
  <c r="N82" i="103"/>
  <c r="E82" i="103"/>
  <c r="BK80" i="103"/>
  <c r="BJ80" i="103"/>
  <c r="BK79" i="103"/>
  <c r="BJ79" i="103"/>
  <c r="E79" i="103"/>
  <c r="BK78" i="103"/>
  <c r="BJ78" i="103"/>
  <c r="BG78" i="103"/>
  <c r="BG77" i="103" s="1"/>
  <c r="BB78" i="103"/>
  <c r="AC78" i="103"/>
  <c r="AC77" i="103" s="1"/>
  <c r="X78" i="103"/>
  <c r="S78" i="103"/>
  <c r="N78" i="103"/>
  <c r="E78" i="103"/>
  <c r="BF77" i="103"/>
  <c r="BE77" i="103"/>
  <c r="BB77" i="103"/>
  <c r="BA77" i="103"/>
  <c r="AZ77" i="103"/>
  <c r="AB77" i="103"/>
  <c r="AA77" i="103"/>
  <c r="W77" i="103"/>
  <c r="V77" i="103"/>
  <c r="S77" i="103"/>
  <c r="R77" i="103"/>
  <c r="Q77" i="103"/>
  <c r="N77" i="103"/>
  <c r="M77" i="103"/>
  <c r="L77" i="103"/>
  <c r="E77" i="103"/>
  <c r="D77" i="103"/>
  <c r="C77" i="103"/>
  <c r="BK74" i="103"/>
  <c r="BK73" i="103" s="1"/>
  <c r="BG74" i="103"/>
  <c r="BG73" i="103" s="1"/>
  <c r="BB74" i="103"/>
  <c r="AC74" i="103"/>
  <c r="AC73" i="103" s="1"/>
  <c r="X74" i="103"/>
  <c r="X73" i="103" s="1"/>
  <c r="S74" i="103"/>
  <c r="S73" i="103" s="1"/>
  <c r="L74" i="103"/>
  <c r="E74" i="103"/>
  <c r="E73" i="103" s="1"/>
  <c r="BF73" i="103"/>
  <c r="BE73" i="103"/>
  <c r="BB73" i="103"/>
  <c r="BA73" i="103"/>
  <c r="AZ73" i="103"/>
  <c r="AB73" i="103"/>
  <c r="AA73" i="103"/>
  <c r="W73" i="103"/>
  <c r="V73" i="103"/>
  <c r="R73" i="103"/>
  <c r="Q73" i="103"/>
  <c r="M73" i="103"/>
  <c r="D73" i="103"/>
  <c r="C73" i="103"/>
  <c r="BK72" i="103"/>
  <c r="BJ72" i="103"/>
  <c r="BL72" i="103" s="1"/>
  <c r="E72" i="103"/>
  <c r="BK71" i="103"/>
  <c r="BJ71" i="103"/>
  <c r="BG71" i="103"/>
  <c r="BB71" i="103"/>
  <c r="AC71" i="103"/>
  <c r="X71" i="103"/>
  <c r="S71" i="103"/>
  <c r="N71" i="103"/>
  <c r="E71" i="103"/>
  <c r="BK70" i="103"/>
  <c r="BJ70" i="103"/>
  <c r="BL70" i="103" s="1"/>
  <c r="BG70" i="103"/>
  <c r="BB70" i="103"/>
  <c r="AC70" i="103"/>
  <c r="X70" i="103"/>
  <c r="S70" i="103"/>
  <c r="N70" i="103"/>
  <c r="E70" i="103"/>
  <c r="BK69" i="103"/>
  <c r="BJ69" i="103"/>
  <c r="BG69" i="103"/>
  <c r="BB69" i="103"/>
  <c r="AC69" i="103"/>
  <c r="X69" i="103"/>
  <c r="S69" i="103"/>
  <c r="N69" i="103"/>
  <c r="E69" i="103"/>
  <c r="BK68" i="103"/>
  <c r="BJ68" i="103"/>
  <c r="BG68" i="103"/>
  <c r="BB68" i="103"/>
  <c r="AC68" i="103"/>
  <c r="X68" i="103"/>
  <c r="S68" i="103"/>
  <c r="N68" i="103"/>
  <c r="E68" i="103"/>
  <c r="BK67" i="103"/>
  <c r="BJ67" i="103"/>
  <c r="BG67" i="103"/>
  <c r="BB67" i="103"/>
  <c r="AC67" i="103"/>
  <c r="X67" i="103"/>
  <c r="S67" i="103"/>
  <c r="N67" i="103"/>
  <c r="E67" i="103"/>
  <c r="BK66" i="103"/>
  <c r="BJ66" i="103"/>
  <c r="BG66" i="103"/>
  <c r="BB66" i="103"/>
  <c r="AC66" i="103"/>
  <c r="X66" i="103"/>
  <c r="S66" i="103"/>
  <c r="N66" i="103"/>
  <c r="E66" i="103"/>
  <c r="BK65" i="103"/>
  <c r="BJ65" i="103"/>
  <c r="BG65" i="103"/>
  <c r="BB65" i="103"/>
  <c r="AC65" i="103"/>
  <c r="X65" i="103"/>
  <c r="S65" i="103"/>
  <c r="N65" i="103"/>
  <c r="E65" i="103"/>
  <c r="BK64" i="103"/>
  <c r="BJ64" i="103"/>
  <c r="BG64" i="103"/>
  <c r="BB64" i="103"/>
  <c r="AC64" i="103"/>
  <c r="X64" i="103"/>
  <c r="S64" i="103"/>
  <c r="N64" i="103"/>
  <c r="E64" i="103"/>
  <c r="BK63" i="103"/>
  <c r="BJ63" i="103"/>
  <c r="BG63" i="103"/>
  <c r="BB63" i="103"/>
  <c r="AC63" i="103"/>
  <c r="X63" i="103"/>
  <c r="S63" i="103"/>
  <c r="N63" i="103"/>
  <c r="E63" i="103"/>
  <c r="BK62" i="103"/>
  <c r="BJ62" i="103"/>
  <c r="BG62" i="103"/>
  <c r="BB62" i="103"/>
  <c r="AC62" i="103"/>
  <c r="X62" i="103"/>
  <c r="S62" i="103"/>
  <c r="N62" i="103"/>
  <c r="E62" i="103"/>
  <c r="BK61" i="103"/>
  <c r="BJ61" i="103"/>
  <c r="BG61" i="103"/>
  <c r="BB61" i="103"/>
  <c r="AC61" i="103"/>
  <c r="X61" i="103"/>
  <c r="S61" i="103"/>
  <c r="N61" i="103"/>
  <c r="E61" i="103"/>
  <c r="BK60" i="103"/>
  <c r="BJ60" i="103"/>
  <c r="BG60" i="103"/>
  <c r="BB60" i="103"/>
  <c r="AC60" i="103"/>
  <c r="X60" i="103"/>
  <c r="S60" i="103"/>
  <c r="N60" i="103"/>
  <c r="E60" i="103"/>
  <c r="BK59" i="103"/>
  <c r="BJ59" i="103"/>
  <c r="BG59" i="103"/>
  <c r="BB59" i="103"/>
  <c r="AC59" i="103"/>
  <c r="X59" i="103"/>
  <c r="S59" i="103"/>
  <c r="N59" i="103"/>
  <c r="E59" i="103"/>
  <c r="BK58" i="103"/>
  <c r="BJ58" i="103"/>
  <c r="BG58" i="103"/>
  <c r="BB58" i="103"/>
  <c r="AC58" i="103"/>
  <c r="X58" i="103"/>
  <c r="S58" i="103"/>
  <c r="N58" i="103"/>
  <c r="E58" i="103"/>
  <c r="BK57" i="103"/>
  <c r="BJ57" i="103"/>
  <c r="BG57" i="103"/>
  <c r="BB57" i="103"/>
  <c r="AC57" i="103"/>
  <c r="X57" i="103"/>
  <c r="S57" i="103"/>
  <c r="N57" i="103"/>
  <c r="E57" i="103"/>
  <c r="BK56" i="103"/>
  <c r="BJ56" i="103"/>
  <c r="BG56" i="103"/>
  <c r="BB56" i="103"/>
  <c r="AC56" i="103"/>
  <c r="X56" i="103"/>
  <c r="S56" i="103"/>
  <c r="N56" i="103"/>
  <c r="E56" i="103"/>
  <c r="BK55" i="103"/>
  <c r="BJ55" i="103"/>
  <c r="BG55" i="103"/>
  <c r="BB55" i="103"/>
  <c r="AC55" i="103"/>
  <c r="X55" i="103"/>
  <c r="S55" i="103"/>
  <c r="N55" i="103"/>
  <c r="E55" i="103"/>
  <c r="BF54" i="103"/>
  <c r="BE54" i="103"/>
  <c r="BA54" i="103"/>
  <c r="AZ54" i="103"/>
  <c r="AB54" i="103"/>
  <c r="AA54" i="103"/>
  <c r="W54" i="103"/>
  <c r="V54" i="103"/>
  <c r="R54" i="103"/>
  <c r="Q54" i="103"/>
  <c r="M54" i="103"/>
  <c r="L54" i="103"/>
  <c r="D54" i="103"/>
  <c r="C54" i="103"/>
  <c r="BK53" i="103"/>
  <c r="BJ53" i="103"/>
  <c r="BK52" i="103"/>
  <c r="BJ52" i="103"/>
  <c r="BG52" i="103"/>
  <c r="BB52" i="103"/>
  <c r="AC52" i="103"/>
  <c r="X52" i="103"/>
  <c r="S52" i="103"/>
  <c r="N52" i="103"/>
  <c r="E52" i="103"/>
  <c r="BK51" i="103"/>
  <c r="BJ51" i="103"/>
  <c r="BG51" i="103"/>
  <c r="BB51" i="103"/>
  <c r="AC51" i="103"/>
  <c r="X51" i="103"/>
  <c r="S51" i="103"/>
  <c r="N51" i="103"/>
  <c r="E51" i="103"/>
  <c r="BF50" i="103"/>
  <c r="BE50" i="103"/>
  <c r="BA50" i="103"/>
  <c r="AZ50" i="103"/>
  <c r="AB50" i="103"/>
  <c r="AA50" i="103"/>
  <c r="W50" i="103"/>
  <c r="V50" i="103"/>
  <c r="R50" i="103"/>
  <c r="Q50" i="103"/>
  <c r="M50" i="103"/>
  <c r="L50" i="103"/>
  <c r="D50" i="103"/>
  <c r="C50" i="103"/>
  <c r="BK49" i="103"/>
  <c r="BJ49" i="103"/>
  <c r="E49" i="103"/>
  <c r="BK48" i="103"/>
  <c r="BJ48" i="103"/>
  <c r="BG48" i="103"/>
  <c r="BB48" i="103"/>
  <c r="AC48" i="103"/>
  <c r="X48" i="103"/>
  <c r="S48" i="103"/>
  <c r="N48" i="103"/>
  <c r="E48" i="103"/>
  <c r="BK47" i="103"/>
  <c r="BJ47" i="103"/>
  <c r="BG47" i="103"/>
  <c r="BB47" i="103"/>
  <c r="AC47" i="103"/>
  <c r="X47" i="103"/>
  <c r="S47" i="103"/>
  <c r="N47" i="103"/>
  <c r="E47" i="103"/>
  <c r="BK46" i="103"/>
  <c r="BJ46" i="103"/>
  <c r="BG46" i="103"/>
  <c r="BB46" i="103"/>
  <c r="AC46" i="103"/>
  <c r="X46" i="103"/>
  <c r="S46" i="103"/>
  <c r="N46" i="103"/>
  <c r="E46" i="103"/>
  <c r="BK45" i="103"/>
  <c r="BJ45" i="103"/>
  <c r="BG45" i="103"/>
  <c r="BB45" i="103"/>
  <c r="AC45" i="103"/>
  <c r="X45" i="103"/>
  <c r="S45" i="103"/>
  <c r="N45" i="103"/>
  <c r="E45" i="103"/>
  <c r="BK44" i="103"/>
  <c r="BJ44" i="103"/>
  <c r="BG44" i="103"/>
  <c r="BB44" i="103"/>
  <c r="AC44" i="103"/>
  <c r="X44" i="103"/>
  <c r="S44" i="103"/>
  <c r="N44" i="103"/>
  <c r="E44" i="103"/>
  <c r="BK43" i="103"/>
  <c r="BJ43" i="103"/>
  <c r="BG43" i="103"/>
  <c r="BB43" i="103"/>
  <c r="AC43" i="103"/>
  <c r="X43" i="103"/>
  <c r="S43" i="103"/>
  <c r="N43" i="103"/>
  <c r="E43" i="103"/>
  <c r="BK42" i="103"/>
  <c r="BJ42" i="103"/>
  <c r="BG42" i="103"/>
  <c r="BB42" i="103"/>
  <c r="AC42" i="103"/>
  <c r="X42" i="103"/>
  <c r="S42" i="103"/>
  <c r="N42" i="103"/>
  <c r="E42" i="103"/>
  <c r="BF41" i="103"/>
  <c r="BE41" i="103"/>
  <c r="BA41" i="103"/>
  <c r="AZ41" i="103"/>
  <c r="AB41" i="103"/>
  <c r="AA41" i="103"/>
  <c r="W41" i="103"/>
  <c r="V41" i="103"/>
  <c r="R41" i="103"/>
  <c r="Q41" i="103"/>
  <c r="M41" i="103"/>
  <c r="L41" i="103"/>
  <c r="D41" i="103"/>
  <c r="C41" i="103"/>
  <c r="BK40" i="103"/>
  <c r="BJ40" i="103"/>
  <c r="BK37" i="103"/>
  <c r="BJ37" i="103"/>
  <c r="BK36" i="103"/>
  <c r="BJ36" i="103"/>
  <c r="BG36" i="103"/>
  <c r="BB36" i="103"/>
  <c r="AC36" i="103"/>
  <c r="X36" i="103"/>
  <c r="S36" i="103"/>
  <c r="N36" i="103"/>
  <c r="E36" i="103"/>
  <c r="E35" i="103" s="1"/>
  <c r="BF35" i="103"/>
  <c r="BE35" i="103"/>
  <c r="BA35" i="103"/>
  <c r="AZ35" i="103"/>
  <c r="AB35" i="103"/>
  <c r="AA35" i="103"/>
  <c r="W35" i="103"/>
  <c r="V35" i="103"/>
  <c r="R35" i="103"/>
  <c r="Q35" i="103"/>
  <c r="M35" i="103"/>
  <c r="L35" i="103"/>
  <c r="D35" i="103"/>
  <c r="C35" i="103"/>
  <c r="BK34" i="103"/>
  <c r="BJ34" i="103"/>
  <c r="BK33" i="103"/>
  <c r="BJ33" i="103"/>
  <c r="BG33" i="103"/>
  <c r="BB33" i="103"/>
  <c r="AC33" i="103"/>
  <c r="X33" i="103"/>
  <c r="S33" i="103"/>
  <c r="N33" i="103"/>
  <c r="E33" i="103"/>
  <c r="BK32" i="103"/>
  <c r="BJ32" i="103"/>
  <c r="BG32" i="103"/>
  <c r="BB32" i="103"/>
  <c r="AC32" i="103"/>
  <c r="X32" i="103"/>
  <c r="S32" i="103"/>
  <c r="N32" i="103"/>
  <c r="E32" i="103"/>
  <c r="BK31" i="103"/>
  <c r="BJ31" i="103"/>
  <c r="BG31" i="103"/>
  <c r="BB31" i="103"/>
  <c r="AC31" i="103"/>
  <c r="X31" i="103"/>
  <c r="S31" i="103"/>
  <c r="N31" i="103"/>
  <c r="D31" i="103"/>
  <c r="E31" i="103" s="1"/>
  <c r="BJ30" i="103"/>
  <c r="BG30" i="103"/>
  <c r="BB30" i="103"/>
  <c r="AC30" i="103"/>
  <c r="X30" i="103"/>
  <c r="R30" i="103"/>
  <c r="BK30" i="103" s="1"/>
  <c r="N30" i="103"/>
  <c r="D30" i="103"/>
  <c r="E30" i="103" s="1"/>
  <c r="BK29" i="103"/>
  <c r="BJ29" i="103"/>
  <c r="BG29" i="103"/>
  <c r="BB29" i="103"/>
  <c r="AC29" i="103"/>
  <c r="X29" i="103"/>
  <c r="S29" i="103"/>
  <c r="N29" i="103"/>
  <c r="E29" i="103"/>
  <c r="BK28" i="103"/>
  <c r="BG28" i="103"/>
  <c r="BB28" i="103"/>
  <c r="AA28" i="103"/>
  <c r="AC28" i="103" s="1"/>
  <c r="X28" i="103"/>
  <c r="Q28" i="103"/>
  <c r="S28" i="103" s="1"/>
  <c r="L28" i="103"/>
  <c r="C28" i="103"/>
  <c r="E28" i="103" s="1"/>
  <c r="BK27" i="103"/>
  <c r="BJ27" i="103"/>
  <c r="BG27" i="103"/>
  <c r="BB27" i="103"/>
  <c r="AC27" i="103"/>
  <c r="X27" i="103"/>
  <c r="S27" i="103"/>
  <c r="N27" i="103"/>
  <c r="E27" i="103"/>
  <c r="BG26" i="103"/>
  <c r="BB26" i="103"/>
  <c r="AA26" i="103"/>
  <c r="AC26" i="103" s="1"/>
  <c r="X26" i="103"/>
  <c r="Q26" i="103"/>
  <c r="S26" i="103" s="1"/>
  <c r="N26" i="103"/>
  <c r="E26" i="103"/>
  <c r="BK25" i="103"/>
  <c r="BG25" i="103"/>
  <c r="BB25" i="103"/>
  <c r="AA25" i="103"/>
  <c r="X25" i="103"/>
  <c r="Q25" i="103"/>
  <c r="S25" i="103" s="1"/>
  <c r="N25" i="103"/>
  <c r="E25" i="103"/>
  <c r="BK24" i="103"/>
  <c r="BG24" i="103"/>
  <c r="BB24" i="103"/>
  <c r="AC24" i="103"/>
  <c r="X24" i="103"/>
  <c r="S24" i="103"/>
  <c r="N24" i="103"/>
  <c r="E24" i="103"/>
  <c r="BK23" i="103"/>
  <c r="BJ23" i="103"/>
  <c r="E23" i="103"/>
  <c r="BK22" i="103"/>
  <c r="BJ22" i="103"/>
  <c r="BG22" i="103"/>
  <c r="BB22" i="103"/>
  <c r="AC22" i="103"/>
  <c r="X22" i="103"/>
  <c r="S22" i="103"/>
  <c r="N22" i="103"/>
  <c r="E22" i="103"/>
  <c r="BK21" i="103"/>
  <c r="BJ21" i="103"/>
  <c r="BG21" i="103"/>
  <c r="BB21" i="103"/>
  <c r="AC21" i="103"/>
  <c r="X21" i="103"/>
  <c r="S21" i="103"/>
  <c r="N21" i="103"/>
  <c r="E21" i="103"/>
  <c r="BK20" i="103"/>
  <c r="BJ20" i="103"/>
  <c r="BG20" i="103"/>
  <c r="BB20" i="103"/>
  <c r="AC20" i="103"/>
  <c r="X20" i="103"/>
  <c r="S20" i="103"/>
  <c r="N20" i="103"/>
  <c r="E20" i="103"/>
  <c r="BK19" i="103"/>
  <c r="BJ19" i="103"/>
  <c r="BG19" i="103"/>
  <c r="BB19" i="103"/>
  <c r="AC19" i="103"/>
  <c r="X19" i="103"/>
  <c r="S19" i="103"/>
  <c r="N19" i="103"/>
  <c r="E19" i="103"/>
  <c r="BK18" i="103"/>
  <c r="BG18" i="103"/>
  <c r="BB18" i="103"/>
  <c r="AA18" i="103"/>
  <c r="BJ18" i="103" s="1"/>
  <c r="X18" i="103"/>
  <c r="S18" i="103"/>
  <c r="N18" i="103"/>
  <c r="E18" i="103"/>
  <c r="BK17" i="103"/>
  <c r="BJ17" i="103"/>
  <c r="BG17" i="103"/>
  <c r="BB17" i="103"/>
  <c r="AC17" i="103"/>
  <c r="X17" i="103"/>
  <c r="S17" i="103"/>
  <c r="N17" i="103"/>
  <c r="E17" i="103"/>
  <c r="BJ16" i="103"/>
  <c r="BG16" i="103"/>
  <c r="BB16" i="103"/>
  <c r="AB16" i="103"/>
  <c r="AC16" i="103" s="1"/>
  <c r="X16" i="103"/>
  <c r="S16" i="103"/>
  <c r="N16" i="103"/>
  <c r="E16" i="103"/>
  <c r="BK15" i="103"/>
  <c r="BJ15" i="103"/>
  <c r="BG15" i="103"/>
  <c r="BB15" i="103"/>
  <c r="AC15" i="103"/>
  <c r="X15" i="103"/>
  <c r="S15" i="103"/>
  <c r="N15" i="103"/>
  <c r="E15" i="103"/>
  <c r="BK14" i="103"/>
  <c r="BJ14" i="103"/>
  <c r="BG14" i="103"/>
  <c r="BB14" i="103"/>
  <c r="AC14" i="103"/>
  <c r="X14" i="103"/>
  <c r="S14" i="103"/>
  <c r="N14" i="103"/>
  <c r="E14" i="103"/>
  <c r="BK13" i="103"/>
  <c r="BJ13" i="103"/>
  <c r="BG13" i="103"/>
  <c r="BB13" i="103"/>
  <c r="AC13" i="103"/>
  <c r="X13" i="103"/>
  <c r="S13" i="103"/>
  <c r="N13" i="103"/>
  <c r="E13" i="103"/>
  <c r="BK12" i="103"/>
  <c r="BJ12" i="103"/>
  <c r="BG12" i="103"/>
  <c r="BB12" i="103"/>
  <c r="AC12" i="103"/>
  <c r="X12" i="103"/>
  <c r="S12" i="103"/>
  <c r="N12" i="103"/>
  <c r="E12" i="103"/>
  <c r="BK11" i="103"/>
  <c r="BJ11" i="103"/>
  <c r="BG11" i="103"/>
  <c r="BB11" i="103"/>
  <c r="AC11" i="103"/>
  <c r="X11" i="103"/>
  <c r="S11" i="103"/>
  <c r="N11" i="103"/>
  <c r="E11" i="103"/>
  <c r="BK10" i="103"/>
  <c r="BJ10" i="103"/>
  <c r="BG10" i="103"/>
  <c r="BB10" i="103"/>
  <c r="AC10" i="103"/>
  <c r="X10" i="103"/>
  <c r="S10" i="103"/>
  <c r="N10" i="103"/>
  <c r="E10" i="103"/>
  <c r="BK9" i="103"/>
  <c r="BJ9" i="103"/>
  <c r="BG9" i="103"/>
  <c r="BB9" i="103"/>
  <c r="AC9" i="103"/>
  <c r="X9" i="103"/>
  <c r="S9" i="103"/>
  <c r="N9" i="103"/>
  <c r="E9" i="103"/>
  <c r="BF8" i="103"/>
  <c r="BE8" i="103"/>
  <c r="BA8" i="103"/>
  <c r="AZ8" i="103"/>
  <c r="W8" i="103"/>
  <c r="V8" i="103"/>
  <c r="R8" i="103"/>
  <c r="M8" i="103"/>
  <c r="D8" i="103"/>
  <c r="BK7" i="103"/>
  <c r="BJ7" i="103"/>
  <c r="BG7" i="103"/>
  <c r="BB7" i="103"/>
  <c r="AC7" i="103"/>
  <c r="X7" i="103"/>
  <c r="S7" i="103"/>
  <c r="N7" i="103"/>
  <c r="E7" i="103"/>
  <c r="BK6" i="103"/>
  <c r="BG6" i="103"/>
  <c r="BB6" i="103"/>
  <c r="AA6" i="103"/>
  <c r="AC6" i="103" s="1"/>
  <c r="X6" i="103"/>
  <c r="X5" i="103" s="1"/>
  <c r="S6" i="103"/>
  <c r="S5" i="103" s="1"/>
  <c r="N6" i="103"/>
  <c r="N5" i="103" s="1"/>
  <c r="E6" i="103"/>
  <c r="E5" i="103" s="1"/>
  <c r="BF5" i="103"/>
  <c r="BF38" i="103" s="1"/>
  <c r="BE5" i="103"/>
  <c r="BE38" i="103" s="1"/>
  <c r="BA5" i="103"/>
  <c r="BA38" i="103" s="1"/>
  <c r="AZ5" i="103"/>
  <c r="AZ38" i="103" s="1"/>
  <c r="AB5" i="103"/>
  <c r="W5" i="103"/>
  <c r="W38" i="103" s="1"/>
  <c r="V5" i="103"/>
  <c r="R5" i="103"/>
  <c r="Q5" i="103"/>
  <c r="M5" i="103"/>
  <c r="L5" i="103"/>
  <c r="D5" i="103"/>
  <c r="C5" i="103"/>
  <c r="G96" i="127"/>
  <c r="G92" i="127"/>
  <c r="G93" i="127" s="1"/>
  <c r="AW85" i="127"/>
  <c r="AR85" i="127"/>
  <c r="AM85" i="127"/>
  <c r="AH85" i="127"/>
  <c r="I85" i="127"/>
  <c r="E85" i="127"/>
  <c r="AW82" i="127"/>
  <c r="AR82" i="127"/>
  <c r="AM82" i="127"/>
  <c r="AH82" i="127"/>
  <c r="I82" i="127"/>
  <c r="BB82" i="127" s="1"/>
  <c r="E82" i="127"/>
  <c r="BA80" i="127"/>
  <c r="AZ80" i="127"/>
  <c r="E79" i="127"/>
  <c r="AW78" i="127"/>
  <c r="AW77" i="127" s="1"/>
  <c r="AR78" i="127"/>
  <c r="AM78" i="127"/>
  <c r="AM77" i="127" s="1"/>
  <c r="AH78" i="127"/>
  <c r="I78" i="127"/>
  <c r="I77" i="127" s="1"/>
  <c r="E78" i="127"/>
  <c r="BA77" i="127"/>
  <c r="AV77" i="127"/>
  <c r="AU77" i="127"/>
  <c r="AQ77" i="127"/>
  <c r="AP77" i="127"/>
  <c r="AL77" i="127"/>
  <c r="AK77" i="127"/>
  <c r="AG77" i="127"/>
  <c r="AF77" i="127"/>
  <c r="H77" i="127"/>
  <c r="G77" i="127"/>
  <c r="D77" i="127"/>
  <c r="C77" i="127"/>
  <c r="BA73" i="127"/>
  <c r="BB74" i="127"/>
  <c r="AW74" i="127"/>
  <c r="AR74" i="127"/>
  <c r="AR73" i="127" s="1"/>
  <c r="AM74" i="127"/>
  <c r="AH74" i="127"/>
  <c r="I74" i="127"/>
  <c r="E74" i="127"/>
  <c r="E73" i="127" s="1"/>
  <c r="AV73" i="127"/>
  <c r="AU73" i="127"/>
  <c r="AQ73" i="127"/>
  <c r="AP73" i="127"/>
  <c r="AL73" i="127"/>
  <c r="AK73" i="127"/>
  <c r="AH73" i="127"/>
  <c r="AG73" i="127"/>
  <c r="AF73" i="127"/>
  <c r="H73" i="127"/>
  <c r="G73" i="127"/>
  <c r="D73" i="127"/>
  <c r="C73" i="127"/>
  <c r="BA72" i="127"/>
  <c r="AZ72" i="127"/>
  <c r="AX72" i="127"/>
  <c r="AS72" i="127"/>
  <c r="AN72" i="127"/>
  <c r="AI72" i="127"/>
  <c r="J72" i="127"/>
  <c r="AW71" i="127"/>
  <c r="AR71" i="127"/>
  <c r="AM71" i="127"/>
  <c r="AH71" i="127"/>
  <c r="I71" i="127"/>
  <c r="E71" i="127"/>
  <c r="AW70" i="127"/>
  <c r="AR70" i="127"/>
  <c r="AM70" i="127"/>
  <c r="AH70" i="127"/>
  <c r="I70" i="127"/>
  <c r="E70" i="127"/>
  <c r="AW69" i="127"/>
  <c r="AR69" i="127"/>
  <c r="AM69" i="127"/>
  <c r="AH69" i="127"/>
  <c r="I69" i="127"/>
  <c r="E69" i="127"/>
  <c r="AW68" i="127"/>
  <c r="AR68" i="127"/>
  <c r="AM68" i="127"/>
  <c r="AH68" i="127"/>
  <c r="I68" i="127"/>
  <c r="E68" i="127"/>
  <c r="AW67" i="127"/>
  <c r="AR67" i="127"/>
  <c r="AM67" i="127"/>
  <c r="AH67" i="127"/>
  <c r="I67" i="127"/>
  <c r="E67" i="127"/>
  <c r="AW66" i="127"/>
  <c r="AR66" i="127"/>
  <c r="AM66" i="127"/>
  <c r="AH66" i="127"/>
  <c r="I66" i="127"/>
  <c r="E66" i="127"/>
  <c r="AW65" i="127"/>
  <c r="AR65" i="127"/>
  <c r="AM65" i="127"/>
  <c r="AH65" i="127"/>
  <c r="I65" i="127"/>
  <c r="E65" i="127"/>
  <c r="AW64" i="127"/>
  <c r="AR64" i="127"/>
  <c r="AM64" i="127"/>
  <c r="AH64" i="127"/>
  <c r="I64" i="127"/>
  <c r="E64" i="127"/>
  <c r="AW63" i="127"/>
  <c r="AR63" i="127"/>
  <c r="AM63" i="127"/>
  <c r="AH63" i="127"/>
  <c r="I63" i="127"/>
  <c r="E63" i="127"/>
  <c r="AW62" i="127"/>
  <c r="AR62" i="127"/>
  <c r="AM62" i="127"/>
  <c r="AH62" i="127"/>
  <c r="I62" i="127"/>
  <c r="E62" i="127"/>
  <c r="AW61" i="127"/>
  <c r="AR61" i="127"/>
  <c r="AM61" i="127"/>
  <c r="AH61" i="127"/>
  <c r="I61" i="127"/>
  <c r="E61" i="127"/>
  <c r="AW60" i="127"/>
  <c r="AR60" i="127"/>
  <c r="AM60" i="127"/>
  <c r="AH60" i="127"/>
  <c r="I60" i="127"/>
  <c r="E60" i="127"/>
  <c r="AW59" i="127"/>
  <c r="AR59" i="127"/>
  <c r="AM59" i="127"/>
  <c r="AH59" i="127"/>
  <c r="I59" i="127"/>
  <c r="E59" i="127"/>
  <c r="AW58" i="127"/>
  <c r="AR58" i="127"/>
  <c r="AM58" i="127"/>
  <c r="AH58" i="127"/>
  <c r="I58" i="127"/>
  <c r="E58" i="127"/>
  <c r="AW57" i="127"/>
  <c r="AR57" i="127"/>
  <c r="AM57" i="127"/>
  <c r="AH57" i="127"/>
  <c r="I57" i="127"/>
  <c r="E57" i="127"/>
  <c r="AW56" i="127"/>
  <c r="AR56" i="127"/>
  <c r="AM56" i="127"/>
  <c r="AH56" i="127"/>
  <c r="I56" i="127"/>
  <c r="E56" i="127"/>
  <c r="BB55" i="127"/>
  <c r="AW55" i="127"/>
  <c r="AR55" i="127"/>
  <c r="AM55" i="127"/>
  <c r="AH55" i="127"/>
  <c r="I55" i="127"/>
  <c r="I54" i="127" s="1"/>
  <c r="E55" i="127"/>
  <c r="E54" i="127" s="1"/>
  <c r="AV54" i="127"/>
  <c r="AU54" i="127"/>
  <c r="AQ54" i="127"/>
  <c r="AP54" i="127"/>
  <c r="AL54" i="127"/>
  <c r="AK54" i="127"/>
  <c r="AG54" i="127"/>
  <c r="AF54" i="127"/>
  <c r="H54" i="127"/>
  <c r="G54" i="127"/>
  <c r="D54" i="127"/>
  <c r="C54" i="127"/>
  <c r="BA53" i="127"/>
  <c r="AZ53" i="127"/>
  <c r="AW52" i="127"/>
  <c r="AR52" i="127"/>
  <c r="AM52" i="127"/>
  <c r="AH52" i="127"/>
  <c r="I52" i="127"/>
  <c r="E52" i="127"/>
  <c r="BA50" i="127"/>
  <c r="AW51" i="127"/>
  <c r="AR51" i="127"/>
  <c r="AM51" i="127"/>
  <c r="AH51" i="127"/>
  <c r="I51" i="127"/>
  <c r="J51" i="127" s="1"/>
  <c r="E51" i="127"/>
  <c r="AV50" i="127"/>
  <c r="AU50" i="127"/>
  <c r="AR50" i="127"/>
  <c r="AQ50" i="127"/>
  <c r="AP50" i="127"/>
  <c r="AL50" i="127"/>
  <c r="AK50" i="127"/>
  <c r="AG50" i="127"/>
  <c r="AF50" i="127"/>
  <c r="H50" i="127"/>
  <c r="G50" i="127"/>
  <c r="D50" i="127"/>
  <c r="C50" i="127"/>
  <c r="BA49" i="127"/>
  <c r="AZ49" i="127"/>
  <c r="AX49" i="127"/>
  <c r="AS49" i="127"/>
  <c r="AN49" i="127"/>
  <c r="AI49" i="127"/>
  <c r="J49" i="127"/>
  <c r="AW48" i="127"/>
  <c r="AR48" i="127"/>
  <c r="AM48" i="127"/>
  <c r="AH48" i="127"/>
  <c r="I48" i="127"/>
  <c r="E48" i="127"/>
  <c r="AW47" i="127"/>
  <c r="AR47" i="127"/>
  <c r="AM47" i="127"/>
  <c r="AH47" i="127"/>
  <c r="I47" i="127"/>
  <c r="E47" i="127"/>
  <c r="AW46" i="127"/>
  <c r="AR46" i="127"/>
  <c r="AM46" i="127"/>
  <c r="AH46" i="127"/>
  <c r="I46" i="127"/>
  <c r="E46" i="127"/>
  <c r="AW45" i="127"/>
  <c r="AR45" i="127"/>
  <c r="AM45" i="127"/>
  <c r="AH45" i="127"/>
  <c r="I45" i="127"/>
  <c r="E45" i="127"/>
  <c r="AW44" i="127"/>
  <c r="AR44" i="127"/>
  <c r="AM44" i="127"/>
  <c r="AH44" i="127"/>
  <c r="I44" i="127"/>
  <c r="E44" i="127"/>
  <c r="AW43" i="127"/>
  <c r="AR43" i="127"/>
  <c r="AM43" i="127"/>
  <c r="AH43" i="127"/>
  <c r="I43" i="127"/>
  <c r="E43" i="127"/>
  <c r="BA41" i="127"/>
  <c r="AW42" i="127"/>
  <c r="AR42" i="127"/>
  <c r="AM42" i="127"/>
  <c r="AH42" i="127"/>
  <c r="I42" i="127"/>
  <c r="E42" i="127"/>
  <c r="AV41" i="127"/>
  <c r="AU41" i="127"/>
  <c r="AQ41" i="127"/>
  <c r="AP41" i="127"/>
  <c r="AL41" i="127"/>
  <c r="AK41" i="127"/>
  <c r="AG41" i="127"/>
  <c r="AF41" i="127"/>
  <c r="H41" i="127"/>
  <c r="G41" i="127"/>
  <c r="D41" i="127"/>
  <c r="C41" i="127"/>
  <c r="BA40" i="127"/>
  <c r="AZ40" i="127"/>
  <c r="BA37" i="127"/>
  <c r="AZ37" i="127"/>
  <c r="AW36" i="127"/>
  <c r="AR36" i="127"/>
  <c r="AM36" i="127"/>
  <c r="AH36" i="127"/>
  <c r="I36" i="127"/>
  <c r="I35" i="127" s="1"/>
  <c r="E36" i="127"/>
  <c r="E35" i="127" s="1"/>
  <c r="H35" i="127"/>
  <c r="BA35" i="127" s="1"/>
  <c r="G35" i="127"/>
  <c r="AZ35" i="127" s="1"/>
  <c r="D35" i="127"/>
  <c r="C35" i="127"/>
  <c r="BA34" i="127"/>
  <c r="AZ34" i="127"/>
  <c r="BB33" i="127"/>
  <c r="AW33" i="127"/>
  <c r="AR33" i="127"/>
  <c r="AM33" i="127"/>
  <c r="AH33" i="127"/>
  <c r="I33" i="127"/>
  <c r="E33" i="127"/>
  <c r="BB32" i="127"/>
  <c r="AW32" i="127"/>
  <c r="AR32" i="127"/>
  <c r="AM32" i="127"/>
  <c r="AH32" i="127"/>
  <c r="I32" i="127"/>
  <c r="E32" i="127"/>
  <c r="AW31" i="127"/>
  <c r="AR31" i="127"/>
  <c r="AM31" i="127"/>
  <c r="AH31" i="127"/>
  <c r="I31" i="127"/>
  <c r="E31" i="127"/>
  <c r="AW30" i="127"/>
  <c r="AR30" i="127"/>
  <c r="AM30" i="127"/>
  <c r="AH30" i="127"/>
  <c r="I30" i="127"/>
  <c r="E30" i="127"/>
  <c r="AW29" i="127"/>
  <c r="AR29" i="127"/>
  <c r="AM29" i="127"/>
  <c r="AH29" i="127"/>
  <c r="I29" i="127"/>
  <c r="E29" i="127"/>
  <c r="AW28" i="127"/>
  <c r="AR28" i="127"/>
  <c r="AM28" i="127"/>
  <c r="AH28" i="127"/>
  <c r="I28" i="127"/>
  <c r="E28" i="127"/>
  <c r="AW27" i="127"/>
  <c r="AR27" i="127"/>
  <c r="AM27" i="127"/>
  <c r="AH27" i="127"/>
  <c r="I27" i="127"/>
  <c r="E27" i="127"/>
  <c r="AW26" i="127"/>
  <c r="AR26" i="127"/>
  <c r="AM26" i="127"/>
  <c r="AH26" i="127"/>
  <c r="I26" i="127"/>
  <c r="E26" i="127"/>
  <c r="AW25" i="127"/>
  <c r="AR25" i="127"/>
  <c r="AM25" i="127"/>
  <c r="AH25" i="127"/>
  <c r="I25" i="127"/>
  <c r="E25" i="127"/>
  <c r="AW24" i="127"/>
  <c r="AR24" i="127"/>
  <c r="AM24" i="127"/>
  <c r="AH24" i="127"/>
  <c r="I24" i="127"/>
  <c r="E24" i="127"/>
  <c r="AW23" i="127"/>
  <c r="AR23" i="127"/>
  <c r="AM23" i="127"/>
  <c r="AH23" i="127"/>
  <c r="I23" i="127"/>
  <c r="AW22" i="127"/>
  <c r="AR22" i="127"/>
  <c r="AM22" i="127"/>
  <c r="AH22" i="127"/>
  <c r="I22" i="127"/>
  <c r="AW21" i="127"/>
  <c r="AR21" i="127"/>
  <c r="AM21" i="127"/>
  <c r="AH21" i="127"/>
  <c r="I21" i="127"/>
  <c r="E21" i="127"/>
  <c r="BB20" i="127"/>
  <c r="AW20" i="127"/>
  <c r="AR20" i="127"/>
  <c r="AM20" i="127"/>
  <c r="AH20" i="127"/>
  <c r="I20" i="127"/>
  <c r="E20" i="127"/>
  <c r="AW19" i="127"/>
  <c r="AR19" i="127"/>
  <c r="AM19" i="127"/>
  <c r="AH19" i="127"/>
  <c r="I19" i="127"/>
  <c r="E19" i="127"/>
  <c r="AW18" i="127"/>
  <c r="AR18" i="127"/>
  <c r="AM18" i="127"/>
  <c r="AH18" i="127"/>
  <c r="I18" i="127"/>
  <c r="E18" i="127"/>
  <c r="AW17" i="127"/>
  <c r="AR17" i="127"/>
  <c r="AM17" i="127"/>
  <c r="AH17" i="127"/>
  <c r="I17" i="127"/>
  <c r="E17" i="127"/>
  <c r="AW16" i="127"/>
  <c r="AR16" i="127"/>
  <c r="AM16" i="127"/>
  <c r="AH16" i="127"/>
  <c r="I16" i="127"/>
  <c r="E16" i="127"/>
  <c r="AW15" i="127"/>
  <c r="AR15" i="127"/>
  <c r="AM15" i="127"/>
  <c r="AH15" i="127"/>
  <c r="I15" i="127"/>
  <c r="E15" i="127"/>
  <c r="AW14" i="127"/>
  <c r="AR14" i="127"/>
  <c r="AM14" i="127"/>
  <c r="AH14" i="127"/>
  <c r="I14" i="127"/>
  <c r="E14" i="127"/>
  <c r="AW13" i="127"/>
  <c r="AR13" i="127"/>
  <c r="AM13" i="127"/>
  <c r="AH13" i="127"/>
  <c r="I13" i="127"/>
  <c r="E13" i="127"/>
  <c r="AW12" i="127"/>
  <c r="AR12" i="127"/>
  <c r="AM12" i="127"/>
  <c r="AH12" i="127"/>
  <c r="I12" i="127"/>
  <c r="E12" i="127"/>
  <c r="BB11" i="127"/>
  <c r="AW11" i="127"/>
  <c r="AR11" i="127"/>
  <c r="AM11" i="127"/>
  <c r="AH11" i="127"/>
  <c r="I11" i="127"/>
  <c r="E11" i="127"/>
  <c r="AW10" i="127"/>
  <c r="AR10" i="127"/>
  <c r="AM10" i="127"/>
  <c r="AH10" i="127"/>
  <c r="I10" i="127"/>
  <c r="E10" i="127"/>
  <c r="AW9" i="127"/>
  <c r="AR9" i="127"/>
  <c r="AM9" i="127"/>
  <c r="AH9" i="127"/>
  <c r="I9" i="127"/>
  <c r="E9" i="127"/>
  <c r="AV8" i="127"/>
  <c r="AU8" i="127"/>
  <c r="AQ8" i="127"/>
  <c r="AP8" i="127"/>
  <c r="AL8" i="127"/>
  <c r="AK8" i="127"/>
  <c r="AG8" i="127"/>
  <c r="AF8" i="127"/>
  <c r="H8" i="127"/>
  <c r="G8" i="127"/>
  <c r="D8" i="127"/>
  <c r="C8" i="127"/>
  <c r="AW7" i="127"/>
  <c r="AR7" i="127"/>
  <c r="AM7" i="127"/>
  <c r="AH7" i="127"/>
  <c r="I7" i="127"/>
  <c r="E7" i="127"/>
  <c r="BA5" i="127"/>
  <c r="AW6" i="127"/>
  <c r="AW5" i="127" s="1"/>
  <c r="AR6" i="127"/>
  <c r="AR5" i="127" s="1"/>
  <c r="AM6" i="127"/>
  <c r="AM5" i="127" s="1"/>
  <c r="AH6" i="127"/>
  <c r="I6" i="127"/>
  <c r="I5" i="127" s="1"/>
  <c r="E6" i="127"/>
  <c r="E5" i="127" s="1"/>
  <c r="AV5" i="127"/>
  <c r="AU5" i="127"/>
  <c r="AU38" i="127" s="1"/>
  <c r="AQ5" i="127"/>
  <c r="AP5" i="127"/>
  <c r="AP38" i="127" s="1"/>
  <c r="AL5" i="127"/>
  <c r="AK5" i="127"/>
  <c r="AH5" i="127"/>
  <c r="AG5" i="127"/>
  <c r="AF5" i="127"/>
  <c r="H5" i="127"/>
  <c r="G5" i="127"/>
  <c r="G38" i="127" s="1"/>
  <c r="D5" i="127"/>
  <c r="C5" i="127"/>
  <c r="AM54" i="127" l="1"/>
  <c r="BK35" i="103"/>
  <c r="AA38" i="98"/>
  <c r="AA75" i="98" s="1"/>
  <c r="X54" i="98"/>
  <c r="AH54" i="127"/>
  <c r="BB5" i="103"/>
  <c r="BK5" i="103"/>
  <c r="BL17" i="103"/>
  <c r="BL22" i="103"/>
  <c r="BL29" i="103"/>
  <c r="BL42" i="103"/>
  <c r="BL46" i="103"/>
  <c r="N54" i="103"/>
  <c r="BB54" i="103"/>
  <c r="BL65" i="103"/>
  <c r="BJ6" i="103"/>
  <c r="I41" i="127"/>
  <c r="AW41" i="127"/>
  <c r="AW50" i="127"/>
  <c r="BG5" i="103"/>
  <c r="BL18" i="103"/>
  <c r="BG54" i="103"/>
  <c r="AB38" i="98"/>
  <c r="L8" i="98"/>
  <c r="AC8" i="98"/>
  <c r="S28" i="98"/>
  <c r="V38" i="103"/>
  <c r="BL7" i="103"/>
  <c r="BL48" i="103"/>
  <c r="BJ77" i="103"/>
  <c r="BL85" i="103"/>
  <c r="V8" i="98"/>
  <c r="E41" i="98"/>
  <c r="E54" i="98"/>
  <c r="BL12" i="103"/>
  <c r="BL27" i="103"/>
  <c r="AC54" i="103"/>
  <c r="S26" i="98"/>
  <c r="BT26" i="98"/>
  <c r="BV26" i="98" s="1"/>
  <c r="AW54" i="127"/>
  <c r="BV6" i="98"/>
  <c r="BV5" i="98" s="1"/>
  <c r="BT5" i="98"/>
  <c r="R8" i="98"/>
  <c r="BU28" i="98"/>
  <c r="Q54" i="98"/>
  <c r="H38" i="127"/>
  <c r="AU75" i="127"/>
  <c r="AM50" i="127"/>
  <c r="BL23" i="103"/>
  <c r="BJ35" i="103"/>
  <c r="BL36" i="103"/>
  <c r="E54" i="103"/>
  <c r="BL66" i="103"/>
  <c r="C38" i="98"/>
  <c r="M38" i="98"/>
  <c r="V5" i="98"/>
  <c r="BU16" i="98"/>
  <c r="BV16" i="98" s="1"/>
  <c r="BT28" i="98"/>
  <c r="BV47" i="98"/>
  <c r="BT41" i="98"/>
  <c r="N12" i="98"/>
  <c r="BU12" i="98"/>
  <c r="BV63" i="98"/>
  <c r="M38" i="103"/>
  <c r="BJ26" i="103"/>
  <c r="S21" i="98"/>
  <c r="AF38" i="127"/>
  <c r="AR54" i="127"/>
  <c r="BJ41" i="103"/>
  <c r="BL47" i="103"/>
  <c r="BK50" i="103"/>
  <c r="BL52" i="103"/>
  <c r="BL71" i="103"/>
  <c r="Q8" i="98"/>
  <c r="S16" i="98"/>
  <c r="S25" i="98"/>
  <c r="S30" i="98"/>
  <c r="BU30" i="98"/>
  <c r="BV30" i="98" s="1"/>
  <c r="S47" i="98"/>
  <c r="AC50" i="98"/>
  <c r="BT65" i="98"/>
  <c r="BV65" i="98" s="1"/>
  <c r="BB13" i="127"/>
  <c r="BB57" i="127"/>
  <c r="AZ73" i="127"/>
  <c r="AZ77" i="127"/>
  <c r="BB15" i="127"/>
  <c r="BB24" i="127"/>
  <c r="BB36" i="127"/>
  <c r="BB14" i="127"/>
  <c r="BB23" i="127"/>
  <c r="BB85" i="127"/>
  <c r="BB6" i="127"/>
  <c r="BB7" i="127"/>
  <c r="BB12" i="127"/>
  <c r="BB28" i="127"/>
  <c r="BB66" i="127"/>
  <c r="BB67" i="127"/>
  <c r="BB68" i="127"/>
  <c r="BB69" i="127"/>
  <c r="BL10" i="103"/>
  <c r="BL14" i="103"/>
  <c r="BL15" i="103"/>
  <c r="BL30" i="103"/>
  <c r="BL33" i="103"/>
  <c r="BL44" i="103"/>
  <c r="BL67" i="103"/>
  <c r="BL31" i="103"/>
  <c r="BL43" i="103"/>
  <c r="BL53" i="103"/>
  <c r="BL69" i="103"/>
  <c r="BB18" i="127"/>
  <c r="C38" i="127"/>
  <c r="C75" i="127" s="1"/>
  <c r="AV38" i="127"/>
  <c r="AV75" i="127" s="1"/>
  <c r="E8" i="127"/>
  <c r="AR8" i="127"/>
  <c r="BB27" i="127"/>
  <c r="AH50" i="127"/>
  <c r="BB58" i="127"/>
  <c r="BB59" i="127"/>
  <c r="BB60" i="127"/>
  <c r="BB61" i="127"/>
  <c r="BB62" i="127"/>
  <c r="BB63" i="127"/>
  <c r="BB64" i="127"/>
  <c r="BB70" i="127"/>
  <c r="BB71" i="127"/>
  <c r="R38" i="103"/>
  <c r="Q8" i="103"/>
  <c r="Q38" i="103" s="1"/>
  <c r="AB8" i="103"/>
  <c r="BL19" i="103"/>
  <c r="BL20" i="103"/>
  <c r="BK54" i="103"/>
  <c r="BL58" i="103"/>
  <c r="BL62" i="103"/>
  <c r="BL68" i="103"/>
  <c r="BL82" i="103"/>
  <c r="Q38" i="98"/>
  <c r="Q75" i="98" s="1"/>
  <c r="AB38" i="103"/>
  <c r="AB75" i="103" s="1"/>
  <c r="BB8" i="103"/>
  <c r="BB38" i="103" s="1"/>
  <c r="BB39" i="103" s="1"/>
  <c r="E8" i="103"/>
  <c r="R38" i="98"/>
  <c r="R75" i="98" s="1"/>
  <c r="S23" i="98"/>
  <c r="D38" i="127"/>
  <c r="AH8" i="127"/>
  <c r="BB9" i="127"/>
  <c r="BB10" i="127"/>
  <c r="BB17" i="127"/>
  <c r="BB21" i="127"/>
  <c r="BB43" i="127"/>
  <c r="BB45" i="127"/>
  <c r="BB47" i="127"/>
  <c r="BB78" i="127"/>
  <c r="AC5" i="103"/>
  <c r="L8" i="103"/>
  <c r="L38" i="103" s="1"/>
  <c r="BG8" i="103"/>
  <c r="BG38" i="103" s="1"/>
  <c r="BG39" i="103" s="1"/>
  <c r="BL21" i="103"/>
  <c r="AC25" i="103"/>
  <c r="BK26" i="103"/>
  <c r="BL26" i="103" s="1"/>
  <c r="N28" i="103"/>
  <c r="N8" i="103" s="1"/>
  <c r="N38" i="103" s="1"/>
  <c r="BK41" i="103"/>
  <c r="BL45" i="103"/>
  <c r="BL56" i="103"/>
  <c r="BL60" i="103"/>
  <c r="BL64" i="103"/>
  <c r="X16" i="98"/>
  <c r="BB16" i="127"/>
  <c r="AM8" i="127"/>
  <c r="AM38" i="127" s="1"/>
  <c r="AM39" i="127" s="1"/>
  <c r="D38" i="103"/>
  <c r="BK16" i="103"/>
  <c r="BL16" i="103" s="1"/>
  <c r="X8" i="103"/>
  <c r="X38" i="103" s="1"/>
  <c r="X6" i="98"/>
  <c r="X5" i="98" s="1"/>
  <c r="S12" i="98"/>
  <c r="N65" i="98"/>
  <c r="C73" i="98"/>
  <c r="AC38" i="98"/>
  <c r="C75" i="98"/>
  <c r="C39" i="98"/>
  <c r="M75" i="98"/>
  <c r="M39" i="98"/>
  <c r="L38" i="98"/>
  <c r="S18" i="98"/>
  <c r="AA81" i="98"/>
  <c r="AA83" i="98" s="1"/>
  <c r="AA84" i="98" s="1"/>
  <c r="AA86" i="98" s="1"/>
  <c r="AA87" i="98" s="1"/>
  <c r="AA76" i="98"/>
  <c r="S24" i="98"/>
  <c r="V38" i="98"/>
  <c r="AB75" i="98"/>
  <c r="AB39" i="98"/>
  <c r="D8" i="98"/>
  <c r="D38" i="98" s="1"/>
  <c r="N29" i="98"/>
  <c r="N41" i="98"/>
  <c r="W38" i="98"/>
  <c r="X8" i="98"/>
  <c r="S22" i="98"/>
  <c r="E28" i="98"/>
  <c r="AA39" i="98"/>
  <c r="AC41" i="98"/>
  <c r="E50" i="98"/>
  <c r="S41" i="98"/>
  <c r="S50" i="98"/>
  <c r="N63" i="98"/>
  <c r="L54" i="98"/>
  <c r="AC54" i="98"/>
  <c r="X41" i="98"/>
  <c r="X50" i="98"/>
  <c r="N50" i="98"/>
  <c r="S54" i="98"/>
  <c r="M75" i="103"/>
  <c r="M39" i="103"/>
  <c r="AA5" i="103"/>
  <c r="BL9" i="103"/>
  <c r="BL13" i="103"/>
  <c r="BA75" i="103"/>
  <c r="BA39" i="103"/>
  <c r="BL6" i="103"/>
  <c r="BL5" i="103" s="1"/>
  <c r="BJ5" i="103"/>
  <c r="BK8" i="103"/>
  <c r="BK38" i="103" s="1"/>
  <c r="D75" i="103"/>
  <c r="D39" i="103"/>
  <c r="E38" i="103"/>
  <c r="BL11" i="103"/>
  <c r="X35" i="103"/>
  <c r="N41" i="103"/>
  <c r="O41" i="103" s="1"/>
  <c r="BB41" i="103"/>
  <c r="X50" i="103"/>
  <c r="V75" i="103"/>
  <c r="V39" i="103"/>
  <c r="AB39" i="103"/>
  <c r="C8" i="103"/>
  <c r="C38" i="103" s="1"/>
  <c r="AA8" i="103"/>
  <c r="AC18" i="103"/>
  <c r="AC8" i="103" s="1"/>
  <c r="E41" i="103"/>
  <c r="AC41" i="103"/>
  <c r="AC50" i="103"/>
  <c r="X54" i="103"/>
  <c r="BL63" i="103"/>
  <c r="BJ54" i="103"/>
  <c r="BL35" i="103"/>
  <c r="W75" i="103"/>
  <c r="W39" i="103"/>
  <c r="BE75" i="103"/>
  <c r="BE39" i="103"/>
  <c r="BJ24" i="103"/>
  <c r="BL24" i="103" s="1"/>
  <c r="BJ25" i="103"/>
  <c r="BL25" i="103" s="1"/>
  <c r="BJ28" i="103"/>
  <c r="BL28" i="103" s="1"/>
  <c r="N35" i="103"/>
  <c r="BB35" i="103"/>
  <c r="X41" i="103"/>
  <c r="N50" i="103"/>
  <c r="BB50" i="103"/>
  <c r="E50" i="103"/>
  <c r="BJ50" i="103"/>
  <c r="BL51" i="103"/>
  <c r="S54" i="103"/>
  <c r="R75" i="103"/>
  <c r="R39" i="103"/>
  <c r="AZ75" i="103"/>
  <c r="AZ39" i="103"/>
  <c r="BF75" i="103"/>
  <c r="BF39" i="103"/>
  <c r="S30" i="103"/>
  <c r="S8" i="103" s="1"/>
  <c r="S38" i="103" s="1"/>
  <c r="BL32" i="103"/>
  <c r="S41" i="103"/>
  <c r="BG41" i="103"/>
  <c r="S50" i="103"/>
  <c r="BG50" i="103"/>
  <c r="S35" i="103"/>
  <c r="AC35" i="103"/>
  <c r="BG35" i="103"/>
  <c r="BL55" i="103"/>
  <c r="BL59" i="103"/>
  <c r="BL57" i="103"/>
  <c r="BL61" i="103"/>
  <c r="BJ74" i="103"/>
  <c r="L73" i="103"/>
  <c r="N74" i="103"/>
  <c r="N73" i="103" s="1"/>
  <c r="X77" i="103"/>
  <c r="BK77" i="103"/>
  <c r="BL78" i="103"/>
  <c r="D75" i="127"/>
  <c r="D39" i="127"/>
  <c r="C81" i="127"/>
  <c r="C83" i="127" s="1"/>
  <c r="C84" i="127" s="1"/>
  <c r="C86" i="127" s="1"/>
  <c r="C87" i="127" s="1"/>
  <c r="C76" i="127"/>
  <c r="AP75" i="127"/>
  <c r="AP39" i="127"/>
  <c r="AW35" i="127"/>
  <c r="AK38" i="127"/>
  <c r="AQ38" i="127"/>
  <c r="I8" i="127"/>
  <c r="AW8" i="127"/>
  <c r="AW38" i="127" s="1"/>
  <c r="BB25" i="127"/>
  <c r="BB29" i="127"/>
  <c r="BB30" i="127"/>
  <c r="AZ41" i="127"/>
  <c r="H75" i="127"/>
  <c r="H39" i="127"/>
  <c r="E38" i="127"/>
  <c r="AF75" i="127"/>
  <c r="AF39" i="127"/>
  <c r="AL38" i="127"/>
  <c r="AR38" i="127"/>
  <c r="AZ5" i="127"/>
  <c r="AM35" i="127"/>
  <c r="C39" i="127"/>
  <c r="AH38" i="127"/>
  <c r="G75" i="127"/>
  <c r="G39" i="127"/>
  <c r="AG38" i="127"/>
  <c r="AU81" i="127"/>
  <c r="AU83" i="127" s="1"/>
  <c r="AU84" i="127" s="1"/>
  <c r="AU86" i="127" s="1"/>
  <c r="AU87" i="127" s="1"/>
  <c r="AU76" i="127"/>
  <c r="BB19" i="127"/>
  <c r="BB22" i="127"/>
  <c r="BB35" i="127"/>
  <c r="AU39" i="127"/>
  <c r="BB26" i="127"/>
  <c r="BB44" i="127"/>
  <c r="BB48" i="127"/>
  <c r="I50" i="127"/>
  <c r="J52" i="127"/>
  <c r="BB52" i="127"/>
  <c r="AZ50" i="127"/>
  <c r="AH35" i="127"/>
  <c r="AR35" i="127"/>
  <c r="E41" i="127"/>
  <c r="AH41" i="127"/>
  <c r="AH89" i="127" s="1"/>
  <c r="AR41" i="127"/>
  <c r="BB42" i="127"/>
  <c r="BB46" i="127"/>
  <c r="E50" i="127"/>
  <c r="BB51" i="127"/>
  <c r="BB56" i="127"/>
  <c r="AZ54" i="127"/>
  <c r="E77" i="127"/>
  <c r="AM41" i="127"/>
  <c r="BA54" i="127"/>
  <c r="AM73" i="127"/>
  <c r="AH77" i="127"/>
  <c r="BB73" i="127"/>
  <c r="I73" i="127"/>
  <c r="AW73" i="127"/>
  <c r="AR77" i="127"/>
  <c r="N8" i="98" l="1"/>
  <c r="N38" i="98" s="1"/>
  <c r="BL41" i="103"/>
  <c r="BT54" i="98"/>
  <c r="AV39" i="127"/>
  <c r="R39" i="98"/>
  <c r="Q39" i="98"/>
  <c r="E89" i="103"/>
  <c r="BV54" i="98"/>
  <c r="BV28" i="98"/>
  <c r="BV12" i="98"/>
  <c r="BU8" i="98"/>
  <c r="BU38" i="98" s="1"/>
  <c r="BV41" i="98"/>
  <c r="AR89" i="127"/>
  <c r="AA38" i="103"/>
  <c r="AA75" i="103" s="1"/>
  <c r="BT8" i="98"/>
  <c r="BT38" i="98" s="1"/>
  <c r="BB5" i="127"/>
  <c r="L39" i="103"/>
  <c r="L75" i="103"/>
  <c r="L76" i="103" s="1"/>
  <c r="Q39" i="103"/>
  <c r="Q75" i="103"/>
  <c r="AM89" i="127"/>
  <c r="BB65" i="127"/>
  <c r="BB54" i="127" s="1"/>
  <c r="D75" i="98"/>
  <c r="D39" i="98"/>
  <c r="N39" i="98"/>
  <c r="V75" i="98"/>
  <c r="V39" i="98"/>
  <c r="AC75" i="98"/>
  <c r="AC39" i="98"/>
  <c r="X89" i="98"/>
  <c r="Y41" i="98" s="1"/>
  <c r="W75" i="98"/>
  <c r="W39" i="98"/>
  <c r="R81" i="98"/>
  <c r="R83" i="98" s="1"/>
  <c r="R84" i="98" s="1"/>
  <c r="R86" i="98" s="1"/>
  <c r="R87" i="98" s="1"/>
  <c r="R76" i="98"/>
  <c r="AC89" i="98"/>
  <c r="C81" i="98"/>
  <c r="C83" i="98" s="1"/>
  <c r="C84" i="98" s="1"/>
  <c r="C86" i="98" s="1"/>
  <c r="C87" i="98" s="1"/>
  <c r="C76" i="98"/>
  <c r="N54" i="98"/>
  <c r="N75" i="98" s="1"/>
  <c r="L75" i="98"/>
  <c r="L39" i="98"/>
  <c r="E8" i="98"/>
  <c r="S8" i="98"/>
  <c r="AB81" i="98"/>
  <c r="AB83" i="98" s="1"/>
  <c r="AB84" i="98" s="1"/>
  <c r="AB86" i="98" s="1"/>
  <c r="AB87" i="98" s="1"/>
  <c r="AB76" i="98"/>
  <c r="M81" i="98"/>
  <c r="M83" i="98" s="1"/>
  <c r="M84" i="98" s="1"/>
  <c r="M86" i="98" s="1"/>
  <c r="M87" i="98" s="1"/>
  <c r="M76" i="98"/>
  <c r="X38" i="98"/>
  <c r="Q81" i="98"/>
  <c r="Q83" i="98" s="1"/>
  <c r="Q84" i="98" s="1"/>
  <c r="Q86" i="98" s="1"/>
  <c r="Q87" i="98" s="1"/>
  <c r="Q76" i="98"/>
  <c r="BK75" i="103"/>
  <c r="BK39" i="103"/>
  <c r="C75" i="103"/>
  <c r="C39" i="103"/>
  <c r="BL74" i="103"/>
  <c r="BL73" i="103" s="1"/>
  <c r="BJ73" i="103"/>
  <c r="S75" i="103"/>
  <c r="S39" i="103"/>
  <c r="V81" i="103"/>
  <c r="V83" i="103" s="1"/>
  <c r="V84" i="103" s="1"/>
  <c r="V86" i="103" s="1"/>
  <c r="V87" i="103" s="1"/>
  <c r="V76" i="103"/>
  <c r="D81" i="103"/>
  <c r="D83" i="103" s="1"/>
  <c r="D84" i="103" s="1"/>
  <c r="D86" i="103" s="1"/>
  <c r="D87" i="103" s="1"/>
  <c r="D76" i="103"/>
  <c r="BB89" i="103"/>
  <c r="BL8" i="103"/>
  <c r="AA39" i="103"/>
  <c r="AZ81" i="103"/>
  <c r="AZ83" i="103" s="1"/>
  <c r="AZ84" i="103" s="1"/>
  <c r="AZ86" i="103" s="1"/>
  <c r="AZ87" i="103" s="1"/>
  <c r="AZ76" i="103"/>
  <c r="R81" i="103"/>
  <c r="R83" i="103" s="1"/>
  <c r="R84" i="103" s="1"/>
  <c r="R86" i="103" s="1"/>
  <c r="R87" i="103" s="1"/>
  <c r="R76" i="103"/>
  <c r="W81" i="103"/>
  <c r="W83" i="103" s="1"/>
  <c r="W84" i="103" s="1"/>
  <c r="W86" i="103" s="1"/>
  <c r="W87" i="103" s="1"/>
  <c r="W76" i="103"/>
  <c r="BJ8" i="103"/>
  <c r="BJ38" i="103" s="1"/>
  <c r="E75" i="103"/>
  <c r="E39" i="103"/>
  <c r="X89" i="103"/>
  <c r="Y54" i="103" s="1"/>
  <c r="X75" i="103"/>
  <c r="X39" i="103"/>
  <c r="AB76" i="103"/>
  <c r="AB81" i="103"/>
  <c r="AB83" i="103" s="1"/>
  <c r="AB84" i="103" s="1"/>
  <c r="AB86" i="103" s="1"/>
  <c r="AB87" i="103" s="1"/>
  <c r="N75" i="103"/>
  <c r="N39" i="103"/>
  <c r="BA81" i="103"/>
  <c r="BA83" i="103" s="1"/>
  <c r="BA84" i="103" s="1"/>
  <c r="BA86" i="103" s="1"/>
  <c r="BA87" i="103" s="1"/>
  <c r="BA76" i="103"/>
  <c r="AC89" i="103"/>
  <c r="AD18" i="103" s="1"/>
  <c r="S89" i="103"/>
  <c r="AD35" i="103" s="1"/>
  <c r="BB75" i="103"/>
  <c r="BL54" i="103"/>
  <c r="BF81" i="103"/>
  <c r="BF83" i="103" s="1"/>
  <c r="BF84" i="103" s="1"/>
  <c r="BF86" i="103" s="1"/>
  <c r="BF87" i="103" s="1"/>
  <c r="BF76" i="103"/>
  <c r="L81" i="103"/>
  <c r="L83" i="103" s="1"/>
  <c r="L84" i="103" s="1"/>
  <c r="L86" i="103" s="1"/>
  <c r="L87" i="103" s="1"/>
  <c r="BL50" i="103"/>
  <c r="BE81" i="103"/>
  <c r="BE83" i="103" s="1"/>
  <c r="BE84" i="103" s="1"/>
  <c r="BE86" i="103" s="1"/>
  <c r="BE87" i="103" s="1"/>
  <c r="BE76" i="103"/>
  <c r="Q81" i="103"/>
  <c r="Q83" i="103" s="1"/>
  <c r="Q84" i="103" s="1"/>
  <c r="Q86" i="103" s="1"/>
  <c r="Q87" i="103" s="1"/>
  <c r="Q76" i="103"/>
  <c r="Y35" i="103"/>
  <c r="BG89" i="103"/>
  <c r="AC38" i="103"/>
  <c r="F41" i="103"/>
  <c r="N89" i="103"/>
  <c r="BG75" i="103"/>
  <c r="M81" i="103"/>
  <c r="M83" i="103" s="1"/>
  <c r="M84" i="103" s="1"/>
  <c r="M86" i="103" s="1"/>
  <c r="M87" i="103" s="1"/>
  <c r="M76" i="103"/>
  <c r="AI79" i="127"/>
  <c r="AN79" i="127"/>
  <c r="AI70" i="127"/>
  <c r="AI69" i="127"/>
  <c r="AI68" i="127"/>
  <c r="AI67" i="127"/>
  <c r="AI66" i="127"/>
  <c r="AI65" i="127"/>
  <c r="AN68" i="127"/>
  <c r="AN66" i="127"/>
  <c r="AI71" i="127"/>
  <c r="AN65" i="127"/>
  <c r="AN69" i="127"/>
  <c r="AN67" i="127"/>
  <c r="AN45" i="127"/>
  <c r="AI17" i="127"/>
  <c r="AI16" i="127"/>
  <c r="AN46" i="127"/>
  <c r="AI44" i="127"/>
  <c r="AN42" i="127"/>
  <c r="AN33" i="127"/>
  <c r="AI31" i="127"/>
  <c r="AN29" i="127"/>
  <c r="AI28" i="127"/>
  <c r="AI27" i="127"/>
  <c r="AI26" i="127"/>
  <c r="AN22" i="127"/>
  <c r="AN20" i="127"/>
  <c r="AN19" i="127"/>
  <c r="AN18" i="127"/>
  <c r="AI15" i="127"/>
  <c r="AI14" i="127"/>
  <c r="AI13" i="127"/>
  <c r="AI12" i="127"/>
  <c r="AI55" i="127"/>
  <c r="AN47" i="127"/>
  <c r="AN43" i="127"/>
  <c r="AI46" i="127"/>
  <c r="AN44" i="127"/>
  <c r="AI33" i="127"/>
  <c r="AI29" i="127"/>
  <c r="AN26" i="127"/>
  <c r="AI20" i="127"/>
  <c r="AN13" i="127"/>
  <c r="AN28" i="127"/>
  <c r="AI25" i="127"/>
  <c r="AI22" i="127"/>
  <c r="AI19" i="127"/>
  <c r="AI18" i="127"/>
  <c r="AN14" i="127"/>
  <c r="AN11" i="127"/>
  <c r="AN10" i="127"/>
  <c r="AN9" i="127"/>
  <c r="AN15" i="127"/>
  <c r="AI42" i="127"/>
  <c r="AN31" i="127"/>
  <c r="AN27" i="127"/>
  <c r="AN12" i="127"/>
  <c r="AI11" i="127"/>
  <c r="AI10" i="127"/>
  <c r="AI9" i="127"/>
  <c r="AN17" i="127"/>
  <c r="AN54" i="127"/>
  <c r="AN56" i="127"/>
  <c r="AN57" i="127"/>
  <c r="AI60" i="127"/>
  <c r="AI64" i="127"/>
  <c r="AI61" i="127"/>
  <c r="AN59" i="127"/>
  <c r="AN70" i="127"/>
  <c r="AN21" i="127"/>
  <c r="AI30" i="127"/>
  <c r="AN16" i="127"/>
  <c r="AI23" i="127"/>
  <c r="AN32" i="127"/>
  <c r="AI21" i="127"/>
  <c r="AN23" i="127"/>
  <c r="AN25" i="127"/>
  <c r="AN55" i="127"/>
  <c r="AI56" i="127"/>
  <c r="AI59" i="127"/>
  <c r="AI63" i="127"/>
  <c r="AN58" i="127"/>
  <c r="AN60" i="127"/>
  <c r="AN62" i="127"/>
  <c r="AN64" i="127"/>
  <c r="AI8" i="127"/>
  <c r="AI24" i="127"/>
  <c r="AI54" i="127"/>
  <c r="AN61" i="127"/>
  <c r="AN24" i="127"/>
  <c r="AI47" i="127"/>
  <c r="AI43" i="127"/>
  <c r="AI45" i="127"/>
  <c r="AI57" i="127"/>
  <c r="AI58" i="127"/>
  <c r="AI62" i="127"/>
  <c r="AN71" i="127"/>
  <c r="AN8" i="127"/>
  <c r="AI32" i="127"/>
  <c r="AN30" i="127"/>
  <c r="AN63" i="127"/>
  <c r="AS71" i="127"/>
  <c r="AS74" i="127"/>
  <c r="AS69" i="127"/>
  <c r="AS68" i="127"/>
  <c r="AS67" i="127"/>
  <c r="AS66" i="127"/>
  <c r="AS65" i="127"/>
  <c r="AS79" i="127"/>
  <c r="AS17" i="127"/>
  <c r="AS16" i="127"/>
  <c r="AS44" i="127"/>
  <c r="AS31" i="127"/>
  <c r="AS28" i="127"/>
  <c r="AS27" i="127"/>
  <c r="AS26" i="127"/>
  <c r="AS15" i="127"/>
  <c r="AS14" i="127"/>
  <c r="AS13" i="127"/>
  <c r="AS12" i="127"/>
  <c r="AS42" i="127"/>
  <c r="AS9" i="127"/>
  <c r="AS55" i="127"/>
  <c r="AS46" i="127"/>
  <c r="AS33" i="127"/>
  <c r="AS29" i="127"/>
  <c r="AS20" i="127"/>
  <c r="AS25" i="127"/>
  <c r="AS22" i="127"/>
  <c r="AS19" i="127"/>
  <c r="AS18" i="127"/>
  <c r="AS11" i="127"/>
  <c r="AS10" i="127"/>
  <c r="AS21" i="127"/>
  <c r="AS43" i="127"/>
  <c r="AS58" i="127"/>
  <c r="AS62" i="127"/>
  <c r="AS8" i="127"/>
  <c r="AS23" i="127"/>
  <c r="AS47" i="127"/>
  <c r="AS30" i="127"/>
  <c r="AS59" i="127"/>
  <c r="AS45" i="127"/>
  <c r="AS36" i="127"/>
  <c r="AS54" i="127"/>
  <c r="AS61" i="127"/>
  <c r="AS63" i="127"/>
  <c r="AS24" i="127"/>
  <c r="AS48" i="127"/>
  <c r="AS32" i="127"/>
  <c r="AS60" i="127"/>
  <c r="AS64" i="127"/>
  <c r="AS56" i="127"/>
  <c r="AS57" i="127"/>
  <c r="AS70" i="127"/>
  <c r="AX36" i="127"/>
  <c r="AW75" i="127"/>
  <c r="AW39" i="127"/>
  <c r="AZ8" i="127"/>
  <c r="AZ38" i="127" s="1"/>
  <c r="AG75" i="127"/>
  <c r="AG39" i="127"/>
  <c r="G81" i="127"/>
  <c r="G83" i="127" s="1"/>
  <c r="G84" i="127" s="1"/>
  <c r="G86" i="127" s="1"/>
  <c r="G87" i="127" s="1"/>
  <c r="G76" i="127"/>
  <c r="AR39" i="127"/>
  <c r="AR75" i="127"/>
  <c r="E75" i="127"/>
  <c r="E39" i="127"/>
  <c r="AQ75" i="127"/>
  <c r="AQ39" i="127"/>
  <c r="I89" i="127"/>
  <c r="AX35" i="127" s="1"/>
  <c r="BB31" i="127"/>
  <c r="BA8" i="127"/>
  <c r="BA38" i="127" s="1"/>
  <c r="D81" i="127"/>
  <c r="D83" i="127" s="1"/>
  <c r="D84" i="127" s="1"/>
  <c r="D86" i="127" s="1"/>
  <c r="D87" i="127" s="1"/>
  <c r="D76" i="127"/>
  <c r="BB50" i="127"/>
  <c r="BB41" i="127"/>
  <c r="AH75" i="127"/>
  <c r="AH39" i="127"/>
  <c r="AL75" i="127"/>
  <c r="AL39" i="127"/>
  <c r="AW89" i="127"/>
  <c r="AX8" i="127" s="1"/>
  <c r="AK75" i="127"/>
  <c r="AK39" i="127"/>
  <c r="AI41" i="127"/>
  <c r="AF76" i="127"/>
  <c r="AF81" i="127"/>
  <c r="AF83" i="127" s="1"/>
  <c r="AF84" i="127" s="1"/>
  <c r="AF86" i="127" s="1"/>
  <c r="AF87" i="127" s="1"/>
  <c r="AN41" i="127"/>
  <c r="AS41" i="127"/>
  <c r="H81" i="127"/>
  <c r="H83" i="127" s="1"/>
  <c r="H84" i="127" s="1"/>
  <c r="H86" i="127" s="1"/>
  <c r="H87" i="127" s="1"/>
  <c r="H76" i="127"/>
  <c r="AP81" i="127"/>
  <c r="AP83" i="127" s="1"/>
  <c r="AP84" i="127" s="1"/>
  <c r="AP86" i="127" s="1"/>
  <c r="AP87" i="127" s="1"/>
  <c r="AP76" i="127"/>
  <c r="I38" i="127"/>
  <c r="E89" i="127"/>
  <c r="AV81" i="127"/>
  <c r="AV83" i="127" s="1"/>
  <c r="AV84" i="127" s="1"/>
  <c r="AV86" i="127" s="1"/>
  <c r="AV87" i="127" s="1"/>
  <c r="AV76" i="127"/>
  <c r="AM75" i="127"/>
  <c r="Y50" i="103" l="1"/>
  <c r="N89" i="98"/>
  <c r="O41" i="98" s="1"/>
  <c r="AD54" i="98"/>
  <c r="AI41" i="98"/>
  <c r="AI54" i="98"/>
  <c r="BV8" i="98"/>
  <c r="AI35" i="127"/>
  <c r="Y37" i="127"/>
  <c r="Y34" i="127"/>
  <c r="O37" i="127"/>
  <c r="O34" i="127"/>
  <c r="Y35" i="127"/>
  <c r="O35" i="127"/>
  <c r="O54" i="127"/>
  <c r="AI37" i="103"/>
  <c r="AI34" i="103"/>
  <c r="AI40" i="103"/>
  <c r="AI72" i="103"/>
  <c r="AI36" i="103"/>
  <c r="AI35" i="103"/>
  <c r="AI38" i="103"/>
  <c r="AI39" i="103"/>
  <c r="BT39" i="98"/>
  <c r="BT75" i="98"/>
  <c r="AD41" i="103"/>
  <c r="T30" i="103"/>
  <c r="AD8" i="103"/>
  <c r="BU75" i="98"/>
  <c r="BU39" i="98"/>
  <c r="T38" i="103"/>
  <c r="O8" i="98"/>
  <c r="AN35" i="127"/>
  <c r="T35" i="103"/>
  <c r="Y41" i="103"/>
  <c r="O63" i="98"/>
  <c r="AD41" i="98"/>
  <c r="J8" i="127"/>
  <c r="T39" i="103"/>
  <c r="E89" i="98"/>
  <c r="F8" i="98" s="1"/>
  <c r="E38" i="98"/>
  <c r="AC76" i="98"/>
  <c r="AC81" i="98"/>
  <c r="AC83" i="98" s="1"/>
  <c r="AC84" i="98" s="1"/>
  <c r="AC86" i="98" s="1"/>
  <c r="AC87" i="98" s="1"/>
  <c r="X75" i="98"/>
  <c r="X39" i="98"/>
  <c r="L81" i="98"/>
  <c r="L83" i="98" s="1"/>
  <c r="L84" i="98" s="1"/>
  <c r="L86" i="98" s="1"/>
  <c r="L87" i="98" s="1"/>
  <c r="L76" i="98"/>
  <c r="O29" i="98"/>
  <c r="V81" i="98"/>
  <c r="V83" i="98" s="1"/>
  <c r="V84" i="98" s="1"/>
  <c r="V86" i="98" s="1"/>
  <c r="V87" i="98" s="1"/>
  <c r="V76" i="98"/>
  <c r="D81" i="98"/>
  <c r="D83" i="98" s="1"/>
  <c r="D84" i="98" s="1"/>
  <c r="D86" i="98" s="1"/>
  <c r="D87" i="98" s="1"/>
  <c r="D76" i="98"/>
  <c r="W76" i="98"/>
  <c r="W81" i="98"/>
  <c r="W83" i="98" s="1"/>
  <c r="W84" i="98" s="1"/>
  <c r="W86" i="98" s="1"/>
  <c r="W87" i="98" s="1"/>
  <c r="Y68" i="98"/>
  <c r="Y66" i="98"/>
  <c r="Y63" i="98"/>
  <c r="Y62" i="98"/>
  <c r="Y70" i="98"/>
  <c r="Y72" i="98"/>
  <c r="Y59" i="98"/>
  <c r="Y57" i="98"/>
  <c r="Y55" i="98"/>
  <c r="Y60" i="98"/>
  <c r="Y58" i="98"/>
  <c r="Y56" i="98"/>
  <c r="Y49" i="98"/>
  <c r="Y46" i="98"/>
  <c r="Y44" i="98"/>
  <c r="Y42" i="98"/>
  <c r="Y28" i="98"/>
  <c r="Y25" i="98"/>
  <c r="Y21" i="98"/>
  <c r="Y15" i="98"/>
  <c r="Y13" i="98"/>
  <c r="Y33" i="98"/>
  <c r="Y27" i="98"/>
  <c r="Y24" i="98"/>
  <c r="Y22" i="98"/>
  <c r="Y31" i="98"/>
  <c r="Y18" i="98"/>
  <c r="Y20" i="98"/>
  <c r="Y9" i="98"/>
  <c r="Y19" i="98"/>
  <c r="Y30" i="98"/>
  <c r="Y32" i="98"/>
  <c r="Y52" i="98"/>
  <c r="Y69" i="98"/>
  <c r="Y67" i="98"/>
  <c r="Y61" i="98"/>
  <c r="Y12" i="98"/>
  <c r="Y43" i="98"/>
  <c r="Y45" i="98"/>
  <c r="Y47" i="98"/>
  <c r="Y48" i="98"/>
  <c r="Y17" i="98"/>
  <c r="Y11" i="98"/>
  <c r="Y10" i="98"/>
  <c r="Y14" i="98"/>
  <c r="Y54" i="98"/>
  <c r="Y29" i="98"/>
  <c r="Y16" i="98"/>
  <c r="Y23" i="98"/>
  <c r="Y64" i="98"/>
  <c r="Y65" i="98"/>
  <c r="Y26" i="98"/>
  <c r="Y51" i="98"/>
  <c r="Y71" i="98"/>
  <c r="N81" i="98"/>
  <c r="N83" i="98" s="1"/>
  <c r="N84" i="98" s="1"/>
  <c r="N86" i="98" s="1"/>
  <c r="N87" i="98" s="1"/>
  <c r="N76" i="98"/>
  <c r="S89" i="98"/>
  <c r="T8" i="98" s="1"/>
  <c r="S38" i="98"/>
  <c r="O68" i="98"/>
  <c r="O66" i="98"/>
  <c r="O62" i="98"/>
  <c r="O72" i="98"/>
  <c r="O59" i="98"/>
  <c r="O57" i="98"/>
  <c r="O55" i="98"/>
  <c r="O65" i="98"/>
  <c r="O60" i="98"/>
  <c r="O58" i="98"/>
  <c r="O56" i="98"/>
  <c r="O49" i="98"/>
  <c r="O46" i="98"/>
  <c r="O44" i="98"/>
  <c r="O42" i="98"/>
  <c r="O70" i="98"/>
  <c r="O24" i="98"/>
  <c r="O18" i="98"/>
  <c r="O15" i="98"/>
  <c r="O13" i="98"/>
  <c r="O31" i="98"/>
  <c r="O20" i="98"/>
  <c r="O33" i="98"/>
  <c r="O30" i="98"/>
  <c r="O27" i="98"/>
  <c r="O9" i="98"/>
  <c r="O11" i="98"/>
  <c r="O14" i="98"/>
  <c r="O52" i="98"/>
  <c r="O36" i="98"/>
  <c r="O43" i="98"/>
  <c r="O45" i="98"/>
  <c r="O47" i="98"/>
  <c r="O64" i="98"/>
  <c r="O61" i="98"/>
  <c r="O48" i="98"/>
  <c r="O51" i="98"/>
  <c r="O10" i="98"/>
  <c r="O16" i="98"/>
  <c r="O19" i="98"/>
  <c r="O67" i="98"/>
  <c r="O71" i="98"/>
  <c r="O17" i="98"/>
  <c r="O25" i="98"/>
  <c r="O26" i="98"/>
  <c r="O32" i="98"/>
  <c r="O21" i="98"/>
  <c r="O69" i="98"/>
  <c r="O28" i="98"/>
  <c r="O12" i="98"/>
  <c r="O54" i="98"/>
  <c r="AD72" i="98"/>
  <c r="AD67" i="98"/>
  <c r="AD65" i="98"/>
  <c r="AD64" i="98"/>
  <c r="AD61" i="98"/>
  <c r="AD71" i="98"/>
  <c r="AD69" i="98"/>
  <c r="AD60" i="98"/>
  <c r="AD58" i="98"/>
  <c r="AD56" i="98"/>
  <c r="AD59" i="98"/>
  <c r="AD57" i="98"/>
  <c r="AD55" i="98"/>
  <c r="AD49" i="98"/>
  <c r="AD23" i="98"/>
  <c r="AD22" i="98"/>
  <c r="AD30" i="98"/>
  <c r="AD17" i="98"/>
  <c r="AD14" i="98"/>
  <c r="AD12" i="98"/>
  <c r="AD43" i="98"/>
  <c r="AD29" i="98"/>
  <c r="AD32" i="98"/>
  <c r="AD36" i="98"/>
  <c r="AD26" i="98"/>
  <c r="AD45" i="98"/>
  <c r="AD19" i="98"/>
  <c r="AD10" i="98"/>
  <c r="AD24" i="98"/>
  <c r="AD33" i="98"/>
  <c r="AD63" i="98"/>
  <c r="AD68" i="98"/>
  <c r="AD8" i="98"/>
  <c r="AD25" i="98"/>
  <c r="AD44" i="98"/>
  <c r="AD27" i="98"/>
  <c r="AD47" i="98"/>
  <c r="AD52" i="98"/>
  <c r="AC92" i="98"/>
  <c r="AD9" i="98"/>
  <c r="AD15" i="98"/>
  <c r="AD20" i="98"/>
  <c r="AD13" i="98"/>
  <c r="AD28" i="98"/>
  <c r="AD31" i="98"/>
  <c r="AD48" i="98"/>
  <c r="AD70" i="98"/>
  <c r="AD66" i="98"/>
  <c r="AD16" i="98"/>
  <c r="AD11" i="98"/>
  <c r="AD18" i="98"/>
  <c r="AD21" i="98"/>
  <c r="AD51" i="98"/>
  <c r="AD42" i="98"/>
  <c r="AD46" i="98"/>
  <c r="AD62" i="98"/>
  <c r="Y8" i="98"/>
  <c r="O62" i="103"/>
  <c r="O60" i="103"/>
  <c r="O72" i="103"/>
  <c r="O59" i="103"/>
  <c r="O55" i="103"/>
  <c r="O52" i="103"/>
  <c r="O49" i="103"/>
  <c r="O48" i="103"/>
  <c r="O46" i="103"/>
  <c r="O44" i="103"/>
  <c r="O42" i="103"/>
  <c r="O33" i="103"/>
  <c r="O31" i="103"/>
  <c r="O61" i="103"/>
  <c r="O57" i="103"/>
  <c r="O23" i="103"/>
  <c r="O20" i="103"/>
  <c r="O15" i="103"/>
  <c r="O21" i="103"/>
  <c r="O19" i="103"/>
  <c r="O16" i="103"/>
  <c r="O14" i="103"/>
  <c r="O12" i="103"/>
  <c r="O10" i="103"/>
  <c r="O54" i="103"/>
  <c r="O29" i="103"/>
  <c r="O24" i="103"/>
  <c r="O32" i="103"/>
  <c r="O30" i="103"/>
  <c r="O13" i="103"/>
  <c r="O9" i="103"/>
  <c r="O8" i="103"/>
  <c r="O11" i="103"/>
  <c r="O25" i="103"/>
  <c r="O18" i="103"/>
  <c r="O36" i="103"/>
  <c r="O65" i="103"/>
  <c r="O63" i="103"/>
  <c r="O22" i="103"/>
  <c r="O26" i="103"/>
  <c r="O43" i="103"/>
  <c r="O51" i="103"/>
  <c r="O45" i="103"/>
  <c r="O58" i="103"/>
  <c r="O64" i="103"/>
  <c r="O68" i="103"/>
  <c r="O69" i="103"/>
  <c r="O28" i="103"/>
  <c r="O27" i="103"/>
  <c r="O17" i="103"/>
  <c r="O47" i="103"/>
  <c r="O70" i="103"/>
  <c r="O71" i="103"/>
  <c r="O56" i="103"/>
  <c r="O67" i="103"/>
  <c r="O66" i="103"/>
  <c r="BB81" i="103"/>
  <c r="BB76" i="103"/>
  <c r="E81" i="103"/>
  <c r="E83" i="103" s="1"/>
  <c r="E84" i="103" s="1"/>
  <c r="E86" i="103" s="1"/>
  <c r="E87" i="103" s="1"/>
  <c r="E76" i="103"/>
  <c r="F61" i="103"/>
  <c r="F59" i="103"/>
  <c r="F51" i="103"/>
  <c r="F47" i="103"/>
  <c r="F45" i="103"/>
  <c r="F43" i="103"/>
  <c r="F62" i="103"/>
  <c r="F58" i="103"/>
  <c r="F32" i="103"/>
  <c r="F60" i="103"/>
  <c r="F54" i="103"/>
  <c r="F21" i="103"/>
  <c r="F33" i="103"/>
  <c r="F24" i="103"/>
  <c r="F20" i="103"/>
  <c r="F15" i="103"/>
  <c r="F13" i="103"/>
  <c r="F11" i="103"/>
  <c r="F9" i="103"/>
  <c r="F31" i="103"/>
  <c r="F56" i="103"/>
  <c r="F19" i="103"/>
  <c r="F16" i="103"/>
  <c r="F12" i="103"/>
  <c r="F14" i="103"/>
  <c r="F10" i="103"/>
  <c r="F27" i="103"/>
  <c r="F18" i="103"/>
  <c r="F52" i="103"/>
  <c r="F35" i="103"/>
  <c r="F82" i="103"/>
  <c r="F64" i="103"/>
  <c r="F67" i="103"/>
  <c r="F72" i="103"/>
  <c r="F85" i="103"/>
  <c r="F8" i="103"/>
  <c r="F44" i="103"/>
  <c r="F28" i="103"/>
  <c r="F48" i="103"/>
  <c r="F55" i="103"/>
  <c r="F63" i="103"/>
  <c r="F68" i="103"/>
  <c r="F71" i="103"/>
  <c r="F26" i="103"/>
  <c r="F17" i="103"/>
  <c r="F25" i="103"/>
  <c r="F30" i="103"/>
  <c r="F36" i="103"/>
  <c r="F42" i="103"/>
  <c r="F29" i="103"/>
  <c r="F46" i="103"/>
  <c r="F66" i="103"/>
  <c r="F69" i="103"/>
  <c r="F73" i="103"/>
  <c r="F57" i="103"/>
  <c r="F79" i="103"/>
  <c r="F65" i="103"/>
  <c r="F70" i="103"/>
  <c r="T41" i="103"/>
  <c r="T8" i="103"/>
  <c r="AD79" i="103"/>
  <c r="AD61" i="103"/>
  <c r="AD51" i="103"/>
  <c r="AD47" i="103"/>
  <c r="AD45" i="103"/>
  <c r="AD43" i="103"/>
  <c r="AD60" i="103"/>
  <c r="AD56" i="103"/>
  <c r="AD49" i="103"/>
  <c r="AD32" i="103"/>
  <c r="AD62" i="103"/>
  <c r="AD19" i="103"/>
  <c r="AD58" i="103"/>
  <c r="AD54" i="103"/>
  <c r="AD31" i="103"/>
  <c r="AD24" i="103"/>
  <c r="AD23" i="103"/>
  <c r="AD20" i="103"/>
  <c r="AD15" i="103"/>
  <c r="AD13" i="103"/>
  <c r="AD11" i="103"/>
  <c r="AD9" i="103"/>
  <c r="AD33" i="103"/>
  <c r="AD28" i="103"/>
  <c r="AD53" i="103"/>
  <c r="AD21" i="103"/>
  <c r="AD14" i="103"/>
  <c r="AD10" i="103"/>
  <c r="AD12" i="103"/>
  <c r="AD17" i="103"/>
  <c r="AD59" i="103"/>
  <c r="AD25" i="103"/>
  <c r="AD27" i="103"/>
  <c r="AD29" i="103"/>
  <c r="AD42" i="103"/>
  <c r="AD30" i="103"/>
  <c r="AD52" i="103"/>
  <c r="AD26" i="103"/>
  <c r="AD46" i="103"/>
  <c r="AD65" i="103"/>
  <c r="AD70" i="103"/>
  <c r="AD66" i="103"/>
  <c r="AD69" i="103"/>
  <c r="AD22" i="103"/>
  <c r="AC94" i="103"/>
  <c r="AD16" i="103"/>
  <c r="AD48" i="103"/>
  <c r="AD44" i="103"/>
  <c r="AD55" i="103"/>
  <c r="AD64" i="103"/>
  <c r="AD67" i="103"/>
  <c r="AD63" i="103"/>
  <c r="AD68" i="103"/>
  <c r="AD71" i="103"/>
  <c r="AD57" i="103"/>
  <c r="Y39" i="103"/>
  <c r="Y79" i="103"/>
  <c r="Y62" i="103"/>
  <c r="Y60" i="103"/>
  <c r="Y52" i="103"/>
  <c r="Y48" i="103"/>
  <c r="Y46" i="103"/>
  <c r="Y44" i="103"/>
  <c r="Y42" i="103"/>
  <c r="Y59" i="103"/>
  <c r="Y55" i="103"/>
  <c r="Y33" i="103"/>
  <c r="Y31" i="103"/>
  <c r="Y57" i="103"/>
  <c r="Y24" i="103"/>
  <c r="Y26" i="103"/>
  <c r="Y25" i="103"/>
  <c r="Y21" i="103"/>
  <c r="Y19" i="103"/>
  <c r="Y16" i="103"/>
  <c r="Y14" i="103"/>
  <c r="Y12" i="103"/>
  <c r="Y10" i="103"/>
  <c r="Y32" i="103"/>
  <c r="Y20" i="103"/>
  <c r="Y61" i="103"/>
  <c r="Y23" i="103"/>
  <c r="Y15" i="103"/>
  <c r="Y13" i="103"/>
  <c r="Y9" i="103"/>
  <c r="Y11" i="103"/>
  <c r="Y8" i="103"/>
  <c r="Y51" i="103"/>
  <c r="Y17" i="103"/>
  <c r="Y63" i="103"/>
  <c r="Y43" i="103"/>
  <c r="X94" i="103"/>
  <c r="Y58" i="103"/>
  <c r="Y71" i="103"/>
  <c r="Y66" i="103"/>
  <c r="Y67" i="103"/>
  <c r="Y27" i="103"/>
  <c r="Y29" i="103"/>
  <c r="Y45" i="103"/>
  <c r="Y47" i="103"/>
  <c r="Y18" i="103"/>
  <c r="Y30" i="103"/>
  <c r="Y70" i="103"/>
  <c r="Y28" i="103"/>
  <c r="Y22" i="103"/>
  <c r="Y56" i="103"/>
  <c r="Y68" i="103"/>
  <c r="Y78" i="103"/>
  <c r="Y64" i="103"/>
  <c r="Y65" i="103"/>
  <c r="Y69" i="103"/>
  <c r="F50" i="103"/>
  <c r="S81" i="103"/>
  <c r="S83" i="103" s="1"/>
  <c r="S84" i="103" s="1"/>
  <c r="S86" i="103" s="1"/>
  <c r="S87" i="103" s="1"/>
  <c r="S76" i="103"/>
  <c r="BC80" i="103"/>
  <c r="BC78" i="103"/>
  <c r="BH80" i="103"/>
  <c r="BC82" i="103"/>
  <c r="BH85" i="103"/>
  <c r="BH82" i="103"/>
  <c r="BC85" i="103"/>
  <c r="BC77" i="103"/>
  <c r="C81" i="103"/>
  <c r="C83" i="103" s="1"/>
  <c r="C84" i="103" s="1"/>
  <c r="C86" i="103" s="1"/>
  <c r="C87" i="103" s="1"/>
  <c r="C76" i="103"/>
  <c r="BH79" i="103"/>
  <c r="BH61" i="103"/>
  <c r="BH60" i="103"/>
  <c r="BH56" i="103"/>
  <c r="BH47" i="103"/>
  <c r="BH45" i="103"/>
  <c r="BH43" i="103"/>
  <c r="BH32" i="103"/>
  <c r="BH62" i="103"/>
  <c r="BH58" i="103"/>
  <c r="BH31" i="103"/>
  <c r="BH23" i="103"/>
  <c r="BH20" i="103"/>
  <c r="BH18" i="103"/>
  <c r="BH15" i="103"/>
  <c r="BH13" i="103"/>
  <c r="BH11" i="103"/>
  <c r="BH9" i="103"/>
  <c r="BH54" i="103"/>
  <c r="BH19" i="103"/>
  <c r="BH33" i="103"/>
  <c r="BH21" i="103"/>
  <c r="BH14" i="103"/>
  <c r="BH10" i="103"/>
  <c r="BH8" i="103"/>
  <c r="BH12" i="103"/>
  <c r="BH26" i="103"/>
  <c r="BH22" i="103"/>
  <c r="BH69" i="103"/>
  <c r="BH65" i="103"/>
  <c r="BH24" i="103"/>
  <c r="BH28" i="103"/>
  <c r="BH29" i="103"/>
  <c r="BH55" i="103"/>
  <c r="BH27" i="103"/>
  <c r="BH16" i="103"/>
  <c r="BH46" i="103"/>
  <c r="BH44" i="103"/>
  <c r="BH30" i="103"/>
  <c r="BH66" i="103"/>
  <c r="BH70" i="103"/>
  <c r="BH25" i="103"/>
  <c r="BH17" i="103"/>
  <c r="BH48" i="103"/>
  <c r="BH57" i="103"/>
  <c r="BH64" i="103"/>
  <c r="BH63" i="103"/>
  <c r="BH71" i="103"/>
  <c r="BH77" i="103"/>
  <c r="BH67" i="103"/>
  <c r="BH42" i="103"/>
  <c r="BH59" i="103"/>
  <c r="BH78" i="103"/>
  <c r="BH68" i="103"/>
  <c r="X81" i="103"/>
  <c r="X83" i="103" s="1"/>
  <c r="X84" i="103" s="1"/>
  <c r="X86" i="103" s="1"/>
  <c r="X87" i="103" s="1"/>
  <c r="X76" i="103"/>
  <c r="BK81" i="103"/>
  <c r="BK83" i="103" s="1"/>
  <c r="BK84" i="103" s="1"/>
  <c r="BK86" i="103" s="1"/>
  <c r="BK87" i="103" s="1"/>
  <c r="BK76" i="103"/>
  <c r="BG76" i="103"/>
  <c r="BG81" i="103"/>
  <c r="BJ39" i="103"/>
  <c r="BJ75" i="103"/>
  <c r="BL38" i="103"/>
  <c r="AC75" i="103"/>
  <c r="AD38" i="103"/>
  <c r="AC39" i="103"/>
  <c r="AD39" i="103" s="1"/>
  <c r="BH41" i="103"/>
  <c r="AD72" i="103"/>
  <c r="Y72" i="103"/>
  <c r="T72" i="103"/>
  <c r="T61" i="103"/>
  <c r="T60" i="103"/>
  <c r="T56" i="103"/>
  <c r="Y53" i="103"/>
  <c r="T51" i="103"/>
  <c r="T47" i="103"/>
  <c r="T45" i="103"/>
  <c r="T43" i="103"/>
  <c r="AD40" i="103"/>
  <c r="AD34" i="103"/>
  <c r="T53" i="103"/>
  <c r="Y40" i="103"/>
  <c r="AD37" i="103"/>
  <c r="Y34" i="103"/>
  <c r="T32" i="103"/>
  <c r="T62" i="103"/>
  <c r="T58" i="103"/>
  <c r="Y49" i="103"/>
  <c r="T40" i="103"/>
  <c r="Y37" i="103"/>
  <c r="T34" i="103"/>
  <c r="T31" i="103"/>
  <c r="T23" i="103"/>
  <c r="T37" i="103"/>
  <c r="T24" i="103"/>
  <c r="T20" i="103"/>
  <c r="T15" i="103"/>
  <c r="T13" i="103"/>
  <c r="T11" i="103"/>
  <c r="T9" i="103"/>
  <c r="T21" i="103"/>
  <c r="T19" i="103"/>
  <c r="T16" i="103"/>
  <c r="T49" i="103"/>
  <c r="T33" i="103"/>
  <c r="T14" i="103"/>
  <c r="T10" i="103"/>
  <c r="T12" i="103"/>
  <c r="T28" i="103"/>
  <c r="T26" i="103"/>
  <c r="T29" i="103"/>
  <c r="AD36" i="103"/>
  <c r="T46" i="103"/>
  <c r="T44" i="103"/>
  <c r="T59" i="103"/>
  <c r="T66" i="103"/>
  <c r="T70" i="103"/>
  <c r="T17" i="103"/>
  <c r="T18" i="103"/>
  <c r="T36" i="103"/>
  <c r="T42" i="103"/>
  <c r="T25" i="103"/>
  <c r="T22" i="103"/>
  <c r="T52" i="103"/>
  <c r="T48" i="103"/>
  <c r="T55" i="103"/>
  <c r="T57" i="103"/>
  <c r="T69" i="103"/>
  <c r="T65" i="103"/>
  <c r="T27" i="103"/>
  <c r="Y36" i="103"/>
  <c r="T67" i="103"/>
  <c r="T68" i="103"/>
  <c r="T64" i="103"/>
  <c r="T63" i="103"/>
  <c r="T71" i="103"/>
  <c r="N81" i="103"/>
  <c r="N83" i="103" s="1"/>
  <c r="N84" i="103" s="1"/>
  <c r="N86" i="103" s="1"/>
  <c r="N87" i="103" s="1"/>
  <c r="N76" i="103"/>
  <c r="Y38" i="103"/>
  <c r="AA81" i="103"/>
  <c r="AA83" i="103" s="1"/>
  <c r="AA84" i="103" s="1"/>
  <c r="AA86" i="103" s="1"/>
  <c r="AA87" i="103" s="1"/>
  <c r="AA76" i="103"/>
  <c r="BC79" i="103"/>
  <c r="BC62" i="103"/>
  <c r="BC60" i="103"/>
  <c r="BC59" i="103"/>
  <c r="BC55" i="103"/>
  <c r="BC48" i="103"/>
  <c r="BC46" i="103"/>
  <c r="BC44" i="103"/>
  <c r="BC42" i="103"/>
  <c r="BC33" i="103"/>
  <c r="BC31" i="103"/>
  <c r="BC61" i="103"/>
  <c r="BC57" i="103"/>
  <c r="BC23" i="103"/>
  <c r="BC54" i="103"/>
  <c r="BC21" i="103"/>
  <c r="BC19" i="103"/>
  <c r="BC14" i="103"/>
  <c r="BC12" i="103"/>
  <c r="BC10" i="103"/>
  <c r="BC20" i="103"/>
  <c r="BC18" i="103"/>
  <c r="BC15" i="103"/>
  <c r="BC32" i="103"/>
  <c r="BC29" i="103"/>
  <c r="BC13" i="103"/>
  <c r="BC9" i="103"/>
  <c r="BC11" i="103"/>
  <c r="BC8" i="103"/>
  <c r="BC25" i="103"/>
  <c r="BC43" i="103"/>
  <c r="BC45" i="103"/>
  <c r="BC64" i="103"/>
  <c r="BC68" i="103"/>
  <c r="BC69" i="103"/>
  <c r="BC27" i="103"/>
  <c r="BC47" i="103"/>
  <c r="BC26" i="103"/>
  <c r="BC28" i="103"/>
  <c r="BC30" i="103"/>
  <c r="BC56" i="103"/>
  <c r="BC65" i="103"/>
  <c r="BC63" i="103"/>
  <c r="BC24" i="103"/>
  <c r="BC22" i="103"/>
  <c r="BC16" i="103"/>
  <c r="BC17" i="103"/>
  <c r="BC58" i="103"/>
  <c r="BC66" i="103"/>
  <c r="BC70" i="103"/>
  <c r="BC71" i="103"/>
  <c r="BC67" i="103"/>
  <c r="AD50" i="103"/>
  <c r="T54" i="103"/>
  <c r="T50" i="103"/>
  <c r="AM81" i="127"/>
  <c r="AM83" i="127" s="1"/>
  <c r="AM84" i="127" s="1"/>
  <c r="AM86" i="127" s="1"/>
  <c r="AM87" i="127" s="1"/>
  <c r="AM76" i="127"/>
  <c r="AW76" i="127"/>
  <c r="AW81" i="127"/>
  <c r="AW83" i="127" s="1"/>
  <c r="AW84" i="127" s="1"/>
  <c r="AW86" i="127" s="1"/>
  <c r="AW87" i="127" s="1"/>
  <c r="BB8" i="127"/>
  <c r="F72" i="127"/>
  <c r="F85" i="127"/>
  <c r="F70" i="127"/>
  <c r="F69" i="127"/>
  <c r="F68" i="127"/>
  <c r="F67" i="127"/>
  <c r="F66" i="127"/>
  <c r="F56" i="127"/>
  <c r="F82" i="127"/>
  <c r="F23" i="127"/>
  <c r="F18" i="127"/>
  <c r="F17" i="127"/>
  <c r="F48" i="127"/>
  <c r="F44" i="127"/>
  <c r="F32" i="127"/>
  <c r="F29" i="127"/>
  <c r="F28" i="127"/>
  <c r="F27" i="127"/>
  <c r="F16" i="127"/>
  <c r="F15" i="127"/>
  <c r="F14" i="127"/>
  <c r="F13" i="127"/>
  <c r="F52" i="127"/>
  <c r="F42" i="127"/>
  <c r="F21" i="127"/>
  <c r="F10" i="127"/>
  <c r="F9" i="127"/>
  <c r="F46" i="127"/>
  <c r="F36" i="127"/>
  <c r="F30" i="127"/>
  <c r="F20" i="127"/>
  <c r="F55" i="127"/>
  <c r="F35" i="127"/>
  <c r="F26" i="127"/>
  <c r="F22" i="127"/>
  <c r="F19" i="127"/>
  <c r="F12" i="127"/>
  <c r="F11" i="127"/>
  <c r="F24" i="127"/>
  <c r="F31" i="127"/>
  <c r="F60" i="127"/>
  <c r="F64" i="127"/>
  <c r="F51" i="127"/>
  <c r="F57" i="127"/>
  <c r="F45" i="127"/>
  <c r="F54" i="127"/>
  <c r="F8" i="127"/>
  <c r="F25" i="127"/>
  <c r="F47" i="127"/>
  <c r="F59" i="127"/>
  <c r="F63" i="127"/>
  <c r="F73" i="127"/>
  <c r="F33" i="127"/>
  <c r="F79" i="127"/>
  <c r="F71" i="127"/>
  <c r="F43" i="127"/>
  <c r="F58" i="127"/>
  <c r="F62" i="127"/>
  <c r="F61" i="127"/>
  <c r="F65" i="127"/>
  <c r="AG81" i="127"/>
  <c r="AG83" i="127" s="1"/>
  <c r="AG84" i="127" s="1"/>
  <c r="AG86" i="127" s="1"/>
  <c r="AG87" i="127" s="1"/>
  <c r="AG76" i="127"/>
  <c r="I75" i="127"/>
  <c r="I39" i="127"/>
  <c r="AH81" i="127"/>
  <c r="AH83" i="127" s="1"/>
  <c r="AH84" i="127" s="1"/>
  <c r="AH86" i="127" s="1"/>
  <c r="AH87" i="127" s="1"/>
  <c r="AH76" i="127"/>
  <c r="AS35" i="127"/>
  <c r="AZ75" i="127"/>
  <c r="AZ81" i="127" s="1"/>
  <c r="AZ39" i="127"/>
  <c r="AX79" i="127"/>
  <c r="AX78" i="127"/>
  <c r="AX68" i="127"/>
  <c r="AX66" i="127"/>
  <c r="AX48" i="127"/>
  <c r="AX65" i="127"/>
  <c r="AX45" i="127"/>
  <c r="AX41" i="127"/>
  <c r="AX67" i="127"/>
  <c r="AX46" i="127"/>
  <c r="AX42" i="127"/>
  <c r="AX33" i="127"/>
  <c r="AX29" i="127"/>
  <c r="AX22" i="127"/>
  <c r="AX20" i="127"/>
  <c r="AX19" i="127"/>
  <c r="AX18" i="127"/>
  <c r="AX69" i="127"/>
  <c r="AX47" i="127"/>
  <c r="AX43" i="127"/>
  <c r="AX31" i="127"/>
  <c r="AX27" i="127"/>
  <c r="AX12" i="127"/>
  <c r="AX44" i="127"/>
  <c r="AX26" i="127"/>
  <c r="AX13" i="127"/>
  <c r="AX11" i="127"/>
  <c r="AX10" i="127"/>
  <c r="AX9" i="127"/>
  <c r="AX28" i="127"/>
  <c r="AX14" i="127"/>
  <c r="AX15" i="127"/>
  <c r="AX24" i="127"/>
  <c r="AX54" i="127"/>
  <c r="AX59" i="127"/>
  <c r="AX63" i="127"/>
  <c r="AX70" i="127"/>
  <c r="AX74" i="127"/>
  <c r="AX16" i="127"/>
  <c r="AX23" i="127"/>
  <c r="AX21" i="127"/>
  <c r="AX60" i="127"/>
  <c r="AX64" i="127"/>
  <c r="AX57" i="127"/>
  <c r="AX58" i="127"/>
  <c r="AX62" i="127"/>
  <c r="AX71" i="127"/>
  <c r="AX77" i="127"/>
  <c r="AX56" i="127"/>
  <c r="AX17" i="127"/>
  <c r="AX30" i="127"/>
  <c r="AX32" i="127"/>
  <c r="AX25" i="127"/>
  <c r="AX61" i="127"/>
  <c r="AX55" i="127"/>
  <c r="AX73" i="127"/>
  <c r="BA75" i="127"/>
  <c r="BA81" i="127" s="1"/>
  <c r="BA39" i="127"/>
  <c r="E76" i="127"/>
  <c r="E81" i="127"/>
  <c r="E83" i="127" s="1"/>
  <c r="E84" i="127" s="1"/>
  <c r="E86" i="127" s="1"/>
  <c r="E87" i="127" s="1"/>
  <c r="F41" i="127"/>
  <c r="AK76" i="127"/>
  <c r="AK81" i="127"/>
  <c r="AK83" i="127" s="1"/>
  <c r="AK84" i="127" s="1"/>
  <c r="AK86" i="127" s="1"/>
  <c r="AK87" i="127" s="1"/>
  <c r="AL76" i="127"/>
  <c r="AL81" i="127"/>
  <c r="AL83" i="127" s="1"/>
  <c r="AL84" i="127" s="1"/>
  <c r="AL86" i="127" s="1"/>
  <c r="AL87" i="127" s="1"/>
  <c r="J70" i="127"/>
  <c r="J68" i="127"/>
  <c r="J66" i="127"/>
  <c r="AI37" i="127"/>
  <c r="J45" i="127"/>
  <c r="AS37" i="127"/>
  <c r="AI34" i="127"/>
  <c r="J34" i="127"/>
  <c r="J46" i="127"/>
  <c r="J42" i="127"/>
  <c r="AN37" i="127"/>
  <c r="J37" i="127"/>
  <c r="J36" i="127"/>
  <c r="AX34" i="127"/>
  <c r="J30" i="127"/>
  <c r="J22" i="127"/>
  <c r="J21" i="127"/>
  <c r="J20" i="127"/>
  <c r="J19" i="127"/>
  <c r="J67" i="127"/>
  <c r="J47" i="127"/>
  <c r="J43" i="127"/>
  <c r="J41" i="127"/>
  <c r="AS34" i="127"/>
  <c r="AN34" i="127"/>
  <c r="J29" i="127"/>
  <c r="J27" i="127"/>
  <c r="J16" i="127"/>
  <c r="J69" i="127"/>
  <c r="J44" i="127"/>
  <c r="J13" i="127"/>
  <c r="J12" i="127"/>
  <c r="J11" i="127"/>
  <c r="J10" i="127"/>
  <c r="J9" i="127"/>
  <c r="J48" i="127"/>
  <c r="AX37" i="127"/>
  <c r="J35" i="127"/>
  <c r="J28" i="127"/>
  <c r="J14" i="127"/>
  <c r="J32" i="127"/>
  <c r="J15" i="127"/>
  <c r="J17" i="127"/>
  <c r="J25" i="127"/>
  <c r="J31" i="127"/>
  <c r="J71" i="127"/>
  <c r="J61" i="127"/>
  <c r="J65" i="127"/>
  <c r="J33" i="127"/>
  <c r="J26" i="127"/>
  <c r="J57" i="127"/>
  <c r="J58" i="127"/>
  <c r="J23" i="127"/>
  <c r="J60" i="127"/>
  <c r="J64" i="127"/>
  <c r="J62" i="127"/>
  <c r="J18" i="127"/>
  <c r="J24" i="127"/>
  <c r="J55" i="127"/>
  <c r="J56" i="127"/>
  <c r="J59" i="127"/>
  <c r="J63" i="127"/>
  <c r="J74" i="127"/>
  <c r="J54" i="127"/>
  <c r="AQ81" i="127"/>
  <c r="AQ83" i="127" s="1"/>
  <c r="AQ84" i="127" s="1"/>
  <c r="AQ86" i="127" s="1"/>
  <c r="AQ87" i="127" s="1"/>
  <c r="AQ76" i="127"/>
  <c r="AR76" i="127"/>
  <c r="AR81" i="127"/>
  <c r="AR83" i="127" s="1"/>
  <c r="AR84" i="127" s="1"/>
  <c r="AR86" i="127" s="1"/>
  <c r="AR87" i="127" s="1"/>
  <c r="F50" i="127"/>
  <c r="BT81" i="98" l="1"/>
  <c r="BT83" i="98" s="1"/>
  <c r="BT84" i="98" s="1"/>
  <c r="BT86" i="98" s="1"/>
  <c r="BT87" i="98" s="1"/>
  <c r="BT76" i="98"/>
  <c r="BV89" i="98"/>
  <c r="BW8" i="98" s="1"/>
  <c r="BV38" i="98"/>
  <c r="BU76" i="98"/>
  <c r="BU81" i="98"/>
  <c r="BU83" i="98" s="1"/>
  <c r="BU84" i="98" s="1"/>
  <c r="BU86" i="98" s="1"/>
  <c r="BU87" i="98" s="1"/>
  <c r="S75" i="98"/>
  <c r="S39" i="98"/>
  <c r="E75" i="98"/>
  <c r="E39" i="98"/>
  <c r="X81" i="98"/>
  <c r="X83" i="98" s="1"/>
  <c r="X84" i="98" s="1"/>
  <c r="X86" i="98" s="1"/>
  <c r="X87" i="98" s="1"/>
  <c r="X76" i="98"/>
  <c r="T72" i="98"/>
  <c r="T67" i="98"/>
  <c r="T64" i="98"/>
  <c r="T61" i="98"/>
  <c r="T71" i="98"/>
  <c r="T69" i="98"/>
  <c r="T60" i="98"/>
  <c r="T58" i="98"/>
  <c r="T56" i="98"/>
  <c r="T59" i="98"/>
  <c r="T57" i="98"/>
  <c r="T55" i="98"/>
  <c r="T49" i="98"/>
  <c r="T45" i="98"/>
  <c r="T43" i="98"/>
  <c r="T17" i="98"/>
  <c r="T14" i="98"/>
  <c r="T36" i="98"/>
  <c r="T26" i="98"/>
  <c r="T32" i="98"/>
  <c r="T16" i="98"/>
  <c r="T19" i="98"/>
  <c r="T10" i="98"/>
  <c r="T29" i="98"/>
  <c r="T15" i="98"/>
  <c r="T13" i="98"/>
  <c r="T30" i="98"/>
  <c r="T33" i="98"/>
  <c r="T47" i="98"/>
  <c r="T48" i="98"/>
  <c r="T51" i="98"/>
  <c r="T62" i="98"/>
  <c r="T70" i="98"/>
  <c r="T20" i="98"/>
  <c r="T63" i="98"/>
  <c r="T9" i="98"/>
  <c r="T12" i="98"/>
  <c r="T25" i="98"/>
  <c r="T23" i="98"/>
  <c r="T27" i="98"/>
  <c r="T52" i="98"/>
  <c r="T68" i="98"/>
  <c r="T11" i="98"/>
  <c r="Y36" i="98"/>
  <c r="T21" i="98"/>
  <c r="T42" i="98"/>
  <c r="T44" i="98"/>
  <c r="T46" i="98"/>
  <c r="T66" i="98"/>
  <c r="T65" i="98"/>
  <c r="T31" i="98"/>
  <c r="T28" i="98"/>
  <c r="T54" i="98"/>
  <c r="T18" i="98"/>
  <c r="T22" i="98"/>
  <c r="T24" i="98"/>
  <c r="T41" i="98"/>
  <c r="F72" i="98"/>
  <c r="F67" i="98"/>
  <c r="F64" i="98"/>
  <c r="F63" i="98"/>
  <c r="F61" i="98"/>
  <c r="F73" i="98"/>
  <c r="F60" i="98"/>
  <c r="F58" i="98"/>
  <c r="F56" i="98"/>
  <c r="F69" i="98"/>
  <c r="F59" i="98"/>
  <c r="F57" i="98"/>
  <c r="F55" i="98"/>
  <c r="F71" i="98"/>
  <c r="F47" i="98"/>
  <c r="F45" i="98"/>
  <c r="F43" i="98"/>
  <c r="F41" i="98"/>
  <c r="F29" i="98"/>
  <c r="F26" i="98"/>
  <c r="F23" i="98"/>
  <c r="F22" i="98"/>
  <c r="F17" i="98"/>
  <c r="F16" i="98"/>
  <c r="F14" i="98"/>
  <c r="F32" i="98"/>
  <c r="F25" i="98"/>
  <c r="F21" i="98"/>
  <c r="F19" i="98"/>
  <c r="F36" i="98"/>
  <c r="F12" i="98"/>
  <c r="F9" i="98"/>
  <c r="F42" i="98"/>
  <c r="F52" i="98"/>
  <c r="F70" i="98"/>
  <c r="F82" i="98"/>
  <c r="F30" i="98"/>
  <c r="F35" i="98"/>
  <c r="F68" i="98"/>
  <c r="F46" i="98"/>
  <c r="F15" i="98"/>
  <c r="F27" i="98"/>
  <c r="F33" i="98"/>
  <c r="F11" i="98"/>
  <c r="F31" i="98"/>
  <c r="F13" i="98"/>
  <c r="F24" i="98"/>
  <c r="F44" i="98"/>
  <c r="F48" i="98"/>
  <c r="F51" i="98"/>
  <c r="F65" i="98"/>
  <c r="F66" i="98"/>
  <c r="F79" i="98"/>
  <c r="F85" i="98"/>
  <c r="F10" i="98"/>
  <c r="F20" i="98"/>
  <c r="F18" i="98"/>
  <c r="F54" i="98"/>
  <c r="F62" i="98"/>
  <c r="F28" i="98"/>
  <c r="F50" i="98"/>
  <c r="AC81" i="103"/>
  <c r="AC83" i="103" s="1"/>
  <c r="AC84" i="103" s="1"/>
  <c r="AC86" i="103" s="1"/>
  <c r="AC87" i="103" s="1"/>
  <c r="AC76" i="103"/>
  <c r="BG83" i="103"/>
  <c r="BH81" i="103"/>
  <c r="BJ81" i="103"/>
  <c r="BJ83" i="103" s="1"/>
  <c r="BJ84" i="103" s="1"/>
  <c r="BJ86" i="103" s="1"/>
  <c r="BJ87" i="103" s="1"/>
  <c r="BJ76" i="103"/>
  <c r="BB83" i="103"/>
  <c r="BC81" i="103"/>
  <c r="BL75" i="103"/>
  <c r="BL39" i="103"/>
  <c r="BA83" i="127"/>
  <c r="BA84" i="127" s="1"/>
  <c r="BA86" i="127" s="1"/>
  <c r="BA87" i="127" s="1"/>
  <c r="BA76" i="127"/>
  <c r="AZ76" i="127"/>
  <c r="AZ83" i="127"/>
  <c r="AZ84" i="127" s="1"/>
  <c r="AZ86" i="127" s="1"/>
  <c r="AZ87" i="127" s="1"/>
  <c r="BB38" i="127"/>
  <c r="I76" i="127"/>
  <c r="I81" i="127"/>
  <c r="I83" i="127" s="1"/>
  <c r="I84" i="127" s="1"/>
  <c r="I86" i="127" s="1"/>
  <c r="I87" i="127" s="1"/>
  <c r="BW49" i="98" l="1"/>
  <c r="BW27" i="98"/>
  <c r="BW11" i="98"/>
  <c r="BW70" i="98"/>
  <c r="BW58" i="98"/>
  <c r="BW60" i="98"/>
  <c r="BW17" i="98"/>
  <c r="BW67" i="98"/>
  <c r="BW55" i="98"/>
  <c r="BW57" i="98"/>
  <c r="BW51" i="98"/>
  <c r="BW61" i="98"/>
  <c r="BW13" i="98"/>
  <c r="BW36" i="98"/>
  <c r="BW31" i="98"/>
  <c r="BW72" i="98"/>
  <c r="BW9" i="98"/>
  <c r="BW32" i="98"/>
  <c r="BW59" i="98"/>
  <c r="BW52" i="98"/>
  <c r="BW56" i="98"/>
  <c r="BW19" i="98"/>
  <c r="BW69" i="98"/>
  <c r="BW20" i="98"/>
  <c r="BW64" i="98"/>
  <c r="BW42" i="98"/>
  <c r="BW50" i="98"/>
  <c r="BW33" i="98"/>
  <c r="BW45" i="98"/>
  <c r="BW68" i="98"/>
  <c r="BW62" i="98"/>
  <c r="BW15" i="98"/>
  <c r="BW66" i="98"/>
  <c r="BW43" i="98"/>
  <c r="BW44" i="98"/>
  <c r="BW46" i="98"/>
  <c r="BW14" i="98"/>
  <c r="BW71" i="98"/>
  <c r="BW10" i="98"/>
  <c r="BW48" i="98"/>
  <c r="BW23" i="98"/>
  <c r="BW25" i="98"/>
  <c r="BW21" i="98"/>
  <c r="BW18" i="98"/>
  <c r="BW24" i="98"/>
  <c r="BW29" i="98"/>
  <c r="BW22" i="98"/>
  <c r="BW26" i="98"/>
  <c r="BW65" i="98"/>
  <c r="BW16" i="98"/>
  <c r="BV92" i="98"/>
  <c r="BW30" i="98"/>
  <c r="BW63" i="98"/>
  <c r="BW47" i="98"/>
  <c r="BW12" i="98"/>
  <c r="BW54" i="98"/>
  <c r="BW28" i="98"/>
  <c r="BW41" i="98"/>
  <c r="BV39" i="98"/>
  <c r="BV75" i="98"/>
  <c r="S81" i="98"/>
  <c r="S83" i="98" s="1"/>
  <c r="S84" i="98" s="1"/>
  <c r="S86" i="98" s="1"/>
  <c r="S87" i="98" s="1"/>
  <c r="S76" i="98"/>
  <c r="E81" i="98"/>
  <c r="E83" i="98" s="1"/>
  <c r="E84" i="98" s="1"/>
  <c r="E86" i="98" s="1"/>
  <c r="E87" i="98" s="1"/>
  <c r="E76" i="98"/>
  <c r="BB84" i="103"/>
  <c r="BC83" i="103"/>
  <c r="BL76" i="103"/>
  <c r="BG84" i="103"/>
  <c r="BH83" i="103"/>
  <c r="BB75" i="127"/>
  <c r="BB39" i="127"/>
  <c r="BV81" i="98" l="1"/>
  <c r="BV83" i="98" s="1"/>
  <c r="BV84" i="98" s="1"/>
  <c r="BV86" i="98" s="1"/>
  <c r="BV87" i="98" s="1"/>
  <c r="BV76" i="98"/>
  <c r="BC84" i="103"/>
  <c r="BB86" i="103"/>
  <c r="BB87" i="103" s="1"/>
  <c r="BG86" i="103"/>
  <c r="BG87" i="103" s="1"/>
  <c r="BH84" i="103"/>
  <c r="BB76" i="127"/>
  <c r="M9" i="101" l="1"/>
  <c r="AS79" i="82" s="1"/>
  <c r="AS77" i="82" l="1"/>
  <c r="AQ79" i="82"/>
  <c r="AS89" i="82"/>
  <c r="AS81" i="82"/>
  <c r="K7" i="101"/>
  <c r="K2" i="101" s="1"/>
  <c r="AS83" i="82" l="1"/>
  <c r="AT65" i="82"/>
  <c r="AY61" i="82"/>
  <c r="AY64" i="82"/>
  <c r="AY51" i="82"/>
  <c r="AT43" i="82"/>
  <c r="AY31" i="82"/>
  <c r="AT26" i="82"/>
  <c r="AT24" i="82"/>
  <c r="AT20" i="82"/>
  <c r="AT33" i="82"/>
  <c r="AT70" i="82"/>
  <c r="AT16" i="82"/>
  <c r="AS93" i="82"/>
  <c r="AT42" i="82"/>
  <c r="AT10" i="82"/>
  <c r="AT30" i="82"/>
  <c r="AT21" i="82"/>
  <c r="AY9" i="82"/>
  <c r="AT64" i="82"/>
  <c r="AY65" i="82"/>
  <c r="AY59" i="82"/>
  <c r="AY47" i="82"/>
  <c r="AY55" i="82"/>
  <c r="AT28" i="82"/>
  <c r="AT23" i="82"/>
  <c r="AY15" i="82"/>
  <c r="AY11" i="82"/>
  <c r="AY24" i="82"/>
  <c r="AY70" i="82"/>
  <c r="AT36" i="82"/>
  <c r="AT18" i="82"/>
  <c r="AY48" i="82"/>
  <c r="AT12" i="82"/>
  <c r="AT46" i="82"/>
  <c r="AY36" i="82"/>
  <c r="AY18" i="82"/>
  <c r="AT67" i="82"/>
  <c r="AT57" i="82"/>
  <c r="AT58" i="82"/>
  <c r="AY45" i="82"/>
  <c r="AT27" i="82"/>
  <c r="AY26" i="82"/>
  <c r="AT32" i="82"/>
  <c r="AY17" i="82"/>
  <c r="AT9" i="82"/>
  <c r="AY42" i="82"/>
  <c r="AT78" i="82"/>
  <c r="AY46" i="82"/>
  <c r="AY29" i="82"/>
  <c r="AT48" i="82"/>
  <c r="AT17" i="82"/>
  <c r="AY58" i="82"/>
  <c r="AY32" i="82"/>
  <c r="AY62" i="82"/>
  <c r="AT63" i="82"/>
  <c r="AT56" i="82"/>
  <c r="AY56" i="82"/>
  <c r="AY44" i="82"/>
  <c r="AY25" i="82"/>
  <c r="AY20" i="82"/>
  <c r="AT19" i="82"/>
  <c r="AT11" i="82"/>
  <c r="AY33" i="82"/>
  <c r="AT59" i="82"/>
  <c r="AY10" i="82"/>
  <c r="AT60" i="82"/>
  <c r="AY16" i="82"/>
  <c r="AY63" i="82"/>
  <c r="AY13" i="82"/>
  <c r="AT14" i="82"/>
  <c r="AY67" i="82"/>
  <c r="AT61" i="82"/>
  <c r="AY71" i="82"/>
  <c r="AT55" i="82"/>
  <c r="AY57" i="82"/>
  <c r="AY43" i="82"/>
  <c r="AY22" i="82"/>
  <c r="AY19" i="82"/>
  <c r="AT37" i="82"/>
  <c r="AT15" i="82"/>
  <c r="AY12" i="82"/>
  <c r="AT62" i="82"/>
  <c r="AT13" i="82"/>
  <c r="AY68" i="82"/>
  <c r="AT29" i="82"/>
  <c r="AT68" i="82"/>
  <c r="AY23" i="82"/>
  <c r="AT31" i="82"/>
  <c r="AY69" i="82"/>
  <c r="AT22" i="82"/>
  <c r="AY52" i="82"/>
  <c r="AT25" i="82"/>
  <c r="AY28" i="82"/>
  <c r="AY27" i="82"/>
  <c r="AT47" i="82"/>
  <c r="AT69" i="82"/>
  <c r="AY30" i="82"/>
  <c r="AT45" i="82"/>
  <c r="AY14" i="82"/>
  <c r="AY60" i="82"/>
  <c r="AY66" i="82"/>
  <c r="AY37" i="82"/>
  <c r="AY78" i="82"/>
  <c r="AT44" i="82"/>
  <c r="AT52" i="82"/>
  <c r="AT71" i="82"/>
  <c r="AY21" i="82"/>
  <c r="AT51" i="82"/>
  <c r="AT66" i="82"/>
  <c r="AQ77" i="82"/>
  <c r="AQ81" i="82"/>
  <c r="AQ83" i="82" s="1"/>
  <c r="AQ84" i="82" s="1"/>
  <c r="AQ86" i="82" s="1"/>
  <c r="AQ87" i="82" s="1"/>
  <c r="AZ26" i="99"/>
  <c r="BJ26" i="90"/>
  <c r="BP79" i="90"/>
  <c r="BO79" i="90"/>
  <c r="BP78" i="90"/>
  <c r="BO78" i="90"/>
  <c r="BP71" i="90"/>
  <c r="BO71" i="90"/>
  <c r="BP70" i="90"/>
  <c r="BO70" i="90"/>
  <c r="BP69" i="90"/>
  <c r="BP68" i="90"/>
  <c r="BO68" i="90"/>
  <c r="BP67" i="90"/>
  <c r="BO67" i="90"/>
  <c r="BP66" i="90"/>
  <c r="BO66" i="90"/>
  <c r="BP65" i="90"/>
  <c r="BP64" i="90"/>
  <c r="BO64" i="90"/>
  <c r="BP63" i="90"/>
  <c r="BP62" i="90"/>
  <c r="BO62" i="90"/>
  <c r="BP61" i="90"/>
  <c r="BO61" i="90"/>
  <c r="BP60" i="90"/>
  <c r="BO60" i="90"/>
  <c r="BP59" i="90"/>
  <c r="BO59" i="90"/>
  <c r="BP57" i="90"/>
  <c r="BO57" i="90"/>
  <c r="BP56" i="90"/>
  <c r="BO56" i="90"/>
  <c r="BP55" i="90"/>
  <c r="BO55" i="90"/>
  <c r="BP52" i="90"/>
  <c r="BO52" i="90"/>
  <c r="BP51" i="90"/>
  <c r="BO51" i="90"/>
  <c r="BP48" i="90"/>
  <c r="BO48" i="90"/>
  <c r="BP47" i="90"/>
  <c r="BP46" i="90"/>
  <c r="BO46" i="90"/>
  <c r="BP45" i="90"/>
  <c r="BO45" i="90"/>
  <c r="BP44" i="90"/>
  <c r="BO44" i="90"/>
  <c r="BO43" i="90"/>
  <c r="BP42" i="90"/>
  <c r="BO42" i="90"/>
  <c r="BP33" i="90"/>
  <c r="BO33" i="90"/>
  <c r="BP32" i="90"/>
  <c r="BO32" i="90"/>
  <c r="BO30" i="90"/>
  <c r="BP29" i="90"/>
  <c r="BO29" i="90"/>
  <c r="BP28" i="90"/>
  <c r="BP27" i="90"/>
  <c r="BP26" i="90"/>
  <c r="BP25" i="90"/>
  <c r="BP24" i="90"/>
  <c r="BP23" i="90"/>
  <c r="BO23" i="90"/>
  <c r="BO22" i="90"/>
  <c r="BP21" i="90"/>
  <c r="BP20" i="90"/>
  <c r="BO20" i="90"/>
  <c r="BP19" i="90"/>
  <c r="BP18" i="90"/>
  <c r="BO17" i="90"/>
  <c r="BO16" i="90"/>
  <c r="BP15" i="90"/>
  <c r="BO15" i="90"/>
  <c r="BP14" i="90"/>
  <c r="BP13" i="90"/>
  <c r="BP11" i="90"/>
  <c r="BO11" i="90"/>
  <c r="BP10" i="90"/>
  <c r="BO10" i="90"/>
  <c r="BP9" i="90"/>
  <c r="BO9" i="90"/>
  <c r="BO7" i="90"/>
  <c r="BP7" i="90"/>
  <c r="BP6" i="90"/>
  <c r="BL85" i="90"/>
  <c r="BL82" i="90"/>
  <c r="BK77" i="90"/>
  <c r="BJ77" i="90"/>
  <c r="BL71" i="90"/>
  <c r="BL70" i="90"/>
  <c r="BL69" i="90"/>
  <c r="BL68" i="90"/>
  <c r="BL67" i="90"/>
  <c r="BL66" i="90"/>
  <c r="BL65" i="90"/>
  <c r="BL64" i="90"/>
  <c r="BL63" i="90"/>
  <c r="BL62" i="90"/>
  <c r="BL61" i="90"/>
  <c r="BL60" i="90"/>
  <c r="BL59" i="90"/>
  <c r="BL58" i="90"/>
  <c r="BL57" i="90"/>
  <c r="BL56" i="90"/>
  <c r="BL55" i="90"/>
  <c r="BK54" i="90"/>
  <c r="BJ54" i="90"/>
  <c r="BL53" i="90"/>
  <c r="BL52" i="90"/>
  <c r="BL51" i="90"/>
  <c r="BK50" i="90"/>
  <c r="BJ50" i="90"/>
  <c r="BL48" i="90"/>
  <c r="BL47" i="90"/>
  <c r="BL46" i="90"/>
  <c r="BL45" i="90"/>
  <c r="BL44" i="90"/>
  <c r="BL43" i="90"/>
  <c r="BL42" i="90"/>
  <c r="BK41" i="90"/>
  <c r="BJ41" i="90"/>
  <c r="BL33" i="90"/>
  <c r="BL32" i="90"/>
  <c r="BL31" i="90"/>
  <c r="BL30" i="90"/>
  <c r="BL29" i="90"/>
  <c r="BL28" i="90"/>
  <c r="BL27" i="90"/>
  <c r="BL26" i="90"/>
  <c r="BL25" i="90"/>
  <c r="BL24" i="90"/>
  <c r="BL23" i="90"/>
  <c r="BL22" i="90"/>
  <c r="BL21" i="90"/>
  <c r="BL20" i="90"/>
  <c r="BL19" i="90"/>
  <c r="BL18" i="90"/>
  <c r="BL17" i="90"/>
  <c r="BL16" i="90"/>
  <c r="BL15" i="90"/>
  <c r="BL14" i="90"/>
  <c r="BL13" i="90"/>
  <c r="BL12" i="90"/>
  <c r="BL11" i="90"/>
  <c r="BL10" i="90"/>
  <c r="BL9" i="90"/>
  <c r="BK8" i="90"/>
  <c r="BJ8" i="90"/>
  <c r="BL6" i="90"/>
  <c r="BL5" i="90" s="1"/>
  <c r="BK5" i="90"/>
  <c r="BK38" i="90" s="1"/>
  <c r="BJ5" i="90"/>
  <c r="AB79" i="89"/>
  <c r="AA79" i="89"/>
  <c r="AB78" i="89"/>
  <c r="AA78" i="89"/>
  <c r="AB71" i="89"/>
  <c r="AA71" i="89"/>
  <c r="AB70" i="89"/>
  <c r="AA70" i="89"/>
  <c r="AB69" i="89"/>
  <c r="AA69" i="89"/>
  <c r="AB68" i="89"/>
  <c r="AA68" i="89"/>
  <c r="AB67" i="89"/>
  <c r="AA67" i="89"/>
  <c r="AB66" i="89"/>
  <c r="AA66" i="89"/>
  <c r="AB65" i="89"/>
  <c r="AA65" i="89"/>
  <c r="AB64" i="89"/>
  <c r="AA64" i="89"/>
  <c r="AB63" i="89"/>
  <c r="AA63" i="89"/>
  <c r="AB62" i="89"/>
  <c r="AA62" i="89"/>
  <c r="AB61" i="89"/>
  <c r="AA61" i="89"/>
  <c r="AB60" i="89"/>
  <c r="AA60" i="89"/>
  <c r="AB59" i="89"/>
  <c r="AA59" i="89"/>
  <c r="AB58" i="89"/>
  <c r="AA58" i="89"/>
  <c r="AB57" i="89"/>
  <c r="AA57" i="89"/>
  <c r="AB56" i="89"/>
  <c r="AA56" i="89"/>
  <c r="AB55" i="89"/>
  <c r="AA55" i="89"/>
  <c r="AB52" i="89"/>
  <c r="AA52" i="89"/>
  <c r="AB51" i="89"/>
  <c r="AA51" i="89"/>
  <c r="AB48" i="89"/>
  <c r="AA48" i="89"/>
  <c r="AB47" i="89"/>
  <c r="AA47" i="89"/>
  <c r="AB46" i="89"/>
  <c r="AA46" i="89"/>
  <c r="AB45" i="89"/>
  <c r="AA45" i="89"/>
  <c r="AB44" i="89"/>
  <c r="AA44" i="89"/>
  <c r="AB43" i="89"/>
  <c r="AA43" i="89"/>
  <c r="AB42" i="89"/>
  <c r="AA42" i="89"/>
  <c r="AB33" i="89"/>
  <c r="AA33" i="89"/>
  <c r="AB32" i="89"/>
  <c r="AA32" i="89"/>
  <c r="AB31" i="89"/>
  <c r="AA31" i="89"/>
  <c r="AB30" i="89"/>
  <c r="AA30" i="89"/>
  <c r="AB29" i="89"/>
  <c r="AA29" i="89"/>
  <c r="AB28" i="89"/>
  <c r="AA28" i="89"/>
  <c r="AB27" i="89"/>
  <c r="AA27" i="89"/>
  <c r="AB26" i="89"/>
  <c r="AA26" i="89"/>
  <c r="AB25" i="89"/>
  <c r="AA25" i="89"/>
  <c r="AB24" i="89"/>
  <c r="AA24" i="89"/>
  <c r="AB23" i="89"/>
  <c r="AA23" i="89"/>
  <c r="AB22" i="89"/>
  <c r="AA22" i="89"/>
  <c r="AB21" i="89"/>
  <c r="AA21" i="89"/>
  <c r="AB20" i="89"/>
  <c r="AA20" i="89"/>
  <c r="AB19" i="89"/>
  <c r="AA19" i="89"/>
  <c r="AB18" i="89"/>
  <c r="AA18" i="89"/>
  <c r="AB17" i="89"/>
  <c r="AA17" i="89"/>
  <c r="AB16" i="89"/>
  <c r="AA16" i="89"/>
  <c r="AB15" i="89"/>
  <c r="AA15" i="89"/>
  <c r="AB14" i="89"/>
  <c r="AA14" i="89"/>
  <c r="AB13" i="89"/>
  <c r="AA13" i="89"/>
  <c r="AB12" i="89"/>
  <c r="AA12" i="89"/>
  <c r="AB11" i="89"/>
  <c r="AA11" i="89"/>
  <c r="AB10" i="89"/>
  <c r="AA10" i="89"/>
  <c r="AB9" i="89"/>
  <c r="AA9" i="89"/>
  <c r="AA7" i="89"/>
  <c r="AB7" i="89"/>
  <c r="AB6" i="89"/>
  <c r="AA6" i="89"/>
  <c r="X85" i="89"/>
  <c r="X82" i="89"/>
  <c r="X78" i="89"/>
  <c r="W77" i="89"/>
  <c r="V77" i="89"/>
  <c r="X74" i="89"/>
  <c r="X73" i="89" s="1"/>
  <c r="W73" i="89"/>
  <c r="V73" i="89"/>
  <c r="X71" i="89"/>
  <c r="X70" i="89"/>
  <c r="X69" i="89"/>
  <c r="X68" i="89"/>
  <c r="X67" i="89"/>
  <c r="X66" i="89"/>
  <c r="X65" i="89"/>
  <c r="X64" i="89"/>
  <c r="X63" i="89"/>
  <c r="X62" i="89"/>
  <c r="X61" i="89"/>
  <c r="X60" i="89"/>
  <c r="X59" i="89"/>
  <c r="X58" i="89"/>
  <c r="X57" i="89"/>
  <c r="X56" i="89"/>
  <c r="X55" i="89"/>
  <c r="W54" i="89"/>
  <c r="V54" i="89"/>
  <c r="X52" i="89"/>
  <c r="X51" i="89"/>
  <c r="W50" i="89"/>
  <c r="V50" i="89"/>
  <c r="X48" i="89"/>
  <c r="X47" i="89"/>
  <c r="X46" i="89"/>
  <c r="X45" i="89"/>
  <c r="X44" i="89"/>
  <c r="X43" i="89"/>
  <c r="X42" i="89"/>
  <c r="W41" i="89"/>
  <c r="V41" i="89"/>
  <c r="X36" i="89"/>
  <c r="X35" i="89" s="1"/>
  <c r="W35" i="89"/>
  <c r="V35" i="89"/>
  <c r="X33" i="89"/>
  <c r="X32" i="89"/>
  <c r="X31" i="89"/>
  <c r="X30" i="89"/>
  <c r="X29" i="89"/>
  <c r="X28" i="89"/>
  <c r="X27" i="89"/>
  <c r="X26" i="89"/>
  <c r="X25" i="89"/>
  <c r="X24" i="89"/>
  <c r="X21" i="89"/>
  <c r="X20" i="89"/>
  <c r="X19" i="89"/>
  <c r="X18" i="89"/>
  <c r="X17" i="89"/>
  <c r="X16" i="89"/>
  <c r="X15" i="89"/>
  <c r="X14" i="89"/>
  <c r="X13" i="89"/>
  <c r="X12" i="89"/>
  <c r="X11" i="89"/>
  <c r="X10" i="89"/>
  <c r="X9" i="89"/>
  <c r="W8" i="89"/>
  <c r="V8" i="89"/>
  <c r="X7" i="89"/>
  <c r="X6" i="89"/>
  <c r="X5" i="89" s="1"/>
  <c r="W5" i="89"/>
  <c r="V5" i="89"/>
  <c r="V38" i="89" s="1"/>
  <c r="BK80" i="99"/>
  <c r="BJ80" i="99"/>
  <c r="BK37" i="99"/>
  <c r="BJ37" i="99"/>
  <c r="BB85" i="99"/>
  <c r="BB82" i="99"/>
  <c r="BB78" i="99"/>
  <c r="BA77" i="99"/>
  <c r="AZ77" i="99"/>
  <c r="BB74" i="99"/>
  <c r="BB73" i="99" s="1"/>
  <c r="BA73" i="99"/>
  <c r="AZ73" i="99"/>
  <c r="BB71" i="99"/>
  <c r="BB70" i="99"/>
  <c r="BB69" i="99"/>
  <c r="BB68" i="99"/>
  <c r="BB67" i="99"/>
  <c r="BB66" i="99"/>
  <c r="BB65" i="99"/>
  <c r="BB64" i="99"/>
  <c r="BB63" i="99"/>
  <c r="BB62" i="99"/>
  <c r="BB61" i="99"/>
  <c r="BB60" i="99"/>
  <c r="BB59" i="99"/>
  <c r="BB58" i="99"/>
  <c r="BB57" i="99"/>
  <c r="BB56" i="99"/>
  <c r="BB55" i="99"/>
  <c r="BA54" i="99"/>
  <c r="AZ54" i="99"/>
  <c r="BB52" i="99"/>
  <c r="BB51" i="99"/>
  <c r="BA50" i="99"/>
  <c r="AZ50" i="99"/>
  <c r="BB48" i="99"/>
  <c r="BB47" i="99"/>
  <c r="BB46" i="99"/>
  <c r="BB45" i="99"/>
  <c r="BB44" i="99"/>
  <c r="BB43" i="99"/>
  <c r="BB42" i="99"/>
  <c r="BA41" i="99"/>
  <c r="AZ41" i="99"/>
  <c r="BB36" i="99"/>
  <c r="BB35" i="99" s="1"/>
  <c r="BA35" i="99"/>
  <c r="AZ35" i="99"/>
  <c r="BB33" i="99"/>
  <c r="BB32" i="99"/>
  <c r="BB31" i="99"/>
  <c r="BB30" i="99"/>
  <c r="BB29" i="99"/>
  <c r="BB28" i="99"/>
  <c r="BB27" i="99"/>
  <c r="BB26" i="99"/>
  <c r="BB25" i="99"/>
  <c r="BB24" i="99"/>
  <c r="BB23" i="99"/>
  <c r="BB22" i="99"/>
  <c r="BB21" i="99"/>
  <c r="BB20" i="99"/>
  <c r="BB19" i="99"/>
  <c r="BB18" i="99"/>
  <c r="BB17" i="99"/>
  <c r="BB16" i="99"/>
  <c r="BB15" i="99"/>
  <c r="BB14" i="99"/>
  <c r="BB13" i="99"/>
  <c r="BB12" i="99"/>
  <c r="BB11" i="99"/>
  <c r="BB10" i="99"/>
  <c r="BB9" i="99"/>
  <c r="BA8" i="99"/>
  <c r="AZ8" i="99"/>
  <c r="BB7" i="99"/>
  <c r="BB6" i="99"/>
  <c r="BB5" i="99" s="1"/>
  <c r="BA5" i="99"/>
  <c r="BA38" i="99" s="1"/>
  <c r="AZ5" i="99"/>
  <c r="M18" i="101"/>
  <c r="CT79" i="82" s="1"/>
  <c r="M14" i="101"/>
  <c r="CB79" i="82" s="1"/>
  <c r="M13" i="101"/>
  <c r="BW79" i="82" s="1"/>
  <c r="M12" i="101"/>
  <c r="BP79" i="82" s="1"/>
  <c r="M11" i="101"/>
  <c r="BC79" i="82" s="1"/>
  <c r="M10" i="101"/>
  <c r="AX79" i="82" s="1"/>
  <c r="M8" i="101"/>
  <c r="AN79" i="82" s="1"/>
  <c r="M7" i="101"/>
  <c r="AI79" i="82" s="1"/>
  <c r="M5" i="101"/>
  <c r="M4" i="101"/>
  <c r="I18" i="101"/>
  <c r="I14" i="101"/>
  <c r="I13" i="101"/>
  <c r="I12" i="101"/>
  <c r="I11" i="101"/>
  <c r="I10" i="101"/>
  <c r="I9" i="101"/>
  <c r="I8" i="101"/>
  <c r="I7" i="101"/>
  <c r="I5" i="101"/>
  <c r="I4" i="101"/>
  <c r="AV79" i="82" l="1"/>
  <c r="AX77" i="82"/>
  <c r="AX89" i="82"/>
  <c r="AX93" i="82" s="1"/>
  <c r="AX81" i="82"/>
  <c r="CT77" i="82"/>
  <c r="CV79" i="82"/>
  <c r="CT81" i="82"/>
  <c r="CT83" i="82" s="1"/>
  <c r="CT84" i="82" s="1"/>
  <c r="CT86" i="82" s="1"/>
  <c r="CT87" i="82" s="1"/>
  <c r="BA79" i="82"/>
  <c r="BC89" i="82"/>
  <c r="BD79" i="82" s="1"/>
  <c r="BC77" i="82"/>
  <c r="BC81" i="82"/>
  <c r="BC83" i="82" s="1"/>
  <c r="BC84" i="82" s="1"/>
  <c r="BC86" i="82" s="1"/>
  <c r="AN77" i="82"/>
  <c r="AL79" i="82"/>
  <c r="AN89" i="82"/>
  <c r="AO79" i="82" s="1"/>
  <c r="AN81" i="82"/>
  <c r="BP77" i="82"/>
  <c r="BR79" i="82"/>
  <c r="BP81" i="82"/>
  <c r="BP83" i="82" s="1"/>
  <c r="BP84" i="82" s="1"/>
  <c r="BP86" i="82" s="1"/>
  <c r="BP87" i="82" s="1"/>
  <c r="BU79" i="82"/>
  <c r="BW77" i="82"/>
  <c r="BW89" i="82"/>
  <c r="BW81" i="82"/>
  <c r="BW83" i="82" s="1"/>
  <c r="BW84" i="82" s="1"/>
  <c r="BW86" i="82" s="1"/>
  <c r="BW87" i="82" s="1"/>
  <c r="AS84" i="82"/>
  <c r="AI77" i="82"/>
  <c r="AG79" i="82"/>
  <c r="AI89" i="82"/>
  <c r="AI81" i="82"/>
  <c r="BZ79" i="82"/>
  <c r="CB77" i="82"/>
  <c r="CB89" i="82"/>
  <c r="CB91" i="82" s="1"/>
  <c r="CB81" i="82"/>
  <c r="CB83" i="82" s="1"/>
  <c r="CB84" i="82" s="1"/>
  <c r="CB86" i="82" s="1"/>
  <c r="BB50" i="99"/>
  <c r="BB54" i="99"/>
  <c r="BL50" i="90"/>
  <c r="X8" i="89"/>
  <c r="X38" i="89" s="1"/>
  <c r="X39" i="89" s="1"/>
  <c r="BL79" i="90"/>
  <c r="BL77" i="90" s="1"/>
  <c r="BB41" i="99"/>
  <c r="AZ38" i="99"/>
  <c r="AZ75" i="99" s="1"/>
  <c r="X50" i="89"/>
  <c r="X54" i="89"/>
  <c r="BJ38" i="90"/>
  <c r="BJ75" i="90" s="1"/>
  <c r="BJ76" i="90" s="1"/>
  <c r="X41" i="89"/>
  <c r="BL41" i="90"/>
  <c r="BL54" i="90"/>
  <c r="BL8" i="90"/>
  <c r="BL38" i="90" s="1"/>
  <c r="BK39" i="90"/>
  <c r="BK75" i="90"/>
  <c r="BJ81" i="90"/>
  <c r="BJ83" i="90" s="1"/>
  <c r="BJ84" i="90" s="1"/>
  <c r="BJ86" i="90" s="1"/>
  <c r="BJ87" i="90" s="1"/>
  <c r="W38" i="89"/>
  <c r="W39" i="89" s="1"/>
  <c r="V75" i="89"/>
  <c r="V39" i="89"/>
  <c r="BA39" i="99"/>
  <c r="BA75" i="99"/>
  <c r="BB8" i="99"/>
  <c r="BB38" i="99" s="1"/>
  <c r="BK79" i="82" l="1"/>
  <c r="BK77" i="82" s="1"/>
  <c r="AJ8" i="82"/>
  <c r="AJ18" i="82"/>
  <c r="AY35" i="82"/>
  <c r="AT35" i="82"/>
  <c r="AO85" i="82"/>
  <c r="AJ80" i="82"/>
  <c r="AY82" i="82"/>
  <c r="AT72" i="82"/>
  <c r="AO53" i="82"/>
  <c r="AT49" i="82"/>
  <c r="AJ43" i="82"/>
  <c r="AT40" i="82"/>
  <c r="AJ19" i="82"/>
  <c r="AO37" i="82"/>
  <c r="AJ30" i="82"/>
  <c r="AJ58" i="82"/>
  <c r="AJ47" i="82"/>
  <c r="AJ10" i="82"/>
  <c r="AJ46" i="82"/>
  <c r="AJ26" i="82"/>
  <c r="AJ78" i="82"/>
  <c r="AT38" i="82"/>
  <c r="AJ54" i="82"/>
  <c r="AJ82" i="82"/>
  <c r="AO72" i="82"/>
  <c r="AY74" i="82"/>
  <c r="AY53" i="82"/>
  <c r="AJ63" i="82"/>
  <c r="AJ52" i="82"/>
  <c r="AJ50" i="82"/>
  <c r="AJ36" i="82"/>
  <c r="AJ57" i="82"/>
  <c r="AJ21" i="82"/>
  <c r="AJ11" i="82"/>
  <c r="AT85" i="82"/>
  <c r="AJ56" i="82"/>
  <c r="AJ48" i="82"/>
  <c r="AJ23" i="82"/>
  <c r="AO38" i="82"/>
  <c r="BS38" i="82"/>
  <c r="AJ75" i="82"/>
  <c r="AY72" i="82"/>
  <c r="AJ69" i="82"/>
  <c r="AJ74" i="82"/>
  <c r="AT80" i="82"/>
  <c r="AJ53" i="82"/>
  <c r="AJ51" i="82"/>
  <c r="BD40" i="82"/>
  <c r="AY34" i="82"/>
  <c r="BX40" i="82"/>
  <c r="AJ15" i="82"/>
  <c r="AJ17" i="82"/>
  <c r="AJ13" i="82"/>
  <c r="AJ70" i="82"/>
  <c r="AJ60" i="82"/>
  <c r="AJ73" i="82"/>
  <c r="AJ9" i="82"/>
  <c r="AJ25" i="82"/>
  <c r="AY80" i="82"/>
  <c r="BS85" i="82"/>
  <c r="AJ68" i="82"/>
  <c r="AJ71" i="82"/>
  <c r="AT53" i="82"/>
  <c r="AT74" i="82"/>
  <c r="AO49" i="82"/>
  <c r="AY40" i="82"/>
  <c r="AJ31" i="82"/>
  <c r="AO40" i="82"/>
  <c r="BS40" i="82"/>
  <c r="AJ16" i="82"/>
  <c r="AJ24" i="82"/>
  <c r="BS82" i="82"/>
  <c r="AJ64" i="82"/>
  <c r="BD82" i="82"/>
  <c r="AJ44" i="82"/>
  <c r="AO73" i="82"/>
  <c r="AJ41" i="82"/>
  <c r="BX39" i="82"/>
  <c r="BD39" i="82"/>
  <c r="AO80" i="82"/>
  <c r="BD85" i="82"/>
  <c r="AJ67" i="82"/>
  <c r="AY85" i="82"/>
  <c r="AJ62" i="82"/>
  <c r="AJ61" i="82"/>
  <c r="AJ55" i="82"/>
  <c r="AJ35" i="82"/>
  <c r="AJ22" i="82"/>
  <c r="AT34" i="82"/>
  <c r="AO34" i="82"/>
  <c r="AJ28" i="82"/>
  <c r="AJ33" i="82"/>
  <c r="AT73" i="82"/>
  <c r="AJ29" i="82"/>
  <c r="AJ12" i="82"/>
  <c r="AO82" i="82"/>
  <c r="BX38" i="82"/>
  <c r="AJ66" i="82"/>
  <c r="AJ20" i="82"/>
  <c r="AI93" i="82"/>
  <c r="BD38" i="82"/>
  <c r="AT82" i="82"/>
  <c r="AJ27" i="82"/>
  <c r="AJ14" i="82"/>
  <c r="AY73" i="82"/>
  <c r="AJ32" i="82"/>
  <c r="AY38" i="82"/>
  <c r="AJ59" i="82"/>
  <c r="AO36" i="82"/>
  <c r="AO74" i="82"/>
  <c r="AJ45" i="82"/>
  <c r="AJ38" i="82"/>
  <c r="AJ39" i="82"/>
  <c r="AJ65" i="82"/>
  <c r="AO35" i="82"/>
  <c r="AJ85" i="82"/>
  <c r="AY49" i="82"/>
  <c r="AJ42" i="82"/>
  <c r="AJ76" i="82"/>
  <c r="AY75" i="82"/>
  <c r="AT39" i="82"/>
  <c r="AO75" i="82"/>
  <c r="BS39" i="82"/>
  <c r="AY39" i="82"/>
  <c r="AO39" i="82"/>
  <c r="AT75" i="82"/>
  <c r="AT76" i="82"/>
  <c r="AO76" i="82"/>
  <c r="AY76" i="82"/>
  <c r="AI83" i="82"/>
  <c r="AJ81" i="82"/>
  <c r="AT83" i="82"/>
  <c r="CV77" i="82"/>
  <c r="CV89" i="82"/>
  <c r="CV91" i="82" s="1"/>
  <c r="CV81" i="82"/>
  <c r="CV83" i="82" s="1"/>
  <c r="CV84" i="82" s="1"/>
  <c r="CV86" i="82" s="1"/>
  <c r="BC87" i="82"/>
  <c r="AG77" i="82"/>
  <c r="AG81" i="82"/>
  <c r="AG83" i="82" s="1"/>
  <c r="AG84" i="82" s="1"/>
  <c r="AG86" i="82" s="1"/>
  <c r="AG87" i="82" s="1"/>
  <c r="EA50" i="82"/>
  <c r="EA67" i="82"/>
  <c r="EA36" i="82"/>
  <c r="EA64" i="82"/>
  <c r="EA54" i="82"/>
  <c r="EA32" i="82"/>
  <c r="EA57" i="82"/>
  <c r="EA33" i="82"/>
  <c r="EA71" i="82"/>
  <c r="EA66" i="82"/>
  <c r="EA48" i="82"/>
  <c r="EA41" i="82"/>
  <c r="EA9" i="82"/>
  <c r="EA65" i="82"/>
  <c r="EA17" i="82"/>
  <c r="EA29" i="82"/>
  <c r="EA55" i="82"/>
  <c r="EA15" i="82"/>
  <c r="EA31" i="82"/>
  <c r="EA58" i="82"/>
  <c r="EA49" i="82"/>
  <c r="EA13" i="82"/>
  <c r="BW91" i="82"/>
  <c r="EA11" i="82"/>
  <c r="EA21" i="82"/>
  <c r="EA56" i="82"/>
  <c r="EA60" i="82"/>
  <c r="EA44" i="82"/>
  <c r="EA25" i="82"/>
  <c r="EA47" i="82"/>
  <c r="EA19" i="82"/>
  <c r="EA27" i="82"/>
  <c r="EA43" i="82"/>
  <c r="EA22" i="82"/>
  <c r="EA20" i="82"/>
  <c r="EA10" i="82"/>
  <c r="EA8" i="82"/>
  <c r="EA16" i="82"/>
  <c r="EA30" i="82"/>
  <c r="EA26" i="82"/>
  <c r="EA24" i="82"/>
  <c r="EA51" i="82"/>
  <c r="EA23" i="82"/>
  <c r="EA62" i="82"/>
  <c r="EA63" i="82"/>
  <c r="EA14" i="82"/>
  <c r="EA68" i="82"/>
  <c r="EA73" i="82"/>
  <c r="EA18" i="82"/>
  <c r="EA52" i="82"/>
  <c r="EA59" i="82"/>
  <c r="EA70" i="82"/>
  <c r="EA45" i="82"/>
  <c r="EA12" i="82"/>
  <c r="EA46" i="82"/>
  <c r="EA28" i="82"/>
  <c r="EA61" i="82"/>
  <c r="EA42" i="82"/>
  <c r="EA69" i="82"/>
  <c r="BR77" i="82"/>
  <c r="BR89" i="82"/>
  <c r="BR81" i="82"/>
  <c r="BR83" i="82" s="1"/>
  <c r="BR84" i="82" s="1"/>
  <c r="BR86" i="82" s="1"/>
  <c r="AX83" i="82"/>
  <c r="AY81" i="82"/>
  <c r="CB87" i="82"/>
  <c r="AO81" i="82"/>
  <c r="AN83" i="82"/>
  <c r="AO68" i="82"/>
  <c r="AO60" i="82"/>
  <c r="AO33" i="82"/>
  <c r="AO28" i="82"/>
  <c r="AO11" i="82"/>
  <c r="AO15" i="82"/>
  <c r="AO58" i="82"/>
  <c r="AN93" i="82"/>
  <c r="AO70" i="82"/>
  <c r="AO61" i="82"/>
  <c r="AO64" i="82"/>
  <c r="AY41" i="82"/>
  <c r="AO67" i="82"/>
  <c r="AO32" i="82"/>
  <c r="AO30" i="82"/>
  <c r="AO18" i="82"/>
  <c r="AO27" i="82"/>
  <c r="AO12" i="82"/>
  <c r="AO48" i="82"/>
  <c r="AO31" i="82"/>
  <c r="AO13" i="82"/>
  <c r="AO16" i="82"/>
  <c r="AY54" i="82"/>
  <c r="AT41" i="82"/>
  <c r="AO62" i="82"/>
  <c r="AO26" i="82"/>
  <c r="AO29" i="82"/>
  <c r="AO17" i="82"/>
  <c r="AT50" i="82"/>
  <c r="AO14" i="82"/>
  <c r="AO59" i="82"/>
  <c r="AO20" i="82"/>
  <c r="AO50" i="82"/>
  <c r="BX8" i="82"/>
  <c r="BX41" i="82"/>
  <c r="BD8" i="82"/>
  <c r="AO54" i="82"/>
  <c r="AO63" i="82"/>
  <c r="AO24" i="82"/>
  <c r="AO21" i="82"/>
  <c r="AO9" i="82"/>
  <c r="AO52" i="82"/>
  <c r="AO22" i="82"/>
  <c r="AO51" i="82"/>
  <c r="AO42" i="82"/>
  <c r="AO46" i="82"/>
  <c r="BS8" i="82"/>
  <c r="AO41" i="82"/>
  <c r="AT8" i="82"/>
  <c r="AO71" i="82"/>
  <c r="AO66" i="82"/>
  <c r="AO23" i="82"/>
  <c r="AO45" i="82"/>
  <c r="AY8" i="82"/>
  <c r="AO69" i="82"/>
  <c r="BD41" i="82"/>
  <c r="AO10" i="82"/>
  <c r="AY50" i="82"/>
  <c r="AO57" i="82"/>
  <c r="BS41" i="82"/>
  <c r="AO8" i="82"/>
  <c r="AO25" i="82"/>
  <c r="AO55" i="82"/>
  <c r="AO19" i="82"/>
  <c r="AO47" i="82"/>
  <c r="AO78" i="82"/>
  <c r="AT54" i="82"/>
  <c r="AO65" i="82"/>
  <c r="AO44" i="82"/>
  <c r="AO43" i="82"/>
  <c r="AO56" i="82"/>
  <c r="AT81" i="82"/>
  <c r="AT77" i="82"/>
  <c r="BD54" i="82"/>
  <c r="BS80" i="82"/>
  <c r="BS65" i="82"/>
  <c r="BS59" i="82"/>
  <c r="BS47" i="82"/>
  <c r="BD34" i="82"/>
  <c r="BD24" i="82"/>
  <c r="BD29" i="82"/>
  <c r="BD22" i="82"/>
  <c r="BS17" i="82"/>
  <c r="BD19" i="82"/>
  <c r="BD59" i="82"/>
  <c r="BS13" i="82"/>
  <c r="BS22" i="82"/>
  <c r="BS14" i="82"/>
  <c r="BS55" i="82"/>
  <c r="BD13" i="82"/>
  <c r="BD56" i="82"/>
  <c r="BD62" i="82"/>
  <c r="BS46" i="82"/>
  <c r="BS10" i="82"/>
  <c r="BD73" i="82"/>
  <c r="BS78" i="82"/>
  <c r="BD65" i="82"/>
  <c r="BS52" i="82"/>
  <c r="BD47" i="82"/>
  <c r="BS32" i="82"/>
  <c r="BD23" i="82"/>
  <c r="BS23" i="82"/>
  <c r="BS25" i="82"/>
  <c r="BD9" i="82"/>
  <c r="BD31" i="82"/>
  <c r="BS56" i="82"/>
  <c r="BD36" i="82"/>
  <c r="BD42" i="82"/>
  <c r="BD10" i="82"/>
  <c r="BD68" i="82"/>
  <c r="BS18" i="82"/>
  <c r="BD46" i="82"/>
  <c r="BD27" i="82"/>
  <c r="BD58" i="82"/>
  <c r="BD12" i="82"/>
  <c r="BS67" i="82"/>
  <c r="BD71" i="82"/>
  <c r="BD66" i="82"/>
  <c r="BS51" i="82"/>
  <c r="BD49" i="82"/>
  <c r="BD32" i="82"/>
  <c r="BD37" i="82"/>
  <c r="BS21" i="82"/>
  <c r="BS19" i="82"/>
  <c r="BD25" i="82"/>
  <c r="BD48" i="82"/>
  <c r="BD57" i="82"/>
  <c r="BD16" i="82"/>
  <c r="BS63" i="82"/>
  <c r="BS16" i="82"/>
  <c r="BD26" i="82"/>
  <c r="BD50" i="82"/>
  <c r="BS48" i="82"/>
  <c r="BS15" i="82"/>
  <c r="BS57" i="82"/>
  <c r="BD15" i="82"/>
  <c r="BD78" i="82"/>
  <c r="BS54" i="82"/>
  <c r="BD80" i="82"/>
  <c r="BS64" i="82"/>
  <c r="BS49" i="82"/>
  <c r="BS53" i="82"/>
  <c r="BS34" i="82"/>
  <c r="BS30" i="82"/>
  <c r="BS33" i="82"/>
  <c r="BD21" i="82"/>
  <c r="BD17" i="82"/>
  <c r="BS9" i="82"/>
  <c r="BS44" i="82"/>
  <c r="BS62" i="82"/>
  <c r="BS35" i="82"/>
  <c r="BS69" i="82"/>
  <c r="BS27" i="82"/>
  <c r="BD20" i="82"/>
  <c r="BS36" i="82"/>
  <c r="BD61" i="82"/>
  <c r="BS12" i="82"/>
  <c r="BD60" i="82"/>
  <c r="BD67" i="82"/>
  <c r="BS72" i="82"/>
  <c r="BD64" i="82"/>
  <c r="BS66" i="82"/>
  <c r="BD53" i="82"/>
  <c r="BS45" i="82"/>
  <c r="BD30" i="82"/>
  <c r="BD33" i="82"/>
  <c r="BD43" i="82"/>
  <c r="BD45" i="82"/>
  <c r="BS11" i="82"/>
  <c r="BD55" i="82"/>
  <c r="BS61" i="82"/>
  <c r="BD14" i="82"/>
  <c r="BD44" i="82"/>
  <c r="BS20" i="82"/>
  <c r="BD18" i="82"/>
  <c r="BC93" i="82"/>
  <c r="BC95" i="82" s="1"/>
  <c r="BS68" i="82"/>
  <c r="BS42" i="82"/>
  <c r="BS70" i="82"/>
  <c r="BD69" i="82"/>
  <c r="BS71" i="82"/>
  <c r="BS43" i="82"/>
  <c r="BD52" i="82"/>
  <c r="BS73" i="82"/>
  <c r="BS60" i="82"/>
  <c r="BS26" i="82"/>
  <c r="BS58" i="82"/>
  <c r="BD70" i="82"/>
  <c r="BD74" i="82"/>
  <c r="BS50" i="82"/>
  <c r="BD11" i="82"/>
  <c r="BD28" i="82"/>
  <c r="BS24" i="82"/>
  <c r="BS37" i="82"/>
  <c r="BD51" i="82"/>
  <c r="BS31" i="82"/>
  <c r="BD63" i="82"/>
  <c r="BD72" i="82"/>
  <c r="BS29" i="82"/>
  <c r="BD35" i="82"/>
  <c r="BS28" i="82"/>
  <c r="BZ77" i="82"/>
  <c r="BZ81" i="82"/>
  <c r="BZ83" i="82" s="1"/>
  <c r="BZ84" i="82" s="1"/>
  <c r="BZ86" i="82" s="1"/>
  <c r="BZ87" i="82" s="1"/>
  <c r="BU77" i="82"/>
  <c r="BU81" i="82"/>
  <c r="BU83" i="82" s="1"/>
  <c r="BU84" i="82" s="1"/>
  <c r="BU86" i="82" s="1"/>
  <c r="BU87" i="82" s="1"/>
  <c r="AL77" i="82"/>
  <c r="AL81" i="82"/>
  <c r="AL83" i="82" s="1"/>
  <c r="AL84" i="82" s="1"/>
  <c r="AL86" i="82" s="1"/>
  <c r="AL87" i="82" s="1"/>
  <c r="BA77" i="82"/>
  <c r="BA81" i="82"/>
  <c r="BA83" i="82" s="1"/>
  <c r="BA84" i="82" s="1"/>
  <c r="BA86" i="82" s="1"/>
  <c r="BA87" i="82" s="1"/>
  <c r="AY77" i="82"/>
  <c r="AJ77" i="82"/>
  <c r="AJ79" i="82"/>
  <c r="AT84" i="82"/>
  <c r="AS86" i="82"/>
  <c r="AO77" i="82"/>
  <c r="AV77" i="82"/>
  <c r="AV81" i="82"/>
  <c r="AV83" i="82" s="1"/>
  <c r="AV84" i="82" s="1"/>
  <c r="AV86" i="82" s="1"/>
  <c r="AV87" i="82" s="1"/>
  <c r="AZ39" i="99"/>
  <c r="W75" i="89"/>
  <c r="W76" i="89" s="1"/>
  <c r="X75" i="89"/>
  <c r="X76" i="89" s="1"/>
  <c r="BJ39" i="90"/>
  <c r="BL89" i="90"/>
  <c r="BL94" i="90" s="1"/>
  <c r="BL39" i="90"/>
  <c r="BL75" i="90"/>
  <c r="BL76" i="90" s="1"/>
  <c r="BK81" i="90"/>
  <c r="BK83" i="90" s="1"/>
  <c r="BK84" i="90" s="1"/>
  <c r="BK86" i="90" s="1"/>
  <c r="BK87" i="90" s="1"/>
  <c r="BK76" i="90"/>
  <c r="W81" i="89"/>
  <c r="W83" i="89" s="1"/>
  <c r="W84" i="89" s="1"/>
  <c r="W86" i="89" s="1"/>
  <c r="W87" i="89" s="1"/>
  <c r="V81" i="89"/>
  <c r="V83" i="89" s="1"/>
  <c r="V84" i="89" s="1"/>
  <c r="V86" i="89" s="1"/>
  <c r="V87" i="89" s="1"/>
  <c r="V76" i="89"/>
  <c r="BB75" i="99"/>
  <c r="BB39" i="99"/>
  <c r="AZ76" i="99"/>
  <c r="AZ81" i="99"/>
  <c r="AZ83" i="99" s="1"/>
  <c r="AZ84" i="99" s="1"/>
  <c r="AZ86" i="99" s="1"/>
  <c r="AZ87" i="99" s="1"/>
  <c r="BA81" i="99"/>
  <c r="BA83" i="99" s="1"/>
  <c r="BA84" i="99" s="1"/>
  <c r="BA86" i="99" s="1"/>
  <c r="BA87" i="99" s="1"/>
  <c r="BA76" i="99"/>
  <c r="BK81" i="82" l="1"/>
  <c r="BK83" i="82" s="1"/>
  <c r="BK84" i="82" s="1"/>
  <c r="BK86" i="82" s="1"/>
  <c r="BK87" i="82" s="1"/>
  <c r="BM79" i="82"/>
  <c r="BM89" i="82" s="1"/>
  <c r="BM91" i="82" s="1"/>
  <c r="AN84" i="82"/>
  <c r="AO83" i="82"/>
  <c r="AT86" i="82"/>
  <c r="AS87" i="82"/>
  <c r="AT87" i="82" s="1"/>
  <c r="BR87" i="82"/>
  <c r="AJ83" i="82"/>
  <c r="AI84" i="82"/>
  <c r="BR93" i="82"/>
  <c r="BR95" i="82" s="1"/>
  <c r="BR91" i="82"/>
  <c r="AX84" i="82"/>
  <c r="AY83" i="82"/>
  <c r="CV87" i="82"/>
  <c r="CZ94" i="82"/>
  <c r="DA101" i="82" s="1"/>
  <c r="DE94" i="82"/>
  <c r="DF101" i="82" s="1"/>
  <c r="CU94" i="82"/>
  <c r="CV99" i="82" s="1"/>
  <c r="BL81" i="90"/>
  <c r="BL83" i="90" s="1"/>
  <c r="BL84" i="90" s="1"/>
  <c r="BL86" i="90" s="1"/>
  <c r="BL87" i="90" s="1"/>
  <c r="BB76" i="99"/>
  <c r="BM81" i="82" l="1"/>
  <c r="BM83" i="82" s="1"/>
  <c r="BM84" i="82" s="1"/>
  <c r="BM86" i="82" s="1"/>
  <c r="BM87" i="82" s="1"/>
  <c r="EE79" i="82"/>
  <c r="EE77" i="82" s="1"/>
  <c r="BM77" i="82"/>
  <c r="BM93" i="82"/>
  <c r="AX86" i="82"/>
  <c r="AY84" i="82"/>
  <c r="AI86" i="82"/>
  <c r="AJ84" i="82"/>
  <c r="AO84" i="82"/>
  <c r="AN86" i="82"/>
  <c r="C38" i="101" l="1"/>
  <c r="F38" i="101" s="1"/>
  <c r="EE81" i="82"/>
  <c r="EE83" i="82" s="1"/>
  <c r="EE84" i="82" s="1"/>
  <c r="EE86" i="82" s="1"/>
  <c r="EE87" i="82" s="1"/>
  <c r="AO86" i="82"/>
  <c r="AN87" i="82"/>
  <c r="AO87" i="82" s="1"/>
  <c r="AI87" i="82"/>
  <c r="AJ87" i="82" s="1"/>
  <c r="AJ86" i="82"/>
  <c r="AX87" i="82"/>
  <c r="AY87" i="82" s="1"/>
  <c r="AY86" i="82"/>
  <c r="AX95" i="82"/>
  <c r="H38" i="101" l="1"/>
  <c r="Q6" i="107" l="1"/>
  <c r="E49" i="101" l="1"/>
  <c r="I52" i="101"/>
  <c r="I46" i="101" l="1"/>
  <c r="I45" i="101" s="1"/>
  <c r="C52" i="101"/>
  <c r="R16" i="107" l="1"/>
  <c r="Q25" i="107" l="1"/>
  <c r="Q26" i="107" l="1"/>
  <c r="E51" i="101" l="1"/>
  <c r="E53" i="101"/>
  <c r="C53" i="101" s="1"/>
  <c r="E54" i="101"/>
  <c r="E47" i="101"/>
  <c r="C47" i="101" s="1"/>
  <c r="E46" i="101" l="1"/>
  <c r="K6" i="107"/>
  <c r="E45" i="101" l="1"/>
  <c r="R30" i="107"/>
  <c r="BF59" i="107"/>
  <c r="BE59" i="107"/>
  <c r="BE78" i="107"/>
  <c r="BF78" i="107"/>
  <c r="BE79" i="107"/>
  <c r="BF79" i="107"/>
  <c r="BF71" i="107"/>
  <c r="BE71" i="107"/>
  <c r="BF70" i="107"/>
  <c r="BE70" i="107"/>
  <c r="BF69" i="107"/>
  <c r="BE69" i="107"/>
  <c r="BF68" i="107"/>
  <c r="BE68" i="107"/>
  <c r="BF67" i="107"/>
  <c r="BE67" i="107"/>
  <c r="BF66" i="107"/>
  <c r="BE66" i="107"/>
  <c r="BF65" i="107"/>
  <c r="BE65" i="107"/>
  <c r="BF64" i="107"/>
  <c r="BE64" i="107"/>
  <c r="BF63" i="107"/>
  <c r="BE63" i="107"/>
  <c r="BF62" i="107"/>
  <c r="BE62" i="107"/>
  <c r="BF61" i="107"/>
  <c r="BE61" i="107"/>
  <c r="BF60" i="107"/>
  <c r="BE60" i="107"/>
  <c r="BF58" i="107"/>
  <c r="BE58" i="107"/>
  <c r="BF57" i="107"/>
  <c r="BE57" i="107"/>
  <c r="BF56" i="107"/>
  <c r="BE56" i="107"/>
  <c r="BF55" i="107"/>
  <c r="BE55" i="107"/>
  <c r="BF52" i="107"/>
  <c r="BE52" i="107"/>
  <c r="BF51" i="107"/>
  <c r="BE51" i="107"/>
  <c r="BF48" i="107"/>
  <c r="BE48" i="107"/>
  <c r="BF47" i="107"/>
  <c r="BE47" i="107"/>
  <c r="BF46" i="107"/>
  <c r="BE46" i="107"/>
  <c r="BF45" i="107"/>
  <c r="BE45" i="107"/>
  <c r="BF44" i="107"/>
  <c r="BE44" i="107"/>
  <c r="BF43" i="107"/>
  <c r="BE43" i="107"/>
  <c r="BF42" i="107"/>
  <c r="BE42" i="107"/>
  <c r="BF33" i="107"/>
  <c r="BE33" i="107"/>
  <c r="BF32" i="107"/>
  <c r="BE32" i="107"/>
  <c r="BF31" i="107"/>
  <c r="BE31" i="107"/>
  <c r="BF30" i="107"/>
  <c r="BE30" i="107"/>
  <c r="BF29" i="107"/>
  <c r="BE29" i="107"/>
  <c r="BF28" i="107"/>
  <c r="BE28" i="107"/>
  <c r="BF27" i="107"/>
  <c r="BE27" i="107"/>
  <c r="BF26" i="107"/>
  <c r="BE26" i="107"/>
  <c r="BF25" i="107"/>
  <c r="BE25" i="107"/>
  <c r="BF24" i="107"/>
  <c r="BE24" i="107"/>
  <c r="BF23" i="107"/>
  <c r="BE23" i="107"/>
  <c r="BF22" i="107"/>
  <c r="BE22" i="107"/>
  <c r="BF21" i="107"/>
  <c r="BE21" i="107"/>
  <c r="BF20" i="107"/>
  <c r="BE20" i="107"/>
  <c r="BF19" i="107"/>
  <c r="BE19" i="107"/>
  <c r="BF18" i="107"/>
  <c r="BE18" i="107"/>
  <c r="BF17" i="107"/>
  <c r="BE17" i="107"/>
  <c r="BF16" i="107"/>
  <c r="BE16" i="107"/>
  <c r="BF15" i="107"/>
  <c r="BE15" i="107"/>
  <c r="BF14" i="107"/>
  <c r="BE14" i="107"/>
  <c r="BF13" i="107"/>
  <c r="BE13" i="107"/>
  <c r="BF12" i="107"/>
  <c r="BE12" i="107"/>
  <c r="BF11" i="107"/>
  <c r="BE11" i="107"/>
  <c r="BF10" i="107"/>
  <c r="BE10" i="107"/>
  <c r="BF9" i="107"/>
  <c r="BE9" i="107"/>
  <c r="BE7" i="107"/>
  <c r="BF7" i="107"/>
  <c r="BF6" i="107"/>
  <c r="BE6" i="107"/>
  <c r="BF85" i="107" l="1"/>
  <c r="D49" i="101" l="1"/>
  <c r="D54" i="101"/>
  <c r="C54" i="101" s="1"/>
  <c r="D51" i="101"/>
  <c r="C51" i="101" s="1"/>
  <c r="C49" i="101" l="1"/>
  <c r="D46" i="101"/>
  <c r="C46" i="101" l="1"/>
  <c r="D37" i="101" s="1"/>
  <c r="D45" i="101"/>
  <c r="C45" i="101" l="1"/>
  <c r="D36" i="101"/>
  <c r="BG33" i="90" l="1"/>
  <c r="BG85" i="90"/>
  <c r="BG82" i="90"/>
  <c r="BF77" i="90"/>
  <c r="BE77" i="90"/>
  <c r="BG71" i="90"/>
  <c r="BG70" i="90"/>
  <c r="BG69" i="90"/>
  <c r="BG68" i="90"/>
  <c r="BG67" i="90"/>
  <c r="BG66" i="90"/>
  <c r="BG65" i="90"/>
  <c r="BG64" i="90"/>
  <c r="BG63" i="90"/>
  <c r="BG62" i="90"/>
  <c r="BG61" i="90"/>
  <c r="BG60" i="90"/>
  <c r="BG59" i="90"/>
  <c r="BG58" i="90"/>
  <c r="BG57" i="90"/>
  <c r="BG56" i="90"/>
  <c r="BG55" i="90"/>
  <c r="BF54" i="90"/>
  <c r="BE54" i="90"/>
  <c r="BG53" i="90"/>
  <c r="BG52" i="90"/>
  <c r="BG51" i="90"/>
  <c r="BF50" i="90"/>
  <c r="BE50" i="90"/>
  <c r="BG48" i="90"/>
  <c r="BG47" i="90"/>
  <c r="BG46" i="90"/>
  <c r="BG45" i="90"/>
  <c r="BG44" i="90"/>
  <c r="BG43" i="90"/>
  <c r="BG42" i="90"/>
  <c r="BF41" i="90"/>
  <c r="BE41" i="90"/>
  <c r="BG32" i="90"/>
  <c r="BG31" i="90"/>
  <c r="BG30" i="90"/>
  <c r="BG29" i="90"/>
  <c r="BG28" i="90"/>
  <c r="BG27" i="90"/>
  <c r="BE8" i="90"/>
  <c r="BG25" i="90"/>
  <c r="BG24" i="90"/>
  <c r="BG23" i="90"/>
  <c r="BG22" i="90"/>
  <c r="BG21" i="90"/>
  <c r="BG20" i="90"/>
  <c r="BG19" i="90"/>
  <c r="BG18" i="90"/>
  <c r="BG17" i="90"/>
  <c r="BG16" i="90"/>
  <c r="BG15" i="90"/>
  <c r="BG14" i="90"/>
  <c r="BG13" i="90"/>
  <c r="BG12" i="90"/>
  <c r="BG11" i="90"/>
  <c r="BG10" i="90"/>
  <c r="BG9" i="90"/>
  <c r="BF8" i="90"/>
  <c r="BG6" i="90"/>
  <c r="BG5" i="90" s="1"/>
  <c r="BF5" i="90"/>
  <c r="BE5" i="90"/>
  <c r="BE85" i="107"/>
  <c r="BF82" i="107"/>
  <c r="BE82" i="107"/>
  <c r="BG82" i="107" l="1"/>
  <c r="BG50" i="90"/>
  <c r="BG54" i="90"/>
  <c r="BG41" i="90"/>
  <c r="BE38" i="90"/>
  <c r="BE39" i="90" s="1"/>
  <c r="BF38" i="90"/>
  <c r="BF75" i="90" s="1"/>
  <c r="BG26" i="90"/>
  <c r="BE75" i="90" l="1"/>
  <c r="BE81" i="90" s="1"/>
  <c r="BE83" i="90" s="1"/>
  <c r="BE84" i="90" s="1"/>
  <c r="BE86" i="90" s="1"/>
  <c r="BE87" i="90" s="1"/>
  <c r="BG8" i="90"/>
  <c r="BG38" i="90" s="1"/>
  <c r="BF39" i="90"/>
  <c r="BF81" i="90"/>
  <c r="BF83" i="90" s="1"/>
  <c r="BF84" i="90" s="1"/>
  <c r="BF86" i="90" s="1"/>
  <c r="BF87" i="90" s="1"/>
  <c r="BF76" i="90"/>
  <c r="BE76" i="90" l="1"/>
  <c r="BG75" i="90"/>
  <c r="BG39" i="90"/>
  <c r="BG76" i="90" l="1"/>
  <c r="AS85" i="117" l="1"/>
  <c r="J85" i="117"/>
  <c r="J82" i="117"/>
  <c r="H77" i="117"/>
  <c r="I77" i="117"/>
  <c r="J78" i="117"/>
  <c r="AR82" i="117" l="1"/>
  <c r="AQ82" i="117"/>
  <c r="AR79" i="117"/>
  <c r="AQ79" i="117"/>
  <c r="AR78" i="117"/>
  <c r="AQ78" i="117"/>
  <c r="AR74" i="117"/>
  <c r="AQ74" i="117"/>
  <c r="AR71" i="117"/>
  <c r="AQ71" i="117"/>
  <c r="AR70" i="117"/>
  <c r="AQ70" i="117"/>
  <c r="AR69" i="117"/>
  <c r="AQ69" i="117"/>
  <c r="AQ68" i="117"/>
  <c r="AR67" i="117"/>
  <c r="AQ67" i="117"/>
  <c r="AR66" i="117"/>
  <c r="AQ66" i="117"/>
  <c r="AR65" i="117"/>
  <c r="AQ65" i="117"/>
  <c r="AR64" i="117"/>
  <c r="AQ64" i="117"/>
  <c r="AR63" i="117"/>
  <c r="AQ63" i="117"/>
  <c r="AR62" i="117"/>
  <c r="AQ62" i="117"/>
  <c r="AR61" i="117"/>
  <c r="AQ61" i="117"/>
  <c r="AR60" i="117"/>
  <c r="AQ60" i="117"/>
  <c r="AR59" i="117"/>
  <c r="AQ59" i="117"/>
  <c r="AR58" i="117"/>
  <c r="AQ58" i="117"/>
  <c r="AR57" i="117"/>
  <c r="AQ57" i="117"/>
  <c r="AR56" i="117"/>
  <c r="AQ56" i="117"/>
  <c r="AR55" i="117"/>
  <c r="AQ55" i="117"/>
  <c r="AR52" i="117"/>
  <c r="AQ52" i="117"/>
  <c r="AR51" i="117"/>
  <c r="AQ51" i="117"/>
  <c r="AR48" i="117"/>
  <c r="AQ48" i="117"/>
  <c r="AR47" i="117"/>
  <c r="AQ47" i="117"/>
  <c r="AR46" i="117"/>
  <c r="AQ46" i="117"/>
  <c r="AR45" i="117"/>
  <c r="AQ45" i="117"/>
  <c r="AR44" i="117"/>
  <c r="AQ44" i="117"/>
  <c r="AR43" i="117"/>
  <c r="AQ43" i="117"/>
  <c r="AR42" i="117"/>
  <c r="AQ42" i="117"/>
  <c r="AR36" i="117"/>
  <c r="AQ36" i="117"/>
  <c r="AR33" i="117"/>
  <c r="AQ33" i="117"/>
  <c r="AR32" i="117"/>
  <c r="AQ32" i="117"/>
  <c r="AR31" i="117"/>
  <c r="AQ31" i="117"/>
  <c r="AR30" i="117"/>
  <c r="AQ30" i="117"/>
  <c r="AR29" i="117"/>
  <c r="AQ29" i="117"/>
  <c r="AR28" i="117"/>
  <c r="AQ28" i="117"/>
  <c r="AR27" i="117"/>
  <c r="AQ27" i="117"/>
  <c r="AR26" i="117"/>
  <c r="AQ26" i="117"/>
  <c r="AR25" i="117"/>
  <c r="AQ25" i="117"/>
  <c r="AR24" i="117"/>
  <c r="AQ24" i="117"/>
  <c r="AR23" i="117"/>
  <c r="AQ23" i="117"/>
  <c r="AR22" i="117"/>
  <c r="AQ22" i="117"/>
  <c r="AR21" i="117"/>
  <c r="AQ21" i="117"/>
  <c r="AR20" i="117"/>
  <c r="AQ20" i="117"/>
  <c r="AR19" i="117"/>
  <c r="AQ19" i="117"/>
  <c r="AR18" i="117"/>
  <c r="AQ18" i="117"/>
  <c r="AR17" i="117"/>
  <c r="AQ17" i="117"/>
  <c r="AR16" i="117"/>
  <c r="AQ16" i="117"/>
  <c r="AR15" i="117"/>
  <c r="AQ15" i="117"/>
  <c r="AR14" i="117"/>
  <c r="AQ14" i="117"/>
  <c r="AR13" i="117"/>
  <c r="AQ13" i="117"/>
  <c r="AR12" i="117"/>
  <c r="AQ12" i="117"/>
  <c r="AR11" i="117"/>
  <c r="AQ11" i="117"/>
  <c r="AR10" i="117"/>
  <c r="AQ10" i="117"/>
  <c r="AR9" i="117"/>
  <c r="AQ9" i="117"/>
  <c r="AQ7" i="117"/>
  <c r="AR7" i="117"/>
  <c r="AR6" i="117"/>
  <c r="AQ6" i="117"/>
  <c r="BB85" i="107" l="1"/>
  <c r="BB82" i="107"/>
  <c r="BB78" i="107"/>
  <c r="BA77" i="107"/>
  <c r="AZ77" i="107"/>
  <c r="BB74" i="107"/>
  <c r="BB73" i="107" s="1"/>
  <c r="BA73" i="107"/>
  <c r="AZ73" i="107"/>
  <c r="BB71" i="107"/>
  <c r="BB70" i="107"/>
  <c r="BB69" i="107"/>
  <c r="BB68" i="107"/>
  <c r="BB67" i="107"/>
  <c r="BB66" i="107"/>
  <c r="BB65" i="107"/>
  <c r="BB64" i="107"/>
  <c r="BB63" i="107"/>
  <c r="BB62" i="107"/>
  <c r="BB61" i="107"/>
  <c r="BB60" i="107"/>
  <c r="BB59" i="107"/>
  <c r="BB58" i="107"/>
  <c r="BB57" i="107"/>
  <c r="BB56" i="107"/>
  <c r="BB55" i="107"/>
  <c r="BA54" i="107"/>
  <c r="AZ54" i="107"/>
  <c r="BB52" i="107"/>
  <c r="BB51" i="107"/>
  <c r="BA50" i="107"/>
  <c r="AZ50" i="107"/>
  <c r="BB48" i="107"/>
  <c r="BB47" i="107"/>
  <c r="BB46" i="107"/>
  <c r="BB45" i="107"/>
  <c r="BB44" i="107"/>
  <c r="BB43" i="107"/>
  <c r="BB42" i="107"/>
  <c r="BA41" i="107"/>
  <c r="AZ41" i="107"/>
  <c r="BB36" i="107"/>
  <c r="BB35" i="107" s="1"/>
  <c r="BA35" i="107"/>
  <c r="AZ35" i="107"/>
  <c r="BB33" i="107"/>
  <c r="BB32" i="107"/>
  <c r="BB31" i="107"/>
  <c r="BB30" i="107"/>
  <c r="BB29" i="107"/>
  <c r="BB28" i="107"/>
  <c r="BB27" i="107"/>
  <c r="BB26" i="107"/>
  <c r="BB25" i="107"/>
  <c r="AZ8" i="107"/>
  <c r="BB22" i="107"/>
  <c r="BB21" i="107"/>
  <c r="BB20" i="107"/>
  <c r="BB19" i="107"/>
  <c r="BB18" i="107"/>
  <c r="BB17" i="107"/>
  <c r="BB16" i="107"/>
  <c r="BB15" i="107"/>
  <c r="BB14" i="107"/>
  <c r="BB13" i="107"/>
  <c r="BB12" i="107"/>
  <c r="BB11" i="107"/>
  <c r="BB10" i="107"/>
  <c r="BB9" i="107"/>
  <c r="BA8" i="107"/>
  <c r="BB7" i="107"/>
  <c r="BB6" i="107"/>
  <c r="BA5" i="107"/>
  <c r="AZ5" i="107"/>
  <c r="E12" i="117"/>
  <c r="BB5" i="107" l="1"/>
  <c r="BB50" i="107"/>
  <c r="BB54" i="107"/>
  <c r="BB79" i="107"/>
  <c r="BB77" i="107" s="1"/>
  <c r="AZ38" i="107"/>
  <c r="AZ39" i="107" s="1"/>
  <c r="BA38" i="107"/>
  <c r="BA75" i="107" s="1"/>
  <c r="BB24" i="107"/>
  <c r="BB41" i="107"/>
  <c r="BA39" i="107" l="1"/>
  <c r="AZ75" i="107"/>
  <c r="AZ81" i="107" s="1"/>
  <c r="AZ83" i="107" s="1"/>
  <c r="AZ84" i="107" s="1"/>
  <c r="AZ86" i="107" s="1"/>
  <c r="AZ87" i="107" s="1"/>
  <c r="BA81" i="107"/>
  <c r="BA83" i="107" s="1"/>
  <c r="BA84" i="107" s="1"/>
  <c r="BA86" i="107" s="1"/>
  <c r="BA87" i="107" s="1"/>
  <c r="BA76" i="107"/>
  <c r="BB8" i="107"/>
  <c r="AZ76" i="107" l="1"/>
  <c r="BB89" i="107"/>
  <c r="BB38" i="107"/>
  <c r="BB75" i="107" l="1"/>
  <c r="BB39" i="107"/>
  <c r="BB76" i="107" l="1"/>
  <c r="BB81" i="107"/>
  <c r="BB83" i="107" s="1"/>
  <c r="BB84" i="107" s="1"/>
  <c r="BB86" i="107" s="1"/>
  <c r="BB87" i="107" s="1"/>
  <c r="BK85" i="102" l="1"/>
  <c r="BJ85" i="102"/>
  <c r="BK79" i="102"/>
  <c r="D68" i="117"/>
  <c r="AR68" i="117" s="1"/>
  <c r="BE26" i="87"/>
  <c r="BJ26" i="87" s="1"/>
  <c r="BG85" i="87"/>
  <c r="BG82" i="87"/>
  <c r="BF81" i="87"/>
  <c r="BF83" i="87" s="1"/>
  <c r="BF84" i="87" s="1"/>
  <c r="BE81" i="87"/>
  <c r="BE83" i="87" s="1"/>
  <c r="BE84" i="87" s="1"/>
  <c r="BG78" i="87"/>
  <c r="BG77" i="87" s="1"/>
  <c r="BG74" i="87"/>
  <c r="BG73" i="87" s="1"/>
  <c r="BG71" i="87"/>
  <c r="BG70" i="87"/>
  <c r="BG69" i="87"/>
  <c r="BG68" i="87"/>
  <c r="BG67" i="87"/>
  <c r="BG66" i="87"/>
  <c r="BG65" i="87"/>
  <c r="BG64" i="87"/>
  <c r="BG63" i="87"/>
  <c r="BG62" i="87"/>
  <c r="BG61" i="87"/>
  <c r="BG60" i="87"/>
  <c r="BG59" i="87"/>
  <c r="BG58" i="87"/>
  <c r="BG57" i="87"/>
  <c r="BG56" i="87"/>
  <c r="BG55" i="87"/>
  <c r="BG52" i="87"/>
  <c r="BG51" i="87"/>
  <c r="BG48" i="87"/>
  <c r="BG47" i="87"/>
  <c r="BG46" i="87"/>
  <c r="BG45" i="87"/>
  <c r="BG44" i="87"/>
  <c r="BG43" i="87"/>
  <c r="BG42" i="87"/>
  <c r="BG36" i="87"/>
  <c r="BG35" i="87" s="1"/>
  <c r="BG33" i="87"/>
  <c r="BG32" i="87"/>
  <c r="BG31" i="87"/>
  <c r="BG30" i="87"/>
  <c r="BG29" i="87"/>
  <c r="BG28" i="87"/>
  <c r="BG27" i="87"/>
  <c r="BG25" i="87"/>
  <c r="BG24" i="87"/>
  <c r="BG21" i="87"/>
  <c r="BG20" i="87"/>
  <c r="BG19" i="87"/>
  <c r="BG18" i="87"/>
  <c r="BG17" i="87"/>
  <c r="BG16" i="87"/>
  <c r="BG15" i="87"/>
  <c r="BG14" i="87"/>
  <c r="BG13" i="87"/>
  <c r="BG12" i="87"/>
  <c r="BG11" i="87"/>
  <c r="BG10" i="87"/>
  <c r="BG9" i="87"/>
  <c r="BG7" i="87"/>
  <c r="BG6" i="87"/>
  <c r="BG5" i="87" s="1"/>
  <c r="BG41" i="87" l="1"/>
  <c r="BG26" i="87"/>
  <c r="BG8" i="87" s="1"/>
  <c r="BG50" i="87"/>
  <c r="BG54" i="87"/>
  <c r="BG89" i="87" l="1"/>
  <c r="BG38" i="87"/>
  <c r="BG39" i="87" l="1"/>
  <c r="BG75" i="87"/>
  <c r="BG76" i="87" l="1"/>
  <c r="BG81" i="87"/>
  <c r="BG83" i="87" s="1"/>
  <c r="BG84" i="87" s="1"/>
  <c r="BG86" i="87" s="1"/>
  <c r="BG87" i="87" s="1"/>
  <c r="BE47" i="91"/>
  <c r="BF79" i="91"/>
  <c r="BE79" i="91"/>
  <c r="BF78" i="91"/>
  <c r="BE78" i="91"/>
  <c r="BF71" i="91"/>
  <c r="BE71" i="91"/>
  <c r="BF70" i="91"/>
  <c r="BE70" i="91"/>
  <c r="BF69" i="91"/>
  <c r="BE69" i="91"/>
  <c r="BF68" i="91"/>
  <c r="BE68" i="91"/>
  <c r="BF67" i="91"/>
  <c r="BE67" i="91"/>
  <c r="BF66" i="91"/>
  <c r="BE66" i="91"/>
  <c r="BF65" i="91"/>
  <c r="BE65" i="91"/>
  <c r="BF64" i="91"/>
  <c r="BE64" i="91"/>
  <c r="BF63" i="91"/>
  <c r="BE63" i="91"/>
  <c r="BF62" i="91"/>
  <c r="BE62" i="91"/>
  <c r="BF61" i="91"/>
  <c r="BE61" i="91"/>
  <c r="BF60" i="91"/>
  <c r="BE60" i="91"/>
  <c r="BF59" i="91"/>
  <c r="BE59" i="91"/>
  <c r="BF58" i="91"/>
  <c r="BE58" i="91"/>
  <c r="BF57" i="91"/>
  <c r="BE57" i="91"/>
  <c r="BF56" i="91"/>
  <c r="BE56" i="91"/>
  <c r="BF55" i="91"/>
  <c r="BE55" i="91"/>
  <c r="BF52" i="91"/>
  <c r="BE52" i="91"/>
  <c r="BF51" i="91"/>
  <c r="BE51" i="91"/>
  <c r="BF48" i="91"/>
  <c r="BE48" i="91"/>
  <c r="BF47" i="91"/>
  <c r="BF46" i="91"/>
  <c r="BE46" i="91"/>
  <c r="BF45" i="91"/>
  <c r="BE45" i="91"/>
  <c r="BF44" i="91"/>
  <c r="BE44" i="91"/>
  <c r="BF43" i="91"/>
  <c r="BE43" i="91"/>
  <c r="BF42" i="91"/>
  <c r="BE42" i="91"/>
  <c r="BF33" i="91"/>
  <c r="BE33" i="91"/>
  <c r="BF32" i="91"/>
  <c r="BE32" i="91"/>
  <c r="BF31" i="91"/>
  <c r="BE31" i="91"/>
  <c r="BE30" i="91"/>
  <c r="BF29" i="91"/>
  <c r="BE29" i="91"/>
  <c r="BF28" i="91"/>
  <c r="BF27" i="91"/>
  <c r="BE27" i="91"/>
  <c r="BF26" i="91"/>
  <c r="BF25" i="91"/>
  <c r="BF24" i="91"/>
  <c r="BF23" i="91"/>
  <c r="BE23" i="91"/>
  <c r="BF22" i="91"/>
  <c r="BF21" i="91"/>
  <c r="BE21" i="91"/>
  <c r="BF20" i="91"/>
  <c r="BE20" i="91"/>
  <c r="BF19" i="91"/>
  <c r="BE19" i="91"/>
  <c r="BF18" i="91"/>
  <c r="BE18" i="91"/>
  <c r="BF17" i="91"/>
  <c r="BE17" i="91"/>
  <c r="BE16" i="91"/>
  <c r="BF15" i="91"/>
  <c r="BE15" i="91"/>
  <c r="BF14" i="91"/>
  <c r="BE14" i="91"/>
  <c r="BF13" i="91"/>
  <c r="BE13" i="91"/>
  <c r="BF12" i="91"/>
  <c r="BE12" i="91"/>
  <c r="BF11" i="91"/>
  <c r="BE11" i="91"/>
  <c r="BF10" i="91"/>
  <c r="BE10" i="91"/>
  <c r="BF9" i="91"/>
  <c r="BE9" i="91"/>
  <c r="BE7" i="91"/>
  <c r="BF7" i="91"/>
  <c r="BF6" i="91"/>
  <c r="BE6" i="91"/>
  <c r="AW85" i="91"/>
  <c r="AW82" i="91"/>
  <c r="AW78" i="91"/>
  <c r="AV77" i="91"/>
  <c r="AU77" i="91"/>
  <c r="AW74" i="91"/>
  <c r="AW73" i="91" s="1"/>
  <c r="AV73" i="91"/>
  <c r="AU73" i="91"/>
  <c r="AW71" i="91"/>
  <c r="AW70" i="91"/>
  <c r="AW69" i="91"/>
  <c r="AW68" i="91"/>
  <c r="AW67" i="91"/>
  <c r="AW66" i="91"/>
  <c r="AW65" i="91"/>
  <c r="AW64" i="91"/>
  <c r="AW63" i="91"/>
  <c r="AW62" i="91"/>
  <c r="AW61" i="91"/>
  <c r="AW60" i="91"/>
  <c r="AW59" i="91"/>
  <c r="AW58" i="91"/>
  <c r="AW57" i="91"/>
  <c r="AW56" i="91"/>
  <c r="AW55" i="91"/>
  <c r="AV54" i="91"/>
  <c r="AU54" i="91"/>
  <c r="AW52" i="91"/>
  <c r="AW51" i="91"/>
  <c r="AV50" i="91"/>
  <c r="AU50" i="91"/>
  <c r="AW48" i="91"/>
  <c r="AW47" i="91"/>
  <c r="AW46" i="91"/>
  <c r="AW45" i="91"/>
  <c r="AW44" i="91"/>
  <c r="AW43" i="91"/>
  <c r="AW42" i="91"/>
  <c r="AV41" i="91"/>
  <c r="AU41" i="91"/>
  <c r="AW36" i="91"/>
  <c r="AW35" i="91" s="1"/>
  <c r="AV35" i="91"/>
  <c r="AU35" i="91"/>
  <c r="AW33" i="91"/>
  <c r="AW32" i="91"/>
  <c r="AW31" i="91"/>
  <c r="AW30" i="91"/>
  <c r="AW29" i="91"/>
  <c r="AW28" i="91"/>
  <c r="AW27" i="91"/>
  <c r="AW26" i="91"/>
  <c r="AW25" i="91"/>
  <c r="AW24" i="91"/>
  <c r="AW23" i="91"/>
  <c r="AW22" i="91"/>
  <c r="AW21" i="91"/>
  <c r="AW20" i="91"/>
  <c r="AW19" i="91"/>
  <c r="AW18" i="91"/>
  <c r="AW17" i="91"/>
  <c r="AW16" i="91"/>
  <c r="AW15" i="91"/>
  <c r="AW14" i="91"/>
  <c r="AW13" i="91"/>
  <c r="AW12" i="91"/>
  <c r="AW11" i="91"/>
  <c r="AW10" i="91"/>
  <c r="AW9" i="91"/>
  <c r="AV8" i="91"/>
  <c r="AW7" i="91"/>
  <c r="AW6" i="91"/>
  <c r="AV5" i="91"/>
  <c r="AU5" i="91"/>
  <c r="AW41" i="91" l="1"/>
  <c r="AW54" i="91"/>
  <c r="AW5" i="91"/>
  <c r="AW50" i="91"/>
  <c r="AW8" i="91"/>
  <c r="AV38" i="91"/>
  <c r="AV39" i="91" s="1"/>
  <c r="AU8" i="91"/>
  <c r="AU38" i="91" s="1"/>
  <c r="AW38" i="91" l="1"/>
  <c r="AW39" i="91" s="1"/>
  <c r="AV75" i="91"/>
  <c r="AV76" i="91" s="1"/>
  <c r="AU75" i="91"/>
  <c r="AU39" i="91"/>
  <c r="AB49" i="89"/>
  <c r="AA49" i="89"/>
  <c r="S85" i="89"/>
  <c r="S82" i="89"/>
  <c r="S78" i="89"/>
  <c r="R77" i="89"/>
  <c r="Q77" i="89"/>
  <c r="S74" i="89"/>
  <c r="S73" i="89" s="1"/>
  <c r="R73" i="89"/>
  <c r="Q73" i="89"/>
  <c r="S71" i="89"/>
  <c r="S70" i="89"/>
  <c r="S69" i="89"/>
  <c r="S68" i="89"/>
  <c r="S67" i="89"/>
  <c r="S66" i="89"/>
  <c r="S65" i="89"/>
  <c r="S64" i="89"/>
  <c r="S63" i="89"/>
  <c r="S62" i="89"/>
  <c r="S61" i="89"/>
  <c r="S60" i="89"/>
  <c r="S59" i="89"/>
  <c r="S58" i="89"/>
  <c r="S57" i="89"/>
  <c r="S56" i="89"/>
  <c r="S55" i="89"/>
  <c r="R54" i="89"/>
  <c r="Q54" i="89"/>
  <c r="S52" i="89"/>
  <c r="S51" i="89"/>
  <c r="R50" i="89"/>
  <c r="Q50" i="89"/>
  <c r="S48" i="89"/>
  <c r="S47" i="89"/>
  <c r="S46" i="89"/>
  <c r="S45" i="89"/>
  <c r="S44" i="89"/>
  <c r="S43" i="89"/>
  <c r="S42" i="89"/>
  <c r="R41" i="89"/>
  <c r="Q41" i="89"/>
  <c r="S36" i="89"/>
  <c r="R35" i="89"/>
  <c r="Q35" i="89"/>
  <c r="S33" i="89"/>
  <c r="S32" i="89"/>
  <c r="S31" i="89"/>
  <c r="S30" i="89"/>
  <c r="S29" i="89"/>
  <c r="S28" i="89"/>
  <c r="S27" i="89"/>
  <c r="S26" i="89"/>
  <c r="S25" i="89"/>
  <c r="S24" i="89"/>
  <c r="S21" i="89"/>
  <c r="S20" i="89"/>
  <c r="S19" i="89"/>
  <c r="S18" i="89"/>
  <c r="S17" i="89"/>
  <c r="S16" i="89"/>
  <c r="S15" i="89"/>
  <c r="S14" i="89"/>
  <c r="S13" i="89"/>
  <c r="S12" i="89"/>
  <c r="S11" i="89"/>
  <c r="S10" i="89"/>
  <c r="S9" i="89"/>
  <c r="R8" i="89"/>
  <c r="Q8" i="89"/>
  <c r="S7" i="89"/>
  <c r="S6" i="89"/>
  <c r="S5" i="89" s="1"/>
  <c r="R5" i="89"/>
  <c r="Q5" i="89"/>
  <c r="AV81" i="91" l="1"/>
  <c r="AV83" i="91" s="1"/>
  <c r="AV84" i="91" s="1"/>
  <c r="AV86" i="91" s="1"/>
  <c r="AV87" i="91" s="1"/>
  <c r="S50" i="89"/>
  <c r="S54" i="89"/>
  <c r="AW75" i="91"/>
  <c r="AW76" i="91" s="1"/>
  <c r="Q38" i="89"/>
  <c r="S8" i="89"/>
  <c r="S38" i="89" s="1"/>
  <c r="R38" i="89"/>
  <c r="R75" i="89" s="1"/>
  <c r="AU81" i="91"/>
  <c r="AU83" i="91" s="1"/>
  <c r="AU84" i="91" s="1"/>
  <c r="AU86" i="91" s="1"/>
  <c r="AU87" i="91" s="1"/>
  <c r="AU76" i="91"/>
  <c r="Q75" i="89"/>
  <c r="S41" i="89"/>
  <c r="S35" i="89"/>
  <c r="AN85" i="117"/>
  <c r="AI85" i="117"/>
  <c r="AD85" i="117"/>
  <c r="Y85" i="117"/>
  <c r="T85" i="117"/>
  <c r="O85" i="117"/>
  <c r="E85" i="117"/>
  <c r="AN82" i="117"/>
  <c r="AI82" i="117"/>
  <c r="AD82" i="117"/>
  <c r="Y82" i="117"/>
  <c r="T82" i="117"/>
  <c r="O82" i="117"/>
  <c r="E82" i="117"/>
  <c r="AR77" i="117"/>
  <c r="AS78" i="117"/>
  <c r="AN78" i="117"/>
  <c r="AI78" i="117"/>
  <c r="AD78" i="117"/>
  <c r="Y78" i="117"/>
  <c r="T78" i="117"/>
  <c r="O78" i="117"/>
  <c r="E78" i="117"/>
  <c r="AM77" i="117"/>
  <c r="AL77" i="117"/>
  <c r="AH77" i="117"/>
  <c r="AG77" i="117"/>
  <c r="AC77" i="117"/>
  <c r="AB77" i="117"/>
  <c r="X77" i="117"/>
  <c r="W77" i="117"/>
  <c r="S77" i="117"/>
  <c r="R77" i="117"/>
  <c r="N77" i="117"/>
  <c r="M77" i="117"/>
  <c r="D77" i="117"/>
  <c r="C77" i="117"/>
  <c r="AR73" i="117"/>
  <c r="AN74" i="117"/>
  <c r="AI74" i="117"/>
  <c r="AI73" i="117" s="1"/>
  <c r="AD74" i="117"/>
  <c r="AD73" i="117" s="1"/>
  <c r="Y74" i="117"/>
  <c r="Y73" i="117" s="1"/>
  <c r="T74" i="117"/>
  <c r="T73" i="117" s="1"/>
  <c r="O74" i="117"/>
  <c r="O73" i="117" s="1"/>
  <c r="J74" i="117"/>
  <c r="J73" i="117" s="1"/>
  <c r="AQ73" i="117"/>
  <c r="AN73" i="117"/>
  <c r="AM73" i="117"/>
  <c r="AL73" i="117"/>
  <c r="AH73" i="117"/>
  <c r="AG73" i="117"/>
  <c r="AC73" i="117"/>
  <c r="AB73" i="117"/>
  <c r="X73" i="117"/>
  <c r="W73" i="117"/>
  <c r="S73" i="117"/>
  <c r="R73" i="117"/>
  <c r="N73" i="117"/>
  <c r="M73" i="117"/>
  <c r="I73" i="117"/>
  <c r="H73" i="117"/>
  <c r="E73" i="117"/>
  <c r="D73" i="117"/>
  <c r="C73" i="117"/>
  <c r="AS71" i="117"/>
  <c r="AN71" i="117"/>
  <c r="AI71" i="117"/>
  <c r="AD71" i="117"/>
  <c r="Y71" i="117"/>
  <c r="T71" i="117"/>
  <c r="O71" i="117"/>
  <c r="J71" i="117"/>
  <c r="E71" i="117"/>
  <c r="AS70" i="117"/>
  <c r="AN70" i="117"/>
  <c r="AI70" i="117"/>
  <c r="AD70" i="117"/>
  <c r="Y70" i="117"/>
  <c r="T70" i="117"/>
  <c r="O70" i="117"/>
  <c r="J70" i="117"/>
  <c r="E70" i="117"/>
  <c r="AS69" i="117"/>
  <c r="AN69" i="117"/>
  <c r="AI69" i="117"/>
  <c r="AD69" i="117"/>
  <c r="Y69" i="117"/>
  <c r="T69" i="117"/>
  <c r="O69" i="117"/>
  <c r="J69" i="117"/>
  <c r="E69" i="117"/>
  <c r="AN68" i="117"/>
  <c r="AI68" i="117"/>
  <c r="AD68" i="117"/>
  <c r="Y68" i="117"/>
  <c r="T68" i="117"/>
  <c r="O68" i="117"/>
  <c r="J68" i="117"/>
  <c r="E68" i="117"/>
  <c r="AN67" i="117"/>
  <c r="AI67" i="117"/>
  <c r="AD67" i="117"/>
  <c r="Y67" i="117"/>
  <c r="T67" i="117"/>
  <c r="O67" i="117"/>
  <c r="J67" i="117"/>
  <c r="E67" i="117"/>
  <c r="AS66" i="117"/>
  <c r="AN66" i="117"/>
  <c r="AI66" i="117"/>
  <c r="AD66" i="117"/>
  <c r="Y66" i="117"/>
  <c r="T66" i="117"/>
  <c r="O66" i="117"/>
  <c r="J66" i="117"/>
  <c r="E66" i="117"/>
  <c r="AN65" i="117"/>
  <c r="AI65" i="117"/>
  <c r="AD65" i="117"/>
  <c r="Y65" i="117"/>
  <c r="T65" i="117"/>
  <c r="O65" i="117"/>
  <c r="J65" i="117"/>
  <c r="E65" i="117"/>
  <c r="AS64" i="117"/>
  <c r="AN64" i="117"/>
  <c r="AI64" i="117"/>
  <c r="AD64" i="117"/>
  <c r="Y64" i="117"/>
  <c r="T64" i="117"/>
  <c r="O64" i="117"/>
  <c r="J64" i="117"/>
  <c r="E64" i="117"/>
  <c r="AN63" i="117"/>
  <c r="AI63" i="117"/>
  <c r="AD63" i="117"/>
  <c r="Y63" i="117"/>
  <c r="T63" i="117"/>
  <c r="O63" i="117"/>
  <c r="J63" i="117"/>
  <c r="E63" i="117"/>
  <c r="AS62" i="117"/>
  <c r="AN62" i="117"/>
  <c r="AI62" i="117"/>
  <c r="AD62" i="117"/>
  <c r="Y62" i="117"/>
  <c r="T62" i="117"/>
  <c r="O62" i="117"/>
  <c r="J62" i="117"/>
  <c r="E62" i="117"/>
  <c r="AN61" i="117"/>
  <c r="AI61" i="117"/>
  <c r="AD61" i="117"/>
  <c r="Y61" i="117"/>
  <c r="T61" i="117"/>
  <c r="O61" i="117"/>
  <c r="J61" i="117"/>
  <c r="E61" i="117"/>
  <c r="AS60" i="117"/>
  <c r="AN60" i="117"/>
  <c r="AI60" i="117"/>
  <c r="AD60" i="117"/>
  <c r="Y60" i="117"/>
  <c r="T60" i="117"/>
  <c r="O60" i="117"/>
  <c r="J60" i="117"/>
  <c r="E60" i="117"/>
  <c r="AN59" i="117"/>
  <c r="AI59" i="117"/>
  <c r="AD59" i="117"/>
  <c r="Y59" i="117"/>
  <c r="T59" i="117"/>
  <c r="O59" i="117"/>
  <c r="J59" i="117"/>
  <c r="E59" i="117"/>
  <c r="AS58" i="117"/>
  <c r="AN58" i="117"/>
  <c r="AI58" i="117"/>
  <c r="AD58" i="117"/>
  <c r="Y58" i="117"/>
  <c r="T58" i="117"/>
  <c r="O58" i="117"/>
  <c r="J58" i="117"/>
  <c r="E58" i="117"/>
  <c r="AS57" i="117"/>
  <c r="AN57" i="117"/>
  <c r="AI57" i="117"/>
  <c r="AD57" i="117"/>
  <c r="Y57" i="117"/>
  <c r="T57" i="117"/>
  <c r="O57" i="117"/>
  <c r="J57" i="117"/>
  <c r="E57" i="117"/>
  <c r="AS56" i="117"/>
  <c r="AN56" i="117"/>
  <c r="AI56" i="117"/>
  <c r="AD56" i="117"/>
  <c r="Y56" i="117"/>
  <c r="T56" i="117"/>
  <c r="O56" i="117"/>
  <c r="J56" i="117"/>
  <c r="E56" i="117"/>
  <c r="AN55" i="117"/>
  <c r="AI55" i="117"/>
  <c r="AD55" i="117"/>
  <c r="Y55" i="117"/>
  <c r="T55" i="117"/>
  <c r="O55" i="117"/>
  <c r="J55" i="117"/>
  <c r="E55" i="117"/>
  <c r="AM54" i="117"/>
  <c r="AL54" i="117"/>
  <c r="AH54" i="117"/>
  <c r="AG54" i="117"/>
  <c r="AC54" i="117"/>
  <c r="AB54" i="117"/>
  <c r="X54" i="117"/>
  <c r="W54" i="117"/>
  <c r="S54" i="117"/>
  <c r="R54" i="117"/>
  <c r="N54" i="117"/>
  <c r="M54" i="117"/>
  <c r="I54" i="117"/>
  <c r="H54" i="117"/>
  <c r="D54" i="117"/>
  <c r="C54" i="117"/>
  <c r="AS52" i="117"/>
  <c r="AN52" i="117"/>
  <c r="AI52" i="117"/>
  <c r="AD52" i="117"/>
  <c r="Y52" i="117"/>
  <c r="T52" i="117"/>
  <c r="O52" i="117"/>
  <c r="J52" i="117"/>
  <c r="E52" i="117"/>
  <c r="AN51" i="117"/>
  <c r="AN50" i="117" s="1"/>
  <c r="AI51" i="117"/>
  <c r="AI50" i="117" s="1"/>
  <c r="AD51" i="117"/>
  <c r="AD50" i="117" s="1"/>
  <c r="Y51" i="117"/>
  <c r="Y50" i="117" s="1"/>
  <c r="T51" i="117"/>
  <c r="O51" i="117"/>
  <c r="O50" i="117" s="1"/>
  <c r="J51" i="117"/>
  <c r="J50" i="117" s="1"/>
  <c r="E51" i="117"/>
  <c r="AR50" i="117"/>
  <c r="AM50" i="117"/>
  <c r="AL50" i="117"/>
  <c r="AH50" i="117"/>
  <c r="AG50" i="117"/>
  <c r="AC50" i="117"/>
  <c r="AB50" i="117"/>
  <c r="X50" i="117"/>
  <c r="W50" i="117"/>
  <c r="S50" i="117"/>
  <c r="R50" i="117"/>
  <c r="N50" i="117"/>
  <c r="M50" i="117"/>
  <c r="I50" i="117"/>
  <c r="H50" i="117"/>
  <c r="D50" i="117"/>
  <c r="C50" i="117"/>
  <c r="AN48" i="117"/>
  <c r="AI48" i="117"/>
  <c r="AD48" i="117"/>
  <c r="Y48" i="117"/>
  <c r="T48" i="117"/>
  <c r="O48" i="117"/>
  <c r="J48" i="117"/>
  <c r="E48" i="117"/>
  <c r="AS47" i="117"/>
  <c r="AN47" i="117"/>
  <c r="AI47" i="117"/>
  <c r="AD47" i="117"/>
  <c r="Y47" i="117"/>
  <c r="T47" i="117"/>
  <c r="O47" i="117"/>
  <c r="J47" i="117"/>
  <c r="E47" i="117"/>
  <c r="AN46" i="117"/>
  <c r="AI46" i="117"/>
  <c r="AD46" i="117"/>
  <c r="Y46" i="117"/>
  <c r="T46" i="117"/>
  <c r="O46" i="117"/>
  <c r="J46" i="117"/>
  <c r="E46" i="117"/>
  <c r="AN45" i="117"/>
  <c r="AI45" i="117"/>
  <c r="AD45" i="117"/>
  <c r="Y45" i="117"/>
  <c r="T45" i="117"/>
  <c r="O45" i="117"/>
  <c r="J45" i="117"/>
  <c r="E45" i="117"/>
  <c r="AS44" i="117"/>
  <c r="AN44" i="117"/>
  <c r="AI44" i="117"/>
  <c r="AD44" i="117"/>
  <c r="Y44" i="117"/>
  <c r="T44" i="117"/>
  <c r="O44" i="117"/>
  <c r="J44" i="117"/>
  <c r="E44" i="117"/>
  <c r="AS43" i="117"/>
  <c r="AN43" i="117"/>
  <c r="AI43" i="117"/>
  <c r="AD43" i="117"/>
  <c r="Y43" i="117"/>
  <c r="T43" i="117"/>
  <c r="O43" i="117"/>
  <c r="J43" i="117"/>
  <c r="E43" i="117"/>
  <c r="AR41" i="117"/>
  <c r="AN42" i="117"/>
  <c r="AI42" i="117"/>
  <c r="AD42" i="117"/>
  <c r="Y42" i="117"/>
  <c r="T42" i="117"/>
  <c r="O42" i="117"/>
  <c r="J42" i="117"/>
  <c r="E42" i="117"/>
  <c r="AM41" i="117"/>
  <c r="AL41" i="117"/>
  <c r="AH41" i="117"/>
  <c r="AG41" i="117"/>
  <c r="AC41" i="117"/>
  <c r="AB41" i="117"/>
  <c r="X41" i="117"/>
  <c r="W41" i="117"/>
  <c r="S41" i="117"/>
  <c r="R41" i="117"/>
  <c r="N41" i="117"/>
  <c r="M41" i="117"/>
  <c r="I41" i="117"/>
  <c r="H41" i="117"/>
  <c r="D41" i="117"/>
  <c r="C41" i="117"/>
  <c r="AR35" i="117"/>
  <c r="AN36" i="117"/>
  <c r="AN35" i="117" s="1"/>
  <c r="AI36" i="117"/>
  <c r="AI35" i="117" s="1"/>
  <c r="AD36" i="117"/>
  <c r="AD35" i="117" s="1"/>
  <c r="Y36" i="117"/>
  <c r="T36" i="117"/>
  <c r="T35" i="117" s="1"/>
  <c r="O36" i="117"/>
  <c r="O35" i="117" s="1"/>
  <c r="J36" i="117"/>
  <c r="E36" i="117"/>
  <c r="AQ35" i="117"/>
  <c r="AM35" i="117"/>
  <c r="AL35" i="117"/>
  <c r="AH35" i="117"/>
  <c r="AG35" i="117"/>
  <c r="AC35" i="117"/>
  <c r="AB35" i="117"/>
  <c r="X35" i="117"/>
  <c r="W35" i="117"/>
  <c r="S35" i="117"/>
  <c r="R35" i="117"/>
  <c r="N35" i="117"/>
  <c r="M35" i="117"/>
  <c r="J35" i="117"/>
  <c r="I35" i="117"/>
  <c r="H35" i="117"/>
  <c r="D35" i="117"/>
  <c r="C35" i="117"/>
  <c r="AS33" i="117"/>
  <c r="AN33" i="117"/>
  <c r="AI33" i="117"/>
  <c r="AD33" i="117"/>
  <c r="Y33" i="117"/>
  <c r="T33" i="117"/>
  <c r="O33" i="117"/>
  <c r="J33" i="117"/>
  <c r="E33" i="117"/>
  <c r="AS32" i="117"/>
  <c r="AN32" i="117"/>
  <c r="AI32" i="117"/>
  <c r="AD32" i="117"/>
  <c r="Y32" i="117"/>
  <c r="T32" i="117"/>
  <c r="O32" i="117"/>
  <c r="J32" i="117"/>
  <c r="E32" i="117"/>
  <c r="AN31" i="117"/>
  <c r="AI31" i="117"/>
  <c r="AD31" i="117"/>
  <c r="Y31" i="117"/>
  <c r="T31" i="117"/>
  <c r="O31" i="117"/>
  <c r="J31" i="117"/>
  <c r="E31" i="117"/>
  <c r="AN30" i="117"/>
  <c r="AI30" i="117"/>
  <c r="AD30" i="117"/>
  <c r="Y30" i="117"/>
  <c r="T30" i="117"/>
  <c r="O30" i="117"/>
  <c r="J30" i="117"/>
  <c r="E30" i="117"/>
  <c r="AS29" i="117"/>
  <c r="AN29" i="117"/>
  <c r="AI29" i="117"/>
  <c r="AD29" i="117"/>
  <c r="Y29" i="117"/>
  <c r="T29" i="117"/>
  <c r="O29" i="117"/>
  <c r="J29" i="117"/>
  <c r="E29" i="117"/>
  <c r="AS28" i="117"/>
  <c r="AN28" i="117"/>
  <c r="AI28" i="117"/>
  <c r="AD28" i="117"/>
  <c r="Y28" i="117"/>
  <c r="T28" i="117"/>
  <c r="O28" i="117"/>
  <c r="J28" i="117"/>
  <c r="E28" i="117"/>
  <c r="AS27" i="117"/>
  <c r="AN27" i="117"/>
  <c r="AI27" i="117"/>
  <c r="AD27" i="117"/>
  <c r="Y27" i="117"/>
  <c r="T27" i="117"/>
  <c r="O27" i="117"/>
  <c r="J27" i="117"/>
  <c r="E27" i="117"/>
  <c r="AN26" i="117"/>
  <c r="AI26" i="117"/>
  <c r="AD26" i="117"/>
  <c r="Y26" i="117"/>
  <c r="T26" i="117"/>
  <c r="O26" i="117"/>
  <c r="J26" i="117"/>
  <c r="E26" i="117"/>
  <c r="AS25" i="117"/>
  <c r="AN25" i="117"/>
  <c r="AI25" i="117"/>
  <c r="AD25" i="117"/>
  <c r="Y25" i="117"/>
  <c r="T25" i="117"/>
  <c r="O25" i="117"/>
  <c r="J25" i="117"/>
  <c r="E25" i="117"/>
  <c r="AN24" i="117"/>
  <c r="AI24" i="117"/>
  <c r="AD24" i="117"/>
  <c r="Y24" i="117"/>
  <c r="T24" i="117"/>
  <c r="O24" i="117"/>
  <c r="J24" i="117"/>
  <c r="E24" i="117"/>
  <c r="AS23" i="117"/>
  <c r="AN23" i="117"/>
  <c r="AI23" i="117"/>
  <c r="AD23" i="117"/>
  <c r="Y23" i="117"/>
  <c r="T23" i="117"/>
  <c r="O23" i="117"/>
  <c r="J23" i="117"/>
  <c r="E23" i="117"/>
  <c r="AN22" i="117"/>
  <c r="AI22" i="117"/>
  <c r="AD22" i="117"/>
  <c r="Y22" i="117"/>
  <c r="T22" i="117"/>
  <c r="O22" i="117"/>
  <c r="J22" i="117"/>
  <c r="E22" i="117"/>
  <c r="AN21" i="117"/>
  <c r="AI21" i="117"/>
  <c r="AD21" i="117"/>
  <c r="Y21" i="117"/>
  <c r="T21" i="117"/>
  <c r="O21" i="117"/>
  <c r="J21" i="117"/>
  <c r="E21" i="117"/>
  <c r="AN20" i="117"/>
  <c r="AI20" i="117"/>
  <c r="AD20" i="117"/>
  <c r="Y20" i="117"/>
  <c r="T20" i="117"/>
  <c r="O20" i="117"/>
  <c r="J20" i="117"/>
  <c r="E20" i="117"/>
  <c r="AN19" i="117"/>
  <c r="AI19" i="117"/>
  <c r="AD19" i="117"/>
  <c r="Y19" i="117"/>
  <c r="T19" i="117"/>
  <c r="O19" i="117"/>
  <c r="J19" i="117"/>
  <c r="E19" i="117"/>
  <c r="AN18" i="117"/>
  <c r="AI18" i="117"/>
  <c r="AD18" i="117"/>
  <c r="Y18" i="117"/>
  <c r="T18" i="117"/>
  <c r="O18" i="117"/>
  <c r="J18" i="117"/>
  <c r="E18" i="117"/>
  <c r="AN17" i="117"/>
  <c r="AI17" i="117"/>
  <c r="AD17" i="117"/>
  <c r="Y17" i="117"/>
  <c r="T17" i="117"/>
  <c r="O17" i="117"/>
  <c r="J17" i="117"/>
  <c r="E17" i="117"/>
  <c r="AN16" i="117"/>
  <c r="AI16" i="117"/>
  <c r="AD16" i="117"/>
  <c r="Y16" i="117"/>
  <c r="T16" i="117"/>
  <c r="O16" i="117"/>
  <c r="J16" i="117"/>
  <c r="E16" i="117"/>
  <c r="AN15" i="117"/>
  <c r="AI15" i="117"/>
  <c r="AD15" i="117"/>
  <c r="Y15" i="117"/>
  <c r="T15" i="117"/>
  <c r="O15" i="117"/>
  <c r="J15" i="117"/>
  <c r="E15" i="117"/>
  <c r="AN14" i="117"/>
  <c r="AI14" i="117"/>
  <c r="AD14" i="117"/>
  <c r="Y14" i="117"/>
  <c r="T14" i="117"/>
  <c r="O14" i="117"/>
  <c r="J14" i="117"/>
  <c r="E14" i="117"/>
  <c r="AN13" i="117"/>
  <c r="AI13" i="117"/>
  <c r="AD13" i="117"/>
  <c r="Y13" i="117"/>
  <c r="T13" i="117"/>
  <c r="O13" i="117"/>
  <c r="J13" i="117"/>
  <c r="E13" i="117"/>
  <c r="AN12" i="117"/>
  <c r="AI12" i="117"/>
  <c r="AD12" i="117"/>
  <c r="Y12" i="117"/>
  <c r="T12" i="117"/>
  <c r="O12" i="117"/>
  <c r="J12" i="117"/>
  <c r="AS11" i="117"/>
  <c r="AN11" i="117"/>
  <c r="AI11" i="117"/>
  <c r="AD11" i="117"/>
  <c r="Y11" i="117"/>
  <c r="T11" i="117"/>
  <c r="O11" i="117"/>
  <c r="J11" i="117"/>
  <c r="E11" i="117"/>
  <c r="AS10" i="117"/>
  <c r="AN10" i="117"/>
  <c r="AI10" i="117"/>
  <c r="AD10" i="117"/>
  <c r="Y10" i="117"/>
  <c r="T10" i="117"/>
  <c r="O10" i="117"/>
  <c r="J10" i="117"/>
  <c r="E10" i="117"/>
  <c r="AR8" i="117"/>
  <c r="AS9" i="117"/>
  <c r="AN9" i="117"/>
  <c r="AI9" i="117"/>
  <c r="AD9" i="117"/>
  <c r="Y9" i="117"/>
  <c r="T9" i="117"/>
  <c r="O9" i="117"/>
  <c r="J9" i="117"/>
  <c r="E9" i="117"/>
  <c r="AM8" i="117"/>
  <c r="AL8" i="117"/>
  <c r="AH8" i="117"/>
  <c r="AG8" i="117"/>
  <c r="AC8" i="117"/>
  <c r="AB8" i="117"/>
  <c r="X8" i="117"/>
  <c r="W8" i="117"/>
  <c r="S8" i="117"/>
  <c r="R8" i="117"/>
  <c r="N8" i="117"/>
  <c r="M8" i="117"/>
  <c r="I8" i="117"/>
  <c r="H8" i="117"/>
  <c r="D8" i="117"/>
  <c r="C8" i="117"/>
  <c r="AN7" i="117"/>
  <c r="AI7" i="117"/>
  <c r="AD7" i="117"/>
  <c r="Y7" i="117"/>
  <c r="T7" i="117"/>
  <c r="O7" i="117"/>
  <c r="J7" i="117"/>
  <c r="E7" i="117"/>
  <c r="AR5" i="117"/>
  <c r="AQ5" i="117"/>
  <c r="AN6" i="117"/>
  <c r="AN5" i="117" s="1"/>
  <c r="AI6" i="117"/>
  <c r="AI5" i="117" s="1"/>
  <c r="AD6" i="117"/>
  <c r="AD5" i="117" s="1"/>
  <c r="Y6" i="117"/>
  <c r="Y5" i="117" s="1"/>
  <c r="T6" i="117"/>
  <c r="T5" i="117" s="1"/>
  <c r="O6" i="117"/>
  <c r="J6" i="117"/>
  <c r="J5" i="117" s="1"/>
  <c r="E6" i="117"/>
  <c r="E5" i="117" s="1"/>
  <c r="AM5" i="117"/>
  <c r="AL5" i="117"/>
  <c r="AH5" i="117"/>
  <c r="AG5" i="117"/>
  <c r="AC5" i="117"/>
  <c r="AB5" i="117"/>
  <c r="X5" i="117"/>
  <c r="W5" i="117"/>
  <c r="W38" i="117" s="1"/>
  <c r="S5" i="117"/>
  <c r="R5" i="117"/>
  <c r="O5" i="117"/>
  <c r="N5" i="117"/>
  <c r="M5" i="117"/>
  <c r="I5" i="117"/>
  <c r="H5" i="117"/>
  <c r="D5" i="117"/>
  <c r="C5" i="117"/>
  <c r="R39" i="89" l="1"/>
  <c r="AG38" i="117"/>
  <c r="AG39" i="117" s="1"/>
  <c r="R38" i="117"/>
  <c r="AB38" i="117"/>
  <c r="AB75" i="117" s="1"/>
  <c r="AL38" i="117"/>
  <c r="AL75" i="117" s="1"/>
  <c r="AL81" i="117" s="1"/>
  <c r="AL83" i="117" s="1"/>
  <c r="AL84" i="117" s="1"/>
  <c r="AL86" i="117" s="1"/>
  <c r="AL87" i="117" s="1"/>
  <c r="M38" i="117"/>
  <c r="Y79" i="117"/>
  <c r="Y77" i="117" s="1"/>
  <c r="Q39" i="89"/>
  <c r="S75" i="89"/>
  <c r="S76" i="89" s="1"/>
  <c r="X38" i="117"/>
  <c r="J41" i="117"/>
  <c r="AD41" i="117"/>
  <c r="O41" i="117"/>
  <c r="H38" i="117"/>
  <c r="AN79" i="117"/>
  <c r="AN77" i="117" s="1"/>
  <c r="E41" i="117"/>
  <c r="Y41" i="117"/>
  <c r="T41" i="117"/>
  <c r="AN41" i="117"/>
  <c r="AI41" i="117"/>
  <c r="AR38" i="117"/>
  <c r="AR39" i="117" s="1"/>
  <c r="D38" i="117"/>
  <c r="D75" i="117" s="1"/>
  <c r="AS7" i="117"/>
  <c r="AS12" i="117"/>
  <c r="AS14" i="117"/>
  <c r="AS16" i="117"/>
  <c r="AS18" i="117"/>
  <c r="AS20" i="117"/>
  <c r="AS22" i="117"/>
  <c r="AS30" i="117"/>
  <c r="AS61" i="117"/>
  <c r="AD79" i="117"/>
  <c r="AD77" i="117" s="1"/>
  <c r="AQ77" i="117"/>
  <c r="I38" i="117"/>
  <c r="I75" i="117" s="1"/>
  <c r="AS13" i="117"/>
  <c r="AS15" i="117"/>
  <c r="AS17" i="117"/>
  <c r="AS19" i="117"/>
  <c r="AS21" i="117"/>
  <c r="AS26" i="117"/>
  <c r="AS31" i="117"/>
  <c r="AS45" i="117"/>
  <c r="AS65" i="117"/>
  <c r="AS68" i="117"/>
  <c r="S39" i="89"/>
  <c r="R81" i="89"/>
  <c r="R83" i="89" s="1"/>
  <c r="R84" i="89" s="1"/>
  <c r="R86" i="89" s="1"/>
  <c r="R87" i="89" s="1"/>
  <c r="R76" i="89"/>
  <c r="Q81" i="89"/>
  <c r="Q83" i="89" s="1"/>
  <c r="Q84" i="89" s="1"/>
  <c r="Q86" i="89" s="1"/>
  <c r="Q76" i="89"/>
  <c r="AQ8" i="117"/>
  <c r="AQ38" i="117" s="1"/>
  <c r="AQ39" i="117" s="1"/>
  <c r="C38" i="117"/>
  <c r="R75" i="117"/>
  <c r="R39" i="117"/>
  <c r="X75" i="117"/>
  <c r="X39" i="117"/>
  <c r="E50" i="117"/>
  <c r="M75" i="117"/>
  <c r="M39" i="117"/>
  <c r="S38" i="117"/>
  <c r="AG75" i="117"/>
  <c r="AM38" i="117"/>
  <c r="E8" i="117"/>
  <c r="E38" i="117" s="1"/>
  <c r="J8" i="117"/>
  <c r="J38" i="117" s="1"/>
  <c r="O8" i="117"/>
  <c r="O38" i="117" s="1"/>
  <c r="T8" i="117"/>
  <c r="Y8" i="117"/>
  <c r="AD8" i="117"/>
  <c r="AD38" i="117" s="1"/>
  <c r="AI8" i="117"/>
  <c r="AI38" i="117" s="1"/>
  <c r="AN8" i="117"/>
  <c r="AN38" i="117" s="1"/>
  <c r="AQ50" i="117"/>
  <c r="AS51" i="117"/>
  <c r="J54" i="117"/>
  <c r="E54" i="117"/>
  <c r="Y54" i="117"/>
  <c r="AN54" i="117"/>
  <c r="O54" i="117"/>
  <c r="N38" i="117"/>
  <c r="AH38" i="117"/>
  <c r="AS6" i="117"/>
  <c r="AS5" i="117" s="1"/>
  <c r="AS24" i="117"/>
  <c r="Y35" i="117"/>
  <c r="AR54" i="117"/>
  <c r="T54" i="117"/>
  <c r="AD54" i="117"/>
  <c r="W75" i="117"/>
  <c r="W39" i="117"/>
  <c r="AC38" i="117"/>
  <c r="E35" i="117"/>
  <c r="AS36" i="117"/>
  <c r="AB39" i="117"/>
  <c r="T50" i="117"/>
  <c r="AI54" i="117"/>
  <c r="AS42" i="117"/>
  <c r="AQ41" i="117"/>
  <c r="AS48" i="117"/>
  <c r="AS55" i="117"/>
  <c r="AQ54" i="117"/>
  <c r="AS63" i="117"/>
  <c r="AS46" i="117"/>
  <c r="AS59" i="117"/>
  <c r="AS67" i="117"/>
  <c r="AS74" i="117"/>
  <c r="AS73" i="117" s="1"/>
  <c r="AS82" i="117"/>
  <c r="AR75" i="117" l="1"/>
  <c r="AL39" i="117"/>
  <c r="AB76" i="117"/>
  <c r="AB81" i="117"/>
  <c r="AB83" i="117" s="1"/>
  <c r="AB84" i="117" s="1"/>
  <c r="AB86" i="117" s="1"/>
  <c r="AB87" i="117" s="1"/>
  <c r="J75" i="117"/>
  <c r="J76" i="117" s="1"/>
  <c r="D39" i="117"/>
  <c r="AL76" i="117"/>
  <c r="Q87" i="89"/>
  <c r="I81" i="117"/>
  <c r="I83" i="117" s="1"/>
  <c r="I84" i="117" s="1"/>
  <c r="I86" i="117" s="1"/>
  <c r="I87" i="117" s="1"/>
  <c r="I76" i="117"/>
  <c r="H39" i="117"/>
  <c r="H75" i="117"/>
  <c r="AS8" i="117"/>
  <c r="AS38" i="117" s="1"/>
  <c r="I39" i="117"/>
  <c r="AQ75" i="117"/>
  <c r="AQ81" i="117" s="1"/>
  <c r="AQ83" i="117" s="1"/>
  <c r="AQ84" i="117" s="1"/>
  <c r="AQ86" i="117" s="1"/>
  <c r="AQ87" i="117" s="1"/>
  <c r="C75" i="117"/>
  <c r="C39" i="117"/>
  <c r="AR81" i="117"/>
  <c r="AR83" i="117" s="1"/>
  <c r="AR84" i="117" s="1"/>
  <c r="AR86" i="117" s="1"/>
  <c r="AR87" i="117" s="1"/>
  <c r="AR76" i="117"/>
  <c r="S75" i="117"/>
  <c r="S39" i="117"/>
  <c r="T38" i="117"/>
  <c r="AM75" i="117"/>
  <c r="AM39" i="117"/>
  <c r="E39" i="117"/>
  <c r="E75" i="117"/>
  <c r="O75" i="117"/>
  <c r="O39" i="117"/>
  <c r="J39" i="117"/>
  <c r="AN75" i="117"/>
  <c r="AN39" i="117"/>
  <c r="D81" i="117"/>
  <c r="D83" i="117" s="1"/>
  <c r="D84" i="117" s="1"/>
  <c r="D86" i="117" s="1"/>
  <c r="D87" i="117" s="1"/>
  <c r="D76" i="117"/>
  <c r="AD75" i="117"/>
  <c r="AD39" i="117"/>
  <c r="AH39" i="117"/>
  <c r="AH75" i="117"/>
  <c r="N75" i="117"/>
  <c r="N39" i="117"/>
  <c r="AS50" i="117"/>
  <c r="AD89" i="117"/>
  <c r="AJ54" i="117" s="1"/>
  <c r="M76" i="117"/>
  <c r="M81" i="117"/>
  <c r="M83" i="117" s="1"/>
  <c r="M84" i="117" s="1"/>
  <c r="M86" i="117" s="1"/>
  <c r="M87" i="117" s="1"/>
  <c r="X81" i="117"/>
  <c r="X83" i="117" s="1"/>
  <c r="X84" i="117" s="1"/>
  <c r="X86" i="117" s="1"/>
  <c r="X87" i="117" s="1"/>
  <c r="X76" i="117"/>
  <c r="AN89" i="117"/>
  <c r="AN93" i="117" s="1"/>
  <c r="AI75" i="117"/>
  <c r="AI39" i="117"/>
  <c r="AC75" i="117"/>
  <c r="AC39" i="117"/>
  <c r="AS54" i="117"/>
  <c r="AS41" i="117"/>
  <c r="AS35" i="117"/>
  <c r="W81" i="117"/>
  <c r="W83" i="117" s="1"/>
  <c r="W84" i="117" s="1"/>
  <c r="W86" i="117" s="1"/>
  <c r="W87" i="117" s="1"/>
  <c r="W76" i="117"/>
  <c r="Y89" i="117"/>
  <c r="AG76" i="117"/>
  <c r="AG81" i="117"/>
  <c r="AG83" i="117" s="1"/>
  <c r="AG84" i="117" s="1"/>
  <c r="AG86" i="117" s="1"/>
  <c r="AG87" i="117" s="1"/>
  <c r="Y38" i="117"/>
  <c r="R81" i="117"/>
  <c r="R83" i="117" s="1"/>
  <c r="R84" i="117" s="1"/>
  <c r="R86" i="117" s="1"/>
  <c r="R87" i="117" s="1"/>
  <c r="R76" i="117"/>
  <c r="BK82" i="102"/>
  <c r="BJ82" i="102"/>
  <c r="BJ79" i="102"/>
  <c r="BK78" i="102"/>
  <c r="BJ78" i="102"/>
  <c r="BK71" i="102"/>
  <c r="BJ71" i="102"/>
  <c r="BK70" i="102"/>
  <c r="BJ70" i="102"/>
  <c r="BK69" i="102"/>
  <c r="BK68" i="102"/>
  <c r="BJ68" i="102"/>
  <c r="BK67" i="102"/>
  <c r="BK66" i="102"/>
  <c r="BJ66" i="102"/>
  <c r="BK64" i="102"/>
  <c r="BJ64" i="102"/>
  <c r="BK63" i="102"/>
  <c r="BK62" i="102"/>
  <c r="BJ62" i="102"/>
  <c r="BK61" i="102"/>
  <c r="BJ61" i="102"/>
  <c r="BK60" i="102"/>
  <c r="BJ60" i="102"/>
  <c r="BK59" i="102"/>
  <c r="BJ59" i="102"/>
  <c r="BK57" i="102"/>
  <c r="BJ57" i="102"/>
  <c r="BK56" i="102"/>
  <c r="BJ56" i="102"/>
  <c r="BK55" i="102"/>
  <c r="BJ55" i="102"/>
  <c r="BK52" i="102"/>
  <c r="BJ52" i="102"/>
  <c r="BK51" i="102"/>
  <c r="BJ51" i="102"/>
  <c r="BK49" i="102"/>
  <c r="BJ49" i="102"/>
  <c r="BK48" i="102"/>
  <c r="BK46" i="102"/>
  <c r="BJ46" i="102"/>
  <c r="BK45" i="102"/>
  <c r="BK44" i="102"/>
  <c r="BJ44" i="102"/>
  <c r="BJ43" i="102"/>
  <c r="BK42" i="102"/>
  <c r="BJ42" i="102"/>
  <c r="BK36" i="102"/>
  <c r="BJ36" i="102"/>
  <c r="BK33" i="102"/>
  <c r="BJ33" i="102"/>
  <c r="BK32" i="102"/>
  <c r="BJ32" i="102"/>
  <c r="BK30" i="102"/>
  <c r="BJ30" i="102"/>
  <c r="BK27" i="102"/>
  <c r="BK26" i="102"/>
  <c r="BK25" i="102"/>
  <c r="BK24" i="102"/>
  <c r="BK23" i="102"/>
  <c r="BJ23" i="102"/>
  <c r="BK22" i="102"/>
  <c r="BK20" i="102"/>
  <c r="BK19" i="102"/>
  <c r="BK17" i="102"/>
  <c r="BJ17" i="102"/>
  <c r="BJ16" i="102"/>
  <c r="BK15" i="102"/>
  <c r="BJ15" i="102"/>
  <c r="BK14" i="102"/>
  <c r="BK13" i="102"/>
  <c r="BK11" i="102"/>
  <c r="BK10" i="102"/>
  <c r="BJ10" i="102"/>
  <c r="BK9" i="102"/>
  <c r="BJ9" i="102"/>
  <c r="BJ7" i="102"/>
  <c r="BK7" i="102"/>
  <c r="BK6" i="102"/>
  <c r="BG82" i="102"/>
  <c r="BG78" i="102"/>
  <c r="BF77" i="102"/>
  <c r="BE77" i="102"/>
  <c r="BG74" i="102"/>
  <c r="BG73" i="102" s="1"/>
  <c r="BF73" i="102"/>
  <c r="BE73" i="102"/>
  <c r="BG71" i="102"/>
  <c r="BG70" i="102"/>
  <c r="BG69" i="102"/>
  <c r="BG68" i="102"/>
  <c r="BG67" i="102"/>
  <c r="BG66" i="102"/>
  <c r="BG65" i="102"/>
  <c r="BG64" i="102"/>
  <c r="BG63" i="102"/>
  <c r="BG62" i="102"/>
  <c r="BG61" i="102"/>
  <c r="BG60" i="102"/>
  <c r="BG59" i="102"/>
  <c r="BG58" i="102"/>
  <c r="BG57" i="102"/>
  <c r="BG56" i="102"/>
  <c r="BG55" i="102"/>
  <c r="BF54" i="102"/>
  <c r="BE54" i="102"/>
  <c r="BG52" i="102"/>
  <c r="BG51" i="102"/>
  <c r="BF50" i="102"/>
  <c r="BE50" i="102"/>
  <c r="BG48" i="102"/>
  <c r="BG47" i="102"/>
  <c r="BG46" i="102"/>
  <c r="BG45" i="102"/>
  <c r="BG44" i="102"/>
  <c r="BG43" i="102"/>
  <c r="BG42" i="102"/>
  <c r="BF41" i="102"/>
  <c r="BE41" i="102"/>
  <c r="BG36" i="102"/>
  <c r="BG35" i="102" s="1"/>
  <c r="BF35" i="102"/>
  <c r="BE35" i="102"/>
  <c r="BG33" i="102"/>
  <c r="BG32" i="102"/>
  <c r="BG31" i="102"/>
  <c r="BG30" i="102"/>
  <c r="BG29" i="102"/>
  <c r="BG28" i="102"/>
  <c r="BG27" i="102"/>
  <c r="BG26" i="102"/>
  <c r="BG25" i="102"/>
  <c r="BG24" i="102"/>
  <c r="BG23" i="102"/>
  <c r="BG22" i="102"/>
  <c r="BG21" i="102"/>
  <c r="BG20" i="102"/>
  <c r="BG19" i="102"/>
  <c r="BG18" i="102"/>
  <c r="BG17" i="102"/>
  <c r="BG16" i="102"/>
  <c r="BG15" i="102"/>
  <c r="BG14" i="102"/>
  <c r="BG13" i="102"/>
  <c r="BG12" i="102"/>
  <c r="BG11" i="102"/>
  <c r="BG10" i="102"/>
  <c r="BG9" i="102"/>
  <c r="BF8" i="102"/>
  <c r="BE8" i="102"/>
  <c r="BG7" i="102"/>
  <c r="BG6" i="102"/>
  <c r="BF5" i="102"/>
  <c r="BE5" i="102"/>
  <c r="BE38" i="102" s="1"/>
  <c r="BF49" i="107"/>
  <c r="BE49" i="107"/>
  <c r="AW82" i="107"/>
  <c r="AW78" i="107"/>
  <c r="AV77" i="107"/>
  <c r="AU77" i="107"/>
  <c r="AW74" i="107"/>
  <c r="AW73" i="107" s="1"/>
  <c r="AV73" i="107"/>
  <c r="AU73" i="107"/>
  <c r="AW71" i="107"/>
  <c r="AW70" i="107"/>
  <c r="AW69" i="107"/>
  <c r="AW68" i="107"/>
  <c r="AW67" i="107"/>
  <c r="AW66" i="107"/>
  <c r="AW65" i="107"/>
  <c r="AW64" i="107"/>
  <c r="AW63" i="107"/>
  <c r="AW62" i="107"/>
  <c r="AW61" i="107"/>
  <c r="AW60" i="107"/>
  <c r="AW59" i="107"/>
  <c r="AW58" i="107"/>
  <c r="AW57" i="107"/>
  <c r="AW56" i="107"/>
  <c r="AW55" i="107"/>
  <c r="AV54" i="107"/>
  <c r="AU54" i="107"/>
  <c r="AW52" i="107"/>
  <c r="AW51" i="107"/>
  <c r="AV50" i="107"/>
  <c r="AU50" i="107"/>
  <c r="AW48" i="107"/>
  <c r="AW47" i="107"/>
  <c r="AW46" i="107"/>
  <c r="AW45" i="107"/>
  <c r="AW44" i="107"/>
  <c r="AW43" i="107"/>
  <c r="AW42" i="107"/>
  <c r="AV41" i="107"/>
  <c r="AU41" i="107"/>
  <c r="AW36" i="107"/>
  <c r="AW35" i="107" s="1"/>
  <c r="AV35" i="107"/>
  <c r="AU35" i="107"/>
  <c r="AW33" i="107"/>
  <c r="AW32" i="107"/>
  <c r="AW31" i="107"/>
  <c r="AW30" i="107"/>
  <c r="AW29" i="107"/>
  <c r="AW28" i="107"/>
  <c r="AW27" i="107"/>
  <c r="AW26" i="107"/>
  <c r="AW25" i="107"/>
  <c r="AW24" i="107"/>
  <c r="AW22" i="107"/>
  <c r="AW21" i="107"/>
  <c r="AW20" i="107"/>
  <c r="AW19" i="107"/>
  <c r="AW18" i="107"/>
  <c r="AW17" i="107"/>
  <c r="AW16" i="107"/>
  <c r="AW15" i="107"/>
  <c r="AW14" i="107"/>
  <c r="AW13" i="107"/>
  <c r="AW12" i="107"/>
  <c r="AW11" i="107"/>
  <c r="AW10" i="107"/>
  <c r="AW9" i="107"/>
  <c r="AV8" i="107"/>
  <c r="AW7" i="107"/>
  <c r="AW6" i="107"/>
  <c r="AV5" i="107"/>
  <c r="AU5" i="107"/>
  <c r="BG5" i="102" l="1"/>
  <c r="AW50" i="107"/>
  <c r="H76" i="117"/>
  <c r="H81" i="117"/>
  <c r="H83" i="117" s="1"/>
  <c r="H84" i="117" s="1"/>
  <c r="H86" i="117" s="1"/>
  <c r="H87" i="117" s="1"/>
  <c r="AQ76" i="117"/>
  <c r="AE54" i="117"/>
  <c r="AW41" i="107"/>
  <c r="BG41" i="102"/>
  <c r="C76" i="117"/>
  <c r="C81" i="117"/>
  <c r="C83" i="117" s="1"/>
  <c r="C84" i="117" s="1"/>
  <c r="C86" i="117" s="1"/>
  <c r="C87" i="117" s="1"/>
  <c r="Z66" i="117"/>
  <c r="Z64" i="117"/>
  <c r="Z62" i="117"/>
  <c r="Z60" i="117"/>
  <c r="Z58" i="117"/>
  <c r="Z56" i="117"/>
  <c r="Z52" i="117"/>
  <c r="Z43" i="117"/>
  <c r="Z49" i="117"/>
  <c r="Z47" i="117"/>
  <c r="Z70" i="117"/>
  <c r="Z63" i="117"/>
  <c r="Z55" i="117"/>
  <c r="Z46" i="117"/>
  <c r="Z59" i="117"/>
  <c r="Z20" i="117"/>
  <c r="Z18" i="117"/>
  <c r="Z14" i="117"/>
  <c r="Z10" i="117"/>
  <c r="Z42" i="117"/>
  <c r="Z33" i="117"/>
  <c r="Z21" i="117"/>
  <c r="Z19" i="117"/>
  <c r="Z17" i="117"/>
  <c r="Z15" i="117"/>
  <c r="Z13" i="117"/>
  <c r="Z11" i="117"/>
  <c r="Z9" i="117"/>
  <c r="Z67" i="117"/>
  <c r="Z45" i="117"/>
  <c r="Z31" i="117"/>
  <c r="Z16" i="117"/>
  <c r="Z12" i="117"/>
  <c r="Z29" i="117"/>
  <c r="Z57" i="117"/>
  <c r="Z65" i="117"/>
  <c r="Z68" i="117"/>
  <c r="Z23" i="117"/>
  <c r="Y93" i="117"/>
  <c r="Z27" i="117"/>
  <c r="Z24" i="117"/>
  <c r="Z25" i="117"/>
  <c r="Z61" i="117"/>
  <c r="Z69" i="117"/>
  <c r="Z22" i="117"/>
  <c r="Z32" i="117"/>
  <c r="Z41" i="117"/>
  <c r="Z51" i="117"/>
  <c r="Z26" i="117"/>
  <c r="Z30" i="117"/>
  <c r="Z48" i="117"/>
  <c r="Z28" i="117"/>
  <c r="Z44" i="117"/>
  <c r="Z71" i="117"/>
  <c r="AI76" i="117"/>
  <c r="AJ8" i="117"/>
  <c r="N76" i="117"/>
  <c r="N81" i="117"/>
  <c r="N83" i="117" s="1"/>
  <c r="N84" i="117" s="1"/>
  <c r="N86" i="117" s="1"/>
  <c r="N87" i="117" s="1"/>
  <c r="E76" i="117"/>
  <c r="Y75" i="117"/>
  <c r="Y39" i="117"/>
  <c r="AO8" i="117"/>
  <c r="AE8" i="117"/>
  <c r="AH76" i="117"/>
  <c r="AH81" i="117"/>
  <c r="AH83" i="117" s="1"/>
  <c r="AH84" i="117" s="1"/>
  <c r="AH86" i="117" s="1"/>
  <c r="AH87" i="117" s="1"/>
  <c r="AN76" i="117"/>
  <c r="AN81" i="117"/>
  <c r="AN83" i="117" s="1"/>
  <c r="AN84" i="117" s="1"/>
  <c r="AN86" i="117" s="1"/>
  <c r="AN87" i="117" s="1"/>
  <c r="O76" i="117"/>
  <c r="Z54" i="117"/>
  <c r="S76" i="117"/>
  <c r="S81" i="117"/>
  <c r="S83" i="117" s="1"/>
  <c r="S84" i="117" s="1"/>
  <c r="S86" i="117" s="1"/>
  <c r="S87" i="117" s="1"/>
  <c r="AS75" i="117"/>
  <c r="AS39" i="117"/>
  <c r="AD81" i="117"/>
  <c r="AD83" i="117" s="1"/>
  <c r="AD84" i="117" s="1"/>
  <c r="AD86" i="117" s="1"/>
  <c r="AD87" i="117" s="1"/>
  <c r="AD76" i="117"/>
  <c r="AC81" i="117"/>
  <c r="AC83" i="117" s="1"/>
  <c r="AC84" i="117" s="1"/>
  <c r="AC86" i="117" s="1"/>
  <c r="AC87" i="117" s="1"/>
  <c r="AC76" i="117"/>
  <c r="AM76" i="117"/>
  <c r="AM81" i="117"/>
  <c r="AM83" i="117" s="1"/>
  <c r="AM84" i="117" s="1"/>
  <c r="AM86" i="117" s="1"/>
  <c r="AM87" i="117" s="1"/>
  <c r="Z8" i="117"/>
  <c r="AJ70" i="117"/>
  <c r="AO69" i="117"/>
  <c r="AO67" i="117"/>
  <c r="AE67" i="117"/>
  <c r="AJ66" i="117"/>
  <c r="AO65" i="117"/>
  <c r="AE65" i="117"/>
  <c r="AJ64" i="117"/>
  <c r="AO63" i="117"/>
  <c r="AE63" i="117"/>
  <c r="AJ62" i="117"/>
  <c r="AO61" i="117"/>
  <c r="AE61" i="117"/>
  <c r="AJ60" i="117"/>
  <c r="AO59" i="117"/>
  <c r="AE59" i="117"/>
  <c r="AJ58" i="117"/>
  <c r="AO57" i="117"/>
  <c r="AE57" i="117"/>
  <c r="AJ56" i="117"/>
  <c r="AO55" i="117"/>
  <c r="AE55" i="117"/>
  <c r="AJ52" i="117"/>
  <c r="AO51" i="117"/>
  <c r="AE51" i="117"/>
  <c r="AO49" i="117"/>
  <c r="AO48" i="117"/>
  <c r="AJ49" i="117"/>
  <c r="AO44" i="117"/>
  <c r="AE44" i="117"/>
  <c r="AJ43" i="117"/>
  <c r="AE48" i="117"/>
  <c r="AJ47" i="117"/>
  <c r="AE69" i="117"/>
  <c r="AJ65" i="117"/>
  <c r="AO64" i="117"/>
  <c r="AE62" i="117"/>
  <c r="AJ57" i="117"/>
  <c r="AO56" i="117"/>
  <c r="AJ51" i="117"/>
  <c r="AJ46" i="117"/>
  <c r="AO45" i="117"/>
  <c r="AE45" i="117"/>
  <c r="AO42" i="117"/>
  <c r="AE42" i="117"/>
  <c r="AO60" i="117"/>
  <c r="AE58" i="117"/>
  <c r="AE49" i="117"/>
  <c r="AJ61" i="117"/>
  <c r="AE21" i="117"/>
  <c r="AO19" i="117"/>
  <c r="AO15" i="117"/>
  <c r="AJ14" i="117"/>
  <c r="AO13" i="117"/>
  <c r="AE13" i="117"/>
  <c r="AJ12" i="117"/>
  <c r="AO11" i="117"/>
  <c r="AJ10" i="117"/>
  <c r="AE9" i="117"/>
  <c r="AE52" i="117"/>
  <c r="AE46" i="117"/>
  <c r="AE32" i="117"/>
  <c r="AJ21" i="117"/>
  <c r="AO20" i="117"/>
  <c r="AE20" i="117"/>
  <c r="AJ19" i="117"/>
  <c r="AO18" i="117"/>
  <c r="AE18" i="117"/>
  <c r="AJ17" i="117"/>
  <c r="AO16" i="117"/>
  <c r="AE16" i="117"/>
  <c r="AJ15" i="117"/>
  <c r="AO14" i="117"/>
  <c r="AE14" i="117"/>
  <c r="AJ13" i="117"/>
  <c r="AO12" i="117"/>
  <c r="AE12" i="117"/>
  <c r="AJ11" i="117"/>
  <c r="AO10" i="117"/>
  <c r="AE10" i="117"/>
  <c r="AJ9" i="117"/>
  <c r="AJ45" i="117"/>
  <c r="AJ18" i="117"/>
  <c r="AO17" i="117"/>
  <c r="AE66" i="117"/>
  <c r="AO46" i="117"/>
  <c r="AJ42" i="117"/>
  <c r="AE36" i="117"/>
  <c r="AO21" i="117"/>
  <c r="AJ20" i="117"/>
  <c r="AE19" i="117"/>
  <c r="AE17" i="117"/>
  <c r="AJ16" i="117"/>
  <c r="AE15" i="117"/>
  <c r="AE11" i="117"/>
  <c r="AO9" i="117"/>
  <c r="AO26" i="117"/>
  <c r="AE30" i="117"/>
  <c r="AO30" i="117"/>
  <c r="AE22" i="117"/>
  <c r="AO24" i="117"/>
  <c r="AJ26" i="117"/>
  <c r="AE31" i="117"/>
  <c r="AO43" i="117"/>
  <c r="AO62" i="117"/>
  <c r="AO71" i="117"/>
  <c r="AD93" i="117"/>
  <c r="AJ32" i="117"/>
  <c r="AJ67" i="117"/>
  <c r="AO36" i="117"/>
  <c r="AJ69" i="117"/>
  <c r="AE60" i="117"/>
  <c r="AE50" i="117"/>
  <c r="AJ50" i="117"/>
  <c r="AJ23" i="117"/>
  <c r="AE29" i="117"/>
  <c r="AJ29" i="117"/>
  <c r="AE25" i="117"/>
  <c r="AE24" i="117"/>
  <c r="AJ59" i="117"/>
  <c r="AJ63" i="117"/>
  <c r="AE27" i="117"/>
  <c r="AO22" i="117"/>
  <c r="AE26" i="117"/>
  <c r="AO29" i="117"/>
  <c r="AE23" i="117"/>
  <c r="AJ25" i="117"/>
  <c r="AE64" i="117"/>
  <c r="AJ41" i="117"/>
  <c r="AO33" i="117"/>
  <c r="AE41" i="117"/>
  <c r="AE47" i="117"/>
  <c r="AO31" i="117"/>
  <c r="AJ44" i="117"/>
  <c r="AE33" i="117"/>
  <c r="AE43" i="117"/>
  <c r="AJ48" i="117"/>
  <c r="AJ68" i="117"/>
  <c r="AO68" i="117"/>
  <c r="AJ71" i="117"/>
  <c r="AE70" i="117"/>
  <c r="AE68" i="117"/>
  <c r="AJ27" i="117"/>
  <c r="AO32" i="117"/>
  <c r="AO23" i="117"/>
  <c r="AJ30" i="117"/>
  <c r="AO27" i="117"/>
  <c r="AE71" i="117"/>
  <c r="AJ36" i="117"/>
  <c r="AE56" i="117"/>
  <c r="AO52" i="117"/>
  <c r="AO25" i="117"/>
  <c r="AJ22" i="117"/>
  <c r="AE28" i="117"/>
  <c r="AJ28" i="117"/>
  <c r="AJ24" i="117"/>
  <c r="AJ31" i="117"/>
  <c r="AO28" i="117"/>
  <c r="AJ33" i="117"/>
  <c r="AO58" i="117"/>
  <c r="AO47" i="117"/>
  <c r="AO50" i="117"/>
  <c r="AO41" i="117"/>
  <c r="AJ55" i="117"/>
  <c r="AO66" i="117"/>
  <c r="AO70" i="117"/>
  <c r="AO54" i="117"/>
  <c r="T39" i="117"/>
  <c r="T75" i="117"/>
  <c r="BG54" i="102"/>
  <c r="BF38" i="102"/>
  <c r="BF75" i="102" s="1"/>
  <c r="BE39" i="102"/>
  <c r="BE75" i="102"/>
  <c r="BG8" i="102"/>
  <c r="BG38" i="102" s="1"/>
  <c r="BG50" i="102"/>
  <c r="AW54" i="107"/>
  <c r="AV38" i="107"/>
  <c r="AV75" i="107" s="1"/>
  <c r="AW8" i="107"/>
  <c r="AW5" i="107"/>
  <c r="AU8" i="107"/>
  <c r="AU38" i="107" s="1"/>
  <c r="AV39" i="107" l="1"/>
  <c r="AW38" i="107"/>
  <c r="AW75" i="107" s="1"/>
  <c r="BF39" i="102"/>
  <c r="T76" i="117"/>
  <c r="AS76" i="117"/>
  <c r="Y76" i="117"/>
  <c r="Y81" i="117"/>
  <c r="Y83" i="117" s="1"/>
  <c r="Y84" i="117" s="1"/>
  <c r="Y86" i="117" s="1"/>
  <c r="Y87" i="117" s="1"/>
  <c r="BG75" i="102"/>
  <c r="BG39" i="102"/>
  <c r="BF81" i="102"/>
  <c r="BF83" i="102" s="1"/>
  <c r="BF84" i="102" s="1"/>
  <c r="BF86" i="102" s="1"/>
  <c r="BF87" i="102" s="1"/>
  <c r="BF76" i="102"/>
  <c r="BE81" i="102"/>
  <c r="BE83" i="102" s="1"/>
  <c r="BE84" i="102" s="1"/>
  <c r="BE86" i="102" s="1"/>
  <c r="BE87" i="102" s="1"/>
  <c r="BE76" i="102"/>
  <c r="AU75" i="107"/>
  <c r="AU39" i="107"/>
  <c r="AV81" i="107"/>
  <c r="AV83" i="107" s="1"/>
  <c r="AV76" i="107"/>
  <c r="N22" i="85"/>
  <c r="N23" i="85"/>
  <c r="M79" i="85"/>
  <c r="R79" i="85" s="1"/>
  <c r="AV84" i="107" l="1"/>
  <c r="AV86" i="107" s="1"/>
  <c r="AV87" i="107" s="1"/>
  <c r="AW39" i="107"/>
  <c r="BG76" i="102"/>
  <c r="AW76" i="107"/>
  <c r="AU76" i="107"/>
  <c r="AU81" i="107"/>
  <c r="AU83" i="107" s="1"/>
  <c r="AU84" i="107" s="1"/>
  <c r="AU86" i="107" s="1"/>
  <c r="AU87" i="107" s="1"/>
  <c r="Q79" i="85"/>
  <c r="AK26" i="91" l="1"/>
  <c r="Q26" i="108" l="1"/>
  <c r="AP26" i="108" s="1"/>
  <c r="AR26" i="108" s="1"/>
  <c r="AP25" i="91" l="1"/>
  <c r="BE25" i="91" s="1"/>
  <c r="AP26" i="91"/>
  <c r="BP79" i="96" l="1"/>
  <c r="BO79" i="96"/>
  <c r="BP78" i="96"/>
  <c r="BO78" i="96"/>
  <c r="BP71" i="96"/>
  <c r="BO71" i="96"/>
  <c r="BP70" i="96"/>
  <c r="BO70" i="96"/>
  <c r="BP69" i="96"/>
  <c r="BP68" i="96"/>
  <c r="BO68" i="96"/>
  <c r="BP67" i="96"/>
  <c r="BO67" i="96"/>
  <c r="BP66" i="96"/>
  <c r="BO66" i="96"/>
  <c r="BP65" i="96"/>
  <c r="BO65" i="96"/>
  <c r="BP64" i="96"/>
  <c r="BO64" i="96"/>
  <c r="BP62" i="96"/>
  <c r="BO62" i="96"/>
  <c r="BP61" i="96"/>
  <c r="BO61" i="96"/>
  <c r="BP60" i="96"/>
  <c r="BP59" i="96"/>
  <c r="BP57" i="96"/>
  <c r="BO57" i="96"/>
  <c r="BP56" i="96"/>
  <c r="BO56" i="96"/>
  <c r="BP55" i="96"/>
  <c r="BO55" i="96"/>
  <c r="BP52" i="96"/>
  <c r="BO52" i="96"/>
  <c r="BP51" i="96"/>
  <c r="BO51" i="96"/>
  <c r="BP48" i="96"/>
  <c r="BP47" i="96"/>
  <c r="BO47" i="96"/>
  <c r="BP46" i="96"/>
  <c r="BO46" i="96"/>
  <c r="BP45" i="96"/>
  <c r="BP44" i="96"/>
  <c r="BO44" i="96"/>
  <c r="BP43" i="96"/>
  <c r="BO43" i="96"/>
  <c r="BP42" i="96"/>
  <c r="BO42" i="96"/>
  <c r="BP33" i="96"/>
  <c r="BO33" i="96"/>
  <c r="BP32" i="96"/>
  <c r="BO32" i="96"/>
  <c r="BO30" i="96"/>
  <c r="BO29" i="96"/>
  <c r="BP27" i="96"/>
  <c r="BP26" i="96"/>
  <c r="BP25" i="96"/>
  <c r="BP24" i="96"/>
  <c r="BP23" i="96"/>
  <c r="BO23" i="96"/>
  <c r="BP21" i="96"/>
  <c r="BP20" i="96"/>
  <c r="BP19" i="96"/>
  <c r="BO19" i="96"/>
  <c r="BP18" i="96"/>
  <c r="BP17" i="96"/>
  <c r="BO17" i="96"/>
  <c r="BO16" i="96"/>
  <c r="BP15" i="96"/>
  <c r="BO15" i="96"/>
  <c r="BP14" i="96"/>
  <c r="BP13" i="96"/>
  <c r="BP11" i="96"/>
  <c r="BO11" i="96"/>
  <c r="BP10" i="96"/>
  <c r="BP9" i="96"/>
  <c r="BO9" i="96"/>
  <c r="BO6" i="96"/>
  <c r="BP6" i="96"/>
  <c r="BL85" i="96"/>
  <c r="BL82" i="96"/>
  <c r="BL78" i="96"/>
  <c r="BK77" i="96"/>
  <c r="BJ77" i="96"/>
  <c r="BL74" i="96"/>
  <c r="BL73" i="96" s="1"/>
  <c r="BK73" i="96"/>
  <c r="BJ73" i="96"/>
  <c r="BL71" i="96"/>
  <c r="BL70" i="96"/>
  <c r="BL69" i="96"/>
  <c r="BL68" i="96"/>
  <c r="BL67" i="96"/>
  <c r="BL66" i="96"/>
  <c r="BL65" i="96"/>
  <c r="BL64" i="96"/>
  <c r="BL63" i="96"/>
  <c r="BL62" i="96"/>
  <c r="BL61" i="96"/>
  <c r="BL60" i="96"/>
  <c r="BL59" i="96"/>
  <c r="BL58" i="96"/>
  <c r="BL57" i="96"/>
  <c r="BL56" i="96"/>
  <c r="BL55" i="96"/>
  <c r="BK54" i="96"/>
  <c r="BJ54" i="96"/>
  <c r="BL52" i="96"/>
  <c r="BL51" i="96"/>
  <c r="BK50" i="96"/>
  <c r="BJ50" i="96"/>
  <c r="BL48" i="96"/>
  <c r="BL47" i="96"/>
  <c r="BL46" i="96"/>
  <c r="BL45" i="96"/>
  <c r="BL44" i="96"/>
  <c r="BL43" i="96"/>
  <c r="BL42" i="96"/>
  <c r="BK41" i="96"/>
  <c r="BJ41" i="96"/>
  <c r="BL36" i="96"/>
  <c r="BL35" i="96" s="1"/>
  <c r="BK35" i="96"/>
  <c r="BJ35" i="96"/>
  <c r="BL33" i="96"/>
  <c r="BL32" i="96"/>
  <c r="BL31" i="96"/>
  <c r="BL30" i="96"/>
  <c r="BL29" i="96"/>
  <c r="BL28" i="96"/>
  <c r="BL27" i="96"/>
  <c r="BL26" i="96"/>
  <c r="BL25" i="96"/>
  <c r="BL24" i="96"/>
  <c r="BL23" i="96"/>
  <c r="BL22" i="96"/>
  <c r="BL21" i="96"/>
  <c r="BL20" i="96"/>
  <c r="BL19" i="96"/>
  <c r="BL18" i="96"/>
  <c r="BL17" i="96"/>
  <c r="BL16" i="96"/>
  <c r="BL15" i="96"/>
  <c r="BL14" i="96"/>
  <c r="BL13" i="96"/>
  <c r="BL12" i="96"/>
  <c r="BL11" i="96"/>
  <c r="BL10" i="96"/>
  <c r="BL9" i="96"/>
  <c r="BK8" i="96"/>
  <c r="BJ8" i="96"/>
  <c r="BL7" i="96"/>
  <c r="BL6" i="96"/>
  <c r="BK5" i="96"/>
  <c r="BK38" i="96" s="1"/>
  <c r="BJ5" i="96"/>
  <c r="BB85" i="102"/>
  <c r="BB82" i="102"/>
  <c r="BB78" i="102"/>
  <c r="BA77" i="102"/>
  <c r="AZ77" i="102"/>
  <c r="BB74" i="102"/>
  <c r="BB73" i="102" s="1"/>
  <c r="BA73" i="102"/>
  <c r="AZ73" i="102"/>
  <c r="BB71" i="102"/>
  <c r="BB70" i="102"/>
  <c r="BB69" i="102"/>
  <c r="BB68" i="102"/>
  <c r="BB67" i="102"/>
  <c r="BB66" i="102"/>
  <c r="BB65" i="102"/>
  <c r="BB64" i="102"/>
  <c r="BB63" i="102"/>
  <c r="BB62" i="102"/>
  <c r="BB61" i="102"/>
  <c r="BB60" i="102"/>
  <c r="BB59" i="102"/>
  <c r="BB58" i="102"/>
  <c r="BB57" i="102"/>
  <c r="BB56" i="102"/>
  <c r="BB55" i="102"/>
  <c r="AZ54" i="102"/>
  <c r="BB52" i="102"/>
  <c r="BB51" i="102"/>
  <c r="BA50" i="102"/>
  <c r="AZ50" i="102"/>
  <c r="BB48" i="102"/>
  <c r="BB47" i="102"/>
  <c r="BB46" i="102"/>
  <c r="BB45" i="102"/>
  <c r="BB44" i="102"/>
  <c r="BB43" i="102"/>
  <c r="BB42" i="102"/>
  <c r="BA41" i="102"/>
  <c r="BB36" i="102"/>
  <c r="BB35" i="102" s="1"/>
  <c r="BA35" i="102"/>
  <c r="AZ35" i="102"/>
  <c r="BB33" i="102"/>
  <c r="BB32" i="102"/>
  <c r="BB31" i="102"/>
  <c r="BB30" i="102"/>
  <c r="BB29" i="102"/>
  <c r="BB28" i="102"/>
  <c r="BB27" i="102"/>
  <c r="BB26" i="102"/>
  <c r="BB25" i="102"/>
  <c r="BB24" i="102"/>
  <c r="BB23" i="102"/>
  <c r="BB22" i="102"/>
  <c r="BB21" i="102"/>
  <c r="BB20" i="102"/>
  <c r="BB19" i="102"/>
  <c r="BB18" i="102"/>
  <c r="BB17" i="102"/>
  <c r="BA8" i="102"/>
  <c r="BB15" i="102"/>
  <c r="BB14" i="102"/>
  <c r="BB13" i="102"/>
  <c r="BB12" i="102"/>
  <c r="BB11" i="102"/>
  <c r="BB10" i="102"/>
  <c r="BB9" i="102"/>
  <c r="AZ8" i="102"/>
  <c r="BB7" i="102"/>
  <c r="BB6" i="102"/>
  <c r="BA5" i="102"/>
  <c r="AZ5" i="102"/>
  <c r="BB5" i="102" l="1"/>
  <c r="BB50" i="102"/>
  <c r="BL41" i="96"/>
  <c r="BL54" i="96"/>
  <c r="BL50" i="96"/>
  <c r="BJ38" i="96"/>
  <c r="BJ75" i="96" s="1"/>
  <c r="BL8" i="96"/>
  <c r="BL79" i="96"/>
  <c r="BL5" i="96"/>
  <c r="BJ39" i="96"/>
  <c r="BK75" i="96"/>
  <c r="BK39" i="96"/>
  <c r="AZ38" i="102"/>
  <c r="AZ39" i="102" s="1"/>
  <c r="BB54" i="102"/>
  <c r="BA38" i="102"/>
  <c r="BB41" i="102"/>
  <c r="BB16" i="102"/>
  <c r="AZ41" i="102"/>
  <c r="BA54" i="102"/>
  <c r="BL38" i="96" l="1"/>
  <c r="BL39" i="96" s="1"/>
  <c r="BL75" i="96"/>
  <c r="BL81" i="96" s="1"/>
  <c r="BL83" i="96" s="1"/>
  <c r="BL84" i="96" s="1"/>
  <c r="BL86" i="96" s="1"/>
  <c r="BL87" i="96" s="1"/>
  <c r="BL89" i="96"/>
  <c r="BL77" i="96"/>
  <c r="BK81" i="96"/>
  <c r="BK83" i="96" s="1"/>
  <c r="BK84" i="96" s="1"/>
  <c r="BK86" i="96" s="1"/>
  <c r="BK87" i="96" s="1"/>
  <c r="BK76" i="96"/>
  <c r="BJ81" i="96"/>
  <c r="BJ83" i="96" s="1"/>
  <c r="BJ84" i="96" s="1"/>
  <c r="BJ86" i="96" s="1"/>
  <c r="BJ87" i="96" s="1"/>
  <c r="BJ76" i="96"/>
  <c r="AZ75" i="102"/>
  <c r="AZ76" i="102" s="1"/>
  <c r="BA75" i="102"/>
  <c r="BA39" i="102"/>
  <c r="BB8" i="102"/>
  <c r="AR85" i="91"/>
  <c r="AR82" i="91"/>
  <c r="AR78" i="91"/>
  <c r="AQ77" i="91"/>
  <c r="AP77" i="91"/>
  <c r="AR74" i="91"/>
  <c r="AR73" i="91" s="1"/>
  <c r="AQ73" i="91"/>
  <c r="AP73" i="91"/>
  <c r="AR71" i="91"/>
  <c r="AR70" i="91"/>
  <c r="AR69" i="91"/>
  <c r="AR68" i="91"/>
  <c r="AR67" i="91"/>
  <c r="AR66" i="91"/>
  <c r="AR65" i="91"/>
  <c r="AR64" i="91"/>
  <c r="AR63" i="91"/>
  <c r="AR62" i="91"/>
  <c r="AR61" i="91"/>
  <c r="AR60" i="91"/>
  <c r="AR59" i="91"/>
  <c r="AR58" i="91"/>
  <c r="AR57" i="91"/>
  <c r="AR56" i="91"/>
  <c r="AR55" i="91"/>
  <c r="AQ54" i="91"/>
  <c r="AP54" i="91"/>
  <c r="AR52" i="91"/>
  <c r="AR51" i="91"/>
  <c r="AQ50" i="91"/>
  <c r="AP50" i="91"/>
  <c r="AR48" i="91"/>
  <c r="AR47" i="91"/>
  <c r="AR46" i="91"/>
  <c r="AR45" i="91"/>
  <c r="AR44" i="91"/>
  <c r="AR43" i="91"/>
  <c r="AR42" i="91"/>
  <c r="AQ41" i="91"/>
  <c r="AP41" i="91"/>
  <c r="AR36" i="91"/>
  <c r="AR35" i="91" s="1"/>
  <c r="AQ35" i="91"/>
  <c r="AP35" i="91"/>
  <c r="AR33" i="91"/>
  <c r="AR32" i="91"/>
  <c r="AR31" i="91"/>
  <c r="AR30" i="91"/>
  <c r="AR29" i="91"/>
  <c r="AR28" i="91"/>
  <c r="AR27" i="91"/>
  <c r="AR26" i="91"/>
  <c r="AR25" i="91"/>
  <c r="AR24" i="91"/>
  <c r="AR23" i="91"/>
  <c r="AR22" i="91"/>
  <c r="AR21" i="91"/>
  <c r="AR20" i="91"/>
  <c r="AR19" i="91"/>
  <c r="AR18" i="91"/>
  <c r="AR17" i="91"/>
  <c r="AR16" i="91"/>
  <c r="AR15" i="91"/>
  <c r="AR14" i="91"/>
  <c r="AR13" i="91"/>
  <c r="AR12" i="91"/>
  <c r="AR11" i="91"/>
  <c r="AR10" i="91"/>
  <c r="AR9" i="91"/>
  <c r="AQ8" i="91"/>
  <c r="AP8" i="91"/>
  <c r="AR7" i="91"/>
  <c r="AR6" i="91"/>
  <c r="AQ5" i="91"/>
  <c r="AP5" i="91"/>
  <c r="AR50" i="91" l="1"/>
  <c r="AR54" i="91"/>
  <c r="AZ81" i="102"/>
  <c r="AZ83" i="102" s="1"/>
  <c r="AZ84" i="102" s="1"/>
  <c r="AZ86" i="102" s="1"/>
  <c r="AZ87" i="102" s="1"/>
  <c r="BL76" i="96"/>
  <c r="AR5" i="91"/>
  <c r="AP38" i="91"/>
  <c r="AP75" i="91" s="1"/>
  <c r="BB38" i="102"/>
  <c r="BA81" i="102"/>
  <c r="BA83" i="102" s="1"/>
  <c r="BA84" i="102" s="1"/>
  <c r="BA86" i="102" s="1"/>
  <c r="BA87" i="102" s="1"/>
  <c r="BA76" i="102"/>
  <c r="AR41" i="91"/>
  <c r="AQ38" i="91"/>
  <c r="AQ75" i="91" s="1"/>
  <c r="AR8" i="91"/>
  <c r="AQ39" i="91" l="1"/>
  <c r="AR38" i="91"/>
  <c r="AR39" i="91" s="1"/>
  <c r="O79" i="117"/>
  <c r="AP39" i="91"/>
  <c r="BB75" i="102"/>
  <c r="BB39" i="102"/>
  <c r="AP81" i="91"/>
  <c r="AP83" i="91" s="1"/>
  <c r="AP84" i="91" s="1"/>
  <c r="AP86" i="91" s="1"/>
  <c r="AP87" i="91" s="1"/>
  <c r="AP76" i="91"/>
  <c r="AQ81" i="91"/>
  <c r="AQ83" i="91" s="1"/>
  <c r="AQ84" i="91" s="1"/>
  <c r="AQ86" i="91" s="1"/>
  <c r="AQ87" i="91" s="1"/>
  <c r="AQ76" i="91"/>
  <c r="AR75" i="91" l="1"/>
  <c r="O77" i="117"/>
  <c r="O89" i="117"/>
  <c r="O81" i="117"/>
  <c r="O83" i="117" s="1"/>
  <c r="O84" i="117" s="1"/>
  <c r="O86" i="117" s="1"/>
  <c r="O87" i="117" s="1"/>
  <c r="BB76" i="102"/>
  <c r="AR76" i="91"/>
  <c r="U54" i="117" l="1"/>
  <c r="P8" i="117"/>
  <c r="P54" i="117"/>
  <c r="P72" i="117"/>
  <c r="P66" i="117"/>
  <c r="P62" i="117"/>
  <c r="P58" i="117"/>
  <c r="P52" i="117"/>
  <c r="U44" i="117"/>
  <c r="P61" i="117"/>
  <c r="U42" i="117"/>
  <c r="U56" i="117"/>
  <c r="P10" i="117"/>
  <c r="P21" i="117"/>
  <c r="P13" i="117"/>
  <c r="P57" i="117"/>
  <c r="P30" i="117"/>
  <c r="U58" i="117"/>
  <c r="P59" i="117"/>
  <c r="P29" i="117"/>
  <c r="P44" i="117"/>
  <c r="U47" i="117"/>
  <c r="P23" i="117"/>
  <c r="U62" i="117"/>
  <c r="P69" i="117"/>
  <c r="P64" i="117"/>
  <c r="P56" i="117"/>
  <c r="U48" i="117"/>
  <c r="U46" i="117"/>
  <c r="U64" i="117"/>
  <c r="P9" i="117"/>
  <c r="P41" i="117"/>
  <c r="P22" i="117"/>
  <c r="U68" i="117"/>
  <c r="P63" i="117"/>
  <c r="U71" i="117"/>
  <c r="U65" i="117"/>
  <c r="U61" i="117"/>
  <c r="U57" i="117"/>
  <c r="U51" i="117"/>
  <c r="P43" i="117"/>
  <c r="U60" i="117"/>
  <c r="P51" i="117"/>
  <c r="P18" i="117"/>
  <c r="P65" i="117"/>
  <c r="P19" i="117"/>
  <c r="P11" i="117"/>
  <c r="P20" i="117"/>
  <c r="P25" i="117"/>
  <c r="P48" i="117"/>
  <c r="P31" i="117"/>
  <c r="P33" i="117"/>
  <c r="P67" i="117"/>
  <c r="P55" i="117"/>
  <c r="P27" i="117"/>
  <c r="U66" i="117"/>
  <c r="P68" i="117"/>
  <c r="P60" i="117"/>
  <c r="U49" i="117"/>
  <c r="P46" i="117"/>
  <c r="P14" i="117"/>
  <c r="P17" i="117"/>
  <c r="P16" i="117"/>
  <c r="U52" i="117"/>
  <c r="P32" i="117"/>
  <c r="U69" i="117"/>
  <c r="P36" i="117"/>
  <c r="U72" i="117"/>
  <c r="U55" i="117"/>
  <c r="P42" i="117"/>
  <c r="U36" i="117"/>
  <c r="P28" i="117"/>
  <c r="P26" i="117"/>
  <c r="U45" i="117"/>
  <c r="P71" i="117"/>
  <c r="U67" i="117"/>
  <c r="P49" i="117"/>
  <c r="P12" i="117"/>
  <c r="P24" i="117"/>
  <c r="P70" i="117"/>
  <c r="U70" i="117"/>
  <c r="P15" i="117"/>
  <c r="U63" i="117"/>
  <c r="P47" i="117"/>
  <c r="P45" i="117"/>
  <c r="U41" i="117"/>
  <c r="Z36" i="117"/>
  <c r="U59" i="117"/>
  <c r="U43" i="117"/>
  <c r="AR85" i="107"/>
  <c r="AR82" i="107"/>
  <c r="AR78" i="107"/>
  <c r="AQ77" i="107"/>
  <c r="AP77" i="107"/>
  <c r="AR74" i="107"/>
  <c r="AR73" i="107" s="1"/>
  <c r="AQ73" i="107"/>
  <c r="AP73" i="107"/>
  <c r="AR71" i="107"/>
  <c r="AR70" i="107"/>
  <c r="AR69" i="107"/>
  <c r="AR68" i="107"/>
  <c r="AR67" i="107"/>
  <c r="AR66" i="107"/>
  <c r="AR65" i="107"/>
  <c r="AR64" i="107"/>
  <c r="AR63" i="107"/>
  <c r="AR62" i="107"/>
  <c r="AR61" i="107"/>
  <c r="AR60" i="107"/>
  <c r="AR59" i="107"/>
  <c r="AR58" i="107"/>
  <c r="AR57" i="107"/>
  <c r="AR56" i="107"/>
  <c r="AR55" i="107"/>
  <c r="AQ54" i="107"/>
  <c r="AP54" i="107"/>
  <c r="AR52" i="107"/>
  <c r="AR51" i="107"/>
  <c r="AQ50" i="107"/>
  <c r="AP50" i="107"/>
  <c r="AR48" i="107"/>
  <c r="AR47" i="107"/>
  <c r="AR46" i="107"/>
  <c r="AR45" i="107"/>
  <c r="AR44" i="107"/>
  <c r="AR43" i="107"/>
  <c r="AR42" i="107"/>
  <c r="AQ41" i="107"/>
  <c r="AP41" i="107"/>
  <c r="AR36" i="107"/>
  <c r="AR35" i="107" s="1"/>
  <c r="AQ35" i="107"/>
  <c r="AP35" i="107"/>
  <c r="AR33" i="107"/>
  <c r="AR32" i="107"/>
  <c r="AR31" i="107"/>
  <c r="AR30" i="107"/>
  <c r="AR29" i="107"/>
  <c r="AR28" i="107"/>
  <c r="AR27" i="107"/>
  <c r="AP8" i="107"/>
  <c r="AR25" i="107"/>
  <c r="AR24" i="107"/>
  <c r="AR22" i="107"/>
  <c r="AR21" i="107"/>
  <c r="AR20" i="107"/>
  <c r="AR19" i="107"/>
  <c r="AR18" i="107"/>
  <c r="AR17" i="107"/>
  <c r="AQ8" i="107"/>
  <c r="AR15" i="107"/>
  <c r="AR14" i="107"/>
  <c r="AR13" i="107"/>
  <c r="AR12" i="107"/>
  <c r="AR11" i="107"/>
  <c r="AR10" i="107"/>
  <c r="AR9" i="107"/>
  <c r="AR7" i="107"/>
  <c r="AR6" i="107"/>
  <c r="AQ5" i="107"/>
  <c r="AP5" i="107"/>
  <c r="AR5" i="107" l="1"/>
  <c r="AR50" i="107"/>
  <c r="AR41" i="107"/>
  <c r="AP38" i="107"/>
  <c r="AP75" i="107" s="1"/>
  <c r="AR54" i="107"/>
  <c r="AQ38" i="107"/>
  <c r="AR16" i="107"/>
  <c r="AR26" i="107"/>
  <c r="AP39" i="107" l="1"/>
  <c r="AR8" i="107"/>
  <c r="AR38" i="107" s="1"/>
  <c r="AR75" i="107" s="1"/>
  <c r="AP81" i="107"/>
  <c r="AP83" i="107" s="1"/>
  <c r="AP84" i="107" s="1"/>
  <c r="AP86" i="107" s="1"/>
  <c r="AP87" i="107" s="1"/>
  <c r="AP76" i="107"/>
  <c r="AQ75" i="107"/>
  <c r="AQ39" i="107"/>
  <c r="AR39" i="107" l="1"/>
  <c r="AQ81" i="107"/>
  <c r="AQ83" i="107" s="1"/>
  <c r="AQ84" i="107" s="1"/>
  <c r="AQ86" i="107" s="1"/>
  <c r="AQ87" i="107" s="1"/>
  <c r="AQ76" i="107"/>
  <c r="AR76" i="107"/>
  <c r="BA22" i="90" l="1"/>
  <c r="BP22" i="90" s="1"/>
  <c r="AZ47" i="90" l="1"/>
  <c r="BO47" i="90" s="1"/>
  <c r="AZ26" i="90" l="1"/>
  <c r="AZ19" i="90"/>
  <c r="AU6" i="90" l="1"/>
  <c r="AF13" i="108" l="1"/>
  <c r="AP13" i="108" s="1"/>
  <c r="AF14" i="108"/>
  <c r="AP14" i="108" s="1"/>
  <c r="AR14" i="108" s="1"/>
  <c r="AR13" i="108" l="1"/>
  <c r="AF18" i="108"/>
  <c r="AH18" i="108" s="1"/>
  <c r="AH85" i="108" l="1"/>
  <c r="AH82" i="108"/>
  <c r="AH78" i="108"/>
  <c r="AG77" i="108"/>
  <c r="AF77" i="108"/>
  <c r="AH74" i="108"/>
  <c r="AH73" i="108" s="1"/>
  <c r="AG73" i="108"/>
  <c r="AF73" i="108"/>
  <c r="AH71" i="108"/>
  <c r="AH70" i="108"/>
  <c r="AH69" i="108"/>
  <c r="AH68" i="108"/>
  <c r="AH67" i="108"/>
  <c r="AH66" i="108"/>
  <c r="AH65" i="108"/>
  <c r="AH64" i="108"/>
  <c r="AH63" i="108"/>
  <c r="AH62" i="108"/>
  <c r="AH61" i="108"/>
  <c r="AH60" i="108"/>
  <c r="AH59" i="108"/>
  <c r="AH58" i="108"/>
  <c r="AH57" i="108"/>
  <c r="AH56" i="108"/>
  <c r="AH55" i="108"/>
  <c r="AG54" i="108"/>
  <c r="AF54" i="108"/>
  <c r="AH52" i="108"/>
  <c r="AH51" i="108"/>
  <c r="AG50" i="108"/>
  <c r="AF50" i="108"/>
  <c r="AH48" i="108"/>
  <c r="AH47" i="108"/>
  <c r="AH46" i="108"/>
  <c r="AH45" i="108"/>
  <c r="AH44" i="108"/>
  <c r="AH43" i="108"/>
  <c r="AH42" i="108"/>
  <c r="AG41" i="108"/>
  <c r="AF41" i="108"/>
  <c r="AH36" i="108"/>
  <c r="AH35" i="108" s="1"/>
  <c r="AG35" i="108"/>
  <c r="AF35" i="108"/>
  <c r="AH33" i="108"/>
  <c r="AH32" i="108"/>
  <c r="AH31" i="108"/>
  <c r="AH30" i="108"/>
  <c r="AH29" i="108"/>
  <c r="AH28" i="108"/>
  <c r="AH27" i="108"/>
  <c r="AH26" i="108"/>
  <c r="AH25" i="108"/>
  <c r="AH24" i="108"/>
  <c r="AH22" i="108"/>
  <c r="AH21" i="108"/>
  <c r="AH20" i="108"/>
  <c r="AH19" i="108"/>
  <c r="AH17" i="108"/>
  <c r="AH16" i="108"/>
  <c r="AH15" i="108"/>
  <c r="AH14" i="108"/>
  <c r="AH13" i="108"/>
  <c r="AH12" i="108"/>
  <c r="AH11" i="108"/>
  <c r="AH10" i="108"/>
  <c r="AH9" i="108"/>
  <c r="AF8" i="108"/>
  <c r="AH7" i="108"/>
  <c r="AH6" i="108"/>
  <c r="AG5" i="108"/>
  <c r="AF5" i="108"/>
  <c r="AH5" i="108" l="1"/>
  <c r="AH41" i="108"/>
  <c r="AH50" i="108"/>
  <c r="AH54" i="108"/>
  <c r="AH8" i="108"/>
  <c r="AH38" i="108" s="1"/>
  <c r="AF38" i="108"/>
  <c r="AF75" i="108" s="1"/>
  <c r="AG8" i="108"/>
  <c r="BP36" i="96"/>
  <c r="BO36" i="96"/>
  <c r="BP7" i="96"/>
  <c r="BG85" i="96"/>
  <c r="BG82" i="96"/>
  <c r="BG78" i="96"/>
  <c r="BF77" i="96"/>
  <c r="BE77" i="96"/>
  <c r="BG74" i="96"/>
  <c r="BG73" i="96" s="1"/>
  <c r="BF73" i="96"/>
  <c r="BE73" i="96"/>
  <c r="BG71" i="96"/>
  <c r="BG70" i="96"/>
  <c r="BG69" i="96"/>
  <c r="BG68" i="96"/>
  <c r="BG67" i="96"/>
  <c r="BG66" i="96"/>
  <c r="BG65" i="96"/>
  <c r="BG64" i="96"/>
  <c r="BG63" i="96"/>
  <c r="BG62" i="96"/>
  <c r="BG61" i="96"/>
  <c r="BG60" i="96"/>
  <c r="BG59" i="96"/>
  <c r="BG58" i="96"/>
  <c r="BG57" i="96"/>
  <c r="BG56" i="96"/>
  <c r="BG55" i="96"/>
  <c r="BF54" i="96"/>
  <c r="BE54" i="96"/>
  <c r="BG52" i="96"/>
  <c r="BG51" i="96"/>
  <c r="BF50" i="96"/>
  <c r="BE50" i="96"/>
  <c r="BG48" i="96"/>
  <c r="BG47" i="96"/>
  <c r="BG46" i="96"/>
  <c r="BG45" i="96"/>
  <c r="BG44" i="96"/>
  <c r="BG43" i="96"/>
  <c r="BG42" i="96"/>
  <c r="BF41" i="96"/>
  <c r="BE41" i="96"/>
  <c r="BG36" i="96"/>
  <c r="BG35" i="96" s="1"/>
  <c r="BF35" i="96"/>
  <c r="BE35" i="96"/>
  <c r="BG33" i="96"/>
  <c r="BG32" i="96"/>
  <c r="BG31" i="96"/>
  <c r="BG30" i="96"/>
  <c r="BG29" i="96"/>
  <c r="BG28" i="96"/>
  <c r="BG27" i="96"/>
  <c r="BG26" i="96"/>
  <c r="BG25" i="96"/>
  <c r="BG24" i="96"/>
  <c r="BG23" i="96"/>
  <c r="BG22" i="96"/>
  <c r="BG21" i="96"/>
  <c r="BG20" i="96"/>
  <c r="BG19" i="96"/>
  <c r="BG18" i="96"/>
  <c r="BG17" i="96"/>
  <c r="BG16" i="96"/>
  <c r="BG15" i="96"/>
  <c r="BG14" i="96"/>
  <c r="BG13" i="96"/>
  <c r="BG12" i="96"/>
  <c r="BG11" i="96"/>
  <c r="BG10" i="96"/>
  <c r="BG9" i="96"/>
  <c r="BF8" i="96"/>
  <c r="BE8" i="96"/>
  <c r="BG7" i="96"/>
  <c r="BG6" i="96"/>
  <c r="BF5" i="96"/>
  <c r="BE5" i="96"/>
  <c r="BE38" i="96" s="1"/>
  <c r="AM85" i="107"/>
  <c r="AM82" i="107"/>
  <c r="AM78" i="107"/>
  <c r="AL77" i="107"/>
  <c r="AK77" i="107"/>
  <c r="AM74" i="107"/>
  <c r="AM73" i="107" s="1"/>
  <c r="AL73" i="107"/>
  <c r="AK73" i="107"/>
  <c r="AM71" i="107"/>
  <c r="AM70" i="107"/>
  <c r="AM69" i="107"/>
  <c r="AM68" i="107"/>
  <c r="AM67" i="107"/>
  <c r="AM66" i="107"/>
  <c r="AM65" i="107"/>
  <c r="AM64" i="107"/>
  <c r="AM63" i="107"/>
  <c r="AM62" i="107"/>
  <c r="AM61" i="107"/>
  <c r="AM60" i="107"/>
  <c r="AM59" i="107"/>
  <c r="AM58" i="107"/>
  <c r="AM57" i="107"/>
  <c r="AM56" i="107"/>
  <c r="AM55" i="107"/>
  <c r="AL54" i="107"/>
  <c r="AK54" i="107"/>
  <c r="AM52" i="107"/>
  <c r="AM51" i="107"/>
  <c r="AL50" i="107"/>
  <c r="AK50" i="107"/>
  <c r="AM48" i="107"/>
  <c r="AM47" i="107"/>
  <c r="AM46" i="107"/>
  <c r="AM45" i="107"/>
  <c r="AM44" i="107"/>
  <c r="AM43" i="107"/>
  <c r="AM42" i="107"/>
  <c r="AL41" i="107"/>
  <c r="AK41" i="107"/>
  <c r="AM36" i="107"/>
  <c r="AM35" i="107" s="1"/>
  <c r="AL35" i="107"/>
  <c r="AK35" i="107"/>
  <c r="AM33" i="107"/>
  <c r="AM32" i="107"/>
  <c r="AM31" i="107"/>
  <c r="AM30" i="107"/>
  <c r="AM29" i="107"/>
  <c r="AM28" i="107"/>
  <c r="AM27" i="107"/>
  <c r="AM26" i="107"/>
  <c r="AM25" i="107"/>
  <c r="AM24" i="107"/>
  <c r="AM22" i="107"/>
  <c r="AM21" i="107"/>
  <c r="AM20" i="107"/>
  <c r="AM19" i="107"/>
  <c r="AM18" i="107"/>
  <c r="AM17" i="107"/>
  <c r="AM16" i="107"/>
  <c r="AM15" i="107"/>
  <c r="AM14" i="107"/>
  <c r="AM13" i="107"/>
  <c r="AM12" i="107"/>
  <c r="AM11" i="107"/>
  <c r="AM10" i="107"/>
  <c r="AM9" i="107"/>
  <c r="AL8" i="107"/>
  <c r="AK8" i="107"/>
  <c r="AM7" i="107"/>
  <c r="AM6" i="107"/>
  <c r="AL5" i="107"/>
  <c r="BG50" i="96" l="1"/>
  <c r="AM50" i="107"/>
  <c r="BG41" i="96"/>
  <c r="BG54" i="96"/>
  <c r="AM5" i="107"/>
  <c r="BG79" i="96"/>
  <c r="BG77" i="96" s="1"/>
  <c r="AL38" i="107"/>
  <c r="AL75" i="107" s="1"/>
  <c r="AF39" i="108"/>
  <c r="AG38" i="108"/>
  <c r="AF81" i="108"/>
  <c r="AF83" i="108" s="1"/>
  <c r="AF84" i="108" s="1"/>
  <c r="AF86" i="108" s="1"/>
  <c r="AF87" i="108" s="1"/>
  <c r="AF76" i="108"/>
  <c r="AH75" i="108"/>
  <c r="AH39" i="108"/>
  <c r="BF38" i="96"/>
  <c r="BF39" i="96" s="1"/>
  <c r="BG5" i="96"/>
  <c r="BE75" i="96"/>
  <c r="BE39" i="96"/>
  <c r="BG8" i="96"/>
  <c r="AM54" i="107"/>
  <c r="AM8" i="107"/>
  <c r="AK5" i="107"/>
  <c r="AK38" i="107" s="1"/>
  <c r="AM41" i="107"/>
  <c r="AF26" i="102"/>
  <c r="V26" i="102"/>
  <c r="Q26" i="102"/>
  <c r="BG38" i="96" l="1"/>
  <c r="BF75" i="96"/>
  <c r="BF81" i="96" s="1"/>
  <c r="BF83" i="96" s="1"/>
  <c r="BF84" i="96" s="1"/>
  <c r="BF86" i="96" s="1"/>
  <c r="BF87" i="96" s="1"/>
  <c r="AL81" i="107"/>
  <c r="AL83" i="107" s="1"/>
  <c r="AL84" i="107" s="1"/>
  <c r="AL86" i="107" s="1"/>
  <c r="AL87" i="107" s="1"/>
  <c r="AL76" i="107"/>
  <c r="AL39" i="107"/>
  <c r="AG39" i="108"/>
  <c r="AG75" i="108"/>
  <c r="AH76" i="108"/>
  <c r="BG89" i="96"/>
  <c r="BG93" i="96" s="1"/>
  <c r="BG75" i="96"/>
  <c r="BG39" i="96"/>
  <c r="BE76" i="96"/>
  <c r="BE81" i="96"/>
  <c r="BE83" i="96" s="1"/>
  <c r="BE84" i="96" s="1"/>
  <c r="BE86" i="96" s="1"/>
  <c r="BE87" i="96" s="1"/>
  <c r="AK39" i="107"/>
  <c r="AK75" i="107"/>
  <c r="AM38" i="107"/>
  <c r="BQ99" i="96"/>
  <c r="BF76" i="96" l="1"/>
  <c r="AG81" i="108"/>
  <c r="AG83" i="108" s="1"/>
  <c r="AG84" i="108" s="1"/>
  <c r="AG86" i="108" s="1"/>
  <c r="AG87" i="108" s="1"/>
  <c r="AG76" i="108"/>
  <c r="BG81" i="96"/>
  <c r="BG83" i="96" s="1"/>
  <c r="BG84" i="96" s="1"/>
  <c r="BG86" i="96" s="1"/>
  <c r="BG87" i="96" s="1"/>
  <c r="BG76" i="96"/>
  <c r="AK81" i="107"/>
  <c r="AK83" i="107" s="1"/>
  <c r="AK84" i="107" s="1"/>
  <c r="AK86" i="107" s="1"/>
  <c r="AK87" i="107" s="1"/>
  <c r="AK76" i="107"/>
  <c r="AM75" i="107"/>
  <c r="AM39" i="107"/>
  <c r="BT28" i="96"/>
  <c r="BT69" i="96"/>
  <c r="AM76" i="107" l="1"/>
  <c r="BT30" i="96"/>
  <c r="BU34" i="96"/>
  <c r="BU37" i="96"/>
  <c r="BU40" i="96"/>
  <c r="BU49" i="96"/>
  <c r="BU53" i="96"/>
  <c r="BU72" i="96"/>
  <c r="BU80" i="96"/>
  <c r="AV65" i="102" l="1"/>
  <c r="V6" i="90" l="1"/>
  <c r="BQ70" i="90" l="1"/>
  <c r="BQ68" i="90"/>
  <c r="BQ67" i="90"/>
  <c r="BQ66" i="90"/>
  <c r="BQ64" i="90"/>
  <c r="BQ62" i="90"/>
  <c r="BQ61" i="90"/>
  <c r="BQ57" i="90"/>
  <c r="BQ56" i="90"/>
  <c r="BQ55" i="90"/>
  <c r="BQ46" i="90"/>
  <c r="BQ44" i="90"/>
  <c r="BQ10" i="90"/>
  <c r="BQ11" i="90"/>
  <c r="BQ15" i="90"/>
  <c r="BQ20" i="90"/>
  <c r="BQ23" i="90"/>
  <c r="BQ32" i="90"/>
  <c r="BQ33" i="90"/>
  <c r="AA18" i="108" l="1"/>
  <c r="AU20" i="99"/>
  <c r="AV85" i="113" l="1"/>
  <c r="AU85" i="113"/>
  <c r="AW85" i="113" s="1"/>
  <c r="AR85" i="113"/>
  <c r="AM85" i="113"/>
  <c r="AH85" i="113"/>
  <c r="AC85" i="113"/>
  <c r="X85" i="113"/>
  <c r="S85" i="113"/>
  <c r="N85" i="113"/>
  <c r="I85" i="113"/>
  <c r="E85" i="113"/>
  <c r="AV82" i="113"/>
  <c r="AU82" i="113"/>
  <c r="AR82" i="113"/>
  <c r="AM82" i="113"/>
  <c r="AH82" i="113"/>
  <c r="AC82" i="113"/>
  <c r="X82" i="113"/>
  <c r="S82" i="113"/>
  <c r="N82" i="113"/>
  <c r="I82" i="113"/>
  <c r="E82" i="113"/>
  <c r="AV79" i="113"/>
  <c r="AU79" i="113"/>
  <c r="E79" i="113"/>
  <c r="AV78" i="113"/>
  <c r="AU78" i="113"/>
  <c r="AR78" i="113"/>
  <c r="AM78" i="113"/>
  <c r="AH78" i="113"/>
  <c r="AC78" i="113"/>
  <c r="X78" i="113"/>
  <c r="S78" i="113"/>
  <c r="N78" i="113"/>
  <c r="I78" i="113"/>
  <c r="E78" i="113"/>
  <c r="E77" i="113" s="1"/>
  <c r="AQ77" i="113"/>
  <c r="AP77" i="113"/>
  <c r="AL77" i="113"/>
  <c r="AK77" i="113"/>
  <c r="AG77" i="113"/>
  <c r="AF77" i="113"/>
  <c r="AB77" i="113"/>
  <c r="AA77" i="113"/>
  <c r="W77" i="113"/>
  <c r="V77" i="113"/>
  <c r="R77" i="113"/>
  <c r="Q77" i="113"/>
  <c r="M77" i="113"/>
  <c r="L77" i="113"/>
  <c r="H77" i="113"/>
  <c r="G77" i="113"/>
  <c r="D77" i="113"/>
  <c r="C77" i="113"/>
  <c r="AV74" i="113"/>
  <c r="AV73" i="113" s="1"/>
  <c r="AU74" i="113"/>
  <c r="AU73" i="113" s="1"/>
  <c r="AR74" i="113"/>
  <c r="AR73" i="113" s="1"/>
  <c r="AM74" i="113"/>
  <c r="AM73" i="113" s="1"/>
  <c r="AH74" i="113"/>
  <c r="AH73" i="113" s="1"/>
  <c r="AC74" i="113"/>
  <c r="AC73" i="113" s="1"/>
  <c r="X74" i="113"/>
  <c r="X73" i="113" s="1"/>
  <c r="S74" i="113"/>
  <c r="S73" i="113" s="1"/>
  <c r="N74" i="113"/>
  <c r="N73" i="113" s="1"/>
  <c r="I73" i="113"/>
  <c r="C74" i="113"/>
  <c r="E74" i="113" s="1"/>
  <c r="E73" i="113" s="1"/>
  <c r="AQ73" i="113"/>
  <c r="AP73" i="113"/>
  <c r="AL73" i="113"/>
  <c r="AK73" i="113"/>
  <c r="AG73" i="113"/>
  <c r="AF73" i="113"/>
  <c r="AB73" i="113"/>
  <c r="AA73" i="113"/>
  <c r="W73" i="113"/>
  <c r="V73" i="113"/>
  <c r="R73" i="113"/>
  <c r="Q73" i="113"/>
  <c r="M73" i="113"/>
  <c r="L73" i="113"/>
  <c r="H73" i="113"/>
  <c r="G73" i="113"/>
  <c r="D73" i="113"/>
  <c r="AV71" i="113"/>
  <c r="AU71" i="113"/>
  <c r="AR71" i="113"/>
  <c r="AM71" i="113"/>
  <c r="AH71" i="113"/>
  <c r="AC71" i="113"/>
  <c r="X71" i="113"/>
  <c r="S71" i="113"/>
  <c r="N71" i="113"/>
  <c r="I71" i="113"/>
  <c r="E71" i="113"/>
  <c r="AV70" i="113"/>
  <c r="AU70" i="113"/>
  <c r="AR70" i="113"/>
  <c r="AM70" i="113"/>
  <c r="AH70" i="113"/>
  <c r="AC70" i="113"/>
  <c r="X70" i="113"/>
  <c r="S70" i="113"/>
  <c r="N70" i="113"/>
  <c r="I70" i="113"/>
  <c r="E70" i="113"/>
  <c r="AV69" i="113"/>
  <c r="AU69" i="113"/>
  <c r="AR69" i="113"/>
  <c r="AM69" i="113"/>
  <c r="AH69" i="113"/>
  <c r="AC69" i="113"/>
  <c r="X69" i="113"/>
  <c r="S69" i="113"/>
  <c r="N69" i="113"/>
  <c r="I69" i="113"/>
  <c r="E69" i="113"/>
  <c r="AV68" i="113"/>
  <c r="AU68" i="113"/>
  <c r="AR68" i="113"/>
  <c r="AM68" i="113"/>
  <c r="AH68" i="113"/>
  <c r="AC68" i="113"/>
  <c r="X68" i="113"/>
  <c r="S68" i="113"/>
  <c r="N68" i="113"/>
  <c r="I68" i="113"/>
  <c r="E68" i="113"/>
  <c r="AV67" i="113"/>
  <c r="AU67" i="113"/>
  <c r="AR67" i="113"/>
  <c r="AM67" i="113"/>
  <c r="AH67" i="113"/>
  <c r="AC67" i="113"/>
  <c r="X67" i="113"/>
  <c r="S67" i="113"/>
  <c r="N67" i="113"/>
  <c r="I67" i="113"/>
  <c r="E67" i="113"/>
  <c r="AV66" i="113"/>
  <c r="AU66" i="113"/>
  <c r="AR66" i="113"/>
  <c r="AM66" i="113"/>
  <c r="AH66" i="113"/>
  <c r="AC66" i="113"/>
  <c r="X66" i="113"/>
  <c r="S66" i="113"/>
  <c r="N66" i="113"/>
  <c r="I66" i="113"/>
  <c r="E66" i="113"/>
  <c r="AR65" i="113"/>
  <c r="AM65" i="113"/>
  <c r="AH65" i="113"/>
  <c r="AC65" i="113"/>
  <c r="X65" i="113"/>
  <c r="S65" i="113"/>
  <c r="N65" i="113"/>
  <c r="AV65" i="113"/>
  <c r="E65" i="113"/>
  <c r="AV64" i="113"/>
  <c r="AU64" i="113"/>
  <c r="AR64" i="113"/>
  <c r="AM64" i="113"/>
  <c r="AH64" i="113"/>
  <c r="AC64" i="113"/>
  <c r="X64" i="113"/>
  <c r="S64" i="113"/>
  <c r="N64" i="113"/>
  <c r="I64" i="113"/>
  <c r="E64" i="113"/>
  <c r="AV63" i="113"/>
  <c r="AU63" i="113"/>
  <c r="AR63" i="113"/>
  <c r="AM63" i="113"/>
  <c r="AH63" i="113"/>
  <c r="AC63" i="113"/>
  <c r="X63" i="113"/>
  <c r="S63" i="113"/>
  <c r="N63" i="113"/>
  <c r="G54" i="113"/>
  <c r="E63" i="113"/>
  <c r="AV62" i="113"/>
  <c r="AU62" i="113"/>
  <c r="AR62" i="113"/>
  <c r="AM62" i="113"/>
  <c r="AH62" i="113"/>
  <c r="AC62" i="113"/>
  <c r="X62" i="113"/>
  <c r="S62" i="113"/>
  <c r="N62" i="113"/>
  <c r="I62" i="113"/>
  <c r="E62" i="113"/>
  <c r="AV61" i="113"/>
  <c r="AU61" i="113"/>
  <c r="AR61" i="113"/>
  <c r="AM61" i="113"/>
  <c r="AH61" i="113"/>
  <c r="AC61" i="113"/>
  <c r="X61" i="113"/>
  <c r="S61" i="113"/>
  <c r="N61" i="113"/>
  <c r="I61" i="113"/>
  <c r="E61" i="113"/>
  <c r="AV60" i="113"/>
  <c r="AU60" i="113"/>
  <c r="AR60" i="113"/>
  <c r="AM60" i="113"/>
  <c r="AH60" i="113"/>
  <c r="AC60" i="113"/>
  <c r="X60" i="113"/>
  <c r="S60" i="113"/>
  <c r="N60" i="113"/>
  <c r="I60" i="113"/>
  <c r="E60" i="113"/>
  <c r="AV59" i="113"/>
  <c r="AU59" i="113"/>
  <c r="AR59" i="113"/>
  <c r="AM59" i="113"/>
  <c r="AH59" i="113"/>
  <c r="AC59" i="113"/>
  <c r="X59" i="113"/>
  <c r="S59" i="113"/>
  <c r="N59" i="113"/>
  <c r="I59" i="113"/>
  <c r="E59" i="113"/>
  <c r="AV58" i="113"/>
  <c r="AU58" i="113"/>
  <c r="AR58" i="113"/>
  <c r="AM58" i="113"/>
  <c r="AH58" i="113"/>
  <c r="AC58" i="113"/>
  <c r="X58" i="113"/>
  <c r="S58" i="113"/>
  <c r="N58" i="113"/>
  <c r="I58" i="113"/>
  <c r="E58" i="113"/>
  <c r="AV57" i="113"/>
  <c r="AU57" i="113"/>
  <c r="AR57" i="113"/>
  <c r="AM57" i="113"/>
  <c r="AH57" i="113"/>
  <c r="AC57" i="113"/>
  <c r="X57" i="113"/>
  <c r="S57" i="113"/>
  <c r="N57" i="113"/>
  <c r="I57" i="113"/>
  <c r="E57" i="113"/>
  <c r="AV56" i="113"/>
  <c r="AU56" i="113"/>
  <c r="AR56" i="113"/>
  <c r="AM56" i="113"/>
  <c r="AH56" i="113"/>
  <c r="AC56" i="113"/>
  <c r="X56" i="113"/>
  <c r="S56" i="113"/>
  <c r="N56" i="113"/>
  <c r="I56" i="113"/>
  <c r="E56" i="113"/>
  <c r="AV55" i="113"/>
  <c r="AU55" i="113"/>
  <c r="AR55" i="113"/>
  <c r="AM55" i="113"/>
  <c r="AH55" i="113"/>
  <c r="AC55" i="113"/>
  <c r="X55" i="113"/>
  <c r="S55" i="113"/>
  <c r="N55" i="113"/>
  <c r="I55" i="113"/>
  <c r="E55" i="113"/>
  <c r="AQ54" i="113"/>
  <c r="AP54" i="113"/>
  <c r="AL54" i="113"/>
  <c r="AK54" i="113"/>
  <c r="AG54" i="113"/>
  <c r="AF54" i="113"/>
  <c r="AB54" i="113"/>
  <c r="AA54" i="113"/>
  <c r="W54" i="113"/>
  <c r="V54" i="113"/>
  <c r="R54" i="113"/>
  <c r="Q54" i="113"/>
  <c r="M54" i="113"/>
  <c r="L54" i="113"/>
  <c r="H54" i="113"/>
  <c r="D54" i="113"/>
  <c r="C54" i="113"/>
  <c r="AV52" i="113"/>
  <c r="AU52" i="113"/>
  <c r="AR52" i="113"/>
  <c r="AM52" i="113"/>
  <c r="AH52" i="113"/>
  <c r="AC52" i="113"/>
  <c r="X52" i="113"/>
  <c r="S52" i="113"/>
  <c r="N52" i="113"/>
  <c r="I52" i="113"/>
  <c r="E52" i="113"/>
  <c r="AV51" i="113"/>
  <c r="AV50" i="113" s="1"/>
  <c r="AU51" i="113"/>
  <c r="AR51" i="113"/>
  <c r="AM51" i="113"/>
  <c r="AH51" i="113"/>
  <c r="AH50" i="113" s="1"/>
  <c r="AC51" i="113"/>
  <c r="X51" i="113"/>
  <c r="S51" i="113"/>
  <c r="N51" i="113"/>
  <c r="N50" i="113" s="1"/>
  <c r="I51" i="113"/>
  <c r="E51" i="113"/>
  <c r="AQ50" i="113"/>
  <c r="AP50" i="113"/>
  <c r="AL50" i="113"/>
  <c r="AK50" i="113"/>
  <c r="AG50" i="113"/>
  <c r="AF50" i="113"/>
  <c r="AB50" i="113"/>
  <c r="AA50" i="113"/>
  <c r="W50" i="113"/>
  <c r="V50" i="113"/>
  <c r="R50" i="113"/>
  <c r="Q50" i="113"/>
  <c r="M50" i="113"/>
  <c r="L50" i="113"/>
  <c r="H50" i="113"/>
  <c r="G50" i="113"/>
  <c r="AV48" i="113"/>
  <c r="AU48" i="113"/>
  <c r="AR48" i="113"/>
  <c r="AM48" i="113"/>
  <c r="AH48" i="113"/>
  <c r="AC48" i="113"/>
  <c r="X48" i="113"/>
  <c r="S48" i="113"/>
  <c r="N48" i="113"/>
  <c r="I48" i="113"/>
  <c r="E48" i="113"/>
  <c r="AV47" i="113"/>
  <c r="AU47" i="113"/>
  <c r="AR47" i="113"/>
  <c r="AM47" i="113"/>
  <c r="AH47" i="113"/>
  <c r="AC47" i="113"/>
  <c r="X47" i="113"/>
  <c r="S47" i="113"/>
  <c r="N47" i="113"/>
  <c r="I47" i="113"/>
  <c r="E47" i="113"/>
  <c r="AV46" i="113"/>
  <c r="AU46" i="113"/>
  <c r="AR46" i="113"/>
  <c r="AM46" i="113"/>
  <c r="AH46" i="113"/>
  <c r="AC46" i="113"/>
  <c r="X46" i="113"/>
  <c r="S46" i="113"/>
  <c r="N46" i="113"/>
  <c r="I46" i="113"/>
  <c r="E46" i="113"/>
  <c r="AV45" i="113"/>
  <c r="AU45" i="113"/>
  <c r="AR45" i="113"/>
  <c r="AM45" i="113"/>
  <c r="AH45" i="113"/>
  <c r="AC45" i="113"/>
  <c r="X45" i="113"/>
  <c r="S45" i="113"/>
  <c r="N45" i="113"/>
  <c r="I45" i="113"/>
  <c r="E45" i="113"/>
  <c r="AV44" i="113"/>
  <c r="AU44" i="113"/>
  <c r="AR44" i="113"/>
  <c r="AM44" i="113"/>
  <c r="AH44" i="113"/>
  <c r="AC44" i="113"/>
  <c r="X44" i="113"/>
  <c r="S44" i="113"/>
  <c r="N44" i="113"/>
  <c r="I44" i="113"/>
  <c r="E44" i="113"/>
  <c r="AU43" i="113"/>
  <c r="AR43" i="113"/>
  <c r="AM43" i="113"/>
  <c r="AH43" i="113"/>
  <c r="AC43" i="113"/>
  <c r="X43" i="113"/>
  <c r="S43" i="113"/>
  <c r="N43" i="113"/>
  <c r="AV43" i="113"/>
  <c r="AW43" i="113" s="1"/>
  <c r="I43" i="113"/>
  <c r="E43" i="113"/>
  <c r="AV42" i="113"/>
  <c r="AU42" i="113"/>
  <c r="AR42" i="113"/>
  <c r="AM42" i="113"/>
  <c r="AH42" i="113"/>
  <c r="AC42" i="113"/>
  <c r="X42" i="113"/>
  <c r="S42" i="113"/>
  <c r="N42" i="113"/>
  <c r="I42" i="113"/>
  <c r="E42" i="113"/>
  <c r="AQ41" i="113"/>
  <c r="AP41" i="113"/>
  <c r="AL41" i="113"/>
  <c r="AK41" i="113"/>
  <c r="AG41" i="113"/>
  <c r="AF41" i="113"/>
  <c r="AB41" i="113"/>
  <c r="AA41" i="113"/>
  <c r="W41" i="113"/>
  <c r="V41" i="113"/>
  <c r="R41" i="113"/>
  <c r="Q41" i="113"/>
  <c r="M41" i="113"/>
  <c r="L41" i="113"/>
  <c r="H41" i="113"/>
  <c r="G41" i="113"/>
  <c r="D41" i="113"/>
  <c r="C41" i="113"/>
  <c r="AV36" i="113"/>
  <c r="AV35" i="113" s="1"/>
  <c r="AU36" i="113"/>
  <c r="AR36" i="113"/>
  <c r="AM36" i="113"/>
  <c r="AM35" i="113" s="1"/>
  <c r="AH36" i="113"/>
  <c r="AH35" i="113" s="1"/>
  <c r="AC36" i="113"/>
  <c r="X36" i="113"/>
  <c r="S36" i="113"/>
  <c r="S35" i="113" s="1"/>
  <c r="N36" i="113"/>
  <c r="N35" i="113" s="1"/>
  <c r="I36" i="113"/>
  <c r="I35" i="113" s="1"/>
  <c r="E36" i="113"/>
  <c r="E35" i="113" s="1"/>
  <c r="AQ35" i="113"/>
  <c r="AP35" i="113"/>
  <c r="AL35" i="113"/>
  <c r="AK35" i="113"/>
  <c r="AG35" i="113"/>
  <c r="AF35" i="113"/>
  <c r="AB35" i="113"/>
  <c r="AA35" i="113"/>
  <c r="W35" i="113"/>
  <c r="V35" i="113"/>
  <c r="R35" i="113"/>
  <c r="Q35" i="113"/>
  <c r="M35" i="113"/>
  <c r="L35" i="113"/>
  <c r="H35" i="113"/>
  <c r="G35" i="113"/>
  <c r="D35" i="113"/>
  <c r="C35" i="113"/>
  <c r="AV33" i="113"/>
  <c r="AU33" i="113"/>
  <c r="AR33" i="113"/>
  <c r="AM33" i="113"/>
  <c r="AH33" i="113"/>
  <c r="AC33" i="113"/>
  <c r="X33" i="113"/>
  <c r="S33" i="113"/>
  <c r="N33" i="113"/>
  <c r="I33" i="113"/>
  <c r="E33" i="113"/>
  <c r="AV32" i="113"/>
  <c r="AU32" i="113"/>
  <c r="AR32" i="113"/>
  <c r="AM32" i="113"/>
  <c r="AH32" i="113"/>
  <c r="AC32" i="113"/>
  <c r="X32" i="113"/>
  <c r="S32" i="113"/>
  <c r="N32" i="113"/>
  <c r="I32" i="113"/>
  <c r="E32" i="113"/>
  <c r="AV31" i="113"/>
  <c r="AU31" i="113"/>
  <c r="AR31" i="113"/>
  <c r="AM31" i="113"/>
  <c r="AH31" i="113"/>
  <c r="AC31" i="113"/>
  <c r="X31" i="113"/>
  <c r="S31" i="113"/>
  <c r="N31" i="113"/>
  <c r="I31" i="113"/>
  <c r="E31" i="113"/>
  <c r="AV30" i="113"/>
  <c r="AU30" i="113"/>
  <c r="AR30" i="113"/>
  <c r="AM30" i="113"/>
  <c r="AH30" i="113"/>
  <c r="AC30" i="113"/>
  <c r="X30" i="113"/>
  <c r="S30" i="113"/>
  <c r="N30" i="113"/>
  <c r="I30" i="113"/>
  <c r="E30" i="113"/>
  <c r="AV29" i="113"/>
  <c r="AU29" i="113"/>
  <c r="AR29" i="113"/>
  <c r="AM29" i="113"/>
  <c r="AH29" i="113"/>
  <c r="AC29" i="113"/>
  <c r="X29" i="113"/>
  <c r="S29" i="113"/>
  <c r="N29" i="113"/>
  <c r="I29" i="113"/>
  <c r="E29" i="113"/>
  <c r="AV28" i="113"/>
  <c r="AU28" i="113"/>
  <c r="AR28" i="113"/>
  <c r="AM28" i="113"/>
  <c r="AH28" i="113"/>
  <c r="AC28" i="113"/>
  <c r="X28" i="113"/>
  <c r="S28" i="113"/>
  <c r="N28" i="113"/>
  <c r="I28" i="113"/>
  <c r="E28" i="113"/>
  <c r="AV27" i="113"/>
  <c r="AU27" i="113"/>
  <c r="AR27" i="113"/>
  <c r="AM27" i="113"/>
  <c r="AH27" i="113"/>
  <c r="AC27" i="113"/>
  <c r="X27" i="113"/>
  <c r="S27" i="113"/>
  <c r="N27" i="113"/>
  <c r="I27" i="113"/>
  <c r="E27" i="113"/>
  <c r="AV26" i="113"/>
  <c r="AU26" i="113"/>
  <c r="AR26" i="113"/>
  <c r="AM26" i="113"/>
  <c r="AH26" i="113"/>
  <c r="AC26" i="113"/>
  <c r="X26" i="113"/>
  <c r="S26" i="113"/>
  <c r="N26" i="113"/>
  <c r="I26" i="113"/>
  <c r="E26" i="113"/>
  <c r="AV25" i="113"/>
  <c r="AU25" i="113"/>
  <c r="AR25" i="113"/>
  <c r="AM25" i="113"/>
  <c r="AH25" i="113"/>
  <c r="AC25" i="113"/>
  <c r="X25" i="113"/>
  <c r="S25" i="113"/>
  <c r="N25" i="113"/>
  <c r="I25" i="113"/>
  <c r="E25" i="113"/>
  <c r="AV24" i="113"/>
  <c r="AU24" i="113"/>
  <c r="AR24" i="113"/>
  <c r="AM24" i="113"/>
  <c r="AH24" i="113"/>
  <c r="AC24" i="113"/>
  <c r="X24" i="113"/>
  <c r="S24" i="113"/>
  <c r="N24" i="113"/>
  <c r="I24" i="113"/>
  <c r="E24" i="113"/>
  <c r="AV23" i="113"/>
  <c r="AU23" i="113"/>
  <c r="AR23" i="113"/>
  <c r="AM23" i="113"/>
  <c r="AH23" i="113"/>
  <c r="AC23" i="113"/>
  <c r="X23" i="113"/>
  <c r="S23" i="113"/>
  <c r="AV22" i="113"/>
  <c r="AU22" i="113"/>
  <c r="AR22" i="113"/>
  <c r="AM22" i="113"/>
  <c r="AH22" i="113"/>
  <c r="AC22" i="113"/>
  <c r="X22" i="113"/>
  <c r="S22" i="113"/>
  <c r="AV21" i="113"/>
  <c r="AU21" i="113"/>
  <c r="AR21" i="113"/>
  <c r="AM21" i="113"/>
  <c r="AH21" i="113"/>
  <c r="AC21" i="113"/>
  <c r="X21" i="113"/>
  <c r="S21" i="113"/>
  <c r="N21" i="113"/>
  <c r="I21" i="113"/>
  <c r="E21" i="113"/>
  <c r="AV20" i="113"/>
  <c r="AU20" i="113"/>
  <c r="AR20" i="113"/>
  <c r="AM20" i="113"/>
  <c r="AH20" i="113"/>
  <c r="AC20" i="113"/>
  <c r="X20" i="113"/>
  <c r="S20" i="113"/>
  <c r="N20" i="113"/>
  <c r="I20" i="113"/>
  <c r="E20" i="113"/>
  <c r="AV19" i="113"/>
  <c r="AU19" i="113"/>
  <c r="AR19" i="113"/>
  <c r="AM19" i="113"/>
  <c r="AH19" i="113"/>
  <c r="AC19" i="113"/>
  <c r="X19" i="113"/>
  <c r="S19" i="113"/>
  <c r="N19" i="113"/>
  <c r="I19" i="113"/>
  <c r="E19" i="113"/>
  <c r="AV18" i="113"/>
  <c r="AU18" i="113"/>
  <c r="AR18" i="113"/>
  <c r="AM18" i="113"/>
  <c r="AH18" i="113"/>
  <c r="AC18" i="113"/>
  <c r="X18" i="113"/>
  <c r="S18" i="113"/>
  <c r="N18" i="113"/>
  <c r="I18" i="113"/>
  <c r="E18" i="113"/>
  <c r="AV17" i="113"/>
  <c r="AU17" i="113"/>
  <c r="AR17" i="113"/>
  <c r="AM17" i="113"/>
  <c r="AH17" i="113"/>
  <c r="AC17" i="113"/>
  <c r="X17" i="113"/>
  <c r="S17" i="113"/>
  <c r="N17" i="113"/>
  <c r="I17" i="113"/>
  <c r="E17" i="113"/>
  <c r="AV16" i="113"/>
  <c r="AU16" i="113"/>
  <c r="AR16" i="113"/>
  <c r="AM16" i="113"/>
  <c r="AH16" i="113"/>
  <c r="AC16" i="113"/>
  <c r="X16" i="113"/>
  <c r="S16" i="113"/>
  <c r="N16" i="113"/>
  <c r="I16" i="113"/>
  <c r="E16" i="113"/>
  <c r="AV15" i="113"/>
  <c r="AU15" i="113"/>
  <c r="AR15" i="113"/>
  <c r="AM15" i="113"/>
  <c r="AH15" i="113"/>
  <c r="AC15" i="113"/>
  <c r="X15" i="113"/>
  <c r="S15" i="113"/>
  <c r="N15" i="113"/>
  <c r="I15" i="113"/>
  <c r="E15" i="113"/>
  <c r="AV14" i="113"/>
  <c r="AU14" i="113"/>
  <c r="AR14" i="113"/>
  <c r="AM14" i="113"/>
  <c r="AH14" i="113"/>
  <c r="AC14" i="113"/>
  <c r="X14" i="113"/>
  <c r="S14" i="113"/>
  <c r="N14" i="113"/>
  <c r="I14" i="113"/>
  <c r="E14" i="113"/>
  <c r="AV13" i="113"/>
  <c r="AU13" i="113"/>
  <c r="AR13" i="113"/>
  <c r="AM13" i="113"/>
  <c r="AH13" i="113"/>
  <c r="AC13" i="113"/>
  <c r="X13" i="113"/>
  <c r="S13" i="113"/>
  <c r="N13" i="113"/>
  <c r="I13" i="113"/>
  <c r="E13" i="113"/>
  <c r="AV12" i="113"/>
  <c r="AU12" i="113"/>
  <c r="AR12" i="113"/>
  <c r="AM12" i="113"/>
  <c r="AH12" i="113"/>
  <c r="AC12" i="113"/>
  <c r="X12" i="113"/>
  <c r="S12" i="113"/>
  <c r="N12" i="113"/>
  <c r="I12" i="113"/>
  <c r="E12" i="113"/>
  <c r="AV11" i="113"/>
  <c r="AU11" i="113"/>
  <c r="AR11" i="113"/>
  <c r="AM11" i="113"/>
  <c r="AH11" i="113"/>
  <c r="AC11" i="113"/>
  <c r="X11" i="113"/>
  <c r="S11" i="113"/>
  <c r="N11" i="113"/>
  <c r="I11" i="113"/>
  <c r="E11" i="113"/>
  <c r="AV10" i="113"/>
  <c r="AU10" i="113"/>
  <c r="AR10" i="113"/>
  <c r="AM10" i="113"/>
  <c r="AH10" i="113"/>
  <c r="AC10" i="113"/>
  <c r="X10" i="113"/>
  <c r="S10" i="113"/>
  <c r="N10" i="113"/>
  <c r="I10" i="113"/>
  <c r="E10" i="113"/>
  <c r="AV9" i="113"/>
  <c r="AU9" i="113"/>
  <c r="AR9" i="113"/>
  <c r="AM9" i="113"/>
  <c r="AH9" i="113"/>
  <c r="AC9" i="113"/>
  <c r="X9" i="113"/>
  <c r="S9" i="113"/>
  <c r="N9" i="113"/>
  <c r="I9" i="113"/>
  <c r="E9" i="113"/>
  <c r="AQ8" i="113"/>
  <c r="AP8" i="113"/>
  <c r="AL8" i="113"/>
  <c r="AK8" i="113"/>
  <c r="AG8" i="113"/>
  <c r="AF8" i="113"/>
  <c r="AB8" i="113"/>
  <c r="AA8" i="113"/>
  <c r="W8" i="113"/>
  <c r="V8" i="113"/>
  <c r="R8" i="113"/>
  <c r="Q8" i="113"/>
  <c r="M8" i="113"/>
  <c r="L8" i="113"/>
  <c r="H8" i="113"/>
  <c r="G8" i="113"/>
  <c r="D8" i="113"/>
  <c r="C8" i="113"/>
  <c r="AV7" i="113"/>
  <c r="AU7" i="113"/>
  <c r="AR7" i="113"/>
  <c r="AM7" i="113"/>
  <c r="AH7" i="113"/>
  <c r="AC7" i="113"/>
  <c r="X7" i="113"/>
  <c r="S7" i="113"/>
  <c r="N7" i="113"/>
  <c r="I7" i="113"/>
  <c r="E7" i="113"/>
  <c r="AV6" i="113"/>
  <c r="AV5" i="113" s="1"/>
  <c r="AR6" i="113"/>
  <c r="AR5" i="113" s="1"/>
  <c r="AM6" i="113"/>
  <c r="AM5" i="113" s="1"/>
  <c r="AH6" i="113"/>
  <c r="AH5" i="113" s="1"/>
  <c r="AC6" i="113"/>
  <c r="AC5" i="113" s="1"/>
  <c r="X6" i="113"/>
  <c r="X5" i="113" s="1"/>
  <c r="S6" i="113"/>
  <c r="S5" i="113" s="1"/>
  <c r="I6" i="113"/>
  <c r="I5" i="113" s="1"/>
  <c r="E6" i="113"/>
  <c r="E5" i="113" s="1"/>
  <c r="AQ5" i="113"/>
  <c r="AP5" i="113"/>
  <c r="AL5" i="113"/>
  <c r="AK5" i="113"/>
  <c r="AG5" i="113"/>
  <c r="AF5" i="113"/>
  <c r="AB5" i="113"/>
  <c r="AA5" i="113"/>
  <c r="W5" i="113"/>
  <c r="V5" i="113"/>
  <c r="R5" i="113"/>
  <c r="Q5" i="113"/>
  <c r="M5" i="113"/>
  <c r="H5" i="113"/>
  <c r="G5" i="113"/>
  <c r="D5" i="113"/>
  <c r="C5" i="113"/>
  <c r="Q38" i="113" l="1"/>
  <c r="AW11" i="113"/>
  <c r="AK38" i="113"/>
  <c r="AK39" i="113" s="1"/>
  <c r="AW20" i="113"/>
  <c r="AW78" i="113"/>
  <c r="AW36" i="113"/>
  <c r="AW35" i="113" s="1"/>
  <c r="AQ38" i="113"/>
  <c r="AC79" i="113"/>
  <c r="AC77" i="113" s="1"/>
  <c r="AW12" i="113"/>
  <c r="AW30" i="113"/>
  <c r="AW60" i="113"/>
  <c r="AV77" i="113"/>
  <c r="AW47" i="113"/>
  <c r="AW56" i="113"/>
  <c r="AW64" i="113"/>
  <c r="X54" i="113"/>
  <c r="AH79" i="113"/>
  <c r="AH77" i="113" s="1"/>
  <c r="AR79" i="113"/>
  <c r="AR77" i="113" s="1"/>
  <c r="X50" i="113"/>
  <c r="AU50" i="113"/>
  <c r="AB38" i="113"/>
  <c r="AB75" i="113" s="1"/>
  <c r="AW18" i="113"/>
  <c r="AW19" i="113"/>
  <c r="AW28" i="113"/>
  <c r="AW32" i="113"/>
  <c r="AW45" i="113"/>
  <c r="AW58" i="113"/>
  <c r="H38" i="113"/>
  <c r="H39" i="113" s="1"/>
  <c r="AW48" i="113"/>
  <c r="AW51" i="113"/>
  <c r="C73" i="113"/>
  <c r="AW74" i="113"/>
  <c r="AW73" i="113" s="1"/>
  <c r="AU77" i="113"/>
  <c r="D38" i="113"/>
  <c r="AL38" i="113"/>
  <c r="AL39" i="113" s="1"/>
  <c r="AW9" i="113"/>
  <c r="AW21" i="113"/>
  <c r="AW22" i="113"/>
  <c r="S41" i="113"/>
  <c r="AC54" i="113"/>
  <c r="AW67" i="113"/>
  <c r="AW71" i="113"/>
  <c r="AW82" i="113"/>
  <c r="AF38" i="113"/>
  <c r="AF75" i="113" s="1"/>
  <c r="AF76" i="113" s="1"/>
  <c r="AW62" i="113"/>
  <c r="AM8" i="113"/>
  <c r="AM38" i="113" s="1"/>
  <c r="AW7" i="113"/>
  <c r="G38" i="113"/>
  <c r="G39" i="113" s="1"/>
  <c r="E8" i="113"/>
  <c r="AW13" i="113"/>
  <c r="AW27" i="113"/>
  <c r="AU35" i="113"/>
  <c r="AC41" i="113"/>
  <c r="AW52" i="113"/>
  <c r="AW15" i="113"/>
  <c r="AW25" i="113"/>
  <c r="AW26" i="113"/>
  <c r="AW29" i="113"/>
  <c r="AK75" i="113"/>
  <c r="AK81" i="113" s="1"/>
  <c r="AK83" i="113" s="1"/>
  <c r="AK84" i="113" s="1"/>
  <c r="AK86" i="113" s="1"/>
  <c r="AK87" i="113" s="1"/>
  <c r="AW69" i="113"/>
  <c r="AR8" i="113"/>
  <c r="AU8" i="113"/>
  <c r="AW17" i="113"/>
  <c r="AW24" i="113"/>
  <c r="AW31" i="113"/>
  <c r="AW14" i="113"/>
  <c r="AW23" i="113"/>
  <c r="AW66" i="113"/>
  <c r="AW63" i="113"/>
  <c r="AW70" i="113"/>
  <c r="AV54" i="113"/>
  <c r="G75" i="113"/>
  <c r="AW57" i="113"/>
  <c r="AV8" i="113"/>
  <c r="AV38" i="113" s="1"/>
  <c r="AK76" i="113"/>
  <c r="Q75" i="113"/>
  <c r="Q39" i="113"/>
  <c r="X35" i="113"/>
  <c r="AH8" i="113"/>
  <c r="AC8" i="113"/>
  <c r="S50" i="113"/>
  <c r="S54" i="113"/>
  <c r="V38" i="113"/>
  <c r="AR38" i="113"/>
  <c r="X8" i="113"/>
  <c r="S8" i="113"/>
  <c r="S38" i="113" s="1"/>
  <c r="AW16" i="113"/>
  <c r="AR41" i="113"/>
  <c r="AM41" i="113"/>
  <c r="AR54" i="113"/>
  <c r="D75" i="113"/>
  <c r="D39" i="113"/>
  <c r="L5" i="113"/>
  <c r="L38" i="113" s="1"/>
  <c r="N6" i="113"/>
  <c r="N5" i="113" s="1"/>
  <c r="AQ75" i="113"/>
  <c r="AQ39" i="113"/>
  <c r="AB39" i="113"/>
  <c r="AP38" i="113"/>
  <c r="E38" i="113"/>
  <c r="E41" i="113"/>
  <c r="AW46" i="113"/>
  <c r="AU41" i="113"/>
  <c r="C38" i="113"/>
  <c r="H75" i="113"/>
  <c r="W38" i="113"/>
  <c r="AL75" i="113"/>
  <c r="AU6" i="113"/>
  <c r="R38" i="113"/>
  <c r="N8" i="113"/>
  <c r="I8" i="113"/>
  <c r="I38" i="113" s="1"/>
  <c r="AW10" i="113"/>
  <c r="N54" i="113"/>
  <c r="I50" i="113"/>
  <c r="X41" i="113"/>
  <c r="AV41" i="113"/>
  <c r="I41" i="113"/>
  <c r="AM50" i="113"/>
  <c r="E54" i="113"/>
  <c r="AM54" i="113"/>
  <c r="I63" i="113"/>
  <c r="AH41" i="113"/>
  <c r="M38" i="113"/>
  <c r="AA38" i="113"/>
  <c r="AG38" i="113"/>
  <c r="AW33" i="113"/>
  <c r="AR35" i="113"/>
  <c r="N41" i="113"/>
  <c r="AW42" i="113"/>
  <c r="AW44" i="113"/>
  <c r="E50" i="113"/>
  <c r="AC50" i="113"/>
  <c r="AR50" i="113"/>
  <c r="AH54" i="113"/>
  <c r="AW55" i="113"/>
  <c r="AW59" i="113"/>
  <c r="AU65" i="113"/>
  <c r="I65" i="113"/>
  <c r="AC35" i="113"/>
  <c r="AW61" i="113"/>
  <c r="AW68" i="113"/>
  <c r="AB16" i="108"/>
  <c r="AQ16" i="108" s="1"/>
  <c r="AV16" i="102"/>
  <c r="AU45" i="102"/>
  <c r="AK28" i="91"/>
  <c r="AF39" i="113" l="1"/>
  <c r="AF81" i="113"/>
  <c r="AF83" i="113" s="1"/>
  <c r="AF84" i="113" s="1"/>
  <c r="AF86" i="113" s="1"/>
  <c r="AF87" i="113" s="1"/>
  <c r="AQ8" i="108"/>
  <c r="AQ38" i="108" s="1"/>
  <c r="AR16" i="108"/>
  <c r="AW50" i="113"/>
  <c r="E89" i="113"/>
  <c r="F29" i="113" s="1"/>
  <c r="G76" i="113"/>
  <c r="G81" i="113"/>
  <c r="G83" i="113" s="1"/>
  <c r="G84" i="113" s="1"/>
  <c r="G86" i="113" s="1"/>
  <c r="G87" i="113" s="1"/>
  <c r="AW8" i="113"/>
  <c r="AM75" i="113"/>
  <c r="AM39" i="113"/>
  <c r="AH89" i="113"/>
  <c r="AN50" i="113" s="1"/>
  <c r="AH38" i="113"/>
  <c r="AW65" i="113"/>
  <c r="AU54" i="113"/>
  <c r="AG75" i="113"/>
  <c r="AG39" i="113"/>
  <c r="I39" i="113"/>
  <c r="AW41" i="113"/>
  <c r="F70" i="113"/>
  <c r="F13" i="113"/>
  <c r="F47" i="113"/>
  <c r="F62" i="113"/>
  <c r="F8" i="113"/>
  <c r="F67" i="113"/>
  <c r="F19" i="113"/>
  <c r="R75" i="113"/>
  <c r="R39" i="113"/>
  <c r="AQ76" i="113"/>
  <c r="AQ81" i="113"/>
  <c r="AQ83" i="113" s="1"/>
  <c r="AQ84" i="113" s="1"/>
  <c r="AQ86" i="113" s="1"/>
  <c r="AQ87" i="113" s="1"/>
  <c r="S75" i="113"/>
  <c r="S39" i="113"/>
  <c r="AL81" i="113"/>
  <c r="AL83" i="113" s="1"/>
  <c r="AL84" i="113" s="1"/>
  <c r="AL86" i="113" s="1"/>
  <c r="AL87" i="113" s="1"/>
  <c r="AL76" i="113"/>
  <c r="C75" i="113"/>
  <c r="C39" i="113"/>
  <c r="D76" i="113"/>
  <c r="D81" i="113"/>
  <c r="D83" i="113" s="1"/>
  <c r="D84" i="113" s="1"/>
  <c r="D86" i="113" s="1"/>
  <c r="D87" i="113" s="1"/>
  <c r="V39" i="113"/>
  <c r="V75" i="113"/>
  <c r="F50" i="113"/>
  <c r="M75" i="113"/>
  <c r="M39" i="113"/>
  <c r="I54" i="113"/>
  <c r="I75" i="113" s="1"/>
  <c r="AW6" i="113"/>
  <c r="AW5" i="113" s="1"/>
  <c r="AU5" i="113"/>
  <c r="AU38" i="113" s="1"/>
  <c r="W39" i="113"/>
  <c r="W75" i="113"/>
  <c r="AB76" i="113"/>
  <c r="AB81" i="113"/>
  <c r="AB83" i="113" s="1"/>
  <c r="AB84" i="113" s="1"/>
  <c r="AB86" i="113" s="1"/>
  <c r="AB87" i="113" s="1"/>
  <c r="N38" i="113"/>
  <c r="AR75" i="113"/>
  <c r="AR39" i="113"/>
  <c r="Q76" i="113"/>
  <c r="Q81" i="113"/>
  <c r="Q83" i="113" s="1"/>
  <c r="Q84" i="113" s="1"/>
  <c r="Q86" i="113" s="1"/>
  <c r="Q87" i="113" s="1"/>
  <c r="AV39" i="113"/>
  <c r="AV75" i="113"/>
  <c r="L75" i="113"/>
  <c r="L39" i="113"/>
  <c r="AA75" i="113"/>
  <c r="AA39" i="113"/>
  <c r="F54" i="113"/>
  <c r="H76" i="113"/>
  <c r="H81" i="113"/>
  <c r="H83" i="113" s="1"/>
  <c r="H84" i="113" s="1"/>
  <c r="H86" i="113" s="1"/>
  <c r="H87" i="113" s="1"/>
  <c r="E75" i="113"/>
  <c r="E39" i="113"/>
  <c r="AP75" i="113"/>
  <c r="AP39" i="113"/>
  <c r="X38" i="113"/>
  <c r="AC89" i="113"/>
  <c r="AR89" i="113"/>
  <c r="AR93" i="113" s="1"/>
  <c r="AC38" i="113"/>
  <c r="AU25" i="102"/>
  <c r="F15" i="113" l="1"/>
  <c r="F42" i="113"/>
  <c r="F44" i="113"/>
  <c r="F48" i="113"/>
  <c r="F68" i="113"/>
  <c r="F21" i="113"/>
  <c r="F32" i="113"/>
  <c r="F51" i="113"/>
  <c r="F57" i="113"/>
  <c r="F18" i="113"/>
  <c r="F27" i="113"/>
  <c r="F24" i="113"/>
  <c r="F58" i="113"/>
  <c r="F71" i="113"/>
  <c r="AQ75" i="108"/>
  <c r="AQ39" i="108"/>
  <c r="F85" i="113"/>
  <c r="F25" i="113"/>
  <c r="F61" i="113"/>
  <c r="F60" i="113"/>
  <c r="F82" i="113"/>
  <c r="F41" i="113"/>
  <c r="F16" i="113"/>
  <c r="F10" i="113"/>
  <c r="F17" i="113"/>
  <c r="F9" i="113"/>
  <c r="F36" i="113"/>
  <c r="F28" i="113"/>
  <c r="F30" i="113"/>
  <c r="F43" i="113"/>
  <c r="F66" i="113"/>
  <c r="F56" i="113"/>
  <c r="F63" i="113"/>
  <c r="F79" i="113"/>
  <c r="F45" i="113"/>
  <c r="F73" i="113"/>
  <c r="F64" i="113"/>
  <c r="F55" i="113"/>
  <c r="F11" i="113"/>
  <c r="F12" i="113"/>
  <c r="F52" i="113"/>
  <c r="F14" i="113"/>
  <c r="F33" i="113"/>
  <c r="F69" i="113"/>
  <c r="F31" i="113"/>
  <c r="F26" i="113"/>
  <c r="F20" i="113"/>
  <c r="F65" i="113"/>
  <c r="F46" i="113"/>
  <c r="F59" i="113"/>
  <c r="F72" i="113"/>
  <c r="F35" i="113"/>
  <c r="AN41" i="113"/>
  <c r="AS41" i="113"/>
  <c r="AS54" i="113"/>
  <c r="AS50" i="113"/>
  <c r="AN54" i="113"/>
  <c r="AI41" i="113"/>
  <c r="I76" i="113"/>
  <c r="AD71" i="113"/>
  <c r="AD69" i="113"/>
  <c r="AD70" i="113"/>
  <c r="AD62" i="113"/>
  <c r="AD60" i="113"/>
  <c r="AD58" i="113"/>
  <c r="AD56" i="113"/>
  <c r="AD55" i="113"/>
  <c r="AD47" i="113"/>
  <c r="AD64" i="113"/>
  <c r="AD67" i="113"/>
  <c r="AD57" i="113"/>
  <c r="AD42" i="113"/>
  <c r="AD29" i="113"/>
  <c r="AD19" i="113"/>
  <c r="AD12" i="113"/>
  <c r="AD52" i="113"/>
  <c r="AD21" i="113"/>
  <c r="AD41" i="113"/>
  <c r="AD25" i="113"/>
  <c r="AD23" i="113"/>
  <c r="AD65" i="113"/>
  <c r="AD49" i="113"/>
  <c r="AD14" i="113"/>
  <c r="AD10" i="113"/>
  <c r="AD13" i="113"/>
  <c r="AD32" i="113"/>
  <c r="AD59" i="113"/>
  <c r="AD66" i="113"/>
  <c r="AD20" i="113"/>
  <c r="AD54" i="113"/>
  <c r="AD45" i="113"/>
  <c r="AD48" i="113"/>
  <c r="AD51" i="113"/>
  <c r="AS8" i="113"/>
  <c r="AN8" i="113"/>
  <c r="AD26" i="113"/>
  <c r="AD44" i="113"/>
  <c r="AD17" i="113"/>
  <c r="AD11" i="113"/>
  <c r="AD31" i="113"/>
  <c r="AD15" i="113"/>
  <c r="AD33" i="113"/>
  <c r="AD24" i="113"/>
  <c r="AD30" i="113"/>
  <c r="AC93" i="113"/>
  <c r="AD46" i="113"/>
  <c r="AD18" i="113"/>
  <c r="AD9" i="113"/>
  <c r="AD28" i="113"/>
  <c r="AD43" i="113"/>
  <c r="AD22" i="113"/>
  <c r="AD61" i="113"/>
  <c r="AD63" i="113"/>
  <c r="AD16" i="113"/>
  <c r="AD27" i="113"/>
  <c r="AD68" i="113"/>
  <c r="AV76" i="113"/>
  <c r="AV81" i="113"/>
  <c r="AV83" i="113" s="1"/>
  <c r="AV84" i="113" s="1"/>
  <c r="AV86" i="113" s="1"/>
  <c r="AV87" i="113" s="1"/>
  <c r="AW38" i="113"/>
  <c r="AH75" i="113"/>
  <c r="AH39" i="113"/>
  <c r="E81" i="113"/>
  <c r="E83" i="113" s="1"/>
  <c r="E84" i="113" s="1"/>
  <c r="E86" i="113" s="1"/>
  <c r="E87" i="113" s="1"/>
  <c r="E76" i="113"/>
  <c r="W76" i="113"/>
  <c r="W81" i="113"/>
  <c r="W83" i="113" s="1"/>
  <c r="W84" i="113" s="1"/>
  <c r="W86" i="113" s="1"/>
  <c r="W87" i="113" s="1"/>
  <c r="C76" i="113"/>
  <c r="C81" i="113"/>
  <c r="C83" i="113" s="1"/>
  <c r="C84" i="113" s="1"/>
  <c r="C86" i="113" s="1"/>
  <c r="C87" i="113" s="1"/>
  <c r="S76" i="113"/>
  <c r="AI8" i="113"/>
  <c r="X75" i="113"/>
  <c r="X39" i="113"/>
  <c r="AA81" i="113"/>
  <c r="AA83" i="113" s="1"/>
  <c r="AA84" i="113" s="1"/>
  <c r="AA86" i="113" s="1"/>
  <c r="AA87" i="113" s="1"/>
  <c r="AA76" i="113"/>
  <c r="M81" i="113"/>
  <c r="M83" i="113" s="1"/>
  <c r="M84" i="113" s="1"/>
  <c r="M86" i="113" s="1"/>
  <c r="M87" i="113" s="1"/>
  <c r="M76" i="113"/>
  <c r="V76" i="113"/>
  <c r="V81" i="113"/>
  <c r="V83" i="113" s="1"/>
  <c r="V84" i="113" s="1"/>
  <c r="V86" i="113" s="1"/>
  <c r="V87" i="113" s="1"/>
  <c r="AG76" i="113"/>
  <c r="AG81" i="113"/>
  <c r="AG83" i="113" s="1"/>
  <c r="AG84" i="113" s="1"/>
  <c r="AG86" i="113" s="1"/>
  <c r="AG87" i="113" s="1"/>
  <c r="AN71" i="113"/>
  <c r="AS70" i="113"/>
  <c r="AI70" i="113"/>
  <c r="AN69" i="113"/>
  <c r="AS68" i="113"/>
  <c r="AI68" i="113"/>
  <c r="AS71" i="113"/>
  <c r="AI69" i="113"/>
  <c r="AN62" i="113"/>
  <c r="AS61" i="113"/>
  <c r="AI61" i="113"/>
  <c r="AN60" i="113"/>
  <c r="AS59" i="113"/>
  <c r="AI59" i="113"/>
  <c r="AN58" i="113"/>
  <c r="AS57" i="113"/>
  <c r="AI57" i="113"/>
  <c r="AN56" i="113"/>
  <c r="AI71" i="113"/>
  <c r="AN64" i="113"/>
  <c r="AI62" i="113"/>
  <c r="AN57" i="113"/>
  <c r="AS56" i="113"/>
  <c r="AN49" i="113"/>
  <c r="AN47" i="113"/>
  <c r="AS46" i="113"/>
  <c r="AI46" i="113"/>
  <c r="AI66" i="113"/>
  <c r="AI49" i="113"/>
  <c r="AN65" i="113"/>
  <c r="AS63" i="113"/>
  <c r="AS58" i="113"/>
  <c r="AN52" i="113"/>
  <c r="AI48" i="113"/>
  <c r="AN42" i="113"/>
  <c r="AN67" i="113"/>
  <c r="AN59" i="113"/>
  <c r="AS48" i="113"/>
  <c r="AI56" i="113"/>
  <c r="AI51" i="113"/>
  <c r="AS49" i="113"/>
  <c r="AI58" i="113"/>
  <c r="AS51" i="113"/>
  <c r="AI36" i="113"/>
  <c r="AS30" i="113"/>
  <c r="AS26" i="113"/>
  <c r="AN21" i="113"/>
  <c r="AS18" i="113"/>
  <c r="AN14" i="113"/>
  <c r="AS13" i="113"/>
  <c r="AI11" i="113"/>
  <c r="AN23" i="113"/>
  <c r="AI20" i="113"/>
  <c r="AI18" i="113"/>
  <c r="AN68" i="113"/>
  <c r="AS66" i="113"/>
  <c r="AI47" i="113"/>
  <c r="AI28" i="113"/>
  <c r="AI24" i="113"/>
  <c r="AI22" i="113"/>
  <c r="AN19" i="113"/>
  <c r="AI63" i="113"/>
  <c r="AS60" i="113"/>
  <c r="AS22" i="113"/>
  <c r="AN31" i="113"/>
  <c r="AS20" i="113"/>
  <c r="AN16" i="113"/>
  <c r="AS15" i="113"/>
  <c r="AI13" i="113"/>
  <c r="AN12" i="113"/>
  <c r="AS11" i="113"/>
  <c r="AN27" i="113"/>
  <c r="AI17" i="113"/>
  <c r="AS21" i="113"/>
  <c r="AN25" i="113"/>
  <c r="AS47" i="113"/>
  <c r="AH93" i="113"/>
  <c r="AS16" i="113"/>
  <c r="AN43" i="113"/>
  <c r="AN45" i="113"/>
  <c r="AI30" i="113"/>
  <c r="AI55" i="113"/>
  <c r="AI14" i="113"/>
  <c r="AN17" i="113"/>
  <c r="AI23" i="113"/>
  <c r="AI25" i="113"/>
  <c r="AN28" i="113"/>
  <c r="AS43" i="113"/>
  <c r="AN55" i="113"/>
  <c r="AI64" i="113"/>
  <c r="AN36" i="113"/>
  <c r="AI60" i="113"/>
  <c r="AN32" i="113"/>
  <c r="AN10" i="113"/>
  <c r="AN29" i="113"/>
  <c r="AI43" i="113"/>
  <c r="AN48" i="113"/>
  <c r="AI9" i="113"/>
  <c r="AS10" i="113"/>
  <c r="AN20" i="113"/>
  <c r="AS29" i="113"/>
  <c r="AS62" i="113"/>
  <c r="AI19" i="113"/>
  <c r="AI26" i="113"/>
  <c r="AN33" i="113"/>
  <c r="AN9" i="113"/>
  <c r="AI32" i="113"/>
  <c r="AS31" i="113"/>
  <c r="AN30" i="113"/>
  <c r="AN51" i="113"/>
  <c r="AI15" i="113"/>
  <c r="AS17" i="113"/>
  <c r="AN11" i="113"/>
  <c r="AS28" i="113"/>
  <c r="AI21" i="113"/>
  <c r="AI45" i="113"/>
  <c r="AN61" i="113"/>
  <c r="AN15" i="113"/>
  <c r="AN44" i="113"/>
  <c r="AN24" i="113"/>
  <c r="AS45" i="113"/>
  <c r="AS27" i="113"/>
  <c r="AI31" i="113"/>
  <c r="AS33" i="113"/>
  <c r="AS44" i="113"/>
  <c r="AI42" i="113"/>
  <c r="AN26" i="113"/>
  <c r="AS14" i="113"/>
  <c r="AS25" i="113"/>
  <c r="AS12" i="113"/>
  <c r="AN46" i="113"/>
  <c r="AS67" i="113"/>
  <c r="AI33" i="113"/>
  <c r="AN63" i="113"/>
  <c r="AI65" i="113"/>
  <c r="AS69" i="113"/>
  <c r="AS55" i="113"/>
  <c r="AN22" i="113"/>
  <c r="AN66" i="113"/>
  <c r="AS23" i="113"/>
  <c r="AS42" i="113"/>
  <c r="AI50" i="113"/>
  <c r="AS9" i="113"/>
  <c r="AS52" i="113"/>
  <c r="AI27" i="113"/>
  <c r="AN18" i="113"/>
  <c r="AS24" i="113"/>
  <c r="AS65" i="113"/>
  <c r="AI16" i="113"/>
  <c r="AS64" i="113"/>
  <c r="AN13" i="113"/>
  <c r="AS36" i="113"/>
  <c r="AI10" i="113"/>
  <c r="AS19" i="113"/>
  <c r="AI52" i="113"/>
  <c r="AI44" i="113"/>
  <c r="AI67" i="113"/>
  <c r="AN70" i="113"/>
  <c r="AI12" i="113"/>
  <c r="AI29" i="113"/>
  <c r="AS32" i="113"/>
  <c r="AM76" i="113"/>
  <c r="AC75" i="113"/>
  <c r="AC39" i="113"/>
  <c r="L81" i="113"/>
  <c r="L83" i="113" s="1"/>
  <c r="L84" i="113" s="1"/>
  <c r="L86" i="113" s="1"/>
  <c r="L87" i="113" s="1"/>
  <c r="L76" i="113"/>
  <c r="N75" i="113"/>
  <c r="N39" i="113"/>
  <c r="AD8" i="113"/>
  <c r="AP76" i="113"/>
  <c r="AP81" i="113"/>
  <c r="AP83" i="113" s="1"/>
  <c r="AP84" i="113" s="1"/>
  <c r="AP86" i="113" s="1"/>
  <c r="AP87" i="113" s="1"/>
  <c r="AR81" i="113"/>
  <c r="AR83" i="113" s="1"/>
  <c r="AR84" i="113" s="1"/>
  <c r="AR86" i="113" s="1"/>
  <c r="AR87" i="113" s="1"/>
  <c r="AR76" i="113"/>
  <c r="AU75" i="113"/>
  <c r="AU39" i="113"/>
  <c r="R81" i="113"/>
  <c r="R83" i="113" s="1"/>
  <c r="R84" i="113" s="1"/>
  <c r="R86" i="113" s="1"/>
  <c r="R87" i="113" s="1"/>
  <c r="R76" i="113"/>
  <c r="AI54" i="113"/>
  <c r="AW54" i="113"/>
  <c r="AQ81" i="108" l="1"/>
  <c r="AQ83" i="108" s="1"/>
  <c r="AQ84" i="108" s="1"/>
  <c r="AQ86" i="108" s="1"/>
  <c r="AQ87" i="108" s="1"/>
  <c r="AQ76" i="108"/>
  <c r="AH76" i="113"/>
  <c r="AH81" i="113"/>
  <c r="AH83" i="113" s="1"/>
  <c r="AH84" i="113" s="1"/>
  <c r="AH86" i="113" s="1"/>
  <c r="AH87" i="113" s="1"/>
  <c r="X76" i="113"/>
  <c r="AW39" i="113"/>
  <c r="AW75" i="113"/>
  <c r="AU76" i="113"/>
  <c r="AU81" i="113"/>
  <c r="AU83" i="113" s="1"/>
  <c r="AU84" i="113" s="1"/>
  <c r="AU86" i="113" s="1"/>
  <c r="AU87" i="113" s="1"/>
  <c r="N76" i="113"/>
  <c r="AC76" i="113"/>
  <c r="AC81" i="113"/>
  <c r="AC83" i="113" s="1"/>
  <c r="AC84" i="113" s="1"/>
  <c r="AC86" i="113" s="1"/>
  <c r="AC87" i="113" s="1"/>
  <c r="AW76" i="113" l="1"/>
  <c r="AZ18" i="96" l="1"/>
  <c r="AZ26" i="96"/>
  <c r="AZ25" i="96"/>
  <c r="BA30" i="96"/>
  <c r="BP30" i="96" s="1"/>
  <c r="AU26" i="102"/>
  <c r="AW85" i="99" l="1"/>
  <c r="AW82" i="99"/>
  <c r="AW78" i="99"/>
  <c r="AV77" i="99"/>
  <c r="AU77" i="99"/>
  <c r="AW74" i="99"/>
  <c r="AW73" i="99" s="1"/>
  <c r="AV73" i="99"/>
  <c r="AU73" i="99"/>
  <c r="AW71" i="99"/>
  <c r="AW70" i="99"/>
  <c r="AW69" i="99"/>
  <c r="AW68" i="99"/>
  <c r="AW67" i="99"/>
  <c r="AW66" i="99"/>
  <c r="AW65" i="99"/>
  <c r="AW64" i="99"/>
  <c r="AW63" i="99"/>
  <c r="AW62" i="99"/>
  <c r="AW61" i="99"/>
  <c r="AW60" i="99"/>
  <c r="AW59" i="99"/>
  <c r="AW58" i="99"/>
  <c r="AW57" i="99"/>
  <c r="AW56" i="99"/>
  <c r="AW55" i="99"/>
  <c r="AV54" i="99"/>
  <c r="AU54" i="99"/>
  <c r="AW52" i="99"/>
  <c r="AW51" i="99"/>
  <c r="AV50" i="99"/>
  <c r="AU50" i="99"/>
  <c r="AW48" i="99"/>
  <c r="AW47" i="99"/>
  <c r="AW46" i="99"/>
  <c r="AW45" i="99"/>
  <c r="AW44" i="99"/>
  <c r="AW43" i="99"/>
  <c r="AW42" i="99"/>
  <c r="AV41" i="99"/>
  <c r="AU41" i="99"/>
  <c r="AW36" i="99"/>
  <c r="AW35" i="99" s="1"/>
  <c r="AV35" i="99"/>
  <c r="AU35" i="99"/>
  <c r="AW33" i="99"/>
  <c r="AW32" i="99"/>
  <c r="AW31" i="99"/>
  <c r="AW30" i="99"/>
  <c r="AW29" i="99"/>
  <c r="AW28" i="99"/>
  <c r="AW27" i="99"/>
  <c r="AW26" i="99"/>
  <c r="AW25" i="99"/>
  <c r="AW24" i="99"/>
  <c r="AW23" i="99"/>
  <c r="AW22" i="99"/>
  <c r="AW21" i="99"/>
  <c r="AW20" i="99"/>
  <c r="AW19" i="99"/>
  <c r="AW18" i="99"/>
  <c r="AW17" i="99"/>
  <c r="AW16" i="99"/>
  <c r="AW15" i="99"/>
  <c r="AW14" i="99"/>
  <c r="AW13" i="99"/>
  <c r="AW12" i="99"/>
  <c r="AW11" i="99"/>
  <c r="AW10" i="99"/>
  <c r="AW9" i="99"/>
  <c r="AV8" i="99"/>
  <c r="AU8" i="99"/>
  <c r="AW7" i="99"/>
  <c r="AW6" i="99"/>
  <c r="AW5" i="99" s="1"/>
  <c r="AV5" i="99"/>
  <c r="AU5" i="99"/>
  <c r="AA6" i="108"/>
  <c r="BK79" i="87"/>
  <c r="BJ79" i="87"/>
  <c r="BK78" i="87"/>
  <c r="BJ78" i="87"/>
  <c r="BK71" i="87"/>
  <c r="BJ71" i="87"/>
  <c r="BK70" i="87"/>
  <c r="BJ70" i="87"/>
  <c r="BK69" i="87"/>
  <c r="BJ69" i="87"/>
  <c r="BK68" i="87"/>
  <c r="BJ68" i="87"/>
  <c r="BK67" i="87"/>
  <c r="BJ67" i="87"/>
  <c r="BK66" i="87"/>
  <c r="BJ66" i="87"/>
  <c r="BK65" i="87"/>
  <c r="BJ65" i="87"/>
  <c r="BK64" i="87"/>
  <c r="BJ64" i="87"/>
  <c r="BK63" i="87"/>
  <c r="BJ63" i="87"/>
  <c r="BK62" i="87"/>
  <c r="BJ62" i="87"/>
  <c r="BK61" i="87"/>
  <c r="BJ61" i="87"/>
  <c r="BK60" i="87"/>
  <c r="BJ60" i="87"/>
  <c r="BK59" i="87"/>
  <c r="BJ59" i="87"/>
  <c r="BK58" i="87"/>
  <c r="BJ58" i="87"/>
  <c r="BK57" i="87"/>
  <c r="BJ57" i="87"/>
  <c r="BK56" i="87"/>
  <c r="BJ56" i="87"/>
  <c r="BK55" i="87"/>
  <c r="BJ55" i="87"/>
  <c r="BK52" i="87"/>
  <c r="BJ52" i="87"/>
  <c r="BK51" i="87"/>
  <c r="BJ51" i="87"/>
  <c r="BK48" i="87"/>
  <c r="BJ48" i="87"/>
  <c r="BK47" i="87"/>
  <c r="BJ47" i="87"/>
  <c r="BK46" i="87"/>
  <c r="BJ46" i="87"/>
  <c r="BK45" i="87"/>
  <c r="BJ45" i="87"/>
  <c r="BK44" i="87"/>
  <c r="BJ44" i="87"/>
  <c r="BK43" i="87"/>
  <c r="BJ43" i="87"/>
  <c r="BK42" i="87"/>
  <c r="BJ42" i="87"/>
  <c r="BK33" i="87"/>
  <c r="BJ33" i="87"/>
  <c r="BK32" i="87"/>
  <c r="BJ32" i="87"/>
  <c r="BJ31" i="87"/>
  <c r="BK30" i="87"/>
  <c r="BJ30" i="87"/>
  <c r="BK29" i="87"/>
  <c r="BJ29" i="87"/>
  <c r="BK28" i="87"/>
  <c r="BJ28" i="87"/>
  <c r="BK27" i="87"/>
  <c r="BJ27" i="87"/>
  <c r="BK26" i="87"/>
  <c r="BL26" i="87" s="1"/>
  <c r="BK25" i="87"/>
  <c r="BJ25" i="87"/>
  <c r="BK24" i="87"/>
  <c r="BK23" i="87"/>
  <c r="BJ23" i="87"/>
  <c r="BK22" i="87"/>
  <c r="BJ22" i="87"/>
  <c r="BJ21" i="87"/>
  <c r="BK20" i="87"/>
  <c r="BJ20" i="87"/>
  <c r="BK19" i="87"/>
  <c r="BJ19" i="87"/>
  <c r="BK18" i="87"/>
  <c r="BJ18" i="87"/>
  <c r="BK17" i="87"/>
  <c r="BJ17" i="87"/>
  <c r="BK16" i="87"/>
  <c r="BJ16" i="87"/>
  <c r="BK15" i="87"/>
  <c r="BJ15" i="87"/>
  <c r="BK14" i="87"/>
  <c r="BJ14" i="87"/>
  <c r="BK13" i="87"/>
  <c r="BJ13" i="87"/>
  <c r="BK12" i="87"/>
  <c r="BJ12" i="87"/>
  <c r="BK11" i="87"/>
  <c r="BJ11" i="87"/>
  <c r="BK10" i="87"/>
  <c r="BJ10" i="87"/>
  <c r="BK9" i="87"/>
  <c r="BJ9" i="87"/>
  <c r="BJ7" i="87"/>
  <c r="BK7" i="87"/>
  <c r="BK6" i="87"/>
  <c r="BJ6" i="87"/>
  <c r="BB85" i="87"/>
  <c r="BB82" i="87"/>
  <c r="BA81" i="87"/>
  <c r="BA83" i="87" s="1"/>
  <c r="BA84" i="87" s="1"/>
  <c r="AZ81" i="87"/>
  <c r="AZ83" i="87" s="1"/>
  <c r="AZ84" i="87" s="1"/>
  <c r="BB78" i="87"/>
  <c r="BB77" i="87" s="1"/>
  <c r="BB74" i="87"/>
  <c r="BB73" i="87" s="1"/>
  <c r="BB71" i="87"/>
  <c r="BB70" i="87"/>
  <c r="BB69" i="87"/>
  <c r="BB68" i="87"/>
  <c r="BB67" i="87"/>
  <c r="BB66" i="87"/>
  <c r="BB65" i="87"/>
  <c r="BB64" i="87"/>
  <c r="BB63" i="87"/>
  <c r="BB62" i="87"/>
  <c r="BB61" i="87"/>
  <c r="BB60" i="87"/>
  <c r="BB59" i="87"/>
  <c r="BB58" i="87"/>
  <c r="BB57" i="87"/>
  <c r="BB56" i="87"/>
  <c r="BB55" i="87"/>
  <c r="BB52" i="87"/>
  <c r="BB51" i="87"/>
  <c r="BB48" i="87"/>
  <c r="BB47" i="87"/>
  <c r="BB46" i="87"/>
  <c r="BB45" i="87"/>
  <c r="BB44" i="87"/>
  <c r="BB43" i="87"/>
  <c r="BB42" i="87"/>
  <c r="BB36" i="87"/>
  <c r="BB35" i="87" s="1"/>
  <c r="BB33" i="87"/>
  <c r="BB32" i="87"/>
  <c r="BB31" i="87"/>
  <c r="BB30" i="87"/>
  <c r="BB29" i="87"/>
  <c r="BB28" i="87"/>
  <c r="BB27" i="87"/>
  <c r="BB26" i="87"/>
  <c r="BB25" i="87"/>
  <c r="BB24" i="87"/>
  <c r="BB21" i="87"/>
  <c r="BB20" i="87"/>
  <c r="BB19" i="87"/>
  <c r="BB18" i="87"/>
  <c r="BB17" i="87"/>
  <c r="BB16" i="87"/>
  <c r="BB15" i="87"/>
  <c r="BB14" i="87"/>
  <c r="BB13" i="87"/>
  <c r="BB12" i="87"/>
  <c r="BB11" i="87"/>
  <c r="BB10" i="87"/>
  <c r="BB9" i="87"/>
  <c r="BB7" i="87"/>
  <c r="BB6" i="87"/>
  <c r="BB5" i="87" s="1"/>
  <c r="BQ45" i="90"/>
  <c r="BQ22" i="90"/>
  <c r="BB85" i="90"/>
  <c r="BB82" i="90"/>
  <c r="BA77" i="90"/>
  <c r="AZ77" i="90"/>
  <c r="BB71" i="90"/>
  <c r="BB70" i="90"/>
  <c r="BB69" i="90"/>
  <c r="BB68" i="90"/>
  <c r="BB67" i="90"/>
  <c r="BB66" i="90"/>
  <c r="BB65" i="90"/>
  <c r="BB64" i="90"/>
  <c r="BB63" i="90"/>
  <c r="BB62" i="90"/>
  <c r="BB61" i="90"/>
  <c r="BB60" i="90"/>
  <c r="BB59" i="90"/>
  <c r="BB58" i="90"/>
  <c r="BB57" i="90"/>
  <c r="BB56" i="90"/>
  <c r="BB55" i="90"/>
  <c r="BA54" i="90"/>
  <c r="AZ54" i="90"/>
  <c r="BB53" i="90"/>
  <c r="BB52" i="90"/>
  <c r="BB51" i="90"/>
  <c r="BA50" i="90"/>
  <c r="AZ50" i="90"/>
  <c r="BB48" i="90"/>
  <c r="BB47" i="90"/>
  <c r="BB46" i="90"/>
  <c r="BB45" i="90"/>
  <c r="BB44" i="90"/>
  <c r="BB43" i="90"/>
  <c r="BB42" i="90"/>
  <c r="BA41" i="90"/>
  <c r="AZ41" i="90"/>
  <c r="BB33" i="90"/>
  <c r="BB32" i="90"/>
  <c r="BB31" i="90"/>
  <c r="BB30" i="90"/>
  <c r="BB29" i="90"/>
  <c r="BB28" i="90"/>
  <c r="BB27" i="90"/>
  <c r="BB26" i="90"/>
  <c r="BB25" i="90"/>
  <c r="BB24" i="90"/>
  <c r="BB23" i="90"/>
  <c r="BB22" i="90"/>
  <c r="BB21" i="90"/>
  <c r="BB20" i="90"/>
  <c r="BB19" i="90"/>
  <c r="BB18" i="90"/>
  <c r="BB17" i="90"/>
  <c r="BB16" i="90"/>
  <c r="BB15" i="90"/>
  <c r="BB14" i="90"/>
  <c r="BB13" i="90"/>
  <c r="BB12" i="90"/>
  <c r="BB11" i="90"/>
  <c r="BB10" i="90"/>
  <c r="BB9" i="90"/>
  <c r="BA8" i="90"/>
  <c r="BB6" i="90"/>
  <c r="BB5" i="90" s="1"/>
  <c r="BA5" i="90"/>
  <c r="AZ5" i="90"/>
  <c r="BP74" i="96"/>
  <c r="BO74" i="96"/>
  <c r="BB85" i="96"/>
  <c r="BB82" i="96"/>
  <c r="BB78" i="96"/>
  <c r="BA77" i="96"/>
  <c r="AZ77" i="96"/>
  <c r="BB74" i="96"/>
  <c r="BB73" i="96" s="1"/>
  <c r="BA73" i="96"/>
  <c r="AZ73" i="96"/>
  <c r="BB71" i="96"/>
  <c r="BB70" i="96"/>
  <c r="BB69" i="96"/>
  <c r="BB68" i="96"/>
  <c r="BB67" i="96"/>
  <c r="BB66" i="96"/>
  <c r="BB65" i="96"/>
  <c r="BB64" i="96"/>
  <c r="BB63" i="96"/>
  <c r="BB62" i="96"/>
  <c r="BB61" i="96"/>
  <c r="BB60" i="96"/>
  <c r="BB59" i="96"/>
  <c r="BB58" i="96"/>
  <c r="BB57" i="96"/>
  <c r="BB56" i="96"/>
  <c r="BB55" i="96"/>
  <c r="BA54" i="96"/>
  <c r="AZ54" i="96"/>
  <c r="BB52" i="96"/>
  <c r="BB51" i="96"/>
  <c r="BB50" i="96" s="1"/>
  <c r="BA50" i="96"/>
  <c r="AZ50" i="96"/>
  <c r="BB48" i="96"/>
  <c r="BB47" i="96"/>
  <c r="BB46" i="96"/>
  <c r="BB45" i="96"/>
  <c r="BB44" i="96"/>
  <c r="BB43" i="96"/>
  <c r="BB42" i="96"/>
  <c r="BA41" i="96"/>
  <c r="AZ41" i="96"/>
  <c r="BB36" i="96"/>
  <c r="BB35" i="96" s="1"/>
  <c r="BA35" i="96"/>
  <c r="AZ35" i="96"/>
  <c r="BB33" i="96"/>
  <c r="BB32" i="96"/>
  <c r="BB31" i="96"/>
  <c r="BB30" i="96"/>
  <c r="BB29" i="96"/>
  <c r="BB28" i="96"/>
  <c r="BB27" i="96"/>
  <c r="BB26" i="96"/>
  <c r="BB25" i="96"/>
  <c r="BB24" i="96"/>
  <c r="BB23" i="96"/>
  <c r="BB22" i="96"/>
  <c r="BB21" i="96"/>
  <c r="BB20" i="96"/>
  <c r="BB19" i="96"/>
  <c r="BB18" i="96"/>
  <c r="BB17" i="96"/>
  <c r="BB16" i="96"/>
  <c r="BB15" i="96"/>
  <c r="BB14" i="96"/>
  <c r="BB13" i="96"/>
  <c r="AZ8" i="96"/>
  <c r="BB11" i="96"/>
  <c r="BB10" i="96"/>
  <c r="BB9" i="96"/>
  <c r="BA8" i="96"/>
  <c r="BB7" i="96"/>
  <c r="BB6" i="96"/>
  <c r="BA5" i="96"/>
  <c r="AZ5" i="96"/>
  <c r="AH85" i="107"/>
  <c r="AH82" i="107"/>
  <c r="AH78" i="107"/>
  <c r="AG77" i="107"/>
  <c r="AF77" i="107"/>
  <c r="AH74" i="107"/>
  <c r="AH73" i="107" s="1"/>
  <c r="AG73" i="107"/>
  <c r="AF73" i="107"/>
  <c r="AH71" i="107"/>
  <c r="AH70" i="107"/>
  <c r="AH69" i="107"/>
  <c r="AH68" i="107"/>
  <c r="AH67" i="107"/>
  <c r="AH66" i="107"/>
  <c r="AH65" i="107"/>
  <c r="AH64" i="107"/>
  <c r="AH63" i="107"/>
  <c r="AH62" i="107"/>
  <c r="AH61" i="107"/>
  <c r="AH60" i="107"/>
  <c r="AH59" i="107"/>
  <c r="AH58" i="107"/>
  <c r="AH57" i="107"/>
  <c r="AH56" i="107"/>
  <c r="AH55" i="107"/>
  <c r="AG54" i="107"/>
  <c r="AF54" i="107"/>
  <c r="AH52" i="107"/>
  <c r="AH51" i="107"/>
  <c r="AG50" i="107"/>
  <c r="AF50" i="107"/>
  <c r="AH48" i="107"/>
  <c r="AH47" i="107"/>
  <c r="AH46" i="107"/>
  <c r="AH45" i="107"/>
  <c r="AH44" i="107"/>
  <c r="AH43" i="107"/>
  <c r="AH42" i="107"/>
  <c r="AG41" i="107"/>
  <c r="AF41" i="107"/>
  <c r="AH36" i="107"/>
  <c r="AH35" i="107" s="1"/>
  <c r="AG35" i="107"/>
  <c r="AF35" i="107"/>
  <c r="AH33" i="107"/>
  <c r="AH32" i="107"/>
  <c r="AH31" i="107"/>
  <c r="AH30" i="107"/>
  <c r="AH29" i="107"/>
  <c r="AH28" i="107"/>
  <c r="AH27" i="107"/>
  <c r="AH26" i="107"/>
  <c r="AH25" i="107"/>
  <c r="AH24" i="107"/>
  <c r="AH22" i="107"/>
  <c r="AH21" i="107"/>
  <c r="AH20" i="107"/>
  <c r="AH19" i="107"/>
  <c r="AH18" i="107"/>
  <c r="AH17" i="107"/>
  <c r="AH16" i="107"/>
  <c r="AH15" i="107"/>
  <c r="AH14" i="107"/>
  <c r="AH13" i="107"/>
  <c r="AH12" i="107"/>
  <c r="AH11" i="107"/>
  <c r="AH10" i="107"/>
  <c r="AH9" i="107"/>
  <c r="AG8" i="107"/>
  <c r="AF8" i="107"/>
  <c r="AH7" i="107"/>
  <c r="AH6" i="107"/>
  <c r="AG5" i="107"/>
  <c r="AC85" i="108"/>
  <c r="AC82" i="108"/>
  <c r="AC78" i="108"/>
  <c r="AB77" i="108"/>
  <c r="AA77" i="108"/>
  <c r="AC74" i="108"/>
  <c r="AC73" i="108" s="1"/>
  <c r="AB73" i="108"/>
  <c r="AA73" i="108"/>
  <c r="AC71" i="108"/>
  <c r="AC70" i="108"/>
  <c r="AC69" i="108"/>
  <c r="AC68" i="108"/>
  <c r="AC67" i="108"/>
  <c r="AC66" i="108"/>
  <c r="AC65" i="108"/>
  <c r="AC64" i="108"/>
  <c r="AC63" i="108"/>
  <c r="AC62" i="108"/>
  <c r="AC61" i="108"/>
  <c r="AC60" i="108"/>
  <c r="AC59" i="108"/>
  <c r="AC58" i="108"/>
  <c r="AC57" i="108"/>
  <c r="AC56" i="108"/>
  <c r="AC55" i="108"/>
  <c r="AB54" i="108"/>
  <c r="AA54" i="108"/>
  <c r="AC52" i="108"/>
  <c r="AC51" i="108"/>
  <c r="AB50" i="108"/>
  <c r="AA50" i="108"/>
  <c r="AC48" i="108"/>
  <c r="AC47" i="108"/>
  <c r="AC46" i="108"/>
  <c r="AC45" i="108"/>
  <c r="AC44" i="108"/>
  <c r="AC43" i="108"/>
  <c r="AC42" i="108"/>
  <c r="AB41" i="108"/>
  <c r="AA41" i="108"/>
  <c r="AC36" i="108"/>
  <c r="AC35" i="108" s="1"/>
  <c r="AB35" i="108"/>
  <c r="AA35" i="108"/>
  <c r="AC33" i="108"/>
  <c r="AC32" i="108"/>
  <c r="AC31" i="108"/>
  <c r="AC30" i="108"/>
  <c r="AC29" i="108"/>
  <c r="AC28" i="108"/>
  <c r="AC27" i="108"/>
  <c r="AC26" i="108"/>
  <c r="AC25" i="108"/>
  <c r="AC24" i="108"/>
  <c r="AC22" i="108"/>
  <c r="AC21" i="108"/>
  <c r="AC20" i="108"/>
  <c r="AC19" i="108"/>
  <c r="AC18" i="108"/>
  <c r="AC17" i="108"/>
  <c r="AC16" i="108"/>
  <c r="AC15" i="108"/>
  <c r="AC14" i="108"/>
  <c r="AC13" i="108"/>
  <c r="AC12" i="108"/>
  <c r="AC11" i="108"/>
  <c r="AC10" i="108"/>
  <c r="AC9" i="108"/>
  <c r="AB8" i="108"/>
  <c r="AA8" i="108"/>
  <c r="AC7" i="108"/>
  <c r="AC6" i="108"/>
  <c r="AB5" i="108"/>
  <c r="AA5" i="108"/>
  <c r="AH50" i="107" l="1"/>
  <c r="AU38" i="99"/>
  <c r="AV38" i="99"/>
  <c r="AV75" i="99" s="1"/>
  <c r="BB54" i="87"/>
  <c r="BB50" i="87"/>
  <c r="AW41" i="99"/>
  <c r="AC50" i="108"/>
  <c r="BB50" i="90"/>
  <c r="AH5" i="107"/>
  <c r="BB8" i="87"/>
  <c r="BB41" i="87"/>
  <c r="AW79" i="99"/>
  <c r="AW77" i="99" s="1"/>
  <c r="AW50" i="99"/>
  <c r="AW54" i="99"/>
  <c r="BB5" i="96"/>
  <c r="BQ47" i="90"/>
  <c r="BQ59" i="90"/>
  <c r="BQ60" i="90"/>
  <c r="BQ48" i="90"/>
  <c r="BQ29" i="90"/>
  <c r="AA38" i="108"/>
  <c r="AA39" i="108" s="1"/>
  <c r="AC5" i="108"/>
  <c r="AB38" i="108"/>
  <c r="AB75" i="108" s="1"/>
  <c r="BB41" i="90"/>
  <c r="BB41" i="96"/>
  <c r="BB54" i="96"/>
  <c r="AW8" i="99"/>
  <c r="AW38" i="99" s="1"/>
  <c r="AU39" i="99"/>
  <c r="AU75" i="99"/>
  <c r="AV39" i="99"/>
  <c r="BB38" i="87"/>
  <c r="BB54" i="90"/>
  <c r="BA38" i="90"/>
  <c r="BA39" i="90" s="1"/>
  <c r="BB8" i="90"/>
  <c r="BB38" i="90" s="1"/>
  <c r="AZ8" i="90"/>
  <c r="AZ38" i="90" s="1"/>
  <c r="BA38" i="96"/>
  <c r="BA75" i="96" s="1"/>
  <c r="AZ38" i="96"/>
  <c r="BB12" i="96"/>
  <c r="AH41" i="107"/>
  <c r="AG38" i="107"/>
  <c r="AG75" i="107" s="1"/>
  <c r="AH54" i="107"/>
  <c r="AH8" i="107"/>
  <c r="AF5" i="107"/>
  <c r="AF38" i="107" s="1"/>
  <c r="AC8" i="108"/>
  <c r="AC38" i="108" s="1"/>
  <c r="AA75" i="108"/>
  <c r="AC41" i="108"/>
  <c r="AC54" i="108"/>
  <c r="BK74" i="102"/>
  <c r="BJ74" i="102"/>
  <c r="AW85" i="102"/>
  <c r="AW82" i="102"/>
  <c r="AW78" i="102"/>
  <c r="AV77" i="102"/>
  <c r="AU77" i="102"/>
  <c r="AW74" i="102"/>
  <c r="AW73" i="102" s="1"/>
  <c r="AV73" i="102"/>
  <c r="AU73" i="102"/>
  <c r="AW71" i="102"/>
  <c r="AW70" i="102"/>
  <c r="AW69" i="102"/>
  <c r="AW68" i="102"/>
  <c r="AW67" i="102"/>
  <c r="AW66" i="102"/>
  <c r="AW65" i="102"/>
  <c r="AW64" i="102"/>
  <c r="AW63" i="102"/>
  <c r="AW62" i="102"/>
  <c r="AW61" i="102"/>
  <c r="AW60" i="102"/>
  <c r="AW59" i="102"/>
  <c r="AW58" i="102"/>
  <c r="AW57" i="102"/>
  <c r="AW56" i="102"/>
  <c r="AW55" i="102"/>
  <c r="AV54" i="102"/>
  <c r="AU54" i="102"/>
  <c r="AW52" i="102"/>
  <c r="AW51" i="102"/>
  <c r="AV50" i="102"/>
  <c r="AU50" i="102"/>
  <c r="AW48" i="102"/>
  <c r="AW47" i="102"/>
  <c r="AW46" i="102"/>
  <c r="AW45" i="102"/>
  <c r="AW44" i="102"/>
  <c r="AW43" i="102"/>
  <c r="AW42" i="102"/>
  <c r="AV41" i="102"/>
  <c r="AU41" i="102"/>
  <c r="AW36" i="102"/>
  <c r="AW35" i="102" s="1"/>
  <c r="AV35" i="102"/>
  <c r="AU35" i="102"/>
  <c r="AW33" i="102"/>
  <c r="AW32" i="102"/>
  <c r="AW31" i="102"/>
  <c r="AW30" i="102"/>
  <c r="AW29" i="102"/>
  <c r="AW28" i="102"/>
  <c r="AW27" i="102"/>
  <c r="AW26" i="102"/>
  <c r="AW25" i="102"/>
  <c r="AW24" i="102"/>
  <c r="AW23" i="102"/>
  <c r="AW22" i="102"/>
  <c r="AW21" i="102"/>
  <c r="AW20" i="102"/>
  <c r="AW19" i="102"/>
  <c r="AW18" i="102"/>
  <c r="AW17" i="102"/>
  <c r="AW16" i="102"/>
  <c r="AW15" i="102"/>
  <c r="AW14" i="102"/>
  <c r="AW13" i="102"/>
  <c r="AW12" i="102"/>
  <c r="AW11" i="102"/>
  <c r="AW10" i="102"/>
  <c r="AW9" i="102"/>
  <c r="AV8" i="102"/>
  <c r="AW7" i="102"/>
  <c r="AW6" i="102"/>
  <c r="AV5" i="102"/>
  <c r="AU5" i="102"/>
  <c r="AW50" i="102" l="1"/>
  <c r="AW5" i="102"/>
  <c r="AW89" i="99"/>
  <c r="AW93" i="99" s="1"/>
  <c r="AW54" i="102"/>
  <c r="BB89" i="87"/>
  <c r="BA75" i="90"/>
  <c r="BA81" i="90" s="1"/>
  <c r="BA83" i="90" s="1"/>
  <c r="BA84" i="90" s="1"/>
  <c r="BA86" i="90" s="1"/>
  <c r="BA87" i="90" s="1"/>
  <c r="AB39" i="108"/>
  <c r="AG39" i="107"/>
  <c r="BA39" i="96"/>
  <c r="AW75" i="99"/>
  <c r="AW39" i="99"/>
  <c r="AV81" i="99"/>
  <c r="AV83" i="99" s="1"/>
  <c r="AV84" i="99" s="1"/>
  <c r="AV86" i="99" s="1"/>
  <c r="AV87" i="99" s="1"/>
  <c r="AV76" i="99"/>
  <c r="AU76" i="99"/>
  <c r="AU81" i="99"/>
  <c r="AU83" i="99" s="1"/>
  <c r="AU84" i="99" s="1"/>
  <c r="AU86" i="99" s="1"/>
  <c r="AU87" i="99" s="1"/>
  <c r="BB75" i="87"/>
  <c r="BB39" i="87"/>
  <c r="BB39" i="90"/>
  <c r="BB75" i="90"/>
  <c r="AZ75" i="90"/>
  <c r="AZ39" i="90"/>
  <c r="AZ75" i="96"/>
  <c r="AZ39" i="96"/>
  <c r="BB8" i="96"/>
  <c r="BA81" i="96"/>
  <c r="BA83" i="96" s="1"/>
  <c r="BA84" i="96" s="1"/>
  <c r="BA86" i="96" s="1"/>
  <c r="BA87" i="96" s="1"/>
  <c r="BA76" i="96"/>
  <c r="AH38" i="107"/>
  <c r="AF75" i="107"/>
  <c r="AF39" i="107"/>
  <c r="AG81" i="107"/>
  <c r="AG83" i="107" s="1"/>
  <c r="AG84" i="107" s="1"/>
  <c r="AG86" i="107" s="1"/>
  <c r="AG87" i="107" s="1"/>
  <c r="AG76" i="107"/>
  <c r="AC39" i="108"/>
  <c r="AC75" i="108"/>
  <c r="AA81" i="108"/>
  <c r="AA83" i="108" s="1"/>
  <c r="AA84" i="108" s="1"/>
  <c r="AA86" i="108" s="1"/>
  <c r="AA87" i="108" s="1"/>
  <c r="AA76" i="108"/>
  <c r="AB81" i="108"/>
  <c r="AB83" i="108" s="1"/>
  <c r="AB84" i="108" s="1"/>
  <c r="AB86" i="108" s="1"/>
  <c r="AB87" i="108" s="1"/>
  <c r="AB76" i="108"/>
  <c r="AW8" i="102"/>
  <c r="AV38" i="102"/>
  <c r="AV39" i="102" s="1"/>
  <c r="AW41" i="102"/>
  <c r="AU8" i="102"/>
  <c r="AU38" i="102" s="1"/>
  <c r="AV75" i="102" l="1"/>
  <c r="BA76" i="90"/>
  <c r="AW81" i="99"/>
  <c r="AW83" i="99" s="1"/>
  <c r="AW84" i="99" s="1"/>
  <c r="AW86" i="99" s="1"/>
  <c r="AW87" i="99" s="1"/>
  <c r="AW76" i="99"/>
  <c r="BB76" i="87"/>
  <c r="BB81" i="87"/>
  <c r="BB83" i="87" s="1"/>
  <c r="BB84" i="87" s="1"/>
  <c r="BB86" i="87" s="1"/>
  <c r="BB87" i="87" s="1"/>
  <c r="BB76" i="90"/>
  <c r="AZ76" i="90"/>
  <c r="AZ81" i="90"/>
  <c r="AZ83" i="90" s="1"/>
  <c r="AZ84" i="90" s="1"/>
  <c r="AZ86" i="90" s="1"/>
  <c r="AZ87" i="90" s="1"/>
  <c r="BB38" i="96"/>
  <c r="AZ76" i="96"/>
  <c r="AZ81" i="96"/>
  <c r="AZ83" i="96" s="1"/>
  <c r="AZ84" i="96" s="1"/>
  <c r="AZ86" i="96" s="1"/>
  <c r="AZ87" i="96" s="1"/>
  <c r="AH75" i="107"/>
  <c r="AH39" i="107"/>
  <c r="AF81" i="107"/>
  <c r="AF83" i="107" s="1"/>
  <c r="AF84" i="107" s="1"/>
  <c r="AF86" i="107" s="1"/>
  <c r="AF87" i="107" s="1"/>
  <c r="AF76" i="107"/>
  <c r="AC76" i="108"/>
  <c r="AW38" i="102"/>
  <c r="AU75" i="102"/>
  <c r="AU39" i="102"/>
  <c r="AV81" i="102"/>
  <c r="AV83" i="102" s="1"/>
  <c r="AV84" i="102" s="1"/>
  <c r="AV86" i="102" s="1"/>
  <c r="AV87" i="102" s="1"/>
  <c r="AV76" i="102"/>
  <c r="AW75" i="102" l="1"/>
  <c r="AW76" i="102" s="1"/>
  <c r="AW39" i="102"/>
  <c r="BB75" i="96"/>
  <c r="BB39" i="96"/>
  <c r="AH76" i="107"/>
  <c r="AU76" i="102"/>
  <c r="AU81" i="102"/>
  <c r="AU83" i="102" s="1"/>
  <c r="AU84" i="102" s="1"/>
  <c r="AU86" i="102" s="1"/>
  <c r="AU87" i="102" s="1"/>
  <c r="BB76" i="96" l="1"/>
  <c r="BF5" i="107" l="1"/>
  <c r="BE5" i="107"/>
  <c r="AV16" i="90" l="1"/>
  <c r="AU18" i="90"/>
  <c r="AU24" i="90"/>
  <c r="AU27" i="96"/>
  <c r="AP20" i="99"/>
  <c r="BG52" i="91"/>
  <c r="BG51" i="91"/>
  <c r="BG48" i="91"/>
  <c r="BG47" i="91"/>
  <c r="BG46" i="91"/>
  <c r="BG45" i="91"/>
  <c r="BG44" i="91"/>
  <c r="BG43" i="91"/>
  <c r="BG42" i="91"/>
  <c r="AP28" i="102"/>
  <c r="AP22" i="102"/>
  <c r="AU26" i="90" l="1"/>
  <c r="E11" i="101" l="1"/>
  <c r="E10" i="101"/>
  <c r="T79" i="114" l="1"/>
  <c r="AC79" i="127"/>
  <c r="AI79" i="117"/>
  <c r="AM79" i="113"/>
  <c r="U79" i="114" l="1"/>
  <c r="T77" i="114"/>
  <c r="T89" i="114"/>
  <c r="T81" i="114"/>
  <c r="T83" i="114" s="1"/>
  <c r="T84" i="114" s="1"/>
  <c r="T86" i="114" s="1"/>
  <c r="T87" i="114" s="1"/>
  <c r="AC77" i="127"/>
  <c r="AC89" i="127"/>
  <c r="AD79" i="127" s="1"/>
  <c r="AC81" i="127"/>
  <c r="AI77" i="117"/>
  <c r="AI89" i="117"/>
  <c r="AI93" i="117" s="1"/>
  <c r="AI81" i="117"/>
  <c r="AI83" i="117" s="1"/>
  <c r="AI84" i="117" s="1"/>
  <c r="AI86" i="117" s="1"/>
  <c r="AI87" i="117" s="1"/>
  <c r="AM77" i="113"/>
  <c r="AM89" i="113"/>
  <c r="AM93" i="113" s="1"/>
  <c r="AM81" i="113"/>
  <c r="AM83" i="113" s="1"/>
  <c r="AM84" i="113" s="1"/>
  <c r="AM86" i="113" s="1"/>
  <c r="AM87" i="113" s="1"/>
  <c r="U8" i="114" l="1"/>
  <c r="U66" i="114"/>
  <c r="U55" i="114"/>
  <c r="U63" i="114"/>
  <c r="U13" i="114"/>
  <c r="U46" i="114"/>
  <c r="U28" i="114"/>
  <c r="U10" i="114"/>
  <c r="U25" i="114"/>
  <c r="U43" i="114"/>
  <c r="U70" i="114"/>
  <c r="U69" i="114"/>
  <c r="U60" i="114"/>
  <c r="U48" i="114"/>
  <c r="U11" i="114"/>
  <c r="U9" i="114"/>
  <c r="U17" i="114"/>
  <c r="U20" i="114"/>
  <c r="U23" i="114"/>
  <c r="U50" i="114"/>
  <c r="U67" i="114"/>
  <c r="U68" i="114"/>
  <c r="U56" i="114"/>
  <c r="U57" i="114"/>
  <c r="U30" i="114"/>
  <c r="U22" i="114"/>
  <c r="U33" i="114"/>
  <c r="U31" i="114"/>
  <c r="U21" i="114"/>
  <c r="U59" i="114"/>
  <c r="U32" i="114"/>
  <c r="U52" i="114"/>
  <c r="U24" i="114"/>
  <c r="U54" i="114"/>
  <c r="U58" i="114"/>
  <c r="U14" i="114"/>
  <c r="U12" i="114"/>
  <c r="U62" i="114"/>
  <c r="U26" i="114"/>
  <c r="U29" i="114"/>
  <c r="U47" i="114"/>
  <c r="U61" i="114"/>
  <c r="U45" i="114"/>
  <c r="U64" i="114"/>
  <c r="U16" i="114"/>
  <c r="U19" i="114"/>
  <c r="U65" i="114"/>
  <c r="U18" i="114"/>
  <c r="U42" i="114"/>
  <c r="U36" i="114"/>
  <c r="U15" i="114"/>
  <c r="U51" i="114"/>
  <c r="U41" i="114"/>
  <c r="U49" i="114"/>
  <c r="U27" i="114"/>
  <c r="U71" i="114"/>
  <c r="U44" i="114"/>
  <c r="C40" i="101"/>
  <c r="F39" i="101" s="1"/>
  <c r="AD54" i="127"/>
  <c r="AD8" i="127"/>
  <c r="AD41" i="127"/>
  <c r="AD61" i="127"/>
  <c r="AD72" i="127"/>
  <c r="AD17" i="127"/>
  <c r="AD21" i="127"/>
  <c r="AD55" i="127"/>
  <c r="AD13" i="127"/>
  <c r="AD20" i="127"/>
  <c r="AD43" i="127"/>
  <c r="AD66" i="127"/>
  <c r="AD9" i="127"/>
  <c r="AD68" i="127"/>
  <c r="AD80" i="127"/>
  <c r="AD63" i="127"/>
  <c r="AD15" i="127"/>
  <c r="AD16" i="127"/>
  <c r="AD23" i="127"/>
  <c r="AD26" i="127"/>
  <c r="AD71" i="127"/>
  <c r="AD19" i="127"/>
  <c r="AD44" i="127"/>
  <c r="AD18" i="127"/>
  <c r="AD73" i="127"/>
  <c r="AD33" i="127"/>
  <c r="AD78" i="127"/>
  <c r="AD34" i="127"/>
  <c r="AD60" i="127"/>
  <c r="AD12" i="127"/>
  <c r="AD62" i="127"/>
  <c r="AD25" i="127"/>
  <c r="AD74" i="127"/>
  <c r="AD46" i="127"/>
  <c r="AD51" i="127"/>
  <c r="AD65" i="127"/>
  <c r="AD70" i="127"/>
  <c r="AD64" i="127"/>
  <c r="AD31" i="127"/>
  <c r="AD47" i="127"/>
  <c r="AD14" i="127"/>
  <c r="AD57" i="127"/>
  <c r="AD48" i="127"/>
  <c r="AD59" i="127"/>
  <c r="AD10" i="127"/>
  <c r="AD35" i="127"/>
  <c r="AD24" i="127"/>
  <c r="AD32" i="127"/>
  <c r="AD42" i="127"/>
  <c r="AD52" i="127"/>
  <c r="AD22" i="127"/>
  <c r="AD30" i="127"/>
  <c r="AD69" i="127"/>
  <c r="AD37" i="127"/>
  <c r="AD11" i="127"/>
  <c r="AD36" i="127"/>
  <c r="AD49" i="127"/>
  <c r="AD56" i="127"/>
  <c r="AD58" i="127"/>
  <c r="AD50" i="127"/>
  <c r="AD45" i="127"/>
  <c r="AD67" i="127"/>
  <c r="AD27" i="127"/>
  <c r="AD28" i="127"/>
  <c r="AD53" i="127"/>
  <c r="AD29" i="127"/>
  <c r="AD81" i="127"/>
  <c r="AC83" i="127"/>
  <c r="AC84" i="127" s="1"/>
  <c r="AC86" i="127" s="1"/>
  <c r="AC87" i="127" s="1"/>
  <c r="AU12" i="96"/>
  <c r="AR85" i="99"/>
  <c r="AR82" i="99"/>
  <c r="AR78" i="99"/>
  <c r="AQ77" i="99"/>
  <c r="AP77" i="99"/>
  <c r="AR74" i="99"/>
  <c r="AR73" i="99" s="1"/>
  <c r="AQ73" i="99"/>
  <c r="AP73" i="99"/>
  <c r="AR71" i="99"/>
  <c r="AR70" i="99"/>
  <c r="AR69" i="99"/>
  <c r="AR68" i="99"/>
  <c r="AR67" i="99"/>
  <c r="AR66" i="99"/>
  <c r="AR65" i="99"/>
  <c r="AR64" i="99"/>
  <c r="AR63" i="99"/>
  <c r="AR62" i="99"/>
  <c r="AR61" i="99"/>
  <c r="AR60" i="99"/>
  <c r="AR59" i="99"/>
  <c r="AR58" i="99"/>
  <c r="AR57" i="99"/>
  <c r="AR56" i="99"/>
  <c r="AR55" i="99"/>
  <c r="AQ54" i="99"/>
  <c r="AP54" i="99"/>
  <c r="AR52" i="99"/>
  <c r="AR51" i="99"/>
  <c r="AQ50" i="99"/>
  <c r="AP50" i="99"/>
  <c r="AR48" i="99"/>
  <c r="AR47" i="99"/>
  <c r="AR46" i="99"/>
  <c r="AR45" i="99"/>
  <c r="AR44" i="99"/>
  <c r="AR43" i="99"/>
  <c r="AR42" i="99"/>
  <c r="AQ41" i="99"/>
  <c r="AP41" i="99"/>
  <c r="AR36" i="99"/>
  <c r="AR35" i="99" s="1"/>
  <c r="AQ35" i="99"/>
  <c r="AP35" i="99"/>
  <c r="AR33" i="99"/>
  <c r="AR32" i="99"/>
  <c r="AR31" i="99"/>
  <c r="AR30" i="99"/>
  <c r="AR29" i="99"/>
  <c r="AR28" i="99"/>
  <c r="AR27" i="99"/>
  <c r="AR26" i="99"/>
  <c r="AR25" i="99"/>
  <c r="AR24" i="99"/>
  <c r="AR23" i="99"/>
  <c r="AR22" i="99"/>
  <c r="AR21" i="99"/>
  <c r="AR20" i="99"/>
  <c r="AR19" i="99"/>
  <c r="AR18" i="99"/>
  <c r="AR17" i="99"/>
  <c r="AR16" i="99"/>
  <c r="AR15" i="99"/>
  <c r="AR14" i="99"/>
  <c r="AR13" i="99"/>
  <c r="AR12" i="99"/>
  <c r="AR11" i="99"/>
  <c r="AR10" i="99"/>
  <c r="AR9" i="99"/>
  <c r="AQ8" i="99"/>
  <c r="AP8" i="99"/>
  <c r="AR7" i="99"/>
  <c r="AR6" i="99"/>
  <c r="AR5" i="99" s="1"/>
  <c r="AQ5" i="99"/>
  <c r="AP5" i="99"/>
  <c r="AW85" i="87"/>
  <c r="AW82" i="87"/>
  <c r="AV81" i="87"/>
  <c r="AV83" i="87" s="1"/>
  <c r="AV84" i="87" s="1"/>
  <c r="AU81" i="87"/>
  <c r="AU83" i="87" s="1"/>
  <c r="AU84" i="87" s="1"/>
  <c r="AW78" i="87"/>
  <c r="AW77" i="87" s="1"/>
  <c r="AW74" i="87"/>
  <c r="AW73" i="87" s="1"/>
  <c r="AW71" i="87"/>
  <c r="AW70" i="87"/>
  <c r="AW69" i="87"/>
  <c r="AW68" i="87"/>
  <c r="AW67" i="87"/>
  <c r="AW66" i="87"/>
  <c r="AW65" i="87"/>
  <c r="AW64" i="87"/>
  <c r="AW63" i="87"/>
  <c r="AW62" i="87"/>
  <c r="AW61" i="87"/>
  <c r="AW60" i="87"/>
  <c r="AW59" i="87"/>
  <c r="AW58" i="87"/>
  <c r="AW57" i="87"/>
  <c r="AW56" i="87"/>
  <c r="AW55" i="87"/>
  <c r="AW52" i="87"/>
  <c r="AW51" i="87"/>
  <c r="AW48" i="87"/>
  <c r="AW47" i="87"/>
  <c r="AW46" i="87"/>
  <c r="AW45" i="87"/>
  <c r="AW44" i="87"/>
  <c r="AW43" i="87"/>
  <c r="AW42" i="87"/>
  <c r="AW36" i="87"/>
  <c r="AW35" i="87" s="1"/>
  <c r="AW33" i="87"/>
  <c r="AW32" i="87"/>
  <c r="AW31" i="87"/>
  <c r="AW30" i="87"/>
  <c r="AW29" i="87"/>
  <c r="AW28" i="87"/>
  <c r="AW27" i="87"/>
  <c r="AW26" i="87"/>
  <c r="AW25" i="87"/>
  <c r="AW24" i="87"/>
  <c r="AW21" i="87"/>
  <c r="AW20" i="87"/>
  <c r="AW19" i="87"/>
  <c r="AW18" i="87"/>
  <c r="AW17" i="87"/>
  <c r="AW16" i="87"/>
  <c r="AW15" i="87"/>
  <c r="AW14" i="87"/>
  <c r="AW13" i="87"/>
  <c r="AW12" i="87"/>
  <c r="AW11" i="87"/>
  <c r="AW10" i="87"/>
  <c r="AW9" i="87"/>
  <c r="AW7" i="87"/>
  <c r="AW6" i="87"/>
  <c r="AW5" i="87" s="1"/>
  <c r="AR50" i="99" l="1"/>
  <c r="AP38" i="99"/>
  <c r="AP75" i="99" s="1"/>
  <c r="AW8" i="87"/>
  <c r="AW38" i="87" s="1"/>
  <c r="AW41" i="87"/>
  <c r="AW50" i="87"/>
  <c r="AR41" i="99"/>
  <c r="AW54" i="87"/>
  <c r="AR54" i="99"/>
  <c r="AR77" i="99"/>
  <c r="AR8" i="99"/>
  <c r="AR38" i="99" s="1"/>
  <c r="AQ38" i="99"/>
  <c r="AP39" i="99" l="1"/>
  <c r="AW89" i="87"/>
  <c r="AR89" i="99"/>
  <c r="AS24" i="99" s="1"/>
  <c r="AX32" i="99"/>
  <c r="AS71" i="99"/>
  <c r="AS22" i="99"/>
  <c r="AS33" i="99"/>
  <c r="AQ75" i="99"/>
  <c r="AQ39" i="99"/>
  <c r="AR39" i="99"/>
  <c r="AR75" i="99"/>
  <c r="AP81" i="99"/>
  <c r="AP83" i="99" s="1"/>
  <c r="AP84" i="99" s="1"/>
  <c r="AP86" i="99" s="1"/>
  <c r="AP87" i="99" s="1"/>
  <c r="AP76" i="99"/>
  <c r="AW75" i="87"/>
  <c r="AW39" i="87"/>
  <c r="BF53" i="107"/>
  <c r="BE53" i="107"/>
  <c r="AC85" i="107"/>
  <c r="AC82" i="107"/>
  <c r="AC78" i="107"/>
  <c r="AB77" i="107"/>
  <c r="AA77" i="107"/>
  <c r="AC74" i="107"/>
  <c r="AC73" i="107" s="1"/>
  <c r="AB73" i="107"/>
  <c r="AA73" i="107"/>
  <c r="AC71" i="107"/>
  <c r="AC70" i="107"/>
  <c r="AC69" i="107"/>
  <c r="AC68" i="107"/>
  <c r="AC67" i="107"/>
  <c r="AC66" i="107"/>
  <c r="AC65" i="107"/>
  <c r="AC64" i="107"/>
  <c r="AC63" i="107"/>
  <c r="AC62" i="107"/>
  <c r="AC61" i="107"/>
  <c r="AC60" i="107"/>
  <c r="AC59" i="107"/>
  <c r="AC58" i="107"/>
  <c r="AC57" i="107"/>
  <c r="AC56" i="107"/>
  <c r="AC55" i="107"/>
  <c r="AB54" i="107"/>
  <c r="AA54" i="107"/>
  <c r="AC52" i="107"/>
  <c r="AC51" i="107"/>
  <c r="AB50" i="107"/>
  <c r="AA50" i="107"/>
  <c r="AC48" i="107"/>
  <c r="AC47" i="107"/>
  <c r="AC46" i="107"/>
  <c r="AC45" i="107"/>
  <c r="AC44" i="107"/>
  <c r="AC43" i="107"/>
  <c r="AC42" i="107"/>
  <c r="AB41" i="107"/>
  <c r="AA41" i="107"/>
  <c r="AC36" i="107"/>
  <c r="AC35" i="107" s="1"/>
  <c r="AB35" i="107"/>
  <c r="AA35" i="107"/>
  <c r="AC33" i="107"/>
  <c r="AC32" i="107"/>
  <c r="AC31" i="107"/>
  <c r="AC30" i="107"/>
  <c r="AC29" i="107"/>
  <c r="AC28" i="107"/>
  <c r="AC27" i="107"/>
  <c r="AC26" i="107"/>
  <c r="AC25" i="107"/>
  <c r="AC24" i="107"/>
  <c r="AC22" i="107"/>
  <c r="AC21" i="107"/>
  <c r="AC20" i="107"/>
  <c r="AC19" i="107"/>
  <c r="AC18" i="107"/>
  <c r="AC17" i="107"/>
  <c r="AC16" i="107"/>
  <c r="AC15" i="107"/>
  <c r="AC14" i="107"/>
  <c r="AC13" i="107"/>
  <c r="AC12" i="107"/>
  <c r="AC11" i="107"/>
  <c r="AC10" i="107"/>
  <c r="AC9" i="107"/>
  <c r="AA8" i="107"/>
  <c r="AC7" i="107"/>
  <c r="AC6" i="107"/>
  <c r="AB5" i="107"/>
  <c r="AA5" i="107"/>
  <c r="X85" i="108"/>
  <c r="X82" i="108"/>
  <c r="X78" i="108"/>
  <c r="W77" i="108"/>
  <c r="V77" i="108"/>
  <c r="X74" i="108"/>
  <c r="X73" i="108" s="1"/>
  <c r="W73" i="108"/>
  <c r="V73" i="108"/>
  <c r="X71" i="108"/>
  <c r="X70" i="108"/>
  <c r="X69" i="108"/>
  <c r="X68" i="108"/>
  <c r="X67" i="108"/>
  <c r="X66" i="108"/>
  <c r="X65" i="108"/>
  <c r="X64" i="108"/>
  <c r="X63" i="108"/>
  <c r="X62" i="108"/>
  <c r="X61" i="108"/>
  <c r="X60" i="108"/>
  <c r="X59" i="108"/>
  <c r="X58" i="108"/>
  <c r="X57" i="108"/>
  <c r="X56" i="108"/>
  <c r="X55" i="108"/>
  <c r="W54" i="108"/>
  <c r="V54" i="108"/>
  <c r="X52" i="108"/>
  <c r="X51" i="108"/>
  <c r="X50" i="108" s="1"/>
  <c r="W50" i="108"/>
  <c r="V50" i="108"/>
  <c r="X48" i="108"/>
  <c r="X47" i="108"/>
  <c r="X46" i="108"/>
  <c r="X45" i="108"/>
  <c r="X44" i="108"/>
  <c r="X43" i="108"/>
  <c r="X42" i="108"/>
  <c r="W41" i="108"/>
  <c r="V41" i="108"/>
  <c r="X36" i="108"/>
  <c r="X35" i="108" s="1"/>
  <c r="W35" i="108"/>
  <c r="V35" i="108"/>
  <c r="X33" i="108"/>
  <c r="X32" i="108"/>
  <c r="X31" i="108"/>
  <c r="X30" i="108"/>
  <c r="X29" i="108"/>
  <c r="X28" i="108"/>
  <c r="X27" i="108"/>
  <c r="X26" i="108"/>
  <c r="X25" i="108"/>
  <c r="X24" i="108"/>
  <c r="X22" i="108"/>
  <c r="X21" i="108"/>
  <c r="X20" i="108"/>
  <c r="X19" i="108"/>
  <c r="X18" i="108"/>
  <c r="X17" i="108"/>
  <c r="X16" i="108"/>
  <c r="X15" i="108"/>
  <c r="X14" i="108"/>
  <c r="X13" i="108"/>
  <c r="X12" i="108"/>
  <c r="X11" i="108"/>
  <c r="X10" i="108"/>
  <c r="X9" i="108"/>
  <c r="W8" i="108"/>
  <c r="V8" i="108"/>
  <c r="X7" i="108"/>
  <c r="X6" i="108"/>
  <c r="W5" i="108"/>
  <c r="AM85" i="91"/>
  <c r="AM82" i="91"/>
  <c r="AM78" i="91"/>
  <c r="AL77" i="91"/>
  <c r="AK77" i="91"/>
  <c r="AM74" i="91"/>
  <c r="AM73" i="91" s="1"/>
  <c r="AL73" i="91"/>
  <c r="AK73" i="91"/>
  <c r="AM71" i="91"/>
  <c r="AM70" i="91"/>
  <c r="AM69" i="91"/>
  <c r="AM68" i="91"/>
  <c r="AM67" i="91"/>
  <c r="AM66" i="91"/>
  <c r="AM65" i="91"/>
  <c r="AM64" i="91"/>
  <c r="AM63" i="91"/>
  <c r="AM62" i="91"/>
  <c r="AM61" i="91"/>
  <c r="AM60" i="91"/>
  <c r="AM59" i="91"/>
  <c r="AM58" i="91"/>
  <c r="AM57" i="91"/>
  <c r="AM56" i="91"/>
  <c r="AM55" i="91"/>
  <c r="AL54" i="91"/>
  <c r="AK54" i="91"/>
  <c r="AM52" i="91"/>
  <c r="AM51" i="91"/>
  <c r="AL50" i="91"/>
  <c r="AK50" i="91"/>
  <c r="AM48" i="91"/>
  <c r="AM47" i="91"/>
  <c r="AM46" i="91"/>
  <c r="AM45" i="91"/>
  <c r="AM44" i="91"/>
  <c r="AM43" i="91"/>
  <c r="AM42" i="91"/>
  <c r="AL41" i="91"/>
  <c r="AK41" i="91"/>
  <c r="AM36" i="91"/>
  <c r="AM35" i="91" s="1"/>
  <c r="AL35" i="91"/>
  <c r="AK35" i="91"/>
  <c r="AM33" i="91"/>
  <c r="AM32" i="91"/>
  <c r="AM31" i="91"/>
  <c r="AM30" i="91"/>
  <c r="AM29" i="91"/>
  <c r="AM28" i="91"/>
  <c r="AM27" i="91"/>
  <c r="AM26" i="91"/>
  <c r="AM25" i="91"/>
  <c r="AM24" i="91"/>
  <c r="AM23" i="91"/>
  <c r="AM22" i="91"/>
  <c r="AM21" i="91"/>
  <c r="AM20" i="91"/>
  <c r="AM19" i="91"/>
  <c r="AM18" i="91"/>
  <c r="AM17" i="91"/>
  <c r="AM16" i="91"/>
  <c r="AM15" i="91"/>
  <c r="AM14" i="91"/>
  <c r="AM13" i="91"/>
  <c r="AM12" i="91"/>
  <c r="AM11" i="91"/>
  <c r="AM10" i="91"/>
  <c r="AM9" i="91"/>
  <c r="AM7" i="91"/>
  <c r="AM6" i="91"/>
  <c r="AL5" i="91"/>
  <c r="AK5" i="91"/>
  <c r="AR85" i="102"/>
  <c r="AR82" i="102"/>
  <c r="AR78" i="102"/>
  <c r="AQ77" i="102"/>
  <c r="AP77" i="102"/>
  <c r="AR74" i="102"/>
  <c r="AR73" i="102" s="1"/>
  <c r="AQ73" i="102"/>
  <c r="AP73" i="102"/>
  <c r="AR71" i="102"/>
  <c r="AR70" i="102"/>
  <c r="AR69" i="102"/>
  <c r="AR68" i="102"/>
  <c r="AR67" i="102"/>
  <c r="AR66" i="102"/>
  <c r="AP54" i="102"/>
  <c r="AR64" i="102"/>
  <c r="AR63" i="102"/>
  <c r="AR62" i="102"/>
  <c r="AR61" i="102"/>
  <c r="AR60" i="102"/>
  <c r="AR59" i="102"/>
  <c r="AR58" i="102"/>
  <c r="AR57" i="102"/>
  <c r="AR56" i="102"/>
  <c r="AR55" i="102"/>
  <c r="AQ54" i="102"/>
  <c r="AR52" i="102"/>
  <c r="AR51" i="102"/>
  <c r="AQ50" i="102"/>
  <c r="AP50" i="102"/>
  <c r="AR48" i="102"/>
  <c r="AR47" i="102"/>
  <c r="AR46" i="102"/>
  <c r="AR45" i="102"/>
  <c r="AR44" i="102"/>
  <c r="AR43" i="102"/>
  <c r="AR42" i="102"/>
  <c r="AQ41" i="102"/>
  <c r="AP41" i="102"/>
  <c r="AR36" i="102"/>
  <c r="AR35" i="102" s="1"/>
  <c r="AQ35" i="102"/>
  <c r="AP35" i="102"/>
  <c r="AR33" i="102"/>
  <c r="AR32" i="102"/>
  <c r="AR31" i="102"/>
  <c r="AR30" i="102"/>
  <c r="AR28" i="102"/>
  <c r="AR27" i="102"/>
  <c r="AR26" i="102"/>
  <c r="AR25" i="102"/>
  <c r="AR24" i="102"/>
  <c r="AR23" i="102"/>
  <c r="AR22" i="102"/>
  <c r="AR20" i="102"/>
  <c r="AR19" i="102"/>
  <c r="AR18" i="102"/>
  <c r="AR17" i="102"/>
  <c r="AR16" i="102"/>
  <c r="AR15" i="102"/>
  <c r="AR14" i="102"/>
  <c r="AR13" i="102"/>
  <c r="AQ8" i="102"/>
  <c r="AR11" i="102"/>
  <c r="AR10" i="102"/>
  <c r="AR9" i="102"/>
  <c r="AR7" i="102"/>
  <c r="AR6" i="102"/>
  <c r="AQ5" i="102"/>
  <c r="AP5" i="102"/>
  <c r="AS25" i="99" l="1"/>
  <c r="AX45" i="99"/>
  <c r="BH79" i="99"/>
  <c r="AS47" i="99"/>
  <c r="AX44" i="99"/>
  <c r="AS55" i="99"/>
  <c r="AX62" i="99"/>
  <c r="AS70" i="99"/>
  <c r="AS59" i="99"/>
  <c r="AS43" i="99"/>
  <c r="AS20" i="99"/>
  <c r="AX21" i="99"/>
  <c r="AX23" i="99"/>
  <c r="AX60" i="99"/>
  <c r="AX67" i="99"/>
  <c r="AS42" i="99"/>
  <c r="AS66" i="99"/>
  <c r="AS60" i="99"/>
  <c r="AS36" i="99"/>
  <c r="AX54" i="99"/>
  <c r="AX14" i="99"/>
  <c r="AX65" i="99"/>
  <c r="AS27" i="99"/>
  <c r="AS8" i="99"/>
  <c r="AR93" i="99"/>
  <c r="AX42" i="99"/>
  <c r="AX48" i="99"/>
  <c r="AX10" i="99"/>
  <c r="AX15" i="99"/>
  <c r="AX16" i="99"/>
  <c r="AX37" i="99"/>
  <c r="W38" i="108"/>
  <c r="W39" i="108" s="1"/>
  <c r="AS10" i="99"/>
  <c r="AS17" i="99"/>
  <c r="AS64" i="99"/>
  <c r="AS40" i="99"/>
  <c r="AX8" i="99"/>
  <c r="AX41" i="99"/>
  <c r="AX71" i="99"/>
  <c r="AX47" i="99"/>
  <c r="AS21" i="99"/>
  <c r="AS52" i="99"/>
  <c r="AX58" i="99"/>
  <c r="AX19" i="99"/>
  <c r="AX57" i="99"/>
  <c r="AX20" i="99"/>
  <c r="AS39" i="99"/>
  <c r="AS26" i="99"/>
  <c r="AS11" i="99"/>
  <c r="AS37" i="99"/>
  <c r="AS57" i="99"/>
  <c r="AX17" i="99"/>
  <c r="AX68" i="99"/>
  <c r="AX55" i="99"/>
  <c r="AX26" i="99"/>
  <c r="AM50" i="91"/>
  <c r="AS38" i="99"/>
  <c r="AS23" i="99"/>
  <c r="AS62" i="99"/>
  <c r="AS69" i="99"/>
  <c r="AX35" i="99"/>
  <c r="AX9" i="99"/>
  <c r="AX43" i="99"/>
  <c r="AX59" i="99"/>
  <c r="AS79" i="99"/>
  <c r="AS45" i="99"/>
  <c r="AS14" i="99"/>
  <c r="AS30" i="99"/>
  <c r="AS46" i="99"/>
  <c r="AS63" i="99"/>
  <c r="AS29" i="99"/>
  <c r="AS15" i="99"/>
  <c r="AS31" i="99"/>
  <c r="AS51" i="99"/>
  <c r="AS68" i="99"/>
  <c r="AS49" i="99"/>
  <c r="AS12" i="99"/>
  <c r="AS28" i="99"/>
  <c r="AS44" i="99"/>
  <c r="AS61" i="99"/>
  <c r="AX39" i="99"/>
  <c r="AX13" i="99"/>
  <c r="AX29" i="99"/>
  <c r="AX56" i="99"/>
  <c r="AX70" i="99"/>
  <c r="AX33" i="99"/>
  <c r="AX66" i="99"/>
  <c r="AX36" i="99"/>
  <c r="AX11" i="99"/>
  <c r="AX22" i="99"/>
  <c r="AX49" i="99"/>
  <c r="AX12" i="99"/>
  <c r="AX24" i="99"/>
  <c r="AX28" i="99"/>
  <c r="AX61" i="99"/>
  <c r="AX40" i="99"/>
  <c r="AM54" i="91"/>
  <c r="AR5" i="102"/>
  <c r="X5" i="108"/>
  <c r="AS13" i="99"/>
  <c r="AS58" i="99"/>
  <c r="AS18" i="99"/>
  <c r="AS34" i="99"/>
  <c r="AS50" i="99"/>
  <c r="AS67" i="99"/>
  <c r="AS41" i="99"/>
  <c r="AS19" i="99"/>
  <c r="AS35" i="99"/>
  <c r="AS56" i="99"/>
  <c r="AS9" i="99"/>
  <c r="AS54" i="99"/>
  <c r="AS16" i="99"/>
  <c r="AS32" i="99"/>
  <c r="AS48" i="99"/>
  <c r="AS65" i="99"/>
  <c r="AX38" i="99"/>
  <c r="AX27" i="99"/>
  <c r="AX64" i="99"/>
  <c r="AX52" i="99"/>
  <c r="AX79" i="99"/>
  <c r="AX18" i="99"/>
  <c r="AX46" i="99"/>
  <c r="AX50" i="99"/>
  <c r="AX31" i="99"/>
  <c r="AX25" i="99"/>
  <c r="AX51" i="99"/>
  <c r="AX30" i="99"/>
  <c r="AX63" i="99"/>
  <c r="AX34" i="99"/>
  <c r="AX69" i="99"/>
  <c r="BC69" i="99"/>
  <c r="BC61" i="99"/>
  <c r="BC49" i="99"/>
  <c r="BC33" i="99"/>
  <c r="BC31" i="99"/>
  <c r="BC29" i="99"/>
  <c r="BC27" i="99"/>
  <c r="BC25" i="99"/>
  <c r="BC23" i="99"/>
  <c r="BC21" i="99"/>
  <c r="BC34" i="99"/>
  <c r="BC71" i="99"/>
  <c r="BC63" i="99"/>
  <c r="BC55" i="99"/>
  <c r="BC37" i="99"/>
  <c r="BC65" i="99"/>
  <c r="BC57" i="99"/>
  <c r="BC40" i="99"/>
  <c r="BC32" i="99"/>
  <c r="BC30" i="99"/>
  <c r="BC28" i="99"/>
  <c r="BC26" i="99"/>
  <c r="BC24" i="99"/>
  <c r="BC22" i="99"/>
  <c r="BC67" i="99"/>
  <c r="BC59" i="99"/>
  <c r="BC51" i="99"/>
  <c r="BC11" i="99"/>
  <c r="BC46" i="99"/>
  <c r="BC12" i="99"/>
  <c r="BC47" i="99"/>
  <c r="BC13" i="99"/>
  <c r="BC50" i="99"/>
  <c r="BC14" i="99"/>
  <c r="BC56" i="99"/>
  <c r="BC9" i="99"/>
  <c r="BC64" i="99"/>
  <c r="BC36" i="99"/>
  <c r="BC42" i="99"/>
  <c r="BC43" i="99"/>
  <c r="BC10" i="99"/>
  <c r="BC15" i="99"/>
  <c r="BC54" i="99"/>
  <c r="BC16" i="99"/>
  <c r="BC52" i="99"/>
  <c r="BC17" i="99"/>
  <c r="BC58" i="99"/>
  <c r="BC18" i="99"/>
  <c r="BC41" i="99"/>
  <c r="BC68" i="99"/>
  <c r="BC45" i="99"/>
  <c r="BC19" i="99"/>
  <c r="BC62" i="99"/>
  <c r="BC20" i="99"/>
  <c r="BC60" i="99"/>
  <c r="BC44" i="99"/>
  <c r="BC66" i="99"/>
  <c r="BC35" i="99"/>
  <c r="BC70" i="99"/>
  <c r="BC48" i="99"/>
  <c r="BC8" i="99"/>
  <c r="BC38" i="99"/>
  <c r="BC39" i="99"/>
  <c r="AC50" i="107"/>
  <c r="AR50" i="102"/>
  <c r="X79" i="108"/>
  <c r="X77" i="108" s="1"/>
  <c r="AR79" i="102"/>
  <c r="X41" i="108"/>
  <c r="AC41" i="107"/>
  <c r="X54" i="108"/>
  <c r="AC5" i="107"/>
  <c r="AM5" i="91"/>
  <c r="AR81" i="99"/>
  <c r="AR83" i="99" s="1"/>
  <c r="AR84" i="99" s="1"/>
  <c r="AR86" i="99" s="1"/>
  <c r="AR87" i="99" s="1"/>
  <c r="AR76" i="99"/>
  <c r="AQ81" i="99"/>
  <c r="AQ83" i="99" s="1"/>
  <c r="AQ84" i="99" s="1"/>
  <c r="AQ86" i="99" s="1"/>
  <c r="AQ87" i="99" s="1"/>
  <c r="AQ76" i="99"/>
  <c r="AW76" i="87"/>
  <c r="AW81" i="87"/>
  <c r="AW83" i="87" s="1"/>
  <c r="AW84" i="87" s="1"/>
  <c r="AW86" i="87" s="1"/>
  <c r="AW87" i="87" s="1"/>
  <c r="AC54" i="107"/>
  <c r="AA38" i="107"/>
  <c r="AA75" i="107" s="1"/>
  <c r="AC8" i="107"/>
  <c r="AB8" i="107"/>
  <c r="AC79" i="107" s="1"/>
  <c r="X8" i="108"/>
  <c r="V5" i="108"/>
  <c r="V38" i="108" s="1"/>
  <c r="AM41" i="91"/>
  <c r="AM8" i="91"/>
  <c r="AK8" i="91"/>
  <c r="AK38" i="91" s="1"/>
  <c r="AL8" i="91"/>
  <c r="AM79" i="91" s="1"/>
  <c r="AR41" i="102"/>
  <c r="AQ38" i="102"/>
  <c r="AR12" i="102"/>
  <c r="AR21" i="102"/>
  <c r="AR65" i="102"/>
  <c r="AR29" i="102"/>
  <c r="BP85" i="96"/>
  <c r="BO85" i="96"/>
  <c r="BP82" i="96"/>
  <c r="BO82" i="96"/>
  <c r="AW85" i="96"/>
  <c r="AW82" i="96"/>
  <c r="AW78" i="96"/>
  <c r="AV77" i="96"/>
  <c r="AU77" i="96"/>
  <c r="AW74" i="96"/>
  <c r="AW73" i="96" s="1"/>
  <c r="AV73" i="96"/>
  <c r="AU73" i="96"/>
  <c r="AW71" i="96"/>
  <c r="AW70" i="96"/>
  <c r="AW69" i="96"/>
  <c r="AW68" i="96"/>
  <c r="AW67" i="96"/>
  <c r="AW66" i="96"/>
  <c r="AW65" i="96"/>
  <c r="AW64" i="96"/>
  <c r="AW63" i="96"/>
  <c r="AW62" i="96"/>
  <c r="AW61" i="96"/>
  <c r="AW60" i="96"/>
  <c r="AW59" i="96"/>
  <c r="AW58" i="96"/>
  <c r="AW57" i="96"/>
  <c r="AW56" i="96"/>
  <c r="AW55" i="96"/>
  <c r="AV54" i="96"/>
  <c r="AU54" i="96"/>
  <c r="AW52" i="96"/>
  <c r="AW51" i="96"/>
  <c r="AV50" i="96"/>
  <c r="AU50" i="96"/>
  <c r="AW48" i="96"/>
  <c r="AW47" i="96"/>
  <c r="AW46" i="96"/>
  <c r="AW45" i="96"/>
  <c r="AW44" i="96"/>
  <c r="AW43" i="96"/>
  <c r="AW42" i="96"/>
  <c r="AV41" i="96"/>
  <c r="AU41" i="96"/>
  <c r="AW36" i="96"/>
  <c r="AW35" i="96" s="1"/>
  <c r="AV35" i="96"/>
  <c r="AU35" i="96"/>
  <c r="AW33" i="96"/>
  <c r="AW32" i="96"/>
  <c r="AW31" i="96"/>
  <c r="AW30" i="96"/>
  <c r="AW29" i="96"/>
  <c r="AW28" i="96"/>
  <c r="AW27" i="96"/>
  <c r="AW26" i="96"/>
  <c r="AW25" i="96"/>
  <c r="AW24" i="96"/>
  <c r="AW23" i="96"/>
  <c r="AW22" i="96"/>
  <c r="AW21" i="96"/>
  <c r="AW20" i="96"/>
  <c r="AW19" i="96"/>
  <c r="AW18" i="96"/>
  <c r="AW17" i="96"/>
  <c r="AW16" i="96"/>
  <c r="AW15" i="96"/>
  <c r="AW14" i="96"/>
  <c r="AW13" i="96"/>
  <c r="AW12" i="96"/>
  <c r="AW11" i="96"/>
  <c r="AW10" i="96"/>
  <c r="AW9" i="96"/>
  <c r="AV8" i="96"/>
  <c r="AU8" i="96"/>
  <c r="AW7" i="96"/>
  <c r="AW6" i="96"/>
  <c r="AV5" i="96"/>
  <c r="AU5" i="96"/>
  <c r="X38" i="108" l="1"/>
  <c r="W75" i="108"/>
  <c r="AW50" i="96"/>
  <c r="AW79" i="96"/>
  <c r="AW77" i="96" s="1"/>
  <c r="AW5" i="96"/>
  <c r="AC38" i="107"/>
  <c r="AC75" i="107" s="1"/>
  <c r="AA39" i="107"/>
  <c r="X89" i="108"/>
  <c r="AU38" i="96"/>
  <c r="AU75" i="96" s="1"/>
  <c r="AC77" i="107"/>
  <c r="AA81" i="107"/>
  <c r="AA83" i="107" s="1"/>
  <c r="AA84" i="107" s="1"/>
  <c r="AA86" i="107" s="1"/>
  <c r="AA87" i="107" s="1"/>
  <c r="AA76" i="107"/>
  <c r="AC89" i="107"/>
  <c r="AB38" i="107"/>
  <c r="X75" i="108"/>
  <c r="X81" i="108" s="1"/>
  <c r="X83" i="108" s="1"/>
  <c r="X84" i="108" s="1"/>
  <c r="X86" i="108" s="1"/>
  <c r="X87" i="108" s="1"/>
  <c r="X39" i="108"/>
  <c r="V75" i="108"/>
  <c r="V39" i="108"/>
  <c r="W81" i="108"/>
  <c r="W83" i="108" s="1"/>
  <c r="W84" i="108" s="1"/>
  <c r="W86" i="108" s="1"/>
  <c r="W87" i="108" s="1"/>
  <c r="W76" i="108"/>
  <c r="AK75" i="91"/>
  <c r="AK39" i="91"/>
  <c r="AM89" i="91"/>
  <c r="AM77" i="91"/>
  <c r="AL38" i="91"/>
  <c r="AM38" i="91"/>
  <c r="AR54" i="102"/>
  <c r="AP8" i="102"/>
  <c r="AP38" i="102" s="1"/>
  <c r="AQ39" i="102"/>
  <c r="AQ75" i="102"/>
  <c r="AR8" i="102"/>
  <c r="AR77" i="102"/>
  <c r="AW54" i="96"/>
  <c r="AW41" i="96"/>
  <c r="AW8" i="96"/>
  <c r="AV38" i="96"/>
  <c r="AV39" i="96" s="1"/>
  <c r="BC51" i="107" l="1"/>
  <c r="BC36" i="107"/>
  <c r="BC34" i="107"/>
  <c r="BC53" i="107"/>
  <c r="BC52" i="107"/>
  <c r="BC50" i="107"/>
  <c r="BC40" i="107"/>
  <c r="BC37" i="107"/>
  <c r="BC35" i="107"/>
  <c r="BC38" i="107"/>
  <c r="BC39" i="107"/>
  <c r="AX49" i="91"/>
  <c r="AX37" i="91"/>
  <c r="AX40" i="91"/>
  <c r="AX72" i="91"/>
  <c r="AX34" i="91"/>
  <c r="AX53" i="91"/>
  <c r="AX36" i="91"/>
  <c r="AX35" i="91"/>
  <c r="AX38" i="91"/>
  <c r="AX39" i="91"/>
  <c r="AX51" i="107"/>
  <c r="AX52" i="107"/>
  <c r="AX37" i="107"/>
  <c r="AX50" i="107"/>
  <c r="AX34" i="107"/>
  <c r="AX53" i="107"/>
  <c r="AX40" i="107"/>
  <c r="AX35" i="107"/>
  <c r="AX36" i="107"/>
  <c r="AX38" i="107"/>
  <c r="AX39" i="107"/>
  <c r="AS37" i="91"/>
  <c r="AS72" i="91"/>
  <c r="AS40" i="91"/>
  <c r="AS53" i="91"/>
  <c r="AS49" i="91"/>
  <c r="AS34" i="91"/>
  <c r="AS35" i="91"/>
  <c r="AS36" i="91"/>
  <c r="AS38" i="91"/>
  <c r="AS39" i="91"/>
  <c r="AS53" i="107"/>
  <c r="AS34" i="107"/>
  <c r="AS52" i="107"/>
  <c r="AS51" i="107"/>
  <c r="AS37" i="107"/>
  <c r="AS40" i="107"/>
  <c r="AS50" i="107"/>
  <c r="AS35" i="107"/>
  <c r="AS36" i="107"/>
  <c r="AS38" i="107"/>
  <c r="AS39" i="107"/>
  <c r="AC39" i="107"/>
  <c r="AD39" i="107" s="1"/>
  <c r="AI50" i="108"/>
  <c r="AI51" i="108"/>
  <c r="AI52" i="108"/>
  <c r="AI34" i="108"/>
  <c r="AI72" i="108"/>
  <c r="AI53" i="108"/>
  <c r="AI40" i="108"/>
  <c r="AI49" i="108"/>
  <c r="AI37" i="108"/>
  <c r="AI35" i="108"/>
  <c r="AI36" i="108"/>
  <c r="AN53" i="107"/>
  <c r="AN52" i="107"/>
  <c r="AN40" i="107"/>
  <c r="AN49" i="107"/>
  <c r="AN37" i="107"/>
  <c r="AN34" i="107"/>
  <c r="AN50" i="107"/>
  <c r="AN35" i="107"/>
  <c r="AN36" i="107"/>
  <c r="AN51" i="107"/>
  <c r="AN38" i="107"/>
  <c r="AN39" i="107"/>
  <c r="AI49" i="107"/>
  <c r="AI40" i="107"/>
  <c r="AI37" i="107"/>
  <c r="AI53" i="107"/>
  <c r="AI35" i="107"/>
  <c r="AI34" i="107"/>
  <c r="AI52" i="107"/>
  <c r="AI51" i="107"/>
  <c r="AI50" i="107"/>
  <c r="AI36" i="107"/>
  <c r="AI38" i="107"/>
  <c r="AI39" i="107"/>
  <c r="AD72" i="108"/>
  <c r="AD53" i="108"/>
  <c r="AD37" i="108"/>
  <c r="AD52" i="108"/>
  <c r="AD50" i="108"/>
  <c r="AD49" i="108"/>
  <c r="AD34" i="108"/>
  <c r="AD40" i="108"/>
  <c r="AD51" i="108"/>
  <c r="AD36" i="108"/>
  <c r="AD35" i="108"/>
  <c r="AN71" i="91"/>
  <c r="AN67" i="91"/>
  <c r="AN63" i="91"/>
  <c r="AN59" i="91"/>
  <c r="AN55" i="91"/>
  <c r="AN51" i="91"/>
  <c r="AN43" i="91"/>
  <c r="AN35" i="91"/>
  <c r="AN31" i="91"/>
  <c r="AN27" i="91"/>
  <c r="AN23" i="91"/>
  <c r="AN19" i="91"/>
  <c r="AN15" i="91"/>
  <c r="AN11" i="91"/>
  <c r="AN56" i="91"/>
  <c r="AN24" i="91"/>
  <c r="AN12" i="91"/>
  <c r="AN70" i="91"/>
  <c r="AN66" i="91"/>
  <c r="AN62" i="91"/>
  <c r="AN58" i="91"/>
  <c r="AN54" i="91"/>
  <c r="AN50" i="91"/>
  <c r="AN42" i="91"/>
  <c r="AN38" i="91"/>
  <c r="AN34" i="91"/>
  <c r="AN30" i="91"/>
  <c r="AN26" i="91"/>
  <c r="AN22" i="91"/>
  <c r="AN18" i="91"/>
  <c r="AN14" i="91"/>
  <c r="AN10" i="91"/>
  <c r="AN72" i="91"/>
  <c r="AN64" i="91"/>
  <c r="AN48" i="91"/>
  <c r="AN40" i="91"/>
  <c r="AN32" i="91"/>
  <c r="AN16" i="91"/>
  <c r="AN79" i="91"/>
  <c r="AN69" i="91"/>
  <c r="AN65" i="91"/>
  <c r="AN61" i="91"/>
  <c r="AN57" i="91"/>
  <c r="AN53" i="91"/>
  <c r="AN49" i="91"/>
  <c r="AN37" i="91"/>
  <c r="AN33" i="91"/>
  <c r="AN29" i="91"/>
  <c r="AN25" i="91"/>
  <c r="AN21" i="91"/>
  <c r="AN17" i="91"/>
  <c r="AN13" i="91"/>
  <c r="AN9" i="91"/>
  <c r="AN68" i="91"/>
  <c r="AN60" i="91"/>
  <c r="AN52" i="91"/>
  <c r="AN44" i="91"/>
  <c r="AN36" i="91"/>
  <c r="AN28" i="91"/>
  <c r="AN20" i="91"/>
  <c r="AN8" i="91"/>
  <c r="AN47" i="91"/>
  <c r="AN45" i="91"/>
  <c r="AN46" i="91"/>
  <c r="AN41" i="91"/>
  <c r="Y79" i="108"/>
  <c r="Y69" i="108"/>
  <c r="Y65" i="108"/>
  <c r="Y61" i="108"/>
  <c r="Y57" i="108"/>
  <c r="Y53" i="108"/>
  <c r="Y49" i="108"/>
  <c r="Y45" i="108"/>
  <c r="Y37" i="108"/>
  <c r="Y33" i="108"/>
  <c r="Y72" i="108"/>
  <c r="Y68" i="108"/>
  <c r="Y64" i="108"/>
  <c r="Y60" i="108"/>
  <c r="Y56" i="108"/>
  <c r="Y52" i="108"/>
  <c r="Y48" i="108"/>
  <c r="Y44" i="108"/>
  <c r="Y40" i="108"/>
  <c r="Y36" i="108"/>
  <c r="Y32" i="108"/>
  <c r="Y28" i="108"/>
  <c r="Y24" i="108"/>
  <c r="Y20" i="108"/>
  <c r="Y16" i="108"/>
  <c r="Y12" i="108"/>
  <c r="Y8" i="108"/>
  <c r="Y71" i="108"/>
  <c r="Y67" i="108"/>
  <c r="Y63" i="108"/>
  <c r="Y59" i="108"/>
  <c r="Y55" i="108"/>
  <c r="Y51" i="108"/>
  <c r="Y43" i="108"/>
  <c r="Y39" i="108"/>
  <c r="Y35" i="108"/>
  <c r="Y31" i="108"/>
  <c r="Y27" i="108"/>
  <c r="Y23" i="108"/>
  <c r="Y19" i="108"/>
  <c r="Y15" i="108"/>
  <c r="Y11" i="108"/>
  <c r="Y70" i="108"/>
  <c r="Y66" i="108"/>
  <c r="Y62" i="108"/>
  <c r="Y58" i="108"/>
  <c r="Y54" i="108"/>
  <c r="Y50" i="108"/>
  <c r="Y46" i="108"/>
  <c r="Y42" i="108"/>
  <c r="Y38" i="108"/>
  <c r="Y34" i="108"/>
  <c r="Y30" i="108"/>
  <c r="Y26" i="108"/>
  <c r="Y22" i="108"/>
  <c r="Y18" i="108"/>
  <c r="Y14" i="108"/>
  <c r="Y10" i="108"/>
  <c r="Y29" i="108"/>
  <c r="Y25" i="108"/>
  <c r="Y21" i="108"/>
  <c r="Y17" i="108"/>
  <c r="Y13" i="108"/>
  <c r="Y9" i="108"/>
  <c r="Y41" i="108"/>
  <c r="Y47" i="108"/>
  <c r="AD79" i="107"/>
  <c r="AD68" i="107"/>
  <c r="AD64" i="107"/>
  <c r="AD60" i="107"/>
  <c r="AD56" i="107"/>
  <c r="AD52" i="107"/>
  <c r="AD48" i="107"/>
  <c r="AD44" i="107"/>
  <c r="AD40" i="107"/>
  <c r="AD36" i="107"/>
  <c r="AD32" i="107"/>
  <c r="AD28" i="107"/>
  <c r="AD24" i="107"/>
  <c r="AD20" i="107"/>
  <c r="AD16" i="107"/>
  <c r="AD12" i="107"/>
  <c r="AD8" i="107"/>
  <c r="AD66" i="107"/>
  <c r="AD62" i="107"/>
  <c r="AD54" i="107"/>
  <c r="AD46" i="107"/>
  <c r="AD38" i="107"/>
  <c r="AD30" i="107"/>
  <c r="AD22" i="107"/>
  <c r="AD14" i="107"/>
  <c r="AD69" i="107"/>
  <c r="AD57" i="107"/>
  <c r="AD49" i="107"/>
  <c r="AD33" i="107"/>
  <c r="AD25" i="107"/>
  <c r="AD17" i="107"/>
  <c r="AD9" i="107"/>
  <c r="AD71" i="107"/>
  <c r="AD67" i="107"/>
  <c r="AD63" i="107"/>
  <c r="AD59" i="107"/>
  <c r="AD55" i="107"/>
  <c r="AD51" i="107"/>
  <c r="AD43" i="107"/>
  <c r="AD35" i="107"/>
  <c r="AD31" i="107"/>
  <c r="AD27" i="107"/>
  <c r="AD23" i="107"/>
  <c r="AD19" i="107"/>
  <c r="AD15" i="107"/>
  <c r="AD11" i="107"/>
  <c r="AD70" i="107"/>
  <c r="AD58" i="107"/>
  <c r="AD50" i="107"/>
  <c r="AD42" i="107"/>
  <c r="AD34" i="107"/>
  <c r="AD26" i="107"/>
  <c r="AD18" i="107"/>
  <c r="AD10" i="107"/>
  <c r="AD65" i="107"/>
  <c r="AD61" i="107"/>
  <c r="AD53" i="107"/>
  <c r="AD45" i="107"/>
  <c r="AD37" i="107"/>
  <c r="AD29" i="107"/>
  <c r="AD21" i="107"/>
  <c r="AD13" i="107"/>
  <c r="AD47" i="107"/>
  <c r="AD41" i="107"/>
  <c r="AU39" i="96"/>
  <c r="X76" i="108"/>
  <c r="AV75" i="96"/>
  <c r="AV81" i="96" s="1"/>
  <c r="AV83" i="96" s="1"/>
  <c r="AV84" i="96" s="1"/>
  <c r="AV86" i="96" s="1"/>
  <c r="AV87" i="96" s="1"/>
  <c r="AW89" i="96"/>
  <c r="AW38" i="96"/>
  <c r="AW75" i="96" s="1"/>
  <c r="AB75" i="107"/>
  <c r="AB39" i="107"/>
  <c r="AC76" i="107"/>
  <c r="AC81" i="107"/>
  <c r="AC83" i="107" s="1"/>
  <c r="AC84" i="107" s="1"/>
  <c r="AC86" i="107" s="1"/>
  <c r="AC87" i="107" s="1"/>
  <c r="V81" i="108"/>
  <c r="V83" i="108" s="1"/>
  <c r="V84" i="108" s="1"/>
  <c r="V86" i="108" s="1"/>
  <c r="V87" i="108" s="1"/>
  <c r="V76" i="108"/>
  <c r="AM39" i="91"/>
  <c r="AN39" i="91" s="1"/>
  <c r="AM75" i="91"/>
  <c r="AL39" i="91"/>
  <c r="AL75" i="91"/>
  <c r="AK81" i="91"/>
  <c r="AK83" i="91" s="1"/>
  <c r="AK84" i="91" s="1"/>
  <c r="AK86" i="91" s="1"/>
  <c r="AK87" i="91" s="1"/>
  <c r="AK76" i="91"/>
  <c r="AQ81" i="102"/>
  <c r="AQ83" i="102" s="1"/>
  <c r="AQ84" i="102" s="1"/>
  <c r="AQ86" i="102" s="1"/>
  <c r="AQ87" i="102" s="1"/>
  <c r="AQ76" i="102"/>
  <c r="AP39" i="102"/>
  <c r="AP75" i="102"/>
  <c r="AR89" i="102"/>
  <c r="AR38" i="102"/>
  <c r="AU81" i="96"/>
  <c r="AU83" i="96" s="1"/>
  <c r="AU84" i="96" s="1"/>
  <c r="AU86" i="96" s="1"/>
  <c r="AU87" i="96" s="1"/>
  <c r="AU76" i="96"/>
  <c r="BB85" i="95"/>
  <c r="BB82" i="95"/>
  <c r="BB78" i="95"/>
  <c r="BA77" i="95"/>
  <c r="AZ74" i="95"/>
  <c r="BB74" i="95" s="1"/>
  <c r="BB73" i="95" s="1"/>
  <c r="BA73" i="95"/>
  <c r="BB71" i="95"/>
  <c r="BC71" i="95" s="1"/>
  <c r="BB70" i="95"/>
  <c r="BC70" i="95" s="1"/>
  <c r="AZ69" i="95"/>
  <c r="BB69" i="95" s="1"/>
  <c r="BC69" i="95" s="1"/>
  <c r="BB68" i="95"/>
  <c r="BC68" i="95" s="1"/>
  <c r="BB67" i="95"/>
  <c r="BC67" i="95" s="1"/>
  <c r="BB66" i="95"/>
  <c r="BC66" i="95" s="1"/>
  <c r="AZ65" i="95"/>
  <c r="BB65" i="95" s="1"/>
  <c r="BC65" i="95" s="1"/>
  <c r="BB64" i="95"/>
  <c r="BC64" i="95" s="1"/>
  <c r="BA63" i="95"/>
  <c r="AZ63" i="95"/>
  <c r="BB62" i="95"/>
  <c r="BC62" i="95" s="1"/>
  <c r="BB61" i="95"/>
  <c r="BC61" i="95" s="1"/>
  <c r="AZ60" i="95"/>
  <c r="BB60" i="95" s="1"/>
  <c r="BC60" i="95" s="1"/>
  <c r="AZ59" i="95"/>
  <c r="BB59" i="95" s="1"/>
  <c r="BC59" i="95" s="1"/>
  <c r="BA58" i="95"/>
  <c r="AZ58" i="95"/>
  <c r="BB57" i="95"/>
  <c r="BC57" i="95" s="1"/>
  <c r="BB56" i="95"/>
  <c r="BC56" i="95" s="1"/>
  <c r="BB55" i="95"/>
  <c r="BB52" i="95"/>
  <c r="BC52" i="95" s="1"/>
  <c r="BB51" i="95"/>
  <c r="BA50" i="95"/>
  <c r="AZ50" i="95"/>
  <c r="BC49" i="95"/>
  <c r="AZ48" i="95"/>
  <c r="BB48" i="95" s="1"/>
  <c r="BC48" i="95" s="1"/>
  <c r="BB47" i="95"/>
  <c r="BC47" i="95" s="1"/>
  <c r="BB46" i="95"/>
  <c r="BC46" i="95" s="1"/>
  <c r="AZ45" i="95"/>
  <c r="BB45" i="95" s="1"/>
  <c r="BC45" i="95" s="1"/>
  <c r="BB44" i="95"/>
  <c r="BC44" i="95" s="1"/>
  <c r="BB43" i="95"/>
  <c r="BC43" i="95" s="1"/>
  <c r="BB42" i="95"/>
  <c r="BA41" i="95"/>
  <c r="BB36" i="95"/>
  <c r="BB35" i="95" s="1"/>
  <c r="BA35" i="95"/>
  <c r="AZ35" i="95"/>
  <c r="BB33" i="95"/>
  <c r="BC33" i="95" s="1"/>
  <c r="BB32" i="95"/>
  <c r="BC32" i="95" s="1"/>
  <c r="BB31" i="95"/>
  <c r="BC31" i="95" s="1"/>
  <c r="BB30" i="95"/>
  <c r="BC30" i="95" s="1"/>
  <c r="AZ29" i="95"/>
  <c r="BB29" i="95" s="1"/>
  <c r="BC29" i="95" s="1"/>
  <c r="BA28" i="95"/>
  <c r="AZ28" i="95"/>
  <c r="AZ27" i="95"/>
  <c r="BB27" i="95" s="1"/>
  <c r="BC27" i="95" s="1"/>
  <c r="AZ26" i="95"/>
  <c r="BB26" i="95" s="1"/>
  <c r="BC26" i="95" s="1"/>
  <c r="AZ25" i="95"/>
  <c r="BB25" i="95" s="1"/>
  <c r="BC25" i="95" s="1"/>
  <c r="AZ24" i="95"/>
  <c r="BB24" i="95" s="1"/>
  <c r="BC24" i="95" s="1"/>
  <c r="AZ23" i="95"/>
  <c r="BB23" i="95" s="1"/>
  <c r="BC23" i="95" s="1"/>
  <c r="BB22" i="95"/>
  <c r="BC22" i="95" s="1"/>
  <c r="AZ21" i="95"/>
  <c r="BB21" i="95" s="1"/>
  <c r="BC21" i="95" s="1"/>
  <c r="BB20" i="95"/>
  <c r="BC20" i="95" s="1"/>
  <c r="BA19" i="95"/>
  <c r="BB19" i="95" s="1"/>
  <c r="BC19" i="95" s="1"/>
  <c r="AZ18" i="95"/>
  <c r="BB18" i="95" s="1"/>
  <c r="BC18" i="95" s="1"/>
  <c r="BB17" i="95"/>
  <c r="BC17" i="95" s="1"/>
  <c r="BB16" i="95"/>
  <c r="BC16" i="95" s="1"/>
  <c r="BB15" i="95"/>
  <c r="BC15" i="95" s="1"/>
  <c r="BB14" i="95"/>
  <c r="BC14" i="95" s="1"/>
  <c r="BB13" i="95"/>
  <c r="BC13" i="95" s="1"/>
  <c r="BA12" i="95"/>
  <c r="BB12" i="95" s="1"/>
  <c r="BC12" i="95" s="1"/>
  <c r="AZ11" i="95"/>
  <c r="BB11" i="95" s="1"/>
  <c r="BC11" i="95" s="1"/>
  <c r="AZ10" i="95"/>
  <c r="BB10" i="95" s="1"/>
  <c r="BC10" i="95" s="1"/>
  <c r="AZ9" i="95"/>
  <c r="BB9" i="95" s="1"/>
  <c r="BB7" i="95"/>
  <c r="BB6" i="95"/>
  <c r="BB5" i="95" s="1"/>
  <c r="BA5" i="95"/>
  <c r="AZ5" i="95"/>
  <c r="AW39" i="96" l="1"/>
  <c r="BB28" i="95"/>
  <c r="BC28" i="95" s="1"/>
  <c r="BB50" i="95"/>
  <c r="BB63" i="95"/>
  <c r="BC63" i="95" s="1"/>
  <c r="BB58" i="95"/>
  <c r="BC58" i="95" s="1"/>
  <c r="AZ54" i="95"/>
  <c r="BA54" i="95"/>
  <c r="BB41" i="95"/>
  <c r="BC41" i="95" s="1"/>
  <c r="AZ8" i="95"/>
  <c r="AZ38" i="95" s="1"/>
  <c r="BA8" i="95"/>
  <c r="AZ41" i="95"/>
  <c r="BH40" i="102"/>
  <c r="BH35" i="102"/>
  <c r="BH38" i="102"/>
  <c r="BH39" i="102"/>
  <c r="BM40" i="96"/>
  <c r="BM35" i="96"/>
  <c r="BM36" i="96"/>
  <c r="BM38" i="96"/>
  <c r="BM39" i="96"/>
  <c r="BC40" i="102"/>
  <c r="BC35" i="102"/>
  <c r="BC38" i="102"/>
  <c r="BC39" i="102"/>
  <c r="BH35" i="96"/>
  <c r="BH40" i="96"/>
  <c r="BH36" i="96"/>
  <c r="BH38" i="96"/>
  <c r="BH39" i="96"/>
  <c r="AX40" i="102"/>
  <c r="AX35" i="102"/>
  <c r="AX38" i="102"/>
  <c r="AX39" i="102"/>
  <c r="BC40" i="96"/>
  <c r="BC36" i="96"/>
  <c r="BC35" i="96"/>
  <c r="BC38" i="96"/>
  <c r="BC39" i="96"/>
  <c r="AW93" i="96"/>
  <c r="AX71" i="96"/>
  <c r="AX67" i="96"/>
  <c r="AX63" i="96"/>
  <c r="AX59" i="96"/>
  <c r="AX55" i="96"/>
  <c r="AX51" i="96"/>
  <c r="AX43" i="96"/>
  <c r="AX39" i="96"/>
  <c r="AX35" i="96"/>
  <c r="AX30" i="96"/>
  <c r="AX26" i="96"/>
  <c r="AX22" i="96"/>
  <c r="AX18" i="96"/>
  <c r="AX14" i="96"/>
  <c r="AX10" i="96"/>
  <c r="AX72" i="96"/>
  <c r="AX52" i="96"/>
  <c r="AX40" i="96"/>
  <c r="AX27" i="96"/>
  <c r="AX15" i="96"/>
  <c r="AX70" i="96"/>
  <c r="AX66" i="96"/>
  <c r="AX62" i="96"/>
  <c r="AX58" i="96"/>
  <c r="AX54" i="96"/>
  <c r="AX50" i="96"/>
  <c r="AX46" i="96"/>
  <c r="AX42" i="96"/>
  <c r="AX38" i="96"/>
  <c r="AX33" i="96"/>
  <c r="AX29" i="96"/>
  <c r="AX25" i="96"/>
  <c r="AX21" i="96"/>
  <c r="AX17" i="96"/>
  <c r="AX13" i="96"/>
  <c r="AX9" i="96"/>
  <c r="AX64" i="96"/>
  <c r="AX60" i="96"/>
  <c r="AX48" i="96"/>
  <c r="AX36" i="96"/>
  <c r="AX23" i="96"/>
  <c r="AX11" i="96"/>
  <c r="AX79" i="96"/>
  <c r="AX69" i="96"/>
  <c r="AX65" i="96"/>
  <c r="AX61" i="96"/>
  <c r="AX57" i="96"/>
  <c r="AX53" i="96"/>
  <c r="AX49" i="96"/>
  <c r="AX45" i="96"/>
  <c r="AX37" i="96"/>
  <c r="AX32" i="96"/>
  <c r="AX28" i="96"/>
  <c r="AX24" i="96"/>
  <c r="AX20" i="96"/>
  <c r="AX16" i="96"/>
  <c r="AX12" i="96"/>
  <c r="AX8" i="96"/>
  <c r="AX68" i="96"/>
  <c r="AX56" i="96"/>
  <c r="AX44" i="96"/>
  <c r="AX31" i="96"/>
  <c r="AX19" i="96"/>
  <c r="AX47" i="96"/>
  <c r="AX41" i="96"/>
  <c r="AS78" i="102"/>
  <c r="AS69" i="102"/>
  <c r="AS65" i="102"/>
  <c r="AS61" i="102"/>
  <c r="AS57" i="102"/>
  <c r="AS52" i="102"/>
  <c r="AS48" i="102"/>
  <c r="AS44" i="102"/>
  <c r="AS40" i="102"/>
  <c r="AS36" i="102"/>
  <c r="AS32" i="102"/>
  <c r="AS28" i="102"/>
  <c r="AS24" i="102"/>
  <c r="AS20" i="102"/>
  <c r="AS16" i="102"/>
  <c r="AS12" i="102"/>
  <c r="AS8" i="102"/>
  <c r="AS72" i="102"/>
  <c r="AS68" i="102"/>
  <c r="AS64" i="102"/>
  <c r="AS60" i="102"/>
  <c r="AS56" i="102"/>
  <c r="AS51" i="102"/>
  <c r="AS43" i="102"/>
  <c r="AS35" i="102"/>
  <c r="AS31" i="102"/>
  <c r="AS27" i="102"/>
  <c r="AS23" i="102"/>
  <c r="AS19" i="102"/>
  <c r="AS15" i="102"/>
  <c r="AS11" i="102"/>
  <c r="AS71" i="102"/>
  <c r="AS67" i="102"/>
  <c r="AS63" i="102"/>
  <c r="AS59" i="102"/>
  <c r="AS55" i="102"/>
  <c r="AS50" i="102"/>
  <c r="AS46" i="102"/>
  <c r="AS42" i="102"/>
  <c r="AS38" i="102"/>
  <c r="AS34" i="102"/>
  <c r="AS30" i="102"/>
  <c r="AS26" i="102"/>
  <c r="AS22" i="102"/>
  <c r="AS18" i="102"/>
  <c r="AS14" i="102"/>
  <c r="AS10" i="102"/>
  <c r="AS79" i="102"/>
  <c r="AS70" i="102"/>
  <c r="AS66" i="102"/>
  <c r="AS62" i="102"/>
  <c r="AS58" i="102"/>
  <c r="AS54" i="102"/>
  <c r="AS49" i="102"/>
  <c r="AS45" i="102"/>
  <c r="AS37" i="102"/>
  <c r="AS33" i="102"/>
  <c r="AS29" i="102"/>
  <c r="AS25" i="102"/>
  <c r="AS21" i="102"/>
  <c r="AS17" i="102"/>
  <c r="AS13" i="102"/>
  <c r="AS9" i="102"/>
  <c r="AS47" i="102"/>
  <c r="AS41" i="102"/>
  <c r="AV76" i="96"/>
  <c r="AR93" i="102"/>
  <c r="AB81" i="107"/>
  <c r="AB83" i="107" s="1"/>
  <c r="AB84" i="107" s="1"/>
  <c r="AB86" i="107" s="1"/>
  <c r="AB87" i="107" s="1"/>
  <c r="AB76" i="107"/>
  <c r="AL81" i="91"/>
  <c r="AL83" i="91" s="1"/>
  <c r="AL84" i="91" s="1"/>
  <c r="AL86" i="91" s="1"/>
  <c r="AL87" i="91" s="1"/>
  <c r="AL76" i="91"/>
  <c r="AM81" i="91"/>
  <c r="AM83" i="91" s="1"/>
  <c r="AM84" i="91" s="1"/>
  <c r="AM86" i="91" s="1"/>
  <c r="AM87" i="91" s="1"/>
  <c r="AM76" i="91"/>
  <c r="AP76" i="102"/>
  <c r="AP81" i="102"/>
  <c r="AP83" i="102" s="1"/>
  <c r="AP84" i="102" s="1"/>
  <c r="AP86" i="102" s="1"/>
  <c r="AP87" i="102" s="1"/>
  <c r="AR75" i="102"/>
  <c r="AR39" i="102"/>
  <c r="AS39" i="102" s="1"/>
  <c r="AW81" i="96"/>
  <c r="AW83" i="96" s="1"/>
  <c r="AW84" i="96" s="1"/>
  <c r="AW86" i="96" s="1"/>
  <c r="AW87" i="96" s="1"/>
  <c r="AW76" i="96"/>
  <c r="BC9" i="95"/>
  <c r="BB8" i="95"/>
  <c r="BC36" i="95"/>
  <c r="BC42" i="95"/>
  <c r="BC51" i="95"/>
  <c r="BC55" i="95"/>
  <c r="AZ73" i="95"/>
  <c r="BB54" i="95" l="1"/>
  <c r="BC54" i="95" s="1"/>
  <c r="AZ79" i="95"/>
  <c r="BA38" i="95"/>
  <c r="BA39" i="95" s="1"/>
  <c r="AZ39" i="95"/>
  <c r="AZ75" i="95"/>
  <c r="BA75" i="95"/>
  <c r="BA76" i="95" s="1"/>
  <c r="AR81" i="102"/>
  <c r="AR83" i="102" s="1"/>
  <c r="AR84" i="102" s="1"/>
  <c r="AR86" i="102" s="1"/>
  <c r="AR87" i="102" s="1"/>
  <c r="AR76" i="102"/>
  <c r="BC8" i="95"/>
  <c r="BB38" i="95"/>
  <c r="AZ81" i="95" l="1"/>
  <c r="AZ83" i="95" s="1"/>
  <c r="AZ84" i="95" s="1"/>
  <c r="AZ86" i="95" s="1"/>
  <c r="AZ87" i="95" s="1"/>
  <c r="AZ76" i="95"/>
  <c r="AZ77" i="95"/>
  <c r="BB79" i="95"/>
  <c r="BB77" i="95" s="1"/>
  <c r="BA81" i="95"/>
  <c r="BA83" i="95" s="1"/>
  <c r="BA84" i="95" s="1"/>
  <c r="BA86" i="95" s="1"/>
  <c r="BA87" i="95" s="1"/>
  <c r="BB39" i="95"/>
  <c r="BB75" i="95"/>
  <c r="BB81" i="95" l="1"/>
  <c r="BB83" i="95" s="1"/>
  <c r="BB84" i="95" s="1"/>
  <c r="BB86" i="95" s="1"/>
  <c r="BB87" i="95" s="1"/>
  <c r="BB76" i="95"/>
  <c r="AA80" i="85" l="1"/>
  <c r="Z80" i="85"/>
  <c r="AA72" i="85"/>
  <c r="Z72" i="85"/>
  <c r="AA49" i="85"/>
  <c r="Z49" i="85"/>
  <c r="Q22" i="85"/>
  <c r="R22" i="85"/>
  <c r="AA22" i="85" s="1"/>
  <c r="Q23" i="85"/>
  <c r="R23" i="85"/>
  <c r="S23" i="85" s="1"/>
  <c r="Z23" i="85"/>
  <c r="V5" i="85"/>
  <c r="W5" i="85"/>
  <c r="X6" i="85"/>
  <c r="X5" i="85" s="1"/>
  <c r="X7" i="85"/>
  <c r="X9" i="85"/>
  <c r="Y9" i="85" s="1"/>
  <c r="X10" i="85"/>
  <c r="Y10" i="85" s="1"/>
  <c r="X11" i="85"/>
  <c r="Y11" i="85" s="1"/>
  <c r="X12" i="85"/>
  <c r="Y12" i="85" s="1"/>
  <c r="X13" i="85"/>
  <c r="Y13" i="85" s="1"/>
  <c r="X14" i="85"/>
  <c r="Y14" i="85" s="1"/>
  <c r="X15" i="85"/>
  <c r="Y15" i="85" s="1"/>
  <c r="X16" i="85"/>
  <c r="Y16" i="85" s="1"/>
  <c r="X17" i="85"/>
  <c r="Y17" i="85" s="1"/>
  <c r="V18" i="85"/>
  <c r="W18" i="85"/>
  <c r="X19" i="85"/>
  <c r="Y19" i="85" s="1"/>
  <c r="X20" i="85"/>
  <c r="Y20" i="85" s="1"/>
  <c r="V21" i="85"/>
  <c r="X21" i="85" s="1"/>
  <c r="Y21" i="85" s="1"/>
  <c r="V22" i="85"/>
  <c r="Z22" i="85" s="1"/>
  <c r="X23" i="85"/>
  <c r="Y23" i="85" s="1"/>
  <c r="X24" i="85"/>
  <c r="Y24" i="85" s="1"/>
  <c r="V25" i="85"/>
  <c r="X25" i="85" s="1"/>
  <c r="Y25" i="85" s="1"/>
  <c r="V26" i="85"/>
  <c r="X26" i="85" s="1"/>
  <c r="Y26" i="85" s="1"/>
  <c r="V27" i="85"/>
  <c r="X27" i="85" s="1"/>
  <c r="Y27" i="85" s="1"/>
  <c r="X28" i="85"/>
  <c r="Y28" i="85" s="1"/>
  <c r="X29" i="85"/>
  <c r="Y29" i="85" s="1"/>
  <c r="W30" i="85"/>
  <c r="V31" i="85"/>
  <c r="W31" i="85"/>
  <c r="W32" i="85"/>
  <c r="X32" i="85" s="1"/>
  <c r="Y32" i="85" s="1"/>
  <c r="X33" i="85"/>
  <c r="Y33" i="85" s="1"/>
  <c r="V35" i="85"/>
  <c r="W35" i="85"/>
  <c r="X36" i="85"/>
  <c r="X35" i="85" s="1"/>
  <c r="V41" i="85"/>
  <c r="W41" i="85"/>
  <c r="X42" i="85"/>
  <c r="Y42" i="85" s="1"/>
  <c r="X43" i="85"/>
  <c r="Y43" i="85" s="1"/>
  <c r="X44" i="85"/>
  <c r="Y44" i="85" s="1"/>
  <c r="X45" i="85"/>
  <c r="Y45" i="85" s="1"/>
  <c r="X46" i="85"/>
  <c r="Y46" i="85" s="1"/>
  <c r="X47" i="85"/>
  <c r="Y47" i="85" s="1"/>
  <c r="X48" i="85"/>
  <c r="Y48" i="85" s="1"/>
  <c r="Y49" i="85"/>
  <c r="V50" i="85"/>
  <c r="W50" i="85"/>
  <c r="X51" i="85"/>
  <c r="Y51" i="85" s="1"/>
  <c r="X52" i="85"/>
  <c r="Y52" i="85" s="1"/>
  <c r="W54" i="85"/>
  <c r="V55" i="85"/>
  <c r="X55" i="85" s="1"/>
  <c r="X58" i="85"/>
  <c r="Y58" i="85" s="1"/>
  <c r="V59" i="85"/>
  <c r="X59" i="85" s="1"/>
  <c r="Y59" i="85" s="1"/>
  <c r="V60" i="85"/>
  <c r="X60" i="85" s="1"/>
  <c r="Y60" i="85" s="1"/>
  <c r="X61" i="85"/>
  <c r="Y61" i="85" s="1"/>
  <c r="X62" i="85"/>
  <c r="Y62" i="85" s="1"/>
  <c r="V63" i="85"/>
  <c r="X63" i="85" s="1"/>
  <c r="Y63" i="85" s="1"/>
  <c r="X64" i="85"/>
  <c r="Y64" i="85" s="1"/>
  <c r="V65" i="85"/>
  <c r="X65" i="85" s="1"/>
  <c r="Y65" i="85" s="1"/>
  <c r="X66" i="85"/>
  <c r="Y66" i="85" s="1"/>
  <c r="X67" i="85"/>
  <c r="Y67" i="85" s="1"/>
  <c r="X68" i="85"/>
  <c r="Y68" i="85" s="1"/>
  <c r="X69" i="85"/>
  <c r="Y69" i="85" s="1"/>
  <c r="X70" i="85"/>
  <c r="Y70" i="85" s="1"/>
  <c r="X71" i="85"/>
  <c r="Y71" i="85" s="1"/>
  <c r="W73" i="85"/>
  <c r="V74" i="85"/>
  <c r="V73" i="85" s="1"/>
  <c r="X78" i="85"/>
  <c r="W77" i="85"/>
  <c r="X82" i="85"/>
  <c r="X85" i="85"/>
  <c r="X31" i="85" l="1"/>
  <c r="Y31" i="85" s="1"/>
  <c r="W8" i="85"/>
  <c r="S22" i="85"/>
  <c r="Y36" i="85"/>
  <c r="X30" i="85"/>
  <c r="Y30" i="85" s="1"/>
  <c r="X22" i="85"/>
  <c r="Y22" i="85" s="1"/>
  <c r="W38" i="85"/>
  <c r="W39" i="85" s="1"/>
  <c r="AA23" i="85"/>
  <c r="V8" i="85"/>
  <c r="V38" i="85" s="1"/>
  <c r="V39" i="85" s="1"/>
  <c r="Y55" i="85"/>
  <c r="X77" i="85"/>
  <c r="X41" i="85"/>
  <c r="Y41" i="85" s="1"/>
  <c r="V56" i="85"/>
  <c r="X56" i="85" s="1"/>
  <c r="Y56" i="85" s="1"/>
  <c r="V57" i="85"/>
  <c r="X57" i="85" s="1"/>
  <c r="Y57" i="85" s="1"/>
  <c r="X18" i="85"/>
  <c r="Y18" i="85" s="1"/>
  <c r="V77" i="85"/>
  <c r="X50" i="85"/>
  <c r="X74" i="85"/>
  <c r="X73" i="85" s="1"/>
  <c r="W75" i="85" l="1"/>
  <c r="W81" i="85" s="1"/>
  <c r="W83" i="85" s="1"/>
  <c r="W84" i="85" s="1"/>
  <c r="W86" i="85" s="1"/>
  <c r="W87" i="85" s="1"/>
  <c r="X8" i="85"/>
  <c r="X54" i="85"/>
  <c r="Y54" i="85" s="1"/>
  <c r="V54" i="85"/>
  <c r="V75" i="85" s="1"/>
  <c r="W76" i="85" l="1"/>
  <c r="V76" i="85"/>
  <c r="V81" i="85"/>
  <c r="V83" i="85" s="1"/>
  <c r="V84" i="85" s="1"/>
  <c r="V86" i="85" s="1"/>
  <c r="V87" i="85" s="1"/>
  <c r="Y8" i="85"/>
  <c r="X38" i="85"/>
  <c r="X39" i="85" l="1"/>
  <c r="X75" i="85"/>
  <c r="X81" i="85" l="1"/>
  <c r="X83" i="85" s="1"/>
  <c r="X76" i="85"/>
  <c r="X84" i="85" l="1"/>
  <c r="X86" i="85" s="1"/>
  <c r="X87" i="85" s="1"/>
  <c r="C28" i="108"/>
  <c r="AH19" i="91" l="1"/>
  <c r="AH20" i="91"/>
  <c r="AH21" i="91"/>
  <c r="AH23" i="91"/>
  <c r="AH25" i="91"/>
  <c r="AH26" i="91"/>
  <c r="AK20" i="99" l="1"/>
  <c r="Q18" i="108" l="1"/>
  <c r="AF24" i="91"/>
  <c r="AF22" i="91"/>
  <c r="AG30" i="91"/>
  <c r="BE24" i="91" l="1"/>
  <c r="AH24" i="91"/>
  <c r="BE22" i="91"/>
  <c r="AH22" i="91"/>
  <c r="AW85" i="90" l="1"/>
  <c r="AW82" i="90"/>
  <c r="AV77" i="90"/>
  <c r="AU77" i="90"/>
  <c r="AW71" i="90"/>
  <c r="AW70" i="90"/>
  <c r="AW69" i="90"/>
  <c r="AW68" i="90"/>
  <c r="AW67" i="90"/>
  <c r="AW66" i="90"/>
  <c r="AW65" i="90"/>
  <c r="AW64" i="90"/>
  <c r="AW63" i="90"/>
  <c r="AW62" i="90"/>
  <c r="AW61" i="90"/>
  <c r="AW60" i="90"/>
  <c r="AW59" i="90"/>
  <c r="AW58" i="90"/>
  <c r="AW57" i="90"/>
  <c r="AW56" i="90"/>
  <c r="AW55" i="90"/>
  <c r="AV54" i="90"/>
  <c r="AU54" i="90"/>
  <c r="AW53" i="90"/>
  <c r="AW52" i="90"/>
  <c r="AW51" i="90"/>
  <c r="AW50" i="90" s="1"/>
  <c r="AV50" i="90"/>
  <c r="AU50" i="90"/>
  <c r="AW48" i="90"/>
  <c r="AW47" i="90"/>
  <c r="AW46" i="90"/>
  <c r="AW45" i="90"/>
  <c r="AW44" i="90"/>
  <c r="AW43" i="90"/>
  <c r="AW42" i="90"/>
  <c r="AV41" i="90"/>
  <c r="AU41" i="90"/>
  <c r="AW33" i="90"/>
  <c r="AW32" i="90"/>
  <c r="AW31" i="90"/>
  <c r="AW30" i="90"/>
  <c r="AW29" i="90"/>
  <c r="AW28" i="90"/>
  <c r="AW27" i="90"/>
  <c r="AW26" i="90"/>
  <c r="AW25" i="90"/>
  <c r="AW23" i="90"/>
  <c r="AW22" i="90"/>
  <c r="AW21" i="90"/>
  <c r="AW20" i="90"/>
  <c r="AU19" i="90"/>
  <c r="AW17" i="90"/>
  <c r="AW16" i="90"/>
  <c r="AW15" i="90"/>
  <c r="AW14" i="90"/>
  <c r="AW13" i="90"/>
  <c r="AW12" i="90"/>
  <c r="AW11" i="90"/>
  <c r="AW10" i="90"/>
  <c r="AW9" i="90"/>
  <c r="AV8" i="90"/>
  <c r="AW6" i="90"/>
  <c r="AW5" i="90" s="1"/>
  <c r="AV5" i="90"/>
  <c r="AU5" i="90"/>
  <c r="AW24" i="90" l="1"/>
  <c r="AW54" i="90"/>
  <c r="AW18" i="90"/>
  <c r="AU8" i="90"/>
  <c r="AU38" i="90" s="1"/>
  <c r="AW19" i="90"/>
  <c r="AV38" i="90"/>
  <c r="AV75" i="90" s="1"/>
  <c r="AW41" i="90"/>
  <c r="AQ30" i="90"/>
  <c r="E82" i="102"/>
  <c r="I82" i="102"/>
  <c r="N82" i="102"/>
  <c r="S82" i="102"/>
  <c r="X82" i="102"/>
  <c r="AC82" i="102"/>
  <c r="E85" i="102"/>
  <c r="I85" i="102"/>
  <c r="N85" i="102"/>
  <c r="S85" i="102"/>
  <c r="X85" i="102"/>
  <c r="AC85" i="102"/>
  <c r="C28" i="102"/>
  <c r="C31" i="102"/>
  <c r="AK27" i="102"/>
  <c r="AK28" i="102"/>
  <c r="AK24" i="102"/>
  <c r="AK22" i="102"/>
  <c r="AK21" i="102"/>
  <c r="AK65" i="102"/>
  <c r="AK29" i="102" s="1"/>
  <c r="AL16" i="102"/>
  <c r="AK26" i="102"/>
  <c r="AW8" i="90" l="1"/>
  <c r="BP30" i="90"/>
  <c r="BQ30" i="90" s="1"/>
  <c r="AU39" i="90"/>
  <c r="AU75" i="90"/>
  <c r="AU76" i="90" s="1"/>
  <c r="AV39" i="90"/>
  <c r="AW77" i="90"/>
  <c r="AW89" i="90"/>
  <c r="AV81" i="90"/>
  <c r="AV83" i="90" s="1"/>
  <c r="AV84" i="90" s="1"/>
  <c r="AV86" i="90" s="1"/>
  <c r="AV87" i="90" s="1"/>
  <c r="AV76" i="90"/>
  <c r="AW38" i="90"/>
  <c r="AK25" i="102"/>
  <c r="C74" i="96"/>
  <c r="D30" i="96"/>
  <c r="AP20" i="96"/>
  <c r="BM74" i="90" l="1"/>
  <c r="BM49" i="90"/>
  <c r="BM37" i="90"/>
  <c r="BM78" i="90"/>
  <c r="BM73" i="90"/>
  <c r="BM67" i="90"/>
  <c r="BM45" i="90"/>
  <c r="BM36" i="90"/>
  <c r="BM27" i="90"/>
  <c r="BM19" i="90"/>
  <c r="BM11" i="90"/>
  <c r="BM72" i="90"/>
  <c r="BM69" i="90"/>
  <c r="BM47" i="90"/>
  <c r="BM35" i="90"/>
  <c r="BM29" i="90"/>
  <c r="BM21" i="90"/>
  <c r="BM13" i="90"/>
  <c r="BM71" i="90"/>
  <c r="BM40" i="90"/>
  <c r="BM34" i="90"/>
  <c r="BM31" i="90"/>
  <c r="BM23" i="90"/>
  <c r="BM15" i="90"/>
  <c r="BM9" i="90"/>
  <c r="BM43" i="90"/>
  <c r="BM18" i="90"/>
  <c r="BM55" i="90"/>
  <c r="BM42" i="90"/>
  <c r="BM14" i="90"/>
  <c r="BM50" i="90"/>
  <c r="BM28" i="90"/>
  <c r="BM65" i="90"/>
  <c r="BM44" i="90"/>
  <c r="BM63" i="90"/>
  <c r="BM24" i="90"/>
  <c r="BM60" i="90"/>
  <c r="BM30" i="90"/>
  <c r="BM12" i="90"/>
  <c r="BM62" i="90"/>
  <c r="BM51" i="90"/>
  <c r="BM66" i="90"/>
  <c r="BM64" i="90"/>
  <c r="BM70" i="90"/>
  <c r="BM68" i="90"/>
  <c r="BM17" i="90"/>
  <c r="BM79" i="90"/>
  <c r="BM26" i="90"/>
  <c r="BM59" i="90"/>
  <c r="BM16" i="90"/>
  <c r="BM56" i="90"/>
  <c r="BM22" i="90"/>
  <c r="BM57" i="90"/>
  <c r="BM58" i="90"/>
  <c r="BM25" i="90"/>
  <c r="BM61" i="90"/>
  <c r="BM46" i="90"/>
  <c r="BM48" i="90"/>
  <c r="BM52" i="90"/>
  <c r="BM10" i="90"/>
  <c r="BM53" i="90"/>
  <c r="BM32" i="90"/>
  <c r="BM20" i="90"/>
  <c r="BM77" i="90"/>
  <c r="BM8" i="90"/>
  <c r="BM54" i="90"/>
  <c r="BM41" i="90"/>
  <c r="BM38" i="90"/>
  <c r="BM75" i="90"/>
  <c r="BM39" i="90"/>
  <c r="BM76" i="90"/>
  <c r="BH52" i="90"/>
  <c r="BH73" i="90"/>
  <c r="BH55" i="90"/>
  <c r="BH44" i="90"/>
  <c r="BH36" i="90"/>
  <c r="BH22" i="90"/>
  <c r="BH15" i="90"/>
  <c r="BH11" i="90"/>
  <c r="BH53" i="90"/>
  <c r="BH48" i="90"/>
  <c r="BH12" i="90"/>
  <c r="BH51" i="90"/>
  <c r="BH72" i="90"/>
  <c r="BH50" i="90"/>
  <c r="BH42" i="90"/>
  <c r="BH35" i="90"/>
  <c r="BH20" i="90"/>
  <c r="BH14" i="90"/>
  <c r="BH10" i="90"/>
  <c r="BH56" i="90"/>
  <c r="BH32" i="90"/>
  <c r="BH78" i="90"/>
  <c r="BH71" i="90"/>
  <c r="BH49" i="90"/>
  <c r="BH40" i="90"/>
  <c r="BH34" i="90"/>
  <c r="BH17" i="90"/>
  <c r="BH13" i="90"/>
  <c r="BH9" i="90"/>
  <c r="BH74" i="90"/>
  <c r="BH37" i="90"/>
  <c r="BH16" i="90"/>
  <c r="BH18" i="90"/>
  <c r="BH27" i="90"/>
  <c r="BH60" i="90"/>
  <c r="BH45" i="90"/>
  <c r="BH43" i="90"/>
  <c r="BH65" i="90"/>
  <c r="BH21" i="90"/>
  <c r="BH62" i="90"/>
  <c r="BH59" i="90"/>
  <c r="BH47" i="90"/>
  <c r="BH25" i="90"/>
  <c r="BH70" i="90"/>
  <c r="BH23" i="90"/>
  <c r="BH28" i="90"/>
  <c r="BH67" i="90"/>
  <c r="BH63" i="90"/>
  <c r="BH31" i="90"/>
  <c r="BH64" i="90"/>
  <c r="BH69" i="90"/>
  <c r="BH66" i="90"/>
  <c r="BH19" i="90"/>
  <c r="BH46" i="90"/>
  <c r="BH68" i="90"/>
  <c r="BH24" i="90"/>
  <c r="BH57" i="90"/>
  <c r="BH30" i="90"/>
  <c r="BH29" i="90"/>
  <c r="BH54" i="90"/>
  <c r="BH61" i="90"/>
  <c r="BH58" i="90"/>
  <c r="BH41" i="90"/>
  <c r="BH8" i="90"/>
  <c r="BH26" i="90"/>
  <c r="BH38" i="90"/>
  <c r="BH39" i="90"/>
  <c r="BH75" i="90"/>
  <c r="BH76" i="90"/>
  <c r="BC49" i="90"/>
  <c r="BC46" i="90"/>
  <c r="BC44" i="90"/>
  <c r="BC42" i="90"/>
  <c r="BC40" i="90"/>
  <c r="BC34" i="90"/>
  <c r="BC74" i="90"/>
  <c r="BC48" i="90"/>
  <c r="BC37" i="90"/>
  <c r="BC9" i="90"/>
  <c r="BC78" i="90"/>
  <c r="BC72" i="90"/>
  <c r="BC45" i="90"/>
  <c r="BC36" i="90"/>
  <c r="BC35" i="90"/>
  <c r="BC73" i="90"/>
  <c r="BC43" i="90"/>
  <c r="BC57" i="90"/>
  <c r="BC12" i="90"/>
  <c r="BC32" i="90"/>
  <c r="BC15" i="90"/>
  <c r="BC31" i="90"/>
  <c r="BC64" i="90"/>
  <c r="BC17" i="90"/>
  <c r="BC33" i="90"/>
  <c r="BC66" i="90"/>
  <c r="BC14" i="90"/>
  <c r="BC30" i="90"/>
  <c r="BC63" i="90"/>
  <c r="BC51" i="90"/>
  <c r="BC61" i="90"/>
  <c r="BC20" i="90"/>
  <c r="BC19" i="90"/>
  <c r="BC53" i="90"/>
  <c r="BC68" i="90"/>
  <c r="BC21" i="90"/>
  <c r="BC50" i="90"/>
  <c r="BC70" i="90"/>
  <c r="BC18" i="90"/>
  <c r="BC52" i="90"/>
  <c r="BC67" i="90"/>
  <c r="BC65" i="90"/>
  <c r="BC69" i="90"/>
  <c r="BC28" i="90"/>
  <c r="BC27" i="90"/>
  <c r="BC29" i="90"/>
  <c r="BC26" i="90"/>
  <c r="BC56" i="90"/>
  <c r="BC58" i="90"/>
  <c r="BC55" i="90"/>
  <c r="BC11" i="90"/>
  <c r="BC60" i="90"/>
  <c r="BC13" i="90"/>
  <c r="BC62" i="90"/>
  <c r="BC10" i="90"/>
  <c r="BC59" i="90"/>
  <c r="BC47" i="90"/>
  <c r="BC25" i="90"/>
  <c r="BC71" i="90"/>
  <c r="BC22" i="90"/>
  <c r="BC24" i="90"/>
  <c r="BC23" i="90"/>
  <c r="BC16" i="90"/>
  <c r="BC41" i="90"/>
  <c r="BC54" i="90"/>
  <c r="BC38" i="90"/>
  <c r="BC8" i="90"/>
  <c r="BC75" i="90"/>
  <c r="BC39" i="90"/>
  <c r="BC76" i="90"/>
  <c r="AX79" i="90"/>
  <c r="AX71" i="90"/>
  <c r="AX67" i="90"/>
  <c r="AX63" i="90"/>
  <c r="AX59" i="90"/>
  <c r="AX55" i="90"/>
  <c r="AX51" i="90"/>
  <c r="AX43" i="90"/>
  <c r="AX35" i="90"/>
  <c r="AX31" i="90"/>
  <c r="AX27" i="90"/>
  <c r="AX23" i="90"/>
  <c r="AX19" i="90"/>
  <c r="AX15" i="90"/>
  <c r="AX11" i="90"/>
  <c r="AX72" i="90"/>
  <c r="AX60" i="90"/>
  <c r="AX44" i="90"/>
  <c r="AX32" i="90"/>
  <c r="AX20" i="90"/>
  <c r="AX8" i="90"/>
  <c r="AX78" i="90"/>
  <c r="AX74" i="90"/>
  <c r="AX70" i="90"/>
  <c r="AX66" i="90"/>
  <c r="AX62" i="90"/>
  <c r="AX58" i="90"/>
  <c r="AX54" i="90"/>
  <c r="AX50" i="90"/>
  <c r="AX46" i="90"/>
  <c r="AX42" i="90"/>
  <c r="AX38" i="90"/>
  <c r="AX34" i="90"/>
  <c r="AX30" i="90"/>
  <c r="AX26" i="90"/>
  <c r="AX22" i="90"/>
  <c r="AX18" i="90"/>
  <c r="AX14" i="90"/>
  <c r="AX10" i="90"/>
  <c r="AX68" i="90"/>
  <c r="AX56" i="90"/>
  <c r="AX48" i="90"/>
  <c r="AX36" i="90"/>
  <c r="AX24" i="90"/>
  <c r="AX12" i="90"/>
  <c r="AX77" i="90"/>
  <c r="AX73" i="90"/>
  <c r="AX69" i="90"/>
  <c r="AX65" i="90"/>
  <c r="AX61" i="90"/>
  <c r="AX57" i="90"/>
  <c r="AX53" i="90"/>
  <c r="AX49" i="90"/>
  <c r="AX45" i="90"/>
  <c r="AX37" i="90"/>
  <c r="AX33" i="90"/>
  <c r="AX29" i="90"/>
  <c r="AX25" i="90"/>
  <c r="AX21" i="90"/>
  <c r="AX17" i="90"/>
  <c r="AX13" i="90"/>
  <c r="AX9" i="90"/>
  <c r="AX64" i="90"/>
  <c r="AX52" i="90"/>
  <c r="AX40" i="90"/>
  <c r="AX28" i="90"/>
  <c r="AX16" i="90"/>
  <c r="AX47" i="90"/>
  <c r="AU81" i="90"/>
  <c r="AU83" i="90" s="1"/>
  <c r="AU84" i="90" s="1"/>
  <c r="AU86" i="90" s="1"/>
  <c r="AU87" i="90" s="1"/>
  <c r="AX41" i="90"/>
  <c r="AW75" i="90"/>
  <c r="AX75" i="90" s="1"/>
  <c r="AW39" i="90"/>
  <c r="AX39" i="90" s="1"/>
  <c r="AL12" i="102"/>
  <c r="AW76" i="90" l="1"/>
  <c r="AX76" i="90" s="1"/>
  <c r="AW81" i="90"/>
  <c r="AW83" i="90" s="1"/>
  <c r="AW84" i="90" s="1"/>
  <c r="AW86" i="90" s="1"/>
  <c r="AW87" i="90" s="1"/>
  <c r="AK63" i="102"/>
  <c r="AK6" i="102" l="1"/>
  <c r="BJ6" i="102" s="1"/>
  <c r="BL99" i="102" s="1"/>
  <c r="Q6" i="108"/>
  <c r="AP6" i="108" s="1"/>
  <c r="AR6" i="108" l="1"/>
  <c r="AR5" i="108" s="1"/>
  <c r="AP5" i="108"/>
  <c r="AV79" i="95"/>
  <c r="AU79" i="95"/>
  <c r="AW79" i="95" s="1"/>
  <c r="AV78" i="95"/>
  <c r="AU78" i="95"/>
  <c r="AV71" i="95"/>
  <c r="AU71" i="95"/>
  <c r="AV70" i="95"/>
  <c r="AU70" i="95"/>
  <c r="AV69" i="95"/>
  <c r="AU69" i="95"/>
  <c r="AV68" i="95"/>
  <c r="AU68" i="95"/>
  <c r="AV67" i="95"/>
  <c r="AU67" i="95"/>
  <c r="AV66" i="95"/>
  <c r="AU66" i="95"/>
  <c r="AV65" i="95"/>
  <c r="AU65" i="95"/>
  <c r="AV64" i="95"/>
  <c r="AU64" i="95"/>
  <c r="AV62" i="95"/>
  <c r="AU62" i="95"/>
  <c r="AV61" i="95"/>
  <c r="AU61" i="95"/>
  <c r="AV60" i="95"/>
  <c r="AV59" i="95"/>
  <c r="AV57" i="95"/>
  <c r="AU57" i="95"/>
  <c r="AV56" i="95"/>
  <c r="AU56" i="95"/>
  <c r="AV55" i="95"/>
  <c r="AU55" i="95"/>
  <c r="AV52" i="95"/>
  <c r="AU52" i="95"/>
  <c r="AV51" i="95"/>
  <c r="AU51" i="95"/>
  <c r="AV33" i="95"/>
  <c r="AU33" i="95"/>
  <c r="AV48" i="95"/>
  <c r="AU48" i="95"/>
  <c r="AV47" i="95"/>
  <c r="AU47" i="95"/>
  <c r="AV46" i="95"/>
  <c r="AU46" i="95"/>
  <c r="AV45" i="95"/>
  <c r="AU45" i="95"/>
  <c r="AV44" i="95"/>
  <c r="AU44" i="95"/>
  <c r="AV43" i="95"/>
  <c r="AU43" i="95"/>
  <c r="AV42" i="95"/>
  <c r="AU42" i="95"/>
  <c r="AV32" i="95"/>
  <c r="AU32" i="95"/>
  <c r="AV30" i="95"/>
  <c r="AU30" i="95"/>
  <c r="AU29" i="95"/>
  <c r="AV28" i="95"/>
  <c r="AV27" i="95"/>
  <c r="AV26" i="95"/>
  <c r="AV25" i="95"/>
  <c r="AV24" i="95"/>
  <c r="AV23" i="95"/>
  <c r="AV22" i="95"/>
  <c r="AV21" i="95"/>
  <c r="AV20" i="95"/>
  <c r="AU20" i="95"/>
  <c r="AV19" i="95"/>
  <c r="AV18" i="95"/>
  <c r="AV17" i="95"/>
  <c r="AU17" i="95"/>
  <c r="AU16" i="95"/>
  <c r="AV15" i="95"/>
  <c r="AU15" i="95"/>
  <c r="AV14" i="95"/>
  <c r="AU14" i="95"/>
  <c r="AV13" i="95"/>
  <c r="AU13" i="95"/>
  <c r="AU12" i="95"/>
  <c r="AV11" i="95"/>
  <c r="AU11" i="95"/>
  <c r="AV10" i="95"/>
  <c r="AU10" i="95"/>
  <c r="AV9" i="95"/>
  <c r="AU9" i="95"/>
  <c r="AU7" i="95"/>
  <c r="AV7" i="95"/>
  <c r="AV6" i="95"/>
  <c r="AR85" i="95"/>
  <c r="AR82" i="95"/>
  <c r="AR78" i="95"/>
  <c r="AQ77" i="95"/>
  <c r="AP77" i="95"/>
  <c r="AR74" i="95"/>
  <c r="AR73" i="95" s="1"/>
  <c r="AQ73" i="95"/>
  <c r="AP73" i="95"/>
  <c r="AR71" i="95"/>
  <c r="AR70" i="95"/>
  <c r="AR69" i="95"/>
  <c r="AR68" i="95"/>
  <c r="AR67" i="95"/>
  <c r="AR66" i="95"/>
  <c r="AR65" i="95"/>
  <c r="AR64" i="95"/>
  <c r="AR63" i="95"/>
  <c r="AR62" i="95"/>
  <c r="AR61" i="95"/>
  <c r="AR60" i="95"/>
  <c r="AR59" i="95"/>
  <c r="AR58" i="95"/>
  <c r="AR57" i="95"/>
  <c r="AR56" i="95"/>
  <c r="AR55" i="95"/>
  <c r="AQ54" i="95"/>
  <c r="AP54" i="95"/>
  <c r="AR52" i="95"/>
  <c r="AR51" i="95"/>
  <c r="AQ50" i="95"/>
  <c r="AP50" i="95"/>
  <c r="AR48" i="95"/>
  <c r="AR47" i="95"/>
  <c r="AR46" i="95"/>
  <c r="AR45" i="95"/>
  <c r="AR44" i="95"/>
  <c r="AR43" i="95"/>
  <c r="AR42" i="95"/>
  <c r="AQ41" i="95"/>
  <c r="AP41" i="95"/>
  <c r="AR36" i="95"/>
  <c r="AR35" i="95" s="1"/>
  <c r="AQ35" i="95"/>
  <c r="AP35" i="95"/>
  <c r="AR33" i="95"/>
  <c r="AR32" i="95"/>
  <c r="AR31" i="95"/>
  <c r="AR30" i="95"/>
  <c r="AR29" i="95"/>
  <c r="AR28" i="95"/>
  <c r="AR27" i="95"/>
  <c r="AR26" i="95"/>
  <c r="AR25" i="95"/>
  <c r="AR24" i="95"/>
  <c r="AR23" i="95"/>
  <c r="AP8" i="95"/>
  <c r="AR21" i="95"/>
  <c r="AR20" i="95"/>
  <c r="AR19" i="95"/>
  <c r="AR18" i="95"/>
  <c r="AR17" i="95"/>
  <c r="AR16" i="95"/>
  <c r="AR15" i="95"/>
  <c r="AR14" i="95"/>
  <c r="AR13" i="95"/>
  <c r="AR12" i="95"/>
  <c r="AR11" i="95"/>
  <c r="AR10" i="95"/>
  <c r="AR9" i="95"/>
  <c r="AQ8" i="95"/>
  <c r="AR7" i="95"/>
  <c r="AR6" i="95"/>
  <c r="AR5" i="95" s="1"/>
  <c r="AQ5" i="95"/>
  <c r="AP5" i="95"/>
  <c r="BG22" i="91"/>
  <c r="BG23" i="91"/>
  <c r="BG24" i="91"/>
  <c r="AR85" i="86"/>
  <c r="AR82" i="86"/>
  <c r="AR78" i="86"/>
  <c r="AQ77" i="86"/>
  <c r="AP77" i="86"/>
  <c r="AR74" i="86"/>
  <c r="AR73" i="86" s="1"/>
  <c r="AQ73" i="86"/>
  <c r="AP73" i="86"/>
  <c r="AR71" i="86"/>
  <c r="AR70" i="86"/>
  <c r="AR69" i="86"/>
  <c r="AR68" i="86"/>
  <c r="AR67" i="86"/>
  <c r="AR66" i="86"/>
  <c r="AR65" i="86"/>
  <c r="AR64" i="86"/>
  <c r="AR63" i="86"/>
  <c r="AR62" i="86"/>
  <c r="AR61" i="86"/>
  <c r="AR60" i="86"/>
  <c r="AR59" i="86"/>
  <c r="AR58" i="86"/>
  <c r="AR57" i="86"/>
  <c r="AR56" i="86"/>
  <c r="AR55" i="86"/>
  <c r="AQ54" i="86"/>
  <c r="AP54" i="86"/>
  <c r="AR52" i="86"/>
  <c r="AR51" i="86"/>
  <c r="AQ50" i="86"/>
  <c r="AP50" i="86"/>
  <c r="AR48" i="86"/>
  <c r="AR47" i="86"/>
  <c r="AR46" i="86"/>
  <c r="AR45" i="86"/>
  <c r="AR44" i="86"/>
  <c r="AR43" i="86"/>
  <c r="AR42" i="86"/>
  <c r="AQ41" i="86"/>
  <c r="AP41" i="86"/>
  <c r="AR36" i="86"/>
  <c r="AR35" i="86" s="1"/>
  <c r="AQ35" i="86"/>
  <c r="AP35" i="86"/>
  <c r="AR33" i="86"/>
  <c r="AR32" i="86"/>
  <c r="AR31" i="86"/>
  <c r="AR30" i="86"/>
  <c r="AR29" i="86"/>
  <c r="AR28" i="86"/>
  <c r="AR27" i="86"/>
  <c r="AR26" i="86"/>
  <c r="AR25" i="86"/>
  <c r="AR24" i="86"/>
  <c r="AR21" i="86"/>
  <c r="AR20" i="86"/>
  <c r="AR19" i="86"/>
  <c r="AR18" i="86"/>
  <c r="AR17" i="86"/>
  <c r="AR16" i="86"/>
  <c r="AR15" i="86"/>
  <c r="AR14" i="86"/>
  <c r="AR13" i="86"/>
  <c r="AR12" i="86"/>
  <c r="AR11" i="86"/>
  <c r="AR10" i="86"/>
  <c r="AR9" i="86"/>
  <c r="AQ8" i="86"/>
  <c r="AP8" i="86"/>
  <c r="AR7" i="86"/>
  <c r="AR6" i="86"/>
  <c r="AR5" i="86" s="1"/>
  <c r="AQ5" i="86"/>
  <c r="AP5" i="86"/>
  <c r="AM85" i="99"/>
  <c r="AM82" i="99"/>
  <c r="AM78" i="99"/>
  <c r="AL77" i="99"/>
  <c r="AK77" i="99"/>
  <c r="AM74" i="99"/>
  <c r="AM73" i="99" s="1"/>
  <c r="AL73" i="99"/>
  <c r="AK73" i="99"/>
  <c r="AM71" i="99"/>
  <c r="AM70" i="99"/>
  <c r="AM69" i="99"/>
  <c r="AM68" i="99"/>
  <c r="AM67" i="99"/>
  <c r="AM66" i="99"/>
  <c r="AM65" i="99"/>
  <c r="AM64" i="99"/>
  <c r="AM63" i="99"/>
  <c r="AM62" i="99"/>
  <c r="AM61" i="99"/>
  <c r="AM60" i="99"/>
  <c r="AM59" i="99"/>
  <c r="AM58" i="99"/>
  <c r="AM57" i="99"/>
  <c r="AM56" i="99"/>
  <c r="AM55" i="99"/>
  <c r="AL54" i="99"/>
  <c r="AK54" i="99"/>
  <c r="AM52" i="99"/>
  <c r="AM51" i="99"/>
  <c r="AM50" i="99" s="1"/>
  <c r="AL50" i="99"/>
  <c r="AK50" i="99"/>
  <c r="AM48" i="99"/>
  <c r="AM47" i="99"/>
  <c r="AM46" i="99"/>
  <c r="AM45" i="99"/>
  <c r="AM44" i="99"/>
  <c r="AM43" i="99"/>
  <c r="AM42" i="99"/>
  <c r="AM41" i="99" s="1"/>
  <c r="AL41" i="99"/>
  <c r="AK41" i="99"/>
  <c r="AM36" i="99"/>
  <c r="AM35" i="99" s="1"/>
  <c r="AL35" i="99"/>
  <c r="AK35" i="99"/>
  <c r="AM33" i="99"/>
  <c r="AM32" i="99"/>
  <c r="AM31" i="99"/>
  <c r="AM30" i="99"/>
  <c r="AM29" i="99"/>
  <c r="AM28" i="99"/>
  <c r="AM27" i="99"/>
  <c r="AM26" i="99"/>
  <c r="AM25" i="99"/>
  <c r="AM24" i="99"/>
  <c r="AM23" i="99"/>
  <c r="AM22" i="99"/>
  <c r="AM21" i="99"/>
  <c r="AM20" i="99"/>
  <c r="AM19" i="99"/>
  <c r="AM18" i="99"/>
  <c r="AM17" i="99"/>
  <c r="AM16" i="99"/>
  <c r="AM15" i="99"/>
  <c r="AM14" i="99"/>
  <c r="AM13" i="99"/>
  <c r="AM12" i="99"/>
  <c r="AM11" i="99"/>
  <c r="AM10" i="99"/>
  <c r="AM9" i="99"/>
  <c r="AL8" i="99"/>
  <c r="AK8" i="99"/>
  <c r="AM7" i="99"/>
  <c r="AM6" i="99"/>
  <c r="AM5" i="99" s="1"/>
  <c r="AL5" i="99"/>
  <c r="AK5" i="99"/>
  <c r="AR85" i="87"/>
  <c r="AR82" i="87"/>
  <c r="AQ81" i="87"/>
  <c r="AQ83" i="87" s="1"/>
  <c r="AQ84" i="87" s="1"/>
  <c r="AP81" i="87"/>
  <c r="AP83" i="87" s="1"/>
  <c r="AP84" i="87" s="1"/>
  <c r="AR78" i="87"/>
  <c r="AR77" i="87" s="1"/>
  <c r="AR74" i="87"/>
  <c r="AR73" i="87" s="1"/>
  <c r="AR71" i="87"/>
  <c r="AR70" i="87"/>
  <c r="AR69" i="87"/>
  <c r="AR68" i="87"/>
  <c r="AR67" i="87"/>
  <c r="AR66" i="87"/>
  <c r="AR65" i="87"/>
  <c r="AR64" i="87"/>
  <c r="AR63" i="87"/>
  <c r="AR62" i="87"/>
  <c r="AR61" i="87"/>
  <c r="AR60" i="87"/>
  <c r="AR59" i="87"/>
  <c r="AR58" i="87"/>
  <c r="AR57" i="87"/>
  <c r="AR56" i="87"/>
  <c r="AR55" i="87"/>
  <c r="AR52" i="87"/>
  <c r="AR51" i="87"/>
  <c r="AR48" i="87"/>
  <c r="AR47" i="87"/>
  <c r="AR46" i="87"/>
  <c r="AR45" i="87"/>
  <c r="AR44" i="87"/>
  <c r="AR43" i="87"/>
  <c r="AR42" i="87"/>
  <c r="AR36" i="87"/>
  <c r="AR35" i="87" s="1"/>
  <c r="AR33" i="87"/>
  <c r="AR32" i="87"/>
  <c r="AR31" i="87"/>
  <c r="AR30" i="87"/>
  <c r="AR29" i="87"/>
  <c r="AR28" i="87"/>
  <c r="AR27" i="87"/>
  <c r="AR26" i="87"/>
  <c r="AR25" i="87"/>
  <c r="AR24" i="87"/>
  <c r="AR21" i="87"/>
  <c r="AR20" i="87"/>
  <c r="AR19" i="87"/>
  <c r="AR18" i="87"/>
  <c r="AR17" i="87"/>
  <c r="AR16" i="87"/>
  <c r="AR15" i="87"/>
  <c r="AR14" i="87"/>
  <c r="AR13" i="87"/>
  <c r="AR12" i="87"/>
  <c r="AR11" i="87"/>
  <c r="AR10" i="87"/>
  <c r="AR9" i="87"/>
  <c r="AR7" i="87"/>
  <c r="AR6" i="87"/>
  <c r="AR5" i="87" s="1"/>
  <c r="W5" i="107"/>
  <c r="V5" i="107"/>
  <c r="R5" i="108"/>
  <c r="Q5" i="108"/>
  <c r="BF5" i="91"/>
  <c r="BE5" i="91"/>
  <c r="AG5" i="91"/>
  <c r="AF5" i="91"/>
  <c r="AH85" i="91"/>
  <c r="AH82" i="91"/>
  <c r="AH78" i="91"/>
  <c r="AG77" i="91"/>
  <c r="AF77" i="91"/>
  <c r="AH74" i="91"/>
  <c r="AH73" i="91" s="1"/>
  <c r="AG73" i="91"/>
  <c r="AF73" i="91"/>
  <c r="AH71" i="91"/>
  <c r="AH70" i="91"/>
  <c r="AH69" i="91"/>
  <c r="AH68" i="91"/>
  <c r="AH67" i="91"/>
  <c r="AH66" i="91"/>
  <c r="AH65" i="91"/>
  <c r="AH64" i="91"/>
  <c r="AH63" i="91"/>
  <c r="AH62" i="91"/>
  <c r="AH61" i="91"/>
  <c r="AH60" i="91"/>
  <c r="AH59" i="91"/>
  <c r="AH58" i="91"/>
  <c r="AH57" i="91"/>
  <c r="AH56" i="91"/>
  <c r="AH55" i="91"/>
  <c r="AG54" i="91"/>
  <c r="AF54" i="91"/>
  <c r="AH52" i="91"/>
  <c r="AH51" i="91"/>
  <c r="AG50" i="91"/>
  <c r="AF50" i="91"/>
  <c r="AH48" i="91"/>
  <c r="AH47" i="91"/>
  <c r="AH46" i="91"/>
  <c r="AH45" i="91"/>
  <c r="AH44" i="91"/>
  <c r="AH43" i="91"/>
  <c r="AH42" i="91"/>
  <c r="AG41" i="91"/>
  <c r="AF41" i="91"/>
  <c r="AH36" i="91"/>
  <c r="AH35" i="91" s="1"/>
  <c r="AG35" i="91"/>
  <c r="AF35" i="91"/>
  <c r="AH33" i="91"/>
  <c r="AH32" i="91"/>
  <c r="AH31" i="91"/>
  <c r="AH30" i="91"/>
  <c r="AH29" i="91"/>
  <c r="AF8" i="91"/>
  <c r="AH27" i="91"/>
  <c r="AH18" i="91"/>
  <c r="AH17" i="91"/>
  <c r="AH16" i="91"/>
  <c r="AH15" i="91"/>
  <c r="AH14" i="91"/>
  <c r="AH13" i="91"/>
  <c r="AH12" i="91"/>
  <c r="AH11" i="91"/>
  <c r="AH10" i="91"/>
  <c r="AH9" i="91"/>
  <c r="AG8" i="91"/>
  <c r="AH7" i="91"/>
  <c r="AH6" i="91"/>
  <c r="AM47" i="102"/>
  <c r="BK5" i="102"/>
  <c r="BJ5" i="102"/>
  <c r="AL5" i="102"/>
  <c r="AK5" i="102"/>
  <c r="AM85" i="102"/>
  <c r="AM82" i="102"/>
  <c r="AM78" i="102"/>
  <c r="AL77" i="102"/>
  <c r="AK77" i="102"/>
  <c r="AM74" i="102"/>
  <c r="AM73" i="102" s="1"/>
  <c r="AL73" i="102"/>
  <c r="AK73" i="102"/>
  <c r="AM71" i="102"/>
  <c r="AM70" i="102"/>
  <c r="AM69" i="102"/>
  <c r="AM68" i="102"/>
  <c r="AM67" i="102"/>
  <c r="AM66" i="102"/>
  <c r="AL54" i="102"/>
  <c r="AM65" i="102"/>
  <c r="AM64" i="102"/>
  <c r="AM63" i="102"/>
  <c r="AM62" i="102"/>
  <c r="AM61" i="102"/>
  <c r="AM60" i="102"/>
  <c r="AM59" i="102"/>
  <c r="AM58" i="102"/>
  <c r="AM57" i="102"/>
  <c r="AM56" i="102"/>
  <c r="AM55" i="102"/>
  <c r="AK54" i="102"/>
  <c r="AM52" i="102"/>
  <c r="AM51" i="102"/>
  <c r="AL50" i="102"/>
  <c r="AK50" i="102"/>
  <c r="AM48" i="102"/>
  <c r="AM46" i="102"/>
  <c r="AM45" i="102"/>
  <c r="AM44" i="102"/>
  <c r="AM43" i="102"/>
  <c r="AM42" i="102"/>
  <c r="AL41" i="102"/>
  <c r="AK41" i="102"/>
  <c r="AM36" i="102"/>
  <c r="AM35" i="102" s="1"/>
  <c r="AL35" i="102"/>
  <c r="AK35" i="102"/>
  <c r="AM33" i="102"/>
  <c r="AM32" i="102"/>
  <c r="AM31" i="102"/>
  <c r="AM30" i="102"/>
  <c r="AM29" i="102"/>
  <c r="AM28" i="102"/>
  <c r="AM27" i="102"/>
  <c r="AM26" i="102"/>
  <c r="AM25" i="102"/>
  <c r="AM24" i="102"/>
  <c r="AM23" i="102"/>
  <c r="AK8" i="102"/>
  <c r="AM21" i="102"/>
  <c r="AM20" i="102"/>
  <c r="AM19" i="102"/>
  <c r="AM18" i="102"/>
  <c r="AM17" i="102"/>
  <c r="AM16" i="102"/>
  <c r="AM15" i="102"/>
  <c r="AM14" i="102"/>
  <c r="AM13" i="102"/>
  <c r="AM12" i="102"/>
  <c r="AM11" i="102"/>
  <c r="AM10" i="102"/>
  <c r="AM9" i="102"/>
  <c r="AL8" i="102"/>
  <c r="AM7" i="102"/>
  <c r="AM6" i="102"/>
  <c r="AM5" i="102" s="1"/>
  <c r="AR50" i="86" l="1"/>
  <c r="AR79" i="86"/>
  <c r="AR77" i="86" s="1"/>
  <c r="AR50" i="95"/>
  <c r="AR41" i="86"/>
  <c r="AR8" i="86"/>
  <c r="AR38" i="86" s="1"/>
  <c r="AM54" i="99"/>
  <c r="BA5" i="86"/>
  <c r="AR54" i="87"/>
  <c r="AR54" i="86"/>
  <c r="AR50" i="87"/>
  <c r="AP38" i="86"/>
  <c r="AP75" i="86" s="1"/>
  <c r="AP76" i="86" s="1"/>
  <c r="BB7" i="86"/>
  <c r="AR8" i="87"/>
  <c r="AR41" i="87"/>
  <c r="AH5" i="91"/>
  <c r="AH41" i="91"/>
  <c r="AR54" i="95"/>
  <c r="AP38" i="95"/>
  <c r="AP75" i="95" s="1"/>
  <c r="AR41" i="95"/>
  <c r="AR79" i="95"/>
  <c r="AR77" i="95" s="1"/>
  <c r="AQ38" i="95"/>
  <c r="AQ75" i="95" s="1"/>
  <c r="AP39" i="95"/>
  <c r="AR22" i="95"/>
  <c r="AQ38" i="86"/>
  <c r="AM8" i="99"/>
  <c r="AK38" i="99"/>
  <c r="AK75" i="99" s="1"/>
  <c r="AL38" i="99"/>
  <c r="AG38" i="91"/>
  <c r="AG75" i="91" s="1"/>
  <c r="AF38" i="91"/>
  <c r="AH50" i="91"/>
  <c r="AH54" i="91"/>
  <c r="AH28" i="91"/>
  <c r="AH8" i="91" s="1"/>
  <c r="AM41" i="102"/>
  <c r="AK38" i="102"/>
  <c r="AK39" i="102" s="1"/>
  <c r="AL38" i="102"/>
  <c r="AL75" i="102" s="1"/>
  <c r="AM54" i="102"/>
  <c r="AM50" i="102"/>
  <c r="AM22" i="102"/>
  <c r="AQ54" i="90"/>
  <c r="AP54" i="90"/>
  <c r="AR53" i="90"/>
  <c r="AR52" i="90"/>
  <c r="AR51" i="90"/>
  <c r="AQ50" i="90"/>
  <c r="AP50" i="90"/>
  <c r="AQ41" i="90"/>
  <c r="AP41" i="90"/>
  <c r="AQ8" i="90"/>
  <c r="AP8" i="90"/>
  <c r="AR85" i="90"/>
  <c r="AR82" i="90"/>
  <c r="AQ77" i="90"/>
  <c r="AP77" i="90"/>
  <c r="AR71" i="90"/>
  <c r="AR70" i="90"/>
  <c r="AR69" i="90"/>
  <c r="AR68" i="90"/>
  <c r="AR67" i="90"/>
  <c r="AR66" i="90"/>
  <c r="AR65" i="90"/>
  <c r="AR64" i="90"/>
  <c r="AR63" i="90"/>
  <c r="AR62" i="90"/>
  <c r="AR61" i="90"/>
  <c r="AR60" i="90"/>
  <c r="AR59" i="90"/>
  <c r="AR58" i="90"/>
  <c r="AR57" i="90"/>
  <c r="AR56" i="90"/>
  <c r="AR55" i="90"/>
  <c r="AR48" i="90"/>
  <c r="AR47" i="90"/>
  <c r="AR46" i="90"/>
  <c r="AR45" i="90"/>
  <c r="AR44" i="90"/>
  <c r="AR43" i="90"/>
  <c r="AR42" i="90"/>
  <c r="AR11" i="90"/>
  <c r="AR12" i="90"/>
  <c r="AR13" i="90"/>
  <c r="AR14" i="90"/>
  <c r="AR15" i="90"/>
  <c r="AR16" i="90"/>
  <c r="AR17" i="90"/>
  <c r="AR18" i="90"/>
  <c r="AR19" i="90"/>
  <c r="AR20" i="90"/>
  <c r="AR21" i="90"/>
  <c r="AR22" i="90"/>
  <c r="AR23" i="90"/>
  <c r="AR24" i="90"/>
  <c r="AR25" i="90"/>
  <c r="AR26" i="90"/>
  <c r="AR27" i="90"/>
  <c r="AR28" i="90"/>
  <c r="AR29" i="90"/>
  <c r="AR30" i="90"/>
  <c r="AR31" i="90"/>
  <c r="AR32" i="90"/>
  <c r="AR33" i="90"/>
  <c r="AR10" i="90"/>
  <c r="AR9" i="90"/>
  <c r="AP5" i="90"/>
  <c r="AQ5" i="90"/>
  <c r="AR6" i="90"/>
  <c r="AR5" i="90" s="1"/>
  <c r="AP5" i="96"/>
  <c r="AR85" i="96"/>
  <c r="AR82" i="96"/>
  <c r="AR78" i="96"/>
  <c r="AQ77" i="96"/>
  <c r="AP77" i="96"/>
  <c r="AR74" i="96"/>
  <c r="AR73" i="96" s="1"/>
  <c r="AQ73" i="96"/>
  <c r="AP73" i="96"/>
  <c r="AR71" i="96"/>
  <c r="AR70" i="96"/>
  <c r="AR69" i="96"/>
  <c r="AR68" i="96"/>
  <c r="AR67" i="96"/>
  <c r="AR66" i="96"/>
  <c r="AR65" i="96"/>
  <c r="AR64" i="96"/>
  <c r="AR63" i="96"/>
  <c r="AR62" i="96"/>
  <c r="AR61" i="96"/>
  <c r="AR60" i="96"/>
  <c r="AR59" i="96"/>
  <c r="AR58" i="96"/>
  <c r="AQ54" i="96"/>
  <c r="AR57" i="96"/>
  <c r="AR56" i="96"/>
  <c r="AR55" i="96"/>
  <c r="AP54" i="96"/>
  <c r="AR52" i="96"/>
  <c r="AR51" i="96"/>
  <c r="AQ50" i="96"/>
  <c r="AP50" i="96"/>
  <c r="AR48" i="96"/>
  <c r="AR47" i="96"/>
  <c r="AR46" i="96"/>
  <c r="AR45" i="96"/>
  <c r="AR44" i="96"/>
  <c r="AR43" i="96"/>
  <c r="AR42" i="96"/>
  <c r="AQ41" i="96"/>
  <c r="AP41" i="96"/>
  <c r="AR36" i="96"/>
  <c r="AR35" i="96" s="1"/>
  <c r="AQ35" i="96"/>
  <c r="AP35" i="96"/>
  <c r="AR33" i="96"/>
  <c r="AR32" i="96"/>
  <c r="AR31" i="96"/>
  <c r="AR30" i="96"/>
  <c r="AR29" i="96"/>
  <c r="AR28" i="96"/>
  <c r="AR27" i="96"/>
  <c r="AR26" i="96"/>
  <c r="AR25" i="96"/>
  <c r="AR24" i="96"/>
  <c r="AR23" i="96"/>
  <c r="AQ8" i="96"/>
  <c r="AR21" i="96"/>
  <c r="AR20" i="96"/>
  <c r="AR19" i="96"/>
  <c r="AR18" i="96"/>
  <c r="AR17" i="96"/>
  <c r="AR16" i="96"/>
  <c r="AR15" i="96"/>
  <c r="AR14" i="96"/>
  <c r="AR13" i="96"/>
  <c r="AR12" i="96"/>
  <c r="AR11" i="96"/>
  <c r="AR10" i="96"/>
  <c r="AR9" i="96"/>
  <c r="AP8" i="96"/>
  <c r="AR7" i="96"/>
  <c r="AR6" i="96"/>
  <c r="AQ5" i="96"/>
  <c r="AR89" i="86" l="1"/>
  <c r="AR93" i="86" s="1"/>
  <c r="AP38" i="96"/>
  <c r="AR41" i="96"/>
  <c r="AR5" i="96"/>
  <c r="AR89" i="87"/>
  <c r="AR50" i="90"/>
  <c r="AR38" i="87"/>
  <c r="AR75" i="87" s="1"/>
  <c r="AP81" i="86"/>
  <c r="AP83" i="86" s="1"/>
  <c r="AP84" i="86" s="1"/>
  <c r="AP86" i="86" s="1"/>
  <c r="AP87" i="86" s="1"/>
  <c r="AP39" i="86"/>
  <c r="AR41" i="90"/>
  <c r="AQ39" i="95"/>
  <c r="AM38" i="99"/>
  <c r="AG39" i="91"/>
  <c r="AP38" i="90"/>
  <c r="AP39" i="90" s="1"/>
  <c r="AQ38" i="90"/>
  <c r="AQ39" i="90" s="1"/>
  <c r="AR54" i="90"/>
  <c r="AR50" i="96"/>
  <c r="AR54" i="96"/>
  <c r="AK39" i="99"/>
  <c r="AR8" i="95"/>
  <c r="AQ81" i="95"/>
  <c r="AQ83" i="95" s="1"/>
  <c r="AQ84" i="95" s="1"/>
  <c r="AQ86" i="95" s="1"/>
  <c r="AQ87" i="95" s="1"/>
  <c r="AQ76" i="95"/>
  <c r="AP81" i="95"/>
  <c r="AP83" i="95" s="1"/>
  <c r="AP84" i="95" s="1"/>
  <c r="AP86" i="95" s="1"/>
  <c r="AP87" i="95" s="1"/>
  <c r="AP76" i="95"/>
  <c r="AR75" i="86"/>
  <c r="AR39" i="86"/>
  <c r="AQ39" i="86"/>
  <c r="AQ75" i="86"/>
  <c r="AL75" i="99"/>
  <c r="AL39" i="99"/>
  <c r="AM75" i="99"/>
  <c r="AM39" i="99"/>
  <c r="AK81" i="99"/>
  <c r="AK83" i="99" s="1"/>
  <c r="AK84" i="99" s="1"/>
  <c r="AK86" i="99" s="1"/>
  <c r="AK87" i="99" s="1"/>
  <c r="AK76" i="99"/>
  <c r="AF75" i="91"/>
  <c r="AF39" i="91"/>
  <c r="AG81" i="91"/>
  <c r="AG83" i="91" s="1"/>
  <c r="AG84" i="91" s="1"/>
  <c r="AG86" i="91" s="1"/>
  <c r="AG87" i="91" s="1"/>
  <c r="AG76" i="91"/>
  <c r="AK75" i="102"/>
  <c r="AK81" i="102" s="1"/>
  <c r="AK83" i="102" s="1"/>
  <c r="AK84" i="102" s="1"/>
  <c r="AK86" i="102" s="1"/>
  <c r="AK87" i="102" s="1"/>
  <c r="AL39" i="102"/>
  <c r="AL81" i="102"/>
  <c r="AL83" i="102" s="1"/>
  <c r="AL84" i="102" s="1"/>
  <c r="AL86" i="102" s="1"/>
  <c r="AL87" i="102" s="1"/>
  <c r="AL76" i="102"/>
  <c r="AM8" i="102"/>
  <c r="AR8" i="90"/>
  <c r="AR38" i="90" s="1"/>
  <c r="AR39" i="90" s="1"/>
  <c r="AQ38" i="96"/>
  <c r="AQ39" i="96" s="1"/>
  <c r="AP39" i="96"/>
  <c r="AP75" i="96"/>
  <c r="AR22" i="96"/>
  <c r="AR39" i="87" l="1"/>
  <c r="AQ75" i="90"/>
  <c r="AQ76" i="90" s="1"/>
  <c r="AP75" i="90"/>
  <c r="AR75" i="90"/>
  <c r="AQ75" i="96"/>
  <c r="AQ81" i="96" s="1"/>
  <c r="AQ83" i="96" s="1"/>
  <c r="AQ84" i="96" s="1"/>
  <c r="AQ86" i="96" s="1"/>
  <c r="AQ87" i="96" s="1"/>
  <c r="AK76" i="102"/>
  <c r="AR89" i="95"/>
  <c r="AR38" i="95"/>
  <c r="AQ76" i="86"/>
  <c r="AQ81" i="86"/>
  <c r="AQ83" i="86" s="1"/>
  <c r="AQ84" i="86" s="1"/>
  <c r="AQ86" i="86" s="1"/>
  <c r="AQ87" i="86" s="1"/>
  <c r="AR81" i="86"/>
  <c r="AR83" i="86" s="1"/>
  <c r="AR84" i="86" s="1"/>
  <c r="AR86" i="86" s="1"/>
  <c r="AR87" i="86" s="1"/>
  <c r="AR76" i="86"/>
  <c r="AM76" i="99"/>
  <c r="AL81" i="99"/>
  <c r="AL83" i="99" s="1"/>
  <c r="AL84" i="99" s="1"/>
  <c r="AL86" i="99" s="1"/>
  <c r="AL87" i="99" s="1"/>
  <c r="AL76" i="99"/>
  <c r="AR76" i="87"/>
  <c r="AR81" i="87"/>
  <c r="AR83" i="87" s="1"/>
  <c r="AR84" i="87" s="1"/>
  <c r="AR86" i="87" s="1"/>
  <c r="AR87" i="87" s="1"/>
  <c r="AH38" i="91"/>
  <c r="AF81" i="91"/>
  <c r="AF83" i="91" s="1"/>
  <c r="AF84" i="91" s="1"/>
  <c r="AF86" i="91" s="1"/>
  <c r="AF87" i="91" s="1"/>
  <c r="AF76" i="91"/>
  <c r="AM38" i="102"/>
  <c r="AP81" i="96"/>
  <c r="AP83" i="96" s="1"/>
  <c r="AP84" i="96" s="1"/>
  <c r="AP86" i="96" s="1"/>
  <c r="AP87" i="96" s="1"/>
  <c r="AP76" i="96"/>
  <c r="AR8" i="96"/>
  <c r="AQ81" i="90" l="1"/>
  <c r="AQ83" i="90" s="1"/>
  <c r="AQ84" i="90" s="1"/>
  <c r="AQ86" i="90" s="1"/>
  <c r="AQ87" i="90" s="1"/>
  <c r="AQ76" i="96"/>
  <c r="AP76" i="90"/>
  <c r="AP81" i="90"/>
  <c r="AP83" i="90" s="1"/>
  <c r="AP84" i="90" s="1"/>
  <c r="AP86" i="90" s="1"/>
  <c r="AP87" i="90" s="1"/>
  <c r="AR76" i="90"/>
  <c r="AR92" i="95"/>
  <c r="AR39" i="95"/>
  <c r="AR75" i="95"/>
  <c r="AH39" i="91"/>
  <c r="AH75" i="91"/>
  <c r="AM75" i="102"/>
  <c r="AM39" i="102"/>
  <c r="AR38" i="96"/>
  <c r="AR81" i="95" l="1"/>
  <c r="AR83" i="95" s="1"/>
  <c r="AR84" i="95" s="1"/>
  <c r="AR86" i="95" s="1"/>
  <c r="AR87" i="95" s="1"/>
  <c r="AR76" i="95"/>
  <c r="AH76" i="91"/>
  <c r="AM76" i="102"/>
  <c r="AR39" i="96"/>
  <c r="AR75" i="96"/>
  <c r="AR76" i="96" l="1"/>
  <c r="AF28" i="102"/>
  <c r="AK28" i="95"/>
  <c r="AK26" i="90"/>
  <c r="AK26" i="95"/>
  <c r="AK22" i="95" l="1"/>
  <c r="AF20" i="99" l="1"/>
  <c r="AM97" i="96" l="1"/>
  <c r="AK26" i="96"/>
  <c r="AK27" i="96"/>
  <c r="AB16" i="91" l="1"/>
  <c r="BF16" i="91" s="1"/>
  <c r="AL16" i="90" l="1"/>
  <c r="AG16" i="102"/>
  <c r="AB16" i="102"/>
  <c r="AL12" i="96" l="1"/>
  <c r="AG12" i="102" l="1"/>
  <c r="AF63" i="102" l="1"/>
  <c r="L18" i="108" l="1"/>
  <c r="AP18" i="108" s="1"/>
  <c r="AR18" i="108" l="1"/>
  <c r="AR8" i="108" s="1"/>
  <c r="AR38" i="108" s="1"/>
  <c r="AP8" i="108"/>
  <c r="AP38" i="108" s="1"/>
  <c r="AA26" i="91"/>
  <c r="AL12" i="90"/>
  <c r="AP75" i="108" l="1"/>
  <c r="AP39" i="108"/>
  <c r="AR75" i="108"/>
  <c r="AR76" i="108" s="1"/>
  <c r="AR39" i="108"/>
  <c r="AF18" i="102"/>
  <c r="AF27" i="102"/>
  <c r="BJ27" i="102" s="1"/>
  <c r="AF22" i="102"/>
  <c r="AF24" i="102"/>
  <c r="AG47" i="102"/>
  <c r="AG31" i="102"/>
  <c r="AF29" i="102"/>
  <c r="BJ29" i="102" s="1"/>
  <c r="AG65" i="102"/>
  <c r="AF65" i="102"/>
  <c r="AP76" i="108" l="1"/>
  <c r="AP81" i="108"/>
  <c r="AP83" i="108" s="1"/>
  <c r="AK28" i="90"/>
  <c r="AA28" i="91"/>
  <c r="BE28" i="91" s="1"/>
  <c r="AK25" i="95"/>
  <c r="AK25" i="90"/>
  <c r="AF25" i="102"/>
  <c r="AL58" i="96" l="1"/>
  <c r="AK28" i="96" l="1"/>
  <c r="AK18" i="96"/>
  <c r="AK25" i="96"/>
  <c r="AA26" i="96" l="1"/>
  <c r="AF26" i="96"/>
  <c r="AL63" i="96" l="1"/>
  <c r="BP63" i="96" s="1"/>
  <c r="AL31" i="96"/>
  <c r="AL22" i="96"/>
  <c r="BP22" i="96" s="1"/>
  <c r="AM85" i="86" l="1"/>
  <c r="AM82" i="86"/>
  <c r="AM78" i="86"/>
  <c r="AL77" i="86"/>
  <c r="AK77" i="86"/>
  <c r="AM74" i="86"/>
  <c r="AM73" i="86" s="1"/>
  <c r="AL73" i="86"/>
  <c r="AK73" i="86"/>
  <c r="AM71" i="86"/>
  <c r="AM70" i="86"/>
  <c r="AM69" i="86"/>
  <c r="AM68" i="86"/>
  <c r="AM67" i="86"/>
  <c r="AM66" i="86"/>
  <c r="AM65" i="86"/>
  <c r="AM64" i="86"/>
  <c r="AM63" i="86"/>
  <c r="AM62" i="86"/>
  <c r="AM61" i="86"/>
  <c r="AM60" i="86"/>
  <c r="AM59" i="86"/>
  <c r="AM58" i="86"/>
  <c r="AM57" i="86"/>
  <c r="AM56" i="86"/>
  <c r="AM55" i="86"/>
  <c r="AL54" i="86"/>
  <c r="AK54" i="86"/>
  <c r="AM52" i="86"/>
  <c r="AM51" i="86"/>
  <c r="AL50" i="86"/>
  <c r="AK50" i="86"/>
  <c r="AM48" i="86"/>
  <c r="AM47" i="86"/>
  <c r="AM46" i="86"/>
  <c r="AM45" i="86"/>
  <c r="AM44" i="86"/>
  <c r="AM43" i="86"/>
  <c r="AM42" i="86"/>
  <c r="AL41" i="86"/>
  <c r="AK41" i="86"/>
  <c r="AM36" i="86"/>
  <c r="AM35" i="86" s="1"/>
  <c r="AL35" i="86"/>
  <c r="AK35" i="86"/>
  <c r="AM33" i="86"/>
  <c r="AM32" i="86"/>
  <c r="AM31" i="86"/>
  <c r="AM30" i="86"/>
  <c r="AM29" i="86"/>
  <c r="AM28" i="86"/>
  <c r="AM27" i="86"/>
  <c r="AM26" i="86"/>
  <c r="AM25" i="86"/>
  <c r="AM24" i="86"/>
  <c r="AM21" i="86"/>
  <c r="AM20" i="86"/>
  <c r="AM19" i="86"/>
  <c r="AM18" i="86"/>
  <c r="AM17" i="86"/>
  <c r="AM16" i="86"/>
  <c r="AM15" i="86"/>
  <c r="AM14" i="86"/>
  <c r="AM13" i="86"/>
  <c r="AM12" i="86"/>
  <c r="AM11" i="86"/>
  <c r="AM10" i="86"/>
  <c r="AM9" i="86"/>
  <c r="AL8" i="86"/>
  <c r="AK8" i="86"/>
  <c r="AM7" i="86"/>
  <c r="AM6" i="86"/>
  <c r="AM5" i="86" s="1"/>
  <c r="AL5" i="86"/>
  <c r="AK5" i="86"/>
  <c r="AK38" i="86" s="1"/>
  <c r="AH85" i="99"/>
  <c r="AH82" i="99"/>
  <c r="AH78" i="99"/>
  <c r="AG77" i="99"/>
  <c r="AF77" i="99"/>
  <c r="AH74" i="99"/>
  <c r="AH73" i="99" s="1"/>
  <c r="AG73" i="99"/>
  <c r="AF73" i="99"/>
  <c r="AH71" i="99"/>
  <c r="AH70" i="99"/>
  <c r="AH69" i="99"/>
  <c r="AH68" i="99"/>
  <c r="AH67" i="99"/>
  <c r="AH66" i="99"/>
  <c r="AH65" i="99"/>
  <c r="AH64" i="99"/>
  <c r="AH63" i="99"/>
  <c r="AH62" i="99"/>
  <c r="AH61" i="99"/>
  <c r="AH60" i="99"/>
  <c r="AH59" i="99"/>
  <c r="AH58" i="99"/>
  <c r="AH57" i="99"/>
  <c r="AH56" i="99"/>
  <c r="AH55" i="99"/>
  <c r="AG54" i="99"/>
  <c r="AF54" i="99"/>
  <c r="AH52" i="99"/>
  <c r="AH51" i="99"/>
  <c r="AG50" i="99"/>
  <c r="AF50" i="99"/>
  <c r="AH48" i="99"/>
  <c r="AH47" i="99"/>
  <c r="AH46" i="99"/>
  <c r="AH45" i="99"/>
  <c r="AH44" i="99"/>
  <c r="AH43" i="99"/>
  <c r="AH42" i="99"/>
  <c r="AG41" i="99"/>
  <c r="AF41" i="99"/>
  <c r="AH36" i="99"/>
  <c r="AH35" i="99" s="1"/>
  <c r="AG35" i="99"/>
  <c r="AF35" i="99"/>
  <c r="AH33" i="99"/>
  <c r="AH32" i="99"/>
  <c r="AH31" i="99"/>
  <c r="AH30" i="99"/>
  <c r="AH29" i="99"/>
  <c r="AH28" i="99"/>
  <c r="AH27" i="99"/>
  <c r="AH26" i="99"/>
  <c r="AH25" i="99"/>
  <c r="AH24" i="99"/>
  <c r="AH23" i="99"/>
  <c r="AH22" i="99"/>
  <c r="AH21" i="99"/>
  <c r="AH20" i="99"/>
  <c r="AH19" i="99"/>
  <c r="AH18" i="99"/>
  <c r="AH17" i="99"/>
  <c r="AH16" i="99"/>
  <c r="AH15" i="99"/>
  <c r="AH14" i="99"/>
  <c r="AH13" i="99"/>
  <c r="AH12" i="99"/>
  <c r="AH11" i="99"/>
  <c r="AH10" i="99"/>
  <c r="AH9" i="99"/>
  <c r="AG8" i="99"/>
  <c r="AF8" i="99"/>
  <c r="AH7" i="99"/>
  <c r="AH6" i="99"/>
  <c r="AH5" i="99" s="1"/>
  <c r="AG5" i="99"/>
  <c r="AG38" i="99" s="1"/>
  <c r="AF5" i="99"/>
  <c r="AF38" i="99" s="1"/>
  <c r="BK53" i="87"/>
  <c r="BJ53" i="87"/>
  <c r="AM85" i="87"/>
  <c r="AM82" i="87"/>
  <c r="AL81" i="87"/>
  <c r="AL83" i="87" s="1"/>
  <c r="AL84" i="87" s="1"/>
  <c r="AK81" i="87"/>
  <c r="AK83" i="87" s="1"/>
  <c r="AK84" i="87" s="1"/>
  <c r="AM78" i="87"/>
  <c r="AM77" i="87" s="1"/>
  <c r="AM74" i="87"/>
  <c r="AM73" i="87" s="1"/>
  <c r="AM71" i="87"/>
  <c r="AM70" i="87"/>
  <c r="AM69" i="87"/>
  <c r="AM68" i="87"/>
  <c r="AM67" i="87"/>
  <c r="AM66" i="87"/>
  <c r="AM65" i="87"/>
  <c r="AM64" i="87"/>
  <c r="AM63" i="87"/>
  <c r="AM62" i="87"/>
  <c r="AM61" i="87"/>
  <c r="AM60" i="87"/>
  <c r="AM59" i="87"/>
  <c r="AM58" i="87"/>
  <c r="AM57" i="87"/>
  <c r="AM56" i="87"/>
  <c r="AM55" i="87"/>
  <c r="AM52" i="87"/>
  <c r="AM51" i="87"/>
  <c r="AM48" i="87"/>
  <c r="AM47" i="87"/>
  <c r="AM46" i="87"/>
  <c r="AM45" i="87"/>
  <c r="AM44" i="87"/>
  <c r="AM43" i="87"/>
  <c r="AM42" i="87"/>
  <c r="AM36" i="87"/>
  <c r="AM35" i="87" s="1"/>
  <c r="AM33" i="87"/>
  <c r="AM32" i="87"/>
  <c r="AM31" i="87"/>
  <c r="AM30" i="87"/>
  <c r="AM29" i="87"/>
  <c r="AM28" i="87"/>
  <c r="AM27" i="87"/>
  <c r="AM26" i="87"/>
  <c r="AM25" i="87"/>
  <c r="AM24" i="87"/>
  <c r="AM21" i="87"/>
  <c r="AM20" i="87"/>
  <c r="AM19" i="87"/>
  <c r="AM18" i="87"/>
  <c r="AM17" i="87"/>
  <c r="AM16" i="87"/>
  <c r="AM15" i="87"/>
  <c r="AM14" i="87"/>
  <c r="AM13" i="87"/>
  <c r="AM12" i="87"/>
  <c r="AM11" i="87"/>
  <c r="AM10" i="87"/>
  <c r="AM9" i="87"/>
  <c r="AM7" i="87"/>
  <c r="AM6" i="87"/>
  <c r="AM5" i="87" s="1"/>
  <c r="AH79" i="99" l="1"/>
  <c r="AH77" i="99" s="1"/>
  <c r="AH50" i="99"/>
  <c r="AM8" i="87"/>
  <c r="AM41" i="87"/>
  <c r="AM50" i="87"/>
  <c r="AM50" i="86"/>
  <c r="AM54" i="86"/>
  <c r="AM41" i="86"/>
  <c r="AL38" i="86"/>
  <c r="AL75" i="86" s="1"/>
  <c r="AL76" i="86" s="1"/>
  <c r="AH8" i="99"/>
  <c r="AH38" i="99" s="1"/>
  <c r="AM8" i="86"/>
  <c r="AM38" i="86" s="1"/>
  <c r="AM79" i="86"/>
  <c r="AK75" i="86"/>
  <c r="AK39" i="86"/>
  <c r="AH41" i="99"/>
  <c r="AG75" i="99"/>
  <c r="AG39" i="99"/>
  <c r="AF39" i="99"/>
  <c r="AF75" i="99"/>
  <c r="AH54" i="99"/>
  <c r="AM54" i="87"/>
  <c r="AM38" i="87"/>
  <c r="AC85" i="91"/>
  <c r="AC82" i="91"/>
  <c r="AC78" i="91"/>
  <c r="AB77" i="91"/>
  <c r="AA77" i="91"/>
  <c r="AC74" i="91"/>
  <c r="AC73" i="91" s="1"/>
  <c r="AB73" i="91"/>
  <c r="AA73" i="91"/>
  <c r="AC71" i="91"/>
  <c r="AC70" i="91"/>
  <c r="AC69" i="91"/>
  <c r="AC68" i="91"/>
  <c r="AC67" i="91"/>
  <c r="AC66" i="91"/>
  <c r="AC65" i="91"/>
  <c r="AC64" i="91"/>
  <c r="AC63" i="91"/>
  <c r="AC62" i="91"/>
  <c r="AC61" i="91"/>
  <c r="AC60" i="91"/>
  <c r="AC59" i="91"/>
  <c r="AC58" i="91"/>
  <c r="AC57" i="91"/>
  <c r="AC56" i="91"/>
  <c r="AC55" i="91"/>
  <c r="AB54" i="91"/>
  <c r="AA54" i="91"/>
  <c r="AC52" i="91"/>
  <c r="AC51" i="91"/>
  <c r="AB50" i="91"/>
  <c r="AA50" i="91"/>
  <c r="AC48" i="91"/>
  <c r="AC47" i="91"/>
  <c r="AC46" i="91"/>
  <c r="AC45" i="91"/>
  <c r="AC44" i="91"/>
  <c r="AC43" i="91"/>
  <c r="AC42" i="91"/>
  <c r="AB41" i="91"/>
  <c r="AA41" i="91"/>
  <c r="AC36" i="91"/>
  <c r="AC35" i="91" s="1"/>
  <c r="AB35" i="91"/>
  <c r="AA35" i="91"/>
  <c r="AC33" i="91"/>
  <c r="AC32" i="91"/>
  <c r="AC31" i="91"/>
  <c r="AC30" i="91"/>
  <c r="AC29" i="91"/>
  <c r="AC28" i="91"/>
  <c r="AC27" i="91"/>
  <c r="AC26" i="91"/>
  <c r="AC25" i="91"/>
  <c r="AC24" i="91"/>
  <c r="AC21" i="91"/>
  <c r="AC20" i="91"/>
  <c r="AC19" i="91"/>
  <c r="AC18" i="91"/>
  <c r="AC17" i="91"/>
  <c r="AC16" i="91"/>
  <c r="AC15" i="91"/>
  <c r="AC14" i="91"/>
  <c r="AC13" i="91"/>
  <c r="AC12" i="91"/>
  <c r="AC11" i="91"/>
  <c r="AC10" i="91"/>
  <c r="AC9" i="91"/>
  <c r="AB8" i="91"/>
  <c r="AA8" i="91"/>
  <c r="AC7" i="91"/>
  <c r="AC6" i="91"/>
  <c r="AC5" i="91" s="1"/>
  <c r="AB5" i="91"/>
  <c r="AA5" i="91"/>
  <c r="AA38" i="91" s="1"/>
  <c r="AH85" i="102"/>
  <c r="AH82" i="102"/>
  <c r="AH78" i="102"/>
  <c r="AG77" i="102"/>
  <c r="AF77" i="102"/>
  <c r="AH74" i="102"/>
  <c r="AH73" i="102" s="1"/>
  <c r="AG73" i="102"/>
  <c r="AF73" i="102"/>
  <c r="AH71" i="102"/>
  <c r="AH70" i="102"/>
  <c r="AF54" i="102"/>
  <c r="AH68" i="102"/>
  <c r="AH67" i="102"/>
  <c r="AH66" i="102"/>
  <c r="AH65" i="102"/>
  <c r="AH64" i="102"/>
  <c r="AH63" i="102"/>
  <c r="AH62" i="102"/>
  <c r="AH61" i="102"/>
  <c r="AH60" i="102"/>
  <c r="AH59" i="102"/>
  <c r="AH58" i="102"/>
  <c r="AH57" i="102"/>
  <c r="AH56" i="102"/>
  <c r="AH55" i="102"/>
  <c r="AG54" i="102"/>
  <c r="AH52" i="102"/>
  <c r="AH51" i="102"/>
  <c r="AG50" i="102"/>
  <c r="AF50" i="102"/>
  <c r="AH48" i="102"/>
  <c r="AH47" i="102"/>
  <c r="AH46" i="102"/>
  <c r="AH45" i="102"/>
  <c r="AH44" i="102"/>
  <c r="AH43" i="102"/>
  <c r="AH42" i="102"/>
  <c r="AG41" i="102"/>
  <c r="AF41" i="102"/>
  <c r="AH36" i="102"/>
  <c r="AH35" i="102" s="1"/>
  <c r="AG35" i="102"/>
  <c r="AF35" i="102"/>
  <c r="AH33" i="102"/>
  <c r="AH32" i="102"/>
  <c r="AH31" i="102"/>
  <c r="AH30" i="102"/>
  <c r="AH29" i="102"/>
  <c r="AH28" i="102"/>
  <c r="AH27" i="102"/>
  <c r="AH26" i="102"/>
  <c r="AH25" i="102"/>
  <c r="AH24" i="102"/>
  <c r="AH23" i="102"/>
  <c r="AF8" i="102"/>
  <c r="AH21" i="102"/>
  <c r="AH20" i="102"/>
  <c r="AH19" i="102"/>
  <c r="AH18" i="102"/>
  <c r="AH17" i="102"/>
  <c r="AH16" i="102"/>
  <c r="AH15" i="102"/>
  <c r="AH14" i="102"/>
  <c r="AH13" i="102"/>
  <c r="AH12" i="102"/>
  <c r="AH11" i="102"/>
  <c r="AH10" i="102"/>
  <c r="AH9" i="102"/>
  <c r="AG8" i="102"/>
  <c r="AH7" i="102"/>
  <c r="AH6" i="102"/>
  <c r="AH5" i="102" s="1"/>
  <c r="AG5" i="102"/>
  <c r="AF5" i="102"/>
  <c r="AM85" i="90"/>
  <c r="AM82" i="90"/>
  <c r="AM80" i="90"/>
  <c r="AM78" i="90"/>
  <c r="AL77" i="90"/>
  <c r="AK77" i="90"/>
  <c r="AM74" i="90"/>
  <c r="AM73" i="90" s="1"/>
  <c r="AL73" i="90"/>
  <c r="AK73" i="90"/>
  <c r="AM72" i="90"/>
  <c r="AM71" i="90"/>
  <c r="AM70" i="90"/>
  <c r="AM69" i="90"/>
  <c r="AM68" i="90"/>
  <c r="AM67" i="90"/>
  <c r="AM66" i="90"/>
  <c r="AM65" i="90"/>
  <c r="AM64" i="90"/>
  <c r="AM63" i="90"/>
  <c r="AM62" i="90"/>
  <c r="AM61" i="90"/>
  <c r="AM60" i="90"/>
  <c r="AM59" i="90"/>
  <c r="AM58" i="90"/>
  <c r="AM57" i="90"/>
  <c r="AM56" i="90"/>
  <c r="AM55" i="90"/>
  <c r="AL54" i="90"/>
  <c r="AK54" i="90"/>
  <c r="AM53" i="90"/>
  <c r="AM52" i="90"/>
  <c r="AM51" i="90"/>
  <c r="AL50" i="90"/>
  <c r="AK50" i="90"/>
  <c r="AM49" i="90"/>
  <c r="AM48" i="90"/>
  <c r="AM47" i="90"/>
  <c r="AM46" i="90"/>
  <c r="AM45" i="90"/>
  <c r="AM44" i="90"/>
  <c r="AM43" i="90"/>
  <c r="AM42" i="90"/>
  <c r="AL41" i="90"/>
  <c r="AK41" i="90"/>
  <c r="AM37" i="90"/>
  <c r="AM35" i="90"/>
  <c r="AL35" i="90"/>
  <c r="AK35" i="90"/>
  <c r="AM33" i="90"/>
  <c r="AM32" i="90"/>
  <c r="AM31" i="90"/>
  <c r="AM30" i="90"/>
  <c r="AM29" i="90"/>
  <c r="AM28" i="90"/>
  <c r="AM27" i="90"/>
  <c r="AM26" i="90"/>
  <c r="AM25" i="90"/>
  <c r="AM24" i="90"/>
  <c r="AM23" i="90"/>
  <c r="AM22" i="90"/>
  <c r="AM21" i="90"/>
  <c r="AM20" i="90"/>
  <c r="AM19" i="90"/>
  <c r="AM18" i="90"/>
  <c r="AM17" i="90"/>
  <c r="AM16" i="90"/>
  <c r="AM15" i="90"/>
  <c r="AM14" i="90"/>
  <c r="AM13" i="90"/>
  <c r="AL8" i="90"/>
  <c r="AM11" i="90"/>
  <c r="AM10" i="90"/>
  <c r="AM9" i="90"/>
  <c r="AM7" i="90"/>
  <c r="AM6" i="90"/>
  <c r="AM5" i="90" s="1"/>
  <c r="AL5" i="90"/>
  <c r="AK5" i="90"/>
  <c r="AL81" i="86" l="1"/>
  <c r="AL83" i="86" s="1"/>
  <c r="AL84" i="86" s="1"/>
  <c r="AL86" i="86" s="1"/>
  <c r="AL87" i="86" s="1"/>
  <c r="AH89" i="99"/>
  <c r="AN62" i="99" s="1"/>
  <c r="AM89" i="87"/>
  <c r="AM93" i="87" s="1"/>
  <c r="AH50" i="102"/>
  <c r="AC41" i="91"/>
  <c r="AL39" i="86"/>
  <c r="AM77" i="86"/>
  <c r="AM89" i="86"/>
  <c r="AM75" i="86"/>
  <c r="AM39" i="86"/>
  <c r="AK81" i="86"/>
  <c r="AK83" i="86" s="1"/>
  <c r="AK84" i="86" s="1"/>
  <c r="AK86" i="86" s="1"/>
  <c r="AK87" i="86" s="1"/>
  <c r="AK76" i="86"/>
  <c r="AF81" i="99"/>
  <c r="AF83" i="99" s="1"/>
  <c r="AF84" i="99" s="1"/>
  <c r="AF86" i="99" s="1"/>
  <c r="AF87" i="99" s="1"/>
  <c r="AF76" i="99"/>
  <c r="AH39" i="99"/>
  <c r="AH75" i="99"/>
  <c r="AG81" i="99"/>
  <c r="AG83" i="99" s="1"/>
  <c r="AG84" i="99" s="1"/>
  <c r="AG86" i="99" s="1"/>
  <c r="AG87" i="99" s="1"/>
  <c r="AG76" i="99"/>
  <c r="AM75" i="87"/>
  <c r="AM39" i="87"/>
  <c r="AC8" i="91"/>
  <c r="AA75" i="91"/>
  <c r="AA39" i="91"/>
  <c r="AB38" i="91"/>
  <c r="AC50" i="91"/>
  <c r="AC54" i="91"/>
  <c r="AG38" i="102"/>
  <c r="AG39" i="102" s="1"/>
  <c r="AH41" i="102"/>
  <c r="AF38" i="102"/>
  <c r="AH22" i="102"/>
  <c r="AH69" i="102"/>
  <c r="AM54" i="90"/>
  <c r="AM41" i="90"/>
  <c r="AL38" i="90"/>
  <c r="AM12" i="90"/>
  <c r="AK8" i="90"/>
  <c r="AK38" i="90" s="1"/>
  <c r="AM50" i="90"/>
  <c r="AI50" i="99" l="1"/>
  <c r="AI29" i="99"/>
  <c r="AI60" i="99"/>
  <c r="AI58" i="99"/>
  <c r="AN24" i="99"/>
  <c r="AN71" i="99"/>
  <c r="AI67" i="99"/>
  <c r="AN25" i="99"/>
  <c r="AI14" i="99"/>
  <c r="AI43" i="99"/>
  <c r="AN55" i="99"/>
  <c r="AI21" i="99"/>
  <c r="AI52" i="99"/>
  <c r="AN9" i="99"/>
  <c r="AN17" i="99"/>
  <c r="AX22" i="86"/>
  <c r="AX30" i="86"/>
  <c r="AX28" i="86"/>
  <c r="AX78" i="86"/>
  <c r="AX31" i="86"/>
  <c r="AX23" i="86"/>
  <c r="AX27" i="86"/>
  <c r="AX33" i="86"/>
  <c r="AX21" i="86"/>
  <c r="AX26" i="86"/>
  <c r="AX42" i="86"/>
  <c r="AX41" i="86"/>
  <c r="AX24" i="86"/>
  <c r="AX68" i="86"/>
  <c r="AX13" i="86"/>
  <c r="AX63" i="86"/>
  <c r="AX67" i="86"/>
  <c r="AX46" i="86"/>
  <c r="AX14" i="86"/>
  <c r="AX56" i="86"/>
  <c r="AX65" i="86"/>
  <c r="AX47" i="86"/>
  <c r="AX71" i="86"/>
  <c r="AX54" i="86"/>
  <c r="AX32" i="86"/>
  <c r="AX48" i="86"/>
  <c r="AX19" i="86"/>
  <c r="AX69" i="86"/>
  <c r="AX9" i="86"/>
  <c r="AX64" i="86"/>
  <c r="AX12" i="86"/>
  <c r="AX66" i="86"/>
  <c r="AX58" i="86"/>
  <c r="AX16" i="86"/>
  <c r="AX61" i="86"/>
  <c r="AX59" i="86"/>
  <c r="AX29" i="86"/>
  <c r="AX79" i="86"/>
  <c r="AX45" i="86"/>
  <c r="AX11" i="86"/>
  <c r="AX20" i="86"/>
  <c r="AX15" i="86"/>
  <c r="AX17" i="86"/>
  <c r="AX18" i="86"/>
  <c r="AX62" i="86"/>
  <c r="AX60" i="86"/>
  <c r="AX57" i="86"/>
  <c r="AX44" i="86"/>
  <c r="AX77" i="86"/>
  <c r="AX10" i="86"/>
  <c r="AX70" i="86"/>
  <c r="AX43" i="86"/>
  <c r="AX55" i="86"/>
  <c r="AX25" i="86"/>
  <c r="AX8" i="86"/>
  <c r="AI27" i="99"/>
  <c r="AN23" i="99"/>
  <c r="AI19" i="99"/>
  <c r="AN26" i="99"/>
  <c r="AN48" i="99"/>
  <c r="AI41" i="99"/>
  <c r="AI12" i="99"/>
  <c r="AI69" i="99"/>
  <c r="AN32" i="99"/>
  <c r="AN36" i="99"/>
  <c r="AN64" i="99"/>
  <c r="AI22" i="99"/>
  <c r="AI30" i="99"/>
  <c r="AI49" i="99"/>
  <c r="AI66" i="99"/>
  <c r="AI13" i="99"/>
  <c r="AI42" i="99"/>
  <c r="AI59" i="99"/>
  <c r="AI9" i="99"/>
  <c r="AI28" i="99"/>
  <c r="AI51" i="99"/>
  <c r="AI68" i="99"/>
  <c r="AI11" i="99"/>
  <c r="AI44" i="99"/>
  <c r="AI61" i="99"/>
  <c r="AN22" i="99"/>
  <c r="AN50" i="99"/>
  <c r="AN27" i="99"/>
  <c r="AN21" i="99"/>
  <c r="AN29" i="99"/>
  <c r="AN67" i="99"/>
  <c r="AN28" i="99"/>
  <c r="AN13" i="99"/>
  <c r="AN44" i="99"/>
  <c r="AN66" i="99"/>
  <c r="AN12" i="99"/>
  <c r="AN47" i="99"/>
  <c r="AI20" i="99"/>
  <c r="AI18" i="99"/>
  <c r="AI10" i="99"/>
  <c r="AI26" i="99"/>
  <c r="AI45" i="99"/>
  <c r="AI54" i="99"/>
  <c r="AI62" i="99"/>
  <c r="AI70" i="99"/>
  <c r="AI17" i="99"/>
  <c r="AI33" i="99"/>
  <c r="AI25" i="99"/>
  <c r="AI46" i="99"/>
  <c r="AI55" i="99"/>
  <c r="AI63" i="99"/>
  <c r="AI71" i="99"/>
  <c r="AI16" i="99"/>
  <c r="AI32" i="99"/>
  <c r="AI24" i="99"/>
  <c r="AI47" i="99"/>
  <c r="AI56" i="99"/>
  <c r="AI64" i="99"/>
  <c r="AI23" i="99"/>
  <c r="AI15" i="99"/>
  <c r="AI31" i="99"/>
  <c r="AI36" i="99"/>
  <c r="AI48" i="99"/>
  <c r="AI57" i="99"/>
  <c r="AI65" i="99"/>
  <c r="AH93" i="99"/>
  <c r="AN51" i="99"/>
  <c r="AN65" i="99"/>
  <c r="AN56" i="99"/>
  <c r="AN19" i="99"/>
  <c r="AN20" i="99"/>
  <c r="AN59" i="99"/>
  <c r="AN57" i="99"/>
  <c r="AN52" i="99"/>
  <c r="AN69" i="99"/>
  <c r="AN63" i="99"/>
  <c r="AN54" i="99"/>
  <c r="AN30" i="99"/>
  <c r="AN33" i="99"/>
  <c r="AN61" i="99"/>
  <c r="AN31" i="99"/>
  <c r="AN11" i="99"/>
  <c r="AN15" i="99"/>
  <c r="AN42" i="99"/>
  <c r="AN46" i="99"/>
  <c r="AN58" i="99"/>
  <c r="AN49" i="99"/>
  <c r="AN68" i="99"/>
  <c r="AN16" i="99"/>
  <c r="AN43" i="99"/>
  <c r="AN70" i="99"/>
  <c r="AN60" i="99"/>
  <c r="AN10" i="99"/>
  <c r="AN14" i="99"/>
  <c r="AN18" i="99"/>
  <c r="AN41" i="99"/>
  <c r="AN45" i="99"/>
  <c r="AN79" i="86"/>
  <c r="AS26" i="86"/>
  <c r="AS15" i="86"/>
  <c r="AS21" i="86"/>
  <c r="AS28" i="86"/>
  <c r="AS23" i="86"/>
  <c r="AS17" i="86"/>
  <c r="AS9" i="86"/>
  <c r="AS32" i="86"/>
  <c r="AS30" i="86"/>
  <c r="AS22" i="86"/>
  <c r="AS19" i="86"/>
  <c r="AS11" i="86"/>
  <c r="AS24" i="86"/>
  <c r="AS13" i="86"/>
  <c r="AS33" i="86"/>
  <c r="AS57" i="86"/>
  <c r="AS45" i="86"/>
  <c r="AS20" i="86"/>
  <c r="AS58" i="86"/>
  <c r="AS68" i="86"/>
  <c r="AS10" i="86"/>
  <c r="AS48" i="86"/>
  <c r="AS67" i="86"/>
  <c r="AS8" i="86"/>
  <c r="AS42" i="86"/>
  <c r="AS65" i="86"/>
  <c r="AS43" i="86"/>
  <c r="AS66" i="86"/>
  <c r="AS27" i="86"/>
  <c r="AS59" i="86"/>
  <c r="AS46" i="86"/>
  <c r="AS70" i="86"/>
  <c r="AS44" i="86"/>
  <c r="AS41" i="86"/>
  <c r="AS61" i="86"/>
  <c r="AS56" i="86"/>
  <c r="AS31" i="86"/>
  <c r="AS62" i="86"/>
  <c r="AS18" i="86"/>
  <c r="AS54" i="86"/>
  <c r="AS71" i="86"/>
  <c r="AS64" i="86"/>
  <c r="AS16" i="86"/>
  <c r="AS12" i="86"/>
  <c r="AS60" i="86"/>
  <c r="AS79" i="86"/>
  <c r="AS55" i="86"/>
  <c r="AS14" i="86"/>
  <c r="AS29" i="86"/>
  <c r="AS78" i="86"/>
  <c r="AS25" i="86"/>
  <c r="AS69" i="86"/>
  <c r="AS47" i="86"/>
  <c r="AS63" i="86"/>
  <c r="AS77" i="86"/>
  <c r="AN77" i="86"/>
  <c r="AM93" i="86"/>
  <c r="AN68" i="86"/>
  <c r="AN64" i="86"/>
  <c r="AN60" i="86"/>
  <c r="AN56" i="86"/>
  <c r="AN47" i="86"/>
  <c r="AN43" i="86"/>
  <c r="AN10" i="86"/>
  <c r="AN14" i="86"/>
  <c r="AN18" i="86"/>
  <c r="AN22" i="86"/>
  <c r="AN26" i="86"/>
  <c r="AN30" i="86"/>
  <c r="AN9" i="86"/>
  <c r="AN66" i="86"/>
  <c r="AN54" i="86"/>
  <c r="AN41" i="86"/>
  <c r="AN16" i="86"/>
  <c r="AN24" i="86"/>
  <c r="AN32" i="86"/>
  <c r="AN69" i="86"/>
  <c r="AN65" i="86"/>
  <c r="AN57" i="86"/>
  <c r="AN44" i="86"/>
  <c r="AN13" i="86"/>
  <c r="AN21" i="86"/>
  <c r="AN29" i="86"/>
  <c r="AN71" i="86"/>
  <c r="AN67" i="86"/>
  <c r="AN63" i="86"/>
  <c r="AN59" i="86"/>
  <c r="AN55" i="86"/>
  <c r="AN46" i="86"/>
  <c r="AN42" i="86"/>
  <c r="AN11" i="86"/>
  <c r="AN15" i="86"/>
  <c r="AN19" i="86"/>
  <c r="AN23" i="86"/>
  <c r="AN27" i="86"/>
  <c r="AN31" i="86"/>
  <c r="AN70" i="86"/>
  <c r="AN62" i="86"/>
  <c r="AN58" i="86"/>
  <c r="AN45" i="86"/>
  <c r="AN12" i="86"/>
  <c r="AN20" i="86"/>
  <c r="AN28" i="86"/>
  <c r="AN78" i="86"/>
  <c r="AN61" i="86"/>
  <c r="AN48" i="86"/>
  <c r="AN8" i="86"/>
  <c r="AN17" i="86"/>
  <c r="AN25" i="86"/>
  <c r="AN33" i="86"/>
  <c r="AG75" i="102"/>
  <c r="AG76" i="102" s="1"/>
  <c r="AC38" i="91"/>
  <c r="AC39" i="91" s="1"/>
  <c r="AM81" i="86"/>
  <c r="AM83" i="86" s="1"/>
  <c r="AM84" i="86" s="1"/>
  <c r="AM86" i="86" s="1"/>
  <c r="AM87" i="86" s="1"/>
  <c r="AM76" i="86"/>
  <c r="AH81" i="99"/>
  <c r="AH83" i="99" s="1"/>
  <c r="AH84" i="99" s="1"/>
  <c r="AH86" i="99" s="1"/>
  <c r="AH87" i="99" s="1"/>
  <c r="AH76" i="99"/>
  <c r="AM81" i="87"/>
  <c r="AM83" i="87" s="1"/>
  <c r="AM84" i="87" s="1"/>
  <c r="AM86" i="87" s="1"/>
  <c r="AM87" i="87" s="1"/>
  <c r="AM76" i="87"/>
  <c r="AB39" i="91"/>
  <c r="AB75" i="91"/>
  <c r="AA81" i="91"/>
  <c r="AA83" i="91" s="1"/>
  <c r="AA84" i="91" s="1"/>
  <c r="AA86" i="91" s="1"/>
  <c r="AA87" i="91" s="1"/>
  <c r="AA76" i="91"/>
  <c r="AH8" i="102"/>
  <c r="AH38" i="102" s="1"/>
  <c r="AH54" i="102"/>
  <c r="AF39" i="102"/>
  <c r="AF75" i="102"/>
  <c r="AK75" i="90"/>
  <c r="AK39" i="90"/>
  <c r="AL75" i="90"/>
  <c r="AL39" i="90"/>
  <c r="AM8" i="90"/>
  <c r="AM85" i="96"/>
  <c r="AM82" i="96"/>
  <c r="AM78" i="96"/>
  <c r="AL77" i="96"/>
  <c r="AK77" i="96"/>
  <c r="AM74" i="96"/>
  <c r="AM73" i="96" s="1"/>
  <c r="AL73" i="96"/>
  <c r="AK73" i="96"/>
  <c r="AM71" i="96"/>
  <c r="AM70" i="96"/>
  <c r="AM69" i="96"/>
  <c r="AM68" i="96"/>
  <c r="AM67" i="96"/>
  <c r="AM66" i="96"/>
  <c r="AM65" i="96"/>
  <c r="AM64" i="96"/>
  <c r="AM63" i="96"/>
  <c r="AM62" i="96"/>
  <c r="AM61" i="96"/>
  <c r="AM60" i="96"/>
  <c r="AM59" i="96"/>
  <c r="AM58" i="96"/>
  <c r="AM57" i="96"/>
  <c r="AM56" i="96"/>
  <c r="AM55" i="96"/>
  <c r="AL54" i="96"/>
  <c r="AK54" i="96"/>
  <c r="AM52" i="96"/>
  <c r="AM51" i="96"/>
  <c r="AL50" i="96"/>
  <c r="AK50" i="96"/>
  <c r="AM48" i="96"/>
  <c r="AM47" i="96"/>
  <c r="AM46" i="96"/>
  <c r="AM45" i="96"/>
  <c r="AM44" i="96"/>
  <c r="AM43" i="96"/>
  <c r="AM42" i="96"/>
  <c r="AL41" i="96"/>
  <c r="AK41" i="96"/>
  <c r="AM36" i="96"/>
  <c r="AL35" i="96"/>
  <c r="AK35" i="96"/>
  <c r="AM33" i="96"/>
  <c r="AM32" i="96"/>
  <c r="AM31" i="96"/>
  <c r="AM30" i="96"/>
  <c r="AM29" i="96"/>
  <c r="AM28" i="96"/>
  <c r="AM27" i="96"/>
  <c r="AM26" i="96"/>
  <c r="AM25" i="96"/>
  <c r="AM24" i="96"/>
  <c r="AM23" i="96"/>
  <c r="AM22" i="96"/>
  <c r="AM21" i="96"/>
  <c r="AM20" i="96"/>
  <c r="AM19" i="96"/>
  <c r="AM18" i="96"/>
  <c r="AM17" i="96"/>
  <c r="AM16" i="96"/>
  <c r="AM15" i="96"/>
  <c r="AM14" i="96"/>
  <c r="AM13" i="96"/>
  <c r="AL8" i="96"/>
  <c r="AM11" i="96"/>
  <c r="AM10" i="96"/>
  <c r="AM9" i="96"/>
  <c r="AK8" i="96"/>
  <c r="AM7" i="96"/>
  <c r="AM6" i="96"/>
  <c r="AL5" i="96"/>
  <c r="AK5" i="96"/>
  <c r="AM85" i="95"/>
  <c r="AM82" i="95"/>
  <c r="AM78" i="95"/>
  <c r="AL77" i="95"/>
  <c r="AK77" i="95"/>
  <c r="AM74" i="95"/>
  <c r="AM73" i="95" s="1"/>
  <c r="AL73" i="95"/>
  <c r="AK73" i="95"/>
  <c r="AM71" i="95"/>
  <c r="AM70" i="95"/>
  <c r="AM69" i="95"/>
  <c r="AM68" i="95"/>
  <c r="AM67" i="95"/>
  <c r="AM66" i="95"/>
  <c r="AM65" i="95"/>
  <c r="AM64" i="95"/>
  <c r="AM63" i="95"/>
  <c r="AM62" i="95"/>
  <c r="AM61" i="95"/>
  <c r="AM60" i="95"/>
  <c r="AM59" i="95"/>
  <c r="AM58" i="95"/>
  <c r="AM57" i="95"/>
  <c r="AM56" i="95"/>
  <c r="AM55" i="95"/>
  <c r="AL54" i="95"/>
  <c r="AK54" i="95"/>
  <c r="AM52" i="95"/>
  <c r="AM51" i="95"/>
  <c r="AL50" i="95"/>
  <c r="AK50" i="95"/>
  <c r="AM48" i="95"/>
  <c r="AM47" i="95"/>
  <c r="AM46" i="95"/>
  <c r="AM45" i="95"/>
  <c r="AM44" i="95"/>
  <c r="AM43" i="95"/>
  <c r="AM42" i="95"/>
  <c r="AL41" i="95"/>
  <c r="AK41" i="95"/>
  <c r="AM36" i="95"/>
  <c r="AM35" i="95" s="1"/>
  <c r="AL35" i="95"/>
  <c r="AK35" i="95"/>
  <c r="AM33" i="95"/>
  <c r="AM32" i="95"/>
  <c r="AM31" i="95"/>
  <c r="AM30" i="95"/>
  <c r="AM29" i="95"/>
  <c r="AM28" i="95"/>
  <c r="AM27" i="95"/>
  <c r="AM26" i="95"/>
  <c r="AM25" i="95"/>
  <c r="AM24" i="95"/>
  <c r="AM23" i="95"/>
  <c r="AM22" i="95"/>
  <c r="AM21" i="95"/>
  <c r="AM20" i="95"/>
  <c r="AM19" i="95"/>
  <c r="AM18" i="95"/>
  <c r="AM17" i="95"/>
  <c r="AM16" i="95"/>
  <c r="AM15" i="95"/>
  <c r="AM14" i="95"/>
  <c r="AM13" i="95"/>
  <c r="AM12" i="95"/>
  <c r="AM11" i="95"/>
  <c r="AM10" i="95"/>
  <c r="AM9" i="95"/>
  <c r="AL8" i="95"/>
  <c r="AK8" i="95"/>
  <c r="AM7" i="95"/>
  <c r="AM6" i="95"/>
  <c r="AM5" i="95" s="1"/>
  <c r="AL5" i="95"/>
  <c r="AK5" i="95"/>
  <c r="AM50" i="96" l="1"/>
  <c r="AM50" i="95"/>
  <c r="AK38" i="96"/>
  <c r="AK39" i="96" s="1"/>
  <c r="AG81" i="102"/>
  <c r="AG83" i="102" s="1"/>
  <c r="AG84" i="102" s="1"/>
  <c r="AG86" i="102" s="1"/>
  <c r="AG87" i="102" s="1"/>
  <c r="AC75" i="91"/>
  <c r="AC76" i="91" s="1"/>
  <c r="AL38" i="95"/>
  <c r="AL75" i="95" s="1"/>
  <c r="AK38" i="95"/>
  <c r="AK39" i="95" s="1"/>
  <c r="AM54" i="95"/>
  <c r="AM41" i="95"/>
  <c r="AB81" i="91"/>
  <c r="AB83" i="91" s="1"/>
  <c r="AB84" i="91" s="1"/>
  <c r="AB86" i="91" s="1"/>
  <c r="AB87" i="91" s="1"/>
  <c r="AB76" i="91"/>
  <c r="AH75" i="102"/>
  <c r="AH39" i="102"/>
  <c r="AF76" i="102"/>
  <c r="AF81" i="102"/>
  <c r="AF83" i="102" s="1"/>
  <c r="AF84" i="102" s="1"/>
  <c r="AF86" i="102" s="1"/>
  <c r="AF87" i="102" s="1"/>
  <c r="AL76" i="90"/>
  <c r="AL81" i="90"/>
  <c r="AL83" i="90" s="1"/>
  <c r="AL84" i="90" s="1"/>
  <c r="AL86" i="90" s="1"/>
  <c r="AL87" i="90" s="1"/>
  <c r="AM38" i="90"/>
  <c r="AK76" i="90"/>
  <c r="AK81" i="90"/>
  <c r="AK83" i="90" s="1"/>
  <c r="AK84" i="90" s="1"/>
  <c r="AK86" i="90" s="1"/>
  <c r="AK87" i="90" s="1"/>
  <c r="AM54" i="96"/>
  <c r="AL38" i="96"/>
  <c r="AM5" i="96"/>
  <c r="AM35" i="96"/>
  <c r="AM41" i="96"/>
  <c r="AM12" i="96"/>
  <c r="AM8" i="95"/>
  <c r="AK75" i="95" l="1"/>
  <c r="AL39" i="95"/>
  <c r="AK75" i="96"/>
  <c r="AK81" i="96" s="1"/>
  <c r="AK83" i="96" s="1"/>
  <c r="AK84" i="96" s="1"/>
  <c r="AK86" i="96" s="1"/>
  <c r="AK87" i="96" s="1"/>
  <c r="AH76" i="102"/>
  <c r="AM75" i="90"/>
  <c r="AM39" i="90"/>
  <c r="AM8" i="96"/>
  <c r="AM38" i="96" s="1"/>
  <c r="AL75" i="96"/>
  <c r="AL39" i="96"/>
  <c r="AK81" i="95"/>
  <c r="AK83" i="95" s="1"/>
  <c r="AK84" i="95" s="1"/>
  <c r="AK86" i="95" s="1"/>
  <c r="AK87" i="95" s="1"/>
  <c r="AK76" i="95"/>
  <c r="AM38" i="95"/>
  <c r="AL81" i="95"/>
  <c r="AL83" i="95" s="1"/>
  <c r="AL84" i="95" s="1"/>
  <c r="AL86" i="95" s="1"/>
  <c r="AL87" i="95" s="1"/>
  <c r="AL76" i="95"/>
  <c r="AK76" i="96" l="1"/>
  <c r="AM76" i="90"/>
  <c r="AM39" i="96"/>
  <c r="AM75" i="96"/>
  <c r="AL81" i="96"/>
  <c r="AL83" i="96" s="1"/>
  <c r="AL84" i="96" s="1"/>
  <c r="AL86" i="96" s="1"/>
  <c r="AL87" i="96" s="1"/>
  <c r="AL76" i="96"/>
  <c r="AM39" i="95"/>
  <c r="AM75" i="95"/>
  <c r="AG77" i="96"/>
  <c r="AF77" i="96"/>
  <c r="AM76" i="96" l="1"/>
  <c r="AM76" i="95"/>
  <c r="BL82" i="87" l="1"/>
  <c r="AH82" i="87"/>
  <c r="AG81" i="87"/>
  <c r="AG83" i="87" s="1"/>
  <c r="AG84" i="87" s="1"/>
  <c r="AF81" i="87"/>
  <c r="AF83" i="87" s="1"/>
  <c r="AF84" i="87" s="1"/>
  <c r="BQ85" i="96" l="1"/>
  <c r="AV85" i="95"/>
  <c r="AU85" i="95"/>
  <c r="AV82" i="95"/>
  <c r="AU82" i="95"/>
  <c r="AV74" i="95"/>
  <c r="AW78" i="95"/>
  <c r="AW82" i="95" l="1"/>
  <c r="AW74" i="95"/>
  <c r="AW85" i="95"/>
  <c r="BP77" i="96"/>
  <c r="BQ82" i="96"/>
  <c r="BQ78" i="96"/>
  <c r="BU78" i="96" s="1"/>
  <c r="BO77" i="96"/>
  <c r="X23" i="96" l="1"/>
  <c r="AH22" i="90"/>
  <c r="AH23" i="90"/>
  <c r="AH13" i="90"/>
  <c r="AH14" i="90"/>
  <c r="AH15" i="90"/>
  <c r="AH16" i="90"/>
  <c r="AH22" i="96"/>
  <c r="AH23" i="96"/>
  <c r="AA28" i="102" l="1"/>
  <c r="AA24" i="102"/>
  <c r="AA22" i="102"/>
  <c r="AB31" i="102"/>
  <c r="AF18" i="90"/>
  <c r="AF24" i="90"/>
  <c r="AF28" i="96" l="1"/>
  <c r="AF23" i="95"/>
  <c r="AF28" i="95"/>
  <c r="AF22" i="95"/>
  <c r="AA69" i="102"/>
  <c r="AA67" i="102"/>
  <c r="BJ67" i="102" s="1"/>
  <c r="BK72" i="87"/>
  <c r="BJ72" i="87"/>
  <c r="BK49" i="87"/>
  <c r="BJ49" i="87"/>
  <c r="BK34" i="87"/>
  <c r="BJ34" i="87"/>
  <c r="AH85" i="87"/>
  <c r="AH78" i="87"/>
  <c r="AH74" i="87"/>
  <c r="AH73" i="87" s="1"/>
  <c r="AH71" i="87"/>
  <c r="AH70" i="87"/>
  <c r="AH69" i="87"/>
  <c r="AH68" i="87"/>
  <c r="AH67" i="87"/>
  <c r="AH66" i="87"/>
  <c r="AH65" i="87"/>
  <c r="AH64" i="87"/>
  <c r="AH63" i="87"/>
  <c r="AH62" i="87"/>
  <c r="AH61" i="87"/>
  <c r="AH60" i="87"/>
  <c r="AH59" i="87"/>
  <c r="AH58" i="87"/>
  <c r="AH57" i="87"/>
  <c r="AH56" i="87"/>
  <c r="AH55" i="87"/>
  <c r="AH52" i="87"/>
  <c r="AH51" i="87"/>
  <c r="AH50" i="87" s="1"/>
  <c r="AH48" i="87"/>
  <c r="AH47" i="87"/>
  <c r="AH46" i="87"/>
  <c r="AH45" i="87"/>
  <c r="AH44" i="87"/>
  <c r="AH43" i="87"/>
  <c r="AH42" i="87"/>
  <c r="AH36" i="87"/>
  <c r="AH35" i="87" s="1"/>
  <c r="AH33" i="87"/>
  <c r="AH32" i="87"/>
  <c r="AH31" i="87"/>
  <c r="AH30" i="87"/>
  <c r="AH29" i="87"/>
  <c r="AH28" i="87"/>
  <c r="AH27" i="87"/>
  <c r="AH26" i="87"/>
  <c r="AH25" i="87"/>
  <c r="AH24" i="87"/>
  <c r="AH21" i="87"/>
  <c r="AH20" i="87"/>
  <c r="AH19" i="87"/>
  <c r="AH18" i="87"/>
  <c r="AH17" i="87"/>
  <c r="AH16" i="87"/>
  <c r="AH15" i="87"/>
  <c r="AH14" i="87"/>
  <c r="AH13" i="87"/>
  <c r="AH12" i="87"/>
  <c r="AH11" i="87"/>
  <c r="AH10" i="87"/>
  <c r="AH9" i="87"/>
  <c r="AH7" i="87"/>
  <c r="AH6" i="87"/>
  <c r="AH5" i="87" s="1"/>
  <c r="AH54" i="87" l="1"/>
  <c r="AH8" i="87"/>
  <c r="AH41" i="87"/>
  <c r="AU23" i="95"/>
  <c r="AA25" i="102"/>
  <c r="AF25" i="96"/>
  <c r="AF25" i="95"/>
  <c r="AH89" i="87" l="1"/>
  <c r="AH93" i="87" s="1"/>
  <c r="AH38" i="87"/>
  <c r="AF26" i="95"/>
  <c r="AH75" i="87" l="1"/>
  <c r="AH39" i="87"/>
  <c r="AF7" i="96"/>
  <c r="BO7" i="96" s="1"/>
  <c r="BO5" i="96" s="1"/>
  <c r="V26" i="91"/>
  <c r="BE26" i="91" s="1"/>
  <c r="AA26" i="102"/>
  <c r="AF26" i="90"/>
  <c r="AH81" i="87" l="1"/>
  <c r="AH83" i="87" s="1"/>
  <c r="AH84" i="87" s="1"/>
  <c r="AH76" i="87"/>
  <c r="AF5" i="96"/>
  <c r="AG12" i="90" l="1"/>
  <c r="AG12" i="96"/>
  <c r="S85" i="108" l="1"/>
  <c r="N85" i="108"/>
  <c r="I85" i="108"/>
  <c r="E85" i="108"/>
  <c r="S82" i="108"/>
  <c r="N82" i="108"/>
  <c r="I82" i="108"/>
  <c r="E82" i="108"/>
  <c r="S78" i="108"/>
  <c r="N78" i="108"/>
  <c r="I78" i="108"/>
  <c r="E78" i="108"/>
  <c r="R77" i="108"/>
  <c r="Q77" i="108"/>
  <c r="M77" i="108"/>
  <c r="L77" i="108"/>
  <c r="H77" i="108"/>
  <c r="G77" i="108"/>
  <c r="D77" i="108"/>
  <c r="C77" i="108"/>
  <c r="S74" i="108"/>
  <c r="S73" i="108" s="1"/>
  <c r="N74" i="108"/>
  <c r="N73" i="108" s="1"/>
  <c r="G74" i="108"/>
  <c r="AP74" i="108" s="1"/>
  <c r="E74" i="108"/>
  <c r="E73" i="108" s="1"/>
  <c r="R73" i="108"/>
  <c r="Q73" i="108"/>
  <c r="M73" i="108"/>
  <c r="L73" i="108"/>
  <c r="H73" i="108"/>
  <c r="D73" i="108"/>
  <c r="C73" i="108"/>
  <c r="E72" i="108"/>
  <c r="S71" i="108"/>
  <c r="N71" i="108"/>
  <c r="I71" i="108"/>
  <c r="E71" i="108"/>
  <c r="S70" i="108"/>
  <c r="N70" i="108"/>
  <c r="I70" i="108"/>
  <c r="E70" i="108"/>
  <c r="S69" i="108"/>
  <c r="N69" i="108"/>
  <c r="I69" i="108"/>
  <c r="E69" i="108"/>
  <c r="S68" i="108"/>
  <c r="N68" i="108"/>
  <c r="I68" i="108"/>
  <c r="E68" i="108"/>
  <c r="S67" i="108"/>
  <c r="N67" i="108"/>
  <c r="I67" i="108"/>
  <c r="E67" i="108"/>
  <c r="S66" i="108"/>
  <c r="N66" i="108"/>
  <c r="I66" i="108"/>
  <c r="E66" i="108"/>
  <c r="S65" i="108"/>
  <c r="N65" i="108"/>
  <c r="I65" i="108"/>
  <c r="E65" i="108"/>
  <c r="S64" i="108"/>
  <c r="N64" i="108"/>
  <c r="I64" i="108"/>
  <c r="E64" i="108"/>
  <c r="S63" i="108"/>
  <c r="N63" i="108"/>
  <c r="I63" i="108"/>
  <c r="E63" i="108"/>
  <c r="S62" i="108"/>
  <c r="N62" i="108"/>
  <c r="I62" i="108"/>
  <c r="E62" i="108"/>
  <c r="S61" i="108"/>
  <c r="N61" i="108"/>
  <c r="I61" i="108"/>
  <c r="E61" i="108"/>
  <c r="S60" i="108"/>
  <c r="N60" i="108"/>
  <c r="I60" i="108"/>
  <c r="E60" i="108"/>
  <c r="S59" i="108"/>
  <c r="N59" i="108"/>
  <c r="I59" i="108"/>
  <c r="E59" i="108"/>
  <c r="S58" i="108"/>
  <c r="N58" i="108"/>
  <c r="I58" i="108"/>
  <c r="E58" i="108"/>
  <c r="S57" i="108"/>
  <c r="N57" i="108"/>
  <c r="I57" i="108"/>
  <c r="E57" i="108"/>
  <c r="S56" i="108"/>
  <c r="N56" i="108"/>
  <c r="I56" i="108"/>
  <c r="E56" i="108"/>
  <c r="S55" i="108"/>
  <c r="N55" i="108"/>
  <c r="I55" i="108"/>
  <c r="E55" i="108"/>
  <c r="R54" i="108"/>
  <c r="Q54" i="108"/>
  <c r="M54" i="108"/>
  <c r="L54" i="108"/>
  <c r="H54" i="108"/>
  <c r="G54" i="108"/>
  <c r="D54" i="108"/>
  <c r="C54" i="108"/>
  <c r="S52" i="108"/>
  <c r="N52" i="108"/>
  <c r="I52" i="108"/>
  <c r="E52" i="108"/>
  <c r="S51" i="108"/>
  <c r="N51" i="108"/>
  <c r="I51" i="108"/>
  <c r="E51" i="108"/>
  <c r="R50" i="108"/>
  <c r="Q50" i="108"/>
  <c r="M50" i="108"/>
  <c r="L50" i="108"/>
  <c r="H50" i="108"/>
  <c r="G50" i="108"/>
  <c r="D50" i="108"/>
  <c r="C50" i="108"/>
  <c r="E49" i="108"/>
  <c r="S48" i="108"/>
  <c r="N48" i="108"/>
  <c r="I48" i="108"/>
  <c r="E48" i="108"/>
  <c r="S47" i="108"/>
  <c r="N47" i="108"/>
  <c r="I47" i="108"/>
  <c r="E47" i="108"/>
  <c r="S46" i="108"/>
  <c r="N46" i="108"/>
  <c r="I46" i="108"/>
  <c r="E46" i="108"/>
  <c r="S45" i="108"/>
  <c r="N45" i="108"/>
  <c r="I45" i="108"/>
  <c r="E45" i="108"/>
  <c r="S44" i="108"/>
  <c r="N44" i="108"/>
  <c r="I44" i="108"/>
  <c r="E44" i="108"/>
  <c r="S43" i="108"/>
  <c r="N43" i="108"/>
  <c r="I43" i="108"/>
  <c r="E43" i="108"/>
  <c r="S42" i="108"/>
  <c r="N42" i="108"/>
  <c r="I42" i="108"/>
  <c r="E42" i="108"/>
  <c r="R41" i="108"/>
  <c r="Q41" i="108"/>
  <c r="M41" i="108"/>
  <c r="L41" i="108"/>
  <c r="H41" i="108"/>
  <c r="G41" i="108"/>
  <c r="D41" i="108"/>
  <c r="C41" i="108"/>
  <c r="S36" i="108"/>
  <c r="S35" i="108" s="1"/>
  <c r="N36" i="108"/>
  <c r="N35" i="108" s="1"/>
  <c r="I36" i="108"/>
  <c r="I35" i="108" s="1"/>
  <c r="E36" i="108"/>
  <c r="E35" i="108" s="1"/>
  <c r="R35" i="108"/>
  <c r="Q35" i="108"/>
  <c r="M35" i="108"/>
  <c r="L35" i="108"/>
  <c r="H35" i="108"/>
  <c r="G35" i="108"/>
  <c r="D35" i="108"/>
  <c r="C35" i="108"/>
  <c r="S33" i="108"/>
  <c r="N33" i="108"/>
  <c r="I33" i="108"/>
  <c r="E33" i="108"/>
  <c r="S32" i="108"/>
  <c r="N32" i="108"/>
  <c r="I32" i="108"/>
  <c r="E32" i="108"/>
  <c r="S31" i="108"/>
  <c r="N31" i="108"/>
  <c r="I31" i="108"/>
  <c r="E31" i="108"/>
  <c r="S30" i="108"/>
  <c r="N30" i="108"/>
  <c r="I30" i="108"/>
  <c r="E30" i="108"/>
  <c r="S29" i="108"/>
  <c r="N29" i="108"/>
  <c r="I29" i="108"/>
  <c r="E29" i="108"/>
  <c r="S28" i="108"/>
  <c r="N28" i="108"/>
  <c r="I28" i="108"/>
  <c r="E28" i="108"/>
  <c r="S27" i="108"/>
  <c r="N27" i="108"/>
  <c r="I27" i="108"/>
  <c r="E27" i="108"/>
  <c r="S26" i="108"/>
  <c r="N26" i="108"/>
  <c r="I26" i="108"/>
  <c r="E26" i="108"/>
  <c r="S25" i="108"/>
  <c r="N25" i="108"/>
  <c r="I25" i="108"/>
  <c r="E25" i="108"/>
  <c r="S24" i="108"/>
  <c r="N24" i="108"/>
  <c r="I24" i="108"/>
  <c r="E24" i="108"/>
  <c r="E23" i="108"/>
  <c r="S22" i="108"/>
  <c r="N22" i="108"/>
  <c r="I22" i="108"/>
  <c r="E22" i="108"/>
  <c r="S21" i="108"/>
  <c r="N21" i="108"/>
  <c r="I21" i="108"/>
  <c r="E21" i="108"/>
  <c r="S20" i="108"/>
  <c r="N20" i="108"/>
  <c r="I20" i="108"/>
  <c r="E20" i="108"/>
  <c r="S19" i="108"/>
  <c r="N19" i="108"/>
  <c r="I19" i="108"/>
  <c r="E19" i="108"/>
  <c r="S18" i="108"/>
  <c r="N18" i="108"/>
  <c r="I18" i="108"/>
  <c r="E18" i="108"/>
  <c r="S17" i="108"/>
  <c r="N17" i="108"/>
  <c r="I17" i="108"/>
  <c r="E17" i="108"/>
  <c r="S16" i="108"/>
  <c r="N16" i="108"/>
  <c r="I16" i="108"/>
  <c r="E16" i="108"/>
  <c r="S15" i="108"/>
  <c r="N15" i="108"/>
  <c r="I15" i="108"/>
  <c r="E15" i="108"/>
  <c r="S14" i="108"/>
  <c r="N14" i="108"/>
  <c r="I14" i="108"/>
  <c r="E14" i="108"/>
  <c r="S13" i="108"/>
  <c r="N13" i="108"/>
  <c r="I13" i="108"/>
  <c r="E13" i="108"/>
  <c r="S12" i="108"/>
  <c r="N12" i="108"/>
  <c r="I12" i="108"/>
  <c r="E12" i="108"/>
  <c r="S11" i="108"/>
  <c r="N11" i="108"/>
  <c r="I11" i="108"/>
  <c r="E11" i="108"/>
  <c r="S10" i="108"/>
  <c r="N10" i="108"/>
  <c r="I10" i="108"/>
  <c r="E10" i="108"/>
  <c r="S9" i="108"/>
  <c r="N9" i="108"/>
  <c r="I9" i="108"/>
  <c r="E9" i="108"/>
  <c r="R8" i="108"/>
  <c r="Q8" i="108"/>
  <c r="Q38" i="108" s="1"/>
  <c r="M8" i="108"/>
  <c r="L8" i="108"/>
  <c r="H8" i="108"/>
  <c r="G8" i="108"/>
  <c r="D8" i="108"/>
  <c r="C8" i="108"/>
  <c r="S7" i="108"/>
  <c r="N7" i="108"/>
  <c r="I7" i="108"/>
  <c r="E7" i="108"/>
  <c r="S6" i="108"/>
  <c r="N6" i="108"/>
  <c r="N5" i="108" s="1"/>
  <c r="I6" i="108"/>
  <c r="I5" i="108" s="1"/>
  <c r="E6" i="108"/>
  <c r="E5" i="108" s="1"/>
  <c r="M5" i="108"/>
  <c r="L5" i="108"/>
  <c r="H5" i="108"/>
  <c r="G5" i="108"/>
  <c r="D5" i="108"/>
  <c r="C5" i="108"/>
  <c r="AP73" i="108" l="1"/>
  <c r="AP84" i="108" s="1"/>
  <c r="AP86" i="108" s="1"/>
  <c r="AP87" i="108" s="1"/>
  <c r="AR74" i="108"/>
  <c r="AR73" i="108" s="1"/>
  <c r="E41" i="108"/>
  <c r="E50" i="108"/>
  <c r="S5" i="108"/>
  <c r="I41" i="108"/>
  <c r="J41" i="108" s="1"/>
  <c r="D38" i="108"/>
  <c r="D75" i="108" s="1"/>
  <c r="N41" i="108"/>
  <c r="C38" i="108"/>
  <c r="S41" i="108"/>
  <c r="G73" i="108"/>
  <c r="Q75" i="108"/>
  <c r="E8" i="108"/>
  <c r="E38" i="108" s="1"/>
  <c r="I54" i="108"/>
  <c r="L38" i="108"/>
  <c r="L75" i="108" s="1"/>
  <c r="L76" i="108" s="1"/>
  <c r="R38" i="108"/>
  <c r="R39" i="108" s="1"/>
  <c r="M38" i="108"/>
  <c r="M75" i="108" s="1"/>
  <c r="N8" i="108"/>
  <c r="N38" i="108" s="1"/>
  <c r="N39" i="108" s="1"/>
  <c r="E77" i="108"/>
  <c r="G38" i="108"/>
  <c r="G75" i="108" s="1"/>
  <c r="G81" i="108" s="1"/>
  <c r="G83" i="108" s="1"/>
  <c r="G84" i="108" s="1"/>
  <c r="H38" i="108"/>
  <c r="H75" i="108" s="1"/>
  <c r="H81" i="108" s="1"/>
  <c r="H83" i="108" s="1"/>
  <c r="H84" i="108" s="1"/>
  <c r="E54" i="108"/>
  <c r="S8" i="108"/>
  <c r="I8" i="108"/>
  <c r="Q39" i="108"/>
  <c r="I50" i="108"/>
  <c r="S54" i="108"/>
  <c r="I74" i="108"/>
  <c r="I73" i="108" s="1"/>
  <c r="S50" i="108"/>
  <c r="N50" i="108"/>
  <c r="N54" i="108"/>
  <c r="S38" i="108" l="1"/>
  <c r="M39" i="108"/>
  <c r="D39" i="108"/>
  <c r="G39" i="108"/>
  <c r="H39" i="108"/>
  <c r="C75" i="108"/>
  <c r="C81" i="108" s="1"/>
  <c r="C83" i="108" s="1"/>
  <c r="C84" i="108" s="1"/>
  <c r="C86" i="108" s="1"/>
  <c r="C87" i="108" s="1"/>
  <c r="R75" i="108"/>
  <c r="R76" i="108" s="1"/>
  <c r="C39" i="108"/>
  <c r="E89" i="108"/>
  <c r="F25" i="108" s="1"/>
  <c r="L81" i="108"/>
  <c r="L83" i="108" s="1"/>
  <c r="L84" i="108" s="1"/>
  <c r="L86" i="108" s="1"/>
  <c r="L87" i="108" s="1"/>
  <c r="L39" i="108"/>
  <c r="Q81" i="108"/>
  <c r="Q83" i="108" s="1"/>
  <c r="Q84" i="108" s="1"/>
  <c r="Q86" i="108" s="1"/>
  <c r="Q87" i="108" s="1"/>
  <c r="Q76" i="108"/>
  <c r="N75" i="108"/>
  <c r="E75" i="108"/>
  <c r="E39" i="108"/>
  <c r="M76" i="108"/>
  <c r="M81" i="108"/>
  <c r="M83" i="108" s="1"/>
  <c r="M84" i="108" s="1"/>
  <c r="M86" i="108" s="1"/>
  <c r="M87" i="108" s="1"/>
  <c r="F54" i="108"/>
  <c r="G76" i="108"/>
  <c r="S75" i="108"/>
  <c r="S39" i="108"/>
  <c r="F41" i="108"/>
  <c r="F33" i="108"/>
  <c r="F21" i="108"/>
  <c r="F14" i="108"/>
  <c r="F44" i="108"/>
  <c r="F43" i="108"/>
  <c r="D76" i="108"/>
  <c r="D81" i="108"/>
  <c r="D83" i="108" s="1"/>
  <c r="D84" i="108" s="1"/>
  <c r="D86" i="108" s="1"/>
  <c r="D87" i="108" s="1"/>
  <c r="H76" i="108"/>
  <c r="F26" i="108"/>
  <c r="I38" i="108"/>
  <c r="R81" i="108" l="1"/>
  <c r="R83" i="108" s="1"/>
  <c r="R84" i="108" s="1"/>
  <c r="R86" i="108" s="1"/>
  <c r="R87" i="108" s="1"/>
  <c r="F13" i="108"/>
  <c r="F69" i="108"/>
  <c r="F8" i="108"/>
  <c r="C76" i="108"/>
  <c r="F72" i="108"/>
  <c r="F30" i="108"/>
  <c r="F65" i="108"/>
  <c r="F57" i="108"/>
  <c r="F52" i="108"/>
  <c r="F47" i="108"/>
  <c r="F17" i="108"/>
  <c r="F67" i="108"/>
  <c r="F31" i="108"/>
  <c r="F50" i="108"/>
  <c r="F35" i="108"/>
  <c r="F48" i="108"/>
  <c r="F18" i="108"/>
  <c r="F9" i="108"/>
  <c r="F71" i="108"/>
  <c r="F29" i="108"/>
  <c r="F68" i="108"/>
  <c r="F24" i="108"/>
  <c r="F58" i="108"/>
  <c r="F36" i="108"/>
  <c r="F45" i="108"/>
  <c r="F61" i="108"/>
  <c r="F15" i="108"/>
  <c r="F19" i="108"/>
  <c r="F55" i="108"/>
  <c r="F10" i="108"/>
  <c r="F59" i="108"/>
  <c r="F85" i="108"/>
  <c r="F32" i="108"/>
  <c r="F64" i="108"/>
  <c r="F70" i="108"/>
  <c r="F62" i="108"/>
  <c r="F28" i="108"/>
  <c r="F27" i="108"/>
  <c r="F42" i="108"/>
  <c r="F46" i="108"/>
  <c r="F12" i="108"/>
  <c r="F16" i="108"/>
  <c r="F20" i="108"/>
  <c r="F56" i="108"/>
  <c r="F11" i="108"/>
  <c r="F63" i="108"/>
  <c r="F73" i="108"/>
  <c r="F51" i="108"/>
  <c r="F60" i="108"/>
  <c r="F82" i="108"/>
  <c r="F66" i="108"/>
  <c r="F79" i="108"/>
  <c r="N76" i="108"/>
  <c r="I75" i="108"/>
  <c r="I39" i="108"/>
  <c r="H86" i="108"/>
  <c r="H87" i="108" s="1"/>
  <c r="S76" i="108"/>
  <c r="G86" i="108"/>
  <c r="G87" i="108" s="1"/>
  <c r="E76" i="108"/>
  <c r="E81" i="108"/>
  <c r="E83" i="108" s="1"/>
  <c r="E84" i="108" s="1"/>
  <c r="E86" i="108" s="1"/>
  <c r="E87" i="108" s="1"/>
  <c r="I76" i="108" l="1"/>
  <c r="X85" i="107" l="1"/>
  <c r="S85" i="107"/>
  <c r="N85" i="107"/>
  <c r="E85" i="107"/>
  <c r="X82" i="107"/>
  <c r="S82" i="107"/>
  <c r="N82" i="107"/>
  <c r="E82" i="107"/>
  <c r="E79" i="107"/>
  <c r="BF77" i="107"/>
  <c r="X78" i="107"/>
  <c r="S78" i="107"/>
  <c r="N78" i="107"/>
  <c r="E78" i="107"/>
  <c r="W77" i="107"/>
  <c r="V77" i="107"/>
  <c r="R77" i="107"/>
  <c r="Q77" i="107"/>
  <c r="M77" i="107"/>
  <c r="L77" i="107"/>
  <c r="D77" i="107"/>
  <c r="C77" i="107"/>
  <c r="BF74" i="107"/>
  <c r="BF73" i="107" s="1"/>
  <c r="X74" i="107"/>
  <c r="X73" i="107" s="1"/>
  <c r="S74" i="107"/>
  <c r="S73" i="107" s="1"/>
  <c r="L74" i="107"/>
  <c r="E74" i="107"/>
  <c r="E73" i="107" s="1"/>
  <c r="W73" i="107"/>
  <c r="V73" i="107"/>
  <c r="R73" i="107"/>
  <c r="Q73" i="107"/>
  <c r="M73" i="107"/>
  <c r="D73" i="107"/>
  <c r="C73" i="107"/>
  <c r="BF72" i="107"/>
  <c r="BE72" i="107"/>
  <c r="E72" i="107"/>
  <c r="X71" i="107"/>
  <c r="S71" i="107"/>
  <c r="N71" i="107"/>
  <c r="E71" i="107"/>
  <c r="BG70" i="107"/>
  <c r="X70" i="107"/>
  <c r="S70" i="107"/>
  <c r="N70" i="107"/>
  <c r="E70" i="107"/>
  <c r="X69" i="107"/>
  <c r="N69" i="107"/>
  <c r="E69" i="107"/>
  <c r="X68" i="107"/>
  <c r="S68" i="107"/>
  <c r="N68" i="107"/>
  <c r="E68" i="107"/>
  <c r="X67" i="107"/>
  <c r="S67" i="107"/>
  <c r="N67" i="107"/>
  <c r="E67" i="107"/>
  <c r="X66" i="107"/>
  <c r="S66" i="107"/>
  <c r="N66" i="107"/>
  <c r="E66" i="107"/>
  <c r="X65" i="107"/>
  <c r="S65" i="107"/>
  <c r="N65" i="107"/>
  <c r="E65" i="107"/>
  <c r="X64" i="107"/>
  <c r="S64" i="107"/>
  <c r="N64" i="107"/>
  <c r="E64" i="107"/>
  <c r="X63" i="107"/>
  <c r="S63" i="107"/>
  <c r="N63" i="107"/>
  <c r="E63" i="107"/>
  <c r="X62" i="107"/>
  <c r="S62" i="107"/>
  <c r="N62" i="107"/>
  <c r="E62" i="107"/>
  <c r="BG61" i="107"/>
  <c r="X61" i="107"/>
  <c r="S61" i="107"/>
  <c r="N61" i="107"/>
  <c r="E61" i="107"/>
  <c r="X60" i="107"/>
  <c r="S60" i="107"/>
  <c r="N60" i="107"/>
  <c r="E60" i="107"/>
  <c r="BG59" i="107"/>
  <c r="X59" i="107"/>
  <c r="S59" i="107"/>
  <c r="N59" i="107"/>
  <c r="E59" i="107"/>
  <c r="X58" i="107"/>
  <c r="S58" i="107"/>
  <c r="N58" i="107"/>
  <c r="E58" i="107"/>
  <c r="BG57" i="107"/>
  <c r="X57" i="107"/>
  <c r="S57" i="107"/>
  <c r="N57" i="107"/>
  <c r="E57" i="107"/>
  <c r="BG56" i="107"/>
  <c r="X56" i="107"/>
  <c r="S56" i="107"/>
  <c r="N56" i="107"/>
  <c r="E56" i="107"/>
  <c r="X55" i="107"/>
  <c r="S55" i="107"/>
  <c r="N55" i="107"/>
  <c r="E55" i="107"/>
  <c r="W54" i="107"/>
  <c r="V54" i="107"/>
  <c r="R54" i="107"/>
  <c r="Q54" i="107"/>
  <c r="M54" i="107"/>
  <c r="L54" i="107"/>
  <c r="D54" i="107"/>
  <c r="C54" i="107"/>
  <c r="BG53" i="107"/>
  <c r="X52" i="107"/>
  <c r="S52" i="107"/>
  <c r="N52" i="107"/>
  <c r="E52" i="107"/>
  <c r="BG51" i="107"/>
  <c r="X51" i="107"/>
  <c r="S51" i="107"/>
  <c r="N51" i="107"/>
  <c r="N50" i="107" s="1"/>
  <c r="E51" i="107"/>
  <c r="W50" i="107"/>
  <c r="V50" i="107"/>
  <c r="R50" i="107"/>
  <c r="Q50" i="107"/>
  <c r="M50" i="107"/>
  <c r="L50" i="107"/>
  <c r="D50" i="107"/>
  <c r="C50" i="107"/>
  <c r="E49" i="107"/>
  <c r="X48" i="107"/>
  <c r="S48" i="107"/>
  <c r="N48" i="107"/>
  <c r="E48" i="107"/>
  <c r="BG47" i="107"/>
  <c r="X47" i="107"/>
  <c r="S47" i="107"/>
  <c r="N47" i="107"/>
  <c r="E47" i="107"/>
  <c r="X46" i="107"/>
  <c r="S46" i="107"/>
  <c r="N46" i="107"/>
  <c r="E46" i="107"/>
  <c r="X45" i="107"/>
  <c r="S45" i="107"/>
  <c r="N45" i="107"/>
  <c r="E45" i="107"/>
  <c r="X44" i="107"/>
  <c r="S44" i="107"/>
  <c r="N44" i="107"/>
  <c r="E44" i="107"/>
  <c r="X43" i="107"/>
  <c r="S43" i="107"/>
  <c r="N43" i="107"/>
  <c r="E43" i="107"/>
  <c r="X42" i="107"/>
  <c r="S42" i="107"/>
  <c r="N42" i="107"/>
  <c r="E42" i="107"/>
  <c r="W41" i="107"/>
  <c r="V41" i="107"/>
  <c r="R41" i="107"/>
  <c r="Q41" i="107"/>
  <c r="M41" i="107"/>
  <c r="L41" i="107"/>
  <c r="D41" i="107"/>
  <c r="C41" i="107"/>
  <c r="BF36" i="107"/>
  <c r="BF35" i="107" s="1"/>
  <c r="BE36" i="107"/>
  <c r="X36" i="107"/>
  <c r="S36" i="107"/>
  <c r="S35" i="107" s="1"/>
  <c r="N36" i="107"/>
  <c r="E36" i="107"/>
  <c r="E35" i="107" s="1"/>
  <c r="W35" i="107"/>
  <c r="V35" i="107"/>
  <c r="R35" i="107"/>
  <c r="Q35" i="107"/>
  <c r="M35" i="107"/>
  <c r="L35" i="107"/>
  <c r="D35" i="107"/>
  <c r="C35" i="107"/>
  <c r="X33" i="107"/>
  <c r="S33" i="107"/>
  <c r="N33" i="107"/>
  <c r="E33" i="107"/>
  <c r="X32" i="107"/>
  <c r="S32" i="107"/>
  <c r="N32" i="107"/>
  <c r="E32" i="107"/>
  <c r="X31" i="107"/>
  <c r="S31" i="107"/>
  <c r="E31" i="107"/>
  <c r="X30" i="107"/>
  <c r="S30" i="107"/>
  <c r="N30" i="107"/>
  <c r="E30" i="107"/>
  <c r="X29" i="107"/>
  <c r="S29" i="107"/>
  <c r="N29" i="107"/>
  <c r="E29" i="107"/>
  <c r="X28" i="107"/>
  <c r="S28" i="107"/>
  <c r="N28" i="107"/>
  <c r="X27" i="107"/>
  <c r="S27" i="107"/>
  <c r="N27" i="107"/>
  <c r="E27" i="107"/>
  <c r="X26" i="107"/>
  <c r="S26" i="107"/>
  <c r="N26" i="107"/>
  <c r="E26" i="107"/>
  <c r="X25" i="107"/>
  <c r="S25" i="107"/>
  <c r="N25" i="107"/>
  <c r="E25" i="107"/>
  <c r="X24" i="107"/>
  <c r="S24" i="107"/>
  <c r="N24" i="107"/>
  <c r="E24" i="107"/>
  <c r="E23" i="107"/>
  <c r="X22" i="107"/>
  <c r="S22" i="107"/>
  <c r="N22" i="107"/>
  <c r="E22" i="107"/>
  <c r="X21" i="107"/>
  <c r="S21" i="107"/>
  <c r="N21" i="107"/>
  <c r="E21" i="107"/>
  <c r="X20" i="107"/>
  <c r="S20" i="107"/>
  <c r="N20" i="107"/>
  <c r="E20" i="107"/>
  <c r="X19" i="107"/>
  <c r="N19" i="107"/>
  <c r="E19" i="107"/>
  <c r="X18" i="107"/>
  <c r="S18" i="107"/>
  <c r="E18" i="107"/>
  <c r="X17" i="107"/>
  <c r="S17" i="107"/>
  <c r="N17" i="107"/>
  <c r="E17" i="107"/>
  <c r="X16" i="107"/>
  <c r="S16" i="107"/>
  <c r="N16" i="107"/>
  <c r="E16" i="107"/>
  <c r="X15" i="107"/>
  <c r="S15" i="107"/>
  <c r="N15" i="107"/>
  <c r="E15" i="107"/>
  <c r="X14" i="107"/>
  <c r="S14" i="107"/>
  <c r="N14" i="107"/>
  <c r="E14" i="107"/>
  <c r="X13" i="107"/>
  <c r="S13" i="107"/>
  <c r="N13" i="107"/>
  <c r="E13" i="107"/>
  <c r="X12" i="107"/>
  <c r="S12" i="107"/>
  <c r="M8" i="107"/>
  <c r="E12" i="107"/>
  <c r="X11" i="107"/>
  <c r="S11" i="107"/>
  <c r="N11" i="107"/>
  <c r="E11" i="107"/>
  <c r="X10" i="107"/>
  <c r="S10" i="107"/>
  <c r="N10" i="107"/>
  <c r="E10" i="107"/>
  <c r="X9" i="107"/>
  <c r="S9" i="107"/>
  <c r="N9" i="107"/>
  <c r="E9" i="107"/>
  <c r="W8" i="107"/>
  <c r="V8" i="107"/>
  <c r="V38" i="107" s="1"/>
  <c r="V39" i="107" s="1"/>
  <c r="R8" i="107"/>
  <c r="D8" i="107"/>
  <c r="X7" i="107"/>
  <c r="S7" i="107"/>
  <c r="N7" i="107"/>
  <c r="E7" i="107"/>
  <c r="X6" i="107"/>
  <c r="X5" i="107" s="1"/>
  <c r="S6" i="107"/>
  <c r="S5" i="107" s="1"/>
  <c r="N6" i="107"/>
  <c r="N5" i="107" s="1"/>
  <c r="E6" i="107"/>
  <c r="E5" i="107" s="1"/>
  <c r="R5" i="107"/>
  <c r="Q5" i="107"/>
  <c r="M5" i="107"/>
  <c r="L5" i="107"/>
  <c r="D5" i="107"/>
  <c r="C5" i="107"/>
  <c r="X50" i="107" l="1"/>
  <c r="E50" i="107"/>
  <c r="BG72" i="107"/>
  <c r="BG36" i="107"/>
  <c r="BG35" i="107" s="1"/>
  <c r="X41" i="107"/>
  <c r="BG30" i="107"/>
  <c r="BG45" i="107"/>
  <c r="BE35" i="107"/>
  <c r="BG17" i="107"/>
  <c r="BG23" i="107"/>
  <c r="BG42" i="107"/>
  <c r="BG44" i="107"/>
  <c r="BG46" i="107"/>
  <c r="BG48" i="107"/>
  <c r="BG28" i="107"/>
  <c r="BG58" i="107"/>
  <c r="N41" i="107"/>
  <c r="O41" i="107" s="1"/>
  <c r="L73" i="107"/>
  <c r="X8" i="107"/>
  <c r="X38" i="107" s="1"/>
  <c r="S50" i="107"/>
  <c r="BG60" i="107"/>
  <c r="N74" i="107"/>
  <c r="N73" i="107" s="1"/>
  <c r="W38" i="107"/>
  <c r="W75" i="107" s="1"/>
  <c r="W76" i="107" s="1"/>
  <c r="BG15" i="107"/>
  <c r="BG32" i="107"/>
  <c r="BG55" i="107"/>
  <c r="BG71" i="107"/>
  <c r="BG7" i="107"/>
  <c r="BF41" i="107"/>
  <c r="BG10" i="107"/>
  <c r="E77" i="107"/>
  <c r="D38" i="107"/>
  <c r="BG21" i="107"/>
  <c r="BG16" i="107"/>
  <c r="BG9" i="107"/>
  <c r="BG11" i="107"/>
  <c r="BG14" i="107"/>
  <c r="R38" i="107"/>
  <c r="R39" i="107" s="1"/>
  <c r="BG33" i="107"/>
  <c r="BG29" i="107"/>
  <c r="BG26" i="107"/>
  <c r="BG13" i="107"/>
  <c r="M38" i="107"/>
  <c r="M39" i="107" s="1"/>
  <c r="C8" i="107"/>
  <c r="C38" i="107" s="1"/>
  <c r="E28" i="107"/>
  <c r="Q8" i="107"/>
  <c r="Q38" i="107" s="1"/>
  <c r="S19" i="107"/>
  <c r="N12" i="107"/>
  <c r="L8" i="107"/>
  <c r="L38" i="107" s="1"/>
  <c r="BG18" i="107"/>
  <c r="N18" i="107"/>
  <c r="BG24" i="107"/>
  <c r="BG22" i="107"/>
  <c r="BG27" i="107"/>
  <c r="S41" i="107"/>
  <c r="BG6" i="107"/>
  <c r="BG20" i="107"/>
  <c r="BG43" i="107"/>
  <c r="BE41" i="107"/>
  <c r="BG52" i="107"/>
  <c r="BE50" i="107"/>
  <c r="X54" i="107"/>
  <c r="BF8" i="107"/>
  <c r="BF38" i="107" s="1"/>
  <c r="BG19" i="107"/>
  <c r="X35" i="107"/>
  <c r="E41" i="107"/>
  <c r="BF50" i="107"/>
  <c r="E54" i="107"/>
  <c r="BG31" i="107"/>
  <c r="N54" i="107"/>
  <c r="S69" i="107"/>
  <c r="V75" i="107"/>
  <c r="BG78" i="107"/>
  <c r="BE77" i="107"/>
  <c r="BG25" i="107"/>
  <c r="N35" i="107"/>
  <c r="N31" i="107"/>
  <c r="BF54" i="107"/>
  <c r="BG62" i="107"/>
  <c r="BG63" i="107"/>
  <c r="BG64" i="107"/>
  <c r="BG65" i="107"/>
  <c r="BG66" i="107"/>
  <c r="BG67" i="107"/>
  <c r="BG68" i="107"/>
  <c r="BE74" i="107"/>
  <c r="BG69" i="107"/>
  <c r="X85" i="91"/>
  <c r="X82" i="91"/>
  <c r="X78" i="91"/>
  <c r="W77" i="91"/>
  <c r="V77" i="91"/>
  <c r="X74" i="91"/>
  <c r="X73" i="91" s="1"/>
  <c r="W73" i="91"/>
  <c r="V73" i="91"/>
  <c r="X71" i="91"/>
  <c r="X70" i="91"/>
  <c r="X69" i="91"/>
  <c r="X68" i="91"/>
  <c r="X67" i="91"/>
  <c r="X66" i="91"/>
  <c r="X65" i="91"/>
  <c r="X64" i="91"/>
  <c r="X63" i="91"/>
  <c r="X62" i="91"/>
  <c r="X61" i="91"/>
  <c r="X60" i="91"/>
  <c r="X59" i="91"/>
  <c r="X58" i="91"/>
  <c r="X57" i="91"/>
  <c r="X56" i="91"/>
  <c r="X55" i="91"/>
  <c r="W54" i="91"/>
  <c r="V54" i="91"/>
  <c r="X52" i="91"/>
  <c r="X51" i="91"/>
  <c r="W50" i="91"/>
  <c r="V50" i="91"/>
  <c r="X48" i="91"/>
  <c r="X47" i="91"/>
  <c r="X46" i="91"/>
  <c r="X45" i="91"/>
  <c r="X44" i="91"/>
  <c r="X43" i="91"/>
  <c r="X42" i="91"/>
  <c r="W41" i="91"/>
  <c r="V41" i="91"/>
  <c r="X36" i="91"/>
  <c r="X35" i="91" s="1"/>
  <c r="W35" i="91"/>
  <c r="V35" i="91"/>
  <c r="X33" i="91"/>
  <c r="X32" i="91"/>
  <c r="X31" i="91"/>
  <c r="X30" i="91"/>
  <c r="X29" i="91"/>
  <c r="X28" i="91"/>
  <c r="X27" i="91"/>
  <c r="X26" i="91"/>
  <c r="X25" i="91"/>
  <c r="X24" i="91"/>
  <c r="X21" i="91"/>
  <c r="X20" i="91"/>
  <c r="X19" i="91"/>
  <c r="X18" i="91"/>
  <c r="X17" i="91"/>
  <c r="X16" i="91"/>
  <c r="X15" i="91"/>
  <c r="X14" i="91"/>
  <c r="X13" i="91"/>
  <c r="X12" i="91"/>
  <c r="X11" i="91"/>
  <c r="X10" i="91"/>
  <c r="X9" i="91"/>
  <c r="W8" i="91"/>
  <c r="V8" i="91"/>
  <c r="X7" i="91"/>
  <c r="X6" i="91"/>
  <c r="X5" i="91" s="1"/>
  <c r="W5" i="91"/>
  <c r="V5" i="91"/>
  <c r="X41" i="91" l="1"/>
  <c r="X50" i="91"/>
  <c r="BG5" i="107"/>
  <c r="BG41" i="107"/>
  <c r="W81" i="107"/>
  <c r="W83" i="107" s="1"/>
  <c r="W84" i="107" s="1"/>
  <c r="W86" i="107" s="1"/>
  <c r="W87" i="107" s="1"/>
  <c r="W39" i="107"/>
  <c r="R75" i="107"/>
  <c r="R81" i="107" s="1"/>
  <c r="R83" i="107" s="1"/>
  <c r="R84" i="107" s="1"/>
  <c r="R86" i="107" s="1"/>
  <c r="R87" i="107" s="1"/>
  <c r="V38" i="91"/>
  <c r="V39" i="91" s="1"/>
  <c r="D39" i="107"/>
  <c r="D75" i="107"/>
  <c r="BG54" i="107"/>
  <c r="M75" i="107"/>
  <c r="M81" i="107" s="1"/>
  <c r="M83" i="107" s="1"/>
  <c r="M84" i="107" s="1"/>
  <c r="BF75" i="107"/>
  <c r="BF81" i="107" s="1"/>
  <c r="BF83" i="107" s="1"/>
  <c r="BF39" i="107"/>
  <c r="E8" i="107"/>
  <c r="L75" i="107"/>
  <c r="L39" i="107"/>
  <c r="X75" i="107"/>
  <c r="X39" i="107"/>
  <c r="BG12" i="107"/>
  <c r="BE8" i="107"/>
  <c r="BE38" i="107" s="1"/>
  <c r="N8" i="107"/>
  <c r="Q75" i="107"/>
  <c r="Q39" i="107"/>
  <c r="V76" i="107"/>
  <c r="V81" i="107"/>
  <c r="V83" i="107" s="1"/>
  <c r="V84" i="107" s="1"/>
  <c r="V86" i="107" s="1"/>
  <c r="V87" i="107" s="1"/>
  <c r="C75" i="107"/>
  <c r="C39" i="107"/>
  <c r="BG74" i="107"/>
  <c r="BG73" i="107" s="1"/>
  <c r="BE73" i="107"/>
  <c r="BE54" i="107"/>
  <c r="BG50" i="107"/>
  <c r="S8" i="107"/>
  <c r="S54" i="107"/>
  <c r="X54" i="91"/>
  <c r="W38" i="91"/>
  <c r="W75" i="91" s="1"/>
  <c r="X8" i="91"/>
  <c r="AC85" i="99"/>
  <c r="AC82" i="99"/>
  <c r="AC78" i="99"/>
  <c r="AB77" i="99"/>
  <c r="AA77" i="99"/>
  <c r="AC74" i="99"/>
  <c r="AC73" i="99" s="1"/>
  <c r="AB73" i="99"/>
  <c r="AA73" i="99"/>
  <c r="AC71" i="99"/>
  <c r="AC70" i="99"/>
  <c r="AC69" i="99"/>
  <c r="AC68" i="99"/>
  <c r="AC67" i="99"/>
  <c r="AC66" i="99"/>
  <c r="AC65" i="99"/>
  <c r="AC64" i="99"/>
  <c r="AC63" i="99"/>
  <c r="AC62" i="99"/>
  <c r="AC61" i="99"/>
  <c r="AC60" i="99"/>
  <c r="AC59" i="99"/>
  <c r="AC58" i="99"/>
  <c r="AC57" i="99"/>
  <c r="AC56" i="99"/>
  <c r="AC55" i="99"/>
  <c r="AB54" i="99"/>
  <c r="AA54" i="99"/>
  <c r="AC52" i="99"/>
  <c r="AC51" i="99"/>
  <c r="AB50" i="99"/>
  <c r="AA50" i="99"/>
  <c r="AC48" i="99"/>
  <c r="AC47" i="99"/>
  <c r="AC46" i="99"/>
  <c r="AC45" i="99"/>
  <c r="AC44" i="99"/>
  <c r="AC43" i="99"/>
  <c r="AC42" i="99"/>
  <c r="AB41" i="99"/>
  <c r="AA41" i="99"/>
  <c r="AC36" i="99"/>
  <c r="AB35" i="99"/>
  <c r="AA35" i="99"/>
  <c r="AC33" i="99"/>
  <c r="AC32" i="99"/>
  <c r="AC31" i="99"/>
  <c r="AC30" i="99"/>
  <c r="AC29" i="99"/>
  <c r="AC28" i="99"/>
  <c r="AC27" i="99"/>
  <c r="AC26" i="99"/>
  <c r="AC25" i="99"/>
  <c r="AC24" i="99"/>
  <c r="AC23" i="99"/>
  <c r="AC22" i="99"/>
  <c r="AC21" i="99"/>
  <c r="AC20" i="99"/>
  <c r="AC19" i="99"/>
  <c r="AC18" i="99"/>
  <c r="AC17" i="99"/>
  <c r="AC16" i="99"/>
  <c r="AC15" i="99"/>
  <c r="AC14" i="99"/>
  <c r="AC13" i="99"/>
  <c r="AC12" i="99"/>
  <c r="AC11" i="99"/>
  <c r="AC10" i="99"/>
  <c r="AC9" i="99"/>
  <c r="AB8" i="99"/>
  <c r="AA8" i="99"/>
  <c r="AC7" i="99"/>
  <c r="AC6" i="99"/>
  <c r="AC5" i="99" s="1"/>
  <c r="AB5" i="99"/>
  <c r="AA5" i="99"/>
  <c r="AC9" i="102"/>
  <c r="AC78" i="102"/>
  <c r="AB77" i="102"/>
  <c r="AA77" i="102"/>
  <c r="AC74" i="102"/>
  <c r="AC73" i="102" s="1"/>
  <c r="AB73" i="102"/>
  <c r="AA73" i="102"/>
  <c r="AC71" i="102"/>
  <c r="AC70" i="102"/>
  <c r="AC69" i="102"/>
  <c r="AC68" i="102"/>
  <c r="AC67" i="102"/>
  <c r="AC66" i="102"/>
  <c r="AC65" i="102"/>
  <c r="AC64" i="102"/>
  <c r="AC63" i="102"/>
  <c r="AC62" i="102"/>
  <c r="AC61" i="102"/>
  <c r="AC60" i="102"/>
  <c r="AC59" i="102"/>
  <c r="AC58" i="102"/>
  <c r="AC57" i="102"/>
  <c r="AC56" i="102"/>
  <c r="AC55" i="102"/>
  <c r="AB54" i="102"/>
  <c r="AA54" i="102"/>
  <c r="AC52" i="102"/>
  <c r="AC51" i="102"/>
  <c r="AB50" i="102"/>
  <c r="AA50" i="102"/>
  <c r="AC48" i="102"/>
  <c r="AC47" i="102"/>
  <c r="AC46" i="102"/>
  <c r="AC45" i="102"/>
  <c r="AC44" i="102"/>
  <c r="AC43" i="102"/>
  <c r="AC42" i="102"/>
  <c r="AB41" i="102"/>
  <c r="AA41" i="102"/>
  <c r="AC36" i="102"/>
  <c r="AC35" i="102" s="1"/>
  <c r="AB35" i="102"/>
  <c r="AA35" i="102"/>
  <c r="AC33" i="102"/>
  <c r="AC32" i="102"/>
  <c r="AC31" i="102"/>
  <c r="AC30" i="102"/>
  <c r="AC29" i="102"/>
  <c r="AC28" i="102"/>
  <c r="AC27" i="102"/>
  <c r="AC26" i="102"/>
  <c r="AC25" i="102"/>
  <c r="AC24" i="102"/>
  <c r="AC23" i="102"/>
  <c r="AC22" i="102"/>
  <c r="AC21" i="102"/>
  <c r="AC20" i="102"/>
  <c r="AC19" i="102"/>
  <c r="AC18" i="102"/>
  <c r="AC17" i="102"/>
  <c r="AC16" i="102"/>
  <c r="AC15" i="102"/>
  <c r="AC14" i="102"/>
  <c r="AC13" i="102"/>
  <c r="AB8" i="102"/>
  <c r="AC11" i="102"/>
  <c r="AC10" i="102"/>
  <c r="AC7" i="102"/>
  <c r="AC6" i="102"/>
  <c r="AC5" i="102" s="1"/>
  <c r="AB5" i="102"/>
  <c r="AA5" i="102"/>
  <c r="AH85" i="86"/>
  <c r="AH82" i="86"/>
  <c r="AH78" i="86"/>
  <c r="AG77" i="86"/>
  <c r="AF77" i="86"/>
  <c r="AH74" i="86"/>
  <c r="AH73" i="86" s="1"/>
  <c r="AG73" i="86"/>
  <c r="AF73" i="86"/>
  <c r="AH71" i="86"/>
  <c r="AH70" i="86"/>
  <c r="AH69" i="86"/>
  <c r="AH68" i="86"/>
  <c r="AH67" i="86"/>
  <c r="AH66" i="86"/>
  <c r="AH65" i="86"/>
  <c r="AH64" i="86"/>
  <c r="AH63" i="86"/>
  <c r="AH62" i="86"/>
  <c r="AH61" i="86"/>
  <c r="AH60" i="86"/>
  <c r="AH59" i="86"/>
  <c r="AH58" i="86"/>
  <c r="AH57" i="86"/>
  <c r="AH56" i="86"/>
  <c r="AH55" i="86"/>
  <c r="AG54" i="86"/>
  <c r="AF54" i="86"/>
  <c r="AH52" i="86"/>
  <c r="AH51" i="86"/>
  <c r="AG50" i="86"/>
  <c r="AF50" i="86"/>
  <c r="AH48" i="86"/>
  <c r="AH47" i="86"/>
  <c r="AH46" i="86"/>
  <c r="AH45" i="86"/>
  <c r="AH44" i="86"/>
  <c r="AH43" i="86"/>
  <c r="AH42" i="86"/>
  <c r="AG41" i="86"/>
  <c r="AF41" i="86"/>
  <c r="AH36" i="86"/>
  <c r="AH35" i="86" s="1"/>
  <c r="AG35" i="86"/>
  <c r="AF35" i="86"/>
  <c r="AH33" i="86"/>
  <c r="AH32" i="86"/>
  <c r="AH31" i="86"/>
  <c r="AH30" i="86"/>
  <c r="AH29" i="86"/>
  <c r="AH28" i="86"/>
  <c r="AH27" i="86"/>
  <c r="AH26" i="86"/>
  <c r="AF8" i="86"/>
  <c r="AH24" i="86"/>
  <c r="AH21" i="86"/>
  <c r="AH20" i="86"/>
  <c r="AH19" i="86"/>
  <c r="AH18" i="86"/>
  <c r="AH17" i="86"/>
  <c r="AH16" i="86"/>
  <c r="AH15" i="86"/>
  <c r="AH14" i="86"/>
  <c r="AH13" i="86"/>
  <c r="AH12" i="86"/>
  <c r="AH11" i="86"/>
  <c r="AH10" i="86"/>
  <c r="AH9" i="86"/>
  <c r="AG8" i="86"/>
  <c r="AH7" i="86"/>
  <c r="AH6" i="86"/>
  <c r="AH5" i="86" s="1"/>
  <c r="AG5" i="86"/>
  <c r="AG38" i="86" s="1"/>
  <c r="AF5" i="86"/>
  <c r="AH85" i="90"/>
  <c r="AH82" i="90"/>
  <c r="AH80" i="90"/>
  <c r="AH78" i="90"/>
  <c r="AG77" i="90"/>
  <c r="AF77" i="90"/>
  <c r="AH74" i="90"/>
  <c r="AH73" i="90" s="1"/>
  <c r="AG73" i="90"/>
  <c r="AF73" i="90"/>
  <c r="AH72" i="90"/>
  <c r="AH71" i="90"/>
  <c r="AH70" i="90"/>
  <c r="AH69" i="90"/>
  <c r="AH68" i="90"/>
  <c r="AH67" i="90"/>
  <c r="AH66" i="90"/>
  <c r="AH65" i="90"/>
  <c r="AH64" i="90"/>
  <c r="AH63" i="90"/>
  <c r="AH62" i="90"/>
  <c r="AH61" i="90"/>
  <c r="AH60" i="90"/>
  <c r="AH59" i="90"/>
  <c r="AH58" i="90"/>
  <c r="AH57" i="90"/>
  <c r="AH56" i="90"/>
  <c r="AH55" i="90"/>
  <c r="AG54" i="90"/>
  <c r="AF54" i="90"/>
  <c r="AH53" i="90"/>
  <c r="AH52" i="90"/>
  <c r="AH51" i="90"/>
  <c r="AG50" i="90"/>
  <c r="AF50" i="90"/>
  <c r="AH49" i="90"/>
  <c r="AH48" i="90"/>
  <c r="AH47" i="90"/>
  <c r="AH46" i="90"/>
  <c r="AH45" i="90"/>
  <c r="AH44" i="90"/>
  <c r="AH43" i="90"/>
  <c r="AH42" i="90"/>
  <c r="AG41" i="90"/>
  <c r="AF41" i="90"/>
  <c r="AH37" i="90"/>
  <c r="AH35" i="90"/>
  <c r="AG35" i="90"/>
  <c r="AF35" i="90"/>
  <c r="AH33" i="90"/>
  <c r="AH32" i="90"/>
  <c r="AH31" i="90"/>
  <c r="AH30" i="90"/>
  <c r="AH29" i="90"/>
  <c r="AH28" i="90"/>
  <c r="AH27" i="90"/>
  <c r="AH26" i="90"/>
  <c r="AH25" i="90"/>
  <c r="AH24" i="90"/>
  <c r="AH21" i="90"/>
  <c r="AH20" i="90"/>
  <c r="AF8" i="90"/>
  <c r="AH18" i="90"/>
  <c r="AH17" i="90"/>
  <c r="AG8" i="90"/>
  <c r="AH11" i="90"/>
  <c r="AH10" i="90"/>
  <c r="AH9" i="90"/>
  <c r="AH7" i="90"/>
  <c r="AH6" i="90"/>
  <c r="AH5" i="90" s="1"/>
  <c r="AG5" i="90"/>
  <c r="AF5" i="90"/>
  <c r="BQ23" i="96"/>
  <c r="BU23" i="96" s="1"/>
  <c r="AH85" i="96"/>
  <c r="AH82" i="96"/>
  <c r="AH78" i="96"/>
  <c r="AH74" i="96"/>
  <c r="AH73" i="96" s="1"/>
  <c r="AG73" i="96"/>
  <c r="AF73" i="96"/>
  <c r="AH71" i="96"/>
  <c r="AH70" i="96"/>
  <c r="AH69" i="96"/>
  <c r="AH68" i="96"/>
  <c r="AH67" i="96"/>
  <c r="AH66" i="96"/>
  <c r="AH65" i="96"/>
  <c r="AH64" i="96"/>
  <c r="AH63" i="96"/>
  <c r="AH62" i="96"/>
  <c r="AH61" i="96"/>
  <c r="AH60" i="96"/>
  <c r="AH59" i="96"/>
  <c r="AH58" i="96"/>
  <c r="AH57" i="96"/>
  <c r="AH56" i="96"/>
  <c r="AH55" i="96"/>
  <c r="AG54" i="96"/>
  <c r="AF54" i="96"/>
  <c r="AH52" i="96"/>
  <c r="AH51" i="96"/>
  <c r="AG50" i="96"/>
  <c r="AF50" i="96"/>
  <c r="AH48" i="96"/>
  <c r="AH47" i="96"/>
  <c r="AH46" i="96"/>
  <c r="AH45" i="96"/>
  <c r="AH44" i="96"/>
  <c r="AH43" i="96"/>
  <c r="AH42" i="96"/>
  <c r="AG41" i="96"/>
  <c r="AF41" i="96"/>
  <c r="AH36" i="96"/>
  <c r="AH35" i="96" s="1"/>
  <c r="AG35" i="96"/>
  <c r="AF35" i="96"/>
  <c r="AH33" i="96"/>
  <c r="AH32" i="96"/>
  <c r="AH31" i="96"/>
  <c r="AH30" i="96"/>
  <c r="AH29" i="96"/>
  <c r="AH28" i="96"/>
  <c r="AH27" i="96"/>
  <c r="AH26" i="96"/>
  <c r="AH25" i="96"/>
  <c r="AH24" i="96"/>
  <c r="AH21" i="96"/>
  <c r="AH20" i="96"/>
  <c r="AH19" i="96"/>
  <c r="AH18" i="96"/>
  <c r="AH17" i="96"/>
  <c r="AH16" i="96"/>
  <c r="AH15" i="96"/>
  <c r="AH14" i="96"/>
  <c r="AH13" i="96"/>
  <c r="AH12" i="96"/>
  <c r="AH11" i="96"/>
  <c r="AH10" i="96"/>
  <c r="AH9" i="96"/>
  <c r="AF8" i="96"/>
  <c r="AH7" i="96"/>
  <c r="AH6" i="96"/>
  <c r="AG5" i="96"/>
  <c r="V75" i="91" l="1"/>
  <c r="AF38" i="86"/>
  <c r="AB38" i="99"/>
  <c r="AH50" i="86"/>
  <c r="AC79" i="99"/>
  <c r="AC77" i="99" s="1"/>
  <c r="AC50" i="99"/>
  <c r="AC54" i="99"/>
  <c r="AH54" i="86"/>
  <c r="AH50" i="90"/>
  <c r="AC50" i="102"/>
  <c r="BF84" i="107"/>
  <c r="BF86" i="107" s="1"/>
  <c r="BF87" i="107" s="1"/>
  <c r="W39" i="91"/>
  <c r="R76" i="107"/>
  <c r="AH50" i="96"/>
  <c r="AH5" i="96"/>
  <c r="BP5" i="96"/>
  <c r="AC8" i="99"/>
  <c r="AC38" i="99" s="1"/>
  <c r="AC41" i="99"/>
  <c r="X38" i="91"/>
  <c r="X75" i="91" s="1"/>
  <c r="M76" i="107"/>
  <c r="D76" i="107"/>
  <c r="D81" i="107"/>
  <c r="D83" i="107" s="1"/>
  <c r="D84" i="107" s="1"/>
  <c r="D86" i="107" s="1"/>
  <c r="D87" i="107" s="1"/>
  <c r="S38" i="107"/>
  <c r="Q81" i="107"/>
  <c r="Q83" i="107" s="1"/>
  <c r="Q84" i="107" s="1"/>
  <c r="Q86" i="107" s="1"/>
  <c r="Q87" i="107" s="1"/>
  <c r="Q76" i="107"/>
  <c r="BE75" i="107"/>
  <c r="BE81" i="107" s="1"/>
  <c r="BE83" i="107" s="1"/>
  <c r="BE39" i="107"/>
  <c r="L81" i="107"/>
  <c r="L83" i="107" s="1"/>
  <c r="L84" i="107" s="1"/>
  <c r="L76" i="107"/>
  <c r="M86" i="107"/>
  <c r="M87" i="107" s="1"/>
  <c r="X76" i="107"/>
  <c r="BF76" i="107"/>
  <c r="C76" i="107"/>
  <c r="C81" i="107"/>
  <c r="C83" i="107" s="1"/>
  <c r="C84" i="107" s="1"/>
  <c r="C86" i="107" s="1"/>
  <c r="C87" i="107" s="1"/>
  <c r="E89" i="107"/>
  <c r="F8" i="107" s="1"/>
  <c r="E38" i="107"/>
  <c r="N38" i="107"/>
  <c r="BG8" i="107"/>
  <c r="W81" i="91"/>
  <c r="W83" i="91" s="1"/>
  <c r="W84" i="91" s="1"/>
  <c r="W86" i="91" s="1"/>
  <c r="W76" i="91"/>
  <c r="V81" i="91"/>
  <c r="V83" i="91" s="1"/>
  <c r="V84" i="91" s="1"/>
  <c r="V86" i="91" s="1"/>
  <c r="V76" i="91"/>
  <c r="AA38" i="99"/>
  <c r="AA39" i="99" s="1"/>
  <c r="AB75" i="99"/>
  <c r="AB39" i="99"/>
  <c r="AC35" i="99"/>
  <c r="AC41" i="102"/>
  <c r="AB38" i="102"/>
  <c r="AC54" i="102"/>
  <c r="AA8" i="102"/>
  <c r="AA38" i="102" s="1"/>
  <c r="AC12" i="102"/>
  <c r="AG75" i="86"/>
  <c r="AG81" i="86" s="1"/>
  <c r="AG83" i="86" s="1"/>
  <c r="AG84" i="86" s="1"/>
  <c r="AG39" i="86"/>
  <c r="AF39" i="86"/>
  <c r="AF75" i="86"/>
  <c r="AF81" i="86" s="1"/>
  <c r="AF83" i="86" s="1"/>
  <c r="AF84" i="86" s="1"/>
  <c r="AH25" i="86"/>
  <c r="AH41" i="86"/>
  <c r="AH41" i="90"/>
  <c r="AF38" i="90"/>
  <c r="AF39" i="90" s="1"/>
  <c r="AG38" i="90"/>
  <c r="AH54" i="90"/>
  <c r="AH12" i="90"/>
  <c r="AH19" i="90"/>
  <c r="AH41" i="96"/>
  <c r="AF38" i="96"/>
  <c r="AH8" i="96"/>
  <c r="AG8" i="96"/>
  <c r="AH54" i="96"/>
  <c r="AH85" i="95"/>
  <c r="AH82" i="95"/>
  <c r="AH78" i="95"/>
  <c r="AG77" i="95"/>
  <c r="AF77" i="95"/>
  <c r="AH74" i="95"/>
  <c r="AH73" i="95" s="1"/>
  <c r="AG73" i="95"/>
  <c r="AF73" i="95"/>
  <c r="AH71" i="95"/>
  <c r="AH70" i="95"/>
  <c r="AH69" i="95"/>
  <c r="AH68" i="95"/>
  <c r="AH67" i="95"/>
  <c r="AH66" i="95"/>
  <c r="AH65" i="95"/>
  <c r="AH64" i="95"/>
  <c r="AH63" i="95"/>
  <c r="AH62" i="95"/>
  <c r="AH61" i="95"/>
  <c r="AF54" i="95"/>
  <c r="AH59" i="95"/>
  <c r="AH58" i="95"/>
  <c r="AH57" i="95"/>
  <c r="AH56" i="95"/>
  <c r="AH55" i="95"/>
  <c r="AG54" i="95"/>
  <c r="AH52" i="95"/>
  <c r="AH51" i="95"/>
  <c r="AG50" i="95"/>
  <c r="AF50" i="95"/>
  <c r="AH48" i="95"/>
  <c r="AH47" i="95"/>
  <c r="AH46" i="95"/>
  <c r="AH45" i="95"/>
  <c r="AH44" i="95"/>
  <c r="AH43" i="95"/>
  <c r="AH42" i="95"/>
  <c r="AG41" i="95"/>
  <c r="AF41" i="95"/>
  <c r="AH36" i="95"/>
  <c r="AH35" i="95" s="1"/>
  <c r="AG35" i="95"/>
  <c r="AF35" i="95"/>
  <c r="AH33" i="95"/>
  <c r="AH32" i="95"/>
  <c r="AH31" i="95"/>
  <c r="AH30" i="95"/>
  <c r="AH29" i="95"/>
  <c r="AH28" i="95"/>
  <c r="AH27" i="95"/>
  <c r="AH26" i="95"/>
  <c r="AH25" i="95"/>
  <c r="AH24" i="95"/>
  <c r="AH23" i="95"/>
  <c r="AH22" i="95"/>
  <c r="AH21" i="95"/>
  <c r="AH20" i="95"/>
  <c r="AF8" i="95"/>
  <c r="AH18" i="95"/>
  <c r="AH17" i="95"/>
  <c r="AH16" i="95"/>
  <c r="AH15" i="95"/>
  <c r="AH14" i="95"/>
  <c r="AH13" i="95"/>
  <c r="AH12" i="95"/>
  <c r="AH11" i="95"/>
  <c r="AH10" i="95"/>
  <c r="AH9" i="95"/>
  <c r="AG8" i="95"/>
  <c r="AH7" i="95"/>
  <c r="AH6" i="95"/>
  <c r="AH5" i="95" s="1"/>
  <c r="AG5" i="95"/>
  <c r="AF5" i="95"/>
  <c r="AC89" i="99" l="1"/>
  <c r="AN8" i="99" s="1"/>
  <c r="X39" i="91"/>
  <c r="AA75" i="99"/>
  <c r="AA81" i="99" s="1"/>
  <c r="AA83" i="99" s="1"/>
  <c r="AA84" i="99" s="1"/>
  <c r="AA86" i="99" s="1"/>
  <c r="AA87" i="99" s="1"/>
  <c r="AG38" i="95"/>
  <c r="AG39" i="95" s="1"/>
  <c r="BE84" i="107"/>
  <c r="BE86" i="107" s="1"/>
  <c r="BE87" i="107" s="1"/>
  <c r="AH8" i="90"/>
  <c r="AH50" i="95"/>
  <c r="AF39" i="96"/>
  <c r="AF75" i="96"/>
  <c r="AH38" i="96"/>
  <c r="AH39" i="96" s="1"/>
  <c r="W87" i="91"/>
  <c r="AH41" i="95"/>
  <c r="V87" i="91"/>
  <c r="AF75" i="90"/>
  <c r="AF81" i="90" s="1"/>
  <c r="AF83" i="90" s="1"/>
  <c r="AF84" i="90" s="1"/>
  <c r="AF86" i="90" s="1"/>
  <c r="AF87" i="90" s="1"/>
  <c r="E75" i="107"/>
  <c r="E39" i="107"/>
  <c r="S75" i="107"/>
  <c r="S39" i="107"/>
  <c r="N75" i="107"/>
  <c r="N39" i="107"/>
  <c r="BE76" i="107"/>
  <c r="F59" i="107"/>
  <c r="F60" i="107"/>
  <c r="F35" i="107"/>
  <c r="F79" i="107"/>
  <c r="F56" i="107"/>
  <c r="F36" i="107"/>
  <c r="F57" i="107"/>
  <c r="F19" i="107"/>
  <c r="F21" i="107"/>
  <c r="F30" i="107"/>
  <c r="F29" i="107"/>
  <c r="F71" i="107"/>
  <c r="F18" i="107"/>
  <c r="F24" i="107"/>
  <c r="F9" i="107"/>
  <c r="F50" i="107"/>
  <c r="F67" i="107"/>
  <c r="F65" i="107"/>
  <c r="F85" i="107"/>
  <c r="F10" i="107"/>
  <c r="F17" i="107"/>
  <c r="F51" i="107"/>
  <c r="F20" i="107"/>
  <c r="F55" i="107"/>
  <c r="F31" i="107"/>
  <c r="F68" i="107"/>
  <c r="F32" i="107"/>
  <c r="F12" i="107"/>
  <c r="F61" i="107"/>
  <c r="F33" i="107"/>
  <c r="F16" i="107"/>
  <c r="F14" i="107"/>
  <c r="F42" i="107"/>
  <c r="F43" i="107"/>
  <c r="F62" i="107"/>
  <c r="F48" i="107"/>
  <c r="F69" i="107"/>
  <c r="F70" i="107"/>
  <c r="F64" i="107"/>
  <c r="F27" i="107"/>
  <c r="F58" i="107"/>
  <c r="F82" i="107"/>
  <c r="F66" i="107"/>
  <c r="F72" i="107"/>
  <c r="F11" i="107"/>
  <c r="F45" i="107"/>
  <c r="F13" i="107"/>
  <c r="F26" i="107"/>
  <c r="F15" i="107"/>
  <c r="F25" i="107"/>
  <c r="F52" i="107"/>
  <c r="F46" i="107"/>
  <c r="F63" i="107"/>
  <c r="F47" i="107"/>
  <c r="F44" i="107"/>
  <c r="F73" i="107"/>
  <c r="F54" i="107"/>
  <c r="F41" i="107"/>
  <c r="F28" i="107"/>
  <c r="BG38" i="107"/>
  <c r="L86" i="107"/>
  <c r="L87" i="107" s="1"/>
  <c r="X76" i="91"/>
  <c r="AB81" i="99"/>
  <c r="AB83" i="99" s="1"/>
  <c r="AB84" i="99" s="1"/>
  <c r="AB86" i="99" s="1"/>
  <c r="AB87" i="99" s="1"/>
  <c r="AB76" i="99"/>
  <c r="AC75" i="99"/>
  <c r="AC39" i="99"/>
  <c r="AC8" i="102"/>
  <c r="AA75" i="102"/>
  <c r="AA81" i="102" s="1"/>
  <c r="AA83" i="102" s="1"/>
  <c r="AA84" i="102" s="1"/>
  <c r="AA86" i="102" s="1"/>
  <c r="AA87" i="102" s="1"/>
  <c r="AA39" i="102"/>
  <c r="AB75" i="102"/>
  <c r="AB81" i="102" s="1"/>
  <c r="AB83" i="102" s="1"/>
  <c r="AB84" i="102" s="1"/>
  <c r="AB86" i="102" s="1"/>
  <c r="AB87" i="102" s="1"/>
  <c r="AB39" i="102"/>
  <c r="AF86" i="86"/>
  <c r="AF87" i="86" s="1"/>
  <c r="AF76" i="86"/>
  <c r="AH8" i="86"/>
  <c r="AG76" i="86"/>
  <c r="AG86" i="86"/>
  <c r="AG87" i="86" s="1"/>
  <c r="AG39" i="90"/>
  <c r="AG75" i="90"/>
  <c r="AH38" i="90"/>
  <c r="AG38" i="96"/>
  <c r="AG75" i="96" s="1"/>
  <c r="AF38" i="95"/>
  <c r="AH19" i="95"/>
  <c r="AH60" i="95"/>
  <c r="AD14" i="99" l="1"/>
  <c r="AD55" i="99"/>
  <c r="AD33" i="99"/>
  <c r="AD54" i="99"/>
  <c r="AD20" i="99"/>
  <c r="AD27" i="99"/>
  <c r="AD11" i="99"/>
  <c r="AD17" i="99"/>
  <c r="AD47" i="99"/>
  <c r="AD62" i="99"/>
  <c r="AD56" i="99"/>
  <c r="AD65" i="99"/>
  <c r="AD30" i="99"/>
  <c r="AD71" i="99"/>
  <c r="AD48" i="99"/>
  <c r="AD25" i="99"/>
  <c r="AD42" i="99"/>
  <c r="AD64" i="99"/>
  <c r="AD28" i="99"/>
  <c r="AD12" i="99"/>
  <c r="AD57" i="99"/>
  <c r="AD8" i="99"/>
  <c r="AD19" i="99"/>
  <c r="AD52" i="99"/>
  <c r="AD70" i="99"/>
  <c r="AD22" i="99"/>
  <c r="AD45" i="99"/>
  <c r="AD63" i="99"/>
  <c r="AC93" i="99"/>
  <c r="AD41" i="99"/>
  <c r="AD29" i="99"/>
  <c r="AD21" i="99"/>
  <c r="AD13" i="99"/>
  <c r="AD46" i="99"/>
  <c r="AD60" i="99"/>
  <c r="AD68" i="99"/>
  <c r="AD32" i="99"/>
  <c r="AD24" i="99"/>
  <c r="AD16" i="99"/>
  <c r="AD43" i="99"/>
  <c r="AD51" i="99"/>
  <c r="AD61" i="99"/>
  <c r="AD69" i="99"/>
  <c r="AD31" i="99"/>
  <c r="AD23" i="99"/>
  <c r="AD15" i="99"/>
  <c r="AD44" i="99"/>
  <c r="AD58" i="99"/>
  <c r="AD66" i="99"/>
  <c r="AD9" i="99"/>
  <c r="AD26" i="99"/>
  <c r="AD18" i="99"/>
  <c r="AD10" i="99"/>
  <c r="AD49" i="99"/>
  <c r="AD59" i="99"/>
  <c r="AD67" i="99"/>
  <c r="AI8" i="99"/>
  <c r="AG75" i="95"/>
  <c r="AG81" i="95" s="1"/>
  <c r="AG83" i="95" s="1"/>
  <c r="AG84" i="95" s="1"/>
  <c r="AG86" i="95" s="1"/>
  <c r="AG87" i="95" s="1"/>
  <c r="AA76" i="99"/>
  <c r="AH75" i="96"/>
  <c r="AH76" i="96" s="1"/>
  <c r="AG76" i="96"/>
  <c r="AG81" i="96"/>
  <c r="AG83" i="96" s="1"/>
  <c r="AF76" i="96"/>
  <c r="AF81" i="96"/>
  <c r="AF83" i="96" s="1"/>
  <c r="AF84" i="96" s="1"/>
  <c r="AF86" i="96" s="1"/>
  <c r="AF87" i="96" s="1"/>
  <c r="AF76" i="90"/>
  <c r="S76" i="107"/>
  <c r="BG39" i="107"/>
  <c r="BG75" i="107"/>
  <c r="N76" i="107"/>
  <c r="E81" i="107"/>
  <c r="E83" i="107" s="1"/>
  <c r="E84" i="107" s="1"/>
  <c r="E86" i="107" s="1"/>
  <c r="E87" i="107" s="1"/>
  <c r="E76" i="107"/>
  <c r="AC81" i="99"/>
  <c r="AC83" i="99" s="1"/>
  <c r="AC84" i="99" s="1"/>
  <c r="AC86" i="99" s="1"/>
  <c r="AC87" i="99" s="1"/>
  <c r="AC76" i="99"/>
  <c r="AA76" i="102"/>
  <c r="AB76" i="102"/>
  <c r="AC38" i="102"/>
  <c r="AH38" i="86"/>
  <c r="AG81" i="90"/>
  <c r="AG83" i="90" s="1"/>
  <c r="AG84" i="90" s="1"/>
  <c r="AG86" i="90" s="1"/>
  <c r="AG87" i="90" s="1"/>
  <c r="AG76" i="90"/>
  <c r="AH75" i="90"/>
  <c r="AH39" i="90"/>
  <c r="AG39" i="96"/>
  <c r="AH8" i="95"/>
  <c r="AF75" i="95"/>
  <c r="AF39" i="95"/>
  <c r="AH54" i="95"/>
  <c r="AA1" i="95"/>
  <c r="AG76" i="95" l="1"/>
  <c r="BG76" i="107"/>
  <c r="AC75" i="102"/>
  <c r="AC39" i="102"/>
  <c r="AH75" i="86"/>
  <c r="AH39" i="86"/>
  <c r="AH76" i="90"/>
  <c r="AG84" i="96"/>
  <c r="AG86" i="96" s="1"/>
  <c r="AG87" i="96" s="1"/>
  <c r="AF81" i="95"/>
  <c r="AF83" i="95" s="1"/>
  <c r="AF84" i="95" s="1"/>
  <c r="AF86" i="95" s="1"/>
  <c r="AF87" i="95" s="1"/>
  <c r="AF76" i="95"/>
  <c r="AH38" i="95"/>
  <c r="AC76" i="102" l="1"/>
  <c r="AH76" i="86"/>
  <c r="AH39" i="95"/>
  <c r="AH75" i="95"/>
  <c r="AA26" i="95"/>
  <c r="AH76" i="95" l="1"/>
  <c r="L24" i="102" l="1"/>
  <c r="G24" i="102"/>
  <c r="W16" i="102" l="1"/>
  <c r="R30" i="91" l="1"/>
  <c r="BF30" i="91" s="1"/>
  <c r="BF36" i="91"/>
  <c r="BE36" i="91"/>
  <c r="S85" i="91"/>
  <c r="S82" i="91"/>
  <c r="S78" i="91"/>
  <c r="R77" i="91"/>
  <c r="Q77" i="91"/>
  <c r="S74" i="91"/>
  <c r="S73" i="91" s="1"/>
  <c r="R73" i="91"/>
  <c r="Q73" i="91"/>
  <c r="S71" i="91"/>
  <c r="S70" i="91"/>
  <c r="S69" i="91"/>
  <c r="S68" i="91"/>
  <c r="S67" i="91"/>
  <c r="S66" i="91"/>
  <c r="S65" i="91"/>
  <c r="S64" i="91"/>
  <c r="S63" i="91"/>
  <c r="S62" i="91"/>
  <c r="S61" i="91"/>
  <c r="S60" i="91"/>
  <c r="S59" i="91"/>
  <c r="S58" i="91"/>
  <c r="S57" i="91"/>
  <c r="S56" i="91"/>
  <c r="S55" i="91"/>
  <c r="R54" i="91"/>
  <c r="Q54" i="91"/>
  <c r="S52" i="91"/>
  <c r="S51" i="91"/>
  <c r="R50" i="91"/>
  <c r="Q50" i="91"/>
  <c r="S48" i="91"/>
  <c r="S47" i="91"/>
  <c r="S46" i="91"/>
  <c r="S45" i="91"/>
  <c r="S44" i="91"/>
  <c r="S43" i="91"/>
  <c r="S42" i="91"/>
  <c r="R41" i="91"/>
  <c r="Q41" i="91"/>
  <c r="S36" i="91"/>
  <c r="R35" i="91"/>
  <c r="Q35" i="91"/>
  <c r="S33" i="91"/>
  <c r="S32" i="91"/>
  <c r="S31" i="91"/>
  <c r="S30" i="91"/>
  <c r="S29" i="91"/>
  <c r="S28" i="91"/>
  <c r="S27" i="91"/>
  <c r="S26" i="91"/>
  <c r="S25" i="91"/>
  <c r="S24" i="91"/>
  <c r="S21" i="91"/>
  <c r="S20" i="91"/>
  <c r="S19" i="91"/>
  <c r="S18" i="91"/>
  <c r="S17" i="91"/>
  <c r="S16" i="91"/>
  <c r="S15" i="91"/>
  <c r="S14" i="91"/>
  <c r="S13" i="91"/>
  <c r="S12" i="91"/>
  <c r="S11" i="91"/>
  <c r="S10" i="91"/>
  <c r="S9" i="91"/>
  <c r="R8" i="91"/>
  <c r="Q8" i="91"/>
  <c r="S7" i="91"/>
  <c r="S6" i="91"/>
  <c r="S5" i="91" s="1"/>
  <c r="R5" i="91"/>
  <c r="Q5" i="91"/>
  <c r="S8" i="91" l="1"/>
  <c r="S38" i="91" s="1"/>
  <c r="S39" i="91" s="1"/>
  <c r="Q38" i="91"/>
  <c r="Q39" i="91" s="1"/>
  <c r="S50" i="91"/>
  <c r="S54" i="91"/>
  <c r="R38" i="91"/>
  <c r="R75" i="91" s="1"/>
  <c r="S41" i="91"/>
  <c r="S35" i="91"/>
  <c r="Q75" i="91" l="1"/>
  <c r="S75" i="91"/>
  <c r="R39" i="91"/>
  <c r="Q81" i="91"/>
  <c r="Q83" i="91" s="1"/>
  <c r="Q84" i="91" s="1"/>
  <c r="Q86" i="91" s="1"/>
  <c r="Q87" i="91" s="1"/>
  <c r="Q76" i="91"/>
  <c r="S76" i="91"/>
  <c r="R81" i="91"/>
  <c r="R83" i="91" s="1"/>
  <c r="R84" i="91" s="1"/>
  <c r="R86" i="91" s="1"/>
  <c r="R87" i="91" s="1"/>
  <c r="R76" i="91"/>
  <c r="AB16" i="96" l="1"/>
  <c r="AB16" i="95"/>
  <c r="V69" i="102"/>
  <c r="V28" i="102"/>
  <c r="V48" i="102"/>
  <c r="V45" i="102"/>
  <c r="V25" i="102"/>
  <c r="V18" i="102"/>
  <c r="V24" i="102"/>
  <c r="V22" i="102"/>
  <c r="W18" i="102"/>
  <c r="W47" i="102"/>
  <c r="BK47" i="102" s="1"/>
  <c r="W31" i="102"/>
  <c r="W28" i="102"/>
  <c r="V20" i="99" l="1"/>
  <c r="BJ20" i="99" s="1"/>
  <c r="AA25" i="86" l="1"/>
  <c r="AA31" i="86"/>
  <c r="AZ31" i="86" s="1"/>
  <c r="AB43" i="90"/>
  <c r="AA25" i="90"/>
  <c r="AA18" i="90"/>
  <c r="AA19" i="90"/>
  <c r="AA28" i="90"/>
  <c r="AA24" i="90"/>
  <c r="BP43" i="90" l="1"/>
  <c r="BQ43" i="90" s="1"/>
  <c r="AA27" i="96"/>
  <c r="AA18" i="96"/>
  <c r="AA20" i="96"/>
  <c r="AA24" i="96"/>
  <c r="AA25" i="96"/>
  <c r="AA28" i="96"/>
  <c r="AA48" i="96"/>
  <c r="BO48" i="96" s="1"/>
  <c r="AA28" i="95"/>
  <c r="AA25" i="95"/>
  <c r="AA27" i="95"/>
  <c r="AU27" i="95" s="1"/>
  <c r="AA19" i="95"/>
  <c r="AA22" i="95"/>
  <c r="AA31" i="95"/>
  <c r="AU31" i="95" s="1"/>
  <c r="AB63" i="95"/>
  <c r="AV63" i="95" l="1"/>
  <c r="AU22" i="95"/>
  <c r="AB31" i="95" l="1"/>
  <c r="AA63" i="95"/>
  <c r="V31" i="102" l="1"/>
  <c r="BJ31" i="102" s="1"/>
  <c r="V63" i="102"/>
  <c r="BJ63" i="102" s="1"/>
  <c r="AA63" i="96"/>
  <c r="BO63" i="96" s="1"/>
  <c r="AA63" i="90"/>
  <c r="X6" i="99"/>
  <c r="X5" i="99" s="1"/>
  <c r="X85" i="99"/>
  <c r="X82" i="99"/>
  <c r="X78" i="99"/>
  <c r="W77" i="99"/>
  <c r="V77" i="99"/>
  <c r="X74" i="99"/>
  <c r="X73" i="99" s="1"/>
  <c r="W73" i="99"/>
  <c r="V73" i="99"/>
  <c r="X71" i="99"/>
  <c r="X70" i="99"/>
  <c r="X69" i="99"/>
  <c r="X68" i="99"/>
  <c r="X67" i="99"/>
  <c r="X66" i="99"/>
  <c r="X65" i="99"/>
  <c r="X64" i="99"/>
  <c r="X63" i="99"/>
  <c r="X62" i="99"/>
  <c r="X61" i="99"/>
  <c r="X60" i="99"/>
  <c r="X59" i="99"/>
  <c r="X58" i="99"/>
  <c r="X57" i="99"/>
  <c r="X56" i="99"/>
  <c r="X55" i="99"/>
  <c r="W54" i="99"/>
  <c r="V54" i="99"/>
  <c r="X52" i="99"/>
  <c r="X51" i="99"/>
  <c r="W50" i="99"/>
  <c r="V50" i="99"/>
  <c r="X48" i="99"/>
  <c r="X47" i="99"/>
  <c r="X46" i="99"/>
  <c r="X45" i="99"/>
  <c r="X44" i="99"/>
  <c r="X43" i="99"/>
  <c r="X42" i="99"/>
  <c r="W41" i="99"/>
  <c r="V41" i="99"/>
  <c r="X36" i="99"/>
  <c r="W35" i="99"/>
  <c r="V35" i="99"/>
  <c r="X33" i="99"/>
  <c r="X32" i="99"/>
  <c r="X31" i="99"/>
  <c r="X30" i="99"/>
  <c r="X29" i="99"/>
  <c r="X28" i="99"/>
  <c r="X27" i="99"/>
  <c r="X26" i="99"/>
  <c r="X25" i="99"/>
  <c r="X24" i="99"/>
  <c r="X23" i="99"/>
  <c r="X22" i="99"/>
  <c r="X21" i="99"/>
  <c r="X20" i="99"/>
  <c r="X19" i="99"/>
  <c r="X18" i="99"/>
  <c r="X17" i="99"/>
  <c r="X16" i="99"/>
  <c r="X15" i="99"/>
  <c r="X14" i="99"/>
  <c r="X13" i="99"/>
  <c r="X12" i="99"/>
  <c r="X11" i="99"/>
  <c r="X10" i="99"/>
  <c r="X9" i="99"/>
  <c r="W8" i="99"/>
  <c r="X7" i="99"/>
  <c r="V5" i="99"/>
  <c r="W5" i="99"/>
  <c r="AC9" i="87"/>
  <c r="AC11" i="87"/>
  <c r="AC85" i="87"/>
  <c r="AC82" i="87"/>
  <c r="AC78" i="87"/>
  <c r="AB77" i="87"/>
  <c r="AA77" i="87"/>
  <c r="AA74" i="87"/>
  <c r="AC74" i="87" s="1"/>
  <c r="AC73" i="87" s="1"/>
  <c r="AB73" i="87"/>
  <c r="AC71" i="87"/>
  <c r="AC70" i="87"/>
  <c r="AC69" i="87"/>
  <c r="AC68" i="87"/>
  <c r="AC67" i="87"/>
  <c r="AC66" i="87"/>
  <c r="AC65" i="87"/>
  <c r="AC61" i="87"/>
  <c r="AC60" i="87"/>
  <c r="AC59" i="87"/>
  <c r="AC58" i="87"/>
  <c r="AC57" i="87"/>
  <c r="AC56" i="87"/>
  <c r="AC55" i="87"/>
  <c r="AB54" i="87"/>
  <c r="AA54" i="87"/>
  <c r="AC52" i="87"/>
  <c r="AC51" i="87"/>
  <c r="AB50" i="87"/>
  <c r="AA50" i="87"/>
  <c r="AC48" i="87"/>
  <c r="AC47" i="87"/>
  <c r="AC46" i="87"/>
  <c r="AC45" i="87"/>
  <c r="AC44" i="87"/>
  <c r="AC43" i="87"/>
  <c r="AC42" i="87"/>
  <c r="AB41" i="87"/>
  <c r="AA41" i="87"/>
  <c r="AC36" i="87"/>
  <c r="AC35" i="87" s="1"/>
  <c r="AB35" i="87"/>
  <c r="AA35" i="87"/>
  <c r="AC33" i="87"/>
  <c r="AC32" i="87"/>
  <c r="AC31" i="87"/>
  <c r="AC30" i="87"/>
  <c r="AC29" i="87"/>
  <c r="AC28" i="87"/>
  <c r="AC27" i="87"/>
  <c r="AC26" i="87"/>
  <c r="AC25" i="87"/>
  <c r="AC24" i="87"/>
  <c r="AC21" i="87"/>
  <c r="AC20" i="87"/>
  <c r="AC19" i="87"/>
  <c r="AC18" i="87"/>
  <c r="AC17" i="87"/>
  <c r="AC16" i="87"/>
  <c r="AC15" i="87"/>
  <c r="AC14" i="87"/>
  <c r="AC13" i="87"/>
  <c r="AC12" i="87"/>
  <c r="AC10" i="87"/>
  <c r="AB8" i="87"/>
  <c r="AA8" i="87"/>
  <c r="AC7" i="87"/>
  <c r="AC6" i="87"/>
  <c r="AC5" i="87" s="1"/>
  <c r="AB5" i="87"/>
  <c r="AA5" i="87"/>
  <c r="W38" i="99" l="1"/>
  <c r="AA38" i="87"/>
  <c r="AB38" i="87"/>
  <c r="AC79" i="87"/>
  <c r="AC77" i="87" s="1"/>
  <c r="AC54" i="87"/>
  <c r="X41" i="99"/>
  <c r="AC50" i="87"/>
  <c r="X50" i="99"/>
  <c r="X54" i="99"/>
  <c r="AC8" i="87"/>
  <c r="AC38" i="87" s="1"/>
  <c r="AC41" i="87"/>
  <c r="W75" i="99"/>
  <c r="W39" i="99"/>
  <c r="X8" i="99"/>
  <c r="X35" i="99"/>
  <c r="V8" i="99"/>
  <c r="V38" i="99" s="1"/>
  <c r="AA75" i="87"/>
  <c r="AA39" i="87"/>
  <c r="AB39" i="87"/>
  <c r="AB75" i="87"/>
  <c r="AA73" i="87"/>
  <c r="AC89" i="87" l="1"/>
  <c r="AC75" i="87"/>
  <c r="AC76" i="87" s="1"/>
  <c r="AC39" i="87"/>
  <c r="V75" i="99"/>
  <c r="V39" i="99"/>
  <c r="W81" i="99"/>
  <c r="W83" i="99" s="1"/>
  <c r="W84" i="99" s="1"/>
  <c r="W86" i="99" s="1"/>
  <c r="W87" i="99" s="1"/>
  <c r="W76" i="99"/>
  <c r="X38" i="99"/>
  <c r="AC81" i="87"/>
  <c r="AC83" i="87" s="1"/>
  <c r="AC84" i="87" s="1"/>
  <c r="AC86" i="87" s="1"/>
  <c r="AC87" i="87" s="1"/>
  <c r="AB81" i="87"/>
  <c r="AB83" i="87" s="1"/>
  <c r="AB84" i="87" s="1"/>
  <c r="AB86" i="87" s="1"/>
  <c r="AB87" i="87" s="1"/>
  <c r="AB76" i="87"/>
  <c r="AA81" i="87"/>
  <c r="AA83" i="87" s="1"/>
  <c r="AA84" i="87" s="1"/>
  <c r="AA86" i="87" s="1"/>
  <c r="AA87" i="87" s="1"/>
  <c r="AA76" i="87"/>
  <c r="V11" i="102"/>
  <c r="BJ11" i="102" s="1"/>
  <c r="X75" i="99" l="1"/>
  <c r="X39" i="99"/>
  <c r="V81" i="99"/>
  <c r="V83" i="99" s="1"/>
  <c r="V84" i="99" s="1"/>
  <c r="V86" i="99" s="1"/>
  <c r="V87" i="99" s="1"/>
  <c r="V76" i="99"/>
  <c r="X76" i="99" l="1"/>
  <c r="W12" i="102"/>
  <c r="AB12" i="90"/>
  <c r="AB12" i="96"/>
  <c r="AA60" i="95"/>
  <c r="AA59" i="95"/>
  <c r="AA58" i="95"/>
  <c r="AB58" i="95"/>
  <c r="AV36" i="95" l="1"/>
  <c r="AU36" i="95"/>
  <c r="AC85" i="95"/>
  <c r="AC82" i="95"/>
  <c r="AC78" i="95"/>
  <c r="AB77" i="95"/>
  <c r="AA77" i="95"/>
  <c r="AC74" i="95"/>
  <c r="AC73" i="95" s="1"/>
  <c r="AB73" i="95"/>
  <c r="AA73" i="95"/>
  <c r="AC71" i="95"/>
  <c r="AC70" i="95"/>
  <c r="AC69" i="95"/>
  <c r="AC68" i="95"/>
  <c r="AC67" i="95"/>
  <c r="AC66" i="95"/>
  <c r="AC65" i="95"/>
  <c r="AC64" i="95"/>
  <c r="AC63" i="95"/>
  <c r="AC62" i="95"/>
  <c r="AC61" i="95"/>
  <c r="AC60" i="95"/>
  <c r="AC59" i="95"/>
  <c r="AC58" i="95"/>
  <c r="AC57" i="95"/>
  <c r="AC56" i="95"/>
  <c r="AC55" i="95"/>
  <c r="AB54" i="95"/>
  <c r="AA54" i="95"/>
  <c r="AC52" i="95"/>
  <c r="AC51" i="95"/>
  <c r="AB50" i="95"/>
  <c r="AA50" i="95"/>
  <c r="AC48" i="95"/>
  <c r="AC47" i="95"/>
  <c r="AC46" i="95"/>
  <c r="AC45" i="95"/>
  <c r="AC44" i="95"/>
  <c r="AC43" i="95"/>
  <c r="AC42" i="95"/>
  <c r="AB41" i="95"/>
  <c r="AA41" i="95"/>
  <c r="AC36" i="95"/>
  <c r="AB35" i="95"/>
  <c r="AA35" i="95"/>
  <c r="AC33" i="95"/>
  <c r="AC32" i="95"/>
  <c r="AC31" i="95"/>
  <c r="AC30" i="95"/>
  <c r="AC29" i="95"/>
  <c r="AC28" i="95"/>
  <c r="AC27" i="95"/>
  <c r="AC26" i="95"/>
  <c r="AC24" i="95"/>
  <c r="AC23" i="95"/>
  <c r="AC22" i="95"/>
  <c r="AC21" i="95"/>
  <c r="AC20" i="95"/>
  <c r="AC19" i="95"/>
  <c r="AC18" i="95"/>
  <c r="AC17" i="95"/>
  <c r="AC16" i="95"/>
  <c r="AC15" i="95"/>
  <c r="AC14" i="95"/>
  <c r="AC13" i="95"/>
  <c r="AC12" i="95"/>
  <c r="AC11" i="95"/>
  <c r="AC10" i="95"/>
  <c r="AC9" i="95"/>
  <c r="AB8" i="95"/>
  <c r="AC7" i="95"/>
  <c r="AC6" i="95"/>
  <c r="AC5" i="95" s="1"/>
  <c r="AB5" i="95"/>
  <c r="AA5" i="95"/>
  <c r="AC85" i="96"/>
  <c r="AC82" i="96"/>
  <c r="AC78" i="96"/>
  <c r="AB77" i="96"/>
  <c r="AA77" i="96"/>
  <c r="AC74" i="96"/>
  <c r="AC73" i="96" s="1"/>
  <c r="AB73" i="96"/>
  <c r="AA73" i="96"/>
  <c r="AC71" i="96"/>
  <c r="AC70" i="96"/>
  <c r="AC69" i="96"/>
  <c r="AC68" i="96"/>
  <c r="AC67" i="96"/>
  <c r="AC66" i="96"/>
  <c r="AC65" i="96"/>
  <c r="AC64" i="96"/>
  <c r="AC63" i="96"/>
  <c r="AC62" i="96"/>
  <c r="AC61" i="96"/>
  <c r="AC60" i="96"/>
  <c r="AC59" i="96"/>
  <c r="AC58" i="96"/>
  <c r="AC57" i="96"/>
  <c r="AC56" i="96"/>
  <c r="AC55" i="96"/>
  <c r="AB54" i="96"/>
  <c r="AA54" i="96"/>
  <c r="AC52" i="96"/>
  <c r="AC51" i="96"/>
  <c r="AB50" i="96"/>
  <c r="AA50" i="96"/>
  <c r="AC48" i="96"/>
  <c r="AC47" i="96"/>
  <c r="AC46" i="96"/>
  <c r="AC45" i="96"/>
  <c r="AC44" i="96"/>
  <c r="AC43" i="96"/>
  <c r="AC42" i="96"/>
  <c r="AB41" i="96"/>
  <c r="AA41" i="96"/>
  <c r="AC36" i="96"/>
  <c r="AC35" i="96" s="1"/>
  <c r="AB35" i="96"/>
  <c r="AA35" i="96"/>
  <c r="AC33" i="96"/>
  <c r="AC32" i="96"/>
  <c r="AC31" i="96"/>
  <c r="AC30" i="96"/>
  <c r="AC29" i="96"/>
  <c r="AC28" i="96"/>
  <c r="AC27" i="96"/>
  <c r="AC26" i="96"/>
  <c r="AC25" i="96"/>
  <c r="AC24" i="96"/>
  <c r="AC21" i="96"/>
  <c r="AC20" i="96"/>
  <c r="AC19" i="96"/>
  <c r="AC18" i="96"/>
  <c r="AC17" i="96"/>
  <c r="AC16" i="96"/>
  <c r="AC15" i="96"/>
  <c r="AC14" i="96"/>
  <c r="AC13" i="96"/>
  <c r="AC12" i="96"/>
  <c r="AC11" i="96"/>
  <c r="AC10" i="96"/>
  <c r="AC9" i="96"/>
  <c r="AC7" i="96"/>
  <c r="AC6" i="96"/>
  <c r="AC5" i="96" s="1"/>
  <c r="AB5" i="96"/>
  <c r="AA5" i="96"/>
  <c r="BP36" i="90"/>
  <c r="BO36" i="90"/>
  <c r="AC85" i="90"/>
  <c r="AC82" i="90"/>
  <c r="AC80" i="90"/>
  <c r="AC78" i="90"/>
  <c r="AB77" i="90"/>
  <c r="AA77" i="90"/>
  <c r="AC74" i="90"/>
  <c r="AC73" i="90" s="1"/>
  <c r="AB73" i="90"/>
  <c r="AA73" i="90"/>
  <c r="AC72" i="90"/>
  <c r="AC71" i="90"/>
  <c r="AC70" i="90"/>
  <c r="AC69" i="90"/>
  <c r="AC68" i="90"/>
  <c r="AC67" i="90"/>
  <c r="AC66" i="90"/>
  <c r="AC65" i="90"/>
  <c r="AC64" i="90"/>
  <c r="AC63" i="90"/>
  <c r="AC62" i="90"/>
  <c r="AC61" i="90"/>
  <c r="AC60" i="90"/>
  <c r="AC59" i="90"/>
  <c r="AC58" i="90"/>
  <c r="AC57" i="90"/>
  <c r="AC56" i="90"/>
  <c r="AC55" i="90"/>
  <c r="AB54" i="90"/>
  <c r="AA54" i="90"/>
  <c r="AC53" i="90"/>
  <c r="AC52" i="90"/>
  <c r="AC51" i="90"/>
  <c r="AB50" i="90"/>
  <c r="AA50" i="90"/>
  <c r="AC49" i="90"/>
  <c r="AC48" i="90"/>
  <c r="AC47" i="90"/>
  <c r="AC46" i="90"/>
  <c r="AC45" i="90"/>
  <c r="AC44" i="90"/>
  <c r="AC43" i="90"/>
  <c r="AC42" i="90"/>
  <c r="AB41" i="90"/>
  <c r="AA41" i="90"/>
  <c r="AC37" i="90"/>
  <c r="AC35" i="90"/>
  <c r="AB35" i="90"/>
  <c r="AA35" i="90"/>
  <c r="AC33" i="90"/>
  <c r="AC32" i="90"/>
  <c r="AC31" i="90"/>
  <c r="AC30" i="90"/>
  <c r="AC29" i="90"/>
  <c r="AC28" i="90"/>
  <c r="AC27" i="90"/>
  <c r="AC26" i="90"/>
  <c r="AC25" i="90"/>
  <c r="AC24" i="90"/>
  <c r="AC23" i="90"/>
  <c r="AC22" i="90"/>
  <c r="AC21" i="90"/>
  <c r="AC20" i="90"/>
  <c r="AC19" i="90"/>
  <c r="AC18" i="90"/>
  <c r="AC17" i="90"/>
  <c r="AC16" i="90"/>
  <c r="AC15" i="90"/>
  <c r="AC14" i="90"/>
  <c r="AC13" i="90"/>
  <c r="AC12" i="90"/>
  <c r="AC11" i="90"/>
  <c r="AC10" i="90"/>
  <c r="AC9" i="90"/>
  <c r="AB8" i="90"/>
  <c r="AC7" i="90"/>
  <c r="AC6" i="90"/>
  <c r="AC5" i="90" s="1"/>
  <c r="AB5" i="90"/>
  <c r="AC50" i="90" l="1"/>
  <c r="AC50" i="96"/>
  <c r="AC54" i="95"/>
  <c r="AB38" i="95"/>
  <c r="AB39" i="95" s="1"/>
  <c r="AA8" i="95"/>
  <c r="AA38" i="95" s="1"/>
  <c r="AC25" i="95"/>
  <c r="AC50" i="95"/>
  <c r="AC35" i="95"/>
  <c r="AC41" i="95"/>
  <c r="AC41" i="96"/>
  <c r="AC8" i="96"/>
  <c r="AA8" i="96"/>
  <c r="AA38" i="96" s="1"/>
  <c r="AB8" i="96"/>
  <c r="AC54" i="96"/>
  <c r="AC54" i="90"/>
  <c r="AC41" i="90"/>
  <c r="AB38" i="90"/>
  <c r="AB39" i="90" s="1"/>
  <c r="AC8" i="90"/>
  <c r="AA8" i="90"/>
  <c r="AA5" i="90"/>
  <c r="X78" i="102"/>
  <c r="W77" i="102"/>
  <c r="V77" i="102"/>
  <c r="X74" i="102"/>
  <c r="X73" i="102" s="1"/>
  <c r="W73" i="102"/>
  <c r="V73" i="102"/>
  <c r="X71" i="102"/>
  <c r="X70" i="102"/>
  <c r="X69" i="102"/>
  <c r="X68" i="102"/>
  <c r="X67" i="102"/>
  <c r="X66" i="102"/>
  <c r="X65" i="102"/>
  <c r="X64" i="102"/>
  <c r="X63" i="102"/>
  <c r="X62" i="102"/>
  <c r="X61" i="102"/>
  <c r="X60" i="102"/>
  <c r="X59" i="102"/>
  <c r="X58" i="102"/>
  <c r="X57" i="102"/>
  <c r="X56" i="102"/>
  <c r="X55" i="102"/>
  <c r="W54" i="102"/>
  <c r="V54" i="102"/>
  <c r="X52" i="102"/>
  <c r="X51" i="102"/>
  <c r="W50" i="102"/>
  <c r="V50" i="102"/>
  <c r="X48" i="102"/>
  <c r="X47" i="102"/>
  <c r="X46" i="102"/>
  <c r="V41" i="102"/>
  <c r="X44" i="102"/>
  <c r="X43" i="102"/>
  <c r="X42" i="102"/>
  <c r="W41" i="102"/>
  <c r="X36" i="102"/>
  <c r="X35" i="102" s="1"/>
  <c r="W35" i="102"/>
  <c r="V35" i="102"/>
  <c r="X33" i="102"/>
  <c r="X32" i="102"/>
  <c r="X31" i="102"/>
  <c r="X30" i="102"/>
  <c r="X29" i="102"/>
  <c r="X28" i="102"/>
  <c r="X27" i="102"/>
  <c r="X26" i="102"/>
  <c r="X25" i="102"/>
  <c r="X24" i="102"/>
  <c r="X23" i="102"/>
  <c r="X22" i="102"/>
  <c r="X21" i="102"/>
  <c r="X20" i="102"/>
  <c r="X19" i="102"/>
  <c r="X18" i="102"/>
  <c r="X17" i="102"/>
  <c r="X16" i="102"/>
  <c r="X15" i="102"/>
  <c r="X14" i="102"/>
  <c r="X13" i="102"/>
  <c r="X12" i="102"/>
  <c r="X11" i="102"/>
  <c r="X10" i="102"/>
  <c r="X9" i="102"/>
  <c r="W8" i="102"/>
  <c r="V8" i="102"/>
  <c r="X7" i="102"/>
  <c r="X6" i="102"/>
  <c r="X5" i="102" s="1"/>
  <c r="W5" i="102"/>
  <c r="V5" i="102"/>
  <c r="X50" i="102" l="1"/>
  <c r="AB75" i="90"/>
  <c r="AB76" i="90" s="1"/>
  <c r="AB75" i="95"/>
  <c r="AB76" i="95" s="1"/>
  <c r="AC8" i="95"/>
  <c r="AA75" i="95"/>
  <c r="AA39" i="95"/>
  <c r="AC38" i="96"/>
  <c r="AC75" i="96" s="1"/>
  <c r="AB38" i="96"/>
  <c r="AA75" i="96"/>
  <c r="AA39" i="96"/>
  <c r="AA38" i="90"/>
  <c r="AA75" i="90" s="1"/>
  <c r="AC38" i="90"/>
  <c r="X54" i="102"/>
  <c r="W38" i="102"/>
  <c r="W39" i="102" s="1"/>
  <c r="V38" i="102"/>
  <c r="V75" i="102" s="1"/>
  <c r="V81" i="102" s="1"/>
  <c r="V83" i="102" s="1"/>
  <c r="V84" i="102" s="1"/>
  <c r="V86" i="102" s="1"/>
  <c r="V87" i="102" s="1"/>
  <c r="X45" i="102"/>
  <c r="X8" i="102"/>
  <c r="AC85" i="86"/>
  <c r="AC82" i="86"/>
  <c r="AC78" i="86"/>
  <c r="AB77" i="86"/>
  <c r="AA77" i="86"/>
  <c r="AC74" i="86"/>
  <c r="AC73" i="86" s="1"/>
  <c r="AB73" i="86"/>
  <c r="AA73" i="86"/>
  <c r="AC71" i="86"/>
  <c r="AC70" i="86"/>
  <c r="AC69" i="86"/>
  <c r="AC68" i="86"/>
  <c r="AC67" i="86"/>
  <c r="AC66" i="86"/>
  <c r="AC65" i="86"/>
  <c r="AC64" i="86"/>
  <c r="AC63" i="86"/>
  <c r="AC62" i="86"/>
  <c r="AC61" i="86"/>
  <c r="AC60" i="86"/>
  <c r="AC59" i="86"/>
  <c r="AC58" i="86"/>
  <c r="AC57" i="86"/>
  <c r="AC56" i="86"/>
  <c r="AC55" i="86"/>
  <c r="AB54" i="86"/>
  <c r="AA54" i="86"/>
  <c r="AC52" i="86"/>
  <c r="AC51" i="86"/>
  <c r="AB50" i="86"/>
  <c r="AA50" i="86"/>
  <c r="AC48" i="86"/>
  <c r="AC47" i="86"/>
  <c r="AC46" i="86"/>
  <c r="AC45" i="86"/>
  <c r="AC44" i="86"/>
  <c r="AC43" i="86"/>
  <c r="AC42" i="86"/>
  <c r="AB41" i="86"/>
  <c r="AA41" i="86"/>
  <c r="AC36" i="86"/>
  <c r="AC35" i="86" s="1"/>
  <c r="AB35" i="86"/>
  <c r="AA35" i="86"/>
  <c r="AC33" i="86"/>
  <c r="AC32" i="86"/>
  <c r="AC31" i="86"/>
  <c r="AC30" i="86"/>
  <c r="AC29" i="86"/>
  <c r="AC28" i="86"/>
  <c r="AC27" i="86"/>
  <c r="AC26" i="86"/>
  <c r="AC25" i="86"/>
  <c r="AC24" i="86"/>
  <c r="AC21" i="86"/>
  <c r="AC20" i="86"/>
  <c r="AC19" i="86"/>
  <c r="AC18" i="86"/>
  <c r="AC17" i="86"/>
  <c r="AC16" i="86"/>
  <c r="AC15" i="86"/>
  <c r="AC14" i="86"/>
  <c r="AC13" i="86"/>
  <c r="AC12" i="86"/>
  <c r="AC11" i="86"/>
  <c r="AC10" i="86"/>
  <c r="AC9" i="86"/>
  <c r="AB8" i="86"/>
  <c r="AA8" i="86"/>
  <c r="AC7" i="86"/>
  <c r="AC6" i="86"/>
  <c r="AC5" i="86" s="1"/>
  <c r="AB5" i="86"/>
  <c r="AA5" i="86"/>
  <c r="AC54" i="86" l="1"/>
  <c r="AB81" i="90"/>
  <c r="AB83" i="90" s="1"/>
  <c r="AB84" i="90" s="1"/>
  <c r="AB86" i="90" s="1"/>
  <c r="AB87" i="90" s="1"/>
  <c r="AB81" i="95"/>
  <c r="AB83" i="95" s="1"/>
  <c r="AB84" i="95" s="1"/>
  <c r="AB86" i="95" s="1"/>
  <c r="AB87" i="95" s="1"/>
  <c r="V39" i="102"/>
  <c r="W75" i="102"/>
  <c r="AC39" i="96"/>
  <c r="AC38" i="95"/>
  <c r="AA81" i="95"/>
  <c r="AA83" i="95" s="1"/>
  <c r="AA84" i="95" s="1"/>
  <c r="AA86" i="95" s="1"/>
  <c r="AA87" i="95" s="1"/>
  <c r="AA76" i="95"/>
  <c r="AB39" i="96"/>
  <c r="AB75" i="96"/>
  <c r="AC76" i="96"/>
  <c r="AA81" i="96"/>
  <c r="AA83" i="96" s="1"/>
  <c r="AA84" i="96" s="1"/>
  <c r="AA86" i="96" s="1"/>
  <c r="AA87" i="96" s="1"/>
  <c r="AA76" i="96"/>
  <c r="AA39" i="90"/>
  <c r="AC75" i="90"/>
  <c r="AC39" i="90"/>
  <c r="AA81" i="90"/>
  <c r="AA83" i="90" s="1"/>
  <c r="AA84" i="90" s="1"/>
  <c r="AA86" i="90" s="1"/>
  <c r="AA87" i="90" s="1"/>
  <c r="AA76" i="90"/>
  <c r="X41" i="102"/>
  <c r="V76" i="102"/>
  <c r="X38" i="102"/>
  <c r="AA38" i="86"/>
  <c r="AA39" i="86" s="1"/>
  <c r="AB38" i="86"/>
  <c r="AB39" i="86" s="1"/>
  <c r="AC8" i="86"/>
  <c r="AC41" i="86"/>
  <c r="AC50" i="86"/>
  <c r="AA75" i="86" l="1"/>
  <c r="AB75" i="86"/>
  <c r="AB81" i="86" s="1"/>
  <c r="AB83" i="86" s="1"/>
  <c r="AB84" i="86" s="1"/>
  <c r="AB86" i="86" s="1"/>
  <c r="AB87" i="86" s="1"/>
  <c r="W76" i="102"/>
  <c r="W81" i="102"/>
  <c r="W83" i="102" s="1"/>
  <c r="W84" i="102" s="1"/>
  <c r="W86" i="102" s="1"/>
  <c r="W87" i="102" s="1"/>
  <c r="AC38" i="86"/>
  <c r="AC75" i="86" s="1"/>
  <c r="AC75" i="95"/>
  <c r="AC39" i="95"/>
  <c r="AB81" i="96"/>
  <c r="AB83" i="96" s="1"/>
  <c r="AB84" i="96" s="1"/>
  <c r="AB86" i="96" s="1"/>
  <c r="AB87" i="96" s="1"/>
  <c r="AB76" i="96"/>
  <c r="AC76" i="90"/>
  <c r="X75" i="102"/>
  <c r="X39" i="102"/>
  <c r="AA81" i="86"/>
  <c r="AA83" i="86" s="1"/>
  <c r="AA84" i="86" s="1"/>
  <c r="AA86" i="86" s="1"/>
  <c r="AA87" i="86" s="1"/>
  <c r="AA76" i="86"/>
  <c r="AB76" i="86" l="1"/>
  <c r="AC39" i="86"/>
  <c r="AC76" i="95"/>
  <c r="X76" i="102"/>
  <c r="AC76" i="86"/>
  <c r="Q24" i="102" l="1"/>
  <c r="BJ24" i="102" s="1"/>
  <c r="BK74" i="87" l="1"/>
  <c r="V74" i="87"/>
  <c r="L74" i="87"/>
  <c r="BP74" i="90"/>
  <c r="BO74" i="90"/>
  <c r="S74" i="95"/>
  <c r="BJ74" i="87" l="1"/>
  <c r="N74" i="87"/>
  <c r="X85" i="90"/>
  <c r="E4" i="101"/>
  <c r="W16" i="95"/>
  <c r="V20" i="96"/>
  <c r="T79" i="82" l="1"/>
  <c r="BG79" i="90"/>
  <c r="J79" i="117"/>
  <c r="N79" i="107"/>
  <c r="I79" i="113"/>
  <c r="R79" i="82" l="1"/>
  <c r="T77" i="82"/>
  <c r="T89" i="82"/>
  <c r="T81" i="82"/>
  <c r="T83" i="82" s="1"/>
  <c r="T84" i="82" s="1"/>
  <c r="T86" i="82" s="1"/>
  <c r="T87" i="82" s="1"/>
  <c r="BG77" i="90"/>
  <c r="BH77" i="90" s="1"/>
  <c r="BH79" i="90"/>
  <c r="BG89" i="90"/>
  <c r="BG81" i="90"/>
  <c r="BG83" i="90" s="1"/>
  <c r="BG84" i="90" s="1"/>
  <c r="BG86" i="90" s="1"/>
  <c r="BG87" i="90" s="1"/>
  <c r="I77" i="113"/>
  <c r="I89" i="113"/>
  <c r="J79" i="113" s="1"/>
  <c r="I81" i="113"/>
  <c r="I83" i="113" s="1"/>
  <c r="I84" i="113" s="1"/>
  <c r="I86" i="113" s="1"/>
  <c r="I87" i="113" s="1"/>
  <c r="U8" i="82" l="1"/>
  <c r="BN54" i="82"/>
  <c r="U64" i="82"/>
  <c r="Z66" i="82"/>
  <c r="Z68" i="82"/>
  <c r="BN50" i="82"/>
  <c r="U51" i="82"/>
  <c r="U19" i="82"/>
  <c r="BN29" i="82"/>
  <c r="BN27" i="82"/>
  <c r="BN32" i="82"/>
  <c r="Z42" i="82"/>
  <c r="BN61" i="82"/>
  <c r="U18" i="82"/>
  <c r="BN57" i="82"/>
  <c r="U44" i="82"/>
  <c r="BN15" i="82"/>
  <c r="Z55" i="82"/>
  <c r="U73" i="82"/>
  <c r="BN60" i="82"/>
  <c r="Z67" i="82"/>
  <c r="U60" i="82"/>
  <c r="T93" i="82"/>
  <c r="AE44" i="82"/>
  <c r="BN63" i="82"/>
  <c r="BN71" i="82"/>
  <c r="BN35" i="82"/>
  <c r="Z71" i="82"/>
  <c r="U67" i="82"/>
  <c r="U63" i="82"/>
  <c r="Z56" i="82"/>
  <c r="U47" i="82"/>
  <c r="U36" i="82"/>
  <c r="Z45" i="82"/>
  <c r="U13" i="82"/>
  <c r="BN23" i="82"/>
  <c r="U10" i="82"/>
  <c r="BN47" i="82"/>
  <c r="BN14" i="82"/>
  <c r="BN9" i="82"/>
  <c r="BN45" i="82"/>
  <c r="U42" i="82"/>
  <c r="U33" i="82"/>
  <c r="Z46" i="82"/>
  <c r="Z62" i="82"/>
  <c r="BN36" i="82"/>
  <c r="U57" i="82"/>
  <c r="BN10" i="82"/>
  <c r="BN17" i="82"/>
  <c r="Z51" i="82"/>
  <c r="BN70" i="82"/>
  <c r="U12" i="82"/>
  <c r="U16" i="82"/>
  <c r="BN38" i="82"/>
  <c r="U69" i="82"/>
  <c r="U71" i="82"/>
  <c r="U61" i="82"/>
  <c r="U45" i="82"/>
  <c r="AE45" i="82"/>
  <c r="Z33" i="82"/>
  <c r="AE43" i="82"/>
  <c r="U15" i="82"/>
  <c r="BN11" i="82"/>
  <c r="BN16" i="82"/>
  <c r="U46" i="82"/>
  <c r="BN25" i="82"/>
  <c r="U9" i="82"/>
  <c r="AE42" i="82"/>
  <c r="Z50" i="82"/>
  <c r="U28" i="82"/>
  <c r="Z57" i="82"/>
  <c r="Z73" i="82"/>
  <c r="AE46" i="82"/>
  <c r="AE51" i="82"/>
  <c r="BN30" i="82"/>
  <c r="BN20" i="82"/>
  <c r="U54" i="82"/>
  <c r="U70" i="82"/>
  <c r="BN59" i="82"/>
  <c r="U68" i="82"/>
  <c r="Z65" i="82"/>
  <c r="U59" i="82"/>
  <c r="U43" i="82"/>
  <c r="Z43" i="82"/>
  <c r="U31" i="82"/>
  <c r="U52" i="82"/>
  <c r="U14" i="82"/>
  <c r="U17" i="82"/>
  <c r="BN33" i="82"/>
  <c r="BN48" i="82"/>
  <c r="Z48" i="82"/>
  <c r="U29" i="82"/>
  <c r="Z52" i="82"/>
  <c r="BN55" i="82"/>
  <c r="AE36" i="82"/>
  <c r="U56" i="82"/>
  <c r="BN13" i="82"/>
  <c r="BN24" i="82"/>
  <c r="U55" i="82"/>
  <c r="BN42" i="82"/>
  <c r="U32" i="82"/>
  <c r="BN65" i="82"/>
  <c r="BN62" i="82"/>
  <c r="BN43" i="82"/>
  <c r="BN66" i="82"/>
  <c r="Z63" i="82"/>
  <c r="U65" i="82"/>
  <c r="U50" i="82"/>
  <c r="Z32" i="82"/>
  <c r="BN22" i="82"/>
  <c r="BN51" i="82"/>
  <c r="BN40" i="82"/>
  <c r="U11" i="82"/>
  <c r="Z36" i="82"/>
  <c r="BN68" i="82"/>
  <c r="BN31" i="82"/>
  <c r="U21" i="82"/>
  <c r="BN69" i="82"/>
  <c r="BN67" i="82"/>
  <c r="AE48" i="82"/>
  <c r="BN58" i="82"/>
  <c r="BN19" i="82"/>
  <c r="AE50" i="82"/>
  <c r="BN56" i="82"/>
  <c r="Z59" i="82"/>
  <c r="Z44" i="82"/>
  <c r="Z70" i="82"/>
  <c r="Z61" i="82"/>
  <c r="BN8" i="82"/>
  <c r="U20" i="82"/>
  <c r="BN12" i="82"/>
  <c r="BN21" i="82"/>
  <c r="U41" i="82"/>
  <c r="U66" i="82"/>
  <c r="U30" i="82"/>
  <c r="U48" i="82"/>
  <c r="Z58" i="82"/>
  <c r="BN41" i="82"/>
  <c r="AE52" i="82"/>
  <c r="U62" i="82"/>
  <c r="BN28" i="82"/>
  <c r="U25" i="82"/>
  <c r="Z60" i="82"/>
  <c r="BN39" i="82"/>
  <c r="BN64" i="82"/>
  <c r="Z64" i="82"/>
  <c r="U24" i="82"/>
  <c r="BN26" i="82"/>
  <c r="U27" i="82"/>
  <c r="BN52" i="82"/>
  <c r="BN18" i="82"/>
  <c r="BN44" i="82"/>
  <c r="BN46" i="82"/>
  <c r="U26" i="82"/>
  <c r="U58" i="82"/>
  <c r="R81" i="82"/>
  <c r="R83" i="82" s="1"/>
  <c r="R84" i="82" s="1"/>
  <c r="R86" i="82" s="1"/>
  <c r="R87" i="82" s="1"/>
  <c r="R77" i="82"/>
  <c r="J38" i="113"/>
  <c r="J8" i="113"/>
  <c r="J60" i="113"/>
  <c r="J61" i="113"/>
  <c r="J42" i="113"/>
  <c r="J19" i="113"/>
  <c r="J18" i="113"/>
  <c r="J14" i="113"/>
  <c r="J29" i="113"/>
  <c r="J36" i="113"/>
  <c r="J68" i="113"/>
  <c r="J66" i="113"/>
  <c r="J41" i="113"/>
  <c r="J72" i="113"/>
  <c r="J67" i="113"/>
  <c r="J22" i="113"/>
  <c r="J40" i="113"/>
  <c r="J21" i="113"/>
  <c r="J25" i="113"/>
  <c r="J13" i="113"/>
  <c r="J24" i="113"/>
  <c r="J48" i="113"/>
  <c r="J31" i="113"/>
  <c r="J30" i="113"/>
  <c r="J50" i="113"/>
  <c r="J69" i="113"/>
  <c r="J59" i="113"/>
  <c r="J70" i="113"/>
  <c r="J16" i="113"/>
  <c r="J44" i="113"/>
  <c r="J15" i="113"/>
  <c r="J55" i="113"/>
  <c r="J43" i="113"/>
  <c r="J56" i="113"/>
  <c r="J65" i="113"/>
  <c r="J62" i="113"/>
  <c r="J47" i="113"/>
  <c r="J49" i="113"/>
  <c r="J23" i="113"/>
  <c r="J10" i="113"/>
  <c r="J32" i="113"/>
  <c r="J20" i="113"/>
  <c r="J51" i="113"/>
  <c r="J45" i="113"/>
  <c r="J35" i="113"/>
  <c r="J54" i="113"/>
  <c r="J39" i="113"/>
  <c r="J9" i="113"/>
  <c r="J11" i="113"/>
  <c r="J27" i="113"/>
  <c r="J58" i="113"/>
  <c r="J28" i="113"/>
  <c r="J17" i="113"/>
  <c r="J33" i="113"/>
  <c r="J71" i="113"/>
  <c r="J64" i="113"/>
  <c r="J57" i="113"/>
  <c r="J26" i="113"/>
  <c r="J52" i="113"/>
  <c r="J63" i="113"/>
  <c r="J12" i="113"/>
  <c r="J46" i="113"/>
  <c r="BL23" i="99" l="1"/>
  <c r="R30" i="99"/>
  <c r="BK30" i="99" s="1"/>
  <c r="BA80" i="86"/>
  <c r="AZ80" i="86"/>
  <c r="S63" i="102"/>
  <c r="S64" i="102"/>
  <c r="BL23" i="102"/>
  <c r="S23" i="102"/>
  <c r="S24" i="102"/>
  <c r="R28" i="102"/>
  <c r="R16" i="102"/>
  <c r="BK16" i="102" s="1"/>
  <c r="Q18" i="102"/>
  <c r="Q28" i="99" l="1"/>
  <c r="BJ28" i="99" s="1"/>
  <c r="Q24" i="99"/>
  <c r="S24" i="99" s="1"/>
  <c r="S23" i="99"/>
  <c r="Q22" i="99"/>
  <c r="BJ22" i="99" s="1"/>
  <c r="BL22" i="99" l="1"/>
  <c r="S22" i="99"/>
  <c r="Q28" i="102"/>
  <c r="BJ28" i="102" s="1"/>
  <c r="Q20" i="102"/>
  <c r="Q22" i="102"/>
  <c r="Q45" i="102"/>
  <c r="BJ45" i="102" s="1"/>
  <c r="BP80" i="90"/>
  <c r="BO80" i="90"/>
  <c r="V18" i="90"/>
  <c r="V28" i="90"/>
  <c r="V24" i="90"/>
  <c r="BO28" i="90" l="1"/>
  <c r="BQ28" i="90" s="1"/>
  <c r="BJ22" i="102"/>
  <c r="BL22" i="102" s="1"/>
  <c r="S22" i="102"/>
  <c r="BQ36" i="90"/>
  <c r="X80" i="90"/>
  <c r="X78" i="90"/>
  <c r="X72" i="90"/>
  <c r="X71" i="90"/>
  <c r="X70" i="90"/>
  <c r="X68" i="90"/>
  <c r="X67" i="90"/>
  <c r="X66" i="90"/>
  <c r="X64" i="90"/>
  <c r="X63" i="90"/>
  <c r="X62" i="90"/>
  <c r="X61" i="90"/>
  <c r="X60" i="90"/>
  <c r="X59" i="90"/>
  <c r="X58" i="90"/>
  <c r="X57" i="90"/>
  <c r="X56" i="90"/>
  <c r="X55" i="90"/>
  <c r="X53" i="90"/>
  <c r="X52" i="90"/>
  <c r="X51" i="90"/>
  <c r="X49" i="90"/>
  <c r="X48" i="90"/>
  <c r="X47" i="90"/>
  <c r="X46" i="90"/>
  <c r="X45" i="90"/>
  <c r="X44" i="90"/>
  <c r="X43" i="90"/>
  <c r="X42" i="90"/>
  <c r="X37" i="90"/>
  <c r="X17" i="90"/>
  <c r="X18" i="90"/>
  <c r="X19" i="90"/>
  <c r="X20" i="90"/>
  <c r="X21" i="90"/>
  <c r="X22" i="90"/>
  <c r="X23" i="90"/>
  <c r="X24" i="90"/>
  <c r="X27" i="90"/>
  <c r="X28" i="90"/>
  <c r="X29" i="90"/>
  <c r="X30" i="90"/>
  <c r="X32" i="90"/>
  <c r="X33" i="90"/>
  <c r="V65" i="90"/>
  <c r="W31" i="90"/>
  <c r="BP31" i="90" s="1"/>
  <c r="Q6" i="99"/>
  <c r="BJ6" i="99" s="1"/>
  <c r="V69" i="90"/>
  <c r="V69" i="96"/>
  <c r="BO69" i="96" s="1"/>
  <c r="V28" i="96"/>
  <c r="X28" i="96" s="1"/>
  <c r="V18" i="96"/>
  <c r="V27" i="96"/>
  <c r="V22" i="96"/>
  <c r="BO22" i="96" s="1"/>
  <c r="V24" i="96"/>
  <c r="X29" i="96"/>
  <c r="BO69" i="90" l="1"/>
  <c r="BQ69" i="90" s="1"/>
  <c r="BO65" i="90"/>
  <c r="BQ65" i="90" s="1"/>
  <c r="S6" i="99"/>
  <c r="X65" i="90"/>
  <c r="X31" i="90"/>
  <c r="X22" i="96"/>
  <c r="BQ22" i="96"/>
  <c r="BU22" i="96" s="1"/>
  <c r="X69" i="90"/>
  <c r="V26" i="96" l="1"/>
  <c r="W16" i="96"/>
  <c r="BP16" i="96" s="1"/>
  <c r="W16" i="90"/>
  <c r="V26" i="90"/>
  <c r="X26" i="90" s="1"/>
  <c r="V26" i="86"/>
  <c r="V25" i="96" l="1"/>
  <c r="Q25" i="102"/>
  <c r="V25" i="86"/>
  <c r="AZ25" i="86" s="1"/>
  <c r="V25" i="90"/>
  <c r="X25" i="90" s="1"/>
  <c r="Q25" i="90"/>
  <c r="Q25" i="99"/>
  <c r="S25" i="99" s="1"/>
  <c r="Q26" i="99"/>
  <c r="V26" i="95"/>
  <c r="V25" i="95" l="1"/>
  <c r="AU25" i="95" s="1"/>
  <c r="V28" i="95" l="1"/>
  <c r="AW23" i="95" l="1"/>
  <c r="C74" i="95"/>
  <c r="V14" i="96" l="1"/>
  <c r="V13" i="96"/>
  <c r="V12" i="96"/>
  <c r="W12" i="96"/>
  <c r="X16" i="90"/>
  <c r="X15" i="90"/>
  <c r="X14" i="90"/>
  <c r="X13" i="90"/>
  <c r="X12" i="90"/>
  <c r="X11" i="90"/>
  <c r="X10" i="90"/>
  <c r="X9" i="90"/>
  <c r="Q13" i="102"/>
  <c r="Q14" i="102"/>
  <c r="Q12" i="102"/>
  <c r="R12" i="102"/>
  <c r="X8" i="90" l="1"/>
  <c r="S31" i="102"/>
  <c r="S30" i="102"/>
  <c r="X85" i="86" l="1"/>
  <c r="X82" i="86"/>
  <c r="X78" i="86"/>
  <c r="W77" i="86"/>
  <c r="V77" i="86"/>
  <c r="X74" i="86"/>
  <c r="X73" i="86" s="1"/>
  <c r="W73" i="86"/>
  <c r="V73" i="86"/>
  <c r="X71" i="86"/>
  <c r="X70" i="86"/>
  <c r="X69" i="86"/>
  <c r="X68" i="86"/>
  <c r="X67" i="86"/>
  <c r="X66" i="86"/>
  <c r="X65" i="86"/>
  <c r="X64" i="86"/>
  <c r="X63" i="86"/>
  <c r="X62" i="86"/>
  <c r="X61" i="86"/>
  <c r="X60" i="86"/>
  <c r="X59" i="86"/>
  <c r="X58" i="86"/>
  <c r="X57" i="86"/>
  <c r="X56" i="86"/>
  <c r="X55" i="86"/>
  <c r="W54" i="86"/>
  <c r="V54" i="86"/>
  <c r="X52" i="86"/>
  <c r="X51" i="86"/>
  <c r="W50" i="86"/>
  <c r="V50" i="86"/>
  <c r="X48" i="86"/>
  <c r="X47" i="86"/>
  <c r="X46" i="86"/>
  <c r="X45" i="86"/>
  <c r="X44" i="86"/>
  <c r="X43" i="86"/>
  <c r="X42" i="86"/>
  <c r="W41" i="86"/>
  <c r="V41" i="86"/>
  <c r="X36" i="86"/>
  <c r="X35" i="86" s="1"/>
  <c r="W35" i="86"/>
  <c r="V35" i="86"/>
  <c r="X33" i="86"/>
  <c r="X32" i="86"/>
  <c r="X31" i="86"/>
  <c r="X30" i="86"/>
  <c r="X29" i="86"/>
  <c r="X28" i="86"/>
  <c r="X27" i="86"/>
  <c r="X26" i="86"/>
  <c r="X25" i="86"/>
  <c r="X24" i="86"/>
  <c r="X21" i="86"/>
  <c r="X20" i="86"/>
  <c r="X19" i="86"/>
  <c r="X18" i="86"/>
  <c r="X17" i="86"/>
  <c r="X16" i="86"/>
  <c r="X15" i="86"/>
  <c r="X14" i="86"/>
  <c r="X13" i="86"/>
  <c r="X12" i="86"/>
  <c r="X11" i="86"/>
  <c r="X10" i="86"/>
  <c r="X9" i="86"/>
  <c r="W8" i="86"/>
  <c r="X7" i="86"/>
  <c r="X6" i="86"/>
  <c r="X5" i="86" s="1"/>
  <c r="W5" i="86"/>
  <c r="S78" i="102"/>
  <c r="R77" i="102"/>
  <c r="Q77" i="102"/>
  <c r="S74" i="102"/>
  <c r="S73" i="102" s="1"/>
  <c r="R73" i="102"/>
  <c r="Q73" i="102"/>
  <c r="S71" i="102"/>
  <c r="S70" i="102"/>
  <c r="S69" i="102"/>
  <c r="S68" i="102"/>
  <c r="S67" i="102"/>
  <c r="S66" i="102"/>
  <c r="S65" i="102"/>
  <c r="S62" i="102"/>
  <c r="S61" i="102"/>
  <c r="S60" i="102"/>
  <c r="S59" i="102"/>
  <c r="S58" i="102"/>
  <c r="S57" i="102"/>
  <c r="S56" i="102"/>
  <c r="S55" i="102"/>
  <c r="R54" i="102"/>
  <c r="Q54" i="102"/>
  <c r="S52" i="102"/>
  <c r="S51" i="102"/>
  <c r="R50" i="102"/>
  <c r="Q50" i="102"/>
  <c r="S48" i="102"/>
  <c r="S47" i="102"/>
  <c r="S46" i="102"/>
  <c r="S45" i="102"/>
  <c r="S44" i="102"/>
  <c r="S43" i="102"/>
  <c r="S42" i="102"/>
  <c r="R41" i="102"/>
  <c r="Q41" i="102"/>
  <c r="S36" i="102"/>
  <c r="S35" i="102" s="1"/>
  <c r="R35" i="102"/>
  <c r="Q35" i="102"/>
  <c r="S33" i="102"/>
  <c r="S32" i="102"/>
  <c r="S29" i="102"/>
  <c r="S28" i="102"/>
  <c r="S27" i="102"/>
  <c r="S26" i="102"/>
  <c r="S25" i="102"/>
  <c r="S21" i="102"/>
  <c r="S20" i="102"/>
  <c r="S19" i="102"/>
  <c r="S18" i="102"/>
  <c r="S17" i="102"/>
  <c r="S16" i="102"/>
  <c r="S15" i="102"/>
  <c r="Q8" i="102"/>
  <c r="S13" i="102"/>
  <c r="S12" i="102"/>
  <c r="S11" i="102"/>
  <c r="S10" i="102"/>
  <c r="S9" i="102"/>
  <c r="R8" i="102"/>
  <c r="S7" i="102"/>
  <c r="S6" i="102"/>
  <c r="S5" i="102" s="1"/>
  <c r="R5" i="102"/>
  <c r="Q5" i="102"/>
  <c r="S85" i="99"/>
  <c r="S82" i="99"/>
  <c r="S78" i="99"/>
  <c r="R77" i="99"/>
  <c r="Q77" i="99"/>
  <c r="S74" i="99"/>
  <c r="S73" i="99" s="1"/>
  <c r="R73" i="99"/>
  <c r="Q73" i="99"/>
  <c r="S71" i="99"/>
  <c r="S70" i="99"/>
  <c r="S69" i="99"/>
  <c r="S68" i="99"/>
  <c r="S67" i="99"/>
  <c r="S66" i="99"/>
  <c r="S65" i="99"/>
  <c r="S64" i="99"/>
  <c r="S63" i="99"/>
  <c r="S62" i="99"/>
  <c r="S61" i="99"/>
  <c r="Q54" i="99"/>
  <c r="S59" i="99"/>
  <c r="S58" i="99"/>
  <c r="S57" i="99"/>
  <c r="S56" i="99"/>
  <c r="S55" i="99"/>
  <c r="R54" i="99"/>
  <c r="S52" i="99"/>
  <c r="S51" i="99"/>
  <c r="S50" i="99" s="1"/>
  <c r="R50" i="99"/>
  <c r="Q50" i="99"/>
  <c r="S48" i="99"/>
  <c r="S47" i="99"/>
  <c r="S46" i="99"/>
  <c r="S45" i="99"/>
  <c r="S44" i="99"/>
  <c r="S43" i="99"/>
  <c r="S42" i="99"/>
  <c r="R41" i="99"/>
  <c r="Q41" i="99"/>
  <c r="S36" i="99"/>
  <c r="S35" i="99" s="1"/>
  <c r="R35" i="99"/>
  <c r="Q35" i="99"/>
  <c r="S33" i="99"/>
  <c r="S32" i="99"/>
  <c r="S31" i="99"/>
  <c r="S30" i="99"/>
  <c r="S29" i="99"/>
  <c r="S28" i="99"/>
  <c r="S27" i="99"/>
  <c r="S26" i="99"/>
  <c r="S21" i="99"/>
  <c r="S20" i="99"/>
  <c r="S19" i="99"/>
  <c r="S18" i="99"/>
  <c r="S17" i="99"/>
  <c r="S16" i="99"/>
  <c r="S15" i="99"/>
  <c r="S14" i="99"/>
  <c r="S13" i="99"/>
  <c r="S12" i="99"/>
  <c r="Q8" i="99"/>
  <c r="S10" i="99"/>
  <c r="S9" i="99"/>
  <c r="R8" i="99"/>
  <c r="S7" i="99"/>
  <c r="S5" i="99"/>
  <c r="R5" i="99"/>
  <c r="Q5" i="99"/>
  <c r="X85" i="87"/>
  <c r="X82" i="87"/>
  <c r="X78" i="87"/>
  <c r="W77" i="87"/>
  <c r="V77" i="87"/>
  <c r="X74" i="87"/>
  <c r="X73" i="87" s="1"/>
  <c r="W73" i="87"/>
  <c r="V73" i="87"/>
  <c r="X71" i="87"/>
  <c r="X70" i="87"/>
  <c r="X69" i="87"/>
  <c r="X68" i="87"/>
  <c r="X67" i="87"/>
  <c r="X66" i="87"/>
  <c r="X65" i="87"/>
  <c r="X64" i="87"/>
  <c r="X63" i="87"/>
  <c r="X62" i="87"/>
  <c r="X61" i="87"/>
  <c r="X60" i="87"/>
  <c r="X59" i="87"/>
  <c r="X58" i="87"/>
  <c r="X57" i="87"/>
  <c r="X56" i="87"/>
  <c r="X55" i="87"/>
  <c r="W54" i="87"/>
  <c r="V54" i="87"/>
  <c r="X52" i="87"/>
  <c r="X51" i="87"/>
  <c r="W50" i="87"/>
  <c r="V50" i="87"/>
  <c r="X48" i="87"/>
  <c r="X47" i="87"/>
  <c r="X46" i="87"/>
  <c r="X45" i="87"/>
  <c r="X44" i="87"/>
  <c r="X43" i="87"/>
  <c r="X42" i="87"/>
  <c r="W41" i="87"/>
  <c r="V41" i="87"/>
  <c r="X36" i="87"/>
  <c r="W35" i="87"/>
  <c r="V35" i="87"/>
  <c r="X33" i="87"/>
  <c r="X32" i="87"/>
  <c r="X31" i="87"/>
  <c r="X30" i="87"/>
  <c r="X29" i="87"/>
  <c r="X28" i="87"/>
  <c r="X27" i="87"/>
  <c r="X26" i="87"/>
  <c r="X25" i="87"/>
  <c r="X24" i="87"/>
  <c r="X21" i="87"/>
  <c r="X20" i="87"/>
  <c r="X19" i="87"/>
  <c r="X18" i="87"/>
  <c r="X17" i="87"/>
  <c r="X16" i="87"/>
  <c r="X15" i="87"/>
  <c r="X14" i="87"/>
  <c r="X13" i="87"/>
  <c r="X12" i="87"/>
  <c r="X11" i="87"/>
  <c r="X10" i="87"/>
  <c r="X9" i="87"/>
  <c r="W8" i="87"/>
  <c r="V8" i="87"/>
  <c r="X7" i="87"/>
  <c r="X6" i="87"/>
  <c r="X5" i="87" s="1"/>
  <c r="W5" i="87"/>
  <c r="W38" i="87" s="1"/>
  <c r="V5" i="87"/>
  <c r="X82" i="90"/>
  <c r="W77" i="90"/>
  <c r="V77" i="90"/>
  <c r="X74" i="90"/>
  <c r="X73" i="90" s="1"/>
  <c r="W73" i="90"/>
  <c r="V73" i="90"/>
  <c r="X54" i="90"/>
  <c r="W54" i="90"/>
  <c r="V54" i="90"/>
  <c r="W50" i="90"/>
  <c r="V50" i="90"/>
  <c r="X41" i="90"/>
  <c r="W41" i="90"/>
  <c r="V41" i="90"/>
  <c r="X35" i="90"/>
  <c r="W35" i="90"/>
  <c r="V35" i="90"/>
  <c r="W8" i="90"/>
  <c r="X7" i="90"/>
  <c r="X6" i="90"/>
  <c r="X5" i="90" s="1"/>
  <c r="W5" i="90"/>
  <c r="V5" i="90"/>
  <c r="X85" i="96"/>
  <c r="X82" i="96"/>
  <c r="X78" i="96"/>
  <c r="W77" i="96"/>
  <c r="V77" i="96"/>
  <c r="X74" i="96"/>
  <c r="X73" i="96" s="1"/>
  <c r="W73" i="96"/>
  <c r="V73" i="96"/>
  <c r="X71" i="96"/>
  <c r="X70" i="96"/>
  <c r="X69" i="96"/>
  <c r="X68" i="96"/>
  <c r="X67" i="96"/>
  <c r="X66" i="96"/>
  <c r="X65" i="96"/>
  <c r="X64" i="96"/>
  <c r="X63" i="96"/>
  <c r="X62" i="96"/>
  <c r="X61" i="96"/>
  <c r="X60" i="96"/>
  <c r="X59" i="96"/>
  <c r="X58" i="96"/>
  <c r="X57" i="96"/>
  <c r="X56" i="96"/>
  <c r="X55" i="96"/>
  <c r="W54" i="96"/>
  <c r="V54" i="96"/>
  <c r="X52" i="96"/>
  <c r="X51" i="96"/>
  <c r="W50" i="96"/>
  <c r="V50" i="96"/>
  <c r="X48" i="96"/>
  <c r="X47" i="96"/>
  <c r="X46" i="96"/>
  <c r="X45" i="96"/>
  <c r="X44" i="96"/>
  <c r="X43" i="96"/>
  <c r="X42" i="96"/>
  <c r="W41" i="96"/>
  <c r="V41" i="96"/>
  <c r="X36" i="96"/>
  <c r="X35" i="96" s="1"/>
  <c r="W35" i="96"/>
  <c r="V35" i="96"/>
  <c r="X33" i="96"/>
  <c r="X32" i="96"/>
  <c r="X31" i="96"/>
  <c r="X30" i="96"/>
  <c r="X27" i="96"/>
  <c r="V8" i="96"/>
  <c r="X25" i="96"/>
  <c r="X24" i="96"/>
  <c r="X21" i="96"/>
  <c r="X20" i="96"/>
  <c r="X19" i="96"/>
  <c r="X18" i="96"/>
  <c r="X17" i="96"/>
  <c r="X16" i="96"/>
  <c r="X15" i="96"/>
  <c r="X14" i="96"/>
  <c r="X13" i="96"/>
  <c r="X12" i="96"/>
  <c r="X11" i="96"/>
  <c r="X10" i="96"/>
  <c r="X9" i="96"/>
  <c r="W8" i="96"/>
  <c r="X7" i="96"/>
  <c r="X6" i="96"/>
  <c r="X5" i="96" s="1"/>
  <c r="W5" i="96"/>
  <c r="V5" i="96"/>
  <c r="X23" i="95"/>
  <c r="X22" i="95"/>
  <c r="X29" i="95"/>
  <c r="X50" i="87" l="1"/>
  <c r="S41" i="99"/>
  <c r="W38" i="96"/>
  <c r="X50" i="96"/>
  <c r="X8" i="87"/>
  <c r="X41" i="87"/>
  <c r="S50" i="102"/>
  <c r="X50" i="86"/>
  <c r="X54" i="87"/>
  <c r="R38" i="102"/>
  <c r="R75" i="102" s="1"/>
  <c r="R81" i="102" s="1"/>
  <c r="R83" i="102" s="1"/>
  <c r="R84" i="102" s="1"/>
  <c r="R86" i="102" s="1"/>
  <c r="R87" i="102" s="1"/>
  <c r="Q38" i="99"/>
  <c r="Q75" i="99" s="1"/>
  <c r="X54" i="86"/>
  <c r="X8" i="86"/>
  <c r="V8" i="86"/>
  <c r="X41" i="86"/>
  <c r="V5" i="86"/>
  <c r="W38" i="86"/>
  <c r="S54" i="102"/>
  <c r="S41" i="102"/>
  <c r="Q38" i="102"/>
  <c r="S14" i="102"/>
  <c r="R38" i="99"/>
  <c r="R39" i="99" s="1"/>
  <c r="S11" i="99"/>
  <c r="S60" i="99"/>
  <c r="V38" i="87"/>
  <c r="V75" i="87" s="1"/>
  <c r="X38" i="87"/>
  <c r="W75" i="87"/>
  <c r="W39" i="87"/>
  <c r="X35" i="87"/>
  <c r="W38" i="90"/>
  <c r="W39" i="90" s="1"/>
  <c r="X50" i="90"/>
  <c r="V8" i="90"/>
  <c r="V38" i="90" s="1"/>
  <c r="X41" i="96"/>
  <c r="X54" i="96"/>
  <c r="V38" i="96"/>
  <c r="W39" i="96"/>
  <c r="W75" i="96"/>
  <c r="X26" i="96"/>
  <c r="R39" i="102" l="1"/>
  <c r="R75" i="99"/>
  <c r="R81" i="99" s="1"/>
  <c r="R83" i="99" s="1"/>
  <c r="R84" i="99" s="1"/>
  <c r="R86" i="99" s="1"/>
  <c r="R87" i="99" s="1"/>
  <c r="Q39" i="99"/>
  <c r="V38" i="86"/>
  <c r="V75" i="86" s="1"/>
  <c r="W75" i="86"/>
  <c r="W39" i="86"/>
  <c r="X38" i="86"/>
  <c r="S8" i="102"/>
  <c r="R76" i="102"/>
  <c r="Q75" i="102"/>
  <c r="Q81" i="102" s="1"/>
  <c r="Q83" i="102" s="1"/>
  <c r="Q84" i="102" s="1"/>
  <c r="Q86" i="102" s="1"/>
  <c r="Q87" i="102" s="1"/>
  <c r="Q39" i="102"/>
  <c r="S8" i="99"/>
  <c r="R76" i="99"/>
  <c r="S54" i="99"/>
  <c r="Q81" i="99"/>
  <c r="Q83" i="99" s="1"/>
  <c r="Q84" i="99" s="1"/>
  <c r="Q86" i="99" s="1"/>
  <c r="Q87" i="99" s="1"/>
  <c r="Q76" i="99"/>
  <c r="V39" i="87"/>
  <c r="X75" i="87"/>
  <c r="X39" i="87"/>
  <c r="W81" i="87"/>
  <c r="W83" i="87" s="1"/>
  <c r="W84" i="87" s="1"/>
  <c r="W86" i="87" s="1"/>
  <c r="W87" i="87" s="1"/>
  <c r="W76" i="87"/>
  <c r="V81" i="87"/>
  <c r="V83" i="87" s="1"/>
  <c r="V84" i="87" s="1"/>
  <c r="V86" i="87" s="1"/>
  <c r="V87" i="87" s="1"/>
  <c r="V76" i="87"/>
  <c r="W75" i="90"/>
  <c r="W76" i="90" s="1"/>
  <c r="X38" i="90"/>
  <c r="V75" i="90"/>
  <c r="V39" i="90"/>
  <c r="X8" i="96"/>
  <c r="W81" i="96"/>
  <c r="W83" i="96" s="1"/>
  <c r="W84" i="96" s="1"/>
  <c r="W86" i="96" s="1"/>
  <c r="W87" i="96" s="1"/>
  <c r="W76" i="96"/>
  <c r="V75" i="96"/>
  <c r="V39" i="96"/>
  <c r="S38" i="99" l="1"/>
  <c r="W81" i="90"/>
  <c r="W83" i="90" s="1"/>
  <c r="W84" i="90" s="1"/>
  <c r="W86" i="90" s="1"/>
  <c r="W87" i="90" s="1"/>
  <c r="V39" i="86"/>
  <c r="X75" i="86"/>
  <c r="X39" i="86"/>
  <c r="W81" i="86"/>
  <c r="W83" i="86" s="1"/>
  <c r="W84" i="86" s="1"/>
  <c r="W86" i="86" s="1"/>
  <c r="W87" i="86" s="1"/>
  <c r="W76" i="86"/>
  <c r="V81" i="86"/>
  <c r="V83" i="86" s="1"/>
  <c r="V84" i="86" s="1"/>
  <c r="V86" i="86" s="1"/>
  <c r="V87" i="86" s="1"/>
  <c r="V76" i="86"/>
  <c r="S38" i="102"/>
  <c r="S75" i="102" s="1"/>
  <c r="Q76" i="102"/>
  <c r="S75" i="99"/>
  <c r="S39" i="99"/>
  <c r="X76" i="87"/>
  <c r="V81" i="90"/>
  <c r="V83" i="90" s="1"/>
  <c r="V84" i="90" s="1"/>
  <c r="V86" i="90" s="1"/>
  <c r="V87" i="90" s="1"/>
  <c r="V76" i="90"/>
  <c r="X39" i="90"/>
  <c r="X75" i="90"/>
  <c r="V81" i="96"/>
  <c r="V83" i="96" s="1"/>
  <c r="V84" i="96" s="1"/>
  <c r="V86" i="96" s="1"/>
  <c r="V87" i="96" s="1"/>
  <c r="V76" i="96"/>
  <c r="X38" i="96"/>
  <c r="S39" i="102" l="1"/>
  <c r="X76" i="86"/>
  <c r="S76" i="102"/>
  <c r="S76" i="99"/>
  <c r="X76" i="90"/>
  <c r="X39" i="96"/>
  <c r="X75" i="96"/>
  <c r="X76" i="96" l="1"/>
  <c r="X85" i="95" l="1"/>
  <c r="X82" i="95"/>
  <c r="X78" i="95"/>
  <c r="W77" i="95"/>
  <c r="V77" i="95"/>
  <c r="X74" i="95"/>
  <c r="X73" i="95" s="1"/>
  <c r="W73" i="95"/>
  <c r="V73" i="95"/>
  <c r="X71" i="95"/>
  <c r="X70" i="95"/>
  <c r="X69" i="95"/>
  <c r="X68" i="95"/>
  <c r="X67" i="95"/>
  <c r="X66" i="95"/>
  <c r="X65" i="95"/>
  <c r="X64" i="95"/>
  <c r="X63" i="95"/>
  <c r="X62" i="95"/>
  <c r="X61" i="95"/>
  <c r="V54" i="95"/>
  <c r="X59" i="95"/>
  <c r="X58" i="95"/>
  <c r="X57" i="95"/>
  <c r="X56" i="95"/>
  <c r="X55" i="95"/>
  <c r="W54" i="95"/>
  <c r="X52" i="95"/>
  <c r="X51" i="95"/>
  <c r="W50" i="95"/>
  <c r="V50" i="95"/>
  <c r="X48" i="95"/>
  <c r="X47" i="95"/>
  <c r="X46" i="95"/>
  <c r="X45" i="95"/>
  <c r="X44" i="95"/>
  <c r="X43" i="95"/>
  <c r="X42" i="95"/>
  <c r="W41" i="95"/>
  <c r="V41" i="95"/>
  <c r="X36" i="95"/>
  <c r="X35" i="95" s="1"/>
  <c r="W35" i="95"/>
  <c r="V35" i="95"/>
  <c r="X33" i="95"/>
  <c r="X32" i="95"/>
  <c r="X31" i="95"/>
  <c r="X30" i="95"/>
  <c r="X28" i="95"/>
  <c r="X27" i="95"/>
  <c r="X26" i="95"/>
  <c r="X25" i="95"/>
  <c r="X24" i="95"/>
  <c r="X21" i="95"/>
  <c r="X20" i="95"/>
  <c r="X18" i="95"/>
  <c r="X17" i="95"/>
  <c r="X16" i="95"/>
  <c r="X15" i="95"/>
  <c r="X14" i="95"/>
  <c r="X13" i="95"/>
  <c r="X12" i="95"/>
  <c r="X11" i="95"/>
  <c r="X10" i="95"/>
  <c r="X9" i="95"/>
  <c r="W8" i="95"/>
  <c r="X7" i="95"/>
  <c r="X6" i="95"/>
  <c r="X5" i="95" s="1"/>
  <c r="W5" i="95"/>
  <c r="V5" i="95"/>
  <c r="X50" i="95" l="1"/>
  <c r="X41" i="95"/>
  <c r="V8" i="95"/>
  <c r="V38" i="95" s="1"/>
  <c r="W38" i="95"/>
  <c r="X19" i="95"/>
  <c r="X60" i="95"/>
  <c r="X8" i="95" l="1"/>
  <c r="X54" i="95"/>
  <c r="W39" i="95"/>
  <c r="W75" i="95"/>
  <c r="V75" i="95"/>
  <c r="V39" i="95"/>
  <c r="V81" i="95" l="1"/>
  <c r="V83" i="95" s="1"/>
  <c r="V84" i="95" s="1"/>
  <c r="V86" i="95" s="1"/>
  <c r="V87" i="95" s="1"/>
  <c r="V76" i="95"/>
  <c r="X38" i="95"/>
  <c r="W81" i="95"/>
  <c r="W83" i="95" s="1"/>
  <c r="W84" i="95" s="1"/>
  <c r="W86" i="95" s="1"/>
  <c r="W87" i="95" s="1"/>
  <c r="W76" i="95"/>
  <c r="L12" i="102"/>
  <c r="BJ12" i="102" s="1"/>
  <c r="M12" i="102"/>
  <c r="BK12" i="102" s="1"/>
  <c r="X39" i="95" l="1"/>
  <c r="X75" i="95"/>
  <c r="E22" i="90"/>
  <c r="E22" i="96"/>
  <c r="E79" i="96"/>
  <c r="C36" i="95"/>
  <c r="C24" i="95"/>
  <c r="E22" i="95"/>
  <c r="D30" i="95"/>
  <c r="AW22" i="95" l="1"/>
  <c r="X76" i="95"/>
  <c r="L26" i="99"/>
  <c r="BJ26" i="99" s="1"/>
  <c r="L26" i="102"/>
  <c r="BJ26" i="102" s="1"/>
  <c r="Q26" i="86"/>
  <c r="Q26" i="96"/>
  <c r="BO26" i="96" s="1"/>
  <c r="L25" i="99"/>
  <c r="BJ25" i="99" s="1"/>
  <c r="L25" i="102"/>
  <c r="BJ25" i="102" s="1"/>
  <c r="Q25" i="96"/>
  <c r="BO25" i="96" s="1"/>
  <c r="BL25" i="99" l="1"/>
  <c r="E5" i="101"/>
  <c r="Y79" i="82" l="1"/>
  <c r="S79" i="107"/>
  <c r="BG79" i="107" s="1"/>
  <c r="BG81" i="107" s="1"/>
  <c r="BG83" i="107" s="1"/>
  <c r="BG84" i="107" s="1"/>
  <c r="BG86" i="107" s="1"/>
  <c r="BG87" i="107" s="1"/>
  <c r="W79" i="82" l="1"/>
  <c r="Y77" i="82"/>
  <c r="Y89" i="82"/>
  <c r="Y81" i="82"/>
  <c r="Y83" i="82" s="1"/>
  <c r="Y84" i="82" s="1"/>
  <c r="Y86" i="82" s="1"/>
  <c r="Y87" i="82" s="1"/>
  <c r="Q19" i="95"/>
  <c r="Q26" i="90"/>
  <c r="Q18" i="90"/>
  <c r="Q13" i="90"/>
  <c r="Q14" i="90"/>
  <c r="Q12" i="90"/>
  <c r="R12" i="90"/>
  <c r="R58" i="90"/>
  <c r="BP58" i="90" s="1"/>
  <c r="Q58" i="90"/>
  <c r="L58" i="102"/>
  <c r="BJ58" i="102" s="1"/>
  <c r="M58" i="102"/>
  <c r="BK58" i="102" s="1"/>
  <c r="Z29" i="82" l="1"/>
  <c r="AE41" i="82"/>
  <c r="Z26" i="82"/>
  <c r="Z19" i="82"/>
  <c r="Z28" i="82"/>
  <c r="Z8" i="82"/>
  <c r="Z21" i="82"/>
  <c r="Z47" i="82"/>
  <c r="Z12" i="82"/>
  <c r="Z31" i="82"/>
  <c r="Z17" i="82"/>
  <c r="Z41" i="82"/>
  <c r="Z15" i="82"/>
  <c r="Z14" i="82"/>
  <c r="Z9" i="82"/>
  <c r="Z20" i="82"/>
  <c r="Z24" i="82"/>
  <c r="Y93" i="82"/>
  <c r="Z54" i="82"/>
  <c r="Z69" i="82"/>
  <c r="Z16" i="82"/>
  <c r="Z10" i="82"/>
  <c r="Z22" i="82"/>
  <c r="Z11" i="82"/>
  <c r="Z25" i="82"/>
  <c r="Z30" i="82"/>
  <c r="Z13" i="82"/>
  <c r="Z27" i="82"/>
  <c r="Z18" i="82"/>
  <c r="AE47" i="82"/>
  <c r="W77" i="82"/>
  <c r="W81" i="82"/>
  <c r="W83" i="82" s="1"/>
  <c r="W84" i="82" s="1"/>
  <c r="W86" i="82" s="1"/>
  <c r="W87" i="82" s="1"/>
  <c r="DX79" i="82"/>
  <c r="BO58" i="90"/>
  <c r="BQ58" i="90" s="1"/>
  <c r="BO14" i="90"/>
  <c r="BQ14" i="90" s="1"/>
  <c r="BO13" i="90"/>
  <c r="BQ13" i="90" s="1"/>
  <c r="Q63" i="90"/>
  <c r="Q31" i="90"/>
  <c r="Q10" i="96"/>
  <c r="BO10" i="96" s="1"/>
  <c r="Q31" i="96"/>
  <c r="BO31" i="96" s="1"/>
  <c r="Q13" i="96"/>
  <c r="BO13" i="96" s="1"/>
  <c r="Q14" i="96"/>
  <c r="BO14" i="96" s="1"/>
  <c r="Q12" i="96"/>
  <c r="BO12" i="96" s="1"/>
  <c r="R12" i="96"/>
  <c r="Q28" i="96"/>
  <c r="Q45" i="96"/>
  <c r="BO45" i="96" s="1"/>
  <c r="R28" i="96"/>
  <c r="L21" i="102"/>
  <c r="Q21" i="96"/>
  <c r="Q27" i="96"/>
  <c r="BO27" i="96" s="1"/>
  <c r="Q18" i="96"/>
  <c r="BO18" i="96" s="1"/>
  <c r="Q20" i="96"/>
  <c r="Q24" i="96"/>
  <c r="Q24" i="90"/>
  <c r="Q21" i="90"/>
  <c r="L18" i="102"/>
  <c r="BJ18" i="102" s="1"/>
  <c r="L18" i="99"/>
  <c r="BJ18" i="99" s="1"/>
  <c r="Q21" i="95"/>
  <c r="Q24" i="95"/>
  <c r="DZ79" i="82" l="1"/>
  <c r="DX77" i="82"/>
  <c r="DX81" i="82"/>
  <c r="DX83" i="82" s="1"/>
  <c r="DX84" i="82" s="1"/>
  <c r="DX86" i="82" s="1"/>
  <c r="DX87" i="82" s="1"/>
  <c r="BO31" i="90"/>
  <c r="BQ31" i="90" s="1"/>
  <c r="BO63" i="90"/>
  <c r="BQ63" i="90" s="1"/>
  <c r="BO20" i="96"/>
  <c r="BQ20" i="96" s="1"/>
  <c r="BU20" i="96" s="1"/>
  <c r="M65" i="102"/>
  <c r="BK65" i="102" s="1"/>
  <c r="M31" i="102"/>
  <c r="M29" i="102"/>
  <c r="BK29" i="102" s="1"/>
  <c r="M29" i="99"/>
  <c r="BK29" i="99" s="1"/>
  <c r="S85" i="90"/>
  <c r="S82" i="90"/>
  <c r="S78" i="90"/>
  <c r="S74" i="90"/>
  <c r="S73" i="90" s="1"/>
  <c r="S71" i="90"/>
  <c r="S70" i="90"/>
  <c r="S69" i="90"/>
  <c r="S68" i="90"/>
  <c r="S67" i="90"/>
  <c r="S66" i="90"/>
  <c r="S65" i="90"/>
  <c r="S64" i="90"/>
  <c r="S63" i="90"/>
  <c r="S62" i="90"/>
  <c r="S61" i="90"/>
  <c r="S60" i="90"/>
  <c r="S59" i="90"/>
  <c r="S58" i="90"/>
  <c r="S57" i="90"/>
  <c r="S56" i="90"/>
  <c r="S55" i="90"/>
  <c r="S52" i="90"/>
  <c r="S51" i="90"/>
  <c r="S48" i="90"/>
  <c r="S47" i="90"/>
  <c r="S46" i="90"/>
  <c r="S45" i="90"/>
  <c r="S44" i="90"/>
  <c r="S43" i="90"/>
  <c r="S42" i="90"/>
  <c r="S36" i="90"/>
  <c r="S35" i="90" s="1"/>
  <c r="S33" i="90"/>
  <c r="S32" i="90"/>
  <c r="S31" i="90"/>
  <c r="S30" i="90"/>
  <c r="S29" i="90"/>
  <c r="S28" i="90"/>
  <c r="S27" i="90"/>
  <c r="S26" i="90"/>
  <c r="S25" i="90"/>
  <c r="S24" i="90"/>
  <c r="S21" i="90"/>
  <c r="S20" i="90"/>
  <c r="S19" i="90"/>
  <c r="S18" i="90"/>
  <c r="S17" i="90"/>
  <c r="S16" i="90"/>
  <c r="S15" i="90"/>
  <c r="S14" i="90"/>
  <c r="S13" i="90"/>
  <c r="S12" i="90"/>
  <c r="S11" i="90"/>
  <c r="S10" i="90"/>
  <c r="S9" i="90"/>
  <c r="S7" i="90"/>
  <c r="S6" i="90"/>
  <c r="DZ81" i="82" l="1"/>
  <c r="DZ83" i="82" s="1"/>
  <c r="DZ84" i="82" s="1"/>
  <c r="DZ86" i="82" s="1"/>
  <c r="DZ87" i="82" s="1"/>
  <c r="DZ77" i="82"/>
  <c r="DZ89" i="82"/>
  <c r="DZ90" i="82" s="1"/>
  <c r="S54" i="90"/>
  <c r="S50" i="90"/>
  <c r="S41" i="90"/>
  <c r="S8" i="90"/>
  <c r="R29" i="96"/>
  <c r="BP29" i="96" s="1"/>
  <c r="Q63" i="95"/>
  <c r="AU63" i="95" s="1"/>
  <c r="Q60" i="96"/>
  <c r="BO60" i="96" s="1"/>
  <c r="Q59" i="96"/>
  <c r="BO59" i="96" s="1"/>
  <c r="R58" i="96"/>
  <c r="BP58" i="96" s="1"/>
  <c r="Q58" i="96"/>
  <c r="BO58" i="96" s="1"/>
  <c r="Q60" i="95"/>
  <c r="AU60" i="95" s="1"/>
  <c r="Q59" i="95"/>
  <c r="AU59" i="95" s="1"/>
  <c r="Q58" i="95"/>
  <c r="AU58" i="95" s="1"/>
  <c r="R58" i="95"/>
  <c r="AV58" i="95" s="1"/>
  <c r="Q24" i="87"/>
  <c r="BJ24" i="87" s="1"/>
  <c r="L63" i="99" l="1"/>
  <c r="BJ63" i="99" s="1"/>
  <c r="L60" i="99"/>
  <c r="BJ60" i="99" s="1"/>
  <c r="L59" i="99"/>
  <c r="BJ59" i="99" s="1"/>
  <c r="M58" i="99"/>
  <c r="BK58" i="99" s="1"/>
  <c r="L58" i="99"/>
  <c r="BJ58" i="99" s="1"/>
  <c r="S85" i="87"/>
  <c r="S82" i="87"/>
  <c r="S78" i="87"/>
  <c r="R77" i="87"/>
  <c r="Q77" i="87"/>
  <c r="S74" i="87"/>
  <c r="S73" i="87" s="1"/>
  <c r="R73" i="87"/>
  <c r="Q73" i="87"/>
  <c r="S71" i="87"/>
  <c r="S70" i="87"/>
  <c r="S69" i="87"/>
  <c r="S68" i="87"/>
  <c r="S67" i="87"/>
  <c r="S66" i="87"/>
  <c r="S65" i="87"/>
  <c r="S64" i="87"/>
  <c r="S63" i="87"/>
  <c r="S62" i="87"/>
  <c r="S61" i="87"/>
  <c r="S60" i="87"/>
  <c r="S59" i="87"/>
  <c r="S58" i="87"/>
  <c r="S57" i="87"/>
  <c r="S56" i="87"/>
  <c r="S55" i="87"/>
  <c r="R54" i="87"/>
  <c r="Q54" i="87"/>
  <c r="S52" i="87"/>
  <c r="S51" i="87"/>
  <c r="R50" i="87"/>
  <c r="Q50" i="87"/>
  <c r="S48" i="87"/>
  <c r="S47" i="87"/>
  <c r="S46" i="87"/>
  <c r="S45" i="87"/>
  <c r="S44" i="87"/>
  <c r="S43" i="87"/>
  <c r="S42" i="87"/>
  <c r="R41" i="87"/>
  <c r="Q41" i="87"/>
  <c r="S36" i="87"/>
  <c r="R35" i="87"/>
  <c r="Q35" i="87"/>
  <c r="S33" i="87"/>
  <c r="S32" i="87"/>
  <c r="S31" i="87"/>
  <c r="S30" i="87"/>
  <c r="S29" i="87"/>
  <c r="S28" i="87"/>
  <c r="S27" i="87"/>
  <c r="S26" i="87"/>
  <c r="S25" i="87"/>
  <c r="S24" i="87"/>
  <c r="S21" i="87"/>
  <c r="S20" i="87"/>
  <c r="S19" i="87"/>
  <c r="S18" i="87"/>
  <c r="S17" i="87"/>
  <c r="S16" i="87"/>
  <c r="S15" i="87"/>
  <c r="S14" i="87"/>
  <c r="S13" i="87"/>
  <c r="S12" i="87"/>
  <c r="S11" i="87"/>
  <c r="S10" i="87"/>
  <c r="S9" i="87"/>
  <c r="R8" i="87"/>
  <c r="Q8" i="87"/>
  <c r="S7" i="87"/>
  <c r="S6" i="87"/>
  <c r="S5" i="87" s="1"/>
  <c r="R5" i="87"/>
  <c r="Q5" i="87"/>
  <c r="Q18" i="95"/>
  <c r="L65" i="102"/>
  <c r="BJ65" i="102" s="1"/>
  <c r="L48" i="102"/>
  <c r="BJ48" i="102" s="1"/>
  <c r="L19" i="102"/>
  <c r="BJ19" i="102" s="1"/>
  <c r="L20" i="102"/>
  <c r="BJ20" i="102" s="1"/>
  <c r="L13" i="102"/>
  <c r="BJ13" i="102" s="1"/>
  <c r="L14" i="102"/>
  <c r="BJ14" i="102" s="1"/>
  <c r="M28" i="102"/>
  <c r="BK28" i="102" s="1"/>
  <c r="M18" i="102"/>
  <c r="BK18" i="102" s="1"/>
  <c r="L47" i="102"/>
  <c r="BJ47" i="102" s="1"/>
  <c r="N63" i="102"/>
  <c r="L11" i="99"/>
  <c r="BJ11" i="99" s="1"/>
  <c r="L10" i="99"/>
  <c r="BJ10" i="99" s="1"/>
  <c r="L9" i="99"/>
  <c r="L24" i="99"/>
  <c r="BJ24" i="99" s="1"/>
  <c r="L21" i="99"/>
  <c r="BJ21" i="99" s="1"/>
  <c r="BA53" i="86"/>
  <c r="AZ53" i="86"/>
  <c r="Q18" i="86"/>
  <c r="AZ18" i="86" s="1"/>
  <c r="Q24" i="86"/>
  <c r="AZ24" i="86" s="1"/>
  <c r="BL21" i="99" l="1"/>
  <c r="BL24" i="99"/>
  <c r="S50" i="87"/>
  <c r="S54" i="87"/>
  <c r="AU18" i="95"/>
  <c r="S79" i="87"/>
  <c r="S77" i="87" s="1"/>
  <c r="Q38" i="87"/>
  <c r="Q39" i="87" s="1"/>
  <c r="S41" i="87"/>
  <c r="R38" i="87"/>
  <c r="R75" i="87" s="1"/>
  <c r="S8" i="87"/>
  <c r="S38" i="87" s="1"/>
  <c r="S35" i="87"/>
  <c r="Q75" i="87" l="1"/>
  <c r="Q76" i="87" s="1"/>
  <c r="R39" i="87"/>
  <c r="S89" i="87"/>
  <c r="S75" i="87"/>
  <c r="S39" i="87"/>
  <c r="R81" i="87"/>
  <c r="R83" i="87" s="1"/>
  <c r="R84" i="87" s="1"/>
  <c r="R86" i="87" s="1"/>
  <c r="R87" i="87" s="1"/>
  <c r="R76" i="87"/>
  <c r="Q81" i="87" l="1"/>
  <c r="Q83" i="87" s="1"/>
  <c r="Q84" i="87" s="1"/>
  <c r="Q86" i="87" s="1"/>
  <c r="Q87" i="87" s="1"/>
  <c r="AD24" i="87"/>
  <c r="AD47" i="87"/>
  <c r="AD54" i="87"/>
  <c r="AD68" i="87"/>
  <c r="AD8" i="87"/>
  <c r="Y54" i="87"/>
  <c r="Y24" i="87"/>
  <c r="Y47" i="87"/>
  <c r="Y68" i="87"/>
  <c r="Y8" i="87"/>
  <c r="T68" i="87"/>
  <c r="T8" i="87"/>
  <c r="T47" i="87"/>
  <c r="T24" i="87"/>
  <c r="T54" i="87"/>
  <c r="S81" i="87"/>
  <c r="S83" i="87" s="1"/>
  <c r="S84" i="87" s="1"/>
  <c r="S86" i="87" s="1"/>
  <c r="S87" i="87" s="1"/>
  <c r="S76" i="87"/>
  <c r="R16" i="86" l="1"/>
  <c r="BA16" i="86" s="1"/>
  <c r="Q6" i="86"/>
  <c r="AZ6" i="86" s="1"/>
  <c r="BA72" i="86"/>
  <c r="AZ72" i="86"/>
  <c r="S85" i="86"/>
  <c r="S82" i="86"/>
  <c r="S78" i="86"/>
  <c r="R77" i="86"/>
  <c r="Q77" i="86"/>
  <c r="S74" i="86"/>
  <c r="S73" i="86" s="1"/>
  <c r="R73" i="86"/>
  <c r="Q73" i="86"/>
  <c r="S71" i="86"/>
  <c r="S70" i="86"/>
  <c r="S69" i="86"/>
  <c r="S68" i="86"/>
  <c r="S67" i="86"/>
  <c r="S66" i="86"/>
  <c r="S65" i="86"/>
  <c r="S64" i="86"/>
  <c r="S63" i="86"/>
  <c r="S62" i="86"/>
  <c r="S61" i="86"/>
  <c r="S60" i="86"/>
  <c r="S59" i="86"/>
  <c r="S58" i="86"/>
  <c r="S57" i="86"/>
  <c r="S56" i="86"/>
  <c r="S55" i="86"/>
  <c r="R54" i="86"/>
  <c r="Q54" i="86"/>
  <c r="S52" i="86"/>
  <c r="S51" i="86"/>
  <c r="R50" i="86"/>
  <c r="Q50" i="86"/>
  <c r="S48" i="86"/>
  <c r="S47" i="86"/>
  <c r="S46" i="86"/>
  <c r="S45" i="86"/>
  <c r="S44" i="86"/>
  <c r="S43" i="86"/>
  <c r="S42" i="86"/>
  <c r="R41" i="86"/>
  <c r="Q41" i="86"/>
  <c r="S36" i="86"/>
  <c r="R35" i="86"/>
  <c r="Q35" i="86"/>
  <c r="S33" i="86"/>
  <c r="S32" i="86"/>
  <c r="S31" i="86"/>
  <c r="S30" i="86"/>
  <c r="S29" i="86"/>
  <c r="S28" i="86"/>
  <c r="S27" i="86"/>
  <c r="S26" i="86"/>
  <c r="S25" i="86"/>
  <c r="S24" i="86"/>
  <c r="S21" i="86"/>
  <c r="S20" i="86"/>
  <c r="S19" i="86"/>
  <c r="S18" i="86"/>
  <c r="S17" i="86"/>
  <c r="S15" i="86"/>
  <c r="S14" i="86"/>
  <c r="S13" i="86"/>
  <c r="S12" i="86"/>
  <c r="S11" i="86"/>
  <c r="S10" i="86"/>
  <c r="S9" i="86"/>
  <c r="R8" i="86"/>
  <c r="S7" i="86"/>
  <c r="R5" i="86"/>
  <c r="Q5" i="86"/>
  <c r="S6" i="86" l="1"/>
  <c r="S5" i="86" s="1"/>
  <c r="S79" i="86"/>
  <c r="S77" i="86" s="1"/>
  <c r="AZ5" i="86"/>
  <c r="BB6" i="86"/>
  <c r="BB5" i="86" s="1"/>
  <c r="S50" i="86"/>
  <c r="S16" i="86"/>
  <c r="S8" i="86" s="1"/>
  <c r="S38" i="86" s="1"/>
  <c r="S54" i="86"/>
  <c r="R38" i="86"/>
  <c r="R39" i="86" s="1"/>
  <c r="S41" i="86"/>
  <c r="S35" i="86"/>
  <c r="Q8" i="86"/>
  <c r="Q38" i="86" s="1"/>
  <c r="N78" i="102"/>
  <c r="M77" i="102"/>
  <c r="L77" i="102"/>
  <c r="N74" i="102"/>
  <c r="N73" i="102" s="1"/>
  <c r="M73" i="102"/>
  <c r="L73" i="102"/>
  <c r="N71" i="102"/>
  <c r="N70" i="102"/>
  <c r="N69" i="102"/>
  <c r="N68" i="102"/>
  <c r="N67" i="102"/>
  <c r="N66" i="102"/>
  <c r="N65" i="102"/>
  <c r="N64" i="102"/>
  <c r="N62" i="102"/>
  <c r="N61" i="102"/>
  <c r="N60" i="102"/>
  <c r="N59" i="102"/>
  <c r="N58" i="102"/>
  <c r="N57" i="102"/>
  <c r="N56" i="102"/>
  <c r="N55" i="102"/>
  <c r="M54" i="102"/>
  <c r="L54" i="102"/>
  <c r="N52" i="102"/>
  <c r="N51" i="102"/>
  <c r="M50" i="102"/>
  <c r="L50" i="102"/>
  <c r="N48" i="102"/>
  <c r="N47" i="102"/>
  <c r="N46" i="102"/>
  <c r="N45" i="102"/>
  <c r="N44" i="102"/>
  <c r="N43" i="102"/>
  <c r="N42" i="102"/>
  <c r="M41" i="102"/>
  <c r="L41" i="102"/>
  <c r="N36" i="102"/>
  <c r="N35" i="102" s="1"/>
  <c r="M35" i="102"/>
  <c r="L35" i="102"/>
  <c r="N33" i="102"/>
  <c r="N32" i="102"/>
  <c r="N31" i="102"/>
  <c r="N30" i="102"/>
  <c r="N29" i="102"/>
  <c r="N28" i="102"/>
  <c r="N27" i="102"/>
  <c r="N26" i="102"/>
  <c r="N25" i="102"/>
  <c r="N24" i="102"/>
  <c r="N21" i="102"/>
  <c r="N20" i="102"/>
  <c r="N19" i="102"/>
  <c r="N18" i="102"/>
  <c r="N17" i="102"/>
  <c r="N16" i="102"/>
  <c r="N15" i="102"/>
  <c r="N14" i="102"/>
  <c r="N13" i="102"/>
  <c r="N12" i="102"/>
  <c r="N11" i="102"/>
  <c r="N10" i="102"/>
  <c r="N9" i="102"/>
  <c r="M8" i="102"/>
  <c r="L8" i="102"/>
  <c r="N7" i="102"/>
  <c r="N6" i="102"/>
  <c r="N5" i="102" s="1"/>
  <c r="M5" i="102"/>
  <c r="L5" i="102"/>
  <c r="N50" i="102" l="1"/>
  <c r="N79" i="102"/>
  <c r="N77" i="102" s="1"/>
  <c r="R75" i="86"/>
  <c r="R76" i="86" s="1"/>
  <c r="M38" i="102"/>
  <c r="M75" i="102" s="1"/>
  <c r="M81" i="102" s="1"/>
  <c r="M83" i="102" s="1"/>
  <c r="M84" i="102" s="1"/>
  <c r="M86" i="102" s="1"/>
  <c r="M87" i="102" s="1"/>
  <c r="S75" i="86"/>
  <c r="S39" i="86"/>
  <c r="Q75" i="86"/>
  <c r="Q39" i="86"/>
  <c r="S89" i="86"/>
  <c r="N41" i="102"/>
  <c r="L38" i="102"/>
  <c r="L75" i="102" s="1"/>
  <c r="L81" i="102" s="1"/>
  <c r="L83" i="102" s="1"/>
  <c r="L84" i="102" s="1"/>
  <c r="L86" i="102" s="1"/>
  <c r="L87" i="102" s="1"/>
  <c r="N8" i="102"/>
  <c r="N38" i="102" s="1"/>
  <c r="N39" i="102" s="1"/>
  <c r="N54" i="102"/>
  <c r="M39" i="102" l="1"/>
  <c r="R81" i="86"/>
  <c r="R83" i="86" s="1"/>
  <c r="R84" i="86" s="1"/>
  <c r="R86" i="86" s="1"/>
  <c r="R87" i="86" s="1"/>
  <c r="T54" i="86"/>
  <c r="T31" i="86"/>
  <c r="T18" i="86"/>
  <c r="T22" i="86"/>
  <c r="T27" i="86"/>
  <c r="T47" i="86"/>
  <c r="T30" i="86"/>
  <c r="T19" i="86"/>
  <c r="T24" i="86"/>
  <c r="T28" i="86"/>
  <c r="T33" i="86"/>
  <c r="T29" i="86"/>
  <c r="T20" i="86"/>
  <c r="T25" i="86"/>
  <c r="T16" i="86"/>
  <c r="T65" i="86"/>
  <c r="T26" i="86"/>
  <c r="T32" i="86"/>
  <c r="T8" i="86"/>
  <c r="T17" i="86"/>
  <c r="T21" i="86"/>
  <c r="L39" i="102"/>
  <c r="Q81" i="86"/>
  <c r="Q83" i="86" s="1"/>
  <c r="Q84" i="86" s="1"/>
  <c r="Q86" i="86" s="1"/>
  <c r="Q87" i="86" s="1"/>
  <c r="Q76" i="86"/>
  <c r="S81" i="86"/>
  <c r="S83" i="86" s="1"/>
  <c r="S84" i="86" s="1"/>
  <c r="S86" i="86" s="1"/>
  <c r="S87" i="86" s="1"/>
  <c r="S76" i="86"/>
  <c r="L76" i="102"/>
  <c r="N75" i="102"/>
  <c r="N81" i="102" s="1"/>
  <c r="N83" i="102" s="1"/>
  <c r="N84" i="102" s="1"/>
  <c r="N86" i="102" s="1"/>
  <c r="N87" i="102" s="1"/>
  <c r="N89" i="102"/>
  <c r="M76" i="102"/>
  <c r="O54" i="102" l="1"/>
  <c r="O69" i="102"/>
  <c r="O65" i="102"/>
  <c r="O61" i="102"/>
  <c r="O57" i="102"/>
  <c r="O51" i="102"/>
  <c r="O46" i="102"/>
  <c r="O42" i="102"/>
  <c r="O11" i="102"/>
  <c r="O15" i="102"/>
  <c r="O19" i="102"/>
  <c r="O24" i="102"/>
  <c r="O28" i="102"/>
  <c r="O32" i="102"/>
  <c r="O72" i="102"/>
  <c r="O68" i="102"/>
  <c r="O64" i="102"/>
  <c r="O60" i="102"/>
  <c r="O56" i="102"/>
  <c r="O43" i="102"/>
  <c r="O47" i="102"/>
  <c r="O41" i="102"/>
  <c r="O12" i="102"/>
  <c r="O16" i="102"/>
  <c r="O20" i="102"/>
  <c r="O25" i="102"/>
  <c r="O29" i="102"/>
  <c r="O33" i="102"/>
  <c r="O71" i="102"/>
  <c r="O67" i="102"/>
  <c r="O63" i="102"/>
  <c r="O59" i="102"/>
  <c r="O55" i="102"/>
  <c r="O44" i="102"/>
  <c r="O48" i="102"/>
  <c r="O36" i="102"/>
  <c r="O13" i="102"/>
  <c r="O17" i="102"/>
  <c r="O21" i="102"/>
  <c r="O26" i="102"/>
  <c r="O30" i="102"/>
  <c r="O9" i="102"/>
  <c r="O62" i="102"/>
  <c r="O49" i="102"/>
  <c r="O22" i="102"/>
  <c r="O58" i="102"/>
  <c r="O10" i="102"/>
  <c r="O27" i="102"/>
  <c r="O70" i="102"/>
  <c r="O52" i="102"/>
  <c r="O14" i="102"/>
  <c r="O31" i="102"/>
  <c r="O18" i="102"/>
  <c r="O8" i="102"/>
  <c r="O66" i="102"/>
  <c r="O45" i="102"/>
  <c r="N76" i="102"/>
  <c r="L6" i="95" l="1"/>
  <c r="AU6" i="95" s="1"/>
  <c r="N85" i="99" l="1"/>
  <c r="N82" i="99"/>
  <c r="N78" i="99"/>
  <c r="L77" i="99"/>
  <c r="N74" i="99"/>
  <c r="N73" i="99" s="1"/>
  <c r="M73" i="99"/>
  <c r="L73" i="99"/>
  <c r="N71" i="99"/>
  <c r="N70" i="99"/>
  <c r="N69" i="99"/>
  <c r="N68" i="99"/>
  <c r="N67" i="99"/>
  <c r="N66" i="99"/>
  <c r="N65" i="99"/>
  <c r="N64" i="99"/>
  <c r="N63" i="99"/>
  <c r="N62" i="99"/>
  <c r="N61" i="99"/>
  <c r="N60" i="99"/>
  <c r="N59" i="99"/>
  <c r="N58" i="99"/>
  <c r="N57" i="99"/>
  <c r="N56" i="99"/>
  <c r="N55" i="99"/>
  <c r="M54" i="99"/>
  <c r="L54" i="99"/>
  <c r="N52" i="99"/>
  <c r="N51" i="99"/>
  <c r="M50" i="99"/>
  <c r="L50" i="99"/>
  <c r="N48" i="99"/>
  <c r="N47" i="99"/>
  <c r="N46" i="99"/>
  <c r="N45" i="99"/>
  <c r="N44" i="99"/>
  <c r="N43" i="99"/>
  <c r="N42" i="99"/>
  <c r="M41" i="99"/>
  <c r="L41" i="99"/>
  <c r="N36" i="99"/>
  <c r="M35" i="99"/>
  <c r="L35" i="99"/>
  <c r="N33" i="99"/>
  <c r="N32" i="99"/>
  <c r="N31" i="99"/>
  <c r="N30" i="99"/>
  <c r="L8" i="99"/>
  <c r="N28" i="99"/>
  <c r="N27" i="99"/>
  <c r="N26" i="99"/>
  <c r="N25" i="99"/>
  <c r="N24" i="99"/>
  <c r="N21" i="99"/>
  <c r="N20" i="99"/>
  <c r="N19" i="99"/>
  <c r="N18" i="99"/>
  <c r="N17" i="99"/>
  <c r="N16" i="99"/>
  <c r="N15" i="99"/>
  <c r="N14" i="99"/>
  <c r="N13" i="99"/>
  <c r="N12" i="99"/>
  <c r="N11" i="99"/>
  <c r="N10" i="99"/>
  <c r="N9" i="99"/>
  <c r="M8" i="99"/>
  <c r="N79" i="99" s="1"/>
  <c r="N7" i="99"/>
  <c r="N6" i="99"/>
  <c r="N5" i="99" s="1"/>
  <c r="M5" i="99"/>
  <c r="L5" i="99"/>
  <c r="S85" i="96"/>
  <c r="S82" i="96"/>
  <c r="S78" i="96"/>
  <c r="R77" i="96"/>
  <c r="Q77" i="96"/>
  <c r="S74" i="96"/>
  <c r="S73" i="96" s="1"/>
  <c r="R73" i="96"/>
  <c r="Q73" i="96"/>
  <c r="S71" i="96"/>
  <c r="S70" i="96"/>
  <c r="S69" i="96"/>
  <c r="S68" i="96"/>
  <c r="S67" i="96"/>
  <c r="S66" i="96"/>
  <c r="S65" i="96"/>
  <c r="S64" i="96"/>
  <c r="S63" i="96"/>
  <c r="S62" i="96"/>
  <c r="S61" i="96"/>
  <c r="S60" i="96"/>
  <c r="S59" i="96"/>
  <c r="S58" i="96"/>
  <c r="S57" i="96"/>
  <c r="S56" i="96"/>
  <c r="S55" i="96"/>
  <c r="R54" i="96"/>
  <c r="Q54" i="96"/>
  <c r="S52" i="96"/>
  <c r="S51" i="96"/>
  <c r="R50" i="96"/>
  <c r="Q50" i="96"/>
  <c r="S48" i="96"/>
  <c r="S47" i="96"/>
  <c r="S46" i="96"/>
  <c r="S45" i="96"/>
  <c r="S44" i="96"/>
  <c r="S43" i="96"/>
  <c r="S42" i="96"/>
  <c r="R41" i="96"/>
  <c r="Q41" i="96"/>
  <c r="S36" i="96"/>
  <c r="R35" i="96"/>
  <c r="Q35" i="96"/>
  <c r="S33" i="96"/>
  <c r="S32" i="96"/>
  <c r="R8" i="96"/>
  <c r="S30" i="96"/>
  <c r="S29" i="96"/>
  <c r="S28" i="96"/>
  <c r="S27" i="96"/>
  <c r="S26" i="96"/>
  <c r="S25" i="96"/>
  <c r="S24" i="96"/>
  <c r="S21" i="96"/>
  <c r="S20" i="96"/>
  <c r="S19" i="96"/>
  <c r="S18" i="96"/>
  <c r="S17" i="96"/>
  <c r="S16" i="96"/>
  <c r="S15" i="96"/>
  <c r="S14" i="96"/>
  <c r="S13" i="96"/>
  <c r="S12" i="96"/>
  <c r="S11" i="96"/>
  <c r="S10" i="96"/>
  <c r="S9" i="96"/>
  <c r="S7" i="96"/>
  <c r="S6" i="96"/>
  <c r="S5" i="96" s="1"/>
  <c r="R5" i="96"/>
  <c r="Q5" i="96"/>
  <c r="S85" i="95"/>
  <c r="S82" i="95"/>
  <c r="S78" i="95"/>
  <c r="R77" i="95"/>
  <c r="Q77" i="95"/>
  <c r="S73" i="95"/>
  <c r="R73" i="95"/>
  <c r="Q73" i="95"/>
  <c r="S71" i="95"/>
  <c r="S70" i="95"/>
  <c r="S69" i="95"/>
  <c r="S68" i="95"/>
  <c r="S67" i="95"/>
  <c r="S66" i="95"/>
  <c r="S65" i="95"/>
  <c r="S64" i="95"/>
  <c r="S63" i="95"/>
  <c r="S62" i="95"/>
  <c r="S61" i="95"/>
  <c r="S60" i="95"/>
  <c r="S59" i="95"/>
  <c r="S58" i="95"/>
  <c r="S57" i="95"/>
  <c r="S56" i="95"/>
  <c r="S55" i="95"/>
  <c r="R54" i="95"/>
  <c r="Q54" i="95"/>
  <c r="S52" i="95"/>
  <c r="S51" i="95"/>
  <c r="R50" i="95"/>
  <c r="Q50" i="95"/>
  <c r="S48" i="95"/>
  <c r="S47" i="95"/>
  <c r="S46" i="95"/>
  <c r="S45" i="95"/>
  <c r="S44" i="95"/>
  <c r="S43" i="95"/>
  <c r="S42" i="95"/>
  <c r="R41" i="95"/>
  <c r="Q41" i="95"/>
  <c r="S36" i="95"/>
  <c r="S35" i="95" s="1"/>
  <c r="R35" i="95"/>
  <c r="Q35" i="95"/>
  <c r="S33" i="95"/>
  <c r="S32" i="95"/>
  <c r="S31" i="95"/>
  <c r="S30" i="95"/>
  <c r="S29" i="95"/>
  <c r="S28" i="95"/>
  <c r="S27" i="95"/>
  <c r="S26" i="95"/>
  <c r="S25" i="95"/>
  <c r="S24" i="95"/>
  <c r="S21" i="95"/>
  <c r="S20" i="95"/>
  <c r="S19" i="95"/>
  <c r="S18" i="95"/>
  <c r="S17" i="95"/>
  <c r="R8" i="95"/>
  <c r="S15" i="95"/>
  <c r="S14" i="95"/>
  <c r="S13" i="95"/>
  <c r="S12" i="95"/>
  <c r="S11" i="95"/>
  <c r="S10" i="95"/>
  <c r="S9" i="95"/>
  <c r="S7" i="95"/>
  <c r="S6" i="95"/>
  <c r="S5" i="95" s="1"/>
  <c r="R5" i="95"/>
  <c r="R77" i="90"/>
  <c r="Q77" i="90"/>
  <c r="R73" i="90"/>
  <c r="Q73" i="90"/>
  <c r="R54" i="90"/>
  <c r="Q54" i="90"/>
  <c r="R50" i="90"/>
  <c r="Q50" i="90"/>
  <c r="R41" i="90"/>
  <c r="Q41" i="90"/>
  <c r="R35" i="90"/>
  <c r="Q35" i="90"/>
  <c r="R8" i="90"/>
  <c r="S5" i="90"/>
  <c r="S38" i="90" s="1"/>
  <c r="R5" i="90"/>
  <c r="S79" i="96" l="1"/>
  <c r="S77" i="96" s="1"/>
  <c r="N50" i="99"/>
  <c r="S77" i="90"/>
  <c r="S50" i="96"/>
  <c r="S50" i="95"/>
  <c r="S79" i="95"/>
  <c r="S75" i="90"/>
  <c r="S39" i="90"/>
  <c r="M38" i="99"/>
  <c r="M75" i="99" s="1"/>
  <c r="L38" i="99"/>
  <c r="L39" i="99" s="1"/>
  <c r="N54" i="99"/>
  <c r="N77" i="99"/>
  <c r="N41" i="99"/>
  <c r="N29" i="99"/>
  <c r="N35" i="99"/>
  <c r="S54" i="96"/>
  <c r="S41" i="96"/>
  <c r="R38" i="96"/>
  <c r="R75" i="96" s="1"/>
  <c r="Q8" i="96"/>
  <c r="Q38" i="96" s="1"/>
  <c r="S31" i="96"/>
  <c r="S35" i="96"/>
  <c r="S54" i="95"/>
  <c r="S41" i="95"/>
  <c r="R38" i="95"/>
  <c r="R75" i="95" s="1"/>
  <c r="Q8" i="95"/>
  <c r="S16" i="95"/>
  <c r="Q5" i="95"/>
  <c r="R38" i="90"/>
  <c r="R75" i="90" s="1"/>
  <c r="Q5" i="90"/>
  <c r="Q8" i="90"/>
  <c r="S77" i="95" l="1"/>
  <c r="S89" i="90"/>
  <c r="BM33" i="90" s="1"/>
  <c r="R39" i="95"/>
  <c r="S76" i="90"/>
  <c r="S81" i="90"/>
  <c r="S83" i="90" s="1"/>
  <c r="S84" i="90" s="1"/>
  <c r="S86" i="90" s="1"/>
  <c r="S87" i="90" s="1"/>
  <c r="R39" i="90"/>
  <c r="R39" i="96"/>
  <c r="M77" i="99"/>
  <c r="Q38" i="95"/>
  <c r="Q75" i="95" s="1"/>
  <c r="M39" i="99"/>
  <c r="L75" i="99"/>
  <c r="L76" i="99" s="1"/>
  <c r="N8" i="99"/>
  <c r="M81" i="99"/>
  <c r="M83" i="99" s="1"/>
  <c r="M84" i="99" s="1"/>
  <c r="M86" i="99" s="1"/>
  <c r="M87" i="99" s="1"/>
  <c r="M76" i="99"/>
  <c r="Q75" i="96"/>
  <c r="Q39" i="96"/>
  <c r="S8" i="96"/>
  <c r="R81" i="96"/>
  <c r="R83" i="96" s="1"/>
  <c r="R84" i="96" s="1"/>
  <c r="R86" i="96" s="1"/>
  <c r="R87" i="96" s="1"/>
  <c r="R76" i="96"/>
  <c r="R81" i="95"/>
  <c r="R83" i="95" s="1"/>
  <c r="R84" i="95" s="1"/>
  <c r="R86" i="95" s="1"/>
  <c r="R87" i="95" s="1"/>
  <c r="R76" i="95"/>
  <c r="S8" i="95"/>
  <c r="Q38" i="90"/>
  <c r="Q75" i="90" s="1"/>
  <c r="R81" i="90"/>
  <c r="R83" i="90" s="1"/>
  <c r="R84" i="90" s="1"/>
  <c r="R86" i="90" s="1"/>
  <c r="R87" i="90" s="1"/>
  <c r="R76" i="90"/>
  <c r="G9" i="99"/>
  <c r="BJ9" i="99" s="1"/>
  <c r="H21" i="102"/>
  <c r="BK21" i="102" s="1"/>
  <c r="M21" i="87"/>
  <c r="BK21" i="87" s="1"/>
  <c r="AN72" i="90" l="1"/>
  <c r="BH33" i="90"/>
  <c r="AD72" i="90"/>
  <c r="AI72" i="90"/>
  <c r="Y72" i="90"/>
  <c r="N89" i="99"/>
  <c r="T54" i="90"/>
  <c r="T69" i="90"/>
  <c r="T65" i="90"/>
  <c r="T61" i="90"/>
  <c r="T57" i="90"/>
  <c r="T11" i="90"/>
  <c r="T15" i="90"/>
  <c r="T19" i="90"/>
  <c r="T24" i="90"/>
  <c r="T28" i="90"/>
  <c r="T32" i="90"/>
  <c r="T67" i="90"/>
  <c r="T55" i="90"/>
  <c r="T17" i="90"/>
  <c r="T26" i="90"/>
  <c r="T70" i="90"/>
  <c r="T62" i="90"/>
  <c r="T10" i="90"/>
  <c r="T18" i="90"/>
  <c r="T27" i="90"/>
  <c r="T8" i="90"/>
  <c r="T72" i="90"/>
  <c r="T68" i="90"/>
  <c r="T64" i="90"/>
  <c r="T60" i="90"/>
  <c r="T56" i="90"/>
  <c r="T12" i="90"/>
  <c r="T16" i="90"/>
  <c r="T20" i="90"/>
  <c r="T25" i="90"/>
  <c r="T29" i="90"/>
  <c r="T33" i="90"/>
  <c r="T71" i="90"/>
  <c r="T63" i="90"/>
  <c r="T59" i="90"/>
  <c r="T13" i="90"/>
  <c r="T21" i="90"/>
  <c r="T30" i="90"/>
  <c r="T9" i="90"/>
  <c r="T66" i="90"/>
  <c r="T58" i="90"/>
  <c r="T14" i="90"/>
  <c r="T22" i="90"/>
  <c r="T31" i="90"/>
  <c r="Q39" i="95"/>
  <c r="Q39" i="90"/>
  <c r="L81" i="99"/>
  <c r="L83" i="99" s="1"/>
  <c r="L84" i="99" s="1"/>
  <c r="L86" i="99" s="1"/>
  <c r="L87" i="99" s="1"/>
  <c r="N38" i="99"/>
  <c r="N75" i="99" s="1"/>
  <c r="S89" i="96"/>
  <c r="S38" i="96"/>
  <c r="Q81" i="96"/>
  <c r="Q83" i="96" s="1"/>
  <c r="Q84" i="96" s="1"/>
  <c r="Q86" i="96" s="1"/>
  <c r="Q87" i="96" s="1"/>
  <c r="Q76" i="96"/>
  <c r="Q81" i="95"/>
  <c r="Q83" i="95" s="1"/>
  <c r="Q84" i="95" s="1"/>
  <c r="Q86" i="95" s="1"/>
  <c r="Q87" i="95" s="1"/>
  <c r="Q76" i="95"/>
  <c r="S89" i="95"/>
  <c r="S38" i="95"/>
  <c r="Q81" i="90"/>
  <c r="Q83" i="90" s="1"/>
  <c r="Q84" i="90" s="1"/>
  <c r="Q86" i="90" s="1"/>
  <c r="Q87" i="90" s="1"/>
  <c r="Q76" i="90"/>
  <c r="O8" i="99" l="1"/>
  <c r="Y36" i="96"/>
  <c r="O62" i="99"/>
  <c r="O44" i="99"/>
  <c r="O22" i="99"/>
  <c r="O54" i="99"/>
  <c r="O57" i="99"/>
  <c r="O64" i="99"/>
  <c r="O46" i="99"/>
  <c r="O71" i="99"/>
  <c r="O67" i="99"/>
  <c r="O63" i="99"/>
  <c r="O59" i="99"/>
  <c r="O58" i="99"/>
  <c r="O69" i="99"/>
  <c r="O51" i="99"/>
  <c r="O60" i="99"/>
  <c r="O42" i="99"/>
  <c r="O55" i="99"/>
  <c r="O49" i="99"/>
  <c r="O45" i="99"/>
  <c r="O36" i="99"/>
  <c r="O70" i="99"/>
  <c r="O52" i="99"/>
  <c r="O65" i="99"/>
  <c r="O47" i="99"/>
  <c r="O72" i="99"/>
  <c r="O56" i="99"/>
  <c r="O66" i="99"/>
  <c r="O48" i="99"/>
  <c r="O61" i="99"/>
  <c r="O43" i="99"/>
  <c r="O68" i="99"/>
  <c r="O41" i="99"/>
  <c r="O9" i="99"/>
  <c r="O12" i="99"/>
  <c r="O30" i="99"/>
  <c r="O27" i="99"/>
  <c r="O18" i="99"/>
  <c r="O11" i="99"/>
  <c r="O33" i="99"/>
  <c r="O31" i="99"/>
  <c r="O15" i="99"/>
  <c r="O20" i="99"/>
  <c r="O28" i="99"/>
  <c r="O16" i="99"/>
  <c r="O10" i="99"/>
  <c r="O26" i="99"/>
  <c r="O21" i="99"/>
  <c r="O14" i="99"/>
  <c r="O32" i="99"/>
  <c r="O25" i="99"/>
  <c r="O13" i="99"/>
  <c r="O24" i="99"/>
  <c r="O17" i="99"/>
  <c r="O19" i="99"/>
  <c r="O29" i="99"/>
  <c r="Y52" i="95"/>
  <c r="Y51" i="95"/>
  <c r="Y41" i="95"/>
  <c r="T70" i="95"/>
  <c r="T66" i="95"/>
  <c r="T62" i="95"/>
  <c r="T58" i="95"/>
  <c r="T52" i="95"/>
  <c r="T48" i="95"/>
  <c r="T44" i="95"/>
  <c r="T36" i="95"/>
  <c r="T13" i="95"/>
  <c r="T17" i="95"/>
  <c r="T21" i="95"/>
  <c r="T26" i="95"/>
  <c r="T30" i="95"/>
  <c r="T9" i="95"/>
  <c r="T72" i="95"/>
  <c r="T68" i="95"/>
  <c r="T60" i="95"/>
  <c r="T41" i="95"/>
  <c r="T42" i="95"/>
  <c r="T15" i="95"/>
  <c r="T28" i="95"/>
  <c r="T71" i="95"/>
  <c r="T63" i="95"/>
  <c r="T59" i="95"/>
  <c r="T49" i="95"/>
  <c r="T8" i="95"/>
  <c r="T16" i="95"/>
  <c r="T25" i="95"/>
  <c r="T33" i="95"/>
  <c r="T54" i="95"/>
  <c r="T69" i="95"/>
  <c r="T65" i="95"/>
  <c r="T61" i="95"/>
  <c r="T57" i="95"/>
  <c r="T51" i="95"/>
  <c r="T47" i="95"/>
  <c r="T43" i="95"/>
  <c r="T10" i="95"/>
  <c r="T14" i="95"/>
  <c r="T18" i="95"/>
  <c r="T22" i="95"/>
  <c r="T27" i="95"/>
  <c r="T31" i="95"/>
  <c r="T64" i="95"/>
  <c r="T56" i="95"/>
  <c r="T46" i="95"/>
  <c r="T11" i="95"/>
  <c r="T19" i="95"/>
  <c r="T24" i="95"/>
  <c r="T32" i="95"/>
  <c r="T67" i="95"/>
  <c r="T55" i="95"/>
  <c r="T45" i="95"/>
  <c r="T12" i="95"/>
  <c r="T20" i="95"/>
  <c r="T29" i="95"/>
  <c r="T41" i="96"/>
  <c r="T70" i="96"/>
  <c r="T66" i="96"/>
  <c r="T62" i="96"/>
  <c r="T58" i="96"/>
  <c r="T52" i="96"/>
  <c r="T47" i="96"/>
  <c r="T43" i="96"/>
  <c r="T11" i="96"/>
  <c r="T15" i="96"/>
  <c r="T19" i="96"/>
  <c r="T24" i="96"/>
  <c r="T28" i="96"/>
  <c r="T32" i="96"/>
  <c r="T72" i="96"/>
  <c r="T64" i="96"/>
  <c r="T56" i="96"/>
  <c r="T45" i="96"/>
  <c r="T13" i="96"/>
  <c r="T17" i="96"/>
  <c r="T30" i="96"/>
  <c r="T67" i="96"/>
  <c r="T55" i="96"/>
  <c r="T44" i="96"/>
  <c r="T14" i="96"/>
  <c r="T22" i="96"/>
  <c r="T31" i="96"/>
  <c r="T54" i="96"/>
  <c r="T69" i="96"/>
  <c r="T65" i="96"/>
  <c r="T61" i="96"/>
  <c r="T57" i="96"/>
  <c r="T51" i="96"/>
  <c r="T46" i="96"/>
  <c r="T42" i="96"/>
  <c r="T12" i="96"/>
  <c r="T16" i="96"/>
  <c r="T20" i="96"/>
  <c r="T25" i="96"/>
  <c r="T29" i="96"/>
  <c r="T33" i="96"/>
  <c r="T68" i="96"/>
  <c r="T60" i="96"/>
  <c r="T49" i="96"/>
  <c r="T36" i="96"/>
  <c r="T21" i="96"/>
  <c r="T26" i="96"/>
  <c r="T9" i="96"/>
  <c r="T71" i="96"/>
  <c r="T63" i="96"/>
  <c r="T59" i="96"/>
  <c r="T48" i="96"/>
  <c r="T10" i="96"/>
  <c r="T18" i="96"/>
  <c r="T27" i="96"/>
  <c r="T8" i="96"/>
  <c r="N39" i="99"/>
  <c r="N81" i="99"/>
  <c r="N83" i="99" s="1"/>
  <c r="N84" i="99" s="1"/>
  <c r="N86" i="99" s="1"/>
  <c r="N87" i="99" s="1"/>
  <c r="N76" i="99"/>
  <c r="S75" i="96"/>
  <c r="S39" i="96"/>
  <c r="S75" i="95"/>
  <c r="S39" i="95"/>
  <c r="S81" i="96" l="1"/>
  <c r="S83" i="96" s="1"/>
  <c r="S84" i="96" s="1"/>
  <c r="S86" i="96" s="1"/>
  <c r="S87" i="96" s="1"/>
  <c r="S76" i="96"/>
  <c r="S81" i="95"/>
  <c r="S83" i="95" s="1"/>
  <c r="S84" i="95" s="1"/>
  <c r="S86" i="95" s="1"/>
  <c r="S87" i="95" s="1"/>
  <c r="S76" i="95"/>
  <c r="C74" i="90"/>
  <c r="C8" i="90" l="1"/>
  <c r="C54" i="90"/>
  <c r="L18" i="90" l="1"/>
  <c r="L25" i="90"/>
  <c r="BO18" i="90" l="1"/>
  <c r="BQ18" i="90" s="1"/>
  <c r="BO25" i="90"/>
  <c r="BQ25" i="90" s="1"/>
  <c r="L26" i="86" l="1"/>
  <c r="AZ26" i="86" s="1"/>
  <c r="G69" i="102" l="1"/>
  <c r="BJ69" i="102" s="1"/>
  <c r="G21" i="102"/>
  <c r="BJ21" i="102" s="1"/>
  <c r="L24" i="96"/>
  <c r="L21" i="96"/>
  <c r="L28" i="95"/>
  <c r="L19" i="95"/>
  <c r="L21" i="95"/>
  <c r="L24" i="95"/>
  <c r="M16" i="95"/>
  <c r="AV16" i="95" s="1"/>
  <c r="L26" i="95"/>
  <c r="AU26" i="95" s="1"/>
  <c r="L27" i="90"/>
  <c r="L19" i="90"/>
  <c r="L24" i="90"/>
  <c r="L26" i="90"/>
  <c r="M16" i="90"/>
  <c r="L6" i="90"/>
  <c r="BO6" i="90" s="1"/>
  <c r="BO19" i="90" l="1"/>
  <c r="BQ19" i="90" s="1"/>
  <c r="BP16" i="90"/>
  <c r="BQ16" i="90" s="1"/>
  <c r="BO27" i="90"/>
  <c r="BQ27" i="90" s="1"/>
  <c r="BO24" i="90"/>
  <c r="BQ24" i="90" s="1"/>
  <c r="BO26" i="90"/>
  <c r="BQ26" i="90" s="1"/>
  <c r="M31" i="87" l="1"/>
  <c r="BK31" i="87" s="1"/>
  <c r="H31" i="102"/>
  <c r="BK31" i="102" s="1"/>
  <c r="H43" i="102"/>
  <c r="BK43" i="102" s="1"/>
  <c r="L21" i="90"/>
  <c r="M17" i="90"/>
  <c r="G29" i="99"/>
  <c r="BJ29" i="99" s="1"/>
  <c r="L21" i="86"/>
  <c r="AZ21" i="86" s="1"/>
  <c r="M31" i="96"/>
  <c r="BP31" i="96" s="1"/>
  <c r="M31" i="95"/>
  <c r="BO21" i="90" l="1"/>
  <c r="BQ21" i="90" s="1"/>
  <c r="BP17" i="90"/>
  <c r="BQ17" i="90" s="1"/>
  <c r="E79" i="85" l="1"/>
  <c r="C31" i="85"/>
  <c r="C41" i="102"/>
  <c r="D31" i="86" l="1"/>
  <c r="C31" i="86"/>
  <c r="C28" i="86"/>
  <c r="E18" i="89" l="1"/>
  <c r="E19" i="89"/>
  <c r="D28" i="89"/>
  <c r="C74" i="89"/>
  <c r="C31" i="89"/>
  <c r="C30" i="89"/>
  <c r="D30" i="91"/>
  <c r="C31" i="91"/>
  <c r="C36" i="91"/>
  <c r="L12" i="90" l="1"/>
  <c r="BO12" i="90" s="1"/>
  <c r="M12" i="95" l="1"/>
  <c r="BL82" i="102"/>
  <c r="E79" i="102"/>
  <c r="I78" i="102"/>
  <c r="E78" i="102"/>
  <c r="H77" i="102"/>
  <c r="G77" i="102"/>
  <c r="D77" i="102"/>
  <c r="C77" i="102"/>
  <c r="BL74" i="102"/>
  <c r="BL73" i="102" s="1"/>
  <c r="I74" i="102"/>
  <c r="I73" i="102" s="1"/>
  <c r="C74" i="102"/>
  <c r="E74" i="102" s="1"/>
  <c r="E73" i="102" s="1"/>
  <c r="BK73" i="102"/>
  <c r="BJ73" i="102"/>
  <c r="H73" i="102"/>
  <c r="G73" i="102"/>
  <c r="D73" i="102"/>
  <c r="I71" i="102"/>
  <c r="E71" i="102"/>
  <c r="I70" i="102"/>
  <c r="E70" i="102"/>
  <c r="I69" i="102"/>
  <c r="E69" i="102"/>
  <c r="I68" i="102"/>
  <c r="E68" i="102"/>
  <c r="I67" i="102"/>
  <c r="E67" i="102"/>
  <c r="I66" i="102"/>
  <c r="E66" i="102"/>
  <c r="I65" i="102"/>
  <c r="E65" i="102"/>
  <c r="I64" i="102"/>
  <c r="E64" i="102"/>
  <c r="I63" i="102"/>
  <c r="E63" i="102"/>
  <c r="BL62" i="102"/>
  <c r="I62" i="102"/>
  <c r="E62" i="102"/>
  <c r="BL61" i="102"/>
  <c r="I61" i="102"/>
  <c r="E61" i="102"/>
  <c r="BL60" i="102"/>
  <c r="I60" i="102"/>
  <c r="E60" i="102"/>
  <c r="BL59" i="102"/>
  <c r="I59" i="102"/>
  <c r="E59" i="102"/>
  <c r="BL58" i="102"/>
  <c r="I58" i="102"/>
  <c r="E58" i="102"/>
  <c r="BL57" i="102"/>
  <c r="I57" i="102"/>
  <c r="E57" i="102"/>
  <c r="I56" i="102"/>
  <c r="E56" i="102"/>
  <c r="I55" i="102"/>
  <c r="E55" i="102"/>
  <c r="BK54" i="102"/>
  <c r="H54" i="102"/>
  <c r="G54" i="102"/>
  <c r="D54" i="102"/>
  <c r="C54" i="102"/>
  <c r="BL52" i="102"/>
  <c r="I52" i="102"/>
  <c r="E52" i="102"/>
  <c r="BL51" i="102"/>
  <c r="I51" i="102"/>
  <c r="E51" i="102"/>
  <c r="BK50" i="102"/>
  <c r="H50" i="102"/>
  <c r="G50" i="102"/>
  <c r="I48" i="102"/>
  <c r="E48" i="102"/>
  <c r="I47" i="102"/>
  <c r="E47" i="102"/>
  <c r="I46" i="102"/>
  <c r="E46" i="102"/>
  <c r="I45" i="102"/>
  <c r="E45" i="102"/>
  <c r="I44" i="102"/>
  <c r="E44" i="102"/>
  <c r="I43" i="102"/>
  <c r="E43" i="102"/>
  <c r="BK41" i="102"/>
  <c r="I42" i="102"/>
  <c r="E42" i="102"/>
  <c r="BJ41" i="102"/>
  <c r="H41" i="102"/>
  <c r="G41" i="102"/>
  <c r="D41" i="102"/>
  <c r="BL36" i="102"/>
  <c r="BL35" i="102" s="1"/>
  <c r="BK35" i="102"/>
  <c r="BJ35" i="102"/>
  <c r="I36" i="102"/>
  <c r="I35" i="102" s="1"/>
  <c r="E36" i="102"/>
  <c r="E35" i="102" s="1"/>
  <c r="H35" i="102"/>
  <c r="G35" i="102"/>
  <c r="D35" i="102"/>
  <c r="C35" i="102"/>
  <c r="BL33" i="102"/>
  <c r="I33" i="102"/>
  <c r="E33" i="102"/>
  <c r="I32" i="102"/>
  <c r="E32" i="102"/>
  <c r="I31" i="102"/>
  <c r="E31" i="102"/>
  <c r="I30" i="102"/>
  <c r="E30" i="102"/>
  <c r="I29" i="102"/>
  <c r="E29" i="102"/>
  <c r="I28" i="102"/>
  <c r="E28" i="102"/>
  <c r="BL27" i="102"/>
  <c r="I27" i="102"/>
  <c r="E27" i="102"/>
  <c r="I26" i="102"/>
  <c r="E26" i="102"/>
  <c r="I25" i="102"/>
  <c r="E25" i="102"/>
  <c r="I24" i="102"/>
  <c r="E24" i="102"/>
  <c r="I21" i="102"/>
  <c r="E21" i="102"/>
  <c r="I20" i="102"/>
  <c r="E20" i="102"/>
  <c r="I19" i="102"/>
  <c r="E19" i="102"/>
  <c r="I18" i="102"/>
  <c r="E18" i="102"/>
  <c r="I17" i="102"/>
  <c r="E17" i="102"/>
  <c r="I16" i="102"/>
  <c r="E16" i="102"/>
  <c r="BL15" i="102"/>
  <c r="I15" i="102"/>
  <c r="E15" i="102"/>
  <c r="I14" i="102"/>
  <c r="E14" i="102"/>
  <c r="BL13" i="102"/>
  <c r="I13" i="102"/>
  <c r="E13" i="102"/>
  <c r="I12" i="102"/>
  <c r="E12" i="102"/>
  <c r="BL11" i="102"/>
  <c r="I11" i="102"/>
  <c r="E11" i="102"/>
  <c r="I10" i="102"/>
  <c r="E10" i="102"/>
  <c r="BL9" i="102"/>
  <c r="I9" i="102"/>
  <c r="E9" i="102"/>
  <c r="H8" i="102"/>
  <c r="G8" i="102"/>
  <c r="D8" i="102"/>
  <c r="C8" i="102"/>
  <c r="BL7" i="102"/>
  <c r="I7" i="102"/>
  <c r="E7" i="102"/>
  <c r="I6" i="102"/>
  <c r="I5" i="102" s="1"/>
  <c r="E6" i="102"/>
  <c r="E5" i="102" s="1"/>
  <c r="H5" i="102"/>
  <c r="G5" i="102"/>
  <c r="D5" i="102"/>
  <c r="C5" i="102"/>
  <c r="M12" i="96"/>
  <c r="BP12" i="96" s="1"/>
  <c r="M12" i="90"/>
  <c r="BP12" i="90" s="1"/>
  <c r="E50" i="102" l="1"/>
  <c r="BQ12" i="90"/>
  <c r="BO8" i="90"/>
  <c r="BL50" i="102"/>
  <c r="BL55" i="102"/>
  <c r="BL56" i="102"/>
  <c r="BL63" i="102"/>
  <c r="BL64" i="102"/>
  <c r="BL65" i="102"/>
  <c r="BL66" i="102"/>
  <c r="BL67" i="102"/>
  <c r="BL69" i="102"/>
  <c r="BL70" i="102"/>
  <c r="BL71" i="102"/>
  <c r="BJ77" i="102"/>
  <c r="BL16" i="102"/>
  <c r="BL17" i="102"/>
  <c r="BL19" i="102"/>
  <c r="BL20" i="102"/>
  <c r="BL21" i="102"/>
  <c r="BL26" i="102"/>
  <c r="BL30" i="102"/>
  <c r="BL32" i="102"/>
  <c r="BL45" i="102"/>
  <c r="I50" i="102"/>
  <c r="BK8" i="102"/>
  <c r="BK38" i="102" s="1"/>
  <c r="BJ50" i="102"/>
  <c r="I54" i="102"/>
  <c r="BJ54" i="102"/>
  <c r="BL31" i="102"/>
  <c r="BL28" i="102"/>
  <c r="BL25" i="102"/>
  <c r="I41" i="102"/>
  <c r="BL68" i="102"/>
  <c r="BL29" i="102"/>
  <c r="H38" i="102"/>
  <c r="H39" i="102" s="1"/>
  <c r="E54" i="102"/>
  <c r="E77" i="102"/>
  <c r="E8" i="102"/>
  <c r="E38" i="102" s="1"/>
  <c r="C38" i="102"/>
  <c r="C75" i="102" s="1"/>
  <c r="C81" i="102" s="1"/>
  <c r="C73" i="102"/>
  <c r="G38" i="102"/>
  <c r="G39" i="102" s="1"/>
  <c r="BL12" i="102"/>
  <c r="BL6" i="102"/>
  <c r="BL5" i="102" s="1"/>
  <c r="BJ8" i="102"/>
  <c r="I8" i="102"/>
  <c r="I38" i="102" s="1"/>
  <c r="D38" i="102"/>
  <c r="BL10" i="102"/>
  <c r="BL14" i="102"/>
  <c r="BL18" i="102"/>
  <c r="BL24" i="102"/>
  <c r="BL42" i="102"/>
  <c r="BL46" i="102"/>
  <c r="E41" i="102"/>
  <c r="BL43" i="102"/>
  <c r="BL47" i="102"/>
  <c r="BK77" i="102"/>
  <c r="BL78" i="102"/>
  <c r="BL44" i="102"/>
  <c r="BL48" i="102"/>
  <c r="C83" i="102" l="1"/>
  <c r="C84" i="102" s="1"/>
  <c r="C86" i="102" s="1"/>
  <c r="C87" i="102" s="1"/>
  <c r="BP8" i="90"/>
  <c r="E75" i="102"/>
  <c r="BL54" i="102"/>
  <c r="H75" i="102"/>
  <c r="H81" i="102" s="1"/>
  <c r="H83" i="102" s="1"/>
  <c r="H84" i="102" s="1"/>
  <c r="H86" i="102" s="1"/>
  <c r="H87" i="102" s="1"/>
  <c r="G75" i="102"/>
  <c r="G81" i="102" s="1"/>
  <c r="G83" i="102" s="1"/>
  <c r="G84" i="102" s="1"/>
  <c r="G86" i="102" s="1"/>
  <c r="G87" i="102" s="1"/>
  <c r="E89" i="102"/>
  <c r="C39" i="102"/>
  <c r="BK75" i="102"/>
  <c r="BK39" i="102"/>
  <c r="D75" i="102"/>
  <c r="D81" i="102" s="1"/>
  <c r="D83" i="102" s="1"/>
  <c r="D84" i="102" s="1"/>
  <c r="D86" i="102" s="1"/>
  <c r="D87" i="102" s="1"/>
  <c r="D39" i="102"/>
  <c r="C76" i="102"/>
  <c r="BL8" i="102"/>
  <c r="BJ38" i="102"/>
  <c r="I75" i="102"/>
  <c r="I39" i="102"/>
  <c r="BL41" i="102"/>
  <c r="E39" i="102"/>
  <c r="H76" i="102" l="1"/>
  <c r="E81" i="102"/>
  <c r="E83" i="102" s="1"/>
  <c r="E84" i="102" s="1"/>
  <c r="E86" i="102" s="1"/>
  <c r="BL38" i="102"/>
  <c r="BL75" i="102" s="1"/>
  <c r="F85" i="102"/>
  <c r="F82" i="102"/>
  <c r="F11" i="102"/>
  <c r="F8" i="102"/>
  <c r="G76" i="102"/>
  <c r="F55" i="102"/>
  <c r="F61" i="102"/>
  <c r="F45" i="102"/>
  <c r="F41" i="102"/>
  <c r="F21" i="102"/>
  <c r="F63" i="102"/>
  <c r="F31" i="102"/>
  <c r="F70" i="102"/>
  <c r="F27" i="102"/>
  <c r="F14" i="102"/>
  <c r="F9" i="102"/>
  <c r="F35" i="102"/>
  <c r="F54" i="102"/>
  <c r="F17" i="102"/>
  <c r="F18" i="102"/>
  <c r="F28" i="102"/>
  <c r="F50" i="102"/>
  <c r="F71" i="102"/>
  <c r="F15" i="102"/>
  <c r="F64" i="102"/>
  <c r="F19" i="102"/>
  <c r="F24" i="102"/>
  <c r="F43" i="102"/>
  <c r="F30" i="102"/>
  <c r="F46" i="102"/>
  <c r="F66" i="102"/>
  <c r="F48" i="102"/>
  <c r="F44" i="102"/>
  <c r="F79" i="102"/>
  <c r="F65" i="102"/>
  <c r="F33" i="102"/>
  <c r="F42" i="102"/>
  <c r="F36" i="102"/>
  <c r="F67" i="102"/>
  <c r="F20" i="102"/>
  <c r="F10" i="102"/>
  <c r="F29" i="102"/>
  <c r="F47" i="102"/>
  <c r="F32" i="102"/>
  <c r="F72" i="102"/>
  <c r="F58" i="102"/>
  <c r="F12" i="102"/>
  <c r="F56" i="102"/>
  <c r="F26" i="102"/>
  <c r="F16" i="102"/>
  <c r="F59" i="102"/>
  <c r="F73" i="102"/>
  <c r="F62" i="102"/>
  <c r="F60" i="102"/>
  <c r="F51" i="102"/>
  <c r="F69" i="102"/>
  <c r="F13" i="102"/>
  <c r="F25" i="102"/>
  <c r="F68" i="102"/>
  <c r="F52" i="102"/>
  <c r="F57" i="102"/>
  <c r="E76" i="102"/>
  <c r="BJ75" i="102"/>
  <c r="BJ39" i="102"/>
  <c r="BK81" i="102"/>
  <c r="BK76" i="102"/>
  <c r="D76" i="102"/>
  <c r="I76" i="102"/>
  <c r="BL39" i="102" l="1"/>
  <c r="E93" i="102"/>
  <c r="E87" i="102"/>
  <c r="BK83" i="102"/>
  <c r="BJ81" i="102"/>
  <c r="BJ76" i="102"/>
  <c r="BL76" i="102"/>
  <c r="BJ83" i="102" l="1"/>
  <c r="BK84" i="102"/>
  <c r="BK86" i="102" l="1"/>
  <c r="BJ84" i="102"/>
  <c r="E18" i="101"/>
  <c r="E14" i="101"/>
  <c r="E13" i="101"/>
  <c r="E12" i="101"/>
  <c r="E9" i="101"/>
  <c r="E8" i="101"/>
  <c r="E7" i="101"/>
  <c r="R85" i="85"/>
  <c r="Q85" i="85"/>
  <c r="R82" i="85"/>
  <c r="Q82" i="85"/>
  <c r="AA79" i="85"/>
  <c r="R78" i="85"/>
  <c r="AA78" i="85" s="1"/>
  <c r="Q78" i="85"/>
  <c r="Z78" i="85" s="1"/>
  <c r="R74" i="85"/>
  <c r="R71" i="85"/>
  <c r="Q71" i="85"/>
  <c r="Z71" i="85" s="1"/>
  <c r="R70" i="85"/>
  <c r="AA70" i="85" s="1"/>
  <c r="Q70" i="85"/>
  <c r="R69" i="85"/>
  <c r="AA69" i="85" s="1"/>
  <c r="Q69" i="85"/>
  <c r="Z69" i="85" s="1"/>
  <c r="R68" i="85"/>
  <c r="AA68" i="85" s="1"/>
  <c r="Q68" i="85"/>
  <c r="R67" i="85"/>
  <c r="Q67" i="85"/>
  <c r="Z67" i="85" s="1"/>
  <c r="R66" i="85"/>
  <c r="AA66" i="85" s="1"/>
  <c r="Q66" i="85"/>
  <c r="R65" i="85"/>
  <c r="Q65" i="85"/>
  <c r="Z65" i="85" s="1"/>
  <c r="R64" i="85"/>
  <c r="AA64" i="85" s="1"/>
  <c r="Q64" i="85"/>
  <c r="R63" i="85"/>
  <c r="Q63" i="85"/>
  <c r="Z63" i="85" s="1"/>
  <c r="R62" i="85"/>
  <c r="AA62" i="85" s="1"/>
  <c r="Q62" i="85"/>
  <c r="Z62" i="85" s="1"/>
  <c r="R61" i="85"/>
  <c r="Q61" i="85"/>
  <c r="Z61" i="85" s="1"/>
  <c r="R60" i="85"/>
  <c r="AA60" i="85" s="1"/>
  <c r="Q60" i="85"/>
  <c r="Z60" i="85" s="1"/>
  <c r="R59" i="85"/>
  <c r="Q59" i="85"/>
  <c r="Z59" i="85" s="1"/>
  <c r="R58" i="85"/>
  <c r="AA58" i="85" s="1"/>
  <c r="Q58" i="85"/>
  <c r="R57" i="85"/>
  <c r="Q57" i="85"/>
  <c r="Z57" i="85" s="1"/>
  <c r="R56" i="85"/>
  <c r="AA56" i="85" s="1"/>
  <c r="Q56" i="85"/>
  <c r="R55" i="85"/>
  <c r="AA55" i="85" s="1"/>
  <c r="Q55" i="85"/>
  <c r="Z55" i="85" s="1"/>
  <c r="R52" i="85"/>
  <c r="AA52" i="85" s="1"/>
  <c r="Q52" i="85"/>
  <c r="R51" i="85"/>
  <c r="Q51" i="85"/>
  <c r="Z51" i="85" s="1"/>
  <c r="R48" i="85"/>
  <c r="AA48" i="85" s="1"/>
  <c r="Q48" i="85"/>
  <c r="Z48" i="85" s="1"/>
  <c r="R47" i="85"/>
  <c r="AA47" i="85" s="1"/>
  <c r="Q47" i="85"/>
  <c r="Z47" i="85" s="1"/>
  <c r="R46" i="85"/>
  <c r="AA46" i="85" s="1"/>
  <c r="Q46" i="85"/>
  <c r="Z46" i="85" s="1"/>
  <c r="R45" i="85"/>
  <c r="AA45" i="85" s="1"/>
  <c r="Q45" i="85"/>
  <c r="Z45" i="85" s="1"/>
  <c r="R44" i="85"/>
  <c r="AA44" i="85" s="1"/>
  <c r="Q44" i="85"/>
  <c r="R43" i="85"/>
  <c r="AA43" i="85" s="1"/>
  <c r="Q43" i="85"/>
  <c r="Z43" i="85" s="1"/>
  <c r="R42" i="85"/>
  <c r="AA42" i="85" s="1"/>
  <c r="Q42" i="85"/>
  <c r="R36" i="85"/>
  <c r="Q36" i="85"/>
  <c r="R33" i="85"/>
  <c r="AA33" i="85" s="1"/>
  <c r="Q33" i="85"/>
  <c r="Z33" i="85" s="1"/>
  <c r="R32" i="85"/>
  <c r="Q32" i="85"/>
  <c r="Z32" i="85" s="1"/>
  <c r="R31" i="85"/>
  <c r="AA31" i="85" s="1"/>
  <c r="Q31" i="85"/>
  <c r="Z31" i="85" s="1"/>
  <c r="R30" i="85"/>
  <c r="AA30" i="85" s="1"/>
  <c r="Q30" i="85"/>
  <c r="Z30" i="85" s="1"/>
  <c r="R29" i="85"/>
  <c r="AA29" i="85" s="1"/>
  <c r="Q29" i="85"/>
  <c r="R28" i="85"/>
  <c r="Q28" i="85"/>
  <c r="Z28" i="85" s="1"/>
  <c r="R27" i="85"/>
  <c r="AA27" i="85" s="1"/>
  <c r="Q27" i="85"/>
  <c r="R26" i="85"/>
  <c r="AA26" i="85" s="1"/>
  <c r="Q26" i="85"/>
  <c r="Z26" i="85" s="1"/>
  <c r="R25" i="85"/>
  <c r="AA25" i="85" s="1"/>
  <c r="Q25" i="85"/>
  <c r="R24" i="85"/>
  <c r="Q24" i="85"/>
  <c r="Z24" i="85" s="1"/>
  <c r="R21" i="85"/>
  <c r="AA21" i="85" s="1"/>
  <c r="Q21" i="85"/>
  <c r="R20" i="85"/>
  <c r="AA20" i="85" s="1"/>
  <c r="Q20" i="85"/>
  <c r="Z20" i="85" s="1"/>
  <c r="R19" i="85"/>
  <c r="AA19" i="85" s="1"/>
  <c r="Q19" i="85"/>
  <c r="Z19" i="85" s="1"/>
  <c r="R18" i="85"/>
  <c r="Q18" i="85"/>
  <c r="Z18" i="85" s="1"/>
  <c r="R17" i="85"/>
  <c r="AA17" i="85" s="1"/>
  <c r="Q17" i="85"/>
  <c r="R16" i="85"/>
  <c r="AA16" i="85" s="1"/>
  <c r="Q16" i="85"/>
  <c r="Z16" i="85" s="1"/>
  <c r="R15" i="85"/>
  <c r="AA15" i="85" s="1"/>
  <c r="Q15" i="85"/>
  <c r="Z15" i="85" s="1"/>
  <c r="R14" i="85"/>
  <c r="Q14" i="85"/>
  <c r="Z14" i="85" s="1"/>
  <c r="R13" i="85"/>
  <c r="AA13" i="85" s="1"/>
  <c r="Q13" i="85"/>
  <c r="R12" i="85"/>
  <c r="AA12" i="85" s="1"/>
  <c r="Q12" i="85"/>
  <c r="Z12" i="85" s="1"/>
  <c r="R11" i="85"/>
  <c r="AA11" i="85" s="1"/>
  <c r="Q11" i="85"/>
  <c r="R10" i="85"/>
  <c r="AA10" i="85" s="1"/>
  <c r="Q10" i="85"/>
  <c r="Z10" i="85" s="1"/>
  <c r="R9" i="85"/>
  <c r="AA9" i="85" s="1"/>
  <c r="Q9" i="85"/>
  <c r="R7" i="85"/>
  <c r="Q7" i="85"/>
  <c r="Z7" i="85" s="1"/>
  <c r="R6" i="85"/>
  <c r="R5" i="85" s="1"/>
  <c r="R35" i="85"/>
  <c r="M54" i="85"/>
  <c r="L54" i="85"/>
  <c r="S62" i="85"/>
  <c r="S55" i="85"/>
  <c r="S46" i="85"/>
  <c r="BL51" i="99"/>
  <c r="BL47" i="99"/>
  <c r="BJ41" i="99"/>
  <c r="BJ35" i="99"/>
  <c r="BL32" i="99"/>
  <c r="BL18" i="99"/>
  <c r="BL14" i="99"/>
  <c r="BL12" i="99"/>
  <c r="BK8" i="99"/>
  <c r="BL7" i="99"/>
  <c r="BL6" i="99"/>
  <c r="BL5" i="99" s="1"/>
  <c r="BK77" i="99"/>
  <c r="BL74" i="99"/>
  <c r="BL73" i="99" s="1"/>
  <c r="BK73" i="99"/>
  <c r="BJ73" i="99"/>
  <c r="BL71" i="99"/>
  <c r="BL69" i="99"/>
  <c r="BL67" i="99"/>
  <c r="BL65" i="99"/>
  <c r="BL63" i="99"/>
  <c r="BL61" i="99"/>
  <c r="BL59" i="99"/>
  <c r="BL57" i="99"/>
  <c r="BL55" i="99"/>
  <c r="BK54" i="99"/>
  <c r="BL52" i="99"/>
  <c r="BL48" i="99"/>
  <c r="BL46" i="99"/>
  <c r="BL45" i="99"/>
  <c r="BL44" i="99"/>
  <c r="BL42" i="99"/>
  <c r="BK41" i="99"/>
  <c r="BK35" i="99"/>
  <c r="BL33" i="99"/>
  <c r="BL30" i="99"/>
  <c r="BL28" i="99"/>
  <c r="BL26" i="99"/>
  <c r="BL20" i="99"/>
  <c r="BL16" i="99"/>
  <c r="BL15" i="99"/>
  <c r="BK5" i="99"/>
  <c r="BJ5" i="99"/>
  <c r="H54" i="99"/>
  <c r="G54" i="99"/>
  <c r="BC79" i="114" l="1"/>
  <c r="AX79" i="114"/>
  <c r="AD79" i="114"/>
  <c r="Y79" i="114"/>
  <c r="BG79" i="98"/>
  <c r="S79" i="127"/>
  <c r="AR79" i="103"/>
  <c r="N79" i="127"/>
  <c r="AM79" i="103"/>
  <c r="X79" i="127"/>
  <c r="S48" i="85"/>
  <c r="S15" i="85"/>
  <c r="S19" i="85"/>
  <c r="S33" i="85"/>
  <c r="S60" i="85"/>
  <c r="S69" i="85"/>
  <c r="BL82" i="99"/>
  <c r="BB79" i="99"/>
  <c r="X79" i="89"/>
  <c r="S85" i="85"/>
  <c r="S14" i="85"/>
  <c r="AA14" i="85"/>
  <c r="S36" i="85"/>
  <c r="S35" i="85" s="1"/>
  <c r="S61" i="85"/>
  <c r="AA61" i="85"/>
  <c r="S67" i="85"/>
  <c r="AA67" i="85"/>
  <c r="S71" i="85"/>
  <c r="AA71" i="85"/>
  <c r="Q8" i="85"/>
  <c r="Z8" i="85" s="1"/>
  <c r="Z9" i="85"/>
  <c r="S11" i="85"/>
  <c r="Z11" i="85"/>
  <c r="S13" i="85"/>
  <c r="Z13" i="85"/>
  <c r="S17" i="85"/>
  <c r="Z17" i="85"/>
  <c r="S27" i="85"/>
  <c r="Z27" i="85"/>
  <c r="S29" i="85"/>
  <c r="Z29" i="85"/>
  <c r="S42" i="85"/>
  <c r="Z42" i="85"/>
  <c r="S44" i="85"/>
  <c r="Z44" i="85"/>
  <c r="S64" i="85"/>
  <c r="Z64" i="85"/>
  <c r="S66" i="85"/>
  <c r="Z66" i="85"/>
  <c r="S68" i="85"/>
  <c r="Z68" i="85"/>
  <c r="S70" i="85"/>
  <c r="Z70" i="85"/>
  <c r="S82" i="85"/>
  <c r="BL85" i="99"/>
  <c r="J77" i="117"/>
  <c r="J81" i="117"/>
  <c r="J83" i="117" s="1"/>
  <c r="J84" i="117" s="1"/>
  <c r="J86" i="117" s="1"/>
  <c r="J87" i="117" s="1"/>
  <c r="AW85" i="107"/>
  <c r="BG79" i="102"/>
  <c r="BG85" i="102"/>
  <c r="AW79" i="107"/>
  <c r="S79" i="89"/>
  <c r="E79" i="117"/>
  <c r="BB79" i="102"/>
  <c r="T79" i="117"/>
  <c r="BJ86" i="102"/>
  <c r="BK87" i="102"/>
  <c r="AR79" i="107"/>
  <c r="N79" i="113"/>
  <c r="AM79" i="107"/>
  <c r="S79" i="113"/>
  <c r="X79" i="113"/>
  <c r="BB79" i="96"/>
  <c r="AH79" i="107"/>
  <c r="AW79" i="102"/>
  <c r="R77" i="85"/>
  <c r="Z79" i="85"/>
  <c r="S65" i="85"/>
  <c r="AA65" i="85"/>
  <c r="S63" i="85"/>
  <c r="AA63" i="85"/>
  <c r="S57" i="85"/>
  <c r="AA57" i="85"/>
  <c r="S59" i="85"/>
  <c r="AA59" i="85"/>
  <c r="S56" i="85"/>
  <c r="Z56" i="85"/>
  <c r="S58" i="85"/>
  <c r="Z58" i="85"/>
  <c r="S52" i="85"/>
  <c r="Z52" i="85"/>
  <c r="R50" i="85"/>
  <c r="AA51" i="85"/>
  <c r="R41" i="85"/>
  <c r="S32" i="85"/>
  <c r="AA32" i="85"/>
  <c r="S28" i="85"/>
  <c r="AA28" i="85"/>
  <c r="S25" i="85"/>
  <c r="Z25" i="85"/>
  <c r="S24" i="85"/>
  <c r="AA24" i="85"/>
  <c r="R8" i="85"/>
  <c r="R38" i="85" s="1"/>
  <c r="R39" i="85" s="1"/>
  <c r="S18" i="85"/>
  <c r="AA18" i="85"/>
  <c r="S21" i="85"/>
  <c r="Z21" i="85"/>
  <c r="X79" i="107"/>
  <c r="AM79" i="102"/>
  <c r="AR79" i="96"/>
  <c r="AH79" i="102"/>
  <c r="AM79" i="96"/>
  <c r="AM79" i="95"/>
  <c r="AC79" i="102"/>
  <c r="AC81" i="102" s="1"/>
  <c r="AC83" i="102" s="1"/>
  <c r="AC84" i="102" s="1"/>
  <c r="AC86" i="102" s="1"/>
  <c r="AC87" i="102" s="1"/>
  <c r="I79" i="108"/>
  <c r="AR79" i="108" s="1"/>
  <c r="AH79" i="86"/>
  <c r="AH81" i="86" s="1"/>
  <c r="AH83" i="86" s="1"/>
  <c r="AH84" i="86" s="1"/>
  <c r="X79" i="91"/>
  <c r="AH79" i="95"/>
  <c r="AH79" i="96"/>
  <c r="S79" i="91"/>
  <c r="X79" i="99"/>
  <c r="AC79" i="86"/>
  <c r="AC79" i="95"/>
  <c r="X79" i="102"/>
  <c r="X81" i="102" s="1"/>
  <c r="X83" i="102" s="1"/>
  <c r="X84" i="102" s="1"/>
  <c r="X86" i="102" s="1"/>
  <c r="X87" i="102" s="1"/>
  <c r="AC79" i="96"/>
  <c r="X79" i="87"/>
  <c r="X89" i="87" s="1"/>
  <c r="X79" i="96"/>
  <c r="I79" i="102"/>
  <c r="X79" i="86"/>
  <c r="S79" i="99"/>
  <c r="S79" i="102"/>
  <c r="S81" i="102" s="1"/>
  <c r="S83" i="102" s="1"/>
  <c r="S84" i="102" s="1"/>
  <c r="S86" i="102" s="1"/>
  <c r="S87" i="102" s="1"/>
  <c r="X79" i="95"/>
  <c r="S31" i="85"/>
  <c r="BL10" i="99"/>
  <c r="BK50" i="99"/>
  <c r="BL9" i="99"/>
  <c r="BL11" i="99"/>
  <c r="BL13" i="99"/>
  <c r="BL17" i="99"/>
  <c r="BL19" i="99"/>
  <c r="BL27" i="99"/>
  <c r="BL31" i="99"/>
  <c r="BL56" i="99"/>
  <c r="BL58" i="99"/>
  <c r="BL60" i="99"/>
  <c r="BL62" i="99"/>
  <c r="BL64" i="99"/>
  <c r="BL66" i="99"/>
  <c r="BL70" i="99"/>
  <c r="BJ77" i="99"/>
  <c r="BL68" i="99"/>
  <c r="BL29" i="99"/>
  <c r="S10" i="85"/>
  <c r="R54" i="85"/>
  <c r="S7" i="85"/>
  <c r="S12" i="85"/>
  <c r="S16" i="85"/>
  <c r="S20" i="85"/>
  <c r="S26" i="85"/>
  <c r="S30" i="85"/>
  <c r="Q41" i="85"/>
  <c r="S45" i="85"/>
  <c r="S47" i="85"/>
  <c r="Q50" i="85"/>
  <c r="S78" i="85"/>
  <c r="BJ8" i="99"/>
  <c r="BJ38" i="99" s="1"/>
  <c r="BJ39" i="99" s="1"/>
  <c r="Q54" i="85"/>
  <c r="S51" i="85"/>
  <c r="S43" i="85"/>
  <c r="S9" i="85"/>
  <c r="Q77" i="85"/>
  <c r="S74" i="85"/>
  <c r="Q35" i="85"/>
  <c r="BL78" i="99"/>
  <c r="BJ54" i="99"/>
  <c r="BJ50" i="99"/>
  <c r="BL43" i="99"/>
  <c r="BL36" i="99"/>
  <c r="BL35" i="99" s="1"/>
  <c r="BK38" i="99"/>
  <c r="BK39" i="99" s="1"/>
  <c r="BL50" i="99"/>
  <c r="BW79" i="114" l="1"/>
  <c r="AC77" i="116"/>
  <c r="AC89" i="116"/>
  <c r="AD79" i="116" s="1"/>
  <c r="AC81" i="116"/>
  <c r="AC83" i="116" s="1"/>
  <c r="AC84" i="116" s="1"/>
  <c r="AC86" i="116" s="1"/>
  <c r="AC87" i="116" s="1"/>
  <c r="AM79" i="116"/>
  <c r="BC77" i="114"/>
  <c r="BC89" i="114"/>
  <c r="BD79" i="114" s="1"/>
  <c r="BC81" i="114"/>
  <c r="BC83" i="114" s="1"/>
  <c r="BC84" i="114" s="1"/>
  <c r="BC86" i="114" s="1"/>
  <c r="BC87" i="114" s="1"/>
  <c r="I77" i="138"/>
  <c r="I89" i="138"/>
  <c r="J79" i="138" s="1"/>
  <c r="I81" i="138"/>
  <c r="I83" i="138" s="1"/>
  <c r="I84" i="138" s="1"/>
  <c r="I86" i="138" s="1"/>
  <c r="I87" i="138" s="1"/>
  <c r="Y77" i="114"/>
  <c r="Y89" i="114"/>
  <c r="Y81" i="114"/>
  <c r="Y83" i="114" s="1"/>
  <c r="Y84" i="114" s="1"/>
  <c r="Y86" i="114" s="1"/>
  <c r="Y87" i="114" s="1"/>
  <c r="Z79" i="114"/>
  <c r="AX77" i="114"/>
  <c r="AX89" i="114"/>
  <c r="AY79" i="114" s="1"/>
  <c r="AX81" i="114"/>
  <c r="AX83" i="114" s="1"/>
  <c r="AX84" i="114" s="1"/>
  <c r="AX86" i="114" s="1"/>
  <c r="AX87" i="114" s="1"/>
  <c r="AD77" i="114"/>
  <c r="AD89" i="114"/>
  <c r="AD81" i="114"/>
  <c r="AD83" i="114" s="1"/>
  <c r="AD84" i="114" s="1"/>
  <c r="AD86" i="114" s="1"/>
  <c r="AD87" i="114" s="1"/>
  <c r="BG77" i="98"/>
  <c r="BG89" i="98"/>
  <c r="BH79" i="98" s="1"/>
  <c r="BG81" i="98"/>
  <c r="BG83" i="98" s="1"/>
  <c r="BG84" i="98" s="1"/>
  <c r="BG86" i="98" s="1"/>
  <c r="BG87" i="98" s="1"/>
  <c r="AM77" i="103"/>
  <c r="AN77" i="103" s="1"/>
  <c r="AM89" i="103"/>
  <c r="AN79" i="103" s="1"/>
  <c r="AM81" i="103"/>
  <c r="BB79" i="127"/>
  <c r="BB89" i="127" s="1"/>
  <c r="N77" i="127"/>
  <c r="N89" i="127"/>
  <c r="N81" i="127"/>
  <c r="N83" i="127" s="1"/>
  <c r="N84" i="127" s="1"/>
  <c r="N86" i="127" s="1"/>
  <c r="N87" i="127" s="1"/>
  <c r="AR77" i="103"/>
  <c r="AS77" i="103" s="1"/>
  <c r="AR89" i="103"/>
  <c r="AR81" i="103"/>
  <c r="S77" i="127"/>
  <c r="S89" i="127"/>
  <c r="T79" i="127" s="1"/>
  <c r="S81" i="127"/>
  <c r="S83" i="127" s="1"/>
  <c r="S84" i="127" s="1"/>
  <c r="S86" i="127" s="1"/>
  <c r="S87" i="127" s="1"/>
  <c r="X77" i="127"/>
  <c r="X89" i="127"/>
  <c r="X81" i="127"/>
  <c r="X83" i="127" s="1"/>
  <c r="X84" i="127" s="1"/>
  <c r="X86" i="127" s="1"/>
  <c r="X87" i="127" s="1"/>
  <c r="AR77" i="108"/>
  <c r="AR89" i="108"/>
  <c r="BL79" i="103"/>
  <c r="S54" i="85"/>
  <c r="S50" i="85"/>
  <c r="BB77" i="99"/>
  <c r="BB89" i="99"/>
  <c r="BB93" i="99" s="1"/>
  <c r="BB81" i="99"/>
  <c r="BB83" i="99" s="1"/>
  <c r="BB84" i="99" s="1"/>
  <c r="BB86" i="99" s="1"/>
  <c r="BB87" i="99" s="1"/>
  <c r="BC79" i="99"/>
  <c r="X89" i="89"/>
  <c r="X77" i="89"/>
  <c r="X81" i="89"/>
  <c r="X83" i="89" s="1"/>
  <c r="X84" i="89" s="1"/>
  <c r="X86" i="89" s="1"/>
  <c r="X87" i="89" s="1"/>
  <c r="BL79" i="102"/>
  <c r="AW89" i="91"/>
  <c r="AW77" i="91"/>
  <c r="AW81" i="91"/>
  <c r="AW83" i="91" s="1"/>
  <c r="AW84" i="91" s="1"/>
  <c r="AW86" i="91" s="1"/>
  <c r="AW87" i="91" s="1"/>
  <c r="AW77" i="107"/>
  <c r="AW89" i="107"/>
  <c r="AX79" i="107" s="1"/>
  <c r="AW81" i="107"/>
  <c r="AW83" i="107" s="1"/>
  <c r="AW84" i="107" s="1"/>
  <c r="AW86" i="107" s="1"/>
  <c r="AW87" i="107" s="1"/>
  <c r="S77" i="89"/>
  <c r="S81" i="89"/>
  <c r="S83" i="89" s="1"/>
  <c r="S84" i="89" s="1"/>
  <c r="S86" i="89" s="1"/>
  <c r="S87" i="89" s="1"/>
  <c r="S89" i="89"/>
  <c r="BG89" i="102"/>
  <c r="BG77" i="102"/>
  <c r="BG81" i="102"/>
  <c r="BG83" i="102" s="1"/>
  <c r="BG84" i="102" s="1"/>
  <c r="BG86" i="102" s="1"/>
  <c r="BL85" i="102"/>
  <c r="T77" i="117"/>
  <c r="T89" i="117"/>
  <c r="T81" i="117"/>
  <c r="T83" i="117" s="1"/>
  <c r="T84" i="117" s="1"/>
  <c r="T86" i="117" s="1"/>
  <c r="T87" i="117" s="1"/>
  <c r="E77" i="117"/>
  <c r="AS79" i="117"/>
  <c r="E89" i="117"/>
  <c r="E81" i="117"/>
  <c r="E83" i="117" s="1"/>
  <c r="E84" i="117" s="1"/>
  <c r="E86" i="117" s="1"/>
  <c r="E87" i="117" s="1"/>
  <c r="J89" i="117"/>
  <c r="BG89" i="107"/>
  <c r="BJ87" i="102"/>
  <c r="AR77" i="91"/>
  <c r="AR89" i="91"/>
  <c r="AR81" i="91"/>
  <c r="AR83" i="91" s="1"/>
  <c r="AR84" i="91" s="1"/>
  <c r="AR86" i="91" s="1"/>
  <c r="AR87" i="91" s="1"/>
  <c r="AR77" i="107"/>
  <c r="AR89" i="107"/>
  <c r="AR81" i="107"/>
  <c r="AR83" i="107" s="1"/>
  <c r="AR84" i="107" s="1"/>
  <c r="AR86" i="107" s="1"/>
  <c r="AR87" i="107" s="1"/>
  <c r="BB77" i="102"/>
  <c r="BB89" i="102"/>
  <c r="BB81" i="102"/>
  <c r="BB83" i="102" s="1"/>
  <c r="BB84" i="102" s="1"/>
  <c r="BB86" i="102" s="1"/>
  <c r="BB87" i="102" s="1"/>
  <c r="AH89" i="108"/>
  <c r="AH81" i="108"/>
  <c r="AH83" i="108" s="1"/>
  <c r="AH84" i="108" s="1"/>
  <c r="AH86" i="108" s="1"/>
  <c r="AH87" i="108" s="1"/>
  <c r="AH77" i="108"/>
  <c r="AI79" i="108"/>
  <c r="AM89" i="107"/>
  <c r="AN79" i="107" s="1"/>
  <c r="AM77" i="107"/>
  <c r="AM81" i="107"/>
  <c r="AM83" i="107" s="1"/>
  <c r="AM84" i="107" s="1"/>
  <c r="AM86" i="107" s="1"/>
  <c r="AM87" i="107" s="1"/>
  <c r="AW77" i="102"/>
  <c r="AW89" i="102"/>
  <c r="AW81" i="102"/>
  <c r="AW83" i="102" s="1"/>
  <c r="AW84" i="102" s="1"/>
  <c r="AW86" i="102" s="1"/>
  <c r="AW87" i="102" s="1"/>
  <c r="AH77" i="107"/>
  <c r="AH89" i="107"/>
  <c r="AH81" i="107"/>
  <c r="AH83" i="107" s="1"/>
  <c r="AH84" i="107" s="1"/>
  <c r="AH86" i="107" s="1"/>
  <c r="AH87" i="107" s="1"/>
  <c r="X77" i="113"/>
  <c r="X89" i="113"/>
  <c r="X81" i="113"/>
  <c r="X83" i="113" s="1"/>
  <c r="X84" i="113" s="1"/>
  <c r="X86" i="113" s="1"/>
  <c r="X87" i="113" s="1"/>
  <c r="BB77" i="96"/>
  <c r="BB89" i="96"/>
  <c r="BB81" i="96"/>
  <c r="BB83" i="96" s="1"/>
  <c r="BB84" i="96" s="1"/>
  <c r="BB86" i="96" s="1"/>
  <c r="BB87" i="96" s="1"/>
  <c r="AC77" i="108"/>
  <c r="AC89" i="108"/>
  <c r="AC81" i="108"/>
  <c r="AC83" i="108" s="1"/>
  <c r="AC84" i="108" s="1"/>
  <c r="AC86" i="108" s="1"/>
  <c r="AC87" i="108" s="1"/>
  <c r="AD79" i="108"/>
  <c r="BB77" i="90"/>
  <c r="BC77" i="90" s="1"/>
  <c r="BB89" i="90"/>
  <c r="BB81" i="90"/>
  <c r="BB83" i="90" s="1"/>
  <c r="BB84" i="90" s="1"/>
  <c r="BB86" i="90" s="1"/>
  <c r="BB87" i="90" s="1"/>
  <c r="BC79" i="90"/>
  <c r="S77" i="113"/>
  <c r="S89" i="113"/>
  <c r="S81" i="113"/>
  <c r="S83" i="113" s="1"/>
  <c r="S84" i="113" s="1"/>
  <c r="S86" i="113" s="1"/>
  <c r="S87" i="113" s="1"/>
  <c r="AW79" i="113"/>
  <c r="N77" i="113"/>
  <c r="N89" i="113"/>
  <c r="N81" i="113"/>
  <c r="N83" i="113" s="1"/>
  <c r="N84" i="113" s="1"/>
  <c r="N86" i="113" s="1"/>
  <c r="N87" i="113" s="1"/>
  <c r="S41" i="85"/>
  <c r="AM77" i="102"/>
  <c r="AM89" i="102"/>
  <c r="AN79" i="102" s="1"/>
  <c r="AM81" i="102"/>
  <c r="AM83" i="102" s="1"/>
  <c r="AM84" i="102" s="1"/>
  <c r="AM86" i="102" s="1"/>
  <c r="AM87" i="102" s="1"/>
  <c r="I81" i="102"/>
  <c r="I83" i="102" s="1"/>
  <c r="I84" i="102" s="1"/>
  <c r="I86" i="102" s="1"/>
  <c r="I87" i="102" s="1"/>
  <c r="AR77" i="90"/>
  <c r="AR89" i="90"/>
  <c r="AR81" i="90"/>
  <c r="AR83" i="90" s="1"/>
  <c r="AR84" i="90" s="1"/>
  <c r="AR86" i="90" s="1"/>
  <c r="AR87" i="90" s="1"/>
  <c r="AR77" i="96"/>
  <c r="AR89" i="96"/>
  <c r="AR81" i="96"/>
  <c r="AR83" i="96" s="1"/>
  <c r="AR84" i="96" s="1"/>
  <c r="AR86" i="96" s="1"/>
  <c r="AR87" i="96" s="1"/>
  <c r="S77" i="108"/>
  <c r="S89" i="108"/>
  <c r="S81" i="108"/>
  <c r="S83" i="108" s="1"/>
  <c r="S84" i="108" s="1"/>
  <c r="S86" i="108" s="1"/>
  <c r="S87" i="108" s="1"/>
  <c r="X77" i="107"/>
  <c r="X89" i="107"/>
  <c r="BC78" i="107" s="1"/>
  <c r="X81" i="107"/>
  <c r="X83" i="107" s="1"/>
  <c r="X84" i="107" s="1"/>
  <c r="X86" i="107" s="1"/>
  <c r="X87" i="107" s="1"/>
  <c r="AH89" i="91"/>
  <c r="AH77" i="91"/>
  <c r="AH81" i="91"/>
  <c r="AH83" i="91" s="1"/>
  <c r="AH84" i="91" s="1"/>
  <c r="AH86" i="91" s="1"/>
  <c r="AH87" i="91" s="1"/>
  <c r="AM77" i="99"/>
  <c r="AM89" i="99"/>
  <c r="AM93" i="99" s="1"/>
  <c r="AM81" i="99"/>
  <c r="AM83" i="99" s="1"/>
  <c r="AM84" i="99" s="1"/>
  <c r="AM86" i="99" s="1"/>
  <c r="AM87" i="99" s="1"/>
  <c r="AM77" i="95"/>
  <c r="AM89" i="95"/>
  <c r="AM92" i="95" s="1"/>
  <c r="AM81" i="95"/>
  <c r="AM83" i="95" s="1"/>
  <c r="AM84" i="95" s="1"/>
  <c r="AM86" i="95" s="1"/>
  <c r="AM87" i="95" s="1"/>
  <c r="AM77" i="96"/>
  <c r="AM89" i="96"/>
  <c r="AM81" i="96"/>
  <c r="AM83" i="96" s="1"/>
  <c r="AM84" i="96" s="1"/>
  <c r="AM86" i="96" s="1"/>
  <c r="AC77" i="91"/>
  <c r="AC89" i="91"/>
  <c r="AC81" i="91"/>
  <c r="AC83" i="91" s="1"/>
  <c r="AC84" i="91" s="1"/>
  <c r="AC86" i="91" s="1"/>
  <c r="AC87" i="91" s="1"/>
  <c r="AH77" i="102"/>
  <c r="AH89" i="102"/>
  <c r="AI79" i="102" s="1"/>
  <c r="AH81" i="102"/>
  <c r="AH83" i="102" s="1"/>
  <c r="AH84" i="102" s="1"/>
  <c r="AH86" i="102" s="1"/>
  <c r="AH87" i="102" s="1"/>
  <c r="AM77" i="90"/>
  <c r="AM89" i="90"/>
  <c r="AM81" i="90"/>
  <c r="AM83" i="90" s="1"/>
  <c r="AM84" i="90" s="1"/>
  <c r="AM86" i="90" s="1"/>
  <c r="AM87" i="90" s="1"/>
  <c r="I81" i="108"/>
  <c r="I83" i="108" s="1"/>
  <c r="I84" i="108" s="1"/>
  <c r="I86" i="108" s="1"/>
  <c r="I87" i="108" s="1"/>
  <c r="AH77" i="96"/>
  <c r="AH89" i="96"/>
  <c r="AH81" i="96"/>
  <c r="AH89" i="90"/>
  <c r="AH77" i="90"/>
  <c r="AH81" i="90"/>
  <c r="AH83" i="90" s="1"/>
  <c r="AH84" i="90" s="1"/>
  <c r="AH86" i="90" s="1"/>
  <c r="AH87" i="90" s="1"/>
  <c r="AC77" i="102"/>
  <c r="AC89" i="102"/>
  <c r="X77" i="91"/>
  <c r="X89" i="91"/>
  <c r="X81" i="91"/>
  <c r="X83" i="91" s="1"/>
  <c r="X84" i="91" s="1"/>
  <c r="X86" i="91" s="1"/>
  <c r="X87" i="91" s="1"/>
  <c r="AH77" i="95"/>
  <c r="AH89" i="95"/>
  <c r="AH81" i="95"/>
  <c r="AH83" i="95" s="1"/>
  <c r="AH84" i="95" s="1"/>
  <c r="AH86" i="95" s="1"/>
  <c r="AH87" i="95" s="1"/>
  <c r="AH77" i="86"/>
  <c r="AH89" i="86"/>
  <c r="AH93" i="86" s="1"/>
  <c r="AH86" i="86"/>
  <c r="AH87" i="86" s="1"/>
  <c r="N77" i="107"/>
  <c r="N89" i="107"/>
  <c r="N81" i="107"/>
  <c r="N83" i="107" s="1"/>
  <c r="N84" i="107" s="1"/>
  <c r="N86" i="107" s="1"/>
  <c r="N87" i="107" s="1"/>
  <c r="S77" i="107"/>
  <c r="S89" i="107"/>
  <c r="BC72" i="107" s="1"/>
  <c r="S81" i="107"/>
  <c r="S83" i="107" s="1"/>
  <c r="S84" i="107" s="1"/>
  <c r="S86" i="107" s="1"/>
  <c r="S87" i="107" s="1"/>
  <c r="I77" i="108"/>
  <c r="I89" i="108"/>
  <c r="N77" i="108"/>
  <c r="N89" i="108"/>
  <c r="N81" i="108"/>
  <c r="N83" i="108" s="1"/>
  <c r="N84" i="108" s="1"/>
  <c r="N86" i="108" s="1"/>
  <c r="N87" i="108" s="1"/>
  <c r="AC77" i="90"/>
  <c r="AC89" i="90"/>
  <c r="AD79" i="90" s="1"/>
  <c r="AC81" i="90"/>
  <c r="AC83" i="90" s="1"/>
  <c r="AC84" i="90" s="1"/>
  <c r="AC86" i="90" s="1"/>
  <c r="AC87" i="90" s="1"/>
  <c r="AC77" i="96"/>
  <c r="AC81" i="96"/>
  <c r="AC83" i="96" s="1"/>
  <c r="AC84" i="96" s="1"/>
  <c r="AC86" i="96" s="1"/>
  <c r="AC87" i="96" s="1"/>
  <c r="AC89" i="96"/>
  <c r="AC77" i="86"/>
  <c r="AC89" i="86"/>
  <c r="AC81" i="86"/>
  <c r="AC83" i="86" s="1"/>
  <c r="AC84" i="86" s="1"/>
  <c r="AC86" i="86" s="1"/>
  <c r="AC87" i="86" s="1"/>
  <c r="X77" i="102"/>
  <c r="X89" i="102"/>
  <c r="Y79" i="102" s="1"/>
  <c r="X77" i="99"/>
  <c r="X89" i="99"/>
  <c r="X81" i="99"/>
  <c r="X83" i="99" s="1"/>
  <c r="X84" i="99" s="1"/>
  <c r="X86" i="99" s="1"/>
  <c r="X87" i="99" s="1"/>
  <c r="S77" i="91"/>
  <c r="S89" i="91"/>
  <c r="S81" i="91"/>
  <c r="S83" i="91" s="1"/>
  <c r="S84" i="91" s="1"/>
  <c r="S86" i="91" s="1"/>
  <c r="S87" i="91" s="1"/>
  <c r="AC77" i="95"/>
  <c r="AC89" i="95"/>
  <c r="AC81" i="95"/>
  <c r="AC83" i="95" s="1"/>
  <c r="AC84" i="95" s="1"/>
  <c r="AC86" i="95" s="1"/>
  <c r="AC87" i="95" s="1"/>
  <c r="X77" i="86"/>
  <c r="X89" i="86"/>
  <c r="X81" i="86"/>
  <c r="X83" i="86" s="1"/>
  <c r="X84" i="86" s="1"/>
  <c r="X86" i="86" s="1"/>
  <c r="X87" i="86" s="1"/>
  <c r="X89" i="95"/>
  <c r="X77" i="95"/>
  <c r="X81" i="95"/>
  <c r="X83" i="95" s="1"/>
  <c r="X84" i="95" s="1"/>
  <c r="X86" i="95" s="1"/>
  <c r="X87" i="95" s="1"/>
  <c r="S77" i="102"/>
  <c r="S89" i="102"/>
  <c r="X77" i="96"/>
  <c r="X89" i="96"/>
  <c r="X81" i="96"/>
  <c r="X83" i="96" s="1"/>
  <c r="X84" i="96" s="1"/>
  <c r="X86" i="96" s="1"/>
  <c r="X87" i="96" s="1"/>
  <c r="X77" i="87"/>
  <c r="X81" i="87"/>
  <c r="X83" i="87" s="1"/>
  <c r="X84" i="87" s="1"/>
  <c r="X86" i="87" s="1"/>
  <c r="X87" i="87" s="1"/>
  <c r="S77" i="99"/>
  <c r="S89" i="99"/>
  <c r="AD36" i="99" s="1"/>
  <c r="S81" i="99"/>
  <c r="S83" i="99" s="1"/>
  <c r="S84" i="99" s="1"/>
  <c r="S86" i="99" s="1"/>
  <c r="S87" i="99" s="1"/>
  <c r="X81" i="90"/>
  <c r="X83" i="90" s="1"/>
  <c r="X84" i="90" s="1"/>
  <c r="X86" i="90" s="1"/>
  <c r="X87" i="90" s="1"/>
  <c r="X77" i="90"/>
  <c r="X89" i="90"/>
  <c r="BL54" i="99"/>
  <c r="BL8" i="99"/>
  <c r="BL38" i="99" s="1"/>
  <c r="BL39" i="99" s="1"/>
  <c r="I89" i="102"/>
  <c r="I77" i="102"/>
  <c r="BK75" i="99"/>
  <c r="BK76" i="99" s="1"/>
  <c r="S8" i="85"/>
  <c r="R75" i="85"/>
  <c r="R81" i="85" s="1"/>
  <c r="R83" i="85" s="1"/>
  <c r="R84" i="85" s="1"/>
  <c r="R86" i="85" s="1"/>
  <c r="R87" i="85" s="1"/>
  <c r="BJ75" i="99"/>
  <c r="BJ81" i="99" s="1"/>
  <c r="BJ83" i="99" s="1"/>
  <c r="BJ84" i="99" s="1"/>
  <c r="BJ86" i="99" s="1"/>
  <c r="BJ87" i="99" s="1"/>
  <c r="BL41" i="99"/>
  <c r="BA82" i="86"/>
  <c r="AZ82" i="86"/>
  <c r="BB78" i="86"/>
  <c r="AZ73" i="86"/>
  <c r="BB51" i="86"/>
  <c r="BB47" i="86"/>
  <c r="BB43" i="86"/>
  <c r="BB32" i="86"/>
  <c r="BB30" i="86"/>
  <c r="BB26" i="86"/>
  <c r="BB25" i="86"/>
  <c r="BB24" i="86"/>
  <c r="BB20" i="86"/>
  <c r="BB18" i="86"/>
  <c r="BB16" i="86"/>
  <c r="BB15" i="86"/>
  <c r="BB12" i="86"/>
  <c r="AZ8" i="86"/>
  <c r="BB74" i="86"/>
  <c r="BB73" i="86" s="1"/>
  <c r="BA73" i="86"/>
  <c r="BB71" i="86"/>
  <c r="BB70" i="86"/>
  <c r="BB69" i="86"/>
  <c r="BB67" i="86"/>
  <c r="BB66" i="86"/>
  <c r="BB65" i="86"/>
  <c r="BB63" i="86"/>
  <c r="BB62" i="86"/>
  <c r="BB61" i="86"/>
  <c r="BB58" i="86"/>
  <c r="BB57" i="86"/>
  <c r="BB55" i="86"/>
  <c r="BB52" i="86"/>
  <c r="BB48" i="86"/>
  <c r="BB46" i="86"/>
  <c r="BB45" i="86"/>
  <c r="BB44" i="86"/>
  <c r="BB42" i="86"/>
  <c r="BA41" i="86"/>
  <c r="BB36" i="86"/>
  <c r="BA35" i="86"/>
  <c r="AZ35" i="86"/>
  <c r="BB33" i="86"/>
  <c r="BB27" i="86"/>
  <c r="BB21" i="86"/>
  <c r="BB19" i="86"/>
  <c r="BB17" i="86"/>
  <c r="BB14" i="86"/>
  <c r="BB13" i="86"/>
  <c r="BB11" i="86"/>
  <c r="BB9" i="86"/>
  <c r="M54" i="86"/>
  <c r="L54" i="86"/>
  <c r="BK85" i="87"/>
  <c r="BJ85" i="87"/>
  <c r="BJ73" i="87"/>
  <c r="BL70" i="87"/>
  <c r="BL66" i="87"/>
  <c r="BL64" i="87"/>
  <c r="BL62" i="87"/>
  <c r="BL58" i="87"/>
  <c r="BJ54" i="87"/>
  <c r="BL46" i="87"/>
  <c r="BL42" i="87"/>
  <c r="BK36" i="87"/>
  <c r="BK35" i="87" s="1"/>
  <c r="BJ36" i="87"/>
  <c r="BL24" i="87"/>
  <c r="BL21" i="87"/>
  <c r="BL20" i="87"/>
  <c r="BL18" i="87"/>
  <c r="BL16" i="87"/>
  <c r="BL12" i="87"/>
  <c r="BJ8" i="87"/>
  <c r="BL7" i="87"/>
  <c r="BK77" i="87"/>
  <c r="BK73" i="87"/>
  <c r="BL71" i="87"/>
  <c r="BL69" i="87"/>
  <c r="BL67" i="87"/>
  <c r="BL65" i="87"/>
  <c r="BL63" i="87"/>
  <c r="BL61" i="87"/>
  <c r="BL60" i="87"/>
  <c r="BL59" i="87"/>
  <c r="BL57" i="87"/>
  <c r="BL55" i="87"/>
  <c r="BL52" i="87"/>
  <c r="BK50" i="87"/>
  <c r="BL48" i="87"/>
  <c r="BL47" i="87"/>
  <c r="BL45" i="87"/>
  <c r="BL44" i="87"/>
  <c r="BL43" i="87"/>
  <c r="BJ41" i="87"/>
  <c r="BL33" i="87"/>
  <c r="BL32" i="87"/>
  <c r="BL31" i="87"/>
  <c r="BL27" i="87"/>
  <c r="BL19" i="87"/>
  <c r="BL17" i="87"/>
  <c r="BL15" i="87"/>
  <c r="BL14" i="87"/>
  <c r="BL13" i="87"/>
  <c r="BL11" i="87"/>
  <c r="BL9" i="87"/>
  <c r="BL6" i="87"/>
  <c r="BL5" i="87" s="1"/>
  <c r="BK5" i="87"/>
  <c r="BJ5" i="87"/>
  <c r="L54" i="87"/>
  <c r="M54" i="87"/>
  <c r="M54" i="96"/>
  <c r="L54" i="96"/>
  <c r="BO73" i="96"/>
  <c r="BQ70" i="96"/>
  <c r="BU70" i="96" s="1"/>
  <c r="BQ68" i="96"/>
  <c r="BU68" i="96" s="1"/>
  <c r="BQ66" i="96"/>
  <c r="BU66" i="96" s="1"/>
  <c r="BQ64" i="96"/>
  <c r="BU64" i="96" s="1"/>
  <c r="BQ62" i="96"/>
  <c r="BU62" i="96" s="1"/>
  <c r="BQ60" i="96"/>
  <c r="BU60" i="96" s="1"/>
  <c r="BQ59" i="96"/>
  <c r="BU59" i="96" s="1"/>
  <c r="BQ58" i="96"/>
  <c r="BU58" i="96" s="1"/>
  <c r="BQ56" i="96"/>
  <c r="BU56" i="96" s="1"/>
  <c r="BP50" i="96"/>
  <c r="BQ48" i="96"/>
  <c r="BU48" i="96" s="1"/>
  <c r="BQ47" i="96"/>
  <c r="BU47" i="96" s="1"/>
  <c r="BQ45" i="96"/>
  <c r="BU45" i="96" s="1"/>
  <c r="BQ44" i="96"/>
  <c r="BU44" i="96" s="1"/>
  <c r="BQ43" i="96"/>
  <c r="BU43" i="96" s="1"/>
  <c r="BO35" i="96"/>
  <c r="BQ32" i="96"/>
  <c r="BU32" i="96" s="1"/>
  <c r="BQ30" i="96"/>
  <c r="BU30" i="96" s="1"/>
  <c r="BQ26" i="96"/>
  <c r="BU26" i="96" s="1"/>
  <c r="BQ18" i="96"/>
  <c r="BU18" i="96" s="1"/>
  <c r="BQ102" i="96" s="1"/>
  <c r="BQ16" i="96"/>
  <c r="BU16" i="96" s="1"/>
  <c r="BQ100" i="96" s="1"/>
  <c r="BQ14" i="96"/>
  <c r="BU14" i="96" s="1"/>
  <c r="BQ13" i="96"/>
  <c r="BU13" i="96" s="1"/>
  <c r="BQ11" i="96"/>
  <c r="BU11" i="96" s="1"/>
  <c r="BQ9" i="96"/>
  <c r="BU9" i="96" s="1"/>
  <c r="BQ7" i="96"/>
  <c r="G54" i="96"/>
  <c r="L54" i="95"/>
  <c r="BQ74" i="96"/>
  <c r="BP73" i="96"/>
  <c r="BQ71" i="96"/>
  <c r="BU71" i="96" s="1"/>
  <c r="BQ69" i="96"/>
  <c r="BU69" i="96" s="1"/>
  <c r="BQ67" i="96"/>
  <c r="BU67" i="96" s="1"/>
  <c r="BQ65" i="96"/>
  <c r="BU65" i="96" s="1"/>
  <c r="BQ63" i="96"/>
  <c r="BU63" i="96" s="1"/>
  <c r="BQ61" i="96"/>
  <c r="BU61" i="96" s="1"/>
  <c r="BQ57" i="96"/>
  <c r="BU57" i="96" s="1"/>
  <c r="BQ55" i="96"/>
  <c r="BU55" i="96" s="1"/>
  <c r="BQ51" i="96"/>
  <c r="BU51" i="96" s="1"/>
  <c r="BQ46" i="96"/>
  <c r="BU46" i="96" s="1"/>
  <c r="BQ42" i="96"/>
  <c r="BU42" i="96" s="1"/>
  <c r="BP41" i="96"/>
  <c r="BQ36" i="96"/>
  <c r="BP35" i="96"/>
  <c r="BQ33" i="96"/>
  <c r="BU33" i="96" s="1"/>
  <c r="BQ31" i="96"/>
  <c r="BU31" i="96" s="1"/>
  <c r="BQ29" i="96"/>
  <c r="BU29" i="96" s="1"/>
  <c r="BQ27" i="96"/>
  <c r="BU27" i="96" s="1"/>
  <c r="BQ25" i="96"/>
  <c r="BU25" i="96" s="1"/>
  <c r="BQ19" i="96"/>
  <c r="BU19" i="96" s="1"/>
  <c r="BQ17" i="96"/>
  <c r="BU17" i="96" s="1"/>
  <c r="BQ15" i="96"/>
  <c r="BU15" i="96" s="1"/>
  <c r="BQ6" i="96"/>
  <c r="AV77" i="95"/>
  <c r="AV73" i="95"/>
  <c r="AW62" i="95"/>
  <c r="AV50" i="95"/>
  <c r="AU35" i="95"/>
  <c r="AW25" i="95"/>
  <c r="AW13" i="95"/>
  <c r="AW6" i="95"/>
  <c r="AW5" i="95" s="1"/>
  <c r="M54" i="95"/>
  <c r="L8" i="95"/>
  <c r="K54" i="90"/>
  <c r="M54" i="90"/>
  <c r="L54" i="90"/>
  <c r="AU77" i="95"/>
  <c r="AU73" i="95"/>
  <c r="AW71" i="95"/>
  <c r="AW69" i="95"/>
  <c r="AW68" i="95"/>
  <c r="AW67" i="95"/>
  <c r="AW65" i="95"/>
  <c r="AW64" i="95"/>
  <c r="AW63" i="95"/>
  <c r="AW61" i="95"/>
  <c r="AW60" i="95"/>
  <c r="AW57" i="95"/>
  <c r="AW56" i="95"/>
  <c r="AW55" i="95"/>
  <c r="AW52" i="95"/>
  <c r="AW48" i="95"/>
  <c r="AW46" i="95"/>
  <c r="AW44" i="95"/>
  <c r="AW42" i="95"/>
  <c r="AV41" i="95"/>
  <c r="AU41" i="95"/>
  <c r="AW36" i="95"/>
  <c r="AV35" i="95"/>
  <c r="AW33" i="95"/>
  <c r="AW32" i="95"/>
  <c r="AW30" i="95"/>
  <c r="AW27" i="95"/>
  <c r="AW26" i="95"/>
  <c r="AW20" i="95"/>
  <c r="AW18" i="95"/>
  <c r="AW17" i="95"/>
  <c r="AW16" i="95"/>
  <c r="AW15" i="95"/>
  <c r="AW14" i="95"/>
  <c r="AW11" i="95"/>
  <c r="AW10" i="95"/>
  <c r="AW9" i="95"/>
  <c r="AW7" i="95"/>
  <c r="AV5" i="95"/>
  <c r="BL36" i="87" l="1"/>
  <c r="J8" i="138"/>
  <c r="J74" i="138"/>
  <c r="J62" i="138"/>
  <c r="J57" i="138"/>
  <c r="J33" i="138"/>
  <c r="J45" i="138"/>
  <c r="J26" i="138"/>
  <c r="J10" i="138"/>
  <c r="J54" i="138"/>
  <c r="J13" i="138"/>
  <c r="J18" i="138"/>
  <c r="J51" i="138"/>
  <c r="J11" i="138"/>
  <c r="J68" i="138"/>
  <c r="J43" i="138"/>
  <c r="J63" i="138"/>
  <c r="J42" i="138"/>
  <c r="J21" i="138"/>
  <c r="J69" i="138"/>
  <c r="J25" i="138"/>
  <c r="J44" i="138"/>
  <c r="J17" i="138"/>
  <c r="J29" i="138"/>
  <c r="J16" i="138"/>
  <c r="J31" i="138"/>
  <c r="J58" i="138"/>
  <c r="J67" i="138"/>
  <c r="J46" i="138"/>
  <c r="J60" i="138"/>
  <c r="J59" i="138"/>
  <c r="J30" i="138"/>
  <c r="J15" i="138"/>
  <c r="J35" i="138"/>
  <c r="J24" i="138"/>
  <c r="J52" i="138"/>
  <c r="J66" i="138"/>
  <c r="J50" i="138"/>
  <c r="J32" i="138"/>
  <c r="J23" i="138"/>
  <c r="J65" i="138"/>
  <c r="J70" i="138"/>
  <c r="J22" i="138"/>
  <c r="J20" i="138"/>
  <c r="J61" i="138"/>
  <c r="J71" i="138"/>
  <c r="J64" i="138"/>
  <c r="J19" i="138"/>
  <c r="J55" i="138"/>
  <c r="J47" i="138"/>
  <c r="J41" i="138"/>
  <c r="J56" i="138"/>
  <c r="J73" i="138"/>
  <c r="J12" i="138"/>
  <c r="J9" i="138"/>
  <c r="J36" i="138"/>
  <c r="J27" i="138"/>
  <c r="J28" i="138"/>
  <c r="J48" i="138"/>
  <c r="J14" i="138"/>
  <c r="AM89" i="116"/>
  <c r="AM90" i="116" s="1"/>
  <c r="AM81" i="116"/>
  <c r="AM83" i="116" s="1"/>
  <c r="AM84" i="116" s="1"/>
  <c r="AM86" i="116" s="1"/>
  <c r="AM87" i="116" s="1"/>
  <c r="AM77" i="116"/>
  <c r="S77" i="138"/>
  <c r="S89" i="138"/>
  <c r="S90" i="138" s="1"/>
  <c r="S81" i="138"/>
  <c r="S83" i="138" s="1"/>
  <c r="S84" i="138" s="1"/>
  <c r="S86" i="138" s="1"/>
  <c r="AC93" i="116"/>
  <c r="AD71" i="116"/>
  <c r="AD66" i="116"/>
  <c r="AD13" i="116"/>
  <c r="AD35" i="116"/>
  <c r="AD63" i="116"/>
  <c r="AD33" i="116"/>
  <c r="AD51" i="116"/>
  <c r="AD18" i="116"/>
  <c r="AD64" i="116"/>
  <c r="AD57" i="116"/>
  <c r="AD68" i="116"/>
  <c r="AD24" i="116"/>
  <c r="AD55" i="116"/>
  <c r="AD25" i="116"/>
  <c r="AD29" i="116"/>
  <c r="AD43" i="116"/>
  <c r="AD30" i="116"/>
  <c r="AD52" i="116"/>
  <c r="AD27" i="116"/>
  <c r="AD9" i="116"/>
  <c r="AD65" i="116"/>
  <c r="AD21" i="116"/>
  <c r="AD16" i="116"/>
  <c r="AD58" i="116"/>
  <c r="AD62" i="116"/>
  <c r="AD28" i="116"/>
  <c r="AD46" i="116"/>
  <c r="AD59" i="116"/>
  <c r="AD44" i="116"/>
  <c r="AD8" i="116"/>
  <c r="AD70" i="116"/>
  <c r="AD10" i="116"/>
  <c r="AD14" i="116"/>
  <c r="AD45" i="116"/>
  <c r="AD11" i="116"/>
  <c r="AD47" i="116"/>
  <c r="AD31" i="116"/>
  <c r="AD56" i="116"/>
  <c r="AD74" i="116"/>
  <c r="AD67" i="116"/>
  <c r="AD17" i="116"/>
  <c r="AD12" i="116"/>
  <c r="AD22" i="116"/>
  <c r="AD26" i="116"/>
  <c r="AD19" i="116"/>
  <c r="AD48" i="116"/>
  <c r="AD61" i="116"/>
  <c r="AD20" i="116"/>
  <c r="AD73" i="116"/>
  <c r="AD69" i="116"/>
  <c r="AD15" i="116"/>
  <c r="AD23" i="116"/>
  <c r="AD50" i="116"/>
  <c r="AD42" i="116"/>
  <c r="AD60" i="116"/>
  <c r="AD36" i="116"/>
  <c r="AD32" i="116"/>
  <c r="AD41" i="116"/>
  <c r="AD54" i="116"/>
  <c r="BD41" i="114"/>
  <c r="BD71" i="114"/>
  <c r="BD47" i="114"/>
  <c r="BD17" i="114"/>
  <c r="BD24" i="114"/>
  <c r="BD30" i="114"/>
  <c r="BD55" i="114"/>
  <c r="BD43" i="114"/>
  <c r="BD54" i="114"/>
  <c r="BD10" i="114"/>
  <c r="BD68" i="114"/>
  <c r="BD44" i="114"/>
  <c r="BD14" i="114"/>
  <c r="BD67" i="114"/>
  <c r="BD26" i="114"/>
  <c r="BD52" i="114"/>
  <c r="BD42" i="114"/>
  <c r="BD9" i="114"/>
  <c r="BD15" i="114"/>
  <c r="BD50" i="114"/>
  <c r="BD65" i="114"/>
  <c r="BD31" i="114"/>
  <c r="BD11" i="114"/>
  <c r="BD27" i="114"/>
  <c r="BD33" i="114"/>
  <c r="BD13" i="114"/>
  <c r="BD21" i="114"/>
  <c r="BD45" i="114"/>
  <c r="BD51" i="114"/>
  <c r="BD8" i="114"/>
  <c r="BD62" i="114"/>
  <c r="BD28" i="114"/>
  <c r="BD29" i="114"/>
  <c r="BD16" i="114"/>
  <c r="BD22" i="114"/>
  <c r="BD32" i="114"/>
  <c r="BD58" i="114"/>
  <c r="BD64" i="114"/>
  <c r="BD70" i="114"/>
  <c r="BD35" i="114"/>
  <c r="BD59" i="114"/>
  <c r="BD23" i="114"/>
  <c r="BD18" i="114"/>
  <c r="BD63" i="114"/>
  <c r="BD69" i="114"/>
  <c r="BD73" i="114"/>
  <c r="BD19" i="114"/>
  <c r="BD25" i="114"/>
  <c r="BD12" i="114"/>
  <c r="BD74" i="114"/>
  <c r="BD56" i="114"/>
  <c r="BD20" i="114"/>
  <c r="BD48" i="114"/>
  <c r="BD46" i="114"/>
  <c r="BD57" i="114"/>
  <c r="BD36" i="114"/>
  <c r="BD60" i="114"/>
  <c r="BD66" i="114"/>
  <c r="BD61" i="114"/>
  <c r="BD77" i="114"/>
  <c r="AY77" i="114"/>
  <c r="AE77" i="114"/>
  <c r="AE79" i="114"/>
  <c r="Z50" i="114"/>
  <c r="Z65" i="114"/>
  <c r="Z54" i="114"/>
  <c r="Z47" i="114"/>
  <c r="Z59" i="114"/>
  <c r="Z9" i="114"/>
  <c r="Z74" i="114"/>
  <c r="Z60" i="114"/>
  <c r="Z66" i="114"/>
  <c r="Z57" i="114"/>
  <c r="Z63" i="114"/>
  <c r="Z25" i="114"/>
  <c r="Z71" i="114"/>
  <c r="Z58" i="114"/>
  <c r="Z64" i="114"/>
  <c r="Z67" i="114"/>
  <c r="Z78" i="114"/>
  <c r="Z21" i="114"/>
  <c r="Z20" i="114"/>
  <c r="Z56" i="114"/>
  <c r="Z27" i="114"/>
  <c r="Z14" i="114"/>
  <c r="Z29" i="114"/>
  <c r="Z31" i="114"/>
  <c r="Z12" i="114"/>
  <c r="Z8" i="114"/>
  <c r="Z44" i="114"/>
  <c r="Z17" i="114"/>
  <c r="Z43" i="114"/>
  <c r="Z19" i="114"/>
  <c r="Z52" i="114"/>
  <c r="Z30" i="114"/>
  <c r="Z48" i="114"/>
  <c r="Z55" i="114"/>
  <c r="Z15" i="114"/>
  <c r="Z23" i="114"/>
  <c r="Z41" i="114"/>
  <c r="Z73" i="114"/>
  <c r="Z69" i="114"/>
  <c r="Z10" i="114"/>
  <c r="Z36" i="114"/>
  <c r="Z46" i="114"/>
  <c r="Z42" i="114"/>
  <c r="Z22" i="114"/>
  <c r="Z61" i="114"/>
  <c r="Z16" i="114"/>
  <c r="Z32" i="114"/>
  <c r="Z68" i="114"/>
  <c r="Z24" i="114"/>
  <c r="Z11" i="114"/>
  <c r="Z45" i="114"/>
  <c r="Z26" i="114"/>
  <c r="Z33" i="114"/>
  <c r="Z18" i="114"/>
  <c r="Z13" i="114"/>
  <c r="Z35" i="114"/>
  <c r="Z62" i="114"/>
  <c r="Z70" i="114"/>
  <c r="Z28" i="114"/>
  <c r="Z51" i="114"/>
  <c r="BW89" i="114"/>
  <c r="BW90" i="114" s="1"/>
  <c r="CA79" i="114"/>
  <c r="BW99" i="114" s="1"/>
  <c r="BW77" i="114"/>
  <c r="BW81" i="114"/>
  <c r="BW83" i="114" s="1"/>
  <c r="BW84" i="114" s="1"/>
  <c r="AJ79" i="114"/>
  <c r="AE78" i="114"/>
  <c r="AE61" i="114"/>
  <c r="AE60" i="114"/>
  <c r="AE51" i="114"/>
  <c r="AE20" i="114"/>
  <c r="AE67" i="114"/>
  <c r="AE23" i="114"/>
  <c r="AE50" i="114"/>
  <c r="AE13" i="114"/>
  <c r="AE43" i="114"/>
  <c r="AE69" i="114"/>
  <c r="AE59" i="114"/>
  <c r="AE58" i="114"/>
  <c r="AE48" i="114"/>
  <c r="AE74" i="114"/>
  <c r="AE26" i="114"/>
  <c r="AE46" i="114"/>
  <c r="AE73" i="114"/>
  <c r="AE10" i="114"/>
  <c r="AE19" i="114"/>
  <c r="AE63" i="114"/>
  <c r="AE55" i="114"/>
  <c r="AE71" i="114"/>
  <c r="AE47" i="114"/>
  <c r="AE62" i="114"/>
  <c r="AE27" i="114"/>
  <c r="AE17" i="114"/>
  <c r="AE52" i="114"/>
  <c r="AE12" i="114"/>
  <c r="AE32" i="114"/>
  <c r="AE42" i="114"/>
  <c r="AE70" i="114"/>
  <c r="AE64" i="114"/>
  <c r="AE30" i="114"/>
  <c r="AE35" i="114"/>
  <c r="AE24" i="114"/>
  <c r="AE31" i="114"/>
  <c r="AE29" i="114"/>
  <c r="AE44" i="114"/>
  <c r="AE54" i="114"/>
  <c r="AE9" i="114"/>
  <c r="AE15" i="114"/>
  <c r="AE66" i="114"/>
  <c r="AE45" i="114"/>
  <c r="AE14" i="114"/>
  <c r="AE21" i="114"/>
  <c r="AE33" i="114"/>
  <c r="AE22" i="114"/>
  <c r="AE36" i="114"/>
  <c r="AE57" i="114"/>
  <c r="AE65" i="114"/>
  <c r="AE8" i="114"/>
  <c r="AE68" i="114"/>
  <c r="AE28" i="114"/>
  <c r="AE16" i="114"/>
  <c r="AE56" i="114"/>
  <c r="AE11" i="114"/>
  <c r="AE25" i="114"/>
  <c r="AE41" i="114"/>
  <c r="AY67" i="114"/>
  <c r="AY54" i="114"/>
  <c r="AY69" i="114"/>
  <c r="AY74" i="114"/>
  <c r="AY16" i="114"/>
  <c r="AY11" i="114"/>
  <c r="AY70" i="114"/>
  <c r="AY62" i="114"/>
  <c r="AY68" i="114"/>
  <c r="AY59" i="114"/>
  <c r="AY48" i="114"/>
  <c r="AY47" i="114"/>
  <c r="AY56" i="114"/>
  <c r="AY46" i="114"/>
  <c r="AY45" i="114"/>
  <c r="AY24" i="114"/>
  <c r="AY18" i="114"/>
  <c r="AY17" i="114"/>
  <c r="AY52" i="114"/>
  <c r="AY61" i="114"/>
  <c r="AY27" i="114"/>
  <c r="AY55" i="114"/>
  <c r="AY33" i="114"/>
  <c r="AY20" i="114"/>
  <c r="AY9" i="114"/>
  <c r="AY41" i="114"/>
  <c r="AY43" i="114"/>
  <c r="AY36" i="114"/>
  <c r="AY60" i="114"/>
  <c r="AY58" i="114"/>
  <c r="AY19" i="114"/>
  <c r="AY10" i="114"/>
  <c r="AY26" i="114"/>
  <c r="AY29" i="114"/>
  <c r="AY51" i="114"/>
  <c r="AY57" i="114"/>
  <c r="AY21" i="114"/>
  <c r="AY44" i="114"/>
  <c r="AY73" i="114"/>
  <c r="AY50" i="114"/>
  <c r="AY32" i="114"/>
  <c r="AY30" i="114"/>
  <c r="AY22" i="114"/>
  <c r="AY28" i="114"/>
  <c r="AY64" i="114"/>
  <c r="AY65" i="114"/>
  <c r="AY13" i="114"/>
  <c r="AY35" i="114"/>
  <c r="AY66" i="114"/>
  <c r="AY14" i="114"/>
  <c r="AY25" i="114"/>
  <c r="AY42" i="114"/>
  <c r="AY15" i="114"/>
  <c r="AY23" i="114"/>
  <c r="AY12" i="114"/>
  <c r="AY63" i="114"/>
  <c r="AY8" i="114"/>
  <c r="AY71" i="114"/>
  <c r="AY31" i="114"/>
  <c r="Z77" i="114"/>
  <c r="Y79" i="127"/>
  <c r="BH54" i="98"/>
  <c r="BH33" i="98"/>
  <c r="BH15" i="98"/>
  <c r="BH28" i="98"/>
  <c r="BH10" i="98"/>
  <c r="BH26" i="98"/>
  <c r="BH59" i="98"/>
  <c r="BH69" i="98"/>
  <c r="BH52" i="98"/>
  <c r="BH66" i="98"/>
  <c r="BH47" i="98"/>
  <c r="BH41" i="98"/>
  <c r="BH63" i="98"/>
  <c r="BH35" i="98"/>
  <c r="BH30" i="98"/>
  <c r="BH12" i="98"/>
  <c r="BH25" i="98"/>
  <c r="BH8" i="98"/>
  <c r="BH23" i="98"/>
  <c r="BH68" i="98"/>
  <c r="BM36" i="98"/>
  <c r="BR35" i="98"/>
  <c r="BH46" i="98"/>
  <c r="BH55" i="98"/>
  <c r="BH19" i="98"/>
  <c r="BH61" i="98"/>
  <c r="BH27" i="98"/>
  <c r="BH9" i="98"/>
  <c r="BH22" i="98"/>
  <c r="BH32" i="98"/>
  <c r="BH20" i="98"/>
  <c r="BH64" i="98"/>
  <c r="BG92" i="98"/>
  <c r="BH45" i="98"/>
  <c r="BH51" i="98"/>
  <c r="BH43" i="98"/>
  <c r="BH24" i="98"/>
  <c r="BH17" i="98"/>
  <c r="BH58" i="98"/>
  <c r="BV90" i="98"/>
  <c r="BH21" i="98"/>
  <c r="BH72" i="98"/>
  <c r="BH16" i="98"/>
  <c r="BH29" i="98"/>
  <c r="BH62" i="98"/>
  <c r="BH42" i="98"/>
  <c r="BH65" i="98"/>
  <c r="BH70" i="98"/>
  <c r="BH67" i="98"/>
  <c r="BH44" i="98"/>
  <c r="BH50" i="98"/>
  <c r="BH49" i="98"/>
  <c r="BH18" i="98"/>
  <c r="BH31" i="98"/>
  <c r="BH13" i="98"/>
  <c r="BH11" i="98"/>
  <c r="BH71" i="98"/>
  <c r="BH60" i="98"/>
  <c r="BR36" i="98"/>
  <c r="BH57" i="98"/>
  <c r="BH48" i="98"/>
  <c r="BM35" i="98"/>
  <c r="BH14" i="98"/>
  <c r="BH56" i="98"/>
  <c r="BH36" i="98"/>
  <c r="BB90" i="127"/>
  <c r="Y8" i="127"/>
  <c r="Y58" i="127"/>
  <c r="Y48" i="127"/>
  <c r="Y59" i="127"/>
  <c r="Y66" i="127"/>
  <c r="Y28" i="127"/>
  <c r="Y27" i="127"/>
  <c r="Y62" i="127"/>
  <c r="Y55" i="127"/>
  <c r="Y30" i="127"/>
  <c r="Y51" i="127"/>
  <c r="Y42" i="127"/>
  <c r="Y44" i="127"/>
  <c r="Y70" i="127"/>
  <c r="Y43" i="127"/>
  <c r="Y45" i="127"/>
  <c r="Y74" i="127"/>
  <c r="Y31" i="127"/>
  <c r="Y56" i="127"/>
  <c r="Y71" i="127"/>
  <c r="Y50" i="127"/>
  <c r="Y52" i="127"/>
  <c r="Y26" i="127"/>
  <c r="Y41" i="127"/>
  <c r="Y36" i="127"/>
  <c r="Y63" i="127"/>
  <c r="Y54" i="127"/>
  <c r="Y65" i="127"/>
  <c r="Y68" i="127"/>
  <c r="Y69" i="127"/>
  <c r="Y57" i="127"/>
  <c r="Y64" i="127"/>
  <c r="Y60" i="127"/>
  <c r="Y33" i="127"/>
  <c r="Y46" i="127"/>
  <c r="Y32" i="127"/>
  <c r="Y29" i="127"/>
  <c r="Y61" i="127"/>
  <c r="Y67" i="127"/>
  <c r="AS81" i="103"/>
  <c r="AR83" i="103"/>
  <c r="O41" i="127"/>
  <c r="O8" i="127"/>
  <c r="O63" i="127"/>
  <c r="O56" i="127"/>
  <c r="O28" i="127"/>
  <c r="O33" i="127"/>
  <c r="O30" i="127"/>
  <c r="O47" i="127"/>
  <c r="O60" i="127"/>
  <c r="O58" i="127"/>
  <c r="O65" i="127"/>
  <c r="T74" i="127"/>
  <c r="O27" i="127"/>
  <c r="O70" i="127"/>
  <c r="O59" i="127"/>
  <c r="O71" i="127"/>
  <c r="O64" i="127"/>
  <c r="O57" i="127"/>
  <c r="O55" i="127"/>
  <c r="O78" i="127"/>
  <c r="O48" i="127"/>
  <c r="N91" i="127"/>
  <c r="O42" i="127"/>
  <c r="O36" i="127"/>
  <c r="O61" i="127"/>
  <c r="O26" i="127"/>
  <c r="O31" i="127"/>
  <c r="O67" i="127"/>
  <c r="O68" i="127"/>
  <c r="O69" i="127"/>
  <c r="O29" i="127"/>
  <c r="O44" i="127"/>
  <c r="T78" i="127"/>
  <c r="O62" i="127"/>
  <c r="O45" i="127"/>
  <c r="O46" i="127"/>
  <c r="Y78" i="127"/>
  <c r="O43" i="127"/>
  <c r="O74" i="127"/>
  <c r="O32" i="127"/>
  <c r="O66" i="127"/>
  <c r="AX72" i="103"/>
  <c r="AS33" i="103"/>
  <c r="AS72" i="103"/>
  <c r="AS18" i="103"/>
  <c r="AS56" i="103"/>
  <c r="AS27" i="103"/>
  <c r="AS65" i="103"/>
  <c r="AS59" i="103"/>
  <c r="AS30" i="103"/>
  <c r="AS55" i="103"/>
  <c r="AS23" i="103"/>
  <c r="AS17" i="103"/>
  <c r="AS47" i="103"/>
  <c r="AS42" i="103"/>
  <c r="AS54" i="103"/>
  <c r="AS60" i="103"/>
  <c r="AS31" i="103"/>
  <c r="AS69" i="103"/>
  <c r="AS67" i="103"/>
  <c r="AS58" i="103"/>
  <c r="AS63" i="103"/>
  <c r="AS14" i="103"/>
  <c r="AS45" i="103"/>
  <c r="AS24" i="103"/>
  <c r="AS26" i="103"/>
  <c r="AS64" i="103"/>
  <c r="AS11" i="103"/>
  <c r="AS41" i="103"/>
  <c r="AS19" i="103"/>
  <c r="AS62" i="103"/>
  <c r="AS71" i="103"/>
  <c r="AS8" i="103"/>
  <c r="AS25" i="103"/>
  <c r="AS16" i="103"/>
  <c r="AS43" i="103"/>
  <c r="AS44" i="103"/>
  <c r="AS22" i="103"/>
  <c r="AS68" i="103"/>
  <c r="AS15" i="103"/>
  <c r="AS9" i="103"/>
  <c r="AS32" i="103"/>
  <c r="AS66" i="103"/>
  <c r="AS28" i="103"/>
  <c r="AS20" i="103"/>
  <c r="AS29" i="103"/>
  <c r="AS46" i="103"/>
  <c r="AS10" i="103"/>
  <c r="AS21" i="103"/>
  <c r="AS57" i="103"/>
  <c r="AS13" i="103"/>
  <c r="AS12" i="103"/>
  <c r="AS70" i="103"/>
  <c r="AS61" i="103"/>
  <c r="T41" i="127"/>
  <c r="T60" i="127"/>
  <c r="T64" i="127"/>
  <c r="T57" i="127"/>
  <c r="T66" i="127"/>
  <c r="T68" i="127"/>
  <c r="T8" i="127"/>
  <c r="T62" i="127"/>
  <c r="T61" i="127"/>
  <c r="T71" i="127"/>
  <c r="T44" i="127"/>
  <c r="T46" i="127"/>
  <c r="T63" i="127"/>
  <c r="T28" i="127"/>
  <c r="T59" i="127"/>
  <c r="T58" i="127"/>
  <c r="T70" i="127"/>
  <c r="T43" i="127"/>
  <c r="T67" i="127"/>
  <c r="T26" i="127"/>
  <c r="T56" i="127"/>
  <c r="T55" i="127"/>
  <c r="T45" i="127"/>
  <c r="T54" i="127"/>
  <c r="T42" i="127"/>
  <c r="T27" i="127"/>
  <c r="T30" i="127"/>
  <c r="T31" i="127"/>
  <c r="T65" i="127"/>
  <c r="T69" i="127"/>
  <c r="T29" i="127"/>
  <c r="O79" i="127"/>
  <c r="AN41" i="103"/>
  <c r="AN8" i="103"/>
  <c r="AX51" i="103"/>
  <c r="AX39" i="103"/>
  <c r="AS51" i="103"/>
  <c r="AN34" i="103"/>
  <c r="AN28" i="103"/>
  <c r="AN47" i="103"/>
  <c r="AN35" i="103"/>
  <c r="AN42" i="103"/>
  <c r="AN59" i="103"/>
  <c r="AN12" i="103"/>
  <c r="AN30" i="103"/>
  <c r="AN21" i="103"/>
  <c r="AN36" i="103"/>
  <c r="AN51" i="103"/>
  <c r="AN27" i="103"/>
  <c r="AN48" i="103"/>
  <c r="AX53" i="103"/>
  <c r="AX34" i="103"/>
  <c r="AN38" i="103"/>
  <c r="AS40" i="103"/>
  <c r="AN25" i="103"/>
  <c r="AN26" i="103"/>
  <c r="AN24" i="103"/>
  <c r="AN54" i="103"/>
  <c r="AN32" i="103"/>
  <c r="AN63" i="103"/>
  <c r="AN16" i="103"/>
  <c r="AN52" i="103"/>
  <c r="AN31" i="103"/>
  <c r="AN46" i="103"/>
  <c r="AN61" i="103"/>
  <c r="AS38" i="103"/>
  <c r="AS53" i="103"/>
  <c r="AN70" i="103"/>
  <c r="AN68" i="103"/>
  <c r="AX37" i="103"/>
  <c r="AX50" i="103"/>
  <c r="AN37" i="103"/>
  <c r="AN18" i="103"/>
  <c r="AS48" i="103"/>
  <c r="AN9" i="103"/>
  <c r="AN58" i="103"/>
  <c r="AN10" i="103"/>
  <c r="AN67" i="103"/>
  <c r="AN45" i="103"/>
  <c r="AS35" i="103"/>
  <c r="AN56" i="103"/>
  <c r="AS50" i="103"/>
  <c r="AN69" i="103"/>
  <c r="AS37" i="103"/>
  <c r="AN50" i="103"/>
  <c r="AX52" i="103"/>
  <c r="AX35" i="103"/>
  <c r="AS39" i="103"/>
  <c r="AN72" i="103"/>
  <c r="AS34" i="103"/>
  <c r="AS52" i="103"/>
  <c r="AS36" i="103"/>
  <c r="AN13" i="103"/>
  <c r="AN62" i="103"/>
  <c r="AN14" i="103"/>
  <c r="AN71" i="103"/>
  <c r="AN57" i="103"/>
  <c r="AN60" i="103"/>
  <c r="AN43" i="103"/>
  <c r="AX40" i="103"/>
  <c r="AN19" i="103"/>
  <c r="AN15" i="103"/>
  <c r="AX49" i="103"/>
  <c r="AX36" i="103"/>
  <c r="AS49" i="103"/>
  <c r="AN49" i="103"/>
  <c r="AN23" i="103"/>
  <c r="AN29" i="103"/>
  <c r="AN17" i="103"/>
  <c r="AN66" i="103"/>
  <c r="AN20" i="103"/>
  <c r="AN44" i="103"/>
  <c r="AN65" i="103"/>
  <c r="AN11" i="103"/>
  <c r="AN64" i="103"/>
  <c r="AN22" i="103"/>
  <c r="AX38" i="103"/>
  <c r="AN40" i="103"/>
  <c r="AN55" i="103"/>
  <c r="AN33" i="103"/>
  <c r="AN39" i="103"/>
  <c r="AN81" i="103"/>
  <c r="AM83" i="103"/>
  <c r="AS79" i="103"/>
  <c r="AR81" i="108"/>
  <c r="AR83" i="108" s="1"/>
  <c r="AR84" i="108" s="1"/>
  <c r="AR86" i="108" s="1"/>
  <c r="AR87" i="108" s="1"/>
  <c r="AS43" i="108"/>
  <c r="AS48" i="108"/>
  <c r="AS62" i="108"/>
  <c r="AS57" i="108"/>
  <c r="AS56" i="108"/>
  <c r="AS9" i="108"/>
  <c r="AS61" i="108"/>
  <c r="AS25" i="108"/>
  <c r="AS28" i="108"/>
  <c r="AS65" i="108"/>
  <c r="AS36" i="108"/>
  <c r="AS49" i="108"/>
  <c r="AS27" i="108"/>
  <c r="AS70" i="108"/>
  <c r="AS24" i="108"/>
  <c r="AS31" i="108"/>
  <c r="AS44" i="108"/>
  <c r="AS45" i="108"/>
  <c r="AS32" i="108"/>
  <c r="AS29" i="108"/>
  <c r="AS66" i="108"/>
  <c r="AS68" i="108"/>
  <c r="AS46" i="108"/>
  <c r="AS19" i="108"/>
  <c r="AS11" i="108"/>
  <c r="AS52" i="108"/>
  <c r="AS42" i="108"/>
  <c r="AS10" i="108"/>
  <c r="AS16" i="108"/>
  <c r="AS18" i="108"/>
  <c r="AS17" i="108"/>
  <c r="AS26" i="108"/>
  <c r="AS30" i="108"/>
  <c r="AS12" i="108"/>
  <c r="AS41" i="108"/>
  <c r="AS64" i="108"/>
  <c r="AS51" i="108"/>
  <c r="AS13" i="108"/>
  <c r="AS71" i="108"/>
  <c r="AS14" i="108"/>
  <c r="AS67" i="108"/>
  <c r="AS72" i="108"/>
  <c r="AS15" i="108"/>
  <c r="AS21" i="108"/>
  <c r="AS20" i="108"/>
  <c r="AS69" i="108"/>
  <c r="AS60" i="108"/>
  <c r="AS59" i="108"/>
  <c r="AS54" i="108"/>
  <c r="AS55" i="108"/>
  <c r="AS58" i="108"/>
  <c r="AS47" i="108"/>
  <c r="AS8" i="108"/>
  <c r="AS63" i="108"/>
  <c r="AS33" i="108"/>
  <c r="AS49" i="86"/>
  <c r="AX49" i="86"/>
  <c r="AX51" i="86"/>
  <c r="AX36" i="86"/>
  <c r="AX52" i="86"/>
  <c r="AR90" i="108"/>
  <c r="BH72" i="103"/>
  <c r="BC41" i="103"/>
  <c r="BC72" i="103"/>
  <c r="BL77" i="103"/>
  <c r="BL89" i="103"/>
  <c r="BL90" i="103" s="1"/>
  <c r="BL81" i="103"/>
  <c r="BL83" i="103" s="1"/>
  <c r="BL84" i="103" s="1"/>
  <c r="BL86" i="103" s="1"/>
  <c r="BL87" i="103" s="1"/>
  <c r="BB77" i="127"/>
  <c r="BB81" i="127"/>
  <c r="BB83" i="127" s="1"/>
  <c r="BB84" i="127" s="1"/>
  <c r="BB86" i="127" s="1"/>
  <c r="BB87" i="127" s="1"/>
  <c r="BH35" i="103"/>
  <c r="BC50" i="103"/>
  <c r="BH50" i="103"/>
  <c r="BC39" i="103"/>
  <c r="BH39" i="103"/>
  <c r="BC35" i="103"/>
  <c r="BC37" i="103"/>
  <c r="BH40" i="103"/>
  <c r="BC34" i="103"/>
  <c r="BC53" i="103"/>
  <c r="BH49" i="103"/>
  <c r="BH51" i="103"/>
  <c r="BH34" i="103"/>
  <c r="BH52" i="103"/>
  <c r="BC38" i="103"/>
  <c r="BH36" i="103"/>
  <c r="BC52" i="103"/>
  <c r="BH37" i="103"/>
  <c r="BH38" i="103"/>
  <c r="BC40" i="103"/>
  <c r="BC51" i="103"/>
  <c r="BC36" i="103"/>
  <c r="BC49" i="103"/>
  <c r="BH53" i="103"/>
  <c r="AI74" i="127"/>
  <c r="AN74" i="127"/>
  <c r="AX51" i="127"/>
  <c r="AX52" i="127"/>
  <c r="AN48" i="127"/>
  <c r="AS52" i="127"/>
  <c r="AN52" i="127"/>
  <c r="AI52" i="127"/>
  <c r="AN36" i="127"/>
  <c r="AI51" i="127"/>
  <c r="AI48" i="127"/>
  <c r="AN51" i="127"/>
  <c r="AS51" i="127"/>
  <c r="AS50" i="127"/>
  <c r="AX50" i="127"/>
  <c r="AI50" i="127"/>
  <c r="AI36" i="127"/>
  <c r="AN50" i="127"/>
  <c r="AN78" i="127"/>
  <c r="AS78" i="127"/>
  <c r="AI78" i="127"/>
  <c r="BB82" i="86"/>
  <c r="BL85" i="87"/>
  <c r="BJ35" i="87"/>
  <c r="Y68" i="89"/>
  <c r="Y64" i="89"/>
  <c r="Y60" i="89"/>
  <c r="Y56" i="89"/>
  <c r="Y49" i="89"/>
  <c r="Y47" i="89"/>
  <c r="Y43" i="89"/>
  <c r="Y30" i="89"/>
  <c r="Y26" i="89"/>
  <c r="Y22" i="89"/>
  <c r="Y19" i="89"/>
  <c r="Y15" i="89"/>
  <c r="Y11" i="89"/>
  <c r="Y72" i="89"/>
  <c r="Y70" i="89"/>
  <c r="Y66" i="89"/>
  <c r="Y62" i="89"/>
  <c r="Y58" i="89"/>
  <c r="Y52" i="89"/>
  <c r="Y45" i="89"/>
  <c r="Y28" i="89"/>
  <c r="Y24" i="89"/>
  <c r="Y23" i="89"/>
  <c r="Y21" i="89"/>
  <c r="Y17" i="89"/>
  <c r="Y13" i="89"/>
  <c r="Y9" i="89"/>
  <c r="Y12" i="89"/>
  <c r="Y20" i="89"/>
  <c r="Y31" i="89"/>
  <c r="Y48" i="89"/>
  <c r="Y57" i="89"/>
  <c r="Y65" i="89"/>
  <c r="Y10" i="89"/>
  <c r="Y18" i="89"/>
  <c r="Y29" i="89"/>
  <c r="Y41" i="89"/>
  <c r="Y54" i="89"/>
  <c r="Y63" i="89"/>
  <c r="Y71" i="89"/>
  <c r="Y8" i="89"/>
  <c r="Y55" i="89"/>
  <c r="Y16" i="89"/>
  <c r="Y27" i="89"/>
  <c r="Y33" i="89"/>
  <c r="Y44" i="89"/>
  <c r="Y50" i="89"/>
  <c r="Y61" i="89"/>
  <c r="Y69" i="89"/>
  <c r="Y14" i="89"/>
  <c r="Y25" i="89"/>
  <c r="Y32" i="89"/>
  <c r="Y46" i="89"/>
  <c r="Y59" i="89"/>
  <c r="Y67" i="89"/>
  <c r="Y51" i="89"/>
  <c r="Y42" i="89"/>
  <c r="BB85" i="86"/>
  <c r="BQ73" i="96"/>
  <c r="BU73" i="96" s="1"/>
  <c r="BU74" i="96"/>
  <c r="BG90" i="107"/>
  <c r="F68" i="117"/>
  <c r="F12" i="117"/>
  <c r="BC43" i="107"/>
  <c r="BC21" i="107"/>
  <c r="BC19" i="107"/>
  <c r="BC14" i="107"/>
  <c r="BC12" i="107"/>
  <c r="BC10" i="107"/>
  <c r="BC23" i="107"/>
  <c r="BC16" i="107"/>
  <c r="BC49" i="107"/>
  <c r="BC42" i="107"/>
  <c r="BC22" i="107"/>
  <c r="BC20" i="107"/>
  <c r="BC18" i="107"/>
  <c r="BC13" i="107"/>
  <c r="BC11" i="107"/>
  <c r="BC9" i="107"/>
  <c r="BC65" i="107"/>
  <c r="BC32" i="107"/>
  <c r="BC62" i="107"/>
  <c r="BC55" i="107"/>
  <c r="BC47" i="107"/>
  <c r="BC15" i="107"/>
  <c r="BC48" i="107"/>
  <c r="BC69" i="107"/>
  <c r="BC45" i="107"/>
  <c r="BC66" i="107"/>
  <c r="BC33" i="107"/>
  <c r="BC59" i="107"/>
  <c r="BC79" i="107"/>
  <c r="BC56" i="107"/>
  <c r="BC57" i="107"/>
  <c r="BC17" i="107"/>
  <c r="BC27" i="107"/>
  <c r="BC25" i="107"/>
  <c r="BC54" i="107"/>
  <c r="BC70" i="107"/>
  <c r="BC63" i="107"/>
  <c r="BC60" i="107"/>
  <c r="BC31" i="107"/>
  <c r="BC61" i="107"/>
  <c r="BC28" i="107"/>
  <c r="BC58" i="107"/>
  <c r="BC26" i="107"/>
  <c r="BC46" i="107"/>
  <c r="BC67" i="107"/>
  <c r="BC30" i="107"/>
  <c r="BC64" i="107"/>
  <c r="BC44" i="107"/>
  <c r="BC29" i="107"/>
  <c r="BC71" i="107"/>
  <c r="BC68" i="107"/>
  <c r="BC24" i="107"/>
  <c r="BC41" i="107"/>
  <c r="BC8" i="107"/>
  <c r="T71" i="89"/>
  <c r="T66" i="89"/>
  <c r="T62" i="89"/>
  <c r="T58" i="89"/>
  <c r="T54" i="89"/>
  <c r="T49" i="89"/>
  <c r="T45" i="89"/>
  <c r="T41" i="89"/>
  <c r="T30" i="89"/>
  <c r="T69" i="89"/>
  <c r="T64" i="89"/>
  <c r="T60" i="89"/>
  <c r="T56" i="89"/>
  <c r="T51" i="89"/>
  <c r="T47" i="89"/>
  <c r="T43" i="89"/>
  <c r="T32" i="89"/>
  <c r="T28" i="89"/>
  <c r="T61" i="89"/>
  <c r="T16" i="89"/>
  <c r="T68" i="89"/>
  <c r="T59" i="89"/>
  <c r="T50" i="89"/>
  <c r="T42" i="89"/>
  <c r="T27" i="89"/>
  <c r="T23" i="89"/>
  <c r="T19" i="89"/>
  <c r="T15" i="89"/>
  <c r="T11" i="89"/>
  <c r="T67" i="89"/>
  <c r="T65" i="89"/>
  <c r="T48" i="89"/>
  <c r="T33" i="89"/>
  <c r="T26" i="89"/>
  <c r="T22" i="89"/>
  <c r="T18" i="89"/>
  <c r="T10" i="89"/>
  <c r="T57" i="89"/>
  <c r="T14" i="89"/>
  <c r="T72" i="89"/>
  <c r="T63" i="89"/>
  <c r="T55" i="89"/>
  <c r="T46" i="89"/>
  <c r="T31" i="89"/>
  <c r="T25" i="89"/>
  <c r="T21" i="89"/>
  <c r="T17" i="89"/>
  <c r="T13" i="89"/>
  <c r="T9" i="89"/>
  <c r="T70" i="89"/>
  <c r="T52" i="89"/>
  <c r="T44" i="89"/>
  <c r="T29" i="89"/>
  <c r="T24" i="89"/>
  <c r="T20" i="89"/>
  <c r="T12" i="89"/>
  <c r="T8" i="89"/>
  <c r="AX77" i="107"/>
  <c r="AX80" i="107"/>
  <c r="AX71" i="107"/>
  <c r="AX67" i="107"/>
  <c r="AX63" i="107"/>
  <c r="AX59" i="107"/>
  <c r="AX55" i="107"/>
  <c r="AX46" i="107"/>
  <c r="AX42" i="107"/>
  <c r="AX31" i="107"/>
  <c r="AX27" i="107"/>
  <c r="AX23" i="107"/>
  <c r="AX19" i="107"/>
  <c r="AX11" i="107"/>
  <c r="AX64" i="107"/>
  <c r="AX70" i="107"/>
  <c r="AX66" i="107"/>
  <c r="AX62" i="107"/>
  <c r="AX58" i="107"/>
  <c r="AX54" i="107"/>
  <c r="AX45" i="107"/>
  <c r="AX41" i="107"/>
  <c r="AX30" i="107"/>
  <c r="AX26" i="107"/>
  <c r="AX22" i="107"/>
  <c r="AX18" i="107"/>
  <c r="AX14" i="107"/>
  <c r="AX10" i="107"/>
  <c r="AX68" i="107"/>
  <c r="AX56" i="107"/>
  <c r="AX43" i="107"/>
  <c r="AX28" i="107"/>
  <c r="AX20" i="107"/>
  <c r="AX78" i="107"/>
  <c r="AX69" i="107"/>
  <c r="AX65" i="107"/>
  <c r="AX61" i="107"/>
  <c r="AX57" i="107"/>
  <c r="AX48" i="107"/>
  <c r="AX44" i="107"/>
  <c r="AX33" i="107"/>
  <c r="AX29" i="107"/>
  <c r="AX25" i="107"/>
  <c r="AX21" i="107"/>
  <c r="AX17" i="107"/>
  <c r="AX13" i="107"/>
  <c r="AX9" i="107"/>
  <c r="AX60" i="107"/>
  <c r="AX47" i="107"/>
  <c r="AX32" i="107"/>
  <c r="AX24" i="107"/>
  <c r="AX12" i="107"/>
  <c r="AX16" i="107"/>
  <c r="AX15" i="107"/>
  <c r="AX8" i="107"/>
  <c r="BH77" i="102"/>
  <c r="BH69" i="102"/>
  <c r="BH65" i="102"/>
  <c r="BH61" i="102"/>
  <c r="BH57" i="102"/>
  <c r="BH52" i="102"/>
  <c r="BH48" i="102"/>
  <c r="BH44" i="102"/>
  <c r="BH12" i="102"/>
  <c r="BH30" i="102"/>
  <c r="BH26" i="102"/>
  <c r="BH22" i="102"/>
  <c r="BH18" i="102"/>
  <c r="BH14" i="102"/>
  <c r="BH9" i="102"/>
  <c r="BH72" i="102"/>
  <c r="BH68" i="102"/>
  <c r="BH64" i="102"/>
  <c r="BH60" i="102"/>
  <c r="BH56" i="102"/>
  <c r="BH51" i="102"/>
  <c r="BH47" i="102"/>
  <c r="BH43" i="102"/>
  <c r="BH31" i="102"/>
  <c r="BH29" i="102"/>
  <c r="BH25" i="102"/>
  <c r="BH21" i="102"/>
  <c r="BH17" i="102"/>
  <c r="BH13" i="102"/>
  <c r="BH8" i="102"/>
  <c r="BH71" i="102"/>
  <c r="BH67" i="102"/>
  <c r="BH63" i="102"/>
  <c r="BH59" i="102"/>
  <c r="BH55" i="102"/>
  <c r="BH50" i="102"/>
  <c r="BH46" i="102"/>
  <c r="BH42" i="102"/>
  <c r="BH33" i="102"/>
  <c r="BH66" i="102"/>
  <c r="BH49" i="102"/>
  <c r="BH28" i="102"/>
  <c r="BH20" i="102"/>
  <c r="BH11" i="102"/>
  <c r="BH78" i="102"/>
  <c r="BH41" i="102"/>
  <c r="BH16" i="102"/>
  <c r="BH54" i="102"/>
  <c r="BH23" i="102"/>
  <c r="BH62" i="102"/>
  <c r="BH45" i="102"/>
  <c r="BH27" i="102"/>
  <c r="BH19" i="102"/>
  <c r="BH10" i="102"/>
  <c r="BH58" i="102"/>
  <c r="BH24" i="102"/>
  <c r="BH70" i="102"/>
  <c r="BH32" i="102"/>
  <c r="BH15" i="102"/>
  <c r="BH79" i="102"/>
  <c r="AX80" i="91"/>
  <c r="AX74" i="91"/>
  <c r="AX73" i="91"/>
  <c r="AX29" i="91"/>
  <c r="AX18" i="91"/>
  <c r="AX10" i="91"/>
  <c r="AX52" i="91"/>
  <c r="AX24" i="91"/>
  <c r="AX31" i="91"/>
  <c r="AX20" i="91"/>
  <c r="AX12" i="91"/>
  <c r="AX33" i="91"/>
  <c r="AX22" i="91"/>
  <c r="AX14" i="91"/>
  <c r="AX27" i="91"/>
  <c r="AX16" i="91"/>
  <c r="AX46" i="91"/>
  <c r="AX25" i="91"/>
  <c r="AX47" i="91"/>
  <c r="AX67" i="91"/>
  <c r="AX19" i="91"/>
  <c r="AX70" i="91"/>
  <c r="AX56" i="91"/>
  <c r="AX11" i="91"/>
  <c r="AX32" i="91"/>
  <c r="AX61" i="91"/>
  <c r="AX17" i="91"/>
  <c r="AX57" i="91"/>
  <c r="AX54" i="91"/>
  <c r="AX28" i="91"/>
  <c r="AX55" i="91"/>
  <c r="AX71" i="91"/>
  <c r="AX30" i="91"/>
  <c r="AX15" i="91"/>
  <c r="AX44" i="91"/>
  <c r="AX60" i="91"/>
  <c r="AX62" i="91"/>
  <c r="AX41" i="91"/>
  <c r="AX65" i="91"/>
  <c r="AX78" i="91"/>
  <c r="AX43" i="91"/>
  <c r="AX58" i="91"/>
  <c r="AX50" i="91"/>
  <c r="AX21" i="91"/>
  <c r="AX51" i="91"/>
  <c r="AX66" i="91"/>
  <c r="AX59" i="91"/>
  <c r="AX42" i="91"/>
  <c r="AX23" i="91"/>
  <c r="AX48" i="91"/>
  <c r="AX64" i="91"/>
  <c r="AX13" i="91"/>
  <c r="AX45" i="91"/>
  <c r="AX69" i="91"/>
  <c r="AX9" i="91"/>
  <c r="AX63" i="91"/>
  <c r="AX79" i="91"/>
  <c r="AX26" i="91"/>
  <c r="AX68" i="91"/>
  <c r="AX8" i="91"/>
  <c r="AX77" i="91"/>
  <c r="BL89" i="102"/>
  <c r="BL90" i="102" s="1"/>
  <c r="BG87" i="102"/>
  <c r="K8" i="117"/>
  <c r="K54" i="117"/>
  <c r="K67" i="117"/>
  <c r="K59" i="117"/>
  <c r="K72" i="117"/>
  <c r="K58" i="117"/>
  <c r="K42" i="117"/>
  <c r="K13" i="117"/>
  <c r="K16" i="117"/>
  <c r="K19" i="117"/>
  <c r="K21" i="117"/>
  <c r="K29" i="117"/>
  <c r="K41" i="117"/>
  <c r="K64" i="117"/>
  <c r="K33" i="117"/>
  <c r="K55" i="117"/>
  <c r="K49" i="117"/>
  <c r="K20" i="117"/>
  <c r="K71" i="117"/>
  <c r="K23" i="117"/>
  <c r="K30" i="117"/>
  <c r="K68" i="117"/>
  <c r="K65" i="117"/>
  <c r="K57" i="117"/>
  <c r="K44" i="117"/>
  <c r="K52" i="117"/>
  <c r="K62" i="117"/>
  <c r="K36" i="117"/>
  <c r="K14" i="117"/>
  <c r="K9" i="117"/>
  <c r="K15" i="117"/>
  <c r="K28" i="117"/>
  <c r="K47" i="117"/>
  <c r="K22" i="117"/>
  <c r="K31" i="117"/>
  <c r="K56" i="117"/>
  <c r="K63" i="117"/>
  <c r="K48" i="117"/>
  <c r="K32" i="117"/>
  <c r="K12" i="117"/>
  <c r="K11" i="117"/>
  <c r="K43" i="117"/>
  <c r="K25" i="117"/>
  <c r="K61" i="117"/>
  <c r="K17" i="117"/>
  <c r="K26" i="117"/>
  <c r="K24" i="117"/>
  <c r="K46" i="117"/>
  <c r="K60" i="117"/>
  <c r="K51" i="117"/>
  <c r="K18" i="117"/>
  <c r="K69" i="117"/>
  <c r="K27" i="117"/>
  <c r="K45" i="117"/>
  <c r="K66" i="117"/>
  <c r="K10" i="117"/>
  <c r="K70" i="117"/>
  <c r="AS72" i="107"/>
  <c r="AX72" i="107"/>
  <c r="BH36" i="102"/>
  <c r="F38" i="117"/>
  <c r="F66" i="117"/>
  <c r="F58" i="117"/>
  <c r="F43" i="117"/>
  <c r="F59" i="117"/>
  <c r="F33" i="117"/>
  <c r="F31" i="117"/>
  <c r="F15" i="117"/>
  <c r="F42" i="117"/>
  <c r="F8" i="117"/>
  <c r="F72" i="117"/>
  <c r="F62" i="117"/>
  <c r="F52" i="117"/>
  <c r="F47" i="117"/>
  <c r="F63" i="117"/>
  <c r="F14" i="117"/>
  <c r="F19" i="117"/>
  <c r="F11" i="117"/>
  <c r="F55" i="117"/>
  <c r="F64" i="117"/>
  <c r="F40" i="117"/>
  <c r="F20" i="117"/>
  <c r="F13" i="117"/>
  <c r="F24" i="117"/>
  <c r="F41" i="117"/>
  <c r="F30" i="117"/>
  <c r="F70" i="117"/>
  <c r="F28" i="117"/>
  <c r="F32" i="117"/>
  <c r="F54" i="117"/>
  <c r="F46" i="117"/>
  <c r="F18" i="117"/>
  <c r="F29" i="117"/>
  <c r="F25" i="117"/>
  <c r="F50" i="117"/>
  <c r="F60" i="117"/>
  <c r="F67" i="117"/>
  <c r="F10" i="117"/>
  <c r="F9" i="117"/>
  <c r="F57" i="117"/>
  <c r="F65" i="117"/>
  <c r="F51" i="117"/>
  <c r="F69" i="117"/>
  <c r="F22" i="117"/>
  <c r="F56" i="117"/>
  <c r="F21" i="117"/>
  <c r="F61" i="117"/>
  <c r="F48" i="117"/>
  <c r="F36" i="117"/>
  <c r="F17" i="117"/>
  <c r="F26" i="117"/>
  <c r="F27" i="117"/>
  <c r="F16" i="117"/>
  <c r="F23" i="117"/>
  <c r="F35" i="117"/>
  <c r="F49" i="117"/>
  <c r="F71" i="117"/>
  <c r="F44" i="117"/>
  <c r="F39" i="117"/>
  <c r="F45" i="117"/>
  <c r="U17" i="117"/>
  <c r="U18" i="117"/>
  <c r="U10" i="117"/>
  <c r="U22" i="117"/>
  <c r="U31" i="117"/>
  <c r="U24" i="117"/>
  <c r="U14" i="117"/>
  <c r="U26" i="117"/>
  <c r="U30" i="117"/>
  <c r="U15" i="117"/>
  <c r="U16" i="117"/>
  <c r="U21" i="117"/>
  <c r="U29" i="117"/>
  <c r="U32" i="117"/>
  <c r="U28" i="117"/>
  <c r="U11" i="117"/>
  <c r="U13" i="117"/>
  <c r="U23" i="117"/>
  <c r="U12" i="117"/>
  <c r="U27" i="117"/>
  <c r="U8" i="117"/>
  <c r="U25" i="117"/>
  <c r="U9" i="117"/>
  <c r="U19" i="117"/>
  <c r="U33" i="117"/>
  <c r="U20" i="117"/>
  <c r="AS77" i="117"/>
  <c r="AS89" i="117"/>
  <c r="AS81" i="117"/>
  <c r="AS83" i="117" s="1"/>
  <c r="AS84" i="117" s="1"/>
  <c r="AS86" i="117" s="1"/>
  <c r="AS87" i="117" s="1"/>
  <c r="AS78" i="107"/>
  <c r="AS79" i="107"/>
  <c r="AX49" i="107"/>
  <c r="K79" i="117"/>
  <c r="F79" i="117"/>
  <c r="BB93" i="102"/>
  <c r="AS71" i="91"/>
  <c r="AS67" i="91"/>
  <c r="AS63" i="91"/>
  <c r="AS59" i="91"/>
  <c r="AS55" i="91"/>
  <c r="AS50" i="91"/>
  <c r="AS45" i="91"/>
  <c r="AS41" i="91"/>
  <c r="AS30" i="91"/>
  <c r="AS26" i="91"/>
  <c r="AS22" i="91"/>
  <c r="AS18" i="91"/>
  <c r="AS14" i="91"/>
  <c r="AS10" i="91"/>
  <c r="AS78" i="91"/>
  <c r="AS65" i="91"/>
  <c r="AS57" i="91"/>
  <c r="AS47" i="91"/>
  <c r="AS32" i="91"/>
  <c r="AS24" i="91"/>
  <c r="AS16" i="91"/>
  <c r="AS8" i="91"/>
  <c r="AS68" i="91"/>
  <c r="AS60" i="91"/>
  <c r="AS51" i="91"/>
  <c r="AS42" i="91"/>
  <c r="AS23" i="91"/>
  <c r="AS70" i="91"/>
  <c r="AS66" i="91"/>
  <c r="AS62" i="91"/>
  <c r="AS58" i="91"/>
  <c r="AS54" i="91"/>
  <c r="AS48" i="91"/>
  <c r="AS44" i="91"/>
  <c r="AS33" i="91"/>
  <c r="AS29" i="91"/>
  <c r="AS25" i="91"/>
  <c r="AS21" i="91"/>
  <c r="AS17" i="91"/>
  <c r="AS13" i="91"/>
  <c r="AS9" i="91"/>
  <c r="AS69" i="91"/>
  <c r="AS61" i="91"/>
  <c r="AS52" i="91"/>
  <c r="AS43" i="91"/>
  <c r="AS28" i="91"/>
  <c r="AS20" i="91"/>
  <c r="AS12" i="91"/>
  <c r="AS64" i="91"/>
  <c r="AS56" i="91"/>
  <c r="AS46" i="91"/>
  <c r="AS31" i="91"/>
  <c r="AS27" i="91"/>
  <c r="AS19" i="91"/>
  <c r="AS15" i="91"/>
  <c r="AS11" i="91"/>
  <c r="BC78" i="102"/>
  <c r="BC71" i="102"/>
  <c r="BC36" i="102"/>
  <c r="BC72" i="102"/>
  <c r="BC56" i="102"/>
  <c r="BC23" i="102"/>
  <c r="BC58" i="102"/>
  <c r="BC49" i="102"/>
  <c r="BC21" i="102"/>
  <c r="BC13" i="102"/>
  <c r="BC28" i="102"/>
  <c r="BC55" i="102"/>
  <c r="BC33" i="102"/>
  <c r="BC60" i="102"/>
  <c r="BC10" i="102"/>
  <c r="BC14" i="102"/>
  <c r="BC66" i="102"/>
  <c r="BC69" i="102"/>
  <c r="BC42" i="102"/>
  <c r="BC63" i="102"/>
  <c r="BC44" i="102"/>
  <c r="BC12" i="102"/>
  <c r="BC43" i="102"/>
  <c r="BC64" i="102"/>
  <c r="BC18" i="102"/>
  <c r="BC70" i="102"/>
  <c r="BC31" i="102"/>
  <c r="BC11" i="102"/>
  <c r="BC25" i="102"/>
  <c r="BC46" i="102"/>
  <c r="BC67" i="102"/>
  <c r="BC50" i="102"/>
  <c r="BC20" i="102"/>
  <c r="BC47" i="102"/>
  <c r="BC68" i="102"/>
  <c r="BC24" i="102"/>
  <c r="BC51" i="102"/>
  <c r="BC48" i="102"/>
  <c r="BC15" i="102"/>
  <c r="BC29" i="102"/>
  <c r="BC52" i="102"/>
  <c r="BC17" i="102"/>
  <c r="BC61" i="102"/>
  <c r="BC26" i="102"/>
  <c r="BC57" i="102"/>
  <c r="BC45" i="102"/>
  <c r="BC62" i="102"/>
  <c r="BC19" i="102"/>
  <c r="BC59" i="102"/>
  <c r="BC27" i="102"/>
  <c r="BC30" i="102"/>
  <c r="BC32" i="102"/>
  <c r="BC9" i="102"/>
  <c r="BC22" i="102"/>
  <c r="BC65" i="102"/>
  <c r="BC41" i="102"/>
  <c r="BC54" i="102"/>
  <c r="BC16" i="102"/>
  <c r="BC8" i="102"/>
  <c r="AS77" i="91"/>
  <c r="BM53" i="96"/>
  <c r="BM25" i="96"/>
  <c r="BM19" i="96"/>
  <c r="BM17" i="96"/>
  <c r="BM69" i="96"/>
  <c r="BM33" i="96"/>
  <c r="BM27" i="96"/>
  <c r="BM21" i="96"/>
  <c r="BM44" i="96"/>
  <c r="BM72" i="96"/>
  <c r="BM61" i="96"/>
  <c r="BM51" i="96"/>
  <c r="BM49" i="96"/>
  <c r="BM29" i="96"/>
  <c r="BM71" i="96"/>
  <c r="BM15" i="96"/>
  <c r="BM41" i="96"/>
  <c r="BM16" i="96"/>
  <c r="BM66" i="96"/>
  <c r="BM26" i="96"/>
  <c r="BM47" i="96"/>
  <c r="BM14" i="96"/>
  <c r="BM45" i="96"/>
  <c r="BM30" i="96"/>
  <c r="BM55" i="96"/>
  <c r="BM57" i="96"/>
  <c r="BM22" i="96"/>
  <c r="BM56" i="96"/>
  <c r="BM70" i="96"/>
  <c r="BM23" i="96"/>
  <c r="BM24" i="96"/>
  <c r="BM58" i="96"/>
  <c r="BM10" i="96"/>
  <c r="BM43" i="96"/>
  <c r="BM59" i="96"/>
  <c r="BM68" i="96"/>
  <c r="BM28" i="96"/>
  <c r="BM60" i="96"/>
  <c r="BM42" i="96"/>
  <c r="BM48" i="96"/>
  <c r="BM11" i="96"/>
  <c r="BM65" i="96"/>
  <c r="BM20" i="96"/>
  <c r="BM12" i="96"/>
  <c r="BM46" i="96"/>
  <c r="BM62" i="96"/>
  <c r="BM9" i="96"/>
  <c r="BM31" i="96"/>
  <c r="BM63" i="96"/>
  <c r="BM8" i="96"/>
  <c r="BM32" i="96"/>
  <c r="BM52" i="96"/>
  <c r="BM13" i="96"/>
  <c r="BM67" i="96"/>
  <c r="BM18" i="96"/>
  <c r="BM64" i="96"/>
  <c r="BM79" i="96"/>
  <c r="BM54" i="96"/>
  <c r="BM50" i="96"/>
  <c r="BC79" i="102"/>
  <c r="AS65" i="107"/>
  <c r="AS45" i="107"/>
  <c r="AS22" i="107"/>
  <c r="AS62" i="107"/>
  <c r="AS64" i="107"/>
  <c r="AS44" i="107"/>
  <c r="AS21" i="107"/>
  <c r="AS66" i="107"/>
  <c r="AS19" i="107"/>
  <c r="AS59" i="107"/>
  <c r="AS32" i="107"/>
  <c r="AS16" i="107"/>
  <c r="AS54" i="107"/>
  <c r="AS61" i="107"/>
  <c r="AS41" i="107"/>
  <c r="AS18" i="107"/>
  <c r="AS31" i="107"/>
  <c r="AS60" i="107"/>
  <c r="AS33" i="107"/>
  <c r="AS17" i="107"/>
  <c r="AS58" i="107"/>
  <c r="AS71" i="107"/>
  <c r="AS55" i="107"/>
  <c r="AS28" i="107"/>
  <c r="AS12" i="107"/>
  <c r="AS46" i="107"/>
  <c r="AS57" i="107"/>
  <c r="AS30" i="107"/>
  <c r="AS14" i="107"/>
  <c r="AS11" i="107"/>
  <c r="AS56" i="107"/>
  <c r="AS29" i="107"/>
  <c r="AS13" i="107"/>
  <c r="AS42" i="107"/>
  <c r="AS67" i="107"/>
  <c r="AS47" i="107"/>
  <c r="AS24" i="107"/>
  <c r="AS8" i="107"/>
  <c r="AS27" i="107"/>
  <c r="AS69" i="107"/>
  <c r="AS49" i="107"/>
  <c r="AS26" i="107"/>
  <c r="AS10" i="107"/>
  <c r="AS68" i="107"/>
  <c r="AS48" i="107"/>
  <c r="AS25" i="107"/>
  <c r="AS23" i="107"/>
  <c r="AS63" i="107"/>
  <c r="AS43" i="107"/>
  <c r="AS20" i="107"/>
  <c r="AS70" i="107"/>
  <c r="AS15" i="107"/>
  <c r="AS79" i="91"/>
  <c r="AS80" i="91"/>
  <c r="AS73" i="91"/>
  <c r="AS74" i="91"/>
  <c r="BQ101" i="96"/>
  <c r="I93" i="108"/>
  <c r="AI79" i="107"/>
  <c r="AN62" i="107"/>
  <c r="AN29" i="107"/>
  <c r="AN13" i="107"/>
  <c r="AN30" i="107"/>
  <c r="AN65" i="107"/>
  <c r="AN43" i="107"/>
  <c r="AN20" i="107"/>
  <c r="AN63" i="107"/>
  <c r="AN68" i="107"/>
  <c r="AN46" i="107"/>
  <c r="AN23" i="107"/>
  <c r="AN71" i="107"/>
  <c r="AN10" i="107"/>
  <c r="AN58" i="107"/>
  <c r="AN25" i="107"/>
  <c r="AN9" i="107"/>
  <c r="AN26" i="107"/>
  <c r="AN61" i="107"/>
  <c r="AN32" i="107"/>
  <c r="AN16" i="107"/>
  <c r="AN45" i="107"/>
  <c r="AN64" i="107"/>
  <c r="AN42" i="107"/>
  <c r="AN19" i="107"/>
  <c r="AN59" i="107"/>
  <c r="AN54" i="107"/>
  <c r="AN70" i="107"/>
  <c r="AN44" i="107"/>
  <c r="AN21" i="107"/>
  <c r="AN67" i="107"/>
  <c r="AN14" i="107"/>
  <c r="AN57" i="107"/>
  <c r="AN28" i="107"/>
  <c r="AN12" i="107"/>
  <c r="AN22" i="107"/>
  <c r="AN60" i="107"/>
  <c r="AN31" i="107"/>
  <c r="AN15" i="107"/>
  <c r="AN41" i="107"/>
  <c r="AN66" i="107"/>
  <c r="AN33" i="107"/>
  <c r="AN17" i="107"/>
  <c r="AN55" i="107"/>
  <c r="AN69" i="107"/>
  <c r="AN47" i="107"/>
  <c r="AN24" i="107"/>
  <c r="AN8" i="107"/>
  <c r="AN56" i="107"/>
  <c r="AN27" i="107"/>
  <c r="AN11" i="107"/>
  <c r="AN18" i="107"/>
  <c r="O79" i="113"/>
  <c r="AD78" i="108"/>
  <c r="AI78" i="108"/>
  <c r="AI33" i="108"/>
  <c r="AI31" i="108"/>
  <c r="AI18" i="108"/>
  <c r="AI27" i="108"/>
  <c r="AI28" i="108"/>
  <c r="AI26" i="108"/>
  <c r="AI24" i="108"/>
  <c r="AI25" i="108"/>
  <c r="AI32" i="108"/>
  <c r="AI29" i="108"/>
  <c r="AI23" i="108"/>
  <c r="AI11" i="108"/>
  <c r="AI16" i="108"/>
  <c r="AI46" i="108"/>
  <c r="AI68" i="108"/>
  <c r="AI13" i="108"/>
  <c r="AI47" i="108"/>
  <c r="AI69" i="108"/>
  <c r="AI63" i="108"/>
  <c r="AI62" i="108"/>
  <c r="AI55" i="108"/>
  <c r="AI20" i="108"/>
  <c r="AI56" i="108"/>
  <c r="AI15" i="108"/>
  <c r="AI17" i="108"/>
  <c r="AI57" i="108"/>
  <c r="AI19" i="108"/>
  <c r="AI10" i="108"/>
  <c r="AI44" i="108"/>
  <c r="AI66" i="108"/>
  <c r="AI9" i="108"/>
  <c r="AI42" i="108"/>
  <c r="AI71" i="108"/>
  <c r="AI30" i="108"/>
  <c r="AI60" i="108"/>
  <c r="AI45" i="108"/>
  <c r="AI21" i="108"/>
  <c r="AI61" i="108"/>
  <c r="AI41" i="108"/>
  <c r="AI14" i="108"/>
  <c r="AI48" i="108"/>
  <c r="AI70" i="108"/>
  <c r="AI12" i="108"/>
  <c r="AI64" i="108"/>
  <c r="AI67" i="108"/>
  <c r="AI43" i="108"/>
  <c r="AI65" i="108"/>
  <c r="AI59" i="108"/>
  <c r="AI22" i="108"/>
  <c r="AI58" i="108"/>
  <c r="AI54" i="108"/>
  <c r="AI8" i="108"/>
  <c r="AI72" i="107"/>
  <c r="AN72" i="107"/>
  <c r="AI78" i="107"/>
  <c r="AN78" i="107"/>
  <c r="AN48" i="107"/>
  <c r="BH52" i="96"/>
  <c r="BH50" i="96"/>
  <c r="BH49" i="96"/>
  <c r="BH17" i="96"/>
  <c r="BH33" i="96"/>
  <c r="BH31" i="96"/>
  <c r="BH14" i="96"/>
  <c r="BH12" i="96"/>
  <c r="BH10" i="96"/>
  <c r="BH72" i="96"/>
  <c r="BH51" i="96"/>
  <c r="BH53" i="96"/>
  <c r="BH32" i="96"/>
  <c r="BH15" i="96"/>
  <c r="BH13" i="96"/>
  <c r="BH11" i="96"/>
  <c r="BH9" i="96"/>
  <c r="BH22" i="96"/>
  <c r="BH46" i="96"/>
  <c r="BH67" i="96"/>
  <c r="BH16" i="96"/>
  <c r="BH41" i="96"/>
  <c r="BH64" i="96"/>
  <c r="BH20" i="96"/>
  <c r="BH48" i="96"/>
  <c r="BH69" i="96"/>
  <c r="BH45" i="96"/>
  <c r="BH66" i="96"/>
  <c r="BH26" i="96"/>
  <c r="BH55" i="96"/>
  <c r="BH71" i="96"/>
  <c r="BH19" i="96"/>
  <c r="BH47" i="96"/>
  <c r="BH68" i="96"/>
  <c r="BH24" i="96"/>
  <c r="BH57" i="96"/>
  <c r="BH21" i="96"/>
  <c r="BH54" i="96"/>
  <c r="BH70" i="96"/>
  <c r="BH30" i="96"/>
  <c r="BH59" i="96"/>
  <c r="BH23" i="96"/>
  <c r="BH56" i="96"/>
  <c r="BH27" i="96"/>
  <c r="BH44" i="96"/>
  <c r="BH62" i="96"/>
  <c r="BH63" i="96"/>
  <c r="BH58" i="96"/>
  <c r="BH43" i="96"/>
  <c r="BH18" i="96"/>
  <c r="BH60" i="96"/>
  <c r="BH61" i="96"/>
  <c r="BH25" i="96"/>
  <c r="BH28" i="96"/>
  <c r="BH42" i="96"/>
  <c r="BH79" i="96"/>
  <c r="BH65" i="96"/>
  <c r="BH29" i="96"/>
  <c r="BH8" i="96"/>
  <c r="BQ35" i="96"/>
  <c r="BU35" i="96" s="1"/>
  <c r="BU36" i="96"/>
  <c r="AD9" i="108"/>
  <c r="AD56" i="108"/>
  <c r="AD28" i="108"/>
  <c r="AD12" i="108"/>
  <c r="AD21" i="108"/>
  <c r="AD59" i="108"/>
  <c r="AD31" i="108"/>
  <c r="AD15" i="108"/>
  <c r="AD29" i="108"/>
  <c r="AD62" i="108"/>
  <c r="AD41" i="108"/>
  <c r="AD18" i="108"/>
  <c r="AD48" i="108"/>
  <c r="AD58" i="108"/>
  <c r="AD33" i="108"/>
  <c r="AD32" i="108"/>
  <c r="AD68" i="108"/>
  <c r="AD47" i="108"/>
  <c r="AD24" i="108"/>
  <c r="AD8" i="108"/>
  <c r="AD71" i="108"/>
  <c r="AD55" i="108"/>
  <c r="AD27" i="108"/>
  <c r="AD11" i="108"/>
  <c r="AD17" i="108"/>
  <c r="AD30" i="108"/>
  <c r="AD14" i="108"/>
  <c r="AD64" i="108"/>
  <c r="AD43" i="108"/>
  <c r="AD20" i="108"/>
  <c r="AD61" i="108"/>
  <c r="AD67" i="108"/>
  <c r="AD46" i="108"/>
  <c r="AD23" i="108"/>
  <c r="AD65" i="108"/>
  <c r="AD70" i="108"/>
  <c r="AD54" i="108"/>
  <c r="AD26" i="108"/>
  <c r="AD10" i="108"/>
  <c r="AD25" i="108"/>
  <c r="AD60" i="108"/>
  <c r="AD42" i="108"/>
  <c r="AD45" i="108"/>
  <c r="AD66" i="108"/>
  <c r="AD13" i="108"/>
  <c r="AD16" i="108"/>
  <c r="AD19" i="108"/>
  <c r="AD22" i="108"/>
  <c r="AD44" i="108"/>
  <c r="AD57" i="108"/>
  <c r="AD69" i="108"/>
  <c r="AD63" i="108"/>
  <c r="AX67" i="102"/>
  <c r="AX50" i="102"/>
  <c r="AX29" i="102"/>
  <c r="AX9" i="102"/>
  <c r="AX48" i="102"/>
  <c r="AX64" i="102"/>
  <c r="AX22" i="102"/>
  <c r="AX66" i="102"/>
  <c r="AX49" i="102"/>
  <c r="AX28" i="102"/>
  <c r="AX12" i="102"/>
  <c r="AX44" i="102"/>
  <c r="AX11" i="102"/>
  <c r="AX43" i="102"/>
  <c r="AX10" i="102"/>
  <c r="AW93" i="102"/>
  <c r="AX71" i="102"/>
  <c r="AX33" i="102"/>
  <c r="AX68" i="102"/>
  <c r="AX70" i="102"/>
  <c r="AX16" i="102"/>
  <c r="AX51" i="102"/>
  <c r="AX63" i="102"/>
  <c r="AX46" i="102"/>
  <c r="AX21" i="102"/>
  <c r="AX78" i="102"/>
  <c r="AX23" i="102"/>
  <c r="AX56" i="102"/>
  <c r="AX14" i="102"/>
  <c r="AX62" i="102"/>
  <c r="AX45" i="102"/>
  <c r="AX24" i="102"/>
  <c r="AX69" i="102"/>
  <c r="AX31" i="102"/>
  <c r="AX72" i="102"/>
  <c r="AX36" i="102"/>
  <c r="AX25" i="102"/>
  <c r="AX13" i="102"/>
  <c r="AX54" i="102"/>
  <c r="AX52" i="102"/>
  <c r="AX18" i="102"/>
  <c r="AX59" i="102"/>
  <c r="AX42" i="102"/>
  <c r="AX17" i="102"/>
  <c r="AX65" i="102"/>
  <c r="AX15" i="102"/>
  <c r="AX47" i="102"/>
  <c r="AX58" i="102"/>
  <c r="AX41" i="102"/>
  <c r="AX20" i="102"/>
  <c r="AX61" i="102"/>
  <c r="AX27" i="102"/>
  <c r="AX60" i="102"/>
  <c r="AX26" i="102"/>
  <c r="AX8" i="102"/>
  <c r="AX55" i="102"/>
  <c r="AX57" i="102"/>
  <c r="AX30" i="102"/>
  <c r="AX32" i="102"/>
  <c r="AX19" i="102"/>
  <c r="O41" i="113"/>
  <c r="O8" i="113"/>
  <c r="O59" i="113"/>
  <c r="O58" i="113"/>
  <c r="O66" i="113"/>
  <c r="O60" i="113"/>
  <c r="O15" i="113"/>
  <c r="O22" i="113"/>
  <c r="O19" i="113"/>
  <c r="O16" i="113"/>
  <c r="O14" i="113"/>
  <c r="O67" i="113"/>
  <c r="O64" i="113"/>
  <c r="O12" i="113"/>
  <c r="O62" i="113"/>
  <c r="O70" i="113"/>
  <c r="O63" i="113"/>
  <c r="O23" i="113"/>
  <c r="O32" i="113"/>
  <c r="O26" i="113"/>
  <c r="O36" i="113"/>
  <c r="O43" i="113"/>
  <c r="O24" i="113"/>
  <c r="O44" i="113"/>
  <c r="O11" i="113"/>
  <c r="O31" i="113"/>
  <c r="O28" i="113"/>
  <c r="O57" i="113"/>
  <c r="O68" i="113"/>
  <c r="O30" i="113"/>
  <c r="O21" i="113"/>
  <c r="O52" i="113"/>
  <c r="O51" i="113"/>
  <c r="O18" i="113"/>
  <c r="O65" i="113"/>
  <c r="O56" i="113"/>
  <c r="O61" i="113"/>
  <c r="O46" i="113"/>
  <c r="O72" i="113"/>
  <c r="O20" i="113"/>
  <c r="O9" i="113"/>
  <c r="O42" i="113"/>
  <c r="O10" i="113"/>
  <c r="O25" i="113"/>
  <c r="O45" i="113"/>
  <c r="O54" i="113"/>
  <c r="O49" i="113"/>
  <c r="O17" i="113"/>
  <c r="O13" i="113"/>
  <c r="O27" i="113"/>
  <c r="O29" i="113"/>
  <c r="O69" i="113"/>
  <c r="O48" i="113"/>
  <c r="O47" i="113"/>
  <c r="O71" i="113"/>
  <c r="O33" i="113"/>
  <c r="O55" i="113"/>
  <c r="BC72" i="96"/>
  <c r="BC68" i="96"/>
  <c r="BC64" i="96"/>
  <c r="BC60" i="96"/>
  <c r="BC56" i="96"/>
  <c r="BC52" i="96"/>
  <c r="BC48" i="96"/>
  <c r="BC44" i="96"/>
  <c r="BC33" i="96"/>
  <c r="BC29" i="96"/>
  <c r="BC25" i="96"/>
  <c r="BC21" i="96"/>
  <c r="BC17" i="96"/>
  <c r="BC13" i="96"/>
  <c r="BC9" i="96"/>
  <c r="BC71" i="96"/>
  <c r="BC66" i="96"/>
  <c r="BC61" i="96"/>
  <c r="BC55" i="96"/>
  <c r="BC50" i="96"/>
  <c r="BC45" i="96"/>
  <c r="BC32" i="96"/>
  <c r="BC27" i="96"/>
  <c r="BC22" i="96"/>
  <c r="BC16" i="96"/>
  <c r="BC11" i="96"/>
  <c r="BC59" i="96"/>
  <c r="BC49" i="96"/>
  <c r="BC31" i="96"/>
  <c r="BC26" i="96"/>
  <c r="BC15" i="96"/>
  <c r="BC63" i="96"/>
  <c r="BC53" i="96"/>
  <c r="BC42" i="96"/>
  <c r="BC24" i="96"/>
  <c r="BC14" i="96"/>
  <c r="BC62" i="96"/>
  <c r="BC51" i="96"/>
  <c r="BC41" i="96"/>
  <c r="BC23" i="96"/>
  <c r="BC70" i="96"/>
  <c r="BC65" i="96"/>
  <c r="BC54" i="96"/>
  <c r="BC43" i="96"/>
  <c r="BC20" i="96"/>
  <c r="BC10" i="96"/>
  <c r="BC69" i="96"/>
  <c r="BC58" i="96"/>
  <c r="BC47" i="96"/>
  <c r="BC30" i="96"/>
  <c r="BC19" i="96"/>
  <c r="BC8" i="96"/>
  <c r="BC67" i="96"/>
  <c r="BC57" i="96"/>
  <c r="BC46" i="96"/>
  <c r="BC28" i="96"/>
  <c r="BC18" i="96"/>
  <c r="BC12" i="96"/>
  <c r="BB93" i="96"/>
  <c r="AW77" i="113"/>
  <c r="AW89" i="113"/>
  <c r="AW90" i="113" s="1"/>
  <c r="AW81" i="113"/>
  <c r="AW83" i="113" s="1"/>
  <c r="AW84" i="113" s="1"/>
  <c r="AW86" i="113" s="1"/>
  <c r="AW87" i="113" s="1"/>
  <c r="T8" i="113"/>
  <c r="Y41" i="113"/>
  <c r="T54" i="113"/>
  <c r="T71" i="113"/>
  <c r="T62" i="113"/>
  <c r="T58" i="113"/>
  <c r="T61" i="113"/>
  <c r="Y46" i="113"/>
  <c r="T65" i="113"/>
  <c r="T55" i="113"/>
  <c r="T41" i="113"/>
  <c r="Y43" i="113"/>
  <c r="T21" i="113"/>
  <c r="T29" i="113"/>
  <c r="T15" i="113"/>
  <c r="T31" i="113"/>
  <c r="T16" i="113"/>
  <c r="T57" i="113"/>
  <c r="AD36" i="113"/>
  <c r="T11" i="113"/>
  <c r="Y55" i="113"/>
  <c r="Y42" i="113"/>
  <c r="T43" i="113"/>
  <c r="Y64" i="113"/>
  <c r="Y52" i="113"/>
  <c r="Y70" i="113"/>
  <c r="Y61" i="113"/>
  <c r="Y57" i="113"/>
  <c r="Y60" i="113"/>
  <c r="T72" i="113"/>
  <c r="Y63" i="113"/>
  <c r="T52" i="113"/>
  <c r="T42" i="113"/>
  <c r="T25" i="113"/>
  <c r="Y59" i="113"/>
  <c r="T47" i="113"/>
  <c r="Y71" i="113"/>
  <c r="Y45" i="113"/>
  <c r="Y62" i="113"/>
  <c r="T14" i="113"/>
  <c r="T48" i="113"/>
  <c r="T17" i="113"/>
  <c r="Y47" i="113"/>
  <c r="T9" i="113"/>
  <c r="Y54" i="113"/>
  <c r="Y67" i="113"/>
  <c r="T56" i="113"/>
  <c r="T22" i="113"/>
  <c r="T36" i="113"/>
  <c r="T67" i="113"/>
  <c r="T19" i="113"/>
  <c r="T18" i="113"/>
  <c r="T30" i="113"/>
  <c r="T20" i="113"/>
  <c r="T49" i="113"/>
  <c r="T12" i="113"/>
  <c r="T27" i="113"/>
  <c r="T51" i="113"/>
  <c r="T59" i="113"/>
  <c r="Y65" i="113"/>
  <c r="T69" i="113"/>
  <c r="T70" i="113"/>
  <c r="Y69" i="113"/>
  <c r="T64" i="113"/>
  <c r="T23" i="113"/>
  <c r="Y48" i="113"/>
  <c r="T26" i="113"/>
  <c r="T24" i="113"/>
  <c r="Y56" i="113"/>
  <c r="T66" i="113"/>
  <c r="T44" i="113"/>
  <c r="T68" i="113"/>
  <c r="Y72" i="113"/>
  <c r="Y66" i="113"/>
  <c r="Y51" i="113"/>
  <c r="T10" i="113"/>
  <c r="T33" i="113"/>
  <c r="T28" i="113"/>
  <c r="Y36" i="113"/>
  <c r="T45" i="113"/>
  <c r="T63" i="113"/>
  <c r="T60" i="113"/>
  <c r="Y49" i="113"/>
  <c r="T46" i="113"/>
  <c r="Y68" i="113"/>
  <c r="T13" i="113"/>
  <c r="Y44" i="113"/>
  <c r="T32" i="113"/>
  <c r="Y58" i="113"/>
  <c r="BC79" i="96"/>
  <c r="Y17" i="113"/>
  <c r="Y11" i="113"/>
  <c r="Y29" i="113"/>
  <c r="Y33" i="113"/>
  <c r="Y30" i="113"/>
  <c r="Y31" i="113"/>
  <c r="Y9" i="113"/>
  <c r="Y27" i="113"/>
  <c r="Y14" i="113"/>
  <c r="Y12" i="113"/>
  <c r="Y18" i="113"/>
  <c r="Y21" i="113"/>
  <c r="Y19" i="113"/>
  <c r="Y26" i="113"/>
  <c r="Y28" i="113"/>
  <c r="Y20" i="113"/>
  <c r="Y32" i="113"/>
  <c r="Y13" i="113"/>
  <c r="Y16" i="113"/>
  <c r="Y24" i="113"/>
  <c r="Y15" i="113"/>
  <c r="Y25" i="113"/>
  <c r="Y8" i="113"/>
  <c r="Y22" i="113"/>
  <c r="Y23" i="113"/>
  <c r="Y10" i="113"/>
  <c r="AI54" i="107"/>
  <c r="AI71" i="107"/>
  <c r="AI55" i="107"/>
  <c r="AI27" i="107"/>
  <c r="AI11" i="107"/>
  <c r="AI29" i="107"/>
  <c r="AI56" i="107"/>
  <c r="AI12" i="107"/>
  <c r="AI58" i="107"/>
  <c r="AI26" i="107"/>
  <c r="AI10" i="107"/>
  <c r="AI25" i="107"/>
  <c r="AI60" i="107"/>
  <c r="AI16" i="107"/>
  <c r="AI44" i="107"/>
  <c r="AI30" i="107"/>
  <c r="AI33" i="107"/>
  <c r="AI67" i="107"/>
  <c r="AI46" i="107"/>
  <c r="AI23" i="107"/>
  <c r="AI65" i="107"/>
  <c r="AI21" i="107"/>
  <c r="AI43" i="107"/>
  <c r="AI70" i="107"/>
  <c r="AI45" i="107"/>
  <c r="AI22" i="107"/>
  <c r="AI61" i="107"/>
  <c r="AI17" i="107"/>
  <c r="AI47" i="107"/>
  <c r="AI8" i="107"/>
  <c r="AI31" i="107"/>
  <c r="AI15" i="107"/>
  <c r="AI20" i="107"/>
  <c r="AI14" i="107"/>
  <c r="AI24" i="107"/>
  <c r="AI63" i="107"/>
  <c r="AI42" i="107"/>
  <c r="AI19" i="107"/>
  <c r="AI57" i="107"/>
  <c r="AI13" i="107"/>
  <c r="AI28" i="107"/>
  <c r="AI66" i="107"/>
  <c r="AI41" i="107"/>
  <c r="AI18" i="107"/>
  <c r="AI48" i="107"/>
  <c r="AI9" i="107"/>
  <c r="AI32" i="107"/>
  <c r="AI69" i="107"/>
  <c r="AI59" i="107"/>
  <c r="AI68" i="107"/>
  <c r="AI62" i="107"/>
  <c r="AI64" i="107"/>
  <c r="AX79" i="102"/>
  <c r="BL77" i="102"/>
  <c r="AI77" i="91"/>
  <c r="AI79" i="91"/>
  <c r="AN78" i="91"/>
  <c r="AN77" i="91"/>
  <c r="T8" i="107"/>
  <c r="AD72" i="107"/>
  <c r="T79" i="108"/>
  <c r="Y78" i="108"/>
  <c r="AN80" i="91"/>
  <c r="AN73" i="91"/>
  <c r="AN74" i="91"/>
  <c r="Y79" i="107"/>
  <c r="AD78" i="107"/>
  <c r="AR93" i="96"/>
  <c r="AS60" i="96"/>
  <c r="AS44" i="96"/>
  <c r="AS28" i="96"/>
  <c r="AS12" i="96"/>
  <c r="AS49" i="96"/>
  <c r="AS71" i="96"/>
  <c r="AS55" i="96"/>
  <c r="AS35" i="96"/>
  <c r="AS19" i="96"/>
  <c r="AS70" i="96"/>
  <c r="AS54" i="96"/>
  <c r="AS38" i="96"/>
  <c r="AS22" i="96"/>
  <c r="AS65" i="96"/>
  <c r="AS37" i="96"/>
  <c r="AS41" i="96"/>
  <c r="AS30" i="96"/>
  <c r="AS72" i="96"/>
  <c r="AS56" i="96"/>
  <c r="AS40" i="96"/>
  <c r="AS24" i="96"/>
  <c r="AS8" i="96"/>
  <c r="AS33" i="96"/>
  <c r="AS67" i="96"/>
  <c r="AS51" i="96"/>
  <c r="AS31" i="96"/>
  <c r="AS15" i="96"/>
  <c r="AS66" i="96"/>
  <c r="AS50" i="96"/>
  <c r="AS34" i="96"/>
  <c r="AS18" i="96"/>
  <c r="AS57" i="96"/>
  <c r="AS29" i="96"/>
  <c r="AS47" i="96"/>
  <c r="AS21" i="96"/>
  <c r="AS68" i="96"/>
  <c r="AS52" i="96"/>
  <c r="AS36" i="96"/>
  <c r="AS20" i="96"/>
  <c r="AS69" i="96"/>
  <c r="AS25" i="96"/>
  <c r="AS63" i="96"/>
  <c r="AS43" i="96"/>
  <c r="AS27" i="96"/>
  <c r="AS11" i="96"/>
  <c r="AS62" i="96"/>
  <c r="AS46" i="96"/>
  <c r="AS14" i="96"/>
  <c r="AS64" i="96"/>
  <c r="AS48" i="96"/>
  <c r="AS32" i="96"/>
  <c r="AS16" i="96"/>
  <c r="AS61" i="96"/>
  <c r="AS17" i="96"/>
  <c r="AS59" i="96"/>
  <c r="AS39" i="96"/>
  <c r="AS23" i="96"/>
  <c r="AS9" i="96"/>
  <c r="AS58" i="96"/>
  <c r="AS42" i="96"/>
  <c r="AS26" i="96"/>
  <c r="AS10" i="96"/>
  <c r="AS45" i="96"/>
  <c r="AS13" i="96"/>
  <c r="AS53" i="96"/>
  <c r="AS55" i="90"/>
  <c r="AS42" i="90"/>
  <c r="AS33" i="90"/>
  <c r="AS19" i="90"/>
  <c r="AS67" i="90"/>
  <c r="AS70" i="90"/>
  <c r="AS59" i="90"/>
  <c r="AS24" i="90"/>
  <c r="AS30" i="90"/>
  <c r="AS68" i="90"/>
  <c r="AS18" i="90"/>
  <c r="AS56" i="90"/>
  <c r="AS22" i="90"/>
  <c r="AS28" i="90"/>
  <c r="AS26" i="90"/>
  <c r="AS9" i="90"/>
  <c r="AS58" i="90"/>
  <c r="AS31" i="90"/>
  <c r="AS17" i="90"/>
  <c r="AS69" i="90"/>
  <c r="AS71" i="90"/>
  <c r="AS23" i="90"/>
  <c r="AS25" i="90"/>
  <c r="AS27" i="90"/>
  <c r="AS15" i="90"/>
  <c r="AS16" i="90"/>
  <c r="AS64" i="90"/>
  <c r="AS45" i="90"/>
  <c r="AS61" i="90"/>
  <c r="AS57" i="90"/>
  <c r="AS48" i="90"/>
  <c r="AS47" i="90"/>
  <c r="AS13" i="90"/>
  <c r="AS78" i="90"/>
  <c r="AS66" i="90"/>
  <c r="AS11" i="90"/>
  <c r="AS10" i="90"/>
  <c r="AS62" i="90"/>
  <c r="AS46" i="90"/>
  <c r="AS60" i="90"/>
  <c r="AS32" i="90"/>
  <c r="AS21" i="90"/>
  <c r="AS20" i="90"/>
  <c r="AS12" i="90"/>
  <c r="AS14" i="90"/>
  <c r="AS43" i="90"/>
  <c r="AS8" i="90"/>
  <c r="AS44" i="90"/>
  <c r="AS65" i="90"/>
  <c r="AS29" i="90"/>
  <c r="AS63" i="90"/>
  <c r="Y54" i="107"/>
  <c r="Y46" i="107"/>
  <c r="Y45" i="107"/>
  <c r="Y44" i="107"/>
  <c r="Y29" i="107"/>
  <c r="Y16" i="107"/>
  <c r="Y25" i="107"/>
  <c r="Y66" i="107"/>
  <c r="Y14" i="107"/>
  <c r="Y68" i="107"/>
  <c r="Y32" i="107"/>
  <c r="Y26" i="107"/>
  <c r="Y58" i="107"/>
  <c r="Y60" i="107"/>
  <c r="Y78" i="107"/>
  <c r="Y12" i="107"/>
  <c r="Y62" i="107"/>
  <c r="Y64" i="107"/>
  <c r="Y27" i="107"/>
  <c r="Y70" i="107"/>
  <c r="Y42" i="107"/>
  <c r="Y19" i="107"/>
  <c r="Y48" i="107"/>
  <c r="Y15" i="107"/>
  <c r="Y28" i="107"/>
  <c r="Y61" i="107"/>
  <c r="Y55" i="107"/>
  <c r="Y51" i="107"/>
  <c r="Y22" i="107"/>
  <c r="Y18" i="107"/>
  <c r="Y63" i="107"/>
  <c r="Y59" i="107"/>
  <c r="Y52" i="107"/>
  <c r="Y43" i="107"/>
  <c r="Y50" i="107"/>
  <c r="Y20" i="107"/>
  <c r="Y31" i="107"/>
  <c r="Y65" i="107"/>
  <c r="Y47" i="107"/>
  <c r="Y23" i="107"/>
  <c r="Y13" i="107"/>
  <c r="Y9" i="107"/>
  <c r="Y57" i="107"/>
  <c r="Y21" i="107"/>
  <c r="Y33" i="107"/>
  <c r="Y17" i="107"/>
  <c r="Y69" i="107"/>
  <c r="Y8" i="107"/>
  <c r="Y24" i="107"/>
  <c r="Y67" i="107"/>
  <c r="Y11" i="107"/>
  <c r="Y71" i="107"/>
  <c r="Y30" i="107"/>
  <c r="Y10" i="107"/>
  <c r="Y56" i="107"/>
  <c r="T56" i="108"/>
  <c r="T46" i="108"/>
  <c r="T42" i="108"/>
  <c r="T17" i="108"/>
  <c r="T11" i="108"/>
  <c r="T20" i="108"/>
  <c r="T15" i="108"/>
  <c r="T69" i="108"/>
  <c r="T71" i="108"/>
  <c r="T25" i="108"/>
  <c r="T30" i="108"/>
  <c r="T28" i="108"/>
  <c r="T58" i="108"/>
  <c r="T26" i="108"/>
  <c r="T31" i="108"/>
  <c r="T54" i="108"/>
  <c r="T78" i="108"/>
  <c r="T21" i="108"/>
  <c r="T19" i="108"/>
  <c r="T67" i="108"/>
  <c r="T59" i="108"/>
  <c r="T8" i="108"/>
  <c r="T55" i="108"/>
  <c r="T45" i="108"/>
  <c r="T23" i="108"/>
  <c r="T13" i="108"/>
  <c r="T18" i="108"/>
  <c r="T16" i="108"/>
  <c r="T27" i="108"/>
  <c r="T62" i="108"/>
  <c r="T65" i="108"/>
  <c r="T68" i="108"/>
  <c r="T61" i="108"/>
  <c r="T22" i="108"/>
  <c r="T57" i="108"/>
  <c r="T70" i="108"/>
  <c r="T64" i="108"/>
  <c r="T51" i="108"/>
  <c r="T47" i="108"/>
  <c r="T12" i="108"/>
  <c r="T29" i="108"/>
  <c r="T24" i="108"/>
  <c r="T50" i="108"/>
  <c r="T48" i="108"/>
  <c r="T44" i="108"/>
  <c r="T32" i="108"/>
  <c r="T9" i="108"/>
  <c r="T14" i="108"/>
  <c r="T33" i="108"/>
  <c r="T66" i="108"/>
  <c r="T52" i="108"/>
  <c r="T43" i="108"/>
  <c r="T10" i="108"/>
  <c r="T63" i="108"/>
  <c r="T60" i="108"/>
  <c r="AS77" i="90"/>
  <c r="AN71" i="102"/>
  <c r="AN55" i="102"/>
  <c r="AN27" i="102"/>
  <c r="AN11" i="102"/>
  <c r="AN46" i="102"/>
  <c r="AN58" i="102"/>
  <c r="AN36" i="102"/>
  <c r="AN18" i="102"/>
  <c r="AN24" i="102"/>
  <c r="AN65" i="102"/>
  <c r="AN47" i="102"/>
  <c r="AN25" i="102"/>
  <c r="AN9" i="102"/>
  <c r="AN28" i="102"/>
  <c r="AN67" i="102"/>
  <c r="AN50" i="102"/>
  <c r="AN23" i="102"/>
  <c r="AN10" i="102"/>
  <c r="AN32" i="102"/>
  <c r="AN70" i="102"/>
  <c r="AN54" i="102"/>
  <c r="AN30" i="102"/>
  <c r="AN14" i="102"/>
  <c r="AN12" i="102"/>
  <c r="AN61" i="102"/>
  <c r="AN43" i="102"/>
  <c r="AN21" i="102"/>
  <c r="AN68" i="102"/>
  <c r="AN16" i="102"/>
  <c r="AN63" i="102"/>
  <c r="AN45" i="102"/>
  <c r="AN19" i="102"/>
  <c r="AN72" i="102"/>
  <c r="AN20" i="102"/>
  <c r="AN66" i="102"/>
  <c r="AN48" i="102"/>
  <c r="AN26" i="102"/>
  <c r="AN64" i="102"/>
  <c r="AN78" i="102"/>
  <c r="AN57" i="102"/>
  <c r="AN33" i="102"/>
  <c r="AN17" i="102"/>
  <c r="AN60" i="102"/>
  <c r="AN41" i="102"/>
  <c r="AM93" i="102"/>
  <c r="AN59" i="102"/>
  <c r="AN31" i="102"/>
  <c r="AN15" i="102"/>
  <c r="AN56" i="102"/>
  <c r="AN8" i="102"/>
  <c r="AN62" i="102"/>
  <c r="AN44" i="102"/>
  <c r="AN22" i="102"/>
  <c r="AN42" i="102"/>
  <c r="AN69" i="102"/>
  <c r="AN52" i="102"/>
  <c r="AN29" i="102"/>
  <c r="AN13" i="102"/>
  <c r="AN51" i="102"/>
  <c r="AS79" i="90"/>
  <c r="AI64" i="91"/>
  <c r="AI46" i="91"/>
  <c r="AI22" i="91"/>
  <c r="AI59" i="91"/>
  <c r="AI41" i="91"/>
  <c r="AI70" i="91"/>
  <c r="AI54" i="91"/>
  <c r="AI29" i="91"/>
  <c r="AI28" i="91"/>
  <c r="AI65" i="91"/>
  <c r="AI61" i="91"/>
  <c r="AI13" i="91"/>
  <c r="AI21" i="91"/>
  <c r="AI20" i="91"/>
  <c r="AI23" i="91"/>
  <c r="AI60" i="91"/>
  <c r="AI42" i="91"/>
  <c r="AI71" i="91"/>
  <c r="AI55" i="91"/>
  <c r="AI30" i="91"/>
  <c r="AI66" i="91"/>
  <c r="AI48" i="91"/>
  <c r="AI25" i="91"/>
  <c r="AI11" i="91"/>
  <c r="AI47" i="91"/>
  <c r="AI43" i="91"/>
  <c r="AI18" i="91"/>
  <c r="AI16" i="91"/>
  <c r="AI56" i="91"/>
  <c r="AI31" i="91"/>
  <c r="AI67" i="91"/>
  <c r="AI50" i="91"/>
  <c r="AI26" i="91"/>
  <c r="AI62" i="91"/>
  <c r="AI44" i="91"/>
  <c r="AI69" i="91"/>
  <c r="AI57" i="91"/>
  <c r="AI24" i="91"/>
  <c r="AI19" i="91"/>
  <c r="AI12" i="91"/>
  <c r="AI14" i="91"/>
  <c r="AI68" i="91"/>
  <c r="AI51" i="91"/>
  <c r="AI27" i="91"/>
  <c r="AI63" i="91"/>
  <c r="AI45" i="91"/>
  <c r="AI9" i="91"/>
  <c r="AI58" i="91"/>
  <c r="AI33" i="91"/>
  <c r="AI52" i="91"/>
  <c r="AI15" i="91"/>
  <c r="AI78" i="91"/>
  <c r="AI32" i="91"/>
  <c r="AI17" i="91"/>
  <c r="AI10" i="91"/>
  <c r="AI8" i="91"/>
  <c r="AC93" i="102"/>
  <c r="AS51" i="86"/>
  <c r="AS52" i="86"/>
  <c r="AS36" i="86"/>
  <c r="AS71" i="95"/>
  <c r="AS63" i="95"/>
  <c r="AS55" i="95"/>
  <c r="AS69" i="95"/>
  <c r="AS61" i="95"/>
  <c r="AS65" i="95"/>
  <c r="AS57" i="95"/>
  <c r="AS72" i="95"/>
  <c r="AS49" i="95"/>
  <c r="AS67" i="95"/>
  <c r="AS59" i="95"/>
  <c r="AS51" i="95"/>
  <c r="AS23" i="95"/>
  <c r="AS26" i="95"/>
  <c r="AS12" i="95"/>
  <c r="AS31" i="95"/>
  <c r="AS62" i="95"/>
  <c r="AS64" i="95"/>
  <c r="AS21" i="95"/>
  <c r="AS35" i="95"/>
  <c r="AS60" i="95"/>
  <c r="AS14" i="95"/>
  <c r="AS33" i="95"/>
  <c r="AS58" i="95"/>
  <c r="AS42" i="95"/>
  <c r="AS20" i="95"/>
  <c r="AS46" i="95"/>
  <c r="AS15" i="95"/>
  <c r="AS28" i="95"/>
  <c r="AS47" i="95"/>
  <c r="AS25" i="95"/>
  <c r="AS48" i="95"/>
  <c r="AS52" i="95"/>
  <c r="AS29" i="95"/>
  <c r="AS56" i="95"/>
  <c r="AS16" i="95"/>
  <c r="AS41" i="95"/>
  <c r="AS70" i="95"/>
  <c r="AS9" i="95"/>
  <c r="AS24" i="95"/>
  <c r="AS43" i="95"/>
  <c r="AS68" i="95"/>
  <c r="AS11" i="95"/>
  <c r="AS18" i="95"/>
  <c r="AS44" i="95"/>
  <c r="AS66" i="95"/>
  <c r="AS27" i="95"/>
  <c r="AS17" i="95"/>
  <c r="AS10" i="95"/>
  <c r="AS13" i="95"/>
  <c r="AS19" i="95"/>
  <c r="AS54" i="95"/>
  <c r="AS30" i="95"/>
  <c r="AS32" i="95"/>
  <c r="AS45" i="95"/>
  <c r="AS50" i="95"/>
  <c r="AS36" i="95"/>
  <c r="AS22" i="95"/>
  <c r="AS8" i="95"/>
  <c r="AS54" i="90"/>
  <c r="AS50" i="90"/>
  <c r="AS41" i="90"/>
  <c r="AN79" i="90"/>
  <c r="AS51" i="90"/>
  <c r="AS52" i="90"/>
  <c r="AI72" i="91"/>
  <c r="AI49" i="91"/>
  <c r="AD79" i="91"/>
  <c r="AI80" i="91"/>
  <c r="AI73" i="91"/>
  <c r="AI74" i="91"/>
  <c r="AD77" i="91"/>
  <c r="AD8" i="91"/>
  <c r="AD70" i="91"/>
  <c r="AD54" i="91"/>
  <c r="AD17" i="91"/>
  <c r="AD9" i="91"/>
  <c r="AD65" i="91"/>
  <c r="AD48" i="91"/>
  <c r="AD18" i="91"/>
  <c r="AD73" i="91"/>
  <c r="AD60" i="91"/>
  <c r="AD43" i="91"/>
  <c r="AD24" i="91"/>
  <c r="AD67" i="91"/>
  <c r="AD50" i="91"/>
  <c r="AD16" i="91"/>
  <c r="AD33" i="91"/>
  <c r="AD62" i="91"/>
  <c r="AD26" i="91"/>
  <c r="AD57" i="91"/>
  <c r="AD27" i="91"/>
  <c r="AD51" i="91"/>
  <c r="AD80" i="91"/>
  <c r="AD42" i="91"/>
  <c r="AD58" i="91"/>
  <c r="AD30" i="91"/>
  <c r="AD14" i="91"/>
  <c r="AD64" i="91"/>
  <c r="AD66" i="91"/>
  <c r="AD41" i="91"/>
  <c r="AD21" i="91"/>
  <c r="AD74" i="91"/>
  <c r="AD61" i="91"/>
  <c r="AD44" i="91"/>
  <c r="AD22" i="91"/>
  <c r="AD56" i="91"/>
  <c r="AD11" i="91"/>
  <c r="AD32" i="91"/>
  <c r="AD63" i="91"/>
  <c r="AD46" i="91"/>
  <c r="AD20" i="91"/>
  <c r="AD28" i="91"/>
  <c r="AD45" i="91"/>
  <c r="AD78" i="91"/>
  <c r="AD10" i="91"/>
  <c r="AD68" i="91"/>
  <c r="AD15" i="91"/>
  <c r="AD59" i="91"/>
  <c r="AD25" i="91"/>
  <c r="AD13" i="91"/>
  <c r="AD69" i="91"/>
  <c r="AD52" i="91"/>
  <c r="AD71" i="91"/>
  <c r="AD12" i="91"/>
  <c r="AD29" i="91"/>
  <c r="AD31" i="91"/>
  <c r="AD55" i="91"/>
  <c r="AD47" i="91"/>
  <c r="AD19" i="91"/>
  <c r="AM87" i="96"/>
  <c r="AM99" i="96"/>
  <c r="AN57" i="90"/>
  <c r="AN13" i="90"/>
  <c r="AN29" i="90"/>
  <c r="AN46" i="90"/>
  <c r="AN68" i="90"/>
  <c r="AN48" i="90"/>
  <c r="AN18" i="90"/>
  <c r="AN9" i="90"/>
  <c r="AN71" i="90"/>
  <c r="AN55" i="90"/>
  <c r="AN19" i="90"/>
  <c r="AN70" i="90"/>
  <c r="AN24" i="90"/>
  <c r="AN65" i="90"/>
  <c r="AN66" i="90"/>
  <c r="AN60" i="90"/>
  <c r="AN26" i="90"/>
  <c r="AN12" i="90"/>
  <c r="AN11" i="90"/>
  <c r="AN42" i="90"/>
  <c r="AN69" i="90"/>
  <c r="AN51" i="90"/>
  <c r="AN17" i="90"/>
  <c r="AN33" i="90"/>
  <c r="AN16" i="90"/>
  <c r="AN64" i="90"/>
  <c r="AN44" i="90"/>
  <c r="AN22" i="90"/>
  <c r="AN62" i="90"/>
  <c r="AN67" i="90"/>
  <c r="AN43" i="90"/>
  <c r="AN23" i="90"/>
  <c r="AN52" i="90"/>
  <c r="AN47" i="90"/>
  <c r="AN45" i="90"/>
  <c r="AN21" i="90"/>
  <c r="AN28" i="90"/>
  <c r="AN10" i="90"/>
  <c r="AN63" i="90"/>
  <c r="AN27" i="90"/>
  <c r="AN25" i="90"/>
  <c r="AN14" i="90"/>
  <c r="AN15" i="90"/>
  <c r="AN58" i="90"/>
  <c r="AN32" i="90"/>
  <c r="AN36" i="90"/>
  <c r="AN59" i="90"/>
  <c r="AM94" i="90"/>
  <c r="AN30" i="90"/>
  <c r="AN31" i="90"/>
  <c r="AN61" i="90"/>
  <c r="AN78" i="90"/>
  <c r="AN20" i="90"/>
  <c r="AN56" i="90"/>
  <c r="AN65" i="96"/>
  <c r="AN48" i="96"/>
  <c r="AN17" i="96"/>
  <c r="AN33" i="96"/>
  <c r="AN60" i="96"/>
  <c r="AN43" i="96"/>
  <c r="AN22" i="96"/>
  <c r="AN11" i="96"/>
  <c r="AN45" i="96"/>
  <c r="AN19" i="96"/>
  <c r="AN41" i="96"/>
  <c r="AN67" i="96"/>
  <c r="AN50" i="96"/>
  <c r="AN23" i="96"/>
  <c r="AN12" i="96"/>
  <c r="AN36" i="96"/>
  <c r="AN51" i="96"/>
  <c r="AN62" i="96"/>
  <c r="AN58" i="96"/>
  <c r="AN59" i="96"/>
  <c r="AN31" i="96"/>
  <c r="AN69" i="96"/>
  <c r="AN13" i="96"/>
  <c r="AN64" i="96"/>
  <c r="AN18" i="96"/>
  <c r="AN54" i="96"/>
  <c r="AN49" i="96"/>
  <c r="AN55" i="96"/>
  <c r="AN8" i="96"/>
  <c r="AN61" i="96"/>
  <c r="AN44" i="96"/>
  <c r="AN21" i="96"/>
  <c r="AN72" i="96"/>
  <c r="AN56" i="96"/>
  <c r="AN10" i="96"/>
  <c r="AN26" i="96"/>
  <c r="AN70" i="96"/>
  <c r="AN16" i="96"/>
  <c r="AN66" i="96"/>
  <c r="AN20" i="96"/>
  <c r="AN63" i="96"/>
  <c r="AN46" i="96"/>
  <c r="AN27" i="96"/>
  <c r="AN57" i="96"/>
  <c r="AN25" i="96"/>
  <c r="AN68" i="96"/>
  <c r="AN14" i="96"/>
  <c r="AN30" i="96"/>
  <c r="AN24" i="96"/>
  <c r="AN28" i="96"/>
  <c r="AN42" i="96"/>
  <c r="AM93" i="96"/>
  <c r="AN52" i="96"/>
  <c r="AN29" i="96"/>
  <c r="AN47" i="96"/>
  <c r="AN9" i="96"/>
  <c r="AN32" i="96"/>
  <c r="AN71" i="96"/>
  <c r="AN15" i="96"/>
  <c r="AI63" i="102"/>
  <c r="AI48" i="102"/>
  <c r="AI11" i="102"/>
  <c r="AI9" i="102"/>
  <c r="AI62" i="102"/>
  <c r="AI43" i="102"/>
  <c r="AI16" i="102"/>
  <c r="AI64" i="102"/>
  <c r="AI18" i="102"/>
  <c r="AI61" i="102"/>
  <c r="AI46" i="102"/>
  <c r="AI13" i="102"/>
  <c r="AI68" i="102"/>
  <c r="AI29" i="102"/>
  <c r="AI41" i="102"/>
  <c r="AI71" i="102"/>
  <c r="AI26" i="102"/>
  <c r="AI70" i="102"/>
  <c r="AI24" i="102"/>
  <c r="AI69" i="102"/>
  <c r="AI28" i="102"/>
  <c r="AI21" i="102"/>
  <c r="AI22" i="102"/>
  <c r="AH93" i="102"/>
  <c r="AI59" i="102"/>
  <c r="AI44" i="102"/>
  <c r="AI15" i="102"/>
  <c r="AI58" i="102"/>
  <c r="AI27" i="102"/>
  <c r="AI20" i="102"/>
  <c r="AI56" i="102"/>
  <c r="AI78" i="102"/>
  <c r="AI57" i="102"/>
  <c r="AI36" i="102"/>
  <c r="AI17" i="102"/>
  <c r="AI60" i="102"/>
  <c r="AI14" i="102"/>
  <c r="AI55" i="102"/>
  <c r="AI19" i="102"/>
  <c r="AI54" i="102"/>
  <c r="AI31" i="102"/>
  <c r="AI25" i="102"/>
  <c r="AI52" i="102"/>
  <c r="AI51" i="102"/>
  <c r="AI30" i="102"/>
  <c r="AI12" i="102"/>
  <c r="AI42" i="102"/>
  <c r="AI47" i="102"/>
  <c r="AI23" i="102"/>
  <c r="AI32" i="102"/>
  <c r="AI66" i="102"/>
  <c r="AI10" i="102"/>
  <c r="AI8" i="102"/>
  <c r="AI45" i="102"/>
  <c r="AI72" i="102"/>
  <c r="AI67" i="102"/>
  <c r="AI33" i="102"/>
  <c r="AI50" i="102"/>
  <c r="AI65" i="102"/>
  <c r="O9" i="108"/>
  <c r="AN51" i="86"/>
  <c r="AN52" i="86"/>
  <c r="AN36" i="86"/>
  <c r="AN35" i="90"/>
  <c r="AN41" i="90"/>
  <c r="AN50" i="90"/>
  <c r="AN77" i="90"/>
  <c r="AN54" i="90"/>
  <c r="AN8" i="90"/>
  <c r="AI80" i="90"/>
  <c r="AN80" i="90"/>
  <c r="AH92" i="95"/>
  <c r="AN65" i="95"/>
  <c r="AN55" i="95"/>
  <c r="AN20" i="95"/>
  <c r="AN15" i="95"/>
  <c r="AN13" i="95"/>
  <c r="AN11" i="95"/>
  <c r="AN72" i="95"/>
  <c r="AN45" i="95"/>
  <c r="AN19" i="95"/>
  <c r="AN12" i="95"/>
  <c r="AN67" i="95"/>
  <c r="AN61" i="95"/>
  <c r="AN51" i="95"/>
  <c r="AN43" i="95"/>
  <c r="AN17" i="95"/>
  <c r="AN69" i="95"/>
  <c r="AN49" i="95"/>
  <c r="AN21" i="95"/>
  <c r="AN14" i="95"/>
  <c r="AN10" i="95"/>
  <c r="AN71" i="95"/>
  <c r="AN27" i="95"/>
  <c r="AN56" i="95"/>
  <c r="AN28" i="95"/>
  <c r="AN26" i="95"/>
  <c r="AN58" i="95"/>
  <c r="AN24" i="95"/>
  <c r="AN66" i="95"/>
  <c r="AN35" i="95"/>
  <c r="AN30" i="95"/>
  <c r="AN59" i="95"/>
  <c r="AN63" i="95"/>
  <c r="AN32" i="95"/>
  <c r="AN29" i="95"/>
  <c r="AN70" i="95"/>
  <c r="AN31" i="95"/>
  <c r="AN57" i="95"/>
  <c r="AN44" i="95"/>
  <c r="AN62" i="95"/>
  <c r="AN42" i="95"/>
  <c r="AN16" i="95"/>
  <c r="AN64" i="95"/>
  <c r="AN33" i="95"/>
  <c r="AN50" i="95"/>
  <c r="AN18" i="95"/>
  <c r="AN47" i="95"/>
  <c r="AN68" i="95"/>
  <c r="AN9" i="95"/>
  <c r="AN36" i="95"/>
  <c r="AN48" i="95"/>
  <c r="AN22" i="95"/>
  <c r="AN46" i="95"/>
  <c r="AN60" i="95"/>
  <c r="AN25" i="95"/>
  <c r="AN23" i="95"/>
  <c r="AN52" i="95"/>
  <c r="AN41" i="95"/>
  <c r="AN54" i="95"/>
  <c r="AN8" i="95"/>
  <c r="AD72" i="91"/>
  <c r="AD49" i="91"/>
  <c r="AI49" i="86"/>
  <c r="AN49" i="86"/>
  <c r="AN35" i="96"/>
  <c r="AH93" i="96"/>
  <c r="BQ5" i="96"/>
  <c r="AI36" i="96"/>
  <c r="AD79" i="102"/>
  <c r="BL81" i="102"/>
  <c r="BL83" i="102" s="1"/>
  <c r="BL84" i="102" s="1"/>
  <c r="BL86" i="102" s="1"/>
  <c r="AI79" i="90"/>
  <c r="AH94" i="90"/>
  <c r="AH83" i="96"/>
  <c r="AH84" i="96" s="1"/>
  <c r="AH86" i="96" s="1"/>
  <c r="AH87" i="96" s="1"/>
  <c r="AI22" i="90"/>
  <c r="AI13" i="90"/>
  <c r="AI15" i="90"/>
  <c r="AI16" i="90"/>
  <c r="AI14" i="90"/>
  <c r="AI23" i="90"/>
  <c r="AI41" i="90"/>
  <c r="AI55" i="90"/>
  <c r="AI20" i="90"/>
  <c r="AI9" i="90"/>
  <c r="AI44" i="90"/>
  <c r="AI35" i="90"/>
  <c r="AI58" i="90"/>
  <c r="AI17" i="90"/>
  <c r="AI33" i="90"/>
  <c r="AI65" i="90"/>
  <c r="AI45" i="90"/>
  <c r="AI30" i="90"/>
  <c r="AI48" i="90"/>
  <c r="AI63" i="90"/>
  <c r="AI59" i="90"/>
  <c r="AI32" i="90"/>
  <c r="AI42" i="90"/>
  <c r="AI69" i="90"/>
  <c r="AI71" i="90"/>
  <c r="AI47" i="90"/>
  <c r="AI24" i="90"/>
  <c r="AI78" i="90"/>
  <c r="AI27" i="90"/>
  <c r="AI70" i="90"/>
  <c r="AI52" i="90"/>
  <c r="AI21" i="90"/>
  <c r="AI68" i="90"/>
  <c r="AI61" i="90"/>
  <c r="AI36" i="90"/>
  <c r="AI8" i="90"/>
  <c r="AI11" i="90"/>
  <c r="AI54" i="90"/>
  <c r="AI67" i="90"/>
  <c r="AI43" i="90"/>
  <c r="AI28" i="90"/>
  <c r="AI64" i="90"/>
  <c r="AI10" i="90"/>
  <c r="AI66" i="90"/>
  <c r="AI46" i="90"/>
  <c r="AI25" i="90"/>
  <c r="AI57" i="90"/>
  <c r="AI18" i="90"/>
  <c r="AI50" i="90"/>
  <c r="AI19" i="90"/>
  <c r="AI12" i="90"/>
  <c r="AI56" i="90"/>
  <c r="AI62" i="90"/>
  <c r="AI29" i="90"/>
  <c r="AI51" i="90"/>
  <c r="AI26" i="90"/>
  <c r="AI60" i="90"/>
  <c r="AI31" i="90"/>
  <c r="AI26" i="95"/>
  <c r="AI63" i="95"/>
  <c r="AI10" i="95"/>
  <c r="AI27" i="95"/>
  <c r="AI49" i="95"/>
  <c r="AI8" i="95"/>
  <c r="AI52" i="95"/>
  <c r="AI16" i="95"/>
  <c r="AI32" i="95"/>
  <c r="AI65" i="95"/>
  <c r="AI46" i="95"/>
  <c r="AI21" i="95"/>
  <c r="AI41" i="95"/>
  <c r="AI14" i="95"/>
  <c r="AI58" i="95"/>
  <c r="AI42" i="95"/>
  <c r="AI68" i="95"/>
  <c r="AI22" i="95"/>
  <c r="AI67" i="95"/>
  <c r="AI64" i="95"/>
  <c r="AI9" i="95"/>
  <c r="AI28" i="95"/>
  <c r="AI17" i="95"/>
  <c r="AI59" i="95"/>
  <c r="AI35" i="95"/>
  <c r="AI55" i="95"/>
  <c r="AI15" i="95"/>
  <c r="AI31" i="95"/>
  <c r="AI36" i="95"/>
  <c r="AI70" i="95"/>
  <c r="AI47" i="95"/>
  <c r="AI20" i="95"/>
  <c r="AI50" i="95"/>
  <c r="AI61" i="95"/>
  <c r="AI25" i="95"/>
  <c r="AI60" i="95"/>
  <c r="AI44" i="95"/>
  <c r="AI12" i="95"/>
  <c r="AI51" i="95"/>
  <c r="AI45" i="95"/>
  <c r="AI71" i="95"/>
  <c r="AI48" i="95"/>
  <c r="AI19" i="95"/>
  <c r="AI72" i="95"/>
  <c r="AI18" i="95"/>
  <c r="AI66" i="95"/>
  <c r="AI43" i="95"/>
  <c r="AI24" i="95"/>
  <c r="AI11" i="95"/>
  <c r="AI57" i="95"/>
  <c r="AI13" i="95"/>
  <c r="AI29" i="95"/>
  <c r="AI56" i="95"/>
  <c r="AI30" i="95"/>
  <c r="AI54" i="95"/>
  <c r="AI23" i="95"/>
  <c r="AI62" i="95"/>
  <c r="AI69" i="95"/>
  <c r="AI33" i="95"/>
  <c r="Y72" i="91"/>
  <c r="Y56" i="91"/>
  <c r="Y12" i="91"/>
  <c r="Y29" i="91"/>
  <c r="Y18" i="91"/>
  <c r="Y48" i="91"/>
  <c r="Y71" i="91"/>
  <c r="Y55" i="91"/>
  <c r="Y13" i="91"/>
  <c r="Y9" i="91"/>
  <c r="Y58" i="91"/>
  <c r="Y22" i="91"/>
  <c r="Y57" i="91"/>
  <c r="Y19" i="91"/>
  <c r="Y8" i="91"/>
  <c r="Y60" i="91"/>
  <c r="Y25" i="91"/>
  <c r="Y61" i="91"/>
  <c r="Y59" i="91"/>
  <c r="Y42" i="91"/>
  <c r="Y62" i="91"/>
  <c r="Y11" i="91"/>
  <c r="Y68" i="91"/>
  <c r="Y50" i="91"/>
  <c r="Y16" i="91"/>
  <c r="Y33" i="91"/>
  <c r="Y27" i="91"/>
  <c r="Y15" i="91"/>
  <c r="Y67" i="91"/>
  <c r="Y41" i="91"/>
  <c r="Y17" i="91"/>
  <c r="Y70" i="91"/>
  <c r="Y49" i="91"/>
  <c r="Y31" i="91"/>
  <c r="Y51" i="91"/>
  <c r="Y28" i="91"/>
  <c r="Y65" i="91"/>
  <c r="Y64" i="91"/>
  <c r="Y47" i="91"/>
  <c r="Y20" i="91"/>
  <c r="Y52" i="91"/>
  <c r="Y69" i="91"/>
  <c r="Y24" i="91"/>
  <c r="Y63" i="91"/>
  <c r="Y46" i="91"/>
  <c r="Y21" i="91"/>
  <c r="Y66" i="91"/>
  <c r="Y45" i="91"/>
  <c r="Y54" i="91"/>
  <c r="Y44" i="91"/>
  <c r="Y26" i="91"/>
  <c r="Y43" i="91"/>
  <c r="Y10" i="91"/>
  <c r="Y32" i="91"/>
  <c r="Y30" i="91"/>
  <c r="Y14" i="91"/>
  <c r="AI65" i="96"/>
  <c r="AI47" i="96"/>
  <c r="AI18" i="96"/>
  <c r="AI9" i="96"/>
  <c r="AI29" i="96"/>
  <c r="AI56" i="96"/>
  <c r="AI11" i="96"/>
  <c r="AI27" i="96"/>
  <c r="AI8" i="96"/>
  <c r="AI67" i="96"/>
  <c r="AI45" i="96"/>
  <c r="AI20" i="96"/>
  <c r="AI70" i="96"/>
  <c r="AI59" i="96"/>
  <c r="AI61" i="96"/>
  <c r="AI43" i="96"/>
  <c r="AI22" i="96"/>
  <c r="AI66" i="96"/>
  <c r="AI72" i="96"/>
  <c r="AI41" i="96"/>
  <c r="AI15" i="96"/>
  <c r="AI31" i="96"/>
  <c r="AI21" i="96"/>
  <c r="AI63" i="96"/>
  <c r="AI35" i="96"/>
  <c r="AI24" i="96"/>
  <c r="AI48" i="96"/>
  <c r="AI58" i="96"/>
  <c r="AI51" i="96"/>
  <c r="AI57" i="96"/>
  <c r="AI10" i="96"/>
  <c r="AI26" i="96"/>
  <c r="AI44" i="96"/>
  <c r="AI68" i="96"/>
  <c r="AI46" i="96"/>
  <c r="AI19" i="96"/>
  <c r="AI52" i="96"/>
  <c r="AI33" i="96"/>
  <c r="AI55" i="96"/>
  <c r="AI12" i="96"/>
  <c r="AI28" i="96"/>
  <c r="AI13" i="96"/>
  <c r="AI60" i="96"/>
  <c r="AI14" i="96"/>
  <c r="AI42" i="96"/>
  <c r="AI49" i="96"/>
  <c r="AI54" i="96"/>
  <c r="AI30" i="96"/>
  <c r="AI23" i="96"/>
  <c r="AI16" i="96"/>
  <c r="AI69" i="96"/>
  <c r="AI17" i="96"/>
  <c r="AI62" i="96"/>
  <c r="AI32" i="96"/>
  <c r="AI50" i="96"/>
  <c r="AI64" i="96"/>
  <c r="AI71" i="96"/>
  <c r="AI25" i="96"/>
  <c r="AD70" i="102"/>
  <c r="AD52" i="102"/>
  <c r="AD17" i="102"/>
  <c r="AD11" i="102"/>
  <c r="AD43" i="102"/>
  <c r="AD69" i="102"/>
  <c r="AD51" i="102"/>
  <c r="AD18" i="102"/>
  <c r="AD10" i="102"/>
  <c r="AD60" i="102"/>
  <c r="AD36" i="102"/>
  <c r="AD27" i="102"/>
  <c r="AD59" i="102"/>
  <c r="AD9" i="102"/>
  <c r="AD71" i="102"/>
  <c r="AD20" i="102"/>
  <c r="AD45" i="102"/>
  <c r="AD22" i="102"/>
  <c r="AD67" i="102"/>
  <c r="AD56" i="102"/>
  <c r="AD15" i="102"/>
  <c r="AD32" i="102"/>
  <c r="AD47" i="102"/>
  <c r="AD28" i="102"/>
  <c r="AD44" i="102"/>
  <c r="AD78" i="102"/>
  <c r="AD66" i="102"/>
  <c r="AD46" i="102"/>
  <c r="AD21" i="102"/>
  <c r="AD65" i="102"/>
  <c r="AD72" i="102"/>
  <c r="AD54" i="102"/>
  <c r="AD62" i="102"/>
  <c r="AD42" i="102"/>
  <c r="AD25" i="102"/>
  <c r="AD63" i="102"/>
  <c r="AD33" i="102"/>
  <c r="AD61" i="102"/>
  <c r="AD41" i="102"/>
  <c r="AD26" i="102"/>
  <c r="AD12" i="102"/>
  <c r="AD68" i="102"/>
  <c r="AD48" i="102"/>
  <c r="AD19" i="102"/>
  <c r="AD8" i="102"/>
  <c r="AD16" i="102"/>
  <c r="AD50" i="102"/>
  <c r="AD58" i="102"/>
  <c r="AD13" i="102"/>
  <c r="AD29" i="102"/>
  <c r="AD55" i="102"/>
  <c r="AD31" i="102"/>
  <c r="AD57" i="102"/>
  <c r="AD14" i="102"/>
  <c r="AD30" i="102"/>
  <c r="AD64" i="102"/>
  <c r="AD23" i="102"/>
  <c r="AD24" i="102"/>
  <c r="AI77" i="90"/>
  <c r="T72" i="91"/>
  <c r="T68" i="91"/>
  <c r="T64" i="91"/>
  <c r="T60" i="91"/>
  <c r="T56" i="91"/>
  <c r="T8" i="91"/>
  <c r="T47" i="91"/>
  <c r="T43" i="91"/>
  <c r="T13" i="91"/>
  <c r="T17" i="91"/>
  <c r="T21" i="91"/>
  <c r="T26" i="91"/>
  <c r="T30" i="91"/>
  <c r="T11" i="91"/>
  <c r="T46" i="91"/>
  <c r="T31" i="91"/>
  <c r="T62" i="91"/>
  <c r="T49" i="91"/>
  <c r="T32" i="91"/>
  <c r="T19" i="91"/>
  <c r="T24" i="91"/>
  <c r="T51" i="91"/>
  <c r="T69" i="91"/>
  <c r="T65" i="91"/>
  <c r="T61" i="91"/>
  <c r="T57" i="91"/>
  <c r="T50" i="91"/>
  <c r="T48" i="91"/>
  <c r="T44" i="91"/>
  <c r="T33" i="91"/>
  <c r="T16" i="91"/>
  <c r="T20" i="91"/>
  <c r="T25" i="91"/>
  <c r="T29" i="91"/>
  <c r="T10" i="91"/>
  <c r="T71" i="91"/>
  <c r="T67" i="91"/>
  <c r="T63" i="91"/>
  <c r="T59" i="91"/>
  <c r="T55" i="91"/>
  <c r="T41" i="91"/>
  <c r="T42" i="91"/>
  <c r="T14" i="91"/>
  <c r="T18" i="91"/>
  <c r="T22" i="91"/>
  <c r="T27" i="91"/>
  <c r="T9" i="91"/>
  <c r="T52" i="91"/>
  <c r="T70" i="91"/>
  <c r="T66" i="91"/>
  <c r="T58" i="91"/>
  <c r="T54" i="91"/>
  <c r="T45" i="91"/>
  <c r="T15" i="91"/>
  <c r="T28" i="91"/>
  <c r="T12" i="91"/>
  <c r="AI22" i="86"/>
  <c r="AI19" i="86"/>
  <c r="AI11" i="86"/>
  <c r="AI15" i="86"/>
  <c r="AI33" i="86"/>
  <c r="AI23" i="86"/>
  <c r="AI17" i="86"/>
  <c r="AI24" i="86"/>
  <c r="AI21" i="86"/>
  <c r="AI13" i="86"/>
  <c r="AI9" i="86"/>
  <c r="AI10" i="86"/>
  <c r="AI45" i="86"/>
  <c r="AI67" i="86"/>
  <c r="AI16" i="86"/>
  <c r="AI46" i="86"/>
  <c r="AI68" i="86"/>
  <c r="AI12" i="86"/>
  <c r="AI44" i="86"/>
  <c r="AI58" i="86"/>
  <c r="AI29" i="86"/>
  <c r="AI61" i="86"/>
  <c r="AI55" i="86"/>
  <c r="AI48" i="86"/>
  <c r="AI43" i="86"/>
  <c r="AI65" i="86"/>
  <c r="AI59" i="86"/>
  <c r="AI26" i="86"/>
  <c r="AI47" i="86"/>
  <c r="AI36" i="86"/>
  <c r="AI31" i="86"/>
  <c r="AI63" i="86"/>
  <c r="AI42" i="86"/>
  <c r="AI64" i="86"/>
  <c r="AI30" i="86"/>
  <c r="AI54" i="86"/>
  <c r="AI70" i="86"/>
  <c r="AI14" i="86"/>
  <c r="AI57" i="86"/>
  <c r="AI52" i="86"/>
  <c r="AI18" i="86"/>
  <c r="AI71" i="86"/>
  <c r="AI28" i="86"/>
  <c r="AI56" i="86"/>
  <c r="AI20" i="86"/>
  <c r="AI62" i="86"/>
  <c r="AI27" i="86"/>
  <c r="AI32" i="86"/>
  <c r="AI60" i="86"/>
  <c r="AI51" i="86"/>
  <c r="AI66" i="86"/>
  <c r="AI69" i="86"/>
  <c r="AI41" i="86"/>
  <c r="AI25" i="86"/>
  <c r="AI8" i="86"/>
  <c r="O8" i="107"/>
  <c r="O42" i="107"/>
  <c r="O44" i="107"/>
  <c r="O72" i="107"/>
  <c r="O25" i="107"/>
  <c r="O56" i="107"/>
  <c r="O36" i="107"/>
  <c r="O15" i="107"/>
  <c r="O51" i="107"/>
  <c r="O59" i="107"/>
  <c r="O58" i="107"/>
  <c r="O17" i="107"/>
  <c r="O28" i="107"/>
  <c r="O18" i="107"/>
  <c r="O49" i="107"/>
  <c r="O13" i="107"/>
  <c r="O61" i="107"/>
  <c r="O21" i="107"/>
  <c r="O19" i="107"/>
  <c r="O12" i="107"/>
  <c r="O69" i="107"/>
  <c r="O43" i="107"/>
  <c r="O64" i="107"/>
  <c r="O26" i="107"/>
  <c r="O65" i="107"/>
  <c r="O52" i="107"/>
  <c r="O46" i="107"/>
  <c r="O48" i="107"/>
  <c r="O23" i="107"/>
  <c r="O9" i="107"/>
  <c r="O16" i="107"/>
  <c r="O11" i="107"/>
  <c r="O68" i="107"/>
  <c r="O10" i="107"/>
  <c r="O60" i="107"/>
  <c r="O57" i="107"/>
  <c r="O67" i="107"/>
  <c r="O29" i="107"/>
  <c r="O66" i="107"/>
  <c r="O31" i="107"/>
  <c r="O45" i="107"/>
  <c r="O47" i="107"/>
  <c r="O14" i="107"/>
  <c r="O27" i="107"/>
  <c r="O24" i="107"/>
  <c r="O71" i="107"/>
  <c r="O63" i="107"/>
  <c r="O32" i="107"/>
  <c r="O55" i="107"/>
  <c r="O70" i="107"/>
  <c r="O30" i="107"/>
  <c r="O20" i="107"/>
  <c r="O22" i="107"/>
  <c r="O33" i="107"/>
  <c r="O62" i="107"/>
  <c r="O54" i="107"/>
  <c r="J8" i="108"/>
  <c r="J47" i="108"/>
  <c r="J43" i="108"/>
  <c r="J72" i="108"/>
  <c r="J14" i="108"/>
  <c r="J23" i="108"/>
  <c r="J21" i="108"/>
  <c r="J26" i="108"/>
  <c r="J69" i="108"/>
  <c r="J54" i="108"/>
  <c r="J65" i="108"/>
  <c r="J22" i="108"/>
  <c r="J28" i="108"/>
  <c r="J30" i="108"/>
  <c r="J55" i="108"/>
  <c r="J45" i="108"/>
  <c r="J36" i="108"/>
  <c r="J16" i="108"/>
  <c r="J9" i="108"/>
  <c r="J15" i="108"/>
  <c r="J10" i="108"/>
  <c r="J63" i="108"/>
  <c r="J24" i="108"/>
  <c r="J64" i="108"/>
  <c r="J66" i="108"/>
  <c r="J62" i="108"/>
  <c r="J59" i="108"/>
  <c r="J60" i="108"/>
  <c r="J12" i="108"/>
  <c r="J42" i="108"/>
  <c r="J25" i="108"/>
  <c r="J48" i="108"/>
  <c r="J33" i="108"/>
  <c r="J67" i="108"/>
  <c r="J46" i="108"/>
  <c r="J20" i="108"/>
  <c r="J19" i="108"/>
  <c r="J51" i="108"/>
  <c r="J68" i="108"/>
  <c r="J61" i="108"/>
  <c r="J32" i="108"/>
  <c r="J44" i="108"/>
  <c r="J11" i="108"/>
  <c r="J71" i="108"/>
  <c r="J57" i="108"/>
  <c r="J29" i="108"/>
  <c r="J70" i="108"/>
  <c r="J56" i="108"/>
  <c r="J17" i="108"/>
  <c r="J18" i="108"/>
  <c r="J58" i="108"/>
  <c r="J31" i="108"/>
  <c r="J49" i="108"/>
  <c r="J13" i="108"/>
  <c r="J27" i="108"/>
  <c r="J52" i="108"/>
  <c r="T38" i="107"/>
  <c r="Y72" i="107"/>
  <c r="T40" i="107"/>
  <c r="T57" i="107"/>
  <c r="Y34" i="107"/>
  <c r="Y41" i="107"/>
  <c r="T29" i="107"/>
  <c r="T28" i="107"/>
  <c r="T22" i="107"/>
  <c r="T47" i="107"/>
  <c r="T25" i="107"/>
  <c r="T20" i="107"/>
  <c r="T66" i="107"/>
  <c r="T17" i="107"/>
  <c r="T16" i="107"/>
  <c r="T11" i="107"/>
  <c r="T44" i="107"/>
  <c r="T15" i="107"/>
  <c r="Y35" i="107"/>
  <c r="T37" i="107"/>
  <c r="T48" i="107"/>
  <c r="T27" i="107"/>
  <c r="T26" i="107"/>
  <c r="T64" i="107"/>
  <c r="T35" i="107"/>
  <c r="T61" i="107"/>
  <c r="T67" i="107"/>
  <c r="T45" i="107"/>
  <c r="T62" i="107"/>
  <c r="T68" i="107"/>
  <c r="T69" i="107"/>
  <c r="T54" i="107"/>
  <c r="Y39" i="107"/>
  <c r="T49" i="107"/>
  <c r="T34" i="107"/>
  <c r="T53" i="107"/>
  <c r="Y49" i="107"/>
  <c r="T30" i="107"/>
  <c r="T21" i="107"/>
  <c r="T50" i="107"/>
  <c r="T33" i="107"/>
  <c r="T32" i="107"/>
  <c r="Y36" i="107"/>
  <c r="T55" i="107"/>
  <c r="T10" i="107"/>
  <c r="T58" i="107"/>
  <c r="T46" i="107"/>
  <c r="T43" i="107"/>
  <c r="T14" i="107"/>
  <c r="T19" i="107"/>
  <c r="T60" i="107"/>
  <c r="Y53" i="107"/>
  <c r="T72" i="107"/>
  <c r="Y37" i="107"/>
  <c r="T18" i="107"/>
  <c r="T36" i="107"/>
  <c r="T52" i="107"/>
  <c r="T42" i="107"/>
  <c r="T9" i="107"/>
  <c r="T51" i="107"/>
  <c r="T31" i="107"/>
  <c r="T59" i="107"/>
  <c r="Y38" i="107"/>
  <c r="T56" i="107"/>
  <c r="Y40" i="107"/>
  <c r="T23" i="107"/>
  <c r="T63" i="107"/>
  <c r="T12" i="107"/>
  <c r="T24" i="107"/>
  <c r="T70" i="107"/>
  <c r="T71" i="107"/>
  <c r="T13" i="107"/>
  <c r="T65" i="107"/>
  <c r="T41" i="107"/>
  <c r="T39" i="107"/>
  <c r="BG77" i="107"/>
  <c r="Y12" i="99"/>
  <c r="Y16" i="99"/>
  <c r="Y20" i="99"/>
  <c r="Y24" i="99"/>
  <c r="Y28" i="99"/>
  <c r="Y32" i="99"/>
  <c r="Y8" i="99"/>
  <c r="Y11" i="99"/>
  <c r="Y15" i="99"/>
  <c r="Y19" i="99"/>
  <c r="Y23" i="99"/>
  <c r="Y27" i="99"/>
  <c r="Y31" i="99"/>
  <c r="Y9" i="99"/>
  <c r="Y13" i="99"/>
  <c r="Y17" i="99"/>
  <c r="Y21" i="99"/>
  <c r="Y25" i="99"/>
  <c r="Y29" i="99"/>
  <c r="Y33" i="99"/>
  <c r="Y14" i="99"/>
  <c r="Y18" i="99"/>
  <c r="Y22" i="99"/>
  <c r="Y26" i="99"/>
  <c r="Y30" i="99"/>
  <c r="Y10" i="99"/>
  <c r="O54" i="108"/>
  <c r="O72" i="108"/>
  <c r="O60" i="108"/>
  <c r="O41" i="108"/>
  <c r="O40" i="108"/>
  <c r="T37" i="108"/>
  <c r="O10" i="108"/>
  <c r="O21" i="108"/>
  <c r="O17" i="108"/>
  <c r="O13" i="108"/>
  <c r="O36" i="108"/>
  <c r="O43" i="108"/>
  <c r="T34" i="108"/>
  <c r="O51" i="108"/>
  <c r="O29" i="108"/>
  <c r="O24" i="108"/>
  <c r="O59" i="108"/>
  <c r="O25" i="108"/>
  <c r="O22" i="108"/>
  <c r="T39" i="108"/>
  <c r="O50" i="108"/>
  <c r="O68" i="108"/>
  <c r="T49" i="108"/>
  <c r="T72" i="108"/>
  <c r="O34" i="108"/>
  <c r="O12" i="108"/>
  <c r="O62" i="108"/>
  <c r="O19" i="108"/>
  <c r="O15" i="108"/>
  <c r="O56" i="108"/>
  <c r="O70" i="108"/>
  <c r="O44" i="108"/>
  <c r="O42" i="108"/>
  <c r="O61" i="108"/>
  <c r="O32" i="108"/>
  <c r="O52" i="108"/>
  <c r="O26" i="108"/>
  <c r="O69" i="108"/>
  <c r="O35" i="108"/>
  <c r="O14" i="108"/>
  <c r="T53" i="108"/>
  <c r="O20" i="108"/>
  <c r="O67" i="108"/>
  <c r="O64" i="108"/>
  <c r="O55" i="108"/>
  <c r="O8" i="108"/>
  <c r="O65" i="108"/>
  <c r="O53" i="108"/>
  <c r="O37" i="108"/>
  <c r="O16" i="108"/>
  <c r="O23" i="108"/>
  <c r="O45" i="108"/>
  <c r="O31" i="108"/>
  <c r="O71" i="108"/>
  <c r="O30" i="108"/>
  <c r="T41" i="108"/>
  <c r="O58" i="108"/>
  <c r="O33" i="108"/>
  <c r="O47" i="108"/>
  <c r="O38" i="108"/>
  <c r="O57" i="108"/>
  <c r="O27" i="108"/>
  <c r="O39" i="108"/>
  <c r="T40" i="108"/>
  <c r="T36" i="108"/>
  <c r="O66" i="108"/>
  <c r="O48" i="108"/>
  <c r="T35" i="108"/>
  <c r="O28" i="108"/>
  <c r="T38" i="108"/>
  <c r="O49" i="108"/>
  <c r="O11" i="108"/>
  <c r="O18" i="108"/>
  <c r="O46" i="108"/>
  <c r="O63" i="108"/>
  <c r="AD70" i="86"/>
  <c r="AD44" i="86"/>
  <c r="AD25" i="86"/>
  <c r="AD15" i="86"/>
  <c r="AD63" i="86"/>
  <c r="AD30" i="86"/>
  <c r="AD12" i="86"/>
  <c r="AD60" i="86"/>
  <c r="AD42" i="86"/>
  <c r="AD18" i="86"/>
  <c r="AD57" i="86"/>
  <c r="AD47" i="86"/>
  <c r="AD28" i="86"/>
  <c r="AD31" i="86"/>
  <c r="AD58" i="86"/>
  <c r="AD48" i="86"/>
  <c r="AD16" i="86"/>
  <c r="AD67" i="86"/>
  <c r="AD54" i="86"/>
  <c r="AD26" i="86"/>
  <c r="AD9" i="86"/>
  <c r="AD64" i="86"/>
  <c r="AD32" i="86"/>
  <c r="AD22" i="86"/>
  <c r="AD61" i="86"/>
  <c r="AD41" i="86"/>
  <c r="AD19" i="86"/>
  <c r="AD8" i="86"/>
  <c r="AD62" i="86"/>
  <c r="AD36" i="86"/>
  <c r="AD20" i="86"/>
  <c r="AD71" i="86"/>
  <c r="AD45" i="86"/>
  <c r="AD17" i="86"/>
  <c r="AD68" i="86"/>
  <c r="AD52" i="86"/>
  <c r="AD23" i="86"/>
  <c r="AD13" i="86"/>
  <c r="AD65" i="86"/>
  <c r="AD33" i="86"/>
  <c r="AD10" i="86"/>
  <c r="AD66" i="86"/>
  <c r="AD55" i="86"/>
  <c r="AD29" i="86"/>
  <c r="AD11" i="86"/>
  <c r="AD59" i="86"/>
  <c r="AD43" i="86"/>
  <c r="AD21" i="86"/>
  <c r="AD56" i="86"/>
  <c r="AD46" i="86"/>
  <c r="AD27" i="86"/>
  <c r="AD69" i="86"/>
  <c r="AD51" i="86"/>
  <c r="AD24" i="86"/>
  <c r="AD14" i="86"/>
  <c r="AD70" i="95"/>
  <c r="AD60" i="95"/>
  <c r="AD57" i="95"/>
  <c r="AD45" i="95"/>
  <c r="AD29" i="95"/>
  <c r="AD10" i="95"/>
  <c r="AD52" i="95"/>
  <c r="AD30" i="95"/>
  <c r="AD23" i="95"/>
  <c r="AD59" i="95"/>
  <c r="AD42" i="95"/>
  <c r="AD24" i="95"/>
  <c r="AD68" i="95"/>
  <c r="AD44" i="95"/>
  <c r="AD11" i="95"/>
  <c r="AD65" i="95"/>
  <c r="AD62" i="95"/>
  <c r="AD9" i="95"/>
  <c r="AD27" i="95"/>
  <c r="AD64" i="95"/>
  <c r="AD33" i="95"/>
  <c r="AD61" i="95"/>
  <c r="AD49" i="95"/>
  <c r="AD22" i="95"/>
  <c r="AD58" i="95"/>
  <c r="AD43" i="95"/>
  <c r="AD13" i="95"/>
  <c r="AD17" i="95"/>
  <c r="AD63" i="95"/>
  <c r="AD32" i="95"/>
  <c r="AD14" i="95"/>
  <c r="AD72" i="95"/>
  <c r="AD48" i="95"/>
  <c r="AD15" i="95"/>
  <c r="AD36" i="95"/>
  <c r="AD67" i="95"/>
  <c r="AD41" i="95"/>
  <c r="AD69" i="95"/>
  <c r="AD55" i="95"/>
  <c r="AD25" i="95"/>
  <c r="AD16" i="95"/>
  <c r="AD66" i="95"/>
  <c r="AD26" i="95"/>
  <c r="AD46" i="95"/>
  <c r="AD71" i="95"/>
  <c r="AD47" i="95"/>
  <c r="AD20" i="95"/>
  <c r="AD8" i="95"/>
  <c r="AD56" i="95"/>
  <c r="AD28" i="95"/>
  <c r="AD54" i="95"/>
  <c r="AD21" i="95"/>
  <c r="AD12" i="95"/>
  <c r="AD31" i="95"/>
  <c r="AD51" i="95"/>
  <c r="AD18" i="95"/>
  <c r="AD19" i="95"/>
  <c r="AD78" i="90"/>
  <c r="AD52" i="90"/>
  <c r="AD23" i="90"/>
  <c r="AD16" i="90"/>
  <c r="AD43" i="90"/>
  <c r="AD63" i="90"/>
  <c r="AD47" i="90"/>
  <c r="AD19" i="90"/>
  <c r="AD61" i="90"/>
  <c r="AD64" i="90"/>
  <c r="AD48" i="90"/>
  <c r="AD20" i="90"/>
  <c r="AD69" i="90"/>
  <c r="AD59" i="90"/>
  <c r="AD54" i="90"/>
  <c r="AD62" i="90"/>
  <c r="AD46" i="90"/>
  <c r="AD27" i="90"/>
  <c r="AD57" i="90"/>
  <c r="AD33" i="90"/>
  <c r="AD67" i="90"/>
  <c r="AD36" i="90"/>
  <c r="AD18" i="90"/>
  <c r="AD26" i="90"/>
  <c r="AD68" i="90"/>
  <c r="AD28" i="90"/>
  <c r="AD10" i="90"/>
  <c r="AD45" i="90"/>
  <c r="AD58" i="90"/>
  <c r="AD66" i="90"/>
  <c r="AD42" i="90"/>
  <c r="AD22" i="90"/>
  <c r="AD65" i="90"/>
  <c r="AD11" i="90"/>
  <c r="AD71" i="90"/>
  <c r="AD31" i="90"/>
  <c r="AD13" i="90"/>
  <c r="AD8" i="90"/>
  <c r="AD56" i="90"/>
  <c r="AD32" i="90"/>
  <c r="AD14" i="90"/>
  <c r="AD29" i="90"/>
  <c r="AD60" i="90"/>
  <c r="AD70" i="90"/>
  <c r="AD30" i="90"/>
  <c r="AD12" i="90"/>
  <c r="AD55" i="90"/>
  <c r="AD15" i="90"/>
  <c r="AD51" i="90"/>
  <c r="AD24" i="90"/>
  <c r="AD17" i="90"/>
  <c r="AD41" i="90"/>
  <c r="AD44" i="90"/>
  <c r="AD25" i="90"/>
  <c r="AD9" i="90"/>
  <c r="AD21" i="90"/>
  <c r="Y62" i="102"/>
  <c r="Y47" i="102"/>
  <c r="Y20" i="102"/>
  <c r="Y61" i="102"/>
  <c r="Y12" i="102"/>
  <c r="Y55" i="102"/>
  <c r="Y25" i="102"/>
  <c r="Y14" i="102"/>
  <c r="Y23" i="102"/>
  <c r="Y68" i="102"/>
  <c r="Y31" i="102"/>
  <c r="Y11" i="102"/>
  <c r="Y65" i="102"/>
  <c r="Y16" i="102"/>
  <c r="Y58" i="102"/>
  <c r="Y56" i="102"/>
  <c r="Y42" i="102"/>
  <c r="Y21" i="102"/>
  <c r="Y45" i="102"/>
  <c r="Y32" i="102"/>
  <c r="Y66" i="102"/>
  <c r="Y41" i="102"/>
  <c r="Y24" i="102"/>
  <c r="Y69" i="102"/>
  <c r="Y71" i="102"/>
  <c r="Y44" i="102"/>
  <c r="Y29" i="102"/>
  <c r="Y18" i="102"/>
  <c r="Y8" i="102"/>
  <c r="Y52" i="102"/>
  <c r="Y26" i="102"/>
  <c r="Y15" i="102"/>
  <c r="Y51" i="102"/>
  <c r="Y13" i="102"/>
  <c r="Y48" i="102"/>
  <c r="Y72" i="102"/>
  <c r="Y9" i="102"/>
  <c r="Y70" i="102"/>
  <c r="Y43" i="102"/>
  <c r="Y28" i="102"/>
  <c r="Y17" i="102"/>
  <c r="Y27" i="102"/>
  <c r="Y67" i="102"/>
  <c r="Y36" i="102"/>
  <c r="Y10" i="102"/>
  <c r="Y46" i="102"/>
  <c r="Y64" i="102"/>
  <c r="Y49" i="102"/>
  <c r="Y22" i="102"/>
  <c r="Y78" i="102"/>
  <c r="Y19" i="102"/>
  <c r="Y60" i="102"/>
  <c r="Y33" i="102"/>
  <c r="Y63" i="102"/>
  <c r="Y57" i="102"/>
  <c r="Y30" i="102"/>
  <c r="Y59" i="102"/>
  <c r="AD67" i="96"/>
  <c r="AD68" i="96"/>
  <c r="AD69" i="96"/>
  <c r="AD55" i="96"/>
  <c r="AD49" i="96"/>
  <c r="AD10" i="96"/>
  <c r="AD9" i="96"/>
  <c r="AD51" i="96"/>
  <c r="AD21" i="96"/>
  <c r="AD19" i="96"/>
  <c r="AD16" i="96"/>
  <c r="AD15" i="96"/>
  <c r="AD52" i="96"/>
  <c r="AD31" i="96"/>
  <c r="AD28" i="96"/>
  <c r="AD63" i="96"/>
  <c r="AD60" i="96"/>
  <c r="AD23" i="96"/>
  <c r="AD14" i="96"/>
  <c r="AD33" i="96"/>
  <c r="AD8" i="96"/>
  <c r="AD70" i="96"/>
  <c r="AD71" i="96"/>
  <c r="AD72" i="96"/>
  <c r="AD58" i="96"/>
  <c r="AD59" i="96"/>
  <c r="AD17" i="96"/>
  <c r="AD25" i="96"/>
  <c r="AD42" i="96"/>
  <c r="AD12" i="96"/>
  <c r="AD24" i="96"/>
  <c r="AD61" i="96"/>
  <c r="AD22" i="96"/>
  <c r="AD45" i="96"/>
  <c r="AD47" i="96"/>
  <c r="AD56" i="96"/>
  <c r="AD57" i="96"/>
  <c r="AD65" i="96"/>
  <c r="AD66" i="96"/>
  <c r="AD54" i="96"/>
  <c r="AD26" i="96"/>
  <c r="AD13" i="96"/>
  <c r="AD29" i="96"/>
  <c r="AD32" i="96"/>
  <c r="AD44" i="96"/>
  <c r="AD43" i="96"/>
  <c r="AD36" i="96"/>
  <c r="AD27" i="96"/>
  <c r="AD20" i="96"/>
  <c r="AD41" i="96"/>
  <c r="AD46" i="96"/>
  <c r="AD11" i="96"/>
  <c r="AD64" i="96"/>
  <c r="AD62" i="96"/>
  <c r="AD30" i="96"/>
  <c r="AD18" i="96"/>
  <c r="AD48" i="96"/>
  <c r="Y49" i="99"/>
  <c r="Y72" i="99"/>
  <c r="Y60" i="99"/>
  <c r="Y42" i="99"/>
  <c r="Y65" i="99"/>
  <c r="Y62" i="99"/>
  <c r="Y48" i="99"/>
  <c r="Y67" i="99"/>
  <c r="Y55" i="99"/>
  <c r="Y64" i="99"/>
  <c r="Y63" i="99"/>
  <c r="Y46" i="99"/>
  <c r="Y69" i="99"/>
  <c r="Y43" i="99"/>
  <c r="Y66" i="99"/>
  <c r="Y41" i="99"/>
  <c r="Y54" i="99"/>
  <c r="Y71" i="99"/>
  <c r="Y36" i="99"/>
  <c r="Y51" i="99"/>
  <c r="Y57" i="99"/>
  <c r="Y52" i="99"/>
  <c r="Y47" i="99"/>
  <c r="Y70" i="99"/>
  <c r="Y56" i="99"/>
  <c r="Y59" i="99"/>
  <c r="Y45" i="99"/>
  <c r="Y61" i="99"/>
  <c r="Y58" i="99"/>
  <c r="Y68" i="99"/>
  <c r="Y44" i="99"/>
  <c r="Y9" i="95"/>
  <c r="Y79" i="90"/>
  <c r="AD80" i="90"/>
  <c r="T79" i="102"/>
  <c r="Y54" i="102"/>
  <c r="AD49" i="86"/>
  <c r="BL74" i="87"/>
  <c r="BL73" i="87" s="1"/>
  <c r="Y60" i="96"/>
  <c r="Y42" i="96"/>
  <c r="Y25" i="96"/>
  <c r="Y47" i="96"/>
  <c r="Y67" i="96"/>
  <c r="Y49" i="96"/>
  <c r="Y18" i="96"/>
  <c r="Y9" i="96"/>
  <c r="Y20" i="96"/>
  <c r="Y62" i="96"/>
  <c r="Y44" i="96"/>
  <c r="Y23" i="96"/>
  <c r="Y51" i="96"/>
  <c r="Y8" i="96"/>
  <c r="Y72" i="96"/>
  <c r="Y56" i="96"/>
  <c r="Y13" i="96"/>
  <c r="Y33" i="96"/>
  <c r="Y16" i="96"/>
  <c r="Y63" i="96"/>
  <c r="Y45" i="96"/>
  <c r="Y22" i="96"/>
  <c r="Y69" i="96"/>
  <c r="Y32" i="96"/>
  <c r="Y58" i="96"/>
  <c r="Y11" i="96"/>
  <c r="Y27" i="96"/>
  <c r="Y12" i="96"/>
  <c r="Y68" i="96"/>
  <c r="Y41" i="96"/>
  <c r="Y17" i="96"/>
  <c r="Y65" i="96"/>
  <c r="Y28" i="96"/>
  <c r="Y59" i="96"/>
  <c r="Y10" i="96"/>
  <c r="Y26" i="96"/>
  <c r="Y61" i="96"/>
  <c r="Y70" i="96"/>
  <c r="Y52" i="96"/>
  <c r="Y15" i="96"/>
  <c r="Y31" i="96"/>
  <c r="Y24" i="96"/>
  <c r="Y64" i="96"/>
  <c r="Y46" i="96"/>
  <c r="Y21" i="96"/>
  <c r="Y57" i="96"/>
  <c r="Y71" i="96"/>
  <c r="Y55" i="96"/>
  <c r="Y14" i="96"/>
  <c r="Y30" i="96"/>
  <c r="Y43" i="96"/>
  <c r="Y66" i="96"/>
  <c r="Y48" i="96"/>
  <c r="Y19" i="96"/>
  <c r="Y54" i="96"/>
  <c r="Y29" i="96"/>
  <c r="Y54" i="95"/>
  <c r="Y8" i="95"/>
  <c r="Y58" i="95"/>
  <c r="Y20" i="95"/>
  <c r="Y12" i="95"/>
  <c r="Y23" i="95"/>
  <c r="Y61" i="95"/>
  <c r="Y17" i="95"/>
  <c r="Y33" i="95"/>
  <c r="Y42" i="95"/>
  <c r="Y64" i="95"/>
  <c r="Y43" i="95"/>
  <c r="Y30" i="95"/>
  <c r="Y59" i="95"/>
  <c r="Y11" i="95"/>
  <c r="Y22" i="95"/>
  <c r="Y70" i="95"/>
  <c r="Y49" i="95"/>
  <c r="Y24" i="95"/>
  <c r="Y16" i="95"/>
  <c r="Y15" i="95"/>
  <c r="Y57" i="95"/>
  <c r="Y21" i="95"/>
  <c r="Y13" i="95"/>
  <c r="Y31" i="95"/>
  <c r="Y60" i="95"/>
  <c r="Y18" i="95"/>
  <c r="Y10" i="95"/>
  <c r="Y46" i="95"/>
  <c r="Y14" i="95"/>
  <c r="Y66" i="95"/>
  <c r="Y45" i="95"/>
  <c r="Y28" i="95"/>
  <c r="Y67" i="95"/>
  <c r="Y69" i="95"/>
  <c r="Y48" i="95"/>
  <c r="Y25" i="95"/>
  <c r="Y72" i="95"/>
  <c r="Y62" i="95"/>
  <c r="Y36" i="95"/>
  <c r="Y32" i="95"/>
  <c r="Y55" i="95"/>
  <c r="Y65" i="95"/>
  <c r="Y44" i="95"/>
  <c r="Y29" i="95"/>
  <c r="Y63" i="95"/>
  <c r="Y68" i="95"/>
  <c r="Y47" i="95"/>
  <c r="Y26" i="95"/>
  <c r="Y71" i="95"/>
  <c r="Y27" i="95"/>
  <c r="Y56" i="95"/>
  <c r="Y19" i="95"/>
  <c r="T60" i="99"/>
  <c r="T42" i="99"/>
  <c r="T25" i="99"/>
  <c r="T57" i="99"/>
  <c r="T32" i="99"/>
  <c r="T59" i="99"/>
  <c r="T36" i="99"/>
  <c r="T26" i="99"/>
  <c r="T51" i="99"/>
  <c r="T9" i="99"/>
  <c r="T58" i="99"/>
  <c r="T11" i="99"/>
  <c r="T27" i="99"/>
  <c r="T20" i="99"/>
  <c r="T72" i="99"/>
  <c r="T56" i="99"/>
  <c r="T13" i="99"/>
  <c r="T29" i="99"/>
  <c r="T47" i="99"/>
  <c r="T71" i="99"/>
  <c r="T55" i="99"/>
  <c r="T14" i="99"/>
  <c r="T30" i="99"/>
  <c r="T43" i="99"/>
  <c r="T70" i="99"/>
  <c r="T52" i="99"/>
  <c r="T15" i="99"/>
  <c r="T31" i="99"/>
  <c r="T8" i="99"/>
  <c r="T68" i="99"/>
  <c r="T41" i="99"/>
  <c r="T17" i="99"/>
  <c r="T33" i="99"/>
  <c r="T12" i="99"/>
  <c r="T67" i="99"/>
  <c r="T49" i="99"/>
  <c r="T18" i="99"/>
  <c r="T69" i="99"/>
  <c r="T16" i="99"/>
  <c r="T66" i="99"/>
  <c r="T48" i="99"/>
  <c r="T19" i="99"/>
  <c r="T10" i="99"/>
  <c r="T64" i="99"/>
  <c r="T46" i="99"/>
  <c r="T21" i="99"/>
  <c r="T54" i="99"/>
  <c r="T24" i="99"/>
  <c r="T63" i="99"/>
  <c r="T45" i="99"/>
  <c r="T22" i="99"/>
  <c r="T61" i="99"/>
  <c r="T28" i="99"/>
  <c r="T62" i="99"/>
  <c r="T44" i="99"/>
  <c r="T23" i="99"/>
  <c r="T65" i="99"/>
  <c r="T8" i="102"/>
  <c r="T68" i="102"/>
  <c r="T41" i="102"/>
  <c r="T17" i="102"/>
  <c r="T33" i="102"/>
  <c r="T20" i="102"/>
  <c r="T67" i="102"/>
  <c r="T49" i="102"/>
  <c r="T18" i="102"/>
  <c r="T10" i="102"/>
  <c r="T24" i="102"/>
  <c r="T62" i="102"/>
  <c r="T44" i="102"/>
  <c r="T23" i="102"/>
  <c r="T69" i="102"/>
  <c r="T28" i="102"/>
  <c r="T64" i="102"/>
  <c r="T46" i="102"/>
  <c r="T21" i="102"/>
  <c r="T65" i="102"/>
  <c r="T32" i="102"/>
  <c r="T63" i="102"/>
  <c r="T45" i="102"/>
  <c r="T22" i="102"/>
  <c r="T54" i="102"/>
  <c r="T78" i="102"/>
  <c r="T58" i="102"/>
  <c r="T11" i="102"/>
  <c r="T27" i="102"/>
  <c r="T61" i="102"/>
  <c r="T80" i="102"/>
  <c r="T60" i="102"/>
  <c r="T42" i="102"/>
  <c r="T25" i="102"/>
  <c r="T57" i="102"/>
  <c r="T59" i="102"/>
  <c r="T36" i="102"/>
  <c r="T26" i="102"/>
  <c r="T51" i="102"/>
  <c r="T70" i="102"/>
  <c r="T52" i="102"/>
  <c r="T15" i="102"/>
  <c r="T31" i="102"/>
  <c r="T47" i="102"/>
  <c r="T72" i="102"/>
  <c r="T56" i="102"/>
  <c r="T13" i="102"/>
  <c r="T29" i="102"/>
  <c r="T43" i="102"/>
  <c r="T71" i="102"/>
  <c r="T55" i="102"/>
  <c r="T14" i="102"/>
  <c r="T30" i="102"/>
  <c r="T12" i="102"/>
  <c r="T66" i="102"/>
  <c r="T48" i="102"/>
  <c r="T19" i="102"/>
  <c r="T9" i="102"/>
  <c r="T16" i="102"/>
  <c r="Y68" i="90"/>
  <c r="Y47" i="90"/>
  <c r="Y24" i="90"/>
  <c r="Y80" i="90"/>
  <c r="Y59" i="90"/>
  <c r="Y13" i="90"/>
  <c r="Y29" i="90"/>
  <c r="Y66" i="90"/>
  <c r="Y45" i="90"/>
  <c r="Y22" i="90"/>
  <c r="Y78" i="90"/>
  <c r="Y57" i="90"/>
  <c r="Y15" i="90"/>
  <c r="Y31" i="90"/>
  <c r="Y12" i="90"/>
  <c r="Y64" i="90"/>
  <c r="Y43" i="90"/>
  <c r="Y28" i="90"/>
  <c r="Y71" i="90"/>
  <c r="Y55" i="90"/>
  <c r="Y17" i="90"/>
  <c r="Y33" i="90"/>
  <c r="Y62" i="90"/>
  <c r="Y36" i="90"/>
  <c r="Y26" i="90"/>
  <c r="Y69" i="90"/>
  <c r="Y48" i="90"/>
  <c r="Y19" i="90"/>
  <c r="Y8" i="90"/>
  <c r="Y60" i="90"/>
  <c r="Y16" i="90"/>
  <c r="Y32" i="90"/>
  <c r="Y67" i="90"/>
  <c r="Y46" i="90"/>
  <c r="Y21" i="90"/>
  <c r="Y58" i="90"/>
  <c r="Y14" i="90"/>
  <c r="Y30" i="90"/>
  <c r="Y65" i="90"/>
  <c r="Y44" i="90"/>
  <c r="Y23" i="90"/>
  <c r="Y54" i="90"/>
  <c r="Y56" i="90"/>
  <c r="Y20" i="90"/>
  <c r="Y9" i="90"/>
  <c r="Y63" i="90"/>
  <c r="Y42" i="90"/>
  <c r="Y25" i="90"/>
  <c r="Y70" i="90"/>
  <c r="Y41" i="90"/>
  <c r="Y18" i="90"/>
  <c r="Y10" i="90"/>
  <c r="Y61" i="90"/>
  <c r="Y11" i="90"/>
  <c r="Y27" i="90"/>
  <c r="Y63" i="86"/>
  <c r="Y42" i="86"/>
  <c r="Y24" i="86"/>
  <c r="Y66" i="86"/>
  <c r="Y45" i="86"/>
  <c r="Y21" i="86"/>
  <c r="Y69" i="86"/>
  <c r="Y48" i="86"/>
  <c r="Y18" i="86"/>
  <c r="Y68" i="86"/>
  <c r="Y47" i="86"/>
  <c r="Y19" i="86"/>
  <c r="Y9" i="86"/>
  <c r="Y59" i="86"/>
  <c r="Y12" i="86"/>
  <c r="Y28" i="86"/>
  <c r="Y62" i="86"/>
  <c r="Y54" i="86"/>
  <c r="Y25" i="86"/>
  <c r="Y65" i="86"/>
  <c r="Y44" i="86"/>
  <c r="Y22" i="86"/>
  <c r="Y64" i="86"/>
  <c r="Y43" i="86"/>
  <c r="Y23" i="86"/>
  <c r="Y30" i="86"/>
  <c r="Y71" i="86"/>
  <c r="Y55" i="86"/>
  <c r="Y16" i="86"/>
  <c r="Y32" i="86"/>
  <c r="Y58" i="86"/>
  <c r="Y13" i="86"/>
  <c r="Y29" i="86"/>
  <c r="Y61" i="86"/>
  <c r="Y41" i="86"/>
  <c r="Y26" i="86"/>
  <c r="Y60" i="86"/>
  <c r="Y11" i="86"/>
  <c r="Y27" i="86"/>
  <c r="Y8" i="86"/>
  <c r="Y67" i="86"/>
  <c r="Y46" i="86"/>
  <c r="Y20" i="86"/>
  <c r="Y70" i="86"/>
  <c r="Y49" i="86"/>
  <c r="Y17" i="86"/>
  <c r="Y33" i="86"/>
  <c r="Y57" i="86"/>
  <c r="Y14" i="86"/>
  <c r="Y10" i="86"/>
  <c r="Y56" i="86"/>
  <c r="Y15" i="86"/>
  <c r="Y31" i="86"/>
  <c r="J8" i="102"/>
  <c r="J43" i="102"/>
  <c r="J21" i="102"/>
  <c r="J27" i="102"/>
  <c r="J66" i="102"/>
  <c r="J16" i="102"/>
  <c r="J12" i="102"/>
  <c r="J64" i="102"/>
  <c r="J62" i="102"/>
  <c r="J61" i="102"/>
  <c r="J60" i="102"/>
  <c r="J25" i="102"/>
  <c r="J71" i="102"/>
  <c r="J59" i="102"/>
  <c r="J48" i="102"/>
  <c r="J17" i="102"/>
  <c r="J56" i="102"/>
  <c r="J30" i="102"/>
  <c r="J15" i="102"/>
  <c r="J67" i="102"/>
  <c r="J70" i="102"/>
  <c r="J44" i="102"/>
  <c r="J19" i="102"/>
  <c r="J36" i="102"/>
  <c r="J42" i="102"/>
  <c r="J24" i="102"/>
  <c r="J57" i="102"/>
  <c r="J31" i="102"/>
  <c r="J11" i="102"/>
  <c r="J65" i="102"/>
  <c r="J68" i="102"/>
  <c r="J45" i="102"/>
  <c r="J14" i="102"/>
  <c r="J52" i="102"/>
  <c r="J72" i="102"/>
  <c r="J33" i="102"/>
  <c r="J18" i="102"/>
  <c r="J55" i="102"/>
  <c r="J46" i="102"/>
  <c r="J54" i="102"/>
  <c r="J41" i="102"/>
  <c r="J13" i="102"/>
  <c r="J51" i="102"/>
  <c r="J32" i="102"/>
  <c r="J10" i="102"/>
  <c r="J49" i="102"/>
  <c r="J63" i="102"/>
  <c r="J29" i="102"/>
  <c r="J20" i="102"/>
  <c r="J26" i="102"/>
  <c r="J47" i="102"/>
  <c r="J28" i="102"/>
  <c r="J9" i="102"/>
  <c r="BK81" i="99"/>
  <c r="BK83" i="99" s="1"/>
  <c r="BK84" i="99" s="1"/>
  <c r="BK86" i="99" s="1"/>
  <c r="BK87" i="99" s="1"/>
  <c r="J69" i="102"/>
  <c r="J58" i="102"/>
  <c r="BL28" i="87"/>
  <c r="BL51" i="87"/>
  <c r="BL50" i="87" s="1"/>
  <c r="BL78" i="87"/>
  <c r="BB60" i="86"/>
  <c r="BB64" i="86"/>
  <c r="BB68" i="86"/>
  <c r="AW66" i="95"/>
  <c r="AW70" i="95"/>
  <c r="AW73" i="95"/>
  <c r="AV54" i="95"/>
  <c r="BO50" i="96"/>
  <c r="BB50" i="86"/>
  <c r="AW43" i="95"/>
  <c r="AW45" i="95"/>
  <c r="AW47" i="95"/>
  <c r="AW51" i="95"/>
  <c r="AW50" i="95" s="1"/>
  <c r="AW59" i="95"/>
  <c r="BP54" i="96"/>
  <c r="BK8" i="87"/>
  <c r="BK38" i="87" s="1"/>
  <c r="BK39" i="87" s="1"/>
  <c r="BL25" i="87"/>
  <c r="BK41" i="87"/>
  <c r="BL68" i="87"/>
  <c r="BA50" i="86"/>
  <c r="BA77" i="86"/>
  <c r="AU5" i="95"/>
  <c r="BK54" i="87"/>
  <c r="BL29" i="87"/>
  <c r="BL30" i="87"/>
  <c r="BB28" i="86"/>
  <c r="BB31" i="86"/>
  <c r="BB29" i="86"/>
  <c r="BA8" i="86"/>
  <c r="BA38" i="86" s="1"/>
  <c r="BA39" i="86" s="1"/>
  <c r="BO41" i="96"/>
  <c r="AZ54" i="86"/>
  <c r="BB59" i="86"/>
  <c r="BO54" i="96"/>
  <c r="BQ54" i="96"/>
  <c r="BU54" i="96" s="1"/>
  <c r="AU54" i="95"/>
  <c r="BQ12" i="96"/>
  <c r="BU12" i="96" s="1"/>
  <c r="AW58" i="95"/>
  <c r="BA54" i="86"/>
  <c r="R76" i="85"/>
  <c r="BJ76" i="99"/>
  <c r="BL75" i="99"/>
  <c r="AZ77" i="86"/>
  <c r="BB56" i="86"/>
  <c r="AZ50" i="86"/>
  <c r="BB41" i="86"/>
  <c r="AZ41" i="86"/>
  <c r="AZ38" i="86"/>
  <c r="BB10" i="86"/>
  <c r="BB35" i="86"/>
  <c r="BJ77" i="87"/>
  <c r="BL56" i="87"/>
  <c r="BJ50" i="87"/>
  <c r="BL41" i="87"/>
  <c r="BL35" i="87"/>
  <c r="BL10" i="87"/>
  <c r="BJ38" i="87"/>
  <c r="BQ52" i="96"/>
  <c r="BQ41" i="96"/>
  <c r="BU41" i="96" s="1"/>
  <c r="BQ10" i="96"/>
  <c r="BU10" i="96" s="1"/>
  <c r="AU50" i="95"/>
  <c r="AW35" i="95"/>
  <c r="H39" i="101" l="1"/>
  <c r="S87" i="138"/>
  <c r="S93" i="138"/>
  <c r="T54" i="138"/>
  <c r="T49" i="138"/>
  <c r="T60" i="138"/>
  <c r="T18" i="138"/>
  <c r="T13" i="138"/>
  <c r="T70" i="138"/>
  <c r="T16" i="138"/>
  <c r="T24" i="138"/>
  <c r="T27" i="138"/>
  <c r="T64" i="138"/>
  <c r="T56" i="138"/>
  <c r="T62" i="138"/>
  <c r="T72" i="138"/>
  <c r="T48" i="138"/>
  <c r="T33" i="138"/>
  <c r="T45" i="138"/>
  <c r="T44" i="138"/>
  <c r="T12" i="138"/>
  <c r="T9" i="138"/>
  <c r="T74" i="138"/>
  <c r="T65" i="138"/>
  <c r="T8" i="138"/>
  <c r="T11" i="138"/>
  <c r="T69" i="138"/>
  <c r="T47" i="138"/>
  <c r="T58" i="138"/>
  <c r="T63" i="138"/>
  <c r="T29" i="138"/>
  <c r="T68" i="138"/>
  <c r="T14" i="138"/>
  <c r="T71" i="138"/>
  <c r="T43" i="138"/>
  <c r="T41" i="138"/>
  <c r="T10" i="138"/>
  <c r="T52" i="138"/>
  <c r="T36" i="138"/>
  <c r="T35" i="138" s="1"/>
  <c r="T19" i="138"/>
  <c r="T57" i="138"/>
  <c r="T17" i="138"/>
  <c r="T22" i="138"/>
  <c r="T67" i="138"/>
  <c r="T28" i="138"/>
  <c r="T55" i="138"/>
  <c r="T15" i="138"/>
  <c r="T61" i="138"/>
  <c r="T46" i="138"/>
  <c r="T51" i="138"/>
  <c r="T59" i="138"/>
  <c r="T31" i="138"/>
  <c r="T23" i="138"/>
  <c r="T26" i="138"/>
  <c r="T21" i="138"/>
  <c r="T32" i="138"/>
  <c r="T20" i="138"/>
  <c r="T25" i="138"/>
  <c r="T66" i="138"/>
  <c r="T42" i="138"/>
  <c r="T30" i="138"/>
  <c r="AN70" i="116"/>
  <c r="AN61" i="116"/>
  <c r="AN16" i="116"/>
  <c r="AN10" i="116"/>
  <c r="AN36" i="116"/>
  <c r="AN21" i="116"/>
  <c r="AN59" i="116"/>
  <c r="AN27" i="116"/>
  <c r="AN63" i="116"/>
  <c r="AN28" i="116"/>
  <c r="AN9" i="116"/>
  <c r="AN58" i="116"/>
  <c r="AN46" i="116"/>
  <c r="AN62" i="116"/>
  <c r="AN49" i="116"/>
  <c r="AN68" i="116"/>
  <c r="AN22" i="116"/>
  <c r="AN66" i="116"/>
  <c r="AN8" i="116"/>
  <c r="AN45" i="116"/>
  <c r="AN19" i="116"/>
  <c r="AN15" i="116"/>
  <c r="AN24" i="116"/>
  <c r="AN47" i="116"/>
  <c r="AN17" i="116"/>
  <c r="AN60" i="116"/>
  <c r="AN65" i="116"/>
  <c r="AN43" i="116"/>
  <c r="AN55" i="116"/>
  <c r="AN57" i="116"/>
  <c r="AN23" i="116"/>
  <c r="AN52" i="116"/>
  <c r="AN54" i="116"/>
  <c r="AN71" i="116"/>
  <c r="AN44" i="116"/>
  <c r="AN64" i="116"/>
  <c r="AN42" i="116"/>
  <c r="AN29" i="116"/>
  <c r="AN12" i="116"/>
  <c r="AN48" i="116"/>
  <c r="AN41" i="116"/>
  <c r="AN30" i="116"/>
  <c r="AN56" i="116"/>
  <c r="AN69" i="116"/>
  <c r="AN26" i="116"/>
  <c r="AN33" i="116"/>
  <c r="AN31" i="116"/>
  <c r="AN32" i="116"/>
  <c r="AN13" i="116"/>
  <c r="AN20" i="116"/>
  <c r="AN72" i="116"/>
  <c r="AN51" i="116"/>
  <c r="AN11" i="116"/>
  <c r="AN18" i="116"/>
  <c r="AN67" i="116"/>
  <c r="AN25" i="116"/>
  <c r="AN14" i="116"/>
  <c r="BX49" i="114"/>
  <c r="BX11" i="114"/>
  <c r="BX68" i="114"/>
  <c r="BX13" i="114"/>
  <c r="BX67" i="114"/>
  <c r="BX44" i="114"/>
  <c r="BX12" i="114"/>
  <c r="BX36" i="114"/>
  <c r="BX42" i="114"/>
  <c r="BX25" i="114"/>
  <c r="BX56" i="114"/>
  <c r="BX23" i="114"/>
  <c r="BX27" i="114"/>
  <c r="BX10" i="114"/>
  <c r="BX46" i="114"/>
  <c r="BX58" i="114"/>
  <c r="BX54" i="114"/>
  <c r="BX47" i="114"/>
  <c r="BX20" i="114"/>
  <c r="BX45" i="114"/>
  <c r="BX24" i="114"/>
  <c r="BX65" i="114"/>
  <c r="BX22" i="114"/>
  <c r="BX14" i="114"/>
  <c r="BX15" i="114"/>
  <c r="BX33" i="114"/>
  <c r="BX19" i="114"/>
  <c r="BX48" i="114"/>
  <c r="BX60" i="114"/>
  <c r="BX16" i="114"/>
  <c r="BX8" i="114"/>
  <c r="BX17" i="114"/>
  <c r="BX51" i="114"/>
  <c r="BX63" i="114"/>
  <c r="BX41" i="114"/>
  <c r="BX30" i="114"/>
  <c r="BX62" i="114"/>
  <c r="BX66" i="114"/>
  <c r="BX18" i="114"/>
  <c r="BX71" i="114"/>
  <c r="BX59" i="114"/>
  <c r="BX31" i="114"/>
  <c r="BX32" i="114"/>
  <c r="BX69" i="114"/>
  <c r="BX9" i="114"/>
  <c r="BX61" i="114"/>
  <c r="BX72" i="114"/>
  <c r="BX29" i="114"/>
  <c r="BX28" i="114"/>
  <c r="BX70" i="114"/>
  <c r="BX43" i="114"/>
  <c r="BX21" i="114"/>
  <c r="BX52" i="114"/>
  <c r="BX55" i="114"/>
  <c r="BX26" i="114"/>
  <c r="BX64" i="114"/>
  <c r="BX57" i="114"/>
  <c r="BW93" i="114"/>
  <c r="BW104" i="114" s="1"/>
  <c r="BW86" i="114"/>
  <c r="BW87" i="114" s="1"/>
  <c r="AN83" i="103"/>
  <c r="AM84" i="103"/>
  <c r="AS83" i="103"/>
  <c r="AR84" i="103"/>
  <c r="BC8" i="127"/>
  <c r="BC67" i="127"/>
  <c r="BC12" i="127"/>
  <c r="BC28" i="127"/>
  <c r="BC33" i="127"/>
  <c r="BC71" i="127"/>
  <c r="BC60" i="127"/>
  <c r="BC45" i="127"/>
  <c r="BC11" i="127"/>
  <c r="BC36" i="127"/>
  <c r="BC35" i="127" s="1"/>
  <c r="BC55" i="127"/>
  <c r="BC51" i="127"/>
  <c r="BC56" i="127"/>
  <c r="BC26" i="127"/>
  <c r="BC19" i="127"/>
  <c r="BC49" i="127"/>
  <c r="BC47" i="127"/>
  <c r="BC15" i="127"/>
  <c r="BC32" i="127"/>
  <c r="BC27" i="127"/>
  <c r="BC64" i="127"/>
  <c r="BC58" i="127"/>
  <c r="BC16" i="127"/>
  <c r="BC59" i="127"/>
  <c r="BC57" i="127"/>
  <c r="BC48" i="127"/>
  <c r="BC29" i="127"/>
  <c r="BC65" i="127"/>
  <c r="BC54" i="127"/>
  <c r="BC72" i="127"/>
  <c r="BC13" i="127"/>
  <c r="BC9" i="127"/>
  <c r="BC66" i="127"/>
  <c r="BC20" i="127"/>
  <c r="BC70" i="127"/>
  <c r="BC62" i="127"/>
  <c r="BC68" i="127"/>
  <c r="BC63" i="127"/>
  <c r="BC74" i="127"/>
  <c r="BC25" i="127"/>
  <c r="BC30" i="127"/>
  <c r="BC44" i="127"/>
  <c r="BC41" i="127"/>
  <c r="BC69" i="127"/>
  <c r="BC61" i="127"/>
  <c r="BC21" i="127"/>
  <c r="BC22" i="127"/>
  <c r="BC43" i="127"/>
  <c r="BC18" i="127"/>
  <c r="BC24" i="127"/>
  <c r="BC42" i="127"/>
  <c r="BC23" i="127"/>
  <c r="BC10" i="127"/>
  <c r="BC46" i="127"/>
  <c r="BC14" i="127"/>
  <c r="BC17" i="127"/>
  <c r="BC52" i="127"/>
  <c r="BC31" i="127"/>
  <c r="BM8" i="103"/>
  <c r="BM54" i="103"/>
  <c r="BM33" i="103"/>
  <c r="BM16" i="103"/>
  <c r="BM14" i="103"/>
  <c r="BM52" i="103"/>
  <c r="BM30" i="103"/>
  <c r="BM56" i="103"/>
  <c r="BM67" i="103"/>
  <c r="BM27" i="103"/>
  <c r="BM68" i="103"/>
  <c r="BM64" i="103"/>
  <c r="BM24" i="103"/>
  <c r="BM11" i="103"/>
  <c r="BM28" i="103"/>
  <c r="BL94" i="103"/>
  <c r="BM58" i="103"/>
  <c r="BM10" i="103"/>
  <c r="BM20" i="103"/>
  <c r="BM46" i="103"/>
  <c r="BM70" i="103"/>
  <c r="BM18" i="103"/>
  <c r="BM47" i="103"/>
  <c r="BM71" i="103"/>
  <c r="BM36" i="103"/>
  <c r="BM65" i="103"/>
  <c r="BM41" i="103"/>
  <c r="BM63" i="103"/>
  <c r="BM51" i="103"/>
  <c r="BM32" i="103"/>
  <c r="BM31" i="103"/>
  <c r="BM12" i="103"/>
  <c r="BM22" i="103"/>
  <c r="BM48" i="103"/>
  <c r="BM23" i="103"/>
  <c r="BM21" i="103"/>
  <c r="BM42" i="103"/>
  <c r="BM19" i="103"/>
  <c r="BM43" i="103"/>
  <c r="BM72" i="103"/>
  <c r="BM59" i="103"/>
  <c r="BM61" i="103"/>
  <c r="BM13" i="103"/>
  <c r="BM26" i="103"/>
  <c r="BM62" i="103"/>
  <c r="BM15" i="103"/>
  <c r="BM69" i="103"/>
  <c r="BM25" i="103"/>
  <c r="BM44" i="103"/>
  <c r="BM66" i="103"/>
  <c r="BM9" i="103"/>
  <c r="BM49" i="103"/>
  <c r="BM60" i="103"/>
  <c r="BM45" i="103"/>
  <c r="BM55" i="103"/>
  <c r="BM17" i="103"/>
  <c r="BM29" i="103"/>
  <c r="BM57" i="103"/>
  <c r="BL54" i="87"/>
  <c r="AT56" i="117"/>
  <c r="AT16" i="117"/>
  <c r="AT14" i="117"/>
  <c r="AT66" i="117"/>
  <c r="AT33" i="117"/>
  <c r="AT20" i="117"/>
  <c r="AT70" i="117"/>
  <c r="AT15" i="117"/>
  <c r="AT25" i="117"/>
  <c r="AT30" i="117"/>
  <c r="AT61" i="117"/>
  <c r="AT46" i="117"/>
  <c r="AT36" i="117"/>
  <c r="AT24" i="117"/>
  <c r="AT49" i="117"/>
  <c r="AT44" i="117"/>
  <c r="AT27" i="117"/>
  <c r="AT58" i="117"/>
  <c r="AT19" i="117"/>
  <c r="AT31" i="117"/>
  <c r="AT57" i="117"/>
  <c r="AT9" i="117"/>
  <c r="AT22" i="117"/>
  <c r="AT45" i="117"/>
  <c r="AT68" i="117"/>
  <c r="AT67" i="117"/>
  <c r="AT55" i="117"/>
  <c r="AT63" i="117"/>
  <c r="AT60" i="117"/>
  <c r="AT32" i="117"/>
  <c r="AT11" i="117"/>
  <c r="AT69" i="117"/>
  <c r="AT65" i="117"/>
  <c r="AT59" i="117"/>
  <c r="AS93" i="117"/>
  <c r="AT54" i="117"/>
  <c r="AT26" i="117"/>
  <c r="AT18" i="117"/>
  <c r="AT13" i="117"/>
  <c r="AT48" i="117"/>
  <c r="AT64" i="117"/>
  <c r="AT21" i="117"/>
  <c r="AT17" i="117"/>
  <c r="AT62" i="117"/>
  <c r="AT23" i="117"/>
  <c r="AT28" i="117"/>
  <c r="AT10" i="117"/>
  <c r="AT42" i="117"/>
  <c r="AT8" i="117"/>
  <c r="AT72" i="117"/>
  <c r="AT43" i="117"/>
  <c r="AT71" i="117"/>
  <c r="AT12" i="117"/>
  <c r="AT52" i="117"/>
  <c r="AT47" i="117"/>
  <c r="AT29" i="117"/>
  <c r="AT41" i="117"/>
  <c r="AT51" i="117"/>
  <c r="AS90" i="117"/>
  <c r="BQ50" i="96"/>
  <c r="BU50" i="96" s="1"/>
  <c r="BU52" i="96"/>
  <c r="BL97" i="102"/>
  <c r="AX54" i="113"/>
  <c r="AX72" i="113"/>
  <c r="AX58" i="113"/>
  <c r="AX26" i="113"/>
  <c r="AX15" i="113"/>
  <c r="AX57" i="113"/>
  <c r="AX18" i="113"/>
  <c r="AX67" i="113"/>
  <c r="AX32" i="113"/>
  <c r="AX36" i="113"/>
  <c r="AX14" i="113"/>
  <c r="AX24" i="113"/>
  <c r="AX8" i="113"/>
  <c r="AX44" i="113"/>
  <c r="AX16" i="113"/>
  <c r="AW93" i="113"/>
  <c r="AX56" i="113"/>
  <c r="AX60" i="113"/>
  <c r="AX19" i="113"/>
  <c r="AX23" i="113"/>
  <c r="AX17" i="113"/>
  <c r="AX69" i="113"/>
  <c r="AX46" i="113"/>
  <c r="AX30" i="113"/>
  <c r="AX9" i="113"/>
  <c r="AX28" i="113"/>
  <c r="AX47" i="113"/>
  <c r="AX64" i="113"/>
  <c r="AX33" i="113"/>
  <c r="AX71" i="113"/>
  <c r="AX49" i="113"/>
  <c r="AX13" i="113"/>
  <c r="AX12" i="113"/>
  <c r="AX70" i="113"/>
  <c r="AX25" i="113"/>
  <c r="AX27" i="113"/>
  <c r="AX21" i="113"/>
  <c r="AX51" i="113"/>
  <c r="AX43" i="113"/>
  <c r="AX62" i="113"/>
  <c r="AX61" i="113"/>
  <c r="AX10" i="113"/>
  <c r="AX55" i="113"/>
  <c r="AX41" i="113"/>
  <c r="AX48" i="113"/>
  <c r="AX52" i="113"/>
  <c r="AX45" i="113"/>
  <c r="AX29" i="113"/>
  <c r="AX31" i="113"/>
  <c r="AX68" i="113"/>
  <c r="AX65" i="113"/>
  <c r="AX66" i="113"/>
  <c r="AX22" i="113"/>
  <c r="AX11" i="113"/>
  <c r="AX63" i="113"/>
  <c r="AX20" i="113"/>
  <c r="AX59" i="113"/>
  <c r="AX42" i="113"/>
  <c r="BL87" i="102"/>
  <c r="BM62" i="102"/>
  <c r="BM11" i="102"/>
  <c r="BM24" i="102"/>
  <c r="BM31" i="102"/>
  <c r="BM58" i="102"/>
  <c r="BM67" i="102"/>
  <c r="BM43" i="102"/>
  <c r="BM25" i="102"/>
  <c r="BM9" i="102"/>
  <c r="BM59" i="102"/>
  <c r="BM68" i="102"/>
  <c r="BM71" i="102"/>
  <c r="BM27" i="102"/>
  <c r="BM72" i="102"/>
  <c r="BM48" i="102"/>
  <c r="BM49" i="102"/>
  <c r="BM45" i="102"/>
  <c r="BM18" i="102"/>
  <c r="BM66" i="102"/>
  <c r="BM8" i="102"/>
  <c r="BM21" i="102"/>
  <c r="BM33" i="102"/>
  <c r="BM14" i="102"/>
  <c r="BM57" i="102"/>
  <c r="BM70" i="102"/>
  <c r="BM56" i="102"/>
  <c r="BM30" i="102"/>
  <c r="BM60" i="102"/>
  <c r="BM22" i="102"/>
  <c r="BM16" i="102"/>
  <c r="BM52" i="102"/>
  <c r="BM10" i="102"/>
  <c r="BM26" i="102"/>
  <c r="BM54" i="102"/>
  <c r="BM69" i="102"/>
  <c r="BM46" i="102"/>
  <c r="BM29" i="102"/>
  <c r="BM61" i="102"/>
  <c r="BM42" i="102"/>
  <c r="BM44" i="102"/>
  <c r="BM12" i="102"/>
  <c r="BM36" i="102"/>
  <c r="BM23" i="102"/>
  <c r="BM17" i="102"/>
  <c r="BM13" i="102"/>
  <c r="BM55" i="102"/>
  <c r="BM64" i="102"/>
  <c r="BM32" i="102"/>
  <c r="BM51" i="102"/>
  <c r="BM41" i="102"/>
  <c r="BM28" i="102"/>
  <c r="BM15" i="102"/>
  <c r="BM63" i="102"/>
  <c r="BM47" i="102"/>
  <c r="BM20" i="102"/>
  <c r="BM19" i="102"/>
  <c r="BM65" i="102"/>
  <c r="BL93" i="102"/>
  <c r="BH70" i="107"/>
  <c r="BH42" i="107"/>
  <c r="BH59" i="107"/>
  <c r="BH9" i="107"/>
  <c r="BH57" i="107"/>
  <c r="BH60" i="107"/>
  <c r="BH32" i="107"/>
  <c r="BH61" i="107"/>
  <c r="BH47" i="107"/>
  <c r="BH41" i="107"/>
  <c r="BH62" i="107"/>
  <c r="BH67" i="107"/>
  <c r="BH25" i="107"/>
  <c r="BH52" i="107"/>
  <c r="BH14" i="107"/>
  <c r="BH11" i="107"/>
  <c r="BH31" i="107"/>
  <c r="BH20" i="107"/>
  <c r="BH72" i="107"/>
  <c r="BH63" i="107"/>
  <c r="BH46" i="107"/>
  <c r="BH10" i="107"/>
  <c r="BH56" i="107"/>
  <c r="BH71" i="107"/>
  <c r="BH36" i="107"/>
  <c r="BH29" i="107"/>
  <c r="BH17" i="107"/>
  <c r="BH51" i="107"/>
  <c r="BH54" i="107"/>
  <c r="BH43" i="107"/>
  <c r="BH69" i="107"/>
  <c r="BH18" i="107"/>
  <c r="BH66" i="107"/>
  <c r="BH8" i="107"/>
  <c r="BH49" i="107"/>
  <c r="BH45" i="107"/>
  <c r="BH48" i="107"/>
  <c r="BH44" i="107"/>
  <c r="BH26" i="107"/>
  <c r="BH28" i="107"/>
  <c r="BH13" i="107"/>
  <c r="BH19" i="107"/>
  <c r="BH68" i="107"/>
  <c r="BH24" i="107"/>
  <c r="BH30" i="107"/>
  <c r="BH58" i="107"/>
  <c r="BH55" i="107"/>
  <c r="BH16" i="107"/>
  <c r="BH15" i="107"/>
  <c r="BH33" i="107"/>
  <c r="BH21" i="107"/>
  <c r="BH64" i="107"/>
  <c r="BH27" i="107"/>
  <c r="BH65" i="107"/>
  <c r="BH12" i="107"/>
  <c r="AW54" i="95"/>
  <c r="BB54" i="86"/>
  <c r="BJ75" i="87"/>
  <c r="AW41" i="95"/>
  <c r="AZ75" i="86"/>
  <c r="BJ39" i="87"/>
  <c r="BK75" i="87"/>
  <c r="AZ39" i="86"/>
  <c r="BA75" i="86"/>
  <c r="BL76" i="99"/>
  <c r="BB8" i="86"/>
  <c r="BL8" i="87"/>
  <c r="BP85" i="90"/>
  <c r="BO85" i="90"/>
  <c r="BP82" i="90"/>
  <c r="BO82" i="90"/>
  <c r="BO77" i="90"/>
  <c r="BQ74" i="90"/>
  <c r="BQ73" i="90" s="1"/>
  <c r="BQ52" i="90"/>
  <c r="BQ51" i="90"/>
  <c r="BP41" i="90"/>
  <c r="BQ42" i="90"/>
  <c r="BQ9" i="90"/>
  <c r="BQ7" i="90"/>
  <c r="BQ6" i="90"/>
  <c r="BQ78" i="90"/>
  <c r="BP77" i="90"/>
  <c r="BP73" i="90"/>
  <c r="BQ71" i="90"/>
  <c r="BP50" i="90"/>
  <c r="BP35" i="90"/>
  <c r="BO35" i="90"/>
  <c r="BP5" i="90"/>
  <c r="BO5" i="90"/>
  <c r="AB85" i="89"/>
  <c r="AA85" i="89"/>
  <c r="AB82" i="89"/>
  <c r="AA82" i="89"/>
  <c r="AA77" i="89"/>
  <c r="AB74" i="89"/>
  <c r="AB73" i="89" s="1"/>
  <c r="AA74" i="89"/>
  <c r="AA73" i="89" s="1"/>
  <c r="AC71" i="89"/>
  <c r="AC68" i="89"/>
  <c r="AC67" i="89"/>
  <c r="AC64" i="89"/>
  <c r="AC63" i="89"/>
  <c r="AC60" i="89"/>
  <c r="AC59" i="89"/>
  <c r="AC56" i="89"/>
  <c r="AA54" i="89"/>
  <c r="AC51" i="89"/>
  <c r="AC45" i="89"/>
  <c r="AA41" i="89"/>
  <c r="AB36" i="89"/>
  <c r="AA36" i="89"/>
  <c r="AA35" i="89" s="1"/>
  <c r="AC32" i="89"/>
  <c r="AC30" i="89"/>
  <c r="AC28" i="89"/>
  <c r="AC26" i="89"/>
  <c r="AC24" i="89"/>
  <c r="AC20" i="89"/>
  <c r="AC19" i="89"/>
  <c r="AC18" i="89"/>
  <c r="AB8" i="89"/>
  <c r="AC16" i="89"/>
  <c r="AA5" i="89"/>
  <c r="AB77" i="89"/>
  <c r="AC70" i="89"/>
  <c r="AC69" i="89"/>
  <c r="AC66" i="89"/>
  <c r="AC65" i="89"/>
  <c r="AC62" i="89"/>
  <c r="AC61" i="89"/>
  <c r="AC58" i="89"/>
  <c r="AC57" i="89"/>
  <c r="AB54" i="89"/>
  <c r="AC52" i="89"/>
  <c r="AB50" i="89"/>
  <c r="AC48" i="89"/>
  <c r="AC47" i="89"/>
  <c r="AC46" i="89"/>
  <c r="AC44" i="89"/>
  <c r="AC43" i="89"/>
  <c r="AC42" i="89"/>
  <c r="AB41" i="89"/>
  <c r="AC33" i="89"/>
  <c r="AC31" i="89"/>
  <c r="AC29" i="89"/>
  <c r="AC27" i="89"/>
  <c r="AC25" i="89"/>
  <c r="AC21" i="89"/>
  <c r="AC17" i="89"/>
  <c r="AC15" i="89"/>
  <c r="AC14" i="89"/>
  <c r="AC13" i="89"/>
  <c r="AC12" i="89"/>
  <c r="AC11" i="89"/>
  <c r="AC10" i="89"/>
  <c r="AC9" i="89"/>
  <c r="AC7" i="89"/>
  <c r="AB5" i="89"/>
  <c r="M54" i="89"/>
  <c r="L54" i="89"/>
  <c r="M54" i="91"/>
  <c r="L54" i="91"/>
  <c r="S97" i="138" l="1"/>
  <c r="AN84" i="103"/>
  <c r="AM86" i="103"/>
  <c r="AM87" i="103" s="1"/>
  <c r="AR86" i="103"/>
  <c r="AR87" i="103" s="1"/>
  <c r="AS84" i="103"/>
  <c r="AC85" i="89"/>
  <c r="AC82" i="89"/>
  <c r="BQ82" i="90"/>
  <c r="AC74" i="89"/>
  <c r="AC73" i="89" s="1"/>
  <c r="BQ5" i="90"/>
  <c r="BA76" i="86"/>
  <c r="BA81" i="86"/>
  <c r="BA83" i="86" s="1"/>
  <c r="BA84" i="86" s="1"/>
  <c r="BA86" i="86" s="1"/>
  <c r="BA87" i="86" s="1"/>
  <c r="AZ81" i="86"/>
  <c r="AZ83" i="86" s="1"/>
  <c r="AZ84" i="86" s="1"/>
  <c r="AZ86" i="86" s="1"/>
  <c r="AZ87" i="86" s="1"/>
  <c r="BK76" i="87"/>
  <c r="BK81" i="87"/>
  <c r="BK83" i="87" s="1"/>
  <c r="BK84" i="87" s="1"/>
  <c r="BK86" i="87" s="1"/>
  <c r="BK87" i="87" s="1"/>
  <c r="BJ76" i="87"/>
  <c r="BJ81" i="87"/>
  <c r="BJ83" i="87" s="1"/>
  <c r="BJ84" i="87" s="1"/>
  <c r="BJ86" i="87" s="1"/>
  <c r="BJ87" i="87" s="1"/>
  <c r="BQ85" i="90"/>
  <c r="AZ76" i="86"/>
  <c r="BO73" i="90"/>
  <c r="AA50" i="89"/>
  <c r="BQ50" i="90"/>
  <c r="AC50" i="89"/>
  <c r="AC36" i="89"/>
  <c r="AC35" i="89" s="1"/>
  <c r="BP54" i="90"/>
  <c r="AA8" i="89"/>
  <c r="AA38" i="89" s="1"/>
  <c r="AA39" i="89" s="1"/>
  <c r="BO54" i="90"/>
  <c r="BP38" i="90"/>
  <c r="BQ54" i="90"/>
  <c r="BB38" i="86"/>
  <c r="BB75" i="86" s="1"/>
  <c r="BB76" i="86" s="1"/>
  <c r="BL38" i="87"/>
  <c r="BO50" i="90"/>
  <c r="BQ41" i="90"/>
  <c r="BO41" i="90"/>
  <c r="BO38" i="90"/>
  <c r="BQ35" i="90"/>
  <c r="AC78" i="89"/>
  <c r="AC55" i="89"/>
  <c r="AB35" i="89"/>
  <c r="AC8" i="89"/>
  <c r="AB38" i="89"/>
  <c r="AB75" i="89" s="1"/>
  <c r="AC6" i="89"/>
  <c r="AC5" i="89" s="1"/>
  <c r="AC41" i="89"/>
  <c r="BE85" i="91"/>
  <c r="BF85" i="91"/>
  <c r="BF82" i="91"/>
  <c r="BE82" i="91"/>
  <c r="BF74" i="91"/>
  <c r="AC38" i="89" l="1"/>
  <c r="AC39" i="89" s="1"/>
  <c r="BP75" i="90"/>
  <c r="BP76" i="90" s="1"/>
  <c r="BE54" i="91"/>
  <c r="BF54" i="91"/>
  <c r="BQ8" i="90"/>
  <c r="AA75" i="89"/>
  <c r="AA81" i="89" s="1"/>
  <c r="AA83" i="89" s="1"/>
  <c r="AA84" i="89" s="1"/>
  <c r="AA86" i="89" s="1"/>
  <c r="AA87" i="89" s="1"/>
  <c r="BP39" i="90"/>
  <c r="BB39" i="86"/>
  <c r="BL39" i="87"/>
  <c r="BL75" i="87"/>
  <c r="BO75" i="90"/>
  <c r="BO39" i="90"/>
  <c r="AC54" i="89"/>
  <c r="AB39" i="89"/>
  <c r="AB81" i="89"/>
  <c r="AB83" i="89" s="1"/>
  <c r="AB84" i="89" s="1"/>
  <c r="AB86" i="89" s="1"/>
  <c r="AB87" i="89" s="1"/>
  <c r="AB76" i="89"/>
  <c r="BG85" i="91"/>
  <c r="BG82" i="91"/>
  <c r="BG78" i="91"/>
  <c r="BF77" i="91"/>
  <c r="BE77" i="91"/>
  <c r="BG74" i="91"/>
  <c r="BG73" i="91" s="1"/>
  <c r="BF73" i="91"/>
  <c r="BE73" i="91"/>
  <c r="BG71" i="91"/>
  <c r="BG70" i="91"/>
  <c r="BG69" i="91"/>
  <c r="BG68" i="91"/>
  <c r="BG67" i="91"/>
  <c r="BG66" i="91"/>
  <c r="BG65" i="91"/>
  <c r="BG64" i="91"/>
  <c r="BG63" i="91"/>
  <c r="BG62" i="91"/>
  <c r="BG61" i="91"/>
  <c r="BG60" i="91"/>
  <c r="BG59" i="91"/>
  <c r="BG58" i="91"/>
  <c r="BG57" i="91"/>
  <c r="BG56" i="91"/>
  <c r="BG55" i="91"/>
  <c r="BG50" i="91"/>
  <c r="BF50" i="91"/>
  <c r="BE50" i="91"/>
  <c r="BF41" i="91"/>
  <c r="BE41" i="91"/>
  <c r="BG36" i="91"/>
  <c r="BF35" i="91"/>
  <c r="BE35" i="91"/>
  <c r="BG33" i="91"/>
  <c r="BG32" i="91"/>
  <c r="BG31" i="91"/>
  <c r="BG30" i="91"/>
  <c r="BG29" i="91"/>
  <c r="BG28" i="91"/>
  <c r="BG27" i="91"/>
  <c r="BG26" i="91"/>
  <c r="BG25" i="91"/>
  <c r="BG21" i="91"/>
  <c r="BG20" i="91"/>
  <c r="BG19" i="91"/>
  <c r="BG18" i="91"/>
  <c r="BG17" i="91"/>
  <c r="BG16" i="91"/>
  <c r="BG15" i="91"/>
  <c r="BG14" i="91"/>
  <c r="BG13" i="91"/>
  <c r="BG12" i="91"/>
  <c r="BG11" i="91"/>
  <c r="BG10" i="91"/>
  <c r="BG9" i="91"/>
  <c r="BF8" i="91"/>
  <c r="BE8" i="91"/>
  <c r="BG7" i="91"/>
  <c r="BG6" i="91"/>
  <c r="I85" i="99"/>
  <c r="E85" i="99"/>
  <c r="I82" i="99"/>
  <c r="E82" i="99"/>
  <c r="E79" i="99"/>
  <c r="I78" i="99"/>
  <c r="E78" i="99"/>
  <c r="H77" i="99"/>
  <c r="G77" i="99"/>
  <c r="D77" i="99"/>
  <c r="C77" i="99"/>
  <c r="I74" i="99"/>
  <c r="I73" i="99" s="1"/>
  <c r="C74" i="99"/>
  <c r="E74" i="99" s="1"/>
  <c r="E73" i="99" s="1"/>
  <c r="H73" i="99"/>
  <c r="G73" i="99"/>
  <c r="D73" i="99"/>
  <c r="I71" i="99"/>
  <c r="E71" i="99"/>
  <c r="I70" i="99"/>
  <c r="E70" i="99"/>
  <c r="I69" i="99"/>
  <c r="E69" i="99"/>
  <c r="I68" i="99"/>
  <c r="E68" i="99"/>
  <c r="I67" i="99"/>
  <c r="E67" i="99"/>
  <c r="I66" i="99"/>
  <c r="E66" i="99"/>
  <c r="I65" i="99"/>
  <c r="E65" i="99"/>
  <c r="I64" i="99"/>
  <c r="E64" i="99"/>
  <c r="I63" i="99"/>
  <c r="E63" i="99"/>
  <c r="I62" i="99"/>
  <c r="E62" i="99"/>
  <c r="I61" i="99"/>
  <c r="E61" i="99"/>
  <c r="I60" i="99"/>
  <c r="E60" i="99"/>
  <c r="I59" i="99"/>
  <c r="E59" i="99"/>
  <c r="I58" i="99"/>
  <c r="E58" i="99"/>
  <c r="I57" i="99"/>
  <c r="E57" i="99"/>
  <c r="I56" i="99"/>
  <c r="E56" i="99"/>
  <c r="I55" i="99"/>
  <c r="E55" i="99"/>
  <c r="D54" i="99"/>
  <c r="C54" i="99"/>
  <c r="I52" i="99"/>
  <c r="E52" i="99"/>
  <c r="I51" i="99"/>
  <c r="E51" i="99"/>
  <c r="E50" i="99" s="1"/>
  <c r="H50" i="99"/>
  <c r="G50" i="99"/>
  <c r="I48" i="99"/>
  <c r="E48" i="99"/>
  <c r="I47" i="99"/>
  <c r="E47" i="99"/>
  <c r="I46" i="99"/>
  <c r="E46" i="99"/>
  <c r="I45" i="99"/>
  <c r="E45" i="99"/>
  <c r="I44" i="99"/>
  <c r="E44" i="99"/>
  <c r="I43" i="99"/>
  <c r="E43" i="99"/>
  <c r="I42" i="99"/>
  <c r="E42" i="99"/>
  <c r="H41" i="99"/>
  <c r="G41" i="99"/>
  <c r="D41" i="99"/>
  <c r="C41" i="99"/>
  <c r="I36" i="99"/>
  <c r="I35" i="99" s="1"/>
  <c r="E36" i="99"/>
  <c r="H35" i="99"/>
  <c r="G35" i="99"/>
  <c r="E35" i="99"/>
  <c r="D35" i="99"/>
  <c r="C35" i="99"/>
  <c r="I33" i="99"/>
  <c r="E33" i="99"/>
  <c r="I32" i="99"/>
  <c r="E32" i="99"/>
  <c r="I31" i="99"/>
  <c r="E31" i="99"/>
  <c r="I30" i="99"/>
  <c r="E30" i="99"/>
  <c r="I29" i="99"/>
  <c r="E29" i="99"/>
  <c r="I28" i="99"/>
  <c r="E28" i="99"/>
  <c r="I27" i="99"/>
  <c r="E27" i="99"/>
  <c r="I26" i="99"/>
  <c r="E26" i="99"/>
  <c r="I25" i="99"/>
  <c r="E25" i="99"/>
  <c r="I24" i="99"/>
  <c r="E24" i="99"/>
  <c r="I21" i="99"/>
  <c r="E21" i="99"/>
  <c r="I20" i="99"/>
  <c r="E20" i="99"/>
  <c r="I19" i="99"/>
  <c r="E19" i="99"/>
  <c r="I18" i="99"/>
  <c r="E18" i="99"/>
  <c r="I17" i="99"/>
  <c r="E17" i="99"/>
  <c r="I16" i="99"/>
  <c r="E16" i="99"/>
  <c r="I15" i="99"/>
  <c r="E15" i="99"/>
  <c r="I14" i="99"/>
  <c r="E14" i="99"/>
  <c r="I13" i="99"/>
  <c r="E13" i="99"/>
  <c r="I12" i="99"/>
  <c r="E12" i="99"/>
  <c r="I11" i="99"/>
  <c r="E11" i="99"/>
  <c r="I10" i="99"/>
  <c r="E10" i="99"/>
  <c r="I9" i="99"/>
  <c r="E9" i="99"/>
  <c r="H8" i="99"/>
  <c r="G8" i="99"/>
  <c r="D8" i="99"/>
  <c r="C8" i="99"/>
  <c r="I7" i="99"/>
  <c r="E7" i="99"/>
  <c r="I6" i="99"/>
  <c r="I5" i="99" s="1"/>
  <c r="E6" i="99"/>
  <c r="E5" i="99" s="1"/>
  <c r="H5" i="99"/>
  <c r="H38" i="99" s="1"/>
  <c r="G5" i="99"/>
  <c r="D5" i="99"/>
  <c r="C5" i="99"/>
  <c r="C38" i="99" s="1"/>
  <c r="C37" i="101" l="1"/>
  <c r="F37" i="101" s="1"/>
  <c r="H37" i="101" s="1"/>
  <c r="E41" i="99"/>
  <c r="I41" i="99"/>
  <c r="E77" i="99"/>
  <c r="E8" i="99"/>
  <c r="E54" i="99"/>
  <c r="AA76" i="89"/>
  <c r="BG5" i="91"/>
  <c r="BE38" i="91"/>
  <c r="BE39" i="91" s="1"/>
  <c r="BF38" i="91"/>
  <c r="BF39" i="91" s="1"/>
  <c r="BQ38" i="90"/>
  <c r="BQ39" i="90" s="1"/>
  <c r="BP81" i="90"/>
  <c r="BP83" i="90" s="1"/>
  <c r="BP84" i="90" s="1"/>
  <c r="BP86" i="90" s="1"/>
  <c r="BP87" i="90" s="1"/>
  <c r="BO81" i="90"/>
  <c r="BO83" i="90" s="1"/>
  <c r="BO84" i="90" s="1"/>
  <c r="BO86" i="90" s="1"/>
  <c r="BO87" i="90" s="1"/>
  <c r="G38" i="99"/>
  <c r="G75" i="99" s="1"/>
  <c r="G76" i="99" s="1"/>
  <c r="BG54" i="91"/>
  <c r="D38" i="99"/>
  <c r="D75" i="99" s="1"/>
  <c r="I54" i="99"/>
  <c r="I79" i="99"/>
  <c r="BL79" i="99" s="1"/>
  <c r="I8" i="99"/>
  <c r="I38" i="99" s="1"/>
  <c r="I39" i="99" s="1"/>
  <c r="BO76" i="90"/>
  <c r="BL76" i="87"/>
  <c r="AC75" i="89"/>
  <c r="BG41" i="91"/>
  <c r="BG8" i="91"/>
  <c r="BG35" i="91"/>
  <c r="C75" i="99"/>
  <c r="C39" i="99"/>
  <c r="H75" i="99"/>
  <c r="H39" i="99"/>
  <c r="C73" i="99"/>
  <c r="I50" i="99"/>
  <c r="N85" i="85"/>
  <c r="N82" i="85"/>
  <c r="N78" i="85"/>
  <c r="M77" i="85"/>
  <c r="L77" i="85"/>
  <c r="N74" i="85"/>
  <c r="N73" i="85" s="1"/>
  <c r="M73" i="85"/>
  <c r="L73" i="85"/>
  <c r="N71" i="85"/>
  <c r="N70" i="85"/>
  <c r="N69" i="85"/>
  <c r="N68" i="85"/>
  <c r="N67" i="85"/>
  <c r="N66" i="85"/>
  <c r="N65" i="85"/>
  <c r="N64" i="85"/>
  <c r="N63" i="85"/>
  <c r="N62" i="85"/>
  <c r="N61" i="85"/>
  <c r="N60" i="85"/>
  <c r="N59" i="85"/>
  <c r="N58" i="85"/>
  <c r="N57" i="85"/>
  <c r="N56" i="85"/>
  <c r="N55" i="85"/>
  <c r="N52" i="85"/>
  <c r="N51" i="85"/>
  <c r="M50" i="85"/>
  <c r="L50" i="85"/>
  <c r="N48" i="85"/>
  <c r="N47" i="85"/>
  <c r="N46" i="85"/>
  <c r="N45" i="85"/>
  <c r="N44" i="85"/>
  <c r="N43" i="85"/>
  <c r="N42" i="85"/>
  <c r="M41" i="85"/>
  <c r="L41" i="85"/>
  <c r="N36" i="85"/>
  <c r="M35" i="85"/>
  <c r="L35" i="85"/>
  <c r="N33" i="85"/>
  <c r="N32" i="85"/>
  <c r="N31" i="85"/>
  <c r="N30" i="85"/>
  <c r="N29" i="85"/>
  <c r="N28" i="85"/>
  <c r="N27" i="85"/>
  <c r="N26" i="85"/>
  <c r="N25" i="85"/>
  <c r="N24" i="85"/>
  <c r="N21" i="85"/>
  <c r="N20" i="85"/>
  <c r="N19" i="85"/>
  <c r="N18" i="85"/>
  <c r="N17" i="85"/>
  <c r="N16" i="85"/>
  <c r="N15" i="85"/>
  <c r="N14" i="85"/>
  <c r="N13" i="85"/>
  <c r="N12" i="85"/>
  <c r="N11" i="85"/>
  <c r="N10" i="85"/>
  <c r="N9" i="85"/>
  <c r="M8" i="85"/>
  <c r="L8" i="85"/>
  <c r="N7" i="85"/>
  <c r="M5" i="85"/>
  <c r="N85" i="86"/>
  <c r="N82" i="86"/>
  <c r="N78" i="86"/>
  <c r="M77" i="86"/>
  <c r="L77" i="86"/>
  <c r="N74" i="86"/>
  <c r="N73" i="86" s="1"/>
  <c r="M73" i="86"/>
  <c r="L73" i="86"/>
  <c r="N71" i="86"/>
  <c r="N70" i="86"/>
  <c r="N69" i="86"/>
  <c r="N68" i="86"/>
  <c r="N67" i="86"/>
  <c r="N66" i="86"/>
  <c r="N65" i="86"/>
  <c r="N64" i="86"/>
  <c r="N63" i="86"/>
  <c r="N62" i="86"/>
  <c r="N61" i="86"/>
  <c r="N60" i="86"/>
  <c r="N59" i="86"/>
  <c r="N58" i="86"/>
  <c r="N57" i="86"/>
  <c r="N56" i="86"/>
  <c r="N55" i="86"/>
  <c r="N52" i="86"/>
  <c r="N51" i="86"/>
  <c r="M50" i="86"/>
  <c r="L50" i="86"/>
  <c r="N48" i="86"/>
  <c r="N47" i="86"/>
  <c r="N46" i="86"/>
  <c r="N45" i="86"/>
  <c r="N44" i="86"/>
  <c r="N43" i="86"/>
  <c r="N42" i="86"/>
  <c r="M41" i="86"/>
  <c r="L41" i="86"/>
  <c r="N36" i="86"/>
  <c r="M35" i="86"/>
  <c r="L35" i="86"/>
  <c r="N33" i="86"/>
  <c r="N32" i="86"/>
  <c r="N31" i="86"/>
  <c r="N30" i="86"/>
  <c r="N29" i="86"/>
  <c r="N28" i="86"/>
  <c r="N27" i="86"/>
  <c r="N26" i="86"/>
  <c r="N25" i="86"/>
  <c r="N24" i="86"/>
  <c r="N21" i="86"/>
  <c r="N20" i="86"/>
  <c r="N19" i="86"/>
  <c r="N18" i="86"/>
  <c r="N17" i="86"/>
  <c r="N16" i="86"/>
  <c r="N15" i="86"/>
  <c r="N14" i="86"/>
  <c r="N13" i="86"/>
  <c r="N12" i="86"/>
  <c r="N11" i="86"/>
  <c r="N10" i="86"/>
  <c r="N9" i="86"/>
  <c r="M8" i="86"/>
  <c r="N79" i="86" s="1"/>
  <c r="L8" i="86"/>
  <c r="N7" i="86"/>
  <c r="N6" i="86"/>
  <c r="N5" i="86" s="1"/>
  <c r="M5" i="86"/>
  <c r="L5" i="86"/>
  <c r="N85" i="87"/>
  <c r="N82" i="87"/>
  <c r="N78" i="87"/>
  <c r="M77" i="87"/>
  <c r="L77" i="87"/>
  <c r="N73" i="87"/>
  <c r="M73" i="87"/>
  <c r="L73" i="87"/>
  <c r="N71" i="87"/>
  <c r="N70" i="87"/>
  <c r="N69" i="87"/>
  <c r="N68" i="87"/>
  <c r="N67" i="87"/>
  <c r="N66" i="87"/>
  <c r="N65" i="87"/>
  <c r="N64" i="87"/>
  <c r="N63" i="87"/>
  <c r="N62" i="87"/>
  <c r="N61" i="87"/>
  <c r="N60" i="87"/>
  <c r="N59" i="87"/>
  <c r="N58" i="87"/>
  <c r="N57" i="87"/>
  <c r="N56" i="87"/>
  <c r="N55" i="87"/>
  <c r="N52" i="87"/>
  <c r="N51" i="87"/>
  <c r="M50" i="87"/>
  <c r="L50" i="87"/>
  <c r="N48" i="87"/>
  <c r="N47" i="87"/>
  <c r="N46" i="87"/>
  <c r="N45" i="87"/>
  <c r="N44" i="87"/>
  <c r="N43" i="87"/>
  <c r="N42" i="87"/>
  <c r="M41" i="87"/>
  <c r="L41" i="87"/>
  <c r="N36" i="87"/>
  <c r="M35" i="87"/>
  <c r="L35" i="87"/>
  <c r="N33" i="87"/>
  <c r="N32" i="87"/>
  <c r="N31" i="87"/>
  <c r="N30" i="87"/>
  <c r="N29" i="87"/>
  <c r="N28" i="87"/>
  <c r="N27" i="87"/>
  <c r="N26" i="87"/>
  <c r="N25" i="87"/>
  <c r="N24" i="87"/>
  <c r="N21" i="87"/>
  <c r="N20" i="87"/>
  <c r="N19" i="87"/>
  <c r="N18" i="87"/>
  <c r="N17" i="87"/>
  <c r="N16" i="87"/>
  <c r="N15" i="87"/>
  <c r="N14" i="87"/>
  <c r="N13" i="87"/>
  <c r="N12" i="87"/>
  <c r="N11" i="87"/>
  <c r="N10" i="87"/>
  <c r="N9" i="87"/>
  <c r="M8" i="87"/>
  <c r="L8" i="87"/>
  <c r="N7" i="87"/>
  <c r="N6" i="87"/>
  <c r="N5" i="87" s="1"/>
  <c r="M5" i="87"/>
  <c r="L5" i="87"/>
  <c r="N85" i="90"/>
  <c r="N82" i="90"/>
  <c r="N78" i="90"/>
  <c r="M77" i="90"/>
  <c r="L77" i="90"/>
  <c r="N74" i="90"/>
  <c r="N73" i="90" s="1"/>
  <c r="M73" i="90"/>
  <c r="L73" i="90"/>
  <c r="N71" i="90"/>
  <c r="N70" i="90"/>
  <c r="N69" i="90"/>
  <c r="N68" i="90"/>
  <c r="N67" i="90"/>
  <c r="N66" i="90"/>
  <c r="N65" i="90"/>
  <c r="N64" i="90"/>
  <c r="N63" i="90"/>
  <c r="N62" i="90"/>
  <c r="N61" i="90"/>
  <c r="N60" i="90"/>
  <c r="N59" i="90"/>
  <c r="N58" i="90"/>
  <c r="N57" i="90"/>
  <c r="N56" i="90"/>
  <c r="N55" i="90"/>
  <c r="N52" i="90"/>
  <c r="N51" i="90"/>
  <c r="M50" i="90"/>
  <c r="L50" i="90"/>
  <c r="N48" i="90"/>
  <c r="N47" i="90"/>
  <c r="N46" i="90"/>
  <c r="N45" i="90"/>
  <c r="N44" i="90"/>
  <c r="N43" i="90"/>
  <c r="N42" i="90"/>
  <c r="M41" i="90"/>
  <c r="L41" i="90"/>
  <c r="N36" i="90"/>
  <c r="M35" i="90"/>
  <c r="L35" i="90"/>
  <c r="N33" i="90"/>
  <c r="N32" i="90"/>
  <c r="N31" i="90"/>
  <c r="N30" i="90"/>
  <c r="N29" i="90"/>
  <c r="N28" i="90"/>
  <c r="N27" i="90"/>
  <c r="N26" i="90"/>
  <c r="N25" i="90"/>
  <c r="N24" i="90"/>
  <c r="N21" i="90"/>
  <c r="N20" i="90"/>
  <c r="N19" i="90"/>
  <c r="N18" i="90"/>
  <c r="N17" i="90"/>
  <c r="N16" i="90"/>
  <c r="N15" i="90"/>
  <c r="N14" i="90"/>
  <c r="N13" i="90"/>
  <c r="N12" i="90"/>
  <c r="N11" i="90"/>
  <c r="N10" i="90"/>
  <c r="N9" i="90"/>
  <c r="M8" i="90"/>
  <c r="L8" i="90"/>
  <c r="N7" i="90"/>
  <c r="N6" i="90"/>
  <c r="N5" i="90" s="1"/>
  <c r="M5" i="90"/>
  <c r="L5" i="90"/>
  <c r="N85" i="89"/>
  <c r="N82" i="89"/>
  <c r="N78" i="89"/>
  <c r="M77" i="89"/>
  <c r="L77" i="89"/>
  <c r="N74" i="89"/>
  <c r="N73" i="89" s="1"/>
  <c r="M73" i="89"/>
  <c r="L73" i="89"/>
  <c r="N71" i="89"/>
  <c r="N70" i="89"/>
  <c r="N69" i="89"/>
  <c r="N68" i="89"/>
  <c r="N67" i="89"/>
  <c r="N66" i="89"/>
  <c r="N65" i="89"/>
  <c r="N64" i="89"/>
  <c r="N63" i="89"/>
  <c r="N62" i="89"/>
  <c r="N61" i="89"/>
  <c r="N60" i="89"/>
  <c r="N59" i="89"/>
  <c r="N58" i="89"/>
  <c r="N57" i="89"/>
  <c r="N56" i="89"/>
  <c r="N55" i="89"/>
  <c r="N52" i="89"/>
  <c r="N51" i="89"/>
  <c r="M50" i="89"/>
  <c r="L50" i="89"/>
  <c r="N48" i="89"/>
  <c r="N47" i="89"/>
  <c r="N46" i="89"/>
  <c r="N45" i="89"/>
  <c r="N44" i="89"/>
  <c r="N43" i="89"/>
  <c r="N42" i="89"/>
  <c r="M41" i="89"/>
  <c r="L41" i="89"/>
  <c r="N36" i="89"/>
  <c r="N35" i="89" s="1"/>
  <c r="M35" i="89"/>
  <c r="L35" i="89"/>
  <c r="N33" i="89"/>
  <c r="N32" i="89"/>
  <c r="N31" i="89"/>
  <c r="N30" i="89"/>
  <c r="N29" i="89"/>
  <c r="N28" i="89"/>
  <c r="N27" i="89"/>
  <c r="N26" i="89"/>
  <c r="N25" i="89"/>
  <c r="N24" i="89"/>
  <c r="N21" i="89"/>
  <c r="N20" i="89"/>
  <c r="N19" i="89"/>
  <c r="N18" i="89"/>
  <c r="N17" i="89"/>
  <c r="N16" i="89"/>
  <c r="N15" i="89"/>
  <c r="N14" i="89"/>
  <c r="N13" i="89"/>
  <c r="N12" i="89"/>
  <c r="N11" i="89"/>
  <c r="N10" i="89"/>
  <c r="N9" i="89"/>
  <c r="M8" i="89"/>
  <c r="L8" i="89"/>
  <c r="N7" i="89"/>
  <c r="N6" i="89"/>
  <c r="N5" i="89" s="1"/>
  <c r="M5" i="89"/>
  <c r="M38" i="89" s="1"/>
  <c r="L5" i="89"/>
  <c r="N85" i="91"/>
  <c r="N82" i="91"/>
  <c r="N78" i="91"/>
  <c r="M77" i="91"/>
  <c r="L77" i="91"/>
  <c r="N74" i="91"/>
  <c r="N73" i="91" s="1"/>
  <c r="M73" i="91"/>
  <c r="L73" i="91"/>
  <c r="N71" i="91"/>
  <c r="N70" i="91"/>
  <c r="N69" i="91"/>
  <c r="N68" i="91"/>
  <c r="N67" i="91"/>
  <c r="N66" i="91"/>
  <c r="N65" i="91"/>
  <c r="N64" i="91"/>
  <c r="N63" i="91"/>
  <c r="N62" i="91"/>
  <c r="N61" i="91"/>
  <c r="N60" i="91"/>
  <c r="N59" i="91"/>
  <c r="N58" i="91"/>
  <c r="N57" i="91"/>
  <c r="N56" i="91"/>
  <c r="N55" i="91"/>
  <c r="N52" i="91"/>
  <c r="N51" i="91"/>
  <c r="M50" i="91"/>
  <c r="L50" i="91"/>
  <c r="N48" i="91"/>
  <c r="N47" i="91"/>
  <c r="N46" i="91"/>
  <c r="N45" i="91"/>
  <c r="N44" i="91"/>
  <c r="N43" i="91"/>
  <c r="N42" i="91"/>
  <c r="M41" i="91"/>
  <c r="L41" i="91"/>
  <c r="N36" i="91"/>
  <c r="N35" i="91" s="1"/>
  <c r="M35" i="91"/>
  <c r="L35" i="91"/>
  <c r="N33" i="91"/>
  <c r="N32" i="91"/>
  <c r="N31" i="91"/>
  <c r="N30" i="91"/>
  <c r="N29" i="91"/>
  <c r="N28" i="91"/>
  <c r="N27" i="91"/>
  <c r="N26" i="91"/>
  <c r="N25" i="91"/>
  <c r="N24" i="91"/>
  <c r="N21" i="91"/>
  <c r="N20" i="91"/>
  <c r="N19" i="91"/>
  <c r="N18" i="91"/>
  <c r="N17" i="91"/>
  <c r="N16" i="91"/>
  <c r="N15" i="91"/>
  <c r="N14" i="91"/>
  <c r="N13" i="91"/>
  <c r="N12" i="91"/>
  <c r="N11" i="91"/>
  <c r="N10" i="91"/>
  <c r="N9" i="91"/>
  <c r="M8" i="91"/>
  <c r="L8" i="91"/>
  <c r="N7" i="91"/>
  <c r="N6" i="91"/>
  <c r="N5" i="91" s="1"/>
  <c r="M5" i="91"/>
  <c r="L5" i="91"/>
  <c r="H36" i="101" l="1"/>
  <c r="E89" i="99"/>
  <c r="F36" i="99" s="1"/>
  <c r="D39" i="99"/>
  <c r="G81" i="99"/>
  <c r="G83" i="99" s="1"/>
  <c r="G84" i="99" s="1"/>
  <c r="G86" i="99" s="1"/>
  <c r="G87" i="99" s="1"/>
  <c r="L38" i="91"/>
  <c r="L75" i="91" s="1"/>
  <c r="G39" i="99"/>
  <c r="E38" i="99"/>
  <c r="N41" i="87"/>
  <c r="N79" i="85"/>
  <c r="N50" i="85"/>
  <c r="N41" i="91"/>
  <c r="N79" i="89"/>
  <c r="N77" i="89" s="1"/>
  <c r="N41" i="85"/>
  <c r="N41" i="89"/>
  <c r="N50" i="89"/>
  <c r="N79" i="87"/>
  <c r="N77" i="87" s="1"/>
  <c r="N50" i="91"/>
  <c r="M38" i="85"/>
  <c r="M75" i="85" s="1"/>
  <c r="BE75" i="91"/>
  <c r="BE76" i="91" s="1"/>
  <c r="BF75" i="91"/>
  <c r="BF81" i="91" s="1"/>
  <c r="BF83" i="91" s="1"/>
  <c r="BF84" i="91" s="1"/>
  <c r="BF86" i="91" s="1"/>
  <c r="BF87" i="91" s="1"/>
  <c r="BQ75" i="90"/>
  <c r="BQ76" i="90" s="1"/>
  <c r="N79" i="90"/>
  <c r="N54" i="90"/>
  <c r="N50" i="90"/>
  <c r="N50" i="87"/>
  <c r="M38" i="91"/>
  <c r="M39" i="91" s="1"/>
  <c r="N54" i="91"/>
  <c r="N8" i="91"/>
  <c r="N38" i="91" s="1"/>
  <c r="N79" i="91"/>
  <c r="N54" i="89"/>
  <c r="N54" i="87"/>
  <c r="N41" i="86"/>
  <c r="N50" i="86"/>
  <c r="N8" i="85"/>
  <c r="N54" i="85"/>
  <c r="L38" i="87"/>
  <c r="L75" i="87" s="1"/>
  <c r="N8" i="87"/>
  <c r="N38" i="87" s="1"/>
  <c r="M38" i="87"/>
  <c r="M75" i="87" s="1"/>
  <c r="N41" i="90"/>
  <c r="I89" i="99"/>
  <c r="BL77" i="99"/>
  <c r="BL89" i="99"/>
  <c r="BL81" i="99"/>
  <c r="BL83" i="99" s="1"/>
  <c r="BL84" i="99" s="1"/>
  <c r="BL86" i="99" s="1"/>
  <c r="BL87" i="99" s="1"/>
  <c r="I77" i="99"/>
  <c r="N8" i="86"/>
  <c r="N38" i="86" s="1"/>
  <c r="L38" i="86"/>
  <c r="L75" i="86" s="1"/>
  <c r="M38" i="86"/>
  <c r="M75" i="86" s="1"/>
  <c r="N8" i="89"/>
  <c r="N38" i="89" s="1"/>
  <c r="N39" i="89" s="1"/>
  <c r="L38" i="89"/>
  <c r="L75" i="89" s="1"/>
  <c r="N54" i="86"/>
  <c r="N8" i="90"/>
  <c r="L38" i="90"/>
  <c r="L39" i="90" s="1"/>
  <c r="M38" i="90"/>
  <c r="M39" i="90" s="1"/>
  <c r="AC76" i="89"/>
  <c r="BG38" i="91"/>
  <c r="BG75" i="91" s="1"/>
  <c r="F8" i="99"/>
  <c r="F44" i="99"/>
  <c r="F54" i="99"/>
  <c r="F72" i="99"/>
  <c r="F33" i="99"/>
  <c r="F32" i="99"/>
  <c r="F31" i="99"/>
  <c r="F30" i="99"/>
  <c r="F29" i="99"/>
  <c r="F28" i="99"/>
  <c r="F27" i="99"/>
  <c r="F26" i="99"/>
  <c r="F25" i="99"/>
  <c r="F24" i="99"/>
  <c r="F21" i="99"/>
  <c r="F20" i="99"/>
  <c r="F19" i="99"/>
  <c r="F18" i="99"/>
  <c r="F17" i="99"/>
  <c r="F16" i="99"/>
  <c r="F15" i="99"/>
  <c r="F14" i="99"/>
  <c r="F13" i="99"/>
  <c r="F12" i="99"/>
  <c r="F11" i="99"/>
  <c r="F10" i="99"/>
  <c r="F9" i="99"/>
  <c r="F71" i="99"/>
  <c r="F69" i="99"/>
  <c r="F66" i="99"/>
  <c r="F63" i="99"/>
  <c r="F60" i="99"/>
  <c r="F57" i="99"/>
  <c r="F70" i="99"/>
  <c r="F67" i="99"/>
  <c r="F65" i="99"/>
  <c r="F62" i="99"/>
  <c r="F59" i="99"/>
  <c r="F56" i="99"/>
  <c r="F85" i="99"/>
  <c r="F79" i="99"/>
  <c r="F68" i="99"/>
  <c r="F64" i="99"/>
  <c r="F61" i="99"/>
  <c r="F58" i="99"/>
  <c r="F55" i="99"/>
  <c r="F52" i="99"/>
  <c r="F51" i="99"/>
  <c r="F41" i="99"/>
  <c r="F43" i="99"/>
  <c r="F50" i="99"/>
  <c r="F42" i="99"/>
  <c r="I75" i="99"/>
  <c r="F45" i="99"/>
  <c r="F73" i="99"/>
  <c r="F35" i="99"/>
  <c r="C81" i="99"/>
  <c r="C83" i="99" s="1"/>
  <c r="C84" i="99" s="1"/>
  <c r="C86" i="99" s="1"/>
  <c r="C87" i="99" s="1"/>
  <c r="C76" i="99"/>
  <c r="F46" i="99"/>
  <c r="H81" i="99"/>
  <c r="H83" i="99" s="1"/>
  <c r="H84" i="99" s="1"/>
  <c r="H86" i="99" s="1"/>
  <c r="H87" i="99" s="1"/>
  <c r="H76" i="99"/>
  <c r="F48" i="99"/>
  <c r="D81" i="99"/>
  <c r="D83" i="99" s="1"/>
  <c r="D84" i="99" s="1"/>
  <c r="D86" i="99" s="1"/>
  <c r="D87" i="99" s="1"/>
  <c r="D76" i="99"/>
  <c r="F47" i="99"/>
  <c r="F82" i="99"/>
  <c r="N35" i="85"/>
  <c r="N77" i="86"/>
  <c r="M39" i="86"/>
  <c r="N35" i="86"/>
  <c r="N35" i="87"/>
  <c r="N35" i="90"/>
  <c r="M39" i="89"/>
  <c r="M75" i="89"/>
  <c r="L39" i="91"/>
  <c r="BL90" i="99" l="1"/>
  <c r="L39" i="86"/>
  <c r="E39" i="99"/>
  <c r="E75" i="99"/>
  <c r="L39" i="87"/>
  <c r="M75" i="91"/>
  <c r="BL93" i="99"/>
  <c r="M39" i="85"/>
  <c r="M39" i="87"/>
  <c r="N89" i="85"/>
  <c r="O62" i="85" s="1"/>
  <c r="BE81" i="91"/>
  <c r="BE83" i="91" s="1"/>
  <c r="BE84" i="91" s="1"/>
  <c r="BE86" i="91" s="1"/>
  <c r="BE87" i="91" s="1"/>
  <c r="J48" i="99"/>
  <c r="BF76" i="91"/>
  <c r="AH77" i="87"/>
  <c r="AH86" i="87"/>
  <c r="AH87" i="87" s="1"/>
  <c r="N77" i="90"/>
  <c r="N89" i="91"/>
  <c r="L75" i="90"/>
  <c r="L81" i="90" s="1"/>
  <c r="L83" i="90" s="1"/>
  <c r="L84" i="90" s="1"/>
  <c r="L86" i="90" s="1"/>
  <c r="L87" i="90" s="1"/>
  <c r="BM24" i="99"/>
  <c r="BM23" i="99"/>
  <c r="BM21" i="99"/>
  <c r="BM25" i="99"/>
  <c r="BM22" i="99"/>
  <c r="J41" i="99"/>
  <c r="J16" i="99"/>
  <c r="J54" i="99"/>
  <c r="J20" i="99"/>
  <c r="J15" i="99"/>
  <c r="J18" i="99"/>
  <c r="J49" i="99"/>
  <c r="N38" i="90"/>
  <c r="N75" i="90" s="1"/>
  <c r="N81" i="90" s="1"/>
  <c r="N83" i="90" s="1"/>
  <c r="N84" i="90" s="1"/>
  <c r="N89" i="90"/>
  <c r="J59" i="99"/>
  <c r="J26" i="99"/>
  <c r="J71" i="99"/>
  <c r="J28" i="99"/>
  <c r="J31" i="99"/>
  <c r="J58" i="99"/>
  <c r="J64" i="99"/>
  <c r="J69" i="99"/>
  <c r="J60" i="99"/>
  <c r="J21" i="99"/>
  <c r="J32" i="99"/>
  <c r="J42" i="99"/>
  <c r="J72" i="99"/>
  <c r="J29" i="99"/>
  <c r="J30" i="99"/>
  <c r="J27" i="99"/>
  <c r="J10" i="99"/>
  <c r="J70" i="99"/>
  <c r="J63" i="99"/>
  <c r="J36" i="99"/>
  <c r="N77" i="85"/>
  <c r="J11" i="99"/>
  <c r="J67" i="99"/>
  <c r="J66" i="99"/>
  <c r="J52" i="99"/>
  <c r="J8" i="99"/>
  <c r="J57" i="99"/>
  <c r="J9" i="99"/>
  <c r="J68" i="99"/>
  <c r="J25" i="99"/>
  <c r="J56" i="99"/>
  <c r="J24" i="99"/>
  <c r="J47" i="99"/>
  <c r="J46" i="99"/>
  <c r="J44" i="99"/>
  <c r="J19" i="99"/>
  <c r="J51" i="99"/>
  <c r="J14" i="99"/>
  <c r="J61" i="99"/>
  <c r="J17" i="99"/>
  <c r="J65" i="99"/>
  <c r="J62" i="99"/>
  <c r="J13" i="99"/>
  <c r="J33" i="99"/>
  <c r="J12" i="99"/>
  <c r="J55" i="99"/>
  <c r="J45" i="99"/>
  <c r="J43" i="99"/>
  <c r="N77" i="91"/>
  <c r="N89" i="87"/>
  <c r="AD9" i="87" s="1"/>
  <c r="N39" i="86"/>
  <c r="N75" i="86"/>
  <c r="N76" i="86" s="1"/>
  <c r="N89" i="86"/>
  <c r="AX72" i="86" s="1"/>
  <c r="N75" i="87"/>
  <c r="N81" i="87" s="1"/>
  <c r="N83" i="87" s="1"/>
  <c r="N84" i="87" s="1"/>
  <c r="N86" i="87" s="1"/>
  <c r="N87" i="87" s="1"/>
  <c r="N39" i="87"/>
  <c r="BM69" i="99"/>
  <c r="BM52" i="99"/>
  <c r="BM29" i="99"/>
  <c r="BM11" i="99"/>
  <c r="BM20" i="99"/>
  <c r="BM64" i="99"/>
  <c r="BM47" i="99"/>
  <c r="BM62" i="99"/>
  <c r="BM71" i="99"/>
  <c r="BM55" i="99"/>
  <c r="BM31" i="99"/>
  <c r="BM13" i="99"/>
  <c r="BM45" i="99"/>
  <c r="BM68" i="99"/>
  <c r="BM16" i="99"/>
  <c r="BM58" i="99"/>
  <c r="BM65" i="99"/>
  <c r="BM48" i="99"/>
  <c r="BM70" i="99"/>
  <c r="BM8" i="99"/>
  <c r="BM60" i="99"/>
  <c r="BM43" i="99"/>
  <c r="BM18" i="99"/>
  <c r="BM49" i="99"/>
  <c r="BM67" i="99"/>
  <c r="BM41" i="99"/>
  <c r="BM27" i="99"/>
  <c r="BM9" i="99"/>
  <c r="BM26" i="99"/>
  <c r="BM36" i="99"/>
  <c r="BM59" i="99"/>
  <c r="BM61" i="99"/>
  <c r="BM44" i="99"/>
  <c r="BM19" i="99"/>
  <c r="BM54" i="99"/>
  <c r="BM72" i="99"/>
  <c r="BM56" i="99"/>
  <c r="BM32" i="99"/>
  <c r="BM14" i="99"/>
  <c r="BM30" i="99"/>
  <c r="BM63" i="99"/>
  <c r="BM46" i="99"/>
  <c r="BM66" i="99"/>
  <c r="BM12" i="99"/>
  <c r="BM51" i="99"/>
  <c r="BM42" i="99"/>
  <c r="BM57" i="99"/>
  <c r="BM33" i="99"/>
  <c r="BM15" i="99"/>
  <c r="BM28" i="99"/>
  <c r="BM10" i="99"/>
  <c r="BM17" i="99"/>
  <c r="L39" i="89"/>
  <c r="M75" i="90"/>
  <c r="M81" i="90" s="1"/>
  <c r="M83" i="90" s="1"/>
  <c r="BG39" i="91"/>
  <c r="I81" i="99"/>
  <c r="I83" i="99" s="1"/>
  <c r="I84" i="99" s="1"/>
  <c r="I86" i="99" s="1"/>
  <c r="I87" i="99" s="1"/>
  <c r="I76" i="99"/>
  <c r="M81" i="85"/>
  <c r="M83" i="85" s="1"/>
  <c r="M84" i="85" s="1"/>
  <c r="M86" i="85" s="1"/>
  <c r="M87" i="85" s="1"/>
  <c r="M76" i="85"/>
  <c r="M81" i="86"/>
  <c r="M83" i="86" s="1"/>
  <c r="M84" i="86" s="1"/>
  <c r="M86" i="86" s="1"/>
  <c r="M87" i="86" s="1"/>
  <c r="M76" i="86"/>
  <c r="L81" i="86"/>
  <c r="L83" i="86" s="1"/>
  <c r="L84" i="86" s="1"/>
  <c r="L86" i="86" s="1"/>
  <c r="L87" i="86" s="1"/>
  <c r="L76" i="86"/>
  <c r="M81" i="87"/>
  <c r="M83" i="87" s="1"/>
  <c r="M84" i="87" s="1"/>
  <c r="M86" i="87" s="1"/>
  <c r="M87" i="87" s="1"/>
  <c r="M76" i="87"/>
  <c r="L81" i="87"/>
  <c r="L83" i="87" s="1"/>
  <c r="L84" i="87" s="1"/>
  <c r="L86" i="87" s="1"/>
  <c r="L87" i="87" s="1"/>
  <c r="L76" i="87"/>
  <c r="L76" i="90"/>
  <c r="N89" i="89"/>
  <c r="Y36" i="89" s="1"/>
  <c r="N75" i="89"/>
  <c r="M81" i="89"/>
  <c r="M83" i="89" s="1"/>
  <c r="M84" i="89" s="1"/>
  <c r="M86" i="89" s="1"/>
  <c r="M87" i="89" s="1"/>
  <c r="M76" i="89"/>
  <c r="L81" i="89"/>
  <c r="L83" i="89" s="1"/>
  <c r="L84" i="89" s="1"/>
  <c r="L86" i="89" s="1"/>
  <c r="L87" i="89" s="1"/>
  <c r="L76" i="89"/>
  <c r="L81" i="91"/>
  <c r="L83" i="91" s="1"/>
  <c r="L84" i="91" s="1"/>
  <c r="L86" i="91" s="1"/>
  <c r="L87" i="91" s="1"/>
  <c r="L76" i="91"/>
  <c r="N75" i="91"/>
  <c r="N39" i="91"/>
  <c r="M81" i="91"/>
  <c r="M83" i="91" s="1"/>
  <c r="M84" i="91" s="1"/>
  <c r="M86" i="91" s="1"/>
  <c r="M87" i="91" s="1"/>
  <c r="M76" i="91"/>
  <c r="I46" i="85"/>
  <c r="I45" i="85"/>
  <c r="I44" i="85"/>
  <c r="I43" i="85"/>
  <c r="I42" i="85"/>
  <c r="I64" i="85"/>
  <c r="I63" i="85"/>
  <c r="I62" i="85"/>
  <c r="I61" i="85"/>
  <c r="I60" i="85"/>
  <c r="I59" i="85"/>
  <c r="I58" i="85"/>
  <c r="I57" i="85"/>
  <c r="I56" i="85"/>
  <c r="I55" i="85"/>
  <c r="H73" i="85"/>
  <c r="G73" i="85"/>
  <c r="AS72" i="86" l="1"/>
  <c r="N76" i="90"/>
  <c r="N39" i="90"/>
  <c r="E76" i="99"/>
  <c r="E81" i="99"/>
  <c r="E83" i="99" s="1"/>
  <c r="E84" i="99" s="1"/>
  <c r="E86" i="99" s="1"/>
  <c r="E87" i="99" s="1"/>
  <c r="T36" i="89"/>
  <c r="O20" i="91"/>
  <c r="O44" i="91"/>
  <c r="BH68" i="91"/>
  <c r="BH17" i="91"/>
  <c r="O29" i="91"/>
  <c r="O30" i="91"/>
  <c r="O57" i="91"/>
  <c r="BH21" i="91"/>
  <c r="BH16" i="91"/>
  <c r="BH55" i="91"/>
  <c r="O49" i="91"/>
  <c r="O11" i="91"/>
  <c r="BH36" i="91"/>
  <c r="O32" i="91"/>
  <c r="O58" i="91"/>
  <c r="O24" i="91"/>
  <c r="O18" i="91"/>
  <c r="BH25" i="91"/>
  <c r="BH31" i="91"/>
  <c r="BH33" i="91"/>
  <c r="BH48" i="91"/>
  <c r="BH65" i="91"/>
  <c r="BH61" i="91"/>
  <c r="O51" i="91"/>
  <c r="O28" i="91"/>
  <c r="O60" i="91"/>
  <c r="O19" i="91"/>
  <c r="O42" i="91"/>
  <c r="O70" i="91"/>
  <c r="O9" i="91"/>
  <c r="O27" i="91"/>
  <c r="O12" i="91"/>
  <c r="BH51" i="91"/>
  <c r="BH64" i="91"/>
  <c r="BH12" i="91"/>
  <c r="BH10" i="91"/>
  <c r="BH47" i="91"/>
  <c r="BH70" i="91"/>
  <c r="BH13" i="91"/>
  <c r="O59" i="91"/>
  <c r="O26" i="91"/>
  <c r="O56" i="91"/>
  <c r="O54" i="91"/>
  <c r="O17" i="91"/>
  <c r="O72" i="91"/>
  <c r="BH8" i="91"/>
  <c r="O8" i="91"/>
  <c r="BH67" i="91"/>
  <c r="BH19" i="91"/>
  <c r="BH59" i="91"/>
  <c r="BH27" i="91"/>
  <c r="BH18" i="91"/>
  <c r="BH29" i="91"/>
  <c r="O47" i="91"/>
  <c r="O57" i="85"/>
  <c r="O11" i="85"/>
  <c r="O19" i="85"/>
  <c r="O69" i="85"/>
  <c r="O32" i="85"/>
  <c r="O44" i="85"/>
  <c r="O70" i="85"/>
  <c r="O59" i="85"/>
  <c r="O29" i="85"/>
  <c r="O56" i="85"/>
  <c r="O64" i="85"/>
  <c r="O26" i="85"/>
  <c r="O12" i="85"/>
  <c r="O41" i="85"/>
  <c r="O67" i="91"/>
  <c r="BH22" i="91"/>
  <c r="BH24" i="91"/>
  <c r="BH23" i="91"/>
  <c r="AN49" i="90"/>
  <c r="AI72" i="86"/>
  <c r="AN72" i="86"/>
  <c r="O48" i="91"/>
  <c r="O64" i="91"/>
  <c r="O36" i="91"/>
  <c r="O62" i="91"/>
  <c r="O13" i="91"/>
  <c r="O21" i="91"/>
  <c r="O31" i="91"/>
  <c r="O43" i="91"/>
  <c r="O55" i="91"/>
  <c r="O14" i="91"/>
  <c r="BH20" i="91"/>
  <c r="BH66" i="91"/>
  <c r="BH69" i="91"/>
  <c r="BH60" i="91"/>
  <c r="BH57" i="91"/>
  <c r="BH15" i="91"/>
  <c r="BH52" i="91"/>
  <c r="BH28" i="91"/>
  <c r="BH44" i="91"/>
  <c r="BH56" i="91"/>
  <c r="BH42" i="91"/>
  <c r="BH11" i="91"/>
  <c r="BH49" i="91"/>
  <c r="O69" i="91"/>
  <c r="O10" i="91"/>
  <c r="O41" i="91"/>
  <c r="O45" i="91"/>
  <c r="O52" i="91"/>
  <c r="O66" i="91"/>
  <c r="O46" i="91"/>
  <c r="O68" i="91"/>
  <c r="O15" i="91"/>
  <c r="O25" i="91"/>
  <c r="O33" i="91"/>
  <c r="O65" i="91"/>
  <c r="O71" i="91"/>
  <c r="O63" i="91"/>
  <c r="BH14" i="91"/>
  <c r="BH46" i="91"/>
  <c r="BH63" i="91"/>
  <c r="BH30" i="91"/>
  <c r="BH9" i="91"/>
  <c r="BH43" i="91"/>
  <c r="BH58" i="91"/>
  <c r="BH45" i="91"/>
  <c r="BH62" i="91"/>
  <c r="BH26" i="91"/>
  <c r="BH71" i="91"/>
  <c r="BH32" i="91"/>
  <c r="BH72" i="91"/>
  <c r="O16" i="91"/>
  <c r="BH54" i="91"/>
  <c r="O61" i="91"/>
  <c r="AI49" i="90"/>
  <c r="O24" i="90"/>
  <c r="AD67" i="87"/>
  <c r="AD61" i="87"/>
  <c r="AD32" i="87"/>
  <c r="AD45" i="87"/>
  <c r="AD72" i="87"/>
  <c r="AD69" i="87"/>
  <c r="AD64" i="87"/>
  <c r="AD55" i="87"/>
  <c r="AD26" i="87"/>
  <c r="AD65" i="87"/>
  <c r="AD59" i="87"/>
  <c r="AD49" i="87"/>
  <c r="AD71" i="87"/>
  <c r="AD63" i="87"/>
  <c r="AD57" i="87"/>
  <c r="AD43" i="87"/>
  <c r="AD28" i="87"/>
  <c r="AD62" i="87"/>
  <c r="AD51" i="87"/>
  <c r="AD30" i="87"/>
  <c r="AD11" i="87"/>
  <c r="AD25" i="87"/>
  <c r="AD31" i="87"/>
  <c r="AD66" i="87"/>
  <c r="AD13" i="87"/>
  <c r="AD44" i="87"/>
  <c r="AD36" i="87"/>
  <c r="AD10" i="87"/>
  <c r="AD27" i="87"/>
  <c r="AD70" i="87"/>
  <c r="AD42" i="87"/>
  <c r="AD15" i="87"/>
  <c r="AD12" i="87"/>
  <c r="AD46" i="87"/>
  <c r="AD17" i="87"/>
  <c r="AD14" i="87"/>
  <c r="AD41" i="87"/>
  <c r="AD29" i="87"/>
  <c r="AD16" i="87"/>
  <c r="AD52" i="87"/>
  <c r="AD19" i="87"/>
  <c r="AD21" i="87"/>
  <c r="AD58" i="87"/>
  <c r="AD18" i="87"/>
  <c r="AD48" i="87"/>
  <c r="AD20" i="87"/>
  <c r="AD60" i="87"/>
  <c r="AD33" i="87"/>
  <c r="AD56" i="87"/>
  <c r="BH41" i="91"/>
  <c r="T36" i="91"/>
  <c r="O32" i="90"/>
  <c r="AD49" i="90"/>
  <c r="AD72" i="86"/>
  <c r="O27" i="90"/>
  <c r="Y49" i="90"/>
  <c r="Y52" i="90"/>
  <c r="Y51" i="90"/>
  <c r="Y30" i="87"/>
  <c r="Y32" i="87"/>
  <c r="Y72" i="87"/>
  <c r="Y49" i="87"/>
  <c r="Y26" i="87"/>
  <c r="Y10" i="87"/>
  <c r="Y33" i="87"/>
  <c r="Y28" i="87"/>
  <c r="Y12" i="87"/>
  <c r="Y20" i="87"/>
  <c r="Y71" i="87"/>
  <c r="Y29" i="87"/>
  <c r="Y60" i="87"/>
  <c r="Y18" i="87"/>
  <c r="Y46" i="87"/>
  <c r="Y69" i="87"/>
  <c r="Y15" i="87"/>
  <c r="Y41" i="87"/>
  <c r="Y66" i="87"/>
  <c r="Y43" i="87"/>
  <c r="Y31" i="87"/>
  <c r="Y59" i="87"/>
  <c r="Y13" i="87"/>
  <c r="Y45" i="87"/>
  <c r="Y64" i="87"/>
  <c r="Y57" i="87"/>
  <c r="Y19" i="87"/>
  <c r="Y70" i="87"/>
  <c r="Y44" i="87"/>
  <c r="Y63" i="87"/>
  <c r="Y17" i="87"/>
  <c r="Y52" i="87"/>
  <c r="Y11" i="87"/>
  <c r="Y27" i="87"/>
  <c r="Y61" i="87"/>
  <c r="Y25" i="87"/>
  <c r="Y58" i="87"/>
  <c r="Y9" i="87"/>
  <c r="Y55" i="87"/>
  <c r="Y16" i="87"/>
  <c r="Y48" i="87"/>
  <c r="Y67" i="87"/>
  <c r="Y21" i="87"/>
  <c r="Y56" i="87"/>
  <c r="Y14" i="87"/>
  <c r="Y42" i="87"/>
  <c r="Y65" i="87"/>
  <c r="Y36" i="87"/>
  <c r="Y62" i="87"/>
  <c r="Y51" i="87"/>
  <c r="O64" i="86"/>
  <c r="Y72" i="86"/>
  <c r="Y51" i="86"/>
  <c r="Y36" i="86"/>
  <c r="Y52" i="86"/>
  <c r="N81" i="86"/>
  <c r="N83" i="86" s="1"/>
  <c r="N84" i="86" s="1"/>
  <c r="N86" i="86" s="1"/>
  <c r="N87" i="86" s="1"/>
  <c r="O42" i="85"/>
  <c r="O67" i="85"/>
  <c r="O51" i="85"/>
  <c r="O65" i="85"/>
  <c r="O14" i="85"/>
  <c r="O28" i="85"/>
  <c r="O15" i="85"/>
  <c r="O25" i="85"/>
  <c r="O33" i="85"/>
  <c r="O24" i="85"/>
  <c r="O36" i="85"/>
  <c r="O61" i="85"/>
  <c r="O30" i="86"/>
  <c r="O54" i="85"/>
  <c r="O47" i="85"/>
  <c r="O60" i="85"/>
  <c r="O48" i="85"/>
  <c r="O10" i="85"/>
  <c r="O16" i="85"/>
  <c r="O13" i="85"/>
  <c r="O21" i="85"/>
  <c r="O31" i="85"/>
  <c r="O18" i="85"/>
  <c r="O49" i="85"/>
  <c r="O43" i="85"/>
  <c r="O66" i="85"/>
  <c r="O45" i="85"/>
  <c r="O71" i="85"/>
  <c r="O46" i="85"/>
  <c r="O55" i="85"/>
  <c r="O58" i="85"/>
  <c r="O20" i="85"/>
  <c r="O9" i="85"/>
  <c r="O17" i="85"/>
  <c r="O27" i="85"/>
  <c r="O72" i="85"/>
  <c r="O30" i="85"/>
  <c r="O8" i="85"/>
  <c r="O68" i="85"/>
  <c r="O63" i="85"/>
  <c r="O52" i="85"/>
  <c r="O49" i="90"/>
  <c r="T36" i="90"/>
  <c r="T52" i="90"/>
  <c r="T49" i="90"/>
  <c r="T45" i="90"/>
  <c r="T43" i="90"/>
  <c r="T47" i="90"/>
  <c r="T44" i="90"/>
  <c r="T48" i="90"/>
  <c r="T46" i="90"/>
  <c r="T42" i="90"/>
  <c r="T51" i="90"/>
  <c r="T41" i="90"/>
  <c r="O47" i="87"/>
  <c r="T72" i="87"/>
  <c r="T49" i="87"/>
  <c r="T15" i="87"/>
  <c r="T33" i="87"/>
  <c r="T17" i="87"/>
  <c r="T9" i="87"/>
  <c r="T19" i="87"/>
  <c r="T11" i="87"/>
  <c r="T13" i="87"/>
  <c r="T57" i="87"/>
  <c r="T25" i="87"/>
  <c r="T70" i="87"/>
  <c r="T46" i="87"/>
  <c r="T30" i="87"/>
  <c r="T59" i="87"/>
  <c r="T10" i="87"/>
  <c r="T31" i="87"/>
  <c r="T60" i="87"/>
  <c r="T43" i="87"/>
  <c r="T71" i="87"/>
  <c r="T27" i="87"/>
  <c r="T55" i="87"/>
  <c r="T69" i="87"/>
  <c r="T29" i="87"/>
  <c r="T58" i="87"/>
  <c r="T65" i="87"/>
  <c r="T12" i="87"/>
  <c r="T44" i="87"/>
  <c r="T63" i="87"/>
  <c r="T18" i="87"/>
  <c r="T45" i="87"/>
  <c r="T64" i="87"/>
  <c r="T66" i="87"/>
  <c r="T26" i="87"/>
  <c r="T36" i="87"/>
  <c r="T62" i="87"/>
  <c r="T16" i="87"/>
  <c r="T20" i="87"/>
  <c r="T48" i="87"/>
  <c r="T67" i="87"/>
  <c r="T42" i="87"/>
  <c r="T21" i="87"/>
  <c r="T52" i="87"/>
  <c r="T51" i="87"/>
  <c r="T32" i="87"/>
  <c r="T14" i="87"/>
  <c r="T28" i="87"/>
  <c r="T61" i="87"/>
  <c r="T56" i="87"/>
  <c r="T41" i="87"/>
  <c r="O47" i="86"/>
  <c r="O31" i="86"/>
  <c r="T72" i="86"/>
  <c r="T49" i="86"/>
  <c r="T11" i="86"/>
  <c r="T36" i="86"/>
  <c r="T62" i="86"/>
  <c r="T44" i="86"/>
  <c r="T67" i="86"/>
  <c r="T45" i="86"/>
  <c r="T64" i="86"/>
  <c r="T14" i="86"/>
  <c r="T42" i="86"/>
  <c r="T15" i="86"/>
  <c r="T43" i="86"/>
  <c r="T66" i="86"/>
  <c r="T48" i="86"/>
  <c r="T71" i="86"/>
  <c r="T52" i="86"/>
  <c r="T68" i="86"/>
  <c r="T46" i="86"/>
  <c r="T69" i="86"/>
  <c r="T70" i="86"/>
  <c r="T59" i="86"/>
  <c r="T9" i="86"/>
  <c r="T56" i="86"/>
  <c r="T57" i="86"/>
  <c r="T51" i="86"/>
  <c r="T58" i="86"/>
  <c r="T12" i="86"/>
  <c r="T63" i="86"/>
  <c r="T13" i="86"/>
  <c r="T60" i="86"/>
  <c r="T10" i="86"/>
  <c r="T61" i="86"/>
  <c r="T55" i="86"/>
  <c r="T41" i="86"/>
  <c r="O60" i="86"/>
  <c r="O69" i="86"/>
  <c r="M84" i="90"/>
  <c r="M86" i="90" s="1"/>
  <c r="M87" i="90" s="1"/>
  <c r="O57" i="86"/>
  <c r="O18" i="86"/>
  <c r="O55" i="86"/>
  <c r="O66" i="86"/>
  <c r="O32" i="86"/>
  <c r="O59" i="86"/>
  <c r="O9" i="86"/>
  <c r="O33" i="86"/>
  <c r="O44" i="87"/>
  <c r="O67" i="87"/>
  <c r="O24" i="87"/>
  <c r="N86" i="90"/>
  <c r="N87" i="90" s="1"/>
  <c r="O21" i="87"/>
  <c r="O14" i="87"/>
  <c r="O58" i="87"/>
  <c r="O65" i="87"/>
  <c r="O24" i="86"/>
  <c r="O61" i="86"/>
  <c r="O67" i="86"/>
  <c r="O52" i="86"/>
  <c r="O29" i="86"/>
  <c r="O20" i="86"/>
  <c r="O41" i="86"/>
  <c r="O71" i="86"/>
  <c r="O28" i="86"/>
  <c r="O62" i="86"/>
  <c r="O42" i="86"/>
  <c r="O26" i="86"/>
  <c r="O51" i="86"/>
  <c r="O13" i="87"/>
  <c r="O48" i="87"/>
  <c r="O52" i="87"/>
  <c r="O21" i="86"/>
  <c r="O14" i="86"/>
  <c r="O46" i="86"/>
  <c r="O65" i="86"/>
  <c r="O45" i="86"/>
  <c r="O19" i="86"/>
  <c r="O12" i="86"/>
  <c r="O54" i="86"/>
  <c r="O72" i="86"/>
  <c r="O10" i="86"/>
  <c r="O15" i="86"/>
  <c r="O43" i="86"/>
  <c r="O49" i="86"/>
  <c r="O25" i="86"/>
  <c r="O32" i="87"/>
  <c r="O61" i="87"/>
  <c r="O13" i="86"/>
  <c r="O44" i="86"/>
  <c r="O70" i="86"/>
  <c r="O27" i="86"/>
  <c r="O36" i="86"/>
  <c r="O11" i="86"/>
  <c r="O48" i="86"/>
  <c r="O58" i="86"/>
  <c r="O17" i="86"/>
  <c r="O68" i="86"/>
  <c r="O8" i="86"/>
  <c r="O56" i="86"/>
  <c r="O63" i="86"/>
  <c r="O16" i="86"/>
  <c r="O19" i="90"/>
  <c r="O10" i="90"/>
  <c r="O56" i="90"/>
  <c r="O46" i="90"/>
  <c r="O68" i="90"/>
  <c r="O52" i="90"/>
  <c r="O47" i="90"/>
  <c r="O44" i="90"/>
  <c r="O20" i="90"/>
  <c r="O31" i="90"/>
  <c r="N76" i="87"/>
  <c r="O31" i="87"/>
  <c r="O33" i="87"/>
  <c r="O19" i="87"/>
  <c r="O9" i="87"/>
  <c r="O26" i="87"/>
  <c r="O12" i="87"/>
  <c r="O68" i="87"/>
  <c r="O45" i="87"/>
  <c r="O62" i="87"/>
  <c r="O55" i="87"/>
  <c r="O29" i="87"/>
  <c r="O17" i="87"/>
  <c r="O49" i="87"/>
  <c r="O20" i="87"/>
  <c r="O10" i="87"/>
  <c r="O57" i="87"/>
  <c r="O56" i="87"/>
  <c r="O36" i="87"/>
  <c r="O66" i="87"/>
  <c r="O59" i="87"/>
  <c r="O51" i="87"/>
  <c r="O27" i="87"/>
  <c r="O15" i="87"/>
  <c r="O30" i="87"/>
  <c r="O18" i="87"/>
  <c r="O8" i="87"/>
  <c r="O54" i="87"/>
  <c r="O64" i="87"/>
  <c r="O42" i="87"/>
  <c r="O70" i="87"/>
  <c r="O63" i="87"/>
  <c r="O72" i="87"/>
  <c r="O25" i="87"/>
  <c r="O11" i="87"/>
  <c r="O28" i="87"/>
  <c r="O16" i="87"/>
  <c r="O60" i="87"/>
  <c r="O41" i="87"/>
  <c r="O69" i="87"/>
  <c r="O46" i="87"/>
  <c r="O43" i="87"/>
  <c r="O71" i="87"/>
  <c r="M76" i="90"/>
  <c r="O11" i="90"/>
  <c r="O45" i="90"/>
  <c r="O59" i="90"/>
  <c r="O17" i="90"/>
  <c r="O57" i="90"/>
  <c r="O43" i="90"/>
  <c r="O33" i="90"/>
  <c r="O30" i="90"/>
  <c r="O42" i="90"/>
  <c r="O67" i="90"/>
  <c r="O21" i="90"/>
  <c r="O60" i="90"/>
  <c r="O70" i="90"/>
  <c r="O8" i="90"/>
  <c r="O18" i="90"/>
  <c r="O69" i="90"/>
  <c r="O28" i="90"/>
  <c r="O9" i="90"/>
  <c r="O36" i="90"/>
  <c r="O63" i="90"/>
  <c r="O25" i="90"/>
  <c r="O48" i="90"/>
  <c r="O66" i="90"/>
  <c r="O65" i="90"/>
  <c r="O13" i="90"/>
  <c r="O41" i="90"/>
  <c r="O55" i="90"/>
  <c r="O29" i="90"/>
  <c r="O16" i="90"/>
  <c r="O58" i="90"/>
  <c r="O72" i="90"/>
  <c r="O12" i="90"/>
  <c r="O62" i="90"/>
  <c r="O51" i="90"/>
  <c r="O15" i="90"/>
  <c r="O61" i="90"/>
  <c r="O64" i="90"/>
  <c r="O14" i="90"/>
  <c r="O26" i="90"/>
  <c r="O54" i="90"/>
  <c r="O71" i="90"/>
  <c r="O16" i="89"/>
  <c r="BG76" i="91"/>
  <c r="N81" i="89"/>
  <c r="N83" i="89" s="1"/>
  <c r="N84" i="89" s="1"/>
  <c r="N86" i="89" s="1"/>
  <c r="N87" i="89" s="1"/>
  <c r="N76" i="89"/>
  <c r="O30" i="89"/>
  <c r="O26" i="89"/>
  <c r="O20" i="89"/>
  <c r="O12" i="89"/>
  <c r="O10" i="89"/>
  <c r="O72" i="89"/>
  <c r="O49" i="89"/>
  <c r="O32" i="89"/>
  <c r="O28" i="89"/>
  <c r="O24" i="89"/>
  <c r="O18" i="89"/>
  <c r="O14" i="89"/>
  <c r="O46" i="89"/>
  <c r="O70" i="89"/>
  <c r="O15" i="89"/>
  <c r="O59" i="89"/>
  <c r="O11" i="89"/>
  <c r="O8" i="89"/>
  <c r="O27" i="89"/>
  <c r="O52" i="89"/>
  <c r="O68" i="89"/>
  <c r="O58" i="89"/>
  <c r="O29" i="89"/>
  <c r="O43" i="89"/>
  <c r="O63" i="89"/>
  <c r="O25" i="89"/>
  <c r="O13" i="89"/>
  <c r="O31" i="89"/>
  <c r="O56" i="89"/>
  <c r="O51" i="89"/>
  <c r="O57" i="89"/>
  <c r="O19" i="89"/>
  <c r="O62" i="89"/>
  <c r="O45" i="89"/>
  <c r="O42" i="89"/>
  <c r="O47" i="89"/>
  <c r="O67" i="89"/>
  <c r="O41" i="89"/>
  <c r="O36" i="89"/>
  <c r="O17" i="89"/>
  <c r="O44" i="89"/>
  <c r="O60" i="89"/>
  <c r="O9" i="89"/>
  <c r="O69" i="89"/>
  <c r="O33" i="89"/>
  <c r="O66" i="89"/>
  <c r="O65" i="89"/>
  <c r="O55" i="89"/>
  <c r="O71" i="89"/>
  <c r="O61" i="89"/>
  <c r="O21" i="89"/>
  <c r="O48" i="89"/>
  <c r="O64" i="89"/>
  <c r="O54" i="89"/>
  <c r="N81" i="91"/>
  <c r="N83" i="91" s="1"/>
  <c r="N84" i="91" s="1"/>
  <c r="N86" i="91" s="1"/>
  <c r="N87" i="91" s="1"/>
  <c r="N76" i="91"/>
  <c r="M35" i="96" l="1"/>
  <c r="L35" i="96"/>
  <c r="M35" i="95"/>
  <c r="L35" i="95"/>
  <c r="G35" i="95"/>
  <c r="H8" i="89" l="1"/>
  <c r="G8" i="89"/>
  <c r="L21" i="88" l="1"/>
  <c r="AQ66" i="88" l="1"/>
  <c r="AP63" i="88"/>
  <c r="AP50" i="88"/>
  <c r="AP45" i="88"/>
  <c r="AK23" i="88" l="1"/>
  <c r="AL17" i="88"/>
  <c r="AF22" i="88"/>
  <c r="C38" i="93" l="1"/>
  <c r="C18" i="93" l="1"/>
  <c r="C24" i="93"/>
  <c r="E15" i="93"/>
  <c r="G21" i="96" l="1"/>
  <c r="H28" i="96"/>
  <c r="BP28" i="96" s="1"/>
  <c r="G28" i="96"/>
  <c r="BO28" i="96" s="1"/>
  <c r="BO21" i="96" l="1"/>
  <c r="BQ21" i="96" s="1"/>
  <c r="BU21" i="96" s="1"/>
  <c r="BQ28" i="96"/>
  <c r="BU28" i="96" s="1"/>
  <c r="G24" i="96"/>
  <c r="G19" i="95"/>
  <c r="AU19" i="95" s="1"/>
  <c r="G24" i="95"/>
  <c r="AU24" i="95" s="1"/>
  <c r="G28" i="95"/>
  <c r="AU28" i="95" s="1"/>
  <c r="BO24" i="96" l="1"/>
  <c r="BQ24" i="96" s="1"/>
  <c r="BU24" i="96" s="1"/>
  <c r="BP8" i="96"/>
  <c r="BP38" i="96" s="1"/>
  <c r="BP75" i="96" s="1"/>
  <c r="BO8" i="96"/>
  <c r="BO38" i="96" s="1"/>
  <c r="BO75" i="96" s="1"/>
  <c r="BO81" i="96" s="1"/>
  <c r="BO83" i="96" s="1"/>
  <c r="BO84" i="96" s="1"/>
  <c r="AW28" i="95"/>
  <c r="AW24" i="95"/>
  <c r="AW19" i="95"/>
  <c r="G21" i="95"/>
  <c r="AU21" i="95" s="1"/>
  <c r="BP76" i="96" l="1"/>
  <c r="BP81" i="96"/>
  <c r="BO76" i="96"/>
  <c r="BO39" i="96"/>
  <c r="BP39" i="96"/>
  <c r="BQ8" i="96"/>
  <c r="AW21" i="95"/>
  <c r="H29" i="95"/>
  <c r="AV29" i="95" s="1"/>
  <c r="H31" i="95"/>
  <c r="AV31" i="95" s="1"/>
  <c r="H12" i="95"/>
  <c r="AV12" i="95" s="1"/>
  <c r="BP83" i="96" l="1"/>
  <c r="BP84" i="96" s="1"/>
  <c r="BP86" i="96" s="1"/>
  <c r="BQ38" i="96"/>
  <c r="BU38" i="96" s="1"/>
  <c r="AW29" i="95"/>
  <c r="AV8" i="95"/>
  <c r="AV38" i="95" s="1"/>
  <c r="AU8" i="95"/>
  <c r="AU38" i="95" s="1"/>
  <c r="AW12" i="95"/>
  <c r="BP87" i="96" l="1"/>
  <c r="AU39" i="95"/>
  <c r="BQ39" i="96"/>
  <c r="BU39" i="96" s="1"/>
  <c r="BQ75" i="96"/>
  <c r="BU75" i="96" s="1"/>
  <c r="BO86" i="96"/>
  <c r="BO87" i="96" s="1"/>
  <c r="AU75" i="95"/>
  <c r="AW31" i="95"/>
  <c r="AW8" i="95" s="1"/>
  <c r="AV75" i="95"/>
  <c r="AV39" i="95"/>
  <c r="N85" i="96"/>
  <c r="I85" i="96"/>
  <c r="E85" i="96"/>
  <c r="N82" i="96"/>
  <c r="I82" i="96"/>
  <c r="E82" i="96"/>
  <c r="I78" i="96"/>
  <c r="E78" i="96"/>
  <c r="H77" i="96"/>
  <c r="G77" i="96"/>
  <c r="D77" i="96"/>
  <c r="C77" i="96"/>
  <c r="M73" i="96"/>
  <c r="L73" i="96"/>
  <c r="I74" i="96"/>
  <c r="H73" i="96"/>
  <c r="G73" i="96"/>
  <c r="D73" i="96"/>
  <c r="N71" i="96"/>
  <c r="I71" i="96"/>
  <c r="E71" i="96"/>
  <c r="I70" i="96"/>
  <c r="E70" i="96"/>
  <c r="I69" i="96"/>
  <c r="E69" i="96"/>
  <c r="N68" i="96"/>
  <c r="I68" i="96"/>
  <c r="E68" i="96"/>
  <c r="N67" i="96"/>
  <c r="I67" i="96"/>
  <c r="E67" i="96"/>
  <c r="I66" i="96"/>
  <c r="E66" i="96"/>
  <c r="I65" i="96"/>
  <c r="E65" i="96"/>
  <c r="N64" i="96"/>
  <c r="I64" i="96"/>
  <c r="E64" i="96"/>
  <c r="N63" i="96"/>
  <c r="I63" i="96"/>
  <c r="E63" i="96"/>
  <c r="I62" i="96"/>
  <c r="E62" i="96"/>
  <c r="I61" i="96"/>
  <c r="E61" i="96"/>
  <c r="N60" i="96"/>
  <c r="I60" i="96"/>
  <c r="E60" i="96"/>
  <c r="N59" i="96"/>
  <c r="I59" i="96"/>
  <c r="E59" i="96"/>
  <c r="I58" i="96"/>
  <c r="E58" i="96"/>
  <c r="I57" i="96"/>
  <c r="E57" i="96"/>
  <c r="N56" i="96"/>
  <c r="I56" i="96"/>
  <c r="E56" i="96"/>
  <c r="I55" i="96"/>
  <c r="E55" i="96"/>
  <c r="H54" i="96"/>
  <c r="D54" i="96"/>
  <c r="C54" i="96"/>
  <c r="I52" i="96"/>
  <c r="E52" i="96"/>
  <c r="N51" i="96"/>
  <c r="I51" i="96"/>
  <c r="E51" i="96"/>
  <c r="M50" i="96"/>
  <c r="H50" i="96"/>
  <c r="G50" i="96"/>
  <c r="I48" i="96"/>
  <c r="E48" i="96"/>
  <c r="N47" i="96"/>
  <c r="I47" i="96"/>
  <c r="E47" i="96"/>
  <c r="M41" i="96"/>
  <c r="I46" i="96"/>
  <c r="E46" i="96"/>
  <c r="N45" i="96"/>
  <c r="I45" i="96"/>
  <c r="E45" i="96"/>
  <c r="N44" i="96"/>
  <c r="I44" i="96"/>
  <c r="E44" i="96"/>
  <c r="I43" i="96"/>
  <c r="E43" i="96"/>
  <c r="N42" i="96"/>
  <c r="I42" i="96"/>
  <c r="E42" i="96"/>
  <c r="H41" i="96"/>
  <c r="G41" i="96"/>
  <c r="D41" i="96"/>
  <c r="C41" i="96"/>
  <c r="N36" i="96"/>
  <c r="N35" i="96" s="1"/>
  <c r="I36" i="96"/>
  <c r="I35" i="96" s="1"/>
  <c r="E36" i="96"/>
  <c r="E35" i="96" s="1"/>
  <c r="H35" i="96"/>
  <c r="G35" i="96"/>
  <c r="D35" i="96"/>
  <c r="C35" i="96"/>
  <c r="I33" i="96"/>
  <c r="E33" i="96"/>
  <c r="I32" i="96"/>
  <c r="E32" i="96"/>
  <c r="I31" i="96"/>
  <c r="E31" i="96"/>
  <c r="N30" i="96"/>
  <c r="I30" i="96"/>
  <c r="E30" i="96"/>
  <c r="I29" i="96"/>
  <c r="E29" i="96"/>
  <c r="I28" i="96"/>
  <c r="E28" i="96"/>
  <c r="N27" i="96"/>
  <c r="I27" i="96"/>
  <c r="E27" i="96"/>
  <c r="N26" i="96"/>
  <c r="I26" i="96"/>
  <c r="E26" i="96"/>
  <c r="I25" i="96"/>
  <c r="E25" i="96"/>
  <c r="I24" i="96"/>
  <c r="E24" i="96"/>
  <c r="N21" i="96"/>
  <c r="I21" i="96"/>
  <c r="E21" i="96"/>
  <c r="N20" i="96"/>
  <c r="I20" i="96"/>
  <c r="E20" i="96"/>
  <c r="N19" i="96"/>
  <c r="I19" i="96"/>
  <c r="E19" i="96"/>
  <c r="N18" i="96"/>
  <c r="I18" i="96"/>
  <c r="E18" i="96"/>
  <c r="N17" i="96"/>
  <c r="I17" i="96"/>
  <c r="E17" i="96"/>
  <c r="I16" i="96"/>
  <c r="E16" i="96"/>
  <c r="I15" i="96"/>
  <c r="E15" i="96"/>
  <c r="I14" i="96"/>
  <c r="E14" i="96"/>
  <c r="I13" i="96"/>
  <c r="E13" i="96"/>
  <c r="I12" i="96"/>
  <c r="E12" i="96"/>
  <c r="I11" i="96"/>
  <c r="E11" i="96"/>
  <c r="I10" i="96"/>
  <c r="E10" i="96"/>
  <c r="I9" i="96"/>
  <c r="E9" i="96"/>
  <c r="H8" i="96"/>
  <c r="G8" i="96"/>
  <c r="D8" i="96"/>
  <c r="C8" i="96"/>
  <c r="N7" i="96"/>
  <c r="I7" i="96"/>
  <c r="E7" i="96"/>
  <c r="N6" i="96"/>
  <c r="N5" i="96" s="1"/>
  <c r="I6" i="96"/>
  <c r="I5" i="96" s="1"/>
  <c r="E6" i="96"/>
  <c r="E5" i="96" s="1"/>
  <c r="M5" i="96"/>
  <c r="L5" i="96"/>
  <c r="H5" i="96"/>
  <c r="G5" i="96"/>
  <c r="D5" i="96"/>
  <c r="C5" i="96"/>
  <c r="AU81" i="95" l="1"/>
  <c r="E50" i="96"/>
  <c r="I50" i="96"/>
  <c r="I54" i="96"/>
  <c r="BQ76" i="96"/>
  <c r="BU76" i="96" s="1"/>
  <c r="AU76" i="95"/>
  <c r="AW38" i="95"/>
  <c r="AV81" i="95"/>
  <c r="AV76" i="95"/>
  <c r="N46" i="96"/>
  <c r="I79" i="96"/>
  <c r="N15" i="96"/>
  <c r="N74" i="96"/>
  <c r="N73" i="96" s="1"/>
  <c r="M77" i="96"/>
  <c r="I41" i="96"/>
  <c r="N55" i="96"/>
  <c r="N10" i="96"/>
  <c r="N14" i="96"/>
  <c r="N9" i="96"/>
  <c r="N11" i="96"/>
  <c r="N12" i="96"/>
  <c r="I8" i="96"/>
  <c r="I38" i="96" s="1"/>
  <c r="I39" i="96" s="1"/>
  <c r="N28" i="96"/>
  <c r="N25" i="96"/>
  <c r="N43" i="96"/>
  <c r="L41" i="96"/>
  <c r="N48" i="96"/>
  <c r="N52" i="96"/>
  <c r="N50" i="96" s="1"/>
  <c r="L50" i="96"/>
  <c r="G38" i="96"/>
  <c r="G39" i="96" s="1"/>
  <c r="N29" i="96"/>
  <c r="N24" i="96"/>
  <c r="L8" i="96"/>
  <c r="L38" i="96" s="1"/>
  <c r="E41" i="96"/>
  <c r="E8" i="96"/>
  <c r="E38" i="96" s="1"/>
  <c r="E39" i="96" s="1"/>
  <c r="D38" i="96"/>
  <c r="D75" i="96" s="1"/>
  <c r="C73" i="96"/>
  <c r="E74" i="96"/>
  <c r="E73" i="96" s="1"/>
  <c r="C38" i="96"/>
  <c r="C75" i="96" s="1"/>
  <c r="N13" i="96"/>
  <c r="N16" i="96"/>
  <c r="N33" i="96"/>
  <c r="E54" i="96"/>
  <c r="N62" i="96"/>
  <c r="M8" i="96"/>
  <c r="N79" i="96" s="1"/>
  <c r="N32" i="96"/>
  <c r="H38" i="96"/>
  <c r="N70" i="96"/>
  <c r="I73" i="96"/>
  <c r="N31" i="96"/>
  <c r="N58" i="96"/>
  <c r="N66" i="96"/>
  <c r="L77" i="96"/>
  <c r="N78" i="96"/>
  <c r="N57" i="96"/>
  <c r="N61" i="96"/>
  <c r="N65" i="96"/>
  <c r="N69" i="96"/>
  <c r="E77" i="96"/>
  <c r="BQ79" i="96" l="1"/>
  <c r="BU79" i="96" s="1"/>
  <c r="BQ103" i="96" s="1"/>
  <c r="AU83" i="95"/>
  <c r="AU84" i="95" s="1"/>
  <c r="AV83" i="95"/>
  <c r="AW39" i="95"/>
  <c r="AW75" i="95"/>
  <c r="AW76" i="95" s="1"/>
  <c r="I77" i="96"/>
  <c r="N54" i="96"/>
  <c r="M38" i="96"/>
  <c r="M39" i="96" s="1"/>
  <c r="N41" i="96"/>
  <c r="I89" i="96"/>
  <c r="J13" i="96" s="1"/>
  <c r="G75" i="96"/>
  <c r="G76" i="96" s="1"/>
  <c r="L75" i="96"/>
  <c r="L81" i="96" s="1"/>
  <c r="L83" i="96" s="1"/>
  <c r="L84" i="96" s="1"/>
  <c r="L86" i="96" s="1"/>
  <c r="L87" i="96" s="1"/>
  <c r="L39" i="96"/>
  <c r="I75" i="96"/>
  <c r="I81" i="96" s="1"/>
  <c r="I83" i="96" s="1"/>
  <c r="I84" i="96" s="1"/>
  <c r="I86" i="96" s="1"/>
  <c r="I87" i="96" s="1"/>
  <c r="D39" i="96"/>
  <c r="E89" i="96"/>
  <c r="C39" i="96"/>
  <c r="D76" i="96"/>
  <c r="D81" i="96"/>
  <c r="D83" i="96" s="1"/>
  <c r="D84" i="96" s="1"/>
  <c r="D86" i="96" s="1"/>
  <c r="D87" i="96" s="1"/>
  <c r="C81" i="96"/>
  <c r="C83" i="96" s="1"/>
  <c r="C84" i="96" s="1"/>
  <c r="C86" i="96" s="1"/>
  <c r="C87" i="96" s="1"/>
  <c r="C76" i="96"/>
  <c r="J49" i="96"/>
  <c r="N8" i="96"/>
  <c r="H75" i="96"/>
  <c r="H39" i="96"/>
  <c r="G81" i="96"/>
  <c r="G83" i="96" s="1"/>
  <c r="G84" i="96" s="1"/>
  <c r="G86" i="96" s="1"/>
  <c r="G87" i="96" s="1"/>
  <c r="E75" i="96"/>
  <c r="BQ89" i="96" l="1"/>
  <c r="BQ97" i="96" s="1"/>
  <c r="AV84" i="95"/>
  <c r="AU86" i="95"/>
  <c r="BQ81" i="96"/>
  <c r="BQ83" i="96" s="1"/>
  <c r="BQ84" i="96" s="1"/>
  <c r="BQ86" i="96" s="1"/>
  <c r="BQ77" i="96"/>
  <c r="BU77" i="96" s="1"/>
  <c r="J9" i="96"/>
  <c r="J64" i="96"/>
  <c r="J44" i="96"/>
  <c r="J71" i="96"/>
  <c r="J62" i="96"/>
  <c r="J38" i="96"/>
  <c r="J32" i="96"/>
  <c r="J61" i="96"/>
  <c r="J20" i="96"/>
  <c r="J25" i="96"/>
  <c r="J48" i="96"/>
  <c r="J55" i="96"/>
  <c r="J24" i="96"/>
  <c r="J68" i="96"/>
  <c r="J78" i="96"/>
  <c r="J30" i="96"/>
  <c r="J37" i="96"/>
  <c r="J85" i="96"/>
  <c r="J17" i="96"/>
  <c r="J79" i="96"/>
  <c r="J27" i="96"/>
  <c r="J73" i="96"/>
  <c r="J43" i="96"/>
  <c r="J52" i="96"/>
  <c r="J60" i="96"/>
  <c r="J29" i="96"/>
  <c r="J58" i="96"/>
  <c r="J66" i="96"/>
  <c r="F44" i="96"/>
  <c r="F22" i="96"/>
  <c r="J31" i="96"/>
  <c r="J57" i="96"/>
  <c r="J63" i="96"/>
  <c r="J16" i="96"/>
  <c r="J18" i="96"/>
  <c r="J47" i="96"/>
  <c r="J72" i="96"/>
  <c r="J33" i="96"/>
  <c r="M75" i="96"/>
  <c r="M76" i="96" s="1"/>
  <c r="F64" i="96"/>
  <c r="N77" i="96"/>
  <c r="J10" i="96"/>
  <c r="J56" i="96"/>
  <c r="J67" i="96"/>
  <c r="J15" i="96"/>
  <c r="J19" i="96"/>
  <c r="J11" i="96"/>
  <c r="J26" i="96"/>
  <c r="J34" i="96"/>
  <c r="J45" i="96"/>
  <c r="J51" i="96"/>
  <c r="J53" i="96"/>
  <c r="J50" i="96"/>
  <c r="L76" i="96"/>
  <c r="J8" i="96"/>
  <c r="J59" i="96"/>
  <c r="J28" i="96"/>
  <c r="J54" i="96"/>
  <c r="J70" i="96"/>
  <c r="J41" i="96"/>
  <c r="J12" i="96"/>
  <c r="J21" i="96"/>
  <c r="J74" i="96"/>
  <c r="J42" i="96"/>
  <c r="J46" i="96"/>
  <c r="J36" i="96"/>
  <c r="J40" i="96"/>
  <c r="J82" i="96"/>
  <c r="J14" i="96"/>
  <c r="J35" i="96"/>
  <c r="J65" i="96"/>
  <c r="J39" i="96"/>
  <c r="J69" i="96"/>
  <c r="I76" i="96"/>
  <c r="F62" i="96"/>
  <c r="F61" i="96"/>
  <c r="F82" i="96"/>
  <c r="F9" i="96"/>
  <c r="F69" i="96"/>
  <c r="F42" i="96"/>
  <c r="F17" i="96"/>
  <c r="F20" i="96"/>
  <c r="F32" i="96"/>
  <c r="F27" i="96"/>
  <c r="F41" i="96"/>
  <c r="F68" i="96"/>
  <c r="F29" i="96"/>
  <c r="F54" i="96"/>
  <c r="F11" i="96"/>
  <c r="F25" i="96"/>
  <c r="F58" i="96"/>
  <c r="F12" i="96"/>
  <c r="F16" i="96"/>
  <c r="F21" i="96"/>
  <c r="F30" i="96"/>
  <c r="F67" i="96"/>
  <c r="F51" i="96"/>
  <c r="F73" i="96"/>
  <c r="F14" i="96"/>
  <c r="F13" i="96"/>
  <c r="F19" i="96"/>
  <c r="F26" i="96"/>
  <c r="F33" i="96"/>
  <c r="F63" i="96"/>
  <c r="F35" i="96"/>
  <c r="F31" i="96"/>
  <c r="F36" i="96"/>
  <c r="F52" i="96"/>
  <c r="F71" i="96"/>
  <c r="F55" i="96"/>
  <c r="F85" i="96"/>
  <c r="F46" i="96"/>
  <c r="F10" i="96"/>
  <c r="F60" i="96"/>
  <c r="F15" i="96"/>
  <c r="F18" i="96"/>
  <c r="F24" i="96"/>
  <c r="F28" i="96"/>
  <c r="F56" i="96"/>
  <c r="F59" i="96"/>
  <c r="F72" i="96"/>
  <c r="F50" i="96"/>
  <c r="F70" i="96"/>
  <c r="F8" i="96"/>
  <c r="F45" i="96"/>
  <c r="F57" i="96"/>
  <c r="F43" i="96"/>
  <c r="F66" i="96"/>
  <c r="F47" i="96"/>
  <c r="F48" i="96"/>
  <c r="F79" i="96"/>
  <c r="F65" i="96"/>
  <c r="N89" i="96"/>
  <c r="N38" i="96"/>
  <c r="H76" i="96"/>
  <c r="H81" i="96"/>
  <c r="H83" i="96" s="1"/>
  <c r="H84" i="96" s="1"/>
  <c r="H86" i="96" s="1"/>
  <c r="H87" i="96" s="1"/>
  <c r="E81" i="96"/>
  <c r="E83" i="96" s="1"/>
  <c r="E84" i="96" s="1"/>
  <c r="E86" i="96" s="1"/>
  <c r="E87" i="96" s="1"/>
  <c r="E76" i="96"/>
  <c r="BQ90" i="96" l="1"/>
  <c r="BR24" i="96"/>
  <c r="BQ87" i="96"/>
  <c r="AV86" i="95"/>
  <c r="AU87" i="95"/>
  <c r="BR23" i="96"/>
  <c r="BR20" i="96"/>
  <c r="BR22" i="96"/>
  <c r="BR21" i="96"/>
  <c r="BQ93" i="96"/>
  <c r="M81" i="96"/>
  <c r="M83" i="96" s="1"/>
  <c r="M84" i="96" s="1"/>
  <c r="M86" i="96" s="1"/>
  <c r="M87" i="96" s="1"/>
  <c r="O8" i="96"/>
  <c r="O54" i="96"/>
  <c r="N75" i="96"/>
  <c r="N39" i="96"/>
  <c r="O72" i="96"/>
  <c r="O52" i="96"/>
  <c r="O51" i="96"/>
  <c r="O49" i="96"/>
  <c r="O48" i="96"/>
  <c r="O47" i="96"/>
  <c r="O46" i="96"/>
  <c r="O45" i="96"/>
  <c r="O44" i="96"/>
  <c r="O43" i="96"/>
  <c r="O42" i="96"/>
  <c r="O26" i="96"/>
  <c r="O17" i="96"/>
  <c r="O27" i="96"/>
  <c r="O21" i="96"/>
  <c r="O10" i="96"/>
  <c r="O15" i="96"/>
  <c r="O19" i="96"/>
  <c r="O30" i="96"/>
  <c r="O60" i="96"/>
  <c r="O68" i="96"/>
  <c r="O55" i="96"/>
  <c r="O64" i="96"/>
  <c r="O71" i="96"/>
  <c r="O59" i="96"/>
  <c r="O67" i="96"/>
  <c r="O28" i="96"/>
  <c r="O11" i="96"/>
  <c r="O41" i="96"/>
  <c r="O56" i="96"/>
  <c r="O36" i="96"/>
  <c r="O14" i="96"/>
  <c r="O20" i="96"/>
  <c r="O24" i="96"/>
  <c r="O9" i="96"/>
  <c r="O12" i="96"/>
  <c r="O29" i="96"/>
  <c r="O63" i="96"/>
  <c r="O18" i="96"/>
  <c r="O25" i="96"/>
  <c r="O66" i="96"/>
  <c r="O65" i="96"/>
  <c r="O70" i="96"/>
  <c r="O16" i="96"/>
  <c r="O57" i="96"/>
  <c r="O69" i="96"/>
  <c r="O13" i="96"/>
  <c r="O61" i="96"/>
  <c r="O33" i="96"/>
  <c r="O58" i="96"/>
  <c r="O62" i="96"/>
  <c r="O31" i="96"/>
  <c r="O32" i="96"/>
  <c r="AV87" i="95" l="1"/>
  <c r="BR69" i="96"/>
  <c r="BR52" i="96"/>
  <c r="BR29" i="96"/>
  <c r="BR11" i="96"/>
  <c r="BR60" i="96"/>
  <c r="BR41" i="96"/>
  <c r="BR17" i="96"/>
  <c r="BR66" i="96"/>
  <c r="BR48" i="96"/>
  <c r="BR26" i="96"/>
  <c r="BR8" i="96"/>
  <c r="BR61" i="96"/>
  <c r="BR42" i="96"/>
  <c r="BR18" i="96"/>
  <c r="BR33" i="96"/>
  <c r="BR45" i="96"/>
  <c r="BR70" i="96"/>
  <c r="BR12" i="96"/>
  <c r="BR65" i="96"/>
  <c r="BR47" i="96"/>
  <c r="BR25" i="96"/>
  <c r="BR71" i="96"/>
  <c r="BR56" i="96"/>
  <c r="BR31" i="96"/>
  <c r="BR13" i="96"/>
  <c r="BR63" i="96"/>
  <c r="BR44" i="96"/>
  <c r="BR72" i="96"/>
  <c r="BR57" i="96"/>
  <c r="BR32" i="96"/>
  <c r="BR14" i="96"/>
  <c r="BR58" i="96"/>
  <c r="BR54" i="96"/>
  <c r="BR55" i="96"/>
  <c r="BR64" i="96"/>
  <c r="BR62" i="96"/>
  <c r="BR43" i="96"/>
  <c r="BR19" i="96"/>
  <c r="BR67" i="96"/>
  <c r="BR49" i="96"/>
  <c r="BR27" i="96"/>
  <c r="BR9" i="96"/>
  <c r="BR59" i="96"/>
  <c r="BR36" i="96"/>
  <c r="BR16" i="96"/>
  <c r="BR68" i="96"/>
  <c r="BR51" i="96"/>
  <c r="BR28" i="96"/>
  <c r="BR10" i="96"/>
  <c r="BR15" i="96"/>
  <c r="BR30" i="96"/>
  <c r="BR46" i="96"/>
  <c r="N76" i="96"/>
  <c r="N81" i="96"/>
  <c r="N83" i="96" s="1"/>
  <c r="N84" i="96" s="1"/>
  <c r="N86" i="96" s="1"/>
  <c r="N87" i="96" s="1"/>
  <c r="M73" i="95" l="1"/>
  <c r="N43" i="95"/>
  <c r="I85" i="95"/>
  <c r="E85" i="95"/>
  <c r="I82" i="95"/>
  <c r="E82" i="95"/>
  <c r="E79" i="95"/>
  <c r="I78" i="95"/>
  <c r="E78" i="95"/>
  <c r="M77" i="95"/>
  <c r="H77" i="95"/>
  <c r="G77" i="95"/>
  <c r="D77" i="95"/>
  <c r="C77" i="95"/>
  <c r="I74" i="95"/>
  <c r="I73" i="95" s="1"/>
  <c r="C73" i="95"/>
  <c r="H73" i="95"/>
  <c r="G73" i="95"/>
  <c r="D73" i="95"/>
  <c r="I71" i="95"/>
  <c r="E71" i="95"/>
  <c r="I70" i="95"/>
  <c r="E70" i="95"/>
  <c r="I69" i="95"/>
  <c r="E69" i="95"/>
  <c r="I68" i="95"/>
  <c r="E68" i="95"/>
  <c r="I67" i="95"/>
  <c r="E67" i="95"/>
  <c r="I66" i="95"/>
  <c r="E66" i="95"/>
  <c r="I65" i="95"/>
  <c r="E65" i="95"/>
  <c r="I64" i="95"/>
  <c r="E64" i="95"/>
  <c r="I63" i="95"/>
  <c r="E63" i="95"/>
  <c r="I62" i="95"/>
  <c r="E62" i="95"/>
  <c r="I61" i="95"/>
  <c r="E61" i="95"/>
  <c r="I60" i="95"/>
  <c r="E60" i="95"/>
  <c r="I59" i="95"/>
  <c r="E59" i="95"/>
  <c r="I58" i="95"/>
  <c r="E58" i="95"/>
  <c r="I57" i="95"/>
  <c r="E57" i="95"/>
  <c r="I56" i="95"/>
  <c r="E56" i="95"/>
  <c r="I55" i="95"/>
  <c r="E55" i="95"/>
  <c r="H54" i="95"/>
  <c r="G54" i="95"/>
  <c r="D54" i="95"/>
  <c r="C54" i="95"/>
  <c r="I52" i="95"/>
  <c r="E52" i="95"/>
  <c r="I51" i="95"/>
  <c r="E51" i="95"/>
  <c r="H50" i="95"/>
  <c r="G50" i="95"/>
  <c r="I48" i="95"/>
  <c r="E48" i="95"/>
  <c r="I47" i="95"/>
  <c r="E47" i="95"/>
  <c r="I46" i="95"/>
  <c r="E46" i="95"/>
  <c r="I45" i="95"/>
  <c r="E45" i="95"/>
  <c r="I44" i="95"/>
  <c r="E44" i="95"/>
  <c r="I43" i="95"/>
  <c r="E43" i="95"/>
  <c r="I42" i="95"/>
  <c r="E42" i="95"/>
  <c r="H41" i="95"/>
  <c r="G41" i="95"/>
  <c r="D41" i="95"/>
  <c r="C41" i="95"/>
  <c r="I36" i="95"/>
  <c r="I35" i="95" s="1"/>
  <c r="E36" i="95"/>
  <c r="H35" i="95"/>
  <c r="D35" i="95"/>
  <c r="C35" i="95"/>
  <c r="I33" i="95"/>
  <c r="E33" i="95"/>
  <c r="I32" i="95"/>
  <c r="E32" i="95"/>
  <c r="I31" i="95"/>
  <c r="E31" i="95"/>
  <c r="I30" i="95"/>
  <c r="E30" i="95"/>
  <c r="I29" i="95"/>
  <c r="E29" i="95"/>
  <c r="I28" i="95"/>
  <c r="E28" i="95"/>
  <c r="I27" i="95"/>
  <c r="E27" i="95"/>
  <c r="I26" i="95"/>
  <c r="E26" i="95"/>
  <c r="N25" i="95"/>
  <c r="I25" i="95"/>
  <c r="E25" i="95"/>
  <c r="I24" i="95"/>
  <c r="E24" i="95"/>
  <c r="I21" i="95"/>
  <c r="E21" i="95"/>
  <c r="I20" i="95"/>
  <c r="E20" i="95"/>
  <c r="I19" i="95"/>
  <c r="E19" i="95"/>
  <c r="I18" i="95"/>
  <c r="E18" i="95"/>
  <c r="I17" i="95"/>
  <c r="E17" i="95"/>
  <c r="I16" i="95"/>
  <c r="E16" i="95"/>
  <c r="I15" i="95"/>
  <c r="E15" i="95"/>
  <c r="I14" i="95"/>
  <c r="E14" i="95"/>
  <c r="I13" i="95"/>
  <c r="E13" i="95"/>
  <c r="I12" i="95"/>
  <c r="E12" i="95"/>
  <c r="I11" i="95"/>
  <c r="E11" i="95"/>
  <c r="I10" i="95"/>
  <c r="E10" i="95"/>
  <c r="I9" i="95"/>
  <c r="E9" i="95"/>
  <c r="H8" i="95"/>
  <c r="I79" i="95" s="1"/>
  <c r="G8" i="95"/>
  <c r="D8" i="95"/>
  <c r="C8" i="95"/>
  <c r="I7" i="95"/>
  <c r="E7" i="95"/>
  <c r="I6" i="95"/>
  <c r="I5" i="95" s="1"/>
  <c r="E6" i="95"/>
  <c r="E5" i="95" s="1"/>
  <c r="H5" i="95"/>
  <c r="G5" i="95"/>
  <c r="D5" i="95"/>
  <c r="C5" i="95"/>
  <c r="E77" i="95" l="1"/>
  <c r="N69" i="95"/>
  <c r="H38" i="95"/>
  <c r="H39" i="95" s="1"/>
  <c r="M50" i="95"/>
  <c r="N42" i="95"/>
  <c r="N65" i="95"/>
  <c r="N82" i="95"/>
  <c r="E8" i="95"/>
  <c r="E38" i="95" s="1"/>
  <c r="E39" i="95" s="1"/>
  <c r="I8" i="95"/>
  <c r="I38" i="95" s="1"/>
  <c r="E54" i="95"/>
  <c r="N68" i="95"/>
  <c r="N20" i="95"/>
  <c r="N30" i="95"/>
  <c r="N58" i="95"/>
  <c r="N60" i="95"/>
  <c r="N62" i="95"/>
  <c r="C38" i="95"/>
  <c r="C39" i="95" s="1"/>
  <c r="G38" i="95"/>
  <c r="G39" i="95" s="1"/>
  <c r="N27" i="95"/>
  <c r="N36" i="95"/>
  <c r="N35" i="95" s="1"/>
  <c r="M41" i="95"/>
  <c r="N45" i="95"/>
  <c r="N52" i="95"/>
  <c r="N66" i="95"/>
  <c r="N67" i="95"/>
  <c r="N71" i="95"/>
  <c r="N28" i="95"/>
  <c r="N46" i="95"/>
  <c r="L50" i="95"/>
  <c r="N55" i="95"/>
  <c r="N57" i="95"/>
  <c r="N59" i="95"/>
  <c r="N61" i="95"/>
  <c r="N63" i="95"/>
  <c r="N70" i="95"/>
  <c r="N29" i="95"/>
  <c r="N6" i="95"/>
  <c r="N5" i="95" s="1"/>
  <c r="L5" i="95"/>
  <c r="N11" i="95"/>
  <c r="N13" i="95"/>
  <c r="D38" i="95"/>
  <c r="M5" i="95"/>
  <c r="N12" i="95"/>
  <c r="N15" i="95"/>
  <c r="N17" i="95"/>
  <c r="N19" i="95"/>
  <c r="N33" i="95"/>
  <c r="N47" i="95"/>
  <c r="N7" i="95"/>
  <c r="N16" i="95"/>
  <c r="N48" i="95"/>
  <c r="M8" i="95"/>
  <c r="N79" i="95" s="1"/>
  <c r="N18" i="95"/>
  <c r="N24" i="95"/>
  <c r="N32" i="95"/>
  <c r="L41" i="95"/>
  <c r="I50" i="95"/>
  <c r="E50" i="95"/>
  <c r="E35" i="95"/>
  <c r="I41" i="95"/>
  <c r="E41" i="95"/>
  <c r="I54" i="95"/>
  <c r="N64" i="95"/>
  <c r="N44" i="95"/>
  <c r="N51" i="95"/>
  <c r="N56" i="95"/>
  <c r="N74" i="95"/>
  <c r="N73" i="95" s="1"/>
  <c r="L73" i="95"/>
  <c r="N78" i="95"/>
  <c r="L77" i="95"/>
  <c r="N85" i="95"/>
  <c r="E74" i="95"/>
  <c r="E73" i="95" s="1"/>
  <c r="AW89" i="95" l="1"/>
  <c r="AW81" i="95"/>
  <c r="E89" i="95"/>
  <c r="N54" i="95"/>
  <c r="H75" i="95"/>
  <c r="H76" i="95" s="1"/>
  <c r="N41" i="95"/>
  <c r="N77" i="95"/>
  <c r="G75" i="95"/>
  <c r="G81" i="95" s="1"/>
  <c r="G83" i="95" s="1"/>
  <c r="G84" i="95" s="1"/>
  <c r="G86" i="95" s="1"/>
  <c r="G87" i="95" s="1"/>
  <c r="I89" i="95"/>
  <c r="I77" i="95"/>
  <c r="C75" i="95"/>
  <c r="C81" i="95" s="1"/>
  <c r="C83" i="95" s="1"/>
  <c r="C84" i="95" s="1"/>
  <c r="C86" i="95" s="1"/>
  <c r="C87" i="95" s="1"/>
  <c r="N26" i="95"/>
  <c r="N9" i="95"/>
  <c r="E75" i="95"/>
  <c r="E76" i="95" s="1"/>
  <c r="I75" i="95"/>
  <c r="I39" i="95"/>
  <c r="N10" i="95"/>
  <c r="N21" i="95"/>
  <c r="N50" i="95"/>
  <c r="M38" i="95"/>
  <c r="N31" i="95"/>
  <c r="L38" i="95"/>
  <c r="L75" i="95" s="1"/>
  <c r="N14" i="95"/>
  <c r="D75" i="95"/>
  <c r="D39" i="95"/>
  <c r="AW92" i="95" l="1"/>
  <c r="F73" i="95"/>
  <c r="F22" i="95"/>
  <c r="AW77" i="95"/>
  <c r="AW83" i="95"/>
  <c r="AW84" i="95" s="1"/>
  <c r="AW86" i="95" s="1"/>
  <c r="AW87" i="95" s="1"/>
  <c r="H81" i="95"/>
  <c r="H83" i="95" s="1"/>
  <c r="H84" i="95" s="1"/>
  <c r="H86" i="95" s="1"/>
  <c r="H87" i="95" s="1"/>
  <c r="J72" i="95"/>
  <c r="G76" i="95"/>
  <c r="J10" i="95"/>
  <c r="J63" i="95"/>
  <c r="J50" i="95"/>
  <c r="J21" i="95"/>
  <c r="J60" i="95"/>
  <c r="J25" i="95"/>
  <c r="J24" i="95"/>
  <c r="J58" i="95"/>
  <c r="J69" i="95"/>
  <c r="J85" i="95"/>
  <c r="J9" i="95"/>
  <c r="J15" i="95"/>
  <c r="J43" i="95"/>
  <c r="J49" i="95"/>
  <c r="J59" i="95"/>
  <c r="J19" i="95"/>
  <c r="J52" i="95"/>
  <c r="J62" i="95"/>
  <c r="J53" i="95"/>
  <c r="J54" i="95"/>
  <c r="J33" i="95"/>
  <c r="J48" i="95"/>
  <c r="J67" i="95"/>
  <c r="J46" i="95"/>
  <c r="J37" i="95"/>
  <c r="J64" i="95"/>
  <c r="J61" i="95"/>
  <c r="J13" i="95"/>
  <c r="J12" i="95"/>
  <c r="J31" i="95"/>
  <c r="J40" i="95"/>
  <c r="J32" i="95"/>
  <c r="J82" i="95"/>
  <c r="J26" i="95"/>
  <c r="J57" i="95"/>
  <c r="J45" i="95"/>
  <c r="J16" i="95"/>
  <c r="J18" i="95"/>
  <c r="J14" i="95"/>
  <c r="J42" i="95"/>
  <c r="J65" i="95"/>
  <c r="J44" i="95"/>
  <c r="J66" i="95"/>
  <c r="J68" i="95"/>
  <c r="J38" i="95"/>
  <c r="J8" i="95"/>
  <c r="J78" i="95"/>
  <c r="J70" i="95"/>
  <c r="J30" i="95"/>
  <c r="J28" i="95"/>
  <c r="J20" i="95"/>
  <c r="J47" i="95"/>
  <c r="J11" i="95"/>
  <c r="J29" i="95"/>
  <c r="J36" i="95"/>
  <c r="J17" i="95"/>
  <c r="J34" i="95"/>
  <c r="J56" i="95"/>
  <c r="J51" i="95"/>
  <c r="J41" i="95"/>
  <c r="J39" i="95"/>
  <c r="J27" i="95"/>
  <c r="J71" i="95"/>
  <c r="J79" i="95"/>
  <c r="J74" i="95"/>
  <c r="J55" i="95"/>
  <c r="J35" i="95"/>
  <c r="J73" i="95"/>
  <c r="C76" i="95"/>
  <c r="F50" i="95"/>
  <c r="F35" i="95"/>
  <c r="E81" i="95"/>
  <c r="E83" i="95" s="1"/>
  <c r="E84" i="95" s="1"/>
  <c r="E86" i="95" s="1"/>
  <c r="E87" i="95" s="1"/>
  <c r="M75" i="95"/>
  <c r="M39" i="95"/>
  <c r="I76" i="95"/>
  <c r="I81" i="95"/>
  <c r="I83" i="95" s="1"/>
  <c r="I84" i="95" s="1"/>
  <c r="I86" i="95" s="1"/>
  <c r="I87" i="95" s="1"/>
  <c r="F85" i="95"/>
  <c r="F72" i="95"/>
  <c r="F70" i="95"/>
  <c r="F69" i="95"/>
  <c r="F64" i="95"/>
  <c r="F63" i="95"/>
  <c r="F62" i="95"/>
  <c r="F61" i="95"/>
  <c r="F60" i="95"/>
  <c r="F59" i="95"/>
  <c r="F58" i="95"/>
  <c r="F57" i="95"/>
  <c r="F71" i="95"/>
  <c r="F68" i="95"/>
  <c r="F56" i="95"/>
  <c r="F47" i="95"/>
  <c r="F43" i="95"/>
  <c r="F45" i="95"/>
  <c r="F42" i="95"/>
  <c r="F24" i="95"/>
  <c r="F21" i="95"/>
  <c r="F13" i="95"/>
  <c r="F11" i="95"/>
  <c r="F31" i="95"/>
  <c r="F25" i="95"/>
  <c r="F18" i="95"/>
  <c r="F15" i="95"/>
  <c r="F20" i="95"/>
  <c r="F19" i="95"/>
  <c r="F16" i="95"/>
  <c r="F14" i="95"/>
  <c r="F52" i="95"/>
  <c r="F33" i="95"/>
  <c r="F28" i="95"/>
  <c r="F27" i="95"/>
  <c r="F9" i="95"/>
  <c r="F17" i="95"/>
  <c r="F51" i="95"/>
  <c r="F54" i="95"/>
  <c r="F67" i="95"/>
  <c r="F65" i="95"/>
  <c r="F12" i="95"/>
  <c r="F46" i="95"/>
  <c r="F32" i="95"/>
  <c r="F66" i="95"/>
  <c r="F79" i="95"/>
  <c r="F55" i="95"/>
  <c r="F82" i="95"/>
  <c r="F10" i="95"/>
  <c r="F29" i="95"/>
  <c r="F36" i="95"/>
  <c r="F8" i="95"/>
  <c r="F26" i="95"/>
  <c r="F30" i="95"/>
  <c r="F44" i="95"/>
  <c r="F48" i="95"/>
  <c r="D81" i="95"/>
  <c r="D83" i="95" s="1"/>
  <c r="D84" i="95" s="1"/>
  <c r="D86" i="95" s="1"/>
  <c r="D87" i="95" s="1"/>
  <c r="D76" i="95"/>
  <c r="F41" i="95"/>
  <c r="L39" i="95"/>
  <c r="N8" i="95"/>
  <c r="N89" i="95" s="1"/>
  <c r="AW90" i="95" s="1"/>
  <c r="AX22" i="95" l="1"/>
  <c r="AX69" i="95"/>
  <c r="O10" i="95"/>
  <c r="AX66" i="95"/>
  <c r="AX49" i="95"/>
  <c r="AX26" i="95"/>
  <c r="AX8" i="95"/>
  <c r="AX51" i="95"/>
  <c r="AX10" i="95"/>
  <c r="AX46" i="95"/>
  <c r="AX13" i="95"/>
  <c r="AX57" i="95"/>
  <c r="AX33" i="95"/>
  <c r="AX15" i="95"/>
  <c r="AX47" i="95"/>
  <c r="AX67" i="95"/>
  <c r="AX21" i="95"/>
  <c r="AX62" i="95"/>
  <c r="AX45" i="95"/>
  <c r="AX20" i="95"/>
  <c r="AX72" i="95"/>
  <c r="AX43" i="95"/>
  <c r="AX71" i="95"/>
  <c r="AX42" i="95"/>
  <c r="AX52" i="95"/>
  <c r="AX29" i="95"/>
  <c r="AX32" i="95"/>
  <c r="AX59" i="95"/>
  <c r="AX9" i="95"/>
  <c r="AX58" i="95"/>
  <c r="AX36" i="95"/>
  <c r="AX16" i="95"/>
  <c r="AX64" i="95"/>
  <c r="AX28" i="95"/>
  <c r="AX63" i="95"/>
  <c r="AX27" i="95"/>
  <c r="AX65" i="95"/>
  <c r="AX48" i="95"/>
  <c r="AX25" i="95"/>
  <c r="AX68" i="95"/>
  <c r="AX24" i="95"/>
  <c r="AX41" i="95"/>
  <c r="AX54" i="95"/>
  <c r="AX30" i="95"/>
  <c r="AX60" i="95"/>
  <c r="AX55" i="95"/>
  <c r="AX17" i="95"/>
  <c r="AX44" i="95"/>
  <c r="AX56" i="95"/>
  <c r="AX14" i="95"/>
  <c r="AX11" i="95"/>
  <c r="AX70" i="95"/>
  <c r="AX12" i="95"/>
  <c r="AX18" i="95"/>
  <c r="AX61" i="95"/>
  <c r="AX19" i="95"/>
  <c r="AX31" i="95"/>
  <c r="N38" i="95"/>
  <c r="L81" i="95"/>
  <c r="L83" i="95" s="1"/>
  <c r="L76" i="95"/>
  <c r="M81" i="95"/>
  <c r="M83" i="95" s="1"/>
  <c r="M84" i="95" s="1"/>
  <c r="M86" i="95" s="1"/>
  <c r="M87" i="95" s="1"/>
  <c r="M76" i="95"/>
  <c r="O8" i="95" l="1"/>
  <c r="O65" i="95"/>
  <c r="L84" i="95"/>
  <c r="L86" i="95" s="1"/>
  <c r="L87" i="95" s="1"/>
  <c r="O72" i="95"/>
  <c r="O70" i="95"/>
  <c r="O49" i="95"/>
  <c r="O60" i="95"/>
  <c r="O42" i="95"/>
  <c r="O25" i="95"/>
  <c r="O62" i="95"/>
  <c r="O58" i="95"/>
  <c r="O43" i="95"/>
  <c r="O36" i="95"/>
  <c r="O45" i="95"/>
  <c r="O55" i="95"/>
  <c r="O30" i="95"/>
  <c r="O57" i="95"/>
  <c r="O52" i="95"/>
  <c r="O71" i="95"/>
  <c r="O28" i="95"/>
  <c r="O68" i="95"/>
  <c r="O46" i="95"/>
  <c r="O59" i="95"/>
  <c r="O66" i="95"/>
  <c r="O67" i="95"/>
  <c r="O20" i="95"/>
  <c r="O69" i="95"/>
  <c r="O27" i="95"/>
  <c r="O63" i="95"/>
  <c r="O26" i="95"/>
  <c r="O61" i="95"/>
  <c r="O41" i="95"/>
  <c r="O19" i="95"/>
  <c r="O17" i="95"/>
  <c r="O56" i="95"/>
  <c r="O15" i="95"/>
  <c r="O11" i="95"/>
  <c r="O44" i="95"/>
  <c r="O16" i="95"/>
  <c r="O18" i="95"/>
  <c r="O47" i="95"/>
  <c r="O48" i="95"/>
  <c r="O12" i="95"/>
  <c r="O13" i="95"/>
  <c r="O64" i="95"/>
  <c r="O29" i="95"/>
  <c r="O24" i="95"/>
  <c r="O9" i="95"/>
  <c r="O32" i="95"/>
  <c r="O51" i="95"/>
  <c r="O33" i="95"/>
  <c r="O31" i="95"/>
  <c r="O14" i="95"/>
  <c r="O21" i="95"/>
  <c r="O54" i="95"/>
  <c r="N75" i="95"/>
  <c r="N39" i="95"/>
  <c r="N76" i="95" l="1"/>
  <c r="N81" i="95"/>
  <c r="N83" i="95" s="1"/>
  <c r="N84" i="95" s="1"/>
  <c r="N86" i="95" s="1"/>
  <c r="N87" i="95" s="1"/>
  <c r="V6" i="88" l="1"/>
  <c r="AQ83" i="88" l="1"/>
  <c r="AP83" i="88"/>
  <c r="AQ80" i="88"/>
  <c r="AP80" i="88"/>
  <c r="AQ77" i="88"/>
  <c r="AP77" i="88"/>
  <c r="AQ76" i="88"/>
  <c r="AP76" i="88"/>
  <c r="AQ69" i="88"/>
  <c r="AP69" i="88"/>
  <c r="AQ68" i="88"/>
  <c r="AP68" i="88"/>
  <c r="AQ67" i="88"/>
  <c r="AP67" i="88"/>
  <c r="AP66" i="88"/>
  <c r="AQ65" i="88"/>
  <c r="AP65" i="88"/>
  <c r="AQ64" i="88"/>
  <c r="AP64" i="88"/>
  <c r="AQ63" i="88"/>
  <c r="AQ49" i="88"/>
  <c r="AP49" i="88"/>
  <c r="AQ46" i="88"/>
  <c r="AP46" i="88"/>
  <c r="AQ45" i="88"/>
  <c r="AQ44" i="88"/>
  <c r="AP44" i="88"/>
  <c r="AQ34" i="88"/>
  <c r="AP34" i="88"/>
  <c r="AQ31" i="88"/>
  <c r="AP31" i="88"/>
  <c r="AQ30" i="88"/>
  <c r="AP30" i="88"/>
  <c r="AP29" i="88"/>
  <c r="AP28" i="88"/>
  <c r="AQ27" i="88"/>
  <c r="AQ25" i="88"/>
  <c r="AQ24" i="88"/>
  <c r="AQ23" i="88"/>
  <c r="AQ22" i="88"/>
  <c r="AQ21" i="88"/>
  <c r="AQ20" i="88"/>
  <c r="AP20" i="88"/>
  <c r="AQ19" i="88"/>
  <c r="AP19" i="88"/>
  <c r="AQ18" i="88"/>
  <c r="AQ17" i="88"/>
  <c r="AP17" i="88"/>
  <c r="AP16" i="88"/>
  <c r="AQ15" i="88"/>
  <c r="AP15" i="88"/>
  <c r="AQ14" i="88"/>
  <c r="AQ13" i="88"/>
  <c r="AP12" i="88"/>
  <c r="AQ11" i="88"/>
  <c r="AQ10" i="88"/>
  <c r="AQ9" i="88"/>
  <c r="AQ7" i="88"/>
  <c r="AP7" i="88"/>
  <c r="AQ6" i="88"/>
  <c r="AM83" i="88"/>
  <c r="AM80" i="88"/>
  <c r="AM76" i="88"/>
  <c r="AL75" i="88"/>
  <c r="AK75" i="88"/>
  <c r="AM72" i="88"/>
  <c r="AM71" i="88" s="1"/>
  <c r="AL71" i="88"/>
  <c r="AK71" i="88"/>
  <c r="AM69" i="88"/>
  <c r="AM68" i="88"/>
  <c r="AM67" i="88"/>
  <c r="AM66" i="88"/>
  <c r="AM65" i="88"/>
  <c r="AM64" i="88"/>
  <c r="AM63" i="88"/>
  <c r="AM62" i="88"/>
  <c r="AM61" i="88"/>
  <c r="AM60" i="88"/>
  <c r="AM59" i="88"/>
  <c r="AM58" i="88"/>
  <c r="AM57" i="88"/>
  <c r="AM56" i="88"/>
  <c r="AM55" i="88"/>
  <c r="AM54" i="88"/>
  <c r="AM53" i="88"/>
  <c r="AM52" i="88" s="1"/>
  <c r="AL52" i="88"/>
  <c r="AK52" i="88"/>
  <c r="AM50" i="88"/>
  <c r="AM49" i="88"/>
  <c r="AL48" i="88"/>
  <c r="AK48" i="88"/>
  <c r="AM46" i="88"/>
  <c r="AM45" i="88"/>
  <c r="AM44" i="88"/>
  <c r="AM43" i="88"/>
  <c r="AM42" i="88"/>
  <c r="AM41" i="88"/>
  <c r="AM40" i="88"/>
  <c r="AL39" i="88"/>
  <c r="AK39" i="88"/>
  <c r="AM34" i="88"/>
  <c r="AM33" i="88" s="1"/>
  <c r="AL33" i="88"/>
  <c r="AK33" i="88"/>
  <c r="AM31" i="88"/>
  <c r="AM30" i="88"/>
  <c r="AM29" i="88"/>
  <c r="AM28" i="88"/>
  <c r="AM27" i="88"/>
  <c r="AM26" i="88"/>
  <c r="AM25" i="88"/>
  <c r="AM24" i="88"/>
  <c r="AM23" i="88"/>
  <c r="AM22" i="88"/>
  <c r="AM21" i="88"/>
  <c r="AM20" i="88"/>
  <c r="AM19" i="88"/>
  <c r="AM18" i="88"/>
  <c r="AM17" i="88"/>
  <c r="AM16" i="88"/>
  <c r="AM15" i="88"/>
  <c r="AM14" i="88"/>
  <c r="AM13" i="88"/>
  <c r="AM12" i="88"/>
  <c r="AM11" i="88"/>
  <c r="AM10" i="88"/>
  <c r="AM9" i="88"/>
  <c r="AK8" i="88"/>
  <c r="AM7" i="88"/>
  <c r="AM6" i="88"/>
  <c r="AM5" i="88" s="1"/>
  <c r="AL5" i="88"/>
  <c r="AK5" i="88"/>
  <c r="AK36" i="88" s="1"/>
  <c r="AM39" i="88" l="1"/>
  <c r="AM48" i="88"/>
  <c r="AK73" i="88"/>
  <c r="AK37" i="88"/>
  <c r="AM8" i="88"/>
  <c r="AL8" i="88"/>
  <c r="AM77" i="88" s="1"/>
  <c r="AL36" i="88" l="1"/>
  <c r="AL73" i="88" s="1"/>
  <c r="AM75" i="88"/>
  <c r="AK79" i="88"/>
  <c r="AK81" i="88" s="1"/>
  <c r="AK82" i="88" s="1"/>
  <c r="AK84" i="88" s="1"/>
  <c r="AK85" i="88" s="1"/>
  <c r="AK74" i="88"/>
  <c r="AM87" i="88"/>
  <c r="AM36" i="88"/>
  <c r="AL37" i="88" l="1"/>
  <c r="AN36" i="88"/>
  <c r="AN66" i="88"/>
  <c r="AN62" i="88"/>
  <c r="AN58" i="88"/>
  <c r="AN54" i="88"/>
  <c r="AN50" i="88"/>
  <c r="AN46" i="88"/>
  <c r="AN42" i="88"/>
  <c r="AN38" i="88"/>
  <c r="AN34" i="88"/>
  <c r="AN51" i="88"/>
  <c r="AN39" i="88"/>
  <c r="AN65" i="88"/>
  <c r="AN61" i="88"/>
  <c r="AN57" i="88"/>
  <c r="AN53" i="88"/>
  <c r="AN49" i="88"/>
  <c r="AN45" i="88"/>
  <c r="AN41" i="88"/>
  <c r="AN33" i="88"/>
  <c r="AN63" i="88"/>
  <c r="AN55" i="88"/>
  <c r="AN47" i="88"/>
  <c r="AN35" i="88"/>
  <c r="AN64" i="88"/>
  <c r="AN60" i="88"/>
  <c r="AN56" i="88"/>
  <c r="AN52" i="88"/>
  <c r="AN48" i="88"/>
  <c r="AN44" i="88"/>
  <c r="AN40" i="88"/>
  <c r="AN32" i="88"/>
  <c r="AN59" i="88"/>
  <c r="AN43" i="88"/>
  <c r="AN11" i="88"/>
  <c r="AN27" i="88"/>
  <c r="AN20" i="88"/>
  <c r="AN13" i="88"/>
  <c r="AN29" i="88"/>
  <c r="AN22" i="88"/>
  <c r="AN17" i="88"/>
  <c r="AN26" i="88"/>
  <c r="AN15" i="88"/>
  <c r="AN31" i="88"/>
  <c r="AN24" i="88"/>
  <c r="AN10" i="88"/>
  <c r="AN19" i="88"/>
  <c r="AN28" i="88"/>
  <c r="AN14" i="88"/>
  <c r="AN16" i="88"/>
  <c r="AN25" i="88"/>
  <c r="AN12" i="88"/>
  <c r="AN21" i="88"/>
  <c r="AN30" i="88"/>
  <c r="AN23" i="88"/>
  <c r="AN9" i="88"/>
  <c r="AN18" i="88"/>
  <c r="AN8" i="88"/>
  <c r="AM37" i="88"/>
  <c r="AN37" i="88" s="1"/>
  <c r="AM73" i="88"/>
  <c r="AL74" i="88"/>
  <c r="AL79" i="88"/>
  <c r="AL81" i="88" s="1"/>
  <c r="AL82" i="88" s="1"/>
  <c r="AL84" i="88" s="1"/>
  <c r="AL85" i="88" s="1"/>
  <c r="AM74" i="88" l="1"/>
  <c r="AM79" i="88"/>
  <c r="AM81" i="88" s="1"/>
  <c r="AM82" i="88" s="1"/>
  <c r="AM84" i="88" s="1"/>
  <c r="AM85" i="88" s="1"/>
  <c r="C36" i="93" l="1"/>
  <c r="E14" i="93" l="1"/>
  <c r="AF24" i="88"/>
  <c r="AA24" i="88"/>
  <c r="AG16" i="88"/>
  <c r="AF10" i="88"/>
  <c r="AF11" i="88"/>
  <c r="AF6" i="88"/>
  <c r="I47" i="86"/>
  <c r="AQ72" i="88" l="1"/>
  <c r="G77" i="87"/>
  <c r="I74" i="87"/>
  <c r="I73" i="87" s="1"/>
  <c r="I64" i="87"/>
  <c r="I60" i="87"/>
  <c r="G50" i="87"/>
  <c r="G35" i="87"/>
  <c r="I32" i="87"/>
  <c r="H5" i="87"/>
  <c r="I7" i="87"/>
  <c r="I9" i="87"/>
  <c r="I11" i="87"/>
  <c r="I15" i="87"/>
  <c r="I17" i="87"/>
  <c r="I33" i="87"/>
  <c r="H35" i="87"/>
  <c r="I44" i="87"/>
  <c r="H41" i="87"/>
  <c r="H50" i="87"/>
  <c r="I51" i="87"/>
  <c r="I52" i="87"/>
  <c r="I56" i="87"/>
  <c r="G73" i="87"/>
  <c r="H77" i="87"/>
  <c r="I82" i="87"/>
  <c r="AH83" i="88"/>
  <c r="AH80" i="88"/>
  <c r="AH76" i="88"/>
  <c r="AG75" i="88"/>
  <c r="AF75" i="88"/>
  <c r="AH72" i="88"/>
  <c r="AH71" i="88" s="1"/>
  <c r="AG71" i="88"/>
  <c r="AF71" i="88"/>
  <c r="AH69" i="88"/>
  <c r="AH68" i="88"/>
  <c r="AH67" i="88"/>
  <c r="AH66" i="88"/>
  <c r="AH65" i="88"/>
  <c r="AH64" i="88"/>
  <c r="AH63" i="88"/>
  <c r="AH62" i="88"/>
  <c r="AH61" i="88"/>
  <c r="AH60" i="88"/>
  <c r="AH59" i="88"/>
  <c r="AH58" i="88"/>
  <c r="AH57" i="88"/>
  <c r="AH56" i="88"/>
  <c r="AH55" i="88"/>
  <c r="AH54" i="88"/>
  <c r="AH53" i="88"/>
  <c r="AG52" i="88"/>
  <c r="AF52" i="88"/>
  <c r="AH50" i="88"/>
  <c r="AH49" i="88"/>
  <c r="AG48" i="88"/>
  <c r="AF48" i="88"/>
  <c r="AH46" i="88"/>
  <c r="AH45" i="88"/>
  <c r="AH44" i="88"/>
  <c r="AH43" i="88"/>
  <c r="AH42" i="88"/>
  <c r="AH41" i="88"/>
  <c r="AH40" i="88"/>
  <c r="AG39" i="88"/>
  <c r="AF39" i="88"/>
  <c r="AH34" i="88"/>
  <c r="AH33" i="88" s="1"/>
  <c r="AG33" i="88"/>
  <c r="AF33" i="88"/>
  <c r="AH31" i="88"/>
  <c r="AH30" i="88"/>
  <c r="AH29" i="88"/>
  <c r="AH28" i="88"/>
  <c r="AH27" i="88"/>
  <c r="AH26" i="88"/>
  <c r="AH25" i="88"/>
  <c r="AH24" i="88"/>
  <c r="AH23" i="88"/>
  <c r="AH22" i="88"/>
  <c r="AH21" i="88"/>
  <c r="AH20" i="88"/>
  <c r="AH19" i="88"/>
  <c r="AH18" i="88"/>
  <c r="AH17" i="88"/>
  <c r="AG8" i="88"/>
  <c r="AH15" i="88"/>
  <c r="AH14" i="88"/>
  <c r="AH13" i="88"/>
  <c r="AH12" i="88"/>
  <c r="AF8" i="88"/>
  <c r="AH10" i="88"/>
  <c r="AH9" i="88"/>
  <c r="AH7" i="88"/>
  <c r="AH6" i="88"/>
  <c r="AH5" i="88" s="1"/>
  <c r="AG5" i="88"/>
  <c r="AF5" i="88"/>
  <c r="AH48" i="88" l="1"/>
  <c r="AH77" i="88"/>
  <c r="AH75" i="88" s="1"/>
  <c r="I50" i="87"/>
  <c r="AG36" i="88"/>
  <c r="AG37" i="88" s="1"/>
  <c r="AH52" i="88"/>
  <c r="H54" i="87"/>
  <c r="I68" i="87"/>
  <c r="I29" i="87"/>
  <c r="H73" i="87"/>
  <c r="I61" i="87"/>
  <c r="I57" i="87"/>
  <c r="I85" i="87"/>
  <c r="I70" i="87"/>
  <c r="I66" i="87"/>
  <c r="I62" i="87"/>
  <c r="I58" i="87"/>
  <c r="I46" i="87"/>
  <c r="I42" i="87"/>
  <c r="I36" i="87"/>
  <c r="I10" i="87"/>
  <c r="I78" i="87"/>
  <c r="I71" i="87"/>
  <c r="I67" i="87"/>
  <c r="I63" i="87"/>
  <c r="I59" i="87"/>
  <c r="I55" i="87"/>
  <c r="I47" i="87"/>
  <c r="I43" i="87"/>
  <c r="AF36" i="88"/>
  <c r="AH39" i="88"/>
  <c r="AH11" i="88"/>
  <c r="AH16" i="88"/>
  <c r="AG73" i="88" l="1"/>
  <c r="AG79" i="88" s="1"/>
  <c r="AG81" i="88" s="1"/>
  <c r="AG82" i="88" s="1"/>
  <c r="AG84" i="88" s="1"/>
  <c r="AG85" i="88" s="1"/>
  <c r="AH8" i="88"/>
  <c r="I35" i="87"/>
  <c r="AF73" i="88"/>
  <c r="AF37" i="88"/>
  <c r="AG74" i="88" l="1"/>
  <c r="AF74" i="88"/>
  <c r="AF79" i="88"/>
  <c r="AF81" i="88" s="1"/>
  <c r="AF82" i="88" s="1"/>
  <c r="AF84" i="88" s="1"/>
  <c r="AF85" i="88" s="1"/>
  <c r="AH87" i="88"/>
  <c r="AH36" i="88"/>
  <c r="AN70" i="88" l="1"/>
  <c r="AN69" i="88"/>
  <c r="AN67" i="88"/>
  <c r="AN68" i="88"/>
  <c r="AI27" i="88"/>
  <c r="AI68" i="88"/>
  <c r="AI63" i="88"/>
  <c r="AI29" i="88"/>
  <c r="AI24" i="88"/>
  <c r="AI20" i="88"/>
  <c r="AI16" i="88"/>
  <c r="AI12" i="88"/>
  <c r="AI70" i="88"/>
  <c r="AI26" i="88"/>
  <c r="AI22" i="88"/>
  <c r="AI14" i="88"/>
  <c r="AI10" i="88"/>
  <c r="AI69" i="88"/>
  <c r="AI64" i="88"/>
  <c r="AI30" i="88"/>
  <c r="AI25" i="88"/>
  <c r="AI21" i="88"/>
  <c r="AI13" i="88"/>
  <c r="AI8" i="88"/>
  <c r="AI9" i="88"/>
  <c r="AI67" i="88"/>
  <c r="AI28" i="88"/>
  <c r="AI23" i="88"/>
  <c r="AI19" i="88"/>
  <c r="AI15" i="88"/>
  <c r="AI11" i="88"/>
  <c r="AI65" i="88"/>
  <c r="AI31" i="88"/>
  <c r="AI18" i="88"/>
  <c r="AI17" i="88"/>
  <c r="AI52" i="88"/>
  <c r="AI66" i="88"/>
  <c r="AH37" i="88"/>
  <c r="AI37" i="88" s="1"/>
  <c r="AH73" i="88"/>
  <c r="AH79" i="88" l="1"/>
  <c r="AH81" i="88" s="1"/>
  <c r="AH82" i="88" s="1"/>
  <c r="AH84" i="88" s="1"/>
  <c r="AH85" i="88" s="1"/>
  <c r="AH74" i="88"/>
  <c r="C26" i="93" l="1"/>
  <c r="E39" i="94" l="1"/>
  <c r="C22" i="93" s="1"/>
  <c r="E40" i="94"/>
  <c r="C23" i="93" s="1"/>
  <c r="E42" i="94"/>
  <c r="E41" i="94"/>
  <c r="C21" i="93" s="1"/>
  <c r="E37" i="94"/>
  <c r="C19" i="93" l="1"/>
  <c r="X66" i="79"/>
  <c r="X65" i="79"/>
  <c r="X64" i="79"/>
  <c r="X63" i="79"/>
  <c r="X62" i="79"/>
  <c r="X61" i="79"/>
  <c r="X60" i="79"/>
  <c r="X59" i="79"/>
  <c r="X58" i="79"/>
  <c r="X57" i="79"/>
  <c r="X56" i="79"/>
  <c r="X55" i="79"/>
  <c r="X54" i="79"/>
  <c r="X53" i="79"/>
  <c r="X50" i="79"/>
  <c r="X49" i="79"/>
  <c r="X46" i="79"/>
  <c r="X45" i="79"/>
  <c r="X44" i="79"/>
  <c r="X43" i="79"/>
  <c r="X42" i="79"/>
  <c r="X41" i="79"/>
  <c r="X40" i="79"/>
  <c r="X34" i="79"/>
  <c r="X33" i="79" s="1"/>
  <c r="X31" i="79"/>
  <c r="X30" i="79"/>
  <c r="X27" i="79"/>
  <c r="X26" i="79"/>
  <c r="X20" i="79"/>
  <c r="X18" i="79"/>
  <c r="X17" i="79"/>
  <c r="X16" i="79"/>
  <c r="X15" i="79"/>
  <c r="X14" i="79"/>
  <c r="X13" i="79"/>
  <c r="X12" i="79"/>
  <c r="X11" i="79"/>
  <c r="X10" i="79"/>
  <c r="X9" i="79"/>
  <c r="X7" i="79"/>
  <c r="N66" i="79"/>
  <c r="N65" i="79"/>
  <c r="N64" i="79"/>
  <c r="N63" i="79"/>
  <c r="N62" i="79"/>
  <c r="N61" i="79"/>
  <c r="N60" i="79"/>
  <c r="N59" i="79"/>
  <c r="N58" i="79"/>
  <c r="N57" i="79"/>
  <c r="N56" i="79"/>
  <c r="N55" i="79"/>
  <c r="N54" i="79"/>
  <c r="N53" i="79"/>
  <c r="N50" i="79"/>
  <c r="N49" i="79"/>
  <c r="N46" i="79"/>
  <c r="N45" i="79"/>
  <c r="N44" i="79"/>
  <c r="N43" i="79"/>
  <c r="N42" i="79"/>
  <c r="N41" i="79"/>
  <c r="N40" i="79"/>
  <c r="N34" i="79"/>
  <c r="N33" i="79" s="1"/>
  <c r="N31" i="79"/>
  <c r="N30" i="79"/>
  <c r="N28" i="79"/>
  <c r="N27" i="79"/>
  <c r="N26" i="79"/>
  <c r="N25" i="79"/>
  <c r="N24" i="79"/>
  <c r="N23" i="79"/>
  <c r="N22" i="79"/>
  <c r="N21" i="79"/>
  <c r="N20" i="79"/>
  <c r="N19" i="79"/>
  <c r="N18" i="79"/>
  <c r="N17" i="79"/>
  <c r="N16" i="79"/>
  <c r="N15" i="79"/>
  <c r="N14" i="79"/>
  <c r="N13" i="79"/>
  <c r="N12" i="79"/>
  <c r="N11" i="79"/>
  <c r="N10" i="79"/>
  <c r="N9" i="79"/>
  <c r="N7" i="79"/>
  <c r="N6" i="79"/>
  <c r="N5" i="79" s="1"/>
  <c r="S66" i="79"/>
  <c r="S65" i="79"/>
  <c r="S64" i="79"/>
  <c r="S63" i="79"/>
  <c r="S62" i="79"/>
  <c r="S60" i="79"/>
  <c r="S59" i="79"/>
  <c r="S58" i="79"/>
  <c r="S57" i="79"/>
  <c r="S56" i="79"/>
  <c r="S55" i="79"/>
  <c r="S54" i="79"/>
  <c r="S53" i="79"/>
  <c r="S50" i="79"/>
  <c r="S49" i="79"/>
  <c r="S46" i="79"/>
  <c r="S45" i="79"/>
  <c r="S44" i="79"/>
  <c r="S43" i="79"/>
  <c r="S42" i="79"/>
  <c r="S41" i="79"/>
  <c r="S40" i="79"/>
  <c r="S34" i="79"/>
  <c r="S33" i="79" s="1"/>
  <c r="S31" i="79"/>
  <c r="S30" i="79"/>
  <c r="S24" i="79"/>
  <c r="S23" i="79"/>
  <c r="S20" i="79"/>
  <c r="S18" i="79"/>
  <c r="S17" i="79"/>
  <c r="S15" i="79"/>
  <c r="S14" i="79"/>
  <c r="S13" i="79"/>
  <c r="S12" i="79"/>
  <c r="S7" i="79"/>
  <c r="I66" i="79"/>
  <c r="I65" i="79"/>
  <c r="I64" i="79"/>
  <c r="I63" i="79"/>
  <c r="I62" i="79"/>
  <c r="I61" i="79"/>
  <c r="I60" i="79"/>
  <c r="I59" i="79"/>
  <c r="I58" i="79"/>
  <c r="I57" i="79"/>
  <c r="I56" i="79"/>
  <c r="I46" i="79"/>
  <c r="I45" i="79"/>
  <c r="I44" i="79"/>
  <c r="I43" i="79"/>
  <c r="I42" i="79"/>
  <c r="I41" i="79"/>
  <c r="I31" i="79"/>
  <c r="I30" i="79"/>
  <c r="I29" i="79"/>
  <c r="I28" i="79"/>
  <c r="I27" i="79"/>
  <c r="I26" i="79"/>
  <c r="I25" i="79"/>
  <c r="I24" i="79"/>
  <c r="I23" i="79"/>
  <c r="I22" i="79"/>
  <c r="I21" i="79"/>
  <c r="I20" i="79"/>
  <c r="I18" i="79"/>
  <c r="I17" i="79"/>
  <c r="I16" i="79"/>
  <c r="I15" i="79"/>
  <c r="I14" i="79"/>
  <c r="I13" i="79"/>
  <c r="I12" i="79"/>
  <c r="I11" i="79"/>
  <c r="I10" i="79"/>
  <c r="I9" i="79"/>
  <c r="C4" i="93"/>
  <c r="E4" i="93" s="1"/>
  <c r="E7" i="93"/>
  <c r="E8" i="93"/>
  <c r="E5" i="93"/>
  <c r="E6" i="93"/>
  <c r="E9" i="93"/>
  <c r="E10" i="93"/>
  <c r="E11" i="93"/>
  <c r="E12" i="93"/>
  <c r="E13" i="93"/>
  <c r="S48" i="79" l="1"/>
  <c r="N48" i="79"/>
  <c r="X48" i="79"/>
  <c r="C2" i="93"/>
  <c r="S39" i="79"/>
  <c r="X39" i="79"/>
  <c r="N39" i="79"/>
  <c r="Q14" i="92"/>
  <c r="Q13" i="92"/>
  <c r="Q12" i="92"/>
  <c r="Q9" i="92"/>
  <c r="Q15" i="92" s="1"/>
  <c r="P9" i="92"/>
  <c r="P15" i="92" s="1"/>
  <c r="P14" i="92"/>
  <c r="P13" i="92"/>
  <c r="P12" i="92"/>
  <c r="P16" i="92" l="1"/>
  <c r="Q16" i="92"/>
  <c r="AB72" i="81" l="1"/>
  <c r="AB70" i="81"/>
  <c r="AB69" i="81"/>
  <c r="AB68" i="81"/>
  <c r="AB67" i="81"/>
  <c r="AB65" i="81"/>
  <c r="AB64" i="81"/>
  <c r="AB62" i="81"/>
  <c r="AB61" i="81"/>
  <c r="AB60" i="81"/>
  <c r="AB59" i="81"/>
  <c r="AB58" i="81"/>
  <c r="AB57" i="81"/>
  <c r="AB56" i="81"/>
  <c r="AB55" i="81"/>
  <c r="AB54" i="81"/>
  <c r="AB53" i="81"/>
  <c r="AB49" i="81"/>
  <c r="AB47" i="81"/>
  <c r="AB46" i="81"/>
  <c r="AB45" i="81"/>
  <c r="AB44" i="81"/>
  <c r="AB43" i="81"/>
  <c r="AB42" i="81"/>
  <c r="AB41" i="81"/>
  <c r="AB40" i="81"/>
  <c r="AB32" i="81"/>
  <c r="AB34" i="81"/>
  <c r="AB38" i="81"/>
  <c r="AB31" i="81"/>
  <c r="AB30" i="81"/>
  <c r="AB25" i="81"/>
  <c r="AB24" i="81"/>
  <c r="AB23" i="81"/>
  <c r="AB22" i="81"/>
  <c r="AB21" i="81"/>
  <c r="AB20" i="81"/>
  <c r="AB19" i="81"/>
  <c r="AB18" i="81"/>
  <c r="AB17" i="81"/>
  <c r="AB15" i="81"/>
  <c r="AB14" i="81"/>
  <c r="AB13" i="81"/>
  <c r="AB12" i="81"/>
  <c r="AB11" i="81"/>
  <c r="AB10" i="81"/>
  <c r="AB9" i="81"/>
  <c r="AH76" i="81"/>
  <c r="AC76" i="81"/>
  <c r="AC7" i="81"/>
  <c r="X76" i="81"/>
  <c r="X72" i="81"/>
  <c r="X71" i="81" s="1"/>
  <c r="X69" i="81"/>
  <c r="X68" i="81"/>
  <c r="X67" i="81"/>
  <c r="X65" i="81"/>
  <c r="X64" i="81"/>
  <c r="X63" i="81"/>
  <c r="X62" i="81"/>
  <c r="X61" i="81"/>
  <c r="X60" i="81"/>
  <c r="X59" i="81"/>
  <c r="X58" i="81"/>
  <c r="X57" i="81"/>
  <c r="X56" i="81"/>
  <c r="X55" i="81"/>
  <c r="X54" i="81"/>
  <c r="X53" i="81"/>
  <c r="X50" i="81"/>
  <c r="X49" i="81"/>
  <c r="X46" i="81"/>
  <c r="X45" i="81"/>
  <c r="X44" i="81"/>
  <c r="X43" i="81"/>
  <c r="X42" i="81"/>
  <c r="X41" i="81"/>
  <c r="X40" i="81"/>
  <c r="X34" i="81"/>
  <c r="X33" i="81" s="1"/>
  <c r="X31" i="81"/>
  <c r="X30" i="81"/>
  <c r="X25" i="81"/>
  <c r="X23" i="81"/>
  <c r="X21" i="81"/>
  <c r="X20" i="81"/>
  <c r="X19" i="81"/>
  <c r="X18" i="81"/>
  <c r="X17" i="81"/>
  <c r="X16" i="81"/>
  <c r="X15" i="81"/>
  <c r="X14" i="81"/>
  <c r="X13" i="81"/>
  <c r="X12" i="81"/>
  <c r="X7" i="81"/>
  <c r="S76" i="81"/>
  <c r="S72" i="81"/>
  <c r="S71" i="81" s="1"/>
  <c r="S69" i="81"/>
  <c r="S68" i="81"/>
  <c r="S67" i="81"/>
  <c r="S66" i="81"/>
  <c r="S65" i="81"/>
  <c r="S64" i="81"/>
  <c r="S62" i="81"/>
  <c r="S61" i="81"/>
  <c r="S60" i="81"/>
  <c r="S59" i="81"/>
  <c r="S58" i="81"/>
  <c r="S57" i="81"/>
  <c r="S56" i="81"/>
  <c r="S55" i="81"/>
  <c r="S54" i="81"/>
  <c r="S53" i="81"/>
  <c r="S50" i="81"/>
  <c r="S49" i="81"/>
  <c r="S46" i="81"/>
  <c r="S45" i="81"/>
  <c r="S44" i="81"/>
  <c r="S43" i="81"/>
  <c r="S42" i="81"/>
  <c r="S41" i="81"/>
  <c r="S40" i="81"/>
  <c r="S34" i="81"/>
  <c r="S33" i="81" s="1"/>
  <c r="S31" i="81"/>
  <c r="S30" i="81"/>
  <c r="S29" i="81"/>
  <c r="S28" i="81"/>
  <c r="S27" i="81"/>
  <c r="S26" i="81"/>
  <c r="S25" i="81"/>
  <c r="S24" i="81"/>
  <c r="S23" i="81"/>
  <c r="S22" i="81"/>
  <c r="S21" i="81"/>
  <c r="S20" i="81"/>
  <c r="S19" i="81"/>
  <c r="S18" i="81"/>
  <c r="S17" i="81"/>
  <c r="S16" i="81"/>
  <c r="S15" i="81"/>
  <c r="S14" i="81"/>
  <c r="S13" i="81"/>
  <c r="S12" i="81"/>
  <c r="S7" i="81"/>
  <c r="S6" i="81"/>
  <c r="S5" i="81" s="1"/>
  <c r="N76" i="81"/>
  <c r="N72" i="81"/>
  <c r="N71" i="81" s="1"/>
  <c r="N69" i="81"/>
  <c r="N68" i="81"/>
  <c r="N67" i="81"/>
  <c r="N66" i="81"/>
  <c r="N65" i="81"/>
  <c r="N64" i="81"/>
  <c r="N62" i="81"/>
  <c r="N61" i="81"/>
  <c r="N60" i="81"/>
  <c r="N59" i="81"/>
  <c r="N58" i="81"/>
  <c r="N57" i="81"/>
  <c r="N56" i="81"/>
  <c r="N55" i="81"/>
  <c r="N54" i="81"/>
  <c r="N53" i="81"/>
  <c r="N50" i="81"/>
  <c r="N49" i="81"/>
  <c r="N46" i="81"/>
  <c r="N45" i="81"/>
  <c r="N44" i="81"/>
  <c r="N43" i="81"/>
  <c r="N42" i="81"/>
  <c r="N41" i="81"/>
  <c r="N40" i="81"/>
  <c r="N34" i="81"/>
  <c r="N33" i="81" s="1"/>
  <c r="N31" i="81"/>
  <c r="N30" i="81"/>
  <c r="N27" i="81"/>
  <c r="N26" i="81"/>
  <c r="N25" i="81"/>
  <c r="N21" i="81"/>
  <c r="N20" i="81"/>
  <c r="N19" i="81"/>
  <c r="N18" i="81"/>
  <c r="N17" i="81"/>
  <c r="N15" i="81"/>
  <c r="N14" i="81"/>
  <c r="N13" i="81"/>
  <c r="N12" i="81"/>
  <c r="N7" i="81"/>
  <c r="I76" i="81"/>
  <c r="I72" i="81"/>
  <c r="I71" i="81" s="1"/>
  <c r="I69" i="81"/>
  <c r="I68" i="81"/>
  <c r="I67" i="81"/>
  <c r="I66" i="81"/>
  <c r="I65" i="81"/>
  <c r="I64" i="81"/>
  <c r="I62" i="81"/>
  <c r="I61" i="81"/>
  <c r="I60" i="81"/>
  <c r="I59" i="81"/>
  <c r="I58" i="81"/>
  <c r="I57" i="81"/>
  <c r="I56" i="81"/>
  <c r="I55" i="81"/>
  <c r="I54" i="81"/>
  <c r="I53" i="81"/>
  <c r="I50" i="81"/>
  <c r="I49" i="81"/>
  <c r="I46" i="81"/>
  <c r="I45" i="81"/>
  <c r="I44" i="81"/>
  <c r="I43" i="81"/>
  <c r="I42" i="81"/>
  <c r="I41" i="81"/>
  <c r="I40" i="81"/>
  <c r="I34" i="81"/>
  <c r="I33" i="81" s="1"/>
  <c r="I31" i="81"/>
  <c r="I30" i="81"/>
  <c r="I29" i="81"/>
  <c r="I28" i="81"/>
  <c r="I27" i="81"/>
  <c r="I26" i="81"/>
  <c r="I25" i="81"/>
  <c r="I24" i="81"/>
  <c r="I23" i="81"/>
  <c r="I22" i="81"/>
  <c r="I21" i="81"/>
  <c r="I20" i="81"/>
  <c r="I19" i="81"/>
  <c r="I18" i="81"/>
  <c r="I17" i="81"/>
  <c r="I16" i="81"/>
  <c r="I15" i="81"/>
  <c r="I14" i="81"/>
  <c r="I13" i="81"/>
  <c r="I12" i="81"/>
  <c r="I11" i="81"/>
  <c r="I10" i="81"/>
  <c r="I9" i="81"/>
  <c r="I7" i="81"/>
  <c r="I6" i="81"/>
  <c r="I5" i="81" s="1"/>
  <c r="X48" i="81" l="1"/>
  <c r="S48" i="81"/>
  <c r="X39" i="81"/>
  <c r="I48" i="81"/>
  <c r="S39" i="81"/>
  <c r="N48" i="81"/>
  <c r="I8" i="81"/>
  <c r="I36" i="81" s="1"/>
  <c r="I37" i="81" s="1"/>
  <c r="I39" i="81"/>
  <c r="N39" i="81"/>
  <c r="AR69" i="88"/>
  <c r="AR68" i="88"/>
  <c r="AR66" i="88"/>
  <c r="AR65" i="88"/>
  <c r="AR64" i="88"/>
  <c r="AR46" i="88"/>
  <c r="AR44" i="88"/>
  <c r="AR34" i="88"/>
  <c r="AR33" i="88" s="1"/>
  <c r="AR19" i="88"/>
  <c r="AR17" i="88"/>
  <c r="AW76" i="88"/>
  <c r="AR67" i="88"/>
  <c r="AR49" i="88"/>
  <c r="AR45" i="88"/>
  <c r="AR31" i="88"/>
  <c r="AR15" i="88"/>
  <c r="AC76" i="88"/>
  <c r="AC72" i="88"/>
  <c r="AC71" i="88" s="1"/>
  <c r="AC69" i="88"/>
  <c r="AC68" i="88"/>
  <c r="AC67" i="88"/>
  <c r="AC66" i="88"/>
  <c r="AC65" i="88"/>
  <c r="AC64" i="88"/>
  <c r="AC63" i="88"/>
  <c r="AC62" i="88"/>
  <c r="AC61" i="88"/>
  <c r="AC60" i="88"/>
  <c r="AC59" i="88"/>
  <c r="AC58" i="88"/>
  <c r="AC57" i="88"/>
  <c r="AC56" i="88"/>
  <c r="AC55" i="88"/>
  <c r="AC54" i="88"/>
  <c r="AC53" i="88"/>
  <c r="AC50" i="88"/>
  <c r="AC49" i="88"/>
  <c r="AC46" i="88"/>
  <c r="AC45" i="88"/>
  <c r="AC44" i="88"/>
  <c r="AC43" i="88"/>
  <c r="AC42" i="88"/>
  <c r="AC41" i="88"/>
  <c r="AC40" i="88"/>
  <c r="AC34" i="88"/>
  <c r="AC33" i="88" s="1"/>
  <c r="AC31" i="88"/>
  <c r="AC30" i="88"/>
  <c r="AC29" i="88"/>
  <c r="AC28" i="88"/>
  <c r="AC27" i="88"/>
  <c r="AC26" i="88"/>
  <c r="AC25" i="88"/>
  <c r="AC22" i="88"/>
  <c r="AC21" i="88"/>
  <c r="AC20" i="88"/>
  <c r="AC19" i="88"/>
  <c r="AC18" i="88"/>
  <c r="AC17" i="88"/>
  <c r="AC15" i="88"/>
  <c r="AC14" i="88"/>
  <c r="AC13" i="88"/>
  <c r="AC7" i="88"/>
  <c r="X76" i="88"/>
  <c r="X72" i="88"/>
  <c r="X71" i="88" s="1"/>
  <c r="X69" i="88"/>
  <c r="X68" i="88"/>
  <c r="X67" i="88"/>
  <c r="X66" i="88"/>
  <c r="X65" i="88"/>
  <c r="X64" i="88"/>
  <c r="X63" i="88"/>
  <c r="X62" i="88"/>
  <c r="X61" i="88"/>
  <c r="X60" i="88"/>
  <c r="X59" i="88"/>
  <c r="X58" i="88"/>
  <c r="X57" i="88"/>
  <c r="X56" i="88"/>
  <c r="X55" i="88"/>
  <c r="X54" i="88"/>
  <c r="X53" i="88"/>
  <c r="X50" i="88"/>
  <c r="X49" i="88"/>
  <c r="X46" i="88"/>
  <c r="X45" i="88"/>
  <c r="X44" i="88"/>
  <c r="X43" i="88"/>
  <c r="X42" i="88"/>
  <c r="X41" i="88"/>
  <c r="X40" i="88"/>
  <c r="X34" i="88"/>
  <c r="X33" i="88" s="1"/>
  <c r="X31" i="88"/>
  <c r="X30" i="88"/>
  <c r="X29" i="88"/>
  <c r="X28" i="88"/>
  <c r="X22" i="88"/>
  <c r="X21" i="88"/>
  <c r="X20" i="88"/>
  <c r="X19" i="88"/>
  <c r="X18" i="88"/>
  <c r="X17" i="88"/>
  <c r="X15" i="88"/>
  <c r="X14" i="88"/>
  <c r="X13" i="88"/>
  <c r="X12" i="88"/>
  <c r="X11" i="88"/>
  <c r="X10" i="88"/>
  <c r="X9" i="88"/>
  <c r="X7" i="88"/>
  <c r="S76" i="88"/>
  <c r="S72" i="88"/>
  <c r="S71" i="88" s="1"/>
  <c r="S69" i="88"/>
  <c r="S68" i="88"/>
  <c r="S67" i="88"/>
  <c r="S66" i="88"/>
  <c r="S65" i="88"/>
  <c r="S64" i="88"/>
  <c r="S63" i="88"/>
  <c r="S62" i="88"/>
  <c r="S61" i="88"/>
  <c r="S60" i="88"/>
  <c r="S59" i="88"/>
  <c r="S58" i="88"/>
  <c r="S57" i="88"/>
  <c r="S56" i="88"/>
  <c r="S55" i="88"/>
  <c r="S54" i="88"/>
  <c r="S53" i="88"/>
  <c r="S50" i="88"/>
  <c r="S49" i="88"/>
  <c r="S46" i="88"/>
  <c r="S45" i="88"/>
  <c r="S44" i="88"/>
  <c r="S43" i="88"/>
  <c r="S42" i="88"/>
  <c r="S41" i="88"/>
  <c r="S40" i="88"/>
  <c r="S34" i="88"/>
  <c r="S33" i="88" s="1"/>
  <c r="S31" i="88"/>
  <c r="S30" i="88"/>
  <c r="S29" i="88"/>
  <c r="S27" i="88"/>
  <c r="S26" i="88"/>
  <c r="S25" i="88"/>
  <c r="S24" i="88"/>
  <c r="S23" i="88"/>
  <c r="S22" i="88"/>
  <c r="S20" i="88"/>
  <c r="S19" i="88"/>
  <c r="S18" i="88"/>
  <c r="S17" i="88"/>
  <c r="S16" i="88"/>
  <c r="S15" i="88"/>
  <c r="S14" i="88"/>
  <c r="S13" i="88"/>
  <c r="S12" i="88"/>
  <c r="S7" i="88"/>
  <c r="S6" i="88"/>
  <c r="S5" i="88" s="1"/>
  <c r="N76" i="88"/>
  <c r="N72" i="88"/>
  <c r="N71" i="88" s="1"/>
  <c r="N69" i="88"/>
  <c r="N68" i="88"/>
  <c r="N67" i="88"/>
  <c r="N66" i="88"/>
  <c r="N65" i="88"/>
  <c r="N64" i="88"/>
  <c r="N63" i="88"/>
  <c r="N62" i="88"/>
  <c r="N61" i="88"/>
  <c r="N60" i="88"/>
  <c r="N59" i="88"/>
  <c r="N58" i="88"/>
  <c r="N57" i="88"/>
  <c r="N56" i="88"/>
  <c r="N55" i="88"/>
  <c r="N54" i="88"/>
  <c r="N53" i="88"/>
  <c r="N50" i="88"/>
  <c r="N49" i="88"/>
  <c r="N46" i="88"/>
  <c r="N45" i="88"/>
  <c r="N44" i="88"/>
  <c r="N43" i="88"/>
  <c r="N42" i="88"/>
  <c r="N41" i="88"/>
  <c r="N40" i="88"/>
  <c r="N34" i="88"/>
  <c r="N33" i="88" s="1"/>
  <c r="N31" i="88"/>
  <c r="N30" i="88"/>
  <c r="N27" i="88"/>
  <c r="N25" i="88"/>
  <c r="N24" i="88"/>
  <c r="N23" i="88"/>
  <c r="N20" i="88"/>
  <c r="N19" i="88"/>
  <c r="N17" i="88"/>
  <c r="N16" i="88"/>
  <c r="N15" i="88"/>
  <c r="N14" i="88"/>
  <c r="N13" i="88"/>
  <c r="N12" i="88"/>
  <c r="N11" i="88"/>
  <c r="N10" i="88"/>
  <c r="N9" i="88"/>
  <c r="N7" i="88"/>
  <c r="N6" i="88"/>
  <c r="N5" i="88" s="1"/>
  <c r="I72" i="88"/>
  <c r="I71" i="88" s="1"/>
  <c r="I69" i="88"/>
  <c r="I68" i="88"/>
  <c r="I67" i="88"/>
  <c r="I66" i="88"/>
  <c r="I65" i="88"/>
  <c r="I64" i="88"/>
  <c r="I63" i="88"/>
  <c r="I49" i="88"/>
  <c r="I46" i="88"/>
  <c r="I45" i="88"/>
  <c r="I44" i="88"/>
  <c r="I34" i="88"/>
  <c r="I33" i="88" s="1"/>
  <c r="I31" i="88"/>
  <c r="I30" i="88"/>
  <c r="I27" i="88"/>
  <c r="I26" i="88"/>
  <c r="I25" i="88"/>
  <c r="I24" i="88"/>
  <c r="I23" i="88"/>
  <c r="I22" i="88"/>
  <c r="I21" i="88"/>
  <c r="I20" i="88"/>
  <c r="I19" i="88"/>
  <c r="I18" i="88"/>
  <c r="I17" i="88"/>
  <c r="I16" i="88"/>
  <c r="I15" i="88"/>
  <c r="I12" i="88"/>
  <c r="I76" i="88"/>
  <c r="I62" i="88"/>
  <c r="I61" i="88"/>
  <c r="I60" i="88"/>
  <c r="I59" i="88"/>
  <c r="I58" i="88"/>
  <c r="I57" i="88"/>
  <c r="I56" i="88"/>
  <c r="I55" i="88"/>
  <c r="I54" i="88"/>
  <c r="I53" i="88"/>
  <c r="I50" i="88"/>
  <c r="I43" i="88"/>
  <c r="I42" i="88"/>
  <c r="I41" i="88"/>
  <c r="I40" i="88"/>
  <c r="I7" i="88"/>
  <c r="I6" i="88"/>
  <c r="I71" i="91"/>
  <c r="I70" i="91"/>
  <c r="I69" i="91"/>
  <c r="I68" i="91"/>
  <c r="I67" i="91"/>
  <c r="I66" i="91"/>
  <c r="I65" i="91"/>
  <c r="I64" i="91"/>
  <c r="I63" i="91"/>
  <c r="I62" i="91"/>
  <c r="I61" i="91"/>
  <c r="I60" i="91"/>
  <c r="I59" i="91"/>
  <c r="I58" i="91"/>
  <c r="I57" i="91"/>
  <c r="I56" i="91"/>
  <c r="I55" i="91"/>
  <c r="I52" i="91"/>
  <c r="I51" i="91"/>
  <c r="I48" i="91"/>
  <c r="I47" i="91"/>
  <c r="I46" i="91"/>
  <c r="I45" i="91"/>
  <c r="I44" i="91"/>
  <c r="I43" i="91"/>
  <c r="I42" i="91"/>
  <c r="I33" i="91"/>
  <c r="I32" i="91"/>
  <c r="I31" i="91"/>
  <c r="I30" i="91"/>
  <c r="I29" i="91"/>
  <c r="I28" i="91"/>
  <c r="I27" i="91"/>
  <c r="I26" i="91"/>
  <c r="I25" i="91"/>
  <c r="I24" i="91"/>
  <c r="I21" i="91"/>
  <c r="I20" i="91"/>
  <c r="I19" i="91"/>
  <c r="I18" i="91"/>
  <c r="I17" i="91"/>
  <c r="I16" i="91"/>
  <c r="I15" i="91"/>
  <c r="I14" i="91"/>
  <c r="I13" i="91"/>
  <c r="I12" i="91"/>
  <c r="I11" i="91"/>
  <c r="I10" i="91"/>
  <c r="I9" i="91"/>
  <c r="A6" i="117" l="1"/>
  <c r="A6" i="113"/>
  <c r="N48" i="88"/>
  <c r="I5" i="88"/>
  <c r="I48" i="88"/>
  <c r="A6" i="102"/>
  <c r="A6" i="99"/>
  <c r="A6" i="96"/>
  <c r="A6" i="95"/>
  <c r="X48" i="88"/>
  <c r="AC39" i="88"/>
  <c r="N39" i="88"/>
  <c r="S39" i="88"/>
  <c r="X39" i="88"/>
  <c r="S48" i="88"/>
  <c r="AC48" i="88"/>
  <c r="S52" i="88"/>
  <c r="AC52" i="88"/>
  <c r="AR63" i="88"/>
  <c r="I39" i="88"/>
  <c r="AR20" i="88"/>
  <c r="AR30" i="88"/>
  <c r="N52" i="88"/>
  <c r="X52" i="88"/>
  <c r="I52" i="88"/>
  <c r="AA6" i="88" l="1"/>
  <c r="AC6" i="88" l="1"/>
  <c r="AC5" i="88" s="1"/>
  <c r="AP6" i="88"/>
  <c r="AP72" i="88" s="1"/>
  <c r="AR72" i="88" s="1"/>
  <c r="E9" i="92"/>
  <c r="E15" i="92" s="1"/>
  <c r="M14" i="92"/>
  <c r="L14" i="92"/>
  <c r="K14" i="92"/>
  <c r="J14" i="92"/>
  <c r="I14" i="92"/>
  <c r="H14" i="92"/>
  <c r="G14" i="92"/>
  <c r="F14" i="92"/>
  <c r="E14" i="92"/>
  <c r="D14" i="92"/>
  <c r="C14" i="92"/>
  <c r="M13" i="92"/>
  <c r="L13" i="92"/>
  <c r="K13" i="92"/>
  <c r="J13" i="92"/>
  <c r="I13" i="92"/>
  <c r="H13" i="92"/>
  <c r="G13" i="92"/>
  <c r="F13" i="92"/>
  <c r="E13" i="92"/>
  <c r="D13" i="92"/>
  <c r="C13" i="92"/>
  <c r="M12" i="92"/>
  <c r="L12" i="92"/>
  <c r="K12" i="92"/>
  <c r="J12" i="92"/>
  <c r="I12" i="92"/>
  <c r="H12" i="92"/>
  <c r="G12" i="92"/>
  <c r="F12" i="92"/>
  <c r="E12" i="92"/>
  <c r="D12" i="92"/>
  <c r="C12" i="92"/>
  <c r="B14" i="92"/>
  <c r="B13" i="92"/>
  <c r="B12" i="92"/>
  <c r="C9" i="92"/>
  <c r="C15" i="92" s="1"/>
  <c r="D9" i="92"/>
  <c r="D15" i="92" s="1"/>
  <c r="F9" i="92"/>
  <c r="F15" i="92" s="1"/>
  <c r="G9" i="92"/>
  <c r="G15" i="92" s="1"/>
  <c r="H9" i="92"/>
  <c r="H15" i="92" s="1"/>
  <c r="I9" i="92"/>
  <c r="I15" i="92" s="1"/>
  <c r="J9" i="92"/>
  <c r="J15" i="92" s="1"/>
  <c r="K9" i="92"/>
  <c r="K15" i="92" s="1"/>
  <c r="L9" i="92"/>
  <c r="L15" i="92" s="1"/>
  <c r="M9" i="92"/>
  <c r="M15" i="92" s="1"/>
  <c r="B9" i="92"/>
  <c r="B15" i="92" s="1"/>
  <c r="M16" i="92" l="1"/>
  <c r="L16" i="92"/>
  <c r="F16" i="92"/>
  <c r="J16" i="92"/>
  <c r="D16" i="92"/>
  <c r="H16" i="92"/>
  <c r="B16" i="92"/>
  <c r="G16" i="92"/>
  <c r="I16" i="92"/>
  <c r="C16" i="92"/>
  <c r="E16" i="92"/>
  <c r="K16" i="92"/>
  <c r="AC24" i="88"/>
  <c r="N16" i="92" l="1"/>
  <c r="N19" i="92" s="1"/>
  <c r="I19" i="87"/>
  <c r="AU63" i="88"/>
  <c r="G5" i="87" l="1"/>
  <c r="I6" i="87"/>
  <c r="I5" i="87" s="1"/>
  <c r="AB16" i="88"/>
  <c r="AC16" i="88" s="1"/>
  <c r="AB12" i="88" l="1"/>
  <c r="AQ12" i="88" s="1"/>
  <c r="AA9" i="88"/>
  <c r="AA10" i="88"/>
  <c r="AA11" i="88"/>
  <c r="AC11" i="88" l="1"/>
  <c r="AR12" i="88"/>
  <c r="AC12" i="88"/>
  <c r="AC10" i="88"/>
  <c r="AC9" i="88"/>
  <c r="AA23" i="88"/>
  <c r="AC23" i="88" l="1"/>
  <c r="AC8" i="88" s="1"/>
  <c r="AC36" i="88" s="1"/>
  <c r="AC73" i="88" l="1"/>
  <c r="AC74" i="88" s="1"/>
  <c r="AC37" i="88"/>
  <c r="I78" i="89" l="1"/>
  <c r="I71" i="89"/>
  <c r="I67" i="89"/>
  <c r="I65" i="89"/>
  <c r="I63" i="89"/>
  <c r="I61" i="89"/>
  <c r="I59" i="89"/>
  <c r="I57" i="89"/>
  <c r="I51" i="89"/>
  <c r="I48" i="89"/>
  <c r="I46" i="89"/>
  <c r="I44" i="89"/>
  <c r="I42" i="89"/>
  <c r="I19" i="89"/>
  <c r="I21" i="89"/>
  <c r="I16" i="89"/>
  <c r="I71" i="90"/>
  <c r="I70" i="90"/>
  <c r="I68" i="90"/>
  <c r="I67" i="90"/>
  <c r="I66" i="90"/>
  <c r="I64" i="90"/>
  <c r="I62" i="90"/>
  <c r="I61" i="90"/>
  <c r="I60" i="90"/>
  <c r="I59" i="90"/>
  <c r="I58" i="90"/>
  <c r="I57" i="90"/>
  <c r="I56" i="90"/>
  <c r="I55" i="90"/>
  <c r="I52" i="90"/>
  <c r="I51" i="90"/>
  <c r="I47" i="90"/>
  <c r="I46" i="90"/>
  <c r="I45" i="90"/>
  <c r="I44" i="90"/>
  <c r="I43" i="90"/>
  <c r="I42" i="90"/>
  <c r="I36" i="90"/>
  <c r="I35" i="90" s="1"/>
  <c r="I33" i="90"/>
  <c r="I32" i="90"/>
  <c r="I27" i="90"/>
  <c r="I26" i="90"/>
  <c r="I25" i="90"/>
  <c r="I20" i="90"/>
  <c r="I19" i="90"/>
  <c r="I18" i="90"/>
  <c r="I17" i="90"/>
  <c r="I16" i="90"/>
  <c r="I6" i="90"/>
  <c r="I5" i="90" s="1"/>
  <c r="I15" i="86" l="1"/>
  <c r="I17" i="86"/>
  <c r="I33" i="86"/>
  <c r="I46" i="86"/>
  <c r="I55" i="86"/>
  <c r="I16" i="86"/>
  <c r="I32" i="86"/>
  <c r="I50" i="90"/>
  <c r="I15" i="90"/>
  <c r="I25" i="89"/>
  <c r="I55" i="89"/>
  <c r="I69" i="89"/>
  <c r="I33" i="89"/>
  <c r="I31" i="89"/>
  <c r="I29" i="89"/>
  <c r="I27" i="89"/>
  <c r="I17" i="89"/>
  <c r="I32" i="89"/>
  <c r="I30" i="89"/>
  <c r="I28" i="89"/>
  <c r="I24" i="89"/>
  <c r="I20" i="89"/>
  <c r="I43" i="89"/>
  <c r="I45" i="89"/>
  <c r="I47" i="89"/>
  <c r="I52" i="89"/>
  <c r="I50" i="89" s="1"/>
  <c r="I56" i="89"/>
  <c r="I58" i="89"/>
  <c r="I60" i="89"/>
  <c r="I62" i="89"/>
  <c r="I64" i="89"/>
  <c r="I66" i="89"/>
  <c r="I68" i="89"/>
  <c r="I70" i="89"/>
  <c r="I54" i="89" l="1"/>
  <c r="I41" i="89"/>
  <c r="AC83" i="88" l="1"/>
  <c r="AC80" i="88"/>
  <c r="AB75" i="88"/>
  <c r="AA75" i="88"/>
  <c r="AB71" i="88"/>
  <c r="AA71" i="88"/>
  <c r="AB52" i="88"/>
  <c r="AA52" i="88"/>
  <c r="AB48" i="88"/>
  <c r="AA48" i="88"/>
  <c r="AB39" i="88"/>
  <c r="AA39" i="88"/>
  <c r="AB33" i="88"/>
  <c r="AA33" i="88"/>
  <c r="AB8" i="88"/>
  <c r="AB5" i="88"/>
  <c r="AA5" i="88"/>
  <c r="I78" i="86"/>
  <c r="I70" i="86"/>
  <c r="I68" i="86"/>
  <c r="I67" i="86"/>
  <c r="I66" i="86"/>
  <c r="I64" i="86"/>
  <c r="I62" i="86"/>
  <c r="I61" i="86"/>
  <c r="I57" i="86"/>
  <c r="I56" i="86"/>
  <c r="I70" i="85"/>
  <c r="I68" i="85"/>
  <c r="I66" i="85"/>
  <c r="I52" i="85"/>
  <c r="I47" i="85"/>
  <c r="I13" i="85"/>
  <c r="I15" i="85"/>
  <c r="I17" i="85"/>
  <c r="I19" i="85"/>
  <c r="I29" i="85"/>
  <c r="I31" i="85"/>
  <c r="I12" i="85"/>
  <c r="AC77" i="88" l="1"/>
  <c r="AC75" i="88" s="1"/>
  <c r="I32" i="85"/>
  <c r="I30" i="85"/>
  <c r="I20" i="85"/>
  <c r="I16" i="85"/>
  <c r="I14" i="85"/>
  <c r="I51" i="85"/>
  <c r="I50" i="85" s="1"/>
  <c r="I71" i="85"/>
  <c r="I67" i="85"/>
  <c r="I69" i="85"/>
  <c r="I78" i="85"/>
  <c r="I42" i="86"/>
  <c r="AB36" i="88"/>
  <c r="AB37" i="88" s="1"/>
  <c r="AA8" i="88"/>
  <c r="AA36" i="88" s="1"/>
  <c r="AB73" i="88" l="1"/>
  <c r="AB79" i="88" s="1"/>
  <c r="AB81" i="88" s="1"/>
  <c r="AB82" i="88" s="1"/>
  <c r="AB84" i="88" s="1"/>
  <c r="AB85" i="88" s="1"/>
  <c r="AA73" i="88"/>
  <c r="AA37" i="88"/>
  <c r="AB74" i="88" l="1"/>
  <c r="AC87" i="88"/>
  <c r="AA74" i="88"/>
  <c r="AA79" i="88"/>
  <c r="AA81" i="88" s="1"/>
  <c r="AA82" i="88" s="1"/>
  <c r="AA84" i="88" s="1"/>
  <c r="AA85" i="88" s="1"/>
  <c r="AN71" i="88" l="1"/>
  <c r="AN72" i="88"/>
  <c r="AI45" i="88"/>
  <c r="AI44" i="88"/>
  <c r="AI46" i="88"/>
  <c r="AI49" i="88"/>
  <c r="AI48" i="88"/>
  <c r="AI34" i="88"/>
  <c r="AI43" i="88"/>
  <c r="AI33" i="88"/>
  <c r="AI60" i="88"/>
  <c r="AI59" i="88"/>
  <c r="AI42" i="88"/>
  <c r="AI58" i="88"/>
  <c r="AI41" i="88"/>
  <c r="AI53" i="88"/>
  <c r="AI54" i="88"/>
  <c r="AI62" i="88"/>
  <c r="AI40" i="88"/>
  <c r="AI57" i="88"/>
  <c r="AI56" i="88"/>
  <c r="AI71" i="88"/>
  <c r="AI55" i="88"/>
  <c r="AI61" i="88"/>
  <c r="AI72" i="88"/>
  <c r="AI39" i="88"/>
  <c r="AD71" i="88"/>
  <c r="AD66" i="88"/>
  <c r="AD61" i="88"/>
  <c r="AD57" i="88"/>
  <c r="AD53" i="88"/>
  <c r="AD46" i="88"/>
  <c r="AD42" i="88"/>
  <c r="AD34" i="88"/>
  <c r="AD29" i="88"/>
  <c r="AD25" i="88"/>
  <c r="AD21" i="88"/>
  <c r="AD17" i="88"/>
  <c r="AD13" i="88"/>
  <c r="AD9" i="88"/>
  <c r="AD69" i="88"/>
  <c r="AD65" i="88"/>
  <c r="AD60" i="88"/>
  <c r="AD56" i="88"/>
  <c r="AD52" i="88"/>
  <c r="AD45" i="88"/>
  <c r="AD41" i="88"/>
  <c r="AD33" i="88"/>
  <c r="AD28" i="88"/>
  <c r="AD24" i="88"/>
  <c r="AD20" i="88"/>
  <c r="AD16" i="88"/>
  <c r="AD12" i="88"/>
  <c r="AD63" i="88"/>
  <c r="AD68" i="88"/>
  <c r="AD64" i="88"/>
  <c r="AD59" i="88"/>
  <c r="AD55" i="88"/>
  <c r="AD49" i="88"/>
  <c r="AD44" i="88"/>
  <c r="AD40" i="88"/>
  <c r="AD31" i="88"/>
  <c r="AD27" i="88"/>
  <c r="AD23" i="88"/>
  <c r="AD19" i="88"/>
  <c r="AD15" i="88"/>
  <c r="AD11" i="88"/>
  <c r="AD72" i="88"/>
  <c r="AD67" i="88"/>
  <c r="AD62" i="88"/>
  <c r="AD58" i="88"/>
  <c r="AD54" i="88"/>
  <c r="AD48" i="88"/>
  <c r="AD43" i="88"/>
  <c r="AD39" i="88"/>
  <c r="AD30" i="88"/>
  <c r="AD26" i="88"/>
  <c r="AD22" i="88"/>
  <c r="AD18" i="88"/>
  <c r="AD14" i="88"/>
  <c r="AD10" i="88"/>
  <c r="AD8" i="88"/>
  <c r="AC79" i="88" l="1"/>
  <c r="AC81" i="88" s="1"/>
  <c r="AC82" i="88" s="1"/>
  <c r="AC84" i="88" s="1"/>
  <c r="AC85" i="88" s="1"/>
  <c r="W16" i="88" l="1"/>
  <c r="AQ16" i="88" s="1"/>
  <c r="AR16" i="88" l="1"/>
  <c r="X16" i="88"/>
  <c r="I85" i="91" l="1"/>
  <c r="E85" i="91"/>
  <c r="I82" i="91"/>
  <c r="E82" i="91"/>
  <c r="E79" i="91"/>
  <c r="E78" i="91"/>
  <c r="H77" i="91"/>
  <c r="D77" i="91"/>
  <c r="C77" i="91"/>
  <c r="H73" i="91"/>
  <c r="C74" i="91"/>
  <c r="C73" i="91" s="1"/>
  <c r="D73" i="91"/>
  <c r="E71" i="91"/>
  <c r="E70" i="91"/>
  <c r="E69" i="91"/>
  <c r="E68" i="91"/>
  <c r="E67" i="91"/>
  <c r="E66" i="91"/>
  <c r="E65" i="91"/>
  <c r="E64" i="91"/>
  <c r="E63" i="91"/>
  <c r="E62" i="91"/>
  <c r="E61" i="91"/>
  <c r="E60" i="91"/>
  <c r="E59" i="91"/>
  <c r="E58" i="91"/>
  <c r="E57" i="91"/>
  <c r="E56" i="91"/>
  <c r="E55" i="91"/>
  <c r="D54" i="91"/>
  <c r="C54" i="91"/>
  <c r="E52" i="91"/>
  <c r="E51" i="91"/>
  <c r="E48" i="91"/>
  <c r="E47" i="91"/>
  <c r="E46" i="91"/>
  <c r="E45" i="91"/>
  <c r="E44" i="91"/>
  <c r="E43" i="91"/>
  <c r="E42" i="91"/>
  <c r="D41" i="91"/>
  <c r="C41" i="91"/>
  <c r="E36" i="91"/>
  <c r="E35" i="91" s="1"/>
  <c r="H35" i="91"/>
  <c r="D35" i="91"/>
  <c r="C35" i="91"/>
  <c r="E33" i="91"/>
  <c r="E32" i="91"/>
  <c r="E31" i="91"/>
  <c r="E30" i="91"/>
  <c r="E29" i="91"/>
  <c r="E28" i="91"/>
  <c r="E27" i="91"/>
  <c r="E26" i="91"/>
  <c r="E25" i="91"/>
  <c r="E24" i="91"/>
  <c r="E21" i="91"/>
  <c r="E20" i="91"/>
  <c r="E19" i="91"/>
  <c r="E18" i="91"/>
  <c r="E17" i="91"/>
  <c r="E16" i="91"/>
  <c r="E15" i="91"/>
  <c r="E14" i="91"/>
  <c r="E13" i="91"/>
  <c r="E12" i="91"/>
  <c r="E11" i="91"/>
  <c r="E10" i="91"/>
  <c r="E9" i="91"/>
  <c r="D8" i="91"/>
  <c r="C8" i="91"/>
  <c r="E7" i="91"/>
  <c r="E6" i="91"/>
  <c r="E5" i="91" s="1"/>
  <c r="H5" i="91"/>
  <c r="D5" i="91"/>
  <c r="C5" i="91"/>
  <c r="E50" i="91" l="1"/>
  <c r="D38" i="91"/>
  <c r="D75" i="91" s="1"/>
  <c r="D81" i="91" s="1"/>
  <c r="D83" i="91" s="1"/>
  <c r="D84" i="91" s="1"/>
  <c r="D86" i="91" s="1"/>
  <c r="D87" i="91" s="1"/>
  <c r="E41" i="91"/>
  <c r="E54" i="91"/>
  <c r="E8" i="91"/>
  <c r="I48" i="86"/>
  <c r="H54" i="91"/>
  <c r="G77" i="91"/>
  <c r="I6" i="91"/>
  <c r="I5" i="91" s="1"/>
  <c r="G50" i="91"/>
  <c r="I72" i="91"/>
  <c r="C38" i="91"/>
  <c r="C75" i="91" s="1"/>
  <c r="G5" i="91"/>
  <c r="G41" i="91"/>
  <c r="H8" i="91"/>
  <c r="G35" i="91"/>
  <c r="I36" i="91"/>
  <c r="I7" i="91"/>
  <c r="G8" i="91"/>
  <c r="I50" i="91"/>
  <c r="G54" i="91"/>
  <c r="I74" i="91"/>
  <c r="I73" i="91" s="1"/>
  <c r="G73" i="91"/>
  <c r="H41" i="91"/>
  <c r="H50" i="91"/>
  <c r="E77" i="91"/>
  <c r="E74" i="91"/>
  <c r="E73" i="91" s="1"/>
  <c r="D39" i="91" l="1"/>
  <c r="E38" i="91"/>
  <c r="E75" i="91" s="1"/>
  <c r="E81" i="91" s="1"/>
  <c r="E83" i="91" s="1"/>
  <c r="E84" i="91" s="1"/>
  <c r="E86" i="91" s="1"/>
  <c r="E87" i="91" s="1"/>
  <c r="E89" i="91"/>
  <c r="I79" i="91"/>
  <c r="BG79" i="91" s="1"/>
  <c r="BG89" i="91" s="1"/>
  <c r="BG90" i="91" s="1"/>
  <c r="H38" i="91"/>
  <c r="H75" i="91" s="1"/>
  <c r="D76" i="91"/>
  <c r="C39" i="91"/>
  <c r="G38" i="91"/>
  <c r="G75" i="91" s="1"/>
  <c r="I54" i="91"/>
  <c r="I41" i="91"/>
  <c r="I35" i="91"/>
  <c r="I8" i="91"/>
  <c r="C81" i="91"/>
  <c r="C83" i="91" s="1"/>
  <c r="C84" i="91" s="1"/>
  <c r="C86" i="91" s="1"/>
  <c r="C87" i="91" s="1"/>
  <c r="C76" i="91"/>
  <c r="E39" i="91" l="1"/>
  <c r="I77" i="91"/>
  <c r="E76" i="91"/>
  <c r="H39" i="91"/>
  <c r="G39" i="91"/>
  <c r="J8" i="91"/>
  <c r="I38" i="91"/>
  <c r="I75" i="91" s="1"/>
  <c r="H81" i="91"/>
  <c r="H83" i="91" s="1"/>
  <c r="H84" i="91" s="1"/>
  <c r="H76" i="91"/>
  <c r="F63" i="91"/>
  <c r="F61" i="91"/>
  <c r="F59" i="91"/>
  <c r="F72" i="91"/>
  <c r="F85" i="91"/>
  <c r="F55" i="91"/>
  <c r="F51" i="91"/>
  <c r="F50" i="91"/>
  <c r="F47" i="91"/>
  <c r="F43" i="91"/>
  <c r="F67" i="91"/>
  <c r="F62" i="91"/>
  <c r="F52" i="91"/>
  <c r="F48" i="91"/>
  <c r="F44" i="91"/>
  <c r="F58" i="91"/>
  <c r="F32" i="91"/>
  <c r="F29" i="91"/>
  <c r="F24" i="91"/>
  <c r="F17" i="91"/>
  <c r="F14" i="91"/>
  <c r="F12" i="91"/>
  <c r="F70" i="91"/>
  <c r="F60" i="91"/>
  <c r="F56" i="91"/>
  <c r="F33" i="91"/>
  <c r="F25" i="91"/>
  <c r="F19" i="91"/>
  <c r="F18" i="91"/>
  <c r="F9" i="91"/>
  <c r="F57" i="91"/>
  <c r="F46" i="91"/>
  <c r="F64" i="91"/>
  <c r="F42" i="91"/>
  <c r="F8" i="91"/>
  <c r="F27" i="91"/>
  <c r="F71" i="91"/>
  <c r="F13" i="91"/>
  <c r="F15" i="91"/>
  <c r="F28" i="91"/>
  <c r="F10" i="91"/>
  <c r="F35" i="91"/>
  <c r="F30" i="91"/>
  <c r="F31" i="91"/>
  <c r="F45" i="91"/>
  <c r="F54" i="91"/>
  <c r="F36" i="91"/>
  <c r="F82" i="91"/>
  <c r="F65" i="91"/>
  <c r="F69" i="91"/>
  <c r="F68" i="91"/>
  <c r="F16" i="91"/>
  <c r="F21" i="91"/>
  <c r="F11" i="91"/>
  <c r="F20" i="91"/>
  <c r="F26" i="91"/>
  <c r="F41" i="91"/>
  <c r="F66" i="91"/>
  <c r="F79" i="91"/>
  <c r="F73" i="91"/>
  <c r="G81" i="91"/>
  <c r="G83" i="91" s="1"/>
  <c r="G84" i="91" s="1"/>
  <c r="G76" i="91"/>
  <c r="BG77" i="91" l="1"/>
  <c r="BG81" i="91"/>
  <c r="BG83" i="91" s="1"/>
  <c r="BG84" i="91" s="1"/>
  <c r="BG86" i="91" s="1"/>
  <c r="BG87" i="91" s="1"/>
  <c r="J54" i="91"/>
  <c r="G86" i="91"/>
  <c r="G87" i="91" s="1"/>
  <c r="J41" i="91"/>
  <c r="H86" i="91"/>
  <c r="H87" i="91" s="1"/>
  <c r="I39" i="91"/>
  <c r="J62" i="91"/>
  <c r="J58" i="91"/>
  <c r="J71" i="91"/>
  <c r="J49" i="91"/>
  <c r="J57" i="91"/>
  <c r="J51" i="91"/>
  <c r="J47" i="91"/>
  <c r="J33" i="91"/>
  <c r="J43" i="91"/>
  <c r="J9" i="91"/>
  <c r="J29" i="91"/>
  <c r="J17" i="91"/>
  <c r="J59" i="91"/>
  <c r="J63" i="91"/>
  <c r="J67" i="91"/>
  <c r="J72" i="91"/>
  <c r="J65" i="91"/>
  <c r="J66" i="91"/>
  <c r="J25" i="91"/>
  <c r="J14" i="91"/>
  <c r="J12" i="91"/>
  <c r="J24" i="91"/>
  <c r="J52" i="91"/>
  <c r="J42" i="91"/>
  <c r="J60" i="91"/>
  <c r="J61" i="91"/>
  <c r="J19" i="91"/>
  <c r="J26" i="91"/>
  <c r="J46" i="91"/>
  <c r="J44" i="91"/>
  <c r="J32" i="91"/>
  <c r="J68" i="91"/>
  <c r="J69" i="91"/>
  <c r="J64" i="91"/>
  <c r="J70" i="91"/>
  <c r="J55" i="91"/>
  <c r="J16" i="91"/>
  <c r="J56" i="91"/>
  <c r="J30" i="91"/>
  <c r="J27" i="91"/>
  <c r="J28" i="91"/>
  <c r="J10" i="91"/>
  <c r="J48" i="91"/>
  <c r="J20" i="91"/>
  <c r="J31" i="91"/>
  <c r="J45" i="91"/>
  <c r="J18" i="91"/>
  <c r="J36" i="91"/>
  <c r="J11" i="91"/>
  <c r="J15" i="91"/>
  <c r="J13" i="91"/>
  <c r="J21" i="91"/>
  <c r="I81" i="91" l="1"/>
  <c r="I83" i="91" s="1"/>
  <c r="I84" i="91" s="1"/>
  <c r="I86" i="91" s="1"/>
  <c r="I87" i="91" s="1"/>
  <c r="I76" i="91"/>
  <c r="I30" i="87" l="1"/>
  <c r="I20" i="87" l="1"/>
  <c r="V27" i="88" l="1"/>
  <c r="AP27" i="88" s="1"/>
  <c r="R28" i="88"/>
  <c r="S28" i="88" s="1"/>
  <c r="M28" i="88"/>
  <c r="N28" i="88" s="1"/>
  <c r="V23" i="88"/>
  <c r="AP23" i="88" s="1"/>
  <c r="V24" i="88"/>
  <c r="AP24" i="88" s="1"/>
  <c r="V26" i="88"/>
  <c r="AP26" i="88" s="1"/>
  <c r="V25" i="88"/>
  <c r="AP25" i="88" s="1"/>
  <c r="AU77" i="88"/>
  <c r="AR76" i="88"/>
  <c r="AQ50" i="88"/>
  <c r="AR50" i="88" s="1"/>
  <c r="AR48" i="88" s="1"/>
  <c r="AQ43" i="88"/>
  <c r="AP43" i="88"/>
  <c r="AQ42" i="88"/>
  <c r="AP42" i="88"/>
  <c r="AQ41" i="88"/>
  <c r="AP41" i="88"/>
  <c r="AQ40" i="88"/>
  <c r="AP40" i="88"/>
  <c r="AR40" i="88" s="1"/>
  <c r="X83" i="88"/>
  <c r="X80" i="88"/>
  <c r="W75" i="88"/>
  <c r="V75" i="88"/>
  <c r="W71" i="88"/>
  <c r="V71" i="88"/>
  <c r="W52" i="88"/>
  <c r="V52" i="88"/>
  <c r="W48" i="88"/>
  <c r="V48" i="88"/>
  <c r="W39" i="88"/>
  <c r="V39" i="88"/>
  <c r="W33" i="88"/>
  <c r="V33" i="88"/>
  <c r="W5" i="88"/>
  <c r="V5" i="88"/>
  <c r="AR42" i="88" l="1"/>
  <c r="AR41" i="88"/>
  <c r="AR43" i="88"/>
  <c r="AR6" i="88"/>
  <c r="AR5" i="88" s="1"/>
  <c r="X6" i="88"/>
  <c r="X5" i="88" s="1"/>
  <c r="AR23" i="88"/>
  <c r="X23" i="88"/>
  <c r="X25" i="88"/>
  <c r="AR25" i="88"/>
  <c r="X26" i="88"/>
  <c r="AR24" i="88"/>
  <c r="X24" i="88"/>
  <c r="AR27" i="88"/>
  <c r="X27" i="88"/>
  <c r="W8" i="88"/>
  <c r="V8" i="88"/>
  <c r="V36" i="88" s="1"/>
  <c r="AR39" i="88" l="1"/>
  <c r="X8" i="88"/>
  <c r="X36" i="88" s="1"/>
  <c r="W36" i="88"/>
  <c r="W37" i="88" s="1"/>
  <c r="X77" i="88"/>
  <c r="X75" i="88" s="1"/>
  <c r="V37" i="88"/>
  <c r="V73" i="88"/>
  <c r="X87" i="88" l="1"/>
  <c r="AN76" i="88" s="1"/>
  <c r="W73" i="88"/>
  <c r="W79" i="88" s="1"/>
  <c r="W81" i="88" s="1"/>
  <c r="W82" i="88" s="1"/>
  <c r="W84" i="88" s="1"/>
  <c r="W85" i="88" s="1"/>
  <c r="X37" i="88"/>
  <c r="X73" i="88"/>
  <c r="X74" i="88" s="1"/>
  <c r="I28" i="90"/>
  <c r="Y61" i="88"/>
  <c r="Y53" i="88"/>
  <c r="Y67" i="88"/>
  <c r="Y46" i="88"/>
  <c r="Y41" i="88"/>
  <c r="Y9" i="88"/>
  <c r="Y52" i="88"/>
  <c r="Y43" i="88"/>
  <c r="Y15" i="88"/>
  <c r="Y50" i="88"/>
  <c r="Y62" i="88"/>
  <c r="Y25" i="88"/>
  <c r="Y13" i="88"/>
  <c r="Y8" i="88"/>
  <c r="V79" i="88"/>
  <c r="V81" i="88" s="1"/>
  <c r="V82" i="88" s="1"/>
  <c r="V84" i="88" s="1"/>
  <c r="V85" i="88" s="1"/>
  <c r="V74" i="88"/>
  <c r="Y45" i="88" l="1"/>
  <c r="Y18" i="88"/>
  <c r="Y23" i="88"/>
  <c r="Y60" i="88"/>
  <c r="Y71" i="88"/>
  <c r="Y12" i="88"/>
  <c r="AD77" i="88"/>
  <c r="Y83" i="88"/>
  <c r="Y30" i="88"/>
  <c r="Y31" i="88"/>
  <c r="Y68" i="88"/>
  <c r="Y26" i="88"/>
  <c r="Y20" i="88"/>
  <c r="AD83" i="88"/>
  <c r="AN77" i="88"/>
  <c r="W74" i="88"/>
  <c r="Y54" i="88"/>
  <c r="Y59" i="88"/>
  <c r="Y32" i="88"/>
  <c r="Y69" i="88"/>
  <c r="AD80" i="88"/>
  <c r="AI76" i="88"/>
  <c r="AN80" i="88"/>
  <c r="Y44" i="88"/>
  <c r="Y24" i="88"/>
  <c r="AI47" i="88"/>
  <c r="AI83" i="88"/>
  <c r="Y11" i="88"/>
  <c r="Y58" i="88"/>
  <c r="Y33" i="88"/>
  <c r="Y22" i="88"/>
  <c r="Y80" i="88"/>
  <c r="Y27" i="88"/>
  <c r="Y47" i="88"/>
  <c r="Y64" i="88"/>
  <c r="Y29" i="88"/>
  <c r="Y66" i="88"/>
  <c r="Y34" i="88"/>
  <c r="Y63" i="88"/>
  <c r="Y16" i="88"/>
  <c r="Y40" i="88"/>
  <c r="Y57" i="88"/>
  <c r="Y77" i="88"/>
  <c r="AD50" i="88"/>
  <c r="AI77" i="88"/>
  <c r="AI50" i="88"/>
  <c r="AN83" i="88"/>
  <c r="Y21" i="88"/>
  <c r="Y17" i="88"/>
  <c r="Y10" i="88"/>
  <c r="Y42" i="88"/>
  <c r="Y19" i="88"/>
  <c r="Y39" i="88"/>
  <c r="Y56" i="88"/>
  <c r="Y76" i="88"/>
  <c r="Y49" i="88"/>
  <c r="Y14" i="88"/>
  <c r="Y55" i="88"/>
  <c r="Y72" i="88"/>
  <c r="Y28" i="88"/>
  <c r="Y48" i="88"/>
  <c r="Y65" i="88"/>
  <c r="AD76" i="88"/>
  <c r="AD47" i="88"/>
  <c r="AI80" i="88"/>
  <c r="X79" i="88"/>
  <c r="X81" i="88" s="1"/>
  <c r="X82" i="88" s="1"/>
  <c r="X84" i="88" s="1"/>
  <c r="X85" i="88" s="1"/>
  <c r="I26" i="89" l="1"/>
  <c r="I6" i="89" l="1"/>
  <c r="I5" i="89" s="1"/>
  <c r="I78" i="90" l="1"/>
  <c r="I14" i="90" l="1"/>
  <c r="I24" i="90"/>
  <c r="I11" i="90"/>
  <c r="I30" i="90"/>
  <c r="I9" i="90"/>
  <c r="I13" i="90"/>
  <c r="I29" i="90"/>
  <c r="I10" i="90"/>
  <c r="I7" i="90"/>
  <c r="I21" i="90"/>
  <c r="I31" i="90"/>
  <c r="I12" i="90"/>
  <c r="I18" i="89"/>
  <c r="I8" i="89" s="1"/>
  <c r="I8" i="90" l="1"/>
  <c r="I38" i="90" l="1"/>
  <c r="I39" i="90" s="1"/>
  <c r="I36" i="89" l="1"/>
  <c r="I35" i="89" l="1"/>
  <c r="I38" i="89"/>
  <c r="I75" i="89" l="1"/>
  <c r="I76" i="89" s="1"/>
  <c r="I39" i="89"/>
  <c r="N21" i="88"/>
  <c r="I7" i="86" l="1"/>
  <c r="I48" i="90"/>
  <c r="I41" i="90" s="1"/>
  <c r="I65" i="86" l="1"/>
  <c r="I60" i="86"/>
  <c r="I58" i="86"/>
  <c r="I52" i="86"/>
  <c r="I71" i="86"/>
  <c r="I59" i="86"/>
  <c r="I16" i="87" l="1"/>
  <c r="I25" i="87"/>
  <c r="AQ78" i="88" l="1"/>
  <c r="AP78" i="88"/>
  <c r="AQ47" i="88"/>
  <c r="AP47" i="88"/>
  <c r="Q11" i="88"/>
  <c r="Q10" i="88"/>
  <c r="Q9" i="88"/>
  <c r="Q21" i="88"/>
  <c r="AP21" i="88" s="1"/>
  <c r="AR21" i="88" s="1"/>
  <c r="R8" i="88"/>
  <c r="S83" i="88"/>
  <c r="S80" i="88"/>
  <c r="R75" i="88"/>
  <c r="Q75" i="88"/>
  <c r="R71" i="88"/>
  <c r="Q71" i="88"/>
  <c r="R52" i="88"/>
  <c r="Q52" i="88"/>
  <c r="R48" i="88"/>
  <c r="Q48" i="88"/>
  <c r="R39" i="88"/>
  <c r="Q39" i="88"/>
  <c r="R33" i="88"/>
  <c r="Q33" i="88"/>
  <c r="R5" i="88"/>
  <c r="Q5" i="88"/>
  <c r="I7" i="85"/>
  <c r="Q8" i="88" l="1"/>
  <c r="Q36" i="88" s="1"/>
  <c r="Q37" i="88" s="1"/>
  <c r="S77" i="88"/>
  <c r="S75" i="88" s="1"/>
  <c r="S21" i="88"/>
  <c r="S9" i="88"/>
  <c r="S11" i="88"/>
  <c r="S10" i="88"/>
  <c r="R36" i="88"/>
  <c r="R73" i="88" s="1"/>
  <c r="Q73" i="88" l="1"/>
  <c r="Q74" i="88" s="1"/>
  <c r="I45" i="87"/>
  <c r="S8" i="88"/>
  <c r="S36" i="88" s="1"/>
  <c r="R37" i="88"/>
  <c r="R79" i="88"/>
  <c r="R81" i="88" s="1"/>
  <c r="R82" i="88" s="1"/>
  <c r="R84" i="88" s="1"/>
  <c r="R85" i="88" s="1"/>
  <c r="R74" i="88"/>
  <c r="Q79" i="88"/>
  <c r="Q81" i="88" s="1"/>
  <c r="Q82" i="88" s="1"/>
  <c r="Q84" i="88" s="1"/>
  <c r="Q85" i="88" s="1"/>
  <c r="S87" i="88" l="1"/>
  <c r="AD38" i="88" s="1"/>
  <c r="S73" i="88"/>
  <c r="S74" i="88" s="1"/>
  <c r="S37" i="88"/>
  <c r="T31" i="88"/>
  <c r="T30" i="88"/>
  <c r="T46" i="88" l="1"/>
  <c r="S79" i="88"/>
  <c r="S81" i="88" s="1"/>
  <c r="S82" i="88" s="1"/>
  <c r="S84" i="88" s="1"/>
  <c r="S85" i="88" s="1"/>
  <c r="T48" i="88"/>
  <c r="T53" i="88"/>
  <c r="T62" i="88"/>
  <c r="T64" i="88"/>
  <c r="T69" i="88"/>
  <c r="T14" i="88"/>
  <c r="T15" i="88"/>
  <c r="T24" i="88"/>
  <c r="T18" i="88"/>
  <c r="T52" i="88"/>
  <c r="T19" i="88"/>
  <c r="T57" i="88"/>
  <c r="T32" i="88"/>
  <c r="T66" i="88"/>
  <c r="AD51" i="88"/>
  <c r="T28" i="88"/>
  <c r="T22" i="88"/>
  <c r="T40" i="88"/>
  <c r="T56" i="88"/>
  <c r="T72" i="88"/>
  <c r="T23" i="88"/>
  <c r="T45" i="88"/>
  <c r="T61" i="88"/>
  <c r="T16" i="88"/>
  <c r="T38" i="88"/>
  <c r="T54" i="88"/>
  <c r="T70" i="88"/>
  <c r="T29" i="88"/>
  <c r="T71" i="88"/>
  <c r="T17" i="88"/>
  <c r="T39" i="88"/>
  <c r="Y51" i="88"/>
  <c r="T8" i="88"/>
  <c r="T34" i="88"/>
  <c r="T68" i="88"/>
  <c r="T41" i="88"/>
  <c r="T12" i="88"/>
  <c r="T50" i="88"/>
  <c r="T21" i="88"/>
  <c r="T55" i="88"/>
  <c r="T10" i="88"/>
  <c r="T26" i="88"/>
  <c r="T44" i="88"/>
  <c r="T60" i="88"/>
  <c r="T11" i="88"/>
  <c r="T27" i="88"/>
  <c r="T49" i="88"/>
  <c r="T65" i="88"/>
  <c r="T20" i="88"/>
  <c r="T42" i="88"/>
  <c r="T58" i="88"/>
  <c r="T13" i="88"/>
  <c r="T33" i="88"/>
  <c r="T9" i="88"/>
  <c r="T25" i="88"/>
  <c r="T43" i="88"/>
  <c r="T59" i="88"/>
  <c r="Y38" i="88"/>
  <c r="AD70" i="88"/>
  <c r="T47" i="88"/>
  <c r="T63" i="88"/>
  <c r="Y37" i="88"/>
  <c r="AD37" i="88"/>
  <c r="T37" i="88"/>
  <c r="T51" i="88"/>
  <c r="T67" i="88"/>
  <c r="Y70" i="88"/>
  <c r="AI51" i="88"/>
  <c r="AI38" i="88"/>
  <c r="I65" i="90" l="1"/>
  <c r="I69" i="90" l="1"/>
  <c r="L18" i="88" l="1"/>
  <c r="AP18" i="88" s="1"/>
  <c r="AR18" i="88" l="1"/>
  <c r="N18" i="88"/>
  <c r="I18" i="87" l="1"/>
  <c r="I63" i="90" l="1"/>
  <c r="I54" i="90" s="1"/>
  <c r="I75" i="90" l="1"/>
  <c r="I76" i="90" s="1"/>
  <c r="I85" i="90"/>
  <c r="E85" i="90"/>
  <c r="I82" i="90"/>
  <c r="E82" i="90"/>
  <c r="E79" i="90"/>
  <c r="E78" i="90"/>
  <c r="G77" i="90"/>
  <c r="D77" i="90"/>
  <c r="C77" i="90"/>
  <c r="I74" i="90"/>
  <c r="I73" i="90" s="1"/>
  <c r="H73" i="90"/>
  <c r="G73" i="90"/>
  <c r="D73" i="90"/>
  <c r="E71" i="90"/>
  <c r="E70" i="90"/>
  <c r="E69" i="90"/>
  <c r="E68" i="90"/>
  <c r="E67" i="90"/>
  <c r="E66" i="90"/>
  <c r="E65" i="90"/>
  <c r="E64" i="90"/>
  <c r="E63" i="90"/>
  <c r="E62" i="90"/>
  <c r="E61" i="90"/>
  <c r="E60" i="90"/>
  <c r="E59" i="90"/>
  <c r="E58" i="90"/>
  <c r="E57" i="90"/>
  <c r="E56" i="90"/>
  <c r="E55" i="90"/>
  <c r="D54" i="90"/>
  <c r="E52" i="90"/>
  <c r="E51" i="90"/>
  <c r="G50" i="90"/>
  <c r="E48" i="90"/>
  <c r="E47" i="90"/>
  <c r="E46" i="90"/>
  <c r="E45" i="90"/>
  <c r="E44" i="90"/>
  <c r="E43" i="90"/>
  <c r="E42" i="90"/>
  <c r="G41" i="90"/>
  <c r="D41" i="90"/>
  <c r="C41" i="90"/>
  <c r="E36" i="90"/>
  <c r="E35" i="90" s="1"/>
  <c r="H35" i="90"/>
  <c r="D35" i="90"/>
  <c r="C35" i="90"/>
  <c r="E33" i="90"/>
  <c r="E32" i="90"/>
  <c r="E31" i="90"/>
  <c r="E30" i="90"/>
  <c r="E29" i="90"/>
  <c r="E28" i="90"/>
  <c r="E27" i="90"/>
  <c r="E26" i="90"/>
  <c r="E25" i="90"/>
  <c r="E24" i="90"/>
  <c r="E21" i="90"/>
  <c r="E20" i="90"/>
  <c r="E19" i="90"/>
  <c r="E18" i="90"/>
  <c r="E17" i="90"/>
  <c r="E16" i="90"/>
  <c r="E15" i="90"/>
  <c r="E14" i="90"/>
  <c r="E13" i="90"/>
  <c r="E12" i="90"/>
  <c r="E11" i="90"/>
  <c r="E10" i="90"/>
  <c r="E9" i="90"/>
  <c r="D8" i="90"/>
  <c r="E7" i="90"/>
  <c r="E6" i="90"/>
  <c r="E5" i="90" s="1"/>
  <c r="D5" i="90"/>
  <c r="C5" i="90"/>
  <c r="M26" i="88"/>
  <c r="AQ26" i="88" s="1"/>
  <c r="L22" i="88"/>
  <c r="AP22" i="88" s="1"/>
  <c r="M29" i="88"/>
  <c r="N29" i="88" s="1"/>
  <c r="E77" i="90" l="1"/>
  <c r="AR22" i="88"/>
  <c r="N22" i="88"/>
  <c r="AR26" i="88"/>
  <c r="N26" i="88"/>
  <c r="E54" i="90"/>
  <c r="G8" i="90"/>
  <c r="H8" i="90"/>
  <c r="E41" i="90"/>
  <c r="D38" i="90"/>
  <c r="D75" i="90" s="1"/>
  <c r="C38" i="90"/>
  <c r="C39" i="90" s="1"/>
  <c r="E8" i="90"/>
  <c r="E38" i="90" s="1"/>
  <c r="C73" i="90"/>
  <c r="E74" i="90"/>
  <c r="E73" i="90" s="1"/>
  <c r="G5" i="90"/>
  <c r="H5" i="90"/>
  <c r="G35" i="90"/>
  <c r="H41" i="90"/>
  <c r="H54" i="90"/>
  <c r="H77" i="90"/>
  <c r="H50" i="90"/>
  <c r="E50" i="90"/>
  <c r="G54" i="90"/>
  <c r="I79" i="90" l="1"/>
  <c r="BQ79" i="90" s="1"/>
  <c r="N8" i="88"/>
  <c r="N36" i="88" s="1"/>
  <c r="G38" i="90"/>
  <c r="G39" i="90" s="1"/>
  <c r="C75" i="90"/>
  <c r="C81" i="90" s="1"/>
  <c r="C83" i="90" s="1"/>
  <c r="C84" i="90" s="1"/>
  <c r="C86" i="90" s="1"/>
  <c r="C87" i="90" s="1"/>
  <c r="H38" i="90"/>
  <c r="H39" i="90" s="1"/>
  <c r="D39" i="90"/>
  <c r="E75" i="90"/>
  <c r="E39" i="90"/>
  <c r="D81" i="90"/>
  <c r="D83" i="90" s="1"/>
  <c r="D84" i="90" s="1"/>
  <c r="D86" i="90" s="1"/>
  <c r="D87" i="90" s="1"/>
  <c r="D76" i="90"/>
  <c r="E89" i="90"/>
  <c r="F22" i="90" s="1"/>
  <c r="BQ89" i="90" l="1"/>
  <c r="I89" i="90"/>
  <c r="I77" i="90"/>
  <c r="C76" i="90"/>
  <c r="N37" i="88"/>
  <c r="N73" i="88"/>
  <c r="N74" i="88" s="1"/>
  <c r="G75" i="90"/>
  <c r="G81" i="90" s="1"/>
  <c r="G83" i="90" s="1"/>
  <c r="G84" i="90" s="1"/>
  <c r="G86" i="90" s="1"/>
  <c r="G87" i="90" s="1"/>
  <c r="H75" i="90"/>
  <c r="H76" i="90" s="1"/>
  <c r="F66" i="90"/>
  <c r="F65" i="90"/>
  <c r="F72" i="90"/>
  <c r="F52" i="90"/>
  <c r="F20" i="90"/>
  <c r="F73" i="90"/>
  <c r="F44" i="90"/>
  <c r="F33" i="90"/>
  <c r="F27" i="90"/>
  <c r="F21" i="90"/>
  <c r="F17" i="90"/>
  <c r="F68" i="90"/>
  <c r="F47" i="90"/>
  <c r="F46" i="90"/>
  <c r="F42" i="90"/>
  <c r="F36" i="90"/>
  <c r="F25" i="90"/>
  <c r="F19" i="90"/>
  <c r="F16" i="90"/>
  <c r="F29" i="90"/>
  <c r="F30" i="90"/>
  <c r="F14" i="90"/>
  <c r="F11" i="90"/>
  <c r="F15" i="90"/>
  <c r="F41" i="90"/>
  <c r="F31" i="90"/>
  <c r="F35" i="90"/>
  <c r="F56" i="90"/>
  <c r="F60" i="90"/>
  <c r="F64" i="90"/>
  <c r="F55" i="90"/>
  <c r="F59" i="90"/>
  <c r="F63" i="90"/>
  <c r="F48" i="90"/>
  <c r="F51" i="90"/>
  <c r="F24" i="90"/>
  <c r="F67" i="90"/>
  <c r="F9" i="90"/>
  <c r="F12" i="90"/>
  <c r="F10" i="90"/>
  <c r="F18" i="90"/>
  <c r="F71" i="90"/>
  <c r="F8" i="90"/>
  <c r="F28" i="90"/>
  <c r="F26" i="90"/>
  <c r="F43" i="90"/>
  <c r="F32" i="90"/>
  <c r="F70" i="90"/>
  <c r="F45" i="90"/>
  <c r="F69" i="90"/>
  <c r="F85" i="90"/>
  <c r="F13" i="90"/>
  <c r="F54" i="90"/>
  <c r="F58" i="90"/>
  <c r="F62" i="90"/>
  <c r="F82" i="90"/>
  <c r="F57" i="90"/>
  <c r="F61" i="90"/>
  <c r="E81" i="90"/>
  <c r="E83" i="90" s="1"/>
  <c r="E84" i="90" s="1"/>
  <c r="E86" i="90" s="1"/>
  <c r="E87" i="90" s="1"/>
  <c r="E76" i="90"/>
  <c r="J8" i="90"/>
  <c r="F50" i="90"/>
  <c r="BQ90" i="90" l="1"/>
  <c r="BQ94" i="90"/>
  <c r="BR22" i="90"/>
  <c r="BR23" i="90"/>
  <c r="BR9" i="90"/>
  <c r="BQ77" i="90"/>
  <c r="BQ81" i="90"/>
  <c r="BQ83" i="90" s="1"/>
  <c r="BQ84" i="90" s="1"/>
  <c r="BQ86" i="90" s="1"/>
  <c r="G76" i="90"/>
  <c r="H81" i="90"/>
  <c r="H83" i="90" s="1"/>
  <c r="H84" i="90" s="1"/>
  <c r="H86" i="90" s="1"/>
  <c r="H87" i="90" s="1"/>
  <c r="J70" i="90"/>
  <c r="J64" i="90"/>
  <c r="J49" i="90"/>
  <c r="J46" i="90"/>
  <c r="J20" i="90"/>
  <c r="J16" i="90"/>
  <c r="J9" i="90"/>
  <c r="J43" i="90"/>
  <c r="J27" i="90"/>
  <c r="J19" i="90"/>
  <c r="J47" i="90"/>
  <c r="J71" i="90"/>
  <c r="J36" i="90"/>
  <c r="J69" i="90"/>
  <c r="J60" i="90"/>
  <c r="J55" i="90"/>
  <c r="J63" i="90"/>
  <c r="J17" i="90"/>
  <c r="J21" i="90"/>
  <c r="J32" i="90"/>
  <c r="J30" i="90"/>
  <c r="J48" i="90"/>
  <c r="J31" i="90"/>
  <c r="J72" i="90"/>
  <c r="J56" i="90"/>
  <c r="J59" i="90"/>
  <c r="J68" i="90"/>
  <c r="J52" i="90"/>
  <c r="J26" i="90"/>
  <c r="J11" i="90"/>
  <c r="J65" i="90"/>
  <c r="J25" i="90"/>
  <c r="J44" i="90"/>
  <c r="J58" i="90"/>
  <c r="J62" i="90"/>
  <c r="J57" i="90"/>
  <c r="J61" i="90"/>
  <c r="J12" i="90"/>
  <c r="J33" i="90"/>
  <c r="J42" i="90"/>
  <c r="J18" i="90"/>
  <c r="J67" i="90"/>
  <c r="J66" i="90"/>
  <c r="J29" i="90"/>
  <c r="J24" i="90"/>
  <c r="J14" i="90"/>
  <c r="J13" i="90"/>
  <c r="J41" i="90"/>
  <c r="J10" i="90"/>
  <c r="J45" i="90"/>
  <c r="J15" i="90"/>
  <c r="J51" i="90"/>
  <c r="J28" i="90"/>
  <c r="J54" i="90"/>
  <c r="BQ87" i="90" l="1"/>
  <c r="BR15" i="90"/>
  <c r="BR16" i="90"/>
  <c r="BR59" i="90"/>
  <c r="BR71" i="90"/>
  <c r="BR31" i="90"/>
  <c r="BR62" i="90"/>
  <c r="BR69" i="90"/>
  <c r="BR47" i="90"/>
  <c r="BR56" i="90"/>
  <c r="BR70" i="90"/>
  <c r="BR42" i="90"/>
  <c r="BR58" i="90"/>
  <c r="BR26" i="90"/>
  <c r="BR55" i="90"/>
  <c r="BR60" i="90"/>
  <c r="BR8" i="90"/>
  <c r="BR66" i="90"/>
  <c r="BR12" i="90"/>
  <c r="BR64" i="90"/>
  <c r="BR52" i="90"/>
  <c r="BR13" i="90"/>
  <c r="BR32" i="90"/>
  <c r="BR20" i="90"/>
  <c r="BR30" i="90"/>
  <c r="BR44" i="90"/>
  <c r="BR46" i="90"/>
  <c r="BR57" i="90"/>
  <c r="BR17" i="90"/>
  <c r="BR43" i="90"/>
  <c r="BR36" i="90"/>
  <c r="BR68" i="90"/>
  <c r="BR61" i="90"/>
  <c r="BR67" i="90"/>
  <c r="BR29" i="90"/>
  <c r="BR41" i="90"/>
  <c r="BR14" i="90"/>
  <c r="BR48" i="90"/>
  <c r="BR51" i="90"/>
  <c r="BR19" i="90"/>
  <c r="BR24" i="90"/>
  <c r="BR33" i="90"/>
  <c r="BR54" i="90"/>
  <c r="BR18" i="90"/>
  <c r="BR65" i="90"/>
  <c r="BR28" i="90"/>
  <c r="BR63" i="90"/>
  <c r="BR49" i="90"/>
  <c r="BR11" i="90"/>
  <c r="BR72" i="90"/>
  <c r="BR45" i="90"/>
  <c r="BR25" i="90"/>
  <c r="BR10" i="90"/>
  <c r="BR27" i="90"/>
  <c r="BR21" i="90"/>
  <c r="I81" i="90"/>
  <c r="I83" i="90" s="1"/>
  <c r="I84" i="90" l="1"/>
  <c r="I86" i="90" s="1"/>
  <c r="I87" i="90" s="1"/>
  <c r="AQ62" i="88" l="1"/>
  <c r="AP62" i="88"/>
  <c r="AQ61" i="88"/>
  <c r="AP61" i="88"/>
  <c r="AQ60" i="88"/>
  <c r="AP60" i="88"/>
  <c r="AQ59" i="88"/>
  <c r="AP59" i="88"/>
  <c r="AQ58" i="88"/>
  <c r="AP58" i="88"/>
  <c r="AQ57" i="88"/>
  <c r="AP57" i="88"/>
  <c r="AQ56" i="88"/>
  <c r="AP56" i="88"/>
  <c r="AQ55" i="88"/>
  <c r="AP55" i="88"/>
  <c r="AQ54" i="88"/>
  <c r="AP54" i="88"/>
  <c r="AQ53" i="88"/>
  <c r="AP53" i="88"/>
  <c r="N83" i="88"/>
  <c r="N80" i="88"/>
  <c r="M75" i="88"/>
  <c r="L75" i="88"/>
  <c r="M71" i="88"/>
  <c r="L71" i="88"/>
  <c r="M52" i="88"/>
  <c r="L52" i="88"/>
  <c r="M48" i="88"/>
  <c r="L48" i="88"/>
  <c r="M39" i="88"/>
  <c r="L39" i="88"/>
  <c r="M33" i="88"/>
  <c r="L33" i="88"/>
  <c r="L8" i="88"/>
  <c r="M5" i="88"/>
  <c r="L5" i="88"/>
  <c r="AR53" i="88" l="1"/>
  <c r="AR55" i="88"/>
  <c r="AR54" i="88"/>
  <c r="AR56" i="88"/>
  <c r="AR58" i="88"/>
  <c r="AR60" i="88"/>
  <c r="AR57" i="88"/>
  <c r="AR59" i="88"/>
  <c r="AR61" i="88"/>
  <c r="AR62" i="88"/>
  <c r="L36" i="88"/>
  <c r="L73" i="88" s="1"/>
  <c r="M8" i="88"/>
  <c r="E74" i="86"/>
  <c r="E72" i="86"/>
  <c r="E71" i="86"/>
  <c r="E70" i="86"/>
  <c r="E69" i="86"/>
  <c r="E68" i="86"/>
  <c r="E67" i="86"/>
  <c r="E66" i="86"/>
  <c r="E65" i="86"/>
  <c r="E64" i="86"/>
  <c r="E63" i="86"/>
  <c r="E62" i="86"/>
  <c r="E61" i="86"/>
  <c r="E60" i="86"/>
  <c r="E59" i="86"/>
  <c r="E58" i="86"/>
  <c r="E57" i="86"/>
  <c r="E56" i="86"/>
  <c r="E55" i="86"/>
  <c r="E49" i="86"/>
  <c r="E48" i="86"/>
  <c r="E47" i="86"/>
  <c r="E46" i="86"/>
  <c r="E45" i="86"/>
  <c r="E44" i="86"/>
  <c r="E43" i="86"/>
  <c r="E42" i="86"/>
  <c r="E10" i="86"/>
  <c r="E11" i="86"/>
  <c r="E12" i="86"/>
  <c r="E13" i="86"/>
  <c r="E14" i="86"/>
  <c r="E15" i="86"/>
  <c r="E16" i="86"/>
  <c r="E17" i="86"/>
  <c r="E18" i="86"/>
  <c r="E19" i="86"/>
  <c r="E20" i="86"/>
  <c r="E21" i="86"/>
  <c r="E24" i="86"/>
  <c r="E26" i="86"/>
  <c r="E27" i="86"/>
  <c r="E29" i="86"/>
  <c r="E30" i="86"/>
  <c r="E32" i="86"/>
  <c r="E33" i="86"/>
  <c r="E31" i="86"/>
  <c r="E28" i="86"/>
  <c r="E25" i="86"/>
  <c r="AR52" i="88" l="1"/>
  <c r="M36" i="88"/>
  <c r="M37" i="88" s="1"/>
  <c r="N77" i="88"/>
  <c r="N75" i="88" s="1"/>
  <c r="L37" i="88"/>
  <c r="L79" i="88"/>
  <c r="L81" i="88" s="1"/>
  <c r="L82" i="88" s="1"/>
  <c r="L84" i="88" s="1"/>
  <c r="L85" i="88" s="1"/>
  <c r="L74" i="88"/>
  <c r="M73" i="88" l="1"/>
  <c r="N87" i="88"/>
  <c r="AI35" i="88" s="1"/>
  <c r="O11" i="88"/>
  <c r="O32" i="88"/>
  <c r="O27" i="88"/>
  <c r="M79" i="88"/>
  <c r="M81" i="88" s="1"/>
  <c r="M82" i="88" s="1"/>
  <c r="M84" i="88" s="1"/>
  <c r="M85" i="88" s="1"/>
  <c r="M74" i="88"/>
  <c r="O55" i="88" l="1"/>
  <c r="O44" i="88"/>
  <c r="O9" i="88"/>
  <c r="O8" i="88"/>
  <c r="O12" i="88"/>
  <c r="O52" i="88"/>
  <c r="O28" i="88"/>
  <c r="O20" i="88"/>
  <c r="O60" i="88"/>
  <c r="O51" i="88"/>
  <c r="O29" i="88"/>
  <c r="O15" i="88"/>
  <c r="O71" i="88"/>
  <c r="O24" i="88"/>
  <c r="O48" i="88"/>
  <c r="O72" i="88"/>
  <c r="O63" i="88"/>
  <c r="O69" i="88"/>
  <c r="O43" i="88"/>
  <c r="O16" i="88"/>
  <c r="O40" i="88"/>
  <c r="O56" i="88"/>
  <c r="O23" i="88"/>
  <c r="O21" i="88"/>
  <c r="O64" i="88"/>
  <c r="O35" i="88"/>
  <c r="O17" i="88"/>
  <c r="O41" i="88"/>
  <c r="O59" i="88"/>
  <c r="O53" i="88"/>
  <c r="O46" i="88"/>
  <c r="O33" i="88"/>
  <c r="O47" i="88"/>
  <c r="O42" i="88"/>
  <c r="O65" i="88"/>
  <c r="O67" i="88"/>
  <c r="O26" i="88"/>
  <c r="O62" i="88"/>
  <c r="AD35" i="88"/>
  <c r="O49" i="88"/>
  <c r="O19" i="88"/>
  <c r="O18" i="88"/>
  <c r="O54" i="88"/>
  <c r="O68" i="88"/>
  <c r="O13" i="88"/>
  <c r="O57" i="88"/>
  <c r="O22" i="88"/>
  <c r="O25" i="88"/>
  <c r="O45" i="88"/>
  <c r="O61" i="88"/>
  <c r="O31" i="88"/>
  <c r="O10" i="88"/>
  <c r="O34" i="88"/>
  <c r="O58" i="88"/>
  <c r="O70" i="88"/>
  <c r="T35" i="88"/>
  <c r="O14" i="88"/>
  <c r="O30" i="88"/>
  <c r="O50" i="88"/>
  <c r="O66" i="88"/>
  <c r="Y35" i="88"/>
  <c r="N79" i="88"/>
  <c r="N81" i="88" s="1"/>
  <c r="N82" i="88" s="1"/>
  <c r="N84" i="88" s="1"/>
  <c r="N85" i="88" s="1"/>
  <c r="D31" i="87" l="1"/>
  <c r="C25" i="87"/>
  <c r="C74" i="87"/>
  <c r="C31" i="87"/>
  <c r="I21" i="87" l="1"/>
  <c r="I24" i="87"/>
  <c r="I26" i="87"/>
  <c r="I28" i="87" l="1"/>
  <c r="I27" i="87"/>
  <c r="I69" i="87"/>
  <c r="I12" i="87" l="1"/>
  <c r="I65" i="87"/>
  <c r="G54" i="87"/>
  <c r="I54" i="87" l="1"/>
  <c r="E85" i="89" l="1"/>
  <c r="I82" i="89"/>
  <c r="E82" i="89"/>
  <c r="E79" i="89"/>
  <c r="G77" i="89"/>
  <c r="E78" i="89"/>
  <c r="D77" i="89"/>
  <c r="C77" i="89"/>
  <c r="H73" i="89"/>
  <c r="G73" i="89"/>
  <c r="D73" i="89"/>
  <c r="E71" i="89"/>
  <c r="E70" i="89"/>
  <c r="E69" i="89"/>
  <c r="E68" i="89"/>
  <c r="E67" i="89"/>
  <c r="E66" i="89"/>
  <c r="E65" i="89"/>
  <c r="E64" i="89"/>
  <c r="E63" i="89"/>
  <c r="E62" i="89"/>
  <c r="E61" i="89"/>
  <c r="E60" i="89"/>
  <c r="E59" i="89"/>
  <c r="E58" i="89"/>
  <c r="E57" i="89"/>
  <c r="E56" i="89"/>
  <c r="E55" i="89"/>
  <c r="G54" i="89"/>
  <c r="D54" i="89"/>
  <c r="C54" i="89"/>
  <c r="E52" i="89"/>
  <c r="E51" i="89"/>
  <c r="H50" i="89"/>
  <c r="E48" i="89"/>
  <c r="E47" i="89"/>
  <c r="E46" i="89"/>
  <c r="E45" i="89"/>
  <c r="E44" i="89"/>
  <c r="E43" i="89"/>
  <c r="E42" i="89"/>
  <c r="H41" i="89"/>
  <c r="D41" i="89"/>
  <c r="C41" i="89"/>
  <c r="E36" i="89"/>
  <c r="E35" i="89" s="1"/>
  <c r="G35" i="89"/>
  <c r="D35" i="89"/>
  <c r="C35" i="89"/>
  <c r="E33" i="89"/>
  <c r="E32" i="89"/>
  <c r="E31" i="89"/>
  <c r="E30" i="89"/>
  <c r="E29" i="89"/>
  <c r="E28" i="89"/>
  <c r="E27" i="89"/>
  <c r="E26" i="89"/>
  <c r="E25" i="89"/>
  <c r="E24" i="89"/>
  <c r="E21" i="89"/>
  <c r="E20" i="89"/>
  <c r="E17" i="89"/>
  <c r="E16" i="89"/>
  <c r="E15" i="89"/>
  <c r="E14" i="89"/>
  <c r="E13" i="89"/>
  <c r="E12" i="89"/>
  <c r="E11" i="89"/>
  <c r="E10" i="89"/>
  <c r="E9" i="89"/>
  <c r="D8" i="89"/>
  <c r="C8" i="89"/>
  <c r="E7" i="89"/>
  <c r="E6" i="89"/>
  <c r="E5" i="89" s="1"/>
  <c r="D5" i="89"/>
  <c r="C5" i="89"/>
  <c r="E77" i="89" l="1"/>
  <c r="D38" i="89"/>
  <c r="D75" i="89" s="1"/>
  <c r="D81" i="89" s="1"/>
  <c r="D83" i="89" s="1"/>
  <c r="D84" i="89" s="1"/>
  <c r="D86" i="89" s="1"/>
  <c r="D87" i="89" s="1"/>
  <c r="I7" i="89"/>
  <c r="E8" i="89"/>
  <c r="E38" i="89" s="1"/>
  <c r="E39" i="89" s="1"/>
  <c r="C73" i="89"/>
  <c r="I74" i="89"/>
  <c r="I73" i="89" s="1"/>
  <c r="E74" i="89"/>
  <c r="E73" i="89" s="1"/>
  <c r="C38" i="89"/>
  <c r="C75" i="89" s="1"/>
  <c r="H35" i="89"/>
  <c r="I85" i="89"/>
  <c r="G5" i="89"/>
  <c r="H77" i="89"/>
  <c r="E50" i="89"/>
  <c r="H5" i="89"/>
  <c r="G41" i="89"/>
  <c r="E41" i="89"/>
  <c r="G50" i="89"/>
  <c r="E54" i="89"/>
  <c r="H54" i="89"/>
  <c r="D76" i="89" l="1"/>
  <c r="D39" i="89"/>
  <c r="C39" i="89"/>
  <c r="I79" i="89"/>
  <c r="AC79" i="89" s="1"/>
  <c r="AC89" i="89" s="1"/>
  <c r="H38" i="89"/>
  <c r="H39" i="89" s="1"/>
  <c r="G38" i="89"/>
  <c r="G75" i="89" s="1"/>
  <c r="E89" i="89"/>
  <c r="E75" i="89"/>
  <c r="C76" i="89"/>
  <c r="C81" i="89"/>
  <c r="C83" i="89" s="1"/>
  <c r="C84" i="89" s="1"/>
  <c r="C86" i="89" s="1"/>
  <c r="C87" i="89" s="1"/>
  <c r="AC77" i="89" l="1"/>
  <c r="AC81" i="89"/>
  <c r="AC83" i="89" s="1"/>
  <c r="AC84" i="89" s="1"/>
  <c r="AC86" i="89" s="1"/>
  <c r="AC87" i="89" s="1"/>
  <c r="I77" i="89"/>
  <c r="I89" i="89"/>
  <c r="J8" i="89" s="1"/>
  <c r="F41" i="89"/>
  <c r="H75" i="89"/>
  <c r="H81" i="89" s="1"/>
  <c r="H83" i="89" s="1"/>
  <c r="H84" i="89" s="1"/>
  <c r="H86" i="89" s="1"/>
  <c r="H87" i="89" s="1"/>
  <c r="F54" i="89"/>
  <c r="F50" i="89"/>
  <c r="G39" i="89"/>
  <c r="E81" i="89"/>
  <c r="E83" i="89" s="1"/>
  <c r="E84" i="89" s="1"/>
  <c r="E86" i="89" s="1"/>
  <c r="E87" i="89" s="1"/>
  <c r="E76" i="89"/>
  <c r="G81" i="89"/>
  <c r="G83" i="89" s="1"/>
  <c r="G84" i="89" s="1"/>
  <c r="G76" i="89"/>
  <c r="F32" i="89"/>
  <c r="F28" i="89"/>
  <c r="F73" i="89"/>
  <c r="F72" i="89"/>
  <c r="F27" i="89"/>
  <c r="F68" i="89"/>
  <c r="F42" i="89"/>
  <c r="F67" i="89"/>
  <c r="F46" i="89"/>
  <c r="F36" i="89"/>
  <c r="F35" i="89"/>
  <c r="F19" i="89"/>
  <c r="F15" i="89"/>
  <c r="F10" i="89"/>
  <c r="F16" i="89"/>
  <c r="F47" i="89"/>
  <c r="F17" i="89"/>
  <c r="F31" i="89"/>
  <c r="F29" i="89"/>
  <c r="F44" i="89"/>
  <c r="F48" i="89"/>
  <c r="F69" i="89"/>
  <c r="F13" i="89"/>
  <c r="F70" i="89"/>
  <c r="F9" i="89"/>
  <c r="F51" i="89"/>
  <c r="F82" i="89"/>
  <c r="F55" i="89"/>
  <c r="F59" i="89"/>
  <c r="F71" i="89"/>
  <c r="F61" i="89"/>
  <c r="F14" i="89"/>
  <c r="F79" i="89"/>
  <c r="F43" i="89"/>
  <c r="F66" i="89"/>
  <c r="F64" i="89"/>
  <c r="F21" i="89"/>
  <c r="F45" i="89"/>
  <c r="F12" i="89"/>
  <c r="F20" i="89"/>
  <c r="F18" i="89"/>
  <c r="F33" i="89"/>
  <c r="F62" i="89"/>
  <c r="F30" i="89"/>
  <c r="F85" i="89"/>
  <c r="F58" i="89"/>
  <c r="F63" i="89"/>
  <c r="F56" i="89"/>
  <c r="F57" i="89"/>
  <c r="F26" i="89"/>
  <c r="F11" i="89"/>
  <c r="F24" i="89"/>
  <c r="F60" i="89"/>
  <c r="F8" i="89"/>
  <c r="F52" i="89"/>
  <c r="F25" i="89"/>
  <c r="F65" i="89"/>
  <c r="AD14" i="89" l="1"/>
  <c r="AD10" i="89"/>
  <c r="AD15" i="89"/>
  <c r="AD13" i="89"/>
  <c r="AD9" i="89"/>
  <c r="AD11" i="89"/>
  <c r="AD12" i="89"/>
  <c r="AD71" i="89"/>
  <c r="AD51" i="89"/>
  <c r="AD68" i="89"/>
  <c r="AD28" i="89"/>
  <c r="AD56" i="89"/>
  <c r="AD60" i="89"/>
  <c r="AD29" i="89"/>
  <c r="AD65" i="89"/>
  <c r="AD26" i="89"/>
  <c r="AD48" i="89"/>
  <c r="AD66" i="89"/>
  <c r="AD47" i="89"/>
  <c r="AD21" i="89"/>
  <c r="AD45" i="89"/>
  <c r="AD63" i="89"/>
  <c r="AD72" i="89"/>
  <c r="AD24" i="89"/>
  <c r="AD43" i="89"/>
  <c r="AD8" i="89"/>
  <c r="AD30" i="89"/>
  <c r="AD54" i="89"/>
  <c r="AD70" i="89"/>
  <c r="AD61" i="89"/>
  <c r="AD27" i="89"/>
  <c r="AD49" i="89"/>
  <c r="AD67" i="89"/>
  <c r="AD18" i="89"/>
  <c r="AD46" i="89"/>
  <c r="AD52" i="89"/>
  <c r="AD16" i="89"/>
  <c r="AD36" i="89"/>
  <c r="AD58" i="89"/>
  <c r="AD25" i="89"/>
  <c r="AD69" i="89"/>
  <c r="AD31" i="89"/>
  <c r="AD55" i="89"/>
  <c r="AD32" i="89"/>
  <c r="AD42" i="89"/>
  <c r="AD64" i="89"/>
  <c r="AD19" i="89"/>
  <c r="AD57" i="89"/>
  <c r="AD20" i="89"/>
  <c r="AD44" i="89"/>
  <c r="AD62" i="89"/>
  <c r="AD33" i="89"/>
  <c r="AD17" i="89"/>
  <c r="AD41" i="89"/>
  <c r="AD59" i="89"/>
  <c r="H76" i="89"/>
  <c r="I81" i="89"/>
  <c r="I83" i="89" s="1"/>
  <c r="G86" i="89"/>
  <c r="G87" i="89" s="1"/>
  <c r="J72" i="89"/>
  <c r="J49" i="89"/>
  <c r="J70" i="89"/>
  <c r="J61" i="89"/>
  <c r="J60" i="89"/>
  <c r="J57" i="89"/>
  <c r="J46" i="89"/>
  <c r="J56" i="89"/>
  <c r="J43" i="89"/>
  <c r="J27" i="89"/>
  <c r="J17" i="89"/>
  <c r="J9" i="89"/>
  <c r="J21" i="89"/>
  <c r="J16" i="89"/>
  <c r="J15" i="89"/>
  <c r="J25" i="89"/>
  <c r="J68" i="89"/>
  <c r="J12" i="89"/>
  <c r="J19" i="89"/>
  <c r="J44" i="89"/>
  <c r="J62" i="89"/>
  <c r="J63" i="89"/>
  <c r="J29" i="89"/>
  <c r="J26" i="89"/>
  <c r="J58" i="89"/>
  <c r="J36" i="89"/>
  <c r="J59" i="89"/>
  <c r="J32" i="89"/>
  <c r="J10" i="89"/>
  <c r="J67" i="89"/>
  <c r="J42" i="89"/>
  <c r="J69" i="89"/>
  <c r="J71" i="89"/>
  <c r="J18" i="89"/>
  <c r="J30" i="89"/>
  <c r="J28" i="89"/>
  <c r="J11" i="89"/>
  <c r="J20" i="89"/>
  <c r="J55" i="89"/>
  <c r="J31" i="89"/>
  <c r="J48" i="89"/>
  <c r="J64" i="89"/>
  <c r="J33" i="89"/>
  <c r="J13" i="89"/>
  <c r="J14" i="89"/>
  <c r="J45" i="89"/>
  <c r="J66" i="89"/>
  <c r="J24" i="89"/>
  <c r="J52" i="89"/>
  <c r="J65" i="89"/>
  <c r="J51" i="89"/>
  <c r="J47" i="89"/>
  <c r="J54" i="89"/>
  <c r="J41" i="89"/>
  <c r="I84" i="89" l="1"/>
  <c r="I86" i="89" s="1"/>
  <c r="I87" i="89" s="1"/>
  <c r="I33" i="85" l="1"/>
  <c r="AP75" i="88" l="1"/>
  <c r="AQ71" i="88"/>
  <c r="AQ70" i="88"/>
  <c r="AV70" i="88" s="1"/>
  <c r="AP70" i="88"/>
  <c r="AU69" i="88"/>
  <c r="AU65" i="88"/>
  <c r="AU53" i="88"/>
  <c r="AQ51" i="88"/>
  <c r="AP51" i="88"/>
  <c r="AU50" i="88"/>
  <c r="AU44" i="88"/>
  <c r="AU42" i="88"/>
  <c r="AQ35" i="88"/>
  <c r="AP35" i="88"/>
  <c r="AU34" i="88"/>
  <c r="AQ32" i="88"/>
  <c r="AP32" i="88"/>
  <c r="AV30" i="88"/>
  <c r="AU30" i="88"/>
  <c r="AU28" i="88"/>
  <c r="AU22" i="88"/>
  <c r="AV20" i="88"/>
  <c r="AU18" i="88"/>
  <c r="AV16" i="88"/>
  <c r="AU16" i="88"/>
  <c r="AV10" i="88"/>
  <c r="AV7" i="88"/>
  <c r="AR7" i="88"/>
  <c r="G14" i="88"/>
  <c r="AP14" i="88" s="1"/>
  <c r="G13" i="88"/>
  <c r="AP13" i="88" s="1"/>
  <c r="G11" i="88"/>
  <c r="AP11" i="88" s="1"/>
  <c r="G10" i="88"/>
  <c r="AP10" i="88" s="1"/>
  <c r="G9" i="88"/>
  <c r="AP9" i="88" s="1"/>
  <c r="H29" i="88"/>
  <c r="AQ29" i="88" s="1"/>
  <c r="H28" i="88"/>
  <c r="AQ28" i="88" s="1"/>
  <c r="AV83" i="88"/>
  <c r="I83" i="88"/>
  <c r="E83" i="88"/>
  <c r="AW80" i="88"/>
  <c r="AR80" i="88"/>
  <c r="I80" i="88"/>
  <c r="E80" i="88"/>
  <c r="E77" i="88"/>
  <c r="E76" i="88"/>
  <c r="H75" i="88"/>
  <c r="G75" i="88"/>
  <c r="D75" i="88"/>
  <c r="C75" i="88"/>
  <c r="C72" i="88"/>
  <c r="H71" i="88"/>
  <c r="G71" i="88"/>
  <c r="D71" i="88"/>
  <c r="E69" i="88"/>
  <c r="AV68" i="88"/>
  <c r="AU68" i="88"/>
  <c r="E68" i="88"/>
  <c r="AV67" i="88"/>
  <c r="E67" i="88"/>
  <c r="AV66" i="88"/>
  <c r="AU66" i="88"/>
  <c r="E66" i="88"/>
  <c r="AV65" i="88"/>
  <c r="E65" i="88"/>
  <c r="AV64" i="88"/>
  <c r="E64" i="88"/>
  <c r="AV63" i="88"/>
  <c r="AW63" i="88" s="1"/>
  <c r="E63" i="88"/>
  <c r="AV62" i="88"/>
  <c r="AU62" i="88"/>
  <c r="E62" i="88"/>
  <c r="AV61" i="88"/>
  <c r="E61" i="88"/>
  <c r="AV60" i="88"/>
  <c r="E60" i="88"/>
  <c r="AV59" i="88"/>
  <c r="AU59" i="88"/>
  <c r="E59" i="88"/>
  <c r="AV58" i="88"/>
  <c r="AU58" i="88"/>
  <c r="E58" i="88"/>
  <c r="AV57" i="88"/>
  <c r="AU57" i="88"/>
  <c r="E57" i="88"/>
  <c r="AV56" i="88"/>
  <c r="AU56" i="88"/>
  <c r="E56" i="88"/>
  <c r="AU55" i="88"/>
  <c r="E55" i="88"/>
  <c r="AV54" i="88"/>
  <c r="E54" i="88"/>
  <c r="AV53" i="88"/>
  <c r="E53" i="88"/>
  <c r="H52" i="88"/>
  <c r="G52" i="88"/>
  <c r="D52" i="88"/>
  <c r="C52" i="88"/>
  <c r="AV50" i="88"/>
  <c r="E50" i="88"/>
  <c r="AV49" i="88"/>
  <c r="AU49" i="88"/>
  <c r="E49" i="88"/>
  <c r="H48" i="88"/>
  <c r="G48" i="88"/>
  <c r="AV46" i="88"/>
  <c r="E46" i="88"/>
  <c r="AV45" i="88"/>
  <c r="AU45" i="88"/>
  <c r="E45" i="88"/>
  <c r="AV44" i="88"/>
  <c r="E44" i="88"/>
  <c r="AV43" i="88"/>
  <c r="E43" i="88"/>
  <c r="AV42" i="88"/>
  <c r="E42" i="88"/>
  <c r="AV41" i="88"/>
  <c r="AU41" i="88"/>
  <c r="E41" i="88"/>
  <c r="AV40" i="88"/>
  <c r="E40" i="88"/>
  <c r="H39" i="88"/>
  <c r="D39" i="88"/>
  <c r="C39" i="88"/>
  <c r="AV34" i="88"/>
  <c r="AV33" i="88" s="1"/>
  <c r="E34" i="88"/>
  <c r="E33" i="88" s="1"/>
  <c r="H33" i="88"/>
  <c r="AQ33" i="88" s="1"/>
  <c r="G33" i="88"/>
  <c r="AP33" i="88" s="1"/>
  <c r="D33" i="88"/>
  <c r="C33" i="88"/>
  <c r="AV31" i="88"/>
  <c r="AU31" i="88"/>
  <c r="E31" i="88"/>
  <c r="E30" i="88"/>
  <c r="E29" i="88"/>
  <c r="E28" i="88"/>
  <c r="AV27" i="88"/>
  <c r="E27" i="88"/>
  <c r="AV26" i="88"/>
  <c r="AU26" i="88"/>
  <c r="E26" i="88"/>
  <c r="AV25" i="88"/>
  <c r="AU25" i="88"/>
  <c r="E25" i="88"/>
  <c r="AV24" i="88"/>
  <c r="E24" i="88"/>
  <c r="AV23" i="88"/>
  <c r="E23" i="88"/>
  <c r="AV22" i="88"/>
  <c r="E22" i="88"/>
  <c r="AV21" i="88"/>
  <c r="AU21" i="88"/>
  <c r="E21" i="88"/>
  <c r="E20" i="88"/>
  <c r="AV19" i="88"/>
  <c r="E19" i="88"/>
  <c r="AV18" i="88"/>
  <c r="E18" i="88"/>
  <c r="AV17" i="88"/>
  <c r="AU17" i="88"/>
  <c r="E17" i="88"/>
  <c r="E16" i="88"/>
  <c r="AV15" i="88"/>
  <c r="E15" i="88"/>
  <c r="AV14" i="88"/>
  <c r="E14" i="88"/>
  <c r="AV13" i="88"/>
  <c r="E13" i="88"/>
  <c r="AV12" i="88"/>
  <c r="E12" i="88"/>
  <c r="AV11" i="88"/>
  <c r="E11" i="88"/>
  <c r="E10" i="88"/>
  <c r="AV9" i="88"/>
  <c r="E9" i="88"/>
  <c r="D8" i="88"/>
  <c r="C8" i="88"/>
  <c r="E7" i="88"/>
  <c r="AV6" i="88"/>
  <c r="AV5" i="88" s="1"/>
  <c r="E6" i="88"/>
  <c r="E5" i="88" s="1"/>
  <c r="AQ5" i="88"/>
  <c r="H5" i="88"/>
  <c r="G5" i="88"/>
  <c r="D5" i="88"/>
  <c r="C5" i="88"/>
  <c r="H8" i="88" l="1"/>
  <c r="AW56" i="88"/>
  <c r="AW62" i="88"/>
  <c r="AW57" i="88"/>
  <c r="I77" i="88"/>
  <c r="I75" i="88" s="1"/>
  <c r="AW17" i="88"/>
  <c r="AW26" i="88"/>
  <c r="AW30" i="88"/>
  <c r="AW16" i="88"/>
  <c r="AR10" i="88"/>
  <c r="I10" i="88"/>
  <c r="AU7" i="88"/>
  <c r="AW7" i="88" s="1"/>
  <c r="AW42" i="88"/>
  <c r="I11" i="88"/>
  <c r="E8" i="88"/>
  <c r="AW41" i="88"/>
  <c r="AW49" i="88"/>
  <c r="AW59" i="88"/>
  <c r="C71" i="88"/>
  <c r="AU72" i="88"/>
  <c r="I29" i="88"/>
  <c r="AR13" i="88"/>
  <c r="I13" i="88"/>
  <c r="AW44" i="88"/>
  <c r="AW53" i="88"/>
  <c r="I28" i="88"/>
  <c r="AW25" i="88"/>
  <c r="AW58" i="88"/>
  <c r="AW68" i="88"/>
  <c r="AV72" i="88"/>
  <c r="I9" i="88"/>
  <c r="AR14" i="88"/>
  <c r="I14" i="88"/>
  <c r="AW50" i="88"/>
  <c r="AR71" i="88"/>
  <c r="AW66" i="88"/>
  <c r="AW65" i="88"/>
  <c r="AW45" i="88"/>
  <c r="AU33" i="88"/>
  <c r="AW34" i="88"/>
  <c r="AW33" i="88" s="1"/>
  <c r="AW31" i="88"/>
  <c r="AW22" i="88"/>
  <c r="AW21" i="88"/>
  <c r="AW18" i="88"/>
  <c r="E75" i="88"/>
  <c r="A6" i="88"/>
  <c r="AV71" i="88"/>
  <c r="D36" i="88"/>
  <c r="D37" i="88" s="1"/>
  <c r="C36" i="88"/>
  <c r="C73" i="88" s="1"/>
  <c r="C79" i="88" s="1"/>
  <c r="C81" i="88" s="1"/>
  <c r="AU10" i="88"/>
  <c r="AW10" i="88" s="1"/>
  <c r="AU40" i="88"/>
  <c r="AW40" i="88" s="1"/>
  <c r="G8" i="88"/>
  <c r="G36" i="88" s="1"/>
  <c r="G37" i="88" s="1"/>
  <c r="H36" i="88"/>
  <c r="H73" i="88" s="1"/>
  <c r="E48" i="88"/>
  <c r="AV48" i="88"/>
  <c r="AU23" i="88"/>
  <c r="AW23" i="88" s="1"/>
  <c r="AU29" i="88"/>
  <c r="AP48" i="88"/>
  <c r="AU19" i="88"/>
  <c r="AW19" i="88" s="1"/>
  <c r="AU43" i="88"/>
  <c r="AW43" i="88" s="1"/>
  <c r="E72" i="88"/>
  <c r="E71" i="88" s="1"/>
  <c r="AU27" i="88"/>
  <c r="AW27" i="88" s="1"/>
  <c r="AV77" i="88"/>
  <c r="AV75" i="88" s="1"/>
  <c r="AQ75" i="88"/>
  <c r="AU83" i="88"/>
  <c r="AW83" i="88" s="1"/>
  <c r="AR83" i="88"/>
  <c r="AU12" i="88"/>
  <c r="AW12" i="88" s="1"/>
  <c r="AU24" i="88"/>
  <c r="AW24" i="88" s="1"/>
  <c r="AU48" i="88"/>
  <c r="AU20" i="88"/>
  <c r="AW20" i="88" s="1"/>
  <c r="AU9" i="88"/>
  <c r="AW9" i="88" s="1"/>
  <c r="AV39" i="88"/>
  <c r="G39" i="88"/>
  <c r="AU67" i="88"/>
  <c r="AW67" i="88" s="1"/>
  <c r="AV69" i="88"/>
  <c r="AW69" i="88" s="1"/>
  <c r="AP5" i="88"/>
  <c r="AU6" i="88"/>
  <c r="AW6" i="88" s="1"/>
  <c r="AW5" i="88" s="1"/>
  <c r="AU15" i="88"/>
  <c r="AW15" i="88" s="1"/>
  <c r="E39" i="88"/>
  <c r="AQ48" i="88"/>
  <c r="E52" i="88"/>
  <c r="AV55" i="88"/>
  <c r="AW55" i="88" s="1"/>
  <c r="AU70" i="88"/>
  <c r="AP71" i="88"/>
  <c r="AP39" i="88"/>
  <c r="AP52" i="88"/>
  <c r="AU54" i="88"/>
  <c r="AW54" i="88" s="1"/>
  <c r="AU61" i="88"/>
  <c r="AW61" i="88" s="1"/>
  <c r="AU64" i="88"/>
  <c r="AW64" i="88" s="1"/>
  <c r="AQ39" i="88"/>
  <c r="AQ52" i="88"/>
  <c r="AU60" i="88"/>
  <c r="AW60" i="88" s="1"/>
  <c r="C82" i="88" l="1"/>
  <c r="C84" i="88" s="1"/>
  <c r="C85" i="88" s="1"/>
  <c r="AU71" i="88"/>
  <c r="H37" i="88"/>
  <c r="I8" i="88"/>
  <c r="I36" i="88" s="1"/>
  <c r="I37" i="88" s="1"/>
  <c r="AW48" i="88"/>
  <c r="AW52" i="88"/>
  <c r="AR29" i="88"/>
  <c r="AV29" i="88"/>
  <c r="AW29" i="88" s="1"/>
  <c r="AR11" i="88"/>
  <c r="AU11" i="88"/>
  <c r="AW11" i="88" s="1"/>
  <c r="AW72" i="88"/>
  <c r="AW71" i="88" s="1"/>
  <c r="I73" i="88"/>
  <c r="I74" i="88" s="1"/>
  <c r="AU14" i="88"/>
  <c r="AW14" i="88" s="1"/>
  <c r="AR9" i="88"/>
  <c r="AP8" i="88"/>
  <c r="AP36" i="88" s="1"/>
  <c r="AR28" i="88"/>
  <c r="AV28" i="88"/>
  <c r="AQ8" i="88"/>
  <c r="AQ36" i="88" s="1"/>
  <c r="AQ37" i="88" s="1"/>
  <c r="AV52" i="88"/>
  <c r="C37" i="88"/>
  <c r="D73" i="88"/>
  <c r="D79" i="88" s="1"/>
  <c r="D81" i="88" s="1"/>
  <c r="D82" i="88" s="1"/>
  <c r="D84" i="88" s="1"/>
  <c r="D85" i="88" s="1"/>
  <c r="G73" i="88"/>
  <c r="G79" i="88" s="1"/>
  <c r="G81" i="88" s="1"/>
  <c r="G82" i="88" s="1"/>
  <c r="C74" i="88"/>
  <c r="AU13" i="88"/>
  <c r="AW13" i="88" s="1"/>
  <c r="AU52" i="88"/>
  <c r="I87" i="88"/>
  <c r="AU5" i="88"/>
  <c r="AU46" i="88"/>
  <c r="AW46" i="88" s="1"/>
  <c r="AW39" i="88" s="1"/>
  <c r="AU75" i="88"/>
  <c r="E87" i="88"/>
  <c r="AX67" i="88" s="1"/>
  <c r="E36" i="88"/>
  <c r="E73" i="88" s="1"/>
  <c r="H79" i="88"/>
  <c r="H81" i="88" s="1"/>
  <c r="H82" i="88" s="1"/>
  <c r="H74" i="88"/>
  <c r="AR8" i="88" l="1"/>
  <c r="AP73" i="88"/>
  <c r="AP79" i="88" s="1"/>
  <c r="AP81" i="88" s="1"/>
  <c r="AP82" i="88" s="1"/>
  <c r="AP84" i="88" s="1"/>
  <c r="AP85" i="88" s="1"/>
  <c r="AP37" i="88"/>
  <c r="AW28" i="88"/>
  <c r="AW8" i="88" s="1"/>
  <c r="AW36" i="88" s="1"/>
  <c r="AW73" i="88" s="1"/>
  <c r="AW74" i="88" s="1"/>
  <c r="AV8" i="88"/>
  <c r="AQ73" i="88"/>
  <c r="AQ79" i="88" s="1"/>
  <c r="AQ81" i="88" s="1"/>
  <c r="AQ82" i="88" s="1"/>
  <c r="AQ84" i="88" s="1"/>
  <c r="AQ85" i="88" s="1"/>
  <c r="AR77" i="88"/>
  <c r="AR75" i="88" s="1"/>
  <c r="D74" i="88"/>
  <c r="G74" i="88"/>
  <c r="G84" i="88"/>
  <c r="G85" i="88" s="1"/>
  <c r="F8" i="88"/>
  <c r="J8" i="88"/>
  <c r="O39" i="88"/>
  <c r="H84" i="88"/>
  <c r="H85" i="88" s="1"/>
  <c r="AU8" i="88"/>
  <c r="AU36" i="88" s="1"/>
  <c r="AX50" i="88"/>
  <c r="J46" i="88"/>
  <c r="J52" i="88"/>
  <c r="AX42" i="88"/>
  <c r="E37" i="88"/>
  <c r="AP74" i="88"/>
  <c r="F70" i="88"/>
  <c r="F66" i="88"/>
  <c r="F60" i="88"/>
  <c r="F80" i="88"/>
  <c r="F77" i="88"/>
  <c r="F67" i="88"/>
  <c r="F58" i="88"/>
  <c r="F50" i="88"/>
  <c r="F46" i="88"/>
  <c r="F42" i="88"/>
  <c r="F33" i="88"/>
  <c r="F64" i="88"/>
  <c r="F59" i="88"/>
  <c r="F53" i="88"/>
  <c r="F49" i="88"/>
  <c r="F45" i="88"/>
  <c r="F41" i="88"/>
  <c r="F56" i="88"/>
  <c r="F34" i="88"/>
  <c r="F31" i="88"/>
  <c r="F29" i="88"/>
  <c r="F22" i="88"/>
  <c r="F83" i="88"/>
  <c r="F20" i="88"/>
  <c r="F12" i="88"/>
  <c r="F43" i="88"/>
  <c r="F18" i="88"/>
  <c r="F26" i="88"/>
  <c r="F15" i="88"/>
  <c r="F57" i="88"/>
  <c r="F11" i="88"/>
  <c r="F14" i="88"/>
  <c r="F27" i="88"/>
  <c r="F13" i="88"/>
  <c r="F44" i="88"/>
  <c r="AX49" i="88"/>
  <c r="F30" i="88"/>
  <c r="F63" i="88"/>
  <c r="F61" i="88"/>
  <c r="F10" i="88"/>
  <c r="F9" i="88"/>
  <c r="F71" i="88"/>
  <c r="AX41" i="88"/>
  <c r="F23" i="88"/>
  <c r="F16" i="88"/>
  <c r="F40" i="88"/>
  <c r="F48" i="88"/>
  <c r="F65" i="88"/>
  <c r="F19" i="88"/>
  <c r="AX43" i="88"/>
  <c r="F62" i="88"/>
  <c r="AX45" i="88"/>
  <c r="F24" i="88"/>
  <c r="F25" i="88"/>
  <c r="F17" i="88"/>
  <c r="AX80" i="88"/>
  <c r="F21" i="88"/>
  <c r="F55" i="88"/>
  <c r="AX44" i="88"/>
  <c r="AX68" i="88"/>
  <c r="F28" i="88"/>
  <c r="F54" i="88"/>
  <c r="F68" i="88"/>
  <c r="F69" i="88"/>
  <c r="AX34" i="88"/>
  <c r="AU39" i="88"/>
  <c r="F39" i="88"/>
  <c r="AX40" i="88"/>
  <c r="F52" i="88"/>
  <c r="AX69" i="88"/>
  <c r="J67" i="88"/>
  <c r="J60" i="88"/>
  <c r="J59" i="88"/>
  <c r="J61" i="88"/>
  <c r="J29" i="88"/>
  <c r="J12" i="88"/>
  <c r="J13" i="88"/>
  <c r="J58" i="88"/>
  <c r="J14" i="88"/>
  <c r="J54" i="88"/>
  <c r="J56" i="88"/>
  <c r="J53" i="88"/>
  <c r="J57" i="88"/>
  <c r="J63" i="88"/>
  <c r="J55" i="88"/>
  <c r="J27" i="88"/>
  <c r="AX83" i="88"/>
  <c r="AX70" i="88"/>
  <c r="J39" i="88"/>
  <c r="AX71" i="88"/>
  <c r="AR36" i="88" l="1"/>
  <c r="AR87" i="88"/>
  <c r="AS70" i="88" s="1"/>
  <c r="AW37" i="88"/>
  <c r="AW77" i="88"/>
  <c r="AW87" i="88" s="1"/>
  <c r="AV36" i="88"/>
  <c r="AQ74" i="88"/>
  <c r="AU73" i="88"/>
  <c r="AS12" i="88"/>
  <c r="AU37" i="88"/>
  <c r="AX46" i="88"/>
  <c r="E79" i="88"/>
  <c r="E81" i="88" s="1"/>
  <c r="E82" i="88" s="1"/>
  <c r="E84" i="88" s="1"/>
  <c r="E85" i="88" s="1"/>
  <c r="E74" i="88"/>
  <c r="I79" i="88"/>
  <c r="I81" i="88" s="1"/>
  <c r="I82" i="88" s="1"/>
  <c r="I84" i="88" s="1"/>
  <c r="I85" i="88" s="1"/>
  <c r="AS30" i="88" l="1"/>
  <c r="AS14" i="88"/>
  <c r="AS25" i="88"/>
  <c r="AS47" i="88"/>
  <c r="AS49" i="88"/>
  <c r="AR73" i="88"/>
  <c r="AR37" i="88"/>
  <c r="AS13" i="88"/>
  <c r="AS65" i="88"/>
  <c r="AS20" i="88"/>
  <c r="AS29" i="88"/>
  <c r="AS45" i="88"/>
  <c r="AS28" i="88"/>
  <c r="AS64" i="88"/>
  <c r="AS22" i="88"/>
  <c r="AS63" i="88"/>
  <c r="AS54" i="88"/>
  <c r="AS62" i="88"/>
  <c r="AS41" i="88"/>
  <c r="AS26" i="88"/>
  <c r="AS39" i="88"/>
  <c r="AS10" i="88"/>
  <c r="AS59" i="88"/>
  <c r="AS42" i="88"/>
  <c r="AS46" i="88"/>
  <c r="AS31" i="88"/>
  <c r="AS66" i="88"/>
  <c r="AS44" i="88"/>
  <c r="AS40" i="88"/>
  <c r="AS53" i="88"/>
  <c r="AS58" i="88"/>
  <c r="AS11" i="88"/>
  <c r="AS43" i="88"/>
  <c r="AS8" i="88"/>
  <c r="AS68" i="88"/>
  <c r="AS52" i="88"/>
  <c r="AS17" i="88"/>
  <c r="AS27" i="88"/>
  <c r="AS67" i="88"/>
  <c r="AS18" i="88"/>
  <c r="AS50" i="88"/>
  <c r="AS16" i="88"/>
  <c r="AS55" i="88"/>
  <c r="AS69" i="88"/>
  <c r="AS23" i="88"/>
  <c r="AS19" i="88"/>
  <c r="AS15" i="88"/>
  <c r="AS56" i="88"/>
  <c r="AS60" i="88"/>
  <c r="AS21" i="88"/>
  <c r="AS9" i="88"/>
  <c r="AS61" i="88"/>
  <c r="AS34" i="88"/>
  <c r="AS57" i="88"/>
  <c r="AS24" i="88"/>
  <c r="AV73" i="88"/>
  <c r="AV37" i="88"/>
  <c r="AW75" i="88"/>
  <c r="AX77" i="88"/>
  <c r="AX65" i="88"/>
  <c r="AX22" i="88"/>
  <c r="AX18" i="88"/>
  <c r="AX28" i="88"/>
  <c r="AX21" i="88"/>
  <c r="AX11" i="88"/>
  <c r="AX58" i="88"/>
  <c r="AX31" i="88"/>
  <c r="AX25" i="88"/>
  <c r="AX19" i="88"/>
  <c r="AX10" i="88"/>
  <c r="AX59" i="88"/>
  <c r="AX56" i="88"/>
  <c r="AX29" i="88"/>
  <c r="AX13" i="88"/>
  <c r="AX14" i="88"/>
  <c r="AX30" i="88"/>
  <c r="AX16" i="88"/>
  <c r="AX26" i="88"/>
  <c r="AX17" i="88"/>
  <c r="AX23" i="88"/>
  <c r="AX53" i="88"/>
  <c r="AX61" i="88"/>
  <c r="AX66" i="88"/>
  <c r="AX62" i="88"/>
  <c r="AX12" i="88"/>
  <c r="AX64" i="88"/>
  <c r="AX24" i="88"/>
  <c r="AX60" i="88"/>
  <c r="AX15" i="88"/>
  <c r="AX63" i="88"/>
  <c r="AX20" i="88"/>
  <c r="AX27" i="88"/>
  <c r="AX54" i="88"/>
  <c r="AX57" i="88"/>
  <c r="AX55" i="88"/>
  <c r="AX52" i="88"/>
  <c r="AX9" i="88"/>
  <c r="AX8" i="88"/>
  <c r="AU74" i="88"/>
  <c r="AU79" i="88"/>
  <c r="AU81" i="88" s="1"/>
  <c r="AR74" i="88" l="1"/>
  <c r="AR79" i="88"/>
  <c r="AR81" i="88" s="1"/>
  <c r="AR82" i="88" s="1"/>
  <c r="AR84" i="88" s="1"/>
  <c r="AR85" i="88" s="1"/>
  <c r="AV74" i="88"/>
  <c r="AV79" i="88"/>
  <c r="AV81" i="88" s="1"/>
  <c r="AV82" i="88" s="1"/>
  <c r="AV84" i="88" s="1"/>
  <c r="AV85" i="88" s="1"/>
  <c r="AU82" i="88"/>
  <c r="AU84" i="88" s="1"/>
  <c r="AU85" i="88" s="1"/>
  <c r="AW79" i="88"/>
  <c r="AW81" i="88" s="1"/>
  <c r="AW82" i="88" s="1"/>
  <c r="AW84" i="88" l="1"/>
  <c r="AW85" i="88" s="1"/>
  <c r="I44" i="86" l="1"/>
  <c r="I35" i="85" l="1"/>
  <c r="I14" i="87" l="1"/>
  <c r="I13" i="87" l="1"/>
  <c r="G8" i="87"/>
  <c r="G38" i="87" s="1"/>
  <c r="H8" i="87"/>
  <c r="I79" i="87" s="1"/>
  <c r="BL79" i="87" s="1"/>
  <c r="I31" i="87"/>
  <c r="BL89" i="87" l="1"/>
  <c r="BL93" i="87" s="1"/>
  <c r="BL81" i="87"/>
  <c r="BL83" i="87" s="1"/>
  <c r="BL84" i="87" s="1"/>
  <c r="BL86" i="87" s="1"/>
  <c r="BL87" i="87" s="1"/>
  <c r="BL77" i="87"/>
  <c r="G39" i="87"/>
  <c r="I8" i="87"/>
  <c r="I77" i="87"/>
  <c r="H38" i="87"/>
  <c r="BM55" i="87" l="1"/>
  <c r="BM64" i="87"/>
  <c r="BM21" i="87"/>
  <c r="BM20" i="87"/>
  <c r="BM52" i="87"/>
  <c r="BM13" i="87"/>
  <c r="BM43" i="87"/>
  <c r="BM30" i="87"/>
  <c r="BM28" i="87"/>
  <c r="BM25" i="87"/>
  <c r="BM36" i="87"/>
  <c r="BM14" i="87"/>
  <c r="BM44" i="87"/>
  <c r="BM57" i="87"/>
  <c r="BM17" i="87"/>
  <c r="BM47" i="87"/>
  <c r="BM49" i="87"/>
  <c r="BM51" i="87"/>
  <c r="BM29" i="87"/>
  <c r="BM45" i="87"/>
  <c r="BM18" i="87"/>
  <c r="BM19" i="87"/>
  <c r="BM58" i="87"/>
  <c r="BM67" i="87"/>
  <c r="BM72" i="87"/>
  <c r="BM41" i="87"/>
  <c r="BM62" i="87"/>
  <c r="BM33" i="87"/>
  <c r="BM54" i="87"/>
  <c r="BM24" i="87"/>
  <c r="BM61" i="87"/>
  <c r="BM31" i="87"/>
  <c r="BM11" i="87"/>
  <c r="BM8" i="87"/>
  <c r="BM59" i="87"/>
  <c r="BM27" i="87"/>
  <c r="BM65" i="87"/>
  <c r="BM42" i="87"/>
  <c r="BM56" i="87"/>
  <c r="BM66" i="87"/>
  <c r="BM10" i="87"/>
  <c r="BM15" i="87"/>
  <c r="BM12" i="87"/>
  <c r="BM71" i="87"/>
  <c r="BM63" i="87"/>
  <c r="BM69" i="87"/>
  <c r="BM46" i="87"/>
  <c r="BM60" i="87"/>
  <c r="BM9" i="87"/>
  <c r="BM68" i="87"/>
  <c r="BM48" i="87"/>
  <c r="BM70" i="87"/>
  <c r="BM32" i="87"/>
  <c r="BM26" i="87"/>
  <c r="BM16" i="87"/>
  <c r="H39" i="87"/>
  <c r="H75" i="87"/>
  <c r="H81" i="87" s="1"/>
  <c r="H83" i="87" s="1"/>
  <c r="I38" i="87"/>
  <c r="H76" i="87" l="1"/>
  <c r="I39" i="87"/>
  <c r="L22" i="81"/>
  <c r="N22" i="81" s="1"/>
  <c r="W77" i="79" l="1"/>
  <c r="AB77" i="79" s="1"/>
  <c r="AA77" i="79"/>
  <c r="V24" i="79"/>
  <c r="X24" i="79" s="1"/>
  <c r="W66" i="81" l="1"/>
  <c r="W6" i="81"/>
  <c r="X6" i="81" s="1"/>
  <c r="X5" i="81" s="1"/>
  <c r="AB66" i="81" l="1"/>
  <c r="X66" i="81"/>
  <c r="X52" i="81" s="1"/>
  <c r="I6" i="85" l="1"/>
  <c r="I5" i="85" s="1"/>
  <c r="I74" i="85" l="1"/>
  <c r="I73" i="85" s="1"/>
  <c r="I29" i="86" l="1"/>
  <c r="G73" i="86"/>
  <c r="I74" i="86"/>
  <c r="I73" i="86" s="1"/>
  <c r="I26" i="86" l="1"/>
  <c r="I19" i="86" l="1"/>
  <c r="I48" i="87" l="1"/>
  <c r="G41" i="87"/>
  <c r="G75" i="87" s="1"/>
  <c r="G81" i="87" l="1"/>
  <c r="G83" i="87" s="1"/>
  <c r="G76" i="87"/>
  <c r="I41" i="87"/>
  <c r="I75" i="87" l="1"/>
  <c r="I81" i="87" s="1"/>
  <c r="I76" i="87" l="1"/>
  <c r="I83" i="87"/>
  <c r="J49" i="87"/>
  <c r="J72" i="87"/>
  <c r="J51" i="87"/>
  <c r="J52" i="87"/>
  <c r="J68" i="87"/>
  <c r="J11" i="87"/>
  <c r="J60" i="87"/>
  <c r="J29" i="87"/>
  <c r="J32" i="87"/>
  <c r="J56" i="87"/>
  <c r="J17" i="87"/>
  <c r="J44" i="87"/>
  <c r="J33" i="87"/>
  <c r="J9" i="87"/>
  <c r="J15" i="87"/>
  <c r="J64" i="87"/>
  <c r="J70" i="87"/>
  <c r="J36" i="87"/>
  <c r="J55" i="87"/>
  <c r="J46" i="87"/>
  <c r="J71" i="87"/>
  <c r="J67" i="87"/>
  <c r="J66" i="87"/>
  <c r="J58" i="87"/>
  <c r="J57" i="87"/>
  <c r="J43" i="87"/>
  <c r="J42" i="87"/>
  <c r="J59" i="87"/>
  <c r="J62" i="87"/>
  <c r="J47" i="87"/>
  <c r="J10" i="87"/>
  <c r="J61" i="87"/>
  <c r="J63" i="87"/>
  <c r="J19" i="87"/>
  <c r="J30" i="87"/>
  <c r="J20" i="87"/>
  <c r="J25" i="87"/>
  <c r="J16" i="87"/>
  <c r="J45" i="87"/>
  <c r="J18" i="87"/>
  <c r="J24" i="87"/>
  <c r="J26" i="87"/>
  <c r="J21" i="87"/>
  <c r="J69" i="87"/>
  <c r="J27" i="87"/>
  <c r="J28" i="87"/>
  <c r="J12" i="87"/>
  <c r="J65" i="87"/>
  <c r="J54" i="87"/>
  <c r="J14" i="87"/>
  <c r="J31" i="87"/>
  <c r="J13" i="87"/>
  <c r="J8" i="87"/>
  <c r="J48" i="87"/>
  <c r="J41" i="87"/>
  <c r="I84" i="87" l="1"/>
  <c r="I86" i="87" s="1"/>
  <c r="I87" i="87" s="1"/>
  <c r="I25" i="86" l="1"/>
  <c r="I6" i="86"/>
  <c r="I5" i="86" s="1"/>
  <c r="E85" i="87" l="1"/>
  <c r="E82" i="87"/>
  <c r="E79" i="87"/>
  <c r="E78" i="87"/>
  <c r="D77" i="87"/>
  <c r="C77" i="87"/>
  <c r="E74" i="87"/>
  <c r="E73" i="87" s="1"/>
  <c r="D73" i="87"/>
  <c r="C73" i="87"/>
  <c r="E71" i="87"/>
  <c r="E70" i="87"/>
  <c r="E69" i="87"/>
  <c r="E68" i="87"/>
  <c r="E67" i="87"/>
  <c r="E66" i="87"/>
  <c r="E65" i="87"/>
  <c r="E64" i="87"/>
  <c r="E63" i="87"/>
  <c r="E62" i="87"/>
  <c r="E61" i="87"/>
  <c r="E60" i="87"/>
  <c r="E59" i="87"/>
  <c r="E58" i="87"/>
  <c r="E57" i="87"/>
  <c r="E56" i="87"/>
  <c r="E55" i="87"/>
  <c r="D54" i="87"/>
  <c r="C54" i="87"/>
  <c r="E52" i="87"/>
  <c r="E51" i="87"/>
  <c r="D50" i="87"/>
  <c r="C50" i="87"/>
  <c r="E48" i="87"/>
  <c r="E47" i="87"/>
  <c r="E46" i="87"/>
  <c r="E45" i="87"/>
  <c r="E44" i="87"/>
  <c r="E43" i="87"/>
  <c r="E42" i="87"/>
  <c r="D41" i="87"/>
  <c r="C41" i="87"/>
  <c r="E36" i="87"/>
  <c r="E35" i="87" s="1"/>
  <c r="D35" i="87"/>
  <c r="C35" i="87"/>
  <c r="E33" i="87"/>
  <c r="E32" i="87"/>
  <c r="E31" i="87"/>
  <c r="E30" i="87"/>
  <c r="E28" i="87"/>
  <c r="E27" i="87"/>
  <c r="E26" i="87"/>
  <c r="E25" i="87"/>
  <c r="E24" i="87"/>
  <c r="E21" i="87"/>
  <c r="E20" i="87"/>
  <c r="E19" i="87"/>
  <c r="E18" i="87"/>
  <c r="E17" i="87"/>
  <c r="E16" i="87"/>
  <c r="E15" i="87"/>
  <c r="E14" i="87"/>
  <c r="E13" i="87"/>
  <c r="E12" i="87"/>
  <c r="E11" i="87"/>
  <c r="E10" i="87"/>
  <c r="E9" i="87"/>
  <c r="D8" i="87"/>
  <c r="C8" i="87"/>
  <c r="E7" i="87"/>
  <c r="E6" i="87"/>
  <c r="E5" i="87" s="1"/>
  <c r="D5" i="87"/>
  <c r="C5" i="87"/>
  <c r="E50" i="87" l="1"/>
  <c r="E77" i="87"/>
  <c r="C38" i="87"/>
  <c r="C75" i="87" s="1"/>
  <c r="D38" i="87"/>
  <c r="D75" i="87" s="1"/>
  <c r="E41" i="87"/>
  <c r="E29" i="87"/>
  <c r="E8" i="87" s="1"/>
  <c r="E54" i="87"/>
  <c r="E38" i="87" l="1"/>
  <c r="E89" i="87"/>
  <c r="C39" i="87"/>
  <c r="D39" i="87"/>
  <c r="D81" i="87"/>
  <c r="D83" i="87" s="1"/>
  <c r="D84" i="87" s="1"/>
  <c r="D86" i="87" s="1"/>
  <c r="D87" i="87" s="1"/>
  <c r="D76" i="87"/>
  <c r="C76" i="87"/>
  <c r="C81" i="87"/>
  <c r="C83" i="87" s="1"/>
  <c r="C84" i="87" s="1"/>
  <c r="C86" i="87" s="1"/>
  <c r="C87" i="87" s="1"/>
  <c r="E75" i="87"/>
  <c r="E39" i="87"/>
  <c r="F54" i="87" l="1"/>
  <c r="F8" i="87"/>
  <c r="H86" i="87"/>
  <c r="H87" i="87" s="1"/>
  <c r="F82" i="87"/>
  <c r="F69" i="87"/>
  <c r="F68" i="87"/>
  <c r="F63" i="87"/>
  <c r="F62" i="87"/>
  <c r="F61" i="87"/>
  <c r="F64" i="87"/>
  <c r="F85" i="87"/>
  <c r="F65" i="87"/>
  <c r="F72" i="87"/>
  <c r="F79" i="87"/>
  <c r="F67" i="87"/>
  <c r="F60" i="87"/>
  <c r="F59" i="87"/>
  <c r="F51" i="87"/>
  <c r="F45" i="87"/>
  <c r="F25" i="87"/>
  <c r="F27" i="87"/>
  <c r="F66" i="87"/>
  <c r="F26" i="87"/>
  <c r="F18" i="87"/>
  <c r="F44" i="87"/>
  <c r="F35" i="87"/>
  <c r="F52" i="87"/>
  <c r="F20" i="87"/>
  <c r="F24" i="87"/>
  <c r="F19" i="87"/>
  <c r="F11" i="87"/>
  <c r="F36" i="87"/>
  <c r="F28" i="87"/>
  <c r="F13" i="87"/>
  <c r="F15" i="87"/>
  <c r="F42" i="87"/>
  <c r="F57" i="87"/>
  <c r="F43" i="87"/>
  <c r="F14" i="87"/>
  <c r="F47" i="87"/>
  <c r="F46" i="87"/>
  <c r="F16" i="87"/>
  <c r="F31" i="87"/>
  <c r="F30" i="87"/>
  <c r="F9" i="87"/>
  <c r="F50" i="87"/>
  <c r="F55" i="87"/>
  <c r="F70" i="87"/>
  <c r="F12" i="87"/>
  <c r="F17" i="87"/>
  <c r="F56" i="87"/>
  <c r="F29" i="87"/>
  <c r="F33" i="87"/>
  <c r="F71" i="87"/>
  <c r="F73" i="87"/>
  <c r="F58" i="87"/>
  <c r="F32" i="87"/>
  <c r="F10" i="87"/>
  <c r="F21" i="87"/>
  <c r="F41" i="87"/>
  <c r="F48" i="87"/>
  <c r="G86" i="87"/>
  <c r="G87" i="87" s="1"/>
  <c r="E81" i="87"/>
  <c r="E83" i="87" s="1"/>
  <c r="E84" i="87" s="1"/>
  <c r="E86" i="87" s="1"/>
  <c r="E87" i="87" s="1"/>
  <c r="E76" i="87"/>
  <c r="I26" i="85" l="1"/>
  <c r="I25" i="85"/>
  <c r="I65" i="85"/>
  <c r="I21" i="85" l="1"/>
  <c r="I51" i="86" l="1"/>
  <c r="I50" i="86" s="1"/>
  <c r="I36" i="86" l="1"/>
  <c r="I35" i="86" l="1"/>
  <c r="I45" i="86"/>
  <c r="I18" i="86"/>
  <c r="I63" i="86"/>
  <c r="I20" i="86" l="1"/>
  <c r="I27" i="86"/>
  <c r="E66" i="79" l="1"/>
  <c r="E65" i="79"/>
  <c r="E64" i="79"/>
  <c r="E63" i="79"/>
  <c r="E62" i="79"/>
  <c r="E61" i="79"/>
  <c r="E60" i="79"/>
  <c r="E59" i="79"/>
  <c r="E58" i="79"/>
  <c r="E57" i="79"/>
  <c r="E56" i="79"/>
  <c r="E46" i="79"/>
  <c r="E45" i="79"/>
  <c r="E44" i="79"/>
  <c r="E43" i="79"/>
  <c r="E42" i="79"/>
  <c r="E31" i="79"/>
  <c r="E30" i="79"/>
  <c r="E28" i="79"/>
  <c r="E27" i="79"/>
  <c r="E25" i="79"/>
  <c r="E24" i="79"/>
  <c r="E23" i="79"/>
  <c r="E22" i="79"/>
  <c r="E21" i="79"/>
  <c r="E20" i="79"/>
  <c r="E19" i="79"/>
  <c r="E18" i="79"/>
  <c r="E17" i="79"/>
  <c r="E16" i="79"/>
  <c r="E15" i="79"/>
  <c r="E14" i="79"/>
  <c r="E13" i="79"/>
  <c r="E12" i="79"/>
  <c r="E11" i="79"/>
  <c r="E10" i="79"/>
  <c r="E9" i="79"/>
  <c r="G19" i="79"/>
  <c r="I19" i="79" s="1"/>
  <c r="AB46" i="79"/>
  <c r="AA46" i="79"/>
  <c r="AB45" i="79"/>
  <c r="AA45" i="79"/>
  <c r="AB44" i="79"/>
  <c r="AA44" i="79"/>
  <c r="AB43" i="79"/>
  <c r="AA43" i="79"/>
  <c r="AB42" i="79"/>
  <c r="AA42" i="79"/>
  <c r="AB41" i="79"/>
  <c r="AA41" i="79"/>
  <c r="C29" i="79"/>
  <c r="D29" i="79"/>
  <c r="C26" i="79"/>
  <c r="E26" i="79" s="1"/>
  <c r="E29" i="79" l="1"/>
  <c r="AB70" i="79"/>
  <c r="AA70" i="79"/>
  <c r="AB69" i="79"/>
  <c r="AA69" i="79"/>
  <c r="AB68" i="79"/>
  <c r="AA68" i="79"/>
  <c r="AB67" i="79"/>
  <c r="AA67" i="79"/>
  <c r="AB66" i="79"/>
  <c r="AA66" i="79"/>
  <c r="AB65" i="79"/>
  <c r="AA65" i="79"/>
  <c r="AB64" i="79"/>
  <c r="AA64" i="79"/>
  <c r="AB63" i="79"/>
  <c r="AA63" i="79"/>
  <c r="AB62" i="79"/>
  <c r="AA62" i="79"/>
  <c r="AB61" i="79"/>
  <c r="AB60" i="79"/>
  <c r="AA60" i="79"/>
  <c r="AB59" i="79"/>
  <c r="AA59" i="79"/>
  <c r="AB58" i="79"/>
  <c r="AA58" i="79"/>
  <c r="AB57" i="79"/>
  <c r="AA57" i="79"/>
  <c r="AB56" i="79"/>
  <c r="AA56" i="79"/>
  <c r="AB31" i="79"/>
  <c r="AA31" i="79"/>
  <c r="AB30" i="79"/>
  <c r="AA30" i="79"/>
  <c r="AB28" i="79"/>
  <c r="AA27" i="79"/>
  <c r="AA26" i="79"/>
  <c r="AB25" i="79"/>
  <c r="AB24" i="79"/>
  <c r="AA24" i="79"/>
  <c r="AB22" i="79"/>
  <c r="AB21" i="79"/>
  <c r="AB20" i="79"/>
  <c r="AA20" i="79"/>
  <c r="AB19" i="79"/>
  <c r="AB18" i="79"/>
  <c r="AA18" i="79"/>
  <c r="AB17" i="79"/>
  <c r="AA17" i="79"/>
  <c r="AA16" i="79"/>
  <c r="AB15" i="79"/>
  <c r="AA15" i="79"/>
  <c r="AB14" i="79"/>
  <c r="AA14" i="79"/>
  <c r="AB13" i="79"/>
  <c r="AA13" i="79"/>
  <c r="AB12" i="79"/>
  <c r="AA12" i="79"/>
  <c r="AB11" i="79"/>
  <c r="AB10" i="79"/>
  <c r="AB9" i="79"/>
  <c r="H6" i="79"/>
  <c r="AB6" i="79" s="1"/>
  <c r="G6" i="79" l="1"/>
  <c r="I83" i="79"/>
  <c r="I80" i="79"/>
  <c r="I77" i="79"/>
  <c r="I76" i="79"/>
  <c r="H75" i="79"/>
  <c r="G75" i="79"/>
  <c r="I72" i="79"/>
  <c r="I71" i="79" s="1"/>
  <c r="H71" i="79"/>
  <c r="G71" i="79"/>
  <c r="I69" i="79"/>
  <c r="I68" i="79"/>
  <c r="I67" i="79"/>
  <c r="I55" i="79"/>
  <c r="I54" i="79"/>
  <c r="I53" i="79"/>
  <c r="H52" i="79"/>
  <c r="G52" i="79"/>
  <c r="I50" i="79"/>
  <c r="I49" i="79"/>
  <c r="H48" i="79"/>
  <c r="G48" i="79"/>
  <c r="I40" i="79"/>
  <c r="H39" i="79"/>
  <c r="G39" i="79"/>
  <c r="I34" i="79"/>
  <c r="I33" i="79" s="1"/>
  <c r="H33" i="79"/>
  <c r="G33" i="79"/>
  <c r="H8" i="79"/>
  <c r="G8" i="79"/>
  <c r="I7" i="79"/>
  <c r="H5" i="79"/>
  <c r="I75" i="79" l="1"/>
  <c r="I48" i="79"/>
  <c r="H36" i="79"/>
  <c r="H37" i="79" s="1"/>
  <c r="I52" i="79"/>
  <c r="I8" i="79"/>
  <c r="I39" i="79"/>
  <c r="H73" i="79" l="1"/>
  <c r="H74" i="79" s="1"/>
  <c r="I87" i="79"/>
  <c r="AB51" i="79"/>
  <c r="AA51" i="79"/>
  <c r="AB50" i="79"/>
  <c r="AA50" i="79"/>
  <c r="AB49" i="79"/>
  <c r="AA49" i="79"/>
  <c r="W23" i="79"/>
  <c r="AB23" i="79" s="1"/>
  <c r="W29" i="79"/>
  <c r="V23" i="79"/>
  <c r="V22" i="79"/>
  <c r="X22" i="79" s="1"/>
  <c r="V25" i="79"/>
  <c r="X25" i="79" s="1"/>
  <c r="V28" i="79"/>
  <c r="X28" i="79" s="1"/>
  <c r="V19" i="79"/>
  <c r="X19" i="79" s="1"/>
  <c r="V21" i="79"/>
  <c r="X21" i="79" s="1"/>
  <c r="X23" i="79" l="1"/>
  <c r="AA23" i="79"/>
  <c r="X29" i="79"/>
  <c r="AB29" i="79"/>
  <c r="H79" i="79"/>
  <c r="H81" i="79" s="1"/>
  <c r="H82" i="79" s="1"/>
  <c r="H84" i="79" s="1"/>
  <c r="H85" i="79" s="1"/>
  <c r="V6" i="79"/>
  <c r="X6" i="79" s="1"/>
  <c r="X5" i="79" s="1"/>
  <c r="X8" i="79" l="1"/>
  <c r="X36" i="79" s="1"/>
  <c r="X37" i="79" s="1"/>
  <c r="X83" i="79"/>
  <c r="X80" i="79"/>
  <c r="X77" i="79"/>
  <c r="X76" i="79"/>
  <c r="W75" i="79"/>
  <c r="V75" i="79"/>
  <c r="X72" i="79"/>
  <c r="X71" i="79" s="1"/>
  <c r="W71" i="79"/>
  <c r="V71" i="79"/>
  <c r="X69" i="79"/>
  <c r="X68" i="79"/>
  <c r="X67" i="79"/>
  <c r="W52" i="79"/>
  <c r="V52" i="79"/>
  <c r="W48" i="79"/>
  <c r="V48" i="79"/>
  <c r="W39" i="79"/>
  <c r="V39" i="79"/>
  <c r="W33" i="79"/>
  <c r="V33" i="79"/>
  <c r="W8" i="79"/>
  <c r="W5" i="79"/>
  <c r="W36" i="79" l="1"/>
  <c r="W73" i="79" s="1"/>
  <c r="X52" i="79"/>
  <c r="X75" i="79"/>
  <c r="I18" i="85"/>
  <c r="I69" i="86"/>
  <c r="I54" i="86" s="1"/>
  <c r="V5" i="79"/>
  <c r="V8" i="79"/>
  <c r="V22" i="81"/>
  <c r="X22" i="81" s="1"/>
  <c r="W37" i="79" l="1"/>
  <c r="W74" i="79"/>
  <c r="W79" i="79"/>
  <c r="W81" i="79" s="1"/>
  <c r="W82" i="79" s="1"/>
  <c r="W84" i="79" s="1"/>
  <c r="W85" i="79" s="1"/>
  <c r="X73" i="79"/>
  <c r="V36" i="79"/>
  <c r="X87" i="79"/>
  <c r="Y77" i="79" s="1"/>
  <c r="Y37" i="79" l="1"/>
  <c r="Y64" i="79"/>
  <c r="Y60" i="79"/>
  <c r="Y56" i="79"/>
  <c r="Y52" i="79"/>
  <c r="Y48" i="79"/>
  <c r="Y44" i="79"/>
  <c r="Y40" i="79"/>
  <c r="Y32" i="79"/>
  <c r="Y28" i="79"/>
  <c r="Y20" i="79"/>
  <c r="Y16" i="79"/>
  <c r="Y12" i="79"/>
  <c r="Y62" i="79"/>
  <c r="Y54" i="79"/>
  <c r="Y46" i="79"/>
  <c r="Y38" i="79"/>
  <c r="Y30" i="79"/>
  <c r="Y22" i="79"/>
  <c r="Y14" i="79"/>
  <c r="Y65" i="79"/>
  <c r="Y57" i="79"/>
  <c r="Y49" i="79"/>
  <c r="Y41" i="79"/>
  <c r="Y33" i="79"/>
  <c r="Y25" i="79"/>
  <c r="Y17" i="79"/>
  <c r="Y9" i="79"/>
  <c r="Y63" i="79"/>
  <c r="Y59" i="79"/>
  <c r="Y55" i="79"/>
  <c r="Y51" i="79"/>
  <c r="Y47" i="79"/>
  <c r="Y43" i="79"/>
  <c r="Y39" i="79"/>
  <c r="Y35" i="79"/>
  <c r="Y31" i="79"/>
  <c r="Y27" i="79"/>
  <c r="Y23" i="79"/>
  <c r="Y19" i="79"/>
  <c r="Y15" i="79"/>
  <c r="Y11" i="79"/>
  <c r="Y66" i="79"/>
  <c r="Y58" i="79"/>
  <c r="Y50" i="79"/>
  <c r="Y42" i="79"/>
  <c r="Y34" i="79"/>
  <c r="Y26" i="79"/>
  <c r="Y18" i="79"/>
  <c r="Y10" i="79"/>
  <c r="Y61" i="79"/>
  <c r="Y53" i="79"/>
  <c r="Y45" i="79"/>
  <c r="Y29" i="79"/>
  <c r="Y21" i="79"/>
  <c r="Y13" i="79"/>
  <c r="Y24" i="79"/>
  <c r="Y8" i="79"/>
  <c r="Y36" i="79"/>
  <c r="X79" i="79"/>
  <c r="X81" i="79" s="1"/>
  <c r="X82" i="79" s="1"/>
  <c r="X84" i="79" s="1"/>
  <c r="X85" i="79" s="1"/>
  <c r="X74" i="79"/>
  <c r="V37" i="79"/>
  <c r="V73" i="79"/>
  <c r="V79" i="79" l="1"/>
  <c r="V81" i="79" s="1"/>
  <c r="V82" i="79" s="1"/>
  <c r="V84" i="79" s="1"/>
  <c r="V85" i="79" s="1"/>
  <c r="V74" i="79"/>
  <c r="I54" i="85" l="1"/>
  <c r="I28" i="85"/>
  <c r="I48" i="85"/>
  <c r="I41" i="85" s="1"/>
  <c r="I27" i="85"/>
  <c r="AG9" i="81" l="1"/>
  <c r="E16" i="81" l="1"/>
  <c r="H63" i="81"/>
  <c r="I63" i="81" s="1"/>
  <c r="I52" i="81" s="1"/>
  <c r="I73" i="81" s="1"/>
  <c r="I74" i="81" s="1"/>
  <c r="W27" i="81"/>
  <c r="L24" i="81"/>
  <c r="N24" i="81" s="1"/>
  <c r="AB27" i="81" l="1"/>
  <c r="X27" i="81"/>
  <c r="V24" i="81"/>
  <c r="X24" i="81" s="1"/>
  <c r="AA66" i="81"/>
  <c r="AA65" i="81"/>
  <c r="AA64" i="81"/>
  <c r="AA63" i="81"/>
  <c r="AA62" i="81"/>
  <c r="AC62" i="81" s="1"/>
  <c r="AA60" i="81"/>
  <c r="AA59" i="81"/>
  <c r="AA58" i="81"/>
  <c r="AA57" i="81"/>
  <c r="AA56" i="81"/>
  <c r="AA47" i="81"/>
  <c r="AA46" i="81"/>
  <c r="AA45" i="81"/>
  <c r="AB35" i="81"/>
  <c r="AA35" i="81"/>
  <c r="AA34" i="81"/>
  <c r="AC34" i="81" s="1"/>
  <c r="AC33" i="81" s="1"/>
  <c r="AA29" i="81"/>
  <c r="AA28" i="81"/>
  <c r="AA27" i="81"/>
  <c r="AA26" i="81"/>
  <c r="AA25" i="81"/>
  <c r="AC25" i="81" s="1"/>
  <c r="AA22" i="81"/>
  <c r="AC22" i="81" s="1"/>
  <c r="AA21" i="81"/>
  <c r="AC21" i="81" s="1"/>
  <c r="AA20" i="81"/>
  <c r="AC20" i="81" s="1"/>
  <c r="AA19" i="81"/>
  <c r="AC19" i="81" s="1"/>
  <c r="AA18" i="81"/>
  <c r="AC18" i="81" s="1"/>
  <c r="AA17" i="81"/>
  <c r="AC17" i="81" s="1"/>
  <c r="AA16" i="81"/>
  <c r="AA15" i="81"/>
  <c r="AC15" i="81" s="1"/>
  <c r="AA14" i="81"/>
  <c r="AC14" i="81" s="1"/>
  <c r="AA13" i="81"/>
  <c r="AC13" i="81" s="1"/>
  <c r="AA12" i="81"/>
  <c r="AC12" i="81" s="1"/>
  <c r="AA6" i="81"/>
  <c r="I83" i="81"/>
  <c r="I80" i="81"/>
  <c r="H75" i="81"/>
  <c r="G75" i="81"/>
  <c r="H71" i="81"/>
  <c r="G71" i="81"/>
  <c r="G52" i="81"/>
  <c r="H48" i="81"/>
  <c r="G48" i="81"/>
  <c r="H39" i="81"/>
  <c r="G39" i="81"/>
  <c r="H33" i="81"/>
  <c r="G33" i="81"/>
  <c r="H8" i="81"/>
  <c r="H5" i="81"/>
  <c r="G5" i="81"/>
  <c r="W26" i="81"/>
  <c r="AA24" i="81" l="1"/>
  <c r="AC24" i="81" s="1"/>
  <c r="AC45" i="81"/>
  <c r="AC57" i="81"/>
  <c r="AC66" i="81"/>
  <c r="AC46" i="81"/>
  <c r="AC58" i="81"/>
  <c r="X26" i="81"/>
  <c r="AB26" i="81"/>
  <c r="AC26" i="81" s="1"/>
  <c r="AC27" i="81"/>
  <c r="AC59" i="81"/>
  <c r="AC64" i="81"/>
  <c r="AC56" i="81"/>
  <c r="AC60" i="81"/>
  <c r="AC65" i="81"/>
  <c r="H52" i="81"/>
  <c r="I77" i="81" s="1"/>
  <c r="I75" i="81" s="1"/>
  <c r="H36" i="81"/>
  <c r="G8" i="81"/>
  <c r="G36" i="81" s="1"/>
  <c r="V11" i="81"/>
  <c r="X11" i="81" s="1"/>
  <c r="V10" i="81"/>
  <c r="X10" i="81" s="1"/>
  <c r="V9" i="81"/>
  <c r="X9" i="81" s="1"/>
  <c r="G73" i="81" l="1"/>
  <c r="G37" i="81"/>
  <c r="H73" i="81"/>
  <c r="H37" i="81"/>
  <c r="G79" i="81" l="1"/>
  <c r="G81" i="81" s="1"/>
  <c r="G82" i="81" s="1"/>
  <c r="G84" i="81" s="1"/>
  <c r="G85" i="81" s="1"/>
  <c r="G74" i="81"/>
  <c r="H79" i="81"/>
  <c r="H81" i="81" s="1"/>
  <c r="H82" i="81" s="1"/>
  <c r="H84" i="81" s="1"/>
  <c r="H85" i="81" s="1"/>
  <c r="H74" i="81"/>
  <c r="I87" i="81"/>
  <c r="I79" i="81" l="1"/>
  <c r="I81" i="81" l="1"/>
  <c r="I82" i="81" l="1"/>
  <c r="I84" i="81" l="1"/>
  <c r="I85" i="81" s="1"/>
  <c r="AA32" i="81" l="1"/>
  <c r="AA31" i="81"/>
  <c r="AC31" i="81" s="1"/>
  <c r="AA30" i="81"/>
  <c r="AC30" i="81" s="1"/>
  <c r="M6" i="81"/>
  <c r="N6" i="81" l="1"/>
  <c r="N5" i="81" s="1"/>
  <c r="AB6" i="81"/>
  <c r="AC6" i="81" s="1"/>
  <c r="AC5" i="81" s="1"/>
  <c r="X83" i="81"/>
  <c r="X80" i="81"/>
  <c r="W75" i="81"/>
  <c r="V75" i="81"/>
  <c r="W71" i="81"/>
  <c r="V71" i="81"/>
  <c r="W48" i="81"/>
  <c r="V48" i="81"/>
  <c r="W39" i="81"/>
  <c r="V39" i="81"/>
  <c r="W33" i="81"/>
  <c r="V33" i="81"/>
  <c r="V8" i="81"/>
  <c r="W5" i="81"/>
  <c r="V5" i="81"/>
  <c r="V36" i="81" l="1"/>
  <c r="W52" i="81"/>
  <c r="I30" i="86" l="1"/>
  <c r="I31" i="86"/>
  <c r="V37" i="81"/>
  <c r="I9" i="86" l="1"/>
  <c r="I14" i="86"/>
  <c r="I13" i="86"/>
  <c r="I10" i="86"/>
  <c r="I11" i="86"/>
  <c r="I43" i="86" l="1"/>
  <c r="I41" i="86" s="1"/>
  <c r="I12" i="86"/>
  <c r="I24" i="86" l="1"/>
  <c r="I21" i="86" l="1"/>
  <c r="G8" i="86"/>
  <c r="I28" i="86" l="1"/>
  <c r="I8" i="86" s="1"/>
  <c r="I38" i="86" s="1"/>
  <c r="I75" i="86" s="1"/>
  <c r="I39" i="86" l="1"/>
  <c r="I76" i="86"/>
  <c r="I85" i="86" l="1"/>
  <c r="E85" i="86"/>
  <c r="I82" i="86"/>
  <c r="E82" i="86"/>
  <c r="E79" i="86"/>
  <c r="E78" i="86"/>
  <c r="D77" i="86"/>
  <c r="C77" i="86"/>
  <c r="E73" i="86"/>
  <c r="D73" i="86"/>
  <c r="C73" i="86"/>
  <c r="D54" i="86"/>
  <c r="C54" i="86"/>
  <c r="E52" i="86"/>
  <c r="E51" i="86"/>
  <c r="H50" i="86"/>
  <c r="D50" i="86"/>
  <c r="C50" i="86"/>
  <c r="D41" i="86"/>
  <c r="C41" i="86"/>
  <c r="E36" i="86"/>
  <c r="E35" i="86" s="1"/>
  <c r="H35" i="86"/>
  <c r="D35" i="86"/>
  <c r="C35" i="86"/>
  <c r="E9" i="86"/>
  <c r="E8" i="86" s="1"/>
  <c r="D8" i="86"/>
  <c r="E7" i="86"/>
  <c r="E6" i="86"/>
  <c r="E5" i="86" s="1"/>
  <c r="H5" i="86"/>
  <c r="G5" i="86"/>
  <c r="D5" i="86"/>
  <c r="C5" i="86"/>
  <c r="AB34" i="79"/>
  <c r="AA34" i="79"/>
  <c r="R16" i="79"/>
  <c r="S16" i="79" l="1"/>
  <c r="AB16" i="79"/>
  <c r="E77" i="86"/>
  <c r="G77" i="86"/>
  <c r="E50" i="86"/>
  <c r="H8" i="86"/>
  <c r="E41" i="86"/>
  <c r="G41" i="86"/>
  <c r="E54" i="86"/>
  <c r="G54" i="86"/>
  <c r="H54" i="86"/>
  <c r="G38" i="86"/>
  <c r="C8" i="86"/>
  <c r="C38" i="86" s="1"/>
  <c r="G35" i="86"/>
  <c r="H77" i="86"/>
  <c r="D38" i="86"/>
  <c r="H41" i="86"/>
  <c r="G50" i="86"/>
  <c r="Q61" i="79"/>
  <c r="Q52" i="79" s="1"/>
  <c r="R26" i="79"/>
  <c r="Q29" i="79"/>
  <c r="S29" i="79" s="1"/>
  <c r="R27" i="79"/>
  <c r="Q21" i="79"/>
  <c r="Q25" i="79"/>
  <c r="Q28" i="79"/>
  <c r="Q19" i="79"/>
  <c r="Q22" i="79"/>
  <c r="Q11" i="79"/>
  <c r="Q10" i="79"/>
  <c r="Q9" i="79"/>
  <c r="Q6" i="79"/>
  <c r="Q5" i="79" s="1"/>
  <c r="S83" i="79"/>
  <c r="S80" i="79"/>
  <c r="S77" i="79"/>
  <c r="S76" i="79"/>
  <c r="R75" i="79"/>
  <c r="Q75" i="79"/>
  <c r="S72" i="79"/>
  <c r="S71" i="79" s="1"/>
  <c r="R71" i="79"/>
  <c r="Q71" i="79"/>
  <c r="S69" i="79"/>
  <c r="S68" i="79"/>
  <c r="S67" i="79"/>
  <c r="R52" i="79"/>
  <c r="R48" i="79"/>
  <c r="Q48" i="79"/>
  <c r="R39" i="79"/>
  <c r="Q39" i="79"/>
  <c r="R33" i="79"/>
  <c r="Q33" i="79"/>
  <c r="R5" i="79"/>
  <c r="S75" i="79" l="1"/>
  <c r="R8" i="79"/>
  <c r="S11" i="79"/>
  <c r="AA11" i="79"/>
  <c r="S25" i="79"/>
  <c r="AA25" i="79"/>
  <c r="S26" i="79"/>
  <c r="AB26" i="79"/>
  <c r="S6" i="79"/>
  <c r="S5" i="79" s="1"/>
  <c r="AA6" i="79"/>
  <c r="S22" i="79"/>
  <c r="AA22" i="79"/>
  <c r="S21" i="79"/>
  <c r="AA21" i="79"/>
  <c r="S61" i="79"/>
  <c r="S52" i="79" s="1"/>
  <c r="AA61" i="79"/>
  <c r="S9" i="79"/>
  <c r="AA9" i="79"/>
  <c r="S19" i="79"/>
  <c r="AA19" i="79"/>
  <c r="S27" i="79"/>
  <c r="AB27" i="79"/>
  <c r="S10" i="79"/>
  <c r="AA10" i="79"/>
  <c r="S28" i="79"/>
  <c r="AA28" i="79"/>
  <c r="G75" i="86"/>
  <c r="G81" i="86" s="1"/>
  <c r="G83" i="86" s="1"/>
  <c r="G84" i="86" s="1"/>
  <c r="I24" i="85"/>
  <c r="I8" i="85" s="1"/>
  <c r="I38" i="85" s="1"/>
  <c r="H38" i="86"/>
  <c r="H75" i="86" s="1"/>
  <c r="H81" i="86" s="1"/>
  <c r="H83" i="86" s="1"/>
  <c r="H84" i="86" s="1"/>
  <c r="I79" i="86"/>
  <c r="BB79" i="86" s="1"/>
  <c r="E38" i="86"/>
  <c r="E39" i="86" s="1"/>
  <c r="G39" i="86"/>
  <c r="D39" i="86"/>
  <c r="D75" i="86"/>
  <c r="C75" i="86"/>
  <c r="C39" i="86"/>
  <c r="Q8" i="79"/>
  <c r="Q36" i="79" s="1"/>
  <c r="R36" i="79"/>
  <c r="R37" i="79" s="1"/>
  <c r="E85" i="85"/>
  <c r="I82" i="85"/>
  <c r="E82" i="85"/>
  <c r="H77" i="85"/>
  <c r="E78" i="85"/>
  <c r="D77" i="85"/>
  <c r="C77" i="85"/>
  <c r="E74" i="85"/>
  <c r="E73" i="85" s="1"/>
  <c r="D73" i="85"/>
  <c r="C73" i="85"/>
  <c r="E71" i="85"/>
  <c r="E70" i="85"/>
  <c r="E69" i="85"/>
  <c r="E68" i="85"/>
  <c r="E67" i="85"/>
  <c r="E66" i="85"/>
  <c r="E65" i="85"/>
  <c r="E64" i="85"/>
  <c r="E63" i="85"/>
  <c r="E62" i="85"/>
  <c r="E61" i="85"/>
  <c r="E60" i="85"/>
  <c r="E59" i="85"/>
  <c r="E58" i="85"/>
  <c r="E57" i="85"/>
  <c r="E56" i="85"/>
  <c r="E55" i="85"/>
  <c r="D54" i="85"/>
  <c r="C54" i="85"/>
  <c r="E52" i="85"/>
  <c r="E51" i="85"/>
  <c r="H50" i="85"/>
  <c r="D50" i="85"/>
  <c r="C50" i="85"/>
  <c r="E48" i="85"/>
  <c r="E47" i="85"/>
  <c r="E46" i="85"/>
  <c r="E45" i="85"/>
  <c r="E44" i="85"/>
  <c r="E43" i="85"/>
  <c r="E42" i="85"/>
  <c r="H41" i="85"/>
  <c r="D41" i="85"/>
  <c r="C41" i="85"/>
  <c r="E36" i="85"/>
  <c r="E35" i="85" s="1"/>
  <c r="H35" i="85"/>
  <c r="G35" i="85"/>
  <c r="D35" i="85"/>
  <c r="C35" i="85"/>
  <c r="E33" i="85"/>
  <c r="E32" i="85"/>
  <c r="E31" i="85"/>
  <c r="E30" i="85"/>
  <c r="E29" i="85"/>
  <c r="E28" i="85"/>
  <c r="E27" i="85"/>
  <c r="E26" i="85"/>
  <c r="E25" i="85"/>
  <c r="E24" i="85"/>
  <c r="E21" i="85"/>
  <c r="E20" i="85"/>
  <c r="E19" i="85"/>
  <c r="E18" i="85"/>
  <c r="E17" i="85"/>
  <c r="E16" i="85"/>
  <c r="E15" i="85"/>
  <c r="E14" i="85"/>
  <c r="E13" i="85"/>
  <c r="E12" i="85"/>
  <c r="E11" i="85"/>
  <c r="E10" i="85"/>
  <c r="E9" i="85"/>
  <c r="D8" i="85"/>
  <c r="C8" i="85"/>
  <c r="E7" i="85"/>
  <c r="H5" i="85"/>
  <c r="E6" i="85"/>
  <c r="E5" i="85" s="1"/>
  <c r="D5" i="85"/>
  <c r="C5" i="85"/>
  <c r="AB8" i="79" l="1"/>
  <c r="BB81" i="86"/>
  <c r="BB83" i="86" s="1"/>
  <c r="BB84" i="86" s="1"/>
  <c r="BB86" i="86" s="1"/>
  <c r="BB87" i="86" s="1"/>
  <c r="BB89" i="86"/>
  <c r="S8" i="79"/>
  <c r="S36" i="79" s="1"/>
  <c r="S37" i="79" s="1"/>
  <c r="BB77" i="86"/>
  <c r="E77" i="85"/>
  <c r="I89" i="86"/>
  <c r="I81" i="86"/>
  <c r="I83" i="86" s="1"/>
  <c r="I84" i="86" s="1"/>
  <c r="I86" i="86" s="1"/>
  <c r="I77" i="86"/>
  <c r="H39" i="86"/>
  <c r="I75" i="85"/>
  <c r="I76" i="85" s="1"/>
  <c r="I39" i="85"/>
  <c r="E75" i="86"/>
  <c r="E76" i="86" s="1"/>
  <c r="E89" i="86"/>
  <c r="F10" i="86" s="1"/>
  <c r="AF6" i="79"/>
  <c r="D81" i="86"/>
  <c r="D83" i="86" s="1"/>
  <c r="D84" i="86" s="1"/>
  <c r="D86" i="86" s="1"/>
  <c r="D87" i="86" s="1"/>
  <c r="D76" i="86"/>
  <c r="G76" i="86"/>
  <c r="C81" i="86"/>
  <c r="C83" i="86" s="1"/>
  <c r="C84" i="86" s="1"/>
  <c r="C86" i="86" s="1"/>
  <c r="C87" i="86" s="1"/>
  <c r="C76" i="86"/>
  <c r="Q37" i="79"/>
  <c r="Q73" i="79"/>
  <c r="Q74" i="79" s="1"/>
  <c r="R73" i="79"/>
  <c r="R79" i="79" s="1"/>
  <c r="R81" i="79" s="1"/>
  <c r="R82" i="79" s="1"/>
  <c r="R84" i="79" s="1"/>
  <c r="R85" i="79" s="1"/>
  <c r="E41" i="85"/>
  <c r="E8" i="85"/>
  <c r="E38" i="85" s="1"/>
  <c r="E39" i="85" s="1"/>
  <c r="C38" i="85"/>
  <c r="C75" i="85" s="1"/>
  <c r="D38" i="85"/>
  <c r="D75" i="85" s="1"/>
  <c r="G5" i="85"/>
  <c r="E54" i="85"/>
  <c r="E50" i="85"/>
  <c r="G41" i="85"/>
  <c r="G50" i="85"/>
  <c r="H54" i="85"/>
  <c r="G54" i="85"/>
  <c r="G77" i="85"/>
  <c r="I85" i="85"/>
  <c r="BB90" i="86" l="1"/>
  <c r="S87" i="79"/>
  <c r="T19" i="79" s="1"/>
  <c r="T40" i="79"/>
  <c r="T20" i="79"/>
  <c r="BB93" i="86"/>
  <c r="T41" i="79"/>
  <c r="BC65" i="86"/>
  <c r="BC31" i="86"/>
  <c r="BC56" i="86"/>
  <c r="BC70" i="86"/>
  <c r="BC43" i="86"/>
  <c r="BC62" i="86"/>
  <c r="BC28" i="86"/>
  <c r="BC8" i="86"/>
  <c r="BC12" i="86"/>
  <c r="BC57" i="86"/>
  <c r="BC17" i="86"/>
  <c r="BC46" i="86"/>
  <c r="BC48" i="86"/>
  <c r="BC60" i="86"/>
  <c r="BC47" i="86"/>
  <c r="BC66" i="86"/>
  <c r="BC32" i="86"/>
  <c r="BC20" i="86"/>
  <c r="BC19" i="86"/>
  <c r="BC26" i="86"/>
  <c r="BC10" i="86"/>
  <c r="BC29" i="86"/>
  <c r="BC42" i="86"/>
  <c r="BC33" i="86"/>
  <c r="BC54" i="86"/>
  <c r="BC24" i="86"/>
  <c r="BC69" i="86"/>
  <c r="BC59" i="86"/>
  <c r="BC25" i="86"/>
  <c r="BC30" i="86"/>
  <c r="BC14" i="86"/>
  <c r="BC52" i="86"/>
  <c r="BC63" i="86"/>
  <c r="BC68" i="86"/>
  <c r="BC41" i="86"/>
  <c r="BC11" i="86"/>
  <c r="BC18" i="86"/>
  <c r="BC15" i="86"/>
  <c r="BC16" i="86"/>
  <c r="BC67" i="86"/>
  <c r="BC45" i="86"/>
  <c r="BC9" i="86"/>
  <c r="BC71" i="86"/>
  <c r="BC72" i="86"/>
  <c r="BC49" i="86"/>
  <c r="BC61" i="86"/>
  <c r="BC27" i="86"/>
  <c r="BC51" i="86"/>
  <c r="BC58" i="86"/>
  <c r="BC13" i="86"/>
  <c r="BC36" i="86"/>
  <c r="BC55" i="86"/>
  <c r="BC64" i="86"/>
  <c r="BC21" i="86"/>
  <c r="BC44" i="86"/>
  <c r="H86" i="86"/>
  <c r="H87" i="86" s="1"/>
  <c r="G86" i="86"/>
  <c r="G87" i="86" s="1"/>
  <c r="H76" i="86"/>
  <c r="T13" i="79"/>
  <c r="T23" i="79"/>
  <c r="T44" i="79"/>
  <c r="T24" i="79"/>
  <c r="T64" i="79"/>
  <c r="T57" i="79"/>
  <c r="T58" i="79"/>
  <c r="T12" i="79"/>
  <c r="T62" i="79"/>
  <c r="T27" i="79"/>
  <c r="T48" i="79"/>
  <c r="T9" i="79"/>
  <c r="T28" i="79"/>
  <c r="T52" i="79"/>
  <c r="T17" i="79"/>
  <c r="T42" i="79"/>
  <c r="T61" i="79"/>
  <c r="T39" i="79"/>
  <c r="T66" i="79"/>
  <c r="T21" i="79"/>
  <c r="T29" i="79"/>
  <c r="T53" i="79"/>
  <c r="T18" i="79"/>
  <c r="T54" i="79"/>
  <c r="T10" i="79"/>
  <c r="T43" i="79"/>
  <c r="T63" i="79"/>
  <c r="T45" i="79"/>
  <c r="T33" i="79"/>
  <c r="T26" i="79"/>
  <c r="T8" i="79"/>
  <c r="T22" i="79"/>
  <c r="T15" i="79"/>
  <c r="T31" i="79"/>
  <c r="T55" i="79"/>
  <c r="T16" i="79"/>
  <c r="T34" i="79"/>
  <c r="T56" i="79"/>
  <c r="T25" i="79"/>
  <c r="T46" i="79"/>
  <c r="T65" i="79"/>
  <c r="T47" i="79"/>
  <c r="J41" i="86"/>
  <c r="E81" i="86"/>
  <c r="E83" i="86" s="1"/>
  <c r="F67" i="86"/>
  <c r="F71" i="86"/>
  <c r="F9" i="86"/>
  <c r="F52" i="86"/>
  <c r="F62" i="86"/>
  <c r="F47" i="86"/>
  <c r="F51" i="86"/>
  <c r="F11" i="86"/>
  <c r="F25" i="86"/>
  <c r="F35" i="86"/>
  <c r="F15" i="86"/>
  <c r="F50" i="86"/>
  <c r="F65" i="86"/>
  <c r="F70" i="86"/>
  <c r="F19" i="86"/>
  <c r="F32" i="86"/>
  <c r="F21" i="86"/>
  <c r="F48" i="86"/>
  <c r="F73" i="86"/>
  <c r="F55" i="86"/>
  <c r="F27" i="86"/>
  <c r="F45" i="86"/>
  <c r="F54" i="86"/>
  <c r="F60" i="86"/>
  <c r="F43" i="86"/>
  <c r="F16" i="86"/>
  <c r="F42" i="86"/>
  <c r="F56" i="86"/>
  <c r="F69" i="86"/>
  <c r="F46" i="86"/>
  <c r="F82" i="86"/>
  <c r="F59" i="86"/>
  <c r="F13" i="86"/>
  <c r="F20" i="86"/>
  <c r="F68" i="86"/>
  <c r="F85" i="86"/>
  <c r="F12" i="86"/>
  <c r="F17" i="86"/>
  <c r="F33" i="86"/>
  <c r="F79" i="86"/>
  <c r="F31" i="86"/>
  <c r="F41" i="86"/>
  <c r="F72" i="86"/>
  <c r="F8" i="86"/>
  <c r="F30" i="86"/>
  <c r="F57" i="86"/>
  <c r="F58" i="86"/>
  <c r="F63" i="86"/>
  <c r="F29" i="86"/>
  <c r="F64" i="86"/>
  <c r="F28" i="86"/>
  <c r="F36" i="86"/>
  <c r="F61" i="86"/>
  <c r="F26" i="86"/>
  <c r="F14" i="86"/>
  <c r="F18" i="86"/>
  <c r="F24" i="86"/>
  <c r="F44" i="86"/>
  <c r="F66" i="86"/>
  <c r="Q79" i="79"/>
  <c r="Q81" i="79" s="1"/>
  <c r="Q82" i="79" s="1"/>
  <c r="Q84" i="79" s="1"/>
  <c r="Q85" i="79" s="1"/>
  <c r="T14" i="79"/>
  <c r="G5" i="79"/>
  <c r="G36" i="79" s="1"/>
  <c r="I6" i="79"/>
  <c r="I5" i="79" s="1"/>
  <c r="I36" i="79" s="1"/>
  <c r="J8" i="86"/>
  <c r="J49" i="86"/>
  <c r="J59" i="86"/>
  <c r="J55" i="86"/>
  <c r="J27" i="86"/>
  <c r="J48" i="86"/>
  <c r="J46" i="86"/>
  <c r="J47" i="86"/>
  <c r="J69" i="86"/>
  <c r="J65" i="86"/>
  <c r="J61" i="86"/>
  <c r="J57" i="86"/>
  <c r="J26" i="86"/>
  <c r="J11" i="86"/>
  <c r="J10" i="86"/>
  <c r="J20" i="86"/>
  <c r="J45" i="86"/>
  <c r="J21" i="86"/>
  <c r="J29" i="86"/>
  <c r="J12" i="86"/>
  <c r="J68" i="86"/>
  <c r="J32" i="86"/>
  <c r="J31" i="86"/>
  <c r="J71" i="86"/>
  <c r="J56" i="86"/>
  <c r="J13" i="86"/>
  <c r="J14" i="86"/>
  <c r="J24" i="86"/>
  <c r="J18" i="86"/>
  <c r="J60" i="86"/>
  <c r="J54" i="86"/>
  <c r="J58" i="86"/>
  <c r="J62" i="86"/>
  <c r="J66" i="86"/>
  <c r="J70" i="86"/>
  <c r="J30" i="86"/>
  <c r="J67" i="86"/>
  <c r="J64" i="86"/>
  <c r="J63" i="86"/>
  <c r="J15" i="86"/>
  <c r="J16" i="86"/>
  <c r="J25" i="86"/>
  <c r="J33" i="86"/>
  <c r="J72" i="86"/>
  <c r="J17" i="86"/>
  <c r="J19" i="86"/>
  <c r="J28" i="86"/>
  <c r="J36" i="86"/>
  <c r="J43" i="86"/>
  <c r="J9" i="86"/>
  <c r="J51" i="86"/>
  <c r="J42" i="86"/>
  <c r="J52" i="86"/>
  <c r="J44" i="86"/>
  <c r="R74" i="79"/>
  <c r="S73" i="79"/>
  <c r="S79" i="79" s="1"/>
  <c r="S81" i="79" s="1"/>
  <c r="S82" i="79" s="1"/>
  <c r="S84" i="79" s="1"/>
  <c r="S85" i="79" s="1"/>
  <c r="D39" i="85"/>
  <c r="E89" i="85"/>
  <c r="F82" i="85" s="1"/>
  <c r="C39" i="85"/>
  <c r="E75" i="85"/>
  <c r="E81" i="85" s="1"/>
  <c r="E83" i="85" s="1"/>
  <c r="E84" i="85" s="1"/>
  <c r="E86" i="85" s="1"/>
  <c r="D81" i="85"/>
  <c r="D83" i="85" s="1"/>
  <c r="D84" i="85" s="1"/>
  <c r="D86" i="85" s="1"/>
  <c r="D76" i="85"/>
  <c r="G8" i="85"/>
  <c r="G38" i="85" s="1"/>
  <c r="G75" i="85" s="1"/>
  <c r="C81" i="85"/>
  <c r="C83" i="85" s="1"/>
  <c r="C84" i="85" s="1"/>
  <c r="C86" i="85" s="1"/>
  <c r="C76" i="85"/>
  <c r="T30" i="79" l="1"/>
  <c r="T11" i="79"/>
  <c r="T59" i="79"/>
  <c r="T60" i="79"/>
  <c r="I87" i="86"/>
  <c r="E84" i="86"/>
  <c r="E86" i="86" s="1"/>
  <c r="I37" i="79"/>
  <c r="I73" i="79"/>
  <c r="G37" i="79"/>
  <c r="G73" i="79"/>
  <c r="C87" i="85"/>
  <c r="D87" i="85"/>
  <c r="E87" i="85"/>
  <c r="S74" i="79"/>
  <c r="F32" i="85"/>
  <c r="F71" i="85"/>
  <c r="F57" i="85"/>
  <c r="F43" i="85"/>
  <c r="F9" i="85"/>
  <c r="F60" i="85"/>
  <c r="F47" i="85"/>
  <c r="F56" i="85"/>
  <c r="F29" i="85"/>
  <c r="F61" i="85"/>
  <c r="F54" i="85"/>
  <c r="F48" i="85"/>
  <c r="F19" i="85"/>
  <c r="F52" i="85"/>
  <c r="F58" i="85"/>
  <c r="F31" i="85"/>
  <c r="F17" i="85"/>
  <c r="F11" i="85"/>
  <c r="F28" i="85"/>
  <c r="F73" i="85"/>
  <c r="F10" i="85"/>
  <c r="F65" i="85"/>
  <c r="F25" i="85"/>
  <c r="F42" i="85"/>
  <c r="F33" i="85"/>
  <c r="F8" i="85"/>
  <c r="F36" i="85"/>
  <c r="F35" i="85"/>
  <c r="F16" i="85"/>
  <c r="F85" i="85"/>
  <c r="F44" i="85"/>
  <c r="F18" i="85"/>
  <c r="F69" i="85"/>
  <c r="F14" i="85"/>
  <c r="F59" i="85"/>
  <c r="F62" i="85"/>
  <c r="F13" i="85"/>
  <c r="F67" i="85"/>
  <c r="F12" i="85"/>
  <c r="F51" i="85"/>
  <c r="F41" i="85"/>
  <c r="F45" i="85"/>
  <c r="F55" i="85"/>
  <c r="F64" i="85"/>
  <c r="F72" i="85"/>
  <c r="F26" i="85"/>
  <c r="F30" i="85"/>
  <c r="F63" i="85"/>
  <c r="F79" i="85"/>
  <c r="F46" i="85"/>
  <c r="F50" i="85"/>
  <c r="F20" i="85"/>
  <c r="F15" i="85"/>
  <c r="F68" i="85"/>
  <c r="F70" i="85"/>
  <c r="F21" i="85"/>
  <c r="F24" i="85"/>
  <c r="F27" i="85"/>
  <c r="F66" i="85"/>
  <c r="E76" i="85"/>
  <c r="H8" i="85"/>
  <c r="I79" i="85" s="1"/>
  <c r="S79" i="85" s="1"/>
  <c r="G39" i="85"/>
  <c r="H38" i="85" l="1"/>
  <c r="H75" i="85" s="1"/>
  <c r="H76" i="85" s="1"/>
  <c r="E87" i="86"/>
  <c r="G74" i="79"/>
  <c r="G79" i="79"/>
  <c r="G81" i="79" s="1"/>
  <c r="G82" i="79" s="1"/>
  <c r="G84" i="79" s="1"/>
  <c r="G85" i="79" s="1"/>
  <c r="I79" i="79"/>
  <c r="I81" i="79" s="1"/>
  <c r="I82" i="79" s="1"/>
  <c r="I84" i="79" s="1"/>
  <c r="I85" i="79" s="1"/>
  <c r="I74" i="79"/>
  <c r="G76" i="85"/>
  <c r="G81" i="85"/>
  <c r="G83" i="85" s="1"/>
  <c r="G84" i="85" s="1"/>
  <c r="H39" i="85" l="1"/>
  <c r="I77" i="85"/>
  <c r="G86" i="85"/>
  <c r="G87" i="85" s="1"/>
  <c r="I89" i="85"/>
  <c r="H81" i="85"/>
  <c r="H83" i="85" s="1"/>
  <c r="H84" i="85" s="1"/>
  <c r="H86" i="85" s="1"/>
  <c r="H87" i="85" s="1"/>
  <c r="S77" i="85" l="1"/>
  <c r="S89" i="85"/>
  <c r="J8" i="85"/>
  <c r="J59" i="85"/>
  <c r="J49" i="85"/>
  <c r="J69" i="85"/>
  <c r="J60" i="85"/>
  <c r="J45" i="85"/>
  <c r="J43" i="85"/>
  <c r="J15" i="85"/>
  <c r="J19" i="85"/>
  <c r="J14" i="85"/>
  <c r="J57" i="85"/>
  <c r="J67" i="85"/>
  <c r="J47" i="85"/>
  <c r="J62" i="85"/>
  <c r="J46" i="85"/>
  <c r="J30" i="85"/>
  <c r="J17" i="85"/>
  <c r="J72" i="85"/>
  <c r="J28" i="85"/>
  <c r="J25" i="85"/>
  <c r="J51" i="85"/>
  <c r="J64" i="85"/>
  <c r="J12" i="85"/>
  <c r="J29" i="85"/>
  <c r="J32" i="85"/>
  <c r="J13" i="85"/>
  <c r="J27" i="85"/>
  <c r="J71" i="85"/>
  <c r="J58" i="85"/>
  <c r="J70" i="85"/>
  <c r="J36" i="85"/>
  <c r="J9" i="85"/>
  <c r="J66" i="85"/>
  <c r="J33" i="85"/>
  <c r="J42" i="85"/>
  <c r="J63" i="85"/>
  <c r="J52" i="85"/>
  <c r="J55" i="85"/>
  <c r="J10" i="85"/>
  <c r="J68" i="85"/>
  <c r="J44" i="85"/>
  <c r="J20" i="85"/>
  <c r="J26" i="85"/>
  <c r="J61" i="85"/>
  <c r="J21" i="85"/>
  <c r="J11" i="85"/>
  <c r="J18" i="85"/>
  <c r="J56" i="85"/>
  <c r="J48" i="85"/>
  <c r="J24" i="85"/>
  <c r="J41" i="85"/>
  <c r="J54" i="85"/>
  <c r="J65" i="85"/>
  <c r="J31" i="85"/>
  <c r="J16" i="85"/>
  <c r="T23" i="85" l="1"/>
  <c r="T22" i="85"/>
  <c r="T58" i="85"/>
  <c r="T36" i="85"/>
  <c r="T16" i="85"/>
  <c r="T55" i="85"/>
  <c r="T69" i="85"/>
  <c r="T52" i="85"/>
  <c r="T29" i="85"/>
  <c r="T11" i="85"/>
  <c r="T9" i="85"/>
  <c r="T60" i="85"/>
  <c r="T42" i="85"/>
  <c r="T18" i="85"/>
  <c r="T59" i="85"/>
  <c r="T12" i="85"/>
  <c r="T25" i="85"/>
  <c r="T72" i="85"/>
  <c r="T32" i="85"/>
  <c r="T45" i="85"/>
  <c r="T48" i="85"/>
  <c r="T26" i="85"/>
  <c r="T21" i="85"/>
  <c r="T43" i="85"/>
  <c r="T49" i="85"/>
  <c r="T51" i="85"/>
  <c r="T10" i="85"/>
  <c r="T62" i="85"/>
  <c r="T20" i="85"/>
  <c r="T17" i="85"/>
  <c r="T33" i="85"/>
  <c r="T27" i="85"/>
  <c r="T46" i="85"/>
  <c r="T63" i="85"/>
  <c r="T70" i="85"/>
  <c r="T54" i="85"/>
  <c r="T30" i="85"/>
  <c r="T41" i="85"/>
  <c r="T65" i="85"/>
  <c r="T47" i="85"/>
  <c r="T67" i="85"/>
  <c r="T56" i="85"/>
  <c r="T14" i="85"/>
  <c r="T66" i="85"/>
  <c r="T8" i="85"/>
  <c r="T61" i="85"/>
  <c r="T19" i="85"/>
  <c r="T68" i="85"/>
  <c r="T28" i="85"/>
  <c r="T31" i="85"/>
  <c r="T44" i="85"/>
  <c r="T71" i="85"/>
  <c r="T57" i="85"/>
  <c r="T15" i="85"/>
  <c r="T64" i="85"/>
  <c r="T24" i="85"/>
  <c r="T13" i="85"/>
  <c r="I81" i="85"/>
  <c r="I83" i="85" s="1"/>
  <c r="I84" i="85" s="1"/>
  <c r="I86" i="85" s="1"/>
  <c r="I87" i="85" s="1"/>
  <c r="AG6" i="81" l="1"/>
  <c r="R63" i="81"/>
  <c r="S63" i="81" s="1"/>
  <c r="S52" i="81" s="1"/>
  <c r="Q11" i="81" l="1"/>
  <c r="S11" i="81" s="1"/>
  <c r="Q10" i="81"/>
  <c r="S10" i="81" s="1"/>
  <c r="Q9" i="81"/>
  <c r="S9" i="81" s="1"/>
  <c r="S83" i="81"/>
  <c r="S80" i="81"/>
  <c r="R75" i="81"/>
  <c r="Q75" i="81"/>
  <c r="R71" i="81"/>
  <c r="Q71" i="81"/>
  <c r="R52" i="81"/>
  <c r="Q52" i="81"/>
  <c r="R48" i="81"/>
  <c r="Q48" i="81"/>
  <c r="R39" i="81"/>
  <c r="Q39" i="81"/>
  <c r="R33" i="81"/>
  <c r="Q33" i="81"/>
  <c r="R5" i="81"/>
  <c r="Q5" i="81"/>
  <c r="S8" i="81" l="1"/>
  <c r="S36" i="81" s="1"/>
  <c r="S73" i="81" s="1"/>
  <c r="S74" i="81" s="1"/>
  <c r="Q8" i="81"/>
  <c r="Q36" i="81" s="1"/>
  <c r="Q37" i="81" s="1"/>
  <c r="R8" i="81"/>
  <c r="S37" i="81" l="1"/>
  <c r="R36" i="81"/>
  <c r="R37" i="81" s="1"/>
  <c r="S77" i="81"/>
  <c r="S75" i="81" s="1"/>
  <c r="Q73" i="81"/>
  <c r="Q74" i="81" s="1"/>
  <c r="R73" i="81" l="1"/>
  <c r="R74" i="81" s="1"/>
  <c r="Q79" i="81"/>
  <c r="Q81" i="81" s="1"/>
  <c r="Q82" i="81" s="1"/>
  <c r="Q84" i="81" s="1"/>
  <c r="Q85" i="81" s="1"/>
  <c r="S87" i="81"/>
  <c r="R79" i="81" l="1"/>
  <c r="R81" i="81" s="1"/>
  <c r="R82" i="81" s="1"/>
  <c r="R84" i="81" s="1"/>
  <c r="R85" i="81" s="1"/>
  <c r="T66" i="81"/>
  <c r="T62" i="81"/>
  <c r="T58" i="81"/>
  <c r="T54" i="81"/>
  <c r="T45" i="81"/>
  <c r="T41" i="81"/>
  <c r="T28" i="81"/>
  <c r="T24" i="81"/>
  <c r="T20" i="81"/>
  <c r="T65" i="81"/>
  <c r="T61" i="81"/>
  <c r="T57" i="81"/>
  <c r="T53" i="81"/>
  <c r="T44" i="81"/>
  <c r="T40" i="81"/>
  <c r="T27" i="81"/>
  <c r="T23" i="81"/>
  <c r="T19" i="81"/>
  <c r="T64" i="81"/>
  <c r="T60" i="81"/>
  <c r="T56" i="81"/>
  <c r="T52" i="81"/>
  <c r="T43" i="81"/>
  <c r="T39" i="81"/>
  <c r="T26" i="81"/>
  <c r="T22" i="81"/>
  <c r="T9" i="81"/>
  <c r="T63" i="81"/>
  <c r="T59" i="81"/>
  <c r="T55" i="81"/>
  <c r="T46" i="81"/>
  <c r="T42" i="81"/>
  <c r="T29" i="81"/>
  <c r="T25" i="81"/>
  <c r="T21" i="81"/>
  <c r="T15" i="81"/>
  <c r="T11" i="81"/>
  <c r="T12" i="81"/>
  <c r="T10" i="81"/>
  <c r="T13" i="81"/>
  <c r="T17" i="81"/>
  <c r="T18" i="81"/>
  <c r="T14" i="81"/>
  <c r="T16" i="81"/>
  <c r="T8" i="81"/>
  <c r="S79" i="81" l="1"/>
  <c r="S81" i="81" l="1"/>
  <c r="S82" i="81" l="1"/>
  <c r="S84" i="81" l="1"/>
  <c r="S85" i="81" s="1"/>
  <c r="L29" i="79" l="1"/>
  <c r="N29" i="79" l="1"/>
  <c r="N8" i="79" s="1"/>
  <c r="N36" i="79" s="1"/>
  <c r="N37" i="79" s="1"/>
  <c r="AA29" i="79"/>
  <c r="AA8" i="79" s="1"/>
  <c r="M63" i="81"/>
  <c r="M28" i="81"/>
  <c r="M29" i="81"/>
  <c r="L23" i="81"/>
  <c r="L11" i="81"/>
  <c r="L10" i="81"/>
  <c r="L9" i="81"/>
  <c r="M16" i="81" s="1"/>
  <c r="AB63" i="81" l="1"/>
  <c r="AC63" i="81" s="1"/>
  <c r="N63" i="81"/>
  <c r="N52" i="81" s="1"/>
  <c r="N10" i="81"/>
  <c r="AA10" i="81"/>
  <c r="AC10" i="81" s="1"/>
  <c r="AB16" i="81"/>
  <c r="N16" i="81"/>
  <c r="N9" i="81"/>
  <c r="AA9" i="81"/>
  <c r="N23" i="81"/>
  <c r="AA23" i="81"/>
  <c r="AC23" i="81" s="1"/>
  <c r="N29" i="81"/>
  <c r="W29" i="81"/>
  <c r="X29" i="81" s="1"/>
  <c r="N11" i="81"/>
  <c r="AA11" i="81"/>
  <c r="AC11" i="81" s="1"/>
  <c r="N28" i="81"/>
  <c r="W28" i="81"/>
  <c r="AB28" i="81" s="1"/>
  <c r="AC28" i="81" s="1"/>
  <c r="AB29" i="81" l="1"/>
  <c r="AC29" i="81" s="1"/>
  <c r="AC9" i="81"/>
  <c r="AF9" i="81"/>
  <c r="AH9" i="81" s="1"/>
  <c r="N8" i="81"/>
  <c r="N36" i="81" s="1"/>
  <c r="X28" i="81"/>
  <c r="X8" i="81" s="1"/>
  <c r="X36" i="81" s="1"/>
  <c r="W8" i="81"/>
  <c r="AB8" i="81"/>
  <c r="AC16" i="81"/>
  <c r="X37" i="81" l="1"/>
  <c r="X73" i="81"/>
  <c r="X74" i="81" s="1"/>
  <c r="N37" i="81"/>
  <c r="N73" i="81"/>
  <c r="N74" i="81" s="1"/>
  <c r="X77" i="81"/>
  <c r="X75" i="81" s="1"/>
  <c r="W36" i="81"/>
  <c r="AC8" i="81"/>
  <c r="AC36" i="81" s="1"/>
  <c r="AC37" i="81" l="1"/>
  <c r="W37" i="81"/>
  <c r="W73" i="81"/>
  <c r="E76" i="81"/>
  <c r="E77" i="81"/>
  <c r="E69" i="81"/>
  <c r="E68" i="81"/>
  <c r="E67" i="81"/>
  <c r="E66" i="81"/>
  <c r="E65" i="81"/>
  <c r="E64" i="81"/>
  <c r="E63" i="81"/>
  <c r="E62" i="81"/>
  <c r="E61" i="81"/>
  <c r="E60" i="81"/>
  <c r="E59" i="81"/>
  <c r="E58" i="81"/>
  <c r="E57" i="81"/>
  <c r="E56" i="81"/>
  <c r="E55" i="81"/>
  <c r="E54" i="81"/>
  <c r="E53" i="81"/>
  <c r="E50" i="81"/>
  <c r="E49" i="81"/>
  <c r="E46" i="81"/>
  <c r="E45" i="81"/>
  <c r="E44" i="81"/>
  <c r="E43" i="81"/>
  <c r="E42" i="81"/>
  <c r="E41" i="81"/>
  <c r="E40" i="81"/>
  <c r="E34" i="81"/>
  <c r="E31" i="81"/>
  <c r="E30" i="81"/>
  <c r="E29" i="81"/>
  <c r="E28" i="81"/>
  <c r="E27" i="81"/>
  <c r="E26" i="81"/>
  <c r="E25" i="81"/>
  <c r="E24" i="81"/>
  <c r="E23" i="81"/>
  <c r="E22" i="81"/>
  <c r="E21" i="81"/>
  <c r="E20" i="81"/>
  <c r="E19" i="81"/>
  <c r="E18" i="81"/>
  <c r="E17" i="81"/>
  <c r="E15" i="81"/>
  <c r="E14" i="81"/>
  <c r="E13" i="81"/>
  <c r="E12" i="81"/>
  <c r="E11" i="81"/>
  <c r="E10" i="81"/>
  <c r="E9" i="81"/>
  <c r="W79" i="81" l="1"/>
  <c r="W81" i="81" s="1"/>
  <c r="W82" i="81" s="1"/>
  <c r="W84" i="81" s="1"/>
  <c r="W85" i="81" s="1"/>
  <c r="W74" i="81"/>
  <c r="C17" i="93" l="1"/>
  <c r="C27" i="93" s="1"/>
  <c r="C40" i="93" l="1"/>
  <c r="AB83" i="81"/>
  <c r="AG83" i="81" s="1"/>
  <c r="AA83" i="81"/>
  <c r="N83" i="81"/>
  <c r="E83" i="81"/>
  <c r="AH80" i="81"/>
  <c r="AC80" i="81"/>
  <c r="N80" i="81"/>
  <c r="E80" i="81"/>
  <c r="AB77" i="81"/>
  <c r="AG77" i="81" s="1"/>
  <c r="AG75" i="81" s="1"/>
  <c r="AA77" i="81"/>
  <c r="AF77" i="81" s="1"/>
  <c r="M75" i="81"/>
  <c r="L75" i="81"/>
  <c r="E75" i="81"/>
  <c r="D75" i="81"/>
  <c r="C75" i="81"/>
  <c r="AG72" i="81"/>
  <c r="AA72" i="81"/>
  <c r="AA71" i="81" s="1"/>
  <c r="E72" i="81"/>
  <c r="E71" i="81" s="1"/>
  <c r="AB71" i="81"/>
  <c r="M71" i="81"/>
  <c r="L71" i="81"/>
  <c r="D71" i="81"/>
  <c r="C71" i="81"/>
  <c r="AA70" i="81"/>
  <c r="AA69" i="81"/>
  <c r="AC69" i="81" s="1"/>
  <c r="AA68" i="81"/>
  <c r="AC68" i="81" s="1"/>
  <c r="AA67" i="81"/>
  <c r="AC67" i="81" s="1"/>
  <c r="AG66" i="81"/>
  <c r="AG65" i="81"/>
  <c r="AG64" i="81"/>
  <c r="AG63" i="81"/>
  <c r="AG62" i="81"/>
  <c r="AG61" i="81"/>
  <c r="AG60" i="81"/>
  <c r="AF60" i="81"/>
  <c r="AG59" i="81"/>
  <c r="AF59" i="81"/>
  <c r="AG58" i="81"/>
  <c r="AF58" i="81"/>
  <c r="AG57" i="81"/>
  <c r="AF57" i="81"/>
  <c r="AG56" i="81"/>
  <c r="AF56" i="81"/>
  <c r="AA55" i="81"/>
  <c r="AC55" i="81" s="1"/>
  <c r="AA54" i="81"/>
  <c r="AC54" i="81" s="1"/>
  <c r="AA53" i="81"/>
  <c r="AC53" i="81" s="1"/>
  <c r="M52" i="81"/>
  <c r="L52" i="81"/>
  <c r="E52" i="81"/>
  <c r="D52" i="81"/>
  <c r="C52" i="81"/>
  <c r="AB50" i="81"/>
  <c r="AG50" i="81" s="1"/>
  <c r="AA50" i="81"/>
  <c r="AA49" i="81"/>
  <c r="AC49" i="81" s="1"/>
  <c r="M48" i="81"/>
  <c r="L48" i="81"/>
  <c r="E48" i="81"/>
  <c r="D48" i="81"/>
  <c r="C48" i="81"/>
  <c r="AF46" i="81"/>
  <c r="AF45" i="81"/>
  <c r="AA44" i="81"/>
  <c r="AC44" i="81" s="1"/>
  <c r="AA43" i="81"/>
  <c r="AC43" i="81" s="1"/>
  <c r="AA42" i="81"/>
  <c r="AC42" i="81" s="1"/>
  <c r="AA41" i="81"/>
  <c r="AC41" i="81" s="1"/>
  <c r="AA40" i="81"/>
  <c r="AC40" i="81" s="1"/>
  <c r="M39" i="81"/>
  <c r="L39" i="81"/>
  <c r="E39" i="81"/>
  <c r="D39" i="81"/>
  <c r="C39" i="81"/>
  <c r="AB33" i="81"/>
  <c r="M33" i="81"/>
  <c r="L33" i="81"/>
  <c r="E33" i="81"/>
  <c r="D33" i="81"/>
  <c r="C33" i="81"/>
  <c r="AG31" i="81"/>
  <c r="AF31" i="81"/>
  <c r="AG30" i="81"/>
  <c r="AF30" i="81"/>
  <c r="AG29" i="81"/>
  <c r="AF29" i="81"/>
  <c r="AG28" i="81"/>
  <c r="AF28" i="81"/>
  <c r="AG27" i="81"/>
  <c r="AF27" i="81"/>
  <c r="AG26" i="81"/>
  <c r="AF26" i="81"/>
  <c r="AG25" i="81"/>
  <c r="AF25" i="81"/>
  <c r="AG24" i="81"/>
  <c r="AF24" i="81"/>
  <c r="AG23" i="81"/>
  <c r="AF23" i="81"/>
  <c r="AG22" i="81"/>
  <c r="AG21" i="81"/>
  <c r="AF21" i="81"/>
  <c r="AG20" i="81"/>
  <c r="AF20" i="81"/>
  <c r="AG19" i="81"/>
  <c r="AF19" i="81"/>
  <c r="AG18" i="81"/>
  <c r="AF18" i="81"/>
  <c r="AG17" i="81"/>
  <c r="AF17" i="81"/>
  <c r="AG16" i="81"/>
  <c r="AF16" i="81"/>
  <c r="AG15" i="81"/>
  <c r="AF15" i="81"/>
  <c r="AG14" i="81"/>
  <c r="AF14" i="81"/>
  <c r="AG13" i="81"/>
  <c r="AF13" i="81"/>
  <c r="AG12" i="81"/>
  <c r="AF12" i="81"/>
  <c r="AG11" i="81"/>
  <c r="AF11" i="81"/>
  <c r="AG10" i="81"/>
  <c r="AF10" i="81"/>
  <c r="M8" i="81"/>
  <c r="L8" i="81"/>
  <c r="E8" i="81"/>
  <c r="D8" i="81"/>
  <c r="C8" i="81"/>
  <c r="AG7" i="81"/>
  <c r="AF7" i="81"/>
  <c r="E7" i="81"/>
  <c r="AG5" i="81"/>
  <c r="AF6" i="81"/>
  <c r="AH6" i="81" s="1"/>
  <c r="AH5" i="81" s="1"/>
  <c r="E6" i="81"/>
  <c r="E5" i="81" s="1"/>
  <c r="AB5" i="81"/>
  <c r="AA5" i="81"/>
  <c r="M5" i="81"/>
  <c r="L5" i="81"/>
  <c r="D5" i="81"/>
  <c r="C5" i="81"/>
  <c r="AH7" i="81" l="1"/>
  <c r="N77" i="81"/>
  <c r="N75" i="81" s="1"/>
  <c r="AH24" i="81"/>
  <c r="AH26" i="81"/>
  <c r="AH28" i="81"/>
  <c r="AH30" i="81"/>
  <c r="AA75" i="81"/>
  <c r="AH23" i="81"/>
  <c r="AH25" i="81"/>
  <c r="AH27" i="81"/>
  <c r="AH29" i="81"/>
  <c r="AH31" i="81"/>
  <c r="AC39" i="81"/>
  <c r="AA48" i="81"/>
  <c r="AF71" i="81"/>
  <c r="C42" i="93"/>
  <c r="AF50" i="81"/>
  <c r="AH50" i="81" s="1"/>
  <c r="AC50" i="81"/>
  <c r="AC48" i="81" s="1"/>
  <c r="AH10" i="81"/>
  <c r="AH12" i="81"/>
  <c r="AH14" i="81"/>
  <c r="AH16" i="81"/>
  <c r="AH18" i="81"/>
  <c r="AH20" i="81"/>
  <c r="AH57" i="81"/>
  <c r="AH59" i="81"/>
  <c r="AF72" i="81"/>
  <c r="AH72" i="81" s="1"/>
  <c r="AH71" i="81" s="1"/>
  <c r="AC72" i="81"/>
  <c r="AC71" i="81" s="1"/>
  <c r="AB75" i="81"/>
  <c r="AC83" i="81"/>
  <c r="AH11" i="81"/>
  <c r="AH13" i="81"/>
  <c r="AH15" i="81"/>
  <c r="AH17" i="81"/>
  <c r="AH19" i="81"/>
  <c r="AH21" i="81"/>
  <c r="AH56" i="81"/>
  <c r="AH58" i="81"/>
  <c r="AH60" i="81"/>
  <c r="AF55" i="81"/>
  <c r="AG67" i="81"/>
  <c r="AG70" i="81"/>
  <c r="AF54" i="81"/>
  <c r="AG55" i="81"/>
  <c r="AF53" i="81"/>
  <c r="AG54" i="81"/>
  <c r="AG69" i="81"/>
  <c r="AG53" i="81"/>
  <c r="AG68" i="81"/>
  <c r="AF70" i="81"/>
  <c r="AF41" i="81"/>
  <c r="AF40" i="81"/>
  <c r="AF43" i="81"/>
  <c r="AF49" i="81"/>
  <c r="AF44" i="81"/>
  <c r="AF42" i="81"/>
  <c r="AG49" i="81"/>
  <c r="AG71" i="81"/>
  <c r="AB52" i="81"/>
  <c r="AF83" i="81"/>
  <c r="M36" i="81"/>
  <c r="M73" i="81" s="1"/>
  <c r="AB48" i="81"/>
  <c r="AA8" i="81"/>
  <c r="AA36" i="81" s="1"/>
  <c r="AA39" i="81"/>
  <c r="AG8" i="81"/>
  <c r="D36" i="81"/>
  <c r="D73" i="81" s="1"/>
  <c r="C36" i="81"/>
  <c r="C73" i="81" s="1"/>
  <c r="E36" i="81"/>
  <c r="E37" i="81" s="1"/>
  <c r="E87" i="81"/>
  <c r="AF5" i="81"/>
  <c r="AF22" i="81"/>
  <c r="AH22" i="81" s="1"/>
  <c r="L36" i="81"/>
  <c r="AF34" i="81"/>
  <c r="AG40" i="81"/>
  <c r="AG41" i="81"/>
  <c r="AG42" i="81"/>
  <c r="AH42" i="81" s="1"/>
  <c r="AG43" i="81"/>
  <c r="AG44" i="81"/>
  <c r="AG45" i="81"/>
  <c r="AH45" i="81" s="1"/>
  <c r="AG46" i="81"/>
  <c r="AH46" i="81" s="1"/>
  <c r="AG34" i="81"/>
  <c r="AB39" i="81"/>
  <c r="AF75" i="81"/>
  <c r="AA33" i="81"/>
  <c r="AH83" i="81"/>
  <c r="AF62" i="81"/>
  <c r="AH62" i="81" s="1"/>
  <c r="AF63" i="81"/>
  <c r="AH63" i="81" s="1"/>
  <c r="AF64" i="81"/>
  <c r="AH64" i="81" s="1"/>
  <c r="AF65" i="81"/>
  <c r="AH65" i="81" s="1"/>
  <c r="AF66" i="81"/>
  <c r="AH66" i="81" s="1"/>
  <c r="AF67" i="81"/>
  <c r="AF68" i="81"/>
  <c r="AF69" i="81"/>
  <c r="AH54" i="81" l="1"/>
  <c r="AH44" i="81"/>
  <c r="AF39" i="81"/>
  <c r="AH55" i="81"/>
  <c r="AC77" i="81"/>
  <c r="AC75" i="81" s="1"/>
  <c r="AH40" i="81"/>
  <c r="AH49" i="81"/>
  <c r="AH48" i="81" s="1"/>
  <c r="AH41" i="81"/>
  <c r="AI41" i="81" s="1"/>
  <c r="AF48" i="81"/>
  <c r="AH43" i="81"/>
  <c r="AH68" i="81"/>
  <c r="AH8" i="81"/>
  <c r="AH36" i="81" s="1"/>
  <c r="AH37" i="81" s="1"/>
  <c r="AH53" i="81"/>
  <c r="AH67" i="81"/>
  <c r="AG52" i="81"/>
  <c r="AH69" i="81"/>
  <c r="AI69" i="81" s="1"/>
  <c r="AG48" i="81"/>
  <c r="AG33" i="81"/>
  <c r="AH34" i="81"/>
  <c r="AH33" i="81" s="1"/>
  <c r="AG36" i="81"/>
  <c r="N87" i="81"/>
  <c r="J38" i="81" s="1"/>
  <c r="AB36" i="81"/>
  <c r="AB37" i="81" s="1"/>
  <c r="F21" i="81"/>
  <c r="F8" i="81"/>
  <c r="AA37" i="81"/>
  <c r="M37" i="81"/>
  <c r="D37" i="81"/>
  <c r="C37" i="81"/>
  <c r="F24" i="81"/>
  <c r="F80" i="81"/>
  <c r="F45" i="81"/>
  <c r="F65" i="81"/>
  <c r="AI67" i="81"/>
  <c r="F48" i="81"/>
  <c r="E73" i="81"/>
  <c r="E74" i="81" s="1"/>
  <c r="AI70" i="81"/>
  <c r="F57" i="81"/>
  <c r="F14" i="81"/>
  <c r="F67" i="81"/>
  <c r="F61" i="81"/>
  <c r="F60" i="81"/>
  <c r="F53" i="81"/>
  <c r="F59" i="81"/>
  <c r="AI44" i="81"/>
  <c r="F26" i="81"/>
  <c r="AI68" i="81"/>
  <c r="F83" i="81"/>
  <c r="F71" i="81"/>
  <c r="F66" i="81"/>
  <c r="F52" i="81"/>
  <c r="AI43" i="81"/>
  <c r="F23" i="81"/>
  <c r="AI42" i="81"/>
  <c r="F31" i="81"/>
  <c r="F30" i="81"/>
  <c r="F43" i="81"/>
  <c r="F16" i="81"/>
  <c r="F9" i="81"/>
  <c r="F77" i="81"/>
  <c r="F69" i="81"/>
  <c r="F63" i="81"/>
  <c r="F58" i="81"/>
  <c r="F28" i="81"/>
  <c r="AI46" i="81"/>
  <c r="F34" i="81"/>
  <c r="F27" i="81"/>
  <c r="F70" i="81"/>
  <c r="F20" i="81"/>
  <c r="F13" i="81"/>
  <c r="F62" i="81"/>
  <c r="F54" i="81"/>
  <c r="F39" i="81"/>
  <c r="F33" i="81"/>
  <c r="F42" i="81"/>
  <c r="AI80" i="81"/>
  <c r="F18" i="81"/>
  <c r="F10" i="81"/>
  <c r="F41" i="81"/>
  <c r="F46" i="81"/>
  <c r="F17" i="81"/>
  <c r="F12" i="81"/>
  <c r="AI83" i="81"/>
  <c r="F68" i="81"/>
  <c r="F64" i="81"/>
  <c r="F55" i="81"/>
  <c r="AI71" i="81"/>
  <c r="F56" i="81"/>
  <c r="F50" i="81"/>
  <c r="F29" i="81"/>
  <c r="F22" i="81"/>
  <c r="F49" i="81"/>
  <c r="AI45" i="81"/>
  <c r="AI49" i="81"/>
  <c r="F25" i="81"/>
  <c r="F40" i="81"/>
  <c r="F44" i="81"/>
  <c r="F19" i="81"/>
  <c r="F15" i="81"/>
  <c r="F11" i="81"/>
  <c r="AI40" i="81"/>
  <c r="L73" i="81"/>
  <c r="L37" i="81"/>
  <c r="AG37" i="81"/>
  <c r="M79" i="81"/>
  <c r="M81" i="81" s="1"/>
  <c r="M82" i="81" s="1"/>
  <c r="M84" i="81" s="1"/>
  <c r="M85" i="81" s="1"/>
  <c r="M74" i="81"/>
  <c r="AG39" i="81"/>
  <c r="D79" i="81"/>
  <c r="D81" i="81" s="1"/>
  <c r="D82" i="81" s="1"/>
  <c r="D84" i="81" s="1"/>
  <c r="D85" i="81" s="1"/>
  <c r="D74" i="81"/>
  <c r="C79" i="81"/>
  <c r="C81" i="81" s="1"/>
  <c r="C82" i="81" s="1"/>
  <c r="C84" i="81" s="1"/>
  <c r="C85" i="81" s="1"/>
  <c r="C74" i="81"/>
  <c r="AF33" i="81"/>
  <c r="AI50" i="81"/>
  <c r="AF8" i="81"/>
  <c r="AF36" i="81" s="1"/>
  <c r="AG73" i="81" l="1"/>
  <c r="AH39" i="81"/>
  <c r="AH77" i="81"/>
  <c r="AB73" i="81"/>
  <c r="AB74" i="81" s="1"/>
  <c r="O15" i="81"/>
  <c r="J77" i="81"/>
  <c r="O8" i="81"/>
  <c r="T75" i="81"/>
  <c r="J27" i="81"/>
  <c r="O18" i="81"/>
  <c r="Y77" i="81"/>
  <c r="O21" i="81"/>
  <c r="O76" i="81"/>
  <c r="T51" i="81"/>
  <c r="J16" i="81"/>
  <c r="O39" i="81"/>
  <c r="O34" i="81"/>
  <c r="O31" i="81"/>
  <c r="O24" i="81"/>
  <c r="T71" i="81"/>
  <c r="T76" i="81"/>
  <c r="J81" i="81"/>
  <c r="J42" i="81"/>
  <c r="J60" i="81"/>
  <c r="J13" i="81"/>
  <c r="O55" i="81"/>
  <c r="O52" i="81"/>
  <c r="O49" i="81"/>
  <c r="O42" i="81"/>
  <c r="T68" i="81"/>
  <c r="Y72" i="81"/>
  <c r="J71" i="81"/>
  <c r="J62" i="81"/>
  <c r="J69" i="81"/>
  <c r="J34" i="81"/>
  <c r="O71" i="81"/>
  <c r="O68" i="81"/>
  <c r="O65" i="81"/>
  <c r="O58" i="81"/>
  <c r="T82" i="81"/>
  <c r="T47" i="81"/>
  <c r="Y69" i="81"/>
  <c r="J75" i="81"/>
  <c r="J43" i="81"/>
  <c r="J76" i="81"/>
  <c r="J24" i="81"/>
  <c r="O17" i="81"/>
  <c r="O25" i="81"/>
  <c r="O43" i="81"/>
  <c r="O59" i="81"/>
  <c r="O77" i="81"/>
  <c r="O22" i="81"/>
  <c r="O40" i="81"/>
  <c r="O56" i="81"/>
  <c r="O72" i="81"/>
  <c r="O19" i="81"/>
  <c r="O35" i="81"/>
  <c r="O53" i="81"/>
  <c r="O69" i="81"/>
  <c r="O12" i="81"/>
  <c r="O28" i="81"/>
  <c r="O46" i="81"/>
  <c r="O62" i="81"/>
  <c r="O80" i="81"/>
  <c r="T81" i="81"/>
  <c r="T77" i="81"/>
  <c r="T31" i="81"/>
  <c r="T69" i="81"/>
  <c r="T67" i="81"/>
  <c r="T38" i="81"/>
  <c r="T80" i="81"/>
  <c r="Y80" i="81"/>
  <c r="Y71" i="81"/>
  <c r="Y68" i="81"/>
  <c r="J79" i="81"/>
  <c r="J10" i="81"/>
  <c r="J52" i="81"/>
  <c r="J48" i="81"/>
  <c r="J44" i="81"/>
  <c r="J17" i="81"/>
  <c r="J22" i="81"/>
  <c r="J59" i="81"/>
  <c r="J64" i="81"/>
  <c r="J19" i="81"/>
  <c r="J45" i="81"/>
  <c r="J40" i="81"/>
  <c r="J11" i="81"/>
  <c r="J15" i="81"/>
  <c r="J12" i="81"/>
  <c r="O9" i="81"/>
  <c r="O29" i="81"/>
  <c r="O47" i="81"/>
  <c r="O63" i="81"/>
  <c r="O10" i="81"/>
  <c r="O26" i="81"/>
  <c r="O44" i="81"/>
  <c r="O60" i="81"/>
  <c r="O78" i="81"/>
  <c r="O23" i="81"/>
  <c r="O41" i="81"/>
  <c r="O57" i="81"/>
  <c r="O75" i="81"/>
  <c r="O16" i="81"/>
  <c r="O32" i="81"/>
  <c r="O50" i="81"/>
  <c r="O66" i="81"/>
  <c r="T79" i="81"/>
  <c r="T83" i="81"/>
  <c r="T48" i="81"/>
  <c r="T32" i="81"/>
  <c r="T70" i="81"/>
  <c r="T50" i="81"/>
  <c r="T78" i="81"/>
  <c r="Y75" i="81"/>
  <c r="Y83" i="81"/>
  <c r="Y70" i="81"/>
  <c r="J8" i="81"/>
  <c r="J39" i="81"/>
  <c r="J72" i="81"/>
  <c r="J29" i="81"/>
  <c r="J33" i="81"/>
  <c r="J30" i="81"/>
  <c r="J46" i="81"/>
  <c r="J57" i="81"/>
  <c r="J67" i="81"/>
  <c r="J56" i="81"/>
  <c r="J28" i="81"/>
  <c r="J58" i="81"/>
  <c r="J61" i="81"/>
  <c r="J18" i="81"/>
  <c r="J83" i="81"/>
  <c r="O13" i="81"/>
  <c r="O33" i="81"/>
  <c r="O51" i="81"/>
  <c r="O67" i="81"/>
  <c r="O14" i="81"/>
  <c r="O30" i="81"/>
  <c r="O48" i="81"/>
  <c r="O64" i="81"/>
  <c r="O11" i="81"/>
  <c r="O27" i="81"/>
  <c r="O45" i="81"/>
  <c r="O61" i="81"/>
  <c r="O83" i="81"/>
  <c r="O20" i="81"/>
  <c r="O38" i="81"/>
  <c r="O54" i="81"/>
  <c r="O70" i="81"/>
  <c r="T33" i="81"/>
  <c r="T49" i="81"/>
  <c r="T34" i="81"/>
  <c r="T35" i="81"/>
  <c r="T30" i="81"/>
  <c r="T72" i="81"/>
  <c r="Y76" i="81"/>
  <c r="Y67" i="81"/>
  <c r="Y78" i="81"/>
  <c r="J82" i="81"/>
  <c r="J9" i="81"/>
  <c r="J63" i="81"/>
  <c r="J54" i="81"/>
  <c r="J50" i="81"/>
  <c r="J55" i="81"/>
  <c r="J14" i="81"/>
  <c r="J53" i="81"/>
  <c r="J23" i="81"/>
  <c r="J20" i="81"/>
  <c r="J25" i="81"/>
  <c r="J66" i="81"/>
  <c r="J41" i="81"/>
  <c r="J26" i="81"/>
  <c r="J32" i="81"/>
  <c r="J51" i="81"/>
  <c r="J80" i="81"/>
  <c r="J21" i="81"/>
  <c r="J47" i="81"/>
  <c r="J35" i="81"/>
  <c r="J70" i="81"/>
  <c r="J65" i="81"/>
  <c r="J31" i="81"/>
  <c r="J68" i="81"/>
  <c r="J49" i="81"/>
  <c r="J78" i="81"/>
  <c r="E79" i="81"/>
  <c r="E81" i="81" s="1"/>
  <c r="E82" i="81" s="1"/>
  <c r="E84" i="81" s="1"/>
  <c r="E85" i="81" s="1"/>
  <c r="AG74" i="81"/>
  <c r="AG79" i="81"/>
  <c r="AG81" i="81" s="1"/>
  <c r="AG82" i="81" s="1"/>
  <c r="AG84" i="81" s="1"/>
  <c r="AG85" i="81" s="1"/>
  <c r="AF37" i="81"/>
  <c r="AI34" i="81"/>
  <c r="N79" i="81"/>
  <c r="L79" i="81"/>
  <c r="L81" i="81" s="1"/>
  <c r="L82" i="81" s="1"/>
  <c r="L84" i="81" s="1"/>
  <c r="L85" i="81" s="1"/>
  <c r="L74" i="81"/>
  <c r="AB79" i="81" l="1"/>
  <c r="AB81" i="81" s="1"/>
  <c r="AB82" i="81" s="1"/>
  <c r="AB84" i="81" s="1"/>
  <c r="AB85" i="81" s="1"/>
  <c r="AH75" i="81"/>
  <c r="AI77" i="81"/>
  <c r="N81" i="81"/>
  <c r="O79" i="81"/>
  <c r="N82" i="81" l="1"/>
  <c r="O81" i="81"/>
  <c r="N84" i="81" l="1"/>
  <c r="N85" i="81" s="1"/>
  <c r="O82" i="81"/>
  <c r="AB83" i="79" l="1"/>
  <c r="AG83" i="79" s="1"/>
  <c r="AA83" i="79"/>
  <c r="N83" i="79"/>
  <c r="E83" i="79"/>
  <c r="AH80" i="79"/>
  <c r="AC80" i="79"/>
  <c r="N80" i="79"/>
  <c r="E80" i="79"/>
  <c r="AG77" i="79"/>
  <c r="AG75" i="79" s="1"/>
  <c r="AF77" i="79"/>
  <c r="E77" i="79"/>
  <c r="N76" i="79"/>
  <c r="E76" i="79"/>
  <c r="AB75" i="79"/>
  <c r="AA75" i="79"/>
  <c r="M75" i="79"/>
  <c r="L75" i="79"/>
  <c r="D75" i="79"/>
  <c r="C75" i="79"/>
  <c r="AB72" i="79"/>
  <c r="AG72" i="79" s="1"/>
  <c r="AA72" i="79"/>
  <c r="AF72" i="79" s="1"/>
  <c r="N72" i="79"/>
  <c r="N71" i="79" s="1"/>
  <c r="E72" i="79"/>
  <c r="E71" i="79" s="1"/>
  <c r="AB71" i="79"/>
  <c r="M71" i="79"/>
  <c r="L71" i="79"/>
  <c r="D71" i="79"/>
  <c r="C71" i="79"/>
  <c r="AG70" i="79"/>
  <c r="AF70" i="79"/>
  <c r="AG69" i="79"/>
  <c r="AC69" i="79"/>
  <c r="N69" i="79"/>
  <c r="E69" i="79"/>
  <c r="AG68" i="79"/>
  <c r="AC68" i="79"/>
  <c r="N68" i="79"/>
  <c r="E68" i="79"/>
  <c r="AG67" i="79"/>
  <c r="AC67" i="79"/>
  <c r="N67" i="79"/>
  <c r="E67" i="79"/>
  <c r="AG66" i="79"/>
  <c r="AC66" i="79"/>
  <c r="AG65" i="79"/>
  <c r="AC65" i="79"/>
  <c r="AG64" i="79"/>
  <c r="AG63" i="79"/>
  <c r="AC63" i="79"/>
  <c r="AG62" i="79"/>
  <c r="AC62" i="79"/>
  <c r="AG61" i="79"/>
  <c r="AC61" i="79"/>
  <c r="AG60" i="79"/>
  <c r="AC60" i="79"/>
  <c r="AG59" i="79"/>
  <c r="AG58" i="79"/>
  <c r="AG57" i="79"/>
  <c r="AG56" i="79"/>
  <c r="AB55" i="79"/>
  <c r="AG55" i="79" s="1"/>
  <c r="AA55" i="79"/>
  <c r="E55" i="79"/>
  <c r="AB54" i="79"/>
  <c r="AG54" i="79" s="1"/>
  <c r="AA54" i="79"/>
  <c r="E54" i="79"/>
  <c r="AB53" i="79"/>
  <c r="AG53" i="79" s="1"/>
  <c r="AA53" i="79"/>
  <c r="AF53" i="79" s="1"/>
  <c r="E53" i="79"/>
  <c r="M52" i="79"/>
  <c r="L52" i="79"/>
  <c r="D52" i="79"/>
  <c r="C52" i="79"/>
  <c r="AG50" i="79"/>
  <c r="AF50" i="79"/>
  <c r="E50" i="79"/>
  <c r="AB48" i="79"/>
  <c r="AF49" i="79"/>
  <c r="E49" i="79"/>
  <c r="M48" i="79"/>
  <c r="L48" i="79"/>
  <c r="D48" i="79"/>
  <c r="C48" i="79"/>
  <c r="AG46" i="79"/>
  <c r="AC46" i="79"/>
  <c r="AG45" i="79"/>
  <c r="AG44" i="79"/>
  <c r="AG43" i="79"/>
  <c r="AG42" i="79"/>
  <c r="AG41" i="79"/>
  <c r="E41" i="79"/>
  <c r="AB40" i="79"/>
  <c r="AB39" i="79" s="1"/>
  <c r="AA40" i="79"/>
  <c r="E40" i="79"/>
  <c r="M39" i="79"/>
  <c r="L39" i="79"/>
  <c r="D39" i="79"/>
  <c r="C39" i="79"/>
  <c r="AG34" i="79"/>
  <c r="AG33" i="79" s="1"/>
  <c r="AF34" i="79"/>
  <c r="E34" i="79"/>
  <c r="E33" i="79" s="1"/>
  <c r="AB33" i="79"/>
  <c r="M33" i="79"/>
  <c r="L33" i="79"/>
  <c r="D33" i="79"/>
  <c r="C33" i="79"/>
  <c r="AG31" i="79"/>
  <c r="AF31" i="79"/>
  <c r="AG30" i="79"/>
  <c r="AF30" i="79"/>
  <c r="AG29" i="79"/>
  <c r="AF29" i="79"/>
  <c r="AG28" i="79"/>
  <c r="AF28" i="79"/>
  <c r="AG27" i="79"/>
  <c r="AF27" i="79"/>
  <c r="AG26" i="79"/>
  <c r="AF26" i="79"/>
  <c r="AG25" i="79"/>
  <c r="AF25" i="79"/>
  <c r="AG24" i="79"/>
  <c r="AF24" i="79"/>
  <c r="AG23" i="79"/>
  <c r="AF23" i="79"/>
  <c r="AG22" i="79"/>
  <c r="AF22" i="79"/>
  <c r="AG21" i="79"/>
  <c r="AF21" i="79"/>
  <c r="AG20" i="79"/>
  <c r="AF20" i="79"/>
  <c r="AG19" i="79"/>
  <c r="AF19" i="79"/>
  <c r="AG18" i="79"/>
  <c r="AF18" i="79"/>
  <c r="AC17" i="79"/>
  <c r="AG17" i="79"/>
  <c r="AF17" i="79"/>
  <c r="AG16" i="79"/>
  <c r="AF16" i="79"/>
  <c r="AG15" i="79"/>
  <c r="AF15" i="79"/>
  <c r="AG14" i="79"/>
  <c r="AF14" i="79"/>
  <c r="AG13" i="79"/>
  <c r="AF13" i="79"/>
  <c r="AF12" i="79"/>
  <c r="AG11" i="79"/>
  <c r="AF11" i="79"/>
  <c r="AG10" i="79"/>
  <c r="AF10" i="79"/>
  <c r="AG9" i="79"/>
  <c r="AF9" i="79"/>
  <c r="M8" i="79"/>
  <c r="L8" i="79"/>
  <c r="D8" i="79"/>
  <c r="C8" i="79"/>
  <c r="AG7" i="79"/>
  <c r="AF7" i="79"/>
  <c r="AC7" i="79"/>
  <c r="E7" i="79"/>
  <c r="AG6" i="79"/>
  <c r="AG5" i="79" s="1"/>
  <c r="AB5" i="79"/>
  <c r="AF5" i="79"/>
  <c r="E6" i="79"/>
  <c r="E5" i="79" s="1"/>
  <c r="M5" i="79"/>
  <c r="L5" i="79"/>
  <c r="D5" i="79"/>
  <c r="C5" i="79"/>
  <c r="N52" i="79" l="1"/>
  <c r="AG71" i="79"/>
  <c r="AB52" i="79"/>
  <c r="E48" i="79"/>
  <c r="AC54" i="79"/>
  <c r="E75" i="79"/>
  <c r="AH7" i="79"/>
  <c r="AC83" i="79"/>
  <c r="N77" i="79"/>
  <c r="N75" i="79" s="1"/>
  <c r="AA52" i="79"/>
  <c r="AA39" i="79"/>
  <c r="AH70" i="79"/>
  <c r="AH11" i="79"/>
  <c r="AH19" i="79"/>
  <c r="AH72" i="79"/>
  <c r="D36" i="79"/>
  <c r="D37" i="79" s="1"/>
  <c r="AH20" i="79"/>
  <c r="AH31" i="79"/>
  <c r="AH15" i="79"/>
  <c r="AH23" i="79"/>
  <c r="AG52" i="79"/>
  <c r="AC40" i="79"/>
  <c r="AH16" i="79"/>
  <c r="AC12" i="79"/>
  <c r="AC13" i="79"/>
  <c r="AC9" i="79"/>
  <c r="AC25" i="79"/>
  <c r="L36" i="79"/>
  <c r="L73" i="79" s="1"/>
  <c r="AC21" i="79"/>
  <c r="M36" i="79"/>
  <c r="M73" i="79" s="1"/>
  <c r="AH27" i="79"/>
  <c r="AC29" i="79"/>
  <c r="AH10" i="79"/>
  <c r="AC14" i="79"/>
  <c r="AC18" i="79"/>
  <c r="AC22" i="79"/>
  <c r="AC11" i="79"/>
  <c r="AH13" i="79"/>
  <c r="AC15" i="79"/>
  <c r="AH17" i="79"/>
  <c r="AC19" i="79"/>
  <c r="AH21" i="79"/>
  <c r="AC23" i="79"/>
  <c r="AH25" i="79"/>
  <c r="AC27" i="79"/>
  <c r="AH29" i="79"/>
  <c r="AC31" i="79"/>
  <c r="AC41" i="79"/>
  <c r="AC42" i="79"/>
  <c r="AC43" i="79"/>
  <c r="AC44" i="79"/>
  <c r="AC45" i="79"/>
  <c r="AC49" i="79"/>
  <c r="AC53" i="79"/>
  <c r="AC55" i="79"/>
  <c r="AC56" i="79"/>
  <c r="AC57" i="79"/>
  <c r="AC58" i="79"/>
  <c r="AC59" i="79"/>
  <c r="AC64" i="79"/>
  <c r="AC10" i="79"/>
  <c r="AC26" i="79"/>
  <c r="AC30" i="79"/>
  <c r="AA48" i="79"/>
  <c r="AB36" i="79"/>
  <c r="AB73" i="79" s="1"/>
  <c r="AH14" i="79"/>
  <c r="AC16" i="79"/>
  <c r="AH18" i="79"/>
  <c r="AC20" i="79"/>
  <c r="AH22" i="79"/>
  <c r="AC24" i="79"/>
  <c r="AC28" i="79"/>
  <c r="AC50" i="79"/>
  <c r="AF54" i="79"/>
  <c r="AH54" i="79" s="1"/>
  <c r="C36" i="79"/>
  <c r="C73" i="79" s="1"/>
  <c r="E39" i="79"/>
  <c r="AF8" i="79"/>
  <c r="AF36" i="79" s="1"/>
  <c r="AF37" i="79" s="1"/>
  <c r="E8" i="79"/>
  <c r="E36" i="79" s="1"/>
  <c r="E37" i="79" s="1"/>
  <c r="E52" i="79"/>
  <c r="AG12" i="79"/>
  <c r="AG8" i="79" s="1"/>
  <c r="AG36" i="79" s="1"/>
  <c r="AF33" i="79"/>
  <c r="AH34" i="79"/>
  <c r="AH53" i="79"/>
  <c r="D73" i="79"/>
  <c r="AH6" i="79"/>
  <c r="AH5" i="79" s="1"/>
  <c r="AH9" i="79"/>
  <c r="AH24" i="79"/>
  <c r="AH28" i="79"/>
  <c r="AH50" i="79"/>
  <c r="AF48" i="79"/>
  <c r="AA5" i="79"/>
  <c r="AC6" i="79"/>
  <c r="AC5" i="79" s="1"/>
  <c r="AH26" i="79"/>
  <c r="AH30" i="79"/>
  <c r="AA33" i="79"/>
  <c r="AC34" i="79"/>
  <c r="AF40" i="79"/>
  <c r="AF41" i="79"/>
  <c r="AH41" i="79" s="1"/>
  <c r="AF42" i="79"/>
  <c r="AH42" i="79" s="1"/>
  <c r="AF43" i="79"/>
  <c r="AH43" i="79" s="1"/>
  <c r="AF44" i="79"/>
  <c r="AH44" i="79" s="1"/>
  <c r="AF45" i="79"/>
  <c r="AH45" i="79" s="1"/>
  <c r="AF46" i="79"/>
  <c r="AH46" i="79" s="1"/>
  <c r="AG49" i="79"/>
  <c r="AH49" i="79" s="1"/>
  <c r="AG40" i="79"/>
  <c r="AG39" i="79" s="1"/>
  <c r="AF75" i="79"/>
  <c r="AH77" i="79"/>
  <c r="AF55" i="79"/>
  <c r="AH55" i="79" s="1"/>
  <c r="AF56" i="79"/>
  <c r="AH56" i="79" s="1"/>
  <c r="AF57" i="79"/>
  <c r="AH57" i="79" s="1"/>
  <c r="AF58" i="79"/>
  <c r="AH58" i="79" s="1"/>
  <c r="AF59" i="79"/>
  <c r="AH59" i="79" s="1"/>
  <c r="AF60" i="79"/>
  <c r="AH60" i="79" s="1"/>
  <c r="AF61" i="79"/>
  <c r="AH61" i="79" s="1"/>
  <c r="AF62" i="79"/>
  <c r="AH62" i="79" s="1"/>
  <c r="AF63" i="79"/>
  <c r="AH63" i="79" s="1"/>
  <c r="AF64" i="79"/>
  <c r="AH64" i="79" s="1"/>
  <c r="AF65" i="79"/>
  <c r="AH65" i="79" s="1"/>
  <c r="AF66" i="79"/>
  <c r="AH66" i="79" s="1"/>
  <c r="AF67" i="79"/>
  <c r="AH67" i="79" s="1"/>
  <c r="AF68" i="79"/>
  <c r="AH68" i="79" s="1"/>
  <c r="AF69" i="79"/>
  <c r="AH69" i="79" s="1"/>
  <c r="AC70" i="79"/>
  <c r="AF83" i="79"/>
  <c r="AH83" i="79" s="1"/>
  <c r="AC72" i="79"/>
  <c r="AC71" i="79" s="1"/>
  <c r="AC77" i="79"/>
  <c r="AC75" i="79" s="1"/>
  <c r="AA71" i="79"/>
  <c r="AF71" i="79" s="1"/>
  <c r="AH71" i="79" s="1"/>
  <c r="L37" i="79" l="1"/>
  <c r="C37" i="79"/>
  <c r="AC48" i="79"/>
  <c r="AB37" i="79"/>
  <c r="AC39" i="79"/>
  <c r="M37" i="79"/>
  <c r="AC52" i="79"/>
  <c r="AC8" i="79"/>
  <c r="AC36" i="79" s="1"/>
  <c r="AA36" i="79"/>
  <c r="AA73" i="79" s="1"/>
  <c r="AH12" i="79"/>
  <c r="AH8" i="79" s="1"/>
  <c r="E73" i="79"/>
  <c r="E79" i="79" s="1"/>
  <c r="E81" i="79" s="1"/>
  <c r="E82" i="79" s="1"/>
  <c r="E84" i="79" s="1"/>
  <c r="E87" i="79"/>
  <c r="AF52" i="79"/>
  <c r="M79" i="79"/>
  <c r="M81" i="79" s="1"/>
  <c r="M82" i="79" s="1"/>
  <c r="M84" i="79" s="1"/>
  <c r="M85" i="79" s="1"/>
  <c r="M74" i="79"/>
  <c r="AG48" i="79"/>
  <c r="AG73" i="79" s="1"/>
  <c r="AH52" i="79"/>
  <c r="AH33" i="79"/>
  <c r="AH75" i="79"/>
  <c r="D79" i="79"/>
  <c r="D81" i="79" s="1"/>
  <c r="D82" i="79" s="1"/>
  <c r="D84" i="79" s="1"/>
  <c r="D85" i="79" s="1"/>
  <c r="D74" i="79"/>
  <c r="N87" i="79"/>
  <c r="C79" i="79"/>
  <c r="C81" i="79" s="1"/>
  <c r="C82" i="79" s="1"/>
  <c r="C74" i="79"/>
  <c r="AB79" i="79"/>
  <c r="AB81" i="79" s="1"/>
  <c r="AB82" i="79" s="1"/>
  <c r="AB84" i="79" s="1"/>
  <c r="AB85" i="79" s="1"/>
  <c r="AB74" i="79"/>
  <c r="AH40" i="79"/>
  <c r="AF39" i="79"/>
  <c r="AC33" i="79"/>
  <c r="L79" i="79"/>
  <c r="L81" i="79" s="1"/>
  <c r="L82" i="79" s="1"/>
  <c r="L84" i="79" s="1"/>
  <c r="L85" i="79" s="1"/>
  <c r="L74" i="79"/>
  <c r="AH48" i="79"/>
  <c r="AG37" i="79"/>
  <c r="C84" i="79" l="1"/>
  <c r="C85" i="79" s="1"/>
  <c r="E85" i="79"/>
  <c r="J17" i="79"/>
  <c r="J70" i="79"/>
  <c r="J19" i="79"/>
  <c r="J30" i="79"/>
  <c r="J45" i="79"/>
  <c r="J33" i="79"/>
  <c r="J24" i="79"/>
  <c r="J50" i="79"/>
  <c r="J16" i="79"/>
  <c r="J43" i="79"/>
  <c r="J77" i="79"/>
  <c r="J21" i="79"/>
  <c r="J40" i="79"/>
  <c r="J31" i="79"/>
  <c r="J48" i="79"/>
  <c r="J69" i="79"/>
  <c r="J22" i="79"/>
  <c r="J49" i="79"/>
  <c r="J23" i="79"/>
  <c r="J18" i="79"/>
  <c r="J46" i="79"/>
  <c r="J44" i="79"/>
  <c r="J67" i="79"/>
  <c r="J80" i="79"/>
  <c r="J83" i="79"/>
  <c r="J15" i="79"/>
  <c r="J34" i="79"/>
  <c r="J71" i="79"/>
  <c r="J42" i="79"/>
  <c r="J68" i="79"/>
  <c r="J20" i="79"/>
  <c r="J41" i="79"/>
  <c r="J39" i="79"/>
  <c r="J9" i="79"/>
  <c r="J27" i="79"/>
  <c r="J65" i="79"/>
  <c r="J66" i="79"/>
  <c r="J56" i="79"/>
  <c r="J13" i="79"/>
  <c r="J55" i="79"/>
  <c r="J29" i="79"/>
  <c r="J60" i="79"/>
  <c r="J28" i="79"/>
  <c r="J54" i="79"/>
  <c r="J10" i="79"/>
  <c r="J64" i="79"/>
  <c r="J59" i="79"/>
  <c r="J53" i="79"/>
  <c r="J61" i="79"/>
  <c r="J57" i="79"/>
  <c r="J12" i="79"/>
  <c r="J58" i="79"/>
  <c r="J26" i="79"/>
  <c r="J25" i="79"/>
  <c r="J63" i="79"/>
  <c r="J14" i="79"/>
  <c r="J62" i="79"/>
  <c r="J11" i="79"/>
  <c r="J8" i="79"/>
  <c r="J52" i="79"/>
  <c r="N73" i="79"/>
  <c r="N79" i="79" s="1"/>
  <c r="N81" i="79" s="1"/>
  <c r="N82" i="79" s="1"/>
  <c r="N84" i="79" s="1"/>
  <c r="N85" i="79" s="1"/>
  <c r="Y70" i="79"/>
  <c r="Y68" i="79"/>
  <c r="Y67" i="79"/>
  <c r="Y71" i="79"/>
  <c r="Y80" i="79"/>
  <c r="Y83" i="79"/>
  <c r="Y69" i="79"/>
  <c r="AF73" i="79"/>
  <c r="AF74" i="79" s="1"/>
  <c r="O67" i="79"/>
  <c r="T68" i="79"/>
  <c r="T83" i="79"/>
  <c r="T77" i="79"/>
  <c r="T70" i="79"/>
  <c r="T80" i="79"/>
  <c r="T50" i="79"/>
  <c r="T69" i="79"/>
  <c r="T49" i="79"/>
  <c r="T71" i="79"/>
  <c r="T67" i="79"/>
  <c r="O64" i="79"/>
  <c r="O60" i="79"/>
  <c r="O55" i="79"/>
  <c r="O29" i="79"/>
  <c r="O25" i="79"/>
  <c r="O11" i="79"/>
  <c r="O56" i="79"/>
  <c r="O63" i="79"/>
  <c r="O59" i="79"/>
  <c r="O54" i="79"/>
  <c r="O28" i="79"/>
  <c r="O14" i="79"/>
  <c r="O10" i="79"/>
  <c r="O66" i="79"/>
  <c r="O62" i="79"/>
  <c r="O58" i="79"/>
  <c r="O53" i="79"/>
  <c r="O27" i="79"/>
  <c r="O13" i="79"/>
  <c r="O9" i="79"/>
  <c r="O65" i="79"/>
  <c r="O61" i="79"/>
  <c r="O57" i="79"/>
  <c r="O52" i="79"/>
  <c r="O12" i="79"/>
  <c r="O26" i="79"/>
  <c r="O8" i="79"/>
  <c r="AC87" i="79"/>
  <c r="F11" i="79"/>
  <c r="AC73" i="79"/>
  <c r="AC79" i="79" s="1"/>
  <c r="AC81" i="79" s="1"/>
  <c r="AC82" i="79" s="1"/>
  <c r="AC84" i="79" s="1"/>
  <c r="AC85" i="79" s="1"/>
  <c r="AC37" i="79"/>
  <c r="AA37" i="79"/>
  <c r="E74" i="79"/>
  <c r="F18" i="79"/>
  <c r="F70" i="79"/>
  <c r="F49" i="79"/>
  <c r="AI42" i="79"/>
  <c r="F25" i="79"/>
  <c r="F40" i="79"/>
  <c r="F59" i="79"/>
  <c r="F12" i="79"/>
  <c r="F26" i="79"/>
  <c r="F69" i="79"/>
  <c r="O23" i="79"/>
  <c r="F17" i="79"/>
  <c r="O39" i="79"/>
  <c r="F80" i="79"/>
  <c r="O43" i="79"/>
  <c r="F77" i="79"/>
  <c r="O40" i="79"/>
  <c r="F54" i="79"/>
  <c r="AI34" i="79"/>
  <c r="F34" i="79"/>
  <c r="O19" i="79"/>
  <c r="O21" i="79"/>
  <c r="AI83" i="79"/>
  <c r="F68" i="79"/>
  <c r="O83" i="79"/>
  <c r="F65" i="79"/>
  <c r="AI44" i="79"/>
  <c r="O16" i="79"/>
  <c r="F55" i="79"/>
  <c r="F52" i="79"/>
  <c r="O22" i="79"/>
  <c r="F39" i="79"/>
  <c r="F66" i="79"/>
  <c r="O31" i="79"/>
  <c r="F33" i="79"/>
  <c r="O24" i="79"/>
  <c r="O69" i="79"/>
  <c r="F71" i="79"/>
  <c r="F46" i="79"/>
  <c r="F42" i="79"/>
  <c r="O34" i="79"/>
  <c r="F28" i="79"/>
  <c r="F24" i="79"/>
  <c r="F20" i="79"/>
  <c r="F16" i="79"/>
  <c r="O46" i="79"/>
  <c r="F10" i="79"/>
  <c r="AI69" i="79"/>
  <c r="AI80" i="79"/>
  <c r="O17" i="79"/>
  <c r="AI41" i="79"/>
  <c r="F53" i="79"/>
  <c r="F57" i="79"/>
  <c r="F56" i="79"/>
  <c r="F83" i="79"/>
  <c r="O49" i="79"/>
  <c r="F48" i="79"/>
  <c r="O44" i="79"/>
  <c r="O77" i="79"/>
  <c r="AI46" i="79"/>
  <c r="F62" i="79"/>
  <c r="O20" i="79"/>
  <c r="O18" i="79"/>
  <c r="O50" i="79"/>
  <c r="AI50" i="79"/>
  <c r="O68" i="79"/>
  <c r="O70" i="79"/>
  <c r="F45" i="79"/>
  <c r="F41" i="79"/>
  <c r="F31" i="79"/>
  <c r="F27" i="79"/>
  <c r="F23" i="79"/>
  <c r="F19" i="79"/>
  <c r="F15" i="79"/>
  <c r="O45" i="79"/>
  <c r="F9" i="79"/>
  <c r="O48" i="79"/>
  <c r="AI49" i="79"/>
  <c r="AI71" i="79"/>
  <c r="O33" i="79"/>
  <c r="F13" i="79"/>
  <c r="F21" i="79"/>
  <c r="F29" i="79"/>
  <c r="F43" i="79"/>
  <c r="O71" i="79"/>
  <c r="F8" i="79"/>
  <c r="F67" i="79"/>
  <c r="O15" i="79"/>
  <c r="AI70" i="79"/>
  <c r="F14" i="79"/>
  <c r="F22" i="79"/>
  <c r="F30" i="79"/>
  <c r="F44" i="79"/>
  <c r="O80" i="79"/>
  <c r="O42" i="79"/>
  <c r="AI77" i="79"/>
  <c r="F58" i="79"/>
  <c r="O30" i="79"/>
  <c r="F63" i="79"/>
  <c r="O41" i="79"/>
  <c r="F64" i="79"/>
  <c r="AI67" i="79"/>
  <c r="AI45" i="79"/>
  <c r="AI68" i="79"/>
  <c r="F60" i="79"/>
  <c r="F61" i="79"/>
  <c r="AI43" i="79"/>
  <c r="F50" i="79"/>
  <c r="AG74" i="79"/>
  <c r="AG79" i="79"/>
  <c r="AG81" i="79" s="1"/>
  <c r="AG82" i="79" s="1"/>
  <c r="AG84" i="79" s="1"/>
  <c r="AG85" i="79" s="1"/>
  <c r="AA74" i="79"/>
  <c r="AA79" i="79"/>
  <c r="AA81" i="79" s="1"/>
  <c r="AA82" i="79" s="1"/>
  <c r="AA84" i="79" s="1"/>
  <c r="AA85" i="79" s="1"/>
  <c r="N74" i="79"/>
  <c r="AI40" i="79"/>
  <c r="AH39" i="79"/>
  <c r="AH87" i="79" s="1"/>
  <c r="AH36" i="79"/>
  <c r="AD8" i="79" l="1"/>
  <c r="AD61" i="79"/>
  <c r="AD18" i="79"/>
  <c r="AD23" i="79"/>
  <c r="AD55" i="79"/>
  <c r="AF79" i="79"/>
  <c r="AF81" i="79" s="1"/>
  <c r="AF82" i="79" s="1"/>
  <c r="AF84" i="79" s="1"/>
  <c r="AF85" i="79" s="1"/>
  <c r="AD70" i="79"/>
  <c r="AD66" i="79"/>
  <c r="AD46" i="79"/>
  <c r="AD44" i="79"/>
  <c r="AD20" i="79"/>
  <c r="AD49" i="79"/>
  <c r="AD11" i="79"/>
  <c r="AD13" i="79"/>
  <c r="AD45" i="79"/>
  <c r="AD9" i="79"/>
  <c r="AD62" i="79"/>
  <c r="AD40" i="79"/>
  <c r="AD65" i="79"/>
  <c r="AD54" i="79"/>
  <c r="AD30" i="79"/>
  <c r="AD42" i="79"/>
  <c r="AD60" i="79"/>
  <c r="AD16" i="79"/>
  <c r="AD47" i="79"/>
  <c r="AD67" i="79"/>
  <c r="AD15" i="79"/>
  <c r="AD57" i="79"/>
  <c r="AD26" i="79"/>
  <c r="AD56" i="79"/>
  <c r="AD10" i="79"/>
  <c r="AD34" i="79"/>
  <c r="AD58" i="79"/>
  <c r="AD68" i="79"/>
  <c r="AD27" i="79"/>
  <c r="AD41" i="79"/>
  <c r="AD17" i="79"/>
  <c r="AD52" i="79"/>
  <c r="AD59" i="79"/>
  <c r="AD43" i="79"/>
  <c r="AD25" i="79"/>
  <c r="AD69" i="79"/>
  <c r="AD53" i="79"/>
  <c r="AD21" i="79"/>
  <c r="AD29" i="79"/>
  <c r="AD50" i="79"/>
  <c r="AD19" i="79"/>
  <c r="AD63" i="79"/>
  <c r="AD22" i="79"/>
  <c r="AD64" i="79"/>
  <c r="AD24" i="79"/>
  <c r="AD31" i="79"/>
  <c r="AD12" i="79"/>
  <c r="AD28" i="79"/>
  <c r="AD14" i="79"/>
  <c r="AD39" i="79"/>
  <c r="AI63" i="79"/>
  <c r="AI59" i="79"/>
  <c r="AI55" i="79"/>
  <c r="AI31" i="79"/>
  <c r="AI27" i="79"/>
  <c r="AI23" i="79"/>
  <c r="AI19" i="79"/>
  <c r="AI15" i="79"/>
  <c r="AI11" i="79"/>
  <c r="AI62" i="79"/>
  <c r="AI54" i="79"/>
  <c r="AI30" i="79"/>
  <c r="AI26" i="79"/>
  <c r="AI22" i="79"/>
  <c r="AI14" i="79"/>
  <c r="AI10" i="79"/>
  <c r="AI60" i="79"/>
  <c r="AI24" i="79"/>
  <c r="AI12" i="79"/>
  <c r="AI66" i="79"/>
  <c r="AI58" i="79"/>
  <c r="AI18" i="79"/>
  <c r="AI64" i="79"/>
  <c r="AI52" i="79"/>
  <c r="AI16" i="79"/>
  <c r="AI65" i="79"/>
  <c r="AI61" i="79"/>
  <c r="AI57" i="79"/>
  <c r="AI53" i="79"/>
  <c r="AI29" i="79"/>
  <c r="AI25" i="79"/>
  <c r="AI21" i="79"/>
  <c r="AI17" i="79"/>
  <c r="AI13" i="79"/>
  <c r="AI9" i="79"/>
  <c r="AI56" i="79"/>
  <c r="AI28" i="79"/>
  <c r="AI20" i="79"/>
  <c r="AI8" i="79"/>
  <c r="AC74" i="79"/>
  <c r="AH73" i="79"/>
  <c r="AH37" i="79"/>
  <c r="AH79" i="79" l="1"/>
  <c r="AH81" i="79" s="1"/>
  <c r="AH82" i="79" s="1"/>
  <c r="AH84" i="79" s="1"/>
  <c r="AH85" i="79" s="1"/>
  <c r="AH74" i="79"/>
  <c r="V52" i="81" l="1"/>
  <c r="V73" i="81" s="1"/>
  <c r="AA61" i="81"/>
  <c r="AC61" i="81" s="1"/>
  <c r="AC52" i="81" s="1"/>
  <c r="AC73" i="81" s="1"/>
  <c r="AC74" i="81" s="1"/>
  <c r="AF61" i="81" l="1"/>
  <c r="AH61" i="81" s="1"/>
  <c r="AH52" i="81" s="1"/>
  <c r="AH73" i="81" s="1"/>
  <c r="AH74" i="81" s="1"/>
  <c r="V79" i="81"/>
  <c r="V81" i="81" s="1"/>
  <c r="V82" i="81" s="1"/>
  <c r="V84" i="81" s="1"/>
  <c r="V85" i="81" s="1"/>
  <c r="V74" i="81"/>
  <c r="AA52" i="81"/>
  <c r="AA73" i="81" s="1"/>
  <c r="AF52" i="81" l="1"/>
  <c r="AF73" i="81" s="1"/>
  <c r="AF74" i="81" s="1"/>
  <c r="X87" i="81"/>
  <c r="AA74" i="81"/>
  <c r="AA79" i="81"/>
  <c r="AA81" i="81" s="1"/>
  <c r="AA82" i="81" s="1"/>
  <c r="AA84" i="81" s="1"/>
  <c r="AA85" i="81" s="1"/>
  <c r="AF79" i="81" l="1"/>
  <c r="AF81" i="81" s="1"/>
  <c r="AF82" i="81" s="1"/>
  <c r="AF84" i="81" s="1"/>
  <c r="AF85" i="81" s="1"/>
  <c r="Y52" i="81"/>
  <c r="Y65" i="81"/>
  <c r="Y61" i="81"/>
  <c r="Y57" i="81"/>
  <c r="Y53" i="81"/>
  <c r="Y49" i="81"/>
  <c r="Y45" i="81"/>
  <c r="Y41" i="81"/>
  <c r="Y35" i="81"/>
  <c r="Y31" i="81"/>
  <c r="Y27" i="81"/>
  <c r="Y23" i="81"/>
  <c r="Y19" i="81"/>
  <c r="Y15" i="81"/>
  <c r="Y11" i="81"/>
  <c r="Y62" i="81"/>
  <c r="Y50" i="81"/>
  <c r="Y38" i="81"/>
  <c r="Y24" i="81"/>
  <c r="Y12" i="81"/>
  <c r="Y64" i="81"/>
  <c r="Y60" i="81"/>
  <c r="Y56" i="81"/>
  <c r="Y48" i="81"/>
  <c r="Y44" i="81"/>
  <c r="Y40" i="81"/>
  <c r="Y34" i="81"/>
  <c r="Y30" i="81"/>
  <c r="Y26" i="81"/>
  <c r="Y22" i="81"/>
  <c r="Y18" i="81"/>
  <c r="Y14" i="81"/>
  <c r="Y10" i="81"/>
  <c r="Y58" i="81"/>
  <c r="Y46" i="81"/>
  <c r="Y32" i="81"/>
  <c r="Y20" i="81"/>
  <c r="Y8" i="81"/>
  <c r="Y63" i="81"/>
  <c r="Y59" i="81"/>
  <c r="Y55" i="81"/>
  <c r="Y51" i="81"/>
  <c r="Y47" i="81"/>
  <c r="Y43" i="81"/>
  <c r="Y39" i="81"/>
  <c r="Y33" i="81"/>
  <c r="Y29" i="81"/>
  <c r="Y25" i="81"/>
  <c r="Y21" i="81"/>
  <c r="Y17" i="81"/>
  <c r="Y13" i="81"/>
  <c r="Y9" i="81"/>
  <c r="Y54" i="81"/>
  <c r="Y42" i="81"/>
  <c r="Y28" i="81"/>
  <c r="Y16" i="81"/>
  <c r="Y66" i="81"/>
  <c r="Y36" i="81"/>
  <c r="Y37" i="81"/>
  <c r="AC87" i="81"/>
  <c r="AH87" i="81"/>
  <c r="AI52" i="81" s="1"/>
  <c r="X79" i="81"/>
  <c r="AD52" i="81" l="1"/>
  <c r="Y79" i="81"/>
  <c r="X81" i="81"/>
  <c r="AI56" i="81"/>
  <c r="AI57" i="81"/>
  <c r="AI30" i="81"/>
  <c r="AI63" i="81"/>
  <c r="AI28" i="81"/>
  <c r="AI26" i="81"/>
  <c r="AI54" i="81"/>
  <c r="AI60" i="81"/>
  <c r="AI11" i="81"/>
  <c r="AI64" i="81"/>
  <c r="AI9" i="81"/>
  <c r="AI13" i="81"/>
  <c r="AI17" i="81"/>
  <c r="AI16" i="81"/>
  <c r="AI62" i="81"/>
  <c r="AI14" i="81"/>
  <c r="AI19" i="81"/>
  <c r="AI55" i="81"/>
  <c r="AI65" i="81"/>
  <c r="AI25" i="81"/>
  <c r="AI10" i="81"/>
  <c r="AI21" i="81"/>
  <c r="AI29" i="81"/>
  <c r="AI66" i="81"/>
  <c r="AI15" i="81"/>
  <c r="AI31" i="81"/>
  <c r="AI20" i="81"/>
  <c r="AI8" i="81"/>
  <c r="AI18" i="81"/>
  <c r="AI12" i="81"/>
  <c r="AI22" i="81"/>
  <c r="AI27" i="81"/>
  <c r="AI24" i="81"/>
  <c r="AI58" i="81"/>
  <c r="AI53" i="81"/>
  <c r="AI23" i="81"/>
  <c r="AI59" i="81"/>
  <c r="AI61" i="81"/>
  <c r="AH79" i="81"/>
  <c r="AH81" i="81" s="1"/>
  <c r="AH82" i="81" s="1"/>
  <c r="AH84" i="81" s="1"/>
  <c r="AH85" i="81" s="1"/>
  <c r="AC79" i="81"/>
  <c r="AC81" i="81" s="1"/>
  <c r="AC82" i="81" s="1"/>
  <c r="AC84" i="81" s="1"/>
  <c r="AD45" i="81"/>
  <c r="AD49" i="81"/>
  <c r="AD11" i="81"/>
  <c r="AD57" i="81"/>
  <c r="AD62" i="81"/>
  <c r="AD12" i="81"/>
  <c r="AD29" i="81"/>
  <c r="AD15" i="81"/>
  <c r="AD56" i="81"/>
  <c r="AD28" i="81"/>
  <c r="AD20" i="81"/>
  <c r="AD66" i="81"/>
  <c r="AD69" i="81"/>
  <c r="AD50" i="81"/>
  <c r="AD58" i="81"/>
  <c r="AD47" i="81"/>
  <c r="AD16" i="81"/>
  <c r="AD17" i="81"/>
  <c r="AD55" i="81"/>
  <c r="AD67" i="81"/>
  <c r="AD24" i="81"/>
  <c r="AD8" i="81"/>
  <c r="AD19" i="81"/>
  <c r="AD13" i="81"/>
  <c r="AD10" i="81"/>
  <c r="AD59" i="81"/>
  <c r="AD63" i="81"/>
  <c r="AD44" i="81"/>
  <c r="AD68" i="81"/>
  <c r="AD54" i="81"/>
  <c r="AD53" i="81"/>
  <c r="AD30" i="81"/>
  <c r="AD46" i="81"/>
  <c r="AD26" i="81"/>
  <c r="AD34" i="81"/>
  <c r="AD43" i="81"/>
  <c r="AD22" i="81"/>
  <c r="AD9" i="81"/>
  <c r="AD70" i="81"/>
  <c r="AD42" i="81"/>
  <c r="AD41" i="81"/>
  <c r="AD65" i="81"/>
  <c r="AD64" i="81"/>
  <c r="AD40" i="81"/>
  <c r="AD23" i="81"/>
  <c r="AD21" i="81"/>
  <c r="AD18" i="81"/>
  <c r="AD39" i="81"/>
  <c r="AD25" i="81"/>
  <c r="AD60" i="81"/>
  <c r="AD31" i="81"/>
  <c r="AD14" i="81"/>
  <c r="AD27" i="81"/>
  <c r="AD61" i="81"/>
  <c r="AC85" i="81" l="1"/>
  <c r="X82" i="81"/>
  <c r="Y81" i="81"/>
  <c r="X84" i="81" l="1"/>
  <c r="X85" i="81" s="1"/>
  <c r="Y82" i="81"/>
  <c r="L5" i="85" l="1"/>
  <c r="L38" i="85" s="1"/>
  <c r="N6" i="85"/>
  <c r="N5" i="85" s="1"/>
  <c r="N38" i="85" s="1"/>
  <c r="Q6" i="85"/>
  <c r="Q5" i="85" l="1"/>
  <c r="Q38" i="85" s="1"/>
  <c r="Q75" i="85" s="1"/>
  <c r="Z6" i="85"/>
  <c r="N39" i="85"/>
  <c r="N75" i="85"/>
  <c r="L39" i="85"/>
  <c r="L75" i="85"/>
  <c r="S6" i="85"/>
  <c r="S5" i="85" s="1"/>
  <c r="S38" i="85" s="1"/>
  <c r="Q39" i="85" l="1"/>
  <c r="L81" i="85"/>
  <c r="L83" i="85" s="1"/>
  <c r="L84" i="85" s="1"/>
  <c r="L86" i="85" s="1"/>
  <c r="L87" i="85" s="1"/>
  <c r="L76" i="85"/>
  <c r="N81" i="85"/>
  <c r="N83" i="85" s="1"/>
  <c r="N84" i="85" s="1"/>
  <c r="N86" i="85" s="1"/>
  <c r="N87" i="85" s="1"/>
  <c r="N76" i="85"/>
  <c r="S75" i="85"/>
  <c r="S39" i="85"/>
  <c r="Q81" i="85"/>
  <c r="Q83" i="85" s="1"/>
  <c r="Q84" i="85" s="1"/>
  <c r="Q86" i="85" s="1"/>
  <c r="Q87" i="85" s="1"/>
  <c r="Q76" i="85"/>
  <c r="S76" i="85" l="1"/>
  <c r="S81" i="85"/>
  <c r="S83" i="85" s="1"/>
  <c r="S84" i="85" s="1"/>
  <c r="S86" i="85" s="1"/>
  <c r="S87" i="85" s="1"/>
  <c r="C44" i="101" l="1"/>
  <c r="C36" i="101" l="1"/>
  <c r="C41" i="101" s="1"/>
  <c r="C68" i="101"/>
  <c r="C76" i="101" s="1"/>
  <c r="C79" i="101" s="1"/>
  <c r="F36" i="101"/>
</calcChain>
</file>

<file path=xl/comments1.xml><?xml version="1.0" encoding="utf-8"?>
<comments xmlns="http://schemas.openxmlformats.org/spreadsheetml/2006/main">
  <authors>
    <author>Автор</author>
  </authors>
  <commentList>
    <comment ref="C23" authorId="0">
      <text>
        <r>
          <rPr>
            <b/>
            <sz val="9"/>
            <color indexed="81"/>
            <rFont val="Tahoma"/>
            <family val="2"/>
            <charset val="204"/>
          </rPr>
          <t>Автор:</t>
        </r>
        <r>
          <rPr>
            <sz val="9"/>
            <color indexed="81"/>
            <rFont val="Tahoma"/>
            <family val="2"/>
            <charset val="204"/>
          </rPr>
          <t xml:space="preserve">
в т.ч. модернизация</t>
        </r>
      </text>
    </comment>
  </commentList>
</comments>
</file>

<file path=xl/comments2.xml><?xml version="1.0" encoding="utf-8"?>
<comments xmlns="http://schemas.openxmlformats.org/spreadsheetml/2006/main">
  <authors>
    <author>Автор</author>
  </authors>
  <commentList>
    <comment ref="C3" authorId="0">
      <text>
        <r>
          <rPr>
            <b/>
            <sz val="9"/>
            <color indexed="81"/>
            <rFont val="Tahoma"/>
            <family val="2"/>
            <charset val="204"/>
          </rPr>
          <t>Автор:</t>
        </r>
        <r>
          <rPr>
            <sz val="9"/>
            <color indexed="81"/>
            <rFont val="Tahoma"/>
            <family val="2"/>
            <charset val="204"/>
          </rPr>
          <t xml:space="preserve">
с учетом комисии
</t>
        </r>
      </text>
    </comment>
    <comment ref="G3" authorId="0">
      <text>
        <r>
          <rPr>
            <b/>
            <sz val="9"/>
            <color indexed="81"/>
            <rFont val="Tahoma"/>
            <family val="2"/>
            <charset val="204"/>
          </rPr>
          <t>Автор:</t>
        </r>
        <r>
          <rPr>
            <sz val="9"/>
            <color indexed="81"/>
            <rFont val="Tahoma"/>
            <family val="2"/>
            <charset val="204"/>
          </rPr>
          <t xml:space="preserve">
с учетом комисии
</t>
        </r>
      </text>
    </comment>
    <comment ref="K3" authorId="0">
      <text>
        <r>
          <rPr>
            <b/>
            <sz val="9"/>
            <color indexed="81"/>
            <rFont val="Tahoma"/>
            <family val="2"/>
            <charset val="204"/>
          </rPr>
          <t>Автор:</t>
        </r>
        <r>
          <rPr>
            <sz val="9"/>
            <color indexed="81"/>
            <rFont val="Tahoma"/>
            <family val="2"/>
            <charset val="204"/>
          </rPr>
          <t xml:space="preserve">
с учетом комисии
</t>
        </r>
      </text>
    </comment>
    <comment ref="E47" authorId="0">
      <text>
        <r>
          <rPr>
            <b/>
            <sz val="9"/>
            <color indexed="81"/>
            <rFont val="Tahoma"/>
            <family val="2"/>
            <charset val="204"/>
          </rPr>
          <t>Автор:</t>
        </r>
        <r>
          <rPr>
            <sz val="9"/>
            <color indexed="81"/>
            <rFont val="Tahoma"/>
            <family val="2"/>
            <charset val="204"/>
          </rPr>
          <t xml:space="preserve">
10624-шкаф в офис
</t>
        </r>
      </text>
    </comment>
    <comment ref="D49" authorId="0">
      <text>
        <r>
          <rPr>
            <b/>
            <sz val="9"/>
            <color indexed="81"/>
            <rFont val="Tahoma"/>
            <family val="2"/>
            <charset val="204"/>
          </rPr>
          <t>Автор:</t>
        </r>
        <r>
          <rPr>
            <sz val="9"/>
            <color indexed="81"/>
            <rFont val="Tahoma"/>
            <family val="2"/>
            <charset val="204"/>
          </rPr>
          <t xml:space="preserve">
1831727-операционный затраты
20160-щит силовой
8400-чирозы
25849,15-Инструменты - дрели, шлифмашины, аккумуляторы
24000-Верстат для гнутя арматуры
13558-принтер
2058-Роутер доставка59 грн
7975,54-мебель
7280-мебель
3543-мебель
5764,99-мебель в прорабку</t>
        </r>
      </text>
    </comment>
    <comment ref="E49" authorId="0">
      <text>
        <r>
          <rPr>
            <b/>
            <sz val="9"/>
            <color indexed="81"/>
            <rFont val="Tahoma"/>
            <family val="2"/>
            <charset val="204"/>
          </rPr>
          <t>Автор:</t>
        </r>
        <r>
          <rPr>
            <sz val="9"/>
            <color indexed="81"/>
            <rFont val="Tahoma"/>
            <family val="2"/>
            <charset val="204"/>
          </rPr>
          <t xml:space="preserve">
2470-НП за февраль
3801067-операционные затраты февраль-март
43 500-кап инвест
114776,36-затраты на 2 вагончика
116 044-покупка ОС
58479-операционные затраты апрель-июнь
1696,38-ГСМ (топливо) Панченко О.</t>
        </r>
      </text>
    </comment>
    <comment ref="K49" authorId="0">
      <text>
        <r>
          <rPr>
            <b/>
            <sz val="9"/>
            <color indexed="81"/>
            <rFont val="Tahoma"/>
            <family val="2"/>
            <charset val="204"/>
          </rPr>
          <t>Автор:</t>
        </r>
        <r>
          <rPr>
            <sz val="9"/>
            <color indexed="81"/>
            <rFont val="Tahoma"/>
            <family val="2"/>
            <charset val="204"/>
          </rPr>
          <t xml:space="preserve">
судебный сбор и юридические затраты</t>
        </r>
      </text>
    </comment>
    <comment ref="L49" authorId="0">
      <text>
        <r>
          <rPr>
            <b/>
            <sz val="9"/>
            <color indexed="81"/>
            <rFont val="Tahoma"/>
            <family val="2"/>
            <charset val="204"/>
          </rPr>
          <t>Автор:</t>
        </r>
        <r>
          <rPr>
            <sz val="9"/>
            <color indexed="81"/>
            <rFont val="Tahoma"/>
            <family val="2"/>
            <charset val="204"/>
          </rPr>
          <t xml:space="preserve">
виброплита
</t>
        </r>
      </text>
    </comment>
    <comment ref="O49" authorId="0">
      <text>
        <r>
          <rPr>
            <b/>
            <sz val="9"/>
            <color indexed="81"/>
            <rFont val="Tahoma"/>
            <family val="2"/>
            <charset val="204"/>
          </rPr>
          <t>Автор:</t>
        </r>
        <r>
          <rPr>
            <sz val="9"/>
            <color indexed="81"/>
            <rFont val="Tahoma"/>
            <family val="2"/>
            <charset val="204"/>
          </rPr>
          <t xml:space="preserve">
ІЕС Енерджи</t>
        </r>
      </text>
    </comment>
    <comment ref="Q49" authorId="0">
      <text>
        <r>
          <rPr>
            <b/>
            <sz val="9"/>
            <color indexed="81"/>
            <rFont val="Tahoma"/>
            <family val="2"/>
            <charset val="204"/>
          </rPr>
          <t>Автор:</t>
        </r>
        <r>
          <rPr>
            <sz val="9"/>
            <color indexed="81"/>
            <rFont val="Tahoma"/>
            <family val="2"/>
            <charset val="204"/>
          </rPr>
          <t xml:space="preserve">
ІЕС Енерджи
Лицензия МЕДок
</t>
        </r>
      </text>
    </comment>
    <comment ref="S49" authorId="0">
      <text>
        <r>
          <rPr>
            <b/>
            <sz val="9"/>
            <color indexed="81"/>
            <rFont val="Tahoma"/>
            <family val="2"/>
            <charset val="204"/>
          </rPr>
          <t>Автор:</t>
        </r>
        <r>
          <rPr>
            <sz val="9"/>
            <color indexed="81"/>
            <rFont val="Tahoma"/>
            <family val="2"/>
            <charset val="204"/>
          </rPr>
          <t xml:space="preserve">
держреєстратор
</t>
        </r>
      </text>
    </comment>
    <comment ref="T49" authorId="0">
      <text>
        <r>
          <rPr>
            <b/>
            <sz val="9"/>
            <color indexed="81"/>
            <rFont val="Tahoma"/>
            <family val="2"/>
            <charset val="204"/>
          </rPr>
          <t>Автор:</t>
        </r>
        <r>
          <rPr>
            <sz val="9"/>
            <color indexed="81"/>
            <rFont val="Tahoma"/>
            <family val="2"/>
            <charset val="204"/>
          </rPr>
          <t xml:space="preserve">
150 000 Укренергобудсервіс
2 684 Суд сбор
1 603 Е/Е
</t>
        </r>
      </text>
    </comment>
    <comment ref="U49" authorId="0">
      <text>
        <r>
          <rPr>
            <b/>
            <sz val="9"/>
            <color indexed="81"/>
            <rFont val="Tahoma"/>
            <family val="2"/>
            <charset val="204"/>
          </rPr>
          <t>Автор:</t>
        </r>
        <r>
          <rPr>
            <sz val="9"/>
            <color indexed="81"/>
            <rFont val="Tahoma"/>
            <family val="2"/>
            <charset val="204"/>
          </rPr>
          <t xml:space="preserve">
372 800 Генплан
119 594 Уведомление
114 000 Стройпаспорта</t>
        </r>
      </text>
    </comment>
    <comment ref="V49" authorId="0">
      <text>
        <r>
          <rPr>
            <b/>
            <sz val="9"/>
            <color indexed="81"/>
            <rFont val="Tahoma"/>
            <family val="2"/>
            <charset val="204"/>
          </rPr>
          <t>Автор:</t>
        </r>
        <r>
          <rPr>
            <sz val="9"/>
            <color indexed="81"/>
            <rFont val="Tahoma"/>
            <family val="2"/>
            <charset val="204"/>
          </rPr>
          <t xml:space="preserve">
ГСМ, електроенергия
</t>
        </r>
      </text>
    </comment>
    <comment ref="D51" authorId="0">
      <text>
        <r>
          <rPr>
            <b/>
            <sz val="9"/>
            <color indexed="81"/>
            <rFont val="Tahoma"/>
            <family val="2"/>
            <charset val="204"/>
          </rPr>
          <t>Автор:</t>
        </r>
        <r>
          <rPr>
            <sz val="9"/>
            <color indexed="81"/>
            <rFont val="Tahoma"/>
            <family val="2"/>
            <charset val="204"/>
          </rPr>
          <t xml:space="preserve">
тело за Тягач
</t>
        </r>
      </text>
    </comment>
    <comment ref="E51" authorId="0">
      <text>
        <r>
          <rPr>
            <b/>
            <sz val="9"/>
            <color indexed="81"/>
            <rFont val="Tahoma"/>
            <family val="2"/>
            <charset val="204"/>
          </rPr>
          <t>Автор:</t>
        </r>
        <r>
          <rPr>
            <sz val="9"/>
            <color indexed="81"/>
            <rFont val="Tahoma"/>
            <family val="2"/>
            <charset val="204"/>
          </rPr>
          <t xml:space="preserve">
Тело за тягач</t>
        </r>
      </text>
    </comment>
    <comment ref="I51" authorId="0">
      <text>
        <r>
          <rPr>
            <b/>
            <sz val="9"/>
            <color indexed="81"/>
            <rFont val="Tahoma"/>
            <family val="2"/>
            <charset val="204"/>
          </rPr>
          <t>Автор:</t>
        </r>
        <r>
          <rPr>
            <sz val="9"/>
            <color indexed="81"/>
            <rFont val="Tahoma"/>
            <family val="2"/>
            <charset val="204"/>
          </rPr>
          <t xml:space="preserve">
Тело тягача </t>
        </r>
      </text>
    </comment>
    <comment ref="J51" authorId="0">
      <text>
        <r>
          <rPr>
            <b/>
            <sz val="9"/>
            <color indexed="81"/>
            <rFont val="Tahoma"/>
            <family val="2"/>
            <charset val="204"/>
          </rPr>
          <t>Автор:</t>
        </r>
        <r>
          <rPr>
            <sz val="9"/>
            <color indexed="81"/>
            <rFont val="Tahoma"/>
            <family val="2"/>
            <charset val="204"/>
          </rPr>
          <t xml:space="preserve">
лизинг</t>
        </r>
      </text>
    </comment>
    <comment ref="AC51" authorId="0">
      <text>
        <r>
          <rPr>
            <b/>
            <sz val="9"/>
            <color indexed="81"/>
            <rFont val="Tahoma"/>
            <family val="2"/>
            <charset val="204"/>
          </rPr>
          <t>Автор:</t>
        </r>
        <r>
          <rPr>
            <sz val="9"/>
            <color indexed="81"/>
            <rFont val="Tahoma"/>
            <family val="2"/>
            <charset val="204"/>
          </rPr>
          <t xml:space="preserve">
Возврат пратнеру за МАН 5
</t>
        </r>
      </text>
    </comment>
    <comment ref="E52" authorId="0">
      <text>
        <r>
          <rPr>
            <b/>
            <sz val="9"/>
            <color indexed="81"/>
            <rFont val="Tahoma"/>
            <family val="2"/>
            <charset val="204"/>
          </rPr>
          <t>Автор:</t>
        </r>
        <r>
          <rPr>
            <sz val="9"/>
            <color indexed="81"/>
            <rFont val="Tahoma"/>
            <family val="2"/>
            <charset val="204"/>
          </rPr>
          <t xml:space="preserve">
покупа листогубочного станка</t>
        </r>
      </text>
    </comment>
    <comment ref="I52" authorId="0">
      <text>
        <r>
          <rPr>
            <b/>
            <sz val="9"/>
            <color indexed="81"/>
            <rFont val="Tahoma"/>
            <family val="2"/>
            <charset val="204"/>
          </rPr>
          <t>Автор:</t>
        </r>
        <r>
          <rPr>
            <sz val="9"/>
            <color indexed="81"/>
            <rFont val="Tahoma"/>
            <family val="2"/>
            <charset val="204"/>
          </rPr>
          <t xml:space="preserve">
Тягач 2016  MAN_ масловоз  2010
Тягач 2016  MAN_ ADR 
Цистерна BURG 2004 
Тягач 2016  MAN_ масловоз  2010_ДОПЛАТА
4817650-ф1</t>
        </r>
      </text>
    </comment>
    <comment ref="J52" authorId="0">
      <text>
        <r>
          <rPr>
            <b/>
            <sz val="9"/>
            <color indexed="81"/>
            <rFont val="Tahoma"/>
            <family val="2"/>
            <charset val="204"/>
          </rPr>
          <t>Автор:</t>
        </r>
        <r>
          <rPr>
            <sz val="9"/>
            <color indexed="81"/>
            <rFont val="Tahoma"/>
            <family val="2"/>
            <charset val="204"/>
          </rPr>
          <t xml:space="preserve">
оплата за масловозы</t>
        </r>
      </text>
    </comment>
    <comment ref="D53" authorId="0">
      <text>
        <r>
          <rPr>
            <b/>
            <sz val="9"/>
            <color indexed="81"/>
            <rFont val="Tahoma"/>
            <family val="2"/>
            <charset val="204"/>
          </rPr>
          <t>Автор:</t>
        </r>
        <r>
          <rPr>
            <sz val="9"/>
            <color indexed="81"/>
            <rFont val="Tahoma"/>
            <family val="2"/>
            <charset val="204"/>
          </rPr>
          <t xml:space="preserve">
2609-краскопульт</t>
        </r>
      </text>
    </comment>
    <comment ref="E53" authorId="0">
      <text>
        <r>
          <rPr>
            <b/>
            <sz val="9"/>
            <color indexed="81"/>
            <rFont val="Tahoma"/>
            <family val="2"/>
            <charset val="204"/>
          </rPr>
          <t>Автор:</t>
        </r>
        <r>
          <rPr>
            <sz val="9"/>
            <color indexed="81"/>
            <rFont val="Tahoma"/>
            <family val="2"/>
            <charset val="204"/>
          </rPr>
          <t xml:space="preserve">
23 310-вышка тура
147 660-фарбувальний агрегат</t>
        </r>
      </text>
    </comment>
    <comment ref="J53" authorId="0">
      <text>
        <r>
          <rPr>
            <b/>
            <sz val="9"/>
            <color indexed="81"/>
            <rFont val="Tahoma"/>
            <family val="2"/>
            <charset val="204"/>
          </rPr>
          <t>Автор:</t>
        </r>
        <r>
          <rPr>
            <sz val="9"/>
            <color indexed="81"/>
            <rFont val="Tahoma"/>
            <family val="2"/>
            <charset val="204"/>
          </rPr>
          <t xml:space="preserve">
Мини АЗС</t>
        </r>
      </text>
    </comment>
    <comment ref="D54" authorId="0">
      <text>
        <r>
          <rPr>
            <b/>
            <sz val="9"/>
            <color indexed="81"/>
            <rFont val="Tahoma"/>
            <family val="2"/>
            <charset val="204"/>
          </rPr>
          <t>Автор:</t>
        </r>
        <r>
          <rPr>
            <sz val="9"/>
            <color indexed="81"/>
            <rFont val="Tahoma"/>
            <family val="2"/>
            <charset val="204"/>
          </rPr>
          <t xml:space="preserve">
83399,96-БФП Canon Дог. пост№10012021-3 від 10.01.22</t>
        </r>
      </text>
    </comment>
    <comment ref="E54" authorId="0">
      <text>
        <r>
          <rPr>
            <b/>
            <sz val="9"/>
            <color indexed="81"/>
            <rFont val="Tahoma"/>
            <family val="2"/>
            <charset val="204"/>
          </rPr>
          <t>Автор:</t>
        </r>
        <r>
          <rPr>
            <sz val="9"/>
            <color indexed="81"/>
            <rFont val="Tahoma"/>
            <family val="2"/>
            <charset val="204"/>
          </rPr>
          <t xml:space="preserve">
6976-маршрутизатор в офис</t>
        </r>
      </text>
    </comment>
    <comment ref="K56" authorId="0">
      <text>
        <r>
          <rPr>
            <b/>
            <sz val="9"/>
            <color indexed="81"/>
            <rFont val="Tahoma"/>
            <family val="2"/>
            <charset val="204"/>
          </rPr>
          <t>Автор:</t>
        </r>
        <r>
          <rPr>
            <sz val="9"/>
            <color indexed="81"/>
            <rFont val="Tahoma"/>
            <family val="2"/>
            <charset val="204"/>
          </rPr>
          <t xml:space="preserve">
лизинг
</t>
        </r>
      </text>
    </comment>
    <comment ref="L56" authorId="0">
      <text>
        <r>
          <rPr>
            <b/>
            <sz val="9"/>
            <color indexed="81"/>
            <rFont val="Tahoma"/>
            <family val="2"/>
            <charset val="204"/>
          </rPr>
          <t>Автор:</t>
        </r>
        <r>
          <rPr>
            <sz val="9"/>
            <color indexed="81"/>
            <rFont val="Tahoma"/>
            <family val="2"/>
            <charset val="204"/>
          </rPr>
          <t xml:space="preserve">
лизинг
</t>
        </r>
      </text>
    </comment>
    <comment ref="N56" authorId="0">
      <text>
        <r>
          <rPr>
            <b/>
            <sz val="9"/>
            <color indexed="81"/>
            <rFont val="Tahoma"/>
            <family val="2"/>
            <charset val="204"/>
          </rPr>
          <t>Автор:</t>
        </r>
        <r>
          <rPr>
            <sz val="9"/>
            <color indexed="81"/>
            <rFont val="Tahoma"/>
            <family val="2"/>
            <charset val="204"/>
          </rPr>
          <t xml:space="preserve">
лизинг
</t>
        </r>
      </text>
    </comment>
    <comment ref="N57" authorId="0">
      <text>
        <r>
          <rPr>
            <b/>
            <sz val="9"/>
            <color indexed="81"/>
            <rFont val="Tahoma"/>
            <family val="2"/>
            <charset val="204"/>
          </rPr>
          <t>Автор:</t>
        </r>
        <r>
          <rPr>
            <sz val="9"/>
            <color indexed="81"/>
            <rFont val="Tahoma"/>
            <family val="2"/>
            <charset val="204"/>
          </rPr>
          <t xml:space="preserve">
Ф1 по МАН 5
за счет Логистики 50% стоимости бралась фин помощь с Индастриала потом вернули
</t>
        </r>
      </text>
    </comment>
    <comment ref="O57" authorId="0">
      <text>
        <r>
          <rPr>
            <b/>
            <sz val="9"/>
            <color indexed="81"/>
            <rFont val="Tahoma"/>
            <family val="2"/>
            <charset val="204"/>
          </rPr>
          <t>Автор:</t>
        </r>
        <r>
          <rPr>
            <sz val="9"/>
            <color indexed="81"/>
            <rFont val="Tahoma"/>
            <family val="2"/>
            <charset val="204"/>
          </rPr>
          <t xml:space="preserve">
прицеп на Форд
</t>
        </r>
      </text>
    </comment>
    <comment ref="Z59" authorId="0">
      <text>
        <r>
          <rPr>
            <b/>
            <sz val="9"/>
            <color indexed="81"/>
            <rFont val="Tahoma"/>
            <family val="2"/>
            <charset val="204"/>
          </rPr>
          <t>Автор:</t>
        </r>
        <r>
          <rPr>
            <sz val="9"/>
            <color indexed="81"/>
            <rFont val="Tahoma"/>
            <family val="2"/>
            <charset val="204"/>
          </rPr>
          <t xml:space="preserve">
проект</t>
        </r>
      </text>
    </comment>
    <comment ref="AB59" authorId="0">
      <text>
        <r>
          <rPr>
            <b/>
            <sz val="9"/>
            <color indexed="81"/>
            <rFont val="Tahoma"/>
            <family val="2"/>
            <charset val="204"/>
          </rPr>
          <t>Автор:</t>
        </r>
        <r>
          <rPr>
            <sz val="9"/>
            <color indexed="81"/>
            <rFont val="Tahoma"/>
            <family val="2"/>
            <charset val="204"/>
          </rPr>
          <t xml:space="preserve">
прект
</t>
        </r>
      </text>
    </comment>
    <comment ref="AC59" authorId="0">
      <text>
        <r>
          <rPr>
            <b/>
            <sz val="9"/>
            <color indexed="81"/>
            <rFont val="Tahoma"/>
            <family val="2"/>
            <charset val="204"/>
          </rPr>
          <t>Автор:</t>
        </r>
        <r>
          <rPr>
            <sz val="9"/>
            <color indexed="81"/>
            <rFont val="Tahoma"/>
            <family val="2"/>
            <charset val="204"/>
          </rPr>
          <t xml:space="preserve">
ключи на кайлос
</t>
        </r>
      </text>
    </comment>
    <comment ref="S61" authorId="0">
      <text>
        <r>
          <rPr>
            <b/>
            <sz val="9"/>
            <color indexed="81"/>
            <rFont val="Tahoma"/>
            <family val="2"/>
            <charset val="204"/>
          </rPr>
          <t>Автор:</t>
        </r>
        <r>
          <rPr>
            <sz val="9"/>
            <color indexed="81"/>
            <rFont val="Tahoma"/>
            <family val="2"/>
            <charset val="204"/>
          </rPr>
          <t xml:space="preserve">
100 000 пополнение уставного капитапа
</t>
        </r>
      </text>
    </comment>
    <comment ref="S64" authorId="0">
      <text>
        <r>
          <rPr>
            <b/>
            <sz val="9"/>
            <color indexed="81"/>
            <rFont val="Tahoma"/>
            <family val="2"/>
            <charset val="204"/>
          </rPr>
          <t>Автор:</t>
        </r>
        <r>
          <rPr>
            <sz val="9"/>
            <color indexed="81"/>
            <rFont val="Tahoma"/>
            <family val="2"/>
            <charset val="204"/>
          </rPr>
          <t xml:space="preserve">
18 000 дивиденды
21 400 страховка Мерседес</t>
        </r>
      </text>
    </comment>
    <comment ref="U64" authorId="0">
      <text>
        <r>
          <rPr>
            <b/>
            <sz val="9"/>
            <color indexed="81"/>
            <rFont val="Tahoma"/>
            <family val="2"/>
            <charset val="204"/>
          </rPr>
          <t>Автор:</t>
        </r>
        <r>
          <rPr>
            <sz val="9"/>
            <color indexed="81"/>
            <rFont val="Tahoma"/>
            <family val="2"/>
            <charset val="204"/>
          </rPr>
          <t xml:space="preserve">
Mercedes GLS
</t>
        </r>
      </text>
    </comment>
    <comment ref="Y64" authorId="0">
      <text>
        <r>
          <rPr>
            <b/>
            <sz val="9"/>
            <color indexed="81"/>
            <rFont val="Tahoma"/>
            <family val="2"/>
            <charset val="204"/>
          </rPr>
          <t>Автор:</t>
        </r>
        <r>
          <rPr>
            <sz val="9"/>
            <color indexed="81"/>
            <rFont val="Tahoma"/>
            <family val="2"/>
            <charset val="204"/>
          </rPr>
          <t xml:space="preserve">
ГСМ + ТО + страховка
+ Голосеево
</t>
        </r>
      </text>
    </comment>
    <comment ref="Z64" authorId="0">
      <text>
        <r>
          <rPr>
            <b/>
            <sz val="9"/>
            <color indexed="81"/>
            <rFont val="Tahoma"/>
            <family val="2"/>
            <charset val="204"/>
          </rPr>
          <t>Автор:</t>
        </r>
        <r>
          <rPr>
            <sz val="9"/>
            <color indexed="81"/>
            <rFont val="Tahoma"/>
            <family val="2"/>
            <charset val="204"/>
          </rPr>
          <t xml:space="preserve">
ГСМ + Голосеево
</t>
        </r>
      </text>
    </comment>
    <comment ref="AA64" authorId="0">
      <text>
        <r>
          <rPr>
            <b/>
            <sz val="9"/>
            <color indexed="81"/>
            <rFont val="Tahoma"/>
            <family val="2"/>
            <charset val="204"/>
          </rPr>
          <t>Автор:</t>
        </r>
        <r>
          <rPr>
            <sz val="9"/>
            <color indexed="81"/>
            <rFont val="Tahoma"/>
            <family val="2"/>
            <charset val="204"/>
          </rPr>
          <t xml:space="preserve">
ГСМ</t>
        </r>
      </text>
    </comment>
    <comment ref="AB64" authorId="0">
      <text>
        <r>
          <rPr>
            <b/>
            <sz val="9"/>
            <color indexed="81"/>
            <rFont val="Tahoma"/>
            <family val="2"/>
            <charset val="204"/>
          </rPr>
          <t>Автор:</t>
        </r>
        <r>
          <rPr>
            <sz val="9"/>
            <color indexed="81"/>
            <rFont val="Tahoma"/>
            <family val="2"/>
            <charset val="204"/>
          </rPr>
          <t xml:space="preserve">
ГСМ</t>
        </r>
      </text>
    </comment>
    <comment ref="AC64" authorId="0">
      <text>
        <r>
          <rPr>
            <b/>
            <sz val="9"/>
            <color indexed="81"/>
            <rFont val="Tahoma"/>
            <family val="2"/>
            <charset val="204"/>
          </rPr>
          <t>Автор:</t>
        </r>
        <r>
          <rPr>
            <sz val="9"/>
            <color indexed="81"/>
            <rFont val="Tahoma"/>
            <family val="2"/>
            <charset val="204"/>
          </rPr>
          <t xml:space="preserve">
ГСМ + страховка Е220</t>
        </r>
      </text>
    </comment>
    <comment ref="N66" authorId="0">
      <text>
        <r>
          <rPr>
            <b/>
            <sz val="9"/>
            <color indexed="81"/>
            <rFont val="Tahoma"/>
            <family val="2"/>
            <charset val="204"/>
          </rPr>
          <t>Автор:</t>
        </r>
        <r>
          <rPr>
            <sz val="9"/>
            <color indexed="81"/>
            <rFont val="Tahoma"/>
            <family val="2"/>
            <charset val="204"/>
          </rPr>
          <t xml:space="preserve">
дивиденды за генераторы
</t>
        </r>
      </text>
    </comment>
    <comment ref="O66" authorId="0">
      <text>
        <r>
          <rPr>
            <b/>
            <sz val="9"/>
            <color indexed="81"/>
            <rFont val="Tahoma"/>
            <family val="2"/>
            <charset val="204"/>
          </rPr>
          <t>Автор:</t>
        </r>
        <r>
          <rPr>
            <sz val="9"/>
            <color indexed="81"/>
            <rFont val="Tahoma"/>
            <family val="2"/>
            <charset val="204"/>
          </rPr>
          <t xml:space="preserve">
Mercedes E 220</t>
        </r>
      </text>
    </comment>
    <comment ref="AA66" authorId="0">
      <text>
        <r>
          <rPr>
            <b/>
            <sz val="9"/>
            <color indexed="81"/>
            <rFont val="Tahoma"/>
            <family val="2"/>
            <charset val="204"/>
          </rPr>
          <t>Автор:</t>
        </r>
        <r>
          <rPr>
            <sz val="9"/>
            <color indexed="81"/>
            <rFont val="Tahoma"/>
            <family val="2"/>
            <charset val="204"/>
          </rPr>
          <t xml:space="preserve">
Голосеево
</t>
        </r>
      </text>
    </comment>
    <comment ref="AB66" authorId="0">
      <text>
        <r>
          <rPr>
            <b/>
            <sz val="9"/>
            <color indexed="81"/>
            <rFont val="Tahoma"/>
            <family val="2"/>
            <charset val="204"/>
          </rPr>
          <t>Автор:</t>
        </r>
        <r>
          <rPr>
            <sz val="9"/>
            <color indexed="81"/>
            <rFont val="Tahoma"/>
            <family val="2"/>
            <charset val="204"/>
          </rPr>
          <t xml:space="preserve">
Голосеево
</t>
        </r>
      </text>
    </comment>
    <comment ref="AC66" authorId="0">
      <text>
        <r>
          <rPr>
            <b/>
            <sz val="9"/>
            <color indexed="81"/>
            <rFont val="Tahoma"/>
            <family val="2"/>
            <charset val="204"/>
          </rPr>
          <t>Автор:</t>
        </r>
        <r>
          <rPr>
            <sz val="9"/>
            <color indexed="81"/>
            <rFont val="Tahoma"/>
            <family val="2"/>
            <charset val="204"/>
          </rPr>
          <t xml:space="preserve">
Голосеевский
</t>
        </r>
      </text>
    </comment>
    <comment ref="N70" authorId="0">
      <text>
        <r>
          <rPr>
            <b/>
            <sz val="9"/>
            <color indexed="81"/>
            <rFont val="Tahoma"/>
            <family val="2"/>
            <charset val="204"/>
          </rPr>
          <t>Автор:</t>
        </r>
        <r>
          <rPr>
            <sz val="9"/>
            <color indexed="81"/>
            <rFont val="Tahoma"/>
            <family val="2"/>
            <charset val="204"/>
          </rPr>
          <t xml:space="preserve">
дивиденды за генераторы
</t>
        </r>
      </text>
    </comment>
    <comment ref="O70" authorId="0">
      <text>
        <r>
          <rPr>
            <b/>
            <sz val="9"/>
            <color indexed="81"/>
            <rFont val="Tahoma"/>
            <family val="2"/>
            <charset val="204"/>
          </rPr>
          <t>Автор:</t>
        </r>
        <r>
          <rPr>
            <sz val="9"/>
            <color indexed="81"/>
            <rFont val="Tahoma"/>
            <family val="2"/>
            <charset val="204"/>
          </rPr>
          <t xml:space="preserve">
ман 5
Мерседес и налог
</t>
        </r>
      </text>
    </comment>
    <comment ref="P70" authorId="0">
      <text>
        <r>
          <rPr>
            <b/>
            <sz val="9"/>
            <color indexed="81"/>
            <rFont val="Tahoma"/>
            <family val="2"/>
            <charset val="204"/>
          </rPr>
          <t>Автор:</t>
        </r>
        <r>
          <rPr>
            <sz val="9"/>
            <color indexed="81"/>
            <rFont val="Tahoma"/>
            <family val="2"/>
            <charset val="204"/>
          </rPr>
          <t xml:space="preserve">
200 000 строительство
41 545 Ман 5
159 192 Генераторы
21 400 страховка Mercedesc E 220</t>
        </r>
      </text>
    </comment>
    <comment ref="Q70" authorId="0">
      <text>
        <r>
          <rPr>
            <b/>
            <sz val="9"/>
            <color indexed="81"/>
            <rFont val="Tahoma"/>
            <family val="2"/>
            <charset val="204"/>
          </rPr>
          <t>Автор:</t>
        </r>
        <r>
          <rPr>
            <sz val="9"/>
            <color indexed="81"/>
            <rFont val="Tahoma"/>
            <family val="2"/>
            <charset val="204"/>
          </rPr>
          <t xml:space="preserve">
MAN 5
</t>
        </r>
      </text>
    </comment>
    <comment ref="S70" authorId="0">
      <text>
        <r>
          <rPr>
            <b/>
            <sz val="9"/>
            <color indexed="81"/>
            <rFont val="Tahoma"/>
            <family val="2"/>
            <charset val="204"/>
          </rPr>
          <t>Автор:</t>
        </r>
        <r>
          <rPr>
            <sz val="9"/>
            <color indexed="81"/>
            <rFont val="Tahoma"/>
            <family val="2"/>
            <charset val="204"/>
          </rPr>
          <t xml:space="preserve">
18 000 строительство
100 000 пополнение уставного капилала И.П.С
21400 -страховка Mercedes E 220</t>
        </r>
      </text>
    </comment>
    <comment ref="T70" authorId="0">
      <text>
        <r>
          <rPr>
            <b/>
            <sz val="9"/>
            <color indexed="81"/>
            <rFont val="Tahoma"/>
            <family val="2"/>
            <charset val="204"/>
          </rPr>
          <t>Автор:</t>
        </r>
        <r>
          <rPr>
            <sz val="9"/>
            <color indexed="81"/>
            <rFont val="Tahoma"/>
            <family val="2"/>
            <charset val="204"/>
          </rPr>
          <t xml:space="preserve">
1 578 000 - И.П.С.
3 888 639 - Mercedes GLS
400 000 - ДИВИДЕНДЫ</t>
        </r>
      </text>
    </comment>
    <comment ref="U70" authorId="0">
      <text>
        <r>
          <rPr>
            <b/>
            <sz val="9"/>
            <color indexed="81"/>
            <rFont val="Tahoma"/>
            <family val="2"/>
            <charset val="204"/>
          </rPr>
          <t>Автор:</t>
        </r>
        <r>
          <rPr>
            <sz val="9"/>
            <color indexed="81"/>
            <rFont val="Tahoma"/>
            <family val="2"/>
            <charset val="204"/>
          </rPr>
          <t xml:space="preserve">
38 620 - зашли на карту от Львовбуд
162 026,62 - налог по Мercedes GlS
1 104 300 - И.П.С.</t>
        </r>
      </text>
    </comment>
    <comment ref="S71" authorId="0">
      <text>
        <r>
          <rPr>
            <b/>
            <sz val="9"/>
            <color indexed="81"/>
            <rFont val="Tahoma"/>
            <family val="2"/>
            <charset val="204"/>
          </rPr>
          <t>Автор:</t>
        </r>
        <r>
          <rPr>
            <sz val="9"/>
            <color indexed="81"/>
            <rFont val="Tahoma"/>
            <family val="2"/>
            <charset val="204"/>
          </rPr>
          <t xml:space="preserve">
18 000 дивиденды
21 400 страховка Мерседес</t>
        </r>
      </text>
    </comment>
  </commentList>
</comments>
</file>

<file path=xl/comments3.xml><?xml version="1.0" encoding="utf-8"?>
<comments xmlns="http://schemas.openxmlformats.org/spreadsheetml/2006/main">
  <authors>
    <author>Автор</author>
  </authors>
  <commentList>
    <comment ref="E4" authorId="0">
      <text>
        <r>
          <rPr>
            <b/>
            <sz val="9"/>
            <color indexed="81"/>
            <rFont val="Tahoma"/>
            <family val="2"/>
            <charset val="204"/>
          </rPr>
          <t xml:space="preserve">Козин в бюджете учи уже 15% в сумме ф2
</t>
        </r>
      </text>
    </comment>
  </commentList>
</comments>
</file>

<file path=xl/comments4.xml><?xml version="1.0" encoding="utf-8"?>
<comments xmlns="http://schemas.openxmlformats.org/spreadsheetml/2006/main">
  <authors>
    <author>Автор</author>
  </authors>
  <commentList>
    <comment ref="C28" authorId="0">
      <text>
        <r>
          <rPr>
            <b/>
            <sz val="9"/>
            <color indexed="81"/>
            <rFont val="Tahoma"/>
            <family val="2"/>
            <charset val="204"/>
          </rPr>
          <t>Автор:</t>
        </r>
        <r>
          <rPr>
            <sz val="9"/>
            <color indexed="81"/>
            <rFont val="Tahoma"/>
            <family val="2"/>
            <charset val="204"/>
          </rPr>
          <t xml:space="preserve">
11900-медосмотр</t>
        </r>
      </text>
    </comment>
    <comment ref="C36" authorId="0">
      <text>
        <r>
          <rPr>
            <b/>
            <sz val="9"/>
            <color indexed="81"/>
            <rFont val="Tahoma"/>
            <family val="2"/>
            <charset val="204"/>
          </rPr>
          <t>Автор:</t>
        </r>
        <r>
          <rPr>
            <sz val="9"/>
            <color indexed="81"/>
            <rFont val="Tahoma"/>
            <family val="2"/>
            <charset val="204"/>
          </rPr>
          <t xml:space="preserve">
спецодежда</t>
        </r>
      </text>
    </comment>
  </commentList>
</comments>
</file>

<file path=xl/comments5.xml><?xml version="1.0" encoding="utf-8"?>
<comments xmlns="http://schemas.openxmlformats.org/spreadsheetml/2006/main">
  <authors>
    <author>Автор</author>
  </authors>
  <commentList>
    <comment ref="C28" authorId="0">
      <text>
        <r>
          <rPr>
            <b/>
            <sz val="9"/>
            <color indexed="81"/>
            <rFont val="Tahoma"/>
            <family val="2"/>
            <charset val="204"/>
          </rPr>
          <t>Автор:</t>
        </r>
        <r>
          <rPr>
            <sz val="9"/>
            <color indexed="81"/>
            <rFont val="Tahoma"/>
            <family val="2"/>
            <charset val="204"/>
          </rPr>
          <t xml:space="preserve">
спецодежда
</t>
        </r>
      </text>
    </comment>
    <comment ref="D28" authorId="0">
      <text>
        <r>
          <rPr>
            <b/>
            <sz val="9"/>
            <color indexed="81"/>
            <rFont val="Tahoma"/>
            <family val="2"/>
            <charset val="204"/>
          </rPr>
          <t>Автор:</t>
        </r>
        <r>
          <rPr>
            <sz val="9"/>
            <color indexed="81"/>
            <rFont val="Tahoma"/>
            <family val="2"/>
            <charset val="204"/>
          </rPr>
          <t xml:space="preserve">
уборка помещения</t>
        </r>
      </text>
    </comment>
    <comment ref="D43" authorId="0">
      <text>
        <r>
          <rPr>
            <b/>
            <sz val="9"/>
            <color indexed="81"/>
            <rFont val="Tahoma"/>
            <family val="2"/>
            <charset val="204"/>
          </rPr>
          <t>Автор:</t>
        </r>
        <r>
          <rPr>
            <sz val="9"/>
            <color indexed="81"/>
            <rFont val="Tahoma"/>
            <family val="2"/>
            <charset val="204"/>
          </rPr>
          <t xml:space="preserve">
бытовая химия и хозтовары</t>
        </r>
      </text>
    </comment>
    <comment ref="C69" authorId="0">
      <text>
        <r>
          <rPr>
            <b/>
            <sz val="9"/>
            <color indexed="81"/>
            <rFont val="Tahoma"/>
            <family val="2"/>
            <charset val="204"/>
          </rPr>
          <t>Автор:</t>
        </r>
        <r>
          <rPr>
            <sz val="9"/>
            <color indexed="81"/>
            <rFont val="Tahoma"/>
            <family val="2"/>
            <charset val="204"/>
          </rPr>
          <t xml:space="preserve">
3500-медосмотр</t>
        </r>
      </text>
    </comment>
  </commentList>
</comments>
</file>

<file path=xl/comments6.xml><?xml version="1.0" encoding="utf-8"?>
<comments xmlns="http://schemas.openxmlformats.org/spreadsheetml/2006/main">
  <authors>
    <author>Автор</author>
  </authors>
  <commentList>
    <comment ref="L6" authorId="0">
      <text>
        <r>
          <rPr>
            <b/>
            <sz val="9"/>
            <color indexed="81"/>
            <rFont val="Tahoma"/>
            <family val="2"/>
            <charset val="204"/>
          </rPr>
          <t>Автор:</t>
        </r>
        <r>
          <rPr>
            <sz val="9"/>
            <color indexed="81"/>
            <rFont val="Tahoma"/>
            <family val="2"/>
            <charset val="204"/>
          </rPr>
          <t xml:space="preserve">
согласно 361 счета за январь</t>
        </r>
      </text>
    </comment>
    <comment ref="Q6" authorId="0">
      <text>
        <r>
          <rPr>
            <b/>
            <sz val="9"/>
            <color indexed="81"/>
            <rFont val="Tahoma"/>
            <family val="2"/>
            <charset val="204"/>
          </rPr>
          <t>Автор:</t>
        </r>
        <r>
          <rPr>
            <sz val="9"/>
            <color indexed="81"/>
            <rFont val="Tahoma"/>
            <family val="2"/>
            <charset val="204"/>
          </rPr>
          <t xml:space="preserve">
согласно 361 счета за январь</t>
        </r>
      </text>
    </comment>
    <comment ref="V6" authorId="0">
      <text>
        <r>
          <rPr>
            <b/>
            <sz val="9"/>
            <color indexed="81"/>
            <rFont val="Tahoma"/>
            <family val="2"/>
            <charset val="204"/>
          </rPr>
          <t>Автор:</t>
        </r>
        <r>
          <rPr>
            <sz val="9"/>
            <color indexed="81"/>
            <rFont val="Tahoma"/>
            <family val="2"/>
            <charset val="204"/>
          </rPr>
          <t xml:space="preserve">
согласно 361 счета за январь</t>
        </r>
      </text>
    </comment>
    <comment ref="M16" authorId="0">
      <text>
        <r>
          <rPr>
            <b/>
            <sz val="9"/>
            <color indexed="81"/>
            <rFont val="Tahoma"/>
            <family val="2"/>
            <charset val="204"/>
          </rPr>
          <t>Автор:</t>
        </r>
        <r>
          <rPr>
            <sz val="9"/>
            <color indexed="81"/>
            <rFont val="Tahoma"/>
            <family val="2"/>
            <charset val="204"/>
          </rPr>
          <t xml:space="preserve">
на актах проставила отметку "январь", вошли работы декабря, так как в декабре закрывали акт ноября</t>
        </r>
      </text>
    </comment>
    <comment ref="L18" authorId="0">
      <text>
        <r>
          <rPr>
            <b/>
            <sz val="9"/>
            <color indexed="81"/>
            <rFont val="Tahoma"/>
            <family val="2"/>
            <charset val="204"/>
          </rPr>
          <t>Автор:</t>
        </r>
        <r>
          <rPr>
            <sz val="9"/>
            <color indexed="81"/>
            <rFont val="Tahoma"/>
            <family val="2"/>
            <charset val="204"/>
          </rPr>
          <t xml:space="preserve">
включена металлизация, 
</t>
        </r>
      </text>
    </comment>
    <comment ref="L25" authorId="0">
      <text>
        <r>
          <rPr>
            <b/>
            <sz val="9"/>
            <color indexed="81"/>
            <rFont val="Tahoma"/>
            <family val="2"/>
            <charset val="204"/>
          </rPr>
          <t>Автор:</t>
        </r>
        <r>
          <rPr>
            <sz val="9"/>
            <color indexed="81"/>
            <rFont val="Tahoma"/>
            <family val="2"/>
            <charset val="204"/>
          </rPr>
          <t xml:space="preserve">
данные из передачи материалов по кредиту 221 сч. (склад Пологи)
9351,78 - чнварские списано в декабре (список Оксаны)</t>
        </r>
      </text>
    </comment>
    <comment ref="L26" authorId="0">
      <text>
        <r>
          <rPr>
            <b/>
            <sz val="9"/>
            <color indexed="81"/>
            <rFont val="Tahoma"/>
            <family val="2"/>
            <charset val="204"/>
          </rPr>
          <t>Автор:</t>
        </r>
        <r>
          <rPr>
            <sz val="9"/>
            <color indexed="81"/>
            <rFont val="Tahoma"/>
            <family val="2"/>
            <charset val="204"/>
          </rPr>
          <t xml:space="preserve">
списание под акт согласно комментариев, склада обмена нет</t>
        </r>
      </text>
    </comment>
  </commentList>
</comments>
</file>

<file path=xl/comments7.xml><?xml version="1.0" encoding="utf-8"?>
<comments xmlns="http://schemas.openxmlformats.org/spreadsheetml/2006/main">
  <authors>
    <author>Автор</author>
  </authors>
  <commentList>
    <comment ref="CH26" authorId="0">
      <text>
        <r>
          <rPr>
            <b/>
            <sz val="9"/>
            <color indexed="81"/>
            <rFont val="Tahoma"/>
            <family val="2"/>
            <charset val="204"/>
          </rPr>
          <t>Автор:</t>
        </r>
        <r>
          <rPr>
            <sz val="9"/>
            <color indexed="81"/>
            <rFont val="Tahoma"/>
            <family val="2"/>
            <charset val="204"/>
          </rPr>
          <t xml:space="preserve">
ДОЛГ Бетон
</t>
        </r>
      </text>
    </comment>
  </commentList>
</comments>
</file>

<file path=xl/comments8.xml><?xml version="1.0" encoding="utf-8"?>
<comments xmlns="http://schemas.openxmlformats.org/spreadsheetml/2006/main">
  <authors>
    <author>Автор</author>
  </authors>
  <commentList>
    <comment ref="E4" authorId="0">
      <text>
        <r>
          <rPr>
            <b/>
            <sz val="9"/>
            <color indexed="81"/>
            <rFont val="Tahoma"/>
            <family val="2"/>
            <charset val="204"/>
          </rPr>
          <t xml:space="preserve">Козин в бюджете учи уже 15% в сумме ф2
</t>
        </r>
      </text>
    </comment>
    <comment ref="M79" authorId="0">
      <text>
        <r>
          <rPr>
            <b/>
            <sz val="9"/>
            <color indexed="81"/>
            <rFont val="Tahoma"/>
            <family val="2"/>
            <charset val="204"/>
          </rPr>
          <t>Автор:</t>
        </r>
        <r>
          <rPr>
            <sz val="9"/>
            <color indexed="81"/>
            <rFont val="Tahoma"/>
            <family val="2"/>
            <charset val="204"/>
          </rPr>
          <t xml:space="preserve">
в июле выплачено</t>
        </r>
      </text>
    </comment>
  </commentList>
</comments>
</file>

<file path=xl/comments9.xml><?xml version="1.0" encoding="utf-8"?>
<comments xmlns="http://schemas.openxmlformats.org/spreadsheetml/2006/main">
  <authors>
    <author>Автор</author>
  </authors>
  <commentList>
    <comment ref="AB26" authorId="0">
      <text>
        <r>
          <rPr>
            <b/>
            <sz val="9"/>
            <color indexed="81"/>
            <rFont val="Tahoma"/>
            <family val="2"/>
            <charset val="204"/>
          </rPr>
          <t>Автор:</t>
        </r>
        <r>
          <rPr>
            <sz val="9"/>
            <color indexed="81"/>
            <rFont val="Tahoma"/>
            <family val="2"/>
            <charset val="204"/>
          </rPr>
          <t xml:space="preserve">
Сетка для футеровки(выставить заказчику)</t>
        </r>
      </text>
    </comment>
  </commentList>
</comments>
</file>

<file path=xl/comments10.xml><?xml version="1.0" encoding="utf-8"?>
<comments xmlns="http://schemas.openxmlformats.org/spreadsheetml/2006/main">
  <authors>
    <author>Автор</author>
  </authors>
  <commentList>
    <comment ref="L6" authorId="0">
      <text>
        <r>
          <rPr>
            <b/>
            <sz val="9"/>
            <color indexed="81"/>
            <rFont val="Tahoma"/>
            <family val="2"/>
            <charset val="204"/>
          </rPr>
          <t>Автор:</t>
        </r>
        <r>
          <rPr>
            <sz val="9"/>
            <color indexed="81"/>
            <rFont val="Tahoma"/>
            <family val="2"/>
            <charset val="204"/>
          </rPr>
          <t xml:space="preserve">
КМД ФАСАД СОЛЮШЕНС ТОВ</t>
        </r>
      </text>
    </comment>
    <comment ref="Q6" authorId="0">
      <text>
        <r>
          <rPr>
            <b/>
            <sz val="9"/>
            <color indexed="81"/>
            <rFont val="Tahoma"/>
            <family val="2"/>
            <charset val="204"/>
          </rPr>
          <t>Автор:</t>
        </r>
        <r>
          <rPr>
            <sz val="9"/>
            <color indexed="81"/>
            <rFont val="Tahoma"/>
            <family val="2"/>
            <charset val="204"/>
          </rPr>
          <t xml:space="preserve">
КМД ФАСАД СОЛЮШЕНС ТОВ</t>
        </r>
      </text>
    </comment>
    <comment ref="V6" authorId="0">
      <text>
        <r>
          <rPr>
            <b/>
            <sz val="9"/>
            <color indexed="81"/>
            <rFont val="Tahoma"/>
            <family val="2"/>
            <charset val="204"/>
          </rPr>
          <t>Автор:</t>
        </r>
        <r>
          <rPr>
            <sz val="9"/>
            <color indexed="81"/>
            <rFont val="Tahoma"/>
            <family val="2"/>
            <charset val="204"/>
          </rPr>
          <t xml:space="preserve">
КМД ФАСАД СОЛЮШЕНС ТОВ</t>
        </r>
      </text>
    </comment>
    <comment ref="M16" authorId="0">
      <text>
        <r>
          <rPr>
            <b/>
            <sz val="9"/>
            <color indexed="81"/>
            <rFont val="Tahoma"/>
            <family val="2"/>
            <charset val="204"/>
          </rPr>
          <t>Автор:</t>
        </r>
        <r>
          <rPr>
            <sz val="9"/>
            <color indexed="81"/>
            <rFont val="Tahoma"/>
            <family val="2"/>
            <charset val="204"/>
          </rPr>
          <t xml:space="preserve">
на актах пометка "январь", так как работы с заказчиком закрыты в январе</t>
        </r>
      </text>
    </comment>
    <comment ref="AZ25" authorId="0">
      <text>
        <r>
          <rPr>
            <b/>
            <sz val="9"/>
            <color indexed="81"/>
            <rFont val="Tahoma"/>
            <family val="2"/>
            <charset val="204"/>
          </rPr>
          <t>Автор:</t>
        </r>
        <r>
          <rPr>
            <sz val="9"/>
            <color indexed="81"/>
            <rFont val="Tahoma"/>
            <family val="2"/>
            <charset val="204"/>
          </rPr>
          <t xml:space="preserve">
отняла 268,26 калькулятор
склад обмена</t>
        </r>
      </text>
    </comment>
    <comment ref="L26" authorId="0">
      <text>
        <r>
          <rPr>
            <b/>
            <sz val="9"/>
            <color indexed="81"/>
            <rFont val="Tahoma"/>
            <family val="2"/>
            <charset val="204"/>
          </rPr>
          <t>Автор:</t>
        </r>
        <r>
          <rPr>
            <sz val="9"/>
            <color indexed="81"/>
            <rFont val="Tahoma"/>
            <family val="2"/>
            <charset val="204"/>
          </rPr>
          <t xml:space="preserve">
согласно комментариев  требованиях-накладных по складу "Харьков", склад обмена отсутствует</t>
        </r>
      </text>
    </comment>
    <comment ref="Q26" authorId="0">
      <text>
        <r>
          <rPr>
            <b/>
            <sz val="9"/>
            <color indexed="81"/>
            <rFont val="Tahoma"/>
            <family val="2"/>
            <charset val="204"/>
          </rPr>
          <t>Автор:</t>
        </r>
        <r>
          <rPr>
            <sz val="9"/>
            <color indexed="81"/>
            <rFont val="Tahoma"/>
            <family val="2"/>
            <charset val="204"/>
          </rPr>
          <t xml:space="preserve">
согласно комментариев  требованиях-накладных по складу "Харьков", склад обмена отсутствует</t>
        </r>
      </text>
    </comment>
    <comment ref="AZ48" authorId="0">
      <text>
        <r>
          <rPr>
            <b/>
            <sz val="9"/>
            <color indexed="81"/>
            <rFont val="Tahoma"/>
            <family val="2"/>
            <charset val="204"/>
          </rPr>
          <t>Автор:</t>
        </r>
        <r>
          <rPr>
            <sz val="9"/>
            <color indexed="81"/>
            <rFont val="Tahoma"/>
            <family val="2"/>
            <charset val="204"/>
          </rPr>
          <t xml:space="preserve">
268,26 в 1С Бух сидит в МШП 221сч</t>
        </r>
      </text>
    </comment>
    <comment ref="AQ79" authorId="0">
      <text>
        <r>
          <rPr>
            <b/>
            <sz val="9"/>
            <color indexed="81"/>
            <rFont val="Tahoma"/>
            <family val="2"/>
            <charset val="204"/>
          </rPr>
          <t>Автор:</t>
        </r>
        <r>
          <rPr>
            <sz val="9"/>
            <color indexed="81"/>
            <rFont val="Tahoma"/>
            <family val="2"/>
            <charset val="204"/>
          </rPr>
          <t xml:space="preserve">
выплачено в августе</t>
        </r>
      </text>
    </comment>
  </commentList>
</comments>
</file>

<file path=xl/sharedStrings.xml><?xml version="1.0" encoding="utf-8"?>
<sst xmlns="http://schemas.openxmlformats.org/spreadsheetml/2006/main" count="10728" uniqueCount="2182">
  <si>
    <t>Услуги сторонних организаций</t>
  </si>
  <si>
    <t>Административные затраты</t>
  </si>
  <si>
    <t>Разрешительная документация</t>
  </si>
  <si>
    <t>Услуги</t>
  </si>
  <si>
    <t>Налоги и сборы</t>
  </si>
  <si>
    <t>Услуги банков</t>
  </si>
  <si>
    <t>Затраты по корпоративной культуре</t>
  </si>
  <si>
    <t>Благоустройство офиса</t>
  </si>
  <si>
    <t>Питьевая вода</t>
  </si>
  <si>
    <t>Финансовая деятельность</t>
  </si>
  <si>
    <t>Операционный доход</t>
  </si>
  <si>
    <t>Статья</t>
  </si>
  <si>
    <t>Прибыль после вычета финансовых затрат</t>
  </si>
  <si>
    <t>Прибыль до вычета налогов</t>
  </si>
  <si>
    <t xml:space="preserve">Чистый доход </t>
  </si>
  <si>
    <t>Канцтовары</t>
  </si>
  <si>
    <t>Себестоимость проданой продукции (переменные производственные затраты)</t>
  </si>
  <si>
    <t>Выручка от продаж (товаров, работ, услуг)</t>
  </si>
  <si>
    <t xml:space="preserve">Сумма по Ф2, грн </t>
  </si>
  <si>
    <t>Комментарии</t>
  </si>
  <si>
    <t>ЗП подсобников</t>
  </si>
  <si>
    <t>Оплата за выполненные работы</t>
  </si>
  <si>
    <t>Премия производственного персонала</t>
  </si>
  <si>
    <t>Логистические затраты</t>
  </si>
  <si>
    <t>МШП</t>
  </si>
  <si>
    <t>Ремонты</t>
  </si>
  <si>
    <t>Общепроизводственные затраты</t>
  </si>
  <si>
    <t>Хозтовары и материалы</t>
  </si>
  <si>
    <t>ИТ расходы</t>
  </si>
  <si>
    <t>Охрана офиса и пожарная сигнализация</t>
  </si>
  <si>
    <t>Курьерские и почтовые</t>
  </si>
  <si>
    <t>Командировочные производственного персонала</t>
  </si>
  <si>
    <t>Премия управленческого персонала</t>
  </si>
  <si>
    <t>Телекомуникационные услуги</t>
  </si>
  <si>
    <t>Транспортные затраты производственного персонала</t>
  </si>
  <si>
    <t>Транспортные затраты управленческого персонала</t>
  </si>
  <si>
    <t>Затраты на коммандировки управленческого персонала</t>
  </si>
  <si>
    <t>Юридические услуги</t>
  </si>
  <si>
    <t>Затраты на налог на прибыль</t>
  </si>
  <si>
    <t>Сумма итого, грн</t>
  </si>
  <si>
    <t>% суммы затрат в общем объеме</t>
  </si>
  <si>
    <t>Доход от прочей операционной деятельности</t>
  </si>
  <si>
    <t>Затраты на обучение персонала</t>
  </si>
  <si>
    <t xml:space="preserve">Финансовый доход </t>
  </si>
  <si>
    <t>Дивиденды</t>
  </si>
  <si>
    <t>Строительные материалы</t>
  </si>
  <si>
    <t>Маржинальный доход, грн</t>
  </si>
  <si>
    <t>Маржинальный доход, %</t>
  </si>
  <si>
    <t>Операционная прибыль, грн</t>
  </si>
  <si>
    <t>Операционная прибыль, %</t>
  </si>
  <si>
    <t>Прибыль в распоряжении компании (нераспределенная прибыль), грн</t>
  </si>
  <si>
    <t>Рентабельность продукции, %</t>
  </si>
  <si>
    <t>Прочие производственные затраты</t>
  </si>
  <si>
    <t>Аренда строительного оборудования</t>
  </si>
  <si>
    <t>План итого</t>
  </si>
  <si>
    <r>
      <t xml:space="preserve">Сумма по Ф1, грн </t>
    </r>
    <r>
      <rPr>
        <b/>
        <i/>
        <sz val="10"/>
        <color indexed="18"/>
        <rFont val="Times New Roman"/>
        <family val="1"/>
        <charset val="204"/>
      </rPr>
      <t xml:space="preserve"> </t>
    </r>
  </si>
  <si>
    <t>Итого затрат</t>
  </si>
  <si>
    <t>Аренда опалубки</t>
  </si>
  <si>
    <t>Арена техники</t>
  </si>
  <si>
    <t>Маркетинговые затраты</t>
  </si>
  <si>
    <t>Реклама</t>
  </si>
  <si>
    <t>Прочие маркетинговые затраты</t>
  </si>
  <si>
    <t>Аренда квартиры с коммунальными платежами</t>
  </si>
  <si>
    <t>Аренда офиса с коммунальными платежами</t>
  </si>
  <si>
    <t>НДС/ Прочие налоги</t>
  </si>
  <si>
    <t>Начисления на зарплату PM</t>
  </si>
  <si>
    <t>Удержание с зарплаты РМ</t>
  </si>
  <si>
    <t xml:space="preserve">ЗП РМ </t>
  </si>
  <si>
    <t>Удержание с зарплаты управленческого персонала</t>
  </si>
  <si>
    <t>Начисления на зарплату производственного персонала</t>
  </si>
  <si>
    <t>Начисления на зарплату ИТР</t>
  </si>
  <si>
    <t>Удержание с зарплаты ИТР</t>
  </si>
  <si>
    <t>Удержание с зарплаты производственного персонала</t>
  </si>
  <si>
    <t xml:space="preserve">Зарплата ИТР </t>
  </si>
  <si>
    <t xml:space="preserve">ЗП производственного персонала </t>
  </si>
  <si>
    <t xml:space="preserve">Представительские затраты </t>
  </si>
  <si>
    <t xml:space="preserve">Начисления на управленчискую зарплату </t>
  </si>
  <si>
    <t>ЗП управленческого персонала</t>
  </si>
  <si>
    <t>Штраф</t>
  </si>
  <si>
    <t xml:space="preserve">Финансовые расходы </t>
  </si>
  <si>
    <t>Дополнительные  расходы</t>
  </si>
  <si>
    <t>Расход от ивест. Деятельности (ОС)</t>
  </si>
  <si>
    <t>Январь 2020</t>
  </si>
  <si>
    <t>Остаток PL  январь 2020</t>
  </si>
  <si>
    <t xml:space="preserve">PL Пуща -Водица </t>
  </si>
  <si>
    <t>PL Металлизация</t>
  </si>
  <si>
    <t>PL Козин</t>
  </si>
  <si>
    <t>Комментарий</t>
  </si>
  <si>
    <t>приезд на объект 5 чел по 500 грн - 2 500 грн
Проезд на работу  - 2 300 грн</t>
  </si>
  <si>
    <t>Стариков С</t>
  </si>
  <si>
    <t xml:space="preserve">за январь </t>
  </si>
  <si>
    <t>матрацы, кастрюли, аккумулятор для раций</t>
  </si>
  <si>
    <t xml:space="preserve">Стариков С 20 л бензина,  360 л топливо </t>
  </si>
  <si>
    <t>списанные МШП</t>
  </si>
  <si>
    <t xml:space="preserve">Аренда квартиры бр Пономаренки 13 150 грн январь 
</t>
  </si>
  <si>
    <t xml:space="preserve">Суточные бр Пономаренки  - 10 000 грн
</t>
  </si>
  <si>
    <t>Стариков С  - 7 500 грн январь+ 1983 ком.услуги 
Гостинница  1250 грн
Услуги риелтора  - 4 000 грн
Суточные Стариков С -4 680 грн</t>
  </si>
  <si>
    <t>Монтаж РДК -15 000 грн
КМД - 18 830 грн</t>
  </si>
  <si>
    <t>нет списаний</t>
  </si>
  <si>
    <t>Проживание бригад - январь</t>
  </si>
  <si>
    <t>Суточные Жук, Перкатый - январь</t>
  </si>
  <si>
    <t xml:space="preserve">нет актов </t>
  </si>
  <si>
    <t>Бондарук П январь в т ч  отпускные - 1541,30 грн</t>
  </si>
  <si>
    <t>Бондарук 99 л  - 2 711,61 грн</t>
  </si>
  <si>
    <t xml:space="preserve">Проезд на работу   16 грн/день - 3648 грн
Перкатый 70 л - 1 968 грн
Ширшов 100 л - 2 739 грн
</t>
  </si>
  <si>
    <t>УШМ - 1920 грн
Перфоратор - 2 660 грн
Шуруповерт - 1 320 грн</t>
  </si>
  <si>
    <t xml:space="preserve">3 чел бр Перкатого 
9 чел бр Жук
</t>
  </si>
  <si>
    <t>Ширшов</t>
  </si>
  <si>
    <t>Февраль 2020</t>
  </si>
  <si>
    <t xml:space="preserve">5 чел бр Пономаренки </t>
  </si>
  <si>
    <t xml:space="preserve">270 грн - распечатка КМД
600 грн - заправка баллонов пропаном </t>
  </si>
  <si>
    <t xml:space="preserve">Бр Пономаренки </t>
  </si>
  <si>
    <t>7 500 грн - аренда квартиры Пономаренки февраль</t>
  </si>
  <si>
    <t>Стариков С 
суточные - 3 120 грн
аренда квартиры февраль  - 7 500 грн + 2325 грн ком.услуги</t>
  </si>
  <si>
    <t>бр Пономаренки, Перкатого</t>
  </si>
  <si>
    <t xml:space="preserve">Стариков С февраль </t>
  </si>
  <si>
    <t>КМД</t>
  </si>
  <si>
    <t>PL Щедро</t>
  </si>
  <si>
    <t>Акт 6, 7,8</t>
  </si>
  <si>
    <t>9 чел бр Жук
3 чел бр Перкатого</t>
  </si>
  <si>
    <t xml:space="preserve">Ширшов февраль </t>
  </si>
  <si>
    <t>600 гн Акол - перебазировка</t>
  </si>
  <si>
    <t>Будпрокат - обогреватель - закрыто актами</t>
  </si>
  <si>
    <t>Уют компени - за февраль - закрыто актами</t>
  </si>
  <si>
    <t>Ремонт перфоратора Интерскоп - 1 265 грн
Ремонт виброплиты  - 14 019,66 грн</t>
  </si>
  <si>
    <t>40 000 грн - самосвал Абу-закрыто актами
2 400 грн - автокран Акол- закрыто актами 
Экскаватор САТ  221 ч*331,24 грн = 73 204 грн</t>
  </si>
  <si>
    <t xml:space="preserve">списаный материал </t>
  </si>
  <si>
    <t xml:space="preserve">943 грн - бензин и масло для трамбовки 
75 грн - батарейки </t>
  </si>
  <si>
    <t xml:space="preserve">бр Жук, Перкатый </t>
  </si>
  <si>
    <t xml:space="preserve">амортизация авто Перкатого </t>
  </si>
  <si>
    <t xml:space="preserve">Бондарук П февраль </t>
  </si>
  <si>
    <t>Бондарук - 2 061 грн</t>
  </si>
  <si>
    <t>Бр Жук - 145 166 грн
бр Перкатый  - 47 817 грн</t>
  </si>
  <si>
    <t>Ширшов  - 2 179,20 грн
Перкатый  - 1 399,5 грн
ф2 - проезд на работу  в т ч уезд с обїекта бр Перкатого - 1600 грн</t>
  </si>
  <si>
    <t>PL Нежин</t>
  </si>
  <si>
    <t xml:space="preserve">Новая почта </t>
  </si>
  <si>
    <t>2019</t>
  </si>
  <si>
    <t>Март 2020</t>
  </si>
  <si>
    <t>акт 1</t>
  </si>
  <si>
    <t>зп бр.Пономаренко 5чел - 34 212,5
зп бр.Перкатогот 2 чел - 13 685</t>
  </si>
  <si>
    <t xml:space="preserve">Перкатый Пономаренки </t>
  </si>
  <si>
    <t xml:space="preserve">Демонтаж РДК </t>
  </si>
  <si>
    <t xml:space="preserve">долг аренда квартир Пономаренки </t>
  </si>
  <si>
    <t>РДК 250 135ч =35 664 в т ч 8848-22ч</t>
  </si>
  <si>
    <t xml:space="preserve">Доставка м/к Альфа-бизнес груп  </t>
  </si>
  <si>
    <t>за минусом спецодежды механизатора -2 442,99</t>
  </si>
  <si>
    <t xml:space="preserve">заправка баллонов </t>
  </si>
  <si>
    <t xml:space="preserve">такси </t>
  </si>
  <si>
    <t>РДК 158 ч*264,18+109 ч для 8848</t>
  </si>
  <si>
    <t>РДК 250 (наш)  = 105*264,18 грн= 27 739 грн+77 ч 8848</t>
  </si>
  <si>
    <t>Суточные проезды</t>
  </si>
  <si>
    <t>Стариков март</t>
  </si>
  <si>
    <t xml:space="preserve">Топливо Стариков </t>
  </si>
  <si>
    <t xml:space="preserve">суточные, проезд </t>
  </si>
  <si>
    <t>Альфа бизнес групп</t>
  </si>
  <si>
    <t xml:space="preserve"> </t>
  </si>
  <si>
    <t>Акты 9-13</t>
  </si>
  <si>
    <t>Зп Перкатого</t>
  </si>
  <si>
    <t>Зп бр.Перкатого= 134 472грн.
зп бр.Жука= 35 324 грн.</t>
  </si>
  <si>
    <t xml:space="preserve">Экскаватор САТ наш 8ч= 2 649,92
АБУ самосвалы  = 19 600 грн закрыто актами
АБУ экскаваторы  = 22 000 грн - закрыто актами
Трест Буд - 9 900 грн  - бетононасос
Акол - 2 400 грн - автокран 
</t>
  </si>
  <si>
    <t xml:space="preserve">Будпрокат , аренда вибратора </t>
  </si>
  <si>
    <t xml:space="preserve">Уют компани, закрыто актами </t>
  </si>
  <si>
    <t>Сантел Украина закрыто актами  (ремонт инструмента)</t>
  </si>
  <si>
    <t>Транспортные Альфабизнесгрупп, акол закрыто актами   
ф2 перебазировка инструмента бр Перкатого согласовано с директором+ акт</t>
  </si>
  <si>
    <t xml:space="preserve">списанные МШП </t>
  </si>
  <si>
    <t>бр.Жука-9 900грн.,не планир бр.Перкатого- 7 600грн.,бр.Вектор- 900грн</t>
  </si>
  <si>
    <t xml:space="preserve">Зп Ширшова апрель </t>
  </si>
  <si>
    <t>Бондарук П март</t>
  </si>
  <si>
    <t xml:space="preserve">
Бондарук 125,01=2 957,98
</t>
  </si>
  <si>
    <t xml:space="preserve">ф2-30л бензина Перкатому проезд домой (согласовано с директором)
Ширшов 40л=959,60
Перкатый 65л=1 640,35
приезд на обьект бр.Жука 9 чел (из-за не загруженности по работе согласовано с директором) - 4 470грн
уезд с обьекта 9чел- 2374грн
проезд на работу - -3 553,18
</t>
  </si>
  <si>
    <t xml:space="preserve">20 л бензина,виброплащадка,трамбовка дороги =560грн
грабли мет.черенки(по 5 шт)=500грн
</t>
  </si>
  <si>
    <t xml:space="preserve">Накопительный PL </t>
  </si>
  <si>
    <t xml:space="preserve">Гсм + проезды </t>
  </si>
  <si>
    <t>интернет , заправка картриджа</t>
  </si>
  <si>
    <t>спецодежда  42 507</t>
  </si>
  <si>
    <t>314640- аренда нежелых помещений</t>
  </si>
  <si>
    <t>офис</t>
  </si>
  <si>
    <t>PL Приднепровский МЭЗ</t>
  </si>
  <si>
    <t>Накопительный PL  январь-март 2020</t>
  </si>
  <si>
    <t>за минусом 572 000 грн не оплатили</t>
  </si>
  <si>
    <t xml:space="preserve">бонусы Ширшов </t>
  </si>
  <si>
    <t>доставка металлоконструкций Альфабизнесгрупп 3 ходки + 15 000 грн перебазировка СБМУ</t>
  </si>
  <si>
    <t>Июнь  2020</t>
  </si>
  <si>
    <t>PL Сватово очередь 2</t>
  </si>
  <si>
    <t>Аренда квартиры</t>
  </si>
  <si>
    <t>1820-  Терещенко
400 -Гончаренко</t>
  </si>
  <si>
    <t xml:space="preserve"> Терещенко на обьект Нежин-Киев-Сватово+ такси
</t>
  </si>
  <si>
    <t>600грн - налаживание отношений сэкскаваторщиками
 600грн. - взятка трактаристу за неделю
700грн. - первый бетон бр.Сватовские (традиция)</t>
  </si>
  <si>
    <t>0,5 мес Сватовские</t>
  </si>
  <si>
    <t>Терещенко</t>
  </si>
  <si>
    <t>согласно списания</t>
  </si>
  <si>
    <t>PL Королевка</t>
  </si>
  <si>
    <t>в т ч Козин (приходная часть+расходная часть)</t>
  </si>
  <si>
    <t>Июль  2020</t>
  </si>
  <si>
    <t xml:space="preserve">бр Жуки, Сватовские, Терещенко </t>
  </si>
  <si>
    <t>директор - 600 грн</t>
  </si>
  <si>
    <t xml:space="preserve">2700 - приезд бриг жука 4 чел (563 гр. Поезд киев-сватово+ проезд нежин - киев бла-блакар, доставка людей с инструментом на объект на такси 2*50 5 чел)
Такси  -800 грн
 </t>
  </si>
  <si>
    <t>гостинец сватовским(рабочим) 390грн., налаживание отнош.с руководящими сотрудниками завода.</t>
  </si>
  <si>
    <t>резиновые сапоги 4 пары=950 грн</t>
  </si>
  <si>
    <t>аренда трамбовки</t>
  </si>
  <si>
    <t xml:space="preserve">Терещенко А июль </t>
  </si>
  <si>
    <t>Первый бетон бр.Жука 4 чел *75грн</t>
  </si>
  <si>
    <t>ДХ Транс Украина  -  43 399,99 грн</t>
  </si>
  <si>
    <t xml:space="preserve">PL Пологи </t>
  </si>
  <si>
    <t>Август   2020</t>
  </si>
  <si>
    <t xml:space="preserve">сувениры день строителя </t>
  </si>
  <si>
    <t>Изготовление добора "цинк" для бункеров приема  и кровли цеха грануляции - 3 400 грн+ изготовление доп стропов, услуги электрика
Цех металлоконструкций - Цех грануляции лузги  - 48,79*14000= 683 060грн</t>
  </si>
  <si>
    <t>День Строителя на обьекте -4 000,00</t>
  </si>
  <si>
    <t>Уезд с обьекта 4чел бр.Жука -1 200,00
Приезд бр.на проф лист 3 чел (топливо) -750,00
приезд монтажников  силоса  5  чел -2 100,00
Проезд Голубева И согласно билетам -957,50
Приезд на обьект Воликова -350,00
Приезд  на обьект Чешко Сиряченко ( заправка топливо) -1 000,00</t>
  </si>
  <si>
    <t xml:space="preserve">Терещенко  - 3 250 грн
Бр Жук, Гончаренко  </t>
  </si>
  <si>
    <t>директор- 600 грн
Голубев И  - 400 грн</t>
  </si>
  <si>
    <t>лекарства для рабочего -120,00</t>
  </si>
  <si>
    <t>доставка мшп</t>
  </si>
  <si>
    <t>ремонт лебедки -650,00</t>
  </si>
  <si>
    <t>работа токаря -200,00</t>
  </si>
  <si>
    <t>Автокран XCMG - 155 767 ,11</t>
  </si>
  <si>
    <t xml:space="preserve">бр Сватовские </t>
  </si>
  <si>
    <t>Терещенко А за минусом штрафа 3 000 грн</t>
  </si>
  <si>
    <t>Автокран ХСМG  - (285*459,49)= 130 954,65
Автокран закрыто актами  - 5 017,27 грн
Перебазировка Автокран ХСМG  = 818км*27,42 грн = 22 429,56 грн</t>
  </si>
  <si>
    <t>Сентябрь  2020</t>
  </si>
  <si>
    <t>2 Акта ( проведены бух учет в октябре)</t>
  </si>
  <si>
    <t>4 чел бр.Сватовские</t>
  </si>
  <si>
    <t xml:space="preserve">в т ч металл для изготовления м/к цеха = 411 865,41 грн с НДС
за минусом склада обмена 118 884,07 грн
</t>
  </si>
  <si>
    <t xml:space="preserve">аренда квартиры 3500 Терещенко + к/у 800 грн за август </t>
  </si>
  <si>
    <t>без к/у, квартира в счет посл месяца</t>
  </si>
  <si>
    <t>Чешко,Сиряченко уезд с обьекта (газ на машину) -500,00</t>
  </si>
  <si>
    <t>ф1 - ИТР - 4 550 
Гончаренко - 3 500 + 400грн Голубев
ф2 - бр.Чешко 2 чел = 3000</t>
  </si>
  <si>
    <t xml:space="preserve">суточные Стариков </t>
  </si>
  <si>
    <t>РКО за переч.дс за акты -1 040,50
РКО за отправку пистолета для хим анкера на Сватово -230,00</t>
  </si>
  <si>
    <t>Новая почта  -2 504,50</t>
  </si>
  <si>
    <t>Виктория Макс - ремонт инструмента 
ф2 -Ремонт отбойника -400,00</t>
  </si>
  <si>
    <t>выдал Воронцов А.В - аванс Вектор -150 000,00</t>
  </si>
  <si>
    <t>карандаш строительный, прочие 
Бытовые покупки ( одеяло для Терещенко А) -305,00</t>
  </si>
  <si>
    <t>Терещенко сентябрь за минусом штрафа 1 000 грн</t>
  </si>
  <si>
    <t>PL Волчанск</t>
  </si>
  <si>
    <t xml:space="preserve">Штраф/ мат помощь </t>
  </si>
  <si>
    <t>Сборная - 56 250 грн
Харьковские - 9 340 грн 
Жук - 36 695 грн
Сватовские  - 178 352 грн</t>
  </si>
  <si>
    <t>Октябрь  2020</t>
  </si>
  <si>
    <t>14 800,00 - БЕЛЕС ТРАНС"ПП</t>
  </si>
  <si>
    <t>К/у Терещенко за октябрь -550,00</t>
  </si>
  <si>
    <t>Проезд Голубева по подотчету Киев-Сватово -810,38
Проезд Терещенко  по городу ( магазины, рынок) -260,00
Проезд Терещенко  Сватово-Киев- Кривой Рог -1 000,00</t>
  </si>
  <si>
    <t>Терещенко - 910грн
Гончаренко - 2 100</t>
  </si>
  <si>
    <t xml:space="preserve">РКО за перевод дс на карты </t>
  </si>
  <si>
    <t>ф2 - мшп + доставка Терещенко</t>
  </si>
  <si>
    <t>заправка баллона газом</t>
  </si>
  <si>
    <t>бр.Сватовские</t>
  </si>
  <si>
    <t>47520 - Чешко
34695 - Жук
164209,14 - Сватовские</t>
  </si>
  <si>
    <t>Горич</t>
  </si>
  <si>
    <t>Цех:</t>
  </si>
  <si>
    <t>Бутов Олександр</t>
  </si>
  <si>
    <t>Пономаренко Олександр</t>
  </si>
  <si>
    <t>Скрипник Сергій</t>
  </si>
  <si>
    <t>остальные</t>
  </si>
  <si>
    <t>Козин</t>
  </si>
  <si>
    <t>ЗП + Козин</t>
  </si>
  <si>
    <t>галер</t>
  </si>
  <si>
    <t>ЖД</t>
  </si>
  <si>
    <t>Всего</t>
  </si>
  <si>
    <t>в т.ч. комиссия</t>
  </si>
  <si>
    <t>удельный вес комиссии</t>
  </si>
  <si>
    <t>1. Расчет комиссии ФА:</t>
  </si>
  <si>
    <t xml:space="preserve">2. </t>
  </si>
  <si>
    <t>Чистая прибыль:</t>
  </si>
  <si>
    <t>Дивиденды выплачены</t>
  </si>
  <si>
    <t>Покупка ОС</t>
  </si>
  <si>
    <t>в т.ч.:</t>
  </si>
  <si>
    <t>техника</t>
  </si>
  <si>
    <t>фин.помощь,поплн.капит.</t>
  </si>
  <si>
    <t>ПК, ПО</t>
  </si>
  <si>
    <t>производственные ОС</t>
  </si>
  <si>
    <t>Платежное поручение исходящее 9463 от 28.01.2020 0:00:00</t>
  </si>
  <si>
    <t>РДК 250</t>
  </si>
  <si>
    <t>-246 540,00</t>
  </si>
  <si>
    <t>Платежное поручение исходящее 9502 от 31.01.2020 0:00:00</t>
  </si>
  <si>
    <t>Гусиничные экскаватор</t>
  </si>
  <si>
    <t>-750 000,00</t>
  </si>
  <si>
    <t>Расходный кассовый ордер N00017577 от 04.02.2020 12:00:04</t>
  </si>
  <si>
    <t>покупка экскаватора JCB 220 34 400 $</t>
  </si>
  <si>
    <t>-852 432,00</t>
  </si>
  <si>
    <t>Расходный кассовый ордер N00016963 от 05.02.2020 15:05:30</t>
  </si>
  <si>
    <t>Покупка гусенничного экскаватора (33 300 $)</t>
  </si>
  <si>
    <t>-833 215,00</t>
  </si>
  <si>
    <t>Платежное поручение исходящее 9657 от 14.02.2020 0:00:00</t>
  </si>
  <si>
    <t>-221 175,00</t>
  </si>
  <si>
    <t>Платежное поручение исходящее 9816 от 18.02.2020 0:00:00</t>
  </si>
  <si>
    <t>доплата за экскаватор 220</t>
  </si>
  <si>
    <t>-108 395,00</t>
  </si>
  <si>
    <t>Платежное поручение исходящее 000000513 от 31.03.2020 0:00:00</t>
  </si>
  <si>
    <t>-562 600,00</t>
  </si>
  <si>
    <t>Расходный кассовый ордер N00018123 от 31.03.2020 17:57:36</t>
  </si>
  <si>
    <t>покупка экскаватора JCB 3Cх 16 650$</t>
  </si>
  <si>
    <t>-466 200,00</t>
  </si>
  <si>
    <t>Расходный кассовый ордер N00018408 от 17.04.2020 15:28:32</t>
  </si>
  <si>
    <t>доплата за экскаватор 9000 $ 8350 - по курсу 28 грн - 233 800 + 300 по курсу 27,3 - 8 190 грн 350 по курсу 27,35 - 9572,5</t>
  </si>
  <si>
    <t>-251 562,50</t>
  </si>
  <si>
    <t>Платежное поручение исходящее 000001247 от 30.04.2020 11:19:10</t>
  </si>
  <si>
    <t>покупка автокрана</t>
  </si>
  <si>
    <t>-2 062 500,00</t>
  </si>
  <si>
    <t>Расходный кассовый ордер N00018609 от 30.04.2020 11:23:57</t>
  </si>
  <si>
    <t>Автокран 70 100$ курс 27 грн</t>
  </si>
  <si>
    <t>-1 892 700,00</t>
  </si>
  <si>
    <t>Платежное поручение исходящее 000001416 от 07.05.2020 12:50:04</t>
  </si>
  <si>
    <t>Тахеометр -1 шт, штатив дер. с клипсами -1 шт , минипризма -1 шт, стикир для отбивки а-4 -1 шт</t>
  </si>
  <si>
    <t>-104 364,00</t>
  </si>
  <si>
    <t>Платежное поручение исходящее 000001870 от 26.05.2020 0:00:00</t>
  </si>
  <si>
    <t>-134 425,00</t>
  </si>
  <si>
    <t>Платежное поручение исходящее 000002737 от 25.06.2020 0:00:00</t>
  </si>
  <si>
    <t>Покупка нового автокрана</t>
  </si>
  <si>
    <t>-272 442,00</t>
  </si>
  <si>
    <t>Платежное поручение исходящее 000002951 от 03.07.2020 0:00:00</t>
  </si>
  <si>
    <t>самосвал</t>
  </si>
  <si>
    <t>-137 500,00</t>
  </si>
  <si>
    <t>Расходный кассовый ордер N00019738 от 03.07.2020 17:29:02</t>
  </si>
  <si>
    <t>покупка самосвала 25000$*27,05</t>
  </si>
  <si>
    <t>-676 250,00</t>
  </si>
  <si>
    <t>Расходный кассовый ордер N00019737 от 03.07.2020 17:29:43</t>
  </si>
  <si>
    <t>покупка автокрана 54800$*27,05</t>
  </si>
  <si>
    <t>-1 482 340,00</t>
  </si>
  <si>
    <t>Платежное поручение исходящее 000003272 от 14.07.2020 0:00:00</t>
  </si>
  <si>
    <t>налоги за покупку камаза</t>
  </si>
  <si>
    <t>-2 205,88</t>
  </si>
  <si>
    <t>Платежное поручение исходящее 000003274 от 14.07.2020 0:00:00</t>
  </si>
  <si>
    <t>за покупку камаза</t>
  </si>
  <si>
    <t>-7 352,94</t>
  </si>
  <si>
    <t>Платежное поручение исходящее 000003506 от 24.07.2020 10:52:58</t>
  </si>
  <si>
    <t>автонавантажувач</t>
  </si>
  <si>
    <t>-1 210 170,00</t>
  </si>
  <si>
    <t>Платежное поручение исходящее 000004799 от 08.09.2020 13:24:04</t>
  </si>
  <si>
    <t>Аванс телескоп 2 000 $ *27.77</t>
  </si>
  <si>
    <t>-55 540,00</t>
  </si>
  <si>
    <t>Платежное поручение исходящее 000005108 от 15.09.2020 15:52:23</t>
  </si>
  <si>
    <t>Комплекс електродугової металізації КЕМ-1 (мод. 03-01) - 1 шт.</t>
  </si>
  <si>
    <t>-220 026,00</t>
  </si>
  <si>
    <t>Платежное поручение исходящее 000005107 от 15.09.2020 15:52:31</t>
  </si>
  <si>
    <t>Компресор А-1808 стаціонарний електричний гвинтовий - 1 шт; Система дистанційного керування - 1 шт; Повітряний рукав для дихання 9мм х 15мм, 40м - 1 шт; AirFlex-32 Повітряний рукав ID=32мм, бухта 40м - 0,125 шт; Фітинг Ду.32 DKR (1,1/4``-11) - 2 шт; Хомут для рукава 1.1/4" з захисними затискачами - 2 шт; Ресивер РВ 500.600-37 - 1 шт; Фильтр ФСВ -О-140 - 1 шт.</t>
  </si>
  <si>
    <t>-188 332,02</t>
  </si>
  <si>
    <t>Платежное поручение исходящее 000005470 от 29.09.2020 11:30:56</t>
  </si>
  <si>
    <t>кабеля для станка метализации и компрессора нового</t>
  </si>
  <si>
    <t>-13 993,25</t>
  </si>
  <si>
    <t>Платежное поручение исходящее 000005610 от 30.09.2020 11:29:08</t>
  </si>
  <si>
    <t>доплата телескоп 4 ( 46 100$ * 28.35)</t>
  </si>
  <si>
    <t>-1 306 935,00</t>
  </si>
  <si>
    <t>Платежное поручение исходящее 000005839 от 09.10.2020 9:37:38</t>
  </si>
  <si>
    <t>Аванс XCMG 55 73 000 евро *33,36 + 0,65 % РКО</t>
  </si>
  <si>
    <t>-2 451 109,32</t>
  </si>
  <si>
    <t>Платежное поручение исходящее 000005905 от 09.10.2020 13:00:39</t>
  </si>
  <si>
    <t>АВАНС 2000 дол.</t>
  </si>
  <si>
    <t>-56 520,00</t>
  </si>
  <si>
    <t>Платежное поручение исходящее 000006053 от 15.10.2020 14:40:09</t>
  </si>
  <si>
    <t>XCMG 55 = 69 500 евро *33,36+0,65 % РКО</t>
  </si>
  <si>
    <t>-2 333 590,38</t>
  </si>
  <si>
    <t>Платежное поручение исходящее 000006054 от 15.10.2020 14:45:16</t>
  </si>
  <si>
    <t>Полная оплата 49 500 *28, 35</t>
  </si>
  <si>
    <t>-1 403 505,00</t>
  </si>
  <si>
    <t>Автомобіль Renauit Kangoo</t>
  </si>
  <si>
    <t>не проведен:</t>
  </si>
  <si>
    <t>Ноябрь  2020</t>
  </si>
  <si>
    <t>на 30.10.2020</t>
  </si>
  <si>
    <t>ТОВ Вектор перевод Европочтой -147 000,00</t>
  </si>
  <si>
    <t>бр.Сватовские, 1 половина ноября</t>
  </si>
  <si>
    <t>2992 - Сватовские
15600 - Хрьковские
13739,36 - бр.Михальского</t>
  </si>
  <si>
    <t>11 500,00 - БЕЛЕС ТРАНС"ПП</t>
  </si>
  <si>
    <t>Пологи</t>
  </si>
  <si>
    <t>Приднепровский</t>
  </si>
  <si>
    <t>Декабрь  2020</t>
  </si>
  <si>
    <t>PL Харьов</t>
  </si>
  <si>
    <t>PL Беловоды</t>
  </si>
  <si>
    <t>сувениры на НГ</t>
  </si>
  <si>
    <t>Штраф/мат.помощь</t>
  </si>
  <si>
    <t>Мат.помощь Чайковскому Р. -10 000,00</t>
  </si>
  <si>
    <t>Обучение прораба Чайковского  -6 400,00</t>
  </si>
  <si>
    <t>Горич - 1839,95</t>
  </si>
  <si>
    <t>Заправка картриджа -460,00</t>
  </si>
  <si>
    <t xml:space="preserve">канцтовари  -1 391,58
клей ПВА, ножницы,расспечатка графика -112,00 </t>
  </si>
  <si>
    <t>Щетки, крючки, ведра, кисти, кислород, газ,Пленка, дюбеля, шайбы</t>
  </si>
  <si>
    <t xml:space="preserve">оплата охраннику за включение тепловых пушек 3 дня -300,00 </t>
  </si>
  <si>
    <t>Чайковский</t>
  </si>
  <si>
    <t>Компенсация прорабу -25 000,00</t>
  </si>
  <si>
    <t>Приезд на обьект бр.Логвиненко 5чел. -2 500,00
проезд за мшп -48,00
Кухар - Билет Киев-Харьк-Киев 677,66грн.+автостоянка- 80грн.,метро в Харькове- 16грн. -774,00
Проезд бр.Блудова 6чел.*500грн. -3 000,00
Проезд Чайковского Р -730,00</t>
  </si>
  <si>
    <t>бр.Логвиненко - 8000
бр.Блудова - 14 400
бр.Блудова -1 500,00</t>
  </si>
  <si>
    <t>Наша техника - Телескоп №2  - 174*393,70
4200 - Послуги із використанням техніки автокр.  СПЕЦТЕХБЕТОН ТОВ
80530 - СПЕЦТЕХБЕТОН ТОВ  услуги экскаватора</t>
  </si>
  <si>
    <t>700 - медосмотр
240 - Шатовська Анастасія Валентинівна ФОП Доставка Рощинська вода (бут)
ф2:
Таблички на вагон 4 шт -1 200,00 градусник -50,00 пирометр для измерения температуры -450,00</t>
  </si>
  <si>
    <t>34 000 + 29 000 - Белес транс
300 - ГЛОБАЛ РЕНТ УКРАИНА ТОВ  доставка нагрівача
920 - доставка пушки дизельн. 44кВт
951 - Технопідйом ТОВ доставка підйомника</t>
  </si>
  <si>
    <t>920 - ГЛОБАЛ РЕНТ УКРАИНА ТОВ  Оренда нагрівача
2760 - Оренда пушки дизельн. 44кВт Давидова Олена Юріївна ФОП
15400,80 - Технопідйом ТОВ Оренда підйомника</t>
  </si>
  <si>
    <t>3214 - ремонт підйомника Технопідйом ТОВ</t>
  </si>
  <si>
    <t>87 700 - БЕЛЕС ТРАНС"ПП</t>
  </si>
  <si>
    <t>Поздравление бригад с НГ -1 800,00</t>
  </si>
  <si>
    <t>Квартира Ромны ул.Щучки,1 30 дней+ залог за к/у -13000
Квартира Беловоды первый месяц+последний+залог за к/у -12 000,00
Квартира ИТР -9 000,00 (без залога)+2639 (ИТР гостиница) = 11639
Беловоды Дом первый +послед месяц -16 000,00</t>
  </si>
  <si>
    <t xml:space="preserve">Обуч.проф.бетонцик 6 чел.  -12240
Обуч.проф.монтажник Годунко, Ковтун  -4 080,00
Допуск до работ на высоте  монтажники Ковтун, Годунко  -1 400,00
</t>
  </si>
  <si>
    <t>Проезд бригад запавка газом - 2 250
Проезд Комлака газ 20л - 890
бр.Жука - приезд 3500+300грн проезд по городу
бр.Ковтуна - приезд 1000грн+300грн проезд по городу</t>
  </si>
  <si>
    <t>ф1 - бр.Ковтуна - 2чел
бр.Жука - 6чел
Грич,Комлак
ф2 - Кучма С с 10-28.12.2020 -1 900,00(бр.Жука)
Водитель- 200грн.</t>
  </si>
  <si>
    <t>Горич - 1839,95
Комлак  - 489,80
ф2 - Комлак 120 л по 12,5 грн -1 500,00</t>
  </si>
  <si>
    <t>канцтовари  -1 810,02</t>
  </si>
  <si>
    <t>Вода 10 бут, 10 бут тара , 3 помпы  -2 520,00</t>
  </si>
  <si>
    <t>Кофе+сахар -300,00</t>
  </si>
  <si>
    <t>ф2 - Покупка бочек металических 3 шт,стрейч пленка, перчатки - 1570</t>
  </si>
  <si>
    <t>Поддоны -4 500,00 
Щебень 2142т  -400 000,00</t>
  </si>
  <si>
    <t>Медосмотр Горич С.Г. -700,00
Медосмотр геодезиста Комлак  -700,00
48796,62 - спецодежда
Ф2:
725 - спецодежда
Обогреватель+чайники+переноска -2 621,00
 Таблички на вагон 4 шт -1 200,00</t>
  </si>
  <si>
    <t xml:space="preserve">Наша техника:
Телескоп №1  - 182*393,70
Экскаватор JCB 220 - 141,5*728,43
МАЗ 264 - 193*243,17
Виброкаток -  1*437,17+11*2000 простой 
Самосвал Камаз  - 125*251,16 
9 240 - РОМНИКОМУНТЕПЛО РОМЕНСЬКОЇ МІСЬКОЇ РАДИ КП  Послуги автокрану 
27 000,00 - ГРУЗОВИКТРАНС-СЕРВІС
Ф2:
автокран разгрузка катка -1 800,00 </t>
  </si>
  <si>
    <t>Комлак</t>
  </si>
  <si>
    <t>тягач в январе</t>
  </si>
  <si>
    <t>резервный фонд (ф1 и Ф2 кроме ячейки согласно фиксов)</t>
  </si>
  <si>
    <t>Штраф/мат помощь</t>
  </si>
  <si>
    <t>Заказчик</t>
  </si>
  <si>
    <t>Название заказа</t>
  </si>
  <si>
    <t>Ссылка</t>
  </si>
  <si>
    <t>Количество</t>
  </si>
  <si>
    <t>Номенклатура</t>
  </si>
  <si>
    <t>Примечание номенклатура</t>
  </si>
  <si>
    <t>Староконстантинов</t>
  </si>
  <si>
    <t>Галерея Староконстантинов- 3</t>
  </si>
  <si>
    <t>Отгрузка продукции 000000039 от 02.11.2020 17:10:01</t>
  </si>
  <si>
    <t>Галерея Староконстантинов - 3</t>
  </si>
  <si>
    <t>Галерея Староконстантинов- 4</t>
  </si>
  <si>
    <t>Отгрузка продукции 000000040 от 05.11.2020 10:23:54</t>
  </si>
  <si>
    <t>Галерея Староконстантинов - 4</t>
  </si>
  <si>
    <t>Галерея Староконстантинов- 5</t>
  </si>
  <si>
    <t>Отгрузка продукции 000000042 от 10.11.2020 16:45:28</t>
  </si>
  <si>
    <t>Галерея Староконстантинов - 5</t>
  </si>
  <si>
    <t>ЖД "Староконстантинов" - 10</t>
  </si>
  <si>
    <t>Отгрузка продукции 000000046 от 24.11.2020 13:44:28</t>
  </si>
  <si>
    <t>м/к Жд Староконстантинов - 10</t>
  </si>
  <si>
    <t>ЖД "Староконстантинов" - 11</t>
  </si>
  <si>
    <t>Отгрузка продукции 000000048 от 28.11.2020 11:17:08</t>
  </si>
  <si>
    <t>м/к Жд Староконстантинов - 11</t>
  </si>
  <si>
    <t>ЖД "Староконстантинов" - 12</t>
  </si>
  <si>
    <t>Отгрузка продукции 000000049 от 01.12.2020 18:00:00</t>
  </si>
  <si>
    <t>м/к Жд Староконстантинов - 12</t>
  </si>
  <si>
    <t>ЖД "Староконстантинов" - 13</t>
  </si>
  <si>
    <t>Отгрузка продукции 000000050 от 07.12.2020 17:00:00</t>
  </si>
  <si>
    <t>м/к Жд Староконстантинов - 13</t>
  </si>
  <si>
    <t>ЖД "Староконстантинов" - 14</t>
  </si>
  <si>
    <t>Отгрузка продукции 000000051 от 09.12.2020 14:34:11</t>
  </si>
  <si>
    <t>м/к Жд Староконстантинов - 14</t>
  </si>
  <si>
    <t>ЖД "Староконстантинов" - 15</t>
  </si>
  <si>
    <t>Отгрузка продукции 000000052 от 11.12.2020 12:00:00</t>
  </si>
  <si>
    <t>м/к Жд Староконстантинов - 15</t>
  </si>
  <si>
    <t>ЖД "Староконстантинов" - 16</t>
  </si>
  <si>
    <t>Отгрузка продукции 000000053 от 17.12.2020 9:13:18</t>
  </si>
  <si>
    <t>м/к Жд Староконстантинов - 16</t>
  </si>
  <si>
    <t>ЖД "Староконстантинов" - 17</t>
  </si>
  <si>
    <t>Отгрузка продукции 000000054 от 21.12.2020 13:47:28</t>
  </si>
  <si>
    <t>м/к Жд Староконстантинов - 17</t>
  </si>
  <si>
    <t>ЖД "Староконстантинов" - 18</t>
  </si>
  <si>
    <t>Отгрузка продукции 000000055 от 25.12.2020 12:20:00</t>
  </si>
  <si>
    <t>м/к Жд Староконстантинов - 18</t>
  </si>
  <si>
    <t>ЖД "Староконстантинов" - 6</t>
  </si>
  <si>
    <t>Отгрузка продукции 000000037 от 05.11.2020 9:48:50</t>
  </si>
  <si>
    <t>м/к Жд Староконстантинов - 6</t>
  </si>
  <si>
    <t>ЖД "Староконстантинов" - 7</t>
  </si>
  <si>
    <t>Отгрузка продукции 000000041 от 10.11.2020 16:44:43</t>
  </si>
  <si>
    <t>м/к Жд Староконстантинов - 7</t>
  </si>
  <si>
    <t>ЖД "Староконстантинов" - 8</t>
  </si>
  <si>
    <t>Отгрузка продукции 000000043 от 14.11.2020 12:20:36</t>
  </si>
  <si>
    <t>м/к Жд Староконстантинов - 8</t>
  </si>
  <si>
    <t>ЖД "Староконстантинов" - 9</t>
  </si>
  <si>
    <t>Отгрузка продукции 000000045 от 18.11.2020 13:56:54</t>
  </si>
  <si>
    <t>м/к Жд Староконстантинов - 9</t>
  </si>
  <si>
    <t>Инструменталка</t>
  </si>
  <si>
    <t>Отгрузка продукции 000000044 от 14.11.2020 12:21:53</t>
  </si>
  <si>
    <t>Инструменталка 2000*2500мм</t>
  </si>
  <si>
    <t>Харьков</t>
  </si>
  <si>
    <t>Бытовка</t>
  </si>
  <si>
    <t>Отгрузка продукции 000000047 от 25.11.2020 12:00:00</t>
  </si>
  <si>
    <t>Итого</t>
  </si>
  <si>
    <t xml:space="preserve">2020 PL </t>
  </si>
  <si>
    <t>Январь  2021</t>
  </si>
  <si>
    <t>PL Олияр</t>
  </si>
  <si>
    <t>PL Яр Вал</t>
  </si>
  <si>
    <t>Накопительный PL объекта</t>
  </si>
  <si>
    <t>Гриценко</t>
  </si>
  <si>
    <t>Стариков</t>
  </si>
  <si>
    <t>Горич 50%</t>
  </si>
  <si>
    <t>15 179 Величковский</t>
  </si>
  <si>
    <t>19 796,82 Иванчиков
5 000 - Кроль</t>
  </si>
  <si>
    <t>Ф2:
11 312,19 - Гуртовой 
15 117 - Хомич</t>
  </si>
  <si>
    <t>Ф2:
10 179 - Комлак
25 000 - Чайковский</t>
  </si>
  <si>
    <t>Жук, Ковтун</t>
  </si>
  <si>
    <t>ул.Харьковских Дивизий,4/2 кв.12 -7 500,00(январь+февраль)
пр.Юбилейний 32/186 кв.128 -6 500,00(январь+февраль)
Квартира РМ 1/2 первій+последниймесяц+риалтор -10 500,00
К/у бр.Блудова -1 460,00
К/у бр.Логвиненко -1 520,00</t>
  </si>
  <si>
    <t>Тарасенко С  -400,00
Воронцов АВ  -400,00
ф2 - бр.Блудова 6чел*34дн*100грн(планир 11 дней)</t>
  </si>
  <si>
    <t>кофе,чай,сахар</t>
  </si>
  <si>
    <t>Дюбель-гвоздь 6*60 - 1000шт*0,5=500грн, шайба 1000*4=400грн, круг отр 125 5*10=50 грн, круг шлиф 125 5*20=100 грн, стекло защитное для сварки 6*20= 120грн, личинка на замок = 150 грн, угольник = 130 грн, перчатки 4 пары*10 грн= 40грн, держак 500А - 150 грн¶
замок на вагончик замена 
замок,навесы</t>
  </si>
  <si>
    <t>а/к ул.Щучки,1 январь -5 000,00
А/к Беловод (механизаторы) январь -5 000,00
Дом Беловоды (бр.Жука) январь -8 000,00
А/к ИТР Чайковского первый+последний месяц -12 000,00
Квартира РМ 1/2 первій+последниймесяц+риалтор -10 500,00
дом Ромни  Овсиенко,19 -9 000,00
к/у ул.Щучки,1 доплата за декабрь -800,00
К/у Беловод (механизаторы) доплата за декабрь -1 560,00
К/у за дом (бр.Жука) декабрь -4 000,00
дом Ромни Овсиенко,19 залог за коммунальные платежи -3 000,00</t>
  </si>
  <si>
    <t>ф2 Чайковский ИТР(21день*130грн)+ Кучма (21дн*100грн)
ф1 - РМ-2600 (20дней) , геодедист - 2730 (21д) + 10чел*21д+4чел*7дн</t>
  </si>
  <si>
    <t>2337,25 - ГСМ Горич
Компенсация проезда Кухар С. согласно билета и подотчета -867,00</t>
  </si>
  <si>
    <t>Проезд Чайковского -500,00
Приезд бр.Жука 5чел -2 500,00
Проезд бригад заправка газом -4 878
Комлак- 499,80,Горич - 2337,25
Заправка трамбовки - 499,80грн
ф2 - Газ Комлак -1 500,00</t>
  </si>
  <si>
    <t>НП</t>
  </si>
  <si>
    <t xml:space="preserve">Ф2 Строительный фен+мшп -3 500,00 </t>
  </si>
  <si>
    <t>Оплата за вывоз грунта -57 116,90
Оплата за вывоз грунта (70 824,66) -1 558,44</t>
  </si>
  <si>
    <t>ф1 - Гриценко 
ф2 бр. Колесника - 9600 ( 24дня)
Командировочние бр. Иршадова 2чел*7дн*100грн -1 400,00</t>
  </si>
  <si>
    <t>2176,59 - ГСМ Гриценко
проезд соискателя на собеседование к Гриценко -630,00
 Приезд уезд бр. Иршадова 2 чел по 500грн -2 000,00</t>
  </si>
  <si>
    <t>Ф2: Фитинги для ремонта трубопровода -1 660,00
Уголок 45*45*3 (16 м.п.) для бытовки -920,00</t>
  </si>
  <si>
    <t>Аренда машин для вывоза мусора (185 тон) под акт №56 январь -31 905,00</t>
  </si>
  <si>
    <t>Наша техника:
Экскаватор 3сх 2008 - 94*409,71</t>
  </si>
  <si>
    <t>А/к ИТР 1 (живут механизаторы) -4 000,00
ИТР 2  -4 000,00
21073 - к/у</t>
  </si>
  <si>
    <t>представительские забрал Вороонцов -15 000,00</t>
  </si>
  <si>
    <t>выдано Воронцову АВ -2 800,00</t>
  </si>
  <si>
    <t>250 - заправка артриджа</t>
  </si>
  <si>
    <t>бумага для принтера -247,00
ручка 10 шт-209грн., маркет 4шт- 60грн. -269,00</t>
  </si>
  <si>
    <t>100 - респираторы
3 353,05 - колено,тройник,щетки для болгарки,шурупы,шпилька,гайки,шайбы,электроды,ревизия,трап</t>
  </si>
  <si>
    <t>260 - цемент</t>
  </si>
  <si>
    <t>6000 - Козеев
500 - Исычко</t>
  </si>
  <si>
    <t>ГСМ Стариков, Гуртовой, трамбовка
проезд бригад</t>
  </si>
  <si>
    <t>Наша техника:
Телескоп № 4 - 179*393,7
Экскаватор JCB 2013 - 154*409,71
Маз 265 - 44*243,17
Автокран Клинцы - 65*405,2
500 - Аренда крана
450 - Аренда погрузчика 3 часа(наш погрузчик сломался)</t>
  </si>
  <si>
    <t>Аренда гостиницы Стариков С -600,00
ИТР - 2730
бр.Пономарева</t>
  </si>
  <si>
    <t>Представительские начальнику охраны -168,00</t>
  </si>
  <si>
    <t>доставка матрацов НП -69,00</t>
  </si>
  <si>
    <t>бытовая химия+принадлежности -311,40
300 - кофе, чай</t>
  </si>
  <si>
    <t>3451,70 - биты,распираторы,замок,брелки,саморезы,гвозди,сверла,очки
1469,30 - Лента самоклейка-61,30грн., зуболо-4шт- 794грн., мел,универс.клюк-195грн.,болты,гайки,шайбы,провод-419грн.</t>
  </si>
  <si>
    <t>разработка КМД(услуги сторонних организаций) -19 900,00
Оплата электрику за подключение вагончиков + за сбор эл.щитов 3шт -900,00
Изготовления ППР -3 015,08</t>
  </si>
  <si>
    <t>250 - Залог за пропуска ИТР
300 - залог за пропуск бр.Пономаренко
503 - Чашки для кофе-63грн.,распечатка ППР-440грн.</t>
  </si>
  <si>
    <t xml:space="preserve">3613,76 - ГСМ Стариков 50%
Приезд на объект бр. Пономарева -3 200,00
Приезд ИТР Величковского на обьект -380,00
Проезд на обьект ИТР и рабочих -200,00
Приезд ИТР Кроль НА на обьект и проезд до конца месяца -1 005,00
150 - такси на объект ИТР
доставка скоб такелажных на обьект -100,00 </t>
  </si>
  <si>
    <t>Проживание 2х чел*6дн*60грн -720,00
Проживание Бондарука 19-23.01.2021 -2 000,00
Проживание Петрова Д перечисление на карты по указанию директора -300,00</t>
  </si>
  <si>
    <t xml:space="preserve">Бондарук ПГ  -600,00
бр Олейник 2*5 дн*100=1000,00 грн; -1 000,00 
Суточные Петрова Д перечисление на карты по указанию директора -600,00 </t>
  </si>
  <si>
    <t>кофе чай -500,00</t>
  </si>
  <si>
    <t>Премия Сычу -28 000,00</t>
  </si>
  <si>
    <t xml:space="preserve">3748,5 - ГСМ Бондарук
отъезд бр.Жука 5чел * 400 -2 000,00
отъезд бр.Олейника 5чел * 350 -1 750,00
Приезд 2х чел , отъезд 2х чел -1 800,00
Ввоз-вывоз инструментов,перевозка людей -400,00
Проезд Петрова Д перечисление на карты по указанию директора -90,00
машина за доставку баллонов -200,00 </t>
  </si>
  <si>
    <t>бр.Жука 43 730
бр.Исичко 223 236,53
бр.Козеева 310 564,04</t>
  </si>
  <si>
    <t>6 100 - БЕЛЕС ТРАНС"ПП
1 500 - ЮГКОМ ТОВ
350,40 - Пологпостач ТДВ
2 190 - ГРАДОЛІТ"ТОВ
3 000 - Олександрівськ ТД ТОВ</t>
  </si>
  <si>
    <t>5 184 - ПРОКАТОФФ ТОВ аренда отбойного молота
1 500 - Пологпостач ТДВ
аренда отбойного молота по месту 2 дня -600,00</t>
  </si>
  <si>
    <t>1 494 - ПРОКАТОФФ ТОВ Ремонт віброплити</t>
  </si>
  <si>
    <t>бр.Шкуркина 99 181,65
бр.Косенко 29 256
бр.Логвиненко 82 449,20
бр.Блудова 245 103,60</t>
  </si>
  <si>
    <t>24 000 - БЕЛЕС ТРАНС"ПП</t>
  </si>
  <si>
    <t>Наша техника: 
Телескоп №2 - 213*393,70
Экскаватор 3сх 2008 - 105*409,71
4480,01 - СПЕЦТЕХБЕТОН ТОВ аренда самосвала
951 - Технопідйом ТОВ
14 731,12 - Технопідйом ТОВ аренда подъмника</t>
  </si>
  <si>
    <t xml:space="preserve">300 - ГЛОБАЛ РЕНТ УКРАИНА ТОВ
300 - Кріотехгаз УПК ТОВ
4080 - ГУБІН АНДРІЙ СЕРГІЙОВИЧ ФОП аренда гидромолота
4 800 - ГЛОБАЛ РЕНТ УКРАИНА ТОВ аренда нагревателя
2 310 - Кріотехгаз УПК ТОВ аренда баллонов
Аренда домкрата -8 000,00 </t>
  </si>
  <si>
    <t>3062 - МЕТІНВЕСТ-СМЦ ТОВ порезка металлопрката
раскладушка для механизаторов -950,00 
Табличка металева під срібло  з інвентаризац.номером 200 х 150 мм - 3 шт. (на Харків КМД -1 шт. інв.№001172 та на Олія - 2 шт. (інв.номер уточнюється)  -712,80</t>
  </si>
  <si>
    <t>Наша техника: 
МАЗ 265 - с Полг на Беловоды 570*16,08(перегон)
Виброкаток - 12*2000 простой
Телескоп №1 - 145*393,7
Экскаватор JCB 220 - 69*728,43
Маз 264 - 127*243,17 
Маз 265 - 93*243,17
Самосвал Камаз - 78*251,16
Виброкаток - 23*437,17
15 840 - РОМНИКОМУНТЕПЛО РОМЕНСЬКОЇ МІСЬКОЇ РАДИ КП автокран</t>
  </si>
  <si>
    <t>34 100 - БЕЛЕС ТРАНС"ПП
200 - АТЛАНТ БУД СХІД"ТОВ доставка плиты
36 500 - МЕТІНВЕСТ-СМЦ ТОВ</t>
  </si>
  <si>
    <t>47 552 - Пері Україна ТОВ</t>
  </si>
  <si>
    <t>57,00 - МЕТІНВЕСТ-СМЦ ТОВ Порізка металопрокату</t>
  </si>
  <si>
    <t>44,27 - Пері Україна ТОВ</t>
  </si>
  <si>
    <t>702 - ДНІПРОПРОМСІНТЕЗ" ТОВ аренда баллонов</t>
  </si>
  <si>
    <t>14 280 - БУДМАШОСНОВА"НКЦ ТОВ
7 250 - ФАХІВЕЦЬ ОЦ"ТОВ</t>
  </si>
  <si>
    <t>5 600 - Медпроф ТОВ медосмотр</t>
  </si>
  <si>
    <t>4200 - БЕЛЕС ТРАНС"ПП</t>
  </si>
  <si>
    <t>700 - Медпроф ТОВ</t>
  </si>
  <si>
    <t>7 900 - КИЇВСЬКИЙ НВК"ТОВ профобучение</t>
  </si>
  <si>
    <t>1 224 885,44 - металлизация 1558,2 м.кв. * 786,09
437 157,60 - ЕЛЕКТРОСЕРВІС-М"ТОВ  электромонтажные работы
2000 - изготовление отливов 50 м.п. на насосную</t>
  </si>
  <si>
    <t>4030 - Нагорний Юрій Володимирович ФОП Послуги перебазування</t>
  </si>
  <si>
    <t>21 975 - Нагорний Юрій Володимирович ФОП Послуги із використанням техніки автокр., екскаватор;
1400 - Кран на бытовки с Кропивницкого 06-07.01</t>
  </si>
  <si>
    <t>27 грн *518,54 км Форд Тягач
104 937,50 - БУДКОМПЛЕКТ КР" ТОВ аренда экскаватора
2600 - (Кран отгрузка люльки и колокольчика на Кр. Рог - 1200Кран отгрузка бытовок на Кр. Рог- 1400 )</t>
  </si>
  <si>
    <t>Из бр Козеев:
1. Михальчук В.;
2. Хаванский В.</t>
  </si>
  <si>
    <t xml:space="preserve"> бр.Козеева 
1. 3чел*13дней*100грн. = 3900грн (ф2)
2. 11918 - проживание в хостеле
ф21
3.(2чел*2дня+2чел*14дн)*100грн</t>
  </si>
  <si>
    <t>1. Козеев (2 чел из бригады на Яр Вал работают), 2.Исичко</t>
  </si>
  <si>
    <t>Дельта:</t>
  </si>
  <si>
    <t>Февраль  2021</t>
  </si>
  <si>
    <t>рко</t>
  </si>
  <si>
    <t>Бригада Колесник, согласно акта</t>
  </si>
  <si>
    <t xml:space="preserve">Аренда квартиры февраль (Независимости 40). </t>
  </si>
  <si>
    <t>РМ -200</t>
  </si>
  <si>
    <t xml:space="preserve">
ф2 - бр.Колесни 4чел*24 дня(поанир 18дне)*100грн</t>
  </si>
  <si>
    <t>акустична система (по распоряжению директора)</t>
  </si>
  <si>
    <t>Будівельний двір</t>
  </si>
  <si>
    <t>бр. Козеева</t>
  </si>
  <si>
    <t>обучение Стожко И.</t>
  </si>
  <si>
    <t>Стожко И</t>
  </si>
  <si>
    <t>арендасторонней техники (кран манипулятор) - 11 180</t>
  </si>
  <si>
    <t>трансп.послуги Вишневе-Київ</t>
  </si>
  <si>
    <r>
      <rPr>
        <u/>
        <sz val="11"/>
        <rFont val="Times New Roman"/>
        <family val="1"/>
        <charset val="204"/>
      </rPr>
      <t>Из бр Козеев:</t>
    </r>
    <r>
      <rPr>
        <sz val="11"/>
        <rFont val="Times New Roman"/>
        <family val="1"/>
        <charset val="204"/>
      </rPr>
      <t xml:space="preserve">
1. Михальчук В.;
2. Хаванский Владимир;</t>
    </r>
  </si>
  <si>
    <t>бр.Гура = 88 349,5;
бр. Шух = 34 752;
бр. Логвиненко = 35 484;
бр. Блудов = 101 123,95грн</t>
  </si>
  <si>
    <t>бр. Пономарев</t>
  </si>
  <si>
    <t>Аренда кввартирі ИТР и бр.Пономаренко+коммунальные</t>
  </si>
  <si>
    <t>РКО</t>
  </si>
  <si>
    <t>Заправка и ремонт катриджа -300,00</t>
  </si>
  <si>
    <t xml:space="preserve">НП-2502,10
Ф2 - Доставка насоса и отбойного молотка(нп) -150,00 </t>
  </si>
  <si>
    <t>кофе,сахар</t>
  </si>
  <si>
    <t>1540-Ремонт отбойного молотка МАКИТА</t>
  </si>
  <si>
    <t>45- Распечатка графика в типографии 50 - Залог на пропуска Крановщикам на МКГ (залоговая сумма) = 50*2 = 100грн -100,00
Залог за насос для откачки воды(МИТЕК) -2 300,00
800-сумка для ноутбука Величковский,кабель</t>
  </si>
  <si>
    <t>Премия за первый бетон бригада Пономарев -1 000,00</t>
  </si>
  <si>
    <t>6чел по ЦПФ бр. Пономарева</t>
  </si>
  <si>
    <t>Пери Украина = 18 961,44</t>
  </si>
  <si>
    <t>605 (ф2) - щетки по металлу,стрейч пленка,уголки</t>
  </si>
  <si>
    <t>белый маркер</t>
  </si>
  <si>
    <t>за минусом перемещения на ЦЕХ 78 426,1</t>
  </si>
  <si>
    <r>
      <t xml:space="preserve">350-Оренда отбойного молотка ДЕВОЛЬТ
</t>
    </r>
    <r>
      <rPr>
        <sz val="11"/>
        <rFont val="Times New Roman"/>
        <family val="1"/>
        <charset val="204"/>
      </rPr>
      <t xml:space="preserve">1512 - Оренда балонів: Кисень - 9 бал., </t>
    </r>
  </si>
  <si>
    <t>1800-Аренда гостиницы Стариков С
 926,68 - Проезд Кухар С на обьект инвентаризация
ф1-400грн суточные Кухар</t>
  </si>
  <si>
    <t>Гриценко А.В. 50%</t>
  </si>
  <si>
    <t xml:space="preserve">квартира РМ - 4000;
к/у пр.Ювилейный 32/186 кв.128 -1 215,00
К/у вул.Харковской Дивизии 4/2 кв.12 -1 280,00
</t>
  </si>
  <si>
    <t>Проезд Кухара С на инвентаризацию -1 094,00</t>
  </si>
  <si>
    <t>бр.Блудова 6чел*28дн*100грн</t>
  </si>
  <si>
    <t>ГСМ (топливо) - Горич С. 50%</t>
  </si>
  <si>
    <t>Вода - 24 шт</t>
  </si>
  <si>
    <t>ф1- Цех-10,8 * 14 000 = 151 200грн
ф2 -  бурение скважин -20 000,00 грн</t>
  </si>
  <si>
    <t xml:space="preserve">ЗП ИТР Иванчиков
</t>
  </si>
  <si>
    <t>Квартира Беловод механизаторы 6 чел -6 000,00
дом Беловоды бр.Жука -8 000,00
Дом Ромны ул.Щучки,1 -5 000,00
Квартира ИТР Ромни 3й переул.Маяковского 3 -6 000,00
бр Ковтуна проживание 14дн*2чел*50грн -1 400,00
дом м.Ромни вул. Овсієнко,19 -9 000,00
РМ-Горич -4 000,00
К/у Беловод механизаторы 6 чел за январь -3 254,00
К/у дом Беловоды бр.Жука за январь -6 000,00
Дом Ромны ул.Щучки,1 за январь -3 386,00
Квартира ИТР Ромни 3й переул.Маяковского 3 за январь -2 812,00</t>
  </si>
  <si>
    <t>Получение проф.бетонщика Кучма С.  -2 040,00
Допуск высота бетонщик Кучма С.  -700,00</t>
  </si>
  <si>
    <r>
      <rPr>
        <u/>
        <sz val="11"/>
        <rFont val="Times New Roman"/>
        <family val="1"/>
        <charset val="204"/>
      </rPr>
      <t xml:space="preserve">Суточные:
</t>
    </r>
    <r>
      <rPr>
        <sz val="11"/>
        <rFont val="Times New Roman"/>
        <family val="1"/>
        <charset val="204"/>
      </rPr>
      <t>ф1-45000
ф2-бр.Жука,бр.Ковтуна,бр.Бехбудова,ИТР Чайсковский=9940</t>
    </r>
  </si>
  <si>
    <t xml:space="preserve">
ф1 - бр.Козеева
ф2 - бр Козеева 2ч*7дн*100=1400,Бодюл 1 400грн</t>
  </si>
  <si>
    <t>приезд на объект бр.Козеева 8 февраля -435,00</t>
  </si>
  <si>
    <t xml:space="preserve">
ф1 Суточные - Кроль,Величковский
ф2 Суточные- бр.Пономарева</t>
  </si>
  <si>
    <r>
      <t xml:space="preserve">
</t>
    </r>
    <r>
      <rPr>
        <sz val="11"/>
        <rFont val="Times New Roman"/>
        <family val="1"/>
        <charset val="204"/>
      </rPr>
      <t>2769,25-ГСМ Кроль (ф1)
Кроль
заправка топлива по чеку (не было рядом заправки) -200(ф2)
Проезд бр. Пономарева -700 (ф2)</t>
    </r>
    <r>
      <rPr>
        <sz val="11"/>
        <color rgb="FFFF0000"/>
        <rFont val="Times New Roman"/>
        <family val="1"/>
        <charset val="204"/>
      </rPr>
      <t xml:space="preserve">
</t>
    </r>
  </si>
  <si>
    <r>
      <rPr>
        <u/>
        <sz val="11"/>
        <color rgb="FFFF0000"/>
        <rFont val="Times New Roman"/>
        <family val="1"/>
        <charset val="204"/>
      </rPr>
      <t xml:space="preserve">Наша техника: </t>
    </r>
    <r>
      <rPr>
        <sz val="11"/>
        <color rgb="FFFF0000"/>
        <rFont val="Times New Roman"/>
        <family val="1"/>
        <charset val="204"/>
      </rPr>
      <t xml:space="preserve">
Тячгач Форд = 17 172
Телескоп №2 - 88 583
Экскаватор 2008 - 91 365</t>
    </r>
    <r>
      <rPr>
        <sz val="11"/>
        <rFont val="Times New Roman"/>
        <family val="1"/>
        <charset val="204"/>
      </rPr>
      <t xml:space="preserve">
Сторонняя техника Спецехбетон:
Автокран = 7800
Самосвал = 11 200
Технопойом = аренда подйомникам = 54 746
</t>
    </r>
    <r>
      <rPr>
        <u/>
        <sz val="11"/>
        <rFont val="Times New Roman"/>
        <family val="1"/>
        <charset val="204"/>
      </rPr>
      <t/>
    </r>
  </si>
  <si>
    <r>
      <rPr>
        <sz val="11"/>
        <color rgb="FFFF0000"/>
        <rFont val="Times New Roman"/>
        <family val="1"/>
        <charset val="204"/>
      </rPr>
      <t xml:space="preserve">
</t>
    </r>
    <r>
      <rPr>
        <sz val="11"/>
        <rFont val="Times New Roman"/>
        <family val="1"/>
        <charset val="204"/>
      </rPr>
      <t>Спецтехбетон = 780
Криотехгаз = 1500
ХС Груп = 3 200
Техноподйом = 4800</t>
    </r>
  </si>
  <si>
    <t>порезка метала Метинвест</t>
  </si>
  <si>
    <t>913-диагностика оборудования (Виктория Макс)</t>
  </si>
  <si>
    <t>Наша техника:
Телескоп №4 - 71 063
Автокран Клинцы - 40520
ф2 - Аренда погрузчика(аренда техники) наш на ремонте</t>
  </si>
  <si>
    <t>2500 - БЕЛЕС ТРАНС"ПП
5500-Вартис</t>
  </si>
  <si>
    <t>47 000 - БЕЛЕС ТРАНС"ПП
2 790-Рубин
200-Атлант Буд</t>
  </si>
  <si>
    <t>129 862,6 - Пері Україна ТОВ</t>
  </si>
  <si>
    <t>6700-ремонт арендного оборудования Рудик ФОП
1480-Ремонт зварювального апарату - Виктория Макс
627,98 Ремонт+з/ч Шліфмашина кутова GA 9020 MAKITA  - Виктория Макс</t>
  </si>
  <si>
    <t xml:space="preserve">Наша техника:
Телескоп №1 - 85 464
Экскаватор 220 - 45 891
МАЗ 264 - 52 749
Автокран Клинцы - 27 554
Экскаватор 2013- 63 381
МАЗ 265 - 47 399
Самосвал Камаз - 9 293
Виброкаток - 34 492
</t>
  </si>
  <si>
    <t>ЦЕХ = 31,18*14 000 = 436 520грн
Оплата за работу електрика за переподключение крана -350,00 (ф2)
Доставка лаборатории для обследования металла -1 700,00 (ф2)
13 000-резка метала Метинвест</t>
  </si>
  <si>
    <r>
      <rPr>
        <sz val="11"/>
        <rFont val="Times New Roman"/>
        <family val="1"/>
        <charset val="204"/>
      </rPr>
      <t>Услуги екскаватора - 228 650 - Будкомплект</t>
    </r>
    <r>
      <rPr>
        <sz val="11"/>
        <color rgb="FFFF0000"/>
        <rFont val="Times New Roman"/>
        <family val="1"/>
        <charset val="204"/>
      </rPr>
      <t xml:space="preserve">
</t>
    </r>
    <r>
      <rPr>
        <sz val="11"/>
        <rFont val="Times New Roman"/>
        <family val="1"/>
        <charset val="204"/>
      </rPr>
      <t>Услуги самосвала - 124 125 - Будкомплект
услуги автотранспорта - 36 000 - Будкомплект КР
Форд Тягач = 27 243грн (1009км)</t>
    </r>
    <r>
      <rPr>
        <sz val="11"/>
        <color rgb="FFFF0000"/>
        <rFont val="Times New Roman"/>
        <family val="1"/>
        <charset val="204"/>
      </rPr>
      <t xml:space="preserve">
</t>
    </r>
  </si>
  <si>
    <t>РКО -26,84</t>
  </si>
  <si>
    <t>кофе,чай сахар</t>
  </si>
  <si>
    <t xml:space="preserve">5090- Порубка та загиб металу (завод Кобзаренко)
доставка компресору з SAT -400,00 </t>
  </si>
  <si>
    <r>
      <t xml:space="preserve">80л газ-1000грн.,заправка баллонов 2*20=40грн. -1 040,00
60л газ-870грн.,заправка баллонов 2*20=40грн. -910,00
2 436 (ф2) - шланги, кровати, лопаты
</t>
    </r>
    <r>
      <rPr>
        <u/>
        <sz val="11"/>
        <rFont val="Times New Roman"/>
        <family val="1"/>
        <charset val="204"/>
      </rPr>
      <t>ф1</t>
    </r>
    <r>
      <rPr>
        <sz val="11"/>
        <rFont val="Times New Roman"/>
        <family val="1"/>
        <charset val="204"/>
      </rPr>
      <t xml:space="preserve">
Медосмотр -- 1900
Допуск высота бетонщик Кучма С. = 700грн</t>
    </r>
    <r>
      <rPr>
        <sz val="11"/>
        <color rgb="FFFF0000"/>
        <rFont val="Times New Roman"/>
        <family val="1"/>
        <charset val="204"/>
      </rPr>
      <t xml:space="preserve">
</t>
    </r>
    <r>
      <rPr>
        <sz val="11"/>
        <rFont val="Times New Roman"/>
        <family val="1"/>
        <charset val="204"/>
      </rPr>
      <t>Залог за мойку высокого давления  -7 000,00
746,4-вибротрамбовка</t>
    </r>
  </si>
  <si>
    <t>Приезд Пахмова+Семенченко, проезд бригад -2 626,00
542*3чел (проезд бригад) - 4 878 грн
геодезист Гучук -приезд 500 грн 
приезд Бехбудов 3чел. -1 500,00 грн
геодезист Гучук - 1000 газ топливо февраль -1 000,00
ГСМ (топливо) Комлак = 509,8(20Л)</t>
  </si>
  <si>
    <r>
      <rPr>
        <sz val="11"/>
        <rFont val="Times New Roman"/>
        <family val="1"/>
        <charset val="204"/>
      </rPr>
      <t>Комлак -за февраль;</t>
    </r>
    <r>
      <rPr>
        <sz val="11"/>
        <color rgb="FFFF0000"/>
        <rFont val="Times New Roman"/>
        <family val="1"/>
        <charset val="204"/>
      </rPr>
      <t xml:space="preserve">
</t>
    </r>
    <r>
      <rPr>
        <sz val="11"/>
        <rFont val="Times New Roman"/>
        <family val="1"/>
        <charset val="204"/>
      </rPr>
      <t>Чайковский - 25000 (ф2)+налоги;
Гучук,Скалий</t>
    </r>
  </si>
  <si>
    <t>за квартиры бр.Исичко и бр.Козеева + коммунальные</t>
  </si>
  <si>
    <t>бр. Козеева и бр. Исички</t>
  </si>
  <si>
    <t>ф1 - Бондаренко по билетам  -922,09
ф1-ГСМ Топливо (Стариков) =3488  (50%)</t>
  </si>
  <si>
    <r>
      <rPr>
        <sz val="11"/>
        <rFont val="Times New Roman"/>
        <family val="1"/>
        <charset val="204"/>
      </rPr>
      <t xml:space="preserve">
ф1-ГСМ  Гуртовой -1 677,37грн, </t>
    </r>
    <r>
      <rPr>
        <sz val="11"/>
        <color rgb="FFFF0000"/>
        <rFont val="Times New Roman"/>
        <family val="1"/>
        <charset val="204"/>
      </rPr>
      <t xml:space="preserve">
</t>
    </r>
    <r>
      <rPr>
        <sz val="11"/>
        <rFont val="Times New Roman"/>
        <family val="1"/>
        <charset val="204"/>
      </rPr>
      <t xml:space="preserve">2950 -ф2 - Проезд бр. Исычко,бр Козеева  на работу </t>
    </r>
  </si>
  <si>
    <t>ф2 - Труба 50 мм(материалы) -453,00
Отводы 50 мм -2шт, 89 мм - 4шт, 108мм - 3 шт, 65мм -7 шт(материалы) -1 575,00</t>
  </si>
  <si>
    <t>Гуртовой,Хомич,Козеев</t>
  </si>
  <si>
    <t>Стариков С.за февраль  50%</t>
  </si>
  <si>
    <r>
      <t xml:space="preserve">179 500-Електромонтажні роботи СК ДП Буд
3400,07-дослідження зразків бетону "Стандарт трейдинг"
</t>
    </r>
    <r>
      <rPr>
        <u/>
        <sz val="11"/>
        <rFont val="Times New Roman"/>
        <family val="1"/>
        <charset val="204"/>
      </rPr>
      <t>Ф2</t>
    </r>
    <r>
      <rPr>
        <sz val="11"/>
        <rFont val="Times New Roman"/>
        <family val="1"/>
        <charset val="204"/>
      </rPr>
      <t xml:space="preserve">
устройство врезок В1 ,В6 -9 000,00
приезд и отьезд при устройстве врезок -1 000,00
Расточка сверел и коробок под насосы. Услуги токаря. -200,00</t>
    </r>
  </si>
  <si>
    <r>
      <t xml:space="preserve">
</t>
    </r>
    <r>
      <rPr>
        <sz val="11"/>
        <rFont val="Times New Roman"/>
        <family val="1"/>
        <charset val="204"/>
      </rPr>
      <t>Ф1-750 - Пологпостач ТДВ
аренда баллонов
Ф2-залог за фасонные изделия для врезки (возврат после оплаты) -4 858,00
Залог за трубу для водопровода в ЛОС -3 000,00</t>
    </r>
  </si>
  <si>
    <r>
      <t xml:space="preserve">
</t>
    </r>
    <r>
      <rPr>
        <sz val="11"/>
        <rFont val="Times New Roman"/>
        <family val="1"/>
        <charset val="204"/>
      </rPr>
      <t>Гидромолот - 4ч 22.02.21  -4 080,00
ф2 - Оренда балонів 3+2 Договір №2-ОР від 10.12.2020  -510,00</t>
    </r>
    <r>
      <rPr>
        <sz val="11"/>
        <color rgb="FFFF0000"/>
        <rFont val="Times New Roman"/>
        <family val="1"/>
        <charset val="204"/>
      </rPr>
      <t xml:space="preserve">
</t>
    </r>
  </si>
  <si>
    <t>бензин на бензорезчик -99,95
Бензин в швонарезчик 5л -114,00
Ф1-Аренда баллонов риотехгаз = 1800</t>
  </si>
  <si>
    <t xml:space="preserve">
 ф2 - розетка,стрейч пленка, саморезы,диск по бетону,полутер пенопластов -567,00 грн</t>
  </si>
  <si>
    <t>Аренда сторонней техники</t>
  </si>
  <si>
    <t>Аренда техники</t>
  </si>
  <si>
    <t>Величковский,Кроль</t>
  </si>
  <si>
    <t>Март 2021</t>
  </si>
  <si>
    <t>1. комунальні квартира Квартира вул. Харківських Дивізій, 4/2 кв.12 -2 434,00;
2. залог на апрель квартира Квартира вул. Харківських Дивізій, 4/2 кв.12 -7 500,00
3. Квартира РМ 50% на одном объекте -4 000,00</t>
  </si>
  <si>
    <t>Проезд Кухара С на инвентаризацию(по билетам) -865,00
Компенсация проезда Кухар С на инвентаризацию -872,00</t>
  </si>
  <si>
    <t>ф1 - бр.Ковтуна
ф2 - бр.Блудов</t>
  </si>
  <si>
    <t>ГСМ (топливо) - Горич С. 50%
20 л ДТ заправка РМ (соглас с Манжулой не было денег на карте) -599,80</t>
  </si>
  <si>
    <t>3сх 2008 - 38 103
Телескоп №2 - 122 834</t>
  </si>
  <si>
    <t>Аренда вагончика</t>
  </si>
  <si>
    <t>Оренда ножничного підйомника - 15 змін (продовження)  -19 530,00
Оренда 2-го ножничного підйомника - 6 змін  -9 300,00
Оренда 2-го ножничного підйомника - 20 змін  -34 600,00</t>
  </si>
  <si>
    <t>Оплата доставки смазочн. Материалов -71,00 (ф2)</t>
  </si>
  <si>
    <t xml:space="preserve">
ф1-ГСМ Топливо (Стариков) =4665  (50%)</t>
  </si>
  <si>
    <t>топливо Гриценко А.В.</t>
  </si>
  <si>
    <t>Стариков С.за март</t>
  </si>
  <si>
    <t>Гриценко А.В. 50% за март</t>
  </si>
  <si>
    <t>Горич 50% за март</t>
  </si>
  <si>
    <t>Величковский,Кроль, Хомич</t>
  </si>
  <si>
    <t xml:space="preserve">ЗП ИТР Иванчиков за март
</t>
  </si>
  <si>
    <r>
      <t xml:space="preserve">
</t>
    </r>
    <r>
      <rPr>
        <sz val="11"/>
        <rFont val="Times New Roman"/>
        <family val="1"/>
        <charset val="204"/>
      </rPr>
      <t>Чайковский - 25000 (ф2)+ф1 отсутствует;
Гучук = 19210,14 (ф2)</t>
    </r>
  </si>
  <si>
    <t>Жук</t>
  </si>
  <si>
    <t>бр Козеев</t>
  </si>
  <si>
    <r>
      <rPr>
        <b/>
        <u/>
        <sz val="11"/>
        <color indexed="18"/>
        <rFont val="Times New Roman"/>
        <family val="1"/>
        <charset val="204"/>
      </rPr>
      <t xml:space="preserve">
Ф2:</t>
    </r>
    <r>
      <rPr>
        <sz val="11"/>
        <color indexed="18"/>
        <rFont val="Times New Roman"/>
        <family val="1"/>
        <charset val="204"/>
      </rPr>
      <t xml:space="preserve">
25-Хомут 10х16 5 шт на резак
100-пена монтажная</t>
    </r>
  </si>
  <si>
    <r>
      <t xml:space="preserve">500 (ф2) - оплата погрузки вагончика манипулятором
</t>
    </r>
    <r>
      <rPr>
        <b/>
        <u/>
        <sz val="11"/>
        <rFont val="Times New Roman"/>
        <family val="1"/>
        <charset val="204"/>
      </rPr>
      <t>ф1:</t>
    </r>
    <r>
      <rPr>
        <sz val="11"/>
        <rFont val="Times New Roman"/>
        <family val="1"/>
        <charset val="204"/>
      </rPr>
      <t xml:space="preserve">
14 533,01-спецтехбетон;
21700-ФОП Старченко-услуги екскаватора;
12 800-услуги катка (ДОРТЕХСТРОЙ)
</t>
    </r>
  </si>
  <si>
    <t xml:space="preserve">ф2-Пленка стрейчевая на обмотку пекинески
ф1-Оренда балонів 3+(2+7) Договір №2-ОР від 10.12.2020  -1 500,00
ф1-5235-кислородные баллоны
</t>
  </si>
  <si>
    <t>перебазировки
ф2:
перевозка раскладушек и строй оборудования</t>
  </si>
  <si>
    <t>обучение по охране труда</t>
  </si>
  <si>
    <t>жилет сигнальный, лопата, очки защитные, рулетка</t>
  </si>
  <si>
    <t>Гуртовой</t>
  </si>
  <si>
    <t>1. Дудуков = 20 193;
2. Подсобники (бетонщики) = 112 957;
3. Козеев = 178 632,32;
4. Исичко = 115 570</t>
  </si>
  <si>
    <t>бр.Козеев, Ковтун</t>
  </si>
  <si>
    <t>Бригада Жука</t>
  </si>
  <si>
    <t>Дом Ромны ул.Овсиенка,19 -9 000,00( переходящий месяц на апрель)
РМ-Горич -4 000,00+коммунальные согласно счетчиков</t>
  </si>
  <si>
    <t>проезд бригад</t>
  </si>
  <si>
    <t>ф1-ГСМ (топливо) - Горич С. 50%
ф2-поездка в Беловод. Заправка газом Игоря (водителя) для командировки -800,00
Гучук газ - 1500</t>
  </si>
  <si>
    <t xml:space="preserve">РКО </t>
  </si>
  <si>
    <t>ф1: 45-батарейка крона;
550-гвозди;
320,42-круг алмазный, шпатель;
202-распиратор.</t>
  </si>
  <si>
    <t>ф2 - техноплекс -177,00 
ЦПС 4мешка -280,00</t>
  </si>
  <si>
    <t>Автокран Клинцы - 68 479
Экскаватор 2013 - 79 915
Телескоп № 1 - 39008</t>
  </si>
  <si>
    <t>доплата за февраль мойка высокого давления 1 сутки</t>
  </si>
  <si>
    <t>Атлант Буд=166,67
Белес = 14 583, 33
Рубин = 2325</t>
  </si>
  <si>
    <t>Будпрокат=5 416,67 (аренда минимойки)</t>
  </si>
  <si>
    <t>Виктория Макс: 685,33-ремонт перфоратора;
983,33-ремонт сварочного аппарата;
739,17-ремонт шлифмашинки.</t>
  </si>
  <si>
    <t>Краш Груп - устройство пройома в армованом бетоне</t>
  </si>
  <si>
    <t>Медосмотр подсобных рабочих
масло моторное "вертолет"
правило 2,5м+буры 6мм
сетка для отсечки бетона;
2454-заправка трамбовки
816,67-маркер белый
125-маркер черный</t>
  </si>
  <si>
    <t>1700-обучение монтаж. Біловоди
1400-охрана труда</t>
  </si>
  <si>
    <t>Гриценко-400;
Горич- 400</t>
  </si>
  <si>
    <t>охрана труда</t>
  </si>
  <si>
    <t>Ар Нуво+Натхнення</t>
  </si>
  <si>
    <t>аренда квартиры механизаторов за февраль -2460
бр.Козеева -8 000,00
аренда квартиры итр 2 -4 000,00
Аренда квартиры бр. Отделочников Дудуков -1000
+коммунальные за март</t>
  </si>
  <si>
    <r>
      <rPr>
        <sz val="11"/>
        <rFont val="Times New Roman"/>
        <family val="1"/>
        <charset val="204"/>
      </rPr>
      <t xml:space="preserve">
ф1-ГСМ  Гуртовой -6 106,62грн, 
ф2-отьезд с объекта бр. Исичко 5 чел -2 500,00, подвоз сотр на работу</t>
    </r>
    <r>
      <rPr>
        <sz val="11"/>
        <color rgb="FFFF0000"/>
        <rFont val="Times New Roman"/>
        <family val="1"/>
        <charset val="204"/>
      </rPr>
      <t xml:space="preserve">
</t>
    </r>
  </si>
  <si>
    <t>Тарасенко-суточные;
2620-Проживание директора,водителя</t>
  </si>
  <si>
    <t>250-заправка картриджа</t>
  </si>
  <si>
    <t>бумага А4</t>
  </si>
  <si>
    <t>ф2-муфты на генератор 16 шт., веник 4шт, Кран шаравой 32мм-2шт, Гайка М24 64шт, маркировочнын бирки на кабеля, саморезы, промывка для пены, Биты, очки, круг алмазный,буры по бетону, Дюбель молли, Демферная лента 60 м.п. для полов из топинга, Веревка, валик, сверло, лента малярная, Круги по бетону, перчатки, герметик, крестики, клинья, колодки, вилки, маркера, ППС 2м2, сетка фасадная 30м2, нитки 2шт(материал)</t>
  </si>
  <si>
    <t xml:space="preserve">ф2 - образцы плитки -86,00 </t>
  </si>
  <si>
    <t>Телескоп №4 - 34646</t>
  </si>
  <si>
    <t>ф1-Белес Транс - транспортно-експедиторские
ф2-Доставка сетки 5Вр1 из Запорожья в Пологи -1 000,00</t>
  </si>
  <si>
    <t>ф1-аренда баллонов
Уголок для откосов, шпатель -192,00
Матрац надувной в квартиру Козеева -786,00
Пистолет для пены -323,00</t>
  </si>
  <si>
    <t>ф1-Електросервис --Електромонтажні роботи_ПОЛОГИ_ АКТ№5= 142 305;
Електросервис - -Електромонтажні роботи_ПОЛОГИ_ АКТ№6=32 060
Електросервис --Електромонтажні роботи_ПОЛОГИ_ АКТ№7= 14 400
Електросерваис - -Електромонтажні роботи_ПОЛОГИ_ АКТ№8=40 090
2100-Изготовление спецпланок 42 м.п.
1200-Изготовление спецпланок на насосную 24м.п.*50=1200грн(услуги сторонних организвций)</t>
  </si>
  <si>
    <t>перебазировка</t>
  </si>
  <si>
    <t>Услуги крана манипулятора Сантранс</t>
  </si>
  <si>
    <t>вывоз мусора</t>
  </si>
  <si>
    <t>трансп.послуги Бровари-Київ</t>
  </si>
  <si>
    <t>1. Пономарев = 171217,5;
2. Беркаш = 19 800;
3. Бурлачук = 27070;
4.Исичко = 186 598</t>
  </si>
  <si>
    <t>Пери Украина = 56 884,32</t>
  </si>
  <si>
    <t>Аренда квартиры Исички -5 000,00
А/к ИТР -5 000,00
А/к бетонщиков  Пономарева -4 000,00
А/к сварщиков Исичко (залоговый месяц) -5 000,00
+коммунальные = 6751</t>
  </si>
  <si>
    <r>
      <t xml:space="preserve">
</t>
    </r>
    <r>
      <rPr>
        <sz val="11"/>
        <rFont val="Times New Roman"/>
        <family val="1"/>
        <charset val="204"/>
      </rPr>
      <t xml:space="preserve">2699-ГСМ Кроль (ф1)
Подвоз сотрудников-ф2
Приезд на объект бр. Демонтажников -2 100,00
</t>
    </r>
  </si>
  <si>
    <t>200-Кухар (суточные)
Аренда гостиницы Стариков С-1800</t>
  </si>
  <si>
    <t>Бригада Бурлачук А
Маляра
Бригада Пономарьова М
ІТР
ф2 - бетонщики,бр.Пономарева</t>
  </si>
  <si>
    <t xml:space="preserve">
ф1-ГСМ Топливо (Стариков) =4665  (50%)
Заправка авто Старикова не было дс на топливной карте -900,00</t>
  </si>
  <si>
    <t>бумага А4 -120,00</t>
  </si>
  <si>
    <t>Ремонт электрощитка -100,00</t>
  </si>
  <si>
    <t xml:space="preserve">ф1
Ультразвукова дифектоскопия=3600
Цех МК=68,315т*14000Оплата за изготовление 
ф2: 
КМД(услуги сторонних организаций) -24 875,00 
Проточка сверла 5 шт -1 050,00 
Буріння отворів під анкера М48 4шт диам 60мм -3 600,00 
Подключение компрессора 380вольт -150,00 </t>
  </si>
  <si>
    <t>Телескоп №4-49606</t>
  </si>
  <si>
    <t>30 375-аренда автокрана "Будкомплект"; 
5 000-услуги самосвала "Будкомплект"
3 750-услуги самосвала; 
6 416,67-услуги екскаватора;
51 375-услуги автокрана;
14 250-услуги екскаватора
5 041,67-услуги самосвала;
8250-услуги екскаватора
47250-услуги крана МКГ
ф2- Аренда минигидромолота, минипогрузчика камаз 15 т ,екскаватор повноповоротний колісний ,Гідромолот</t>
  </si>
  <si>
    <t>2039-Акумулятор DeWALT DCB184 Li-lon, 18В, 5А/r
1395-аренда баллонов
653=замок навесной,пена монтажная 2 баллона,Кисень - 6 бал.,Краска, средство для удаления ржавчины
ф2=Заправка на виброплиту -517,80</t>
  </si>
  <si>
    <t>Премия ИТР -1 500,00</t>
  </si>
  <si>
    <t>К/у Независимости,40а за 10 дней марта -2 300,00</t>
  </si>
  <si>
    <t xml:space="preserve">
ф2 - бр.Колесник 2 чел</t>
  </si>
  <si>
    <t>Анкера и сверло для монтажа пробоотборника -834,24</t>
  </si>
  <si>
    <t xml:space="preserve">ф2 - материалы, саморезы, пленка, мембрана,бур, анкера -3 170,00 
Материалы для КНС (счет куплены за наличные) -4 060,00 </t>
  </si>
  <si>
    <t>ф1 - Хаванский,Ковтун,Годунко
ф2 -Бодюл</t>
  </si>
  <si>
    <t>первый+последний месяц+услуги риелтора+ проживание 2 чел -400,00
проживание Ковтун -1 200,00</t>
  </si>
  <si>
    <t>Приезд на объет Ковтун - 2 человека -1 000,00</t>
  </si>
  <si>
    <t>за минусом выполненных работ по металлизации</t>
  </si>
  <si>
    <t>перечисление на карту Дяченко А 1 200,00 -за выполненные работы</t>
  </si>
  <si>
    <t>за щебень( не успели догрузить)  218,64</t>
  </si>
  <si>
    <t>Заправка авто юриста, поездка в суд -1 027,00</t>
  </si>
  <si>
    <t>Пери = 55 645,38</t>
  </si>
  <si>
    <t>Пери=1004,03</t>
  </si>
  <si>
    <t>1. Гура = 17 376,90;
2. Шух = 26829,60;
3. Блудов = 54 365,70;
4. Ковтун = 13 244,54;
5. Шкуркин = 191 344,4</t>
  </si>
  <si>
    <t>бр. Исичко</t>
  </si>
  <si>
    <t>Апрель 2021</t>
  </si>
  <si>
    <t>Апрель  2021</t>
  </si>
  <si>
    <t>50% ЗП за апрель Горич С.</t>
  </si>
  <si>
    <t>50% ЗП за апрель Стариков С.</t>
  </si>
  <si>
    <t>ЗП Чайковский за апрель за минусом 10 000грн за ноутбук</t>
  </si>
  <si>
    <t xml:space="preserve">ЗП Иванчиков за апрель </t>
  </si>
  <si>
    <t>ЗП за апрель Хомич+Козеев (ф1+ф2 бригадирские)</t>
  </si>
  <si>
    <t>ЗП за апрель Величковский, Кроль</t>
  </si>
  <si>
    <t>Бр.Пономаренки, Бр.Козеева</t>
  </si>
  <si>
    <t>Бр.Жука</t>
  </si>
  <si>
    <t>Бр. Козеев</t>
  </si>
  <si>
    <t>Бр.Козеева, Бр.Ковтуна</t>
  </si>
  <si>
    <t>НП за апрель</t>
  </si>
  <si>
    <t xml:space="preserve">50% топливо Старикова за апрель </t>
  </si>
  <si>
    <t>50% топливо Горич за апрель</t>
  </si>
  <si>
    <t>ф2-Севастьянов</t>
  </si>
  <si>
    <t>Кухар - суточные</t>
  </si>
  <si>
    <t>50% топливо Горич за апрель
ф2=1035 - проезд Кухаря
80-парковка Кухаря на инвентаризации</t>
  </si>
  <si>
    <t>кофе</t>
  </si>
  <si>
    <t>ф2-шпильки</t>
  </si>
  <si>
    <t>устройство бетонных полов, геодезия, геодезист нивелировка рельса</t>
  </si>
  <si>
    <t>Телескоп №2 237 ч</t>
  </si>
  <si>
    <t>ф1-логистические услуги Криотехгаз, Гордеев, Техноподьем
ф2-200-Возврат глубинного вибратора. Оплата проезда, для возврата</t>
  </si>
  <si>
    <t>аренда подемника Техноподьем</t>
  </si>
  <si>
    <t>аренда строительной бытовки</t>
  </si>
  <si>
    <t>ремонт и обслуживание виброплиты</t>
  </si>
  <si>
    <t>виски технадзору</t>
  </si>
  <si>
    <t>Экскаватор погр JCB 2013 - 251 ч
МАЗ 265 - 243 ч
Клинцы 168 ч</t>
  </si>
  <si>
    <t>ф1
2131,20-аренда балонов
6 719,928-заправка оборудования и трамбовки</t>
  </si>
  <si>
    <t>535,85-заправка трамбовки</t>
  </si>
  <si>
    <t>Белес</t>
  </si>
  <si>
    <t>Аренда опалубки Пери</t>
  </si>
  <si>
    <t>16 350-Випробування на буд.об'єкті (зразків бетону пружності грунту)
20778-Визначення міцності бетону</t>
  </si>
  <si>
    <t>Ремонт кут. шліфмашини з з/п</t>
  </si>
  <si>
    <t>375-аренда балонов</t>
  </si>
  <si>
    <t>1392-аренда отбойного молотка</t>
  </si>
  <si>
    <t>заправка картриджа</t>
  </si>
  <si>
    <t>133-бытовая химия
150-хоз товары</t>
  </si>
  <si>
    <t>ф2 2890-кисточки, алмазные диски, перчатки, маркера, рулетка и прочее</t>
  </si>
  <si>
    <t>10 202,99-САТ, Белес
600-доставка материалов по месту</t>
  </si>
  <si>
    <t>250-ремонт керхера</t>
  </si>
  <si>
    <t>38 475-Акварум "Монтажні та пусконалагоджувальні роботи"
24 000-Платинум "Електромонтажні роботи"
ф2-30 000 Оплата работ по устройству пожводопровода</t>
  </si>
  <si>
    <t>аренда погрузчика, автокрана</t>
  </si>
  <si>
    <t>карандаш</t>
  </si>
  <si>
    <t>Пери Украина</t>
  </si>
  <si>
    <t>Пери</t>
  </si>
  <si>
    <t>Люба Корчагина</t>
  </si>
  <si>
    <t>ф1=1815,72 -топливо Кроль за апрель
ГСМ новый прораб, = 1800
100-такси по Кривому Рогу</t>
  </si>
  <si>
    <t>1200-аренда гостиници Стариков</t>
  </si>
  <si>
    <t>50% топливо Старикова за апрель 
160-паркова Кухара</t>
  </si>
  <si>
    <t>ф2-2600-цемент 1 т</t>
  </si>
  <si>
    <t>Телескоп.погр№4 - 189 ч
№ 2 - 23 ч</t>
  </si>
  <si>
    <t>54 000-Оплата за изготовление КМД
100-услуги электрика
ф1-ЦЕХ = 46,065*14 000=644 910
ф1-6400-услуги Метинвест</t>
  </si>
  <si>
    <t>ф2-гайки, зажимы для троса, пластификатор для раствора, корректор</t>
  </si>
  <si>
    <t>ф1-аренда баллонов=1620
861-ремкомплект
маркера для производственных целей</t>
  </si>
  <si>
    <t>Ковтун = 53 802,6
Шкуркин = 77 930,70</t>
  </si>
  <si>
    <t>Май 2021</t>
  </si>
  <si>
    <t>Бурлачук = 82110
Беркаш = 32 675
Исичко = 150 000</t>
  </si>
  <si>
    <r>
      <rPr>
        <b/>
        <u/>
        <sz val="11"/>
        <color indexed="18"/>
        <rFont val="Times New Roman"/>
        <family val="1"/>
        <charset val="204"/>
      </rPr>
      <t xml:space="preserve">ф1:
</t>
    </r>
    <r>
      <rPr>
        <sz val="11"/>
        <color indexed="18"/>
        <rFont val="Times New Roman"/>
        <family val="1"/>
        <charset val="204"/>
      </rPr>
      <t>самосвал, кран,МКГ</t>
    </r>
    <r>
      <rPr>
        <b/>
        <u/>
        <sz val="11"/>
        <color indexed="18"/>
        <rFont val="Times New Roman"/>
        <family val="1"/>
        <charset val="204"/>
      </rPr>
      <t xml:space="preserve">
ф2:</t>
    </r>
    <r>
      <rPr>
        <sz val="11"/>
        <color indexed="18"/>
        <rFont val="Times New Roman"/>
        <family val="1"/>
        <charset val="204"/>
      </rPr>
      <t xml:space="preserve">
5760-Аренда мини погрузчика 8 часов(подача кирпича и цемента в цех)
6480-Аренда мини погрузчика 9 часов(подача бетона в цех для электрощитовой)</t>
    </r>
  </si>
  <si>
    <t>21 200 - БЕЛЕС ТРАНС"ПП
4 500 - ВАРТІС ТОВ 
20 000 - БУДКОМПЛЕКТ КР" ТОВ
4200-Вартис</t>
  </si>
  <si>
    <r>
      <rPr>
        <sz val="11"/>
        <rFont val="Times New Roman"/>
        <family val="1"/>
        <charset val="204"/>
      </rPr>
      <t xml:space="preserve">780 - перебазировка екскаватора Будкомплект
600-Промспецлис
28 200-трансп.послуги Б.Церква-Кривий Ріг
8000-ВАРТІС ТОВ 
8 400-доставка цемент Кривой Рог цемнт
20 534-Метинвест (лежит на цеху)
</t>
    </r>
    <r>
      <rPr>
        <sz val="11"/>
        <color rgb="FFFF0000"/>
        <rFont val="Times New Roman"/>
        <family val="1"/>
        <charset val="204"/>
      </rPr>
      <t xml:space="preserve">
</t>
    </r>
  </si>
  <si>
    <t>Май  2021</t>
  </si>
  <si>
    <t>Бр. Жука</t>
  </si>
  <si>
    <t>ЗП Иванчиков за май</t>
  </si>
  <si>
    <t>1/3 Горич</t>
  </si>
  <si>
    <t>1/2 Харченко</t>
  </si>
  <si>
    <t>Харченко</t>
  </si>
  <si>
    <t>1/2 Стариков</t>
  </si>
  <si>
    <t xml:space="preserve">ф1 - Дорощенко офиц
ф2 - Заправка прораба Дорощенко(не работала карта)
</t>
  </si>
  <si>
    <t>зп Чайковского за май 28000
ЗП геодезиста 12000</t>
  </si>
  <si>
    <t xml:space="preserve">
Величковский, Дорощенко за май 
</t>
  </si>
  <si>
    <t>Сидоренко</t>
  </si>
  <si>
    <t>Бр.Козеева (Куценко)</t>
  </si>
  <si>
    <t>Бр.Пономаренки, Козеев (монтажники)</t>
  </si>
  <si>
    <t>доход от сдачи в аренду JCB 3CX</t>
  </si>
  <si>
    <t xml:space="preserve">Пащера = 42 000
Козеев = 43 918,11
</t>
  </si>
  <si>
    <t>Смаль = 15 841,20
Жук = 97 705,84</t>
  </si>
  <si>
    <t>Ковтун = 36220
Шкуркин = 94 048,81
Ширшов = 10 320</t>
  </si>
  <si>
    <t>ф2-640м2*125грн устройство бетонных полов</t>
  </si>
  <si>
    <t>280-доставка краски</t>
  </si>
  <si>
    <t>премия сс бр.Ковтуна</t>
  </si>
  <si>
    <t>маркер</t>
  </si>
  <si>
    <t xml:space="preserve">500-Сплата авнсового внеску,викон.док Наказ госп.суд Кіровоградської обл. по справі ТОВ "МЕГАБУД-БК" </t>
  </si>
  <si>
    <t>700-медосмотр</t>
  </si>
  <si>
    <t>Воронцов</t>
  </si>
  <si>
    <t>15600-самосвал
10229-экскаватор</t>
  </si>
  <si>
    <t>ф1:
2176,27-топливо на оборудование
761-брелок, маркер, табличка
216-аренда баллонов</t>
  </si>
  <si>
    <t>Штраф/Мат.помощь</t>
  </si>
  <si>
    <t>мат помощь бетонщик из бр.Жука Коваленко</t>
  </si>
  <si>
    <t>Услуги экскаватора 3ч*600грн
Услуги автокрана 3ч*500грн</t>
  </si>
  <si>
    <t>Экскаватор 2013 238ч
МАЗ 265 166ч
Виброкаток 8ч</t>
  </si>
  <si>
    <t>Киев-Беловоды (Белес)</t>
  </si>
  <si>
    <t>заправка трамбовки</t>
  </si>
  <si>
    <t>120-доставка дверной ручки,доставка материалов</t>
  </si>
  <si>
    <t>электромонтажные работы ТОВ "Платинум"</t>
  </si>
  <si>
    <t>Кухар, Стариков-проживание
200-суточные Кухар</t>
  </si>
  <si>
    <t>Воронцов А.</t>
  </si>
  <si>
    <t>ЦЕХ=12,125*14 000=169 750</t>
  </si>
  <si>
    <t>Самосвал = 56 100
Услуги крана МКГ=98 100
Автокран = 32 000</t>
  </si>
  <si>
    <t>Ф1:
1674-аренда баллонов
611-табличка по охране труда
ф2 - Заправка прораба Дорощенко(не работала карта)</t>
  </si>
  <si>
    <t>разгрузка  плитки и клея</t>
  </si>
  <si>
    <t>Приезд+объезд Бр 4 чел;   отьезд 1 бр</t>
  </si>
  <si>
    <t>Проживание 1 бр (4чел) - 80 грн/сутки</t>
  </si>
  <si>
    <t>4 чел на 150грн/сутки</t>
  </si>
  <si>
    <t>Штраф/Мат помощь</t>
  </si>
  <si>
    <t>экскаватор ФОП Пилипенко</t>
  </si>
  <si>
    <t>Июнь 2021</t>
  </si>
  <si>
    <t>Июнь  2021</t>
  </si>
  <si>
    <t>медосмотр для пропусков Севастьянов, Багмет, Омеляненко, Саньков, Щербак</t>
  </si>
  <si>
    <t>4800-Услуги экскаватора 8ч*600грн;
2000-Услуги автокрана 4ч*500грн</t>
  </si>
  <si>
    <t>50% ЗП Горич</t>
  </si>
  <si>
    <t>Жук Олександр 7 451,08
Зубов Олександр 7 451,08
Коваленко Андрій 7 451,08
Лисенко Артем 19 304,87
Овсянніков Іван 7 451,08</t>
  </si>
  <si>
    <t>1218-Ремонт перфоратора
1620-Ремонт кутов.шліфмашини</t>
  </si>
  <si>
    <t>1059,20-Оборудование, трамбовка</t>
  </si>
  <si>
    <t>Горич С. (суточные)</t>
  </si>
  <si>
    <t>Экскаватор 2013 = 69 650,7
МАЗ 265 = 33 071,12</t>
  </si>
  <si>
    <t>Куценко А.</t>
  </si>
  <si>
    <t>аренда автокрана 1ч*20грн=погрузка монтажки. 
аренда автокрана 2ч*400грн+1ч*200грн+2ч*400грн</t>
  </si>
  <si>
    <t>700-доставка материала на Пологи</t>
  </si>
  <si>
    <t>1000-Изготовление спецпланок для ворот</t>
  </si>
  <si>
    <t>маркер, пакеты</t>
  </si>
  <si>
    <t>маркер черный</t>
  </si>
  <si>
    <t>Июль 2021</t>
  </si>
  <si>
    <t>Стариков С.</t>
  </si>
  <si>
    <t>Величковский, Дорощенко (Величковский ф2)</t>
  </si>
  <si>
    <t>520-проживание Тарасенко
1088-проезд Кухар
Ф1:
400-суточные Тарасенко
400-суточные Кухар</t>
  </si>
  <si>
    <t>уборка помещений</t>
  </si>
  <si>
    <t>ф2-200-доставка материалов</t>
  </si>
  <si>
    <t>Клинцы = 15 802,80
Телескоп №4=92 913,2</t>
  </si>
  <si>
    <t>6500-Послуги котка дорожного
118 800-Послуги крана МКГ</t>
  </si>
  <si>
    <t>1950-Ремонт компрессора
5003,96-Ремонт електроінструмента
100-ремонт силового кабеля</t>
  </si>
  <si>
    <t xml:space="preserve">11 000 - Монтаж секції стріли крана МКГ
38 000-балка зварна
15 540-обустройство фальшпола </t>
  </si>
  <si>
    <t>Бр. Пономаренки, Бр. Козеев, Бр.Чешко</t>
  </si>
  <si>
    <t>Хомич О. (70%)</t>
  </si>
  <si>
    <t>Акт №1 монтаж технолог.обладнання</t>
  </si>
  <si>
    <t>выдано Воронцову А.</t>
  </si>
  <si>
    <t>Ф1:
топливо Горич (50%)
Ф2:
280-проезд Горича (маршрутка)
936-зправка Горича</t>
  </si>
  <si>
    <t>топливо Стариков С.</t>
  </si>
  <si>
    <t>Топливо Дорощенко = 2701</t>
  </si>
  <si>
    <t>алименты Чайковского (часть на Нежин-2)
18 000 геодезист</t>
  </si>
  <si>
    <t>Козеев = 234196,58
Разнорабочие = 100 460
Исичко = 344 073
Беркаш = 125 140</t>
  </si>
  <si>
    <t>Сиряченко = 62 938
Левченко (разнорабочие)= 59100
Козеев = 35 241,41
Исичко = 212 596
Беркаш = 124 725</t>
  </si>
  <si>
    <t>Дудка = 123 000
Козеев = 106 127,36</t>
  </si>
  <si>
    <t>Коробка Руслан</t>
  </si>
  <si>
    <t>Акт №10,11</t>
  </si>
  <si>
    <t>205 254-Акт №1 монтаж зовнішніх мереж протипожежного водопроводу
45 087-Акт №2 монтаж зовнішніх мереж протипожежного водопроводу</t>
  </si>
  <si>
    <t>Данные услуги также относятся,  Акту №12 на сумму 45 087, который закроется в августе = 287 000грн</t>
  </si>
  <si>
    <t>работа техники в июне, которая будет закрыта в Акте №12 августом</t>
  </si>
  <si>
    <t>услуги самосвала и экскаватора</t>
  </si>
  <si>
    <t>аренда лесов 3дня</t>
  </si>
  <si>
    <t>оплата подрядчикам монтажники кран-балки 2выезда</t>
  </si>
  <si>
    <t>жилеты сигнальные 30шт</t>
  </si>
  <si>
    <t>2039-Шліфмашина кутова GA 9020
1620-Оренда балонів у червні 
6498,92-жилеты сигнальные
Ф2:
900-Шланг для мойки Керхер</t>
  </si>
  <si>
    <t>Июль  2021</t>
  </si>
  <si>
    <t>Величковский Д.</t>
  </si>
  <si>
    <t>Бр.Жука, Бр.Пономаренки, Бр.Козеев, Бр.Чешко</t>
  </si>
  <si>
    <t>ГСМ Стариков за июль</t>
  </si>
  <si>
    <t>аренда экскаватора</t>
  </si>
  <si>
    <t>ксерокопия исполнительной документации(1500экз)</t>
  </si>
  <si>
    <t>Суточные Горич С.</t>
  </si>
  <si>
    <t>1. Жук = 34 403,25
2. Сиряченко = 36 418
3. Исичко = 44 800</t>
  </si>
  <si>
    <t>командировочные Стариков</t>
  </si>
  <si>
    <t>обучение по ОТ</t>
  </si>
  <si>
    <t>Телескоп №4</t>
  </si>
  <si>
    <t>услуги самосвала, услуги экскаватора, услуги виброкатка, услуги МКГ</t>
  </si>
  <si>
    <t xml:space="preserve">аренда баллонов </t>
  </si>
  <si>
    <t>ремонт электроинструмента = 1179,99
ремонт компрессора = 1941,99</t>
  </si>
  <si>
    <t>200-суточные Глузд
проживание Стариков - 350</t>
  </si>
  <si>
    <t>аренда виброплиты</t>
  </si>
  <si>
    <t>Август 2021</t>
  </si>
  <si>
    <t>Штраф, материальная помощь</t>
  </si>
  <si>
    <t>проживание работников</t>
  </si>
  <si>
    <t>400-Гриценко суточные
680-Гриценко проживание</t>
  </si>
  <si>
    <t>600-погрузка бытовки</t>
  </si>
  <si>
    <t>аренда автокрана</t>
  </si>
  <si>
    <t>Вектор</t>
  </si>
  <si>
    <t>доставка лесов на нп</t>
  </si>
  <si>
    <t>Август  2021</t>
  </si>
  <si>
    <t>Чайковский Р. (алименты)</t>
  </si>
  <si>
    <t>Сиряченко Д.</t>
  </si>
  <si>
    <t>PL Турбина</t>
  </si>
  <si>
    <t>510-Чайковский</t>
  </si>
  <si>
    <t>300-ремонт болгарки</t>
  </si>
  <si>
    <t>743-доставка спец планки</t>
  </si>
  <si>
    <t>1000-Устранение замечаний по оцинкованному настилу. Оплата работ сварщика</t>
  </si>
  <si>
    <t>на дорогу прораба и 2-х подсобников( на машине) + оплата за работу 2-х подсобников 1430 грн с Ладыжина в Пологи и Обратно, для того чтобы мы вывезли все наши ОС</t>
  </si>
  <si>
    <t>Ротор 58ч</t>
  </si>
  <si>
    <t>Услуги МГК-Б</t>
  </si>
  <si>
    <t>96-аренда баллонов</t>
  </si>
  <si>
    <t>516,67-Ремонт перфоратора</t>
  </si>
  <si>
    <t>Вектор- Акт №4</t>
  </si>
  <si>
    <t>232 166,40-Електромонтажні роботи_ПОЛОГИ_ АКТ№9
383 967, 60-Електромонтажні роботи_ПОЛОГИ_ АКТ№10
11326,8-+Електромонтажні роботи_ПОЛОГИ_ АКТ№11
22014-+Електромонтажні роботи_ПОЛОГИ_ АКТ№12
Ф2:
50 000-Лелюк разработка КМД(чертежи)
150-Послуги електрика (підключення станка для гнуття арматури, краскопульту)</t>
  </si>
  <si>
    <t>Бр.Ляхов</t>
  </si>
  <si>
    <t>Бр.Дудка = 28 960</t>
  </si>
  <si>
    <t>Налоговая нагрузка</t>
  </si>
  <si>
    <t>PL Кривой Рог</t>
  </si>
  <si>
    <t>Сентябрь 2021</t>
  </si>
  <si>
    <t>PL Славута</t>
  </si>
  <si>
    <t>Акт 8, Акт 7, Акт 6, Акт 5</t>
  </si>
  <si>
    <t>Акт 12</t>
  </si>
  <si>
    <t>300-Глузд Д.</t>
  </si>
  <si>
    <t>97 782-Пенетрон 
11000-пожводопровод</t>
  </si>
  <si>
    <t>Исичко</t>
  </si>
  <si>
    <t>3600-погрузка оборудования Исичко
3000-материалы для швов топинга</t>
  </si>
  <si>
    <t xml:space="preserve">676,80- ТОВ "Епіцентр" Кронтейн - труби метал.бел-12шт. </t>
  </si>
  <si>
    <t>Изготовление ППСР 5000грн Сертификат проектировщика ППР 2000грн. Согласованно Воронцовым по письму</t>
  </si>
  <si>
    <t>Чешко = 16 920
Козеев = 54000
Исичко = 4000
Беркаш = 111 000</t>
  </si>
  <si>
    <t>Бр.Марио</t>
  </si>
  <si>
    <t>Мексика</t>
  </si>
  <si>
    <t>разработа проектной документации Шабанов (сумма в сентябре)</t>
  </si>
  <si>
    <t>маркера (сумма сентября)</t>
  </si>
  <si>
    <t>Робота автокрану ЗИЛ 10т (сентябрь)</t>
  </si>
  <si>
    <t>капитальные инвестиции</t>
  </si>
  <si>
    <t>НДС</t>
  </si>
  <si>
    <t>Бригады</t>
  </si>
  <si>
    <t>Расхождения между МШП и Стройматералами</t>
  </si>
  <si>
    <t xml:space="preserve">Услуги сторонних организаций </t>
  </si>
  <si>
    <t xml:space="preserve">Комиссия </t>
  </si>
  <si>
    <t>не учтены 3% в PL</t>
  </si>
  <si>
    <t>в PL на данную сумму меньше</t>
  </si>
  <si>
    <t>Буду проверять по Контрагентам, по кому не идет</t>
  </si>
  <si>
    <t>Разница между отчетами потому что в PL считается по факту, а в CF до лета считалось по 15%</t>
  </si>
  <si>
    <t>МШП и Стройматериалы</t>
  </si>
  <si>
    <t>Октябрь 2021</t>
  </si>
  <si>
    <t>PL Приднепровский МЄЗ 2</t>
  </si>
  <si>
    <t>PL Печановка</t>
  </si>
  <si>
    <t xml:space="preserve">PL Цех </t>
  </si>
  <si>
    <t>выдано Воронцову</t>
  </si>
  <si>
    <t>Ноябрь 2021</t>
  </si>
  <si>
    <t>Глухов</t>
  </si>
  <si>
    <t>проживание в гостинице 2 дня</t>
  </si>
  <si>
    <t>штереверля, ковтун</t>
  </si>
  <si>
    <t>Подгорцы</t>
  </si>
  <si>
    <t>Годунко, Ковтун, Хаванский</t>
  </si>
  <si>
    <t>Декабрь 2021</t>
  </si>
  <si>
    <t>досписание со склада обмена</t>
  </si>
  <si>
    <t xml:space="preserve">
</t>
  </si>
  <si>
    <t>Красноармейская</t>
  </si>
  <si>
    <t>Декабрь  2021</t>
  </si>
  <si>
    <t>Хаванский</t>
  </si>
  <si>
    <t>PL Ладыжин</t>
  </si>
  <si>
    <t>списание по распоряжению Воронцова А.</t>
  </si>
  <si>
    <t>662-ключи ЕЦП
3004-медок
70,10-РКО</t>
  </si>
  <si>
    <t>нотариальные действия</t>
  </si>
  <si>
    <t>Величковский</t>
  </si>
  <si>
    <t>200-подключение пескоструйной установки</t>
  </si>
  <si>
    <t>1380-Послуги автокрану (маш.год)-ноябрь
4800-Послуги автокрану (маш.год)-ноябрь
21900-услуги авокрана (декабрь)</t>
  </si>
  <si>
    <t>канцтовары, крейда, маркера, мешки</t>
  </si>
  <si>
    <t>Ремонт електроінструменту, Ремонт електроінструменту</t>
  </si>
  <si>
    <t>почему по 23 больше</t>
  </si>
  <si>
    <t>Январь 2022</t>
  </si>
  <si>
    <t>затраты декабря</t>
  </si>
  <si>
    <t>Бр.Берест = 96 015</t>
  </si>
  <si>
    <t>Переходящяя Чистая прибыль за минусом CAPEX и Фин деятельности на 31.12.2021г.</t>
  </si>
  <si>
    <t xml:space="preserve">Сумма по Ф1, грн  </t>
  </si>
  <si>
    <t>Итоги 2021</t>
  </si>
  <si>
    <t>Январь  2022</t>
  </si>
  <si>
    <t>№1 дата акта не согласована</t>
  </si>
  <si>
    <t xml:space="preserve">Жорж А. </t>
  </si>
  <si>
    <t>Гуртовой А.</t>
  </si>
  <si>
    <t>Глухов =12,435 = 174 090
Старкон = 29,09=407 260</t>
  </si>
  <si>
    <t>Бутенко, Пономаренко, Аксенчиков</t>
  </si>
  <si>
    <t>Терещенко, Хомич, Сидоренко (только ф2)</t>
  </si>
  <si>
    <t>Величковский, Олейник, Латиш, Козеев</t>
  </si>
  <si>
    <t>ГСМ Топливо - Гриценко А.</t>
  </si>
  <si>
    <t>ГСМ Топливо Жорж = 5378,30</t>
  </si>
  <si>
    <t>ЦЕХ= 15,215т*14 000=213 010
ЦЕХ январь 2022 =12,435 = 174 090
4000-Випробування на буд.об'єкті (ущільнення грунту)
Разработка КМД – 27тн*450грн= 12 150 грн  (Ф2);</t>
  </si>
  <si>
    <t>проживание рабочих</t>
  </si>
  <si>
    <t>Проживание и суточные Жорж А.</t>
  </si>
  <si>
    <t>540-шиномонтаж ГАЗель</t>
  </si>
  <si>
    <r>
      <t>3955-пропан для резака, Услуги электрика: прогревание бетона+обучение рабочих процессу. Устное согласование Воронцов
937-</t>
    </r>
    <r>
      <rPr>
        <b/>
        <sz val="11"/>
        <color theme="3"/>
        <rFont val="Times New Roman"/>
        <family val="1"/>
        <charset val="204"/>
      </rPr>
      <t>пропан для резака</t>
    </r>
  </si>
  <si>
    <t>аренда автокрана местного</t>
  </si>
  <si>
    <t>аренда квартирі Береста</t>
  </si>
  <si>
    <t>суточные Горич С.</t>
  </si>
  <si>
    <t>уборка помещения</t>
  </si>
  <si>
    <t>ГСМ Топливо:
4061,81-Гуртовой
930,18-проезд Глузд Д.</t>
  </si>
  <si>
    <t>2400-проживание Глузд Д.
800-суточные Илюхин, Глузд, Гриценко С.</t>
  </si>
  <si>
    <t>Аренда крана.</t>
  </si>
  <si>
    <t>Організація атестації зварників</t>
  </si>
  <si>
    <t>бр.Пономарев</t>
  </si>
  <si>
    <r>
      <t xml:space="preserve">76 500-списание в ноябре
</t>
    </r>
    <r>
      <rPr>
        <sz val="9"/>
        <color theme="3" tint="-0.499984740745262"/>
        <rFont val="Times New Roman"/>
        <family val="1"/>
        <charset val="204"/>
      </rPr>
      <t>350-Транспортные расходы по доставке ОСБ с Глухова на объект 
доставка оборудования для Випробування на буд.об'єкті (ущільнення грунту)
Белес -76 000грн
25 999,99-январь 2022</t>
    </r>
  </si>
  <si>
    <t>38 494,16-Пери декабрь 2021
8174,33-Пери январь 2022</t>
  </si>
  <si>
    <r>
      <t xml:space="preserve">130 635,68-списание в ноябре
</t>
    </r>
    <r>
      <rPr>
        <sz val="9"/>
        <color theme="3"/>
        <rFont val="Times New Roman"/>
        <family val="1"/>
        <charset val="204"/>
      </rPr>
      <t>263 565-Экскаватор  JCB 278 ч.Ротор Пегасус 218 ч.МАЗ 264 8 ч.Виброкаток 29 ч.
Отчет по Форду  -26 919,00
Январь = 105 377
Экскватор JCB, Ротор Пегасус, Виброаток, Тягач</t>
    </r>
  </si>
  <si>
    <t>150-аренда баллонов</t>
  </si>
  <si>
    <t>1700грн -услуги автокрана - Хоменко</t>
  </si>
  <si>
    <t>ГСМ Топливо Олейник = 2427,39грн
792-аренда балонов</t>
  </si>
  <si>
    <t>ремонт электроинструмента</t>
  </si>
  <si>
    <t>подключение+ услуга интернета за январь</t>
  </si>
  <si>
    <t>схемы МК затраты января</t>
  </si>
  <si>
    <t>механизатор ф2</t>
  </si>
  <si>
    <t>Затраты января
Пекканиска 12дн - 10188,24
Форд 2 рейса - 40 122грн
затраты декабря
Аренда техники январь 2022= 6792,16</t>
  </si>
  <si>
    <t xml:space="preserve">ГСМ Топливо = Пономаренко Ю. = 4439,90
1440-аренда балонов
780-заправка баллонов
150-gps
91680-аренда ЦЕХа
58034-компенсация электроенергии
11144-топливо Телескоп№3
</t>
  </si>
  <si>
    <t>Февраль-Июнь 2022</t>
  </si>
  <si>
    <t>Февраль-Июнь   2022</t>
  </si>
  <si>
    <t>Февраль-июнь 2022</t>
  </si>
  <si>
    <t xml:space="preserve">Февраль-Июнь 2022 </t>
  </si>
  <si>
    <t>Горич С. за февраль</t>
  </si>
  <si>
    <t>Берест</t>
  </si>
  <si>
    <t>3000-Горич С. суточные
5400-гостиница Старикова в июне</t>
  </si>
  <si>
    <t>Гуртовой А. за февраль</t>
  </si>
  <si>
    <t>5697-проживание Стариков, Воронцов А., Шкурат
1000-суточные</t>
  </si>
  <si>
    <t>400-уборка помещения</t>
  </si>
  <si>
    <t>ф1-Олейник, Латыш (февраль), Хомич
ф2-Латыш, Олейник-май, июнь</t>
  </si>
  <si>
    <t>Жорж А.</t>
  </si>
  <si>
    <t>ф1-Сидоренко, Терещенко, Хомич за февраль
ф2-аванс Терещенко, Сидоренко</t>
  </si>
  <si>
    <t>10 116,71-заправка Газели
пропан, новый замок в бытовку</t>
  </si>
  <si>
    <t>6200-затраты февраля</t>
  </si>
  <si>
    <t>1800-Приезд на объект рабочих. Сканы Манжула (поездка бла-бла-каром)
1028-февраль</t>
  </si>
  <si>
    <t>19000-затраты декабря
600-доставка запчастей</t>
  </si>
  <si>
    <t>оплата электрику(переподключение оборудования)</t>
  </si>
  <si>
    <t>Обратный клапан воздуха, медные наконечники, клапан предохранитель воздуха, медные пластины на метализатор. Чеков на 750грн, ост перевод с карты манжулы</t>
  </si>
  <si>
    <t>950-интернет</t>
  </si>
  <si>
    <t>1300-уборка помещения
662-Лицензиция Медок Индеп Стил
4282,80-списание суммы с Подотчета Пономаренко Ю.</t>
  </si>
  <si>
    <t>ф1-Бутенко, Аксенчиков, Пономаренко 
ф2-ЗП Бутенко, Аксенчиков, Терещенко (март-май)</t>
  </si>
  <si>
    <t>доставка вагончика, Доставка остатков из магазин (для модульного дома)</t>
  </si>
  <si>
    <t>услуга электрика</t>
  </si>
  <si>
    <t>1444,52-февраль</t>
  </si>
  <si>
    <t>9232,30-февраль
92,5-апрель
2589-май</t>
  </si>
  <si>
    <t>3829,65-февраль
168-апрель
235,03-июнь</t>
  </si>
  <si>
    <t>9674,89-февраль 2022
483-май 
256-июнь</t>
  </si>
  <si>
    <t>Ротор Пегасус (февраль)</t>
  </si>
  <si>
    <t>Акт 3/5, 7/5, 3/7, 3/3, 5/1, 5/7, 3/4, 6/4, 9/3, 7/3, 5/2, 11/1, 5/8, 3/3, 7/6, 7/11, 5/1, 7/9, 5/9, 3/8, 6/2, 6/5, 6/6, 7/7, 10/1, 7/5-2</t>
  </si>
  <si>
    <t>Акт 16-20</t>
  </si>
  <si>
    <t>услуги автокрана</t>
  </si>
  <si>
    <t>проживание Жорж А.</t>
  </si>
  <si>
    <t>182,50-маркеры строительные
500,04-аренда баллонов</t>
  </si>
  <si>
    <t>843,50-маркеры строительные
2640-аренда баллонов
1076-распиратор</t>
  </si>
  <si>
    <t>Перевезення вантажу Зимня вода-Ставчани</t>
  </si>
  <si>
    <t>10 573,33-Контроль якості зварних з'єднань
исполнительные схемы трубопровода, экспертиза МК,</t>
  </si>
  <si>
    <t>4833,32-Послуги Автокрана
3000-услуги крана</t>
  </si>
  <si>
    <t>ф1-ремонт электроинструмента, ремонт КШМ
ф2-ремонт и запчасти на Газель</t>
  </si>
  <si>
    <t>ГСМ (топливо) Жорж А.</t>
  </si>
  <si>
    <t>ГСМ топливо - Олейник В.</t>
  </si>
  <si>
    <t>ГСМ топливо -Гуртовой А. Стариков С (50%)</t>
  </si>
  <si>
    <t>ГСМ топливо = Пономарено Ю.</t>
  </si>
  <si>
    <t xml:space="preserve">Бр.Штереверля </t>
  </si>
  <si>
    <t>Акт 18,19,20,21 (акт прошлого года). Списание было проведено по нему в прошлом периоде</t>
  </si>
  <si>
    <t>Бр. Берест</t>
  </si>
  <si>
    <t>Топливо Старикова - июнь</t>
  </si>
  <si>
    <t>ЦЕХ=0,606т=8484грн</t>
  </si>
  <si>
    <r>
      <t xml:space="preserve">Бр.Геворкян = 86180
Бр.Тугай = 116 760
Бр.Андреев = 100 400
Бр.Исичко = 209 817,68
Бр.Ставицкий = 62 155
</t>
    </r>
    <r>
      <rPr>
        <sz val="11"/>
        <color theme="3"/>
        <rFont val="Times New Roman"/>
        <family val="1"/>
        <charset val="204"/>
      </rPr>
      <t>Бр.Сало = 73 559,71</t>
    </r>
    <r>
      <rPr>
        <sz val="11"/>
        <color theme="3" tint="-0.249977111117893"/>
        <rFont val="Times New Roman"/>
        <family val="1"/>
        <charset val="204"/>
      </rPr>
      <t xml:space="preserve">
Бр.Козеев = 172 365,92грн
Бр.Петренко = 313 004</t>
    </r>
  </si>
  <si>
    <t>механизатор = 15 137,80 + часть по ф1)
19 840-Искрицкий, Скрипник (май)</t>
  </si>
  <si>
    <t>Пономарев</t>
  </si>
  <si>
    <r>
      <rPr>
        <b/>
        <sz val="11"/>
        <color theme="3" tint="-0.499984740745262"/>
        <rFont val="Times New Roman"/>
        <family val="1"/>
        <charset val="204"/>
      </rPr>
      <t>Затраты января 2022=195 025,37</t>
    </r>
    <r>
      <rPr>
        <sz val="11"/>
        <color theme="3" tint="-0.499984740745262"/>
        <rFont val="Times New Roman"/>
        <family val="1"/>
        <charset val="204"/>
      </rPr>
      <t xml:space="preserve">
Телескоп 5 = 58 171,47
РДК 250№2=63 353,94
Автокран 55 = 73 500
</t>
    </r>
    <r>
      <rPr>
        <b/>
        <sz val="11"/>
        <color theme="3" tint="-0.499984740745262"/>
        <rFont val="Times New Roman"/>
        <family val="1"/>
        <charset val="204"/>
      </rPr>
      <t xml:space="preserve">Февраль 2022=240 329
</t>
    </r>
    <r>
      <rPr>
        <sz val="11"/>
        <color theme="3" tint="-0.499984740745262"/>
        <rFont val="Times New Roman"/>
        <family val="1"/>
        <charset val="204"/>
      </rPr>
      <t xml:space="preserve">Телескоп 5=47 592
Автокран 55 = 162 000
РДК 250=30 738
</t>
    </r>
  </si>
  <si>
    <t>Ииюль 2022</t>
  </si>
  <si>
    <t>№2 дата акта не согласована</t>
  </si>
  <si>
    <t>64 195грн-модульный дом</t>
  </si>
  <si>
    <t xml:space="preserve">307 331,64-Акт 1, Акт 2
</t>
  </si>
  <si>
    <t>Июль 2022</t>
  </si>
  <si>
    <t>проживание Вануш, Стариков</t>
  </si>
  <si>
    <t>Геворкян</t>
  </si>
  <si>
    <t>Оренда балонів, шт</t>
  </si>
  <si>
    <t>Август 2022</t>
  </si>
  <si>
    <t>июль 2022</t>
  </si>
  <si>
    <r>
      <rPr>
        <b/>
        <sz val="11"/>
        <color indexed="18"/>
        <rFont val="Times New Roman"/>
        <family val="1"/>
        <charset val="204"/>
      </rPr>
      <t>128,871тонн</t>
    </r>
    <r>
      <rPr>
        <sz val="11"/>
        <color indexed="18"/>
        <rFont val="Times New Roman"/>
        <family val="1"/>
        <charset val="204"/>
      </rPr>
      <t xml:space="preserve">
Старкон =16,535т.=231 490грн
Приднепровский-метал= 111,73тонн= 1 564 220
Глухов=0,606т=8484грн
Подгорцы = 2 бытовки = 200 000грн </t>
    </r>
    <r>
      <rPr>
        <sz val="11"/>
        <color theme="3"/>
        <rFont val="Times New Roman"/>
        <family val="1"/>
        <charset val="204"/>
      </rPr>
      <t xml:space="preserve">
Поступление от Глухов за переходы = 46 500грн</t>
    </r>
    <r>
      <rPr>
        <sz val="11"/>
        <color rgb="FFFF0000"/>
        <rFont val="Times New Roman"/>
        <family val="1"/>
        <charset val="204"/>
      </rPr>
      <t xml:space="preserve">
</t>
    </r>
    <r>
      <rPr>
        <sz val="11"/>
        <color theme="3"/>
        <rFont val="Times New Roman"/>
        <family val="1"/>
        <charset val="204"/>
      </rPr>
      <t>365 014,80-модульный дом</t>
    </r>
  </si>
  <si>
    <t>представительские за 3 дома</t>
  </si>
  <si>
    <t>установка кондиционера, оплата электрика</t>
  </si>
  <si>
    <t>ГСМ (топливо) Манжула М., Гриценко А.</t>
  </si>
  <si>
    <t>Гриценко А., Бутенко М., Аксенчиков С.</t>
  </si>
  <si>
    <t>ЗП Июль: Манжула М. (50%), Скоропатская (1/3), Рубец О. (50%), Климович (1/3), Гурник (1/3)</t>
  </si>
  <si>
    <t>3304-МЕДОК
3500-услги за сайт 50%</t>
  </si>
  <si>
    <t>аренда автокрана для погрузки модульных домов</t>
  </si>
  <si>
    <t>эдиный налог 2% на июнь</t>
  </si>
  <si>
    <t>30 465,4грн -переходы 30шт для Глухов
Материалы под изготовление металоконструкций = 328 981,81
Материалы за 1ый домик = 155 941,459</t>
  </si>
  <si>
    <t>27 961,10-затраты на изготовление роспашных ворот
135613,52*2=271 227,04-сс 2 модульных домов
7500 кондиционер</t>
  </si>
  <si>
    <t>4004-электроенергия за июль (казна)
3336-заправка Телескоп 3
50 424-аренда цеха июль (казна)</t>
  </si>
  <si>
    <t>11 000-Ринг Транс БЦ-Запорожье (достава ворот)</t>
  </si>
  <si>
    <t>3600-аренда баллонов
722-маркер строительный
аренда цеха+коммунальные (казна)</t>
  </si>
  <si>
    <t>41 600-за изготовление модульных домов 2,3
6080-за изготовление металла на Приднепровский-металл</t>
  </si>
  <si>
    <t>Телескоп 3-Вербицкий</t>
  </si>
  <si>
    <t>39 160-изготовление розпашных ворот
2877-за продажу остатков металла
670 930,56- 2 модульных дома
Приднепровский-метал = 14,165*14 000=198 310грн
СП Металинвест = 30181,50 (продажа метала)</t>
  </si>
  <si>
    <t>Латиш (июль)</t>
  </si>
  <si>
    <t>Андреев, Григорьев, Чайкин (июль)</t>
  </si>
  <si>
    <t>Андреев, Григорьев, Данилов, Николанко</t>
  </si>
  <si>
    <t>Акт 9/4, 3/6</t>
  </si>
  <si>
    <t>Бр.Геворкян = 35 070грн
Бр.Андреев = 34 800</t>
  </si>
  <si>
    <t>в т.ч досписание к июню в июле</t>
  </si>
  <si>
    <t>к акту июля - материал заказчика Акт 9/4
К акту 3/6 материал весь списан (в декабре)</t>
  </si>
  <si>
    <t>PL Ретал</t>
  </si>
  <si>
    <t>PL МХП3</t>
  </si>
  <si>
    <t>СТРОИТЕЛЬСТВО</t>
  </si>
  <si>
    <t>ЛОГИСТИКА</t>
  </si>
  <si>
    <t>ПРОИЗВОДСТВО</t>
  </si>
  <si>
    <t>АКТ 21, АКТ 1</t>
  </si>
  <si>
    <t>списание к Акту №21</t>
  </si>
  <si>
    <t>списание остатков закрытого объекта</t>
  </si>
  <si>
    <t>досписание</t>
  </si>
  <si>
    <t>випробування контрольных образц</t>
  </si>
  <si>
    <t>Август</t>
  </si>
  <si>
    <t>ремонты ушм</t>
  </si>
  <si>
    <r>
      <rPr>
        <sz val="11"/>
        <color theme="3"/>
        <rFont val="Times New Roman"/>
        <family val="1"/>
        <charset val="204"/>
      </rPr>
      <t>1 694,05 к АВР 1 = 153 387</t>
    </r>
    <r>
      <rPr>
        <sz val="11"/>
        <color indexed="18"/>
        <rFont val="Times New Roman"/>
        <family val="1"/>
        <charset val="204"/>
      </rPr>
      <t xml:space="preserve">
45 289  АВР 21 = 95 690
(списание в июле)</t>
    </r>
  </si>
  <si>
    <t>отьезд Андреев и Чешко</t>
  </si>
  <si>
    <t>1. Бр.Андреев=36 823,42
2. Чешко =  34 000</t>
  </si>
  <si>
    <t>Сентябрь 2022</t>
  </si>
  <si>
    <t>Самосвал Камаз</t>
  </si>
  <si>
    <t>Аксенчиков А.; Бутенко М</t>
  </si>
  <si>
    <t>Ф2 - Металлоконструкции 90586 грн
Ф2 - МД 70176 грн
Ф2 - механизатор 9800 грн
Факт Ф1+Ф2 ЗП металлоконструкции 4707,36 грн/т - план 5 880,95 грн/т; МД 23782 грн/МД - план 26640 грн/МД</t>
  </si>
  <si>
    <t>доставка матеріалів</t>
  </si>
  <si>
    <t>штамп - 504,61 грн.;
МШП для металоконструкций и МД - 21517,83 грн.
план МШП для металоконструкцій 3359,4 грн/т (або 87630 рн для 26,085 т)</t>
  </si>
  <si>
    <t>Ф2 -3 839,70 - заправка Газель и Телескоп в 1 пол августа; 1900 грн - вывоз мусора; 800 грн - шиномонтаж</t>
  </si>
  <si>
    <t>Антоновит Т (50%); Бабошина О (1/3); Климович О (1/3); Манжула (50%); Рубец О. (25%); Соломоненко А (50%); Шарова Е (1/3); Гриценко А;</t>
  </si>
  <si>
    <t>интернет - 1440 грн; мобильная связь - 835 грн</t>
  </si>
  <si>
    <t>коммунальніе - 11410 грн; аренда за август - 50424 грн</t>
  </si>
  <si>
    <t>командировка БЦ-Мощун личным транспортом Скрыпник Сергей</t>
  </si>
  <si>
    <t>Единый 75723,42 грн; ВЗ 980,76 грн; НДФЛ 11 769,17 грн</t>
  </si>
  <si>
    <t>Староконстантинов 6,075 т - 85 050 грн
Приднепровский металл 20,01 т - 280 140 грн
2 МД - 898 892,4 грн
Ф2 - реализация 0,515 т</t>
  </si>
  <si>
    <t>287136,66 - материалы для изготовления 2 МД
факт 143 568,33 грн/МД - план 142 978,43 грн/мд</t>
  </si>
  <si>
    <t>18000 - плата за проект Бутенко, Аксенчиков
3400 - элекрик - план 1500 грн/МД
оплата Ф.И.Л.</t>
  </si>
  <si>
    <t>PL</t>
  </si>
  <si>
    <t>Сентябрь</t>
  </si>
  <si>
    <t>Сенетябрь 2022</t>
  </si>
  <si>
    <t>Изготовление документов по охране труда -1 000,00</t>
  </si>
  <si>
    <t>Аренда погрузчика для подключения вагончика -500,00
Аренда гидромолота -8 500,00
аренда самосвала -3 000,00
Аренда экскаватора (7 год*1500 грн екскаватор/5год*1700 грн гідромолот) -10 500,00
Аренда погрузчика -400,00</t>
  </si>
  <si>
    <t>Аренда вибротрамбовки 8 год*62,5 грн¶ -500,00
Аренда трамбовки 2 дня -1 000,00</t>
  </si>
  <si>
    <t>Кабель для подключения вагончика 9 (чек) -583,00
Вязальная проволока (чек) -1 267,00
Диск по бетону, электроды (чек) -1 361,00
Ножовка (Чек) -298,00
Цементно-песчаная смесь(чек) -155,00
Миксер(чек) -72,00</t>
  </si>
  <si>
    <t>Акт №3/9  Договір  № 23122020 від 23.12.2020 р. списания не будет (виготовлення та монтаж металоконструкцій)</t>
  </si>
  <si>
    <t>Хомич Олександр Віталійович ---трудова книжка</t>
  </si>
  <si>
    <t xml:space="preserve">Экскаватор  JCB </t>
  </si>
  <si>
    <t xml:space="preserve">Аренда квартиры ИТР(первый+последний месяц, риелторские) -15 000,00
Аренда квартиры рабочих -5 000,00
Аренда квартиры рабочих з 22.09-30.09.22 р. (4 особи*60 грн/сутки*9 діб) по ул Привокзальная2, кв 3 (аарендодавець Михайлик Наталія Зіновіївна) -2 160,00
Оплата коммунальных платежей -350,00
</t>
  </si>
  <si>
    <t>Приезд бр. Жука- Сова -1 004,00
Приезд бр. Жука- Лысенко -699,00
Приезд бр. Жука- Жук -812,00
Приезд бр. Жука- Блоха -500,00
Отъезд бр. Жука(будет билет) -1 000,00
Заправка трамбовки А95 (чек) -282,00
Заправка бензина в трамбовку -250,00
Ф1- ГСМ Ширшов-5320</t>
  </si>
  <si>
    <t xml:space="preserve">Ф1. Старіков
Ф2. Аренда гостиницы Стариков -700,00
Аренда гостиницы Стариков -700,00
Аренда гостиницы Стариков(чек) 28.09.22 -700,00
</t>
  </si>
  <si>
    <t>Ширшов О.Л.</t>
  </si>
  <si>
    <t>"Ганас Юрій Володимирович ФОП
Договір рухомого майна №05/11 від 05.11.2021 р."</t>
  </si>
  <si>
    <t>"ТРАНСПОРТНО-ЕКСПЕДИЦІЙНА КОМПАНІЯ АБ-ГРУП"" ТОВ
Договір №15/08/2022 на транспортне обслуговування"</t>
  </si>
  <si>
    <t>Услуги КС 43-742</t>
  </si>
  <si>
    <t>ЦЕХ- 27 т отгрузка  *14 000=378 000
Оплата изготовления КМД -9 347,00
Погрузка вагончика в Славуте (2 человека) -1 000,00
Подключение вагончика и электрощитка -300,00</t>
  </si>
  <si>
    <t>GPS</t>
  </si>
  <si>
    <t>списание МШП за пол года по результатам инвентаризации</t>
  </si>
  <si>
    <t>отгружено 11 МД (4 963 227 грн);
Приднепровский металл 25,506 т (357 644 грн);
МХП-3 27 т (378 000 грн)</t>
  </si>
  <si>
    <t>Аксенчиков, Бутенко, Житнюк</t>
  </si>
  <si>
    <t>За изготовление МД 380 133 грн; МК 206 766,47 грн; буржуйки - 8 470 грн; облаштування цеху - 6480 грн</t>
  </si>
  <si>
    <t>Ф.И.Л. - 804 765 грн; элекрик</t>
  </si>
  <si>
    <t>доставка МД до Мощуна</t>
  </si>
  <si>
    <t>списание Индастриала за пол года по результатам инвентаризации
по Стилу Ф1 - 2942,38; Ф2 - 1691 грн</t>
  </si>
  <si>
    <t>недостоющий профлист перед монтажом</t>
  </si>
  <si>
    <t>вывоз мусора; ГСМ</t>
  </si>
  <si>
    <t>Антонович, Гриценко О, Рубец, Климович, Бабошина, Манжула, Соломоненко, Шарова</t>
  </si>
  <si>
    <t>моб.связь</t>
  </si>
  <si>
    <t>компенсация электроэнергии и аренда; карточки от входных дверей</t>
  </si>
  <si>
    <t>переодика + Лига-Закон</t>
  </si>
  <si>
    <t>Единый 412 864,46 грн; НДФЛ 26 759,46 грн; ВЗ 2 229,96 грн</t>
  </si>
  <si>
    <t>Октябрь 2022</t>
  </si>
  <si>
    <t>интернет</t>
  </si>
  <si>
    <t>Ф1 22 МД, МК 1,06 т на Староконстантинов; 
Ф2 - 4 буржуйки (2 продано, 2 благотворительность)</t>
  </si>
  <si>
    <t>МШП та спецодяг</t>
  </si>
  <si>
    <t>перевозки БЦ-Мощун</t>
  </si>
  <si>
    <t>услуги крана при установке МД</t>
  </si>
  <si>
    <t>ремонт инструмента</t>
  </si>
  <si>
    <t>аренда территории и компенсация электроэнергии</t>
  </si>
  <si>
    <t>аренда баллонов</t>
  </si>
  <si>
    <t>рко + курсовые разницы при обмене валюты</t>
  </si>
  <si>
    <t>НДФЛ - 37 574,77; Единый - 53 861; ВЗ - 3 131,25; ФОП Воронцов 2% 21 880</t>
  </si>
  <si>
    <t>Гриценко А, Манжула М</t>
  </si>
  <si>
    <t>2 буржуйки благотворительность</t>
  </si>
  <si>
    <t>Жук; сервер 1С; Борщ</t>
  </si>
  <si>
    <t>НП; ценный письма</t>
  </si>
  <si>
    <t>Ф.И.Л.</t>
  </si>
  <si>
    <t>включают в себя доставку
Ф2 довоз недостоющего душевого поддона перед устаовкой</t>
  </si>
  <si>
    <t>Ф1 вывоз мусора;
Ф2 монтаж электрики в МД, изготовление завесов для буржуек, наточка цепи</t>
  </si>
  <si>
    <t>2 буржуйки дивиденды</t>
  </si>
  <si>
    <t>консультация по валютным операциям и ведению бух учета</t>
  </si>
  <si>
    <t>кава</t>
  </si>
  <si>
    <t xml:space="preserve">Изготовление МД 20 ед; изготовление МК 1,06т; монтаж МД 22 ед; ремонт 3-х бытовак ддля Индастриалбуд; </t>
  </si>
  <si>
    <t>Аксенчиков (8 291,50/9 708,50); Бутенко (8 291,50/14 708,50); Житнюк (10 384,50/7 615,50)</t>
  </si>
  <si>
    <t>Антонович (4 991/10 009); Бабошина (5 155,59/7 344,45); Гриценко А (5 313/12 101,67); Климович (3 488,34/4 845); Малогловец (351,39/); Манжула (6 625,43/7 674,98); Рубец (5 838,24/9 698,44); Соломоненко (6 460,13/6 039,88); Шарова (2 856,42/4 810,28)</t>
  </si>
  <si>
    <t>Октябрь</t>
  </si>
  <si>
    <t xml:space="preserve">Ф.1
+ АКТ №3   Договір №  №27/09/21--ГП  від 27.09.2021 треб .№181. №182 1 429 039,38
+ АКТ №72    Проектні роботи  №15/09-2021 від 15.09.2021  Агроінжинірінг прих 1336 410 000,00
+ АКТ №72    Проектні роботи  №15/09-2021 від 15.09.2021   Агроінжинірінг 90 000,00
</t>
  </si>
  <si>
    <t>Ф.1
к Акту №3 Договору генерального підряду №27/09-2021 від 27.09.2021 р.сумма акта 1429039,38  269 598,01</t>
  </si>
  <si>
    <t xml:space="preserve">Ф.1
+ АКТ№1  Договір №2608/22/Л/ВКВК від 26.08.2022 р. треб 180 спис.м/к№195 затр.цеха №196 2 616 925,91
 +  АКТ №3   Договір №2608/22/Л/ВКВК від 26.08.2022 р.спис.№193 58 567,46
 +  АКТ№2   Договір №2608/22/Л/ВКВК від 26.08.2022 р.спис.№192 мшп№43 334 480,16
</t>
  </si>
  <si>
    <t xml:space="preserve">Ф.1
Автокран XCMG " 2 смен 8 448
Ф.2
Аренда виброкатка
</t>
  </si>
  <si>
    <t xml:space="preserve">Ф.2
Саморезы 07.10.2022 -130,00
Круг зачистной 06.10.2022 -96,00
Валики, кисточки.Чек. -1 030,00
Ручка для валика -92,00
Сверло -98,00
Валик 2 шт -289,00
Гайка М16 -180,00
Веник -75,00
Шнур отбивочный -65,00
</t>
  </si>
  <si>
    <t>Ф.1
Вінницька птахофабрика ВКВК к  акту №1 виготовлення навісу_2616925,91 131 398,59
Вінницька птахофабрика ВКВК к  акту №1_2616925,91 981 267,66
Вінницька птахофабрика ВКВК к  акту №2_334480,16 56 285,73
Вінницька птахофабрика ВКВК к  акту №3_58567,46 24 094,48
затраты цеха   Вінницька птахофабрика ВКВК к  акту №1 виготовлення навісу_ акту №1_2616925,91 13 324,80
мінус переміщення --144723,39</t>
  </si>
  <si>
    <t>Ф.2
Ремонт УШМ</t>
  </si>
  <si>
    <t xml:space="preserve">Ф.1 
Старіков Сергій Вікторович  -200,00
Ширшов Олександр Леонідович  -3 120,00
ШКУРАТ ІГОР МИКОЛАЙОВИЧ  -400,00
Ф.2
Аренда квартиры рабочих с 01.10-15.10 -3 600,00
Аренда гостиницы Стариков-700, Аренда квартиры ИТР-6000, Аренда квартиры рабочих-3600_МХП-3_Аренда квартиры -10 300,00
Аренда квартиры рабочих с 16.10 по 30.10 -3 600,00
Ф.2
Коммунальные платежи квартира ИТР -490,00
Коммунальные платежи квартира сварщиков -580,00
</t>
  </si>
  <si>
    <t>Ф.2
заправка картриджа</t>
  </si>
  <si>
    <t>Ф.2
РКО от суммы_58 972,00_ -589,72
РКО (Аренда квартиры рабочих с 16.10 по 30.10 -156,00
Комиссия от суммы 81 МХП3 -120,00</t>
  </si>
  <si>
    <t xml:space="preserve">Ф.1
+Акт № 6   _Договір підряду в капітальному будівництві №406-10 спис№188 мшп№42 171 954,72
+Акт №1   _Договір підряду в капітальному будівництві №406-10 Доп Угода №1 демонтаж.р-ты списания не будет 7 474,94
</t>
  </si>
  <si>
    <t>Ф.1
Акт №6 Договір підряду в капітальному будівництві №406-10 від 02.06.2021р сумма акта 171954,72 14 636,22</t>
  </si>
  <si>
    <t>Гуртовой, списание долга по согласованию с Воронцовым А.. из которых 27 900грн выплачено отпускные и за аренду авто. Сумма по факту оприходована в кассу</t>
  </si>
  <si>
    <t>Ноябрь 2022</t>
  </si>
  <si>
    <t>---</t>
  </si>
  <si>
    <t>PL МЭЗ СЕТИ</t>
  </si>
  <si>
    <t>Ноябрь</t>
  </si>
  <si>
    <t>ЗП -Ширшов Олександр Леонидович/ зарплата за листопад 2022</t>
  </si>
  <si>
    <t>Ф.1
АКТ№1    Договір №2608/22/Л/ВКВК від 26.08.2022 р. спис.№212 мшп№50
АКТ№4   Договір №2608/22/Л/ВКВК від 26.08.2022 р.спис.№211 мшп№50</t>
  </si>
  <si>
    <t>відсутні підписані АВР</t>
  </si>
  <si>
    <t>Послуги транспортно-експедиційні   16 666,67</t>
  </si>
  <si>
    <r>
      <t xml:space="preserve">Сумма по Ф1, грн </t>
    </r>
    <r>
      <rPr>
        <b/>
        <i/>
        <sz val="10"/>
        <rFont val="Times New Roman"/>
        <family val="1"/>
        <charset val="204"/>
      </rPr>
      <t xml:space="preserve"> </t>
    </r>
  </si>
  <si>
    <t>Ф.2
Щетки на УШМ Макита -40,00
Наколенники -340,00
Растворитель -123,00</t>
  </si>
  <si>
    <t>Ф.1
Ширшов Олександр Леонідович</t>
  </si>
  <si>
    <t>Ф.2
Аренда квартиры рабочих 31.10-14.11 -3 600,00</t>
  </si>
  <si>
    <t>Ф.2
Отъезд бр. Жука -2 000,00
Приезд сварщиков -2 000,00
Отъезд бр. Зеленько -1 500,00</t>
  </si>
  <si>
    <t>Ф.2
Представительские_Ладыжин_3 -3 500,00</t>
  </si>
  <si>
    <t>Ф.2
послуги РКО</t>
  </si>
  <si>
    <t xml:space="preserve">"ІНДЕП ТРАНС ТОВ
дог. 20.07.22 від 20.07.2022" 231 16 666,67 </t>
  </si>
  <si>
    <t>Ф1 % на остаток на счете;
Ф2 доход от Буржуйки Горич, списано как ФинПомощь</t>
  </si>
  <si>
    <t>26 чел</t>
  </si>
  <si>
    <t>Ф1/Ф2 Аксенчиков (8 291,50/9 708,50); Бутенко (8 291,50/14 708,50); Житнюк (10 384,50/7 615,50)</t>
  </si>
  <si>
    <t>Ф2 услуги электрика для 30 МД</t>
  </si>
  <si>
    <t>Ф1 аренда баллонов
Ф2 аренда генератора</t>
  </si>
  <si>
    <t>Ф2 - хомуты, тройник, шланг для компрессора</t>
  </si>
  <si>
    <t>Ф2 -2 051 530,00 Ф.И.Л. за 30 МД; 8422 - таблички на МД, доставка, масло для генератора, реклама на ОЛХ, ремонт козлового крана, трактор в с.Мощун</t>
  </si>
  <si>
    <t>проживание персонала 60 грн/сутки * 30 суток * 17 чел</t>
  </si>
  <si>
    <t>автомобильный аккумулятор и заряжное устройство для него</t>
  </si>
  <si>
    <t>Жук 9 ч * 600 грн/ч =5400 грн /3 = 1800 грн; сервер 1С 1/3</t>
  </si>
  <si>
    <t>обжслуживание принтера и картриджи</t>
  </si>
  <si>
    <t>Ф1/Ф2 Бабошина 1/2 (5 232,50/7 267,50); Климович 1/3 (3 488,33/4 845,00); Рубец 1/4 (3 177,41/7 267,60); Шарова 1/3 (2 786,27/5 547,07); Гриценко О. (8 533,00/28 247,00); Манжула 1/2 (3 320,62/14 408,89); Антонович 1/2 (4 991,00/10 009,00); Соломоненко 1/2 (6 440,00/6 039,88); Ф1 - инвалид 409,45</t>
  </si>
  <si>
    <t>720 - интернет; 1908 - мобильная связь</t>
  </si>
  <si>
    <t>топливо упр.персонала + генератор</t>
  </si>
  <si>
    <t>43072,77 коммунальные Цех
100848 аренда цеха</t>
  </si>
  <si>
    <t>нотариальные услуги</t>
  </si>
  <si>
    <t>106794,26 - Единый налог 2% ; 594,32 НДФЛ; 49,5 ВЗ</t>
  </si>
  <si>
    <t>Буржуйка Горич</t>
  </si>
  <si>
    <t>Ф1 - отгружено 29 МД по бух.  237148 грн - за генераторы
Ф2 - продаж буржуйки</t>
  </si>
  <si>
    <t>Ф2 - 19 600 грн - разработка КМД 7; 8760 грн - ремонт МД 1;488224 грн - МД 22 ед. (22192грн/МД СС граничная 27 716,04 грн/МД); 5109 грн - ремонт МД 56, 58, 60</t>
  </si>
  <si>
    <t>стройматериалы для 24 МД (148906,73 грн/МД по СС 180 271 грн/МД); 127 800 грн генераторы; 21700 доставка стройматериалов</t>
  </si>
  <si>
    <t>"ІНДЕП ТРАНС ТОВ
трансп.послуги - м.Київ - м. Ладижин, авто АА6818ЕК
трансп.послуги - м.Ладижин- м. Бровари, DAF AH9525KB н.п. SCHMITZ AH4467XM, водій Малюкин С.В.</t>
  </si>
  <si>
    <t>"Коломієць Станіслав Миколайович ФОП
Договір послуг техніки № 10 від 01.05.2021 р." послги будівельної техніки
Послуги автокрана 20Т-С, КРАЗ 250 КТА-28</t>
  </si>
  <si>
    <t>Декабрь 2022</t>
  </si>
  <si>
    <t>проживание персонала 60 грн/сутки * 31 суток * 17 чел</t>
  </si>
  <si>
    <t>Поздравления сотрудников банка с  НГ.</t>
  </si>
  <si>
    <t>АКТ №22     ДОГ. 18/05/2021 генерального підряду  треб.№183,252</t>
  </si>
  <si>
    <r>
      <rPr>
        <u/>
        <sz val="9"/>
        <color theme="3" tint="-0.249977111117893"/>
        <rFont val="Times New Roman"/>
        <family val="1"/>
        <charset val="204"/>
      </rPr>
      <t>Ф2:</t>
    </r>
    <r>
      <rPr>
        <sz val="9"/>
        <color theme="3" tint="-0.249977111117893"/>
        <rFont val="Times New Roman"/>
        <family val="1"/>
        <charset val="204"/>
      </rPr>
      <t xml:space="preserve"> изгот 20 МД и 54,5т МК + монтаж 22 МД; 13200 - Ремонт бытовки</t>
    </r>
  </si>
  <si>
    <r>
      <rPr>
        <u/>
        <sz val="9"/>
        <color theme="3" tint="-0.249977111117893"/>
        <rFont val="Times New Roman"/>
        <family val="1"/>
        <charset val="204"/>
      </rPr>
      <t>Ф2:</t>
    </r>
    <r>
      <rPr>
        <sz val="9"/>
        <color theme="3" tint="-0.249977111117893"/>
        <rFont val="Times New Roman"/>
        <family val="1"/>
        <charset val="204"/>
      </rPr>
      <t xml:space="preserve"> Житнюк, Бутенко, Аксенчиков</t>
    </r>
  </si>
  <si>
    <r>
      <rPr>
        <u/>
        <sz val="9"/>
        <color theme="3" tint="-0.249977111117893"/>
        <rFont val="Times New Roman"/>
        <family val="1"/>
        <charset val="204"/>
      </rPr>
      <t>Ф2:</t>
    </r>
    <r>
      <rPr>
        <sz val="9"/>
        <color theme="3" tint="-0.249977111117893"/>
        <rFont val="Times New Roman"/>
        <family val="1"/>
        <charset val="204"/>
      </rPr>
      <t xml:space="preserve"> 25500 - монтаж электрики МД 0,3(67-83); 8000 - разработка и планировка новых МД.</t>
    </r>
  </si>
  <si>
    <r>
      <rPr>
        <u/>
        <sz val="9"/>
        <color theme="3" tint="-0.249977111117893"/>
        <rFont val="Times New Roman"/>
        <family val="1"/>
        <charset val="204"/>
      </rPr>
      <t>Ф2:</t>
    </r>
    <r>
      <rPr>
        <sz val="9"/>
        <color theme="3" tint="-0.249977111117893"/>
        <rFont val="Times New Roman"/>
        <family val="1"/>
        <charset val="204"/>
      </rPr>
      <t xml:space="preserve"> аренда генератора 300*31</t>
    </r>
  </si>
  <si>
    <t>40000 - автокран 16т, 18000 - машина с бортом, 14400 - манипулятор</t>
  </si>
  <si>
    <r>
      <rPr>
        <u/>
        <sz val="9"/>
        <color theme="3" tint="-0.249977111117893"/>
        <rFont val="Times New Roman"/>
        <family val="1"/>
        <charset val="204"/>
      </rPr>
      <t>Ф2:</t>
    </r>
    <r>
      <rPr>
        <sz val="9"/>
        <color theme="3" tint="-0.249977111117893"/>
        <rFont val="Times New Roman"/>
        <family val="1"/>
        <charset val="204"/>
      </rPr>
      <t xml:space="preserve"> 2000 - Ремонт козлового крана </t>
    </r>
  </si>
  <si>
    <t>доставка МД</t>
  </si>
  <si>
    <t>Generator ruris r-power ge 7000</t>
  </si>
  <si>
    <t>Кофе, фильтр</t>
  </si>
  <si>
    <t>720 - интернет; 247,5 - мобильная связь</t>
  </si>
  <si>
    <t>26303 коммунальные Цех
100848 аренда цеха</t>
  </si>
  <si>
    <t>Ісаєнко О. В. приватний нотаріус</t>
  </si>
  <si>
    <t>31 чел</t>
  </si>
  <si>
    <r>
      <rPr>
        <u/>
        <sz val="9"/>
        <color theme="3" tint="-0.249977111117893"/>
        <rFont val="Times New Roman"/>
        <family val="1"/>
        <charset val="204"/>
      </rPr>
      <t>Ф1:</t>
    </r>
    <r>
      <rPr>
        <sz val="9"/>
        <color theme="3" tint="-0.249977111117893"/>
        <rFont val="Times New Roman"/>
        <family val="1"/>
        <charset val="204"/>
      </rPr>
      <t xml:space="preserve"> для изготовления МК и МД</t>
    </r>
    <r>
      <rPr>
        <u/>
        <sz val="9"/>
        <color theme="3" tint="-0.249977111117893"/>
        <rFont val="Times New Roman"/>
        <family val="1"/>
        <charset val="204"/>
      </rPr>
      <t xml:space="preserve">
Ф2:</t>
    </r>
    <r>
      <rPr>
        <sz val="9"/>
        <color theme="3" tint="-0.249977111117893"/>
        <rFont val="Times New Roman"/>
        <family val="1"/>
        <charset val="204"/>
      </rPr>
      <t xml:space="preserve"> маркер, шкурка тканевая 200 мм </t>
    </r>
  </si>
  <si>
    <t>3 064 082,28 - стройматериалы для МД; 6012 - доставка</t>
  </si>
  <si>
    <r>
      <rPr>
        <u/>
        <sz val="9"/>
        <color theme="3" tint="-0.249977111117893"/>
        <rFont val="Times New Roman"/>
        <family val="1"/>
        <charset val="204"/>
      </rPr>
      <t>Ф1:</t>
    </r>
    <r>
      <rPr>
        <sz val="9"/>
        <color theme="3" tint="-0.249977111117893"/>
        <rFont val="Times New Roman"/>
        <family val="1"/>
        <charset val="204"/>
      </rPr>
      <t xml:space="preserve"> 9045 - топливо для генератора; 31200 - смесь для сварки; 5610 - СО2
</t>
    </r>
    <r>
      <rPr>
        <u/>
        <sz val="9"/>
        <color theme="3" tint="-0.249977111117893"/>
        <rFont val="Times New Roman"/>
        <family val="1"/>
        <charset val="204"/>
      </rPr>
      <t>Ф2:</t>
    </r>
    <r>
      <rPr>
        <sz val="9"/>
        <color theme="3" tint="-0.249977111117893"/>
        <rFont val="Times New Roman"/>
        <family val="1"/>
        <charset val="204"/>
      </rPr>
      <t xml:space="preserve"> 1 367 780 - Ф.И.Л. за МД 61-80.</t>
    </r>
  </si>
  <si>
    <r>
      <rPr>
        <u/>
        <sz val="9"/>
        <color theme="3" tint="-0.249977111117893"/>
        <rFont val="Times New Roman"/>
        <family val="1"/>
        <charset val="204"/>
      </rPr>
      <t>Ф1:</t>
    </r>
    <r>
      <rPr>
        <sz val="9"/>
        <color theme="3" tint="-0.249977111117893"/>
        <rFont val="Times New Roman"/>
        <family val="1"/>
        <charset val="204"/>
      </rPr>
      <t xml:space="preserve"> 23800 - настройка сервера 1С         
</t>
    </r>
    <r>
      <rPr>
        <u/>
        <sz val="9"/>
        <color theme="3" tint="-0.249977111117893"/>
        <rFont val="Times New Roman"/>
        <family val="1"/>
        <charset val="204"/>
      </rPr>
      <t>Ф2:</t>
    </r>
    <r>
      <rPr>
        <sz val="9"/>
        <color theme="3" tint="-0.249977111117893"/>
        <rFont val="Times New Roman"/>
        <family val="1"/>
        <charset val="204"/>
      </rPr>
      <t xml:space="preserve"> 2300 - Жук; 976,67 - Сервер 1С; 2800 - Борщ за 11-12.22</t>
    </r>
  </si>
  <si>
    <t>упр персонал</t>
  </si>
  <si>
    <t>Ф1 % на остаток на счете</t>
  </si>
  <si>
    <t>АКТ - бр. Зеленько - 87 948,00
АКТ - бр. Жука - 50 847,40</t>
  </si>
  <si>
    <t>АКТ - бр. Зеленько - 19 007,20
АКТ - бр. Зеленько - 71 620,00
АКТ - бр. Зеленько - 26 160,00</t>
  </si>
  <si>
    <t>Вода питьевая Кришталь</t>
  </si>
  <si>
    <t>комиссия при перечислении нал</t>
  </si>
  <si>
    <t>Ширшов Олександр Леонидович; Потьомко</t>
  </si>
  <si>
    <t>Потьомко Михайло Володимирович
Ширшов Олександр</t>
  </si>
  <si>
    <t>Послуги траеспортно-експедиційні: м. Ладижин - м. Біла Цервка, а/м Вольво Ка9971ВЕ/АІ5268ХІ, водій Данічев О. - 11 000,0; Послуги транспортно-експедиційні: м.Старокостянтинів (Хмельницька обл.) - м.Ладижин а/м Вольво КА9971ВЕ/АІ5268ХІ, водій Данічев О. - 11 000,0</t>
  </si>
  <si>
    <t>досписання у зв'язку з закриттям об'єкту = 38 008,94 - 205сч;</t>
  </si>
  <si>
    <t>Коммунальные платежи квартира монтажников за октябрь-3 500,0; Коммунальные платежи квартира ИТР Ширшов за октябрь - 890,0; Коммунальные платежи квартира монтажников за октябрь - 1500,0</t>
  </si>
  <si>
    <t>наличные за коммуналку</t>
  </si>
  <si>
    <t>досписание в связи с закрытием объекта</t>
  </si>
  <si>
    <t>Розробка проектної документації - Шабанов Андрій Сергійович ФОП</t>
  </si>
  <si>
    <t>Маркер, списание в связи с закрытием</t>
  </si>
  <si>
    <t>Списание</t>
  </si>
  <si>
    <t>досписання у зв'язку з закриттям об'єкту</t>
  </si>
  <si>
    <t>Январь 2023</t>
  </si>
  <si>
    <t>АКТ №1 Монтаж ворот з докшелтерами і доклевеллерами - 687 983,93
АКТ №3 Оздоблювальні роботи АБК- 495 158,69
АКТ №2 Вентиляция цехсубподрядчик ПП Кліматспейс 00000000074-97524,01/в акте клиента работи - 1 353 191,2
АКТ №5 Ремонт покрівлі та світлоаераційних ліхтарів - 101 104,0
АКТ №2  Демонтаж фасадного остіклення - 462 147,01
АКТ №4  Влаштування підлог  - 569 352,10
АКТ №5  Влаштування підлог - 131 347,91
АКТ №5 Демонтаж приміщень в галереї - 10 268,0
АКТ №5  ТП12 - 201 315,97
АКТ №1  Вентиляція АБК 00000000214 (Кліматспейс -133 526,18) - 459 352,26
АКТ №1  Холодний контур (вода) - 1 425 420,20
АКТ №3  Електромонтажні роботи АБК - 160 676,44
АКТ №5  Оздоблювальні роботи АБК - 232 179,71
АКТ №7  Оздоблення блок Б - 90 921,44
АКТ №3  Фасад - 237 729,71
АКТ №4  Оздоблювальні роботи АБК - 228 771,60
АКТ №6  Оздоблювальні роботи блок Б - 296 195,12
АКТ №7  Влаштування перегородок блок А - 114 264,22
АКТ №5  Влаштування перегородок блок Б - 1 318 038,58
АКТ №6  Монтаж воріт - 188 115,88
АКТ №1 Монтаж транспортно-підіймального обладнання /акт на работы - 457 996,0
АКТ №6  Ремонт покрівлі та світлоаераційних ліхтарів - 16 851,20
АКТ №1  Заземлення - 226 420,38
АКТ №2  Освітлення блок А (субподрядчик Платінум Електрік 00000000177-  87098,04 грн) - 288 485,74
АКТ №1  Влаштування перегородок метал цех, покрівля, майданчик для миття контейнерів - 367 472,02</t>
  </si>
  <si>
    <t>Бондар Микола Васильович
Вірко Євген Григорович
Геворкян Вануш Георгієвич
Голуб Олександр
Гузей Олександр Володимирович
Єрьоменко Григорій Якович
Клименко Олександр Сергійович
Козаченко Владислав Адамович
Козаченко Михайло Русланович
Козаченко Руслан Адамович
Козеев Роман
Костів Олег Богданович
Кочкин Руслан Вікторович
Леміш Олександр Володимирович
Лисенко Ігор
Лобода Руслан
Нарижний Олександр Васильович
Невмержицький Віктор Володимирович
Овсянніков Іван
Павлов Станіслав
Чайкін Олександр Віталійович
Чешко Сергій
Шавкун Максим Анатолійович
Шкраб Олександр Анатолійович</t>
  </si>
  <si>
    <t>Демедюк Юрій
Хурсін Тарас</t>
  </si>
  <si>
    <t>Отделочники Литвин- 27 045,20; подрядчики по стяжке - 33 405,0; Оконщики - 42 288,52; Монтажники Фасадчики - 36 633,49, 1 800,0; Козеев - 56 334,90; Электрики - 13 410,0; Сантехники - 1 080,0(остальное на февраль); Чешко - 89 609,49; Геворкян - 98 948,15; Отделочники Литвин - 92 800,0(остальное на февраль); Жук - 23 346,16; Отделочники Литвин - 69 539,0(остальное на февраль); Монтажники Фасадчики - 1 540,0(остальное на февраль); Сантехники - 44 135,0</t>
  </si>
  <si>
    <t>Телескоп 5 - 166; Экскаватор JCB 2008 - 148; Haulotte - 20 см; Клинцы - 99</t>
  </si>
  <si>
    <t>Требования по всем актам, данные из таблицы - Акты; Ф2: Гайки, бур по бетону - 873,0; диски Алмазные Эпицентр - 2 058,0</t>
  </si>
  <si>
    <t>Требования по всем актам, данные из таблицы - Акты; 318 148,23 - акты субподрядчиков</t>
  </si>
  <si>
    <t>Латыш - 910,0; Демедюк - 3 640,0; Хурсин - 2 990,0; Ф2 - 561,59 - отъезд с объекта Латыша; 5 865,14грн. - Проезд бр. Жука 4 челов, бр. Фасадчиков – 5чел. Жорж написал письмо на доп.согласование Старикову</t>
  </si>
  <si>
    <t xml:space="preserve">Роксоляни 57, за январь - 16 000,0; Хостел - 4 чел месяц -15 000,0; Шевченко 1 - 10 000,0; Городоцька - 12 000,0; Варшавська - 14 000,0; Шевченка 2 - 9 000,0; 4 чел. За 2 недели - 6 000 (доп. Бригада не учтено бюджетом) - дополнительно согласовано Стариковым; По плану: 4 кв по 2 500,0. По факту: Городоцька - 3 907,44; Роксоляны - 2 588,80; Шевченка,2 - 2 589,78; Варшавська - 4 481,0; Шевченка 2 - 3 527,0; </t>
  </si>
  <si>
    <t>Представительские - 200 + 100 тыс.; 1 700,0 - 13/01/23 по согласованию</t>
  </si>
  <si>
    <t>Жорж Олександр</t>
  </si>
  <si>
    <t>Лечение Ярового Р.П. составило 2 месяца по 5 тыс = 10 000,0 - доп. Согласование</t>
  </si>
  <si>
    <t>послуги РКО при переведенні коштів</t>
  </si>
  <si>
    <t>Коммунальные за квартиру ИТР за декабрь 2022 - 1 800,0; за квартиру рабочих за декабрь 2022 - 3 700,0</t>
  </si>
  <si>
    <t>Проживання Воронцов</t>
  </si>
  <si>
    <t>Градирня 3-х секційна ЗНМР (20х20) (в комплекті)</t>
  </si>
  <si>
    <t>ДАЛГАКИРАН КОМПРЕСОР УКРАЇНА ТОВ - покупка Градирни</t>
  </si>
  <si>
    <t>Декабрь</t>
  </si>
  <si>
    <t>Хурсин, Жорж</t>
  </si>
  <si>
    <r>
      <rPr>
        <u/>
        <sz val="9"/>
        <color theme="3" tint="-0.249977111117893"/>
        <rFont val="Times New Roman"/>
        <family val="1"/>
        <charset val="204"/>
      </rPr>
      <t>Ф1:</t>
    </r>
    <r>
      <rPr>
        <sz val="9"/>
        <color theme="3" tint="-0.249977111117893"/>
        <rFont val="Times New Roman"/>
        <family val="1"/>
        <charset val="204"/>
      </rPr>
      <t xml:space="preserve">  10952628,96 - за 24 МД; 710 430-МК5</t>
    </r>
  </si>
  <si>
    <t xml:space="preserve">(274 122,37-29 988,4=244 134)  - Единый налог 2% - за генераторы </t>
  </si>
  <si>
    <t>Проживання Воронцов - 1 300,0; Командировочные Воронцов - 200,0; Жорж - 5 800,0; Проживание ДНИСТЕР</t>
  </si>
  <si>
    <t>Февраль 2023</t>
  </si>
  <si>
    <t>Демедюк Юрій - 3 594
Хурсін Тарас + 19 500</t>
  </si>
  <si>
    <t>Литвин - 28 265,0 + 72 269,75 + 60 685,0; Сантехники - 22 259,0 + 32 340,0; Подрядчики по стяжке - 14 820,0; Геворкян - 88 145,0;  Фасадчики - 20 205,0; Козеев - 21 156,0; Чешко = 19 872,18; Отделочники - 34 171,20; ЖУК - 30 080,0; Кровельщики - 9 000,0; Электрики - 5 550,0</t>
  </si>
  <si>
    <t>Телескоп 5 - 209,00
Экскаватор JCB 2008 - 115,00
Haulotte - 20,00</t>
  </si>
  <si>
    <t>МШП за февраль согласно чеков - 3 316,90; Колир - 820,98; Салфетки - 45,0; Полироль - 60,0</t>
  </si>
  <si>
    <t>728 379,96 - досписания за прошлые периоды</t>
  </si>
  <si>
    <t>Хурсин, Демедюк</t>
  </si>
  <si>
    <t>Аренда квартиры: ул.Роксоляны - 16 000,0; Хостел - 14 000,0; ул. Варшавская - 14 000,0. ВСЕГО = 44 000,0; ул. Городоцька - 12 000,0; Хостел 01-15.03.23 - 4 чел. - 7 000,0</t>
  </si>
  <si>
    <t>Представительские</t>
  </si>
  <si>
    <t>Кришталь</t>
  </si>
  <si>
    <t>800 - Воронцов, Шкурат Суточные; 3 600,0 - Жорж Суточные; Ретал_Билеты на поезд на инвентаризацию (Зеленков Антон) - 1 069; Воронцов проживание 2 дня = 2 017*2</t>
  </si>
  <si>
    <t>Климатспейс</t>
  </si>
  <si>
    <t>Досписания за прошлые периоды - Проведены в феврале</t>
  </si>
  <si>
    <t>Акт №9 договір підряду №12-10/21 від 12.10.2021 р.Улаштування збірних з.б. лотків,зг.креслень 248001-КЖ7 лист 10-11; Акт №1 . зг.рахунка 30 від 06.02.2023 Влаштування збірних з.б. лотків, згідно креслень 248001-КЖ7 лист 10-11; Акт №10 договір підряду №12-10/21 від 12.10.2021 р.Улаштування збірних з.б. лотків,зг.креслень 248001-КЖ7</t>
  </si>
  <si>
    <t>Списание к акту №9</t>
  </si>
  <si>
    <t>Штраф по потере пропусков - платил Стариков</t>
  </si>
  <si>
    <t>Будут досписания</t>
  </si>
  <si>
    <t>АКТ 1</t>
  </si>
  <si>
    <t>АКТ 10</t>
  </si>
  <si>
    <t>ВСЕГО</t>
  </si>
  <si>
    <t>ТРАНСПОРТНО-ЕКСПЕДИЦІЙНА КОМПАНІЯ АБ-ГРУП" ТОВ - Послуги транспортно-експедиційні: м. Біла Церква - м.Запоріжжя, а/м Мерседес ВК 6093 СК</t>
  </si>
  <si>
    <t>Крафт</t>
  </si>
  <si>
    <t>Не подписаны акты с субподрядчиками</t>
  </si>
  <si>
    <t>Март 2023</t>
  </si>
  <si>
    <t>Продажа ТМЦ - в 1С март - переносится на Апрель</t>
  </si>
  <si>
    <t>Укрпочта - 40 - отправка Турбина Запорожье - Игорь Шкурат</t>
  </si>
  <si>
    <t>АКТ №4   Договір №  №27/09/21--ГП  від 27.09.2021 по почте треб.87,88+мшп40,41</t>
  </si>
  <si>
    <t>Макухин - 74 250,0; Макухин - акт  42 750,0; оплатили - 35 000,0; Сазонов - акт 25 200,0; оплатили - 20 000,0.</t>
  </si>
  <si>
    <t>Проектні роботи по об'єкту "Будівництво силосного складу зберігання зерна на 5200 куб.м в селі Катеринівка, Сумської області"</t>
  </si>
  <si>
    <t xml:space="preserve"> Акт №11 договір підряду №12-10/21 від 12.10.2021 р.Влашт.  з.б.конструкцій допоміжних фунд. треб.97+мшп50+спис.93
 Акт №12 договір підряду №12-10/21 від 12.10.2021 р.Дод. угода №6  Влашт. отворів під інж. комунікації ( немає оригінала) треб.108</t>
  </si>
  <si>
    <t>Емельянов - 6 400,0; Семенченко - 13 080,0</t>
  </si>
  <si>
    <t>АМБІТ-С ТОВ - Демонтаж бетонного покриття; Розробка грунту вручную</t>
  </si>
  <si>
    <t>54 711,58 - списание марта; 4 078,20 - списание к февральским актам</t>
  </si>
  <si>
    <t>Будут досписания в апреле</t>
  </si>
  <si>
    <t>АКТ №5  договір 28/07/22 від 28.07.2022 року Влашт. перег. метал цех, покрівля, майд. для миття конт. треб.91+мшп44+спис.87
АКТ №4  договір 28/07/22 від 28.07.2022 року Влашт. перег. метал цех, покрівля, майд. для миття конт. треб.90+мшп43
АКТ №8  договір 28/07/22 від 28.07.2022 року Оздоблювальні роботи АБК треб.92+мшп45+спис.88
АКТ №1  договір 28/07/22 від 28.07.2022 року Фасад наземного переходу треб. 95+мшп48+спис.91
АКТ №3  договір 28/07/22 від 28.07.2022 року Освітлення блок А треб.93+мшп46+спис.89
АКТ №3  договір 28/07/22 від 28.07.2022 року Монтаж водостоку треб.89+мшп42+спис.86
АКТ №2  договір 28/07/22 від 28.07.2022 року Підсилення колон ворота треб.94+мшп47+спис.90
АКТ №9  договір 28/07/22 від 28.07.2022 року Оздоблення АБК треб.112+мшп57+спис.95
АКТ №6  договір 28/07/22 від 28.07.2022 року майданчик для миття контейнерів, покрівля треб.113+мшп58+спис.96
АКТ №7  договір 28/07/22 від 28.07.2022 року майданчик для миття контейнерів, покрівля треб.114+мшп59
АКТ №10  договір 28/07/22 від 28.07.2022 року Оздоблення АБК треб.115+мшп60+спис.97
АКТ №8  договір 28/07/22 від 28.07.2022 року майданчик для миття контейнерів, покрівля треб.116+мшп61+спис.98
АКТ №2  договір 28/07/22 від 28.07.2022 року Фасад Дорога між галереями треб.117+мшп62+спис.99
АКТ №4  договір 28/07/22 від 28.07.2022 року Монтаж водостоку треб.118+мшп63+спис.100
АКТ №9  договір 28/07/22 від 28.07.2022 року майданчик для миття контейнерів, покрівля треб.119+мшп64+спис.101
АКТ №5  договір 28/07/22 від 28.07.2022 року Підсилення колон треб.120+мшп65
АКТ №3  договір 28/07/22 від 28.07.2022 року Водомірний вузол треб.121+мшп66+спис.102
АКТ №3  договір 28/07/22 від 28.07.2022 року Фасад Дорога між галереями треб.122+мшп67
АКТ №11  договір 28/07/22 від 28.07.2022 року Оздоблення АБК треб.123+мшп68</t>
  </si>
  <si>
    <t xml:space="preserve">Отделочники АБК-2,3 - 2 700,0 (Всего акт = 82 465,0 остальное акты апреля); Маляра - 23 835,0; кровельщики - акт 43 110,0 - 25 209,45 март, 17 900,55 - апрель; Бетонщики Жук - 20 281,35; Установка кабинок в санузлах - 8 000,0; Чешко - 37 872,82; Литвин - 58 918,80; Колпак - 42 460,0; Чешко - 77 630,80; </t>
  </si>
  <si>
    <t>Телескоп 5 - 213
Экскаватор JCB - 46
Haulotte - 26
Экскаватор JCB 2008 - 20
Виброкаток - 16; Камаз - 138</t>
  </si>
  <si>
    <t>ремонт повелительного насоса воды Грюнфас - 1 450,0</t>
  </si>
  <si>
    <t>Демедюк Юрій Юрійович  -3 900,00; Хурсін Тарас Євгенійович  -3 120,0</t>
  </si>
  <si>
    <t>Оплата за оренду квартири ІТР(Роксоляни) - Отримувач платежу - КОВАЛИК МАР'ЯНА АНДРІЇВНА - 16 000,0; Аренда квартиры Варшавская - 14 000,0; Городоцька - 12 000,0; Хостел за 15-31.03.23 - 6 000,0; Хостел - 27.03-27.04 бр. Семенченко - 13 000,0; Коммунальные платежи - Шевченко,2 - 5 398,0; Варшавська - 4 059,27; Коммунальные Роксоляны - 2 567,0; Городоцька - 3 455,19; Роксоляны - 2 550,0.</t>
  </si>
  <si>
    <t>Воронцов Олександр Володимирович  -200,00; Жорж Олександр Сергійович  -6 000,00; Н.П.Б. ТОВ - 2 167,0</t>
  </si>
  <si>
    <t>И.П.С.</t>
  </si>
  <si>
    <t>Апрель 2023</t>
  </si>
  <si>
    <t>АКТ №9  договір 28/07/22 від 28.07.2022 року Оздоблення АБК треб.140+мшп83+спис.143
АКТ №12  договір 28/07/22 від 28.07.2022 року Оздоблення АБК , блок адмін приміщень №2 без спис./економія
АКТ №10  договір 28/07/22 від 28.07.2022 року Влаштування перегородок метал цех, покрівля, майданчик для миття контейнерів треб.132+мшп76+спис.135
АКТ №11  договір 28/07/22 від 28.07.2022 року Влаштування перегородок метал цех, покрівля, майданчик для миття контейнерів треб.131+мшп75+спис.134
АКТ №8  договір 28/07/22 від 28.07.2022 року Оздоблення АБК треб.130+мшп74+спис.133
АКТ №7  договір 28/07/22 від 28.07.2022 року Підсилення колон ворот треб.147
АКТ №6  договір 28/07/22 від 28.07.2022 року Монтаж водостоку цех треб.133+мшп77+спис.136
АКТ №4  договір 28/07/22 від 28.07.2022 року Дорога між галереями треб.134+мшп78+спис.137
АКТ №5  договір 28/07/22 від 28.07.2022 року Дорога між галереями треб.142
АКТ №4  договір 28/07/22 від 28.07.2022 року Дорога між галереями треб.135+мшп79+спис.138
АКТ №1  договір 28/07/22 від 28.07.2022 року ТП 11  ТП12 Влаштування діафрагмами треб.139+мшп82+спис.142
АКТ №2  договір 28/07/22 від 28.07.2022 року Влаштування благоустрою треб.138+спис.141
АКТ №6  договір 28/07/22 від 28.07.2022 року Фасад наземного перехода треб.136+мшп80+спис.139
АКТ №6  договір 28/07/22 від 28.07.2022 року Блок С, перегородки треб.137+мшп81+спис.140</t>
  </si>
  <si>
    <t>Демедюк Юрій
Сикал Павло Анатолійович
Хурсін Тарас</t>
  </si>
  <si>
    <t>Чешко - 21 136,10; Жук - 17 276,71; Кровельщики - 17 900,55; кровельщики Семенченко - 35 085,0; монтажкики Рибитва - 25 800,0; бетонщики Товстюк - 10 950,0; отделочники АБК-2,3 - 79 765,0; отделочники АБК-2,3 - 35 185,0; Чешко - 11 348,30; бетонщики Товстюк - 39 550,0; монтажники Семенченко - 7 453,65; бетонщики Товстюк - 7 500,0; отделочники АБК-2,3 - 7 140,0; маляра Кушнир - 19 600,0; монтажкики Рибитва - 25 000,0</t>
  </si>
  <si>
    <t>Телескоп 5 - 232
Экскаватор JCB - 197
Haulotte - 14
Виброкаток - 29; Камаз - 141</t>
  </si>
  <si>
    <t>Эпицентр - 525; Шпак Роман Ігорович ФОП - 41 400,0; РЯБУШИН Василь Володимирович ФОП - 9 000,0; ФОП ЛАЦИК МИХАЙЛО МИХАЙЛОВИЧ - 6 000,0</t>
  </si>
  <si>
    <t>Тимощук Святослав Євгенович ФОП - ремонт электроинструмента - 10 939,43</t>
  </si>
  <si>
    <t>Бензоинструмент - 8 235,82</t>
  </si>
  <si>
    <t>Демедюк - 3 640,0; Сикал - 910,0; Хурсин - 3 640,0</t>
  </si>
  <si>
    <t>Хостелл - 12 000,0; Роксоляны - 16 000,0; Варшавська - 14 000,0; Аренда Городоцька - 12 000,0; Варшавська за березень - 3 494,79; Коммунальные Роксоляны - 2 281,10; Коммуналка - Городоцька, дом.311 - всего 2 619,82 - Распределение газа - 29,91(хозяйка не брала в расчет) = 2 589,91 грн</t>
  </si>
  <si>
    <t>бр.Жука - 2 чел - 359,30 + 318,63 = 677,93; Сикал, Шкраб(отьезд), Наріжний, Гуменюк - 1 327,33</t>
  </si>
  <si>
    <t>Ревизия ретал Зеленков А - 1 268,0; Суточные : Воронцов - 800,0; Шкурат - 400,0; Жорж - 5 200,0; Зеленков - 400,0; Ковалець Володимир Миколайович ФОП (проживание Воронцов)- 750,0; Н.П.Б. ТОВ (проживание Воронцов) - 4 134,0 + 4 000,50</t>
  </si>
  <si>
    <t>Коцар</t>
  </si>
  <si>
    <t>Семенченко - ЗП по акту выплачена в апреле</t>
  </si>
  <si>
    <t>Бюджет</t>
  </si>
  <si>
    <t>CF_Глухов_Эксель</t>
  </si>
  <si>
    <t>500 000 за проектные работы</t>
  </si>
  <si>
    <t>только в CF, возврат от поставщиков стройматериалов за излишне оплаченные деньги</t>
  </si>
  <si>
    <t>Прочие налоги</t>
  </si>
  <si>
    <t xml:space="preserve">Долги </t>
  </si>
  <si>
    <t xml:space="preserve">ФОП Васильев </t>
  </si>
  <si>
    <t>ТОВ "ПЕРІ Україна"</t>
  </si>
  <si>
    <t>ТОВ "САНТЕЛ УКРАЇНА"</t>
  </si>
  <si>
    <t>ТОВ "ТОРГОВИЙ ДІМ "СПЕКТР ХІМ"</t>
  </si>
  <si>
    <t>ЗП акты</t>
  </si>
  <si>
    <t>Долги</t>
  </si>
  <si>
    <t>Продажа ТМЦ - в 1С апреля - переносится на МАЙ</t>
  </si>
  <si>
    <t>УКРЕНЕРГОБУДСЕРВІС"ТОВ - Виготовлення проектної документації на нестандартне приєднання до електричних мереж об'єкта; Заключення договору з розподілу електричної енергії з ПрАТ "ДТЕК КИЇВСЬКІ ЕЛЕКТРОМЕРЕЖІ" та договору  про постачання електричної енергії з ТОВ "КИЇВСЬКІ  ЕНЕРГЕТИЧНІ ПОСЛУГИ" Об'єкта замовника</t>
  </si>
  <si>
    <t>Оплата за витяга з Державного реєстру речових прав (7651409) - для анализа какие участки находятся под ипотекой, а какие нет. КГ "Подгорцы"; На руки Гурнику Артему.</t>
  </si>
  <si>
    <t>PL ООН Черниговская обл.</t>
  </si>
  <si>
    <t>Май 2023</t>
  </si>
  <si>
    <t>Хомич</t>
  </si>
  <si>
    <t>PL Щедро лапша</t>
  </si>
  <si>
    <t>прочие налоги 3%</t>
  </si>
  <si>
    <t>Продажа</t>
  </si>
  <si>
    <t>Компресор "Ураган 356-50" 81-180 MIOL; Компресор Metabo Basic 250-50W; Мікрохвильова піч  GRUNHELM</t>
  </si>
  <si>
    <t>3% налог</t>
  </si>
  <si>
    <t>апрель 2023</t>
  </si>
  <si>
    <t>Разница</t>
  </si>
  <si>
    <t>CF</t>
  </si>
  <si>
    <t>Стройматериалы</t>
  </si>
  <si>
    <t>2023</t>
  </si>
  <si>
    <t xml:space="preserve">2022 PL </t>
  </si>
  <si>
    <t>АКТ № 2     договір 28/07/22 від 28.07.2022 року без спис.
АКТ № 9    договір 28/07/22 від 28.07.2022 року Фасад галереї, дороги треб.174+мшп105+спис.171
АКТ № 4    договір 28/07/22 від 28.07.2022 року ДУ 6  Покрівля, перегородки треб.176+мшп107+спис.174
АКТ № 3    договір 28/07/22 від 28.07.2022 року ДУ 7 Підлога, колесо, відбійник треб.178+мшп109+спис.176
АКТ № 7    договір 28/07/22 від 28.07.2022 року Фасад галереї, дороги треб.173+мшп113+спис.179
АКТ № 1    договір 28/07/22 від 28.07.2022 року ДУ 8, Дорога КТП1, КПТ2 треб.181+мшп112+спис.178
АКТ № 2    договір 28/07/22 від 28.07.2022 року ДУ 6  Покрівля, перегородки треб.177+мшп108+спис.175
АКТ № 8    договір 28/07/22 від 28.07.2022 року Шви, вікна тех майданчика, двері ТП11, ТП12 треб.180+мшп111
АКТ № 3    договір 28/07/22 від 28.07.2022 року ДУ 6  Покрівля, перегородки треб.175+мшп106+спис.173
АКТ № 4    договір 28/07/22 від 28.07.2022 року ДУ 7, Блок С треб.179+мшп110+спис.177</t>
  </si>
  <si>
    <t>Бондар Микола Васильович
Глупак Микола
Зубов А.В.
Костів Олег Богданович
Кругляк В.В.
Семенченко Роман Олександрович
Супрун Олександр Вікторович
Чайкін Олександр Віталійович
Чешко Сергій</t>
  </si>
  <si>
    <t>Кушнир - 45 500,0; Товстюк - 45 990,0; Семенченко - 21 776,35; Товстюк - 25 780,0; Чешко - 102 134,70; Кушнир - 45 430 + 9 000,0; Рыбитва - 52 170,0; Войтович - 69 300,0; Рибитва - 10 962,0; Литвин - 34 185,0; Войтович - 15 000,0; Семенченко - 8 499,68</t>
  </si>
  <si>
    <t>Телескоп 5 - 224
Экскаватор JCB - 120; Экскаватор JCB 2008 - 67
Haulotte - 14
Виброкаток - 47; Камаз - 156</t>
  </si>
  <si>
    <t>ГрузавтоТранс - 5 760,0; Эпицентр - 1 995,0; Ромб - 24 500,0; ВАРТІС ТОВ  - 4 000,0; ЛАЦИК МИХАЙЛО МИХАЙЛОВИЧ ФОП - 9 600,0</t>
  </si>
  <si>
    <t>574 608,63 - перемещение с Биогаза</t>
  </si>
  <si>
    <t>Демедюк-3380; Сикал-3250; Хурсин - 4 550,0</t>
  </si>
  <si>
    <t>аренда квартиры Роксоляны – 16 000; аренда Хостела – 25 000; аренда квартиры  Варшавская – 14 000; Коммунальные платежи - ул. Варшавская, 64 - 4221,04; Роксоляны - 133,69; Городоцька - 2 015,88 (чеки + интернет)</t>
  </si>
  <si>
    <t>Ф2 - 590,5 - Чай, кофе</t>
  </si>
  <si>
    <t>Ф1 - Жорж - 6400,0; Зеленков - 400,0; Ф2 - Проезд Зеленков - 1028</t>
  </si>
  <si>
    <t>2022 PL</t>
  </si>
  <si>
    <t>Ф2 - 7 500,0 - водоканал</t>
  </si>
  <si>
    <t>витяги по двом ФОПам Гаврилюк та Мельник, які необхідні для ТОВ ДНІПРОМЕТАЛСЕРВІС</t>
  </si>
  <si>
    <t>Виконання ремонтно-відновлювальних робіт житлового будинку с.Іванівка вул.Дружби,21 (Акт від 28.04.2023) треб.170+мшп98
Виконання ремонтно-відновлювальних робіт житлового будинку с.Лукашівка вул.Папанінців,91 (Акт від 28.04.2023) треб. 171+мшп99</t>
  </si>
  <si>
    <t>бр.Кобринчук - 100 085,0; бр.Сидорко - 123 520,0</t>
  </si>
  <si>
    <t>2021 PL</t>
  </si>
  <si>
    <t xml:space="preserve"> Акт №13 договір підряду №12-10/21 від 12.10.2021 р. Влашт. отворів під інж. комунікації ( немає оригінала) треб.182+мшп114</t>
  </si>
  <si>
    <t>Перемещнние металла с Приднепровский МЕЗ-2 на Приднепровский МЕЗ-Сети - 1 980,0</t>
  </si>
  <si>
    <t>4 320,0 - М-400 услуги бетономешалки</t>
  </si>
  <si>
    <t>ГСМ</t>
  </si>
  <si>
    <t>РАЗНИЦА</t>
  </si>
  <si>
    <t>май 2023</t>
  </si>
  <si>
    <t>Налог 3%</t>
  </si>
  <si>
    <t>долги перед поставщиками</t>
  </si>
  <si>
    <t>Остатки на складах</t>
  </si>
  <si>
    <t>Комиссия фин агентам</t>
  </si>
  <si>
    <t>Разница итог</t>
  </si>
  <si>
    <t>сумма которую оплатят после подписания акта зауважень</t>
  </si>
  <si>
    <t>ДАЛГОКЕРАН</t>
  </si>
  <si>
    <t>Июнь 2023</t>
  </si>
  <si>
    <t>июнь 2023</t>
  </si>
  <si>
    <t>ТОП МЕТАЛЛ -  Акт 1 немає оригіналу треб.251+мшп165+спис.227
 АКТ № 5   договір 28/07/22 від 28.07.2022 року ДУ 7 треб.248+мшп162+спис.224
 АКТ № 2   договір 28/07/22 від 28.07.2022 року ДУ 8 Блок С треб.249+мшп163+спис.225
 АКТ № 5   договір 28/07/22 від 28.07.2022 року ДУ 6 треб.246+мшп160+спис.222
 АКТ № 6  договір 28/07/22 від 28.07.2022 року ДУ 7 треб.250+мшп164+спис.226
 АКТ № 6  договір 28/07/22 від 28.07.2022 року ДУ 6 треб.247+мшп161+спис.223
 АКТ № 3  договір 28/07/22 від 28.07.2022 року ДУ 8 треб.241+мшп155+спис.217
 АКТ № 4  договір 28/07/22 від 28.07.2022 року ДУ 8 треб.242+мшп156+спис.218
 АКТ № 5  договір 28/07/22 від 28.07.2022 року ДУ 8 треб.243+мшп157+спис.219
 АКТ № 7  договір 28/07/22 від 28.07.2022 року ДУ 6 треб.245+мшп159+спис.221
 АКТ № 8  договір 28/07/22 від 28.07.2022 року ДУ 6 треб.244+мшп158+спис.220
АКТ № 7  договір 28/07/22 від 28.07.2022 року ДУ 7 треб.240+мшп154+спис.216
 АКТ № 3   договір 28/07/22 від 28.07.2022 року без спис.</t>
  </si>
  <si>
    <t>Матвиюк - 55 080,0</t>
  </si>
  <si>
    <t>Семенченко - 34 910,32; Кушнир - 23 040 + 95 958,56; Чешко - 141 797,40; Товстюк - 76 579; Рыбитва - 12 364; Товстюк -10 540; Рыбитва - 24 563; Семенченко - 18 100; Жук - 38 291,70; Товстюк - 58 049,0; Войтович - 25 751; Литвин - 82 298; Колпак - 140 140,0; Чешко - 100 541,30</t>
  </si>
  <si>
    <t>Экскаватор JCB 2008 - 178
Haulotte - 27
Виброкаток - 11; Камаз - 109</t>
  </si>
  <si>
    <t>Глупак Микола
Зубов А.В.
Костів Олег Богданович
Кругляк В.В.
Семенченко Роман Олександрович
Супрун Олександр Вікторович
Чайкін Олександр Віталійович
Чешко Сергій</t>
  </si>
  <si>
    <t>Аренда квартиры за июнь Роксоляни 57 - 16 000,0; Аренда: Варшавська - 14 000,0; Городоцька - 12 000,0; Хостел - 13 000,0. ВСЕГО = 39 000,0; Коммунальные Варшавська - 2 823,88 грн; Коммунальные Роксоляни (по квитанциям + 150,0 интернет)- 1638,06; Коммуналка - Городоцкая - 1 776,41</t>
  </si>
  <si>
    <t>Представительские Ретал - по согласованию с Воронцовым - 200 000,0; Благотворительный взнос в МЧС - 12 000,0</t>
  </si>
  <si>
    <t>ПРОЧИЕ ЮР.УСЛУГИ - Компенсация затрат на оформление у нотариуса документов для аренды транспортного средства - 1 300,0</t>
  </si>
  <si>
    <t>725,50 - чай, кофе</t>
  </si>
  <si>
    <t>Согласовано Воронцовым - аренда трамбовки, при устройстве фундаментов - 500,0 грн.</t>
  </si>
  <si>
    <t>різниця по курсу дол.  3250*39,81=129382,50 грн ; 3250*37,28=121160,00 ( 8222,50); обмен валюты  200 у..е оприходовано по 40 грн/у.е. обмен по 37,10 грн/у.е.  курсовая разница 580 грн + 1 800 у.е. оприходоваено по курсу 39,81 грн/у.е. обмен по курсу 37, 10 грн/у.е. курсовая разница 4 878 грн</t>
  </si>
  <si>
    <t>Командировочные - Воронцов, Гриценко, Жорж, Зеленков. Проезд - Ревизия ретал Зеленков А - 1 500,0; з/д квитки Киев - Львов - Киев Воронцов А. - 2 633,04</t>
  </si>
  <si>
    <t xml:space="preserve">Вывоз мусора - ІВАНІВСЬКЕ КП </t>
  </si>
  <si>
    <t>2200 - аренда биотуалета; 9910,78 - ГСМ бензоинструмент</t>
  </si>
  <si>
    <t>3460 - Викант торг + 360; ВАРТІС ТОВ  - 2000</t>
  </si>
  <si>
    <t>Чернієнко Віктор Володимирович ФОП - Обстеження сведловини води с.Красилівка, Броварський р-н - 30 000,0;Інженерні вишукування ТОВ - Інженерно-геодезичні вишукування с.Красилівка - 16 000,0; УКРАЇНСЬКА ГЕОЛОГІЧНА КОМПАНІЯ ДП - анализ воды - 3 321,40</t>
  </si>
  <si>
    <t>Дубиняк Ігор Михайлович Підприємець - Відшкодування витрат - 17 250</t>
  </si>
  <si>
    <t>Перемещение стройматериалов на ООН Киевская обл в июле</t>
  </si>
  <si>
    <t>янв.23</t>
  </si>
  <si>
    <t>фев.23</t>
  </si>
  <si>
    <t>март 23</t>
  </si>
  <si>
    <t>апр.23</t>
  </si>
  <si>
    <t>май 23</t>
  </si>
  <si>
    <t>авг.23</t>
  </si>
  <si>
    <t>июн.23</t>
  </si>
  <si>
    <t>июл.23</t>
  </si>
  <si>
    <t>дрель, шуруповерт, шлифмашинка, цепочная пила, дисковая пила, паяльник для труб, ручной насос для опресовывания, стремянки</t>
  </si>
  <si>
    <t>лестница, нивелир, прожектор, сейф</t>
  </si>
  <si>
    <t>Логистика</t>
  </si>
  <si>
    <t>Покупка ОС (CAPEX) или инвестиции</t>
  </si>
  <si>
    <t>Расшифровка Дивидендов</t>
  </si>
  <si>
    <t>р/с</t>
  </si>
  <si>
    <t>ИБ ОТП</t>
  </si>
  <si>
    <t>ИБ КА</t>
  </si>
  <si>
    <t>ДТ ОТП</t>
  </si>
  <si>
    <t>ДТ Приват</t>
  </si>
  <si>
    <t>ДТ КА</t>
  </si>
  <si>
    <t>ИТ</t>
  </si>
  <si>
    <t>ИС грн.</t>
  </si>
  <si>
    <t>ФОП Воронцов</t>
  </si>
  <si>
    <t>Кассы</t>
  </si>
  <si>
    <t>Резерв</t>
  </si>
  <si>
    <t>Строительство</t>
  </si>
  <si>
    <t>Строительство подотчеты</t>
  </si>
  <si>
    <t>Производство</t>
  </si>
  <si>
    <t>Производство подотчеты</t>
  </si>
  <si>
    <t>Логистика подотчеты</t>
  </si>
  <si>
    <t>ИПС</t>
  </si>
  <si>
    <t>Свободные ДС</t>
  </si>
  <si>
    <t>разница</t>
  </si>
  <si>
    <t>Прибыль по отчету</t>
  </si>
  <si>
    <t>ДС в пути</t>
  </si>
  <si>
    <t>PnL по направлениям</t>
  </si>
  <si>
    <t>ЛОГИСТИКА+спецтехника</t>
  </si>
  <si>
    <t>PnL</t>
  </si>
  <si>
    <t>инвестиции</t>
  </si>
  <si>
    <t>дивиденды</t>
  </si>
  <si>
    <t>Июль 2023</t>
  </si>
  <si>
    <t>АКТ № 8   договір 28/07/22 від 28.07.2022 року акт субподряда от ДП СК БУД
АКТ № 9   договір 28/07/22 від 28.07.2022 року треб.5+мшп5 в новій базі
АКТ № 8   договір 28/07/22 від 28.07.2022 року треб.4+мшп4+спис.4 в новій базі
АКТ № 6   договір 28/07/22 від 28.07.2022 року треб.1+мшп1+спис.1 в новій базі
АКТ № 9   договір 28/07/22 від 28.07.2022 року треб.3+мшп3+спис.3 в новій базі
АКТ № 7   договір 28/07/22 від 28.07.2022 року  треб.2+мшп2+спис.2 в новій базі</t>
  </si>
  <si>
    <t>Глупак Микола
Костів Олег Богданович
Кругляк В.В.
Нарижний Олександр Васильович
Супрун Олександр Вікторович
Чайкін Олександр Віталійович
Чешко Сергій</t>
  </si>
  <si>
    <t>Демедюк Юрій</t>
  </si>
  <si>
    <t>Кушнир - 60 006,0; Колпак - 116 550,0; Чешко - 81 250</t>
  </si>
  <si>
    <t>Экскаватор JCB 2008 - 42
Haulotte - 22
Камаз - 4</t>
  </si>
  <si>
    <t>Харів О.Р. ФОП -аренда автовышки - 2 700,0;  Престиж Буд Стиль- услуги автокрана - 6 000,0; ЕКСКАВАТОР СПЕЦСЕРВІС - экскаватор с гидромолотом - 13 440,0</t>
  </si>
  <si>
    <t>Ромб = - 3 500,0; БМВ Торговий дім  ПП - 35 000; РІЛАЙБЛТРАНС - 88 000,0; Демчук Богдан Петрович ФОП - 36 000,0</t>
  </si>
  <si>
    <t>Лук'ян Михайло Федорович ФОП - 630,0; Тимощук Святослав Євгенович ФОП - 7 660,33</t>
  </si>
  <si>
    <t xml:space="preserve">Демедюк - 910; </t>
  </si>
  <si>
    <t>Отъезд с объекта Демедюк - 469,0 грн;</t>
  </si>
  <si>
    <t>Прелставительские</t>
  </si>
  <si>
    <t>780,07 - НП; 43 - укрпошта письмо на ДП СК БУД</t>
  </si>
  <si>
    <t xml:space="preserve"> Акт №14 договір підряду №12-10/21 від 12.10.2021 р. Влашт. фундаментів + ТР/Н-318 + МШП-200 + СПИС-288
 Акт №15 договір підряду №12-10/21 від 12.10.2021 р.    ( немає оригінала) треб.301+мшп187
Акт №16 договір підряду №12-10/21 від 12.10.2021 р.   ДУ№7 ТР/Н-319 + МШП-201</t>
  </si>
  <si>
    <t>Платинум - 2 трансформатора 450 тыс * 1,2 = 540 000,0; АВМ Ампер - 3 шт с НДС - 132 885,0 * 1,2 = 159 462,0 + 3 шт без НДС - 132 885,0</t>
  </si>
  <si>
    <t>ДОЛГИ</t>
  </si>
  <si>
    <t>P&amp;L</t>
  </si>
  <si>
    <t>5 больш Польск</t>
  </si>
  <si>
    <t>2 Харвест</t>
  </si>
  <si>
    <t>5+2 МД03</t>
  </si>
  <si>
    <t>админ+общепроизв</t>
  </si>
  <si>
    <t>доход с МК</t>
  </si>
  <si>
    <t>июль 2023</t>
  </si>
  <si>
    <t>Итог</t>
  </si>
  <si>
    <t>2+7 мал Польские</t>
  </si>
  <si>
    <t>Лебедевка</t>
  </si>
  <si>
    <t>Аренда квартиры Роксоляны за июль - 16 000,0; Комунальные Роксоляны за июнь- 1 610,0; Роксоляны 57 - комунальные платежи за юинь и июль - 3 752,92; Коммунальные Городоцька - 1 718,18; Интернет за 10 мес - 1 500,0. ВСЕГО = 3 218,18</t>
  </si>
  <si>
    <t>Акт №8 від 26.07 договір 28/07/22 від 28.07.2022  Сума 171 900,58
Акт №6 від 26.07 договір 28/07/22 від 28.07.2022  Сума 72 872,11
Акт №7 від 26.07 договір 28/07/22 від 28.07.2022  Сума 139 771,18
Акт №9 від 26.07 договір 28/07/22 від 28.07.2022  Сума 487 834,48
Акт №9 від 26.07 договір 28/07/22 від 28.07.2022  Сума 153 545,98</t>
  </si>
  <si>
    <t>Списание по актам -8861,16*1,2</t>
  </si>
  <si>
    <t>Зеленков - 400; Воронцов - 2 167,0 + 400,0; Проезд - Ревизия ретал Зеленков А - 1 430,0; Жорж - 3 800,0</t>
  </si>
  <si>
    <t>проект ДП Буд</t>
  </si>
  <si>
    <t xml:space="preserve">АКТ1 від 15.09.22 договір 28/07/22 від 28.07.2022 року (Демонтаж ліхтарів) треб149+ списа16
АКТ1 від 15.09.22 договір 28/07/22 від 28.07.2022 року (Демонтаж трубопроводів улаштув вентиляціїї) треб150+ спис17
АКТ1 від 15.09.22 договір 28/07/22 від 28.07.2022 року (Демонтаж трубопроводів електромонтажні роботиї) треб146+списание13
АКТ1 від 15.09.22 договір 28/07/22 від 28.07.2022 року (Демонтажніі роботиї) треб147+ списание 14
АКТ1 від 15.09.22 договір 28/07/22 від 28.07.2022 року (02-01-01 на Блок А влаштування плити) треб148+списание15
АКТ1 від 15.09.22 договір 28/07/22 від 28.07.2022 року (02-01-01 на Блок А влаштування підлог) треб145+списание12
АКТ  від 26.09.22 договір 28/07/22 від 28.07.2022 року  списания не будет субподряд № 887 от30.09.22 (електромонтажні роботи)
</t>
  </si>
  <si>
    <t xml:space="preserve">Ф.1
+  АКТ №1  договір 28/07/22 від 28.07.2022 року в акте  нет материалов мшп№28 268 727,58
+  АКТ №1  договір 28/07/22 від 28.07.2022 року  в акте нет матер.мшп№33 27 784,30
+  АКТ №1  договір 28/07/22 від 28.07.2022 року  спис.№167 мшп№29 478 043,99
+  АКТ №2  договір 28/07/22 від 28.07.2022 року  нет материала мшп№36 41 408,18
+  АКТ №2  договір 28/07/22 від 28.07.2022 року  в спис.нет материалов мшп№35 280 794,26
+  АКТ №2  договір 28/07/22 від 28.07.2022 року  в спис.нет матер мшп№34 66 543,36
+  АКТ №1  договір 28/07/22 від 28.07.2022 року  спис.№170 мшп№41 879 022,68
+  АКТ №1  договір 28/07/22 від 28.07.2022 року  спис.№169 мшп№32 1 868 643,97
+  АКТ №1  договір 28/07/22 від 28.07.2022 року  спис №172 мшп№39 772 154,46
+  АКТ №1  договір 28/07/22 від 28.07.2022 року  спис№171 мшп№40 1 645 605,38
+  АКТ №1  договір 28/07/22 від 28.07.2022 року  спис.№168 мшп№30,31 818 796,61
+  АКТ №1  договір 28/07/22 від 28.07.2022 року  спис.№173 мшп№38 345 684,04
+  АКТ №1  договір 28/07/22 від 28.07.2022 року  спис.№166 мщп№27 933 739,40
+  АКТ №2  договір 28/07/22 від 28.07.2022 року  спис.№174 мшп№37 1 256 045,63
+  АКТ №1  договір 28/07/22 від 28.07.2022 року  Проектные работы Агроінжинірінг)(прихAS000001260 от 10.10.2022) 386 400,00
</t>
  </si>
  <si>
    <t xml:space="preserve">  АКТ №2  договір 28/07/22 від 28.07.2022 року  спис№203 Влаштування підлог блок Б, МШП 52
  АКТ №2  договір 28/07/22 від 28.07.2022 року  спис№205 Влаштування  майданчика для розміщення технологічного обладнання МШП 50
  АКТ №3  договір 28/07/22 від 28.07.2022 року  спи№206 Влаштування підлог Блок А МШП 49
  АКТ №1  договір 28/07/22 від 28.07.2022 року  спис№207  Додаткові роботи на влаштування підлоги МШП 48
  АКТ №2  договір 28/07/22 від 28.07.2022 року  спис №208   Влаштування перегородок блок А МШП 47
  АКТ №2  договір 28/07/22 від 28.07.2022 року  в акте нет материалов МШП 46
  АКТ №3  договір 28/07/22 від 28.07.2022 року  ( в акте нет материалов) МШП 56
  АКТ №2  договір 28/07/22 від 28.07.2022 року  спис№200   Влаштування технологічного майданчика для розміщення чилерів та драйвкулерів" МШП 55            
  АКТ №2  договір 28/07/22 від 28.07.2022 року  спис№202 Оздоблювальні роботи блок Б МШП 53
  АКТ №2  договір 28/07/22 від 28.07.2022 року  спис №213 , мшп №59
  АКТ №2  договір 28/07/22 від 28.07.2022 року  спис№199 (благоустрій) МШП 57
  АКТ №1  договір 28/07/22 від 28.07.2022 року  спис№204 ТП 11 МШП 51
  АКТ №2  договір 28/07/22 від 28.07.2022 року  спис№201 Оздоблювальні роботи Блок А МШП 54
  АКТ №1  договір 28/07/22 від 28.07.2022 року  Електромонтаж.р-ти материал подрядчика ПП «Енерготрансрембуд»-4 581 890,00
</t>
  </si>
  <si>
    <t xml:space="preserve">Ф.1
Андрєєв В.В
Бондар Микола Васильович
Вакуленко Костянтин Борисович
Вірко Євген Григорович
Гайворонський Владислав Вікторович
Геворкян Вануш Георгієвич
Голуб Олександр
Гузей Олександр Володимирович
Ємельянов Вадим Леонідович
Єрьоменко Григорій Якович 
Жук Олександр
Клименко Олександр Сергійович
Козеев Роман
Костів Олег Богданович
Кочкин Руслан Вікторович
Кошлатий Віталій Миколайович
Леміш Олександр Володимирович
Лисенко Ігор
Лобода Руслан
Овсянніков Іван
Петров Дмитро Олександрович
Семенченко Роман Олександрович 
Соколов Олександр
Строгонов Сергій Олександрович
Супрун Олександр Вікторович
Чайкін Олександр Віталійович
Чешко Сергій
Шевцов Сергій Віталійович
Яровий Ростислав Петрович
</t>
  </si>
  <si>
    <t>Ф.1
Бондар Микола Васильович 7 953,40
Вакуленко Костянтин Борисович 760,57
Вірко Євген Григорович 7 953,40
Гайворонський Владислав Вікторович 4 131,02
Геворкян Вануш Георгієвич 7 647,50
Голуб Олександр 7 953,40
Гузей Олександр Володимирович 7 953,40
Єрьоменко Григорій Якович 6 507,33
Клименко Олександр Сергійович 7 647,50
Козеев Роман 8 855,00
Костів Олег Богданович 7 953,40
Кочкин Руслан Вікторович 7 647,50
Кошлатий Віталій Миколайович 7 953,40
Леміш Олександр Володимирович 7 953,40
Лисенко Ігор 7 953,40
Лобода Руслан 7 953,40
Овсянніков Іван 7 953,40
Супрун Олександр Вікторович 7 953,40
Чайкін Олександр Віталійович 7 953,40
Чешко Сергій 7 953,40
Шевцов Сергій Віталійович 4 131,02
Яровий Ростислав Петрович 7 953,40</t>
  </si>
  <si>
    <t xml:space="preserve">Латиш, Хурсин, Демидюк за август </t>
  </si>
  <si>
    <t>Демедюк зарплата за сентябрь 2022 -19 664,50
Хурсин зарплата за сентябрь 2022 -17 664,50
Латиш Сергій Володимирович/ зарплата за сентябрь 2022 -17 664,50</t>
  </si>
  <si>
    <t>Демедюк Юрій
Латиш Сергій Володимирович
Хурсін Тарас</t>
  </si>
  <si>
    <t>Демедюк Юрій 6 846,78
Латиш Сергій Володимирович 10 465,00
Хурсін Тарас 10 465,00</t>
  </si>
  <si>
    <t>Демидюк, Латиш, Хурсын</t>
  </si>
  <si>
    <t>акт 1 03.09-06.09 - разнорабочие - 1 500,00
акт 8 15.09-17.09 - разнорабочие - 2 778,00
акт 8 03.09-07.09 - разнорабочие - 500,00
акт 8 19.09-23.09 - разнорабочие - 5 666,61
акт 8 28.09-30.09 - разнорабочие - 2 999,97</t>
  </si>
  <si>
    <t>Ф.2
подосбники 2 чело 6 дней, 1 человек 1,5 дгя (АКТ) -6 700,00
ЗП підсобники за жовтень 2022 -5 500,00
ЗП підсобники за жовтень 2022 -8 500,00</t>
  </si>
  <si>
    <t>24 чел/см робота підсобних робітників згідно АЗ від 14.11.22 -11 900,00
13 чел/см робота підсобних робітників згідно АЗ від 21.11.22 -6 500,00
5 людино/змін робота підсобних робітників -2 500,00</t>
  </si>
  <si>
    <t>акт 1 02.08-25.08 - бр.Жук = 6 197 грн
акь 1 02.08-25.08 - бр.Жук = 39 396,65 грн
акт 2 22.08-29.08 - бр.Жук = 52 892 грн
акт 4 30.08-18.09 - бр.Жук = 79 611 грн
акт 5 20.09-01.10 - бр.Жук = 52 193 грн
акт 1 02.08-25.08 - бр. Козеева = 19 919,53 грн
акт 1 02.08-25.08 - бр. Козеева = 30 163 грн
акт 1 20.09-24.09 - бр. Козеева = 32 510 грн
акт № 1 09.08-25.08 - бр.Семенчено = 36 631,3 грн;
акт № 1 09.08-25.08 - бр.Семенчено = 12 271,44 грн;
акт № 3 26.09-04.10 - бр.Семенчено = 31 350 грн;
акт № 1 05.09-25.09 - бр.Чешко = 73 684грн</t>
  </si>
  <si>
    <t>акт 5 01.10-20.10 - бр. Жук - 36 544,43
акт 3 26.08-25.09 - бр. Семенченко - 45 959,00
акт 3 05.10-25.10 - бр.Семенченко - 55 217,00
акт   02.08-25.08 - бр. Войтович - 117 000,00
акт 1 02.08-25.08 - бр.Войтович - 32 500,00
акт 2 25.09 -25.10 - бр. Чешко - 139 188,00
акт 1 02.08-25.08 - бр. Геворкян - 17 743,40
акт 2 25.08-25.09 - бр. Геворкян - 74 833,00 
акт 2 26.09 - 25.10 - бр. Геворкян - 56 823,00
акт 1 01.10-03.10 - бр. Шевцов - 5 520,00
акт 2 05.10-14.10 - бр. Шевцов - 15 420,00
акт 2 19.10-24.10 - бр.Шевцов - 13 146,00
акт 3 26.08-19.09 - бр.Козеев - 140 626,00
акт 4 20.09-19.10 - бр.Козеев - 64 749,00
гипсокартонщики 15.10-22.10 - 27 200,00
стяжка 22.10-22.10 - 11 340,00</t>
  </si>
  <si>
    <t>акт 4 20.10-22.11 - бр. Козеева - 93 556,00
акт 4 20.10-31.10 - бр.Козеева - 157 400,00
акт 5 20.11-30.11 - бр.Козеева - 34 920,00
акт 5 20.10-22.11 - бр.Жук - 30 458,40
акт3 25.10-22.11 - бр.Чешко - 92 450,00
акт 3 25.10-12.11 - бр. Шевцов - 39 041,00 
акт 4 26.10-22.11 - бр. Геворкян - 136 158,00
акт 2 28.10-06.11 - бр.Геворкян - 12 160,00
акт 1 24.10-28.10 - бр.маляра - 18 321,00
акт 2 29.10-17.11 - бр.маляра - 29 669,98
акт 1 10.11-25.11 - бр. маляра - 23 920,36 
акт 3 18.11-25.11 - бр.маляра - 10 880,61
акт 2 22.10-22.11 - електрики - 27 748,00
акт 2 22.10-22.11 - отделочники - 129 444,10
акт 11/11 25.11-08.11 - отделочники - 45 827,00
акт 2 31.10-09.11 - гипсокартонщики - 8 500,00
акт 2 31.10-09.11 - гипсокартонщики - 24 200,00
акт 2 02.11-03.11 - подрядщики по стяжке - 28 920,00</t>
  </si>
  <si>
    <t>акт 4 20.10-28.10 - бр.Семенченко - 22 500,00
акт 3 22.12-10.01 - бр.отделочники - 2805,00+1450,8+3012+34160+37660+3229,2
акт 3 01.12-01.11 - бр. отделочники - 12 936,00
акт 4 22.11-22.12 - бр.отделочники - 60 140,00
акт 1 17.11-26.12 - бр.отделочники - 25 762,65
акт 2 23.12 - 29.12 - бр.отделочники - 26 781,20
акт 3 22.11-22.12 - бр.отделочники - 15 769,00
акт 6 26.12 - бр.Козеева - 5 025,00
акт 5 01.12-26.12 - бр.Козеева - 25 009,15
акт 1 26.12-28.12 - бр.електрики - 24 528,00
акт 2 02.11-30.11 - бр.сантехники - 54 500,00
акт 2 01.12-29.12 - бр.сантехники - 56 051,00
акт 4 01.12-15.12 - бр.маляра - 19 285,00
акт 5 23.11-28.12 - бр.маляра Геворкян - 119 915,36
акт 5 23.11-26.12 - бр.Невмещинський - 48 259,54
акт 6 26.12-15.01 - бр.Невмещинський - 25 582,82
акт 5 21.12-24ю12 - бр.бентонщ.Шматюк - 35 005,20
акт 2 15.12-25.12 - бр.стяжка - 1 020,00
акт 4 23.11-27.12 - бр.Чешко - 104 236,95
акт 7 23.11-28.11.22 - бр.Жук - 19 672,12</t>
  </si>
  <si>
    <t>Первый бетон. Согласовано со Стариковым</t>
  </si>
  <si>
    <t xml:space="preserve">Автокран Клинцы 70598,76
Самосвал Камаз 18334,68
Телескоп JCB 540-170 №5 53098,2
Экскаватор  JCB 3CX 2008 93773,21
Телескоп JCB 540-170 №5 54671,48
</t>
  </si>
  <si>
    <t xml:space="preserve">Ф.1
Телескоп 5 280 год. 130 936
Экскаватор JCB 2008 153 год. 76 030
Haulotte 26 год. 20 874
Клинцы 219 год. 107 411
</t>
  </si>
  <si>
    <t>Телескоп 5 - 232 ч; Экскаватор JCB 2008 - 196 ч; Haulotte - 18 ч; Автокран Клинці - 178 ч</t>
  </si>
  <si>
    <t>Бокорезы, плоскогубцы</t>
  </si>
  <si>
    <t>краг отрезной по аллюминию, согласно чека эпицентр. -267,00
Ремень на трамбовку -270,00
Батарейки для нівіліра -111,00
Покупка свечей для швонарезчика -150,00
Ф1. МШП по КТ 221 сч.</t>
  </si>
  <si>
    <t>болты, гайки</t>
  </si>
  <si>
    <t>саморізи так лак для підлоги -5 600,00</t>
  </si>
  <si>
    <t>МШП - 163,47 грн - чай, сахар; 110,0 грн - жидкое мыло - отчет Жорж - 19.12-26.12.2022     Ф1 - Бутыль для воды и помпа; Списание МШП = 73 169,95</t>
  </si>
  <si>
    <t xml:space="preserve">Ф.1
№1 Оздоб.р-ти блок А _933739,40
№4 Ремонт покрівлі та світлоаерац.ліхтарів _478 043,99
№5 Влаш.тех. майд для розміщ.чилерів та драйвкулерів _818 796,61
№7 Влаш.майд.для розм.тех.облад._1868643,97
№3 Блок Б._879022,68
№6  Влаштування перегородок Блок А._1 645 605,38
№8  Влашт.перегор.Блок Б._772154,46
№10  Благоустрій._345684,04
№14  Блок А._1 256045,63
</t>
  </si>
  <si>
    <t xml:space="preserve">Ф.1
687 960,69 +  АКТ №2  договір 28/07/22 від 28.07.2022 року  спис№205 Влаштування  майданчика для розміщення технологічного обладнання МШП 50
742 701,02 +  АКТ №3  договір 28/07/22 від 28.07.2022 року  спи№206 Влаштування підлог Блок А МШП 49
174 633,99 +  АКТ №1  договір 28/07/22 від 28.07.2022 року  спис№207  Додаткові роботи на влаштування підлоги МШП 48
1 013 911,58 +  АКТ №2  договір 28/07/22 від 28.07.2022 року  спис №208   Влаштування перегородок блок А МШП 47
156 377,38 +  АКТ №2  договір 28/07/22 від 28.07.2022 року  спис№200   Влаштування технологічного майданчика для розміщення чилерів та драйвкулерів" МШП 55            
43 227,08 +  АКТ №2  договір 28/07/22 від 28.07.2022 року  спис№202 Оздоблювальні роботи блок Б МШП 53
423 209,96 +  АКТ №2  договір 28/07/22 від 28.07.2022 року  спис №213 , мшп №59
89 324,53 +  АКТ №2  договір 28/07/22 від 28.07.2022 року  спис№199 (благоустрій) МШП 57
52 641,17 +  АКТ №1  договір 28/07/22 від 28.07.2022 року  спис№204 ТП 11 МШП 51
12 480,00 +  АКТ №2  договір 28/07/22 від 28.07.2022 року  спис№201 Оздоблювальні роботи Блок А МШП 54
</t>
  </si>
  <si>
    <t>ИТР</t>
  </si>
  <si>
    <t>Ф1. Суточные Демедюк, Латыш, Хурсин</t>
  </si>
  <si>
    <t>проїзд вінниця-Львів - 240; проїзд вж/д вокзал таксі  - 250,0; приезд новой бригады 4 человека - 5 320,0; від'їзд Осянніков - 545,69; Проезд бр.Бетонщики - 855,0; Ф1 - 11 310 - суточные Латыш, Демедюк, Хурсин</t>
  </si>
  <si>
    <t>Аренда квартири Стариков, Юрист - 600
Аренда квартири Юрист 2.08 - 600
проживание Старикова с 2-6.08 - 3100
аренда 4 квартир+услуги риалторов - 149 000
аренда квартири первый и последний месяц. + 10000 риаотро - 34000
доплата за хостел август - 10000
проживание Стариков с 9-12.08.2022 (600грн*4дня) - 2400
Гостиница Жорж (г.Ровно) из-за позднего выезда с Киева - 966,25</t>
  </si>
  <si>
    <t xml:space="preserve">Аренда квартири Стариков, Воронцов -3 400,00
Шевченка за сентябрь -10 000,00
Роксоляны за сентябрь -16 000,00
Варшавская за сентябрь -14 000,00
Шевченка-2 за сентябрь и последний месяц -18 000,00
Хостел за первую половину сентября -12 500,00
Городецкого за сентябрь -12 000,00
Хостел за вторую половину сентября -12 500,00
аренда квартир Стариков -2 400,00
Комунальні: 
Варшавская за август -2 298,00
Хостел за август -1 000,00
Городецкого за август 2022 -1 482,00
Роксоляны  за август 2022 -1 245,00
Комунальные платежи за сентябрь -2 260,00
Оплата к.у. за вересень - 1120
</t>
  </si>
  <si>
    <t>Оренда квартири за жовтень_Віра Василівна(хостел)_10 осіб -25 000,00
Оренда квартири за жовтень 2022_Строцький О.М._6 осіб -9 000,00
Оренда квартири за жовтень 2022_Ноздріна А.С._ 4 особи. -12 000,00
Аренда квартиры за октябрь ул. Варшавская_ -14 000,00
Аренда квартиры за октябрь Ковалик І.О. вул. Роксоляни_Ретал_ -16 000,00
Львів, вул.Шевченка, 376 кв 11 за жовтень22 -10 000,00
03/10/22_Аренда квартиры_Ретал_Старіков -700,00
04/10/22_Аренда квартиры_Ретал_Старіков -800,00
Хостел за вересень 2022 комунальні платежі - 1000
Комунальні платежі // Львів, вул.Шевченка, 376 кв 11-- за вересень 2022 - 4000
Оплату комунальних за вересень по вул. Городецька 311, кв. 5. _Ретал - 2060</t>
  </si>
  <si>
    <t>Аренда квартиры_ за ноябрь 2022 -16 000,00
Ретал_Аренда квартиры_5168 7574 0429 3096 Ноздріна Алла, хозяйка квартиры на Городоцкой. оплата за ноябрь_12 000 грн -12 000,00
14000._Ретал_Аренда квартиры_Ж.В.П. Аренда за ноябрь ул. Варшавская_ -14 000,00
Ретал_Аренда квартиры_4149 6090 0940 0468 ПриватБанк  Строцький О.М/. Вул. Шевченко 2 -9 000,00
Оренда квартири, Львів, вул.Шевченка, 376 кв 11 за листопад 22 -10 000,00
Оренда квартири за листопад_Віра Василівна(хостел)_10 осіб -25 000,00
4 054,38_Ретал_Коммунальные платежи_Ж.В.П. КУ за октябрь.  ул. Варшавская -4 040,00
3885_Ретал_Коммунальные платежи_4149 6090 0940 0468 ПриватБанк  Строцький О.М. КУ по вул. Шевченка 2 -3 885,00
Комунальні, Львів, вул.Шевченка, 376 кв 11 за листопад 22 -1 420,00</t>
  </si>
  <si>
    <t>Аренда квартиры - 25 000,0; Аренда квартиры - 16 000,0; Аренда квартиры_за грудень шевченко 370. відправити 2 платежами по 4500грн. - 9 000,0; Аренда квартиры - 14 000,0; Аренда квартиры - 12 000,0; Прочие затраты Аренда квартиры - 1 500,0; Оплата аренды за декабрь. ул. Шевченко - 10 000,0; Коммунальные Городоцька  - 2 385,0; КП за листопад. шевченко 317 - 3 710,0; за ноябрь. ул. Шевченка - 2 585,0; КУ ул. Городоцкая 311/5 - 3 090,0; Ком платежи - 7 014,06</t>
  </si>
  <si>
    <t xml:space="preserve">Проезд ИТР и бригада Жук 5чел. - 4310
Приезд бр. Козеева на объект 8 чел. - 3858
Приезд бр. Семенченко - 4 чел (в рамках СС) 500грн на чел в одну сторону  - 1400
</t>
  </si>
  <si>
    <t>презд бр. Чешка(2 чел.), перелимит по данной статье затрат будет удержан с зарплатного акта бригады -4 000,00
Приезд бр. Маляров -2 150,00
Ф1. ГСМ Хурсин -3696,31</t>
  </si>
  <si>
    <t>Квитки бр. Швецов 29.09.22 (чек) - 424</t>
  </si>
  <si>
    <t>доставка материалов -1 500,00
Оплата за місце вивантаження сміття у мішках за 1 машину -500,00</t>
  </si>
  <si>
    <t>Воронцов АВ</t>
  </si>
  <si>
    <t>проведення генератор по Шаранде згідно розпорядження АВ -33 800,00</t>
  </si>
  <si>
    <t>по распоряжению
Ф1 Оплата зг. Дог. 16/11-1 від 16.11.2022 та рах. № 260 від 16.11.22 за Інвертор мережевий Solis S5-GR3P15K (15 кВт, 3 фази, 2 MPPT), у т.ч. з ПДВ 12 666,67</t>
  </si>
  <si>
    <t>Еврокуб 2 шт</t>
  </si>
  <si>
    <t>Ф.1 Скіф Інвест ТОВ- монтажно-тяговий механізм</t>
  </si>
  <si>
    <t xml:space="preserve">Ф.2  оплата за розміщення оголошення з пошуку персоналу -120
</t>
  </si>
  <si>
    <t>кофе - 179
Ведро, веник, швабра - 414</t>
  </si>
  <si>
    <t>Чай, кава, молоко</t>
  </si>
  <si>
    <t>чай, кава, цукор (чек) -502,00</t>
  </si>
  <si>
    <t>Средство для мытья посуды</t>
  </si>
  <si>
    <t>ТОВ "НОВА ПОШТА"</t>
  </si>
  <si>
    <t>НП; доставка материалов НП - 150 грн - отчет Жорж 19.12-26.12.2022</t>
  </si>
  <si>
    <t>Ф.1 Канцтовари</t>
  </si>
  <si>
    <t>ЗП Жорж А. за август</t>
  </si>
  <si>
    <t>Жорж А. зарплата за сентябрь 2022</t>
  </si>
  <si>
    <t>Жорж О.</t>
  </si>
  <si>
    <t>Жорж</t>
  </si>
  <si>
    <t>1373-компенсация за проезд Гурник А.
660-Кухар С.
ГСМ топливо - Жорж А., Кухар С.</t>
  </si>
  <si>
    <t>ф1. ГСМ Жорж 5648,43</t>
  </si>
  <si>
    <t>Жорж, Хурін</t>
  </si>
  <si>
    <t>ф1-суточные Жорж А, Стариков, Гурник А., Кухар С.</t>
  </si>
  <si>
    <t>ф1. Суточные Воронцов, Жорж, Стариков
1800-готель Воронцов О,Старіков С, Шкурат І</t>
  </si>
  <si>
    <t>проживание в отелях Стариков, Воронцов, Шкурат (Ровно, Львов, Винница). Ужин - 12 885,0; Ф1 Суточные - 8 200 - Воронцов, Стариков, Шкурат, 2 550,0 - проезд Воронцов, Стариков</t>
  </si>
  <si>
    <t>витрати на лікування співробітника, що зазнав травми (погоджено Старіковим на пошті 12.12.22)</t>
  </si>
  <si>
    <t>Альцест - 11 375</t>
  </si>
  <si>
    <t xml:space="preserve">Грінейра - 472,42
660-Аренда баллонов
4400-услуги по аренде и обслуживанию биотуалетов
4418,36-ГСМ топливо Хурсин
Ф2 1150-оплата за печать и чертежи
2056 - заправка балонов пропаном
</t>
  </si>
  <si>
    <t>МС Україна 3 000,0</t>
  </si>
  <si>
    <t>Пери Украина 1851,26 + 37 264</t>
  </si>
  <si>
    <t>ПЕЛЕ-ІНЖИНІРИНГ - 45 500; Денбетон ТОВ - 54 810; Вікант - 2260</t>
  </si>
  <si>
    <t>Перри опалубка 10 510,94</t>
  </si>
  <si>
    <t>Грінейра - 1 889,69 + 250, обслуживание битуалета 4 400</t>
  </si>
  <si>
    <t>Пери Украина 21 180</t>
  </si>
  <si>
    <t>Пери Украина 3 415,26</t>
  </si>
  <si>
    <t>Ромб 2250</t>
  </si>
  <si>
    <t>Ромб 3000+3000+1800+6000+4000+3000+3000+4000+9000+16000</t>
  </si>
  <si>
    <t>испытания ручной инструмент 1752</t>
  </si>
  <si>
    <t>Ромб доставка 18 000 + 12 000 + 3000 + 4000 + 6000 + 1500</t>
  </si>
  <si>
    <t>Ромб 3500+6000</t>
  </si>
  <si>
    <t>Щетінін В.П. ФОП - 16 700,0; ЄВРО ІНВЕСТ БУД БК ТОВ - 10 400; Шпак Роман Ігорович ФОП - 7 200,0; Епіцентр К ТОВ - 675,0; ВАРТІС ТОВ - 23 000,05; Черник П.П. ФОП - 17 000,0</t>
  </si>
  <si>
    <t>аренда генератора 7 400 + 5060
виброплита 4320+5400</t>
  </si>
  <si>
    <t>Ромб автокран 6750 + 14 000
МТ Спецтранс погрузчик - 23000*2
Сигма Екскаватор - 13000+8100+9000</t>
  </si>
  <si>
    <t>Ромб автокран 14000
МТ Спецтранс - погрузчик 23 000*2+6900
Сигма Екскаватор - 17 400</t>
  </si>
  <si>
    <t>бетононасос - 11 000</t>
  </si>
  <si>
    <t xml:space="preserve">Тедарент подъемник 39 200+33046; 3500 + 21 250,0  + 13 750 + 5000 Ромб - аренда самосвала; Биляк - 6 600,0 самосвал; Эфе бетон (услуги бетононасоса) - 12 600,0 </t>
  </si>
  <si>
    <t>обучения рабочих</t>
  </si>
  <si>
    <t>Грабчак исследования - 16270
1000-оплата за погрузку ТМЦ Ладыжин</t>
  </si>
  <si>
    <t>Автокран Клинцы = 38 302,1
Камаз - 192
Экскаватор 2008= 88859
Телескоп 5 = 84 957</t>
  </si>
  <si>
    <t>Престижбуд автокран - 12 960+10800+5400+6480
Брокинвест Екскаватор - 116 100
Матвієнко КАМАЗ - 18 200+9800+11200, автокран 4800</t>
  </si>
  <si>
    <t>Белес Трнас - 8 200*3+20000 , Индеп Транс 48 000+33000, Премьер Тайм - 1200; АБ Групп 26 000</t>
  </si>
  <si>
    <t>Ф1. Испытания беона - 7890; Грабчак Исследования - 6390; бурение 3000
Ф2. ППР -5 000,00</t>
  </si>
  <si>
    <t>Масюк кран - 1500; МТ-СПЕЦТРАНС 23 000*2 мінінавантажувача; Сігма-Інжиніринг - 12 000,00+10800 екскаватора
Ф.2 Оренда пилосмока KARHER 22.09.22 -600,00</t>
  </si>
  <si>
    <t>Ф1 Жлоб - 6000; АБ Групп 3200
Ф2 Доставка керхера в ремонт</t>
  </si>
  <si>
    <t>Ремонт шииного моста - 15 023,52
Керхер ремонт -600,00</t>
  </si>
  <si>
    <t xml:space="preserve">Ф2. услуги электрика по подключению бытового городка и строй. Площадки. Согласовано со Стариковым -500,00; заправка балонов пропан -979,80; услуги заправщика за заправку балогонов пропаном -60,00
ф1.Грінейра - 94+250;  обслуживание биотуалетов 4 400; Заправка инстументов -16158, Оренда балонів = 792, 1000-Корочки на  бр. Семенченко 3 людини - 1000 грн
</t>
  </si>
  <si>
    <t>шурупокрут -7800, перфоратор -7400,  шліфмашинка-2200,  міксер -2900,</t>
  </si>
  <si>
    <t>бетононасос - 10 000*2
бетономешалка - 2820+1200</t>
  </si>
  <si>
    <t xml:space="preserve">Грабчак - 3 725 + 5 480; Монол-Буд Влаштування підлоги - 186 065;  БК ГМС - 35001; Бевза 4500
</t>
  </si>
  <si>
    <t>Диагностка електроинструменту - 400,02 + 345 + 200 +400 + 1801 + 1856 + 2126
масло на копресоры, ремени на компресор и трамбовку</t>
  </si>
  <si>
    <t>Ромб оборудование 500+2000
бетономешалка - 1500+4500+3000</t>
  </si>
  <si>
    <t>ЕНЕРГОТРАНСРЕМБУД" ПП = 4 581 890
Бевза - 3600
Грабчак 3900</t>
  </si>
  <si>
    <t>Ф.1 Добові при відрядженнях співробітників</t>
  </si>
  <si>
    <t>Ромб вивоз сміття - 4000+3000; Грінейра - 1889,69+250; обслуживание биотуалета 4400
Прочие затраты  по чекам от 07.11.22</t>
  </si>
  <si>
    <r>
      <t xml:space="preserve">АКТ №2  договір 28/07/22 від 28.07.2022 року  Проектные работы АгроінжинірінгAS000001260-50%
АКТ №2  договір 28/07/22 від 28.07.2022 року  ТП11 ТП 12 МШП68+треб227
АКТ №3  договір 28/07/22 від 28.07.2022 року  Влаштування майданчика для розміщення технологічного обладнання треб.242+спис. мшп72
АКТ №1  договір 28/07/22 від 28.07.2022 року  Монтаж транспортно-підіймального обладнання треб 221
АКТ №1  договір 28/07/22 від 28.07.2022 року  Влаштування живлення обладнання МШП70+треб229
АКТ №3  договір 28/07/22 від 28.07.2022 року  Влаштування перегородок блок А МШП66+треб225
АКТ №1  договір 28/07/22 від 28.07.2022 року  Електромонтажні роботи АБК МШП 71+треб230
АКТ №1  договір 28/07/22 від 28.07.2022 року  Ремонт покрівлі та світлоаераційних ліхтарів МШП63+треб222
АКТ №3  договір 28/07/22 від 28.07.2022 року  Оздоблювальні роботи блок А МШП65+треб224
АКТ №3  договір 28/07/22 від 28.07.2022 року  Влаштування офісно-побутових приміщень МШП62+треб220
АКТ №3  договір 28/07/22 від 28.07.2022 року  Влаштування технологічного майданчика для розміщення чилерів та драйвкулерів МШП69+треб228
АКТ №3  договір 28/07/22 від 28.07.2022 року  Благоустрій треб219+231
АКТ №1  договір 28/07/22 від 28.07.2022 року  Освітлення блок А субподряд AS000001922 Платинум треб.241
АКТ №1  договір 28/07/22 від 28.07.2022 року  Оздоблення блок Б МШП67+треб.226
АКТ №3  договір 28/07/22 від 28.07.2022 року  Оздоблювальні роботи блок Б МШП64+треб223
АКТ №3  договір 28/07/22 від 28.07.2022 року Монтаж покриття з профнастилу
АКТ №2  договір 28/07/22 від 28.07.2022 року Електромонтажні роботи РПпр-6 кВ прих AS000002058 Енерготрансрембуд на 13 475 765,20
АКТ №6  договір 28/07/22 від 28.07.2022 року Влаштування перегородок блок А треб258+мшп80+спис245
АКТ №3  договір 28/07/22 від 28.07.2022 року Влаштування перегородок блок Б кош02-01-01 треб.260+мшп82+спис.247
АКТ №1  договір 28/07/22 від 28.07.2022 року Влаштування перегородок ДУ 02-01-01 треб.263+мшп85+спис250
АКТ №1  договір 28/07/22 від 28.07.2022 року Блок адміністративних приміщень 1 треб.269+мшп88+спис.256
АКТ №2 договір 28/07/22 від 28.07.2022 року Блок адміністративних приміщень 1, Оздоблювальні роботи АБК треб.271+мшп90+спис258
АКТ №4 договір 28/07/22 від 28.07.2022 року Влаштування технологічного майданчика для розміщення чилерів та драйвкулерів треб.261+мшп83+спис248
АКТ №4 договір 28/07/22 від 28.07.2022 року Влаштування перегородок Блок Б треб.262+мшп84+спис.249
АКТ №3 договір 28/07/22 від 28.07.2022 року Влаштування майданчика для розміщення технологічного обладнання мшп 78
АКТ №4 договір 28/07/22 від 28.07.2022 року Влаштування перегородок блокА треб257+мшп79+спис244
АКТ №5 договір 28/07/22 від 28.07.2022 року Влаштування перегородок блокА (монтаж спецпланок) треб.259+мшп81+спис246
АКТ №4 договір 28/07/22 від 28.07.2022 року Ремонт покрівлі та світлоаераційних ліхтарів треб.256+мшп77+спис.243
АКТ №5 договір 28/07/22 від 28.07.2022 року Благоустрій треб.268+спис.255
АКТ №4 договір 28/07/22 від 28.07.2022 року Благоустрій (бетонування плити зони розвантаж.) треб.267+спис.254
АКТ №4 договір 28/07/22 від 28.07.2022 року Оздоблювальні роботи блок Б треб.270+мшп89+257
АКТ №5 договір 28/07/22 від 28.07.2022 року Додаткові об'єми Оздоблювальні роботи блок Б оздоблення внутрішніх поверхонь треб 254+мшп73+спис.241
АКТ №4 договір 28/07/22 від 28.07.2022 року Оздоблювання  внутрішніх поверхонь стін та стелі блок А треб 253+мшп75+спис.240
АКТ №3 договір 28/07/22 від 28.07.2022 року Монтаж покриття з профнастілу треб.277+спис.264
АКТ №4 договір 28/07/22 від 28.07.2022 року Демонтаж побутових приміщень треб.264+спис.251
АКТ №1 договір 28/07/22 від 28.07.2022 року Вентиляція Цех субподряд AS000001957 Кліматспейс на сумму 2 678 867,90
АКТ №4 договір 28/07/22 від 28.07.2022 року ТП11 ТП12 треб.265+мшп86+спис.252
АКТ №2 договір 28/07/22 від 28.07.2022 року Влаштування живлення треб.274+спис.261 субподряд СК ДП Буд AS000002059 - 351 164,96
АКТ №1 договір 28/07/22 від 28.07.2022 року Електромонтажні роботи треб.272+спис259
АКТ №1 договір 28/07/22 від 28.07.2022 року Фасад монтаж профнастила треб.266+мшп87+спис.253
АКТ №3 договір 28/07/22 від 28.07.2022 року Влаштування підлог Блок Б треб.276+мшп76+спис.242
АКТ №4 договір 28/07/22 від 28.07.2022 року Влаштування підлог Блок А треб.255+мшп92+спис.263
АКТ №1 договір 28/07/22 від 28.07.2022 року Опалення АБК треб.273+мшп91+спис.260
АКТ №1 договір 28/07/22 від 28.07.2022 року Водопостачання та водовідведення АБК треб.275+спис.262; </t>
    </r>
    <r>
      <rPr>
        <b/>
        <sz val="11"/>
        <color rgb="FF002060"/>
        <rFont val="Times New Roman"/>
        <family val="1"/>
        <charset val="204"/>
      </rPr>
      <t>генпордяд работі субподряда нет - 300 000,0 Скидка</t>
    </r>
  </si>
  <si>
    <r>
      <t>Львівський хімічний завод АТ - аренда баллонов - 792; Випробування електроінструменту - 1 752;</t>
    </r>
    <r>
      <rPr>
        <sz val="11"/>
        <color rgb="FF002060"/>
        <rFont val="Times New Roman"/>
        <family val="1"/>
        <charset val="204"/>
      </rPr>
      <t xml:space="preserve"> Киъвський завод ПТО - 38 520,0 + 40450 *1,2 монтаж крана + 313 740 кран; АГРО-ІНЖИНІРИНГ"ТОВ 196 000 грн (проектные работы), Климатспейс -2 678 867,90, Єнерготрансрембуд 13 475 765,20; Кендл Груп - 504, Спейбудизол - 74 266,25; СК ДП Буд = 351 165; Платинум Електрик - 361 835,83</t>
    </r>
  </si>
  <si>
    <t>Ромб оборудование 428,64
Бетономешалка - 3000+720
Бетононасос - 11 000</t>
  </si>
  <si>
    <t>Ромб автокран 10 500, каток 9200, подьемник - 54 000</t>
  </si>
  <si>
    <t>Расшифровка к актам в файле Акты
Убрала Климат Спейс</t>
  </si>
  <si>
    <t>Грінейра - 1889,69+250, обслуживание биотуалета 4 400
экспертиза 1 500
чай, сахар = 249,92 + 79,99 + 110; доставка материалов - 300,0 грн</t>
  </si>
  <si>
    <t>Кендл Груп - 16 580,84; Климатспейс 97 524,01 + 133 526,18;  Бевза - 2000; Платинум Електрик - 87 098</t>
  </si>
  <si>
    <t>Сігма єкскаватор - 5000</t>
  </si>
  <si>
    <t>Грінейра - 1889,69+250; обслуживание биотуалета 4 400; Львівський хімічний завод АТ - аренда баллонов - 792,0; Ф2: услуги заправщика при заправке газ баллона - 80,0;</t>
  </si>
  <si>
    <t>Ножичного підйомника - 5 200,0; Евро инвест Буд -автовішка - 10 150+7700; РОМБ -манипулятор 2 750 +5700+1500, екскаватора - 6 600,0; Самосвал МАЗ - 1 500,0; Сигма екскаватор - 6175</t>
  </si>
  <si>
    <t>Бepeзкa C.Б . - 2 300,0; Послуга перевезення РОМБ - 6 000,0</t>
  </si>
  <si>
    <t>Грінейра - 2599,26; Биотуалет - 3 520,0; Аренда мусорного бака - 250,0</t>
  </si>
  <si>
    <t>Грабчак Н.В. 10 960; СК ДП БУД - 148 391,88 + 142 173 + 28 078,18</t>
  </si>
  <si>
    <t>Шпак Роман Ігорович ФОП - 5 500 + 6 300 + 5 500 + 12 600; ЄВРО ІНВЕСТ БУД БК ТОВ - 21 600; Сігма-Інжиніринг ТОВ 22 200 + 10 000 + 9 500 ; Ромб - 1 700,0; Савченко С.І. ФОП - 9 500,0</t>
  </si>
  <si>
    <t>Львівський хімічний завод АТ - аренда баллонов;ГРІНЕРА УКРАЇНА - 1 417,27 + 250</t>
  </si>
  <si>
    <t>ТЕДАРЕНТ ТОВ - 30 400,0; Капіталпромбуд самосвал - 4000+8400+1300; Рябець О.А. ФОП - 27 000,0; Сігма-Інжиніринг ТОВ 10 500 + 25 050 +6500</t>
  </si>
  <si>
    <t>ИНДЕПТ СТИЛЛ (Цех) - 3,058 * 20 тыс = 61 160; Денбетон - 37 700 + 58 000+101500; ЕКОТОП ТОВ - Розробка та підготовка проєкту оуінки впливу на довкілля ОВД - 90 000,0</t>
  </si>
  <si>
    <t>Тимощук Святослав Євгенович ФОП - 4366,21; ГЕОСЕРВІС УКРАЇНА"ВЦ"ТОВ - 3 828</t>
  </si>
  <si>
    <t>Львівський хімічний завод АТ - аренда баллонов - 792,0; Биотуалет - 2 200,0; Гринера - вывоз мусора - 1889,69+4724;  Аренда мусорных баков - 500</t>
  </si>
  <si>
    <t xml:space="preserve"> Эфе Бетон 12 600*3</t>
  </si>
  <si>
    <t>9 800,0 - Сигма екскаватор; Престиж Буд Стиль - Послуги автокрана - 4000 + 4500 + 6000; ТЕДАРЕНТ ТОВ Оренда колінчастого підйомника Z45/25JDC - 30800</t>
  </si>
  <si>
    <t>Лук'ян Михайло Федорович ФОП - 2460 + 2931 + 3120; Тимощук Святослав Євгенович ФОП - 460+876+8497</t>
  </si>
  <si>
    <t>ПроЭко Сервис - 1490,31 - аренда биотуалета; Гринера - вывоз мусора - (1 417,27 + 250) *2</t>
  </si>
  <si>
    <t>добавить вливания инвестора по направлениям</t>
  </si>
  <si>
    <t>Август 2023</t>
  </si>
  <si>
    <t>Хурсин Тарас</t>
  </si>
  <si>
    <t>4 205,0 - Денбетон; 40 365 - Политранс - Виготовлення  відбійника L=3000mm  H=150mm; Изопол - 244 589,63; Климатспейс - 46 496,89+21 372,98+29 180; ДП СК БУД - 220 620,89+275 431,7</t>
  </si>
  <si>
    <t>ИндептТранс - 22 000,0</t>
  </si>
  <si>
    <t>Рыбак А.В. - 7 920,0 - вывоз мусора</t>
  </si>
  <si>
    <t>Варшавська - 10 000,0</t>
  </si>
  <si>
    <t>Огирчук, Зеленков</t>
  </si>
  <si>
    <t>МЕТАЛЕВІ КОНСТРУКЦІЇ СТРОНГ" ТОВ -  30 638,3 грн с НДС (Заблокирован НДС)</t>
  </si>
  <si>
    <t>12 мал Польские</t>
  </si>
  <si>
    <t>7 больш Польск</t>
  </si>
  <si>
    <t>Отправка писем</t>
  </si>
  <si>
    <t>Надання послуг з обстеження будівлі,що розташована на земельній ділянці з кадастровим номером: 3221284401:01:060:0134 (адреса: Київська область,Броварський район, с.Красилівка, вул.Київська,2)</t>
  </si>
  <si>
    <t>РДК 250 (2) - 138,0; Экскаватор JCB 2013 - 36,0</t>
  </si>
  <si>
    <t>Тужиков - 4 394,70; Башмаков - 18 000,0</t>
  </si>
  <si>
    <t>PL Печановка-2</t>
  </si>
  <si>
    <t>АГРОЛІДЕР СХІД ТОВ</t>
  </si>
  <si>
    <t>Козеев - 25 395,0 - сентябрь</t>
  </si>
  <si>
    <t>Бытовки Биогаз и Ретал</t>
  </si>
  <si>
    <t>Доход от доставки Казармы</t>
  </si>
  <si>
    <t>Вдовиченко Т.І.ФОП - Послуга перевезення екскаватора Кропивницький - Підгірці - 20 000</t>
  </si>
  <si>
    <t>НП - документы - 135,01; Деливери - 353,0</t>
  </si>
  <si>
    <t>ИТОГ</t>
  </si>
  <si>
    <t>август 2023</t>
  </si>
  <si>
    <t>Прочий налог</t>
  </si>
  <si>
    <t>Дом инструктора</t>
  </si>
  <si>
    <t>Смен в месяце</t>
  </si>
  <si>
    <t>Длительность смены</t>
  </si>
  <si>
    <t>Подразделение в Казне</t>
  </si>
  <si>
    <t>Лист в бюджете</t>
  </si>
  <si>
    <t>Госномер</t>
  </si>
  <si>
    <t>Серийный номер</t>
  </si>
  <si>
    <t>Год выпуска</t>
  </si>
  <si>
    <t>Топливный бак, л.</t>
  </si>
  <si>
    <t>Код подразделения в казне</t>
  </si>
  <si>
    <t>Цена за 1 час до 30.09.</t>
  </si>
  <si>
    <t>Цена за 1 час после 01.10.</t>
  </si>
  <si>
    <t>В месяц по ставки до 01.10</t>
  </si>
  <si>
    <t>В месяц по ставки после 01.10</t>
  </si>
  <si>
    <t>Часов работы в месяце</t>
  </si>
  <si>
    <t>Телескоп 1</t>
  </si>
  <si>
    <t>Телескоп №1</t>
  </si>
  <si>
    <t>16871АІ</t>
  </si>
  <si>
    <t>JCB5ANTGL81510876</t>
  </si>
  <si>
    <t>00-000171</t>
  </si>
  <si>
    <t>Телескоп 2</t>
  </si>
  <si>
    <t>Телескоп №2</t>
  </si>
  <si>
    <t>24257АІ</t>
  </si>
  <si>
    <t>JCB5ANSGE01524978</t>
  </si>
  <si>
    <t>00-000180</t>
  </si>
  <si>
    <t>Телескоп JCB 533-105 (№3)</t>
  </si>
  <si>
    <t>Телескоп №3</t>
  </si>
  <si>
    <t>74869АА</t>
  </si>
  <si>
    <t>JCB5AHTGK02146340</t>
  </si>
  <si>
    <t>00-000206</t>
  </si>
  <si>
    <t>Телескоп JCB 535-140 (№4)</t>
  </si>
  <si>
    <t>76330АА</t>
  </si>
  <si>
    <t>JCB5APWGL02176323</t>
  </si>
  <si>
    <t>00-000208</t>
  </si>
  <si>
    <t>Телескоп JCB 540-170 №5</t>
  </si>
  <si>
    <t>Телескоп №5</t>
  </si>
  <si>
    <t>79905АА</t>
  </si>
  <si>
    <t>5APXGJ02174932</t>
  </si>
  <si>
    <t>00-000219</t>
  </si>
  <si>
    <t>Виброкаток</t>
  </si>
  <si>
    <t>26123АІ</t>
  </si>
  <si>
    <t>H1890380</t>
  </si>
  <si>
    <t>00-000191</t>
  </si>
  <si>
    <t>Ротор Пегасус</t>
  </si>
  <si>
    <t>25685АІ</t>
  </si>
  <si>
    <t>HVL1561265</t>
  </si>
  <si>
    <t>00-000182</t>
  </si>
  <si>
    <t>Экскаватор  JCB</t>
  </si>
  <si>
    <t>Экскаватор JCB 2007</t>
  </si>
  <si>
    <t>23510АІ</t>
  </si>
  <si>
    <t>JCB3CX4TP70978367</t>
  </si>
  <si>
    <t>00-000179</t>
  </si>
  <si>
    <t>Экскаватор  JCB 3CX 2008</t>
  </si>
  <si>
    <t>76742АА</t>
  </si>
  <si>
    <t>JCB3CX4TL81343587</t>
  </si>
  <si>
    <t>00-000210</t>
  </si>
  <si>
    <t>Экскаватор  JCB 2013</t>
  </si>
  <si>
    <t>Экскаватор JCB 2013</t>
  </si>
  <si>
    <t>74303АА</t>
  </si>
  <si>
    <t>JCB3CX4TC02112313</t>
  </si>
  <si>
    <t>00-000198</t>
  </si>
  <si>
    <t xml:space="preserve">Экскаватор  JCB 220 </t>
  </si>
  <si>
    <t>Экскаватор JCB 220</t>
  </si>
  <si>
    <t>72992АА</t>
  </si>
  <si>
    <t>JCBJS22EV02135397</t>
  </si>
  <si>
    <t>00-000195</t>
  </si>
  <si>
    <t>МАЗ 264</t>
  </si>
  <si>
    <t>АА9157КМ</t>
  </si>
  <si>
    <t>Y3M5550C3K0000264</t>
  </si>
  <si>
    <t>00-000189</t>
  </si>
  <si>
    <t>МАЗ 265</t>
  </si>
  <si>
    <t>АА9158КМ</t>
  </si>
  <si>
    <t>Y3M5550C3K0000265</t>
  </si>
  <si>
    <t>00-000190</t>
  </si>
  <si>
    <t>00-000193</t>
  </si>
  <si>
    <t>РДК 250-3№2</t>
  </si>
  <si>
    <t>РДК 250 (2)</t>
  </si>
  <si>
    <t>00-000218</t>
  </si>
  <si>
    <t>Самосвал камаз</t>
  </si>
  <si>
    <t>КА2057АМ</t>
  </si>
  <si>
    <t>XTC53215R92363382</t>
  </si>
  <si>
    <t>00-000204</t>
  </si>
  <si>
    <t>Автокран XCMG</t>
  </si>
  <si>
    <t>КА2204ВС</t>
  </si>
  <si>
    <t>LXGCPA291GA008030</t>
  </si>
  <si>
    <t>00-000199</t>
  </si>
  <si>
    <t>Автокран XCMG QAY55</t>
  </si>
  <si>
    <t>Автокран XCMG 55</t>
  </si>
  <si>
    <t>75855АА</t>
  </si>
  <si>
    <t>LXGCPA364EA015832</t>
  </si>
  <si>
    <t>00-000209</t>
  </si>
  <si>
    <t>Автокран Клинцы</t>
  </si>
  <si>
    <t>Автокран клинцы</t>
  </si>
  <si>
    <t>КА6916АР</t>
  </si>
  <si>
    <t>XTC55111R82327398</t>
  </si>
  <si>
    <t>00-000205</t>
  </si>
  <si>
    <t>Подъемник Haulotte №1</t>
  </si>
  <si>
    <t>79025АА</t>
  </si>
  <si>
    <t>CD109095</t>
  </si>
  <si>
    <t>00-000217</t>
  </si>
  <si>
    <t>ЗА 1 день (без  оператора и топлива)</t>
  </si>
  <si>
    <t>Сентябрь 2023</t>
  </si>
  <si>
    <t xml:space="preserve">Досписання Акт №13 від 11.05.23  дог підр №12-10/21 від 12.10.2021 р. Влашт. отворів під інж. комунікації </t>
  </si>
  <si>
    <t>сентябрь 2023</t>
  </si>
  <si>
    <t>27 мал Польские</t>
  </si>
  <si>
    <t>10 больш Польск</t>
  </si>
  <si>
    <t>сент.23</t>
  </si>
  <si>
    <t>Переплата Трансу</t>
  </si>
  <si>
    <t>вернуть в октябре</t>
  </si>
  <si>
    <t>ЦО распределить Строительстов 2/ Производство 1</t>
  </si>
  <si>
    <t>Октябрь 2023</t>
  </si>
  <si>
    <t>Ноябрь 2023</t>
  </si>
  <si>
    <t>ТОП Метал+ Ретал + Єнерготрансрембуд</t>
  </si>
  <si>
    <t>ТОВ "БУДПРОКАТ-УКРАЇНА" - 5 000,0 (Повернення гарантiйного платежу); 7200 приход с магазина, возврат залога</t>
  </si>
  <si>
    <t>ф.2
генератор</t>
  </si>
  <si>
    <t>ТОВ "Київський завод ПТО"</t>
  </si>
  <si>
    <t>Веста ТОВ</t>
  </si>
  <si>
    <t>41 200 - возврат залоговой суммы</t>
  </si>
  <si>
    <t>перемещение в цех</t>
  </si>
  <si>
    <t>10 Лед ламп продажа на ЦЕХ</t>
  </si>
  <si>
    <t>ХАРКІВПРОМБУД ТОВ - 489 920,66; 176 054,59 - Климатспейс; Крафт Инновейшн - 18 000</t>
  </si>
  <si>
    <r>
      <t xml:space="preserve">ХАРКІВПРОМБУД ТОВ - 37 262,26; ДП СК БУД - 20 000,0; </t>
    </r>
    <r>
      <rPr>
        <sz val="11"/>
        <color rgb="FFFF0000"/>
        <rFont val="Times New Roman"/>
        <family val="1"/>
        <charset val="204"/>
      </rPr>
      <t>Спецтехинвест - 47 096,2 - проведено сентябрем</t>
    </r>
    <r>
      <rPr>
        <sz val="11"/>
        <rFont val="Times New Roman"/>
        <family val="1"/>
        <charset val="204"/>
      </rPr>
      <t>; Вогнеборець - 4 401,67; ИндептСтил - 55 871,20 - ремонт вагончиков;  ИндептТранс - 24 900,0 - ремонт подъемника Houlotte в сентябре</t>
    </r>
  </si>
  <si>
    <r>
      <t>Спецтехинвест - 47 096,2; Крафт Иновейшн - 963 638,29;</t>
    </r>
    <r>
      <rPr>
        <b/>
        <sz val="11"/>
        <color rgb="FFFF0000"/>
        <rFont val="Times New Roman"/>
        <family val="1"/>
        <charset val="204"/>
      </rPr>
      <t xml:space="preserve"> БетонБУД - 1 325 409,74; КонкретБУД - 399 999,99; ИндептТранс - 24 900,0 - ремонт подъемника Houlotte в сентябре</t>
    </r>
  </si>
  <si>
    <t>"Пері Україна ТОВ 67 100,43</t>
  </si>
  <si>
    <t>Пері Україна  опалубка 62 928</t>
  </si>
  <si>
    <t>МШП (досписание) - 2 983,37; МШП по доп.акту - 95 337,94</t>
  </si>
  <si>
    <t>Досписание - 487 685,52; Перемещение в ЦЕХ + Приднепровский-Металл- 684 120,85; Списание по доп.акту - 1 546 137,41</t>
  </si>
  <si>
    <t>приезд новой бригады 4 человека. погоджено директором по будівництву - 5 320; Проезд бр.Бетонщики - 855,0; Шкурат - проїзд вінниця-Львів 240,0; проїзд вж/д вокзал таксі - 250,0; Проезд Овсянников - 545,69 грн</t>
  </si>
  <si>
    <t>561,59 - отъезд с объекта Латыша; 5 865,14грн. - Проезд бр. Жука 4 челов, бр. Фасадчиков – 5чел. Жорж написал письмо на доп.согласование Старикову</t>
  </si>
  <si>
    <t>Досписание - 880,8; Списание по доп.акту - 6 883,68</t>
  </si>
  <si>
    <t>БетонБУД - 1 325 409,74</t>
  </si>
  <si>
    <t>Перемещение в ЦЕХ + Приднепровский-Металл- 684 120,85</t>
  </si>
  <si>
    <t>Климатспейс - 239 546,93</t>
  </si>
  <si>
    <t>КрафтІнновейшн</t>
  </si>
  <si>
    <t>* оплатили 22/09 - 382 217,04; оплатили 28/09 - 47 911,65; после регистрации НДС - 169 567,46</t>
  </si>
  <si>
    <t>* оплатили 14/09 - 8 000,0; После регистрации НДС - 2 000,0</t>
  </si>
  <si>
    <t>Гаврилюк Олександр Володимирович ФОП - 316 360 + 3 720; Мельник  Сергій Вікторович ФОП - 69 350</t>
  </si>
  <si>
    <t>PL Турбина-2</t>
  </si>
  <si>
    <t>PL Старкон Убежище</t>
  </si>
  <si>
    <t>АКТ</t>
  </si>
  <si>
    <t xml:space="preserve">Ф1: 5 000,0 - Будпрокат (возврат гарантийного платежа); 27 986,0 - Киевский завод ПТО (Гарантійні зобов"язання по монтажних та пусконалагоджувальних роботах згідно договору 290822-71 від 29.08.2022) ; 18 000,0 - Веста ТОВ (Гарантійні зобов"язання по згідно договору 30/08/2021 від 30.08.2021); 4 750,0 - Стил (10 ламп); Ф2: 7 200,0 - возврат залога с магазина; 33 800,0 - генератор; 41 200,0 - залоговая сумма за квартиры; </t>
  </si>
  <si>
    <t>ЗП за октябрь 2023</t>
  </si>
  <si>
    <t>Ремонт оборудования</t>
  </si>
  <si>
    <t>3000 - улсуги погрузчкика, 700 - услуги электрика</t>
  </si>
  <si>
    <t>Проживание бригаді</t>
  </si>
  <si>
    <t>Козеев</t>
  </si>
  <si>
    <t>Матвиюк - за работы в июле. Акты поданы в октябре, выплачены в ноябре</t>
  </si>
  <si>
    <t>КОЗЛЕНКО ІГОР ІВАНОВИЧ ФОП - Розробка проектної документації - 54 672,0</t>
  </si>
  <si>
    <t>октябрь 2023</t>
  </si>
  <si>
    <t>окт.23</t>
  </si>
  <si>
    <t>ДС к распределению</t>
  </si>
  <si>
    <t>Резервный фонд</t>
  </si>
  <si>
    <t>ИБ ОТП Депозит</t>
  </si>
  <si>
    <t>И.П.С. Трейд</t>
  </si>
  <si>
    <t>ДД</t>
  </si>
  <si>
    <t>Інструмент для гнуття арматури до 16 мм</t>
  </si>
  <si>
    <t>ЗП за Ноябрь 2023</t>
  </si>
  <si>
    <t xml:space="preserve">Бригадирские за ноябрь 2023 </t>
  </si>
  <si>
    <t>Предоплата за аренду квартиры по средину декабря +комуналка за предыдущий месяц</t>
  </si>
  <si>
    <t>Аренда баллонов</t>
  </si>
  <si>
    <t>Залоговая сумма = 5 000,0 - Аппарат для зварювання ПЕ труб; 2 500,0 - аппарат для зварювання ПЕ труб(проплата за 5 дней); 2 200,0 - фасонные элементы для ПЕ труб; 3 500,0 - инструмент з храповым механизмом. ВСЕГО = 13 200,0</t>
  </si>
  <si>
    <t>К7 ГРУП - строительные материалы</t>
  </si>
  <si>
    <t>* с учетом оплаты залога</t>
  </si>
  <si>
    <t>* в т.ч. Аренда техники; Топливо; ЗП механизаторов с начислениями и удержаниями</t>
  </si>
  <si>
    <t>Остатки на складе</t>
  </si>
  <si>
    <t>Возврат</t>
  </si>
  <si>
    <t>Долги поставщикам</t>
  </si>
  <si>
    <t>* долг поставщику Шутов Д.С. ФОП</t>
  </si>
  <si>
    <t>* сидит в Транспортные затраты управленческого персонала; Затраты на коммандировки управленческого персонала</t>
  </si>
  <si>
    <t>* долг Гордиенко ФЛП</t>
  </si>
  <si>
    <t>* сидит в Командировочные производственного персонала</t>
  </si>
  <si>
    <t>Долги перед поставщиками</t>
  </si>
  <si>
    <t>Продажа ТМЦ</t>
  </si>
  <si>
    <t>ИТОГО</t>
  </si>
  <si>
    <t>Кайлас</t>
  </si>
  <si>
    <t>Ассетс ВФ</t>
  </si>
  <si>
    <t>Декабрь 2023</t>
  </si>
  <si>
    <t>отправка писем ина Далгакиран</t>
  </si>
  <si>
    <t>СС Металлизация + Пескоструй</t>
  </si>
  <si>
    <t>Diff</t>
  </si>
  <si>
    <t>ЗП за Декабрь 2023</t>
  </si>
  <si>
    <t>1 599,70 - Теплова гармата;
11 027,20 - Тент брезентовий</t>
  </si>
  <si>
    <t xml:space="preserve">Ф1: 24 000 - траспортные услуги;
35 000,00 Траспортные (БЦ - Запорожье);
Ф2: Проезд - 2 560 грн.
Аренда актокрана - 4 770 </t>
  </si>
  <si>
    <t>Ф1: 27 000 - траспортные услуги;
28 000,00 Траспортные услугу
Аренда актокрана - 7 950 грн.
Запоріжжя;
Проекд Ф2 (1490 грн.)</t>
  </si>
  <si>
    <t>Шолом піскоструминний Aspec</t>
  </si>
  <si>
    <t>Diff CF - PnL</t>
  </si>
  <si>
    <t>Или была большая предоплата на начало 2023 года, или сейчас большая КЗ</t>
  </si>
  <si>
    <t>??? Задолженность на начало периода</t>
  </si>
  <si>
    <t xml:space="preserve">??? Задолженность на начало периода </t>
  </si>
  <si>
    <t>Финансовая помощь по CF</t>
  </si>
  <si>
    <t>Разница по оплате фин.агенту по CF</t>
  </si>
  <si>
    <t>Доход CF</t>
  </si>
  <si>
    <t>CF 2023</t>
  </si>
  <si>
    <t>Премия Гриценко в Админ персонале</t>
  </si>
  <si>
    <t>- 327К молниезащита
- 100К аренда цеха в марте 23
-137,5К - электроэнергия цеха
-67К - услуги автротранспорта</t>
  </si>
  <si>
    <t>Транспортніе расході
67К - отраженые в услугах сторонних оранизаций</t>
  </si>
  <si>
    <t>327К - Молниезащита (прошла в CF в услугах сторонних организаций)</t>
  </si>
  <si>
    <t>С Премией Гриценко А.</t>
  </si>
  <si>
    <t>100 848 грн. - стоит в марте 23 в услугах сторонних организаций; 137,5К - електроенергия - в CF стоит в услугах сторонних организаций</t>
  </si>
  <si>
    <t>ИБ корпоративная карта</t>
  </si>
  <si>
    <t>Спецодежда</t>
  </si>
  <si>
    <t>ГСМ (топливо)</t>
  </si>
  <si>
    <t>Периодика</t>
  </si>
  <si>
    <t>План по СС</t>
  </si>
  <si>
    <t>2023 PL</t>
  </si>
  <si>
    <t>2024 PL</t>
  </si>
  <si>
    <t>Шевченко Євген Анатолійович</t>
  </si>
  <si>
    <t>Козєєв Роман Сергійович
Сухін Олександр Олександрович</t>
  </si>
  <si>
    <t>Телескоп 2 - 31 ч</t>
  </si>
  <si>
    <t>НП - 2 668,0</t>
  </si>
  <si>
    <t>Буша Володимир Володимирович</t>
  </si>
  <si>
    <t>Білошкуренко Олександр
Буша Володимир Володимирович - 7 400</t>
  </si>
  <si>
    <t>Накопительный PL (Октябрь 2023 - Январь 2024)</t>
  </si>
  <si>
    <t>Факт PnL на 01.02.2024</t>
  </si>
  <si>
    <t>Накопительный PL (Январь 2022 - Январь 2024)</t>
  </si>
  <si>
    <t>Потапенко Д.С. ФОП - 360,0; Заправка картриджа-300</t>
  </si>
  <si>
    <t>ПРОКАТОФФ ТОВ - 3 696,0 (аренда виброплиты)</t>
  </si>
  <si>
    <t>90 450 грн. - ЗП Январь 2024 + ЗП за  26.12.-27.12.2023 (13 350 грн.)</t>
  </si>
  <si>
    <t>PL МД ООН</t>
  </si>
  <si>
    <t>СС МД ООН</t>
  </si>
  <si>
    <t>PL МК Ладыжин-3</t>
  </si>
  <si>
    <t>СС МК Ладыжин-3</t>
  </si>
  <si>
    <t>PL МК Староконстантинов</t>
  </si>
  <si>
    <t>PL МК Армокаркасы</t>
  </si>
  <si>
    <t>СС МК Армокаркасы</t>
  </si>
  <si>
    <t>PL МК Щедро. Флекситанки</t>
  </si>
  <si>
    <t>СС МК Щедро. Флекситанки</t>
  </si>
  <si>
    <t>PL МК ЛифтМаркет</t>
  </si>
  <si>
    <t>СС МК ЛифтМаркет</t>
  </si>
  <si>
    <t>PL МК Укркотлопром</t>
  </si>
  <si>
    <t>СС МК Укркотлопром</t>
  </si>
  <si>
    <t>PL МК Шаблон</t>
  </si>
  <si>
    <t>СС МК Шаблон</t>
  </si>
  <si>
    <t>PL МК Подгорцы.Забор</t>
  </si>
  <si>
    <t>СС МК Подгорцы.Забор</t>
  </si>
  <si>
    <t>Кутники МД ООН - вторая половина Января 2024</t>
  </si>
  <si>
    <t>Доставка</t>
  </si>
  <si>
    <t>ЗП МК Шедро</t>
  </si>
  <si>
    <t>за КМД</t>
  </si>
  <si>
    <t>1) 2 580,73 - доставка Новая Почта</t>
  </si>
  <si>
    <t xml:space="preserve">Оренда обладнання верстат для різання арматури; </t>
  </si>
  <si>
    <t>Доставка 181 тн. Армокаркасов</t>
  </si>
  <si>
    <t>ФИЛ</t>
  </si>
  <si>
    <t>опори 0,6т*16800=10080грн Виготовлення металоконструкцій ОМ-1</t>
  </si>
  <si>
    <t>Работы по МК Старкон Январь 2024: 
Виготовлення люльки на Старкон, 
- Розвантаження м.п.;
- Нарізання на ЧПУ м.п;
- Навантаження виробів, та метал профіль;</t>
  </si>
  <si>
    <t>PL ЦО Производство</t>
  </si>
  <si>
    <t>1) Лифтмаркет - 200К;</t>
  </si>
  <si>
    <t xml:space="preserve">Ф2 - работы в Цехе: Робота електриа (освітлення в цеху та складі), Прибирання території цеху </t>
  </si>
  <si>
    <t>Гриценко А.</t>
  </si>
  <si>
    <t xml:space="preserve">1) 700 грн. - Заміна реле на козловому крані;
2) 666 грн. -  Щітка чашка дріт плетений д75 (6шт) </t>
  </si>
  <si>
    <t>1) Топливо - Газель, Телеском-3 (Январь 2024);
2) 130К - віплата по приходу от Лифт Маркет 200 000 -15% ФА - 20% НДС = 130 000;
3) 294 грн. - Дифталь кр.очні - 2шт;</t>
  </si>
  <si>
    <t>1) Аренда двух квартир в БЦ + коммунальные - 12К;
2) 20 460 грн. - Проживание 11 чол 31 день 60 грн/день</t>
  </si>
  <si>
    <t>Новая Почта за Январь 2024</t>
  </si>
  <si>
    <t>Соломоненко, Аулова, Чилибин 50%, Аксенчиков, Бутенко, Бреус, Стецюк</t>
  </si>
  <si>
    <t>1 грн. - Киевстар;
1 110 грн. - Интернет</t>
  </si>
  <si>
    <t>Аренда территории + 45 857,56  грн. электроэнергия за Январь 2024</t>
  </si>
  <si>
    <t>% банка</t>
  </si>
  <si>
    <t>штрафов ГНИ по нарушению регистрации Налоговых накладных (период МД Польска акція)</t>
  </si>
  <si>
    <t>Топливо Манжула за январь 2024</t>
  </si>
  <si>
    <t>Январь 2024</t>
  </si>
  <si>
    <t>Февраль 2024</t>
  </si>
  <si>
    <t>Март 2024</t>
  </si>
  <si>
    <t>Апрель 2024</t>
  </si>
  <si>
    <t>Май 2024</t>
  </si>
  <si>
    <t>Налог на прибыль</t>
  </si>
  <si>
    <t>операционная прибыль по компании 2022 - 2024г.</t>
  </si>
  <si>
    <t>БЮДЖЕТ</t>
  </si>
  <si>
    <t>представницькі витрати Турбіна 2</t>
  </si>
  <si>
    <t>PL МК Металургбуд.поддоны</t>
  </si>
  <si>
    <t>СС МК Металургбуд.поддоны</t>
  </si>
  <si>
    <t>PL МД Бытовка ИТР Нежин</t>
  </si>
  <si>
    <t>СС МД Бытовка ИТР Нежин</t>
  </si>
  <si>
    <t>Факт PnL на 01.03.2024</t>
  </si>
  <si>
    <t>СС ЦО Производство</t>
  </si>
  <si>
    <t>Накопительный PL (Октябрь 2023 - Февраль 2024)</t>
  </si>
  <si>
    <t>29,677*21530грн+63600 доставка</t>
  </si>
  <si>
    <t>Устранение замечений по покраски</t>
  </si>
  <si>
    <t>Списание МПН (документі в 1С: СТ00-000011, СТ00-000012, СТ00-000013</t>
  </si>
  <si>
    <t>АВР подписан 22.02.24 (СТ00-000006)</t>
  </si>
  <si>
    <t xml:space="preserve">Кутники МД ООН </t>
  </si>
  <si>
    <t>Сборка Бытовки ИТР для Нежина</t>
  </si>
  <si>
    <t>Транспортні послуги та послуги козлового крану</t>
  </si>
  <si>
    <t>Розроблення КМД</t>
  </si>
  <si>
    <t>ЗП за Февраль 2024</t>
  </si>
  <si>
    <t>Аренда + коммунальные за январь 2024</t>
  </si>
  <si>
    <t>МД ООН</t>
  </si>
  <si>
    <t>МК Ладыжин-3</t>
  </si>
  <si>
    <t>МК Староконстантинов</t>
  </si>
  <si>
    <t>МК Армокаркасы</t>
  </si>
  <si>
    <t>МК Щедро. Флекситанки</t>
  </si>
  <si>
    <t>МК ЛифтМаркет</t>
  </si>
  <si>
    <t>МК Укркотлопром</t>
  </si>
  <si>
    <t>МК Подгорцы.Забор</t>
  </si>
  <si>
    <t>PL_Металлизация</t>
  </si>
  <si>
    <t>МД Бытовка ИТР Нежин</t>
  </si>
  <si>
    <t>МК Металургбуд.поддоны</t>
  </si>
  <si>
    <t>ОЛХ</t>
  </si>
  <si>
    <t>Топливо Манжула за Февраль 2024</t>
  </si>
  <si>
    <t>Аренда Цеха + 48376,01  грн. электроэнергия за Февраль 2024</t>
  </si>
  <si>
    <t>2 225,00 грн. - Киевстар;
1 110 грн. - Интернет</t>
  </si>
  <si>
    <t>Доставка Новая Почта - 380,98 грн.</t>
  </si>
  <si>
    <t>Доставка Новая Почта - 690,46 грн.</t>
  </si>
  <si>
    <t>Доставка Новая Почта - 2 471,24 грн.</t>
  </si>
  <si>
    <t>Новая Почта за Февраль 2024</t>
  </si>
  <si>
    <t>1) Доставка Новая Почта (запчастей для ремонта крана и оборудования) - 3428,82 + 914,77 грн.;
2) Ремонт кран-балки и козлового крана - 1480+600 грн;
3) Виробнича травма (лекарства в аптеке) - -1 136,90 грн.</t>
  </si>
  <si>
    <t>Ф1, Ф2 - работы в Цехе: ремонт кранового оборудования (не распределена между проектами)</t>
  </si>
  <si>
    <t>Акт списания (СТ00-000007) + порошковая покраска (СТ00-000012)</t>
  </si>
  <si>
    <t>Козєєв Роман Сергійович</t>
  </si>
  <si>
    <t>Білошкуренко Олександр Миколайович
Буша Володимир Володимирович</t>
  </si>
  <si>
    <t xml:space="preserve">Акт списания (СТ00-000022-25) </t>
  </si>
  <si>
    <t xml:space="preserve"> Акт № 4/1
 Акт № 4/2
 Акт № 4/3
 Акт № 4/4
 Акт № 4/5</t>
  </si>
  <si>
    <t>НП - 551,75</t>
  </si>
  <si>
    <t>Козеев Р.
Козеев Р.
Козеев Р.
Матвиюк
Дичко
Дичко
Козеев Р.</t>
  </si>
  <si>
    <t>ТЕХПІДРЯД" ТОВ - 74 200,0; Кот Ростислав Миколайович - 13 500,0</t>
  </si>
  <si>
    <t>1) Аренда двух квартир в БЦ (4000+3000) + коммунальные (5000) - 12К;
2) 16 740,00 грн. - Проживание 9 чол 31 день 60 грн/день</t>
  </si>
  <si>
    <t>1) Топливо ГАЗель и Телескоп</t>
  </si>
  <si>
    <t>Прибыль в распоряжении компании на 1.03.2024г. Минус Фин деятельность, Инвест деятельности</t>
  </si>
  <si>
    <t xml:space="preserve"> Акт № 5/1
 Акт № 5/2
 Акт № 5/3
 Акт № 5/4
 Акт № 5/5</t>
  </si>
  <si>
    <t>168 297,95 - ТАВРІЯ ПРОМ ЕНЕРГОБУД ТОВ; 951 270 - металлизация; Недвига - 3 839,0</t>
  </si>
  <si>
    <t>досписание = 415 027,69 + 36 096,31 + 17 159,86; ПЕРЕМЕЩЕНИЕ в ЦЕХ 98 899,68</t>
  </si>
  <si>
    <t>Послуги евакуатора (доставка газелі на ремонт)</t>
  </si>
  <si>
    <t>1) Доставка Новая Почта (запчастей для ремонта крана, оборудования и д.р.) - 1 815 грн.;
2) Ремонт двигуна кранбалки - 2 350 грн.; серверсное обслуживание компрессора - 25 487,28 грн.
2) Аптечка (474 грн), Подшипник - 150 грн, шиномонтаж (1 колесо) - 200 грн.</t>
  </si>
  <si>
    <t>1) Топливо ГАЗель и Телескоп - 6 672 грн.;
2) Масло для Телескопа - 3 750 грн.</t>
  </si>
  <si>
    <t>1) Проживання 9 чол. 60 грн (до 20.03.2024 - далее съем крартир);
2) Аренда двух квартир в БЦ (4000+3000) + коммунальные (5000) - 12К;
3) Аренда Залізнична 5б, кв. 5 (однокомнатная кв. БЦ) - 4500 грн/мес +4500 АН + 4500 залог.</t>
  </si>
  <si>
    <t>1) Покупка сварочных аппаратов (2 шт.) - 24 009,96 грн.;
2) Пила монтажная DeWALT - 12 878 грн.</t>
  </si>
  <si>
    <t>Борщ - обслуживание ПК</t>
  </si>
  <si>
    <t>Новая Почта за Март 2024</t>
  </si>
  <si>
    <t>Доступ до онлайн сервісу для публічних закупівель</t>
  </si>
  <si>
    <t>Соломоненко, Аулова, Чилибин 50%, Аксенчиков, Бутенко, Бреус, Стецюк, +инвалид</t>
  </si>
  <si>
    <t>2 225,00 грн. - Киевстар (марта 2024);
1 110 грн. - Интернет (марта 2024)</t>
  </si>
  <si>
    <t>Топливо Манжула за Март 2024</t>
  </si>
  <si>
    <t>Аренда Цеха + 49 698,40 грн. электроэнергия за Март 2024 (6 068 кВт)</t>
  </si>
  <si>
    <t>РКО Март 2024 (Ф1 и Ф2)</t>
  </si>
  <si>
    <t>Накопительный PL (Октябрь 2023 - Март 2024)</t>
  </si>
  <si>
    <t>СС МК Староконстантинов (люки 2023 + опоры 2024)</t>
  </si>
  <si>
    <t>Факт PnL на 01.04.2024</t>
  </si>
  <si>
    <t>Виготовлення  металоконструкцій, люк металевий - 4 типа (28 шт.) + петля ф20 (довж 100 - 60 шт.) - 75 699,66 грн;
Перевезення люки металеві за маршрутом м. Біла Церква - м. Старокостянтинів - 18 000,00 грн.</t>
  </si>
  <si>
    <t>Док. СТ00-000026 и СТ00-000027</t>
  </si>
  <si>
    <t>Согласно док. СТ00-000005 и СТ00-000006</t>
  </si>
  <si>
    <t>% Diff</t>
  </si>
  <si>
    <t>1) Акт на +7,910 тн. Армокаркасов - 51 415 грн.;
2) 738 944,15 грн.- продажа арматуры (695 287,49 грн. - 27,97 тн.) и вязальной проволоки (43 656,66 грн. - 1,4 тн.)</t>
  </si>
  <si>
    <t>Доставка арматуры и вязальной (29 640 грн. + 6 000 грн) проволоки на Нежин из БЦ, доставка армокаркасов (28 000 грн.)</t>
  </si>
  <si>
    <t>Док. СТ00-000030 от 21.03.2024</t>
  </si>
  <si>
    <t>По факту:</t>
  </si>
  <si>
    <t>Накопительный PL (Январь 2024 - Март 2024)</t>
  </si>
  <si>
    <t>Накопительный PL (Февраль 2024 - Март 2024)</t>
  </si>
  <si>
    <t>Бытовка ИТР Нежин</t>
  </si>
  <si>
    <t>План 170 ч/ч - факт 212 ч/ч</t>
  </si>
  <si>
    <t>Установка кондиционера</t>
  </si>
  <si>
    <t>Услуги автокрана, перевозка стройматериалов</t>
  </si>
  <si>
    <t>1) 68 426,6 грн. - СС материалов;
2) 140 грн. - доставка Новой Почтой;</t>
  </si>
  <si>
    <t>Накопительный PL Февраль 2024 - Март 2024)</t>
  </si>
  <si>
    <t>1) 415 633,55 -  Виготовлення металоконструкцій (Металевий піддон 3300*1520*600) з ґрунтуванням (120 шт.);
2) 15127,99 - компенсация за растворитель</t>
  </si>
  <si>
    <t>1) 90584 грн. - Списание МШП;
2) Доставка Новой Почтой - 1 465,8 грн.</t>
  </si>
  <si>
    <t>PL МК Нежин-3</t>
  </si>
  <si>
    <t>СС МК Нежин-3</t>
  </si>
  <si>
    <t>Доставка Новой Почтой</t>
  </si>
  <si>
    <t>Доставка Новая Почта - 2 207,85 грн.</t>
  </si>
  <si>
    <t>ЗП за Марта 2024 (работали до 08.03.2024)</t>
  </si>
  <si>
    <t>Ф1</t>
  </si>
  <si>
    <t>Ф2</t>
  </si>
  <si>
    <t>PL_ЦО_Производство</t>
  </si>
  <si>
    <t>МК Нежин-3</t>
  </si>
  <si>
    <t>1 половина</t>
  </si>
  <si>
    <t>Главный офис</t>
  </si>
  <si>
    <t>Зарплата производственного персонала</t>
  </si>
  <si>
    <t>2 половина</t>
  </si>
  <si>
    <t>Козеев Р.</t>
  </si>
  <si>
    <t>НП - 170,0</t>
  </si>
  <si>
    <t>ТЕХПІДРЯД" ТОВ - 15 840,0; Булат СК - 8 000,0</t>
  </si>
  <si>
    <t>Тріада-зварка ТОВ - 4 890,0; ПРОКАТОФФ ТОВ - 864,0</t>
  </si>
  <si>
    <t>МІКС-ІНВЕСТ ТОВ - 9 000,0; ПРОКАТОФФ ТОВ - 2 784,0</t>
  </si>
  <si>
    <t>АБ-Групп - 3 000,0</t>
  </si>
  <si>
    <t>АБ-Групп</t>
  </si>
  <si>
    <t>гсм</t>
  </si>
  <si>
    <r>
      <t>1) Продажа металлолома по Ф2 (5520 кг. по 5 грн/кг) + (3500кг * 5грн = 17500грн):</t>
    </r>
    <r>
      <rPr>
        <sz val="10"/>
        <color rgb="FFFF0000"/>
        <rFont val="Times New Roman"/>
        <family val="1"/>
        <charset val="204"/>
      </rPr>
      <t/>
    </r>
  </si>
  <si>
    <t>За 189 тн. МК</t>
  </si>
  <si>
    <t xml:space="preserve">С учетом дефектного акта </t>
  </si>
  <si>
    <t>Реставрация бункера - 10,5К</t>
  </si>
  <si>
    <t>1) МШП - 56 724 грн.</t>
  </si>
  <si>
    <t>1) 4 940,00 - доставка Новая Почта</t>
  </si>
  <si>
    <t>Доставка Новая Почта - 6 470,00 грн.;</t>
  </si>
  <si>
    <t>Согласно списания</t>
  </si>
  <si>
    <t>Дріт 2 мм цинковий - 479 кг. (99 392,50 грн без НДС) + 6000 - 9300 грн. без НДС</t>
  </si>
  <si>
    <t>Доставка (Запорожье - БЦ)</t>
  </si>
  <si>
    <t>ТОВ"ЄВРОПРОЕКТ ПІВДЕНЬ" - возврат денег</t>
  </si>
  <si>
    <t>возврат Залога за квартиру</t>
  </si>
  <si>
    <t>по счету</t>
  </si>
  <si>
    <t>Прокатофф - аренда вышки</t>
  </si>
  <si>
    <t>* предоплата</t>
  </si>
  <si>
    <t>* канцтовары</t>
  </si>
  <si>
    <t>Електротрейд-сервис ТОВ</t>
  </si>
  <si>
    <t>ТОВ"ЄВРОПРОЕКТ ПІВДЕНЬ"</t>
  </si>
  <si>
    <t>* в МШП</t>
  </si>
  <si>
    <t>* сидят в транспортных ИТР</t>
  </si>
  <si>
    <t>ПЕРЕВЫПОЛНЕНИЕ</t>
  </si>
  <si>
    <t>* долг по бетону - НДС не зарегестрирован</t>
  </si>
  <si>
    <t>ИндептТранс</t>
  </si>
  <si>
    <t>* предоплата за аренду техники</t>
  </si>
  <si>
    <t>Новая Почта за Апрель 2024</t>
  </si>
  <si>
    <t>1) Доставка Новая Почта (для потребноестей Цеха ) - 2 955 грн.;</t>
  </si>
  <si>
    <t>1) Топливо ГАЗель и Телескоп - 8 878 грн.;</t>
  </si>
  <si>
    <t>1) Аренда двух квартир в БЦ (4000+3000) + коммунальные (5000) - 12К (4450 коммуналка);
2) Аренда Залізнична 5б, кв. 5 (однокомнатная кв. БЦ) - 4500 грн/мес +700 коммуналка
3) Аренда  трехконтаная - БЦ, Незалежності 36 кв39 + коммуналка 13К</t>
  </si>
  <si>
    <t>Аккумулятор для ноутбука экономиста (замена)</t>
  </si>
  <si>
    <t xml:space="preserve">Питьевая вода / </t>
  </si>
  <si>
    <t>Кантовары</t>
  </si>
  <si>
    <t>Соломоненко, Чилибин 50%, Аксенчиков, Бутенко, Бреус, Стецюк, +инвалид (Ф1)</t>
  </si>
  <si>
    <t>2 225,00 грн. - Киевстар (апрель 2024);
1 110 грн. - Интернет (апрель 2024)</t>
  </si>
  <si>
    <t>Топливо Манжула за Апрель 2024</t>
  </si>
  <si>
    <t>Аренда Цеха + 38 142,5 грн. электроэнергия за Апрель 2024</t>
  </si>
  <si>
    <t>Аттестация сварщика</t>
  </si>
  <si>
    <t>1) фланець дифлектора 1900мм - 7 шт.;
2) фланець дифлектора 1000мм - 4 шт.;
3) штоба 150*4мм - 120 шт.</t>
  </si>
  <si>
    <t>Акты Апрель 2024:
1) Нория - 17,805 т. (327 145,93 грн.);
2) Силосы - 1,340 т. (56 221,94 грн.)
3) Градирня - 0,18 т. (3 307,28 грн.)</t>
  </si>
  <si>
    <t>КМД Нежин (Нория, галерея)</t>
  </si>
  <si>
    <t>1) МШП по закрытым Актам Апреля 2024 - 63К
2) Доставка Новая Почта - 10 109,52 грн.</t>
  </si>
  <si>
    <t>Огорожа КГ Підгірці - виготовлення</t>
  </si>
  <si>
    <t>Согласно акта списания от 12.04.2024</t>
  </si>
  <si>
    <t>Списание материалов согласно акта - 340 266 грн.
Доставка Новая Почта - 180,2 грн.</t>
  </si>
  <si>
    <t>З.З.Б.К.№1 ТОВ (БЕТОН Маркет)</t>
  </si>
  <si>
    <t>14 749,98 грн. - РАДА Банк (банковская гарантия)</t>
  </si>
  <si>
    <t>МШП по акту списания</t>
  </si>
  <si>
    <t>ИБ ТАС</t>
  </si>
  <si>
    <t>Доставка - 1 машина</t>
  </si>
  <si>
    <t>30 000,0 (Федорова А.)</t>
  </si>
  <si>
    <t>Накопительный PL Январь 2023 - Май 2024</t>
  </si>
  <si>
    <t>TTL</t>
  </si>
  <si>
    <t>AS89</t>
  </si>
  <si>
    <t>МК РДК.Кран</t>
  </si>
  <si>
    <t>МК Ворота.Запорожье</t>
  </si>
  <si>
    <t>МД ВООЗ</t>
  </si>
  <si>
    <t>МД Казарма.Рекламация</t>
  </si>
  <si>
    <t>CG89</t>
  </si>
  <si>
    <t>Накопительный PL (Октябрь 2023 - Май 2024)</t>
  </si>
  <si>
    <t>Факт PnL на 01.06.2024</t>
  </si>
  <si>
    <t>Накопительный PL (Декабрь 2023 - Май 2024)</t>
  </si>
  <si>
    <t>ФИЛ - 300т.*(181,16 акт+7,91 акт)</t>
  </si>
  <si>
    <t>КМД Нежин (Экспендирование)</t>
  </si>
  <si>
    <t>Доставка - 6 машина</t>
  </si>
  <si>
    <t>Гвинтові пали (63 шт.)</t>
  </si>
  <si>
    <t>Изготовление ворот и шнековых свай</t>
  </si>
  <si>
    <t>МШП для виготовлення паль</t>
  </si>
  <si>
    <t>PL МК РДК.Кран</t>
  </si>
  <si>
    <t xml:space="preserve">СС РДК.Кран покраска </t>
  </si>
  <si>
    <t>PL МК Ворота.Запорожье</t>
  </si>
  <si>
    <t>СС Ворота.Запорожье</t>
  </si>
  <si>
    <t>PL МД ВООЗ</t>
  </si>
  <si>
    <t>PL МД Казарма.Рекламация</t>
  </si>
  <si>
    <t>СС Казарма.Рекламация</t>
  </si>
  <si>
    <t>Ф1, Ф2 - работы в цехе (не распределена между проектами)</t>
  </si>
  <si>
    <t>1) Аренда двух квартир в БЦ (4000+3000) + коммунальные (975+700 коммуналка);
2) Аренда Залізнична 5б, кв. 5 (однокомнатная кв. БЦ) - 4500 грн/мес +1000 коммуналка
3) Аренда  трехкомнатная - БЦ, Незалежності 36 кв39 + коммуналка 13К</t>
  </si>
  <si>
    <t>Борщ - обслуживание ПК май</t>
  </si>
  <si>
    <t xml:space="preserve">Питьевая вода </t>
  </si>
  <si>
    <t>Новая Почта за Май 2024</t>
  </si>
  <si>
    <t>2 692,50 грн. - Киевстар (май 2024);
1 110 грн. - Интернет (май 2024)</t>
  </si>
  <si>
    <t>Топливо Манжула за Май 2024</t>
  </si>
  <si>
    <t>Аренда Цеха + 22 920,75 грн. электроэнергия за Май 2024</t>
  </si>
  <si>
    <t>Подарок на ДР (Чилибин)</t>
  </si>
  <si>
    <t>проживання Шкурат І . Кропивницький  ( тендер ООН)</t>
  </si>
  <si>
    <t>Акты Май 2024: Нория; Силосы; Градирня; Экспандирование 
3 112,50 грн. - доход от пролажи трубы</t>
  </si>
  <si>
    <t>1) МШП по Актам Мая 2024
2) Доставка Новая Почта в мае 2024 - 1031,29; грн.</t>
  </si>
  <si>
    <t>Акты</t>
  </si>
  <si>
    <t>нжк ДЦ1 (доставка 16500/19,325т)</t>
  </si>
  <si>
    <t>нжк ДЦ1 22,495т*18605,809грн з доставкою Норія</t>
  </si>
  <si>
    <t>нжк ДЦ 2 Градирня МК цинкування доставка (16500/19,325т)</t>
  </si>
  <si>
    <t>нжк ДЦ2    6,6т*17520+997,71 (доставка) з доставкою Силос</t>
  </si>
  <si>
    <t>нжк ДЦ 2 Силос МК доставка (16500/19,325т)</t>
  </si>
  <si>
    <t>нжк ДЦ2    24,81т*17520+997,71(доставка) з доставкою Експондування</t>
  </si>
  <si>
    <t>нжк ДЦ1 (Норія 1,675+галерея 5,34) з доставкою</t>
  </si>
  <si>
    <t>нжк ДЦ 2 Силос МК доставка (силос 0,3т+ доставка)</t>
  </si>
  <si>
    <t>нжк ДЦ 2 Експондування3,64+ доставка (16500/19,325т)</t>
  </si>
  <si>
    <t>нжк ДЦ 2 Силос МК доставка (силос 1,215т+ доставка)</t>
  </si>
  <si>
    <t>нжк ДЦ1 (Норія 1,34+галерея 8,545) з доставкою</t>
  </si>
  <si>
    <t>нжк ДЦ 2 Експондування 12,265т+ доставка (17520+997,71дост)</t>
  </si>
  <si>
    <t>ДЦ3 НЖК</t>
  </si>
  <si>
    <t>СС МК Подгорцы.Забор.Палі</t>
  </si>
  <si>
    <t>Доставка Новая Почта в мае 2024</t>
  </si>
  <si>
    <t>ИС у.е. - 27 000</t>
  </si>
  <si>
    <t>SSD для инженера ПКР (Буденко М.)</t>
  </si>
  <si>
    <t>Шевченко, после закрытия объекта</t>
  </si>
  <si>
    <t>* Терещенко; Буша, Белошкуренко</t>
  </si>
  <si>
    <t>металлизация</t>
  </si>
  <si>
    <t>Таврия</t>
  </si>
  <si>
    <t>* Керхер, виброплита, вышка тура</t>
  </si>
  <si>
    <t>Геодезист</t>
  </si>
  <si>
    <t>монтаж станции</t>
  </si>
  <si>
    <t>* вернули в мае, сидит в прочих поступлениях</t>
  </si>
  <si>
    <t>Электрика на объекте (лампы в прорабке+работа) - 500,0; пропан (для демонтажа) - 1 000,0; Техника в субботу (поломался телескоп, взяли местній погрузчик) - 3 000,0; Щебень для доп работ бетон - 400,0; Геодезист (второй вызов) - 100,0 + 700,0 = 800,0</t>
  </si>
  <si>
    <t>* Заправка Буша</t>
  </si>
  <si>
    <t>Компресор, Шуруповерт та гайкокрут, драбина 4 шт; Гайковерт -2, Аккум для инструмента</t>
  </si>
  <si>
    <t>* благоустройство офиса</t>
  </si>
  <si>
    <t>Нова пошта</t>
  </si>
  <si>
    <t>* подарки на НГ (чашки, флиски); сувенірні набори партнерам</t>
  </si>
  <si>
    <t xml:space="preserve">Планировали - 3 мес, </t>
  </si>
  <si>
    <t>Платили 4,5- Ноябрь(пол мес); Декабрь23-Март24</t>
  </si>
  <si>
    <t>Квиток Запоріжжя Київ Воронцову</t>
  </si>
  <si>
    <t>* Воронцов, Стариков - по оплате 600 грн сидят в суточных</t>
  </si>
  <si>
    <t>* НГ корпоратив</t>
  </si>
  <si>
    <t>ИТОГОВАЯ разница</t>
  </si>
  <si>
    <t>Июнь 2024</t>
  </si>
  <si>
    <t>Накопительный PL (Май 2024 - Июнь 2024)</t>
  </si>
  <si>
    <t>СС ВООЗ ПСМД (7 станций)</t>
  </si>
  <si>
    <t>Факт PnL на 01.07.2024</t>
  </si>
  <si>
    <t>ЗП производство ВООЗ за Июнь 2024</t>
  </si>
  <si>
    <t>Разработка КМД МД ВООЗ Мала</t>
  </si>
  <si>
    <t>1) Доставка Новая Почта в Июне 2024 - 13 279 грн.</t>
  </si>
  <si>
    <t>Перевод договора МД ВООЗ</t>
  </si>
  <si>
    <t>Накопительный PL (Январь 2024 - Июнь 2024)</t>
  </si>
  <si>
    <t>Доставка материалов Новой Почтой - Июнь 2024</t>
  </si>
  <si>
    <t>проживання Шкурат І. Суми МД ООН Оплата згідно  Рахунок № 7245234 від 11.06.2024 З ПДВ</t>
  </si>
  <si>
    <t>Проект должен быть законче в Июле 2024</t>
  </si>
  <si>
    <t>АВР должен быть подписан до конца июля</t>
  </si>
  <si>
    <t>Покраска РКД</t>
  </si>
  <si>
    <t>Согласно списания "Фарбування РДК"</t>
  </si>
  <si>
    <t>Неправильно заложен в СС объем работа</t>
  </si>
  <si>
    <t>Накопительный PL (Февраль 2024 - Июнь 2024)</t>
  </si>
  <si>
    <t>1) Доставка Новая Почта в Июне 2024 - 240 грн.</t>
  </si>
  <si>
    <t>Накопительный PL ЦО Производство (Январь 2024 - Июнь 2024)</t>
  </si>
  <si>
    <t>Новая Почта за Июнь 2024</t>
  </si>
  <si>
    <t>Реклама ОЛХ (Июнь 2024)</t>
  </si>
  <si>
    <t>2 692,50 грн. - Киевстар (июнь 2024);
1 110 грн. - Интернет (июнь  2024)</t>
  </si>
  <si>
    <t>Топливо Манжула за Июнь 2024</t>
  </si>
  <si>
    <t>Аренда Цеха + 13 203,04 грн. электроэнергия за Июнь 2024</t>
  </si>
  <si>
    <t>% банка на остаток - Июнь 2024</t>
  </si>
  <si>
    <t>Накопительный PL (Октябрь 2023 - Июнь 2024)</t>
  </si>
  <si>
    <t>Соломоненко, Чилибин 50%, Аксенчиков, Бутенко, Бреус, Стецюк, Шишкина, +инвалид (Ф1)</t>
  </si>
  <si>
    <t>На 01.07.2024 - ПМСД мала №1 готов на 90%</t>
  </si>
  <si>
    <t>05.07.2024 - отгружен в Харьковскую обл.</t>
  </si>
  <si>
    <t>19.07.2024 - подано предвариельное списание М29</t>
  </si>
  <si>
    <t>кутики - январь-марта 2024</t>
  </si>
  <si>
    <t>РКО, в т.ч. - 54 067,51 грн. за обслуживание банк.гарантии МД ООН</t>
  </si>
  <si>
    <t>1) Аренда двух квартир в БЦ (4000+3000) + коммунальные (350 грн коммуналка);
2) Аренда Залізнична 5б, кв. 5 (однокомнатная кв. БЦ) - 4500 грн/мес +500 коммуналка
3) Аренда  трехкомнатная - БЦ, Незалежності 36 кв39 + коммуналка 13К
4) Аренда трехкомнатной кв. БЦ, вул. Київське шосе, 3, кв. 2 (8000 + 8000 агент)</t>
  </si>
  <si>
    <t>Питьевая вода / кофе</t>
  </si>
  <si>
    <t>Уголки - 40К грн</t>
  </si>
  <si>
    <t>Накопительный PL (Июнь 2024 - Июнь 2024)</t>
  </si>
  <si>
    <t>22.07.2024 - подано предвариельное списание (уточненное) М29</t>
  </si>
</sst>
</file>

<file path=xl/styles.xml><?xml version="1.0" encoding="utf-8"?>
<styleSheet xmlns="http://schemas.openxmlformats.org/spreadsheetml/2006/main" xmlns:mc="http://schemas.openxmlformats.org/markup-compatibility/2006" xmlns:x14ac="http://schemas.microsoft.com/office/spreadsheetml/2009/9/ac" mc:Ignorable="x14ac">
  <numFmts count="22">
    <numFmt numFmtId="43" formatCode="_-* #,##0.00_₴_-;\-* #,##0.00_₴_-;_-* &quot;-&quot;??_₴_-;_-@_-"/>
    <numFmt numFmtId="164" formatCode="_-* #,##0.00\ &quot;₽&quot;_-;\-* #,##0.00\ &quot;₽&quot;_-;_-* &quot;-&quot;??\ &quot;₽&quot;_-;_-@_-"/>
    <numFmt numFmtId="165" formatCode="_-* #,##0.00\ _₽_-;\-* #,##0.00\ _₽_-;_-* &quot;-&quot;??\ _₽_-;_-@_-"/>
    <numFmt numFmtId="166" formatCode="_-* #,##0.00\ _₴_-;\-* #,##0.00\ _₴_-;_-* &quot;-&quot;??\ _₴_-;_-@_-"/>
    <numFmt numFmtId="167" formatCode="_-* #,##0\ _₴_-;\-* #,##0\ _₴_-;_-* &quot;-&quot;??\ _₴_-;_-@_-"/>
    <numFmt numFmtId="168" formatCode="0.0"/>
    <numFmt numFmtId="169" formatCode="#,##0.0"/>
    <numFmt numFmtId="170" formatCode="#,##0.00_ ;\-#,##0.00\ "/>
    <numFmt numFmtId="171" formatCode="#,##0.00000"/>
    <numFmt numFmtId="172" formatCode="_-* #,##0.00\ &quot;грн.&quot;_-;\-* #,##0.00\ &quot;грн.&quot;_-;_-* &quot;-&quot;??\ &quot;грн.&quot;_-;_-@_-"/>
    <numFmt numFmtId="173" formatCode="_-* #,##0.00_р_._-;\-* #,##0.00_р_._-;_-* &quot;-&quot;??_р_._-;_-@_-"/>
    <numFmt numFmtId="174" formatCode="0.000"/>
    <numFmt numFmtId="175" formatCode="_-* #,##0.00\ _г_р_н_._-;\-* #,##0.00\ _г_р_н_._-;_-* &quot;-&quot;??\ _г_р_н_._-;_-@_-"/>
    <numFmt numFmtId="176" formatCode="[$-419]mmmm\ yyyy;@"/>
    <numFmt numFmtId="177" formatCode="#,##0.00_ ;[Red]\-#,##0.00\ "/>
    <numFmt numFmtId="178" formatCode="#,##0.000000"/>
    <numFmt numFmtId="179" formatCode="[Blue]\+0%;[Red]\-0%"/>
    <numFmt numFmtId="180" formatCode="[$-F400]h:mm:ss\ AM/PM"/>
    <numFmt numFmtId="181" formatCode="[Blue]\+#,##0;[Red]\-#,##0"/>
    <numFmt numFmtId="182" formatCode="#,##0&quot; ПМСД Мала&quot;"/>
    <numFmt numFmtId="183" formatCode="#,##0_ ;[Red]\-#,##0\ "/>
    <numFmt numFmtId="184" formatCode="General&quot; МД ООН&quot;"/>
  </numFmts>
  <fonts count="184">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Tahoma"/>
      <family val="2"/>
      <charset val="204"/>
    </font>
    <font>
      <sz val="11"/>
      <color theme="1"/>
      <name val="Times New Roman"/>
      <family val="1"/>
      <charset val="204"/>
    </font>
    <font>
      <b/>
      <sz val="11"/>
      <color theme="1"/>
      <name val="Times New Roman"/>
      <family val="1"/>
      <charset val="204"/>
    </font>
    <font>
      <sz val="11"/>
      <name val="Times New Roman"/>
      <family val="1"/>
      <charset val="204"/>
    </font>
    <font>
      <b/>
      <sz val="10"/>
      <color indexed="18"/>
      <name val="Tahoma"/>
      <family val="2"/>
      <charset val="204"/>
    </font>
    <font>
      <sz val="10"/>
      <name val="Arial"/>
      <family val="2"/>
      <charset val="204"/>
    </font>
    <font>
      <sz val="11"/>
      <color indexed="8"/>
      <name val="Times New Roman"/>
      <family val="1"/>
      <charset val="204"/>
    </font>
    <font>
      <b/>
      <sz val="11"/>
      <color theme="4" tint="-0.499984740745262"/>
      <name val="Times New Roman"/>
      <family val="1"/>
      <charset val="204"/>
    </font>
    <font>
      <b/>
      <sz val="11"/>
      <color indexed="18"/>
      <name val="Times New Roman"/>
      <family val="1"/>
      <charset val="204"/>
    </font>
    <font>
      <sz val="11"/>
      <color indexed="18"/>
      <name val="Times New Roman"/>
      <family val="1"/>
      <charset val="204"/>
    </font>
    <font>
      <sz val="11"/>
      <color rgb="FFFF0000"/>
      <name val="Times New Roman"/>
      <family val="1"/>
      <charset val="204"/>
    </font>
    <font>
      <sz val="11"/>
      <color theme="3" tint="-0.499984740745262"/>
      <name val="Times New Roman"/>
      <family val="1"/>
      <charset val="204"/>
    </font>
    <font>
      <b/>
      <sz val="11"/>
      <color indexed="56"/>
      <name val="Times New Roman"/>
      <family val="1"/>
      <charset val="204"/>
    </font>
    <font>
      <b/>
      <i/>
      <sz val="9"/>
      <color indexed="18"/>
      <name val="Times New Roman"/>
      <family val="1"/>
      <charset val="204"/>
    </font>
    <font>
      <sz val="9"/>
      <color rgb="FFFF0000"/>
      <name val="Tahoma"/>
      <family val="2"/>
      <charset val="204"/>
    </font>
    <font>
      <sz val="11"/>
      <color theme="1"/>
      <name val="Calibri"/>
      <family val="2"/>
      <scheme val="minor"/>
    </font>
    <font>
      <b/>
      <sz val="10"/>
      <color indexed="43"/>
      <name val="Times New Roman"/>
      <family val="1"/>
      <charset val="204"/>
    </font>
    <font>
      <b/>
      <sz val="10"/>
      <color indexed="18"/>
      <name val="Times New Roman"/>
      <family val="1"/>
      <charset val="204"/>
    </font>
    <font>
      <b/>
      <i/>
      <sz val="10"/>
      <color indexed="18"/>
      <name val="Times New Roman"/>
      <family val="1"/>
      <charset val="204"/>
    </font>
    <font>
      <b/>
      <sz val="10"/>
      <color rgb="FFFF0000"/>
      <name val="Tahoma"/>
      <family val="2"/>
      <charset val="204"/>
    </font>
    <font>
      <b/>
      <i/>
      <sz val="9"/>
      <color theme="3" tint="-0.499984740745262"/>
      <name val="Times New Roman"/>
      <family val="1"/>
      <charset val="204"/>
    </font>
    <font>
      <b/>
      <i/>
      <sz val="9"/>
      <color indexed="18"/>
      <name val="Tahoma"/>
      <family val="2"/>
      <charset val="204"/>
    </font>
    <font>
      <b/>
      <i/>
      <sz val="9"/>
      <color indexed="56"/>
      <name val="Times New Roman"/>
      <family val="1"/>
      <charset val="204"/>
    </font>
    <font>
      <b/>
      <i/>
      <sz val="9"/>
      <color rgb="FFFF0000"/>
      <name val="Times New Roman"/>
      <family val="1"/>
      <charset val="204"/>
    </font>
    <font>
      <b/>
      <i/>
      <sz val="9"/>
      <name val="Times New Roman"/>
      <family val="1"/>
      <charset val="204"/>
    </font>
    <font>
      <b/>
      <i/>
      <sz val="9"/>
      <name val="Tahoma"/>
      <family val="2"/>
      <charset val="204"/>
    </font>
    <font>
      <b/>
      <sz val="8"/>
      <color indexed="18"/>
      <name val="Times New Roman"/>
      <family val="1"/>
      <charset val="204"/>
    </font>
    <font>
      <sz val="8"/>
      <color theme="1"/>
      <name val="Arial"/>
      <family val="2"/>
      <charset val="204"/>
    </font>
    <font>
      <b/>
      <sz val="9"/>
      <color indexed="81"/>
      <name val="Tahoma"/>
      <family val="2"/>
      <charset val="204"/>
    </font>
    <font>
      <i/>
      <sz val="9"/>
      <color theme="3" tint="-0.499984740745262"/>
      <name val="Times New Roman"/>
      <family val="1"/>
      <charset val="204"/>
    </font>
    <font>
      <i/>
      <sz val="9"/>
      <color rgb="FFFF0000"/>
      <name val="Times New Roman"/>
      <family val="1"/>
      <charset val="204"/>
    </font>
    <font>
      <i/>
      <sz val="9"/>
      <color indexed="18"/>
      <name val="Times New Roman"/>
      <family val="1"/>
      <charset val="204"/>
    </font>
    <font>
      <i/>
      <sz val="9"/>
      <color indexed="18"/>
      <name val="Tahoma"/>
      <family val="2"/>
      <charset val="204"/>
    </font>
    <font>
      <i/>
      <sz val="9"/>
      <color indexed="56"/>
      <name val="Times New Roman"/>
      <family val="1"/>
      <charset val="204"/>
    </font>
    <font>
      <sz val="10"/>
      <color theme="2" tint="-9.9978637043366805E-2"/>
      <name val="Tahoma"/>
      <family val="2"/>
      <charset val="204"/>
    </font>
    <font>
      <sz val="9"/>
      <color indexed="81"/>
      <name val="Tahoma"/>
      <family val="2"/>
      <charset val="204"/>
    </font>
    <font>
      <sz val="8"/>
      <color indexed="8"/>
      <name val="Calibri"/>
      <family val="2"/>
      <charset val="204"/>
    </font>
    <font>
      <sz val="8"/>
      <color rgb="FF4D4D4D"/>
      <name val="Arial"/>
      <family val="2"/>
      <charset val="204"/>
    </font>
    <font>
      <b/>
      <sz val="14"/>
      <color rgb="FFFF0000"/>
      <name val="Calibri"/>
      <family val="2"/>
      <charset val="204"/>
      <scheme val="minor"/>
    </font>
    <font>
      <b/>
      <sz val="11"/>
      <color rgb="FFFF0000"/>
      <name val="Calibri"/>
      <family val="2"/>
      <charset val="204"/>
      <scheme val="minor"/>
    </font>
    <font>
      <b/>
      <sz val="11"/>
      <color theme="1"/>
      <name val="Calibri"/>
      <family val="2"/>
      <charset val="204"/>
      <scheme val="minor"/>
    </font>
    <font>
      <b/>
      <i/>
      <sz val="11"/>
      <color theme="1"/>
      <name val="Calibri"/>
      <family val="2"/>
      <charset val="204"/>
      <scheme val="minor"/>
    </font>
    <font>
      <i/>
      <sz val="9"/>
      <color theme="1"/>
      <name val="Calibri"/>
      <family val="2"/>
      <charset val="204"/>
      <scheme val="minor"/>
    </font>
    <font>
      <sz val="8"/>
      <color theme="1"/>
      <name val="Calibri"/>
      <family val="2"/>
      <charset val="204"/>
      <scheme val="minor"/>
    </font>
    <font>
      <sz val="8"/>
      <name val="Calibri"/>
      <family val="2"/>
      <charset val="204"/>
      <scheme val="minor"/>
    </font>
    <font>
      <b/>
      <sz val="10"/>
      <color rgb="FF003F2F"/>
      <name val="Arial"/>
      <family val="2"/>
      <charset val="204"/>
    </font>
    <font>
      <b/>
      <i/>
      <u/>
      <sz val="14"/>
      <color theme="1"/>
      <name val="Calibri"/>
      <family val="2"/>
      <charset val="204"/>
      <scheme val="minor"/>
    </font>
    <font>
      <sz val="8"/>
      <color rgb="FFFF0000"/>
      <name val="Tahoma"/>
      <family val="2"/>
      <charset val="204"/>
    </font>
    <font>
      <sz val="10"/>
      <color rgb="FFFF0000"/>
      <name val="Tahoma"/>
      <family val="2"/>
      <charset val="204"/>
    </font>
    <font>
      <sz val="11"/>
      <color theme="3"/>
      <name val="Times New Roman"/>
      <family val="1"/>
      <charset val="204"/>
    </font>
    <font>
      <b/>
      <sz val="11"/>
      <color rgb="FFFF0000"/>
      <name val="Times New Roman"/>
      <family val="1"/>
      <charset val="204"/>
    </font>
    <font>
      <sz val="9"/>
      <name val="Times New Roman"/>
      <family val="1"/>
      <charset val="204"/>
    </font>
    <font>
      <sz val="9"/>
      <color rgb="FFFF0000"/>
      <name val="Times New Roman"/>
      <family val="1"/>
      <charset val="204"/>
    </font>
    <font>
      <b/>
      <sz val="9"/>
      <color rgb="FFFF0000"/>
      <name val="Times New Roman"/>
      <family val="1"/>
      <charset val="204"/>
    </font>
    <font>
      <sz val="9"/>
      <name val="Tahoma"/>
      <family val="2"/>
      <charset val="204"/>
    </font>
    <font>
      <sz val="9"/>
      <color theme="3" tint="-0.499984740745262"/>
      <name val="Times New Roman"/>
      <family val="1"/>
      <charset val="204"/>
    </font>
    <font>
      <b/>
      <sz val="9"/>
      <color indexed="18"/>
      <name val="Times New Roman"/>
      <family val="1"/>
      <charset val="204"/>
    </font>
    <font>
      <b/>
      <sz val="9"/>
      <color indexed="18"/>
      <name val="Tahoma"/>
      <family val="2"/>
      <charset val="204"/>
    </font>
    <font>
      <b/>
      <sz val="9"/>
      <color indexed="56"/>
      <name val="Times New Roman"/>
      <family val="1"/>
      <charset val="204"/>
    </font>
    <font>
      <u/>
      <sz val="11"/>
      <name val="Times New Roman"/>
      <family val="1"/>
      <charset val="204"/>
    </font>
    <font>
      <u/>
      <sz val="11"/>
      <color rgb="FFFF0000"/>
      <name val="Times New Roman"/>
      <family val="1"/>
      <charset val="204"/>
    </font>
    <font>
      <sz val="11"/>
      <color indexed="63"/>
      <name val="Times New Roman"/>
      <family val="1"/>
      <charset val="204"/>
    </font>
    <font>
      <sz val="11"/>
      <color indexed="10"/>
      <name val="Times New Roman"/>
      <family val="1"/>
      <charset val="204"/>
    </font>
    <font>
      <sz val="9"/>
      <color indexed="10"/>
      <name val="Tahoma"/>
      <family val="2"/>
      <charset val="204"/>
    </font>
    <font>
      <b/>
      <i/>
      <sz val="9"/>
      <color indexed="63"/>
      <name val="Times New Roman"/>
      <family val="1"/>
      <charset val="204"/>
    </font>
    <font>
      <b/>
      <u/>
      <sz val="11"/>
      <name val="Times New Roman"/>
      <family val="1"/>
      <charset val="204"/>
    </font>
    <font>
      <sz val="10"/>
      <name val="Times New Roman"/>
      <family val="1"/>
      <charset val="204"/>
    </font>
    <font>
      <b/>
      <u/>
      <sz val="11"/>
      <color indexed="18"/>
      <name val="Times New Roman"/>
      <family val="1"/>
      <charset val="204"/>
    </font>
    <font>
      <i/>
      <sz val="9"/>
      <color rgb="FFC00000"/>
      <name val="Calibri"/>
      <family val="2"/>
      <charset val="204"/>
      <scheme val="minor"/>
    </font>
    <font>
      <sz val="11"/>
      <color theme="4" tint="-0.499984740745262"/>
      <name val="Times New Roman"/>
      <family val="1"/>
      <charset val="204"/>
    </font>
    <font>
      <sz val="10"/>
      <color theme="0" tint="-0.14999847407452621"/>
      <name val="Tahoma"/>
      <family val="2"/>
      <charset val="204"/>
    </font>
    <font>
      <sz val="10"/>
      <color theme="0" tint="-0.499984740745262"/>
      <name val="Tahoma"/>
      <family val="2"/>
      <charset val="204"/>
    </font>
    <font>
      <sz val="11"/>
      <color theme="3" tint="-0.249977111117893"/>
      <name val="Times New Roman"/>
      <family val="1"/>
      <charset val="204"/>
    </font>
    <font>
      <sz val="10"/>
      <color rgb="FFC00000"/>
      <name val="Tahoma"/>
      <family val="2"/>
      <charset val="204"/>
    </font>
    <font>
      <b/>
      <i/>
      <sz val="9"/>
      <color theme="1"/>
      <name val="Calibri"/>
      <family val="2"/>
      <charset val="204"/>
      <scheme val="minor"/>
    </font>
    <font>
      <b/>
      <sz val="10"/>
      <name val="Tahoma"/>
      <family val="2"/>
      <charset val="204"/>
    </font>
    <font>
      <b/>
      <sz val="10"/>
      <color theme="3" tint="-0.499984740745262"/>
      <name val="Tahoma"/>
      <family val="2"/>
      <charset val="204"/>
    </font>
    <font>
      <b/>
      <sz val="11"/>
      <color theme="3" tint="-0.499984740745262"/>
      <name val="Times New Roman"/>
      <family val="1"/>
      <charset val="204"/>
    </font>
    <font>
      <b/>
      <sz val="12"/>
      <color theme="1"/>
      <name val="Calibri"/>
      <family val="2"/>
      <charset val="204"/>
      <scheme val="minor"/>
    </font>
    <font>
      <b/>
      <sz val="10"/>
      <color theme="1"/>
      <name val="Calibri"/>
      <family val="2"/>
      <charset val="204"/>
      <scheme val="minor"/>
    </font>
    <font>
      <b/>
      <sz val="9"/>
      <color theme="1"/>
      <name val="Calibri"/>
      <family val="2"/>
      <charset val="204"/>
      <scheme val="minor"/>
    </font>
    <font>
      <sz val="9"/>
      <color theme="3"/>
      <name val="Times New Roman"/>
      <family val="1"/>
      <charset val="204"/>
    </font>
    <font>
      <sz val="9"/>
      <color theme="3" tint="-0.249977111117893"/>
      <name val="Times New Roman"/>
      <family val="1"/>
      <charset val="204"/>
    </font>
    <font>
      <b/>
      <i/>
      <sz val="9"/>
      <color theme="3" tint="-0.249977111117893"/>
      <name val="Times New Roman"/>
      <family val="1"/>
      <charset val="204"/>
    </font>
    <font>
      <b/>
      <sz val="11"/>
      <color theme="3" tint="-0.249977111117893"/>
      <name val="Times New Roman"/>
      <family val="1"/>
      <charset val="204"/>
    </font>
    <font>
      <b/>
      <sz val="10"/>
      <color theme="3" tint="-0.249977111117893"/>
      <name val="Tahoma"/>
      <family val="2"/>
      <charset val="204"/>
    </font>
    <font>
      <b/>
      <sz val="11"/>
      <color theme="3"/>
      <name val="Times New Roman"/>
      <family val="1"/>
      <charset val="204"/>
    </font>
    <font>
      <b/>
      <sz val="11"/>
      <name val="Times New Roman"/>
      <family val="1"/>
      <charset val="204"/>
    </font>
    <font>
      <sz val="11"/>
      <color rgb="FF002060"/>
      <name val="Times New Roman"/>
      <family val="1"/>
      <charset val="204"/>
    </font>
    <font>
      <i/>
      <sz val="11"/>
      <color indexed="18"/>
      <name val="Times New Roman"/>
      <family val="1"/>
      <charset val="204"/>
    </font>
    <font>
      <sz val="8"/>
      <name val="Arial"/>
      <family val="2"/>
    </font>
    <font>
      <sz val="9"/>
      <color indexed="18"/>
      <name val="Times New Roman"/>
      <family val="1"/>
      <charset val="204"/>
    </font>
    <font>
      <sz val="11"/>
      <color rgb="FF3333FF"/>
      <name val="Times New Roman"/>
      <family val="1"/>
      <charset val="204"/>
    </font>
    <font>
      <sz val="10"/>
      <color indexed="18"/>
      <name val="Times New Roman"/>
      <family val="1"/>
      <charset val="204"/>
    </font>
    <font>
      <sz val="10"/>
      <color theme="0" tint="-0.249977111117893"/>
      <name val="Tahoma"/>
      <family val="2"/>
      <charset val="204"/>
    </font>
    <font>
      <b/>
      <sz val="10"/>
      <name val="Times New Roman"/>
      <family val="1"/>
      <charset val="204"/>
    </font>
    <font>
      <b/>
      <i/>
      <sz val="10"/>
      <name val="Times New Roman"/>
      <family val="1"/>
      <charset val="204"/>
    </font>
    <font>
      <b/>
      <sz val="8"/>
      <name val="Times New Roman"/>
      <family val="1"/>
      <charset val="204"/>
    </font>
    <font>
      <b/>
      <sz val="9"/>
      <name val="Times New Roman"/>
      <family val="1"/>
      <charset val="204"/>
    </font>
    <font>
      <sz val="10"/>
      <color theme="0"/>
      <name val="Tahoma"/>
      <family val="2"/>
      <charset val="204"/>
    </font>
    <font>
      <sz val="9"/>
      <color theme="0"/>
      <name val="Tahoma"/>
      <family val="2"/>
      <charset val="204"/>
    </font>
    <font>
      <b/>
      <sz val="10"/>
      <color theme="0"/>
      <name val="Tahoma"/>
      <family val="2"/>
      <charset val="204"/>
    </font>
    <font>
      <u/>
      <sz val="9"/>
      <color theme="3" tint="-0.249977111117893"/>
      <name val="Times New Roman"/>
      <family val="1"/>
      <charset val="204"/>
    </font>
    <font>
      <sz val="9"/>
      <color theme="4" tint="-0.499984740745262"/>
      <name val="Times New Roman"/>
      <family val="1"/>
      <charset val="204"/>
    </font>
    <font>
      <b/>
      <i/>
      <sz val="9"/>
      <color theme="4" tint="-0.499984740745262"/>
      <name val="Times New Roman"/>
      <family val="1"/>
      <charset val="204"/>
    </font>
    <font>
      <b/>
      <sz val="10"/>
      <color indexed="21"/>
      <name val="Arial"/>
      <family val="2"/>
      <charset val="204"/>
    </font>
    <font>
      <b/>
      <sz val="9"/>
      <name val="Tahoma"/>
      <family val="2"/>
      <charset val="204"/>
    </font>
    <font>
      <b/>
      <sz val="11"/>
      <color theme="0"/>
      <name val="Times New Roman"/>
      <family val="1"/>
      <charset val="204"/>
    </font>
    <font>
      <sz val="9"/>
      <color theme="1"/>
      <name val="Times New Roman"/>
      <family val="1"/>
      <charset val="204"/>
    </font>
    <font>
      <b/>
      <sz val="10"/>
      <name val="Arial"/>
      <family val="2"/>
      <charset val="204"/>
    </font>
    <font>
      <sz val="8"/>
      <name val="Arial"/>
      <family val="2"/>
      <charset val="204"/>
    </font>
    <font>
      <sz val="12"/>
      <name val="新細明體"/>
      <charset val="136"/>
    </font>
    <font>
      <sz val="10"/>
      <name val="Arial Cyr"/>
      <charset val="204"/>
    </font>
    <font>
      <sz val="10"/>
      <color rgb="FF000000"/>
      <name val="Arial"/>
      <family val="2"/>
      <charset val="204"/>
    </font>
    <font>
      <sz val="10"/>
      <name val="Arial"/>
      <family val="2"/>
    </font>
    <font>
      <sz val="11"/>
      <color theme="1"/>
      <name val="Times New Roman"/>
      <family val="2"/>
      <charset val="204"/>
    </font>
    <font>
      <b/>
      <sz val="10"/>
      <color rgb="FF000000"/>
      <name val="Arial"/>
      <family val="2"/>
      <charset val="204"/>
    </font>
    <font>
      <sz val="8"/>
      <color rgb="FF000000"/>
      <name val="Arial"/>
      <family val="2"/>
      <charset val="204"/>
    </font>
    <font>
      <b/>
      <sz val="8"/>
      <color rgb="FF000000"/>
      <name val="Arial"/>
      <family val="2"/>
      <charset val="204"/>
    </font>
    <font>
      <b/>
      <u/>
      <sz val="8"/>
      <color rgb="FF000000"/>
      <name val="Arial"/>
      <family val="2"/>
      <charset val="204"/>
    </font>
    <font>
      <b/>
      <i/>
      <sz val="10"/>
      <color rgb="FF000000"/>
      <name val="Arial"/>
      <family val="2"/>
      <charset val="204"/>
    </font>
    <font>
      <u/>
      <sz val="8"/>
      <color rgb="FF000000"/>
      <name val="Arial"/>
      <family val="2"/>
      <charset val="204"/>
    </font>
    <font>
      <b/>
      <i/>
      <sz val="8"/>
      <color rgb="FF000000"/>
      <name val="Arial"/>
      <family val="2"/>
      <charset val="204"/>
    </font>
    <font>
      <sz val="8"/>
      <color indexed="8"/>
      <name val="Arial"/>
      <family val="2"/>
      <charset val="204"/>
    </font>
    <font>
      <b/>
      <sz val="8"/>
      <color indexed="8"/>
      <name val="Arial"/>
      <family val="2"/>
      <charset val="204"/>
    </font>
    <font>
      <sz val="11"/>
      <color rgb="FF000000"/>
      <name val="Calibri"/>
      <family val="2"/>
      <charset val="204"/>
    </font>
    <font>
      <sz val="10"/>
      <color rgb="FF000000"/>
      <name val="Arial Cyr"/>
      <charset val="204"/>
    </font>
    <font>
      <sz val="11"/>
      <color indexed="8"/>
      <name val="Calibri"/>
      <family val="2"/>
      <charset val="204"/>
    </font>
    <font>
      <sz val="12"/>
      <color indexed="8"/>
      <name val="Verdana"/>
      <family val="2"/>
      <charset val="204"/>
    </font>
    <font>
      <sz val="11"/>
      <color indexed="8"/>
      <name val="Calibri"/>
      <family val="2"/>
    </font>
    <font>
      <sz val="10"/>
      <name val="Arial Cyr"/>
      <family val="2"/>
      <charset val="204"/>
    </font>
    <font>
      <sz val="11"/>
      <color theme="1"/>
      <name val="Calibri"/>
      <family val="2"/>
      <charset val="204"/>
    </font>
    <font>
      <sz val="11"/>
      <color theme="1"/>
      <name val="Calibri"/>
      <family val="2"/>
      <charset val="1"/>
      <scheme val="minor"/>
    </font>
    <font>
      <sz val="11"/>
      <name val="Calibri"/>
      <family val="2"/>
      <scheme val="minor"/>
    </font>
    <font>
      <sz val="10"/>
      <color indexed="18"/>
      <name val="Tahoma"/>
      <family val="2"/>
      <charset val="204"/>
    </font>
    <font>
      <b/>
      <i/>
      <sz val="10"/>
      <name val="Tahoma"/>
      <family val="2"/>
      <charset val="204"/>
    </font>
    <font>
      <i/>
      <sz val="10"/>
      <name val="Tahoma"/>
      <family val="2"/>
      <charset val="204"/>
    </font>
    <font>
      <sz val="11"/>
      <name val="Calibri"/>
      <family val="2"/>
      <charset val="204"/>
      <scheme val="minor"/>
    </font>
    <font>
      <sz val="9"/>
      <color theme="0"/>
      <name val="Times New Roman"/>
      <family val="1"/>
      <charset val="204"/>
    </font>
    <font>
      <sz val="9"/>
      <color theme="1"/>
      <name val="Calibri"/>
      <family val="2"/>
      <scheme val="minor"/>
    </font>
    <font>
      <i/>
      <sz val="11"/>
      <color theme="1"/>
      <name val="Calibri"/>
      <family val="2"/>
      <charset val="204"/>
      <scheme val="minor"/>
    </font>
    <font>
      <i/>
      <sz val="10"/>
      <color theme="1"/>
      <name val="Calibri"/>
      <family val="2"/>
      <charset val="204"/>
      <scheme val="minor"/>
    </font>
    <font>
      <sz val="11"/>
      <color rgb="FFFF0000"/>
      <name val="Calibri"/>
      <family val="2"/>
      <scheme val="minor"/>
    </font>
    <font>
      <b/>
      <sz val="11"/>
      <name val="Tahoma"/>
      <family val="2"/>
      <charset val="204"/>
    </font>
    <font>
      <i/>
      <sz val="11"/>
      <color theme="0"/>
      <name val="Calibri"/>
      <family val="2"/>
      <charset val="204"/>
      <scheme val="minor"/>
    </font>
    <font>
      <b/>
      <i/>
      <sz val="9"/>
      <color rgb="FF002060"/>
      <name val="Times New Roman"/>
      <family val="1"/>
      <charset val="204"/>
    </font>
    <font>
      <sz val="9"/>
      <color rgb="FF002060"/>
      <name val="Times New Roman"/>
      <family val="1"/>
      <charset val="204"/>
    </font>
    <font>
      <sz val="10"/>
      <color rgb="FF002060"/>
      <name val="Times New Roman"/>
      <family val="1"/>
      <charset val="204"/>
    </font>
    <font>
      <b/>
      <sz val="11"/>
      <color rgb="FF002060"/>
      <name val="Times New Roman"/>
      <family val="1"/>
      <charset val="204"/>
    </font>
    <font>
      <i/>
      <sz val="11"/>
      <color rgb="FFFF0000"/>
      <name val="Calibri"/>
      <family val="2"/>
      <scheme val="minor"/>
    </font>
    <font>
      <sz val="8"/>
      <color indexed="18"/>
      <name val="Times New Roman"/>
      <family val="1"/>
      <charset val="204"/>
    </font>
    <font>
      <sz val="8"/>
      <color indexed="18"/>
      <name val="Tahoma"/>
      <family val="2"/>
      <charset val="204"/>
    </font>
    <font>
      <sz val="8"/>
      <name val="Tahoma"/>
      <family val="2"/>
      <charset val="204"/>
    </font>
    <font>
      <b/>
      <sz val="8"/>
      <name val="Tahoma"/>
      <family val="2"/>
      <charset val="204"/>
    </font>
    <font>
      <b/>
      <sz val="10"/>
      <color rgb="FFFF0000"/>
      <name val="Calibri"/>
      <family val="2"/>
      <scheme val="minor"/>
    </font>
    <font>
      <i/>
      <sz val="11"/>
      <color rgb="FFFF0000"/>
      <name val="Calibri"/>
      <family val="2"/>
      <charset val="204"/>
      <scheme val="minor"/>
    </font>
    <font>
      <sz val="11"/>
      <color theme="1"/>
      <name val="Times New Roman"/>
      <family val="2"/>
      <charset val="1"/>
    </font>
    <font>
      <sz val="10"/>
      <color theme="3" tint="-0.499984740745262"/>
      <name val="Times New Roman"/>
      <family val="1"/>
      <charset val="204"/>
    </font>
    <font>
      <sz val="10"/>
      <color rgb="FFFF0000"/>
      <name val="Times New Roman"/>
      <family val="1"/>
      <charset val="204"/>
    </font>
    <font>
      <b/>
      <sz val="10"/>
      <color indexed="56"/>
      <name val="Times New Roman"/>
      <family val="1"/>
      <charset val="204"/>
    </font>
    <font>
      <sz val="10"/>
      <color rgb="FF002060"/>
      <name val="Tahoma"/>
      <family val="2"/>
      <charset val="204"/>
    </font>
    <font>
      <b/>
      <sz val="10"/>
      <color rgb="FF002060"/>
      <name val="Times New Roman"/>
      <family val="1"/>
      <charset val="204"/>
    </font>
    <font>
      <b/>
      <sz val="10"/>
      <color rgb="FF002060"/>
      <name val="Tahoma"/>
      <family val="2"/>
      <charset val="204"/>
    </font>
    <font>
      <sz val="10"/>
      <color theme="0" tint="-0.499984740745262"/>
      <name val="Times New Roman"/>
      <family val="1"/>
      <charset val="204"/>
    </font>
    <font>
      <sz val="8"/>
      <color indexed="63"/>
      <name val="Arial"/>
      <family val="2"/>
    </font>
    <font>
      <b/>
      <sz val="12"/>
      <name val="Tahoma"/>
      <family val="2"/>
      <charset val="204"/>
    </font>
    <font>
      <u/>
      <sz val="11"/>
      <color theme="10"/>
      <name val="Calibri"/>
      <family val="2"/>
      <charset val="204"/>
      <scheme val="minor"/>
    </font>
    <font>
      <u/>
      <sz val="11"/>
      <color theme="10"/>
      <name val="Calibri"/>
      <family val="2"/>
      <scheme val="minor"/>
    </font>
  </fonts>
  <fills count="49">
    <fill>
      <patternFill patternType="none"/>
    </fill>
    <fill>
      <patternFill patternType="gray125"/>
    </fill>
    <fill>
      <patternFill patternType="solid">
        <fgColor theme="0" tint="-0.14999847407452621"/>
        <bgColor indexed="64"/>
      </patternFill>
    </fill>
    <fill>
      <patternFill patternType="solid">
        <fgColor rgb="FFCCFF99"/>
        <bgColor indexed="64"/>
      </patternFill>
    </fill>
    <fill>
      <patternFill patternType="solid">
        <fgColor theme="0" tint="-0.249977111117893"/>
        <bgColor indexed="64"/>
      </patternFill>
    </fill>
    <fill>
      <patternFill patternType="solid">
        <fgColor indexed="9"/>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FF0000"/>
        <bgColor indexed="64"/>
      </patternFill>
    </fill>
    <fill>
      <patternFill patternType="solid">
        <fgColor rgb="FFD6E5CB"/>
        <bgColor indexed="64"/>
      </patternFill>
    </fill>
    <fill>
      <patternFill patternType="solid">
        <fgColor rgb="FFE4F0DD"/>
        <bgColor indexed="64"/>
      </patternFill>
    </fill>
    <fill>
      <patternFill patternType="solid">
        <fgColor rgb="FF00FFCC"/>
        <bgColor indexed="64"/>
      </patternFill>
    </fill>
    <fill>
      <patternFill patternType="solid">
        <fgColor rgb="FFFFFF00"/>
        <bgColor indexed="64"/>
      </patternFill>
    </fill>
    <fill>
      <patternFill patternType="solid">
        <fgColor theme="5" tint="0.59999389629810485"/>
        <bgColor indexed="64"/>
      </patternFill>
    </fill>
    <fill>
      <patternFill patternType="solid">
        <fgColor rgb="FFDCE6F1"/>
        <bgColor indexed="64"/>
      </patternFill>
    </fill>
    <fill>
      <patternFill patternType="solid">
        <fgColor rgb="FF92CDDC"/>
        <bgColor indexed="64"/>
      </patternFill>
    </fill>
    <fill>
      <patternFill patternType="solid">
        <fgColor rgb="FFBFBFBF"/>
        <bgColor indexed="64"/>
      </patternFill>
    </fill>
    <fill>
      <patternFill patternType="solid">
        <fgColor rgb="FFFFFFFF"/>
        <bgColor indexed="64"/>
      </patternFill>
    </fill>
    <fill>
      <patternFill patternType="solid">
        <fgColor rgb="FFF2F2F2"/>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7"/>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6"/>
        <bgColor indexed="64"/>
      </patternFill>
    </fill>
    <fill>
      <patternFill patternType="solid">
        <fgColor theme="8"/>
        <bgColor indexed="64"/>
      </patternFill>
    </fill>
    <fill>
      <patternFill patternType="solid">
        <fgColor rgb="FF7030A0"/>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rgb="FF0070C0"/>
        <bgColor indexed="64"/>
      </patternFill>
    </fill>
    <fill>
      <patternFill patternType="solid">
        <fgColor theme="4" tint="0.59999389629810485"/>
        <bgColor indexed="64"/>
      </patternFill>
    </fill>
  </fills>
  <borders count="323">
    <border>
      <left/>
      <right/>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top style="thin">
        <color indexed="64"/>
      </top>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style="medium">
        <color indexed="64"/>
      </right>
      <top style="thin">
        <color indexed="64"/>
      </top>
      <bottom style="medium">
        <color indexed="64"/>
      </bottom>
      <diagonal/>
    </border>
    <border>
      <left style="medium">
        <color rgb="FFACC8BD"/>
      </left>
      <right style="medium">
        <color rgb="FFACC8BD"/>
      </right>
      <top style="medium">
        <color rgb="FFACC8BD"/>
      </top>
      <bottom style="medium">
        <color rgb="FFACC8BD"/>
      </bottom>
      <diagonal/>
    </border>
    <border>
      <left/>
      <right style="medium">
        <color indexed="64"/>
      </right>
      <top/>
      <bottom/>
      <diagonal/>
    </border>
    <border>
      <left style="medium">
        <color rgb="FFE6E6E6"/>
      </left>
      <right style="medium">
        <color rgb="FFE6E6E6"/>
      </right>
      <top style="medium">
        <color rgb="FFE6E6E6"/>
      </top>
      <bottom style="medium">
        <color rgb="FFE6E6E6"/>
      </bottom>
      <diagonal/>
    </border>
    <border>
      <left style="thin">
        <color auto="1"/>
      </left>
      <right style="thin">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rgb="FFA0A0A0"/>
      </left>
      <right style="medium">
        <color rgb="FFA0A0A0"/>
      </right>
      <top style="medium">
        <color rgb="FFA0A0A0"/>
      </top>
      <bottom style="medium">
        <color rgb="FFA0A0A0"/>
      </bottom>
      <diagonal/>
    </border>
    <border>
      <left style="medium">
        <color rgb="FFA0A0A0"/>
      </left>
      <right style="medium">
        <color rgb="FFA0A0A0"/>
      </right>
      <top style="medium">
        <color rgb="FFA0A0A0"/>
      </top>
      <bottom/>
      <diagonal/>
    </border>
    <border>
      <left style="medium">
        <color rgb="FFA0A0A0"/>
      </left>
      <right style="medium">
        <color rgb="FFA0A0A0"/>
      </right>
      <top/>
      <bottom style="medium">
        <color rgb="FFA0A0A0"/>
      </bottom>
      <diagonal/>
    </border>
    <border>
      <left style="medium">
        <color rgb="FFA0A0A0"/>
      </left>
      <right/>
      <top style="medium">
        <color rgb="FFA0A0A0"/>
      </top>
      <bottom style="medium">
        <color rgb="FFA0A0A0"/>
      </bottom>
      <diagonal/>
    </border>
    <border>
      <left/>
      <right style="medium">
        <color rgb="FFA0A0A0"/>
      </right>
      <top style="medium">
        <color rgb="FFA0A0A0"/>
      </top>
      <bottom style="medium">
        <color rgb="FFA0A0A0"/>
      </bottom>
      <diagonal/>
    </border>
    <border>
      <left style="medium">
        <color rgb="FFACC8BD"/>
      </left>
      <right/>
      <top style="medium">
        <color rgb="FFACC8BD"/>
      </top>
      <bottom style="medium">
        <color rgb="FFACC8BD"/>
      </bottom>
      <diagonal/>
    </border>
    <border>
      <left/>
      <right style="medium">
        <color rgb="FFACC8BD"/>
      </right>
      <top style="medium">
        <color rgb="FFACC8BD"/>
      </top>
      <bottom style="medium">
        <color rgb="FFACC8BD"/>
      </bottom>
      <diagonal/>
    </border>
    <border>
      <left/>
      <right/>
      <top style="medium">
        <color rgb="FFA0A0A0"/>
      </top>
      <bottom style="medium">
        <color rgb="FFA0A0A0"/>
      </bottom>
      <diagonal/>
    </border>
    <border>
      <left style="medium">
        <color rgb="FFACC8BD"/>
      </left>
      <right/>
      <top style="medium">
        <color rgb="FFACC8BD"/>
      </top>
      <bottom style="medium">
        <color rgb="FFA0A0A0"/>
      </bottom>
      <diagonal/>
    </border>
    <border>
      <left/>
      <right style="medium">
        <color rgb="FFACC8BD"/>
      </right>
      <top style="medium">
        <color rgb="FFACC8BD"/>
      </top>
      <bottom style="medium">
        <color rgb="FFA0A0A0"/>
      </bottom>
      <diagonal/>
    </border>
    <border>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right style="medium">
        <color auto="1"/>
      </right>
      <top style="thin">
        <color auto="1"/>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thin">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bottom style="thin">
        <color auto="1"/>
      </bottom>
      <diagonal/>
    </border>
    <border>
      <left/>
      <right/>
      <top/>
      <bottom style="thin">
        <color indexed="64"/>
      </bottom>
      <diagonal/>
    </border>
    <border>
      <left/>
      <right style="medium">
        <color auto="1"/>
      </right>
      <top/>
      <bottom style="thin">
        <color auto="1"/>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auto="1"/>
      </bottom>
      <diagonal/>
    </border>
    <border>
      <left style="medium">
        <color indexed="64"/>
      </left>
      <right/>
      <top/>
      <bottom style="thin">
        <color indexed="64"/>
      </bottom>
      <diagonal/>
    </border>
    <border>
      <left style="thin">
        <color auto="1"/>
      </left>
      <right style="thin">
        <color auto="1"/>
      </right>
      <top style="medium">
        <color indexed="64"/>
      </top>
      <bottom style="thin">
        <color auto="1"/>
      </bottom>
      <diagonal/>
    </border>
    <border>
      <left/>
      <right/>
      <top style="thin">
        <color indexed="64"/>
      </top>
      <bottom style="thin">
        <color indexed="64"/>
      </bottom>
      <diagonal/>
    </border>
    <border>
      <left style="medium">
        <color auto="1"/>
      </left>
      <right style="medium">
        <color auto="1"/>
      </right>
      <top style="thin">
        <color auto="1"/>
      </top>
      <bottom/>
      <diagonal/>
    </border>
    <border>
      <left style="medium">
        <color indexed="64"/>
      </left>
      <right/>
      <top style="thin">
        <color indexed="64"/>
      </top>
      <bottom/>
      <diagonal/>
    </border>
    <border>
      <left/>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right style="medium">
        <color auto="1"/>
      </right>
      <top style="thin">
        <color auto="1"/>
      </top>
      <bottom style="medium">
        <color indexed="64"/>
      </bottom>
      <diagonal/>
    </border>
    <border>
      <left style="medium">
        <color indexed="64"/>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top style="thin">
        <color indexed="64"/>
      </top>
      <bottom style="medium">
        <color indexed="64"/>
      </bottom>
      <diagonal/>
    </border>
    <border>
      <left style="thin">
        <color auto="1"/>
      </left>
      <right/>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indexed="64"/>
      </right>
      <top style="thin">
        <color indexed="64"/>
      </top>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right style="medium">
        <color indexed="64"/>
      </right>
      <top style="thin">
        <color indexed="64"/>
      </top>
      <bottom style="medium">
        <color indexed="64"/>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style="thin">
        <color indexed="60"/>
      </left>
      <right style="thin">
        <color indexed="60"/>
      </right>
      <top style="thin">
        <color indexed="60"/>
      </top>
      <bottom style="thin">
        <color indexed="60"/>
      </bottom>
      <diagonal/>
    </border>
    <border>
      <left style="thin">
        <color auto="1"/>
      </left>
      <right style="thin">
        <color auto="1"/>
      </right>
      <top style="thin">
        <color auto="1"/>
      </top>
      <bottom style="medium">
        <color indexed="64"/>
      </bottom>
      <diagonal/>
    </border>
    <border>
      <left/>
      <right style="medium">
        <color indexed="64"/>
      </right>
      <top style="thin">
        <color indexed="64"/>
      </top>
      <bottom style="thin">
        <color indexed="64"/>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medium">
        <color rgb="FF000000"/>
      </right>
      <top/>
      <bottom/>
      <diagonal/>
    </border>
    <border>
      <left/>
      <right style="medium">
        <color rgb="FF000000"/>
      </right>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diagonal/>
    </border>
    <border>
      <left style="medium">
        <color auto="1"/>
      </left>
      <right style="medium">
        <color auto="1"/>
      </right>
      <top style="thin">
        <color auto="1"/>
      </top>
      <bottom style="medium">
        <color auto="1"/>
      </bottom>
      <diagonal/>
    </border>
    <border>
      <left/>
      <right style="medium">
        <color auto="1"/>
      </right>
      <top style="thin">
        <color auto="1"/>
      </top>
      <bottom style="thin">
        <color auto="1"/>
      </bottom>
      <diagonal/>
    </border>
    <border>
      <left/>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auto="1"/>
      </right>
      <top style="thin">
        <color auto="1"/>
      </top>
      <bottom style="medium">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indexed="64"/>
      </top>
      <bottom style="thin">
        <color indexed="64"/>
      </bottom>
      <diagonal/>
    </border>
    <border>
      <left/>
      <right/>
      <top style="thin">
        <color indexed="64"/>
      </top>
      <bottom/>
      <diagonal/>
    </border>
    <border>
      <left style="medium">
        <color auto="1"/>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indexed="64"/>
      </bottom>
      <diagonal/>
    </border>
    <border>
      <left style="medium">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thin">
        <color indexed="22"/>
      </left>
      <right style="thin">
        <color indexed="22"/>
      </right>
      <top style="thin">
        <color indexed="22"/>
      </top>
      <bottom style="thin">
        <color indexed="22"/>
      </bottom>
      <diagonal/>
    </border>
    <border>
      <left/>
      <right/>
      <top style="thin">
        <color indexed="64"/>
      </top>
      <bottom style="medium">
        <color indexed="64"/>
      </bottom>
      <diagonal/>
    </border>
    <border>
      <left/>
      <right style="medium">
        <color auto="1"/>
      </right>
      <top style="thin">
        <color auto="1"/>
      </top>
      <bottom style="medium">
        <color auto="1"/>
      </bottom>
      <diagonal/>
    </border>
    <border>
      <left/>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medium">
        <color auto="1"/>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auto="1"/>
      </right>
      <top style="thin">
        <color auto="1"/>
      </top>
      <bottom style="thin">
        <color auto="1"/>
      </bottom>
      <diagonal/>
    </border>
    <border>
      <left style="hair">
        <color auto="1"/>
      </left>
      <right style="hair">
        <color auto="1"/>
      </right>
      <top style="hair">
        <color auto="1"/>
      </top>
      <bottom style="medium">
        <color indexed="64"/>
      </bottom>
      <diagonal/>
    </border>
    <border>
      <left style="hair">
        <color auto="1"/>
      </left>
      <right style="hair">
        <color auto="1"/>
      </right>
      <top/>
      <bottom style="hair">
        <color auto="1"/>
      </bottom>
      <diagonal/>
    </border>
    <border>
      <left style="hair">
        <color auto="1"/>
      </left>
      <right style="hair">
        <color auto="1"/>
      </right>
      <top/>
      <bottom/>
      <diagonal/>
    </border>
    <border>
      <left style="hair">
        <color auto="1"/>
      </left>
      <right style="hair">
        <color auto="1"/>
      </right>
      <top style="hair">
        <color auto="1"/>
      </top>
      <bottom style="hair">
        <color auto="1"/>
      </bottom>
      <diagonal/>
    </border>
    <border>
      <left style="hair">
        <color auto="1"/>
      </left>
      <right/>
      <top/>
      <bottom/>
      <diagonal/>
    </border>
    <border>
      <left/>
      <right style="medium">
        <color indexed="64"/>
      </right>
      <top style="thin">
        <color indexed="64"/>
      </top>
      <bottom/>
      <diagonal/>
    </border>
    <border>
      <left/>
      <right/>
      <top style="thin">
        <color indexed="64"/>
      </top>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
      <left style="thin">
        <color auto="1"/>
      </left>
      <right/>
      <top style="thin">
        <color auto="1"/>
      </top>
      <bottom/>
      <diagonal/>
    </border>
    <border>
      <left/>
      <right style="medium">
        <color indexed="64"/>
      </right>
      <top style="thin">
        <color indexed="64"/>
      </top>
      <bottom style="thin">
        <color indexed="64"/>
      </bottom>
      <diagonal/>
    </border>
    <border>
      <left style="medium">
        <color auto="1"/>
      </left>
      <right/>
      <top style="thin">
        <color auto="1"/>
      </top>
      <bottom style="thin">
        <color auto="1"/>
      </bottom>
      <diagonal/>
    </border>
    <border>
      <left style="medium">
        <color indexed="64"/>
      </left>
      <right/>
      <top style="thin">
        <color indexed="64"/>
      </top>
      <bottom/>
      <diagonal/>
    </border>
    <border>
      <left/>
      <right/>
      <top style="thin">
        <color indexed="64"/>
      </top>
      <bottom style="thin">
        <color indexed="64"/>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thin">
        <color auto="1"/>
      </top>
      <bottom style="medium">
        <color indexed="64"/>
      </bottom>
      <diagonal/>
    </border>
    <border>
      <left style="medium">
        <color indexed="64"/>
      </left>
      <right style="thin">
        <color auto="1"/>
      </right>
      <top style="thin">
        <color auto="1"/>
      </top>
      <bottom/>
      <diagonal/>
    </border>
    <border>
      <left/>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style="medium">
        <color indexed="64"/>
      </bottom>
      <diagonal/>
    </border>
    <border>
      <left/>
      <right/>
      <top style="thin">
        <color indexed="64"/>
      </top>
      <bottom style="thin">
        <color indexed="64"/>
      </bottom>
      <diagonal/>
    </border>
    <border>
      <left/>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bottom/>
      <diagonal/>
    </border>
    <border>
      <left/>
      <right style="thin">
        <color auto="1"/>
      </right>
      <top/>
      <bottom style="medium">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style="medium">
        <color indexed="64"/>
      </left>
      <right/>
      <top style="thin">
        <color indexed="64"/>
      </top>
      <bottom/>
      <diagonal/>
    </border>
    <border>
      <left/>
      <right style="medium">
        <color auto="1"/>
      </right>
      <top/>
      <bottom style="thin">
        <color auto="1"/>
      </bottom>
      <diagonal/>
    </border>
    <border>
      <left/>
      <right/>
      <top/>
      <bottom style="thin">
        <color indexed="64"/>
      </bottom>
      <diagonal/>
    </border>
    <border>
      <left style="medium">
        <color indexed="64"/>
      </left>
      <right style="thin">
        <color auto="1"/>
      </right>
      <top style="thin">
        <color auto="1"/>
      </top>
      <bottom style="thin">
        <color auto="1"/>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style="medium">
        <color indexed="64"/>
      </bottom>
      <diagonal/>
    </border>
    <border>
      <left/>
      <right style="medium">
        <color indexed="64"/>
      </right>
      <top style="thin">
        <color indexed="64"/>
      </top>
      <bottom/>
      <diagonal/>
    </border>
    <border>
      <left/>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style="thin">
        <color indexed="22"/>
      </left>
      <right style="thin">
        <color indexed="22"/>
      </right>
      <top style="thin">
        <color indexed="22"/>
      </top>
      <bottom style="thin">
        <color indexed="22"/>
      </bottom>
      <diagonal/>
    </border>
    <border>
      <left style="thin">
        <color indexed="9"/>
      </left>
      <right style="thin">
        <color indexed="9"/>
      </right>
      <top style="thin">
        <color indexed="9"/>
      </top>
      <bottom style="thin">
        <color indexed="9"/>
      </bottom>
      <diagonal/>
    </border>
    <border>
      <left style="thin">
        <color indexed="55"/>
      </left>
      <right style="thin">
        <color indexed="55"/>
      </right>
      <top style="thin">
        <color indexed="55"/>
      </top>
      <bottom style="thin">
        <color indexed="55"/>
      </bottom>
      <diagonal/>
    </border>
  </borders>
  <cellStyleXfs count="8873">
    <xf numFmtId="0" fontId="0" fillId="0" borderId="0"/>
    <xf numFmtId="0" fontId="16" fillId="0" borderId="0"/>
    <xf numFmtId="0" fontId="15" fillId="0" borderId="0"/>
    <xf numFmtId="0" fontId="21" fillId="0" borderId="0"/>
    <xf numFmtId="0" fontId="21" fillId="0" borderId="0"/>
    <xf numFmtId="9" fontId="21" fillId="0" borderId="0" applyFont="0" applyFill="0" applyBorder="0" applyAlignment="0" applyProtection="0"/>
    <xf numFmtId="166" fontId="31" fillId="0" borderId="0" applyFon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106" fillId="0" borderId="0"/>
    <xf numFmtId="0" fontId="14" fillId="0" borderId="0"/>
    <xf numFmtId="0" fontId="13"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6" fillId="0" borderId="0"/>
    <xf numFmtId="0" fontId="106" fillId="0" borderId="0"/>
    <xf numFmtId="0" fontId="31" fillId="0" borderId="0"/>
    <xf numFmtId="0" fontId="9" fillId="0" borderId="0"/>
    <xf numFmtId="0" fontId="9" fillId="0" borderId="0"/>
    <xf numFmtId="0" fontId="106" fillId="0" borderId="0"/>
    <xf numFmtId="0" fontId="9" fillId="0" borderId="0"/>
    <xf numFmtId="0" fontId="9" fillId="0" borderId="0"/>
    <xf numFmtId="9" fontId="31" fillId="0" borderId="0" applyFont="0" applyFill="0" applyBorder="0" applyAlignment="0" applyProtection="0"/>
    <xf numFmtId="0" fontId="9" fillId="0" borderId="0"/>
    <xf numFmtId="0" fontId="9" fillId="0" borderId="0"/>
    <xf numFmtId="0" fontId="2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21" fillId="0" borderId="0"/>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126" fillId="0" borderId="0">
      <alignment horizontal="left"/>
    </xf>
    <xf numFmtId="0" fontId="21" fillId="0" borderId="0"/>
    <xf numFmtId="0" fontId="126" fillId="0" borderId="0">
      <alignment horizontal="left"/>
    </xf>
    <xf numFmtId="0" fontId="126" fillId="0" borderId="0">
      <alignment horizontal="left"/>
    </xf>
    <xf numFmtId="0" fontId="21" fillId="0" borderId="0"/>
    <xf numFmtId="0" fontId="21" fillId="0" borderId="0"/>
    <xf numFmtId="0" fontId="127" fillId="0" borderId="0"/>
    <xf numFmtId="172" fontId="128" fillId="0" borderId="0" applyFont="0" applyFill="0" applyBorder="0" applyAlignment="0" applyProtection="0"/>
    <xf numFmtId="0" fontId="129" fillId="0" borderId="0"/>
    <xf numFmtId="165" fontId="9" fillId="0" borderId="0" applyFont="0" applyFill="0" applyBorder="0" applyAlignment="0" applyProtection="0"/>
    <xf numFmtId="9" fontId="9" fillId="0" borderId="0" applyFont="0" applyFill="0" applyBorder="0" applyAlignment="0" applyProtection="0"/>
    <xf numFmtId="0" fontId="125" fillId="0" borderId="0" applyNumberFormat="0" applyFont="0" applyFill="0" applyBorder="0" applyAlignment="0">
      <alignment horizontal="center"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165" fontId="106" fillId="0" borderId="0" applyFont="0" applyFill="0" applyBorder="0" applyAlignment="0" applyProtection="0"/>
    <xf numFmtId="0" fontId="9" fillId="0" borderId="0"/>
    <xf numFmtId="0" fontId="9" fillId="0" borderId="0"/>
    <xf numFmtId="0" fontId="126" fillId="0" borderId="0"/>
    <xf numFmtId="0" fontId="1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126" fillId="0" borderId="0"/>
    <xf numFmtId="0" fontId="9" fillId="0" borderId="0"/>
    <xf numFmtId="0" fontId="10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31" fillId="0" borderId="0"/>
    <xf numFmtId="0" fontId="128" fillId="0" borderId="0"/>
    <xf numFmtId="0" fontId="9" fillId="0" borderId="0"/>
    <xf numFmtId="165" fontId="9" fillId="0" borderId="0" applyFont="0" applyFill="0" applyBorder="0" applyAlignment="0" applyProtection="0"/>
    <xf numFmtId="0" fontId="31" fillId="0" borderId="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0" fontId="21" fillId="0" borderId="0"/>
    <xf numFmtId="0" fontId="21"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31" fillId="0" borderId="0"/>
    <xf numFmtId="0" fontId="21" fillId="0" borderId="0"/>
    <xf numFmtId="0" fontId="9" fillId="0" borderId="0"/>
    <xf numFmtId="0" fontId="131" fillId="0" borderId="0"/>
    <xf numFmtId="165" fontId="9" fillId="0" borderId="0" applyFont="0" applyFill="0" applyBorder="0" applyAlignment="0" applyProtection="0"/>
    <xf numFmtId="0" fontId="9" fillId="0" borderId="0"/>
    <xf numFmtId="49" fontId="132" fillId="0" borderId="0">
      <alignment horizontal="left" vertical="center" wrapText="1"/>
    </xf>
    <xf numFmtId="0" fontId="133" fillId="0" borderId="128">
      <alignment horizontal="left" vertical="center" wrapText="1"/>
    </xf>
    <xf numFmtId="0" fontId="133" fillId="0" borderId="129">
      <alignment horizontal="left" vertical="center" wrapText="1"/>
    </xf>
    <xf numFmtId="0" fontId="133" fillId="0" borderId="130">
      <alignment horizontal="center" vertical="center" wrapText="1"/>
    </xf>
    <xf numFmtId="0" fontId="133" fillId="0" borderId="130">
      <alignment horizontal="right" vertical="center" wrapText="1"/>
    </xf>
    <xf numFmtId="49" fontId="133" fillId="0" borderId="131">
      <alignment horizontal="right" vertical="top" wrapText="1"/>
    </xf>
    <xf numFmtId="0" fontId="134" fillId="0" borderId="130">
      <alignment horizontal="center" vertical="center" wrapText="1"/>
    </xf>
    <xf numFmtId="49" fontId="134" fillId="0" borderId="130">
      <alignment horizontal="left" vertical="center" wrapText="1"/>
    </xf>
    <xf numFmtId="49" fontId="134" fillId="0" borderId="129">
      <alignment horizontal="left" vertical="center" wrapText="1"/>
    </xf>
    <xf numFmtId="0" fontId="134" fillId="0" borderId="130">
      <alignment horizontal="right" vertical="center" wrapText="1"/>
    </xf>
    <xf numFmtId="49" fontId="134" fillId="0" borderId="130">
      <alignment horizontal="right" vertical="center" wrapText="1"/>
    </xf>
    <xf numFmtId="0" fontId="134" fillId="0" borderId="130">
      <alignment horizontal="left" vertical="center" wrapText="1"/>
    </xf>
    <xf numFmtId="49" fontId="134" fillId="0" borderId="130">
      <alignment horizontal="center" vertical="center" wrapText="1"/>
    </xf>
    <xf numFmtId="0" fontId="133" fillId="0" borderId="132">
      <alignment horizontal="left" vertical="center" wrapText="1"/>
    </xf>
    <xf numFmtId="49" fontId="134" fillId="0" borderId="133">
      <alignment horizontal="center" vertical="top" wrapText="1"/>
    </xf>
    <xf numFmtId="0" fontId="134" fillId="0" borderId="130">
      <alignment horizontal="left" wrapText="1"/>
    </xf>
    <xf numFmtId="0" fontId="134" fillId="0" borderId="134">
      <alignment horizontal="left" vertical="center" wrapText="1"/>
    </xf>
    <xf numFmtId="49" fontId="134" fillId="0" borderId="129">
      <alignment horizontal="left" vertical="center" wrapText="1"/>
    </xf>
    <xf numFmtId="0" fontId="133" fillId="0" borderId="135">
      <alignment horizontal="left" vertical="center" wrapText="1"/>
    </xf>
    <xf numFmtId="0" fontId="133" fillId="0" borderId="136">
      <alignment horizontal="left" vertical="center" wrapText="1"/>
    </xf>
    <xf numFmtId="49" fontId="134" fillId="0" borderId="130">
      <alignment horizontal="right" vertical="center" wrapText="1"/>
    </xf>
    <xf numFmtId="0" fontId="134" fillId="0" borderId="130">
      <alignment horizontal="left" wrapText="1"/>
    </xf>
    <xf numFmtId="0" fontId="134" fillId="0" borderId="134">
      <alignment horizontal="left" vertical="center" wrapText="1"/>
    </xf>
    <xf numFmtId="49" fontId="135" fillId="0" borderId="137">
      <alignment horizontal="center" vertical="center" wrapText="1"/>
    </xf>
    <xf numFmtId="0" fontId="133" fillId="0" borderId="135">
      <alignment horizontal="left" vertical="center" wrapText="1"/>
    </xf>
    <xf numFmtId="0" fontId="133" fillId="0" borderId="136">
      <alignment horizontal="left" vertical="center" wrapText="1"/>
    </xf>
    <xf numFmtId="0" fontId="133" fillId="0" borderId="134">
      <alignment horizontal="left" vertical="center" wrapText="1"/>
    </xf>
    <xf numFmtId="0" fontId="133" fillId="0" borderId="138">
      <alignment horizontal="left" vertical="center" wrapText="1"/>
    </xf>
    <xf numFmtId="0" fontId="133" fillId="0" borderId="139">
      <alignment horizontal="left" vertical="center" wrapText="1"/>
    </xf>
    <xf numFmtId="49" fontId="134" fillId="0" borderId="140">
      <alignment horizontal="left" vertical="center" wrapText="1"/>
    </xf>
    <xf numFmtId="0" fontId="133" fillId="0" borderId="141">
      <alignment horizontal="left" vertical="center" wrapText="1"/>
    </xf>
    <xf numFmtId="0" fontId="133" fillId="0" borderId="142">
      <alignment horizontal="left" vertical="center" wrapText="1"/>
    </xf>
    <xf numFmtId="49" fontId="134" fillId="0" borderId="138">
      <alignment horizontal="right" vertical="center" wrapText="1"/>
    </xf>
    <xf numFmtId="0" fontId="134" fillId="0" borderId="138">
      <alignment horizontal="left" vertical="center" wrapText="1"/>
    </xf>
    <xf numFmtId="49" fontId="133" fillId="0" borderId="143">
      <alignment horizontal="center" vertical="center" wrapText="1"/>
    </xf>
    <xf numFmtId="0" fontId="134" fillId="0" borderId="144">
      <alignment horizontal="left" vertical="center" wrapText="1"/>
    </xf>
    <xf numFmtId="49" fontId="134" fillId="0" borderId="144">
      <alignment horizontal="left" wrapText="1"/>
    </xf>
    <xf numFmtId="0" fontId="133" fillId="0" borderId="145">
      <alignment horizontal="left" vertical="center" wrapText="1"/>
    </xf>
    <xf numFmtId="0" fontId="133" fillId="0" borderId="146">
      <alignment horizontal="left" vertical="center" wrapText="1"/>
    </xf>
    <xf numFmtId="49" fontId="134" fillId="0" borderId="147">
      <alignment horizontal="right" vertical="center" wrapText="1"/>
    </xf>
    <xf numFmtId="0" fontId="134" fillId="0" borderId="148">
      <alignment horizontal="left" vertical="center" wrapText="1"/>
    </xf>
    <xf numFmtId="0" fontId="133" fillId="0" borderId="144">
      <alignment horizontal="left" vertical="center" wrapText="1"/>
    </xf>
    <xf numFmtId="49" fontId="134" fillId="0" borderId="134">
      <alignment horizontal="right" vertical="center" wrapText="1"/>
    </xf>
    <xf numFmtId="0" fontId="134" fillId="0" borderId="149">
      <alignment horizontal="left" vertical="center" wrapText="1"/>
    </xf>
    <xf numFmtId="49" fontId="134" fillId="0" borderId="149">
      <alignment horizontal="left" vertical="center" wrapText="1"/>
    </xf>
    <xf numFmtId="49" fontId="134" fillId="0" borderId="129">
      <alignment horizontal="center" vertical="center" wrapText="1"/>
    </xf>
    <xf numFmtId="0" fontId="134" fillId="0" borderId="150">
      <alignment horizontal="left" vertical="center" wrapText="1"/>
    </xf>
    <xf numFmtId="0" fontId="134" fillId="0" borderId="151">
      <alignment horizontal="left" vertical="center" wrapText="1"/>
    </xf>
    <xf numFmtId="0" fontId="134" fillId="0" borderId="137">
      <alignment horizontal="right" vertical="center" wrapText="1"/>
    </xf>
    <xf numFmtId="0" fontId="134" fillId="0" borderId="152">
      <alignment horizontal="left" vertical="center" wrapText="1"/>
    </xf>
    <xf numFmtId="49" fontId="133" fillId="0" borderId="153">
      <alignment horizontal="left" vertical="center" wrapText="1"/>
    </xf>
    <xf numFmtId="0" fontId="133" fillId="0" borderId="154">
      <alignment horizontal="left" vertical="center" wrapText="1"/>
    </xf>
    <xf numFmtId="49" fontId="133" fillId="0" borderId="155">
      <alignment horizontal="right" vertical="center" wrapText="1"/>
    </xf>
    <xf numFmtId="49" fontId="133" fillId="0" borderId="131">
      <alignment horizontal="left" vertical="center" wrapText="1"/>
    </xf>
    <xf numFmtId="49" fontId="133" fillId="0" borderId="134">
      <alignment horizontal="right" vertical="center" wrapText="1"/>
    </xf>
    <xf numFmtId="0" fontId="134" fillId="0" borderId="135">
      <alignment horizontal="left" vertical="center" wrapText="1"/>
    </xf>
    <xf numFmtId="0" fontId="133" fillId="0" borderId="150">
      <alignment horizontal="center" vertical="center" wrapText="1"/>
    </xf>
    <xf numFmtId="0" fontId="134" fillId="0" borderId="136">
      <alignment horizontal="left" vertical="center" wrapText="1"/>
    </xf>
    <xf numFmtId="0" fontId="134" fillId="0" borderId="135">
      <alignment horizontal="left" vertical="center" wrapText="1"/>
    </xf>
    <xf numFmtId="0" fontId="134" fillId="0" borderId="136">
      <alignment horizontal="left" vertical="center" wrapText="1"/>
    </xf>
    <xf numFmtId="49" fontId="134" fillId="0" borderId="134">
      <alignment horizontal="right" vertical="center" wrapText="1"/>
    </xf>
    <xf numFmtId="0" fontId="134" fillId="0" borderId="129">
      <alignment horizontal="left" vertical="center" wrapText="1"/>
    </xf>
    <xf numFmtId="0" fontId="133" fillId="0" borderId="150">
      <alignment horizontal="left" vertical="center" wrapText="1"/>
    </xf>
    <xf numFmtId="49" fontId="133" fillId="0" borderId="0">
      <alignment horizontal="left" vertical="center"/>
    </xf>
    <xf numFmtId="0" fontId="133" fillId="0" borderId="0">
      <alignment horizontal="left" vertical="center"/>
    </xf>
    <xf numFmtId="0" fontId="133" fillId="0" borderId="151">
      <alignment horizontal="center" vertical="center" wrapText="1"/>
    </xf>
    <xf numFmtId="0" fontId="133" fillId="0" borderId="153">
      <alignment horizontal="left" vertical="center" wrapText="1"/>
    </xf>
    <xf numFmtId="49" fontId="134" fillId="0" borderId="133">
      <alignment horizontal="center" vertical="center" wrapText="1"/>
    </xf>
    <xf numFmtId="0" fontId="133" fillId="0" borderId="156">
      <alignment horizontal="center" vertical="center" wrapText="1"/>
    </xf>
    <xf numFmtId="0" fontId="133" fillId="0" borderId="0">
      <alignment horizontal="left" vertical="center" wrapText="1"/>
    </xf>
    <xf numFmtId="0" fontId="133" fillId="0" borderId="157">
      <alignment horizontal="left" vertical="center" wrapText="1"/>
    </xf>
    <xf numFmtId="0" fontId="133" fillId="0" borderId="158">
      <alignment horizontal="left" vertical="center" wrapText="1"/>
    </xf>
    <xf numFmtId="0" fontId="133" fillId="0" borderId="131">
      <alignment horizontal="left" vertical="center" wrapText="1"/>
    </xf>
    <xf numFmtId="49" fontId="133" fillId="0" borderId="130">
      <alignment horizontal="center" vertical="center" wrapText="1"/>
    </xf>
    <xf numFmtId="49" fontId="133" fillId="0" borderId="134">
      <alignment horizontal="center" vertical="center" wrapText="1"/>
    </xf>
    <xf numFmtId="49" fontId="133" fillId="0" borderId="129">
      <alignment horizontal="center" vertical="center" wrapText="1"/>
    </xf>
    <xf numFmtId="0" fontId="133" fillId="0" borderId="131">
      <alignment horizontal="center" vertical="center" wrapText="1"/>
    </xf>
    <xf numFmtId="0" fontId="134" fillId="0" borderId="130">
      <alignment horizontal="center" vertical="center" wrapText="1"/>
    </xf>
    <xf numFmtId="49" fontId="134" fillId="0" borderId="130">
      <alignment horizontal="left" vertical="center" wrapText="1"/>
    </xf>
    <xf numFmtId="0" fontId="134" fillId="0" borderId="135">
      <alignment horizontal="center" vertical="center" wrapText="1"/>
    </xf>
    <xf numFmtId="49" fontId="136" fillId="0" borderId="0">
      <alignment horizontal="center" vertical="center" wrapText="1"/>
    </xf>
    <xf numFmtId="0" fontId="134" fillId="0" borderId="135">
      <alignment horizontal="right" vertical="center" wrapText="1"/>
    </xf>
    <xf numFmtId="0" fontId="134" fillId="0" borderId="136">
      <alignment horizontal="right" vertical="center" wrapText="1"/>
    </xf>
    <xf numFmtId="0" fontId="134" fillId="0" borderId="134">
      <alignment horizontal="right" vertical="center" wrapText="1"/>
    </xf>
    <xf numFmtId="0" fontId="134" fillId="0" borderId="129">
      <alignment horizontal="left" vertical="center" wrapText="1"/>
    </xf>
    <xf numFmtId="0" fontId="134" fillId="0" borderId="130">
      <alignment horizontal="right" vertical="center" wrapText="1"/>
    </xf>
    <xf numFmtId="0" fontId="134" fillId="0" borderId="130">
      <alignment horizontal="left" vertical="center" wrapText="1"/>
    </xf>
    <xf numFmtId="0" fontId="134" fillId="0" borderId="130">
      <alignment horizontal="center" vertical="center" wrapText="1"/>
    </xf>
    <xf numFmtId="49" fontId="134" fillId="0" borderId="130">
      <alignment horizontal="left" vertical="center" wrapText="1"/>
    </xf>
    <xf numFmtId="0" fontId="134" fillId="0" borderId="135">
      <alignment horizontal="center" vertical="center" wrapText="1"/>
    </xf>
    <xf numFmtId="0" fontId="134" fillId="0" borderId="135">
      <alignment horizontal="right" vertical="center" wrapText="1"/>
    </xf>
    <xf numFmtId="49" fontId="133" fillId="0" borderId="0">
      <alignment horizontal="left" vertical="center" wrapText="1"/>
    </xf>
    <xf numFmtId="0" fontId="134" fillId="0" borderId="136">
      <alignment horizontal="right" vertical="center" wrapText="1"/>
    </xf>
    <xf numFmtId="0" fontId="134" fillId="0" borderId="134">
      <alignment horizontal="right" vertical="center" wrapText="1"/>
    </xf>
    <xf numFmtId="0" fontId="134" fillId="0" borderId="129">
      <alignment horizontal="left" vertical="center" wrapText="1"/>
    </xf>
    <xf numFmtId="0" fontId="134" fillId="0" borderId="130">
      <alignment horizontal="right" vertical="center" wrapText="1"/>
    </xf>
    <xf numFmtId="0" fontId="134" fillId="0" borderId="130">
      <alignment horizontal="left" vertical="center" wrapText="1"/>
    </xf>
    <xf numFmtId="49" fontId="133" fillId="0" borderId="130">
      <alignment horizontal="center" vertical="center" wrapText="1"/>
    </xf>
    <xf numFmtId="49" fontId="133" fillId="0" borderId="130">
      <alignment horizontal="left" vertical="center" wrapText="1"/>
    </xf>
    <xf numFmtId="49" fontId="133" fillId="0" borderId="149">
      <alignment horizontal="left" vertical="center" wrapText="1"/>
    </xf>
    <xf numFmtId="49" fontId="133" fillId="0" borderId="130">
      <alignment horizontal="right" vertical="center" wrapText="1"/>
    </xf>
    <xf numFmtId="49" fontId="137" fillId="0" borderId="149">
      <alignment horizontal="center" wrapText="1"/>
    </xf>
    <xf numFmtId="49" fontId="132" fillId="0" borderId="0">
      <alignment horizontal="center" vertical="center" wrapText="1"/>
    </xf>
    <xf numFmtId="49" fontId="137" fillId="0" borderId="137">
      <alignment horizontal="center" wrapText="1"/>
    </xf>
    <xf numFmtId="49" fontId="133" fillId="0" borderId="129">
      <alignment horizontal="left" vertical="center" wrapText="1"/>
    </xf>
    <xf numFmtId="0" fontId="133" fillId="0" borderId="130">
      <alignment horizontal="left" vertical="center" wrapText="1"/>
    </xf>
    <xf numFmtId="49" fontId="133" fillId="0" borderId="131">
      <alignment horizontal="center" vertical="top" wrapText="1"/>
    </xf>
    <xf numFmtId="49" fontId="133" fillId="0" borderId="133">
      <alignment horizontal="center" vertical="top" wrapText="1"/>
    </xf>
    <xf numFmtId="0" fontId="133" fillId="0" borderId="159">
      <alignment horizontal="left" vertical="center" wrapText="1"/>
    </xf>
    <xf numFmtId="0" fontId="133" fillId="0" borderId="131">
      <alignment horizontal="left" vertical="center" wrapText="1"/>
    </xf>
    <xf numFmtId="0" fontId="133" fillId="0" borderId="131">
      <alignment horizontal="right" vertical="top" wrapText="1"/>
    </xf>
    <xf numFmtId="0" fontId="133" fillId="0" borderId="133">
      <alignment horizontal="left" vertical="center" wrapText="1"/>
    </xf>
    <xf numFmtId="0" fontId="133" fillId="0" borderId="160">
      <alignment horizontal="left" vertical="center" wrapText="1"/>
    </xf>
    <xf numFmtId="0" fontId="132" fillId="0" borderId="0">
      <alignment horizontal="center" vertical="center" wrapText="1"/>
    </xf>
    <xf numFmtId="49" fontId="133" fillId="0" borderId="149">
      <alignment horizontal="center" vertical="center" wrapText="1"/>
    </xf>
    <xf numFmtId="49" fontId="133" fillId="0" borderId="149">
      <alignment horizontal="right" vertical="center" wrapText="1"/>
    </xf>
    <xf numFmtId="49" fontId="133" fillId="0" borderId="152">
      <alignment horizontal="left" vertical="center" wrapText="1"/>
    </xf>
    <xf numFmtId="0" fontId="133" fillId="0" borderId="149">
      <alignment horizontal="left" vertical="center" wrapText="1"/>
    </xf>
    <xf numFmtId="49" fontId="133" fillId="0" borderId="153">
      <alignment horizontal="center" vertical="top" wrapText="1"/>
    </xf>
    <xf numFmtId="49" fontId="133" fillId="0" borderId="155">
      <alignment horizontal="center" vertical="top" wrapText="1"/>
    </xf>
    <xf numFmtId="0" fontId="133" fillId="0" borderId="153">
      <alignment horizontal="right" vertical="top" wrapText="1"/>
    </xf>
    <xf numFmtId="0" fontId="133" fillId="0" borderId="155">
      <alignment horizontal="left" vertical="center" wrapText="1"/>
    </xf>
    <xf numFmtId="0" fontId="133" fillId="0" borderId="131">
      <alignment horizontal="center" vertical="center" wrapText="1"/>
    </xf>
    <xf numFmtId="0" fontId="133" fillId="0" borderId="131">
      <alignment horizontal="right" vertical="center" wrapText="1"/>
    </xf>
    <xf numFmtId="0" fontId="133" fillId="0" borderId="0">
      <alignment horizontal="center" vertical="center" wrapText="1"/>
    </xf>
    <xf numFmtId="0" fontId="133" fillId="0" borderId="133">
      <alignment horizontal="right" vertical="center" wrapText="1"/>
    </xf>
    <xf numFmtId="49" fontId="133" fillId="0" borderId="160">
      <alignment horizontal="left" vertical="center" wrapText="1"/>
    </xf>
    <xf numFmtId="49" fontId="133" fillId="0" borderId="131">
      <alignment horizontal="center" vertical="center" wrapText="1"/>
    </xf>
    <xf numFmtId="49" fontId="133" fillId="0" borderId="131">
      <alignment horizontal="right" vertical="center" wrapText="1"/>
    </xf>
    <xf numFmtId="0" fontId="133" fillId="0" borderId="153">
      <alignment horizontal="center" vertical="center" wrapText="1"/>
    </xf>
    <xf numFmtId="0" fontId="133" fillId="0" borderId="153">
      <alignment horizontal="right" vertical="center" wrapText="1"/>
    </xf>
    <xf numFmtId="0" fontId="133" fillId="0" borderId="155">
      <alignment horizontal="right" vertical="center" wrapText="1"/>
    </xf>
    <xf numFmtId="49" fontId="133" fillId="0" borderId="159">
      <alignment horizontal="left" vertical="center" wrapText="1"/>
    </xf>
    <xf numFmtId="49" fontId="133" fillId="0" borderId="153">
      <alignment horizontal="center" vertical="center" wrapText="1"/>
    </xf>
    <xf numFmtId="49" fontId="133" fillId="0" borderId="153">
      <alignment horizontal="right" vertical="center" wrapText="1"/>
    </xf>
    <xf numFmtId="0" fontId="134" fillId="0" borderId="0">
      <alignment horizontal="right" vertical="center" wrapText="1"/>
    </xf>
    <xf numFmtId="0" fontId="134" fillId="0" borderId="150">
      <alignment horizontal="center" vertical="center" wrapText="1"/>
    </xf>
    <xf numFmtId="0" fontId="134" fillId="0" borderId="150">
      <alignment horizontal="right" vertical="center" wrapText="1"/>
    </xf>
    <xf numFmtId="0" fontId="134" fillId="0" borderId="151">
      <alignment horizontal="right" vertical="center" wrapText="1"/>
    </xf>
    <xf numFmtId="49" fontId="135" fillId="0" borderId="137">
      <alignment horizontal="center" wrapText="1"/>
    </xf>
    <xf numFmtId="49" fontId="134" fillId="0" borderId="129">
      <alignment horizontal="left" vertical="center" wrapText="1"/>
    </xf>
    <xf numFmtId="49" fontId="134" fillId="0" borderId="130">
      <alignment horizontal="right" vertical="center" wrapText="1"/>
    </xf>
    <xf numFmtId="0" fontId="133" fillId="0" borderId="132">
      <alignment horizontal="left" vertical="center" wrapText="1"/>
    </xf>
    <xf numFmtId="0" fontId="133" fillId="0" borderId="128">
      <alignment horizontal="left" vertical="center" wrapText="1"/>
    </xf>
    <xf numFmtId="0" fontId="133" fillId="0" borderId="158">
      <alignment horizontal="left" vertical="center" wrapText="1"/>
    </xf>
    <xf numFmtId="49" fontId="134" fillId="0" borderId="133">
      <alignment horizontal="center" vertical="top" wrapText="1"/>
    </xf>
    <xf numFmtId="49" fontId="133" fillId="0" borderId="0">
      <alignment horizontal="right" vertical="center"/>
    </xf>
    <xf numFmtId="0" fontId="133" fillId="0" borderId="157">
      <alignment horizontal="left" vertical="center" wrapText="1"/>
    </xf>
    <xf numFmtId="0" fontId="138" fillId="0" borderId="130">
      <alignment horizontal="center" vertical="center" wrapText="1"/>
    </xf>
    <xf numFmtId="49" fontId="138" fillId="0" borderId="130">
      <alignment horizontal="left" vertical="center" wrapText="1"/>
    </xf>
    <xf numFmtId="0" fontId="138" fillId="0" borderId="135">
      <alignment horizontal="center" vertical="center" wrapText="1"/>
    </xf>
    <xf numFmtId="0" fontId="138" fillId="0" borderId="135">
      <alignment horizontal="right" vertical="center" wrapText="1"/>
    </xf>
    <xf numFmtId="0" fontId="138" fillId="0" borderId="136">
      <alignment horizontal="right" vertical="center" wrapText="1"/>
    </xf>
    <xf numFmtId="0" fontId="138" fillId="0" borderId="134">
      <alignment horizontal="right" vertical="center" wrapText="1"/>
    </xf>
    <xf numFmtId="0" fontId="138" fillId="0" borderId="129">
      <alignment horizontal="left" vertical="center" wrapText="1"/>
    </xf>
    <xf numFmtId="0" fontId="138" fillId="0" borderId="130">
      <alignment horizontal="right" vertical="center" wrapText="1"/>
    </xf>
    <xf numFmtId="0" fontId="138" fillId="0" borderId="130">
      <alignment horizontal="left" vertical="center" wrapText="1"/>
    </xf>
    <xf numFmtId="17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174" fontId="141" fillId="0" borderId="0"/>
    <xf numFmtId="0" fontId="139" fillId="0" borderId="0">
      <alignment horizontal="left" vertical="center"/>
    </xf>
    <xf numFmtId="0" fontId="139" fillId="0" borderId="128">
      <alignment horizontal="right" vertical="center"/>
    </xf>
    <xf numFmtId="0" fontId="139" fillId="0" borderId="128">
      <alignment horizontal="right" vertical="center" wrapText="1"/>
    </xf>
    <xf numFmtId="0" fontId="139" fillId="0" borderId="149">
      <alignment horizontal="center" vertical="center" wrapText="1"/>
    </xf>
    <xf numFmtId="0" fontId="139" fillId="0" borderId="161">
      <alignment horizontal="center" vertical="center" wrapText="1"/>
    </xf>
    <xf numFmtId="0" fontId="139" fillId="0" borderId="130">
      <alignment horizontal="center" vertical="center" wrapText="1"/>
    </xf>
    <xf numFmtId="0" fontId="140" fillId="0" borderId="0">
      <alignment horizontal="left" vertical="center"/>
    </xf>
    <xf numFmtId="0" fontId="139" fillId="0" borderId="149">
      <alignment horizontal="left" vertical="center" wrapText="1"/>
    </xf>
    <xf numFmtId="0" fontId="139" fillId="0" borderId="153">
      <alignment horizontal="left" vertical="center" wrapText="1"/>
    </xf>
    <xf numFmtId="0" fontId="139" fillId="0" borderId="153">
      <alignment horizontal="center" vertical="center" wrapText="1"/>
    </xf>
    <xf numFmtId="0" fontId="139" fillId="0" borderId="153">
      <alignment horizontal="center" vertical="center" wrapText="1"/>
    </xf>
    <xf numFmtId="0" fontId="139" fillId="0" borderId="162">
      <alignment horizontal="left" vertical="center" wrapText="1"/>
    </xf>
    <xf numFmtId="0" fontId="139" fillId="0" borderId="162">
      <alignment horizontal="center" vertical="center" wrapText="1"/>
    </xf>
    <xf numFmtId="0" fontId="139" fillId="0" borderId="162">
      <alignment horizontal="center" vertical="center" wrapText="1"/>
    </xf>
    <xf numFmtId="0" fontId="140" fillId="0" borderId="163">
      <alignment horizontal="left" vertical="center" wrapText="1"/>
    </xf>
    <xf numFmtId="0" fontId="140" fillId="0" borderId="163">
      <alignment horizontal="center" vertical="center" wrapText="1"/>
    </xf>
    <xf numFmtId="0" fontId="140" fillId="0" borderId="163">
      <alignment horizontal="center" vertical="center" wrapText="1"/>
    </xf>
    <xf numFmtId="0" fontId="140" fillId="0" borderId="0">
      <alignment horizontal="right" vertical="center"/>
    </xf>
    <xf numFmtId="0" fontId="139" fillId="0" borderId="164">
      <alignment horizontal="left" vertical="center" wrapText="1"/>
    </xf>
    <xf numFmtId="0" fontId="139" fillId="0" borderId="164">
      <alignment horizontal="center" vertical="center" wrapText="1"/>
    </xf>
    <xf numFmtId="0" fontId="139" fillId="0" borderId="164">
      <alignment horizontal="center" vertical="center" wrapText="1"/>
    </xf>
    <xf numFmtId="0" fontId="139" fillId="0" borderId="131">
      <alignment horizontal="left" vertical="center" wrapText="1"/>
    </xf>
    <xf numFmtId="0" fontId="139" fillId="0" borderId="131">
      <alignment horizontal="center" vertical="center" wrapText="1"/>
    </xf>
    <xf numFmtId="0" fontId="139" fillId="0" borderId="131">
      <alignment horizontal="center" vertical="center" wrapText="1"/>
    </xf>
    <xf numFmtId="0" fontId="139" fillId="0" borderId="150">
      <alignment horizontal="left" vertical="center" wrapText="1"/>
    </xf>
    <xf numFmtId="0" fontId="139" fillId="0" borderId="0">
      <alignment horizontal="left" vertical="center"/>
    </xf>
    <xf numFmtId="0" fontId="139" fillId="0" borderId="0">
      <alignment horizontal="left" vertical="center" wrapText="1"/>
    </xf>
    <xf numFmtId="0" fontId="140" fillId="0" borderId="0">
      <alignment horizontal="left" vertical="center"/>
    </xf>
    <xf numFmtId="0" fontId="139" fillId="0" borderId="0">
      <alignment horizontal="left" vertical="center" wrapText="1"/>
    </xf>
    <xf numFmtId="0" fontId="140" fillId="0" borderId="0">
      <alignment horizontal="center" vertical="center" wrapText="1"/>
    </xf>
    <xf numFmtId="0" fontId="139" fillId="0" borderId="128">
      <alignment horizontal="left" vertical="center"/>
    </xf>
    <xf numFmtId="0" fontId="142" fillId="0" borderId="0"/>
    <xf numFmtId="0" fontId="128" fillId="0" borderId="0"/>
    <xf numFmtId="0" fontId="128" fillId="0" borderId="0"/>
    <xf numFmtId="0" fontId="143" fillId="0" borderId="0"/>
    <xf numFmtId="0" fontId="130" fillId="0" borderId="0"/>
    <xf numFmtId="0" fontId="130" fillId="0" borderId="0"/>
    <xf numFmtId="0" fontId="9" fillId="0" borderId="0"/>
    <xf numFmtId="0" fontId="143" fillId="0" borderId="0"/>
    <xf numFmtId="173" fontId="143" fillId="0" borderId="0" applyFont="0" applyFill="0" applyBorder="0" applyAlignment="0" applyProtection="0"/>
    <xf numFmtId="0" fontId="144" fillId="0" borderId="0" applyNumberFormat="0" applyFill="0" applyBorder="0" applyProtection="0">
      <alignment vertical="top" wrapText="1"/>
    </xf>
    <xf numFmtId="173" fontId="144" fillId="0" borderId="0" applyFont="0" applyFill="0" applyBorder="0" applyAlignment="0" applyProtection="0"/>
    <xf numFmtId="0" fontId="144" fillId="0" borderId="0" applyNumberFormat="0" applyFill="0" applyBorder="0" applyProtection="0">
      <alignment vertical="top" wrapText="1"/>
    </xf>
    <xf numFmtId="0" fontId="144" fillId="0" borderId="0" applyNumberFormat="0" applyFill="0" applyBorder="0" applyProtection="0">
      <alignment vertical="top" wrapText="1"/>
    </xf>
    <xf numFmtId="0" fontId="21" fillId="0" borderId="0"/>
    <xf numFmtId="0" fontId="128" fillId="0" borderId="0"/>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31" fillId="0" borderId="0"/>
    <xf numFmtId="0" fontId="16" fillId="0" borderId="0">
      <alignment vertical="top"/>
    </xf>
    <xf numFmtId="0" fontId="16" fillId="0" borderId="0">
      <alignment vertical="top"/>
    </xf>
    <xf numFmtId="0" fontId="146" fillId="0" borderId="0"/>
    <xf numFmtId="0" fontId="21" fillId="0" borderId="0"/>
    <xf numFmtId="0" fontId="9" fillId="0" borderId="0"/>
    <xf numFmtId="0" fontId="31" fillId="0" borderId="0"/>
    <xf numFmtId="175" fontId="145" fillId="0" borderId="0" applyFont="0" applyFill="0" applyBorder="0" applyAlignment="0" applyProtection="0"/>
    <xf numFmtId="175" fontId="145" fillId="0" borderId="0" applyFont="0" applyFill="0" applyBorder="0" applyAlignment="0" applyProtection="0"/>
    <xf numFmtId="0" fontId="9" fillId="0" borderId="0"/>
    <xf numFmtId="173" fontId="128"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0" fontId="9" fillId="0" borderId="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0" fontId="9" fillId="0" borderId="0"/>
    <xf numFmtId="9" fontId="128" fillId="0" borderId="0" applyFont="0" applyFill="0" applyBorder="0" applyAlignment="0" applyProtection="0"/>
    <xf numFmtId="43" fontId="9" fillId="0" borderId="0" applyFont="0" applyFill="0" applyBorder="0" applyAlignment="0" applyProtection="0"/>
    <xf numFmtId="0" fontId="21" fillId="0" borderId="0"/>
    <xf numFmtId="0" fontId="31" fillId="0" borderId="0"/>
    <xf numFmtId="175" fontId="145"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147" fillId="0" borderId="0"/>
    <xf numFmtId="0" fontId="9" fillId="0" borderId="0"/>
    <xf numFmtId="0" fontId="148" fillId="0" borderId="0"/>
    <xf numFmtId="0" fontId="9" fillId="0" borderId="0"/>
    <xf numFmtId="0" fontId="9" fillId="0" borderId="0"/>
    <xf numFmtId="43" fontId="145"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21" fillId="0" borderId="0"/>
    <xf numFmtId="0" fontId="9" fillId="0" borderId="0"/>
    <xf numFmtId="165" fontId="9" fillId="0" borderId="0" applyFont="0" applyFill="0" applyBorder="0" applyAlignment="0" applyProtection="0"/>
    <xf numFmtId="0" fontId="9" fillId="0" borderId="0"/>
    <xf numFmtId="17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0" fontId="9" fillId="0" borderId="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129" fillId="0" borderId="0"/>
    <xf numFmtId="165" fontId="128"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10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12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0" fontId="9" fillId="0" borderId="0"/>
    <xf numFmtId="0" fontId="9" fillId="0" borderId="0"/>
    <xf numFmtId="165" fontId="148" fillId="0" borderId="0" applyFont="0" applyFill="0" applyBorder="0" applyAlignment="0" applyProtection="0"/>
    <xf numFmtId="9" fontId="148" fillId="0" borderId="0" applyFont="0" applyFill="0" applyBorder="0" applyAlignment="0" applyProtection="0"/>
    <xf numFmtId="0" fontId="16" fillId="0" borderId="0"/>
    <xf numFmtId="164" fontId="106" fillId="0" borderId="0" applyFont="0" applyFill="0" applyBorder="0" applyAlignment="0" applyProtection="0"/>
    <xf numFmtId="165" fontId="106"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164" fontId="106"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165" fontId="106"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165" fontId="106"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128" fillId="0" borderId="0"/>
    <xf numFmtId="0" fontId="9" fillId="0" borderId="0"/>
    <xf numFmtId="165" fontId="9" fillId="0" borderId="0" applyFont="0" applyFill="0" applyBorder="0" applyAlignment="0" applyProtection="0"/>
    <xf numFmtId="0" fontId="31"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0" fontId="21" fillId="0" borderId="0"/>
    <xf numFmtId="0" fontId="21" fillId="0" borderId="0"/>
    <xf numFmtId="0" fontId="21" fillId="0" borderId="0"/>
    <xf numFmtId="0" fontId="9" fillId="0" borderId="0"/>
    <xf numFmtId="0" fontId="131" fillId="0" borderId="0"/>
    <xf numFmtId="165" fontId="131" fillId="0" borderId="0" applyFont="0" applyFill="0" applyBorder="0" applyAlignment="0" applyProtection="0"/>
    <xf numFmtId="0" fontId="9" fillId="0" borderId="0"/>
    <xf numFmtId="43" fontId="9" fillId="0" borderId="0" applyFont="0" applyFill="0" applyBorder="0" applyAlignment="0" applyProtection="0"/>
    <xf numFmtId="0" fontId="128" fillId="0" borderId="0"/>
    <xf numFmtId="0" fontId="130" fillId="0" borderId="0"/>
    <xf numFmtId="0" fontId="9" fillId="0" borderId="0"/>
    <xf numFmtId="173" fontId="143" fillId="0" borderId="0" applyFont="0" applyFill="0" applyBorder="0" applyAlignment="0" applyProtection="0"/>
    <xf numFmtId="0" fontId="144" fillId="0" borderId="0" applyNumberFormat="0" applyFill="0" applyBorder="0" applyProtection="0">
      <alignment vertical="top" wrapText="1"/>
    </xf>
    <xf numFmtId="0" fontId="16" fillId="0" borderId="0">
      <alignment vertical="top"/>
    </xf>
    <xf numFmtId="0" fontId="16" fillId="0" borderId="0">
      <alignment vertical="top"/>
    </xf>
    <xf numFmtId="0" fontId="31" fillId="0" borderId="0"/>
    <xf numFmtId="0" fontId="16" fillId="0" borderId="0">
      <alignment vertical="top"/>
    </xf>
    <xf numFmtId="0" fontId="16" fillId="0" borderId="0">
      <alignment vertical="top"/>
    </xf>
    <xf numFmtId="0" fontId="21" fillId="0" borderId="0"/>
    <xf numFmtId="175" fontId="145" fillId="0" borderId="0" applyFont="0" applyFill="0" applyBorder="0" applyAlignment="0" applyProtection="0"/>
    <xf numFmtId="0" fontId="9" fillId="0" borderId="0"/>
    <xf numFmtId="173" fontId="128"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21" fillId="0" borderId="0"/>
    <xf numFmtId="165"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0" fontId="21"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0" fontId="9" fillId="0" borderId="0"/>
    <xf numFmtId="43" fontId="9" fillId="0" borderId="0" applyFont="0" applyFill="0" applyBorder="0" applyAlignment="0" applyProtection="0"/>
    <xf numFmtId="0" fontId="129" fillId="0" borderId="0"/>
    <xf numFmtId="165" fontId="128"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10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165" fontId="9" fillId="0" borderId="0" applyFont="0" applyFill="0" applyBorder="0" applyAlignment="0" applyProtection="0"/>
    <xf numFmtId="165" fontId="106" fillId="0" borderId="0" applyFont="0" applyFill="0" applyBorder="0" applyAlignment="0" applyProtection="0"/>
    <xf numFmtId="164" fontId="106" fillId="0" borderId="0" applyFont="0" applyFill="0" applyBorder="0" applyAlignment="0" applyProtection="0"/>
    <xf numFmtId="0" fontId="126"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6" fillId="0" borderId="0"/>
    <xf numFmtId="0" fontId="129" fillId="0" borderId="0"/>
    <xf numFmtId="165" fontId="128"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165" fontId="128"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126" fillId="0" borderId="0"/>
    <xf numFmtId="0" fontId="126" fillId="0" borderId="0"/>
    <xf numFmtId="0" fontId="7" fillId="0" borderId="0"/>
    <xf numFmtId="0" fontId="7" fillId="0" borderId="0"/>
    <xf numFmtId="0" fontId="106" fillId="0" borderId="0"/>
    <xf numFmtId="0" fontId="6" fillId="0" borderId="0"/>
    <xf numFmtId="0" fontId="106"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1" fillId="0" borderId="0"/>
    <xf numFmtId="0" fontId="31" fillId="0" borderId="0"/>
    <xf numFmtId="0" fontId="3" fillId="0" borderId="0"/>
    <xf numFmtId="0" fontId="3" fillId="0" borderId="0"/>
    <xf numFmtId="0" fontId="3" fillId="0" borderId="0"/>
    <xf numFmtId="0" fontId="172" fillId="0" borderId="0"/>
    <xf numFmtId="0" fontId="3" fillId="0" borderId="0"/>
    <xf numFmtId="0" fontId="3" fillId="0" borderId="0"/>
    <xf numFmtId="0" fontId="142" fillId="0" borderId="0"/>
    <xf numFmtId="0" fontId="3" fillId="0" borderId="0"/>
    <xf numFmtId="0" fontId="3" fillId="0" borderId="0"/>
    <xf numFmtId="0" fontId="21" fillId="0" borderId="0"/>
    <xf numFmtId="0" fontId="21" fillId="0" borderId="0"/>
    <xf numFmtId="0" fontId="3" fillId="0" borderId="0"/>
    <xf numFmtId="0" fontId="31" fillId="0" borderId="0"/>
    <xf numFmtId="0" fontId="3" fillId="0" borderId="0"/>
    <xf numFmtId="0" fontId="3" fillId="0" borderId="0"/>
    <xf numFmtId="0" fontId="3" fillId="0" borderId="0"/>
    <xf numFmtId="0" fontId="31" fillId="0" borderId="0"/>
    <xf numFmtId="0" fontId="31" fillId="0" borderId="0"/>
    <xf numFmtId="0" fontId="3" fillId="0" borderId="0"/>
    <xf numFmtId="0" fontId="31" fillId="0" borderId="0"/>
    <xf numFmtId="0" fontId="3" fillId="0" borderId="0"/>
    <xf numFmtId="0" fontId="31" fillId="0" borderId="0"/>
    <xf numFmtId="0" fontId="3" fillId="0" borderId="0"/>
    <xf numFmtId="0" fontId="31" fillId="0" borderId="0"/>
    <xf numFmtId="0" fontId="3" fillId="0" borderId="0"/>
    <xf numFmtId="0" fontId="3" fillId="0" borderId="0"/>
    <xf numFmtId="0" fontId="3" fillId="0" borderId="0"/>
    <xf numFmtId="0" fontId="31" fillId="0" borderId="0"/>
    <xf numFmtId="0" fontId="3" fillId="0" borderId="0"/>
    <xf numFmtId="0" fontId="31" fillId="0" borderId="0"/>
    <xf numFmtId="0" fontId="3" fillId="0" borderId="0"/>
    <xf numFmtId="0" fontId="31" fillId="0" borderId="0"/>
    <xf numFmtId="165" fontId="3" fillId="0" borderId="0" applyFont="0" applyFill="0" applyBorder="0" applyAlignment="0" applyProtection="0"/>
    <xf numFmtId="165" fontId="3" fillId="0" borderId="0" applyFont="0" applyFill="0" applyBorder="0" applyAlignment="0" applyProtection="0"/>
    <xf numFmtId="0" fontId="3" fillId="0" borderId="0"/>
    <xf numFmtId="165" fontId="31" fillId="0" borderId="0" applyFont="0" applyFill="0" applyBorder="0" applyAlignment="0" applyProtection="0"/>
    <xf numFmtId="0" fontId="2" fillId="0" borderId="0"/>
    <xf numFmtId="0" fontId="2" fillId="0" borderId="0"/>
    <xf numFmtId="0" fontId="2" fillId="0" borderId="0"/>
    <xf numFmtId="0" fontId="126" fillId="0" borderId="0">
      <alignment horizontal="left"/>
    </xf>
    <xf numFmtId="0" fontId="2" fillId="0" borderId="0"/>
    <xf numFmtId="0" fontId="106" fillId="0" borderId="0"/>
    <xf numFmtId="0" fontId="106" fillId="0" borderId="0"/>
    <xf numFmtId="9" fontId="21" fillId="0" borderId="0" applyFont="0" applyFill="0" applyBorder="0" applyAlignment="0" applyProtection="0"/>
    <xf numFmtId="166" fontId="31" fillId="0" borderId="0" applyFont="0" applyFill="0" applyBorder="0" applyAlignment="0" applyProtection="0"/>
    <xf numFmtId="0" fontId="1" fillId="0" borderId="0"/>
    <xf numFmtId="0" fontId="1" fillId="0" borderId="0"/>
    <xf numFmtId="0" fontId="1" fillId="0" borderId="0"/>
    <xf numFmtId="0" fontId="106" fillId="0" borderId="0"/>
    <xf numFmtId="0" fontId="182" fillId="0" borderId="0" applyNumberFormat="0" applyFill="0" applyBorder="0" applyAlignment="0" applyProtection="0"/>
    <xf numFmtId="0" fontId="183" fillId="0" borderId="0" applyNumberFormat="0" applyFill="0" applyBorder="0" applyAlignment="0" applyProtection="0"/>
    <xf numFmtId="0" fontId="106" fillId="0" borderId="0"/>
  </cellStyleXfs>
  <cellXfs count="5200">
    <xf numFmtId="0" fontId="0" fillId="0" borderId="0" xfId="0"/>
    <xf numFmtId="0" fontId="16" fillId="0" borderId="0" xfId="1"/>
    <xf numFmtId="0" fontId="20" fillId="0" borderId="0" xfId="1" applyFont="1"/>
    <xf numFmtId="0" fontId="23" fillId="0" borderId="6" xfId="0" applyFont="1" applyBorder="1" applyAlignment="1">
      <alignment horizontal="center" vertical="center" textRotation="90"/>
    </xf>
    <xf numFmtId="0" fontId="23" fillId="0" borderId="7" xfId="0" applyFont="1" applyBorder="1" applyAlignment="1">
      <alignment horizontal="center" vertical="center" textRotation="90"/>
    </xf>
    <xf numFmtId="0" fontId="17" fillId="0" borderId="25" xfId="0" applyFont="1" applyBorder="1" applyAlignment="1">
      <alignment horizontal="center" vertical="center"/>
    </xf>
    <xf numFmtId="0" fontId="19" fillId="0" borderId="18" xfId="1" applyFont="1" applyBorder="1" applyAlignment="1">
      <alignment vertical="center"/>
    </xf>
    <xf numFmtId="0" fontId="19" fillId="0" borderId="16" xfId="1" applyFont="1" applyBorder="1" applyAlignment="1">
      <alignment vertical="center"/>
    </xf>
    <xf numFmtId="0" fontId="16" fillId="0" borderId="0" xfId="1" applyAlignment="1">
      <alignment vertical="center"/>
    </xf>
    <xf numFmtId="0" fontId="19" fillId="0" borderId="33" xfId="1" applyFont="1" applyBorder="1" applyAlignment="1">
      <alignment vertical="center"/>
    </xf>
    <xf numFmtId="0" fontId="19" fillId="0" borderId="29" xfId="1" applyFont="1" applyBorder="1" applyAlignment="1">
      <alignment horizontal="left" vertical="center"/>
    </xf>
    <xf numFmtId="0" fontId="22" fillId="0" borderId="6" xfId="1" applyFont="1" applyBorder="1" applyAlignment="1">
      <alignment horizontal="center" vertical="center"/>
    </xf>
    <xf numFmtId="0" fontId="19" fillId="0" borderId="19" xfId="1" applyFont="1" applyBorder="1" applyAlignment="1">
      <alignment horizontal="left" vertical="center"/>
    </xf>
    <xf numFmtId="0" fontId="24" fillId="4" borderId="24" xfId="1" applyFont="1" applyFill="1" applyBorder="1" applyAlignment="1">
      <alignment vertical="center"/>
    </xf>
    <xf numFmtId="0" fontId="19" fillId="0" borderId="32" xfId="1" applyFont="1" applyBorder="1" applyAlignment="1">
      <alignment horizontal="left" vertical="center"/>
    </xf>
    <xf numFmtId="0" fontId="24" fillId="3" borderId="19" xfId="1" applyFont="1" applyFill="1" applyBorder="1" applyAlignment="1">
      <alignment vertical="center"/>
    </xf>
    <xf numFmtId="0" fontId="24" fillId="0" borderId="32" xfId="1" applyFont="1" applyFill="1" applyBorder="1" applyAlignment="1">
      <alignment vertical="center"/>
    </xf>
    <xf numFmtId="0" fontId="24" fillId="4" borderId="19" xfId="1" applyFont="1" applyFill="1" applyBorder="1" applyAlignment="1">
      <alignment vertical="center"/>
    </xf>
    <xf numFmtId="0" fontId="19" fillId="0" borderId="24" xfId="1" applyFont="1" applyFill="1" applyBorder="1" applyAlignment="1">
      <alignment vertical="center"/>
    </xf>
    <xf numFmtId="0" fontId="19" fillId="0" borderId="24" xfId="1" applyFont="1" applyFill="1" applyBorder="1" applyAlignment="1">
      <alignment horizontal="left" vertical="center"/>
    </xf>
    <xf numFmtId="0" fontId="24" fillId="0" borderId="7" xfId="1" applyFont="1" applyBorder="1" applyAlignment="1">
      <alignment vertical="center"/>
    </xf>
    <xf numFmtId="0" fontId="19" fillId="0" borderId="32" xfId="1" applyFont="1" applyBorder="1" applyAlignment="1">
      <alignment vertical="center"/>
    </xf>
    <xf numFmtId="0" fontId="24" fillId="4" borderId="33" xfId="1" applyFont="1" applyFill="1" applyBorder="1" applyAlignment="1">
      <alignment vertical="center"/>
    </xf>
    <xf numFmtId="0" fontId="24" fillId="6" borderId="2" xfId="1" applyFont="1" applyFill="1" applyBorder="1" applyAlignment="1">
      <alignment vertical="center"/>
    </xf>
    <xf numFmtId="0" fontId="19" fillId="0" borderId="21" xfId="1" applyFont="1" applyBorder="1" applyAlignment="1">
      <alignment vertical="center"/>
    </xf>
    <xf numFmtId="0" fontId="19" fillId="0" borderId="21" xfId="1" applyFont="1" applyBorder="1" applyAlignment="1">
      <alignment horizontal="left" vertical="center"/>
    </xf>
    <xf numFmtId="0" fontId="23" fillId="0" borderId="7" xfId="1" applyFont="1" applyBorder="1" applyAlignment="1">
      <alignment horizontal="center" vertical="center"/>
    </xf>
    <xf numFmtId="0" fontId="24" fillId="4" borderId="31" xfId="1" applyFont="1" applyFill="1" applyBorder="1" applyAlignment="1">
      <alignment vertical="center"/>
    </xf>
    <xf numFmtId="0" fontId="24" fillId="6" borderId="21" xfId="1" applyFont="1" applyFill="1" applyBorder="1" applyAlignment="1">
      <alignment vertical="center"/>
    </xf>
    <xf numFmtId="0" fontId="24" fillId="3" borderId="32" xfId="1" applyFont="1" applyFill="1" applyBorder="1" applyAlignment="1">
      <alignment vertical="center"/>
    </xf>
    <xf numFmtId="0" fontId="19" fillId="0" borderId="0" xfId="1" applyFont="1" applyAlignment="1">
      <alignment vertical="center"/>
    </xf>
    <xf numFmtId="0" fontId="19" fillId="0" borderId="23" xfId="1" applyFont="1" applyBorder="1" applyAlignment="1">
      <alignment vertical="center"/>
    </xf>
    <xf numFmtId="0" fontId="19" fillId="0" borderId="27" xfId="1" applyFont="1" applyBorder="1" applyAlignment="1">
      <alignment vertical="center"/>
    </xf>
    <xf numFmtId="0" fontId="24" fillId="0" borderId="25" xfId="1" applyFont="1" applyBorder="1" applyAlignment="1">
      <alignment horizontal="center" vertical="center"/>
    </xf>
    <xf numFmtId="0" fontId="24" fillId="6" borderId="1" xfId="1" applyFont="1" applyFill="1" applyBorder="1" applyAlignment="1">
      <alignment vertical="center"/>
    </xf>
    <xf numFmtId="0" fontId="19" fillId="0" borderId="29" xfId="1" applyFont="1" applyFill="1" applyBorder="1" applyAlignment="1">
      <alignment vertical="center"/>
    </xf>
    <xf numFmtId="0" fontId="24" fillId="3" borderId="18" xfId="1" applyFont="1" applyFill="1" applyBorder="1" applyAlignment="1">
      <alignment vertical="center"/>
    </xf>
    <xf numFmtId="0" fontId="24" fillId="6" borderId="24" xfId="1" applyFont="1" applyFill="1" applyBorder="1" applyAlignment="1">
      <alignment vertical="center" wrapText="1"/>
    </xf>
    <xf numFmtId="4" fontId="16" fillId="0" borderId="0" xfId="1" applyNumberFormat="1" applyAlignment="1">
      <alignment horizontal="center" vertical="center"/>
    </xf>
    <xf numFmtId="4" fontId="25" fillId="0" borderId="30" xfId="1" applyNumberFormat="1" applyFont="1" applyFill="1" applyBorder="1" applyAlignment="1">
      <alignment horizontal="center" vertical="center"/>
    </xf>
    <xf numFmtId="4" fontId="25" fillId="0" borderId="28" xfId="1" applyNumberFormat="1" applyFont="1" applyFill="1" applyBorder="1" applyAlignment="1">
      <alignment horizontal="center" vertical="center"/>
    </xf>
    <xf numFmtId="166" fontId="27" fillId="0" borderId="23" xfId="6" applyFont="1" applyFill="1" applyBorder="1" applyAlignment="1">
      <alignment horizontal="center" vertical="center"/>
    </xf>
    <xf numFmtId="9" fontId="27" fillId="0" borderId="30" xfId="7" applyFont="1" applyFill="1" applyBorder="1" applyAlignment="1">
      <alignment horizontal="center" vertical="center"/>
    </xf>
    <xf numFmtId="4" fontId="27" fillId="0" borderId="21" xfId="1" applyNumberFormat="1" applyFont="1" applyFill="1" applyBorder="1" applyAlignment="1">
      <alignment horizontal="center" vertical="center"/>
    </xf>
    <xf numFmtId="10" fontId="27" fillId="0" borderId="16" xfId="1" applyNumberFormat="1" applyFont="1" applyFill="1" applyBorder="1" applyAlignment="1">
      <alignment horizontal="center" vertical="center"/>
    </xf>
    <xf numFmtId="0" fontId="27" fillId="0" borderId="14" xfId="1" applyNumberFormat="1" applyFont="1" applyFill="1" applyBorder="1" applyAlignment="1">
      <alignment horizontal="center" vertical="center"/>
    </xf>
    <xf numFmtId="4" fontId="26" fillId="0" borderId="18" xfId="1" applyNumberFormat="1" applyFont="1" applyFill="1" applyBorder="1" applyAlignment="1">
      <alignment horizontal="center" vertical="center"/>
    </xf>
    <xf numFmtId="4" fontId="26" fillId="0" borderId="15" xfId="1" applyNumberFormat="1" applyFont="1" applyFill="1" applyBorder="1" applyAlignment="1">
      <alignment horizontal="center" vertical="center"/>
    </xf>
    <xf numFmtId="10" fontId="26" fillId="0" borderId="13" xfId="1" applyNumberFormat="1" applyFont="1" applyFill="1" applyBorder="1" applyAlignment="1">
      <alignment horizontal="center" vertical="center"/>
    </xf>
    <xf numFmtId="4" fontId="27" fillId="0" borderId="16" xfId="1" applyNumberFormat="1" applyFont="1" applyFill="1" applyBorder="1" applyAlignment="1">
      <alignment horizontal="center" vertical="center"/>
    </xf>
    <xf numFmtId="4" fontId="27" fillId="0" borderId="31" xfId="1" applyNumberFormat="1" applyFont="1" applyFill="1" applyBorder="1" applyAlignment="1">
      <alignment horizontal="center" vertical="center"/>
    </xf>
    <xf numFmtId="4" fontId="27" fillId="0" borderId="17" xfId="1" applyNumberFormat="1" applyFont="1" applyFill="1" applyBorder="1" applyAlignment="1">
      <alignment horizontal="center" vertical="center"/>
    </xf>
    <xf numFmtId="10" fontId="27" fillId="0" borderId="34" xfId="1" applyNumberFormat="1" applyFont="1" applyFill="1" applyBorder="1" applyAlignment="1">
      <alignment horizontal="center" vertical="center"/>
    </xf>
    <xf numFmtId="4" fontId="20" fillId="6" borderId="25" xfId="1" applyNumberFormat="1" applyFont="1" applyFill="1" applyBorder="1" applyAlignment="1">
      <alignment horizontal="center" vertical="center"/>
    </xf>
    <xf numFmtId="10" fontId="24" fillId="3" borderId="18" xfId="1" applyNumberFormat="1" applyFont="1" applyFill="1" applyBorder="1" applyAlignment="1">
      <alignment horizontal="center" vertical="center"/>
    </xf>
    <xf numFmtId="10" fontId="24" fillId="3" borderId="15" xfId="1" applyNumberFormat="1" applyFont="1" applyFill="1" applyBorder="1" applyAlignment="1">
      <alignment horizontal="center" vertical="center"/>
    </xf>
    <xf numFmtId="10" fontId="24" fillId="0" borderId="31" xfId="1" applyNumberFormat="1" applyFont="1" applyFill="1" applyBorder="1" applyAlignment="1">
      <alignment horizontal="center" vertical="center"/>
    </xf>
    <xf numFmtId="10" fontId="24" fillId="0" borderId="17" xfId="1" applyNumberFormat="1" applyFont="1" applyFill="1" applyBorder="1" applyAlignment="1">
      <alignment horizontal="center" vertical="center"/>
    </xf>
    <xf numFmtId="10" fontId="24" fillId="0" borderId="34" xfId="1" applyNumberFormat="1" applyFont="1" applyFill="1" applyBorder="1" applyAlignment="1">
      <alignment horizontal="center" vertical="center"/>
    </xf>
    <xf numFmtId="4" fontId="24" fillId="4" borderId="18" xfId="1" applyNumberFormat="1" applyFont="1" applyFill="1" applyBorder="1" applyAlignment="1">
      <alignment horizontal="center" vertical="center"/>
    </xf>
    <xf numFmtId="4" fontId="24" fillId="4" borderId="15" xfId="1" applyNumberFormat="1" applyFont="1" applyFill="1" applyBorder="1" applyAlignment="1">
      <alignment horizontal="center" vertical="center"/>
    </xf>
    <xf numFmtId="10" fontId="26" fillId="5" borderId="34" xfId="1" applyNumberFormat="1" applyFont="1" applyFill="1" applyBorder="1" applyAlignment="1">
      <alignment horizontal="center" vertical="center"/>
    </xf>
    <xf numFmtId="10" fontId="26" fillId="5" borderId="14" xfId="1" applyNumberFormat="1" applyFont="1" applyFill="1" applyBorder="1" applyAlignment="1">
      <alignment horizontal="center" vertical="center"/>
    </xf>
    <xf numFmtId="10" fontId="24" fillId="4" borderId="14" xfId="1" applyNumberFormat="1" applyFont="1" applyFill="1" applyBorder="1" applyAlignment="1">
      <alignment horizontal="center" vertical="center"/>
    </xf>
    <xf numFmtId="10" fontId="26" fillId="0" borderId="34" xfId="1" applyNumberFormat="1" applyFont="1" applyFill="1" applyBorder="1" applyAlignment="1">
      <alignment horizontal="center" vertical="center"/>
    </xf>
    <xf numFmtId="4" fontId="24" fillId="6" borderId="2" xfId="1" applyNumberFormat="1" applyFont="1" applyFill="1" applyBorder="1" applyAlignment="1">
      <alignment horizontal="center" vertical="center"/>
    </xf>
    <xf numFmtId="4" fontId="24" fillId="6" borderId="25" xfId="1" applyNumberFormat="1" applyFont="1" applyFill="1" applyBorder="1" applyAlignment="1">
      <alignment horizontal="center" vertical="center"/>
    </xf>
    <xf numFmtId="4" fontId="24" fillId="4" borderId="17" xfId="1" applyNumberFormat="1" applyFont="1" applyFill="1" applyBorder="1" applyAlignment="1">
      <alignment horizontal="center" vertical="center"/>
    </xf>
    <xf numFmtId="10" fontId="27" fillId="0" borderId="13" xfId="1" applyNumberFormat="1" applyFont="1" applyFill="1" applyBorder="1" applyAlignment="1">
      <alignment horizontal="center" vertical="center"/>
    </xf>
    <xf numFmtId="10" fontId="26" fillId="0" borderId="14" xfId="1" applyNumberFormat="1" applyFont="1" applyFill="1" applyBorder="1" applyAlignment="1">
      <alignment horizontal="center" vertical="center"/>
    </xf>
    <xf numFmtId="4" fontId="28" fillId="6" borderId="16" xfId="1" applyNumberFormat="1" applyFont="1" applyFill="1" applyBorder="1" applyAlignment="1">
      <alignment horizontal="center" vertical="center"/>
    </xf>
    <xf numFmtId="10" fontId="27" fillId="0" borderId="30" xfId="1" applyNumberFormat="1" applyFont="1" applyFill="1" applyBorder="1" applyAlignment="1">
      <alignment horizontal="center" vertical="center"/>
    </xf>
    <xf numFmtId="4" fontId="24" fillId="6" borderId="21" xfId="1" applyNumberFormat="1" applyFont="1" applyFill="1" applyBorder="1" applyAlignment="1">
      <alignment horizontal="center" vertical="center"/>
    </xf>
    <xf numFmtId="4" fontId="24" fillId="6" borderId="16" xfId="1" applyNumberFormat="1" applyFont="1" applyFill="1" applyBorder="1" applyAlignment="1">
      <alignment horizontal="center" vertical="center"/>
    </xf>
    <xf numFmtId="10" fontId="24" fillId="3" borderId="31" xfId="1" applyNumberFormat="1" applyFont="1" applyFill="1" applyBorder="1" applyAlignment="1">
      <alignment horizontal="center" vertical="center"/>
    </xf>
    <xf numFmtId="10" fontId="24" fillId="3" borderId="17" xfId="1" applyNumberFormat="1" applyFont="1" applyFill="1" applyBorder="1" applyAlignment="1">
      <alignment horizontal="center" vertical="center"/>
    </xf>
    <xf numFmtId="4" fontId="19" fillId="0" borderId="0" xfId="1" applyNumberFormat="1" applyFont="1" applyAlignment="1">
      <alignment horizontal="center" vertical="center"/>
    </xf>
    <xf numFmtId="0" fontId="16" fillId="0" borderId="0" xfId="1" applyAlignment="1">
      <alignment horizontal="center" vertical="center"/>
    </xf>
    <xf numFmtId="166" fontId="27" fillId="0" borderId="16" xfId="6" applyFont="1" applyFill="1" applyBorder="1" applyAlignment="1">
      <alignment horizontal="center" vertical="center"/>
    </xf>
    <xf numFmtId="9" fontId="27" fillId="0" borderId="14" xfId="7" applyFont="1" applyFill="1" applyBorder="1" applyAlignment="1">
      <alignment horizontal="center" vertical="center"/>
    </xf>
    <xf numFmtId="10" fontId="24" fillId="0" borderId="28" xfId="1" applyNumberFormat="1" applyFont="1" applyFill="1" applyBorder="1" applyAlignment="1">
      <alignment horizontal="center" vertical="center"/>
    </xf>
    <xf numFmtId="10" fontId="26" fillId="5" borderId="28" xfId="1" applyNumberFormat="1" applyFont="1" applyFill="1" applyBorder="1" applyAlignment="1">
      <alignment horizontal="center" vertical="center"/>
    </xf>
    <xf numFmtId="4" fontId="24" fillId="8" borderId="27" xfId="1" applyNumberFormat="1" applyFont="1" applyFill="1" applyBorder="1" applyAlignment="1">
      <alignment horizontal="center" vertical="center"/>
    </xf>
    <xf numFmtId="0" fontId="24" fillId="11" borderId="5" xfId="1" applyFont="1" applyFill="1" applyBorder="1" applyAlignment="1">
      <alignment horizontal="center" vertical="center"/>
    </xf>
    <xf numFmtId="0" fontId="24" fillId="11" borderId="2" xfId="1" applyFont="1" applyFill="1" applyBorder="1" applyAlignment="1">
      <alignment vertical="center"/>
    </xf>
    <xf numFmtId="4" fontId="24" fillId="11" borderId="2" xfId="1" applyNumberFormat="1" applyFont="1" applyFill="1" applyBorder="1" applyAlignment="1">
      <alignment horizontal="center" vertical="center"/>
    </xf>
    <xf numFmtId="4" fontId="24" fillId="11" borderId="25" xfId="1" applyNumberFormat="1" applyFont="1" applyFill="1" applyBorder="1" applyAlignment="1">
      <alignment horizontal="center" vertical="center"/>
    </xf>
    <xf numFmtId="4" fontId="24" fillId="11" borderId="11" xfId="1" applyNumberFormat="1" applyFont="1" applyFill="1" applyBorder="1" applyAlignment="1">
      <alignment horizontal="center" vertical="center"/>
    </xf>
    <xf numFmtId="0" fontId="20" fillId="11" borderId="0" xfId="1" applyFont="1" applyFill="1"/>
    <xf numFmtId="0" fontId="24" fillId="11" borderId="24" xfId="1" applyFont="1" applyFill="1" applyBorder="1" applyAlignment="1">
      <alignment vertical="center"/>
    </xf>
    <xf numFmtId="4" fontId="24" fillId="11" borderId="21" xfId="1" applyNumberFormat="1" applyFont="1" applyFill="1" applyBorder="1" applyAlignment="1">
      <alignment horizontal="center" vertical="center"/>
    </xf>
    <xf numFmtId="4" fontId="24" fillId="11" borderId="16" xfId="1" applyNumberFormat="1" applyFont="1" applyFill="1" applyBorder="1" applyAlignment="1">
      <alignment horizontal="center" vertical="center"/>
    </xf>
    <xf numFmtId="0" fontId="32" fillId="12" borderId="25" xfId="1" applyFont="1" applyFill="1" applyBorder="1" applyAlignment="1">
      <alignment horizontal="center" vertical="center"/>
    </xf>
    <xf numFmtId="0" fontId="33" fillId="12" borderId="1" xfId="1" applyFont="1" applyFill="1" applyBorder="1" applyAlignment="1">
      <alignment horizontal="center" vertical="center" wrapText="1"/>
    </xf>
    <xf numFmtId="0" fontId="33" fillId="12" borderId="2" xfId="1" applyFont="1" applyFill="1" applyBorder="1" applyAlignment="1">
      <alignment horizontal="center" vertical="center" wrapText="1"/>
    </xf>
    <xf numFmtId="0" fontId="33" fillId="12" borderId="25" xfId="1" applyFont="1" applyFill="1" applyBorder="1" applyAlignment="1">
      <alignment horizontal="center" vertical="center" wrapText="1"/>
    </xf>
    <xf numFmtId="10" fontId="26" fillId="0" borderId="15" xfId="1" applyNumberFormat="1" applyFont="1" applyFill="1" applyBorder="1" applyAlignment="1">
      <alignment horizontal="center" vertical="center"/>
    </xf>
    <xf numFmtId="0" fontId="27" fillId="0" borderId="16" xfId="1" applyNumberFormat="1" applyFont="1" applyFill="1" applyBorder="1" applyAlignment="1">
      <alignment horizontal="center" vertical="center"/>
    </xf>
    <xf numFmtId="10" fontId="27" fillId="0" borderId="17" xfId="1" applyNumberFormat="1" applyFont="1" applyFill="1" applyBorder="1" applyAlignment="1">
      <alignment horizontal="center" vertical="center"/>
    </xf>
    <xf numFmtId="10" fontId="24" fillId="4" borderId="16" xfId="1" applyNumberFormat="1" applyFont="1" applyFill="1" applyBorder="1" applyAlignment="1">
      <alignment horizontal="center" vertical="center"/>
    </xf>
    <xf numFmtId="10" fontId="26" fillId="0" borderId="17" xfId="1" applyNumberFormat="1" applyFont="1" applyFill="1" applyBorder="1" applyAlignment="1">
      <alignment horizontal="center" vertical="center"/>
    </xf>
    <xf numFmtId="0" fontId="27" fillId="0" borderId="30" xfId="1" applyNumberFormat="1" applyFont="1" applyFill="1" applyBorder="1" applyAlignment="1">
      <alignment horizontal="center" vertical="center"/>
    </xf>
    <xf numFmtId="0" fontId="27" fillId="0" borderId="13" xfId="1" applyNumberFormat="1" applyFont="1" applyFill="1" applyBorder="1" applyAlignment="1">
      <alignment horizontal="center" vertical="center"/>
    </xf>
    <xf numFmtId="166" fontId="27" fillId="0" borderId="14" xfId="6" applyFont="1" applyFill="1" applyBorder="1" applyAlignment="1">
      <alignment horizontal="center" vertical="center"/>
    </xf>
    <xf numFmtId="3" fontId="25" fillId="0" borderId="26" xfId="1" applyNumberFormat="1" applyFont="1" applyFill="1" applyBorder="1" applyAlignment="1">
      <alignment horizontal="center" vertical="center"/>
    </xf>
    <xf numFmtId="3" fontId="25" fillId="0" borderId="23" xfId="1" applyNumberFormat="1" applyFont="1" applyFill="1" applyBorder="1" applyAlignment="1">
      <alignment horizontal="center" vertical="center"/>
    </xf>
    <xf numFmtId="3" fontId="27" fillId="0" borderId="23" xfId="6" applyNumberFormat="1" applyFont="1" applyFill="1" applyBorder="1" applyAlignment="1">
      <alignment horizontal="center" vertical="center"/>
    </xf>
    <xf numFmtId="3" fontId="25" fillId="0" borderId="22" xfId="1" applyNumberFormat="1" applyFont="1" applyFill="1" applyBorder="1" applyAlignment="1">
      <alignment horizontal="center" vertical="center"/>
    </xf>
    <xf numFmtId="3" fontId="25" fillId="0" borderId="27" xfId="1" applyNumberFormat="1" applyFont="1" applyFill="1" applyBorder="1" applyAlignment="1">
      <alignment horizontal="center" vertical="center"/>
    </xf>
    <xf numFmtId="3" fontId="24" fillId="11" borderId="2" xfId="1" applyNumberFormat="1" applyFont="1" applyFill="1" applyBorder="1" applyAlignment="1">
      <alignment horizontal="center" vertical="center"/>
    </xf>
    <xf numFmtId="3" fontId="24" fillId="11" borderId="25" xfId="1" applyNumberFormat="1" applyFont="1" applyFill="1" applyBorder="1" applyAlignment="1">
      <alignment horizontal="center" vertical="center"/>
    </xf>
    <xf numFmtId="3" fontId="27" fillId="0" borderId="33" xfId="1" applyNumberFormat="1" applyFont="1" applyFill="1" applyBorder="1" applyAlignment="1">
      <alignment horizontal="center" vertical="center"/>
    </xf>
    <xf numFmtId="3" fontId="27" fillId="0" borderId="26" xfId="1" applyNumberFormat="1" applyFont="1" applyFill="1" applyBorder="1" applyAlignment="1">
      <alignment horizontal="center" vertical="center"/>
    </xf>
    <xf numFmtId="3" fontId="27" fillId="0" borderId="21" xfId="1" applyNumberFormat="1" applyFont="1" applyFill="1" applyBorder="1" applyAlignment="1">
      <alignment horizontal="center" vertical="center"/>
    </xf>
    <xf numFmtId="3" fontId="27" fillId="0" borderId="24" xfId="1" applyNumberFormat="1" applyFont="1" applyFill="1" applyBorder="1" applyAlignment="1">
      <alignment horizontal="center" vertical="center"/>
    </xf>
    <xf numFmtId="3" fontId="27" fillId="0" borderId="29" xfId="1" applyNumberFormat="1" applyFont="1" applyFill="1" applyBorder="1" applyAlignment="1">
      <alignment horizontal="center" vertical="center"/>
    </xf>
    <xf numFmtId="3" fontId="27" fillId="0" borderId="22" xfId="1" applyNumberFormat="1" applyFont="1" applyFill="1" applyBorder="1" applyAlignment="1">
      <alignment horizontal="center" vertical="center"/>
    </xf>
    <xf numFmtId="3" fontId="24" fillId="4" borderId="26" xfId="1" applyNumberFormat="1" applyFont="1" applyFill="1" applyBorder="1" applyAlignment="1">
      <alignment horizontal="center" vertical="center"/>
    </xf>
    <xf numFmtId="3" fontId="24" fillId="4" borderId="23" xfId="1" applyNumberFormat="1" applyFont="1" applyFill="1" applyBorder="1" applyAlignment="1">
      <alignment horizontal="center" vertical="center"/>
    </xf>
    <xf numFmtId="3" fontId="27" fillId="0" borderId="16" xfId="1" applyNumberFormat="1" applyFont="1" applyFill="1" applyBorder="1" applyAlignment="1">
      <alignment horizontal="center" vertical="center"/>
    </xf>
    <xf numFmtId="3" fontId="27" fillId="0" borderId="16" xfId="6" applyNumberFormat="1" applyFont="1" applyFill="1" applyBorder="1" applyAlignment="1">
      <alignment horizontal="center" vertical="center"/>
    </xf>
    <xf numFmtId="3" fontId="27" fillId="0" borderId="27" xfId="1" applyNumberFormat="1" applyFont="1" applyFill="1" applyBorder="1" applyAlignment="1">
      <alignment horizontal="center" vertical="center"/>
    </xf>
    <xf numFmtId="3" fontId="27" fillId="0" borderId="28" xfId="1" applyNumberFormat="1" applyFont="1" applyFill="1" applyBorder="1" applyAlignment="1">
      <alignment horizontal="center" vertical="center"/>
    </xf>
    <xf numFmtId="3" fontId="24" fillId="4" borderId="18" xfId="1" applyNumberFormat="1" applyFont="1" applyFill="1" applyBorder="1" applyAlignment="1">
      <alignment horizontal="center" vertical="center"/>
    </xf>
    <xf numFmtId="3" fontId="26" fillId="5" borderId="31" xfId="1" applyNumberFormat="1" applyFont="1" applyFill="1" applyBorder="1" applyAlignment="1">
      <alignment horizontal="center" vertical="center"/>
    </xf>
    <xf numFmtId="3" fontId="26" fillId="5" borderId="17" xfId="1" applyNumberFormat="1" applyFont="1" applyFill="1" applyBorder="1" applyAlignment="1">
      <alignment horizontal="center" vertical="center"/>
    </xf>
    <xf numFmtId="3" fontId="26" fillId="5" borderId="34" xfId="1" applyNumberFormat="1" applyFont="1" applyFill="1" applyBorder="1" applyAlignment="1">
      <alignment horizontal="center" vertical="center"/>
    </xf>
    <xf numFmtId="3" fontId="24" fillId="4" borderId="15" xfId="1" applyNumberFormat="1" applyFont="1" applyFill="1" applyBorder="1" applyAlignment="1">
      <alignment horizontal="center" vertical="center"/>
    </xf>
    <xf numFmtId="3" fontId="27" fillId="5" borderId="16" xfId="1" applyNumberFormat="1" applyFont="1" applyFill="1" applyBorder="1" applyAlignment="1">
      <alignment horizontal="center" vertical="center"/>
    </xf>
    <xf numFmtId="3" fontId="27" fillId="5" borderId="21" xfId="1" applyNumberFormat="1" applyFont="1" applyFill="1" applyBorder="1" applyAlignment="1">
      <alignment horizontal="center" vertical="center"/>
    </xf>
    <xf numFmtId="3" fontId="26" fillId="5" borderId="21" xfId="1" applyNumberFormat="1" applyFont="1" applyFill="1" applyBorder="1" applyAlignment="1">
      <alignment horizontal="center" vertical="center"/>
    </xf>
    <xf numFmtId="3" fontId="26" fillId="5" borderId="16" xfId="1" applyNumberFormat="1" applyFont="1" applyFill="1" applyBorder="1" applyAlignment="1">
      <alignment horizontal="center" vertical="center"/>
    </xf>
    <xf numFmtId="3" fontId="24" fillId="4" borderId="21" xfId="1" applyNumberFormat="1" applyFont="1" applyFill="1" applyBorder="1" applyAlignment="1">
      <alignment horizontal="center" vertical="center"/>
    </xf>
    <xf numFmtId="3" fontId="24" fillId="4" borderId="16" xfId="1" applyNumberFormat="1" applyFont="1" applyFill="1" applyBorder="1" applyAlignment="1">
      <alignment horizontal="center" vertical="center"/>
    </xf>
    <xf numFmtId="3" fontId="26" fillId="0" borderId="31" xfId="1" applyNumberFormat="1" applyFont="1" applyFill="1" applyBorder="1" applyAlignment="1">
      <alignment horizontal="center" vertical="center"/>
    </xf>
    <xf numFmtId="3" fontId="26" fillId="0" borderId="17" xfId="1" applyNumberFormat="1" applyFont="1" applyFill="1" applyBorder="1" applyAlignment="1">
      <alignment horizontal="center" vertical="center"/>
    </xf>
    <xf numFmtId="3" fontId="26" fillId="0" borderId="34" xfId="1" applyNumberFormat="1" applyFont="1" applyFill="1" applyBorder="1" applyAlignment="1">
      <alignment horizontal="center" vertical="center"/>
    </xf>
    <xf numFmtId="3" fontId="24" fillId="6" borderId="2" xfId="1" applyNumberFormat="1" applyFont="1" applyFill="1" applyBorder="1" applyAlignment="1">
      <alignment horizontal="center" vertical="center"/>
    </xf>
    <xf numFmtId="3" fontId="24" fillId="6" borderId="25" xfId="1" applyNumberFormat="1" applyFont="1" applyFill="1" applyBorder="1" applyAlignment="1">
      <alignment horizontal="center" vertical="center"/>
    </xf>
    <xf numFmtId="3" fontId="24" fillId="4" borderId="31" xfId="1" applyNumberFormat="1" applyFont="1" applyFill="1" applyBorder="1" applyAlignment="1">
      <alignment horizontal="center" vertical="center"/>
    </xf>
    <xf numFmtId="3" fontId="24" fillId="4" borderId="17" xfId="1" applyNumberFormat="1" applyFont="1" applyFill="1" applyBorder="1" applyAlignment="1">
      <alignment horizontal="center" vertical="center"/>
    </xf>
    <xf numFmtId="3" fontId="27" fillId="0" borderId="18" xfId="1" applyNumberFormat="1" applyFont="1" applyFill="1" applyBorder="1" applyAlignment="1">
      <alignment horizontal="center" vertical="center"/>
    </xf>
    <xf numFmtId="3" fontId="27" fillId="0" borderId="15" xfId="1" applyNumberFormat="1" applyFont="1" applyFill="1" applyBorder="1" applyAlignment="1">
      <alignment horizontal="center" vertical="center"/>
    </xf>
    <xf numFmtId="3" fontId="26" fillId="0" borderId="21" xfId="1" applyNumberFormat="1" applyFont="1" applyFill="1" applyBorder="1" applyAlignment="1">
      <alignment horizontal="center" vertical="center"/>
    </xf>
    <xf numFmtId="3" fontId="26" fillId="0" borderId="16" xfId="1" applyNumberFormat="1" applyFont="1" applyFill="1" applyBorder="1" applyAlignment="1">
      <alignment horizontal="center" vertical="center"/>
    </xf>
    <xf numFmtId="3" fontId="26" fillId="0" borderId="14" xfId="1" applyNumberFormat="1" applyFont="1" applyFill="1" applyBorder="1" applyAlignment="1">
      <alignment horizontal="center" vertical="center"/>
    </xf>
    <xf numFmtId="3" fontId="27" fillId="0" borderId="13" xfId="1" applyNumberFormat="1" applyFont="1" applyFill="1" applyBorder="1" applyAlignment="1">
      <alignment horizontal="center" vertical="center"/>
    </xf>
    <xf numFmtId="3" fontId="28" fillId="6" borderId="21" xfId="1" applyNumberFormat="1" applyFont="1" applyFill="1" applyBorder="1" applyAlignment="1">
      <alignment horizontal="center" vertical="center"/>
    </xf>
    <xf numFmtId="3" fontId="28" fillId="6" borderId="16" xfId="1" applyNumberFormat="1" applyFont="1" applyFill="1" applyBorder="1" applyAlignment="1">
      <alignment horizontal="center" vertical="center"/>
    </xf>
    <xf numFmtId="3" fontId="24" fillId="6" borderId="21" xfId="1" applyNumberFormat="1" applyFont="1" applyFill="1" applyBorder="1" applyAlignment="1">
      <alignment horizontal="center" vertical="center"/>
    </xf>
    <xf numFmtId="3" fontId="24" fillId="6" borderId="16" xfId="1" applyNumberFormat="1" applyFont="1" applyFill="1" applyBorder="1" applyAlignment="1">
      <alignment horizontal="center" vertical="center"/>
    </xf>
    <xf numFmtId="3" fontId="24" fillId="3" borderId="31" xfId="1" applyNumberFormat="1" applyFont="1" applyFill="1" applyBorder="1" applyAlignment="1">
      <alignment horizontal="center" vertical="center"/>
    </xf>
    <xf numFmtId="3" fontId="19" fillId="0" borderId="0" xfId="1" applyNumberFormat="1" applyFont="1" applyAlignment="1">
      <alignment horizontal="center" vertical="center"/>
    </xf>
    <xf numFmtId="3" fontId="16" fillId="0" borderId="0" xfId="1" applyNumberFormat="1" applyAlignment="1">
      <alignment horizontal="center" vertical="center"/>
    </xf>
    <xf numFmtId="3" fontId="30" fillId="12" borderId="0" xfId="6" applyNumberFormat="1" applyFont="1" applyFill="1" applyAlignment="1">
      <alignment horizontal="center" vertical="center"/>
    </xf>
    <xf numFmtId="9" fontId="24" fillId="3" borderId="31" xfId="7" applyFont="1" applyFill="1" applyBorder="1" applyAlignment="1">
      <alignment horizontal="center" vertical="center"/>
    </xf>
    <xf numFmtId="9" fontId="24" fillId="3" borderId="17" xfId="7" applyFont="1" applyFill="1" applyBorder="1" applyAlignment="1">
      <alignment horizontal="center" vertical="center"/>
    </xf>
    <xf numFmtId="9" fontId="24" fillId="3" borderId="18" xfId="7" applyFont="1" applyFill="1" applyBorder="1" applyAlignment="1">
      <alignment horizontal="center" vertical="center"/>
    </xf>
    <xf numFmtId="9" fontId="24" fillId="3" borderId="15" xfId="7" applyFont="1" applyFill="1" applyBorder="1" applyAlignment="1">
      <alignment horizontal="center" vertical="center"/>
    </xf>
    <xf numFmtId="3" fontId="26" fillId="5" borderId="24" xfId="1" applyNumberFormat="1" applyFont="1" applyFill="1" applyBorder="1" applyAlignment="1">
      <alignment horizontal="center" vertical="center"/>
    </xf>
    <xf numFmtId="166" fontId="26" fillId="5" borderId="14" xfId="6" applyFont="1" applyFill="1" applyBorder="1" applyAlignment="1">
      <alignment horizontal="center" vertical="center"/>
    </xf>
    <xf numFmtId="167" fontId="27" fillId="0" borderId="14" xfId="6" applyNumberFormat="1" applyFont="1" applyFill="1" applyBorder="1" applyAlignment="1">
      <alignment horizontal="center" vertical="center"/>
    </xf>
    <xf numFmtId="167" fontId="26" fillId="5" borderId="14" xfId="6" applyNumberFormat="1" applyFont="1" applyFill="1" applyBorder="1" applyAlignment="1">
      <alignment horizontal="center" vertical="center"/>
    </xf>
    <xf numFmtId="167" fontId="27" fillId="0" borderId="30" xfId="6" applyNumberFormat="1" applyFont="1" applyFill="1" applyBorder="1" applyAlignment="1">
      <alignment horizontal="center" vertical="center"/>
    </xf>
    <xf numFmtId="9" fontId="36" fillId="11" borderId="11" xfId="7" applyFont="1" applyFill="1" applyBorder="1" applyAlignment="1">
      <alignment horizontal="center" vertical="center"/>
    </xf>
    <xf numFmtId="4" fontId="29" fillId="11" borderId="16" xfId="1" applyNumberFormat="1" applyFont="1" applyFill="1" applyBorder="1" applyAlignment="1">
      <alignment horizontal="center" vertical="center"/>
    </xf>
    <xf numFmtId="4" fontId="37" fillId="6" borderId="25" xfId="1" applyNumberFormat="1" applyFont="1" applyFill="1" applyBorder="1" applyAlignment="1">
      <alignment horizontal="center" vertical="center"/>
    </xf>
    <xf numFmtId="10" fontId="29" fillId="3" borderId="15" xfId="1" applyNumberFormat="1" applyFont="1" applyFill="1" applyBorder="1" applyAlignment="1">
      <alignment horizontal="center" vertical="center"/>
    </xf>
    <xf numFmtId="10" fontId="29" fillId="0" borderId="34" xfId="1" applyNumberFormat="1" applyFont="1" applyFill="1" applyBorder="1" applyAlignment="1">
      <alignment horizontal="center" vertical="center"/>
    </xf>
    <xf numFmtId="9" fontId="36" fillId="4" borderId="14" xfId="7" applyFont="1" applyFill="1" applyBorder="1" applyAlignment="1">
      <alignment horizontal="center" vertical="center"/>
    </xf>
    <xf numFmtId="9" fontId="36" fillId="4" borderId="13" xfId="7" applyFont="1" applyFill="1" applyBorder="1" applyAlignment="1">
      <alignment horizontal="center" vertical="center"/>
    </xf>
    <xf numFmtId="9" fontId="36" fillId="4" borderId="30" xfId="7" applyFont="1" applyFill="1" applyBorder="1" applyAlignment="1">
      <alignment horizontal="center" vertical="center"/>
    </xf>
    <xf numFmtId="4" fontId="29" fillId="6" borderId="25" xfId="1" applyNumberFormat="1" applyFont="1" applyFill="1" applyBorder="1" applyAlignment="1">
      <alignment horizontal="center" vertical="center"/>
    </xf>
    <xf numFmtId="4" fontId="29" fillId="4" borderId="17" xfId="1" applyNumberFormat="1" applyFont="1" applyFill="1" applyBorder="1" applyAlignment="1">
      <alignment horizontal="center" vertical="center"/>
    </xf>
    <xf numFmtId="4" fontId="38" fillId="6" borderId="16" xfId="1" applyNumberFormat="1" applyFont="1" applyFill="1" applyBorder="1" applyAlignment="1">
      <alignment horizontal="center" vertical="center"/>
    </xf>
    <xf numFmtId="4" fontId="29" fillId="6" borderId="16" xfId="1" applyNumberFormat="1" applyFont="1" applyFill="1" applyBorder="1" applyAlignment="1">
      <alignment horizontal="center" vertical="center"/>
    </xf>
    <xf numFmtId="10" fontId="29" fillId="3" borderId="17" xfId="1" applyNumberFormat="1" applyFont="1" applyFill="1" applyBorder="1" applyAlignment="1">
      <alignment horizontal="center" vertical="center"/>
    </xf>
    <xf numFmtId="9" fontId="36" fillId="0" borderId="30" xfId="7" applyFont="1" applyFill="1" applyBorder="1" applyAlignment="1">
      <alignment horizontal="center" vertical="center"/>
    </xf>
    <xf numFmtId="9" fontId="36" fillId="0" borderId="14" xfId="7" applyFont="1" applyFill="1" applyBorder="1" applyAlignment="1">
      <alignment horizontal="center" vertical="center"/>
    </xf>
    <xf numFmtId="10" fontId="39" fillId="0" borderId="13" xfId="1" applyNumberFormat="1" applyFont="1" applyFill="1" applyBorder="1" applyAlignment="1">
      <alignment horizontal="center" vertical="center"/>
    </xf>
    <xf numFmtId="0" fontId="36" fillId="0" borderId="14" xfId="1" applyNumberFormat="1" applyFont="1" applyFill="1" applyBorder="1" applyAlignment="1">
      <alignment horizontal="center" vertical="center"/>
    </xf>
    <xf numFmtId="10" fontId="36" fillId="0" borderId="34" xfId="1" applyNumberFormat="1" applyFont="1" applyFill="1" applyBorder="1" applyAlignment="1">
      <alignment horizontal="center" vertical="center"/>
    </xf>
    <xf numFmtId="10" fontId="36" fillId="0" borderId="28" xfId="1" applyNumberFormat="1" applyFont="1" applyFill="1" applyBorder="1" applyAlignment="1">
      <alignment horizontal="center" vertical="center"/>
    </xf>
    <xf numFmtId="10" fontId="39" fillId="5" borderId="34" xfId="1" applyNumberFormat="1" applyFont="1" applyFill="1" applyBorder="1" applyAlignment="1">
      <alignment horizontal="center" vertical="center"/>
    </xf>
    <xf numFmtId="9" fontId="36" fillId="0" borderId="28" xfId="7" applyFont="1" applyFill="1" applyBorder="1" applyAlignment="1">
      <alignment horizontal="center" vertical="center"/>
    </xf>
    <xf numFmtId="10" fontId="39" fillId="0" borderId="34" xfId="1" applyNumberFormat="1" applyFont="1" applyFill="1" applyBorder="1" applyAlignment="1">
      <alignment horizontal="center" vertical="center"/>
    </xf>
    <xf numFmtId="10" fontId="36" fillId="0" borderId="13" xfId="1" applyNumberFormat="1" applyFont="1" applyFill="1" applyBorder="1" applyAlignment="1">
      <alignment horizontal="center" vertical="center"/>
    </xf>
    <xf numFmtId="10" fontId="39" fillId="0" borderId="14" xfId="1" applyNumberFormat="1" applyFont="1" applyFill="1" applyBorder="1" applyAlignment="1">
      <alignment horizontal="center" vertical="center"/>
    </xf>
    <xf numFmtId="4" fontId="40" fillId="0" borderId="0" xfId="1" applyNumberFormat="1" applyFont="1" applyAlignment="1">
      <alignment horizontal="center" vertical="center"/>
    </xf>
    <xf numFmtId="4" fontId="41" fillId="0" borderId="0" xfId="1" applyNumberFormat="1" applyFont="1" applyAlignment="1">
      <alignment horizontal="center" vertical="center"/>
    </xf>
    <xf numFmtId="9" fontId="29" fillId="11" borderId="16" xfId="7" applyFont="1" applyFill="1" applyBorder="1" applyAlignment="1">
      <alignment horizontal="center" vertical="center"/>
    </xf>
    <xf numFmtId="9" fontId="37" fillId="6" borderId="25" xfId="7" applyFont="1" applyFill="1" applyBorder="1" applyAlignment="1">
      <alignment horizontal="center" vertical="center"/>
    </xf>
    <xf numFmtId="9" fontId="29" fillId="3" borderId="23" xfId="7" applyFont="1" applyFill="1" applyBorder="1" applyAlignment="1">
      <alignment horizontal="center" vertical="center"/>
    </xf>
    <xf numFmtId="9" fontId="29" fillId="0" borderId="28" xfId="7" applyFont="1" applyFill="1" applyBorder="1" applyAlignment="1">
      <alignment horizontal="center" vertical="center"/>
    </xf>
    <xf numFmtId="9" fontId="29" fillId="4" borderId="14" xfId="7" applyFont="1" applyFill="1" applyBorder="1" applyAlignment="1">
      <alignment horizontal="center" vertical="center"/>
    </xf>
    <xf numFmtId="9" fontId="29" fillId="6" borderId="6" xfId="7" applyFont="1" applyFill="1" applyBorder="1" applyAlignment="1">
      <alignment horizontal="center" vertical="center"/>
    </xf>
    <xf numFmtId="9" fontId="29" fillId="3" borderId="15" xfId="7" applyFont="1" applyFill="1" applyBorder="1" applyAlignment="1">
      <alignment horizontal="center" vertical="center"/>
    </xf>
    <xf numFmtId="9" fontId="29" fillId="4" borderId="17" xfId="7" applyFont="1" applyFill="1" applyBorder="1" applyAlignment="1">
      <alignment horizontal="center" vertical="center"/>
    </xf>
    <xf numFmtId="9" fontId="29" fillId="4" borderId="27" xfId="7" applyFont="1" applyFill="1" applyBorder="1" applyAlignment="1">
      <alignment horizontal="center" vertical="center"/>
    </xf>
    <xf numFmtId="9" fontId="38" fillId="6" borderId="16" xfId="7" applyFont="1" applyFill="1" applyBorder="1" applyAlignment="1">
      <alignment horizontal="center" vertical="center"/>
    </xf>
    <xf numFmtId="9" fontId="29" fillId="6" borderId="16" xfId="7" applyFont="1" applyFill="1" applyBorder="1" applyAlignment="1">
      <alignment horizontal="center" vertical="center"/>
    </xf>
    <xf numFmtId="9" fontId="29" fillId="3" borderId="17" xfId="7" applyFont="1" applyFill="1" applyBorder="1" applyAlignment="1">
      <alignment horizontal="center" vertical="center"/>
    </xf>
    <xf numFmtId="9" fontId="39" fillId="0" borderId="13" xfId="7" applyFont="1" applyFill="1" applyBorder="1" applyAlignment="1">
      <alignment horizontal="center" vertical="center"/>
    </xf>
    <xf numFmtId="9" fontId="36" fillId="0" borderId="34" xfId="7" applyFont="1" applyFill="1" applyBorder="1" applyAlignment="1">
      <alignment horizontal="center" vertical="center"/>
    </xf>
    <xf numFmtId="9" fontId="39" fillId="5" borderId="28" xfId="7" applyFont="1" applyFill="1" applyBorder="1" applyAlignment="1">
      <alignment horizontal="center" vertical="center"/>
    </xf>
    <xf numFmtId="9" fontId="39" fillId="5" borderId="14" xfId="7" applyFont="1" applyFill="1" applyBorder="1" applyAlignment="1">
      <alignment horizontal="center" vertical="center"/>
    </xf>
    <xf numFmtId="9" fontId="39" fillId="0" borderId="34" xfId="7" applyFont="1" applyFill="1" applyBorder="1" applyAlignment="1">
      <alignment horizontal="center" vertical="center"/>
    </xf>
    <xf numFmtId="9" fontId="39" fillId="0" borderId="14" xfId="7" applyFont="1" applyFill="1" applyBorder="1" applyAlignment="1">
      <alignment horizontal="center" vertical="center"/>
    </xf>
    <xf numFmtId="9" fontId="40" fillId="0" borderId="0" xfId="7" applyFont="1" applyAlignment="1">
      <alignment horizontal="center" vertical="center"/>
    </xf>
    <xf numFmtId="0" fontId="42" fillId="12" borderId="25" xfId="1" applyFont="1" applyFill="1" applyBorder="1" applyAlignment="1">
      <alignment horizontal="center" vertical="center" wrapText="1"/>
    </xf>
    <xf numFmtId="3" fontId="25" fillId="0" borderId="30" xfId="1" applyNumberFormat="1" applyFont="1" applyFill="1" applyBorder="1" applyAlignment="1">
      <alignment horizontal="center" vertical="center"/>
    </xf>
    <xf numFmtId="0" fontId="24" fillId="8" borderId="22" xfId="1" applyFont="1" applyFill="1" applyBorder="1" applyAlignment="1">
      <alignment vertical="center"/>
    </xf>
    <xf numFmtId="3" fontId="24" fillId="8" borderId="22" xfId="1" applyNumberFormat="1" applyFont="1" applyFill="1" applyBorder="1" applyAlignment="1">
      <alignment horizontal="center" vertical="center"/>
    </xf>
    <xf numFmtId="3" fontId="24" fillId="8" borderId="27" xfId="1" applyNumberFormat="1" applyFont="1" applyFill="1" applyBorder="1" applyAlignment="1">
      <alignment horizontal="center" vertical="center"/>
    </xf>
    <xf numFmtId="4" fontId="29" fillId="8" borderId="27" xfId="1" applyNumberFormat="1" applyFont="1" applyFill="1" applyBorder="1" applyAlignment="1">
      <alignment horizontal="center" vertical="center"/>
    </xf>
    <xf numFmtId="9" fontId="29" fillId="8" borderId="27" xfId="7" applyFont="1" applyFill="1" applyBorder="1" applyAlignment="1">
      <alignment horizontal="center" vertical="center"/>
    </xf>
    <xf numFmtId="0" fontId="19" fillId="0" borderId="19" xfId="1" applyFont="1" applyBorder="1" applyAlignment="1">
      <alignment vertical="center"/>
    </xf>
    <xf numFmtId="0" fontId="36" fillId="0" borderId="13" xfId="1" applyNumberFormat="1" applyFont="1" applyFill="1" applyBorder="1" applyAlignment="1">
      <alignment horizontal="center" vertical="center"/>
    </xf>
    <xf numFmtId="9" fontId="36" fillId="0" borderId="13" xfId="7" applyFont="1" applyFill="1" applyBorder="1" applyAlignment="1">
      <alignment horizontal="center" vertical="center"/>
    </xf>
    <xf numFmtId="3" fontId="27" fillId="0" borderId="15" xfId="6" applyNumberFormat="1" applyFont="1" applyFill="1" applyBorder="1" applyAlignment="1">
      <alignment horizontal="center" vertical="center"/>
    </xf>
    <xf numFmtId="3" fontId="25" fillId="0" borderId="13" xfId="1" applyNumberFormat="1" applyFont="1" applyFill="1" applyBorder="1" applyAlignment="1">
      <alignment horizontal="center" vertical="center"/>
    </xf>
    <xf numFmtId="0" fontId="35" fillId="0" borderId="0" xfId="1" applyFont="1" applyAlignment="1">
      <alignment horizontal="center" vertical="center"/>
    </xf>
    <xf numFmtId="166" fontId="27" fillId="0" borderId="17" xfId="6" applyFont="1" applyFill="1" applyBorder="1" applyAlignment="1">
      <alignment horizontal="center" vertical="center"/>
    </xf>
    <xf numFmtId="166" fontId="27" fillId="0" borderId="34" xfId="6" applyFont="1" applyFill="1" applyBorder="1" applyAlignment="1">
      <alignment horizontal="center" vertical="center"/>
    </xf>
    <xf numFmtId="3" fontId="27" fillId="0" borderId="14" xfId="1" applyNumberFormat="1" applyFont="1" applyFill="1" applyBorder="1" applyAlignment="1">
      <alignment horizontal="center" vertical="center"/>
    </xf>
    <xf numFmtId="0" fontId="19" fillId="0" borderId="21" xfId="1" applyFont="1" applyFill="1" applyBorder="1" applyAlignment="1">
      <alignment vertical="center"/>
    </xf>
    <xf numFmtId="0" fontId="20" fillId="0" borderId="0" xfId="1" applyFont="1" applyFill="1"/>
    <xf numFmtId="0" fontId="43" fillId="0" borderId="0" xfId="0" applyFont="1" applyAlignment="1">
      <alignment vertical="center" wrapText="1"/>
    </xf>
    <xf numFmtId="0" fontId="43" fillId="0" borderId="35" xfId="0" applyFont="1" applyBorder="1" applyAlignment="1">
      <alignment vertical="top" wrapText="1" indent="4"/>
    </xf>
    <xf numFmtId="0" fontId="24" fillId="0" borderId="5" xfId="1" applyFont="1" applyBorder="1" applyAlignment="1">
      <alignment horizontal="center" vertical="center"/>
    </xf>
    <xf numFmtId="0" fontId="24" fillId="0" borderId="6" xfId="1" applyFont="1" applyBorder="1" applyAlignment="1">
      <alignment horizontal="center" vertical="center"/>
    </xf>
    <xf numFmtId="0" fontId="24" fillId="0" borderId="7" xfId="1" applyFont="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0" fontId="24" fillId="0" borderId="6" xfId="1" applyFont="1" applyFill="1" applyBorder="1" applyAlignment="1">
      <alignment horizontal="center" vertical="center"/>
    </xf>
    <xf numFmtId="0" fontId="16" fillId="0" borderId="0" xfId="1" applyFill="1"/>
    <xf numFmtId="0" fontId="24" fillId="0" borderId="5" xfId="1" applyFont="1" applyBorder="1" applyAlignment="1">
      <alignment vertical="center"/>
    </xf>
    <xf numFmtId="0" fontId="24" fillId="0" borderId="6" xfId="1" applyFont="1" applyBorder="1" applyAlignment="1">
      <alignment vertical="center"/>
    </xf>
    <xf numFmtId="0" fontId="24" fillId="0" borderId="6" xfId="1" applyFont="1" applyFill="1" applyBorder="1" applyAlignment="1">
      <alignment vertical="center"/>
    </xf>
    <xf numFmtId="0" fontId="33" fillId="11" borderId="2" xfId="1" applyFont="1" applyFill="1" applyBorder="1" applyAlignment="1">
      <alignment horizontal="center" vertical="center" wrapText="1"/>
    </xf>
    <xf numFmtId="0" fontId="33" fillId="11" borderId="25" xfId="1" applyFont="1" applyFill="1" applyBorder="1" applyAlignment="1">
      <alignment horizontal="center" vertical="center" wrapText="1"/>
    </xf>
    <xf numFmtId="0" fontId="42" fillId="12" borderId="2" xfId="1" applyFont="1" applyFill="1" applyBorder="1" applyAlignment="1">
      <alignment horizontal="center" vertical="center" wrapText="1"/>
    </xf>
    <xf numFmtId="9" fontId="36" fillId="11" borderId="1" xfId="7" applyFont="1" applyFill="1" applyBorder="1" applyAlignment="1">
      <alignment horizontal="center" vertical="center"/>
    </xf>
    <xf numFmtId="9" fontId="29" fillId="11" borderId="21" xfId="7" applyFont="1" applyFill="1" applyBorder="1" applyAlignment="1">
      <alignment horizontal="center" vertical="center"/>
    </xf>
    <xf numFmtId="9" fontId="29" fillId="3" borderId="26" xfId="7" applyFont="1" applyFill="1" applyBorder="1" applyAlignment="1">
      <alignment horizontal="center" vertical="center"/>
    </xf>
    <xf numFmtId="9" fontId="36" fillId="4" borderId="33" xfId="7" applyFont="1" applyFill="1" applyBorder="1" applyAlignment="1">
      <alignment horizontal="center" vertical="center"/>
    </xf>
    <xf numFmtId="9" fontId="36" fillId="4" borderId="19" xfId="7" applyFont="1" applyFill="1" applyBorder="1" applyAlignment="1">
      <alignment horizontal="center" vertical="center"/>
    </xf>
    <xf numFmtId="9" fontId="39" fillId="5" borderId="36" xfId="7" applyFont="1" applyFill="1" applyBorder="1" applyAlignment="1">
      <alignment horizontal="center" vertical="center"/>
    </xf>
    <xf numFmtId="9" fontId="39" fillId="5" borderId="30" xfId="7" applyFont="1" applyFill="1" applyBorder="1" applyAlignment="1">
      <alignment horizontal="center" vertical="center"/>
    </xf>
    <xf numFmtId="9" fontId="29" fillId="4" borderId="29" xfId="7" applyFont="1" applyFill="1" applyBorder="1" applyAlignment="1">
      <alignment horizontal="center" vertical="center"/>
    </xf>
    <xf numFmtId="9" fontId="29" fillId="6" borderId="4" xfId="7" applyFont="1" applyFill="1" applyBorder="1" applyAlignment="1">
      <alignment horizontal="center" vertical="center"/>
    </xf>
    <xf numFmtId="9" fontId="29" fillId="3" borderId="18" xfId="7" applyFont="1" applyFill="1" applyBorder="1" applyAlignment="1">
      <alignment horizontal="center" vertical="center"/>
    </xf>
    <xf numFmtId="9" fontId="29" fillId="4" borderId="31" xfId="7" applyFont="1" applyFill="1" applyBorder="1" applyAlignment="1">
      <alignment horizontal="center" vertical="center"/>
    </xf>
    <xf numFmtId="9" fontId="29" fillId="4" borderId="22" xfId="7" applyFont="1" applyFill="1" applyBorder="1" applyAlignment="1">
      <alignment horizontal="center" vertical="center"/>
    </xf>
    <xf numFmtId="9" fontId="36" fillId="0" borderId="33" xfId="7" applyFont="1" applyFill="1" applyBorder="1" applyAlignment="1">
      <alignment horizontal="center" vertical="center"/>
    </xf>
    <xf numFmtId="9" fontId="38" fillId="6" borderId="21" xfId="7" applyFont="1" applyFill="1" applyBorder="1" applyAlignment="1">
      <alignment horizontal="center" vertical="center"/>
    </xf>
    <xf numFmtId="9" fontId="29" fillId="8" borderId="22" xfId="7" applyFont="1" applyFill="1" applyBorder="1" applyAlignment="1">
      <alignment horizontal="center" vertical="center"/>
    </xf>
    <xf numFmtId="9" fontId="29" fillId="6" borderId="21" xfId="7" applyFont="1" applyFill="1" applyBorder="1" applyAlignment="1">
      <alignment horizontal="center" vertical="center"/>
    </xf>
    <xf numFmtId="9" fontId="29" fillId="3" borderId="31" xfId="7" applyFont="1" applyFill="1" applyBorder="1" applyAlignment="1">
      <alignment horizontal="center" vertical="center"/>
    </xf>
    <xf numFmtId="9" fontId="26" fillId="0" borderId="14" xfId="7" applyFont="1" applyFill="1" applyBorder="1" applyAlignment="1">
      <alignment horizontal="center" vertical="center"/>
    </xf>
    <xf numFmtId="9" fontId="27" fillId="0" borderId="33" xfId="7" applyFont="1" applyFill="1" applyBorder="1" applyAlignment="1">
      <alignment horizontal="center" vertical="center"/>
    </xf>
    <xf numFmtId="9" fontId="27" fillId="0" borderId="30" xfId="7" applyFont="1" applyFill="1" applyBorder="1" applyAlignment="1">
      <alignment horizontal="center" vertical="center" wrapText="1"/>
    </xf>
    <xf numFmtId="0" fontId="19" fillId="0" borderId="16" xfId="1" applyFont="1" applyFill="1" applyBorder="1" applyAlignment="1">
      <alignment vertical="center"/>
    </xf>
    <xf numFmtId="4" fontId="25" fillId="11" borderId="11" xfId="1" applyNumberFormat="1" applyFont="1" applyFill="1" applyBorder="1" applyAlignment="1">
      <alignment horizontal="center" vertical="center"/>
    </xf>
    <xf numFmtId="9" fontId="45" fillId="11" borderId="1" xfId="7" applyFont="1" applyFill="1" applyBorder="1" applyAlignment="1">
      <alignment horizontal="center" vertical="center"/>
    </xf>
    <xf numFmtId="9" fontId="45" fillId="0" borderId="30" xfId="7" applyFont="1" applyFill="1" applyBorder="1" applyAlignment="1">
      <alignment horizontal="center" vertical="center"/>
    </xf>
    <xf numFmtId="9" fontId="46" fillId="0" borderId="13" xfId="7" applyFont="1" applyFill="1" applyBorder="1" applyAlignment="1">
      <alignment horizontal="center" vertical="center"/>
    </xf>
    <xf numFmtId="9" fontId="47" fillId="11" borderId="21" xfId="7" applyFont="1" applyFill="1" applyBorder="1" applyAlignment="1">
      <alignment horizontal="center" vertical="center"/>
    </xf>
    <xf numFmtId="9" fontId="45" fillId="0" borderId="34" xfId="7" applyFont="1" applyFill="1" applyBorder="1" applyAlignment="1">
      <alignment horizontal="center" vertical="center"/>
    </xf>
    <xf numFmtId="9" fontId="48" fillId="6" borderId="25" xfId="7" applyFont="1" applyFill="1" applyBorder="1" applyAlignment="1">
      <alignment horizontal="center" vertical="center"/>
    </xf>
    <xf numFmtId="9" fontId="47" fillId="3" borderId="26" xfId="7" applyFont="1" applyFill="1" applyBorder="1" applyAlignment="1">
      <alignment horizontal="center" vertical="center"/>
    </xf>
    <xf numFmtId="9" fontId="47" fillId="0" borderId="28" xfId="7" applyFont="1" applyFill="1" applyBorder="1" applyAlignment="1">
      <alignment horizontal="center" vertical="center"/>
    </xf>
    <xf numFmtId="9" fontId="45" fillId="4" borderId="33" xfId="7" applyFont="1" applyFill="1" applyBorder="1" applyAlignment="1">
      <alignment horizontal="center" vertical="center"/>
    </xf>
    <xf numFmtId="9" fontId="45" fillId="0" borderId="36" xfId="7" applyFont="1" applyFill="1" applyBorder="1" applyAlignment="1">
      <alignment horizontal="center" vertical="center"/>
    </xf>
    <xf numFmtId="9" fontId="45" fillId="4" borderId="19" xfId="7" applyFont="1" applyFill="1" applyBorder="1" applyAlignment="1">
      <alignment horizontal="center" vertical="center"/>
    </xf>
    <xf numFmtId="9" fontId="46" fillId="5" borderId="36" xfId="7" applyFont="1" applyFill="1" applyBorder="1" applyAlignment="1">
      <alignment horizontal="center" vertical="center"/>
    </xf>
    <xf numFmtId="9" fontId="46" fillId="5" borderId="30" xfId="7" applyFont="1" applyFill="1" applyBorder="1" applyAlignment="1">
      <alignment horizontal="center" vertical="center"/>
    </xf>
    <xf numFmtId="9" fontId="47" fillId="4" borderId="29" xfId="7" applyFont="1" applyFill="1" applyBorder="1" applyAlignment="1">
      <alignment horizontal="center" vertical="center"/>
    </xf>
    <xf numFmtId="9" fontId="46" fillId="0" borderId="34" xfId="7" applyFont="1" applyFill="1" applyBorder="1" applyAlignment="1">
      <alignment horizontal="center" vertical="center"/>
    </xf>
    <xf numFmtId="9" fontId="47" fillId="6" borderId="4" xfId="7" applyFont="1" applyFill="1" applyBorder="1" applyAlignment="1">
      <alignment horizontal="center" vertical="center"/>
    </xf>
    <xf numFmtId="9" fontId="47" fillId="3" borderId="18" xfId="7" applyFont="1" applyFill="1" applyBorder="1" applyAlignment="1">
      <alignment horizontal="center" vertical="center"/>
    </xf>
    <xf numFmtId="9" fontId="47" fillId="4" borderId="31" xfId="7" applyFont="1" applyFill="1" applyBorder="1" applyAlignment="1">
      <alignment horizontal="center" vertical="center"/>
    </xf>
    <xf numFmtId="9" fontId="46" fillId="0" borderId="14" xfId="7" applyFont="1" applyFill="1" applyBorder="1" applyAlignment="1">
      <alignment horizontal="center" vertical="center"/>
    </xf>
    <xf numFmtId="9" fontId="47" fillId="4" borderId="22" xfId="7" applyFont="1" applyFill="1" applyBorder="1" applyAlignment="1">
      <alignment horizontal="center" vertical="center"/>
    </xf>
    <xf numFmtId="9" fontId="45" fillId="0" borderId="33" xfId="7" applyFont="1" applyFill="1" applyBorder="1" applyAlignment="1">
      <alignment horizontal="center" vertical="center"/>
    </xf>
    <xf numFmtId="9" fontId="49" fillId="6" borderId="21" xfId="7" applyFont="1" applyFill="1" applyBorder="1" applyAlignment="1">
      <alignment horizontal="center" vertical="center"/>
    </xf>
    <xf numFmtId="9" fontId="47" fillId="8" borderId="22" xfId="7" applyFont="1" applyFill="1" applyBorder="1" applyAlignment="1">
      <alignment horizontal="center" vertical="center"/>
    </xf>
    <xf numFmtId="9" fontId="45" fillId="0" borderId="13" xfId="7" applyFont="1" applyFill="1" applyBorder="1" applyAlignment="1">
      <alignment horizontal="center" vertical="center"/>
    </xf>
    <xf numFmtId="9" fontId="47" fillId="6" borderId="21" xfId="7" applyFont="1" applyFill="1" applyBorder="1" applyAlignment="1">
      <alignment horizontal="center" vertical="center"/>
    </xf>
    <xf numFmtId="9" fontId="47" fillId="3" borderId="31" xfId="7" applyFont="1" applyFill="1" applyBorder="1" applyAlignment="1">
      <alignment horizontal="center" vertical="center"/>
    </xf>
    <xf numFmtId="1" fontId="45" fillId="0" borderId="30" xfId="7" applyNumberFormat="1" applyFont="1" applyFill="1" applyBorder="1" applyAlignment="1">
      <alignment horizontal="center" vertical="center" wrapText="1"/>
    </xf>
    <xf numFmtId="1" fontId="27" fillId="0" borderId="30" xfId="7" applyNumberFormat="1" applyFont="1" applyFill="1" applyBorder="1" applyAlignment="1">
      <alignment horizontal="center" vertical="center" wrapText="1"/>
    </xf>
    <xf numFmtId="3" fontId="24" fillId="0" borderId="6" xfId="1" applyNumberFormat="1" applyFont="1" applyFill="1" applyBorder="1" applyAlignment="1">
      <alignment vertical="center"/>
    </xf>
    <xf numFmtId="0" fontId="24" fillId="0" borderId="5" xfId="1" applyFont="1" applyBorder="1" applyAlignment="1">
      <alignment horizontal="center" vertical="center"/>
    </xf>
    <xf numFmtId="0" fontId="24" fillId="0" borderId="6" xfId="1" applyFont="1" applyBorder="1" applyAlignment="1">
      <alignment horizontal="center" vertical="center"/>
    </xf>
    <xf numFmtId="0" fontId="24" fillId="0" borderId="7" xfId="1" applyFont="1" applyBorder="1" applyAlignment="1">
      <alignment horizontal="center" vertical="center"/>
    </xf>
    <xf numFmtId="9" fontId="36" fillId="4" borderId="19" xfId="7" applyFont="1" applyFill="1" applyBorder="1" applyAlignment="1">
      <alignment horizontal="center" vertical="center" wrapText="1"/>
    </xf>
    <xf numFmtId="9" fontId="39" fillId="5" borderId="36" xfId="7" applyFont="1" applyFill="1" applyBorder="1" applyAlignment="1">
      <alignment horizontal="center" vertical="center" wrapText="1"/>
    </xf>
    <xf numFmtId="9" fontId="29" fillId="6" borderId="4" xfId="7" applyFont="1" applyFill="1" applyBorder="1" applyAlignment="1">
      <alignment horizontal="center" vertical="center" wrapText="1"/>
    </xf>
    <xf numFmtId="0" fontId="24" fillId="0" borderId="29" xfId="1" applyFont="1" applyFill="1" applyBorder="1" applyAlignment="1">
      <alignment vertical="center"/>
    </xf>
    <xf numFmtId="10" fontId="24" fillId="0" borderId="22" xfId="1" applyNumberFormat="1" applyFont="1" applyFill="1" applyBorder="1" applyAlignment="1">
      <alignment horizontal="center" vertical="center"/>
    </xf>
    <xf numFmtId="10" fontId="24" fillId="0" borderId="27" xfId="1" applyNumberFormat="1" applyFont="1" applyFill="1" applyBorder="1" applyAlignment="1">
      <alignment horizontal="center" vertical="center"/>
    </xf>
    <xf numFmtId="10" fontId="29" fillId="0" borderId="28" xfId="1" applyNumberFormat="1" applyFont="1" applyFill="1" applyBorder="1" applyAlignment="1">
      <alignment horizontal="center" vertical="center"/>
    </xf>
    <xf numFmtId="0" fontId="19" fillId="0" borderId="29" xfId="1" applyFont="1" applyFill="1" applyBorder="1" applyAlignment="1">
      <alignment horizontal="left" vertical="center"/>
    </xf>
    <xf numFmtId="3" fontId="26" fillId="0" borderId="8" xfId="1" applyNumberFormat="1" applyFont="1" applyFill="1" applyBorder="1" applyAlignment="1">
      <alignment horizontal="center" vertical="center"/>
    </xf>
    <xf numFmtId="3" fontId="26" fillId="0" borderId="7" xfId="1" applyNumberFormat="1" applyFont="1" applyFill="1" applyBorder="1" applyAlignment="1">
      <alignment horizontal="center" vertical="center"/>
    </xf>
    <xf numFmtId="3" fontId="26" fillId="0" borderId="20" xfId="1" applyNumberFormat="1" applyFont="1" applyFill="1" applyBorder="1" applyAlignment="1">
      <alignment horizontal="center" vertical="center"/>
    </xf>
    <xf numFmtId="10" fontId="39" fillId="0" borderId="20" xfId="1" applyNumberFormat="1" applyFont="1" applyFill="1" applyBorder="1" applyAlignment="1">
      <alignment horizontal="center" vertical="center"/>
    </xf>
    <xf numFmtId="0" fontId="19" fillId="0" borderId="26" xfId="1" applyFont="1" applyBorder="1" applyAlignment="1">
      <alignment vertical="center"/>
    </xf>
    <xf numFmtId="3" fontId="27" fillId="0" borderId="23" xfId="1" applyNumberFormat="1" applyFont="1" applyFill="1" applyBorder="1" applyAlignment="1">
      <alignment horizontal="center" vertical="center"/>
    </xf>
    <xf numFmtId="0" fontId="19" fillId="0" borderId="33" xfId="1" applyFont="1" applyFill="1" applyBorder="1" applyAlignment="1">
      <alignment vertical="center"/>
    </xf>
    <xf numFmtId="0" fontId="24" fillId="4" borderId="2" xfId="1" applyFont="1" applyFill="1" applyBorder="1" applyAlignment="1">
      <alignment vertical="center"/>
    </xf>
    <xf numFmtId="3" fontId="24" fillId="4" borderId="2" xfId="1" applyNumberFormat="1" applyFont="1" applyFill="1" applyBorder="1" applyAlignment="1">
      <alignment horizontal="center" vertical="center"/>
    </xf>
    <xf numFmtId="3" fontId="24" fillId="4" borderId="25" xfId="1" applyNumberFormat="1" applyFont="1" applyFill="1" applyBorder="1" applyAlignment="1">
      <alignment horizontal="center" vertical="center"/>
    </xf>
    <xf numFmtId="9" fontId="36" fillId="4" borderId="11" xfId="7"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0" fontId="43" fillId="0" borderId="0" xfId="0" applyFont="1" applyFill="1" applyAlignment="1">
      <alignment vertical="center" wrapText="1"/>
    </xf>
    <xf numFmtId="0" fontId="24" fillId="0" borderId="7" xfId="1" applyFont="1" applyFill="1" applyBorder="1" applyAlignment="1">
      <alignment vertical="center"/>
    </xf>
    <xf numFmtId="0" fontId="24" fillId="0" borderId="5" xfId="1" applyFont="1" applyFill="1" applyBorder="1" applyAlignment="1">
      <alignment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 fontId="24" fillId="0" borderId="6" xfId="1" applyNumberFormat="1" applyFont="1" applyFill="1" applyBorder="1" applyAlignment="1">
      <alignment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 fontId="50" fillId="0" borderId="0" xfId="1" applyNumberFormat="1" applyFont="1" applyAlignment="1">
      <alignment horizontal="center" vertical="center"/>
    </xf>
    <xf numFmtId="3" fontId="27" fillId="0" borderId="30" xfId="1" applyNumberFormat="1" applyFont="1" applyFill="1" applyBorder="1" applyAlignment="1">
      <alignment horizontal="center" vertical="center"/>
    </xf>
    <xf numFmtId="0" fontId="36" fillId="0" borderId="30" xfId="1"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0" fontId="36" fillId="0" borderId="14" xfId="7" applyNumberFormat="1" applyFont="1" applyFill="1" applyBorder="1" applyAlignment="1">
      <alignment horizontal="center" vertical="center"/>
    </xf>
    <xf numFmtId="0" fontId="53" fillId="0" borderId="37" xfId="0" applyFont="1" applyBorder="1" applyAlignment="1">
      <alignment vertical="top" wrapText="1" indent="1"/>
    </xf>
    <xf numFmtId="0" fontId="43" fillId="0" borderId="0" xfId="0" applyFont="1" applyFill="1" applyBorder="1" applyAlignment="1">
      <alignment vertical="center" wrapText="1"/>
    </xf>
    <xf numFmtId="4" fontId="0" fillId="0" borderId="0" xfId="0" applyNumberFormat="1"/>
    <xf numFmtId="2" fontId="27" fillId="0" borderId="14" xfId="1" applyNumberFormat="1" applyFont="1" applyFill="1" applyBorder="1" applyAlignment="1">
      <alignment horizontal="center" vertical="center"/>
    </xf>
    <xf numFmtId="4" fontId="54" fillId="0" borderId="0" xfId="0" applyNumberFormat="1" applyFont="1"/>
    <xf numFmtId="0" fontId="55" fillId="0" borderId="0" xfId="0" applyFont="1"/>
    <xf numFmtId="0" fontId="43" fillId="0" borderId="35" xfId="0" applyFont="1" applyBorder="1" applyAlignment="1">
      <alignment horizontal="right" vertical="top" wrapText="1"/>
    </xf>
    <xf numFmtId="10" fontId="0" fillId="0" borderId="0" xfId="7" applyNumberFormat="1" applyFont="1"/>
    <xf numFmtId="10" fontId="0" fillId="0" borderId="0" xfId="0" applyNumberFormat="1"/>
    <xf numFmtId="3" fontId="0" fillId="0" borderId="0" xfId="0" applyNumberFormat="1"/>
    <xf numFmtId="10" fontId="57" fillId="0" borderId="0" xfId="0" applyNumberFormat="1" applyFont="1"/>
    <xf numFmtId="0" fontId="43" fillId="0" borderId="35" xfId="0" applyFont="1" applyBorder="1" applyAlignment="1">
      <alignment vertical="top" wrapText="1" indent="3"/>
    </xf>
    <xf numFmtId="0" fontId="43" fillId="0" borderId="35" xfId="0" applyFont="1" applyBorder="1" applyAlignment="1">
      <alignment vertical="top" wrapText="1"/>
    </xf>
    <xf numFmtId="4" fontId="56" fillId="0" borderId="0" xfId="0" applyNumberFormat="1" applyFont="1"/>
    <xf numFmtId="3" fontId="57" fillId="0" borderId="0" xfId="0" applyNumberFormat="1" applyFont="1"/>
    <xf numFmtId="0" fontId="56" fillId="0" borderId="0" xfId="0" applyFont="1"/>
    <xf numFmtId="3" fontId="58" fillId="0" borderId="0" xfId="0" applyNumberFormat="1" applyFont="1"/>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3" fontId="52" fillId="0" borderId="38" xfId="0" applyNumberFormat="1" applyFont="1" applyFill="1" applyBorder="1" applyAlignment="1" applyProtection="1">
      <alignment horizontal="center" vertical="center"/>
    </xf>
    <xf numFmtId="3" fontId="52" fillId="0" borderId="39" xfId="0" applyNumberFormat="1" applyFont="1" applyFill="1" applyBorder="1" applyAlignment="1" applyProtection="1">
      <alignment horizontal="center" vertical="center" wrapText="1"/>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3" fontId="59" fillId="0" borderId="40" xfId="1" applyNumberFormat="1" applyFont="1" applyFill="1" applyBorder="1" applyAlignment="1">
      <alignment horizontal="center" vertical="center" wrapText="1"/>
    </xf>
    <xf numFmtId="3" fontId="60" fillId="8" borderId="40" xfId="0" applyNumberFormat="1" applyFont="1" applyFill="1" applyBorder="1" applyAlignment="1">
      <alignment horizontal="center" vertical="center"/>
    </xf>
    <xf numFmtId="0" fontId="59" fillId="0" borderId="40" xfId="1" applyFont="1" applyFill="1" applyBorder="1" applyAlignment="1">
      <alignment horizontal="center" vertical="center" wrapText="1"/>
    </xf>
    <xf numFmtId="166" fontId="17" fillId="0" borderId="14" xfId="6" applyFont="1" applyFill="1" applyBorder="1" applyAlignment="1">
      <alignment horizontal="center" vertical="center"/>
    </xf>
    <xf numFmtId="0" fontId="0" fillId="0" borderId="0" xfId="0" applyAlignment="1">
      <alignment wrapText="1"/>
    </xf>
    <xf numFmtId="0" fontId="61" fillId="15" borderId="41" xfId="0" applyFont="1" applyFill="1" applyBorder="1" applyAlignment="1">
      <alignment vertical="top" wrapText="1"/>
    </xf>
    <xf numFmtId="0" fontId="61" fillId="16" borderId="35" xfId="0" applyFont="1" applyFill="1" applyBorder="1" applyAlignment="1">
      <alignment vertical="top" wrapText="1"/>
    </xf>
    <xf numFmtId="0" fontId="61" fillId="16" borderId="35" xfId="0" applyFont="1" applyFill="1" applyBorder="1" applyAlignment="1">
      <alignment horizontal="right" vertical="top" wrapText="1"/>
    </xf>
    <xf numFmtId="0" fontId="43" fillId="0" borderId="35" xfId="0" applyFont="1" applyBorder="1" applyAlignment="1">
      <alignment vertical="top" wrapText="1" indent="1"/>
    </xf>
    <xf numFmtId="0" fontId="61" fillId="15" borderId="41" xfId="0" applyFont="1" applyFill="1" applyBorder="1" applyAlignment="1">
      <alignment horizontal="right" vertical="top" wrapText="1"/>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7" borderId="12" xfId="0" applyNumberFormat="1" applyFont="1" applyFill="1" applyBorder="1" applyAlignment="1">
      <alignment horizontal="center" vertical="center"/>
    </xf>
    <xf numFmtId="49" fontId="18" fillId="17" borderId="20"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 fontId="25" fillId="0" borderId="30" xfId="1" applyNumberFormat="1" applyFont="1" applyFill="1" applyBorder="1" applyAlignment="1">
      <alignment horizontal="center" vertical="center" wrapText="1"/>
    </xf>
    <xf numFmtId="9" fontId="27" fillId="0" borderId="14" xfId="7" applyFont="1" applyFill="1" applyBorder="1" applyAlignment="1">
      <alignment horizontal="center" vertical="center" wrapText="1"/>
    </xf>
    <xf numFmtId="3" fontId="62" fillId="0" borderId="0" xfId="0" applyNumberFormat="1" applyFont="1"/>
    <xf numFmtId="169" fontId="30" fillId="12" borderId="0" xfId="6" applyNumberFormat="1" applyFont="1" applyFill="1" applyAlignment="1">
      <alignment horizontal="center" vertical="center"/>
    </xf>
    <xf numFmtId="4" fontId="30" fillId="12" borderId="0" xfId="6" applyNumberFormat="1" applyFont="1" applyFill="1" applyAlignment="1">
      <alignment horizontal="center" vertical="center"/>
    </xf>
    <xf numFmtId="4" fontId="63" fillId="0" borderId="0" xfId="1" applyNumberFormat="1" applyFont="1" applyAlignment="1">
      <alignment horizontal="center" vertical="center"/>
    </xf>
    <xf numFmtId="4" fontId="27" fillId="0" borderId="14" xfId="1" applyNumberFormat="1" applyFont="1" applyFill="1" applyBorder="1" applyAlignment="1">
      <alignment horizontal="center" vertical="center"/>
    </xf>
    <xf numFmtId="4" fontId="64" fillId="0" borderId="0" xfId="1" applyNumberFormat="1" applyFont="1" applyAlignment="1">
      <alignment horizontal="center" vertical="center"/>
    </xf>
    <xf numFmtId="0" fontId="56" fillId="2" borderId="32" xfId="0" applyFont="1" applyFill="1" applyBorder="1"/>
    <xf numFmtId="3" fontId="57" fillId="2" borderId="32" xfId="0" applyNumberFormat="1" applyFont="1" applyFill="1" applyBorder="1"/>
    <xf numFmtId="3" fontId="56" fillId="2" borderId="32" xfId="0" applyNumberFormat="1" applyFont="1" applyFill="1" applyBorder="1"/>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9" fontId="26" fillId="0" borderId="30" xfId="7" applyFont="1" applyFill="1" applyBorder="1" applyAlignment="1">
      <alignment horizontal="center" vertical="center" wrapText="1"/>
    </xf>
    <xf numFmtId="9" fontId="26" fillId="0" borderId="30" xfId="7" applyFont="1" applyFill="1" applyBorder="1" applyAlignment="1">
      <alignment horizontal="center" vertical="center"/>
    </xf>
    <xf numFmtId="9" fontId="26" fillId="0" borderId="14" xfId="7" applyFont="1" applyFill="1" applyBorder="1" applyAlignment="1">
      <alignment horizontal="center" vertical="center" wrapText="1"/>
    </xf>
    <xf numFmtId="4" fontId="66" fillId="11" borderId="16" xfId="1" applyNumberFormat="1" applyFont="1" applyFill="1" applyBorder="1" applyAlignment="1">
      <alignment horizontal="center" vertical="center"/>
    </xf>
    <xf numFmtId="0" fontId="26" fillId="0" borderId="14" xfId="1" applyNumberFormat="1" applyFont="1" applyFill="1" applyBorder="1" applyAlignment="1">
      <alignment horizontal="center" vertical="center"/>
    </xf>
    <xf numFmtId="4" fontId="35" fillId="6" borderId="25" xfId="1" applyNumberFormat="1" applyFont="1" applyFill="1" applyBorder="1" applyAlignment="1">
      <alignment horizontal="center" vertical="center"/>
    </xf>
    <xf numFmtId="10" fontId="66" fillId="3" borderId="15" xfId="1" applyNumberFormat="1" applyFont="1" applyFill="1" applyBorder="1" applyAlignment="1">
      <alignment horizontal="center" vertical="center"/>
    </xf>
    <xf numFmtId="10" fontId="66" fillId="0" borderId="34" xfId="1" applyNumberFormat="1" applyFont="1" applyFill="1" applyBorder="1" applyAlignment="1">
      <alignment horizontal="center" vertical="center"/>
    </xf>
    <xf numFmtId="4" fontId="66" fillId="4" borderId="15" xfId="1" applyNumberFormat="1" applyFont="1" applyFill="1" applyBorder="1" applyAlignment="1">
      <alignment horizontal="center" vertical="center"/>
    </xf>
    <xf numFmtId="10" fontId="66" fillId="4" borderId="14" xfId="1" applyNumberFormat="1" applyFont="1" applyFill="1" applyBorder="1" applyAlignment="1">
      <alignment horizontal="center" vertical="center"/>
    </xf>
    <xf numFmtId="4" fontId="66" fillId="6" borderId="25" xfId="1" applyNumberFormat="1" applyFont="1" applyFill="1" applyBorder="1" applyAlignment="1">
      <alignment horizontal="center" vertical="center"/>
    </xf>
    <xf numFmtId="4" fontId="26" fillId="0" borderId="28" xfId="1" applyNumberFormat="1" applyFont="1" applyFill="1" applyBorder="1" applyAlignment="1">
      <alignment horizontal="center" vertical="center"/>
    </xf>
    <xf numFmtId="4" fontId="66" fillId="11" borderId="11" xfId="1" applyNumberFormat="1" applyFont="1" applyFill="1" applyBorder="1" applyAlignment="1">
      <alignment horizontal="center" vertical="center"/>
    </xf>
    <xf numFmtId="4" fontId="66" fillId="4" borderId="17" xfId="1" applyNumberFormat="1" applyFont="1" applyFill="1" applyBorder="1" applyAlignment="1">
      <alignment horizontal="center" vertical="center"/>
    </xf>
    <xf numFmtId="9" fontId="19" fillId="0" borderId="14" xfId="7" applyFont="1" applyFill="1" applyBorder="1" applyAlignment="1">
      <alignment horizontal="center" vertical="center"/>
    </xf>
    <xf numFmtId="9" fontId="19" fillId="0" borderId="30" xfId="7" applyFont="1" applyFill="1" applyBorder="1" applyAlignment="1">
      <alignment horizontal="center" vertical="center"/>
    </xf>
    <xf numFmtId="9" fontId="19" fillId="0" borderId="30" xfId="7" applyFont="1" applyFill="1" applyBorder="1" applyAlignment="1">
      <alignment horizontal="center" vertical="center" wrapText="1"/>
    </xf>
    <xf numFmtId="9" fontId="67" fillId="0" borderId="14" xfId="7" applyFont="1" applyFill="1" applyBorder="1" applyAlignment="1">
      <alignment horizontal="center" vertical="center" wrapText="1"/>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9" fontId="68" fillId="0" borderId="14" xfId="7" applyFont="1" applyFill="1" applyBorder="1" applyAlignment="1">
      <alignment horizontal="center" vertical="center"/>
    </xf>
    <xf numFmtId="9" fontId="67" fillId="0" borderId="30" xfId="7" applyFont="1" applyFill="1" applyBorder="1" applyAlignment="1">
      <alignment horizontal="center" vertical="center" wrapText="1"/>
    </xf>
    <xf numFmtId="4" fontId="68" fillId="0" borderId="0" xfId="1" applyNumberFormat="1" applyFont="1" applyAlignment="1">
      <alignment horizontal="center" vertical="center"/>
    </xf>
    <xf numFmtId="4" fontId="30" fillId="0" borderId="0" xfId="1" applyNumberFormat="1" applyFont="1" applyAlignment="1">
      <alignment horizontal="center" vertical="center"/>
    </xf>
    <xf numFmtId="4" fontId="70" fillId="0" borderId="0" xfId="1" applyNumberFormat="1" applyFont="1" applyAlignment="1">
      <alignment horizontal="center" vertical="center"/>
    </xf>
    <xf numFmtId="9" fontId="68" fillId="0" borderId="30" xfId="7"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9" fontId="68" fillId="0" borderId="30" xfId="7" applyFont="1" applyFill="1" applyBorder="1" applyAlignment="1">
      <alignment horizontal="center" vertical="center" wrapText="1"/>
    </xf>
    <xf numFmtId="9" fontId="67" fillId="0" borderId="14" xfId="7" applyFont="1" applyFill="1" applyBorder="1" applyAlignment="1">
      <alignment horizontal="center" vertical="center"/>
    </xf>
    <xf numFmtId="9" fontId="71" fillId="0" borderId="14" xfId="7" applyFont="1" applyFill="1" applyBorder="1" applyAlignment="1">
      <alignment horizontal="center" vertical="center"/>
    </xf>
    <xf numFmtId="9" fontId="67" fillId="0" borderId="30" xfId="7" applyFont="1" applyFill="1" applyBorder="1" applyAlignment="1">
      <alignment horizontal="center" vertical="center"/>
    </xf>
    <xf numFmtId="0" fontId="26" fillId="0" borderId="30" xfId="1" applyNumberFormat="1" applyFont="1" applyFill="1" applyBorder="1" applyAlignment="1">
      <alignment horizontal="center" vertical="center"/>
    </xf>
    <xf numFmtId="4" fontId="66" fillId="6" borderId="16" xfId="1" applyNumberFormat="1" applyFont="1" applyFill="1" applyBorder="1" applyAlignment="1">
      <alignment horizontal="center" vertical="center"/>
    </xf>
    <xf numFmtId="4" fontId="66" fillId="8" borderId="27" xfId="1" applyNumberFormat="1" applyFont="1" applyFill="1" applyBorder="1" applyAlignment="1">
      <alignment horizontal="center" vertical="center"/>
    </xf>
    <xf numFmtId="0" fontId="26" fillId="0" borderId="13" xfId="1" applyNumberFormat="1" applyFont="1" applyFill="1" applyBorder="1" applyAlignment="1">
      <alignment horizontal="center" vertical="center"/>
    </xf>
    <xf numFmtId="10" fontId="66" fillId="3" borderId="17" xfId="1" applyNumberFormat="1" applyFont="1" applyFill="1" applyBorder="1" applyAlignment="1">
      <alignment horizontal="center" vertical="center"/>
    </xf>
    <xf numFmtId="4" fontId="26" fillId="0" borderId="0" xfId="1" applyNumberFormat="1" applyFont="1" applyAlignment="1">
      <alignment horizontal="center" vertical="center"/>
    </xf>
    <xf numFmtId="9" fontId="19" fillId="0" borderId="14" xfId="7" applyFont="1" applyFill="1" applyBorder="1" applyAlignment="1">
      <alignment horizontal="center" vertical="center" wrapText="1"/>
    </xf>
    <xf numFmtId="4" fontId="26" fillId="0" borderId="30" xfId="1" applyNumberFormat="1" applyFont="1" applyFill="1" applyBorder="1" applyAlignment="1">
      <alignment horizontal="center" vertical="center" wrapText="1"/>
    </xf>
    <xf numFmtId="9" fontId="71" fillId="0" borderId="14" xfId="7" applyFont="1" applyFill="1" applyBorder="1" applyAlignment="1">
      <alignment horizontal="center" vertical="center" wrapText="1"/>
    </xf>
    <xf numFmtId="1" fontId="19" fillId="0" borderId="30" xfId="7" applyNumberFormat="1" applyFont="1" applyFill="1" applyBorder="1" applyAlignment="1">
      <alignment horizontal="center" vertical="center" wrapText="1"/>
    </xf>
    <xf numFmtId="3" fontId="25" fillId="0" borderId="30" xfId="1" applyNumberFormat="1" applyFont="1" applyFill="1" applyBorder="1" applyAlignment="1">
      <alignment horizontal="center" vertical="center" wrapText="1"/>
    </xf>
    <xf numFmtId="10" fontId="0" fillId="0" borderId="0" xfId="7" applyNumberFormat="1" applyFont="1" applyFill="1"/>
    <xf numFmtId="3" fontId="27" fillId="0" borderId="59" xfId="1" applyNumberFormat="1" applyFont="1" applyFill="1" applyBorder="1" applyAlignment="1">
      <alignment horizontal="center" vertical="center"/>
    </xf>
    <xf numFmtId="3" fontId="27" fillId="0" borderId="53" xfId="6" applyNumberFormat="1" applyFont="1" applyFill="1" applyBorder="1" applyAlignment="1">
      <alignment horizontal="center" vertical="center"/>
    </xf>
    <xf numFmtId="9" fontId="36" fillId="0" borderId="52" xfId="7" applyFont="1" applyFill="1" applyBorder="1" applyAlignment="1">
      <alignment horizontal="center" vertical="center"/>
    </xf>
    <xf numFmtId="167" fontId="27" fillId="0" borderId="57" xfId="6" applyNumberFormat="1" applyFont="1" applyFill="1" applyBorder="1" applyAlignment="1">
      <alignment horizontal="center" vertical="center"/>
    </xf>
    <xf numFmtId="166" fontId="27" fillId="0" borderId="53" xfId="6" applyFont="1" applyFill="1" applyBorder="1" applyAlignment="1">
      <alignment horizontal="center" vertical="center"/>
    </xf>
    <xf numFmtId="9" fontId="36" fillId="0" borderId="57" xfId="7" applyFont="1" applyFill="1" applyBorder="1" applyAlignment="1">
      <alignment horizontal="center" vertical="center"/>
    </xf>
    <xf numFmtId="1" fontId="27" fillId="0" borderId="52" xfId="7" applyNumberFormat="1" applyFont="1" applyFill="1" applyBorder="1" applyAlignment="1">
      <alignment horizontal="center" vertical="center" wrapText="1"/>
    </xf>
    <xf numFmtId="4" fontId="25" fillId="0" borderId="52" xfId="1" applyNumberFormat="1" applyFont="1" applyFill="1" applyBorder="1" applyAlignment="1">
      <alignment horizontal="center" vertical="center"/>
    </xf>
    <xf numFmtId="3" fontId="25" fillId="0" borderId="52" xfId="1" applyNumberFormat="1" applyFont="1" applyFill="1" applyBorder="1" applyAlignment="1">
      <alignment horizontal="center" vertical="center"/>
    </xf>
    <xf numFmtId="9" fontId="27" fillId="0" borderId="52" xfId="7" applyFont="1" applyFill="1" applyBorder="1" applyAlignment="1">
      <alignment horizontal="center" vertical="center" wrapText="1"/>
    </xf>
    <xf numFmtId="9" fontId="19" fillId="0" borderId="52" xfId="7" applyFont="1" applyFill="1" applyBorder="1" applyAlignment="1">
      <alignment horizontal="center" vertical="center" wrapText="1"/>
    </xf>
    <xf numFmtId="9" fontId="27" fillId="0" borderId="52" xfId="7" applyFont="1" applyFill="1" applyBorder="1" applyAlignment="1">
      <alignment horizontal="center" vertical="center"/>
    </xf>
    <xf numFmtId="166" fontId="27" fillId="0" borderId="52" xfId="6" applyFont="1" applyFill="1" applyBorder="1" applyAlignment="1">
      <alignment horizontal="center" vertical="center"/>
    </xf>
    <xf numFmtId="4" fontId="25" fillId="0" borderId="52" xfId="1" applyNumberFormat="1" applyFont="1" applyFill="1" applyBorder="1" applyAlignment="1">
      <alignment horizontal="center" vertical="center" wrapText="1"/>
    </xf>
    <xf numFmtId="4" fontId="26" fillId="0" borderId="52" xfId="1" applyNumberFormat="1" applyFont="1" applyFill="1" applyBorder="1" applyAlignment="1">
      <alignment horizontal="center" vertical="center" wrapText="1"/>
    </xf>
    <xf numFmtId="9" fontId="19" fillId="0" borderId="52" xfId="7" applyFont="1" applyFill="1" applyBorder="1" applyAlignment="1">
      <alignment horizontal="center" vertical="center"/>
    </xf>
    <xf numFmtId="9" fontId="67" fillId="0" borderId="52" xfId="7" applyFont="1" applyFill="1" applyBorder="1" applyAlignment="1">
      <alignment horizontal="center" vertical="center" wrapText="1"/>
    </xf>
    <xf numFmtId="9" fontId="26" fillId="0" borderId="52" xfId="7" applyFont="1" applyFill="1" applyBorder="1" applyAlignment="1">
      <alignment horizontal="center" vertical="center" wrapText="1"/>
    </xf>
    <xf numFmtId="9" fontId="68" fillId="0" borderId="52" xfId="7" applyFont="1" applyFill="1" applyBorder="1" applyAlignment="1">
      <alignment horizontal="center" vertical="center" wrapText="1"/>
    </xf>
    <xf numFmtId="9" fontId="68" fillId="0" borderId="52" xfId="7" applyFont="1" applyFill="1" applyBorder="1" applyAlignment="1">
      <alignment horizontal="center" vertical="center"/>
    </xf>
    <xf numFmtId="9" fontId="26" fillId="0" borderId="52" xfId="7"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3" fontId="25" fillId="19" borderId="30" xfId="1" applyNumberFormat="1" applyFont="1" applyFill="1" applyBorder="1" applyAlignment="1">
      <alignment horizontal="center" vertical="center"/>
    </xf>
    <xf numFmtId="0" fontId="19" fillId="0" borderId="60" xfId="1" applyFont="1" applyBorder="1" applyAlignment="1">
      <alignment vertical="center"/>
    </xf>
    <xf numFmtId="9" fontId="71" fillId="0" borderId="30" xfId="7" applyFont="1" applyFill="1" applyBorder="1" applyAlignment="1">
      <alignment horizontal="center" vertical="center" wrapText="1"/>
    </xf>
    <xf numFmtId="0" fontId="19" fillId="0" borderId="33" xfId="1" applyFont="1" applyBorder="1" applyAlignment="1">
      <alignment horizontal="left" vertical="center"/>
    </xf>
    <xf numFmtId="4" fontId="26" fillId="0" borderId="64" xfId="1" applyNumberFormat="1" applyFont="1" applyFill="1" applyBorder="1" applyAlignment="1">
      <alignment horizontal="center" vertical="center"/>
    </xf>
    <xf numFmtId="4" fontId="26" fillId="0" borderId="53" xfId="1" applyNumberFormat="1" applyFont="1" applyFill="1" applyBorder="1" applyAlignment="1">
      <alignment horizontal="center" vertical="center"/>
    </xf>
    <xf numFmtId="10" fontId="26" fillId="0" borderId="52" xfId="1" applyNumberFormat="1" applyFont="1" applyFill="1" applyBorder="1" applyAlignment="1">
      <alignment horizontal="center" vertical="center"/>
    </xf>
    <xf numFmtId="10" fontId="39" fillId="0" borderId="52" xfId="1" applyNumberFormat="1" applyFont="1" applyFill="1" applyBorder="1" applyAlignment="1">
      <alignment horizontal="center" vertical="center"/>
    </xf>
    <xf numFmtId="10" fontId="26" fillId="0" borderId="53" xfId="1" applyNumberFormat="1" applyFont="1" applyFill="1" applyBorder="1" applyAlignment="1">
      <alignment horizontal="center" vertical="center"/>
    </xf>
    <xf numFmtId="9" fontId="39" fillId="0" borderId="52" xfId="7" applyFont="1" applyFill="1" applyBorder="1" applyAlignment="1">
      <alignment horizontal="center" vertical="center"/>
    </xf>
    <xf numFmtId="9" fontId="46" fillId="0" borderId="52" xfId="7" applyFont="1" applyFill="1" applyBorder="1" applyAlignment="1">
      <alignment horizontal="center" vertical="center"/>
    </xf>
    <xf numFmtId="0" fontId="19" fillId="0" borderId="63" xfId="1" applyFont="1" applyBorder="1" applyAlignment="1">
      <alignment vertical="center"/>
    </xf>
    <xf numFmtId="3" fontId="27" fillId="0" borderId="19" xfId="1" applyNumberFormat="1" applyFont="1" applyFill="1" applyBorder="1" applyAlignment="1">
      <alignment horizontal="center" vertical="center"/>
    </xf>
    <xf numFmtId="3" fontId="27" fillId="0" borderId="62" xfId="1" applyNumberFormat="1" applyFont="1" applyFill="1" applyBorder="1" applyAlignment="1">
      <alignment horizontal="center" vertical="center"/>
    </xf>
    <xf numFmtId="3" fontId="27" fillId="0" borderId="63" xfId="6" applyNumberFormat="1" applyFont="1" applyFill="1" applyBorder="1" applyAlignment="1">
      <alignment horizontal="center" vertical="center"/>
    </xf>
    <xf numFmtId="9" fontId="36" fillId="0" borderId="58" xfId="7" applyFont="1" applyFill="1" applyBorder="1" applyAlignment="1">
      <alignment horizontal="center" vertical="center"/>
    </xf>
    <xf numFmtId="166" fontId="27" fillId="0" borderId="63" xfId="6" applyFont="1" applyFill="1" applyBorder="1" applyAlignment="1">
      <alignment horizontal="center" vertical="center"/>
    </xf>
    <xf numFmtId="3" fontId="52" fillId="0" borderId="63" xfId="0" applyNumberFormat="1" applyFont="1" applyFill="1" applyBorder="1" applyAlignment="1" applyProtection="1">
      <alignment horizontal="center" vertical="center" wrapText="1"/>
    </xf>
    <xf numFmtId="4" fontId="25" fillId="0" borderId="58" xfId="1" applyNumberFormat="1" applyFont="1" applyFill="1" applyBorder="1" applyAlignment="1">
      <alignment horizontal="center" vertical="center"/>
    </xf>
    <xf numFmtId="3" fontId="25" fillId="0" borderId="58" xfId="1" applyNumberFormat="1" applyFont="1" applyFill="1" applyBorder="1" applyAlignment="1">
      <alignment horizontal="center" vertical="center"/>
    </xf>
    <xf numFmtId="9" fontId="27" fillId="0" borderId="58" xfId="7" applyFont="1" applyFill="1" applyBorder="1" applyAlignment="1">
      <alignment horizontal="center" vertical="center"/>
    </xf>
    <xf numFmtId="9" fontId="19" fillId="0" borderId="58" xfId="7" applyFont="1" applyFill="1" applyBorder="1" applyAlignment="1">
      <alignment horizontal="center" vertical="center"/>
    </xf>
    <xf numFmtId="0" fontId="19" fillId="0" borderId="53" xfId="1" applyFont="1" applyBorder="1" applyAlignment="1">
      <alignment vertical="center"/>
    </xf>
    <xf numFmtId="3" fontId="27" fillId="0" borderId="64" xfId="1" applyNumberFormat="1" applyFont="1" applyFill="1" applyBorder="1" applyAlignment="1">
      <alignment horizontal="center" vertical="center"/>
    </xf>
    <xf numFmtId="3" fontId="52" fillId="0" borderId="60" xfId="0" applyNumberFormat="1" applyFont="1" applyFill="1" applyBorder="1" applyAlignment="1" applyProtection="1">
      <alignment horizontal="center" vertical="center" wrapText="1"/>
    </xf>
    <xf numFmtId="4" fontId="19" fillId="0" borderId="52" xfId="1" applyNumberFormat="1" applyFont="1" applyFill="1" applyBorder="1" applyAlignment="1">
      <alignment horizontal="center" vertical="center"/>
    </xf>
    <xf numFmtId="0" fontId="19" fillId="0" borderId="60" xfId="1" applyFont="1" applyFill="1" applyBorder="1" applyAlignment="1">
      <alignment vertical="center"/>
    </xf>
    <xf numFmtId="1" fontId="19" fillId="0" borderId="52" xfId="7" applyNumberFormat="1" applyFont="1" applyFill="1" applyBorder="1" applyAlignment="1">
      <alignment horizontal="center" vertical="center" wrapText="1"/>
    </xf>
    <xf numFmtId="9" fontId="27" fillId="0" borderId="57" xfId="7" applyFont="1" applyFill="1" applyBorder="1" applyAlignment="1">
      <alignment horizontal="center" vertical="center"/>
    </xf>
    <xf numFmtId="0" fontId="19" fillId="0" borderId="60" xfId="1" applyFont="1" applyBorder="1" applyAlignment="1">
      <alignment vertical="center" wrapText="1"/>
    </xf>
    <xf numFmtId="3" fontId="27" fillId="0" borderId="60" xfId="1" applyNumberFormat="1" applyFont="1" applyFill="1" applyBorder="1" applyAlignment="1">
      <alignment horizontal="center" vertical="center"/>
    </xf>
    <xf numFmtId="0" fontId="19" fillId="0" borderId="67" xfId="1" applyFont="1" applyBorder="1" applyAlignment="1">
      <alignment vertical="center"/>
    </xf>
    <xf numFmtId="1" fontId="45" fillId="0" borderId="52" xfId="7" applyNumberFormat="1" applyFont="1" applyFill="1" applyBorder="1" applyAlignment="1">
      <alignment horizontal="center" vertical="center" wrapText="1"/>
    </xf>
    <xf numFmtId="9" fontId="26" fillId="0" borderId="57" xfId="7" applyFont="1" applyFill="1" applyBorder="1" applyAlignment="1">
      <alignment horizontal="center" vertical="center"/>
    </xf>
    <xf numFmtId="0" fontId="19" fillId="0" borderId="66" xfId="1" applyFont="1" applyBorder="1" applyAlignment="1">
      <alignment vertical="center"/>
    </xf>
    <xf numFmtId="3" fontId="27" fillId="0" borderId="32" xfId="1" applyNumberFormat="1" applyFont="1" applyFill="1" applyBorder="1" applyAlignment="1">
      <alignment horizontal="center" vertical="center"/>
    </xf>
    <xf numFmtId="3" fontId="27" fillId="0" borderId="65" xfId="1" applyNumberFormat="1" applyFont="1" applyFill="1" applyBorder="1" applyAlignment="1">
      <alignment horizontal="center" vertical="center"/>
    </xf>
    <xf numFmtId="3" fontId="27" fillId="0" borderId="7" xfId="6" applyNumberFormat="1" applyFont="1" applyFill="1" applyBorder="1" applyAlignment="1">
      <alignment horizontal="center" vertical="center"/>
    </xf>
    <xf numFmtId="9" fontId="36" fillId="0" borderId="61" xfId="7" applyFont="1" applyFill="1" applyBorder="1" applyAlignment="1">
      <alignment horizontal="center" vertical="center"/>
    </xf>
    <xf numFmtId="167" fontId="27" fillId="0" borderId="61" xfId="6" applyNumberFormat="1" applyFont="1" applyFill="1" applyBorder="1" applyAlignment="1">
      <alignment horizontal="center" vertical="center"/>
    </xf>
    <xf numFmtId="166" fontId="27" fillId="0" borderId="7" xfId="6" applyFont="1" applyFill="1" applyBorder="1" applyAlignment="1">
      <alignment horizontal="center" vertical="center"/>
    </xf>
    <xf numFmtId="1" fontId="27" fillId="0" borderId="20" xfId="7" applyNumberFormat="1" applyFont="1" applyFill="1" applyBorder="1" applyAlignment="1">
      <alignment horizontal="center" vertical="center" wrapText="1"/>
    </xf>
    <xf numFmtId="4" fontId="25" fillId="0" borderId="20" xfId="1" applyNumberFormat="1" applyFont="1" applyFill="1" applyBorder="1" applyAlignment="1">
      <alignment horizontal="center" vertical="center"/>
    </xf>
    <xf numFmtId="3" fontId="25" fillId="0" borderId="20" xfId="1" applyNumberFormat="1" applyFont="1" applyFill="1" applyBorder="1" applyAlignment="1">
      <alignment horizontal="center" vertical="center"/>
    </xf>
    <xf numFmtId="9" fontId="27" fillId="0" borderId="61" xfId="7" applyFont="1" applyFill="1" applyBorder="1" applyAlignment="1">
      <alignment horizontal="center" vertical="center"/>
    </xf>
    <xf numFmtId="9" fontId="26" fillId="0" borderId="61" xfId="7" applyFont="1" applyFill="1" applyBorder="1" applyAlignment="1">
      <alignment horizontal="center" vertical="center"/>
    </xf>
    <xf numFmtId="9" fontId="27" fillId="0" borderId="58" xfId="7" applyFont="1" applyFill="1" applyBorder="1" applyAlignment="1">
      <alignment horizontal="center" vertical="center" wrapText="1"/>
    </xf>
    <xf numFmtId="9" fontId="19" fillId="0" borderId="58" xfId="7" applyFont="1" applyFill="1" applyBorder="1" applyAlignment="1">
      <alignment horizontal="center" vertical="center" wrapText="1"/>
    </xf>
    <xf numFmtId="9" fontId="19" fillId="0" borderId="57" xfId="7" applyFont="1" applyFill="1" applyBorder="1" applyAlignment="1">
      <alignment horizontal="center" vertical="center"/>
    </xf>
    <xf numFmtId="9" fontId="27" fillId="0" borderId="57" xfId="7" applyFont="1" applyFill="1" applyBorder="1" applyAlignment="1">
      <alignment horizontal="center" vertical="center" wrapText="1"/>
    </xf>
    <xf numFmtId="9" fontId="19" fillId="0" borderId="57" xfId="7" applyFont="1" applyFill="1" applyBorder="1" applyAlignment="1">
      <alignment horizontal="center" vertical="center" wrapText="1"/>
    </xf>
    <xf numFmtId="9" fontId="26" fillId="0" borderId="57" xfId="7" applyFont="1" applyFill="1" applyBorder="1" applyAlignment="1">
      <alignment horizontal="center" vertical="center" wrapText="1"/>
    </xf>
    <xf numFmtId="4" fontId="25" fillId="0" borderId="28" xfId="1" applyNumberFormat="1" applyFont="1" applyFill="1" applyBorder="1" applyAlignment="1">
      <alignment horizontal="center" vertical="center" wrapText="1"/>
    </xf>
    <xf numFmtId="166" fontId="26" fillId="0" borderId="34" xfId="6" applyFont="1" applyFill="1" applyBorder="1" applyAlignment="1">
      <alignment horizontal="center" vertical="center"/>
    </xf>
    <xf numFmtId="4" fontId="58" fillId="0" borderId="0" xfId="0" applyNumberFormat="1" applyFont="1" applyFill="1"/>
    <xf numFmtId="4" fontId="0" fillId="0" borderId="0" xfId="0" applyNumberFormat="1" applyFill="1"/>
    <xf numFmtId="0" fontId="0" fillId="0" borderId="0" xfId="0" applyFill="1"/>
    <xf numFmtId="166" fontId="19" fillId="0" borderId="34" xfId="6" applyFont="1" applyFill="1" applyBorder="1" applyAlignment="1">
      <alignment horizontal="center" vertical="center"/>
    </xf>
    <xf numFmtId="0" fontId="56" fillId="2" borderId="32" xfId="0" applyFont="1" applyFill="1" applyBorder="1" applyAlignment="1">
      <alignment wrapText="1"/>
    </xf>
    <xf numFmtId="3" fontId="56" fillId="2" borderId="32" xfId="0" applyNumberFormat="1" applyFont="1" applyFill="1" applyBorder="1" applyAlignment="1">
      <alignment horizontal="right" vertical="center"/>
    </xf>
    <xf numFmtId="9" fontId="36" fillId="11" borderId="14" xfId="7" applyFont="1" applyFill="1" applyBorder="1" applyAlignment="1">
      <alignment horizontal="center" vertical="center"/>
    </xf>
    <xf numFmtId="9" fontId="36" fillId="7" borderId="14" xfId="7" applyFont="1" applyFill="1" applyBorder="1" applyAlignment="1">
      <alignment horizontal="center" vertical="center"/>
    </xf>
    <xf numFmtId="9" fontId="36" fillId="25" borderId="14" xfId="7" applyFont="1" applyFill="1" applyBorder="1" applyAlignment="1">
      <alignment horizontal="center" vertical="center"/>
    </xf>
    <xf numFmtId="49" fontId="18" fillId="26" borderId="3" xfId="0" applyNumberFormat="1" applyFont="1" applyFill="1" applyBorder="1" applyAlignment="1">
      <alignment horizontal="center" vertical="center"/>
    </xf>
    <xf numFmtId="49" fontId="18" fillId="26" borderId="9" xfId="0" applyNumberFormat="1" applyFont="1" applyFill="1" applyBorder="1" applyAlignment="1">
      <alignment horizontal="center" vertical="center"/>
    </xf>
    <xf numFmtId="4" fontId="25" fillId="0" borderId="36" xfId="1" applyNumberFormat="1" applyFont="1" applyFill="1" applyBorder="1" applyAlignment="1">
      <alignment horizontal="center" vertical="center"/>
    </xf>
    <xf numFmtId="4" fontId="24" fillId="11" borderId="59" xfId="1" applyNumberFormat="1" applyFont="1" applyFill="1" applyBorder="1" applyAlignment="1">
      <alignment horizontal="center" vertical="center"/>
    </xf>
    <xf numFmtId="4" fontId="24" fillId="8" borderId="67" xfId="1" applyNumberFormat="1" applyFont="1" applyFill="1" applyBorder="1" applyAlignment="1">
      <alignment horizontal="center" vertical="center"/>
    </xf>
    <xf numFmtId="4" fontId="24" fillId="6" borderId="60" xfId="1" applyNumberFormat="1" applyFont="1" applyFill="1" applyBorder="1" applyAlignment="1">
      <alignment horizontal="center" vertical="center"/>
    </xf>
    <xf numFmtId="10" fontId="24" fillId="3" borderId="65" xfId="1" applyNumberFormat="1" applyFont="1" applyFill="1" applyBorder="1" applyAlignment="1">
      <alignment horizontal="center" vertical="center"/>
    </xf>
    <xf numFmtId="4" fontId="25" fillId="0" borderId="33" xfId="1" applyNumberFormat="1" applyFont="1" applyFill="1" applyBorder="1" applyAlignment="1">
      <alignment horizontal="center" vertical="center"/>
    </xf>
    <xf numFmtId="9" fontId="36" fillId="0" borderId="68" xfId="7" applyFont="1" applyFill="1" applyBorder="1" applyAlignment="1">
      <alignment horizontal="center" vertical="center"/>
    </xf>
    <xf numFmtId="9" fontId="36" fillId="0" borderId="70" xfId="7" applyFont="1" applyFill="1" applyBorder="1" applyAlignment="1">
      <alignment horizontal="center" vertical="center"/>
    </xf>
    <xf numFmtId="10" fontId="26" fillId="0" borderId="19" xfId="1" applyNumberFormat="1" applyFont="1" applyFill="1" applyBorder="1" applyAlignment="1">
      <alignment horizontal="center" vertical="center"/>
    </xf>
    <xf numFmtId="4" fontId="25" fillId="0" borderId="0" xfId="1" applyNumberFormat="1" applyFont="1" applyFill="1" applyBorder="1" applyAlignment="1">
      <alignment horizontal="center" vertical="center"/>
    </xf>
    <xf numFmtId="9" fontId="27" fillId="0" borderId="24" xfId="7" applyFont="1" applyFill="1" applyBorder="1" applyAlignment="1">
      <alignment horizontal="center" vertical="center"/>
    </xf>
    <xf numFmtId="9" fontId="36" fillId="28" borderId="12" xfId="7" applyFont="1" applyFill="1" applyBorder="1" applyAlignment="1">
      <alignment horizontal="center" vertical="center"/>
    </xf>
    <xf numFmtId="3" fontId="24" fillId="4" borderId="64" xfId="1" applyNumberFormat="1" applyFont="1" applyFill="1" applyBorder="1" applyAlignment="1">
      <alignment horizontal="center" vertical="center"/>
    </xf>
    <xf numFmtId="4" fontId="24" fillId="4" borderId="53" xfId="1" applyNumberFormat="1" applyFont="1" applyFill="1" applyBorder="1" applyAlignment="1">
      <alignment horizontal="center" vertical="center"/>
    </xf>
    <xf numFmtId="9" fontId="36" fillId="28" borderId="36" xfId="7" applyFont="1" applyFill="1" applyBorder="1" applyAlignment="1">
      <alignment horizontal="center" vertical="center"/>
    </xf>
    <xf numFmtId="9" fontId="36" fillId="28" borderId="20" xfId="7" applyFont="1" applyFill="1" applyBorder="1" applyAlignment="1">
      <alignment horizontal="center" vertical="center"/>
    </xf>
    <xf numFmtId="10" fontId="27" fillId="0" borderId="19" xfId="1" applyNumberFormat="1" applyFont="1" applyFill="1" applyBorder="1" applyAlignment="1">
      <alignment horizontal="center" vertical="center"/>
    </xf>
    <xf numFmtId="10" fontId="26" fillId="0" borderId="24" xfId="1" applyNumberFormat="1" applyFont="1" applyFill="1" applyBorder="1" applyAlignment="1">
      <alignment horizontal="center" vertical="center"/>
    </xf>
    <xf numFmtId="4" fontId="25" fillId="0" borderId="66" xfId="1" applyNumberFormat="1" applyFont="1" applyFill="1" applyBorder="1" applyAlignment="1">
      <alignment horizontal="center" vertical="center"/>
    </xf>
    <xf numFmtId="4" fontId="25" fillId="0" borderId="61" xfId="1" applyNumberFormat="1" applyFont="1" applyFill="1" applyBorder="1" applyAlignment="1">
      <alignment horizontal="center" vertical="center"/>
    </xf>
    <xf numFmtId="3" fontId="24" fillId="4" borderId="8" xfId="1" applyNumberFormat="1" applyFont="1" applyFill="1" applyBorder="1" applyAlignment="1">
      <alignment horizontal="center" vertical="center"/>
    </xf>
    <xf numFmtId="10" fontId="24" fillId="4" borderId="52" xfId="1" applyNumberFormat="1" applyFont="1" applyFill="1" applyBorder="1" applyAlignment="1">
      <alignment horizontal="center" vertical="center"/>
    </xf>
    <xf numFmtId="4" fontId="25" fillId="0" borderId="60" xfId="1" applyNumberFormat="1" applyFont="1" applyFill="1" applyBorder="1" applyAlignment="1">
      <alignment horizontal="center" vertical="center"/>
    </xf>
    <xf numFmtId="4" fontId="25" fillId="0" borderId="57" xfId="1" applyNumberFormat="1" applyFont="1" applyFill="1" applyBorder="1" applyAlignment="1">
      <alignment horizontal="center" vertical="center"/>
    </xf>
    <xf numFmtId="3" fontId="27" fillId="0" borderId="60" xfId="6" applyNumberFormat="1" applyFont="1" applyFill="1" applyBorder="1" applyAlignment="1">
      <alignment horizontal="center" vertical="center"/>
    </xf>
    <xf numFmtId="4" fontId="25" fillId="0" borderId="53" xfId="1" applyNumberFormat="1" applyFont="1" applyFill="1" applyBorder="1" applyAlignment="1">
      <alignment horizontal="center" vertical="center"/>
    </xf>
    <xf numFmtId="4" fontId="29" fillId="8" borderId="67" xfId="1" applyNumberFormat="1" applyFont="1" applyFill="1" applyBorder="1" applyAlignment="1">
      <alignment horizontal="center" vertical="center"/>
    </xf>
    <xf numFmtId="3" fontId="24" fillId="8" borderId="67" xfId="1" applyNumberFormat="1" applyFont="1" applyFill="1" applyBorder="1" applyAlignment="1">
      <alignment horizontal="center" vertical="center"/>
    </xf>
    <xf numFmtId="9" fontId="36" fillId="0" borderId="12" xfId="7" applyFont="1" applyFill="1" applyBorder="1" applyAlignment="1">
      <alignment horizontal="center" vertical="center"/>
    </xf>
    <xf numFmtId="3" fontId="27" fillId="0" borderId="63" xfId="1" applyNumberFormat="1" applyFont="1" applyFill="1" applyBorder="1" applyAlignment="1">
      <alignment horizontal="center" vertical="center"/>
    </xf>
    <xf numFmtId="3" fontId="27" fillId="0" borderId="58" xfId="1" applyNumberFormat="1" applyFont="1" applyFill="1" applyBorder="1" applyAlignment="1">
      <alignment horizontal="center" vertical="center"/>
    </xf>
    <xf numFmtId="0" fontId="27" fillId="0" borderId="58" xfId="1" applyNumberFormat="1" applyFont="1" applyFill="1" applyBorder="1" applyAlignment="1">
      <alignment horizontal="center" vertical="center"/>
    </xf>
    <xf numFmtId="9" fontId="36" fillId="0" borderId="58" xfId="7" applyFont="1" applyFill="1" applyBorder="1" applyAlignment="1">
      <alignment horizontal="center" vertical="center" wrapText="1"/>
    </xf>
    <xf numFmtId="9" fontId="36" fillId="0" borderId="51" xfId="7" applyFont="1" applyFill="1" applyBorder="1" applyAlignment="1">
      <alignment horizontal="center" vertical="center"/>
    </xf>
    <xf numFmtId="3" fontId="24" fillId="6" borderId="60" xfId="1" applyNumberFormat="1" applyFont="1" applyFill="1" applyBorder="1" applyAlignment="1">
      <alignment horizontal="center" vertical="center"/>
    </xf>
    <xf numFmtId="4" fontId="29" fillId="6" borderId="60" xfId="1" applyNumberFormat="1" applyFont="1" applyFill="1" applyBorder="1" applyAlignment="1">
      <alignment horizontal="center" vertical="center"/>
    </xf>
    <xf numFmtId="4" fontId="24" fillId="6" borderId="59" xfId="1" applyNumberFormat="1" applyFont="1" applyFill="1" applyBorder="1" applyAlignment="1">
      <alignment horizontal="center" vertical="center"/>
    </xf>
    <xf numFmtId="9" fontId="36" fillId="27" borderId="51" xfId="7" applyFont="1" applyFill="1" applyBorder="1" applyAlignment="1">
      <alignment horizontal="center" vertical="center"/>
    </xf>
    <xf numFmtId="9" fontId="24" fillId="3" borderId="65" xfId="7" applyFont="1" applyFill="1" applyBorder="1" applyAlignment="1">
      <alignment horizontal="center" vertical="center"/>
    </xf>
    <xf numFmtId="3" fontId="24" fillId="3" borderId="65" xfId="1" applyNumberFormat="1" applyFont="1" applyFill="1" applyBorder="1" applyAlignment="1">
      <alignment horizontal="center" vertical="center"/>
    </xf>
    <xf numFmtId="9" fontId="24" fillId="3" borderId="66" xfId="7" applyFont="1" applyFill="1" applyBorder="1" applyAlignment="1">
      <alignment horizontal="center" vertical="center"/>
    </xf>
    <xf numFmtId="10" fontId="24" fillId="3" borderId="66" xfId="1" applyNumberFormat="1" applyFont="1" applyFill="1" applyBorder="1" applyAlignment="1">
      <alignment horizontal="center" vertical="center"/>
    </xf>
    <xf numFmtId="9" fontId="36" fillId="11" borderId="51" xfId="7" applyFont="1" applyFill="1" applyBorder="1" applyAlignment="1">
      <alignment horizontal="center" vertical="center"/>
    </xf>
    <xf numFmtId="3" fontId="24" fillId="4" borderId="62" xfId="1" applyNumberFormat="1" applyFont="1" applyFill="1" applyBorder="1" applyAlignment="1">
      <alignment horizontal="center" vertical="center"/>
    </xf>
    <xf numFmtId="3" fontId="24" fillId="4" borderId="63" xfId="1" applyNumberFormat="1" applyFont="1" applyFill="1" applyBorder="1" applyAlignment="1">
      <alignment horizontal="center" vertical="center"/>
    </xf>
    <xf numFmtId="9" fontId="36" fillId="4" borderId="58" xfId="7" applyFont="1" applyFill="1" applyBorder="1" applyAlignment="1">
      <alignment horizontal="center" vertical="center"/>
    </xf>
    <xf numFmtId="4" fontId="24" fillId="4" borderId="63" xfId="1" applyNumberFormat="1" applyFont="1" applyFill="1" applyBorder="1" applyAlignment="1">
      <alignment horizontal="center" vertical="center"/>
    </xf>
    <xf numFmtId="3" fontId="27" fillId="5" borderId="60" xfId="1" applyNumberFormat="1" applyFont="1" applyFill="1" applyBorder="1" applyAlignment="1">
      <alignment horizontal="center" vertical="center"/>
    </xf>
    <xf numFmtId="9" fontId="36" fillId="0" borderId="54" xfId="7" applyFont="1" applyFill="1" applyBorder="1" applyAlignment="1">
      <alignment horizontal="center" vertical="center"/>
    </xf>
    <xf numFmtId="3" fontId="24" fillId="4" borderId="59" xfId="1" applyNumberFormat="1" applyFont="1" applyFill="1" applyBorder="1" applyAlignment="1">
      <alignment horizontal="center" vertical="center"/>
    </xf>
    <xf numFmtId="9" fontId="36" fillId="4" borderId="52" xfId="7" applyFont="1" applyFill="1" applyBorder="1" applyAlignment="1">
      <alignment horizontal="center" vertical="center"/>
    </xf>
    <xf numFmtId="10" fontId="24" fillId="4" borderId="57" xfId="1" applyNumberFormat="1" applyFont="1" applyFill="1" applyBorder="1" applyAlignment="1">
      <alignment horizontal="center" vertical="center"/>
    </xf>
    <xf numFmtId="3" fontId="24" fillId="4" borderId="65" xfId="1" applyNumberFormat="1" applyFont="1" applyFill="1" applyBorder="1" applyAlignment="1">
      <alignment horizontal="center" vertical="center"/>
    </xf>
    <xf numFmtId="10" fontId="26" fillId="0" borderId="61" xfId="1" applyNumberFormat="1" applyFont="1" applyFill="1" applyBorder="1" applyAlignment="1">
      <alignment horizontal="center" vertical="center"/>
    </xf>
    <xf numFmtId="3" fontId="24" fillId="8" borderId="66" xfId="1" applyNumberFormat="1" applyFont="1" applyFill="1" applyBorder="1" applyAlignment="1">
      <alignment horizontal="center" vertical="center"/>
    </xf>
    <xf numFmtId="3" fontId="25" fillId="0" borderId="61" xfId="1" applyNumberFormat="1" applyFont="1" applyFill="1" applyBorder="1" applyAlignment="1">
      <alignment horizontal="center" vertical="center"/>
    </xf>
    <xf numFmtId="4" fontId="66" fillId="4" borderId="62" xfId="1" applyNumberFormat="1" applyFont="1" applyFill="1" applyBorder="1" applyAlignment="1">
      <alignment horizontal="center" vertical="center"/>
    </xf>
    <xf numFmtId="3" fontId="25" fillId="0" borderId="33" xfId="1" applyNumberFormat="1" applyFont="1" applyFill="1" applyBorder="1" applyAlignment="1">
      <alignment horizontal="center" vertical="center"/>
    </xf>
    <xf numFmtId="3" fontId="25" fillId="0" borderId="19" xfId="1" applyNumberFormat="1" applyFont="1" applyFill="1" applyBorder="1" applyAlignment="1">
      <alignment horizontal="center" vertical="center"/>
    </xf>
    <xf numFmtId="3" fontId="25" fillId="0" borderId="9" xfId="1" applyNumberFormat="1" applyFont="1" applyFill="1" applyBorder="1" applyAlignment="1">
      <alignment horizontal="center" vertical="center"/>
    </xf>
    <xf numFmtId="9" fontId="36" fillId="0" borderId="60" xfId="7" applyFont="1" applyFill="1" applyBorder="1" applyAlignment="1">
      <alignment horizontal="center" vertical="center"/>
    </xf>
    <xf numFmtId="9" fontId="36" fillId="0" borderId="66" xfId="7" applyFont="1" applyFill="1" applyBorder="1" applyAlignment="1">
      <alignment horizontal="center" vertical="center"/>
    </xf>
    <xf numFmtId="3" fontId="25" fillId="0" borderId="60" xfId="1" applyNumberFormat="1" applyFont="1" applyFill="1" applyBorder="1" applyAlignment="1">
      <alignment horizontal="center" vertical="center"/>
    </xf>
    <xf numFmtId="3" fontId="25" fillId="0" borderId="24" xfId="1" applyNumberFormat="1" applyFont="1" applyFill="1" applyBorder="1" applyAlignment="1">
      <alignment horizontal="center" vertical="center"/>
    </xf>
    <xf numFmtId="3" fontId="25" fillId="0" borderId="57" xfId="1" applyNumberFormat="1" applyFont="1" applyFill="1" applyBorder="1" applyAlignment="1">
      <alignment horizontal="center" vertical="center" wrapText="1"/>
    </xf>
    <xf numFmtId="4" fontId="25" fillId="0" borderId="7" xfId="1" applyNumberFormat="1" applyFont="1" applyFill="1" applyBorder="1" applyAlignment="1">
      <alignment horizontal="center" vertical="center"/>
    </xf>
    <xf numFmtId="3" fontId="25" fillId="0" borderId="33" xfId="1" applyNumberFormat="1" applyFont="1" applyFill="1" applyBorder="1" applyAlignment="1">
      <alignment horizontal="center" vertical="center" wrapText="1"/>
    </xf>
    <xf numFmtId="3" fontId="27" fillId="0" borderId="52" xfId="6" applyNumberFormat="1" applyFont="1" applyFill="1" applyBorder="1" applyAlignment="1">
      <alignment horizontal="center" vertical="center"/>
    </xf>
    <xf numFmtId="10" fontId="26" fillId="0" borderId="32" xfId="1" applyNumberFormat="1" applyFont="1" applyFill="1" applyBorder="1" applyAlignment="1">
      <alignment horizontal="center" vertical="center"/>
    </xf>
    <xf numFmtId="4" fontId="25" fillId="0" borderId="6" xfId="1" applyNumberFormat="1" applyFont="1" applyFill="1" applyBorder="1" applyAlignment="1">
      <alignment horizontal="center" vertical="center"/>
    </xf>
    <xf numFmtId="3" fontId="24" fillId="4" borderId="52" xfId="1" applyNumberFormat="1" applyFont="1" applyFill="1" applyBorder="1" applyAlignment="1">
      <alignment horizontal="center" vertical="center"/>
    </xf>
    <xf numFmtId="10" fontId="27" fillId="0" borderId="61" xfId="1" applyNumberFormat="1" applyFont="1" applyFill="1" applyBorder="1" applyAlignment="1">
      <alignment horizontal="center" vertical="center"/>
    </xf>
    <xf numFmtId="10" fontId="66" fillId="4" borderId="52" xfId="1" applyNumberFormat="1" applyFont="1" applyFill="1" applyBorder="1" applyAlignment="1">
      <alignment horizontal="center" vertical="center"/>
    </xf>
    <xf numFmtId="10" fontId="26" fillId="0" borderId="20" xfId="1" applyNumberFormat="1" applyFont="1" applyFill="1" applyBorder="1" applyAlignment="1">
      <alignment horizontal="center" vertical="center"/>
    </xf>
    <xf numFmtId="4" fontId="27" fillId="26" borderId="21" xfId="1" applyNumberFormat="1" applyFont="1" applyFill="1" applyBorder="1" applyAlignment="1">
      <alignment horizontal="center" vertical="center"/>
    </xf>
    <xf numFmtId="4" fontId="25" fillId="26" borderId="30" xfId="1" applyNumberFormat="1" applyFont="1" applyFill="1" applyBorder="1" applyAlignment="1">
      <alignment horizontal="center" vertical="center"/>
    </xf>
    <xf numFmtId="0" fontId="19" fillId="0" borderId="64" xfId="1" applyFont="1" applyBorder="1" applyAlignment="1">
      <alignment vertical="center"/>
    </xf>
    <xf numFmtId="4" fontId="25" fillId="0" borderId="54" xfId="1"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0" fontId="19" fillId="0" borderId="24" xfId="1" applyFont="1" applyFill="1" applyBorder="1" applyAlignment="1">
      <alignment horizontal="left" vertical="center" wrapText="1"/>
    </xf>
    <xf numFmtId="4" fontId="26" fillId="0" borderId="34" xfId="1" applyNumberFormat="1" applyFont="1" applyFill="1" applyBorder="1" applyAlignment="1">
      <alignment horizontal="center" vertical="center"/>
    </xf>
    <xf numFmtId="0" fontId="24" fillId="11" borderId="55" xfId="1" applyFont="1" applyFill="1" applyBorder="1" applyAlignment="1">
      <alignment vertical="center"/>
    </xf>
    <xf numFmtId="3" fontId="24" fillId="11" borderId="55" xfId="1" applyNumberFormat="1" applyFont="1" applyFill="1" applyBorder="1" applyAlignment="1">
      <alignment horizontal="center" vertical="center"/>
    </xf>
    <xf numFmtId="3" fontId="24" fillId="11" borderId="56" xfId="1" applyNumberFormat="1" applyFont="1" applyFill="1" applyBorder="1" applyAlignment="1">
      <alignment horizontal="center" vertical="center"/>
    </xf>
    <xf numFmtId="4" fontId="24" fillId="11" borderId="51" xfId="1" applyNumberFormat="1" applyFont="1" applyFill="1" applyBorder="1" applyAlignment="1">
      <alignment horizontal="center" vertical="center"/>
    </xf>
    <xf numFmtId="3" fontId="25" fillId="0" borderId="67" xfId="1" applyNumberFormat="1" applyFont="1" applyFill="1" applyBorder="1" applyAlignment="1">
      <alignment horizontal="center" vertical="center"/>
    </xf>
    <xf numFmtId="3" fontId="27" fillId="0" borderId="6" xfId="6" applyNumberFormat="1" applyFont="1" applyFill="1" applyBorder="1" applyAlignment="1">
      <alignment horizontal="center" vertical="center"/>
    </xf>
    <xf numFmtId="1" fontId="27" fillId="0" borderId="36" xfId="7" applyNumberFormat="1" applyFont="1" applyFill="1" applyBorder="1" applyAlignment="1">
      <alignment horizontal="center" vertical="center" wrapText="1"/>
    </xf>
    <xf numFmtId="9" fontId="36" fillId="0" borderId="72" xfId="7" applyFont="1" applyFill="1" applyBorder="1" applyAlignment="1">
      <alignment horizontal="center" vertical="center"/>
    </xf>
    <xf numFmtId="1" fontId="27" fillId="11" borderId="51" xfId="7" applyNumberFormat="1" applyFont="1" applyFill="1" applyBorder="1" applyAlignment="1">
      <alignment horizontal="center" vertical="center" wrapText="1"/>
    </xf>
    <xf numFmtId="9" fontId="16" fillId="0" borderId="0" xfId="7" applyFont="1" applyAlignment="1">
      <alignment horizontal="center" vertical="center"/>
    </xf>
    <xf numFmtId="49" fontId="18" fillId="26" borderId="3" xfId="0" applyNumberFormat="1" applyFont="1" applyFill="1" applyBorder="1" applyAlignment="1">
      <alignment horizontal="center" vertical="center"/>
    </xf>
    <xf numFmtId="49" fontId="18" fillId="26" borderId="9" xfId="0" applyNumberFormat="1" applyFont="1" applyFill="1" applyBorder="1" applyAlignment="1">
      <alignment horizontal="center" vertical="center"/>
    </xf>
    <xf numFmtId="0" fontId="16" fillId="0" borderId="0" xfId="1" applyAlignment="1">
      <alignment horizontal="right" vertical="center"/>
    </xf>
    <xf numFmtId="49" fontId="18" fillId="26" borderId="3" xfId="0" applyNumberFormat="1" applyFont="1" applyFill="1" applyBorder="1" applyAlignment="1">
      <alignment horizontal="center" vertical="center"/>
    </xf>
    <xf numFmtId="49" fontId="18" fillId="26" borderId="9" xfId="0" applyNumberFormat="1" applyFont="1" applyFill="1" applyBorder="1" applyAlignment="1">
      <alignment horizontal="center" vertical="center"/>
    </xf>
    <xf numFmtId="0" fontId="33" fillId="12" borderId="55" xfId="1" applyFont="1" applyFill="1" applyBorder="1" applyAlignment="1">
      <alignment horizontal="center" vertical="center" wrapText="1"/>
    </xf>
    <xf numFmtId="4" fontId="24" fillId="11" borderId="1" xfId="1" applyNumberFormat="1" applyFont="1" applyFill="1" applyBorder="1" applyAlignment="1">
      <alignment horizontal="center" vertical="center"/>
    </xf>
    <xf numFmtId="4" fontId="66" fillId="11" borderId="59" xfId="1" applyNumberFormat="1" applyFont="1" applyFill="1" applyBorder="1" applyAlignment="1">
      <alignment horizontal="center" vertical="center"/>
    </xf>
    <xf numFmtId="10" fontId="26" fillId="0" borderId="36" xfId="1" applyNumberFormat="1" applyFont="1" applyFill="1" applyBorder="1" applyAlignment="1">
      <alignment horizontal="center" vertical="center"/>
    </xf>
    <xf numFmtId="4" fontId="35" fillId="6" borderId="56" xfId="1" applyNumberFormat="1" applyFont="1" applyFill="1" applyBorder="1" applyAlignment="1">
      <alignment horizontal="center" vertical="center"/>
    </xf>
    <xf numFmtId="10" fontId="66" fillId="0" borderId="61" xfId="1" applyNumberFormat="1" applyFont="1" applyFill="1" applyBorder="1" applyAlignment="1">
      <alignment horizontal="center" vertical="center"/>
    </xf>
    <xf numFmtId="10" fontId="26" fillId="5" borderId="36" xfId="1" applyNumberFormat="1" applyFont="1" applyFill="1" applyBorder="1" applyAlignment="1">
      <alignment horizontal="center" vertical="center"/>
    </xf>
    <xf numFmtId="10" fontId="24" fillId="3" borderId="62" xfId="1" applyNumberFormat="1" applyFont="1" applyFill="1" applyBorder="1" applyAlignment="1">
      <alignment horizontal="center" vertical="center"/>
    </xf>
    <xf numFmtId="4" fontId="24" fillId="4" borderId="65" xfId="1" applyNumberFormat="1" applyFont="1" applyFill="1" applyBorder="1" applyAlignment="1">
      <alignment horizontal="center" vertical="center"/>
    </xf>
    <xf numFmtId="10" fontId="27" fillId="0" borderId="52" xfId="1" applyNumberFormat="1" applyFont="1" applyFill="1" applyBorder="1" applyAlignment="1">
      <alignment horizontal="center" vertical="center"/>
    </xf>
    <xf numFmtId="0" fontId="27" fillId="0" borderId="52" xfId="1" applyNumberFormat="1" applyFont="1" applyFill="1" applyBorder="1" applyAlignment="1">
      <alignment horizontal="center" vertical="center"/>
    </xf>
    <xf numFmtId="4" fontId="28" fillId="6" borderId="59" xfId="1" applyNumberFormat="1" applyFont="1" applyFill="1" applyBorder="1" applyAlignment="1">
      <alignment horizontal="center" vertical="center"/>
    </xf>
    <xf numFmtId="0" fontId="19" fillId="0" borderId="23" xfId="1" applyFont="1" applyFill="1" applyBorder="1" applyAlignment="1">
      <alignment vertical="center"/>
    </xf>
    <xf numFmtId="10" fontId="24" fillId="4" borderId="29" xfId="1" applyNumberFormat="1" applyFont="1" applyFill="1" applyBorder="1" applyAlignment="1">
      <alignment horizontal="center" vertical="center"/>
    </xf>
    <xf numFmtId="4" fontId="24" fillId="6" borderId="55" xfId="1" applyNumberFormat="1" applyFont="1" applyFill="1" applyBorder="1" applyAlignment="1">
      <alignment horizontal="center" vertical="center"/>
    </xf>
    <xf numFmtId="10" fontId="27" fillId="0" borderId="36" xfId="1" applyNumberFormat="1" applyFont="1" applyFill="1" applyBorder="1" applyAlignment="1">
      <alignment horizontal="center" vertical="center"/>
    </xf>
    <xf numFmtId="4" fontId="20" fillId="6" borderId="56" xfId="1" applyNumberFormat="1" applyFont="1" applyFill="1" applyBorder="1" applyAlignment="1">
      <alignment horizontal="center" vertical="center"/>
    </xf>
    <xf numFmtId="10" fontId="24" fillId="0" borderId="61" xfId="1" applyNumberFormat="1" applyFont="1" applyFill="1" applyBorder="1" applyAlignment="1">
      <alignment horizontal="center" vertical="center"/>
    </xf>
    <xf numFmtId="4" fontId="24" fillId="4" borderId="64" xfId="1" applyNumberFormat="1" applyFont="1" applyFill="1" applyBorder="1" applyAlignment="1">
      <alignment horizontal="center" vertical="center"/>
    </xf>
    <xf numFmtId="9" fontId="36" fillId="11" borderId="12" xfId="7" applyFont="1" applyFill="1" applyBorder="1" applyAlignment="1">
      <alignment horizontal="center" vertical="center"/>
    </xf>
    <xf numFmtId="4" fontId="24" fillId="4" borderId="62" xfId="1" applyNumberFormat="1" applyFont="1" applyFill="1" applyBorder="1" applyAlignment="1">
      <alignment horizontal="center" vertical="center"/>
    </xf>
    <xf numFmtId="0" fontId="33" fillId="12" borderId="56" xfId="1" applyFont="1" applyFill="1" applyBorder="1" applyAlignment="1">
      <alignment horizontal="center" vertical="center" wrapText="1"/>
    </xf>
    <xf numFmtId="0" fontId="42" fillId="12" borderId="56" xfId="1" applyFont="1" applyFill="1" applyBorder="1" applyAlignment="1">
      <alignment horizontal="center" vertical="center" wrapText="1"/>
    </xf>
    <xf numFmtId="4" fontId="24" fillId="11" borderId="56" xfId="1" applyNumberFormat="1" applyFont="1" applyFill="1" applyBorder="1" applyAlignment="1">
      <alignment horizontal="center" vertical="center"/>
    </xf>
    <xf numFmtId="4" fontId="66" fillId="11" borderId="51" xfId="1" applyNumberFormat="1" applyFont="1" applyFill="1" applyBorder="1" applyAlignment="1">
      <alignment horizontal="center" vertical="center"/>
    </xf>
    <xf numFmtId="10" fontId="26" fillId="0" borderId="58" xfId="1" applyNumberFormat="1" applyFont="1" applyFill="1" applyBorder="1" applyAlignment="1">
      <alignment horizontal="center" vertical="center"/>
    </xf>
    <xf numFmtId="4" fontId="24" fillId="11" borderId="60" xfId="1" applyNumberFormat="1" applyFont="1" applyFill="1" applyBorder="1" applyAlignment="1">
      <alignment horizontal="center" vertical="center"/>
    </xf>
    <xf numFmtId="4" fontId="66" fillId="11" borderId="60" xfId="1" applyNumberFormat="1" applyFont="1" applyFill="1" applyBorder="1" applyAlignment="1">
      <alignment horizontal="center" vertical="center"/>
    </xf>
    <xf numFmtId="10" fontId="24" fillId="3" borderId="63" xfId="1" applyNumberFormat="1" applyFont="1" applyFill="1" applyBorder="1" applyAlignment="1">
      <alignment horizontal="center" vertical="center"/>
    </xf>
    <xf numFmtId="10" fontId="66" fillId="3" borderId="63" xfId="1" applyNumberFormat="1" applyFont="1" applyFill="1" applyBorder="1" applyAlignment="1">
      <alignment horizontal="center" vertical="center"/>
    </xf>
    <xf numFmtId="10" fontId="24" fillId="0" borderId="66" xfId="1" applyNumberFormat="1" applyFont="1" applyFill="1" applyBorder="1" applyAlignment="1">
      <alignment horizontal="center" vertical="center"/>
    </xf>
    <xf numFmtId="3" fontId="24" fillId="4" borderId="53" xfId="1" applyNumberFormat="1" applyFont="1" applyFill="1" applyBorder="1" applyAlignment="1">
      <alignment horizontal="center" vertical="center"/>
    </xf>
    <xf numFmtId="9" fontId="36" fillId="4" borderId="57" xfId="7" applyFont="1" applyFill="1" applyBorder="1" applyAlignment="1">
      <alignment horizontal="center" vertical="center"/>
    </xf>
    <xf numFmtId="4" fontId="66" fillId="4" borderId="63" xfId="1" applyNumberFormat="1" applyFont="1" applyFill="1" applyBorder="1" applyAlignment="1">
      <alignment horizontal="center" vertical="center"/>
    </xf>
    <xf numFmtId="9" fontId="68" fillId="0" borderId="57" xfId="7" applyFont="1" applyFill="1" applyBorder="1" applyAlignment="1">
      <alignment horizontal="center" vertical="center"/>
    </xf>
    <xf numFmtId="4" fontId="69" fillId="4" borderId="63" xfId="1" applyNumberFormat="1" applyFont="1" applyFill="1" applyBorder="1" applyAlignment="1">
      <alignment horizontal="center" vertical="center"/>
    </xf>
    <xf numFmtId="10" fontId="26" fillId="5" borderId="61" xfId="1" applyNumberFormat="1" applyFont="1" applyFill="1" applyBorder="1" applyAlignment="1">
      <alignment horizontal="center" vertical="center"/>
    </xf>
    <xf numFmtId="3" fontId="25" fillId="0" borderId="53" xfId="1" applyNumberFormat="1" applyFont="1" applyFill="1" applyBorder="1" applyAlignment="1">
      <alignment horizontal="center" vertical="center"/>
    </xf>
    <xf numFmtId="3" fontId="24" fillId="6" borderId="56" xfId="1" applyNumberFormat="1" applyFont="1" applyFill="1" applyBorder="1" applyAlignment="1">
      <alignment horizontal="center" vertical="center"/>
    </xf>
    <xf numFmtId="4" fontId="24" fillId="6" borderId="56" xfId="1" applyNumberFormat="1" applyFont="1" applyFill="1" applyBorder="1" applyAlignment="1">
      <alignment horizontal="center" vertical="center"/>
    </xf>
    <xf numFmtId="4" fontId="69" fillId="6" borderId="56" xfId="1" applyNumberFormat="1" applyFont="1" applyFill="1" applyBorder="1" applyAlignment="1">
      <alignment horizontal="center" vertical="center"/>
    </xf>
    <xf numFmtId="10" fontId="69" fillId="3" borderId="63" xfId="1" applyNumberFormat="1" applyFont="1" applyFill="1" applyBorder="1" applyAlignment="1">
      <alignment horizontal="center" vertical="center"/>
    </xf>
    <xf numFmtId="3" fontId="24" fillId="4" borderId="66" xfId="1" applyNumberFormat="1" applyFont="1" applyFill="1" applyBorder="1" applyAlignment="1">
      <alignment horizontal="center" vertical="center"/>
    </xf>
    <xf numFmtId="4" fontId="24" fillId="4" borderId="66" xfId="1" applyNumberFormat="1" applyFont="1" applyFill="1" applyBorder="1" applyAlignment="1">
      <alignment horizontal="center" vertical="center"/>
    </xf>
    <xf numFmtId="10" fontId="27" fillId="0" borderId="58" xfId="1" applyNumberFormat="1" applyFont="1" applyFill="1" applyBorder="1" applyAlignment="1">
      <alignment horizontal="center" vertical="center"/>
    </xf>
    <xf numFmtId="10" fontId="68" fillId="0" borderId="58" xfId="1" applyNumberFormat="1" applyFont="1" applyFill="1" applyBorder="1" applyAlignment="1">
      <alignment horizontal="center" vertical="center"/>
    </xf>
    <xf numFmtId="10" fontId="26" fillId="0" borderId="57" xfId="1" applyNumberFormat="1" applyFont="1" applyFill="1" applyBorder="1" applyAlignment="1">
      <alignment horizontal="center" vertical="center"/>
    </xf>
    <xf numFmtId="3" fontId="28" fillId="6" borderId="59" xfId="1" applyNumberFormat="1" applyFont="1" applyFill="1" applyBorder="1" applyAlignment="1">
      <alignment horizontal="center" vertical="center"/>
    </xf>
    <xf numFmtId="3" fontId="28" fillId="6" borderId="60" xfId="1" applyNumberFormat="1" applyFont="1" applyFill="1" applyBorder="1" applyAlignment="1">
      <alignment horizontal="center" vertical="center"/>
    </xf>
    <xf numFmtId="4" fontId="28" fillId="6" borderId="60" xfId="1" applyNumberFormat="1" applyFont="1" applyFill="1" applyBorder="1" applyAlignment="1">
      <alignment horizontal="center" vertical="center"/>
    </xf>
    <xf numFmtId="4" fontId="25" fillId="0" borderId="36" xfId="1" applyNumberFormat="1" applyFont="1" applyFill="1" applyBorder="1" applyAlignment="1">
      <alignment horizontal="center" vertical="center" wrapText="1"/>
    </xf>
    <xf numFmtId="9" fontId="36" fillId="0" borderId="20" xfId="7" applyFont="1" applyFill="1" applyBorder="1" applyAlignment="1">
      <alignment horizontal="center" vertical="center"/>
    </xf>
    <xf numFmtId="4" fontId="24" fillId="11" borderId="55" xfId="1" applyNumberFormat="1" applyFont="1" applyFill="1" applyBorder="1" applyAlignment="1">
      <alignment horizontal="center" vertical="center"/>
    </xf>
    <xf numFmtId="0" fontId="35" fillId="0" borderId="0" xfId="1" applyFont="1"/>
    <xf numFmtId="4" fontId="86" fillId="0" borderId="0" xfId="1" applyNumberFormat="1" applyFont="1" applyAlignment="1">
      <alignment horizontal="center" vertical="center"/>
    </xf>
    <xf numFmtId="4" fontId="87" fillId="0" borderId="0" xfId="1" applyNumberFormat="1" applyFont="1" applyAlignment="1">
      <alignment horizontal="center" vertical="center"/>
    </xf>
    <xf numFmtId="3" fontId="16" fillId="0" borderId="0" xfId="1" applyNumberFormat="1"/>
    <xf numFmtId="49" fontId="18" fillId="31" borderId="3" xfId="0" applyNumberFormat="1" applyFont="1" applyFill="1" applyBorder="1" applyAlignment="1">
      <alignment horizontal="center" vertical="center"/>
    </xf>
    <xf numFmtId="49" fontId="18" fillId="31" borderId="9" xfId="0" applyNumberFormat="1" applyFont="1" applyFill="1" applyBorder="1" applyAlignment="1">
      <alignment horizontal="center" vertical="center"/>
    </xf>
    <xf numFmtId="49" fontId="18" fillId="32" borderId="3" xfId="0" applyNumberFormat="1" applyFont="1" applyFill="1" applyBorder="1" applyAlignment="1">
      <alignment horizontal="center" vertical="center"/>
    </xf>
    <xf numFmtId="49" fontId="18" fillId="32" borderId="9" xfId="0" applyNumberFormat="1" applyFont="1" applyFill="1" applyBorder="1" applyAlignment="1">
      <alignment horizontal="center" vertical="center"/>
    </xf>
    <xf numFmtId="0" fontId="27" fillId="0" borderId="57" xfId="1" applyNumberFormat="1" applyFont="1" applyFill="1" applyBorder="1" applyAlignment="1">
      <alignment horizontal="center" vertical="center"/>
    </xf>
    <xf numFmtId="0" fontId="42" fillId="12" borderId="51" xfId="1" applyFont="1" applyFill="1" applyBorder="1" applyAlignment="1">
      <alignment horizontal="center" vertical="center" wrapText="1"/>
    </xf>
    <xf numFmtId="4" fontId="24" fillId="11" borderId="57" xfId="1" applyNumberFormat="1" applyFont="1" applyFill="1" applyBorder="1" applyAlignment="1">
      <alignment horizontal="center" vertical="center"/>
    </xf>
    <xf numFmtId="4" fontId="20" fillId="6" borderId="51" xfId="1" applyNumberFormat="1" applyFont="1" applyFill="1" applyBorder="1" applyAlignment="1">
      <alignment horizontal="center" vertical="center"/>
    </xf>
    <xf numFmtId="10" fontId="24" fillId="3" borderId="58" xfId="1" applyNumberFormat="1" applyFont="1" applyFill="1" applyBorder="1" applyAlignment="1">
      <alignment horizontal="center" vertical="center"/>
    </xf>
    <xf numFmtId="4" fontId="24" fillId="4" borderId="58" xfId="1" applyNumberFormat="1" applyFont="1" applyFill="1" applyBorder="1" applyAlignment="1">
      <alignment horizontal="center" vertical="center"/>
    </xf>
    <xf numFmtId="4" fontId="24" fillId="6" borderId="51" xfId="1" applyNumberFormat="1" applyFont="1" applyFill="1" applyBorder="1" applyAlignment="1">
      <alignment horizontal="center" vertical="center"/>
    </xf>
    <xf numFmtId="4" fontId="24" fillId="4" borderId="61" xfId="1" applyNumberFormat="1" applyFont="1" applyFill="1" applyBorder="1" applyAlignment="1">
      <alignment horizontal="center" vertical="center"/>
    </xf>
    <xf numFmtId="4" fontId="28" fillId="6" borderId="57" xfId="1" applyNumberFormat="1" applyFont="1" applyFill="1" applyBorder="1" applyAlignment="1">
      <alignment horizontal="center" vertical="center"/>
    </xf>
    <xf numFmtId="4" fontId="24" fillId="8" borderId="54" xfId="1" applyNumberFormat="1" applyFont="1" applyFill="1" applyBorder="1" applyAlignment="1">
      <alignment horizontal="center" vertical="center"/>
    </xf>
    <xf numFmtId="4" fontId="24" fillId="6" borderId="57" xfId="1" applyNumberFormat="1" applyFont="1" applyFill="1" applyBorder="1" applyAlignment="1">
      <alignment horizontal="center" vertical="center"/>
    </xf>
    <xf numFmtId="9" fontId="24" fillId="3" borderId="7" xfId="7" applyFont="1" applyFill="1" applyBorder="1" applyAlignment="1">
      <alignment horizontal="center" vertical="center"/>
    </xf>
    <xf numFmtId="3" fontId="25" fillId="0" borderId="63" xfId="1" applyNumberFormat="1" applyFont="1" applyFill="1" applyBorder="1" applyAlignment="1">
      <alignment horizontal="center" vertical="center"/>
    </xf>
    <xf numFmtId="3" fontId="25" fillId="0" borderId="7" xfId="1" applyNumberFormat="1" applyFont="1" applyFill="1" applyBorder="1" applyAlignment="1">
      <alignment horizontal="center" vertical="center"/>
    </xf>
    <xf numFmtId="10" fontId="27" fillId="0" borderId="66" xfId="1" applyNumberFormat="1" applyFont="1" applyFill="1" applyBorder="1" applyAlignment="1">
      <alignment horizontal="center" vertical="center"/>
    </xf>
    <xf numFmtId="10" fontId="26" fillId="5" borderId="66" xfId="1" applyNumberFormat="1" applyFont="1" applyFill="1" applyBorder="1" applyAlignment="1">
      <alignment horizontal="center" vertical="center"/>
    </xf>
    <xf numFmtId="166" fontId="26" fillId="0" borderId="66" xfId="6" applyFont="1" applyFill="1" applyBorder="1" applyAlignment="1">
      <alignment horizontal="center" vertical="center"/>
    </xf>
    <xf numFmtId="10" fontId="27" fillId="0" borderId="63" xfId="1" applyNumberFormat="1" applyFont="1" applyFill="1" applyBorder="1" applyAlignment="1">
      <alignment horizontal="center" vertical="center"/>
    </xf>
    <xf numFmtId="10" fontId="26" fillId="0" borderId="60" xfId="1" applyNumberFormat="1" applyFont="1" applyFill="1" applyBorder="1" applyAlignment="1">
      <alignment horizontal="center" vertical="center"/>
    </xf>
    <xf numFmtId="3" fontId="24" fillId="6" borderId="66" xfId="1" applyNumberFormat="1" applyFont="1" applyFill="1" applyBorder="1" applyAlignment="1">
      <alignment horizontal="center" vertical="center"/>
    </xf>
    <xf numFmtId="4" fontId="25" fillId="26" borderId="52" xfId="1" applyNumberFormat="1" applyFont="1" applyFill="1" applyBorder="1" applyAlignment="1">
      <alignment horizontal="center" vertical="center"/>
    </xf>
    <xf numFmtId="3" fontId="25" fillId="0" borderId="52" xfId="1" applyNumberFormat="1" applyFont="1" applyFill="1" applyBorder="1" applyAlignment="1">
      <alignment horizontal="center" vertical="center" wrapText="1"/>
    </xf>
    <xf numFmtId="3" fontId="25" fillId="0" borderId="36" xfId="1" applyNumberFormat="1" applyFont="1" applyFill="1" applyBorder="1" applyAlignment="1">
      <alignment horizontal="center" vertical="center" wrapText="1"/>
    </xf>
    <xf numFmtId="10" fontId="66" fillId="3" borderId="62" xfId="1" applyNumberFormat="1" applyFont="1" applyFill="1" applyBorder="1" applyAlignment="1">
      <alignment horizontal="center" vertical="center"/>
    </xf>
    <xf numFmtId="3" fontId="25" fillId="0" borderId="0" xfId="1" applyNumberFormat="1" applyFont="1" applyFill="1" applyBorder="1" applyAlignment="1">
      <alignment horizontal="center" vertical="center" wrapText="1"/>
    </xf>
    <xf numFmtId="10" fontId="26" fillId="0" borderId="9" xfId="1" applyNumberFormat="1" applyFont="1" applyFill="1" applyBorder="1" applyAlignment="1">
      <alignment horizontal="center" vertical="center"/>
    </xf>
    <xf numFmtId="0" fontId="26" fillId="0" borderId="52" xfId="1" applyNumberFormat="1" applyFont="1" applyFill="1" applyBorder="1" applyAlignment="1">
      <alignment horizontal="center" vertical="center"/>
    </xf>
    <xf numFmtId="3" fontId="25" fillId="26" borderId="52" xfId="1" applyNumberFormat="1" applyFont="1" applyFill="1" applyBorder="1" applyAlignment="1">
      <alignment horizontal="center" vertical="center" wrapText="1"/>
    </xf>
    <xf numFmtId="0" fontId="87" fillId="0" borderId="0" xfId="1" applyFont="1" applyAlignment="1">
      <alignment horizontal="right" vertical="center"/>
    </xf>
    <xf numFmtId="4" fontId="89" fillId="0" borderId="0" xfId="1" applyNumberFormat="1" applyFont="1" applyAlignment="1">
      <alignment horizontal="left" vertical="center"/>
    </xf>
    <xf numFmtId="0" fontId="87" fillId="0" borderId="0" xfId="1" applyFont="1" applyAlignment="1">
      <alignment horizontal="right" vertical="center" wrapText="1"/>
    </xf>
    <xf numFmtId="0" fontId="32" fillId="12" borderId="56" xfId="1" applyFont="1" applyFill="1" applyBorder="1" applyAlignment="1">
      <alignment horizontal="center" vertical="center"/>
    </xf>
    <xf numFmtId="0" fontId="33" fillId="11" borderId="55" xfId="1" applyFont="1" applyFill="1" applyBorder="1" applyAlignment="1">
      <alignment horizontal="center" vertical="center" wrapText="1"/>
    </xf>
    <xf numFmtId="0" fontId="33" fillId="11" borderId="56" xfId="1" applyFont="1" applyFill="1" applyBorder="1" applyAlignment="1">
      <alignment horizontal="center" vertical="center" wrapText="1"/>
    </xf>
    <xf numFmtId="3" fontId="25" fillId="0" borderId="64" xfId="1" applyNumberFormat="1" applyFont="1" applyFill="1" applyBorder="1" applyAlignment="1">
      <alignment horizontal="center" vertical="center"/>
    </xf>
    <xf numFmtId="4" fontId="25" fillId="0" borderId="20" xfId="1" applyNumberFormat="1" applyFont="1" applyFill="1" applyBorder="1" applyAlignment="1">
      <alignment horizontal="center" vertical="center" wrapText="1"/>
    </xf>
    <xf numFmtId="4" fontId="25" fillId="0" borderId="29" xfId="1" applyNumberFormat="1" applyFont="1" applyFill="1" applyBorder="1" applyAlignment="1">
      <alignment horizontal="center" vertical="center"/>
    </xf>
    <xf numFmtId="4" fontId="25" fillId="0" borderId="33" xfId="1" applyNumberFormat="1" applyFont="1" applyFill="1" applyBorder="1" applyAlignment="1">
      <alignment horizontal="center" vertical="center" wrapText="1"/>
    </xf>
    <xf numFmtId="9" fontId="26" fillId="0" borderId="24" xfId="7" applyFont="1" applyFill="1" applyBorder="1" applyAlignment="1">
      <alignment horizontal="center" vertical="center"/>
    </xf>
    <xf numFmtId="0" fontId="26" fillId="0" borderId="24" xfId="1" applyNumberFormat="1" applyFont="1" applyFill="1" applyBorder="1" applyAlignment="1">
      <alignment horizontal="center" vertical="center"/>
    </xf>
    <xf numFmtId="4" fontId="35" fillId="6" borderId="55" xfId="1" applyNumberFormat="1" applyFont="1" applyFill="1" applyBorder="1" applyAlignment="1">
      <alignment horizontal="center" vertical="center"/>
    </xf>
    <xf numFmtId="10" fontId="66" fillId="0" borderId="32" xfId="1" applyNumberFormat="1" applyFont="1" applyFill="1" applyBorder="1" applyAlignment="1">
      <alignment horizontal="center" vertical="center"/>
    </xf>
    <xf numFmtId="10" fontId="26" fillId="5" borderId="32" xfId="1" applyNumberFormat="1" applyFont="1" applyFill="1" applyBorder="1" applyAlignment="1">
      <alignment horizontal="center" vertical="center"/>
    </xf>
    <xf numFmtId="9" fontId="19" fillId="0" borderId="24" xfId="7" applyFont="1" applyFill="1" applyBorder="1" applyAlignment="1">
      <alignment horizontal="center" vertical="center"/>
    </xf>
    <xf numFmtId="10" fontId="66" fillId="4" borderId="24" xfId="1" applyNumberFormat="1" applyFont="1" applyFill="1" applyBorder="1" applyAlignment="1">
      <alignment horizontal="center" vertical="center"/>
    </xf>
    <xf numFmtId="4" fontId="66" fillId="6" borderId="55" xfId="1" applyNumberFormat="1" applyFont="1" applyFill="1" applyBorder="1" applyAlignment="1">
      <alignment horizontal="center" vertical="center"/>
    </xf>
    <xf numFmtId="4" fontId="66" fillId="4" borderId="65" xfId="1" applyNumberFormat="1" applyFont="1" applyFill="1" applyBorder="1" applyAlignment="1">
      <alignment horizontal="center" vertical="center"/>
    </xf>
    <xf numFmtId="0" fontId="26" fillId="0" borderId="33" xfId="1" applyNumberFormat="1" applyFont="1" applyFill="1" applyBorder="1" applyAlignment="1">
      <alignment horizontal="center" vertical="center"/>
    </xf>
    <xf numFmtId="4" fontId="66" fillId="6" borderId="59" xfId="1" applyNumberFormat="1" applyFont="1" applyFill="1" applyBorder="1" applyAlignment="1">
      <alignment horizontal="center" vertical="center"/>
    </xf>
    <xf numFmtId="4" fontId="66" fillId="8" borderId="22" xfId="1" applyNumberFormat="1" applyFont="1" applyFill="1" applyBorder="1" applyAlignment="1">
      <alignment horizontal="center" vertical="center"/>
    </xf>
    <xf numFmtId="0" fontId="26" fillId="0" borderId="19" xfId="1" applyNumberFormat="1" applyFont="1" applyFill="1" applyBorder="1" applyAlignment="1">
      <alignment horizontal="center" vertical="center"/>
    </xf>
    <xf numFmtId="10" fontId="66" fillId="3" borderId="65" xfId="1" applyNumberFormat="1" applyFont="1" applyFill="1" applyBorder="1" applyAlignment="1">
      <alignment horizontal="center" vertical="center"/>
    </xf>
    <xf numFmtId="0" fontId="26" fillId="0" borderId="57" xfId="1" applyNumberFormat="1" applyFont="1" applyFill="1" applyBorder="1" applyAlignment="1">
      <alignment horizontal="center" vertical="center"/>
    </xf>
    <xf numFmtId="10" fontId="66" fillId="4" borderId="57" xfId="1" applyNumberFormat="1" applyFont="1" applyFill="1" applyBorder="1" applyAlignment="1">
      <alignment horizontal="center" vertical="center"/>
    </xf>
    <xf numFmtId="166" fontId="19" fillId="0" borderId="61" xfId="6" applyFont="1" applyFill="1" applyBorder="1" applyAlignment="1">
      <alignment horizontal="center" vertical="center"/>
    </xf>
    <xf numFmtId="4" fontId="66" fillId="6" borderId="56" xfId="1" applyNumberFormat="1" applyFont="1" applyFill="1" applyBorder="1" applyAlignment="1">
      <alignment horizontal="center" vertical="center"/>
    </xf>
    <xf numFmtId="4" fontId="66" fillId="4" borderId="66" xfId="1" applyNumberFormat="1" applyFont="1" applyFill="1" applyBorder="1" applyAlignment="1">
      <alignment horizontal="center" vertical="center"/>
    </xf>
    <xf numFmtId="4" fontId="66" fillId="6" borderId="60" xfId="1" applyNumberFormat="1" applyFont="1" applyFill="1" applyBorder="1" applyAlignment="1">
      <alignment horizontal="center" vertical="center"/>
    </xf>
    <xf numFmtId="4" fontId="66" fillId="8" borderId="67" xfId="1" applyNumberFormat="1" applyFont="1" applyFill="1" applyBorder="1" applyAlignment="1">
      <alignment horizontal="center" vertical="center"/>
    </xf>
    <xf numFmtId="0" fontId="26" fillId="0" borderId="58" xfId="1" applyNumberFormat="1" applyFont="1" applyFill="1" applyBorder="1" applyAlignment="1">
      <alignment horizontal="center" vertical="center"/>
    </xf>
    <xf numFmtId="10" fontId="66" fillId="3" borderId="66" xfId="1" applyNumberFormat="1" applyFont="1" applyFill="1" applyBorder="1" applyAlignment="1">
      <alignment horizontal="center" vertical="center"/>
    </xf>
    <xf numFmtId="17" fontId="56" fillId="0" borderId="0" xfId="0" applyNumberFormat="1" applyFont="1" applyAlignment="1">
      <alignment horizontal="center" vertical="center"/>
    </xf>
    <xf numFmtId="3" fontId="90" fillId="0" borderId="0" xfId="0" applyNumberFormat="1" applyFont="1" applyAlignment="1">
      <alignment horizontal="center" vertical="center"/>
    </xf>
    <xf numFmtId="4" fontId="91" fillId="0" borderId="0" xfId="1" applyNumberFormat="1" applyFont="1" applyAlignment="1">
      <alignment horizontal="center" vertical="center"/>
    </xf>
    <xf numFmtId="49" fontId="18" fillId="33" borderId="3" xfId="0" applyNumberFormat="1" applyFont="1" applyFill="1" applyBorder="1" applyAlignment="1">
      <alignment horizontal="center" vertical="center"/>
    </xf>
    <xf numFmtId="49" fontId="18" fillId="33" borderId="9" xfId="0" applyNumberFormat="1" applyFont="1" applyFill="1" applyBorder="1" applyAlignment="1">
      <alignment horizontal="center" vertical="center"/>
    </xf>
    <xf numFmtId="3" fontId="25" fillId="0" borderId="68" xfId="1" applyNumberFormat="1" applyFont="1" applyFill="1" applyBorder="1" applyAlignment="1">
      <alignment horizontal="center" vertical="center" wrapText="1"/>
    </xf>
    <xf numFmtId="4" fontId="92" fillId="6" borderId="56" xfId="1" applyNumberFormat="1" applyFont="1" applyFill="1" applyBorder="1" applyAlignment="1">
      <alignment horizontal="center" vertical="center"/>
    </xf>
    <xf numFmtId="10" fontId="93" fillId="3" borderId="62" xfId="1" applyNumberFormat="1" applyFont="1" applyFill="1" applyBorder="1" applyAlignment="1">
      <alignment horizontal="center" vertical="center"/>
    </xf>
    <xf numFmtId="10" fontId="93" fillId="0" borderId="61" xfId="1" applyNumberFormat="1" applyFont="1" applyFill="1" applyBorder="1" applyAlignment="1">
      <alignment horizontal="center" vertical="center"/>
    </xf>
    <xf numFmtId="4" fontId="93" fillId="4" borderId="62" xfId="1" applyNumberFormat="1" applyFont="1" applyFill="1" applyBorder="1" applyAlignment="1">
      <alignment horizontal="center" vertical="center"/>
    </xf>
    <xf numFmtId="10" fontId="26" fillId="0" borderId="33" xfId="1" applyNumberFormat="1" applyFont="1" applyFill="1" applyBorder="1" applyAlignment="1">
      <alignment horizontal="center" vertical="center"/>
    </xf>
    <xf numFmtId="10" fontId="26" fillId="0" borderId="0" xfId="1" applyNumberFormat="1" applyFont="1" applyFill="1" applyBorder="1" applyAlignment="1">
      <alignment horizontal="center" vertical="center"/>
    </xf>
    <xf numFmtId="4" fontId="92" fillId="6" borderId="55" xfId="1" applyNumberFormat="1" applyFont="1" applyFill="1" applyBorder="1" applyAlignment="1">
      <alignment horizontal="center" vertical="center"/>
    </xf>
    <xf numFmtId="10" fontId="93" fillId="0" borderId="32" xfId="1" applyNumberFormat="1" applyFont="1" applyFill="1" applyBorder="1" applyAlignment="1">
      <alignment horizontal="center" vertical="center"/>
    </xf>
    <xf numFmtId="3" fontId="25" fillId="0" borderId="73" xfId="1" applyNumberFormat="1" applyFont="1" applyFill="1" applyBorder="1" applyAlignment="1">
      <alignment horizontal="center" vertical="center" wrapText="1"/>
    </xf>
    <xf numFmtId="10" fontId="26" fillId="5" borderId="0" xfId="1" applyNumberFormat="1" applyFont="1" applyFill="1" applyBorder="1" applyAlignment="1">
      <alignment horizontal="center" vertical="center"/>
    </xf>
    <xf numFmtId="9" fontId="26" fillId="0" borderId="33" xfId="7" applyFont="1" applyFill="1" applyBorder="1" applyAlignment="1">
      <alignment horizontal="center" vertical="center"/>
    </xf>
    <xf numFmtId="10" fontId="27" fillId="0" borderId="33" xfId="1" applyNumberFormat="1" applyFont="1" applyFill="1" applyBorder="1" applyAlignment="1">
      <alignment horizontal="center" vertical="center"/>
    </xf>
    <xf numFmtId="0" fontId="27" fillId="0" borderId="33" xfId="1" applyNumberFormat="1" applyFont="1" applyFill="1" applyBorder="1" applyAlignment="1">
      <alignment horizontal="center" vertical="center"/>
    </xf>
    <xf numFmtId="4" fontId="24" fillId="8" borderId="22" xfId="1" applyNumberFormat="1" applyFont="1" applyFill="1" applyBorder="1" applyAlignment="1">
      <alignment horizontal="center" vertical="center"/>
    </xf>
    <xf numFmtId="0" fontId="33" fillId="12" borderId="51" xfId="1" applyFont="1" applyFill="1" applyBorder="1" applyAlignment="1">
      <alignment horizontal="center" vertical="center" wrapText="1"/>
    </xf>
    <xf numFmtId="4" fontId="66" fillId="11" borderId="24" xfId="1" applyNumberFormat="1" applyFont="1" applyFill="1" applyBorder="1" applyAlignment="1">
      <alignment horizontal="center" vertical="center"/>
    </xf>
    <xf numFmtId="4" fontId="35" fillId="6" borderId="51" xfId="1" applyNumberFormat="1" applyFont="1" applyFill="1" applyBorder="1" applyAlignment="1">
      <alignment horizontal="center" vertical="center"/>
    </xf>
    <xf numFmtId="10" fontId="66" fillId="3" borderId="19" xfId="1" applyNumberFormat="1" applyFont="1" applyFill="1" applyBorder="1" applyAlignment="1">
      <alignment horizontal="center" vertical="center"/>
    </xf>
    <xf numFmtId="4" fontId="66" fillId="4" borderId="19" xfId="1" applyNumberFormat="1" applyFont="1" applyFill="1" applyBorder="1" applyAlignment="1">
      <alignment horizontal="center" vertical="center"/>
    </xf>
    <xf numFmtId="4" fontId="24" fillId="6" borderId="1" xfId="1" applyNumberFormat="1" applyFont="1" applyFill="1" applyBorder="1" applyAlignment="1">
      <alignment horizontal="center" vertical="center"/>
    </xf>
    <xf numFmtId="10" fontId="24" fillId="3" borderId="19" xfId="1" applyNumberFormat="1" applyFont="1" applyFill="1" applyBorder="1" applyAlignment="1">
      <alignment horizontal="center" vertical="center"/>
    </xf>
    <xf numFmtId="4" fontId="24" fillId="4" borderId="32" xfId="1" applyNumberFormat="1" applyFont="1" applyFill="1" applyBorder="1" applyAlignment="1">
      <alignment horizontal="center" vertical="center"/>
    </xf>
    <xf numFmtId="4" fontId="28" fillId="6" borderId="24" xfId="1" applyNumberFormat="1" applyFont="1" applyFill="1" applyBorder="1" applyAlignment="1">
      <alignment horizontal="center" vertical="center"/>
    </xf>
    <xf numFmtId="10" fontId="24" fillId="3" borderId="32" xfId="1" applyNumberFormat="1" applyFont="1" applyFill="1" applyBorder="1" applyAlignment="1">
      <alignment horizontal="center" vertical="center"/>
    </xf>
    <xf numFmtId="4" fontId="25" fillId="0" borderId="53" xfId="1" applyNumberFormat="1" applyFont="1" applyFill="1" applyBorder="1" applyAlignment="1">
      <alignment horizontal="center" vertical="center" wrapText="1"/>
    </xf>
    <xf numFmtId="3" fontId="25" fillId="0" borderId="53" xfId="1" applyNumberFormat="1" applyFont="1" applyFill="1" applyBorder="1" applyAlignment="1">
      <alignment horizontal="center" vertical="center" wrapText="1"/>
    </xf>
    <xf numFmtId="9" fontId="26" fillId="0" borderId="53" xfId="7" applyFont="1" applyFill="1" applyBorder="1" applyAlignment="1">
      <alignment horizontal="center" vertical="center"/>
    </xf>
    <xf numFmtId="3" fontId="25" fillId="0" borderId="6" xfId="1" applyNumberFormat="1" applyFont="1" applyFill="1" applyBorder="1" applyAlignment="1">
      <alignment horizontal="center" vertical="center" wrapText="1"/>
    </xf>
    <xf numFmtId="10" fontId="26" fillId="0" borderId="6" xfId="1" applyNumberFormat="1" applyFont="1" applyFill="1" applyBorder="1" applyAlignment="1">
      <alignment horizontal="center" vertical="center"/>
    </xf>
    <xf numFmtId="10" fontId="93" fillId="3" borderId="63" xfId="1" applyNumberFormat="1" applyFont="1" applyFill="1" applyBorder="1" applyAlignment="1">
      <alignment horizontal="center" vertical="center"/>
    </xf>
    <xf numFmtId="10" fontId="93" fillId="0" borderId="66" xfId="1" applyNumberFormat="1" applyFont="1" applyFill="1" applyBorder="1" applyAlignment="1">
      <alignment horizontal="center" vertical="center"/>
    </xf>
    <xf numFmtId="4" fontId="93" fillId="4" borderId="63" xfId="1" applyNumberFormat="1" applyFont="1" applyFill="1" applyBorder="1" applyAlignment="1">
      <alignment horizontal="center" vertical="center"/>
    </xf>
    <xf numFmtId="10" fontId="26" fillId="0" borderId="7" xfId="1" applyNumberFormat="1" applyFont="1" applyFill="1" applyBorder="1" applyAlignment="1">
      <alignment horizontal="center" vertical="center"/>
    </xf>
    <xf numFmtId="0" fontId="26" fillId="0" borderId="53" xfId="1" applyNumberFormat="1" applyFont="1" applyFill="1" applyBorder="1" applyAlignment="1">
      <alignment horizontal="center" vertical="center"/>
    </xf>
    <xf numFmtId="10" fontId="26" fillId="5" borderId="6" xfId="1" applyNumberFormat="1" applyFont="1" applyFill="1" applyBorder="1" applyAlignment="1">
      <alignment horizontal="center" vertical="center"/>
    </xf>
    <xf numFmtId="9" fontId="27" fillId="0" borderId="53" xfId="7" applyFont="1" applyFill="1" applyBorder="1" applyAlignment="1">
      <alignment horizontal="center" vertical="center"/>
    </xf>
    <xf numFmtId="10" fontId="24" fillId="4" borderId="67" xfId="1" applyNumberFormat="1" applyFont="1" applyFill="1" applyBorder="1" applyAlignment="1">
      <alignment horizontal="center" vertical="center"/>
    </xf>
    <xf numFmtId="10" fontId="27" fillId="0" borderId="53" xfId="1" applyNumberFormat="1" applyFont="1" applyFill="1" applyBorder="1" applyAlignment="1">
      <alignment horizontal="center" vertical="center"/>
    </xf>
    <xf numFmtId="0" fontId="27" fillId="0" borderId="53" xfId="1" applyNumberFormat="1" applyFont="1" applyFill="1" applyBorder="1" applyAlignment="1">
      <alignment horizontal="center" vertical="center"/>
    </xf>
    <xf numFmtId="0" fontId="19" fillId="0" borderId="63" xfId="1" applyFont="1" applyBorder="1" applyAlignment="1">
      <alignment vertical="center" wrapText="1"/>
    </xf>
    <xf numFmtId="0" fontId="19" fillId="0" borderId="53" xfId="1" applyFont="1" applyBorder="1" applyAlignment="1">
      <alignment vertical="center" wrapText="1"/>
    </xf>
    <xf numFmtId="49" fontId="18" fillId="33" borderId="12" xfId="0" applyNumberFormat="1" applyFont="1" applyFill="1" applyBorder="1" applyAlignment="1">
      <alignment horizontal="center" vertical="center"/>
    </xf>
    <xf numFmtId="49" fontId="18" fillId="33" borderId="20" xfId="0" applyNumberFormat="1" applyFont="1" applyFill="1" applyBorder="1" applyAlignment="1">
      <alignment horizontal="center" vertical="center"/>
    </xf>
    <xf numFmtId="3" fontId="25" fillId="0" borderId="24" xfId="1" applyNumberFormat="1" applyFont="1" applyFill="1" applyBorder="1" applyAlignment="1">
      <alignment horizontal="center" vertical="center" wrapText="1"/>
    </xf>
    <xf numFmtId="9" fontId="26" fillId="0" borderId="32" xfId="7" applyFont="1" applyFill="1" applyBorder="1" applyAlignment="1">
      <alignment horizontal="center" vertical="center"/>
    </xf>
    <xf numFmtId="10" fontId="24" fillId="4" borderId="24" xfId="1" applyNumberFormat="1" applyFont="1" applyFill="1" applyBorder="1" applyAlignment="1">
      <alignment horizontal="center" vertical="center"/>
    </xf>
    <xf numFmtId="0" fontId="27" fillId="0" borderId="24" xfId="1" applyNumberFormat="1" applyFont="1" applyFill="1" applyBorder="1" applyAlignment="1">
      <alignment horizontal="center" vertical="center"/>
    </xf>
    <xf numFmtId="0" fontId="27" fillId="0" borderId="19" xfId="1" applyNumberFormat="1" applyFont="1" applyFill="1" applyBorder="1" applyAlignment="1">
      <alignment horizontal="center" vertical="center"/>
    </xf>
    <xf numFmtId="4" fontId="92" fillId="6" borderId="51" xfId="1" applyNumberFormat="1" applyFont="1" applyFill="1" applyBorder="1" applyAlignment="1">
      <alignment horizontal="center" vertical="center"/>
    </xf>
    <xf numFmtId="10" fontId="93" fillId="3" borderId="19" xfId="1" applyNumberFormat="1" applyFont="1" applyFill="1" applyBorder="1" applyAlignment="1">
      <alignment horizontal="center" vertical="center"/>
    </xf>
    <xf numFmtId="4" fontId="93" fillId="4" borderId="19" xfId="1" applyNumberFormat="1" applyFont="1" applyFill="1" applyBorder="1" applyAlignment="1">
      <alignment horizontal="center" vertical="center"/>
    </xf>
    <xf numFmtId="3" fontId="25" fillId="0" borderId="74" xfId="1" applyNumberFormat="1" applyFont="1" applyFill="1" applyBorder="1" applyAlignment="1">
      <alignment horizontal="center" vertical="center" wrapText="1"/>
    </xf>
    <xf numFmtId="4" fontId="66" fillId="11" borderId="57" xfId="1" applyNumberFormat="1" applyFont="1" applyFill="1" applyBorder="1" applyAlignment="1">
      <alignment horizontal="center" vertical="center"/>
    </xf>
    <xf numFmtId="10" fontId="66" fillId="3" borderId="58" xfId="1" applyNumberFormat="1" applyFont="1" applyFill="1" applyBorder="1" applyAlignment="1">
      <alignment horizontal="center" vertical="center"/>
    </xf>
    <xf numFmtId="4" fontId="66" fillId="4" borderId="58" xfId="1" applyNumberFormat="1" applyFont="1" applyFill="1" applyBorder="1" applyAlignment="1">
      <alignment horizontal="center" vertical="center"/>
    </xf>
    <xf numFmtId="3" fontId="25" fillId="0" borderId="4" xfId="1" applyNumberFormat="1" applyFont="1" applyFill="1" applyBorder="1" applyAlignment="1">
      <alignment horizontal="center" vertical="center" wrapText="1"/>
    </xf>
    <xf numFmtId="3" fontId="25" fillId="0" borderId="69" xfId="1" applyNumberFormat="1" applyFont="1" applyFill="1" applyBorder="1" applyAlignment="1">
      <alignment horizontal="center" vertical="center" wrapText="1"/>
    </xf>
    <xf numFmtId="10" fontId="26" fillId="0" borderId="8" xfId="1" applyNumberFormat="1" applyFont="1" applyFill="1" applyBorder="1" applyAlignment="1">
      <alignment horizontal="center" vertical="center"/>
    </xf>
    <xf numFmtId="10" fontId="24" fillId="4" borderId="22" xfId="1" applyNumberFormat="1" applyFont="1" applyFill="1" applyBorder="1" applyAlignment="1">
      <alignment horizontal="center" vertical="center"/>
    </xf>
    <xf numFmtId="10" fontId="24" fillId="4" borderId="54" xfId="1" applyNumberFormat="1" applyFont="1" applyFill="1" applyBorder="1" applyAlignment="1">
      <alignment horizontal="center" vertical="center"/>
    </xf>
    <xf numFmtId="10" fontId="24" fillId="3" borderId="61" xfId="1" applyNumberFormat="1" applyFont="1" applyFill="1" applyBorder="1" applyAlignment="1">
      <alignment horizontal="center" vertical="center"/>
    </xf>
    <xf numFmtId="0" fontId="22" fillId="0" borderId="5" xfId="1" applyFont="1" applyBorder="1" applyAlignment="1">
      <alignment horizontal="center" vertical="center"/>
    </xf>
    <xf numFmtId="0" fontId="22" fillId="0" borderId="7" xfId="1" applyFont="1" applyBorder="1" applyAlignment="1">
      <alignment horizontal="center" vertical="center"/>
    </xf>
    <xf numFmtId="0" fontId="19" fillId="0" borderId="32" xfId="1" applyFont="1" applyFill="1" applyBorder="1" applyAlignment="1">
      <alignment vertical="center"/>
    </xf>
    <xf numFmtId="3" fontId="27" fillId="0" borderId="66" xfId="1" applyNumberFormat="1" applyFont="1" applyFill="1" applyBorder="1" applyAlignment="1">
      <alignment horizontal="center" vertical="center"/>
    </xf>
    <xf numFmtId="3" fontId="27" fillId="0" borderId="61" xfId="1" applyNumberFormat="1" applyFont="1" applyFill="1" applyBorder="1" applyAlignment="1">
      <alignment horizontal="center" vertical="center"/>
    </xf>
    <xf numFmtId="10" fontId="36" fillId="0" borderId="61" xfId="1" applyNumberFormat="1" applyFont="1" applyFill="1" applyBorder="1" applyAlignment="1">
      <alignment horizontal="center" vertical="center"/>
    </xf>
    <xf numFmtId="9" fontId="36" fillId="0" borderId="20" xfId="7" applyFont="1" applyFill="1" applyBorder="1" applyAlignment="1">
      <alignment horizontal="center" vertical="center" wrapText="1"/>
    </xf>
    <xf numFmtId="4" fontId="16" fillId="0" borderId="0" xfId="1" applyNumberFormat="1" applyAlignment="1">
      <alignment horizontal="left" vertical="center"/>
    </xf>
    <xf numFmtId="0" fontId="19" fillId="0" borderId="29" xfId="1" applyFont="1" applyBorder="1" applyAlignment="1">
      <alignment horizontal="left" vertical="center" wrapText="1"/>
    </xf>
    <xf numFmtId="0" fontId="24" fillId="11" borderId="2" xfId="1" applyFont="1" applyFill="1" applyBorder="1" applyAlignment="1">
      <alignment vertical="center" wrapText="1"/>
    </xf>
    <xf numFmtId="0" fontId="19" fillId="0" borderId="23" xfId="1" applyFont="1" applyBorder="1" applyAlignment="1">
      <alignment vertical="center" wrapText="1"/>
    </xf>
    <xf numFmtId="0" fontId="56" fillId="12" borderId="32" xfId="0" applyFont="1" applyFill="1" applyBorder="1" applyAlignment="1">
      <alignment wrapText="1"/>
    </xf>
    <xf numFmtId="3" fontId="56" fillId="12" borderId="32" xfId="0" applyNumberFormat="1" applyFont="1" applyFill="1" applyBorder="1" applyAlignment="1">
      <alignment horizontal="right" vertical="center"/>
    </xf>
    <xf numFmtId="4" fontId="25" fillId="0" borderId="72" xfId="1" applyNumberFormat="1" applyFont="1" applyFill="1" applyBorder="1" applyAlignment="1">
      <alignment horizontal="center" vertical="center"/>
    </xf>
    <xf numFmtId="4" fontId="85" fillId="0" borderId="52" xfId="1" applyNumberFormat="1" applyFont="1" applyFill="1" applyBorder="1" applyAlignment="1">
      <alignment horizontal="center" vertical="center"/>
    </xf>
    <xf numFmtId="3" fontId="24" fillId="4" borderId="55" xfId="1" applyNumberFormat="1" applyFont="1" applyFill="1" applyBorder="1" applyAlignment="1">
      <alignment horizontal="center" vertical="center"/>
    </xf>
    <xf numFmtId="4" fontId="24" fillId="4" borderId="56" xfId="1" applyNumberFormat="1" applyFont="1" applyFill="1" applyBorder="1" applyAlignment="1">
      <alignment horizontal="center" vertical="center"/>
    </xf>
    <xf numFmtId="9" fontId="36" fillId="4" borderId="51" xfId="7" applyFont="1" applyFill="1" applyBorder="1" applyAlignment="1">
      <alignment horizontal="center" vertical="center"/>
    </xf>
    <xf numFmtId="166" fontId="24" fillId="4" borderId="51" xfId="6" applyFont="1" applyFill="1" applyBorder="1" applyAlignment="1">
      <alignment horizontal="center" vertical="center"/>
    </xf>
    <xf numFmtId="10" fontId="24" fillId="4" borderId="51" xfId="1" applyNumberFormat="1" applyFont="1" applyFill="1" applyBorder="1" applyAlignment="1">
      <alignment horizontal="center" vertical="center"/>
    </xf>
    <xf numFmtId="166" fontId="19" fillId="0" borderId="20" xfId="6" applyFont="1" applyFill="1" applyBorder="1" applyAlignment="1">
      <alignment horizontal="center" vertical="center"/>
    </xf>
    <xf numFmtId="4" fontId="20" fillId="0" borderId="0" xfId="1" applyNumberFormat="1" applyFont="1"/>
    <xf numFmtId="3" fontId="24" fillId="4" borderId="56" xfId="1" applyNumberFormat="1" applyFont="1" applyFill="1" applyBorder="1" applyAlignment="1">
      <alignment horizontal="center" vertical="center"/>
    </xf>
    <xf numFmtId="4" fontId="87" fillId="0" borderId="0" xfId="1" applyNumberFormat="1" applyFont="1" applyAlignment="1">
      <alignment horizontal="left" vertical="center"/>
    </xf>
    <xf numFmtId="49" fontId="18" fillId="34" borderId="3" xfId="0" applyNumberFormat="1" applyFont="1" applyFill="1" applyBorder="1" applyAlignment="1">
      <alignment horizontal="center" vertical="center"/>
    </xf>
    <xf numFmtId="49" fontId="18" fillId="34" borderId="9" xfId="0" applyNumberFormat="1" applyFont="1" applyFill="1" applyBorder="1" applyAlignment="1">
      <alignment horizontal="center" vertical="center"/>
    </xf>
    <xf numFmtId="0" fontId="19" fillId="0" borderId="22" xfId="1" applyFont="1" applyBorder="1" applyAlignment="1">
      <alignment horizontal="left" vertical="center"/>
    </xf>
    <xf numFmtId="9" fontId="26" fillId="0" borderId="7" xfId="7" applyFont="1" applyFill="1" applyBorder="1" applyAlignment="1">
      <alignment horizontal="center" vertical="center"/>
    </xf>
    <xf numFmtId="3" fontId="25" fillId="0" borderId="20" xfId="1" applyNumberFormat="1" applyFont="1" applyFill="1" applyBorder="1" applyAlignment="1">
      <alignment horizontal="center" vertical="center" wrapText="1"/>
    </xf>
    <xf numFmtId="9" fontId="26" fillId="0" borderId="20" xfId="7" applyFont="1" applyFill="1" applyBorder="1" applyAlignment="1">
      <alignment horizontal="center" vertical="center"/>
    </xf>
    <xf numFmtId="9" fontId="36" fillId="0" borderId="36" xfId="7"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7" borderId="12" xfId="0" applyNumberFormat="1" applyFont="1" applyFill="1" applyBorder="1" applyAlignment="1">
      <alignment horizontal="center" vertical="center"/>
    </xf>
    <xf numFmtId="49" fontId="18" fillId="17" borderId="20" xfId="0" applyNumberFormat="1" applyFont="1" applyFill="1" applyBorder="1" applyAlignment="1">
      <alignment horizontal="center" vertical="center"/>
    </xf>
    <xf numFmtId="3" fontId="65" fillId="0" borderId="30" xfId="1" applyNumberFormat="1" applyFont="1" applyFill="1" applyBorder="1" applyAlignment="1">
      <alignment horizontal="center" vertical="center" wrapText="1"/>
    </xf>
    <xf numFmtId="9" fontId="65" fillId="0" borderId="14" xfId="7" applyFont="1" applyFill="1" applyBorder="1" applyAlignment="1">
      <alignment horizontal="center" vertical="center"/>
    </xf>
    <xf numFmtId="49" fontId="18" fillId="17" borderId="12" xfId="0" applyNumberFormat="1" applyFont="1" applyFill="1" applyBorder="1" applyAlignment="1">
      <alignment horizontal="center" vertical="center"/>
    </xf>
    <xf numFmtId="49" fontId="18" fillId="17" borderId="20" xfId="0" applyNumberFormat="1" applyFont="1" applyFill="1" applyBorder="1" applyAlignment="1">
      <alignment horizontal="center" vertical="center"/>
    </xf>
    <xf numFmtId="9" fontId="65" fillId="0" borderId="14" xfId="7" applyFont="1" applyFill="1" applyBorder="1" applyAlignment="1">
      <alignment horizontal="center" vertical="center" wrapText="1"/>
    </xf>
    <xf numFmtId="9" fontId="97" fillId="0" borderId="52" xfId="7" applyFont="1" applyFill="1" applyBorder="1" applyAlignment="1">
      <alignment horizontal="center" vertical="center" wrapText="1"/>
    </xf>
    <xf numFmtId="3" fontId="25" fillId="0" borderId="58" xfId="1" applyNumberFormat="1" applyFont="1" applyFill="1" applyBorder="1" applyAlignment="1">
      <alignment horizontal="center" vertical="center" wrapText="1"/>
    </xf>
    <xf numFmtId="9" fontId="67" fillId="0" borderId="57" xfId="7" applyFont="1" applyFill="1" applyBorder="1" applyAlignment="1">
      <alignment horizontal="center" vertical="center" wrapText="1"/>
    </xf>
    <xf numFmtId="9" fontId="27" fillId="0" borderId="20" xfId="7" applyFont="1" applyFill="1" applyBorder="1" applyAlignment="1">
      <alignment horizontal="center" vertical="center" wrapText="1"/>
    </xf>
    <xf numFmtId="9" fontId="26" fillId="0" borderId="20" xfId="7" applyFont="1" applyFill="1" applyBorder="1" applyAlignment="1">
      <alignment horizontal="center" vertical="center" wrapText="1"/>
    </xf>
    <xf numFmtId="9" fontId="36" fillId="11" borderId="57" xfId="7" applyFont="1" applyFill="1" applyBorder="1" applyAlignment="1">
      <alignment horizontal="center" vertical="center"/>
    </xf>
    <xf numFmtId="9" fontId="67" fillId="0" borderId="61" xfId="7" applyFont="1" applyFill="1" applyBorder="1" applyAlignment="1">
      <alignment horizontal="center" vertical="center" wrapText="1"/>
    </xf>
    <xf numFmtId="4" fontId="25" fillId="8" borderId="20" xfId="1" applyNumberFormat="1" applyFont="1" applyFill="1" applyBorder="1" applyAlignment="1">
      <alignment horizontal="center" vertical="center"/>
    </xf>
    <xf numFmtId="4" fontId="66" fillId="4" borderId="53" xfId="1" applyNumberFormat="1" applyFont="1" applyFill="1" applyBorder="1" applyAlignment="1">
      <alignment horizontal="center" vertical="center"/>
    </xf>
    <xf numFmtId="0" fontId="24" fillId="6" borderId="55" xfId="1" applyFont="1" applyFill="1" applyBorder="1" applyAlignment="1">
      <alignment vertical="center"/>
    </xf>
    <xf numFmtId="4" fontId="37" fillId="6" borderId="56" xfId="1" applyNumberFormat="1" applyFont="1" applyFill="1" applyBorder="1" applyAlignment="1">
      <alignment horizontal="center" vertical="center"/>
    </xf>
    <xf numFmtId="0" fontId="24" fillId="3" borderId="62" xfId="1" applyFont="1" applyFill="1" applyBorder="1" applyAlignment="1">
      <alignment vertical="center"/>
    </xf>
    <xf numFmtId="9" fontId="24" fillId="3" borderId="62" xfId="7" applyFont="1" applyFill="1" applyBorder="1" applyAlignment="1">
      <alignment horizontal="center" vertical="center"/>
    </xf>
    <xf numFmtId="9" fontId="24" fillId="3" borderId="63" xfId="7" applyFont="1" applyFill="1" applyBorder="1" applyAlignment="1">
      <alignment horizontal="center" vertical="center"/>
    </xf>
    <xf numFmtId="10" fontId="29" fillId="3" borderId="63" xfId="1" applyNumberFormat="1" applyFont="1" applyFill="1" applyBorder="1" applyAlignment="1">
      <alignment horizontal="center" vertical="center"/>
    </xf>
    <xf numFmtId="9" fontId="36" fillId="25" borderId="57" xfId="7" applyFont="1" applyFill="1" applyBorder="1" applyAlignment="1">
      <alignment horizontal="center" vertical="center"/>
    </xf>
    <xf numFmtId="10" fontId="24" fillId="0" borderId="65" xfId="1" applyNumberFormat="1" applyFont="1" applyFill="1" applyBorder="1" applyAlignment="1">
      <alignment horizontal="center" vertical="center"/>
    </xf>
    <xf numFmtId="10" fontId="29" fillId="0" borderId="61" xfId="1" applyNumberFormat="1" applyFont="1" applyFill="1" applyBorder="1" applyAlignment="1">
      <alignment horizontal="center" vertical="center"/>
    </xf>
    <xf numFmtId="4" fontId="25" fillId="0" borderId="58" xfId="1" applyNumberFormat="1" applyFont="1" applyFill="1" applyBorder="1" applyAlignment="1">
      <alignment horizontal="center" vertical="center" wrapText="1"/>
    </xf>
    <xf numFmtId="0" fontId="24" fillId="11" borderId="10" xfId="1" applyFont="1" applyFill="1" applyBorder="1" applyAlignment="1">
      <alignment vertical="center"/>
    </xf>
    <xf numFmtId="3" fontId="24" fillId="11" borderId="10" xfId="1" applyNumberFormat="1" applyFont="1" applyFill="1" applyBorder="1" applyAlignment="1">
      <alignment horizontal="center" vertical="center"/>
    </xf>
    <xf numFmtId="3" fontId="24" fillId="11" borderId="5" xfId="1" applyNumberFormat="1" applyFont="1" applyFill="1" applyBorder="1" applyAlignment="1">
      <alignment horizontal="center" vertical="center"/>
    </xf>
    <xf numFmtId="4" fontId="24" fillId="11" borderId="12" xfId="1" applyNumberFormat="1" applyFont="1" applyFill="1" applyBorder="1" applyAlignment="1">
      <alignment horizontal="center" vertical="center"/>
    </xf>
    <xf numFmtId="4" fontId="29" fillId="11" borderId="60" xfId="1" applyNumberFormat="1" applyFont="1" applyFill="1" applyBorder="1" applyAlignment="1">
      <alignment horizontal="center" vertical="center"/>
    </xf>
    <xf numFmtId="4" fontId="27" fillId="26" borderId="59" xfId="1" applyNumberFormat="1" applyFont="1" applyFill="1" applyBorder="1" applyAlignment="1">
      <alignment horizontal="center" vertical="center"/>
    </xf>
    <xf numFmtId="4" fontId="27" fillId="0" borderId="60" xfId="1" applyNumberFormat="1" applyFont="1" applyFill="1" applyBorder="1" applyAlignment="1">
      <alignment horizontal="center" vertical="center"/>
    </xf>
    <xf numFmtId="4" fontId="27" fillId="0" borderId="65" xfId="1" applyNumberFormat="1" applyFont="1" applyFill="1" applyBorder="1" applyAlignment="1">
      <alignment horizontal="center" vertical="center"/>
    </xf>
    <xf numFmtId="4" fontId="27" fillId="0" borderId="66" xfId="1" applyNumberFormat="1" applyFont="1" applyFill="1" applyBorder="1" applyAlignment="1">
      <alignment horizontal="center" vertical="center"/>
    </xf>
    <xf numFmtId="0" fontId="24" fillId="0" borderId="56" xfId="1" applyFont="1" applyBorder="1" applyAlignment="1">
      <alignment horizontal="center" vertical="center"/>
    </xf>
    <xf numFmtId="9" fontId="36" fillId="7" borderId="57" xfId="7" applyFont="1" applyFill="1" applyBorder="1" applyAlignment="1">
      <alignment horizontal="center" vertical="center"/>
    </xf>
    <xf numFmtId="4" fontId="25" fillId="0" borderId="19" xfId="1" applyNumberFormat="1" applyFont="1" applyFill="1" applyBorder="1" applyAlignment="1">
      <alignment horizontal="center" vertical="center" wrapText="1"/>
    </xf>
    <xf numFmtId="4" fontId="25" fillId="0" borderId="63" xfId="1" applyNumberFormat="1" applyFont="1" applyFill="1" applyBorder="1" applyAlignment="1">
      <alignment horizontal="center" vertical="center"/>
    </xf>
    <xf numFmtId="9" fontId="65" fillId="0" borderId="52" xfId="7" applyFont="1" applyFill="1" applyBorder="1" applyAlignment="1">
      <alignment horizontal="center" vertical="center"/>
    </xf>
    <xf numFmtId="9" fontId="65" fillId="0" borderId="52" xfId="7" applyFont="1" applyFill="1" applyBorder="1" applyAlignment="1">
      <alignment horizontal="center" vertical="center" wrapText="1"/>
    </xf>
    <xf numFmtId="9" fontId="97" fillId="0" borderId="52" xfId="7" applyFont="1" applyFill="1" applyBorder="1" applyAlignment="1">
      <alignment horizontal="center" vertical="center"/>
    </xf>
    <xf numFmtId="9" fontId="65" fillId="0" borderId="57" xfId="7" applyFont="1" applyFill="1" applyBorder="1" applyAlignment="1">
      <alignment horizontal="center" vertical="center"/>
    </xf>
    <xf numFmtId="9" fontId="65" fillId="0" borderId="57" xfId="7" applyFont="1" applyFill="1" applyBorder="1" applyAlignment="1">
      <alignment horizontal="center" vertical="center" wrapText="1"/>
    </xf>
    <xf numFmtId="9" fontId="65" fillId="0" borderId="61" xfId="7" applyFont="1" applyFill="1" applyBorder="1" applyAlignment="1">
      <alignment horizontal="center" vertical="center" wrapText="1"/>
    </xf>
    <xf numFmtId="9" fontId="27" fillId="0" borderId="54" xfId="7" applyFont="1" applyFill="1" applyBorder="1" applyAlignment="1">
      <alignment horizontal="center" vertical="center"/>
    </xf>
    <xf numFmtId="9" fontId="26" fillId="0" borderId="54" xfId="7" applyFont="1" applyFill="1" applyBorder="1" applyAlignment="1">
      <alignment horizontal="center" vertical="center"/>
    </xf>
    <xf numFmtId="9" fontId="26" fillId="0" borderId="29" xfId="7" applyFont="1" applyFill="1" applyBorder="1" applyAlignment="1">
      <alignment horizontal="center" vertical="center"/>
    </xf>
    <xf numFmtId="0" fontId="19" fillId="0" borderId="64" xfId="1" applyFont="1" applyFill="1" applyBorder="1" applyAlignment="1">
      <alignment vertical="center"/>
    </xf>
    <xf numFmtId="0" fontId="24" fillId="4" borderId="55" xfId="1" applyFont="1" applyFill="1" applyBorder="1" applyAlignment="1">
      <alignment vertical="center"/>
    </xf>
    <xf numFmtId="10" fontId="66" fillId="4" borderId="51" xfId="1" applyNumberFormat="1" applyFont="1" applyFill="1" applyBorder="1" applyAlignment="1">
      <alignment horizontal="center" vertical="center"/>
    </xf>
    <xf numFmtId="10" fontId="66" fillId="4" borderId="1" xfId="1" applyNumberFormat="1" applyFont="1" applyFill="1" applyBorder="1" applyAlignment="1">
      <alignment horizontal="center" vertical="center"/>
    </xf>
    <xf numFmtId="9" fontId="36" fillId="0" borderId="6" xfId="7" applyFont="1" applyFill="1" applyBorder="1" applyAlignment="1">
      <alignment horizontal="center" vertical="center"/>
    </xf>
    <xf numFmtId="9" fontId="36" fillId="0" borderId="53" xfId="7" applyFont="1" applyFill="1" applyBorder="1" applyAlignment="1">
      <alignment horizontal="center" vertical="center"/>
    </xf>
    <xf numFmtId="9" fontId="36" fillId="11" borderId="56" xfId="7" applyFont="1" applyFill="1" applyBorder="1" applyAlignment="1">
      <alignment horizontal="center" vertical="center"/>
    </xf>
    <xf numFmtId="9" fontId="26" fillId="0" borderId="9" xfId="7" applyFont="1" applyFill="1" applyBorder="1" applyAlignment="1">
      <alignment horizontal="center" vertical="center"/>
    </xf>
    <xf numFmtId="4" fontId="35" fillId="6" borderId="1" xfId="1" applyNumberFormat="1" applyFont="1" applyFill="1" applyBorder="1" applyAlignment="1">
      <alignment horizontal="center" vertical="center"/>
    </xf>
    <xf numFmtId="4" fontId="24" fillId="8" borderId="29" xfId="1" applyNumberFormat="1" applyFont="1" applyFill="1" applyBorder="1" applyAlignment="1">
      <alignment horizontal="center" vertical="center"/>
    </xf>
    <xf numFmtId="4" fontId="24" fillId="6" borderId="24" xfId="1" applyNumberFormat="1" applyFont="1" applyFill="1" applyBorder="1" applyAlignment="1">
      <alignment horizontal="center" vertical="center"/>
    </xf>
    <xf numFmtId="9" fontId="27" fillId="0" borderId="20" xfId="7" applyFont="1" applyFill="1" applyBorder="1" applyAlignment="1">
      <alignment horizontal="center" vertical="center"/>
    </xf>
    <xf numFmtId="3" fontId="25" fillId="0" borderId="36" xfId="1" applyNumberFormat="1" applyFont="1" applyFill="1" applyBorder="1" applyAlignment="1">
      <alignment horizontal="center" vertical="center"/>
    </xf>
    <xf numFmtId="10" fontId="24" fillId="4" borderId="56" xfId="1" applyNumberFormat="1" applyFont="1" applyFill="1" applyBorder="1" applyAlignment="1">
      <alignment horizontal="center" vertical="center"/>
    </xf>
    <xf numFmtId="4" fontId="20" fillId="0" borderId="0" xfId="1" applyNumberFormat="1" applyFont="1" applyFill="1"/>
    <xf numFmtId="0" fontId="0" fillId="0" borderId="0" xfId="0" applyAlignment="1">
      <alignment horizontal="left" vertical="center"/>
    </xf>
    <xf numFmtId="0" fontId="20" fillId="11" borderId="0" xfId="1" applyFont="1" applyFill="1" applyAlignment="1">
      <alignment horizontal="center" vertical="center"/>
    </xf>
    <xf numFmtId="0" fontId="20" fillId="0" borderId="0" xfId="1" applyFont="1" applyAlignment="1">
      <alignment horizontal="center" vertical="center"/>
    </xf>
    <xf numFmtId="4" fontId="20" fillId="0" borderId="0" xfId="1" applyNumberFormat="1" applyFont="1" applyAlignment="1">
      <alignment horizontal="center" vertical="center"/>
    </xf>
    <xf numFmtId="4" fontId="35" fillId="0" borderId="0" xfId="1" applyNumberFormat="1" applyFont="1" applyAlignment="1">
      <alignment horizontal="center" vertical="center"/>
    </xf>
    <xf numFmtId="0" fontId="20" fillId="0" borderId="0" xfId="1" applyFont="1" applyFill="1" applyAlignment="1">
      <alignment horizontal="center" vertical="center"/>
    </xf>
    <xf numFmtId="0" fontId="16" fillId="0" borderId="0" xfId="1" applyFill="1" applyAlignment="1">
      <alignment horizontal="center" vertical="center"/>
    </xf>
    <xf numFmtId="0" fontId="20" fillId="18" borderId="0" xfId="1" applyFont="1" applyFill="1" applyAlignment="1">
      <alignment horizontal="center" vertical="center"/>
    </xf>
    <xf numFmtId="4" fontId="20" fillId="0" borderId="0" xfId="1" applyNumberFormat="1" applyFont="1" applyFill="1" applyAlignment="1">
      <alignment horizontal="center" vertical="center"/>
    </xf>
    <xf numFmtId="4" fontId="35" fillId="18" borderId="0" xfId="1" applyNumberFormat="1" applyFont="1" applyFill="1" applyAlignment="1">
      <alignment horizontal="center" vertical="center"/>
    </xf>
    <xf numFmtId="4" fontId="16" fillId="0" borderId="0" xfId="1" applyNumberFormat="1" applyAlignment="1">
      <alignment horizontal="center" vertical="center" wrapText="1"/>
    </xf>
    <xf numFmtId="4" fontId="16" fillId="0" borderId="0" xfId="1" applyNumberFormat="1"/>
    <xf numFmtId="4" fontId="20" fillId="11" borderId="0" xfId="1" applyNumberFormat="1" applyFont="1" applyFill="1"/>
    <xf numFmtId="4" fontId="16" fillId="0" borderId="0" xfId="1" applyNumberFormat="1" applyFill="1"/>
    <xf numFmtId="9" fontId="37" fillId="6" borderId="56" xfId="7" applyFont="1" applyFill="1" applyBorder="1" applyAlignment="1">
      <alignment horizontal="center" vertical="center"/>
    </xf>
    <xf numFmtId="4" fontId="25" fillId="18" borderId="52" xfId="1" applyNumberFormat="1" applyFont="1" applyFill="1" applyBorder="1" applyAlignment="1">
      <alignment horizontal="center" vertical="center"/>
    </xf>
    <xf numFmtId="3" fontId="20" fillId="0" borderId="0" xfId="1" applyNumberFormat="1" applyFont="1"/>
    <xf numFmtId="9" fontId="88" fillId="0" borderId="57" xfId="7" applyFont="1" applyFill="1" applyBorder="1" applyAlignment="1">
      <alignment horizontal="center" vertical="center"/>
    </xf>
    <xf numFmtId="9" fontId="24" fillId="4" borderId="17" xfId="7" applyFont="1" applyFill="1" applyBorder="1" applyAlignment="1">
      <alignment horizontal="center" vertical="center"/>
    </xf>
    <xf numFmtId="9" fontId="98" fillId="0" borderId="14" xfId="7" applyFont="1" applyFill="1" applyBorder="1" applyAlignment="1">
      <alignment horizontal="center" vertical="center"/>
    </xf>
    <xf numFmtId="4" fontId="25" fillId="0" borderId="9" xfId="1" applyNumberFormat="1" applyFont="1" applyFill="1" applyBorder="1" applyAlignment="1">
      <alignment horizontal="center" vertical="center"/>
    </xf>
    <xf numFmtId="9" fontId="37" fillId="6" borderId="56" xfId="7" applyFont="1" applyFill="1" applyBorder="1" applyAlignment="1">
      <alignment horizontal="center" vertical="center" wrapText="1"/>
    </xf>
    <xf numFmtId="9" fontId="36" fillId="7" borderId="51" xfId="7" applyFont="1" applyFill="1" applyBorder="1" applyAlignment="1">
      <alignment horizontal="center" vertical="center"/>
    </xf>
    <xf numFmtId="4" fontId="20" fillId="6" borderId="55" xfId="1" applyNumberFormat="1" applyFont="1" applyFill="1" applyBorder="1" applyAlignment="1">
      <alignment horizontal="center" vertical="center"/>
    </xf>
    <xf numFmtId="3" fontId="27" fillId="0" borderId="72" xfId="6" applyNumberFormat="1" applyFont="1" applyFill="1" applyBorder="1" applyAlignment="1">
      <alignment horizontal="center" vertical="center"/>
    </xf>
    <xf numFmtId="9" fontId="27" fillId="0" borderId="75" xfId="7" applyFont="1" applyFill="1" applyBorder="1" applyAlignment="1">
      <alignment horizontal="center" vertical="center"/>
    </xf>
    <xf numFmtId="9" fontId="36" fillId="4" borderId="51" xfId="7" applyFont="1" applyFill="1" applyBorder="1" applyAlignment="1">
      <alignment horizontal="center" vertical="center" wrapText="1"/>
    </xf>
    <xf numFmtId="9" fontId="36" fillId="28" borderId="51" xfId="7" applyFont="1" applyFill="1" applyBorder="1" applyAlignment="1">
      <alignment horizontal="center" vertical="center"/>
    </xf>
    <xf numFmtId="4" fontId="24" fillId="4" borderId="55" xfId="1" applyNumberFormat="1" applyFont="1" applyFill="1" applyBorder="1" applyAlignment="1">
      <alignment horizontal="center" vertical="center"/>
    </xf>
    <xf numFmtId="0" fontId="19" fillId="0" borderId="62" xfId="1" applyFont="1" applyBorder="1" applyAlignment="1">
      <alignment vertical="center"/>
    </xf>
    <xf numFmtId="4" fontId="25" fillId="19" borderId="52" xfId="1"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 fontId="25" fillId="18" borderId="52" xfId="1" applyNumberFormat="1" applyFont="1" applyFill="1" applyBorder="1" applyAlignment="1">
      <alignment horizontal="center" vertical="center" wrapText="1"/>
    </xf>
    <xf numFmtId="166" fontId="19" fillId="0" borderId="52" xfId="6" applyFont="1" applyFill="1" applyBorder="1" applyAlignment="1">
      <alignment horizontal="center" vertical="center"/>
    </xf>
    <xf numFmtId="3" fontId="100" fillId="0" borderId="6" xfId="1" applyNumberFormat="1" applyFont="1" applyFill="1" applyBorder="1" applyAlignment="1">
      <alignment vertical="center"/>
    </xf>
    <xf numFmtId="0" fontId="101" fillId="0" borderId="0" xfId="1" applyFont="1" applyFill="1"/>
    <xf numFmtId="0" fontId="42" fillId="12" borderId="55" xfId="1" applyFont="1" applyFill="1" applyBorder="1" applyAlignment="1">
      <alignment horizontal="center" vertical="center" wrapText="1"/>
    </xf>
    <xf numFmtId="4" fontId="29" fillId="11" borderId="59" xfId="1" applyNumberFormat="1" applyFont="1" applyFill="1" applyBorder="1" applyAlignment="1">
      <alignment horizontal="center" vertical="center"/>
    </xf>
    <xf numFmtId="10" fontId="36" fillId="0" borderId="36" xfId="1" applyNumberFormat="1" applyFont="1" applyFill="1" applyBorder="1" applyAlignment="1">
      <alignment horizontal="center" vertical="center"/>
    </xf>
    <xf numFmtId="10" fontId="29" fillId="3" borderId="62" xfId="1" applyNumberFormat="1" applyFont="1" applyFill="1" applyBorder="1" applyAlignment="1">
      <alignment horizontal="center" vertical="center"/>
    </xf>
    <xf numFmtId="0" fontId="36" fillId="0" borderId="52" xfId="1" applyNumberFormat="1" applyFont="1" applyFill="1" applyBorder="1" applyAlignment="1">
      <alignment horizontal="center" vertical="center"/>
    </xf>
    <xf numFmtId="10" fontId="39" fillId="5" borderId="36" xfId="1" applyNumberFormat="1" applyFont="1" applyFill="1" applyBorder="1" applyAlignment="1">
      <alignment horizontal="center" vertical="center"/>
    </xf>
    <xf numFmtId="9" fontId="36" fillId="4" borderId="0" xfId="7" applyFont="1" applyFill="1" applyBorder="1" applyAlignment="1">
      <alignment horizontal="center" vertical="center"/>
    </xf>
    <xf numFmtId="10" fontId="39" fillId="0" borderId="36" xfId="1" applyNumberFormat="1" applyFont="1" applyFill="1" applyBorder="1" applyAlignment="1">
      <alignment horizontal="center" vertical="center"/>
    </xf>
    <xf numFmtId="4" fontId="29" fillId="6" borderId="55" xfId="1" applyNumberFormat="1" applyFont="1" applyFill="1" applyBorder="1" applyAlignment="1">
      <alignment horizontal="center" vertical="center"/>
    </xf>
    <xf numFmtId="4" fontId="29" fillId="4" borderId="65" xfId="1" applyNumberFormat="1" applyFont="1" applyFill="1" applyBorder="1" applyAlignment="1">
      <alignment horizontal="center" vertical="center"/>
    </xf>
    <xf numFmtId="10" fontId="36" fillId="0" borderId="52" xfId="1" applyNumberFormat="1" applyFont="1" applyFill="1" applyBorder="1" applyAlignment="1">
      <alignment horizontal="center" vertical="center"/>
    </xf>
    <xf numFmtId="4" fontId="38" fillId="6" borderId="59" xfId="1" applyNumberFormat="1" applyFont="1" applyFill="1" applyBorder="1" applyAlignment="1">
      <alignment horizontal="center" vertical="center"/>
    </xf>
    <xf numFmtId="10" fontId="29" fillId="3" borderId="65" xfId="1" applyNumberFormat="1" applyFont="1" applyFill="1" applyBorder="1" applyAlignment="1">
      <alignment horizontal="center" vertical="center"/>
    </xf>
    <xf numFmtId="4" fontId="29" fillId="6" borderId="56" xfId="1" applyNumberFormat="1" applyFont="1" applyFill="1" applyBorder="1" applyAlignment="1">
      <alignment horizontal="center" vertical="center"/>
    </xf>
    <xf numFmtId="10" fontId="36" fillId="0" borderId="20" xfId="1" applyNumberFormat="1" applyFont="1" applyFill="1" applyBorder="1" applyAlignment="1">
      <alignment horizontal="center" vertical="center"/>
    </xf>
    <xf numFmtId="9" fontId="36" fillId="4" borderId="1" xfId="7" applyFont="1" applyFill="1" applyBorder="1" applyAlignment="1">
      <alignment horizontal="center" vertical="center"/>
    </xf>
    <xf numFmtId="0" fontId="24" fillId="11" borderId="56" xfId="1" applyFont="1" applyFill="1" applyBorder="1" applyAlignment="1">
      <alignment vertical="center"/>
    </xf>
    <xf numFmtId="0" fontId="24" fillId="6" borderId="56" xfId="1" applyFont="1" applyFill="1" applyBorder="1" applyAlignment="1">
      <alignment vertical="center"/>
    </xf>
    <xf numFmtId="0" fontId="24" fillId="3" borderId="63" xfId="1" applyFont="1" applyFill="1" applyBorder="1" applyAlignment="1">
      <alignment vertical="center"/>
    </xf>
    <xf numFmtId="9" fontId="36" fillId="11" borderId="3" xfId="7" applyFont="1" applyFill="1" applyBorder="1" applyAlignment="1">
      <alignment horizontal="center" vertical="center"/>
    </xf>
    <xf numFmtId="0" fontId="27" fillId="0" borderId="23" xfId="6" applyNumberFormat="1" applyFont="1" applyFill="1" applyBorder="1" applyAlignment="1">
      <alignment horizontal="center" vertical="center"/>
    </xf>
    <xf numFmtId="9" fontId="26" fillId="0" borderId="58" xfId="7" applyFont="1" applyFill="1" applyBorder="1" applyAlignment="1">
      <alignment horizontal="center" vertical="center" wrapText="1"/>
    </xf>
    <xf numFmtId="4" fontId="25" fillId="0" borderId="12" xfId="1" applyNumberFormat="1" applyFont="1" applyFill="1" applyBorder="1" applyAlignment="1">
      <alignment horizontal="center" vertical="center" wrapText="1"/>
    </xf>
    <xf numFmtId="0" fontId="17" fillId="0" borderId="56" xfId="0" applyFont="1" applyBorder="1" applyAlignment="1">
      <alignment horizontal="center" vertical="center"/>
    </xf>
    <xf numFmtId="4" fontId="24" fillId="4" borderId="5" xfId="1" applyNumberFormat="1" applyFont="1" applyFill="1" applyBorder="1" applyAlignment="1">
      <alignment horizontal="center" vertical="center"/>
    </xf>
    <xf numFmtId="9" fontId="27" fillId="0" borderId="63" xfId="7" applyFont="1" applyFill="1" applyBorder="1" applyAlignment="1">
      <alignment horizontal="center" vertical="center"/>
    </xf>
    <xf numFmtId="0" fontId="24" fillId="0" borderId="56" xfId="1" applyFont="1" applyBorder="1" applyAlignment="1">
      <alignment vertical="center"/>
    </xf>
    <xf numFmtId="10" fontId="69" fillId="4" borderId="51" xfId="1" applyNumberFormat="1" applyFont="1" applyFill="1" applyBorder="1" applyAlignment="1">
      <alignment horizontal="center" vertical="center"/>
    </xf>
    <xf numFmtId="4" fontId="26" fillId="0" borderId="20" xfId="1" applyNumberFormat="1" applyFont="1" applyFill="1" applyBorder="1" applyAlignment="1">
      <alignment horizontal="center" vertical="center"/>
    </xf>
    <xf numFmtId="0" fontId="24" fillId="4" borderId="63" xfId="1" applyFont="1" applyFill="1" applyBorder="1" applyAlignment="1">
      <alignment vertical="center"/>
    </xf>
    <xf numFmtId="10" fontId="36" fillId="0" borderId="58" xfId="1" applyNumberFormat="1" applyFont="1" applyFill="1" applyBorder="1" applyAlignment="1">
      <alignment horizontal="center" vertical="center"/>
    </xf>
    <xf numFmtId="0" fontId="19" fillId="0" borderId="7" xfId="1" applyFont="1" applyFill="1" applyBorder="1" applyAlignment="1">
      <alignment vertical="center"/>
    </xf>
    <xf numFmtId="0" fontId="24" fillId="4" borderId="56" xfId="1" applyFont="1" applyFill="1" applyBorder="1" applyAlignment="1">
      <alignment vertical="center"/>
    </xf>
    <xf numFmtId="3" fontId="27" fillId="0" borderId="4" xfId="6" applyNumberFormat="1" applyFont="1" applyFill="1" applyBorder="1" applyAlignment="1">
      <alignment horizontal="center" vertical="center"/>
    </xf>
    <xf numFmtId="3" fontId="27" fillId="0" borderId="8" xfId="6" applyNumberFormat="1" applyFont="1" applyFill="1" applyBorder="1" applyAlignment="1">
      <alignment horizontal="center" vertical="center"/>
    </xf>
    <xf numFmtId="3" fontId="24" fillId="6" borderId="55" xfId="1" applyNumberFormat="1" applyFont="1" applyFill="1" applyBorder="1" applyAlignment="1">
      <alignment horizontal="center" vertical="center"/>
    </xf>
    <xf numFmtId="9" fontId="36" fillId="0" borderId="7" xfId="7" applyFont="1" applyFill="1" applyBorder="1" applyAlignment="1">
      <alignment horizontal="center" vertical="center"/>
    </xf>
    <xf numFmtId="0" fontId="19" fillId="0" borderId="10" xfId="1" applyFont="1" applyBorder="1" applyAlignment="1">
      <alignment vertical="center"/>
    </xf>
    <xf numFmtId="3" fontId="27" fillId="0" borderId="10" xfId="1" applyNumberFormat="1" applyFont="1" applyFill="1" applyBorder="1" applyAlignment="1">
      <alignment horizontal="center" vertical="center"/>
    </xf>
    <xf numFmtId="3" fontId="27" fillId="0" borderId="5" xfId="1" applyNumberFormat="1" applyFont="1" applyFill="1" applyBorder="1" applyAlignment="1">
      <alignment horizontal="center" vertical="center"/>
    </xf>
    <xf numFmtId="3" fontId="27" fillId="0" borderId="12" xfId="1" applyNumberFormat="1" applyFont="1" applyFill="1" applyBorder="1" applyAlignment="1">
      <alignment horizontal="center" vertical="center"/>
    </xf>
    <xf numFmtId="0" fontId="36" fillId="0" borderId="36" xfId="1" applyNumberFormat="1" applyFont="1" applyFill="1" applyBorder="1" applyAlignment="1">
      <alignment horizontal="center" vertical="center"/>
    </xf>
    <xf numFmtId="0" fontId="27" fillId="0" borderId="36" xfId="1" applyNumberFormat="1" applyFont="1" applyFill="1" applyBorder="1" applyAlignment="1">
      <alignment horizontal="center" vertical="center"/>
    </xf>
    <xf numFmtId="0" fontId="24" fillId="6" borderId="62" xfId="1" applyFont="1" applyFill="1" applyBorder="1" applyAlignment="1">
      <alignment vertical="center"/>
    </xf>
    <xf numFmtId="3" fontId="28" fillId="6" borderId="62" xfId="1" applyNumberFormat="1" applyFont="1" applyFill="1" applyBorder="1" applyAlignment="1">
      <alignment horizontal="center" vertical="center"/>
    </xf>
    <xf numFmtId="4" fontId="38" fillId="6" borderId="63" xfId="1" applyNumberFormat="1" applyFont="1" applyFill="1" applyBorder="1" applyAlignment="1">
      <alignment horizontal="center" vertical="center"/>
    </xf>
    <xf numFmtId="3" fontId="28" fillId="6" borderId="63" xfId="1" applyNumberFormat="1" applyFont="1" applyFill="1" applyBorder="1" applyAlignment="1">
      <alignment horizontal="center" vertical="center"/>
    </xf>
    <xf numFmtId="4" fontId="38" fillId="6" borderId="62" xfId="1" applyNumberFormat="1" applyFont="1" applyFill="1" applyBorder="1" applyAlignment="1">
      <alignment horizontal="center" vertical="center"/>
    </xf>
    <xf numFmtId="4" fontId="28" fillId="6" borderId="63" xfId="1" applyNumberFormat="1" applyFont="1" applyFill="1" applyBorder="1" applyAlignment="1">
      <alignment horizontal="center" vertical="center"/>
    </xf>
    <xf numFmtId="0" fontId="24" fillId="4" borderId="1" xfId="1" applyFont="1" applyFill="1" applyBorder="1" applyAlignment="1">
      <alignment vertical="center"/>
    </xf>
    <xf numFmtId="0" fontId="24" fillId="0" borderId="56" xfId="1" applyFont="1" applyFill="1" applyBorder="1" applyAlignment="1">
      <alignment vertical="center"/>
    </xf>
    <xf numFmtId="4" fontId="25" fillId="8" borderId="36" xfId="1" applyNumberFormat="1" applyFont="1" applyFill="1" applyBorder="1" applyAlignment="1">
      <alignment horizontal="center" vertical="center"/>
    </xf>
    <xf numFmtId="4" fontId="26" fillId="0" borderId="62" xfId="1" applyNumberFormat="1" applyFont="1" applyFill="1" applyBorder="1" applyAlignment="1">
      <alignment horizontal="center" vertical="center"/>
    </xf>
    <xf numFmtId="4" fontId="26" fillId="0" borderId="63" xfId="1" applyNumberFormat="1" applyFont="1" applyFill="1" applyBorder="1" applyAlignment="1">
      <alignment horizontal="center" vertical="center"/>
    </xf>
    <xf numFmtId="10" fontId="39" fillId="0" borderId="58" xfId="1" applyNumberFormat="1" applyFont="1" applyFill="1" applyBorder="1" applyAlignment="1">
      <alignment horizontal="center" vertical="center"/>
    </xf>
    <xf numFmtId="0" fontId="36" fillId="0" borderId="58" xfId="1" applyNumberFormat="1" applyFont="1" applyFill="1" applyBorder="1" applyAlignment="1">
      <alignment horizontal="center" vertical="center"/>
    </xf>
    <xf numFmtId="166" fontId="26" fillId="0" borderId="20" xfId="6" applyFont="1" applyFill="1" applyBorder="1" applyAlignment="1">
      <alignment horizontal="center" vertical="center"/>
    </xf>
    <xf numFmtId="9" fontId="26" fillId="0" borderId="60" xfId="7" applyFont="1" applyFill="1" applyBorder="1" applyAlignment="1">
      <alignment horizontal="center" vertical="center"/>
    </xf>
    <xf numFmtId="3" fontId="25" fillId="0" borderId="57" xfId="1" applyNumberFormat="1" applyFont="1" applyFill="1" applyBorder="1" applyAlignment="1">
      <alignment horizontal="center" vertical="center"/>
    </xf>
    <xf numFmtId="0" fontId="0" fillId="0" borderId="0" xfId="0" applyAlignment="1">
      <alignment horizontal="right"/>
    </xf>
    <xf numFmtId="3" fontId="25" fillId="0" borderId="62" xfId="1" applyNumberFormat="1" applyFont="1" applyFill="1" applyBorder="1" applyAlignment="1">
      <alignment horizontal="center" vertical="center"/>
    </xf>
    <xf numFmtId="9" fontId="36" fillId="0" borderId="63" xfId="7" applyFont="1" applyFill="1" applyBorder="1" applyAlignment="1">
      <alignment horizontal="center" vertical="center"/>
    </xf>
    <xf numFmtId="9" fontId="36" fillId="25" borderId="51" xfId="7" applyFont="1" applyFill="1" applyBorder="1" applyAlignment="1">
      <alignment horizontal="center" vertical="center"/>
    </xf>
    <xf numFmtId="9" fontId="36" fillId="29" borderId="51" xfId="7" applyFont="1" applyFill="1" applyBorder="1" applyAlignment="1">
      <alignment horizontal="center" vertical="center"/>
    </xf>
    <xf numFmtId="3" fontId="24" fillId="11" borderId="51" xfId="1" applyNumberFormat="1" applyFont="1" applyFill="1" applyBorder="1" applyAlignment="1">
      <alignment horizontal="center" vertical="center"/>
    </xf>
    <xf numFmtId="0" fontId="0" fillId="0" borderId="0" xfId="0" applyAlignment="1">
      <alignment horizontal="right" vertical="center"/>
    </xf>
    <xf numFmtId="9" fontId="26" fillId="0" borderId="77" xfId="7" applyFont="1" applyFill="1" applyBorder="1" applyAlignment="1">
      <alignment horizontal="center" vertical="center"/>
    </xf>
    <xf numFmtId="4" fontId="25" fillId="0" borderId="77" xfId="1" applyNumberFormat="1" applyFont="1" applyFill="1" applyBorder="1" applyAlignment="1">
      <alignment horizontal="center" vertical="center" wrapText="1"/>
    </xf>
    <xf numFmtId="3" fontId="25" fillId="0" borderId="77" xfId="1" applyNumberFormat="1" applyFont="1" applyFill="1" applyBorder="1" applyAlignment="1">
      <alignment horizontal="center" vertical="center"/>
    </xf>
    <xf numFmtId="3" fontId="25" fillId="0" borderId="79" xfId="1" applyNumberFormat="1" applyFont="1" applyFill="1" applyBorder="1" applyAlignment="1">
      <alignment horizontal="center" vertical="center"/>
    </xf>
    <xf numFmtId="4" fontId="25" fillId="0" borderId="79" xfId="1" applyNumberFormat="1" applyFont="1" applyFill="1" applyBorder="1" applyAlignment="1">
      <alignment horizontal="center" vertical="center"/>
    </xf>
    <xf numFmtId="4" fontId="25" fillId="0" borderId="76" xfId="1" applyNumberFormat="1" applyFont="1" applyFill="1" applyBorder="1" applyAlignment="1">
      <alignment horizontal="center" vertical="center"/>
    </xf>
    <xf numFmtId="10" fontId="26" fillId="0" borderId="76" xfId="1" applyNumberFormat="1" applyFont="1" applyFill="1" applyBorder="1" applyAlignment="1">
      <alignment horizontal="center" vertical="center"/>
    </xf>
    <xf numFmtId="4" fontId="25" fillId="0" borderId="78" xfId="1" applyNumberFormat="1" applyFont="1" applyFill="1" applyBorder="1" applyAlignment="1">
      <alignment horizontal="center" vertical="center"/>
    </xf>
    <xf numFmtId="10" fontId="26" fillId="0" borderId="77" xfId="1" applyNumberFormat="1" applyFont="1" applyFill="1" applyBorder="1" applyAlignment="1">
      <alignment horizontal="center" vertical="center"/>
    </xf>
    <xf numFmtId="10" fontId="24" fillId="0" borderId="78" xfId="1" applyNumberFormat="1" applyFont="1" applyFill="1" applyBorder="1" applyAlignment="1">
      <alignment horizontal="center" vertical="center"/>
    </xf>
    <xf numFmtId="3" fontId="24" fillId="4" borderId="80" xfId="1" applyNumberFormat="1" applyFont="1" applyFill="1" applyBorder="1" applyAlignment="1">
      <alignment horizontal="center" vertical="center"/>
    </xf>
    <xf numFmtId="3" fontId="24" fillId="4" borderId="79" xfId="1" applyNumberFormat="1" applyFont="1" applyFill="1" applyBorder="1" applyAlignment="1">
      <alignment horizontal="center" vertical="center"/>
    </xf>
    <xf numFmtId="4" fontId="25" fillId="26" borderId="77" xfId="1" applyNumberFormat="1" applyFont="1" applyFill="1" applyBorder="1" applyAlignment="1">
      <alignment horizontal="center" vertical="center"/>
    </xf>
    <xf numFmtId="3" fontId="24" fillId="4" borderId="78" xfId="1" applyNumberFormat="1" applyFont="1" applyFill="1" applyBorder="1" applyAlignment="1">
      <alignment horizontal="center" vertical="center"/>
    </xf>
    <xf numFmtId="3" fontId="24" fillId="8" borderId="78" xfId="1" applyNumberFormat="1" applyFont="1" applyFill="1" applyBorder="1" applyAlignment="1">
      <alignment horizontal="center" vertical="center"/>
    </xf>
    <xf numFmtId="9" fontId="24" fillId="3" borderId="78" xfId="7" applyFont="1" applyFill="1" applyBorder="1" applyAlignment="1">
      <alignment horizontal="center" vertical="center"/>
    </xf>
    <xf numFmtId="4" fontId="30" fillId="0" borderId="0" xfId="1" applyNumberFormat="1" applyFont="1" applyFill="1" applyAlignment="1">
      <alignment horizontal="center" vertical="center"/>
    </xf>
    <xf numFmtId="3" fontId="27" fillId="0" borderId="76" xfId="1" applyNumberFormat="1" applyFont="1" applyFill="1" applyBorder="1" applyAlignment="1">
      <alignment horizontal="center" vertical="center"/>
    </xf>
    <xf numFmtId="3" fontId="27" fillId="0" borderId="80" xfId="1" applyNumberFormat="1" applyFont="1" applyFill="1" applyBorder="1" applyAlignment="1">
      <alignment horizontal="center" vertical="center"/>
    </xf>
    <xf numFmtId="9" fontId="36" fillId="0" borderId="77" xfId="7" applyFont="1" applyFill="1" applyBorder="1" applyAlignment="1">
      <alignment horizontal="center" vertical="center"/>
    </xf>
    <xf numFmtId="3" fontId="25" fillId="0" borderId="76" xfId="1" applyNumberFormat="1" applyFont="1" applyFill="1" applyBorder="1" applyAlignment="1">
      <alignment horizontal="center" vertical="center"/>
    </xf>
    <xf numFmtId="9" fontId="68" fillId="0" borderId="77" xfId="7" applyFont="1" applyFill="1" applyBorder="1" applyAlignment="1">
      <alignment horizontal="center" vertical="center"/>
    </xf>
    <xf numFmtId="9" fontId="71" fillId="0" borderId="77" xfId="7" applyFont="1" applyFill="1" applyBorder="1" applyAlignment="1">
      <alignment horizontal="center" vertical="center" wrapText="1"/>
    </xf>
    <xf numFmtId="9" fontId="27" fillId="0" borderId="77" xfId="7" applyFont="1" applyFill="1" applyBorder="1" applyAlignment="1">
      <alignment horizontal="center" vertical="center"/>
    </xf>
    <xf numFmtId="9" fontId="36" fillId="0" borderId="78" xfId="7" applyFont="1" applyFill="1" applyBorder="1" applyAlignment="1">
      <alignment horizontal="center" vertical="center"/>
    </xf>
    <xf numFmtId="9" fontId="26" fillId="0" borderId="77" xfId="7" applyFont="1" applyFill="1" applyBorder="1" applyAlignment="1">
      <alignment horizontal="center" vertical="center" wrapText="1"/>
    </xf>
    <xf numFmtId="4" fontId="24" fillId="4" borderId="78" xfId="1" applyNumberFormat="1" applyFont="1" applyFill="1" applyBorder="1" applyAlignment="1">
      <alignment horizontal="center" vertical="center"/>
    </xf>
    <xf numFmtId="0" fontId="27" fillId="0" borderId="77" xfId="1" applyNumberFormat="1" applyFont="1" applyFill="1" applyBorder="1" applyAlignment="1">
      <alignment horizontal="center" vertical="center"/>
    </xf>
    <xf numFmtId="10" fontId="24" fillId="3" borderId="78" xfId="1" applyNumberFormat="1" applyFont="1" applyFill="1" applyBorder="1" applyAlignment="1">
      <alignment horizontal="center" vertical="center"/>
    </xf>
    <xf numFmtId="9" fontId="19" fillId="0" borderId="77" xfId="7" applyFont="1" applyFill="1" applyBorder="1" applyAlignment="1">
      <alignment horizontal="center" vertical="center" wrapText="1"/>
    </xf>
    <xf numFmtId="0" fontId="19" fillId="0" borderId="76" xfId="1" applyFont="1" applyBorder="1" applyAlignment="1">
      <alignment vertical="center"/>
    </xf>
    <xf numFmtId="0" fontId="19" fillId="0" borderId="80" xfId="1" applyFont="1" applyBorder="1" applyAlignment="1">
      <alignment vertical="center"/>
    </xf>
    <xf numFmtId="0" fontId="19" fillId="0" borderId="76" xfId="1" applyFont="1" applyBorder="1" applyAlignment="1">
      <alignment horizontal="left" vertical="center"/>
    </xf>
    <xf numFmtId="0" fontId="24" fillId="4" borderId="76" xfId="1" applyFont="1" applyFill="1" applyBorder="1" applyAlignment="1">
      <alignment vertical="center"/>
    </xf>
    <xf numFmtId="9" fontId="67" fillId="0" borderId="77" xfId="7" applyFont="1" applyFill="1" applyBorder="1" applyAlignment="1">
      <alignment horizontal="center" vertical="center" wrapText="1"/>
    </xf>
    <xf numFmtId="9" fontId="68" fillId="0" borderId="77" xfId="7" applyFont="1" applyFill="1" applyBorder="1" applyAlignment="1">
      <alignment horizontal="center" vertical="center" wrapText="1"/>
    </xf>
    <xf numFmtId="10" fontId="72" fillId="3" borderId="63" xfId="1" applyNumberFormat="1" applyFont="1" applyFill="1" applyBorder="1" applyAlignment="1">
      <alignment horizontal="center" vertical="center"/>
    </xf>
    <xf numFmtId="4" fontId="72" fillId="4" borderId="63" xfId="1" applyNumberFormat="1" applyFont="1" applyFill="1" applyBorder="1" applyAlignment="1">
      <alignment horizontal="center" vertical="center"/>
    </xf>
    <xf numFmtId="4" fontId="72" fillId="6" borderId="56" xfId="1" applyNumberFormat="1" applyFont="1" applyFill="1" applyBorder="1" applyAlignment="1">
      <alignment horizontal="center" vertical="center"/>
    </xf>
    <xf numFmtId="9" fontId="27" fillId="0" borderId="77" xfId="7" applyFont="1" applyFill="1" applyBorder="1" applyAlignment="1">
      <alignment horizontal="center" vertical="center" wrapText="1"/>
    </xf>
    <xf numFmtId="9" fontId="27" fillId="0" borderId="79" xfId="7" applyFont="1" applyFill="1" applyBorder="1" applyAlignment="1">
      <alignment horizontal="center" vertical="center"/>
    </xf>
    <xf numFmtId="4" fontId="24" fillId="4" borderId="79" xfId="1" applyNumberFormat="1" applyFont="1" applyFill="1" applyBorder="1" applyAlignment="1">
      <alignment horizontal="center" vertical="center"/>
    </xf>
    <xf numFmtId="3" fontId="27" fillId="0" borderId="80" xfId="6" applyNumberFormat="1" applyFont="1" applyFill="1" applyBorder="1" applyAlignment="1">
      <alignment horizontal="center" vertical="center"/>
    </xf>
    <xf numFmtId="0" fontId="27" fillId="0" borderId="79" xfId="1" applyNumberFormat="1" applyFont="1" applyFill="1" applyBorder="1" applyAlignment="1">
      <alignment horizontal="center" vertical="center"/>
    </xf>
    <xf numFmtId="166" fontId="27" fillId="0" borderId="79" xfId="6" applyFont="1" applyFill="1" applyBorder="1" applyAlignment="1">
      <alignment horizontal="center" vertical="center"/>
    </xf>
    <xf numFmtId="4" fontId="16" fillId="0" borderId="0" xfId="1" applyNumberFormat="1" applyAlignment="1">
      <alignment horizontal="right" vertical="center"/>
    </xf>
    <xf numFmtId="9" fontId="36" fillId="0" borderId="81" xfId="7" applyFont="1" applyFill="1" applyBorder="1" applyAlignment="1">
      <alignment horizontal="center" vertical="center"/>
    </xf>
    <xf numFmtId="0" fontId="19" fillId="0" borderId="79" xfId="1" applyFont="1" applyBorder="1" applyAlignment="1">
      <alignment vertical="center"/>
    </xf>
    <xf numFmtId="0" fontId="19" fillId="0" borderId="78" xfId="1" applyFont="1" applyBorder="1" applyAlignment="1">
      <alignment vertical="center"/>
    </xf>
    <xf numFmtId="4" fontId="25" fillId="26" borderId="79" xfId="1" applyNumberFormat="1" applyFont="1" applyFill="1" applyBorder="1" applyAlignment="1">
      <alignment horizontal="center" vertical="center"/>
    </xf>
    <xf numFmtId="0" fontId="19" fillId="0" borderId="80" xfId="1" applyFont="1" applyFill="1" applyBorder="1" applyAlignment="1">
      <alignment vertical="center"/>
    </xf>
    <xf numFmtId="4" fontId="69" fillId="4" borderId="78" xfId="1" applyNumberFormat="1" applyFont="1" applyFill="1" applyBorder="1" applyAlignment="1">
      <alignment horizontal="center" vertical="center"/>
    </xf>
    <xf numFmtId="0" fontId="68" fillId="0" borderId="77" xfId="1" applyNumberFormat="1" applyFont="1" applyFill="1" applyBorder="1" applyAlignment="1">
      <alignment horizontal="center" vertical="center"/>
    </xf>
    <xf numFmtId="4" fontId="24" fillId="8" borderId="78" xfId="1" applyNumberFormat="1" applyFont="1" applyFill="1" applyBorder="1" applyAlignment="1">
      <alignment horizontal="center" vertical="center"/>
    </xf>
    <xf numFmtId="4" fontId="69" fillId="8" borderId="78" xfId="1" applyNumberFormat="1" applyFont="1" applyFill="1" applyBorder="1" applyAlignment="1">
      <alignment horizontal="center" vertical="center"/>
    </xf>
    <xf numFmtId="10" fontId="69" fillId="3" borderId="78" xfId="1" applyNumberFormat="1" applyFont="1" applyFill="1" applyBorder="1" applyAlignment="1">
      <alignment horizontal="center" vertical="center"/>
    </xf>
    <xf numFmtId="3" fontId="25" fillId="0" borderId="80" xfId="1" applyNumberFormat="1" applyFont="1" applyFill="1" applyBorder="1" applyAlignment="1">
      <alignment horizontal="center" vertical="center"/>
    </xf>
    <xf numFmtId="0" fontId="19" fillId="0" borderId="79" xfId="1" applyFont="1" applyBorder="1" applyAlignment="1">
      <alignment horizontal="left" vertical="center"/>
    </xf>
    <xf numFmtId="4" fontId="26" fillId="0" borderId="80" xfId="1" applyNumberFormat="1" applyFont="1" applyFill="1" applyBorder="1" applyAlignment="1">
      <alignment horizontal="center" vertical="center"/>
    </xf>
    <xf numFmtId="4" fontId="26" fillId="0" borderId="79" xfId="1" applyNumberFormat="1" applyFont="1" applyFill="1" applyBorder="1" applyAlignment="1">
      <alignment horizontal="center" vertical="center"/>
    </xf>
    <xf numFmtId="10" fontId="39" fillId="0" borderId="77" xfId="1" applyNumberFormat="1" applyFont="1" applyFill="1" applyBorder="1" applyAlignment="1">
      <alignment horizontal="center" vertical="center"/>
    </xf>
    <xf numFmtId="9" fontId="36" fillId="0" borderId="79" xfId="7" applyFont="1" applyFill="1" applyBorder="1" applyAlignment="1">
      <alignment horizontal="center" vertical="center"/>
    </xf>
    <xf numFmtId="0" fontId="19" fillId="0" borderId="78" xfId="1" applyFont="1" applyBorder="1" applyAlignment="1">
      <alignment horizontal="left" vertical="center"/>
    </xf>
    <xf numFmtId="4" fontId="27" fillId="0" borderId="78" xfId="1" applyNumberFormat="1" applyFont="1" applyFill="1" applyBorder="1" applyAlignment="1">
      <alignment horizontal="center" vertical="center"/>
    </xf>
    <xf numFmtId="9" fontId="25" fillId="0" borderId="77" xfId="7" applyFont="1" applyFill="1" applyBorder="1" applyAlignment="1">
      <alignment horizontal="center" vertical="center" wrapText="1"/>
    </xf>
    <xf numFmtId="3" fontId="26" fillId="5" borderId="78" xfId="1" applyNumberFormat="1" applyFont="1" applyFill="1" applyBorder="1" applyAlignment="1">
      <alignment horizontal="center" vertical="center"/>
    </xf>
    <xf numFmtId="10" fontId="26" fillId="5" borderId="78" xfId="1" applyNumberFormat="1" applyFont="1" applyFill="1" applyBorder="1" applyAlignment="1">
      <alignment horizontal="center" vertical="center"/>
    </xf>
    <xf numFmtId="0" fontId="24" fillId="4" borderId="78" xfId="1" applyFont="1" applyFill="1" applyBorder="1" applyAlignment="1">
      <alignment vertical="center"/>
    </xf>
    <xf numFmtId="4" fontId="29" fillId="4" borderId="78" xfId="1" applyNumberFormat="1" applyFont="1" applyFill="1" applyBorder="1" applyAlignment="1">
      <alignment horizontal="center" vertical="center"/>
    </xf>
    <xf numFmtId="0" fontId="24" fillId="8" borderId="78" xfId="1" applyFont="1" applyFill="1" applyBorder="1" applyAlignment="1">
      <alignment vertical="center"/>
    </xf>
    <xf numFmtId="4" fontId="29" fillId="8" borderId="78" xfId="1" applyNumberFormat="1" applyFont="1" applyFill="1" applyBorder="1" applyAlignment="1">
      <alignment horizontal="center" vertical="center"/>
    </xf>
    <xf numFmtId="3" fontId="27" fillId="0" borderId="79" xfId="1" applyNumberFormat="1" applyFont="1" applyFill="1" applyBorder="1" applyAlignment="1">
      <alignment horizontal="center" vertical="center"/>
    </xf>
    <xf numFmtId="3" fontId="27" fillId="0" borderId="77" xfId="1" applyNumberFormat="1" applyFont="1" applyFill="1" applyBorder="1" applyAlignment="1">
      <alignment horizontal="center" vertical="center"/>
    </xf>
    <xf numFmtId="0" fontId="36" fillId="0" borderId="77" xfId="1" applyNumberFormat="1" applyFont="1" applyFill="1" applyBorder="1" applyAlignment="1">
      <alignment horizontal="center" vertical="center"/>
    </xf>
    <xf numFmtId="0" fontId="24" fillId="3" borderId="78" xfId="1" applyFont="1" applyFill="1" applyBorder="1" applyAlignment="1">
      <alignment vertical="center"/>
    </xf>
    <xf numFmtId="10" fontId="29" fillId="3" borderId="78" xfId="1" applyNumberFormat="1" applyFont="1" applyFill="1" applyBorder="1" applyAlignment="1">
      <alignment horizontal="center" vertical="center"/>
    </xf>
    <xf numFmtId="3" fontId="24" fillId="3" borderId="78" xfId="1" applyNumberFormat="1" applyFont="1" applyFill="1" applyBorder="1" applyAlignment="1">
      <alignment horizontal="center" vertical="center"/>
    </xf>
    <xf numFmtId="9" fontId="88" fillId="0" borderId="77" xfId="7" applyFont="1" applyFill="1" applyBorder="1" applyAlignment="1">
      <alignment horizontal="center" vertical="center" wrapText="1"/>
    </xf>
    <xf numFmtId="9" fontId="36" fillId="4" borderId="76" xfId="7" applyFont="1" applyFill="1" applyBorder="1" applyAlignment="1">
      <alignment horizontal="center" vertical="center"/>
    </xf>
    <xf numFmtId="3" fontId="27" fillId="5" borderId="80" xfId="1" applyNumberFormat="1" applyFont="1" applyFill="1" applyBorder="1" applyAlignment="1">
      <alignment horizontal="center" vertical="center"/>
    </xf>
    <xf numFmtId="10" fontId="36" fillId="0" borderId="77" xfId="1" applyNumberFormat="1" applyFont="1" applyFill="1" applyBorder="1" applyAlignment="1">
      <alignment horizontal="center" vertical="center"/>
    </xf>
    <xf numFmtId="3" fontId="27" fillId="0" borderId="82" xfId="1" applyNumberFormat="1" applyFont="1" applyFill="1" applyBorder="1" applyAlignment="1">
      <alignment horizontal="center" vertical="center"/>
    </xf>
    <xf numFmtId="0" fontId="19" fillId="0" borderId="83" xfId="1" applyFont="1" applyBorder="1" applyAlignment="1">
      <alignment vertical="center"/>
    </xf>
    <xf numFmtId="3" fontId="27" fillId="0" borderId="84" xfId="1" applyNumberFormat="1" applyFont="1" applyFill="1" applyBorder="1" applyAlignment="1">
      <alignment horizontal="center" vertical="center"/>
    </xf>
    <xf numFmtId="3" fontId="27" fillId="0" borderId="85" xfId="1" applyNumberFormat="1" applyFont="1" applyFill="1" applyBorder="1" applyAlignment="1">
      <alignment horizontal="center" vertical="center"/>
    </xf>
    <xf numFmtId="0" fontId="24" fillId="11" borderId="82" xfId="1" applyFont="1" applyFill="1" applyBorder="1" applyAlignment="1">
      <alignment vertical="center"/>
    </xf>
    <xf numFmtId="0" fontId="19" fillId="0" borderId="82" xfId="1" applyFont="1" applyFill="1" applyBorder="1" applyAlignment="1">
      <alignment horizontal="left" vertical="center"/>
    </xf>
    <xf numFmtId="0" fontId="19" fillId="0" borderId="85" xfId="1" applyFont="1" applyBorder="1" applyAlignment="1">
      <alignment horizontal="left" vertical="center"/>
    </xf>
    <xf numFmtId="0" fontId="19" fillId="0" borderId="86" xfId="1" applyFont="1" applyFill="1" applyBorder="1" applyAlignment="1">
      <alignment vertical="center"/>
    </xf>
    <xf numFmtId="3" fontId="27" fillId="0" borderId="87" xfId="1" applyNumberFormat="1" applyFont="1" applyFill="1" applyBorder="1" applyAlignment="1">
      <alignment horizontal="center" vertical="center"/>
    </xf>
    <xf numFmtId="10" fontId="36" fillId="0" borderId="87" xfId="1" applyNumberFormat="1" applyFont="1" applyFill="1" applyBorder="1" applyAlignment="1">
      <alignment horizontal="center" vertical="center"/>
    </xf>
    <xf numFmtId="9" fontId="36" fillId="0" borderId="87" xfId="7" applyFont="1" applyFill="1" applyBorder="1" applyAlignment="1">
      <alignment horizontal="center" vertical="center"/>
    </xf>
    <xf numFmtId="0" fontId="19" fillId="0" borderId="86" xfId="1" applyFont="1" applyFill="1" applyBorder="1" applyAlignment="1">
      <alignment horizontal="left" vertical="center"/>
    </xf>
    <xf numFmtId="3" fontId="26" fillId="5" borderId="86" xfId="1" applyNumberFormat="1" applyFont="1" applyFill="1" applyBorder="1" applyAlignment="1">
      <alignment horizontal="center" vertical="center"/>
    </xf>
    <xf numFmtId="9" fontId="27" fillId="0" borderId="87" xfId="7" applyFont="1" applyFill="1" applyBorder="1" applyAlignment="1">
      <alignment horizontal="center" vertical="center"/>
    </xf>
    <xf numFmtId="0" fontId="19" fillId="0" borderId="86" xfId="1" applyFont="1" applyBorder="1" applyAlignment="1">
      <alignment horizontal="left" vertical="center"/>
    </xf>
    <xf numFmtId="3" fontId="27" fillId="0" borderId="86" xfId="1" applyNumberFormat="1" applyFont="1" applyFill="1" applyBorder="1" applyAlignment="1">
      <alignment horizontal="center" vertical="center"/>
    </xf>
    <xf numFmtId="9" fontId="26" fillId="0" borderId="86" xfId="7" applyFont="1" applyFill="1" applyBorder="1" applyAlignment="1">
      <alignment horizontal="center" vertical="center"/>
    </xf>
    <xf numFmtId="4" fontId="19" fillId="0" borderId="87" xfId="1" applyNumberFormat="1" applyFont="1" applyFill="1" applyBorder="1" applyAlignment="1">
      <alignment horizontal="center" vertical="center"/>
    </xf>
    <xf numFmtId="10" fontId="24" fillId="0" borderId="87" xfId="1" applyNumberFormat="1" applyFont="1" applyFill="1" applyBorder="1" applyAlignment="1">
      <alignment horizontal="center" vertical="center"/>
    </xf>
    <xf numFmtId="10" fontId="29" fillId="0" borderId="87" xfId="1" applyNumberFormat="1" applyFont="1" applyFill="1" applyBorder="1" applyAlignment="1">
      <alignment horizontal="center" vertical="center"/>
    </xf>
    <xf numFmtId="9" fontId="68" fillId="0" borderId="87" xfId="7" applyFont="1" applyFill="1" applyBorder="1" applyAlignment="1">
      <alignment horizontal="center" vertical="center"/>
    </xf>
    <xf numFmtId="4" fontId="25" fillId="8" borderId="77" xfId="1" applyNumberFormat="1" applyFont="1" applyFill="1" applyBorder="1" applyAlignment="1">
      <alignment horizontal="center" vertical="center"/>
    </xf>
    <xf numFmtId="3" fontId="88" fillId="0" borderId="76" xfId="1" applyNumberFormat="1" applyFont="1" applyFill="1" applyBorder="1" applyAlignment="1">
      <alignment horizontal="center" vertical="center"/>
    </xf>
    <xf numFmtId="3" fontId="88" fillId="0" borderId="79" xfId="6" applyNumberFormat="1" applyFont="1" applyFill="1" applyBorder="1" applyAlignment="1">
      <alignment horizontal="center" vertical="center"/>
    </xf>
    <xf numFmtId="9" fontId="99" fillId="0" borderId="77" xfId="7" applyFont="1" applyFill="1" applyBorder="1" applyAlignment="1">
      <alignment horizontal="center" vertical="center"/>
    </xf>
    <xf numFmtId="4" fontId="88" fillId="0" borderId="77" xfId="1" applyNumberFormat="1" applyFont="1" applyFill="1" applyBorder="1" applyAlignment="1">
      <alignment horizontal="center" vertical="center"/>
    </xf>
    <xf numFmtId="3" fontId="88" fillId="0" borderId="77" xfId="1" applyNumberFormat="1" applyFont="1" applyFill="1" applyBorder="1" applyAlignment="1">
      <alignment horizontal="center" vertical="center"/>
    </xf>
    <xf numFmtId="4" fontId="88" fillId="0" borderId="77" xfId="1" applyNumberFormat="1" applyFont="1" applyFill="1" applyBorder="1" applyAlignment="1">
      <alignment horizontal="center" vertical="center" wrapText="1"/>
    </xf>
    <xf numFmtId="166" fontId="88" fillId="0" borderId="77" xfId="6" applyFont="1" applyFill="1" applyBorder="1" applyAlignment="1">
      <alignment horizontal="center" vertical="center"/>
    </xf>
    <xf numFmtId="49" fontId="25" fillId="0" borderId="77" xfId="1" applyNumberFormat="1" applyFont="1" applyFill="1" applyBorder="1" applyAlignment="1">
      <alignment horizontal="center" vertical="center" wrapText="1"/>
    </xf>
    <xf numFmtId="9" fontId="67" fillId="0" borderId="87" xfId="7" applyFont="1" applyFill="1" applyBorder="1" applyAlignment="1">
      <alignment horizontal="center" vertical="center" wrapText="1"/>
    </xf>
    <xf numFmtId="10" fontId="27" fillId="0" borderId="87" xfId="1" applyNumberFormat="1" applyFont="1" applyFill="1" applyBorder="1" applyAlignment="1">
      <alignment horizontal="center" vertical="center"/>
    </xf>
    <xf numFmtId="0" fontId="24" fillId="3" borderId="80" xfId="1" applyFont="1" applyFill="1" applyBorder="1" applyAlignment="1">
      <alignment vertical="center"/>
    </xf>
    <xf numFmtId="9" fontId="24" fillId="3" borderId="80" xfId="7" applyFont="1" applyFill="1" applyBorder="1" applyAlignment="1">
      <alignment horizontal="center" vertical="center"/>
    </xf>
    <xf numFmtId="9" fontId="24" fillId="3" borderId="79" xfId="7" applyFont="1" applyFill="1" applyBorder="1" applyAlignment="1">
      <alignment horizontal="center" vertical="center"/>
    </xf>
    <xf numFmtId="10" fontId="29" fillId="3" borderId="79" xfId="1" applyNumberFormat="1" applyFont="1" applyFill="1" applyBorder="1" applyAlignment="1">
      <alignment horizontal="center" vertical="center"/>
    </xf>
    <xf numFmtId="10" fontId="24" fillId="3" borderId="80" xfId="1" applyNumberFormat="1" applyFont="1" applyFill="1" applyBorder="1" applyAlignment="1">
      <alignment horizontal="center" vertical="center"/>
    </xf>
    <xf numFmtId="10" fontId="24" fillId="3" borderId="79" xfId="1" applyNumberFormat="1" applyFont="1" applyFill="1" applyBorder="1" applyAlignment="1">
      <alignment horizontal="center" vertical="center"/>
    </xf>
    <xf numFmtId="10" fontId="29" fillId="3" borderId="80" xfId="1" applyNumberFormat="1" applyFont="1" applyFill="1" applyBorder="1" applyAlignment="1">
      <alignment horizontal="center" vertical="center"/>
    </xf>
    <xf numFmtId="9" fontId="36" fillId="25" borderId="77" xfId="7" applyFont="1" applyFill="1" applyBorder="1" applyAlignment="1">
      <alignment horizontal="center" vertical="center"/>
    </xf>
    <xf numFmtId="0" fontId="24" fillId="4" borderId="80" xfId="1" applyFont="1" applyFill="1" applyBorder="1" applyAlignment="1">
      <alignment vertical="center"/>
    </xf>
    <xf numFmtId="3" fontId="27" fillId="0" borderId="78" xfId="1" applyNumberFormat="1" applyFont="1" applyFill="1" applyBorder="1" applyAlignment="1">
      <alignment horizontal="center" vertical="center"/>
    </xf>
    <xf numFmtId="9" fontId="36" fillId="4" borderId="77" xfId="7" applyFont="1" applyFill="1" applyBorder="1" applyAlignment="1">
      <alignment horizontal="center" vertical="center"/>
    </xf>
    <xf numFmtId="4" fontId="66" fillId="4" borderId="79" xfId="1" applyNumberFormat="1" applyFont="1" applyFill="1" applyBorder="1" applyAlignment="1">
      <alignment horizontal="center" vertical="center"/>
    </xf>
    <xf numFmtId="3" fontId="25" fillId="8" borderId="77" xfId="1" applyNumberFormat="1" applyFont="1" applyFill="1" applyBorder="1" applyAlignment="1">
      <alignment horizontal="center" vertical="center"/>
    </xf>
    <xf numFmtId="4" fontId="25" fillId="19" borderId="77" xfId="1" applyNumberFormat="1" applyFont="1" applyFill="1" applyBorder="1" applyAlignment="1">
      <alignment horizontal="center" vertical="center"/>
    </xf>
    <xf numFmtId="4" fontId="25" fillId="0" borderId="87" xfId="1" applyNumberFormat="1" applyFont="1" applyFill="1" applyBorder="1" applyAlignment="1">
      <alignment horizontal="center" vertical="center" wrapText="1"/>
    </xf>
    <xf numFmtId="9" fontId="88" fillId="0" borderId="77" xfId="7" applyFont="1" applyFill="1" applyBorder="1" applyAlignment="1">
      <alignment horizontal="center" vertical="center"/>
    </xf>
    <xf numFmtId="4" fontId="88" fillId="0" borderId="87" xfId="1" applyNumberFormat="1" applyFont="1" applyFill="1" applyBorder="1" applyAlignment="1">
      <alignment horizontal="center" vertical="center" wrapText="1"/>
    </xf>
    <xf numFmtId="49" fontId="27" fillId="0" borderId="77" xfId="7" applyNumberFormat="1" applyFont="1" applyFill="1" applyBorder="1" applyAlignment="1">
      <alignment horizontal="center" vertical="center" wrapText="1"/>
    </xf>
    <xf numFmtId="4" fontId="36" fillId="0" borderId="58" xfId="1" applyNumberFormat="1" applyFont="1" applyFill="1" applyBorder="1" applyAlignment="1">
      <alignment horizontal="center" vertical="center"/>
    </xf>
    <xf numFmtId="4" fontId="36" fillId="0" borderId="77" xfId="1" applyNumberFormat="1" applyFont="1" applyFill="1" applyBorder="1" applyAlignment="1">
      <alignment horizontal="center" vertical="center"/>
    </xf>
    <xf numFmtId="0" fontId="19" fillId="0" borderId="79" xfId="1" applyFont="1" applyBorder="1" applyAlignment="1">
      <alignment vertical="center" wrapText="1"/>
    </xf>
    <xf numFmtId="0" fontId="19" fillId="0" borderId="76" xfId="1" applyFont="1" applyFill="1" applyBorder="1" applyAlignment="1">
      <alignment vertical="center"/>
    </xf>
    <xf numFmtId="0" fontId="19" fillId="0" borderId="76" xfId="1" applyFont="1" applyFill="1" applyBorder="1" applyAlignment="1">
      <alignment horizontal="left" vertical="center"/>
    </xf>
    <xf numFmtId="3" fontId="27" fillId="5" borderId="79" xfId="1" applyNumberFormat="1" applyFont="1" applyFill="1" applyBorder="1" applyAlignment="1">
      <alignment horizontal="center" vertical="center"/>
    </xf>
    <xf numFmtId="167" fontId="27" fillId="0" borderId="77" xfId="6" applyNumberFormat="1" applyFont="1" applyFill="1" applyBorder="1" applyAlignment="1">
      <alignment horizontal="center" vertical="center"/>
    </xf>
    <xf numFmtId="9" fontId="39" fillId="0" borderId="77" xfId="7" applyFont="1" applyFill="1" applyBorder="1" applyAlignment="1">
      <alignment horizontal="center" vertical="center"/>
    </xf>
    <xf numFmtId="9" fontId="29" fillId="3" borderId="79" xfId="7" applyFont="1" applyFill="1" applyBorder="1" applyAlignment="1">
      <alignment horizontal="center" vertical="center"/>
    </xf>
    <xf numFmtId="9" fontId="29" fillId="3" borderId="63" xfId="7" applyFont="1" applyFill="1" applyBorder="1" applyAlignment="1">
      <alignment horizontal="center" vertical="center"/>
    </xf>
    <xf numFmtId="0" fontId="16" fillId="0" borderId="0" xfId="1" applyFont="1" applyAlignment="1">
      <alignment vertical="center"/>
    </xf>
    <xf numFmtId="0" fontId="16" fillId="0" borderId="0" xfId="1" applyFont="1"/>
    <xf numFmtId="4" fontId="25" fillId="0" borderId="88" xfId="1" applyNumberFormat="1" applyFont="1" applyFill="1" applyBorder="1" applyAlignment="1">
      <alignment horizontal="center" vertical="center"/>
    </xf>
    <xf numFmtId="4" fontId="109" fillId="0" borderId="77" xfId="1" applyNumberFormat="1" applyFont="1" applyFill="1" applyBorder="1" applyAlignment="1">
      <alignment horizontal="center" vertical="center" wrapText="1"/>
    </xf>
    <xf numFmtId="9" fontId="36" fillId="0" borderId="88" xfId="7" applyFont="1" applyFill="1" applyBorder="1" applyAlignment="1">
      <alignment horizontal="center" vertical="center"/>
    </xf>
    <xf numFmtId="9" fontId="27" fillId="0" borderId="88" xfId="7" applyFont="1" applyFill="1" applyBorder="1" applyAlignment="1">
      <alignment horizontal="center" vertical="center"/>
    </xf>
    <xf numFmtId="10" fontId="27" fillId="0" borderId="88" xfId="1" applyNumberFormat="1" applyFont="1" applyFill="1" applyBorder="1" applyAlignment="1">
      <alignment horizontal="center" vertical="center"/>
    </xf>
    <xf numFmtId="10" fontId="24" fillId="0" borderId="88" xfId="1" applyNumberFormat="1" applyFont="1" applyFill="1" applyBorder="1" applyAlignment="1">
      <alignment horizontal="center" vertical="center"/>
    </xf>
    <xf numFmtId="10" fontId="26" fillId="5" borderId="88" xfId="1" applyNumberFormat="1" applyFont="1" applyFill="1" applyBorder="1" applyAlignment="1">
      <alignment horizontal="center" vertical="center"/>
    </xf>
    <xf numFmtId="3" fontId="24" fillId="4" borderId="89" xfId="1" applyNumberFormat="1" applyFont="1" applyFill="1" applyBorder="1" applyAlignment="1">
      <alignment horizontal="center" vertical="center"/>
    </xf>
    <xf numFmtId="9" fontId="24" fillId="3" borderId="89" xfId="7" applyFont="1" applyFill="1" applyBorder="1" applyAlignment="1">
      <alignment horizontal="center" vertical="center"/>
    </xf>
    <xf numFmtId="3" fontId="24" fillId="3" borderId="89" xfId="1" applyNumberFormat="1" applyFont="1" applyFill="1" applyBorder="1" applyAlignment="1">
      <alignment horizontal="center" vertical="center"/>
    </xf>
    <xf numFmtId="4" fontId="110" fillId="0" borderId="0" xfId="1" applyNumberFormat="1" applyFont="1" applyAlignment="1">
      <alignment horizontal="center" vertical="center"/>
    </xf>
    <xf numFmtId="49" fontId="18" fillId="26" borderId="3" xfId="0" applyNumberFormat="1" applyFont="1" applyFill="1" applyBorder="1" applyAlignment="1">
      <alignment horizontal="center" vertical="center"/>
    </xf>
    <xf numFmtId="49" fontId="18" fillId="26" borderId="9" xfId="0" applyNumberFormat="1" applyFont="1" applyFill="1" applyBorder="1" applyAlignment="1">
      <alignment horizontal="center" vertical="center"/>
    </xf>
    <xf numFmtId="4" fontId="25" fillId="0" borderId="77" xfId="1" applyNumberFormat="1" applyFont="1" applyFill="1" applyBorder="1" applyAlignment="1">
      <alignment horizontal="center" vertical="center"/>
    </xf>
    <xf numFmtId="4" fontId="25" fillId="0" borderId="87" xfId="1" applyNumberFormat="1" applyFont="1" applyFill="1" applyBorder="1" applyAlignment="1">
      <alignment horizontal="center" vertical="center"/>
    </xf>
    <xf numFmtId="3" fontId="27" fillId="0" borderId="79" xfId="6" applyNumberFormat="1" applyFont="1" applyFill="1" applyBorder="1" applyAlignment="1">
      <alignment horizontal="center" vertical="center"/>
    </xf>
    <xf numFmtId="9" fontId="26" fillId="0" borderId="88" xfId="7" applyFont="1" applyFill="1" applyBorder="1" applyAlignment="1">
      <alignment horizontal="center" vertical="center"/>
    </xf>
    <xf numFmtId="10" fontId="26" fillId="0" borderId="88" xfId="1" applyNumberFormat="1" applyFont="1" applyFill="1" applyBorder="1" applyAlignment="1">
      <alignment horizontal="center" vertical="center"/>
    </xf>
    <xf numFmtId="10" fontId="66" fillId="0" borderId="88" xfId="1" applyNumberFormat="1" applyFont="1" applyFill="1" applyBorder="1" applyAlignment="1">
      <alignment horizontal="center" vertical="center"/>
    </xf>
    <xf numFmtId="10" fontId="24" fillId="0" borderId="85" xfId="1" applyNumberFormat="1" applyFont="1" applyFill="1" applyBorder="1" applyAlignment="1">
      <alignment horizontal="center" vertical="center"/>
    </xf>
    <xf numFmtId="0" fontId="19" fillId="0" borderId="82" xfId="1" applyFont="1" applyFill="1" applyBorder="1" applyAlignment="1">
      <alignment vertical="center"/>
    </xf>
    <xf numFmtId="10" fontId="68" fillId="0" borderId="88" xfId="1" applyNumberFormat="1" applyFont="1" applyFill="1" applyBorder="1" applyAlignment="1">
      <alignment horizontal="center" vertical="center"/>
    </xf>
    <xf numFmtId="0" fontId="19" fillId="0" borderId="85" xfId="1" applyFont="1" applyBorder="1" applyAlignment="1">
      <alignment vertical="center"/>
    </xf>
    <xf numFmtId="10" fontId="68" fillId="5" borderId="88" xfId="1" applyNumberFormat="1" applyFont="1" applyFill="1" applyBorder="1" applyAlignment="1">
      <alignment horizontal="center" vertical="center"/>
    </xf>
    <xf numFmtId="0" fontId="24" fillId="4" borderId="89" xfId="1" applyFont="1" applyFill="1" applyBorder="1" applyAlignment="1">
      <alignment vertical="center"/>
    </xf>
    <xf numFmtId="3" fontId="103" fillId="4" borderId="89" xfId="1" applyNumberFormat="1" applyFont="1" applyFill="1" applyBorder="1" applyAlignment="1">
      <alignment horizontal="center" vertical="center"/>
    </xf>
    <xf numFmtId="0" fontId="24" fillId="8" borderId="89" xfId="1" applyFont="1" applyFill="1" applyBorder="1" applyAlignment="1">
      <alignment vertical="center"/>
    </xf>
    <xf numFmtId="3" fontId="24" fillId="8" borderId="89" xfId="1" applyNumberFormat="1" applyFont="1" applyFill="1" applyBorder="1" applyAlignment="1">
      <alignment horizontal="center" vertical="center"/>
    </xf>
    <xf numFmtId="0" fontId="24" fillId="6" borderId="82" xfId="1" applyFont="1" applyFill="1" applyBorder="1" applyAlignment="1">
      <alignment vertical="center" wrapText="1"/>
    </xf>
    <xf numFmtId="0" fontId="24" fillId="3" borderId="85" xfId="1" applyFont="1" applyFill="1" applyBorder="1" applyAlignment="1">
      <alignment vertical="center"/>
    </xf>
    <xf numFmtId="9" fontId="103" fillId="3" borderId="89" xfId="7" applyFont="1" applyFill="1" applyBorder="1" applyAlignment="1">
      <alignment horizontal="center" vertical="center"/>
    </xf>
    <xf numFmtId="3" fontId="103" fillId="3" borderId="89" xfId="1" applyNumberFormat="1" applyFont="1" applyFill="1" applyBorder="1" applyAlignment="1">
      <alignment horizontal="center" vertical="center"/>
    </xf>
    <xf numFmtId="0" fontId="19" fillId="0" borderId="83" xfId="1" applyFont="1" applyBorder="1" applyAlignment="1">
      <alignment horizontal="left" vertical="center"/>
    </xf>
    <xf numFmtId="3" fontId="25" fillId="0" borderId="84" xfId="1" applyNumberFormat="1" applyFont="1" applyFill="1" applyBorder="1" applyAlignment="1">
      <alignment horizontal="center" vertical="center"/>
    </xf>
    <xf numFmtId="3" fontId="25" fillId="0" borderId="83" xfId="1" applyNumberFormat="1" applyFont="1" applyFill="1" applyBorder="1" applyAlignment="1">
      <alignment horizontal="center" vertical="center"/>
    </xf>
    <xf numFmtId="4" fontId="25" fillId="0" borderId="83" xfId="1" applyNumberFormat="1" applyFont="1" applyFill="1" applyBorder="1" applyAlignment="1">
      <alignment horizontal="center" vertical="center"/>
    </xf>
    <xf numFmtId="3" fontId="27" fillId="0" borderId="89" xfId="1" applyNumberFormat="1" applyFont="1" applyFill="1" applyBorder="1" applyAlignment="1">
      <alignment horizontal="center" vertical="center"/>
    </xf>
    <xf numFmtId="4" fontId="27" fillId="0" borderId="89" xfId="1" applyNumberFormat="1" applyFont="1" applyFill="1" applyBorder="1" applyAlignment="1">
      <alignment horizontal="center" vertical="center"/>
    </xf>
    <xf numFmtId="10" fontId="36" fillId="0" borderId="88" xfId="1" applyNumberFormat="1" applyFont="1" applyFill="1" applyBorder="1" applyAlignment="1">
      <alignment horizontal="center" vertical="center"/>
    </xf>
    <xf numFmtId="10" fontId="27" fillId="0" borderId="85" xfId="1" applyNumberFormat="1" applyFont="1" applyFill="1" applyBorder="1" applyAlignment="1">
      <alignment horizontal="center" vertical="center"/>
    </xf>
    <xf numFmtId="0" fontId="24" fillId="0" borderId="83" xfId="1" applyFont="1" applyFill="1" applyBorder="1" applyAlignment="1">
      <alignment vertical="center"/>
    </xf>
    <xf numFmtId="10" fontId="24" fillId="0" borderId="84" xfId="1" applyNumberFormat="1" applyFont="1" applyFill="1" applyBorder="1" applyAlignment="1">
      <alignment horizontal="center" vertical="center"/>
    </xf>
    <xf numFmtId="10" fontId="24" fillId="0" borderId="83" xfId="1" applyNumberFormat="1" applyFont="1" applyFill="1" applyBorder="1" applyAlignment="1">
      <alignment horizontal="center" vertical="center"/>
    </xf>
    <xf numFmtId="0" fontId="19" fillId="0" borderId="83" xfId="1" applyFont="1" applyFill="1" applyBorder="1" applyAlignment="1">
      <alignment vertical="center"/>
    </xf>
    <xf numFmtId="3" fontId="27" fillId="0" borderId="83" xfId="1" applyNumberFormat="1" applyFont="1" applyFill="1" applyBorder="1" applyAlignment="1">
      <alignment horizontal="center" vertical="center"/>
    </xf>
    <xf numFmtId="3" fontId="26" fillId="5" borderId="89" xfId="1" applyNumberFormat="1" applyFont="1" applyFill="1" applyBorder="1" applyAlignment="1">
      <alignment horizontal="center" vertical="center"/>
    </xf>
    <xf numFmtId="3" fontId="26" fillId="5" borderId="88" xfId="1" applyNumberFormat="1" applyFont="1" applyFill="1" applyBorder="1" applyAlignment="1">
      <alignment horizontal="center" vertical="center"/>
    </xf>
    <xf numFmtId="10" fontId="39" fillId="5" borderId="88" xfId="1" applyNumberFormat="1" applyFont="1" applyFill="1" applyBorder="1" applyAlignment="1">
      <alignment horizontal="center" vertical="center"/>
    </xf>
    <xf numFmtId="10" fontId="26" fillId="5" borderId="85" xfId="1" applyNumberFormat="1" applyFont="1" applyFill="1" applyBorder="1" applyAlignment="1">
      <alignment horizontal="center" vertical="center"/>
    </xf>
    <xf numFmtId="0" fontId="19" fillId="0" borderId="83" xfId="1" applyFont="1" applyFill="1" applyBorder="1" applyAlignment="1">
      <alignment horizontal="left" vertical="center"/>
    </xf>
    <xf numFmtId="3" fontId="26" fillId="5" borderId="84" xfId="1" applyNumberFormat="1" applyFont="1" applyFill="1" applyBorder="1" applyAlignment="1">
      <alignment horizontal="center" vertical="center"/>
    </xf>
    <xf numFmtId="3" fontId="26" fillId="5" borderId="83" xfId="1" applyNumberFormat="1" applyFont="1" applyFill="1" applyBorder="1" applyAlignment="1">
      <alignment horizontal="center" vertical="center"/>
    </xf>
    <xf numFmtId="9" fontId="36" fillId="0" borderId="83" xfId="7" applyFont="1" applyFill="1" applyBorder="1" applyAlignment="1">
      <alignment horizontal="center" vertical="center"/>
    </xf>
    <xf numFmtId="3" fontId="24" fillId="8" borderId="83" xfId="1" applyNumberFormat="1" applyFont="1" applyFill="1" applyBorder="1" applyAlignment="1">
      <alignment horizontal="center" vertical="center"/>
    </xf>
    <xf numFmtId="10" fontId="26" fillId="0" borderId="82" xfId="1" applyNumberFormat="1" applyFont="1" applyFill="1" applyBorder="1" applyAlignment="1">
      <alignment horizontal="center" vertical="center"/>
    </xf>
    <xf numFmtId="4" fontId="70" fillId="0" borderId="0" xfId="1" applyNumberFormat="1" applyFont="1" applyFill="1" applyAlignment="1">
      <alignment horizontal="center" vertical="center"/>
    </xf>
    <xf numFmtId="3" fontId="25" fillId="0" borderId="88" xfId="1" applyNumberFormat="1" applyFont="1" applyFill="1" applyBorder="1" applyAlignment="1">
      <alignment horizontal="center" vertical="center"/>
    </xf>
    <xf numFmtId="3" fontId="16" fillId="0" borderId="0" xfId="1" applyNumberFormat="1" applyFont="1" applyAlignment="1">
      <alignment horizontal="center" vertical="center"/>
    </xf>
    <xf numFmtId="0" fontId="91" fillId="0" borderId="0" xfId="1" applyFont="1"/>
    <xf numFmtId="0" fontId="24" fillId="0" borderId="85" xfId="1" applyFont="1" applyFill="1" applyBorder="1" applyAlignment="1">
      <alignment vertical="center"/>
    </xf>
    <xf numFmtId="10" fontId="24" fillId="0" borderId="89" xfId="1" applyNumberFormat="1" applyFont="1" applyFill="1" applyBorder="1" applyAlignment="1">
      <alignment horizontal="center" vertical="center"/>
    </xf>
    <xf numFmtId="10" fontId="29" fillId="0" borderId="88" xfId="1" applyNumberFormat="1" applyFont="1" applyFill="1" applyBorder="1" applyAlignment="1">
      <alignment horizontal="center" vertical="center"/>
    </xf>
    <xf numFmtId="0" fontId="19" fillId="0" borderId="82" xfId="1" applyFont="1" applyFill="1" applyBorder="1" applyAlignment="1">
      <alignment horizontal="left" vertical="center" wrapText="1"/>
    </xf>
    <xf numFmtId="4" fontId="29" fillId="4" borderId="89" xfId="1" applyNumberFormat="1" applyFont="1" applyFill="1" applyBorder="1" applyAlignment="1">
      <alignment horizontal="center" vertical="center"/>
    </xf>
    <xf numFmtId="10" fontId="29" fillId="3" borderId="89" xfId="1" applyNumberFormat="1" applyFont="1" applyFill="1" applyBorder="1" applyAlignment="1">
      <alignment horizontal="center" vertical="center"/>
    </xf>
    <xf numFmtId="9" fontId="26" fillId="0" borderId="91" xfId="7" applyFont="1" applyFill="1" applyBorder="1" applyAlignment="1">
      <alignment horizontal="center" vertical="center"/>
    </xf>
    <xf numFmtId="9" fontId="36" fillId="4" borderId="92" xfId="7" applyFont="1" applyFill="1" applyBorder="1" applyAlignment="1">
      <alignment horizontal="center" vertical="center"/>
    </xf>
    <xf numFmtId="3" fontId="27" fillId="0" borderId="93" xfId="1" applyNumberFormat="1" applyFont="1" applyFill="1" applyBorder="1" applyAlignment="1">
      <alignment horizontal="center" vertical="center"/>
    </xf>
    <xf numFmtId="3" fontId="27" fillId="0" borderId="94" xfId="1" applyNumberFormat="1" applyFont="1" applyFill="1" applyBorder="1" applyAlignment="1">
      <alignment horizontal="center" vertical="center"/>
    </xf>
    <xf numFmtId="3" fontId="27" fillId="0" borderId="94" xfId="6" applyNumberFormat="1" applyFont="1" applyFill="1" applyBorder="1" applyAlignment="1">
      <alignment horizontal="center" vertical="center"/>
    </xf>
    <xf numFmtId="9" fontId="36" fillId="0" borderId="92" xfId="7" applyFont="1" applyFill="1" applyBorder="1" applyAlignment="1">
      <alignment horizontal="center" vertical="center"/>
    </xf>
    <xf numFmtId="9" fontId="27" fillId="0" borderId="92" xfId="7" applyFont="1" applyFill="1" applyBorder="1" applyAlignment="1">
      <alignment horizontal="center" vertical="center"/>
    </xf>
    <xf numFmtId="9" fontId="26" fillId="0" borderId="92" xfId="7" applyFont="1" applyFill="1" applyBorder="1" applyAlignment="1">
      <alignment horizontal="center" vertical="center"/>
    </xf>
    <xf numFmtId="0" fontId="36" fillId="0" borderId="92" xfId="1" applyNumberFormat="1" applyFont="1" applyFill="1" applyBorder="1" applyAlignment="1">
      <alignment horizontal="center" vertical="center"/>
    </xf>
    <xf numFmtId="0" fontId="27" fillId="0" borderId="92" xfId="1" applyNumberFormat="1" applyFont="1" applyFill="1" applyBorder="1" applyAlignment="1">
      <alignment horizontal="center" vertical="center"/>
    </xf>
    <xf numFmtId="0" fontId="26" fillId="0" borderId="92" xfId="1" applyNumberFormat="1" applyFont="1" applyFill="1" applyBorder="1" applyAlignment="1">
      <alignment horizontal="center" vertical="center"/>
    </xf>
    <xf numFmtId="3" fontId="27" fillId="5" borderId="94" xfId="1" applyNumberFormat="1" applyFont="1" applyFill="1" applyBorder="1" applyAlignment="1">
      <alignment horizontal="center" vertical="center"/>
    </xf>
    <xf numFmtId="3" fontId="27" fillId="5" borderId="93" xfId="1" applyNumberFormat="1" applyFont="1" applyFill="1" applyBorder="1" applyAlignment="1">
      <alignment horizontal="center" vertical="center"/>
    </xf>
    <xf numFmtId="0" fontId="19" fillId="0" borderId="93" xfId="1" applyFont="1" applyBorder="1" applyAlignment="1">
      <alignment vertical="center"/>
    </xf>
    <xf numFmtId="0" fontId="19" fillId="0" borderId="93" xfId="1" applyFont="1" applyBorder="1" applyAlignment="1">
      <alignment horizontal="left" vertical="center"/>
    </xf>
    <xf numFmtId="3" fontId="26" fillId="0" borderId="93" xfId="1" applyNumberFormat="1" applyFont="1" applyFill="1" applyBorder="1" applyAlignment="1">
      <alignment horizontal="center" vertical="center"/>
    </xf>
    <xf numFmtId="3" fontId="26" fillId="0" borderId="94" xfId="1" applyNumberFormat="1" applyFont="1" applyFill="1" applyBorder="1" applyAlignment="1">
      <alignment horizontal="center" vertical="center"/>
    </xf>
    <xf numFmtId="3" fontId="26" fillId="0" borderId="92" xfId="1" applyNumberFormat="1" applyFont="1" applyFill="1" applyBorder="1" applyAlignment="1">
      <alignment horizontal="center" vertical="center"/>
    </xf>
    <xf numFmtId="10" fontId="39" fillId="0" borderId="92" xfId="1" applyNumberFormat="1" applyFont="1" applyFill="1" applyBorder="1" applyAlignment="1">
      <alignment horizontal="center" vertical="center"/>
    </xf>
    <xf numFmtId="10" fontId="26" fillId="0" borderId="92" xfId="1" applyNumberFormat="1" applyFont="1" applyFill="1" applyBorder="1" applyAlignment="1">
      <alignment horizontal="center" vertical="center"/>
    </xf>
    <xf numFmtId="0" fontId="24" fillId="6" borderId="93" xfId="1" applyFont="1" applyFill="1" applyBorder="1" applyAlignment="1">
      <alignment vertical="center"/>
    </xf>
    <xf numFmtId="3" fontId="28" fillId="6" borderId="93" xfId="1" applyNumberFormat="1" applyFont="1" applyFill="1" applyBorder="1" applyAlignment="1">
      <alignment horizontal="center" vertical="center"/>
    </xf>
    <xf numFmtId="4" fontId="38" fillId="6" borderId="94" xfId="1" applyNumberFormat="1" applyFont="1" applyFill="1" applyBorder="1" applyAlignment="1">
      <alignment horizontal="center" vertical="center"/>
    </xf>
    <xf numFmtId="3" fontId="28" fillId="6" borderId="94" xfId="1" applyNumberFormat="1" applyFont="1" applyFill="1" applyBorder="1" applyAlignment="1">
      <alignment horizontal="center" vertical="center"/>
    </xf>
    <xf numFmtId="4" fontId="28" fillId="6" borderId="94" xfId="1" applyNumberFormat="1" applyFont="1" applyFill="1" applyBorder="1" applyAlignment="1">
      <alignment horizontal="center" vertical="center"/>
    </xf>
    <xf numFmtId="4" fontId="38" fillId="6" borderId="93" xfId="1" applyNumberFormat="1" applyFont="1" applyFill="1" applyBorder="1" applyAlignment="1">
      <alignment horizontal="center" vertical="center"/>
    </xf>
    <xf numFmtId="3" fontId="24" fillId="6" borderId="93" xfId="1" applyNumberFormat="1" applyFont="1" applyFill="1" applyBorder="1" applyAlignment="1">
      <alignment horizontal="center" vertical="center"/>
    </xf>
    <xf numFmtId="3" fontId="24" fillId="6" borderId="94" xfId="1" applyNumberFormat="1" applyFont="1" applyFill="1" applyBorder="1" applyAlignment="1">
      <alignment horizontal="center" vertical="center"/>
    </xf>
    <xf numFmtId="4" fontId="29" fillId="6" borderId="94" xfId="1" applyNumberFormat="1" applyFont="1" applyFill="1" applyBorder="1" applyAlignment="1">
      <alignment horizontal="center" vertical="center"/>
    </xf>
    <xf numFmtId="4" fontId="24" fillId="6" borderId="94" xfId="1" applyNumberFormat="1" applyFont="1" applyFill="1" applyBorder="1" applyAlignment="1">
      <alignment horizontal="center" vertical="center"/>
    </xf>
    <xf numFmtId="0" fontId="19" fillId="0" borderId="94" xfId="1" applyFont="1" applyBorder="1" applyAlignment="1">
      <alignment vertical="center"/>
    </xf>
    <xf numFmtId="0" fontId="19" fillId="0" borderId="94" xfId="1" applyFont="1" applyFill="1" applyBorder="1" applyAlignment="1">
      <alignment vertical="center"/>
    </xf>
    <xf numFmtId="4" fontId="24" fillId="11" borderId="93" xfId="1" applyNumberFormat="1" applyFont="1" applyFill="1" applyBorder="1" applyAlignment="1">
      <alignment horizontal="center" vertical="center"/>
    </xf>
    <xf numFmtId="4" fontId="24" fillId="11" borderId="94" xfId="1" applyNumberFormat="1" applyFont="1" applyFill="1" applyBorder="1" applyAlignment="1">
      <alignment horizontal="center" vertical="center"/>
    </xf>
    <xf numFmtId="4" fontId="29" fillId="11" borderId="94" xfId="1" applyNumberFormat="1" applyFont="1" applyFill="1" applyBorder="1" applyAlignment="1">
      <alignment horizontal="center" vertical="center"/>
    </xf>
    <xf numFmtId="4" fontId="29" fillId="11" borderId="93" xfId="1" applyNumberFormat="1" applyFont="1" applyFill="1" applyBorder="1" applyAlignment="1">
      <alignment horizontal="center" vertical="center"/>
    </xf>
    <xf numFmtId="4" fontId="66" fillId="11" borderId="94" xfId="1" applyNumberFormat="1" applyFont="1" applyFill="1" applyBorder="1" applyAlignment="1">
      <alignment horizontal="center" vertical="center"/>
    </xf>
    <xf numFmtId="4" fontId="27" fillId="0" borderId="93" xfId="1" applyNumberFormat="1" applyFont="1" applyFill="1" applyBorder="1" applyAlignment="1">
      <alignment horizontal="center" vertical="center"/>
    </xf>
    <xf numFmtId="4" fontId="27" fillId="0" borderId="94" xfId="1" applyNumberFormat="1" applyFont="1" applyFill="1" applyBorder="1" applyAlignment="1">
      <alignment horizontal="center" vertical="center"/>
    </xf>
    <xf numFmtId="9" fontId="36" fillId="0" borderId="94" xfId="7" applyFont="1" applyFill="1" applyBorder="1" applyAlignment="1">
      <alignment horizontal="center" vertical="center"/>
    </xf>
    <xf numFmtId="0" fontId="24" fillId="11" borderId="94" xfId="1" applyFont="1" applyFill="1" applyBorder="1" applyAlignment="1">
      <alignment vertical="center"/>
    </xf>
    <xf numFmtId="0" fontId="19" fillId="0" borderId="94" xfId="1" applyFont="1" applyFill="1" applyBorder="1" applyAlignment="1">
      <alignment horizontal="left" vertical="center"/>
    </xf>
    <xf numFmtId="10" fontId="27" fillId="0" borderId="94" xfId="1" applyNumberFormat="1" applyFont="1" applyFill="1" applyBorder="1" applyAlignment="1">
      <alignment horizontal="center" vertical="center"/>
    </xf>
    <xf numFmtId="0" fontId="24" fillId="4" borderId="94" xfId="1" applyFont="1" applyFill="1" applyBorder="1" applyAlignment="1">
      <alignment vertical="center"/>
    </xf>
    <xf numFmtId="3" fontId="24" fillId="4" borderId="93" xfId="1" applyNumberFormat="1" applyFont="1" applyFill="1" applyBorder="1" applyAlignment="1">
      <alignment horizontal="center" vertical="center"/>
    </xf>
    <xf numFmtId="3" fontId="24" fillId="4" borderId="94" xfId="1" applyNumberFormat="1" applyFont="1" applyFill="1" applyBorder="1" applyAlignment="1">
      <alignment horizontal="center" vertical="center"/>
    </xf>
    <xf numFmtId="9" fontId="36" fillId="4" borderId="94" xfId="7" applyFont="1" applyFill="1" applyBorder="1" applyAlignment="1">
      <alignment horizontal="center" vertical="center"/>
    </xf>
    <xf numFmtId="9" fontId="68" fillId="0" borderId="92" xfId="7" applyFont="1" applyFill="1" applyBorder="1" applyAlignment="1">
      <alignment horizontal="center" vertical="center"/>
    </xf>
    <xf numFmtId="9" fontId="67" fillId="0" borderId="92" xfId="7" applyFont="1" applyFill="1" applyBorder="1" applyAlignment="1">
      <alignment horizontal="center" vertical="center"/>
    </xf>
    <xf numFmtId="0" fontId="68" fillId="0" borderId="92" xfId="1" applyNumberFormat="1" applyFont="1" applyFill="1" applyBorder="1" applyAlignment="1">
      <alignment horizontal="center" vertical="center"/>
    </xf>
    <xf numFmtId="4" fontId="82" fillId="0" borderId="95" xfId="0" applyNumberFormat="1" applyFont="1" applyFill="1" applyBorder="1" applyAlignment="1" applyProtection="1">
      <alignment horizontal="center" vertical="center"/>
    </xf>
    <xf numFmtId="4" fontId="82" fillId="0" borderId="96" xfId="0" applyNumberFormat="1" applyFont="1" applyFill="1" applyBorder="1" applyAlignment="1" applyProtection="1">
      <alignment horizontal="center" vertical="center"/>
    </xf>
    <xf numFmtId="9" fontId="27" fillId="0" borderId="92" xfId="7" applyFont="1" applyFill="1" applyBorder="1" applyAlignment="1">
      <alignment horizontal="center" vertical="center" wrapText="1"/>
    </xf>
    <xf numFmtId="0" fontId="19" fillId="0" borderId="94" xfId="1" applyFont="1" applyBorder="1" applyAlignment="1">
      <alignment horizontal="left" vertical="center"/>
    </xf>
    <xf numFmtId="10" fontId="26" fillId="0" borderId="94" xfId="1" applyNumberFormat="1" applyFont="1" applyFill="1" applyBorder="1" applyAlignment="1">
      <alignment horizontal="center" vertical="center"/>
    </xf>
    <xf numFmtId="10" fontId="68" fillId="0" borderId="92" xfId="1" applyNumberFormat="1" applyFont="1" applyFill="1" applyBorder="1" applyAlignment="1">
      <alignment horizontal="center" vertical="center"/>
    </xf>
    <xf numFmtId="0" fontId="24" fillId="6" borderId="94" xfId="1" applyFont="1" applyFill="1" applyBorder="1" applyAlignment="1">
      <alignment vertical="center"/>
    </xf>
    <xf numFmtId="4" fontId="69" fillId="6" borderId="94" xfId="1" applyNumberFormat="1" applyFont="1" applyFill="1" applyBorder="1" applyAlignment="1">
      <alignment horizontal="center" vertical="center"/>
    </xf>
    <xf numFmtId="0" fontId="24" fillId="6" borderId="94" xfId="1" applyFont="1" applyFill="1" applyBorder="1" applyAlignment="1">
      <alignment vertical="center" wrapText="1"/>
    </xf>
    <xf numFmtId="0" fontId="19" fillId="0" borderId="84" xfId="1" applyFont="1" applyBorder="1" applyAlignment="1">
      <alignment horizontal="left" vertical="center"/>
    </xf>
    <xf numFmtId="0" fontId="88" fillId="0" borderId="94" xfId="1" applyFont="1" applyFill="1" applyBorder="1" applyAlignment="1">
      <alignment vertical="center"/>
    </xf>
    <xf numFmtId="3" fontId="88" fillId="0" borderId="93" xfId="1" applyNumberFormat="1" applyFont="1" applyFill="1" applyBorder="1" applyAlignment="1">
      <alignment horizontal="center" vertical="center"/>
    </xf>
    <xf numFmtId="9" fontId="99" fillId="0" borderId="92" xfId="7" applyFont="1" applyFill="1" applyBorder="1" applyAlignment="1">
      <alignment horizontal="center" vertical="center"/>
    </xf>
    <xf numFmtId="9" fontId="36" fillId="11" borderId="92" xfId="7" applyFont="1" applyFill="1" applyBorder="1" applyAlignment="1">
      <alignment horizontal="center" vertical="center"/>
    </xf>
    <xf numFmtId="4" fontId="27" fillId="0" borderId="84" xfId="1" applyNumberFormat="1" applyFont="1" applyFill="1" applyBorder="1" applyAlignment="1">
      <alignment horizontal="center" vertical="center"/>
    </xf>
    <xf numFmtId="4" fontId="27" fillId="0" borderId="83" xfId="1" applyNumberFormat="1" applyFont="1" applyFill="1" applyBorder="1" applyAlignment="1">
      <alignment horizontal="center" vertical="center"/>
    </xf>
    <xf numFmtId="0" fontId="24" fillId="0" borderId="89" xfId="1" applyFont="1" applyFill="1" applyBorder="1" applyAlignment="1">
      <alignment vertical="center"/>
    </xf>
    <xf numFmtId="0" fontId="19" fillId="0" borderId="93" xfId="1" applyFont="1" applyFill="1" applyBorder="1" applyAlignment="1">
      <alignment vertical="center"/>
    </xf>
    <xf numFmtId="0" fontId="19" fillId="0" borderId="93" xfId="1" applyFont="1" applyFill="1" applyBorder="1" applyAlignment="1">
      <alignment horizontal="left" vertical="center"/>
    </xf>
    <xf numFmtId="0" fontId="19" fillId="0" borderId="89" xfId="1" applyFont="1" applyFill="1" applyBorder="1" applyAlignment="1">
      <alignment vertical="center"/>
    </xf>
    <xf numFmtId="3" fontId="27" fillId="0" borderId="88" xfId="1" applyNumberFormat="1" applyFont="1" applyFill="1" applyBorder="1" applyAlignment="1">
      <alignment horizontal="center" vertical="center"/>
    </xf>
    <xf numFmtId="9" fontId="71" fillId="0" borderId="92" xfId="7" applyFont="1" applyFill="1" applyBorder="1" applyAlignment="1">
      <alignment horizontal="center" vertical="center"/>
    </xf>
    <xf numFmtId="9" fontId="71" fillId="0" borderId="92" xfId="7" applyFont="1" applyFill="1" applyBorder="1" applyAlignment="1">
      <alignment horizontal="center" vertical="center" wrapText="1"/>
    </xf>
    <xf numFmtId="17" fontId="27" fillId="0" borderId="92" xfId="7" applyNumberFormat="1" applyFont="1" applyFill="1" applyBorder="1" applyAlignment="1">
      <alignment horizontal="center" vertical="center"/>
    </xf>
    <xf numFmtId="3" fontId="26" fillId="0" borderId="84" xfId="1" applyNumberFormat="1" applyFont="1" applyFill="1" applyBorder="1" applyAlignment="1">
      <alignment horizontal="center" vertical="center"/>
    </xf>
    <xf numFmtId="3" fontId="26" fillId="0" borderId="83" xfId="1" applyNumberFormat="1" applyFont="1" applyFill="1" applyBorder="1" applyAlignment="1">
      <alignment horizontal="center" vertical="center"/>
    </xf>
    <xf numFmtId="4" fontId="25" fillId="0" borderId="94" xfId="1" applyNumberFormat="1" applyFont="1" applyFill="1" applyBorder="1" applyAlignment="1">
      <alignment horizontal="center" vertical="center" wrapText="1"/>
    </xf>
    <xf numFmtId="0" fontId="19" fillId="0" borderId="94" xfId="1" applyFont="1" applyBorder="1" applyAlignment="1">
      <alignment vertical="center" wrapText="1"/>
    </xf>
    <xf numFmtId="9" fontId="71" fillId="0" borderId="88" xfId="7" applyFont="1" applyFill="1" applyBorder="1" applyAlignment="1">
      <alignment horizontal="center" vertical="center"/>
    </xf>
    <xf numFmtId="4" fontId="36" fillId="0" borderId="92" xfId="1" applyNumberFormat="1" applyFont="1" applyFill="1" applyBorder="1" applyAlignment="1">
      <alignment horizontal="center" vertical="center"/>
    </xf>
    <xf numFmtId="0" fontId="24" fillId="8" borderId="84" xfId="1" applyFont="1" applyFill="1" applyBorder="1" applyAlignment="1">
      <alignment vertical="center"/>
    </xf>
    <xf numFmtId="3" fontId="24" fillId="8" borderId="84" xfId="1" applyNumberFormat="1" applyFont="1" applyFill="1" applyBorder="1" applyAlignment="1">
      <alignment horizontal="center" vertical="center"/>
    </xf>
    <xf numFmtId="4" fontId="29" fillId="8" borderId="83" xfId="1" applyNumberFormat="1" applyFont="1" applyFill="1" applyBorder="1" applyAlignment="1">
      <alignment horizontal="center" vertical="center"/>
    </xf>
    <xf numFmtId="4" fontId="24" fillId="8" borderId="83" xfId="1" applyNumberFormat="1" applyFont="1" applyFill="1" applyBorder="1" applyAlignment="1">
      <alignment horizontal="center" vertical="center"/>
    </xf>
    <xf numFmtId="0" fontId="0" fillId="0" borderId="0" xfId="0"/>
    <xf numFmtId="9" fontId="27" fillId="0" borderId="36" xfId="7" applyFont="1" applyFill="1" applyBorder="1" applyAlignment="1">
      <alignment horizontal="center" vertical="center"/>
    </xf>
    <xf numFmtId="166" fontId="27" fillId="0" borderId="77" xfId="6" applyFont="1" applyFill="1" applyBorder="1" applyAlignment="1">
      <alignment horizontal="center" vertical="center"/>
    </xf>
    <xf numFmtId="4" fontId="20" fillId="6" borderId="51" xfId="1" applyNumberFormat="1" applyFont="1" applyFill="1" applyBorder="1" applyAlignment="1">
      <alignment horizontal="center" vertical="center"/>
    </xf>
    <xf numFmtId="10" fontId="26" fillId="5" borderId="36" xfId="1" applyNumberFormat="1" applyFont="1" applyFill="1" applyBorder="1" applyAlignment="1">
      <alignment horizontal="center" vertical="center"/>
    </xf>
    <xf numFmtId="4" fontId="24" fillId="4" borderId="80" xfId="1" applyNumberFormat="1" applyFont="1" applyFill="1" applyBorder="1" applyAlignment="1">
      <alignment horizontal="center" vertical="center"/>
    </xf>
    <xf numFmtId="4" fontId="24" fillId="6" borderId="1" xfId="1" applyNumberFormat="1" applyFont="1" applyFill="1" applyBorder="1" applyAlignment="1">
      <alignment horizontal="center" vertical="center"/>
    </xf>
    <xf numFmtId="10" fontId="24" fillId="3" borderId="19" xfId="1" applyNumberFormat="1" applyFont="1" applyFill="1" applyBorder="1" applyAlignment="1">
      <alignment horizontal="center" vertical="center"/>
    </xf>
    <xf numFmtId="9" fontId="26" fillId="0" borderId="20" xfId="7" applyFont="1" applyFill="1" applyBorder="1" applyAlignment="1">
      <alignment horizontal="center" vertical="center"/>
    </xf>
    <xf numFmtId="4" fontId="24" fillId="4" borderId="19" xfId="1" applyNumberFormat="1" applyFont="1" applyFill="1" applyBorder="1" applyAlignment="1">
      <alignment horizontal="center" vertical="center"/>
    </xf>
    <xf numFmtId="4" fontId="24" fillId="4" borderId="1" xfId="1" applyNumberFormat="1" applyFont="1" applyFill="1" applyBorder="1" applyAlignment="1">
      <alignment horizontal="center" vertical="center"/>
    </xf>
    <xf numFmtId="166" fontId="27" fillId="0" borderId="77" xfId="6" applyFont="1" applyFill="1" applyBorder="1" applyAlignment="1">
      <alignment horizontal="center" vertical="center" wrapText="1"/>
    </xf>
    <xf numFmtId="4" fontId="24" fillId="4" borderId="76" xfId="1" applyNumberFormat="1" applyFont="1" applyFill="1" applyBorder="1" applyAlignment="1">
      <alignment horizontal="center" vertical="center"/>
    </xf>
    <xf numFmtId="4" fontId="27" fillId="0" borderId="77" xfId="7" applyNumberFormat="1" applyFont="1" applyFill="1" applyBorder="1" applyAlignment="1">
      <alignment horizontal="center" vertical="center"/>
    </xf>
    <xf numFmtId="4" fontId="27" fillId="0" borderId="77" xfId="6" applyNumberFormat="1" applyFont="1" applyFill="1" applyBorder="1" applyAlignment="1">
      <alignment horizontal="center" vertical="center" wrapText="1"/>
    </xf>
    <xf numFmtId="4" fontId="27" fillId="0" borderId="77" xfId="7" applyNumberFormat="1" applyFont="1" applyFill="1" applyBorder="1" applyAlignment="1">
      <alignment horizontal="center" vertical="center" wrapText="1"/>
    </xf>
    <xf numFmtId="4" fontId="26" fillId="0" borderId="77" xfId="7" applyNumberFormat="1" applyFont="1" applyFill="1" applyBorder="1" applyAlignment="1">
      <alignment horizontal="center" vertical="center"/>
    </xf>
    <xf numFmtId="4" fontId="19" fillId="0" borderId="77" xfId="7" applyNumberFormat="1" applyFont="1" applyFill="1" applyBorder="1" applyAlignment="1">
      <alignment horizontal="center" vertical="center"/>
    </xf>
    <xf numFmtId="4" fontId="26" fillId="0" borderId="77" xfId="7" applyNumberFormat="1" applyFont="1" applyFill="1" applyBorder="1" applyAlignment="1">
      <alignment horizontal="center" vertical="center" wrapText="1"/>
    </xf>
    <xf numFmtId="4" fontId="19" fillId="0" borderId="77" xfId="7" applyNumberFormat="1" applyFont="1" applyFill="1" applyBorder="1" applyAlignment="1">
      <alignment horizontal="center" vertical="center" wrapText="1"/>
    </xf>
    <xf numFmtId="4" fontId="26" fillId="0" borderId="20" xfId="7" applyNumberFormat="1" applyFont="1" applyFill="1" applyBorder="1" applyAlignment="1">
      <alignment horizontal="center" vertical="center"/>
    </xf>
    <xf numFmtId="166" fontId="24" fillId="4" borderId="55" xfId="1" applyNumberFormat="1" applyFont="1" applyFill="1" applyBorder="1" applyAlignment="1">
      <alignment horizontal="center" vertical="center"/>
    </xf>
    <xf numFmtId="4" fontId="110" fillId="0" borderId="0" xfId="1" applyNumberFormat="1" applyFont="1" applyAlignment="1">
      <alignment horizontal="left" vertical="center"/>
    </xf>
    <xf numFmtId="4" fontId="27" fillId="18" borderId="77" xfId="6" applyNumberFormat="1" applyFont="1" applyFill="1" applyBorder="1" applyAlignment="1">
      <alignment horizontal="center" vertical="center" wrapText="1"/>
    </xf>
    <xf numFmtId="0" fontId="115" fillId="0" borderId="0" xfId="1" applyFont="1" applyAlignment="1">
      <alignment vertical="center"/>
    </xf>
    <xf numFmtId="4" fontId="115" fillId="0" borderId="0" xfId="1" applyNumberFormat="1" applyFont="1" applyAlignment="1">
      <alignment horizontal="center" vertical="center"/>
    </xf>
    <xf numFmtId="4" fontId="116" fillId="0" borderId="0" xfId="1" applyNumberFormat="1" applyFont="1" applyAlignment="1">
      <alignment horizontal="center" vertical="center"/>
    </xf>
    <xf numFmtId="0" fontId="117" fillId="0" borderId="0" xfId="1" applyFont="1"/>
    <xf numFmtId="0" fontId="115" fillId="0" borderId="0" xfId="1" applyFont="1"/>
    <xf numFmtId="3" fontId="115" fillId="0" borderId="0" xfId="1" applyNumberFormat="1" applyFont="1" applyAlignment="1">
      <alignment horizontal="center" vertical="center"/>
    </xf>
    <xf numFmtId="4" fontId="116" fillId="0" borderId="0" xfId="1" applyNumberFormat="1" applyFont="1" applyFill="1" applyAlignment="1">
      <alignment horizontal="center" vertical="center"/>
    </xf>
    <xf numFmtId="9" fontId="115" fillId="0" borderId="0" xfId="7" applyFont="1" applyAlignment="1">
      <alignment horizontal="center" vertical="center"/>
    </xf>
    <xf numFmtId="0" fontId="115" fillId="0" borderId="0" xfId="1" applyFont="1" applyAlignment="1">
      <alignment horizontal="right" vertical="center"/>
    </xf>
    <xf numFmtId="4" fontId="25" fillId="18" borderId="79" xfId="1" applyNumberFormat="1" applyFont="1" applyFill="1" applyBorder="1" applyAlignment="1">
      <alignment horizontal="center" vertical="center"/>
    </xf>
    <xf numFmtId="4" fontId="0" fillId="18" borderId="0" xfId="0" applyNumberFormat="1" applyFill="1"/>
    <xf numFmtId="9" fontId="36" fillId="0" borderId="106" xfId="7" applyFont="1" applyFill="1" applyBorder="1" applyAlignment="1">
      <alignment horizontal="center" vertical="center"/>
    </xf>
    <xf numFmtId="9" fontId="36" fillId="28" borderId="1" xfId="7" applyFont="1" applyFill="1" applyBorder="1" applyAlignment="1">
      <alignment horizontal="center" vertical="center"/>
    </xf>
    <xf numFmtId="9" fontId="36" fillId="28" borderId="0" xfId="7" applyFont="1" applyFill="1" applyBorder="1" applyAlignment="1">
      <alignment horizontal="center" vertical="center"/>
    </xf>
    <xf numFmtId="9" fontId="36" fillId="28" borderId="3" xfId="7" applyFont="1" applyFill="1" applyBorder="1" applyAlignment="1">
      <alignment horizontal="center" vertical="center"/>
    </xf>
    <xf numFmtId="9" fontId="36" fillId="0" borderId="9" xfId="7" applyFont="1" applyFill="1" applyBorder="1" applyAlignment="1">
      <alignment horizontal="center" vertical="center"/>
    </xf>
    <xf numFmtId="1" fontId="27" fillId="0" borderId="77" xfId="7" applyNumberFormat="1" applyFont="1" applyFill="1" applyBorder="1" applyAlignment="1">
      <alignment horizontal="center" vertical="center"/>
    </xf>
    <xf numFmtId="4" fontId="19" fillId="13" borderId="77" xfId="1" applyNumberFormat="1" applyFont="1" applyFill="1" applyBorder="1" applyAlignment="1">
      <alignment horizontal="center" vertical="center"/>
    </xf>
    <xf numFmtId="3" fontId="19" fillId="13" borderId="79" xfId="6" applyNumberFormat="1" applyFont="1" applyFill="1" applyBorder="1" applyAlignment="1">
      <alignment horizontal="center" vertical="center"/>
    </xf>
    <xf numFmtId="4" fontId="19" fillId="13" borderId="77" xfId="1" applyNumberFormat="1" applyFont="1" applyFill="1" applyBorder="1" applyAlignment="1">
      <alignment horizontal="center" vertical="center" wrapText="1"/>
    </xf>
    <xf numFmtId="4" fontId="88" fillId="13" borderId="77" xfId="1" applyNumberFormat="1" applyFont="1" applyFill="1" applyBorder="1" applyAlignment="1">
      <alignment horizontal="center" vertical="center"/>
    </xf>
    <xf numFmtId="3" fontId="88" fillId="13" borderId="79" xfId="6" applyNumberFormat="1" applyFont="1" applyFill="1" applyBorder="1" applyAlignment="1">
      <alignment horizontal="center" vertical="center"/>
    </xf>
    <xf numFmtId="4" fontId="88" fillId="13" borderId="77" xfId="1" applyNumberFormat="1" applyFont="1" applyFill="1" applyBorder="1" applyAlignment="1">
      <alignment horizontal="center" vertical="center" wrapText="1"/>
    </xf>
    <xf numFmtId="4" fontId="19" fillId="13" borderId="79" xfId="1" applyNumberFormat="1" applyFont="1" applyFill="1" applyBorder="1" applyAlignment="1">
      <alignment horizontal="center" vertical="center"/>
    </xf>
    <xf numFmtId="4" fontId="88" fillId="13" borderId="79" xfId="1" applyNumberFormat="1" applyFont="1" applyFill="1" applyBorder="1" applyAlignment="1">
      <alignment horizontal="center" vertical="center"/>
    </xf>
    <xf numFmtId="9" fontId="19" fillId="0" borderId="77" xfId="7" applyFont="1" applyFill="1" applyBorder="1" applyAlignment="1">
      <alignment horizontal="center" vertical="center" wrapText="1"/>
    </xf>
    <xf numFmtId="4" fontId="27" fillId="0" borderId="78" xfId="1" applyNumberFormat="1" applyFont="1" applyFill="1" applyBorder="1" applyAlignment="1">
      <alignment horizontal="center" vertical="center"/>
    </xf>
    <xf numFmtId="10" fontId="24" fillId="0" borderId="78" xfId="1" applyNumberFormat="1" applyFont="1" applyFill="1" applyBorder="1" applyAlignment="1">
      <alignment horizontal="center" vertical="center"/>
    </xf>
    <xf numFmtId="4" fontId="24" fillId="4" borderId="78" xfId="1" applyNumberFormat="1" applyFont="1" applyFill="1" applyBorder="1" applyAlignment="1">
      <alignment horizontal="center" vertical="center"/>
    </xf>
    <xf numFmtId="10" fontId="24" fillId="3" borderId="78" xfId="1" applyNumberFormat="1" applyFont="1" applyFill="1" applyBorder="1" applyAlignment="1">
      <alignment horizontal="center" vertical="center"/>
    </xf>
    <xf numFmtId="10" fontId="27" fillId="0" borderId="78" xfId="1" applyNumberFormat="1" applyFont="1" applyFill="1" applyBorder="1" applyAlignment="1">
      <alignment horizontal="center" vertical="center"/>
    </xf>
    <xf numFmtId="3" fontId="26" fillId="5" borderId="78" xfId="1" applyNumberFormat="1" applyFont="1" applyFill="1" applyBorder="1" applyAlignment="1">
      <alignment horizontal="center" vertical="center"/>
    </xf>
    <xf numFmtId="3" fontId="26" fillId="0" borderId="78" xfId="1" applyNumberFormat="1" applyFont="1" applyFill="1" applyBorder="1" applyAlignment="1">
      <alignment horizontal="center" vertical="center"/>
    </xf>
    <xf numFmtId="3" fontId="24" fillId="4" borderId="78" xfId="1" applyNumberFormat="1" applyFont="1" applyFill="1" applyBorder="1" applyAlignment="1">
      <alignment horizontal="center" vertical="center"/>
    </xf>
    <xf numFmtId="9" fontId="24" fillId="3" borderId="78" xfId="7" applyFont="1" applyFill="1" applyBorder="1" applyAlignment="1">
      <alignment horizontal="center" vertical="center"/>
    </xf>
    <xf numFmtId="4" fontId="29" fillId="4" borderId="78" xfId="1" applyNumberFormat="1" applyFont="1" applyFill="1" applyBorder="1" applyAlignment="1">
      <alignment horizontal="center" vertical="center"/>
    </xf>
    <xf numFmtId="10" fontId="29" fillId="3" borderId="78" xfId="1" applyNumberFormat="1" applyFont="1" applyFill="1" applyBorder="1" applyAlignment="1">
      <alignment horizontal="center" vertical="center"/>
    </xf>
    <xf numFmtId="4" fontId="66" fillId="4" borderId="78" xfId="1" applyNumberFormat="1" applyFont="1" applyFill="1" applyBorder="1" applyAlignment="1">
      <alignment horizontal="center" vertical="center"/>
    </xf>
    <xf numFmtId="10" fontId="66" fillId="3" borderId="78" xfId="1" applyNumberFormat="1" applyFont="1" applyFill="1" applyBorder="1" applyAlignment="1">
      <alignment horizontal="center" vertical="center"/>
    </xf>
    <xf numFmtId="0" fontId="19" fillId="0" borderId="78" xfId="1" applyFont="1" applyBorder="1" applyAlignment="1">
      <alignment vertical="center"/>
    </xf>
    <xf numFmtId="4" fontId="25" fillId="0" borderId="78" xfId="1" applyNumberFormat="1" applyFont="1" applyFill="1" applyBorder="1" applyAlignment="1">
      <alignment horizontal="center" vertical="center"/>
    </xf>
    <xf numFmtId="3" fontId="24" fillId="8" borderId="78" xfId="1" applyNumberFormat="1" applyFont="1" applyFill="1" applyBorder="1" applyAlignment="1">
      <alignment horizontal="center" vertical="center"/>
    </xf>
    <xf numFmtId="10" fontId="26" fillId="5" borderId="78" xfId="1" applyNumberFormat="1" applyFont="1" applyFill="1" applyBorder="1" applyAlignment="1">
      <alignment horizontal="center" vertical="center"/>
    </xf>
    <xf numFmtId="10" fontId="29" fillId="0" borderId="78" xfId="1" applyNumberFormat="1" applyFont="1" applyFill="1" applyBorder="1" applyAlignment="1">
      <alignment horizontal="center" vertical="center"/>
    </xf>
    <xf numFmtId="4" fontId="69" fillId="4" borderId="78" xfId="1" applyNumberFormat="1" applyFont="1" applyFill="1" applyBorder="1" applyAlignment="1">
      <alignment horizontal="center" vertical="center"/>
    </xf>
    <xf numFmtId="4" fontId="24" fillId="8" borderId="78" xfId="1" applyNumberFormat="1" applyFont="1" applyFill="1" applyBorder="1" applyAlignment="1">
      <alignment horizontal="center" vertical="center"/>
    </xf>
    <xf numFmtId="4" fontId="69" fillId="8" borderId="78" xfId="1" applyNumberFormat="1" applyFont="1" applyFill="1" applyBorder="1" applyAlignment="1">
      <alignment horizontal="center" vertical="center"/>
    </xf>
    <xf numFmtId="10" fontId="69" fillId="3" borderId="78" xfId="1" applyNumberFormat="1" applyFont="1" applyFill="1" applyBorder="1" applyAlignment="1">
      <alignment horizontal="center" vertical="center"/>
    </xf>
    <xf numFmtId="10" fontId="103" fillId="0" borderId="78" xfId="1" applyNumberFormat="1" applyFont="1" applyFill="1" applyBorder="1" applyAlignment="1">
      <alignment horizontal="center" vertical="center"/>
    </xf>
    <xf numFmtId="3" fontId="103" fillId="4" borderId="78" xfId="1" applyNumberFormat="1" applyFont="1" applyFill="1" applyBorder="1" applyAlignment="1">
      <alignment horizontal="center" vertical="center"/>
    </xf>
    <xf numFmtId="4" fontId="103" fillId="4" borderId="78" xfId="1" applyNumberFormat="1" applyFont="1" applyFill="1" applyBorder="1" applyAlignment="1">
      <alignment horizontal="center" vertical="center"/>
    </xf>
    <xf numFmtId="4" fontId="114" fillId="4" borderId="78" xfId="1" applyNumberFormat="1" applyFont="1" applyFill="1" applyBorder="1" applyAlignment="1">
      <alignment horizontal="center" vertical="center"/>
    </xf>
    <xf numFmtId="3" fontId="103" fillId="8" borderId="78" xfId="1" applyNumberFormat="1" applyFont="1" applyFill="1" applyBorder="1" applyAlignment="1">
      <alignment horizontal="center" vertical="center"/>
    </xf>
    <xf numFmtId="4" fontId="103" fillId="8" borderId="78" xfId="1" applyNumberFormat="1" applyFont="1" applyFill="1" applyBorder="1" applyAlignment="1">
      <alignment horizontal="center" vertical="center"/>
    </xf>
    <xf numFmtId="4" fontId="114" fillId="8" borderId="78" xfId="1" applyNumberFormat="1" applyFont="1" applyFill="1" applyBorder="1" applyAlignment="1">
      <alignment horizontal="center" vertical="center"/>
    </xf>
    <xf numFmtId="9" fontId="103" fillId="3" borderId="78" xfId="7" applyFont="1" applyFill="1" applyBorder="1" applyAlignment="1">
      <alignment horizontal="center" vertical="center"/>
    </xf>
    <xf numFmtId="10" fontId="103" fillId="3" borderId="78" xfId="1" applyNumberFormat="1" applyFont="1" applyFill="1" applyBorder="1" applyAlignment="1">
      <alignment horizontal="center" vertical="center"/>
    </xf>
    <xf numFmtId="10" fontId="114" fillId="3" borderId="78" xfId="1" applyNumberFormat="1" applyFont="1" applyFill="1" applyBorder="1" applyAlignment="1">
      <alignment horizontal="center" vertical="center"/>
    </xf>
    <xf numFmtId="9" fontId="26" fillId="0" borderId="77" xfId="7" applyFont="1" applyFill="1" applyBorder="1" applyAlignment="1">
      <alignment horizontal="center" vertical="center" wrapText="1"/>
    </xf>
    <xf numFmtId="0" fontId="16" fillId="0" borderId="0" xfId="1"/>
    <xf numFmtId="0" fontId="20" fillId="0" borderId="0" xfId="1" applyFont="1"/>
    <xf numFmtId="0" fontId="23" fillId="0" borderId="6" xfId="0" applyFont="1" applyBorder="1" applyAlignment="1">
      <alignment horizontal="center" vertical="center" textRotation="90"/>
    </xf>
    <xf numFmtId="0" fontId="23" fillId="0" borderId="7" xfId="0" applyFont="1" applyBorder="1" applyAlignment="1">
      <alignment horizontal="center" vertical="center" textRotation="90"/>
    </xf>
    <xf numFmtId="0" fontId="17" fillId="0" borderId="56" xfId="0" applyFont="1" applyBorder="1" applyAlignment="1">
      <alignment horizontal="center" vertical="center"/>
    </xf>
    <xf numFmtId="0" fontId="19" fillId="0" borderId="62" xfId="1" applyFont="1" applyBorder="1" applyAlignment="1">
      <alignment vertical="center"/>
    </xf>
    <xf numFmtId="0" fontId="19" fillId="0" borderId="101" xfId="1" applyFont="1" applyBorder="1" applyAlignment="1">
      <alignment vertical="center"/>
    </xf>
    <xf numFmtId="0" fontId="16" fillId="0" borderId="0" xfId="1" applyAlignment="1">
      <alignment vertical="center"/>
    </xf>
    <xf numFmtId="0" fontId="19" fillId="0" borderId="76" xfId="1" applyFont="1" applyBorder="1" applyAlignment="1">
      <alignment vertical="center"/>
    </xf>
    <xf numFmtId="0" fontId="19" fillId="0" borderId="86" xfId="1" applyFont="1" applyBorder="1" applyAlignment="1">
      <alignment horizontal="left" vertical="center"/>
    </xf>
    <xf numFmtId="0" fontId="22" fillId="0" borderId="6" xfId="1" applyFont="1" applyBorder="1" applyAlignment="1">
      <alignment horizontal="center" vertical="center"/>
    </xf>
    <xf numFmtId="0" fontId="24" fillId="4" borderId="102" xfId="1" applyFont="1" applyFill="1" applyBorder="1" applyAlignment="1">
      <alignment vertical="center"/>
    </xf>
    <xf numFmtId="0" fontId="19" fillId="0" borderId="105" xfId="1" applyFont="1" applyBorder="1" applyAlignment="1">
      <alignment horizontal="left" vertical="center"/>
    </xf>
    <xf numFmtId="0" fontId="24" fillId="3" borderId="19" xfId="1" applyFont="1" applyFill="1" applyBorder="1" applyAlignment="1">
      <alignment vertical="center"/>
    </xf>
    <xf numFmtId="0" fontId="24" fillId="0" borderId="105" xfId="1" applyFont="1" applyFill="1" applyBorder="1" applyAlignment="1">
      <alignment vertical="center"/>
    </xf>
    <xf numFmtId="0" fontId="24" fillId="4" borderId="19" xfId="1" applyFont="1" applyFill="1" applyBorder="1" applyAlignment="1">
      <alignment vertical="center"/>
    </xf>
    <xf numFmtId="0" fontId="19" fillId="0" borderId="102" xfId="1" applyFont="1" applyFill="1" applyBorder="1" applyAlignment="1">
      <alignment vertical="center"/>
    </xf>
    <xf numFmtId="0" fontId="19" fillId="0" borderId="102" xfId="1" applyFont="1" applyFill="1" applyBorder="1" applyAlignment="1">
      <alignment horizontal="left" vertical="center"/>
    </xf>
    <xf numFmtId="0" fontId="24" fillId="0" borderId="7" xfId="1" applyFont="1" applyBorder="1" applyAlignment="1">
      <alignment vertical="center"/>
    </xf>
    <xf numFmtId="0" fontId="19" fillId="0" borderId="105" xfId="1" applyFont="1" applyBorder="1" applyAlignment="1">
      <alignment vertical="center"/>
    </xf>
    <xf numFmtId="0" fontId="24" fillId="4" borderId="76" xfId="1" applyFont="1" applyFill="1" applyBorder="1" applyAlignment="1">
      <alignment vertical="center"/>
    </xf>
    <xf numFmtId="0" fontId="24" fillId="6" borderId="55" xfId="1" applyFont="1" applyFill="1" applyBorder="1" applyAlignment="1">
      <alignment vertical="center"/>
    </xf>
    <xf numFmtId="0" fontId="19" fillId="0" borderId="93" xfId="1" applyFont="1" applyBorder="1" applyAlignment="1">
      <alignment vertical="center"/>
    </xf>
    <xf numFmtId="0" fontId="19" fillId="0" borderId="93" xfId="1" applyFont="1" applyBorder="1" applyAlignment="1">
      <alignment horizontal="left" vertical="center"/>
    </xf>
    <xf numFmtId="0" fontId="23" fillId="0" borderId="7" xfId="1" applyFont="1" applyBorder="1" applyAlignment="1">
      <alignment horizontal="center" vertical="center"/>
    </xf>
    <xf numFmtId="0" fontId="24" fillId="4" borderId="90" xfId="1" applyFont="1" applyFill="1" applyBorder="1" applyAlignment="1">
      <alignment vertical="center"/>
    </xf>
    <xf numFmtId="0" fontId="24" fillId="6" borderId="93" xfId="1" applyFont="1" applyFill="1" applyBorder="1" applyAlignment="1">
      <alignment vertical="center"/>
    </xf>
    <xf numFmtId="0" fontId="24" fillId="3" borderId="105" xfId="1" applyFont="1" applyFill="1" applyBorder="1" applyAlignment="1">
      <alignment vertical="center"/>
    </xf>
    <xf numFmtId="0" fontId="19" fillId="0" borderId="0" xfId="1" applyFont="1" applyAlignment="1">
      <alignment vertical="center"/>
    </xf>
    <xf numFmtId="0" fontId="19" fillId="0" borderId="79" xfId="1" applyFont="1" applyBorder="1" applyAlignment="1">
      <alignment vertical="center"/>
    </xf>
    <xf numFmtId="0" fontId="19" fillId="0" borderId="103" xfId="1" applyFont="1" applyBorder="1" applyAlignment="1">
      <alignment vertical="center"/>
    </xf>
    <xf numFmtId="0" fontId="24" fillId="0" borderId="56" xfId="1" applyFont="1" applyBorder="1" applyAlignment="1">
      <alignment horizontal="center" vertical="center"/>
    </xf>
    <xf numFmtId="0" fontId="24" fillId="6" borderId="1" xfId="1" applyFont="1" applyFill="1" applyBorder="1" applyAlignment="1">
      <alignment vertical="center"/>
    </xf>
    <xf numFmtId="0" fontId="19" fillId="0" borderId="86" xfId="1" applyFont="1" applyFill="1" applyBorder="1" applyAlignment="1">
      <alignment vertical="center"/>
    </xf>
    <xf numFmtId="0" fontId="24" fillId="3" borderId="62" xfId="1" applyFont="1" applyFill="1" applyBorder="1" applyAlignment="1">
      <alignment vertical="center"/>
    </xf>
    <xf numFmtId="0" fontId="24" fillId="6" borderId="102" xfId="1" applyFont="1" applyFill="1" applyBorder="1" applyAlignment="1">
      <alignment vertical="center" wrapText="1"/>
    </xf>
    <xf numFmtId="4" fontId="16" fillId="0" borderId="0" xfId="1" applyNumberFormat="1" applyAlignment="1">
      <alignment horizontal="center" vertical="center"/>
    </xf>
    <xf numFmtId="4" fontId="25" fillId="0" borderId="77" xfId="1" applyNumberFormat="1" applyFont="1" applyFill="1" applyBorder="1" applyAlignment="1">
      <alignment horizontal="center" vertical="center"/>
    </xf>
    <xf numFmtId="4" fontId="25" fillId="0" borderId="104" xfId="1" applyNumberFormat="1" applyFont="1" applyFill="1" applyBorder="1" applyAlignment="1">
      <alignment horizontal="center" vertical="center"/>
    </xf>
    <xf numFmtId="9" fontId="27" fillId="0" borderId="77" xfId="7" applyFont="1" applyFill="1" applyBorder="1" applyAlignment="1">
      <alignment horizontal="center" vertical="center"/>
    </xf>
    <xf numFmtId="0" fontId="27" fillId="0" borderId="100" xfId="1" applyNumberFormat="1" applyFont="1" applyFill="1" applyBorder="1" applyAlignment="1">
      <alignment horizontal="center" vertical="center"/>
    </xf>
    <xf numFmtId="10" fontId="26" fillId="0" borderId="58" xfId="1" applyNumberFormat="1" applyFont="1" applyFill="1" applyBorder="1" applyAlignment="1">
      <alignment horizontal="center" vertical="center"/>
    </xf>
    <xf numFmtId="4" fontId="27" fillId="0" borderId="101" xfId="1" applyNumberFormat="1" applyFont="1" applyFill="1" applyBorder="1" applyAlignment="1">
      <alignment horizontal="center" vertical="center"/>
    </xf>
    <xf numFmtId="4" fontId="27" fillId="0" borderId="90" xfId="1" applyNumberFormat="1" applyFont="1" applyFill="1" applyBorder="1" applyAlignment="1">
      <alignment horizontal="center" vertical="center"/>
    </xf>
    <xf numFmtId="10" fontId="27" fillId="0" borderId="91" xfId="1" applyNumberFormat="1" applyFont="1" applyFill="1" applyBorder="1" applyAlignment="1">
      <alignment horizontal="center" vertical="center"/>
    </xf>
    <xf numFmtId="4" fontId="20" fillId="6" borderId="56" xfId="1" applyNumberFormat="1" applyFont="1" applyFill="1" applyBorder="1" applyAlignment="1">
      <alignment horizontal="center" vertical="center"/>
    </xf>
    <xf numFmtId="10" fontId="24" fillId="3" borderId="62" xfId="1" applyNumberFormat="1" applyFont="1" applyFill="1" applyBorder="1" applyAlignment="1">
      <alignment horizontal="center" vertical="center"/>
    </xf>
    <xf numFmtId="10" fontId="24" fillId="3" borderId="63" xfId="1" applyNumberFormat="1" applyFont="1" applyFill="1" applyBorder="1" applyAlignment="1">
      <alignment horizontal="center" vertical="center"/>
    </xf>
    <xf numFmtId="10" fontId="24" fillId="0" borderId="90" xfId="1" applyNumberFormat="1" applyFont="1" applyFill="1" applyBorder="1" applyAlignment="1">
      <alignment horizontal="center" vertical="center"/>
    </xf>
    <xf numFmtId="10" fontId="24" fillId="0" borderId="91" xfId="1" applyNumberFormat="1" applyFont="1" applyFill="1" applyBorder="1" applyAlignment="1">
      <alignment horizontal="center" vertical="center"/>
    </xf>
    <xf numFmtId="4" fontId="24" fillId="4" borderId="62" xfId="1" applyNumberFormat="1" applyFont="1" applyFill="1" applyBorder="1" applyAlignment="1">
      <alignment horizontal="center" vertical="center"/>
    </xf>
    <xf numFmtId="4" fontId="24" fillId="4" borderId="63" xfId="1" applyNumberFormat="1" applyFont="1" applyFill="1" applyBorder="1" applyAlignment="1">
      <alignment horizontal="center" vertical="center"/>
    </xf>
    <xf numFmtId="10" fontId="26" fillId="5" borderId="91" xfId="1" applyNumberFormat="1" applyFont="1" applyFill="1" applyBorder="1" applyAlignment="1">
      <alignment horizontal="center" vertical="center"/>
    </xf>
    <xf numFmtId="10" fontId="24" fillId="4" borderId="100" xfId="1" applyNumberFormat="1" applyFont="1" applyFill="1" applyBorder="1" applyAlignment="1">
      <alignment horizontal="center" vertical="center"/>
    </xf>
    <xf numFmtId="10" fontId="26" fillId="0" borderId="91" xfId="1" applyNumberFormat="1" applyFont="1" applyFill="1" applyBorder="1" applyAlignment="1">
      <alignment horizontal="center" vertical="center"/>
    </xf>
    <xf numFmtId="4" fontId="24" fillId="6" borderId="55" xfId="1" applyNumberFormat="1" applyFont="1" applyFill="1" applyBorder="1" applyAlignment="1">
      <alignment horizontal="center" vertical="center"/>
    </xf>
    <xf numFmtId="4" fontId="24" fillId="6" borderId="56" xfId="1" applyNumberFormat="1" applyFont="1" applyFill="1" applyBorder="1" applyAlignment="1">
      <alignment horizontal="center" vertical="center"/>
    </xf>
    <xf numFmtId="10" fontId="27" fillId="0" borderId="58" xfId="1" applyNumberFormat="1" applyFont="1" applyFill="1" applyBorder="1" applyAlignment="1">
      <alignment horizontal="center" vertical="center"/>
    </xf>
    <xf numFmtId="10" fontId="26" fillId="0" borderId="100" xfId="1" applyNumberFormat="1" applyFont="1" applyFill="1" applyBorder="1" applyAlignment="1">
      <alignment horizontal="center" vertical="center"/>
    </xf>
    <xf numFmtId="4" fontId="28" fillId="6" borderId="101" xfId="1" applyNumberFormat="1" applyFont="1" applyFill="1" applyBorder="1" applyAlignment="1">
      <alignment horizontal="center" vertical="center"/>
    </xf>
    <xf numFmtId="4" fontId="24" fillId="6" borderId="93" xfId="1" applyNumberFormat="1" applyFont="1" applyFill="1" applyBorder="1" applyAlignment="1">
      <alignment horizontal="center" vertical="center"/>
    </xf>
    <xf numFmtId="4" fontId="24" fillId="6" borderId="101" xfId="1" applyNumberFormat="1" applyFont="1" applyFill="1" applyBorder="1" applyAlignment="1">
      <alignment horizontal="center" vertical="center"/>
    </xf>
    <xf numFmtId="10" fontId="24" fillId="3" borderId="90" xfId="1" applyNumberFormat="1" applyFont="1" applyFill="1" applyBorder="1" applyAlignment="1">
      <alignment horizontal="center" vertical="center"/>
    </xf>
    <xf numFmtId="4" fontId="19" fillId="0" borderId="0" xfId="1" applyNumberFormat="1" applyFont="1" applyAlignment="1">
      <alignment horizontal="center" vertical="center"/>
    </xf>
    <xf numFmtId="0" fontId="16" fillId="0" borderId="0" xfId="1" applyAlignment="1">
      <alignment horizontal="center" vertical="center"/>
    </xf>
    <xf numFmtId="9" fontId="27" fillId="0" borderId="100" xfId="7" applyFont="1" applyFill="1" applyBorder="1" applyAlignment="1">
      <alignment horizontal="center" vertical="center"/>
    </xf>
    <xf numFmtId="4" fontId="24" fillId="8" borderId="103" xfId="1" applyNumberFormat="1" applyFont="1" applyFill="1" applyBorder="1" applyAlignment="1">
      <alignment horizontal="center" vertical="center"/>
    </xf>
    <xf numFmtId="0" fontId="24" fillId="11" borderId="5" xfId="1" applyFont="1" applyFill="1" applyBorder="1" applyAlignment="1">
      <alignment horizontal="center" vertical="center"/>
    </xf>
    <xf numFmtId="0" fontId="24" fillId="11" borderId="55" xfId="1" applyFont="1" applyFill="1" applyBorder="1" applyAlignment="1">
      <alignment vertical="center"/>
    </xf>
    <xf numFmtId="4" fontId="24" fillId="11" borderId="55" xfId="1" applyNumberFormat="1" applyFont="1" applyFill="1" applyBorder="1" applyAlignment="1">
      <alignment horizontal="center" vertical="center"/>
    </xf>
    <xf numFmtId="4" fontId="24" fillId="11" borderId="56" xfId="1" applyNumberFormat="1" applyFont="1" applyFill="1" applyBorder="1" applyAlignment="1">
      <alignment horizontal="center" vertical="center"/>
    </xf>
    <xf numFmtId="4" fontId="24" fillId="11" borderId="51" xfId="1" applyNumberFormat="1" applyFont="1" applyFill="1" applyBorder="1" applyAlignment="1">
      <alignment horizontal="center" vertical="center"/>
    </xf>
    <xf numFmtId="0" fontId="20" fillId="11" borderId="0" xfId="1" applyFont="1" applyFill="1"/>
    <xf numFmtId="0" fontId="24" fillId="11" borderId="102" xfId="1" applyFont="1" applyFill="1" applyBorder="1" applyAlignment="1">
      <alignment vertical="center"/>
    </xf>
    <xf numFmtId="4" fontId="24" fillId="11" borderId="93" xfId="1" applyNumberFormat="1" applyFont="1" applyFill="1" applyBorder="1" applyAlignment="1">
      <alignment horizontal="center" vertical="center"/>
    </xf>
    <xf numFmtId="4" fontId="24" fillId="11" borderId="101" xfId="1" applyNumberFormat="1" applyFont="1" applyFill="1" applyBorder="1" applyAlignment="1">
      <alignment horizontal="center" vertical="center"/>
    </xf>
    <xf numFmtId="0" fontId="32" fillId="12" borderId="56" xfId="1" applyFont="1" applyFill="1" applyBorder="1" applyAlignment="1">
      <alignment horizontal="center" vertical="center"/>
    </xf>
    <xf numFmtId="0" fontId="33" fillId="12" borderId="1" xfId="1" applyFont="1" applyFill="1" applyBorder="1" applyAlignment="1">
      <alignment horizontal="center" vertical="center" wrapText="1"/>
    </xf>
    <xf numFmtId="0" fontId="33" fillId="12" borderId="55" xfId="1" applyFont="1" applyFill="1" applyBorder="1" applyAlignment="1">
      <alignment horizontal="center" vertical="center" wrapText="1"/>
    </xf>
    <xf numFmtId="0" fontId="33" fillId="12" borderId="56" xfId="1" applyFont="1" applyFill="1" applyBorder="1" applyAlignment="1">
      <alignment horizontal="center" vertical="center" wrapText="1"/>
    </xf>
    <xf numFmtId="0" fontId="27" fillId="0" borderId="101" xfId="1" applyNumberFormat="1" applyFont="1" applyFill="1" applyBorder="1" applyAlignment="1">
      <alignment horizontal="center" vertical="center"/>
    </xf>
    <xf numFmtId="0" fontId="27" fillId="0" borderId="77" xfId="1" applyNumberFormat="1" applyFont="1" applyFill="1" applyBorder="1" applyAlignment="1">
      <alignment horizontal="center" vertical="center"/>
    </xf>
    <xf numFmtId="0" fontId="27" fillId="0" borderId="58" xfId="1" applyNumberFormat="1" applyFont="1" applyFill="1" applyBorder="1" applyAlignment="1">
      <alignment horizontal="center" vertical="center"/>
    </xf>
    <xf numFmtId="3" fontId="25" fillId="0" borderId="80" xfId="1" applyNumberFormat="1" applyFont="1" applyFill="1" applyBorder="1" applyAlignment="1">
      <alignment horizontal="center" vertical="center"/>
    </xf>
    <xf numFmtId="3" fontId="25" fillId="0" borderId="79" xfId="1" applyNumberFormat="1" applyFont="1" applyFill="1" applyBorder="1" applyAlignment="1">
      <alignment horizontal="center" vertical="center"/>
    </xf>
    <xf numFmtId="3" fontId="27" fillId="0" borderId="79" xfId="6" applyNumberFormat="1" applyFont="1" applyFill="1" applyBorder="1" applyAlignment="1">
      <alignment horizontal="center" vertical="center"/>
    </xf>
    <xf numFmtId="3" fontId="25" fillId="0" borderId="84" xfId="1" applyNumberFormat="1" applyFont="1" applyFill="1" applyBorder="1" applyAlignment="1">
      <alignment horizontal="center" vertical="center"/>
    </xf>
    <xf numFmtId="3" fontId="25" fillId="0" borderId="103" xfId="1" applyNumberFormat="1" applyFont="1" applyFill="1" applyBorder="1" applyAlignment="1">
      <alignment horizontal="center" vertical="center"/>
    </xf>
    <xf numFmtId="3" fontId="24" fillId="11" borderId="55" xfId="1" applyNumberFormat="1" applyFont="1" applyFill="1" applyBorder="1" applyAlignment="1">
      <alignment horizontal="center" vertical="center"/>
    </xf>
    <xf numFmtId="3" fontId="24" fillId="11" borderId="56" xfId="1" applyNumberFormat="1" applyFont="1" applyFill="1" applyBorder="1" applyAlignment="1">
      <alignment horizontal="center" vertical="center"/>
    </xf>
    <xf numFmtId="3" fontId="27" fillId="0" borderId="76" xfId="1" applyNumberFormat="1" applyFont="1" applyFill="1" applyBorder="1" applyAlignment="1">
      <alignment horizontal="center" vertical="center"/>
    </xf>
    <xf numFmtId="3" fontId="27" fillId="0" borderId="80" xfId="1" applyNumberFormat="1" applyFont="1" applyFill="1" applyBorder="1" applyAlignment="1">
      <alignment horizontal="center" vertical="center"/>
    </xf>
    <xf numFmtId="3" fontId="27" fillId="0" borderId="93" xfId="1" applyNumberFormat="1" applyFont="1" applyFill="1" applyBorder="1" applyAlignment="1">
      <alignment horizontal="center" vertical="center"/>
    </xf>
    <xf numFmtId="3" fontId="27" fillId="0" borderId="102" xfId="1" applyNumberFormat="1" applyFont="1" applyFill="1" applyBorder="1" applyAlignment="1">
      <alignment horizontal="center" vertical="center"/>
    </xf>
    <xf numFmtId="3" fontId="27" fillId="0" borderId="86" xfId="1" applyNumberFormat="1" applyFont="1" applyFill="1" applyBorder="1" applyAlignment="1">
      <alignment horizontal="center" vertical="center"/>
    </xf>
    <xf numFmtId="3" fontId="27" fillId="0" borderId="84" xfId="1" applyNumberFormat="1" applyFont="1" applyFill="1" applyBorder="1" applyAlignment="1">
      <alignment horizontal="center" vertical="center"/>
    </xf>
    <xf numFmtId="3" fontId="24" fillId="4" borderId="80" xfId="1" applyNumberFormat="1" applyFont="1" applyFill="1" applyBorder="1" applyAlignment="1">
      <alignment horizontal="center" vertical="center"/>
    </xf>
    <xf numFmtId="3" fontId="24" fillId="4" borderId="79" xfId="1" applyNumberFormat="1" applyFont="1" applyFill="1" applyBorder="1" applyAlignment="1">
      <alignment horizontal="center" vertical="center"/>
    </xf>
    <xf numFmtId="3" fontId="27" fillId="0" borderId="101" xfId="1" applyNumberFormat="1" applyFont="1" applyFill="1" applyBorder="1" applyAlignment="1">
      <alignment horizontal="center" vertical="center"/>
    </xf>
    <xf numFmtId="3" fontId="27" fillId="0" borderId="101" xfId="6" applyNumberFormat="1" applyFont="1" applyFill="1" applyBorder="1" applyAlignment="1">
      <alignment horizontal="center" vertical="center"/>
    </xf>
    <xf numFmtId="3" fontId="27" fillId="0" borderId="103" xfId="1" applyNumberFormat="1" applyFont="1" applyFill="1" applyBorder="1" applyAlignment="1">
      <alignment horizontal="center" vertical="center"/>
    </xf>
    <xf numFmtId="3" fontId="27" fillId="0" borderId="104" xfId="1" applyNumberFormat="1" applyFont="1" applyFill="1" applyBorder="1" applyAlignment="1">
      <alignment horizontal="center" vertical="center"/>
    </xf>
    <xf numFmtId="3" fontId="24" fillId="4" borderId="62" xfId="1" applyNumberFormat="1" applyFont="1" applyFill="1" applyBorder="1" applyAlignment="1">
      <alignment horizontal="center" vertical="center"/>
    </xf>
    <xf numFmtId="3" fontId="26" fillId="5" borderId="90" xfId="1" applyNumberFormat="1" applyFont="1" applyFill="1" applyBorder="1" applyAlignment="1">
      <alignment horizontal="center" vertical="center"/>
    </xf>
    <xf numFmtId="3" fontId="26" fillId="5" borderId="91" xfId="1" applyNumberFormat="1" applyFont="1" applyFill="1" applyBorder="1" applyAlignment="1">
      <alignment horizontal="center" vertical="center"/>
    </xf>
    <xf numFmtId="3" fontId="24" fillId="4" borderId="63" xfId="1" applyNumberFormat="1" applyFont="1" applyFill="1" applyBorder="1" applyAlignment="1">
      <alignment horizontal="center" vertical="center"/>
    </xf>
    <xf numFmtId="3" fontId="27" fillId="5" borderId="101" xfId="1" applyNumberFormat="1" applyFont="1" applyFill="1" applyBorder="1" applyAlignment="1">
      <alignment horizontal="center" vertical="center"/>
    </xf>
    <xf numFmtId="3" fontId="26" fillId="5" borderId="93" xfId="1" applyNumberFormat="1" applyFont="1" applyFill="1" applyBorder="1" applyAlignment="1">
      <alignment horizontal="center" vertical="center"/>
    </xf>
    <xf numFmtId="3" fontId="26" fillId="5" borderId="101" xfId="1" applyNumberFormat="1" applyFont="1" applyFill="1" applyBorder="1" applyAlignment="1">
      <alignment horizontal="center" vertical="center"/>
    </xf>
    <xf numFmtId="3" fontId="24" fillId="4" borderId="93" xfId="1" applyNumberFormat="1" applyFont="1" applyFill="1" applyBorder="1" applyAlignment="1">
      <alignment horizontal="center" vertical="center"/>
    </xf>
    <xf numFmtId="3" fontId="24" fillId="4" borderId="101" xfId="1" applyNumberFormat="1" applyFont="1" applyFill="1" applyBorder="1" applyAlignment="1">
      <alignment horizontal="center" vertical="center"/>
    </xf>
    <xf numFmtId="3" fontId="26" fillId="0" borderId="91" xfId="1" applyNumberFormat="1" applyFont="1" applyFill="1" applyBorder="1" applyAlignment="1">
      <alignment horizontal="center" vertical="center"/>
    </xf>
    <xf numFmtId="3" fontId="24" fillId="6" borderId="55" xfId="1" applyNumberFormat="1" applyFont="1" applyFill="1" applyBorder="1" applyAlignment="1">
      <alignment horizontal="center" vertical="center"/>
    </xf>
    <xf numFmtId="3" fontId="24" fillId="6" borderId="56" xfId="1" applyNumberFormat="1" applyFont="1" applyFill="1" applyBorder="1" applyAlignment="1">
      <alignment horizontal="center" vertical="center"/>
    </xf>
    <xf numFmtId="3" fontId="24" fillId="4" borderId="90" xfId="1" applyNumberFormat="1" applyFont="1" applyFill="1" applyBorder="1" applyAlignment="1">
      <alignment horizontal="center" vertical="center"/>
    </xf>
    <xf numFmtId="3" fontId="27" fillId="0" borderId="62" xfId="1" applyNumberFormat="1" applyFont="1" applyFill="1" applyBorder="1" applyAlignment="1">
      <alignment horizontal="center" vertical="center"/>
    </xf>
    <xf numFmtId="3" fontId="27" fillId="0" borderId="63" xfId="1" applyNumberFormat="1" applyFont="1" applyFill="1" applyBorder="1" applyAlignment="1">
      <alignment horizontal="center" vertical="center"/>
    </xf>
    <xf numFmtId="3" fontId="26" fillId="0" borderId="93" xfId="1" applyNumberFormat="1" applyFont="1" applyFill="1" applyBorder="1" applyAlignment="1">
      <alignment horizontal="center" vertical="center"/>
    </xf>
    <xf numFmtId="3" fontId="26" fillId="0" borderId="101" xfId="1" applyNumberFormat="1" applyFont="1" applyFill="1" applyBorder="1" applyAlignment="1">
      <alignment horizontal="center" vertical="center"/>
    </xf>
    <xf numFmtId="3" fontId="26" fillId="0" borderId="100" xfId="1" applyNumberFormat="1" applyFont="1" applyFill="1" applyBorder="1" applyAlignment="1">
      <alignment horizontal="center" vertical="center"/>
    </xf>
    <xf numFmtId="3" fontId="27" fillId="0" borderId="58" xfId="1" applyNumberFormat="1" applyFont="1" applyFill="1" applyBorder="1" applyAlignment="1">
      <alignment horizontal="center" vertical="center"/>
    </xf>
    <xf numFmtId="3" fontId="28" fillId="6" borderId="93" xfId="1" applyNumberFormat="1" applyFont="1" applyFill="1" applyBorder="1" applyAlignment="1">
      <alignment horizontal="center" vertical="center"/>
    </xf>
    <xf numFmtId="3" fontId="28" fillId="6" borderId="101" xfId="1" applyNumberFormat="1" applyFont="1" applyFill="1" applyBorder="1" applyAlignment="1">
      <alignment horizontal="center" vertical="center"/>
    </xf>
    <xf numFmtId="3" fontId="24" fillId="6" borderId="93" xfId="1" applyNumberFormat="1" applyFont="1" applyFill="1" applyBorder="1" applyAlignment="1">
      <alignment horizontal="center" vertical="center"/>
    </xf>
    <xf numFmtId="3" fontId="24" fillId="6" borderId="101" xfId="1" applyNumberFormat="1" applyFont="1" applyFill="1" applyBorder="1" applyAlignment="1">
      <alignment horizontal="center" vertical="center"/>
    </xf>
    <xf numFmtId="3" fontId="24" fillId="3" borderId="90" xfId="1" applyNumberFormat="1" applyFont="1" applyFill="1" applyBorder="1" applyAlignment="1">
      <alignment horizontal="center" vertical="center"/>
    </xf>
    <xf numFmtId="3" fontId="19" fillId="0" borderId="0" xfId="1" applyNumberFormat="1" applyFont="1" applyAlignment="1">
      <alignment horizontal="center" vertical="center"/>
    </xf>
    <xf numFmtId="3" fontId="16" fillId="0" borderId="0" xfId="1" applyNumberFormat="1" applyAlignment="1">
      <alignment horizontal="center" vertical="center"/>
    </xf>
    <xf numFmtId="3" fontId="30" fillId="12" borderId="0" xfId="6" applyNumberFormat="1" applyFont="1" applyFill="1" applyAlignment="1">
      <alignment horizontal="center" vertical="center"/>
    </xf>
    <xf numFmtId="9" fontId="24" fillId="3" borderId="90" xfId="7" applyFont="1" applyFill="1" applyBorder="1" applyAlignment="1">
      <alignment horizontal="center" vertical="center"/>
    </xf>
    <xf numFmtId="9" fontId="24" fillId="3" borderId="62" xfId="7" applyFont="1" applyFill="1" applyBorder="1" applyAlignment="1">
      <alignment horizontal="center" vertical="center"/>
    </xf>
    <xf numFmtId="9" fontId="24" fillId="3" borderId="63" xfId="7" applyFont="1" applyFill="1" applyBorder="1" applyAlignment="1">
      <alignment horizontal="center" vertical="center"/>
    </xf>
    <xf numFmtId="3" fontId="26" fillId="5" borderId="102" xfId="1" applyNumberFormat="1" applyFont="1" applyFill="1" applyBorder="1" applyAlignment="1">
      <alignment horizontal="center" vertical="center"/>
    </xf>
    <xf numFmtId="9" fontId="36" fillId="11" borderId="51" xfId="7" applyFont="1" applyFill="1" applyBorder="1" applyAlignment="1">
      <alignment horizontal="center" vertical="center"/>
    </xf>
    <xf numFmtId="4" fontId="29" fillId="11" borderId="101" xfId="1" applyNumberFormat="1" applyFont="1" applyFill="1" applyBorder="1" applyAlignment="1">
      <alignment horizontal="center" vertical="center"/>
    </xf>
    <xf numFmtId="4" fontId="37" fillId="6" borderId="56" xfId="1" applyNumberFormat="1" applyFont="1" applyFill="1" applyBorder="1" applyAlignment="1">
      <alignment horizontal="center" vertical="center"/>
    </xf>
    <xf numFmtId="10" fontId="29" fillId="3" borderId="63" xfId="1" applyNumberFormat="1" applyFont="1" applyFill="1" applyBorder="1" applyAlignment="1">
      <alignment horizontal="center" vertical="center"/>
    </xf>
    <xf numFmtId="10" fontId="29" fillId="0" borderId="91" xfId="1" applyNumberFormat="1" applyFont="1" applyFill="1" applyBorder="1" applyAlignment="1">
      <alignment horizontal="center" vertical="center"/>
    </xf>
    <xf numFmtId="9" fontId="36" fillId="4" borderId="100" xfId="7" applyFont="1" applyFill="1" applyBorder="1" applyAlignment="1">
      <alignment horizontal="center" vertical="center"/>
    </xf>
    <xf numFmtId="9" fontId="36" fillId="4" borderId="58" xfId="7" applyFont="1" applyFill="1" applyBorder="1" applyAlignment="1">
      <alignment horizontal="center" vertical="center"/>
    </xf>
    <xf numFmtId="9" fontId="36" fillId="4" borderId="77" xfId="7" applyFont="1" applyFill="1" applyBorder="1" applyAlignment="1">
      <alignment horizontal="center" vertical="center"/>
    </xf>
    <xf numFmtId="4" fontId="29" fillId="6" borderId="56" xfId="1" applyNumberFormat="1" applyFont="1" applyFill="1" applyBorder="1" applyAlignment="1">
      <alignment horizontal="center" vertical="center"/>
    </xf>
    <xf numFmtId="4" fontId="38" fillId="6" borderId="101" xfId="1" applyNumberFormat="1" applyFont="1" applyFill="1" applyBorder="1" applyAlignment="1">
      <alignment horizontal="center" vertical="center"/>
    </xf>
    <xf numFmtId="4" fontId="29" fillId="6" borderId="101" xfId="1" applyNumberFormat="1" applyFont="1" applyFill="1" applyBorder="1" applyAlignment="1">
      <alignment horizontal="center" vertical="center"/>
    </xf>
    <xf numFmtId="9" fontId="36" fillId="0" borderId="77" xfId="7" applyFont="1" applyFill="1" applyBorder="1" applyAlignment="1">
      <alignment horizontal="center" vertical="center"/>
    </xf>
    <xf numFmtId="9" fontId="36" fillId="0" borderId="100" xfId="7" applyFont="1" applyFill="1" applyBorder="1" applyAlignment="1">
      <alignment horizontal="center" vertical="center"/>
    </xf>
    <xf numFmtId="0" fontId="36" fillId="0" borderId="100" xfId="1" applyNumberFormat="1" applyFont="1" applyFill="1" applyBorder="1" applyAlignment="1">
      <alignment horizontal="center" vertical="center"/>
    </xf>
    <xf numFmtId="10" fontId="36" fillId="0" borderId="91" xfId="1" applyNumberFormat="1" applyFont="1" applyFill="1" applyBorder="1" applyAlignment="1">
      <alignment horizontal="center" vertical="center"/>
    </xf>
    <xf numFmtId="10" fontId="36" fillId="0" borderId="104" xfId="1" applyNumberFormat="1" applyFont="1" applyFill="1" applyBorder="1" applyAlignment="1">
      <alignment horizontal="center" vertical="center"/>
    </xf>
    <xf numFmtId="10" fontId="39" fillId="5" borderId="91" xfId="1" applyNumberFormat="1" applyFont="1" applyFill="1" applyBorder="1" applyAlignment="1">
      <alignment horizontal="center" vertical="center"/>
    </xf>
    <xf numFmtId="9" fontId="36" fillId="0" borderId="104" xfId="7" applyFont="1" applyFill="1" applyBorder="1" applyAlignment="1">
      <alignment horizontal="center" vertical="center"/>
    </xf>
    <xf numFmtId="10" fontId="39" fillId="0" borderId="91" xfId="1" applyNumberFormat="1" applyFont="1" applyFill="1" applyBorder="1" applyAlignment="1">
      <alignment horizontal="center" vertical="center"/>
    </xf>
    <xf numFmtId="10" fontId="36" fillId="0" borderId="58" xfId="1" applyNumberFormat="1" applyFont="1" applyFill="1" applyBorder="1" applyAlignment="1">
      <alignment horizontal="center" vertical="center"/>
    </xf>
    <xf numFmtId="10" fontId="39" fillId="0" borderId="100" xfId="1" applyNumberFormat="1" applyFont="1" applyFill="1" applyBorder="1" applyAlignment="1">
      <alignment horizontal="center" vertical="center"/>
    </xf>
    <xf numFmtId="4" fontId="40" fillId="0" borderId="0" xfId="1" applyNumberFormat="1" applyFont="1" applyAlignment="1">
      <alignment horizontal="center" vertical="center"/>
    </xf>
    <xf numFmtId="9" fontId="36" fillId="0" borderId="91" xfId="7" applyFont="1" applyFill="1" applyBorder="1" applyAlignment="1">
      <alignment horizontal="center" vertical="center"/>
    </xf>
    <xf numFmtId="0" fontId="42" fillId="12" borderId="56" xfId="1" applyFont="1" applyFill="1" applyBorder="1" applyAlignment="1">
      <alignment horizontal="center" vertical="center" wrapText="1"/>
    </xf>
    <xf numFmtId="3" fontId="25" fillId="0" borderId="77" xfId="1" applyNumberFormat="1" applyFont="1" applyFill="1" applyBorder="1" applyAlignment="1">
      <alignment horizontal="center" vertical="center"/>
    </xf>
    <xf numFmtId="0" fontId="24" fillId="8" borderId="84" xfId="1" applyFont="1" applyFill="1" applyBorder="1" applyAlignment="1">
      <alignment vertical="center"/>
    </xf>
    <xf numFmtId="3" fontId="24" fillId="8" borderId="84" xfId="1" applyNumberFormat="1" applyFont="1" applyFill="1" applyBorder="1" applyAlignment="1">
      <alignment horizontal="center" vertical="center"/>
    </xf>
    <xf numFmtId="3" fontId="24" fillId="8" borderId="103" xfId="1" applyNumberFormat="1" applyFont="1" applyFill="1" applyBorder="1" applyAlignment="1">
      <alignment horizontal="center" vertical="center"/>
    </xf>
    <xf numFmtId="4" fontId="29" fillId="8" borderId="103" xfId="1" applyNumberFormat="1" applyFont="1" applyFill="1" applyBorder="1" applyAlignment="1">
      <alignment horizontal="center" vertical="center"/>
    </xf>
    <xf numFmtId="0" fontId="19" fillId="0" borderId="19" xfId="1" applyFont="1" applyBorder="1" applyAlignment="1">
      <alignment vertical="center"/>
    </xf>
    <xf numFmtId="0" fontId="36" fillId="0" borderId="58" xfId="1" applyNumberFormat="1" applyFont="1" applyFill="1" applyBorder="1" applyAlignment="1">
      <alignment horizontal="center" vertical="center"/>
    </xf>
    <xf numFmtId="9" fontId="36" fillId="0" borderId="58" xfId="7" applyFont="1" applyFill="1" applyBorder="1" applyAlignment="1">
      <alignment horizontal="center" vertical="center"/>
    </xf>
    <xf numFmtId="3" fontId="27" fillId="0" borderId="63" xfId="6" applyNumberFormat="1" applyFont="1" applyFill="1" applyBorder="1" applyAlignment="1">
      <alignment horizontal="center" vertical="center"/>
    </xf>
    <xf numFmtId="3" fontId="25" fillId="0" borderId="58" xfId="1" applyNumberFormat="1" applyFont="1" applyFill="1" applyBorder="1" applyAlignment="1">
      <alignment horizontal="center" vertical="center"/>
    </xf>
    <xf numFmtId="0" fontId="35" fillId="0" borderId="0" xfId="1" applyFont="1" applyAlignment="1">
      <alignment horizontal="center" vertical="center"/>
    </xf>
    <xf numFmtId="0" fontId="19" fillId="0" borderId="93" xfId="1" applyFont="1" applyFill="1" applyBorder="1" applyAlignment="1">
      <alignment vertical="center"/>
    </xf>
    <xf numFmtId="0" fontId="20" fillId="0" borderId="0" xfId="1" applyFont="1" applyFill="1"/>
    <xf numFmtId="0" fontId="24" fillId="0" borderId="5" xfId="1" applyFont="1" applyBorder="1" applyAlignment="1">
      <alignment horizontal="center" vertical="center"/>
    </xf>
    <xf numFmtId="0" fontId="24" fillId="0" borderId="6" xfId="1" applyFont="1" applyBorder="1" applyAlignment="1">
      <alignment horizontal="center" vertical="center"/>
    </xf>
    <xf numFmtId="0" fontId="24" fillId="0" borderId="7" xfId="1" applyFont="1" applyBorder="1" applyAlignment="1">
      <alignment horizontal="center" vertical="center"/>
    </xf>
    <xf numFmtId="0" fontId="24" fillId="0" borderId="6" xfId="1" applyFont="1" applyFill="1" applyBorder="1" applyAlignment="1">
      <alignment horizontal="center" vertical="center"/>
    </xf>
    <xf numFmtId="0" fontId="16" fillId="0" borderId="0" xfId="1" applyFill="1"/>
    <xf numFmtId="0" fontId="24" fillId="0" borderId="5" xfId="1" applyFont="1" applyBorder="1" applyAlignment="1">
      <alignment vertical="center"/>
    </xf>
    <xf numFmtId="0" fontId="24" fillId="0" borderId="6" xfId="1" applyFont="1" applyBorder="1" applyAlignment="1">
      <alignment vertical="center"/>
    </xf>
    <xf numFmtId="0" fontId="24" fillId="0" borderId="6" xfId="1" applyFont="1" applyFill="1" applyBorder="1" applyAlignment="1">
      <alignment vertical="center"/>
    </xf>
    <xf numFmtId="0" fontId="33" fillId="11" borderId="55" xfId="1" applyFont="1" applyFill="1" applyBorder="1" applyAlignment="1">
      <alignment horizontal="center" vertical="center" wrapText="1"/>
    </xf>
    <xf numFmtId="0" fontId="33" fillId="11" borderId="56" xfId="1" applyFont="1" applyFill="1" applyBorder="1" applyAlignment="1">
      <alignment horizontal="center" vertical="center" wrapText="1"/>
    </xf>
    <xf numFmtId="0" fontId="42" fillId="12" borderId="55" xfId="1" applyFont="1" applyFill="1" applyBorder="1" applyAlignment="1">
      <alignment horizontal="center" vertical="center" wrapText="1"/>
    </xf>
    <xf numFmtId="9" fontId="36" fillId="11" borderId="1" xfId="7" applyFont="1" applyFill="1" applyBorder="1" applyAlignment="1">
      <alignment horizontal="center" vertical="center"/>
    </xf>
    <xf numFmtId="9" fontId="36" fillId="4" borderId="76" xfId="7" applyFont="1" applyFill="1" applyBorder="1" applyAlignment="1">
      <alignment horizontal="center" vertical="center"/>
    </xf>
    <xf numFmtId="9" fontId="36" fillId="4" borderId="19" xfId="7" applyFont="1" applyFill="1" applyBorder="1" applyAlignment="1">
      <alignment horizontal="center" vertical="center"/>
    </xf>
    <xf numFmtId="9" fontId="26" fillId="0" borderId="100" xfId="7" applyFont="1" applyFill="1" applyBorder="1" applyAlignment="1">
      <alignment horizontal="center" vertical="center"/>
    </xf>
    <xf numFmtId="9" fontId="27" fillId="0" borderId="58" xfId="7" applyFont="1" applyFill="1" applyBorder="1" applyAlignment="1">
      <alignment horizontal="center" vertical="center"/>
    </xf>
    <xf numFmtId="9" fontId="27" fillId="0" borderId="77" xfId="7" applyFont="1" applyFill="1" applyBorder="1" applyAlignment="1">
      <alignment horizontal="center" vertical="center" wrapText="1"/>
    </xf>
    <xf numFmtId="0" fontId="19" fillId="0" borderId="101" xfId="1" applyFont="1" applyFill="1" applyBorder="1" applyAlignment="1">
      <alignment vertical="center"/>
    </xf>
    <xf numFmtId="3" fontId="24" fillId="0" borderId="6" xfId="1" applyNumberFormat="1" applyFont="1" applyFill="1" applyBorder="1" applyAlignment="1">
      <alignment vertical="center"/>
    </xf>
    <xf numFmtId="3" fontId="24" fillId="4" borderId="55" xfId="1" applyNumberFormat="1" applyFont="1" applyFill="1" applyBorder="1" applyAlignment="1">
      <alignment horizontal="center" vertical="center"/>
    </xf>
    <xf numFmtId="0" fontId="24" fillId="0" borderId="7" xfId="1" applyFont="1" applyFill="1" applyBorder="1" applyAlignment="1">
      <alignment vertical="center"/>
    </xf>
    <xf numFmtId="4" fontId="16" fillId="0" borderId="0" xfId="1" applyNumberFormat="1" applyFont="1" applyAlignment="1">
      <alignment horizontal="center" vertical="center"/>
    </xf>
    <xf numFmtId="0" fontId="36" fillId="0" borderId="77" xfId="1" applyNumberFormat="1" applyFont="1" applyFill="1" applyBorder="1" applyAlignment="1">
      <alignment horizontal="center" vertical="center"/>
    </xf>
    <xf numFmtId="49" fontId="18" fillId="17" borderId="12" xfId="0" applyNumberFormat="1" applyFont="1" applyFill="1" applyBorder="1" applyAlignment="1">
      <alignment horizontal="center" vertical="center"/>
    </xf>
    <xf numFmtId="49" fontId="18" fillId="17" borderId="20" xfId="0" applyNumberFormat="1" applyFont="1" applyFill="1" applyBorder="1" applyAlignment="1">
      <alignment horizontal="center" vertical="center"/>
    </xf>
    <xf numFmtId="4" fontId="25" fillId="0" borderId="77" xfId="1" applyNumberFormat="1" applyFont="1" applyFill="1" applyBorder="1" applyAlignment="1">
      <alignment horizontal="center" vertical="center" wrapText="1"/>
    </xf>
    <xf numFmtId="9" fontId="27" fillId="0" borderId="100" xfId="7" applyFont="1" applyFill="1" applyBorder="1" applyAlignment="1">
      <alignment horizontal="center" vertical="center" wrapText="1"/>
    </xf>
    <xf numFmtId="4" fontId="64" fillId="0" borderId="0" xfId="1" applyNumberFormat="1" applyFont="1" applyAlignment="1">
      <alignment horizontal="center" vertical="center"/>
    </xf>
    <xf numFmtId="9" fontId="26" fillId="0" borderId="77" xfId="7" applyFont="1" applyFill="1" applyBorder="1" applyAlignment="1">
      <alignment horizontal="center" vertical="center"/>
    </xf>
    <xf numFmtId="0" fontId="26" fillId="0" borderId="100" xfId="1" applyNumberFormat="1" applyFont="1" applyFill="1" applyBorder="1" applyAlignment="1">
      <alignment horizontal="center" vertical="center"/>
    </xf>
    <xf numFmtId="4" fontId="35" fillId="6" borderId="56" xfId="1" applyNumberFormat="1" applyFont="1" applyFill="1" applyBorder="1" applyAlignment="1">
      <alignment horizontal="center" vertical="center"/>
    </xf>
    <xf numFmtId="10" fontId="66" fillId="3" borderId="63" xfId="1" applyNumberFormat="1" applyFont="1" applyFill="1" applyBorder="1" applyAlignment="1">
      <alignment horizontal="center" vertical="center"/>
    </xf>
    <xf numFmtId="10" fontId="66" fillId="0" borderId="91" xfId="1" applyNumberFormat="1" applyFont="1" applyFill="1" applyBorder="1" applyAlignment="1">
      <alignment horizontal="center" vertical="center"/>
    </xf>
    <xf numFmtId="4" fontId="66" fillId="4" borderId="63" xfId="1" applyNumberFormat="1" applyFont="1" applyFill="1" applyBorder="1" applyAlignment="1">
      <alignment horizontal="center" vertical="center"/>
    </xf>
    <xf numFmtId="4" fontId="66" fillId="6" borderId="56" xfId="1" applyNumberFormat="1" applyFont="1" applyFill="1" applyBorder="1" applyAlignment="1">
      <alignment horizontal="center" vertical="center"/>
    </xf>
    <xf numFmtId="4" fontId="66" fillId="11" borderId="51" xfId="1" applyNumberFormat="1" applyFont="1" applyFill="1" applyBorder="1" applyAlignment="1">
      <alignment horizontal="center" vertical="center"/>
    </xf>
    <xf numFmtId="9" fontId="19" fillId="0" borderId="100" xfId="7" applyFont="1" applyFill="1" applyBorder="1" applyAlignment="1">
      <alignment horizontal="center" vertical="center"/>
    </xf>
    <xf numFmtId="9" fontId="19" fillId="0" borderId="77" xfId="7" applyFont="1" applyFill="1" applyBorder="1" applyAlignment="1">
      <alignment horizontal="center" vertical="center"/>
    </xf>
    <xf numFmtId="9" fontId="68" fillId="0" borderId="100" xfId="7" applyFont="1" applyFill="1" applyBorder="1" applyAlignment="1">
      <alignment horizontal="center" vertical="center"/>
    </xf>
    <xf numFmtId="9" fontId="67" fillId="0" borderId="77" xfId="7" applyFont="1" applyFill="1" applyBorder="1" applyAlignment="1">
      <alignment horizontal="center" vertical="center" wrapText="1"/>
    </xf>
    <xf numFmtId="4" fontId="68" fillId="0" borderId="0" xfId="1" applyNumberFormat="1" applyFont="1" applyAlignment="1">
      <alignment horizontal="center" vertical="center"/>
    </xf>
    <xf numFmtId="4" fontId="30" fillId="0" borderId="0" xfId="1" applyNumberFormat="1" applyFont="1" applyAlignment="1">
      <alignment horizontal="center" vertical="center"/>
    </xf>
    <xf numFmtId="4" fontId="70" fillId="0" borderId="0" xfId="1" applyNumberFormat="1" applyFont="1" applyAlignment="1">
      <alignment horizontal="center" vertical="center"/>
    </xf>
    <xf numFmtId="9" fontId="68" fillId="0" borderId="77" xfId="7" applyFont="1" applyFill="1" applyBorder="1" applyAlignment="1">
      <alignment horizontal="center" vertical="center"/>
    </xf>
    <xf numFmtId="9" fontId="67" fillId="0" borderId="100" xfId="7" applyFont="1" applyFill="1" applyBorder="1" applyAlignment="1">
      <alignment horizontal="center" vertical="center"/>
    </xf>
    <xf numFmtId="9" fontId="71" fillId="0" borderId="100" xfId="7" applyFont="1" applyFill="1" applyBorder="1" applyAlignment="1">
      <alignment horizontal="center" vertical="center"/>
    </xf>
    <xf numFmtId="4" fontId="67" fillId="0" borderId="0" xfId="1" applyNumberFormat="1" applyFont="1" applyAlignment="1">
      <alignment horizontal="center" vertical="center"/>
    </xf>
    <xf numFmtId="0" fontId="26" fillId="0" borderId="77" xfId="1" applyNumberFormat="1" applyFont="1" applyFill="1" applyBorder="1" applyAlignment="1">
      <alignment horizontal="center" vertical="center"/>
    </xf>
    <xf numFmtId="4" fontId="26" fillId="0" borderId="0" xfId="1" applyNumberFormat="1" applyFont="1" applyAlignment="1">
      <alignment horizontal="center" vertical="center"/>
    </xf>
    <xf numFmtId="9" fontId="71" fillId="0" borderId="100" xfId="7" applyFont="1" applyFill="1" applyBorder="1" applyAlignment="1">
      <alignment horizontal="center" vertical="center" wrapText="1"/>
    </xf>
    <xf numFmtId="9" fontId="71" fillId="0" borderId="77" xfId="7" applyFont="1" applyFill="1" applyBorder="1" applyAlignment="1">
      <alignment horizontal="center" vertical="center" wrapText="1"/>
    </xf>
    <xf numFmtId="0" fontId="19" fillId="0" borderId="76" xfId="1" applyFont="1" applyBorder="1" applyAlignment="1">
      <alignment horizontal="left" vertical="center"/>
    </xf>
    <xf numFmtId="4" fontId="26" fillId="0" borderId="80" xfId="1" applyNumberFormat="1" applyFont="1" applyFill="1" applyBorder="1" applyAlignment="1">
      <alignment horizontal="center" vertical="center"/>
    </xf>
    <xf numFmtId="4" fontId="26" fillId="0" borderId="79" xfId="1" applyNumberFormat="1" applyFont="1" applyFill="1" applyBorder="1" applyAlignment="1">
      <alignment horizontal="center" vertical="center"/>
    </xf>
    <xf numFmtId="10" fontId="26" fillId="0" borderId="77" xfId="1" applyNumberFormat="1" applyFont="1" applyFill="1" applyBorder="1" applyAlignment="1">
      <alignment horizontal="center" vertical="center"/>
    </xf>
    <xf numFmtId="10" fontId="39" fillId="0" borderId="77" xfId="1" applyNumberFormat="1" applyFont="1" applyFill="1" applyBorder="1" applyAlignment="1">
      <alignment horizontal="center" vertical="center"/>
    </xf>
    <xf numFmtId="10" fontId="26" fillId="0" borderId="79" xfId="1" applyNumberFormat="1" applyFont="1" applyFill="1" applyBorder="1" applyAlignment="1">
      <alignment horizontal="center" vertical="center"/>
    </xf>
    <xf numFmtId="0" fontId="19" fillId="0" borderId="63" xfId="1" applyFont="1" applyBorder="1" applyAlignment="1">
      <alignment vertical="center"/>
    </xf>
    <xf numFmtId="3" fontId="27" fillId="0" borderId="19" xfId="1" applyNumberFormat="1" applyFont="1" applyFill="1" applyBorder="1" applyAlignment="1">
      <alignment horizontal="center" vertical="center"/>
    </xf>
    <xf numFmtId="4" fontId="25" fillId="0" borderId="58" xfId="1" applyNumberFormat="1" applyFont="1" applyFill="1" applyBorder="1" applyAlignment="1">
      <alignment horizontal="center" vertical="center"/>
    </xf>
    <xf numFmtId="4" fontId="19" fillId="0" borderId="77" xfId="1" applyNumberFormat="1" applyFont="1" applyFill="1" applyBorder="1" applyAlignment="1">
      <alignment horizontal="center" vertical="center"/>
    </xf>
    <xf numFmtId="3" fontId="27" fillId="0" borderId="105" xfId="1" applyNumberFormat="1" applyFont="1" applyFill="1" applyBorder="1" applyAlignment="1">
      <alignment horizontal="center" vertical="center"/>
    </xf>
    <xf numFmtId="3" fontId="27" fillId="0" borderId="90" xfId="1" applyNumberFormat="1" applyFont="1" applyFill="1" applyBorder="1" applyAlignment="1">
      <alignment horizontal="center" vertical="center"/>
    </xf>
    <xf numFmtId="3" fontId="27" fillId="0" borderId="7" xfId="6" applyNumberFormat="1" applyFont="1" applyFill="1" applyBorder="1" applyAlignment="1">
      <alignment horizontal="center" vertical="center"/>
    </xf>
    <xf numFmtId="4" fontId="25" fillId="0" borderId="20" xfId="1" applyNumberFormat="1" applyFont="1" applyFill="1" applyBorder="1" applyAlignment="1">
      <alignment horizontal="center" vertical="center"/>
    </xf>
    <xf numFmtId="3" fontId="25" fillId="0" borderId="20" xfId="1" applyNumberFormat="1" applyFont="1" applyFill="1" applyBorder="1" applyAlignment="1">
      <alignment horizontal="center" vertical="center"/>
    </xf>
    <xf numFmtId="9" fontId="27" fillId="0" borderId="91" xfId="7" applyFont="1" applyFill="1" applyBorder="1" applyAlignment="1">
      <alignment horizontal="center" vertical="center"/>
    </xf>
    <xf numFmtId="4" fontId="25" fillId="0" borderId="104" xfId="1" applyNumberFormat="1" applyFont="1" applyFill="1" applyBorder="1" applyAlignment="1">
      <alignment horizontal="center" vertical="center" wrapText="1"/>
    </xf>
    <xf numFmtId="9" fontId="36" fillId="11" borderId="100" xfId="7" applyFont="1" applyFill="1" applyBorder="1" applyAlignment="1">
      <alignment horizontal="center" vertical="center"/>
    </xf>
    <xf numFmtId="9" fontId="36" fillId="7" borderId="100" xfId="7" applyFont="1" applyFill="1" applyBorder="1" applyAlignment="1">
      <alignment horizontal="center" vertical="center"/>
    </xf>
    <xf numFmtId="9" fontId="36" fillId="25" borderId="100" xfId="7" applyFont="1" applyFill="1" applyBorder="1" applyAlignment="1">
      <alignment horizontal="center" vertical="center"/>
    </xf>
    <xf numFmtId="4" fontId="25" fillId="0" borderId="36" xfId="1" applyNumberFormat="1" applyFont="1" applyFill="1" applyBorder="1" applyAlignment="1">
      <alignment horizontal="center" vertical="center"/>
    </xf>
    <xf numFmtId="4" fontId="25" fillId="0" borderId="76" xfId="1" applyNumberFormat="1" applyFont="1" applyFill="1" applyBorder="1" applyAlignment="1">
      <alignment horizontal="center" vertical="center"/>
    </xf>
    <xf numFmtId="9" fontId="36" fillId="0" borderId="97" xfId="7" applyFont="1" applyFill="1" applyBorder="1" applyAlignment="1">
      <alignment horizontal="center" vertical="center"/>
    </xf>
    <xf numFmtId="9" fontId="36" fillId="0" borderId="98" xfId="7" applyFont="1" applyFill="1" applyBorder="1" applyAlignment="1">
      <alignment horizontal="center" vertical="center"/>
    </xf>
    <xf numFmtId="4" fontId="25" fillId="0" borderId="97" xfId="1" applyNumberFormat="1" applyFont="1" applyFill="1" applyBorder="1" applyAlignment="1">
      <alignment horizontal="center" vertical="center"/>
    </xf>
    <xf numFmtId="10" fontId="27" fillId="0" borderId="19" xfId="1" applyNumberFormat="1" applyFont="1" applyFill="1" applyBorder="1" applyAlignment="1">
      <alignment horizontal="center" vertical="center"/>
    </xf>
    <xf numFmtId="10" fontId="26" fillId="0" borderId="102" xfId="1" applyNumberFormat="1" applyFont="1" applyFill="1" applyBorder="1" applyAlignment="1">
      <alignment horizontal="center" vertical="center"/>
    </xf>
    <xf numFmtId="4" fontId="25" fillId="0" borderId="91" xfId="1" applyNumberFormat="1" applyFont="1" applyFill="1" applyBorder="1" applyAlignment="1">
      <alignment horizontal="center" vertical="center"/>
    </xf>
    <xf numFmtId="4" fontId="25" fillId="0" borderId="79" xfId="1" applyNumberFormat="1" applyFont="1" applyFill="1" applyBorder="1" applyAlignment="1">
      <alignment horizontal="center" vertical="center"/>
    </xf>
    <xf numFmtId="3" fontId="25" fillId="0" borderId="76" xfId="1" applyNumberFormat="1" applyFont="1" applyFill="1" applyBorder="1" applyAlignment="1">
      <alignment horizontal="center" vertical="center"/>
    </xf>
    <xf numFmtId="4" fontId="25" fillId="0" borderId="7" xfId="1" applyNumberFormat="1" applyFont="1" applyFill="1" applyBorder="1" applyAlignment="1">
      <alignment horizontal="center" vertical="center"/>
    </xf>
    <xf numFmtId="4" fontId="25" fillId="0" borderId="6" xfId="1" applyNumberFormat="1" applyFont="1" applyFill="1" applyBorder="1" applyAlignment="1">
      <alignment horizontal="center" vertical="center"/>
    </xf>
    <xf numFmtId="10" fontId="26" fillId="0" borderId="20" xfId="1" applyNumberFormat="1" applyFont="1" applyFill="1" applyBorder="1" applyAlignment="1">
      <alignment horizontal="center" vertical="center"/>
    </xf>
    <xf numFmtId="4" fontId="27" fillId="26" borderId="93" xfId="1" applyNumberFormat="1" applyFont="1" applyFill="1" applyBorder="1" applyAlignment="1">
      <alignment horizontal="center" vertical="center"/>
    </xf>
    <xf numFmtId="4" fontId="25" fillId="26" borderId="77" xfId="1" applyNumberFormat="1" applyFont="1" applyFill="1" applyBorder="1" applyAlignment="1">
      <alignment horizontal="center" vertical="center"/>
    </xf>
    <xf numFmtId="9" fontId="36" fillId="0" borderId="102" xfId="7" applyFont="1" applyFill="1" applyBorder="1" applyAlignment="1">
      <alignment horizontal="center" vertical="center"/>
    </xf>
    <xf numFmtId="4" fontId="26" fillId="0" borderId="91" xfId="1" applyNumberFormat="1" applyFont="1" applyFill="1" applyBorder="1" applyAlignment="1">
      <alignment horizontal="center" vertical="center"/>
    </xf>
    <xf numFmtId="3" fontId="27" fillId="0" borderId="6" xfId="6" applyNumberFormat="1" applyFont="1" applyFill="1" applyBorder="1" applyAlignment="1">
      <alignment horizontal="center" vertical="center"/>
    </xf>
    <xf numFmtId="9" fontId="16" fillId="0" borderId="0" xfId="7" applyFont="1" applyAlignment="1">
      <alignment horizontal="center" vertical="center"/>
    </xf>
    <xf numFmtId="0" fontId="16" fillId="0" borderId="0" xfId="1" applyAlignment="1">
      <alignment horizontal="right" vertical="center"/>
    </xf>
    <xf numFmtId="4" fontId="24" fillId="11" borderId="1" xfId="1" applyNumberFormat="1" applyFont="1" applyFill="1" applyBorder="1" applyAlignment="1">
      <alignment horizontal="center" vertical="center"/>
    </xf>
    <xf numFmtId="4" fontId="24" fillId="4" borderId="90" xfId="1" applyNumberFormat="1" applyFont="1" applyFill="1" applyBorder="1" applyAlignment="1">
      <alignment horizontal="center" vertical="center"/>
    </xf>
    <xf numFmtId="4" fontId="28" fillId="6" borderId="93" xfId="1" applyNumberFormat="1" applyFont="1" applyFill="1" applyBorder="1" applyAlignment="1">
      <alignment horizontal="center" vertical="center"/>
    </xf>
    <xf numFmtId="4" fontId="69" fillId="4" borderId="63" xfId="1" applyNumberFormat="1" applyFont="1" applyFill="1" applyBorder="1" applyAlignment="1">
      <alignment horizontal="center" vertical="center"/>
    </xf>
    <xf numFmtId="4" fontId="69" fillId="6" borderId="56" xfId="1" applyNumberFormat="1" applyFont="1" applyFill="1" applyBorder="1" applyAlignment="1">
      <alignment horizontal="center" vertical="center"/>
    </xf>
    <xf numFmtId="10" fontId="69" fillId="3" borderId="63" xfId="1" applyNumberFormat="1" applyFont="1" applyFill="1" applyBorder="1" applyAlignment="1">
      <alignment horizontal="center" vertical="center"/>
    </xf>
    <xf numFmtId="10" fontId="68" fillId="0" borderId="58" xfId="1" applyNumberFormat="1" applyFont="1" applyFill="1" applyBorder="1" applyAlignment="1">
      <alignment horizontal="center" vertical="center"/>
    </xf>
    <xf numFmtId="4" fontId="25" fillId="0" borderId="36" xfId="1" applyNumberFormat="1" applyFont="1" applyFill="1" applyBorder="1" applyAlignment="1">
      <alignment horizontal="center" vertical="center" wrapText="1"/>
    </xf>
    <xf numFmtId="9" fontId="36" fillId="0" borderId="20" xfId="7" applyFont="1" applyFill="1" applyBorder="1" applyAlignment="1">
      <alignment horizontal="center" vertical="center"/>
    </xf>
    <xf numFmtId="0" fontId="35" fillId="0" borderId="0" xfId="1" applyFont="1"/>
    <xf numFmtId="4" fontId="86" fillId="0" borderId="0" xfId="1" applyNumberFormat="1" applyFont="1" applyAlignment="1">
      <alignment horizontal="center" vertical="center"/>
    </xf>
    <xf numFmtId="3" fontId="25" fillId="0" borderId="63" xfId="1" applyNumberFormat="1" applyFont="1" applyFill="1" applyBorder="1" applyAlignment="1">
      <alignment horizontal="center" vertical="center"/>
    </xf>
    <xf numFmtId="3" fontId="25" fillId="0" borderId="7" xfId="1" applyNumberFormat="1" applyFont="1" applyFill="1" applyBorder="1" applyAlignment="1">
      <alignment horizontal="center" vertical="center"/>
    </xf>
    <xf numFmtId="10" fontId="27" fillId="0" borderId="63" xfId="1" applyNumberFormat="1" applyFont="1" applyFill="1" applyBorder="1" applyAlignment="1">
      <alignment horizontal="center" vertical="center"/>
    </xf>
    <xf numFmtId="10" fontId="26" fillId="0" borderId="101" xfId="1" applyNumberFormat="1" applyFont="1" applyFill="1" applyBorder="1" applyAlignment="1">
      <alignment horizontal="center" vertical="center"/>
    </xf>
    <xf numFmtId="10" fontId="26" fillId="0" borderId="9" xfId="1" applyNumberFormat="1" applyFont="1" applyFill="1" applyBorder="1" applyAlignment="1">
      <alignment horizontal="center" vertical="center"/>
    </xf>
    <xf numFmtId="9" fontId="88" fillId="0" borderId="100" xfId="7" applyFont="1" applyFill="1" applyBorder="1" applyAlignment="1">
      <alignment horizontal="center" vertical="center"/>
    </xf>
    <xf numFmtId="0" fontId="24" fillId="11" borderId="55" xfId="1" applyFont="1" applyFill="1" applyBorder="1" applyAlignment="1">
      <alignment vertical="center" wrapText="1"/>
    </xf>
    <xf numFmtId="4" fontId="26" fillId="0" borderId="77" xfId="1" applyNumberFormat="1" applyFont="1" applyFill="1" applyBorder="1" applyAlignment="1">
      <alignment horizontal="center" vertical="center"/>
    </xf>
    <xf numFmtId="4" fontId="25" fillId="0" borderId="20" xfId="1" applyNumberFormat="1" applyFont="1" applyFill="1" applyBorder="1" applyAlignment="1">
      <alignment horizontal="center" vertical="center" wrapText="1"/>
    </xf>
    <xf numFmtId="4" fontId="25" fillId="0" borderId="86" xfId="1" applyNumberFormat="1" applyFont="1" applyFill="1" applyBorder="1" applyAlignment="1">
      <alignment horizontal="center" vertical="center"/>
    </xf>
    <xf numFmtId="10" fontId="26" fillId="5" borderId="105" xfId="1" applyNumberFormat="1" applyFont="1" applyFill="1" applyBorder="1" applyAlignment="1">
      <alignment horizontal="center" vertical="center"/>
    </xf>
    <xf numFmtId="4" fontId="16" fillId="0" borderId="0" xfId="1" applyNumberFormat="1" applyFill="1" applyAlignment="1">
      <alignment horizontal="center" vertical="center"/>
    </xf>
    <xf numFmtId="3" fontId="24" fillId="11" borderId="8" xfId="1" applyNumberFormat="1" applyFont="1" applyFill="1" applyBorder="1" applyAlignment="1">
      <alignment horizontal="center" vertical="center"/>
    </xf>
    <xf numFmtId="10" fontId="26" fillId="0" borderId="76" xfId="1" applyNumberFormat="1" applyFont="1" applyFill="1" applyBorder="1" applyAlignment="1">
      <alignment horizontal="center" vertical="center"/>
    </xf>
    <xf numFmtId="0" fontId="27" fillId="0" borderId="76" xfId="1" applyNumberFormat="1" applyFont="1" applyFill="1" applyBorder="1" applyAlignment="1">
      <alignment horizontal="center" vertical="center"/>
    </xf>
    <xf numFmtId="4" fontId="24" fillId="8" borderId="84" xfId="1" applyNumberFormat="1" applyFont="1" applyFill="1" applyBorder="1" applyAlignment="1">
      <alignment horizontal="center" vertical="center"/>
    </xf>
    <xf numFmtId="4" fontId="25" fillId="0" borderId="79" xfId="1" applyNumberFormat="1" applyFont="1" applyFill="1" applyBorder="1" applyAlignment="1">
      <alignment horizontal="center" vertical="center" wrapText="1"/>
    </xf>
    <xf numFmtId="10" fontId="26" fillId="0" borderId="7" xfId="1" applyNumberFormat="1" applyFont="1" applyFill="1" applyBorder="1" applyAlignment="1">
      <alignment horizontal="center" vertical="center"/>
    </xf>
    <xf numFmtId="0" fontId="27" fillId="0" borderId="79" xfId="1" applyNumberFormat="1" applyFont="1" applyFill="1" applyBorder="1" applyAlignment="1">
      <alignment horizontal="center" vertical="center"/>
    </xf>
    <xf numFmtId="0" fontId="27" fillId="0" borderId="102" xfId="1" applyNumberFormat="1" applyFont="1" applyFill="1" applyBorder="1" applyAlignment="1">
      <alignment horizontal="center" vertical="center"/>
    </xf>
    <xf numFmtId="0" fontId="27" fillId="0" borderId="19" xfId="1" applyNumberFormat="1" applyFont="1" applyFill="1" applyBorder="1" applyAlignment="1">
      <alignment horizontal="center" vertical="center"/>
    </xf>
    <xf numFmtId="4" fontId="24" fillId="4" borderId="56" xfId="1" applyNumberFormat="1" applyFont="1" applyFill="1" applyBorder="1" applyAlignment="1">
      <alignment horizontal="center" vertical="center"/>
    </xf>
    <xf numFmtId="10" fontId="24" fillId="4" borderId="51" xfId="1" applyNumberFormat="1" applyFont="1" applyFill="1" applyBorder="1" applyAlignment="1">
      <alignment horizontal="center" vertical="center"/>
    </xf>
    <xf numFmtId="9" fontId="36" fillId="0" borderId="36" xfId="7" applyFont="1" applyFill="1" applyBorder="1" applyAlignment="1">
      <alignment horizontal="center" vertical="center"/>
    </xf>
    <xf numFmtId="4" fontId="25" fillId="8" borderId="20" xfId="1" applyNumberFormat="1" applyFont="1" applyFill="1" applyBorder="1" applyAlignment="1">
      <alignment horizontal="center" vertical="center"/>
    </xf>
    <xf numFmtId="10" fontId="27" fillId="0" borderId="104" xfId="1" applyNumberFormat="1" applyFont="1" applyFill="1" applyBorder="1" applyAlignment="1">
      <alignment horizontal="center" vertical="center"/>
    </xf>
    <xf numFmtId="4" fontId="66" fillId="4" borderId="79" xfId="1" applyNumberFormat="1" applyFont="1" applyFill="1" applyBorder="1" applyAlignment="1">
      <alignment horizontal="center" vertical="center"/>
    </xf>
    <xf numFmtId="4" fontId="25" fillId="0" borderId="58" xfId="1" applyNumberFormat="1" applyFont="1" applyFill="1" applyBorder="1" applyAlignment="1">
      <alignment horizontal="center" vertical="center" wrapText="1"/>
    </xf>
    <xf numFmtId="4" fontId="25" fillId="0" borderId="63" xfId="1" applyNumberFormat="1" applyFont="1" applyFill="1" applyBorder="1" applyAlignment="1">
      <alignment horizontal="center" vertical="center"/>
    </xf>
    <xf numFmtId="9" fontId="27" fillId="0" borderId="104" xfId="7" applyFont="1" applyFill="1" applyBorder="1" applyAlignment="1">
      <alignment horizontal="center" vertical="center"/>
    </xf>
    <xf numFmtId="10" fontId="66" fillId="4" borderId="51" xfId="1" applyNumberFormat="1" applyFont="1" applyFill="1" applyBorder="1" applyAlignment="1">
      <alignment horizontal="center" vertical="center"/>
    </xf>
    <xf numFmtId="9" fontId="36" fillId="0" borderId="6" xfId="7" applyFont="1" applyFill="1" applyBorder="1" applyAlignment="1">
      <alignment horizontal="center" vertical="center"/>
    </xf>
    <xf numFmtId="9" fontId="36" fillId="0" borderId="79" xfId="7" applyFont="1" applyFill="1" applyBorder="1" applyAlignment="1">
      <alignment horizontal="center" vertical="center"/>
    </xf>
    <xf numFmtId="3" fontId="25" fillId="0" borderId="36" xfId="1" applyNumberFormat="1" applyFont="1" applyFill="1" applyBorder="1" applyAlignment="1">
      <alignment horizontal="center" vertical="center"/>
    </xf>
    <xf numFmtId="4" fontId="19" fillId="0" borderId="20" xfId="1" applyNumberFormat="1" applyFont="1" applyFill="1" applyBorder="1" applyAlignment="1">
      <alignment horizontal="center" vertical="center"/>
    </xf>
    <xf numFmtId="10" fontId="24" fillId="4" borderId="56" xfId="1" applyNumberFormat="1" applyFont="1" applyFill="1" applyBorder="1" applyAlignment="1">
      <alignment horizontal="center" vertical="center"/>
    </xf>
    <xf numFmtId="9" fontId="25" fillId="0" borderId="77" xfId="7" applyFont="1" applyFill="1" applyBorder="1" applyAlignment="1">
      <alignment horizontal="center" vertical="center" wrapText="1"/>
    </xf>
    <xf numFmtId="10" fontId="24" fillId="4" borderId="1" xfId="1" applyNumberFormat="1" applyFont="1" applyFill="1" applyBorder="1" applyAlignment="1">
      <alignment horizontal="center" vertical="center"/>
    </xf>
    <xf numFmtId="9" fontId="36" fillId="7" borderId="51" xfId="7" applyFont="1" applyFill="1" applyBorder="1" applyAlignment="1">
      <alignment horizontal="center" vertical="center"/>
    </xf>
    <xf numFmtId="4" fontId="20" fillId="6" borderId="55" xfId="1" applyNumberFormat="1" applyFont="1" applyFill="1" applyBorder="1" applyAlignment="1">
      <alignment horizontal="center" vertical="center"/>
    </xf>
    <xf numFmtId="4" fontId="29" fillId="11" borderId="93" xfId="1" applyNumberFormat="1" applyFont="1" applyFill="1" applyBorder="1" applyAlignment="1">
      <alignment horizontal="center" vertical="center"/>
    </xf>
    <xf numFmtId="10" fontId="36" fillId="0" borderId="36" xfId="1" applyNumberFormat="1" applyFont="1" applyFill="1" applyBorder="1" applyAlignment="1">
      <alignment horizontal="center" vertical="center"/>
    </xf>
    <xf numFmtId="10" fontId="29" fillId="3" borderId="62" xfId="1" applyNumberFormat="1" applyFont="1" applyFill="1" applyBorder="1" applyAlignment="1">
      <alignment horizontal="center" vertical="center"/>
    </xf>
    <xf numFmtId="10" fontId="39" fillId="5" borderId="36" xfId="1" applyNumberFormat="1" applyFont="1" applyFill="1" applyBorder="1" applyAlignment="1">
      <alignment horizontal="center" vertical="center"/>
    </xf>
    <xf numFmtId="9" fontId="36" fillId="4" borderId="0" xfId="7" applyFont="1" applyFill="1" applyBorder="1" applyAlignment="1">
      <alignment horizontal="center" vertical="center"/>
    </xf>
    <xf numFmtId="10" fontId="39" fillId="0" borderId="36" xfId="1" applyNumberFormat="1" applyFont="1" applyFill="1" applyBorder="1" applyAlignment="1">
      <alignment horizontal="center" vertical="center"/>
    </xf>
    <xf numFmtId="4" fontId="29" fillId="6" borderId="55" xfId="1" applyNumberFormat="1" applyFont="1" applyFill="1" applyBorder="1" applyAlignment="1">
      <alignment horizontal="center" vertical="center"/>
    </xf>
    <xf numFmtId="4" fontId="29" fillId="4" borderId="90" xfId="1" applyNumberFormat="1" applyFont="1" applyFill="1" applyBorder="1" applyAlignment="1">
      <alignment horizontal="center" vertical="center"/>
    </xf>
    <xf numFmtId="10" fontId="36" fillId="0" borderId="77" xfId="1" applyNumberFormat="1" applyFont="1" applyFill="1" applyBorder="1" applyAlignment="1">
      <alignment horizontal="center" vertical="center"/>
    </xf>
    <xf numFmtId="4" fontId="38" fillId="6" borderId="93" xfId="1" applyNumberFormat="1" applyFont="1" applyFill="1" applyBorder="1" applyAlignment="1">
      <alignment horizontal="center" vertical="center"/>
    </xf>
    <xf numFmtId="10" fontId="29" fillId="3" borderId="90" xfId="1" applyNumberFormat="1" applyFont="1" applyFill="1" applyBorder="1" applyAlignment="1">
      <alignment horizontal="center" vertical="center"/>
    </xf>
    <xf numFmtId="10" fontId="39" fillId="0" borderId="79" xfId="1" applyNumberFormat="1" applyFont="1" applyFill="1" applyBorder="1" applyAlignment="1">
      <alignment horizontal="center" vertical="center"/>
    </xf>
    <xf numFmtId="10" fontId="36" fillId="0" borderId="6" xfId="1" applyNumberFormat="1" applyFont="1" applyFill="1" applyBorder="1" applyAlignment="1">
      <alignment horizontal="center" vertical="center"/>
    </xf>
    <xf numFmtId="9" fontId="36" fillId="4" borderId="62" xfId="7" applyFont="1" applyFill="1" applyBorder="1" applyAlignment="1">
      <alignment horizontal="center" vertical="center"/>
    </xf>
    <xf numFmtId="0" fontId="36" fillId="0" borderId="79" xfId="1" applyNumberFormat="1" applyFont="1" applyFill="1" applyBorder="1" applyAlignment="1">
      <alignment horizontal="center" vertical="center"/>
    </xf>
    <xf numFmtId="10" fontId="39" fillId="5" borderId="6" xfId="1" applyNumberFormat="1" applyFont="1" applyFill="1" applyBorder="1" applyAlignment="1">
      <alignment horizontal="center" vertical="center"/>
    </xf>
    <xf numFmtId="9" fontId="36" fillId="4" borderId="4" xfId="7" applyFont="1" applyFill="1" applyBorder="1" applyAlignment="1">
      <alignment horizontal="center" vertical="center"/>
    </xf>
    <xf numFmtId="9" fontId="36" fillId="4" borderId="36" xfId="7" applyFont="1" applyFill="1" applyBorder="1" applyAlignment="1">
      <alignment horizontal="center" vertical="center"/>
    </xf>
    <xf numFmtId="10" fontId="39" fillId="0" borderId="6" xfId="1" applyNumberFormat="1" applyFont="1" applyFill="1" applyBorder="1" applyAlignment="1">
      <alignment horizontal="center" vertical="center"/>
    </xf>
    <xf numFmtId="4" fontId="19" fillId="0" borderId="77" xfId="1" applyNumberFormat="1" applyFont="1" applyFill="1" applyBorder="1" applyAlignment="1">
      <alignment horizontal="center" vertical="center" wrapText="1"/>
    </xf>
    <xf numFmtId="4" fontId="25" fillId="0" borderId="12" xfId="1" applyNumberFormat="1" applyFont="1" applyFill="1" applyBorder="1" applyAlignment="1">
      <alignment horizontal="center" vertical="center" wrapText="1"/>
    </xf>
    <xf numFmtId="10" fontId="19" fillId="0" borderId="91" xfId="1" applyNumberFormat="1" applyFont="1" applyFill="1" applyBorder="1" applyAlignment="1">
      <alignment horizontal="center" vertical="center"/>
    </xf>
    <xf numFmtId="4" fontId="25" fillId="0" borderId="103" xfId="1" applyNumberFormat="1" applyFont="1" applyFill="1" applyBorder="1" applyAlignment="1">
      <alignment horizontal="center" vertical="center"/>
    </xf>
    <xf numFmtId="9" fontId="36" fillId="0" borderId="105" xfId="7" applyFont="1" applyFill="1" applyBorder="1" applyAlignment="1">
      <alignment horizontal="center" vertical="center"/>
    </xf>
    <xf numFmtId="9" fontId="27" fillId="0" borderId="101" xfId="7" applyFont="1" applyFill="1" applyBorder="1" applyAlignment="1">
      <alignment horizontal="center" vertical="center"/>
    </xf>
    <xf numFmtId="10" fontId="69" fillId="4" borderId="51" xfId="1" applyNumberFormat="1" applyFont="1" applyFill="1" applyBorder="1" applyAlignment="1">
      <alignment horizontal="center" vertical="center"/>
    </xf>
    <xf numFmtId="3" fontId="24" fillId="8" borderId="90" xfId="1" applyNumberFormat="1" applyFont="1" applyFill="1" applyBorder="1" applyAlignment="1">
      <alignment horizontal="center" vertical="center"/>
    </xf>
    <xf numFmtId="4" fontId="26" fillId="0" borderId="20" xfId="1" applyNumberFormat="1" applyFont="1" applyFill="1" applyBorder="1" applyAlignment="1">
      <alignment horizontal="center" vertical="center"/>
    </xf>
    <xf numFmtId="0" fontId="26" fillId="0" borderId="36" xfId="1" applyNumberFormat="1" applyFont="1" applyFill="1" applyBorder="1" applyAlignment="1">
      <alignment horizontal="center" vertical="center"/>
    </xf>
    <xf numFmtId="4" fontId="66" fillId="6" borderId="63" xfId="1" applyNumberFormat="1" applyFont="1" applyFill="1" applyBorder="1" applyAlignment="1">
      <alignment horizontal="center" vertical="center"/>
    </xf>
    <xf numFmtId="4" fontId="66" fillId="4" borderId="56" xfId="1" applyNumberFormat="1" applyFont="1" applyFill="1" applyBorder="1" applyAlignment="1">
      <alignment horizontal="center" vertical="center"/>
    </xf>
    <xf numFmtId="4" fontId="25" fillId="8" borderId="36" xfId="1" applyNumberFormat="1" applyFont="1" applyFill="1" applyBorder="1" applyAlignment="1">
      <alignment horizontal="center" vertical="center"/>
    </xf>
    <xf numFmtId="166" fontId="26" fillId="0" borderId="20" xfId="6" applyFont="1" applyFill="1" applyBorder="1" applyAlignment="1">
      <alignment horizontal="center" vertical="center"/>
    </xf>
    <xf numFmtId="4" fontId="25" fillId="0" borderId="8" xfId="1" applyNumberFormat="1" applyFont="1" applyFill="1" applyBorder="1" applyAlignment="1">
      <alignment horizontal="center" vertical="center"/>
    </xf>
    <xf numFmtId="4" fontId="25" fillId="0" borderId="4" xfId="1" applyNumberFormat="1" applyFont="1" applyFill="1" applyBorder="1" applyAlignment="1">
      <alignment horizontal="center" vertical="center"/>
    </xf>
    <xf numFmtId="9" fontId="36" fillId="0" borderId="19" xfId="7" applyFont="1" applyFill="1" applyBorder="1" applyAlignment="1">
      <alignment horizontal="center" vertical="center"/>
    </xf>
    <xf numFmtId="4" fontId="25" fillId="0" borderId="5" xfId="1" applyNumberFormat="1" applyFont="1" applyFill="1" applyBorder="1" applyAlignment="1">
      <alignment horizontal="center" vertical="center" wrapText="1"/>
    </xf>
    <xf numFmtId="0" fontId="27" fillId="0" borderId="63" xfId="1" applyNumberFormat="1" applyFont="1" applyFill="1" applyBorder="1" applyAlignment="1">
      <alignment horizontal="center" vertical="center"/>
    </xf>
    <xf numFmtId="0" fontId="42" fillId="12" borderId="1" xfId="1" applyFont="1" applyFill="1" applyBorder="1" applyAlignment="1">
      <alignment horizontal="center" vertical="center" wrapText="1"/>
    </xf>
    <xf numFmtId="4" fontId="25" fillId="0" borderId="80" xfId="1" applyNumberFormat="1" applyFont="1" applyFill="1" applyBorder="1" applyAlignment="1">
      <alignment horizontal="center" vertical="center"/>
    </xf>
    <xf numFmtId="10" fontId="19" fillId="0" borderId="20" xfId="1" applyNumberFormat="1" applyFont="1" applyFill="1" applyBorder="1" applyAlignment="1">
      <alignment horizontal="center" vertical="center"/>
    </xf>
    <xf numFmtId="0" fontId="68" fillId="0" borderId="77" xfId="1" applyNumberFormat="1" applyFont="1" applyFill="1" applyBorder="1" applyAlignment="1">
      <alignment horizontal="center" vertical="center"/>
    </xf>
    <xf numFmtId="4" fontId="25" fillId="0" borderId="77" xfId="1" applyNumberFormat="1" applyFont="1" applyFill="1" applyBorder="1" applyAlignment="1">
      <alignment horizontal="left" vertical="center"/>
    </xf>
    <xf numFmtId="4" fontId="19" fillId="0" borderId="104" xfId="1" applyNumberFormat="1" applyFont="1" applyFill="1" applyBorder="1" applyAlignment="1">
      <alignment horizontal="center" vertical="center"/>
    </xf>
    <xf numFmtId="4" fontId="25" fillId="8" borderId="77" xfId="1" applyNumberFormat="1" applyFont="1" applyFill="1" applyBorder="1" applyAlignment="1">
      <alignment horizontal="center" vertical="center"/>
    </xf>
    <xf numFmtId="4" fontId="88" fillId="0" borderId="77" xfId="1" applyNumberFormat="1" applyFont="1" applyFill="1" applyBorder="1" applyAlignment="1">
      <alignment horizontal="center" vertical="center"/>
    </xf>
    <xf numFmtId="3" fontId="88" fillId="0" borderId="77" xfId="1" applyNumberFormat="1" applyFont="1" applyFill="1" applyBorder="1" applyAlignment="1">
      <alignment horizontal="center" vertical="center"/>
    </xf>
    <xf numFmtId="4" fontId="88" fillId="0" borderId="77" xfId="1" applyNumberFormat="1" applyFont="1" applyFill="1" applyBorder="1" applyAlignment="1">
      <alignment horizontal="center" vertical="center" wrapText="1"/>
    </xf>
    <xf numFmtId="10" fontId="24" fillId="3" borderId="80" xfId="1" applyNumberFormat="1" applyFont="1" applyFill="1" applyBorder="1" applyAlignment="1">
      <alignment horizontal="center" vertical="center"/>
    </xf>
    <xf numFmtId="10" fontId="24" fillId="3" borderId="79" xfId="1" applyNumberFormat="1" applyFont="1" applyFill="1" applyBorder="1" applyAlignment="1">
      <alignment horizontal="center" vertical="center"/>
    </xf>
    <xf numFmtId="9" fontId="36" fillId="25" borderId="77" xfId="7" applyFont="1" applyFill="1" applyBorder="1" applyAlignment="1">
      <alignment horizontal="center" vertical="center"/>
    </xf>
    <xf numFmtId="4" fontId="88" fillId="0" borderId="104" xfId="1" applyNumberFormat="1" applyFont="1" applyFill="1" applyBorder="1" applyAlignment="1">
      <alignment horizontal="center" vertical="center" wrapText="1"/>
    </xf>
    <xf numFmtId="3" fontId="88" fillId="0" borderId="79" xfId="1" applyNumberFormat="1" applyFont="1" applyFill="1" applyBorder="1" applyAlignment="1">
      <alignment horizontal="center" vertical="center"/>
    </xf>
    <xf numFmtId="9" fontId="36" fillId="0" borderId="86" xfId="7" applyFont="1" applyFill="1" applyBorder="1" applyAlignment="1">
      <alignment horizontal="center" vertical="center"/>
    </xf>
    <xf numFmtId="3" fontId="19" fillId="0" borderId="58" xfId="1" applyNumberFormat="1" applyFont="1" applyFill="1" applyBorder="1" applyAlignment="1">
      <alignment horizontal="center" vertical="center"/>
    </xf>
    <xf numFmtId="4" fontId="108" fillId="0" borderId="77" xfId="1" applyNumberFormat="1" applyFont="1" applyFill="1" applyBorder="1" applyAlignment="1">
      <alignment horizontal="center" vertical="center" wrapText="1"/>
    </xf>
    <xf numFmtId="4" fontId="108" fillId="0" borderId="79" xfId="1" applyNumberFormat="1" applyFont="1" applyFill="1" applyBorder="1" applyAlignment="1">
      <alignment horizontal="center" vertical="center"/>
    </xf>
    <xf numFmtId="4" fontId="108" fillId="0" borderId="77" xfId="1" applyNumberFormat="1" applyFont="1" applyFill="1" applyBorder="1" applyAlignment="1">
      <alignment horizontal="center" vertical="center"/>
    </xf>
    <xf numFmtId="3" fontId="19" fillId="0" borderId="79" xfId="6" applyNumberFormat="1" applyFont="1" applyFill="1" applyBorder="1" applyAlignment="1">
      <alignment horizontal="center" vertical="center"/>
    </xf>
    <xf numFmtId="10" fontId="19" fillId="0" borderId="100" xfId="1" applyNumberFormat="1" applyFont="1" applyFill="1" applyBorder="1" applyAlignment="1">
      <alignment horizontal="center" vertical="center"/>
    </xf>
    <xf numFmtId="0" fontId="111" fillId="12" borderId="55" xfId="1" applyFont="1" applyFill="1" applyBorder="1" applyAlignment="1">
      <alignment horizontal="center" vertical="center" wrapText="1"/>
    </xf>
    <xf numFmtId="0" fontId="111" fillId="12" borderId="56" xfId="1" applyFont="1" applyFill="1" applyBorder="1" applyAlignment="1">
      <alignment horizontal="center" vertical="center" wrapText="1"/>
    </xf>
    <xf numFmtId="0" fontId="113" fillId="12" borderId="56" xfId="1" applyFont="1" applyFill="1" applyBorder="1" applyAlignment="1">
      <alignment horizontal="center" vertical="center" wrapText="1"/>
    </xf>
    <xf numFmtId="4" fontId="103" fillId="11" borderId="56" xfId="1" applyNumberFormat="1" applyFont="1" applyFill="1" applyBorder="1" applyAlignment="1">
      <alignment horizontal="center" vertical="center"/>
    </xf>
    <xf numFmtId="4" fontId="103" fillId="11" borderId="51" xfId="1" applyNumberFormat="1" applyFont="1" applyFill="1" applyBorder="1" applyAlignment="1">
      <alignment horizontal="center" vertical="center"/>
    </xf>
    <xf numFmtId="4" fontId="19" fillId="0" borderId="79" xfId="1" applyNumberFormat="1" applyFont="1" applyFill="1" applyBorder="1" applyAlignment="1">
      <alignment horizontal="center" vertical="center"/>
    </xf>
    <xf numFmtId="3" fontId="103" fillId="11" borderId="55" xfId="1" applyNumberFormat="1" applyFont="1" applyFill="1" applyBorder="1" applyAlignment="1">
      <alignment horizontal="center" vertical="center"/>
    </xf>
    <xf numFmtId="3" fontId="103" fillId="11" borderId="56" xfId="1" applyNumberFormat="1" applyFont="1" applyFill="1" applyBorder="1" applyAlignment="1">
      <alignment horizontal="center" vertical="center"/>
    </xf>
    <xf numFmtId="9" fontId="40" fillId="11" borderId="51" xfId="7" applyFont="1" applyFill="1" applyBorder="1" applyAlignment="1">
      <alignment horizontal="center" vertical="center"/>
    </xf>
    <xf numFmtId="3" fontId="19" fillId="0" borderId="77" xfId="1" applyNumberFormat="1" applyFont="1" applyFill="1" applyBorder="1" applyAlignment="1">
      <alignment horizontal="center" vertical="center"/>
    </xf>
    <xf numFmtId="9" fontId="40" fillId="0" borderId="100" xfId="7" applyFont="1" applyFill="1" applyBorder="1" applyAlignment="1">
      <alignment horizontal="center" vertical="center"/>
    </xf>
    <xf numFmtId="4" fontId="19" fillId="0" borderId="7" xfId="1" applyNumberFormat="1" applyFont="1" applyFill="1" applyBorder="1" applyAlignment="1">
      <alignment horizontal="center" vertical="center"/>
    </xf>
    <xf numFmtId="3" fontId="19" fillId="0" borderId="20" xfId="1" applyNumberFormat="1" applyFont="1" applyFill="1" applyBorder="1" applyAlignment="1">
      <alignment horizontal="center" vertical="center"/>
    </xf>
    <xf numFmtId="9" fontId="40" fillId="0" borderId="91" xfId="7" applyFont="1" applyFill="1" applyBorder="1" applyAlignment="1">
      <alignment horizontal="center" vertical="center"/>
    </xf>
    <xf numFmtId="10" fontId="19" fillId="0" borderId="77" xfId="1" applyNumberFormat="1" applyFont="1" applyFill="1" applyBorder="1" applyAlignment="1">
      <alignment horizontal="center" vertical="center"/>
    </xf>
    <xf numFmtId="9" fontId="40" fillId="0" borderId="77" xfId="7" applyFont="1" applyFill="1" applyBorder="1" applyAlignment="1">
      <alignment horizontal="center" vertical="center"/>
    </xf>
    <xf numFmtId="4" fontId="103" fillId="11" borderId="93" xfId="1" applyNumberFormat="1" applyFont="1" applyFill="1" applyBorder="1" applyAlignment="1">
      <alignment horizontal="center" vertical="center"/>
    </xf>
    <xf numFmtId="4" fontId="103" fillId="11" borderId="101" xfId="1" applyNumberFormat="1" applyFont="1" applyFill="1" applyBorder="1" applyAlignment="1">
      <alignment horizontal="center" vertical="center"/>
    </xf>
    <xf numFmtId="0" fontId="19" fillId="0" borderId="100" xfId="1" applyNumberFormat="1" applyFont="1" applyFill="1" applyBorder="1" applyAlignment="1">
      <alignment horizontal="center" vertical="center"/>
    </xf>
    <xf numFmtId="4" fontId="91" fillId="6" borderId="56" xfId="1" applyNumberFormat="1" applyFont="1" applyFill="1" applyBorder="1" applyAlignment="1">
      <alignment horizontal="center" vertical="center"/>
    </xf>
    <xf numFmtId="10" fontId="103" fillId="3" borderId="62" xfId="1" applyNumberFormat="1" applyFont="1" applyFill="1" applyBorder="1" applyAlignment="1">
      <alignment horizontal="center" vertical="center"/>
    </xf>
    <xf numFmtId="10" fontId="103" fillId="3" borderId="63" xfId="1" applyNumberFormat="1" applyFont="1" applyFill="1" applyBorder="1" applyAlignment="1">
      <alignment horizontal="center" vertical="center"/>
    </xf>
    <xf numFmtId="10" fontId="24" fillId="0" borderId="105" xfId="1" applyNumberFormat="1" applyFont="1" applyFill="1" applyBorder="1" applyAlignment="1">
      <alignment horizontal="center" vertical="center"/>
    </xf>
    <xf numFmtId="10" fontId="103" fillId="0" borderId="91" xfId="1" applyNumberFormat="1" applyFont="1" applyFill="1" applyBorder="1" applyAlignment="1">
      <alignment horizontal="center" vertical="center"/>
    </xf>
    <xf numFmtId="3" fontId="103" fillId="4" borderId="80" xfId="1" applyNumberFormat="1" applyFont="1" applyFill="1" applyBorder="1" applyAlignment="1">
      <alignment horizontal="center" vertical="center"/>
    </xf>
    <xf numFmtId="3" fontId="103" fillId="4" borderId="79" xfId="1" applyNumberFormat="1" applyFont="1" applyFill="1" applyBorder="1" applyAlignment="1">
      <alignment horizontal="center" vertical="center"/>
    </xf>
    <xf numFmtId="9" fontId="40" fillId="4" borderId="100" xfId="7" applyFont="1" applyFill="1" applyBorder="1" applyAlignment="1">
      <alignment horizontal="center" vertical="center"/>
    </xf>
    <xf numFmtId="4" fontId="103" fillId="4" borderId="63" xfId="1" applyNumberFormat="1" applyFont="1" applyFill="1" applyBorder="1" applyAlignment="1">
      <alignment horizontal="center" vertical="center"/>
    </xf>
    <xf numFmtId="3" fontId="103" fillId="4" borderId="62" xfId="1" applyNumberFormat="1" applyFont="1" applyFill="1" applyBorder="1" applyAlignment="1">
      <alignment horizontal="center" vertical="center"/>
    </xf>
    <xf numFmtId="4" fontId="114" fillId="4" borderId="63" xfId="1" applyNumberFormat="1" applyFont="1" applyFill="1" applyBorder="1" applyAlignment="1">
      <alignment horizontal="center" vertical="center"/>
    </xf>
    <xf numFmtId="10" fontId="19" fillId="5" borderId="91" xfId="1" applyNumberFormat="1" applyFont="1" applyFill="1" applyBorder="1" applyAlignment="1">
      <alignment horizontal="center" vertical="center"/>
    </xf>
    <xf numFmtId="3" fontId="19" fillId="0" borderId="79" xfId="1" applyNumberFormat="1" applyFont="1" applyFill="1" applyBorder="1" applyAlignment="1">
      <alignment horizontal="center" vertical="center"/>
    </xf>
    <xf numFmtId="3" fontId="19" fillId="0" borderId="7" xfId="6" applyNumberFormat="1" applyFont="1" applyFill="1" applyBorder="1" applyAlignment="1">
      <alignment horizontal="center" vertical="center"/>
    </xf>
    <xf numFmtId="3" fontId="103" fillId="4" borderId="55" xfId="1" applyNumberFormat="1" applyFont="1" applyFill="1" applyBorder="1" applyAlignment="1">
      <alignment horizontal="center" vertical="center"/>
    </xf>
    <xf numFmtId="4" fontId="103" fillId="4" borderId="56" xfId="1" applyNumberFormat="1" applyFont="1" applyFill="1" applyBorder="1" applyAlignment="1">
      <alignment horizontal="center" vertical="center"/>
    </xf>
    <xf numFmtId="10" fontId="103" fillId="4" borderId="51" xfId="1" applyNumberFormat="1" applyFont="1" applyFill="1" applyBorder="1" applyAlignment="1">
      <alignment horizontal="center" vertical="center"/>
    </xf>
    <xf numFmtId="10" fontId="114" fillId="4" borderId="51" xfId="1" applyNumberFormat="1" applyFont="1" applyFill="1" applyBorder="1" applyAlignment="1">
      <alignment horizontal="center" vertical="center"/>
    </xf>
    <xf numFmtId="4" fontId="103" fillId="6" borderId="55" xfId="1" applyNumberFormat="1" applyFont="1" applyFill="1" applyBorder="1" applyAlignment="1">
      <alignment horizontal="center" vertical="center"/>
    </xf>
    <xf numFmtId="3" fontId="103" fillId="6" borderId="56" xfId="1" applyNumberFormat="1" applyFont="1" applyFill="1" applyBorder="1" applyAlignment="1">
      <alignment horizontal="center" vertical="center"/>
    </xf>
    <xf numFmtId="4" fontId="103" fillId="6" borderId="56" xfId="1" applyNumberFormat="1" applyFont="1" applyFill="1" applyBorder="1" applyAlignment="1">
      <alignment horizontal="center" vertical="center"/>
    </xf>
    <xf numFmtId="4" fontId="114" fillId="6" borderId="56" xfId="1" applyNumberFormat="1" applyFont="1" applyFill="1" applyBorder="1" applyAlignment="1">
      <alignment horizontal="center" vertical="center"/>
    </xf>
    <xf numFmtId="10" fontId="114" fillId="3" borderId="63" xfId="1" applyNumberFormat="1" applyFont="1" applyFill="1" applyBorder="1" applyAlignment="1">
      <alignment horizontal="center" vertical="center"/>
    </xf>
    <xf numFmtId="3" fontId="103" fillId="4" borderId="90" xfId="1" applyNumberFormat="1" applyFont="1" applyFill="1" applyBorder="1" applyAlignment="1">
      <alignment horizontal="center" vertical="center"/>
    </xf>
    <xf numFmtId="10" fontId="19" fillId="0" borderId="58" xfId="1" applyNumberFormat="1" applyFont="1" applyFill="1" applyBorder="1" applyAlignment="1">
      <alignment horizontal="center" vertical="center"/>
    </xf>
    <xf numFmtId="10" fontId="67" fillId="0" borderId="58" xfId="1" applyNumberFormat="1" applyFont="1" applyFill="1" applyBorder="1" applyAlignment="1">
      <alignment horizontal="center" vertical="center"/>
    </xf>
    <xf numFmtId="0" fontId="19" fillId="0" borderId="77" xfId="1" applyNumberFormat="1" applyFont="1" applyFill="1" applyBorder="1" applyAlignment="1">
      <alignment horizontal="center" vertical="center"/>
    </xf>
    <xf numFmtId="0" fontId="67" fillId="0" borderId="77" xfId="1" applyNumberFormat="1" applyFont="1" applyFill="1" applyBorder="1" applyAlignment="1">
      <alignment horizontal="center" vertical="center"/>
    </xf>
    <xf numFmtId="3" fontId="103" fillId="6" borderId="93" xfId="1" applyNumberFormat="1" applyFont="1" applyFill="1" applyBorder="1" applyAlignment="1">
      <alignment horizontal="center" vertical="center"/>
    </xf>
    <xf numFmtId="3" fontId="103" fillId="6" borderId="101" xfId="1" applyNumberFormat="1" applyFont="1" applyFill="1" applyBorder="1" applyAlignment="1">
      <alignment horizontal="center" vertical="center"/>
    </xf>
    <xf numFmtId="4" fontId="103" fillId="6" borderId="101" xfId="1" applyNumberFormat="1" applyFont="1" applyFill="1" applyBorder="1" applyAlignment="1">
      <alignment horizontal="center" vertical="center"/>
    </xf>
    <xf numFmtId="9" fontId="103" fillId="3" borderId="90" xfId="7" applyFont="1" applyFill="1" applyBorder="1" applyAlignment="1">
      <alignment horizontal="center" vertical="center"/>
    </xf>
    <xf numFmtId="3" fontId="103" fillId="3" borderId="90" xfId="1" applyNumberFormat="1" applyFont="1" applyFill="1" applyBorder="1" applyAlignment="1">
      <alignment horizontal="center" vertical="center"/>
    </xf>
    <xf numFmtId="3" fontId="70" fillId="12" borderId="0" xfId="6" applyNumberFormat="1" applyFont="1" applyFill="1" applyAlignment="1">
      <alignment horizontal="center" vertical="center"/>
    </xf>
    <xf numFmtId="4" fontId="19" fillId="0" borderId="58" xfId="1" applyNumberFormat="1" applyFont="1" applyFill="1" applyBorder="1" applyAlignment="1">
      <alignment horizontal="center" vertical="center"/>
    </xf>
    <xf numFmtId="9" fontId="40" fillId="0" borderId="58" xfId="7" applyFont="1" applyFill="1" applyBorder="1" applyAlignment="1">
      <alignment horizontal="center" vertical="center"/>
    </xf>
    <xf numFmtId="10" fontId="27" fillId="0" borderId="105" xfId="1" applyNumberFormat="1" applyFont="1" applyFill="1" applyBorder="1" applyAlignment="1">
      <alignment horizontal="center" vertical="center"/>
    </xf>
    <xf numFmtId="4" fontId="19" fillId="0" borderId="6" xfId="1" applyNumberFormat="1" applyFont="1" applyFill="1" applyBorder="1" applyAlignment="1">
      <alignment horizontal="center" vertical="center"/>
    </xf>
    <xf numFmtId="4" fontId="19" fillId="0" borderId="36" xfId="1" applyNumberFormat="1" applyFont="1" applyFill="1" applyBorder="1" applyAlignment="1">
      <alignment horizontal="center" vertical="center"/>
    </xf>
    <xf numFmtId="3" fontId="19" fillId="0" borderId="6" xfId="6" applyNumberFormat="1" applyFont="1" applyFill="1" applyBorder="1" applyAlignment="1">
      <alignment horizontal="center" vertical="center"/>
    </xf>
    <xf numFmtId="9" fontId="40" fillId="0" borderId="104" xfId="7" applyFont="1" applyFill="1" applyBorder="1" applyAlignment="1">
      <alignment horizontal="center" vertical="center"/>
    </xf>
    <xf numFmtId="9" fontId="40" fillId="0" borderId="20" xfId="7" applyFont="1" applyFill="1" applyBorder="1" applyAlignment="1">
      <alignment horizontal="center" vertical="center"/>
    </xf>
    <xf numFmtId="4" fontId="19" fillId="0" borderId="20" xfId="1" applyNumberFormat="1" applyFont="1" applyFill="1" applyBorder="1" applyAlignment="1">
      <alignment horizontal="center" vertical="center" wrapText="1"/>
    </xf>
    <xf numFmtId="9" fontId="19" fillId="0" borderId="104" xfId="7" applyFont="1" applyFill="1" applyBorder="1" applyAlignment="1">
      <alignment horizontal="center" vertical="center"/>
    </xf>
    <xf numFmtId="9" fontId="99" fillId="0" borderId="100" xfId="7" applyFont="1" applyFill="1" applyBorder="1" applyAlignment="1">
      <alignment horizontal="center" vertical="center"/>
    </xf>
    <xf numFmtId="4" fontId="19" fillId="8" borderId="77" xfId="1" applyNumberFormat="1" applyFont="1" applyFill="1" applyBorder="1" applyAlignment="1">
      <alignment horizontal="center" vertical="center"/>
    </xf>
    <xf numFmtId="4" fontId="19" fillId="8" borderId="36" xfId="1" applyNumberFormat="1" applyFont="1" applyFill="1" applyBorder="1" applyAlignment="1">
      <alignment horizontal="center" vertical="center"/>
    </xf>
    <xf numFmtId="3" fontId="19" fillId="0" borderId="36" xfId="1" applyNumberFormat="1" applyFont="1" applyFill="1" applyBorder="1" applyAlignment="1">
      <alignment horizontal="center" vertical="center"/>
    </xf>
    <xf numFmtId="4" fontId="19" fillId="0" borderId="36" xfId="1" applyNumberFormat="1" applyFont="1" applyFill="1" applyBorder="1" applyAlignment="1">
      <alignment horizontal="center" vertical="center" wrapText="1"/>
    </xf>
    <xf numFmtId="9" fontId="40" fillId="11" borderId="100" xfId="7" applyFont="1" applyFill="1" applyBorder="1" applyAlignment="1">
      <alignment horizontal="center" vertical="center"/>
    </xf>
    <xf numFmtId="10" fontId="19" fillId="0" borderId="104" xfId="1" applyNumberFormat="1" applyFont="1" applyFill="1" applyBorder="1" applyAlignment="1">
      <alignment horizontal="center" vertical="center"/>
    </xf>
    <xf numFmtId="9" fontId="40" fillId="7" borderId="51" xfId="7" applyFont="1" applyFill="1" applyBorder="1" applyAlignment="1">
      <alignment horizontal="center" vertical="center"/>
    </xf>
    <xf numFmtId="10" fontId="103" fillId="3" borderId="80" xfId="1" applyNumberFormat="1" applyFont="1" applyFill="1" applyBorder="1" applyAlignment="1">
      <alignment horizontal="center" vertical="center"/>
    </xf>
    <xf numFmtId="10" fontId="103" fillId="3" borderId="79" xfId="1" applyNumberFormat="1" applyFont="1" applyFill="1" applyBorder="1" applyAlignment="1">
      <alignment horizontal="center" vertical="center"/>
    </xf>
    <xf numFmtId="9" fontId="40" fillId="25" borderId="77" xfId="7" applyFont="1" applyFill="1" applyBorder="1" applyAlignment="1">
      <alignment horizontal="center" vertical="center"/>
    </xf>
    <xf numFmtId="4" fontId="19" fillId="8" borderId="20" xfId="1" applyNumberFormat="1" applyFont="1" applyFill="1" applyBorder="1" applyAlignment="1">
      <alignment horizontal="center" vertical="center"/>
    </xf>
    <xf numFmtId="9" fontId="40" fillId="4" borderId="77" xfId="7" applyFont="1" applyFill="1" applyBorder="1" applyAlignment="1">
      <alignment horizontal="center" vertical="center"/>
    </xf>
    <xf numFmtId="4" fontId="103" fillId="4" borderId="79" xfId="1" applyNumberFormat="1" applyFont="1" applyFill="1" applyBorder="1" applyAlignment="1">
      <alignment horizontal="center" vertical="center"/>
    </xf>
    <xf numFmtId="0" fontId="19" fillId="0" borderId="58" xfId="1" applyNumberFormat="1" applyFont="1" applyFill="1" applyBorder="1" applyAlignment="1">
      <alignment horizontal="center" vertical="center"/>
    </xf>
    <xf numFmtId="3" fontId="103" fillId="8" borderId="90" xfId="1" applyNumberFormat="1" applyFont="1" applyFill="1" applyBorder="1" applyAlignment="1">
      <alignment horizontal="center" vertical="center"/>
    </xf>
    <xf numFmtId="4" fontId="25" fillId="0" borderId="103" xfId="1" applyNumberFormat="1" applyFont="1" applyFill="1" applyBorder="1" applyAlignment="1">
      <alignment horizontal="center" vertical="center" wrapText="1"/>
    </xf>
    <xf numFmtId="9" fontId="36" fillId="0" borderId="95" xfId="7" applyFont="1" applyFill="1" applyBorder="1" applyAlignment="1">
      <alignment horizontal="center" vertical="center"/>
    </xf>
    <xf numFmtId="9" fontId="99" fillId="0" borderId="102" xfId="7" applyFont="1" applyFill="1" applyBorder="1" applyAlignment="1">
      <alignment horizontal="center" vertical="center"/>
    </xf>
    <xf numFmtId="4" fontId="88" fillId="0" borderId="103" xfId="1" applyNumberFormat="1" applyFont="1" applyFill="1" applyBorder="1" applyAlignment="1">
      <alignment horizontal="center" vertical="center" wrapText="1"/>
    </xf>
    <xf numFmtId="9" fontId="99" fillId="0" borderId="97" xfId="7" applyFont="1" applyFill="1" applyBorder="1" applyAlignment="1">
      <alignment horizontal="center" vertical="center"/>
    </xf>
    <xf numFmtId="9" fontId="99" fillId="0" borderId="95" xfId="7" applyFont="1" applyFill="1" applyBorder="1" applyAlignment="1">
      <alignment horizontal="center" vertical="center"/>
    </xf>
    <xf numFmtId="4" fontId="25" fillId="0" borderId="101" xfId="1" applyNumberFormat="1" applyFont="1" applyFill="1" applyBorder="1" applyAlignment="1">
      <alignment horizontal="center" vertical="center" wrapText="1"/>
    </xf>
    <xf numFmtId="9" fontId="36" fillId="0" borderId="99" xfId="7" applyFont="1" applyFill="1" applyBorder="1" applyAlignment="1">
      <alignment horizontal="center" vertical="center"/>
    </xf>
    <xf numFmtId="9" fontId="36" fillId="4" borderId="102" xfId="7" applyFont="1" applyFill="1" applyBorder="1" applyAlignment="1">
      <alignment horizontal="center" vertical="center"/>
    </xf>
    <xf numFmtId="9" fontId="27" fillId="0" borderId="103" xfId="7" applyFont="1" applyFill="1" applyBorder="1" applyAlignment="1">
      <alignment horizontal="center" vertical="center"/>
    </xf>
    <xf numFmtId="4" fontId="115" fillId="0" borderId="0" xfId="1" applyNumberFormat="1" applyFont="1" applyAlignment="1">
      <alignment horizontal="center" vertical="center"/>
    </xf>
    <xf numFmtId="4" fontId="116" fillId="0" borderId="0" xfId="1" applyNumberFormat="1" applyFont="1" applyAlignment="1">
      <alignment horizontal="center" vertical="center"/>
    </xf>
    <xf numFmtId="3" fontId="26" fillId="0" borderId="79" xfId="6" applyNumberFormat="1" applyFont="1" applyFill="1" applyBorder="1" applyAlignment="1">
      <alignment horizontal="center" vertical="center"/>
    </xf>
    <xf numFmtId="9" fontId="98" fillId="0" borderId="79" xfId="7" applyFont="1" applyFill="1" applyBorder="1" applyAlignment="1">
      <alignment horizontal="center" vertical="center"/>
    </xf>
    <xf numFmtId="9" fontId="98" fillId="0" borderId="79" xfId="7" applyFont="1" applyFill="1" applyBorder="1" applyAlignment="1">
      <alignment horizontal="center" vertical="center" wrapText="1"/>
    </xf>
    <xf numFmtId="9" fontId="98" fillId="0" borderId="7" xfId="7" applyFont="1" applyFill="1" applyBorder="1" applyAlignment="1">
      <alignment horizontal="center" vertical="center"/>
    </xf>
    <xf numFmtId="9" fontId="98" fillId="0" borderId="63" xfId="7" applyFont="1" applyFill="1" applyBorder="1" applyAlignment="1">
      <alignment horizontal="center" vertical="center"/>
    </xf>
    <xf numFmtId="166" fontId="27" fillId="0" borderId="79" xfId="6" applyFont="1" applyFill="1" applyBorder="1" applyAlignment="1">
      <alignment horizontal="center" vertical="center" wrapText="1"/>
    </xf>
    <xf numFmtId="9" fontId="27" fillId="0" borderId="7" xfId="7" applyFont="1" applyFill="1" applyBorder="1" applyAlignment="1">
      <alignment horizontal="center" vertical="center"/>
    </xf>
    <xf numFmtId="9" fontId="118" fillId="0" borderId="79" xfId="7" applyFont="1" applyFill="1" applyBorder="1" applyAlignment="1">
      <alignment horizontal="center" vertical="center" wrapText="1"/>
    </xf>
    <xf numFmtId="4" fontId="19" fillId="9" borderId="79" xfId="1" applyNumberFormat="1" applyFont="1" applyFill="1" applyBorder="1" applyAlignment="1">
      <alignment horizontal="center" vertical="center"/>
    </xf>
    <xf numFmtId="4" fontId="19" fillId="9" borderId="77" xfId="1" applyNumberFormat="1" applyFont="1" applyFill="1" applyBorder="1" applyAlignment="1">
      <alignment horizontal="center" vertical="center" wrapText="1"/>
    </xf>
    <xf numFmtId="4" fontId="25" fillId="9" borderId="79" xfId="1" applyNumberFormat="1" applyFont="1" applyFill="1" applyBorder="1" applyAlignment="1">
      <alignment horizontal="center" vertical="center"/>
    </xf>
    <xf numFmtId="3" fontId="27" fillId="9" borderId="79" xfId="6" applyNumberFormat="1" applyFont="1" applyFill="1" applyBorder="1" applyAlignment="1">
      <alignment horizontal="center" vertical="center"/>
    </xf>
    <xf numFmtId="4" fontId="25" fillId="9" borderId="77" xfId="1" applyNumberFormat="1" applyFont="1" applyFill="1" applyBorder="1" applyAlignment="1">
      <alignment horizontal="center" vertical="center" wrapText="1"/>
    </xf>
    <xf numFmtId="4" fontId="25" fillId="9" borderId="77" xfId="1" applyNumberFormat="1" applyFont="1" applyFill="1" applyBorder="1" applyAlignment="1">
      <alignment horizontal="center" vertical="center"/>
    </xf>
    <xf numFmtId="3" fontId="25" fillId="9" borderId="77" xfId="1" applyNumberFormat="1" applyFont="1" applyFill="1" applyBorder="1" applyAlignment="1">
      <alignment horizontal="center" vertical="center"/>
    </xf>
    <xf numFmtId="10" fontId="68" fillId="0" borderId="91" xfId="1" applyNumberFormat="1" applyFont="1" applyFill="1" applyBorder="1" applyAlignment="1">
      <alignment horizontal="center" vertical="center"/>
    </xf>
    <xf numFmtId="10" fontId="67" fillId="0" borderId="91" xfId="1" applyNumberFormat="1" applyFont="1" applyFill="1" applyBorder="1" applyAlignment="1">
      <alignment horizontal="center" vertical="center"/>
    </xf>
    <xf numFmtId="10" fontId="68" fillId="5" borderId="91" xfId="1" applyNumberFormat="1" applyFont="1" applyFill="1" applyBorder="1" applyAlignment="1">
      <alignment horizontal="center" vertical="center"/>
    </xf>
    <xf numFmtId="10" fontId="67" fillId="5" borderId="91" xfId="1" applyNumberFormat="1" applyFont="1" applyFill="1" applyBorder="1" applyAlignment="1">
      <alignment horizontal="center" vertical="center"/>
    </xf>
    <xf numFmtId="9" fontId="36" fillId="0" borderId="107" xfId="7" applyFont="1" applyFill="1" applyBorder="1" applyAlignment="1">
      <alignment horizontal="center" vertical="center"/>
    </xf>
    <xf numFmtId="9" fontId="40" fillId="0" borderId="107" xfId="7" applyFont="1" applyFill="1" applyBorder="1" applyAlignment="1">
      <alignment horizontal="center" vertical="center"/>
    </xf>
    <xf numFmtId="4" fontId="108" fillId="9" borderId="79" xfId="1" applyNumberFormat="1" applyFont="1" applyFill="1" applyBorder="1" applyAlignment="1">
      <alignment horizontal="center" vertical="center"/>
    </xf>
    <xf numFmtId="9" fontId="26" fillId="0" borderId="107" xfId="7" applyFont="1" applyFill="1" applyBorder="1" applyAlignment="1">
      <alignment horizontal="center" vertical="center"/>
    </xf>
    <xf numFmtId="9" fontId="19" fillId="0" borderId="107" xfId="7" applyFont="1" applyFill="1" applyBorder="1" applyAlignment="1">
      <alignment horizontal="center" vertical="center"/>
    </xf>
    <xf numFmtId="4" fontId="24" fillId="11" borderId="108" xfId="1" applyNumberFormat="1" applyFont="1" applyFill="1" applyBorder="1" applyAlignment="1">
      <alignment horizontal="center" vertical="center"/>
    </xf>
    <xf numFmtId="4" fontId="24" fillId="11" borderId="109" xfId="1" applyNumberFormat="1" applyFont="1" applyFill="1" applyBorder="1" applyAlignment="1">
      <alignment horizontal="center" vertical="center"/>
    </xf>
    <xf numFmtId="4" fontId="66" fillId="11" borderId="109" xfId="1" applyNumberFormat="1" applyFont="1" applyFill="1" applyBorder="1" applyAlignment="1">
      <alignment horizontal="center" vertical="center"/>
    </xf>
    <xf numFmtId="4" fontId="103" fillId="11" borderId="108" xfId="1" applyNumberFormat="1" applyFont="1" applyFill="1" applyBorder="1" applyAlignment="1">
      <alignment horizontal="center" vertical="center"/>
    </xf>
    <xf numFmtId="4" fontId="103" fillId="11" borderId="109" xfId="1" applyNumberFormat="1" applyFont="1" applyFill="1" applyBorder="1" applyAlignment="1">
      <alignment horizontal="center" vertical="center"/>
    </xf>
    <xf numFmtId="0" fontId="26" fillId="0" borderId="107" xfId="1" applyNumberFormat="1" applyFont="1" applyFill="1" applyBorder="1" applyAlignment="1">
      <alignment horizontal="center" vertical="center"/>
    </xf>
    <xf numFmtId="9" fontId="36" fillId="4" borderId="107" xfId="7" applyFont="1" applyFill="1" applyBorder="1" applyAlignment="1">
      <alignment horizontal="center" vertical="center"/>
    </xf>
    <xf numFmtId="9" fontId="40" fillId="4" borderId="107" xfId="7" applyFont="1" applyFill="1" applyBorder="1" applyAlignment="1">
      <alignment horizontal="center" vertical="center"/>
    </xf>
    <xf numFmtId="9" fontId="99" fillId="13" borderId="107" xfId="7" applyFont="1" applyFill="1" applyBorder="1" applyAlignment="1">
      <alignment horizontal="center" vertical="center"/>
    </xf>
    <xf numFmtId="9" fontId="36" fillId="0" borderId="110" xfId="7" applyFont="1" applyFill="1" applyBorder="1" applyAlignment="1">
      <alignment horizontal="center" vertical="center"/>
    </xf>
    <xf numFmtId="9" fontId="40" fillId="0" borderId="110" xfId="7" applyFont="1" applyFill="1" applyBorder="1" applyAlignment="1">
      <alignment horizontal="center" vertical="center"/>
    </xf>
    <xf numFmtId="0" fontId="27" fillId="0" borderId="107" xfId="1" applyNumberFormat="1" applyFont="1" applyFill="1" applyBorder="1" applyAlignment="1">
      <alignment horizontal="center" vertical="center"/>
    </xf>
    <xf numFmtId="10" fontId="26" fillId="0" borderId="107" xfId="1" applyNumberFormat="1" applyFont="1" applyFill="1" applyBorder="1" applyAlignment="1">
      <alignment horizontal="center" vertical="center"/>
    </xf>
    <xf numFmtId="10" fontId="19" fillId="0" borderId="107" xfId="1" applyNumberFormat="1" applyFont="1" applyFill="1" applyBorder="1" applyAlignment="1">
      <alignment horizontal="center" vertical="center"/>
    </xf>
    <xf numFmtId="3" fontId="28" fillId="6" borderId="108" xfId="1" applyNumberFormat="1" applyFont="1" applyFill="1" applyBorder="1" applyAlignment="1">
      <alignment horizontal="center" vertical="center"/>
    </xf>
    <xf numFmtId="3" fontId="28" fillId="6" borderId="109" xfId="1" applyNumberFormat="1" applyFont="1" applyFill="1" applyBorder="1" applyAlignment="1">
      <alignment horizontal="center" vertical="center"/>
    </xf>
    <xf numFmtId="4" fontId="28" fillId="6" borderId="109" xfId="1" applyNumberFormat="1" applyFont="1" applyFill="1" applyBorder="1" applyAlignment="1">
      <alignment horizontal="center" vertical="center"/>
    </xf>
    <xf numFmtId="4" fontId="66" fillId="6" borderId="109" xfId="1" applyNumberFormat="1" applyFont="1" applyFill="1" applyBorder="1" applyAlignment="1">
      <alignment horizontal="center" vertical="center"/>
    </xf>
    <xf numFmtId="3" fontId="103" fillId="6" borderId="108" xfId="1" applyNumberFormat="1" applyFont="1" applyFill="1" applyBorder="1" applyAlignment="1">
      <alignment horizontal="center" vertical="center"/>
    </xf>
    <xf numFmtId="3" fontId="103" fillId="6" borderId="109" xfId="1" applyNumberFormat="1" applyFont="1" applyFill="1" applyBorder="1" applyAlignment="1">
      <alignment horizontal="center" vertical="center"/>
    </xf>
    <xf numFmtId="4" fontId="103" fillId="6" borderId="109" xfId="1" applyNumberFormat="1" applyFont="1" applyFill="1" applyBorder="1" applyAlignment="1">
      <alignment horizontal="center" vertical="center"/>
    </xf>
    <xf numFmtId="3" fontId="24" fillId="6" borderId="109" xfId="1" applyNumberFormat="1" applyFont="1" applyFill="1" applyBorder="1" applyAlignment="1">
      <alignment horizontal="center" vertical="center"/>
    </xf>
    <xf numFmtId="4" fontId="24" fillId="6" borderId="109" xfId="1" applyNumberFormat="1" applyFont="1" applyFill="1" applyBorder="1" applyAlignment="1">
      <alignment horizontal="center" vertical="center"/>
    </xf>
    <xf numFmtId="4" fontId="25" fillId="0" borderId="110" xfId="1" applyNumberFormat="1" applyFont="1" applyFill="1" applyBorder="1" applyAlignment="1">
      <alignment horizontal="center" vertical="center"/>
    </xf>
    <xf numFmtId="4" fontId="19" fillId="0" borderId="110" xfId="1" applyNumberFormat="1" applyFont="1" applyFill="1" applyBorder="1" applyAlignment="1">
      <alignment horizontal="center" vertical="center"/>
    </xf>
    <xf numFmtId="9" fontId="36" fillId="9" borderId="107" xfId="7" applyFont="1" applyFill="1" applyBorder="1" applyAlignment="1">
      <alignment horizontal="center" vertical="center"/>
    </xf>
    <xf numFmtId="9" fontId="68" fillId="9" borderId="77" xfId="7" applyFont="1" applyFill="1" applyBorder="1" applyAlignment="1">
      <alignment vertical="center"/>
    </xf>
    <xf numFmtId="4" fontId="19" fillId="9" borderId="20" xfId="1" applyNumberFormat="1" applyFont="1" applyFill="1" applyBorder="1" applyAlignment="1">
      <alignment horizontal="center" vertical="center"/>
    </xf>
    <xf numFmtId="9" fontId="19" fillId="0" borderId="91" xfId="7" applyFont="1" applyFill="1" applyBorder="1" applyAlignment="1">
      <alignment horizontal="center" vertical="center" wrapText="1"/>
    </xf>
    <xf numFmtId="9" fontId="40" fillId="13" borderId="107" xfId="7" applyFont="1" applyFill="1" applyBorder="1" applyAlignment="1">
      <alignment horizontal="center" vertical="center"/>
    </xf>
    <xf numFmtId="9" fontId="68" fillId="0" borderId="107" xfId="7" applyFont="1" applyFill="1" applyBorder="1" applyAlignment="1">
      <alignment horizontal="center" vertical="center"/>
    </xf>
    <xf numFmtId="9" fontId="67" fillId="0" borderId="107" xfId="7" applyFont="1" applyFill="1" applyBorder="1" applyAlignment="1">
      <alignment horizontal="center" vertical="center"/>
    </xf>
    <xf numFmtId="0" fontId="68" fillId="0" borderId="107" xfId="1" applyNumberFormat="1" applyFont="1" applyFill="1" applyBorder="1" applyAlignment="1">
      <alignment horizontal="center" vertical="center"/>
    </xf>
    <xf numFmtId="0" fontId="67" fillId="0" borderId="107" xfId="1" applyNumberFormat="1" applyFont="1" applyFill="1" applyBorder="1" applyAlignment="1">
      <alignment horizontal="center" vertical="center"/>
    </xf>
    <xf numFmtId="4" fontId="82" fillId="0" borderId="108" xfId="0" applyNumberFormat="1" applyFont="1" applyFill="1" applyBorder="1" applyAlignment="1" applyProtection="1">
      <alignment horizontal="center" vertical="center"/>
    </xf>
    <xf numFmtId="4" fontId="82" fillId="0" borderId="111" xfId="0" applyNumberFormat="1" applyFont="1" applyFill="1" applyBorder="1" applyAlignment="1" applyProtection="1">
      <alignment horizontal="center" vertical="center"/>
    </xf>
    <xf numFmtId="9" fontId="68" fillId="0" borderId="110" xfId="7" applyFont="1" applyFill="1" applyBorder="1" applyAlignment="1">
      <alignment horizontal="center" vertical="center"/>
    </xf>
    <xf numFmtId="9" fontId="67" fillId="0" borderId="110" xfId="7" applyFont="1" applyFill="1" applyBorder="1" applyAlignment="1">
      <alignment horizontal="center" vertical="center"/>
    </xf>
    <xf numFmtId="10" fontId="68" fillId="0" borderId="107" xfId="1" applyNumberFormat="1" applyFont="1" applyFill="1" applyBorder="1" applyAlignment="1">
      <alignment horizontal="center" vertical="center"/>
    </xf>
    <xf numFmtId="10" fontId="67" fillId="0" borderId="107" xfId="1" applyNumberFormat="1" applyFont="1" applyFill="1" applyBorder="1" applyAlignment="1">
      <alignment horizontal="center" vertical="center"/>
    </xf>
    <xf numFmtId="4" fontId="69" fillId="6" borderId="109" xfId="1" applyNumberFormat="1" applyFont="1" applyFill="1" applyBorder="1" applyAlignment="1">
      <alignment horizontal="center" vertical="center"/>
    </xf>
    <xf numFmtId="4" fontId="114" fillId="6" borderId="109" xfId="1" applyNumberFormat="1" applyFont="1" applyFill="1" applyBorder="1" applyAlignment="1">
      <alignment horizontal="center" vertical="center"/>
    </xf>
    <xf numFmtId="9" fontId="99" fillId="0" borderId="107" xfId="7" applyFont="1" applyFill="1" applyBorder="1" applyAlignment="1">
      <alignment horizontal="center" vertical="center"/>
    </xf>
    <xf numFmtId="9" fontId="36" fillId="11" borderId="107" xfId="7" applyFont="1" applyFill="1" applyBorder="1" applyAlignment="1">
      <alignment horizontal="center" vertical="center"/>
    </xf>
    <xf numFmtId="10" fontId="27" fillId="0" borderId="110" xfId="1" applyNumberFormat="1" applyFont="1" applyFill="1" applyBorder="1" applyAlignment="1">
      <alignment horizontal="center" vertical="center"/>
    </xf>
    <xf numFmtId="9" fontId="27" fillId="0" borderId="107" xfId="7" applyFont="1" applyFill="1" applyBorder="1" applyAlignment="1">
      <alignment horizontal="center" vertical="center"/>
    </xf>
    <xf numFmtId="9" fontId="27" fillId="0" borderId="110" xfId="7" applyFont="1" applyFill="1" applyBorder="1" applyAlignment="1">
      <alignment horizontal="center" vertical="center"/>
    </xf>
    <xf numFmtId="4" fontId="25" fillId="0" borderId="110" xfId="1" applyNumberFormat="1" applyFont="1" applyFill="1" applyBorder="1" applyAlignment="1">
      <alignment horizontal="center" vertical="center" wrapText="1"/>
    </xf>
    <xf numFmtId="9" fontId="36" fillId="0" borderId="112" xfId="7" applyFont="1" applyFill="1" applyBorder="1" applyAlignment="1">
      <alignment horizontal="center" vertical="center"/>
    </xf>
    <xf numFmtId="9" fontId="99" fillId="0" borderId="112" xfId="7" applyFont="1" applyFill="1" applyBorder="1" applyAlignment="1">
      <alignment horizontal="center" vertical="center"/>
    </xf>
    <xf numFmtId="4" fontId="88" fillId="0" borderId="110" xfId="1" applyNumberFormat="1" applyFont="1" applyFill="1" applyBorder="1" applyAlignment="1">
      <alignment horizontal="center" vertical="center" wrapText="1"/>
    </xf>
    <xf numFmtId="9" fontId="36" fillId="9" borderId="112" xfId="7" applyFont="1" applyFill="1" applyBorder="1" applyAlignment="1">
      <alignment horizontal="center" vertical="center"/>
    </xf>
    <xf numFmtId="4" fontId="25" fillId="9" borderId="110" xfId="1" applyNumberFormat="1" applyFont="1" applyFill="1" applyBorder="1" applyAlignment="1">
      <alignment horizontal="center" vertical="center" wrapText="1"/>
    </xf>
    <xf numFmtId="4" fontId="25" fillId="0" borderId="109" xfId="1" applyNumberFormat="1" applyFont="1" applyFill="1" applyBorder="1" applyAlignment="1">
      <alignment horizontal="center" vertical="center" wrapText="1"/>
    </xf>
    <xf numFmtId="9" fontId="27" fillId="9" borderId="107" xfId="7" applyFont="1" applyFill="1" applyBorder="1" applyAlignment="1">
      <alignment horizontal="left" vertical="center"/>
    </xf>
    <xf numFmtId="3" fontId="24" fillId="8" borderId="113" xfId="1" applyNumberFormat="1" applyFont="1" applyFill="1" applyBorder="1" applyAlignment="1">
      <alignment horizontal="center" vertical="center"/>
    </xf>
    <xf numFmtId="4" fontId="24" fillId="8" borderId="113" xfId="1" applyNumberFormat="1" applyFont="1" applyFill="1" applyBorder="1" applyAlignment="1">
      <alignment horizontal="center" vertical="center"/>
    </xf>
    <xf numFmtId="9" fontId="36" fillId="7" borderId="107" xfId="7" applyFont="1" applyFill="1" applyBorder="1" applyAlignment="1">
      <alignment horizontal="center" vertical="center"/>
    </xf>
    <xf numFmtId="9" fontId="36" fillId="25" borderId="107" xfId="7" applyFont="1" applyFill="1" applyBorder="1" applyAlignment="1">
      <alignment horizontal="center" vertical="center"/>
    </xf>
    <xf numFmtId="9" fontId="71" fillId="0" borderId="107" xfId="7" applyFont="1" applyFill="1" applyBorder="1" applyAlignment="1">
      <alignment horizontal="center" vertical="center" wrapText="1"/>
    </xf>
    <xf numFmtId="9" fontId="27" fillId="0" borderId="107" xfId="7" applyFont="1" applyFill="1" applyBorder="1" applyAlignment="1">
      <alignment horizontal="center" vertical="center" wrapText="1"/>
    </xf>
    <xf numFmtId="10" fontId="24" fillId="4" borderId="107" xfId="1" applyNumberFormat="1" applyFont="1" applyFill="1" applyBorder="1" applyAlignment="1">
      <alignment horizontal="center" vertical="center"/>
    </xf>
    <xf numFmtId="9" fontId="67" fillId="0" borderId="107" xfId="7" applyFont="1" applyFill="1" applyBorder="1" applyAlignment="1">
      <alignment horizontal="center" vertical="center" wrapText="1"/>
    </xf>
    <xf numFmtId="9" fontId="67" fillId="9" borderId="107" xfId="7" applyFont="1" applyFill="1" applyBorder="1" applyAlignment="1">
      <alignment horizontal="center" vertical="center" wrapText="1"/>
    </xf>
    <xf numFmtId="9" fontId="71" fillId="0" borderId="107" xfId="7" applyFont="1" applyFill="1" applyBorder="1" applyAlignment="1">
      <alignment horizontal="center" vertical="center"/>
    </xf>
    <xf numFmtId="166" fontId="19" fillId="0" borderId="91" xfId="6" applyFont="1" applyFill="1" applyBorder="1" applyAlignment="1">
      <alignment horizontal="center" vertical="center"/>
    </xf>
    <xf numFmtId="4" fontId="66" fillId="8" borderId="113" xfId="1" applyNumberFormat="1" applyFont="1" applyFill="1" applyBorder="1" applyAlignment="1">
      <alignment horizontal="center" vertical="center"/>
    </xf>
    <xf numFmtId="9" fontId="27" fillId="0" borderId="77" xfId="7" applyFont="1" applyFill="1" applyBorder="1" applyAlignment="1">
      <alignment horizontal="left" vertical="center"/>
    </xf>
    <xf numFmtId="9" fontId="24" fillId="4" borderId="78" xfId="7" applyFont="1" applyFill="1" applyBorder="1" applyAlignment="1">
      <alignment horizontal="center" vertical="center"/>
    </xf>
    <xf numFmtId="4" fontId="82" fillId="0" borderId="111" xfId="0" applyNumberFormat="1" applyFont="1" applyFill="1" applyBorder="1" applyAlignment="1" applyProtection="1">
      <alignment horizontal="center" vertical="center"/>
    </xf>
    <xf numFmtId="4" fontId="16" fillId="0" borderId="0" xfId="1" applyNumberFormat="1" applyAlignment="1">
      <alignment horizontal="center" vertical="center"/>
    </xf>
    <xf numFmtId="4" fontId="24" fillId="6" borderId="56" xfId="1" applyNumberFormat="1" applyFont="1" applyFill="1" applyBorder="1" applyAlignment="1">
      <alignment horizontal="center" vertical="center"/>
    </xf>
    <xf numFmtId="4" fontId="19" fillId="0" borderId="0" xfId="1" applyNumberFormat="1" applyFont="1" applyAlignment="1">
      <alignment horizontal="center" vertical="center"/>
    </xf>
    <xf numFmtId="4" fontId="24" fillId="11" borderId="56" xfId="1" applyNumberFormat="1" applyFont="1" applyFill="1" applyBorder="1" applyAlignment="1">
      <alignment horizontal="center" vertical="center"/>
    </xf>
    <xf numFmtId="0" fontId="33" fillId="12" borderId="55" xfId="1" applyFont="1" applyFill="1" applyBorder="1" applyAlignment="1">
      <alignment horizontal="center" vertical="center" wrapText="1"/>
    </xf>
    <xf numFmtId="3" fontId="24" fillId="11" borderId="55" xfId="1" applyNumberFormat="1" applyFont="1" applyFill="1" applyBorder="1" applyAlignment="1">
      <alignment horizontal="center" vertical="center"/>
    </xf>
    <xf numFmtId="3" fontId="24" fillId="6" borderId="55" xfId="1" applyNumberFormat="1" applyFont="1" applyFill="1" applyBorder="1" applyAlignment="1">
      <alignment horizontal="center" vertical="center"/>
    </xf>
    <xf numFmtId="3" fontId="24" fillId="4" borderId="90" xfId="1" applyNumberFormat="1" applyFont="1" applyFill="1" applyBorder="1" applyAlignment="1">
      <alignment horizontal="center" vertical="center"/>
    </xf>
    <xf numFmtId="3" fontId="30" fillId="12" borderId="0" xfId="6" applyNumberFormat="1" applyFont="1" applyFill="1" applyAlignment="1">
      <alignment horizontal="center" vertical="center"/>
    </xf>
    <xf numFmtId="9" fontId="24" fillId="3" borderId="90" xfId="7" applyFont="1" applyFill="1" applyBorder="1" applyAlignment="1">
      <alignment horizontal="center" vertical="center"/>
    </xf>
    <xf numFmtId="0" fontId="42" fillId="12" borderId="56" xfId="1" applyFont="1" applyFill="1" applyBorder="1" applyAlignment="1">
      <alignment horizontal="center" vertical="center" wrapText="1"/>
    </xf>
    <xf numFmtId="4" fontId="70" fillId="0" borderId="0" xfId="1" applyNumberFormat="1" applyFont="1" applyAlignment="1">
      <alignment horizontal="center" vertical="center"/>
    </xf>
    <xf numFmtId="3" fontId="27" fillId="0" borderId="19" xfId="1" applyNumberFormat="1" applyFont="1" applyFill="1" applyBorder="1" applyAlignment="1">
      <alignment horizontal="center" vertical="center"/>
    </xf>
    <xf numFmtId="10" fontId="27" fillId="0" borderId="19" xfId="1" applyNumberFormat="1" applyFont="1" applyFill="1" applyBorder="1" applyAlignment="1">
      <alignment horizontal="center" vertical="center"/>
    </xf>
    <xf numFmtId="4" fontId="24" fillId="11" borderId="1" xfId="1" applyNumberFormat="1" applyFont="1" applyFill="1" applyBorder="1" applyAlignment="1">
      <alignment horizontal="center" vertical="center"/>
    </xf>
    <xf numFmtId="10" fontId="27" fillId="0" borderId="63" xfId="1" applyNumberFormat="1" applyFont="1" applyFill="1" applyBorder="1" applyAlignment="1">
      <alignment horizontal="center" vertical="center"/>
    </xf>
    <xf numFmtId="0" fontId="27" fillId="0" borderId="79" xfId="1" applyNumberFormat="1" applyFont="1" applyFill="1" applyBorder="1" applyAlignment="1">
      <alignment horizontal="center" vertical="center"/>
    </xf>
    <xf numFmtId="9" fontId="36" fillId="11" borderId="56" xfId="7" applyFont="1" applyFill="1" applyBorder="1" applyAlignment="1">
      <alignment horizontal="center" vertical="center"/>
    </xf>
    <xf numFmtId="10" fontId="24" fillId="4" borderId="56" xfId="1" applyNumberFormat="1" applyFont="1" applyFill="1" applyBorder="1" applyAlignment="1">
      <alignment horizontal="center" vertical="center"/>
    </xf>
    <xf numFmtId="4" fontId="24" fillId="4" borderId="55" xfId="1" applyNumberFormat="1" applyFont="1" applyFill="1" applyBorder="1" applyAlignment="1">
      <alignment horizontal="center" vertical="center"/>
    </xf>
    <xf numFmtId="9" fontId="36" fillId="0" borderId="7" xfId="7" applyFont="1" applyFill="1" applyBorder="1" applyAlignment="1">
      <alignment horizontal="center" vertical="center"/>
    </xf>
    <xf numFmtId="4" fontId="115" fillId="0" borderId="0" xfId="1" applyNumberFormat="1" applyFont="1" applyAlignment="1">
      <alignment horizontal="center" vertical="center"/>
    </xf>
    <xf numFmtId="3" fontId="25" fillId="0" borderId="80" xfId="1" applyNumberFormat="1" applyFont="1" applyFill="1" applyBorder="1" applyAlignment="1">
      <alignment horizontal="center" vertical="center"/>
    </xf>
    <xf numFmtId="3" fontId="24" fillId="4" borderId="63" xfId="1" applyNumberFormat="1" applyFont="1" applyFill="1" applyBorder="1" applyAlignment="1">
      <alignment horizontal="center" vertical="center"/>
    </xf>
    <xf numFmtId="9" fontId="36" fillId="0" borderId="77" xfId="7" applyFont="1" applyFill="1" applyBorder="1" applyAlignment="1">
      <alignment horizontal="center" vertical="center"/>
    </xf>
    <xf numFmtId="9" fontId="68" fillId="0" borderId="107" xfId="7" applyFont="1" applyFill="1" applyBorder="1" applyAlignment="1">
      <alignment horizontal="center" vertical="center"/>
    </xf>
    <xf numFmtId="9" fontId="67" fillId="0" borderId="107" xfId="7" applyFont="1" applyFill="1" applyBorder="1" applyAlignment="1">
      <alignment horizontal="center" vertical="center"/>
    </xf>
    <xf numFmtId="4" fontId="25" fillId="0" borderId="76" xfId="1" applyNumberFormat="1" applyFont="1" applyFill="1" applyBorder="1" applyAlignment="1">
      <alignment horizontal="center" vertical="center"/>
    </xf>
    <xf numFmtId="4" fontId="25" fillId="0" borderId="0" xfId="1" applyNumberFormat="1" applyFont="1" applyFill="1" applyBorder="1" applyAlignment="1">
      <alignment horizontal="center" vertical="center"/>
    </xf>
    <xf numFmtId="3" fontId="27" fillId="0" borderId="80" xfId="6" applyNumberFormat="1" applyFont="1" applyFill="1" applyBorder="1" applyAlignment="1">
      <alignment horizontal="center" vertical="center"/>
    </xf>
    <xf numFmtId="3" fontId="25" fillId="0" borderId="76" xfId="1" applyNumberFormat="1" applyFont="1" applyFill="1" applyBorder="1" applyAlignment="1">
      <alignment horizontal="center" vertical="center"/>
    </xf>
    <xf numFmtId="3" fontId="25" fillId="0" borderId="9" xfId="1" applyNumberFormat="1" applyFont="1" applyFill="1" applyBorder="1" applyAlignment="1">
      <alignment horizontal="center" vertical="center"/>
    </xf>
    <xf numFmtId="4" fontId="69" fillId="4" borderId="63" xfId="1" applyNumberFormat="1" applyFont="1" applyFill="1" applyBorder="1" applyAlignment="1">
      <alignment horizontal="center" vertical="center"/>
    </xf>
    <xf numFmtId="10" fontId="26" fillId="0" borderId="76" xfId="1" applyNumberFormat="1" applyFont="1" applyFill="1" applyBorder="1" applyAlignment="1">
      <alignment horizontal="center" vertical="center"/>
    </xf>
    <xf numFmtId="9" fontId="36" fillId="0" borderId="79" xfId="7" applyFont="1" applyFill="1" applyBorder="1" applyAlignment="1">
      <alignment horizontal="center" vertical="center"/>
    </xf>
    <xf numFmtId="4" fontId="25" fillId="0" borderId="9" xfId="1" applyNumberFormat="1" applyFont="1" applyFill="1" applyBorder="1" applyAlignment="1">
      <alignment horizontal="center" vertical="center"/>
    </xf>
    <xf numFmtId="4" fontId="20" fillId="6" borderId="55" xfId="1" applyNumberFormat="1" applyFont="1" applyFill="1" applyBorder="1" applyAlignment="1">
      <alignment horizontal="center" vertical="center"/>
    </xf>
    <xf numFmtId="3" fontId="27" fillId="0" borderId="4" xfId="6" applyNumberFormat="1" applyFont="1" applyFill="1" applyBorder="1" applyAlignment="1">
      <alignment horizontal="center" vertical="center"/>
    </xf>
    <xf numFmtId="9" fontId="68" fillId="0" borderId="110" xfId="7" applyFont="1" applyFill="1" applyBorder="1" applyAlignment="1">
      <alignment horizontal="center" vertical="center"/>
    </xf>
    <xf numFmtId="9" fontId="40" fillId="0" borderId="77" xfId="7" applyFont="1" applyFill="1" applyBorder="1" applyAlignment="1">
      <alignment horizontal="center" vertical="center"/>
    </xf>
    <xf numFmtId="9" fontId="27" fillId="0" borderId="107" xfId="7" applyFont="1" applyFill="1" applyBorder="1" applyAlignment="1">
      <alignment horizontal="center" vertical="center"/>
    </xf>
    <xf numFmtId="4" fontId="85" fillId="0" borderId="77" xfId="1" applyNumberFormat="1" applyFont="1" applyFill="1" applyBorder="1" applyAlignment="1">
      <alignment horizontal="center" vertical="center"/>
    </xf>
    <xf numFmtId="4" fontId="85" fillId="0" borderId="77" xfId="1" applyNumberFormat="1" applyFont="1" applyFill="1" applyBorder="1" applyAlignment="1">
      <alignment horizontal="center" vertical="center" wrapText="1"/>
    </xf>
    <xf numFmtId="4" fontId="85" fillId="0" borderId="58" xfId="1" applyNumberFormat="1" applyFont="1" applyFill="1" applyBorder="1" applyAlignment="1">
      <alignment horizontal="center" vertical="center"/>
    </xf>
    <xf numFmtId="3" fontId="85" fillId="0" borderId="58" xfId="1" applyNumberFormat="1" applyFont="1" applyFill="1" applyBorder="1" applyAlignment="1">
      <alignment horizontal="center" vertical="center"/>
    </xf>
    <xf numFmtId="3" fontId="85" fillId="0" borderId="77" xfId="1" applyNumberFormat="1" applyFont="1" applyFill="1" applyBorder="1" applyAlignment="1">
      <alignment horizontal="center" vertical="center"/>
    </xf>
    <xf numFmtId="4" fontId="85" fillId="0" borderId="58" xfId="1" applyNumberFormat="1" applyFont="1" applyFill="1" applyBorder="1" applyAlignment="1">
      <alignment horizontal="center" vertical="center" wrapText="1"/>
    </xf>
    <xf numFmtId="9" fontId="120" fillId="0" borderId="58" xfId="7" applyFont="1" applyFill="1" applyBorder="1" applyAlignment="1">
      <alignment horizontal="center" vertical="center"/>
    </xf>
    <xf numFmtId="4" fontId="85" fillId="0" borderId="79" xfId="1" applyNumberFormat="1" applyFont="1" applyFill="1" applyBorder="1" applyAlignment="1">
      <alignment horizontal="center" vertical="center"/>
    </xf>
    <xf numFmtId="10" fontId="27" fillId="0" borderId="117" xfId="1" applyNumberFormat="1" applyFont="1" applyFill="1" applyBorder="1" applyAlignment="1">
      <alignment horizontal="center" vertical="center"/>
    </xf>
    <xf numFmtId="4" fontId="20" fillId="6" borderId="56" xfId="1" applyNumberFormat="1" applyFont="1" applyFill="1" applyBorder="1" applyAlignment="1">
      <alignment horizontal="center" vertical="center"/>
    </xf>
    <xf numFmtId="10" fontId="24" fillId="3" borderId="62" xfId="1" applyNumberFormat="1" applyFont="1" applyFill="1" applyBorder="1" applyAlignment="1">
      <alignment horizontal="center" vertical="center"/>
    </xf>
    <xf numFmtId="10" fontId="24" fillId="3" borderId="63" xfId="1" applyNumberFormat="1" applyFont="1" applyFill="1" applyBorder="1" applyAlignment="1">
      <alignment horizontal="center" vertical="center"/>
    </xf>
    <xf numFmtId="10" fontId="24" fillId="0" borderId="117" xfId="1" applyNumberFormat="1" applyFont="1" applyFill="1" applyBorder="1" applyAlignment="1">
      <alignment horizontal="center" vertical="center"/>
    </xf>
    <xf numFmtId="4" fontId="24" fillId="4" borderId="63" xfId="1" applyNumberFormat="1" applyFont="1" applyFill="1" applyBorder="1" applyAlignment="1">
      <alignment horizontal="center" vertical="center"/>
    </xf>
    <xf numFmtId="10" fontId="26" fillId="5" borderId="117" xfId="1" applyNumberFormat="1" applyFont="1" applyFill="1" applyBorder="1" applyAlignment="1">
      <alignment horizontal="center" vertical="center"/>
    </xf>
    <xf numFmtId="10" fontId="26" fillId="0" borderId="117" xfId="1" applyNumberFormat="1" applyFont="1" applyFill="1" applyBorder="1" applyAlignment="1">
      <alignment horizontal="center" vertical="center"/>
    </xf>
    <xf numFmtId="4" fontId="24" fillId="11" borderId="108" xfId="1" applyNumberFormat="1" applyFont="1" applyFill="1" applyBorder="1" applyAlignment="1">
      <alignment horizontal="center" vertical="center"/>
    </xf>
    <xf numFmtId="4" fontId="24" fillId="11" borderId="109" xfId="1" applyNumberFormat="1" applyFont="1" applyFill="1" applyBorder="1" applyAlignment="1">
      <alignment horizontal="center" vertical="center"/>
    </xf>
    <xf numFmtId="3" fontId="25" fillId="0" borderId="79" xfId="1" applyNumberFormat="1" applyFont="1" applyFill="1" applyBorder="1" applyAlignment="1">
      <alignment horizontal="center" vertical="center"/>
    </xf>
    <xf numFmtId="3" fontId="27" fillId="0" borderId="79" xfId="6" applyNumberFormat="1" applyFont="1" applyFill="1" applyBorder="1" applyAlignment="1">
      <alignment horizontal="center" vertical="center"/>
    </xf>
    <xf numFmtId="3" fontId="24" fillId="4" borderId="80" xfId="1" applyNumberFormat="1" applyFont="1" applyFill="1" applyBorder="1" applyAlignment="1">
      <alignment horizontal="center" vertical="center"/>
    </xf>
    <xf numFmtId="3" fontId="24" fillId="4" borderId="79" xfId="1" applyNumberFormat="1" applyFont="1" applyFill="1" applyBorder="1" applyAlignment="1">
      <alignment horizontal="center" vertical="center"/>
    </xf>
    <xf numFmtId="3" fontId="24" fillId="4" borderId="62" xfId="1" applyNumberFormat="1" applyFont="1" applyFill="1" applyBorder="1" applyAlignment="1">
      <alignment horizontal="center" vertical="center"/>
    </xf>
    <xf numFmtId="9" fontId="36" fillId="4" borderId="107" xfId="7" applyFont="1" applyFill="1" applyBorder="1" applyAlignment="1">
      <alignment horizontal="center" vertical="center"/>
    </xf>
    <xf numFmtId="9" fontId="36" fillId="0" borderId="110" xfId="7" applyFont="1" applyFill="1" applyBorder="1" applyAlignment="1">
      <alignment horizontal="center" vertical="center"/>
    </xf>
    <xf numFmtId="9" fontId="36" fillId="0" borderId="117" xfId="7" applyFont="1" applyFill="1" applyBorder="1" applyAlignment="1">
      <alignment horizontal="center" vertical="center"/>
    </xf>
    <xf numFmtId="9" fontId="26" fillId="0" borderId="107" xfId="7" applyFont="1" applyFill="1" applyBorder="1" applyAlignment="1">
      <alignment horizontal="center" vertical="center"/>
    </xf>
    <xf numFmtId="0" fontId="26" fillId="0" borderId="107" xfId="1" applyNumberFormat="1" applyFont="1" applyFill="1" applyBorder="1" applyAlignment="1">
      <alignment horizontal="center" vertical="center"/>
    </xf>
    <xf numFmtId="4" fontId="35" fillId="6" borderId="56" xfId="1" applyNumberFormat="1" applyFont="1" applyFill="1" applyBorder="1" applyAlignment="1">
      <alignment horizontal="center" vertical="center"/>
    </xf>
    <xf numFmtId="10" fontId="66" fillId="3" borderId="63" xfId="1" applyNumberFormat="1" applyFont="1" applyFill="1" applyBorder="1" applyAlignment="1">
      <alignment horizontal="center" vertical="center"/>
    </xf>
    <xf numFmtId="4" fontId="66" fillId="4" borderId="63" xfId="1" applyNumberFormat="1" applyFont="1" applyFill="1" applyBorder="1" applyAlignment="1">
      <alignment horizontal="center" vertical="center"/>
    </xf>
    <xf numFmtId="10" fontId="26" fillId="0" borderId="77" xfId="1" applyNumberFormat="1" applyFont="1" applyFill="1" applyBorder="1" applyAlignment="1">
      <alignment horizontal="center" vertical="center"/>
    </xf>
    <xf numFmtId="4" fontId="25" fillId="0" borderId="20" xfId="1" applyNumberFormat="1" applyFont="1" applyFill="1" applyBorder="1" applyAlignment="1">
      <alignment horizontal="center" vertical="center"/>
    </xf>
    <xf numFmtId="3" fontId="25" fillId="0" borderId="20" xfId="1" applyNumberFormat="1" applyFont="1" applyFill="1" applyBorder="1" applyAlignment="1">
      <alignment horizontal="center" vertical="center"/>
    </xf>
    <xf numFmtId="4" fontId="25" fillId="0" borderId="36" xfId="1" applyNumberFormat="1" applyFont="1" applyFill="1" applyBorder="1" applyAlignment="1">
      <alignment horizontal="center" vertical="center"/>
    </xf>
    <xf numFmtId="4" fontId="25" fillId="0" borderId="7" xfId="1" applyNumberFormat="1" applyFont="1" applyFill="1" applyBorder="1" applyAlignment="1">
      <alignment horizontal="center" vertical="center"/>
    </xf>
    <xf numFmtId="4" fontId="25" fillId="0" borderId="6" xfId="1" applyNumberFormat="1" applyFont="1" applyFill="1" applyBorder="1" applyAlignment="1">
      <alignment horizontal="center" vertical="center"/>
    </xf>
    <xf numFmtId="3" fontId="27" fillId="0" borderId="6" xfId="6" applyNumberFormat="1" applyFont="1" applyFill="1" applyBorder="1" applyAlignment="1">
      <alignment horizontal="center" vertical="center"/>
    </xf>
    <xf numFmtId="9" fontId="26" fillId="0" borderId="110" xfId="7" applyFont="1" applyFill="1" applyBorder="1" applyAlignment="1">
      <alignment horizontal="center" vertical="center"/>
    </xf>
    <xf numFmtId="4" fontId="19" fillId="0" borderId="20" xfId="1" applyNumberFormat="1" applyFont="1" applyFill="1" applyBorder="1" applyAlignment="1">
      <alignment horizontal="center" vertical="center"/>
    </xf>
    <xf numFmtId="3" fontId="19" fillId="0" borderId="79" xfId="6" applyNumberFormat="1" applyFont="1" applyFill="1" applyBorder="1" applyAlignment="1">
      <alignment horizontal="center" vertical="center"/>
    </xf>
    <xf numFmtId="10" fontId="19" fillId="0" borderId="77" xfId="1" applyNumberFormat="1" applyFont="1" applyFill="1" applyBorder="1" applyAlignment="1">
      <alignment horizontal="center" vertical="center"/>
    </xf>
    <xf numFmtId="4" fontId="91" fillId="6" borderId="56" xfId="1" applyNumberFormat="1" applyFont="1" applyFill="1" applyBorder="1" applyAlignment="1">
      <alignment horizontal="center" vertical="center"/>
    </xf>
    <xf numFmtId="10" fontId="103" fillId="3" borderId="62" xfId="1" applyNumberFormat="1" applyFont="1" applyFill="1" applyBorder="1" applyAlignment="1">
      <alignment horizontal="center" vertical="center"/>
    </xf>
    <xf numFmtId="10" fontId="103" fillId="3" borderId="63" xfId="1" applyNumberFormat="1" applyFont="1" applyFill="1" applyBorder="1" applyAlignment="1">
      <alignment horizontal="center" vertical="center"/>
    </xf>
    <xf numFmtId="3" fontId="103" fillId="4" borderId="80" xfId="1" applyNumberFormat="1" applyFont="1" applyFill="1" applyBorder="1" applyAlignment="1">
      <alignment horizontal="center" vertical="center"/>
    </xf>
    <xf numFmtId="4" fontId="103" fillId="4" borderId="63" xfId="1" applyNumberFormat="1" applyFont="1" applyFill="1" applyBorder="1" applyAlignment="1">
      <alignment horizontal="center" vertical="center"/>
    </xf>
    <xf numFmtId="3" fontId="103" fillId="4" borderId="62" xfId="1" applyNumberFormat="1" applyFont="1" applyFill="1" applyBorder="1" applyAlignment="1">
      <alignment horizontal="center" vertical="center"/>
    </xf>
    <xf numFmtId="3" fontId="19" fillId="0" borderId="79" xfId="1" applyNumberFormat="1" applyFont="1" applyFill="1" applyBorder="1" applyAlignment="1">
      <alignment horizontal="center" vertical="center"/>
    </xf>
    <xf numFmtId="4" fontId="19" fillId="0" borderId="36" xfId="1" applyNumberFormat="1" applyFont="1" applyFill="1" applyBorder="1" applyAlignment="1">
      <alignment horizontal="center" vertical="center"/>
    </xf>
    <xf numFmtId="4" fontId="25" fillId="0" borderId="77" xfId="1" applyNumberFormat="1" applyFont="1" applyFill="1" applyBorder="1" applyAlignment="1">
      <alignment horizontal="center" vertical="center"/>
    </xf>
    <xf numFmtId="9" fontId="36" fillId="0" borderId="107" xfId="7" applyFont="1" applyFill="1" applyBorder="1" applyAlignment="1">
      <alignment horizontal="center" vertical="center"/>
    </xf>
    <xf numFmtId="3" fontId="25" fillId="0" borderId="77" xfId="1" applyNumberFormat="1" applyFont="1" applyFill="1" applyBorder="1" applyAlignment="1">
      <alignment horizontal="center" vertical="center"/>
    </xf>
    <xf numFmtId="4" fontId="25" fillId="0" borderId="77" xfId="1" applyNumberFormat="1" applyFont="1" applyFill="1" applyBorder="1" applyAlignment="1">
      <alignment horizontal="center" vertical="center" wrapText="1"/>
    </xf>
    <xf numFmtId="9" fontId="67" fillId="0" borderId="77" xfId="7" applyFont="1" applyFill="1" applyBorder="1" applyAlignment="1">
      <alignment horizontal="center" vertical="center" wrapText="1"/>
    </xf>
    <xf numFmtId="9" fontId="68" fillId="0" borderId="77" xfId="7" applyFont="1" applyFill="1" applyBorder="1" applyAlignment="1">
      <alignment horizontal="center" vertical="center"/>
    </xf>
    <xf numFmtId="9" fontId="67" fillId="0" borderId="77" xfId="7" applyFont="1" applyFill="1" applyBorder="1" applyAlignment="1">
      <alignment horizontal="center" vertical="center"/>
    </xf>
    <xf numFmtId="4" fontId="19" fillId="0" borderId="77" xfId="1" applyNumberFormat="1" applyFont="1" applyFill="1" applyBorder="1" applyAlignment="1">
      <alignment horizontal="center" vertical="center"/>
    </xf>
    <xf numFmtId="4" fontId="25" fillId="0" borderId="79" xfId="1" applyNumberFormat="1" applyFont="1" applyFill="1" applyBorder="1" applyAlignment="1">
      <alignment horizontal="center" vertical="center"/>
    </xf>
    <xf numFmtId="4" fontId="25" fillId="0" borderId="80" xfId="1" applyNumberFormat="1" applyFont="1" applyFill="1" applyBorder="1" applyAlignment="1">
      <alignment horizontal="center" vertical="center"/>
    </xf>
    <xf numFmtId="4" fontId="108" fillId="0" borderId="77" xfId="1" applyNumberFormat="1" applyFont="1" applyFill="1" applyBorder="1" applyAlignment="1">
      <alignment horizontal="center" vertical="center" wrapText="1"/>
    </xf>
    <xf numFmtId="4" fontId="108" fillId="0" borderId="79" xfId="1" applyNumberFormat="1" applyFont="1" applyFill="1" applyBorder="1" applyAlignment="1">
      <alignment horizontal="center" vertical="center"/>
    </xf>
    <xf numFmtId="4" fontId="19" fillId="0" borderId="77" xfId="1" applyNumberFormat="1" applyFont="1" applyFill="1" applyBorder="1" applyAlignment="1">
      <alignment horizontal="center" vertical="center" wrapText="1"/>
    </xf>
    <xf numFmtId="4" fontId="19" fillId="0" borderId="79" xfId="1" applyNumberFormat="1" applyFont="1" applyFill="1" applyBorder="1" applyAlignment="1">
      <alignment horizontal="center" vertical="center"/>
    </xf>
    <xf numFmtId="3" fontId="19" fillId="0" borderId="77" xfId="1" applyNumberFormat="1" applyFont="1" applyFill="1" applyBorder="1" applyAlignment="1">
      <alignment horizontal="center" vertical="center"/>
    </xf>
    <xf numFmtId="9" fontId="40" fillId="0" borderId="107" xfId="7" applyFont="1" applyFill="1" applyBorder="1" applyAlignment="1">
      <alignment horizontal="center" vertical="center"/>
    </xf>
    <xf numFmtId="4" fontId="25" fillId="13" borderId="79" xfId="1" applyNumberFormat="1" applyFont="1" applyFill="1" applyBorder="1" applyAlignment="1">
      <alignment horizontal="center" vertical="center"/>
    </xf>
    <xf numFmtId="4" fontId="25" fillId="13" borderId="77" xfId="1" applyNumberFormat="1" applyFont="1" applyFill="1" applyBorder="1" applyAlignment="1">
      <alignment horizontal="center" vertical="center"/>
    </xf>
    <xf numFmtId="9" fontId="36" fillId="13" borderId="107" xfId="7" applyFont="1" applyFill="1" applyBorder="1" applyAlignment="1">
      <alignment horizontal="center" vertical="center"/>
    </xf>
    <xf numFmtId="4" fontId="25" fillId="13" borderId="77" xfId="1" applyNumberFormat="1" applyFont="1" applyFill="1" applyBorder="1" applyAlignment="1">
      <alignment horizontal="center" vertical="center" wrapText="1"/>
    </xf>
    <xf numFmtId="3" fontId="25" fillId="13" borderId="77" xfId="1" applyNumberFormat="1" applyFont="1" applyFill="1" applyBorder="1" applyAlignment="1">
      <alignment horizontal="center" vertical="center"/>
    </xf>
    <xf numFmtId="9" fontId="119" fillId="13" borderId="77" xfId="7" applyFont="1" applyFill="1" applyBorder="1" applyAlignment="1">
      <alignment horizontal="center" vertical="center" wrapText="1"/>
    </xf>
    <xf numFmtId="4" fontId="85" fillId="13" borderId="77" xfId="1" applyNumberFormat="1" applyFont="1" applyFill="1" applyBorder="1" applyAlignment="1">
      <alignment horizontal="center" vertical="center" wrapText="1"/>
    </xf>
    <xf numFmtId="4" fontId="85" fillId="13" borderId="79" xfId="1" applyNumberFormat="1" applyFont="1" applyFill="1" applyBorder="1" applyAlignment="1">
      <alignment horizontal="center" vertical="center"/>
    </xf>
    <xf numFmtId="3" fontId="85" fillId="13" borderId="77" xfId="1" applyNumberFormat="1" applyFont="1" applyFill="1" applyBorder="1" applyAlignment="1">
      <alignment horizontal="center" vertical="center"/>
    </xf>
    <xf numFmtId="9" fontId="120" fillId="13" borderId="107" xfId="7" applyFont="1" applyFill="1" applyBorder="1" applyAlignment="1">
      <alignment horizontal="center" vertical="center"/>
    </xf>
    <xf numFmtId="4" fontId="85" fillId="13" borderId="77" xfId="1" applyNumberFormat="1" applyFont="1" applyFill="1" applyBorder="1" applyAlignment="1">
      <alignment horizontal="center" vertical="center"/>
    </xf>
    <xf numFmtId="9" fontId="68" fillId="13" borderId="77" xfId="7" applyFont="1" applyFill="1" applyBorder="1" applyAlignment="1">
      <alignment horizontal="center" vertical="center"/>
    </xf>
    <xf numFmtId="4" fontId="25" fillId="13" borderId="80" xfId="1" applyNumberFormat="1" applyFont="1" applyFill="1" applyBorder="1" applyAlignment="1">
      <alignment horizontal="center" vertical="center"/>
    </xf>
    <xf numFmtId="9" fontId="26" fillId="13" borderId="77" xfId="7" applyFont="1" applyFill="1" applyBorder="1" applyAlignment="1">
      <alignment horizontal="center" vertical="center"/>
    </xf>
    <xf numFmtId="9" fontId="85" fillId="13" borderId="77" xfId="7" applyFont="1" applyFill="1" applyBorder="1" applyAlignment="1">
      <alignment horizontal="center" vertical="center"/>
    </xf>
    <xf numFmtId="9" fontId="119" fillId="13" borderId="77" xfId="7" quotePrefix="1" applyFont="1" applyFill="1" applyBorder="1" applyAlignment="1">
      <alignment horizontal="center" vertical="center" wrapText="1"/>
    </xf>
    <xf numFmtId="3" fontId="24" fillId="4" borderId="114" xfId="1" applyNumberFormat="1" applyFont="1" applyFill="1" applyBorder="1" applyAlignment="1">
      <alignment horizontal="center" vertical="center"/>
    </xf>
    <xf numFmtId="4" fontId="24" fillId="4" borderId="114" xfId="1" applyNumberFormat="1" applyFont="1" applyFill="1" applyBorder="1" applyAlignment="1">
      <alignment horizontal="center" vertical="center"/>
    </xf>
    <xf numFmtId="3" fontId="24" fillId="8" borderId="114" xfId="1" applyNumberFormat="1" applyFont="1" applyFill="1" applyBorder="1" applyAlignment="1">
      <alignment horizontal="center" vertical="center"/>
    </xf>
    <xf numFmtId="4" fontId="24" fillId="8" borderId="114" xfId="1" applyNumberFormat="1" applyFont="1" applyFill="1" applyBorder="1" applyAlignment="1">
      <alignment horizontal="center" vertical="center"/>
    </xf>
    <xf numFmtId="9" fontId="24" fillId="3" borderId="114" xfId="7" applyFont="1" applyFill="1" applyBorder="1" applyAlignment="1">
      <alignment horizontal="center" vertical="center"/>
    </xf>
    <xf numFmtId="10" fontId="24" fillId="3" borderId="114" xfId="1" applyNumberFormat="1" applyFont="1" applyFill="1" applyBorder="1" applyAlignment="1">
      <alignment horizontal="center" vertical="center"/>
    </xf>
    <xf numFmtId="4" fontId="25" fillId="0" borderId="114" xfId="1" applyNumberFormat="1" applyFont="1" applyFill="1" applyBorder="1" applyAlignment="1">
      <alignment horizontal="center" vertical="center"/>
    </xf>
    <xf numFmtId="4" fontId="25" fillId="0" borderId="117" xfId="1" applyNumberFormat="1" applyFont="1" applyFill="1" applyBorder="1" applyAlignment="1">
      <alignment horizontal="center" vertical="center"/>
    </xf>
    <xf numFmtId="4" fontId="85" fillId="0" borderId="63" xfId="1" applyNumberFormat="1" applyFont="1" applyFill="1" applyBorder="1" applyAlignment="1">
      <alignment horizontal="center" vertical="center"/>
    </xf>
    <xf numFmtId="3" fontId="25" fillId="0" borderId="117" xfId="1" applyNumberFormat="1" applyFont="1" applyFill="1" applyBorder="1" applyAlignment="1">
      <alignment horizontal="center" vertical="center"/>
    </xf>
    <xf numFmtId="9" fontId="27" fillId="0" borderId="117" xfId="7" applyFont="1" applyFill="1" applyBorder="1" applyAlignment="1">
      <alignment horizontal="center" vertical="center"/>
    </xf>
    <xf numFmtId="4" fontId="25" fillId="0" borderId="117" xfId="1" applyNumberFormat="1" applyFont="1" applyFill="1" applyBorder="1" applyAlignment="1">
      <alignment horizontal="center" vertical="center" wrapText="1"/>
    </xf>
    <xf numFmtId="3" fontId="27" fillId="0" borderId="114" xfId="6" applyNumberFormat="1" applyFont="1" applyFill="1" applyBorder="1" applyAlignment="1">
      <alignment horizontal="center" vertical="center"/>
    </xf>
    <xf numFmtId="9" fontId="19" fillId="0" borderId="102" xfId="7" applyFont="1" applyFill="1" applyBorder="1" applyAlignment="1">
      <alignment horizontal="center" vertical="center"/>
    </xf>
    <xf numFmtId="3" fontId="24" fillId="8" borderId="116" xfId="1" applyNumberFormat="1" applyFont="1" applyFill="1" applyBorder="1" applyAlignment="1">
      <alignment horizontal="center" vertical="center"/>
    </xf>
    <xf numFmtId="10" fontId="24" fillId="0" borderId="110" xfId="1" applyNumberFormat="1" applyFont="1" applyFill="1" applyBorder="1" applyAlignment="1">
      <alignment horizontal="center" vertical="center"/>
    </xf>
    <xf numFmtId="9" fontId="71" fillId="0" borderId="79" xfId="7" applyFont="1" applyFill="1" applyBorder="1" applyAlignment="1">
      <alignment horizontal="center" vertical="center" wrapText="1"/>
    </xf>
    <xf numFmtId="3" fontId="24" fillId="4" borderId="116" xfId="1" applyNumberFormat="1" applyFont="1" applyFill="1" applyBorder="1" applyAlignment="1">
      <alignment horizontal="center" vertical="center"/>
    </xf>
    <xf numFmtId="3" fontId="24" fillId="4" borderId="119" xfId="1" applyNumberFormat="1" applyFont="1" applyFill="1" applyBorder="1" applyAlignment="1">
      <alignment horizontal="center" vertical="center"/>
    </xf>
    <xf numFmtId="4" fontId="24" fillId="4" borderId="116" xfId="1" applyNumberFormat="1" applyFont="1" applyFill="1" applyBorder="1" applyAlignment="1">
      <alignment horizontal="center" vertical="center"/>
    </xf>
    <xf numFmtId="9" fontId="24" fillId="3" borderId="116" xfId="7" applyFont="1" applyFill="1" applyBorder="1" applyAlignment="1">
      <alignment horizontal="center" vertical="center"/>
    </xf>
    <xf numFmtId="9" fontId="24" fillId="3" borderId="119" xfId="7" applyFont="1" applyFill="1" applyBorder="1" applyAlignment="1">
      <alignment horizontal="center" vertical="center"/>
    </xf>
    <xf numFmtId="10" fontId="24" fillId="3" borderId="116" xfId="1" applyNumberFormat="1" applyFont="1" applyFill="1" applyBorder="1" applyAlignment="1">
      <alignment horizontal="center" vertical="center"/>
    </xf>
    <xf numFmtId="3" fontId="27" fillId="0" borderId="106" xfId="6" applyNumberFormat="1" applyFont="1" applyFill="1" applyBorder="1" applyAlignment="1">
      <alignment horizontal="center" vertical="center"/>
    </xf>
    <xf numFmtId="9" fontId="36" fillId="4" borderId="63" xfId="7" applyFont="1" applyFill="1" applyBorder="1" applyAlignment="1">
      <alignment horizontal="center" vertical="center"/>
    </xf>
    <xf numFmtId="4" fontId="25" fillId="0" borderId="116" xfId="1" applyNumberFormat="1" applyFont="1" applyFill="1" applyBorder="1" applyAlignment="1">
      <alignment horizontal="center" vertical="center"/>
    </xf>
    <xf numFmtId="3" fontId="24" fillId="3" borderId="119" xfId="1" applyNumberFormat="1" applyFont="1" applyFill="1" applyBorder="1" applyAlignment="1">
      <alignment horizontal="center" vertical="center"/>
    </xf>
    <xf numFmtId="4" fontId="25" fillId="0" borderId="115" xfId="1" applyNumberFormat="1" applyFont="1" applyFill="1" applyBorder="1" applyAlignment="1">
      <alignment horizontal="center" vertical="center"/>
    </xf>
    <xf numFmtId="4" fontId="121" fillId="5" borderId="120" xfId="27" applyNumberFormat="1" applyFont="1" applyFill="1" applyBorder="1" applyAlignment="1">
      <alignment horizontal="right" vertical="top"/>
    </xf>
    <xf numFmtId="9" fontId="119" fillId="0" borderId="77" xfId="7" applyFont="1" applyFill="1" applyBorder="1" applyAlignment="1">
      <alignment horizontal="center" vertical="center" wrapText="1"/>
    </xf>
    <xf numFmtId="4" fontId="88" fillId="0" borderId="79" xfId="1" applyNumberFormat="1" applyFont="1" applyFill="1" applyBorder="1" applyAlignment="1">
      <alignment horizontal="center" vertical="center"/>
    </xf>
    <xf numFmtId="9" fontId="119" fillId="0" borderId="77" xfId="7" applyFont="1" applyFill="1" applyBorder="1" applyAlignment="1">
      <alignment horizontal="center" vertical="center"/>
    </xf>
    <xf numFmtId="4" fontId="16" fillId="0" borderId="0" xfId="1" applyNumberFormat="1" applyFont="1" applyAlignment="1">
      <alignment horizontal="left" vertical="center"/>
    </xf>
    <xf numFmtId="4" fontId="85" fillId="0" borderId="7" xfId="1" applyNumberFormat="1" applyFont="1" applyFill="1" applyBorder="1" applyAlignment="1">
      <alignment horizontal="center" vertical="center"/>
    </xf>
    <xf numFmtId="171" fontId="70" fillId="0" borderId="0" xfId="1" applyNumberFormat="1" applyFont="1" applyAlignment="1">
      <alignment horizontal="center" vertical="center"/>
    </xf>
    <xf numFmtId="4" fontId="70" fillId="0" borderId="0" xfId="1" applyNumberFormat="1" applyFont="1" applyAlignment="1">
      <alignment horizontal="right" vertical="center"/>
    </xf>
    <xf numFmtId="4" fontId="122" fillId="0" borderId="0" xfId="1" applyNumberFormat="1" applyFont="1" applyAlignment="1">
      <alignment horizontal="center" vertical="center"/>
    </xf>
    <xf numFmtId="9" fontId="36" fillId="0" borderId="121" xfId="7" applyFont="1" applyFill="1" applyBorder="1" applyAlignment="1">
      <alignment horizontal="center" vertical="center"/>
    </xf>
    <xf numFmtId="2" fontId="27" fillId="0" borderId="58" xfId="7" applyNumberFormat="1" applyFont="1" applyFill="1" applyBorder="1" applyAlignment="1">
      <alignment horizontal="center" vertical="center"/>
    </xf>
    <xf numFmtId="2" fontId="27" fillId="0" borderId="58" xfId="1" applyNumberFormat="1" applyFont="1" applyFill="1" applyBorder="1" applyAlignment="1">
      <alignment horizontal="center" vertical="center"/>
    </xf>
    <xf numFmtId="2" fontId="27" fillId="0" borderId="79" xfId="6" applyNumberFormat="1" applyFont="1" applyFill="1" applyBorder="1" applyAlignment="1">
      <alignment horizontal="center" vertical="center"/>
    </xf>
    <xf numFmtId="2" fontId="27" fillId="0" borderId="107" xfId="7" applyNumberFormat="1" applyFont="1" applyFill="1" applyBorder="1" applyAlignment="1">
      <alignment horizontal="center" vertical="center"/>
    </xf>
    <xf numFmtId="9" fontId="17" fillId="0" borderId="77" xfId="7" applyFont="1" applyFill="1" applyBorder="1" applyAlignment="1">
      <alignment horizontal="center" vertical="center"/>
    </xf>
    <xf numFmtId="9" fontId="67" fillId="0" borderId="79" xfId="7" applyFont="1" applyFill="1" applyBorder="1" applyAlignment="1">
      <alignment horizontal="center" vertical="center" wrapText="1"/>
    </xf>
    <xf numFmtId="9" fontId="36" fillId="0" borderId="122" xfId="7" applyFont="1" applyFill="1" applyBorder="1" applyAlignment="1">
      <alignment horizontal="center" vertical="center"/>
    </xf>
    <xf numFmtId="9" fontId="26" fillId="0" borderId="122" xfId="7" applyFont="1" applyFill="1" applyBorder="1" applyAlignment="1">
      <alignment horizontal="center" vertical="center"/>
    </xf>
    <xf numFmtId="9" fontId="36" fillId="4" borderId="122" xfId="7" applyFont="1" applyFill="1" applyBorder="1" applyAlignment="1">
      <alignment horizontal="center" vertical="center"/>
    </xf>
    <xf numFmtId="9" fontId="27" fillId="0" borderId="122" xfId="7" applyFont="1" applyFill="1" applyBorder="1" applyAlignment="1">
      <alignment horizontal="center" vertical="center"/>
    </xf>
    <xf numFmtId="0" fontId="0" fillId="0" borderId="0" xfId="0"/>
    <xf numFmtId="3" fontId="27" fillId="0" borderId="63" xfId="6" applyNumberFormat="1" applyFont="1" applyFill="1" applyBorder="1" applyAlignment="1">
      <alignment horizontal="center" vertical="center"/>
    </xf>
    <xf numFmtId="3" fontId="58" fillId="0" borderId="0" xfId="0" applyNumberFormat="1" applyFont="1" applyFill="1"/>
    <xf numFmtId="2" fontId="67" fillId="0" borderId="77" xfId="7" applyNumberFormat="1" applyFont="1" applyFill="1" applyBorder="1" applyAlignment="1">
      <alignment horizontal="center" vertical="center" wrapText="1"/>
    </xf>
    <xf numFmtId="10" fontId="29" fillId="0" borderId="110" xfId="1" applyNumberFormat="1" applyFont="1" applyFill="1" applyBorder="1" applyAlignment="1">
      <alignment horizontal="center" vertical="center"/>
    </xf>
    <xf numFmtId="3" fontId="27" fillId="0" borderId="110" xfId="1" applyNumberFormat="1" applyFont="1" applyFill="1" applyBorder="1" applyAlignment="1">
      <alignment horizontal="center" vertical="center"/>
    </xf>
    <xf numFmtId="10" fontId="36" fillId="0" borderId="110" xfId="1" applyNumberFormat="1" applyFont="1" applyFill="1" applyBorder="1" applyAlignment="1">
      <alignment horizontal="center" vertical="center"/>
    </xf>
    <xf numFmtId="9" fontId="108" fillId="0" borderId="122" xfId="7" applyFont="1" applyFill="1" applyBorder="1" applyAlignment="1">
      <alignment horizontal="center" vertical="center"/>
    </xf>
    <xf numFmtId="9" fontId="19" fillId="0" borderId="122" xfId="7" applyFont="1" applyFill="1" applyBorder="1" applyAlignment="1">
      <alignment horizontal="center" vertical="center"/>
    </xf>
    <xf numFmtId="9" fontId="36" fillId="0" borderId="125" xfId="7" applyFont="1" applyFill="1" applyBorder="1" applyAlignment="1">
      <alignment horizontal="center" vertical="center"/>
    </xf>
    <xf numFmtId="9" fontId="27" fillId="0" borderId="125" xfId="7" applyFont="1" applyFill="1" applyBorder="1" applyAlignment="1">
      <alignment horizontal="center" vertical="center"/>
    </xf>
    <xf numFmtId="9" fontId="26" fillId="0" borderId="125" xfId="7" applyFont="1" applyFill="1" applyBorder="1" applyAlignment="1">
      <alignment horizontal="center" vertical="center"/>
    </xf>
    <xf numFmtId="9" fontId="65" fillId="0" borderId="122" xfId="7" applyFont="1" applyFill="1" applyBorder="1" applyAlignment="1">
      <alignment horizontal="center" vertical="center"/>
    </xf>
    <xf numFmtId="9" fontId="24" fillId="3" borderId="165" xfId="7" applyFont="1" applyFill="1" applyBorder="1" applyAlignment="1">
      <alignment horizontal="center" vertical="center"/>
    </xf>
    <xf numFmtId="9" fontId="120" fillId="13" borderId="122" xfId="7" applyFont="1" applyFill="1" applyBorder="1" applyAlignment="1">
      <alignment horizontal="center" vertical="center"/>
    </xf>
    <xf numFmtId="9" fontId="36" fillId="0" borderId="166" xfId="7" applyFont="1" applyFill="1" applyBorder="1" applyAlignment="1">
      <alignment horizontal="center" vertical="center"/>
    </xf>
    <xf numFmtId="3" fontId="27" fillId="0" borderId="167" xfId="1" applyNumberFormat="1" applyFont="1" applyFill="1" applyBorder="1" applyAlignment="1">
      <alignment horizontal="center" vertical="center"/>
    </xf>
    <xf numFmtId="9" fontId="27" fillId="0" borderId="166" xfId="7" applyFont="1" applyFill="1" applyBorder="1" applyAlignment="1">
      <alignment horizontal="center" vertical="center"/>
    </xf>
    <xf numFmtId="3" fontId="27" fillId="0" borderId="168" xfId="1" applyNumberFormat="1" applyFont="1" applyFill="1" applyBorder="1" applyAlignment="1">
      <alignment horizontal="center" vertical="center"/>
    </xf>
    <xf numFmtId="9" fontId="26" fillId="0" borderId="166" xfId="7" applyFont="1" applyFill="1" applyBorder="1" applyAlignment="1">
      <alignment horizontal="center" vertical="center"/>
    </xf>
    <xf numFmtId="9" fontId="19" fillId="0" borderId="166" xfId="7" applyFont="1" applyFill="1" applyBorder="1" applyAlignment="1">
      <alignment horizontal="center" vertical="center"/>
    </xf>
    <xf numFmtId="3" fontId="27" fillId="0" borderId="169" xfId="1" applyNumberFormat="1" applyFont="1" applyFill="1" applyBorder="1" applyAlignment="1">
      <alignment horizontal="center" vertical="center"/>
    </xf>
    <xf numFmtId="0" fontId="24" fillId="11" borderId="167" xfId="1" applyFont="1" applyFill="1" applyBorder="1" applyAlignment="1">
      <alignment vertical="center"/>
    </xf>
    <xf numFmtId="0" fontId="19" fillId="0" borderId="167" xfId="1" applyFont="1" applyFill="1" applyBorder="1" applyAlignment="1">
      <alignment horizontal="left" vertical="center"/>
    </xf>
    <xf numFmtId="0" fontId="27" fillId="0" borderId="166" xfId="1" applyNumberFormat="1" applyFont="1" applyFill="1" applyBorder="1" applyAlignment="1">
      <alignment horizontal="center" vertical="center"/>
    </xf>
    <xf numFmtId="0" fontId="26" fillId="0" borderId="166" xfId="1" applyNumberFormat="1" applyFont="1" applyFill="1" applyBorder="1" applyAlignment="1">
      <alignment horizontal="center" vertical="center"/>
    </xf>
    <xf numFmtId="0" fontId="19" fillId="0" borderId="169" xfId="1" applyFont="1" applyBorder="1" applyAlignment="1">
      <alignment horizontal="left" vertical="center"/>
    </xf>
    <xf numFmtId="0" fontId="16" fillId="0" borderId="0" xfId="1054" applyAlignment="1">
      <alignment vertical="center"/>
    </xf>
    <xf numFmtId="4" fontId="16" fillId="0" borderId="0" xfId="1054" applyNumberFormat="1" applyAlignment="1">
      <alignment horizontal="center" vertical="center"/>
    </xf>
    <xf numFmtId="0" fontId="16" fillId="0" borderId="0" xfId="1054" applyFont="1" applyAlignment="1">
      <alignment horizontal="center" vertical="center"/>
    </xf>
    <xf numFmtId="0" fontId="16" fillId="0" borderId="0" xfId="1054" applyFont="1"/>
    <xf numFmtId="0" fontId="16" fillId="0" borderId="0" xfId="1054"/>
    <xf numFmtId="49" fontId="18" fillId="38" borderId="0" xfId="0" applyNumberFormat="1" applyFont="1" applyFill="1" applyBorder="1" applyAlignment="1">
      <alignment horizontal="center" vertical="center"/>
    </xf>
    <xf numFmtId="0" fontId="32" fillId="12" borderId="56" xfId="1054" applyFont="1" applyFill="1" applyBorder="1" applyAlignment="1">
      <alignment horizontal="center" vertical="center"/>
    </xf>
    <xf numFmtId="0" fontId="33" fillId="12" borderId="1" xfId="1054" applyFont="1" applyFill="1" applyBorder="1" applyAlignment="1">
      <alignment horizontal="center" vertical="center" wrapText="1"/>
    </xf>
    <xf numFmtId="0" fontId="33" fillId="11" borderId="55" xfId="1054" applyFont="1" applyFill="1" applyBorder="1" applyAlignment="1">
      <alignment horizontal="center" vertical="center" wrapText="1"/>
    </xf>
    <xf numFmtId="0" fontId="33" fillId="11" borderId="56" xfId="1054" applyFont="1" applyFill="1" applyBorder="1" applyAlignment="1">
      <alignment horizontal="center" vertical="center" wrapText="1"/>
    </xf>
    <xf numFmtId="0" fontId="42" fillId="12" borderId="56" xfId="1054" applyFont="1" applyFill="1" applyBorder="1" applyAlignment="1">
      <alignment horizontal="center" vertical="center" wrapText="1"/>
    </xf>
    <xf numFmtId="0" fontId="33" fillId="12" borderId="55" xfId="1054" applyFont="1" applyFill="1" applyBorder="1" applyAlignment="1">
      <alignment horizontal="center" vertical="center" wrapText="1"/>
    </xf>
    <xf numFmtId="0" fontId="33" fillId="12" borderId="56" xfId="1054" applyFont="1" applyFill="1" applyBorder="1" applyAlignment="1">
      <alignment horizontal="center" vertical="center" wrapText="1"/>
    </xf>
    <xf numFmtId="0" fontId="42" fillId="12" borderId="55" xfId="1054" applyFont="1" applyFill="1" applyBorder="1" applyAlignment="1">
      <alignment horizontal="center" vertical="center" wrapText="1"/>
    </xf>
    <xf numFmtId="0" fontId="33" fillId="12" borderId="0" xfId="1054" applyFont="1" applyFill="1" applyBorder="1" applyAlignment="1">
      <alignment horizontal="center" vertical="center" wrapText="1"/>
    </xf>
    <xf numFmtId="0" fontId="149" fillId="0" borderId="0" xfId="0" applyFont="1" applyAlignment="1">
      <alignment horizontal="center" vertical="center"/>
    </xf>
    <xf numFmtId="0" fontId="24" fillId="11" borderId="5" xfId="1054" applyFont="1" applyFill="1" applyBorder="1" applyAlignment="1">
      <alignment horizontal="center" vertical="center"/>
    </xf>
    <xf numFmtId="0" fontId="24" fillId="11" borderId="55" xfId="1054" applyFont="1" applyFill="1" applyBorder="1" applyAlignment="1">
      <alignment vertical="center"/>
    </xf>
    <xf numFmtId="4" fontId="24" fillId="11" borderId="55" xfId="1054" applyNumberFormat="1" applyFont="1" applyFill="1" applyBorder="1" applyAlignment="1">
      <alignment horizontal="center" vertical="center"/>
    </xf>
    <xf numFmtId="4" fontId="24" fillId="11" borderId="56" xfId="1054" applyNumberFormat="1" applyFont="1" applyFill="1" applyBorder="1" applyAlignment="1">
      <alignment horizontal="center" vertical="center"/>
    </xf>
    <xf numFmtId="4" fontId="24" fillId="11" borderId="51" xfId="1054" applyNumberFormat="1" applyFont="1" applyFill="1" applyBorder="1" applyAlignment="1">
      <alignment horizontal="center" vertical="center"/>
    </xf>
    <xf numFmtId="4" fontId="24" fillId="11" borderId="1" xfId="1054" applyNumberFormat="1" applyFont="1" applyFill="1" applyBorder="1" applyAlignment="1">
      <alignment horizontal="center" vertical="center"/>
    </xf>
    <xf numFmtId="4" fontId="24" fillId="11" borderId="0" xfId="1054" applyNumberFormat="1" applyFont="1" applyFill="1" applyBorder="1" applyAlignment="1">
      <alignment horizontal="center" vertical="center"/>
    </xf>
    <xf numFmtId="0" fontId="16" fillId="11" borderId="0" xfId="1054" applyFont="1" applyFill="1" applyAlignment="1">
      <alignment horizontal="center" vertical="center"/>
    </xf>
    <xf numFmtId="0" fontId="150" fillId="11" borderId="0" xfId="1054" applyFont="1" applyFill="1"/>
    <xf numFmtId="0" fontId="20" fillId="11" borderId="0" xfId="1054" applyFont="1" applyFill="1"/>
    <xf numFmtId="4" fontId="24" fillId="0" borderId="6" xfId="1054" applyNumberFormat="1" applyFont="1" applyFill="1" applyBorder="1" applyAlignment="1">
      <alignment vertical="center"/>
    </xf>
    <xf numFmtId="0" fontId="19" fillId="0" borderId="76" xfId="1054" applyFont="1" applyBorder="1" applyAlignment="1">
      <alignment vertical="center"/>
    </xf>
    <xf numFmtId="3" fontId="25" fillId="0" borderId="80" xfId="1054" applyNumberFormat="1" applyFont="1" applyFill="1" applyBorder="1" applyAlignment="1">
      <alignment horizontal="center" vertical="center"/>
    </xf>
    <xf numFmtId="3" fontId="25" fillId="0" borderId="79" xfId="1054" applyNumberFormat="1" applyFont="1" applyFill="1" applyBorder="1" applyAlignment="1">
      <alignment horizontal="center" vertical="center"/>
    </xf>
    <xf numFmtId="3" fontId="27" fillId="0" borderId="79" xfId="128" applyNumberFormat="1" applyFont="1" applyFill="1" applyBorder="1" applyAlignment="1">
      <alignment horizontal="center" vertical="center"/>
    </xf>
    <xf numFmtId="4" fontId="25" fillId="0" borderId="77" xfId="1054" applyNumberFormat="1" applyFont="1" applyFill="1" applyBorder="1" applyAlignment="1">
      <alignment horizontal="center" vertical="center"/>
    </xf>
    <xf numFmtId="4" fontId="65" fillId="0" borderId="77" xfId="1054" applyNumberFormat="1" applyFont="1" applyFill="1" applyBorder="1" applyAlignment="1">
      <alignment horizontal="center" vertical="center"/>
    </xf>
    <xf numFmtId="4" fontId="25" fillId="0" borderId="76" xfId="1054" applyNumberFormat="1" applyFont="1" applyFill="1" applyBorder="1" applyAlignment="1">
      <alignment horizontal="center" vertical="center"/>
    </xf>
    <xf numFmtId="4" fontId="25" fillId="0" borderId="79" xfId="1054" applyNumberFormat="1" applyFont="1" applyFill="1" applyBorder="1" applyAlignment="1">
      <alignment horizontal="center" vertical="center"/>
    </xf>
    <xf numFmtId="4" fontId="108" fillId="0" borderId="79" xfId="1054" applyNumberFormat="1" applyFont="1" applyFill="1" applyBorder="1" applyAlignment="1">
      <alignment horizontal="center" vertical="center"/>
    </xf>
    <xf numFmtId="4" fontId="108" fillId="0" borderId="77" xfId="1054" applyNumberFormat="1" applyFont="1" applyFill="1" applyBorder="1" applyAlignment="1">
      <alignment horizontal="center" vertical="center" wrapText="1"/>
    </xf>
    <xf numFmtId="4" fontId="25" fillId="0" borderId="77" xfId="1054" applyNumberFormat="1" applyFont="1" applyFill="1" applyBorder="1" applyAlignment="1">
      <alignment horizontal="center" vertical="center" wrapText="1"/>
    </xf>
    <xf numFmtId="4" fontId="25" fillId="0" borderId="0" xfId="1054" applyNumberFormat="1" applyFont="1" applyFill="1" applyBorder="1" applyAlignment="1">
      <alignment horizontal="center" vertical="center"/>
    </xf>
    <xf numFmtId="3" fontId="16" fillId="9" borderId="0" xfId="1054" applyNumberFormat="1" applyFont="1" applyFill="1" applyAlignment="1">
      <alignment horizontal="center" vertical="center"/>
    </xf>
    <xf numFmtId="4" fontId="82" fillId="0" borderId="0" xfId="1054" applyNumberFormat="1" applyFont="1" applyFill="1" applyAlignment="1">
      <alignment horizontal="center" vertical="center"/>
    </xf>
    <xf numFmtId="0" fontId="150" fillId="0" borderId="0" xfId="1054" applyFont="1"/>
    <xf numFmtId="0" fontId="20" fillId="0" borderId="0" xfId="1054" applyFont="1"/>
    <xf numFmtId="0" fontId="24" fillId="0" borderId="6" xfId="1054" applyFont="1" applyFill="1" applyBorder="1" applyAlignment="1">
      <alignment vertical="center"/>
    </xf>
    <xf numFmtId="0" fontId="19" fillId="0" borderId="86" xfId="1054" applyFont="1" applyBorder="1" applyAlignment="1">
      <alignment horizontal="left" vertical="center"/>
    </xf>
    <xf numFmtId="3" fontId="25" fillId="0" borderId="126" xfId="1054" applyNumberFormat="1" applyFont="1" applyFill="1" applyBorder="1" applyAlignment="1">
      <alignment horizontal="center" vertical="center"/>
    </xf>
    <xf numFmtId="3" fontId="25" fillId="0" borderId="127" xfId="1054" applyNumberFormat="1" applyFont="1" applyFill="1" applyBorder="1" applyAlignment="1">
      <alignment horizontal="center" vertical="center"/>
    </xf>
    <xf numFmtId="4" fontId="25" fillId="0" borderId="110" xfId="1054" applyNumberFormat="1" applyFont="1" applyFill="1" applyBorder="1" applyAlignment="1">
      <alignment horizontal="center" vertical="center"/>
    </xf>
    <xf numFmtId="4" fontId="25" fillId="0" borderId="36" xfId="1054" applyNumberFormat="1" applyFont="1" applyFill="1" applyBorder="1" applyAlignment="1">
      <alignment horizontal="center" vertical="center"/>
    </xf>
    <xf numFmtId="4" fontId="25" fillId="0" borderId="86" xfId="1054" applyNumberFormat="1" applyFont="1" applyFill="1" applyBorder="1" applyAlignment="1">
      <alignment horizontal="center" vertical="center"/>
    </xf>
    <xf numFmtId="3" fontId="16" fillId="0" borderId="0" xfId="1054" applyNumberFormat="1" applyFont="1" applyAlignment="1">
      <alignment horizontal="center" vertical="center"/>
    </xf>
    <xf numFmtId="3" fontId="24" fillId="11" borderId="55" xfId="1054" applyNumberFormat="1" applyFont="1" applyFill="1" applyBorder="1" applyAlignment="1">
      <alignment horizontal="center" vertical="center"/>
    </xf>
    <xf numFmtId="3" fontId="24" fillId="11" borderId="56" xfId="1054" applyNumberFormat="1" applyFont="1" applyFill="1" applyBorder="1" applyAlignment="1">
      <alignment horizontal="center" vertical="center"/>
    </xf>
    <xf numFmtId="0" fontId="19" fillId="0" borderId="63" xfId="1054" applyFont="1" applyBorder="1" applyAlignment="1">
      <alignment vertical="center"/>
    </xf>
    <xf numFmtId="3" fontId="27" fillId="0" borderId="19" xfId="1054" applyNumberFormat="1" applyFont="1" applyFill="1" applyBorder="1" applyAlignment="1">
      <alignment horizontal="center" vertical="center"/>
    </xf>
    <xf numFmtId="3" fontId="27" fillId="0" borderId="62" xfId="1054" applyNumberFormat="1" applyFont="1" applyFill="1" applyBorder="1" applyAlignment="1">
      <alignment horizontal="center" vertical="center"/>
    </xf>
    <xf numFmtId="3" fontId="27" fillId="0" borderId="63" xfId="128" applyNumberFormat="1" applyFont="1" applyFill="1" applyBorder="1" applyAlignment="1">
      <alignment horizontal="center" vertical="center"/>
    </xf>
    <xf numFmtId="4" fontId="25" fillId="0" borderId="58" xfId="1054" applyNumberFormat="1" applyFont="1" applyFill="1" applyBorder="1" applyAlignment="1">
      <alignment horizontal="center" vertical="center"/>
    </xf>
    <xf numFmtId="3" fontId="25" fillId="0" borderId="58" xfId="1054" applyNumberFormat="1" applyFont="1" applyFill="1" applyBorder="1" applyAlignment="1">
      <alignment horizontal="center" vertical="center"/>
    </xf>
    <xf numFmtId="4" fontId="25" fillId="0" borderId="58" xfId="1054" applyNumberFormat="1" applyFont="1" applyFill="1" applyBorder="1" applyAlignment="1">
      <alignment horizontal="center" vertical="center" wrapText="1"/>
    </xf>
    <xf numFmtId="4" fontId="25" fillId="0" borderId="19" xfId="1054" applyNumberFormat="1" applyFont="1" applyFill="1" applyBorder="1" applyAlignment="1">
      <alignment horizontal="center" vertical="center" wrapText="1"/>
    </xf>
    <xf numFmtId="4" fontId="25" fillId="0" borderId="63" xfId="1054" applyNumberFormat="1" applyFont="1" applyFill="1" applyBorder="1" applyAlignment="1">
      <alignment horizontal="center" vertical="center"/>
    </xf>
    <xf numFmtId="3" fontId="25" fillId="0" borderId="77" xfId="1054" applyNumberFormat="1" applyFont="1" applyFill="1" applyBorder="1" applyAlignment="1">
      <alignment horizontal="center" vertical="center"/>
    </xf>
    <xf numFmtId="9" fontId="27" fillId="0" borderId="0" xfId="7" applyFont="1" applyFill="1" applyBorder="1" applyAlignment="1">
      <alignment horizontal="center" vertical="center"/>
    </xf>
    <xf numFmtId="0" fontId="19" fillId="0" borderId="79" xfId="1054" applyFont="1" applyBorder="1" applyAlignment="1">
      <alignment vertical="center"/>
    </xf>
    <xf numFmtId="3" fontId="27" fillId="0" borderId="76" xfId="1054" applyNumberFormat="1" applyFont="1" applyFill="1" applyBorder="1" applyAlignment="1">
      <alignment horizontal="center" vertical="center"/>
    </xf>
    <xf numFmtId="3" fontId="27" fillId="0" borderId="80" xfId="1054" applyNumberFormat="1" applyFont="1" applyFill="1" applyBorder="1" applyAlignment="1">
      <alignment horizontal="center" vertical="center"/>
    </xf>
    <xf numFmtId="4" fontId="25" fillId="0" borderId="76" xfId="1054" applyNumberFormat="1" applyFont="1" applyFill="1" applyBorder="1" applyAlignment="1">
      <alignment horizontal="center" vertical="center" wrapText="1"/>
    </xf>
    <xf numFmtId="0" fontId="19" fillId="0" borderId="124" xfId="1054" applyFont="1" applyBorder="1" applyAlignment="1">
      <alignment vertical="center"/>
    </xf>
    <xf numFmtId="3" fontId="27" fillId="0" borderId="123" xfId="1054" applyNumberFormat="1" applyFont="1" applyFill="1" applyBorder="1" applyAlignment="1">
      <alignment horizontal="center" vertical="center"/>
    </xf>
    <xf numFmtId="3" fontId="24" fillId="0" borderId="6" xfId="1054" applyNumberFormat="1" applyFont="1" applyFill="1" applyBorder="1" applyAlignment="1">
      <alignment vertical="center"/>
    </xf>
    <xf numFmtId="4" fontId="85" fillId="13" borderId="79" xfId="1054" applyNumberFormat="1" applyFont="1" applyFill="1" applyBorder="1" applyAlignment="1">
      <alignment horizontal="center" vertical="center"/>
    </xf>
    <xf numFmtId="4" fontId="85" fillId="13" borderId="77" xfId="1054" applyNumberFormat="1" applyFont="1" applyFill="1" applyBorder="1" applyAlignment="1">
      <alignment horizontal="center" vertical="center"/>
    </xf>
    <xf numFmtId="3" fontId="85" fillId="13" borderId="77" xfId="1054" applyNumberFormat="1" applyFont="1" applyFill="1" applyBorder="1" applyAlignment="1">
      <alignment horizontal="center" vertical="center"/>
    </xf>
    <xf numFmtId="4" fontId="85" fillId="13" borderId="77" xfId="1054" applyNumberFormat="1" applyFont="1" applyFill="1" applyBorder="1" applyAlignment="1">
      <alignment horizontal="center" vertical="center" wrapText="1"/>
    </xf>
    <xf numFmtId="3" fontId="16" fillId="18" borderId="0" xfId="1054" applyNumberFormat="1" applyFont="1" applyFill="1" applyAlignment="1">
      <alignment horizontal="center" vertical="center"/>
    </xf>
    <xf numFmtId="4" fontId="82" fillId="33" borderId="0" xfId="1054" applyNumberFormat="1" applyFont="1" applyFill="1" applyAlignment="1">
      <alignment horizontal="center" vertical="center"/>
    </xf>
    <xf numFmtId="3" fontId="27" fillId="0" borderId="102" xfId="1054" applyNumberFormat="1" applyFont="1" applyFill="1" applyBorder="1" applyAlignment="1">
      <alignment horizontal="center" vertical="center"/>
    </xf>
    <xf numFmtId="4" fontId="16" fillId="0" borderId="0" xfId="1054" applyNumberFormat="1" applyFont="1" applyAlignment="1">
      <alignment horizontal="center" vertical="center"/>
    </xf>
    <xf numFmtId="4" fontId="108" fillId="9" borderId="79" xfId="1054" applyNumberFormat="1" applyFont="1" applyFill="1" applyBorder="1" applyAlignment="1">
      <alignment horizontal="center" vertical="center"/>
    </xf>
    <xf numFmtId="4" fontId="150" fillId="0" borderId="0" xfId="1054" applyNumberFormat="1" applyFont="1"/>
    <xf numFmtId="0" fontId="19" fillId="0" borderId="124" xfId="1054" applyFont="1" applyFill="1" applyBorder="1" applyAlignment="1">
      <alignment vertical="center"/>
    </xf>
    <xf numFmtId="3" fontId="16" fillId="0" borderId="0" xfId="1054" applyNumberFormat="1" applyFont="1" applyFill="1" applyAlignment="1">
      <alignment horizontal="center" vertical="center"/>
    </xf>
    <xf numFmtId="0" fontId="150" fillId="0" borderId="0" xfId="1054" applyFont="1" applyFill="1"/>
    <xf numFmtId="0" fontId="20" fillId="0" borderId="0" xfId="1054" applyFont="1" applyFill="1"/>
    <xf numFmtId="3" fontId="27" fillId="5" borderId="124" xfId="1054" applyNumberFormat="1" applyFont="1" applyFill="1" applyBorder="1" applyAlignment="1">
      <alignment horizontal="center" vertical="center"/>
    </xf>
    <xf numFmtId="0" fontId="19" fillId="0" borderId="127" xfId="1054" applyFont="1" applyBorder="1" applyAlignment="1">
      <alignment vertical="center"/>
    </xf>
    <xf numFmtId="3" fontId="27" fillId="0" borderId="86" xfId="1054" applyNumberFormat="1" applyFont="1" applyFill="1" applyBorder="1" applyAlignment="1">
      <alignment horizontal="center" vertical="center"/>
    </xf>
    <xf numFmtId="3" fontId="27" fillId="0" borderId="126" xfId="1054" applyNumberFormat="1" applyFont="1" applyFill="1" applyBorder="1" applyAlignment="1">
      <alignment horizontal="center" vertical="center"/>
    </xf>
    <xf numFmtId="9" fontId="26" fillId="0" borderId="102" xfId="7" applyFont="1" applyFill="1" applyBorder="1" applyAlignment="1">
      <alignment horizontal="center" vertical="center"/>
    </xf>
    <xf numFmtId="0" fontId="19" fillId="0" borderId="165" xfId="1054" applyFont="1" applyBorder="1" applyAlignment="1">
      <alignment vertical="center"/>
    </xf>
    <xf numFmtId="3" fontId="27" fillId="0" borderId="118" xfId="1054" applyNumberFormat="1" applyFont="1" applyFill="1" applyBorder="1" applyAlignment="1">
      <alignment horizontal="center" vertical="center"/>
    </xf>
    <xf numFmtId="3" fontId="27" fillId="0" borderId="119" xfId="1054" applyNumberFormat="1" applyFont="1" applyFill="1" applyBorder="1" applyAlignment="1">
      <alignment horizontal="center" vertical="center"/>
    </xf>
    <xf numFmtId="3" fontId="27" fillId="0" borderId="7" xfId="128" applyNumberFormat="1" applyFont="1" applyFill="1" applyBorder="1" applyAlignment="1">
      <alignment horizontal="center" vertical="center"/>
    </xf>
    <xf numFmtId="4" fontId="25" fillId="0" borderId="20" xfId="1054" applyNumberFormat="1" applyFont="1" applyFill="1" applyBorder="1" applyAlignment="1">
      <alignment horizontal="center" vertical="center"/>
    </xf>
    <xf numFmtId="3" fontId="25" fillId="0" borderId="20" xfId="1054" applyNumberFormat="1" applyFont="1" applyFill="1" applyBorder="1" applyAlignment="1">
      <alignment horizontal="center" vertical="center"/>
    </xf>
    <xf numFmtId="9" fontId="26" fillId="0" borderId="118" xfId="7" applyFont="1" applyFill="1" applyBorder="1" applyAlignment="1">
      <alignment horizontal="center" vertical="center"/>
    </xf>
    <xf numFmtId="4" fontId="25" fillId="0" borderId="7" xfId="1054" applyNumberFormat="1" applyFont="1" applyFill="1" applyBorder="1" applyAlignment="1">
      <alignment horizontal="center" vertical="center"/>
    </xf>
    <xf numFmtId="4" fontId="25" fillId="0" borderId="165" xfId="1054" applyNumberFormat="1" applyFont="1" applyFill="1" applyBorder="1" applyAlignment="1">
      <alignment horizontal="center" vertical="center"/>
    </xf>
    <xf numFmtId="4" fontId="25" fillId="0" borderId="125" xfId="1054" applyNumberFormat="1" applyFont="1" applyFill="1" applyBorder="1" applyAlignment="1">
      <alignment horizontal="center" vertical="center"/>
    </xf>
    <xf numFmtId="3" fontId="25" fillId="0" borderId="125" xfId="1054" applyNumberFormat="1" applyFont="1" applyFill="1" applyBorder="1" applyAlignment="1">
      <alignment horizontal="center" vertical="center"/>
    </xf>
    <xf numFmtId="0" fontId="19" fillId="0" borderId="76" xfId="1054" applyFont="1" applyBorder="1" applyAlignment="1">
      <alignment horizontal="left" vertical="center"/>
    </xf>
    <xf numFmtId="4" fontId="26" fillId="0" borderId="80" xfId="1054" applyNumberFormat="1" applyFont="1" applyFill="1" applyBorder="1" applyAlignment="1">
      <alignment horizontal="center" vertical="center"/>
    </xf>
    <xf numFmtId="4" fontId="26" fillId="0" borderId="79" xfId="1054" applyNumberFormat="1" applyFont="1" applyFill="1" applyBorder="1" applyAlignment="1">
      <alignment horizontal="center" vertical="center"/>
    </xf>
    <xf numFmtId="10" fontId="26" fillId="0" borderId="77" xfId="1054" applyNumberFormat="1" applyFont="1" applyFill="1" applyBorder="1" applyAlignment="1">
      <alignment horizontal="center" vertical="center"/>
    </xf>
    <xf numFmtId="10" fontId="39" fillId="0" borderId="77" xfId="1054" applyNumberFormat="1" applyFont="1" applyFill="1" applyBorder="1" applyAlignment="1">
      <alignment horizontal="center" vertical="center"/>
    </xf>
    <xf numFmtId="10" fontId="26" fillId="0" borderId="76" xfId="1054" applyNumberFormat="1" applyFont="1" applyFill="1" applyBorder="1" applyAlignment="1">
      <alignment horizontal="center" vertical="center"/>
    </xf>
    <xf numFmtId="10" fontId="26" fillId="0" borderId="0" xfId="1054" applyNumberFormat="1" applyFont="1" applyFill="1" applyBorder="1" applyAlignment="1">
      <alignment horizontal="center" vertical="center"/>
    </xf>
    <xf numFmtId="0" fontId="24" fillId="11" borderId="102" xfId="1054" applyFont="1" applyFill="1" applyBorder="1" applyAlignment="1">
      <alignment vertical="center"/>
    </xf>
    <xf numFmtId="4" fontId="24" fillId="11" borderId="123" xfId="1054" applyNumberFormat="1" applyFont="1" applyFill="1" applyBorder="1" applyAlignment="1">
      <alignment horizontal="center" vertical="center"/>
    </xf>
    <xf numFmtId="4" fontId="24" fillId="11" borderId="124" xfId="1054" applyNumberFormat="1" applyFont="1" applyFill="1" applyBorder="1" applyAlignment="1">
      <alignment horizontal="center" vertical="center"/>
    </xf>
    <xf numFmtId="4" fontId="29" fillId="11" borderId="124" xfId="1054" applyNumberFormat="1" applyFont="1" applyFill="1" applyBorder="1" applyAlignment="1">
      <alignment horizontal="center" vertical="center"/>
    </xf>
    <xf numFmtId="4" fontId="66" fillId="11" borderId="124" xfId="1054" applyNumberFormat="1" applyFont="1" applyFill="1" applyBorder="1" applyAlignment="1">
      <alignment horizontal="center" vertical="center"/>
    </xf>
    <xf numFmtId="4" fontId="29" fillId="11" borderId="123" xfId="1054" applyNumberFormat="1" applyFont="1" applyFill="1" applyBorder="1" applyAlignment="1">
      <alignment horizontal="center" vertical="center"/>
    </xf>
    <xf numFmtId="4" fontId="66" fillId="11" borderId="123" xfId="1054" applyNumberFormat="1" applyFont="1" applyFill="1" applyBorder="1" applyAlignment="1">
      <alignment horizontal="center" vertical="center"/>
    </xf>
    <xf numFmtId="4" fontId="16" fillId="11" borderId="0" xfId="1054" applyNumberFormat="1" applyFont="1" applyFill="1" applyAlignment="1">
      <alignment horizontal="center" vertical="center"/>
    </xf>
    <xf numFmtId="0" fontId="19" fillId="0" borderId="102" xfId="1054" applyFont="1" applyFill="1" applyBorder="1" applyAlignment="1">
      <alignment horizontal="left" vertical="center"/>
    </xf>
    <xf numFmtId="4" fontId="27" fillId="0" borderId="123" xfId="1054" applyNumberFormat="1" applyFont="1" applyFill="1" applyBorder="1" applyAlignment="1">
      <alignment horizontal="center" vertical="center"/>
    </xf>
    <xf numFmtId="4" fontId="27" fillId="0" borderId="124" xfId="1054" applyNumberFormat="1" applyFont="1" applyFill="1" applyBorder="1" applyAlignment="1">
      <alignment horizontal="center" vertical="center"/>
    </xf>
    <xf numFmtId="0" fontId="26" fillId="0" borderId="122" xfId="1054" applyNumberFormat="1" applyFont="1" applyFill="1" applyBorder="1" applyAlignment="1">
      <alignment horizontal="center" vertical="center"/>
    </xf>
    <xf numFmtId="0" fontId="26" fillId="0" borderId="102" xfId="1054" applyNumberFormat="1" applyFont="1" applyFill="1" applyBorder="1" applyAlignment="1">
      <alignment horizontal="center" vertical="center"/>
    </xf>
    <xf numFmtId="0" fontId="27" fillId="0" borderId="122" xfId="1054" applyNumberFormat="1" applyFont="1" applyFill="1" applyBorder="1" applyAlignment="1">
      <alignment horizontal="center" vertical="center"/>
    </xf>
    <xf numFmtId="0" fontId="27" fillId="0" borderId="0" xfId="1054" applyNumberFormat="1" applyFont="1" applyFill="1" applyBorder="1" applyAlignment="1">
      <alignment horizontal="center" vertical="center"/>
    </xf>
    <xf numFmtId="0" fontId="16" fillId="0" borderId="0" xfId="1054" applyFont="1" applyFill="1" applyAlignment="1">
      <alignment horizontal="center" vertical="center"/>
    </xf>
    <xf numFmtId="4" fontId="16" fillId="0" borderId="0" xfId="1054" applyNumberFormat="1" applyFont="1" applyFill="1" applyAlignment="1">
      <alignment horizontal="center" vertical="center"/>
    </xf>
    <xf numFmtId="0" fontId="19" fillId="0" borderId="118" xfId="1054" applyFont="1" applyBorder="1" applyAlignment="1">
      <alignment horizontal="left" vertical="center"/>
    </xf>
    <xf numFmtId="4" fontId="27" fillId="0" borderId="119" xfId="1054" applyNumberFormat="1" applyFont="1" applyFill="1" applyBorder="1" applyAlignment="1">
      <alignment horizontal="center" vertical="center"/>
    </xf>
    <xf numFmtId="4" fontId="27" fillId="0" borderId="165" xfId="1054" applyNumberFormat="1" applyFont="1" applyFill="1" applyBorder="1" applyAlignment="1">
      <alignment horizontal="center" vertical="center"/>
    </xf>
    <xf numFmtId="10" fontId="27" fillId="0" borderId="125" xfId="1054" applyNumberFormat="1" applyFont="1" applyFill="1" applyBorder="1" applyAlignment="1">
      <alignment horizontal="center" vertical="center"/>
    </xf>
    <xf numFmtId="10" fontId="36" fillId="0" borderId="125" xfId="1054" applyNumberFormat="1" applyFont="1" applyFill="1" applyBorder="1" applyAlignment="1">
      <alignment horizontal="center" vertical="center"/>
    </xf>
    <xf numFmtId="10" fontId="26" fillId="0" borderId="125" xfId="1054" applyNumberFormat="1" applyFont="1" applyFill="1" applyBorder="1" applyAlignment="1">
      <alignment horizontal="center" vertical="center"/>
    </xf>
    <xf numFmtId="10" fontId="36" fillId="0" borderId="36" xfId="1054" applyNumberFormat="1" applyFont="1" applyFill="1" applyBorder="1" applyAlignment="1">
      <alignment horizontal="center" vertical="center"/>
    </xf>
    <xf numFmtId="10" fontId="26" fillId="0" borderId="118" xfId="1054" applyNumberFormat="1" applyFont="1" applyFill="1" applyBorder="1" applyAlignment="1">
      <alignment horizontal="center" vertical="center"/>
    </xf>
    <xf numFmtId="10" fontId="27" fillId="0" borderId="0" xfId="1054" applyNumberFormat="1" applyFont="1" applyFill="1" applyBorder="1" applyAlignment="1">
      <alignment horizontal="center" vertical="center"/>
    </xf>
    <xf numFmtId="0" fontId="24" fillId="0" borderId="56" xfId="1054" applyFont="1" applyBorder="1" applyAlignment="1">
      <alignment horizontal="center" vertical="center"/>
    </xf>
    <xf numFmtId="0" fontId="24" fillId="6" borderId="1" xfId="1054" applyFont="1" applyFill="1" applyBorder="1" applyAlignment="1">
      <alignment vertical="center"/>
    </xf>
    <xf numFmtId="4" fontId="20" fillId="6" borderId="56" xfId="1054" applyNumberFormat="1" applyFont="1" applyFill="1" applyBorder="1" applyAlignment="1">
      <alignment horizontal="center" vertical="center"/>
    </xf>
    <xf numFmtId="4" fontId="37" fillId="6" borderId="56" xfId="1054" applyNumberFormat="1" applyFont="1" applyFill="1" applyBorder="1" applyAlignment="1">
      <alignment horizontal="center" vertical="center"/>
    </xf>
    <xf numFmtId="4" fontId="35" fillId="6" borderId="56" xfId="1054" applyNumberFormat="1" applyFont="1" applyFill="1" applyBorder="1" applyAlignment="1">
      <alignment horizontal="center" vertical="center"/>
    </xf>
    <xf numFmtId="4" fontId="35" fillId="6" borderId="55" xfId="1054" applyNumberFormat="1" applyFont="1" applyFill="1" applyBorder="1" applyAlignment="1">
      <alignment horizontal="center" vertical="center"/>
    </xf>
    <xf numFmtId="4" fontId="20" fillId="6" borderId="0" xfId="1054" applyNumberFormat="1" applyFont="1" applyFill="1" applyBorder="1" applyAlignment="1">
      <alignment horizontal="center" vertical="center"/>
    </xf>
    <xf numFmtId="0" fontId="24" fillId="0" borderId="5" xfId="1054" applyFont="1" applyBorder="1" applyAlignment="1">
      <alignment horizontal="center" vertical="center"/>
    </xf>
    <xf numFmtId="0" fontId="24" fillId="3" borderId="19" xfId="1054" applyFont="1" applyFill="1" applyBorder="1" applyAlignment="1">
      <alignment vertical="center"/>
    </xf>
    <xf numFmtId="10" fontId="29" fillId="3" borderId="63" xfId="1054" applyNumberFormat="1" applyFont="1" applyFill="1" applyBorder="1" applyAlignment="1">
      <alignment horizontal="center" vertical="center"/>
    </xf>
    <xf numFmtId="10" fontId="24" fillId="3" borderId="62" xfId="1054" applyNumberFormat="1" applyFont="1" applyFill="1" applyBorder="1" applyAlignment="1">
      <alignment horizontal="center" vertical="center"/>
    </xf>
    <xf numFmtId="10" fontId="24" fillId="3" borderId="63" xfId="1054" applyNumberFormat="1" applyFont="1" applyFill="1" applyBorder="1" applyAlignment="1">
      <alignment horizontal="center" vertical="center"/>
    </xf>
    <xf numFmtId="10" fontId="66" fillId="3" borderId="63" xfId="1054" applyNumberFormat="1" applyFont="1" applyFill="1" applyBorder="1" applyAlignment="1">
      <alignment horizontal="center" vertical="center"/>
    </xf>
    <xf numFmtId="10" fontId="29" fillId="3" borderId="62" xfId="1054" applyNumberFormat="1" applyFont="1" applyFill="1" applyBorder="1" applyAlignment="1">
      <alignment horizontal="center" vertical="center"/>
    </xf>
    <xf numFmtId="10" fontId="66" fillId="3" borderId="62" xfId="1054" applyNumberFormat="1" applyFont="1" applyFill="1" applyBorder="1" applyAlignment="1">
      <alignment horizontal="center" vertical="center"/>
    </xf>
    <xf numFmtId="10" fontId="24" fillId="3" borderId="0" xfId="1054" applyNumberFormat="1" applyFont="1" applyFill="1" applyBorder="1" applyAlignment="1">
      <alignment horizontal="center" vertical="center"/>
    </xf>
    <xf numFmtId="0" fontId="24" fillId="0" borderId="7" xfId="1054" applyFont="1" applyBorder="1" applyAlignment="1">
      <alignment horizontal="center" vertical="center"/>
    </xf>
    <xf numFmtId="0" fontId="24" fillId="0" borderId="118" xfId="1054" applyFont="1" applyFill="1" applyBorder="1" applyAlignment="1">
      <alignment vertical="center"/>
    </xf>
    <xf numFmtId="10" fontId="24" fillId="0" borderId="119" xfId="1054" applyNumberFormat="1" applyFont="1" applyFill="1" applyBorder="1" applyAlignment="1">
      <alignment horizontal="center" vertical="center"/>
    </xf>
    <xf numFmtId="10" fontId="24" fillId="0" borderId="165" xfId="1054" applyNumberFormat="1" applyFont="1" applyFill="1" applyBorder="1" applyAlignment="1">
      <alignment horizontal="center" vertical="center"/>
    </xf>
    <xf numFmtId="10" fontId="24" fillId="0" borderId="125" xfId="1054" applyNumberFormat="1" applyFont="1" applyFill="1" applyBorder="1" applyAlignment="1">
      <alignment horizontal="center" vertical="center"/>
    </xf>
    <xf numFmtId="10" fontId="29" fillId="0" borderId="125" xfId="1054" applyNumberFormat="1" applyFont="1" applyFill="1" applyBorder="1" applyAlignment="1">
      <alignment horizontal="center" vertical="center"/>
    </xf>
    <xf numFmtId="10" fontId="66" fillId="0" borderId="125" xfId="1054" applyNumberFormat="1" applyFont="1" applyFill="1" applyBorder="1" applyAlignment="1">
      <alignment horizontal="center" vertical="center"/>
    </xf>
    <xf numFmtId="10" fontId="66" fillId="0" borderId="118" xfId="1054" applyNumberFormat="1" applyFont="1" applyFill="1" applyBorder="1" applyAlignment="1">
      <alignment horizontal="center" vertical="center"/>
    </xf>
    <xf numFmtId="10" fontId="24" fillId="0" borderId="0" xfId="1054" applyNumberFormat="1" applyFont="1" applyFill="1" applyBorder="1" applyAlignment="1">
      <alignment horizontal="center" vertical="center"/>
    </xf>
    <xf numFmtId="0" fontId="22" fillId="0" borderId="6" xfId="1054" applyFont="1" applyBorder="1" applyAlignment="1">
      <alignment horizontal="center" vertical="center"/>
    </xf>
    <xf numFmtId="0" fontId="24" fillId="4" borderId="76" xfId="1054" applyFont="1" applyFill="1" applyBorder="1" applyAlignment="1">
      <alignment vertical="center"/>
    </xf>
    <xf numFmtId="3" fontId="24" fillId="4" borderId="80" xfId="1054" applyNumberFormat="1" applyFont="1" applyFill="1" applyBorder="1" applyAlignment="1">
      <alignment horizontal="center" vertical="center"/>
    </xf>
    <xf numFmtId="3" fontId="24" fillId="4" borderId="79" xfId="1054" applyNumberFormat="1" applyFont="1" applyFill="1" applyBorder="1" applyAlignment="1">
      <alignment horizontal="center" vertical="center"/>
    </xf>
    <xf numFmtId="4" fontId="66" fillId="4" borderId="63" xfId="1054" applyNumberFormat="1" applyFont="1" applyFill="1" applyBorder="1" applyAlignment="1">
      <alignment horizontal="center" vertical="center"/>
    </xf>
    <xf numFmtId="4" fontId="66" fillId="4" borderId="62" xfId="1054" applyNumberFormat="1" applyFont="1" applyFill="1" applyBorder="1" applyAlignment="1">
      <alignment horizontal="center" vertical="center"/>
    </xf>
    <xf numFmtId="4" fontId="24" fillId="4" borderId="63" xfId="1054" applyNumberFormat="1" applyFont="1" applyFill="1" applyBorder="1" applyAlignment="1">
      <alignment horizontal="center" vertical="center"/>
    </xf>
    <xf numFmtId="4" fontId="24" fillId="4" borderId="0" xfId="1054" applyNumberFormat="1" applyFont="1" applyFill="1" applyBorder="1" applyAlignment="1">
      <alignment horizontal="center" vertical="center"/>
    </xf>
    <xf numFmtId="0" fontId="19" fillId="0" borderId="102" xfId="1054" applyFont="1" applyFill="1" applyBorder="1" applyAlignment="1">
      <alignment vertical="center"/>
    </xf>
    <xf numFmtId="3" fontId="27" fillId="0" borderId="124" xfId="1054" applyNumberFormat="1" applyFont="1" applyFill="1" applyBorder="1" applyAlignment="1">
      <alignment horizontal="center" vertical="center"/>
    </xf>
    <xf numFmtId="3" fontId="27" fillId="0" borderId="124" xfId="128" applyNumberFormat="1" applyFont="1" applyFill="1" applyBorder="1" applyAlignment="1">
      <alignment horizontal="center" vertical="center"/>
    </xf>
    <xf numFmtId="3" fontId="85" fillId="13" borderId="79" xfId="128" applyNumberFormat="1" applyFont="1" applyFill="1" applyBorder="1" applyAlignment="1">
      <alignment horizontal="center" vertical="center"/>
    </xf>
    <xf numFmtId="9" fontId="85" fillId="13" borderId="122" xfId="7" applyFont="1" applyFill="1" applyBorder="1" applyAlignment="1">
      <alignment horizontal="center" vertical="center"/>
    </xf>
    <xf numFmtId="4" fontId="108" fillId="0" borderId="77" xfId="1054" applyNumberFormat="1" applyFont="1" applyFill="1" applyBorder="1" applyAlignment="1">
      <alignment horizontal="center" vertical="center"/>
    </xf>
    <xf numFmtId="0" fontId="19" fillId="0" borderId="86" xfId="1054" applyFont="1" applyFill="1" applyBorder="1" applyAlignment="1">
      <alignment vertical="center"/>
    </xf>
    <xf numFmtId="3" fontId="27" fillId="0" borderId="127" xfId="1054" applyNumberFormat="1" applyFont="1" applyFill="1" applyBorder="1" applyAlignment="1">
      <alignment horizontal="center" vertical="center"/>
    </xf>
    <xf numFmtId="3" fontId="27" fillId="0" borderId="110" xfId="1054" applyNumberFormat="1" applyFont="1" applyFill="1" applyBorder="1" applyAlignment="1">
      <alignment horizontal="center" vertical="center"/>
    </xf>
    <xf numFmtId="10" fontId="36" fillId="0" borderId="110" xfId="1054" applyNumberFormat="1" applyFont="1" applyFill="1" applyBorder="1" applyAlignment="1">
      <alignment horizontal="center" vertical="center"/>
    </xf>
    <xf numFmtId="0" fontId="24" fillId="4" borderId="19" xfId="1054" applyFont="1" applyFill="1" applyBorder="1" applyAlignment="1">
      <alignment vertical="center"/>
    </xf>
    <xf numFmtId="3" fontId="24" fillId="4" borderId="62" xfId="1054" applyNumberFormat="1" applyFont="1" applyFill="1" applyBorder="1" applyAlignment="1">
      <alignment horizontal="center" vertical="center"/>
    </xf>
    <xf numFmtId="0" fontId="24" fillId="0" borderId="6" xfId="1054" applyFont="1" applyFill="1" applyBorder="1" applyAlignment="1">
      <alignment horizontal="center" vertical="center"/>
    </xf>
    <xf numFmtId="0" fontId="36" fillId="0" borderId="122" xfId="1054" applyNumberFormat="1" applyFont="1" applyFill="1" applyBorder="1" applyAlignment="1">
      <alignment horizontal="center" vertical="center"/>
    </xf>
    <xf numFmtId="0" fontId="36" fillId="0" borderId="77" xfId="1054" applyNumberFormat="1" applyFont="1" applyFill="1" applyBorder="1" applyAlignment="1">
      <alignment horizontal="center" vertical="center"/>
    </xf>
    <xf numFmtId="0" fontId="16" fillId="0" borderId="0" xfId="1054" applyFont="1" applyFill="1"/>
    <xf numFmtId="0" fontId="16" fillId="0" borderId="0" xfId="1054" applyFill="1"/>
    <xf numFmtId="0" fontId="24" fillId="0" borderId="7" xfId="1054" applyFont="1" applyBorder="1" applyAlignment="1">
      <alignment vertical="center"/>
    </xf>
    <xf numFmtId="0" fontId="19" fillId="0" borderId="118" xfId="1054" applyFont="1" applyBorder="1" applyAlignment="1">
      <alignment vertical="center"/>
    </xf>
    <xf numFmtId="3" fontId="26" fillId="5" borderId="119" xfId="1054" applyNumberFormat="1" applyFont="1" applyFill="1" applyBorder="1" applyAlignment="1">
      <alignment horizontal="center" vertical="center"/>
    </xf>
    <xf numFmtId="3" fontId="26" fillId="5" borderId="165" xfId="1054" applyNumberFormat="1" applyFont="1" applyFill="1" applyBorder="1" applyAlignment="1">
      <alignment horizontal="center" vertical="center"/>
    </xf>
    <xf numFmtId="3" fontId="26" fillId="5" borderId="125" xfId="1054" applyNumberFormat="1" applyFont="1" applyFill="1" applyBorder="1" applyAlignment="1">
      <alignment horizontal="center" vertical="center"/>
    </xf>
    <xf numFmtId="10" fontId="39" fillId="5" borderId="125" xfId="1054" applyNumberFormat="1" applyFont="1" applyFill="1" applyBorder="1" applyAlignment="1">
      <alignment horizontal="center" vertical="center"/>
    </xf>
    <xf numFmtId="10" fontId="26" fillId="5" borderId="125" xfId="1054" applyNumberFormat="1" applyFont="1" applyFill="1" applyBorder="1" applyAlignment="1">
      <alignment horizontal="center" vertical="center"/>
    </xf>
    <xf numFmtId="10" fontId="39" fillId="5" borderId="36" xfId="1054" applyNumberFormat="1" applyFont="1" applyFill="1" applyBorder="1" applyAlignment="1">
      <alignment horizontal="center" vertical="center"/>
    </xf>
    <xf numFmtId="10" fontId="26" fillId="5" borderId="118" xfId="1054" applyNumberFormat="1" applyFont="1" applyFill="1" applyBorder="1" applyAlignment="1">
      <alignment horizontal="center" vertical="center"/>
    </xf>
    <xf numFmtId="10" fontId="26" fillId="5" borderId="0" xfId="1054" applyNumberFormat="1" applyFont="1" applyFill="1" applyBorder="1" applyAlignment="1">
      <alignment horizontal="center" vertical="center"/>
    </xf>
    <xf numFmtId="0" fontId="24" fillId="0" borderId="5" xfId="1054" applyFont="1" applyBorder="1" applyAlignment="1">
      <alignment vertical="center"/>
    </xf>
    <xf numFmtId="3" fontId="24" fillId="4" borderId="63" xfId="1054" applyNumberFormat="1" applyFont="1" applyFill="1" applyBorder="1" applyAlignment="1">
      <alignment horizontal="center" vertical="center"/>
    </xf>
    <xf numFmtId="0" fontId="24" fillId="0" borderId="6" xfId="1054" applyFont="1" applyBorder="1" applyAlignment="1">
      <alignment vertical="center"/>
    </xf>
    <xf numFmtId="0" fontId="19" fillId="0" borderId="102" xfId="1054" applyFont="1" applyFill="1" applyBorder="1" applyAlignment="1">
      <alignment horizontal="left" vertical="center" wrapText="1"/>
    </xf>
    <xf numFmtId="3" fontId="27" fillId="5" borderId="123" xfId="1054" applyNumberFormat="1" applyFont="1" applyFill="1" applyBorder="1" applyAlignment="1">
      <alignment horizontal="center" vertical="center"/>
    </xf>
    <xf numFmtId="0" fontId="19" fillId="0" borderId="86" xfId="1054" applyFont="1" applyFill="1" applyBorder="1" applyAlignment="1">
      <alignment horizontal="left" vertical="center"/>
    </xf>
    <xf numFmtId="3" fontId="26" fillId="5" borderId="126" xfId="1054" applyNumberFormat="1" applyFont="1" applyFill="1" applyBorder="1" applyAlignment="1">
      <alignment horizontal="center" vertical="center"/>
    </xf>
    <xf numFmtId="3" fontId="26" fillId="5" borderId="127" xfId="1054" applyNumberFormat="1" applyFont="1" applyFill="1" applyBorder="1" applyAlignment="1">
      <alignment horizontal="center" vertical="center"/>
    </xf>
    <xf numFmtId="3" fontId="26" fillId="5" borderId="86" xfId="1054" applyNumberFormat="1" applyFont="1" applyFill="1" applyBorder="1" applyAlignment="1">
      <alignment horizontal="center" vertical="center"/>
    </xf>
    <xf numFmtId="3" fontId="27" fillId="0" borderId="6" xfId="128" applyNumberFormat="1" applyFont="1" applyFill="1" applyBorder="1" applyAlignment="1">
      <alignment horizontal="center" vertical="center"/>
    </xf>
    <xf numFmtId="4" fontId="25" fillId="0" borderId="6" xfId="1054" applyNumberFormat="1" applyFont="1" applyFill="1" applyBorder="1" applyAlignment="1">
      <alignment horizontal="center" vertical="center"/>
    </xf>
    <xf numFmtId="0" fontId="24" fillId="4" borderId="55" xfId="1054" applyFont="1" applyFill="1" applyBorder="1" applyAlignment="1">
      <alignment vertical="center"/>
    </xf>
    <xf numFmtId="3" fontId="24" fillId="4" borderId="55" xfId="1054" applyNumberFormat="1" applyFont="1" applyFill="1" applyBorder="1" applyAlignment="1">
      <alignment horizontal="center" vertical="center"/>
    </xf>
    <xf numFmtId="3" fontId="24" fillId="4" borderId="56" xfId="1054" applyNumberFormat="1" applyFont="1" applyFill="1" applyBorder="1" applyAlignment="1">
      <alignment horizontal="center" vertical="center"/>
    </xf>
    <xf numFmtId="10" fontId="24" fillId="4" borderId="51" xfId="1054" applyNumberFormat="1" applyFont="1" applyFill="1" applyBorder="1" applyAlignment="1">
      <alignment horizontal="center" vertical="center"/>
    </xf>
    <xf numFmtId="4" fontId="24" fillId="4" borderId="56" xfId="1054" applyNumberFormat="1" applyFont="1" applyFill="1" applyBorder="1" applyAlignment="1">
      <alignment horizontal="center" vertical="center"/>
    </xf>
    <xf numFmtId="10" fontId="66" fillId="4" borderId="51" xfId="1054" applyNumberFormat="1" applyFont="1" applyFill="1" applyBorder="1" applyAlignment="1">
      <alignment horizontal="center" vertical="center"/>
    </xf>
    <xf numFmtId="10" fontId="66" fillId="4" borderId="1" xfId="1054" applyNumberFormat="1" applyFont="1" applyFill="1" applyBorder="1" applyAlignment="1">
      <alignment horizontal="center" vertical="center"/>
    </xf>
    <xf numFmtId="10" fontId="24" fillId="4" borderId="0" xfId="1054" applyNumberFormat="1" applyFont="1" applyFill="1" applyBorder="1" applyAlignment="1">
      <alignment horizontal="center" vertical="center"/>
    </xf>
    <xf numFmtId="0" fontId="19" fillId="0" borderId="80" xfId="1054" applyFont="1" applyFill="1" applyBorder="1" applyAlignment="1">
      <alignment vertical="center"/>
    </xf>
    <xf numFmtId="3" fontId="27" fillId="5" borderId="80" xfId="1054" applyNumberFormat="1" applyFont="1" applyFill="1" applyBorder="1" applyAlignment="1">
      <alignment horizontal="center" vertical="center"/>
    </xf>
    <xf numFmtId="3" fontId="26" fillId="0" borderId="7" xfId="1054" applyNumberFormat="1" applyFont="1" applyFill="1" applyBorder="1" applyAlignment="1">
      <alignment horizontal="center" vertical="center"/>
    </xf>
    <xf numFmtId="3" fontId="26" fillId="0" borderId="20" xfId="1054" applyNumberFormat="1" applyFont="1" applyFill="1" applyBorder="1" applyAlignment="1">
      <alignment horizontal="center" vertical="center"/>
    </xf>
    <xf numFmtId="10" fontId="39" fillId="0" borderId="20" xfId="1054" applyNumberFormat="1" applyFont="1" applyFill="1" applyBorder="1" applyAlignment="1">
      <alignment horizontal="center" vertical="center"/>
    </xf>
    <xf numFmtId="165" fontId="19" fillId="0" borderId="20" xfId="128" applyFont="1" applyFill="1" applyBorder="1" applyAlignment="1">
      <alignment horizontal="center" vertical="center"/>
    </xf>
    <xf numFmtId="10" fontId="26" fillId="0" borderId="20" xfId="1054" applyNumberFormat="1" applyFont="1" applyFill="1" applyBorder="1" applyAlignment="1">
      <alignment horizontal="center" vertical="center"/>
    </xf>
    <xf numFmtId="10" fontId="39" fillId="0" borderId="36" xfId="1054" applyNumberFormat="1" applyFont="1" applyFill="1" applyBorder="1" applyAlignment="1">
      <alignment horizontal="center" vertical="center"/>
    </xf>
    <xf numFmtId="10" fontId="26" fillId="0" borderId="9" xfId="1054" applyNumberFormat="1" applyFont="1" applyFill="1" applyBorder="1" applyAlignment="1">
      <alignment horizontal="center" vertical="center"/>
    </xf>
    <xf numFmtId="0" fontId="24" fillId="6" borderId="55" xfId="1054" applyFont="1" applyFill="1" applyBorder="1" applyAlignment="1">
      <alignment vertical="center"/>
    </xf>
    <xf numFmtId="3" fontId="24" fillId="6" borderId="55" xfId="1054" applyNumberFormat="1" applyFont="1" applyFill="1" applyBorder="1" applyAlignment="1">
      <alignment horizontal="center" vertical="center"/>
    </xf>
    <xf numFmtId="3" fontId="24" fillId="6" borderId="56" xfId="1054" applyNumberFormat="1" applyFont="1" applyFill="1" applyBorder="1" applyAlignment="1">
      <alignment horizontal="center" vertical="center"/>
    </xf>
    <xf numFmtId="4" fontId="29" fillId="6" borderId="56" xfId="1054" applyNumberFormat="1" applyFont="1" applyFill="1" applyBorder="1" applyAlignment="1">
      <alignment horizontal="center" vertical="center"/>
    </xf>
    <xf numFmtId="4" fontId="24" fillId="6" borderId="55" xfId="1054" applyNumberFormat="1" applyFont="1" applyFill="1" applyBorder="1" applyAlignment="1">
      <alignment horizontal="center" vertical="center"/>
    </xf>
    <xf numFmtId="4" fontId="24" fillId="6" borderId="56" xfId="1054" applyNumberFormat="1" applyFont="1" applyFill="1" applyBorder="1" applyAlignment="1">
      <alignment horizontal="center" vertical="center"/>
    </xf>
    <xf numFmtId="4" fontId="66" fillId="6" borderId="56" xfId="1054" applyNumberFormat="1" applyFont="1" applyFill="1" applyBorder="1" applyAlignment="1">
      <alignment horizontal="center" vertical="center"/>
    </xf>
    <xf numFmtId="4" fontId="29" fillId="6" borderId="55" xfId="1054" applyNumberFormat="1" applyFont="1" applyFill="1" applyBorder="1" applyAlignment="1">
      <alignment horizontal="center" vertical="center"/>
    </xf>
    <xf numFmtId="4" fontId="66" fillId="6" borderId="55" xfId="1054" applyNumberFormat="1" applyFont="1" applyFill="1" applyBorder="1" applyAlignment="1">
      <alignment horizontal="center" vertical="center"/>
    </xf>
    <xf numFmtId="4" fontId="24" fillId="6" borderId="0" xfId="1054" applyNumberFormat="1" applyFont="1" applyFill="1" applyBorder="1" applyAlignment="1">
      <alignment horizontal="center" vertical="center"/>
    </xf>
    <xf numFmtId="0" fontId="24" fillId="0" borderId="6" xfId="1054" applyFont="1" applyBorder="1" applyAlignment="1">
      <alignment horizontal="center" vertical="center"/>
    </xf>
    <xf numFmtId="0" fontId="24" fillId="3" borderId="62" xfId="1054" applyFont="1" applyFill="1" applyBorder="1" applyAlignment="1">
      <alignment vertical="center"/>
    </xf>
    <xf numFmtId="0" fontId="24" fillId="4" borderId="119" xfId="1054" applyFont="1" applyFill="1" applyBorder="1" applyAlignment="1">
      <alignment vertical="center"/>
    </xf>
    <xf numFmtId="3" fontId="24" fillId="4" borderId="119" xfId="1054" applyNumberFormat="1" applyFont="1" applyFill="1" applyBorder="1" applyAlignment="1">
      <alignment horizontal="center" vertical="center"/>
    </xf>
    <xf numFmtId="3" fontId="24" fillId="4" borderId="165" xfId="1054" applyNumberFormat="1" applyFont="1" applyFill="1" applyBorder="1" applyAlignment="1">
      <alignment horizontal="center" vertical="center"/>
    </xf>
    <xf numFmtId="4" fontId="29" fillId="4" borderId="165" xfId="1054" applyNumberFormat="1" applyFont="1" applyFill="1" applyBorder="1" applyAlignment="1">
      <alignment horizontal="center" vertical="center"/>
    </xf>
    <xf numFmtId="4" fontId="24" fillId="4" borderId="165" xfId="1054" applyNumberFormat="1" applyFont="1" applyFill="1" applyBorder="1" applyAlignment="1">
      <alignment horizontal="center" vertical="center"/>
    </xf>
    <xf numFmtId="4" fontId="66" fillId="4" borderId="165" xfId="1054" applyNumberFormat="1" applyFont="1" applyFill="1" applyBorder="1" applyAlignment="1">
      <alignment horizontal="center" vertical="center"/>
    </xf>
    <xf numFmtId="4" fontId="29" fillId="4" borderId="119" xfId="1054" applyNumberFormat="1" applyFont="1" applyFill="1" applyBorder="1" applyAlignment="1">
      <alignment horizontal="center" vertical="center"/>
    </xf>
    <xf numFmtId="4" fontId="66" fillId="4" borderId="119" xfId="1054" applyNumberFormat="1" applyFont="1" applyFill="1" applyBorder="1" applyAlignment="1">
      <alignment horizontal="center" vertical="center"/>
    </xf>
    <xf numFmtId="0" fontId="19" fillId="0" borderId="62" xfId="1054" applyFont="1" applyBorder="1" applyAlignment="1">
      <alignment vertical="center"/>
    </xf>
    <xf numFmtId="3" fontId="27" fillId="0" borderId="63" xfId="1054" applyNumberFormat="1" applyFont="1" applyFill="1" applyBorder="1" applyAlignment="1">
      <alignment horizontal="center" vertical="center"/>
    </xf>
    <xf numFmtId="10" fontId="36" fillId="0" borderId="58" xfId="1054" applyNumberFormat="1" applyFont="1" applyFill="1" applyBorder="1" applyAlignment="1">
      <alignment horizontal="center" vertical="center"/>
    </xf>
    <xf numFmtId="10" fontId="27" fillId="0" borderId="58" xfId="1054" applyNumberFormat="1" applyFont="1" applyFill="1" applyBorder="1" applyAlignment="1">
      <alignment horizontal="center" vertical="center"/>
    </xf>
    <xf numFmtId="10" fontId="26" fillId="0" borderId="58" xfId="1054" applyNumberFormat="1" applyFont="1" applyFill="1" applyBorder="1" applyAlignment="1">
      <alignment horizontal="center" vertical="center"/>
    </xf>
    <xf numFmtId="10" fontId="36" fillId="0" borderId="77" xfId="1054" applyNumberFormat="1" applyFont="1" applyFill="1" applyBorder="1" applyAlignment="1">
      <alignment horizontal="center" vertical="center"/>
    </xf>
    <xf numFmtId="10" fontId="26" fillId="0" borderId="19" xfId="1054" applyNumberFormat="1" applyFont="1" applyFill="1" applyBorder="1" applyAlignment="1">
      <alignment horizontal="center" vertical="center"/>
    </xf>
    <xf numFmtId="0" fontId="19" fillId="0" borderId="123" xfId="1054" applyFont="1" applyBorder="1" applyAlignment="1">
      <alignment vertical="center"/>
    </xf>
    <xf numFmtId="0" fontId="19" fillId="0" borderId="123" xfId="1054" applyFont="1" applyBorder="1" applyAlignment="1">
      <alignment horizontal="left" vertical="center"/>
    </xf>
    <xf numFmtId="3" fontId="26" fillId="0" borderId="123" xfId="1054" applyNumberFormat="1" applyFont="1" applyFill="1" applyBorder="1" applyAlignment="1">
      <alignment horizontal="center" vertical="center"/>
    </xf>
    <xf numFmtId="3" fontId="26" fillId="0" borderId="124" xfId="1054" applyNumberFormat="1" applyFont="1" applyFill="1" applyBorder="1" applyAlignment="1">
      <alignment horizontal="center" vertical="center"/>
    </xf>
    <xf numFmtId="3" fontId="26" fillId="0" borderId="122" xfId="1054" applyNumberFormat="1" applyFont="1" applyFill="1" applyBorder="1" applyAlignment="1">
      <alignment horizontal="center" vertical="center"/>
    </xf>
    <xf numFmtId="10" fontId="39" fillId="0" borderId="122" xfId="1054" applyNumberFormat="1" applyFont="1" applyFill="1" applyBorder="1" applyAlignment="1">
      <alignment horizontal="center" vertical="center"/>
    </xf>
    <xf numFmtId="10" fontId="26" fillId="0" borderId="122" xfId="1054" applyNumberFormat="1" applyFont="1" applyFill="1" applyBorder="1" applyAlignment="1">
      <alignment horizontal="center" vertical="center"/>
    </xf>
    <xf numFmtId="10" fontId="26" fillId="0" borderId="102" xfId="1054" applyNumberFormat="1" applyFont="1" applyFill="1" applyBorder="1" applyAlignment="1">
      <alignment horizontal="center" vertical="center"/>
    </xf>
    <xf numFmtId="0" fontId="23" fillId="0" borderId="7" xfId="1054" applyFont="1" applyBorder="1" applyAlignment="1">
      <alignment horizontal="center" vertical="center"/>
    </xf>
    <xf numFmtId="3" fontId="27" fillId="0" borderId="58" xfId="1054" applyNumberFormat="1" applyFont="1" applyFill="1" applyBorder="1" applyAlignment="1">
      <alignment horizontal="center" vertical="center"/>
    </xf>
    <xf numFmtId="0" fontId="27" fillId="0" borderId="77" xfId="1054" applyNumberFormat="1" applyFont="1" applyFill="1" applyBorder="1" applyAlignment="1">
      <alignment horizontal="center" vertical="center"/>
    </xf>
    <xf numFmtId="0" fontId="26" fillId="0" borderId="77" xfId="1054" applyNumberFormat="1" applyFont="1" applyFill="1" applyBorder="1" applyAlignment="1">
      <alignment horizontal="center" vertical="center"/>
    </xf>
    <xf numFmtId="0" fontId="26" fillId="0" borderId="76" xfId="1054" applyNumberFormat="1" applyFont="1" applyFill="1" applyBorder="1" applyAlignment="1">
      <alignment horizontal="center" vertical="center"/>
    </xf>
    <xf numFmtId="0" fontId="24" fillId="6" borderId="123" xfId="1054" applyFont="1" applyFill="1" applyBorder="1" applyAlignment="1">
      <alignment vertical="center"/>
    </xf>
    <xf numFmtId="3" fontId="28" fillId="6" borderId="123" xfId="1054" applyNumberFormat="1" applyFont="1" applyFill="1" applyBorder="1" applyAlignment="1">
      <alignment horizontal="center" vertical="center"/>
    </xf>
    <xf numFmtId="4" fontId="38" fillId="6" borderId="124" xfId="1054" applyNumberFormat="1" applyFont="1" applyFill="1" applyBorder="1" applyAlignment="1">
      <alignment horizontal="center" vertical="center"/>
    </xf>
    <xf numFmtId="3" fontId="28" fillId="6" borderId="124" xfId="1054" applyNumberFormat="1" applyFont="1" applyFill="1" applyBorder="1" applyAlignment="1">
      <alignment horizontal="center" vertical="center"/>
    </xf>
    <xf numFmtId="4" fontId="28" fillId="6" borderId="124" xfId="1054" applyNumberFormat="1" applyFont="1" applyFill="1" applyBorder="1" applyAlignment="1">
      <alignment horizontal="center" vertical="center"/>
    </xf>
    <xf numFmtId="4" fontId="66" fillId="6" borderId="124" xfId="1054" applyNumberFormat="1" applyFont="1" applyFill="1" applyBorder="1" applyAlignment="1">
      <alignment horizontal="center" vertical="center"/>
    </xf>
    <xf numFmtId="4" fontId="38" fillId="6" borderId="123" xfId="1054" applyNumberFormat="1" applyFont="1" applyFill="1" applyBorder="1" applyAlignment="1">
      <alignment horizontal="center" vertical="center"/>
    </xf>
    <xf numFmtId="4" fontId="66" fillId="6" borderId="123" xfId="1054" applyNumberFormat="1" applyFont="1" applyFill="1" applyBorder="1" applyAlignment="1">
      <alignment horizontal="center" vertical="center"/>
    </xf>
    <xf numFmtId="4" fontId="28" fillId="6" borderId="0" xfId="1054" applyNumberFormat="1" applyFont="1" applyFill="1" applyBorder="1" applyAlignment="1">
      <alignment horizontal="center" vertical="center"/>
    </xf>
    <xf numFmtId="0" fontId="22" fillId="0" borderId="7" xfId="1054" applyFont="1" applyBorder="1" applyAlignment="1">
      <alignment horizontal="center" vertical="center"/>
    </xf>
    <xf numFmtId="0" fontId="24" fillId="8" borderId="119" xfId="1054" applyFont="1" applyFill="1" applyBorder="1" applyAlignment="1">
      <alignment vertical="center"/>
    </xf>
    <xf numFmtId="3" fontId="24" fillId="8" borderId="119" xfId="1054" applyNumberFormat="1" applyFont="1" applyFill="1" applyBorder="1" applyAlignment="1">
      <alignment horizontal="center" vertical="center"/>
    </xf>
    <xf numFmtId="4" fontId="29" fillId="8" borderId="165" xfId="1054" applyNumberFormat="1" applyFont="1" applyFill="1" applyBorder="1" applyAlignment="1">
      <alignment horizontal="center" vertical="center"/>
    </xf>
    <xf numFmtId="3" fontId="24" fillId="8" borderId="165" xfId="1054" applyNumberFormat="1" applyFont="1" applyFill="1" applyBorder="1" applyAlignment="1">
      <alignment horizontal="center" vertical="center"/>
    </xf>
    <xf numFmtId="4" fontId="24" fillId="8" borderId="165" xfId="1054" applyNumberFormat="1" applyFont="1" applyFill="1" applyBorder="1" applyAlignment="1">
      <alignment horizontal="center" vertical="center"/>
    </xf>
    <xf numFmtId="4" fontId="66" fillId="8" borderId="165" xfId="1054" applyNumberFormat="1" applyFont="1" applyFill="1" applyBorder="1" applyAlignment="1">
      <alignment horizontal="center" vertical="center"/>
    </xf>
    <xf numFmtId="4" fontId="66" fillId="8" borderId="119" xfId="1054" applyNumberFormat="1" applyFont="1" applyFill="1" applyBorder="1" applyAlignment="1">
      <alignment horizontal="center" vertical="center"/>
    </xf>
    <xf numFmtId="4" fontId="24" fillId="8" borderId="0" xfId="1054" applyNumberFormat="1" applyFont="1" applyFill="1" applyBorder="1" applyAlignment="1">
      <alignment horizontal="center" vertical="center"/>
    </xf>
    <xf numFmtId="3" fontId="27" fillId="0" borderId="79" xfId="1054" applyNumberFormat="1" applyFont="1" applyFill="1" applyBorder="1" applyAlignment="1">
      <alignment horizontal="center" vertical="center"/>
    </xf>
    <xf numFmtId="3" fontId="27" fillId="0" borderId="77" xfId="1054" applyNumberFormat="1" applyFont="1" applyFill="1" applyBorder="1" applyAlignment="1">
      <alignment horizontal="center" vertical="center"/>
    </xf>
    <xf numFmtId="0" fontId="24" fillId="6" borderId="102" xfId="1054" applyFont="1" applyFill="1" applyBorder="1" applyAlignment="1">
      <alignment vertical="center" wrapText="1"/>
    </xf>
    <xf numFmtId="3" fontId="24" fillId="6" borderId="123" xfId="1054" applyNumberFormat="1" applyFont="1" applyFill="1" applyBorder="1" applyAlignment="1">
      <alignment horizontal="center" vertical="center"/>
    </xf>
    <xf numFmtId="3" fontId="24" fillId="6" borderId="124" xfId="1054" applyNumberFormat="1" applyFont="1" applyFill="1" applyBorder="1" applyAlignment="1">
      <alignment horizontal="center" vertical="center"/>
    </xf>
    <xf numFmtId="4" fontId="29" fillId="6" borderId="124" xfId="1054" applyNumberFormat="1" applyFont="1" applyFill="1" applyBorder="1" applyAlignment="1">
      <alignment horizontal="center" vertical="center"/>
    </xf>
    <xf numFmtId="4" fontId="24" fillId="6" borderId="124" xfId="1054" applyNumberFormat="1" applyFont="1" applyFill="1" applyBorder="1" applyAlignment="1">
      <alignment horizontal="center" vertical="center"/>
    </xf>
    <xf numFmtId="0" fontId="24" fillId="3" borderId="118" xfId="1054" applyFont="1" applyFill="1" applyBorder="1" applyAlignment="1">
      <alignment vertical="center"/>
    </xf>
    <xf numFmtId="3" fontId="24" fillId="3" borderId="119" xfId="1054" applyNumberFormat="1" applyFont="1" applyFill="1" applyBorder="1" applyAlignment="1">
      <alignment horizontal="center" vertical="center"/>
    </xf>
    <xf numFmtId="10" fontId="29" fillId="3" borderId="165" xfId="1054" applyNumberFormat="1" applyFont="1" applyFill="1" applyBorder="1" applyAlignment="1">
      <alignment horizontal="center" vertical="center"/>
    </xf>
    <xf numFmtId="10" fontId="24" fillId="3" borderId="165" xfId="1054" applyNumberFormat="1" applyFont="1" applyFill="1" applyBorder="1" applyAlignment="1">
      <alignment horizontal="center" vertical="center"/>
    </xf>
    <xf numFmtId="10" fontId="66" fillId="3" borderId="165" xfId="1054" applyNumberFormat="1" applyFont="1" applyFill="1" applyBorder="1" applyAlignment="1">
      <alignment horizontal="center" vertical="center"/>
    </xf>
    <xf numFmtId="10" fontId="29" fillId="3" borderId="119" xfId="1054" applyNumberFormat="1" applyFont="1" applyFill="1" applyBorder="1" applyAlignment="1">
      <alignment horizontal="center" vertical="center"/>
    </xf>
    <xf numFmtId="10" fontId="66" fillId="3" borderId="119" xfId="1054" applyNumberFormat="1" applyFont="1" applyFill="1" applyBorder="1" applyAlignment="1">
      <alignment horizontal="center" vertical="center"/>
    </xf>
    <xf numFmtId="0" fontId="19" fillId="0" borderId="0" xfId="1054" applyFont="1" applyAlignment="1">
      <alignment vertical="center"/>
    </xf>
    <xf numFmtId="3" fontId="19" fillId="0" borderId="0" xfId="1054" applyNumberFormat="1" applyFont="1" applyAlignment="1">
      <alignment horizontal="center" vertical="center"/>
    </xf>
    <xf numFmtId="4" fontId="40" fillId="0" borderId="0" xfId="1054" applyNumberFormat="1" applyFont="1" applyAlignment="1">
      <alignment horizontal="center" vertical="center"/>
    </xf>
    <xf numFmtId="4" fontId="19" fillId="0" borderId="0" xfId="1054" applyNumberFormat="1" applyFont="1" applyAlignment="1">
      <alignment horizontal="center" vertical="center"/>
    </xf>
    <xf numFmtId="4" fontId="26" fillId="0" borderId="0" xfId="1054" applyNumberFormat="1" applyFont="1" applyAlignment="1">
      <alignment horizontal="center" vertical="center"/>
    </xf>
    <xf numFmtId="0" fontId="35" fillId="0" borderId="0" xfId="1054" applyFont="1" applyAlignment="1">
      <alignment horizontal="center" vertical="center"/>
    </xf>
    <xf numFmtId="3" fontId="16" fillId="0" borderId="0" xfId="1054" applyNumberFormat="1" applyAlignment="1">
      <alignment horizontal="center" vertical="center"/>
    </xf>
    <xf numFmtId="3" fontId="30" fillId="12" borderId="0" xfId="128" applyNumberFormat="1" applyFont="1" applyFill="1" applyAlignment="1">
      <alignment horizontal="center" vertical="center"/>
    </xf>
    <xf numFmtId="4" fontId="41" fillId="0" borderId="0" xfId="1054" applyNumberFormat="1" applyFont="1" applyAlignment="1">
      <alignment horizontal="center" vertical="center"/>
    </xf>
    <xf numFmtId="4" fontId="64" fillId="0" borderId="0" xfId="1054" applyNumberFormat="1" applyFont="1" applyAlignment="1">
      <alignment horizontal="center" vertical="center"/>
    </xf>
    <xf numFmtId="0" fontId="115" fillId="0" borderId="0" xfId="1054" applyFont="1" applyAlignment="1">
      <alignment vertical="center"/>
    </xf>
    <xf numFmtId="3" fontId="115" fillId="0" borderId="0" xfId="1054" applyNumberFormat="1" applyFont="1" applyAlignment="1">
      <alignment horizontal="center" vertical="center"/>
    </xf>
    <xf numFmtId="4" fontId="115" fillId="0" borderId="0" xfId="1054" applyNumberFormat="1" applyFont="1" applyAlignment="1">
      <alignment horizontal="center" vertical="center"/>
    </xf>
    <xf numFmtId="0" fontId="115" fillId="0" borderId="0" xfId="1054" applyFont="1"/>
    <xf numFmtId="0" fontId="117" fillId="0" borderId="0" xfId="1054" applyFont="1"/>
    <xf numFmtId="0" fontId="115" fillId="0" borderId="0" xfId="1054" applyFont="1" applyAlignment="1">
      <alignment horizontal="right" vertical="center"/>
    </xf>
    <xf numFmtId="0" fontId="16" fillId="0" borderId="0" xfId="1054" applyAlignment="1">
      <alignment horizontal="right" vertical="center"/>
    </xf>
    <xf numFmtId="0" fontId="16" fillId="0" borderId="0" xfId="1054" applyAlignment="1">
      <alignment horizontal="center" vertical="center"/>
    </xf>
    <xf numFmtId="4" fontId="16" fillId="0" borderId="0" xfId="1" applyNumberFormat="1" applyFont="1"/>
    <xf numFmtId="4" fontId="16" fillId="0" borderId="0" xfId="1" applyNumberFormat="1" applyFont="1" applyAlignment="1">
      <alignment horizontal="center" vertical="center" wrapText="1"/>
    </xf>
    <xf numFmtId="9" fontId="36" fillId="4" borderId="166" xfId="7" applyFont="1" applyFill="1" applyBorder="1" applyAlignment="1">
      <alignment horizontal="center" vertical="center"/>
    </xf>
    <xf numFmtId="10" fontId="26" fillId="0" borderId="166" xfId="1" applyNumberFormat="1" applyFont="1" applyFill="1" applyBorder="1" applyAlignment="1">
      <alignment horizontal="center" vertical="center"/>
    </xf>
    <xf numFmtId="0" fontId="20" fillId="11" borderId="0" xfId="1" applyFont="1" applyFill="1"/>
    <xf numFmtId="4" fontId="25" fillId="0" borderId="58" xfId="1" applyNumberFormat="1" applyFont="1" applyFill="1" applyBorder="1" applyAlignment="1">
      <alignment horizontal="center" vertical="center"/>
    </xf>
    <xf numFmtId="4" fontId="115" fillId="0" borderId="0" xfId="1" applyNumberFormat="1" applyFont="1" applyAlignment="1">
      <alignment horizontal="center" vertical="center"/>
    </xf>
    <xf numFmtId="0" fontId="117" fillId="0" borderId="0" xfId="1" applyFont="1"/>
    <xf numFmtId="0" fontId="115" fillId="0" borderId="0" xfId="1" applyFont="1"/>
    <xf numFmtId="3" fontId="16" fillId="0" borderId="0" xfId="1" applyNumberFormat="1" applyFont="1"/>
    <xf numFmtId="4" fontId="151" fillId="0" borderId="0" xfId="1" applyNumberFormat="1" applyFont="1" applyAlignment="1">
      <alignment horizontal="center" vertical="center"/>
    </xf>
    <xf numFmtId="4" fontId="152" fillId="0" borderId="0" xfId="1" applyNumberFormat="1" applyFont="1" applyAlignment="1">
      <alignment horizontal="left" vertical="center"/>
    </xf>
    <xf numFmtId="4" fontId="152" fillId="0" borderId="0" xfId="1" applyNumberFormat="1" applyFont="1" applyAlignment="1">
      <alignment horizontal="center" vertical="center"/>
    </xf>
    <xf numFmtId="0" fontId="19" fillId="0" borderId="168" xfId="1" applyFont="1" applyBorder="1" applyAlignment="1">
      <alignment horizontal="left" vertical="center"/>
    </xf>
    <xf numFmtId="3" fontId="25" fillId="0" borderId="170" xfId="1" applyNumberFormat="1" applyFont="1" applyFill="1" applyBorder="1" applyAlignment="1">
      <alignment horizontal="center" vertical="center"/>
    </xf>
    <xf numFmtId="3" fontId="25" fillId="0" borderId="171" xfId="1" applyNumberFormat="1" applyFont="1" applyFill="1" applyBorder="1" applyAlignment="1">
      <alignment horizontal="center" vertical="center"/>
    </xf>
    <xf numFmtId="3" fontId="25" fillId="18" borderId="77" xfId="1" applyNumberFormat="1" applyFont="1" applyFill="1" applyBorder="1" applyAlignment="1">
      <alignment horizontal="center" vertical="center"/>
    </xf>
    <xf numFmtId="3" fontId="27" fillId="0" borderId="170" xfId="1" applyNumberFormat="1" applyFont="1" applyFill="1" applyBorder="1" applyAlignment="1">
      <alignment horizontal="center" vertical="center"/>
    </xf>
    <xf numFmtId="0" fontId="24" fillId="0" borderId="169" xfId="1" applyFont="1" applyFill="1" applyBorder="1" applyAlignment="1">
      <alignment vertical="center"/>
    </xf>
    <xf numFmtId="0" fontId="19" fillId="0" borderId="167" xfId="1" applyFont="1" applyFill="1" applyBorder="1" applyAlignment="1">
      <alignment vertical="center"/>
    </xf>
    <xf numFmtId="0" fontId="19" fillId="0" borderId="168" xfId="1" applyFont="1" applyFill="1" applyBorder="1" applyAlignment="1">
      <alignment vertical="center"/>
    </xf>
    <xf numFmtId="3" fontId="27" fillId="0" borderId="171" xfId="1" applyNumberFormat="1" applyFont="1" applyFill="1" applyBorder="1" applyAlignment="1">
      <alignment horizontal="center" vertical="center"/>
    </xf>
    <xf numFmtId="0" fontId="36" fillId="0" borderId="166" xfId="1" applyNumberFormat="1" applyFont="1" applyFill="1" applyBorder="1" applyAlignment="1">
      <alignment horizontal="center" vertical="center"/>
    </xf>
    <xf numFmtId="9" fontId="27" fillId="0" borderId="166" xfId="7" applyFont="1" applyFill="1" applyBorder="1" applyAlignment="1">
      <alignment horizontal="center" vertical="center" wrapText="1"/>
    </xf>
    <xf numFmtId="0" fontId="19" fillId="0" borderId="167" xfId="1" applyFont="1" applyFill="1" applyBorder="1" applyAlignment="1">
      <alignment horizontal="left" vertical="center" wrapText="1"/>
    </xf>
    <xf numFmtId="0" fontId="19" fillId="0" borderId="168" xfId="1" applyFont="1" applyFill="1" applyBorder="1" applyAlignment="1">
      <alignment horizontal="left" vertical="center"/>
    </xf>
    <xf numFmtId="3" fontId="26" fillId="5" borderId="170" xfId="1" applyNumberFormat="1" applyFont="1" applyFill="1" applyBorder="1" applyAlignment="1">
      <alignment horizontal="center" vertical="center"/>
    </xf>
    <xf numFmtId="3" fontId="26" fillId="5" borderId="171" xfId="1" applyNumberFormat="1" applyFont="1" applyFill="1" applyBorder="1" applyAlignment="1">
      <alignment horizontal="center" vertical="center"/>
    </xf>
    <xf numFmtId="3" fontId="26" fillId="5" borderId="168" xfId="1" applyNumberFormat="1" applyFont="1" applyFill="1" applyBorder="1" applyAlignment="1">
      <alignment horizontal="center" vertical="center"/>
    </xf>
    <xf numFmtId="3" fontId="26" fillId="0" borderId="166" xfId="1" applyNumberFormat="1" applyFont="1" applyFill="1" applyBorder="1" applyAlignment="1">
      <alignment horizontal="center" vertical="center"/>
    </xf>
    <xf numFmtId="10" fontId="39" fillId="0" borderId="166" xfId="1" applyNumberFormat="1" applyFont="1" applyFill="1" applyBorder="1" applyAlignment="1">
      <alignment horizontal="center" vertical="center"/>
    </xf>
    <xf numFmtId="0" fontId="24" fillId="6" borderId="167" xfId="1" applyFont="1" applyFill="1" applyBorder="1" applyAlignment="1">
      <alignment vertical="center" wrapText="1"/>
    </xf>
    <xf numFmtId="0" fontId="24" fillId="3" borderId="169" xfId="1" applyFont="1" applyFill="1" applyBorder="1" applyAlignment="1">
      <alignment vertical="center"/>
    </xf>
    <xf numFmtId="4" fontId="24" fillId="11" borderId="173" xfId="1" applyNumberFormat="1" applyFont="1" applyFill="1" applyBorder="1" applyAlignment="1">
      <alignment horizontal="center" vertical="center"/>
    </xf>
    <xf numFmtId="10" fontId="24" fillId="0" borderId="172" xfId="1" applyNumberFormat="1" applyFont="1" applyFill="1" applyBorder="1" applyAlignment="1">
      <alignment horizontal="center" vertical="center"/>
    </xf>
    <xf numFmtId="3" fontId="24" fillId="8" borderId="175" xfId="1" applyNumberFormat="1" applyFont="1" applyFill="1" applyBorder="1" applyAlignment="1">
      <alignment horizontal="center" vertical="center"/>
    </xf>
    <xf numFmtId="4" fontId="24" fillId="8" borderId="175" xfId="1" applyNumberFormat="1" applyFont="1" applyFill="1" applyBorder="1" applyAlignment="1">
      <alignment horizontal="center" vertical="center"/>
    </xf>
    <xf numFmtId="4" fontId="126" fillId="0" borderId="51" xfId="8807" applyNumberFormat="1" applyFont="1" applyBorder="1" applyAlignment="1">
      <alignment vertical="top" wrapText="1"/>
    </xf>
    <xf numFmtId="4" fontId="25" fillId="0" borderId="175" xfId="1" applyNumberFormat="1" applyFont="1" applyFill="1" applyBorder="1" applyAlignment="1">
      <alignment horizontal="center" vertical="center"/>
    </xf>
    <xf numFmtId="4" fontId="25" fillId="0" borderId="172" xfId="1" applyNumberFormat="1" applyFont="1" applyFill="1" applyBorder="1" applyAlignment="1">
      <alignment horizontal="center" vertical="center"/>
    </xf>
    <xf numFmtId="3" fontId="27" fillId="0" borderId="176" xfId="1" applyNumberFormat="1" applyFont="1" applyFill="1" applyBorder="1" applyAlignment="1">
      <alignment horizontal="center" vertical="center"/>
    </xf>
    <xf numFmtId="9" fontId="36" fillId="0" borderId="172" xfId="7" applyFont="1" applyFill="1" applyBorder="1" applyAlignment="1">
      <alignment horizontal="center" vertical="center"/>
    </xf>
    <xf numFmtId="9" fontId="27" fillId="0" borderId="172" xfId="7" applyFont="1" applyFill="1" applyBorder="1" applyAlignment="1">
      <alignment horizontal="center" vertical="center"/>
    </xf>
    <xf numFmtId="4" fontId="24" fillId="11" borderId="176" xfId="1" applyNumberFormat="1" applyFont="1" applyFill="1" applyBorder="1" applyAlignment="1">
      <alignment horizontal="center" vertical="center"/>
    </xf>
    <xf numFmtId="4" fontId="66" fillId="11" borderId="176" xfId="1" applyNumberFormat="1" applyFont="1" applyFill="1" applyBorder="1" applyAlignment="1">
      <alignment horizontal="center" vertical="center"/>
    </xf>
    <xf numFmtId="10" fontId="27" fillId="0" borderId="172" xfId="1" applyNumberFormat="1" applyFont="1" applyFill="1" applyBorder="1" applyAlignment="1">
      <alignment horizontal="center" vertical="center"/>
    </xf>
    <xf numFmtId="10" fontId="26" fillId="0" borderId="172" xfId="1" applyNumberFormat="1" applyFont="1" applyFill="1" applyBorder="1" applyAlignment="1">
      <alignment horizontal="center" vertical="center"/>
    </xf>
    <xf numFmtId="10" fontId="24" fillId="0" borderId="175" xfId="1" applyNumberFormat="1" applyFont="1" applyFill="1" applyBorder="1" applyAlignment="1">
      <alignment horizontal="center" vertical="center"/>
    </xf>
    <xf numFmtId="10" fontId="66" fillId="0" borderId="172" xfId="1" applyNumberFormat="1" applyFont="1" applyFill="1" applyBorder="1" applyAlignment="1">
      <alignment horizontal="center" vertical="center"/>
    </xf>
    <xf numFmtId="10" fontId="68" fillId="0" borderId="172" xfId="1" applyNumberFormat="1" applyFont="1" applyFill="1" applyBorder="1" applyAlignment="1">
      <alignment horizontal="center" vertical="center"/>
    </xf>
    <xf numFmtId="0" fontId="68" fillId="0" borderId="166" xfId="1" applyNumberFormat="1" applyFont="1" applyFill="1" applyBorder="1" applyAlignment="1">
      <alignment horizontal="center" vertical="center"/>
    </xf>
    <xf numFmtId="10" fontId="26" fillId="5" borderId="172" xfId="1" applyNumberFormat="1" applyFont="1" applyFill="1" applyBorder="1" applyAlignment="1">
      <alignment horizontal="center" vertical="center"/>
    </xf>
    <xf numFmtId="10" fontId="68" fillId="5" borderId="172" xfId="1" applyNumberFormat="1" applyFont="1" applyFill="1" applyBorder="1" applyAlignment="1">
      <alignment horizontal="center" vertical="center"/>
    </xf>
    <xf numFmtId="3" fontId="24" fillId="4" borderId="174" xfId="1" applyNumberFormat="1" applyFont="1" applyFill="1" applyBorder="1" applyAlignment="1">
      <alignment horizontal="center" vertical="center"/>
    </xf>
    <xf numFmtId="3" fontId="24" fillId="4" borderId="175" xfId="1" applyNumberFormat="1" applyFont="1" applyFill="1" applyBorder="1" applyAlignment="1">
      <alignment horizontal="center" vertical="center"/>
    </xf>
    <xf numFmtId="4" fontId="24" fillId="4" borderId="175" xfId="1" applyNumberFormat="1" applyFont="1" applyFill="1" applyBorder="1" applyAlignment="1">
      <alignment horizontal="center" vertical="center"/>
    </xf>
    <xf numFmtId="4" fontId="69" fillId="4" borderId="175" xfId="1" applyNumberFormat="1" applyFont="1" applyFill="1" applyBorder="1" applyAlignment="1">
      <alignment horizontal="center" vertical="center"/>
    </xf>
    <xf numFmtId="10" fontId="68" fillId="0" borderId="166" xfId="1" applyNumberFormat="1" applyFont="1" applyFill="1" applyBorder="1" applyAlignment="1">
      <alignment horizontal="center" vertical="center"/>
    </xf>
    <xf numFmtId="3" fontId="28" fillId="6" borderId="173" xfId="1" applyNumberFormat="1" applyFont="1" applyFill="1" applyBorder="1" applyAlignment="1">
      <alignment horizontal="center" vertical="center"/>
    </xf>
    <xf numFmtId="3" fontId="28" fillId="6" borderId="176" xfId="1" applyNumberFormat="1" applyFont="1" applyFill="1" applyBorder="1" applyAlignment="1">
      <alignment horizontal="center" vertical="center"/>
    </xf>
    <xf numFmtId="4" fontId="28" fillId="6" borderId="176" xfId="1" applyNumberFormat="1" applyFont="1" applyFill="1" applyBorder="1" applyAlignment="1">
      <alignment horizontal="center" vertical="center"/>
    </xf>
    <xf numFmtId="4" fontId="69" fillId="6" borderId="176" xfId="1" applyNumberFormat="1" applyFont="1" applyFill="1" applyBorder="1" applyAlignment="1">
      <alignment horizontal="center" vertical="center"/>
    </xf>
    <xf numFmtId="4" fontId="69" fillId="8" borderId="175" xfId="1" applyNumberFormat="1" applyFont="1" applyFill="1" applyBorder="1" applyAlignment="1">
      <alignment horizontal="center" vertical="center"/>
    </xf>
    <xf numFmtId="3" fontId="24" fillId="6" borderId="176" xfId="1" applyNumberFormat="1" applyFont="1" applyFill="1" applyBorder="1" applyAlignment="1">
      <alignment horizontal="center" vertical="center"/>
    </xf>
    <xf numFmtId="4" fontId="24" fillId="6" borderId="176" xfId="1" applyNumberFormat="1" applyFont="1" applyFill="1" applyBorder="1" applyAlignment="1">
      <alignment horizontal="center" vertical="center"/>
    </xf>
    <xf numFmtId="9" fontId="24" fillId="3" borderId="174" xfId="7" applyFont="1" applyFill="1" applyBorder="1" applyAlignment="1">
      <alignment horizontal="center" vertical="center"/>
    </xf>
    <xf numFmtId="3" fontId="24" fillId="3" borderId="174" xfId="1" applyNumberFormat="1" applyFont="1" applyFill="1" applyBorder="1" applyAlignment="1">
      <alignment horizontal="center" vertical="center"/>
    </xf>
    <xf numFmtId="9" fontId="24" fillId="3" borderId="175" xfId="7" applyFont="1" applyFill="1" applyBorder="1" applyAlignment="1">
      <alignment horizontal="center" vertical="center"/>
    </xf>
    <xf numFmtId="10" fontId="24" fillId="3" borderId="175" xfId="1" applyNumberFormat="1" applyFont="1" applyFill="1" applyBorder="1" applyAlignment="1">
      <alignment horizontal="center" vertical="center"/>
    </xf>
    <xf numFmtId="10" fontId="69" fillId="3" borderId="175" xfId="1" applyNumberFormat="1" applyFont="1" applyFill="1" applyBorder="1" applyAlignment="1">
      <alignment horizontal="center" vertical="center"/>
    </xf>
    <xf numFmtId="4" fontId="85" fillId="0" borderId="19" xfId="1" applyNumberFormat="1" applyFont="1" applyFill="1" applyBorder="1" applyAlignment="1">
      <alignment horizontal="center" vertical="center"/>
    </xf>
    <xf numFmtId="9" fontId="120" fillId="0" borderId="63" xfId="7" applyFont="1" applyFill="1" applyBorder="1" applyAlignment="1">
      <alignment horizontal="center" vertical="center"/>
    </xf>
    <xf numFmtId="9" fontId="119" fillId="0" borderId="58" xfId="7" applyFont="1" applyFill="1" applyBorder="1" applyAlignment="1">
      <alignment horizontal="center" vertical="center"/>
    </xf>
    <xf numFmtId="4" fontId="85" fillId="0" borderId="76" xfId="1" applyNumberFormat="1" applyFont="1" applyFill="1" applyBorder="1" applyAlignment="1">
      <alignment horizontal="center" vertical="center"/>
    </xf>
    <xf numFmtId="9" fontId="26" fillId="0" borderId="172" xfId="7" applyFont="1" applyFill="1" applyBorder="1" applyAlignment="1">
      <alignment horizontal="center" vertical="center"/>
    </xf>
    <xf numFmtId="3" fontId="25" fillId="0" borderId="172" xfId="1" applyNumberFormat="1" applyFont="1" applyFill="1" applyBorder="1" applyAlignment="1">
      <alignment horizontal="center" vertical="center"/>
    </xf>
    <xf numFmtId="4" fontId="88" fillId="0" borderId="76" xfId="1" applyNumberFormat="1" applyFont="1" applyFill="1" applyBorder="1" applyAlignment="1">
      <alignment horizontal="center" vertical="center"/>
    </xf>
    <xf numFmtId="3" fontId="24" fillId="8" borderId="174" xfId="1" applyNumberFormat="1" applyFont="1" applyFill="1" applyBorder="1" applyAlignment="1">
      <alignment horizontal="center" vertical="center"/>
    </xf>
    <xf numFmtId="3" fontId="24" fillId="6" borderId="173" xfId="1" applyNumberFormat="1" applyFont="1" applyFill="1" applyBorder="1" applyAlignment="1">
      <alignment horizontal="center" vertical="center"/>
    </xf>
    <xf numFmtId="9" fontId="36" fillId="0" borderId="76" xfId="7" applyFont="1" applyFill="1" applyBorder="1" applyAlignment="1">
      <alignment horizontal="center" vertical="center"/>
    </xf>
    <xf numFmtId="9" fontId="36" fillId="0" borderId="0" xfId="7" applyFont="1" applyFill="1" applyBorder="1" applyAlignment="1">
      <alignment horizontal="center" vertical="center"/>
    </xf>
    <xf numFmtId="0" fontId="18" fillId="7" borderId="5" xfId="1" applyFont="1" applyFill="1" applyBorder="1" applyAlignment="1">
      <alignment horizontal="center" vertical="center" wrapText="1"/>
    </xf>
    <xf numFmtId="4" fontId="29" fillId="11" borderId="176" xfId="1" applyNumberFormat="1" applyFont="1" applyFill="1" applyBorder="1" applyAlignment="1">
      <alignment horizontal="center" vertical="center"/>
    </xf>
    <xf numFmtId="9" fontId="36" fillId="4" borderId="79" xfId="7" applyFont="1" applyFill="1" applyBorder="1" applyAlignment="1">
      <alignment horizontal="center" vertical="center"/>
    </xf>
    <xf numFmtId="9" fontId="36" fillId="4" borderId="56" xfId="7" applyFont="1" applyFill="1" applyBorder="1" applyAlignment="1">
      <alignment horizontal="center" vertical="center"/>
    </xf>
    <xf numFmtId="4" fontId="29" fillId="4" borderId="175" xfId="1" applyNumberFormat="1" applyFont="1" applyFill="1" applyBorder="1" applyAlignment="1">
      <alignment horizontal="center" vertical="center"/>
    </xf>
    <xf numFmtId="4" fontId="66" fillId="4" borderId="175" xfId="1" applyNumberFormat="1" applyFont="1" applyFill="1" applyBorder="1" applyAlignment="1">
      <alignment horizontal="center" vertical="center"/>
    </xf>
    <xf numFmtId="10" fontId="36" fillId="0" borderId="79" xfId="1" applyNumberFormat="1" applyFont="1" applyFill="1" applyBorder="1" applyAlignment="1">
      <alignment horizontal="center" vertical="center"/>
    </xf>
    <xf numFmtId="4" fontId="38" fillId="6" borderId="176" xfId="1" applyNumberFormat="1" applyFont="1" applyFill="1" applyBorder="1" applyAlignment="1">
      <alignment horizontal="center" vertical="center"/>
    </xf>
    <xf numFmtId="4" fontId="29" fillId="8" borderId="175" xfId="1" applyNumberFormat="1" applyFont="1" applyFill="1" applyBorder="1" applyAlignment="1">
      <alignment horizontal="center" vertical="center"/>
    </xf>
    <xf numFmtId="4" fontId="66" fillId="8" borderId="175" xfId="1" applyNumberFormat="1" applyFont="1" applyFill="1" applyBorder="1" applyAlignment="1">
      <alignment horizontal="center" vertical="center"/>
    </xf>
    <xf numFmtId="4" fontId="29" fillId="6" borderId="176" xfId="1" applyNumberFormat="1" applyFont="1" applyFill="1" applyBorder="1" applyAlignment="1">
      <alignment horizontal="center" vertical="center"/>
    </xf>
    <xf numFmtId="4" fontId="66" fillId="6" borderId="176" xfId="1" applyNumberFormat="1" applyFont="1" applyFill="1" applyBorder="1" applyAlignment="1">
      <alignment horizontal="center" vertical="center"/>
    </xf>
    <xf numFmtId="10" fontId="29" fillId="3" borderId="175" xfId="1" applyNumberFormat="1" applyFont="1" applyFill="1" applyBorder="1" applyAlignment="1">
      <alignment horizontal="center" vertical="center"/>
    </xf>
    <xf numFmtId="10" fontId="66" fillId="3" borderId="175" xfId="1" applyNumberFormat="1" applyFont="1" applyFill="1" applyBorder="1" applyAlignment="1">
      <alignment horizontal="center" vertical="center"/>
    </xf>
    <xf numFmtId="0" fontId="19" fillId="0" borderId="176" xfId="1" applyFont="1" applyBorder="1" applyAlignment="1">
      <alignment vertical="center"/>
    </xf>
    <xf numFmtId="3" fontId="27" fillId="0" borderId="173" xfId="1" applyNumberFormat="1" applyFont="1" applyFill="1" applyBorder="1" applyAlignment="1">
      <alignment horizontal="center" vertical="center"/>
    </xf>
    <xf numFmtId="0" fontId="19" fillId="0" borderId="176" xfId="1" applyFont="1" applyFill="1" applyBorder="1" applyAlignment="1">
      <alignment vertical="center"/>
    </xf>
    <xf numFmtId="3" fontId="27" fillId="5" borderId="176" xfId="1" applyNumberFormat="1" applyFont="1" applyFill="1" applyBorder="1" applyAlignment="1">
      <alignment horizontal="center" vertical="center"/>
    </xf>
    <xf numFmtId="0" fontId="19" fillId="0" borderId="171" xfId="1" applyFont="1" applyBorder="1" applyAlignment="1">
      <alignment vertical="center"/>
    </xf>
    <xf numFmtId="0" fontId="19" fillId="0" borderId="175" xfId="1" applyFont="1" applyBorder="1" applyAlignment="1">
      <alignment vertical="center"/>
    </xf>
    <xf numFmtId="3" fontId="27" fillId="0" borderId="174" xfId="1" applyNumberFormat="1" applyFont="1" applyFill="1" applyBorder="1" applyAlignment="1">
      <alignment horizontal="center" vertical="center"/>
    </xf>
    <xf numFmtId="4" fontId="27" fillId="0" borderId="173" xfId="1" applyNumberFormat="1" applyFont="1" applyFill="1" applyBorder="1" applyAlignment="1">
      <alignment horizontal="center" vertical="center"/>
    </xf>
    <xf numFmtId="4" fontId="27" fillId="0" borderId="176" xfId="1" applyNumberFormat="1" applyFont="1" applyFill="1" applyBorder="1" applyAlignment="1">
      <alignment horizontal="center" vertical="center"/>
    </xf>
    <xf numFmtId="4" fontId="27" fillId="0" borderId="174" xfId="1" applyNumberFormat="1" applyFont="1" applyFill="1" applyBorder="1" applyAlignment="1">
      <alignment horizontal="center" vertical="center"/>
    </xf>
    <xf numFmtId="4" fontId="27" fillId="0" borderId="175" xfId="1" applyNumberFormat="1" applyFont="1" applyFill="1" applyBorder="1" applyAlignment="1">
      <alignment horizontal="center" vertical="center"/>
    </xf>
    <xf numFmtId="10" fontId="36" fillId="0" borderId="172" xfId="1" applyNumberFormat="1" applyFont="1" applyFill="1" applyBorder="1" applyAlignment="1">
      <alignment horizontal="center" vertical="center"/>
    </xf>
    <xf numFmtId="10" fontId="24" fillId="0" borderId="174" xfId="1" applyNumberFormat="1" applyFont="1" applyFill="1" applyBorder="1" applyAlignment="1">
      <alignment horizontal="center" vertical="center"/>
    </xf>
    <xf numFmtId="10" fontId="29" fillId="0" borderId="172" xfId="1" applyNumberFormat="1" applyFont="1" applyFill="1" applyBorder="1" applyAlignment="1">
      <alignment horizontal="center" vertical="center"/>
    </xf>
    <xf numFmtId="3" fontId="27" fillId="0" borderId="176" xfId="6" applyNumberFormat="1" applyFont="1" applyFill="1" applyBorder="1" applyAlignment="1">
      <alignment horizontal="center" vertical="center"/>
    </xf>
    <xf numFmtId="0" fontId="19" fillId="0" borderId="169" xfId="1" applyFont="1" applyBorder="1" applyAlignment="1">
      <alignment vertical="center"/>
    </xf>
    <xf numFmtId="3" fontId="26" fillId="5" borderId="174" xfId="1" applyNumberFormat="1" applyFont="1" applyFill="1" applyBorder="1" applyAlignment="1">
      <alignment horizontal="center" vertical="center"/>
    </xf>
    <xf numFmtId="3" fontId="26" fillId="5" borderId="175" xfId="1" applyNumberFormat="1" applyFont="1" applyFill="1" applyBorder="1" applyAlignment="1">
      <alignment horizontal="center" vertical="center"/>
    </xf>
    <xf numFmtId="3" fontId="26" fillId="5" borderId="172" xfId="1" applyNumberFormat="1" applyFont="1" applyFill="1" applyBorder="1" applyAlignment="1">
      <alignment horizontal="center" vertical="center"/>
    </xf>
    <xf numFmtId="10" fontId="39" fillId="5" borderId="172" xfId="1" applyNumberFormat="1" applyFont="1" applyFill="1" applyBorder="1" applyAlignment="1">
      <alignment horizontal="center" vertical="center"/>
    </xf>
    <xf numFmtId="3" fontId="27" fillId="5" borderId="173" xfId="1" applyNumberFormat="1" applyFont="1" applyFill="1" applyBorder="1" applyAlignment="1">
      <alignment horizontal="center" vertical="center"/>
    </xf>
    <xf numFmtId="49" fontId="19" fillId="0" borderId="166" xfId="7" applyNumberFormat="1" applyFont="1" applyFill="1" applyBorder="1" applyAlignment="1">
      <alignment horizontal="center" vertical="center" wrapText="1"/>
    </xf>
    <xf numFmtId="0" fontId="24" fillId="4" borderId="174" xfId="1" applyFont="1" applyFill="1" applyBorder="1" applyAlignment="1">
      <alignment vertical="center"/>
    </xf>
    <xf numFmtId="0" fontId="19" fillId="0" borderId="173" xfId="1" applyFont="1" applyBorder="1" applyAlignment="1">
      <alignment vertical="center"/>
    </xf>
    <xf numFmtId="0" fontId="19" fillId="0" borderId="173" xfId="1" applyFont="1" applyBorder="1" applyAlignment="1">
      <alignment horizontal="left" vertical="center"/>
    </xf>
    <xf numFmtId="3" fontId="26" fillId="0" borderId="173" xfId="1" applyNumberFormat="1" applyFont="1" applyFill="1" applyBorder="1" applyAlignment="1">
      <alignment horizontal="center" vertical="center"/>
    </xf>
    <xf numFmtId="3" fontId="26" fillId="0" borderId="176" xfId="1" applyNumberFormat="1" applyFont="1" applyFill="1" applyBorder="1" applyAlignment="1">
      <alignment horizontal="center" vertical="center"/>
    </xf>
    <xf numFmtId="0" fontId="24" fillId="6" borderId="173" xfId="1" applyFont="1" applyFill="1" applyBorder="1" applyAlignment="1">
      <alignment vertical="center"/>
    </xf>
    <xf numFmtId="0" fontId="24" fillId="8" borderId="174" xfId="1" applyFont="1" applyFill="1" applyBorder="1" applyAlignment="1">
      <alignment vertical="center"/>
    </xf>
    <xf numFmtId="0" fontId="19" fillId="0" borderId="171" xfId="1" applyFont="1" applyBorder="1" applyAlignment="1">
      <alignment horizontal="left" vertical="center"/>
    </xf>
    <xf numFmtId="0" fontId="24" fillId="11" borderId="176" xfId="1" applyFont="1" applyFill="1" applyBorder="1" applyAlignment="1">
      <alignment vertical="center"/>
    </xf>
    <xf numFmtId="0" fontId="19" fillId="0" borderId="176" xfId="1" applyFont="1" applyFill="1" applyBorder="1" applyAlignment="1">
      <alignment horizontal="left" vertical="center"/>
    </xf>
    <xf numFmtId="0" fontId="19" fillId="0" borderId="175" xfId="1" applyFont="1" applyBorder="1" applyAlignment="1">
      <alignment horizontal="left" vertical="center"/>
    </xf>
    <xf numFmtId="0" fontId="24" fillId="0" borderId="171" xfId="1" applyFont="1" applyFill="1" applyBorder="1" applyAlignment="1">
      <alignment vertical="center"/>
    </xf>
    <xf numFmtId="10" fontId="24" fillId="0" borderId="170" xfId="1" applyNumberFormat="1" applyFont="1" applyFill="1" applyBorder="1" applyAlignment="1">
      <alignment horizontal="center" vertical="center"/>
    </xf>
    <xf numFmtId="10" fontId="24" fillId="0" borderId="171" xfId="1" applyNumberFormat="1" applyFont="1" applyFill="1" applyBorder="1" applyAlignment="1">
      <alignment horizontal="center" vertical="center"/>
    </xf>
    <xf numFmtId="0" fontId="24" fillId="4" borderId="176" xfId="1" applyFont="1" applyFill="1" applyBorder="1" applyAlignment="1">
      <alignment vertical="center"/>
    </xf>
    <xf numFmtId="3" fontId="24" fillId="4" borderId="173" xfId="1" applyNumberFormat="1" applyFont="1" applyFill="1" applyBorder="1" applyAlignment="1">
      <alignment horizontal="center" vertical="center"/>
    </xf>
    <xf numFmtId="3" fontId="24" fillId="4" borderId="176" xfId="1" applyNumberFormat="1" applyFont="1" applyFill="1" applyBorder="1" applyAlignment="1">
      <alignment horizontal="center" vertical="center"/>
    </xf>
    <xf numFmtId="0" fontId="19" fillId="0" borderId="171" xfId="1" applyFont="1" applyFill="1" applyBorder="1" applyAlignment="1">
      <alignment vertical="center"/>
    </xf>
    <xf numFmtId="0" fontId="19" fillId="0" borderId="171" xfId="1" applyFont="1" applyFill="1" applyBorder="1" applyAlignment="1">
      <alignment horizontal="left" vertical="center"/>
    </xf>
    <xf numFmtId="0" fontId="24" fillId="4" borderId="175" xfId="1" applyFont="1" applyFill="1" applyBorder="1" applyAlignment="1">
      <alignment vertical="center"/>
    </xf>
    <xf numFmtId="0" fontId="19" fillId="0" borderId="176" xfId="1" applyFont="1" applyBorder="1" applyAlignment="1">
      <alignment horizontal="left" vertical="center"/>
    </xf>
    <xf numFmtId="0" fontId="24" fillId="6" borderId="176" xfId="1" applyFont="1" applyFill="1" applyBorder="1" applyAlignment="1">
      <alignment vertical="center"/>
    </xf>
    <xf numFmtId="0" fontId="24" fillId="8" borderId="175" xfId="1" applyFont="1" applyFill="1" applyBorder="1" applyAlignment="1">
      <alignment vertical="center"/>
    </xf>
    <xf numFmtId="0" fontId="24" fillId="6" borderId="176" xfId="1" applyFont="1" applyFill="1" applyBorder="1" applyAlignment="1">
      <alignment vertical="center" wrapText="1"/>
    </xf>
    <xf numFmtId="0" fontId="24" fillId="3" borderId="175" xfId="1" applyFont="1" applyFill="1" applyBorder="1" applyAlignment="1">
      <alignment vertical="center"/>
    </xf>
    <xf numFmtId="0" fontId="18" fillId="7" borderId="7" xfId="1" applyFont="1" applyFill="1" applyBorder="1" applyAlignment="1">
      <alignment horizontal="center" vertical="center" wrapText="1"/>
    </xf>
    <xf numFmtId="0" fontId="36" fillId="0" borderId="6" xfId="1" applyNumberFormat="1" applyFont="1" applyFill="1" applyBorder="1" applyAlignment="1">
      <alignment horizontal="center" vertical="center"/>
    </xf>
    <xf numFmtId="4" fontId="18" fillId="7" borderId="5" xfId="1" applyNumberFormat="1" applyFont="1" applyFill="1" applyBorder="1" applyAlignment="1">
      <alignment horizontal="center" vertical="center" wrapText="1"/>
    </xf>
    <xf numFmtId="4" fontId="18" fillId="7" borderId="7" xfId="1" applyNumberFormat="1" applyFont="1" applyFill="1" applyBorder="1" applyAlignment="1">
      <alignment horizontal="center" vertical="center" wrapText="1"/>
    </xf>
    <xf numFmtId="4" fontId="42" fillId="12" borderId="56" xfId="1" applyNumberFormat="1" applyFont="1" applyFill="1" applyBorder="1" applyAlignment="1">
      <alignment horizontal="center" vertical="center" wrapText="1"/>
    </xf>
    <xf numFmtId="4" fontId="36" fillId="11" borderId="56" xfId="7" applyNumberFormat="1" applyFont="1" applyFill="1" applyBorder="1" applyAlignment="1">
      <alignment horizontal="center" vertical="center"/>
    </xf>
    <xf numFmtId="4" fontId="36" fillId="0" borderId="63" xfId="7" applyNumberFormat="1" applyFont="1" applyFill="1" applyBorder="1" applyAlignment="1">
      <alignment horizontal="center" vertical="center"/>
    </xf>
    <xf numFmtId="4" fontId="36" fillId="0" borderId="79" xfId="7" applyNumberFormat="1" applyFont="1" applyFill="1" applyBorder="1" applyAlignment="1">
      <alignment horizontal="center" vertical="center"/>
    </xf>
    <xf numFmtId="4" fontId="36" fillId="0" borderId="7" xfId="7" applyNumberFormat="1" applyFont="1" applyFill="1" applyBorder="1" applyAlignment="1">
      <alignment horizontal="center" vertical="center"/>
    </xf>
    <xf numFmtId="4" fontId="39" fillId="0" borderId="79" xfId="1" applyNumberFormat="1" applyFont="1" applyFill="1" applyBorder="1" applyAlignment="1">
      <alignment horizontal="center" vertical="center"/>
    </xf>
    <xf numFmtId="4" fontId="36" fillId="0" borderId="6" xfId="1" applyNumberFormat="1" applyFont="1" applyFill="1" applyBorder="1" applyAlignment="1">
      <alignment horizontal="center" vertical="center"/>
    </xf>
    <xf numFmtId="4" fontId="29" fillId="3" borderId="63" xfId="1" applyNumberFormat="1" applyFont="1" applyFill="1" applyBorder="1" applyAlignment="1">
      <alignment horizontal="center" vertical="center"/>
    </xf>
    <xf numFmtId="4" fontId="36" fillId="4" borderId="79" xfId="7" applyNumberFormat="1" applyFont="1" applyFill="1" applyBorder="1" applyAlignment="1">
      <alignment horizontal="center" vertical="center"/>
    </xf>
    <xf numFmtId="4" fontId="36" fillId="4" borderId="63" xfId="7" applyNumberFormat="1" applyFont="1" applyFill="1" applyBorder="1" applyAlignment="1">
      <alignment horizontal="center" vertical="center"/>
    </xf>
    <xf numFmtId="4" fontId="36" fillId="0" borderId="79" xfId="1" applyNumberFormat="1" applyFont="1" applyFill="1" applyBorder="1" applyAlignment="1">
      <alignment horizontal="center" vertical="center"/>
    </xf>
    <xf numFmtId="4" fontId="39" fillId="5" borderId="6" xfId="1" applyNumberFormat="1" applyFont="1" applyFill="1" applyBorder="1" applyAlignment="1">
      <alignment horizontal="center" vertical="center"/>
    </xf>
    <xf numFmtId="4" fontId="36" fillId="0" borderId="6" xfId="7" applyNumberFormat="1" applyFont="1" applyFill="1" applyBorder="1" applyAlignment="1">
      <alignment horizontal="center" vertical="center"/>
    </xf>
    <xf numFmtId="4" fontId="36" fillId="4" borderId="56" xfId="7" applyNumberFormat="1" applyFont="1" applyFill="1" applyBorder="1" applyAlignment="1">
      <alignment horizontal="center" vertical="center"/>
    </xf>
    <xf numFmtId="4" fontId="39" fillId="0" borderId="6" xfId="1" applyNumberFormat="1" applyFont="1" applyFill="1" applyBorder="1" applyAlignment="1">
      <alignment horizontal="center" vertical="center"/>
    </xf>
    <xf numFmtId="4" fontId="20" fillId="11" borderId="0" xfId="1" applyNumberFormat="1" applyFont="1" applyFill="1" applyAlignment="1">
      <alignment horizontal="center" vertical="center"/>
    </xf>
    <xf numFmtId="3" fontId="20" fillId="0" borderId="0" xfId="1" applyNumberFormat="1" applyFont="1" applyAlignment="1">
      <alignment horizontal="center" vertical="center"/>
    </xf>
    <xf numFmtId="0" fontId="115" fillId="0" borderId="0" xfId="1" applyFont="1" applyAlignment="1">
      <alignment horizontal="center" vertical="center"/>
    </xf>
    <xf numFmtId="0" fontId="117" fillId="0" borderId="0" xfId="1" applyFont="1" applyAlignment="1">
      <alignment horizontal="center" vertical="center"/>
    </xf>
    <xf numFmtId="4" fontId="6" fillId="0" borderId="0" xfId="8808" applyNumberFormat="1"/>
    <xf numFmtId="4" fontId="6" fillId="0" borderId="0" xfId="8808" applyNumberFormat="1"/>
    <xf numFmtId="4" fontId="6" fillId="0" borderId="0" xfId="8808" applyNumberFormat="1"/>
    <xf numFmtId="4" fontId="6" fillId="0" borderId="0" xfId="8808" applyNumberFormat="1"/>
    <xf numFmtId="4" fontId="151" fillId="0" borderId="0" xfId="1" applyNumberFormat="1" applyFont="1" applyAlignment="1">
      <alignment horizontal="left" vertical="center"/>
    </xf>
    <xf numFmtId="4" fontId="153" fillId="0" borderId="0" xfId="0" applyNumberFormat="1" applyFont="1"/>
    <xf numFmtId="0" fontId="154" fillId="0" borderId="166" xfId="1" applyNumberFormat="1" applyFont="1" applyFill="1" applyBorder="1" applyAlignment="1">
      <alignment horizontal="center" vertical="center"/>
    </xf>
    <xf numFmtId="0" fontId="0" fillId="29" borderId="0" xfId="0" applyFill="1"/>
    <xf numFmtId="3" fontId="58" fillId="29" borderId="0" xfId="0" applyNumberFormat="1" applyFont="1" applyFill="1"/>
    <xf numFmtId="0" fontId="0" fillId="40" borderId="0" xfId="0" applyFill="1"/>
    <xf numFmtId="17" fontId="56" fillId="40" borderId="0" xfId="0" applyNumberFormat="1" applyFont="1" applyFill="1" applyAlignment="1">
      <alignment horizontal="center" vertical="center"/>
    </xf>
    <xf numFmtId="0" fontId="56" fillId="40" borderId="0" xfId="0" applyFont="1" applyFill="1"/>
    <xf numFmtId="3" fontId="58" fillId="40" borderId="0" xfId="0" applyNumberFormat="1" applyFont="1" applyFill="1"/>
    <xf numFmtId="3" fontId="84" fillId="40" borderId="0" xfId="0" applyNumberFormat="1" applyFont="1" applyFill="1"/>
    <xf numFmtId="0" fontId="56" fillId="42" borderId="0" xfId="0" applyFont="1" applyFill="1"/>
    <xf numFmtId="3" fontId="58" fillId="42" borderId="0" xfId="0" applyNumberFormat="1" applyFont="1" applyFill="1"/>
    <xf numFmtId="3" fontId="90" fillId="42" borderId="0" xfId="0" applyNumberFormat="1" applyFont="1" applyFill="1" applyAlignment="1">
      <alignment horizontal="center" vertical="center"/>
    </xf>
    <xf numFmtId="0" fontId="94" fillId="29" borderId="0" xfId="0" applyFont="1" applyFill="1"/>
    <xf numFmtId="3" fontId="96" fillId="29" borderId="0" xfId="0" applyNumberFormat="1" applyFont="1" applyFill="1"/>
    <xf numFmtId="3" fontId="155" fillId="29" borderId="0" xfId="0" applyNumberFormat="1" applyFont="1" applyFill="1"/>
    <xf numFmtId="4" fontId="58" fillId="29" borderId="0" xfId="0" applyNumberFormat="1" applyFont="1" applyFill="1"/>
    <xf numFmtId="0" fontId="155" fillId="0" borderId="0" xfId="0" applyFont="1"/>
    <xf numFmtId="4" fontId="155" fillId="0" borderId="0" xfId="0" applyNumberFormat="1" applyFont="1"/>
    <xf numFmtId="0" fontId="56" fillId="2" borderId="0" xfId="0" applyFont="1" applyFill="1"/>
    <xf numFmtId="4" fontId="56" fillId="2" borderId="0" xfId="0" applyNumberFormat="1" applyFont="1" applyFill="1"/>
    <xf numFmtId="0" fontId="156" fillId="0" borderId="0" xfId="0" applyFont="1"/>
    <xf numFmtId="3" fontId="156" fillId="0" borderId="0" xfId="0" applyNumberFormat="1" applyFont="1"/>
    <xf numFmtId="0" fontId="157" fillId="0" borderId="0" xfId="0" applyFont="1"/>
    <xf numFmtId="3" fontId="157" fillId="0" borderId="0" xfId="0" applyNumberFormat="1" applyFont="1"/>
    <xf numFmtId="0" fontId="95" fillId="41" borderId="0" xfId="0" applyFont="1" applyFill="1"/>
    <xf numFmtId="0" fontId="57" fillId="43" borderId="0" xfId="0" applyFont="1" applyFill="1"/>
    <xf numFmtId="0" fontId="57" fillId="43" borderId="0" xfId="0" applyFont="1" applyFill="1" applyAlignment="1">
      <alignment horizontal="center"/>
    </xf>
    <xf numFmtId="3" fontId="57" fillId="43" borderId="0" xfId="0" applyNumberFormat="1" applyFont="1" applyFill="1"/>
    <xf numFmtId="3" fontId="155" fillId="29" borderId="0" xfId="0" applyNumberFormat="1" applyFont="1" applyFill="1" applyAlignment="1">
      <alignment horizontal="center"/>
    </xf>
    <xf numFmtId="3" fontId="155" fillId="18" borderId="0" xfId="0" applyNumberFormat="1" applyFont="1" applyFill="1" applyAlignment="1">
      <alignment horizontal="center"/>
    </xf>
    <xf numFmtId="3" fontId="58" fillId="29" borderId="0" xfId="0" applyNumberFormat="1" applyFont="1" applyFill="1" applyAlignment="1">
      <alignment horizontal="center"/>
    </xf>
    <xf numFmtId="4" fontId="58" fillId="29" borderId="0" xfId="0" applyNumberFormat="1" applyFont="1" applyFill="1" applyAlignment="1">
      <alignment horizontal="center"/>
    </xf>
    <xf numFmtId="0" fontId="0" fillId="29" borderId="0" xfId="0" applyFill="1" applyAlignment="1">
      <alignment horizontal="center"/>
    </xf>
    <xf numFmtId="3" fontId="58" fillId="18" borderId="0" xfId="0" applyNumberFormat="1" applyFont="1" applyFill="1" applyAlignment="1">
      <alignment horizontal="center"/>
    </xf>
    <xf numFmtId="0" fontId="158" fillId="0" borderId="0" xfId="0" applyFont="1"/>
    <xf numFmtId="0" fontId="19" fillId="0" borderId="177" xfId="1" applyFont="1" applyBorder="1" applyAlignment="1">
      <alignment horizontal="left" vertical="center"/>
    </xf>
    <xf numFmtId="3" fontId="25" fillId="0" borderId="178" xfId="1" applyNumberFormat="1" applyFont="1" applyFill="1" applyBorder="1" applyAlignment="1">
      <alignment horizontal="center" vertical="center"/>
    </xf>
    <xf numFmtId="3" fontId="25" fillId="0" borderId="177" xfId="1" applyNumberFormat="1" applyFont="1" applyFill="1" applyBorder="1" applyAlignment="1">
      <alignment horizontal="center" vertical="center"/>
    </xf>
    <xf numFmtId="4" fontId="25" fillId="0" borderId="179" xfId="1" applyNumberFormat="1" applyFont="1" applyFill="1" applyBorder="1" applyAlignment="1">
      <alignment horizontal="center" vertical="center"/>
    </xf>
    <xf numFmtId="4" fontId="19" fillId="0" borderId="179" xfId="1" applyNumberFormat="1" applyFont="1" applyFill="1" applyBorder="1" applyAlignment="1">
      <alignment horizontal="center" vertical="center"/>
    </xf>
    <xf numFmtId="9" fontId="36" fillId="0" borderId="181" xfId="7" applyFont="1" applyFill="1" applyBorder="1" applyAlignment="1">
      <alignment horizontal="center" vertical="center"/>
    </xf>
    <xf numFmtId="9" fontId="27" fillId="0" borderId="181" xfId="7" applyFont="1" applyFill="1" applyBorder="1" applyAlignment="1">
      <alignment horizontal="center" vertical="center"/>
    </xf>
    <xf numFmtId="3" fontId="27" fillId="0" borderId="182" xfId="1" applyNumberFormat="1" applyFont="1" applyFill="1" applyBorder="1" applyAlignment="1">
      <alignment horizontal="center" vertical="center"/>
    </xf>
    <xf numFmtId="3" fontId="27" fillId="0" borderId="183" xfId="1" applyNumberFormat="1" applyFont="1" applyFill="1" applyBorder="1" applyAlignment="1">
      <alignment horizontal="center" vertical="center"/>
    </xf>
    <xf numFmtId="3" fontId="27" fillId="0" borderId="184" xfId="1" applyNumberFormat="1" applyFont="1" applyFill="1" applyBorder="1" applyAlignment="1">
      <alignment horizontal="center" vertical="center"/>
    </xf>
    <xf numFmtId="3" fontId="27" fillId="0" borderId="178" xfId="1" applyNumberFormat="1" applyFont="1" applyFill="1" applyBorder="1" applyAlignment="1">
      <alignment horizontal="center" vertical="center"/>
    </xf>
    <xf numFmtId="3" fontId="27" fillId="0" borderId="186" xfId="1" applyNumberFormat="1" applyFont="1" applyFill="1" applyBorder="1" applyAlignment="1">
      <alignment horizontal="center" vertical="center"/>
    </xf>
    <xf numFmtId="3" fontId="27" fillId="0" borderId="187" xfId="1" applyNumberFormat="1" applyFont="1" applyFill="1" applyBorder="1" applyAlignment="1">
      <alignment horizontal="center" vertical="center"/>
    </xf>
    <xf numFmtId="9" fontId="36" fillId="0" borderId="188" xfId="7" applyFont="1" applyFill="1" applyBorder="1" applyAlignment="1">
      <alignment horizontal="center" vertical="center"/>
    </xf>
    <xf numFmtId="4" fontId="25" fillId="0" borderId="185" xfId="1" applyNumberFormat="1" applyFont="1" applyFill="1" applyBorder="1" applyAlignment="1">
      <alignment horizontal="center" vertical="center"/>
    </xf>
    <xf numFmtId="4" fontId="25" fillId="0" borderId="188" xfId="1" applyNumberFormat="1" applyFont="1" applyFill="1" applyBorder="1" applyAlignment="1">
      <alignment horizontal="center" vertical="center"/>
    </xf>
    <xf numFmtId="3" fontId="25" fillId="0" borderId="188" xfId="1" applyNumberFormat="1" applyFont="1" applyFill="1" applyBorder="1" applyAlignment="1">
      <alignment horizontal="center" vertical="center"/>
    </xf>
    <xf numFmtId="9" fontId="27" fillId="0" borderId="188" xfId="7" applyFont="1" applyFill="1" applyBorder="1" applyAlignment="1">
      <alignment horizontal="center" vertical="center"/>
    </xf>
    <xf numFmtId="0" fontId="24" fillId="11" borderId="180" xfId="1" applyFont="1" applyFill="1" applyBorder="1" applyAlignment="1">
      <alignment vertical="center"/>
    </xf>
    <xf numFmtId="4" fontId="24" fillId="11" borderId="182" xfId="1" applyNumberFormat="1" applyFont="1" applyFill="1" applyBorder="1" applyAlignment="1">
      <alignment horizontal="center" vertical="center"/>
    </xf>
    <xf numFmtId="4" fontId="24" fillId="11" borderId="180" xfId="1" applyNumberFormat="1" applyFont="1" applyFill="1" applyBorder="1" applyAlignment="1">
      <alignment horizontal="center" vertical="center"/>
    </xf>
    <xf numFmtId="4" fontId="29" fillId="11" borderId="180" xfId="1" applyNumberFormat="1" applyFont="1" applyFill="1" applyBorder="1" applyAlignment="1">
      <alignment horizontal="center" vertical="center"/>
    </xf>
    <xf numFmtId="4" fontId="66" fillId="11" borderId="180" xfId="1" applyNumberFormat="1" applyFont="1" applyFill="1" applyBorder="1" applyAlignment="1">
      <alignment horizontal="center" vertical="center"/>
    </xf>
    <xf numFmtId="0" fontId="19" fillId="0" borderId="180" xfId="1" applyFont="1" applyFill="1" applyBorder="1" applyAlignment="1">
      <alignment horizontal="left" vertical="center"/>
    </xf>
    <xf numFmtId="4" fontId="27" fillId="0" borderId="182" xfId="1" applyNumberFormat="1" applyFont="1" applyFill="1" applyBorder="1" applyAlignment="1">
      <alignment horizontal="center" vertical="center"/>
    </xf>
    <xf numFmtId="4" fontId="27" fillId="0" borderId="180" xfId="1" applyNumberFormat="1" applyFont="1" applyFill="1" applyBorder="1" applyAlignment="1">
      <alignment horizontal="center" vertical="center"/>
    </xf>
    <xf numFmtId="0" fontId="36" fillId="0" borderId="181" xfId="1" applyNumberFormat="1" applyFont="1" applyFill="1" applyBorder="1" applyAlignment="1">
      <alignment horizontal="center" vertical="center"/>
    </xf>
    <xf numFmtId="0" fontId="27" fillId="0" borderId="181" xfId="1" applyNumberFormat="1" applyFont="1" applyFill="1" applyBorder="1" applyAlignment="1">
      <alignment horizontal="center" vertical="center"/>
    </xf>
    <xf numFmtId="0" fontId="19" fillId="0" borderId="185" xfId="1" applyFont="1" applyBorder="1" applyAlignment="1">
      <alignment horizontal="left" vertical="center"/>
    </xf>
    <xf numFmtId="4" fontId="27" fillId="0" borderId="187" xfId="1" applyNumberFormat="1" applyFont="1" applyFill="1" applyBorder="1" applyAlignment="1">
      <alignment horizontal="center" vertical="center"/>
    </xf>
    <xf numFmtId="4" fontId="27" fillId="0" borderId="185" xfId="1" applyNumberFormat="1" applyFont="1" applyFill="1" applyBorder="1" applyAlignment="1">
      <alignment horizontal="center" vertical="center"/>
    </xf>
    <xf numFmtId="10" fontId="27" fillId="0" borderId="188" xfId="1" applyNumberFormat="1" applyFont="1" applyFill="1" applyBorder="1" applyAlignment="1">
      <alignment horizontal="center" vertical="center"/>
    </xf>
    <xf numFmtId="10" fontId="36" fillId="0" borderId="188" xfId="1" applyNumberFormat="1" applyFont="1" applyFill="1" applyBorder="1" applyAlignment="1">
      <alignment horizontal="center" vertical="center"/>
    </xf>
    <xf numFmtId="10" fontId="26" fillId="0" borderId="188" xfId="1" applyNumberFormat="1" applyFont="1" applyFill="1" applyBorder="1" applyAlignment="1">
      <alignment horizontal="center" vertical="center"/>
    </xf>
    <xf numFmtId="0" fontId="24" fillId="0" borderId="177" xfId="1" applyFont="1" applyFill="1" applyBorder="1" applyAlignment="1">
      <alignment vertical="center"/>
    </xf>
    <xf numFmtId="10" fontId="24" fillId="0" borderId="178" xfId="1" applyNumberFormat="1" applyFont="1" applyFill="1" applyBorder="1" applyAlignment="1">
      <alignment horizontal="center" vertical="center"/>
    </xf>
    <xf numFmtId="10" fontId="24" fillId="0" borderId="177" xfId="1" applyNumberFormat="1" applyFont="1" applyFill="1" applyBorder="1" applyAlignment="1">
      <alignment horizontal="center" vertical="center"/>
    </xf>
    <xf numFmtId="10" fontId="24" fillId="0" borderId="179" xfId="1" applyNumberFormat="1" applyFont="1" applyFill="1" applyBorder="1" applyAlignment="1">
      <alignment horizontal="center" vertical="center"/>
    </xf>
    <xf numFmtId="10" fontId="29" fillId="0" borderId="179" xfId="1" applyNumberFormat="1" applyFont="1" applyFill="1" applyBorder="1" applyAlignment="1">
      <alignment horizontal="center" vertical="center"/>
    </xf>
    <xf numFmtId="10" fontId="24" fillId="0" borderId="185" xfId="1" applyNumberFormat="1" applyFont="1" applyFill="1" applyBorder="1" applyAlignment="1">
      <alignment horizontal="center" vertical="center"/>
    </xf>
    <xf numFmtId="10" fontId="66" fillId="0" borderId="188" xfId="1" applyNumberFormat="1" applyFont="1" applyFill="1" applyBorder="1" applyAlignment="1">
      <alignment horizontal="center" vertical="center"/>
    </xf>
    <xf numFmtId="10" fontId="24" fillId="0" borderId="188" xfId="1" applyNumberFormat="1" applyFont="1" applyFill="1" applyBorder="1" applyAlignment="1">
      <alignment horizontal="center" vertical="center"/>
    </xf>
    <xf numFmtId="0" fontId="24" fillId="4" borderId="180" xfId="1" applyFont="1" applyFill="1" applyBorder="1" applyAlignment="1">
      <alignment vertical="center"/>
    </xf>
    <xf numFmtId="3" fontId="24" fillId="4" borderId="182" xfId="1" applyNumberFormat="1" applyFont="1" applyFill="1" applyBorder="1" applyAlignment="1">
      <alignment horizontal="center" vertical="center"/>
    </xf>
    <xf numFmtId="3" fontId="24" fillId="4" borderId="180" xfId="1" applyNumberFormat="1" applyFont="1" applyFill="1" applyBorder="1" applyAlignment="1">
      <alignment horizontal="center" vertical="center"/>
    </xf>
    <xf numFmtId="9" fontId="36" fillId="4" borderId="181" xfId="7" applyFont="1" applyFill="1" applyBorder="1" applyAlignment="1">
      <alignment horizontal="center" vertical="center"/>
    </xf>
    <xf numFmtId="0" fontId="19" fillId="0" borderId="180" xfId="1" applyFont="1" applyFill="1" applyBorder="1" applyAlignment="1">
      <alignment vertical="center"/>
    </xf>
    <xf numFmtId="3" fontId="27" fillId="0" borderId="180" xfId="1" applyNumberFormat="1" applyFont="1" applyFill="1" applyBorder="1" applyAlignment="1">
      <alignment horizontal="center" vertical="center"/>
    </xf>
    <xf numFmtId="9" fontId="68" fillId="0" borderId="181" xfId="7" applyFont="1" applyFill="1" applyBorder="1" applyAlignment="1">
      <alignment horizontal="center" vertical="center"/>
    </xf>
    <xf numFmtId="0" fontId="19" fillId="0" borderId="177" xfId="1" applyFont="1" applyFill="1" applyBorder="1" applyAlignment="1">
      <alignment vertical="center"/>
    </xf>
    <xf numFmtId="3" fontId="27" fillId="0" borderId="177" xfId="1" applyNumberFormat="1" applyFont="1" applyFill="1" applyBorder="1" applyAlignment="1">
      <alignment horizontal="center" vertical="center"/>
    </xf>
    <xf numFmtId="3" fontId="27" fillId="0" borderId="179" xfId="1" applyNumberFormat="1" applyFont="1" applyFill="1" applyBorder="1" applyAlignment="1">
      <alignment horizontal="center" vertical="center"/>
    </xf>
    <xf numFmtId="10" fontId="36" fillId="0" borderId="179" xfId="1" applyNumberFormat="1" applyFont="1" applyFill="1" applyBorder="1" applyAlignment="1">
      <alignment horizontal="center" vertical="center"/>
    </xf>
    <xf numFmtId="10" fontId="68" fillId="0" borderId="188" xfId="1" applyNumberFormat="1" applyFont="1" applyFill="1" applyBorder="1" applyAlignment="1">
      <alignment horizontal="center" vertical="center"/>
    </xf>
    <xf numFmtId="0" fontId="68" fillId="0" borderId="181" xfId="1" applyNumberFormat="1" applyFont="1" applyFill="1" applyBorder="1" applyAlignment="1">
      <alignment horizontal="center" vertical="center"/>
    </xf>
    <xf numFmtId="0" fontId="19" fillId="0" borderId="185" xfId="1" applyFont="1" applyBorder="1" applyAlignment="1">
      <alignment vertical="center"/>
    </xf>
    <xf numFmtId="3" fontId="26" fillId="5" borderId="187" xfId="1" applyNumberFormat="1" applyFont="1" applyFill="1" applyBorder="1" applyAlignment="1">
      <alignment horizontal="center" vertical="center"/>
    </xf>
    <xf numFmtId="3" fontId="26" fillId="5" borderId="185" xfId="1" applyNumberFormat="1" applyFont="1" applyFill="1" applyBorder="1" applyAlignment="1">
      <alignment horizontal="center" vertical="center"/>
    </xf>
    <xf numFmtId="3" fontId="26" fillId="5" borderId="188" xfId="1" applyNumberFormat="1" applyFont="1" applyFill="1" applyBorder="1" applyAlignment="1">
      <alignment horizontal="center" vertical="center"/>
    </xf>
    <xf numFmtId="10" fontId="39" fillId="5" borderId="188" xfId="1" applyNumberFormat="1" applyFont="1" applyFill="1" applyBorder="1" applyAlignment="1">
      <alignment horizontal="center" vertical="center"/>
    </xf>
    <xf numFmtId="10" fontId="68" fillId="5" borderId="188" xfId="1" applyNumberFormat="1" applyFont="1" applyFill="1" applyBorder="1" applyAlignment="1">
      <alignment horizontal="center" vertical="center"/>
    </xf>
    <xf numFmtId="10" fontId="26" fillId="5" borderId="188" xfId="1" applyNumberFormat="1" applyFont="1" applyFill="1" applyBorder="1" applyAlignment="1">
      <alignment horizontal="center" vertical="center"/>
    </xf>
    <xf numFmtId="3" fontId="27" fillId="5" borderId="180" xfId="1" applyNumberFormat="1" applyFont="1" applyFill="1" applyBorder="1" applyAlignment="1">
      <alignment horizontal="center" vertical="center"/>
    </xf>
    <xf numFmtId="4" fontId="82" fillId="0" borderId="189" xfId="0" applyNumberFormat="1" applyFont="1" applyFill="1" applyBorder="1" applyAlignment="1" applyProtection="1">
      <alignment horizontal="center" vertical="center"/>
    </xf>
    <xf numFmtId="3" fontId="27" fillId="5" borderId="182" xfId="1" applyNumberFormat="1" applyFont="1" applyFill="1" applyBorder="1" applyAlignment="1">
      <alignment horizontal="center" vertical="center"/>
    </xf>
    <xf numFmtId="4" fontId="82" fillId="0" borderId="190" xfId="0" applyNumberFormat="1" applyFont="1" applyFill="1" applyBorder="1" applyAlignment="1" applyProtection="1">
      <alignment horizontal="center" vertical="center"/>
    </xf>
    <xf numFmtId="9" fontId="27" fillId="0" borderId="181" xfId="7" applyFont="1" applyFill="1" applyBorder="1" applyAlignment="1">
      <alignment horizontal="center" vertical="center" wrapText="1"/>
    </xf>
    <xf numFmtId="9" fontId="36" fillId="0" borderId="179" xfId="7" applyFont="1" applyFill="1" applyBorder="1" applyAlignment="1">
      <alignment horizontal="center" vertical="center"/>
    </xf>
    <xf numFmtId="0" fontId="19" fillId="0" borderId="177" xfId="1" applyFont="1" applyFill="1" applyBorder="1" applyAlignment="1">
      <alignment horizontal="left" vertical="center"/>
    </xf>
    <xf numFmtId="3" fontId="26" fillId="5" borderId="178" xfId="1" applyNumberFormat="1" applyFont="1" applyFill="1" applyBorder="1" applyAlignment="1">
      <alignment horizontal="center" vertical="center"/>
    </xf>
    <xf numFmtId="3" fontId="26" fillId="5" borderId="177" xfId="1" applyNumberFormat="1" applyFont="1" applyFill="1" applyBorder="1" applyAlignment="1">
      <alignment horizontal="center" vertical="center"/>
    </xf>
    <xf numFmtId="3" fontId="26" fillId="5" borderId="184" xfId="1" applyNumberFormat="1" applyFont="1" applyFill="1" applyBorder="1" applyAlignment="1">
      <alignment horizontal="center" vertical="center"/>
    </xf>
    <xf numFmtId="9" fontId="68" fillId="0" borderId="179" xfId="7" applyFont="1" applyFill="1" applyBorder="1" applyAlignment="1">
      <alignment horizontal="center" vertical="center"/>
    </xf>
    <xf numFmtId="9" fontId="27" fillId="0" borderId="179" xfId="7" applyFont="1" applyFill="1" applyBorder="1" applyAlignment="1">
      <alignment horizontal="center" vertical="center"/>
    </xf>
    <xf numFmtId="0" fontId="24" fillId="4" borderId="185" xfId="1" applyFont="1" applyFill="1" applyBorder="1" applyAlignment="1">
      <alignment vertical="center"/>
    </xf>
    <xf numFmtId="3" fontId="24" fillId="4" borderId="187" xfId="1" applyNumberFormat="1" applyFont="1" applyFill="1" applyBorder="1" applyAlignment="1">
      <alignment horizontal="center" vertical="center"/>
    </xf>
    <xf numFmtId="3" fontId="24" fillId="4" borderId="185" xfId="1" applyNumberFormat="1" applyFont="1" applyFill="1" applyBorder="1" applyAlignment="1">
      <alignment horizontal="center" vertical="center"/>
    </xf>
    <xf numFmtId="4" fontId="29" fillId="4" borderId="185" xfId="1" applyNumberFormat="1" applyFont="1" applyFill="1" applyBorder="1" applyAlignment="1">
      <alignment horizontal="center" vertical="center"/>
    </xf>
    <xf numFmtId="4" fontId="24" fillId="4" borderId="185" xfId="1" applyNumberFormat="1" applyFont="1" applyFill="1" applyBorder="1" applyAlignment="1">
      <alignment horizontal="center" vertical="center"/>
    </xf>
    <xf numFmtId="4" fontId="69" fillId="4" borderId="185" xfId="1" applyNumberFormat="1" applyFont="1" applyFill="1" applyBorder="1" applyAlignment="1">
      <alignment horizontal="center" vertical="center"/>
    </xf>
    <xf numFmtId="0" fontId="19" fillId="0" borderId="180" xfId="1" applyFont="1" applyBorder="1" applyAlignment="1">
      <alignment vertical="center"/>
    </xf>
    <xf numFmtId="0" fontId="19" fillId="0" borderId="180" xfId="1" applyFont="1" applyBorder="1" applyAlignment="1">
      <alignment horizontal="left" vertical="center"/>
    </xf>
    <xf numFmtId="3" fontId="26" fillId="0" borderId="182" xfId="1" applyNumberFormat="1" applyFont="1" applyFill="1" applyBorder="1" applyAlignment="1">
      <alignment horizontal="center" vertical="center"/>
    </xf>
    <xf numFmtId="3" fontId="26" fillId="0" borderId="180" xfId="1" applyNumberFormat="1" applyFont="1" applyFill="1" applyBorder="1" applyAlignment="1">
      <alignment horizontal="center" vertical="center"/>
    </xf>
    <xf numFmtId="3" fontId="26" fillId="0" borderId="181" xfId="1" applyNumberFormat="1" applyFont="1" applyFill="1" applyBorder="1" applyAlignment="1">
      <alignment horizontal="center" vertical="center"/>
    </xf>
    <xf numFmtId="10" fontId="39" fillId="0" borderId="181" xfId="1" applyNumberFormat="1" applyFont="1" applyFill="1" applyBorder="1" applyAlignment="1">
      <alignment horizontal="center" vertical="center"/>
    </xf>
    <xf numFmtId="10" fontId="68" fillId="0" borderId="181" xfId="1" applyNumberFormat="1" applyFont="1" applyFill="1" applyBorder="1" applyAlignment="1">
      <alignment horizontal="center" vertical="center"/>
    </xf>
    <xf numFmtId="10" fontId="26" fillId="0" borderId="181" xfId="1" applyNumberFormat="1" applyFont="1" applyFill="1" applyBorder="1" applyAlignment="1">
      <alignment horizontal="center" vertical="center"/>
    </xf>
    <xf numFmtId="0" fontId="24" fillId="6" borderId="180" xfId="1" applyFont="1" applyFill="1" applyBorder="1" applyAlignment="1">
      <alignment vertical="center"/>
    </xf>
    <xf numFmtId="3" fontId="28" fillId="6" borderId="182" xfId="1" applyNumberFormat="1" applyFont="1" applyFill="1" applyBorder="1" applyAlignment="1">
      <alignment horizontal="center" vertical="center"/>
    </xf>
    <xf numFmtId="4" fontId="38" fillId="6" borderId="180" xfId="1" applyNumberFormat="1" applyFont="1" applyFill="1" applyBorder="1" applyAlignment="1">
      <alignment horizontal="center" vertical="center"/>
    </xf>
    <xf numFmtId="3" fontId="28" fillId="6" borderId="180" xfId="1" applyNumberFormat="1" applyFont="1" applyFill="1" applyBorder="1" applyAlignment="1">
      <alignment horizontal="center" vertical="center"/>
    </xf>
    <xf numFmtId="4" fontId="28" fillId="6" borderId="180" xfId="1" applyNumberFormat="1" applyFont="1" applyFill="1" applyBorder="1" applyAlignment="1">
      <alignment horizontal="center" vertical="center"/>
    </xf>
    <xf numFmtId="4" fontId="69" fillId="6" borderId="180" xfId="1" applyNumberFormat="1" applyFont="1" applyFill="1" applyBorder="1" applyAlignment="1">
      <alignment horizontal="center" vertical="center"/>
    </xf>
    <xf numFmtId="0" fontId="24" fillId="8" borderId="185" xfId="1" applyFont="1" applyFill="1" applyBorder="1" applyAlignment="1">
      <alignment vertical="center"/>
    </xf>
    <xf numFmtId="3" fontId="24" fillId="8" borderId="187" xfId="1" applyNumberFormat="1" applyFont="1" applyFill="1" applyBorder="1" applyAlignment="1">
      <alignment horizontal="center" vertical="center"/>
    </xf>
    <xf numFmtId="4" fontId="29" fillId="8" borderId="185" xfId="1" applyNumberFormat="1" applyFont="1" applyFill="1" applyBorder="1" applyAlignment="1">
      <alignment horizontal="center" vertical="center"/>
    </xf>
    <xf numFmtId="3" fontId="24" fillId="8" borderId="185" xfId="1" applyNumberFormat="1" applyFont="1" applyFill="1" applyBorder="1" applyAlignment="1">
      <alignment horizontal="center" vertical="center"/>
    </xf>
    <xf numFmtId="4" fontId="24" fillId="8" borderId="185" xfId="1" applyNumberFormat="1" applyFont="1" applyFill="1" applyBorder="1" applyAlignment="1">
      <alignment horizontal="center" vertical="center"/>
    </xf>
    <xf numFmtId="4" fontId="69" fillId="8" borderId="185" xfId="1" applyNumberFormat="1" applyFont="1" applyFill="1" applyBorder="1" applyAlignment="1">
      <alignment horizontal="center" vertical="center"/>
    </xf>
    <xf numFmtId="0" fontId="24" fillId="6" borderId="180" xfId="1" applyFont="1" applyFill="1" applyBorder="1" applyAlignment="1">
      <alignment vertical="center" wrapText="1"/>
    </xf>
    <xf numFmtId="3" fontId="24" fillId="6" borderId="182" xfId="1" applyNumberFormat="1" applyFont="1" applyFill="1" applyBorder="1" applyAlignment="1">
      <alignment horizontal="center" vertical="center"/>
    </xf>
    <xf numFmtId="3" fontId="24" fillId="6" borderId="180" xfId="1" applyNumberFormat="1" applyFont="1" applyFill="1" applyBorder="1" applyAlignment="1">
      <alignment horizontal="center" vertical="center"/>
    </xf>
    <xf numFmtId="4" fontId="29" fillId="6" borderId="180" xfId="1" applyNumberFormat="1" applyFont="1" applyFill="1" applyBorder="1" applyAlignment="1">
      <alignment horizontal="center" vertical="center"/>
    </xf>
    <xf numFmtId="4" fontId="24" fillId="6" borderId="180" xfId="1" applyNumberFormat="1" applyFont="1" applyFill="1" applyBorder="1" applyAlignment="1">
      <alignment horizontal="center" vertical="center"/>
    </xf>
    <xf numFmtId="0" fontId="24" fillId="3" borderId="185" xfId="1" applyFont="1" applyFill="1" applyBorder="1" applyAlignment="1">
      <alignment vertical="center"/>
    </xf>
    <xf numFmtId="9" fontId="24" fillId="3" borderId="187" xfId="7" applyFont="1" applyFill="1" applyBorder="1" applyAlignment="1">
      <alignment horizontal="center" vertical="center"/>
    </xf>
    <xf numFmtId="3" fontId="24" fillId="3" borderId="187" xfId="1" applyNumberFormat="1" applyFont="1" applyFill="1" applyBorder="1" applyAlignment="1">
      <alignment horizontal="center" vertical="center"/>
    </xf>
    <xf numFmtId="9" fontId="24" fillId="3" borderId="185" xfId="7" applyFont="1" applyFill="1" applyBorder="1" applyAlignment="1">
      <alignment horizontal="center" vertical="center"/>
    </xf>
    <xf numFmtId="10" fontId="29" fillId="3" borderId="185" xfId="1" applyNumberFormat="1" applyFont="1" applyFill="1" applyBorder="1" applyAlignment="1">
      <alignment horizontal="center" vertical="center"/>
    </xf>
    <xf numFmtId="10" fontId="24" fillId="3" borderId="185" xfId="1" applyNumberFormat="1" applyFont="1" applyFill="1" applyBorder="1" applyAlignment="1">
      <alignment horizontal="center" vertical="center"/>
    </xf>
    <xf numFmtId="10" fontId="69" fillId="3" borderId="185" xfId="1" applyNumberFormat="1" applyFont="1" applyFill="1" applyBorder="1" applyAlignment="1">
      <alignment horizontal="center" vertical="center"/>
    </xf>
    <xf numFmtId="0" fontId="19" fillId="0" borderId="177" xfId="1" applyFont="1" applyBorder="1" applyAlignment="1">
      <alignment vertical="center"/>
    </xf>
    <xf numFmtId="3" fontId="27" fillId="0" borderId="180" xfId="6" applyNumberFormat="1" applyFont="1" applyFill="1" applyBorder="1" applyAlignment="1">
      <alignment horizontal="center" vertical="center"/>
    </xf>
    <xf numFmtId="49" fontId="67" fillId="0" borderId="77" xfId="7" applyNumberFormat="1" applyFont="1" applyFill="1" applyBorder="1" applyAlignment="1">
      <alignment horizontal="center" vertical="center" wrapText="1"/>
    </xf>
    <xf numFmtId="4" fontId="159" fillId="0" borderId="0" xfId="1" applyNumberFormat="1" applyFont="1" applyAlignment="1">
      <alignment horizontal="center" vertical="center"/>
    </xf>
    <xf numFmtId="10" fontId="26" fillId="0" borderId="183" xfId="1" applyNumberFormat="1" applyFont="1" applyFill="1" applyBorder="1" applyAlignment="1">
      <alignment horizontal="center" vertical="center"/>
    </xf>
    <xf numFmtId="3" fontId="25" fillId="0" borderId="192" xfId="1" applyNumberFormat="1" applyFont="1" applyFill="1" applyBorder="1" applyAlignment="1">
      <alignment horizontal="center" vertical="center"/>
    </xf>
    <xf numFmtId="3" fontId="25" fillId="0" borderId="193" xfId="1" applyNumberFormat="1" applyFont="1" applyFill="1" applyBorder="1" applyAlignment="1">
      <alignment horizontal="center" vertical="center"/>
    </xf>
    <xf numFmtId="4" fontId="25" fillId="0" borderId="194" xfId="1" applyNumberFormat="1" applyFont="1" applyFill="1" applyBorder="1" applyAlignment="1">
      <alignment horizontal="center" vertical="center"/>
    </xf>
    <xf numFmtId="4" fontId="19" fillId="0" borderId="194" xfId="1" applyNumberFormat="1" applyFont="1" applyFill="1" applyBorder="1" applyAlignment="1">
      <alignment horizontal="center" vertical="center"/>
    </xf>
    <xf numFmtId="9" fontId="36" fillId="0" borderId="195" xfId="7" applyFont="1" applyFill="1" applyBorder="1" applyAlignment="1">
      <alignment horizontal="center" vertical="center"/>
    </xf>
    <xf numFmtId="0" fontId="19" fillId="0" borderId="196" xfId="1" applyFont="1" applyBorder="1" applyAlignment="1">
      <alignment vertical="center"/>
    </xf>
    <xf numFmtId="3" fontId="27" fillId="0" borderId="197" xfId="1" applyNumberFormat="1" applyFont="1" applyFill="1" applyBorder="1" applyAlignment="1">
      <alignment horizontal="center" vertical="center"/>
    </xf>
    <xf numFmtId="0" fontId="19" fillId="0" borderId="196" xfId="1" applyFont="1" applyFill="1" applyBorder="1" applyAlignment="1">
      <alignment vertical="center"/>
    </xf>
    <xf numFmtId="9" fontId="27" fillId="0" borderId="195" xfId="7" applyFont="1" applyFill="1" applyBorder="1" applyAlignment="1">
      <alignment horizontal="center" vertical="center"/>
    </xf>
    <xf numFmtId="3" fontId="27" fillId="5" borderId="196" xfId="1" applyNumberFormat="1" applyFont="1" applyFill="1" applyBorder="1" applyAlignment="1">
      <alignment horizontal="center" vertical="center"/>
    </xf>
    <xf numFmtId="0" fontId="19" fillId="0" borderId="193" xfId="1" applyFont="1" applyBorder="1" applyAlignment="1">
      <alignment vertical="center"/>
    </xf>
    <xf numFmtId="3" fontId="27" fillId="0" borderId="191" xfId="1" applyNumberFormat="1" applyFont="1" applyFill="1" applyBorder="1" applyAlignment="1">
      <alignment horizontal="center" vertical="center"/>
    </xf>
    <xf numFmtId="3" fontId="27" fillId="0" borderId="192" xfId="1" applyNumberFormat="1" applyFont="1" applyFill="1" applyBorder="1" applyAlignment="1">
      <alignment horizontal="center" vertical="center"/>
    </xf>
    <xf numFmtId="4" fontId="24" fillId="11" borderId="197" xfId="1" applyNumberFormat="1" applyFont="1" applyFill="1" applyBorder="1" applyAlignment="1">
      <alignment horizontal="center" vertical="center"/>
    </xf>
    <xf numFmtId="4" fontId="24" fillId="11" borderId="196" xfId="1" applyNumberFormat="1" applyFont="1" applyFill="1" applyBorder="1" applyAlignment="1">
      <alignment horizontal="center" vertical="center"/>
    </xf>
    <xf numFmtId="4" fontId="29" fillId="11" borderId="196" xfId="1" applyNumberFormat="1" applyFont="1" applyFill="1" applyBorder="1" applyAlignment="1">
      <alignment horizontal="center" vertical="center"/>
    </xf>
    <xf numFmtId="4" fontId="66" fillId="11" borderId="196" xfId="1" applyNumberFormat="1" applyFont="1" applyFill="1" applyBorder="1" applyAlignment="1">
      <alignment horizontal="center" vertical="center"/>
    </xf>
    <xf numFmtId="4" fontId="27" fillId="0" borderId="197" xfId="1" applyNumberFormat="1" applyFont="1" applyFill="1" applyBorder="1" applyAlignment="1">
      <alignment horizontal="center" vertical="center"/>
    </xf>
    <xf numFmtId="4" fontId="27" fillId="0" borderId="196" xfId="1" applyNumberFormat="1" applyFont="1" applyFill="1" applyBorder="1" applyAlignment="1">
      <alignment horizontal="center" vertical="center"/>
    </xf>
    <xf numFmtId="0" fontId="27" fillId="0" borderId="195" xfId="1" applyNumberFormat="1" applyFont="1" applyFill="1" applyBorder="1" applyAlignment="1">
      <alignment horizontal="center" vertical="center"/>
    </xf>
    <xf numFmtId="9" fontId="36" fillId="4" borderId="195" xfId="7" applyFont="1" applyFill="1" applyBorder="1" applyAlignment="1">
      <alignment horizontal="center" vertical="center"/>
    </xf>
    <xf numFmtId="3" fontId="27" fillId="0" borderId="196" xfId="1" applyNumberFormat="1" applyFont="1" applyFill="1" applyBorder="1" applyAlignment="1">
      <alignment horizontal="center" vertical="center"/>
    </xf>
    <xf numFmtId="9" fontId="68" fillId="0" borderId="195" xfId="7" applyFont="1" applyFill="1" applyBorder="1" applyAlignment="1">
      <alignment horizontal="center" vertical="center"/>
    </xf>
    <xf numFmtId="3" fontId="27" fillId="0" borderId="193" xfId="1" applyNumberFormat="1" applyFont="1" applyFill="1" applyBorder="1" applyAlignment="1">
      <alignment horizontal="center" vertical="center"/>
    </xf>
    <xf numFmtId="3" fontId="27" fillId="0" borderId="194" xfId="1" applyNumberFormat="1" applyFont="1" applyFill="1" applyBorder="1" applyAlignment="1">
      <alignment horizontal="center" vertical="center"/>
    </xf>
    <xf numFmtId="10" fontId="36" fillId="0" borderId="194" xfId="1" applyNumberFormat="1" applyFont="1" applyFill="1" applyBorder="1" applyAlignment="1">
      <alignment horizontal="center" vertical="center"/>
    </xf>
    <xf numFmtId="0" fontId="36" fillId="0" borderId="195" xfId="1" applyNumberFormat="1" applyFont="1" applyFill="1" applyBorder="1" applyAlignment="1">
      <alignment horizontal="center" vertical="center"/>
    </xf>
    <xf numFmtId="0" fontId="68" fillId="0" borderId="195" xfId="1" applyNumberFormat="1" applyFont="1" applyFill="1" applyBorder="1" applyAlignment="1">
      <alignment horizontal="center" vertical="center"/>
    </xf>
    <xf numFmtId="3" fontId="27" fillId="5" borderId="197" xfId="1" applyNumberFormat="1" applyFont="1" applyFill="1" applyBorder="1" applyAlignment="1">
      <alignment horizontal="center" vertical="center"/>
    </xf>
    <xf numFmtId="9" fontId="27" fillId="0" borderId="195" xfId="7" applyFont="1" applyFill="1" applyBorder="1" applyAlignment="1">
      <alignment horizontal="center" vertical="center" wrapText="1"/>
    </xf>
    <xf numFmtId="9" fontId="36" fillId="0" borderId="194" xfId="7" applyFont="1" applyFill="1" applyBorder="1" applyAlignment="1">
      <alignment horizontal="center" vertical="center"/>
    </xf>
    <xf numFmtId="3" fontId="26" fillId="5" borderId="192" xfId="1" applyNumberFormat="1" applyFont="1" applyFill="1" applyBorder="1" applyAlignment="1">
      <alignment horizontal="center" vertical="center"/>
    </xf>
    <xf numFmtId="3" fontId="26" fillId="5" borderId="193" xfId="1" applyNumberFormat="1" applyFont="1" applyFill="1" applyBorder="1" applyAlignment="1">
      <alignment horizontal="center" vertical="center"/>
    </xf>
    <xf numFmtId="9" fontId="68" fillId="0" borderId="194" xfId="7" applyFont="1" applyFill="1" applyBorder="1" applyAlignment="1">
      <alignment horizontal="center" vertical="center"/>
    </xf>
    <xf numFmtId="9" fontId="27" fillId="0" borderId="194" xfId="7" applyFont="1" applyFill="1" applyBorder="1" applyAlignment="1">
      <alignment horizontal="center" vertical="center"/>
    </xf>
    <xf numFmtId="3" fontId="26" fillId="0" borderId="197" xfId="1" applyNumberFormat="1" applyFont="1" applyFill="1" applyBorder="1" applyAlignment="1">
      <alignment horizontal="center" vertical="center"/>
    </xf>
    <xf numFmtId="3" fontId="26" fillId="0" borderId="196" xfId="1" applyNumberFormat="1" applyFont="1" applyFill="1" applyBorder="1" applyAlignment="1">
      <alignment horizontal="center" vertical="center"/>
    </xf>
    <xf numFmtId="3" fontId="26" fillId="0" borderId="195" xfId="1" applyNumberFormat="1" applyFont="1" applyFill="1" applyBorder="1" applyAlignment="1">
      <alignment horizontal="center" vertical="center"/>
    </xf>
    <xf numFmtId="10" fontId="39" fillId="0" borderId="195" xfId="1" applyNumberFormat="1" applyFont="1" applyFill="1" applyBorder="1" applyAlignment="1">
      <alignment horizontal="center" vertical="center"/>
    </xf>
    <xf numFmtId="10" fontId="26" fillId="0" borderId="195" xfId="1" applyNumberFormat="1" applyFont="1" applyFill="1" applyBorder="1" applyAlignment="1">
      <alignment horizontal="center" vertical="center"/>
    </xf>
    <xf numFmtId="10" fontId="68" fillId="0" borderId="195" xfId="1" applyNumberFormat="1" applyFont="1" applyFill="1" applyBorder="1" applyAlignment="1">
      <alignment horizontal="center" vertical="center"/>
    </xf>
    <xf numFmtId="3" fontId="28" fillId="6" borderId="197" xfId="1" applyNumberFormat="1" applyFont="1" applyFill="1" applyBorder="1" applyAlignment="1">
      <alignment horizontal="center" vertical="center"/>
    </xf>
    <xf numFmtId="4" fontId="38" fillId="6" borderId="196" xfId="1" applyNumberFormat="1" applyFont="1" applyFill="1" applyBorder="1" applyAlignment="1">
      <alignment horizontal="center" vertical="center"/>
    </xf>
    <xf numFmtId="3" fontId="28" fillId="6" borderId="196" xfId="1" applyNumberFormat="1" applyFont="1" applyFill="1" applyBorder="1" applyAlignment="1">
      <alignment horizontal="center" vertical="center"/>
    </xf>
    <xf numFmtId="4" fontId="28" fillId="6" borderId="196" xfId="1" applyNumberFormat="1" applyFont="1" applyFill="1" applyBorder="1" applyAlignment="1">
      <alignment horizontal="center" vertical="center"/>
    </xf>
    <xf numFmtId="4" fontId="69" fillId="6" borderId="196" xfId="1" applyNumberFormat="1" applyFont="1" applyFill="1" applyBorder="1" applyAlignment="1">
      <alignment horizontal="center" vertical="center"/>
    </xf>
    <xf numFmtId="3" fontId="24" fillId="6" borderId="197" xfId="1" applyNumberFormat="1" applyFont="1" applyFill="1" applyBorder="1" applyAlignment="1">
      <alignment horizontal="center" vertical="center"/>
    </xf>
    <xf numFmtId="3" fontId="24" fillId="6" borderId="196" xfId="1" applyNumberFormat="1" applyFont="1" applyFill="1" applyBorder="1" applyAlignment="1">
      <alignment horizontal="center" vertical="center"/>
    </xf>
    <xf numFmtId="4" fontId="29" fillId="6" borderId="196" xfId="1" applyNumberFormat="1" applyFont="1" applyFill="1" applyBorder="1" applyAlignment="1">
      <alignment horizontal="center" vertical="center"/>
    </xf>
    <xf numFmtId="4" fontId="24" fillId="6" borderId="196" xfId="1" applyNumberFormat="1" applyFont="1" applyFill="1" applyBorder="1" applyAlignment="1">
      <alignment horizontal="center" vertical="center"/>
    </xf>
    <xf numFmtId="0" fontId="19" fillId="0" borderId="198" xfId="1" applyFont="1" applyBorder="1" applyAlignment="1">
      <alignment vertical="center"/>
    </xf>
    <xf numFmtId="3" fontId="27" fillId="0" borderId="199" xfId="1" applyNumberFormat="1" applyFont="1" applyFill="1" applyBorder="1" applyAlignment="1">
      <alignment horizontal="center" vertical="center"/>
    </xf>
    <xf numFmtId="4" fontId="25" fillId="0" borderId="198" xfId="1" applyNumberFormat="1" applyFont="1" applyFill="1" applyBorder="1" applyAlignment="1">
      <alignment horizontal="center" vertical="center"/>
    </xf>
    <xf numFmtId="0" fontId="19" fillId="0" borderId="198" xfId="1" applyFont="1" applyBorder="1" applyAlignment="1">
      <alignment horizontal="left" vertical="center"/>
    </xf>
    <xf numFmtId="4" fontId="27" fillId="0" borderId="199" xfId="1" applyNumberFormat="1" applyFont="1" applyFill="1" applyBorder="1" applyAlignment="1">
      <alignment horizontal="center" vertical="center"/>
    </xf>
    <xf numFmtId="4" fontId="27" fillId="0" borderId="198" xfId="1" applyNumberFormat="1" applyFont="1" applyFill="1" applyBorder="1" applyAlignment="1">
      <alignment horizontal="center" vertical="center"/>
    </xf>
    <xf numFmtId="10" fontId="24" fillId="0" borderId="198" xfId="1" applyNumberFormat="1" applyFont="1" applyFill="1" applyBorder="1" applyAlignment="1">
      <alignment horizontal="center" vertical="center"/>
    </xf>
    <xf numFmtId="3" fontId="26" fillId="5" borderId="199" xfId="1" applyNumberFormat="1" applyFont="1" applyFill="1" applyBorder="1" applyAlignment="1">
      <alignment horizontal="center" vertical="center"/>
    </xf>
    <xf numFmtId="3" fontId="26" fillId="5" borderId="198" xfId="1" applyNumberFormat="1" applyFont="1" applyFill="1" applyBorder="1" applyAlignment="1">
      <alignment horizontal="center" vertical="center"/>
    </xf>
    <xf numFmtId="0" fontId="24" fillId="4" borderId="198" xfId="1" applyFont="1" applyFill="1" applyBorder="1" applyAlignment="1">
      <alignment vertical="center"/>
    </xf>
    <xf numFmtId="3" fontId="24" fillId="4" borderId="199" xfId="1" applyNumberFormat="1" applyFont="1" applyFill="1" applyBorder="1" applyAlignment="1">
      <alignment horizontal="center" vertical="center"/>
    </xf>
    <xf numFmtId="3" fontId="24" fillId="4" borderId="198" xfId="1" applyNumberFormat="1" applyFont="1" applyFill="1" applyBorder="1" applyAlignment="1">
      <alignment horizontal="center" vertical="center"/>
    </xf>
    <xf numFmtId="4" fontId="29" fillId="4" borderId="198" xfId="1" applyNumberFormat="1" applyFont="1" applyFill="1" applyBorder="1" applyAlignment="1">
      <alignment horizontal="center" vertical="center"/>
    </xf>
    <xf numFmtId="4" fontId="24" fillId="4" borderId="198" xfId="1" applyNumberFormat="1" applyFont="1" applyFill="1" applyBorder="1" applyAlignment="1">
      <alignment horizontal="center" vertical="center"/>
    </xf>
    <xf numFmtId="4" fontId="69" fillId="4" borderId="198" xfId="1" applyNumberFormat="1" applyFont="1" applyFill="1" applyBorder="1" applyAlignment="1">
      <alignment horizontal="center" vertical="center"/>
    </xf>
    <xf numFmtId="0" fontId="24" fillId="8" borderId="198" xfId="1" applyFont="1" applyFill="1" applyBorder="1" applyAlignment="1">
      <alignment vertical="center"/>
    </xf>
    <xf numFmtId="3" fontId="24" fillId="8" borderId="199" xfId="1" applyNumberFormat="1" applyFont="1" applyFill="1" applyBorder="1" applyAlignment="1">
      <alignment horizontal="center" vertical="center"/>
    </xf>
    <xf numFmtId="4" fontId="29" fillId="8" borderId="198" xfId="1" applyNumberFormat="1" applyFont="1" applyFill="1" applyBorder="1" applyAlignment="1">
      <alignment horizontal="center" vertical="center"/>
    </xf>
    <xf numFmtId="3" fontId="24" fillId="8" borderId="198" xfId="1" applyNumberFormat="1" applyFont="1" applyFill="1" applyBorder="1" applyAlignment="1">
      <alignment horizontal="center" vertical="center"/>
    </xf>
    <xf numFmtId="4" fontId="24" fillId="8" borderId="198" xfId="1" applyNumberFormat="1" applyFont="1" applyFill="1" applyBorder="1" applyAlignment="1">
      <alignment horizontal="center" vertical="center"/>
    </xf>
    <xf numFmtId="4" fontId="69" fillId="8" borderId="198" xfId="1" applyNumberFormat="1" applyFont="1" applyFill="1" applyBorder="1" applyAlignment="1">
      <alignment horizontal="center" vertical="center"/>
    </xf>
    <xf numFmtId="0" fontId="24" fillId="3" borderId="198" xfId="1" applyFont="1" applyFill="1" applyBorder="1" applyAlignment="1">
      <alignment vertical="center"/>
    </xf>
    <xf numFmtId="9" fontId="24" fillId="3" borderId="199" xfId="7" applyFont="1" applyFill="1" applyBorder="1" applyAlignment="1">
      <alignment horizontal="center" vertical="center"/>
    </xf>
    <xf numFmtId="3" fontId="24" fillId="3" borderId="199" xfId="1" applyNumberFormat="1" applyFont="1" applyFill="1" applyBorder="1" applyAlignment="1">
      <alignment horizontal="center" vertical="center"/>
    </xf>
    <xf numFmtId="9" fontId="24" fillId="3" borderId="198" xfId="7" applyFont="1" applyFill="1" applyBorder="1" applyAlignment="1">
      <alignment horizontal="center" vertical="center"/>
    </xf>
    <xf numFmtId="10" fontId="29" fillId="3" borderId="198" xfId="1" applyNumberFormat="1" applyFont="1" applyFill="1" applyBorder="1" applyAlignment="1">
      <alignment horizontal="center" vertical="center"/>
    </xf>
    <xf numFmtId="10" fontId="24" fillId="3" borderId="198" xfId="1" applyNumberFormat="1" applyFont="1" applyFill="1" applyBorder="1" applyAlignment="1">
      <alignment horizontal="center" vertical="center"/>
    </xf>
    <xf numFmtId="10" fontId="69" fillId="3" borderId="198" xfId="1" applyNumberFormat="1" applyFont="1" applyFill="1" applyBorder="1" applyAlignment="1">
      <alignment horizontal="center" vertical="center"/>
    </xf>
    <xf numFmtId="9" fontId="36" fillId="0" borderId="202" xfId="7" applyFont="1" applyFill="1" applyBorder="1" applyAlignment="1">
      <alignment horizontal="center" vertical="center"/>
    </xf>
    <xf numFmtId="9" fontId="26" fillId="0" borderId="202" xfId="7" applyFont="1" applyFill="1" applyBorder="1" applyAlignment="1">
      <alignment horizontal="center" vertical="center"/>
    </xf>
    <xf numFmtId="9" fontId="27" fillId="0" borderId="202" xfId="7" applyFont="1" applyFill="1" applyBorder="1" applyAlignment="1">
      <alignment horizontal="center" vertical="center"/>
    </xf>
    <xf numFmtId="4" fontId="106" fillId="0" borderId="200" xfId="8809" applyNumberFormat="1" applyFont="1" applyBorder="1" applyAlignment="1">
      <alignment horizontal="right" vertical="top"/>
    </xf>
    <xf numFmtId="0" fontId="19" fillId="0" borderId="203" xfId="1" applyFont="1" applyBorder="1" applyAlignment="1">
      <alignment horizontal="left" vertical="center"/>
    </xf>
    <xf numFmtId="3" fontId="25" fillId="0" borderId="204" xfId="1" applyNumberFormat="1" applyFont="1" applyFill="1" applyBorder="1" applyAlignment="1">
      <alignment horizontal="center" vertical="center"/>
    </xf>
    <xf numFmtId="3" fontId="25" fillId="0" borderId="205" xfId="1" applyNumberFormat="1" applyFont="1" applyFill="1" applyBorder="1" applyAlignment="1">
      <alignment horizontal="center" vertical="center"/>
    </xf>
    <xf numFmtId="4" fontId="25" fillId="0" borderId="206" xfId="1" applyNumberFormat="1" applyFont="1" applyFill="1" applyBorder="1" applyAlignment="1">
      <alignment horizontal="center" vertical="center"/>
    </xf>
    <xf numFmtId="4" fontId="19" fillId="0" borderId="206" xfId="1" applyNumberFormat="1" applyFont="1" applyFill="1" applyBorder="1" applyAlignment="1">
      <alignment horizontal="center" vertical="center"/>
    </xf>
    <xf numFmtId="9" fontId="36" fillId="0" borderId="207" xfId="7" applyFont="1" applyFill="1" applyBorder="1" applyAlignment="1">
      <alignment horizontal="center" vertical="center"/>
    </xf>
    <xf numFmtId="9" fontId="120" fillId="0" borderId="207" xfId="7" applyFont="1" applyFill="1" applyBorder="1" applyAlignment="1">
      <alignment horizontal="center" vertical="center"/>
    </xf>
    <xf numFmtId="0" fontId="19" fillId="0" borderId="208" xfId="1" applyFont="1" applyBorder="1" applyAlignment="1">
      <alignment vertical="center"/>
    </xf>
    <xf numFmtId="3" fontId="27" fillId="0" borderId="209" xfId="1" applyNumberFormat="1" applyFont="1" applyFill="1" applyBorder="1" applyAlignment="1">
      <alignment horizontal="center" vertical="center"/>
    </xf>
    <xf numFmtId="3" fontId="59" fillId="0" borderId="210" xfId="47" applyNumberFormat="1" applyFont="1" applyFill="1" applyBorder="1" applyAlignment="1">
      <alignment horizontal="center" vertical="center"/>
    </xf>
    <xf numFmtId="4" fontId="106" fillId="0" borderId="211" xfId="8809" applyNumberFormat="1" applyFont="1" applyBorder="1" applyAlignment="1">
      <alignment horizontal="right" vertical="top"/>
    </xf>
    <xf numFmtId="3" fontId="27" fillId="0" borderId="210" xfId="1" applyNumberFormat="1" applyFont="1" applyFill="1" applyBorder="1" applyAlignment="1">
      <alignment horizontal="center" vertical="center"/>
    </xf>
    <xf numFmtId="4" fontId="106" fillId="0" borderId="211" xfId="8809" applyNumberFormat="1" applyFont="1" applyBorder="1" applyAlignment="1">
      <alignment horizontal="center" vertical="center"/>
    </xf>
    <xf numFmtId="0" fontId="19" fillId="0" borderId="208" xfId="1" applyFont="1" applyFill="1" applyBorder="1" applyAlignment="1">
      <alignment vertical="center"/>
    </xf>
    <xf numFmtId="9" fontId="27" fillId="0" borderId="207" xfId="7" applyFont="1" applyFill="1" applyBorder="1" applyAlignment="1">
      <alignment horizontal="center" vertical="center"/>
    </xf>
    <xf numFmtId="3" fontId="27" fillId="5" borderId="208" xfId="1" applyNumberFormat="1" applyFont="1" applyFill="1" applyBorder="1" applyAlignment="1">
      <alignment horizontal="center" vertical="center"/>
    </xf>
    <xf numFmtId="0" fontId="19" fillId="0" borderId="205" xfId="1" applyFont="1" applyBorder="1" applyAlignment="1">
      <alignment vertical="center"/>
    </xf>
    <xf numFmtId="3" fontId="27" fillId="0" borderId="203" xfId="1" applyNumberFormat="1" applyFont="1" applyFill="1" applyBorder="1" applyAlignment="1">
      <alignment horizontal="center" vertical="center"/>
    </xf>
    <xf numFmtId="3" fontId="27" fillId="0" borderId="204" xfId="1" applyNumberFormat="1" applyFont="1" applyFill="1" applyBorder="1" applyAlignment="1">
      <alignment horizontal="center" vertical="center"/>
    </xf>
    <xf numFmtId="9" fontId="26" fillId="0" borderId="207" xfId="7" applyFont="1" applyFill="1" applyBorder="1" applyAlignment="1">
      <alignment horizontal="center" vertical="center"/>
    </xf>
    <xf numFmtId="0" fontId="19" fillId="0" borderId="212" xfId="1" applyFont="1" applyBorder="1" applyAlignment="1">
      <alignment vertical="center"/>
    </xf>
    <xf numFmtId="3" fontId="27" fillId="0" borderId="213" xfId="1" applyNumberFormat="1" applyFont="1" applyFill="1" applyBorder="1" applyAlignment="1">
      <alignment horizontal="center" vertical="center"/>
    </xf>
    <xf numFmtId="3" fontId="27" fillId="0" borderId="214" xfId="1" applyNumberFormat="1" applyFont="1" applyFill="1" applyBorder="1" applyAlignment="1">
      <alignment horizontal="center" vertical="center"/>
    </xf>
    <xf numFmtId="9" fontId="36" fillId="0" borderId="215" xfId="7" applyFont="1" applyFill="1" applyBorder="1" applyAlignment="1">
      <alignment horizontal="center" vertical="center"/>
    </xf>
    <xf numFmtId="9" fontId="26" fillId="0" borderId="215" xfId="7" applyFont="1" applyFill="1" applyBorder="1" applyAlignment="1">
      <alignment horizontal="center" vertical="center"/>
    </xf>
    <xf numFmtId="4" fontId="25" fillId="0" borderId="212" xfId="1" applyNumberFormat="1" applyFont="1" applyFill="1" applyBorder="1" applyAlignment="1">
      <alignment horizontal="center" vertical="center"/>
    </xf>
    <xf numFmtId="4" fontId="25" fillId="0" borderId="215" xfId="1" applyNumberFormat="1" applyFont="1" applyFill="1" applyBorder="1" applyAlignment="1">
      <alignment horizontal="center" vertical="center"/>
    </xf>
    <xf numFmtId="9" fontId="27" fillId="0" borderId="215" xfId="7" applyFont="1" applyFill="1" applyBorder="1" applyAlignment="1">
      <alignment horizontal="center" vertical="center"/>
    </xf>
    <xf numFmtId="0" fontId="24" fillId="11" borderId="210" xfId="1" applyFont="1" applyFill="1" applyBorder="1" applyAlignment="1">
      <alignment vertical="center"/>
    </xf>
    <xf numFmtId="4" fontId="24" fillId="11" borderId="209" xfId="1" applyNumberFormat="1" applyFont="1" applyFill="1" applyBorder="1" applyAlignment="1">
      <alignment horizontal="center" vertical="center"/>
    </xf>
    <xf numFmtId="4" fontId="24" fillId="11" borderId="208" xfId="1" applyNumberFormat="1" applyFont="1" applyFill="1" applyBorder="1" applyAlignment="1">
      <alignment horizontal="center" vertical="center"/>
    </xf>
    <xf numFmtId="4" fontId="29" fillId="11" borderId="208" xfId="1" applyNumberFormat="1" applyFont="1" applyFill="1" applyBorder="1" applyAlignment="1">
      <alignment horizontal="center" vertical="center"/>
    </xf>
    <xf numFmtId="4" fontId="29" fillId="11" borderId="209" xfId="1" applyNumberFormat="1" applyFont="1" applyFill="1" applyBorder="1" applyAlignment="1">
      <alignment horizontal="center" vertical="center"/>
    </xf>
    <xf numFmtId="4" fontId="66" fillId="11" borderId="208" xfId="1" applyNumberFormat="1" applyFont="1" applyFill="1" applyBorder="1" applyAlignment="1">
      <alignment horizontal="center" vertical="center"/>
    </xf>
    <xf numFmtId="0" fontId="19" fillId="0" borderId="210" xfId="1" applyFont="1" applyFill="1" applyBorder="1" applyAlignment="1">
      <alignment horizontal="left" vertical="center"/>
    </xf>
    <xf numFmtId="4" fontId="27" fillId="0" borderId="209" xfId="1" applyNumberFormat="1" applyFont="1" applyFill="1" applyBorder="1" applyAlignment="1">
      <alignment horizontal="center" vertical="center"/>
    </xf>
    <xf numFmtId="4" fontId="27" fillId="0" borderId="208" xfId="1" applyNumberFormat="1" applyFont="1" applyFill="1" applyBorder="1" applyAlignment="1">
      <alignment horizontal="center" vertical="center"/>
    </xf>
    <xf numFmtId="0" fontId="26" fillId="0" borderId="207" xfId="1" applyNumberFormat="1" applyFont="1" applyFill="1" applyBorder="1" applyAlignment="1">
      <alignment horizontal="center" vertical="center"/>
    </xf>
    <xf numFmtId="0" fontId="27" fillId="0" borderId="207" xfId="1" applyNumberFormat="1" applyFont="1" applyFill="1" applyBorder="1" applyAlignment="1">
      <alignment horizontal="center" vertical="center"/>
    </xf>
    <xf numFmtId="0" fontId="19" fillId="0" borderId="213" xfId="1" applyFont="1" applyBorder="1" applyAlignment="1">
      <alignment horizontal="left" vertical="center"/>
    </xf>
    <xf numFmtId="4" fontId="27" fillId="0" borderId="214" xfId="1" applyNumberFormat="1" applyFont="1" applyFill="1" applyBorder="1" applyAlignment="1">
      <alignment horizontal="center" vertical="center"/>
    </xf>
    <xf numFmtId="4" fontId="27" fillId="0" borderId="212" xfId="1" applyNumberFormat="1" applyFont="1" applyFill="1" applyBorder="1" applyAlignment="1">
      <alignment horizontal="center" vertical="center"/>
    </xf>
    <xf numFmtId="10" fontId="27" fillId="0" borderId="215" xfId="1" applyNumberFormat="1" applyFont="1" applyFill="1" applyBorder="1" applyAlignment="1">
      <alignment horizontal="center" vertical="center"/>
    </xf>
    <xf numFmtId="10" fontId="36" fillId="0" borderId="215" xfId="1" applyNumberFormat="1" applyFont="1" applyFill="1" applyBorder="1" applyAlignment="1">
      <alignment horizontal="center" vertical="center"/>
    </xf>
    <xf numFmtId="10" fontId="26" fillId="0" borderId="215" xfId="1" applyNumberFormat="1" applyFont="1" applyFill="1" applyBorder="1" applyAlignment="1">
      <alignment horizontal="center" vertical="center"/>
    </xf>
    <xf numFmtId="0" fontId="24" fillId="0" borderId="213" xfId="1" applyFont="1" applyFill="1" applyBorder="1" applyAlignment="1">
      <alignment vertical="center"/>
    </xf>
    <xf numFmtId="10" fontId="24" fillId="0" borderId="214" xfId="1" applyNumberFormat="1" applyFont="1" applyFill="1" applyBorder="1" applyAlignment="1">
      <alignment horizontal="center" vertical="center"/>
    </xf>
    <xf numFmtId="10" fontId="24" fillId="0" borderId="212" xfId="1" applyNumberFormat="1" applyFont="1" applyFill="1" applyBorder="1" applyAlignment="1">
      <alignment horizontal="center" vertical="center"/>
    </xf>
    <xf numFmtId="10" fontId="24" fillId="0" borderId="215" xfId="1" applyNumberFormat="1" applyFont="1" applyFill="1" applyBorder="1" applyAlignment="1">
      <alignment horizontal="center" vertical="center"/>
    </xf>
    <xf numFmtId="10" fontId="29" fillId="0" borderId="215" xfId="1" applyNumberFormat="1" applyFont="1" applyFill="1" applyBorder="1" applyAlignment="1">
      <alignment horizontal="center" vertical="center"/>
    </xf>
    <xf numFmtId="10" fontId="66" fillId="0" borderId="215" xfId="1" applyNumberFormat="1" applyFont="1" applyFill="1" applyBorder="1" applyAlignment="1">
      <alignment horizontal="center" vertical="center"/>
    </xf>
    <xf numFmtId="4" fontId="29" fillId="0" borderId="212" xfId="1" applyNumberFormat="1" applyFont="1" applyFill="1" applyBorder="1" applyAlignment="1">
      <alignment horizontal="center" vertical="center"/>
    </xf>
    <xf numFmtId="9" fontId="36" fillId="4" borderId="207" xfId="7" applyFont="1" applyFill="1" applyBorder="1" applyAlignment="1">
      <alignment horizontal="center" vertical="center"/>
    </xf>
    <xf numFmtId="0" fontId="19" fillId="0" borderId="210" xfId="1" applyFont="1" applyFill="1" applyBorder="1" applyAlignment="1">
      <alignment vertical="center"/>
    </xf>
    <xf numFmtId="3" fontId="27" fillId="0" borderId="208" xfId="1" applyNumberFormat="1" applyFont="1" applyFill="1" applyBorder="1" applyAlignment="1">
      <alignment horizontal="center" vertical="center"/>
    </xf>
    <xf numFmtId="3" fontId="27" fillId="0" borderId="208" xfId="6" applyNumberFormat="1" applyFont="1" applyFill="1" applyBorder="1" applyAlignment="1">
      <alignment horizontal="center" vertical="center"/>
    </xf>
    <xf numFmtId="9" fontId="68" fillId="0" borderId="207" xfId="7" applyFont="1" applyFill="1" applyBorder="1" applyAlignment="1">
      <alignment horizontal="center" vertical="center"/>
    </xf>
    <xf numFmtId="0" fontId="19" fillId="0" borderId="203" xfId="1" applyFont="1" applyFill="1" applyBorder="1" applyAlignment="1">
      <alignment vertical="center"/>
    </xf>
    <xf numFmtId="3" fontId="27" fillId="0" borderId="205" xfId="1" applyNumberFormat="1" applyFont="1" applyFill="1" applyBorder="1" applyAlignment="1">
      <alignment horizontal="center" vertical="center"/>
    </xf>
    <xf numFmtId="3" fontId="27" fillId="0" borderId="206" xfId="1" applyNumberFormat="1" applyFont="1" applyFill="1" applyBorder="1" applyAlignment="1">
      <alignment horizontal="center" vertical="center"/>
    </xf>
    <xf numFmtId="10" fontId="36" fillId="0" borderId="206" xfId="1" applyNumberFormat="1" applyFont="1" applyFill="1" applyBorder="1" applyAlignment="1">
      <alignment horizontal="center" vertical="center"/>
    </xf>
    <xf numFmtId="10" fontId="68" fillId="0" borderId="215" xfId="1" applyNumberFormat="1" applyFont="1" applyFill="1" applyBorder="1" applyAlignment="1">
      <alignment horizontal="center" vertical="center"/>
    </xf>
    <xf numFmtId="0" fontId="36" fillId="0" borderId="207" xfId="1" applyNumberFormat="1" applyFont="1" applyFill="1" applyBorder="1" applyAlignment="1">
      <alignment horizontal="center" vertical="center"/>
    </xf>
    <xf numFmtId="0" fontId="68" fillId="0" borderId="207" xfId="1" applyNumberFormat="1" applyFont="1" applyFill="1" applyBorder="1" applyAlignment="1">
      <alignment horizontal="center" vertical="center"/>
    </xf>
    <xf numFmtId="0" fontId="19" fillId="0" borderId="213" xfId="1" applyFont="1" applyBorder="1" applyAlignment="1">
      <alignment vertical="center"/>
    </xf>
    <xf numFmtId="3" fontId="26" fillId="5" borderId="214" xfId="1" applyNumberFormat="1" applyFont="1" applyFill="1" applyBorder="1" applyAlignment="1">
      <alignment horizontal="center" vertical="center"/>
    </xf>
    <xf numFmtId="3" fontId="26" fillId="5" borderId="212" xfId="1" applyNumberFormat="1" applyFont="1" applyFill="1" applyBorder="1" applyAlignment="1">
      <alignment horizontal="center" vertical="center"/>
    </xf>
    <xf numFmtId="3" fontId="26" fillId="5" borderId="215" xfId="1" applyNumberFormat="1" applyFont="1" applyFill="1" applyBorder="1" applyAlignment="1">
      <alignment horizontal="center" vertical="center"/>
    </xf>
    <xf numFmtId="10" fontId="39" fillId="5" borderId="215" xfId="1" applyNumberFormat="1" applyFont="1" applyFill="1" applyBorder="1" applyAlignment="1">
      <alignment horizontal="center" vertical="center"/>
    </xf>
    <xf numFmtId="10" fontId="26" fillId="5" borderId="215" xfId="1" applyNumberFormat="1" applyFont="1" applyFill="1" applyBorder="1" applyAlignment="1">
      <alignment horizontal="center" vertical="center"/>
    </xf>
    <xf numFmtId="10" fontId="68" fillId="5" borderId="215" xfId="1" applyNumberFormat="1" applyFont="1" applyFill="1" applyBorder="1" applyAlignment="1">
      <alignment horizontal="center" vertical="center"/>
    </xf>
    <xf numFmtId="0" fontId="19" fillId="0" borderId="210" xfId="1" applyFont="1" applyFill="1" applyBorder="1" applyAlignment="1">
      <alignment horizontal="left" vertical="center" wrapText="1"/>
    </xf>
    <xf numFmtId="9" fontId="19" fillId="0" borderId="207" xfId="7" applyFont="1" applyFill="1" applyBorder="1" applyAlignment="1">
      <alignment horizontal="center" vertical="center"/>
    </xf>
    <xf numFmtId="3" fontId="27" fillId="5" borderId="209" xfId="1" applyNumberFormat="1" applyFont="1" applyFill="1" applyBorder="1" applyAlignment="1">
      <alignment horizontal="center" vertical="center"/>
    </xf>
    <xf numFmtId="4" fontId="82" fillId="0" borderId="216" xfId="0" applyNumberFormat="1" applyFont="1" applyFill="1" applyBorder="1" applyAlignment="1" applyProtection="1">
      <alignment horizontal="center" vertical="center"/>
    </xf>
    <xf numFmtId="9" fontId="19" fillId="0" borderId="207" xfId="7" applyFont="1" applyFill="1" applyBorder="1" applyAlignment="1">
      <alignment horizontal="center" vertical="center" wrapText="1"/>
    </xf>
    <xf numFmtId="9" fontId="27" fillId="0" borderId="207" xfId="7" applyFont="1" applyFill="1" applyBorder="1" applyAlignment="1">
      <alignment horizontal="center" vertical="center" wrapText="1"/>
    </xf>
    <xf numFmtId="9" fontId="36" fillId="0" borderId="206" xfId="7" applyFont="1" applyFill="1" applyBorder="1" applyAlignment="1">
      <alignment horizontal="center" vertical="center"/>
    </xf>
    <xf numFmtId="4" fontId="36" fillId="0" borderId="208" xfId="7" applyNumberFormat="1" applyFont="1" applyFill="1" applyBorder="1" applyAlignment="1">
      <alignment horizontal="center" vertical="center"/>
    </xf>
    <xf numFmtId="0" fontId="19" fillId="0" borderId="203" xfId="1" applyFont="1" applyFill="1" applyBorder="1" applyAlignment="1">
      <alignment horizontal="left" vertical="center"/>
    </xf>
    <xf numFmtId="3" fontId="26" fillId="5" borderId="204" xfId="1" applyNumberFormat="1" applyFont="1" applyFill="1" applyBorder="1" applyAlignment="1">
      <alignment horizontal="center" vertical="center"/>
    </xf>
    <xf numFmtId="3" fontId="26" fillId="5" borderId="205" xfId="1" applyNumberFormat="1" applyFont="1" applyFill="1" applyBorder="1" applyAlignment="1">
      <alignment horizontal="center" vertical="center"/>
    </xf>
    <xf numFmtId="3" fontId="26" fillId="5" borderId="203" xfId="1" applyNumberFormat="1" applyFont="1" applyFill="1" applyBorder="1" applyAlignment="1">
      <alignment horizontal="center" vertical="center"/>
    </xf>
    <xf numFmtId="9" fontId="68" fillId="0" borderId="206" xfId="7" applyFont="1" applyFill="1" applyBorder="1" applyAlignment="1">
      <alignment horizontal="center" vertical="center"/>
    </xf>
    <xf numFmtId="9" fontId="26" fillId="0" borderId="206" xfId="7" applyFont="1" applyFill="1" applyBorder="1" applyAlignment="1">
      <alignment horizontal="center" vertical="center"/>
    </xf>
    <xf numFmtId="9" fontId="27" fillId="0" borderId="206" xfId="7" applyFont="1" applyFill="1" applyBorder="1" applyAlignment="1">
      <alignment horizontal="center" vertical="center"/>
    </xf>
    <xf numFmtId="0" fontId="24" fillId="4" borderId="214" xfId="1" applyFont="1" applyFill="1" applyBorder="1" applyAlignment="1">
      <alignment vertical="center"/>
    </xf>
    <xf numFmtId="3" fontId="24" fillId="4" borderId="214" xfId="1" applyNumberFormat="1" applyFont="1" applyFill="1" applyBorder="1" applyAlignment="1">
      <alignment horizontal="center" vertical="center"/>
    </xf>
    <xf numFmtId="3" fontId="24" fillId="4" borderId="212" xfId="1" applyNumberFormat="1" applyFont="1" applyFill="1" applyBorder="1" applyAlignment="1">
      <alignment horizontal="center" vertical="center"/>
    </xf>
    <xf numFmtId="4" fontId="29" fillId="4" borderId="212" xfId="1" applyNumberFormat="1" applyFont="1" applyFill="1" applyBorder="1" applyAlignment="1">
      <alignment horizontal="center" vertical="center"/>
    </xf>
    <xf numFmtId="4" fontId="24" fillId="4" borderId="212" xfId="1" applyNumberFormat="1" applyFont="1" applyFill="1" applyBorder="1" applyAlignment="1">
      <alignment horizontal="center" vertical="center"/>
    </xf>
    <xf numFmtId="4" fontId="29" fillId="4" borderId="214" xfId="1" applyNumberFormat="1" applyFont="1" applyFill="1" applyBorder="1" applyAlignment="1">
      <alignment horizontal="center" vertical="center"/>
    </xf>
    <xf numFmtId="4" fontId="69" fillId="4" borderId="212" xfId="1" applyNumberFormat="1" applyFont="1" applyFill="1" applyBorder="1" applyAlignment="1">
      <alignment horizontal="center" vertical="center"/>
    </xf>
    <xf numFmtId="4" fontId="66" fillId="4" borderId="212" xfId="1" applyNumberFormat="1" applyFont="1" applyFill="1" applyBorder="1" applyAlignment="1">
      <alignment horizontal="center" vertical="center"/>
    </xf>
    <xf numFmtId="0" fontId="19" fillId="0" borderId="209" xfId="1" applyFont="1" applyBorder="1" applyAlignment="1">
      <alignment vertical="center"/>
    </xf>
    <xf numFmtId="0" fontId="19" fillId="0" borderId="209" xfId="1" applyFont="1" applyBorder="1" applyAlignment="1">
      <alignment horizontal="left" vertical="center"/>
    </xf>
    <xf numFmtId="3" fontId="26" fillId="0" borderId="209" xfId="1" applyNumberFormat="1" applyFont="1" applyFill="1" applyBorder="1" applyAlignment="1">
      <alignment horizontal="center" vertical="center"/>
    </xf>
    <xf numFmtId="3" fontId="26" fillId="0" borderId="208" xfId="1" applyNumberFormat="1" applyFont="1" applyFill="1" applyBorder="1" applyAlignment="1">
      <alignment horizontal="center" vertical="center"/>
    </xf>
    <xf numFmtId="3" fontId="26" fillId="0" borderId="207" xfId="1" applyNumberFormat="1" applyFont="1" applyFill="1" applyBorder="1" applyAlignment="1">
      <alignment horizontal="center" vertical="center"/>
    </xf>
    <xf numFmtId="10" fontId="39" fillId="0" borderId="207" xfId="1" applyNumberFormat="1" applyFont="1" applyFill="1" applyBorder="1" applyAlignment="1">
      <alignment horizontal="center" vertical="center"/>
    </xf>
    <xf numFmtId="10" fontId="26" fillId="0" borderId="207" xfId="1" applyNumberFormat="1" applyFont="1" applyFill="1" applyBorder="1" applyAlignment="1">
      <alignment horizontal="center" vertical="center"/>
    </xf>
    <xf numFmtId="10" fontId="68" fillId="0" borderId="207" xfId="1" applyNumberFormat="1" applyFont="1" applyFill="1" applyBorder="1" applyAlignment="1">
      <alignment horizontal="center" vertical="center"/>
    </xf>
    <xf numFmtId="0" fontId="24" fillId="6" borderId="209" xfId="1" applyFont="1" applyFill="1" applyBorder="1" applyAlignment="1">
      <alignment vertical="center"/>
    </xf>
    <xf numFmtId="3" fontId="28" fillId="6" borderId="209" xfId="1" applyNumberFormat="1" applyFont="1" applyFill="1" applyBorder="1" applyAlignment="1">
      <alignment horizontal="center" vertical="center"/>
    </xf>
    <xf numFmtId="4" fontId="38" fillId="6" borderId="208" xfId="1" applyNumberFormat="1" applyFont="1" applyFill="1" applyBorder="1" applyAlignment="1">
      <alignment horizontal="center" vertical="center"/>
    </xf>
    <xf numFmtId="3" fontId="28" fillId="6" borderId="208" xfId="1" applyNumberFormat="1" applyFont="1" applyFill="1" applyBorder="1" applyAlignment="1">
      <alignment horizontal="center" vertical="center"/>
    </xf>
    <xf numFmtId="4" fontId="28" fillId="6" borderId="208" xfId="1" applyNumberFormat="1" applyFont="1" applyFill="1" applyBorder="1" applyAlignment="1">
      <alignment horizontal="center" vertical="center"/>
    </xf>
    <xf numFmtId="4" fontId="38" fillId="6" borderId="209" xfId="1" applyNumberFormat="1" applyFont="1" applyFill="1" applyBorder="1" applyAlignment="1">
      <alignment horizontal="center" vertical="center"/>
    </xf>
    <xf numFmtId="4" fontId="69" fillId="6" borderId="208" xfId="1" applyNumberFormat="1" applyFont="1" applyFill="1" applyBorder="1" applyAlignment="1">
      <alignment horizontal="center" vertical="center"/>
    </xf>
    <xf numFmtId="0" fontId="24" fillId="8" borderId="214" xfId="1" applyFont="1" applyFill="1" applyBorder="1" applyAlignment="1">
      <alignment vertical="center"/>
    </xf>
    <xf numFmtId="3" fontId="24" fillId="8" borderId="214" xfId="1" applyNumberFormat="1" applyFont="1" applyFill="1" applyBorder="1" applyAlignment="1">
      <alignment horizontal="center" vertical="center"/>
    </xf>
    <xf numFmtId="4" fontId="29" fillId="8" borderId="212" xfId="1" applyNumberFormat="1" applyFont="1" applyFill="1" applyBorder="1" applyAlignment="1">
      <alignment horizontal="center" vertical="center"/>
    </xf>
    <xf numFmtId="3" fontId="24" fillId="8" borderId="212" xfId="1" applyNumberFormat="1" applyFont="1" applyFill="1" applyBorder="1" applyAlignment="1">
      <alignment horizontal="center" vertical="center"/>
    </xf>
    <xf numFmtId="4" fontId="24" fillId="8" borderId="212" xfId="1" applyNumberFormat="1" applyFont="1" applyFill="1" applyBorder="1" applyAlignment="1">
      <alignment horizontal="center" vertical="center"/>
    </xf>
    <xf numFmtId="4" fontId="69" fillId="8" borderId="212" xfId="1" applyNumberFormat="1" applyFont="1" applyFill="1" applyBorder="1" applyAlignment="1">
      <alignment horizontal="center" vertical="center"/>
    </xf>
    <xf numFmtId="4" fontId="66" fillId="8" borderId="212" xfId="1" applyNumberFormat="1" applyFont="1" applyFill="1" applyBorder="1" applyAlignment="1">
      <alignment horizontal="center" vertical="center"/>
    </xf>
    <xf numFmtId="0" fontId="24" fillId="6" borderId="209" xfId="1" applyFont="1" applyFill="1" applyBorder="1" applyAlignment="1">
      <alignment vertical="center" wrapText="1"/>
    </xf>
    <xf numFmtId="3" fontId="24" fillId="6" borderId="209" xfId="1" applyNumberFormat="1" applyFont="1" applyFill="1" applyBorder="1" applyAlignment="1">
      <alignment horizontal="center" vertical="center"/>
    </xf>
    <xf numFmtId="3" fontId="24" fillId="6" borderId="208" xfId="1" applyNumberFormat="1" applyFont="1" applyFill="1" applyBorder="1" applyAlignment="1">
      <alignment horizontal="center" vertical="center"/>
    </xf>
    <xf numFmtId="4" fontId="29" fillId="6" borderId="208" xfId="1" applyNumberFormat="1" applyFont="1" applyFill="1" applyBorder="1" applyAlignment="1">
      <alignment horizontal="center" vertical="center"/>
    </xf>
    <xf numFmtId="4" fontId="24" fillId="6" borderId="208" xfId="1" applyNumberFormat="1" applyFont="1" applyFill="1" applyBorder="1" applyAlignment="1">
      <alignment horizontal="center" vertical="center"/>
    </xf>
    <xf numFmtId="4" fontId="66" fillId="6" borderId="208" xfId="1" applyNumberFormat="1" applyFont="1" applyFill="1" applyBorder="1" applyAlignment="1">
      <alignment horizontal="center" vertical="center"/>
    </xf>
    <xf numFmtId="0" fontId="24" fillId="3" borderId="213" xfId="1" applyFont="1" applyFill="1" applyBorder="1" applyAlignment="1">
      <alignment vertical="center"/>
    </xf>
    <xf numFmtId="9" fontId="24" fillId="3" borderId="214" xfId="7" applyFont="1" applyFill="1" applyBorder="1" applyAlignment="1">
      <alignment horizontal="center" vertical="center"/>
    </xf>
    <xf numFmtId="3" fontId="24" fillId="3" borderId="214" xfId="1" applyNumberFormat="1" applyFont="1" applyFill="1" applyBorder="1" applyAlignment="1">
      <alignment horizontal="center" vertical="center"/>
    </xf>
    <xf numFmtId="9" fontId="24" fillId="3" borderId="212" xfId="7" applyFont="1" applyFill="1" applyBorder="1" applyAlignment="1">
      <alignment horizontal="center" vertical="center"/>
    </xf>
    <xf numFmtId="10" fontId="29" fillId="3" borderId="212" xfId="1" applyNumberFormat="1" applyFont="1" applyFill="1" applyBorder="1" applyAlignment="1">
      <alignment horizontal="center" vertical="center"/>
    </xf>
    <xf numFmtId="10" fontId="24" fillId="3" borderId="212" xfId="1" applyNumberFormat="1" applyFont="1" applyFill="1" applyBorder="1" applyAlignment="1">
      <alignment horizontal="center" vertical="center"/>
    </xf>
    <xf numFmtId="10" fontId="29" fillId="3" borderId="214" xfId="1" applyNumberFormat="1" applyFont="1" applyFill="1" applyBorder="1" applyAlignment="1">
      <alignment horizontal="center" vertical="center"/>
    </xf>
    <xf numFmtId="10" fontId="69" fillId="3" borderId="212" xfId="1" applyNumberFormat="1" applyFont="1" applyFill="1" applyBorder="1" applyAlignment="1">
      <alignment horizontal="center" vertical="center"/>
    </xf>
    <xf numFmtId="4" fontId="29" fillId="3" borderId="212" xfId="1" applyNumberFormat="1" applyFont="1" applyFill="1" applyBorder="1" applyAlignment="1">
      <alignment horizontal="center" vertical="center"/>
    </xf>
    <xf numFmtId="10" fontId="66" fillId="3" borderId="212" xfId="1" applyNumberFormat="1" applyFont="1" applyFill="1" applyBorder="1" applyAlignment="1">
      <alignment horizontal="center" vertical="center"/>
    </xf>
    <xf numFmtId="3" fontId="25" fillId="0" borderId="215" xfId="1" applyNumberFormat="1" applyFont="1" applyFill="1" applyBorder="1" applyAlignment="1">
      <alignment horizontal="center" vertical="center"/>
    </xf>
    <xf numFmtId="0" fontId="160" fillId="0" borderId="0" xfId="0" applyFont="1"/>
    <xf numFmtId="4" fontId="155" fillId="0" borderId="0" xfId="0" applyNumberFormat="1" applyFont="1" applyFill="1"/>
    <xf numFmtId="3" fontId="155" fillId="40" borderId="0" xfId="0" applyNumberFormat="1" applyFont="1" applyFill="1"/>
    <xf numFmtId="4" fontId="58" fillId="40" borderId="0" xfId="0" applyNumberFormat="1" applyFont="1" applyFill="1"/>
    <xf numFmtId="9" fontId="36" fillId="0" borderId="196" xfId="7" applyFont="1" applyFill="1" applyBorder="1" applyAlignment="1">
      <alignment horizontal="center" vertical="center"/>
    </xf>
    <xf numFmtId="4" fontId="25" fillId="32" borderId="80" xfId="1" applyNumberFormat="1" applyFont="1" applyFill="1" applyBorder="1" applyAlignment="1">
      <alignment horizontal="center" vertical="center"/>
    </xf>
    <xf numFmtId="9" fontId="36" fillId="0" borderId="198" xfId="7" applyFont="1" applyFill="1" applyBorder="1" applyAlignment="1">
      <alignment horizontal="center" vertical="center"/>
    </xf>
    <xf numFmtId="4" fontId="103" fillId="11" borderId="197" xfId="1" applyNumberFormat="1" applyFont="1" applyFill="1" applyBorder="1" applyAlignment="1">
      <alignment horizontal="center" vertical="center"/>
    </xf>
    <xf numFmtId="10" fontId="27" fillId="0" borderId="213" xfId="1" applyNumberFormat="1" applyFont="1" applyFill="1" applyBorder="1" applyAlignment="1">
      <alignment horizontal="center" vertical="center"/>
    </xf>
    <xf numFmtId="10" fontId="19" fillId="0" borderId="215" xfId="1" applyNumberFormat="1" applyFont="1" applyFill="1" applyBorder="1" applyAlignment="1">
      <alignment horizontal="center" vertical="center"/>
    </xf>
    <xf numFmtId="9" fontId="40" fillId="0" borderId="215" xfId="7" applyFont="1" applyFill="1" applyBorder="1" applyAlignment="1">
      <alignment horizontal="center" vertical="center"/>
    </xf>
    <xf numFmtId="10" fontId="24" fillId="0" borderId="213" xfId="1" applyNumberFormat="1" applyFont="1" applyFill="1" applyBorder="1" applyAlignment="1">
      <alignment horizontal="center" vertical="center"/>
    </xf>
    <xf numFmtId="10" fontId="103" fillId="0" borderId="198" xfId="1" applyNumberFormat="1" applyFont="1" applyFill="1" applyBorder="1" applyAlignment="1">
      <alignment horizontal="center" vertical="center"/>
    </xf>
    <xf numFmtId="10" fontId="103" fillId="0" borderId="215" xfId="1" applyNumberFormat="1" applyFont="1" applyFill="1" applyBorder="1" applyAlignment="1">
      <alignment horizontal="center" vertical="center"/>
    </xf>
    <xf numFmtId="9" fontId="36" fillId="4" borderId="196" xfId="7" applyFont="1" applyFill="1" applyBorder="1" applyAlignment="1">
      <alignment horizontal="center" vertical="center"/>
    </xf>
    <xf numFmtId="10" fontId="67" fillId="0" borderId="215" xfId="1" applyNumberFormat="1" applyFont="1" applyFill="1" applyBorder="1" applyAlignment="1">
      <alignment horizontal="center" vertical="center"/>
    </xf>
    <xf numFmtId="10" fontId="26" fillId="5" borderId="213" xfId="1" applyNumberFormat="1" applyFont="1" applyFill="1" applyBorder="1" applyAlignment="1">
      <alignment horizontal="center" vertical="center"/>
    </xf>
    <xf numFmtId="10" fontId="26" fillId="5" borderId="198" xfId="1" applyNumberFormat="1" applyFont="1" applyFill="1" applyBorder="1" applyAlignment="1">
      <alignment horizontal="center" vertical="center"/>
    </xf>
    <xf numFmtId="10" fontId="19" fillId="5" borderId="215" xfId="1" applyNumberFormat="1" applyFont="1" applyFill="1" applyBorder="1" applyAlignment="1">
      <alignment horizontal="center" vertical="center"/>
    </xf>
    <xf numFmtId="10" fontId="67" fillId="5" borderId="215" xfId="1" applyNumberFormat="1" applyFont="1" applyFill="1" applyBorder="1" applyAlignment="1">
      <alignment horizontal="center" vertical="center"/>
    </xf>
    <xf numFmtId="3" fontId="103" fillId="4" borderId="198" xfId="1" applyNumberFormat="1" applyFont="1" applyFill="1" applyBorder="1" applyAlignment="1">
      <alignment horizontal="center" vertical="center"/>
    </xf>
    <xf numFmtId="4" fontId="103" fillId="4" borderId="198" xfId="1" applyNumberFormat="1" applyFont="1" applyFill="1" applyBorder="1" applyAlignment="1">
      <alignment horizontal="center" vertical="center"/>
    </xf>
    <xf numFmtId="4" fontId="114" fillId="4" borderId="198" xfId="1" applyNumberFormat="1" applyFont="1" applyFill="1" applyBorder="1" applyAlignment="1">
      <alignment horizontal="center" vertical="center"/>
    </xf>
    <xf numFmtId="10" fontId="26" fillId="0" borderId="196" xfId="1" applyNumberFormat="1" applyFont="1" applyFill="1" applyBorder="1" applyAlignment="1">
      <alignment horizontal="center" vertical="center"/>
    </xf>
    <xf numFmtId="3" fontId="103" fillId="6" borderId="197" xfId="1" applyNumberFormat="1" applyFont="1" applyFill="1" applyBorder="1" applyAlignment="1">
      <alignment horizontal="center" vertical="center"/>
    </xf>
    <xf numFmtId="3" fontId="103" fillId="6" borderId="196" xfId="1" applyNumberFormat="1" applyFont="1" applyFill="1" applyBorder="1" applyAlignment="1">
      <alignment horizontal="center" vertical="center"/>
    </xf>
    <xf numFmtId="4" fontId="103" fillId="6" borderId="196" xfId="1" applyNumberFormat="1" applyFont="1" applyFill="1" applyBorder="1" applyAlignment="1">
      <alignment horizontal="center" vertical="center"/>
    </xf>
    <xf numFmtId="4" fontId="114" fillId="6" borderId="196" xfId="1" applyNumberFormat="1" applyFont="1" applyFill="1" applyBorder="1" applyAlignment="1">
      <alignment horizontal="center" vertical="center"/>
    </xf>
    <xf numFmtId="3" fontId="103" fillId="8" borderId="198" xfId="1" applyNumberFormat="1" applyFont="1" applyFill="1" applyBorder="1" applyAlignment="1">
      <alignment horizontal="center" vertical="center"/>
    </xf>
    <xf numFmtId="4" fontId="103" fillId="8" borderId="198" xfId="1" applyNumberFormat="1" applyFont="1" applyFill="1" applyBorder="1" applyAlignment="1">
      <alignment horizontal="center" vertical="center"/>
    </xf>
    <xf numFmtId="4" fontId="114" fillId="8" borderId="198" xfId="1" applyNumberFormat="1" applyFont="1" applyFill="1" applyBorder="1" applyAlignment="1">
      <alignment horizontal="center" vertical="center"/>
    </xf>
    <xf numFmtId="3" fontId="24" fillId="3" borderId="198" xfId="1" applyNumberFormat="1" applyFont="1" applyFill="1" applyBorder="1" applyAlignment="1">
      <alignment horizontal="center" vertical="center"/>
    </xf>
    <xf numFmtId="9" fontId="103" fillId="3" borderId="198" xfId="7" applyFont="1" applyFill="1" applyBorder="1" applyAlignment="1">
      <alignment horizontal="center" vertical="center"/>
    </xf>
    <xf numFmtId="10" fontId="103" fillId="3" borderId="198" xfId="1" applyNumberFormat="1" applyFont="1" applyFill="1" applyBorder="1" applyAlignment="1">
      <alignment horizontal="center" vertical="center"/>
    </xf>
    <xf numFmtId="10" fontId="114" fillId="3" borderId="198" xfId="1" applyNumberFormat="1" applyFont="1" applyFill="1" applyBorder="1" applyAlignment="1">
      <alignment horizontal="center" vertical="center"/>
    </xf>
    <xf numFmtId="4" fontId="104" fillId="0" borderId="19" xfId="1" applyNumberFormat="1" applyFont="1" applyFill="1" applyBorder="1" applyAlignment="1">
      <alignment horizontal="center" vertical="center"/>
    </xf>
    <xf numFmtId="4" fontId="104" fillId="0" borderId="63" xfId="1" applyNumberFormat="1" applyFont="1" applyFill="1" applyBorder="1" applyAlignment="1">
      <alignment horizontal="center" vertical="center"/>
    </xf>
    <xf numFmtId="3" fontId="104" fillId="0" borderId="19" xfId="1" applyNumberFormat="1" applyFont="1" applyFill="1" applyBorder="1" applyAlignment="1">
      <alignment horizontal="center" vertical="center"/>
    </xf>
    <xf numFmtId="9" fontId="161" fillId="0" borderId="63" xfId="7" applyFont="1" applyFill="1" applyBorder="1" applyAlignment="1">
      <alignment horizontal="center" vertical="center"/>
    </xf>
    <xf numFmtId="9" fontId="162" fillId="0" borderId="58" xfId="7" applyFont="1" applyFill="1" applyBorder="1" applyAlignment="1">
      <alignment horizontal="center" vertical="center"/>
    </xf>
    <xf numFmtId="4" fontId="104" fillId="0" borderId="76" xfId="1" applyNumberFormat="1" applyFont="1" applyFill="1" applyBorder="1" applyAlignment="1">
      <alignment horizontal="center" vertical="center"/>
    </xf>
    <xf numFmtId="4" fontId="104" fillId="0" borderId="79" xfId="1" applyNumberFormat="1" applyFont="1" applyFill="1" applyBorder="1" applyAlignment="1">
      <alignment horizontal="center" vertical="center"/>
    </xf>
    <xf numFmtId="3" fontId="104" fillId="0" borderId="76" xfId="1" applyNumberFormat="1" applyFont="1" applyFill="1" applyBorder="1" applyAlignment="1">
      <alignment horizontal="center" vertical="center"/>
    </xf>
    <xf numFmtId="9" fontId="161" fillId="0" borderId="196" xfId="7" applyFont="1" applyFill="1" applyBorder="1" applyAlignment="1">
      <alignment horizontal="center" vertical="center"/>
    </xf>
    <xf numFmtId="9" fontId="162" fillId="0" borderId="77" xfId="7" applyFont="1" applyFill="1" applyBorder="1" applyAlignment="1">
      <alignment horizontal="center" vertical="center"/>
    </xf>
    <xf numFmtId="4" fontId="104" fillId="0" borderId="77" xfId="1" applyNumberFormat="1" applyFont="1" applyFill="1" applyBorder="1" applyAlignment="1">
      <alignment horizontal="center" vertical="center" wrapText="1"/>
    </xf>
    <xf numFmtId="10" fontId="104" fillId="0" borderId="213" xfId="1" applyNumberFormat="1" applyFont="1" applyFill="1" applyBorder="1" applyAlignment="1">
      <alignment horizontal="center" vertical="center"/>
    </xf>
    <xf numFmtId="10" fontId="162" fillId="0" borderId="215" xfId="1" applyNumberFormat="1" applyFont="1" applyFill="1" applyBorder="1" applyAlignment="1">
      <alignment horizontal="center" vertical="center"/>
    </xf>
    <xf numFmtId="3" fontId="104" fillId="0" borderId="79" xfId="1" applyNumberFormat="1" applyFont="1" applyFill="1" applyBorder="1" applyAlignment="1">
      <alignment horizontal="center" vertical="center"/>
    </xf>
    <xf numFmtId="4" fontId="163" fillId="0" borderId="190" xfId="0" applyNumberFormat="1" applyFont="1" applyFill="1" applyBorder="1" applyAlignment="1" applyProtection="1">
      <alignment horizontal="center" vertical="center"/>
    </xf>
    <xf numFmtId="4" fontId="104" fillId="0" borderId="77" xfId="1" applyNumberFormat="1" applyFont="1" applyFill="1" applyBorder="1" applyAlignment="1">
      <alignment horizontal="center" vertical="center"/>
    </xf>
    <xf numFmtId="9" fontId="161" fillId="0" borderId="58" xfId="7" applyFont="1" applyFill="1" applyBorder="1" applyAlignment="1">
      <alignment horizontal="center" vertical="center"/>
    </xf>
    <xf numFmtId="4" fontId="104" fillId="0" borderId="58" xfId="1" applyNumberFormat="1" applyFont="1" applyFill="1" applyBorder="1" applyAlignment="1">
      <alignment horizontal="center" vertical="center" wrapText="1"/>
    </xf>
    <xf numFmtId="4" fontId="104" fillId="0" borderId="80" xfId="1" applyNumberFormat="1" applyFont="1" applyFill="1" applyBorder="1" applyAlignment="1">
      <alignment horizontal="center" vertical="center"/>
    </xf>
    <xf numFmtId="4" fontId="104" fillId="0" borderId="76" xfId="1" applyNumberFormat="1" applyFont="1" applyFill="1" applyBorder="1" applyAlignment="1">
      <alignment horizontal="center" vertical="center" wrapText="1"/>
    </xf>
    <xf numFmtId="4" fontId="104" fillId="0" borderId="8" xfId="1" applyNumberFormat="1" applyFont="1" applyFill="1" applyBorder="1" applyAlignment="1">
      <alignment horizontal="center" vertical="center"/>
    </xf>
    <xf numFmtId="4" fontId="104" fillId="0" borderId="7" xfId="1" applyNumberFormat="1" applyFont="1" applyFill="1" applyBorder="1" applyAlignment="1">
      <alignment horizontal="center" vertical="center"/>
    </xf>
    <xf numFmtId="3" fontId="104" fillId="0" borderId="7" xfId="1" applyNumberFormat="1" applyFont="1" applyFill="1" applyBorder="1" applyAlignment="1">
      <alignment horizontal="center" vertical="center"/>
    </xf>
    <xf numFmtId="9" fontId="161" fillId="0" borderId="215" xfId="7" applyFont="1" applyFill="1" applyBorder="1" applyAlignment="1">
      <alignment horizontal="center" vertical="center"/>
    </xf>
    <xf numFmtId="4" fontId="104" fillId="0" borderId="20" xfId="1" applyNumberFormat="1" applyFont="1" applyFill="1" applyBorder="1" applyAlignment="1">
      <alignment horizontal="center" vertical="center" wrapText="1"/>
    </xf>
    <xf numFmtId="3" fontId="104" fillId="0" borderId="80" xfId="1" applyNumberFormat="1" applyFont="1" applyFill="1" applyBorder="1" applyAlignment="1">
      <alignment horizontal="center" vertical="center"/>
    </xf>
    <xf numFmtId="4" fontId="104" fillId="0" borderId="58" xfId="1" applyNumberFormat="1" applyFont="1" applyFill="1" applyBorder="1" applyAlignment="1">
      <alignment horizontal="center" vertical="center"/>
    </xf>
    <xf numFmtId="3" fontId="104" fillId="0" borderId="58" xfId="1" applyNumberFormat="1" applyFont="1" applyFill="1" applyBorder="1" applyAlignment="1">
      <alignment horizontal="center" vertical="center"/>
    </xf>
    <xf numFmtId="3" fontId="104" fillId="0" borderId="77" xfId="1" applyNumberFormat="1" applyFont="1" applyFill="1" applyBorder="1" applyAlignment="1">
      <alignment horizontal="center" vertical="center"/>
    </xf>
    <xf numFmtId="9" fontId="162" fillId="0" borderId="77" xfId="7" applyFont="1" applyFill="1" applyBorder="1" applyAlignment="1">
      <alignment horizontal="center" vertical="center" wrapText="1"/>
    </xf>
    <xf numFmtId="3" fontId="104" fillId="0" borderId="63" xfId="1" applyNumberFormat="1" applyFont="1" applyFill="1" applyBorder="1" applyAlignment="1">
      <alignment horizontal="center" vertical="center"/>
    </xf>
    <xf numFmtId="3" fontId="104" fillId="0" borderId="196" xfId="1" applyNumberFormat="1" applyFont="1" applyFill="1" applyBorder="1" applyAlignment="1">
      <alignment horizontal="center" vertical="center"/>
    </xf>
    <xf numFmtId="4" fontId="104" fillId="0" borderId="198" xfId="1" applyNumberFormat="1" applyFont="1" applyFill="1" applyBorder="1" applyAlignment="1">
      <alignment horizontal="center" vertical="center"/>
    </xf>
    <xf numFmtId="4" fontId="104" fillId="0" borderId="215" xfId="1" applyNumberFormat="1" applyFont="1" applyFill="1" applyBorder="1" applyAlignment="1">
      <alignment horizontal="center" vertical="center"/>
    </xf>
    <xf numFmtId="3" fontId="104" fillId="0" borderId="198" xfId="1" applyNumberFormat="1" applyFont="1" applyFill="1" applyBorder="1" applyAlignment="1">
      <alignment horizontal="center" vertical="center"/>
    </xf>
    <xf numFmtId="4" fontId="104" fillId="0" borderId="215" xfId="1" applyNumberFormat="1" applyFont="1" applyFill="1" applyBorder="1" applyAlignment="1">
      <alignment horizontal="center" vertical="center" wrapText="1"/>
    </xf>
    <xf numFmtId="4" fontId="104" fillId="0" borderId="77" xfId="1" quotePrefix="1" applyNumberFormat="1" applyFont="1" applyFill="1" applyBorder="1" applyAlignment="1">
      <alignment horizontal="center" vertical="center" wrapText="1"/>
    </xf>
    <xf numFmtId="9" fontId="104" fillId="0" borderId="58" xfId="7" applyFont="1" applyFill="1" applyBorder="1" applyAlignment="1">
      <alignment horizontal="center" vertical="center"/>
    </xf>
    <xf numFmtId="4" fontId="104" fillId="0" borderId="20" xfId="1" applyNumberFormat="1" applyFont="1" applyFill="1" applyBorder="1" applyAlignment="1">
      <alignment horizontal="center" vertical="center"/>
    </xf>
    <xf numFmtId="3" fontId="104" fillId="0" borderId="20" xfId="1" applyNumberFormat="1" applyFont="1" applyFill="1" applyBorder="1" applyAlignment="1">
      <alignment horizontal="center" vertical="center"/>
    </xf>
    <xf numFmtId="4" fontId="163" fillId="0" borderId="216" xfId="0" applyNumberFormat="1" applyFont="1" applyFill="1" applyBorder="1" applyAlignment="1" applyProtection="1">
      <alignment horizontal="center" vertical="center"/>
    </xf>
    <xf numFmtId="9" fontId="104" fillId="0" borderId="58" xfId="7" applyFont="1" applyFill="1" applyBorder="1" applyAlignment="1">
      <alignment horizontal="center" vertical="center" wrapText="1"/>
    </xf>
    <xf numFmtId="3" fontId="25" fillId="18" borderId="58" xfId="1" applyNumberFormat="1" applyFont="1" applyFill="1" applyBorder="1" applyAlignment="1">
      <alignment horizontal="center" vertical="center"/>
    </xf>
    <xf numFmtId="3" fontId="25" fillId="41" borderId="77" xfId="1" applyNumberFormat="1" applyFont="1" applyFill="1" applyBorder="1" applyAlignment="1">
      <alignment horizontal="center" vertical="center"/>
    </xf>
    <xf numFmtId="3" fontId="25" fillId="40" borderId="77" xfId="1" applyNumberFormat="1" applyFont="1" applyFill="1" applyBorder="1" applyAlignment="1">
      <alignment horizontal="center" vertical="center"/>
    </xf>
    <xf numFmtId="3" fontId="25" fillId="26" borderId="77" xfId="1" applyNumberFormat="1" applyFont="1" applyFill="1" applyBorder="1" applyAlignment="1">
      <alignment horizontal="center" vertical="center"/>
    </xf>
    <xf numFmtId="0" fontId="165" fillId="0" borderId="0" xfId="0" applyFont="1"/>
    <xf numFmtId="3" fontId="27" fillId="0" borderId="79" xfId="8" applyNumberFormat="1" applyFont="1" applyFill="1" applyBorder="1" applyAlignment="1">
      <alignment horizontal="center" vertical="center"/>
    </xf>
    <xf numFmtId="3" fontId="27" fillId="0" borderId="80" xfId="8" applyNumberFormat="1" applyFont="1" applyFill="1" applyBorder="1" applyAlignment="1">
      <alignment horizontal="center" vertical="center"/>
    </xf>
    <xf numFmtId="3" fontId="104" fillId="0" borderId="79" xfId="8" applyNumberFormat="1" applyFont="1" applyFill="1" applyBorder="1" applyAlignment="1">
      <alignment horizontal="center" vertical="center"/>
    </xf>
    <xf numFmtId="3" fontId="27" fillId="0" borderId="63" xfId="8" applyNumberFormat="1" applyFont="1" applyFill="1" applyBorder="1" applyAlignment="1">
      <alignment horizontal="center" vertical="center"/>
    </xf>
    <xf numFmtId="0" fontId="19" fillId="0" borderId="196" xfId="1" applyFont="1" applyBorder="1" applyAlignment="1">
      <alignment vertical="center" wrapText="1"/>
    </xf>
    <xf numFmtId="9" fontId="120" fillId="0" borderId="196" xfId="7" applyFont="1" applyFill="1" applyBorder="1" applyAlignment="1">
      <alignment horizontal="center" vertical="center"/>
    </xf>
    <xf numFmtId="4" fontId="104" fillId="0" borderId="196" xfId="1" applyNumberFormat="1" applyFont="1" applyFill="1" applyBorder="1" applyAlignment="1">
      <alignment horizontal="center" vertical="center"/>
    </xf>
    <xf numFmtId="0" fontId="19" fillId="0" borderId="196" xfId="1" applyFont="1" applyFill="1" applyBorder="1" applyAlignment="1">
      <alignment vertical="center" wrapText="1"/>
    </xf>
    <xf numFmtId="0" fontId="19" fillId="0" borderId="198" xfId="1" applyFont="1" applyBorder="1" applyAlignment="1">
      <alignment vertical="center" wrapText="1"/>
    </xf>
    <xf numFmtId="3" fontId="27" fillId="0" borderId="7" xfId="8" applyNumberFormat="1" applyFont="1" applyFill="1" applyBorder="1" applyAlignment="1">
      <alignment horizontal="center" vertical="center"/>
    </xf>
    <xf numFmtId="0" fontId="24" fillId="11" borderId="196" xfId="1" applyFont="1" applyFill="1" applyBorder="1" applyAlignment="1">
      <alignment vertical="center"/>
    </xf>
    <xf numFmtId="0" fontId="19" fillId="0" borderId="196" xfId="1" applyFont="1" applyFill="1" applyBorder="1" applyAlignment="1">
      <alignment horizontal="left" vertical="center"/>
    </xf>
    <xf numFmtId="3" fontId="104" fillId="0" borderId="80" xfId="8" applyNumberFormat="1" applyFont="1" applyFill="1" applyBorder="1" applyAlignment="1">
      <alignment horizontal="center" vertical="center"/>
    </xf>
    <xf numFmtId="0" fontId="24" fillId="4" borderId="196" xfId="1" applyFont="1" applyFill="1" applyBorder="1" applyAlignment="1">
      <alignment vertical="center"/>
    </xf>
    <xf numFmtId="3" fontId="24" fillId="4" borderId="197" xfId="1" applyNumberFormat="1" applyFont="1" applyFill="1" applyBorder="1" applyAlignment="1">
      <alignment horizontal="center" vertical="center"/>
    </xf>
    <xf numFmtId="3" fontId="24" fillId="4" borderId="196" xfId="1" applyNumberFormat="1" applyFont="1" applyFill="1" applyBorder="1" applyAlignment="1">
      <alignment horizontal="center" vertical="center"/>
    </xf>
    <xf numFmtId="3" fontId="27" fillId="44" borderId="79" xfId="8" applyNumberFormat="1" applyFont="1" applyFill="1" applyBorder="1" applyAlignment="1">
      <alignment horizontal="center" vertical="center"/>
    </xf>
    <xf numFmtId="3" fontId="88" fillId="0" borderId="80" xfId="8" applyNumberFormat="1" applyFont="1" applyFill="1" applyBorder="1" applyAlignment="1">
      <alignment horizontal="center" vertical="center"/>
    </xf>
    <xf numFmtId="9" fontId="99" fillId="0" borderId="196" xfId="7" applyFont="1" applyFill="1" applyBorder="1" applyAlignment="1">
      <alignment horizontal="center" vertical="center"/>
    </xf>
    <xf numFmtId="10" fontId="104" fillId="0" borderId="215" xfId="1" applyNumberFormat="1" applyFont="1" applyFill="1" applyBorder="1" applyAlignment="1">
      <alignment horizontal="center" vertical="center"/>
    </xf>
    <xf numFmtId="3" fontId="19" fillId="0" borderId="79" xfId="8" applyNumberFormat="1" applyFont="1" applyFill="1" applyBorder="1" applyAlignment="1">
      <alignment horizontal="center" vertical="center"/>
    </xf>
    <xf numFmtId="3" fontId="27" fillId="26" borderId="79" xfId="8" applyNumberFormat="1" applyFont="1" applyFill="1" applyBorder="1" applyAlignment="1">
      <alignment horizontal="center" vertical="center"/>
    </xf>
    <xf numFmtId="3" fontId="27" fillId="0" borderId="4" xfId="8" applyNumberFormat="1" applyFont="1" applyFill="1" applyBorder="1" applyAlignment="1">
      <alignment horizontal="center" vertical="center"/>
    </xf>
    <xf numFmtId="3" fontId="27" fillId="0" borderId="6" xfId="8" applyNumberFormat="1" applyFont="1" applyFill="1" applyBorder="1" applyAlignment="1">
      <alignment horizontal="center" vertical="center"/>
    </xf>
    <xf numFmtId="3" fontId="19" fillId="0" borderId="6" xfId="8" applyNumberFormat="1" applyFont="1" applyFill="1" applyBorder="1" applyAlignment="1">
      <alignment horizontal="center" vertical="center"/>
    </xf>
    <xf numFmtId="3" fontId="27" fillId="0" borderId="8" xfId="8" applyNumberFormat="1" applyFont="1" applyFill="1" applyBorder="1" applyAlignment="1">
      <alignment horizontal="center" vertical="center"/>
    </xf>
    <xf numFmtId="3" fontId="19" fillId="0" borderId="7" xfId="8" applyNumberFormat="1" applyFont="1" applyFill="1" applyBorder="1" applyAlignment="1">
      <alignment horizontal="center" vertical="center"/>
    </xf>
    <xf numFmtId="3" fontId="27" fillId="0" borderId="196" xfId="8" applyNumberFormat="1" applyFont="1" applyFill="1" applyBorder="1" applyAlignment="1">
      <alignment horizontal="center" vertical="center"/>
    </xf>
    <xf numFmtId="0" fontId="19" fillId="0" borderId="196" xfId="1" applyFont="1" applyBorder="1" applyAlignment="1">
      <alignment horizontal="left" vertical="center"/>
    </xf>
    <xf numFmtId="0" fontId="24" fillId="6" borderId="196" xfId="1" applyFont="1" applyFill="1" applyBorder="1" applyAlignment="1">
      <alignment vertical="center"/>
    </xf>
    <xf numFmtId="0" fontId="24" fillId="6" borderId="196" xfId="1" applyFont="1" applyFill="1" applyBorder="1" applyAlignment="1">
      <alignment vertical="center" wrapText="1"/>
    </xf>
    <xf numFmtId="3" fontId="30" fillId="12" borderId="0" xfId="8" applyNumberFormat="1" applyFont="1" applyFill="1" applyAlignment="1">
      <alignment horizontal="center" vertical="center"/>
    </xf>
    <xf numFmtId="3" fontId="70" fillId="12" borderId="0" xfId="8" applyNumberFormat="1" applyFont="1" applyFill="1" applyAlignment="1">
      <alignment horizontal="center" vertical="center"/>
    </xf>
    <xf numFmtId="4" fontId="16" fillId="18" borderId="0" xfId="1" applyNumberFormat="1" applyFill="1" applyAlignment="1">
      <alignment horizontal="center" vertical="center"/>
    </xf>
    <xf numFmtId="4" fontId="24" fillId="11" borderId="77" xfId="1" applyNumberFormat="1" applyFont="1" applyFill="1" applyBorder="1" applyAlignment="1">
      <alignment horizontal="center" vertical="center"/>
    </xf>
    <xf numFmtId="4" fontId="24" fillId="4" borderId="3" xfId="1" applyNumberFormat="1" applyFont="1" applyFill="1" applyBorder="1" applyAlignment="1">
      <alignment horizontal="center" vertical="center"/>
    </xf>
    <xf numFmtId="4" fontId="24" fillId="4" borderId="199" xfId="1" applyNumberFormat="1" applyFont="1" applyFill="1" applyBorder="1" applyAlignment="1">
      <alignment horizontal="center" vertical="center"/>
    </xf>
    <xf numFmtId="10" fontId="24" fillId="3" borderId="199" xfId="1" applyNumberFormat="1" applyFont="1" applyFill="1" applyBorder="1" applyAlignment="1">
      <alignment horizontal="center" vertical="center"/>
    </xf>
    <xf numFmtId="9" fontId="88" fillId="0" borderId="76" xfId="7" applyFont="1" applyFill="1" applyBorder="1" applyAlignment="1">
      <alignment horizontal="center" vertical="center"/>
    </xf>
    <xf numFmtId="4" fontId="24" fillId="11" borderId="76" xfId="1" applyNumberFormat="1" applyFont="1" applyFill="1" applyBorder="1" applyAlignment="1">
      <alignment horizontal="center" vertical="center"/>
    </xf>
    <xf numFmtId="4" fontId="20" fillId="6" borderId="1" xfId="1" applyNumberFormat="1" applyFont="1" applyFill="1" applyBorder="1" applyAlignment="1">
      <alignment horizontal="center" vertical="center"/>
    </xf>
    <xf numFmtId="0" fontId="19" fillId="0" borderId="199" xfId="1" applyFont="1" applyBorder="1" applyAlignment="1">
      <alignment vertical="center"/>
    </xf>
    <xf numFmtId="0" fontId="24" fillId="8" borderId="199" xfId="1" applyFont="1" applyFill="1" applyBorder="1" applyAlignment="1">
      <alignment vertical="center"/>
    </xf>
    <xf numFmtId="4" fontId="66" fillId="0" borderId="77" xfId="1" applyNumberFormat="1" applyFont="1" applyFill="1" applyBorder="1" applyAlignment="1">
      <alignment horizontal="center" vertical="center" wrapText="1"/>
    </xf>
    <xf numFmtId="0" fontId="4" fillId="0" borderId="0" xfId="8818"/>
    <xf numFmtId="0" fontId="56" fillId="0" borderId="217" xfId="8818" applyFont="1" applyBorder="1" applyAlignment="1">
      <alignment vertical="center" wrapText="1"/>
    </xf>
    <xf numFmtId="0" fontId="56" fillId="0" borderId="217" xfId="8818" applyFont="1" applyBorder="1" applyAlignment="1">
      <alignment horizontal="left" vertical="center" wrapText="1"/>
    </xf>
    <xf numFmtId="0" fontId="56" fillId="0" borderId="217" xfId="8818" applyFont="1" applyBorder="1" applyAlignment="1">
      <alignment horizontal="center" vertical="center" wrapText="1"/>
    </xf>
    <xf numFmtId="0" fontId="56" fillId="0" borderId="0" xfId="8818" applyFont="1" applyAlignment="1">
      <alignment vertical="center" wrapText="1"/>
    </xf>
    <xf numFmtId="0" fontId="4" fillId="0" borderId="218" xfId="8818" applyBorder="1"/>
    <xf numFmtId="0" fontId="4" fillId="0" borderId="218" xfId="8818" applyBorder="1" applyAlignment="1">
      <alignment horizontal="center"/>
    </xf>
    <xf numFmtId="0" fontId="4" fillId="0" borderId="219" xfId="8818" applyFill="1" applyBorder="1"/>
    <xf numFmtId="0" fontId="4" fillId="0" borderId="220" xfId="8818" applyBorder="1"/>
    <xf numFmtId="0" fontId="4" fillId="0" borderId="220" xfId="8818" applyBorder="1" applyAlignment="1">
      <alignment horizontal="center"/>
    </xf>
    <xf numFmtId="0" fontId="4" fillId="18" borderId="220" xfId="8818" applyFill="1" applyBorder="1" applyAlignment="1">
      <alignment horizontal="center"/>
    </xf>
    <xf numFmtId="4" fontId="4" fillId="0" borderId="0" xfId="8818" applyNumberFormat="1"/>
    <xf numFmtId="0" fontId="4" fillId="0" borderId="221" xfId="8818" applyFill="1" applyBorder="1"/>
    <xf numFmtId="0" fontId="4" fillId="18" borderId="0" xfId="8818" applyFill="1"/>
    <xf numFmtId="4" fontId="56" fillId="0" borderId="0" xfId="8818" applyNumberFormat="1" applyFont="1"/>
    <xf numFmtId="4" fontId="25" fillId="0" borderId="194" xfId="1" applyNumberFormat="1" applyFont="1" applyFill="1" applyBorder="1" applyAlignment="1">
      <alignment horizontal="center" vertical="center" wrapText="1"/>
    </xf>
    <xf numFmtId="4" fontId="16" fillId="0" borderId="0" xfId="1" applyNumberFormat="1" applyAlignment="1">
      <alignment vertical="center"/>
    </xf>
    <xf numFmtId="177" fontId="16" fillId="0" borderId="0" xfId="1" applyNumberFormat="1" applyAlignment="1">
      <alignment horizontal="center" vertical="center"/>
    </xf>
    <xf numFmtId="4" fontId="167" fillId="0" borderId="0" xfId="1" applyNumberFormat="1" applyFont="1"/>
    <xf numFmtId="4" fontId="166" fillId="0" borderId="4" xfId="1" applyNumberFormat="1" applyFont="1" applyFill="1" applyBorder="1" applyAlignment="1">
      <alignment horizontal="center" vertical="center"/>
    </xf>
    <xf numFmtId="4" fontId="166" fillId="0" borderId="0" xfId="1" applyNumberFormat="1" applyFont="1" applyFill="1" applyBorder="1" applyAlignment="1">
      <alignment horizontal="center" vertical="center"/>
    </xf>
    <xf numFmtId="0" fontId="167" fillId="0" borderId="0" xfId="1" applyFont="1"/>
    <xf numFmtId="4" fontId="168" fillId="0" borderId="0" xfId="1" applyNumberFormat="1" applyFont="1" applyAlignment="1">
      <alignment horizontal="center"/>
    </xf>
    <xf numFmtId="4" fontId="169" fillId="0" borderId="0" xfId="1" applyNumberFormat="1" applyFont="1" applyAlignment="1">
      <alignment horizontal="center"/>
    </xf>
    <xf numFmtId="0" fontId="170" fillId="41" borderId="0" xfId="0" applyFont="1" applyFill="1"/>
    <xf numFmtId="3" fontId="165" fillId="0" borderId="0" xfId="0" applyNumberFormat="1" applyFont="1"/>
    <xf numFmtId="3" fontId="158" fillId="0" borderId="0" xfId="0" applyNumberFormat="1" applyFont="1"/>
    <xf numFmtId="49" fontId="18" fillId="26" borderId="3" xfId="0" applyNumberFormat="1" applyFont="1" applyFill="1" applyBorder="1" applyAlignment="1">
      <alignment horizontal="center" vertical="center"/>
    </xf>
    <xf numFmtId="49" fontId="18" fillId="26" borderId="9" xfId="0" applyNumberFormat="1" applyFont="1" applyFill="1" applyBorder="1" applyAlignment="1">
      <alignment horizontal="center" vertical="center"/>
    </xf>
    <xf numFmtId="0" fontId="19" fillId="0" borderId="193" xfId="1" applyFont="1" applyBorder="1" applyAlignment="1">
      <alignment horizontal="left" vertical="center"/>
    </xf>
    <xf numFmtId="4" fontId="25" fillId="0" borderId="193" xfId="1" applyNumberFormat="1" applyFont="1" applyFill="1" applyBorder="1" applyAlignment="1">
      <alignment horizontal="center" vertical="center"/>
    </xf>
    <xf numFmtId="4" fontId="104" fillId="0" borderId="194" xfId="1" applyNumberFormat="1" applyFont="1" applyFill="1" applyBorder="1" applyAlignment="1">
      <alignment horizontal="center" vertical="center"/>
    </xf>
    <xf numFmtId="9" fontId="161" fillId="0" borderId="195" xfId="7" applyFont="1" applyFill="1" applyBorder="1" applyAlignment="1">
      <alignment horizontal="center" vertical="center"/>
    </xf>
    <xf numFmtId="4" fontId="104" fillId="0" borderId="195" xfId="1" applyNumberFormat="1" applyFont="1" applyFill="1" applyBorder="1" applyAlignment="1">
      <alignment horizontal="center" vertical="center"/>
    </xf>
    <xf numFmtId="3" fontId="104" fillId="0" borderId="195" xfId="1" applyNumberFormat="1" applyFont="1" applyFill="1" applyBorder="1" applyAlignment="1">
      <alignment horizontal="center" vertical="center"/>
    </xf>
    <xf numFmtId="9" fontId="71" fillId="0" borderId="195" xfId="7" applyFont="1" applyFill="1" applyBorder="1" applyAlignment="1">
      <alignment horizontal="center" vertical="center" wrapText="1"/>
    </xf>
    <xf numFmtId="9" fontId="162" fillId="0" borderId="195" xfId="7" applyFont="1" applyFill="1" applyBorder="1" applyAlignment="1">
      <alignment horizontal="center" vertical="center" wrapText="1"/>
    </xf>
    <xf numFmtId="4" fontId="25" fillId="0" borderId="195" xfId="1" applyNumberFormat="1" applyFont="1" applyFill="1" applyBorder="1" applyAlignment="1">
      <alignment horizontal="center" vertical="center"/>
    </xf>
    <xf numFmtId="3" fontId="25" fillId="18" borderId="195" xfId="1" applyNumberFormat="1" applyFont="1" applyFill="1" applyBorder="1" applyAlignment="1">
      <alignment horizontal="center" vertical="center"/>
    </xf>
    <xf numFmtId="9" fontId="120" fillId="0" borderId="195" xfId="7" applyFont="1" applyFill="1" applyBorder="1" applyAlignment="1">
      <alignment horizontal="center" vertical="center"/>
    </xf>
    <xf numFmtId="0" fontId="24" fillId="0" borderId="193" xfId="1" applyFont="1" applyFill="1" applyBorder="1" applyAlignment="1">
      <alignment vertical="center"/>
    </xf>
    <xf numFmtId="10" fontId="24" fillId="0" borderId="192" xfId="1" applyNumberFormat="1" applyFont="1" applyFill="1" applyBorder="1" applyAlignment="1">
      <alignment horizontal="center" vertical="center"/>
    </xf>
    <xf numFmtId="10" fontId="24" fillId="0" borderId="193" xfId="1" applyNumberFormat="1" applyFont="1" applyFill="1" applyBorder="1" applyAlignment="1">
      <alignment horizontal="center" vertical="center"/>
    </xf>
    <xf numFmtId="10" fontId="24" fillId="0" borderId="194" xfId="1" applyNumberFormat="1" applyFont="1" applyFill="1" applyBorder="1" applyAlignment="1">
      <alignment horizontal="center" vertical="center"/>
    </xf>
    <xf numFmtId="10" fontId="29" fillId="0" borderId="194" xfId="1" applyNumberFormat="1" applyFont="1" applyFill="1" applyBorder="1" applyAlignment="1">
      <alignment horizontal="center" vertical="center"/>
    </xf>
    <xf numFmtId="9" fontId="40" fillId="4" borderId="195" xfId="7" applyFont="1" applyFill="1" applyBorder="1" applyAlignment="1">
      <alignment horizontal="center" vertical="center"/>
    </xf>
    <xf numFmtId="9" fontId="162" fillId="0" borderId="195" xfId="7" applyFont="1" applyFill="1" applyBorder="1" applyAlignment="1">
      <alignment horizontal="center" vertical="center"/>
    </xf>
    <xf numFmtId="0" fontId="19" fillId="0" borderId="193" xfId="1" applyFont="1" applyFill="1" applyBorder="1" applyAlignment="1">
      <alignment vertical="center"/>
    </xf>
    <xf numFmtId="9" fontId="40" fillId="0" borderId="195" xfId="7" applyFont="1" applyFill="1" applyBorder="1" applyAlignment="1">
      <alignment horizontal="center" vertical="center"/>
    </xf>
    <xf numFmtId="0" fontId="67" fillId="0" borderId="195" xfId="1" applyNumberFormat="1" applyFont="1" applyFill="1" applyBorder="1" applyAlignment="1">
      <alignment horizontal="center" vertical="center"/>
    </xf>
    <xf numFmtId="9" fontId="104" fillId="0" borderId="195" xfId="7" applyFont="1" applyFill="1" applyBorder="1" applyAlignment="1">
      <alignment horizontal="center" vertical="center" wrapText="1"/>
    </xf>
    <xf numFmtId="0" fontId="19" fillId="0" borderId="193" xfId="1" applyFont="1" applyFill="1" applyBorder="1" applyAlignment="1">
      <alignment horizontal="left" vertical="center"/>
    </xf>
    <xf numFmtId="3" fontId="26" fillId="5" borderId="191" xfId="1" applyNumberFormat="1" applyFont="1" applyFill="1" applyBorder="1" applyAlignment="1">
      <alignment horizontal="center" vertical="center"/>
    </xf>
    <xf numFmtId="9" fontId="36" fillId="0" borderId="193" xfId="7" applyFont="1" applyFill="1" applyBorder="1" applyAlignment="1">
      <alignment horizontal="center" vertical="center"/>
    </xf>
    <xf numFmtId="9" fontId="40" fillId="0" borderId="194" xfId="7" applyFont="1" applyFill="1" applyBorder="1" applyAlignment="1">
      <alignment horizontal="center" vertical="center"/>
    </xf>
    <xf numFmtId="9" fontId="67" fillId="0" borderId="194" xfId="7" applyFont="1" applyFill="1" applyBorder="1" applyAlignment="1">
      <alignment horizontal="center" vertical="center"/>
    </xf>
    <xf numFmtId="3" fontId="103" fillId="4" borderId="214" xfId="1" applyNumberFormat="1" applyFont="1" applyFill="1" applyBorder="1" applyAlignment="1">
      <alignment horizontal="center" vertical="center"/>
    </xf>
    <xf numFmtId="10" fontId="19" fillId="0" borderId="195" xfId="1" applyNumberFormat="1" applyFont="1" applyFill="1" applyBorder="1" applyAlignment="1">
      <alignment horizontal="center" vertical="center"/>
    </xf>
    <xf numFmtId="10" fontId="67" fillId="0" borderId="195" xfId="1" applyNumberFormat="1" applyFont="1" applyFill="1" applyBorder="1" applyAlignment="1">
      <alignment horizontal="center" vertical="center"/>
    </xf>
    <xf numFmtId="9" fontId="103" fillId="3" borderId="214" xfId="7" applyFont="1" applyFill="1" applyBorder="1" applyAlignment="1">
      <alignment horizontal="center" vertical="center"/>
    </xf>
    <xf numFmtId="3" fontId="103" fillId="3" borderId="214" xfId="1" applyNumberFormat="1" applyFont="1" applyFill="1" applyBorder="1" applyAlignment="1">
      <alignment horizontal="center" vertical="center"/>
    </xf>
    <xf numFmtId="3" fontId="27" fillId="9" borderId="79" xfId="8" applyNumberFormat="1" applyFont="1" applyFill="1" applyBorder="1" applyAlignment="1">
      <alignment horizontal="center" vertical="center"/>
    </xf>
    <xf numFmtId="3" fontId="25" fillId="9" borderId="215" xfId="1" applyNumberFormat="1" applyFont="1" applyFill="1" applyBorder="1" applyAlignment="1">
      <alignment horizontal="center" vertical="center"/>
    </xf>
    <xf numFmtId="10" fontId="27" fillId="0" borderId="196" xfId="1" applyNumberFormat="1" applyFont="1" applyFill="1" applyBorder="1" applyAlignment="1">
      <alignment horizontal="center" vertical="center"/>
    </xf>
    <xf numFmtId="3" fontId="27" fillId="18" borderId="7" xfId="8" applyNumberFormat="1" applyFont="1" applyFill="1" applyBorder="1" applyAlignment="1">
      <alignment horizontal="center" vertical="center"/>
    </xf>
    <xf numFmtId="2" fontId="27" fillId="0" borderId="79" xfId="8" applyNumberFormat="1" applyFont="1" applyFill="1" applyBorder="1" applyAlignment="1">
      <alignment horizontal="center" vertical="center"/>
    </xf>
    <xf numFmtId="0" fontId="154" fillId="0" borderId="195" xfId="1" applyNumberFormat="1" applyFont="1" applyFill="1" applyBorder="1" applyAlignment="1">
      <alignment horizontal="center" vertical="center"/>
    </xf>
    <xf numFmtId="3" fontId="27" fillId="0" borderId="198" xfId="6" applyNumberFormat="1" applyFont="1" applyFill="1" applyBorder="1" applyAlignment="1">
      <alignment horizontal="center" vertical="center"/>
    </xf>
    <xf numFmtId="3" fontId="19" fillId="0" borderId="8" xfId="1" applyNumberFormat="1" applyFont="1" applyFill="1" applyBorder="1" applyAlignment="1">
      <alignment horizontal="center" vertical="center"/>
    </xf>
    <xf numFmtId="9" fontId="88" fillId="0" borderId="202" xfId="7" applyFont="1" applyFill="1" applyBorder="1" applyAlignment="1">
      <alignment horizontal="center" vertical="center"/>
    </xf>
    <xf numFmtId="9" fontId="97" fillId="0" borderId="77" xfId="7" applyFont="1" applyFill="1" applyBorder="1" applyAlignment="1">
      <alignment horizontal="center" vertical="center" wrapText="1"/>
    </xf>
    <xf numFmtId="4" fontId="168" fillId="0" borderId="0" xfId="1" applyNumberFormat="1" applyFont="1" applyFill="1" applyAlignment="1">
      <alignment horizontal="center"/>
    </xf>
    <xf numFmtId="3" fontId="20" fillId="0" borderId="0" xfId="1" applyNumberFormat="1" applyFont="1" applyFill="1"/>
    <xf numFmtId="0" fontId="20" fillId="0" borderId="0" xfId="1" applyFont="1" applyFill="1" applyAlignment="1">
      <alignment horizontal="left" vertical="center"/>
    </xf>
    <xf numFmtId="0" fontId="16" fillId="0" borderId="0" xfId="1" applyFont="1" applyFill="1"/>
    <xf numFmtId="0" fontId="91" fillId="0" borderId="0" xfId="1" applyFont="1" applyFill="1"/>
    <xf numFmtId="3" fontId="171" fillId="0" borderId="0" xfId="0" applyNumberFormat="1" applyFont="1"/>
    <xf numFmtId="0" fontId="57" fillId="43" borderId="0" xfId="0" applyFont="1" applyFill="1" applyAlignment="1">
      <alignment horizontal="center" wrapText="1"/>
    </xf>
    <xf numFmtId="3" fontId="0" fillId="41" borderId="0" xfId="0" applyNumberFormat="1" applyFill="1"/>
    <xf numFmtId="4" fontId="24" fillId="4" borderId="77" xfId="1" applyNumberFormat="1" applyFont="1" applyFill="1" applyBorder="1" applyAlignment="1">
      <alignment horizontal="center" vertical="center"/>
    </xf>
    <xf numFmtId="0" fontId="16" fillId="0" borderId="0" xfId="1054" applyAlignment="1">
      <alignment horizontal="left" vertical="center"/>
    </xf>
    <xf numFmtId="0" fontId="18" fillId="7" borderId="0" xfId="1054" applyFont="1" applyFill="1" applyBorder="1" applyAlignment="1">
      <alignment horizontal="center" vertical="center" wrapText="1"/>
    </xf>
    <xf numFmtId="0" fontId="16" fillId="0" borderId="0" xfId="1054" applyAlignment="1">
      <alignment horizontal="left" vertical="center" wrapText="1"/>
    </xf>
    <xf numFmtId="0" fontId="24" fillId="11" borderId="56" xfId="1054" applyFont="1" applyFill="1" applyBorder="1" applyAlignment="1">
      <alignment vertical="center"/>
    </xf>
    <xf numFmtId="4" fontId="20" fillId="11" borderId="0" xfId="1054" applyNumberFormat="1" applyFont="1" applyFill="1" applyAlignment="1">
      <alignment horizontal="center" vertical="center"/>
    </xf>
    <xf numFmtId="4" fontId="20" fillId="9" borderId="0" xfId="1054" applyNumberFormat="1" applyFont="1" applyFill="1" applyAlignment="1">
      <alignment horizontal="center" vertical="center"/>
    </xf>
    <xf numFmtId="0" fontId="20" fillId="0" borderId="0" xfId="1054" applyFont="1" applyAlignment="1">
      <alignment horizontal="left" vertical="center"/>
    </xf>
    <xf numFmtId="4" fontId="19" fillId="0" borderId="77" xfId="1054" applyNumberFormat="1" applyFont="1" applyFill="1" applyBorder="1" applyAlignment="1">
      <alignment horizontal="center" vertical="center" wrapText="1"/>
    </xf>
    <xf numFmtId="4" fontId="20" fillId="0" borderId="0" xfId="1054" applyNumberFormat="1" applyFont="1" applyAlignment="1">
      <alignment horizontal="center" vertical="center"/>
    </xf>
    <xf numFmtId="4" fontId="66" fillId="11" borderId="51" xfId="1054" applyNumberFormat="1" applyFont="1" applyFill="1" applyBorder="1" applyAlignment="1">
      <alignment horizontal="center" vertical="center"/>
    </xf>
    <xf numFmtId="0" fontId="20" fillId="11" borderId="0" xfId="1054" applyFont="1" applyFill="1" applyAlignment="1">
      <alignment horizontal="left" vertical="center"/>
    </xf>
    <xf numFmtId="4" fontId="20" fillId="0" borderId="0" xfId="1054" applyNumberFormat="1" applyFont="1" applyAlignment="1">
      <alignment horizontal="left" vertical="center"/>
    </xf>
    <xf numFmtId="4" fontId="20" fillId="18" borderId="0" xfId="1054" applyNumberFormat="1" applyFont="1" applyFill="1" applyAlignment="1">
      <alignment horizontal="center" vertical="center"/>
    </xf>
    <xf numFmtId="178" fontId="20" fillId="9" borderId="0" xfId="1054" applyNumberFormat="1" applyFont="1" applyFill="1" applyAlignment="1">
      <alignment horizontal="center" vertical="center"/>
    </xf>
    <xf numFmtId="0" fontId="20" fillId="0" borderId="0" xfId="1054" applyFont="1" applyAlignment="1">
      <alignment horizontal="center" vertical="center"/>
    </xf>
    <xf numFmtId="0" fontId="19" fillId="0" borderId="198" xfId="1054" applyFont="1" applyBorder="1" applyAlignment="1">
      <alignment vertical="center"/>
    </xf>
    <xf numFmtId="3" fontId="27" fillId="0" borderId="199" xfId="1054" applyNumberFormat="1" applyFont="1" applyFill="1" applyBorder="1" applyAlignment="1">
      <alignment horizontal="center" vertical="center"/>
    </xf>
    <xf numFmtId="4" fontId="25" fillId="0" borderId="20" xfId="1054" applyNumberFormat="1" applyFont="1" applyFill="1" applyBorder="1" applyAlignment="1">
      <alignment horizontal="center" vertical="center" wrapText="1"/>
    </xf>
    <xf numFmtId="4" fontId="25" fillId="0" borderId="198" xfId="1054" applyNumberFormat="1" applyFont="1" applyFill="1" applyBorder="1" applyAlignment="1">
      <alignment horizontal="center" vertical="center"/>
    </xf>
    <xf numFmtId="4" fontId="25" fillId="0" borderId="202" xfId="1054" applyNumberFormat="1" applyFont="1" applyFill="1" applyBorder="1" applyAlignment="1">
      <alignment horizontal="center" vertical="center"/>
    </xf>
    <xf numFmtId="3" fontId="25" fillId="0" borderId="202" xfId="1054" applyNumberFormat="1" applyFont="1" applyFill="1" applyBorder="1" applyAlignment="1">
      <alignment horizontal="center" vertical="center"/>
    </xf>
    <xf numFmtId="0" fontId="19" fillId="0" borderId="79" xfId="1054" applyFont="1" applyBorder="1" applyAlignment="1">
      <alignment horizontal="left" vertical="center"/>
    </xf>
    <xf numFmtId="10" fontId="39" fillId="0" borderId="76" xfId="1054" applyNumberFormat="1" applyFont="1" applyFill="1" applyBorder="1" applyAlignment="1">
      <alignment horizontal="center" vertical="center"/>
    </xf>
    <xf numFmtId="0" fontId="36" fillId="0" borderId="76" xfId="1054" applyNumberFormat="1" applyFont="1" applyFill="1" applyBorder="1" applyAlignment="1">
      <alignment horizontal="center" vertical="center"/>
    </xf>
    <xf numFmtId="4" fontId="20" fillId="0" borderId="0" xfId="1054" applyNumberFormat="1" applyFont="1" applyFill="1" applyAlignment="1">
      <alignment horizontal="center" vertical="center"/>
    </xf>
    <xf numFmtId="0" fontId="20" fillId="0" borderId="0" xfId="1054" applyFont="1" applyFill="1" applyAlignment="1">
      <alignment horizontal="left" vertical="center"/>
    </xf>
    <xf numFmtId="0" fontId="19" fillId="0" borderId="198" xfId="1054" applyFont="1" applyBorder="1" applyAlignment="1">
      <alignment horizontal="left" vertical="center"/>
    </xf>
    <xf numFmtId="4" fontId="27" fillId="0" borderId="199" xfId="1054" applyNumberFormat="1" applyFont="1" applyFill="1" applyBorder="1" applyAlignment="1">
      <alignment horizontal="center" vertical="center"/>
    </xf>
    <xf numFmtId="4" fontId="27" fillId="0" borderId="198" xfId="1054" applyNumberFormat="1" applyFont="1" applyFill="1" applyBorder="1" applyAlignment="1">
      <alignment horizontal="center" vertical="center"/>
    </xf>
    <xf numFmtId="10" fontId="27" fillId="0" borderId="202" xfId="1054" applyNumberFormat="1" applyFont="1" applyFill="1" applyBorder="1" applyAlignment="1">
      <alignment horizontal="center" vertical="center"/>
    </xf>
    <xf numFmtId="10" fontId="36" fillId="0" borderId="202" xfId="1054" applyNumberFormat="1" applyFont="1" applyFill="1" applyBorder="1" applyAlignment="1">
      <alignment horizontal="center" vertical="center"/>
    </xf>
    <xf numFmtId="10" fontId="36" fillId="0" borderId="9" xfId="1054" applyNumberFormat="1" applyFont="1" applyFill="1" applyBorder="1" applyAlignment="1">
      <alignment horizontal="center" vertical="center"/>
    </xf>
    <xf numFmtId="10" fontId="26" fillId="0" borderId="202" xfId="1054" applyNumberFormat="1" applyFont="1" applyFill="1" applyBorder="1" applyAlignment="1">
      <alignment horizontal="center" vertical="center"/>
    </xf>
    <xf numFmtId="0" fontId="24" fillId="6" borderId="56" xfId="1054" applyFont="1" applyFill="1" applyBorder="1" applyAlignment="1">
      <alignment vertical="center"/>
    </xf>
    <xf numFmtId="4" fontId="37" fillId="6" borderId="55" xfId="1054" applyNumberFormat="1" applyFont="1" applyFill="1" applyBorder="1" applyAlignment="1">
      <alignment horizontal="center" vertical="center"/>
    </xf>
    <xf numFmtId="0" fontId="24" fillId="3" borderId="63" xfId="1054" applyFont="1" applyFill="1" applyBorder="1" applyAlignment="1">
      <alignment vertical="center"/>
    </xf>
    <xf numFmtId="10" fontId="24" fillId="0" borderId="198" xfId="1054" applyNumberFormat="1" applyFont="1" applyFill="1" applyBorder="1" applyAlignment="1">
      <alignment horizontal="center" vertical="center"/>
    </xf>
    <xf numFmtId="10" fontId="24" fillId="0" borderId="202" xfId="1054" applyNumberFormat="1" applyFont="1" applyFill="1" applyBorder="1" applyAlignment="1">
      <alignment horizontal="center" vertical="center"/>
    </xf>
    <xf numFmtId="10" fontId="66" fillId="0" borderId="202" xfId="1054" applyNumberFormat="1" applyFont="1" applyFill="1" applyBorder="1" applyAlignment="1">
      <alignment horizontal="center" vertical="center"/>
    </xf>
    <xf numFmtId="4" fontId="16" fillId="18" borderId="0" xfId="1054" applyNumberFormat="1" applyFill="1" applyAlignment="1">
      <alignment horizontal="center" vertical="center"/>
    </xf>
    <xf numFmtId="10" fontId="36" fillId="0" borderId="0" xfId="1054" applyNumberFormat="1" applyFont="1" applyFill="1" applyBorder="1" applyAlignment="1">
      <alignment horizontal="center" vertical="center"/>
    </xf>
    <xf numFmtId="10" fontId="68" fillId="0" borderId="202" xfId="1054" applyNumberFormat="1" applyFont="1" applyFill="1" applyBorder="1" applyAlignment="1">
      <alignment horizontal="center" vertical="center"/>
    </xf>
    <xf numFmtId="0" fontId="24" fillId="4" borderId="63" xfId="1054" applyFont="1" applyFill="1" applyBorder="1" applyAlignment="1">
      <alignment vertical="center"/>
    </xf>
    <xf numFmtId="4" fontId="69" fillId="4" borderId="63" xfId="1054" applyNumberFormat="1" applyFont="1" applyFill="1" applyBorder="1" applyAlignment="1">
      <alignment horizontal="center" vertical="center"/>
    </xf>
    <xf numFmtId="4" fontId="16" fillId="0" borderId="0" xfId="1054" applyNumberFormat="1" applyFill="1" applyAlignment="1">
      <alignment horizontal="center" vertical="center"/>
    </xf>
    <xf numFmtId="0" fontId="16" fillId="0" borderId="0" xfId="1054" applyFill="1" applyAlignment="1">
      <alignment horizontal="left" vertical="center"/>
    </xf>
    <xf numFmtId="3" fontId="26" fillId="5" borderId="199" xfId="1054" applyNumberFormat="1" applyFont="1" applyFill="1" applyBorder="1" applyAlignment="1">
      <alignment horizontal="center" vertical="center"/>
    </xf>
    <xf numFmtId="3" fontId="26" fillId="5" borderId="198" xfId="1054" applyNumberFormat="1" applyFont="1" applyFill="1" applyBorder="1" applyAlignment="1">
      <alignment horizontal="center" vertical="center"/>
    </xf>
    <xf numFmtId="3" fontId="26" fillId="5" borderId="202" xfId="1054" applyNumberFormat="1" applyFont="1" applyFill="1" applyBorder="1" applyAlignment="1">
      <alignment horizontal="center" vertical="center"/>
    </xf>
    <xf numFmtId="10" fontId="39" fillId="5" borderId="202" xfId="1054" applyNumberFormat="1" applyFont="1" applyFill="1" applyBorder="1" applyAlignment="1">
      <alignment horizontal="center" vertical="center"/>
    </xf>
    <xf numFmtId="10" fontId="39" fillId="5" borderId="0" xfId="1054" applyNumberFormat="1" applyFont="1" applyFill="1" applyBorder="1" applyAlignment="1">
      <alignment horizontal="center" vertical="center"/>
    </xf>
    <xf numFmtId="10" fontId="26" fillId="5" borderId="202" xfId="1054" applyNumberFormat="1" applyFont="1" applyFill="1" applyBorder="1" applyAlignment="1">
      <alignment horizontal="center" vertical="center"/>
    </xf>
    <xf numFmtId="10" fontId="68" fillId="5" borderId="202" xfId="1054" applyNumberFormat="1" applyFont="1" applyFill="1" applyBorder="1" applyAlignment="1">
      <alignment horizontal="center" vertical="center"/>
    </xf>
    <xf numFmtId="0" fontId="24" fillId="4" borderId="56" xfId="1054" applyFont="1" applyFill="1" applyBorder="1" applyAlignment="1">
      <alignment vertical="center"/>
    </xf>
    <xf numFmtId="10" fontId="69" fillId="4" borderId="51" xfId="1054" applyNumberFormat="1" applyFont="1" applyFill="1" applyBorder="1" applyAlignment="1">
      <alignment horizontal="center" vertical="center"/>
    </xf>
    <xf numFmtId="0" fontId="19" fillId="0" borderId="7" xfId="1054" applyFont="1" applyFill="1" applyBorder="1" applyAlignment="1">
      <alignment vertical="center"/>
    </xf>
    <xf numFmtId="3" fontId="26" fillId="0" borderId="8" xfId="1054" applyNumberFormat="1" applyFont="1" applyFill="1" applyBorder="1" applyAlignment="1">
      <alignment horizontal="center" vertical="center"/>
    </xf>
    <xf numFmtId="10" fontId="39" fillId="0" borderId="9" xfId="1054" applyNumberFormat="1" applyFont="1" applyFill="1" applyBorder="1" applyAlignment="1">
      <alignment horizontal="center" vertical="center"/>
    </xf>
    <xf numFmtId="4" fontId="69" fillId="6" borderId="56" xfId="1054" applyNumberFormat="1" applyFont="1" applyFill="1" applyBorder="1" applyAlignment="1">
      <alignment horizontal="center" vertical="center"/>
    </xf>
    <xf numFmtId="10" fontId="69" fillId="3" borderId="63" xfId="1054" applyNumberFormat="1" applyFont="1" applyFill="1" applyBorder="1" applyAlignment="1">
      <alignment horizontal="center" vertical="center"/>
    </xf>
    <xf numFmtId="0" fontId="24" fillId="4" borderId="198" xfId="1054" applyFont="1" applyFill="1" applyBorder="1" applyAlignment="1">
      <alignment vertical="center"/>
    </xf>
    <xf numFmtId="3" fontId="24" fillId="4" borderId="199" xfId="1054" applyNumberFormat="1" applyFont="1" applyFill="1" applyBorder="1" applyAlignment="1">
      <alignment horizontal="center" vertical="center"/>
    </xf>
    <xf numFmtId="3" fontId="24" fillId="4" borderId="198" xfId="1054" applyNumberFormat="1" applyFont="1" applyFill="1" applyBorder="1" applyAlignment="1">
      <alignment horizontal="center" vertical="center"/>
    </xf>
    <xf numFmtId="4" fontId="29" fillId="4" borderId="198" xfId="1054" applyNumberFormat="1" applyFont="1" applyFill="1" applyBorder="1" applyAlignment="1">
      <alignment horizontal="center" vertical="center"/>
    </xf>
    <xf numFmtId="4" fontId="29" fillId="4" borderId="199" xfId="1054" applyNumberFormat="1" applyFont="1" applyFill="1" applyBorder="1" applyAlignment="1">
      <alignment horizontal="center" vertical="center"/>
    </xf>
    <xf numFmtId="4" fontId="24" fillId="4" borderId="198" xfId="1054" applyNumberFormat="1" applyFont="1" applyFill="1" applyBorder="1" applyAlignment="1">
      <alignment horizontal="center" vertical="center"/>
    </xf>
    <xf numFmtId="4" fontId="69" fillId="4" borderId="198" xfId="1054" applyNumberFormat="1" applyFont="1" applyFill="1" applyBorder="1" applyAlignment="1">
      <alignment horizontal="center" vertical="center"/>
    </xf>
    <xf numFmtId="10" fontId="36" fillId="0" borderId="76" xfId="1054" applyNumberFormat="1" applyFont="1" applyFill="1" applyBorder="1" applyAlignment="1">
      <alignment horizontal="center" vertical="center"/>
    </xf>
    <xf numFmtId="10" fontId="68" fillId="0" borderId="58" xfId="1054" applyNumberFormat="1" applyFont="1" applyFill="1" applyBorder="1" applyAlignment="1">
      <alignment horizontal="center" vertical="center"/>
    </xf>
    <xf numFmtId="0" fontId="68" fillId="0" borderId="77" xfId="1054" applyNumberFormat="1" applyFont="1" applyFill="1" applyBorder="1" applyAlignment="1">
      <alignment horizontal="center" vertical="center"/>
    </xf>
    <xf numFmtId="0" fontId="24" fillId="8" borderId="198" xfId="1054" applyFont="1" applyFill="1" applyBorder="1" applyAlignment="1">
      <alignment vertical="center"/>
    </xf>
    <xf numFmtId="3" fontId="24" fillId="8" borderId="199" xfId="1054" applyNumberFormat="1" applyFont="1" applyFill="1" applyBorder="1" applyAlignment="1">
      <alignment horizontal="center" vertical="center"/>
    </xf>
    <xf numFmtId="4" fontId="29" fillId="8" borderId="198" xfId="1054" applyNumberFormat="1" applyFont="1" applyFill="1" applyBorder="1" applyAlignment="1">
      <alignment horizontal="center" vertical="center"/>
    </xf>
    <xf numFmtId="4" fontId="29" fillId="8" borderId="199" xfId="1054" applyNumberFormat="1" applyFont="1" applyFill="1" applyBorder="1" applyAlignment="1">
      <alignment horizontal="center" vertical="center"/>
    </xf>
    <xf numFmtId="3" fontId="24" fillId="8" borderId="198" xfId="1054" applyNumberFormat="1" applyFont="1" applyFill="1" applyBorder="1" applyAlignment="1">
      <alignment horizontal="center" vertical="center"/>
    </xf>
    <xf numFmtId="4" fontId="24" fillId="8" borderId="198" xfId="1054" applyNumberFormat="1" applyFont="1" applyFill="1" applyBorder="1" applyAlignment="1">
      <alignment horizontal="center" vertical="center"/>
    </xf>
    <xf numFmtId="4" fontId="69" fillId="8" borderId="198" xfId="1054" applyNumberFormat="1" applyFont="1" applyFill="1" applyBorder="1" applyAlignment="1">
      <alignment horizontal="center" vertical="center"/>
    </xf>
    <xf numFmtId="0" fontId="24" fillId="3" borderId="198" xfId="1054" applyFont="1" applyFill="1" applyBorder="1" applyAlignment="1">
      <alignment vertical="center"/>
    </xf>
    <xf numFmtId="3" fontId="24" fillId="3" borderId="199" xfId="1054" applyNumberFormat="1" applyFont="1" applyFill="1" applyBorder="1" applyAlignment="1">
      <alignment horizontal="center" vertical="center"/>
    </xf>
    <xf numFmtId="10" fontId="29" fillId="3" borderId="198" xfId="1054" applyNumberFormat="1" applyFont="1" applyFill="1" applyBorder="1" applyAlignment="1">
      <alignment horizontal="center" vertical="center"/>
    </xf>
    <xf numFmtId="10" fontId="29" fillId="3" borderId="199" xfId="1054" applyNumberFormat="1" applyFont="1" applyFill="1" applyBorder="1" applyAlignment="1">
      <alignment horizontal="center" vertical="center"/>
    </xf>
    <xf numFmtId="10" fontId="24" fillId="3" borderId="198" xfId="1054" applyNumberFormat="1" applyFont="1" applyFill="1" applyBorder="1" applyAlignment="1">
      <alignment horizontal="center" vertical="center"/>
    </xf>
    <xf numFmtId="10" fontId="69" fillId="3" borderId="198" xfId="1054" applyNumberFormat="1" applyFont="1" applyFill="1" applyBorder="1" applyAlignment="1">
      <alignment horizontal="center" vertical="center"/>
    </xf>
    <xf numFmtId="4" fontId="68" fillId="0" borderId="0" xfId="1054" applyNumberFormat="1" applyFont="1" applyAlignment="1">
      <alignment horizontal="center" vertical="center"/>
    </xf>
    <xf numFmtId="4" fontId="30" fillId="0" borderId="0" xfId="1054" applyNumberFormat="1" applyFont="1" applyAlignment="1">
      <alignment horizontal="center" vertical="center"/>
    </xf>
    <xf numFmtId="4" fontId="116" fillId="0" borderId="0" xfId="1054" applyNumberFormat="1" applyFont="1" applyAlignment="1">
      <alignment horizontal="center" vertical="center"/>
    </xf>
    <xf numFmtId="0" fontId="115" fillId="0" borderId="0" xfId="1054" applyFont="1" applyAlignment="1">
      <alignment horizontal="left" vertical="center"/>
    </xf>
    <xf numFmtId="4" fontId="117" fillId="0" borderId="0" xfId="1054" applyNumberFormat="1" applyFont="1" applyAlignment="1">
      <alignment horizontal="center" vertical="center"/>
    </xf>
    <xf numFmtId="0" fontId="117" fillId="0" borderId="0" xfId="1054" applyFont="1" applyAlignment="1">
      <alignment horizontal="left" vertical="center"/>
    </xf>
    <xf numFmtId="4" fontId="70" fillId="0" borderId="0" xfId="1054" applyNumberFormat="1" applyFont="1" applyAlignment="1">
      <alignment horizontal="center" vertical="center"/>
    </xf>
    <xf numFmtId="4" fontId="116" fillId="0" borderId="0" xfId="1054" applyNumberFormat="1" applyFont="1" applyFill="1" applyAlignment="1">
      <alignment horizontal="center" vertical="center"/>
    </xf>
    <xf numFmtId="4" fontId="70" fillId="0" borderId="0" xfId="1054" applyNumberFormat="1" applyFont="1" applyFill="1" applyAlignment="1">
      <alignment horizontal="center" vertical="center"/>
    </xf>
    <xf numFmtId="3" fontId="56" fillId="0" borderId="56" xfId="8454" applyNumberFormat="1" applyFont="1" applyBorder="1" applyAlignment="1">
      <alignment horizontal="center" vertical="center"/>
    </xf>
    <xf numFmtId="4" fontId="30" fillId="0" borderId="0" xfId="1054" applyNumberFormat="1" applyFont="1" applyFill="1" applyAlignment="1">
      <alignment horizontal="center" vertical="center"/>
    </xf>
    <xf numFmtId="0" fontId="91" fillId="0" borderId="0" xfId="1054" applyFont="1"/>
    <xf numFmtId="4" fontId="16" fillId="0" borderId="0" xfId="1054" applyNumberFormat="1" applyAlignment="1">
      <alignment horizontal="right" vertical="center"/>
    </xf>
    <xf numFmtId="0" fontId="0" fillId="0" borderId="0" xfId="0" quotePrefix="1" applyAlignment="1">
      <alignment horizontal="right"/>
    </xf>
    <xf numFmtId="10" fontId="26" fillId="5" borderId="202" xfId="1" applyNumberFormat="1" applyFont="1" applyFill="1" applyBorder="1" applyAlignment="1">
      <alignment horizontal="center" vertical="center"/>
    </xf>
    <xf numFmtId="9" fontId="36" fillId="0" borderId="222" xfId="7" applyFont="1" applyFill="1" applyBorder="1" applyAlignment="1">
      <alignment horizontal="center" vertical="center"/>
    </xf>
    <xf numFmtId="9" fontId="27" fillId="0" borderId="222" xfId="7" applyFont="1" applyFill="1" applyBorder="1" applyAlignment="1">
      <alignment horizontal="center" vertical="center"/>
    </xf>
    <xf numFmtId="0" fontId="20" fillId="14" borderId="0" xfId="1" applyFont="1" applyFill="1"/>
    <xf numFmtId="0" fontId="19" fillId="0" borderId="223" xfId="1" applyFont="1" applyBorder="1" applyAlignment="1">
      <alignment horizontal="left" vertical="center"/>
    </xf>
    <xf numFmtId="0" fontId="20" fillId="18" borderId="0" xfId="1" applyFont="1" applyFill="1"/>
    <xf numFmtId="10" fontId="24" fillId="4" borderId="223" xfId="1" applyNumberFormat="1" applyFont="1" applyFill="1" applyBorder="1" applyAlignment="1">
      <alignment horizontal="center" vertical="center"/>
    </xf>
    <xf numFmtId="3" fontId="24" fillId="8" borderId="6" xfId="1" applyNumberFormat="1" applyFont="1" applyFill="1" applyBorder="1" applyAlignment="1">
      <alignment horizontal="center" vertical="center"/>
    </xf>
    <xf numFmtId="4" fontId="24" fillId="11" borderId="51" xfId="1" applyNumberFormat="1" applyFont="1" applyFill="1" applyBorder="1" applyAlignment="1">
      <alignment horizontal="center" vertical="center" wrapText="1"/>
    </xf>
    <xf numFmtId="1" fontId="27" fillId="0" borderId="77" xfId="7" applyNumberFormat="1" applyFont="1" applyFill="1" applyBorder="1" applyAlignment="1">
      <alignment horizontal="center" vertical="center" wrapText="1"/>
    </xf>
    <xf numFmtId="9" fontId="88" fillId="0" borderId="79" xfId="7" applyFont="1" applyFill="1" applyBorder="1" applyAlignment="1">
      <alignment horizontal="center" vertical="center"/>
    </xf>
    <xf numFmtId="49" fontId="19" fillId="0" borderId="77" xfId="7" applyNumberFormat="1" applyFont="1" applyFill="1" applyBorder="1" applyAlignment="1">
      <alignment horizontal="center" vertical="center" wrapText="1"/>
    </xf>
    <xf numFmtId="9" fontId="39" fillId="0" borderId="77" xfId="7" applyFont="1" applyFill="1" applyBorder="1" applyAlignment="1">
      <alignment horizontal="center" vertical="center" wrapText="1"/>
    </xf>
    <xf numFmtId="4" fontId="24" fillId="11" borderId="79" xfId="1" applyNumberFormat="1" applyFont="1" applyFill="1" applyBorder="1" applyAlignment="1">
      <alignment horizontal="center" vertical="center"/>
    </xf>
    <xf numFmtId="9" fontId="36" fillId="0" borderId="77" xfId="7" applyFont="1" applyFill="1" applyBorder="1" applyAlignment="1">
      <alignment horizontal="center" vertical="center" wrapText="1"/>
    </xf>
    <xf numFmtId="9" fontId="36" fillId="0" borderId="222" xfId="7" applyFont="1" applyFill="1" applyBorder="1" applyAlignment="1">
      <alignment horizontal="center" vertical="center" wrapText="1"/>
    </xf>
    <xf numFmtId="9" fontId="36" fillId="0" borderId="224" xfId="7" applyFont="1" applyFill="1" applyBorder="1" applyAlignment="1">
      <alignment horizontal="center" vertical="center"/>
    </xf>
    <xf numFmtId="9" fontId="36" fillId="0" borderId="226" xfId="7" applyFont="1" applyFill="1" applyBorder="1" applyAlignment="1">
      <alignment horizontal="center" vertical="center"/>
    </xf>
    <xf numFmtId="9" fontId="29" fillId="3" borderId="80" xfId="7" applyFont="1" applyFill="1" applyBorder="1" applyAlignment="1">
      <alignment horizontal="center" vertical="center" wrapText="1"/>
    </xf>
    <xf numFmtId="9" fontId="29" fillId="0" borderId="222" xfId="7" applyFont="1" applyFill="1" applyBorder="1" applyAlignment="1">
      <alignment horizontal="center" vertical="center"/>
    </xf>
    <xf numFmtId="9" fontId="29" fillId="0" borderId="222" xfId="7" applyFont="1" applyFill="1" applyBorder="1" applyAlignment="1">
      <alignment horizontal="center" vertical="center" wrapText="1"/>
    </xf>
    <xf numFmtId="9" fontId="36" fillId="4" borderId="76" xfId="7" applyFont="1" applyFill="1" applyBorder="1" applyAlignment="1">
      <alignment horizontal="center" vertical="center" wrapText="1"/>
    </xf>
    <xf numFmtId="10" fontId="26" fillId="5" borderId="222" xfId="1" applyNumberFormat="1" applyFont="1" applyFill="1" applyBorder="1" applyAlignment="1">
      <alignment horizontal="center" vertical="center"/>
    </xf>
    <xf numFmtId="9" fontId="39" fillId="5" borderId="222" xfId="7" applyFont="1" applyFill="1" applyBorder="1" applyAlignment="1">
      <alignment horizontal="center" vertical="center"/>
    </xf>
    <xf numFmtId="10" fontId="26" fillId="5" borderId="223" xfId="1" applyNumberFormat="1" applyFont="1" applyFill="1" applyBorder="1" applyAlignment="1">
      <alignment horizontal="center" vertical="center"/>
    </xf>
    <xf numFmtId="9" fontId="39" fillId="5" borderId="77" xfId="7" applyFont="1" applyFill="1" applyBorder="1" applyAlignment="1">
      <alignment horizontal="center" vertical="center" wrapText="1"/>
    </xf>
    <xf numFmtId="9" fontId="29" fillId="4" borderId="223" xfId="7" applyFont="1" applyFill="1" applyBorder="1" applyAlignment="1">
      <alignment horizontal="center" vertical="center" wrapText="1"/>
    </xf>
    <xf numFmtId="10" fontId="24" fillId="4" borderId="77" xfId="1" applyNumberFormat="1" applyFont="1" applyFill="1" applyBorder="1" applyAlignment="1">
      <alignment horizontal="center" vertical="center"/>
    </xf>
    <xf numFmtId="9" fontId="29" fillId="3" borderId="62" xfId="7" applyFont="1" applyFill="1" applyBorder="1" applyAlignment="1">
      <alignment horizontal="center" vertical="center" wrapText="1"/>
    </xf>
    <xf numFmtId="9" fontId="36" fillId="0" borderId="76" xfId="7" applyFont="1" applyFill="1" applyBorder="1" applyAlignment="1">
      <alignment horizontal="center" vertical="center" wrapText="1"/>
    </xf>
    <xf numFmtId="4" fontId="24" fillId="8" borderId="222" xfId="1" applyNumberFormat="1" applyFont="1" applyFill="1" applyBorder="1" applyAlignment="1">
      <alignment horizontal="center" vertical="center"/>
    </xf>
    <xf numFmtId="0" fontId="150" fillId="18" borderId="0" xfId="1" applyFont="1" applyFill="1" applyAlignment="1">
      <alignment vertical="center" wrapText="1"/>
    </xf>
    <xf numFmtId="0" fontId="20" fillId="18" borderId="0" xfId="1" applyFont="1" applyFill="1" applyAlignment="1">
      <alignment vertical="center"/>
    </xf>
    <xf numFmtId="0" fontId="150" fillId="18" borderId="0" xfId="1" applyFont="1" applyFill="1" applyAlignment="1">
      <alignment vertical="center"/>
    </xf>
    <xf numFmtId="0" fontId="16" fillId="18" borderId="0" xfId="1" applyFill="1" applyAlignment="1">
      <alignment vertical="center"/>
    </xf>
    <xf numFmtId="0" fontId="18" fillId="33" borderId="5" xfId="1" applyFont="1" applyFill="1" applyBorder="1" applyAlignment="1">
      <alignment horizontal="center" vertical="center" wrapText="1"/>
    </xf>
    <xf numFmtId="0" fontId="18" fillId="33" borderId="7" xfId="0"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 fontId="25" fillId="0" borderId="77" xfId="1" applyNumberFormat="1" applyFont="1" applyBorder="1" applyAlignment="1">
      <alignment horizontal="center" vertical="center"/>
    </xf>
    <xf numFmtId="4" fontId="25" fillId="0" borderId="77" xfId="1" applyNumberFormat="1" applyFont="1" applyBorder="1" applyAlignment="1">
      <alignment horizontal="center" vertical="center" wrapText="1"/>
    </xf>
    <xf numFmtId="4" fontId="107" fillId="0" borderId="77" xfId="1" applyNumberFormat="1" applyFont="1" applyBorder="1" applyAlignment="1">
      <alignment horizontal="center" vertical="center" wrapText="1"/>
    </xf>
    <xf numFmtId="4" fontId="25" fillId="0" borderId="222" xfId="1" applyNumberFormat="1" applyFont="1" applyBorder="1" applyAlignment="1">
      <alignment horizontal="center" vertical="center"/>
    </xf>
    <xf numFmtId="4" fontId="25" fillId="0" borderId="36" xfId="1" applyNumberFormat="1" applyFont="1" applyBorder="1" applyAlignment="1">
      <alignment horizontal="center" vertical="center"/>
    </xf>
    <xf numFmtId="4" fontId="25" fillId="0" borderId="63" xfId="1" applyNumberFormat="1" applyFont="1" applyBorder="1" applyAlignment="1">
      <alignment horizontal="center" vertical="center"/>
    </xf>
    <xf numFmtId="4" fontId="25" fillId="0" borderId="58" xfId="1" applyNumberFormat="1" applyFont="1" applyBorder="1" applyAlignment="1">
      <alignment horizontal="center" vertical="center"/>
    </xf>
    <xf numFmtId="4" fontId="25" fillId="0" borderId="58" xfId="1" applyNumberFormat="1" applyFont="1" applyBorder="1" applyAlignment="1">
      <alignment horizontal="center" vertical="center" wrapText="1"/>
    </xf>
    <xf numFmtId="3" fontId="25" fillId="0" borderId="77" xfId="1" applyNumberFormat="1" applyFont="1" applyBorder="1" applyAlignment="1">
      <alignment horizontal="center" vertical="center"/>
    </xf>
    <xf numFmtId="9" fontId="36" fillId="0" borderId="227" xfId="7" applyFont="1" applyFill="1" applyBorder="1" applyAlignment="1">
      <alignment horizontal="center" vertical="center"/>
    </xf>
    <xf numFmtId="4" fontId="88" fillId="0" borderId="77" xfId="1" applyNumberFormat="1" applyFont="1" applyBorder="1" applyAlignment="1">
      <alignment horizontal="center" vertical="center"/>
    </xf>
    <xf numFmtId="3" fontId="88" fillId="0" borderId="77" xfId="1" applyNumberFormat="1" applyFont="1" applyBorder="1" applyAlignment="1">
      <alignment horizontal="center" vertical="center"/>
    </xf>
    <xf numFmtId="4" fontId="88" fillId="0" borderId="77" xfId="1" applyNumberFormat="1" applyFont="1" applyBorder="1" applyAlignment="1">
      <alignment horizontal="center" vertical="center" wrapText="1"/>
    </xf>
    <xf numFmtId="4" fontId="25" fillId="0" borderId="79" xfId="1" applyNumberFormat="1" applyFont="1" applyBorder="1" applyAlignment="1">
      <alignment horizontal="center" vertical="center"/>
    </xf>
    <xf numFmtId="0" fontId="19" fillId="0" borderId="228" xfId="1" applyFont="1" applyBorder="1" applyAlignment="1">
      <alignment vertical="center"/>
    </xf>
    <xf numFmtId="4" fontId="98" fillId="0" borderId="77" xfId="1" applyNumberFormat="1" applyFont="1" applyBorder="1" applyAlignment="1">
      <alignment horizontal="center" vertical="center" wrapText="1"/>
    </xf>
    <xf numFmtId="4" fontId="26" fillId="0" borderId="77" xfId="1" applyNumberFormat="1" applyFont="1" applyBorder="1" applyAlignment="1">
      <alignment horizontal="center" vertical="center"/>
    </xf>
    <xf numFmtId="4" fontId="68" fillId="0" borderId="77" xfId="1" applyNumberFormat="1" applyFont="1" applyBorder="1" applyAlignment="1">
      <alignment horizontal="center" vertical="center" wrapText="1"/>
    </xf>
    <xf numFmtId="9" fontId="19" fillId="0" borderId="227" xfId="7" applyFont="1" applyFill="1" applyBorder="1" applyAlignment="1">
      <alignment horizontal="center" vertical="center" wrapText="1"/>
    </xf>
    <xf numFmtId="9" fontId="27" fillId="0" borderId="227" xfId="7" applyFont="1" applyFill="1" applyBorder="1" applyAlignment="1">
      <alignment horizontal="center" vertical="center"/>
    </xf>
    <xf numFmtId="9" fontId="26" fillId="0" borderId="227" xfId="7" applyFont="1" applyFill="1" applyBorder="1" applyAlignment="1">
      <alignment horizontal="center" vertical="center"/>
    </xf>
    <xf numFmtId="9" fontId="88" fillId="0" borderId="227" xfId="7" applyFont="1" applyFill="1" applyBorder="1" applyAlignment="1">
      <alignment horizontal="center" vertical="center"/>
    </xf>
    <xf numFmtId="9" fontId="26" fillId="0" borderId="227" xfId="7" applyFont="1" applyFill="1" applyBorder="1" applyAlignment="1">
      <alignment horizontal="center" vertical="center" wrapText="1"/>
    </xf>
    <xf numFmtId="4" fontId="25" fillId="0" borderId="198" xfId="1" applyNumberFormat="1" applyFont="1" applyBorder="1" applyAlignment="1">
      <alignment horizontal="center" vertical="center"/>
    </xf>
    <xf numFmtId="4" fontId="25" fillId="0" borderId="202" xfId="1" applyNumberFormat="1" applyFont="1" applyBorder="1" applyAlignment="1">
      <alignment horizontal="center" vertical="center"/>
    </xf>
    <xf numFmtId="3" fontId="25" fillId="0" borderId="202" xfId="1" applyNumberFormat="1" applyFont="1" applyBorder="1" applyAlignment="1">
      <alignment horizontal="center" vertical="center"/>
    </xf>
    <xf numFmtId="3" fontId="25" fillId="0" borderId="20" xfId="1" applyNumberFormat="1" applyFont="1" applyBorder="1" applyAlignment="1">
      <alignment horizontal="center" vertical="center"/>
    </xf>
    <xf numFmtId="10" fontId="26" fillId="0" borderId="77" xfId="1" applyNumberFormat="1" applyFont="1" applyBorder="1" applyAlignment="1">
      <alignment horizontal="center" vertical="center"/>
    </xf>
    <xf numFmtId="0" fontId="24" fillId="11" borderId="230" xfId="1" applyFont="1" applyFill="1" applyBorder="1" applyAlignment="1">
      <alignment vertical="center"/>
    </xf>
    <xf numFmtId="4" fontId="24" fillId="11" borderId="228" xfId="1" applyNumberFormat="1" applyFont="1" applyFill="1" applyBorder="1" applyAlignment="1">
      <alignment horizontal="center" vertical="center"/>
    </xf>
    <xf numFmtId="4" fontId="24" fillId="11" borderId="231" xfId="1" applyNumberFormat="1" applyFont="1" applyFill="1" applyBorder="1" applyAlignment="1">
      <alignment horizontal="center" vertical="center"/>
    </xf>
    <xf numFmtId="0" fontId="19" fillId="0" borderId="230" xfId="1" applyFont="1" applyBorder="1" applyAlignment="1">
      <alignment horizontal="left" vertical="center"/>
    </xf>
    <xf numFmtId="0" fontId="27" fillId="0" borderId="227" xfId="1" applyFont="1" applyBorder="1" applyAlignment="1">
      <alignment horizontal="center" vertical="center"/>
    </xf>
    <xf numFmtId="10" fontId="27" fillId="0" borderId="202" xfId="1" applyNumberFormat="1" applyFont="1" applyBorder="1" applyAlignment="1">
      <alignment horizontal="center" vertical="center"/>
    </xf>
    <xf numFmtId="4" fontId="25" fillId="0" borderId="20" xfId="1" applyNumberFormat="1" applyFont="1" applyBorder="1" applyAlignment="1">
      <alignment horizontal="center" vertical="center"/>
    </xf>
    <xf numFmtId="10" fontId="27" fillId="0" borderId="36" xfId="1" applyNumberFormat="1" applyFont="1" applyBorder="1" applyAlignment="1">
      <alignment horizontal="center" vertical="center"/>
    </xf>
    <xf numFmtId="10" fontId="24" fillId="0" borderId="202" xfId="1" applyNumberFormat="1" applyFont="1" applyBorder="1" applyAlignment="1">
      <alignment horizontal="center" vertical="center"/>
    </xf>
    <xf numFmtId="9" fontId="36" fillId="4" borderId="227" xfId="7" applyFont="1" applyFill="1" applyBorder="1" applyAlignment="1">
      <alignment horizontal="center" vertical="center"/>
    </xf>
    <xf numFmtId="0" fontId="19" fillId="0" borderId="230" xfId="1" applyFont="1" applyBorder="1" applyAlignment="1">
      <alignment vertical="center"/>
    </xf>
    <xf numFmtId="0" fontId="19" fillId="0" borderId="223" xfId="1" applyFont="1" applyBorder="1" applyAlignment="1">
      <alignment vertical="center"/>
    </xf>
    <xf numFmtId="0" fontId="27" fillId="0" borderId="77" xfId="1" applyFont="1" applyBorder="1" applyAlignment="1">
      <alignment horizontal="center" vertical="center"/>
    </xf>
    <xf numFmtId="0" fontId="19" fillId="0" borderId="201" xfId="1" applyFont="1" applyBorder="1" applyAlignment="1">
      <alignment vertical="center"/>
    </xf>
    <xf numFmtId="4" fontId="25" fillId="0" borderId="7" xfId="1" applyNumberFormat="1" applyFont="1" applyBorder="1" applyAlignment="1">
      <alignment horizontal="center" vertical="center"/>
    </xf>
    <xf numFmtId="0" fontId="24" fillId="4" borderId="230" xfId="1" applyFont="1" applyFill="1" applyBorder="1" applyAlignment="1">
      <alignment vertical="center"/>
    </xf>
    <xf numFmtId="10" fontId="24" fillId="4" borderId="227" xfId="1" applyNumberFormat="1" applyFont="1" applyFill="1" applyBorder="1" applyAlignment="1">
      <alignment horizontal="center" vertical="center"/>
    </xf>
    <xf numFmtId="10" fontId="26" fillId="0" borderId="20" xfId="1" applyNumberFormat="1" applyFont="1" applyBorder="1" applyAlignment="1">
      <alignment horizontal="center" vertical="center"/>
    </xf>
    <xf numFmtId="10" fontId="26" fillId="0" borderId="202" xfId="1" applyNumberFormat="1" applyFont="1" applyBorder="1" applyAlignment="1">
      <alignment horizontal="center" vertical="center"/>
    </xf>
    <xf numFmtId="10" fontId="26" fillId="0" borderId="36" xfId="1" applyNumberFormat="1" applyFont="1" applyBorder="1" applyAlignment="1">
      <alignment horizontal="center" vertical="center"/>
    </xf>
    <xf numFmtId="0" fontId="24" fillId="4" borderId="199" xfId="1" applyFont="1" applyFill="1" applyBorder="1" applyAlignment="1">
      <alignment vertical="center"/>
    </xf>
    <xf numFmtId="3" fontId="27" fillId="0" borderId="58" xfId="1" applyNumberFormat="1" applyFont="1" applyBorder="1" applyAlignment="1">
      <alignment horizontal="center" vertical="center"/>
    </xf>
    <xf numFmtId="10" fontId="27" fillId="0" borderId="58" xfId="1" applyNumberFormat="1" applyFont="1" applyBorder="1" applyAlignment="1">
      <alignment horizontal="center" vertical="center"/>
    </xf>
    <xf numFmtId="10" fontId="27" fillId="0" borderId="77" xfId="1" applyNumberFormat="1" applyFont="1" applyBorder="1" applyAlignment="1">
      <alignment horizontal="center" vertical="center"/>
    </xf>
    <xf numFmtId="0" fontId="19" fillId="0" borderId="228" xfId="1" applyFont="1" applyBorder="1" applyAlignment="1">
      <alignment horizontal="left" vertical="center"/>
    </xf>
    <xf numFmtId="10" fontId="26" fillId="0" borderId="227" xfId="1" applyNumberFormat="1" applyFont="1" applyBorder="1" applyAlignment="1">
      <alignment horizontal="center" vertical="center"/>
    </xf>
    <xf numFmtId="0" fontId="24" fillId="6" borderId="228" xfId="1" applyFont="1" applyFill="1" applyBorder="1" applyAlignment="1">
      <alignment vertical="center"/>
    </xf>
    <xf numFmtId="3" fontId="28" fillId="6" borderId="228" xfId="1" applyNumberFormat="1" applyFont="1" applyFill="1" applyBorder="1" applyAlignment="1">
      <alignment horizontal="center" vertical="center"/>
    </xf>
    <xf numFmtId="3" fontId="28" fillId="6" borderId="231" xfId="1" applyNumberFormat="1" applyFont="1" applyFill="1" applyBorder="1" applyAlignment="1">
      <alignment horizontal="center" vertical="center"/>
    </xf>
    <xf numFmtId="4" fontId="28" fillId="6" borderId="231" xfId="1" applyNumberFormat="1" applyFont="1" applyFill="1" applyBorder="1" applyAlignment="1">
      <alignment horizontal="center" vertical="center"/>
    </xf>
    <xf numFmtId="4" fontId="28" fillId="6" borderId="228" xfId="1" applyNumberFormat="1" applyFont="1" applyFill="1" applyBorder="1" applyAlignment="1">
      <alignment horizontal="center" vertical="center"/>
    </xf>
    <xf numFmtId="3" fontId="24" fillId="8" borderId="232" xfId="1" applyNumberFormat="1" applyFont="1" applyFill="1" applyBorder="1" applyAlignment="1">
      <alignment horizontal="center" vertical="center"/>
    </xf>
    <xf numFmtId="4" fontId="24" fillId="8" borderId="232" xfId="1" applyNumberFormat="1" applyFont="1" applyFill="1" applyBorder="1" applyAlignment="1">
      <alignment horizontal="center" vertical="center"/>
    </xf>
    <xf numFmtId="0" fontId="27" fillId="0" borderId="77" xfId="1" applyFont="1" applyBorder="1" applyAlignment="1">
      <alignment horizontal="center" vertical="center" wrapText="1"/>
    </xf>
    <xf numFmtId="0" fontId="26" fillId="0" borderId="77" xfId="1" applyFont="1" applyBorder="1" applyAlignment="1">
      <alignment horizontal="center" vertical="center" wrapText="1"/>
    </xf>
    <xf numFmtId="0" fontId="26" fillId="0" borderId="77" xfId="1" applyFont="1" applyBorder="1" applyAlignment="1">
      <alignment horizontal="center" vertical="center"/>
    </xf>
    <xf numFmtId="0" fontId="27" fillId="0" borderId="58" xfId="1" applyFont="1" applyBorder="1" applyAlignment="1">
      <alignment horizontal="center" vertical="center"/>
    </xf>
    <xf numFmtId="3" fontId="24" fillId="6" borderId="231" xfId="1" applyNumberFormat="1" applyFont="1" applyFill="1" applyBorder="1" applyAlignment="1">
      <alignment horizontal="center" vertical="center"/>
    </xf>
    <xf numFmtId="4" fontId="24" fillId="6" borderId="231" xfId="1" applyNumberFormat="1" applyFont="1" applyFill="1" applyBorder="1" applyAlignment="1">
      <alignment horizontal="center" vertical="center"/>
    </xf>
    <xf numFmtId="0" fontId="24" fillId="3" borderId="199" xfId="1" applyFont="1" applyFill="1" applyBorder="1" applyAlignment="1">
      <alignment vertical="center"/>
    </xf>
    <xf numFmtId="4" fontId="109" fillId="0" borderId="77" xfId="1" applyNumberFormat="1" applyFont="1" applyBorder="1" applyAlignment="1">
      <alignment horizontal="center" vertical="center" wrapText="1"/>
    </xf>
    <xf numFmtId="4" fontId="105" fillId="0" borderId="77" xfId="1" applyNumberFormat="1" applyFont="1" applyBorder="1" applyAlignment="1">
      <alignment horizontal="center" vertical="center" wrapText="1"/>
    </xf>
    <xf numFmtId="3" fontId="25" fillId="0" borderId="36" xfId="1" applyNumberFormat="1" applyFont="1" applyBorder="1" applyAlignment="1">
      <alignment horizontal="center" vertical="center"/>
    </xf>
    <xf numFmtId="4" fontId="88" fillId="0" borderId="20" xfId="1" applyNumberFormat="1" applyFont="1" applyBorder="1" applyAlignment="1">
      <alignment horizontal="center" vertical="center"/>
    </xf>
    <xf numFmtId="3" fontId="88" fillId="0" borderId="20" xfId="1" applyNumberFormat="1" applyFont="1" applyBorder="1" applyAlignment="1">
      <alignment horizontal="center" vertical="center"/>
    </xf>
    <xf numFmtId="10" fontId="26" fillId="0" borderId="58" xfId="1" applyNumberFormat="1" applyFont="1" applyBorder="1" applyAlignment="1">
      <alignment horizontal="center" vertical="center"/>
    </xf>
    <xf numFmtId="3" fontId="27" fillId="0" borderId="63" xfId="1" applyNumberFormat="1" applyFont="1" applyBorder="1" applyAlignment="1">
      <alignment horizontal="center" vertical="center"/>
    </xf>
    <xf numFmtId="0" fontId="24" fillId="8" borderId="229" xfId="1" applyFont="1" applyFill="1" applyBorder="1" applyAlignment="1">
      <alignment vertical="center"/>
    </xf>
    <xf numFmtId="0" fontId="26" fillId="0" borderId="58" xfId="1" applyFont="1" applyBorder="1" applyAlignment="1">
      <alignment horizontal="center" vertical="center" wrapText="1"/>
    </xf>
    <xf numFmtId="0" fontId="19" fillId="0" borderId="58" xfId="1" applyFont="1" applyBorder="1" applyAlignment="1">
      <alignment horizontal="center" vertical="center" wrapText="1"/>
    </xf>
    <xf numFmtId="0" fontId="26" fillId="0" borderId="58" xfId="1" applyFont="1" applyBorder="1" applyAlignment="1">
      <alignment horizontal="center" vertical="center"/>
    </xf>
    <xf numFmtId="4" fontId="67" fillId="0" borderId="77" xfId="1" applyNumberFormat="1" applyFont="1" applyBorder="1" applyAlignment="1">
      <alignment horizontal="center" vertical="center" wrapText="1"/>
    </xf>
    <xf numFmtId="9" fontId="27" fillId="0" borderId="227" xfId="7" applyFont="1" applyFill="1" applyBorder="1" applyAlignment="1">
      <alignment horizontal="center" vertical="center" wrapText="1"/>
    </xf>
    <xf numFmtId="4" fontId="24" fillId="11" borderId="230" xfId="1" applyNumberFormat="1" applyFont="1" applyFill="1" applyBorder="1" applyAlignment="1">
      <alignment horizontal="center" vertical="center"/>
    </xf>
    <xf numFmtId="10" fontId="27" fillId="0" borderId="20" xfId="1" applyNumberFormat="1" applyFont="1" applyBorder="1" applyAlignment="1">
      <alignment horizontal="center" vertical="center"/>
    </xf>
    <xf numFmtId="10" fontId="24" fillId="0" borderId="198" xfId="1" applyNumberFormat="1" applyFont="1" applyBorder="1" applyAlignment="1">
      <alignment horizontal="center" vertical="center"/>
    </xf>
    <xf numFmtId="3" fontId="25" fillId="0" borderId="79" xfId="1" applyNumberFormat="1" applyFont="1" applyBorder="1" applyAlignment="1">
      <alignment horizontal="center" vertical="center"/>
    </xf>
    <xf numFmtId="4" fontId="25" fillId="0" borderId="232" xfId="1" applyNumberFormat="1" applyFont="1" applyBorder="1" applyAlignment="1">
      <alignment horizontal="center" vertical="center"/>
    </xf>
    <xf numFmtId="3" fontId="25" fillId="0" borderId="77" xfId="1" applyNumberFormat="1" applyFont="1" applyBorder="1" applyAlignment="1">
      <alignment horizontal="center" vertical="center" wrapText="1"/>
    </xf>
    <xf numFmtId="4" fontId="25" fillId="0" borderId="231" xfId="1" applyNumberFormat="1" applyFont="1" applyBorder="1" applyAlignment="1">
      <alignment horizontal="center" vertical="center"/>
    </xf>
    <xf numFmtId="4" fontId="25" fillId="0" borderId="6" xfId="1" applyNumberFormat="1" applyFont="1" applyBorder="1" applyAlignment="1">
      <alignment horizontal="center" vertical="center"/>
    </xf>
    <xf numFmtId="4" fontId="25" fillId="0" borderId="202" xfId="1" applyNumberFormat="1" applyFont="1" applyBorder="1" applyAlignment="1">
      <alignment horizontal="center" vertical="center" wrapText="1"/>
    </xf>
    <xf numFmtId="4" fontId="25" fillId="0" borderId="198" xfId="1" applyNumberFormat="1" applyFont="1" applyBorder="1" applyAlignment="1">
      <alignment horizontal="center" vertical="center" wrapText="1"/>
    </xf>
    <xf numFmtId="9" fontId="36" fillId="0" borderId="231" xfId="7" applyFont="1" applyFill="1" applyBorder="1" applyAlignment="1">
      <alignment horizontal="center" vertical="center"/>
    </xf>
    <xf numFmtId="4" fontId="25" fillId="0" borderId="79" xfId="1" applyNumberFormat="1" applyFont="1" applyBorder="1" applyAlignment="1">
      <alignment horizontal="center" vertical="center" wrapText="1"/>
    </xf>
    <xf numFmtId="4" fontId="25" fillId="0" borderId="76" xfId="1" applyNumberFormat="1" applyFont="1" applyBorder="1" applyAlignment="1">
      <alignment horizontal="center" vertical="center"/>
    </xf>
    <xf numFmtId="3" fontId="24" fillId="6" borderId="228" xfId="1" applyNumberFormat="1" applyFont="1" applyFill="1" applyBorder="1" applyAlignment="1">
      <alignment horizontal="center" vertical="center"/>
    </xf>
    <xf numFmtId="4" fontId="163" fillId="0" borderId="77" xfId="1" applyNumberFormat="1" applyFont="1" applyBorder="1" applyAlignment="1">
      <alignment horizontal="center" vertical="center" wrapText="1"/>
    </xf>
    <xf numFmtId="3" fontId="25" fillId="0" borderId="231" xfId="1" applyNumberFormat="1" applyFont="1" applyBorder="1" applyAlignment="1">
      <alignment horizontal="center" vertical="center"/>
    </xf>
    <xf numFmtId="0" fontId="24" fillId="6" borderId="230" xfId="1" applyFont="1" applyFill="1" applyBorder="1" applyAlignment="1">
      <alignment vertical="center" wrapText="1"/>
    </xf>
    <xf numFmtId="0" fontId="24" fillId="3" borderId="201" xfId="1" applyFont="1" applyFill="1" applyBorder="1" applyAlignment="1">
      <alignment vertical="center"/>
    </xf>
    <xf numFmtId="40" fontId="24" fillId="11" borderId="56" xfId="1" applyNumberFormat="1" applyFont="1" applyFill="1" applyBorder="1" applyAlignment="1">
      <alignment horizontal="center" vertical="center"/>
    </xf>
    <xf numFmtId="40" fontId="25" fillId="0" borderId="79" xfId="1" applyNumberFormat="1" applyFont="1" applyBorder="1" applyAlignment="1">
      <alignment horizontal="center" vertical="center"/>
    </xf>
    <xf numFmtId="40" fontId="27" fillId="0" borderId="79" xfId="6" applyNumberFormat="1" applyFont="1" applyFill="1" applyBorder="1" applyAlignment="1">
      <alignment horizontal="center" vertical="center"/>
    </xf>
    <xf numFmtId="3" fontId="150" fillId="0" borderId="0" xfId="1" applyNumberFormat="1" applyFont="1" applyAlignment="1">
      <alignment horizontal="center" vertical="center"/>
    </xf>
    <xf numFmtId="0" fontId="19" fillId="0" borderId="231" xfId="1" applyFont="1" applyBorder="1" applyAlignment="1">
      <alignment vertical="center"/>
    </xf>
    <xf numFmtId="9" fontId="68" fillId="0" borderId="227" xfId="7" applyFont="1" applyFill="1" applyBorder="1" applyAlignment="1">
      <alignment horizontal="center" vertical="center"/>
    </xf>
    <xf numFmtId="0" fontId="19" fillId="0" borderId="232" xfId="1" applyFont="1" applyBorder="1" applyAlignment="1">
      <alignment vertical="center"/>
    </xf>
    <xf numFmtId="4" fontId="25" fillId="0" borderId="227" xfId="1" applyNumberFormat="1" applyFont="1" applyBorder="1" applyAlignment="1">
      <alignment horizontal="center" vertical="center"/>
    </xf>
    <xf numFmtId="10" fontId="68" fillId="0" borderId="77" xfId="1" applyNumberFormat="1" applyFont="1" applyBorder="1" applyAlignment="1">
      <alignment horizontal="center" vertical="center"/>
    </xf>
    <xf numFmtId="10" fontId="26" fillId="0" borderId="63" xfId="1" applyNumberFormat="1" applyFont="1" applyBorder="1" applyAlignment="1">
      <alignment horizontal="center" vertical="center"/>
    </xf>
    <xf numFmtId="40" fontId="26" fillId="0" borderId="63" xfId="1" applyNumberFormat="1" applyFont="1" applyBorder="1" applyAlignment="1">
      <alignment horizontal="center" vertical="center"/>
    </xf>
    <xf numFmtId="4" fontId="72" fillId="11" borderId="231" xfId="1" applyNumberFormat="1" applyFont="1" applyFill="1" applyBorder="1" applyAlignment="1">
      <alignment horizontal="center" vertical="center"/>
    </xf>
    <xf numFmtId="4" fontId="72" fillId="11" borderId="228" xfId="1" applyNumberFormat="1" applyFont="1" applyFill="1" applyBorder="1" applyAlignment="1">
      <alignment horizontal="center" vertical="center"/>
    </xf>
    <xf numFmtId="40" fontId="24" fillId="11" borderId="231" xfId="1" applyNumberFormat="1" applyFont="1" applyFill="1" applyBorder="1" applyAlignment="1">
      <alignment horizontal="center" vertical="center"/>
    </xf>
    <xf numFmtId="0" fontId="71" fillId="0" borderId="227" xfId="1" applyFont="1" applyBorder="1" applyAlignment="1">
      <alignment horizontal="center" vertical="center"/>
    </xf>
    <xf numFmtId="0" fontId="71" fillId="0" borderId="77" xfId="1" applyFont="1" applyBorder="1" applyAlignment="1">
      <alignment horizontal="center" vertical="center"/>
    </xf>
    <xf numFmtId="10" fontId="71" fillId="0" borderId="36" xfId="1" applyNumberFormat="1" applyFont="1" applyBorder="1" applyAlignment="1">
      <alignment horizontal="center" vertical="center"/>
    </xf>
    <xf numFmtId="10" fontId="27" fillId="0" borderId="198" xfId="1" applyNumberFormat="1" applyFont="1" applyBorder="1" applyAlignment="1">
      <alignment horizontal="center" vertical="center"/>
    </xf>
    <xf numFmtId="40" fontId="27" fillId="0" borderId="198" xfId="1" applyNumberFormat="1" applyFont="1" applyBorder="1" applyAlignment="1">
      <alignment horizontal="center" vertical="center"/>
    </xf>
    <xf numFmtId="10" fontId="72" fillId="3" borderId="62" xfId="1" applyNumberFormat="1" applyFont="1" applyFill="1" applyBorder="1" applyAlignment="1">
      <alignment horizontal="center" vertical="center"/>
    </xf>
    <xf numFmtId="4" fontId="72" fillId="4" borderId="80" xfId="1" applyNumberFormat="1" applyFont="1" applyFill="1" applyBorder="1" applyAlignment="1">
      <alignment horizontal="center" vertical="center"/>
    </xf>
    <xf numFmtId="9" fontId="71" fillId="0" borderId="227" xfId="7" applyFont="1" applyFill="1" applyBorder="1" applyAlignment="1">
      <alignment horizontal="center" vertical="center"/>
    </xf>
    <xf numFmtId="9" fontId="71" fillId="0" borderId="77" xfId="7" applyFont="1" applyFill="1" applyBorder="1" applyAlignment="1">
      <alignment horizontal="center" vertical="center"/>
    </xf>
    <xf numFmtId="3" fontId="27" fillId="0" borderId="231" xfId="6" applyNumberFormat="1" applyFont="1" applyFill="1" applyBorder="1" applyAlignment="1">
      <alignment horizontal="center" vertical="center"/>
    </xf>
    <xf numFmtId="40" fontId="25" fillId="0" borderId="6" xfId="1" applyNumberFormat="1" applyFont="1" applyBorder="1" applyAlignment="1">
      <alignment horizontal="center" vertical="center"/>
    </xf>
    <xf numFmtId="10" fontId="24" fillId="4" borderId="231" xfId="1" applyNumberFormat="1" applyFont="1" applyFill="1" applyBorder="1" applyAlignment="1">
      <alignment horizontal="center" vertical="center"/>
    </xf>
    <xf numFmtId="4" fontId="24" fillId="4" borderId="231" xfId="1" applyNumberFormat="1" applyFont="1" applyFill="1" applyBorder="1" applyAlignment="1">
      <alignment horizontal="center" vertical="center"/>
    </xf>
    <xf numFmtId="10" fontId="26" fillId="0" borderId="198" xfId="1" applyNumberFormat="1" applyFont="1" applyBorder="1" applyAlignment="1">
      <alignment horizontal="center" vertical="center"/>
    </xf>
    <xf numFmtId="10" fontId="68" fillId="0" borderId="20" xfId="1" applyNumberFormat="1" applyFont="1" applyBorder="1" applyAlignment="1">
      <alignment horizontal="center" vertical="center"/>
    </xf>
    <xf numFmtId="10" fontId="68" fillId="0" borderId="36" xfId="1" applyNumberFormat="1" applyFont="1" applyBorder="1" applyAlignment="1">
      <alignment horizontal="center" vertical="center"/>
    </xf>
    <xf numFmtId="4" fontId="72" fillId="6" borderId="55" xfId="1" applyNumberFormat="1" applyFont="1" applyFill="1" applyBorder="1" applyAlignment="1">
      <alignment horizontal="center" vertical="center"/>
    </xf>
    <xf numFmtId="38" fontId="24" fillId="6" borderId="56" xfId="1" applyNumberFormat="1" applyFont="1" applyFill="1" applyBorder="1" applyAlignment="1">
      <alignment horizontal="center" vertical="center"/>
    </xf>
    <xf numFmtId="4" fontId="72" fillId="4" borderId="198" xfId="1" applyNumberFormat="1" applyFont="1" applyFill="1" applyBorder="1" applyAlignment="1">
      <alignment horizontal="center" vertical="center"/>
    </xf>
    <xf numFmtId="10" fontId="71" fillId="0" borderId="58" xfId="1" applyNumberFormat="1" applyFont="1" applyBorder="1" applyAlignment="1">
      <alignment horizontal="center" vertical="center"/>
    </xf>
    <xf numFmtId="10" fontId="71" fillId="0" borderId="77" xfId="1" applyNumberFormat="1" applyFont="1" applyBorder="1" applyAlignment="1">
      <alignment horizontal="center" vertical="center"/>
    </xf>
    <xf numFmtId="10" fontId="27" fillId="0" borderId="63" xfId="1" applyNumberFormat="1" applyFont="1" applyBorder="1" applyAlignment="1">
      <alignment horizontal="center" vertical="center"/>
    </xf>
    <xf numFmtId="10" fontId="68" fillId="0" borderId="227" xfId="1" applyNumberFormat="1" applyFont="1" applyBorder="1" applyAlignment="1">
      <alignment horizontal="center" vertical="center"/>
    </xf>
    <xf numFmtId="10" fontId="26" fillId="0" borderId="231" xfId="1" applyNumberFormat="1" applyFont="1" applyBorder="1" applyAlignment="1">
      <alignment horizontal="center" vertical="center"/>
    </xf>
    <xf numFmtId="38" fontId="24" fillId="4" borderId="198" xfId="1" applyNumberFormat="1" applyFont="1" applyFill="1" applyBorder="1" applyAlignment="1">
      <alignment horizontal="center" vertical="center"/>
    </xf>
    <xf numFmtId="4" fontId="74" fillId="6" borderId="231" xfId="1" applyNumberFormat="1" applyFont="1" applyFill="1" applyBorder="1" applyAlignment="1">
      <alignment horizontal="center" vertical="center"/>
    </xf>
    <xf numFmtId="4" fontId="74" fillId="6" borderId="228" xfId="1" applyNumberFormat="1" applyFont="1" applyFill="1" applyBorder="1" applyAlignment="1">
      <alignment horizontal="center" vertical="center"/>
    </xf>
    <xf numFmtId="38" fontId="24" fillId="6" borderId="79" xfId="1" applyNumberFormat="1" applyFont="1" applyFill="1" applyBorder="1" applyAlignment="1">
      <alignment horizontal="center" vertical="center"/>
    </xf>
    <xf numFmtId="3" fontId="24" fillId="8" borderId="229" xfId="1" applyNumberFormat="1" applyFont="1" applyFill="1" applyBorder="1" applyAlignment="1">
      <alignment horizontal="center" vertical="center"/>
    </xf>
    <xf numFmtId="4" fontId="72" fillId="8" borderId="198" xfId="1" applyNumberFormat="1" applyFont="1" applyFill="1" applyBorder="1" applyAlignment="1">
      <alignment horizontal="center" vertical="center"/>
    </xf>
    <xf numFmtId="38" fontId="24" fillId="8" borderId="6" xfId="1" applyNumberFormat="1" applyFont="1" applyFill="1" applyBorder="1" applyAlignment="1">
      <alignment horizontal="center" vertical="center"/>
    </xf>
    <xf numFmtId="4" fontId="72" fillId="6" borderId="231" xfId="1" applyNumberFormat="1" applyFont="1" applyFill="1" applyBorder="1" applyAlignment="1">
      <alignment horizontal="center" vertical="center"/>
    </xf>
    <xf numFmtId="10" fontId="72" fillId="3" borderId="198" xfId="1" applyNumberFormat="1" applyFont="1" applyFill="1" applyBorder="1" applyAlignment="1">
      <alignment horizontal="center" vertical="center"/>
    </xf>
    <xf numFmtId="38" fontId="24" fillId="3" borderId="198" xfId="7" applyNumberFormat="1" applyFont="1" applyFill="1" applyBorder="1" applyAlignment="1">
      <alignment horizontal="center" vertical="center"/>
    </xf>
    <xf numFmtId="4" fontId="24" fillId="20" borderId="51" xfId="0" applyNumberFormat="1" applyFont="1" applyFill="1" applyBorder="1" applyAlignment="1">
      <alignment horizontal="center" vertical="center"/>
    </xf>
    <xf numFmtId="0" fontId="20" fillId="0" borderId="0" xfId="1" applyFont="1" applyAlignment="1">
      <alignment vertical="center"/>
    </xf>
    <xf numFmtId="4" fontId="25" fillId="0" borderId="77" xfId="0" applyNumberFormat="1" applyFont="1" applyBorder="1" applyAlignment="1">
      <alignment horizontal="center" vertical="center"/>
    </xf>
    <xf numFmtId="3" fontId="77" fillId="0" borderId="79" xfId="0" applyNumberFormat="1" applyFont="1" applyBorder="1" applyAlignment="1">
      <alignment horizontal="center" vertical="center"/>
    </xf>
    <xf numFmtId="4" fontId="25" fillId="0" borderId="77" xfId="0" applyNumberFormat="1" applyFont="1" applyBorder="1" applyAlignment="1">
      <alignment horizontal="center" vertical="center" wrapText="1"/>
    </xf>
    <xf numFmtId="4" fontId="107" fillId="0" borderId="76" xfId="1" applyNumberFormat="1" applyFont="1" applyBorder="1" applyAlignment="1">
      <alignment horizontal="center" vertical="center" wrapText="1"/>
    </xf>
    <xf numFmtId="177" fontId="25" fillId="0" borderId="79" xfId="1" applyNumberFormat="1" applyFont="1" applyBorder="1" applyAlignment="1">
      <alignment horizontal="center" vertical="center"/>
    </xf>
    <xf numFmtId="4" fontId="25" fillId="0" borderId="36" xfId="0" applyNumberFormat="1" applyFont="1" applyBorder="1" applyAlignment="1">
      <alignment horizontal="center" vertical="center"/>
    </xf>
    <xf numFmtId="3" fontId="77" fillId="0" borderId="6" xfId="0" applyNumberFormat="1" applyFont="1" applyBorder="1" applyAlignment="1">
      <alignment horizontal="center" vertical="center"/>
    </xf>
    <xf numFmtId="4" fontId="25" fillId="0" borderId="222" xfId="0" applyNumberFormat="1" applyFont="1" applyBorder="1" applyAlignment="1">
      <alignment horizontal="center" vertical="center"/>
    </xf>
    <xf numFmtId="4" fontId="98" fillId="0" borderId="36" xfId="1" applyNumberFormat="1" applyFont="1" applyBorder="1" applyAlignment="1">
      <alignment horizontal="center" vertical="center"/>
    </xf>
    <xf numFmtId="4" fontId="25" fillId="0" borderId="0" xfId="1" applyNumberFormat="1" applyFont="1" applyAlignment="1">
      <alignment horizontal="center" vertical="center"/>
    </xf>
    <xf numFmtId="3" fontId="24" fillId="20" borderId="55" xfId="0" applyNumberFormat="1" applyFont="1" applyFill="1" applyBorder="1" applyAlignment="1">
      <alignment horizontal="center" vertical="center"/>
    </xf>
    <xf numFmtId="3" fontId="24" fillId="20" borderId="56" xfId="0" applyNumberFormat="1" applyFont="1" applyFill="1" applyBorder="1" applyAlignment="1">
      <alignment horizontal="center" vertical="center"/>
    </xf>
    <xf numFmtId="9" fontId="80" fillId="20" borderId="51" xfId="0" applyNumberFormat="1" applyFont="1" applyFill="1" applyBorder="1" applyAlignment="1">
      <alignment horizontal="center" vertical="center"/>
    </xf>
    <xf numFmtId="167" fontId="24" fillId="0" borderId="6" xfId="1" applyNumberFormat="1" applyFont="1" applyBorder="1" applyAlignment="1">
      <alignment vertical="center"/>
    </xf>
    <xf numFmtId="3" fontId="27" fillId="0" borderId="80" xfId="1" applyNumberFormat="1" applyFont="1" applyBorder="1" applyAlignment="1">
      <alignment horizontal="center" vertical="center"/>
    </xf>
    <xf numFmtId="3" fontId="25" fillId="0" borderId="77" xfId="0" applyNumberFormat="1" applyFont="1" applyBorder="1" applyAlignment="1">
      <alignment horizontal="center" vertical="center"/>
    </xf>
    <xf numFmtId="9" fontId="80" fillId="0" borderId="77" xfId="0" applyNumberFormat="1" applyFont="1" applyBorder="1" applyAlignment="1">
      <alignment horizontal="center" vertical="center"/>
    </xf>
    <xf numFmtId="9" fontId="77" fillId="0" borderId="77" xfId="0" applyNumberFormat="1" applyFont="1" applyBorder="1" applyAlignment="1">
      <alignment horizontal="center" vertical="center"/>
    </xf>
    <xf numFmtId="3" fontId="25" fillId="0" borderId="71" xfId="1" applyNumberFormat="1" applyFont="1" applyBorder="1" applyAlignment="1">
      <alignment horizontal="center" vertical="center"/>
    </xf>
    <xf numFmtId="9" fontId="36" fillId="0" borderId="233" xfId="7" applyFont="1" applyFill="1" applyBorder="1" applyAlignment="1">
      <alignment horizontal="center" vertical="center"/>
    </xf>
    <xf numFmtId="4" fontId="25" fillId="0" borderId="63" xfId="1" applyNumberFormat="1" applyFont="1" applyBorder="1" applyAlignment="1">
      <alignment horizontal="center" vertical="center" wrapText="1"/>
    </xf>
    <xf numFmtId="9" fontId="36" fillId="0" borderId="234" xfId="7" applyFont="1" applyFill="1" applyBorder="1" applyAlignment="1">
      <alignment horizontal="center" vertical="center"/>
    </xf>
    <xf numFmtId="4" fontId="98" fillId="0" borderId="79" xfId="1" applyNumberFormat="1" applyFont="1" applyBorder="1" applyAlignment="1">
      <alignment horizontal="center" vertical="center" wrapText="1"/>
    </xf>
    <xf numFmtId="3" fontId="25" fillId="0" borderId="80" xfId="1" applyNumberFormat="1" applyFont="1" applyBorder="1" applyAlignment="1">
      <alignment horizontal="center" vertical="center"/>
    </xf>
    <xf numFmtId="4" fontId="67" fillId="0" borderId="79" xfId="1" applyNumberFormat="1" applyFont="1" applyBorder="1" applyAlignment="1">
      <alignment horizontal="center" vertical="center" wrapText="1"/>
    </xf>
    <xf numFmtId="4" fontId="88" fillId="0" borderId="76" xfId="1" applyNumberFormat="1" applyFont="1" applyBorder="1" applyAlignment="1">
      <alignment horizontal="center" vertical="center" wrapText="1"/>
    </xf>
    <xf numFmtId="9" fontId="80" fillId="0" borderId="227" xfId="0" applyNumberFormat="1" applyFont="1" applyBorder="1" applyAlignment="1">
      <alignment horizontal="center" vertical="center"/>
    </xf>
    <xf numFmtId="3" fontId="25" fillId="0" borderId="235" xfId="1" applyNumberFormat="1" applyFont="1" applyBorder="1" applyAlignment="1">
      <alignment horizontal="center" vertical="center"/>
    </xf>
    <xf numFmtId="9" fontId="26" fillId="0" borderId="236" xfId="7" applyFont="1" applyFill="1" applyBorder="1" applyAlignment="1">
      <alignment horizontal="center" vertical="center"/>
    </xf>
    <xf numFmtId="3" fontId="25" fillId="0" borderId="228" xfId="1" applyNumberFormat="1" applyFont="1" applyBorder="1" applyAlignment="1">
      <alignment horizontal="center" vertical="center"/>
    </xf>
    <xf numFmtId="9" fontId="88" fillId="0" borderId="231" xfId="7" applyFont="1" applyFill="1" applyBorder="1" applyAlignment="1">
      <alignment horizontal="center" vertical="center"/>
    </xf>
    <xf numFmtId="9" fontId="77" fillId="0" borderId="77" xfId="0" applyNumberFormat="1" applyFont="1" applyBorder="1" applyAlignment="1">
      <alignment horizontal="center" vertical="center" wrapText="1"/>
    </xf>
    <xf numFmtId="4" fontId="124" fillId="0" borderId="79" xfId="1" applyNumberFormat="1" applyFont="1" applyBorder="1" applyAlignment="1">
      <alignment horizontal="center" vertical="center" wrapText="1"/>
    </xf>
    <xf numFmtId="4" fontId="107" fillId="0" borderId="79" xfId="1" applyNumberFormat="1" applyFont="1" applyBorder="1" applyAlignment="1">
      <alignment horizontal="center" vertical="center" wrapText="1"/>
    </xf>
    <xf numFmtId="167" fontId="27" fillId="0" borderId="227" xfId="6" applyNumberFormat="1" applyFont="1" applyFill="1" applyBorder="1" applyAlignment="1">
      <alignment horizontal="center" vertical="center"/>
    </xf>
    <xf numFmtId="3" fontId="27" fillId="0" borderId="228" xfId="1" applyNumberFormat="1" applyFont="1" applyBorder="1" applyAlignment="1">
      <alignment horizontal="center" vertical="center"/>
    </xf>
    <xf numFmtId="9" fontId="19" fillId="0" borderId="236" xfId="7" applyFont="1" applyFill="1" applyBorder="1" applyAlignment="1">
      <alignment horizontal="center" vertical="center"/>
    </xf>
    <xf numFmtId="4" fontId="124" fillId="0" borderId="77" xfId="1" applyNumberFormat="1" applyFont="1" applyBorder="1" applyAlignment="1">
      <alignment horizontal="center" vertical="center" wrapText="1"/>
    </xf>
    <xf numFmtId="0" fontId="150" fillId="0" borderId="0" xfId="1" quotePrefix="1" applyFont="1" applyAlignment="1">
      <alignment vertical="center" wrapText="1"/>
    </xf>
    <xf numFmtId="9" fontId="27" fillId="0" borderId="236" xfId="7" applyFont="1" applyFill="1" applyBorder="1" applyAlignment="1">
      <alignment horizontal="center" vertical="center"/>
    </xf>
    <xf numFmtId="9" fontId="27" fillId="0" borderId="236" xfId="7" applyFont="1" applyFill="1" applyBorder="1" applyAlignment="1">
      <alignment horizontal="center" vertical="center" wrapText="1"/>
    </xf>
    <xf numFmtId="9" fontId="19" fillId="0" borderId="236" xfId="7" applyFont="1" applyFill="1" applyBorder="1" applyAlignment="1">
      <alignment horizontal="center" vertical="center" wrapText="1"/>
    </xf>
    <xf numFmtId="4" fontId="88" fillId="0" borderId="231" xfId="1" applyNumberFormat="1" applyFont="1" applyBorder="1" applyAlignment="1">
      <alignment horizontal="center" vertical="center"/>
    </xf>
    <xf numFmtId="9" fontId="77" fillId="0" borderId="227" xfId="0" applyNumberFormat="1" applyFont="1" applyBorder="1" applyAlignment="1">
      <alignment horizontal="center" vertical="center"/>
    </xf>
    <xf numFmtId="9" fontId="19" fillId="0" borderId="227" xfId="7" applyFont="1" applyFill="1" applyBorder="1" applyAlignment="1">
      <alignment horizontal="center" vertical="center"/>
    </xf>
    <xf numFmtId="4" fontId="107" fillId="0" borderId="231" xfId="1" applyNumberFormat="1" applyFont="1" applyBorder="1" applyAlignment="1">
      <alignment horizontal="center" vertical="center" wrapText="1"/>
    </xf>
    <xf numFmtId="9" fontId="77" fillId="0" borderId="227" xfId="0" applyNumberFormat="1" applyFont="1" applyBorder="1" applyAlignment="1">
      <alignment horizontal="center" vertical="center" wrapText="1"/>
    </xf>
    <xf numFmtId="3" fontId="27" fillId="0" borderId="229" xfId="1" applyNumberFormat="1" applyFont="1" applyBorder="1" applyAlignment="1">
      <alignment horizontal="center" vertical="center"/>
    </xf>
    <xf numFmtId="4" fontId="98" fillId="0" borderId="76" xfId="1" applyNumberFormat="1" applyFont="1" applyBorder="1" applyAlignment="1">
      <alignment horizontal="center" vertical="center" wrapText="1"/>
    </xf>
    <xf numFmtId="167" fontId="27" fillId="0" borderId="202" xfId="6" applyNumberFormat="1" applyFont="1" applyFill="1" applyBorder="1" applyAlignment="1">
      <alignment horizontal="center" vertical="center"/>
    </xf>
    <xf numFmtId="3" fontId="27" fillId="0" borderId="199" xfId="1" applyNumberFormat="1" applyFont="1" applyBorder="1" applyAlignment="1">
      <alignment horizontal="center" vertical="center"/>
    </xf>
    <xf numFmtId="4" fontId="25" fillId="0" borderId="20" xfId="0" applyNumberFormat="1" applyFont="1" applyBorder="1" applyAlignment="1">
      <alignment horizontal="center" vertical="center"/>
    </xf>
    <xf numFmtId="3" fontId="25" fillId="0" borderId="20" xfId="0" applyNumberFormat="1" applyFont="1" applyBorder="1" applyAlignment="1">
      <alignment horizontal="center" vertical="center"/>
    </xf>
    <xf numFmtId="9" fontId="80" fillId="0" borderId="202" xfId="0" applyNumberFormat="1" applyFont="1" applyBorder="1" applyAlignment="1">
      <alignment horizontal="center" vertical="center"/>
    </xf>
    <xf numFmtId="9" fontId="77" fillId="0" borderId="202" xfId="0" applyNumberFormat="1" applyFont="1" applyBorder="1" applyAlignment="1">
      <alignment horizontal="center" vertical="center"/>
    </xf>
    <xf numFmtId="4" fontId="25" fillId="0" borderId="20" xfId="1" applyNumberFormat="1" applyFont="1" applyBorder="1" applyAlignment="1">
      <alignment horizontal="center" vertical="center" wrapText="1"/>
    </xf>
    <xf numFmtId="4" fontId="25" fillId="0" borderId="201" xfId="1" applyNumberFormat="1" applyFont="1" applyBorder="1" applyAlignment="1">
      <alignment horizontal="center" vertical="center"/>
    </xf>
    <xf numFmtId="3" fontId="25" fillId="0" borderId="237" xfId="1" applyNumberFormat="1" applyFont="1" applyBorder="1" applyAlignment="1">
      <alignment horizontal="center" vertical="center"/>
    </xf>
    <xf numFmtId="9" fontId="36" fillId="0" borderId="238" xfId="7" applyFont="1" applyFill="1" applyBorder="1" applyAlignment="1">
      <alignment horizontal="center" vertical="center"/>
    </xf>
    <xf numFmtId="4" fontId="105" fillId="0" borderId="202" xfId="1" applyNumberFormat="1" applyFont="1" applyBorder="1" applyAlignment="1">
      <alignment horizontal="center" vertical="center" wrapText="1"/>
    </xf>
    <xf numFmtId="4" fontId="25" fillId="0" borderId="9" xfId="1" applyNumberFormat="1" applyFont="1" applyBorder="1" applyAlignment="1">
      <alignment horizontal="center" vertical="center"/>
    </xf>
    <xf numFmtId="9" fontId="26" fillId="0" borderId="239" xfId="7" applyFont="1" applyFill="1" applyBorder="1" applyAlignment="1">
      <alignment horizontal="center" vertical="center"/>
    </xf>
    <xf numFmtId="9" fontId="36" fillId="0" borderId="240" xfId="7" applyFont="1" applyFill="1" applyBorder="1" applyAlignment="1">
      <alignment horizontal="center" vertical="center"/>
    </xf>
    <xf numFmtId="3" fontId="25" fillId="0" borderId="199" xfId="1" applyNumberFormat="1" applyFont="1" applyBorder="1" applyAlignment="1">
      <alignment horizontal="center" vertical="center"/>
    </xf>
    <xf numFmtId="4" fontId="107" fillId="0" borderId="202" xfId="1" applyNumberFormat="1" applyFont="1" applyBorder="1" applyAlignment="1">
      <alignment horizontal="center" vertical="center" wrapText="1"/>
    </xf>
    <xf numFmtId="9" fontId="98" fillId="0" borderId="201" xfId="7" applyFont="1" applyFill="1" applyBorder="1" applyAlignment="1">
      <alignment horizontal="left" vertical="center" wrapText="1"/>
    </xf>
    <xf numFmtId="4" fontId="88" fillId="0" borderId="7" xfId="1" applyNumberFormat="1" applyFont="1" applyBorder="1" applyAlignment="1">
      <alignment horizontal="center" vertical="center"/>
    </xf>
    <xf numFmtId="9" fontId="98" fillId="0" borderId="202" xfId="7" applyFont="1" applyFill="1" applyBorder="1" applyAlignment="1">
      <alignment horizontal="left" vertical="center" wrapText="1"/>
    </xf>
    <xf numFmtId="9" fontId="98" fillId="0" borderId="198" xfId="7" applyFont="1" applyFill="1" applyBorder="1" applyAlignment="1">
      <alignment horizontal="left" vertical="center" wrapText="1"/>
    </xf>
    <xf numFmtId="10" fontId="26" fillId="0" borderId="79" xfId="1" applyNumberFormat="1" applyFont="1" applyBorder="1" applyAlignment="1">
      <alignment horizontal="center" vertical="center"/>
    </xf>
    <xf numFmtId="10" fontId="78" fillId="0" borderId="77" xfId="0" applyNumberFormat="1" applyFont="1" applyBorder="1" applyAlignment="1">
      <alignment horizontal="center" vertical="center"/>
    </xf>
    <xf numFmtId="10" fontId="26" fillId="0" borderId="76" xfId="1" applyNumberFormat="1" applyFont="1" applyBorder="1" applyAlignment="1">
      <alignment horizontal="center" vertical="center"/>
    </xf>
    <xf numFmtId="4" fontId="25" fillId="0" borderId="71" xfId="1" applyNumberFormat="1" applyFont="1" applyBorder="1" applyAlignment="1">
      <alignment horizontal="center" vertical="center"/>
    </xf>
    <xf numFmtId="4" fontId="25" fillId="0" borderId="72" xfId="1" applyNumberFormat="1" applyFont="1" applyBorder="1" applyAlignment="1">
      <alignment horizontal="center" vertical="center"/>
    </xf>
    <xf numFmtId="10" fontId="26" fillId="0" borderId="72" xfId="1" applyNumberFormat="1" applyFont="1" applyBorder="1" applyAlignment="1">
      <alignment horizontal="center" vertical="center"/>
    </xf>
    <xf numFmtId="10" fontId="26" fillId="0" borderId="75" xfId="1" applyNumberFormat="1" applyFont="1" applyBorder="1" applyAlignment="1">
      <alignment horizontal="center" vertical="center"/>
    </xf>
    <xf numFmtId="10" fontId="26" fillId="0" borderId="19" xfId="1" applyNumberFormat="1" applyFont="1" applyBorder="1" applyAlignment="1">
      <alignment horizontal="center" vertical="center"/>
    </xf>
    <xf numFmtId="10" fontId="26" fillId="0" borderId="106" xfId="1" applyNumberFormat="1" applyFont="1" applyBorder="1" applyAlignment="1">
      <alignment horizontal="center" vertical="center"/>
    </xf>
    <xf numFmtId="9" fontId="29" fillId="11" borderId="231" xfId="7" applyFont="1" applyFill="1" applyBorder="1" applyAlignment="1">
      <alignment horizontal="center" vertical="center"/>
    </xf>
    <xf numFmtId="9" fontId="29" fillId="11" borderId="228" xfId="7" applyFont="1" applyFill="1" applyBorder="1" applyAlignment="1">
      <alignment horizontal="center" vertical="center" wrapText="1"/>
    </xf>
    <xf numFmtId="4" fontId="24" fillId="20" borderId="228" xfId="0" applyNumberFormat="1" applyFont="1" applyFill="1" applyBorder="1" applyAlignment="1">
      <alignment horizontal="center" vertical="center"/>
    </xf>
    <xf numFmtId="4" fontId="24" fillId="20" borderId="231" xfId="0" applyNumberFormat="1" applyFont="1" applyFill="1" applyBorder="1" applyAlignment="1">
      <alignment horizontal="center" vertical="center"/>
    </xf>
    <xf numFmtId="4" fontId="24" fillId="11" borderId="235" xfId="1" applyNumberFormat="1" applyFont="1" applyFill="1" applyBorder="1" applyAlignment="1">
      <alignment horizontal="center" vertical="center"/>
    </xf>
    <xf numFmtId="4" fontId="24" fillId="11" borderId="233" xfId="1" applyNumberFormat="1" applyFont="1" applyFill="1" applyBorder="1" applyAlignment="1">
      <alignment horizontal="center" vertical="center"/>
    </xf>
    <xf numFmtId="9" fontId="36" fillId="11" borderId="233" xfId="7" applyFont="1" applyFill="1" applyBorder="1" applyAlignment="1">
      <alignment horizontal="center" vertical="center"/>
    </xf>
    <xf numFmtId="4" fontId="24" fillId="11" borderId="236" xfId="1" applyNumberFormat="1" applyFont="1" applyFill="1" applyBorder="1" applyAlignment="1">
      <alignment horizontal="center" vertical="center"/>
    </xf>
    <xf numFmtId="4" fontId="24" fillId="11" borderId="227" xfId="1" applyNumberFormat="1" applyFont="1" applyFill="1" applyBorder="1" applyAlignment="1">
      <alignment horizontal="center" vertical="center"/>
    </xf>
    <xf numFmtId="9" fontId="36" fillId="11" borderId="234" xfId="7" applyFont="1" applyFill="1" applyBorder="1" applyAlignment="1">
      <alignment horizontal="center" vertical="center"/>
    </xf>
    <xf numFmtId="4" fontId="24" fillId="11" borderId="234" xfId="1" applyNumberFormat="1" applyFont="1" applyFill="1" applyBorder="1" applyAlignment="1">
      <alignment horizontal="center" vertical="center"/>
    </xf>
    <xf numFmtId="0" fontId="27" fillId="0" borderId="231" xfId="1" applyFont="1" applyBorder="1" applyAlignment="1">
      <alignment horizontal="center" vertical="center"/>
    </xf>
    <xf numFmtId="0" fontId="77" fillId="0" borderId="227" xfId="0" applyFont="1" applyBorder="1" applyAlignment="1">
      <alignment horizontal="center" vertical="center"/>
    </xf>
    <xf numFmtId="0" fontId="27" fillId="0" borderId="230" xfId="1" applyFont="1" applyBorder="1" applyAlignment="1">
      <alignment horizontal="center" vertical="center" wrapText="1"/>
    </xf>
    <xf numFmtId="4" fontId="25" fillId="0" borderId="233" xfId="1" applyNumberFormat="1" applyFont="1" applyBorder="1" applyAlignment="1">
      <alignment horizontal="center" vertical="center"/>
    </xf>
    <xf numFmtId="3" fontId="27" fillId="0" borderId="233" xfId="6" applyNumberFormat="1" applyFont="1" applyFill="1" applyBorder="1" applyAlignment="1">
      <alignment horizontal="center" vertical="center"/>
    </xf>
    <xf numFmtId="0" fontId="27" fillId="0" borderId="236" xfId="1" applyFont="1" applyBorder="1" applyAlignment="1">
      <alignment horizontal="center" vertical="center" wrapText="1"/>
    </xf>
    <xf numFmtId="0" fontId="27" fillId="0" borderId="79" xfId="1" applyFont="1" applyBorder="1" applyAlignment="1">
      <alignment horizontal="center" vertical="center" wrapText="1"/>
    </xf>
    <xf numFmtId="0" fontId="27" fillId="0" borderId="76" xfId="1" applyFont="1" applyBorder="1" applyAlignment="1">
      <alignment horizontal="center" vertical="center" wrapText="1"/>
    </xf>
    <xf numFmtId="3" fontId="27" fillId="0" borderId="77" xfId="1" applyNumberFormat="1" applyFont="1" applyBorder="1" applyAlignment="1">
      <alignment horizontal="center" vertical="center" wrapText="1"/>
    </xf>
    <xf numFmtId="3" fontId="27" fillId="0" borderId="234" xfId="6" applyNumberFormat="1" applyFont="1" applyFill="1" applyBorder="1" applyAlignment="1">
      <alignment horizontal="center" vertical="center"/>
    </xf>
    <xf numFmtId="10" fontId="27" fillId="0" borderId="232" xfId="1" applyNumberFormat="1" applyFont="1" applyBorder="1" applyAlignment="1">
      <alignment horizontal="center" vertical="center"/>
    </xf>
    <xf numFmtId="10" fontId="27" fillId="0" borderId="222" xfId="1" applyNumberFormat="1" applyFont="1" applyBorder="1" applyAlignment="1">
      <alignment horizontal="center" vertical="center"/>
    </xf>
    <xf numFmtId="10" fontId="77" fillId="0" borderId="222" xfId="0" applyNumberFormat="1" applyFont="1" applyBorder="1" applyAlignment="1">
      <alignment horizontal="center" vertical="center"/>
    </xf>
    <xf numFmtId="10" fontId="27" fillId="0" borderId="223" xfId="1" applyNumberFormat="1" applyFont="1" applyBorder="1" applyAlignment="1">
      <alignment horizontal="center" vertical="center"/>
    </xf>
    <xf numFmtId="4" fontId="25" fillId="0" borderId="241" xfId="1" applyNumberFormat="1" applyFont="1" applyBorder="1" applyAlignment="1">
      <alignment horizontal="center" vertical="center"/>
    </xf>
    <xf numFmtId="4" fontId="25" fillId="0" borderId="224" xfId="1" applyNumberFormat="1" applyFont="1" applyBorder="1" applyAlignment="1">
      <alignment horizontal="center" vertical="center"/>
    </xf>
    <xf numFmtId="10" fontId="27" fillId="0" borderId="224" xfId="1" applyNumberFormat="1" applyFont="1" applyBorder="1" applyAlignment="1">
      <alignment horizontal="center" vertical="center"/>
    </xf>
    <xf numFmtId="10" fontId="27" fillId="0" borderId="225" xfId="1" applyNumberFormat="1" applyFont="1" applyBorder="1" applyAlignment="1">
      <alignment horizontal="center" vertical="center"/>
    </xf>
    <xf numFmtId="10" fontId="27" fillId="0" borderId="7" xfId="1" applyNumberFormat="1" applyFont="1" applyBorder="1" applyAlignment="1">
      <alignment horizontal="center" vertical="center"/>
    </xf>
    <xf numFmtId="10" fontId="27" fillId="0" borderId="9" xfId="1" applyNumberFormat="1" applyFont="1" applyBorder="1" applyAlignment="1">
      <alignment horizontal="center" vertical="center"/>
    </xf>
    <xf numFmtId="10" fontId="27" fillId="0" borderId="6" xfId="1" applyNumberFormat="1" applyFont="1" applyBorder="1" applyAlignment="1">
      <alignment horizontal="center" vertical="center"/>
    </xf>
    <xf numFmtId="10" fontId="27" fillId="0" borderId="226" xfId="1" applyNumberFormat="1" applyFont="1" applyBorder="1" applyAlignment="1">
      <alignment horizontal="center" vertical="center"/>
    </xf>
    <xf numFmtId="10" fontId="27" fillId="0" borderId="0" xfId="1" applyNumberFormat="1" applyFont="1" applyAlignment="1">
      <alignment horizontal="center" vertical="center"/>
    </xf>
    <xf numFmtId="4" fontId="20" fillId="21" borderId="56" xfId="0" applyNumberFormat="1" applyFont="1" applyFill="1" applyBorder="1" applyAlignment="1">
      <alignment horizontal="center" vertical="center"/>
    </xf>
    <xf numFmtId="10" fontId="24" fillId="3" borderId="62" xfId="0" applyNumberFormat="1" applyFont="1" applyFill="1" applyBorder="1" applyAlignment="1">
      <alignment horizontal="center" vertical="center"/>
    </xf>
    <xf numFmtId="10" fontId="24" fillId="3" borderId="63" xfId="0" applyNumberFormat="1" applyFont="1" applyFill="1" applyBorder="1" applyAlignment="1">
      <alignment horizontal="center" vertical="center"/>
    </xf>
    <xf numFmtId="0" fontId="24" fillId="0" borderId="223" xfId="1" applyFont="1" applyBorder="1" applyAlignment="1">
      <alignment vertical="center"/>
    </xf>
    <xf numFmtId="10" fontId="24" fillId="0" borderId="222" xfId="1" applyNumberFormat="1" applyFont="1" applyBorder="1" applyAlignment="1">
      <alignment horizontal="center" vertical="center"/>
    </xf>
    <xf numFmtId="10" fontId="24" fillId="0" borderId="222" xfId="0" applyNumberFormat="1" applyFont="1" applyBorder="1" applyAlignment="1">
      <alignment horizontal="center" vertical="center"/>
    </xf>
    <xf numFmtId="10" fontId="24" fillId="0" borderId="232" xfId="1" applyNumberFormat="1" applyFont="1" applyBorder="1" applyAlignment="1">
      <alignment horizontal="center" vertical="center"/>
    </xf>
    <xf numFmtId="10" fontId="24" fillId="0" borderId="223" xfId="1" applyNumberFormat="1" applyFont="1" applyBorder="1" applyAlignment="1">
      <alignment horizontal="center" vertical="center"/>
    </xf>
    <xf numFmtId="3" fontId="24" fillId="22" borderId="55" xfId="0" applyNumberFormat="1" applyFont="1" applyFill="1" applyBorder="1" applyAlignment="1">
      <alignment horizontal="center" vertical="center"/>
    </xf>
    <xf numFmtId="3" fontId="24" fillId="22" borderId="56" xfId="0" applyNumberFormat="1" applyFont="1" applyFill="1" applyBorder="1" applyAlignment="1">
      <alignment horizontal="center" vertical="center"/>
    </xf>
    <xf numFmtId="9" fontId="80" fillId="22" borderId="51" xfId="0" applyNumberFormat="1" applyFont="1" applyFill="1" applyBorder="1" applyAlignment="1">
      <alignment horizontal="center" vertical="center"/>
    </xf>
    <xf numFmtId="4" fontId="24" fillId="22" borderId="56" xfId="0" applyNumberFormat="1" applyFont="1" applyFill="1" applyBorder="1" applyAlignment="1">
      <alignment horizontal="center" vertical="center"/>
    </xf>
    <xf numFmtId="166" fontId="27" fillId="0" borderId="231" xfId="6" applyFont="1" applyFill="1" applyBorder="1" applyAlignment="1">
      <alignment horizontal="center" vertical="center"/>
    </xf>
    <xf numFmtId="166" fontId="27" fillId="0" borderId="227" xfId="6" applyFont="1" applyFill="1" applyBorder="1" applyAlignment="1">
      <alignment horizontal="center" vertical="center"/>
    </xf>
    <xf numFmtId="9" fontId="36" fillId="0" borderId="230" xfId="7" applyFont="1" applyFill="1" applyBorder="1" applyAlignment="1">
      <alignment horizontal="center" vertical="center"/>
    </xf>
    <xf numFmtId="9" fontId="27" fillId="0" borderId="231" xfId="7" applyFont="1" applyFill="1" applyBorder="1" applyAlignment="1">
      <alignment horizontal="center" vertical="center"/>
    </xf>
    <xf numFmtId="4" fontId="25" fillId="0" borderId="235" xfId="1" applyNumberFormat="1" applyFont="1" applyBorder="1" applyAlignment="1">
      <alignment horizontal="center" vertical="center"/>
    </xf>
    <xf numFmtId="9" fontId="27" fillId="0" borderId="231" xfId="7" applyFont="1" applyFill="1" applyBorder="1" applyAlignment="1">
      <alignment horizontal="center" vertical="center" wrapText="1"/>
    </xf>
    <xf numFmtId="166" fontId="27" fillId="0" borderId="198" xfId="6" applyFont="1" applyFill="1" applyBorder="1" applyAlignment="1">
      <alignment horizontal="center" vertical="center"/>
    </xf>
    <xf numFmtId="166" fontId="27" fillId="0" borderId="202" xfId="6" applyFont="1" applyFill="1" applyBorder="1" applyAlignment="1">
      <alignment horizontal="center" vertical="center"/>
    </xf>
    <xf numFmtId="10" fontId="77" fillId="0" borderId="202" xfId="0" applyNumberFormat="1" applyFont="1" applyBorder="1" applyAlignment="1">
      <alignment horizontal="center" vertical="center"/>
    </xf>
    <xf numFmtId="9" fontId="36" fillId="0" borderId="201" xfId="7" applyFont="1" applyFill="1" applyBorder="1" applyAlignment="1">
      <alignment horizontal="center" vertical="center"/>
    </xf>
    <xf numFmtId="4" fontId="25" fillId="0" borderId="237" xfId="1" applyNumberFormat="1" applyFont="1" applyBorder="1" applyAlignment="1">
      <alignment horizontal="center" vertical="center"/>
    </xf>
    <xf numFmtId="4" fontId="25" fillId="0" borderId="238" xfId="1" applyNumberFormat="1" applyFont="1" applyBorder="1" applyAlignment="1">
      <alignment horizontal="center" vertical="center"/>
    </xf>
    <xf numFmtId="10" fontId="27" fillId="0" borderId="238" xfId="1" applyNumberFormat="1" applyFont="1" applyBorder="1" applyAlignment="1">
      <alignment horizontal="center" vertical="center"/>
    </xf>
    <xf numFmtId="10" fontId="27" fillId="0" borderId="239" xfId="1" applyNumberFormat="1" applyFont="1" applyBorder="1" applyAlignment="1">
      <alignment horizontal="center" vertical="center"/>
    </xf>
    <xf numFmtId="10" fontId="98" fillId="0" borderId="7" xfId="1" applyNumberFormat="1" applyFont="1" applyBorder="1" applyAlignment="1">
      <alignment horizontal="center" vertical="center"/>
    </xf>
    <xf numFmtId="10" fontId="27" fillId="0" borderId="240" xfId="1" applyNumberFormat="1" applyFont="1" applyBorder="1" applyAlignment="1">
      <alignment horizontal="center" vertical="center"/>
    </xf>
    <xf numFmtId="0" fontId="24" fillId="4" borderId="0" xfId="1" applyFont="1" applyFill="1" applyAlignment="1">
      <alignment vertical="center"/>
    </xf>
    <xf numFmtId="3" fontId="24" fillId="22" borderId="80" xfId="0" applyNumberFormat="1" applyFont="1" applyFill="1" applyBorder="1" applyAlignment="1">
      <alignment horizontal="center" vertical="center"/>
    </xf>
    <xf numFmtId="4" fontId="24" fillId="22" borderId="79" xfId="0" applyNumberFormat="1" applyFont="1" applyFill="1" applyBorder="1" applyAlignment="1">
      <alignment horizontal="center" vertical="center"/>
    </xf>
    <xf numFmtId="0" fontId="27" fillId="0" borderId="79" xfId="1" applyFont="1" applyBorder="1" applyAlignment="1">
      <alignment horizontal="center" vertical="center"/>
    </xf>
    <xf numFmtId="0" fontId="27" fillId="0" borderId="76" xfId="1" applyFont="1" applyBorder="1" applyAlignment="1">
      <alignment horizontal="center" vertical="center"/>
    </xf>
    <xf numFmtId="3" fontId="27" fillId="0" borderId="227" xfId="1" applyNumberFormat="1" applyFont="1" applyBorder="1" applyAlignment="1">
      <alignment horizontal="center" vertical="center"/>
    </xf>
    <xf numFmtId="10" fontId="78" fillId="23" borderId="222" xfId="0" applyNumberFormat="1" applyFont="1" applyFill="1" applyBorder="1" applyAlignment="1">
      <alignment horizontal="center" vertical="center"/>
    </xf>
    <xf numFmtId="10" fontId="26" fillId="5" borderId="232" xfId="1" applyNumberFormat="1" applyFont="1" applyFill="1" applyBorder="1" applyAlignment="1">
      <alignment horizontal="center" vertical="center"/>
    </xf>
    <xf numFmtId="10" fontId="26" fillId="5" borderId="0" xfId="1" applyNumberFormat="1" applyFont="1" applyFill="1" applyAlignment="1">
      <alignment horizontal="center" vertical="center"/>
    </xf>
    <xf numFmtId="3" fontId="24" fillId="22" borderId="62" xfId="0" applyNumberFormat="1" applyFont="1" applyFill="1" applyBorder="1" applyAlignment="1">
      <alignment horizontal="center" vertical="center"/>
    </xf>
    <xf numFmtId="9" fontId="80" fillId="22" borderId="58" xfId="0" applyNumberFormat="1" applyFont="1" applyFill="1" applyBorder="1" applyAlignment="1">
      <alignment horizontal="center" vertical="center"/>
    </xf>
    <xf numFmtId="4" fontId="24" fillId="22" borderId="63" xfId="0" applyNumberFormat="1" applyFont="1" applyFill="1" applyBorder="1" applyAlignment="1">
      <alignment horizontal="center" vertical="center"/>
    </xf>
    <xf numFmtId="0" fontId="19" fillId="0" borderId="231" xfId="1" applyFont="1" applyBorder="1" applyAlignment="1">
      <alignment horizontal="left" vertical="center"/>
    </xf>
    <xf numFmtId="3" fontId="27" fillId="0" borderId="76" xfId="1" applyNumberFormat="1" applyFont="1" applyBorder="1" applyAlignment="1">
      <alignment horizontal="center" vertical="center"/>
    </xf>
    <xf numFmtId="4" fontId="26" fillId="0" borderId="79" xfId="1" applyNumberFormat="1" applyFont="1" applyBorder="1" applyAlignment="1">
      <alignment horizontal="center" vertical="center"/>
    </xf>
    <xf numFmtId="3" fontId="27" fillId="0" borderId="228" xfId="6" applyNumberFormat="1" applyFont="1" applyFill="1" applyBorder="1" applyAlignment="1">
      <alignment horizontal="center" vertical="center"/>
    </xf>
    <xf numFmtId="170" fontId="27" fillId="0" borderId="231" xfId="6" applyNumberFormat="1" applyFont="1" applyFill="1" applyBorder="1" applyAlignment="1">
      <alignment horizontal="center" vertical="center"/>
    </xf>
    <xf numFmtId="166" fontId="26" fillId="5" borderId="227" xfId="6" applyFont="1" applyFill="1" applyBorder="1" applyAlignment="1">
      <alignment horizontal="center" vertical="center"/>
    </xf>
    <xf numFmtId="167" fontId="26" fillId="5" borderId="227" xfId="6" applyNumberFormat="1" applyFont="1" applyFill="1" applyBorder="1" applyAlignment="1">
      <alignment horizontal="center" vertical="center"/>
    </xf>
    <xf numFmtId="10" fontId="26" fillId="5" borderId="227" xfId="1" applyNumberFormat="1" applyFont="1" applyFill="1" applyBorder="1" applyAlignment="1">
      <alignment horizontal="center" vertical="center"/>
    </xf>
    <xf numFmtId="9" fontId="39" fillId="5" borderId="227" xfId="7" applyFont="1" applyFill="1" applyBorder="1" applyAlignment="1">
      <alignment horizontal="center" vertical="center"/>
    </xf>
    <xf numFmtId="9" fontId="36" fillId="0" borderId="232" xfId="7" applyFont="1" applyFill="1" applyBorder="1" applyAlignment="1">
      <alignment horizontal="center" vertical="center"/>
    </xf>
    <xf numFmtId="9" fontId="29" fillId="4" borderId="227" xfId="7" applyFont="1" applyFill="1" applyBorder="1" applyAlignment="1">
      <alignment horizontal="center" vertical="center"/>
    </xf>
    <xf numFmtId="3" fontId="24" fillId="22" borderId="199" xfId="0" applyNumberFormat="1" applyFont="1" applyFill="1" applyBorder="1" applyAlignment="1">
      <alignment horizontal="center" vertical="center"/>
    </xf>
    <xf numFmtId="10" fontId="24" fillId="22" borderId="227" xfId="0" applyNumberFormat="1" applyFont="1" applyFill="1" applyBorder="1" applyAlignment="1">
      <alignment horizontal="center" vertical="center"/>
    </xf>
    <xf numFmtId="9" fontId="39" fillId="0" borderId="202" xfId="7" applyFont="1" applyFill="1" applyBorder="1" applyAlignment="1">
      <alignment horizontal="center" vertical="center"/>
    </xf>
    <xf numFmtId="9" fontId="39" fillId="0" borderId="202" xfId="7" applyFont="1" applyFill="1" applyBorder="1" applyAlignment="1">
      <alignment horizontal="center" vertical="center" wrapText="1"/>
    </xf>
    <xf numFmtId="10" fontId="78" fillId="0" borderId="202" xfId="0" applyNumberFormat="1" applyFont="1" applyBorder="1" applyAlignment="1">
      <alignment horizontal="center" vertical="center"/>
    </xf>
    <xf numFmtId="3" fontId="25" fillId="8" borderId="232" xfId="1" applyNumberFormat="1" applyFont="1" applyFill="1" applyBorder="1" applyAlignment="1">
      <alignment horizontal="center" vertical="center"/>
    </xf>
    <xf numFmtId="4" fontId="25" fillId="0" borderId="80" xfId="1" applyNumberFormat="1" applyFont="1" applyBorder="1" applyAlignment="1">
      <alignment horizontal="center" vertical="center"/>
    </xf>
    <xf numFmtId="3" fontId="25" fillId="8" borderId="229" xfId="1" applyNumberFormat="1" applyFont="1" applyFill="1" applyBorder="1" applyAlignment="1">
      <alignment horizontal="center" vertical="center"/>
    </xf>
    <xf numFmtId="10" fontId="26" fillId="0" borderId="7" xfId="1" applyNumberFormat="1" applyFont="1" applyBorder="1" applyAlignment="1">
      <alignment horizontal="center" vertical="center"/>
    </xf>
    <xf numFmtId="4" fontId="24" fillId="21" borderId="55" xfId="0" applyNumberFormat="1" applyFont="1" applyFill="1" applyBorder="1" applyAlignment="1">
      <alignment horizontal="center" vertical="center"/>
    </xf>
    <xf numFmtId="3" fontId="24" fillId="21" borderId="56" xfId="0" applyNumberFormat="1" applyFont="1" applyFill="1" applyBorder="1" applyAlignment="1">
      <alignment horizontal="center" vertical="center"/>
    </xf>
    <xf numFmtId="4" fontId="24" fillId="21" borderId="56" xfId="0" applyNumberFormat="1" applyFont="1" applyFill="1" applyBorder="1" applyAlignment="1">
      <alignment horizontal="center" vertical="center"/>
    </xf>
    <xf numFmtId="9" fontId="29" fillId="4" borderId="198" xfId="7" applyFont="1" applyFill="1" applyBorder="1" applyAlignment="1">
      <alignment horizontal="center" vertical="center"/>
    </xf>
    <xf numFmtId="9" fontId="29" fillId="4" borderId="199" xfId="7" applyFont="1" applyFill="1" applyBorder="1" applyAlignment="1">
      <alignment horizontal="center" vertical="center" wrapText="1"/>
    </xf>
    <xf numFmtId="3" fontId="24" fillId="22" borderId="198" xfId="0" applyNumberFormat="1" applyFont="1" applyFill="1" applyBorder="1" applyAlignment="1">
      <alignment horizontal="center" vertical="center"/>
    </xf>
    <xf numFmtId="4" fontId="24" fillId="22" borderId="198" xfId="0" applyNumberFormat="1" applyFont="1" applyFill="1" applyBorder="1" applyAlignment="1">
      <alignment horizontal="center" vertical="center"/>
    </xf>
    <xf numFmtId="4" fontId="24" fillId="4" borderId="201" xfId="1" applyNumberFormat="1" applyFont="1" applyFill="1" applyBorder="1" applyAlignment="1">
      <alignment horizontal="center" vertical="center"/>
    </xf>
    <xf numFmtId="10" fontId="77" fillId="0" borderId="58" xfId="0" applyNumberFormat="1" applyFont="1" applyBorder="1" applyAlignment="1">
      <alignment horizontal="center" vertical="center"/>
    </xf>
    <xf numFmtId="10" fontId="27" fillId="0" borderId="76" xfId="1" applyNumberFormat="1" applyFont="1" applyBorder="1" applyAlignment="1">
      <alignment horizontal="center" vertical="center"/>
    </xf>
    <xf numFmtId="10" fontId="27" fillId="0" borderId="19" xfId="1" applyNumberFormat="1" applyFont="1" applyBorder="1" applyAlignment="1">
      <alignment horizontal="center" vertical="center"/>
    </xf>
    <xf numFmtId="168" fontId="27" fillId="0" borderId="227" xfId="1" applyNumberFormat="1" applyFont="1" applyBorder="1" applyAlignment="1">
      <alignment horizontal="center" vertical="center"/>
    </xf>
    <xf numFmtId="9" fontId="39" fillId="0" borderId="227" xfId="7" applyFont="1" applyFill="1" applyBorder="1" applyAlignment="1">
      <alignment horizontal="center" vertical="center"/>
    </xf>
    <xf numFmtId="9" fontId="39" fillId="0" borderId="227" xfId="7" applyFont="1" applyFill="1" applyBorder="1" applyAlignment="1">
      <alignment horizontal="center" vertical="center" wrapText="1"/>
    </xf>
    <xf numFmtId="10" fontId="78" fillId="0" borderId="227" xfId="0" applyNumberFormat="1" applyFont="1" applyBorder="1" applyAlignment="1">
      <alignment horizontal="center" vertical="center"/>
    </xf>
    <xf numFmtId="10" fontId="26" fillId="0" borderId="230" xfId="1" applyNumberFormat="1" applyFont="1" applyBorder="1" applyAlignment="1">
      <alignment horizontal="center" vertical="center"/>
    </xf>
    <xf numFmtId="9" fontId="29" fillId="4" borderId="232" xfId="7" applyFont="1" applyFill="1" applyBorder="1" applyAlignment="1">
      <alignment horizontal="center" vertical="center"/>
    </xf>
    <xf numFmtId="9" fontId="29" fillId="4" borderId="229" xfId="7" applyFont="1" applyFill="1" applyBorder="1" applyAlignment="1">
      <alignment horizontal="center" vertical="center" wrapText="1"/>
    </xf>
    <xf numFmtId="3" fontId="27" fillId="0" borderId="62" xfId="1" applyNumberFormat="1" applyFont="1" applyBorder="1" applyAlignment="1">
      <alignment horizontal="center" vertical="center"/>
    </xf>
    <xf numFmtId="3" fontId="77" fillId="0" borderId="58" xfId="0" applyNumberFormat="1" applyFont="1" applyBorder="1" applyAlignment="1">
      <alignment horizontal="center" vertical="center"/>
    </xf>
    <xf numFmtId="0" fontId="77" fillId="0" borderId="77" xfId="0" applyFont="1" applyBorder="1" applyAlignment="1">
      <alignment horizontal="center" vertical="center"/>
    </xf>
    <xf numFmtId="9" fontId="38" fillId="6" borderId="231" xfId="7" applyFont="1" applyFill="1" applyBorder="1" applyAlignment="1">
      <alignment horizontal="center" vertical="center"/>
    </xf>
    <xf numFmtId="9" fontId="38" fillId="6" borderId="228" xfId="7" applyFont="1" applyFill="1" applyBorder="1" applyAlignment="1">
      <alignment horizontal="center" vertical="center" wrapText="1"/>
    </xf>
    <xf numFmtId="3" fontId="28" fillId="21" borderId="228" xfId="0" applyNumberFormat="1" applyFont="1" applyFill="1" applyBorder="1" applyAlignment="1">
      <alignment horizontal="center" vertical="center"/>
    </xf>
    <xf numFmtId="3" fontId="28" fillId="21" borderId="231" xfId="0" applyNumberFormat="1" applyFont="1" applyFill="1" applyBorder="1" applyAlignment="1">
      <alignment horizontal="center" vertical="center"/>
    </xf>
    <xf numFmtId="4" fontId="28" fillId="21" borderId="231" xfId="0" applyNumberFormat="1" applyFont="1" applyFill="1" applyBorder="1" applyAlignment="1">
      <alignment horizontal="center" vertical="center"/>
    </xf>
    <xf numFmtId="4" fontId="28" fillId="6" borderId="230" xfId="1" applyNumberFormat="1" applyFont="1" applyFill="1" applyBorder="1" applyAlignment="1">
      <alignment horizontal="center" vertical="center"/>
    </xf>
    <xf numFmtId="9" fontId="29" fillId="8" borderId="232" xfId="7" applyFont="1" applyFill="1" applyBorder="1" applyAlignment="1">
      <alignment horizontal="center" vertical="center"/>
    </xf>
    <xf numFmtId="9" fontId="29" fillId="8" borderId="229" xfId="7" applyFont="1" applyFill="1" applyBorder="1" applyAlignment="1">
      <alignment horizontal="center" vertical="center" wrapText="1"/>
    </xf>
    <xf numFmtId="3" fontId="24" fillId="23" borderId="232" xfId="0" applyNumberFormat="1" applyFont="1" applyFill="1" applyBorder="1" applyAlignment="1">
      <alignment horizontal="center" vertical="center"/>
    </xf>
    <xf numFmtId="4" fontId="24" fillId="23" borderId="232" xfId="0" applyNumberFormat="1" applyFont="1" applyFill="1" applyBorder="1" applyAlignment="1">
      <alignment horizontal="center" vertical="center"/>
    </xf>
    <xf numFmtId="4" fontId="24" fillId="8" borderId="199" xfId="1" applyNumberFormat="1" applyFont="1" applyFill="1" applyBorder="1" applyAlignment="1">
      <alignment horizontal="center" vertical="center"/>
    </xf>
    <xf numFmtId="4" fontId="25" fillId="0" borderId="58" xfId="0" applyNumberFormat="1" applyFont="1" applyBorder="1" applyAlignment="1">
      <alignment horizontal="center" vertical="center"/>
    </xf>
    <xf numFmtId="3" fontId="77" fillId="0" borderId="63" xfId="0" applyNumberFormat="1" applyFont="1" applyBorder="1" applyAlignment="1">
      <alignment horizontal="center" vertical="center"/>
    </xf>
    <xf numFmtId="0" fontId="77" fillId="0" borderId="58" xfId="0" applyFont="1" applyBorder="1" applyAlignment="1">
      <alignment horizontal="center" vertical="center"/>
    </xf>
    <xf numFmtId="0" fontId="26" fillId="0" borderId="76" xfId="1" applyFont="1" applyBorder="1" applyAlignment="1">
      <alignment horizontal="center" vertical="center" wrapText="1"/>
    </xf>
    <xf numFmtId="4" fontId="24" fillId="6" borderId="228" xfId="1" applyNumberFormat="1" applyFont="1" applyFill="1" applyBorder="1" applyAlignment="1">
      <alignment horizontal="center" vertical="center"/>
    </xf>
    <xf numFmtId="9" fontId="29" fillId="6" borderId="231" xfId="7" applyFont="1" applyFill="1" applyBorder="1" applyAlignment="1">
      <alignment horizontal="center" vertical="center"/>
    </xf>
    <xf numFmtId="9" fontId="29" fillId="6" borderId="228" xfId="7" applyFont="1" applyFill="1" applyBorder="1" applyAlignment="1">
      <alignment horizontal="center" vertical="center" wrapText="1"/>
    </xf>
    <xf numFmtId="3" fontId="24" fillId="21" borderId="231" xfId="0" applyNumberFormat="1" applyFont="1" applyFill="1" applyBorder="1" applyAlignment="1">
      <alignment horizontal="center" vertical="center"/>
    </xf>
    <xf numFmtId="4" fontId="24" fillId="21" borderId="231" xfId="0" applyNumberFormat="1" applyFont="1" applyFill="1" applyBorder="1" applyAlignment="1">
      <alignment horizontal="center" vertical="center"/>
    </xf>
    <xf numFmtId="4" fontId="24" fillId="6" borderId="227" xfId="1" applyNumberFormat="1" applyFont="1" applyFill="1" applyBorder="1" applyAlignment="1">
      <alignment horizontal="center" vertical="center"/>
    </xf>
    <xf numFmtId="3" fontId="20" fillId="0" borderId="0" xfId="1" applyNumberFormat="1" applyFont="1" applyAlignment="1">
      <alignment vertical="center"/>
    </xf>
    <xf numFmtId="9" fontId="29" fillId="3" borderId="198" xfId="7" applyFont="1" applyFill="1" applyBorder="1" applyAlignment="1">
      <alignment horizontal="center" vertical="center"/>
    </xf>
    <xf numFmtId="9" fontId="29" fillId="3" borderId="199" xfId="7" applyFont="1" applyFill="1" applyBorder="1" applyAlignment="1">
      <alignment horizontal="center" vertical="center" wrapText="1"/>
    </xf>
    <xf numFmtId="9" fontId="24" fillId="3" borderId="199" xfId="0" applyNumberFormat="1" applyFont="1" applyFill="1" applyBorder="1" applyAlignment="1">
      <alignment horizontal="center" vertical="center"/>
    </xf>
    <xf numFmtId="3" fontId="24" fillId="3" borderId="199" xfId="0" applyNumberFormat="1" applyFont="1" applyFill="1" applyBorder="1" applyAlignment="1">
      <alignment horizontal="center" vertical="center"/>
    </xf>
    <xf numFmtId="9" fontId="24" fillId="3" borderId="198" xfId="0" applyNumberFormat="1" applyFont="1" applyFill="1" applyBorder="1" applyAlignment="1">
      <alignment horizontal="center" vertical="center"/>
    </xf>
    <xf numFmtId="10" fontId="24" fillId="3" borderId="198" xfId="0" applyNumberFormat="1" applyFont="1" applyFill="1" applyBorder="1" applyAlignment="1">
      <alignment horizontal="center" vertical="center"/>
    </xf>
    <xf numFmtId="10" fontId="24" fillId="3" borderId="201" xfId="1" applyNumberFormat="1" applyFont="1" applyFill="1" applyBorder="1" applyAlignment="1">
      <alignment horizontal="center" vertical="center"/>
    </xf>
    <xf numFmtId="4" fontId="19" fillId="0" borderId="0" xfId="0" applyNumberFormat="1" applyFont="1" applyAlignment="1">
      <alignment horizontal="center" vertical="center"/>
    </xf>
    <xf numFmtId="3" fontId="79" fillId="24" borderId="0" xfId="0" applyNumberFormat="1" applyFont="1" applyFill="1" applyAlignment="1">
      <alignment horizontal="center" vertical="center"/>
    </xf>
    <xf numFmtId="4" fontId="16" fillId="0" borderId="0" xfId="0" applyNumberFormat="1" applyFont="1" applyAlignment="1">
      <alignment horizontal="center" vertical="center"/>
    </xf>
    <xf numFmtId="0" fontId="19" fillId="0" borderId="242" xfId="1" applyFont="1" applyBorder="1" applyAlignment="1">
      <alignment horizontal="left" vertical="center"/>
    </xf>
    <xf numFmtId="0" fontId="24" fillId="0" borderId="242" xfId="1" applyFont="1" applyBorder="1" applyAlignment="1">
      <alignment vertical="center"/>
    </xf>
    <xf numFmtId="0" fontId="19" fillId="0" borderId="242" xfId="1" applyFont="1" applyBorder="1" applyAlignment="1">
      <alignment vertical="center"/>
    </xf>
    <xf numFmtId="4" fontId="33" fillId="11" borderId="51" xfId="1" applyNumberFormat="1" applyFont="1" applyFill="1" applyBorder="1" applyAlignment="1">
      <alignment horizontal="center" vertical="center"/>
    </xf>
    <xf numFmtId="4" fontId="109" fillId="0" borderId="77" xfId="1" applyNumberFormat="1" applyFont="1" applyBorder="1" applyAlignment="1">
      <alignment horizontal="center" vertical="center"/>
    </xf>
    <xf numFmtId="9" fontId="174" fillId="0" borderId="77" xfId="7" applyFont="1" applyFill="1" applyBorder="1" applyAlignment="1">
      <alignment horizontal="center" vertical="center" wrapText="1"/>
    </xf>
    <xf numFmtId="10" fontId="174" fillId="0" borderId="77" xfId="1" applyNumberFormat="1" applyFont="1" applyBorder="1" applyAlignment="1">
      <alignment horizontal="center" vertical="center"/>
    </xf>
    <xf numFmtId="10" fontId="33" fillId="3" borderId="63" xfId="1" applyNumberFormat="1" applyFont="1" applyFill="1" applyBorder="1" applyAlignment="1">
      <alignment horizontal="center" vertical="center"/>
    </xf>
    <xf numFmtId="4" fontId="33" fillId="4" borderId="63" xfId="1" applyNumberFormat="1" applyFont="1" applyFill="1" applyBorder="1" applyAlignment="1">
      <alignment horizontal="center" vertical="center"/>
    </xf>
    <xf numFmtId="10" fontId="174" fillId="0" borderId="20" xfId="1" applyNumberFormat="1" applyFont="1" applyBorder="1" applyAlignment="1">
      <alignment horizontal="center" vertical="center"/>
    </xf>
    <xf numFmtId="4" fontId="33" fillId="6" borderId="56" xfId="1" applyNumberFormat="1" applyFont="1" applyFill="1" applyBorder="1" applyAlignment="1">
      <alignment horizontal="center" vertical="center"/>
    </xf>
    <xf numFmtId="10" fontId="173" fillId="0" borderId="58" xfId="1" applyNumberFormat="1" applyFont="1" applyBorder="1" applyAlignment="1">
      <alignment horizontal="center" vertical="center"/>
    </xf>
    <xf numFmtId="0" fontId="173" fillId="0" borderId="77" xfId="1" applyFont="1" applyBorder="1" applyAlignment="1">
      <alignment horizontal="center" vertical="center"/>
    </xf>
    <xf numFmtId="0" fontId="24" fillId="3" borderId="242" xfId="1" applyFont="1" applyFill="1" applyBorder="1" applyAlignment="1">
      <alignment vertical="center"/>
    </xf>
    <xf numFmtId="4" fontId="82" fillId="0" borderId="0" xfId="1" applyNumberFormat="1" applyFont="1" applyAlignment="1">
      <alignment horizontal="center" vertical="center"/>
    </xf>
    <xf numFmtId="9" fontId="71" fillId="0" borderId="231" xfId="7" applyFont="1" applyFill="1" applyBorder="1" applyAlignment="1">
      <alignment horizontal="center" vertical="center"/>
    </xf>
    <xf numFmtId="4" fontId="25" fillId="0" borderId="227" xfId="1" applyNumberFormat="1" applyFont="1" applyBorder="1" applyAlignment="1">
      <alignment horizontal="center" vertical="center" wrapText="1"/>
    </xf>
    <xf numFmtId="3" fontId="25" fillId="0" borderId="227" xfId="1" applyNumberFormat="1" applyFont="1" applyBorder="1" applyAlignment="1">
      <alignment horizontal="center" vertical="center"/>
    </xf>
    <xf numFmtId="10" fontId="71" fillId="0" borderId="7" xfId="1" applyNumberFormat="1" applyFont="1" applyBorder="1" applyAlignment="1">
      <alignment horizontal="center" vertical="center"/>
    </xf>
    <xf numFmtId="10" fontId="71" fillId="0" borderId="20" xfId="1" applyNumberFormat="1" applyFont="1" applyBorder="1" applyAlignment="1">
      <alignment horizontal="center" vertical="center"/>
    </xf>
    <xf numFmtId="4" fontId="72" fillId="4" borderId="79" xfId="1" applyNumberFormat="1" applyFont="1" applyFill="1" applyBorder="1" applyAlignment="1">
      <alignment horizontal="center" vertical="center"/>
    </xf>
    <xf numFmtId="10" fontId="68" fillId="5" borderId="198" xfId="1" applyNumberFormat="1" applyFont="1" applyFill="1" applyBorder="1" applyAlignment="1">
      <alignment horizontal="center" vertical="center"/>
    </xf>
    <xf numFmtId="0" fontId="24" fillId="4" borderId="8" xfId="1" applyFont="1" applyFill="1" applyBorder="1" applyAlignment="1">
      <alignment vertical="center"/>
    </xf>
    <xf numFmtId="10" fontId="24" fillId="4" borderId="20" xfId="1" applyNumberFormat="1" applyFont="1" applyFill="1" applyBorder="1" applyAlignment="1">
      <alignment horizontal="center" vertical="center"/>
    </xf>
    <xf numFmtId="4" fontId="24" fillId="4" borderId="7" xfId="1" applyNumberFormat="1" applyFont="1" applyFill="1" applyBorder="1" applyAlignment="1">
      <alignment horizontal="center" vertical="center"/>
    </xf>
    <xf numFmtId="10" fontId="24" fillId="4" borderId="9" xfId="1" applyNumberFormat="1" applyFont="1" applyFill="1" applyBorder="1" applyAlignment="1">
      <alignment horizontal="center" vertical="center"/>
    </xf>
    <xf numFmtId="10" fontId="72" fillId="4" borderId="20" xfId="1" applyNumberFormat="1" applyFont="1" applyFill="1" applyBorder="1" applyAlignment="1">
      <alignment horizontal="center" vertical="center"/>
    </xf>
    <xf numFmtId="10" fontId="72" fillId="4" borderId="9" xfId="1" applyNumberFormat="1" applyFont="1" applyFill="1" applyBorder="1" applyAlignment="1">
      <alignment horizontal="center" vertical="center"/>
    </xf>
    <xf numFmtId="10" fontId="24" fillId="4" borderId="7" xfId="1" applyNumberFormat="1" applyFont="1" applyFill="1" applyBorder="1" applyAlignment="1">
      <alignment horizontal="center" vertical="center"/>
    </xf>
    <xf numFmtId="9" fontId="71" fillId="0" borderId="202" xfId="7" applyFont="1" applyFill="1" applyBorder="1" applyAlignment="1">
      <alignment horizontal="center" vertical="center"/>
    </xf>
    <xf numFmtId="3" fontId="68" fillId="0" borderId="77" xfId="1" applyNumberFormat="1" applyFont="1" applyBorder="1" applyAlignment="1">
      <alignment horizontal="center" vertical="center"/>
    </xf>
    <xf numFmtId="10" fontId="71" fillId="0" borderId="202" xfId="1" applyNumberFormat="1" applyFont="1" applyBorder="1" applyAlignment="1">
      <alignment horizontal="center" vertical="center"/>
    </xf>
    <xf numFmtId="0" fontId="24" fillId="0" borderId="56" xfId="1" applyFont="1" applyBorder="1" applyAlignment="1">
      <alignment horizontal="center" vertical="center" shrinkToFit="1"/>
    </xf>
    <xf numFmtId="0" fontId="24" fillId="6" borderId="1" xfId="1" applyFont="1" applyFill="1" applyBorder="1" applyAlignment="1">
      <alignment vertical="center" shrinkToFit="1"/>
    </xf>
    <xf numFmtId="4" fontId="20" fillId="6" borderId="56" xfId="1" applyNumberFormat="1" applyFont="1" applyFill="1" applyBorder="1" applyAlignment="1">
      <alignment horizontal="center" vertical="center" shrinkToFit="1"/>
    </xf>
    <xf numFmtId="4" fontId="73" fillId="6" borderId="56" xfId="1" applyNumberFormat="1" applyFont="1" applyFill="1" applyBorder="1" applyAlignment="1">
      <alignment horizontal="center" vertical="center" shrinkToFit="1"/>
    </xf>
    <xf numFmtId="3" fontId="20" fillId="6" borderId="56" xfId="1" applyNumberFormat="1" applyFont="1" applyFill="1" applyBorder="1" applyAlignment="1">
      <alignment horizontal="center" vertical="center" shrinkToFit="1"/>
    </xf>
    <xf numFmtId="0" fontId="16" fillId="0" borderId="0" xfId="1" applyAlignment="1">
      <alignment shrinkToFit="1"/>
    </xf>
    <xf numFmtId="3" fontId="72" fillId="3" borderId="62" xfId="1" applyNumberFormat="1" applyFont="1" applyFill="1" applyBorder="1" applyAlignment="1">
      <alignment horizontal="center" vertical="center"/>
    </xf>
    <xf numFmtId="10" fontId="72" fillId="0" borderId="202" xfId="1" applyNumberFormat="1" applyFont="1" applyBorder="1" applyAlignment="1">
      <alignment horizontal="center" vertical="center"/>
    </xf>
    <xf numFmtId="3" fontId="71" fillId="0" borderId="36" xfId="1" applyNumberFormat="1" applyFont="1" applyBorder="1" applyAlignment="1">
      <alignment horizontal="center" vertical="center"/>
    </xf>
    <xf numFmtId="10" fontId="68" fillId="5" borderId="202" xfId="1" applyNumberFormat="1" applyFont="1" applyFill="1" applyBorder="1" applyAlignment="1">
      <alignment horizontal="center" vertical="center"/>
    </xf>
    <xf numFmtId="3" fontId="24" fillId="4" borderId="20" xfId="1" applyNumberFormat="1" applyFont="1" applyFill="1" applyBorder="1" applyAlignment="1">
      <alignment horizontal="center" vertical="center"/>
    </xf>
    <xf numFmtId="4" fontId="72" fillId="4" borderId="199" xfId="1" applyNumberFormat="1" applyFont="1" applyFill="1" applyBorder="1" applyAlignment="1">
      <alignment horizontal="center" vertical="center"/>
    </xf>
    <xf numFmtId="10" fontId="72" fillId="3" borderId="199" xfId="1" applyNumberFormat="1" applyFont="1" applyFill="1" applyBorder="1" applyAlignment="1">
      <alignment horizontal="center" vertical="center"/>
    </xf>
    <xf numFmtId="38" fontId="20" fillId="6" borderId="56" xfId="1" applyNumberFormat="1" applyFont="1" applyFill="1" applyBorder="1" applyAlignment="1">
      <alignment horizontal="center" vertical="center" shrinkToFit="1"/>
    </xf>
    <xf numFmtId="3" fontId="16" fillId="0" borderId="0" xfId="1" applyNumberFormat="1" applyAlignment="1">
      <alignment horizontal="center" vertical="center" shrinkToFit="1"/>
    </xf>
    <xf numFmtId="3" fontId="16" fillId="0" borderId="0" xfId="1" applyNumberFormat="1" applyAlignment="1">
      <alignment horizontal="right" vertical="center" indent="1"/>
    </xf>
    <xf numFmtId="3" fontId="33" fillId="12" borderId="56" xfId="1" applyNumberFormat="1" applyFont="1" applyFill="1" applyBorder="1" applyAlignment="1">
      <alignment horizontal="center" vertical="center" wrapText="1"/>
    </xf>
    <xf numFmtId="3" fontId="24" fillId="11" borderId="56" xfId="1" applyNumberFormat="1" applyFont="1" applyFill="1" applyBorder="1" applyAlignment="1">
      <alignment horizontal="right" vertical="center" indent="1"/>
    </xf>
    <xf numFmtId="3" fontId="27" fillId="0" borderId="79" xfId="6" applyNumberFormat="1" applyFont="1" applyFill="1" applyBorder="1" applyAlignment="1">
      <alignment horizontal="right" vertical="center" indent="1"/>
    </xf>
    <xf numFmtId="3" fontId="26" fillId="0" borderId="63" xfId="1" applyNumberFormat="1" applyFont="1" applyBorder="1" applyAlignment="1">
      <alignment horizontal="right" vertical="center" indent="1"/>
    </xf>
    <xf numFmtId="3" fontId="20" fillId="6" borderId="56" xfId="1" applyNumberFormat="1" applyFont="1" applyFill="1" applyBorder="1" applyAlignment="1">
      <alignment horizontal="right" vertical="center" indent="1" shrinkToFit="1"/>
    </xf>
    <xf numFmtId="3" fontId="24" fillId="3" borderId="63" xfId="1" applyNumberFormat="1" applyFont="1" applyFill="1" applyBorder="1" applyAlignment="1">
      <alignment horizontal="right" vertical="center" indent="1"/>
    </xf>
    <xf numFmtId="3" fontId="24" fillId="4" borderId="79" xfId="1" applyNumberFormat="1" applyFont="1" applyFill="1" applyBorder="1" applyAlignment="1">
      <alignment horizontal="right" vertical="center" indent="1"/>
    </xf>
    <xf numFmtId="3" fontId="24" fillId="4" borderId="62" xfId="1" applyNumberFormat="1" applyFont="1" applyFill="1" applyBorder="1" applyAlignment="1">
      <alignment horizontal="right" vertical="center" indent="1"/>
    </xf>
    <xf numFmtId="3" fontId="27" fillId="0" borderId="6" xfId="6" applyNumberFormat="1" applyFont="1" applyFill="1" applyBorder="1" applyAlignment="1">
      <alignment horizontal="right" vertical="center" indent="1"/>
    </xf>
    <xf numFmtId="3" fontId="24" fillId="6" borderId="56" xfId="1" applyNumberFormat="1" applyFont="1" applyFill="1" applyBorder="1" applyAlignment="1">
      <alignment horizontal="right" vertical="center" indent="1"/>
    </xf>
    <xf numFmtId="3" fontId="27" fillId="0" borderId="63" xfId="1" applyNumberFormat="1" applyFont="1" applyBorder="1" applyAlignment="1">
      <alignment horizontal="right" vertical="center" indent="1"/>
    </xf>
    <xf numFmtId="3" fontId="24" fillId="6" borderId="79" xfId="1" applyNumberFormat="1" applyFont="1" applyFill="1" applyBorder="1" applyAlignment="1">
      <alignment horizontal="right" vertical="center" indent="1"/>
    </xf>
    <xf numFmtId="3" fontId="24" fillId="8" borderId="6" xfId="1" applyNumberFormat="1" applyFont="1" applyFill="1" applyBorder="1" applyAlignment="1">
      <alignment horizontal="right" vertical="center" indent="1"/>
    </xf>
    <xf numFmtId="3" fontId="27" fillId="0" borderId="63" xfId="6" applyNumberFormat="1" applyFont="1" applyFill="1" applyBorder="1" applyAlignment="1">
      <alignment horizontal="right" vertical="center" indent="1"/>
    </xf>
    <xf numFmtId="3" fontId="19" fillId="0" borderId="0" xfId="1" applyNumberFormat="1" applyFont="1" applyAlignment="1">
      <alignment horizontal="right" vertical="center" indent="1"/>
    </xf>
    <xf numFmtId="0" fontId="150" fillId="0" borderId="0" xfId="1" applyFont="1"/>
    <xf numFmtId="3" fontId="150" fillId="0" borderId="0" xfId="1" applyNumberFormat="1" applyFont="1" applyAlignment="1">
      <alignment horizontal="left" vertical="center"/>
    </xf>
    <xf numFmtId="9" fontId="82" fillId="0" borderId="77" xfId="7" applyFont="1" applyFill="1" applyBorder="1" applyAlignment="1">
      <alignment horizontal="center" vertical="center" wrapText="1"/>
    </xf>
    <xf numFmtId="9" fontId="173" fillId="0" borderId="77" xfId="7" applyFont="1" applyFill="1" applyBorder="1" applyAlignment="1">
      <alignment horizontal="center" vertical="center" wrapText="1"/>
    </xf>
    <xf numFmtId="4" fontId="33" fillId="4" borderId="79" xfId="1" applyNumberFormat="1" applyFont="1" applyFill="1" applyBorder="1" applyAlignment="1">
      <alignment horizontal="center" vertical="center"/>
    </xf>
    <xf numFmtId="10" fontId="33" fillId="4" borderId="20" xfId="1" applyNumberFormat="1" applyFont="1" applyFill="1" applyBorder="1" applyAlignment="1">
      <alignment horizontal="center" vertical="center"/>
    </xf>
    <xf numFmtId="3" fontId="26" fillId="0" borderId="77" xfId="1" applyNumberFormat="1" applyFont="1" applyBorder="1" applyAlignment="1">
      <alignment horizontal="center" vertical="center"/>
    </xf>
    <xf numFmtId="9" fontId="24" fillId="3" borderId="62" xfId="1" applyNumberFormat="1" applyFont="1" applyFill="1" applyBorder="1" applyAlignment="1">
      <alignment horizontal="center" vertical="center"/>
    </xf>
    <xf numFmtId="9" fontId="24" fillId="3" borderId="63" xfId="1" applyNumberFormat="1" applyFont="1" applyFill="1" applyBorder="1" applyAlignment="1">
      <alignment horizontal="center" vertical="center"/>
    </xf>
    <xf numFmtId="3" fontId="26" fillId="5" borderId="202" xfId="1" applyNumberFormat="1" applyFont="1" applyFill="1" applyBorder="1" applyAlignment="1">
      <alignment horizontal="center" vertical="center"/>
    </xf>
    <xf numFmtId="3" fontId="24" fillId="4" borderId="7" xfId="1" applyNumberFormat="1" applyFont="1" applyFill="1" applyBorder="1" applyAlignment="1">
      <alignment horizontal="center" vertical="center"/>
    </xf>
    <xf numFmtId="3" fontId="26" fillId="0" borderId="20" xfId="1" applyNumberFormat="1" applyFont="1" applyBorder="1" applyAlignment="1">
      <alignment horizontal="center" vertical="center"/>
    </xf>
    <xf numFmtId="3" fontId="33" fillId="12" borderId="55" xfId="1" applyNumberFormat="1" applyFont="1" applyFill="1" applyBorder="1" applyAlignment="1">
      <alignment horizontal="center" vertical="center" wrapText="1"/>
    </xf>
    <xf numFmtId="3" fontId="70" fillId="0" borderId="0" xfId="1" applyNumberFormat="1" applyFont="1" applyAlignment="1">
      <alignment horizontal="center" vertical="center"/>
    </xf>
    <xf numFmtId="4" fontId="176" fillId="0" borderId="0" xfId="1" applyNumberFormat="1" applyFont="1" applyAlignment="1">
      <alignment horizontal="center" vertical="center"/>
    </xf>
    <xf numFmtId="0" fontId="177" fillId="12" borderId="56" xfId="1" applyFont="1" applyFill="1" applyBorder="1" applyAlignment="1">
      <alignment horizontal="center" vertical="center" wrapText="1"/>
    </xf>
    <xf numFmtId="4" fontId="177" fillId="11" borderId="51" xfId="1" applyNumberFormat="1" applyFont="1" applyFill="1" applyBorder="1" applyAlignment="1">
      <alignment horizontal="center" vertical="center"/>
    </xf>
    <xf numFmtId="9" fontId="163" fillId="0" borderId="77" xfId="7" applyFont="1" applyFill="1" applyBorder="1" applyAlignment="1">
      <alignment horizontal="center" vertical="center" wrapText="1"/>
    </xf>
    <xf numFmtId="10" fontId="163" fillId="0" borderId="77" xfId="1" applyNumberFormat="1" applyFont="1" applyBorder="1" applyAlignment="1">
      <alignment horizontal="center" vertical="center"/>
    </xf>
    <xf numFmtId="4" fontId="178" fillId="6" borderId="56" xfId="1" applyNumberFormat="1" applyFont="1" applyFill="1" applyBorder="1" applyAlignment="1">
      <alignment horizontal="center" vertical="center" shrinkToFit="1"/>
    </xf>
    <xf numFmtId="10" fontId="177" fillId="3" borderId="63" xfId="1" applyNumberFormat="1" applyFont="1" applyFill="1" applyBorder="1" applyAlignment="1">
      <alignment horizontal="center" vertical="center"/>
    </xf>
    <xf numFmtId="4" fontId="177" fillId="4" borderId="63" xfId="1" applyNumberFormat="1" applyFont="1" applyFill="1" applyBorder="1" applyAlignment="1">
      <alignment horizontal="center" vertical="center"/>
    </xf>
    <xf numFmtId="4" fontId="177" fillId="4" borderId="79" xfId="1" applyNumberFormat="1" applyFont="1" applyFill="1" applyBorder="1" applyAlignment="1">
      <alignment horizontal="center" vertical="center"/>
    </xf>
    <xf numFmtId="4" fontId="163" fillId="0" borderId="77" xfId="1" applyNumberFormat="1" applyFont="1" applyBorder="1" applyAlignment="1">
      <alignment horizontal="center" vertical="center"/>
    </xf>
    <xf numFmtId="10" fontId="177" fillId="4" borderId="20" xfId="1" applyNumberFormat="1" applyFont="1" applyFill="1" applyBorder="1" applyAlignment="1">
      <alignment horizontal="center" vertical="center"/>
    </xf>
    <xf numFmtId="10" fontId="163" fillId="0" borderId="20" xfId="1" applyNumberFormat="1" applyFont="1" applyBorder="1" applyAlignment="1">
      <alignment horizontal="center" vertical="center"/>
    </xf>
    <xf numFmtId="4" fontId="177" fillId="6" borderId="56" xfId="1" applyNumberFormat="1" applyFont="1" applyFill="1" applyBorder="1" applyAlignment="1">
      <alignment horizontal="center" vertical="center"/>
    </xf>
    <xf numFmtId="10" fontId="163" fillId="0" borderId="58" xfId="1" applyNumberFormat="1" applyFont="1" applyBorder="1" applyAlignment="1">
      <alignment horizontal="center" vertical="center"/>
    </xf>
    <xf numFmtId="0" fontId="163" fillId="0" borderId="77" xfId="1" applyFont="1" applyBorder="1" applyAlignment="1">
      <alignment horizontal="center" vertical="center"/>
    </xf>
    <xf numFmtId="4" fontId="163" fillId="0" borderId="0" xfId="1" applyNumberFormat="1" applyFont="1" applyAlignment="1">
      <alignment horizontal="center" vertical="center"/>
    </xf>
    <xf numFmtId="0" fontId="27" fillId="0" borderId="77" xfId="1" applyFont="1" applyFill="1" applyBorder="1" applyAlignment="1">
      <alignment horizontal="center" vertical="center"/>
    </xf>
    <xf numFmtId="4" fontId="163" fillId="0" borderId="77" xfId="1" applyNumberFormat="1" applyFont="1" applyFill="1" applyBorder="1" applyAlignment="1">
      <alignment horizontal="center" vertical="center" wrapText="1"/>
    </xf>
    <xf numFmtId="0" fontId="18" fillId="7" borderId="3" xfId="1054" applyFont="1" applyFill="1" applyBorder="1" applyAlignment="1">
      <alignment horizontal="center" vertical="center" wrapText="1"/>
    </xf>
    <xf numFmtId="3" fontId="25" fillId="0" borderId="229" xfId="1" applyNumberFormat="1" applyFont="1" applyFill="1" applyBorder="1" applyAlignment="1">
      <alignment horizontal="center" vertical="center"/>
    </xf>
    <xf numFmtId="3" fontId="25" fillId="0" borderId="232" xfId="1" applyNumberFormat="1" applyFont="1" applyFill="1" applyBorder="1" applyAlignment="1">
      <alignment horizontal="center" vertical="center"/>
    </xf>
    <xf numFmtId="4" fontId="25" fillId="0" borderId="222" xfId="1" applyNumberFormat="1" applyFont="1" applyFill="1" applyBorder="1" applyAlignment="1">
      <alignment horizontal="center" vertical="center"/>
    </xf>
    <xf numFmtId="4" fontId="19" fillId="0" borderId="222" xfId="1" applyNumberFormat="1" applyFont="1" applyFill="1" applyBorder="1" applyAlignment="1">
      <alignment horizontal="center" vertical="center"/>
    </xf>
    <xf numFmtId="3" fontId="27" fillId="0" borderId="228" xfId="1" applyNumberFormat="1" applyFont="1" applyFill="1" applyBorder="1" applyAlignment="1">
      <alignment horizontal="center" vertical="center"/>
    </xf>
    <xf numFmtId="3" fontId="27" fillId="0" borderId="230" xfId="1" applyNumberFormat="1" applyFont="1" applyFill="1" applyBorder="1" applyAlignment="1">
      <alignment horizontal="center" vertical="center"/>
    </xf>
    <xf numFmtId="3" fontId="27" fillId="0" borderId="223" xfId="1" applyNumberFormat="1" applyFont="1" applyFill="1" applyBorder="1" applyAlignment="1">
      <alignment horizontal="center" vertical="center"/>
    </xf>
    <xf numFmtId="3" fontId="27" fillId="0" borderId="229" xfId="1" applyNumberFormat="1" applyFont="1" applyFill="1" applyBorder="1" applyAlignment="1">
      <alignment horizontal="center" vertical="center"/>
    </xf>
    <xf numFmtId="3" fontId="27" fillId="0" borderId="242" xfId="1" applyNumberFormat="1" applyFont="1" applyFill="1" applyBorder="1" applyAlignment="1">
      <alignment horizontal="center" vertical="center"/>
    </xf>
    <xf numFmtId="4" fontId="25" fillId="0" borderId="202" xfId="1" applyNumberFormat="1" applyFont="1" applyFill="1" applyBorder="1" applyAlignment="1">
      <alignment horizontal="center" vertical="center"/>
    </xf>
    <xf numFmtId="4" fontId="29" fillId="11" borderId="231" xfId="1" applyNumberFormat="1" applyFont="1" applyFill="1" applyBorder="1" applyAlignment="1">
      <alignment horizontal="center" vertical="center"/>
    </xf>
    <xf numFmtId="4" fontId="66" fillId="11" borderId="231" xfId="1" applyNumberFormat="1" applyFont="1" applyFill="1" applyBorder="1" applyAlignment="1">
      <alignment horizontal="center" vertical="center"/>
    </xf>
    <xf numFmtId="4" fontId="29" fillId="11" borderId="228" xfId="1" applyNumberFormat="1" applyFont="1" applyFill="1" applyBorder="1" applyAlignment="1">
      <alignment horizontal="center" vertical="center"/>
    </xf>
    <xf numFmtId="4" fontId="27" fillId="0" borderId="228" xfId="1" applyNumberFormat="1" applyFont="1" applyFill="1" applyBorder="1" applyAlignment="1">
      <alignment horizontal="center" vertical="center"/>
    </xf>
    <xf numFmtId="4" fontId="27" fillId="0" borderId="231" xfId="1" applyNumberFormat="1" applyFont="1" applyFill="1" applyBorder="1" applyAlignment="1">
      <alignment horizontal="center" vertical="center"/>
    </xf>
    <xf numFmtId="0" fontId="36" fillId="0" borderId="227" xfId="1" applyNumberFormat="1" applyFont="1" applyFill="1" applyBorder="1" applyAlignment="1">
      <alignment horizontal="center" vertical="center"/>
    </xf>
    <xf numFmtId="0" fontId="27" fillId="0" borderId="227" xfId="1" applyNumberFormat="1" applyFont="1" applyFill="1" applyBorder="1" applyAlignment="1">
      <alignment horizontal="center" vertical="center"/>
    </xf>
    <xf numFmtId="10" fontId="27" fillId="0" borderId="202" xfId="1" applyNumberFormat="1" applyFont="1" applyFill="1" applyBorder="1" applyAlignment="1">
      <alignment horizontal="center" vertical="center"/>
    </xf>
    <xf numFmtId="10" fontId="36" fillId="0" borderId="202" xfId="1" applyNumberFormat="1" applyFont="1" applyFill="1" applyBorder="1" applyAlignment="1">
      <alignment horizontal="center" vertical="center"/>
    </xf>
    <xf numFmtId="10" fontId="26" fillId="0" borderId="202" xfId="1" applyNumberFormat="1" applyFont="1" applyFill="1" applyBorder="1" applyAlignment="1">
      <alignment horizontal="center" vertical="center"/>
    </xf>
    <xf numFmtId="10" fontId="24" fillId="0" borderId="202" xfId="1" applyNumberFormat="1" applyFont="1" applyFill="1" applyBorder="1" applyAlignment="1">
      <alignment horizontal="center" vertical="center"/>
    </xf>
    <xf numFmtId="10" fontId="66" fillId="0" borderId="202" xfId="1" applyNumberFormat="1" applyFont="1" applyFill="1" applyBorder="1" applyAlignment="1">
      <alignment horizontal="center" vertical="center"/>
    </xf>
    <xf numFmtId="0" fontId="19" fillId="0" borderId="231" xfId="1" applyFont="1" applyFill="1" applyBorder="1" applyAlignment="1">
      <alignment vertical="center"/>
    </xf>
    <xf numFmtId="3" fontId="27" fillId="0" borderId="231" xfId="1" applyNumberFormat="1" applyFont="1" applyFill="1" applyBorder="1" applyAlignment="1">
      <alignment horizontal="center" vertical="center"/>
    </xf>
    <xf numFmtId="3" fontId="27" fillId="0" borderId="232" xfId="1" applyNumberFormat="1" applyFont="1" applyFill="1" applyBorder="1" applyAlignment="1">
      <alignment horizontal="center" vertical="center"/>
    </xf>
    <xf numFmtId="3" fontId="27" fillId="0" borderId="222" xfId="1" applyNumberFormat="1" applyFont="1" applyFill="1" applyBorder="1" applyAlignment="1">
      <alignment horizontal="center" vertical="center"/>
    </xf>
    <xf numFmtId="10" fontId="36" fillId="0" borderId="222" xfId="1" applyNumberFormat="1" applyFont="1" applyFill="1" applyBorder="1" applyAlignment="1">
      <alignment horizontal="center" vertical="center"/>
    </xf>
    <xf numFmtId="10" fontId="68" fillId="0" borderId="202" xfId="1" applyNumberFormat="1" applyFont="1" applyFill="1" applyBorder="1" applyAlignment="1">
      <alignment horizontal="center" vertical="center"/>
    </xf>
    <xf numFmtId="0" fontId="68" fillId="0" borderId="227" xfId="1" applyNumberFormat="1" applyFont="1" applyFill="1" applyBorder="1" applyAlignment="1">
      <alignment horizontal="center" vertical="center"/>
    </xf>
    <xf numFmtId="10" fontId="39" fillId="5" borderId="202" xfId="1" applyNumberFormat="1" applyFont="1" applyFill="1" applyBorder="1" applyAlignment="1">
      <alignment horizontal="center" vertical="center"/>
    </xf>
    <xf numFmtId="3" fontId="27" fillId="5" borderId="231" xfId="1" applyNumberFormat="1" applyFont="1" applyFill="1" applyBorder="1" applyAlignment="1">
      <alignment horizontal="center" vertical="center"/>
    </xf>
    <xf numFmtId="3" fontId="27" fillId="5" borderId="228" xfId="1" applyNumberFormat="1" applyFont="1" applyFill="1" applyBorder="1" applyAlignment="1">
      <alignment horizontal="center" vertical="center"/>
    </xf>
    <xf numFmtId="4" fontId="82" fillId="0" borderId="235" xfId="0" applyNumberFormat="1" applyFont="1" applyFill="1" applyBorder="1" applyAlignment="1" applyProtection="1">
      <alignment horizontal="center" vertical="center"/>
    </xf>
    <xf numFmtId="3" fontId="26" fillId="5" borderId="229" xfId="1" applyNumberFormat="1" applyFont="1" applyFill="1" applyBorder="1" applyAlignment="1">
      <alignment horizontal="center" vertical="center"/>
    </xf>
    <xf numFmtId="3" fontId="26" fillId="5" borderId="232" xfId="1" applyNumberFormat="1" applyFont="1" applyFill="1" applyBorder="1" applyAlignment="1">
      <alignment horizontal="center" vertical="center"/>
    </xf>
    <xf numFmtId="9" fontId="68" fillId="0" borderId="222" xfId="7" applyFont="1" applyFill="1" applyBorder="1" applyAlignment="1">
      <alignment horizontal="center" vertical="center"/>
    </xf>
    <xf numFmtId="4" fontId="29" fillId="4" borderId="199" xfId="1" applyNumberFormat="1" applyFont="1" applyFill="1" applyBorder="1" applyAlignment="1">
      <alignment horizontal="center" vertical="center"/>
    </xf>
    <xf numFmtId="3" fontId="26" fillId="0" borderId="228" xfId="1" applyNumberFormat="1" applyFont="1" applyFill="1" applyBorder="1" applyAlignment="1">
      <alignment horizontal="center" vertical="center"/>
    </xf>
    <xf numFmtId="3" fontId="26" fillId="0" borderId="231" xfId="1" applyNumberFormat="1" applyFont="1" applyFill="1" applyBorder="1" applyAlignment="1">
      <alignment horizontal="center" vertical="center"/>
    </xf>
    <xf numFmtId="3" fontId="26" fillId="0" borderId="227" xfId="1" applyNumberFormat="1" applyFont="1" applyFill="1" applyBorder="1" applyAlignment="1">
      <alignment horizontal="center" vertical="center"/>
    </xf>
    <xf numFmtId="10" fontId="39" fillId="0" borderId="227" xfId="1" applyNumberFormat="1" applyFont="1" applyFill="1" applyBorder="1" applyAlignment="1">
      <alignment horizontal="center" vertical="center"/>
    </xf>
    <xf numFmtId="10" fontId="26" fillId="0" borderId="227" xfId="1" applyNumberFormat="1" applyFont="1" applyFill="1" applyBorder="1" applyAlignment="1">
      <alignment horizontal="center" vertical="center"/>
    </xf>
    <xf numFmtId="10" fontId="68" fillId="0" borderId="227" xfId="1" applyNumberFormat="1" applyFont="1" applyFill="1" applyBorder="1" applyAlignment="1">
      <alignment horizontal="center" vertical="center"/>
    </xf>
    <xf numFmtId="4" fontId="69" fillId="6" borderId="231" xfId="1" applyNumberFormat="1" applyFont="1" applyFill="1" applyBorder="1" applyAlignment="1">
      <alignment horizontal="center" vertical="center"/>
    </xf>
    <xf numFmtId="4" fontId="29" fillId="6" borderId="231" xfId="1" applyNumberFormat="1" applyFont="1" applyFill="1" applyBorder="1" applyAlignment="1">
      <alignment horizontal="center" vertical="center"/>
    </xf>
    <xf numFmtId="10" fontId="29" fillId="3" borderId="199" xfId="1" applyNumberFormat="1" applyFont="1" applyFill="1" applyBorder="1" applyAlignment="1">
      <alignment horizontal="center" vertical="center"/>
    </xf>
    <xf numFmtId="0" fontId="19" fillId="0" borderId="229" xfId="1" applyFont="1" applyBorder="1" applyAlignment="1">
      <alignment horizontal="left" vertical="center"/>
    </xf>
    <xf numFmtId="4" fontId="25" fillId="0" borderId="222" xfId="1" applyNumberFormat="1" applyFont="1" applyFill="1" applyBorder="1" applyAlignment="1">
      <alignment horizontal="left" vertical="center"/>
    </xf>
    <xf numFmtId="4" fontId="25" fillId="0" borderId="222" xfId="1" applyNumberFormat="1" applyFont="1" applyFill="1" applyBorder="1" applyAlignment="1">
      <alignment horizontal="center" vertical="center" wrapText="1"/>
    </xf>
    <xf numFmtId="9" fontId="36" fillId="0" borderId="236" xfId="7" applyFont="1" applyFill="1" applyBorder="1" applyAlignment="1">
      <alignment horizontal="center" vertical="center"/>
    </xf>
    <xf numFmtId="0" fontId="19" fillId="0" borderId="231" xfId="1" applyFont="1" applyBorder="1" applyAlignment="1">
      <alignment vertical="center" wrapText="1"/>
    </xf>
    <xf numFmtId="9" fontId="99" fillId="0" borderId="236" xfId="7" applyFont="1" applyFill="1" applyBorder="1" applyAlignment="1">
      <alignment horizontal="center" vertical="center"/>
    </xf>
    <xf numFmtId="9" fontId="99" fillId="0" borderId="233" xfId="7" applyFont="1" applyFill="1" applyBorder="1" applyAlignment="1">
      <alignment horizontal="center" vertical="center"/>
    </xf>
    <xf numFmtId="4" fontId="88" fillId="0" borderId="222" xfId="1" applyNumberFormat="1" applyFont="1" applyFill="1" applyBorder="1" applyAlignment="1">
      <alignment horizontal="center" vertical="center" wrapText="1"/>
    </xf>
    <xf numFmtId="4" fontId="25" fillId="0" borderId="231" xfId="1" applyNumberFormat="1" applyFont="1" applyFill="1" applyBorder="1" applyAlignment="1">
      <alignment horizontal="center" vertical="center" wrapText="1"/>
    </xf>
    <xf numFmtId="9" fontId="36" fillId="0" borderId="243" xfId="7" applyFont="1" applyFill="1" applyBorder="1" applyAlignment="1">
      <alignment horizontal="center" vertical="center"/>
    </xf>
    <xf numFmtId="9" fontId="36" fillId="0" borderId="244" xfId="7" applyFont="1" applyFill="1" applyBorder="1" applyAlignment="1">
      <alignment horizontal="center" vertical="center"/>
    </xf>
    <xf numFmtId="0" fontId="19" fillId="0" borderId="230" xfId="1" applyFont="1" applyFill="1" applyBorder="1" applyAlignment="1">
      <alignment horizontal="left" vertical="center"/>
    </xf>
    <xf numFmtId="0" fontId="26" fillId="0" borderId="227" xfId="1" applyNumberFormat="1" applyFont="1" applyFill="1" applyBorder="1" applyAlignment="1">
      <alignment horizontal="center" vertical="center"/>
    </xf>
    <xf numFmtId="0" fontId="24" fillId="0" borderId="242" xfId="1" applyFont="1" applyFill="1" applyBorder="1" applyAlignment="1">
      <alignment vertical="center"/>
    </xf>
    <xf numFmtId="10" fontId="24" fillId="0" borderId="199" xfId="1" applyNumberFormat="1" applyFont="1" applyFill="1" applyBorder="1" applyAlignment="1">
      <alignment horizontal="center" vertical="center"/>
    </xf>
    <xf numFmtId="10" fontId="29" fillId="0" borderId="202" xfId="1" applyNumberFormat="1" applyFont="1" applyFill="1" applyBorder="1" applyAlignment="1">
      <alignment horizontal="center" vertical="center"/>
    </xf>
    <xf numFmtId="10" fontId="29" fillId="0" borderId="198" xfId="1" applyNumberFormat="1" applyFont="1" applyFill="1" applyBorder="1" applyAlignment="1">
      <alignment horizontal="center" vertical="center"/>
    </xf>
    <xf numFmtId="0" fontId="19" fillId="0" borderId="230" xfId="1" applyFont="1" applyFill="1" applyBorder="1" applyAlignment="1">
      <alignment vertical="center"/>
    </xf>
    <xf numFmtId="9" fontId="27" fillId="0" borderId="227" xfId="7" applyFont="1" applyFill="1" applyBorder="1" applyAlignment="1">
      <alignment horizontal="left" vertical="center"/>
    </xf>
    <xf numFmtId="0" fontId="19" fillId="0" borderId="223" xfId="1" applyFont="1" applyFill="1" applyBorder="1" applyAlignment="1">
      <alignment vertical="center"/>
    </xf>
    <xf numFmtId="0" fontId="19" fillId="0" borderId="230" xfId="1" applyFont="1" applyFill="1" applyBorder="1" applyAlignment="1">
      <alignment horizontal="left" vertical="center" wrapText="1"/>
    </xf>
    <xf numFmtId="0" fontId="19" fillId="0" borderId="223" xfId="1" applyFont="1" applyFill="1" applyBorder="1" applyAlignment="1">
      <alignment horizontal="left" vertical="center"/>
    </xf>
    <xf numFmtId="3" fontId="26" fillId="5" borderId="223" xfId="1" applyNumberFormat="1" applyFont="1" applyFill="1" applyBorder="1" applyAlignment="1">
      <alignment horizontal="center" vertical="center"/>
    </xf>
    <xf numFmtId="9" fontId="26" fillId="0" borderId="222" xfId="7" applyFont="1" applyFill="1" applyBorder="1" applyAlignment="1">
      <alignment horizontal="center" vertical="center"/>
    </xf>
    <xf numFmtId="4" fontId="66" fillId="4" borderId="198" xfId="1" applyNumberFormat="1" applyFont="1" applyFill="1" applyBorder="1" applyAlignment="1">
      <alignment horizontal="center" vertical="center"/>
    </xf>
    <xf numFmtId="2" fontId="27" fillId="0" borderId="227" xfId="7" applyNumberFormat="1" applyFont="1" applyFill="1" applyBorder="1" applyAlignment="1">
      <alignment horizontal="center" vertical="center"/>
    </xf>
    <xf numFmtId="0" fontId="154" fillId="0" borderId="227" xfId="1" applyNumberFormat="1" applyFont="1" applyFill="1" applyBorder="1" applyAlignment="1">
      <alignment horizontal="center" vertical="center"/>
    </xf>
    <xf numFmtId="0" fontId="36" fillId="0" borderId="222" xfId="1" applyNumberFormat="1" applyFont="1" applyFill="1" applyBorder="1" applyAlignment="1">
      <alignment horizontal="center" vertical="center"/>
    </xf>
    <xf numFmtId="4" fontId="66" fillId="8" borderId="198" xfId="1" applyNumberFormat="1" applyFont="1" applyFill="1" applyBorder="1" applyAlignment="1">
      <alignment horizontal="center" vertical="center"/>
    </xf>
    <xf numFmtId="4" fontId="66" fillId="6" borderId="231" xfId="1" applyNumberFormat="1" applyFont="1" applyFill="1" applyBorder="1" applyAlignment="1">
      <alignment horizontal="center" vertical="center"/>
    </xf>
    <xf numFmtId="10" fontId="66" fillId="3" borderId="198" xfId="1" applyNumberFormat="1" applyFont="1" applyFill="1" applyBorder="1" applyAlignment="1">
      <alignment horizontal="center" vertical="center"/>
    </xf>
    <xf numFmtId="0" fontId="19" fillId="0" borderId="232" xfId="1054" applyFont="1" applyBorder="1" applyAlignment="1">
      <alignment horizontal="left" vertical="center"/>
    </xf>
    <xf numFmtId="3" fontId="25" fillId="0" borderId="229" xfId="1054" applyNumberFormat="1" applyFont="1" applyFill="1" applyBorder="1" applyAlignment="1">
      <alignment horizontal="center" vertical="center"/>
    </xf>
    <xf numFmtId="3" fontId="25" fillId="0" borderId="232" xfId="1054" applyNumberFormat="1" applyFont="1" applyFill="1" applyBorder="1" applyAlignment="1">
      <alignment horizontal="center" vertical="center"/>
    </xf>
    <xf numFmtId="4" fontId="25" fillId="0" borderId="222" xfId="1054" applyNumberFormat="1" applyFont="1" applyFill="1" applyBorder="1" applyAlignment="1">
      <alignment horizontal="center" vertical="center"/>
    </xf>
    <xf numFmtId="4" fontId="19" fillId="0" borderId="222" xfId="1054" applyNumberFormat="1" applyFont="1" applyFill="1" applyBorder="1" applyAlignment="1">
      <alignment horizontal="center" vertical="center"/>
    </xf>
    <xf numFmtId="0" fontId="19" fillId="0" borderId="231" xfId="1054" applyFont="1" applyBorder="1" applyAlignment="1">
      <alignment vertical="center"/>
    </xf>
    <xf numFmtId="3" fontId="27" fillId="0" borderId="228" xfId="1054" applyNumberFormat="1" applyFont="1" applyFill="1" applyBorder="1" applyAlignment="1">
      <alignment horizontal="center" vertical="center"/>
    </xf>
    <xf numFmtId="3" fontId="27" fillId="0" borderId="230" xfId="1054" applyNumberFormat="1" applyFont="1" applyFill="1" applyBorder="1" applyAlignment="1">
      <alignment horizontal="center" vertical="center"/>
    </xf>
    <xf numFmtId="0" fontId="19" fillId="0" borderId="232" xfId="1054" applyFont="1" applyBorder="1" applyAlignment="1">
      <alignment vertical="center"/>
    </xf>
    <xf numFmtId="3" fontId="27" fillId="0" borderId="223" xfId="1054" applyNumberFormat="1" applyFont="1" applyFill="1" applyBorder="1" applyAlignment="1">
      <alignment horizontal="center" vertical="center"/>
    </xf>
    <xf numFmtId="3" fontId="27" fillId="0" borderId="229" xfId="1054" applyNumberFormat="1" applyFont="1" applyFill="1" applyBorder="1" applyAlignment="1">
      <alignment horizontal="center" vertical="center"/>
    </xf>
    <xf numFmtId="3" fontId="27" fillId="0" borderId="242" xfId="1054" applyNumberFormat="1" applyFont="1" applyFill="1" applyBorder="1" applyAlignment="1">
      <alignment horizontal="center" vertical="center"/>
    </xf>
    <xf numFmtId="3" fontId="25" fillId="0" borderId="198" xfId="1054" applyNumberFormat="1" applyFont="1" applyFill="1" applyBorder="1" applyAlignment="1">
      <alignment horizontal="center" vertical="center"/>
    </xf>
    <xf numFmtId="0" fontId="24" fillId="11" borderId="231" xfId="1054" applyFont="1" applyFill="1" applyBorder="1" applyAlignment="1">
      <alignment vertical="center"/>
    </xf>
    <xf numFmtId="4" fontId="24" fillId="11" borderId="228" xfId="1054" applyNumberFormat="1" applyFont="1" applyFill="1" applyBorder="1" applyAlignment="1">
      <alignment horizontal="center" vertical="center"/>
    </xf>
    <xf numFmtId="4" fontId="24" fillId="11" borderId="231" xfId="1054" applyNumberFormat="1" applyFont="1" applyFill="1" applyBorder="1" applyAlignment="1">
      <alignment horizontal="center" vertical="center"/>
    </xf>
    <xf numFmtId="4" fontId="29" fillId="11" borderId="231" xfId="1054" applyNumberFormat="1" applyFont="1" applyFill="1" applyBorder="1" applyAlignment="1">
      <alignment horizontal="center" vertical="center"/>
    </xf>
    <xf numFmtId="4" fontId="29" fillId="11" borderId="228" xfId="1054" applyNumberFormat="1" applyFont="1" applyFill="1" applyBorder="1" applyAlignment="1">
      <alignment horizontal="center" vertical="center"/>
    </xf>
    <xf numFmtId="4" fontId="66" fillId="11" borderId="231" xfId="1054" applyNumberFormat="1" applyFont="1" applyFill="1" applyBorder="1" applyAlignment="1">
      <alignment horizontal="center" vertical="center"/>
    </xf>
    <xf numFmtId="0" fontId="19" fillId="0" borderId="231" xfId="1054" applyFont="1" applyFill="1" applyBorder="1" applyAlignment="1">
      <alignment horizontal="left" vertical="center"/>
    </xf>
    <xf numFmtId="4" fontId="27" fillId="0" borderId="228" xfId="1054" applyNumberFormat="1" applyFont="1" applyFill="1" applyBorder="1" applyAlignment="1">
      <alignment horizontal="center" vertical="center"/>
    </xf>
    <xf numFmtId="4" fontId="27" fillId="0" borderId="231" xfId="1054" applyNumberFormat="1" applyFont="1" applyFill="1" applyBorder="1" applyAlignment="1">
      <alignment horizontal="center" vertical="center"/>
    </xf>
    <xf numFmtId="10" fontId="27" fillId="0" borderId="231" xfId="1054" applyNumberFormat="1" applyFont="1" applyFill="1" applyBorder="1" applyAlignment="1">
      <alignment horizontal="center" vertical="center"/>
    </xf>
    <xf numFmtId="0" fontId="36" fillId="0" borderId="227" xfId="1054" applyNumberFormat="1" applyFont="1" applyFill="1" applyBorder="1" applyAlignment="1">
      <alignment horizontal="center" vertical="center"/>
    </xf>
    <xf numFmtId="0" fontId="27" fillId="0" borderId="227" xfId="1054" applyNumberFormat="1" applyFont="1" applyFill="1" applyBorder="1" applyAlignment="1">
      <alignment horizontal="center" vertical="center"/>
    </xf>
    <xf numFmtId="0" fontId="24" fillId="0" borderId="232" xfId="1054" applyFont="1" applyFill="1" applyBorder="1" applyAlignment="1">
      <alignment vertical="center"/>
    </xf>
    <xf numFmtId="10" fontId="24" fillId="0" borderId="229" xfId="1054" applyNumberFormat="1" applyFont="1" applyFill="1" applyBorder="1" applyAlignment="1">
      <alignment horizontal="center" vertical="center"/>
    </xf>
    <xf numFmtId="10" fontId="24" fillId="0" borderId="232" xfId="1054" applyNumberFormat="1" applyFont="1" applyFill="1" applyBorder="1" applyAlignment="1">
      <alignment horizontal="center" vertical="center"/>
    </xf>
    <xf numFmtId="10" fontId="24" fillId="0" borderId="222" xfId="1054" applyNumberFormat="1" applyFont="1" applyFill="1" applyBorder="1" applyAlignment="1">
      <alignment horizontal="center" vertical="center"/>
    </xf>
    <xf numFmtId="10" fontId="29" fillId="0" borderId="222" xfId="1054" applyNumberFormat="1" applyFont="1" applyFill="1" applyBorder="1" applyAlignment="1">
      <alignment horizontal="center" vertical="center"/>
    </xf>
    <xf numFmtId="10" fontId="29" fillId="0" borderId="223" xfId="1054" applyNumberFormat="1" applyFont="1" applyFill="1" applyBorder="1" applyAlignment="1">
      <alignment horizontal="center" vertical="center"/>
    </xf>
    <xf numFmtId="0" fontId="24" fillId="4" borderId="231" xfId="1054" applyFont="1" applyFill="1" applyBorder="1" applyAlignment="1">
      <alignment vertical="center"/>
    </xf>
    <xf numFmtId="3" fontId="24" fillId="4" borderId="228" xfId="1054" applyNumberFormat="1" applyFont="1" applyFill="1" applyBorder="1" applyAlignment="1">
      <alignment horizontal="center" vertical="center"/>
    </xf>
    <xf numFmtId="3" fontId="24" fillId="4" borderId="231" xfId="1054" applyNumberFormat="1" applyFont="1" applyFill="1" applyBorder="1" applyAlignment="1">
      <alignment horizontal="center" vertical="center"/>
    </xf>
    <xf numFmtId="0" fontId="19" fillId="0" borderId="231" xfId="1054" applyFont="1" applyFill="1" applyBorder="1" applyAlignment="1">
      <alignment vertical="center"/>
    </xf>
    <xf numFmtId="3" fontId="27" fillId="0" borderId="231" xfId="1054" applyNumberFormat="1" applyFont="1" applyFill="1" applyBorder="1" applyAlignment="1">
      <alignment horizontal="center" vertical="center"/>
    </xf>
    <xf numFmtId="3" fontId="27" fillId="0" borderId="231" xfId="128" applyNumberFormat="1" applyFont="1" applyFill="1" applyBorder="1" applyAlignment="1">
      <alignment horizontal="center" vertical="center"/>
    </xf>
    <xf numFmtId="0" fontId="19" fillId="0" borderId="232" xfId="1054" applyFont="1" applyFill="1" applyBorder="1" applyAlignment="1">
      <alignment vertical="center"/>
    </xf>
    <xf numFmtId="3" fontId="27" fillId="0" borderId="232" xfId="1054" applyNumberFormat="1" applyFont="1" applyFill="1" applyBorder="1" applyAlignment="1">
      <alignment horizontal="center" vertical="center"/>
    </xf>
    <xf numFmtId="3" fontId="27" fillId="0" borderId="222" xfId="1054" applyNumberFormat="1" applyFont="1" applyFill="1" applyBorder="1" applyAlignment="1">
      <alignment horizontal="center" vertical="center"/>
    </xf>
    <xf numFmtId="10" fontId="36" fillId="0" borderId="222" xfId="1054" applyNumberFormat="1" applyFont="1" applyFill="1" applyBorder="1" applyAlignment="1">
      <alignment horizontal="center" vertical="center"/>
    </xf>
    <xf numFmtId="0" fontId="68" fillId="0" borderId="227" xfId="1054" applyNumberFormat="1" applyFont="1" applyFill="1" applyBorder="1" applyAlignment="1">
      <alignment horizontal="center" vertical="center"/>
    </xf>
    <xf numFmtId="3" fontId="27" fillId="5" borderId="231" xfId="1054" applyNumberFormat="1" applyFont="1" applyFill="1" applyBorder="1" applyAlignment="1">
      <alignment horizontal="center" vertical="center"/>
    </xf>
    <xf numFmtId="3" fontId="27" fillId="5" borderId="228" xfId="1054" applyNumberFormat="1" applyFont="1" applyFill="1" applyBorder="1" applyAlignment="1">
      <alignment horizontal="center" vertical="center"/>
    </xf>
    <xf numFmtId="0" fontId="19" fillId="0" borderId="232" xfId="1054" applyFont="1" applyFill="1" applyBorder="1" applyAlignment="1">
      <alignment horizontal="left" vertical="center"/>
    </xf>
    <xf numFmtId="3" fontId="26" fillId="5" borderId="229" xfId="1054" applyNumberFormat="1" applyFont="1" applyFill="1" applyBorder="1" applyAlignment="1">
      <alignment horizontal="center" vertical="center"/>
    </xf>
    <xf numFmtId="3" fontId="26" fillId="5" borderId="232" xfId="1054" applyNumberFormat="1" applyFont="1" applyFill="1" applyBorder="1" applyAlignment="1">
      <alignment horizontal="center" vertical="center"/>
    </xf>
    <xf numFmtId="0" fontId="19" fillId="0" borderId="231" xfId="1054" applyFont="1" applyBorder="1" applyAlignment="1">
      <alignment horizontal="left" vertical="center"/>
    </xf>
    <xf numFmtId="3" fontId="26" fillId="0" borderId="228" xfId="1054" applyNumberFormat="1" applyFont="1" applyFill="1" applyBorder="1" applyAlignment="1">
      <alignment horizontal="center" vertical="center"/>
    </xf>
    <xf numFmtId="3" fontId="26" fillId="0" borderId="231" xfId="1054" applyNumberFormat="1" applyFont="1" applyFill="1" applyBorder="1" applyAlignment="1">
      <alignment horizontal="center" vertical="center"/>
    </xf>
    <xf numFmtId="3" fontId="26" fillId="0" borderId="227" xfId="1054" applyNumberFormat="1" applyFont="1" applyFill="1" applyBorder="1" applyAlignment="1">
      <alignment horizontal="center" vertical="center"/>
    </xf>
    <xf numFmtId="10" fontId="39" fillId="0" borderId="227" xfId="1054" applyNumberFormat="1" applyFont="1" applyFill="1" applyBorder="1" applyAlignment="1">
      <alignment horizontal="center" vertical="center"/>
    </xf>
    <xf numFmtId="10" fontId="26" fillId="0" borderId="227" xfId="1054" applyNumberFormat="1" applyFont="1" applyFill="1" applyBorder="1" applyAlignment="1">
      <alignment horizontal="center" vertical="center"/>
    </xf>
    <xf numFmtId="10" fontId="68" fillId="0" borderId="227" xfId="1054" applyNumberFormat="1" applyFont="1" applyFill="1" applyBorder="1" applyAlignment="1">
      <alignment horizontal="center" vertical="center"/>
    </xf>
    <xf numFmtId="0" fontId="24" fillId="6" borderId="231" xfId="1054" applyFont="1" applyFill="1" applyBorder="1" applyAlignment="1">
      <alignment vertical="center"/>
    </xf>
    <xf numFmtId="3" fontId="28" fillId="6" borderId="228" xfId="1054" applyNumberFormat="1" applyFont="1" applyFill="1" applyBorder="1" applyAlignment="1">
      <alignment horizontal="center" vertical="center"/>
    </xf>
    <xf numFmtId="4" fontId="38" fillId="6" borderId="231" xfId="1054" applyNumberFormat="1" applyFont="1" applyFill="1" applyBorder="1" applyAlignment="1">
      <alignment horizontal="center" vertical="center"/>
    </xf>
    <xf numFmtId="4" fontId="38" fillId="6" borderId="228" xfId="1054" applyNumberFormat="1" applyFont="1" applyFill="1" applyBorder="1" applyAlignment="1">
      <alignment horizontal="center" vertical="center"/>
    </xf>
    <xf numFmtId="3" fontId="28" fillId="6" borderId="231" xfId="1054" applyNumberFormat="1" applyFont="1" applyFill="1" applyBorder="1" applyAlignment="1">
      <alignment horizontal="center" vertical="center"/>
    </xf>
    <xf numFmtId="4" fontId="28" fillId="6" borderId="231" xfId="1054" applyNumberFormat="1" applyFont="1" applyFill="1" applyBorder="1" applyAlignment="1">
      <alignment horizontal="center" vertical="center"/>
    </xf>
    <xf numFmtId="4" fontId="69" fillId="6" borderId="231" xfId="1054" applyNumberFormat="1" applyFont="1" applyFill="1" applyBorder="1" applyAlignment="1">
      <alignment horizontal="center" vertical="center"/>
    </xf>
    <xf numFmtId="0" fontId="24" fillId="6" borderId="231" xfId="1054" applyFont="1" applyFill="1" applyBorder="1" applyAlignment="1">
      <alignment vertical="center" wrapText="1"/>
    </xf>
    <xf numFmtId="3" fontId="24" fillId="6" borderId="228" xfId="1054" applyNumberFormat="1" applyFont="1" applyFill="1" applyBorder="1" applyAlignment="1">
      <alignment horizontal="center" vertical="center"/>
    </xf>
    <xf numFmtId="3" fontId="24" fillId="6" borderId="231" xfId="1054" applyNumberFormat="1" applyFont="1" applyFill="1" applyBorder="1" applyAlignment="1">
      <alignment horizontal="center" vertical="center"/>
    </xf>
    <xf numFmtId="4" fontId="29" fillId="6" borderId="231" xfId="1054" applyNumberFormat="1" applyFont="1" applyFill="1" applyBorder="1" applyAlignment="1">
      <alignment horizontal="center" vertical="center"/>
    </xf>
    <xf numFmtId="4" fontId="29" fillId="6" borderId="228" xfId="1054" applyNumberFormat="1" applyFont="1" applyFill="1" applyBorder="1" applyAlignment="1">
      <alignment horizontal="center" vertical="center"/>
    </xf>
    <xf numFmtId="4" fontId="24" fillId="6" borderId="231" xfId="1054" applyNumberFormat="1" applyFont="1" applyFill="1" applyBorder="1" applyAlignment="1">
      <alignment horizontal="center" vertical="center"/>
    </xf>
    <xf numFmtId="4" fontId="91" fillId="0" borderId="0" xfId="1" applyNumberFormat="1" applyFont="1"/>
    <xf numFmtId="9" fontId="36" fillId="0" borderId="247" xfId="7" applyFont="1" applyFill="1" applyBorder="1" applyAlignment="1">
      <alignment horizontal="center" vertical="center"/>
    </xf>
    <xf numFmtId="0" fontId="19" fillId="0" borderId="248" xfId="1" applyFont="1" applyBorder="1" applyAlignment="1">
      <alignment vertical="center"/>
    </xf>
    <xf numFmtId="0" fontId="19" fillId="0" borderId="249" xfId="1" applyFont="1" applyBorder="1" applyAlignment="1">
      <alignment vertical="center"/>
    </xf>
    <xf numFmtId="9" fontId="36" fillId="0" borderId="252" xfId="7" applyFont="1" applyFill="1" applyBorder="1" applyAlignment="1">
      <alignment horizontal="center" vertical="center"/>
    </xf>
    <xf numFmtId="9" fontId="27" fillId="0" borderId="252" xfId="7" applyFont="1" applyFill="1" applyBorder="1" applyAlignment="1">
      <alignment horizontal="center" vertical="center"/>
    </xf>
    <xf numFmtId="4" fontId="24" fillId="11" borderId="248" xfId="1" applyNumberFormat="1" applyFont="1" applyFill="1" applyBorder="1" applyAlignment="1">
      <alignment horizontal="center" vertical="center"/>
    </xf>
    <xf numFmtId="3" fontId="27" fillId="0" borderId="248" xfId="6" applyNumberFormat="1" applyFont="1" applyFill="1" applyBorder="1" applyAlignment="1">
      <alignment horizontal="center" vertical="center"/>
    </xf>
    <xf numFmtId="10" fontId="26" fillId="5" borderId="252" xfId="1" applyNumberFormat="1" applyFont="1" applyFill="1" applyBorder="1" applyAlignment="1">
      <alignment horizontal="center" vertical="center"/>
    </xf>
    <xf numFmtId="10" fontId="68" fillId="5" borderId="252" xfId="1" applyNumberFormat="1" applyFont="1" applyFill="1" applyBorder="1" applyAlignment="1">
      <alignment horizontal="center" vertical="center"/>
    </xf>
    <xf numFmtId="3" fontId="24" fillId="4" borderId="251" xfId="1" applyNumberFormat="1" applyFont="1" applyFill="1" applyBorder="1" applyAlignment="1">
      <alignment horizontal="center" vertical="center"/>
    </xf>
    <xf numFmtId="3" fontId="24" fillId="4" borderId="249" xfId="1" applyNumberFormat="1" applyFont="1" applyFill="1" applyBorder="1" applyAlignment="1">
      <alignment horizontal="center" vertical="center"/>
    </xf>
    <xf numFmtId="4" fontId="24" fillId="4" borderId="249" xfId="1" applyNumberFormat="1" applyFont="1" applyFill="1" applyBorder="1" applyAlignment="1">
      <alignment horizontal="center" vertical="center"/>
    </xf>
    <xf numFmtId="3" fontId="28" fillId="6" borderId="248" xfId="1" applyNumberFormat="1" applyFont="1" applyFill="1" applyBorder="1" applyAlignment="1">
      <alignment horizontal="center" vertical="center"/>
    </xf>
    <xf numFmtId="4" fontId="28" fillId="6" borderId="248" xfId="1" applyNumberFormat="1" applyFont="1" applyFill="1" applyBorder="1" applyAlignment="1">
      <alignment horizontal="center" vertical="center"/>
    </xf>
    <xf numFmtId="3" fontId="24" fillId="8" borderId="249" xfId="1" applyNumberFormat="1" applyFont="1" applyFill="1" applyBorder="1" applyAlignment="1">
      <alignment horizontal="center" vertical="center"/>
    </xf>
    <xf numFmtId="4" fontId="24" fillId="8" borderId="249" xfId="1" applyNumberFormat="1" applyFont="1" applyFill="1" applyBorder="1" applyAlignment="1">
      <alignment horizontal="center" vertical="center"/>
    </xf>
    <xf numFmtId="3" fontId="24" fillId="6" borderId="248" xfId="1" applyNumberFormat="1" applyFont="1" applyFill="1" applyBorder="1" applyAlignment="1">
      <alignment horizontal="center" vertical="center"/>
    </xf>
    <xf numFmtId="4" fontId="24" fillId="6" borderId="248" xfId="1" applyNumberFormat="1" applyFont="1" applyFill="1" applyBorder="1" applyAlignment="1">
      <alignment horizontal="center" vertical="center"/>
    </xf>
    <xf numFmtId="9" fontId="24" fillId="3" borderId="251" xfId="7" applyFont="1" applyFill="1" applyBorder="1" applyAlignment="1">
      <alignment horizontal="center" vertical="center"/>
    </xf>
    <xf numFmtId="3" fontId="24" fillId="3" borderId="251" xfId="1" applyNumberFormat="1" applyFont="1" applyFill="1" applyBorder="1" applyAlignment="1">
      <alignment horizontal="center" vertical="center"/>
    </xf>
    <xf numFmtId="9" fontId="24" fillId="3" borderId="249" xfId="7" applyFont="1" applyFill="1" applyBorder="1" applyAlignment="1">
      <alignment horizontal="center" vertical="center"/>
    </xf>
    <xf numFmtId="10" fontId="24" fillId="3" borderId="249" xfId="1" applyNumberFormat="1" applyFont="1" applyFill="1" applyBorder="1" applyAlignment="1">
      <alignment horizontal="center" vertical="center"/>
    </xf>
    <xf numFmtId="4" fontId="26" fillId="0" borderId="77" xfId="53" applyNumberFormat="1" applyFont="1" applyFill="1" applyBorder="1" applyAlignment="1">
      <alignment horizontal="center" vertical="center"/>
    </xf>
    <xf numFmtId="0" fontId="154" fillId="0" borderId="247" xfId="53" applyNumberFormat="1" applyFont="1" applyFill="1" applyBorder="1" applyAlignment="1">
      <alignment horizontal="center" vertical="center"/>
    </xf>
    <xf numFmtId="4" fontId="179" fillId="0" borderId="0" xfId="1" applyNumberFormat="1" applyFont="1" applyBorder="1" applyAlignment="1">
      <alignment horizontal="center" vertical="center"/>
    </xf>
    <xf numFmtId="10" fontId="67" fillId="0" borderId="20" xfId="1" applyNumberFormat="1" applyFont="1" applyBorder="1" applyAlignment="1">
      <alignment horizontal="center" vertical="center"/>
    </xf>
    <xf numFmtId="4" fontId="20" fillId="0" borderId="254" xfId="1" applyNumberFormat="1" applyFont="1" applyBorder="1"/>
    <xf numFmtId="4" fontId="150" fillId="0" borderId="253" xfId="1" applyNumberFormat="1" applyFont="1" applyBorder="1"/>
    <xf numFmtId="0" fontId="20" fillId="0" borderId="9" xfId="1" applyFont="1" applyBorder="1"/>
    <xf numFmtId="4" fontId="70" fillId="18" borderId="0" xfId="1" applyNumberFormat="1" applyFont="1" applyFill="1" applyAlignment="1">
      <alignment horizontal="center" vertical="center"/>
    </xf>
    <xf numFmtId="9" fontId="36" fillId="0" borderId="257" xfId="7" applyFont="1" applyFill="1" applyBorder="1" applyAlignment="1">
      <alignment horizontal="center" vertical="center"/>
    </xf>
    <xf numFmtId="9" fontId="27" fillId="0" borderId="257" xfId="7" applyFont="1" applyFill="1" applyBorder="1" applyAlignment="1">
      <alignment horizontal="center" vertical="center"/>
    </xf>
    <xf numFmtId="9" fontId="36" fillId="4" borderId="257" xfId="7" applyFont="1" applyFill="1" applyBorder="1" applyAlignment="1">
      <alignment horizontal="center" vertical="center"/>
    </xf>
    <xf numFmtId="9" fontId="68" fillId="0" borderId="257" xfId="7" applyFont="1" applyFill="1" applyBorder="1" applyAlignment="1">
      <alignment horizontal="center" vertical="center"/>
    </xf>
    <xf numFmtId="4" fontId="25" fillId="0" borderId="248" xfId="1" applyNumberFormat="1" applyFont="1" applyBorder="1" applyAlignment="1">
      <alignment horizontal="center" vertical="center"/>
    </xf>
    <xf numFmtId="4" fontId="25" fillId="0" borderId="252" xfId="1" applyNumberFormat="1" applyFont="1" applyBorder="1" applyAlignment="1">
      <alignment horizontal="center" vertical="center"/>
    </xf>
    <xf numFmtId="3" fontId="25" fillId="0" borderId="252" xfId="1" applyNumberFormat="1" applyFont="1" applyBorder="1" applyAlignment="1">
      <alignment horizontal="center" vertical="center"/>
    </xf>
    <xf numFmtId="9" fontId="36" fillId="0" borderId="249" xfId="7" applyFont="1" applyFill="1" applyBorder="1" applyAlignment="1">
      <alignment horizontal="center" vertical="center"/>
    </xf>
    <xf numFmtId="9" fontId="71" fillId="0" borderId="252" xfId="7" applyFont="1" applyFill="1" applyBorder="1" applyAlignment="1">
      <alignment horizontal="center" vertical="center"/>
    </xf>
    <xf numFmtId="4" fontId="25" fillId="0" borderId="249" xfId="1" applyNumberFormat="1" applyFont="1" applyBorder="1" applyAlignment="1">
      <alignment horizontal="center" vertical="center" wrapText="1"/>
    </xf>
    <xf numFmtId="4" fontId="25" fillId="0" borderId="252" xfId="1" applyNumberFormat="1" applyFont="1" applyBorder="1" applyAlignment="1">
      <alignment horizontal="center" vertical="center" wrapText="1"/>
    </xf>
    <xf numFmtId="3" fontId="27" fillId="0" borderId="249" xfId="6" applyNumberFormat="1" applyFont="1" applyFill="1" applyBorder="1" applyAlignment="1">
      <alignment horizontal="center" vertical="center"/>
    </xf>
    <xf numFmtId="4" fontId="25" fillId="0" borderId="249" xfId="1" applyNumberFormat="1" applyFont="1" applyBorder="1" applyAlignment="1">
      <alignment horizontal="center" vertical="center"/>
    </xf>
    <xf numFmtId="4" fontId="72" fillId="11" borderId="248" xfId="1" applyNumberFormat="1" applyFont="1" applyFill="1" applyBorder="1" applyAlignment="1">
      <alignment horizontal="center" vertical="center"/>
    </xf>
    <xf numFmtId="40" fontId="24" fillId="11" borderId="248" xfId="1" applyNumberFormat="1" applyFont="1" applyFill="1" applyBorder="1" applyAlignment="1">
      <alignment horizontal="center" vertical="center"/>
    </xf>
    <xf numFmtId="0" fontId="19" fillId="0" borderId="250" xfId="1" applyFont="1" applyBorder="1" applyAlignment="1">
      <alignment horizontal="left" vertical="center"/>
    </xf>
    <xf numFmtId="10" fontId="27" fillId="0" borderId="252" xfId="1" applyNumberFormat="1" applyFont="1" applyBorder="1" applyAlignment="1">
      <alignment horizontal="center" vertical="center"/>
    </xf>
    <xf numFmtId="10" fontId="71" fillId="0" borderId="252" xfId="1" applyNumberFormat="1" applyFont="1" applyBorder="1" applyAlignment="1">
      <alignment horizontal="center" vertical="center"/>
    </xf>
    <xf numFmtId="10" fontId="27" fillId="0" borderId="249" xfId="1" applyNumberFormat="1" applyFont="1" applyBorder="1" applyAlignment="1">
      <alignment horizontal="center" vertical="center"/>
    </xf>
    <xf numFmtId="40" fontId="27" fillId="0" borderId="249" xfId="1" applyNumberFormat="1" applyFont="1" applyBorder="1" applyAlignment="1">
      <alignment horizontal="center" vertical="center"/>
    </xf>
    <xf numFmtId="0" fontId="24" fillId="0" borderId="250" xfId="1" applyFont="1" applyBorder="1" applyAlignment="1">
      <alignment vertical="center"/>
    </xf>
    <xf numFmtId="10" fontId="24" fillId="0" borderId="252" xfId="1" applyNumberFormat="1" applyFont="1" applyBorder="1" applyAlignment="1">
      <alignment horizontal="center" vertical="center"/>
    </xf>
    <xf numFmtId="10" fontId="72" fillId="0" borderId="252" xfId="1" applyNumberFormat="1" applyFont="1" applyBorder="1" applyAlignment="1">
      <alignment horizontal="center" vertical="center"/>
    </xf>
    <xf numFmtId="10" fontId="24" fillId="0" borderId="249" xfId="1" applyNumberFormat="1" applyFont="1" applyBorder="1" applyAlignment="1">
      <alignment horizontal="center" vertical="center"/>
    </xf>
    <xf numFmtId="9" fontId="71" fillId="0" borderId="248" xfId="7" applyFont="1" applyFill="1" applyBorder="1" applyAlignment="1">
      <alignment horizontal="center" vertical="center"/>
    </xf>
    <xf numFmtId="0" fontId="19" fillId="0" borderId="250" xfId="1" applyFont="1" applyBorder="1" applyAlignment="1">
      <alignment vertical="center"/>
    </xf>
    <xf numFmtId="10" fontId="68" fillId="5" borderId="249" xfId="1" applyNumberFormat="1" applyFont="1" applyFill="1" applyBorder="1" applyAlignment="1">
      <alignment horizontal="center" vertical="center"/>
    </xf>
    <xf numFmtId="10" fontId="26" fillId="5" borderId="249" xfId="1" applyNumberFormat="1" applyFont="1" applyFill="1" applyBorder="1" applyAlignment="1">
      <alignment horizontal="center" vertical="center"/>
    </xf>
    <xf numFmtId="4" fontId="24" fillId="4" borderId="248" xfId="1" applyNumberFormat="1" applyFont="1" applyFill="1" applyBorder="1" applyAlignment="1">
      <alignment horizontal="center" vertical="center"/>
    </xf>
    <xf numFmtId="10" fontId="26" fillId="0" borderId="249" xfId="1" applyNumberFormat="1" applyFont="1" applyBorder="1" applyAlignment="1">
      <alignment horizontal="center" vertical="center"/>
    </xf>
    <xf numFmtId="0" fontId="24" fillId="4" borderId="251" xfId="1" applyFont="1" applyFill="1" applyBorder="1" applyAlignment="1">
      <alignment vertical="center"/>
    </xf>
    <xf numFmtId="4" fontId="72" fillId="4" borderId="249" xfId="1" applyNumberFormat="1" applyFont="1" applyFill="1" applyBorder="1" applyAlignment="1">
      <alignment horizontal="center" vertical="center"/>
    </xf>
    <xf numFmtId="4" fontId="72" fillId="4" borderId="251" xfId="1" applyNumberFormat="1" applyFont="1" applyFill="1" applyBorder="1" applyAlignment="1">
      <alignment horizontal="center" vertical="center"/>
    </xf>
    <xf numFmtId="10" fontId="26" fillId="0" borderId="248" xfId="1" applyNumberFormat="1" applyFont="1" applyBorder="1" applyAlignment="1">
      <alignment horizontal="center" vertical="center"/>
    </xf>
    <xf numFmtId="38" fontId="24" fillId="4" borderId="249" xfId="1" applyNumberFormat="1" applyFont="1" applyFill="1" applyBorder="1" applyAlignment="1">
      <alignment horizontal="center" vertical="center"/>
    </xf>
    <xf numFmtId="4" fontId="74" fillId="6" borderId="248" xfId="1" applyNumberFormat="1" applyFont="1" applyFill="1" applyBorder="1" applyAlignment="1">
      <alignment horizontal="center" vertical="center"/>
    </xf>
    <xf numFmtId="0" fontId="24" fillId="8" borderId="251" xfId="1" applyFont="1" applyFill="1" applyBorder="1" applyAlignment="1">
      <alignment vertical="center"/>
    </xf>
    <xf numFmtId="4" fontId="72" fillId="8" borderId="249" xfId="1" applyNumberFormat="1" applyFont="1" applyFill="1" applyBorder="1" applyAlignment="1">
      <alignment horizontal="center" vertical="center"/>
    </xf>
    <xf numFmtId="4" fontId="72" fillId="6" borderId="248" xfId="1" applyNumberFormat="1" applyFont="1" applyFill="1" applyBorder="1" applyAlignment="1">
      <alignment horizontal="center" vertical="center"/>
    </xf>
    <xf numFmtId="0" fontId="24" fillId="3" borderId="251" xfId="1" applyFont="1" applyFill="1" applyBorder="1" applyAlignment="1">
      <alignment vertical="center"/>
    </xf>
    <xf numFmtId="10" fontId="72" fillId="3" borderId="249" xfId="1" applyNumberFormat="1" applyFont="1" applyFill="1" applyBorder="1" applyAlignment="1">
      <alignment horizontal="center" vertical="center"/>
    </xf>
    <xf numFmtId="10" fontId="72" fillId="3" borderId="251" xfId="1" applyNumberFormat="1" applyFont="1" applyFill="1" applyBorder="1" applyAlignment="1">
      <alignment horizontal="center" vertical="center"/>
    </xf>
    <xf numFmtId="4" fontId="150" fillId="0" borderId="253" xfId="1" applyNumberFormat="1" applyFont="1" applyFill="1" applyBorder="1"/>
    <xf numFmtId="0" fontId="150" fillId="0" borderId="0" xfId="1" applyFont="1" applyFill="1"/>
    <xf numFmtId="10" fontId="67" fillId="0" borderId="20" xfId="1" applyNumberFormat="1" applyFont="1" applyFill="1" applyBorder="1" applyAlignment="1">
      <alignment horizontal="center" vertical="center"/>
    </xf>
    <xf numFmtId="4" fontId="72" fillId="11" borderId="258" xfId="1" applyNumberFormat="1" applyFont="1" applyFill="1" applyBorder="1" applyAlignment="1">
      <alignment horizontal="center" vertical="center"/>
    </xf>
    <xf numFmtId="4" fontId="74" fillId="6" borderId="258" xfId="1" applyNumberFormat="1" applyFont="1" applyFill="1" applyBorder="1" applyAlignment="1">
      <alignment horizontal="center" vertical="center"/>
    </xf>
    <xf numFmtId="3" fontId="25" fillId="0" borderId="79" xfId="1" applyNumberFormat="1" applyFont="1" applyBorder="1" applyAlignment="1">
      <alignment horizontal="center" vertical="center"/>
    </xf>
    <xf numFmtId="40" fontId="25" fillId="0" borderId="6" xfId="1" applyNumberFormat="1" applyFont="1" applyBorder="1" applyAlignment="1">
      <alignment horizontal="center" vertical="center"/>
    </xf>
    <xf numFmtId="40" fontId="25" fillId="0" borderId="79" xfId="1" applyNumberFormat="1" applyFont="1" applyBorder="1" applyAlignment="1">
      <alignment horizontal="center" vertical="center"/>
    </xf>
    <xf numFmtId="0" fontId="19" fillId="0" borderId="246" xfId="1" applyFont="1" applyBorder="1" applyAlignment="1">
      <alignment horizontal="left" vertical="center"/>
    </xf>
    <xf numFmtId="4" fontId="25" fillId="0" borderId="256" xfId="1" applyNumberFormat="1" applyFont="1" applyBorder="1" applyAlignment="1">
      <alignment horizontal="center" vertical="center"/>
    </xf>
    <xf numFmtId="0" fontId="19" fillId="0" borderId="255" xfId="1" applyFont="1" applyBorder="1" applyAlignment="1">
      <alignment vertical="center"/>
    </xf>
    <xf numFmtId="4" fontId="25" fillId="0" borderId="257" xfId="1" applyNumberFormat="1" applyFont="1" applyBorder="1" applyAlignment="1">
      <alignment horizontal="center" vertical="center"/>
    </xf>
    <xf numFmtId="0" fontId="24" fillId="11" borderId="245" xfId="1" applyFont="1" applyFill="1" applyBorder="1" applyAlignment="1">
      <alignment vertical="center"/>
    </xf>
    <xf numFmtId="4" fontId="24" fillId="11" borderId="258" xfId="1" applyNumberFormat="1" applyFont="1" applyFill="1" applyBorder="1" applyAlignment="1">
      <alignment horizontal="center" vertical="center"/>
    </xf>
    <xf numFmtId="0" fontId="19" fillId="0" borderId="245" xfId="1" applyFont="1" applyBorder="1" applyAlignment="1">
      <alignment horizontal="left" vertical="center"/>
    </xf>
    <xf numFmtId="0" fontId="71" fillId="0" borderId="257" xfId="1" applyFont="1" applyBorder="1" applyAlignment="1">
      <alignment horizontal="center" vertical="center"/>
    </xf>
    <xf numFmtId="0" fontId="27" fillId="0" borderId="257" xfId="1" applyFont="1" applyBorder="1" applyAlignment="1">
      <alignment horizontal="center" vertical="center"/>
    </xf>
    <xf numFmtId="0" fontId="19" fillId="0" borderId="245" xfId="1" applyFont="1" applyBorder="1" applyAlignment="1">
      <alignment vertical="center"/>
    </xf>
    <xf numFmtId="9" fontId="71" fillId="0" borderId="257" xfId="7" applyFont="1" applyFill="1" applyBorder="1" applyAlignment="1">
      <alignment horizontal="center" vertical="center"/>
    </xf>
    <xf numFmtId="4" fontId="107" fillId="0" borderId="79" xfId="1" applyNumberFormat="1" applyFont="1" applyFill="1" applyBorder="1" applyAlignment="1">
      <alignment horizontal="center" vertical="center" wrapText="1"/>
    </xf>
    <xf numFmtId="4" fontId="25" fillId="0" borderId="257" xfId="1" applyNumberFormat="1" applyFont="1" applyBorder="1" applyAlignment="1">
      <alignment horizontal="center" vertical="center" wrapText="1"/>
    </xf>
    <xf numFmtId="3" fontId="25" fillId="0" borderId="257" xfId="1" applyNumberFormat="1" applyFont="1" applyBorder="1" applyAlignment="1">
      <alignment horizontal="center" vertical="center"/>
    </xf>
    <xf numFmtId="0" fontId="19" fillId="0" borderId="246" xfId="1" applyFont="1" applyBorder="1" applyAlignment="1">
      <alignment vertical="center"/>
    </xf>
    <xf numFmtId="0" fontId="19" fillId="0" borderId="258" xfId="1" applyFont="1" applyBorder="1" applyAlignment="1">
      <alignment horizontal="left" vertical="center"/>
    </xf>
    <xf numFmtId="0" fontId="19" fillId="0" borderId="258" xfId="1" applyFont="1" applyBorder="1" applyAlignment="1">
      <alignment vertical="center"/>
    </xf>
    <xf numFmtId="10" fontId="26" fillId="0" borderId="257" xfId="1" applyNumberFormat="1" applyFont="1" applyBorder="1" applyAlignment="1">
      <alignment horizontal="center" vertical="center"/>
    </xf>
    <xf numFmtId="10" fontId="68" fillId="0" borderId="257" xfId="1" applyNumberFormat="1" applyFont="1" applyBorder="1" applyAlignment="1">
      <alignment horizontal="center" vertical="center"/>
    </xf>
    <xf numFmtId="0" fontId="24" fillId="6" borderId="258" xfId="1" applyFont="1" applyFill="1" applyBorder="1" applyAlignment="1">
      <alignment vertical="center"/>
    </xf>
    <xf numFmtId="3" fontId="28" fillId="6" borderId="258" xfId="1" applyNumberFormat="1" applyFont="1" applyFill="1" applyBorder="1" applyAlignment="1">
      <alignment horizontal="center" vertical="center"/>
    </xf>
    <xf numFmtId="0" fontId="24" fillId="6" borderId="245" xfId="1" applyFont="1" applyFill="1" applyBorder="1" applyAlignment="1">
      <alignment vertical="center" wrapText="1"/>
    </xf>
    <xf numFmtId="179" fontId="91" fillId="0" borderId="0" xfId="1" applyNumberFormat="1" applyFont="1" applyAlignment="1">
      <alignment horizontal="center" vertical="center"/>
    </xf>
    <xf numFmtId="38" fontId="103" fillId="6" borderId="79" xfId="1" applyNumberFormat="1" applyFont="1" applyFill="1" applyBorder="1" applyAlignment="1">
      <alignment horizontal="center" vertical="center"/>
    </xf>
    <xf numFmtId="4" fontId="70" fillId="0" borderId="76" xfId="1" applyNumberFormat="1" applyFont="1" applyBorder="1" applyAlignment="1">
      <alignment horizontal="center" vertical="center"/>
    </xf>
    <xf numFmtId="4" fontId="70" fillId="0" borderId="75" xfId="1" applyNumberFormat="1" applyFont="1" applyBorder="1" applyAlignment="1">
      <alignment horizontal="center" vertical="center"/>
    </xf>
    <xf numFmtId="4" fontId="122" fillId="0" borderId="76" xfId="1" applyNumberFormat="1" applyFont="1" applyBorder="1" applyAlignment="1">
      <alignment horizontal="center" vertical="center"/>
    </xf>
    <xf numFmtId="4" fontId="20" fillId="0" borderId="8" xfId="1" applyNumberFormat="1" applyFont="1" applyBorder="1"/>
    <xf numFmtId="4" fontId="70" fillId="0" borderId="8" xfId="1" applyNumberFormat="1" applyFont="1" applyBorder="1" applyAlignment="1">
      <alignment horizontal="center" vertical="center"/>
    </xf>
    <xf numFmtId="180" fontId="70" fillId="0" borderId="0" xfId="1" applyNumberFormat="1" applyFont="1" applyAlignment="1">
      <alignment horizontal="center" vertical="center"/>
    </xf>
    <xf numFmtId="4" fontId="150" fillId="0" borderId="36" xfId="1" applyNumberFormat="1" applyFont="1" applyFill="1" applyBorder="1"/>
    <xf numFmtId="4" fontId="150" fillId="0" borderId="0" xfId="1" applyNumberFormat="1" applyFont="1" applyBorder="1"/>
    <xf numFmtId="0" fontId="150" fillId="0" borderId="4" xfId="1" applyFont="1" applyBorder="1"/>
    <xf numFmtId="4" fontId="150" fillId="0" borderId="254" xfId="1" applyNumberFormat="1" applyFont="1" applyFill="1" applyBorder="1"/>
    <xf numFmtId="4" fontId="150" fillId="0" borderId="20" xfId="1" applyNumberFormat="1" applyFont="1" applyFill="1" applyBorder="1"/>
    <xf numFmtId="4" fontId="150" fillId="0" borderId="20" xfId="1" applyNumberFormat="1" applyFont="1" applyBorder="1"/>
    <xf numFmtId="0" fontId="19" fillId="0" borderId="259" xfId="1" applyFont="1" applyBorder="1" applyAlignment="1">
      <alignment horizontal="left" vertical="center"/>
    </xf>
    <xf numFmtId="4" fontId="25" fillId="0" borderId="260" xfId="1" applyNumberFormat="1" applyFont="1" applyBorder="1" applyAlignment="1">
      <alignment horizontal="center" vertical="center"/>
    </xf>
    <xf numFmtId="9" fontId="36" fillId="0" borderId="261" xfId="7" applyFont="1" applyFill="1" applyBorder="1" applyAlignment="1">
      <alignment horizontal="center" vertical="center"/>
    </xf>
    <xf numFmtId="0" fontId="19" fillId="0" borderId="262" xfId="1" applyFont="1" applyBorder="1" applyAlignment="1">
      <alignment vertical="center"/>
    </xf>
    <xf numFmtId="9" fontId="27" fillId="0" borderId="261" xfId="7" applyFont="1" applyFill="1" applyBorder="1" applyAlignment="1">
      <alignment horizontal="center" vertical="center"/>
    </xf>
    <xf numFmtId="0" fontId="19" fillId="0" borderId="263" xfId="1" applyFont="1" applyBorder="1" applyAlignment="1">
      <alignment vertical="center"/>
    </xf>
    <xf numFmtId="9" fontId="68" fillId="0" borderId="261" xfId="7" applyFont="1" applyFill="1" applyBorder="1" applyAlignment="1">
      <alignment horizontal="center" vertical="center"/>
    </xf>
    <xf numFmtId="4" fontId="25" fillId="0" borderId="262" xfId="1" applyNumberFormat="1" applyFont="1" applyBorder="1" applyAlignment="1">
      <alignment horizontal="center" vertical="center"/>
    </xf>
    <xf numFmtId="4" fontId="25" fillId="0" borderId="261" xfId="1" applyNumberFormat="1" applyFont="1" applyBorder="1" applyAlignment="1">
      <alignment horizontal="center" vertical="center"/>
    </xf>
    <xf numFmtId="0" fontId="19" fillId="0" borderId="264" xfId="1" applyFont="1" applyBorder="1" applyAlignment="1">
      <alignment vertical="center"/>
    </xf>
    <xf numFmtId="4" fontId="25" fillId="0" borderId="265" xfId="1" applyNumberFormat="1" applyFont="1" applyBorder="1" applyAlignment="1">
      <alignment horizontal="center" vertical="center"/>
    </xf>
    <xf numFmtId="3" fontId="25" fillId="0" borderId="265" xfId="1" applyNumberFormat="1" applyFont="1" applyBorder="1" applyAlignment="1">
      <alignment horizontal="center" vertical="center"/>
    </xf>
    <xf numFmtId="9" fontId="36" fillId="0" borderId="264" xfId="7" applyFont="1" applyFill="1" applyBorder="1" applyAlignment="1">
      <alignment horizontal="center" vertical="center"/>
    </xf>
    <xf numFmtId="9" fontId="71" fillId="0" borderId="265" xfId="7" applyFont="1" applyFill="1" applyBorder="1" applyAlignment="1">
      <alignment horizontal="center" vertical="center"/>
    </xf>
    <xf numFmtId="4" fontId="25" fillId="0" borderId="264" xfId="1" applyNumberFormat="1" applyFont="1" applyBorder="1" applyAlignment="1">
      <alignment horizontal="center" vertical="center" wrapText="1"/>
    </xf>
    <xf numFmtId="4" fontId="25" fillId="0" borderId="265" xfId="1" applyNumberFormat="1" applyFont="1" applyBorder="1" applyAlignment="1">
      <alignment horizontal="center" vertical="center" wrapText="1"/>
    </xf>
    <xf numFmtId="3" fontId="27" fillId="0" borderId="264" xfId="6" applyNumberFormat="1" applyFont="1" applyFill="1" applyBorder="1" applyAlignment="1">
      <alignment horizontal="center" vertical="center"/>
    </xf>
    <xf numFmtId="4" fontId="25" fillId="0" borderId="264" xfId="1" applyNumberFormat="1" applyFont="1" applyBorder="1" applyAlignment="1">
      <alignment horizontal="center" vertical="center"/>
    </xf>
    <xf numFmtId="9" fontId="36" fillId="0" borderId="265" xfId="7" applyFont="1" applyFill="1" applyBorder="1" applyAlignment="1">
      <alignment horizontal="center" vertical="center"/>
    </xf>
    <xf numFmtId="9" fontId="27" fillId="0" borderId="265" xfId="7" applyFont="1" applyFill="1" applyBorder="1" applyAlignment="1">
      <alignment horizontal="center" vertical="center"/>
    </xf>
    <xf numFmtId="0" fontId="24" fillId="11" borderId="266" xfId="1" applyFont="1" applyFill="1" applyBorder="1" applyAlignment="1">
      <alignment vertical="center"/>
    </xf>
    <xf numFmtId="4" fontId="24" fillId="11" borderId="267" xfId="1" applyNumberFormat="1" applyFont="1" applyFill="1" applyBorder="1" applyAlignment="1">
      <alignment horizontal="center" vertical="center"/>
    </xf>
    <xf numFmtId="4" fontId="24" fillId="11" borderId="262" xfId="1" applyNumberFormat="1" applyFont="1" applyFill="1" applyBorder="1" applyAlignment="1">
      <alignment horizontal="center" vertical="center"/>
    </xf>
    <xf numFmtId="4" fontId="72" fillId="11" borderId="262" xfId="1" applyNumberFormat="1" applyFont="1" applyFill="1" applyBorder="1" applyAlignment="1">
      <alignment horizontal="center" vertical="center"/>
    </xf>
    <xf numFmtId="4" fontId="72" fillId="11" borderId="267" xfId="1" applyNumberFormat="1" applyFont="1" applyFill="1" applyBorder="1" applyAlignment="1">
      <alignment horizontal="center" vertical="center"/>
    </xf>
    <xf numFmtId="40" fontId="24" fillId="11" borderId="262" xfId="1" applyNumberFormat="1" applyFont="1" applyFill="1" applyBorder="1" applyAlignment="1">
      <alignment horizontal="center" vertical="center"/>
    </xf>
    <xf numFmtId="0" fontId="19" fillId="0" borderId="266" xfId="1" applyFont="1" applyBorder="1" applyAlignment="1">
      <alignment horizontal="left" vertical="center"/>
    </xf>
    <xf numFmtId="0" fontId="71" fillId="0" borderId="261" xfId="1" applyFont="1" applyBorder="1" applyAlignment="1">
      <alignment horizontal="center" vertical="center"/>
    </xf>
    <xf numFmtId="0" fontId="27" fillId="0" borderId="261" xfId="1" applyFont="1" applyBorder="1" applyAlignment="1">
      <alignment horizontal="center" vertical="center"/>
    </xf>
    <xf numFmtId="0" fontId="19" fillId="0" borderId="268" xfId="1" applyFont="1" applyBorder="1" applyAlignment="1">
      <alignment horizontal="left" vertical="center"/>
    </xf>
    <xf numFmtId="10" fontId="27" fillId="0" borderId="265" xfId="1" applyNumberFormat="1" applyFont="1" applyBorder="1" applyAlignment="1">
      <alignment horizontal="center" vertical="center"/>
    </xf>
    <xf numFmtId="10" fontId="71" fillId="0" borderId="265" xfId="1" applyNumberFormat="1" applyFont="1" applyBorder="1" applyAlignment="1">
      <alignment horizontal="center" vertical="center"/>
    </xf>
    <xf numFmtId="10" fontId="27" fillId="0" borderId="264" xfId="1" applyNumberFormat="1" applyFont="1" applyBorder="1" applyAlignment="1">
      <alignment horizontal="center" vertical="center"/>
    </xf>
    <xf numFmtId="40" fontId="27" fillId="0" borderId="264" xfId="1" applyNumberFormat="1" applyFont="1" applyBorder="1" applyAlignment="1">
      <alignment horizontal="center" vertical="center"/>
    </xf>
    <xf numFmtId="0" fontId="24" fillId="0" borderId="268" xfId="1" applyFont="1" applyBorder="1" applyAlignment="1">
      <alignment vertical="center"/>
    </xf>
    <xf numFmtId="10" fontId="24" fillId="0" borderId="265" xfId="1" applyNumberFormat="1" applyFont="1" applyBorder="1" applyAlignment="1">
      <alignment horizontal="center" vertical="center"/>
    </xf>
    <xf numFmtId="10" fontId="72" fillId="0" borderId="265" xfId="1" applyNumberFormat="1" applyFont="1" applyBorder="1" applyAlignment="1">
      <alignment horizontal="center" vertical="center"/>
    </xf>
    <xf numFmtId="10" fontId="24" fillId="0" borderId="264" xfId="1" applyNumberFormat="1" applyFont="1" applyBorder="1" applyAlignment="1">
      <alignment horizontal="center" vertical="center"/>
    </xf>
    <xf numFmtId="9" fontId="36" fillId="4" borderId="261" xfId="7" applyFont="1" applyFill="1" applyBorder="1" applyAlignment="1">
      <alignment horizontal="center" vertical="center"/>
    </xf>
    <xf numFmtId="0" fontId="19" fillId="0" borderId="266" xfId="1" applyFont="1" applyBorder="1" applyAlignment="1">
      <alignment vertical="center"/>
    </xf>
    <xf numFmtId="9" fontId="71" fillId="0" borderId="261" xfId="7" applyFont="1" applyFill="1" applyBorder="1" applyAlignment="1">
      <alignment horizontal="center" vertical="center"/>
    </xf>
    <xf numFmtId="9" fontId="71" fillId="0" borderId="262" xfId="7" applyFont="1" applyFill="1" applyBorder="1" applyAlignment="1">
      <alignment horizontal="center" vertical="center"/>
    </xf>
    <xf numFmtId="4" fontId="25" fillId="0" borderId="261" xfId="1" applyNumberFormat="1" applyFont="1" applyBorder="1" applyAlignment="1">
      <alignment horizontal="center" vertical="center" wrapText="1"/>
    </xf>
    <xf numFmtId="3" fontId="27" fillId="0" borderId="262" xfId="6" applyNumberFormat="1" applyFont="1" applyFill="1" applyBorder="1" applyAlignment="1">
      <alignment horizontal="center" vertical="center"/>
    </xf>
    <xf numFmtId="3" fontId="25" fillId="0" borderId="261" xfId="1" applyNumberFormat="1" applyFont="1" applyBorder="1" applyAlignment="1">
      <alignment horizontal="center" vertical="center"/>
    </xf>
    <xf numFmtId="0" fontId="19" fillId="0" borderId="259" xfId="1" applyFont="1" applyBorder="1" applyAlignment="1">
      <alignment vertical="center"/>
    </xf>
    <xf numFmtId="0" fontId="19" fillId="0" borderId="268" xfId="1" applyFont="1" applyBorder="1" applyAlignment="1">
      <alignment vertical="center"/>
    </xf>
    <xf numFmtId="10" fontId="26" fillId="5" borderId="265" xfId="1" applyNumberFormat="1" applyFont="1" applyFill="1" applyBorder="1" applyAlignment="1">
      <alignment horizontal="center" vertical="center"/>
    </xf>
    <xf numFmtId="10" fontId="68" fillId="5" borderId="265" xfId="1" applyNumberFormat="1" applyFont="1" applyFill="1" applyBorder="1" applyAlignment="1">
      <alignment horizontal="center" vertical="center"/>
    </xf>
    <xf numFmtId="10" fontId="68" fillId="5" borderId="264" xfId="1" applyNumberFormat="1" applyFont="1" applyFill="1" applyBorder="1" applyAlignment="1">
      <alignment horizontal="center" vertical="center"/>
    </xf>
    <xf numFmtId="10" fontId="26" fillId="5" borderId="264" xfId="1" applyNumberFormat="1" applyFont="1" applyFill="1" applyBorder="1" applyAlignment="1">
      <alignment horizontal="center" vertical="center"/>
    </xf>
    <xf numFmtId="0" fontId="19" fillId="0" borderId="267" xfId="1" applyFont="1" applyBorder="1" applyAlignment="1">
      <alignment horizontal="left" vertical="center"/>
    </xf>
    <xf numFmtId="4" fontId="24" fillId="4" borderId="262" xfId="1" applyNumberFormat="1" applyFont="1" applyFill="1" applyBorder="1" applyAlignment="1">
      <alignment horizontal="center" vertical="center"/>
    </xf>
    <xf numFmtId="10" fontId="26" fillId="0" borderId="264" xfId="1" applyNumberFormat="1" applyFont="1" applyBorder="1" applyAlignment="1">
      <alignment horizontal="center" vertical="center"/>
    </xf>
    <xf numFmtId="0" fontId="24" fillId="4" borderId="269" xfId="1" applyFont="1" applyFill="1" applyBorder="1" applyAlignment="1">
      <alignment vertical="center"/>
    </xf>
    <xf numFmtId="3" fontId="24" fillId="4" borderId="269" xfId="1" applyNumberFormat="1" applyFont="1" applyFill="1" applyBorder="1" applyAlignment="1">
      <alignment horizontal="center" vertical="center"/>
    </xf>
    <xf numFmtId="3" fontId="24" fillId="4" borderId="264" xfId="1" applyNumberFormat="1" applyFont="1" applyFill="1" applyBorder="1" applyAlignment="1">
      <alignment horizontal="center" vertical="center"/>
    </xf>
    <xf numFmtId="4" fontId="24" fillId="4" borderId="264" xfId="1" applyNumberFormat="1" applyFont="1" applyFill="1" applyBorder="1" applyAlignment="1">
      <alignment horizontal="center" vertical="center"/>
    </xf>
    <xf numFmtId="4" fontId="72" fillId="4" borderId="264" xfId="1" applyNumberFormat="1" applyFont="1" applyFill="1" applyBorder="1" applyAlignment="1">
      <alignment horizontal="center" vertical="center"/>
    </xf>
    <xf numFmtId="4" fontId="72" fillId="4" borderId="269" xfId="1" applyNumberFormat="1" applyFont="1" applyFill="1" applyBorder="1" applyAlignment="1">
      <alignment horizontal="center" vertical="center"/>
    </xf>
    <xf numFmtId="0" fontId="19" fillId="0" borderId="267" xfId="1" applyFont="1" applyBorder="1" applyAlignment="1">
      <alignment vertical="center"/>
    </xf>
    <xf numFmtId="10" fontId="26" fillId="0" borderId="261" xfId="1" applyNumberFormat="1" applyFont="1" applyBorder="1" applyAlignment="1">
      <alignment horizontal="center" vertical="center"/>
    </xf>
    <xf numFmtId="10" fontId="68" fillId="0" borderId="261" xfId="1" applyNumberFormat="1" applyFont="1" applyBorder="1" applyAlignment="1">
      <alignment horizontal="center" vertical="center"/>
    </xf>
    <xf numFmtId="10" fontId="26" fillId="0" borderId="262" xfId="1" applyNumberFormat="1" applyFont="1" applyBorder="1" applyAlignment="1">
      <alignment horizontal="center" vertical="center"/>
    </xf>
    <xf numFmtId="38" fontId="24" fillId="4" borderId="264" xfId="1" applyNumberFormat="1" applyFont="1" applyFill="1" applyBorder="1" applyAlignment="1">
      <alignment horizontal="center" vertical="center"/>
    </xf>
    <xf numFmtId="0" fontId="24" fillId="6" borderId="267" xfId="1" applyFont="1" applyFill="1" applyBorder="1" applyAlignment="1">
      <alignment vertical="center"/>
    </xf>
    <xf numFmtId="3" fontId="28" fillId="6" borderId="267" xfId="1" applyNumberFormat="1" applyFont="1" applyFill="1" applyBorder="1" applyAlignment="1">
      <alignment horizontal="center" vertical="center"/>
    </xf>
    <xf numFmtId="3" fontId="28" fillId="6" borderId="262" xfId="1" applyNumberFormat="1" applyFont="1" applyFill="1" applyBorder="1" applyAlignment="1">
      <alignment horizontal="center" vertical="center"/>
    </xf>
    <xf numFmtId="4" fontId="28" fillId="6" borderId="262" xfId="1" applyNumberFormat="1" applyFont="1" applyFill="1" applyBorder="1" applyAlignment="1">
      <alignment horizontal="center" vertical="center"/>
    </xf>
    <xf numFmtId="4" fontId="74" fillId="6" borderId="262" xfId="1" applyNumberFormat="1" applyFont="1" applyFill="1" applyBorder="1" applyAlignment="1">
      <alignment horizontal="center" vertical="center"/>
    </xf>
    <xf numFmtId="4" fontId="74" fillId="6" borderId="267" xfId="1" applyNumberFormat="1" applyFont="1" applyFill="1" applyBorder="1" applyAlignment="1">
      <alignment horizontal="center" vertical="center"/>
    </xf>
    <xf numFmtId="0" fontId="24" fillId="8" borderId="269" xfId="1" applyFont="1" applyFill="1" applyBorder="1" applyAlignment="1">
      <alignment vertical="center"/>
    </xf>
    <xf numFmtId="3" fontId="24" fillId="8" borderId="264" xfId="1" applyNumberFormat="1" applyFont="1" applyFill="1" applyBorder="1" applyAlignment="1">
      <alignment horizontal="center" vertical="center"/>
    </xf>
    <xf numFmtId="4" fontId="24" fillId="8" borderId="264" xfId="1" applyNumberFormat="1" applyFont="1" applyFill="1" applyBorder="1" applyAlignment="1">
      <alignment horizontal="center" vertical="center"/>
    </xf>
    <xf numFmtId="4" fontId="72" fillId="8" borderId="264" xfId="1" applyNumberFormat="1" applyFont="1" applyFill="1" applyBorder="1" applyAlignment="1">
      <alignment horizontal="center" vertical="center"/>
    </xf>
    <xf numFmtId="0" fontId="24" fillId="6" borderId="266" xfId="1" applyFont="1" applyFill="1" applyBorder="1" applyAlignment="1">
      <alignment vertical="center" wrapText="1"/>
    </xf>
    <xf numFmtId="3" fontId="24" fillId="6" borderId="262" xfId="1" applyNumberFormat="1" applyFont="1" applyFill="1" applyBorder="1" applyAlignment="1">
      <alignment horizontal="center" vertical="center"/>
    </xf>
    <xf numFmtId="4" fontId="24" fillId="6" borderId="262" xfId="1" applyNumberFormat="1" applyFont="1" applyFill="1" applyBorder="1" applyAlignment="1">
      <alignment horizontal="center" vertical="center"/>
    </xf>
    <xf numFmtId="4" fontId="72" fillId="6" borderId="262" xfId="1" applyNumberFormat="1" applyFont="1" applyFill="1" applyBorder="1" applyAlignment="1">
      <alignment horizontal="center" vertical="center"/>
    </xf>
    <xf numFmtId="0" fontId="24" fillId="3" borderId="269" xfId="1" applyFont="1" applyFill="1" applyBorder="1" applyAlignment="1">
      <alignment vertical="center"/>
    </xf>
    <xf numFmtId="9" fontId="24" fillId="3" borderId="269" xfId="7" applyFont="1" applyFill="1" applyBorder="1" applyAlignment="1">
      <alignment horizontal="center" vertical="center"/>
    </xf>
    <xf numFmtId="3" fontId="24" fillId="3" borderId="269" xfId="1" applyNumberFormat="1" applyFont="1" applyFill="1" applyBorder="1" applyAlignment="1">
      <alignment horizontal="center" vertical="center"/>
    </xf>
    <xf numFmtId="9" fontId="24" fillId="3" borderId="264" xfId="7" applyFont="1" applyFill="1" applyBorder="1" applyAlignment="1">
      <alignment horizontal="center" vertical="center"/>
    </xf>
    <xf numFmtId="10" fontId="24" fillId="3" borderId="264" xfId="1" applyNumberFormat="1" applyFont="1" applyFill="1" applyBorder="1" applyAlignment="1">
      <alignment horizontal="center" vertical="center"/>
    </xf>
    <xf numFmtId="10" fontId="72" fillId="3" borderId="264" xfId="1" applyNumberFormat="1" applyFont="1" applyFill="1" applyBorder="1" applyAlignment="1">
      <alignment horizontal="center" vertical="center"/>
    </xf>
    <xf numFmtId="10" fontId="72" fillId="3" borderId="269" xfId="1" applyNumberFormat="1" applyFont="1" applyFill="1" applyBorder="1" applyAlignment="1">
      <alignment horizontal="center" vertical="center"/>
    </xf>
    <xf numFmtId="3" fontId="1" fillId="0" borderId="0" xfId="8868" applyNumberFormat="1" applyFill="1"/>
    <xf numFmtId="3" fontId="25" fillId="0" borderId="79" xfId="1" applyNumberFormat="1" applyFont="1" applyBorder="1" applyAlignment="1">
      <alignment horizontal="center" vertical="center"/>
    </xf>
    <xf numFmtId="40" fontId="25" fillId="0" borderId="6" xfId="1" applyNumberFormat="1" applyFont="1" applyBorder="1" applyAlignment="1">
      <alignment horizontal="center" vertical="center"/>
    </xf>
    <xf numFmtId="40" fontId="25" fillId="0" borderId="79" xfId="1" applyNumberFormat="1" applyFont="1" applyBorder="1" applyAlignment="1">
      <alignment horizontal="center" vertical="center"/>
    </xf>
    <xf numFmtId="38" fontId="24" fillId="3" borderId="264" xfId="7" applyNumberFormat="1" applyFont="1" applyFill="1" applyBorder="1" applyAlignment="1">
      <alignment horizontal="center" vertical="center"/>
    </xf>
    <xf numFmtId="4" fontId="109" fillId="0" borderId="260" xfId="1" applyNumberFormat="1" applyFont="1" applyBorder="1" applyAlignment="1">
      <alignment horizontal="center" vertical="center"/>
    </xf>
    <xf numFmtId="9" fontId="174" fillId="0" borderId="261" xfId="7" applyFont="1" applyFill="1" applyBorder="1" applyAlignment="1">
      <alignment horizontal="center" vertical="center"/>
    </xf>
    <xf numFmtId="9" fontId="173" fillId="0" borderId="265" xfId="7" applyFont="1" applyFill="1" applyBorder="1" applyAlignment="1">
      <alignment horizontal="center" vertical="center"/>
    </xf>
    <xf numFmtId="4" fontId="33" fillId="11" borderId="262" xfId="1" applyNumberFormat="1" applyFont="1" applyFill="1" applyBorder="1" applyAlignment="1">
      <alignment horizontal="center" vertical="center"/>
    </xf>
    <xf numFmtId="0" fontId="173" fillId="0" borderId="261" xfId="1" applyFont="1" applyBorder="1" applyAlignment="1">
      <alignment horizontal="center" vertical="center"/>
    </xf>
    <xf numFmtId="10" fontId="173" fillId="0" borderId="265" xfId="1" applyNumberFormat="1" applyFont="1" applyBorder="1" applyAlignment="1">
      <alignment horizontal="center" vertical="center"/>
    </xf>
    <xf numFmtId="10" fontId="33" fillId="0" borderId="265" xfId="1" applyNumberFormat="1" applyFont="1" applyBorder="1" applyAlignment="1">
      <alignment horizontal="center" vertical="center"/>
    </xf>
    <xf numFmtId="9" fontId="173" fillId="0" borderId="261" xfId="7" applyFont="1" applyFill="1" applyBorder="1" applyAlignment="1">
      <alignment horizontal="center" vertical="center"/>
    </xf>
    <xf numFmtId="10" fontId="174" fillId="5" borderId="265" xfId="1" applyNumberFormat="1" applyFont="1" applyFill="1" applyBorder="1" applyAlignment="1">
      <alignment horizontal="center" vertical="center"/>
    </xf>
    <xf numFmtId="4" fontId="33" fillId="4" borderId="264" xfId="1" applyNumberFormat="1" applyFont="1" applyFill="1" applyBorder="1" applyAlignment="1">
      <alignment horizontal="center" vertical="center"/>
    </xf>
    <xf numFmtId="10" fontId="174" fillId="0" borderId="261" xfId="1" applyNumberFormat="1" applyFont="1" applyBorder="1" applyAlignment="1">
      <alignment horizontal="center" vertical="center"/>
    </xf>
    <xf numFmtId="4" fontId="175" fillId="6" borderId="262" xfId="1" applyNumberFormat="1" applyFont="1" applyFill="1" applyBorder="1" applyAlignment="1">
      <alignment horizontal="center" vertical="center"/>
    </xf>
    <xf numFmtId="4" fontId="33" fillId="8" borderId="264" xfId="1" applyNumberFormat="1" applyFont="1" applyFill="1" applyBorder="1" applyAlignment="1">
      <alignment horizontal="center" vertical="center"/>
    </xf>
    <xf numFmtId="4" fontId="33" fillId="6" borderId="262" xfId="1" applyNumberFormat="1" applyFont="1" applyFill="1" applyBorder="1" applyAlignment="1">
      <alignment horizontal="center" vertical="center"/>
    </xf>
    <xf numFmtId="10" fontId="33" fillId="3" borderId="264" xfId="1" applyNumberFormat="1" applyFont="1" applyFill="1" applyBorder="1" applyAlignment="1">
      <alignment horizontal="center" vertical="center"/>
    </xf>
    <xf numFmtId="9" fontId="68" fillId="0" borderId="261" xfId="7" applyFont="1" applyFill="1" applyBorder="1" applyAlignment="1">
      <alignment horizontal="center" vertical="center" wrapText="1"/>
    </xf>
    <xf numFmtId="4" fontId="24" fillId="4" borderId="269" xfId="1" applyNumberFormat="1" applyFont="1" applyFill="1" applyBorder="1" applyAlignment="1">
      <alignment horizontal="center" vertical="center"/>
    </xf>
    <xf numFmtId="4" fontId="28" fillId="6" borderId="267" xfId="1" applyNumberFormat="1" applyFont="1" applyFill="1" applyBorder="1" applyAlignment="1">
      <alignment horizontal="center" vertical="center"/>
    </xf>
    <xf numFmtId="3" fontId="24" fillId="8" borderId="269" xfId="1" applyNumberFormat="1" applyFont="1" applyFill="1" applyBorder="1" applyAlignment="1">
      <alignment horizontal="center" vertical="center"/>
    </xf>
    <xf numFmtId="3" fontId="24" fillId="6" borderId="267" xfId="1" applyNumberFormat="1" applyFont="1" applyFill="1" applyBorder="1" applyAlignment="1">
      <alignment horizontal="center" vertical="center"/>
    </xf>
    <xf numFmtId="10" fontId="24" fillId="3" borderId="269" xfId="1" applyNumberFormat="1" applyFont="1" applyFill="1" applyBorder="1" applyAlignment="1">
      <alignment horizontal="center" vertical="center"/>
    </xf>
    <xf numFmtId="49" fontId="18" fillId="26" borderId="3" xfId="0" applyNumberFormat="1" applyFont="1" applyFill="1" applyBorder="1" applyAlignment="1">
      <alignment horizontal="center" vertical="center"/>
    </xf>
    <xf numFmtId="49" fontId="18" fillId="26" borderId="9" xfId="0" applyNumberFormat="1" applyFont="1" applyFill="1" applyBorder="1" applyAlignment="1">
      <alignment horizontal="center" vertical="center"/>
    </xf>
    <xf numFmtId="3" fontId="25" fillId="0" borderId="79" xfId="1" applyNumberFormat="1" applyFont="1" applyBorder="1" applyAlignment="1">
      <alignment horizontal="center" vertical="center"/>
    </xf>
    <xf numFmtId="40" fontId="25" fillId="0" borderId="6" xfId="1" applyNumberFormat="1" applyFont="1" applyBorder="1" applyAlignment="1">
      <alignment horizontal="center" vertical="center"/>
    </xf>
    <xf numFmtId="40" fontId="25" fillId="0" borderId="79" xfId="1" applyNumberFormat="1" applyFont="1" applyBorder="1" applyAlignment="1">
      <alignment horizontal="center" vertical="center"/>
    </xf>
    <xf numFmtId="179" fontId="16" fillId="0" borderId="0" xfId="1" applyNumberFormat="1" applyFont="1" applyAlignment="1">
      <alignment horizontal="center" vertical="center"/>
    </xf>
    <xf numFmtId="4" fontId="150" fillId="0" borderId="0" xfId="1" applyNumberFormat="1" applyFont="1"/>
    <xf numFmtId="3" fontId="16" fillId="0" borderId="0" xfId="1" applyNumberFormat="1" applyFont="1" applyAlignment="1">
      <alignment horizontal="center" vertical="center" shrinkToFit="1"/>
    </xf>
    <xf numFmtId="0" fontId="150" fillId="0" borderId="0" xfId="1" applyFont="1" applyAlignment="1">
      <alignment vertical="top"/>
    </xf>
    <xf numFmtId="4" fontId="109" fillId="0" borderId="79" xfId="1" applyNumberFormat="1" applyFont="1" applyFill="1" applyBorder="1" applyAlignment="1">
      <alignment horizontal="center" vertical="center" wrapText="1"/>
    </xf>
    <xf numFmtId="0" fontId="20" fillId="0" borderId="0" xfId="1" applyFont="1" applyAlignment="1">
      <alignment horizontal="left" vertical="center"/>
    </xf>
    <xf numFmtId="0" fontId="91" fillId="0" borderId="0" xfId="1" applyFont="1" applyAlignment="1">
      <alignment horizontal="center" vertical="center"/>
    </xf>
    <xf numFmtId="4" fontId="24" fillId="9" borderId="56" xfId="1" applyNumberFormat="1" applyFont="1" applyFill="1" applyBorder="1" applyAlignment="1">
      <alignment horizontal="center" vertical="center"/>
    </xf>
    <xf numFmtId="4" fontId="109" fillId="0" borderId="77" xfId="1" applyNumberFormat="1" applyFont="1" applyFill="1" applyBorder="1" applyAlignment="1">
      <alignment horizontal="center" vertical="center"/>
    </xf>
    <xf numFmtId="3" fontId="0" fillId="0" borderId="0" xfId="0" applyNumberFormat="1" applyFill="1"/>
    <xf numFmtId="4" fontId="1" fillId="0" borderId="0" xfId="8868" applyNumberFormat="1" applyFill="1"/>
    <xf numFmtId="3" fontId="25" fillId="0" borderId="79" xfId="1" applyNumberFormat="1" applyFont="1" applyBorder="1" applyAlignment="1">
      <alignment horizontal="center" vertical="center"/>
    </xf>
    <xf numFmtId="40" fontId="25" fillId="0" borderId="6" xfId="1" applyNumberFormat="1" applyFont="1" applyBorder="1" applyAlignment="1">
      <alignment horizontal="center" vertical="center"/>
    </xf>
    <xf numFmtId="40" fontId="25" fillId="0" borderId="79" xfId="1" applyNumberFormat="1" applyFont="1" applyBorder="1" applyAlignment="1">
      <alignment horizontal="center" vertical="center"/>
    </xf>
    <xf numFmtId="4" fontId="70" fillId="0" borderId="0" xfId="1" applyNumberFormat="1" applyFont="1" applyAlignment="1">
      <alignment horizontal="left" vertical="center"/>
    </xf>
    <xf numFmtId="4" fontId="122" fillId="0" borderId="9" xfId="1" applyNumberFormat="1" applyFont="1" applyBorder="1" applyAlignment="1">
      <alignment horizontal="right" vertical="center"/>
    </xf>
    <xf numFmtId="4" fontId="122" fillId="0" borderId="9" xfId="1" applyNumberFormat="1" applyFont="1" applyBorder="1" applyAlignment="1">
      <alignment horizontal="center" vertical="center"/>
    </xf>
    <xf numFmtId="3" fontId="70" fillId="0" borderId="0" xfId="1" applyNumberFormat="1" applyFont="1" applyAlignment="1">
      <alignment horizontal="left" vertical="center"/>
    </xf>
    <xf numFmtId="181" fontId="70" fillId="0" borderId="0" xfId="1" applyNumberFormat="1" applyFont="1" applyAlignment="1">
      <alignment horizontal="center" vertical="center"/>
    </xf>
    <xf numFmtId="0" fontId="19" fillId="0" borderId="270" xfId="1" applyFont="1" applyBorder="1" applyAlignment="1">
      <alignment horizontal="left" vertical="center"/>
    </xf>
    <xf numFmtId="4" fontId="25" fillId="0" borderId="271" xfId="1" applyNumberFormat="1" applyFont="1" applyBorder="1" applyAlignment="1">
      <alignment horizontal="center" vertical="center"/>
    </xf>
    <xf numFmtId="4" fontId="109" fillId="0" borderId="271" xfId="1" applyNumberFormat="1" applyFont="1" applyBorder="1" applyAlignment="1">
      <alignment horizontal="center" vertical="center"/>
    </xf>
    <xf numFmtId="9" fontId="36" fillId="0" borderId="272" xfId="7" applyFont="1" applyFill="1" applyBorder="1" applyAlignment="1">
      <alignment horizontal="center" vertical="center"/>
    </xf>
    <xf numFmtId="0" fontId="19" fillId="0" borderId="273" xfId="1" applyFont="1" applyBorder="1" applyAlignment="1">
      <alignment vertical="center"/>
    </xf>
    <xf numFmtId="9" fontId="27" fillId="0" borderId="272" xfId="7" applyFont="1" applyFill="1" applyBorder="1" applyAlignment="1">
      <alignment horizontal="center" vertical="center"/>
    </xf>
    <xf numFmtId="0" fontId="19" fillId="0" borderId="274" xfId="1" applyFont="1" applyBorder="1" applyAlignment="1">
      <alignment vertical="center"/>
    </xf>
    <xf numFmtId="9" fontId="68" fillId="0" borderId="272" xfId="7" applyFont="1" applyFill="1" applyBorder="1" applyAlignment="1">
      <alignment horizontal="center" vertical="center"/>
    </xf>
    <xf numFmtId="9" fontId="174" fillId="0" borderId="272" xfId="7" applyFont="1" applyFill="1" applyBorder="1" applyAlignment="1">
      <alignment horizontal="center" vertical="center"/>
    </xf>
    <xf numFmtId="4" fontId="25" fillId="0" borderId="273" xfId="1" applyNumberFormat="1" applyFont="1" applyBorder="1" applyAlignment="1">
      <alignment horizontal="center" vertical="center"/>
    </xf>
    <xf numFmtId="4" fontId="25" fillId="0" borderId="272" xfId="1" applyNumberFormat="1" applyFont="1" applyBorder="1" applyAlignment="1">
      <alignment horizontal="center" vertical="center"/>
    </xf>
    <xf numFmtId="0" fontId="19" fillId="0" borderId="275" xfId="1" applyFont="1" applyBorder="1" applyAlignment="1">
      <alignment vertical="center"/>
    </xf>
    <xf numFmtId="4" fontId="25" fillId="0" borderId="276" xfId="1" applyNumberFormat="1" applyFont="1" applyBorder="1" applyAlignment="1">
      <alignment horizontal="center" vertical="center"/>
    </xf>
    <xf numFmtId="3" fontId="25" fillId="0" borderId="276" xfId="1" applyNumberFormat="1" applyFont="1" applyBorder="1" applyAlignment="1">
      <alignment horizontal="center" vertical="center"/>
    </xf>
    <xf numFmtId="9" fontId="36" fillId="0" borderId="275" xfId="7" applyFont="1" applyFill="1" applyBorder="1" applyAlignment="1">
      <alignment horizontal="center" vertical="center"/>
    </xf>
    <xf numFmtId="9" fontId="71" fillId="0" borderId="276" xfId="7" applyFont="1" applyFill="1" applyBorder="1" applyAlignment="1">
      <alignment horizontal="center" vertical="center"/>
    </xf>
    <xf numFmtId="4" fontId="25" fillId="0" borderId="275" xfId="1" applyNumberFormat="1" applyFont="1" applyBorder="1" applyAlignment="1">
      <alignment horizontal="center" vertical="center" wrapText="1"/>
    </xf>
    <xf numFmtId="4" fontId="25" fillId="0" borderId="276" xfId="1" applyNumberFormat="1" applyFont="1" applyBorder="1" applyAlignment="1">
      <alignment horizontal="center" vertical="center" wrapText="1"/>
    </xf>
    <xf numFmtId="3" fontId="27" fillId="0" borderId="275" xfId="6" applyNumberFormat="1" applyFont="1" applyFill="1" applyBorder="1" applyAlignment="1">
      <alignment horizontal="center" vertical="center"/>
    </xf>
    <xf numFmtId="9" fontId="173" fillId="0" borderId="276" xfId="7" applyFont="1" applyFill="1" applyBorder="1" applyAlignment="1">
      <alignment horizontal="center" vertical="center"/>
    </xf>
    <xf numFmtId="4" fontId="25" fillId="0" borderId="275" xfId="1" applyNumberFormat="1" applyFont="1" applyBorder="1" applyAlignment="1">
      <alignment horizontal="center" vertical="center"/>
    </xf>
    <xf numFmtId="9" fontId="36" fillId="0" borderId="276" xfId="7" applyFont="1" applyFill="1" applyBorder="1" applyAlignment="1">
      <alignment horizontal="center" vertical="center"/>
    </xf>
    <xf numFmtId="9" fontId="27" fillId="0" borderId="276" xfId="7" applyFont="1" applyFill="1" applyBorder="1" applyAlignment="1">
      <alignment horizontal="center" vertical="center"/>
    </xf>
    <xf numFmtId="0" fontId="24" fillId="11" borderId="277" xfId="1" applyFont="1" applyFill="1" applyBorder="1" applyAlignment="1">
      <alignment vertical="center"/>
    </xf>
    <xf numFmtId="4" fontId="24" fillId="11" borderId="278" xfId="1" applyNumberFormat="1" applyFont="1" applyFill="1" applyBorder="1" applyAlignment="1">
      <alignment horizontal="center" vertical="center"/>
    </xf>
    <xf numFmtId="4" fontId="24" fillId="11" borderId="273" xfId="1" applyNumberFormat="1" applyFont="1" applyFill="1" applyBorder="1" applyAlignment="1">
      <alignment horizontal="center" vertical="center"/>
    </xf>
    <xf numFmtId="4" fontId="72" fillId="11" borderId="273" xfId="1" applyNumberFormat="1" applyFont="1" applyFill="1" applyBorder="1" applyAlignment="1">
      <alignment horizontal="center" vertical="center"/>
    </xf>
    <xf numFmtId="4" fontId="72" fillId="11" borderId="278" xfId="1" applyNumberFormat="1" applyFont="1" applyFill="1" applyBorder="1" applyAlignment="1">
      <alignment horizontal="center" vertical="center"/>
    </xf>
    <xf numFmtId="3" fontId="24" fillId="11" borderId="278" xfId="1" applyNumberFormat="1" applyFont="1" applyFill="1" applyBorder="1" applyAlignment="1">
      <alignment horizontal="center" vertical="center"/>
    </xf>
    <xf numFmtId="3" fontId="24" fillId="11" borderId="273" xfId="1" applyNumberFormat="1" applyFont="1" applyFill="1" applyBorder="1" applyAlignment="1">
      <alignment horizontal="center" vertical="center"/>
    </xf>
    <xf numFmtId="4" fontId="33" fillId="11" borderId="273" xfId="1" applyNumberFormat="1" applyFont="1" applyFill="1" applyBorder="1" applyAlignment="1">
      <alignment horizontal="center" vertical="center"/>
    </xf>
    <xf numFmtId="40" fontId="24" fillId="11" borderId="273" xfId="1" applyNumberFormat="1" applyFont="1" applyFill="1" applyBorder="1" applyAlignment="1">
      <alignment horizontal="center" vertical="center"/>
    </xf>
    <xf numFmtId="0" fontId="19" fillId="0" borderId="277" xfId="1" applyFont="1" applyBorder="1" applyAlignment="1">
      <alignment horizontal="left" vertical="center"/>
    </xf>
    <xf numFmtId="0" fontId="71" fillId="0" borderId="272" xfId="1" applyFont="1" applyBorder="1" applyAlignment="1">
      <alignment horizontal="center" vertical="center"/>
    </xf>
    <xf numFmtId="0" fontId="173" fillId="0" borderId="272" xfId="1" applyFont="1" applyBorder="1" applyAlignment="1">
      <alignment horizontal="center" vertical="center"/>
    </xf>
    <xf numFmtId="0" fontId="27" fillId="0" borderId="272" xfId="1" applyFont="1" applyBorder="1" applyAlignment="1">
      <alignment horizontal="center" vertical="center"/>
    </xf>
    <xf numFmtId="0" fontId="19" fillId="0" borderId="279" xfId="1" applyFont="1" applyBorder="1" applyAlignment="1">
      <alignment horizontal="left" vertical="center"/>
    </xf>
    <xf numFmtId="10" fontId="27" fillId="0" borderId="276" xfId="1" applyNumberFormat="1" applyFont="1" applyBorder="1" applyAlignment="1">
      <alignment horizontal="center" vertical="center"/>
    </xf>
    <xf numFmtId="10" fontId="71" fillId="0" borderId="276" xfId="1" applyNumberFormat="1" applyFont="1" applyBorder="1" applyAlignment="1">
      <alignment horizontal="center" vertical="center"/>
    </xf>
    <xf numFmtId="3" fontId="27" fillId="0" borderId="276" xfId="1" applyNumberFormat="1" applyFont="1" applyBorder="1" applyAlignment="1">
      <alignment horizontal="center" vertical="center"/>
    </xf>
    <xf numFmtId="10" fontId="173" fillId="0" borderId="276" xfId="1" applyNumberFormat="1" applyFont="1" applyBorder="1" applyAlignment="1">
      <alignment horizontal="center" vertical="center"/>
    </xf>
    <xf numFmtId="10" fontId="27" fillId="0" borderId="275" xfId="1" applyNumberFormat="1" applyFont="1" applyBorder="1" applyAlignment="1">
      <alignment horizontal="center" vertical="center"/>
    </xf>
    <xf numFmtId="40" fontId="27" fillId="0" borderId="275" xfId="1" applyNumberFormat="1" applyFont="1" applyBorder="1" applyAlignment="1">
      <alignment horizontal="center" vertical="center"/>
    </xf>
    <xf numFmtId="0" fontId="24" fillId="0" borderId="279" xfId="1" applyFont="1" applyBorder="1" applyAlignment="1">
      <alignment vertical="center"/>
    </xf>
    <xf numFmtId="10" fontId="24" fillId="0" borderId="276" xfId="1" applyNumberFormat="1" applyFont="1" applyBorder="1" applyAlignment="1">
      <alignment horizontal="center" vertical="center"/>
    </xf>
    <xf numFmtId="10" fontId="72" fillId="0" borderId="276" xfId="1" applyNumberFormat="1" applyFont="1" applyBorder="1" applyAlignment="1">
      <alignment horizontal="center" vertical="center"/>
    </xf>
    <xf numFmtId="3" fontId="24" fillId="0" borderId="276" xfId="1" applyNumberFormat="1" applyFont="1" applyBorder="1" applyAlignment="1">
      <alignment horizontal="center" vertical="center"/>
    </xf>
    <xf numFmtId="10" fontId="33" fillId="0" borderId="276" xfId="1" applyNumberFormat="1" applyFont="1" applyBorder="1" applyAlignment="1">
      <alignment horizontal="center" vertical="center"/>
    </xf>
    <xf numFmtId="10" fontId="24" fillId="0" borderId="275" xfId="1" applyNumberFormat="1" applyFont="1" applyBorder="1" applyAlignment="1">
      <alignment horizontal="center" vertical="center"/>
    </xf>
    <xf numFmtId="9" fontId="36" fillId="4" borderId="272" xfId="7" applyFont="1" applyFill="1" applyBorder="1" applyAlignment="1">
      <alignment horizontal="center" vertical="center"/>
    </xf>
    <xf numFmtId="0" fontId="19" fillId="0" borderId="277" xfId="1" applyFont="1" applyBorder="1" applyAlignment="1">
      <alignment vertical="center"/>
    </xf>
    <xf numFmtId="9" fontId="71" fillId="0" borderId="272" xfId="7" applyFont="1" applyFill="1" applyBorder="1" applyAlignment="1">
      <alignment horizontal="center" vertical="center"/>
    </xf>
    <xf numFmtId="9" fontId="173" fillId="0" borderId="272" xfId="7" applyFont="1" applyFill="1" applyBorder="1" applyAlignment="1">
      <alignment horizontal="center" vertical="center"/>
    </xf>
    <xf numFmtId="9" fontId="71" fillId="0" borderId="273" xfId="7" applyFont="1" applyFill="1" applyBorder="1" applyAlignment="1">
      <alignment horizontal="center" vertical="center"/>
    </xf>
    <xf numFmtId="4" fontId="25" fillId="0" borderId="272" xfId="1" applyNumberFormat="1" applyFont="1" applyBorder="1" applyAlignment="1">
      <alignment horizontal="center" vertical="center" wrapText="1"/>
    </xf>
    <xf numFmtId="3" fontId="27" fillId="0" borderId="273" xfId="6" applyNumberFormat="1" applyFont="1" applyFill="1" applyBorder="1" applyAlignment="1">
      <alignment horizontal="center" vertical="center"/>
    </xf>
    <xf numFmtId="3" fontId="25" fillId="0" borderId="272" xfId="1" applyNumberFormat="1" applyFont="1" applyBorder="1" applyAlignment="1">
      <alignment horizontal="center" vertical="center"/>
    </xf>
    <xf numFmtId="0" fontId="19" fillId="0" borderId="270" xfId="1" applyFont="1" applyBorder="1" applyAlignment="1">
      <alignment vertical="center"/>
    </xf>
    <xf numFmtId="0" fontId="19" fillId="0" borderId="279" xfId="1" applyFont="1" applyBorder="1" applyAlignment="1">
      <alignment vertical="center"/>
    </xf>
    <xf numFmtId="10" fontId="26" fillId="5" borderId="276" xfId="1" applyNumberFormat="1" applyFont="1" applyFill="1" applyBorder="1" applyAlignment="1">
      <alignment horizontal="center" vertical="center"/>
    </xf>
    <xf numFmtId="10" fontId="68" fillId="5" borderId="276" xfId="1" applyNumberFormat="1" applyFont="1" applyFill="1" applyBorder="1" applyAlignment="1">
      <alignment horizontal="center" vertical="center"/>
    </xf>
    <xf numFmtId="10" fontId="68" fillId="5" borderId="275" xfId="1" applyNumberFormat="1" applyFont="1" applyFill="1" applyBorder="1" applyAlignment="1">
      <alignment horizontal="center" vertical="center"/>
    </xf>
    <xf numFmtId="3" fontId="26" fillId="5" borderId="276" xfId="1" applyNumberFormat="1" applyFont="1" applyFill="1" applyBorder="1" applyAlignment="1">
      <alignment horizontal="center" vertical="center"/>
    </xf>
    <xf numFmtId="10" fontId="174" fillId="5" borderId="276" xfId="1" applyNumberFormat="1" applyFont="1" applyFill="1" applyBorder="1" applyAlignment="1">
      <alignment horizontal="center" vertical="center"/>
    </xf>
    <xf numFmtId="10" fontId="26" fillId="5" borderId="275" xfId="1" applyNumberFormat="1" applyFont="1" applyFill="1" applyBorder="1" applyAlignment="1">
      <alignment horizontal="center" vertical="center"/>
    </xf>
    <xf numFmtId="0" fontId="19" fillId="0" borderId="278" xfId="1" applyFont="1" applyBorder="1" applyAlignment="1">
      <alignment horizontal="left" vertical="center"/>
    </xf>
    <xf numFmtId="4" fontId="24" fillId="4" borderId="273" xfId="1" applyNumberFormat="1" applyFont="1" applyFill="1" applyBorder="1" applyAlignment="1">
      <alignment horizontal="center" vertical="center"/>
    </xf>
    <xf numFmtId="10" fontId="26" fillId="0" borderId="275" xfId="1" applyNumberFormat="1" applyFont="1" applyBorder="1" applyAlignment="1">
      <alignment horizontal="center" vertical="center"/>
    </xf>
    <xf numFmtId="0" fontId="24" fillId="4" borderId="280" xfId="1" applyFont="1" applyFill="1" applyBorder="1" applyAlignment="1">
      <alignment vertical="center"/>
    </xf>
    <xf numFmtId="3" fontId="24" fillId="4" borderId="280" xfId="1" applyNumberFormat="1" applyFont="1" applyFill="1" applyBorder="1" applyAlignment="1">
      <alignment horizontal="center" vertical="center"/>
    </xf>
    <xf numFmtId="3" fontId="24" fillId="4" borderId="275" xfId="1" applyNumberFormat="1" applyFont="1" applyFill="1" applyBorder="1" applyAlignment="1">
      <alignment horizontal="center" vertical="center"/>
    </xf>
    <xf numFmtId="4" fontId="24" fillId="4" borderId="275" xfId="1" applyNumberFormat="1" applyFont="1" applyFill="1" applyBorder="1" applyAlignment="1">
      <alignment horizontal="center" vertical="center"/>
    </xf>
    <xf numFmtId="4" fontId="72" fillId="4" borderId="275" xfId="1" applyNumberFormat="1" applyFont="1" applyFill="1" applyBorder="1" applyAlignment="1">
      <alignment horizontal="center" vertical="center"/>
    </xf>
    <xf numFmtId="4" fontId="72" fillId="4" borderId="280" xfId="1" applyNumberFormat="1" applyFont="1" applyFill="1" applyBorder="1" applyAlignment="1">
      <alignment horizontal="center" vertical="center"/>
    </xf>
    <xf numFmtId="4" fontId="33" fillId="4" borderId="275" xfId="1" applyNumberFormat="1" applyFont="1" applyFill="1" applyBorder="1" applyAlignment="1">
      <alignment horizontal="center" vertical="center"/>
    </xf>
    <xf numFmtId="0" fontId="19" fillId="0" borderId="278" xfId="1" applyFont="1" applyBorder="1" applyAlignment="1">
      <alignment vertical="center"/>
    </xf>
    <xf numFmtId="10" fontId="26" fillId="0" borderId="272" xfId="1" applyNumberFormat="1" applyFont="1" applyBorder="1" applyAlignment="1">
      <alignment horizontal="center" vertical="center"/>
    </xf>
    <xf numFmtId="10" fontId="68" fillId="0" borderId="272" xfId="1" applyNumberFormat="1" applyFont="1" applyBorder="1" applyAlignment="1">
      <alignment horizontal="center" vertical="center"/>
    </xf>
    <xf numFmtId="3" fontId="26" fillId="0" borderId="272" xfId="1" applyNumberFormat="1" applyFont="1" applyBorder="1" applyAlignment="1">
      <alignment horizontal="center" vertical="center"/>
    </xf>
    <xf numFmtId="10" fontId="174" fillId="0" borderId="272" xfId="1" applyNumberFormat="1" applyFont="1" applyBorder="1" applyAlignment="1">
      <alignment horizontal="center" vertical="center"/>
    </xf>
    <xf numFmtId="10" fontId="26" fillId="0" borderId="273" xfId="1" applyNumberFormat="1" applyFont="1" applyBorder="1" applyAlignment="1">
      <alignment horizontal="center" vertical="center"/>
    </xf>
    <xf numFmtId="38" fontId="24" fillId="4" borderId="275" xfId="1" applyNumberFormat="1" applyFont="1" applyFill="1" applyBorder="1" applyAlignment="1">
      <alignment horizontal="center" vertical="center"/>
    </xf>
    <xf numFmtId="0" fontId="24" fillId="6" borderId="278" xfId="1" applyFont="1" applyFill="1" applyBorder="1" applyAlignment="1">
      <alignment vertical="center"/>
    </xf>
    <xf numFmtId="3" fontId="28" fillId="6" borderId="278" xfId="1" applyNumberFormat="1" applyFont="1" applyFill="1" applyBorder="1" applyAlignment="1">
      <alignment horizontal="center" vertical="center"/>
    </xf>
    <xf numFmtId="3" fontId="28" fillId="6" borderId="273" xfId="1" applyNumberFormat="1" applyFont="1" applyFill="1" applyBorder="1" applyAlignment="1">
      <alignment horizontal="center" vertical="center"/>
    </xf>
    <xf numFmtId="4" fontId="28" fillId="6" borderId="273" xfId="1" applyNumberFormat="1" applyFont="1" applyFill="1" applyBorder="1" applyAlignment="1">
      <alignment horizontal="center" vertical="center"/>
    </xf>
    <xf numFmtId="4" fontId="74" fillId="6" borderId="273" xfId="1" applyNumberFormat="1" applyFont="1" applyFill="1" applyBorder="1" applyAlignment="1">
      <alignment horizontal="center" vertical="center"/>
    </xf>
    <xf numFmtId="4" fontId="74" fillId="6" borderId="278" xfId="1" applyNumberFormat="1" applyFont="1" applyFill="1" applyBorder="1" applyAlignment="1">
      <alignment horizontal="center" vertical="center"/>
    </xf>
    <xf numFmtId="4" fontId="175" fillId="6" borderId="273" xfId="1" applyNumberFormat="1" applyFont="1" applyFill="1" applyBorder="1" applyAlignment="1">
      <alignment horizontal="center" vertical="center"/>
    </xf>
    <xf numFmtId="0" fontId="24" fillId="8" borderId="280" xfId="1" applyFont="1" applyFill="1" applyBorder="1" applyAlignment="1">
      <alignment vertical="center"/>
    </xf>
    <xf numFmtId="3" fontId="24" fillId="8" borderId="275" xfId="1" applyNumberFormat="1" applyFont="1" applyFill="1" applyBorder="1" applyAlignment="1">
      <alignment horizontal="center" vertical="center"/>
    </xf>
    <xf numFmtId="4" fontId="24" fillId="8" borderId="275" xfId="1" applyNumberFormat="1" applyFont="1" applyFill="1" applyBorder="1" applyAlignment="1">
      <alignment horizontal="center" vertical="center"/>
    </xf>
    <xf numFmtId="4" fontId="72" fillId="8" borderId="275" xfId="1" applyNumberFormat="1" applyFont="1" applyFill="1" applyBorder="1" applyAlignment="1">
      <alignment horizontal="center" vertical="center"/>
    </xf>
    <xf numFmtId="4" fontId="33" fillId="8" borderId="275" xfId="1" applyNumberFormat="1" applyFont="1" applyFill="1" applyBorder="1" applyAlignment="1">
      <alignment horizontal="center" vertical="center"/>
    </xf>
    <xf numFmtId="0" fontId="24" fillId="6" borderId="277" xfId="1" applyFont="1" applyFill="1" applyBorder="1" applyAlignment="1">
      <alignment vertical="center" wrapText="1"/>
    </xf>
    <xf numFmtId="3" fontId="24" fillId="6" borderId="273" xfId="1" applyNumberFormat="1" applyFont="1" applyFill="1" applyBorder="1" applyAlignment="1">
      <alignment horizontal="center" vertical="center"/>
    </xf>
    <xf numFmtId="4" fontId="24" fillId="6" borderId="273" xfId="1" applyNumberFormat="1" applyFont="1" applyFill="1" applyBorder="1" applyAlignment="1">
      <alignment horizontal="center" vertical="center"/>
    </xf>
    <xf numFmtId="4" fontId="72" fillId="6" borderId="273" xfId="1" applyNumberFormat="1" applyFont="1" applyFill="1" applyBorder="1" applyAlignment="1">
      <alignment horizontal="center" vertical="center"/>
    </xf>
    <xf numFmtId="4" fontId="33" fillId="6" borderId="273" xfId="1" applyNumberFormat="1" applyFont="1" applyFill="1" applyBorder="1" applyAlignment="1">
      <alignment horizontal="center" vertical="center"/>
    </xf>
    <xf numFmtId="0" fontId="24" fillId="3" borderId="280" xfId="1" applyFont="1" applyFill="1" applyBorder="1" applyAlignment="1">
      <alignment vertical="center"/>
    </xf>
    <xf numFmtId="9" fontId="24" fillId="3" borderId="280" xfId="7" applyFont="1" applyFill="1" applyBorder="1" applyAlignment="1">
      <alignment horizontal="center" vertical="center"/>
    </xf>
    <xf numFmtId="3" fontId="24" fillId="3" borderId="280" xfId="1" applyNumberFormat="1" applyFont="1" applyFill="1" applyBorder="1" applyAlignment="1">
      <alignment horizontal="center" vertical="center"/>
    </xf>
    <xf numFmtId="9" fontId="24" fillId="3" borderId="275" xfId="7" applyFont="1" applyFill="1" applyBorder="1" applyAlignment="1">
      <alignment horizontal="center" vertical="center"/>
    </xf>
    <xf numFmtId="10" fontId="24" fillId="3" borderId="275" xfId="1" applyNumberFormat="1" applyFont="1" applyFill="1" applyBorder="1" applyAlignment="1">
      <alignment horizontal="center" vertical="center"/>
    </xf>
    <xf numFmtId="10" fontId="72" fillId="3" borderId="275" xfId="1" applyNumberFormat="1" applyFont="1" applyFill="1" applyBorder="1" applyAlignment="1">
      <alignment horizontal="center" vertical="center"/>
    </xf>
    <xf numFmtId="10" fontId="72" fillId="3" borderId="280" xfId="1" applyNumberFormat="1" applyFont="1" applyFill="1" applyBorder="1" applyAlignment="1">
      <alignment horizontal="center" vertical="center"/>
    </xf>
    <xf numFmtId="9" fontId="24" fillId="3" borderId="280" xfId="7" applyNumberFormat="1" applyFont="1" applyFill="1" applyBorder="1" applyAlignment="1">
      <alignment horizontal="center" vertical="center"/>
    </xf>
    <xf numFmtId="9" fontId="24" fillId="3" borderId="280" xfId="1" applyNumberFormat="1" applyFont="1" applyFill="1" applyBorder="1" applyAlignment="1">
      <alignment horizontal="center" vertical="center"/>
    </xf>
    <xf numFmtId="9" fontId="24" fillId="3" borderId="275" xfId="7" applyNumberFormat="1" applyFont="1" applyFill="1" applyBorder="1" applyAlignment="1">
      <alignment horizontal="center" vertical="center"/>
    </xf>
    <xf numFmtId="10" fontId="33" fillId="3" borderId="275" xfId="1" applyNumberFormat="1" applyFont="1" applyFill="1" applyBorder="1" applyAlignment="1">
      <alignment horizontal="center" vertical="center"/>
    </xf>
    <xf numFmtId="179" fontId="16" fillId="0" borderId="0" xfId="1" applyNumberFormat="1" applyFont="1" applyAlignment="1">
      <alignment horizontal="left" vertical="center"/>
    </xf>
    <xf numFmtId="179" fontId="16" fillId="0" borderId="0" xfId="1" applyNumberFormat="1" applyFont="1" applyAlignment="1">
      <alignment horizontal="center" vertical="center"/>
    </xf>
    <xf numFmtId="3" fontId="25" fillId="0" borderId="79" xfId="1" applyNumberFormat="1" applyFont="1" applyBorder="1" applyAlignment="1">
      <alignment horizontal="center" vertical="center"/>
    </xf>
    <xf numFmtId="40" fontId="25" fillId="0" borderId="6" xfId="1" applyNumberFormat="1" applyFont="1" applyBorder="1" applyAlignment="1">
      <alignment horizontal="center" vertical="center"/>
    </xf>
    <xf numFmtId="40" fontId="25" fillId="0" borderId="79" xfId="1" applyNumberFormat="1" applyFont="1" applyBorder="1" applyAlignment="1">
      <alignment horizontal="center" vertical="center"/>
    </xf>
    <xf numFmtId="0" fontId="19" fillId="0" borderId="281" xfId="1" applyFont="1" applyBorder="1" applyAlignment="1">
      <alignment horizontal="left" vertical="center"/>
    </xf>
    <xf numFmtId="4" fontId="25" fillId="0" borderId="282" xfId="1" applyNumberFormat="1" applyFont="1" applyBorder="1" applyAlignment="1">
      <alignment horizontal="center" vertical="center"/>
    </xf>
    <xf numFmtId="4" fontId="109" fillId="0" borderId="282" xfId="1" applyNumberFormat="1" applyFont="1" applyBorder="1" applyAlignment="1">
      <alignment horizontal="center" vertical="center"/>
    </xf>
    <xf numFmtId="9" fontId="36" fillId="0" borderId="283" xfId="7" applyFont="1" applyFill="1" applyBorder="1" applyAlignment="1">
      <alignment horizontal="center" vertical="center"/>
    </xf>
    <xf numFmtId="0" fontId="19" fillId="0" borderId="284" xfId="1" applyFont="1" applyBorder="1" applyAlignment="1">
      <alignment vertical="center"/>
    </xf>
    <xf numFmtId="9" fontId="27" fillId="0" borderId="283" xfId="7" applyFont="1" applyFill="1" applyBorder="1" applyAlignment="1">
      <alignment horizontal="center" vertical="center"/>
    </xf>
    <xf numFmtId="0" fontId="19" fillId="0" borderId="285" xfId="1" applyFont="1" applyBorder="1" applyAlignment="1">
      <alignment vertical="center"/>
    </xf>
    <xf numFmtId="9" fontId="68" fillId="0" borderId="283" xfId="7" applyFont="1" applyFill="1" applyBorder="1" applyAlignment="1">
      <alignment horizontal="center" vertical="center"/>
    </xf>
    <xf numFmtId="9" fontId="174" fillId="0" borderId="283" xfId="7" applyFont="1" applyFill="1" applyBorder="1" applyAlignment="1">
      <alignment horizontal="center" vertical="center"/>
    </xf>
    <xf numFmtId="4" fontId="25" fillId="0" borderId="284" xfId="1" applyNumberFormat="1" applyFont="1" applyBorder="1" applyAlignment="1">
      <alignment horizontal="center" vertical="center"/>
    </xf>
    <xf numFmtId="4" fontId="25" fillId="0" borderId="283" xfId="1" applyNumberFormat="1" applyFont="1" applyBorder="1" applyAlignment="1">
      <alignment horizontal="center" vertical="center"/>
    </xf>
    <xf numFmtId="0" fontId="19" fillId="0" borderId="286" xfId="1" applyFont="1" applyBorder="1" applyAlignment="1">
      <alignment vertical="center"/>
    </xf>
    <xf numFmtId="4" fontId="25" fillId="0" borderId="287" xfId="1" applyNumberFormat="1" applyFont="1" applyBorder="1" applyAlignment="1">
      <alignment horizontal="center" vertical="center"/>
    </xf>
    <xf numFmtId="3" fontId="25" fillId="0" borderId="287" xfId="1" applyNumberFormat="1" applyFont="1" applyBorder="1" applyAlignment="1">
      <alignment horizontal="center" vertical="center"/>
    </xf>
    <xf numFmtId="9" fontId="36" fillId="0" borderId="286" xfId="7" applyFont="1" applyFill="1" applyBorder="1" applyAlignment="1">
      <alignment horizontal="center" vertical="center"/>
    </xf>
    <xf numFmtId="9" fontId="71" fillId="0" borderId="287" xfId="7" applyFont="1" applyFill="1" applyBorder="1" applyAlignment="1">
      <alignment horizontal="center" vertical="center"/>
    </xf>
    <xf numFmtId="4" fontId="25" fillId="0" borderId="286" xfId="1" applyNumberFormat="1" applyFont="1" applyBorder="1" applyAlignment="1">
      <alignment horizontal="center" vertical="center" wrapText="1"/>
    </xf>
    <xf numFmtId="4" fontId="25" fillId="0" borderId="287" xfId="1" applyNumberFormat="1" applyFont="1" applyBorder="1" applyAlignment="1">
      <alignment horizontal="center" vertical="center" wrapText="1"/>
    </xf>
    <xf numFmtId="3" fontId="27" fillId="0" borderId="286" xfId="6" applyNumberFormat="1" applyFont="1" applyFill="1" applyBorder="1" applyAlignment="1">
      <alignment horizontal="center" vertical="center"/>
    </xf>
    <xf numFmtId="9" fontId="173" fillId="0" borderId="287" xfId="7" applyFont="1" applyFill="1" applyBorder="1" applyAlignment="1">
      <alignment horizontal="center" vertical="center"/>
    </xf>
    <xf numFmtId="4" fontId="25" fillId="0" borderId="286" xfId="1" applyNumberFormat="1" applyFont="1" applyBorder="1" applyAlignment="1">
      <alignment horizontal="center" vertical="center"/>
    </xf>
    <xf numFmtId="9" fontId="36" fillId="0" borderId="287" xfId="7" applyFont="1" applyFill="1" applyBorder="1" applyAlignment="1">
      <alignment horizontal="center" vertical="center"/>
    </xf>
    <xf numFmtId="9" fontId="27" fillId="0" borderId="287" xfId="7" applyFont="1" applyFill="1" applyBorder="1" applyAlignment="1">
      <alignment horizontal="center" vertical="center"/>
    </xf>
    <xf numFmtId="0" fontId="24" fillId="11" borderId="288" xfId="1" applyFont="1" applyFill="1" applyBorder="1" applyAlignment="1">
      <alignment vertical="center"/>
    </xf>
    <xf numFmtId="4" fontId="24" fillId="11" borderId="289" xfId="1" applyNumberFormat="1" applyFont="1" applyFill="1" applyBorder="1" applyAlignment="1">
      <alignment horizontal="center" vertical="center"/>
    </xf>
    <xf numFmtId="4" fontId="24" fillId="11" borderId="284" xfId="1" applyNumberFormat="1" applyFont="1" applyFill="1" applyBorder="1" applyAlignment="1">
      <alignment horizontal="center" vertical="center"/>
    </xf>
    <xf numFmtId="4" fontId="72" fillId="11" borderId="284" xfId="1" applyNumberFormat="1" applyFont="1" applyFill="1" applyBorder="1" applyAlignment="1">
      <alignment horizontal="center" vertical="center"/>
    </xf>
    <xf numFmtId="4" fontId="72" fillId="11" borderId="289" xfId="1" applyNumberFormat="1" applyFont="1" applyFill="1" applyBorder="1" applyAlignment="1">
      <alignment horizontal="center" vertical="center"/>
    </xf>
    <xf numFmtId="4" fontId="33" fillId="11" borderId="284" xfId="1" applyNumberFormat="1" applyFont="1" applyFill="1" applyBorder="1" applyAlignment="1">
      <alignment horizontal="center" vertical="center"/>
    </xf>
    <xf numFmtId="40" fontId="24" fillId="11" borderId="284" xfId="1" applyNumberFormat="1" applyFont="1" applyFill="1" applyBorder="1" applyAlignment="1">
      <alignment horizontal="center" vertical="center"/>
    </xf>
    <xf numFmtId="0" fontId="19" fillId="0" borderId="288" xfId="1" applyFont="1" applyBorder="1" applyAlignment="1">
      <alignment horizontal="left" vertical="center"/>
    </xf>
    <xf numFmtId="0" fontId="71" fillId="0" borderId="283" xfId="1" applyFont="1" applyBorder="1" applyAlignment="1">
      <alignment horizontal="center" vertical="center"/>
    </xf>
    <xf numFmtId="0" fontId="173" fillId="0" borderId="283" xfId="1" applyFont="1" applyBorder="1" applyAlignment="1">
      <alignment horizontal="center" vertical="center"/>
    </xf>
    <xf numFmtId="0" fontId="27" fillId="0" borderId="283" xfId="1" applyFont="1" applyBorder="1" applyAlignment="1">
      <alignment horizontal="center" vertical="center"/>
    </xf>
    <xf numFmtId="0" fontId="19" fillId="0" borderId="290" xfId="1" applyFont="1" applyBorder="1" applyAlignment="1">
      <alignment horizontal="left" vertical="center"/>
    </xf>
    <xf numFmtId="10" fontId="27" fillId="0" borderId="287" xfId="1" applyNumberFormat="1" applyFont="1" applyBorder="1" applyAlignment="1">
      <alignment horizontal="center" vertical="center"/>
    </xf>
    <xf numFmtId="10" fontId="71" fillId="0" borderId="287" xfId="1" applyNumberFormat="1" applyFont="1" applyBorder="1" applyAlignment="1">
      <alignment horizontal="center" vertical="center"/>
    </xf>
    <xf numFmtId="10" fontId="173" fillId="0" borderId="287" xfId="1" applyNumberFormat="1" applyFont="1" applyBorder="1" applyAlignment="1">
      <alignment horizontal="center" vertical="center"/>
    </xf>
    <xf numFmtId="10" fontId="27" fillId="0" borderId="286" xfId="1" applyNumberFormat="1" applyFont="1" applyBorder="1" applyAlignment="1">
      <alignment horizontal="center" vertical="center"/>
    </xf>
    <xf numFmtId="40" fontId="27" fillId="0" borderId="286" xfId="1" applyNumberFormat="1" applyFont="1" applyBorder="1" applyAlignment="1">
      <alignment horizontal="center" vertical="center"/>
    </xf>
    <xf numFmtId="0" fontId="24" fillId="0" borderId="290" xfId="1" applyFont="1" applyBorder="1" applyAlignment="1">
      <alignment vertical="center"/>
    </xf>
    <xf numFmtId="10" fontId="24" fillId="0" borderId="287" xfId="1" applyNumberFormat="1" applyFont="1" applyBorder="1" applyAlignment="1">
      <alignment horizontal="center" vertical="center"/>
    </xf>
    <xf numFmtId="10" fontId="72" fillId="0" borderId="287" xfId="1" applyNumberFormat="1" applyFont="1" applyBorder="1" applyAlignment="1">
      <alignment horizontal="center" vertical="center"/>
    </xf>
    <xf numFmtId="10" fontId="33" fillId="0" borderId="287" xfId="1" applyNumberFormat="1" applyFont="1" applyBorder="1" applyAlignment="1">
      <alignment horizontal="center" vertical="center"/>
    </xf>
    <xf numFmtId="10" fontId="24" fillId="0" borderId="286" xfId="1" applyNumberFormat="1" applyFont="1" applyBorder="1" applyAlignment="1">
      <alignment horizontal="center" vertical="center"/>
    </xf>
    <xf numFmtId="9" fontId="36" fillId="4" borderId="283" xfId="7" applyFont="1" applyFill="1" applyBorder="1" applyAlignment="1">
      <alignment horizontal="center" vertical="center"/>
    </xf>
    <xf numFmtId="0" fontId="19" fillId="0" borderId="288" xfId="1" applyFont="1" applyBorder="1" applyAlignment="1">
      <alignment vertical="center"/>
    </xf>
    <xf numFmtId="9" fontId="71" fillId="0" borderId="283" xfId="7" applyFont="1" applyFill="1" applyBorder="1" applyAlignment="1">
      <alignment horizontal="center" vertical="center"/>
    </xf>
    <xf numFmtId="9" fontId="173" fillId="0" borderId="283" xfId="7" applyFont="1" applyFill="1" applyBorder="1" applyAlignment="1">
      <alignment horizontal="center" vertical="center"/>
    </xf>
    <xf numFmtId="9" fontId="71" fillId="0" borderId="284" xfId="7" applyFont="1" applyFill="1" applyBorder="1" applyAlignment="1">
      <alignment horizontal="center" vertical="center"/>
    </xf>
    <xf numFmtId="4" fontId="25" fillId="0" borderId="283" xfId="1" applyNumberFormat="1" applyFont="1" applyBorder="1" applyAlignment="1">
      <alignment horizontal="center" vertical="center" wrapText="1"/>
    </xf>
    <xf numFmtId="3" fontId="27" fillId="0" borderId="284" xfId="6" applyNumberFormat="1" applyFont="1" applyFill="1" applyBorder="1" applyAlignment="1">
      <alignment horizontal="center" vertical="center"/>
    </xf>
    <xf numFmtId="3" fontId="25" fillId="0" borderId="283" xfId="1" applyNumberFormat="1" applyFont="1" applyBorder="1" applyAlignment="1">
      <alignment horizontal="center" vertical="center"/>
    </xf>
    <xf numFmtId="0" fontId="19" fillId="0" borderId="281" xfId="1" applyFont="1" applyBorder="1" applyAlignment="1">
      <alignment vertical="center"/>
    </xf>
    <xf numFmtId="0" fontId="19" fillId="0" borderId="290" xfId="1" applyFont="1" applyBorder="1" applyAlignment="1">
      <alignment vertical="center"/>
    </xf>
    <xf numFmtId="10" fontId="26" fillId="5" borderId="287" xfId="1" applyNumberFormat="1" applyFont="1" applyFill="1" applyBorder="1" applyAlignment="1">
      <alignment horizontal="center" vertical="center"/>
    </xf>
    <xf numFmtId="10" fontId="68" fillId="5" borderId="287" xfId="1" applyNumberFormat="1" applyFont="1" applyFill="1" applyBorder="1" applyAlignment="1">
      <alignment horizontal="center" vertical="center"/>
    </xf>
    <xf numFmtId="10" fontId="68" fillId="5" borderId="286" xfId="1" applyNumberFormat="1" applyFont="1" applyFill="1" applyBorder="1" applyAlignment="1">
      <alignment horizontal="center" vertical="center"/>
    </xf>
    <xf numFmtId="10" fontId="174" fillId="5" borderId="287" xfId="1" applyNumberFormat="1" applyFont="1" applyFill="1" applyBorder="1" applyAlignment="1">
      <alignment horizontal="center" vertical="center"/>
    </xf>
    <xf numFmtId="10" fontId="26" fillId="5" borderId="286" xfId="1" applyNumberFormat="1" applyFont="1" applyFill="1" applyBorder="1" applyAlignment="1">
      <alignment horizontal="center" vertical="center"/>
    </xf>
    <xf numFmtId="0" fontId="19" fillId="0" borderId="289" xfId="1" applyFont="1" applyBorder="1" applyAlignment="1">
      <alignment horizontal="left" vertical="center"/>
    </xf>
    <xf numFmtId="4" fontId="24" fillId="4" borderId="284" xfId="1" applyNumberFormat="1" applyFont="1" applyFill="1" applyBorder="1" applyAlignment="1">
      <alignment horizontal="center" vertical="center"/>
    </xf>
    <xf numFmtId="10" fontId="26" fillId="0" borderId="286" xfId="1" applyNumberFormat="1" applyFont="1" applyBorder="1" applyAlignment="1">
      <alignment horizontal="center" vertical="center"/>
    </xf>
    <xf numFmtId="0" fontId="24" fillId="4" borderId="291" xfId="1" applyFont="1" applyFill="1" applyBorder="1" applyAlignment="1">
      <alignment vertical="center"/>
    </xf>
    <xf numFmtId="3" fontId="24" fillId="4" borderId="291" xfId="1" applyNumberFormat="1" applyFont="1" applyFill="1" applyBorder="1" applyAlignment="1">
      <alignment horizontal="center" vertical="center"/>
    </xf>
    <xf numFmtId="3" fontId="24" fillId="4" borderId="286" xfId="1" applyNumberFormat="1" applyFont="1" applyFill="1" applyBorder="1" applyAlignment="1">
      <alignment horizontal="center" vertical="center"/>
    </xf>
    <xf numFmtId="4" fontId="24" fillId="4" borderId="286" xfId="1" applyNumberFormat="1" applyFont="1" applyFill="1" applyBorder="1" applyAlignment="1">
      <alignment horizontal="center" vertical="center"/>
    </xf>
    <xf numFmtId="4" fontId="72" fillId="4" borderId="286" xfId="1" applyNumberFormat="1" applyFont="1" applyFill="1" applyBorder="1" applyAlignment="1">
      <alignment horizontal="center" vertical="center"/>
    </xf>
    <xf numFmtId="4" fontId="72" fillId="4" borderId="291" xfId="1" applyNumberFormat="1" applyFont="1" applyFill="1" applyBorder="1" applyAlignment="1">
      <alignment horizontal="center" vertical="center"/>
    </xf>
    <xf numFmtId="4" fontId="33" fillId="4" borderId="286" xfId="1" applyNumberFormat="1" applyFont="1" applyFill="1" applyBorder="1" applyAlignment="1">
      <alignment horizontal="center" vertical="center"/>
    </xf>
    <xf numFmtId="0" fontId="19" fillId="0" borderId="289" xfId="1" applyFont="1" applyBorder="1" applyAlignment="1">
      <alignment vertical="center"/>
    </xf>
    <xf numFmtId="10" fontId="26" fillId="0" borderId="283" xfId="1" applyNumberFormat="1" applyFont="1" applyBorder="1" applyAlignment="1">
      <alignment horizontal="center" vertical="center"/>
    </xf>
    <xf numFmtId="10" fontId="68" fillId="0" borderId="283" xfId="1" applyNumberFormat="1" applyFont="1" applyBorder="1" applyAlignment="1">
      <alignment horizontal="center" vertical="center"/>
    </xf>
    <xf numFmtId="10" fontId="174" fillId="0" borderId="283" xfId="1" applyNumberFormat="1" applyFont="1" applyBorder="1" applyAlignment="1">
      <alignment horizontal="center" vertical="center"/>
    </xf>
    <xf numFmtId="10" fontId="26" fillId="0" borderId="284" xfId="1" applyNumberFormat="1" applyFont="1" applyBorder="1" applyAlignment="1">
      <alignment horizontal="center" vertical="center"/>
    </xf>
    <xf numFmtId="38" fontId="24" fillId="4" borderId="286" xfId="1" applyNumberFormat="1" applyFont="1" applyFill="1" applyBorder="1" applyAlignment="1">
      <alignment horizontal="center" vertical="center"/>
    </xf>
    <xf numFmtId="0" fontId="24" fillId="6" borderId="289" xfId="1" applyFont="1" applyFill="1" applyBorder="1" applyAlignment="1">
      <alignment vertical="center"/>
    </xf>
    <xf numFmtId="3" fontId="28" fillId="6" borderId="289" xfId="1" applyNumberFormat="1" applyFont="1" applyFill="1" applyBorder="1" applyAlignment="1">
      <alignment horizontal="center" vertical="center"/>
    </xf>
    <xf numFmtId="3" fontId="28" fillId="6" borderId="284" xfId="1" applyNumberFormat="1" applyFont="1" applyFill="1" applyBorder="1" applyAlignment="1">
      <alignment horizontal="center" vertical="center"/>
    </xf>
    <xf numFmtId="4" fontId="28" fillId="6" borderId="284" xfId="1" applyNumberFormat="1" applyFont="1" applyFill="1" applyBorder="1" applyAlignment="1">
      <alignment horizontal="center" vertical="center"/>
    </xf>
    <xf numFmtId="4" fontId="74" fillId="6" borderId="284" xfId="1" applyNumberFormat="1" applyFont="1" applyFill="1" applyBorder="1" applyAlignment="1">
      <alignment horizontal="center" vertical="center"/>
    </xf>
    <xf numFmtId="4" fontId="74" fillId="6" borderId="289" xfId="1" applyNumberFormat="1" applyFont="1" applyFill="1" applyBorder="1" applyAlignment="1">
      <alignment horizontal="center" vertical="center"/>
    </xf>
    <xf numFmtId="4" fontId="175" fillId="6" borderId="284" xfId="1" applyNumberFormat="1" applyFont="1" applyFill="1" applyBorder="1" applyAlignment="1">
      <alignment horizontal="center" vertical="center"/>
    </xf>
    <xf numFmtId="0" fontId="24" fillId="8" borderId="291" xfId="1" applyFont="1" applyFill="1" applyBorder="1" applyAlignment="1">
      <alignment vertical="center"/>
    </xf>
    <xf numFmtId="3" fontId="24" fillId="8" borderId="286" xfId="1" applyNumberFormat="1" applyFont="1" applyFill="1" applyBorder="1" applyAlignment="1">
      <alignment horizontal="center" vertical="center"/>
    </xf>
    <xf numFmtId="4" fontId="24" fillId="8" borderId="286" xfId="1" applyNumberFormat="1" applyFont="1" applyFill="1" applyBorder="1" applyAlignment="1">
      <alignment horizontal="center" vertical="center"/>
    </xf>
    <xf numFmtId="4" fontId="72" fillId="8" borderId="286" xfId="1" applyNumberFormat="1" applyFont="1" applyFill="1" applyBorder="1" applyAlignment="1">
      <alignment horizontal="center" vertical="center"/>
    </xf>
    <xf numFmtId="4" fontId="33" fillId="8" borderId="286" xfId="1" applyNumberFormat="1" applyFont="1" applyFill="1" applyBorder="1" applyAlignment="1">
      <alignment horizontal="center" vertical="center"/>
    </xf>
    <xf numFmtId="0" fontId="24" fillId="6" borderId="288" xfId="1" applyFont="1" applyFill="1" applyBorder="1" applyAlignment="1">
      <alignment vertical="center" wrapText="1"/>
    </xf>
    <xf numFmtId="3" fontId="24" fillId="6" borderId="284" xfId="1" applyNumberFormat="1" applyFont="1" applyFill="1" applyBorder="1" applyAlignment="1">
      <alignment horizontal="center" vertical="center"/>
    </xf>
    <xf numFmtId="4" fontId="24" fillId="6" borderId="284" xfId="1" applyNumberFormat="1" applyFont="1" applyFill="1" applyBorder="1" applyAlignment="1">
      <alignment horizontal="center" vertical="center"/>
    </xf>
    <xf numFmtId="4" fontId="72" fillId="6" borderId="284" xfId="1" applyNumberFormat="1" applyFont="1" applyFill="1" applyBorder="1" applyAlignment="1">
      <alignment horizontal="center" vertical="center"/>
    </xf>
    <xf numFmtId="4" fontId="33" fillId="6" borderId="284" xfId="1" applyNumberFormat="1" applyFont="1" applyFill="1" applyBorder="1" applyAlignment="1">
      <alignment horizontal="center" vertical="center"/>
    </xf>
    <xf numFmtId="0" fontId="24" fillId="3" borderId="291" xfId="1" applyFont="1" applyFill="1" applyBorder="1" applyAlignment="1">
      <alignment vertical="center"/>
    </xf>
    <xf numFmtId="9" fontId="24" fillId="3" borderId="291" xfId="7" applyFont="1" applyFill="1" applyBorder="1" applyAlignment="1">
      <alignment horizontal="center" vertical="center"/>
    </xf>
    <xf numFmtId="3" fontId="24" fillId="3" borderId="291" xfId="1" applyNumberFormat="1" applyFont="1" applyFill="1" applyBorder="1" applyAlignment="1">
      <alignment horizontal="center" vertical="center"/>
    </xf>
    <xf numFmtId="9" fontId="24" fillId="3" borderId="286" xfId="7" applyFont="1" applyFill="1" applyBorder="1" applyAlignment="1">
      <alignment horizontal="center" vertical="center"/>
    </xf>
    <xf numFmtId="10" fontId="24" fillId="3" borderId="286" xfId="1" applyNumberFormat="1" applyFont="1" applyFill="1" applyBorder="1" applyAlignment="1">
      <alignment horizontal="center" vertical="center"/>
    </xf>
    <xf numFmtId="10" fontId="72" fillId="3" borderId="286" xfId="1" applyNumberFormat="1" applyFont="1" applyFill="1" applyBorder="1" applyAlignment="1">
      <alignment horizontal="center" vertical="center"/>
    </xf>
    <xf numFmtId="10" fontId="72" fillId="3" borderId="291" xfId="1" applyNumberFormat="1" applyFont="1" applyFill="1" applyBorder="1" applyAlignment="1">
      <alignment horizontal="center" vertical="center"/>
    </xf>
    <xf numFmtId="10" fontId="33" fillId="3" borderId="286" xfId="1" applyNumberFormat="1" applyFont="1" applyFill="1" applyBorder="1" applyAlignment="1">
      <alignment horizontal="center" vertical="center"/>
    </xf>
    <xf numFmtId="38" fontId="24" fillId="3" borderId="286" xfId="7" applyNumberFormat="1" applyFont="1" applyFill="1" applyBorder="1" applyAlignment="1">
      <alignment horizontal="center" vertical="center"/>
    </xf>
    <xf numFmtId="3" fontId="70" fillId="18" borderId="0" xfId="1" applyNumberFormat="1" applyFont="1" applyFill="1" applyAlignment="1">
      <alignment horizontal="left" vertical="center"/>
    </xf>
    <xf numFmtId="0" fontId="19" fillId="0" borderId="292" xfId="1" applyFont="1" applyBorder="1" applyAlignment="1">
      <alignment horizontal="left" vertical="center"/>
    </xf>
    <xf numFmtId="4" fontId="25" fillId="0" borderId="293" xfId="1" applyNumberFormat="1" applyFont="1" applyFill="1" applyBorder="1" applyAlignment="1">
      <alignment horizontal="center" vertical="center"/>
    </xf>
    <xf numFmtId="9" fontId="36" fillId="0" borderId="294" xfId="7" applyFont="1" applyFill="1" applyBorder="1" applyAlignment="1">
      <alignment horizontal="center" vertical="center"/>
    </xf>
    <xf numFmtId="9" fontId="71" fillId="0" borderId="294" xfId="7" applyFont="1" applyFill="1" applyBorder="1" applyAlignment="1">
      <alignment horizontal="center" vertical="center"/>
    </xf>
    <xf numFmtId="0" fontId="19" fillId="0" borderId="295" xfId="1" applyFont="1" applyBorder="1" applyAlignment="1">
      <alignment vertical="center"/>
    </xf>
    <xf numFmtId="0" fontId="19" fillId="0" borderId="295" xfId="1" applyFont="1" applyFill="1" applyBorder="1" applyAlignment="1">
      <alignment vertical="center"/>
    </xf>
    <xf numFmtId="9" fontId="27" fillId="0" borderId="294" xfId="7" applyFont="1" applyFill="1" applyBorder="1" applyAlignment="1">
      <alignment horizontal="center" vertical="center"/>
    </xf>
    <xf numFmtId="0" fontId="19" fillId="0" borderId="296" xfId="1" applyFont="1" applyBorder="1" applyAlignment="1">
      <alignment vertical="center"/>
    </xf>
    <xf numFmtId="9" fontId="68" fillId="0" borderId="294" xfId="7" applyFont="1" applyFill="1" applyBorder="1" applyAlignment="1">
      <alignment horizontal="center" vertical="center"/>
    </xf>
    <xf numFmtId="0" fontId="19" fillId="0" borderId="297" xfId="1" applyFont="1" applyBorder="1" applyAlignment="1">
      <alignment vertical="center"/>
    </xf>
    <xf numFmtId="4" fontId="25" fillId="0" borderId="298" xfId="1" applyNumberFormat="1" applyFont="1" applyFill="1" applyBorder="1" applyAlignment="1">
      <alignment horizontal="center" vertical="center"/>
    </xf>
    <xf numFmtId="9" fontId="36" fillId="0" borderId="297" xfId="7" applyFont="1" applyFill="1" applyBorder="1" applyAlignment="1">
      <alignment horizontal="center" vertical="center"/>
    </xf>
    <xf numFmtId="9" fontId="71" fillId="0" borderId="298" xfId="7" applyFont="1" applyFill="1" applyBorder="1" applyAlignment="1">
      <alignment horizontal="center" vertical="center"/>
    </xf>
    <xf numFmtId="4" fontId="25" fillId="0" borderId="297" xfId="1" applyNumberFormat="1" applyFont="1" applyFill="1" applyBorder="1" applyAlignment="1">
      <alignment horizontal="center" vertical="center"/>
    </xf>
    <xf numFmtId="0" fontId="24" fillId="11" borderId="299" xfId="1" applyFont="1" applyFill="1" applyBorder="1" applyAlignment="1">
      <alignment vertical="center"/>
    </xf>
    <xf numFmtId="4" fontId="24" fillId="11" borderId="300" xfId="1" applyNumberFormat="1" applyFont="1" applyFill="1" applyBorder="1" applyAlignment="1">
      <alignment horizontal="center" vertical="center"/>
    </xf>
    <xf numFmtId="4" fontId="24" fillId="11" borderId="295" xfId="1" applyNumberFormat="1" applyFont="1" applyFill="1" applyBorder="1" applyAlignment="1">
      <alignment horizontal="center" vertical="center"/>
    </xf>
    <xf numFmtId="4" fontId="72" fillId="11" borderId="295" xfId="1" applyNumberFormat="1" applyFont="1" applyFill="1" applyBorder="1" applyAlignment="1">
      <alignment horizontal="center" vertical="center"/>
    </xf>
    <xf numFmtId="4" fontId="72" fillId="11" borderId="300" xfId="1" applyNumberFormat="1" applyFont="1" applyFill="1" applyBorder="1" applyAlignment="1">
      <alignment horizontal="center" vertical="center"/>
    </xf>
    <xf numFmtId="0" fontId="27" fillId="0" borderId="294" xfId="1" applyNumberFormat="1" applyFont="1" applyFill="1" applyBorder="1" applyAlignment="1">
      <alignment horizontal="center" vertical="center"/>
    </xf>
    <xf numFmtId="0" fontId="19" fillId="0" borderId="301" xfId="1" applyFont="1" applyBorder="1" applyAlignment="1">
      <alignment horizontal="left" vertical="center"/>
    </xf>
    <xf numFmtId="10" fontId="27" fillId="0" borderId="298" xfId="1" applyNumberFormat="1" applyFont="1" applyFill="1" applyBorder="1" applyAlignment="1">
      <alignment horizontal="center" vertical="center"/>
    </xf>
    <xf numFmtId="10" fontId="24" fillId="0" borderId="298" xfId="1" applyNumberFormat="1" applyFont="1" applyFill="1" applyBorder="1" applyAlignment="1">
      <alignment horizontal="center" vertical="center"/>
    </xf>
    <xf numFmtId="9" fontId="36" fillId="4" borderId="294" xfId="7" applyFont="1" applyFill="1" applyBorder="1" applyAlignment="1">
      <alignment horizontal="center" vertical="center"/>
    </xf>
    <xf numFmtId="0" fontId="19" fillId="0" borderId="301" xfId="1" applyFont="1" applyBorder="1" applyAlignment="1">
      <alignment vertical="center"/>
    </xf>
    <xf numFmtId="10" fontId="26" fillId="5" borderId="298" xfId="1" applyNumberFormat="1" applyFont="1" applyFill="1" applyBorder="1" applyAlignment="1">
      <alignment horizontal="center" vertical="center"/>
    </xf>
    <xf numFmtId="10" fontId="68" fillId="5" borderId="298" xfId="1" applyNumberFormat="1" applyFont="1" applyFill="1" applyBorder="1" applyAlignment="1">
      <alignment horizontal="center" vertical="center"/>
    </xf>
    <xf numFmtId="3" fontId="27" fillId="0" borderId="295" xfId="6" applyNumberFormat="1" applyFont="1" applyFill="1" applyBorder="1" applyAlignment="1">
      <alignment horizontal="center" vertical="center"/>
    </xf>
    <xf numFmtId="10" fontId="26" fillId="0" borderId="298" xfId="1" applyNumberFormat="1" applyFont="1" applyFill="1" applyBorder="1" applyAlignment="1">
      <alignment horizontal="center" vertical="center"/>
    </xf>
    <xf numFmtId="10" fontId="68" fillId="0" borderId="298" xfId="1" applyNumberFormat="1" applyFont="1" applyFill="1" applyBorder="1" applyAlignment="1">
      <alignment horizontal="center" vertical="center"/>
    </xf>
    <xf numFmtId="0" fontId="24" fillId="4" borderId="302" xfId="1" applyFont="1" applyFill="1" applyBorder="1" applyAlignment="1">
      <alignment vertical="center"/>
    </xf>
    <xf numFmtId="3" fontId="24" fillId="4" borderId="302" xfId="1" applyNumberFormat="1" applyFont="1" applyFill="1" applyBorder="1" applyAlignment="1">
      <alignment horizontal="center" vertical="center"/>
    </xf>
    <xf numFmtId="3" fontId="24" fillId="4" borderId="297" xfId="1" applyNumberFormat="1" applyFont="1" applyFill="1" applyBorder="1" applyAlignment="1">
      <alignment horizontal="center" vertical="center"/>
    </xf>
    <xf numFmtId="4" fontId="24" fillId="4" borderId="297" xfId="1" applyNumberFormat="1" applyFont="1" applyFill="1" applyBorder="1" applyAlignment="1">
      <alignment horizontal="center" vertical="center"/>
    </xf>
    <xf numFmtId="4" fontId="72" fillId="4" borderId="297" xfId="1" applyNumberFormat="1" applyFont="1" applyFill="1" applyBorder="1" applyAlignment="1">
      <alignment horizontal="center" vertical="center"/>
    </xf>
    <xf numFmtId="4" fontId="72" fillId="4" borderId="302" xfId="1" applyNumberFormat="1" applyFont="1" applyFill="1" applyBorder="1" applyAlignment="1">
      <alignment horizontal="center" vertical="center"/>
    </xf>
    <xf numFmtId="0" fontId="19" fillId="0" borderId="300" xfId="1" applyFont="1" applyBorder="1" applyAlignment="1">
      <alignment vertical="center"/>
    </xf>
    <xf numFmtId="0" fontId="19" fillId="0" borderId="300" xfId="1" applyFont="1" applyBorder="1" applyAlignment="1">
      <alignment horizontal="left" vertical="center"/>
    </xf>
    <xf numFmtId="10" fontId="26" fillId="0" borderId="294" xfId="1" applyNumberFormat="1" applyFont="1" applyFill="1" applyBorder="1" applyAlignment="1">
      <alignment horizontal="center" vertical="center"/>
    </xf>
    <xf numFmtId="10" fontId="68" fillId="0" borderId="294" xfId="1" applyNumberFormat="1" applyFont="1" applyFill="1" applyBorder="1" applyAlignment="1">
      <alignment horizontal="center" vertical="center"/>
    </xf>
    <xf numFmtId="0" fontId="24" fillId="6" borderId="300" xfId="1" applyFont="1" applyFill="1" applyBorder="1" applyAlignment="1">
      <alignment vertical="center"/>
    </xf>
    <xf numFmtId="3" fontId="28" fillId="6" borderId="300" xfId="1" applyNumberFormat="1" applyFont="1" applyFill="1" applyBorder="1" applyAlignment="1">
      <alignment horizontal="center" vertical="center"/>
    </xf>
    <xf numFmtId="3" fontId="28" fillId="6" borderId="295" xfId="1" applyNumberFormat="1" applyFont="1" applyFill="1" applyBorder="1" applyAlignment="1">
      <alignment horizontal="center" vertical="center"/>
    </xf>
    <xf numFmtId="4" fontId="28" fillId="6" borderId="295" xfId="1" applyNumberFormat="1" applyFont="1" applyFill="1" applyBorder="1" applyAlignment="1">
      <alignment horizontal="center" vertical="center"/>
    </xf>
    <xf numFmtId="4" fontId="74" fillId="6" borderId="295" xfId="1" applyNumberFormat="1" applyFont="1" applyFill="1" applyBorder="1" applyAlignment="1">
      <alignment horizontal="center" vertical="center"/>
    </xf>
    <xf numFmtId="4" fontId="74" fillId="6" borderId="300" xfId="1" applyNumberFormat="1" applyFont="1" applyFill="1" applyBorder="1" applyAlignment="1">
      <alignment horizontal="center" vertical="center"/>
    </xf>
    <xf numFmtId="3" fontId="24" fillId="8" borderId="297" xfId="1" applyNumberFormat="1" applyFont="1" applyFill="1" applyBorder="1" applyAlignment="1">
      <alignment horizontal="center" vertical="center"/>
    </xf>
    <xf numFmtId="0" fontId="24" fillId="6" borderId="299" xfId="1" applyFont="1" applyFill="1" applyBorder="1" applyAlignment="1">
      <alignment vertical="center" wrapText="1"/>
    </xf>
    <xf numFmtId="3" fontId="24" fillId="6" borderId="295" xfId="1" applyNumberFormat="1" applyFont="1" applyFill="1" applyBorder="1" applyAlignment="1">
      <alignment horizontal="center" vertical="center"/>
    </xf>
    <xf numFmtId="4" fontId="24" fillId="6" borderId="295" xfId="1" applyNumberFormat="1" applyFont="1" applyFill="1" applyBorder="1" applyAlignment="1">
      <alignment horizontal="center" vertical="center"/>
    </xf>
    <xf numFmtId="4" fontId="72" fillId="6" borderId="295" xfId="1" applyNumberFormat="1" applyFont="1" applyFill="1" applyBorder="1" applyAlignment="1">
      <alignment horizontal="center" vertical="center"/>
    </xf>
    <xf numFmtId="9" fontId="24" fillId="3" borderId="302" xfId="7" applyFont="1" applyFill="1" applyBorder="1" applyAlignment="1">
      <alignment horizontal="center" vertical="center"/>
    </xf>
    <xf numFmtId="3" fontId="24" fillId="3" borderId="302" xfId="1" applyNumberFormat="1" applyFont="1" applyFill="1" applyBorder="1" applyAlignment="1">
      <alignment horizontal="center" vertical="center"/>
    </xf>
    <xf numFmtId="9" fontId="24" fillId="3" borderId="297" xfId="7" applyFont="1" applyFill="1" applyBorder="1" applyAlignment="1">
      <alignment horizontal="center" vertical="center"/>
    </xf>
    <xf numFmtId="10" fontId="24" fillId="3" borderId="297" xfId="1" applyNumberFormat="1" applyFont="1" applyFill="1" applyBorder="1" applyAlignment="1">
      <alignment horizontal="center" vertical="center"/>
    </xf>
    <xf numFmtId="10" fontId="72" fillId="3" borderId="297" xfId="1" applyNumberFormat="1" applyFont="1" applyFill="1" applyBorder="1" applyAlignment="1">
      <alignment horizontal="center" vertical="center"/>
    </xf>
    <xf numFmtId="10" fontId="72" fillId="3" borderId="302" xfId="1" applyNumberFormat="1" applyFont="1" applyFill="1" applyBorder="1" applyAlignment="1">
      <alignment horizontal="center" vertical="center"/>
    </xf>
    <xf numFmtId="9" fontId="36" fillId="0" borderId="304" xfId="7" applyFont="1" applyFill="1" applyBorder="1" applyAlignment="1">
      <alignment horizontal="center" vertical="center"/>
    </xf>
    <xf numFmtId="9" fontId="27" fillId="0" borderId="304" xfId="7" applyFont="1" applyFill="1" applyBorder="1" applyAlignment="1">
      <alignment horizontal="center" vertical="center"/>
    </xf>
    <xf numFmtId="9" fontId="71" fillId="0" borderId="304" xfId="7" applyFont="1" applyFill="1" applyBorder="1" applyAlignment="1">
      <alignment horizontal="center" vertical="center" wrapText="1"/>
    </xf>
    <xf numFmtId="9" fontId="68" fillId="0" borderId="304" xfId="7" applyFont="1" applyFill="1" applyBorder="1" applyAlignment="1">
      <alignment horizontal="center" vertical="center"/>
    </xf>
    <xf numFmtId="9" fontId="67" fillId="0" borderId="304" xfId="7" applyFont="1" applyFill="1" applyBorder="1" applyAlignment="1">
      <alignment horizontal="center" vertical="center" wrapText="1"/>
    </xf>
    <xf numFmtId="9" fontId="36" fillId="0" borderId="298" xfId="7" applyFont="1" applyFill="1" applyBorder="1" applyAlignment="1">
      <alignment horizontal="center" vertical="center"/>
    </xf>
    <xf numFmtId="9" fontId="26" fillId="0" borderId="298" xfId="7" applyFont="1" applyFill="1" applyBorder="1" applyAlignment="1">
      <alignment horizontal="center" vertical="center"/>
    </xf>
    <xf numFmtId="9" fontId="27" fillId="0" borderId="298" xfId="7" applyFont="1" applyFill="1" applyBorder="1" applyAlignment="1">
      <alignment horizontal="center" vertical="center"/>
    </xf>
    <xf numFmtId="9" fontId="27" fillId="0" borderId="294" xfId="7" applyFont="1" applyFill="1" applyBorder="1" applyAlignment="1">
      <alignment horizontal="center" vertical="center" wrapText="1"/>
    </xf>
    <xf numFmtId="9" fontId="36" fillId="0" borderId="293" xfId="7" applyFont="1" applyFill="1" applyBorder="1" applyAlignment="1">
      <alignment horizontal="center" vertical="center"/>
    </xf>
    <xf numFmtId="9" fontId="68" fillId="0" borderId="293" xfId="7" applyFont="1" applyFill="1" applyBorder="1" applyAlignment="1">
      <alignment horizontal="center" vertical="center"/>
    </xf>
    <xf numFmtId="9" fontId="27" fillId="0" borderId="293" xfId="7" applyFont="1" applyFill="1" applyBorder="1" applyAlignment="1">
      <alignment horizontal="center" vertical="center"/>
    </xf>
    <xf numFmtId="4" fontId="82" fillId="0" borderId="306" xfId="0" applyNumberFormat="1" applyFont="1" applyFill="1" applyBorder="1" applyAlignment="1" applyProtection="1">
      <alignment horizontal="center" vertical="center"/>
    </xf>
    <xf numFmtId="0" fontId="33" fillId="12" borderId="0" xfId="1" applyFont="1" applyFill="1" applyBorder="1" applyAlignment="1">
      <alignment horizontal="center" vertical="center" wrapText="1"/>
    </xf>
    <xf numFmtId="4" fontId="24" fillId="11" borderId="0" xfId="1" applyNumberFormat="1" applyFont="1" applyFill="1" applyBorder="1" applyAlignment="1">
      <alignment horizontal="center" vertical="center"/>
    </xf>
    <xf numFmtId="4" fontId="25" fillId="0" borderId="304" xfId="1" applyNumberFormat="1" applyFont="1" applyFill="1" applyBorder="1" applyAlignment="1">
      <alignment horizontal="center" vertical="center"/>
    </xf>
    <xf numFmtId="4" fontId="25" fillId="0" borderId="304" xfId="1" applyNumberFormat="1" applyFont="1" applyFill="1" applyBorder="1" applyAlignment="1">
      <alignment horizontal="center" vertical="center" wrapText="1"/>
    </xf>
    <xf numFmtId="4" fontId="166" fillId="9" borderId="4" xfId="1" applyNumberFormat="1" applyFont="1" applyFill="1" applyBorder="1" applyAlignment="1">
      <alignment horizontal="center" vertical="center"/>
    </xf>
    <xf numFmtId="4" fontId="166" fillId="9" borderId="0" xfId="1" applyNumberFormat="1" applyFont="1" applyFill="1" applyBorder="1" applyAlignment="1">
      <alignment horizontal="center" vertical="center"/>
    </xf>
    <xf numFmtId="0" fontId="19" fillId="0" borderId="296" xfId="1" applyFont="1" applyBorder="1" applyAlignment="1">
      <alignment horizontal="left" vertical="center"/>
    </xf>
    <xf numFmtId="3" fontId="25" fillId="0" borderId="303" xfId="1" applyNumberFormat="1" applyFont="1" applyFill="1" applyBorder="1" applyAlignment="1">
      <alignment horizontal="center" vertical="center"/>
    </xf>
    <xf numFmtId="3" fontId="25" fillId="0" borderId="296" xfId="1" applyNumberFormat="1" applyFont="1" applyFill="1" applyBorder="1" applyAlignment="1">
      <alignment horizontal="center" vertical="center"/>
    </xf>
    <xf numFmtId="4" fontId="19" fillId="0" borderId="293" xfId="1" applyNumberFormat="1" applyFont="1" applyFill="1" applyBorder="1" applyAlignment="1">
      <alignment horizontal="center" vertical="center"/>
    </xf>
    <xf numFmtId="4" fontId="19" fillId="0" borderId="304" xfId="1" applyNumberFormat="1" applyFont="1" applyFill="1" applyBorder="1" applyAlignment="1">
      <alignment horizontal="center" vertical="center" wrapText="1"/>
    </xf>
    <xf numFmtId="4" fontId="166" fillId="18" borderId="0" xfId="1" applyNumberFormat="1" applyFont="1" applyFill="1" applyBorder="1" applyAlignment="1">
      <alignment horizontal="center" vertical="center"/>
    </xf>
    <xf numFmtId="3" fontId="27" fillId="0" borderId="305" xfId="1" applyNumberFormat="1" applyFont="1" applyFill="1" applyBorder="1" applyAlignment="1">
      <alignment horizontal="center" vertical="center"/>
    </xf>
    <xf numFmtId="3" fontId="27" fillId="0" borderId="295" xfId="8" applyNumberFormat="1" applyFont="1" applyFill="1" applyBorder="1" applyAlignment="1">
      <alignment horizontal="center" vertical="center"/>
    </xf>
    <xf numFmtId="3" fontId="25" fillId="0" borderId="304" xfId="1" applyNumberFormat="1" applyFont="1" applyFill="1" applyBorder="1" applyAlignment="1">
      <alignment horizontal="center" vertical="center"/>
    </xf>
    <xf numFmtId="3" fontId="25" fillId="9" borderId="304" xfId="1" applyNumberFormat="1" applyFont="1" applyFill="1" applyBorder="1" applyAlignment="1">
      <alignment horizontal="center" vertical="center"/>
    </xf>
    <xf numFmtId="9" fontId="27" fillId="0" borderId="304" xfId="7" applyFont="1" applyFill="1" applyBorder="1" applyAlignment="1">
      <alignment horizontal="center" vertical="center" wrapText="1"/>
    </xf>
    <xf numFmtId="3" fontId="27" fillId="0" borderId="300" xfId="1" applyNumberFormat="1" applyFont="1" applyFill="1" applyBorder="1" applyAlignment="1">
      <alignment horizontal="center" vertical="center"/>
    </xf>
    <xf numFmtId="3" fontId="27" fillId="0" borderId="299" xfId="1" applyNumberFormat="1" applyFont="1" applyFill="1" applyBorder="1" applyAlignment="1">
      <alignment horizontal="center" vertical="center"/>
    </xf>
    <xf numFmtId="4" fontId="166" fillId="48" borderId="4" xfId="1" applyNumberFormat="1" applyFont="1" applyFill="1" applyBorder="1" applyAlignment="1">
      <alignment horizontal="center" vertical="center"/>
    </xf>
    <xf numFmtId="4" fontId="166" fillId="48" borderId="0" xfId="1" applyNumberFormat="1" applyFont="1" applyFill="1" applyBorder="1" applyAlignment="1">
      <alignment horizontal="center" vertical="center"/>
    </xf>
    <xf numFmtId="3" fontId="27" fillId="0" borderId="292" xfId="1" applyNumberFormat="1" applyFont="1" applyFill="1" applyBorder="1" applyAlignment="1">
      <alignment horizontal="center" vertical="center"/>
    </xf>
    <xf numFmtId="3" fontId="27" fillId="0" borderId="303" xfId="1" applyNumberFormat="1" applyFont="1" applyFill="1" applyBorder="1" applyAlignment="1">
      <alignment horizontal="center" vertical="center"/>
    </xf>
    <xf numFmtId="3" fontId="27" fillId="0" borderId="301" xfId="1" applyNumberFormat="1" applyFont="1" applyFill="1" applyBorder="1" applyAlignment="1">
      <alignment horizontal="center" vertical="center"/>
    </xf>
    <xf numFmtId="3" fontId="27" fillId="0" borderId="302" xfId="1" applyNumberFormat="1" applyFont="1" applyFill="1" applyBorder="1" applyAlignment="1">
      <alignment horizontal="center" vertical="center"/>
    </xf>
    <xf numFmtId="3" fontId="27" fillId="0" borderId="297" xfId="8" applyNumberFormat="1" applyFont="1" applyFill="1" applyBorder="1" applyAlignment="1">
      <alignment horizontal="center" vertical="center"/>
    </xf>
    <xf numFmtId="3" fontId="25" fillId="9" borderId="298" xfId="1" applyNumberFormat="1" applyFont="1" applyFill="1" applyBorder="1" applyAlignment="1">
      <alignment horizontal="center" vertical="center"/>
    </xf>
    <xf numFmtId="10" fontId="26" fillId="0" borderId="304" xfId="1" applyNumberFormat="1" applyFont="1" applyFill="1" applyBorder="1" applyAlignment="1">
      <alignment horizontal="center" vertical="center"/>
    </xf>
    <xf numFmtId="10" fontId="39" fillId="0" borderId="304" xfId="1" applyNumberFormat="1" applyFont="1" applyFill="1" applyBorder="1" applyAlignment="1">
      <alignment horizontal="center" vertical="center"/>
    </xf>
    <xf numFmtId="0" fontId="24" fillId="11" borderId="295" xfId="1" applyFont="1" applyFill="1" applyBorder="1" applyAlignment="1">
      <alignment vertical="center"/>
    </xf>
    <xf numFmtId="4" fontId="29" fillId="11" borderId="295" xfId="1" applyNumberFormat="1" applyFont="1" applyFill="1" applyBorder="1" applyAlignment="1">
      <alignment horizontal="center" vertical="center"/>
    </xf>
    <xf numFmtId="4" fontId="66" fillId="11" borderId="295" xfId="1" applyNumberFormat="1" applyFont="1" applyFill="1" applyBorder="1" applyAlignment="1">
      <alignment horizontal="center" vertical="center"/>
    </xf>
    <xf numFmtId="0" fontId="19" fillId="0" borderId="295" xfId="1" applyFont="1" applyFill="1" applyBorder="1" applyAlignment="1">
      <alignment horizontal="left" vertical="center"/>
    </xf>
    <xf numFmtId="4" fontId="27" fillId="0" borderId="300" xfId="1" applyNumberFormat="1" applyFont="1" applyFill="1" applyBorder="1" applyAlignment="1">
      <alignment horizontal="center" vertical="center"/>
    </xf>
    <xf numFmtId="4" fontId="27" fillId="0" borderId="295" xfId="1" applyNumberFormat="1" applyFont="1" applyFill="1" applyBorder="1" applyAlignment="1">
      <alignment horizontal="center" vertical="center"/>
    </xf>
    <xf numFmtId="0" fontId="36" fillId="0" borderId="294" xfId="1" applyNumberFormat="1" applyFont="1" applyFill="1" applyBorder="1" applyAlignment="1">
      <alignment horizontal="center" vertical="center"/>
    </xf>
    <xf numFmtId="0" fontId="19" fillId="0" borderId="297" xfId="1" applyFont="1" applyBorder="1" applyAlignment="1">
      <alignment horizontal="left" vertical="center"/>
    </xf>
    <xf numFmtId="4" fontId="27" fillId="0" borderId="302" xfId="1" applyNumberFormat="1" applyFont="1" applyFill="1" applyBorder="1" applyAlignment="1">
      <alignment horizontal="center" vertical="center"/>
    </xf>
    <xf numFmtId="4" fontId="27" fillId="0" borderId="297" xfId="1" applyNumberFormat="1" applyFont="1" applyFill="1" applyBorder="1" applyAlignment="1">
      <alignment horizontal="center" vertical="center"/>
    </xf>
    <xf numFmtId="10" fontId="36" fillId="0" borderId="298" xfId="1" applyNumberFormat="1" applyFont="1" applyFill="1" applyBorder="1" applyAlignment="1">
      <alignment horizontal="center" vertical="center"/>
    </xf>
    <xf numFmtId="10" fontId="27" fillId="0" borderId="0" xfId="1" applyNumberFormat="1" applyFont="1" applyFill="1" applyBorder="1" applyAlignment="1">
      <alignment horizontal="center" vertical="center"/>
    </xf>
    <xf numFmtId="4" fontId="20" fillId="6" borderId="0" xfId="1" applyNumberFormat="1" applyFont="1" applyFill="1" applyBorder="1" applyAlignment="1">
      <alignment horizontal="center" vertical="center"/>
    </xf>
    <xf numFmtId="10" fontId="24" fillId="3" borderId="0" xfId="1" applyNumberFormat="1" applyFont="1" applyFill="1" applyBorder="1" applyAlignment="1">
      <alignment horizontal="center" vertical="center"/>
    </xf>
    <xf numFmtId="0" fontId="24" fillId="0" borderId="296" xfId="1" applyFont="1" applyFill="1" applyBorder="1" applyAlignment="1">
      <alignment vertical="center"/>
    </xf>
    <xf numFmtId="10" fontId="24" fillId="0" borderId="303" xfId="1" applyNumberFormat="1" applyFont="1" applyFill="1" applyBorder="1" applyAlignment="1">
      <alignment horizontal="center" vertical="center"/>
    </xf>
    <xf numFmtId="10" fontId="24" fillId="0" borderId="296" xfId="1" applyNumberFormat="1" applyFont="1" applyFill="1" applyBorder="1" applyAlignment="1">
      <alignment horizontal="center" vertical="center"/>
    </xf>
    <xf numFmtId="10" fontId="24" fillId="0" borderId="293" xfId="1" applyNumberFormat="1" applyFont="1" applyFill="1" applyBorder="1" applyAlignment="1">
      <alignment horizontal="center" vertical="center"/>
    </xf>
    <xf numFmtId="10" fontId="29" fillId="0" borderId="293" xfId="1" applyNumberFormat="1" applyFont="1" applyFill="1" applyBorder="1" applyAlignment="1">
      <alignment horizontal="center" vertical="center"/>
    </xf>
    <xf numFmtId="10" fontId="24" fillId="0" borderId="297" xfId="1" applyNumberFormat="1" applyFont="1" applyFill="1" applyBorder="1" applyAlignment="1">
      <alignment horizontal="center" vertical="center"/>
    </xf>
    <xf numFmtId="10" fontId="66" fillId="0" borderId="298" xfId="1" applyNumberFormat="1" applyFont="1" applyFill="1" applyBorder="1" applyAlignment="1">
      <alignment horizontal="center" vertical="center"/>
    </xf>
    <xf numFmtId="10" fontId="29" fillId="0" borderId="297" xfId="1" applyNumberFormat="1" applyFont="1" applyFill="1" applyBorder="1" applyAlignment="1">
      <alignment horizontal="center" vertical="center"/>
    </xf>
    <xf numFmtId="10" fontId="24" fillId="0" borderId="0" xfId="1" applyNumberFormat="1" applyFont="1" applyFill="1" applyBorder="1" applyAlignment="1">
      <alignment horizontal="center" vertical="center"/>
    </xf>
    <xf numFmtId="0" fontId="24" fillId="4" borderId="295" xfId="1" applyFont="1" applyFill="1" applyBorder="1" applyAlignment="1">
      <alignment vertical="center"/>
    </xf>
    <xf numFmtId="3" fontId="24" fillId="4" borderId="300" xfId="1" applyNumberFormat="1" applyFont="1" applyFill="1" applyBorder="1" applyAlignment="1">
      <alignment horizontal="center" vertical="center"/>
    </xf>
    <xf numFmtId="3" fontId="24" fillId="4" borderId="295" xfId="1" applyNumberFormat="1" applyFont="1" applyFill="1" applyBorder="1" applyAlignment="1">
      <alignment horizontal="center" vertical="center"/>
    </xf>
    <xf numFmtId="4" fontId="24" fillId="4" borderId="0" xfId="1" applyNumberFormat="1" applyFont="1" applyFill="1" applyBorder="1" applyAlignment="1">
      <alignment horizontal="center" vertical="center"/>
    </xf>
    <xf numFmtId="3" fontId="27" fillId="0" borderId="295" xfId="1" applyNumberFormat="1" applyFont="1" applyFill="1" applyBorder="1" applyAlignment="1">
      <alignment horizontal="center" vertical="center"/>
    </xf>
    <xf numFmtId="0" fontId="16" fillId="9" borderId="0" xfId="1" applyFill="1"/>
    <xf numFmtId="0" fontId="19" fillId="0" borderId="296" xfId="1" applyFont="1" applyFill="1" applyBorder="1" applyAlignment="1">
      <alignment vertical="center"/>
    </xf>
    <xf numFmtId="3" fontId="27" fillId="0" borderId="296" xfId="1" applyNumberFormat="1" applyFont="1" applyFill="1" applyBorder="1" applyAlignment="1">
      <alignment horizontal="center" vertical="center"/>
    </xf>
    <xf numFmtId="3" fontId="27" fillId="0" borderId="293" xfId="1" applyNumberFormat="1" applyFont="1" applyFill="1" applyBorder="1" applyAlignment="1">
      <alignment horizontal="center" vertical="center"/>
    </xf>
    <xf numFmtId="10" fontId="36" fillId="0" borderId="293" xfId="1" applyNumberFormat="1" applyFont="1" applyFill="1" applyBorder="1" applyAlignment="1">
      <alignment horizontal="center" vertical="center"/>
    </xf>
    <xf numFmtId="0" fontId="68" fillId="0" borderId="294" xfId="1" applyNumberFormat="1" applyFont="1" applyFill="1" applyBorder="1" applyAlignment="1">
      <alignment horizontal="center" vertical="center"/>
    </xf>
    <xf numFmtId="3" fontId="26" fillId="5" borderId="302" xfId="1" applyNumberFormat="1" applyFont="1" applyFill="1" applyBorder="1" applyAlignment="1">
      <alignment horizontal="center" vertical="center"/>
    </xf>
    <xf numFmtId="3" fontId="26" fillId="5" borderId="297" xfId="1" applyNumberFormat="1" applyFont="1" applyFill="1" applyBorder="1" applyAlignment="1">
      <alignment horizontal="center" vertical="center"/>
    </xf>
    <xf numFmtId="3" fontId="26" fillId="5" borderId="298" xfId="1" applyNumberFormat="1" applyFont="1" applyFill="1" applyBorder="1" applyAlignment="1">
      <alignment horizontal="center" vertical="center"/>
    </xf>
    <xf numFmtId="10" fontId="39" fillId="5" borderId="298" xfId="1" applyNumberFormat="1" applyFont="1" applyFill="1" applyBorder="1" applyAlignment="1">
      <alignment horizontal="center" vertical="center"/>
    </xf>
    <xf numFmtId="4" fontId="24" fillId="4" borderId="4" xfId="1" applyNumberFormat="1" applyFont="1" applyFill="1" applyBorder="1" applyAlignment="1">
      <alignment horizontal="center" vertical="center"/>
    </xf>
    <xf numFmtId="3" fontId="27" fillId="5" borderId="295" xfId="1" applyNumberFormat="1" applyFont="1" applyFill="1" applyBorder="1" applyAlignment="1">
      <alignment horizontal="center" vertical="center"/>
    </xf>
    <xf numFmtId="9" fontId="27" fillId="0" borderId="294" xfId="7" applyFont="1" applyFill="1" applyBorder="1" applyAlignment="1">
      <alignment horizontal="left" vertical="center"/>
    </xf>
    <xf numFmtId="3" fontId="27" fillId="5" borderId="300" xfId="1" applyNumberFormat="1" applyFont="1" applyFill="1" applyBorder="1" applyAlignment="1">
      <alignment horizontal="center" vertical="center"/>
    </xf>
    <xf numFmtId="0" fontId="19" fillId="0" borderId="296" xfId="1" applyFont="1" applyFill="1" applyBorder="1" applyAlignment="1">
      <alignment horizontal="left" vertical="center"/>
    </xf>
    <xf numFmtId="3" fontId="26" fillId="5" borderId="303" xfId="1" applyNumberFormat="1" applyFont="1" applyFill="1" applyBorder="1" applyAlignment="1">
      <alignment horizontal="center" vertical="center"/>
    </xf>
    <xf numFmtId="3" fontId="26" fillId="5" borderId="296" xfId="1" applyNumberFormat="1" applyFont="1" applyFill="1" applyBorder="1" applyAlignment="1">
      <alignment horizontal="center" vertical="center"/>
    </xf>
    <xf numFmtId="10" fontId="24" fillId="4" borderId="0" xfId="1" applyNumberFormat="1" applyFont="1" applyFill="1" applyBorder="1" applyAlignment="1">
      <alignment horizontal="center" vertical="center"/>
    </xf>
    <xf numFmtId="4" fontId="24" fillId="6" borderId="4" xfId="1" applyNumberFormat="1" applyFont="1" applyFill="1" applyBorder="1" applyAlignment="1">
      <alignment horizontal="center" vertical="center"/>
    </xf>
    <xf numFmtId="10" fontId="24" fillId="3" borderId="4" xfId="1" applyNumberFormat="1" applyFont="1" applyFill="1" applyBorder="1" applyAlignment="1">
      <alignment horizontal="center" vertical="center"/>
    </xf>
    <xf numFmtId="0" fontId="24" fillId="4" borderId="297" xfId="1" applyFont="1" applyFill="1" applyBorder="1" applyAlignment="1">
      <alignment vertical="center"/>
    </xf>
    <xf numFmtId="4" fontId="29" fillId="4" borderId="297" xfId="1" applyNumberFormat="1" applyFont="1" applyFill="1" applyBorder="1" applyAlignment="1">
      <alignment horizontal="center" vertical="center"/>
    </xf>
    <xf numFmtId="4" fontId="69" fillId="4" borderId="297" xfId="1" applyNumberFormat="1" applyFont="1" applyFill="1" applyBorder="1" applyAlignment="1">
      <alignment horizontal="center" vertical="center"/>
    </xf>
    <xf numFmtId="4" fontId="26" fillId="0" borderId="304" xfId="1" applyNumberFormat="1" applyFont="1" applyFill="1" applyBorder="1" applyAlignment="1">
      <alignment horizontal="center" vertical="center"/>
    </xf>
    <xf numFmtId="0" fontId="154" fillId="0" borderId="294" xfId="1" applyNumberFormat="1" applyFont="1" applyFill="1" applyBorder="1" applyAlignment="1">
      <alignment horizontal="center" vertical="center"/>
    </xf>
    <xf numFmtId="4" fontId="25" fillId="9" borderId="304" xfId="1" applyNumberFormat="1" applyFont="1" applyFill="1" applyBorder="1" applyAlignment="1">
      <alignment horizontal="center" vertical="center"/>
    </xf>
    <xf numFmtId="0" fontId="19" fillId="0" borderId="295" xfId="1" applyFont="1" applyBorder="1" applyAlignment="1">
      <alignment horizontal="left" vertical="center"/>
    </xf>
    <xf numFmtId="3" fontId="26" fillId="0" borderId="300" xfId="1" applyNumberFormat="1" applyFont="1" applyFill="1" applyBorder="1" applyAlignment="1">
      <alignment horizontal="center" vertical="center"/>
    </xf>
    <xf numFmtId="3" fontId="26" fillId="0" borderId="295" xfId="1" applyNumberFormat="1" applyFont="1" applyFill="1" applyBorder="1" applyAlignment="1">
      <alignment horizontal="center" vertical="center"/>
    </xf>
    <xf numFmtId="3" fontId="26" fillId="0" borderId="294" xfId="1" applyNumberFormat="1" applyFont="1" applyFill="1" applyBorder="1" applyAlignment="1">
      <alignment horizontal="center" vertical="center"/>
    </xf>
    <xf numFmtId="10" fontId="39" fillId="0" borderId="294" xfId="1" applyNumberFormat="1" applyFont="1" applyFill="1" applyBorder="1" applyAlignment="1">
      <alignment horizontal="center" vertical="center"/>
    </xf>
    <xf numFmtId="0" fontId="27" fillId="0" borderId="304" xfId="1" applyNumberFormat="1" applyFont="1" applyFill="1" applyBorder="1" applyAlignment="1">
      <alignment horizontal="center" vertical="center"/>
    </xf>
    <xf numFmtId="0" fontId="68" fillId="0" borderId="304" xfId="1" applyNumberFormat="1" applyFont="1" applyFill="1" applyBorder="1" applyAlignment="1">
      <alignment horizontal="center" vertical="center"/>
    </xf>
    <xf numFmtId="0" fontId="27" fillId="0" borderId="0" xfId="1" applyNumberFormat="1" applyFont="1" applyFill="1" applyBorder="1" applyAlignment="1">
      <alignment horizontal="center" vertical="center"/>
    </xf>
    <xf numFmtId="0" fontId="24" fillId="6" borderId="295" xfId="1" applyFont="1" applyFill="1" applyBorder="1" applyAlignment="1">
      <alignment vertical="center"/>
    </xf>
    <xf numFmtId="4" fontId="38" fillId="6" borderId="295" xfId="1" applyNumberFormat="1" applyFont="1" applyFill="1" applyBorder="1" applyAlignment="1">
      <alignment horizontal="center" vertical="center"/>
    </xf>
    <xf numFmtId="4" fontId="69" fillId="6" borderId="295" xfId="1" applyNumberFormat="1" applyFont="1" applyFill="1" applyBorder="1" applyAlignment="1">
      <alignment horizontal="center" vertical="center"/>
    </xf>
    <xf numFmtId="4" fontId="28" fillId="6" borderId="4" xfId="1" applyNumberFormat="1" applyFont="1" applyFill="1" applyBorder="1" applyAlignment="1">
      <alignment horizontal="center" vertical="center"/>
    </xf>
    <xf numFmtId="0" fontId="24" fillId="8" borderId="297" xfId="1" applyFont="1" applyFill="1" applyBorder="1" applyAlignment="1">
      <alignment vertical="center"/>
    </xf>
    <xf numFmtId="3" fontId="24" fillId="8" borderId="302" xfId="1" applyNumberFormat="1" applyFont="1" applyFill="1" applyBorder="1" applyAlignment="1">
      <alignment horizontal="center" vertical="center"/>
    </xf>
    <xf numFmtId="4" fontId="29" fillId="8" borderId="297" xfId="1" applyNumberFormat="1" applyFont="1" applyFill="1" applyBorder="1" applyAlignment="1">
      <alignment horizontal="center" vertical="center"/>
    </xf>
    <xf numFmtId="4" fontId="24" fillId="8" borderId="297" xfId="1" applyNumberFormat="1" applyFont="1" applyFill="1" applyBorder="1" applyAlignment="1">
      <alignment horizontal="center" vertical="center"/>
    </xf>
    <xf numFmtId="4" fontId="69" fillId="8" borderId="297" xfId="1" applyNumberFormat="1" applyFont="1" applyFill="1" applyBorder="1" applyAlignment="1">
      <alignment horizontal="center" vertical="center"/>
    </xf>
    <xf numFmtId="4" fontId="24" fillId="8" borderId="4" xfId="1" applyNumberFormat="1" applyFont="1" applyFill="1" applyBorder="1" applyAlignment="1">
      <alignment horizontal="center" vertical="center"/>
    </xf>
    <xf numFmtId="3" fontId="27" fillId="0" borderId="304" xfId="1" applyNumberFormat="1" applyFont="1" applyFill="1" applyBorder="1" applyAlignment="1">
      <alignment horizontal="center" vertical="center"/>
    </xf>
    <xf numFmtId="0" fontId="36" fillId="0" borderId="304" xfId="1" applyNumberFormat="1" applyFont="1" applyFill="1" applyBorder="1" applyAlignment="1">
      <alignment horizontal="center" vertical="center"/>
    </xf>
    <xf numFmtId="0" fontId="24" fillId="6" borderId="295" xfId="1" applyFont="1" applyFill="1" applyBorder="1" applyAlignment="1">
      <alignment vertical="center" wrapText="1"/>
    </xf>
    <xf numFmtId="3" fontId="24" fillId="6" borderId="300" xfId="1" applyNumberFormat="1" applyFont="1" applyFill="1" applyBorder="1" applyAlignment="1">
      <alignment horizontal="center" vertical="center"/>
    </xf>
    <xf numFmtId="4" fontId="29" fillId="6" borderId="295" xfId="1" applyNumberFormat="1" applyFont="1" applyFill="1" applyBorder="1" applyAlignment="1">
      <alignment horizontal="center" vertical="center"/>
    </xf>
    <xf numFmtId="4" fontId="24" fillId="6" borderId="0" xfId="1" applyNumberFormat="1" applyFont="1" applyFill="1" applyBorder="1" applyAlignment="1">
      <alignment horizontal="center" vertical="center"/>
    </xf>
    <xf numFmtId="0" fontId="24" fillId="3" borderId="297" xfId="1" applyFont="1" applyFill="1" applyBorder="1" applyAlignment="1">
      <alignment vertical="center"/>
    </xf>
    <xf numFmtId="10" fontId="29" fillId="3" borderId="297" xfId="1" applyNumberFormat="1" applyFont="1" applyFill="1" applyBorder="1" applyAlignment="1">
      <alignment horizontal="center" vertical="center"/>
    </xf>
    <xf numFmtId="10" fontId="69" fillId="3" borderId="297" xfId="1" applyNumberFormat="1" applyFont="1" applyFill="1" applyBorder="1" applyAlignment="1">
      <alignment horizontal="center" vertical="center"/>
    </xf>
    <xf numFmtId="4" fontId="115" fillId="0" borderId="0" xfId="1" applyNumberFormat="1" applyFont="1"/>
    <xf numFmtId="4" fontId="1" fillId="18" borderId="0" xfId="8868" applyNumberFormat="1" applyFill="1"/>
    <xf numFmtId="4" fontId="25" fillId="0" borderId="293" xfId="1" applyNumberFormat="1" applyFont="1" applyBorder="1" applyAlignment="1">
      <alignment horizontal="center" vertical="center"/>
    </xf>
    <xf numFmtId="10" fontId="27" fillId="0" borderId="298" xfId="1" applyNumberFormat="1" applyFont="1" applyBorder="1" applyAlignment="1">
      <alignment horizontal="center" vertical="center"/>
    </xf>
    <xf numFmtId="10" fontId="24" fillId="0" borderId="298" xfId="1" applyNumberFormat="1" applyFont="1" applyBorder="1" applyAlignment="1">
      <alignment horizontal="center" vertical="center"/>
    </xf>
    <xf numFmtId="0" fontId="27" fillId="0" borderId="294" xfId="1" applyFont="1" applyBorder="1" applyAlignment="1">
      <alignment horizontal="center" vertical="center"/>
    </xf>
    <xf numFmtId="10" fontId="26" fillId="0" borderId="294" xfId="1" applyNumberFormat="1" applyFont="1" applyBorder="1" applyAlignment="1">
      <alignment horizontal="center" vertical="center"/>
    </xf>
    <xf numFmtId="40" fontId="25" fillId="0" borderId="6" xfId="1" applyNumberFormat="1" applyFont="1" applyBorder="1" applyAlignment="1">
      <alignment horizontal="center" vertical="center"/>
    </xf>
    <xf numFmtId="40" fontId="25" fillId="0" borderId="79" xfId="1" applyNumberFormat="1" applyFont="1" applyBorder="1" applyAlignment="1">
      <alignment horizontal="center" vertical="center"/>
    </xf>
    <xf numFmtId="3" fontId="25" fillId="0" borderId="79" xfId="1" applyNumberFormat="1" applyFont="1" applyBorder="1" applyAlignment="1">
      <alignment horizontal="center" vertical="center"/>
    </xf>
    <xf numFmtId="179" fontId="16" fillId="0" borderId="0" xfId="1" applyNumberFormat="1" applyFont="1" applyAlignment="1">
      <alignment horizontal="center" vertical="center"/>
    </xf>
    <xf numFmtId="3" fontId="25" fillId="0" borderId="6" xfId="1" applyNumberFormat="1" applyFont="1" applyBorder="1" applyAlignment="1">
      <alignment horizontal="right" vertical="center" indent="1"/>
    </xf>
    <xf numFmtId="3" fontId="25" fillId="0" borderId="79" xfId="1" applyNumberFormat="1" applyFont="1" applyBorder="1" applyAlignment="1">
      <alignment horizontal="right" vertical="center" indent="1"/>
    </xf>
    <xf numFmtId="182" fontId="20" fillId="0" borderId="0" xfId="1" applyNumberFormat="1" applyFont="1" applyAlignment="1">
      <alignment horizontal="left" vertical="center"/>
    </xf>
    <xf numFmtId="9" fontId="20" fillId="0" borderId="0" xfId="1" applyNumberFormat="1" applyFont="1" applyAlignment="1">
      <alignment horizontal="center" vertical="center"/>
    </xf>
    <xf numFmtId="9" fontId="150" fillId="0" borderId="0" xfId="1" applyNumberFormat="1" applyFont="1" applyAlignment="1">
      <alignment horizontal="center" vertical="center"/>
    </xf>
    <xf numFmtId="4" fontId="25" fillId="0" borderId="295" xfId="1" applyNumberFormat="1" applyFont="1" applyBorder="1" applyAlignment="1">
      <alignment horizontal="center" vertical="center"/>
    </xf>
    <xf numFmtId="4" fontId="25" fillId="0" borderId="294" xfId="1" applyNumberFormat="1" applyFont="1" applyBorder="1" applyAlignment="1">
      <alignment horizontal="center" vertical="center"/>
    </xf>
    <xf numFmtId="4" fontId="25" fillId="0" borderId="298" xfId="1" applyNumberFormat="1" applyFont="1" applyBorder="1" applyAlignment="1">
      <alignment horizontal="center" vertical="center"/>
    </xf>
    <xf numFmtId="3" fontId="25" fillId="0" borderId="298" xfId="1" applyNumberFormat="1" applyFont="1" applyBorder="1" applyAlignment="1">
      <alignment horizontal="center" vertical="center"/>
    </xf>
    <xf numFmtId="4" fontId="25" fillId="0" borderId="297" xfId="1" applyNumberFormat="1" applyFont="1" applyBorder="1" applyAlignment="1">
      <alignment horizontal="center" vertical="center" wrapText="1"/>
    </xf>
    <xf numFmtId="4" fontId="25" fillId="0" borderId="298" xfId="1" applyNumberFormat="1" applyFont="1" applyBorder="1" applyAlignment="1">
      <alignment horizontal="center" vertical="center" wrapText="1"/>
    </xf>
    <xf numFmtId="3" fontId="27" fillId="0" borderId="297" xfId="6" applyNumberFormat="1" applyFont="1" applyFill="1" applyBorder="1" applyAlignment="1">
      <alignment horizontal="center" vertical="center"/>
    </xf>
    <xf numFmtId="4" fontId="25" fillId="0" borderId="297" xfId="1" applyNumberFormat="1" applyFont="1" applyBorder="1" applyAlignment="1">
      <alignment horizontal="center" vertical="center"/>
    </xf>
    <xf numFmtId="3" fontId="26" fillId="0" borderId="63" xfId="1" applyNumberFormat="1" applyFont="1" applyBorder="1" applyAlignment="1">
      <alignment horizontal="center" vertical="center"/>
    </xf>
    <xf numFmtId="3" fontId="24" fillId="11" borderId="295" xfId="1" applyNumberFormat="1" applyFont="1" applyFill="1" applyBorder="1" applyAlignment="1">
      <alignment horizontal="center" vertical="center"/>
    </xf>
    <xf numFmtId="0" fontId="19" fillId="0" borderId="299" xfId="1" applyFont="1" applyBorder="1" applyAlignment="1">
      <alignment horizontal="left" vertical="center"/>
    </xf>
    <xf numFmtId="0" fontId="71" fillId="0" borderId="294" xfId="1" applyFont="1" applyBorder="1" applyAlignment="1">
      <alignment horizontal="center" vertical="center"/>
    </xf>
    <xf numFmtId="10" fontId="71" fillId="0" borderId="298" xfId="1" applyNumberFormat="1" applyFont="1" applyBorder="1" applyAlignment="1">
      <alignment horizontal="center" vertical="center"/>
    </xf>
    <xf numFmtId="3" fontId="27" fillId="0" borderId="297" xfId="1" applyNumberFormat="1" applyFont="1" applyBorder="1" applyAlignment="1">
      <alignment horizontal="center" vertical="center"/>
    </xf>
    <xf numFmtId="183" fontId="20" fillId="6" borderId="56" xfId="1" applyNumberFormat="1" applyFont="1" applyFill="1" applyBorder="1" applyAlignment="1">
      <alignment horizontal="center" vertical="center" shrinkToFit="1"/>
    </xf>
    <xf numFmtId="0" fontId="24" fillId="0" borderId="301" xfId="1" applyFont="1" applyBorder="1" applyAlignment="1">
      <alignment vertical="center"/>
    </xf>
    <xf numFmtId="10" fontId="72" fillId="0" borderId="298" xfId="1" applyNumberFormat="1" applyFont="1" applyBorder="1" applyAlignment="1">
      <alignment horizontal="center" vertical="center"/>
    </xf>
    <xf numFmtId="10" fontId="24" fillId="0" borderId="297" xfId="1" applyNumberFormat="1" applyFont="1" applyBorder="1" applyAlignment="1">
      <alignment horizontal="center" vertical="center"/>
    </xf>
    <xf numFmtId="0" fontId="19" fillId="0" borderId="299" xfId="1" applyFont="1" applyBorder="1" applyAlignment="1">
      <alignment vertical="center"/>
    </xf>
    <xf numFmtId="9" fontId="71" fillId="0" borderId="295" xfId="7" applyFont="1" applyFill="1" applyBorder="1" applyAlignment="1">
      <alignment horizontal="center" vertical="center"/>
    </xf>
    <xf numFmtId="4" fontId="25" fillId="0" borderId="294" xfId="1" applyNumberFormat="1" applyFont="1" applyBorder="1" applyAlignment="1">
      <alignment horizontal="center" vertical="center" wrapText="1"/>
    </xf>
    <xf numFmtId="3" fontId="25" fillId="0" borderId="294" xfId="1" applyNumberFormat="1" applyFont="1" applyBorder="1" applyAlignment="1">
      <alignment horizontal="center" vertical="center"/>
    </xf>
    <xf numFmtId="0" fontId="19" fillId="0" borderId="292" xfId="1" applyFont="1" applyBorder="1" applyAlignment="1">
      <alignment vertical="center"/>
    </xf>
    <xf numFmtId="10" fontId="27" fillId="0" borderId="297" xfId="1" applyNumberFormat="1" applyFont="1" applyBorder="1" applyAlignment="1">
      <alignment horizontal="center" vertical="center"/>
    </xf>
    <xf numFmtId="10" fontId="68" fillId="5" borderId="297" xfId="1" applyNumberFormat="1" applyFont="1" applyFill="1" applyBorder="1" applyAlignment="1">
      <alignment horizontal="center" vertical="center"/>
    </xf>
    <xf numFmtId="10" fontId="26" fillId="5" borderId="297" xfId="1" applyNumberFormat="1" applyFont="1" applyFill="1" applyBorder="1" applyAlignment="1">
      <alignment horizontal="center" vertical="center"/>
    </xf>
    <xf numFmtId="4" fontId="24" fillId="4" borderId="295" xfId="1" applyNumberFormat="1" applyFont="1" applyFill="1" applyBorder="1" applyAlignment="1">
      <alignment horizontal="center" vertical="center"/>
    </xf>
    <xf numFmtId="10" fontId="26" fillId="0" borderId="297" xfId="1" applyNumberFormat="1" applyFont="1" applyBorder="1" applyAlignment="1">
      <alignment horizontal="center" vertical="center"/>
    </xf>
    <xf numFmtId="10" fontId="68" fillId="0" borderId="294" xfId="1" applyNumberFormat="1" applyFont="1" applyBorder="1" applyAlignment="1">
      <alignment horizontal="center" vertical="center"/>
    </xf>
    <xf numFmtId="10" fontId="26" fillId="0" borderId="295" xfId="1" applyNumberFormat="1" applyFont="1" applyBorder="1" applyAlignment="1">
      <alignment horizontal="center" vertical="center"/>
    </xf>
    <xf numFmtId="38" fontId="24" fillId="4" borderId="297" xfId="1" applyNumberFormat="1" applyFont="1" applyFill="1" applyBorder="1" applyAlignment="1">
      <alignment horizontal="center" vertical="center"/>
    </xf>
    <xf numFmtId="0" fontId="24" fillId="8" borderId="302" xfId="1" applyFont="1" applyFill="1" applyBorder="1" applyAlignment="1">
      <alignment vertical="center"/>
    </xf>
    <xf numFmtId="4" fontId="72" fillId="8" borderId="297" xfId="1" applyNumberFormat="1" applyFont="1" applyFill="1" applyBorder="1" applyAlignment="1">
      <alignment horizontal="center" vertical="center"/>
    </xf>
    <xf numFmtId="0" fontId="24" fillId="3" borderId="302" xfId="1" applyFont="1" applyFill="1" applyBorder="1" applyAlignment="1">
      <alignment vertical="center"/>
    </xf>
    <xf numFmtId="38" fontId="24" fillId="3" borderId="297" xfId="7" applyNumberFormat="1" applyFont="1" applyFill="1" applyBorder="1" applyAlignment="1">
      <alignment horizontal="center" vertical="center"/>
    </xf>
    <xf numFmtId="184" fontId="16" fillId="0" borderId="0" xfId="1" applyNumberFormat="1" applyAlignment="1">
      <alignment horizontal="center" vertical="center"/>
    </xf>
    <xf numFmtId="3" fontId="24" fillId="11" borderId="295" xfId="1" applyNumberFormat="1" applyFont="1" applyFill="1" applyBorder="1" applyAlignment="1">
      <alignment horizontal="right" vertical="center" indent="1"/>
    </xf>
    <xf numFmtId="3" fontId="27" fillId="0" borderId="297" xfId="1" applyNumberFormat="1" applyFont="1" applyBorder="1" applyAlignment="1">
      <alignment horizontal="right" vertical="center" indent="1"/>
    </xf>
    <xf numFmtId="3" fontId="24" fillId="0" borderId="297" xfId="1" applyNumberFormat="1" applyFont="1" applyBorder="1" applyAlignment="1">
      <alignment horizontal="right" vertical="center" indent="1"/>
    </xf>
    <xf numFmtId="3" fontId="26" fillId="5" borderId="297" xfId="1" applyNumberFormat="1" applyFont="1" applyFill="1" applyBorder="1" applyAlignment="1">
      <alignment horizontal="right" vertical="center" indent="1"/>
    </xf>
    <xf numFmtId="3" fontId="24" fillId="4" borderId="295" xfId="1" applyNumberFormat="1" applyFont="1" applyFill="1" applyBorder="1" applyAlignment="1">
      <alignment horizontal="right" vertical="center" indent="1"/>
    </xf>
    <xf numFmtId="3" fontId="26" fillId="0" borderId="297" xfId="1" applyNumberFormat="1" applyFont="1" applyBorder="1" applyAlignment="1">
      <alignment horizontal="right" vertical="center" indent="1"/>
    </xf>
    <xf numFmtId="3" fontId="24" fillId="4" borderId="297" xfId="1" applyNumberFormat="1" applyFont="1" applyFill="1" applyBorder="1" applyAlignment="1">
      <alignment horizontal="right" vertical="center" indent="1"/>
    </xf>
    <xf numFmtId="3" fontId="26" fillId="0" borderId="295" xfId="1" applyNumberFormat="1" applyFont="1" applyBorder="1" applyAlignment="1">
      <alignment horizontal="right" vertical="center" indent="1"/>
    </xf>
    <xf numFmtId="38" fontId="103" fillId="6" borderId="79" xfId="1" applyNumberFormat="1" applyFont="1" applyFill="1" applyBorder="1" applyAlignment="1">
      <alignment horizontal="right" vertical="center"/>
    </xf>
    <xf numFmtId="3" fontId="24" fillId="3" borderId="297" xfId="7" applyNumberFormat="1" applyFont="1" applyFill="1" applyBorder="1" applyAlignment="1">
      <alignment horizontal="right" vertical="center" indent="1"/>
    </xf>
    <xf numFmtId="3" fontId="150" fillId="18" borderId="0" xfId="1" applyNumberFormat="1" applyFont="1" applyFill="1" applyAlignment="1">
      <alignment vertical="center"/>
    </xf>
    <xf numFmtId="40" fontId="24" fillId="11" borderId="295" xfId="1" applyNumberFormat="1" applyFont="1" applyFill="1" applyBorder="1" applyAlignment="1">
      <alignment horizontal="center" vertical="center"/>
    </xf>
    <xf numFmtId="40" fontId="27" fillId="0" borderId="297" xfId="1" applyNumberFormat="1" applyFont="1" applyBorder="1" applyAlignment="1">
      <alignment horizontal="center" vertical="center"/>
    </xf>
    <xf numFmtId="3" fontId="150" fillId="0" borderId="0" xfId="1" applyNumberFormat="1" applyFont="1" applyAlignment="1">
      <alignment vertical="center"/>
    </xf>
    <xf numFmtId="4" fontId="109" fillId="0" borderId="293" xfId="1" applyNumberFormat="1" applyFont="1" applyBorder="1" applyAlignment="1">
      <alignment horizontal="center" vertical="center"/>
    </xf>
    <xf numFmtId="9" fontId="174" fillId="0" borderId="294" xfId="7" applyFont="1" applyFill="1" applyBorder="1" applyAlignment="1">
      <alignment horizontal="center" vertical="center"/>
    </xf>
    <xf numFmtId="9" fontId="173" fillId="0" borderId="298" xfId="7" applyFont="1" applyFill="1" applyBorder="1" applyAlignment="1">
      <alignment horizontal="center" vertical="center"/>
    </xf>
    <xf numFmtId="4" fontId="33" fillId="11" borderId="295" xfId="1" applyNumberFormat="1" applyFont="1" applyFill="1" applyBorder="1" applyAlignment="1">
      <alignment horizontal="center" vertical="center"/>
    </xf>
    <xf numFmtId="0" fontId="173" fillId="0" borderId="294" xfId="1" applyFont="1" applyBorder="1" applyAlignment="1">
      <alignment horizontal="center" vertical="center"/>
    </xf>
    <xf numFmtId="10" fontId="173" fillId="0" borderId="298" xfId="1" applyNumberFormat="1" applyFont="1" applyBorder="1" applyAlignment="1">
      <alignment horizontal="center" vertical="center"/>
    </xf>
    <xf numFmtId="10" fontId="33" fillId="0" borderId="298" xfId="1" applyNumberFormat="1" applyFont="1" applyBorder="1" applyAlignment="1">
      <alignment horizontal="center" vertical="center"/>
    </xf>
    <xf numFmtId="9" fontId="173" fillId="0" borderId="294" xfId="7" applyFont="1" applyFill="1" applyBorder="1" applyAlignment="1">
      <alignment horizontal="center" vertical="center"/>
    </xf>
    <xf numFmtId="10" fontId="174" fillId="5" borderId="298" xfId="1" applyNumberFormat="1" applyFont="1" applyFill="1" applyBorder="1" applyAlignment="1">
      <alignment horizontal="center" vertical="center"/>
    </xf>
    <xf numFmtId="4" fontId="33" fillId="4" borderId="297" xfId="1" applyNumberFormat="1" applyFont="1" applyFill="1" applyBorder="1" applyAlignment="1">
      <alignment horizontal="center" vertical="center"/>
    </xf>
    <xf numFmtId="10" fontId="174" fillId="0" borderId="294" xfId="1" applyNumberFormat="1" applyFont="1" applyBorder="1" applyAlignment="1">
      <alignment horizontal="center" vertical="center"/>
    </xf>
    <xf numFmtId="4" fontId="175" fillId="6" borderId="295" xfId="1" applyNumberFormat="1" applyFont="1" applyFill="1" applyBorder="1" applyAlignment="1">
      <alignment horizontal="center" vertical="center"/>
    </xf>
    <xf numFmtId="4" fontId="33" fillId="8" borderId="297" xfId="1" applyNumberFormat="1" applyFont="1" applyFill="1" applyBorder="1" applyAlignment="1">
      <alignment horizontal="center" vertical="center"/>
    </xf>
    <xf numFmtId="4" fontId="33" fillId="6" borderId="295" xfId="1" applyNumberFormat="1" applyFont="1" applyFill="1" applyBorder="1" applyAlignment="1">
      <alignment horizontal="center" vertical="center"/>
    </xf>
    <xf numFmtId="10" fontId="33" fillId="3" borderId="297" xfId="1" applyNumberFormat="1" applyFont="1" applyFill="1" applyBorder="1" applyAlignment="1">
      <alignment horizontal="center" vertical="center"/>
    </xf>
    <xf numFmtId="9" fontId="103" fillId="3" borderId="297" xfId="7" applyFont="1" applyFill="1" applyBorder="1" applyAlignment="1">
      <alignment horizontal="center" vertical="center"/>
    </xf>
    <xf numFmtId="4" fontId="180" fillId="5" borderId="307" xfId="8872" applyNumberFormat="1" applyFont="1" applyFill="1" applyBorder="1" applyAlignment="1">
      <alignment horizontal="right" vertical="top"/>
    </xf>
    <xf numFmtId="0" fontId="180" fillId="5" borderId="307" xfId="8872" applyNumberFormat="1" applyFont="1" applyFill="1" applyBorder="1" applyAlignment="1">
      <alignment horizontal="left" vertical="top"/>
    </xf>
    <xf numFmtId="4" fontId="180" fillId="5" borderId="308" xfId="8872" applyNumberFormat="1" applyFont="1" applyFill="1" applyBorder="1" applyAlignment="1">
      <alignment horizontal="right" vertical="top"/>
    </xf>
    <xf numFmtId="0" fontId="180" fillId="5" borderId="308" xfId="8872" applyNumberFormat="1" applyFont="1" applyFill="1" applyBorder="1" applyAlignment="1">
      <alignment horizontal="left" vertical="top"/>
    </xf>
    <xf numFmtId="4" fontId="109" fillId="0" borderId="309" xfId="1" applyNumberFormat="1" applyFont="1" applyBorder="1" applyAlignment="1">
      <alignment horizontal="center" vertical="center" wrapText="1"/>
    </xf>
    <xf numFmtId="0" fontId="19" fillId="0" borderId="310" xfId="1" applyFont="1" applyBorder="1" applyAlignment="1">
      <alignment horizontal="left" vertical="center"/>
    </xf>
    <xf numFmtId="4" fontId="25" fillId="0" borderId="309" xfId="1" applyNumberFormat="1" applyFont="1" applyBorder="1" applyAlignment="1">
      <alignment horizontal="center" vertical="center"/>
    </xf>
    <xf numFmtId="4" fontId="163" fillId="0" borderId="309" xfId="1" applyNumberFormat="1" applyFont="1" applyBorder="1" applyAlignment="1">
      <alignment horizontal="center" vertical="center"/>
    </xf>
    <xf numFmtId="4" fontId="109" fillId="0" borderId="309" xfId="1" applyNumberFormat="1" applyFont="1" applyBorder="1" applyAlignment="1">
      <alignment horizontal="center" vertical="center"/>
    </xf>
    <xf numFmtId="9" fontId="36" fillId="0" borderId="311" xfId="7" applyFont="1" applyFill="1" applyBorder="1" applyAlignment="1">
      <alignment horizontal="center" vertical="center"/>
    </xf>
    <xf numFmtId="0" fontId="19" fillId="0" borderId="312" xfId="1" applyFont="1" applyBorder="1" applyAlignment="1">
      <alignment vertical="center"/>
    </xf>
    <xf numFmtId="9" fontId="27" fillId="0" borderId="311" xfId="7" applyFont="1" applyFill="1" applyBorder="1" applyAlignment="1">
      <alignment horizontal="center" vertical="center"/>
    </xf>
    <xf numFmtId="0" fontId="19" fillId="0" borderId="313" xfId="1" applyFont="1" applyBorder="1" applyAlignment="1">
      <alignment vertical="center"/>
    </xf>
    <xf numFmtId="9" fontId="68" fillId="0" borderId="311" xfId="7" applyFont="1" applyFill="1" applyBorder="1" applyAlignment="1">
      <alignment horizontal="center" vertical="center"/>
    </xf>
    <xf numFmtId="9" fontId="174" fillId="0" borderId="311" xfId="7" applyFont="1" applyFill="1" applyBorder="1" applyAlignment="1">
      <alignment horizontal="center" vertical="center"/>
    </xf>
    <xf numFmtId="4" fontId="25" fillId="0" borderId="312" xfId="1" applyNumberFormat="1" applyFont="1" applyBorder="1" applyAlignment="1">
      <alignment horizontal="center" vertical="center"/>
    </xf>
    <xf numFmtId="4" fontId="25" fillId="0" borderId="311" xfId="1" applyNumberFormat="1" applyFont="1" applyBorder="1" applyAlignment="1">
      <alignment horizontal="center" vertical="center"/>
    </xf>
    <xf numFmtId="0" fontId="19" fillId="0" borderId="314" xfId="1" applyFont="1" applyBorder="1" applyAlignment="1">
      <alignment vertical="center"/>
    </xf>
    <xf numFmtId="4" fontId="25" fillId="0" borderId="315" xfId="1" applyNumberFormat="1" applyFont="1" applyBorder="1" applyAlignment="1">
      <alignment horizontal="center" vertical="center"/>
    </xf>
    <xf numFmtId="3" fontId="25" fillId="0" borderId="315" xfId="1" applyNumberFormat="1" applyFont="1" applyBorder="1" applyAlignment="1">
      <alignment horizontal="center" vertical="center"/>
    </xf>
    <xf numFmtId="9" fontId="36" fillId="0" borderId="314" xfId="7" applyFont="1" applyFill="1" applyBorder="1" applyAlignment="1">
      <alignment horizontal="center" vertical="center"/>
    </xf>
    <xf numFmtId="9" fontId="71" fillId="0" borderId="315" xfId="7" applyFont="1" applyFill="1" applyBorder="1" applyAlignment="1">
      <alignment horizontal="center" vertical="center"/>
    </xf>
    <xf numFmtId="4" fontId="25" fillId="0" borderId="314" xfId="1" applyNumberFormat="1" applyFont="1" applyBorder="1" applyAlignment="1">
      <alignment horizontal="center" vertical="center" wrapText="1"/>
    </xf>
    <xf numFmtId="4" fontId="25" fillId="0" borderId="315" xfId="1" applyNumberFormat="1" applyFont="1" applyBorder="1" applyAlignment="1">
      <alignment horizontal="center" vertical="center" wrapText="1"/>
    </xf>
    <xf numFmtId="3" fontId="27" fillId="0" borderId="314" xfId="6" applyNumberFormat="1" applyFont="1" applyFill="1" applyBorder="1" applyAlignment="1">
      <alignment horizontal="center" vertical="center"/>
    </xf>
    <xf numFmtId="9" fontId="163" fillId="0" borderId="315" xfId="7" applyFont="1" applyFill="1" applyBorder="1" applyAlignment="1">
      <alignment horizontal="center" vertical="center"/>
    </xf>
    <xf numFmtId="9" fontId="173" fillId="0" borderId="315" xfId="7" applyFont="1" applyFill="1" applyBorder="1" applyAlignment="1">
      <alignment horizontal="center" vertical="center"/>
    </xf>
    <xf numFmtId="4" fontId="25" fillId="0" borderId="314" xfId="1" applyNumberFormat="1" applyFont="1" applyBorder="1" applyAlignment="1">
      <alignment horizontal="center" vertical="center"/>
    </xf>
    <xf numFmtId="9" fontId="36" fillId="0" borderId="315" xfId="7" applyFont="1" applyFill="1" applyBorder="1" applyAlignment="1">
      <alignment horizontal="center" vertical="center"/>
    </xf>
    <xf numFmtId="9" fontId="27" fillId="0" borderId="315" xfId="7" applyFont="1" applyFill="1" applyBorder="1" applyAlignment="1">
      <alignment horizontal="center" vertical="center"/>
    </xf>
    <xf numFmtId="0" fontId="24" fillId="11" borderId="316" xfId="1" applyFont="1" applyFill="1" applyBorder="1" applyAlignment="1">
      <alignment vertical="center"/>
    </xf>
    <xf numFmtId="4" fontId="24" fillId="11" borderId="317" xfId="1" applyNumberFormat="1" applyFont="1" applyFill="1" applyBorder="1" applyAlignment="1">
      <alignment horizontal="center" vertical="center"/>
    </xf>
    <xf numFmtId="4" fontId="24" fillId="11" borderId="312" xfId="1" applyNumberFormat="1" applyFont="1" applyFill="1" applyBorder="1" applyAlignment="1">
      <alignment horizontal="center" vertical="center"/>
    </xf>
    <xf numFmtId="4" fontId="72" fillId="11" borderId="312" xfId="1" applyNumberFormat="1" applyFont="1" applyFill="1" applyBorder="1" applyAlignment="1">
      <alignment horizontal="center" vertical="center"/>
    </xf>
    <xf numFmtId="4" fontId="72" fillId="11" borderId="317" xfId="1" applyNumberFormat="1" applyFont="1" applyFill="1" applyBorder="1" applyAlignment="1">
      <alignment horizontal="center" vertical="center"/>
    </xf>
    <xf numFmtId="3" fontId="24" fillId="11" borderId="317" xfId="1" applyNumberFormat="1" applyFont="1" applyFill="1" applyBorder="1" applyAlignment="1">
      <alignment horizontal="center" vertical="center"/>
    </xf>
    <xf numFmtId="3" fontId="24" fillId="11" borderId="312" xfId="1" applyNumberFormat="1" applyFont="1" applyFill="1" applyBorder="1" applyAlignment="1">
      <alignment horizontal="center" vertical="center"/>
    </xf>
    <xf numFmtId="4" fontId="177" fillId="11" borderId="312" xfId="1" applyNumberFormat="1" applyFont="1" applyFill="1" applyBorder="1" applyAlignment="1">
      <alignment horizontal="center" vertical="center"/>
    </xf>
    <xf numFmtId="4" fontId="33" fillId="11" borderId="312" xfId="1" applyNumberFormat="1" applyFont="1" applyFill="1" applyBorder="1" applyAlignment="1">
      <alignment horizontal="center" vertical="center"/>
    </xf>
    <xf numFmtId="40" fontId="24" fillId="11" borderId="312" xfId="1" applyNumberFormat="1" applyFont="1" applyFill="1" applyBorder="1" applyAlignment="1">
      <alignment horizontal="center" vertical="center"/>
    </xf>
    <xf numFmtId="0" fontId="19" fillId="0" borderId="316" xfId="1" applyFont="1" applyBorder="1" applyAlignment="1">
      <alignment horizontal="left" vertical="center"/>
    </xf>
    <xf numFmtId="0" fontId="71" fillId="0" borderId="311" xfId="1" applyFont="1" applyBorder="1" applyAlignment="1">
      <alignment horizontal="center" vertical="center"/>
    </xf>
    <xf numFmtId="0" fontId="163" fillId="0" borderId="311" xfId="1" applyFont="1" applyBorder="1" applyAlignment="1">
      <alignment horizontal="center" vertical="center"/>
    </xf>
    <xf numFmtId="0" fontId="173" fillId="0" borderId="311" xfId="1" applyFont="1" applyBorder="1" applyAlignment="1">
      <alignment horizontal="center" vertical="center" wrapText="1"/>
    </xf>
    <xf numFmtId="0" fontId="173" fillId="0" borderId="311" xfId="1" applyFont="1" applyBorder="1" applyAlignment="1">
      <alignment horizontal="center" vertical="center"/>
    </xf>
    <xf numFmtId="0" fontId="27" fillId="0" borderId="311" xfId="1" applyFont="1" applyBorder="1" applyAlignment="1">
      <alignment horizontal="center" vertical="center"/>
    </xf>
    <xf numFmtId="0" fontId="19" fillId="0" borderId="318" xfId="1" applyFont="1" applyBorder="1" applyAlignment="1">
      <alignment horizontal="left" vertical="center"/>
    </xf>
    <xf numFmtId="10" fontId="27" fillId="0" borderId="315" xfId="1" applyNumberFormat="1" applyFont="1" applyBorder="1" applyAlignment="1">
      <alignment horizontal="center" vertical="center"/>
    </xf>
    <xf numFmtId="10" fontId="71" fillId="0" borderId="315" xfId="1" applyNumberFormat="1" applyFont="1" applyBorder="1" applyAlignment="1">
      <alignment horizontal="center" vertical="center"/>
    </xf>
    <xf numFmtId="3" fontId="27" fillId="0" borderId="315" xfId="1" applyNumberFormat="1" applyFont="1" applyBorder="1" applyAlignment="1">
      <alignment horizontal="center" vertical="center"/>
    </xf>
    <xf numFmtId="10" fontId="163" fillId="0" borderId="315" xfId="1" applyNumberFormat="1" applyFont="1" applyBorder="1" applyAlignment="1">
      <alignment horizontal="center" vertical="center"/>
    </xf>
    <xf numFmtId="10" fontId="173" fillId="0" borderId="315" xfId="1" applyNumberFormat="1" applyFont="1" applyBorder="1" applyAlignment="1">
      <alignment horizontal="center" vertical="center"/>
    </xf>
    <xf numFmtId="10" fontId="27" fillId="0" borderId="314" xfId="1" applyNumberFormat="1" applyFont="1" applyBorder="1" applyAlignment="1">
      <alignment horizontal="center" vertical="center"/>
    </xf>
    <xf numFmtId="40" fontId="27" fillId="0" borderId="314" xfId="1" applyNumberFormat="1" applyFont="1" applyBorder="1" applyAlignment="1">
      <alignment horizontal="center" vertical="center"/>
    </xf>
    <xf numFmtId="0" fontId="24" fillId="0" borderId="318" xfId="1" applyFont="1" applyBorder="1" applyAlignment="1">
      <alignment vertical="center"/>
    </xf>
    <xf numFmtId="10" fontId="24" fillId="0" borderId="315" xfId="1" applyNumberFormat="1" applyFont="1" applyBorder="1" applyAlignment="1">
      <alignment horizontal="center" vertical="center"/>
    </xf>
    <xf numFmtId="10" fontId="72" fillId="0" borderId="315" xfId="1" applyNumberFormat="1" applyFont="1" applyBorder="1" applyAlignment="1">
      <alignment horizontal="center" vertical="center"/>
    </xf>
    <xf numFmtId="3" fontId="24" fillId="0" borderId="315" xfId="1" applyNumberFormat="1" applyFont="1" applyBorder="1" applyAlignment="1">
      <alignment horizontal="center" vertical="center"/>
    </xf>
    <xf numFmtId="10" fontId="177" fillId="0" borderId="315" xfId="1" applyNumberFormat="1" applyFont="1" applyBorder="1" applyAlignment="1">
      <alignment horizontal="center" vertical="center"/>
    </xf>
    <xf numFmtId="10" fontId="33" fillId="0" borderId="315" xfId="1" applyNumberFormat="1" applyFont="1" applyBorder="1" applyAlignment="1">
      <alignment horizontal="center" vertical="center"/>
    </xf>
    <xf numFmtId="10" fontId="24" fillId="0" borderId="314" xfId="1" applyNumberFormat="1" applyFont="1" applyBorder="1" applyAlignment="1">
      <alignment horizontal="center" vertical="center"/>
    </xf>
    <xf numFmtId="9" fontId="36" fillId="4" borderId="311" xfId="7" applyFont="1" applyFill="1" applyBorder="1" applyAlignment="1">
      <alignment horizontal="center" vertical="center"/>
    </xf>
    <xf numFmtId="0" fontId="19" fillId="0" borderId="316" xfId="1" applyFont="1" applyBorder="1" applyAlignment="1">
      <alignment vertical="center"/>
    </xf>
    <xf numFmtId="9" fontId="71" fillId="0" borderId="311" xfId="7" applyFont="1" applyFill="1" applyBorder="1" applyAlignment="1">
      <alignment horizontal="center" vertical="center"/>
    </xf>
    <xf numFmtId="9" fontId="163" fillId="0" borderId="311" xfId="7" applyFont="1" applyFill="1" applyBorder="1" applyAlignment="1">
      <alignment horizontal="center" vertical="center"/>
    </xf>
    <xf numFmtId="9" fontId="173" fillId="0" borderId="311" xfId="7" applyFont="1" applyFill="1" applyBorder="1" applyAlignment="1">
      <alignment horizontal="center" vertical="center"/>
    </xf>
    <xf numFmtId="9" fontId="71" fillId="0" borderId="312" xfId="7" applyFont="1" applyFill="1" applyBorder="1" applyAlignment="1">
      <alignment horizontal="center" vertical="center"/>
    </xf>
    <xf numFmtId="4" fontId="25" fillId="0" borderId="311" xfId="1" applyNumberFormat="1" applyFont="1" applyBorder="1" applyAlignment="1">
      <alignment horizontal="center" vertical="center" wrapText="1"/>
    </xf>
    <xf numFmtId="3" fontId="27" fillId="0" borderId="312" xfId="6" applyNumberFormat="1" applyFont="1" applyFill="1" applyBorder="1" applyAlignment="1">
      <alignment horizontal="center" vertical="center"/>
    </xf>
    <xf numFmtId="3" fontId="25" fillId="0" borderId="311" xfId="1" applyNumberFormat="1" applyFont="1" applyBorder="1" applyAlignment="1">
      <alignment horizontal="center" vertical="center"/>
    </xf>
    <xf numFmtId="0" fontId="19" fillId="0" borderId="310" xfId="1" applyFont="1" applyBorder="1" applyAlignment="1">
      <alignment vertical="center"/>
    </xf>
    <xf numFmtId="0" fontId="19" fillId="0" borderId="318" xfId="1" applyFont="1" applyBorder="1" applyAlignment="1">
      <alignment vertical="center"/>
    </xf>
    <xf numFmtId="10" fontId="26" fillId="5" borderId="315" xfId="1" applyNumberFormat="1" applyFont="1" applyFill="1" applyBorder="1" applyAlignment="1">
      <alignment horizontal="center" vertical="center"/>
    </xf>
    <xf numFmtId="10" fontId="68" fillId="5" borderId="315" xfId="1" applyNumberFormat="1" applyFont="1" applyFill="1" applyBorder="1" applyAlignment="1">
      <alignment horizontal="center" vertical="center"/>
    </xf>
    <xf numFmtId="10" fontId="68" fillId="5" borderId="314" xfId="1" applyNumberFormat="1" applyFont="1" applyFill="1" applyBorder="1" applyAlignment="1">
      <alignment horizontal="center" vertical="center"/>
    </xf>
    <xf numFmtId="3" fontId="26" fillId="5" borderId="315" xfId="1" applyNumberFormat="1" applyFont="1" applyFill="1" applyBorder="1" applyAlignment="1">
      <alignment horizontal="center" vertical="center"/>
    </xf>
    <xf numFmtId="10" fontId="163" fillId="5" borderId="315" xfId="1" applyNumberFormat="1" applyFont="1" applyFill="1" applyBorder="1" applyAlignment="1">
      <alignment horizontal="center" vertical="center"/>
    </xf>
    <xf numFmtId="10" fontId="174" fillId="5" borderId="315" xfId="1" applyNumberFormat="1" applyFont="1" applyFill="1" applyBorder="1" applyAlignment="1">
      <alignment horizontal="center" vertical="center"/>
    </xf>
    <xf numFmtId="10" fontId="26" fillId="5" borderId="314" xfId="1" applyNumberFormat="1" applyFont="1" applyFill="1" applyBorder="1" applyAlignment="1">
      <alignment horizontal="center" vertical="center"/>
    </xf>
    <xf numFmtId="9" fontId="163" fillId="0" borderId="311" xfId="7" applyFont="1" applyFill="1" applyBorder="1" applyAlignment="1">
      <alignment horizontal="center" vertical="center" wrapText="1"/>
    </xf>
    <xf numFmtId="0" fontId="19" fillId="0" borderId="317" xfId="1" applyFont="1" applyBorder="1" applyAlignment="1">
      <alignment horizontal="left" vertical="center"/>
    </xf>
    <xf numFmtId="4" fontId="24" fillId="4" borderId="312" xfId="1" applyNumberFormat="1" applyFont="1" applyFill="1" applyBorder="1" applyAlignment="1">
      <alignment horizontal="center" vertical="center"/>
    </xf>
    <xf numFmtId="10" fontId="26" fillId="0" borderId="314" xfId="1" applyNumberFormat="1" applyFont="1" applyBorder="1" applyAlignment="1">
      <alignment horizontal="center" vertical="center"/>
    </xf>
    <xf numFmtId="0" fontId="24" fillId="4" borderId="319" xfId="1" applyFont="1" applyFill="1" applyBorder="1" applyAlignment="1">
      <alignment vertical="center"/>
    </xf>
    <xf numFmtId="3" fontId="24" fillId="4" borderId="319" xfId="1" applyNumberFormat="1" applyFont="1" applyFill="1" applyBorder="1" applyAlignment="1">
      <alignment horizontal="center" vertical="center"/>
    </xf>
    <xf numFmtId="3" fontId="24" fillId="4" borderId="314" xfId="1" applyNumberFormat="1" applyFont="1" applyFill="1" applyBorder="1" applyAlignment="1">
      <alignment horizontal="center" vertical="center"/>
    </xf>
    <xf numFmtId="4" fontId="24" fillId="4" borderId="314" xfId="1" applyNumberFormat="1" applyFont="1" applyFill="1" applyBorder="1" applyAlignment="1">
      <alignment horizontal="center" vertical="center"/>
    </xf>
    <xf numFmtId="4" fontId="72" fillId="4" borderId="314" xfId="1" applyNumberFormat="1" applyFont="1" applyFill="1" applyBorder="1" applyAlignment="1">
      <alignment horizontal="center" vertical="center"/>
    </xf>
    <xf numFmtId="4" fontId="72" fillId="4" borderId="319" xfId="1" applyNumberFormat="1" applyFont="1" applyFill="1" applyBorder="1" applyAlignment="1">
      <alignment horizontal="center" vertical="center"/>
    </xf>
    <xf numFmtId="4" fontId="177" fillId="4" borderId="314" xfId="1" applyNumberFormat="1" applyFont="1" applyFill="1" applyBorder="1" applyAlignment="1">
      <alignment horizontal="center" vertical="center"/>
    </xf>
    <xf numFmtId="4" fontId="33" fillId="4" borderId="314" xfId="1" applyNumberFormat="1" applyFont="1" applyFill="1" applyBorder="1" applyAlignment="1">
      <alignment horizontal="center" vertical="center"/>
    </xf>
    <xf numFmtId="0" fontId="19" fillId="0" borderId="317" xfId="1" applyFont="1" applyBorder="1" applyAlignment="1">
      <alignment vertical="center"/>
    </xf>
    <xf numFmtId="10" fontId="26" fillId="0" borderId="311" xfId="1" applyNumberFormat="1" applyFont="1" applyBorder="1" applyAlignment="1">
      <alignment horizontal="center" vertical="center"/>
    </xf>
    <xf numFmtId="10" fontId="68" fillId="0" borderId="311" xfId="1" applyNumberFormat="1" applyFont="1" applyBorder="1" applyAlignment="1">
      <alignment horizontal="center" vertical="center"/>
    </xf>
    <xf numFmtId="3" fontId="26" fillId="0" borderId="311" xfId="1" applyNumberFormat="1" applyFont="1" applyBorder="1" applyAlignment="1">
      <alignment horizontal="center" vertical="center"/>
    </xf>
    <xf numFmtId="10" fontId="163" fillId="0" borderId="311" xfId="1" applyNumberFormat="1" applyFont="1" applyBorder="1" applyAlignment="1">
      <alignment horizontal="center" vertical="center"/>
    </xf>
    <xf numFmtId="10" fontId="174" fillId="0" borderId="311" xfId="1" applyNumberFormat="1" applyFont="1" applyBorder="1" applyAlignment="1">
      <alignment horizontal="center" vertical="center"/>
    </xf>
    <xf numFmtId="10" fontId="26" fillId="0" borderId="312" xfId="1" applyNumberFormat="1" applyFont="1" applyBorder="1" applyAlignment="1">
      <alignment horizontal="center" vertical="center"/>
    </xf>
    <xf numFmtId="38" fontId="24" fillId="4" borderId="314" xfId="1" applyNumberFormat="1" applyFont="1" applyFill="1" applyBorder="1" applyAlignment="1">
      <alignment horizontal="center" vertical="center"/>
    </xf>
    <xf numFmtId="0" fontId="24" fillId="6" borderId="317" xfId="1" applyFont="1" applyFill="1" applyBorder="1" applyAlignment="1">
      <alignment vertical="center"/>
    </xf>
    <xf numFmtId="3" fontId="28" fillId="6" borderId="317" xfId="1" applyNumberFormat="1" applyFont="1" applyFill="1" applyBorder="1" applyAlignment="1">
      <alignment horizontal="center" vertical="center"/>
    </xf>
    <xf numFmtId="3" fontId="28" fillId="6" borderId="312" xfId="1" applyNumberFormat="1" applyFont="1" applyFill="1" applyBorder="1" applyAlignment="1">
      <alignment horizontal="center" vertical="center"/>
    </xf>
    <xf numFmtId="4" fontId="28" fillId="6" borderId="312" xfId="1" applyNumberFormat="1" applyFont="1" applyFill="1" applyBorder="1" applyAlignment="1">
      <alignment horizontal="center" vertical="center"/>
    </xf>
    <xf numFmtId="4" fontId="74" fillId="6" borderId="312" xfId="1" applyNumberFormat="1" applyFont="1" applyFill="1" applyBorder="1" applyAlignment="1">
      <alignment horizontal="center" vertical="center"/>
    </xf>
    <xf numFmtId="4" fontId="74" fillId="6" borderId="317" xfId="1" applyNumberFormat="1" applyFont="1" applyFill="1" applyBorder="1" applyAlignment="1">
      <alignment horizontal="center" vertical="center"/>
    </xf>
    <xf numFmtId="4" fontId="177" fillId="6" borderId="312" xfId="1" applyNumberFormat="1" applyFont="1" applyFill="1" applyBorder="1" applyAlignment="1">
      <alignment horizontal="center" vertical="center"/>
    </xf>
    <xf numFmtId="4" fontId="175" fillId="6" borderId="312" xfId="1" applyNumberFormat="1" applyFont="1" applyFill="1" applyBorder="1" applyAlignment="1">
      <alignment horizontal="center" vertical="center"/>
    </xf>
    <xf numFmtId="0" fontId="24" fillId="8" borderId="319" xfId="1" applyFont="1" applyFill="1" applyBorder="1" applyAlignment="1">
      <alignment vertical="center"/>
    </xf>
    <xf numFmtId="3" fontId="24" fillId="8" borderId="314" xfId="1" applyNumberFormat="1" applyFont="1" applyFill="1" applyBorder="1" applyAlignment="1">
      <alignment horizontal="center" vertical="center"/>
    </xf>
    <xf numFmtId="4" fontId="24" fillId="8" borderId="314" xfId="1" applyNumberFormat="1" applyFont="1" applyFill="1" applyBorder="1" applyAlignment="1">
      <alignment horizontal="center" vertical="center"/>
    </xf>
    <xf numFmtId="4" fontId="72" fillId="8" borderId="314" xfId="1" applyNumberFormat="1" applyFont="1" applyFill="1" applyBorder="1" applyAlignment="1">
      <alignment horizontal="center" vertical="center"/>
    </xf>
    <xf numFmtId="4" fontId="177" fillId="8" borderId="314" xfId="1" applyNumberFormat="1" applyFont="1" applyFill="1" applyBorder="1" applyAlignment="1">
      <alignment horizontal="center" vertical="center"/>
    </xf>
    <xf numFmtId="4" fontId="33" fillId="8" borderId="314" xfId="1" applyNumberFormat="1" applyFont="1" applyFill="1" applyBorder="1" applyAlignment="1">
      <alignment horizontal="center" vertical="center"/>
    </xf>
    <xf numFmtId="0" fontId="24" fillId="6" borderId="316" xfId="1" applyFont="1" applyFill="1" applyBorder="1" applyAlignment="1">
      <alignment vertical="center" wrapText="1"/>
    </xf>
    <xf numFmtId="3" fontId="24" fillId="6" borderId="312" xfId="1" applyNumberFormat="1" applyFont="1" applyFill="1" applyBorder="1" applyAlignment="1">
      <alignment horizontal="center" vertical="center"/>
    </xf>
    <xf numFmtId="4" fontId="24" fillId="6" borderId="312" xfId="1" applyNumberFormat="1" applyFont="1" applyFill="1" applyBorder="1" applyAlignment="1">
      <alignment horizontal="center" vertical="center"/>
    </xf>
    <xf numFmtId="4" fontId="72" fillId="6" borderId="312" xfId="1" applyNumberFormat="1" applyFont="1" applyFill="1" applyBorder="1" applyAlignment="1">
      <alignment horizontal="center" vertical="center"/>
    </xf>
    <xf numFmtId="4" fontId="33" fillId="6" borderId="312" xfId="1" applyNumberFormat="1" applyFont="1" applyFill="1" applyBorder="1" applyAlignment="1">
      <alignment horizontal="center" vertical="center"/>
    </xf>
    <xf numFmtId="0" fontId="24" fillId="3" borderId="319" xfId="1" applyFont="1" applyFill="1" applyBorder="1" applyAlignment="1">
      <alignment vertical="center"/>
    </xf>
    <xf numFmtId="9" fontId="24" fillId="3" borderId="319" xfId="7" applyFont="1" applyFill="1" applyBorder="1" applyAlignment="1">
      <alignment horizontal="center" vertical="center"/>
    </xf>
    <xf numFmtId="3" fontId="24" fillId="3" borderId="319" xfId="1" applyNumberFormat="1" applyFont="1" applyFill="1" applyBorder="1" applyAlignment="1">
      <alignment horizontal="center" vertical="center"/>
    </xf>
    <xf numFmtId="9" fontId="24" fillId="3" borderId="314" xfId="7" applyFont="1" applyFill="1" applyBorder="1" applyAlignment="1">
      <alignment horizontal="center" vertical="center"/>
    </xf>
    <xf numFmtId="10" fontId="24" fillId="3" borderId="314" xfId="1" applyNumberFormat="1" applyFont="1" applyFill="1" applyBorder="1" applyAlignment="1">
      <alignment horizontal="center" vertical="center"/>
    </xf>
    <xf numFmtId="10" fontId="72" fillId="3" borderId="314" xfId="1" applyNumberFormat="1" applyFont="1" applyFill="1" applyBorder="1" applyAlignment="1">
      <alignment horizontal="center" vertical="center"/>
    </xf>
    <xf numFmtId="10" fontId="72" fillId="3" borderId="319" xfId="1" applyNumberFormat="1" applyFont="1" applyFill="1" applyBorder="1" applyAlignment="1">
      <alignment horizontal="center" vertical="center"/>
    </xf>
    <xf numFmtId="9" fontId="24" fillId="3" borderId="319" xfId="7" applyNumberFormat="1" applyFont="1" applyFill="1" applyBorder="1" applyAlignment="1">
      <alignment horizontal="center" vertical="center"/>
    </xf>
    <xf numFmtId="9" fontId="24" fillId="3" borderId="319" xfId="1" applyNumberFormat="1" applyFont="1" applyFill="1" applyBorder="1" applyAlignment="1">
      <alignment horizontal="center" vertical="center"/>
    </xf>
    <xf numFmtId="9" fontId="24" fillId="3" borderId="314" xfId="7" applyNumberFormat="1" applyFont="1" applyFill="1" applyBorder="1" applyAlignment="1">
      <alignment horizontal="center" vertical="center"/>
    </xf>
    <xf numFmtId="10" fontId="177" fillId="3" borderId="314" xfId="1" applyNumberFormat="1" applyFont="1" applyFill="1" applyBorder="1" applyAlignment="1">
      <alignment horizontal="center" vertical="center"/>
    </xf>
    <xf numFmtId="10" fontId="33" fillId="3" borderId="314" xfId="1" applyNumberFormat="1" applyFont="1" applyFill="1" applyBorder="1" applyAlignment="1">
      <alignment horizontal="center" vertical="center"/>
    </xf>
    <xf numFmtId="38" fontId="24" fillId="3" borderId="314" xfId="7" applyNumberFormat="1" applyFont="1" applyFill="1" applyBorder="1" applyAlignment="1">
      <alignment horizontal="center" vertical="center"/>
    </xf>
    <xf numFmtId="2" fontId="106" fillId="0" borderId="320" xfId="8869" applyNumberFormat="1" applyFont="1" applyBorder="1" applyAlignment="1">
      <alignment horizontal="right" vertical="top"/>
    </xf>
    <xf numFmtId="3" fontId="25" fillId="0" borderId="314" xfId="1" applyNumberFormat="1" applyFont="1" applyBorder="1" applyAlignment="1">
      <alignment horizontal="center" vertical="center" wrapText="1"/>
    </xf>
    <xf numFmtId="3" fontId="25" fillId="0" borderId="315" xfId="1" applyNumberFormat="1" applyFont="1" applyBorder="1" applyAlignment="1">
      <alignment horizontal="center" vertical="center" wrapText="1"/>
    </xf>
    <xf numFmtId="3" fontId="72" fillId="0" borderId="315" xfId="1" applyNumberFormat="1" applyFont="1" applyBorder="1" applyAlignment="1">
      <alignment horizontal="center" vertical="center"/>
    </xf>
    <xf numFmtId="3" fontId="68" fillId="5" borderId="314" xfId="1" applyNumberFormat="1" applyFont="1" applyFill="1" applyBorder="1" applyAlignment="1">
      <alignment horizontal="center" vertical="center"/>
    </xf>
    <xf numFmtId="3" fontId="68" fillId="5" borderId="315" xfId="1" applyNumberFormat="1" applyFont="1" applyFill="1" applyBorder="1" applyAlignment="1">
      <alignment horizontal="center" vertical="center"/>
    </xf>
    <xf numFmtId="3" fontId="71" fillId="0" borderId="311" xfId="7" applyNumberFormat="1" applyFont="1" applyFill="1" applyBorder="1" applyAlignment="1">
      <alignment horizontal="center" vertical="center"/>
    </xf>
    <xf numFmtId="10" fontId="24" fillId="4" borderId="314" xfId="1" applyNumberFormat="1" applyFont="1" applyFill="1" applyBorder="1" applyAlignment="1">
      <alignment horizontal="center" vertical="center"/>
    </xf>
    <xf numFmtId="4" fontId="180" fillId="18" borderId="321" xfId="8863" applyNumberFormat="1" applyFont="1" applyFill="1" applyBorder="1" applyAlignment="1">
      <alignment horizontal="right" vertical="top"/>
    </xf>
    <xf numFmtId="1" fontId="180" fillId="5" borderId="322" xfId="8863" applyNumberFormat="1" applyFont="1" applyFill="1" applyBorder="1" applyAlignment="1">
      <alignment horizontal="right" vertical="top"/>
    </xf>
    <xf numFmtId="0" fontId="180" fillId="5" borderId="322" xfId="8863" applyNumberFormat="1" applyFont="1" applyFill="1" applyBorder="1" applyAlignment="1">
      <alignment horizontal="left" vertical="top"/>
    </xf>
    <xf numFmtId="4" fontId="180" fillId="18" borderId="322" xfId="8863" applyNumberFormat="1" applyFont="1" applyFill="1" applyBorder="1" applyAlignment="1">
      <alignment horizontal="right" vertical="top"/>
    </xf>
    <xf numFmtId="4" fontId="180" fillId="5" borderId="322" xfId="8863" applyNumberFormat="1" applyFont="1" applyFill="1" applyBorder="1" applyAlignment="1">
      <alignment horizontal="right" vertical="top"/>
    </xf>
    <xf numFmtId="0" fontId="150" fillId="0" borderId="0" xfId="1" applyFont="1" applyAlignment="1">
      <alignment vertical="center"/>
    </xf>
    <xf numFmtId="0" fontId="23" fillId="0" borderId="6" xfId="1" applyFont="1" applyBorder="1" applyAlignment="1">
      <alignment horizontal="center" vertical="center" textRotation="90"/>
    </xf>
    <xf numFmtId="0" fontId="18" fillId="7" borderId="10" xfId="1" applyFont="1" applyFill="1" applyBorder="1" applyAlignment="1">
      <alignment horizontal="center" vertical="center" wrapText="1"/>
    </xf>
    <xf numFmtId="0" fontId="18" fillId="7" borderId="3" xfId="1" applyFont="1" applyFill="1" applyBorder="1" applyAlignment="1">
      <alignment horizontal="center" vertical="center" wrapText="1"/>
    </xf>
    <xf numFmtId="0" fontId="18" fillId="7" borderId="12" xfId="1" applyFont="1" applyFill="1" applyBorder="1" applyAlignment="1">
      <alignment horizontal="center" vertical="center" wrapText="1"/>
    </xf>
    <xf numFmtId="49" fontId="18" fillId="13" borderId="10"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8"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9" borderId="10" xfId="0" applyNumberFormat="1" applyFont="1" applyFill="1" applyBorder="1" applyAlignment="1">
      <alignment horizontal="center" vertical="center"/>
    </xf>
    <xf numFmtId="49" fontId="18" fillId="9" borderId="3" xfId="0" applyNumberFormat="1" applyFont="1" applyFill="1" applyBorder="1" applyAlignment="1">
      <alignment horizontal="center" vertical="center"/>
    </xf>
    <xf numFmtId="49" fontId="18" fillId="9" borderId="12" xfId="0" applyNumberFormat="1" applyFont="1" applyFill="1" applyBorder="1" applyAlignment="1">
      <alignment horizontal="center" vertical="center"/>
    </xf>
    <xf numFmtId="49" fontId="18" fillId="9" borderId="8" xfId="0" applyNumberFormat="1" applyFont="1" applyFill="1" applyBorder="1" applyAlignment="1">
      <alignment horizontal="center" vertical="center"/>
    </xf>
    <xf numFmtId="49" fontId="18" fillId="9" borderId="9" xfId="0" applyNumberFormat="1" applyFont="1" applyFill="1" applyBorder="1" applyAlignment="1">
      <alignment horizontal="center" vertical="center"/>
    </xf>
    <xf numFmtId="49" fontId="18" fillId="9" borderId="20" xfId="0" applyNumberFormat="1" applyFont="1" applyFill="1" applyBorder="1" applyAlignment="1">
      <alignment horizontal="center" vertical="center"/>
    </xf>
    <xf numFmtId="49" fontId="18" fillId="2" borderId="10" xfId="0" applyNumberFormat="1" applyFont="1" applyFill="1" applyBorder="1" applyAlignment="1">
      <alignment horizontal="center" vertical="center"/>
    </xf>
    <xf numFmtId="49" fontId="18" fillId="2" borderId="3" xfId="0" applyNumberFormat="1" applyFont="1" applyFill="1" applyBorder="1" applyAlignment="1">
      <alignment horizontal="center" vertical="center"/>
    </xf>
    <xf numFmtId="49" fontId="18" fillId="2" borderId="12" xfId="0" applyNumberFormat="1" applyFont="1" applyFill="1" applyBorder="1" applyAlignment="1">
      <alignment horizontal="center" vertical="center"/>
    </xf>
    <xf numFmtId="49" fontId="18" fillId="2" borderId="8" xfId="0" applyNumberFormat="1" applyFont="1" applyFill="1" applyBorder="1" applyAlignment="1">
      <alignment horizontal="center" vertical="center"/>
    </xf>
    <xf numFmtId="49" fontId="18" fillId="2" borderId="9" xfId="0" applyNumberFormat="1" applyFont="1" applyFill="1" applyBorder="1" applyAlignment="1">
      <alignment horizontal="center" vertical="center"/>
    </xf>
    <xf numFmtId="49" fontId="18" fillId="2" borderId="20" xfId="0" applyNumberFormat="1" applyFont="1" applyFill="1" applyBorder="1" applyAlignment="1">
      <alignment horizontal="center" vertical="center"/>
    </xf>
    <xf numFmtId="0" fontId="18" fillId="10" borderId="8" xfId="0" applyFont="1" applyFill="1" applyBorder="1" applyAlignment="1">
      <alignment horizontal="center" vertical="center"/>
    </xf>
    <xf numFmtId="0" fontId="18" fillId="10" borderId="9" xfId="0" applyFont="1" applyFill="1" applyBorder="1" applyAlignment="1">
      <alignment horizontal="center" vertical="center"/>
    </xf>
    <xf numFmtId="0" fontId="18" fillId="10" borderId="20" xfId="0" applyFont="1" applyFill="1" applyBorder="1" applyAlignment="1">
      <alignment horizontal="center" vertical="center"/>
    </xf>
    <xf numFmtId="0" fontId="56" fillId="19" borderId="0" xfId="0" applyFont="1" applyFill="1" applyAlignment="1">
      <alignment horizontal="center" vertical="center"/>
    </xf>
    <xf numFmtId="0" fontId="56" fillId="32" borderId="0" xfId="0" applyFont="1" applyFill="1" applyAlignment="1">
      <alignment horizontal="center" vertical="center"/>
    </xf>
    <xf numFmtId="0" fontId="56" fillId="37" borderId="0" xfId="0" applyFont="1" applyFill="1" applyAlignment="1">
      <alignment horizontal="center" vertical="center"/>
    </xf>
    <xf numFmtId="0" fontId="43" fillId="0" borderId="46" xfId="0" applyFont="1" applyBorder="1" applyAlignment="1">
      <alignment vertical="top" wrapText="1"/>
    </xf>
    <xf numFmtId="0" fontId="43" fillId="0" borderId="47" xfId="0" applyFont="1" applyBorder="1" applyAlignment="1">
      <alignment vertical="top" wrapText="1"/>
    </xf>
    <xf numFmtId="0" fontId="61" fillId="15" borderId="42" xfId="0" applyFont="1" applyFill="1" applyBorder="1" applyAlignment="1">
      <alignment vertical="center" wrapText="1"/>
    </xf>
    <xf numFmtId="0" fontId="61" fillId="15" borderId="43" xfId="0" applyFont="1" applyFill="1" applyBorder="1" applyAlignment="1">
      <alignment vertical="center" wrapText="1"/>
    </xf>
    <xf numFmtId="0" fontId="61" fillId="15" borderId="44" xfId="0" applyFont="1" applyFill="1" applyBorder="1" applyAlignment="1">
      <alignment vertical="top" wrapText="1"/>
    </xf>
    <xf numFmtId="0" fontId="61" fillId="15" borderId="45" xfId="0" applyFont="1" applyFill="1" applyBorder="1" applyAlignment="1">
      <alignment vertical="top" wrapText="1"/>
    </xf>
    <xf numFmtId="0" fontId="43" fillId="0" borderId="49" xfId="0" applyFont="1" applyBorder="1" applyAlignment="1">
      <alignment vertical="top" wrapText="1"/>
    </xf>
    <xf numFmtId="0" fontId="43" fillId="0" borderId="50" xfId="0" applyFont="1" applyBorder="1" applyAlignment="1">
      <alignment vertical="top" wrapText="1"/>
    </xf>
    <xf numFmtId="0" fontId="61" fillId="15" borderId="48" xfId="0" applyFont="1" applyFill="1" applyBorder="1" applyAlignment="1">
      <alignment vertical="top" wrapText="1"/>
    </xf>
    <xf numFmtId="49" fontId="18" fillId="36" borderId="10" xfId="0" applyNumberFormat="1" applyFont="1" applyFill="1" applyBorder="1" applyAlignment="1">
      <alignment horizontal="center" vertical="center"/>
    </xf>
    <xf numFmtId="49" fontId="18" fillId="36" borderId="3" xfId="0" applyNumberFormat="1" applyFont="1" applyFill="1" applyBorder="1" applyAlignment="1">
      <alignment horizontal="center" vertical="center"/>
    </xf>
    <xf numFmtId="49" fontId="18" fillId="36" borderId="12" xfId="0" applyNumberFormat="1" applyFont="1" applyFill="1" applyBorder="1" applyAlignment="1">
      <alignment horizontal="center" vertical="center"/>
    </xf>
    <xf numFmtId="49" fontId="18" fillId="36" borderId="8" xfId="0" applyNumberFormat="1" applyFont="1" applyFill="1" applyBorder="1" applyAlignment="1">
      <alignment horizontal="center" vertical="center"/>
    </xf>
    <xf numFmtId="49" fontId="18" fillId="36" borderId="9" xfId="0" applyNumberFormat="1" applyFont="1" applyFill="1" applyBorder="1" applyAlignment="1">
      <alignment horizontal="center" vertical="center"/>
    </xf>
    <xf numFmtId="49" fontId="18" fillId="36" borderId="20" xfId="0" applyNumberFormat="1" applyFont="1" applyFill="1" applyBorder="1" applyAlignment="1">
      <alignment horizontal="center" vertical="center"/>
    </xf>
    <xf numFmtId="49" fontId="18" fillId="38" borderId="10" xfId="0" applyNumberFormat="1" applyFont="1" applyFill="1" applyBorder="1" applyAlignment="1">
      <alignment horizontal="center" vertical="center"/>
    </xf>
    <xf numFmtId="49" fontId="18" fillId="38" borderId="3" xfId="0" applyNumberFormat="1" applyFont="1" applyFill="1" applyBorder="1" applyAlignment="1">
      <alignment horizontal="center" vertical="center"/>
    </xf>
    <xf numFmtId="49" fontId="18" fillId="38" borderId="12" xfId="0" applyNumberFormat="1" applyFont="1" applyFill="1" applyBorder="1" applyAlignment="1">
      <alignment horizontal="center" vertical="center"/>
    </xf>
    <xf numFmtId="49" fontId="18" fillId="38" borderId="8" xfId="0" applyNumberFormat="1" applyFont="1" applyFill="1" applyBorder="1" applyAlignment="1">
      <alignment horizontal="center" vertical="center"/>
    </xf>
    <xf numFmtId="49" fontId="18" fillId="38" borderId="9" xfId="0" applyNumberFormat="1" applyFont="1" applyFill="1" applyBorder="1" applyAlignment="1">
      <alignment horizontal="center" vertical="center"/>
    </xf>
    <xf numFmtId="49" fontId="18" fillId="38" borderId="20" xfId="0" applyNumberFormat="1" applyFont="1" applyFill="1" applyBorder="1" applyAlignment="1">
      <alignment horizontal="center" vertical="center"/>
    </xf>
    <xf numFmtId="49" fontId="18" fillId="46" borderId="10" xfId="0" applyNumberFormat="1" applyFont="1" applyFill="1" applyBorder="1" applyAlignment="1">
      <alignment horizontal="center" vertical="center"/>
    </xf>
    <xf numFmtId="49" fontId="18" fillId="46" borderId="3" xfId="0" applyNumberFormat="1" applyFont="1" applyFill="1" applyBorder="1" applyAlignment="1">
      <alignment horizontal="center" vertical="center"/>
    </xf>
    <xf numFmtId="49" fontId="18" fillId="46" borderId="12" xfId="0" applyNumberFormat="1" applyFont="1" applyFill="1" applyBorder="1" applyAlignment="1">
      <alignment horizontal="center" vertical="center"/>
    </xf>
    <xf numFmtId="49" fontId="18" fillId="46" borderId="8" xfId="0" applyNumberFormat="1" applyFont="1" applyFill="1" applyBorder="1" applyAlignment="1">
      <alignment horizontal="center" vertical="center"/>
    </xf>
    <xf numFmtId="49" fontId="18" fillId="46" borderId="9" xfId="0" applyNumberFormat="1" applyFont="1" applyFill="1" applyBorder="1" applyAlignment="1">
      <alignment horizontal="center" vertical="center"/>
    </xf>
    <xf numFmtId="49" fontId="18" fillId="46" borderId="20" xfId="0" applyNumberFormat="1" applyFont="1" applyFill="1" applyBorder="1" applyAlignment="1">
      <alignment horizontal="center" vertical="center"/>
    </xf>
    <xf numFmtId="49" fontId="18" fillId="25" borderId="10" xfId="0" applyNumberFormat="1" applyFont="1" applyFill="1" applyBorder="1" applyAlignment="1">
      <alignment horizontal="center" vertical="center"/>
    </xf>
    <xf numFmtId="49" fontId="18" fillId="25" borderId="3" xfId="0" applyNumberFormat="1" applyFont="1" applyFill="1" applyBorder="1" applyAlignment="1">
      <alignment horizontal="center" vertical="center"/>
    </xf>
    <xf numFmtId="49" fontId="18" fillId="25" borderId="12" xfId="0" applyNumberFormat="1" applyFont="1" applyFill="1" applyBorder="1" applyAlignment="1">
      <alignment horizontal="center" vertical="center"/>
    </xf>
    <xf numFmtId="49" fontId="18" fillId="25" borderId="8" xfId="0" applyNumberFormat="1" applyFont="1" applyFill="1" applyBorder="1" applyAlignment="1">
      <alignment horizontal="center" vertical="center"/>
    </xf>
    <xf numFmtId="49" fontId="18" fillId="25" borderId="9" xfId="0" applyNumberFormat="1" applyFont="1" applyFill="1" applyBorder="1" applyAlignment="1">
      <alignment horizontal="center" vertical="center"/>
    </xf>
    <xf numFmtId="49" fontId="18" fillId="25" borderId="20" xfId="0" applyNumberFormat="1" applyFont="1" applyFill="1" applyBorder="1" applyAlignment="1">
      <alignment horizontal="center" vertical="center"/>
    </xf>
    <xf numFmtId="49" fontId="18" fillId="26" borderId="10" xfId="0" applyNumberFormat="1" applyFont="1" applyFill="1" applyBorder="1" applyAlignment="1">
      <alignment horizontal="center" vertical="center"/>
    </xf>
    <xf numFmtId="49" fontId="18" fillId="26" borderId="3" xfId="0" applyNumberFormat="1" applyFont="1" applyFill="1" applyBorder="1" applyAlignment="1">
      <alignment horizontal="center" vertical="center"/>
    </xf>
    <xf numFmtId="49" fontId="18" fillId="26" borderId="12" xfId="0" applyNumberFormat="1" applyFont="1" applyFill="1" applyBorder="1" applyAlignment="1">
      <alignment horizontal="center" vertical="center"/>
    </xf>
    <xf numFmtId="49" fontId="18" fillId="26" borderId="8" xfId="0" applyNumberFormat="1" applyFont="1" applyFill="1" applyBorder="1" applyAlignment="1">
      <alignment horizontal="center" vertical="center"/>
    </xf>
    <xf numFmtId="49" fontId="18" fillId="26" borderId="9" xfId="0" applyNumberFormat="1" applyFont="1" applyFill="1" applyBorder="1" applyAlignment="1">
      <alignment horizontal="center" vertical="center"/>
    </xf>
    <xf numFmtId="49" fontId="18" fillId="26" borderId="20" xfId="0" applyNumberFormat="1" applyFont="1" applyFill="1" applyBorder="1" applyAlignment="1">
      <alignment horizontal="center" vertical="center"/>
    </xf>
    <xf numFmtId="49" fontId="18" fillId="19" borderId="10" xfId="0" applyNumberFormat="1" applyFont="1" applyFill="1" applyBorder="1" applyAlignment="1">
      <alignment horizontal="center" vertical="center"/>
    </xf>
    <xf numFmtId="49" fontId="18" fillId="19" borderId="3" xfId="0" applyNumberFormat="1" applyFont="1" applyFill="1" applyBorder="1" applyAlignment="1">
      <alignment horizontal="center" vertical="center"/>
    </xf>
    <xf numFmtId="49" fontId="18" fillId="19" borderId="12" xfId="0" applyNumberFormat="1" applyFont="1" applyFill="1" applyBorder="1" applyAlignment="1">
      <alignment horizontal="center" vertical="center"/>
    </xf>
    <xf numFmtId="49" fontId="18" fillId="19" borderId="8" xfId="0" applyNumberFormat="1" applyFont="1" applyFill="1" applyBorder="1" applyAlignment="1">
      <alignment horizontal="center" vertical="center"/>
    </xf>
    <xf numFmtId="49" fontId="18" fillId="19" borderId="9" xfId="0" applyNumberFormat="1" applyFont="1" applyFill="1" applyBorder="1" applyAlignment="1">
      <alignment horizontal="center" vertical="center"/>
    </xf>
    <xf numFmtId="49" fontId="18" fillId="19" borderId="20" xfId="0" applyNumberFormat="1" applyFont="1" applyFill="1" applyBorder="1" applyAlignment="1">
      <alignment horizontal="center" vertical="center"/>
    </xf>
    <xf numFmtId="49" fontId="18" fillId="28" borderId="10" xfId="0" applyNumberFormat="1" applyFont="1" applyFill="1" applyBorder="1" applyAlignment="1">
      <alignment horizontal="center" vertical="center"/>
    </xf>
    <xf numFmtId="49" fontId="18" fillId="28" borderId="3" xfId="0" applyNumberFormat="1" applyFont="1" applyFill="1" applyBorder="1" applyAlignment="1">
      <alignment horizontal="center" vertical="center"/>
    </xf>
    <xf numFmtId="49" fontId="18" fillId="28" borderId="12" xfId="0" applyNumberFormat="1" applyFont="1" applyFill="1" applyBorder="1" applyAlignment="1">
      <alignment horizontal="center" vertical="center"/>
    </xf>
    <xf numFmtId="49" fontId="18" fillId="28" borderId="8" xfId="0" applyNumberFormat="1" applyFont="1" applyFill="1" applyBorder="1" applyAlignment="1">
      <alignment horizontal="center" vertical="center"/>
    </xf>
    <xf numFmtId="49" fontId="18" fillId="28" borderId="9" xfId="0" applyNumberFormat="1" applyFont="1" applyFill="1" applyBorder="1" applyAlignment="1">
      <alignment horizontal="center" vertical="center"/>
    </xf>
    <xf numFmtId="49" fontId="18" fillId="28" borderId="20" xfId="0" applyNumberFormat="1" applyFont="1" applyFill="1" applyBorder="1" applyAlignment="1">
      <alignment horizontal="center" vertical="center"/>
    </xf>
    <xf numFmtId="49" fontId="18" fillId="31" borderId="10" xfId="0" applyNumberFormat="1" applyFont="1" applyFill="1" applyBorder="1" applyAlignment="1">
      <alignment horizontal="center" vertical="center"/>
    </xf>
    <xf numFmtId="49" fontId="18" fillId="31" borderId="3" xfId="0" applyNumberFormat="1" applyFont="1" applyFill="1" applyBorder="1" applyAlignment="1">
      <alignment horizontal="center" vertical="center"/>
    </xf>
    <xf numFmtId="49" fontId="18" fillId="31" borderId="12" xfId="0" applyNumberFormat="1" applyFont="1" applyFill="1" applyBorder="1" applyAlignment="1">
      <alignment horizontal="center" vertical="center"/>
    </xf>
    <xf numFmtId="49" fontId="18" fillId="31" borderId="8" xfId="0" applyNumberFormat="1" applyFont="1" applyFill="1" applyBorder="1" applyAlignment="1">
      <alignment horizontal="center" vertical="center"/>
    </xf>
    <xf numFmtId="49" fontId="18" fillId="31" borderId="9" xfId="0" applyNumberFormat="1" applyFont="1" applyFill="1" applyBorder="1" applyAlignment="1">
      <alignment horizontal="center" vertical="center"/>
    </xf>
    <xf numFmtId="49" fontId="18" fillId="31" borderId="20" xfId="0" applyNumberFormat="1" applyFont="1" applyFill="1" applyBorder="1" applyAlignment="1">
      <alignment horizontal="center" vertical="center"/>
    </xf>
    <xf numFmtId="49" fontId="18" fillId="30" borderId="10" xfId="0" applyNumberFormat="1" applyFont="1" applyFill="1" applyBorder="1" applyAlignment="1">
      <alignment horizontal="center" vertical="center"/>
    </xf>
    <xf numFmtId="49" fontId="18" fillId="30" borderId="3" xfId="0" applyNumberFormat="1" applyFont="1" applyFill="1" applyBorder="1" applyAlignment="1">
      <alignment horizontal="center" vertical="center"/>
    </xf>
    <xf numFmtId="49" fontId="18" fillId="30" borderId="12" xfId="0" applyNumberFormat="1" applyFont="1" applyFill="1" applyBorder="1" applyAlignment="1">
      <alignment horizontal="center" vertical="center"/>
    </xf>
    <xf numFmtId="49" fontId="18" fillId="30" borderId="8" xfId="0" applyNumberFormat="1" applyFont="1" applyFill="1" applyBorder="1" applyAlignment="1">
      <alignment horizontal="center" vertical="center"/>
    </xf>
    <xf numFmtId="49" fontId="18" fillId="30" borderId="9" xfId="0" applyNumberFormat="1" applyFont="1" applyFill="1" applyBorder="1" applyAlignment="1">
      <alignment horizontal="center" vertical="center"/>
    </xf>
    <xf numFmtId="49" fontId="18" fillId="30" borderId="20" xfId="0" applyNumberFormat="1" applyFont="1" applyFill="1" applyBorder="1" applyAlignment="1">
      <alignment horizontal="center" vertical="center"/>
    </xf>
    <xf numFmtId="49" fontId="18" fillId="32" borderId="10" xfId="0" applyNumberFormat="1" applyFont="1" applyFill="1" applyBorder="1" applyAlignment="1">
      <alignment horizontal="center" vertical="center"/>
    </xf>
    <xf numFmtId="49" fontId="18" fillId="32" borderId="3" xfId="0" applyNumberFormat="1" applyFont="1" applyFill="1" applyBorder="1" applyAlignment="1">
      <alignment horizontal="center" vertical="center"/>
    </xf>
    <xf numFmtId="49" fontId="18" fillId="32" borderId="12" xfId="0" applyNumberFormat="1" applyFont="1" applyFill="1" applyBorder="1" applyAlignment="1">
      <alignment horizontal="center" vertical="center"/>
    </xf>
    <xf numFmtId="49" fontId="18" fillId="32" borderId="8" xfId="0" applyNumberFormat="1" applyFont="1" applyFill="1" applyBorder="1" applyAlignment="1">
      <alignment horizontal="center" vertical="center"/>
    </xf>
    <xf numFmtId="49" fontId="18" fillId="32" borderId="9" xfId="0" applyNumberFormat="1" applyFont="1" applyFill="1" applyBorder="1" applyAlignment="1">
      <alignment horizontal="center" vertical="center"/>
    </xf>
    <xf numFmtId="49" fontId="18" fillId="32" borderId="20" xfId="0" applyNumberFormat="1" applyFont="1" applyFill="1" applyBorder="1" applyAlignment="1">
      <alignment horizontal="center" vertical="center"/>
    </xf>
    <xf numFmtId="49" fontId="103" fillId="33" borderId="10" xfId="0" applyNumberFormat="1" applyFont="1" applyFill="1" applyBorder="1" applyAlignment="1">
      <alignment horizontal="center" vertical="center"/>
    </xf>
    <xf numFmtId="49" fontId="103" fillId="33" borderId="3" xfId="0" applyNumberFormat="1" applyFont="1" applyFill="1" applyBorder="1" applyAlignment="1">
      <alignment horizontal="center" vertical="center"/>
    </xf>
    <xf numFmtId="49" fontId="103" fillId="33" borderId="12" xfId="0" applyNumberFormat="1" applyFont="1" applyFill="1" applyBorder="1" applyAlignment="1">
      <alignment horizontal="center" vertical="center"/>
    </xf>
    <xf numFmtId="49" fontId="103" fillId="33" borderId="8" xfId="0" applyNumberFormat="1" applyFont="1" applyFill="1" applyBorder="1" applyAlignment="1">
      <alignment horizontal="center" vertical="center"/>
    </xf>
    <xf numFmtId="49" fontId="103" fillId="33" borderId="9" xfId="0" applyNumberFormat="1" applyFont="1" applyFill="1" applyBorder="1" applyAlignment="1">
      <alignment horizontal="center" vertical="center"/>
    </xf>
    <xf numFmtId="49" fontId="103" fillId="33" borderId="20" xfId="0" applyNumberFormat="1" applyFont="1" applyFill="1" applyBorder="1" applyAlignment="1">
      <alignment horizontal="center" vertical="center"/>
    </xf>
    <xf numFmtId="49" fontId="18" fillId="34" borderId="10" xfId="0" applyNumberFormat="1" applyFont="1" applyFill="1" applyBorder="1" applyAlignment="1">
      <alignment horizontal="center" vertical="center"/>
    </xf>
    <xf numFmtId="49" fontId="18" fillId="34" borderId="3" xfId="0" applyNumberFormat="1" applyFont="1" applyFill="1" applyBorder="1" applyAlignment="1">
      <alignment horizontal="center" vertical="center"/>
    </xf>
    <xf numFmtId="49" fontId="18" fillId="34" borderId="12" xfId="0" applyNumberFormat="1" applyFont="1" applyFill="1" applyBorder="1" applyAlignment="1">
      <alignment horizontal="center" vertical="center"/>
    </xf>
    <xf numFmtId="49" fontId="18" fillId="34" borderId="8" xfId="0" applyNumberFormat="1" applyFont="1" applyFill="1" applyBorder="1" applyAlignment="1">
      <alignment horizontal="center" vertical="center"/>
    </xf>
    <xf numFmtId="49" fontId="18" fillId="34" borderId="9" xfId="0" applyNumberFormat="1" applyFont="1" applyFill="1" applyBorder="1" applyAlignment="1">
      <alignment horizontal="center" vertical="center"/>
    </xf>
    <xf numFmtId="49" fontId="18" fillId="34" borderId="20" xfId="0" applyNumberFormat="1" applyFont="1" applyFill="1" applyBorder="1" applyAlignment="1">
      <alignment horizontal="center" vertical="center"/>
    </xf>
    <xf numFmtId="49" fontId="18" fillId="18" borderId="10" xfId="0" applyNumberFormat="1" applyFont="1" applyFill="1" applyBorder="1" applyAlignment="1">
      <alignment horizontal="center" vertical="center"/>
    </xf>
    <xf numFmtId="49" fontId="18" fillId="18" borderId="3" xfId="0" applyNumberFormat="1" applyFont="1" applyFill="1" applyBorder="1" applyAlignment="1">
      <alignment horizontal="center" vertical="center"/>
    </xf>
    <xf numFmtId="49" fontId="18" fillId="18" borderId="12" xfId="0" applyNumberFormat="1" applyFont="1" applyFill="1" applyBorder="1" applyAlignment="1">
      <alignment horizontal="center" vertical="center"/>
    </xf>
    <xf numFmtId="49" fontId="18" fillId="18" borderId="8" xfId="0" applyNumberFormat="1" applyFont="1" applyFill="1" applyBorder="1" applyAlignment="1">
      <alignment horizontal="center" vertical="center"/>
    </xf>
    <xf numFmtId="49" fontId="18" fillId="18" borderId="9" xfId="0" applyNumberFormat="1" applyFont="1" applyFill="1" applyBorder="1" applyAlignment="1">
      <alignment horizontal="center" vertical="center"/>
    </xf>
    <xf numFmtId="49" fontId="18" fillId="18" borderId="20" xfId="0" applyNumberFormat="1" applyFont="1" applyFill="1" applyBorder="1" applyAlignment="1">
      <alignment horizontal="center" vertical="center"/>
    </xf>
    <xf numFmtId="0" fontId="23" fillId="0" borderId="6" xfId="1054" applyFont="1" applyBorder="1" applyAlignment="1">
      <alignment horizontal="center" vertical="center" textRotation="90"/>
    </xf>
    <xf numFmtId="0" fontId="18" fillId="7" borderId="10" xfId="1054" applyFont="1" applyFill="1" applyBorder="1" applyAlignment="1">
      <alignment horizontal="center" vertical="center" wrapText="1"/>
    </xf>
    <xf numFmtId="0" fontId="18" fillId="7" borderId="3" xfId="1054" applyFont="1" applyFill="1" applyBorder="1" applyAlignment="1">
      <alignment horizontal="center" vertical="center" wrapText="1"/>
    </xf>
    <xf numFmtId="0" fontId="18" fillId="7" borderId="12" xfId="1054" applyFont="1" applyFill="1" applyBorder="1" applyAlignment="1">
      <alignment horizontal="center" vertical="center" wrapText="1"/>
    </xf>
    <xf numFmtId="0" fontId="18" fillId="7" borderId="8" xfId="1054" applyFont="1" applyFill="1" applyBorder="1" applyAlignment="1">
      <alignment horizontal="center" vertical="center" wrapText="1"/>
    </xf>
    <xf numFmtId="0" fontId="18" fillId="7" borderId="9" xfId="1054" applyFont="1" applyFill="1" applyBorder="1" applyAlignment="1">
      <alignment horizontal="center" vertical="center" wrapText="1"/>
    </xf>
    <xf numFmtId="0" fontId="18" fillId="7" borderId="20" xfId="1054" applyFont="1" applyFill="1" applyBorder="1" applyAlignment="1">
      <alignment horizontal="center" vertical="center" wrapText="1"/>
    </xf>
    <xf numFmtId="49" fontId="18" fillId="13" borderId="12" xfId="0" applyNumberFormat="1" applyFont="1" applyFill="1" applyBorder="1" applyAlignment="1">
      <alignment horizontal="center" vertical="center"/>
    </xf>
    <xf numFmtId="49" fontId="18" fillId="13" borderId="20" xfId="0" applyNumberFormat="1" applyFont="1" applyFill="1" applyBorder="1" applyAlignment="1">
      <alignment horizontal="center" vertical="center"/>
    </xf>
    <xf numFmtId="49" fontId="18" fillId="33" borderId="10" xfId="0" applyNumberFormat="1" applyFont="1" applyFill="1" applyBorder="1" applyAlignment="1">
      <alignment horizontal="center" vertical="center"/>
    </xf>
    <xf numFmtId="49" fontId="18" fillId="33" borderId="3" xfId="0" applyNumberFormat="1" applyFont="1" applyFill="1" applyBorder="1" applyAlignment="1">
      <alignment horizontal="center" vertical="center"/>
    </xf>
    <xf numFmtId="49" fontId="18" fillId="33" borderId="12" xfId="0" applyNumberFormat="1" applyFont="1" applyFill="1" applyBorder="1" applyAlignment="1">
      <alignment horizontal="center" vertical="center"/>
    </xf>
    <xf numFmtId="49" fontId="18" fillId="33" borderId="8" xfId="0" applyNumberFormat="1" applyFont="1" applyFill="1" applyBorder="1" applyAlignment="1">
      <alignment horizontal="center" vertical="center"/>
    </xf>
    <xf numFmtId="49" fontId="18" fillId="33" borderId="9" xfId="0" applyNumberFormat="1" applyFont="1" applyFill="1" applyBorder="1" applyAlignment="1">
      <alignment horizontal="center" vertical="center"/>
    </xf>
    <xf numFmtId="49" fontId="18" fillId="33" borderId="20" xfId="0" applyNumberFormat="1" applyFont="1" applyFill="1" applyBorder="1" applyAlignment="1">
      <alignment horizontal="center" vertical="center"/>
    </xf>
    <xf numFmtId="49" fontId="103" fillId="19" borderId="10" xfId="0" applyNumberFormat="1" applyFont="1" applyFill="1" applyBorder="1" applyAlignment="1">
      <alignment horizontal="center" vertical="center"/>
    </xf>
    <xf numFmtId="49" fontId="103" fillId="19" borderId="3" xfId="0" applyNumberFormat="1" applyFont="1" applyFill="1" applyBorder="1" applyAlignment="1">
      <alignment horizontal="center" vertical="center"/>
    </xf>
    <xf numFmtId="49" fontId="103" fillId="19" borderId="12" xfId="0" applyNumberFormat="1" applyFont="1" applyFill="1" applyBorder="1" applyAlignment="1">
      <alignment horizontal="center" vertical="center"/>
    </xf>
    <xf numFmtId="49" fontId="103" fillId="19" borderId="8" xfId="0" applyNumberFormat="1" applyFont="1" applyFill="1" applyBorder="1" applyAlignment="1">
      <alignment horizontal="center" vertical="center"/>
    </xf>
    <xf numFmtId="49" fontId="103" fillId="19" borderId="9" xfId="0" applyNumberFormat="1" applyFont="1" applyFill="1" applyBorder="1" applyAlignment="1">
      <alignment horizontal="center" vertical="center"/>
    </xf>
    <xf numFmtId="49" fontId="103" fillId="19" borderId="20" xfId="0" applyNumberFormat="1" applyFont="1" applyFill="1" applyBorder="1" applyAlignment="1">
      <alignment horizontal="center" vertical="center"/>
    </xf>
    <xf numFmtId="0" fontId="18" fillId="29" borderId="10" xfId="1" applyFont="1" applyFill="1" applyBorder="1" applyAlignment="1">
      <alignment horizontal="center" vertical="center" wrapText="1"/>
    </xf>
    <xf numFmtId="0" fontId="18" fillId="29" borderId="3" xfId="1" applyFont="1" applyFill="1" applyBorder="1" applyAlignment="1">
      <alignment horizontal="center" vertical="center" wrapText="1"/>
    </xf>
    <xf numFmtId="0" fontId="18" fillId="29" borderId="12" xfId="1" applyFont="1" applyFill="1" applyBorder="1" applyAlignment="1">
      <alignment horizontal="center" vertical="center" wrapText="1"/>
    </xf>
    <xf numFmtId="0" fontId="18" fillId="29" borderId="8" xfId="1" applyFont="1" applyFill="1" applyBorder="1" applyAlignment="1">
      <alignment horizontal="center" vertical="center" wrapText="1"/>
    </xf>
    <xf numFmtId="0" fontId="18" fillId="29" borderId="9" xfId="1" applyFont="1" applyFill="1" applyBorder="1" applyAlignment="1">
      <alignment horizontal="center" vertical="center" wrapText="1"/>
    </xf>
    <xf numFmtId="0" fontId="18" fillId="29" borderId="20" xfId="1" applyFont="1" applyFill="1" applyBorder="1" applyAlignment="1">
      <alignment horizontal="center" vertical="center" wrapText="1"/>
    </xf>
    <xf numFmtId="49" fontId="18" fillId="37" borderId="10" xfId="0" applyNumberFormat="1" applyFont="1" applyFill="1" applyBorder="1" applyAlignment="1">
      <alignment horizontal="center" vertical="center"/>
    </xf>
    <xf numFmtId="49" fontId="18" fillId="37" borderId="3" xfId="0" applyNumberFormat="1" applyFont="1" applyFill="1" applyBorder="1" applyAlignment="1">
      <alignment horizontal="center" vertical="center"/>
    </xf>
    <xf numFmtId="49" fontId="18" fillId="37" borderId="12" xfId="0" applyNumberFormat="1" applyFont="1" applyFill="1" applyBorder="1" applyAlignment="1">
      <alignment horizontal="center" vertical="center"/>
    </xf>
    <xf numFmtId="49" fontId="18" fillId="37" borderId="8" xfId="0" applyNumberFormat="1" applyFont="1" applyFill="1" applyBorder="1" applyAlignment="1">
      <alignment horizontal="center" vertical="center"/>
    </xf>
    <xf numFmtId="49" fontId="18" fillId="37" borderId="9" xfId="0" applyNumberFormat="1" applyFont="1" applyFill="1" applyBorder="1" applyAlignment="1">
      <alignment horizontal="center" vertical="center"/>
    </xf>
    <xf numFmtId="49" fontId="18" fillId="37" borderId="20" xfId="0" applyNumberFormat="1" applyFont="1" applyFill="1" applyBorder="1" applyAlignment="1">
      <alignment horizontal="center" vertical="center"/>
    </xf>
    <xf numFmtId="0" fontId="18" fillId="7" borderId="8" xfId="1" applyFont="1" applyFill="1" applyBorder="1" applyAlignment="1">
      <alignment horizontal="center" vertical="center" wrapText="1"/>
    </xf>
    <xf numFmtId="0" fontId="18" fillId="7" borderId="9" xfId="1" applyFont="1" applyFill="1" applyBorder="1" applyAlignment="1">
      <alignment horizontal="center" vertical="center" wrapText="1"/>
    </xf>
    <xf numFmtId="0" fontId="18" fillId="7" borderId="20" xfId="1" applyFont="1" applyFill="1" applyBorder="1" applyAlignment="1">
      <alignment horizontal="center" vertical="center" wrapText="1"/>
    </xf>
    <xf numFmtId="49" fontId="18" fillId="7" borderId="10" xfId="0" applyNumberFormat="1" applyFont="1" applyFill="1" applyBorder="1" applyAlignment="1">
      <alignment horizontal="center" vertical="center"/>
    </xf>
    <xf numFmtId="49" fontId="18" fillId="7" borderId="3" xfId="0" applyNumberFormat="1" applyFont="1" applyFill="1" applyBorder="1" applyAlignment="1">
      <alignment horizontal="center" vertical="center"/>
    </xf>
    <xf numFmtId="49" fontId="18" fillId="7" borderId="12" xfId="0" applyNumberFormat="1" applyFont="1" applyFill="1" applyBorder="1" applyAlignment="1">
      <alignment horizontal="center" vertical="center"/>
    </xf>
    <xf numFmtId="49" fontId="18" fillId="7" borderId="8" xfId="0" applyNumberFormat="1" applyFont="1" applyFill="1" applyBorder="1" applyAlignment="1">
      <alignment horizontal="center" vertical="center"/>
    </xf>
    <xf numFmtId="49" fontId="18" fillId="7" borderId="9" xfId="0" applyNumberFormat="1" applyFont="1" applyFill="1" applyBorder="1" applyAlignment="1">
      <alignment horizontal="center" vertical="center"/>
    </xf>
    <xf numFmtId="49" fontId="18" fillId="7" borderId="20" xfId="0" applyNumberFormat="1" applyFont="1" applyFill="1" applyBorder="1" applyAlignment="1">
      <alignment horizontal="center" vertical="center"/>
    </xf>
    <xf numFmtId="49" fontId="18" fillId="17" borderId="10" xfId="0" applyNumberFormat="1" applyFont="1" applyFill="1" applyBorder="1" applyAlignment="1">
      <alignment horizontal="center" vertical="center"/>
    </xf>
    <xf numFmtId="49" fontId="18" fillId="17" borderId="3" xfId="0" applyNumberFormat="1" applyFont="1" applyFill="1" applyBorder="1" applyAlignment="1">
      <alignment horizontal="center" vertical="center"/>
    </xf>
    <xf numFmtId="49" fontId="18" fillId="17" borderId="8" xfId="0" applyNumberFormat="1" applyFont="1" applyFill="1" applyBorder="1" applyAlignment="1">
      <alignment horizontal="center" vertical="center"/>
    </xf>
    <xf numFmtId="49" fontId="18" fillId="17" borderId="9" xfId="0" applyNumberFormat="1" applyFont="1" applyFill="1" applyBorder="1" applyAlignment="1">
      <alignment horizontal="center" vertical="center"/>
    </xf>
    <xf numFmtId="49" fontId="18" fillId="39" borderId="10" xfId="0" applyNumberFormat="1" applyFont="1" applyFill="1" applyBorder="1" applyAlignment="1">
      <alignment horizontal="center" vertical="center"/>
    </xf>
    <xf numFmtId="49" fontId="18" fillId="39" borderId="3" xfId="0" applyNumberFormat="1" applyFont="1" applyFill="1" applyBorder="1" applyAlignment="1">
      <alignment horizontal="center" vertical="center"/>
    </xf>
    <xf numFmtId="49" fontId="18" fillId="39" borderId="12" xfId="0" applyNumberFormat="1" applyFont="1" applyFill="1" applyBorder="1" applyAlignment="1">
      <alignment horizontal="center" vertical="center"/>
    </xf>
    <xf numFmtId="49" fontId="18" fillId="39" borderId="8" xfId="0" applyNumberFormat="1" applyFont="1" applyFill="1" applyBorder="1" applyAlignment="1">
      <alignment horizontal="center" vertical="center"/>
    </xf>
    <xf numFmtId="49" fontId="18" fillId="39" borderId="9" xfId="0" applyNumberFormat="1" applyFont="1" applyFill="1" applyBorder="1" applyAlignment="1">
      <alignment horizontal="center" vertical="center"/>
    </xf>
    <xf numFmtId="49" fontId="18" fillId="39" borderId="20" xfId="0" applyNumberFormat="1" applyFont="1" applyFill="1" applyBorder="1" applyAlignment="1">
      <alignment horizontal="center" vertical="center"/>
    </xf>
    <xf numFmtId="0" fontId="0" fillId="0" borderId="12" xfId="0" applyBorder="1" applyAlignment="1">
      <alignment horizontal="center" vertical="center"/>
    </xf>
    <xf numFmtId="0" fontId="0" fillId="0" borderId="20" xfId="0" applyBorder="1" applyAlignment="1">
      <alignment horizontal="center" vertical="center"/>
    </xf>
    <xf numFmtId="49" fontId="18" fillId="35" borderId="10" xfId="0" applyNumberFormat="1" applyFont="1" applyFill="1" applyBorder="1" applyAlignment="1">
      <alignment horizontal="center" vertical="center"/>
    </xf>
    <xf numFmtId="49" fontId="18" fillId="35" borderId="3" xfId="0" applyNumberFormat="1" applyFont="1" applyFill="1" applyBorder="1" applyAlignment="1">
      <alignment horizontal="center" vertical="center"/>
    </xf>
    <xf numFmtId="49" fontId="18" fillId="35" borderId="12" xfId="0" applyNumberFormat="1" applyFont="1" applyFill="1" applyBorder="1" applyAlignment="1">
      <alignment horizontal="center" vertical="center"/>
    </xf>
    <xf numFmtId="49" fontId="18" fillId="35" borderId="8" xfId="0" applyNumberFormat="1" applyFont="1" applyFill="1" applyBorder="1" applyAlignment="1">
      <alignment horizontal="center" vertical="center"/>
    </xf>
    <xf numFmtId="49" fontId="18" fillId="35" borderId="9" xfId="0" applyNumberFormat="1" applyFont="1" applyFill="1" applyBorder="1" applyAlignment="1">
      <alignment horizontal="center" vertical="center"/>
    </xf>
    <xf numFmtId="49" fontId="18" fillId="35" borderId="20" xfId="0" applyNumberFormat="1" applyFont="1" applyFill="1" applyBorder="1" applyAlignment="1">
      <alignment horizontal="center" vertical="center"/>
    </xf>
    <xf numFmtId="176" fontId="18" fillId="19" borderId="10" xfId="0" applyNumberFormat="1" applyFont="1" applyFill="1" applyBorder="1" applyAlignment="1">
      <alignment horizontal="center" vertical="center"/>
    </xf>
    <xf numFmtId="176" fontId="18" fillId="19" borderId="3" xfId="0" applyNumberFormat="1" applyFont="1" applyFill="1" applyBorder="1" applyAlignment="1">
      <alignment horizontal="center" vertical="center"/>
    </xf>
    <xf numFmtId="176" fontId="18" fillId="19" borderId="12" xfId="0" applyNumberFormat="1" applyFont="1" applyFill="1" applyBorder="1" applyAlignment="1">
      <alignment horizontal="center" vertical="center"/>
    </xf>
    <xf numFmtId="176" fontId="18" fillId="19" borderId="8" xfId="0" applyNumberFormat="1" applyFont="1" applyFill="1" applyBorder="1" applyAlignment="1">
      <alignment horizontal="center" vertical="center"/>
    </xf>
    <xf numFmtId="176" fontId="18" fillId="19" borderId="9" xfId="0" applyNumberFormat="1" applyFont="1" applyFill="1" applyBorder="1" applyAlignment="1">
      <alignment horizontal="center" vertical="center"/>
    </xf>
    <xf numFmtId="176" fontId="18" fillId="19" borderId="20" xfId="0" applyNumberFormat="1" applyFont="1" applyFill="1" applyBorder="1" applyAlignment="1">
      <alignment horizontal="center" vertical="center"/>
    </xf>
    <xf numFmtId="176" fontId="18" fillId="13" borderId="10" xfId="0" applyNumberFormat="1" applyFont="1" applyFill="1" applyBorder="1" applyAlignment="1">
      <alignment horizontal="center" vertical="center"/>
    </xf>
    <xf numFmtId="176" fontId="18" fillId="13" borderId="3" xfId="0" applyNumberFormat="1" applyFont="1" applyFill="1" applyBorder="1" applyAlignment="1">
      <alignment horizontal="center" vertical="center"/>
    </xf>
    <xf numFmtId="176" fontId="18" fillId="13" borderId="12" xfId="0" applyNumberFormat="1" applyFont="1" applyFill="1" applyBorder="1" applyAlignment="1">
      <alignment horizontal="center" vertical="center"/>
    </xf>
    <xf numFmtId="176" fontId="18" fillId="13" borderId="8" xfId="0" applyNumberFormat="1" applyFont="1" applyFill="1" applyBorder="1" applyAlignment="1">
      <alignment horizontal="center" vertical="center"/>
    </xf>
    <xf numFmtId="176" fontId="18" fillId="13" borderId="9" xfId="0" applyNumberFormat="1" applyFont="1" applyFill="1" applyBorder="1" applyAlignment="1">
      <alignment horizontal="center" vertical="center"/>
    </xf>
    <xf numFmtId="176" fontId="18" fillId="13" borderId="20" xfId="0" applyNumberFormat="1" applyFont="1" applyFill="1" applyBorder="1" applyAlignment="1">
      <alignment horizontal="center" vertical="center"/>
    </xf>
    <xf numFmtId="176" fontId="18" fillId="29" borderId="10" xfId="0" applyNumberFormat="1" applyFont="1" applyFill="1" applyBorder="1" applyAlignment="1">
      <alignment horizontal="center" vertical="center"/>
    </xf>
    <xf numFmtId="176" fontId="18" fillId="29" borderId="3" xfId="0" applyNumberFormat="1" applyFont="1" applyFill="1" applyBorder="1" applyAlignment="1">
      <alignment horizontal="center" vertical="center"/>
    </xf>
    <xf numFmtId="176" fontId="18" fillId="29" borderId="12" xfId="0" applyNumberFormat="1" applyFont="1" applyFill="1" applyBorder="1" applyAlignment="1">
      <alignment horizontal="center" vertical="center"/>
    </xf>
    <xf numFmtId="176" fontId="18" fillId="29" borderId="8" xfId="0" applyNumberFormat="1" applyFont="1" applyFill="1" applyBorder="1" applyAlignment="1">
      <alignment horizontal="center" vertical="center"/>
    </xf>
    <xf numFmtId="176" fontId="18" fillId="29" borderId="9" xfId="0" applyNumberFormat="1" applyFont="1" applyFill="1" applyBorder="1" applyAlignment="1">
      <alignment horizontal="center" vertical="center"/>
    </xf>
    <xf numFmtId="176" fontId="18" fillId="29" borderId="20" xfId="0" applyNumberFormat="1" applyFont="1" applyFill="1" applyBorder="1" applyAlignment="1">
      <alignment horizontal="center" vertical="center"/>
    </xf>
    <xf numFmtId="176" fontId="18" fillId="45" borderId="10" xfId="0" applyNumberFormat="1" applyFont="1" applyFill="1" applyBorder="1" applyAlignment="1">
      <alignment horizontal="center" vertical="center"/>
    </xf>
    <xf numFmtId="176" fontId="18" fillId="45" borderId="3" xfId="0" applyNumberFormat="1" applyFont="1" applyFill="1" applyBorder="1" applyAlignment="1">
      <alignment horizontal="center" vertical="center"/>
    </xf>
    <xf numFmtId="176" fontId="18" fillId="45" borderId="12" xfId="0" applyNumberFormat="1" applyFont="1" applyFill="1" applyBorder="1" applyAlignment="1">
      <alignment horizontal="center" vertical="center"/>
    </xf>
    <xf numFmtId="176" fontId="18" fillId="45" borderId="8" xfId="0" applyNumberFormat="1" applyFont="1" applyFill="1" applyBorder="1" applyAlignment="1">
      <alignment horizontal="center" vertical="center"/>
    </xf>
    <xf numFmtId="176" fontId="18" fillId="45" borderId="9" xfId="0" applyNumberFormat="1" applyFont="1" applyFill="1" applyBorder="1" applyAlignment="1">
      <alignment horizontal="center" vertical="center"/>
    </xf>
    <xf numFmtId="176" fontId="18" fillId="45" borderId="20" xfId="0" applyNumberFormat="1" applyFont="1" applyFill="1" applyBorder="1" applyAlignment="1">
      <alignment horizontal="center" vertical="center"/>
    </xf>
    <xf numFmtId="176" fontId="18" fillId="46" borderId="10" xfId="0" applyNumberFormat="1" applyFont="1" applyFill="1" applyBorder="1" applyAlignment="1">
      <alignment horizontal="center" vertical="center"/>
    </xf>
    <xf numFmtId="176" fontId="18" fillId="46" borderId="3" xfId="0" applyNumberFormat="1" applyFont="1" applyFill="1" applyBorder="1" applyAlignment="1">
      <alignment horizontal="center" vertical="center"/>
    </xf>
    <xf numFmtId="176" fontId="18" fillId="46" borderId="12" xfId="0" applyNumberFormat="1" applyFont="1" applyFill="1" applyBorder="1" applyAlignment="1">
      <alignment horizontal="center" vertical="center"/>
    </xf>
    <xf numFmtId="176" fontId="18" fillId="46" borderId="8" xfId="0" applyNumberFormat="1" applyFont="1" applyFill="1" applyBorder="1" applyAlignment="1">
      <alignment horizontal="center" vertical="center"/>
    </xf>
    <xf numFmtId="176" fontId="18" fillId="46" borderId="9" xfId="0" applyNumberFormat="1" applyFont="1" applyFill="1" applyBorder="1" applyAlignment="1">
      <alignment horizontal="center" vertical="center"/>
    </xf>
    <xf numFmtId="176" fontId="18" fillId="46" borderId="20" xfId="0" applyNumberFormat="1" applyFont="1" applyFill="1" applyBorder="1" applyAlignment="1">
      <alignment horizontal="center" vertical="center"/>
    </xf>
    <xf numFmtId="176" fontId="18" fillId="31" borderId="10" xfId="0" applyNumberFormat="1" applyFont="1" applyFill="1" applyBorder="1" applyAlignment="1">
      <alignment horizontal="center" vertical="center"/>
    </xf>
    <xf numFmtId="176" fontId="18" fillId="31" borderId="3" xfId="0" applyNumberFormat="1" applyFont="1" applyFill="1" applyBorder="1" applyAlignment="1">
      <alignment horizontal="center" vertical="center"/>
    </xf>
    <xf numFmtId="176" fontId="18" fillId="31" borderId="12" xfId="0" applyNumberFormat="1" applyFont="1" applyFill="1" applyBorder="1" applyAlignment="1">
      <alignment horizontal="center" vertical="center"/>
    </xf>
    <xf numFmtId="176" fontId="18" fillId="31" borderId="8" xfId="0" applyNumberFormat="1" applyFont="1" applyFill="1" applyBorder="1" applyAlignment="1">
      <alignment horizontal="center" vertical="center"/>
    </xf>
    <xf numFmtId="176" fontId="18" fillId="31" borderId="9" xfId="0" applyNumberFormat="1" applyFont="1" applyFill="1" applyBorder="1" applyAlignment="1">
      <alignment horizontal="center" vertical="center"/>
    </xf>
    <xf numFmtId="176" fontId="18" fillId="31" borderId="20" xfId="0" applyNumberFormat="1" applyFont="1" applyFill="1" applyBorder="1" applyAlignment="1">
      <alignment horizontal="center" vertical="center"/>
    </xf>
    <xf numFmtId="176" fontId="18" fillId="36" borderId="10" xfId="0" applyNumberFormat="1" applyFont="1" applyFill="1" applyBorder="1" applyAlignment="1">
      <alignment horizontal="center" vertical="center"/>
    </xf>
    <xf numFmtId="176" fontId="18" fillId="36" borderId="3" xfId="0" applyNumberFormat="1" applyFont="1" applyFill="1" applyBorder="1" applyAlignment="1">
      <alignment horizontal="center" vertical="center"/>
    </xf>
    <xf numFmtId="176" fontId="18" fillId="36" borderId="12" xfId="0" applyNumberFormat="1" applyFont="1" applyFill="1" applyBorder="1" applyAlignment="1">
      <alignment horizontal="center" vertical="center"/>
    </xf>
    <xf numFmtId="176" fontId="18" fillId="36" borderId="8" xfId="0" applyNumberFormat="1" applyFont="1" applyFill="1" applyBorder="1" applyAlignment="1">
      <alignment horizontal="center" vertical="center"/>
    </xf>
    <xf numFmtId="176" fontId="18" fillId="36" borderId="9" xfId="0" applyNumberFormat="1" applyFont="1" applyFill="1" applyBorder="1" applyAlignment="1">
      <alignment horizontal="center" vertical="center"/>
    </xf>
    <xf numFmtId="176" fontId="18" fillId="36" borderId="20" xfId="0" applyNumberFormat="1" applyFont="1" applyFill="1" applyBorder="1" applyAlignment="1">
      <alignment horizontal="center" vertical="center"/>
    </xf>
    <xf numFmtId="176" fontId="18" fillId="18" borderId="10" xfId="0" applyNumberFormat="1" applyFont="1" applyFill="1" applyBorder="1" applyAlignment="1">
      <alignment horizontal="center" vertical="center"/>
    </xf>
    <xf numFmtId="176" fontId="18" fillId="18" borderId="3" xfId="0" applyNumberFormat="1" applyFont="1" applyFill="1" applyBorder="1" applyAlignment="1">
      <alignment horizontal="center" vertical="center"/>
    </xf>
    <xf numFmtId="176" fontId="18" fillId="18" borderId="12" xfId="0" applyNumberFormat="1" applyFont="1" applyFill="1" applyBorder="1" applyAlignment="1">
      <alignment horizontal="center" vertical="center"/>
    </xf>
    <xf numFmtId="176" fontId="18" fillId="18" borderId="8" xfId="0" applyNumberFormat="1" applyFont="1" applyFill="1" applyBorder="1" applyAlignment="1">
      <alignment horizontal="center" vertical="center"/>
    </xf>
    <xf numFmtId="176" fontId="18" fillId="18" borderId="9" xfId="0" applyNumberFormat="1" applyFont="1" applyFill="1" applyBorder="1" applyAlignment="1">
      <alignment horizontal="center" vertical="center"/>
    </xf>
    <xf numFmtId="176" fontId="18" fillId="18" borderId="20" xfId="0" applyNumberFormat="1" applyFont="1" applyFill="1" applyBorder="1" applyAlignment="1">
      <alignment horizontal="center" vertical="center"/>
    </xf>
    <xf numFmtId="176" fontId="18" fillId="28" borderId="10" xfId="0" applyNumberFormat="1" applyFont="1" applyFill="1" applyBorder="1" applyAlignment="1">
      <alignment horizontal="center" vertical="center"/>
    </xf>
    <xf numFmtId="176" fontId="18" fillId="28" borderId="3" xfId="0" applyNumberFormat="1" applyFont="1" applyFill="1" applyBorder="1" applyAlignment="1">
      <alignment horizontal="center" vertical="center"/>
    </xf>
    <xf numFmtId="176" fontId="18" fillId="28" borderId="12" xfId="0" applyNumberFormat="1" applyFont="1" applyFill="1" applyBorder="1" applyAlignment="1">
      <alignment horizontal="center" vertical="center"/>
    </xf>
    <xf numFmtId="176" fontId="18" fillId="28" borderId="8" xfId="0" applyNumberFormat="1" applyFont="1" applyFill="1" applyBorder="1" applyAlignment="1">
      <alignment horizontal="center" vertical="center"/>
    </xf>
    <xf numFmtId="176" fontId="18" fillId="28" borderId="9" xfId="0" applyNumberFormat="1" applyFont="1" applyFill="1" applyBorder="1" applyAlignment="1">
      <alignment horizontal="center" vertical="center"/>
    </xf>
    <xf numFmtId="176" fontId="18" fillId="28" borderId="20" xfId="0" applyNumberFormat="1" applyFont="1" applyFill="1" applyBorder="1" applyAlignment="1">
      <alignment horizontal="center" vertical="center"/>
    </xf>
    <xf numFmtId="49" fontId="103" fillId="18" borderId="10" xfId="0" applyNumberFormat="1" applyFont="1" applyFill="1" applyBorder="1" applyAlignment="1">
      <alignment horizontal="center" vertical="center"/>
    </xf>
    <xf numFmtId="49" fontId="103" fillId="18" borderId="3" xfId="0" applyNumberFormat="1" applyFont="1" applyFill="1" applyBorder="1" applyAlignment="1">
      <alignment horizontal="center" vertical="center"/>
    </xf>
    <xf numFmtId="49" fontId="103" fillId="18" borderId="12" xfId="0" applyNumberFormat="1" applyFont="1" applyFill="1" applyBorder="1" applyAlignment="1">
      <alignment horizontal="center" vertical="center"/>
    </xf>
    <xf numFmtId="49" fontId="103" fillId="18" borderId="8" xfId="0" applyNumberFormat="1" applyFont="1" applyFill="1" applyBorder="1" applyAlignment="1">
      <alignment horizontal="center" vertical="center"/>
    </xf>
    <xf numFmtId="49" fontId="103" fillId="18" borderId="9" xfId="0" applyNumberFormat="1" applyFont="1" applyFill="1" applyBorder="1" applyAlignment="1">
      <alignment horizontal="center" vertical="center"/>
    </xf>
    <xf numFmtId="49" fontId="103" fillId="18" borderId="20" xfId="0" applyNumberFormat="1" applyFont="1" applyFill="1" applyBorder="1" applyAlignment="1">
      <alignment horizontal="center" vertical="center"/>
    </xf>
    <xf numFmtId="49" fontId="103" fillId="35" borderId="10" xfId="0" applyNumberFormat="1" applyFont="1" applyFill="1" applyBorder="1" applyAlignment="1">
      <alignment horizontal="center" vertical="center"/>
    </xf>
    <xf numFmtId="49" fontId="103" fillId="35" borderId="3" xfId="0" applyNumberFormat="1" applyFont="1" applyFill="1" applyBorder="1" applyAlignment="1">
      <alignment horizontal="center" vertical="center"/>
    </xf>
    <xf numFmtId="49" fontId="103" fillId="35" borderId="12" xfId="0" applyNumberFormat="1" applyFont="1" applyFill="1" applyBorder="1" applyAlignment="1">
      <alignment horizontal="center" vertical="center"/>
    </xf>
    <xf numFmtId="49" fontId="103" fillId="35" borderId="8" xfId="0" applyNumberFormat="1" applyFont="1" applyFill="1" applyBorder="1" applyAlignment="1">
      <alignment horizontal="center" vertical="center"/>
    </xf>
    <xf numFmtId="49" fontId="103" fillId="35" borderId="9" xfId="0" applyNumberFormat="1" applyFont="1" applyFill="1" applyBorder="1" applyAlignment="1">
      <alignment horizontal="center" vertical="center"/>
    </xf>
    <xf numFmtId="49" fontId="103" fillId="35" borderId="20" xfId="0" applyNumberFormat="1" applyFont="1" applyFill="1" applyBorder="1" applyAlignment="1">
      <alignment horizontal="center" vertical="center"/>
    </xf>
    <xf numFmtId="17" fontId="103" fillId="19" borderId="10" xfId="0" applyNumberFormat="1" applyFont="1" applyFill="1" applyBorder="1" applyAlignment="1">
      <alignment horizontal="center" vertical="center"/>
    </xf>
    <xf numFmtId="17" fontId="103" fillId="13" borderId="10" xfId="0" applyNumberFormat="1" applyFont="1" applyFill="1" applyBorder="1" applyAlignment="1">
      <alignment horizontal="center" vertical="center"/>
    </xf>
    <xf numFmtId="49" fontId="103" fillId="13" borderId="3" xfId="0" applyNumberFormat="1" applyFont="1" applyFill="1" applyBorder="1" applyAlignment="1">
      <alignment horizontal="center" vertical="center"/>
    </xf>
    <xf numFmtId="49" fontId="103" fillId="13" borderId="12" xfId="0" applyNumberFormat="1" applyFont="1" applyFill="1" applyBorder="1" applyAlignment="1">
      <alignment horizontal="center" vertical="center"/>
    </xf>
    <xf numFmtId="49" fontId="103" fillId="13" borderId="8" xfId="0" applyNumberFormat="1" applyFont="1" applyFill="1" applyBorder="1" applyAlignment="1">
      <alignment horizontal="center" vertical="center"/>
    </xf>
    <xf numFmtId="49" fontId="103" fillId="13" borderId="9" xfId="0" applyNumberFormat="1" applyFont="1" applyFill="1" applyBorder="1" applyAlignment="1">
      <alignment horizontal="center" vertical="center"/>
    </xf>
    <xf numFmtId="49" fontId="103" fillId="13" borderId="20" xfId="0" applyNumberFormat="1" applyFont="1" applyFill="1" applyBorder="1" applyAlignment="1">
      <alignment horizontal="center" vertical="center"/>
    </xf>
    <xf numFmtId="17" fontId="18" fillId="19" borderId="10" xfId="0" applyNumberFormat="1" applyFont="1" applyFill="1" applyBorder="1" applyAlignment="1">
      <alignment horizontal="center" vertical="center"/>
    </xf>
    <xf numFmtId="176" fontId="103" fillId="32" borderId="10" xfId="0" applyNumberFormat="1" applyFont="1" applyFill="1" applyBorder="1" applyAlignment="1">
      <alignment horizontal="center" vertical="center"/>
    </xf>
    <xf numFmtId="176" fontId="103" fillId="32" borderId="3" xfId="0" applyNumberFormat="1" applyFont="1" applyFill="1" applyBorder="1" applyAlignment="1">
      <alignment horizontal="center" vertical="center"/>
    </xf>
    <xf numFmtId="176" fontId="103" fillId="32" borderId="12" xfId="0" applyNumberFormat="1" applyFont="1" applyFill="1" applyBorder="1" applyAlignment="1">
      <alignment horizontal="center" vertical="center"/>
    </xf>
    <xf numFmtId="176" fontId="103" fillId="32" borderId="8" xfId="0" applyNumberFormat="1" applyFont="1" applyFill="1" applyBorder="1" applyAlignment="1">
      <alignment horizontal="center" vertical="center"/>
    </xf>
    <xf numFmtId="176" fontId="103" fillId="32" borderId="9" xfId="0" applyNumberFormat="1" applyFont="1" applyFill="1" applyBorder="1" applyAlignment="1">
      <alignment horizontal="center" vertical="center"/>
    </xf>
    <xf numFmtId="176" fontId="103" fillId="32" borderId="20" xfId="0" applyNumberFormat="1" applyFont="1" applyFill="1" applyBorder="1" applyAlignment="1">
      <alignment horizontal="center" vertical="center"/>
    </xf>
    <xf numFmtId="17" fontId="103" fillId="28" borderId="10" xfId="0" applyNumberFormat="1" applyFont="1" applyFill="1" applyBorder="1" applyAlignment="1">
      <alignment horizontal="center" vertical="center"/>
    </xf>
    <xf numFmtId="49" fontId="103" fillId="28" borderId="3" xfId="0" applyNumberFormat="1" applyFont="1" applyFill="1" applyBorder="1" applyAlignment="1">
      <alignment horizontal="center" vertical="center"/>
    </xf>
    <xf numFmtId="49" fontId="103" fillId="28" borderId="12" xfId="0" applyNumberFormat="1" applyFont="1" applyFill="1" applyBorder="1" applyAlignment="1">
      <alignment horizontal="center" vertical="center"/>
    </xf>
    <xf numFmtId="49" fontId="103" fillId="28" borderId="8" xfId="0" applyNumberFormat="1" applyFont="1" applyFill="1" applyBorder="1" applyAlignment="1">
      <alignment horizontal="center" vertical="center"/>
    </xf>
    <xf numFmtId="49" fontId="103" fillId="28" borderId="9" xfId="0" applyNumberFormat="1" applyFont="1" applyFill="1" applyBorder="1" applyAlignment="1">
      <alignment horizontal="center" vertical="center"/>
    </xf>
    <xf numFmtId="49" fontId="103" fillId="28" borderId="20" xfId="0" applyNumberFormat="1" applyFont="1" applyFill="1" applyBorder="1" applyAlignment="1">
      <alignment horizontal="center" vertical="center"/>
    </xf>
    <xf numFmtId="4" fontId="16" fillId="14" borderId="9" xfId="1" applyNumberFormat="1" applyFill="1" applyBorder="1" applyAlignment="1">
      <alignment horizontal="center" vertical="center"/>
    </xf>
    <xf numFmtId="17" fontId="123" fillId="34" borderId="10" xfId="0" applyNumberFormat="1" applyFont="1" applyFill="1" applyBorder="1" applyAlignment="1">
      <alignment horizontal="center" vertical="center"/>
    </xf>
    <xf numFmtId="49" fontId="123" fillId="34" borderId="3" xfId="0" applyNumberFormat="1" applyFont="1" applyFill="1" applyBorder="1" applyAlignment="1">
      <alignment horizontal="center" vertical="center"/>
    </xf>
    <xf numFmtId="49" fontId="123" fillId="34" borderId="12" xfId="0" applyNumberFormat="1" applyFont="1" applyFill="1" applyBorder="1" applyAlignment="1">
      <alignment horizontal="center" vertical="center"/>
    </xf>
    <xf numFmtId="49" fontId="123" fillId="34" borderId="8" xfId="0" applyNumberFormat="1" applyFont="1" applyFill="1" applyBorder="1" applyAlignment="1">
      <alignment horizontal="center" vertical="center"/>
    </xf>
    <xf numFmtId="49" fontId="123" fillId="34" borderId="9" xfId="0" applyNumberFormat="1" applyFont="1" applyFill="1" applyBorder="1" applyAlignment="1">
      <alignment horizontal="center" vertical="center"/>
    </xf>
    <xf numFmtId="49" fontId="123" fillId="34" borderId="20" xfId="0" applyNumberFormat="1" applyFont="1" applyFill="1" applyBorder="1" applyAlignment="1">
      <alignment horizontal="center" vertical="center"/>
    </xf>
    <xf numFmtId="49" fontId="18" fillId="38" borderId="5" xfId="0" applyNumberFormat="1" applyFont="1" applyFill="1" applyBorder="1" applyAlignment="1">
      <alignment horizontal="center" vertical="center"/>
    </xf>
    <xf numFmtId="49" fontId="18" fillId="38" borderId="7" xfId="0" applyNumberFormat="1" applyFont="1" applyFill="1" applyBorder="1" applyAlignment="1">
      <alignment horizontal="center" vertical="center"/>
    </xf>
    <xf numFmtId="176" fontId="18" fillId="6" borderId="10" xfId="0" applyNumberFormat="1" applyFont="1" applyFill="1" applyBorder="1" applyAlignment="1">
      <alignment horizontal="center" vertical="center"/>
    </xf>
    <xf numFmtId="176" fontId="18" fillId="6" borderId="3" xfId="0" applyNumberFormat="1" applyFont="1" applyFill="1" applyBorder="1" applyAlignment="1">
      <alignment horizontal="center" vertical="center"/>
    </xf>
    <xf numFmtId="176" fontId="18" fillId="6" borderId="12" xfId="0" applyNumberFormat="1" applyFont="1" applyFill="1" applyBorder="1" applyAlignment="1">
      <alignment horizontal="center" vertical="center"/>
    </xf>
    <xf numFmtId="176" fontId="18" fillId="6" borderId="8" xfId="0" applyNumberFormat="1" applyFont="1" applyFill="1" applyBorder="1" applyAlignment="1">
      <alignment horizontal="center" vertical="center"/>
    </xf>
    <xf numFmtId="176" fontId="18" fillId="6" borderId="9" xfId="0" applyNumberFormat="1" applyFont="1" applyFill="1" applyBorder="1" applyAlignment="1">
      <alignment horizontal="center" vertical="center"/>
    </xf>
    <xf numFmtId="176" fontId="18" fillId="6" borderId="20" xfId="0" applyNumberFormat="1" applyFont="1" applyFill="1" applyBorder="1" applyAlignment="1">
      <alignment horizontal="center" vertical="center"/>
    </xf>
    <xf numFmtId="176" fontId="18" fillId="33" borderId="10" xfId="0" applyNumberFormat="1" applyFont="1" applyFill="1" applyBorder="1" applyAlignment="1">
      <alignment horizontal="center" vertical="center"/>
    </xf>
    <xf numFmtId="176" fontId="18" fillId="33" borderId="3" xfId="0" applyNumberFormat="1" applyFont="1" applyFill="1" applyBorder="1" applyAlignment="1">
      <alignment horizontal="center" vertical="center"/>
    </xf>
    <xf numFmtId="176" fontId="18" fillId="33" borderId="12" xfId="0" applyNumberFormat="1" applyFont="1" applyFill="1" applyBorder="1" applyAlignment="1">
      <alignment horizontal="center" vertical="center"/>
    </xf>
    <xf numFmtId="176" fontId="18" fillId="33" borderId="8" xfId="0" applyNumberFormat="1" applyFont="1" applyFill="1" applyBorder="1" applyAlignment="1">
      <alignment horizontal="center" vertical="center"/>
    </xf>
    <xf numFmtId="176" fontId="18" fillId="33" borderId="9" xfId="0" applyNumberFormat="1" applyFont="1" applyFill="1" applyBorder="1" applyAlignment="1">
      <alignment horizontal="center" vertical="center"/>
    </xf>
    <xf numFmtId="176" fontId="18" fillId="33" borderId="20" xfId="0" applyNumberFormat="1" applyFont="1" applyFill="1" applyBorder="1" applyAlignment="1">
      <alignment horizontal="center" vertical="center"/>
    </xf>
    <xf numFmtId="17" fontId="18" fillId="9" borderId="10" xfId="0" applyNumberFormat="1" applyFont="1" applyFill="1" applyBorder="1" applyAlignment="1">
      <alignment horizontal="center" vertical="center"/>
    </xf>
    <xf numFmtId="49" fontId="18" fillId="40" borderId="10" xfId="0" applyNumberFormat="1" applyFont="1" applyFill="1" applyBorder="1" applyAlignment="1">
      <alignment horizontal="center" vertical="center"/>
    </xf>
    <xf numFmtId="49" fontId="18" fillId="40" borderId="3" xfId="0" applyNumberFormat="1" applyFont="1" applyFill="1" applyBorder="1" applyAlignment="1">
      <alignment horizontal="center" vertical="center"/>
    </xf>
    <xf numFmtId="49" fontId="18" fillId="40" borderId="12" xfId="0" applyNumberFormat="1" applyFont="1" applyFill="1" applyBorder="1" applyAlignment="1">
      <alignment horizontal="center" vertical="center"/>
    </xf>
    <xf numFmtId="49" fontId="18" fillId="40" borderId="8" xfId="0" applyNumberFormat="1" applyFont="1" applyFill="1" applyBorder="1" applyAlignment="1">
      <alignment horizontal="center" vertical="center"/>
    </xf>
    <xf numFmtId="49" fontId="18" fillId="40" borderId="9" xfId="0" applyNumberFormat="1" applyFont="1" applyFill="1" applyBorder="1" applyAlignment="1">
      <alignment horizontal="center" vertical="center"/>
    </xf>
    <xf numFmtId="49" fontId="18" fillId="40" borderId="20" xfId="0" applyNumberFormat="1" applyFont="1" applyFill="1" applyBorder="1" applyAlignment="1">
      <alignment horizontal="center" vertical="center"/>
    </xf>
    <xf numFmtId="176" fontId="18" fillId="42" borderId="10" xfId="0" applyNumberFormat="1" applyFont="1" applyFill="1" applyBorder="1" applyAlignment="1">
      <alignment horizontal="center" vertical="center"/>
    </xf>
    <xf numFmtId="176" fontId="18" fillId="42" borderId="3" xfId="0" applyNumberFormat="1" applyFont="1" applyFill="1" applyBorder="1" applyAlignment="1">
      <alignment horizontal="center" vertical="center"/>
    </xf>
    <xf numFmtId="176" fontId="18" fillId="42" borderId="12" xfId="0" applyNumberFormat="1" applyFont="1" applyFill="1" applyBorder="1" applyAlignment="1">
      <alignment horizontal="center" vertical="center"/>
    </xf>
    <xf numFmtId="176" fontId="18" fillId="42" borderId="8" xfId="0" applyNumberFormat="1" applyFont="1" applyFill="1" applyBorder="1" applyAlignment="1">
      <alignment horizontal="center" vertical="center"/>
    </xf>
    <xf numFmtId="176" fontId="18" fillId="42" borderId="9" xfId="0" applyNumberFormat="1" applyFont="1" applyFill="1" applyBorder="1" applyAlignment="1">
      <alignment horizontal="center" vertical="center"/>
    </xf>
    <xf numFmtId="176" fontId="18" fillId="42" borderId="20" xfId="0" applyNumberFormat="1" applyFont="1" applyFill="1" applyBorder="1" applyAlignment="1">
      <alignment horizontal="center" vertical="center"/>
    </xf>
    <xf numFmtId="0" fontId="18" fillId="9" borderId="10" xfId="0" applyFont="1" applyFill="1" applyBorder="1" applyAlignment="1">
      <alignment horizontal="center" vertical="center"/>
    </xf>
    <xf numFmtId="0" fontId="18" fillId="9" borderId="3" xfId="0" applyFont="1" applyFill="1" applyBorder="1" applyAlignment="1">
      <alignment horizontal="center" vertical="center"/>
    </xf>
    <xf numFmtId="0" fontId="18" fillId="9" borderId="12" xfId="0" applyFont="1" applyFill="1" applyBorder="1" applyAlignment="1">
      <alignment horizontal="center" vertical="center"/>
    </xf>
    <xf numFmtId="0" fontId="18" fillId="9" borderId="8" xfId="0" applyFont="1" applyFill="1" applyBorder="1" applyAlignment="1">
      <alignment horizontal="center" vertical="center"/>
    </xf>
    <xf numFmtId="0" fontId="18" fillId="9" borderId="9" xfId="0" applyFont="1" applyFill="1" applyBorder="1" applyAlignment="1">
      <alignment horizontal="center" vertical="center"/>
    </xf>
    <xf numFmtId="0" fontId="18" fillId="9" borderId="20" xfId="0" applyFont="1" applyFill="1" applyBorder="1" applyAlignment="1">
      <alignment horizontal="center" vertical="center"/>
    </xf>
    <xf numFmtId="0" fontId="18" fillId="42" borderId="10" xfId="0" applyFont="1" applyFill="1" applyBorder="1" applyAlignment="1">
      <alignment horizontal="center" vertical="center"/>
    </xf>
    <xf numFmtId="0" fontId="18" fillId="42" borderId="3" xfId="0" applyFont="1" applyFill="1" applyBorder="1" applyAlignment="1">
      <alignment horizontal="center" vertical="center"/>
    </xf>
    <xf numFmtId="0" fontId="18" fillId="42" borderId="12" xfId="0" applyFont="1" applyFill="1" applyBorder="1" applyAlignment="1">
      <alignment horizontal="center" vertical="center"/>
    </xf>
    <xf numFmtId="0" fontId="18" fillId="42" borderId="8" xfId="0" applyFont="1" applyFill="1" applyBorder="1" applyAlignment="1">
      <alignment horizontal="center" vertical="center"/>
    </xf>
    <xf numFmtId="0" fontId="18" fillId="42" borderId="9" xfId="0" applyFont="1" applyFill="1" applyBorder="1" applyAlignment="1">
      <alignment horizontal="center" vertical="center"/>
    </xf>
    <xf numFmtId="0" fontId="18" fillId="42" borderId="20" xfId="0" applyFont="1" applyFill="1" applyBorder="1" applyAlignment="1">
      <alignment horizontal="center" vertical="center"/>
    </xf>
    <xf numFmtId="176" fontId="18" fillId="47" borderId="10" xfId="0" applyNumberFormat="1" applyFont="1" applyFill="1" applyBorder="1" applyAlignment="1">
      <alignment horizontal="center" vertical="center"/>
    </xf>
    <xf numFmtId="176" fontId="18" fillId="47" borderId="3" xfId="0" applyNumberFormat="1" applyFont="1" applyFill="1" applyBorder="1" applyAlignment="1">
      <alignment horizontal="center" vertical="center"/>
    </xf>
    <xf numFmtId="176" fontId="18" fillId="47" borderId="12" xfId="0" applyNumberFormat="1" applyFont="1" applyFill="1" applyBorder="1" applyAlignment="1">
      <alignment horizontal="center" vertical="center"/>
    </xf>
    <xf numFmtId="176" fontId="18" fillId="47" borderId="8" xfId="0" applyNumberFormat="1" applyFont="1" applyFill="1" applyBorder="1" applyAlignment="1">
      <alignment horizontal="center" vertical="center"/>
    </xf>
    <xf numFmtId="176" fontId="18" fillId="47" borderId="9" xfId="0" applyNumberFormat="1" applyFont="1" applyFill="1" applyBorder="1" applyAlignment="1">
      <alignment horizontal="center" vertical="center"/>
    </xf>
    <xf numFmtId="176" fontId="18" fillId="47" borderId="20" xfId="0" applyNumberFormat="1" applyFont="1" applyFill="1" applyBorder="1" applyAlignment="1">
      <alignment horizontal="center" vertical="center"/>
    </xf>
    <xf numFmtId="176" fontId="18" fillId="4" borderId="10" xfId="0" applyNumberFormat="1" applyFont="1" applyFill="1" applyBorder="1" applyAlignment="1">
      <alignment horizontal="center" vertical="center"/>
    </xf>
    <xf numFmtId="176" fontId="18" fillId="4" borderId="3" xfId="0" applyNumberFormat="1" applyFont="1" applyFill="1" applyBorder="1" applyAlignment="1">
      <alignment horizontal="center" vertical="center"/>
    </xf>
    <xf numFmtId="176" fontId="18" fillId="4" borderId="12" xfId="0" applyNumberFormat="1" applyFont="1" applyFill="1" applyBorder="1" applyAlignment="1">
      <alignment horizontal="center" vertical="center"/>
    </xf>
    <xf numFmtId="176" fontId="18" fillId="4" borderId="8" xfId="0" applyNumberFormat="1" applyFont="1" applyFill="1" applyBorder="1" applyAlignment="1">
      <alignment horizontal="center" vertical="center"/>
    </xf>
    <xf numFmtId="176" fontId="18" fillId="4" borderId="9" xfId="0" applyNumberFormat="1" applyFont="1" applyFill="1" applyBorder="1" applyAlignment="1">
      <alignment horizontal="center" vertical="center"/>
    </xf>
    <xf numFmtId="176" fontId="18" fillId="4" borderId="20" xfId="0" applyNumberFormat="1" applyFont="1" applyFill="1" applyBorder="1" applyAlignment="1">
      <alignment horizontal="center" vertical="center"/>
    </xf>
    <xf numFmtId="176" fontId="18" fillId="43" borderId="10" xfId="0" applyNumberFormat="1" applyFont="1" applyFill="1" applyBorder="1" applyAlignment="1">
      <alignment horizontal="center" vertical="center"/>
    </xf>
    <xf numFmtId="176" fontId="18" fillId="43" borderId="3" xfId="0" applyNumberFormat="1" applyFont="1" applyFill="1" applyBorder="1" applyAlignment="1">
      <alignment horizontal="center" vertical="center"/>
    </xf>
    <xf numFmtId="176" fontId="18" fillId="43" borderId="12" xfId="0" applyNumberFormat="1" applyFont="1" applyFill="1" applyBorder="1" applyAlignment="1">
      <alignment horizontal="center" vertical="center"/>
    </xf>
    <xf numFmtId="176" fontId="18" fillId="43" borderId="8" xfId="0" applyNumberFormat="1" applyFont="1" applyFill="1" applyBorder="1" applyAlignment="1">
      <alignment horizontal="center" vertical="center"/>
    </xf>
    <xf numFmtId="176" fontId="18" fillId="43" borderId="9" xfId="0" applyNumberFormat="1" applyFont="1" applyFill="1" applyBorder="1" applyAlignment="1">
      <alignment horizontal="center" vertical="center"/>
    </xf>
    <xf numFmtId="176" fontId="18" fillId="43" borderId="20" xfId="0" applyNumberFormat="1" applyFont="1" applyFill="1" applyBorder="1" applyAlignment="1">
      <alignment horizontal="center" vertical="center"/>
    </xf>
    <xf numFmtId="176" fontId="18" fillId="41" borderId="10" xfId="0" applyNumberFormat="1" applyFont="1" applyFill="1" applyBorder="1" applyAlignment="1">
      <alignment horizontal="center" vertical="center"/>
    </xf>
    <xf numFmtId="176" fontId="18" fillId="41" borderId="3" xfId="0" applyNumberFormat="1" applyFont="1" applyFill="1" applyBorder="1" applyAlignment="1">
      <alignment horizontal="center" vertical="center"/>
    </xf>
    <xf numFmtId="176" fontId="18" fillId="41" borderId="12" xfId="0" applyNumberFormat="1" applyFont="1" applyFill="1" applyBorder="1" applyAlignment="1">
      <alignment horizontal="center" vertical="center"/>
    </xf>
    <xf numFmtId="176" fontId="18" fillId="41" borderId="8" xfId="0" applyNumberFormat="1" applyFont="1" applyFill="1" applyBorder="1" applyAlignment="1">
      <alignment horizontal="center" vertical="center"/>
    </xf>
    <xf numFmtId="176" fontId="18" fillId="41" borderId="9" xfId="0" applyNumberFormat="1" applyFont="1" applyFill="1" applyBorder="1" applyAlignment="1">
      <alignment horizontal="center" vertical="center"/>
    </xf>
    <xf numFmtId="176" fontId="18" fillId="41" borderId="20" xfId="0" applyNumberFormat="1" applyFont="1" applyFill="1" applyBorder="1" applyAlignment="1">
      <alignment horizontal="center" vertical="center"/>
    </xf>
    <xf numFmtId="176" fontId="18" fillId="35" borderId="10" xfId="0" applyNumberFormat="1" applyFont="1" applyFill="1" applyBorder="1" applyAlignment="1">
      <alignment horizontal="center" vertical="center"/>
    </xf>
    <xf numFmtId="176" fontId="18" fillId="35" borderId="3" xfId="0" applyNumberFormat="1" applyFont="1" applyFill="1" applyBorder="1" applyAlignment="1">
      <alignment horizontal="center" vertical="center"/>
    </xf>
    <xf numFmtId="176" fontId="18" fillId="35" borderId="12" xfId="0" applyNumberFormat="1" applyFont="1" applyFill="1" applyBorder="1" applyAlignment="1">
      <alignment horizontal="center" vertical="center"/>
    </xf>
    <xf numFmtId="176" fontId="18" fillId="35" borderId="8" xfId="0" applyNumberFormat="1" applyFont="1" applyFill="1" applyBorder="1" applyAlignment="1">
      <alignment horizontal="center" vertical="center"/>
    </xf>
    <xf numFmtId="176" fontId="18" fillId="35" borderId="9" xfId="0" applyNumberFormat="1" applyFont="1" applyFill="1" applyBorder="1" applyAlignment="1">
      <alignment horizontal="center" vertical="center"/>
    </xf>
    <xf numFmtId="176" fontId="18" fillId="35" borderId="20" xfId="0" applyNumberFormat="1" applyFont="1" applyFill="1" applyBorder="1" applyAlignment="1">
      <alignment horizontal="center" vertical="center"/>
    </xf>
    <xf numFmtId="2" fontId="18" fillId="38" borderId="10" xfId="0" applyNumberFormat="1" applyFont="1" applyFill="1" applyBorder="1" applyAlignment="1">
      <alignment horizontal="center" vertical="center" wrapText="1"/>
    </xf>
    <xf numFmtId="2" fontId="18" fillId="38" borderId="3" xfId="0" applyNumberFormat="1" applyFont="1" applyFill="1" applyBorder="1" applyAlignment="1">
      <alignment horizontal="center" vertical="center" wrapText="1"/>
    </xf>
    <xf numFmtId="2" fontId="18" fillId="38" borderId="12" xfId="0" applyNumberFormat="1" applyFont="1" applyFill="1" applyBorder="1" applyAlignment="1">
      <alignment horizontal="center" vertical="center" wrapText="1"/>
    </xf>
    <xf numFmtId="2" fontId="18" fillId="38" borderId="8" xfId="0" applyNumberFormat="1" applyFont="1" applyFill="1" applyBorder="1" applyAlignment="1">
      <alignment horizontal="center" vertical="center" wrapText="1"/>
    </xf>
    <xf numFmtId="2" fontId="18" fillId="38" borderId="9" xfId="0" applyNumberFormat="1" applyFont="1" applyFill="1" applyBorder="1" applyAlignment="1">
      <alignment horizontal="center" vertical="center" wrapText="1"/>
    </xf>
    <xf numFmtId="2" fontId="18" fillId="38" borderId="20" xfId="0" applyNumberFormat="1" applyFont="1" applyFill="1" applyBorder="1" applyAlignment="1">
      <alignment horizontal="center" vertical="center" wrapText="1"/>
    </xf>
    <xf numFmtId="40" fontId="25" fillId="0" borderId="5" xfId="1" applyNumberFormat="1" applyFont="1" applyBorder="1" applyAlignment="1">
      <alignment horizontal="center" vertical="center"/>
    </xf>
    <xf numFmtId="40" fontId="25" fillId="0" borderId="6" xfId="1" applyNumberFormat="1" applyFont="1" applyBorder="1" applyAlignment="1">
      <alignment horizontal="center" vertical="center"/>
    </xf>
    <xf numFmtId="40" fontId="25" fillId="0" borderId="79" xfId="1" applyNumberFormat="1" applyFont="1" applyBorder="1" applyAlignment="1">
      <alignment horizontal="center" vertical="center"/>
    </xf>
    <xf numFmtId="3" fontId="25" fillId="0" borderId="5" xfId="1" applyNumberFormat="1" applyFont="1" applyBorder="1" applyAlignment="1">
      <alignment horizontal="center" vertical="center"/>
    </xf>
    <xf numFmtId="3" fontId="25" fillId="0" borderId="6" xfId="1" applyNumberFormat="1" applyFont="1" applyBorder="1" applyAlignment="1">
      <alignment horizontal="center" vertical="center"/>
    </xf>
    <xf numFmtId="3" fontId="25" fillId="0" borderId="79" xfId="1" applyNumberFormat="1" applyFont="1" applyBorder="1" applyAlignment="1">
      <alignment horizontal="center" vertical="center"/>
    </xf>
    <xf numFmtId="179" fontId="16" fillId="0" borderId="0" xfId="1" applyNumberFormat="1" applyFont="1" applyAlignment="1">
      <alignment horizontal="center" vertical="center"/>
    </xf>
    <xf numFmtId="4" fontId="181" fillId="0" borderId="76" xfId="1" applyNumberFormat="1" applyFont="1" applyBorder="1" applyAlignment="1">
      <alignment horizontal="center" vertical="center"/>
    </xf>
    <xf numFmtId="40" fontId="25" fillId="0" borderId="5" xfId="1" applyNumberFormat="1" applyFont="1" applyFill="1" applyBorder="1" applyAlignment="1">
      <alignment horizontal="center" vertical="center"/>
    </xf>
    <xf numFmtId="40" fontId="25" fillId="0" borderId="6" xfId="1" applyNumberFormat="1" applyFont="1" applyFill="1" applyBorder="1" applyAlignment="1">
      <alignment horizontal="center" vertical="center"/>
    </xf>
    <xf numFmtId="40" fontId="25" fillId="0" borderId="79" xfId="1" applyNumberFormat="1" applyFont="1" applyFill="1" applyBorder="1" applyAlignment="1">
      <alignment horizontal="center" vertical="center"/>
    </xf>
    <xf numFmtId="3" fontId="25" fillId="0" borderId="5" xfId="1" applyNumberFormat="1" applyFont="1" applyFill="1" applyBorder="1" applyAlignment="1">
      <alignment horizontal="right" vertical="center" indent="1"/>
    </xf>
    <xf numFmtId="3" fontId="25" fillId="0" borderId="6" xfId="1" applyNumberFormat="1" applyFont="1" applyFill="1" applyBorder="1" applyAlignment="1">
      <alignment horizontal="right" vertical="center" indent="1"/>
    </xf>
    <xf numFmtId="3" fontId="25" fillId="0" borderId="79" xfId="1" applyNumberFormat="1" applyFont="1" applyFill="1" applyBorder="1" applyAlignment="1">
      <alignment horizontal="right" vertical="center" indent="1"/>
    </xf>
    <xf numFmtId="3" fontId="25" fillId="0" borderId="5" xfId="1" applyNumberFormat="1" applyFont="1" applyBorder="1" applyAlignment="1">
      <alignment horizontal="right" vertical="center" indent="1"/>
    </xf>
    <xf numFmtId="3" fontId="25" fillId="0" borderId="6" xfId="1" applyNumberFormat="1" applyFont="1" applyBorder="1" applyAlignment="1">
      <alignment horizontal="right" vertical="center" indent="1"/>
    </xf>
    <xf numFmtId="3" fontId="25" fillId="0" borderId="79" xfId="1" applyNumberFormat="1" applyFont="1" applyBorder="1" applyAlignment="1">
      <alignment horizontal="right" vertical="center" indent="1"/>
    </xf>
    <xf numFmtId="3" fontId="18" fillId="38" borderId="10" xfId="0" applyNumberFormat="1" applyFont="1" applyFill="1" applyBorder="1" applyAlignment="1">
      <alignment horizontal="center" vertical="center" wrapText="1"/>
    </xf>
    <xf numFmtId="3" fontId="18" fillId="38" borderId="3" xfId="0" applyNumberFormat="1" applyFont="1" applyFill="1" applyBorder="1" applyAlignment="1">
      <alignment horizontal="center" vertical="center" wrapText="1"/>
    </xf>
    <xf numFmtId="3" fontId="18" fillId="38" borderId="12" xfId="0" applyNumberFormat="1" applyFont="1" applyFill="1" applyBorder="1" applyAlignment="1">
      <alignment horizontal="center" vertical="center" wrapText="1"/>
    </xf>
    <xf numFmtId="3" fontId="18" fillId="38" borderId="8" xfId="0" applyNumberFormat="1" applyFont="1" applyFill="1" applyBorder="1" applyAlignment="1">
      <alignment horizontal="center" vertical="center" wrapText="1"/>
    </xf>
    <xf numFmtId="3" fontId="18" fillId="38" borderId="9" xfId="0" applyNumberFormat="1" applyFont="1" applyFill="1" applyBorder="1" applyAlignment="1">
      <alignment horizontal="center" vertical="center" wrapText="1"/>
    </xf>
    <xf numFmtId="3" fontId="18" fillId="38" borderId="20" xfId="0" applyNumberFormat="1" applyFont="1" applyFill="1" applyBorder="1" applyAlignment="1">
      <alignment horizontal="center" vertical="center" wrapText="1"/>
    </xf>
    <xf numFmtId="0" fontId="18" fillId="10" borderId="10" xfId="0" applyFont="1" applyFill="1" applyBorder="1" applyAlignment="1">
      <alignment horizontal="center" vertical="center"/>
    </xf>
    <xf numFmtId="0" fontId="18" fillId="10" borderId="3" xfId="0" applyFont="1" applyFill="1" applyBorder="1" applyAlignment="1">
      <alignment horizontal="center" vertical="center"/>
    </xf>
    <xf numFmtId="0" fontId="18" fillId="10" borderId="12" xfId="0" applyFont="1" applyFill="1" applyBorder="1" applyAlignment="1">
      <alignment horizontal="center" vertical="center"/>
    </xf>
  </cellXfs>
  <cellStyles count="8873">
    <cellStyle name="01" xfId="105"/>
    <cellStyle name="Comma 2" xfId="614"/>
    <cellStyle name="Excel Built-in Normal" xfId="572"/>
    <cellStyle name="IvkDocStyle 1" xfId="410"/>
    <cellStyle name="IvkDocStyle 1 2" xfId="573"/>
    <cellStyle name="IvkDocStyle 10" xfId="411"/>
    <cellStyle name="IvkDocStyle 10 2" xfId="574"/>
    <cellStyle name="IvkDocStyle 100" xfId="412"/>
    <cellStyle name="IvkDocStyle 101" xfId="413"/>
    <cellStyle name="IvkDocStyle 102" xfId="414"/>
    <cellStyle name="IvkDocStyle 103" xfId="415"/>
    <cellStyle name="IvkDocStyle 104" xfId="416"/>
    <cellStyle name="IvkDocStyle 105" xfId="417"/>
    <cellStyle name="IvkDocStyle 106" xfId="418"/>
    <cellStyle name="IvkDocStyle 107" xfId="419"/>
    <cellStyle name="IvkDocStyle 108" xfId="420"/>
    <cellStyle name="IvkDocStyle 109" xfId="421"/>
    <cellStyle name="IvkDocStyle 11" xfId="422"/>
    <cellStyle name="IvkDocStyle 11 2" xfId="575"/>
    <cellStyle name="IvkDocStyle 110" xfId="423"/>
    <cellStyle name="IvkDocStyle 111" xfId="424"/>
    <cellStyle name="IvkDocStyle 112" xfId="425"/>
    <cellStyle name="IvkDocStyle 113" xfId="426"/>
    <cellStyle name="IvkDocStyle 114" xfId="427"/>
    <cellStyle name="IvkDocStyle 115" xfId="428"/>
    <cellStyle name="IvkDocStyle 116" xfId="429"/>
    <cellStyle name="IvkDocStyle 117" xfId="430"/>
    <cellStyle name="IvkDocStyle 118" xfId="431"/>
    <cellStyle name="IvkDocStyle 119" xfId="432"/>
    <cellStyle name="IvkDocStyle 12" xfId="433"/>
    <cellStyle name="IvkDocStyle 12 2" xfId="576"/>
    <cellStyle name="IvkDocStyle 120" xfId="434"/>
    <cellStyle name="IvkDocStyle 121" xfId="435"/>
    <cellStyle name="IvkDocStyle 122" xfId="436"/>
    <cellStyle name="IvkDocStyle 123" xfId="437"/>
    <cellStyle name="IvkDocStyle 124" xfId="438"/>
    <cellStyle name="IvkDocStyle 125" xfId="439"/>
    <cellStyle name="IvkDocStyle 126" xfId="440"/>
    <cellStyle name="IvkDocStyle 127" xfId="441"/>
    <cellStyle name="IvkDocStyle 128" xfId="442"/>
    <cellStyle name="IvkDocStyle 129" xfId="443"/>
    <cellStyle name="IvkDocStyle 13" xfId="444"/>
    <cellStyle name="IvkDocStyle 13 2" xfId="577"/>
    <cellStyle name="IvkDocStyle 130" xfId="445"/>
    <cellStyle name="IvkDocStyle 131" xfId="446"/>
    <cellStyle name="IvkDocStyle 132" xfId="447"/>
    <cellStyle name="IvkDocStyle 133" xfId="448"/>
    <cellStyle name="IvkDocStyle 134" xfId="449"/>
    <cellStyle name="IvkDocStyle 135" xfId="450"/>
    <cellStyle name="IvkDocStyle 136" xfId="451"/>
    <cellStyle name="IvkDocStyle 137" xfId="452"/>
    <cellStyle name="IvkDocStyle 138" xfId="453"/>
    <cellStyle name="IvkDocStyle 139" xfId="454"/>
    <cellStyle name="IvkDocStyle 14" xfId="455"/>
    <cellStyle name="IvkDocStyle 140" xfId="456"/>
    <cellStyle name="IvkDocStyle 141" xfId="457"/>
    <cellStyle name="IvkDocStyle 142" xfId="458"/>
    <cellStyle name="IvkDocStyle 143" xfId="459"/>
    <cellStyle name="IvkDocStyle 144" xfId="460"/>
    <cellStyle name="IvkDocStyle 145" xfId="461"/>
    <cellStyle name="IvkDocStyle 146" xfId="462"/>
    <cellStyle name="IvkDocStyle 147" xfId="463"/>
    <cellStyle name="IvkDocStyle 148" xfId="464"/>
    <cellStyle name="IvkDocStyle 149" xfId="465"/>
    <cellStyle name="IvkDocStyle 15" xfId="466"/>
    <cellStyle name="IvkDocStyle 150" xfId="467"/>
    <cellStyle name="IvkDocStyle 151" xfId="468"/>
    <cellStyle name="IvkDocStyle 152" xfId="469"/>
    <cellStyle name="IvkDocStyle 153" xfId="470"/>
    <cellStyle name="IvkDocStyle 154" xfId="471"/>
    <cellStyle name="IvkDocStyle 155" xfId="472"/>
    <cellStyle name="IvkDocStyle 156" xfId="473"/>
    <cellStyle name="IvkDocStyle 157" xfId="474"/>
    <cellStyle name="IvkDocStyle 16" xfId="475"/>
    <cellStyle name="IvkDocStyle 17" xfId="476"/>
    <cellStyle name="IvkDocStyle 18" xfId="477"/>
    <cellStyle name="IvkDocStyle 19" xfId="478"/>
    <cellStyle name="IvkDocStyle 19 2" xfId="578"/>
    <cellStyle name="IvkDocStyle 2" xfId="479"/>
    <cellStyle name="IvkDocStyle 2 2" xfId="579"/>
    <cellStyle name="IvkDocStyle 20" xfId="480"/>
    <cellStyle name="IvkDocStyle 20 2" xfId="580"/>
    <cellStyle name="IvkDocStyle 21" xfId="481"/>
    <cellStyle name="IvkDocStyle 21 2" xfId="581"/>
    <cellStyle name="IvkDocStyle 22" xfId="482"/>
    <cellStyle name="IvkDocStyle 22 2" xfId="582"/>
    <cellStyle name="IvkDocStyle 23" xfId="483"/>
    <cellStyle name="IvkDocStyle 23 2" xfId="583"/>
    <cellStyle name="IvkDocStyle 24" xfId="484"/>
    <cellStyle name="IvkDocStyle 24 2" xfId="584"/>
    <cellStyle name="IvkDocStyle 25" xfId="485"/>
    <cellStyle name="IvkDocStyle 25 2" xfId="585"/>
    <cellStyle name="IvkDocStyle 26" xfId="486"/>
    <cellStyle name="IvkDocStyle 26 2" xfId="586"/>
    <cellStyle name="IvkDocStyle 27" xfId="487"/>
    <cellStyle name="IvkDocStyle 27 2" xfId="587"/>
    <cellStyle name="IvkDocStyle 28" xfId="488"/>
    <cellStyle name="IvkDocStyle 28 2" xfId="588"/>
    <cellStyle name="IvkDocStyle 29" xfId="489"/>
    <cellStyle name="IvkDocStyle 29 2" xfId="589"/>
    <cellStyle name="IvkDocStyle 3" xfId="490"/>
    <cellStyle name="IvkDocStyle 3 2" xfId="590"/>
    <cellStyle name="IvkDocStyle 30" xfId="491"/>
    <cellStyle name="IvkDocStyle 30 2" xfId="591"/>
    <cellStyle name="IvkDocStyle 31" xfId="492"/>
    <cellStyle name="IvkDocStyle 31 2" xfId="592"/>
    <cellStyle name="IvkDocStyle 32" xfId="493"/>
    <cellStyle name="IvkDocStyle 32 2" xfId="593"/>
    <cellStyle name="IvkDocStyle 33" xfId="494"/>
    <cellStyle name="IvkDocStyle 33 2" xfId="594"/>
    <cellStyle name="IvkDocStyle 34" xfId="495"/>
    <cellStyle name="IvkDocStyle 34 2" xfId="595"/>
    <cellStyle name="IvkDocStyle 35" xfId="496"/>
    <cellStyle name="IvkDocStyle 35 2" xfId="596"/>
    <cellStyle name="IvkDocStyle 36" xfId="497"/>
    <cellStyle name="IvkDocStyle 36 2" xfId="597"/>
    <cellStyle name="IvkDocStyle 37" xfId="498"/>
    <cellStyle name="IvkDocStyle 38" xfId="499"/>
    <cellStyle name="IvkDocStyle 39" xfId="500"/>
    <cellStyle name="IvkDocStyle 39 2" xfId="598"/>
    <cellStyle name="IvkDocStyle 4" xfId="501"/>
    <cellStyle name="IvkDocStyle 4 2" xfId="599"/>
    <cellStyle name="IvkDocStyle 40" xfId="502"/>
    <cellStyle name="IvkDocStyle 41" xfId="503"/>
    <cellStyle name="IvkDocStyle 42" xfId="504"/>
    <cellStyle name="IvkDocStyle 43" xfId="505"/>
    <cellStyle name="IvkDocStyle 44" xfId="506"/>
    <cellStyle name="IvkDocStyle 45" xfId="507"/>
    <cellStyle name="IvkDocStyle 46" xfId="508"/>
    <cellStyle name="IvkDocStyle 47" xfId="509"/>
    <cellStyle name="IvkDocStyle 48" xfId="510"/>
    <cellStyle name="IvkDocStyle 49" xfId="511"/>
    <cellStyle name="IvkDocStyle 5" xfId="512"/>
    <cellStyle name="IvkDocStyle 5 2" xfId="600"/>
    <cellStyle name="IvkDocStyle 50" xfId="513"/>
    <cellStyle name="IvkDocStyle 51" xfId="514"/>
    <cellStyle name="IvkDocStyle 52" xfId="515"/>
    <cellStyle name="IvkDocStyle 53" xfId="516"/>
    <cellStyle name="IvkDocStyle 54" xfId="517"/>
    <cellStyle name="IvkDocStyle 55" xfId="518"/>
    <cellStyle name="IvkDocStyle 56" xfId="519"/>
    <cellStyle name="IvkDocStyle 57" xfId="520"/>
    <cellStyle name="IvkDocStyle 58" xfId="521"/>
    <cellStyle name="IvkDocStyle 59" xfId="522"/>
    <cellStyle name="IvkDocStyle 6" xfId="523"/>
    <cellStyle name="IvkDocStyle 6 2" xfId="601"/>
    <cellStyle name="IvkDocStyle 60" xfId="524"/>
    <cellStyle name="IvkDocStyle 61" xfId="525"/>
    <cellStyle name="IvkDocStyle 62" xfId="526"/>
    <cellStyle name="IvkDocStyle 63" xfId="527"/>
    <cellStyle name="IvkDocStyle 64" xfId="528"/>
    <cellStyle name="IvkDocStyle 65" xfId="529"/>
    <cellStyle name="IvkDocStyle 66" xfId="530"/>
    <cellStyle name="IvkDocStyle 67" xfId="531"/>
    <cellStyle name="IvkDocStyle 68" xfId="532"/>
    <cellStyle name="IvkDocStyle 69" xfId="533"/>
    <cellStyle name="IvkDocStyle 7" xfId="534"/>
    <cellStyle name="IvkDocStyle 7 2" xfId="602"/>
    <cellStyle name="IvkDocStyle 70" xfId="535"/>
    <cellStyle name="IvkDocStyle 71" xfId="536"/>
    <cellStyle name="IvkDocStyle 72" xfId="537"/>
    <cellStyle name="IvkDocStyle 73" xfId="538"/>
    <cellStyle name="IvkDocStyle 74" xfId="539"/>
    <cellStyle name="IvkDocStyle 75" xfId="540"/>
    <cellStyle name="IvkDocStyle 76" xfId="541"/>
    <cellStyle name="IvkDocStyle 77" xfId="542"/>
    <cellStyle name="IvkDocStyle 78" xfId="543"/>
    <cellStyle name="IvkDocStyle 79" xfId="544"/>
    <cellStyle name="IvkDocStyle 8" xfId="545"/>
    <cellStyle name="IvkDocStyle 80" xfId="546"/>
    <cellStyle name="IvkDocStyle 81" xfId="547"/>
    <cellStyle name="IvkDocStyle 82" xfId="548"/>
    <cellStyle name="IvkDocStyle 83" xfId="549"/>
    <cellStyle name="IvkDocStyle 84" xfId="550"/>
    <cellStyle name="IvkDocStyle 85" xfId="551"/>
    <cellStyle name="IvkDocStyle 86" xfId="552"/>
    <cellStyle name="IvkDocStyle 87" xfId="553"/>
    <cellStyle name="IvkDocStyle 88" xfId="554"/>
    <cellStyle name="IvkDocStyle 89" xfId="555"/>
    <cellStyle name="IvkDocStyle 9" xfId="556"/>
    <cellStyle name="IvkDocStyle 9 2" xfId="603"/>
    <cellStyle name="IvkDocStyle 90" xfId="557"/>
    <cellStyle name="IvkDocStyle 91" xfId="558"/>
    <cellStyle name="IvkDocStyle 92" xfId="559"/>
    <cellStyle name="IvkDocStyle 93" xfId="560"/>
    <cellStyle name="IvkDocStyle 94" xfId="561"/>
    <cellStyle name="IvkDocStyle 95" xfId="562"/>
    <cellStyle name="IvkDocStyle 96" xfId="563"/>
    <cellStyle name="IvkDocStyle 97" xfId="564"/>
    <cellStyle name="IvkDocStyle 98" xfId="565"/>
    <cellStyle name="IvkDocStyle 99" xfId="566"/>
    <cellStyle name="Normal 2" xfId="606"/>
    <cellStyle name="Normal 3" xfId="613"/>
    <cellStyle name="Normal_Cost Plan Alupka -- Notes -- Issue 1" xfId="620"/>
    <cellStyle name="TableStyleLight1" xfId="102"/>
    <cellStyle name="TableStyleLight1 2" xfId="630"/>
    <cellStyle name="TableStyleLight1_первоначальные работы" xfId="607"/>
    <cellStyle name="Гиперссылка" xfId="8870"/>
    <cellStyle name="Гиперссылка 2" xfId="8871"/>
    <cellStyle name="Денежный 2" xfId="101"/>
    <cellStyle name="Денежный 3" xfId="4335"/>
    <cellStyle name="Денежный 4" xfId="8758"/>
    <cellStyle name="Денежный 5" xfId="1055"/>
    <cellStyle name="Звичайний_Лист 1" xfId="8779"/>
    <cellStyle name="Обычный" xfId="0" builtinId="0"/>
    <cellStyle name="Обычный 10" xfId="106"/>
    <cellStyle name="Обычный 10 10" xfId="2241"/>
    <cellStyle name="Обычный 10 10 2" xfId="6092"/>
    <cellStyle name="Обычный 10 11" xfId="2537"/>
    <cellStyle name="Обычный 10 11 2" xfId="6388"/>
    <cellStyle name="Обычный 10 12" xfId="2833"/>
    <cellStyle name="Обычный 10 12 2" xfId="6684"/>
    <cellStyle name="Обычный 10 13" xfId="3129"/>
    <cellStyle name="Обычный 10 13 2" xfId="6980"/>
    <cellStyle name="Обычный 10 14" xfId="3425"/>
    <cellStyle name="Обычный 10 14 2" xfId="7276"/>
    <cellStyle name="Обычный 10 15" xfId="3721"/>
    <cellStyle name="Обычный 10 15 2" xfId="7572"/>
    <cellStyle name="Обычный 10 16" xfId="4017"/>
    <cellStyle name="Обычный 10 16 2" xfId="7868"/>
    <cellStyle name="Обычный 10 17" xfId="8164"/>
    <cellStyle name="Обычный 10 18" xfId="4313"/>
    <cellStyle name="Обычный 10 2" xfId="159"/>
    <cellStyle name="Обычный 10 2 10" xfId="2881"/>
    <cellStyle name="Обычный 10 2 10 2" xfId="6732"/>
    <cellStyle name="Обычный 10 2 11" xfId="3177"/>
    <cellStyle name="Обычный 10 2 11 2" xfId="7028"/>
    <cellStyle name="Обычный 10 2 12" xfId="3473"/>
    <cellStyle name="Обычный 10 2 12 2" xfId="7324"/>
    <cellStyle name="Обычный 10 2 13" xfId="3769"/>
    <cellStyle name="Обычный 10 2 13 2" xfId="7620"/>
    <cellStyle name="Обычный 10 2 14" xfId="4065"/>
    <cellStyle name="Обычный 10 2 14 2" xfId="7916"/>
    <cellStyle name="Обычный 10 2 15" xfId="8214"/>
    <cellStyle name="Обычный 10 2 16" xfId="4362"/>
    <cellStyle name="Обычный 10 2 17" xfId="8802"/>
    <cellStyle name="Обычный 10 2 18" xfId="8806"/>
    <cellStyle name="Обычный 10 2 2" xfId="262"/>
    <cellStyle name="Обычный 10 2 2 10" xfId="3325"/>
    <cellStyle name="Обычный 10 2 2 10 2" xfId="7176"/>
    <cellStyle name="Обычный 10 2 2 11" xfId="3621"/>
    <cellStyle name="Обычный 10 2 2 11 2" xfId="7472"/>
    <cellStyle name="Обычный 10 2 2 12" xfId="3917"/>
    <cellStyle name="Обычный 10 2 2 12 2" xfId="7768"/>
    <cellStyle name="Обычный 10 2 2 13" xfId="4213"/>
    <cellStyle name="Обычный 10 2 2 13 2" xfId="8064"/>
    <cellStyle name="Обычный 10 2 2 14" xfId="8315"/>
    <cellStyle name="Обычный 10 2 2 15" xfId="4512"/>
    <cellStyle name="Обычный 10 2 2 2" xfId="726"/>
    <cellStyle name="Обычный 10 2 2 2 2" xfId="1051"/>
    <cellStyle name="Обычный 10 2 2 2 3" xfId="4808"/>
    <cellStyle name="Обычный 10 2 2 3" xfId="1270"/>
    <cellStyle name="Обычный 10 2 2 3 2" xfId="5104"/>
    <cellStyle name="Обычный 10 2 2 4" xfId="1556"/>
    <cellStyle name="Обычный 10 2 2 4 2" xfId="5400"/>
    <cellStyle name="Обычный 10 2 2 5" xfId="1849"/>
    <cellStyle name="Обычный 10 2 2 5 2" xfId="5696"/>
    <cellStyle name="Обычный 10 2 2 6" xfId="2142"/>
    <cellStyle name="Обычный 10 2 2 6 2" xfId="5992"/>
    <cellStyle name="Обычный 10 2 2 7" xfId="2437"/>
    <cellStyle name="Обычный 10 2 2 7 2" xfId="6288"/>
    <cellStyle name="Обычный 10 2 2 8" xfId="2733"/>
    <cellStyle name="Обычный 10 2 2 8 2" xfId="6584"/>
    <cellStyle name="Обычный 10 2 2 9" xfId="3029"/>
    <cellStyle name="Обычный 10 2 2 9 2" xfId="6880"/>
    <cellStyle name="Обычный 10 2 3" xfId="363"/>
    <cellStyle name="Обычный 10 2 3 2" xfId="727"/>
    <cellStyle name="Обычный 10 2 3 3" xfId="8415"/>
    <cellStyle name="Обычный 10 2 3 4" xfId="4660"/>
    <cellStyle name="Обычный 10 2 4" xfId="629"/>
    <cellStyle name="Обычный 10 2 4 2" xfId="8463"/>
    <cellStyle name="Обычный 10 2 4 3" xfId="4956"/>
    <cellStyle name="Обычный 10 2 5" xfId="1412"/>
    <cellStyle name="Обычный 10 2 5 2" xfId="5252"/>
    <cellStyle name="Обычный 10 2 6" xfId="1702"/>
    <cellStyle name="Обычный 10 2 6 2" xfId="5548"/>
    <cellStyle name="Обычный 10 2 7" xfId="1050"/>
    <cellStyle name="Обычный 10 2 7 2" xfId="5844"/>
    <cellStyle name="Обычный 10 2 8" xfId="2289"/>
    <cellStyle name="Обычный 10 2 8 2" xfId="6140"/>
    <cellStyle name="Обычный 10 2 9" xfId="2585"/>
    <cellStyle name="Обычный 10 2 9 2" xfId="6436"/>
    <cellStyle name="Обычный 10 3" xfId="212"/>
    <cellStyle name="Обычный 10 3 10" xfId="2931"/>
    <cellStyle name="Обычный 10 3 10 2" xfId="6782"/>
    <cellStyle name="Обычный 10 3 11" xfId="3227"/>
    <cellStyle name="Обычный 10 3 11 2" xfId="7078"/>
    <cellStyle name="Обычный 10 3 12" xfId="3523"/>
    <cellStyle name="Обычный 10 3 12 2" xfId="7374"/>
    <cellStyle name="Обычный 10 3 13" xfId="3819"/>
    <cellStyle name="Обычный 10 3 13 2" xfId="7670"/>
    <cellStyle name="Обычный 10 3 14" xfId="4115"/>
    <cellStyle name="Обычный 10 3 14 2" xfId="7966"/>
    <cellStyle name="Обычный 10 3 15" xfId="8265"/>
    <cellStyle name="Обычный 10 3 16" xfId="4413"/>
    <cellStyle name="Обычный 10 3 2" xfId="626"/>
    <cellStyle name="Обычный 10 3 2 10" xfId="3375"/>
    <cellStyle name="Обычный 10 3 2 10 2" xfId="7226"/>
    <cellStyle name="Обычный 10 3 2 11" xfId="3671"/>
    <cellStyle name="Обычный 10 3 2 11 2" xfId="7522"/>
    <cellStyle name="Обычный 10 3 2 12" xfId="3967"/>
    <cellStyle name="Обычный 10 3 2 12 2" xfId="7818"/>
    <cellStyle name="Обычный 10 3 2 13" xfId="4263"/>
    <cellStyle name="Обычный 10 3 2 13 2" xfId="8114"/>
    <cellStyle name="Обычный 10 3 2 14" xfId="8460"/>
    <cellStyle name="Обычный 10 3 2 15" xfId="4562"/>
    <cellStyle name="Обычный 10 3 2 2" xfId="1129"/>
    <cellStyle name="Обычный 10 3 2 2 2" xfId="4858"/>
    <cellStyle name="Обычный 10 3 2 3" xfId="1318"/>
    <cellStyle name="Обычный 10 3 2 3 2" xfId="5154"/>
    <cellStyle name="Обычный 10 3 2 4" xfId="1605"/>
    <cellStyle name="Обычный 10 3 2 4 2" xfId="5450"/>
    <cellStyle name="Обычный 10 3 2 5" xfId="1898"/>
    <cellStyle name="Обычный 10 3 2 5 2" xfId="5746"/>
    <cellStyle name="Обычный 10 3 2 6" xfId="2192"/>
    <cellStyle name="Обычный 10 3 2 6 2" xfId="6042"/>
    <cellStyle name="Обычный 10 3 2 7" xfId="2487"/>
    <cellStyle name="Обычный 10 3 2 7 2" xfId="6338"/>
    <cellStyle name="Обычный 10 3 2 8" xfId="2783"/>
    <cellStyle name="Обычный 10 3 2 8 2" xfId="6634"/>
    <cellStyle name="Обычный 10 3 2 9" xfId="3079"/>
    <cellStyle name="Обычный 10 3 2 9 2" xfId="6930"/>
    <cellStyle name="Обычный 10 3 3" xfId="1082"/>
    <cellStyle name="Обычный 10 3 3 2" xfId="4710"/>
    <cellStyle name="Обычный 10 3 4" xfId="1176"/>
    <cellStyle name="Обычный 10 3 4 2" xfId="5006"/>
    <cellStyle name="Обычный 10 3 5" xfId="1460"/>
    <cellStyle name="Обычный 10 3 5 2" xfId="5302"/>
    <cellStyle name="Обычный 10 3 6" xfId="1751"/>
    <cellStyle name="Обычный 10 3 6 2" xfId="5598"/>
    <cellStyle name="Обычный 10 3 7" xfId="2044"/>
    <cellStyle name="Обычный 10 3 7 2" xfId="5894"/>
    <cellStyle name="Обычный 10 3 8" xfId="2339"/>
    <cellStyle name="Обычный 10 3 8 2" xfId="6190"/>
    <cellStyle name="Обычный 10 3 9" xfId="2635"/>
    <cellStyle name="Обычный 10 3 9 2" xfId="6486"/>
    <cellStyle name="Обычный 10 4" xfId="313"/>
    <cellStyle name="Обычный 10 4 10" xfId="3277"/>
    <cellStyle name="Обычный 10 4 10 2" xfId="7128"/>
    <cellStyle name="Обычный 10 4 11" xfId="3573"/>
    <cellStyle name="Обычный 10 4 11 2" xfId="7424"/>
    <cellStyle name="Обычный 10 4 12" xfId="3869"/>
    <cellStyle name="Обычный 10 4 12 2" xfId="7720"/>
    <cellStyle name="Обычный 10 4 13" xfId="4165"/>
    <cellStyle name="Обычный 10 4 13 2" xfId="8016"/>
    <cellStyle name="Обычный 10 4 14" xfId="8365"/>
    <cellStyle name="Обычный 10 4 15" xfId="4464"/>
    <cellStyle name="Обычный 10 4 2" xfId="678"/>
    <cellStyle name="Обычный 10 4 2 2" xfId="8482"/>
    <cellStyle name="Обычный 10 4 2 3" xfId="4760"/>
    <cellStyle name="Обычный 10 4 3" xfId="1224"/>
    <cellStyle name="Обычный 10 4 3 2" xfId="5056"/>
    <cellStyle name="Обычный 10 4 4" xfId="1509"/>
    <cellStyle name="Обычный 10 4 4 2" xfId="5352"/>
    <cellStyle name="Обычный 10 4 5" xfId="1801"/>
    <cellStyle name="Обычный 10 4 5 2" xfId="5648"/>
    <cellStyle name="Обычный 10 4 6" xfId="2094"/>
    <cellStyle name="Обычный 10 4 6 2" xfId="5944"/>
    <cellStyle name="Обычный 10 4 7" xfId="2389"/>
    <cellStyle name="Обычный 10 4 7 2" xfId="6240"/>
    <cellStyle name="Обычный 10 4 8" xfId="2685"/>
    <cellStyle name="Обычный 10 4 8 2" xfId="6536"/>
    <cellStyle name="Обычный 10 4 9" xfId="2981"/>
    <cellStyle name="Обычный 10 4 9 2" xfId="6832"/>
    <cellStyle name="Обычный 10 5" xfId="406"/>
    <cellStyle name="Обычный 10 5 2" xfId="8449"/>
    <cellStyle name="Обычный 10 5 3" xfId="4612"/>
    <cellStyle name="Обычный 10 6" xfId="728"/>
    <cellStyle name="Обычный 10 6 2" xfId="8500"/>
    <cellStyle name="Обычный 10 6 3" xfId="4908"/>
    <cellStyle name="Обычный 10 7" xfId="1365"/>
    <cellStyle name="Обычный 10 7 2" xfId="5204"/>
    <cellStyle name="Обычный 10 8" xfId="1654"/>
    <cellStyle name="Обычный 10 8 2" xfId="5500"/>
    <cellStyle name="Обычный 10 9" xfId="1947"/>
    <cellStyle name="Обычный 10 9 2" xfId="5796"/>
    <cellStyle name="Обычный 11" xfId="56"/>
    <cellStyle name="Обычный 11 10" xfId="1927"/>
    <cellStyle name="Обычный 11 10 2" xfId="5775"/>
    <cellStyle name="Обычный 11 10 3" xfId="8848"/>
    <cellStyle name="Обычный 11 11" xfId="2221"/>
    <cellStyle name="Обычный 11 11 2" xfId="6071"/>
    <cellStyle name="Обычный 11 11 3" xfId="8850"/>
    <cellStyle name="Обычный 11 12" xfId="2516"/>
    <cellStyle name="Обычный 11 12 2" xfId="6367"/>
    <cellStyle name="Обычный 11 12 3" xfId="8852"/>
    <cellStyle name="Обычный 11 13" xfId="2812"/>
    <cellStyle name="Обычный 11 13 2" xfId="6663"/>
    <cellStyle name="Обычный 11 14" xfId="3108"/>
    <cellStyle name="Обычный 11 14 2" xfId="6959"/>
    <cellStyle name="Обычный 11 15" xfId="3404"/>
    <cellStyle name="Обычный 11 15 2" xfId="7255"/>
    <cellStyle name="Обычный 11 16" xfId="3700"/>
    <cellStyle name="Обычный 11 16 2" xfId="7551"/>
    <cellStyle name="Обычный 11 17" xfId="3996"/>
    <cellStyle name="Обычный 11 17 2" xfId="7847"/>
    <cellStyle name="Обычный 11 18" xfId="8143"/>
    <cellStyle name="Обычный 11 19" xfId="4292"/>
    <cellStyle name="Обычный 11 2" xfId="107"/>
    <cellStyle name="Обычный 11 2 10" xfId="2242"/>
    <cellStyle name="Обычный 11 2 10 2" xfId="6093"/>
    <cellStyle name="Обычный 11 2 11" xfId="2538"/>
    <cellStyle name="Обычный 11 2 11 2" xfId="6389"/>
    <cellStyle name="Обычный 11 2 12" xfId="2834"/>
    <cellStyle name="Обычный 11 2 12 2" xfId="6685"/>
    <cellStyle name="Обычный 11 2 13" xfId="3130"/>
    <cellStyle name="Обычный 11 2 13 2" xfId="6981"/>
    <cellStyle name="Обычный 11 2 14" xfId="3426"/>
    <cellStyle name="Обычный 11 2 14 2" xfId="7277"/>
    <cellStyle name="Обычный 11 2 15" xfId="3722"/>
    <cellStyle name="Обычный 11 2 15 2" xfId="7573"/>
    <cellStyle name="Обычный 11 2 16" xfId="4018"/>
    <cellStyle name="Обычный 11 2 16 2" xfId="7869"/>
    <cellStyle name="Обычный 11 2 17" xfId="8165"/>
    <cellStyle name="Обычный 11 2 18" xfId="4314"/>
    <cellStyle name="Обычный 11 2 2" xfId="160"/>
    <cellStyle name="Обычный 11 2 2 10" xfId="2882"/>
    <cellStyle name="Обычный 11 2 2 10 2" xfId="6733"/>
    <cellStyle name="Обычный 11 2 2 11" xfId="3178"/>
    <cellStyle name="Обычный 11 2 2 11 2" xfId="7029"/>
    <cellStyle name="Обычный 11 2 2 12" xfId="3474"/>
    <cellStyle name="Обычный 11 2 2 12 2" xfId="7325"/>
    <cellStyle name="Обычный 11 2 2 13" xfId="3770"/>
    <cellStyle name="Обычный 11 2 2 13 2" xfId="7621"/>
    <cellStyle name="Обычный 11 2 2 14" xfId="4066"/>
    <cellStyle name="Обычный 11 2 2 14 2" xfId="7917"/>
    <cellStyle name="Обычный 11 2 2 15" xfId="8215"/>
    <cellStyle name="Обычный 11 2 2 16" xfId="4363"/>
    <cellStyle name="Обычный 11 2 2 2" xfId="263"/>
    <cellStyle name="Обычный 11 2 2 2 10" xfId="3326"/>
    <cellStyle name="Обычный 11 2 2 2 10 2" xfId="7177"/>
    <cellStyle name="Обычный 11 2 2 2 11" xfId="3622"/>
    <cellStyle name="Обычный 11 2 2 2 11 2" xfId="7473"/>
    <cellStyle name="Обычный 11 2 2 2 12" xfId="3918"/>
    <cellStyle name="Обычный 11 2 2 2 12 2" xfId="7769"/>
    <cellStyle name="Обычный 11 2 2 2 13" xfId="4214"/>
    <cellStyle name="Обычный 11 2 2 2 13 2" xfId="8065"/>
    <cellStyle name="Обычный 11 2 2 2 14" xfId="8316"/>
    <cellStyle name="Обычный 11 2 2 2 15" xfId="4513"/>
    <cellStyle name="Обычный 11 2 2 2 2" xfId="729"/>
    <cellStyle name="Обычный 11 2 2 2 2 2" xfId="8501"/>
    <cellStyle name="Обычный 11 2 2 2 2 3" xfId="4809"/>
    <cellStyle name="Обычный 11 2 2 2 3" xfId="1271"/>
    <cellStyle name="Обычный 11 2 2 2 3 2" xfId="5105"/>
    <cellStyle name="Обычный 11 2 2 2 4" xfId="1557"/>
    <cellStyle name="Обычный 11 2 2 2 4 2" xfId="5401"/>
    <cellStyle name="Обычный 11 2 2 2 5" xfId="1850"/>
    <cellStyle name="Обычный 11 2 2 2 5 2" xfId="5697"/>
    <cellStyle name="Обычный 11 2 2 2 6" xfId="2143"/>
    <cellStyle name="Обычный 11 2 2 2 6 2" xfId="5993"/>
    <cellStyle name="Обычный 11 2 2 2 7" xfId="2438"/>
    <cellStyle name="Обычный 11 2 2 2 7 2" xfId="6289"/>
    <cellStyle name="Обычный 11 2 2 2 8" xfId="2734"/>
    <cellStyle name="Обычный 11 2 2 2 8 2" xfId="6585"/>
    <cellStyle name="Обычный 11 2 2 2 9" xfId="3030"/>
    <cellStyle name="Обычный 11 2 2 2 9 2" xfId="6881"/>
    <cellStyle name="Обычный 11 2 2 3" xfId="364"/>
    <cellStyle name="Обычный 11 2 2 3 2" xfId="730"/>
    <cellStyle name="Обычный 11 2 2 3 3" xfId="8416"/>
    <cellStyle name="Обычный 11 2 2 3 4" xfId="4661"/>
    <cellStyle name="Обычный 11 2 2 4" xfId="731"/>
    <cellStyle name="Обычный 11 2 2 4 2" xfId="8502"/>
    <cellStyle name="Обычный 11 2 2 4 3" xfId="4957"/>
    <cellStyle name="Обычный 11 2 2 5" xfId="1413"/>
    <cellStyle name="Обычный 11 2 2 5 2" xfId="5253"/>
    <cellStyle name="Обычный 11 2 2 6" xfId="1703"/>
    <cellStyle name="Обычный 11 2 2 6 2" xfId="5549"/>
    <cellStyle name="Обычный 11 2 2 7" xfId="1995"/>
    <cellStyle name="Обычный 11 2 2 7 2" xfId="5845"/>
    <cellStyle name="Обычный 11 2 2 8" xfId="2290"/>
    <cellStyle name="Обычный 11 2 2 8 2" xfId="6141"/>
    <cellStyle name="Обычный 11 2 2 9" xfId="2586"/>
    <cellStyle name="Обычный 11 2 2 9 2" xfId="6437"/>
    <cellStyle name="Обычный 11 2 3" xfId="213"/>
    <cellStyle name="Обычный 11 2 3 10" xfId="2932"/>
    <cellStyle name="Обычный 11 2 3 10 2" xfId="6783"/>
    <cellStyle name="Обычный 11 2 3 11" xfId="3228"/>
    <cellStyle name="Обычный 11 2 3 11 2" xfId="7079"/>
    <cellStyle name="Обычный 11 2 3 12" xfId="3524"/>
    <cellStyle name="Обычный 11 2 3 12 2" xfId="7375"/>
    <cellStyle name="Обычный 11 2 3 13" xfId="3820"/>
    <cellStyle name="Обычный 11 2 3 13 2" xfId="7671"/>
    <cellStyle name="Обычный 11 2 3 14" xfId="4116"/>
    <cellStyle name="Обычный 11 2 3 14 2" xfId="7967"/>
    <cellStyle name="Обычный 11 2 3 15" xfId="8266"/>
    <cellStyle name="Обычный 11 2 3 16" xfId="4414"/>
    <cellStyle name="Обычный 11 2 3 2" xfId="732"/>
    <cellStyle name="Обычный 11 2 3 2 10" xfId="3376"/>
    <cellStyle name="Обычный 11 2 3 2 10 2" xfId="7227"/>
    <cellStyle name="Обычный 11 2 3 2 11" xfId="3672"/>
    <cellStyle name="Обычный 11 2 3 2 11 2" xfId="7523"/>
    <cellStyle name="Обычный 11 2 3 2 12" xfId="3968"/>
    <cellStyle name="Обычный 11 2 3 2 12 2" xfId="7819"/>
    <cellStyle name="Обычный 11 2 3 2 13" xfId="4264"/>
    <cellStyle name="Обычный 11 2 3 2 13 2" xfId="8115"/>
    <cellStyle name="Обычный 11 2 3 2 14" xfId="8503"/>
    <cellStyle name="Обычный 11 2 3 2 15" xfId="4563"/>
    <cellStyle name="Обычный 11 2 3 2 2" xfId="1130"/>
    <cellStyle name="Обычный 11 2 3 2 2 2" xfId="4859"/>
    <cellStyle name="Обычный 11 2 3 2 3" xfId="1319"/>
    <cellStyle name="Обычный 11 2 3 2 3 2" xfId="5155"/>
    <cellStyle name="Обычный 11 2 3 2 4" xfId="1606"/>
    <cellStyle name="Обычный 11 2 3 2 4 2" xfId="5451"/>
    <cellStyle name="Обычный 11 2 3 2 5" xfId="1899"/>
    <cellStyle name="Обычный 11 2 3 2 5 2" xfId="5747"/>
    <cellStyle name="Обычный 11 2 3 2 6" xfId="2193"/>
    <cellStyle name="Обычный 11 2 3 2 6 2" xfId="6043"/>
    <cellStyle name="Обычный 11 2 3 2 7" xfId="2488"/>
    <cellStyle name="Обычный 11 2 3 2 7 2" xfId="6339"/>
    <cellStyle name="Обычный 11 2 3 2 8" xfId="2784"/>
    <cellStyle name="Обычный 11 2 3 2 8 2" xfId="6635"/>
    <cellStyle name="Обычный 11 2 3 2 9" xfId="3080"/>
    <cellStyle name="Обычный 11 2 3 2 9 2" xfId="6931"/>
    <cellStyle name="Обычный 11 2 3 3" xfId="1083"/>
    <cellStyle name="Обычный 11 2 3 3 2" xfId="4711"/>
    <cellStyle name="Обычный 11 2 3 4" xfId="1177"/>
    <cellStyle name="Обычный 11 2 3 4 2" xfId="5007"/>
    <cellStyle name="Обычный 11 2 3 5" xfId="1461"/>
    <cellStyle name="Обычный 11 2 3 5 2" xfId="5303"/>
    <cellStyle name="Обычный 11 2 3 6" xfId="1752"/>
    <cellStyle name="Обычный 11 2 3 6 2" xfId="5599"/>
    <cellStyle name="Обычный 11 2 3 7" xfId="2045"/>
    <cellStyle name="Обычный 11 2 3 7 2" xfId="5895"/>
    <cellStyle name="Обычный 11 2 3 8" xfId="2340"/>
    <cellStyle name="Обычный 11 2 3 8 2" xfId="6191"/>
    <cellStyle name="Обычный 11 2 3 9" xfId="2636"/>
    <cellStyle name="Обычный 11 2 3 9 2" xfId="6487"/>
    <cellStyle name="Обычный 11 2 4" xfId="314"/>
    <cellStyle name="Обычный 11 2 4 10" xfId="3278"/>
    <cellStyle name="Обычный 11 2 4 10 2" xfId="7129"/>
    <cellStyle name="Обычный 11 2 4 11" xfId="3574"/>
    <cellStyle name="Обычный 11 2 4 11 2" xfId="7425"/>
    <cellStyle name="Обычный 11 2 4 12" xfId="3870"/>
    <cellStyle name="Обычный 11 2 4 12 2" xfId="7721"/>
    <cellStyle name="Обычный 11 2 4 13" xfId="4166"/>
    <cellStyle name="Обычный 11 2 4 13 2" xfId="8017"/>
    <cellStyle name="Обычный 11 2 4 14" xfId="8366"/>
    <cellStyle name="Обычный 11 2 4 15" xfId="4465"/>
    <cellStyle name="Обычный 11 2 4 2" xfId="733"/>
    <cellStyle name="Обычный 11 2 4 2 2" xfId="8504"/>
    <cellStyle name="Обычный 11 2 4 2 3" xfId="4761"/>
    <cellStyle name="Обычный 11 2 4 3" xfId="1225"/>
    <cellStyle name="Обычный 11 2 4 3 2" xfId="5057"/>
    <cellStyle name="Обычный 11 2 4 4" xfId="1510"/>
    <cellStyle name="Обычный 11 2 4 4 2" xfId="5353"/>
    <cellStyle name="Обычный 11 2 4 5" xfId="1802"/>
    <cellStyle name="Обычный 11 2 4 5 2" xfId="5649"/>
    <cellStyle name="Обычный 11 2 4 6" xfId="2095"/>
    <cellStyle name="Обычный 11 2 4 6 2" xfId="5945"/>
    <cellStyle name="Обычный 11 2 4 7" xfId="2390"/>
    <cellStyle name="Обычный 11 2 4 7 2" xfId="6241"/>
    <cellStyle name="Обычный 11 2 4 8" xfId="2686"/>
    <cellStyle name="Обычный 11 2 4 8 2" xfId="6537"/>
    <cellStyle name="Обычный 11 2 4 9" xfId="2982"/>
    <cellStyle name="Обычный 11 2 4 9 2" xfId="6833"/>
    <cellStyle name="Обычный 11 2 5" xfId="627"/>
    <cellStyle name="Обычный 11 2 5 2" xfId="8461"/>
    <cellStyle name="Обычный 11 2 5 3" xfId="4613"/>
    <cellStyle name="Обычный 11 2 6" xfId="734"/>
    <cellStyle name="Обычный 11 2 6 2" xfId="8505"/>
    <cellStyle name="Обычный 11 2 6 3" xfId="4909"/>
    <cellStyle name="Обычный 11 2 7" xfId="1366"/>
    <cellStyle name="Обычный 11 2 7 2" xfId="5205"/>
    <cellStyle name="Обычный 11 2 8" xfId="1655"/>
    <cellStyle name="Обычный 11 2 8 2" xfId="5501"/>
    <cellStyle name="Обычный 11 2 9" xfId="1948"/>
    <cellStyle name="Обычный 11 2 9 2" xfId="5797"/>
    <cellStyle name="Обычный 11 20" xfId="8857"/>
    <cellStyle name="Обычный 11 3" xfId="138"/>
    <cellStyle name="Обычный 11 3 10" xfId="2860"/>
    <cellStyle name="Обычный 11 3 10 2" xfId="6711"/>
    <cellStyle name="Обычный 11 3 11" xfId="3156"/>
    <cellStyle name="Обычный 11 3 11 2" xfId="7007"/>
    <cellStyle name="Обычный 11 3 12" xfId="3452"/>
    <cellStyle name="Обычный 11 3 12 2" xfId="7303"/>
    <cellStyle name="Обычный 11 3 13" xfId="3748"/>
    <cellStyle name="Обычный 11 3 13 2" xfId="7599"/>
    <cellStyle name="Обычный 11 3 14" xfId="4044"/>
    <cellStyle name="Обычный 11 3 14 2" xfId="7895"/>
    <cellStyle name="Обычный 11 3 15" xfId="8193"/>
    <cellStyle name="Обычный 11 3 16" xfId="4341"/>
    <cellStyle name="Обычный 11 3 17" xfId="8833"/>
    <cellStyle name="Обычный 11 3 2" xfId="241"/>
    <cellStyle name="Обычный 11 3 2 10" xfId="3304"/>
    <cellStyle name="Обычный 11 3 2 10 2" xfId="7155"/>
    <cellStyle name="Обычный 11 3 2 11" xfId="3600"/>
    <cellStyle name="Обычный 11 3 2 11 2" xfId="7451"/>
    <cellStyle name="Обычный 11 3 2 12" xfId="3896"/>
    <cellStyle name="Обычный 11 3 2 12 2" xfId="7747"/>
    <cellStyle name="Обычный 11 3 2 13" xfId="4192"/>
    <cellStyle name="Обычный 11 3 2 13 2" xfId="8043"/>
    <cellStyle name="Обычный 11 3 2 14" xfId="8294"/>
    <cellStyle name="Обычный 11 3 2 15" xfId="4491"/>
    <cellStyle name="Обычный 11 3 2 2" xfId="735"/>
    <cellStyle name="Обычный 11 3 2 2 2" xfId="8506"/>
    <cellStyle name="Обычный 11 3 2 2 3" xfId="4787"/>
    <cellStyle name="Обычный 11 3 2 3" xfId="1250"/>
    <cellStyle name="Обычный 11 3 2 3 2" xfId="5083"/>
    <cellStyle name="Обычный 11 3 2 4" xfId="1536"/>
    <cellStyle name="Обычный 11 3 2 4 2" xfId="5379"/>
    <cellStyle name="Обычный 11 3 2 5" xfId="1828"/>
    <cellStyle name="Обычный 11 3 2 5 2" xfId="5675"/>
    <cellStyle name="Обычный 11 3 2 6" xfId="2121"/>
    <cellStyle name="Обычный 11 3 2 6 2" xfId="5971"/>
    <cellStyle name="Обычный 11 3 2 7" xfId="2416"/>
    <cellStyle name="Обычный 11 3 2 7 2" xfId="6267"/>
    <cellStyle name="Обычный 11 3 2 8" xfId="2712"/>
    <cellStyle name="Обычный 11 3 2 8 2" xfId="6563"/>
    <cellStyle name="Обычный 11 3 2 9" xfId="3008"/>
    <cellStyle name="Обычный 11 3 2 9 2" xfId="6859"/>
    <cellStyle name="Обычный 11 3 3" xfId="342"/>
    <cellStyle name="Обычный 11 3 3 2" xfId="736"/>
    <cellStyle name="Обычный 11 3 3 3" xfId="8394"/>
    <cellStyle name="Обычный 11 3 3 4" xfId="4639"/>
    <cellStyle name="Обычный 11 3 4" xfId="737"/>
    <cellStyle name="Обычный 11 3 4 2" xfId="8507"/>
    <cellStyle name="Обычный 11 3 4 3" xfId="4935"/>
    <cellStyle name="Обычный 11 3 5" xfId="1392"/>
    <cellStyle name="Обычный 11 3 5 2" xfId="5231"/>
    <cellStyle name="Обычный 11 3 6" xfId="1681"/>
    <cellStyle name="Обычный 11 3 6 2" xfId="5527"/>
    <cellStyle name="Обычный 11 3 7" xfId="1974"/>
    <cellStyle name="Обычный 11 3 7 2" xfId="5823"/>
    <cellStyle name="Обычный 11 3 8" xfId="2268"/>
    <cellStyle name="Обычный 11 3 8 2" xfId="6119"/>
    <cellStyle name="Обычный 11 3 9" xfId="2564"/>
    <cellStyle name="Обычный 11 3 9 2" xfId="6415"/>
    <cellStyle name="Обычный 11 4" xfId="191"/>
    <cellStyle name="Обычный 11 4 10" xfId="2910"/>
    <cellStyle name="Обычный 11 4 10 2" xfId="6761"/>
    <cellStyle name="Обычный 11 4 11" xfId="3206"/>
    <cellStyle name="Обычный 11 4 11 2" xfId="7057"/>
    <cellStyle name="Обычный 11 4 12" xfId="3502"/>
    <cellStyle name="Обычный 11 4 12 2" xfId="7353"/>
    <cellStyle name="Обычный 11 4 13" xfId="3798"/>
    <cellStyle name="Обычный 11 4 13 2" xfId="7649"/>
    <cellStyle name="Обычный 11 4 14" xfId="4094"/>
    <cellStyle name="Обычный 11 4 14 2" xfId="7945"/>
    <cellStyle name="Обычный 11 4 15" xfId="8244"/>
    <cellStyle name="Обычный 11 4 16" xfId="4392"/>
    <cellStyle name="Обычный 11 4 17" xfId="8838"/>
    <cellStyle name="Обычный 11 4 2" xfId="738"/>
    <cellStyle name="Обычный 11 4 2 10" xfId="3354"/>
    <cellStyle name="Обычный 11 4 2 10 2" xfId="7205"/>
    <cellStyle name="Обычный 11 4 2 11" xfId="3650"/>
    <cellStyle name="Обычный 11 4 2 11 2" xfId="7501"/>
    <cellStyle name="Обычный 11 4 2 12" xfId="3946"/>
    <cellStyle name="Обычный 11 4 2 12 2" xfId="7797"/>
    <cellStyle name="Обычный 11 4 2 13" xfId="4242"/>
    <cellStyle name="Обычный 11 4 2 13 2" xfId="8093"/>
    <cellStyle name="Обычный 11 4 2 14" xfId="8508"/>
    <cellStyle name="Обычный 11 4 2 15" xfId="4541"/>
    <cellStyle name="Обычный 11 4 2 2" xfId="1109"/>
    <cellStyle name="Обычный 11 4 2 2 2" xfId="4837"/>
    <cellStyle name="Обычный 11 4 2 3" xfId="1298"/>
    <cellStyle name="Обычный 11 4 2 3 2" xfId="5133"/>
    <cellStyle name="Обычный 11 4 2 4" xfId="1585"/>
    <cellStyle name="Обычный 11 4 2 4 2" xfId="5429"/>
    <cellStyle name="Обычный 11 4 2 5" xfId="1878"/>
    <cellStyle name="Обычный 11 4 2 5 2" xfId="5725"/>
    <cellStyle name="Обычный 11 4 2 6" xfId="2171"/>
    <cellStyle name="Обычный 11 4 2 6 2" xfId="6021"/>
    <cellStyle name="Обычный 11 4 2 7" xfId="2466"/>
    <cellStyle name="Обычный 11 4 2 7 2" xfId="6317"/>
    <cellStyle name="Обычный 11 4 2 8" xfId="2762"/>
    <cellStyle name="Обычный 11 4 2 8 2" xfId="6613"/>
    <cellStyle name="Обычный 11 4 2 9" xfId="3058"/>
    <cellStyle name="Обычный 11 4 2 9 2" xfId="6909"/>
    <cellStyle name="Обычный 11 4 3" xfId="1062"/>
    <cellStyle name="Обычный 11 4 3 2" xfId="4689"/>
    <cellStyle name="Обычный 11 4 4" xfId="1156"/>
    <cellStyle name="Обычный 11 4 4 2" xfId="4985"/>
    <cellStyle name="Обычный 11 4 5" xfId="1439"/>
    <cellStyle name="Обычный 11 4 5 2" xfId="5281"/>
    <cellStyle name="Обычный 11 4 6" xfId="1730"/>
    <cellStyle name="Обычный 11 4 6 2" xfId="5577"/>
    <cellStyle name="Обычный 11 4 7" xfId="2023"/>
    <cellStyle name="Обычный 11 4 7 2" xfId="5873"/>
    <cellStyle name="Обычный 11 4 8" xfId="2318"/>
    <cellStyle name="Обычный 11 4 8 2" xfId="6169"/>
    <cellStyle name="Обычный 11 4 9" xfId="2614"/>
    <cellStyle name="Обычный 11 4 9 2" xfId="6465"/>
    <cellStyle name="Обычный 11 5" xfId="292"/>
    <cellStyle name="Обычный 11 5 10" xfId="3256"/>
    <cellStyle name="Обычный 11 5 10 2" xfId="7107"/>
    <cellStyle name="Обычный 11 5 11" xfId="3552"/>
    <cellStyle name="Обычный 11 5 11 2" xfId="7403"/>
    <cellStyle name="Обычный 11 5 12" xfId="3848"/>
    <cellStyle name="Обычный 11 5 12 2" xfId="7699"/>
    <cellStyle name="Обычный 11 5 13" xfId="4144"/>
    <cellStyle name="Обычный 11 5 13 2" xfId="7995"/>
    <cellStyle name="Обычный 11 5 14" xfId="8344"/>
    <cellStyle name="Обычный 11 5 15" xfId="4443"/>
    <cellStyle name="Обычный 11 5 16" xfId="8840"/>
    <cellStyle name="Обычный 11 5 2" xfId="739"/>
    <cellStyle name="Обычный 11 5 2 2" xfId="8509"/>
    <cellStyle name="Обычный 11 5 2 3" xfId="4739"/>
    <cellStyle name="Обычный 11 5 3" xfId="1203"/>
    <cellStyle name="Обычный 11 5 3 2" xfId="5035"/>
    <cellStyle name="Обычный 11 5 4" xfId="1488"/>
    <cellStyle name="Обычный 11 5 4 2" xfId="5331"/>
    <cellStyle name="Обычный 11 5 5" xfId="1780"/>
    <cellStyle name="Обычный 11 5 5 2" xfId="5627"/>
    <cellStyle name="Обычный 11 5 6" xfId="2073"/>
    <cellStyle name="Обычный 11 5 6 2" xfId="5923"/>
    <cellStyle name="Обычный 11 5 7" xfId="2368"/>
    <cellStyle name="Обычный 11 5 7 2" xfId="6219"/>
    <cellStyle name="Обычный 11 5 8" xfId="2664"/>
    <cellStyle name="Обычный 11 5 8 2" xfId="6515"/>
    <cellStyle name="Обычный 11 5 9" xfId="2960"/>
    <cellStyle name="Обычный 11 5 9 2" xfId="6811"/>
    <cellStyle name="Обычный 11 6" xfId="407"/>
    <cellStyle name="Обычный 11 6 2" xfId="8450"/>
    <cellStyle name="Обычный 11 6 3" xfId="4591"/>
    <cellStyle name="Обычный 11 6 4" xfId="8842"/>
    <cellStyle name="Обычный 11 7" xfId="740"/>
    <cellStyle name="Обычный 11 7 2" xfId="8510"/>
    <cellStyle name="Обычный 11 7 3" xfId="4887"/>
    <cellStyle name="Обычный 11 7 4" xfId="8844"/>
    <cellStyle name="Обычный 11 8" xfId="1345"/>
    <cellStyle name="Обычный 11 8 2" xfId="5183"/>
    <cellStyle name="Обычный 11 8 3" xfId="8820"/>
    <cellStyle name="Обычный 11 9" xfId="1634"/>
    <cellStyle name="Обычный 11 9 2" xfId="5479"/>
    <cellStyle name="Обычный 11 9 3" xfId="8819"/>
    <cellStyle name="Обычный 12" xfId="130"/>
    <cellStyle name="Обычный 12 10" xfId="2608"/>
    <cellStyle name="Обычный 12 10 2" xfId="6459"/>
    <cellStyle name="Обычный 12 11" xfId="2904"/>
    <cellStyle name="Обычный 12 11 2" xfId="6755"/>
    <cellStyle name="Обычный 12 12" xfId="3200"/>
    <cellStyle name="Обычный 12 12 2" xfId="7051"/>
    <cellStyle name="Обычный 12 13" xfId="3496"/>
    <cellStyle name="Обычный 12 13 2" xfId="7347"/>
    <cellStyle name="Обычный 12 14" xfId="3792"/>
    <cellStyle name="Обычный 12 14 2" xfId="7643"/>
    <cellStyle name="Обычный 12 15" xfId="4088"/>
    <cellStyle name="Обычный 12 15 2" xfId="7939"/>
    <cellStyle name="Обычный 12 16" xfId="8187"/>
    <cellStyle name="Обычный 12 17" xfId="4386"/>
    <cellStyle name="Обычный 12 18" xfId="8774"/>
    <cellStyle name="Обычный 12 19" xfId="8825"/>
    <cellStyle name="Обычный 12 2" xfId="182"/>
    <cellStyle name="Обычный 12 2 10" xfId="2954"/>
    <cellStyle name="Обычный 12 2 10 2" xfId="6805"/>
    <cellStyle name="Обычный 12 2 11" xfId="3250"/>
    <cellStyle name="Обычный 12 2 11 2" xfId="7101"/>
    <cellStyle name="Обычный 12 2 12" xfId="3546"/>
    <cellStyle name="Обычный 12 2 12 2" xfId="7397"/>
    <cellStyle name="Обычный 12 2 13" xfId="3842"/>
    <cellStyle name="Обычный 12 2 13 2" xfId="7693"/>
    <cellStyle name="Обычный 12 2 14" xfId="4138"/>
    <cellStyle name="Обычный 12 2 14 2" xfId="7989"/>
    <cellStyle name="Обычный 12 2 15" xfId="8237"/>
    <cellStyle name="Обычный 12 2 16" xfId="4437"/>
    <cellStyle name="Обычный 12 2 17" xfId="8796"/>
    <cellStyle name="Обычный 12 2 18" xfId="8829"/>
    <cellStyle name="Обычный 12 2 2" xfId="285"/>
    <cellStyle name="Обычный 12 2 2 10" xfId="3398"/>
    <cellStyle name="Обычный 12 2 2 10 2" xfId="7249"/>
    <cellStyle name="Обычный 12 2 2 11" xfId="3694"/>
    <cellStyle name="Обычный 12 2 2 11 2" xfId="7545"/>
    <cellStyle name="Обычный 12 2 2 12" xfId="3990"/>
    <cellStyle name="Обычный 12 2 2 12 2" xfId="7841"/>
    <cellStyle name="Обычный 12 2 2 13" xfId="4286"/>
    <cellStyle name="Обычный 12 2 2 13 2" xfId="8137"/>
    <cellStyle name="Обычный 12 2 2 14" xfId="8338"/>
    <cellStyle name="Обычный 12 2 2 15" xfId="4585"/>
    <cellStyle name="Обычный 12 2 2 2" xfId="741"/>
    <cellStyle name="Обычный 12 2 2 2 2" xfId="8511"/>
    <cellStyle name="Обычный 12 2 2 2 3" xfId="4881"/>
    <cellStyle name="Обычный 12 2 2 3" xfId="1340"/>
    <cellStyle name="Обычный 12 2 2 3 2" xfId="5177"/>
    <cellStyle name="Обычный 12 2 2 4" xfId="1628"/>
    <cellStyle name="Обычный 12 2 2 4 2" xfId="5473"/>
    <cellStyle name="Обычный 12 2 2 5" xfId="1921"/>
    <cellStyle name="Обычный 12 2 2 5 2" xfId="5769"/>
    <cellStyle name="Обычный 12 2 2 6" xfId="2215"/>
    <cellStyle name="Обычный 12 2 2 6 2" xfId="6065"/>
    <cellStyle name="Обычный 12 2 2 7" xfId="2510"/>
    <cellStyle name="Обычный 12 2 2 7 2" xfId="6361"/>
    <cellStyle name="Обычный 12 2 2 8" xfId="2806"/>
    <cellStyle name="Обычный 12 2 2 8 2" xfId="6657"/>
    <cellStyle name="Обычный 12 2 2 9" xfId="3102"/>
    <cellStyle name="Обычный 12 2 2 9 2" xfId="6953"/>
    <cellStyle name="Обычный 12 2 3" xfId="386"/>
    <cellStyle name="Обычный 12 2 3 2" xfId="742"/>
    <cellStyle name="Обычный 12 2 3 3" xfId="8438"/>
    <cellStyle name="Обычный 12 2 3 4" xfId="4733"/>
    <cellStyle name="Обычный 12 2 4" xfId="680"/>
    <cellStyle name="Обычный 12 2 4 2" xfId="8483"/>
    <cellStyle name="Обычный 12 2 4 3" xfId="5029"/>
    <cellStyle name="Обычный 12 2 5" xfId="1482"/>
    <cellStyle name="Обычный 12 2 5 2" xfId="5325"/>
    <cellStyle name="Обычный 12 2 6" xfId="1774"/>
    <cellStyle name="Обычный 12 2 6 2" xfId="5621"/>
    <cellStyle name="Обычный 12 2 7" xfId="2067"/>
    <cellStyle name="Обычный 12 2 7 2" xfId="5917"/>
    <cellStyle name="Обычный 12 2 8" xfId="2362"/>
    <cellStyle name="Обычный 12 2 8 2" xfId="6213"/>
    <cellStyle name="Обычный 12 2 9" xfId="2658"/>
    <cellStyle name="Обычный 12 2 9 2" xfId="6509"/>
    <cellStyle name="Обычный 12 3" xfId="235"/>
    <cellStyle name="Обычный 12 3 10" xfId="3348"/>
    <cellStyle name="Обычный 12 3 10 2" xfId="7199"/>
    <cellStyle name="Обычный 12 3 11" xfId="3644"/>
    <cellStyle name="Обычный 12 3 11 2" xfId="7495"/>
    <cellStyle name="Обычный 12 3 12" xfId="3940"/>
    <cellStyle name="Обычный 12 3 12 2" xfId="7791"/>
    <cellStyle name="Обычный 12 3 13" xfId="4236"/>
    <cellStyle name="Обычный 12 3 13 2" xfId="8087"/>
    <cellStyle name="Обычный 12 3 14" xfId="8288"/>
    <cellStyle name="Обычный 12 3 15" xfId="4535"/>
    <cellStyle name="Обычный 12 3 2" xfId="724"/>
    <cellStyle name="Обычный 12 3 2 2" xfId="8498"/>
    <cellStyle name="Обычный 12 3 2 3" xfId="4831"/>
    <cellStyle name="Обычный 12 3 3" xfId="1292"/>
    <cellStyle name="Обычный 12 3 3 2" xfId="5127"/>
    <cellStyle name="Обычный 12 3 4" xfId="1579"/>
    <cellStyle name="Обычный 12 3 4 2" xfId="5423"/>
    <cellStyle name="Обычный 12 3 5" xfId="1872"/>
    <cellStyle name="Обычный 12 3 5 2" xfId="5719"/>
    <cellStyle name="Обычный 12 3 6" xfId="2165"/>
    <cellStyle name="Обычный 12 3 6 2" xfId="6015"/>
    <cellStyle name="Обычный 12 3 7" xfId="2460"/>
    <cellStyle name="Обычный 12 3 7 2" xfId="6311"/>
    <cellStyle name="Обычный 12 3 8" xfId="2756"/>
    <cellStyle name="Обычный 12 3 8 2" xfId="6607"/>
    <cellStyle name="Обычный 12 3 9" xfId="3052"/>
    <cellStyle name="Обычный 12 3 9 2" xfId="6903"/>
    <cellStyle name="Обычный 12 4" xfId="336"/>
    <cellStyle name="Обычный 12 4 2" xfId="743"/>
    <cellStyle name="Обычный 12 4 3" xfId="8388"/>
    <cellStyle name="Обычный 12 4 4" xfId="4683"/>
    <cellStyle name="Обычный 12 5" xfId="409"/>
    <cellStyle name="Обычный 12 5 2" xfId="8452"/>
    <cellStyle name="Обычный 12 5 3" xfId="4979"/>
    <cellStyle name="Обычный 12 6" xfId="1043"/>
    <cellStyle name="Обычный 12 6 2" xfId="8755"/>
    <cellStyle name="Обычный 12 6 3" xfId="5275"/>
    <cellStyle name="Обычный 12 7" xfId="1724"/>
    <cellStyle name="Обычный 12 7 2" xfId="5571"/>
    <cellStyle name="Обычный 12 8" xfId="2017"/>
    <cellStyle name="Обычный 12 8 2" xfId="5867"/>
    <cellStyle name="Обычный 12 9" xfId="2312"/>
    <cellStyle name="Обычный 12 9 2" xfId="6163"/>
    <cellStyle name="Обычный 13" xfId="131"/>
    <cellStyle name="Обычный 13 2" xfId="183"/>
    <cellStyle name="Обычный 13 2 2" xfId="646"/>
    <cellStyle name="Обычный 13 2 2 2" xfId="656"/>
    <cellStyle name="Обычный 13 2 2 2 2" xfId="703"/>
    <cellStyle name="Обычный 13 2 2 2 2 2" xfId="722"/>
    <cellStyle name="Обычный 13 2 2 2 2 2 2" xfId="1041"/>
    <cellStyle name="Обычный 13 2 2 2 2 2 2 2" xfId="8794"/>
    <cellStyle name="Обычный 13 2 2 2 2 2 3" xfId="8772"/>
    <cellStyle name="Обычный 13 2 2 2 2 3" xfId="714"/>
    <cellStyle name="Обычный 13 2 2 2 2 3 2" xfId="8787"/>
    <cellStyle name="Обычный 13 2 2 2 2 4" xfId="1034"/>
    <cellStyle name="Обычный 13 2 2 2 2 5" xfId="8766"/>
    <cellStyle name="Обычный 13 2 2 2 3" xfId="719"/>
    <cellStyle name="Обычный 13 2 2 2 3 2" xfId="1038"/>
    <cellStyle name="Обычный 13 2 2 2 3 2 2" xfId="8791"/>
    <cellStyle name="Обычный 13 2 2 2 3 3" xfId="8769"/>
    <cellStyle name="Обычный 13 2 2 2 4" xfId="711"/>
    <cellStyle name="Обычный 13 2 2 2 4 2" xfId="8784"/>
    <cellStyle name="Обычный 13 2 2 2 5" xfId="1031"/>
    <cellStyle name="Обычный 13 2 2 2 6" xfId="8763"/>
    <cellStyle name="Обычный 13 2 2 3" xfId="697"/>
    <cellStyle name="Обычный 13 2 3" xfId="642"/>
    <cellStyle name="Обычный 13 2 3 2" xfId="693"/>
    <cellStyle name="Обычный 13 2 4" xfId="684"/>
    <cellStyle name="Обычный 13 2 5" xfId="570"/>
    <cellStyle name="Обычный 13 2 6" xfId="8797"/>
    <cellStyle name="Обычный 13 3" xfId="569"/>
    <cellStyle name="Обычный 13 3 2" xfId="129"/>
    <cellStyle name="Обычный 13 3 2 10" xfId="2607"/>
    <cellStyle name="Обычный 13 3 2 10 2" xfId="6458"/>
    <cellStyle name="Обычный 13 3 2 11" xfId="2903"/>
    <cellStyle name="Обычный 13 3 2 11 2" xfId="6754"/>
    <cellStyle name="Обычный 13 3 2 12" xfId="3199"/>
    <cellStyle name="Обычный 13 3 2 12 2" xfId="7050"/>
    <cellStyle name="Обычный 13 3 2 13" xfId="3495"/>
    <cellStyle name="Обычный 13 3 2 13 2" xfId="7346"/>
    <cellStyle name="Обычный 13 3 2 14" xfId="3791"/>
    <cellStyle name="Обычный 13 3 2 14 2" xfId="7642"/>
    <cellStyle name="Обычный 13 3 2 15" xfId="4087"/>
    <cellStyle name="Обычный 13 3 2 15 2" xfId="7938"/>
    <cellStyle name="Обычный 13 3 2 16" xfId="8186"/>
    <cellStyle name="Обычный 13 3 2 17" xfId="4385"/>
    <cellStyle name="Обычный 13 3 2 18" xfId="8761"/>
    <cellStyle name="Обычный 13 3 2 2" xfId="181"/>
    <cellStyle name="Обычный 13 3 2 2 10" xfId="2953"/>
    <cellStyle name="Обычный 13 3 2 2 10 2" xfId="6804"/>
    <cellStyle name="Обычный 13 3 2 2 11" xfId="3249"/>
    <cellStyle name="Обычный 13 3 2 2 11 2" xfId="7100"/>
    <cellStyle name="Обычный 13 3 2 2 12" xfId="3545"/>
    <cellStyle name="Обычный 13 3 2 2 12 2" xfId="7396"/>
    <cellStyle name="Обычный 13 3 2 2 13" xfId="3841"/>
    <cellStyle name="Обычный 13 3 2 2 13 2" xfId="7692"/>
    <cellStyle name="Обычный 13 3 2 2 14" xfId="4137"/>
    <cellStyle name="Обычный 13 3 2 2 14 2" xfId="7988"/>
    <cellStyle name="Обычный 13 3 2 2 15" xfId="8236"/>
    <cellStyle name="Обычный 13 3 2 2 16" xfId="4436"/>
    <cellStyle name="Обычный 13 3 2 2 17" xfId="8764"/>
    <cellStyle name="Обычный 13 3 2 2 2" xfId="284"/>
    <cellStyle name="Обычный 13 3 2 2 2 10" xfId="3397"/>
    <cellStyle name="Обычный 13 3 2 2 2 10 2" xfId="7248"/>
    <cellStyle name="Обычный 13 3 2 2 2 11" xfId="3693"/>
    <cellStyle name="Обычный 13 3 2 2 2 11 2" xfId="7544"/>
    <cellStyle name="Обычный 13 3 2 2 2 12" xfId="3989"/>
    <cellStyle name="Обычный 13 3 2 2 2 12 2" xfId="7840"/>
    <cellStyle name="Обычный 13 3 2 2 2 13" xfId="4285"/>
    <cellStyle name="Обычный 13 3 2 2 2 13 2" xfId="8136"/>
    <cellStyle name="Обычный 13 3 2 2 2 14" xfId="8337"/>
    <cellStyle name="Обычный 13 3 2 2 2 15" xfId="4584"/>
    <cellStyle name="Обычный 13 3 2 2 2 16" xfId="8770"/>
    <cellStyle name="Обычный 13 3 2 2 2 2" xfId="720"/>
    <cellStyle name="Обычный 13 3 2 2 2 2 2" xfId="8497"/>
    <cellStyle name="Обычный 13 3 2 2 2 2 3" xfId="4880"/>
    <cellStyle name="Обычный 13 3 2 2 2 2 4" xfId="8792"/>
    <cellStyle name="Обычный 13 3 2 2 2 3" xfId="1039"/>
    <cellStyle name="Обычный 13 3 2 2 2 3 2" xfId="8754"/>
    <cellStyle name="Обычный 13 3 2 2 2 3 3" xfId="5176"/>
    <cellStyle name="Обычный 13 3 2 2 2 4" xfId="1627"/>
    <cellStyle name="Обычный 13 3 2 2 2 4 2" xfId="5472"/>
    <cellStyle name="Обычный 13 3 2 2 2 5" xfId="1920"/>
    <cellStyle name="Обычный 13 3 2 2 2 5 2" xfId="5768"/>
    <cellStyle name="Обычный 13 3 2 2 2 6" xfId="2214"/>
    <cellStyle name="Обычный 13 3 2 2 2 6 2" xfId="6064"/>
    <cellStyle name="Обычный 13 3 2 2 2 7" xfId="2509"/>
    <cellStyle name="Обычный 13 3 2 2 2 7 2" xfId="6360"/>
    <cellStyle name="Обычный 13 3 2 2 2 8" xfId="2805"/>
    <cellStyle name="Обычный 13 3 2 2 2 8 2" xfId="6656"/>
    <cellStyle name="Обычный 13 3 2 2 2 9" xfId="3101"/>
    <cellStyle name="Обычный 13 3 2 2 2 9 2" xfId="6952"/>
    <cellStyle name="Обычный 13 3 2 2 3" xfId="385"/>
    <cellStyle name="Обычный 13 3 2 2 3 2" xfId="712"/>
    <cellStyle name="Обычный 13 3 2 2 3 3" xfId="8437"/>
    <cellStyle name="Обычный 13 3 2 2 3 4" xfId="4732"/>
    <cellStyle name="Обычный 13 3 2 2 3 5" xfId="8785"/>
    <cellStyle name="Обычный 13 3 2 2 4" xfId="688"/>
    <cellStyle name="Обычный 13 3 2 2 4 2" xfId="8486"/>
    <cellStyle name="Обычный 13 3 2 2 4 3" xfId="5028"/>
    <cellStyle name="Обычный 13 3 2 2 5" xfId="1032"/>
    <cellStyle name="Обычный 13 3 2 2 5 2" xfId="8752"/>
    <cellStyle name="Обычный 13 3 2 2 5 3" xfId="5324"/>
    <cellStyle name="Обычный 13 3 2 2 6" xfId="1773"/>
    <cellStyle name="Обычный 13 3 2 2 6 2" xfId="5620"/>
    <cellStyle name="Обычный 13 3 2 2 7" xfId="2066"/>
    <cellStyle name="Обычный 13 3 2 2 7 2" xfId="5916"/>
    <cellStyle name="Обычный 13 3 2 2 8" xfId="2361"/>
    <cellStyle name="Обычный 13 3 2 2 8 2" xfId="6212"/>
    <cellStyle name="Обычный 13 3 2 2 9" xfId="2657"/>
    <cellStyle name="Обычный 13 3 2 2 9 2" xfId="6508"/>
    <cellStyle name="Обычный 13 3 2 3" xfId="234"/>
    <cellStyle name="Обычный 13 3 2 3 10" xfId="3347"/>
    <cellStyle name="Обычный 13 3 2 3 10 2" xfId="7198"/>
    <cellStyle name="Обычный 13 3 2 3 11" xfId="3643"/>
    <cellStyle name="Обычный 13 3 2 3 11 2" xfId="7494"/>
    <cellStyle name="Обычный 13 3 2 3 12" xfId="3939"/>
    <cellStyle name="Обычный 13 3 2 3 12 2" xfId="7790"/>
    <cellStyle name="Обычный 13 3 2 3 13" xfId="4235"/>
    <cellStyle name="Обычный 13 3 2 3 13 2" xfId="8086"/>
    <cellStyle name="Обычный 13 3 2 3 14" xfId="8287"/>
    <cellStyle name="Обычный 13 3 2 3 15" xfId="4534"/>
    <cellStyle name="Обычный 13 3 2 3 16" xfId="8767"/>
    <cellStyle name="Обычный 13 3 2 3 2" xfId="717"/>
    <cellStyle name="Обычный 13 3 2 3 2 2" xfId="8495"/>
    <cellStyle name="Обычный 13 3 2 3 2 3" xfId="4830"/>
    <cellStyle name="Обычный 13 3 2 3 2 4" xfId="8789"/>
    <cellStyle name="Обычный 13 3 2 3 3" xfId="1036"/>
    <cellStyle name="Обычный 13 3 2 3 3 2" xfId="8753"/>
    <cellStyle name="Обычный 13 3 2 3 3 3" xfId="5126"/>
    <cellStyle name="Обычный 13 3 2 3 4" xfId="1578"/>
    <cellStyle name="Обычный 13 3 2 3 4 2" xfId="5422"/>
    <cellStyle name="Обычный 13 3 2 3 5" xfId="1871"/>
    <cellStyle name="Обычный 13 3 2 3 5 2" xfId="5718"/>
    <cellStyle name="Обычный 13 3 2 3 6" xfId="2164"/>
    <cellStyle name="Обычный 13 3 2 3 6 2" xfId="6014"/>
    <cellStyle name="Обычный 13 3 2 3 7" xfId="2459"/>
    <cellStyle name="Обычный 13 3 2 3 7 2" xfId="6310"/>
    <cellStyle name="Обычный 13 3 2 3 8" xfId="2755"/>
    <cellStyle name="Обычный 13 3 2 3 8 2" xfId="6606"/>
    <cellStyle name="Обычный 13 3 2 3 9" xfId="3051"/>
    <cellStyle name="Обычный 13 3 2 3 9 2" xfId="6902"/>
    <cellStyle name="Обычный 13 3 2 4" xfId="335"/>
    <cellStyle name="Обычный 13 3 2 4 2" xfId="709"/>
    <cellStyle name="Обычный 13 3 2 4 3" xfId="8387"/>
    <cellStyle name="Обычный 13 3 2 4 4" xfId="4682"/>
    <cellStyle name="Обычный 13 3 2 4 5" xfId="8782"/>
    <cellStyle name="Обычный 13 3 2 5" xfId="636"/>
    <cellStyle name="Обычный 13 3 2 5 2" xfId="8466"/>
    <cellStyle name="Обычный 13 3 2 5 3" xfId="4978"/>
    <cellStyle name="Обычный 13 3 2 6" xfId="744"/>
    <cellStyle name="Обычный 13 3 2 6 2" xfId="8512"/>
    <cellStyle name="Обычный 13 3 2 6 3" xfId="5274"/>
    <cellStyle name="Обычный 13 3 2 7" xfId="1029"/>
    <cellStyle name="Обычный 13 3 2 7 2" xfId="8750"/>
    <cellStyle name="Обычный 13 3 2 7 3" xfId="5570"/>
    <cellStyle name="Обычный 13 3 2 8" xfId="2016"/>
    <cellStyle name="Обычный 13 3 2 8 2" xfId="5866"/>
    <cellStyle name="Обычный 13 3 2 9" xfId="2311"/>
    <cellStyle name="Обычный 13 3 2 9 2" xfId="6162"/>
    <cellStyle name="Обычный 13 3 3" xfId="683"/>
    <cellStyle name="Обычный 13 3 4" xfId="8855"/>
    <cellStyle name="Обычный 13 4" xfId="639"/>
    <cellStyle name="Обычный 13 4 2" xfId="690"/>
    <cellStyle name="Обычный 13 5" xfId="685"/>
    <cellStyle name="Обычный 13 6" xfId="571"/>
    <cellStyle name="Обычный 13 7" xfId="1044"/>
    <cellStyle name="Обычный 13 8" xfId="8775"/>
    <cellStyle name="Обычный 13 9" xfId="8832"/>
    <cellStyle name="Обычный 14" xfId="184"/>
    <cellStyle name="Обычный 14 2" xfId="706"/>
    <cellStyle name="Обычный 14 3" xfId="660"/>
    <cellStyle name="Обычный 14 4" xfId="8238"/>
    <cellStyle name="Обычный 14 5" xfId="8834"/>
    <cellStyle name="Обычный 15" xfId="286"/>
    <cellStyle name="Обычный 15 2" xfId="745"/>
    <cellStyle name="Обычный 15 3" xfId="8835"/>
    <cellStyle name="Обычный 16" xfId="8759"/>
    <cellStyle name="Обычный 16 2" xfId="8836"/>
    <cellStyle name="Обычный 17" xfId="8801"/>
    <cellStyle name="Обычный 17 2" xfId="8824"/>
    <cellStyle name="Обычный 18" xfId="8805"/>
    <cellStyle name="Обычный 18 2" xfId="8837"/>
    <cellStyle name="Обычный 19" xfId="8808"/>
    <cellStyle name="Обычный 19 2" xfId="8839"/>
    <cellStyle name="Обычный 2" xfId="1"/>
    <cellStyle name="Обычный 2 10" xfId="58"/>
    <cellStyle name="Обычный 2 10 10" xfId="1928"/>
    <cellStyle name="Обычный 2 10 10 2" xfId="5776"/>
    <cellStyle name="Обычный 2 10 11" xfId="2222"/>
    <cellStyle name="Обычный 2 10 11 2" xfId="6072"/>
    <cellStyle name="Обычный 2 10 12" xfId="2517"/>
    <cellStyle name="Обычный 2 10 12 2" xfId="6368"/>
    <cellStyle name="Обычный 2 10 13" xfId="2813"/>
    <cellStyle name="Обычный 2 10 13 2" xfId="6664"/>
    <cellStyle name="Обычный 2 10 14" xfId="3109"/>
    <cellStyle name="Обычный 2 10 14 2" xfId="6960"/>
    <cellStyle name="Обычный 2 10 15" xfId="3405"/>
    <cellStyle name="Обычный 2 10 15 2" xfId="7256"/>
    <cellStyle name="Обычный 2 10 16" xfId="3701"/>
    <cellStyle name="Обычный 2 10 16 2" xfId="7552"/>
    <cellStyle name="Обычный 2 10 17" xfId="3997"/>
    <cellStyle name="Обычный 2 10 17 2" xfId="7848"/>
    <cellStyle name="Обычный 2 10 18" xfId="8144"/>
    <cellStyle name="Обычный 2 10 19" xfId="4293"/>
    <cellStyle name="Обычный 2 10 2" xfId="108"/>
    <cellStyle name="Обычный 2 10 2 10" xfId="2243"/>
    <cellStyle name="Обычный 2 10 2 10 2" xfId="6094"/>
    <cellStyle name="Обычный 2 10 2 11" xfId="2539"/>
    <cellStyle name="Обычный 2 10 2 11 2" xfId="6390"/>
    <cellStyle name="Обычный 2 10 2 12" xfId="2835"/>
    <cellStyle name="Обычный 2 10 2 12 2" xfId="6686"/>
    <cellStyle name="Обычный 2 10 2 13" xfId="3131"/>
    <cellStyle name="Обычный 2 10 2 13 2" xfId="6982"/>
    <cellStyle name="Обычный 2 10 2 14" xfId="3427"/>
    <cellStyle name="Обычный 2 10 2 14 2" xfId="7278"/>
    <cellStyle name="Обычный 2 10 2 15" xfId="3723"/>
    <cellStyle name="Обычный 2 10 2 15 2" xfId="7574"/>
    <cellStyle name="Обычный 2 10 2 16" xfId="4019"/>
    <cellStyle name="Обычный 2 10 2 16 2" xfId="7870"/>
    <cellStyle name="Обычный 2 10 2 17" xfId="8166"/>
    <cellStyle name="Обычный 2 10 2 18" xfId="4315"/>
    <cellStyle name="Обычный 2 10 2 2" xfId="161"/>
    <cellStyle name="Обычный 2 10 2 2 10" xfId="2883"/>
    <cellStyle name="Обычный 2 10 2 2 10 2" xfId="6734"/>
    <cellStyle name="Обычный 2 10 2 2 11" xfId="3179"/>
    <cellStyle name="Обычный 2 10 2 2 11 2" xfId="7030"/>
    <cellStyle name="Обычный 2 10 2 2 12" xfId="3475"/>
    <cellStyle name="Обычный 2 10 2 2 12 2" xfId="7326"/>
    <cellStyle name="Обычный 2 10 2 2 13" xfId="3771"/>
    <cellStyle name="Обычный 2 10 2 2 13 2" xfId="7622"/>
    <cellStyle name="Обычный 2 10 2 2 14" xfId="4067"/>
    <cellStyle name="Обычный 2 10 2 2 14 2" xfId="7918"/>
    <cellStyle name="Обычный 2 10 2 2 15" xfId="8216"/>
    <cellStyle name="Обычный 2 10 2 2 16" xfId="4364"/>
    <cellStyle name="Обычный 2 10 2 2 2" xfId="264"/>
    <cellStyle name="Обычный 2 10 2 2 2 10" xfId="3327"/>
    <cellStyle name="Обычный 2 10 2 2 2 10 2" xfId="7178"/>
    <cellStyle name="Обычный 2 10 2 2 2 11" xfId="3623"/>
    <cellStyle name="Обычный 2 10 2 2 2 11 2" xfId="7474"/>
    <cellStyle name="Обычный 2 10 2 2 2 12" xfId="3919"/>
    <cellStyle name="Обычный 2 10 2 2 2 12 2" xfId="7770"/>
    <cellStyle name="Обычный 2 10 2 2 2 13" xfId="4215"/>
    <cellStyle name="Обычный 2 10 2 2 2 13 2" xfId="8066"/>
    <cellStyle name="Обычный 2 10 2 2 2 14" xfId="8317"/>
    <cellStyle name="Обычный 2 10 2 2 2 15" xfId="4514"/>
    <cellStyle name="Обычный 2 10 2 2 2 2" xfId="746"/>
    <cellStyle name="Обычный 2 10 2 2 2 2 2" xfId="8513"/>
    <cellStyle name="Обычный 2 10 2 2 2 2 3" xfId="4810"/>
    <cellStyle name="Обычный 2 10 2 2 2 3" xfId="1272"/>
    <cellStyle name="Обычный 2 10 2 2 2 3 2" xfId="5106"/>
    <cellStyle name="Обычный 2 10 2 2 2 4" xfId="1558"/>
    <cellStyle name="Обычный 2 10 2 2 2 4 2" xfId="5402"/>
    <cellStyle name="Обычный 2 10 2 2 2 5" xfId="1851"/>
    <cellStyle name="Обычный 2 10 2 2 2 5 2" xfId="5698"/>
    <cellStyle name="Обычный 2 10 2 2 2 6" xfId="2144"/>
    <cellStyle name="Обычный 2 10 2 2 2 6 2" xfId="5994"/>
    <cellStyle name="Обычный 2 10 2 2 2 7" xfId="2439"/>
    <cellStyle name="Обычный 2 10 2 2 2 7 2" xfId="6290"/>
    <cellStyle name="Обычный 2 10 2 2 2 8" xfId="2735"/>
    <cellStyle name="Обычный 2 10 2 2 2 8 2" xfId="6586"/>
    <cellStyle name="Обычный 2 10 2 2 2 9" xfId="3031"/>
    <cellStyle name="Обычный 2 10 2 2 2 9 2" xfId="6882"/>
    <cellStyle name="Обычный 2 10 2 2 3" xfId="365"/>
    <cellStyle name="Обычный 2 10 2 2 3 2" xfId="747"/>
    <cellStyle name="Обычный 2 10 2 2 3 3" xfId="8417"/>
    <cellStyle name="Обычный 2 10 2 2 3 4" xfId="4662"/>
    <cellStyle name="Обычный 2 10 2 2 4" xfId="748"/>
    <cellStyle name="Обычный 2 10 2 2 4 2" xfId="8514"/>
    <cellStyle name="Обычный 2 10 2 2 4 3" xfId="4958"/>
    <cellStyle name="Обычный 2 10 2 2 5" xfId="1414"/>
    <cellStyle name="Обычный 2 10 2 2 5 2" xfId="5254"/>
    <cellStyle name="Обычный 2 10 2 2 6" xfId="1704"/>
    <cellStyle name="Обычный 2 10 2 2 6 2" xfId="5550"/>
    <cellStyle name="Обычный 2 10 2 2 7" xfId="1996"/>
    <cellStyle name="Обычный 2 10 2 2 7 2" xfId="5846"/>
    <cellStyle name="Обычный 2 10 2 2 8" xfId="2291"/>
    <cellStyle name="Обычный 2 10 2 2 8 2" xfId="6142"/>
    <cellStyle name="Обычный 2 10 2 2 9" xfId="2587"/>
    <cellStyle name="Обычный 2 10 2 2 9 2" xfId="6438"/>
    <cellStyle name="Обычный 2 10 2 3" xfId="214"/>
    <cellStyle name="Обычный 2 10 2 3 10" xfId="2933"/>
    <cellStyle name="Обычный 2 10 2 3 10 2" xfId="6784"/>
    <cellStyle name="Обычный 2 10 2 3 11" xfId="3229"/>
    <cellStyle name="Обычный 2 10 2 3 11 2" xfId="7080"/>
    <cellStyle name="Обычный 2 10 2 3 12" xfId="3525"/>
    <cellStyle name="Обычный 2 10 2 3 12 2" xfId="7376"/>
    <cellStyle name="Обычный 2 10 2 3 13" xfId="3821"/>
    <cellStyle name="Обычный 2 10 2 3 13 2" xfId="7672"/>
    <cellStyle name="Обычный 2 10 2 3 14" xfId="4117"/>
    <cellStyle name="Обычный 2 10 2 3 14 2" xfId="7968"/>
    <cellStyle name="Обычный 2 10 2 3 15" xfId="8267"/>
    <cellStyle name="Обычный 2 10 2 3 16" xfId="4415"/>
    <cellStyle name="Обычный 2 10 2 3 2" xfId="749"/>
    <cellStyle name="Обычный 2 10 2 3 2 10" xfId="3377"/>
    <cellStyle name="Обычный 2 10 2 3 2 10 2" xfId="7228"/>
    <cellStyle name="Обычный 2 10 2 3 2 11" xfId="3673"/>
    <cellStyle name="Обычный 2 10 2 3 2 11 2" xfId="7524"/>
    <cellStyle name="Обычный 2 10 2 3 2 12" xfId="3969"/>
    <cellStyle name="Обычный 2 10 2 3 2 12 2" xfId="7820"/>
    <cellStyle name="Обычный 2 10 2 3 2 13" xfId="4265"/>
    <cellStyle name="Обычный 2 10 2 3 2 13 2" xfId="8116"/>
    <cellStyle name="Обычный 2 10 2 3 2 14" xfId="8515"/>
    <cellStyle name="Обычный 2 10 2 3 2 15" xfId="4564"/>
    <cellStyle name="Обычный 2 10 2 3 2 2" xfId="1131"/>
    <cellStyle name="Обычный 2 10 2 3 2 2 2" xfId="4860"/>
    <cellStyle name="Обычный 2 10 2 3 2 3" xfId="1320"/>
    <cellStyle name="Обычный 2 10 2 3 2 3 2" xfId="5156"/>
    <cellStyle name="Обычный 2 10 2 3 2 4" xfId="1607"/>
    <cellStyle name="Обычный 2 10 2 3 2 4 2" xfId="5452"/>
    <cellStyle name="Обычный 2 10 2 3 2 5" xfId="1900"/>
    <cellStyle name="Обычный 2 10 2 3 2 5 2" xfId="5748"/>
    <cellStyle name="Обычный 2 10 2 3 2 6" xfId="2194"/>
    <cellStyle name="Обычный 2 10 2 3 2 6 2" xfId="6044"/>
    <cellStyle name="Обычный 2 10 2 3 2 7" xfId="2489"/>
    <cellStyle name="Обычный 2 10 2 3 2 7 2" xfId="6340"/>
    <cellStyle name="Обычный 2 10 2 3 2 8" xfId="2785"/>
    <cellStyle name="Обычный 2 10 2 3 2 8 2" xfId="6636"/>
    <cellStyle name="Обычный 2 10 2 3 2 9" xfId="3081"/>
    <cellStyle name="Обычный 2 10 2 3 2 9 2" xfId="6932"/>
    <cellStyle name="Обычный 2 10 2 3 3" xfId="1084"/>
    <cellStyle name="Обычный 2 10 2 3 3 2" xfId="4712"/>
    <cellStyle name="Обычный 2 10 2 3 4" xfId="1178"/>
    <cellStyle name="Обычный 2 10 2 3 4 2" xfId="5008"/>
    <cellStyle name="Обычный 2 10 2 3 5" xfId="1462"/>
    <cellStyle name="Обычный 2 10 2 3 5 2" xfId="5304"/>
    <cellStyle name="Обычный 2 10 2 3 6" xfId="1753"/>
    <cellStyle name="Обычный 2 10 2 3 6 2" xfId="5600"/>
    <cellStyle name="Обычный 2 10 2 3 7" xfId="2046"/>
    <cellStyle name="Обычный 2 10 2 3 7 2" xfId="5896"/>
    <cellStyle name="Обычный 2 10 2 3 8" xfId="2341"/>
    <cellStyle name="Обычный 2 10 2 3 8 2" xfId="6192"/>
    <cellStyle name="Обычный 2 10 2 3 9" xfId="2637"/>
    <cellStyle name="Обычный 2 10 2 3 9 2" xfId="6488"/>
    <cellStyle name="Обычный 2 10 2 4" xfId="315"/>
    <cellStyle name="Обычный 2 10 2 4 10" xfId="3279"/>
    <cellStyle name="Обычный 2 10 2 4 10 2" xfId="7130"/>
    <cellStyle name="Обычный 2 10 2 4 11" xfId="3575"/>
    <cellStyle name="Обычный 2 10 2 4 11 2" xfId="7426"/>
    <cellStyle name="Обычный 2 10 2 4 12" xfId="3871"/>
    <cellStyle name="Обычный 2 10 2 4 12 2" xfId="7722"/>
    <cellStyle name="Обычный 2 10 2 4 13" xfId="4167"/>
    <cellStyle name="Обычный 2 10 2 4 13 2" xfId="8018"/>
    <cellStyle name="Обычный 2 10 2 4 14" xfId="8367"/>
    <cellStyle name="Обычный 2 10 2 4 15" xfId="4466"/>
    <cellStyle name="Обычный 2 10 2 4 2" xfId="750"/>
    <cellStyle name="Обычный 2 10 2 4 2 2" xfId="8516"/>
    <cellStyle name="Обычный 2 10 2 4 2 3" xfId="4762"/>
    <cellStyle name="Обычный 2 10 2 4 3" xfId="1226"/>
    <cellStyle name="Обычный 2 10 2 4 3 2" xfId="5058"/>
    <cellStyle name="Обычный 2 10 2 4 4" xfId="1511"/>
    <cellStyle name="Обычный 2 10 2 4 4 2" xfId="5354"/>
    <cellStyle name="Обычный 2 10 2 4 5" xfId="1803"/>
    <cellStyle name="Обычный 2 10 2 4 5 2" xfId="5650"/>
    <cellStyle name="Обычный 2 10 2 4 6" xfId="2096"/>
    <cellStyle name="Обычный 2 10 2 4 6 2" xfId="5946"/>
    <cellStyle name="Обычный 2 10 2 4 7" xfId="2391"/>
    <cellStyle name="Обычный 2 10 2 4 7 2" xfId="6242"/>
    <cellStyle name="Обычный 2 10 2 4 8" xfId="2687"/>
    <cellStyle name="Обычный 2 10 2 4 8 2" xfId="6538"/>
    <cellStyle name="Обычный 2 10 2 4 9" xfId="2983"/>
    <cellStyle name="Обычный 2 10 2 4 9 2" xfId="6834"/>
    <cellStyle name="Обычный 2 10 2 5" xfId="751"/>
    <cellStyle name="Обычный 2 10 2 5 2" xfId="8517"/>
    <cellStyle name="Обычный 2 10 2 5 3" xfId="4614"/>
    <cellStyle name="Обычный 2 10 2 6" xfId="752"/>
    <cellStyle name="Обычный 2 10 2 6 2" xfId="8518"/>
    <cellStyle name="Обычный 2 10 2 6 3" xfId="4910"/>
    <cellStyle name="Обычный 2 10 2 7" xfId="1367"/>
    <cellStyle name="Обычный 2 10 2 7 2" xfId="5206"/>
    <cellStyle name="Обычный 2 10 2 8" xfId="1656"/>
    <cellStyle name="Обычный 2 10 2 8 2" xfId="5502"/>
    <cellStyle name="Обычный 2 10 2 9" xfId="1949"/>
    <cellStyle name="Обычный 2 10 2 9 2" xfId="5798"/>
    <cellStyle name="Обычный 2 10 3" xfId="139"/>
    <cellStyle name="Обычный 2 10 3 10" xfId="2861"/>
    <cellStyle name="Обычный 2 10 3 10 2" xfId="6712"/>
    <cellStyle name="Обычный 2 10 3 11" xfId="3157"/>
    <cellStyle name="Обычный 2 10 3 11 2" xfId="7008"/>
    <cellStyle name="Обычный 2 10 3 12" xfId="3453"/>
    <cellStyle name="Обычный 2 10 3 12 2" xfId="7304"/>
    <cellStyle name="Обычный 2 10 3 13" xfId="3749"/>
    <cellStyle name="Обычный 2 10 3 13 2" xfId="7600"/>
    <cellStyle name="Обычный 2 10 3 14" xfId="4045"/>
    <cellStyle name="Обычный 2 10 3 14 2" xfId="7896"/>
    <cellStyle name="Обычный 2 10 3 15" xfId="8194"/>
    <cellStyle name="Обычный 2 10 3 16" xfId="4342"/>
    <cellStyle name="Обычный 2 10 3 2" xfId="242"/>
    <cellStyle name="Обычный 2 10 3 2 10" xfId="3305"/>
    <cellStyle name="Обычный 2 10 3 2 10 2" xfId="7156"/>
    <cellStyle name="Обычный 2 10 3 2 11" xfId="3601"/>
    <cellStyle name="Обычный 2 10 3 2 11 2" xfId="7452"/>
    <cellStyle name="Обычный 2 10 3 2 12" xfId="3897"/>
    <cellStyle name="Обычный 2 10 3 2 12 2" xfId="7748"/>
    <cellStyle name="Обычный 2 10 3 2 13" xfId="4193"/>
    <cellStyle name="Обычный 2 10 3 2 13 2" xfId="8044"/>
    <cellStyle name="Обычный 2 10 3 2 14" xfId="8295"/>
    <cellStyle name="Обычный 2 10 3 2 15" xfId="4492"/>
    <cellStyle name="Обычный 2 10 3 2 2" xfId="753"/>
    <cellStyle name="Обычный 2 10 3 2 2 2" xfId="8519"/>
    <cellStyle name="Обычный 2 10 3 2 2 3" xfId="4788"/>
    <cellStyle name="Обычный 2 10 3 2 3" xfId="1251"/>
    <cellStyle name="Обычный 2 10 3 2 3 2" xfId="5084"/>
    <cellStyle name="Обычный 2 10 3 2 4" xfId="1537"/>
    <cellStyle name="Обычный 2 10 3 2 4 2" xfId="5380"/>
    <cellStyle name="Обычный 2 10 3 2 5" xfId="1829"/>
    <cellStyle name="Обычный 2 10 3 2 5 2" xfId="5676"/>
    <cellStyle name="Обычный 2 10 3 2 6" xfId="2122"/>
    <cellStyle name="Обычный 2 10 3 2 6 2" xfId="5972"/>
    <cellStyle name="Обычный 2 10 3 2 7" xfId="2417"/>
    <cellStyle name="Обычный 2 10 3 2 7 2" xfId="6268"/>
    <cellStyle name="Обычный 2 10 3 2 8" xfId="2713"/>
    <cellStyle name="Обычный 2 10 3 2 8 2" xfId="6564"/>
    <cellStyle name="Обычный 2 10 3 2 9" xfId="3009"/>
    <cellStyle name="Обычный 2 10 3 2 9 2" xfId="6860"/>
    <cellStyle name="Обычный 2 10 3 3" xfId="343"/>
    <cellStyle name="Обычный 2 10 3 3 2" xfId="754"/>
    <cellStyle name="Обычный 2 10 3 3 3" xfId="8395"/>
    <cellStyle name="Обычный 2 10 3 3 4" xfId="4640"/>
    <cellStyle name="Обычный 2 10 3 4" xfId="755"/>
    <cellStyle name="Обычный 2 10 3 4 2" xfId="8520"/>
    <cellStyle name="Обычный 2 10 3 4 3" xfId="4936"/>
    <cellStyle name="Обычный 2 10 3 5" xfId="1393"/>
    <cellStyle name="Обычный 2 10 3 5 2" xfId="5232"/>
    <cellStyle name="Обычный 2 10 3 6" xfId="1682"/>
    <cellStyle name="Обычный 2 10 3 6 2" xfId="5528"/>
    <cellStyle name="Обычный 2 10 3 7" xfId="1975"/>
    <cellStyle name="Обычный 2 10 3 7 2" xfId="5824"/>
    <cellStyle name="Обычный 2 10 3 8" xfId="2269"/>
    <cellStyle name="Обычный 2 10 3 8 2" xfId="6120"/>
    <cellStyle name="Обычный 2 10 3 9" xfId="2565"/>
    <cellStyle name="Обычный 2 10 3 9 2" xfId="6416"/>
    <cellStyle name="Обычный 2 10 4" xfId="192"/>
    <cellStyle name="Обычный 2 10 4 10" xfId="2911"/>
    <cellStyle name="Обычный 2 10 4 10 2" xfId="6762"/>
    <cellStyle name="Обычный 2 10 4 11" xfId="3207"/>
    <cellStyle name="Обычный 2 10 4 11 2" xfId="7058"/>
    <cellStyle name="Обычный 2 10 4 12" xfId="3503"/>
    <cellStyle name="Обычный 2 10 4 12 2" xfId="7354"/>
    <cellStyle name="Обычный 2 10 4 13" xfId="3799"/>
    <cellStyle name="Обычный 2 10 4 13 2" xfId="7650"/>
    <cellStyle name="Обычный 2 10 4 14" xfId="4095"/>
    <cellStyle name="Обычный 2 10 4 14 2" xfId="7946"/>
    <cellStyle name="Обычный 2 10 4 15" xfId="8245"/>
    <cellStyle name="Обычный 2 10 4 16" xfId="4393"/>
    <cellStyle name="Обычный 2 10 4 2" xfId="756"/>
    <cellStyle name="Обычный 2 10 4 2 10" xfId="3355"/>
    <cellStyle name="Обычный 2 10 4 2 10 2" xfId="7206"/>
    <cellStyle name="Обычный 2 10 4 2 11" xfId="3651"/>
    <cellStyle name="Обычный 2 10 4 2 11 2" xfId="7502"/>
    <cellStyle name="Обычный 2 10 4 2 12" xfId="3947"/>
    <cellStyle name="Обычный 2 10 4 2 12 2" xfId="7798"/>
    <cellStyle name="Обычный 2 10 4 2 13" xfId="4243"/>
    <cellStyle name="Обычный 2 10 4 2 13 2" xfId="8094"/>
    <cellStyle name="Обычный 2 10 4 2 14" xfId="8521"/>
    <cellStyle name="Обычный 2 10 4 2 15" xfId="4542"/>
    <cellStyle name="Обычный 2 10 4 2 2" xfId="1110"/>
    <cellStyle name="Обычный 2 10 4 2 2 2" xfId="4838"/>
    <cellStyle name="Обычный 2 10 4 2 3" xfId="1299"/>
    <cellStyle name="Обычный 2 10 4 2 3 2" xfId="5134"/>
    <cellStyle name="Обычный 2 10 4 2 4" xfId="1586"/>
    <cellStyle name="Обычный 2 10 4 2 4 2" xfId="5430"/>
    <cellStyle name="Обычный 2 10 4 2 5" xfId="1879"/>
    <cellStyle name="Обычный 2 10 4 2 5 2" xfId="5726"/>
    <cellStyle name="Обычный 2 10 4 2 6" xfId="2172"/>
    <cellStyle name="Обычный 2 10 4 2 6 2" xfId="6022"/>
    <cellStyle name="Обычный 2 10 4 2 7" xfId="2467"/>
    <cellStyle name="Обычный 2 10 4 2 7 2" xfId="6318"/>
    <cellStyle name="Обычный 2 10 4 2 8" xfId="2763"/>
    <cellStyle name="Обычный 2 10 4 2 8 2" xfId="6614"/>
    <cellStyle name="Обычный 2 10 4 2 9" xfId="3059"/>
    <cellStyle name="Обычный 2 10 4 2 9 2" xfId="6910"/>
    <cellStyle name="Обычный 2 10 4 3" xfId="1063"/>
    <cellStyle name="Обычный 2 10 4 3 2" xfId="4690"/>
    <cellStyle name="Обычный 2 10 4 4" xfId="1157"/>
    <cellStyle name="Обычный 2 10 4 4 2" xfId="4986"/>
    <cellStyle name="Обычный 2 10 4 5" xfId="1440"/>
    <cellStyle name="Обычный 2 10 4 5 2" xfId="5282"/>
    <cellStyle name="Обычный 2 10 4 6" xfId="1731"/>
    <cellStyle name="Обычный 2 10 4 6 2" xfId="5578"/>
    <cellStyle name="Обычный 2 10 4 7" xfId="2024"/>
    <cellStyle name="Обычный 2 10 4 7 2" xfId="5874"/>
    <cellStyle name="Обычный 2 10 4 8" xfId="2319"/>
    <cellStyle name="Обычный 2 10 4 8 2" xfId="6170"/>
    <cellStyle name="Обычный 2 10 4 9" xfId="2615"/>
    <cellStyle name="Обычный 2 10 4 9 2" xfId="6466"/>
    <cellStyle name="Обычный 2 10 5" xfId="293"/>
    <cellStyle name="Обычный 2 10 5 10" xfId="3257"/>
    <cellStyle name="Обычный 2 10 5 10 2" xfId="7108"/>
    <cellStyle name="Обычный 2 10 5 11" xfId="3553"/>
    <cellStyle name="Обычный 2 10 5 11 2" xfId="7404"/>
    <cellStyle name="Обычный 2 10 5 12" xfId="3849"/>
    <cellStyle name="Обычный 2 10 5 12 2" xfId="7700"/>
    <cellStyle name="Обычный 2 10 5 13" xfId="4145"/>
    <cellStyle name="Обычный 2 10 5 13 2" xfId="7996"/>
    <cellStyle name="Обычный 2 10 5 14" xfId="8345"/>
    <cellStyle name="Обычный 2 10 5 15" xfId="4444"/>
    <cellStyle name="Обычный 2 10 5 2" xfId="757"/>
    <cellStyle name="Обычный 2 10 5 2 2" xfId="8522"/>
    <cellStyle name="Обычный 2 10 5 2 3" xfId="4740"/>
    <cellStyle name="Обычный 2 10 5 3" xfId="1204"/>
    <cellStyle name="Обычный 2 10 5 3 2" xfId="5036"/>
    <cellStyle name="Обычный 2 10 5 4" xfId="1489"/>
    <cellStyle name="Обычный 2 10 5 4 2" xfId="5332"/>
    <cellStyle name="Обычный 2 10 5 5" xfId="1781"/>
    <cellStyle name="Обычный 2 10 5 5 2" xfId="5628"/>
    <cellStyle name="Обычный 2 10 5 6" xfId="2074"/>
    <cellStyle name="Обычный 2 10 5 6 2" xfId="5924"/>
    <cellStyle name="Обычный 2 10 5 7" xfId="2369"/>
    <cellStyle name="Обычный 2 10 5 7 2" xfId="6220"/>
    <cellStyle name="Обычный 2 10 5 8" xfId="2665"/>
    <cellStyle name="Обычный 2 10 5 8 2" xfId="6516"/>
    <cellStyle name="Обычный 2 10 5 9" xfId="2961"/>
    <cellStyle name="Обычный 2 10 5 9 2" xfId="6812"/>
    <cellStyle name="Обычный 2 10 6" xfId="715"/>
    <cellStyle name="Обычный 2 10 6 2" xfId="8493"/>
    <cellStyle name="Обычный 2 10 6 3" xfId="4592"/>
    <cellStyle name="Обычный 2 10 7" xfId="758"/>
    <cellStyle name="Обычный 2 10 7 2" xfId="8523"/>
    <cellStyle name="Обычный 2 10 7 3" xfId="4888"/>
    <cellStyle name="Обычный 2 10 8" xfId="1346"/>
    <cellStyle name="Обычный 2 10 8 2" xfId="5184"/>
    <cellStyle name="Обычный 2 10 9" xfId="1635"/>
    <cellStyle name="Обычный 2 10 9 2" xfId="5480"/>
    <cellStyle name="Обычный 2 11" xfId="59"/>
    <cellStyle name="Обычный 2 11 10" xfId="1929"/>
    <cellStyle name="Обычный 2 11 10 2" xfId="5777"/>
    <cellStyle name="Обычный 2 11 11" xfId="2223"/>
    <cellStyle name="Обычный 2 11 11 2" xfId="6073"/>
    <cellStyle name="Обычный 2 11 12" xfId="2518"/>
    <cellStyle name="Обычный 2 11 12 2" xfId="6369"/>
    <cellStyle name="Обычный 2 11 13" xfId="2814"/>
    <cellStyle name="Обычный 2 11 13 2" xfId="6665"/>
    <cellStyle name="Обычный 2 11 14" xfId="3110"/>
    <cellStyle name="Обычный 2 11 14 2" xfId="6961"/>
    <cellStyle name="Обычный 2 11 15" xfId="3406"/>
    <cellStyle name="Обычный 2 11 15 2" xfId="7257"/>
    <cellStyle name="Обычный 2 11 16" xfId="3702"/>
    <cellStyle name="Обычный 2 11 16 2" xfId="7553"/>
    <cellStyle name="Обычный 2 11 17" xfId="3998"/>
    <cellStyle name="Обычный 2 11 17 2" xfId="7849"/>
    <cellStyle name="Обычный 2 11 18" xfId="8145"/>
    <cellStyle name="Обычный 2 11 19" xfId="4294"/>
    <cellStyle name="Обычный 2 11 2" xfId="109"/>
    <cellStyle name="Обычный 2 11 2 10" xfId="2244"/>
    <cellStyle name="Обычный 2 11 2 10 2" xfId="6095"/>
    <cellStyle name="Обычный 2 11 2 11" xfId="2540"/>
    <cellStyle name="Обычный 2 11 2 11 2" xfId="6391"/>
    <cellStyle name="Обычный 2 11 2 12" xfId="2836"/>
    <cellStyle name="Обычный 2 11 2 12 2" xfId="6687"/>
    <cellStyle name="Обычный 2 11 2 13" xfId="3132"/>
    <cellStyle name="Обычный 2 11 2 13 2" xfId="6983"/>
    <cellStyle name="Обычный 2 11 2 14" xfId="3428"/>
    <cellStyle name="Обычный 2 11 2 14 2" xfId="7279"/>
    <cellStyle name="Обычный 2 11 2 15" xfId="3724"/>
    <cellStyle name="Обычный 2 11 2 15 2" xfId="7575"/>
    <cellStyle name="Обычный 2 11 2 16" xfId="4020"/>
    <cellStyle name="Обычный 2 11 2 16 2" xfId="7871"/>
    <cellStyle name="Обычный 2 11 2 17" xfId="8167"/>
    <cellStyle name="Обычный 2 11 2 18" xfId="4316"/>
    <cellStyle name="Обычный 2 11 2 2" xfId="162"/>
    <cellStyle name="Обычный 2 11 2 2 10" xfId="2884"/>
    <cellStyle name="Обычный 2 11 2 2 10 2" xfId="6735"/>
    <cellStyle name="Обычный 2 11 2 2 11" xfId="3180"/>
    <cellStyle name="Обычный 2 11 2 2 11 2" xfId="7031"/>
    <cellStyle name="Обычный 2 11 2 2 12" xfId="3476"/>
    <cellStyle name="Обычный 2 11 2 2 12 2" xfId="7327"/>
    <cellStyle name="Обычный 2 11 2 2 13" xfId="3772"/>
    <cellStyle name="Обычный 2 11 2 2 13 2" xfId="7623"/>
    <cellStyle name="Обычный 2 11 2 2 14" xfId="4068"/>
    <cellStyle name="Обычный 2 11 2 2 14 2" xfId="7919"/>
    <cellStyle name="Обычный 2 11 2 2 15" xfId="8217"/>
    <cellStyle name="Обычный 2 11 2 2 16" xfId="4365"/>
    <cellStyle name="Обычный 2 11 2 2 2" xfId="265"/>
    <cellStyle name="Обычный 2 11 2 2 2 10" xfId="3328"/>
    <cellStyle name="Обычный 2 11 2 2 2 10 2" xfId="7179"/>
    <cellStyle name="Обычный 2 11 2 2 2 11" xfId="3624"/>
    <cellStyle name="Обычный 2 11 2 2 2 11 2" xfId="7475"/>
    <cellStyle name="Обычный 2 11 2 2 2 12" xfId="3920"/>
    <cellStyle name="Обычный 2 11 2 2 2 12 2" xfId="7771"/>
    <cellStyle name="Обычный 2 11 2 2 2 13" xfId="4216"/>
    <cellStyle name="Обычный 2 11 2 2 2 13 2" xfId="8067"/>
    <cellStyle name="Обычный 2 11 2 2 2 14" xfId="8318"/>
    <cellStyle name="Обычный 2 11 2 2 2 15" xfId="4515"/>
    <cellStyle name="Обычный 2 11 2 2 2 2" xfId="759"/>
    <cellStyle name="Обычный 2 11 2 2 2 2 2" xfId="8524"/>
    <cellStyle name="Обычный 2 11 2 2 2 2 3" xfId="4811"/>
    <cellStyle name="Обычный 2 11 2 2 2 3" xfId="1273"/>
    <cellStyle name="Обычный 2 11 2 2 2 3 2" xfId="5107"/>
    <cellStyle name="Обычный 2 11 2 2 2 4" xfId="1559"/>
    <cellStyle name="Обычный 2 11 2 2 2 4 2" xfId="5403"/>
    <cellStyle name="Обычный 2 11 2 2 2 5" xfId="1852"/>
    <cellStyle name="Обычный 2 11 2 2 2 5 2" xfId="5699"/>
    <cellStyle name="Обычный 2 11 2 2 2 6" xfId="2145"/>
    <cellStyle name="Обычный 2 11 2 2 2 6 2" xfId="5995"/>
    <cellStyle name="Обычный 2 11 2 2 2 7" xfId="2440"/>
    <cellStyle name="Обычный 2 11 2 2 2 7 2" xfId="6291"/>
    <cellStyle name="Обычный 2 11 2 2 2 8" xfId="2736"/>
    <cellStyle name="Обычный 2 11 2 2 2 8 2" xfId="6587"/>
    <cellStyle name="Обычный 2 11 2 2 2 9" xfId="3032"/>
    <cellStyle name="Обычный 2 11 2 2 2 9 2" xfId="6883"/>
    <cellStyle name="Обычный 2 11 2 2 3" xfId="366"/>
    <cellStyle name="Обычный 2 11 2 2 3 2" xfId="760"/>
    <cellStyle name="Обычный 2 11 2 2 3 3" xfId="8418"/>
    <cellStyle name="Обычный 2 11 2 2 3 4" xfId="4663"/>
    <cellStyle name="Обычный 2 11 2 2 4" xfId="761"/>
    <cellStyle name="Обычный 2 11 2 2 4 2" xfId="8525"/>
    <cellStyle name="Обычный 2 11 2 2 4 3" xfId="4959"/>
    <cellStyle name="Обычный 2 11 2 2 5" xfId="1415"/>
    <cellStyle name="Обычный 2 11 2 2 5 2" xfId="5255"/>
    <cellStyle name="Обычный 2 11 2 2 6" xfId="1705"/>
    <cellStyle name="Обычный 2 11 2 2 6 2" xfId="5551"/>
    <cellStyle name="Обычный 2 11 2 2 7" xfId="1997"/>
    <cellStyle name="Обычный 2 11 2 2 7 2" xfId="5847"/>
    <cellStyle name="Обычный 2 11 2 2 8" xfId="2292"/>
    <cellStyle name="Обычный 2 11 2 2 8 2" xfId="6143"/>
    <cellStyle name="Обычный 2 11 2 2 9" xfId="2588"/>
    <cellStyle name="Обычный 2 11 2 2 9 2" xfId="6439"/>
    <cellStyle name="Обычный 2 11 2 3" xfId="215"/>
    <cellStyle name="Обычный 2 11 2 3 10" xfId="2934"/>
    <cellStyle name="Обычный 2 11 2 3 10 2" xfId="6785"/>
    <cellStyle name="Обычный 2 11 2 3 11" xfId="3230"/>
    <cellStyle name="Обычный 2 11 2 3 11 2" xfId="7081"/>
    <cellStyle name="Обычный 2 11 2 3 12" xfId="3526"/>
    <cellStyle name="Обычный 2 11 2 3 12 2" xfId="7377"/>
    <cellStyle name="Обычный 2 11 2 3 13" xfId="3822"/>
    <cellStyle name="Обычный 2 11 2 3 13 2" xfId="7673"/>
    <cellStyle name="Обычный 2 11 2 3 14" xfId="4118"/>
    <cellStyle name="Обычный 2 11 2 3 14 2" xfId="7969"/>
    <cellStyle name="Обычный 2 11 2 3 15" xfId="8268"/>
    <cellStyle name="Обычный 2 11 2 3 16" xfId="4416"/>
    <cellStyle name="Обычный 2 11 2 3 2" xfId="762"/>
    <cellStyle name="Обычный 2 11 2 3 2 10" xfId="3378"/>
    <cellStyle name="Обычный 2 11 2 3 2 10 2" xfId="7229"/>
    <cellStyle name="Обычный 2 11 2 3 2 11" xfId="3674"/>
    <cellStyle name="Обычный 2 11 2 3 2 11 2" xfId="7525"/>
    <cellStyle name="Обычный 2 11 2 3 2 12" xfId="3970"/>
    <cellStyle name="Обычный 2 11 2 3 2 12 2" xfId="7821"/>
    <cellStyle name="Обычный 2 11 2 3 2 13" xfId="4266"/>
    <cellStyle name="Обычный 2 11 2 3 2 13 2" xfId="8117"/>
    <cellStyle name="Обычный 2 11 2 3 2 14" xfId="8526"/>
    <cellStyle name="Обычный 2 11 2 3 2 15" xfId="4565"/>
    <cellStyle name="Обычный 2 11 2 3 2 2" xfId="1132"/>
    <cellStyle name="Обычный 2 11 2 3 2 2 2" xfId="4861"/>
    <cellStyle name="Обычный 2 11 2 3 2 3" xfId="1321"/>
    <cellStyle name="Обычный 2 11 2 3 2 3 2" xfId="5157"/>
    <cellStyle name="Обычный 2 11 2 3 2 4" xfId="1608"/>
    <cellStyle name="Обычный 2 11 2 3 2 4 2" xfId="5453"/>
    <cellStyle name="Обычный 2 11 2 3 2 5" xfId="1901"/>
    <cellStyle name="Обычный 2 11 2 3 2 5 2" xfId="5749"/>
    <cellStyle name="Обычный 2 11 2 3 2 6" xfId="2195"/>
    <cellStyle name="Обычный 2 11 2 3 2 6 2" xfId="6045"/>
    <cellStyle name="Обычный 2 11 2 3 2 7" xfId="2490"/>
    <cellStyle name="Обычный 2 11 2 3 2 7 2" xfId="6341"/>
    <cellStyle name="Обычный 2 11 2 3 2 8" xfId="2786"/>
    <cellStyle name="Обычный 2 11 2 3 2 8 2" xfId="6637"/>
    <cellStyle name="Обычный 2 11 2 3 2 9" xfId="3082"/>
    <cellStyle name="Обычный 2 11 2 3 2 9 2" xfId="6933"/>
    <cellStyle name="Обычный 2 11 2 3 3" xfId="1085"/>
    <cellStyle name="Обычный 2 11 2 3 3 2" xfId="4713"/>
    <cellStyle name="Обычный 2 11 2 3 4" xfId="1179"/>
    <cellStyle name="Обычный 2 11 2 3 4 2" xfId="5009"/>
    <cellStyle name="Обычный 2 11 2 3 5" xfId="1463"/>
    <cellStyle name="Обычный 2 11 2 3 5 2" xfId="5305"/>
    <cellStyle name="Обычный 2 11 2 3 6" xfId="1754"/>
    <cellStyle name="Обычный 2 11 2 3 6 2" xfId="5601"/>
    <cellStyle name="Обычный 2 11 2 3 7" xfId="2047"/>
    <cellStyle name="Обычный 2 11 2 3 7 2" xfId="5897"/>
    <cellStyle name="Обычный 2 11 2 3 8" xfId="2342"/>
    <cellStyle name="Обычный 2 11 2 3 8 2" xfId="6193"/>
    <cellStyle name="Обычный 2 11 2 3 9" xfId="2638"/>
    <cellStyle name="Обычный 2 11 2 3 9 2" xfId="6489"/>
    <cellStyle name="Обычный 2 11 2 4" xfId="316"/>
    <cellStyle name="Обычный 2 11 2 4 10" xfId="3280"/>
    <cellStyle name="Обычный 2 11 2 4 10 2" xfId="7131"/>
    <cellStyle name="Обычный 2 11 2 4 11" xfId="3576"/>
    <cellStyle name="Обычный 2 11 2 4 11 2" xfId="7427"/>
    <cellStyle name="Обычный 2 11 2 4 12" xfId="3872"/>
    <cellStyle name="Обычный 2 11 2 4 12 2" xfId="7723"/>
    <cellStyle name="Обычный 2 11 2 4 13" xfId="4168"/>
    <cellStyle name="Обычный 2 11 2 4 13 2" xfId="8019"/>
    <cellStyle name="Обычный 2 11 2 4 14" xfId="8368"/>
    <cellStyle name="Обычный 2 11 2 4 15" xfId="4467"/>
    <cellStyle name="Обычный 2 11 2 4 2" xfId="763"/>
    <cellStyle name="Обычный 2 11 2 4 2 2" xfId="8527"/>
    <cellStyle name="Обычный 2 11 2 4 2 3" xfId="4763"/>
    <cellStyle name="Обычный 2 11 2 4 3" xfId="1227"/>
    <cellStyle name="Обычный 2 11 2 4 3 2" xfId="5059"/>
    <cellStyle name="Обычный 2 11 2 4 4" xfId="1512"/>
    <cellStyle name="Обычный 2 11 2 4 4 2" xfId="5355"/>
    <cellStyle name="Обычный 2 11 2 4 5" xfId="1804"/>
    <cellStyle name="Обычный 2 11 2 4 5 2" xfId="5651"/>
    <cellStyle name="Обычный 2 11 2 4 6" xfId="2097"/>
    <cellStyle name="Обычный 2 11 2 4 6 2" xfId="5947"/>
    <cellStyle name="Обычный 2 11 2 4 7" xfId="2392"/>
    <cellStyle name="Обычный 2 11 2 4 7 2" xfId="6243"/>
    <cellStyle name="Обычный 2 11 2 4 8" xfId="2688"/>
    <cellStyle name="Обычный 2 11 2 4 8 2" xfId="6539"/>
    <cellStyle name="Обычный 2 11 2 4 9" xfId="2984"/>
    <cellStyle name="Обычный 2 11 2 4 9 2" xfId="6835"/>
    <cellStyle name="Обычный 2 11 2 5" xfId="764"/>
    <cellStyle name="Обычный 2 11 2 5 2" xfId="8528"/>
    <cellStyle name="Обычный 2 11 2 5 3" xfId="4615"/>
    <cellStyle name="Обычный 2 11 2 6" xfId="765"/>
    <cellStyle name="Обычный 2 11 2 6 2" xfId="8529"/>
    <cellStyle name="Обычный 2 11 2 6 3" xfId="4911"/>
    <cellStyle name="Обычный 2 11 2 7" xfId="1368"/>
    <cellStyle name="Обычный 2 11 2 7 2" xfId="5207"/>
    <cellStyle name="Обычный 2 11 2 8" xfId="1657"/>
    <cellStyle name="Обычный 2 11 2 8 2" xfId="5503"/>
    <cellStyle name="Обычный 2 11 2 9" xfId="1950"/>
    <cellStyle name="Обычный 2 11 2 9 2" xfId="5799"/>
    <cellStyle name="Обычный 2 11 3" xfId="140"/>
    <cellStyle name="Обычный 2 11 3 10" xfId="2862"/>
    <cellStyle name="Обычный 2 11 3 10 2" xfId="6713"/>
    <cellStyle name="Обычный 2 11 3 11" xfId="3158"/>
    <cellStyle name="Обычный 2 11 3 11 2" xfId="7009"/>
    <cellStyle name="Обычный 2 11 3 12" xfId="3454"/>
    <cellStyle name="Обычный 2 11 3 12 2" xfId="7305"/>
    <cellStyle name="Обычный 2 11 3 13" xfId="3750"/>
    <cellStyle name="Обычный 2 11 3 13 2" xfId="7601"/>
    <cellStyle name="Обычный 2 11 3 14" xfId="4046"/>
    <cellStyle name="Обычный 2 11 3 14 2" xfId="7897"/>
    <cellStyle name="Обычный 2 11 3 15" xfId="8195"/>
    <cellStyle name="Обычный 2 11 3 16" xfId="4343"/>
    <cellStyle name="Обычный 2 11 3 2" xfId="243"/>
    <cellStyle name="Обычный 2 11 3 2 10" xfId="3306"/>
    <cellStyle name="Обычный 2 11 3 2 10 2" xfId="7157"/>
    <cellStyle name="Обычный 2 11 3 2 11" xfId="3602"/>
    <cellStyle name="Обычный 2 11 3 2 11 2" xfId="7453"/>
    <cellStyle name="Обычный 2 11 3 2 12" xfId="3898"/>
    <cellStyle name="Обычный 2 11 3 2 12 2" xfId="7749"/>
    <cellStyle name="Обычный 2 11 3 2 13" xfId="4194"/>
    <cellStyle name="Обычный 2 11 3 2 13 2" xfId="8045"/>
    <cellStyle name="Обычный 2 11 3 2 14" xfId="8296"/>
    <cellStyle name="Обычный 2 11 3 2 15" xfId="4493"/>
    <cellStyle name="Обычный 2 11 3 2 2" xfId="766"/>
    <cellStyle name="Обычный 2 11 3 2 2 2" xfId="8530"/>
    <cellStyle name="Обычный 2 11 3 2 2 3" xfId="4789"/>
    <cellStyle name="Обычный 2 11 3 2 3" xfId="1252"/>
    <cellStyle name="Обычный 2 11 3 2 3 2" xfId="5085"/>
    <cellStyle name="Обычный 2 11 3 2 4" xfId="1538"/>
    <cellStyle name="Обычный 2 11 3 2 4 2" xfId="5381"/>
    <cellStyle name="Обычный 2 11 3 2 5" xfId="1830"/>
    <cellStyle name="Обычный 2 11 3 2 5 2" xfId="5677"/>
    <cellStyle name="Обычный 2 11 3 2 6" xfId="2123"/>
    <cellStyle name="Обычный 2 11 3 2 6 2" xfId="5973"/>
    <cellStyle name="Обычный 2 11 3 2 7" xfId="2418"/>
    <cellStyle name="Обычный 2 11 3 2 7 2" xfId="6269"/>
    <cellStyle name="Обычный 2 11 3 2 8" xfId="2714"/>
    <cellStyle name="Обычный 2 11 3 2 8 2" xfId="6565"/>
    <cellStyle name="Обычный 2 11 3 2 9" xfId="3010"/>
    <cellStyle name="Обычный 2 11 3 2 9 2" xfId="6861"/>
    <cellStyle name="Обычный 2 11 3 3" xfId="344"/>
    <cellStyle name="Обычный 2 11 3 3 2" xfId="767"/>
    <cellStyle name="Обычный 2 11 3 3 3" xfId="8396"/>
    <cellStyle name="Обычный 2 11 3 3 4" xfId="4641"/>
    <cellStyle name="Обычный 2 11 3 4" xfId="768"/>
    <cellStyle name="Обычный 2 11 3 4 2" xfId="8531"/>
    <cellStyle name="Обычный 2 11 3 4 3" xfId="4937"/>
    <cellStyle name="Обычный 2 11 3 5" xfId="1394"/>
    <cellStyle name="Обычный 2 11 3 5 2" xfId="5233"/>
    <cellStyle name="Обычный 2 11 3 6" xfId="1683"/>
    <cellStyle name="Обычный 2 11 3 6 2" xfId="5529"/>
    <cellStyle name="Обычный 2 11 3 7" xfId="1976"/>
    <cellStyle name="Обычный 2 11 3 7 2" xfId="5825"/>
    <cellStyle name="Обычный 2 11 3 8" xfId="2270"/>
    <cellStyle name="Обычный 2 11 3 8 2" xfId="6121"/>
    <cellStyle name="Обычный 2 11 3 9" xfId="2566"/>
    <cellStyle name="Обычный 2 11 3 9 2" xfId="6417"/>
    <cellStyle name="Обычный 2 11 4" xfId="193"/>
    <cellStyle name="Обычный 2 11 4 10" xfId="2912"/>
    <cellStyle name="Обычный 2 11 4 10 2" xfId="6763"/>
    <cellStyle name="Обычный 2 11 4 11" xfId="3208"/>
    <cellStyle name="Обычный 2 11 4 11 2" xfId="7059"/>
    <cellStyle name="Обычный 2 11 4 12" xfId="3504"/>
    <cellStyle name="Обычный 2 11 4 12 2" xfId="7355"/>
    <cellStyle name="Обычный 2 11 4 13" xfId="3800"/>
    <cellStyle name="Обычный 2 11 4 13 2" xfId="7651"/>
    <cellStyle name="Обычный 2 11 4 14" xfId="4096"/>
    <cellStyle name="Обычный 2 11 4 14 2" xfId="7947"/>
    <cellStyle name="Обычный 2 11 4 15" xfId="8246"/>
    <cellStyle name="Обычный 2 11 4 16" xfId="4394"/>
    <cellStyle name="Обычный 2 11 4 2" xfId="769"/>
    <cellStyle name="Обычный 2 11 4 2 10" xfId="3356"/>
    <cellStyle name="Обычный 2 11 4 2 10 2" xfId="7207"/>
    <cellStyle name="Обычный 2 11 4 2 11" xfId="3652"/>
    <cellStyle name="Обычный 2 11 4 2 11 2" xfId="7503"/>
    <cellStyle name="Обычный 2 11 4 2 12" xfId="3948"/>
    <cellStyle name="Обычный 2 11 4 2 12 2" xfId="7799"/>
    <cellStyle name="Обычный 2 11 4 2 13" xfId="4244"/>
    <cellStyle name="Обычный 2 11 4 2 13 2" xfId="8095"/>
    <cellStyle name="Обычный 2 11 4 2 14" xfId="8532"/>
    <cellStyle name="Обычный 2 11 4 2 15" xfId="4543"/>
    <cellStyle name="Обычный 2 11 4 2 2" xfId="1111"/>
    <cellStyle name="Обычный 2 11 4 2 2 2" xfId="4839"/>
    <cellStyle name="Обычный 2 11 4 2 3" xfId="1300"/>
    <cellStyle name="Обычный 2 11 4 2 3 2" xfId="5135"/>
    <cellStyle name="Обычный 2 11 4 2 4" xfId="1587"/>
    <cellStyle name="Обычный 2 11 4 2 4 2" xfId="5431"/>
    <cellStyle name="Обычный 2 11 4 2 5" xfId="1880"/>
    <cellStyle name="Обычный 2 11 4 2 5 2" xfId="5727"/>
    <cellStyle name="Обычный 2 11 4 2 6" xfId="2173"/>
    <cellStyle name="Обычный 2 11 4 2 6 2" xfId="6023"/>
    <cellStyle name="Обычный 2 11 4 2 7" xfId="2468"/>
    <cellStyle name="Обычный 2 11 4 2 7 2" xfId="6319"/>
    <cellStyle name="Обычный 2 11 4 2 8" xfId="2764"/>
    <cellStyle name="Обычный 2 11 4 2 8 2" xfId="6615"/>
    <cellStyle name="Обычный 2 11 4 2 9" xfId="3060"/>
    <cellStyle name="Обычный 2 11 4 2 9 2" xfId="6911"/>
    <cellStyle name="Обычный 2 11 4 3" xfId="1064"/>
    <cellStyle name="Обычный 2 11 4 3 2" xfId="4691"/>
    <cellStyle name="Обычный 2 11 4 4" xfId="1158"/>
    <cellStyle name="Обычный 2 11 4 4 2" xfId="4987"/>
    <cellStyle name="Обычный 2 11 4 5" xfId="1441"/>
    <cellStyle name="Обычный 2 11 4 5 2" xfId="5283"/>
    <cellStyle name="Обычный 2 11 4 6" xfId="1732"/>
    <cellStyle name="Обычный 2 11 4 6 2" xfId="5579"/>
    <cellStyle name="Обычный 2 11 4 7" xfId="2025"/>
    <cellStyle name="Обычный 2 11 4 7 2" xfId="5875"/>
    <cellStyle name="Обычный 2 11 4 8" xfId="2320"/>
    <cellStyle name="Обычный 2 11 4 8 2" xfId="6171"/>
    <cellStyle name="Обычный 2 11 4 9" xfId="2616"/>
    <cellStyle name="Обычный 2 11 4 9 2" xfId="6467"/>
    <cellStyle name="Обычный 2 11 5" xfId="294"/>
    <cellStyle name="Обычный 2 11 5 10" xfId="3258"/>
    <cellStyle name="Обычный 2 11 5 10 2" xfId="7109"/>
    <cellStyle name="Обычный 2 11 5 11" xfId="3554"/>
    <cellStyle name="Обычный 2 11 5 11 2" xfId="7405"/>
    <cellStyle name="Обычный 2 11 5 12" xfId="3850"/>
    <cellStyle name="Обычный 2 11 5 12 2" xfId="7701"/>
    <cellStyle name="Обычный 2 11 5 13" xfId="4146"/>
    <cellStyle name="Обычный 2 11 5 13 2" xfId="7997"/>
    <cellStyle name="Обычный 2 11 5 14" xfId="8346"/>
    <cellStyle name="Обычный 2 11 5 15" xfId="4445"/>
    <cellStyle name="Обычный 2 11 5 2" xfId="770"/>
    <cellStyle name="Обычный 2 11 5 2 2" xfId="8533"/>
    <cellStyle name="Обычный 2 11 5 2 3" xfId="4741"/>
    <cellStyle name="Обычный 2 11 5 3" xfId="1205"/>
    <cellStyle name="Обычный 2 11 5 3 2" xfId="5037"/>
    <cellStyle name="Обычный 2 11 5 4" xfId="1490"/>
    <cellStyle name="Обычный 2 11 5 4 2" xfId="5333"/>
    <cellStyle name="Обычный 2 11 5 5" xfId="1782"/>
    <cellStyle name="Обычный 2 11 5 5 2" xfId="5629"/>
    <cellStyle name="Обычный 2 11 5 6" xfId="2075"/>
    <cellStyle name="Обычный 2 11 5 6 2" xfId="5925"/>
    <cellStyle name="Обычный 2 11 5 7" xfId="2370"/>
    <cellStyle name="Обычный 2 11 5 7 2" xfId="6221"/>
    <cellStyle name="Обычный 2 11 5 8" xfId="2666"/>
    <cellStyle name="Обычный 2 11 5 8 2" xfId="6517"/>
    <cellStyle name="Обычный 2 11 5 9" xfId="2962"/>
    <cellStyle name="Обычный 2 11 5 9 2" xfId="6813"/>
    <cellStyle name="Обычный 2 11 6" xfId="771"/>
    <cellStyle name="Обычный 2 11 6 2" xfId="8534"/>
    <cellStyle name="Обычный 2 11 6 3" xfId="4593"/>
    <cellStyle name="Обычный 2 11 7" xfId="772"/>
    <cellStyle name="Обычный 2 11 7 2" xfId="8535"/>
    <cellStyle name="Обычный 2 11 7 3" xfId="4889"/>
    <cellStyle name="Обычный 2 11 8" xfId="1347"/>
    <cellStyle name="Обычный 2 11 8 2" xfId="5185"/>
    <cellStyle name="Обычный 2 11 9" xfId="1636"/>
    <cellStyle name="Обычный 2 11 9 2" xfId="5481"/>
    <cellStyle name="Обычный 2 12" xfId="60"/>
    <cellStyle name="Обычный 2 12 10" xfId="1930"/>
    <cellStyle name="Обычный 2 12 10 2" xfId="5778"/>
    <cellStyle name="Обычный 2 12 11" xfId="2224"/>
    <cellStyle name="Обычный 2 12 11 2" xfId="6074"/>
    <cellStyle name="Обычный 2 12 12" xfId="2519"/>
    <cellStyle name="Обычный 2 12 12 2" xfId="6370"/>
    <cellStyle name="Обычный 2 12 13" xfId="2815"/>
    <cellStyle name="Обычный 2 12 13 2" xfId="6666"/>
    <cellStyle name="Обычный 2 12 14" xfId="3111"/>
    <cellStyle name="Обычный 2 12 14 2" xfId="6962"/>
    <cellStyle name="Обычный 2 12 15" xfId="3407"/>
    <cellStyle name="Обычный 2 12 15 2" xfId="7258"/>
    <cellStyle name="Обычный 2 12 16" xfId="3703"/>
    <cellStyle name="Обычный 2 12 16 2" xfId="7554"/>
    <cellStyle name="Обычный 2 12 17" xfId="3999"/>
    <cellStyle name="Обычный 2 12 17 2" xfId="7850"/>
    <cellStyle name="Обычный 2 12 18" xfId="8146"/>
    <cellStyle name="Обычный 2 12 19" xfId="4295"/>
    <cellStyle name="Обычный 2 12 2" xfId="110"/>
    <cellStyle name="Обычный 2 12 2 10" xfId="2245"/>
    <cellStyle name="Обычный 2 12 2 10 2" xfId="6096"/>
    <cellStyle name="Обычный 2 12 2 11" xfId="2541"/>
    <cellStyle name="Обычный 2 12 2 11 2" xfId="6392"/>
    <cellStyle name="Обычный 2 12 2 12" xfId="2837"/>
    <cellStyle name="Обычный 2 12 2 12 2" xfId="6688"/>
    <cellStyle name="Обычный 2 12 2 13" xfId="3133"/>
    <cellStyle name="Обычный 2 12 2 13 2" xfId="6984"/>
    <cellStyle name="Обычный 2 12 2 14" xfId="3429"/>
    <cellStyle name="Обычный 2 12 2 14 2" xfId="7280"/>
    <cellStyle name="Обычный 2 12 2 15" xfId="3725"/>
    <cellStyle name="Обычный 2 12 2 15 2" xfId="7576"/>
    <cellStyle name="Обычный 2 12 2 16" xfId="4021"/>
    <cellStyle name="Обычный 2 12 2 16 2" xfId="7872"/>
    <cellStyle name="Обычный 2 12 2 17" xfId="8168"/>
    <cellStyle name="Обычный 2 12 2 18" xfId="4317"/>
    <cellStyle name="Обычный 2 12 2 2" xfId="163"/>
    <cellStyle name="Обычный 2 12 2 2 10" xfId="2885"/>
    <cellStyle name="Обычный 2 12 2 2 10 2" xfId="6736"/>
    <cellStyle name="Обычный 2 12 2 2 11" xfId="3181"/>
    <cellStyle name="Обычный 2 12 2 2 11 2" xfId="7032"/>
    <cellStyle name="Обычный 2 12 2 2 12" xfId="3477"/>
    <cellStyle name="Обычный 2 12 2 2 12 2" xfId="7328"/>
    <cellStyle name="Обычный 2 12 2 2 13" xfId="3773"/>
    <cellStyle name="Обычный 2 12 2 2 13 2" xfId="7624"/>
    <cellStyle name="Обычный 2 12 2 2 14" xfId="4069"/>
    <cellStyle name="Обычный 2 12 2 2 14 2" xfId="7920"/>
    <cellStyle name="Обычный 2 12 2 2 15" xfId="8218"/>
    <cellStyle name="Обычный 2 12 2 2 16" xfId="4366"/>
    <cellStyle name="Обычный 2 12 2 2 2" xfId="266"/>
    <cellStyle name="Обычный 2 12 2 2 2 10" xfId="3329"/>
    <cellStyle name="Обычный 2 12 2 2 2 10 2" xfId="7180"/>
    <cellStyle name="Обычный 2 12 2 2 2 11" xfId="3625"/>
    <cellStyle name="Обычный 2 12 2 2 2 11 2" xfId="7476"/>
    <cellStyle name="Обычный 2 12 2 2 2 12" xfId="3921"/>
    <cellStyle name="Обычный 2 12 2 2 2 12 2" xfId="7772"/>
    <cellStyle name="Обычный 2 12 2 2 2 13" xfId="4217"/>
    <cellStyle name="Обычный 2 12 2 2 2 13 2" xfId="8068"/>
    <cellStyle name="Обычный 2 12 2 2 2 14" xfId="8319"/>
    <cellStyle name="Обычный 2 12 2 2 2 15" xfId="4516"/>
    <cellStyle name="Обычный 2 12 2 2 2 2" xfId="773"/>
    <cellStyle name="Обычный 2 12 2 2 2 2 2" xfId="8536"/>
    <cellStyle name="Обычный 2 12 2 2 2 2 3" xfId="4812"/>
    <cellStyle name="Обычный 2 12 2 2 2 3" xfId="1274"/>
    <cellStyle name="Обычный 2 12 2 2 2 3 2" xfId="5108"/>
    <cellStyle name="Обычный 2 12 2 2 2 4" xfId="1560"/>
    <cellStyle name="Обычный 2 12 2 2 2 4 2" xfId="5404"/>
    <cellStyle name="Обычный 2 12 2 2 2 5" xfId="1853"/>
    <cellStyle name="Обычный 2 12 2 2 2 5 2" xfId="5700"/>
    <cellStyle name="Обычный 2 12 2 2 2 6" xfId="2146"/>
    <cellStyle name="Обычный 2 12 2 2 2 6 2" xfId="5996"/>
    <cellStyle name="Обычный 2 12 2 2 2 7" xfId="2441"/>
    <cellStyle name="Обычный 2 12 2 2 2 7 2" xfId="6292"/>
    <cellStyle name="Обычный 2 12 2 2 2 8" xfId="2737"/>
    <cellStyle name="Обычный 2 12 2 2 2 8 2" xfId="6588"/>
    <cellStyle name="Обычный 2 12 2 2 2 9" xfId="3033"/>
    <cellStyle name="Обычный 2 12 2 2 2 9 2" xfId="6884"/>
    <cellStyle name="Обычный 2 12 2 2 3" xfId="367"/>
    <cellStyle name="Обычный 2 12 2 2 3 2" xfId="774"/>
    <cellStyle name="Обычный 2 12 2 2 3 3" xfId="8419"/>
    <cellStyle name="Обычный 2 12 2 2 3 4" xfId="4664"/>
    <cellStyle name="Обычный 2 12 2 2 4" xfId="775"/>
    <cellStyle name="Обычный 2 12 2 2 4 2" xfId="8537"/>
    <cellStyle name="Обычный 2 12 2 2 4 3" xfId="4960"/>
    <cellStyle name="Обычный 2 12 2 2 5" xfId="1416"/>
    <cellStyle name="Обычный 2 12 2 2 5 2" xfId="5256"/>
    <cellStyle name="Обычный 2 12 2 2 6" xfId="1706"/>
    <cellStyle name="Обычный 2 12 2 2 6 2" xfId="5552"/>
    <cellStyle name="Обычный 2 12 2 2 7" xfId="1998"/>
    <cellStyle name="Обычный 2 12 2 2 7 2" xfId="5848"/>
    <cellStyle name="Обычный 2 12 2 2 8" xfId="2293"/>
    <cellStyle name="Обычный 2 12 2 2 8 2" xfId="6144"/>
    <cellStyle name="Обычный 2 12 2 2 9" xfId="2589"/>
    <cellStyle name="Обычный 2 12 2 2 9 2" xfId="6440"/>
    <cellStyle name="Обычный 2 12 2 3" xfId="216"/>
    <cellStyle name="Обычный 2 12 2 3 10" xfId="2935"/>
    <cellStyle name="Обычный 2 12 2 3 10 2" xfId="6786"/>
    <cellStyle name="Обычный 2 12 2 3 11" xfId="3231"/>
    <cellStyle name="Обычный 2 12 2 3 11 2" xfId="7082"/>
    <cellStyle name="Обычный 2 12 2 3 12" xfId="3527"/>
    <cellStyle name="Обычный 2 12 2 3 12 2" xfId="7378"/>
    <cellStyle name="Обычный 2 12 2 3 13" xfId="3823"/>
    <cellStyle name="Обычный 2 12 2 3 13 2" xfId="7674"/>
    <cellStyle name="Обычный 2 12 2 3 14" xfId="4119"/>
    <cellStyle name="Обычный 2 12 2 3 14 2" xfId="7970"/>
    <cellStyle name="Обычный 2 12 2 3 15" xfId="8269"/>
    <cellStyle name="Обычный 2 12 2 3 16" xfId="4417"/>
    <cellStyle name="Обычный 2 12 2 3 2" xfId="776"/>
    <cellStyle name="Обычный 2 12 2 3 2 10" xfId="3379"/>
    <cellStyle name="Обычный 2 12 2 3 2 10 2" xfId="7230"/>
    <cellStyle name="Обычный 2 12 2 3 2 11" xfId="3675"/>
    <cellStyle name="Обычный 2 12 2 3 2 11 2" xfId="7526"/>
    <cellStyle name="Обычный 2 12 2 3 2 12" xfId="3971"/>
    <cellStyle name="Обычный 2 12 2 3 2 12 2" xfId="7822"/>
    <cellStyle name="Обычный 2 12 2 3 2 13" xfId="4267"/>
    <cellStyle name="Обычный 2 12 2 3 2 13 2" xfId="8118"/>
    <cellStyle name="Обычный 2 12 2 3 2 14" xfId="8538"/>
    <cellStyle name="Обычный 2 12 2 3 2 15" xfId="4566"/>
    <cellStyle name="Обычный 2 12 2 3 2 2" xfId="1133"/>
    <cellStyle name="Обычный 2 12 2 3 2 2 2" xfId="4862"/>
    <cellStyle name="Обычный 2 12 2 3 2 3" xfId="1322"/>
    <cellStyle name="Обычный 2 12 2 3 2 3 2" xfId="5158"/>
    <cellStyle name="Обычный 2 12 2 3 2 4" xfId="1609"/>
    <cellStyle name="Обычный 2 12 2 3 2 4 2" xfId="5454"/>
    <cellStyle name="Обычный 2 12 2 3 2 5" xfId="1902"/>
    <cellStyle name="Обычный 2 12 2 3 2 5 2" xfId="5750"/>
    <cellStyle name="Обычный 2 12 2 3 2 6" xfId="2196"/>
    <cellStyle name="Обычный 2 12 2 3 2 6 2" xfId="6046"/>
    <cellStyle name="Обычный 2 12 2 3 2 7" xfId="2491"/>
    <cellStyle name="Обычный 2 12 2 3 2 7 2" xfId="6342"/>
    <cellStyle name="Обычный 2 12 2 3 2 8" xfId="2787"/>
    <cellStyle name="Обычный 2 12 2 3 2 8 2" xfId="6638"/>
    <cellStyle name="Обычный 2 12 2 3 2 9" xfId="3083"/>
    <cellStyle name="Обычный 2 12 2 3 2 9 2" xfId="6934"/>
    <cellStyle name="Обычный 2 12 2 3 3" xfId="1086"/>
    <cellStyle name="Обычный 2 12 2 3 3 2" xfId="4714"/>
    <cellStyle name="Обычный 2 12 2 3 4" xfId="1180"/>
    <cellStyle name="Обычный 2 12 2 3 4 2" xfId="5010"/>
    <cellStyle name="Обычный 2 12 2 3 5" xfId="1464"/>
    <cellStyle name="Обычный 2 12 2 3 5 2" xfId="5306"/>
    <cellStyle name="Обычный 2 12 2 3 6" xfId="1755"/>
    <cellStyle name="Обычный 2 12 2 3 6 2" xfId="5602"/>
    <cellStyle name="Обычный 2 12 2 3 7" xfId="2048"/>
    <cellStyle name="Обычный 2 12 2 3 7 2" xfId="5898"/>
    <cellStyle name="Обычный 2 12 2 3 8" xfId="2343"/>
    <cellStyle name="Обычный 2 12 2 3 8 2" xfId="6194"/>
    <cellStyle name="Обычный 2 12 2 3 9" xfId="2639"/>
    <cellStyle name="Обычный 2 12 2 3 9 2" xfId="6490"/>
    <cellStyle name="Обычный 2 12 2 4" xfId="317"/>
    <cellStyle name="Обычный 2 12 2 4 10" xfId="3281"/>
    <cellStyle name="Обычный 2 12 2 4 10 2" xfId="7132"/>
    <cellStyle name="Обычный 2 12 2 4 11" xfId="3577"/>
    <cellStyle name="Обычный 2 12 2 4 11 2" xfId="7428"/>
    <cellStyle name="Обычный 2 12 2 4 12" xfId="3873"/>
    <cellStyle name="Обычный 2 12 2 4 12 2" xfId="7724"/>
    <cellStyle name="Обычный 2 12 2 4 13" xfId="4169"/>
    <cellStyle name="Обычный 2 12 2 4 13 2" xfId="8020"/>
    <cellStyle name="Обычный 2 12 2 4 14" xfId="8369"/>
    <cellStyle name="Обычный 2 12 2 4 15" xfId="4468"/>
    <cellStyle name="Обычный 2 12 2 4 2" xfId="777"/>
    <cellStyle name="Обычный 2 12 2 4 2 2" xfId="8539"/>
    <cellStyle name="Обычный 2 12 2 4 2 3" xfId="4764"/>
    <cellStyle name="Обычный 2 12 2 4 3" xfId="1228"/>
    <cellStyle name="Обычный 2 12 2 4 3 2" xfId="5060"/>
    <cellStyle name="Обычный 2 12 2 4 4" xfId="1513"/>
    <cellStyle name="Обычный 2 12 2 4 4 2" xfId="5356"/>
    <cellStyle name="Обычный 2 12 2 4 5" xfId="1805"/>
    <cellStyle name="Обычный 2 12 2 4 5 2" xfId="5652"/>
    <cellStyle name="Обычный 2 12 2 4 6" xfId="2098"/>
    <cellStyle name="Обычный 2 12 2 4 6 2" xfId="5948"/>
    <cellStyle name="Обычный 2 12 2 4 7" xfId="2393"/>
    <cellStyle name="Обычный 2 12 2 4 7 2" xfId="6244"/>
    <cellStyle name="Обычный 2 12 2 4 8" xfId="2689"/>
    <cellStyle name="Обычный 2 12 2 4 8 2" xfId="6540"/>
    <cellStyle name="Обычный 2 12 2 4 9" xfId="2985"/>
    <cellStyle name="Обычный 2 12 2 4 9 2" xfId="6836"/>
    <cellStyle name="Обычный 2 12 2 5" xfId="778"/>
    <cellStyle name="Обычный 2 12 2 5 2" xfId="8540"/>
    <cellStyle name="Обычный 2 12 2 5 3" xfId="4616"/>
    <cellStyle name="Обычный 2 12 2 6" xfId="779"/>
    <cellStyle name="Обычный 2 12 2 6 2" xfId="8541"/>
    <cellStyle name="Обычный 2 12 2 6 3" xfId="4912"/>
    <cellStyle name="Обычный 2 12 2 7" xfId="1369"/>
    <cellStyle name="Обычный 2 12 2 7 2" xfId="5208"/>
    <cellStyle name="Обычный 2 12 2 8" xfId="1658"/>
    <cellStyle name="Обычный 2 12 2 8 2" xfId="5504"/>
    <cellStyle name="Обычный 2 12 2 9" xfId="1951"/>
    <cellStyle name="Обычный 2 12 2 9 2" xfId="5800"/>
    <cellStyle name="Обычный 2 12 3" xfId="141"/>
    <cellStyle name="Обычный 2 12 3 10" xfId="2863"/>
    <cellStyle name="Обычный 2 12 3 10 2" xfId="6714"/>
    <cellStyle name="Обычный 2 12 3 11" xfId="3159"/>
    <cellStyle name="Обычный 2 12 3 11 2" xfId="7010"/>
    <cellStyle name="Обычный 2 12 3 12" xfId="3455"/>
    <cellStyle name="Обычный 2 12 3 12 2" xfId="7306"/>
    <cellStyle name="Обычный 2 12 3 13" xfId="3751"/>
    <cellStyle name="Обычный 2 12 3 13 2" xfId="7602"/>
    <cellStyle name="Обычный 2 12 3 14" xfId="4047"/>
    <cellStyle name="Обычный 2 12 3 14 2" xfId="7898"/>
    <cellStyle name="Обычный 2 12 3 15" xfId="8196"/>
    <cellStyle name="Обычный 2 12 3 16" xfId="4344"/>
    <cellStyle name="Обычный 2 12 3 2" xfId="244"/>
    <cellStyle name="Обычный 2 12 3 2 10" xfId="3307"/>
    <cellStyle name="Обычный 2 12 3 2 10 2" xfId="7158"/>
    <cellStyle name="Обычный 2 12 3 2 11" xfId="3603"/>
    <cellStyle name="Обычный 2 12 3 2 11 2" xfId="7454"/>
    <cellStyle name="Обычный 2 12 3 2 12" xfId="3899"/>
    <cellStyle name="Обычный 2 12 3 2 12 2" xfId="7750"/>
    <cellStyle name="Обычный 2 12 3 2 13" xfId="4195"/>
    <cellStyle name="Обычный 2 12 3 2 13 2" xfId="8046"/>
    <cellStyle name="Обычный 2 12 3 2 14" xfId="8297"/>
    <cellStyle name="Обычный 2 12 3 2 15" xfId="4494"/>
    <cellStyle name="Обычный 2 12 3 2 2" xfId="780"/>
    <cellStyle name="Обычный 2 12 3 2 2 2" xfId="8542"/>
    <cellStyle name="Обычный 2 12 3 2 2 3" xfId="4790"/>
    <cellStyle name="Обычный 2 12 3 2 3" xfId="1253"/>
    <cellStyle name="Обычный 2 12 3 2 3 2" xfId="5086"/>
    <cellStyle name="Обычный 2 12 3 2 4" xfId="1539"/>
    <cellStyle name="Обычный 2 12 3 2 4 2" xfId="5382"/>
    <cellStyle name="Обычный 2 12 3 2 5" xfId="1831"/>
    <cellStyle name="Обычный 2 12 3 2 5 2" xfId="5678"/>
    <cellStyle name="Обычный 2 12 3 2 6" xfId="2124"/>
    <cellStyle name="Обычный 2 12 3 2 6 2" xfId="5974"/>
    <cellStyle name="Обычный 2 12 3 2 7" xfId="2419"/>
    <cellStyle name="Обычный 2 12 3 2 7 2" xfId="6270"/>
    <cellStyle name="Обычный 2 12 3 2 8" xfId="2715"/>
    <cellStyle name="Обычный 2 12 3 2 8 2" xfId="6566"/>
    <cellStyle name="Обычный 2 12 3 2 9" xfId="3011"/>
    <cellStyle name="Обычный 2 12 3 2 9 2" xfId="6862"/>
    <cellStyle name="Обычный 2 12 3 3" xfId="345"/>
    <cellStyle name="Обычный 2 12 3 3 2" xfId="781"/>
    <cellStyle name="Обычный 2 12 3 3 3" xfId="8397"/>
    <cellStyle name="Обычный 2 12 3 3 4" xfId="4642"/>
    <cellStyle name="Обычный 2 12 3 4" xfId="782"/>
    <cellStyle name="Обычный 2 12 3 4 2" xfId="8543"/>
    <cellStyle name="Обычный 2 12 3 4 3" xfId="4938"/>
    <cellStyle name="Обычный 2 12 3 5" xfId="1395"/>
    <cellStyle name="Обычный 2 12 3 5 2" xfId="5234"/>
    <cellStyle name="Обычный 2 12 3 6" xfId="1684"/>
    <cellStyle name="Обычный 2 12 3 6 2" xfId="5530"/>
    <cellStyle name="Обычный 2 12 3 7" xfId="1977"/>
    <cellStyle name="Обычный 2 12 3 7 2" xfId="5826"/>
    <cellStyle name="Обычный 2 12 3 8" xfId="2271"/>
    <cellStyle name="Обычный 2 12 3 8 2" xfId="6122"/>
    <cellStyle name="Обычный 2 12 3 9" xfId="2567"/>
    <cellStyle name="Обычный 2 12 3 9 2" xfId="6418"/>
    <cellStyle name="Обычный 2 12 4" xfId="194"/>
    <cellStyle name="Обычный 2 12 4 10" xfId="2913"/>
    <cellStyle name="Обычный 2 12 4 10 2" xfId="6764"/>
    <cellStyle name="Обычный 2 12 4 11" xfId="3209"/>
    <cellStyle name="Обычный 2 12 4 11 2" xfId="7060"/>
    <cellStyle name="Обычный 2 12 4 12" xfId="3505"/>
    <cellStyle name="Обычный 2 12 4 12 2" xfId="7356"/>
    <cellStyle name="Обычный 2 12 4 13" xfId="3801"/>
    <cellStyle name="Обычный 2 12 4 13 2" xfId="7652"/>
    <cellStyle name="Обычный 2 12 4 14" xfId="4097"/>
    <cellStyle name="Обычный 2 12 4 14 2" xfId="7948"/>
    <cellStyle name="Обычный 2 12 4 15" xfId="8247"/>
    <cellStyle name="Обычный 2 12 4 16" xfId="4395"/>
    <cellStyle name="Обычный 2 12 4 2" xfId="783"/>
    <cellStyle name="Обычный 2 12 4 2 10" xfId="3357"/>
    <cellStyle name="Обычный 2 12 4 2 10 2" xfId="7208"/>
    <cellStyle name="Обычный 2 12 4 2 11" xfId="3653"/>
    <cellStyle name="Обычный 2 12 4 2 11 2" xfId="7504"/>
    <cellStyle name="Обычный 2 12 4 2 12" xfId="3949"/>
    <cellStyle name="Обычный 2 12 4 2 12 2" xfId="7800"/>
    <cellStyle name="Обычный 2 12 4 2 13" xfId="4245"/>
    <cellStyle name="Обычный 2 12 4 2 13 2" xfId="8096"/>
    <cellStyle name="Обычный 2 12 4 2 14" xfId="8544"/>
    <cellStyle name="Обычный 2 12 4 2 15" xfId="4544"/>
    <cellStyle name="Обычный 2 12 4 2 2" xfId="1112"/>
    <cellStyle name="Обычный 2 12 4 2 2 2" xfId="4840"/>
    <cellStyle name="Обычный 2 12 4 2 3" xfId="1301"/>
    <cellStyle name="Обычный 2 12 4 2 3 2" xfId="5136"/>
    <cellStyle name="Обычный 2 12 4 2 4" xfId="1588"/>
    <cellStyle name="Обычный 2 12 4 2 4 2" xfId="5432"/>
    <cellStyle name="Обычный 2 12 4 2 5" xfId="1881"/>
    <cellStyle name="Обычный 2 12 4 2 5 2" xfId="5728"/>
    <cellStyle name="Обычный 2 12 4 2 6" xfId="2174"/>
    <cellStyle name="Обычный 2 12 4 2 6 2" xfId="6024"/>
    <cellStyle name="Обычный 2 12 4 2 7" xfId="2469"/>
    <cellStyle name="Обычный 2 12 4 2 7 2" xfId="6320"/>
    <cellStyle name="Обычный 2 12 4 2 8" xfId="2765"/>
    <cellStyle name="Обычный 2 12 4 2 8 2" xfId="6616"/>
    <cellStyle name="Обычный 2 12 4 2 9" xfId="3061"/>
    <cellStyle name="Обычный 2 12 4 2 9 2" xfId="6912"/>
    <cellStyle name="Обычный 2 12 4 3" xfId="1065"/>
    <cellStyle name="Обычный 2 12 4 3 2" xfId="4692"/>
    <cellStyle name="Обычный 2 12 4 4" xfId="1159"/>
    <cellStyle name="Обычный 2 12 4 4 2" xfId="4988"/>
    <cellStyle name="Обычный 2 12 4 5" xfId="1442"/>
    <cellStyle name="Обычный 2 12 4 5 2" xfId="5284"/>
    <cellStyle name="Обычный 2 12 4 6" xfId="1733"/>
    <cellStyle name="Обычный 2 12 4 6 2" xfId="5580"/>
    <cellStyle name="Обычный 2 12 4 7" xfId="2026"/>
    <cellStyle name="Обычный 2 12 4 7 2" xfId="5876"/>
    <cellStyle name="Обычный 2 12 4 8" xfId="2321"/>
    <cellStyle name="Обычный 2 12 4 8 2" xfId="6172"/>
    <cellStyle name="Обычный 2 12 4 9" xfId="2617"/>
    <cellStyle name="Обычный 2 12 4 9 2" xfId="6468"/>
    <cellStyle name="Обычный 2 12 5" xfId="295"/>
    <cellStyle name="Обычный 2 12 5 10" xfId="3259"/>
    <cellStyle name="Обычный 2 12 5 10 2" xfId="7110"/>
    <cellStyle name="Обычный 2 12 5 11" xfId="3555"/>
    <cellStyle name="Обычный 2 12 5 11 2" xfId="7406"/>
    <cellStyle name="Обычный 2 12 5 12" xfId="3851"/>
    <cellStyle name="Обычный 2 12 5 12 2" xfId="7702"/>
    <cellStyle name="Обычный 2 12 5 13" xfId="4147"/>
    <cellStyle name="Обычный 2 12 5 13 2" xfId="7998"/>
    <cellStyle name="Обычный 2 12 5 14" xfId="8347"/>
    <cellStyle name="Обычный 2 12 5 15" xfId="4446"/>
    <cellStyle name="Обычный 2 12 5 2" xfId="784"/>
    <cellStyle name="Обычный 2 12 5 2 2" xfId="8545"/>
    <cellStyle name="Обычный 2 12 5 2 3" xfId="4742"/>
    <cellStyle name="Обычный 2 12 5 3" xfId="1206"/>
    <cellStyle name="Обычный 2 12 5 3 2" xfId="5038"/>
    <cellStyle name="Обычный 2 12 5 4" xfId="1491"/>
    <cellStyle name="Обычный 2 12 5 4 2" xfId="5334"/>
    <cellStyle name="Обычный 2 12 5 5" xfId="1783"/>
    <cellStyle name="Обычный 2 12 5 5 2" xfId="5630"/>
    <cellStyle name="Обычный 2 12 5 6" xfId="2076"/>
    <cellStyle name="Обычный 2 12 5 6 2" xfId="5926"/>
    <cellStyle name="Обычный 2 12 5 7" xfId="2371"/>
    <cellStyle name="Обычный 2 12 5 7 2" xfId="6222"/>
    <cellStyle name="Обычный 2 12 5 8" xfId="2667"/>
    <cellStyle name="Обычный 2 12 5 8 2" xfId="6518"/>
    <cellStyle name="Обычный 2 12 5 9" xfId="2963"/>
    <cellStyle name="Обычный 2 12 5 9 2" xfId="6814"/>
    <cellStyle name="Обычный 2 12 6" xfId="785"/>
    <cellStyle name="Обычный 2 12 6 2" xfId="8546"/>
    <cellStyle name="Обычный 2 12 6 3" xfId="4594"/>
    <cellStyle name="Обычный 2 12 7" xfId="786"/>
    <cellStyle name="Обычный 2 12 7 2" xfId="8547"/>
    <cellStyle name="Обычный 2 12 7 3" xfId="4890"/>
    <cellStyle name="Обычный 2 12 8" xfId="1348"/>
    <cellStyle name="Обычный 2 12 8 2" xfId="5186"/>
    <cellStyle name="Обычный 2 12 9" xfId="1637"/>
    <cellStyle name="Обычный 2 12 9 2" xfId="5482"/>
    <cellStyle name="Обычный 2 13" xfId="57"/>
    <cellStyle name="Обычный 2 14" xfId="52"/>
    <cellStyle name="Обычный 2 14 10" xfId="2218"/>
    <cellStyle name="Обычный 2 14 10 2" xfId="6068"/>
    <cellStyle name="Обычный 2 14 11" xfId="2513"/>
    <cellStyle name="Обычный 2 14 11 2" xfId="6364"/>
    <cellStyle name="Обычный 2 14 12" xfId="2809"/>
    <cellStyle name="Обычный 2 14 12 2" xfId="6660"/>
    <cellStyle name="Обычный 2 14 13" xfId="3105"/>
    <cellStyle name="Обычный 2 14 13 2" xfId="6956"/>
    <cellStyle name="Обычный 2 14 14" xfId="3401"/>
    <cellStyle name="Обычный 2 14 14 2" xfId="7252"/>
    <cellStyle name="Обычный 2 14 15" xfId="3697"/>
    <cellStyle name="Обычный 2 14 15 2" xfId="7548"/>
    <cellStyle name="Обычный 2 14 16" xfId="3993"/>
    <cellStyle name="Обычный 2 14 16 2" xfId="7844"/>
    <cellStyle name="Обычный 2 14 17" xfId="8140"/>
    <cellStyle name="Обычный 2 14 18" xfId="4289"/>
    <cellStyle name="Обычный 2 14 2" xfId="135"/>
    <cellStyle name="Обычный 2 14 2 10" xfId="2857"/>
    <cellStyle name="Обычный 2 14 2 10 2" xfId="6708"/>
    <cellStyle name="Обычный 2 14 2 11" xfId="3153"/>
    <cellStyle name="Обычный 2 14 2 11 2" xfId="7004"/>
    <cellStyle name="Обычный 2 14 2 12" xfId="3449"/>
    <cellStyle name="Обычный 2 14 2 12 2" xfId="7300"/>
    <cellStyle name="Обычный 2 14 2 13" xfId="3745"/>
    <cellStyle name="Обычный 2 14 2 13 2" xfId="7596"/>
    <cellStyle name="Обычный 2 14 2 14" xfId="4041"/>
    <cellStyle name="Обычный 2 14 2 14 2" xfId="7892"/>
    <cellStyle name="Обычный 2 14 2 15" xfId="8190"/>
    <cellStyle name="Обычный 2 14 2 16" xfId="4338"/>
    <cellStyle name="Обычный 2 14 2 2" xfId="238"/>
    <cellStyle name="Обычный 2 14 2 2 10" xfId="3301"/>
    <cellStyle name="Обычный 2 14 2 2 10 2" xfId="7152"/>
    <cellStyle name="Обычный 2 14 2 2 11" xfId="3597"/>
    <cellStyle name="Обычный 2 14 2 2 11 2" xfId="7448"/>
    <cellStyle name="Обычный 2 14 2 2 12" xfId="3893"/>
    <cellStyle name="Обычный 2 14 2 2 12 2" xfId="7744"/>
    <cellStyle name="Обычный 2 14 2 2 13" xfId="4189"/>
    <cellStyle name="Обычный 2 14 2 2 13 2" xfId="8040"/>
    <cellStyle name="Обычный 2 14 2 2 14" xfId="8291"/>
    <cellStyle name="Обычный 2 14 2 2 15" xfId="4488"/>
    <cellStyle name="Обычный 2 14 2 2 2" xfId="787"/>
    <cellStyle name="Обычный 2 14 2 2 2 2" xfId="8548"/>
    <cellStyle name="Обычный 2 14 2 2 2 3" xfId="4784"/>
    <cellStyle name="Обычный 2 14 2 2 3" xfId="1247"/>
    <cellStyle name="Обычный 2 14 2 2 3 2" xfId="5080"/>
    <cellStyle name="Обычный 2 14 2 2 4" xfId="1533"/>
    <cellStyle name="Обычный 2 14 2 2 4 2" xfId="5376"/>
    <cellStyle name="Обычный 2 14 2 2 5" xfId="1825"/>
    <cellStyle name="Обычный 2 14 2 2 5 2" xfId="5672"/>
    <cellStyle name="Обычный 2 14 2 2 6" xfId="2118"/>
    <cellStyle name="Обычный 2 14 2 2 6 2" xfId="5968"/>
    <cellStyle name="Обычный 2 14 2 2 7" xfId="2413"/>
    <cellStyle name="Обычный 2 14 2 2 7 2" xfId="6264"/>
    <cellStyle name="Обычный 2 14 2 2 8" xfId="2709"/>
    <cellStyle name="Обычный 2 14 2 2 8 2" xfId="6560"/>
    <cellStyle name="Обычный 2 14 2 2 9" xfId="3005"/>
    <cellStyle name="Обычный 2 14 2 2 9 2" xfId="6856"/>
    <cellStyle name="Обычный 2 14 2 3" xfId="339"/>
    <cellStyle name="Обычный 2 14 2 3 2" xfId="788"/>
    <cellStyle name="Обычный 2 14 2 3 3" xfId="8391"/>
    <cellStyle name="Обычный 2 14 2 3 4" xfId="4636"/>
    <cellStyle name="Обычный 2 14 2 4" xfId="789"/>
    <cellStyle name="Обычный 2 14 2 4 2" xfId="8549"/>
    <cellStyle name="Обычный 2 14 2 4 3" xfId="4932"/>
    <cellStyle name="Обычный 2 14 2 5" xfId="1389"/>
    <cellStyle name="Обычный 2 14 2 5 2" xfId="5228"/>
    <cellStyle name="Обычный 2 14 2 6" xfId="1678"/>
    <cellStyle name="Обычный 2 14 2 6 2" xfId="5524"/>
    <cellStyle name="Обычный 2 14 2 7" xfId="1971"/>
    <cellStyle name="Обычный 2 14 2 7 2" xfId="5820"/>
    <cellStyle name="Обычный 2 14 2 8" xfId="2265"/>
    <cellStyle name="Обычный 2 14 2 8 2" xfId="6116"/>
    <cellStyle name="Обычный 2 14 2 9" xfId="2561"/>
    <cellStyle name="Обычный 2 14 2 9 2" xfId="6412"/>
    <cellStyle name="Обычный 2 14 3" xfId="188"/>
    <cellStyle name="Обычный 2 14 3 10" xfId="2907"/>
    <cellStyle name="Обычный 2 14 3 10 2" xfId="6758"/>
    <cellStyle name="Обычный 2 14 3 11" xfId="3203"/>
    <cellStyle name="Обычный 2 14 3 11 2" xfId="7054"/>
    <cellStyle name="Обычный 2 14 3 12" xfId="3499"/>
    <cellStyle name="Обычный 2 14 3 12 2" xfId="7350"/>
    <cellStyle name="Обычный 2 14 3 13" xfId="3795"/>
    <cellStyle name="Обычный 2 14 3 13 2" xfId="7646"/>
    <cellStyle name="Обычный 2 14 3 14" xfId="4091"/>
    <cellStyle name="Обычный 2 14 3 14 2" xfId="7942"/>
    <cellStyle name="Обычный 2 14 3 15" xfId="8241"/>
    <cellStyle name="Обычный 2 14 3 16" xfId="4389"/>
    <cellStyle name="Обычный 2 14 3 2" xfId="790"/>
    <cellStyle name="Обычный 2 14 3 2 10" xfId="3351"/>
    <cellStyle name="Обычный 2 14 3 2 10 2" xfId="7202"/>
    <cellStyle name="Обычный 2 14 3 2 11" xfId="3647"/>
    <cellStyle name="Обычный 2 14 3 2 11 2" xfId="7498"/>
    <cellStyle name="Обычный 2 14 3 2 12" xfId="3943"/>
    <cellStyle name="Обычный 2 14 3 2 12 2" xfId="7794"/>
    <cellStyle name="Обычный 2 14 3 2 13" xfId="4239"/>
    <cellStyle name="Обычный 2 14 3 2 13 2" xfId="8090"/>
    <cellStyle name="Обычный 2 14 3 2 14" xfId="8550"/>
    <cellStyle name="Обычный 2 14 3 2 15" xfId="4538"/>
    <cellStyle name="Обычный 2 14 3 2 2" xfId="1106"/>
    <cellStyle name="Обычный 2 14 3 2 2 2" xfId="4834"/>
    <cellStyle name="Обычный 2 14 3 2 3" xfId="1295"/>
    <cellStyle name="Обычный 2 14 3 2 3 2" xfId="5130"/>
    <cellStyle name="Обычный 2 14 3 2 4" xfId="1582"/>
    <cellStyle name="Обычный 2 14 3 2 4 2" xfId="5426"/>
    <cellStyle name="Обычный 2 14 3 2 5" xfId="1875"/>
    <cellStyle name="Обычный 2 14 3 2 5 2" xfId="5722"/>
    <cellStyle name="Обычный 2 14 3 2 6" xfId="2168"/>
    <cellStyle name="Обычный 2 14 3 2 6 2" xfId="6018"/>
    <cellStyle name="Обычный 2 14 3 2 7" xfId="2463"/>
    <cellStyle name="Обычный 2 14 3 2 7 2" xfId="6314"/>
    <cellStyle name="Обычный 2 14 3 2 8" xfId="2759"/>
    <cellStyle name="Обычный 2 14 3 2 8 2" xfId="6610"/>
    <cellStyle name="Обычный 2 14 3 2 9" xfId="3055"/>
    <cellStyle name="Обычный 2 14 3 2 9 2" xfId="6906"/>
    <cellStyle name="Обычный 2 14 3 3" xfId="1059"/>
    <cellStyle name="Обычный 2 14 3 3 2" xfId="4686"/>
    <cellStyle name="Обычный 2 14 3 4" xfId="1153"/>
    <cellStyle name="Обычный 2 14 3 4 2" xfId="4982"/>
    <cellStyle name="Обычный 2 14 3 5" xfId="1436"/>
    <cellStyle name="Обычный 2 14 3 5 2" xfId="5278"/>
    <cellStyle name="Обычный 2 14 3 6" xfId="1727"/>
    <cellStyle name="Обычный 2 14 3 6 2" xfId="5574"/>
    <cellStyle name="Обычный 2 14 3 7" xfId="2020"/>
    <cellStyle name="Обычный 2 14 3 7 2" xfId="5870"/>
    <cellStyle name="Обычный 2 14 3 8" xfId="2315"/>
    <cellStyle name="Обычный 2 14 3 8 2" xfId="6166"/>
    <cellStyle name="Обычный 2 14 3 9" xfId="2611"/>
    <cellStyle name="Обычный 2 14 3 9 2" xfId="6462"/>
    <cellStyle name="Обычный 2 14 4" xfId="289"/>
    <cellStyle name="Обычный 2 14 4 10" xfId="3253"/>
    <cellStyle name="Обычный 2 14 4 10 2" xfId="7104"/>
    <cellStyle name="Обычный 2 14 4 11" xfId="3549"/>
    <cellStyle name="Обычный 2 14 4 11 2" xfId="7400"/>
    <cellStyle name="Обычный 2 14 4 12" xfId="3845"/>
    <cellStyle name="Обычный 2 14 4 12 2" xfId="7696"/>
    <cellStyle name="Обычный 2 14 4 13" xfId="4141"/>
    <cellStyle name="Обычный 2 14 4 13 2" xfId="7992"/>
    <cellStyle name="Обычный 2 14 4 14" xfId="8341"/>
    <cellStyle name="Обычный 2 14 4 15" xfId="4440"/>
    <cellStyle name="Обычный 2 14 4 2" xfId="791"/>
    <cellStyle name="Обычный 2 14 4 2 2" xfId="8551"/>
    <cellStyle name="Обычный 2 14 4 2 3" xfId="4736"/>
    <cellStyle name="Обычный 2 14 4 3" xfId="1200"/>
    <cellStyle name="Обычный 2 14 4 3 2" xfId="5032"/>
    <cellStyle name="Обычный 2 14 4 4" xfId="1485"/>
    <cellStyle name="Обычный 2 14 4 4 2" xfId="5328"/>
    <cellStyle name="Обычный 2 14 4 5" xfId="1777"/>
    <cellStyle name="Обычный 2 14 4 5 2" xfId="5624"/>
    <cellStyle name="Обычный 2 14 4 6" xfId="2070"/>
    <cellStyle name="Обычный 2 14 4 6 2" xfId="5920"/>
    <cellStyle name="Обычный 2 14 4 7" xfId="2365"/>
    <cellStyle name="Обычный 2 14 4 7 2" xfId="6216"/>
    <cellStyle name="Обычный 2 14 4 8" xfId="2661"/>
    <cellStyle name="Обычный 2 14 4 8 2" xfId="6512"/>
    <cellStyle name="Обычный 2 14 4 9" xfId="2957"/>
    <cellStyle name="Обычный 2 14 4 9 2" xfId="6808"/>
    <cellStyle name="Обычный 2 14 5" xfId="792"/>
    <cellStyle name="Обычный 2 14 5 2" xfId="8552"/>
    <cellStyle name="Обычный 2 14 5 3" xfId="4588"/>
    <cellStyle name="Обычный 2 14 6" xfId="793"/>
    <cellStyle name="Обычный 2 14 6 2" xfId="8553"/>
    <cellStyle name="Обычный 2 14 6 3" xfId="4884"/>
    <cellStyle name="Обычный 2 14 7" xfId="1342"/>
    <cellStyle name="Обычный 2 14 7 2" xfId="5180"/>
    <cellStyle name="Обычный 2 14 8" xfId="1631"/>
    <cellStyle name="Обычный 2 14 8 2" xfId="5476"/>
    <cellStyle name="Обычный 2 14 9" xfId="1924"/>
    <cellStyle name="Обычный 2 14 9 2" xfId="5772"/>
    <cellStyle name="Обычный 2 15" xfId="387"/>
    <cellStyle name="Обычный 2 16" xfId="1054"/>
    <cellStyle name="Обычный 2 17" xfId="47"/>
    <cellStyle name="Обычный 2 2" xfId="53"/>
    <cellStyle name="Обычный 2 2 10" xfId="794"/>
    <cellStyle name="Обычный 2 2 10 2" xfId="8554"/>
    <cellStyle name="Обычный 2 2 10 3" xfId="4885"/>
    <cellStyle name="Обычный 2 2 11" xfId="1343"/>
    <cellStyle name="Обычный 2 2 11 2" xfId="5181"/>
    <cellStyle name="Обычный 2 2 12" xfId="1632"/>
    <cellStyle name="Обычный 2 2 12 2" xfId="5477"/>
    <cellStyle name="Обычный 2 2 13" xfId="1925"/>
    <cellStyle name="Обычный 2 2 13 2" xfId="5773"/>
    <cellStyle name="Обычный 2 2 14" xfId="2219"/>
    <cellStyle name="Обычный 2 2 14 2" xfId="6069"/>
    <cellStyle name="Обычный 2 2 15" xfId="2514"/>
    <cellStyle name="Обычный 2 2 15 2" xfId="6365"/>
    <cellStyle name="Обычный 2 2 16" xfId="2810"/>
    <cellStyle name="Обычный 2 2 16 2" xfId="6661"/>
    <cellStyle name="Обычный 2 2 17" xfId="3106"/>
    <cellStyle name="Обычный 2 2 17 2" xfId="6957"/>
    <cellStyle name="Обычный 2 2 18" xfId="3402"/>
    <cellStyle name="Обычный 2 2 18 2" xfId="7253"/>
    <cellStyle name="Обычный 2 2 19" xfId="3698"/>
    <cellStyle name="Обычный 2 2 19 2" xfId="7549"/>
    <cellStyle name="Обычный 2 2 2" xfId="62"/>
    <cellStyle name="Обычный 2 2 2 10" xfId="1932"/>
    <cellStyle name="Обычный 2 2 2 10 2" xfId="5780"/>
    <cellStyle name="Обычный 2 2 2 11" xfId="2226"/>
    <cellStyle name="Обычный 2 2 2 11 2" xfId="6076"/>
    <cellStyle name="Обычный 2 2 2 12" xfId="2521"/>
    <cellStyle name="Обычный 2 2 2 12 2" xfId="6372"/>
    <cellStyle name="Обычный 2 2 2 13" xfId="2817"/>
    <cellStyle name="Обычный 2 2 2 13 2" xfId="6668"/>
    <cellStyle name="Обычный 2 2 2 14" xfId="3113"/>
    <cellStyle name="Обычный 2 2 2 14 2" xfId="6964"/>
    <cellStyle name="Обычный 2 2 2 15" xfId="3409"/>
    <cellStyle name="Обычный 2 2 2 15 2" xfId="7260"/>
    <cellStyle name="Обычный 2 2 2 16" xfId="3705"/>
    <cellStyle name="Обычный 2 2 2 16 2" xfId="7556"/>
    <cellStyle name="Обычный 2 2 2 17" xfId="4001"/>
    <cellStyle name="Обычный 2 2 2 17 2" xfId="7852"/>
    <cellStyle name="Обычный 2 2 2 18" xfId="8148"/>
    <cellStyle name="Обычный 2 2 2 19" xfId="4297"/>
    <cellStyle name="Обычный 2 2 2 2" xfId="112"/>
    <cellStyle name="Обычный 2 2 2 2 10" xfId="2247"/>
    <cellStyle name="Обычный 2 2 2 2 10 2" xfId="6098"/>
    <cellStyle name="Обычный 2 2 2 2 11" xfId="2543"/>
    <cellStyle name="Обычный 2 2 2 2 11 2" xfId="6394"/>
    <cellStyle name="Обычный 2 2 2 2 12" xfId="2839"/>
    <cellStyle name="Обычный 2 2 2 2 12 2" xfId="6690"/>
    <cellStyle name="Обычный 2 2 2 2 13" xfId="3135"/>
    <cellStyle name="Обычный 2 2 2 2 13 2" xfId="6986"/>
    <cellStyle name="Обычный 2 2 2 2 14" xfId="3431"/>
    <cellStyle name="Обычный 2 2 2 2 14 2" xfId="7282"/>
    <cellStyle name="Обычный 2 2 2 2 15" xfId="3727"/>
    <cellStyle name="Обычный 2 2 2 2 15 2" xfId="7578"/>
    <cellStyle name="Обычный 2 2 2 2 16" xfId="4023"/>
    <cellStyle name="Обычный 2 2 2 2 16 2" xfId="7874"/>
    <cellStyle name="Обычный 2 2 2 2 17" xfId="8170"/>
    <cellStyle name="Обычный 2 2 2 2 18" xfId="4319"/>
    <cellStyle name="Обычный 2 2 2 2 2" xfId="165"/>
    <cellStyle name="Обычный 2 2 2 2 2 10" xfId="2887"/>
    <cellStyle name="Обычный 2 2 2 2 2 10 2" xfId="6738"/>
    <cellStyle name="Обычный 2 2 2 2 2 11" xfId="3183"/>
    <cellStyle name="Обычный 2 2 2 2 2 11 2" xfId="7034"/>
    <cellStyle name="Обычный 2 2 2 2 2 12" xfId="3479"/>
    <cellStyle name="Обычный 2 2 2 2 2 12 2" xfId="7330"/>
    <cellStyle name="Обычный 2 2 2 2 2 13" xfId="3775"/>
    <cellStyle name="Обычный 2 2 2 2 2 13 2" xfId="7626"/>
    <cellStyle name="Обычный 2 2 2 2 2 14" xfId="4071"/>
    <cellStyle name="Обычный 2 2 2 2 2 14 2" xfId="7922"/>
    <cellStyle name="Обычный 2 2 2 2 2 15" xfId="8220"/>
    <cellStyle name="Обычный 2 2 2 2 2 16" xfId="4368"/>
    <cellStyle name="Обычный 2 2 2 2 2 2" xfId="268"/>
    <cellStyle name="Обычный 2 2 2 2 2 2 10" xfId="3331"/>
    <cellStyle name="Обычный 2 2 2 2 2 2 10 2" xfId="7182"/>
    <cellStyle name="Обычный 2 2 2 2 2 2 11" xfId="3627"/>
    <cellStyle name="Обычный 2 2 2 2 2 2 11 2" xfId="7478"/>
    <cellStyle name="Обычный 2 2 2 2 2 2 12" xfId="3923"/>
    <cellStyle name="Обычный 2 2 2 2 2 2 12 2" xfId="7774"/>
    <cellStyle name="Обычный 2 2 2 2 2 2 13" xfId="4219"/>
    <cellStyle name="Обычный 2 2 2 2 2 2 13 2" xfId="8070"/>
    <cellStyle name="Обычный 2 2 2 2 2 2 14" xfId="8321"/>
    <cellStyle name="Обычный 2 2 2 2 2 2 15" xfId="4518"/>
    <cellStyle name="Обычный 2 2 2 2 2 2 2" xfId="795"/>
    <cellStyle name="Обычный 2 2 2 2 2 2 2 2" xfId="8555"/>
    <cellStyle name="Обычный 2 2 2 2 2 2 2 3" xfId="4814"/>
    <cellStyle name="Обычный 2 2 2 2 2 2 3" xfId="1276"/>
    <cellStyle name="Обычный 2 2 2 2 2 2 3 2" xfId="5110"/>
    <cellStyle name="Обычный 2 2 2 2 2 2 4" xfId="1562"/>
    <cellStyle name="Обычный 2 2 2 2 2 2 4 2" xfId="5406"/>
    <cellStyle name="Обычный 2 2 2 2 2 2 5" xfId="1855"/>
    <cellStyle name="Обычный 2 2 2 2 2 2 5 2" xfId="5702"/>
    <cellStyle name="Обычный 2 2 2 2 2 2 6" xfId="2148"/>
    <cellStyle name="Обычный 2 2 2 2 2 2 6 2" xfId="5998"/>
    <cellStyle name="Обычный 2 2 2 2 2 2 7" xfId="2443"/>
    <cellStyle name="Обычный 2 2 2 2 2 2 7 2" xfId="6294"/>
    <cellStyle name="Обычный 2 2 2 2 2 2 8" xfId="2739"/>
    <cellStyle name="Обычный 2 2 2 2 2 2 8 2" xfId="6590"/>
    <cellStyle name="Обычный 2 2 2 2 2 2 9" xfId="3035"/>
    <cellStyle name="Обычный 2 2 2 2 2 2 9 2" xfId="6886"/>
    <cellStyle name="Обычный 2 2 2 2 2 3" xfId="369"/>
    <cellStyle name="Обычный 2 2 2 2 2 3 2" xfId="796"/>
    <cellStyle name="Обычный 2 2 2 2 2 3 3" xfId="8421"/>
    <cellStyle name="Обычный 2 2 2 2 2 3 4" xfId="4666"/>
    <cellStyle name="Обычный 2 2 2 2 2 4" xfId="797"/>
    <cellStyle name="Обычный 2 2 2 2 2 4 2" xfId="8556"/>
    <cellStyle name="Обычный 2 2 2 2 2 4 3" xfId="4962"/>
    <cellStyle name="Обычный 2 2 2 2 2 5" xfId="1418"/>
    <cellStyle name="Обычный 2 2 2 2 2 5 2" xfId="5258"/>
    <cellStyle name="Обычный 2 2 2 2 2 6" xfId="1708"/>
    <cellStyle name="Обычный 2 2 2 2 2 6 2" xfId="5554"/>
    <cellStyle name="Обычный 2 2 2 2 2 7" xfId="2000"/>
    <cellStyle name="Обычный 2 2 2 2 2 7 2" xfId="5850"/>
    <cellStyle name="Обычный 2 2 2 2 2 8" xfId="2295"/>
    <cellStyle name="Обычный 2 2 2 2 2 8 2" xfId="6146"/>
    <cellStyle name="Обычный 2 2 2 2 2 9" xfId="2591"/>
    <cellStyle name="Обычный 2 2 2 2 2 9 2" xfId="6442"/>
    <cellStyle name="Обычный 2 2 2 2 3" xfId="218"/>
    <cellStyle name="Обычный 2 2 2 2 3 10" xfId="2937"/>
    <cellStyle name="Обычный 2 2 2 2 3 10 2" xfId="6788"/>
    <cellStyle name="Обычный 2 2 2 2 3 11" xfId="3233"/>
    <cellStyle name="Обычный 2 2 2 2 3 11 2" xfId="7084"/>
    <cellStyle name="Обычный 2 2 2 2 3 12" xfId="3529"/>
    <cellStyle name="Обычный 2 2 2 2 3 12 2" xfId="7380"/>
    <cellStyle name="Обычный 2 2 2 2 3 13" xfId="3825"/>
    <cellStyle name="Обычный 2 2 2 2 3 13 2" xfId="7676"/>
    <cellStyle name="Обычный 2 2 2 2 3 14" xfId="4121"/>
    <cellStyle name="Обычный 2 2 2 2 3 14 2" xfId="7972"/>
    <cellStyle name="Обычный 2 2 2 2 3 15" xfId="8271"/>
    <cellStyle name="Обычный 2 2 2 2 3 16" xfId="4419"/>
    <cellStyle name="Обычный 2 2 2 2 3 2" xfId="798"/>
    <cellStyle name="Обычный 2 2 2 2 3 2 10" xfId="3381"/>
    <cellStyle name="Обычный 2 2 2 2 3 2 10 2" xfId="7232"/>
    <cellStyle name="Обычный 2 2 2 2 3 2 11" xfId="3677"/>
    <cellStyle name="Обычный 2 2 2 2 3 2 11 2" xfId="7528"/>
    <cellStyle name="Обычный 2 2 2 2 3 2 12" xfId="3973"/>
    <cellStyle name="Обычный 2 2 2 2 3 2 12 2" xfId="7824"/>
    <cellStyle name="Обычный 2 2 2 2 3 2 13" xfId="4269"/>
    <cellStyle name="Обычный 2 2 2 2 3 2 13 2" xfId="8120"/>
    <cellStyle name="Обычный 2 2 2 2 3 2 14" xfId="8557"/>
    <cellStyle name="Обычный 2 2 2 2 3 2 15" xfId="4568"/>
    <cellStyle name="Обычный 2 2 2 2 3 2 2" xfId="1135"/>
    <cellStyle name="Обычный 2 2 2 2 3 2 2 2" xfId="4864"/>
    <cellStyle name="Обычный 2 2 2 2 3 2 3" xfId="1324"/>
    <cellStyle name="Обычный 2 2 2 2 3 2 3 2" xfId="5160"/>
    <cellStyle name="Обычный 2 2 2 2 3 2 4" xfId="1611"/>
    <cellStyle name="Обычный 2 2 2 2 3 2 4 2" xfId="5456"/>
    <cellStyle name="Обычный 2 2 2 2 3 2 5" xfId="1904"/>
    <cellStyle name="Обычный 2 2 2 2 3 2 5 2" xfId="5752"/>
    <cellStyle name="Обычный 2 2 2 2 3 2 6" xfId="2198"/>
    <cellStyle name="Обычный 2 2 2 2 3 2 6 2" xfId="6048"/>
    <cellStyle name="Обычный 2 2 2 2 3 2 7" xfId="2493"/>
    <cellStyle name="Обычный 2 2 2 2 3 2 7 2" xfId="6344"/>
    <cellStyle name="Обычный 2 2 2 2 3 2 8" xfId="2789"/>
    <cellStyle name="Обычный 2 2 2 2 3 2 8 2" xfId="6640"/>
    <cellStyle name="Обычный 2 2 2 2 3 2 9" xfId="3085"/>
    <cellStyle name="Обычный 2 2 2 2 3 2 9 2" xfId="6936"/>
    <cellStyle name="Обычный 2 2 2 2 3 3" xfId="1088"/>
    <cellStyle name="Обычный 2 2 2 2 3 3 2" xfId="4716"/>
    <cellStyle name="Обычный 2 2 2 2 3 4" xfId="1182"/>
    <cellStyle name="Обычный 2 2 2 2 3 4 2" xfId="5012"/>
    <cellStyle name="Обычный 2 2 2 2 3 5" xfId="1466"/>
    <cellStyle name="Обычный 2 2 2 2 3 5 2" xfId="5308"/>
    <cellStyle name="Обычный 2 2 2 2 3 6" xfId="1757"/>
    <cellStyle name="Обычный 2 2 2 2 3 6 2" xfId="5604"/>
    <cellStyle name="Обычный 2 2 2 2 3 7" xfId="2050"/>
    <cellStyle name="Обычный 2 2 2 2 3 7 2" xfId="5900"/>
    <cellStyle name="Обычный 2 2 2 2 3 8" xfId="2345"/>
    <cellStyle name="Обычный 2 2 2 2 3 8 2" xfId="6196"/>
    <cellStyle name="Обычный 2 2 2 2 3 9" xfId="2641"/>
    <cellStyle name="Обычный 2 2 2 2 3 9 2" xfId="6492"/>
    <cellStyle name="Обычный 2 2 2 2 4" xfId="319"/>
    <cellStyle name="Обычный 2 2 2 2 4 10" xfId="3283"/>
    <cellStyle name="Обычный 2 2 2 2 4 10 2" xfId="7134"/>
    <cellStyle name="Обычный 2 2 2 2 4 11" xfId="3579"/>
    <cellStyle name="Обычный 2 2 2 2 4 11 2" xfId="7430"/>
    <cellStyle name="Обычный 2 2 2 2 4 12" xfId="3875"/>
    <cellStyle name="Обычный 2 2 2 2 4 12 2" xfId="7726"/>
    <cellStyle name="Обычный 2 2 2 2 4 13" xfId="4171"/>
    <cellStyle name="Обычный 2 2 2 2 4 13 2" xfId="8022"/>
    <cellStyle name="Обычный 2 2 2 2 4 14" xfId="8371"/>
    <cellStyle name="Обычный 2 2 2 2 4 15" xfId="4470"/>
    <cellStyle name="Обычный 2 2 2 2 4 2" xfId="799"/>
    <cellStyle name="Обычный 2 2 2 2 4 2 2" xfId="8558"/>
    <cellStyle name="Обычный 2 2 2 2 4 2 3" xfId="4766"/>
    <cellStyle name="Обычный 2 2 2 2 4 3" xfId="1230"/>
    <cellStyle name="Обычный 2 2 2 2 4 3 2" xfId="5062"/>
    <cellStyle name="Обычный 2 2 2 2 4 4" xfId="1515"/>
    <cellStyle name="Обычный 2 2 2 2 4 4 2" xfId="5358"/>
    <cellStyle name="Обычный 2 2 2 2 4 5" xfId="1807"/>
    <cellStyle name="Обычный 2 2 2 2 4 5 2" xfId="5654"/>
    <cellStyle name="Обычный 2 2 2 2 4 6" xfId="2100"/>
    <cellStyle name="Обычный 2 2 2 2 4 6 2" xfId="5950"/>
    <cellStyle name="Обычный 2 2 2 2 4 7" xfId="2395"/>
    <cellStyle name="Обычный 2 2 2 2 4 7 2" xfId="6246"/>
    <cellStyle name="Обычный 2 2 2 2 4 8" xfId="2691"/>
    <cellStyle name="Обычный 2 2 2 2 4 8 2" xfId="6542"/>
    <cellStyle name="Обычный 2 2 2 2 4 9" xfId="2987"/>
    <cellStyle name="Обычный 2 2 2 2 4 9 2" xfId="6838"/>
    <cellStyle name="Обычный 2 2 2 2 5" xfId="609"/>
    <cellStyle name="Обычный 2 2 2 2 5 2" xfId="8455"/>
    <cellStyle name="Обычный 2 2 2 2 5 3" xfId="4618"/>
    <cellStyle name="Обычный 2 2 2 2 6" xfId="800"/>
    <cellStyle name="Обычный 2 2 2 2 6 2" xfId="8559"/>
    <cellStyle name="Обычный 2 2 2 2 6 3" xfId="4914"/>
    <cellStyle name="Обычный 2 2 2 2 7" xfId="1371"/>
    <cellStyle name="Обычный 2 2 2 2 7 2" xfId="5210"/>
    <cellStyle name="Обычный 2 2 2 2 8" xfId="1660"/>
    <cellStyle name="Обычный 2 2 2 2 8 2" xfId="5506"/>
    <cellStyle name="Обычный 2 2 2 2 9" xfId="1953"/>
    <cellStyle name="Обычный 2 2 2 2 9 2" xfId="5802"/>
    <cellStyle name="Обычный 2 2 2 20" xfId="8780"/>
    <cellStyle name="Обычный 2 2 2 21" xfId="8858"/>
    <cellStyle name="Обычный 2 2 2 3" xfId="143"/>
    <cellStyle name="Обычный 2 2 2 3 10" xfId="2865"/>
    <cellStyle name="Обычный 2 2 2 3 10 2" xfId="6716"/>
    <cellStyle name="Обычный 2 2 2 3 11" xfId="3161"/>
    <cellStyle name="Обычный 2 2 2 3 11 2" xfId="7012"/>
    <cellStyle name="Обычный 2 2 2 3 12" xfId="3457"/>
    <cellStyle name="Обычный 2 2 2 3 12 2" xfId="7308"/>
    <cellStyle name="Обычный 2 2 2 3 13" xfId="3753"/>
    <cellStyle name="Обычный 2 2 2 3 13 2" xfId="7604"/>
    <cellStyle name="Обычный 2 2 2 3 14" xfId="4049"/>
    <cellStyle name="Обычный 2 2 2 3 14 2" xfId="7900"/>
    <cellStyle name="Обычный 2 2 2 3 15" xfId="8198"/>
    <cellStyle name="Обычный 2 2 2 3 16" xfId="4346"/>
    <cellStyle name="Обычный 2 2 2 3 2" xfId="246"/>
    <cellStyle name="Обычный 2 2 2 3 2 10" xfId="3309"/>
    <cellStyle name="Обычный 2 2 2 3 2 10 2" xfId="7160"/>
    <cellStyle name="Обычный 2 2 2 3 2 11" xfId="3605"/>
    <cellStyle name="Обычный 2 2 2 3 2 11 2" xfId="7456"/>
    <cellStyle name="Обычный 2 2 2 3 2 12" xfId="3901"/>
    <cellStyle name="Обычный 2 2 2 3 2 12 2" xfId="7752"/>
    <cellStyle name="Обычный 2 2 2 3 2 13" xfId="4197"/>
    <cellStyle name="Обычный 2 2 2 3 2 13 2" xfId="8048"/>
    <cellStyle name="Обычный 2 2 2 3 2 14" xfId="8299"/>
    <cellStyle name="Обычный 2 2 2 3 2 15" xfId="4496"/>
    <cellStyle name="Обычный 2 2 2 3 2 2" xfId="801"/>
    <cellStyle name="Обычный 2 2 2 3 2 2 2" xfId="8560"/>
    <cellStyle name="Обычный 2 2 2 3 2 2 3" xfId="4792"/>
    <cellStyle name="Обычный 2 2 2 3 2 3" xfId="1255"/>
    <cellStyle name="Обычный 2 2 2 3 2 3 2" xfId="5088"/>
    <cellStyle name="Обычный 2 2 2 3 2 4" xfId="1541"/>
    <cellStyle name="Обычный 2 2 2 3 2 4 2" xfId="5384"/>
    <cellStyle name="Обычный 2 2 2 3 2 5" xfId="1833"/>
    <cellStyle name="Обычный 2 2 2 3 2 5 2" xfId="5680"/>
    <cellStyle name="Обычный 2 2 2 3 2 6" xfId="2126"/>
    <cellStyle name="Обычный 2 2 2 3 2 6 2" xfId="5976"/>
    <cellStyle name="Обычный 2 2 2 3 2 7" xfId="2421"/>
    <cellStyle name="Обычный 2 2 2 3 2 7 2" xfId="6272"/>
    <cellStyle name="Обычный 2 2 2 3 2 8" xfId="2717"/>
    <cellStyle name="Обычный 2 2 2 3 2 8 2" xfId="6568"/>
    <cellStyle name="Обычный 2 2 2 3 2 9" xfId="3013"/>
    <cellStyle name="Обычный 2 2 2 3 2 9 2" xfId="6864"/>
    <cellStyle name="Обычный 2 2 2 3 3" xfId="347"/>
    <cellStyle name="Обычный 2 2 2 3 3 2" xfId="802"/>
    <cellStyle name="Обычный 2 2 2 3 3 3" xfId="8399"/>
    <cellStyle name="Обычный 2 2 2 3 3 4" xfId="4644"/>
    <cellStyle name="Обычный 2 2 2 3 4" xfId="803"/>
    <cellStyle name="Обычный 2 2 2 3 4 2" xfId="8561"/>
    <cellStyle name="Обычный 2 2 2 3 4 3" xfId="4940"/>
    <cellStyle name="Обычный 2 2 2 3 5" xfId="1397"/>
    <cellStyle name="Обычный 2 2 2 3 5 2" xfId="5236"/>
    <cellStyle name="Обычный 2 2 2 3 6" xfId="1686"/>
    <cellStyle name="Обычный 2 2 2 3 6 2" xfId="5532"/>
    <cellStyle name="Обычный 2 2 2 3 7" xfId="1979"/>
    <cellStyle name="Обычный 2 2 2 3 7 2" xfId="5828"/>
    <cellStyle name="Обычный 2 2 2 3 8" xfId="2273"/>
    <cellStyle name="Обычный 2 2 2 3 8 2" xfId="6124"/>
    <cellStyle name="Обычный 2 2 2 3 9" xfId="2569"/>
    <cellStyle name="Обычный 2 2 2 3 9 2" xfId="6420"/>
    <cellStyle name="Обычный 2 2 2 4" xfId="196"/>
    <cellStyle name="Обычный 2 2 2 4 10" xfId="2915"/>
    <cellStyle name="Обычный 2 2 2 4 10 2" xfId="6766"/>
    <cellStyle name="Обычный 2 2 2 4 11" xfId="3211"/>
    <cellStyle name="Обычный 2 2 2 4 11 2" xfId="7062"/>
    <cellStyle name="Обычный 2 2 2 4 12" xfId="3507"/>
    <cellStyle name="Обычный 2 2 2 4 12 2" xfId="7358"/>
    <cellStyle name="Обычный 2 2 2 4 13" xfId="3803"/>
    <cellStyle name="Обычный 2 2 2 4 13 2" xfId="7654"/>
    <cellStyle name="Обычный 2 2 2 4 14" xfId="4099"/>
    <cellStyle name="Обычный 2 2 2 4 14 2" xfId="7950"/>
    <cellStyle name="Обычный 2 2 2 4 15" xfId="8249"/>
    <cellStyle name="Обычный 2 2 2 4 16" xfId="4397"/>
    <cellStyle name="Обычный 2 2 2 4 2" xfId="804"/>
    <cellStyle name="Обычный 2 2 2 4 2 10" xfId="3359"/>
    <cellStyle name="Обычный 2 2 2 4 2 10 2" xfId="7210"/>
    <cellStyle name="Обычный 2 2 2 4 2 11" xfId="3655"/>
    <cellStyle name="Обычный 2 2 2 4 2 11 2" xfId="7506"/>
    <cellStyle name="Обычный 2 2 2 4 2 12" xfId="3951"/>
    <cellStyle name="Обычный 2 2 2 4 2 12 2" xfId="7802"/>
    <cellStyle name="Обычный 2 2 2 4 2 13" xfId="4247"/>
    <cellStyle name="Обычный 2 2 2 4 2 13 2" xfId="8098"/>
    <cellStyle name="Обычный 2 2 2 4 2 14" xfId="8562"/>
    <cellStyle name="Обычный 2 2 2 4 2 15" xfId="4546"/>
    <cellStyle name="Обычный 2 2 2 4 2 2" xfId="1114"/>
    <cellStyle name="Обычный 2 2 2 4 2 2 2" xfId="4842"/>
    <cellStyle name="Обычный 2 2 2 4 2 3" xfId="1303"/>
    <cellStyle name="Обычный 2 2 2 4 2 3 2" xfId="5138"/>
    <cellStyle name="Обычный 2 2 2 4 2 4" xfId="1590"/>
    <cellStyle name="Обычный 2 2 2 4 2 4 2" xfId="5434"/>
    <cellStyle name="Обычный 2 2 2 4 2 5" xfId="1883"/>
    <cellStyle name="Обычный 2 2 2 4 2 5 2" xfId="5730"/>
    <cellStyle name="Обычный 2 2 2 4 2 6" xfId="2176"/>
    <cellStyle name="Обычный 2 2 2 4 2 6 2" xfId="6026"/>
    <cellStyle name="Обычный 2 2 2 4 2 7" xfId="2471"/>
    <cellStyle name="Обычный 2 2 2 4 2 7 2" xfId="6322"/>
    <cellStyle name="Обычный 2 2 2 4 2 8" xfId="2767"/>
    <cellStyle name="Обычный 2 2 2 4 2 8 2" xfId="6618"/>
    <cellStyle name="Обычный 2 2 2 4 2 9" xfId="3063"/>
    <cellStyle name="Обычный 2 2 2 4 2 9 2" xfId="6914"/>
    <cellStyle name="Обычный 2 2 2 4 3" xfId="1067"/>
    <cellStyle name="Обычный 2 2 2 4 3 2" xfId="4694"/>
    <cellStyle name="Обычный 2 2 2 4 4" xfId="1161"/>
    <cellStyle name="Обычный 2 2 2 4 4 2" xfId="4990"/>
    <cellStyle name="Обычный 2 2 2 4 5" xfId="1444"/>
    <cellStyle name="Обычный 2 2 2 4 5 2" xfId="5286"/>
    <cellStyle name="Обычный 2 2 2 4 6" xfId="1735"/>
    <cellStyle name="Обычный 2 2 2 4 6 2" xfId="5582"/>
    <cellStyle name="Обычный 2 2 2 4 7" xfId="2028"/>
    <cellStyle name="Обычный 2 2 2 4 7 2" xfId="5878"/>
    <cellStyle name="Обычный 2 2 2 4 8" xfId="2323"/>
    <cellStyle name="Обычный 2 2 2 4 8 2" xfId="6174"/>
    <cellStyle name="Обычный 2 2 2 4 9" xfId="2619"/>
    <cellStyle name="Обычный 2 2 2 4 9 2" xfId="6470"/>
    <cellStyle name="Обычный 2 2 2 5" xfId="297"/>
    <cellStyle name="Обычный 2 2 2 5 10" xfId="3261"/>
    <cellStyle name="Обычный 2 2 2 5 10 2" xfId="7112"/>
    <cellStyle name="Обычный 2 2 2 5 11" xfId="3557"/>
    <cellStyle name="Обычный 2 2 2 5 11 2" xfId="7408"/>
    <cellStyle name="Обычный 2 2 2 5 12" xfId="3853"/>
    <cellStyle name="Обычный 2 2 2 5 12 2" xfId="7704"/>
    <cellStyle name="Обычный 2 2 2 5 13" xfId="4149"/>
    <cellStyle name="Обычный 2 2 2 5 13 2" xfId="8000"/>
    <cellStyle name="Обычный 2 2 2 5 14" xfId="8349"/>
    <cellStyle name="Обычный 2 2 2 5 15" xfId="4448"/>
    <cellStyle name="Обычный 2 2 2 5 2" xfId="805"/>
    <cellStyle name="Обычный 2 2 2 5 2 2" xfId="8563"/>
    <cellStyle name="Обычный 2 2 2 5 2 3" xfId="4744"/>
    <cellStyle name="Обычный 2 2 2 5 3" xfId="1208"/>
    <cellStyle name="Обычный 2 2 2 5 3 2" xfId="5040"/>
    <cellStyle name="Обычный 2 2 2 5 4" xfId="1493"/>
    <cellStyle name="Обычный 2 2 2 5 4 2" xfId="5336"/>
    <cellStyle name="Обычный 2 2 2 5 5" xfId="1785"/>
    <cellStyle name="Обычный 2 2 2 5 5 2" xfId="5632"/>
    <cellStyle name="Обычный 2 2 2 5 6" xfId="2078"/>
    <cellStyle name="Обычный 2 2 2 5 6 2" xfId="5928"/>
    <cellStyle name="Обычный 2 2 2 5 7" xfId="2373"/>
    <cellStyle name="Обычный 2 2 2 5 7 2" xfId="6224"/>
    <cellStyle name="Обычный 2 2 2 5 8" xfId="2669"/>
    <cellStyle name="Обычный 2 2 2 5 8 2" xfId="6520"/>
    <cellStyle name="Обычный 2 2 2 5 9" xfId="2965"/>
    <cellStyle name="Обычный 2 2 2 5 9 2" xfId="6816"/>
    <cellStyle name="Обычный 2 2 2 6" xfId="400"/>
    <cellStyle name="Обычный 2 2 2 6 2" xfId="8447"/>
    <cellStyle name="Обычный 2 2 2 6 3" xfId="4596"/>
    <cellStyle name="Обычный 2 2 2 7" xfId="806"/>
    <cellStyle name="Обычный 2 2 2 7 2" xfId="8564"/>
    <cellStyle name="Обычный 2 2 2 7 3" xfId="4892"/>
    <cellStyle name="Обычный 2 2 2 8" xfId="1350"/>
    <cellStyle name="Обычный 2 2 2 8 2" xfId="5188"/>
    <cellStyle name="Обычный 2 2 2 9" xfId="1639"/>
    <cellStyle name="Обычный 2 2 2 9 2" xfId="5484"/>
    <cellStyle name="Обычный 2 2 20" xfId="3994"/>
    <cellStyle name="Обычный 2 2 20 2" xfId="7845"/>
    <cellStyle name="Обычный 2 2 21" xfId="8141"/>
    <cellStyle name="Обычный 2 2 22" xfId="4290"/>
    <cellStyle name="Обычный 2 2 23" xfId="8859"/>
    <cellStyle name="Обычный 2 2 3" xfId="63"/>
    <cellStyle name="Обычный 2 2 3 10" xfId="1933"/>
    <cellStyle name="Обычный 2 2 3 10 2" xfId="5781"/>
    <cellStyle name="Обычный 2 2 3 11" xfId="2227"/>
    <cellStyle name="Обычный 2 2 3 11 2" xfId="6077"/>
    <cellStyle name="Обычный 2 2 3 12" xfId="2522"/>
    <cellStyle name="Обычный 2 2 3 12 2" xfId="6373"/>
    <cellStyle name="Обычный 2 2 3 13" xfId="2818"/>
    <cellStyle name="Обычный 2 2 3 13 2" xfId="6669"/>
    <cellStyle name="Обычный 2 2 3 14" xfId="3114"/>
    <cellStyle name="Обычный 2 2 3 14 2" xfId="6965"/>
    <cellStyle name="Обычный 2 2 3 15" xfId="3410"/>
    <cellStyle name="Обычный 2 2 3 15 2" xfId="7261"/>
    <cellStyle name="Обычный 2 2 3 16" xfId="3706"/>
    <cellStyle name="Обычный 2 2 3 16 2" xfId="7557"/>
    <cellStyle name="Обычный 2 2 3 17" xfId="4002"/>
    <cellStyle name="Обычный 2 2 3 17 2" xfId="7853"/>
    <cellStyle name="Обычный 2 2 3 18" xfId="8149"/>
    <cellStyle name="Обычный 2 2 3 19" xfId="4298"/>
    <cellStyle name="Обычный 2 2 3 2" xfId="113"/>
    <cellStyle name="Обычный 2 2 3 2 10" xfId="2248"/>
    <cellStyle name="Обычный 2 2 3 2 10 2" xfId="6099"/>
    <cellStyle name="Обычный 2 2 3 2 11" xfId="2544"/>
    <cellStyle name="Обычный 2 2 3 2 11 2" xfId="6395"/>
    <cellStyle name="Обычный 2 2 3 2 12" xfId="2840"/>
    <cellStyle name="Обычный 2 2 3 2 12 2" xfId="6691"/>
    <cellStyle name="Обычный 2 2 3 2 13" xfId="3136"/>
    <cellStyle name="Обычный 2 2 3 2 13 2" xfId="6987"/>
    <cellStyle name="Обычный 2 2 3 2 14" xfId="3432"/>
    <cellStyle name="Обычный 2 2 3 2 14 2" xfId="7283"/>
    <cellStyle name="Обычный 2 2 3 2 15" xfId="3728"/>
    <cellStyle name="Обычный 2 2 3 2 15 2" xfId="7579"/>
    <cellStyle name="Обычный 2 2 3 2 16" xfId="4024"/>
    <cellStyle name="Обычный 2 2 3 2 16 2" xfId="7875"/>
    <cellStyle name="Обычный 2 2 3 2 17" xfId="8171"/>
    <cellStyle name="Обычный 2 2 3 2 18" xfId="4320"/>
    <cellStyle name="Обычный 2 2 3 2 2" xfId="166"/>
    <cellStyle name="Обычный 2 2 3 2 2 10" xfId="2888"/>
    <cellStyle name="Обычный 2 2 3 2 2 10 2" xfId="6739"/>
    <cellStyle name="Обычный 2 2 3 2 2 11" xfId="3184"/>
    <cellStyle name="Обычный 2 2 3 2 2 11 2" xfId="7035"/>
    <cellStyle name="Обычный 2 2 3 2 2 12" xfId="3480"/>
    <cellStyle name="Обычный 2 2 3 2 2 12 2" xfId="7331"/>
    <cellStyle name="Обычный 2 2 3 2 2 13" xfId="3776"/>
    <cellStyle name="Обычный 2 2 3 2 2 13 2" xfId="7627"/>
    <cellStyle name="Обычный 2 2 3 2 2 14" xfId="4072"/>
    <cellStyle name="Обычный 2 2 3 2 2 14 2" xfId="7923"/>
    <cellStyle name="Обычный 2 2 3 2 2 15" xfId="8221"/>
    <cellStyle name="Обычный 2 2 3 2 2 16" xfId="4369"/>
    <cellStyle name="Обычный 2 2 3 2 2 2" xfId="269"/>
    <cellStyle name="Обычный 2 2 3 2 2 2 10" xfId="3332"/>
    <cellStyle name="Обычный 2 2 3 2 2 2 10 2" xfId="7183"/>
    <cellStyle name="Обычный 2 2 3 2 2 2 11" xfId="3628"/>
    <cellStyle name="Обычный 2 2 3 2 2 2 11 2" xfId="7479"/>
    <cellStyle name="Обычный 2 2 3 2 2 2 12" xfId="3924"/>
    <cellStyle name="Обычный 2 2 3 2 2 2 12 2" xfId="7775"/>
    <cellStyle name="Обычный 2 2 3 2 2 2 13" xfId="4220"/>
    <cellStyle name="Обычный 2 2 3 2 2 2 13 2" xfId="8071"/>
    <cellStyle name="Обычный 2 2 3 2 2 2 14" xfId="8322"/>
    <cellStyle name="Обычный 2 2 3 2 2 2 15" xfId="4519"/>
    <cellStyle name="Обычный 2 2 3 2 2 2 2" xfId="807"/>
    <cellStyle name="Обычный 2 2 3 2 2 2 2 2" xfId="8565"/>
    <cellStyle name="Обычный 2 2 3 2 2 2 2 3" xfId="4815"/>
    <cellStyle name="Обычный 2 2 3 2 2 2 3" xfId="1277"/>
    <cellStyle name="Обычный 2 2 3 2 2 2 3 2" xfId="5111"/>
    <cellStyle name="Обычный 2 2 3 2 2 2 4" xfId="1563"/>
    <cellStyle name="Обычный 2 2 3 2 2 2 4 2" xfId="5407"/>
    <cellStyle name="Обычный 2 2 3 2 2 2 5" xfId="1856"/>
    <cellStyle name="Обычный 2 2 3 2 2 2 5 2" xfId="5703"/>
    <cellStyle name="Обычный 2 2 3 2 2 2 6" xfId="2149"/>
    <cellStyle name="Обычный 2 2 3 2 2 2 6 2" xfId="5999"/>
    <cellStyle name="Обычный 2 2 3 2 2 2 7" xfId="2444"/>
    <cellStyle name="Обычный 2 2 3 2 2 2 7 2" xfId="6295"/>
    <cellStyle name="Обычный 2 2 3 2 2 2 8" xfId="2740"/>
    <cellStyle name="Обычный 2 2 3 2 2 2 8 2" xfId="6591"/>
    <cellStyle name="Обычный 2 2 3 2 2 2 9" xfId="3036"/>
    <cellStyle name="Обычный 2 2 3 2 2 2 9 2" xfId="6887"/>
    <cellStyle name="Обычный 2 2 3 2 2 3" xfId="370"/>
    <cellStyle name="Обычный 2 2 3 2 2 3 2" xfId="808"/>
    <cellStyle name="Обычный 2 2 3 2 2 3 3" xfId="8422"/>
    <cellStyle name="Обычный 2 2 3 2 2 3 4" xfId="4667"/>
    <cellStyle name="Обычный 2 2 3 2 2 4" xfId="809"/>
    <cellStyle name="Обычный 2 2 3 2 2 4 2" xfId="8566"/>
    <cellStyle name="Обычный 2 2 3 2 2 4 3" xfId="4963"/>
    <cellStyle name="Обычный 2 2 3 2 2 5" xfId="1419"/>
    <cellStyle name="Обычный 2 2 3 2 2 5 2" xfId="5259"/>
    <cellStyle name="Обычный 2 2 3 2 2 6" xfId="1709"/>
    <cellStyle name="Обычный 2 2 3 2 2 6 2" xfId="5555"/>
    <cellStyle name="Обычный 2 2 3 2 2 7" xfId="2001"/>
    <cellStyle name="Обычный 2 2 3 2 2 7 2" xfId="5851"/>
    <cellStyle name="Обычный 2 2 3 2 2 8" xfId="2296"/>
    <cellStyle name="Обычный 2 2 3 2 2 8 2" xfId="6147"/>
    <cellStyle name="Обычный 2 2 3 2 2 9" xfId="2592"/>
    <cellStyle name="Обычный 2 2 3 2 2 9 2" xfId="6443"/>
    <cellStyle name="Обычный 2 2 3 2 3" xfId="219"/>
    <cellStyle name="Обычный 2 2 3 2 3 10" xfId="2938"/>
    <cellStyle name="Обычный 2 2 3 2 3 10 2" xfId="6789"/>
    <cellStyle name="Обычный 2 2 3 2 3 11" xfId="3234"/>
    <cellStyle name="Обычный 2 2 3 2 3 11 2" xfId="7085"/>
    <cellStyle name="Обычный 2 2 3 2 3 12" xfId="3530"/>
    <cellStyle name="Обычный 2 2 3 2 3 12 2" xfId="7381"/>
    <cellStyle name="Обычный 2 2 3 2 3 13" xfId="3826"/>
    <cellStyle name="Обычный 2 2 3 2 3 13 2" xfId="7677"/>
    <cellStyle name="Обычный 2 2 3 2 3 14" xfId="4122"/>
    <cellStyle name="Обычный 2 2 3 2 3 14 2" xfId="7973"/>
    <cellStyle name="Обычный 2 2 3 2 3 15" xfId="8272"/>
    <cellStyle name="Обычный 2 2 3 2 3 16" xfId="4420"/>
    <cellStyle name="Обычный 2 2 3 2 3 2" xfId="810"/>
    <cellStyle name="Обычный 2 2 3 2 3 2 10" xfId="3382"/>
    <cellStyle name="Обычный 2 2 3 2 3 2 10 2" xfId="7233"/>
    <cellStyle name="Обычный 2 2 3 2 3 2 11" xfId="3678"/>
    <cellStyle name="Обычный 2 2 3 2 3 2 11 2" xfId="7529"/>
    <cellStyle name="Обычный 2 2 3 2 3 2 12" xfId="3974"/>
    <cellStyle name="Обычный 2 2 3 2 3 2 12 2" xfId="7825"/>
    <cellStyle name="Обычный 2 2 3 2 3 2 13" xfId="4270"/>
    <cellStyle name="Обычный 2 2 3 2 3 2 13 2" xfId="8121"/>
    <cellStyle name="Обычный 2 2 3 2 3 2 14" xfId="8567"/>
    <cellStyle name="Обычный 2 2 3 2 3 2 15" xfId="4569"/>
    <cellStyle name="Обычный 2 2 3 2 3 2 2" xfId="1136"/>
    <cellStyle name="Обычный 2 2 3 2 3 2 2 2" xfId="4865"/>
    <cellStyle name="Обычный 2 2 3 2 3 2 3" xfId="1325"/>
    <cellStyle name="Обычный 2 2 3 2 3 2 3 2" xfId="5161"/>
    <cellStyle name="Обычный 2 2 3 2 3 2 4" xfId="1612"/>
    <cellStyle name="Обычный 2 2 3 2 3 2 4 2" xfId="5457"/>
    <cellStyle name="Обычный 2 2 3 2 3 2 5" xfId="1905"/>
    <cellStyle name="Обычный 2 2 3 2 3 2 5 2" xfId="5753"/>
    <cellStyle name="Обычный 2 2 3 2 3 2 6" xfId="2199"/>
    <cellStyle name="Обычный 2 2 3 2 3 2 6 2" xfId="6049"/>
    <cellStyle name="Обычный 2 2 3 2 3 2 7" xfId="2494"/>
    <cellStyle name="Обычный 2 2 3 2 3 2 7 2" xfId="6345"/>
    <cellStyle name="Обычный 2 2 3 2 3 2 8" xfId="2790"/>
    <cellStyle name="Обычный 2 2 3 2 3 2 8 2" xfId="6641"/>
    <cellStyle name="Обычный 2 2 3 2 3 2 9" xfId="3086"/>
    <cellStyle name="Обычный 2 2 3 2 3 2 9 2" xfId="6937"/>
    <cellStyle name="Обычный 2 2 3 2 3 3" xfId="1089"/>
    <cellStyle name="Обычный 2 2 3 2 3 3 2" xfId="4717"/>
    <cellStyle name="Обычный 2 2 3 2 3 4" xfId="1183"/>
    <cellStyle name="Обычный 2 2 3 2 3 4 2" xfId="5013"/>
    <cellStyle name="Обычный 2 2 3 2 3 5" xfId="1467"/>
    <cellStyle name="Обычный 2 2 3 2 3 5 2" xfId="5309"/>
    <cellStyle name="Обычный 2 2 3 2 3 6" xfId="1758"/>
    <cellStyle name="Обычный 2 2 3 2 3 6 2" xfId="5605"/>
    <cellStyle name="Обычный 2 2 3 2 3 7" xfId="2051"/>
    <cellStyle name="Обычный 2 2 3 2 3 7 2" xfId="5901"/>
    <cellStyle name="Обычный 2 2 3 2 3 8" xfId="2346"/>
    <cellStyle name="Обычный 2 2 3 2 3 8 2" xfId="6197"/>
    <cellStyle name="Обычный 2 2 3 2 3 9" xfId="2642"/>
    <cellStyle name="Обычный 2 2 3 2 3 9 2" xfId="6493"/>
    <cellStyle name="Обычный 2 2 3 2 4" xfId="320"/>
    <cellStyle name="Обычный 2 2 3 2 4 10" xfId="3284"/>
    <cellStyle name="Обычный 2 2 3 2 4 10 2" xfId="7135"/>
    <cellStyle name="Обычный 2 2 3 2 4 11" xfId="3580"/>
    <cellStyle name="Обычный 2 2 3 2 4 11 2" xfId="7431"/>
    <cellStyle name="Обычный 2 2 3 2 4 12" xfId="3876"/>
    <cellStyle name="Обычный 2 2 3 2 4 12 2" xfId="7727"/>
    <cellStyle name="Обычный 2 2 3 2 4 13" xfId="4172"/>
    <cellStyle name="Обычный 2 2 3 2 4 13 2" xfId="8023"/>
    <cellStyle name="Обычный 2 2 3 2 4 14" xfId="8372"/>
    <cellStyle name="Обычный 2 2 3 2 4 15" xfId="4471"/>
    <cellStyle name="Обычный 2 2 3 2 4 2" xfId="811"/>
    <cellStyle name="Обычный 2 2 3 2 4 2 2" xfId="8568"/>
    <cellStyle name="Обычный 2 2 3 2 4 2 3" xfId="4767"/>
    <cellStyle name="Обычный 2 2 3 2 4 3" xfId="1231"/>
    <cellStyle name="Обычный 2 2 3 2 4 3 2" xfId="5063"/>
    <cellStyle name="Обычный 2 2 3 2 4 4" xfId="1516"/>
    <cellStyle name="Обычный 2 2 3 2 4 4 2" xfId="5359"/>
    <cellStyle name="Обычный 2 2 3 2 4 5" xfId="1808"/>
    <cellStyle name="Обычный 2 2 3 2 4 5 2" xfId="5655"/>
    <cellStyle name="Обычный 2 2 3 2 4 6" xfId="2101"/>
    <cellStyle name="Обычный 2 2 3 2 4 6 2" xfId="5951"/>
    <cellStyle name="Обычный 2 2 3 2 4 7" xfId="2396"/>
    <cellStyle name="Обычный 2 2 3 2 4 7 2" xfId="6247"/>
    <cellStyle name="Обычный 2 2 3 2 4 8" xfId="2692"/>
    <cellStyle name="Обычный 2 2 3 2 4 8 2" xfId="6543"/>
    <cellStyle name="Обычный 2 2 3 2 4 9" xfId="2988"/>
    <cellStyle name="Обычный 2 2 3 2 4 9 2" xfId="6839"/>
    <cellStyle name="Обычный 2 2 3 2 5" xfId="812"/>
    <cellStyle name="Обычный 2 2 3 2 5 2" xfId="8569"/>
    <cellStyle name="Обычный 2 2 3 2 5 3" xfId="4619"/>
    <cellStyle name="Обычный 2 2 3 2 6" xfId="813"/>
    <cellStyle name="Обычный 2 2 3 2 6 2" xfId="8570"/>
    <cellStyle name="Обычный 2 2 3 2 6 3" xfId="4915"/>
    <cellStyle name="Обычный 2 2 3 2 7" xfId="1372"/>
    <cellStyle name="Обычный 2 2 3 2 7 2" xfId="5211"/>
    <cellStyle name="Обычный 2 2 3 2 8" xfId="1661"/>
    <cellStyle name="Обычный 2 2 3 2 8 2" xfId="5507"/>
    <cellStyle name="Обычный 2 2 3 2 9" xfId="1954"/>
    <cellStyle name="Обычный 2 2 3 2 9 2" xfId="5803"/>
    <cellStyle name="Обычный 2 2 3 20" xfId="8830"/>
    <cellStyle name="Обычный 2 2 3 3" xfId="144"/>
    <cellStyle name="Обычный 2 2 3 3 10" xfId="2866"/>
    <cellStyle name="Обычный 2 2 3 3 10 2" xfId="6717"/>
    <cellStyle name="Обычный 2 2 3 3 11" xfId="3162"/>
    <cellStyle name="Обычный 2 2 3 3 11 2" xfId="7013"/>
    <cellStyle name="Обычный 2 2 3 3 12" xfId="3458"/>
    <cellStyle name="Обычный 2 2 3 3 12 2" xfId="7309"/>
    <cellStyle name="Обычный 2 2 3 3 13" xfId="3754"/>
    <cellStyle name="Обычный 2 2 3 3 13 2" xfId="7605"/>
    <cellStyle name="Обычный 2 2 3 3 14" xfId="4050"/>
    <cellStyle name="Обычный 2 2 3 3 14 2" xfId="7901"/>
    <cellStyle name="Обычный 2 2 3 3 15" xfId="8199"/>
    <cellStyle name="Обычный 2 2 3 3 16" xfId="4347"/>
    <cellStyle name="Обычный 2 2 3 3 2" xfId="247"/>
    <cellStyle name="Обычный 2 2 3 3 2 10" xfId="3310"/>
    <cellStyle name="Обычный 2 2 3 3 2 10 2" xfId="7161"/>
    <cellStyle name="Обычный 2 2 3 3 2 11" xfId="3606"/>
    <cellStyle name="Обычный 2 2 3 3 2 11 2" xfId="7457"/>
    <cellStyle name="Обычный 2 2 3 3 2 12" xfId="3902"/>
    <cellStyle name="Обычный 2 2 3 3 2 12 2" xfId="7753"/>
    <cellStyle name="Обычный 2 2 3 3 2 13" xfId="4198"/>
    <cellStyle name="Обычный 2 2 3 3 2 13 2" xfId="8049"/>
    <cellStyle name="Обычный 2 2 3 3 2 14" xfId="8300"/>
    <cellStyle name="Обычный 2 2 3 3 2 15" xfId="4497"/>
    <cellStyle name="Обычный 2 2 3 3 2 2" xfId="814"/>
    <cellStyle name="Обычный 2 2 3 3 2 2 2" xfId="8571"/>
    <cellStyle name="Обычный 2 2 3 3 2 2 3" xfId="4793"/>
    <cellStyle name="Обычный 2 2 3 3 2 3" xfId="1256"/>
    <cellStyle name="Обычный 2 2 3 3 2 3 2" xfId="5089"/>
    <cellStyle name="Обычный 2 2 3 3 2 4" xfId="1542"/>
    <cellStyle name="Обычный 2 2 3 3 2 4 2" xfId="5385"/>
    <cellStyle name="Обычный 2 2 3 3 2 5" xfId="1834"/>
    <cellStyle name="Обычный 2 2 3 3 2 5 2" xfId="5681"/>
    <cellStyle name="Обычный 2 2 3 3 2 6" xfId="2127"/>
    <cellStyle name="Обычный 2 2 3 3 2 6 2" xfId="5977"/>
    <cellStyle name="Обычный 2 2 3 3 2 7" xfId="2422"/>
    <cellStyle name="Обычный 2 2 3 3 2 7 2" xfId="6273"/>
    <cellStyle name="Обычный 2 2 3 3 2 8" xfId="2718"/>
    <cellStyle name="Обычный 2 2 3 3 2 8 2" xfId="6569"/>
    <cellStyle name="Обычный 2 2 3 3 2 9" xfId="3014"/>
    <cellStyle name="Обычный 2 2 3 3 2 9 2" xfId="6865"/>
    <cellStyle name="Обычный 2 2 3 3 3" xfId="348"/>
    <cellStyle name="Обычный 2 2 3 3 3 2" xfId="815"/>
    <cellStyle name="Обычный 2 2 3 3 3 3" xfId="8400"/>
    <cellStyle name="Обычный 2 2 3 3 3 4" xfId="4645"/>
    <cellStyle name="Обычный 2 2 3 3 4" xfId="816"/>
    <cellStyle name="Обычный 2 2 3 3 4 2" xfId="8572"/>
    <cellStyle name="Обычный 2 2 3 3 4 3" xfId="4941"/>
    <cellStyle name="Обычный 2 2 3 3 5" xfId="1398"/>
    <cellStyle name="Обычный 2 2 3 3 5 2" xfId="5237"/>
    <cellStyle name="Обычный 2 2 3 3 6" xfId="1687"/>
    <cellStyle name="Обычный 2 2 3 3 6 2" xfId="5533"/>
    <cellStyle name="Обычный 2 2 3 3 7" xfId="1980"/>
    <cellStyle name="Обычный 2 2 3 3 7 2" xfId="5829"/>
    <cellStyle name="Обычный 2 2 3 3 8" xfId="2274"/>
    <cellStyle name="Обычный 2 2 3 3 8 2" xfId="6125"/>
    <cellStyle name="Обычный 2 2 3 3 9" xfId="2570"/>
    <cellStyle name="Обычный 2 2 3 3 9 2" xfId="6421"/>
    <cellStyle name="Обычный 2 2 3 4" xfId="197"/>
    <cellStyle name="Обычный 2 2 3 4 10" xfId="2916"/>
    <cellStyle name="Обычный 2 2 3 4 10 2" xfId="6767"/>
    <cellStyle name="Обычный 2 2 3 4 11" xfId="3212"/>
    <cellStyle name="Обычный 2 2 3 4 11 2" xfId="7063"/>
    <cellStyle name="Обычный 2 2 3 4 12" xfId="3508"/>
    <cellStyle name="Обычный 2 2 3 4 12 2" xfId="7359"/>
    <cellStyle name="Обычный 2 2 3 4 13" xfId="3804"/>
    <cellStyle name="Обычный 2 2 3 4 13 2" xfId="7655"/>
    <cellStyle name="Обычный 2 2 3 4 14" xfId="4100"/>
    <cellStyle name="Обычный 2 2 3 4 14 2" xfId="7951"/>
    <cellStyle name="Обычный 2 2 3 4 15" xfId="8250"/>
    <cellStyle name="Обычный 2 2 3 4 16" xfId="4398"/>
    <cellStyle name="Обычный 2 2 3 4 2" xfId="817"/>
    <cellStyle name="Обычный 2 2 3 4 2 10" xfId="3360"/>
    <cellStyle name="Обычный 2 2 3 4 2 10 2" xfId="7211"/>
    <cellStyle name="Обычный 2 2 3 4 2 11" xfId="3656"/>
    <cellStyle name="Обычный 2 2 3 4 2 11 2" xfId="7507"/>
    <cellStyle name="Обычный 2 2 3 4 2 12" xfId="3952"/>
    <cellStyle name="Обычный 2 2 3 4 2 12 2" xfId="7803"/>
    <cellStyle name="Обычный 2 2 3 4 2 13" xfId="4248"/>
    <cellStyle name="Обычный 2 2 3 4 2 13 2" xfId="8099"/>
    <cellStyle name="Обычный 2 2 3 4 2 14" xfId="8573"/>
    <cellStyle name="Обычный 2 2 3 4 2 15" xfId="4547"/>
    <cellStyle name="Обычный 2 2 3 4 2 2" xfId="1115"/>
    <cellStyle name="Обычный 2 2 3 4 2 2 2" xfId="4843"/>
    <cellStyle name="Обычный 2 2 3 4 2 3" xfId="1304"/>
    <cellStyle name="Обычный 2 2 3 4 2 3 2" xfId="5139"/>
    <cellStyle name="Обычный 2 2 3 4 2 4" xfId="1591"/>
    <cellStyle name="Обычный 2 2 3 4 2 4 2" xfId="5435"/>
    <cellStyle name="Обычный 2 2 3 4 2 5" xfId="1884"/>
    <cellStyle name="Обычный 2 2 3 4 2 5 2" xfId="5731"/>
    <cellStyle name="Обычный 2 2 3 4 2 6" xfId="2177"/>
    <cellStyle name="Обычный 2 2 3 4 2 6 2" xfId="6027"/>
    <cellStyle name="Обычный 2 2 3 4 2 7" xfId="2472"/>
    <cellStyle name="Обычный 2 2 3 4 2 7 2" xfId="6323"/>
    <cellStyle name="Обычный 2 2 3 4 2 8" xfId="2768"/>
    <cellStyle name="Обычный 2 2 3 4 2 8 2" xfId="6619"/>
    <cellStyle name="Обычный 2 2 3 4 2 9" xfId="3064"/>
    <cellStyle name="Обычный 2 2 3 4 2 9 2" xfId="6915"/>
    <cellStyle name="Обычный 2 2 3 4 3" xfId="1068"/>
    <cellStyle name="Обычный 2 2 3 4 3 2" xfId="4695"/>
    <cellStyle name="Обычный 2 2 3 4 4" xfId="1162"/>
    <cellStyle name="Обычный 2 2 3 4 4 2" xfId="4991"/>
    <cellStyle name="Обычный 2 2 3 4 5" xfId="1445"/>
    <cellStyle name="Обычный 2 2 3 4 5 2" xfId="5287"/>
    <cellStyle name="Обычный 2 2 3 4 6" xfId="1736"/>
    <cellStyle name="Обычный 2 2 3 4 6 2" xfId="5583"/>
    <cellStyle name="Обычный 2 2 3 4 7" xfId="2029"/>
    <cellStyle name="Обычный 2 2 3 4 7 2" xfId="5879"/>
    <cellStyle name="Обычный 2 2 3 4 8" xfId="2324"/>
    <cellStyle name="Обычный 2 2 3 4 8 2" xfId="6175"/>
    <cellStyle name="Обычный 2 2 3 4 9" xfId="2620"/>
    <cellStyle name="Обычный 2 2 3 4 9 2" xfId="6471"/>
    <cellStyle name="Обычный 2 2 3 5" xfId="298"/>
    <cellStyle name="Обычный 2 2 3 5 10" xfId="3262"/>
    <cellStyle name="Обычный 2 2 3 5 10 2" xfId="7113"/>
    <cellStyle name="Обычный 2 2 3 5 11" xfId="3558"/>
    <cellStyle name="Обычный 2 2 3 5 11 2" xfId="7409"/>
    <cellStyle name="Обычный 2 2 3 5 12" xfId="3854"/>
    <cellStyle name="Обычный 2 2 3 5 12 2" xfId="7705"/>
    <cellStyle name="Обычный 2 2 3 5 13" xfId="4150"/>
    <cellStyle name="Обычный 2 2 3 5 13 2" xfId="8001"/>
    <cellStyle name="Обычный 2 2 3 5 14" xfId="8350"/>
    <cellStyle name="Обычный 2 2 3 5 15" xfId="4449"/>
    <cellStyle name="Обычный 2 2 3 5 2" xfId="818"/>
    <cellStyle name="Обычный 2 2 3 5 2 2" xfId="8574"/>
    <cellStyle name="Обычный 2 2 3 5 2 3" xfId="4745"/>
    <cellStyle name="Обычный 2 2 3 5 3" xfId="1209"/>
    <cellStyle name="Обычный 2 2 3 5 3 2" xfId="5041"/>
    <cellStyle name="Обычный 2 2 3 5 4" xfId="1494"/>
    <cellStyle name="Обычный 2 2 3 5 4 2" xfId="5337"/>
    <cellStyle name="Обычный 2 2 3 5 5" xfId="1786"/>
    <cellStyle name="Обычный 2 2 3 5 5 2" xfId="5633"/>
    <cellStyle name="Обычный 2 2 3 5 6" xfId="2079"/>
    <cellStyle name="Обычный 2 2 3 5 6 2" xfId="5929"/>
    <cellStyle name="Обычный 2 2 3 5 7" xfId="2374"/>
    <cellStyle name="Обычный 2 2 3 5 7 2" xfId="6225"/>
    <cellStyle name="Обычный 2 2 3 5 8" xfId="2670"/>
    <cellStyle name="Обычный 2 2 3 5 8 2" xfId="6521"/>
    <cellStyle name="Обычный 2 2 3 5 9" xfId="2966"/>
    <cellStyle name="Обычный 2 2 3 5 9 2" xfId="6817"/>
    <cellStyle name="Обычный 2 2 3 6" xfId="605"/>
    <cellStyle name="Обычный 2 2 3 6 2" xfId="8454"/>
    <cellStyle name="Обычный 2 2 3 6 3" xfId="4597"/>
    <cellStyle name="Обычный 2 2 3 7" xfId="819"/>
    <cellStyle name="Обычный 2 2 3 7 2" xfId="8575"/>
    <cellStyle name="Обычный 2 2 3 7 3" xfId="4893"/>
    <cellStyle name="Обычный 2 2 3 8" xfId="1351"/>
    <cellStyle name="Обычный 2 2 3 8 2" xfId="5189"/>
    <cellStyle name="Обычный 2 2 3 9" xfId="1640"/>
    <cellStyle name="Обычный 2 2 3 9 2" xfId="5485"/>
    <cellStyle name="Обычный 2 2 4" xfId="61"/>
    <cellStyle name="Обычный 2 2 4 10" xfId="2225"/>
    <cellStyle name="Обычный 2 2 4 10 2" xfId="6075"/>
    <cellStyle name="Обычный 2 2 4 11" xfId="2520"/>
    <cellStyle name="Обычный 2 2 4 11 2" xfId="6371"/>
    <cellStyle name="Обычный 2 2 4 12" xfId="2816"/>
    <cellStyle name="Обычный 2 2 4 12 2" xfId="6667"/>
    <cellStyle name="Обычный 2 2 4 13" xfId="3112"/>
    <cellStyle name="Обычный 2 2 4 13 2" xfId="6963"/>
    <cellStyle name="Обычный 2 2 4 14" xfId="3408"/>
    <cellStyle name="Обычный 2 2 4 14 2" xfId="7259"/>
    <cellStyle name="Обычный 2 2 4 15" xfId="3704"/>
    <cellStyle name="Обычный 2 2 4 15 2" xfId="7555"/>
    <cellStyle name="Обычный 2 2 4 16" xfId="4000"/>
    <cellStyle name="Обычный 2 2 4 16 2" xfId="7851"/>
    <cellStyle name="Обычный 2 2 4 17" xfId="8147"/>
    <cellStyle name="Обычный 2 2 4 18" xfId="4296"/>
    <cellStyle name="Обычный 2 2 4 2" xfId="142"/>
    <cellStyle name="Обычный 2 2 4 2 10" xfId="2864"/>
    <cellStyle name="Обычный 2 2 4 2 10 2" xfId="6715"/>
    <cellStyle name="Обычный 2 2 4 2 11" xfId="3160"/>
    <cellStyle name="Обычный 2 2 4 2 11 2" xfId="7011"/>
    <cellStyle name="Обычный 2 2 4 2 12" xfId="3456"/>
    <cellStyle name="Обычный 2 2 4 2 12 2" xfId="7307"/>
    <cellStyle name="Обычный 2 2 4 2 13" xfId="3752"/>
    <cellStyle name="Обычный 2 2 4 2 13 2" xfId="7603"/>
    <cellStyle name="Обычный 2 2 4 2 14" xfId="4048"/>
    <cellStyle name="Обычный 2 2 4 2 14 2" xfId="7899"/>
    <cellStyle name="Обычный 2 2 4 2 15" xfId="8197"/>
    <cellStyle name="Обычный 2 2 4 2 16" xfId="4345"/>
    <cellStyle name="Обычный 2 2 4 2 2" xfId="245"/>
    <cellStyle name="Обычный 2 2 4 2 2 10" xfId="3308"/>
    <cellStyle name="Обычный 2 2 4 2 2 10 2" xfId="7159"/>
    <cellStyle name="Обычный 2 2 4 2 2 11" xfId="3604"/>
    <cellStyle name="Обычный 2 2 4 2 2 11 2" xfId="7455"/>
    <cellStyle name="Обычный 2 2 4 2 2 12" xfId="3900"/>
    <cellStyle name="Обычный 2 2 4 2 2 12 2" xfId="7751"/>
    <cellStyle name="Обычный 2 2 4 2 2 13" xfId="4196"/>
    <cellStyle name="Обычный 2 2 4 2 2 13 2" xfId="8047"/>
    <cellStyle name="Обычный 2 2 4 2 2 14" xfId="8298"/>
    <cellStyle name="Обычный 2 2 4 2 2 15" xfId="4495"/>
    <cellStyle name="Обычный 2 2 4 2 2 2" xfId="820"/>
    <cellStyle name="Обычный 2 2 4 2 2 2 2" xfId="8576"/>
    <cellStyle name="Обычный 2 2 4 2 2 2 3" xfId="4791"/>
    <cellStyle name="Обычный 2 2 4 2 2 3" xfId="1254"/>
    <cellStyle name="Обычный 2 2 4 2 2 3 2" xfId="5087"/>
    <cellStyle name="Обычный 2 2 4 2 2 4" xfId="1540"/>
    <cellStyle name="Обычный 2 2 4 2 2 4 2" xfId="5383"/>
    <cellStyle name="Обычный 2 2 4 2 2 5" xfId="1832"/>
    <cellStyle name="Обычный 2 2 4 2 2 5 2" xfId="5679"/>
    <cellStyle name="Обычный 2 2 4 2 2 6" xfId="2125"/>
    <cellStyle name="Обычный 2 2 4 2 2 6 2" xfId="5975"/>
    <cellStyle name="Обычный 2 2 4 2 2 7" xfId="2420"/>
    <cellStyle name="Обычный 2 2 4 2 2 7 2" xfId="6271"/>
    <cellStyle name="Обычный 2 2 4 2 2 8" xfId="2716"/>
    <cellStyle name="Обычный 2 2 4 2 2 8 2" xfId="6567"/>
    <cellStyle name="Обычный 2 2 4 2 2 9" xfId="3012"/>
    <cellStyle name="Обычный 2 2 4 2 2 9 2" xfId="6863"/>
    <cellStyle name="Обычный 2 2 4 2 3" xfId="346"/>
    <cellStyle name="Обычный 2 2 4 2 3 2" xfId="821"/>
    <cellStyle name="Обычный 2 2 4 2 3 3" xfId="8398"/>
    <cellStyle name="Обычный 2 2 4 2 3 4" xfId="4643"/>
    <cellStyle name="Обычный 2 2 4 2 4" xfId="822"/>
    <cellStyle name="Обычный 2 2 4 2 4 2" xfId="8577"/>
    <cellStyle name="Обычный 2 2 4 2 4 3" xfId="4939"/>
    <cellStyle name="Обычный 2 2 4 2 5" xfId="1396"/>
    <cellStyle name="Обычный 2 2 4 2 5 2" xfId="5235"/>
    <cellStyle name="Обычный 2 2 4 2 6" xfId="1685"/>
    <cellStyle name="Обычный 2 2 4 2 6 2" xfId="5531"/>
    <cellStyle name="Обычный 2 2 4 2 7" xfId="1978"/>
    <cellStyle name="Обычный 2 2 4 2 7 2" xfId="5827"/>
    <cellStyle name="Обычный 2 2 4 2 8" xfId="2272"/>
    <cellStyle name="Обычный 2 2 4 2 8 2" xfId="6123"/>
    <cellStyle name="Обычный 2 2 4 2 9" xfId="2568"/>
    <cellStyle name="Обычный 2 2 4 2 9 2" xfId="6419"/>
    <cellStyle name="Обычный 2 2 4 3" xfId="195"/>
    <cellStyle name="Обычный 2 2 4 3 10" xfId="2914"/>
    <cellStyle name="Обычный 2 2 4 3 10 2" xfId="6765"/>
    <cellStyle name="Обычный 2 2 4 3 11" xfId="3210"/>
    <cellStyle name="Обычный 2 2 4 3 11 2" xfId="7061"/>
    <cellStyle name="Обычный 2 2 4 3 12" xfId="3506"/>
    <cellStyle name="Обычный 2 2 4 3 12 2" xfId="7357"/>
    <cellStyle name="Обычный 2 2 4 3 13" xfId="3802"/>
    <cellStyle name="Обычный 2 2 4 3 13 2" xfId="7653"/>
    <cellStyle name="Обычный 2 2 4 3 14" xfId="4098"/>
    <cellStyle name="Обычный 2 2 4 3 14 2" xfId="7949"/>
    <cellStyle name="Обычный 2 2 4 3 15" xfId="8248"/>
    <cellStyle name="Обычный 2 2 4 3 16" xfId="4396"/>
    <cellStyle name="Обычный 2 2 4 3 2" xfId="823"/>
    <cellStyle name="Обычный 2 2 4 3 2 10" xfId="3358"/>
    <cellStyle name="Обычный 2 2 4 3 2 10 2" xfId="7209"/>
    <cellStyle name="Обычный 2 2 4 3 2 11" xfId="3654"/>
    <cellStyle name="Обычный 2 2 4 3 2 11 2" xfId="7505"/>
    <cellStyle name="Обычный 2 2 4 3 2 12" xfId="3950"/>
    <cellStyle name="Обычный 2 2 4 3 2 12 2" xfId="7801"/>
    <cellStyle name="Обычный 2 2 4 3 2 13" xfId="4246"/>
    <cellStyle name="Обычный 2 2 4 3 2 13 2" xfId="8097"/>
    <cellStyle name="Обычный 2 2 4 3 2 14" xfId="8578"/>
    <cellStyle name="Обычный 2 2 4 3 2 15" xfId="4545"/>
    <cellStyle name="Обычный 2 2 4 3 2 2" xfId="1113"/>
    <cellStyle name="Обычный 2 2 4 3 2 2 2" xfId="4841"/>
    <cellStyle name="Обычный 2 2 4 3 2 3" xfId="1302"/>
    <cellStyle name="Обычный 2 2 4 3 2 3 2" xfId="5137"/>
    <cellStyle name="Обычный 2 2 4 3 2 4" xfId="1589"/>
    <cellStyle name="Обычный 2 2 4 3 2 4 2" xfId="5433"/>
    <cellStyle name="Обычный 2 2 4 3 2 5" xfId="1882"/>
    <cellStyle name="Обычный 2 2 4 3 2 5 2" xfId="5729"/>
    <cellStyle name="Обычный 2 2 4 3 2 6" xfId="2175"/>
    <cellStyle name="Обычный 2 2 4 3 2 6 2" xfId="6025"/>
    <cellStyle name="Обычный 2 2 4 3 2 7" xfId="2470"/>
    <cellStyle name="Обычный 2 2 4 3 2 7 2" xfId="6321"/>
    <cellStyle name="Обычный 2 2 4 3 2 8" xfId="2766"/>
    <cellStyle name="Обычный 2 2 4 3 2 8 2" xfId="6617"/>
    <cellStyle name="Обычный 2 2 4 3 2 9" xfId="3062"/>
    <cellStyle name="Обычный 2 2 4 3 2 9 2" xfId="6913"/>
    <cellStyle name="Обычный 2 2 4 3 3" xfId="1066"/>
    <cellStyle name="Обычный 2 2 4 3 3 2" xfId="4693"/>
    <cellStyle name="Обычный 2 2 4 3 4" xfId="1160"/>
    <cellStyle name="Обычный 2 2 4 3 4 2" xfId="4989"/>
    <cellStyle name="Обычный 2 2 4 3 5" xfId="1443"/>
    <cellStyle name="Обычный 2 2 4 3 5 2" xfId="5285"/>
    <cellStyle name="Обычный 2 2 4 3 6" xfId="1734"/>
    <cellStyle name="Обычный 2 2 4 3 6 2" xfId="5581"/>
    <cellStyle name="Обычный 2 2 4 3 7" xfId="2027"/>
    <cellStyle name="Обычный 2 2 4 3 7 2" xfId="5877"/>
    <cellStyle name="Обычный 2 2 4 3 8" xfId="2322"/>
    <cellStyle name="Обычный 2 2 4 3 8 2" xfId="6173"/>
    <cellStyle name="Обычный 2 2 4 3 9" xfId="2618"/>
    <cellStyle name="Обычный 2 2 4 3 9 2" xfId="6469"/>
    <cellStyle name="Обычный 2 2 4 4" xfId="296"/>
    <cellStyle name="Обычный 2 2 4 4 10" xfId="3260"/>
    <cellStyle name="Обычный 2 2 4 4 10 2" xfId="7111"/>
    <cellStyle name="Обычный 2 2 4 4 11" xfId="3556"/>
    <cellStyle name="Обычный 2 2 4 4 11 2" xfId="7407"/>
    <cellStyle name="Обычный 2 2 4 4 12" xfId="3852"/>
    <cellStyle name="Обычный 2 2 4 4 12 2" xfId="7703"/>
    <cellStyle name="Обычный 2 2 4 4 13" xfId="4148"/>
    <cellStyle name="Обычный 2 2 4 4 13 2" xfId="7999"/>
    <cellStyle name="Обычный 2 2 4 4 14" xfId="8348"/>
    <cellStyle name="Обычный 2 2 4 4 15" xfId="4447"/>
    <cellStyle name="Обычный 2 2 4 4 2" xfId="824"/>
    <cellStyle name="Обычный 2 2 4 4 2 2" xfId="8579"/>
    <cellStyle name="Обычный 2 2 4 4 2 3" xfId="4743"/>
    <cellStyle name="Обычный 2 2 4 4 3" xfId="1207"/>
    <cellStyle name="Обычный 2 2 4 4 3 2" xfId="5039"/>
    <cellStyle name="Обычный 2 2 4 4 4" xfId="1492"/>
    <cellStyle name="Обычный 2 2 4 4 4 2" xfId="5335"/>
    <cellStyle name="Обычный 2 2 4 4 5" xfId="1784"/>
    <cellStyle name="Обычный 2 2 4 4 5 2" xfId="5631"/>
    <cellStyle name="Обычный 2 2 4 4 6" xfId="2077"/>
    <cellStyle name="Обычный 2 2 4 4 6 2" xfId="5927"/>
    <cellStyle name="Обычный 2 2 4 4 7" xfId="2372"/>
    <cellStyle name="Обычный 2 2 4 4 7 2" xfId="6223"/>
    <cellStyle name="Обычный 2 2 4 4 8" xfId="2668"/>
    <cellStyle name="Обычный 2 2 4 4 8 2" xfId="6519"/>
    <cellStyle name="Обычный 2 2 4 4 9" xfId="2964"/>
    <cellStyle name="Обычный 2 2 4 4 9 2" xfId="6815"/>
    <cellStyle name="Обычный 2 2 4 5" xfId="665"/>
    <cellStyle name="Обычный 2 2 4 5 2" xfId="8478"/>
    <cellStyle name="Обычный 2 2 4 5 3" xfId="4595"/>
    <cellStyle name="Обычный 2 2 4 6" xfId="825"/>
    <cellStyle name="Обычный 2 2 4 6 2" xfId="8580"/>
    <cellStyle name="Обычный 2 2 4 6 3" xfId="4891"/>
    <cellStyle name="Обычный 2 2 4 7" xfId="1349"/>
    <cellStyle name="Обычный 2 2 4 7 2" xfId="5187"/>
    <cellStyle name="Обычный 2 2 4 8" xfId="1638"/>
    <cellStyle name="Обычный 2 2 4 8 2" xfId="5483"/>
    <cellStyle name="Обычный 2 2 4 9" xfId="1931"/>
    <cellStyle name="Обычный 2 2 4 9 2" xfId="5779"/>
    <cellStyle name="Обычный 2 2 5" xfId="111"/>
    <cellStyle name="Обычный 2 2 5 10" xfId="2246"/>
    <cellStyle name="Обычный 2 2 5 10 2" xfId="6097"/>
    <cellStyle name="Обычный 2 2 5 11" xfId="2542"/>
    <cellStyle name="Обычный 2 2 5 11 2" xfId="6393"/>
    <cellStyle name="Обычный 2 2 5 12" xfId="2838"/>
    <cellStyle name="Обычный 2 2 5 12 2" xfId="6689"/>
    <cellStyle name="Обычный 2 2 5 13" xfId="3134"/>
    <cellStyle name="Обычный 2 2 5 13 2" xfId="6985"/>
    <cellStyle name="Обычный 2 2 5 14" xfId="3430"/>
    <cellStyle name="Обычный 2 2 5 14 2" xfId="7281"/>
    <cellStyle name="Обычный 2 2 5 15" xfId="3726"/>
    <cellStyle name="Обычный 2 2 5 15 2" xfId="7577"/>
    <cellStyle name="Обычный 2 2 5 16" xfId="4022"/>
    <cellStyle name="Обычный 2 2 5 16 2" xfId="7873"/>
    <cellStyle name="Обычный 2 2 5 17" xfId="8169"/>
    <cellStyle name="Обычный 2 2 5 18" xfId="4318"/>
    <cellStyle name="Обычный 2 2 5 2" xfId="164"/>
    <cellStyle name="Обычный 2 2 5 2 10" xfId="2886"/>
    <cellStyle name="Обычный 2 2 5 2 10 2" xfId="6737"/>
    <cellStyle name="Обычный 2 2 5 2 11" xfId="3182"/>
    <cellStyle name="Обычный 2 2 5 2 11 2" xfId="7033"/>
    <cellStyle name="Обычный 2 2 5 2 12" xfId="3478"/>
    <cellStyle name="Обычный 2 2 5 2 12 2" xfId="7329"/>
    <cellStyle name="Обычный 2 2 5 2 13" xfId="3774"/>
    <cellStyle name="Обычный 2 2 5 2 13 2" xfId="7625"/>
    <cellStyle name="Обычный 2 2 5 2 14" xfId="4070"/>
    <cellStyle name="Обычный 2 2 5 2 14 2" xfId="7921"/>
    <cellStyle name="Обычный 2 2 5 2 15" xfId="8219"/>
    <cellStyle name="Обычный 2 2 5 2 16" xfId="4367"/>
    <cellStyle name="Обычный 2 2 5 2 2" xfId="267"/>
    <cellStyle name="Обычный 2 2 5 2 2 10" xfId="3330"/>
    <cellStyle name="Обычный 2 2 5 2 2 10 2" xfId="7181"/>
    <cellStyle name="Обычный 2 2 5 2 2 11" xfId="3626"/>
    <cellStyle name="Обычный 2 2 5 2 2 11 2" xfId="7477"/>
    <cellStyle name="Обычный 2 2 5 2 2 12" xfId="3922"/>
    <cellStyle name="Обычный 2 2 5 2 2 12 2" xfId="7773"/>
    <cellStyle name="Обычный 2 2 5 2 2 13" xfId="4218"/>
    <cellStyle name="Обычный 2 2 5 2 2 13 2" xfId="8069"/>
    <cellStyle name="Обычный 2 2 5 2 2 14" xfId="8320"/>
    <cellStyle name="Обычный 2 2 5 2 2 15" xfId="4517"/>
    <cellStyle name="Обычный 2 2 5 2 2 2" xfId="826"/>
    <cellStyle name="Обычный 2 2 5 2 2 2 2" xfId="8581"/>
    <cellStyle name="Обычный 2 2 5 2 2 2 3" xfId="4813"/>
    <cellStyle name="Обычный 2 2 5 2 2 3" xfId="1275"/>
    <cellStyle name="Обычный 2 2 5 2 2 3 2" xfId="5109"/>
    <cellStyle name="Обычный 2 2 5 2 2 4" xfId="1561"/>
    <cellStyle name="Обычный 2 2 5 2 2 4 2" xfId="5405"/>
    <cellStyle name="Обычный 2 2 5 2 2 5" xfId="1854"/>
    <cellStyle name="Обычный 2 2 5 2 2 5 2" xfId="5701"/>
    <cellStyle name="Обычный 2 2 5 2 2 6" xfId="2147"/>
    <cellStyle name="Обычный 2 2 5 2 2 6 2" xfId="5997"/>
    <cellStyle name="Обычный 2 2 5 2 2 7" xfId="2442"/>
    <cellStyle name="Обычный 2 2 5 2 2 7 2" xfId="6293"/>
    <cellStyle name="Обычный 2 2 5 2 2 8" xfId="2738"/>
    <cellStyle name="Обычный 2 2 5 2 2 8 2" xfId="6589"/>
    <cellStyle name="Обычный 2 2 5 2 2 9" xfId="3034"/>
    <cellStyle name="Обычный 2 2 5 2 2 9 2" xfId="6885"/>
    <cellStyle name="Обычный 2 2 5 2 3" xfId="368"/>
    <cellStyle name="Обычный 2 2 5 2 3 2" xfId="827"/>
    <cellStyle name="Обычный 2 2 5 2 3 3" xfId="8420"/>
    <cellStyle name="Обычный 2 2 5 2 3 4" xfId="4665"/>
    <cellStyle name="Обычный 2 2 5 2 4" xfId="828"/>
    <cellStyle name="Обычный 2 2 5 2 4 2" xfId="8582"/>
    <cellStyle name="Обычный 2 2 5 2 4 3" xfId="4961"/>
    <cellStyle name="Обычный 2 2 5 2 5" xfId="1417"/>
    <cellStyle name="Обычный 2 2 5 2 5 2" xfId="5257"/>
    <cellStyle name="Обычный 2 2 5 2 6" xfId="1707"/>
    <cellStyle name="Обычный 2 2 5 2 6 2" xfId="5553"/>
    <cellStyle name="Обычный 2 2 5 2 7" xfId="1999"/>
    <cellStyle name="Обычный 2 2 5 2 7 2" xfId="5849"/>
    <cellStyle name="Обычный 2 2 5 2 8" xfId="2294"/>
    <cellStyle name="Обычный 2 2 5 2 8 2" xfId="6145"/>
    <cellStyle name="Обычный 2 2 5 2 9" xfId="2590"/>
    <cellStyle name="Обычный 2 2 5 2 9 2" xfId="6441"/>
    <cellStyle name="Обычный 2 2 5 3" xfId="217"/>
    <cellStyle name="Обычный 2 2 5 3 10" xfId="2936"/>
    <cellStyle name="Обычный 2 2 5 3 10 2" xfId="6787"/>
    <cellStyle name="Обычный 2 2 5 3 11" xfId="3232"/>
    <cellStyle name="Обычный 2 2 5 3 11 2" xfId="7083"/>
    <cellStyle name="Обычный 2 2 5 3 12" xfId="3528"/>
    <cellStyle name="Обычный 2 2 5 3 12 2" xfId="7379"/>
    <cellStyle name="Обычный 2 2 5 3 13" xfId="3824"/>
    <cellStyle name="Обычный 2 2 5 3 13 2" xfId="7675"/>
    <cellStyle name="Обычный 2 2 5 3 14" xfId="4120"/>
    <cellStyle name="Обычный 2 2 5 3 14 2" xfId="7971"/>
    <cellStyle name="Обычный 2 2 5 3 15" xfId="8270"/>
    <cellStyle name="Обычный 2 2 5 3 16" xfId="4418"/>
    <cellStyle name="Обычный 2 2 5 3 2" xfId="829"/>
    <cellStyle name="Обычный 2 2 5 3 2 10" xfId="3380"/>
    <cellStyle name="Обычный 2 2 5 3 2 10 2" xfId="7231"/>
    <cellStyle name="Обычный 2 2 5 3 2 11" xfId="3676"/>
    <cellStyle name="Обычный 2 2 5 3 2 11 2" xfId="7527"/>
    <cellStyle name="Обычный 2 2 5 3 2 12" xfId="3972"/>
    <cellStyle name="Обычный 2 2 5 3 2 12 2" xfId="7823"/>
    <cellStyle name="Обычный 2 2 5 3 2 13" xfId="4268"/>
    <cellStyle name="Обычный 2 2 5 3 2 13 2" xfId="8119"/>
    <cellStyle name="Обычный 2 2 5 3 2 14" xfId="8583"/>
    <cellStyle name="Обычный 2 2 5 3 2 15" xfId="4567"/>
    <cellStyle name="Обычный 2 2 5 3 2 2" xfId="1134"/>
    <cellStyle name="Обычный 2 2 5 3 2 2 2" xfId="4863"/>
    <cellStyle name="Обычный 2 2 5 3 2 3" xfId="1323"/>
    <cellStyle name="Обычный 2 2 5 3 2 3 2" xfId="5159"/>
    <cellStyle name="Обычный 2 2 5 3 2 4" xfId="1610"/>
    <cellStyle name="Обычный 2 2 5 3 2 4 2" xfId="5455"/>
    <cellStyle name="Обычный 2 2 5 3 2 5" xfId="1903"/>
    <cellStyle name="Обычный 2 2 5 3 2 5 2" xfId="5751"/>
    <cellStyle name="Обычный 2 2 5 3 2 6" xfId="2197"/>
    <cellStyle name="Обычный 2 2 5 3 2 6 2" xfId="6047"/>
    <cellStyle name="Обычный 2 2 5 3 2 7" xfId="2492"/>
    <cellStyle name="Обычный 2 2 5 3 2 7 2" xfId="6343"/>
    <cellStyle name="Обычный 2 2 5 3 2 8" xfId="2788"/>
    <cellStyle name="Обычный 2 2 5 3 2 8 2" xfId="6639"/>
    <cellStyle name="Обычный 2 2 5 3 2 9" xfId="3084"/>
    <cellStyle name="Обычный 2 2 5 3 2 9 2" xfId="6935"/>
    <cellStyle name="Обычный 2 2 5 3 3" xfId="1087"/>
    <cellStyle name="Обычный 2 2 5 3 3 2" xfId="4715"/>
    <cellStyle name="Обычный 2 2 5 3 4" xfId="1181"/>
    <cellStyle name="Обычный 2 2 5 3 4 2" xfId="5011"/>
    <cellStyle name="Обычный 2 2 5 3 5" xfId="1465"/>
    <cellStyle name="Обычный 2 2 5 3 5 2" xfId="5307"/>
    <cellStyle name="Обычный 2 2 5 3 6" xfId="1756"/>
    <cellStyle name="Обычный 2 2 5 3 6 2" xfId="5603"/>
    <cellStyle name="Обычный 2 2 5 3 7" xfId="2049"/>
    <cellStyle name="Обычный 2 2 5 3 7 2" xfId="5899"/>
    <cellStyle name="Обычный 2 2 5 3 8" xfId="2344"/>
    <cellStyle name="Обычный 2 2 5 3 8 2" xfId="6195"/>
    <cellStyle name="Обычный 2 2 5 3 9" xfId="2640"/>
    <cellStyle name="Обычный 2 2 5 3 9 2" xfId="6491"/>
    <cellStyle name="Обычный 2 2 5 4" xfId="318"/>
    <cellStyle name="Обычный 2 2 5 4 10" xfId="3282"/>
    <cellStyle name="Обычный 2 2 5 4 10 2" xfId="7133"/>
    <cellStyle name="Обычный 2 2 5 4 11" xfId="3578"/>
    <cellStyle name="Обычный 2 2 5 4 11 2" xfId="7429"/>
    <cellStyle name="Обычный 2 2 5 4 12" xfId="3874"/>
    <cellStyle name="Обычный 2 2 5 4 12 2" xfId="7725"/>
    <cellStyle name="Обычный 2 2 5 4 13" xfId="4170"/>
    <cellStyle name="Обычный 2 2 5 4 13 2" xfId="8021"/>
    <cellStyle name="Обычный 2 2 5 4 14" xfId="8370"/>
    <cellStyle name="Обычный 2 2 5 4 15" xfId="4469"/>
    <cellStyle name="Обычный 2 2 5 4 2" xfId="830"/>
    <cellStyle name="Обычный 2 2 5 4 2 2" xfId="8584"/>
    <cellStyle name="Обычный 2 2 5 4 2 3" xfId="4765"/>
    <cellStyle name="Обычный 2 2 5 4 3" xfId="1229"/>
    <cellStyle name="Обычный 2 2 5 4 3 2" xfId="5061"/>
    <cellStyle name="Обычный 2 2 5 4 4" xfId="1514"/>
    <cellStyle name="Обычный 2 2 5 4 4 2" xfId="5357"/>
    <cellStyle name="Обычный 2 2 5 4 5" xfId="1806"/>
    <cellStyle name="Обычный 2 2 5 4 5 2" xfId="5653"/>
    <cellStyle name="Обычный 2 2 5 4 6" xfId="2099"/>
    <cellStyle name="Обычный 2 2 5 4 6 2" xfId="5949"/>
    <cellStyle name="Обычный 2 2 5 4 7" xfId="2394"/>
    <cellStyle name="Обычный 2 2 5 4 7 2" xfId="6245"/>
    <cellStyle name="Обычный 2 2 5 4 8" xfId="2690"/>
    <cellStyle name="Обычный 2 2 5 4 8 2" xfId="6541"/>
    <cellStyle name="Обычный 2 2 5 4 9" xfId="2986"/>
    <cellStyle name="Обычный 2 2 5 4 9 2" xfId="6837"/>
    <cellStyle name="Обычный 2 2 5 5" xfId="831"/>
    <cellStyle name="Обычный 2 2 5 5 2" xfId="8585"/>
    <cellStyle name="Обычный 2 2 5 5 3" xfId="4617"/>
    <cellStyle name="Обычный 2 2 5 6" xfId="832"/>
    <cellStyle name="Обычный 2 2 5 6 2" xfId="8586"/>
    <cellStyle name="Обычный 2 2 5 6 3" xfId="4913"/>
    <cellStyle name="Обычный 2 2 5 7" xfId="1370"/>
    <cellStyle name="Обычный 2 2 5 7 2" xfId="5209"/>
    <cellStyle name="Обычный 2 2 5 8" xfId="1659"/>
    <cellStyle name="Обычный 2 2 5 8 2" xfId="5505"/>
    <cellStyle name="Обычный 2 2 5 9" xfId="1952"/>
    <cellStyle name="Обычный 2 2 5 9 2" xfId="5801"/>
    <cellStyle name="Обычный 2 2 6" xfId="136"/>
    <cellStyle name="Обычный 2 2 6 10" xfId="2858"/>
    <cellStyle name="Обычный 2 2 6 10 2" xfId="6709"/>
    <cellStyle name="Обычный 2 2 6 11" xfId="3154"/>
    <cellStyle name="Обычный 2 2 6 11 2" xfId="7005"/>
    <cellStyle name="Обычный 2 2 6 12" xfId="3450"/>
    <cellStyle name="Обычный 2 2 6 12 2" xfId="7301"/>
    <cellStyle name="Обычный 2 2 6 13" xfId="3746"/>
    <cellStyle name="Обычный 2 2 6 13 2" xfId="7597"/>
    <cellStyle name="Обычный 2 2 6 14" xfId="4042"/>
    <cellStyle name="Обычный 2 2 6 14 2" xfId="7893"/>
    <cellStyle name="Обычный 2 2 6 15" xfId="8191"/>
    <cellStyle name="Обычный 2 2 6 16" xfId="4339"/>
    <cellStyle name="Обычный 2 2 6 2" xfId="239"/>
    <cellStyle name="Обычный 2 2 6 2 10" xfId="3302"/>
    <cellStyle name="Обычный 2 2 6 2 10 2" xfId="7153"/>
    <cellStyle name="Обычный 2 2 6 2 11" xfId="3598"/>
    <cellStyle name="Обычный 2 2 6 2 11 2" xfId="7449"/>
    <cellStyle name="Обычный 2 2 6 2 12" xfId="3894"/>
    <cellStyle name="Обычный 2 2 6 2 12 2" xfId="7745"/>
    <cellStyle name="Обычный 2 2 6 2 13" xfId="4190"/>
    <cellStyle name="Обычный 2 2 6 2 13 2" xfId="8041"/>
    <cellStyle name="Обычный 2 2 6 2 14" xfId="8292"/>
    <cellStyle name="Обычный 2 2 6 2 15" xfId="4489"/>
    <cellStyle name="Обычный 2 2 6 2 2" xfId="833"/>
    <cellStyle name="Обычный 2 2 6 2 2 2" xfId="8587"/>
    <cellStyle name="Обычный 2 2 6 2 2 3" xfId="4785"/>
    <cellStyle name="Обычный 2 2 6 2 3" xfId="1248"/>
    <cellStyle name="Обычный 2 2 6 2 3 2" xfId="5081"/>
    <cellStyle name="Обычный 2 2 6 2 4" xfId="1534"/>
    <cellStyle name="Обычный 2 2 6 2 4 2" xfId="5377"/>
    <cellStyle name="Обычный 2 2 6 2 5" xfId="1826"/>
    <cellStyle name="Обычный 2 2 6 2 5 2" xfId="5673"/>
    <cellStyle name="Обычный 2 2 6 2 6" xfId="2119"/>
    <cellStyle name="Обычный 2 2 6 2 6 2" xfId="5969"/>
    <cellStyle name="Обычный 2 2 6 2 7" xfId="2414"/>
    <cellStyle name="Обычный 2 2 6 2 7 2" xfId="6265"/>
    <cellStyle name="Обычный 2 2 6 2 8" xfId="2710"/>
    <cellStyle name="Обычный 2 2 6 2 8 2" xfId="6561"/>
    <cellStyle name="Обычный 2 2 6 2 9" xfId="3006"/>
    <cellStyle name="Обычный 2 2 6 2 9 2" xfId="6857"/>
    <cellStyle name="Обычный 2 2 6 3" xfId="340"/>
    <cellStyle name="Обычный 2 2 6 3 2" xfId="834"/>
    <cellStyle name="Обычный 2 2 6 3 3" xfId="8392"/>
    <cellStyle name="Обычный 2 2 6 3 4" xfId="4637"/>
    <cellStyle name="Обычный 2 2 6 4" xfId="835"/>
    <cellStyle name="Обычный 2 2 6 4 2" xfId="8588"/>
    <cellStyle name="Обычный 2 2 6 4 3" xfId="4933"/>
    <cellStyle name="Обычный 2 2 6 5" xfId="1390"/>
    <cellStyle name="Обычный 2 2 6 5 2" xfId="5229"/>
    <cellStyle name="Обычный 2 2 6 6" xfId="1679"/>
    <cellStyle name="Обычный 2 2 6 6 2" xfId="5525"/>
    <cellStyle name="Обычный 2 2 6 7" xfId="1972"/>
    <cellStyle name="Обычный 2 2 6 7 2" xfId="5821"/>
    <cellStyle name="Обычный 2 2 6 8" xfId="2266"/>
    <cellStyle name="Обычный 2 2 6 8 2" xfId="6117"/>
    <cellStyle name="Обычный 2 2 6 9" xfId="2562"/>
    <cellStyle name="Обычный 2 2 6 9 2" xfId="6413"/>
    <cellStyle name="Обычный 2 2 7" xfId="189"/>
    <cellStyle name="Обычный 2 2 7 10" xfId="2908"/>
    <cellStyle name="Обычный 2 2 7 10 2" xfId="6759"/>
    <cellStyle name="Обычный 2 2 7 11" xfId="3204"/>
    <cellStyle name="Обычный 2 2 7 11 2" xfId="7055"/>
    <cellStyle name="Обычный 2 2 7 12" xfId="3500"/>
    <cellStyle name="Обычный 2 2 7 12 2" xfId="7351"/>
    <cellStyle name="Обычный 2 2 7 13" xfId="3796"/>
    <cellStyle name="Обычный 2 2 7 13 2" xfId="7647"/>
    <cellStyle name="Обычный 2 2 7 14" xfId="4092"/>
    <cellStyle name="Обычный 2 2 7 14 2" xfId="7943"/>
    <cellStyle name="Обычный 2 2 7 15" xfId="8242"/>
    <cellStyle name="Обычный 2 2 7 16" xfId="4390"/>
    <cellStyle name="Обычный 2 2 7 2" xfId="836"/>
    <cellStyle name="Обычный 2 2 7 2 10" xfId="3352"/>
    <cellStyle name="Обычный 2 2 7 2 10 2" xfId="7203"/>
    <cellStyle name="Обычный 2 2 7 2 11" xfId="3648"/>
    <cellStyle name="Обычный 2 2 7 2 11 2" xfId="7499"/>
    <cellStyle name="Обычный 2 2 7 2 12" xfId="3944"/>
    <cellStyle name="Обычный 2 2 7 2 12 2" xfId="7795"/>
    <cellStyle name="Обычный 2 2 7 2 13" xfId="4240"/>
    <cellStyle name="Обычный 2 2 7 2 13 2" xfId="8091"/>
    <cellStyle name="Обычный 2 2 7 2 14" xfId="8589"/>
    <cellStyle name="Обычный 2 2 7 2 15" xfId="4539"/>
    <cellStyle name="Обычный 2 2 7 2 2" xfId="1107"/>
    <cellStyle name="Обычный 2 2 7 2 2 2" xfId="4835"/>
    <cellStyle name="Обычный 2 2 7 2 3" xfId="1296"/>
    <cellStyle name="Обычный 2 2 7 2 3 2" xfId="5131"/>
    <cellStyle name="Обычный 2 2 7 2 4" xfId="1583"/>
    <cellStyle name="Обычный 2 2 7 2 4 2" xfId="5427"/>
    <cellStyle name="Обычный 2 2 7 2 5" xfId="1876"/>
    <cellStyle name="Обычный 2 2 7 2 5 2" xfId="5723"/>
    <cellStyle name="Обычный 2 2 7 2 6" xfId="2169"/>
    <cellStyle name="Обычный 2 2 7 2 6 2" xfId="6019"/>
    <cellStyle name="Обычный 2 2 7 2 7" xfId="2464"/>
    <cellStyle name="Обычный 2 2 7 2 7 2" xfId="6315"/>
    <cellStyle name="Обычный 2 2 7 2 8" xfId="2760"/>
    <cellStyle name="Обычный 2 2 7 2 8 2" xfId="6611"/>
    <cellStyle name="Обычный 2 2 7 2 9" xfId="3056"/>
    <cellStyle name="Обычный 2 2 7 2 9 2" xfId="6907"/>
    <cellStyle name="Обычный 2 2 7 3" xfId="1060"/>
    <cellStyle name="Обычный 2 2 7 3 2" xfId="4687"/>
    <cellStyle name="Обычный 2 2 7 4" xfId="1154"/>
    <cellStyle name="Обычный 2 2 7 4 2" xfId="4983"/>
    <cellStyle name="Обычный 2 2 7 5" xfId="1437"/>
    <cellStyle name="Обычный 2 2 7 5 2" xfId="5279"/>
    <cellStyle name="Обычный 2 2 7 6" xfId="1728"/>
    <cellStyle name="Обычный 2 2 7 6 2" xfId="5575"/>
    <cellStyle name="Обычный 2 2 7 7" xfId="2021"/>
    <cellStyle name="Обычный 2 2 7 7 2" xfId="5871"/>
    <cellStyle name="Обычный 2 2 7 8" xfId="2316"/>
    <cellStyle name="Обычный 2 2 7 8 2" xfId="6167"/>
    <cellStyle name="Обычный 2 2 7 9" xfId="2612"/>
    <cellStyle name="Обычный 2 2 7 9 2" xfId="6463"/>
    <cellStyle name="Обычный 2 2 8" xfId="290"/>
    <cellStyle name="Обычный 2 2 8 10" xfId="3254"/>
    <cellStyle name="Обычный 2 2 8 10 2" xfId="7105"/>
    <cellStyle name="Обычный 2 2 8 11" xfId="3550"/>
    <cellStyle name="Обычный 2 2 8 11 2" xfId="7401"/>
    <cellStyle name="Обычный 2 2 8 12" xfId="3846"/>
    <cellStyle name="Обычный 2 2 8 12 2" xfId="7697"/>
    <cellStyle name="Обычный 2 2 8 13" xfId="4142"/>
    <cellStyle name="Обычный 2 2 8 13 2" xfId="7993"/>
    <cellStyle name="Обычный 2 2 8 14" xfId="8342"/>
    <cellStyle name="Обычный 2 2 8 15" xfId="4441"/>
    <cellStyle name="Обычный 2 2 8 2" xfId="837"/>
    <cellStyle name="Обычный 2 2 8 2 2" xfId="8590"/>
    <cellStyle name="Обычный 2 2 8 2 3" xfId="4737"/>
    <cellStyle name="Обычный 2 2 8 3" xfId="1201"/>
    <cellStyle name="Обычный 2 2 8 3 2" xfId="5033"/>
    <cellStyle name="Обычный 2 2 8 4" xfId="1486"/>
    <cellStyle name="Обычный 2 2 8 4 2" xfId="5329"/>
    <cellStyle name="Обычный 2 2 8 5" xfId="1778"/>
    <cellStyle name="Обычный 2 2 8 5 2" xfId="5625"/>
    <cellStyle name="Обычный 2 2 8 6" xfId="2071"/>
    <cellStyle name="Обычный 2 2 8 6 2" xfId="5921"/>
    <cellStyle name="Обычный 2 2 8 7" xfId="2366"/>
    <cellStyle name="Обычный 2 2 8 7 2" xfId="6217"/>
    <cellStyle name="Обычный 2 2 8 8" xfId="2662"/>
    <cellStyle name="Обычный 2 2 8 8 2" xfId="6513"/>
    <cellStyle name="Обычный 2 2 8 9" xfId="2958"/>
    <cellStyle name="Обычный 2 2 8 9 2" xfId="6809"/>
    <cellStyle name="Обычный 2 2 9" xfId="389"/>
    <cellStyle name="Обычный 2 2 9 2" xfId="8440"/>
    <cellStyle name="Обычный 2 2 9 3" xfId="4589"/>
    <cellStyle name="Обычный 2 3" xfId="64"/>
    <cellStyle name="Обычный 2 3 10" xfId="1352"/>
    <cellStyle name="Обычный 2 3 10 2" xfId="5190"/>
    <cellStyle name="Обычный 2 3 11" xfId="1641"/>
    <cellStyle name="Обычный 2 3 11 2" xfId="5486"/>
    <cellStyle name="Обычный 2 3 12" xfId="1934"/>
    <cellStyle name="Обычный 2 3 12 2" xfId="5782"/>
    <cellStyle name="Обычный 2 3 13" xfId="2228"/>
    <cellStyle name="Обычный 2 3 13 2" xfId="6078"/>
    <cellStyle name="Обычный 2 3 14" xfId="2523"/>
    <cellStyle name="Обычный 2 3 14 2" xfId="6374"/>
    <cellStyle name="Обычный 2 3 15" xfId="2819"/>
    <cellStyle name="Обычный 2 3 15 2" xfId="6670"/>
    <cellStyle name="Обычный 2 3 16" xfId="3115"/>
    <cellStyle name="Обычный 2 3 16 2" xfId="6966"/>
    <cellStyle name="Обычный 2 3 17" xfId="3411"/>
    <cellStyle name="Обычный 2 3 17 2" xfId="7262"/>
    <cellStyle name="Обычный 2 3 18" xfId="3707"/>
    <cellStyle name="Обычный 2 3 18 2" xfId="7558"/>
    <cellStyle name="Обычный 2 3 19" xfId="4003"/>
    <cellStyle name="Обычный 2 3 19 2" xfId="7854"/>
    <cellStyle name="Обычный 2 3 2" xfId="65"/>
    <cellStyle name="Обычный 2 3 2 10" xfId="1935"/>
    <cellStyle name="Обычный 2 3 2 10 2" xfId="5783"/>
    <cellStyle name="Обычный 2 3 2 11" xfId="2229"/>
    <cellStyle name="Обычный 2 3 2 11 2" xfId="6079"/>
    <cellStyle name="Обычный 2 3 2 12" xfId="2524"/>
    <cellStyle name="Обычный 2 3 2 12 2" xfId="6375"/>
    <cellStyle name="Обычный 2 3 2 13" xfId="2820"/>
    <cellStyle name="Обычный 2 3 2 13 2" xfId="6671"/>
    <cellStyle name="Обычный 2 3 2 14" xfId="3116"/>
    <cellStyle name="Обычный 2 3 2 14 2" xfId="6967"/>
    <cellStyle name="Обычный 2 3 2 15" xfId="3412"/>
    <cellStyle name="Обычный 2 3 2 15 2" xfId="7263"/>
    <cellStyle name="Обычный 2 3 2 16" xfId="3708"/>
    <cellStyle name="Обычный 2 3 2 16 2" xfId="7559"/>
    <cellStyle name="Обычный 2 3 2 17" xfId="4004"/>
    <cellStyle name="Обычный 2 3 2 17 2" xfId="7855"/>
    <cellStyle name="Обычный 2 3 2 18" xfId="8151"/>
    <cellStyle name="Обычный 2 3 2 19" xfId="4300"/>
    <cellStyle name="Обычный 2 3 2 2" xfId="115"/>
    <cellStyle name="Обычный 2 3 2 2 10" xfId="2250"/>
    <cellStyle name="Обычный 2 3 2 2 10 2" xfId="6101"/>
    <cellStyle name="Обычный 2 3 2 2 11" xfId="2546"/>
    <cellStyle name="Обычный 2 3 2 2 11 2" xfId="6397"/>
    <cellStyle name="Обычный 2 3 2 2 12" xfId="2842"/>
    <cellStyle name="Обычный 2 3 2 2 12 2" xfId="6693"/>
    <cellStyle name="Обычный 2 3 2 2 13" xfId="3138"/>
    <cellStyle name="Обычный 2 3 2 2 13 2" xfId="6989"/>
    <cellStyle name="Обычный 2 3 2 2 14" xfId="3434"/>
    <cellStyle name="Обычный 2 3 2 2 14 2" xfId="7285"/>
    <cellStyle name="Обычный 2 3 2 2 15" xfId="3730"/>
    <cellStyle name="Обычный 2 3 2 2 15 2" xfId="7581"/>
    <cellStyle name="Обычный 2 3 2 2 16" xfId="4026"/>
    <cellStyle name="Обычный 2 3 2 2 16 2" xfId="7877"/>
    <cellStyle name="Обычный 2 3 2 2 17" xfId="8173"/>
    <cellStyle name="Обычный 2 3 2 2 18" xfId="4322"/>
    <cellStyle name="Обычный 2 3 2 2 2" xfId="168"/>
    <cellStyle name="Обычный 2 3 2 2 2 10" xfId="2890"/>
    <cellStyle name="Обычный 2 3 2 2 2 10 2" xfId="6741"/>
    <cellStyle name="Обычный 2 3 2 2 2 11" xfId="3186"/>
    <cellStyle name="Обычный 2 3 2 2 2 11 2" xfId="7037"/>
    <cellStyle name="Обычный 2 3 2 2 2 12" xfId="3482"/>
    <cellStyle name="Обычный 2 3 2 2 2 12 2" xfId="7333"/>
    <cellStyle name="Обычный 2 3 2 2 2 13" xfId="3778"/>
    <cellStyle name="Обычный 2 3 2 2 2 13 2" xfId="7629"/>
    <cellStyle name="Обычный 2 3 2 2 2 14" xfId="4074"/>
    <cellStyle name="Обычный 2 3 2 2 2 14 2" xfId="7925"/>
    <cellStyle name="Обычный 2 3 2 2 2 15" xfId="8223"/>
    <cellStyle name="Обычный 2 3 2 2 2 16" xfId="4371"/>
    <cellStyle name="Обычный 2 3 2 2 2 2" xfId="271"/>
    <cellStyle name="Обычный 2 3 2 2 2 2 10" xfId="3334"/>
    <cellStyle name="Обычный 2 3 2 2 2 2 10 2" xfId="7185"/>
    <cellStyle name="Обычный 2 3 2 2 2 2 11" xfId="3630"/>
    <cellStyle name="Обычный 2 3 2 2 2 2 11 2" xfId="7481"/>
    <cellStyle name="Обычный 2 3 2 2 2 2 12" xfId="3926"/>
    <cellStyle name="Обычный 2 3 2 2 2 2 12 2" xfId="7777"/>
    <cellStyle name="Обычный 2 3 2 2 2 2 13" xfId="4222"/>
    <cellStyle name="Обычный 2 3 2 2 2 2 13 2" xfId="8073"/>
    <cellStyle name="Обычный 2 3 2 2 2 2 14" xfId="8324"/>
    <cellStyle name="Обычный 2 3 2 2 2 2 15" xfId="4521"/>
    <cellStyle name="Обычный 2 3 2 2 2 2 2" xfId="838"/>
    <cellStyle name="Обычный 2 3 2 2 2 2 2 2" xfId="8591"/>
    <cellStyle name="Обычный 2 3 2 2 2 2 2 3" xfId="4817"/>
    <cellStyle name="Обычный 2 3 2 2 2 2 3" xfId="1279"/>
    <cellStyle name="Обычный 2 3 2 2 2 2 3 2" xfId="5113"/>
    <cellStyle name="Обычный 2 3 2 2 2 2 4" xfId="1565"/>
    <cellStyle name="Обычный 2 3 2 2 2 2 4 2" xfId="5409"/>
    <cellStyle name="Обычный 2 3 2 2 2 2 5" xfId="1858"/>
    <cellStyle name="Обычный 2 3 2 2 2 2 5 2" xfId="5705"/>
    <cellStyle name="Обычный 2 3 2 2 2 2 6" xfId="2151"/>
    <cellStyle name="Обычный 2 3 2 2 2 2 6 2" xfId="6001"/>
    <cellStyle name="Обычный 2 3 2 2 2 2 7" xfId="2446"/>
    <cellStyle name="Обычный 2 3 2 2 2 2 7 2" xfId="6297"/>
    <cellStyle name="Обычный 2 3 2 2 2 2 8" xfId="2742"/>
    <cellStyle name="Обычный 2 3 2 2 2 2 8 2" xfId="6593"/>
    <cellStyle name="Обычный 2 3 2 2 2 2 9" xfId="3038"/>
    <cellStyle name="Обычный 2 3 2 2 2 2 9 2" xfId="6889"/>
    <cellStyle name="Обычный 2 3 2 2 2 3" xfId="372"/>
    <cellStyle name="Обычный 2 3 2 2 2 3 2" xfId="839"/>
    <cellStyle name="Обычный 2 3 2 2 2 3 3" xfId="8424"/>
    <cellStyle name="Обычный 2 3 2 2 2 3 4" xfId="4669"/>
    <cellStyle name="Обычный 2 3 2 2 2 4" xfId="840"/>
    <cellStyle name="Обычный 2 3 2 2 2 4 2" xfId="8592"/>
    <cellStyle name="Обычный 2 3 2 2 2 4 3" xfId="4965"/>
    <cellStyle name="Обычный 2 3 2 2 2 5" xfId="1421"/>
    <cellStyle name="Обычный 2 3 2 2 2 5 2" xfId="5261"/>
    <cellStyle name="Обычный 2 3 2 2 2 6" xfId="1711"/>
    <cellStyle name="Обычный 2 3 2 2 2 6 2" xfId="5557"/>
    <cellStyle name="Обычный 2 3 2 2 2 7" xfId="2003"/>
    <cellStyle name="Обычный 2 3 2 2 2 7 2" xfId="5853"/>
    <cellStyle name="Обычный 2 3 2 2 2 8" xfId="2298"/>
    <cellStyle name="Обычный 2 3 2 2 2 8 2" xfId="6149"/>
    <cellStyle name="Обычный 2 3 2 2 2 9" xfId="2594"/>
    <cellStyle name="Обычный 2 3 2 2 2 9 2" xfId="6445"/>
    <cellStyle name="Обычный 2 3 2 2 3" xfId="221"/>
    <cellStyle name="Обычный 2 3 2 2 3 10" xfId="2940"/>
    <cellStyle name="Обычный 2 3 2 2 3 10 2" xfId="6791"/>
    <cellStyle name="Обычный 2 3 2 2 3 11" xfId="3236"/>
    <cellStyle name="Обычный 2 3 2 2 3 11 2" xfId="7087"/>
    <cellStyle name="Обычный 2 3 2 2 3 12" xfId="3532"/>
    <cellStyle name="Обычный 2 3 2 2 3 12 2" xfId="7383"/>
    <cellStyle name="Обычный 2 3 2 2 3 13" xfId="3828"/>
    <cellStyle name="Обычный 2 3 2 2 3 13 2" xfId="7679"/>
    <cellStyle name="Обычный 2 3 2 2 3 14" xfId="4124"/>
    <cellStyle name="Обычный 2 3 2 2 3 14 2" xfId="7975"/>
    <cellStyle name="Обычный 2 3 2 2 3 15" xfId="8274"/>
    <cellStyle name="Обычный 2 3 2 2 3 16" xfId="4422"/>
    <cellStyle name="Обычный 2 3 2 2 3 2" xfId="841"/>
    <cellStyle name="Обычный 2 3 2 2 3 2 10" xfId="3384"/>
    <cellStyle name="Обычный 2 3 2 2 3 2 10 2" xfId="7235"/>
    <cellStyle name="Обычный 2 3 2 2 3 2 11" xfId="3680"/>
    <cellStyle name="Обычный 2 3 2 2 3 2 11 2" xfId="7531"/>
    <cellStyle name="Обычный 2 3 2 2 3 2 12" xfId="3976"/>
    <cellStyle name="Обычный 2 3 2 2 3 2 12 2" xfId="7827"/>
    <cellStyle name="Обычный 2 3 2 2 3 2 13" xfId="4272"/>
    <cellStyle name="Обычный 2 3 2 2 3 2 13 2" xfId="8123"/>
    <cellStyle name="Обычный 2 3 2 2 3 2 14" xfId="8593"/>
    <cellStyle name="Обычный 2 3 2 2 3 2 15" xfId="4571"/>
    <cellStyle name="Обычный 2 3 2 2 3 2 2" xfId="1138"/>
    <cellStyle name="Обычный 2 3 2 2 3 2 2 2" xfId="4867"/>
    <cellStyle name="Обычный 2 3 2 2 3 2 3" xfId="1327"/>
    <cellStyle name="Обычный 2 3 2 2 3 2 3 2" xfId="5163"/>
    <cellStyle name="Обычный 2 3 2 2 3 2 4" xfId="1614"/>
    <cellStyle name="Обычный 2 3 2 2 3 2 4 2" xfId="5459"/>
    <cellStyle name="Обычный 2 3 2 2 3 2 5" xfId="1907"/>
    <cellStyle name="Обычный 2 3 2 2 3 2 5 2" xfId="5755"/>
    <cellStyle name="Обычный 2 3 2 2 3 2 6" xfId="2201"/>
    <cellStyle name="Обычный 2 3 2 2 3 2 6 2" xfId="6051"/>
    <cellStyle name="Обычный 2 3 2 2 3 2 7" xfId="2496"/>
    <cellStyle name="Обычный 2 3 2 2 3 2 7 2" xfId="6347"/>
    <cellStyle name="Обычный 2 3 2 2 3 2 8" xfId="2792"/>
    <cellStyle name="Обычный 2 3 2 2 3 2 8 2" xfId="6643"/>
    <cellStyle name="Обычный 2 3 2 2 3 2 9" xfId="3088"/>
    <cellStyle name="Обычный 2 3 2 2 3 2 9 2" xfId="6939"/>
    <cellStyle name="Обычный 2 3 2 2 3 3" xfId="1091"/>
    <cellStyle name="Обычный 2 3 2 2 3 3 2" xfId="4719"/>
    <cellStyle name="Обычный 2 3 2 2 3 4" xfId="1185"/>
    <cellStyle name="Обычный 2 3 2 2 3 4 2" xfId="5015"/>
    <cellStyle name="Обычный 2 3 2 2 3 5" xfId="1469"/>
    <cellStyle name="Обычный 2 3 2 2 3 5 2" xfId="5311"/>
    <cellStyle name="Обычный 2 3 2 2 3 6" xfId="1760"/>
    <cellStyle name="Обычный 2 3 2 2 3 6 2" xfId="5607"/>
    <cellStyle name="Обычный 2 3 2 2 3 7" xfId="2053"/>
    <cellStyle name="Обычный 2 3 2 2 3 7 2" xfId="5903"/>
    <cellStyle name="Обычный 2 3 2 2 3 8" xfId="2348"/>
    <cellStyle name="Обычный 2 3 2 2 3 8 2" xfId="6199"/>
    <cellStyle name="Обычный 2 3 2 2 3 9" xfId="2644"/>
    <cellStyle name="Обычный 2 3 2 2 3 9 2" xfId="6495"/>
    <cellStyle name="Обычный 2 3 2 2 4" xfId="322"/>
    <cellStyle name="Обычный 2 3 2 2 4 10" xfId="3286"/>
    <cellStyle name="Обычный 2 3 2 2 4 10 2" xfId="7137"/>
    <cellStyle name="Обычный 2 3 2 2 4 11" xfId="3582"/>
    <cellStyle name="Обычный 2 3 2 2 4 11 2" xfId="7433"/>
    <cellStyle name="Обычный 2 3 2 2 4 12" xfId="3878"/>
    <cellStyle name="Обычный 2 3 2 2 4 12 2" xfId="7729"/>
    <cellStyle name="Обычный 2 3 2 2 4 13" xfId="4174"/>
    <cellStyle name="Обычный 2 3 2 2 4 13 2" xfId="8025"/>
    <cellStyle name="Обычный 2 3 2 2 4 14" xfId="8374"/>
    <cellStyle name="Обычный 2 3 2 2 4 15" xfId="4473"/>
    <cellStyle name="Обычный 2 3 2 2 4 2" xfId="842"/>
    <cellStyle name="Обычный 2 3 2 2 4 2 2" xfId="8594"/>
    <cellStyle name="Обычный 2 3 2 2 4 2 3" xfId="4769"/>
    <cellStyle name="Обычный 2 3 2 2 4 3" xfId="1233"/>
    <cellStyle name="Обычный 2 3 2 2 4 3 2" xfId="5065"/>
    <cellStyle name="Обычный 2 3 2 2 4 4" xfId="1518"/>
    <cellStyle name="Обычный 2 3 2 2 4 4 2" xfId="5361"/>
    <cellStyle name="Обычный 2 3 2 2 4 5" xfId="1810"/>
    <cellStyle name="Обычный 2 3 2 2 4 5 2" xfId="5657"/>
    <cellStyle name="Обычный 2 3 2 2 4 6" xfId="2103"/>
    <cellStyle name="Обычный 2 3 2 2 4 6 2" xfId="5953"/>
    <cellStyle name="Обычный 2 3 2 2 4 7" xfId="2398"/>
    <cellStyle name="Обычный 2 3 2 2 4 7 2" xfId="6249"/>
    <cellStyle name="Обычный 2 3 2 2 4 8" xfId="2694"/>
    <cellStyle name="Обычный 2 3 2 2 4 8 2" xfId="6545"/>
    <cellStyle name="Обычный 2 3 2 2 4 9" xfId="2990"/>
    <cellStyle name="Обычный 2 3 2 2 4 9 2" xfId="6841"/>
    <cellStyle name="Обычный 2 3 2 2 5" xfId="686"/>
    <cellStyle name="Обычный 2 3 2 2 5 2" xfId="8485"/>
    <cellStyle name="Обычный 2 3 2 2 5 3" xfId="4621"/>
    <cellStyle name="Обычный 2 3 2 2 6" xfId="843"/>
    <cellStyle name="Обычный 2 3 2 2 6 2" xfId="8595"/>
    <cellStyle name="Обычный 2 3 2 2 6 3" xfId="4917"/>
    <cellStyle name="Обычный 2 3 2 2 7" xfId="1374"/>
    <cellStyle name="Обычный 2 3 2 2 7 2" xfId="5213"/>
    <cellStyle name="Обычный 2 3 2 2 8" xfId="1663"/>
    <cellStyle name="Обычный 2 3 2 2 8 2" xfId="5509"/>
    <cellStyle name="Обычный 2 3 2 2 9" xfId="1956"/>
    <cellStyle name="Обычный 2 3 2 2 9 2" xfId="5805"/>
    <cellStyle name="Обычный 2 3 2 20" xfId="8828"/>
    <cellStyle name="Обычный 2 3 2 3" xfId="146"/>
    <cellStyle name="Обычный 2 3 2 3 10" xfId="2868"/>
    <cellStyle name="Обычный 2 3 2 3 10 2" xfId="6719"/>
    <cellStyle name="Обычный 2 3 2 3 11" xfId="3164"/>
    <cellStyle name="Обычный 2 3 2 3 11 2" xfId="7015"/>
    <cellStyle name="Обычный 2 3 2 3 12" xfId="3460"/>
    <cellStyle name="Обычный 2 3 2 3 12 2" xfId="7311"/>
    <cellStyle name="Обычный 2 3 2 3 13" xfId="3756"/>
    <cellStyle name="Обычный 2 3 2 3 13 2" xfId="7607"/>
    <cellStyle name="Обычный 2 3 2 3 14" xfId="4052"/>
    <cellStyle name="Обычный 2 3 2 3 14 2" xfId="7903"/>
    <cellStyle name="Обычный 2 3 2 3 15" xfId="8201"/>
    <cellStyle name="Обычный 2 3 2 3 16" xfId="4349"/>
    <cellStyle name="Обычный 2 3 2 3 2" xfId="249"/>
    <cellStyle name="Обычный 2 3 2 3 2 10" xfId="3312"/>
    <cellStyle name="Обычный 2 3 2 3 2 10 2" xfId="7163"/>
    <cellStyle name="Обычный 2 3 2 3 2 11" xfId="3608"/>
    <cellStyle name="Обычный 2 3 2 3 2 11 2" xfId="7459"/>
    <cellStyle name="Обычный 2 3 2 3 2 12" xfId="3904"/>
    <cellStyle name="Обычный 2 3 2 3 2 12 2" xfId="7755"/>
    <cellStyle name="Обычный 2 3 2 3 2 13" xfId="4200"/>
    <cellStyle name="Обычный 2 3 2 3 2 13 2" xfId="8051"/>
    <cellStyle name="Обычный 2 3 2 3 2 14" xfId="8302"/>
    <cellStyle name="Обычный 2 3 2 3 2 15" xfId="4499"/>
    <cellStyle name="Обычный 2 3 2 3 2 2" xfId="844"/>
    <cellStyle name="Обычный 2 3 2 3 2 2 2" xfId="8596"/>
    <cellStyle name="Обычный 2 3 2 3 2 2 3" xfId="4795"/>
    <cellStyle name="Обычный 2 3 2 3 2 3" xfId="1258"/>
    <cellStyle name="Обычный 2 3 2 3 2 3 2" xfId="5091"/>
    <cellStyle name="Обычный 2 3 2 3 2 4" xfId="1544"/>
    <cellStyle name="Обычный 2 3 2 3 2 4 2" xfId="5387"/>
    <cellStyle name="Обычный 2 3 2 3 2 5" xfId="1836"/>
    <cellStyle name="Обычный 2 3 2 3 2 5 2" xfId="5683"/>
    <cellStyle name="Обычный 2 3 2 3 2 6" xfId="2129"/>
    <cellStyle name="Обычный 2 3 2 3 2 6 2" xfId="5979"/>
    <cellStyle name="Обычный 2 3 2 3 2 7" xfId="2424"/>
    <cellStyle name="Обычный 2 3 2 3 2 7 2" xfId="6275"/>
    <cellStyle name="Обычный 2 3 2 3 2 8" xfId="2720"/>
    <cellStyle name="Обычный 2 3 2 3 2 8 2" xfId="6571"/>
    <cellStyle name="Обычный 2 3 2 3 2 9" xfId="3016"/>
    <cellStyle name="Обычный 2 3 2 3 2 9 2" xfId="6867"/>
    <cellStyle name="Обычный 2 3 2 3 3" xfId="350"/>
    <cellStyle name="Обычный 2 3 2 3 3 2" xfId="845"/>
    <cellStyle name="Обычный 2 3 2 3 3 3" xfId="8402"/>
    <cellStyle name="Обычный 2 3 2 3 3 4" xfId="4647"/>
    <cellStyle name="Обычный 2 3 2 3 4" xfId="846"/>
    <cellStyle name="Обычный 2 3 2 3 4 2" xfId="8597"/>
    <cellStyle name="Обычный 2 3 2 3 4 3" xfId="4943"/>
    <cellStyle name="Обычный 2 3 2 3 5" xfId="1400"/>
    <cellStyle name="Обычный 2 3 2 3 5 2" xfId="5239"/>
    <cellStyle name="Обычный 2 3 2 3 6" xfId="1689"/>
    <cellStyle name="Обычный 2 3 2 3 6 2" xfId="5535"/>
    <cellStyle name="Обычный 2 3 2 3 7" xfId="1982"/>
    <cellStyle name="Обычный 2 3 2 3 7 2" xfId="5831"/>
    <cellStyle name="Обычный 2 3 2 3 8" xfId="2276"/>
    <cellStyle name="Обычный 2 3 2 3 8 2" xfId="6127"/>
    <cellStyle name="Обычный 2 3 2 3 9" xfId="2572"/>
    <cellStyle name="Обычный 2 3 2 3 9 2" xfId="6423"/>
    <cellStyle name="Обычный 2 3 2 4" xfId="199"/>
    <cellStyle name="Обычный 2 3 2 4 10" xfId="2918"/>
    <cellStyle name="Обычный 2 3 2 4 10 2" xfId="6769"/>
    <cellStyle name="Обычный 2 3 2 4 11" xfId="3214"/>
    <cellStyle name="Обычный 2 3 2 4 11 2" xfId="7065"/>
    <cellStyle name="Обычный 2 3 2 4 12" xfId="3510"/>
    <cellStyle name="Обычный 2 3 2 4 12 2" xfId="7361"/>
    <cellStyle name="Обычный 2 3 2 4 13" xfId="3806"/>
    <cellStyle name="Обычный 2 3 2 4 13 2" xfId="7657"/>
    <cellStyle name="Обычный 2 3 2 4 14" xfId="4102"/>
    <cellStyle name="Обычный 2 3 2 4 14 2" xfId="7953"/>
    <cellStyle name="Обычный 2 3 2 4 15" xfId="8252"/>
    <cellStyle name="Обычный 2 3 2 4 16" xfId="4400"/>
    <cellStyle name="Обычный 2 3 2 4 2" xfId="847"/>
    <cellStyle name="Обычный 2 3 2 4 2 10" xfId="3362"/>
    <cellStyle name="Обычный 2 3 2 4 2 10 2" xfId="7213"/>
    <cellStyle name="Обычный 2 3 2 4 2 11" xfId="3658"/>
    <cellStyle name="Обычный 2 3 2 4 2 11 2" xfId="7509"/>
    <cellStyle name="Обычный 2 3 2 4 2 12" xfId="3954"/>
    <cellStyle name="Обычный 2 3 2 4 2 12 2" xfId="7805"/>
    <cellStyle name="Обычный 2 3 2 4 2 13" xfId="4250"/>
    <cellStyle name="Обычный 2 3 2 4 2 13 2" xfId="8101"/>
    <cellStyle name="Обычный 2 3 2 4 2 14" xfId="8598"/>
    <cellStyle name="Обычный 2 3 2 4 2 15" xfId="4549"/>
    <cellStyle name="Обычный 2 3 2 4 2 2" xfId="1117"/>
    <cellStyle name="Обычный 2 3 2 4 2 2 2" xfId="4845"/>
    <cellStyle name="Обычный 2 3 2 4 2 3" xfId="1306"/>
    <cellStyle name="Обычный 2 3 2 4 2 3 2" xfId="5141"/>
    <cellStyle name="Обычный 2 3 2 4 2 4" xfId="1593"/>
    <cellStyle name="Обычный 2 3 2 4 2 4 2" xfId="5437"/>
    <cellStyle name="Обычный 2 3 2 4 2 5" xfId="1886"/>
    <cellStyle name="Обычный 2 3 2 4 2 5 2" xfId="5733"/>
    <cellStyle name="Обычный 2 3 2 4 2 6" xfId="2179"/>
    <cellStyle name="Обычный 2 3 2 4 2 6 2" xfId="6029"/>
    <cellStyle name="Обычный 2 3 2 4 2 7" xfId="2474"/>
    <cellStyle name="Обычный 2 3 2 4 2 7 2" xfId="6325"/>
    <cellStyle name="Обычный 2 3 2 4 2 8" xfId="2770"/>
    <cellStyle name="Обычный 2 3 2 4 2 8 2" xfId="6621"/>
    <cellStyle name="Обычный 2 3 2 4 2 9" xfId="3066"/>
    <cellStyle name="Обычный 2 3 2 4 2 9 2" xfId="6917"/>
    <cellStyle name="Обычный 2 3 2 4 3" xfId="1070"/>
    <cellStyle name="Обычный 2 3 2 4 3 2" xfId="4697"/>
    <cellStyle name="Обычный 2 3 2 4 4" xfId="1164"/>
    <cellStyle name="Обычный 2 3 2 4 4 2" xfId="4993"/>
    <cellStyle name="Обычный 2 3 2 4 5" xfId="1447"/>
    <cellStyle name="Обычный 2 3 2 4 5 2" xfId="5289"/>
    <cellStyle name="Обычный 2 3 2 4 6" xfId="1738"/>
    <cellStyle name="Обычный 2 3 2 4 6 2" xfId="5585"/>
    <cellStyle name="Обычный 2 3 2 4 7" xfId="2031"/>
    <cellStyle name="Обычный 2 3 2 4 7 2" xfId="5881"/>
    <cellStyle name="Обычный 2 3 2 4 8" xfId="2326"/>
    <cellStyle name="Обычный 2 3 2 4 8 2" xfId="6177"/>
    <cellStyle name="Обычный 2 3 2 4 9" xfId="2622"/>
    <cellStyle name="Обычный 2 3 2 4 9 2" xfId="6473"/>
    <cellStyle name="Обычный 2 3 2 5" xfId="300"/>
    <cellStyle name="Обычный 2 3 2 5 10" xfId="3264"/>
    <cellStyle name="Обычный 2 3 2 5 10 2" xfId="7115"/>
    <cellStyle name="Обычный 2 3 2 5 11" xfId="3560"/>
    <cellStyle name="Обычный 2 3 2 5 11 2" xfId="7411"/>
    <cellStyle name="Обычный 2 3 2 5 12" xfId="3856"/>
    <cellStyle name="Обычный 2 3 2 5 12 2" xfId="7707"/>
    <cellStyle name="Обычный 2 3 2 5 13" xfId="4152"/>
    <cellStyle name="Обычный 2 3 2 5 13 2" xfId="8003"/>
    <cellStyle name="Обычный 2 3 2 5 14" xfId="8352"/>
    <cellStyle name="Обычный 2 3 2 5 15" xfId="4451"/>
    <cellStyle name="Обычный 2 3 2 5 2" xfId="848"/>
    <cellStyle name="Обычный 2 3 2 5 2 2" xfId="8599"/>
    <cellStyle name="Обычный 2 3 2 5 2 3" xfId="4747"/>
    <cellStyle name="Обычный 2 3 2 5 3" xfId="1211"/>
    <cellStyle name="Обычный 2 3 2 5 3 2" xfId="5043"/>
    <cellStyle name="Обычный 2 3 2 5 4" xfId="1496"/>
    <cellStyle name="Обычный 2 3 2 5 4 2" xfId="5339"/>
    <cellStyle name="Обычный 2 3 2 5 5" xfId="1788"/>
    <cellStyle name="Обычный 2 3 2 5 5 2" xfId="5635"/>
    <cellStyle name="Обычный 2 3 2 5 6" xfId="2081"/>
    <cellStyle name="Обычный 2 3 2 5 6 2" xfId="5931"/>
    <cellStyle name="Обычный 2 3 2 5 7" xfId="2376"/>
    <cellStyle name="Обычный 2 3 2 5 7 2" xfId="6227"/>
    <cellStyle name="Обычный 2 3 2 5 8" xfId="2672"/>
    <cellStyle name="Обычный 2 3 2 5 8 2" xfId="6523"/>
    <cellStyle name="Обычный 2 3 2 5 9" xfId="2968"/>
    <cellStyle name="Обычный 2 3 2 5 9 2" xfId="6819"/>
    <cellStyle name="Обычный 2 3 2 6" xfId="610"/>
    <cellStyle name="Обычный 2 3 2 6 2" xfId="8456"/>
    <cellStyle name="Обычный 2 3 2 6 3" xfId="4599"/>
    <cellStyle name="Обычный 2 3 2 7" xfId="849"/>
    <cellStyle name="Обычный 2 3 2 7 2" xfId="8600"/>
    <cellStyle name="Обычный 2 3 2 7 3" xfId="4895"/>
    <cellStyle name="Обычный 2 3 2 8" xfId="1353"/>
    <cellStyle name="Обычный 2 3 2 8 2" xfId="5191"/>
    <cellStyle name="Обычный 2 3 2 9" xfId="1642"/>
    <cellStyle name="Обычный 2 3 2 9 2" xfId="5487"/>
    <cellStyle name="Обычный 2 3 20" xfId="8150"/>
    <cellStyle name="Обычный 2 3 21" xfId="4299"/>
    <cellStyle name="Обычный 2 3 22" xfId="8822"/>
    <cellStyle name="Обычный 2 3 3" xfId="66"/>
    <cellStyle name="Обычный 2 3 3 10" xfId="1936"/>
    <cellStyle name="Обычный 2 3 3 10 2" xfId="5784"/>
    <cellStyle name="Обычный 2 3 3 11" xfId="2230"/>
    <cellStyle name="Обычный 2 3 3 11 2" xfId="6080"/>
    <cellStyle name="Обычный 2 3 3 12" xfId="2525"/>
    <cellStyle name="Обычный 2 3 3 12 2" xfId="6376"/>
    <cellStyle name="Обычный 2 3 3 13" xfId="2821"/>
    <cellStyle name="Обычный 2 3 3 13 2" xfId="6672"/>
    <cellStyle name="Обычный 2 3 3 14" xfId="3117"/>
    <cellStyle name="Обычный 2 3 3 14 2" xfId="6968"/>
    <cellStyle name="Обычный 2 3 3 15" xfId="3413"/>
    <cellStyle name="Обычный 2 3 3 15 2" xfId="7264"/>
    <cellStyle name="Обычный 2 3 3 16" xfId="3709"/>
    <cellStyle name="Обычный 2 3 3 16 2" xfId="7560"/>
    <cellStyle name="Обычный 2 3 3 17" xfId="4005"/>
    <cellStyle name="Обычный 2 3 3 17 2" xfId="7856"/>
    <cellStyle name="Обычный 2 3 3 18" xfId="8152"/>
    <cellStyle name="Обычный 2 3 3 19" xfId="4301"/>
    <cellStyle name="Обычный 2 3 3 2" xfId="116"/>
    <cellStyle name="Обычный 2 3 3 2 10" xfId="2251"/>
    <cellStyle name="Обычный 2 3 3 2 10 2" xfId="6102"/>
    <cellStyle name="Обычный 2 3 3 2 11" xfId="2547"/>
    <cellStyle name="Обычный 2 3 3 2 11 2" xfId="6398"/>
    <cellStyle name="Обычный 2 3 3 2 12" xfId="2843"/>
    <cellStyle name="Обычный 2 3 3 2 12 2" xfId="6694"/>
    <cellStyle name="Обычный 2 3 3 2 13" xfId="3139"/>
    <cellStyle name="Обычный 2 3 3 2 13 2" xfId="6990"/>
    <cellStyle name="Обычный 2 3 3 2 14" xfId="3435"/>
    <cellStyle name="Обычный 2 3 3 2 14 2" xfId="7286"/>
    <cellStyle name="Обычный 2 3 3 2 15" xfId="3731"/>
    <cellStyle name="Обычный 2 3 3 2 15 2" xfId="7582"/>
    <cellStyle name="Обычный 2 3 3 2 16" xfId="4027"/>
    <cellStyle name="Обычный 2 3 3 2 16 2" xfId="7878"/>
    <cellStyle name="Обычный 2 3 3 2 17" xfId="8174"/>
    <cellStyle name="Обычный 2 3 3 2 18" xfId="4323"/>
    <cellStyle name="Обычный 2 3 3 2 2" xfId="169"/>
    <cellStyle name="Обычный 2 3 3 2 2 10" xfId="2891"/>
    <cellStyle name="Обычный 2 3 3 2 2 10 2" xfId="6742"/>
    <cellStyle name="Обычный 2 3 3 2 2 11" xfId="3187"/>
    <cellStyle name="Обычный 2 3 3 2 2 11 2" xfId="7038"/>
    <cellStyle name="Обычный 2 3 3 2 2 12" xfId="3483"/>
    <cellStyle name="Обычный 2 3 3 2 2 12 2" xfId="7334"/>
    <cellStyle name="Обычный 2 3 3 2 2 13" xfId="3779"/>
    <cellStyle name="Обычный 2 3 3 2 2 13 2" xfId="7630"/>
    <cellStyle name="Обычный 2 3 3 2 2 14" xfId="4075"/>
    <cellStyle name="Обычный 2 3 3 2 2 14 2" xfId="7926"/>
    <cellStyle name="Обычный 2 3 3 2 2 15" xfId="8224"/>
    <cellStyle name="Обычный 2 3 3 2 2 16" xfId="4372"/>
    <cellStyle name="Обычный 2 3 3 2 2 2" xfId="272"/>
    <cellStyle name="Обычный 2 3 3 2 2 2 10" xfId="3335"/>
    <cellStyle name="Обычный 2 3 3 2 2 2 10 2" xfId="7186"/>
    <cellStyle name="Обычный 2 3 3 2 2 2 11" xfId="3631"/>
    <cellStyle name="Обычный 2 3 3 2 2 2 11 2" xfId="7482"/>
    <cellStyle name="Обычный 2 3 3 2 2 2 12" xfId="3927"/>
    <cellStyle name="Обычный 2 3 3 2 2 2 12 2" xfId="7778"/>
    <cellStyle name="Обычный 2 3 3 2 2 2 13" xfId="4223"/>
    <cellStyle name="Обычный 2 3 3 2 2 2 13 2" xfId="8074"/>
    <cellStyle name="Обычный 2 3 3 2 2 2 14" xfId="8325"/>
    <cellStyle name="Обычный 2 3 3 2 2 2 15" xfId="4522"/>
    <cellStyle name="Обычный 2 3 3 2 2 2 2" xfId="850"/>
    <cellStyle name="Обычный 2 3 3 2 2 2 2 2" xfId="8601"/>
    <cellStyle name="Обычный 2 3 3 2 2 2 2 3" xfId="4818"/>
    <cellStyle name="Обычный 2 3 3 2 2 2 3" xfId="1280"/>
    <cellStyle name="Обычный 2 3 3 2 2 2 3 2" xfId="5114"/>
    <cellStyle name="Обычный 2 3 3 2 2 2 4" xfId="1566"/>
    <cellStyle name="Обычный 2 3 3 2 2 2 4 2" xfId="5410"/>
    <cellStyle name="Обычный 2 3 3 2 2 2 5" xfId="1859"/>
    <cellStyle name="Обычный 2 3 3 2 2 2 5 2" xfId="5706"/>
    <cellStyle name="Обычный 2 3 3 2 2 2 6" xfId="2152"/>
    <cellStyle name="Обычный 2 3 3 2 2 2 6 2" xfId="6002"/>
    <cellStyle name="Обычный 2 3 3 2 2 2 7" xfId="2447"/>
    <cellStyle name="Обычный 2 3 3 2 2 2 7 2" xfId="6298"/>
    <cellStyle name="Обычный 2 3 3 2 2 2 8" xfId="2743"/>
    <cellStyle name="Обычный 2 3 3 2 2 2 8 2" xfId="6594"/>
    <cellStyle name="Обычный 2 3 3 2 2 2 9" xfId="3039"/>
    <cellStyle name="Обычный 2 3 3 2 2 2 9 2" xfId="6890"/>
    <cellStyle name="Обычный 2 3 3 2 2 3" xfId="373"/>
    <cellStyle name="Обычный 2 3 3 2 2 3 2" xfId="851"/>
    <cellStyle name="Обычный 2 3 3 2 2 3 3" xfId="8425"/>
    <cellStyle name="Обычный 2 3 3 2 2 3 4" xfId="4670"/>
    <cellStyle name="Обычный 2 3 3 2 2 4" xfId="852"/>
    <cellStyle name="Обычный 2 3 3 2 2 4 2" xfId="8602"/>
    <cellStyle name="Обычный 2 3 3 2 2 4 3" xfId="4966"/>
    <cellStyle name="Обычный 2 3 3 2 2 5" xfId="1422"/>
    <cellStyle name="Обычный 2 3 3 2 2 5 2" xfId="5262"/>
    <cellStyle name="Обычный 2 3 3 2 2 6" xfId="1712"/>
    <cellStyle name="Обычный 2 3 3 2 2 6 2" xfId="5558"/>
    <cellStyle name="Обычный 2 3 3 2 2 7" xfId="2004"/>
    <cellStyle name="Обычный 2 3 3 2 2 7 2" xfId="5854"/>
    <cellStyle name="Обычный 2 3 3 2 2 8" xfId="2299"/>
    <cellStyle name="Обычный 2 3 3 2 2 8 2" xfId="6150"/>
    <cellStyle name="Обычный 2 3 3 2 2 9" xfId="2595"/>
    <cellStyle name="Обычный 2 3 3 2 2 9 2" xfId="6446"/>
    <cellStyle name="Обычный 2 3 3 2 3" xfId="222"/>
    <cellStyle name="Обычный 2 3 3 2 3 10" xfId="2941"/>
    <cellStyle name="Обычный 2 3 3 2 3 10 2" xfId="6792"/>
    <cellStyle name="Обычный 2 3 3 2 3 11" xfId="3237"/>
    <cellStyle name="Обычный 2 3 3 2 3 11 2" xfId="7088"/>
    <cellStyle name="Обычный 2 3 3 2 3 12" xfId="3533"/>
    <cellStyle name="Обычный 2 3 3 2 3 12 2" xfId="7384"/>
    <cellStyle name="Обычный 2 3 3 2 3 13" xfId="3829"/>
    <cellStyle name="Обычный 2 3 3 2 3 13 2" xfId="7680"/>
    <cellStyle name="Обычный 2 3 3 2 3 14" xfId="4125"/>
    <cellStyle name="Обычный 2 3 3 2 3 14 2" xfId="7976"/>
    <cellStyle name="Обычный 2 3 3 2 3 15" xfId="8275"/>
    <cellStyle name="Обычный 2 3 3 2 3 16" xfId="4423"/>
    <cellStyle name="Обычный 2 3 3 2 3 2" xfId="853"/>
    <cellStyle name="Обычный 2 3 3 2 3 2 10" xfId="3385"/>
    <cellStyle name="Обычный 2 3 3 2 3 2 10 2" xfId="7236"/>
    <cellStyle name="Обычный 2 3 3 2 3 2 11" xfId="3681"/>
    <cellStyle name="Обычный 2 3 3 2 3 2 11 2" xfId="7532"/>
    <cellStyle name="Обычный 2 3 3 2 3 2 12" xfId="3977"/>
    <cellStyle name="Обычный 2 3 3 2 3 2 12 2" xfId="7828"/>
    <cellStyle name="Обычный 2 3 3 2 3 2 13" xfId="4273"/>
    <cellStyle name="Обычный 2 3 3 2 3 2 13 2" xfId="8124"/>
    <cellStyle name="Обычный 2 3 3 2 3 2 14" xfId="8603"/>
    <cellStyle name="Обычный 2 3 3 2 3 2 15" xfId="4572"/>
    <cellStyle name="Обычный 2 3 3 2 3 2 2" xfId="1139"/>
    <cellStyle name="Обычный 2 3 3 2 3 2 2 2" xfId="4868"/>
    <cellStyle name="Обычный 2 3 3 2 3 2 3" xfId="1328"/>
    <cellStyle name="Обычный 2 3 3 2 3 2 3 2" xfId="5164"/>
    <cellStyle name="Обычный 2 3 3 2 3 2 4" xfId="1615"/>
    <cellStyle name="Обычный 2 3 3 2 3 2 4 2" xfId="5460"/>
    <cellStyle name="Обычный 2 3 3 2 3 2 5" xfId="1908"/>
    <cellStyle name="Обычный 2 3 3 2 3 2 5 2" xfId="5756"/>
    <cellStyle name="Обычный 2 3 3 2 3 2 6" xfId="2202"/>
    <cellStyle name="Обычный 2 3 3 2 3 2 6 2" xfId="6052"/>
    <cellStyle name="Обычный 2 3 3 2 3 2 7" xfId="2497"/>
    <cellStyle name="Обычный 2 3 3 2 3 2 7 2" xfId="6348"/>
    <cellStyle name="Обычный 2 3 3 2 3 2 8" xfId="2793"/>
    <cellStyle name="Обычный 2 3 3 2 3 2 8 2" xfId="6644"/>
    <cellStyle name="Обычный 2 3 3 2 3 2 9" xfId="3089"/>
    <cellStyle name="Обычный 2 3 3 2 3 2 9 2" xfId="6940"/>
    <cellStyle name="Обычный 2 3 3 2 3 3" xfId="1092"/>
    <cellStyle name="Обычный 2 3 3 2 3 3 2" xfId="4720"/>
    <cellStyle name="Обычный 2 3 3 2 3 4" xfId="1186"/>
    <cellStyle name="Обычный 2 3 3 2 3 4 2" xfId="5016"/>
    <cellStyle name="Обычный 2 3 3 2 3 5" xfId="1470"/>
    <cellStyle name="Обычный 2 3 3 2 3 5 2" xfId="5312"/>
    <cellStyle name="Обычный 2 3 3 2 3 6" xfId="1761"/>
    <cellStyle name="Обычный 2 3 3 2 3 6 2" xfId="5608"/>
    <cellStyle name="Обычный 2 3 3 2 3 7" xfId="2054"/>
    <cellStyle name="Обычный 2 3 3 2 3 7 2" xfId="5904"/>
    <cellStyle name="Обычный 2 3 3 2 3 8" xfId="2349"/>
    <cellStyle name="Обычный 2 3 3 2 3 8 2" xfId="6200"/>
    <cellStyle name="Обычный 2 3 3 2 3 9" xfId="2645"/>
    <cellStyle name="Обычный 2 3 3 2 3 9 2" xfId="6496"/>
    <cellStyle name="Обычный 2 3 3 2 4" xfId="323"/>
    <cellStyle name="Обычный 2 3 3 2 4 10" xfId="3287"/>
    <cellStyle name="Обычный 2 3 3 2 4 10 2" xfId="7138"/>
    <cellStyle name="Обычный 2 3 3 2 4 11" xfId="3583"/>
    <cellStyle name="Обычный 2 3 3 2 4 11 2" xfId="7434"/>
    <cellStyle name="Обычный 2 3 3 2 4 12" xfId="3879"/>
    <cellStyle name="Обычный 2 3 3 2 4 12 2" xfId="7730"/>
    <cellStyle name="Обычный 2 3 3 2 4 13" xfId="4175"/>
    <cellStyle name="Обычный 2 3 3 2 4 13 2" xfId="8026"/>
    <cellStyle name="Обычный 2 3 3 2 4 14" xfId="8375"/>
    <cellStyle name="Обычный 2 3 3 2 4 15" xfId="4474"/>
    <cellStyle name="Обычный 2 3 3 2 4 2" xfId="854"/>
    <cellStyle name="Обычный 2 3 3 2 4 2 2" xfId="8604"/>
    <cellStyle name="Обычный 2 3 3 2 4 2 3" xfId="4770"/>
    <cellStyle name="Обычный 2 3 3 2 4 3" xfId="1234"/>
    <cellStyle name="Обычный 2 3 3 2 4 3 2" xfId="5066"/>
    <cellStyle name="Обычный 2 3 3 2 4 4" xfId="1519"/>
    <cellStyle name="Обычный 2 3 3 2 4 4 2" xfId="5362"/>
    <cellStyle name="Обычный 2 3 3 2 4 5" xfId="1811"/>
    <cellStyle name="Обычный 2 3 3 2 4 5 2" xfId="5658"/>
    <cellStyle name="Обычный 2 3 3 2 4 6" xfId="2104"/>
    <cellStyle name="Обычный 2 3 3 2 4 6 2" xfId="5954"/>
    <cellStyle name="Обычный 2 3 3 2 4 7" xfId="2399"/>
    <cellStyle name="Обычный 2 3 3 2 4 7 2" xfId="6250"/>
    <cellStyle name="Обычный 2 3 3 2 4 8" xfId="2695"/>
    <cellStyle name="Обычный 2 3 3 2 4 8 2" xfId="6546"/>
    <cellStyle name="Обычный 2 3 3 2 4 9" xfId="2991"/>
    <cellStyle name="Обычный 2 3 3 2 4 9 2" xfId="6842"/>
    <cellStyle name="Обычный 2 3 3 2 5" xfId="707"/>
    <cellStyle name="Обычный 2 3 3 2 5 2" xfId="8491"/>
    <cellStyle name="Обычный 2 3 3 2 5 3" xfId="4622"/>
    <cellStyle name="Обычный 2 3 3 2 6" xfId="855"/>
    <cellStyle name="Обычный 2 3 3 2 6 2" xfId="8605"/>
    <cellStyle name="Обычный 2 3 3 2 6 3" xfId="4918"/>
    <cellStyle name="Обычный 2 3 3 2 7" xfId="1375"/>
    <cellStyle name="Обычный 2 3 3 2 7 2" xfId="5214"/>
    <cellStyle name="Обычный 2 3 3 2 8" xfId="1664"/>
    <cellStyle name="Обычный 2 3 3 2 8 2" xfId="5510"/>
    <cellStyle name="Обычный 2 3 3 2 9" xfId="1957"/>
    <cellStyle name="Обычный 2 3 3 2 9 2" xfId="5806"/>
    <cellStyle name="Обычный 2 3 3 3" xfId="147"/>
    <cellStyle name="Обычный 2 3 3 3 10" xfId="2869"/>
    <cellStyle name="Обычный 2 3 3 3 10 2" xfId="6720"/>
    <cellStyle name="Обычный 2 3 3 3 11" xfId="3165"/>
    <cellStyle name="Обычный 2 3 3 3 11 2" xfId="7016"/>
    <cellStyle name="Обычный 2 3 3 3 12" xfId="3461"/>
    <cellStyle name="Обычный 2 3 3 3 12 2" xfId="7312"/>
    <cellStyle name="Обычный 2 3 3 3 13" xfId="3757"/>
    <cellStyle name="Обычный 2 3 3 3 13 2" xfId="7608"/>
    <cellStyle name="Обычный 2 3 3 3 14" xfId="4053"/>
    <cellStyle name="Обычный 2 3 3 3 14 2" xfId="7904"/>
    <cellStyle name="Обычный 2 3 3 3 15" xfId="8202"/>
    <cellStyle name="Обычный 2 3 3 3 16" xfId="4350"/>
    <cellStyle name="Обычный 2 3 3 3 2" xfId="250"/>
    <cellStyle name="Обычный 2 3 3 3 2 10" xfId="3313"/>
    <cellStyle name="Обычный 2 3 3 3 2 10 2" xfId="7164"/>
    <cellStyle name="Обычный 2 3 3 3 2 11" xfId="3609"/>
    <cellStyle name="Обычный 2 3 3 3 2 11 2" xfId="7460"/>
    <cellStyle name="Обычный 2 3 3 3 2 12" xfId="3905"/>
    <cellStyle name="Обычный 2 3 3 3 2 12 2" xfId="7756"/>
    <cellStyle name="Обычный 2 3 3 3 2 13" xfId="4201"/>
    <cellStyle name="Обычный 2 3 3 3 2 13 2" xfId="8052"/>
    <cellStyle name="Обычный 2 3 3 3 2 14" xfId="8303"/>
    <cellStyle name="Обычный 2 3 3 3 2 15" xfId="4500"/>
    <cellStyle name="Обычный 2 3 3 3 2 2" xfId="856"/>
    <cellStyle name="Обычный 2 3 3 3 2 2 2" xfId="8606"/>
    <cellStyle name="Обычный 2 3 3 3 2 2 3" xfId="4796"/>
    <cellStyle name="Обычный 2 3 3 3 2 3" xfId="1259"/>
    <cellStyle name="Обычный 2 3 3 3 2 3 2" xfId="5092"/>
    <cellStyle name="Обычный 2 3 3 3 2 4" xfId="1545"/>
    <cellStyle name="Обычный 2 3 3 3 2 4 2" xfId="5388"/>
    <cellStyle name="Обычный 2 3 3 3 2 5" xfId="1837"/>
    <cellStyle name="Обычный 2 3 3 3 2 5 2" xfId="5684"/>
    <cellStyle name="Обычный 2 3 3 3 2 6" xfId="2130"/>
    <cellStyle name="Обычный 2 3 3 3 2 6 2" xfId="5980"/>
    <cellStyle name="Обычный 2 3 3 3 2 7" xfId="2425"/>
    <cellStyle name="Обычный 2 3 3 3 2 7 2" xfId="6276"/>
    <cellStyle name="Обычный 2 3 3 3 2 8" xfId="2721"/>
    <cellStyle name="Обычный 2 3 3 3 2 8 2" xfId="6572"/>
    <cellStyle name="Обычный 2 3 3 3 2 9" xfId="3017"/>
    <cellStyle name="Обычный 2 3 3 3 2 9 2" xfId="6868"/>
    <cellStyle name="Обычный 2 3 3 3 3" xfId="351"/>
    <cellStyle name="Обычный 2 3 3 3 3 2" xfId="857"/>
    <cellStyle name="Обычный 2 3 3 3 3 3" xfId="8403"/>
    <cellStyle name="Обычный 2 3 3 3 3 4" xfId="4648"/>
    <cellStyle name="Обычный 2 3 3 3 4" xfId="858"/>
    <cellStyle name="Обычный 2 3 3 3 4 2" xfId="8607"/>
    <cellStyle name="Обычный 2 3 3 3 4 3" xfId="4944"/>
    <cellStyle name="Обычный 2 3 3 3 5" xfId="1401"/>
    <cellStyle name="Обычный 2 3 3 3 5 2" xfId="5240"/>
    <cellStyle name="Обычный 2 3 3 3 6" xfId="1690"/>
    <cellStyle name="Обычный 2 3 3 3 6 2" xfId="5536"/>
    <cellStyle name="Обычный 2 3 3 3 7" xfId="1983"/>
    <cellStyle name="Обычный 2 3 3 3 7 2" xfId="5832"/>
    <cellStyle name="Обычный 2 3 3 3 8" xfId="2277"/>
    <cellStyle name="Обычный 2 3 3 3 8 2" xfId="6128"/>
    <cellStyle name="Обычный 2 3 3 3 9" xfId="2573"/>
    <cellStyle name="Обычный 2 3 3 3 9 2" xfId="6424"/>
    <cellStyle name="Обычный 2 3 3 4" xfId="200"/>
    <cellStyle name="Обычный 2 3 3 4 10" xfId="2919"/>
    <cellStyle name="Обычный 2 3 3 4 10 2" xfId="6770"/>
    <cellStyle name="Обычный 2 3 3 4 11" xfId="3215"/>
    <cellStyle name="Обычный 2 3 3 4 11 2" xfId="7066"/>
    <cellStyle name="Обычный 2 3 3 4 12" xfId="3511"/>
    <cellStyle name="Обычный 2 3 3 4 12 2" xfId="7362"/>
    <cellStyle name="Обычный 2 3 3 4 13" xfId="3807"/>
    <cellStyle name="Обычный 2 3 3 4 13 2" xfId="7658"/>
    <cellStyle name="Обычный 2 3 3 4 14" xfId="4103"/>
    <cellStyle name="Обычный 2 3 3 4 14 2" xfId="7954"/>
    <cellStyle name="Обычный 2 3 3 4 15" xfId="8253"/>
    <cellStyle name="Обычный 2 3 3 4 16" xfId="4401"/>
    <cellStyle name="Обычный 2 3 3 4 2" xfId="859"/>
    <cellStyle name="Обычный 2 3 3 4 2 10" xfId="3363"/>
    <cellStyle name="Обычный 2 3 3 4 2 10 2" xfId="7214"/>
    <cellStyle name="Обычный 2 3 3 4 2 11" xfId="3659"/>
    <cellStyle name="Обычный 2 3 3 4 2 11 2" xfId="7510"/>
    <cellStyle name="Обычный 2 3 3 4 2 12" xfId="3955"/>
    <cellStyle name="Обычный 2 3 3 4 2 12 2" xfId="7806"/>
    <cellStyle name="Обычный 2 3 3 4 2 13" xfId="4251"/>
    <cellStyle name="Обычный 2 3 3 4 2 13 2" xfId="8102"/>
    <cellStyle name="Обычный 2 3 3 4 2 14" xfId="8608"/>
    <cellStyle name="Обычный 2 3 3 4 2 15" xfId="4550"/>
    <cellStyle name="Обычный 2 3 3 4 2 2" xfId="1118"/>
    <cellStyle name="Обычный 2 3 3 4 2 2 2" xfId="4846"/>
    <cellStyle name="Обычный 2 3 3 4 2 3" xfId="1307"/>
    <cellStyle name="Обычный 2 3 3 4 2 3 2" xfId="5142"/>
    <cellStyle name="Обычный 2 3 3 4 2 4" xfId="1594"/>
    <cellStyle name="Обычный 2 3 3 4 2 4 2" xfId="5438"/>
    <cellStyle name="Обычный 2 3 3 4 2 5" xfId="1887"/>
    <cellStyle name="Обычный 2 3 3 4 2 5 2" xfId="5734"/>
    <cellStyle name="Обычный 2 3 3 4 2 6" xfId="2180"/>
    <cellStyle name="Обычный 2 3 3 4 2 6 2" xfId="6030"/>
    <cellStyle name="Обычный 2 3 3 4 2 7" xfId="2475"/>
    <cellStyle name="Обычный 2 3 3 4 2 7 2" xfId="6326"/>
    <cellStyle name="Обычный 2 3 3 4 2 8" xfId="2771"/>
    <cellStyle name="Обычный 2 3 3 4 2 8 2" xfId="6622"/>
    <cellStyle name="Обычный 2 3 3 4 2 9" xfId="3067"/>
    <cellStyle name="Обычный 2 3 3 4 2 9 2" xfId="6918"/>
    <cellStyle name="Обычный 2 3 3 4 3" xfId="1071"/>
    <cellStyle name="Обычный 2 3 3 4 3 2" xfId="4698"/>
    <cellStyle name="Обычный 2 3 3 4 4" xfId="1165"/>
    <cellStyle name="Обычный 2 3 3 4 4 2" xfId="4994"/>
    <cellStyle name="Обычный 2 3 3 4 5" xfId="1448"/>
    <cellStyle name="Обычный 2 3 3 4 5 2" xfId="5290"/>
    <cellStyle name="Обычный 2 3 3 4 6" xfId="1739"/>
    <cellStyle name="Обычный 2 3 3 4 6 2" xfId="5586"/>
    <cellStyle name="Обычный 2 3 3 4 7" xfId="2032"/>
    <cellStyle name="Обычный 2 3 3 4 7 2" xfId="5882"/>
    <cellStyle name="Обычный 2 3 3 4 8" xfId="2327"/>
    <cellStyle name="Обычный 2 3 3 4 8 2" xfId="6178"/>
    <cellStyle name="Обычный 2 3 3 4 9" xfId="2623"/>
    <cellStyle name="Обычный 2 3 3 4 9 2" xfId="6474"/>
    <cellStyle name="Обычный 2 3 3 5" xfId="301"/>
    <cellStyle name="Обычный 2 3 3 5 10" xfId="3265"/>
    <cellStyle name="Обычный 2 3 3 5 10 2" xfId="7116"/>
    <cellStyle name="Обычный 2 3 3 5 11" xfId="3561"/>
    <cellStyle name="Обычный 2 3 3 5 11 2" xfId="7412"/>
    <cellStyle name="Обычный 2 3 3 5 12" xfId="3857"/>
    <cellStyle name="Обычный 2 3 3 5 12 2" xfId="7708"/>
    <cellStyle name="Обычный 2 3 3 5 13" xfId="4153"/>
    <cellStyle name="Обычный 2 3 3 5 13 2" xfId="8004"/>
    <cellStyle name="Обычный 2 3 3 5 14" xfId="8353"/>
    <cellStyle name="Обычный 2 3 3 5 15" xfId="4452"/>
    <cellStyle name="Обычный 2 3 3 5 2" xfId="860"/>
    <cellStyle name="Обычный 2 3 3 5 2 2" xfId="8609"/>
    <cellStyle name="Обычный 2 3 3 5 2 3" xfId="4748"/>
    <cellStyle name="Обычный 2 3 3 5 3" xfId="1212"/>
    <cellStyle name="Обычный 2 3 3 5 3 2" xfId="5044"/>
    <cellStyle name="Обычный 2 3 3 5 4" xfId="1497"/>
    <cellStyle name="Обычный 2 3 3 5 4 2" xfId="5340"/>
    <cellStyle name="Обычный 2 3 3 5 5" xfId="1789"/>
    <cellStyle name="Обычный 2 3 3 5 5 2" xfId="5636"/>
    <cellStyle name="Обычный 2 3 3 5 6" xfId="2082"/>
    <cellStyle name="Обычный 2 3 3 5 6 2" xfId="5932"/>
    <cellStyle name="Обычный 2 3 3 5 7" xfId="2377"/>
    <cellStyle name="Обычный 2 3 3 5 7 2" xfId="6228"/>
    <cellStyle name="Обычный 2 3 3 5 8" xfId="2673"/>
    <cellStyle name="Обычный 2 3 3 5 8 2" xfId="6524"/>
    <cellStyle name="Обычный 2 3 3 5 9" xfId="2969"/>
    <cellStyle name="Обычный 2 3 3 5 9 2" xfId="6820"/>
    <cellStyle name="Обычный 2 3 3 6" xfId="662"/>
    <cellStyle name="Обычный 2 3 3 6 2" xfId="8477"/>
    <cellStyle name="Обычный 2 3 3 6 3" xfId="4600"/>
    <cellStyle name="Обычный 2 3 3 7" xfId="861"/>
    <cellStyle name="Обычный 2 3 3 7 2" xfId="8610"/>
    <cellStyle name="Обычный 2 3 3 7 3" xfId="4896"/>
    <cellStyle name="Обычный 2 3 3 8" xfId="1354"/>
    <cellStyle name="Обычный 2 3 3 8 2" xfId="5192"/>
    <cellStyle name="Обычный 2 3 3 9" xfId="1643"/>
    <cellStyle name="Обычный 2 3 3 9 2" xfId="5488"/>
    <cellStyle name="Обычный 2 3 4" xfId="114"/>
    <cellStyle name="Обычный 2 3 4 10" xfId="2249"/>
    <cellStyle name="Обычный 2 3 4 10 2" xfId="6100"/>
    <cellStyle name="Обычный 2 3 4 11" xfId="2545"/>
    <cellStyle name="Обычный 2 3 4 11 2" xfId="6396"/>
    <cellStyle name="Обычный 2 3 4 12" xfId="2841"/>
    <cellStyle name="Обычный 2 3 4 12 2" xfId="6692"/>
    <cellStyle name="Обычный 2 3 4 13" xfId="3137"/>
    <cellStyle name="Обычный 2 3 4 13 2" xfId="6988"/>
    <cellStyle name="Обычный 2 3 4 14" xfId="3433"/>
    <cellStyle name="Обычный 2 3 4 14 2" xfId="7284"/>
    <cellStyle name="Обычный 2 3 4 15" xfId="3729"/>
    <cellStyle name="Обычный 2 3 4 15 2" xfId="7580"/>
    <cellStyle name="Обычный 2 3 4 16" xfId="4025"/>
    <cellStyle name="Обычный 2 3 4 16 2" xfId="7876"/>
    <cellStyle name="Обычный 2 3 4 17" xfId="8172"/>
    <cellStyle name="Обычный 2 3 4 18" xfId="4321"/>
    <cellStyle name="Обычный 2 3 4 2" xfId="167"/>
    <cellStyle name="Обычный 2 3 4 2 10" xfId="2889"/>
    <cellStyle name="Обычный 2 3 4 2 10 2" xfId="6740"/>
    <cellStyle name="Обычный 2 3 4 2 11" xfId="3185"/>
    <cellStyle name="Обычный 2 3 4 2 11 2" xfId="7036"/>
    <cellStyle name="Обычный 2 3 4 2 12" xfId="3481"/>
    <cellStyle name="Обычный 2 3 4 2 12 2" xfId="7332"/>
    <cellStyle name="Обычный 2 3 4 2 13" xfId="3777"/>
    <cellStyle name="Обычный 2 3 4 2 13 2" xfId="7628"/>
    <cellStyle name="Обычный 2 3 4 2 14" xfId="4073"/>
    <cellStyle name="Обычный 2 3 4 2 14 2" xfId="7924"/>
    <cellStyle name="Обычный 2 3 4 2 15" xfId="8222"/>
    <cellStyle name="Обычный 2 3 4 2 16" xfId="4370"/>
    <cellStyle name="Обычный 2 3 4 2 2" xfId="270"/>
    <cellStyle name="Обычный 2 3 4 2 2 10" xfId="3333"/>
    <cellStyle name="Обычный 2 3 4 2 2 10 2" xfId="7184"/>
    <cellStyle name="Обычный 2 3 4 2 2 11" xfId="3629"/>
    <cellStyle name="Обычный 2 3 4 2 2 11 2" xfId="7480"/>
    <cellStyle name="Обычный 2 3 4 2 2 12" xfId="3925"/>
    <cellStyle name="Обычный 2 3 4 2 2 12 2" xfId="7776"/>
    <cellStyle name="Обычный 2 3 4 2 2 13" xfId="4221"/>
    <cellStyle name="Обычный 2 3 4 2 2 13 2" xfId="8072"/>
    <cellStyle name="Обычный 2 3 4 2 2 14" xfId="8323"/>
    <cellStyle name="Обычный 2 3 4 2 2 15" xfId="4520"/>
    <cellStyle name="Обычный 2 3 4 2 2 2" xfId="862"/>
    <cellStyle name="Обычный 2 3 4 2 2 2 2" xfId="8611"/>
    <cellStyle name="Обычный 2 3 4 2 2 2 3" xfId="4816"/>
    <cellStyle name="Обычный 2 3 4 2 2 3" xfId="1278"/>
    <cellStyle name="Обычный 2 3 4 2 2 3 2" xfId="5112"/>
    <cellStyle name="Обычный 2 3 4 2 2 4" xfId="1564"/>
    <cellStyle name="Обычный 2 3 4 2 2 4 2" xfId="5408"/>
    <cellStyle name="Обычный 2 3 4 2 2 5" xfId="1857"/>
    <cellStyle name="Обычный 2 3 4 2 2 5 2" xfId="5704"/>
    <cellStyle name="Обычный 2 3 4 2 2 6" xfId="2150"/>
    <cellStyle name="Обычный 2 3 4 2 2 6 2" xfId="6000"/>
    <cellStyle name="Обычный 2 3 4 2 2 7" xfId="2445"/>
    <cellStyle name="Обычный 2 3 4 2 2 7 2" xfId="6296"/>
    <cellStyle name="Обычный 2 3 4 2 2 8" xfId="2741"/>
    <cellStyle name="Обычный 2 3 4 2 2 8 2" xfId="6592"/>
    <cellStyle name="Обычный 2 3 4 2 2 9" xfId="3037"/>
    <cellStyle name="Обычный 2 3 4 2 2 9 2" xfId="6888"/>
    <cellStyle name="Обычный 2 3 4 2 3" xfId="371"/>
    <cellStyle name="Обычный 2 3 4 2 3 2" xfId="863"/>
    <cellStyle name="Обычный 2 3 4 2 3 3" xfId="8423"/>
    <cellStyle name="Обычный 2 3 4 2 3 4" xfId="4668"/>
    <cellStyle name="Обычный 2 3 4 2 4" xfId="864"/>
    <cellStyle name="Обычный 2 3 4 2 4 2" xfId="8612"/>
    <cellStyle name="Обычный 2 3 4 2 4 3" xfId="4964"/>
    <cellStyle name="Обычный 2 3 4 2 5" xfId="1420"/>
    <cellStyle name="Обычный 2 3 4 2 5 2" xfId="5260"/>
    <cellStyle name="Обычный 2 3 4 2 6" xfId="1710"/>
    <cellStyle name="Обычный 2 3 4 2 6 2" xfId="5556"/>
    <cellStyle name="Обычный 2 3 4 2 7" xfId="2002"/>
    <cellStyle name="Обычный 2 3 4 2 7 2" xfId="5852"/>
    <cellStyle name="Обычный 2 3 4 2 8" xfId="2297"/>
    <cellStyle name="Обычный 2 3 4 2 8 2" xfId="6148"/>
    <cellStyle name="Обычный 2 3 4 2 9" xfId="2593"/>
    <cellStyle name="Обычный 2 3 4 2 9 2" xfId="6444"/>
    <cellStyle name="Обычный 2 3 4 3" xfId="220"/>
    <cellStyle name="Обычный 2 3 4 3 10" xfId="2939"/>
    <cellStyle name="Обычный 2 3 4 3 10 2" xfId="6790"/>
    <cellStyle name="Обычный 2 3 4 3 11" xfId="3235"/>
    <cellStyle name="Обычный 2 3 4 3 11 2" xfId="7086"/>
    <cellStyle name="Обычный 2 3 4 3 12" xfId="3531"/>
    <cellStyle name="Обычный 2 3 4 3 12 2" xfId="7382"/>
    <cellStyle name="Обычный 2 3 4 3 13" xfId="3827"/>
    <cellStyle name="Обычный 2 3 4 3 13 2" xfId="7678"/>
    <cellStyle name="Обычный 2 3 4 3 14" xfId="4123"/>
    <cellStyle name="Обычный 2 3 4 3 14 2" xfId="7974"/>
    <cellStyle name="Обычный 2 3 4 3 15" xfId="8273"/>
    <cellStyle name="Обычный 2 3 4 3 16" xfId="4421"/>
    <cellStyle name="Обычный 2 3 4 3 2" xfId="865"/>
    <cellStyle name="Обычный 2 3 4 3 2 10" xfId="3383"/>
    <cellStyle name="Обычный 2 3 4 3 2 10 2" xfId="7234"/>
    <cellStyle name="Обычный 2 3 4 3 2 11" xfId="3679"/>
    <cellStyle name="Обычный 2 3 4 3 2 11 2" xfId="7530"/>
    <cellStyle name="Обычный 2 3 4 3 2 12" xfId="3975"/>
    <cellStyle name="Обычный 2 3 4 3 2 12 2" xfId="7826"/>
    <cellStyle name="Обычный 2 3 4 3 2 13" xfId="4271"/>
    <cellStyle name="Обычный 2 3 4 3 2 13 2" xfId="8122"/>
    <cellStyle name="Обычный 2 3 4 3 2 14" xfId="8613"/>
    <cellStyle name="Обычный 2 3 4 3 2 15" xfId="4570"/>
    <cellStyle name="Обычный 2 3 4 3 2 2" xfId="1137"/>
    <cellStyle name="Обычный 2 3 4 3 2 2 2" xfId="4866"/>
    <cellStyle name="Обычный 2 3 4 3 2 3" xfId="1326"/>
    <cellStyle name="Обычный 2 3 4 3 2 3 2" xfId="5162"/>
    <cellStyle name="Обычный 2 3 4 3 2 4" xfId="1613"/>
    <cellStyle name="Обычный 2 3 4 3 2 4 2" xfId="5458"/>
    <cellStyle name="Обычный 2 3 4 3 2 5" xfId="1906"/>
    <cellStyle name="Обычный 2 3 4 3 2 5 2" xfId="5754"/>
    <cellStyle name="Обычный 2 3 4 3 2 6" xfId="2200"/>
    <cellStyle name="Обычный 2 3 4 3 2 6 2" xfId="6050"/>
    <cellStyle name="Обычный 2 3 4 3 2 7" xfId="2495"/>
    <cellStyle name="Обычный 2 3 4 3 2 7 2" xfId="6346"/>
    <cellStyle name="Обычный 2 3 4 3 2 8" xfId="2791"/>
    <cellStyle name="Обычный 2 3 4 3 2 8 2" xfId="6642"/>
    <cellStyle name="Обычный 2 3 4 3 2 9" xfId="3087"/>
    <cellStyle name="Обычный 2 3 4 3 2 9 2" xfId="6938"/>
    <cellStyle name="Обычный 2 3 4 3 3" xfId="1090"/>
    <cellStyle name="Обычный 2 3 4 3 3 2" xfId="4718"/>
    <cellStyle name="Обычный 2 3 4 3 4" xfId="1184"/>
    <cellStyle name="Обычный 2 3 4 3 4 2" xfId="5014"/>
    <cellStyle name="Обычный 2 3 4 3 5" xfId="1468"/>
    <cellStyle name="Обычный 2 3 4 3 5 2" xfId="5310"/>
    <cellStyle name="Обычный 2 3 4 3 6" xfId="1759"/>
    <cellStyle name="Обычный 2 3 4 3 6 2" xfId="5606"/>
    <cellStyle name="Обычный 2 3 4 3 7" xfId="2052"/>
    <cellStyle name="Обычный 2 3 4 3 7 2" xfId="5902"/>
    <cellStyle name="Обычный 2 3 4 3 8" xfId="2347"/>
    <cellStyle name="Обычный 2 3 4 3 8 2" xfId="6198"/>
    <cellStyle name="Обычный 2 3 4 3 9" xfId="2643"/>
    <cellStyle name="Обычный 2 3 4 3 9 2" xfId="6494"/>
    <cellStyle name="Обычный 2 3 4 4" xfId="321"/>
    <cellStyle name="Обычный 2 3 4 4 10" xfId="3285"/>
    <cellStyle name="Обычный 2 3 4 4 10 2" xfId="7136"/>
    <cellStyle name="Обычный 2 3 4 4 11" xfId="3581"/>
    <cellStyle name="Обычный 2 3 4 4 11 2" xfId="7432"/>
    <cellStyle name="Обычный 2 3 4 4 12" xfId="3877"/>
    <cellStyle name="Обычный 2 3 4 4 12 2" xfId="7728"/>
    <cellStyle name="Обычный 2 3 4 4 13" xfId="4173"/>
    <cellStyle name="Обычный 2 3 4 4 13 2" xfId="8024"/>
    <cellStyle name="Обычный 2 3 4 4 14" xfId="8373"/>
    <cellStyle name="Обычный 2 3 4 4 15" xfId="4472"/>
    <cellStyle name="Обычный 2 3 4 4 2" xfId="866"/>
    <cellStyle name="Обычный 2 3 4 4 2 2" xfId="8614"/>
    <cellStyle name="Обычный 2 3 4 4 2 3" xfId="4768"/>
    <cellStyle name="Обычный 2 3 4 4 3" xfId="1232"/>
    <cellStyle name="Обычный 2 3 4 4 3 2" xfId="5064"/>
    <cellStyle name="Обычный 2 3 4 4 4" xfId="1517"/>
    <cellStyle name="Обычный 2 3 4 4 4 2" xfId="5360"/>
    <cellStyle name="Обычный 2 3 4 4 5" xfId="1809"/>
    <cellStyle name="Обычный 2 3 4 4 5 2" xfId="5656"/>
    <cellStyle name="Обычный 2 3 4 4 6" xfId="2102"/>
    <cellStyle name="Обычный 2 3 4 4 6 2" xfId="5952"/>
    <cellStyle name="Обычный 2 3 4 4 7" xfId="2397"/>
    <cellStyle name="Обычный 2 3 4 4 7 2" xfId="6248"/>
    <cellStyle name="Обычный 2 3 4 4 8" xfId="2693"/>
    <cellStyle name="Обычный 2 3 4 4 8 2" xfId="6544"/>
    <cellStyle name="Обычный 2 3 4 4 9" xfId="2989"/>
    <cellStyle name="Обычный 2 3 4 4 9 2" xfId="6840"/>
    <cellStyle name="Обычный 2 3 4 5" xfId="725"/>
    <cellStyle name="Обычный 2 3 4 5 2" xfId="8499"/>
    <cellStyle name="Обычный 2 3 4 5 3" xfId="4620"/>
    <cellStyle name="Обычный 2 3 4 6" xfId="867"/>
    <cellStyle name="Обычный 2 3 4 6 2" xfId="8615"/>
    <cellStyle name="Обычный 2 3 4 6 3" xfId="4916"/>
    <cellStyle name="Обычный 2 3 4 7" xfId="1373"/>
    <cellStyle name="Обычный 2 3 4 7 2" xfId="5212"/>
    <cellStyle name="Обычный 2 3 4 8" xfId="1662"/>
    <cellStyle name="Обычный 2 3 4 8 2" xfId="5508"/>
    <cellStyle name="Обычный 2 3 4 9" xfId="1955"/>
    <cellStyle name="Обычный 2 3 4 9 2" xfId="5804"/>
    <cellStyle name="Обычный 2 3 5" xfId="145"/>
    <cellStyle name="Обычный 2 3 5 10" xfId="2867"/>
    <cellStyle name="Обычный 2 3 5 10 2" xfId="6718"/>
    <cellStyle name="Обычный 2 3 5 11" xfId="3163"/>
    <cellStyle name="Обычный 2 3 5 11 2" xfId="7014"/>
    <cellStyle name="Обычный 2 3 5 12" xfId="3459"/>
    <cellStyle name="Обычный 2 3 5 12 2" xfId="7310"/>
    <cellStyle name="Обычный 2 3 5 13" xfId="3755"/>
    <cellStyle name="Обычный 2 3 5 13 2" xfId="7606"/>
    <cellStyle name="Обычный 2 3 5 14" xfId="4051"/>
    <cellStyle name="Обычный 2 3 5 14 2" xfId="7902"/>
    <cellStyle name="Обычный 2 3 5 15" xfId="8200"/>
    <cellStyle name="Обычный 2 3 5 16" xfId="4348"/>
    <cellStyle name="Обычный 2 3 5 2" xfId="248"/>
    <cellStyle name="Обычный 2 3 5 2 10" xfId="3311"/>
    <cellStyle name="Обычный 2 3 5 2 10 2" xfId="7162"/>
    <cellStyle name="Обычный 2 3 5 2 11" xfId="3607"/>
    <cellStyle name="Обычный 2 3 5 2 11 2" xfId="7458"/>
    <cellStyle name="Обычный 2 3 5 2 12" xfId="3903"/>
    <cellStyle name="Обычный 2 3 5 2 12 2" xfId="7754"/>
    <cellStyle name="Обычный 2 3 5 2 13" xfId="4199"/>
    <cellStyle name="Обычный 2 3 5 2 13 2" xfId="8050"/>
    <cellStyle name="Обычный 2 3 5 2 14" xfId="8301"/>
    <cellStyle name="Обычный 2 3 5 2 15" xfId="4498"/>
    <cellStyle name="Обычный 2 3 5 2 2" xfId="868"/>
    <cellStyle name="Обычный 2 3 5 2 2 2" xfId="8616"/>
    <cellStyle name="Обычный 2 3 5 2 2 3" xfId="4794"/>
    <cellStyle name="Обычный 2 3 5 2 3" xfId="1257"/>
    <cellStyle name="Обычный 2 3 5 2 3 2" xfId="5090"/>
    <cellStyle name="Обычный 2 3 5 2 4" xfId="1543"/>
    <cellStyle name="Обычный 2 3 5 2 4 2" xfId="5386"/>
    <cellStyle name="Обычный 2 3 5 2 5" xfId="1835"/>
    <cellStyle name="Обычный 2 3 5 2 5 2" xfId="5682"/>
    <cellStyle name="Обычный 2 3 5 2 6" xfId="2128"/>
    <cellStyle name="Обычный 2 3 5 2 6 2" xfId="5978"/>
    <cellStyle name="Обычный 2 3 5 2 7" xfId="2423"/>
    <cellStyle name="Обычный 2 3 5 2 7 2" xfId="6274"/>
    <cellStyle name="Обычный 2 3 5 2 8" xfId="2719"/>
    <cellStyle name="Обычный 2 3 5 2 8 2" xfId="6570"/>
    <cellStyle name="Обычный 2 3 5 2 9" xfId="3015"/>
    <cellStyle name="Обычный 2 3 5 2 9 2" xfId="6866"/>
    <cellStyle name="Обычный 2 3 5 3" xfId="349"/>
    <cellStyle name="Обычный 2 3 5 3 2" xfId="869"/>
    <cellStyle name="Обычный 2 3 5 3 3" xfId="8401"/>
    <cellStyle name="Обычный 2 3 5 3 4" xfId="4646"/>
    <cellStyle name="Обычный 2 3 5 4" xfId="870"/>
    <cellStyle name="Обычный 2 3 5 4 2" xfId="8617"/>
    <cellStyle name="Обычный 2 3 5 4 3" xfId="4942"/>
    <cellStyle name="Обычный 2 3 5 5" xfId="1399"/>
    <cellStyle name="Обычный 2 3 5 5 2" xfId="5238"/>
    <cellStyle name="Обычный 2 3 5 6" xfId="1688"/>
    <cellStyle name="Обычный 2 3 5 6 2" xfId="5534"/>
    <cellStyle name="Обычный 2 3 5 7" xfId="1981"/>
    <cellStyle name="Обычный 2 3 5 7 2" xfId="5830"/>
    <cellStyle name="Обычный 2 3 5 8" xfId="2275"/>
    <cellStyle name="Обычный 2 3 5 8 2" xfId="6126"/>
    <cellStyle name="Обычный 2 3 5 9" xfId="2571"/>
    <cellStyle name="Обычный 2 3 5 9 2" xfId="6422"/>
    <cellStyle name="Обычный 2 3 6" xfId="198"/>
    <cellStyle name="Обычный 2 3 6 10" xfId="2917"/>
    <cellStyle name="Обычный 2 3 6 10 2" xfId="6768"/>
    <cellStyle name="Обычный 2 3 6 11" xfId="3213"/>
    <cellStyle name="Обычный 2 3 6 11 2" xfId="7064"/>
    <cellStyle name="Обычный 2 3 6 12" xfId="3509"/>
    <cellStyle name="Обычный 2 3 6 12 2" xfId="7360"/>
    <cellStyle name="Обычный 2 3 6 13" xfId="3805"/>
    <cellStyle name="Обычный 2 3 6 13 2" xfId="7656"/>
    <cellStyle name="Обычный 2 3 6 14" xfId="4101"/>
    <cellStyle name="Обычный 2 3 6 14 2" xfId="7952"/>
    <cellStyle name="Обычный 2 3 6 15" xfId="8251"/>
    <cellStyle name="Обычный 2 3 6 16" xfId="4399"/>
    <cellStyle name="Обычный 2 3 6 2" xfId="871"/>
    <cellStyle name="Обычный 2 3 6 2 10" xfId="3361"/>
    <cellStyle name="Обычный 2 3 6 2 10 2" xfId="7212"/>
    <cellStyle name="Обычный 2 3 6 2 11" xfId="3657"/>
    <cellStyle name="Обычный 2 3 6 2 11 2" xfId="7508"/>
    <cellStyle name="Обычный 2 3 6 2 12" xfId="3953"/>
    <cellStyle name="Обычный 2 3 6 2 12 2" xfId="7804"/>
    <cellStyle name="Обычный 2 3 6 2 13" xfId="4249"/>
    <cellStyle name="Обычный 2 3 6 2 13 2" xfId="8100"/>
    <cellStyle name="Обычный 2 3 6 2 14" xfId="8618"/>
    <cellStyle name="Обычный 2 3 6 2 15" xfId="4548"/>
    <cellStyle name="Обычный 2 3 6 2 2" xfId="1116"/>
    <cellStyle name="Обычный 2 3 6 2 2 2" xfId="4844"/>
    <cellStyle name="Обычный 2 3 6 2 3" xfId="1305"/>
    <cellStyle name="Обычный 2 3 6 2 3 2" xfId="5140"/>
    <cellStyle name="Обычный 2 3 6 2 4" xfId="1592"/>
    <cellStyle name="Обычный 2 3 6 2 4 2" xfId="5436"/>
    <cellStyle name="Обычный 2 3 6 2 5" xfId="1885"/>
    <cellStyle name="Обычный 2 3 6 2 5 2" xfId="5732"/>
    <cellStyle name="Обычный 2 3 6 2 6" xfId="2178"/>
    <cellStyle name="Обычный 2 3 6 2 6 2" xfId="6028"/>
    <cellStyle name="Обычный 2 3 6 2 7" xfId="2473"/>
    <cellStyle name="Обычный 2 3 6 2 7 2" xfId="6324"/>
    <cellStyle name="Обычный 2 3 6 2 8" xfId="2769"/>
    <cellStyle name="Обычный 2 3 6 2 8 2" xfId="6620"/>
    <cellStyle name="Обычный 2 3 6 2 9" xfId="3065"/>
    <cellStyle name="Обычный 2 3 6 2 9 2" xfId="6916"/>
    <cellStyle name="Обычный 2 3 6 3" xfId="1069"/>
    <cellStyle name="Обычный 2 3 6 3 2" xfId="4696"/>
    <cellStyle name="Обычный 2 3 6 4" xfId="1163"/>
    <cellStyle name="Обычный 2 3 6 4 2" xfId="4992"/>
    <cellStyle name="Обычный 2 3 6 5" xfId="1446"/>
    <cellStyle name="Обычный 2 3 6 5 2" xfId="5288"/>
    <cellStyle name="Обычный 2 3 6 6" xfId="1737"/>
    <cellStyle name="Обычный 2 3 6 6 2" xfId="5584"/>
    <cellStyle name="Обычный 2 3 6 7" xfId="2030"/>
    <cellStyle name="Обычный 2 3 6 7 2" xfId="5880"/>
    <cellStyle name="Обычный 2 3 6 8" xfId="2325"/>
    <cellStyle name="Обычный 2 3 6 8 2" xfId="6176"/>
    <cellStyle name="Обычный 2 3 6 9" xfId="2621"/>
    <cellStyle name="Обычный 2 3 6 9 2" xfId="6472"/>
    <cellStyle name="Обычный 2 3 7" xfId="299"/>
    <cellStyle name="Обычный 2 3 7 10" xfId="3263"/>
    <cellStyle name="Обычный 2 3 7 10 2" xfId="7114"/>
    <cellStyle name="Обычный 2 3 7 11" xfId="3559"/>
    <cellStyle name="Обычный 2 3 7 11 2" xfId="7410"/>
    <cellStyle name="Обычный 2 3 7 12" xfId="3855"/>
    <cellStyle name="Обычный 2 3 7 12 2" xfId="7706"/>
    <cellStyle name="Обычный 2 3 7 13" xfId="4151"/>
    <cellStyle name="Обычный 2 3 7 13 2" xfId="8002"/>
    <cellStyle name="Обычный 2 3 7 14" xfId="8351"/>
    <cellStyle name="Обычный 2 3 7 15" xfId="4450"/>
    <cellStyle name="Обычный 2 3 7 2" xfId="872"/>
    <cellStyle name="Обычный 2 3 7 2 2" xfId="8619"/>
    <cellStyle name="Обычный 2 3 7 2 3" xfId="4746"/>
    <cellStyle name="Обычный 2 3 7 3" xfId="1210"/>
    <cellStyle name="Обычный 2 3 7 3 2" xfId="5042"/>
    <cellStyle name="Обычный 2 3 7 4" xfId="1495"/>
    <cellStyle name="Обычный 2 3 7 4 2" xfId="5338"/>
    <cellStyle name="Обычный 2 3 7 5" xfId="1787"/>
    <cellStyle name="Обычный 2 3 7 5 2" xfId="5634"/>
    <cellStyle name="Обычный 2 3 7 6" xfId="2080"/>
    <cellStyle name="Обычный 2 3 7 6 2" xfId="5930"/>
    <cellStyle name="Обычный 2 3 7 7" xfId="2375"/>
    <cellStyle name="Обычный 2 3 7 7 2" xfId="6226"/>
    <cellStyle name="Обычный 2 3 7 8" xfId="2671"/>
    <cellStyle name="Обычный 2 3 7 8 2" xfId="6522"/>
    <cellStyle name="Обычный 2 3 7 9" xfId="2967"/>
    <cellStyle name="Обычный 2 3 7 9 2" xfId="6818"/>
    <cellStyle name="Обычный 2 3 8" xfId="399"/>
    <cellStyle name="Обычный 2 3 8 2" xfId="8446"/>
    <cellStyle name="Обычный 2 3 8 3" xfId="4598"/>
    <cellStyle name="Обычный 2 3 9" xfId="873"/>
    <cellStyle name="Обычный 2 3 9 2" xfId="8620"/>
    <cellStyle name="Обычный 2 3 9 3" xfId="4894"/>
    <cellStyle name="Обычный 2 4" xfId="67"/>
    <cellStyle name="Обычный 2 4 2" xfId="608"/>
    <cellStyle name="Обычный 2 4 3" xfId="1035"/>
    <cellStyle name="Обычный 2 4 4" xfId="8860"/>
    <cellStyle name="Обычный 2 5" xfId="68"/>
    <cellStyle name="Обычный 2 5 2" xfId="615"/>
    <cellStyle name="Обычный 2 6" xfId="69"/>
    <cellStyle name="Обычный 2 6 2" xfId="618"/>
    <cellStyle name="Обычный 2 7" xfId="70"/>
    <cellStyle name="Обычный 2 7 2" xfId="604"/>
    <cellStyle name="Обычный 2 7 3" xfId="8831"/>
    <cellStyle name="Обычный 2 8" xfId="71"/>
    <cellStyle name="Обычный 2 8 2" xfId="659"/>
    <cellStyle name="Обычный 2 8 3" xfId="8827"/>
    <cellStyle name="Обычный 2 9" xfId="72"/>
    <cellStyle name="Обычный 2 9 2" xfId="661"/>
    <cellStyle name="Обычный 2_kes ua-propoz" xfId="611"/>
    <cellStyle name="Обычный 20" xfId="8810"/>
    <cellStyle name="Обычный 20 2" xfId="8841"/>
    <cellStyle name="Обычный 21" xfId="8812"/>
    <cellStyle name="Обычный 21 2" xfId="8843"/>
    <cellStyle name="Обычный 22" xfId="658"/>
    <cellStyle name="Обычный 22 2" xfId="705"/>
    <cellStyle name="Обычный 22 2 2" xfId="8845"/>
    <cellStyle name="Обычный 22 3" xfId="8821"/>
    <cellStyle name="Обычный 23" xfId="8813"/>
    <cellStyle name="Обычный 23 2" xfId="8846"/>
    <cellStyle name="Обычный 23 3" xfId="8823"/>
    <cellStyle name="Обычный 24" xfId="8814"/>
    <cellStyle name="Обычный 24 2" xfId="8847"/>
    <cellStyle name="Обычный 25" xfId="8815"/>
    <cellStyle name="Обычный 25 2" xfId="8849"/>
    <cellStyle name="Обычный 26" xfId="404"/>
    <cellStyle name="Обычный 26 2" xfId="8851"/>
    <cellStyle name="Обычный 27" xfId="8816"/>
    <cellStyle name="Обычный 27 2" xfId="8826"/>
    <cellStyle name="Обычный 28" xfId="8817"/>
    <cellStyle name="Обычный 29" xfId="8818"/>
    <cellStyle name="Обычный 3" xfId="2"/>
    <cellStyle name="Обычный 3 10" xfId="74"/>
    <cellStyle name="Обычный 3 10 10" xfId="1938"/>
    <cellStyle name="Обычный 3 10 10 2" xfId="5786"/>
    <cellStyle name="Обычный 3 10 11" xfId="2232"/>
    <cellStyle name="Обычный 3 10 11 2" xfId="6082"/>
    <cellStyle name="Обычный 3 10 12" xfId="2527"/>
    <cellStyle name="Обычный 3 10 12 2" xfId="6378"/>
    <cellStyle name="Обычный 3 10 13" xfId="2823"/>
    <cellStyle name="Обычный 3 10 13 2" xfId="6674"/>
    <cellStyle name="Обычный 3 10 14" xfId="3119"/>
    <cellStyle name="Обычный 3 10 14 2" xfId="6970"/>
    <cellStyle name="Обычный 3 10 15" xfId="3415"/>
    <cellStyle name="Обычный 3 10 15 2" xfId="7266"/>
    <cellStyle name="Обычный 3 10 16" xfId="3711"/>
    <cellStyle name="Обычный 3 10 16 2" xfId="7562"/>
    <cellStyle name="Обычный 3 10 17" xfId="4007"/>
    <cellStyle name="Обычный 3 10 17 2" xfId="7858"/>
    <cellStyle name="Обычный 3 10 18" xfId="8154"/>
    <cellStyle name="Обычный 3 10 19" xfId="4303"/>
    <cellStyle name="Обычный 3 10 2" xfId="118"/>
    <cellStyle name="Обычный 3 10 2 10" xfId="2253"/>
    <cellStyle name="Обычный 3 10 2 10 2" xfId="6104"/>
    <cellStyle name="Обычный 3 10 2 11" xfId="2549"/>
    <cellStyle name="Обычный 3 10 2 11 2" xfId="6400"/>
    <cellStyle name="Обычный 3 10 2 12" xfId="2845"/>
    <cellStyle name="Обычный 3 10 2 12 2" xfId="6696"/>
    <cellStyle name="Обычный 3 10 2 13" xfId="3141"/>
    <cellStyle name="Обычный 3 10 2 13 2" xfId="6992"/>
    <cellStyle name="Обычный 3 10 2 14" xfId="3437"/>
    <cellStyle name="Обычный 3 10 2 14 2" xfId="7288"/>
    <cellStyle name="Обычный 3 10 2 15" xfId="3733"/>
    <cellStyle name="Обычный 3 10 2 15 2" xfId="7584"/>
    <cellStyle name="Обычный 3 10 2 16" xfId="4029"/>
    <cellStyle name="Обычный 3 10 2 16 2" xfId="7880"/>
    <cellStyle name="Обычный 3 10 2 17" xfId="8176"/>
    <cellStyle name="Обычный 3 10 2 18" xfId="4325"/>
    <cellStyle name="Обычный 3 10 2 2" xfId="171"/>
    <cellStyle name="Обычный 3 10 2 2 10" xfId="2893"/>
    <cellStyle name="Обычный 3 10 2 2 10 2" xfId="6744"/>
    <cellStyle name="Обычный 3 10 2 2 11" xfId="3189"/>
    <cellStyle name="Обычный 3 10 2 2 11 2" xfId="7040"/>
    <cellStyle name="Обычный 3 10 2 2 12" xfId="3485"/>
    <cellStyle name="Обычный 3 10 2 2 12 2" xfId="7336"/>
    <cellStyle name="Обычный 3 10 2 2 13" xfId="3781"/>
    <cellStyle name="Обычный 3 10 2 2 13 2" xfId="7632"/>
    <cellStyle name="Обычный 3 10 2 2 14" xfId="4077"/>
    <cellStyle name="Обычный 3 10 2 2 14 2" xfId="7928"/>
    <cellStyle name="Обычный 3 10 2 2 15" xfId="8226"/>
    <cellStyle name="Обычный 3 10 2 2 16" xfId="4374"/>
    <cellStyle name="Обычный 3 10 2 2 2" xfId="274"/>
    <cellStyle name="Обычный 3 10 2 2 2 10" xfId="3337"/>
    <cellStyle name="Обычный 3 10 2 2 2 10 2" xfId="7188"/>
    <cellStyle name="Обычный 3 10 2 2 2 11" xfId="3633"/>
    <cellStyle name="Обычный 3 10 2 2 2 11 2" xfId="7484"/>
    <cellStyle name="Обычный 3 10 2 2 2 12" xfId="3929"/>
    <cellStyle name="Обычный 3 10 2 2 2 12 2" xfId="7780"/>
    <cellStyle name="Обычный 3 10 2 2 2 13" xfId="4225"/>
    <cellStyle name="Обычный 3 10 2 2 2 13 2" xfId="8076"/>
    <cellStyle name="Обычный 3 10 2 2 2 14" xfId="8327"/>
    <cellStyle name="Обычный 3 10 2 2 2 15" xfId="4524"/>
    <cellStyle name="Обычный 3 10 2 2 2 2" xfId="874"/>
    <cellStyle name="Обычный 3 10 2 2 2 2 2" xfId="8621"/>
    <cellStyle name="Обычный 3 10 2 2 2 2 3" xfId="4820"/>
    <cellStyle name="Обычный 3 10 2 2 2 3" xfId="1282"/>
    <cellStyle name="Обычный 3 10 2 2 2 3 2" xfId="5116"/>
    <cellStyle name="Обычный 3 10 2 2 2 4" xfId="1568"/>
    <cellStyle name="Обычный 3 10 2 2 2 4 2" xfId="5412"/>
    <cellStyle name="Обычный 3 10 2 2 2 5" xfId="1861"/>
    <cellStyle name="Обычный 3 10 2 2 2 5 2" xfId="5708"/>
    <cellStyle name="Обычный 3 10 2 2 2 6" xfId="2154"/>
    <cellStyle name="Обычный 3 10 2 2 2 6 2" xfId="6004"/>
    <cellStyle name="Обычный 3 10 2 2 2 7" xfId="2449"/>
    <cellStyle name="Обычный 3 10 2 2 2 7 2" xfId="6300"/>
    <cellStyle name="Обычный 3 10 2 2 2 8" xfId="2745"/>
    <cellStyle name="Обычный 3 10 2 2 2 8 2" xfId="6596"/>
    <cellStyle name="Обычный 3 10 2 2 2 9" xfId="3041"/>
    <cellStyle name="Обычный 3 10 2 2 2 9 2" xfId="6892"/>
    <cellStyle name="Обычный 3 10 2 2 3" xfId="375"/>
    <cellStyle name="Обычный 3 10 2 2 3 2" xfId="875"/>
    <cellStyle name="Обычный 3 10 2 2 3 3" xfId="8427"/>
    <cellStyle name="Обычный 3 10 2 2 3 4" xfId="4672"/>
    <cellStyle name="Обычный 3 10 2 2 4" xfId="876"/>
    <cellStyle name="Обычный 3 10 2 2 4 2" xfId="8622"/>
    <cellStyle name="Обычный 3 10 2 2 4 3" xfId="4968"/>
    <cellStyle name="Обычный 3 10 2 2 5" xfId="1424"/>
    <cellStyle name="Обычный 3 10 2 2 5 2" xfId="5264"/>
    <cellStyle name="Обычный 3 10 2 2 6" xfId="1714"/>
    <cellStyle name="Обычный 3 10 2 2 6 2" xfId="5560"/>
    <cellStyle name="Обычный 3 10 2 2 7" xfId="2006"/>
    <cellStyle name="Обычный 3 10 2 2 7 2" xfId="5856"/>
    <cellStyle name="Обычный 3 10 2 2 8" xfId="2301"/>
    <cellStyle name="Обычный 3 10 2 2 8 2" xfId="6152"/>
    <cellStyle name="Обычный 3 10 2 2 9" xfId="2597"/>
    <cellStyle name="Обычный 3 10 2 2 9 2" xfId="6448"/>
    <cellStyle name="Обычный 3 10 2 3" xfId="224"/>
    <cellStyle name="Обычный 3 10 2 3 10" xfId="2943"/>
    <cellStyle name="Обычный 3 10 2 3 10 2" xfId="6794"/>
    <cellStyle name="Обычный 3 10 2 3 11" xfId="3239"/>
    <cellStyle name="Обычный 3 10 2 3 11 2" xfId="7090"/>
    <cellStyle name="Обычный 3 10 2 3 12" xfId="3535"/>
    <cellStyle name="Обычный 3 10 2 3 12 2" xfId="7386"/>
    <cellStyle name="Обычный 3 10 2 3 13" xfId="3831"/>
    <cellStyle name="Обычный 3 10 2 3 13 2" xfId="7682"/>
    <cellStyle name="Обычный 3 10 2 3 14" xfId="4127"/>
    <cellStyle name="Обычный 3 10 2 3 14 2" xfId="7978"/>
    <cellStyle name="Обычный 3 10 2 3 15" xfId="8277"/>
    <cellStyle name="Обычный 3 10 2 3 16" xfId="4425"/>
    <cellStyle name="Обычный 3 10 2 3 2" xfId="877"/>
    <cellStyle name="Обычный 3 10 2 3 2 10" xfId="3387"/>
    <cellStyle name="Обычный 3 10 2 3 2 10 2" xfId="7238"/>
    <cellStyle name="Обычный 3 10 2 3 2 11" xfId="3683"/>
    <cellStyle name="Обычный 3 10 2 3 2 11 2" xfId="7534"/>
    <cellStyle name="Обычный 3 10 2 3 2 12" xfId="3979"/>
    <cellStyle name="Обычный 3 10 2 3 2 12 2" xfId="7830"/>
    <cellStyle name="Обычный 3 10 2 3 2 13" xfId="4275"/>
    <cellStyle name="Обычный 3 10 2 3 2 13 2" xfId="8126"/>
    <cellStyle name="Обычный 3 10 2 3 2 14" xfId="8623"/>
    <cellStyle name="Обычный 3 10 2 3 2 15" xfId="4574"/>
    <cellStyle name="Обычный 3 10 2 3 2 2" xfId="1141"/>
    <cellStyle name="Обычный 3 10 2 3 2 2 2" xfId="4870"/>
    <cellStyle name="Обычный 3 10 2 3 2 3" xfId="1330"/>
    <cellStyle name="Обычный 3 10 2 3 2 3 2" xfId="5166"/>
    <cellStyle name="Обычный 3 10 2 3 2 4" xfId="1617"/>
    <cellStyle name="Обычный 3 10 2 3 2 4 2" xfId="5462"/>
    <cellStyle name="Обычный 3 10 2 3 2 5" xfId="1910"/>
    <cellStyle name="Обычный 3 10 2 3 2 5 2" xfId="5758"/>
    <cellStyle name="Обычный 3 10 2 3 2 6" xfId="2204"/>
    <cellStyle name="Обычный 3 10 2 3 2 6 2" xfId="6054"/>
    <cellStyle name="Обычный 3 10 2 3 2 7" xfId="2499"/>
    <cellStyle name="Обычный 3 10 2 3 2 7 2" xfId="6350"/>
    <cellStyle name="Обычный 3 10 2 3 2 8" xfId="2795"/>
    <cellStyle name="Обычный 3 10 2 3 2 8 2" xfId="6646"/>
    <cellStyle name="Обычный 3 10 2 3 2 9" xfId="3091"/>
    <cellStyle name="Обычный 3 10 2 3 2 9 2" xfId="6942"/>
    <cellStyle name="Обычный 3 10 2 3 3" xfId="1094"/>
    <cellStyle name="Обычный 3 10 2 3 3 2" xfId="4722"/>
    <cellStyle name="Обычный 3 10 2 3 4" xfId="1188"/>
    <cellStyle name="Обычный 3 10 2 3 4 2" xfId="5018"/>
    <cellStyle name="Обычный 3 10 2 3 5" xfId="1472"/>
    <cellStyle name="Обычный 3 10 2 3 5 2" xfId="5314"/>
    <cellStyle name="Обычный 3 10 2 3 6" xfId="1763"/>
    <cellStyle name="Обычный 3 10 2 3 6 2" xfId="5610"/>
    <cellStyle name="Обычный 3 10 2 3 7" xfId="2056"/>
    <cellStyle name="Обычный 3 10 2 3 7 2" xfId="5906"/>
    <cellStyle name="Обычный 3 10 2 3 8" xfId="2351"/>
    <cellStyle name="Обычный 3 10 2 3 8 2" xfId="6202"/>
    <cellStyle name="Обычный 3 10 2 3 9" xfId="2647"/>
    <cellStyle name="Обычный 3 10 2 3 9 2" xfId="6498"/>
    <cellStyle name="Обычный 3 10 2 4" xfId="325"/>
    <cellStyle name="Обычный 3 10 2 4 10" xfId="3289"/>
    <cellStyle name="Обычный 3 10 2 4 10 2" xfId="7140"/>
    <cellStyle name="Обычный 3 10 2 4 11" xfId="3585"/>
    <cellStyle name="Обычный 3 10 2 4 11 2" xfId="7436"/>
    <cellStyle name="Обычный 3 10 2 4 12" xfId="3881"/>
    <cellStyle name="Обычный 3 10 2 4 12 2" xfId="7732"/>
    <cellStyle name="Обычный 3 10 2 4 13" xfId="4177"/>
    <cellStyle name="Обычный 3 10 2 4 13 2" xfId="8028"/>
    <cellStyle name="Обычный 3 10 2 4 14" xfId="8377"/>
    <cellStyle name="Обычный 3 10 2 4 15" xfId="4476"/>
    <cellStyle name="Обычный 3 10 2 4 2" xfId="878"/>
    <cellStyle name="Обычный 3 10 2 4 2 2" xfId="8624"/>
    <cellStyle name="Обычный 3 10 2 4 2 3" xfId="4772"/>
    <cellStyle name="Обычный 3 10 2 4 3" xfId="1236"/>
    <cellStyle name="Обычный 3 10 2 4 3 2" xfId="5068"/>
    <cellStyle name="Обычный 3 10 2 4 4" xfId="1521"/>
    <cellStyle name="Обычный 3 10 2 4 4 2" xfId="5364"/>
    <cellStyle name="Обычный 3 10 2 4 5" xfId="1813"/>
    <cellStyle name="Обычный 3 10 2 4 5 2" xfId="5660"/>
    <cellStyle name="Обычный 3 10 2 4 6" xfId="2106"/>
    <cellStyle name="Обычный 3 10 2 4 6 2" xfId="5956"/>
    <cellStyle name="Обычный 3 10 2 4 7" xfId="2401"/>
    <cellStyle name="Обычный 3 10 2 4 7 2" xfId="6252"/>
    <cellStyle name="Обычный 3 10 2 4 8" xfId="2697"/>
    <cellStyle name="Обычный 3 10 2 4 8 2" xfId="6548"/>
    <cellStyle name="Обычный 3 10 2 4 9" xfId="2993"/>
    <cellStyle name="Обычный 3 10 2 4 9 2" xfId="6844"/>
    <cellStyle name="Обычный 3 10 2 5" xfId="879"/>
    <cellStyle name="Обычный 3 10 2 5 2" xfId="8625"/>
    <cellStyle name="Обычный 3 10 2 5 3" xfId="4624"/>
    <cellStyle name="Обычный 3 10 2 6" xfId="880"/>
    <cellStyle name="Обычный 3 10 2 6 2" xfId="8626"/>
    <cellStyle name="Обычный 3 10 2 6 3" xfId="4920"/>
    <cellStyle name="Обычный 3 10 2 7" xfId="1377"/>
    <cellStyle name="Обычный 3 10 2 7 2" xfId="5216"/>
    <cellStyle name="Обычный 3 10 2 8" xfId="1666"/>
    <cellStyle name="Обычный 3 10 2 8 2" xfId="5512"/>
    <cellStyle name="Обычный 3 10 2 9" xfId="1959"/>
    <cellStyle name="Обычный 3 10 2 9 2" xfId="5808"/>
    <cellStyle name="Обычный 3 10 3" xfId="149"/>
    <cellStyle name="Обычный 3 10 3 10" xfId="2871"/>
    <cellStyle name="Обычный 3 10 3 10 2" xfId="6722"/>
    <cellStyle name="Обычный 3 10 3 11" xfId="3167"/>
    <cellStyle name="Обычный 3 10 3 11 2" xfId="7018"/>
    <cellStyle name="Обычный 3 10 3 12" xfId="3463"/>
    <cellStyle name="Обычный 3 10 3 12 2" xfId="7314"/>
    <cellStyle name="Обычный 3 10 3 13" xfId="3759"/>
    <cellStyle name="Обычный 3 10 3 13 2" xfId="7610"/>
    <cellStyle name="Обычный 3 10 3 14" xfId="4055"/>
    <cellStyle name="Обычный 3 10 3 14 2" xfId="7906"/>
    <cellStyle name="Обычный 3 10 3 15" xfId="8204"/>
    <cellStyle name="Обычный 3 10 3 16" xfId="4352"/>
    <cellStyle name="Обычный 3 10 3 2" xfId="252"/>
    <cellStyle name="Обычный 3 10 3 2 10" xfId="3315"/>
    <cellStyle name="Обычный 3 10 3 2 10 2" xfId="7166"/>
    <cellStyle name="Обычный 3 10 3 2 11" xfId="3611"/>
    <cellStyle name="Обычный 3 10 3 2 11 2" xfId="7462"/>
    <cellStyle name="Обычный 3 10 3 2 12" xfId="3907"/>
    <cellStyle name="Обычный 3 10 3 2 12 2" xfId="7758"/>
    <cellStyle name="Обычный 3 10 3 2 13" xfId="4203"/>
    <cellStyle name="Обычный 3 10 3 2 13 2" xfId="8054"/>
    <cellStyle name="Обычный 3 10 3 2 14" xfId="8305"/>
    <cellStyle name="Обычный 3 10 3 2 15" xfId="4502"/>
    <cellStyle name="Обычный 3 10 3 2 2" xfId="881"/>
    <cellStyle name="Обычный 3 10 3 2 2 2" xfId="8627"/>
    <cellStyle name="Обычный 3 10 3 2 2 3" xfId="4798"/>
    <cellStyle name="Обычный 3 10 3 2 3" xfId="1261"/>
    <cellStyle name="Обычный 3 10 3 2 3 2" xfId="5094"/>
    <cellStyle name="Обычный 3 10 3 2 4" xfId="1547"/>
    <cellStyle name="Обычный 3 10 3 2 4 2" xfId="5390"/>
    <cellStyle name="Обычный 3 10 3 2 5" xfId="1839"/>
    <cellStyle name="Обычный 3 10 3 2 5 2" xfId="5686"/>
    <cellStyle name="Обычный 3 10 3 2 6" xfId="2132"/>
    <cellStyle name="Обычный 3 10 3 2 6 2" xfId="5982"/>
    <cellStyle name="Обычный 3 10 3 2 7" xfId="2427"/>
    <cellStyle name="Обычный 3 10 3 2 7 2" xfId="6278"/>
    <cellStyle name="Обычный 3 10 3 2 8" xfId="2723"/>
    <cellStyle name="Обычный 3 10 3 2 8 2" xfId="6574"/>
    <cellStyle name="Обычный 3 10 3 2 9" xfId="3019"/>
    <cellStyle name="Обычный 3 10 3 2 9 2" xfId="6870"/>
    <cellStyle name="Обычный 3 10 3 3" xfId="353"/>
    <cellStyle name="Обычный 3 10 3 3 2" xfId="882"/>
    <cellStyle name="Обычный 3 10 3 3 3" xfId="8405"/>
    <cellStyle name="Обычный 3 10 3 3 4" xfId="4650"/>
    <cellStyle name="Обычный 3 10 3 4" xfId="883"/>
    <cellStyle name="Обычный 3 10 3 4 2" xfId="8628"/>
    <cellStyle name="Обычный 3 10 3 4 3" xfId="4946"/>
    <cellStyle name="Обычный 3 10 3 5" xfId="1403"/>
    <cellStyle name="Обычный 3 10 3 5 2" xfId="5242"/>
    <cellStyle name="Обычный 3 10 3 6" xfId="1692"/>
    <cellStyle name="Обычный 3 10 3 6 2" xfId="5538"/>
    <cellStyle name="Обычный 3 10 3 7" xfId="1985"/>
    <cellStyle name="Обычный 3 10 3 7 2" xfId="5834"/>
    <cellStyle name="Обычный 3 10 3 8" xfId="2279"/>
    <cellStyle name="Обычный 3 10 3 8 2" xfId="6130"/>
    <cellStyle name="Обычный 3 10 3 9" xfId="2575"/>
    <cellStyle name="Обычный 3 10 3 9 2" xfId="6426"/>
    <cellStyle name="Обычный 3 10 4" xfId="202"/>
    <cellStyle name="Обычный 3 10 4 10" xfId="2921"/>
    <cellStyle name="Обычный 3 10 4 10 2" xfId="6772"/>
    <cellStyle name="Обычный 3 10 4 11" xfId="3217"/>
    <cellStyle name="Обычный 3 10 4 11 2" xfId="7068"/>
    <cellStyle name="Обычный 3 10 4 12" xfId="3513"/>
    <cellStyle name="Обычный 3 10 4 12 2" xfId="7364"/>
    <cellStyle name="Обычный 3 10 4 13" xfId="3809"/>
    <cellStyle name="Обычный 3 10 4 13 2" xfId="7660"/>
    <cellStyle name="Обычный 3 10 4 14" xfId="4105"/>
    <cellStyle name="Обычный 3 10 4 14 2" xfId="7956"/>
    <cellStyle name="Обычный 3 10 4 15" xfId="8255"/>
    <cellStyle name="Обычный 3 10 4 16" xfId="4403"/>
    <cellStyle name="Обычный 3 10 4 2" xfId="884"/>
    <cellStyle name="Обычный 3 10 4 2 10" xfId="3365"/>
    <cellStyle name="Обычный 3 10 4 2 10 2" xfId="7216"/>
    <cellStyle name="Обычный 3 10 4 2 11" xfId="3661"/>
    <cellStyle name="Обычный 3 10 4 2 11 2" xfId="7512"/>
    <cellStyle name="Обычный 3 10 4 2 12" xfId="3957"/>
    <cellStyle name="Обычный 3 10 4 2 12 2" xfId="7808"/>
    <cellStyle name="Обычный 3 10 4 2 13" xfId="4253"/>
    <cellStyle name="Обычный 3 10 4 2 13 2" xfId="8104"/>
    <cellStyle name="Обычный 3 10 4 2 14" xfId="8629"/>
    <cellStyle name="Обычный 3 10 4 2 15" xfId="4552"/>
    <cellStyle name="Обычный 3 10 4 2 2" xfId="1120"/>
    <cellStyle name="Обычный 3 10 4 2 2 2" xfId="4848"/>
    <cellStyle name="Обычный 3 10 4 2 3" xfId="1309"/>
    <cellStyle name="Обычный 3 10 4 2 3 2" xfId="5144"/>
    <cellStyle name="Обычный 3 10 4 2 4" xfId="1596"/>
    <cellStyle name="Обычный 3 10 4 2 4 2" xfId="5440"/>
    <cellStyle name="Обычный 3 10 4 2 5" xfId="1889"/>
    <cellStyle name="Обычный 3 10 4 2 5 2" xfId="5736"/>
    <cellStyle name="Обычный 3 10 4 2 6" xfId="2182"/>
    <cellStyle name="Обычный 3 10 4 2 6 2" xfId="6032"/>
    <cellStyle name="Обычный 3 10 4 2 7" xfId="2477"/>
    <cellStyle name="Обычный 3 10 4 2 7 2" xfId="6328"/>
    <cellStyle name="Обычный 3 10 4 2 8" xfId="2773"/>
    <cellStyle name="Обычный 3 10 4 2 8 2" xfId="6624"/>
    <cellStyle name="Обычный 3 10 4 2 9" xfId="3069"/>
    <cellStyle name="Обычный 3 10 4 2 9 2" xfId="6920"/>
    <cellStyle name="Обычный 3 10 4 3" xfId="1073"/>
    <cellStyle name="Обычный 3 10 4 3 2" xfId="4700"/>
    <cellStyle name="Обычный 3 10 4 4" xfId="1167"/>
    <cellStyle name="Обычный 3 10 4 4 2" xfId="4996"/>
    <cellStyle name="Обычный 3 10 4 5" xfId="1450"/>
    <cellStyle name="Обычный 3 10 4 5 2" xfId="5292"/>
    <cellStyle name="Обычный 3 10 4 6" xfId="1741"/>
    <cellStyle name="Обычный 3 10 4 6 2" xfId="5588"/>
    <cellStyle name="Обычный 3 10 4 7" xfId="2034"/>
    <cellStyle name="Обычный 3 10 4 7 2" xfId="5884"/>
    <cellStyle name="Обычный 3 10 4 8" xfId="2329"/>
    <cellStyle name="Обычный 3 10 4 8 2" xfId="6180"/>
    <cellStyle name="Обычный 3 10 4 9" xfId="2625"/>
    <cellStyle name="Обычный 3 10 4 9 2" xfId="6476"/>
    <cellStyle name="Обычный 3 10 5" xfId="303"/>
    <cellStyle name="Обычный 3 10 5 10" xfId="3267"/>
    <cellStyle name="Обычный 3 10 5 10 2" xfId="7118"/>
    <cellStyle name="Обычный 3 10 5 11" xfId="3563"/>
    <cellStyle name="Обычный 3 10 5 11 2" xfId="7414"/>
    <cellStyle name="Обычный 3 10 5 12" xfId="3859"/>
    <cellStyle name="Обычный 3 10 5 12 2" xfId="7710"/>
    <cellStyle name="Обычный 3 10 5 13" xfId="4155"/>
    <cellStyle name="Обычный 3 10 5 13 2" xfId="8006"/>
    <cellStyle name="Обычный 3 10 5 14" xfId="8355"/>
    <cellStyle name="Обычный 3 10 5 15" xfId="4454"/>
    <cellStyle name="Обычный 3 10 5 2" xfId="885"/>
    <cellStyle name="Обычный 3 10 5 2 2" xfId="8630"/>
    <cellStyle name="Обычный 3 10 5 2 3" xfId="4750"/>
    <cellStyle name="Обычный 3 10 5 3" xfId="1214"/>
    <cellStyle name="Обычный 3 10 5 3 2" xfId="5046"/>
    <cellStyle name="Обычный 3 10 5 4" xfId="1499"/>
    <cellStyle name="Обычный 3 10 5 4 2" xfId="5342"/>
    <cellStyle name="Обычный 3 10 5 5" xfId="1791"/>
    <cellStyle name="Обычный 3 10 5 5 2" xfId="5638"/>
    <cellStyle name="Обычный 3 10 5 6" xfId="2084"/>
    <cellStyle name="Обычный 3 10 5 6 2" xfId="5934"/>
    <cellStyle name="Обычный 3 10 5 7" xfId="2379"/>
    <cellStyle name="Обычный 3 10 5 7 2" xfId="6230"/>
    <cellStyle name="Обычный 3 10 5 8" xfId="2675"/>
    <cellStyle name="Обычный 3 10 5 8 2" xfId="6526"/>
    <cellStyle name="Обычный 3 10 5 9" xfId="2971"/>
    <cellStyle name="Обычный 3 10 5 9 2" xfId="6822"/>
    <cellStyle name="Обычный 3 10 6" xfId="886"/>
    <cellStyle name="Обычный 3 10 6 2" xfId="8631"/>
    <cellStyle name="Обычный 3 10 6 3" xfId="4602"/>
    <cellStyle name="Обычный 3 10 7" xfId="887"/>
    <cellStyle name="Обычный 3 10 7 2" xfId="8632"/>
    <cellStyle name="Обычный 3 10 7 3" xfId="4898"/>
    <cellStyle name="Обычный 3 10 8" xfId="1356"/>
    <cellStyle name="Обычный 3 10 8 2" xfId="5194"/>
    <cellStyle name="Обычный 3 10 9" xfId="1645"/>
    <cellStyle name="Обычный 3 10 9 2" xfId="5490"/>
    <cellStyle name="Обычный 3 11" xfId="75"/>
    <cellStyle name="Обычный 3 11 10" xfId="1939"/>
    <cellStyle name="Обычный 3 11 10 2" xfId="5787"/>
    <cellStyle name="Обычный 3 11 11" xfId="2233"/>
    <cellStyle name="Обычный 3 11 11 2" xfId="6083"/>
    <cellStyle name="Обычный 3 11 12" xfId="2528"/>
    <cellStyle name="Обычный 3 11 12 2" xfId="6379"/>
    <cellStyle name="Обычный 3 11 13" xfId="2824"/>
    <cellStyle name="Обычный 3 11 13 2" xfId="6675"/>
    <cellStyle name="Обычный 3 11 14" xfId="3120"/>
    <cellStyle name="Обычный 3 11 14 2" xfId="6971"/>
    <cellStyle name="Обычный 3 11 15" xfId="3416"/>
    <cellStyle name="Обычный 3 11 15 2" xfId="7267"/>
    <cellStyle name="Обычный 3 11 16" xfId="3712"/>
    <cellStyle name="Обычный 3 11 16 2" xfId="7563"/>
    <cellStyle name="Обычный 3 11 17" xfId="4008"/>
    <cellStyle name="Обычный 3 11 17 2" xfId="7859"/>
    <cellStyle name="Обычный 3 11 18" xfId="8155"/>
    <cellStyle name="Обычный 3 11 19" xfId="4304"/>
    <cellStyle name="Обычный 3 11 2" xfId="119"/>
    <cellStyle name="Обычный 3 11 2 10" xfId="2254"/>
    <cellStyle name="Обычный 3 11 2 10 2" xfId="6105"/>
    <cellStyle name="Обычный 3 11 2 11" xfId="2550"/>
    <cellStyle name="Обычный 3 11 2 11 2" xfId="6401"/>
    <cellStyle name="Обычный 3 11 2 12" xfId="2846"/>
    <cellStyle name="Обычный 3 11 2 12 2" xfId="6697"/>
    <cellStyle name="Обычный 3 11 2 13" xfId="3142"/>
    <cellStyle name="Обычный 3 11 2 13 2" xfId="6993"/>
    <cellStyle name="Обычный 3 11 2 14" xfId="3438"/>
    <cellStyle name="Обычный 3 11 2 14 2" xfId="7289"/>
    <cellStyle name="Обычный 3 11 2 15" xfId="3734"/>
    <cellStyle name="Обычный 3 11 2 15 2" xfId="7585"/>
    <cellStyle name="Обычный 3 11 2 16" xfId="4030"/>
    <cellStyle name="Обычный 3 11 2 16 2" xfId="7881"/>
    <cellStyle name="Обычный 3 11 2 17" xfId="8177"/>
    <cellStyle name="Обычный 3 11 2 18" xfId="4326"/>
    <cellStyle name="Обычный 3 11 2 2" xfId="172"/>
    <cellStyle name="Обычный 3 11 2 2 10" xfId="2894"/>
    <cellStyle name="Обычный 3 11 2 2 10 2" xfId="6745"/>
    <cellStyle name="Обычный 3 11 2 2 11" xfId="3190"/>
    <cellStyle name="Обычный 3 11 2 2 11 2" xfId="7041"/>
    <cellStyle name="Обычный 3 11 2 2 12" xfId="3486"/>
    <cellStyle name="Обычный 3 11 2 2 12 2" xfId="7337"/>
    <cellStyle name="Обычный 3 11 2 2 13" xfId="3782"/>
    <cellStyle name="Обычный 3 11 2 2 13 2" xfId="7633"/>
    <cellStyle name="Обычный 3 11 2 2 14" xfId="4078"/>
    <cellStyle name="Обычный 3 11 2 2 14 2" xfId="7929"/>
    <cellStyle name="Обычный 3 11 2 2 15" xfId="8227"/>
    <cellStyle name="Обычный 3 11 2 2 16" xfId="4375"/>
    <cellStyle name="Обычный 3 11 2 2 2" xfId="275"/>
    <cellStyle name="Обычный 3 11 2 2 2 10" xfId="3338"/>
    <cellStyle name="Обычный 3 11 2 2 2 10 2" xfId="7189"/>
    <cellStyle name="Обычный 3 11 2 2 2 11" xfId="3634"/>
    <cellStyle name="Обычный 3 11 2 2 2 11 2" xfId="7485"/>
    <cellStyle name="Обычный 3 11 2 2 2 12" xfId="3930"/>
    <cellStyle name="Обычный 3 11 2 2 2 12 2" xfId="7781"/>
    <cellStyle name="Обычный 3 11 2 2 2 13" xfId="4226"/>
    <cellStyle name="Обычный 3 11 2 2 2 13 2" xfId="8077"/>
    <cellStyle name="Обычный 3 11 2 2 2 14" xfId="8328"/>
    <cellStyle name="Обычный 3 11 2 2 2 15" xfId="4525"/>
    <cellStyle name="Обычный 3 11 2 2 2 2" xfId="888"/>
    <cellStyle name="Обычный 3 11 2 2 2 2 2" xfId="8633"/>
    <cellStyle name="Обычный 3 11 2 2 2 2 3" xfId="4821"/>
    <cellStyle name="Обычный 3 11 2 2 2 3" xfId="1283"/>
    <cellStyle name="Обычный 3 11 2 2 2 3 2" xfId="5117"/>
    <cellStyle name="Обычный 3 11 2 2 2 4" xfId="1569"/>
    <cellStyle name="Обычный 3 11 2 2 2 4 2" xfId="5413"/>
    <cellStyle name="Обычный 3 11 2 2 2 5" xfId="1862"/>
    <cellStyle name="Обычный 3 11 2 2 2 5 2" xfId="5709"/>
    <cellStyle name="Обычный 3 11 2 2 2 6" xfId="2155"/>
    <cellStyle name="Обычный 3 11 2 2 2 6 2" xfId="6005"/>
    <cellStyle name="Обычный 3 11 2 2 2 7" xfId="2450"/>
    <cellStyle name="Обычный 3 11 2 2 2 7 2" xfId="6301"/>
    <cellStyle name="Обычный 3 11 2 2 2 8" xfId="2746"/>
    <cellStyle name="Обычный 3 11 2 2 2 8 2" xfId="6597"/>
    <cellStyle name="Обычный 3 11 2 2 2 9" xfId="3042"/>
    <cellStyle name="Обычный 3 11 2 2 2 9 2" xfId="6893"/>
    <cellStyle name="Обычный 3 11 2 2 3" xfId="376"/>
    <cellStyle name="Обычный 3 11 2 2 3 2" xfId="889"/>
    <cellStyle name="Обычный 3 11 2 2 3 3" xfId="8428"/>
    <cellStyle name="Обычный 3 11 2 2 3 4" xfId="4673"/>
    <cellStyle name="Обычный 3 11 2 2 4" xfId="890"/>
    <cellStyle name="Обычный 3 11 2 2 4 2" xfId="8634"/>
    <cellStyle name="Обычный 3 11 2 2 4 3" xfId="4969"/>
    <cellStyle name="Обычный 3 11 2 2 5" xfId="1425"/>
    <cellStyle name="Обычный 3 11 2 2 5 2" xfId="5265"/>
    <cellStyle name="Обычный 3 11 2 2 6" xfId="1715"/>
    <cellStyle name="Обычный 3 11 2 2 6 2" xfId="5561"/>
    <cellStyle name="Обычный 3 11 2 2 7" xfId="2007"/>
    <cellStyle name="Обычный 3 11 2 2 7 2" xfId="5857"/>
    <cellStyle name="Обычный 3 11 2 2 8" xfId="2302"/>
    <cellStyle name="Обычный 3 11 2 2 8 2" xfId="6153"/>
    <cellStyle name="Обычный 3 11 2 2 9" xfId="2598"/>
    <cellStyle name="Обычный 3 11 2 2 9 2" xfId="6449"/>
    <cellStyle name="Обычный 3 11 2 3" xfId="225"/>
    <cellStyle name="Обычный 3 11 2 3 10" xfId="2944"/>
    <cellStyle name="Обычный 3 11 2 3 10 2" xfId="6795"/>
    <cellStyle name="Обычный 3 11 2 3 11" xfId="3240"/>
    <cellStyle name="Обычный 3 11 2 3 11 2" xfId="7091"/>
    <cellStyle name="Обычный 3 11 2 3 12" xfId="3536"/>
    <cellStyle name="Обычный 3 11 2 3 12 2" xfId="7387"/>
    <cellStyle name="Обычный 3 11 2 3 13" xfId="3832"/>
    <cellStyle name="Обычный 3 11 2 3 13 2" xfId="7683"/>
    <cellStyle name="Обычный 3 11 2 3 14" xfId="4128"/>
    <cellStyle name="Обычный 3 11 2 3 14 2" xfId="7979"/>
    <cellStyle name="Обычный 3 11 2 3 15" xfId="8278"/>
    <cellStyle name="Обычный 3 11 2 3 16" xfId="4426"/>
    <cellStyle name="Обычный 3 11 2 3 2" xfId="891"/>
    <cellStyle name="Обычный 3 11 2 3 2 10" xfId="3388"/>
    <cellStyle name="Обычный 3 11 2 3 2 10 2" xfId="7239"/>
    <cellStyle name="Обычный 3 11 2 3 2 11" xfId="3684"/>
    <cellStyle name="Обычный 3 11 2 3 2 11 2" xfId="7535"/>
    <cellStyle name="Обычный 3 11 2 3 2 12" xfId="3980"/>
    <cellStyle name="Обычный 3 11 2 3 2 12 2" xfId="7831"/>
    <cellStyle name="Обычный 3 11 2 3 2 13" xfId="4276"/>
    <cellStyle name="Обычный 3 11 2 3 2 13 2" xfId="8127"/>
    <cellStyle name="Обычный 3 11 2 3 2 14" xfId="8635"/>
    <cellStyle name="Обычный 3 11 2 3 2 15" xfId="4575"/>
    <cellStyle name="Обычный 3 11 2 3 2 2" xfId="1142"/>
    <cellStyle name="Обычный 3 11 2 3 2 2 2" xfId="4871"/>
    <cellStyle name="Обычный 3 11 2 3 2 3" xfId="1331"/>
    <cellStyle name="Обычный 3 11 2 3 2 3 2" xfId="5167"/>
    <cellStyle name="Обычный 3 11 2 3 2 4" xfId="1618"/>
    <cellStyle name="Обычный 3 11 2 3 2 4 2" xfId="5463"/>
    <cellStyle name="Обычный 3 11 2 3 2 5" xfId="1911"/>
    <cellStyle name="Обычный 3 11 2 3 2 5 2" xfId="5759"/>
    <cellStyle name="Обычный 3 11 2 3 2 6" xfId="2205"/>
    <cellStyle name="Обычный 3 11 2 3 2 6 2" xfId="6055"/>
    <cellStyle name="Обычный 3 11 2 3 2 7" xfId="2500"/>
    <cellStyle name="Обычный 3 11 2 3 2 7 2" xfId="6351"/>
    <cellStyle name="Обычный 3 11 2 3 2 8" xfId="2796"/>
    <cellStyle name="Обычный 3 11 2 3 2 8 2" xfId="6647"/>
    <cellStyle name="Обычный 3 11 2 3 2 9" xfId="3092"/>
    <cellStyle name="Обычный 3 11 2 3 2 9 2" xfId="6943"/>
    <cellStyle name="Обычный 3 11 2 3 3" xfId="1095"/>
    <cellStyle name="Обычный 3 11 2 3 3 2" xfId="4723"/>
    <cellStyle name="Обычный 3 11 2 3 4" xfId="1189"/>
    <cellStyle name="Обычный 3 11 2 3 4 2" xfId="5019"/>
    <cellStyle name="Обычный 3 11 2 3 5" xfId="1473"/>
    <cellStyle name="Обычный 3 11 2 3 5 2" xfId="5315"/>
    <cellStyle name="Обычный 3 11 2 3 6" xfId="1764"/>
    <cellStyle name="Обычный 3 11 2 3 6 2" xfId="5611"/>
    <cellStyle name="Обычный 3 11 2 3 7" xfId="2057"/>
    <cellStyle name="Обычный 3 11 2 3 7 2" xfId="5907"/>
    <cellStyle name="Обычный 3 11 2 3 8" xfId="2352"/>
    <cellStyle name="Обычный 3 11 2 3 8 2" xfId="6203"/>
    <cellStyle name="Обычный 3 11 2 3 9" xfId="2648"/>
    <cellStyle name="Обычный 3 11 2 3 9 2" xfId="6499"/>
    <cellStyle name="Обычный 3 11 2 4" xfId="326"/>
    <cellStyle name="Обычный 3 11 2 4 10" xfId="3290"/>
    <cellStyle name="Обычный 3 11 2 4 10 2" xfId="7141"/>
    <cellStyle name="Обычный 3 11 2 4 11" xfId="3586"/>
    <cellStyle name="Обычный 3 11 2 4 11 2" xfId="7437"/>
    <cellStyle name="Обычный 3 11 2 4 12" xfId="3882"/>
    <cellStyle name="Обычный 3 11 2 4 12 2" xfId="7733"/>
    <cellStyle name="Обычный 3 11 2 4 13" xfId="4178"/>
    <cellStyle name="Обычный 3 11 2 4 13 2" xfId="8029"/>
    <cellStyle name="Обычный 3 11 2 4 14" xfId="8378"/>
    <cellStyle name="Обычный 3 11 2 4 15" xfId="4477"/>
    <cellStyle name="Обычный 3 11 2 4 2" xfId="892"/>
    <cellStyle name="Обычный 3 11 2 4 2 2" xfId="8636"/>
    <cellStyle name="Обычный 3 11 2 4 2 3" xfId="4773"/>
    <cellStyle name="Обычный 3 11 2 4 3" xfId="1237"/>
    <cellStyle name="Обычный 3 11 2 4 3 2" xfId="5069"/>
    <cellStyle name="Обычный 3 11 2 4 4" xfId="1522"/>
    <cellStyle name="Обычный 3 11 2 4 4 2" xfId="5365"/>
    <cellStyle name="Обычный 3 11 2 4 5" xfId="1814"/>
    <cellStyle name="Обычный 3 11 2 4 5 2" xfId="5661"/>
    <cellStyle name="Обычный 3 11 2 4 6" xfId="2107"/>
    <cellStyle name="Обычный 3 11 2 4 6 2" xfId="5957"/>
    <cellStyle name="Обычный 3 11 2 4 7" xfId="2402"/>
    <cellStyle name="Обычный 3 11 2 4 7 2" xfId="6253"/>
    <cellStyle name="Обычный 3 11 2 4 8" xfId="2698"/>
    <cellStyle name="Обычный 3 11 2 4 8 2" xfId="6549"/>
    <cellStyle name="Обычный 3 11 2 4 9" xfId="2994"/>
    <cellStyle name="Обычный 3 11 2 4 9 2" xfId="6845"/>
    <cellStyle name="Обычный 3 11 2 5" xfId="893"/>
    <cellStyle name="Обычный 3 11 2 5 2" xfId="8637"/>
    <cellStyle name="Обычный 3 11 2 5 3" xfId="4625"/>
    <cellStyle name="Обычный 3 11 2 6" xfId="894"/>
    <cellStyle name="Обычный 3 11 2 6 2" xfId="8638"/>
    <cellStyle name="Обычный 3 11 2 6 3" xfId="4921"/>
    <cellStyle name="Обычный 3 11 2 7" xfId="1378"/>
    <cellStyle name="Обычный 3 11 2 7 2" xfId="5217"/>
    <cellStyle name="Обычный 3 11 2 8" xfId="1667"/>
    <cellStyle name="Обычный 3 11 2 8 2" xfId="5513"/>
    <cellStyle name="Обычный 3 11 2 9" xfId="1960"/>
    <cellStyle name="Обычный 3 11 2 9 2" xfId="5809"/>
    <cellStyle name="Обычный 3 11 3" xfId="150"/>
    <cellStyle name="Обычный 3 11 3 10" xfId="2872"/>
    <cellStyle name="Обычный 3 11 3 10 2" xfId="6723"/>
    <cellStyle name="Обычный 3 11 3 11" xfId="3168"/>
    <cellStyle name="Обычный 3 11 3 11 2" xfId="7019"/>
    <cellStyle name="Обычный 3 11 3 12" xfId="3464"/>
    <cellStyle name="Обычный 3 11 3 12 2" xfId="7315"/>
    <cellStyle name="Обычный 3 11 3 13" xfId="3760"/>
    <cellStyle name="Обычный 3 11 3 13 2" xfId="7611"/>
    <cellStyle name="Обычный 3 11 3 14" xfId="4056"/>
    <cellStyle name="Обычный 3 11 3 14 2" xfId="7907"/>
    <cellStyle name="Обычный 3 11 3 15" xfId="8205"/>
    <cellStyle name="Обычный 3 11 3 16" xfId="4353"/>
    <cellStyle name="Обычный 3 11 3 2" xfId="253"/>
    <cellStyle name="Обычный 3 11 3 2 10" xfId="3316"/>
    <cellStyle name="Обычный 3 11 3 2 10 2" xfId="7167"/>
    <cellStyle name="Обычный 3 11 3 2 11" xfId="3612"/>
    <cellStyle name="Обычный 3 11 3 2 11 2" xfId="7463"/>
    <cellStyle name="Обычный 3 11 3 2 12" xfId="3908"/>
    <cellStyle name="Обычный 3 11 3 2 12 2" xfId="7759"/>
    <cellStyle name="Обычный 3 11 3 2 13" xfId="4204"/>
    <cellStyle name="Обычный 3 11 3 2 13 2" xfId="8055"/>
    <cellStyle name="Обычный 3 11 3 2 14" xfId="8306"/>
    <cellStyle name="Обычный 3 11 3 2 15" xfId="4503"/>
    <cellStyle name="Обычный 3 11 3 2 2" xfId="895"/>
    <cellStyle name="Обычный 3 11 3 2 2 2" xfId="8639"/>
    <cellStyle name="Обычный 3 11 3 2 2 3" xfId="4799"/>
    <cellStyle name="Обычный 3 11 3 2 3" xfId="1262"/>
    <cellStyle name="Обычный 3 11 3 2 3 2" xfId="5095"/>
    <cellStyle name="Обычный 3 11 3 2 4" xfId="1548"/>
    <cellStyle name="Обычный 3 11 3 2 4 2" xfId="5391"/>
    <cellStyle name="Обычный 3 11 3 2 5" xfId="1840"/>
    <cellStyle name="Обычный 3 11 3 2 5 2" xfId="5687"/>
    <cellStyle name="Обычный 3 11 3 2 6" xfId="2133"/>
    <cellStyle name="Обычный 3 11 3 2 6 2" xfId="5983"/>
    <cellStyle name="Обычный 3 11 3 2 7" xfId="2428"/>
    <cellStyle name="Обычный 3 11 3 2 7 2" xfId="6279"/>
    <cellStyle name="Обычный 3 11 3 2 8" xfId="2724"/>
    <cellStyle name="Обычный 3 11 3 2 8 2" xfId="6575"/>
    <cellStyle name="Обычный 3 11 3 2 9" xfId="3020"/>
    <cellStyle name="Обычный 3 11 3 2 9 2" xfId="6871"/>
    <cellStyle name="Обычный 3 11 3 3" xfId="354"/>
    <cellStyle name="Обычный 3 11 3 3 2" xfId="896"/>
    <cellStyle name="Обычный 3 11 3 3 3" xfId="8406"/>
    <cellStyle name="Обычный 3 11 3 3 4" xfId="4651"/>
    <cellStyle name="Обычный 3 11 3 4" xfId="897"/>
    <cellStyle name="Обычный 3 11 3 4 2" xfId="8640"/>
    <cellStyle name="Обычный 3 11 3 4 3" xfId="4947"/>
    <cellStyle name="Обычный 3 11 3 5" xfId="1404"/>
    <cellStyle name="Обычный 3 11 3 5 2" xfId="5243"/>
    <cellStyle name="Обычный 3 11 3 6" xfId="1693"/>
    <cellStyle name="Обычный 3 11 3 6 2" xfId="5539"/>
    <cellStyle name="Обычный 3 11 3 7" xfId="1986"/>
    <cellStyle name="Обычный 3 11 3 7 2" xfId="5835"/>
    <cellStyle name="Обычный 3 11 3 8" xfId="2280"/>
    <cellStyle name="Обычный 3 11 3 8 2" xfId="6131"/>
    <cellStyle name="Обычный 3 11 3 9" xfId="2576"/>
    <cellStyle name="Обычный 3 11 3 9 2" xfId="6427"/>
    <cellStyle name="Обычный 3 11 4" xfId="203"/>
    <cellStyle name="Обычный 3 11 4 10" xfId="2922"/>
    <cellStyle name="Обычный 3 11 4 10 2" xfId="6773"/>
    <cellStyle name="Обычный 3 11 4 11" xfId="3218"/>
    <cellStyle name="Обычный 3 11 4 11 2" xfId="7069"/>
    <cellStyle name="Обычный 3 11 4 12" xfId="3514"/>
    <cellStyle name="Обычный 3 11 4 12 2" xfId="7365"/>
    <cellStyle name="Обычный 3 11 4 13" xfId="3810"/>
    <cellStyle name="Обычный 3 11 4 13 2" xfId="7661"/>
    <cellStyle name="Обычный 3 11 4 14" xfId="4106"/>
    <cellStyle name="Обычный 3 11 4 14 2" xfId="7957"/>
    <cellStyle name="Обычный 3 11 4 15" xfId="8256"/>
    <cellStyle name="Обычный 3 11 4 16" xfId="4404"/>
    <cellStyle name="Обычный 3 11 4 2" xfId="898"/>
    <cellStyle name="Обычный 3 11 4 2 10" xfId="3366"/>
    <cellStyle name="Обычный 3 11 4 2 10 2" xfId="7217"/>
    <cellStyle name="Обычный 3 11 4 2 11" xfId="3662"/>
    <cellStyle name="Обычный 3 11 4 2 11 2" xfId="7513"/>
    <cellStyle name="Обычный 3 11 4 2 12" xfId="3958"/>
    <cellStyle name="Обычный 3 11 4 2 12 2" xfId="7809"/>
    <cellStyle name="Обычный 3 11 4 2 13" xfId="4254"/>
    <cellStyle name="Обычный 3 11 4 2 13 2" xfId="8105"/>
    <cellStyle name="Обычный 3 11 4 2 14" xfId="8641"/>
    <cellStyle name="Обычный 3 11 4 2 15" xfId="4553"/>
    <cellStyle name="Обычный 3 11 4 2 2" xfId="1121"/>
    <cellStyle name="Обычный 3 11 4 2 2 2" xfId="4849"/>
    <cellStyle name="Обычный 3 11 4 2 3" xfId="1310"/>
    <cellStyle name="Обычный 3 11 4 2 3 2" xfId="5145"/>
    <cellStyle name="Обычный 3 11 4 2 4" xfId="1597"/>
    <cellStyle name="Обычный 3 11 4 2 4 2" xfId="5441"/>
    <cellStyle name="Обычный 3 11 4 2 5" xfId="1890"/>
    <cellStyle name="Обычный 3 11 4 2 5 2" xfId="5737"/>
    <cellStyle name="Обычный 3 11 4 2 6" xfId="2183"/>
    <cellStyle name="Обычный 3 11 4 2 6 2" xfId="6033"/>
    <cellStyle name="Обычный 3 11 4 2 7" xfId="2478"/>
    <cellStyle name="Обычный 3 11 4 2 7 2" xfId="6329"/>
    <cellStyle name="Обычный 3 11 4 2 8" xfId="2774"/>
    <cellStyle name="Обычный 3 11 4 2 8 2" xfId="6625"/>
    <cellStyle name="Обычный 3 11 4 2 9" xfId="3070"/>
    <cellStyle name="Обычный 3 11 4 2 9 2" xfId="6921"/>
    <cellStyle name="Обычный 3 11 4 3" xfId="1074"/>
    <cellStyle name="Обычный 3 11 4 3 2" xfId="4701"/>
    <cellStyle name="Обычный 3 11 4 4" xfId="1168"/>
    <cellStyle name="Обычный 3 11 4 4 2" xfId="4997"/>
    <cellStyle name="Обычный 3 11 4 5" xfId="1451"/>
    <cellStyle name="Обычный 3 11 4 5 2" xfId="5293"/>
    <cellStyle name="Обычный 3 11 4 6" xfId="1742"/>
    <cellStyle name="Обычный 3 11 4 6 2" xfId="5589"/>
    <cellStyle name="Обычный 3 11 4 7" xfId="2035"/>
    <cellStyle name="Обычный 3 11 4 7 2" xfId="5885"/>
    <cellStyle name="Обычный 3 11 4 8" xfId="2330"/>
    <cellStyle name="Обычный 3 11 4 8 2" xfId="6181"/>
    <cellStyle name="Обычный 3 11 4 9" xfId="2626"/>
    <cellStyle name="Обычный 3 11 4 9 2" xfId="6477"/>
    <cellStyle name="Обычный 3 11 5" xfId="304"/>
    <cellStyle name="Обычный 3 11 5 10" xfId="3268"/>
    <cellStyle name="Обычный 3 11 5 10 2" xfId="7119"/>
    <cellStyle name="Обычный 3 11 5 11" xfId="3564"/>
    <cellStyle name="Обычный 3 11 5 11 2" xfId="7415"/>
    <cellStyle name="Обычный 3 11 5 12" xfId="3860"/>
    <cellStyle name="Обычный 3 11 5 12 2" xfId="7711"/>
    <cellStyle name="Обычный 3 11 5 13" xfId="4156"/>
    <cellStyle name="Обычный 3 11 5 13 2" xfId="8007"/>
    <cellStyle name="Обычный 3 11 5 14" xfId="8356"/>
    <cellStyle name="Обычный 3 11 5 15" xfId="4455"/>
    <cellStyle name="Обычный 3 11 5 2" xfId="899"/>
    <cellStyle name="Обычный 3 11 5 2 2" xfId="8642"/>
    <cellStyle name="Обычный 3 11 5 2 3" xfId="4751"/>
    <cellStyle name="Обычный 3 11 5 3" xfId="1215"/>
    <cellStyle name="Обычный 3 11 5 3 2" xfId="5047"/>
    <cellStyle name="Обычный 3 11 5 4" xfId="1500"/>
    <cellStyle name="Обычный 3 11 5 4 2" xfId="5343"/>
    <cellStyle name="Обычный 3 11 5 5" xfId="1792"/>
    <cellStyle name="Обычный 3 11 5 5 2" xfId="5639"/>
    <cellStyle name="Обычный 3 11 5 6" xfId="2085"/>
    <cellStyle name="Обычный 3 11 5 6 2" xfId="5935"/>
    <cellStyle name="Обычный 3 11 5 7" xfId="2380"/>
    <cellStyle name="Обычный 3 11 5 7 2" xfId="6231"/>
    <cellStyle name="Обычный 3 11 5 8" xfId="2676"/>
    <cellStyle name="Обычный 3 11 5 8 2" xfId="6527"/>
    <cellStyle name="Обычный 3 11 5 9" xfId="2972"/>
    <cellStyle name="Обычный 3 11 5 9 2" xfId="6823"/>
    <cellStyle name="Обычный 3 11 6" xfId="900"/>
    <cellStyle name="Обычный 3 11 6 2" xfId="8643"/>
    <cellStyle name="Обычный 3 11 6 3" xfId="4603"/>
    <cellStyle name="Обычный 3 11 7" xfId="901"/>
    <cellStyle name="Обычный 3 11 7 2" xfId="8644"/>
    <cellStyle name="Обычный 3 11 7 3" xfId="4899"/>
    <cellStyle name="Обычный 3 11 8" xfId="1357"/>
    <cellStyle name="Обычный 3 11 8 2" xfId="5195"/>
    <cellStyle name="Обычный 3 11 9" xfId="1646"/>
    <cellStyle name="Обычный 3 11 9 2" xfId="5491"/>
    <cellStyle name="Обычный 3 12" xfId="117"/>
    <cellStyle name="Обычный 3 12 10" xfId="2252"/>
    <cellStyle name="Обычный 3 12 10 2" xfId="6103"/>
    <cellStyle name="Обычный 3 12 11" xfId="2548"/>
    <cellStyle name="Обычный 3 12 11 2" xfId="6399"/>
    <cellStyle name="Обычный 3 12 12" xfId="2844"/>
    <cellStyle name="Обычный 3 12 12 2" xfId="6695"/>
    <cellStyle name="Обычный 3 12 13" xfId="3140"/>
    <cellStyle name="Обычный 3 12 13 2" xfId="6991"/>
    <cellStyle name="Обычный 3 12 14" xfId="3436"/>
    <cellStyle name="Обычный 3 12 14 2" xfId="7287"/>
    <cellStyle name="Обычный 3 12 15" xfId="3732"/>
    <cellStyle name="Обычный 3 12 15 2" xfId="7583"/>
    <cellStyle name="Обычный 3 12 16" xfId="4028"/>
    <cellStyle name="Обычный 3 12 16 2" xfId="7879"/>
    <cellStyle name="Обычный 3 12 17" xfId="8175"/>
    <cellStyle name="Обычный 3 12 18" xfId="4324"/>
    <cellStyle name="Обычный 3 12 2" xfId="170"/>
    <cellStyle name="Обычный 3 12 2 10" xfId="2892"/>
    <cellStyle name="Обычный 3 12 2 10 2" xfId="6743"/>
    <cellStyle name="Обычный 3 12 2 11" xfId="3188"/>
    <cellStyle name="Обычный 3 12 2 11 2" xfId="7039"/>
    <cellStyle name="Обычный 3 12 2 12" xfId="3484"/>
    <cellStyle name="Обычный 3 12 2 12 2" xfId="7335"/>
    <cellStyle name="Обычный 3 12 2 13" xfId="3780"/>
    <cellStyle name="Обычный 3 12 2 13 2" xfId="7631"/>
    <cellStyle name="Обычный 3 12 2 14" xfId="4076"/>
    <cellStyle name="Обычный 3 12 2 14 2" xfId="7927"/>
    <cellStyle name="Обычный 3 12 2 15" xfId="8225"/>
    <cellStyle name="Обычный 3 12 2 16" xfId="4373"/>
    <cellStyle name="Обычный 3 12 2 2" xfId="273"/>
    <cellStyle name="Обычный 3 12 2 2 10" xfId="3336"/>
    <cellStyle name="Обычный 3 12 2 2 10 2" xfId="7187"/>
    <cellStyle name="Обычный 3 12 2 2 11" xfId="3632"/>
    <cellStyle name="Обычный 3 12 2 2 11 2" xfId="7483"/>
    <cellStyle name="Обычный 3 12 2 2 12" xfId="3928"/>
    <cellStyle name="Обычный 3 12 2 2 12 2" xfId="7779"/>
    <cellStyle name="Обычный 3 12 2 2 13" xfId="4224"/>
    <cellStyle name="Обычный 3 12 2 2 13 2" xfId="8075"/>
    <cellStyle name="Обычный 3 12 2 2 14" xfId="8326"/>
    <cellStyle name="Обычный 3 12 2 2 15" xfId="4523"/>
    <cellStyle name="Обычный 3 12 2 2 2" xfId="902"/>
    <cellStyle name="Обычный 3 12 2 2 2 2" xfId="8645"/>
    <cellStyle name="Обычный 3 12 2 2 2 3" xfId="4819"/>
    <cellStyle name="Обычный 3 12 2 2 3" xfId="1281"/>
    <cellStyle name="Обычный 3 12 2 2 3 2" xfId="5115"/>
    <cellStyle name="Обычный 3 12 2 2 4" xfId="1567"/>
    <cellStyle name="Обычный 3 12 2 2 4 2" xfId="5411"/>
    <cellStyle name="Обычный 3 12 2 2 5" xfId="1860"/>
    <cellStyle name="Обычный 3 12 2 2 5 2" xfId="5707"/>
    <cellStyle name="Обычный 3 12 2 2 6" xfId="2153"/>
    <cellStyle name="Обычный 3 12 2 2 6 2" xfId="6003"/>
    <cellStyle name="Обычный 3 12 2 2 7" xfId="2448"/>
    <cellStyle name="Обычный 3 12 2 2 7 2" xfId="6299"/>
    <cellStyle name="Обычный 3 12 2 2 8" xfId="2744"/>
    <cellStyle name="Обычный 3 12 2 2 8 2" xfId="6595"/>
    <cellStyle name="Обычный 3 12 2 2 9" xfId="3040"/>
    <cellStyle name="Обычный 3 12 2 2 9 2" xfId="6891"/>
    <cellStyle name="Обычный 3 12 2 3" xfId="374"/>
    <cellStyle name="Обычный 3 12 2 3 2" xfId="903"/>
    <cellStyle name="Обычный 3 12 2 3 3" xfId="8426"/>
    <cellStyle name="Обычный 3 12 2 3 4" xfId="4671"/>
    <cellStyle name="Обычный 3 12 2 4" xfId="904"/>
    <cellStyle name="Обычный 3 12 2 4 2" xfId="8646"/>
    <cellStyle name="Обычный 3 12 2 4 3" xfId="4967"/>
    <cellStyle name="Обычный 3 12 2 5" xfId="1423"/>
    <cellStyle name="Обычный 3 12 2 5 2" xfId="5263"/>
    <cellStyle name="Обычный 3 12 2 6" xfId="1713"/>
    <cellStyle name="Обычный 3 12 2 6 2" xfId="5559"/>
    <cellStyle name="Обычный 3 12 2 7" xfId="2005"/>
    <cellStyle name="Обычный 3 12 2 7 2" xfId="5855"/>
    <cellStyle name="Обычный 3 12 2 8" xfId="2300"/>
    <cellStyle name="Обычный 3 12 2 8 2" xfId="6151"/>
    <cellStyle name="Обычный 3 12 2 9" xfId="2596"/>
    <cellStyle name="Обычный 3 12 2 9 2" xfId="6447"/>
    <cellStyle name="Обычный 3 12 3" xfId="223"/>
    <cellStyle name="Обычный 3 12 3 10" xfId="2942"/>
    <cellStyle name="Обычный 3 12 3 10 2" xfId="6793"/>
    <cellStyle name="Обычный 3 12 3 11" xfId="3238"/>
    <cellStyle name="Обычный 3 12 3 11 2" xfId="7089"/>
    <cellStyle name="Обычный 3 12 3 12" xfId="3534"/>
    <cellStyle name="Обычный 3 12 3 12 2" xfId="7385"/>
    <cellStyle name="Обычный 3 12 3 13" xfId="3830"/>
    <cellStyle name="Обычный 3 12 3 13 2" xfId="7681"/>
    <cellStyle name="Обычный 3 12 3 14" xfId="4126"/>
    <cellStyle name="Обычный 3 12 3 14 2" xfId="7977"/>
    <cellStyle name="Обычный 3 12 3 15" xfId="8276"/>
    <cellStyle name="Обычный 3 12 3 16" xfId="4424"/>
    <cellStyle name="Обычный 3 12 3 2" xfId="905"/>
    <cellStyle name="Обычный 3 12 3 2 10" xfId="3386"/>
    <cellStyle name="Обычный 3 12 3 2 10 2" xfId="7237"/>
    <cellStyle name="Обычный 3 12 3 2 11" xfId="3682"/>
    <cellStyle name="Обычный 3 12 3 2 11 2" xfId="7533"/>
    <cellStyle name="Обычный 3 12 3 2 12" xfId="3978"/>
    <cellStyle name="Обычный 3 12 3 2 12 2" xfId="7829"/>
    <cellStyle name="Обычный 3 12 3 2 13" xfId="4274"/>
    <cellStyle name="Обычный 3 12 3 2 13 2" xfId="8125"/>
    <cellStyle name="Обычный 3 12 3 2 14" xfId="8647"/>
    <cellStyle name="Обычный 3 12 3 2 15" xfId="4573"/>
    <cellStyle name="Обычный 3 12 3 2 2" xfId="1140"/>
    <cellStyle name="Обычный 3 12 3 2 2 2" xfId="4869"/>
    <cellStyle name="Обычный 3 12 3 2 3" xfId="1329"/>
    <cellStyle name="Обычный 3 12 3 2 3 2" xfId="5165"/>
    <cellStyle name="Обычный 3 12 3 2 4" xfId="1616"/>
    <cellStyle name="Обычный 3 12 3 2 4 2" xfId="5461"/>
    <cellStyle name="Обычный 3 12 3 2 5" xfId="1909"/>
    <cellStyle name="Обычный 3 12 3 2 5 2" xfId="5757"/>
    <cellStyle name="Обычный 3 12 3 2 6" xfId="2203"/>
    <cellStyle name="Обычный 3 12 3 2 6 2" xfId="6053"/>
    <cellStyle name="Обычный 3 12 3 2 7" xfId="2498"/>
    <cellStyle name="Обычный 3 12 3 2 7 2" xfId="6349"/>
    <cellStyle name="Обычный 3 12 3 2 8" xfId="2794"/>
    <cellStyle name="Обычный 3 12 3 2 8 2" xfId="6645"/>
    <cellStyle name="Обычный 3 12 3 2 9" xfId="3090"/>
    <cellStyle name="Обычный 3 12 3 2 9 2" xfId="6941"/>
    <cellStyle name="Обычный 3 12 3 3" xfId="1093"/>
    <cellStyle name="Обычный 3 12 3 3 2" xfId="4721"/>
    <cellStyle name="Обычный 3 12 3 4" xfId="1187"/>
    <cellStyle name="Обычный 3 12 3 4 2" xfId="5017"/>
    <cellStyle name="Обычный 3 12 3 5" xfId="1471"/>
    <cellStyle name="Обычный 3 12 3 5 2" xfId="5313"/>
    <cellStyle name="Обычный 3 12 3 6" xfId="1762"/>
    <cellStyle name="Обычный 3 12 3 6 2" xfId="5609"/>
    <cellStyle name="Обычный 3 12 3 7" xfId="2055"/>
    <cellStyle name="Обычный 3 12 3 7 2" xfId="5905"/>
    <cellStyle name="Обычный 3 12 3 8" xfId="2350"/>
    <cellStyle name="Обычный 3 12 3 8 2" xfId="6201"/>
    <cellStyle name="Обычный 3 12 3 9" xfId="2646"/>
    <cellStyle name="Обычный 3 12 3 9 2" xfId="6497"/>
    <cellStyle name="Обычный 3 12 4" xfId="324"/>
    <cellStyle name="Обычный 3 12 4 10" xfId="3288"/>
    <cellStyle name="Обычный 3 12 4 10 2" xfId="7139"/>
    <cellStyle name="Обычный 3 12 4 11" xfId="3584"/>
    <cellStyle name="Обычный 3 12 4 11 2" xfId="7435"/>
    <cellStyle name="Обычный 3 12 4 12" xfId="3880"/>
    <cellStyle name="Обычный 3 12 4 12 2" xfId="7731"/>
    <cellStyle name="Обычный 3 12 4 13" xfId="4176"/>
    <cellStyle name="Обычный 3 12 4 13 2" xfId="8027"/>
    <cellStyle name="Обычный 3 12 4 14" xfId="8376"/>
    <cellStyle name="Обычный 3 12 4 15" xfId="4475"/>
    <cellStyle name="Обычный 3 12 4 2" xfId="906"/>
    <cellStyle name="Обычный 3 12 4 2 2" xfId="8648"/>
    <cellStyle name="Обычный 3 12 4 2 3" xfId="4771"/>
    <cellStyle name="Обычный 3 12 4 3" xfId="1235"/>
    <cellStyle name="Обычный 3 12 4 3 2" xfId="5067"/>
    <cellStyle name="Обычный 3 12 4 4" xfId="1520"/>
    <cellStyle name="Обычный 3 12 4 4 2" xfId="5363"/>
    <cellStyle name="Обычный 3 12 4 5" xfId="1812"/>
    <cellStyle name="Обычный 3 12 4 5 2" xfId="5659"/>
    <cellStyle name="Обычный 3 12 4 6" xfId="2105"/>
    <cellStyle name="Обычный 3 12 4 6 2" xfId="5955"/>
    <cellStyle name="Обычный 3 12 4 7" xfId="2400"/>
    <cellStyle name="Обычный 3 12 4 7 2" xfId="6251"/>
    <cellStyle name="Обычный 3 12 4 8" xfId="2696"/>
    <cellStyle name="Обычный 3 12 4 8 2" xfId="6547"/>
    <cellStyle name="Обычный 3 12 4 9" xfId="2992"/>
    <cellStyle name="Обычный 3 12 4 9 2" xfId="6843"/>
    <cellStyle name="Обычный 3 12 5" xfId="907"/>
    <cellStyle name="Обычный 3 12 5 2" xfId="8649"/>
    <cellStyle name="Обычный 3 12 5 3" xfId="4623"/>
    <cellStyle name="Обычный 3 12 6" xfId="908"/>
    <cellStyle name="Обычный 3 12 6 2" xfId="8650"/>
    <cellStyle name="Обычный 3 12 6 3" xfId="4919"/>
    <cellStyle name="Обычный 3 12 7" xfId="1376"/>
    <cellStyle name="Обычный 3 12 7 2" xfId="5215"/>
    <cellStyle name="Обычный 3 12 8" xfId="1665"/>
    <cellStyle name="Обычный 3 12 8 2" xfId="5511"/>
    <cellStyle name="Обычный 3 12 9" xfId="1958"/>
    <cellStyle name="Обычный 3 12 9 2" xfId="5807"/>
    <cellStyle name="Обычный 3 13" xfId="73"/>
    <cellStyle name="Обычный 3 13 10" xfId="2231"/>
    <cellStyle name="Обычный 3 13 10 2" xfId="6081"/>
    <cellStyle name="Обычный 3 13 11" xfId="2526"/>
    <cellStyle name="Обычный 3 13 11 2" xfId="6377"/>
    <cellStyle name="Обычный 3 13 12" xfId="2822"/>
    <cellStyle name="Обычный 3 13 12 2" xfId="6673"/>
    <cellStyle name="Обычный 3 13 13" xfId="3118"/>
    <cellStyle name="Обычный 3 13 13 2" xfId="6969"/>
    <cellStyle name="Обычный 3 13 14" xfId="3414"/>
    <cellStyle name="Обычный 3 13 14 2" xfId="7265"/>
    <cellStyle name="Обычный 3 13 15" xfId="3710"/>
    <cellStyle name="Обычный 3 13 15 2" xfId="7561"/>
    <cellStyle name="Обычный 3 13 16" xfId="4006"/>
    <cellStyle name="Обычный 3 13 16 2" xfId="7857"/>
    <cellStyle name="Обычный 3 13 17" xfId="8153"/>
    <cellStyle name="Обычный 3 13 18" xfId="4302"/>
    <cellStyle name="Обычный 3 13 2" xfId="148"/>
    <cellStyle name="Обычный 3 13 2 10" xfId="2870"/>
    <cellStyle name="Обычный 3 13 2 10 2" xfId="6721"/>
    <cellStyle name="Обычный 3 13 2 11" xfId="3166"/>
    <cellStyle name="Обычный 3 13 2 11 2" xfId="7017"/>
    <cellStyle name="Обычный 3 13 2 12" xfId="3462"/>
    <cellStyle name="Обычный 3 13 2 12 2" xfId="7313"/>
    <cellStyle name="Обычный 3 13 2 13" xfId="3758"/>
    <cellStyle name="Обычный 3 13 2 13 2" xfId="7609"/>
    <cellStyle name="Обычный 3 13 2 14" xfId="4054"/>
    <cellStyle name="Обычный 3 13 2 14 2" xfId="7905"/>
    <cellStyle name="Обычный 3 13 2 15" xfId="8203"/>
    <cellStyle name="Обычный 3 13 2 16" xfId="4351"/>
    <cellStyle name="Обычный 3 13 2 2" xfId="251"/>
    <cellStyle name="Обычный 3 13 2 2 10" xfId="3314"/>
    <cellStyle name="Обычный 3 13 2 2 10 2" xfId="7165"/>
    <cellStyle name="Обычный 3 13 2 2 11" xfId="3610"/>
    <cellStyle name="Обычный 3 13 2 2 11 2" xfId="7461"/>
    <cellStyle name="Обычный 3 13 2 2 12" xfId="3906"/>
    <cellStyle name="Обычный 3 13 2 2 12 2" xfId="7757"/>
    <cellStyle name="Обычный 3 13 2 2 13" xfId="4202"/>
    <cellStyle name="Обычный 3 13 2 2 13 2" xfId="8053"/>
    <cellStyle name="Обычный 3 13 2 2 14" xfId="8304"/>
    <cellStyle name="Обычный 3 13 2 2 15" xfId="4501"/>
    <cellStyle name="Обычный 3 13 2 2 2" xfId="909"/>
    <cellStyle name="Обычный 3 13 2 2 2 2" xfId="8651"/>
    <cellStyle name="Обычный 3 13 2 2 2 3" xfId="4797"/>
    <cellStyle name="Обычный 3 13 2 2 3" xfId="1260"/>
    <cellStyle name="Обычный 3 13 2 2 3 2" xfId="5093"/>
    <cellStyle name="Обычный 3 13 2 2 4" xfId="1546"/>
    <cellStyle name="Обычный 3 13 2 2 4 2" xfId="5389"/>
    <cellStyle name="Обычный 3 13 2 2 5" xfId="1838"/>
    <cellStyle name="Обычный 3 13 2 2 5 2" xfId="5685"/>
    <cellStyle name="Обычный 3 13 2 2 6" xfId="2131"/>
    <cellStyle name="Обычный 3 13 2 2 6 2" xfId="5981"/>
    <cellStyle name="Обычный 3 13 2 2 7" xfId="2426"/>
    <cellStyle name="Обычный 3 13 2 2 7 2" xfId="6277"/>
    <cellStyle name="Обычный 3 13 2 2 8" xfId="2722"/>
    <cellStyle name="Обычный 3 13 2 2 8 2" xfId="6573"/>
    <cellStyle name="Обычный 3 13 2 2 9" xfId="3018"/>
    <cellStyle name="Обычный 3 13 2 2 9 2" xfId="6869"/>
    <cellStyle name="Обычный 3 13 2 3" xfId="352"/>
    <cellStyle name="Обычный 3 13 2 3 2" xfId="910"/>
    <cellStyle name="Обычный 3 13 2 3 3" xfId="8404"/>
    <cellStyle name="Обычный 3 13 2 3 4" xfId="4649"/>
    <cellStyle name="Обычный 3 13 2 4" xfId="911"/>
    <cellStyle name="Обычный 3 13 2 4 2" xfId="8652"/>
    <cellStyle name="Обычный 3 13 2 4 3" xfId="4945"/>
    <cellStyle name="Обычный 3 13 2 5" xfId="1402"/>
    <cellStyle name="Обычный 3 13 2 5 2" xfId="5241"/>
    <cellStyle name="Обычный 3 13 2 6" xfId="1691"/>
    <cellStyle name="Обычный 3 13 2 6 2" xfId="5537"/>
    <cellStyle name="Обычный 3 13 2 7" xfId="1984"/>
    <cellStyle name="Обычный 3 13 2 7 2" xfId="5833"/>
    <cellStyle name="Обычный 3 13 2 8" xfId="2278"/>
    <cellStyle name="Обычный 3 13 2 8 2" xfId="6129"/>
    <cellStyle name="Обычный 3 13 2 9" xfId="2574"/>
    <cellStyle name="Обычный 3 13 2 9 2" xfId="6425"/>
    <cellStyle name="Обычный 3 13 3" xfId="201"/>
    <cellStyle name="Обычный 3 13 3 10" xfId="2920"/>
    <cellStyle name="Обычный 3 13 3 10 2" xfId="6771"/>
    <cellStyle name="Обычный 3 13 3 11" xfId="3216"/>
    <cellStyle name="Обычный 3 13 3 11 2" xfId="7067"/>
    <cellStyle name="Обычный 3 13 3 12" xfId="3512"/>
    <cellStyle name="Обычный 3 13 3 12 2" xfId="7363"/>
    <cellStyle name="Обычный 3 13 3 13" xfId="3808"/>
    <cellStyle name="Обычный 3 13 3 13 2" xfId="7659"/>
    <cellStyle name="Обычный 3 13 3 14" xfId="4104"/>
    <cellStyle name="Обычный 3 13 3 14 2" xfId="7955"/>
    <cellStyle name="Обычный 3 13 3 15" xfId="8254"/>
    <cellStyle name="Обычный 3 13 3 16" xfId="4402"/>
    <cellStyle name="Обычный 3 13 3 2" xfId="912"/>
    <cellStyle name="Обычный 3 13 3 2 10" xfId="3364"/>
    <cellStyle name="Обычный 3 13 3 2 10 2" xfId="7215"/>
    <cellStyle name="Обычный 3 13 3 2 11" xfId="3660"/>
    <cellStyle name="Обычный 3 13 3 2 11 2" xfId="7511"/>
    <cellStyle name="Обычный 3 13 3 2 12" xfId="3956"/>
    <cellStyle name="Обычный 3 13 3 2 12 2" xfId="7807"/>
    <cellStyle name="Обычный 3 13 3 2 13" xfId="4252"/>
    <cellStyle name="Обычный 3 13 3 2 13 2" xfId="8103"/>
    <cellStyle name="Обычный 3 13 3 2 14" xfId="8653"/>
    <cellStyle name="Обычный 3 13 3 2 15" xfId="4551"/>
    <cellStyle name="Обычный 3 13 3 2 2" xfId="1119"/>
    <cellStyle name="Обычный 3 13 3 2 2 2" xfId="4847"/>
    <cellStyle name="Обычный 3 13 3 2 3" xfId="1308"/>
    <cellStyle name="Обычный 3 13 3 2 3 2" xfId="5143"/>
    <cellStyle name="Обычный 3 13 3 2 4" xfId="1595"/>
    <cellStyle name="Обычный 3 13 3 2 4 2" xfId="5439"/>
    <cellStyle name="Обычный 3 13 3 2 5" xfId="1888"/>
    <cellStyle name="Обычный 3 13 3 2 5 2" xfId="5735"/>
    <cellStyle name="Обычный 3 13 3 2 6" xfId="2181"/>
    <cellStyle name="Обычный 3 13 3 2 6 2" xfId="6031"/>
    <cellStyle name="Обычный 3 13 3 2 7" xfId="2476"/>
    <cellStyle name="Обычный 3 13 3 2 7 2" xfId="6327"/>
    <cellStyle name="Обычный 3 13 3 2 8" xfId="2772"/>
    <cellStyle name="Обычный 3 13 3 2 8 2" xfId="6623"/>
    <cellStyle name="Обычный 3 13 3 2 9" xfId="3068"/>
    <cellStyle name="Обычный 3 13 3 2 9 2" xfId="6919"/>
    <cellStyle name="Обычный 3 13 3 3" xfId="1072"/>
    <cellStyle name="Обычный 3 13 3 3 2" xfId="4699"/>
    <cellStyle name="Обычный 3 13 3 4" xfId="1166"/>
    <cellStyle name="Обычный 3 13 3 4 2" xfId="4995"/>
    <cellStyle name="Обычный 3 13 3 5" xfId="1449"/>
    <cellStyle name="Обычный 3 13 3 5 2" xfId="5291"/>
    <cellStyle name="Обычный 3 13 3 6" xfId="1740"/>
    <cellStyle name="Обычный 3 13 3 6 2" xfId="5587"/>
    <cellStyle name="Обычный 3 13 3 7" xfId="2033"/>
    <cellStyle name="Обычный 3 13 3 7 2" xfId="5883"/>
    <cellStyle name="Обычный 3 13 3 8" xfId="2328"/>
    <cellStyle name="Обычный 3 13 3 8 2" xfId="6179"/>
    <cellStyle name="Обычный 3 13 3 9" xfId="2624"/>
    <cellStyle name="Обычный 3 13 3 9 2" xfId="6475"/>
    <cellStyle name="Обычный 3 13 4" xfId="302"/>
    <cellStyle name="Обычный 3 13 4 10" xfId="3266"/>
    <cellStyle name="Обычный 3 13 4 10 2" xfId="7117"/>
    <cellStyle name="Обычный 3 13 4 11" xfId="3562"/>
    <cellStyle name="Обычный 3 13 4 11 2" xfId="7413"/>
    <cellStyle name="Обычный 3 13 4 12" xfId="3858"/>
    <cellStyle name="Обычный 3 13 4 12 2" xfId="7709"/>
    <cellStyle name="Обычный 3 13 4 13" xfId="4154"/>
    <cellStyle name="Обычный 3 13 4 13 2" xfId="8005"/>
    <cellStyle name="Обычный 3 13 4 14" xfId="8354"/>
    <cellStyle name="Обычный 3 13 4 15" xfId="4453"/>
    <cellStyle name="Обычный 3 13 4 2" xfId="913"/>
    <cellStyle name="Обычный 3 13 4 2 2" xfId="8654"/>
    <cellStyle name="Обычный 3 13 4 2 3" xfId="4749"/>
    <cellStyle name="Обычный 3 13 4 3" xfId="1213"/>
    <cellStyle name="Обычный 3 13 4 3 2" xfId="5045"/>
    <cellStyle name="Обычный 3 13 4 4" xfId="1498"/>
    <cellStyle name="Обычный 3 13 4 4 2" xfId="5341"/>
    <cellStyle name="Обычный 3 13 4 5" xfId="1790"/>
    <cellStyle name="Обычный 3 13 4 5 2" xfId="5637"/>
    <cellStyle name="Обычный 3 13 4 6" xfId="2083"/>
    <cellStyle name="Обычный 3 13 4 6 2" xfId="5933"/>
    <cellStyle name="Обычный 3 13 4 7" xfId="2378"/>
    <cellStyle name="Обычный 3 13 4 7 2" xfId="6229"/>
    <cellStyle name="Обычный 3 13 4 8" xfId="2674"/>
    <cellStyle name="Обычный 3 13 4 8 2" xfId="6525"/>
    <cellStyle name="Обычный 3 13 4 9" xfId="2970"/>
    <cellStyle name="Обычный 3 13 4 9 2" xfId="6821"/>
    <cellStyle name="Обычный 3 13 5" xfId="914"/>
    <cellStyle name="Обычный 3 13 5 2" xfId="8655"/>
    <cellStyle name="Обычный 3 13 5 3" xfId="4601"/>
    <cellStyle name="Обычный 3 13 6" xfId="915"/>
    <cellStyle name="Обычный 3 13 6 2" xfId="8656"/>
    <cellStyle name="Обычный 3 13 6 3" xfId="4897"/>
    <cellStyle name="Обычный 3 13 7" xfId="1355"/>
    <cellStyle name="Обычный 3 13 7 2" xfId="5193"/>
    <cellStyle name="Обычный 3 13 8" xfId="1644"/>
    <cellStyle name="Обычный 3 13 8 2" xfId="5489"/>
    <cellStyle name="Обычный 3 13 9" xfId="1937"/>
    <cellStyle name="Обычный 3 13 9 2" xfId="5785"/>
    <cellStyle name="Обычный 3 14" xfId="133"/>
    <cellStyle name="Обычный 3 14 10" xfId="2855"/>
    <cellStyle name="Обычный 3 14 10 2" xfId="6706"/>
    <cellStyle name="Обычный 3 14 11" xfId="3151"/>
    <cellStyle name="Обычный 3 14 11 2" xfId="7002"/>
    <cellStyle name="Обычный 3 14 12" xfId="3447"/>
    <cellStyle name="Обычный 3 14 12 2" xfId="7298"/>
    <cellStyle name="Обычный 3 14 13" xfId="3743"/>
    <cellStyle name="Обычный 3 14 13 2" xfId="7594"/>
    <cellStyle name="Обычный 3 14 14" xfId="4039"/>
    <cellStyle name="Обычный 3 14 14 2" xfId="7890"/>
    <cellStyle name="Обычный 3 14 15" xfId="8188"/>
    <cellStyle name="Обычный 3 14 16" xfId="4336"/>
    <cellStyle name="Обычный 3 14 2" xfId="236"/>
    <cellStyle name="Обычный 3 14 2 10" xfId="3299"/>
    <cellStyle name="Обычный 3 14 2 10 2" xfId="7150"/>
    <cellStyle name="Обычный 3 14 2 11" xfId="3595"/>
    <cellStyle name="Обычный 3 14 2 11 2" xfId="7446"/>
    <cellStyle name="Обычный 3 14 2 12" xfId="3891"/>
    <cellStyle name="Обычный 3 14 2 12 2" xfId="7742"/>
    <cellStyle name="Обычный 3 14 2 13" xfId="4187"/>
    <cellStyle name="Обычный 3 14 2 13 2" xfId="8038"/>
    <cellStyle name="Обычный 3 14 2 14" xfId="8289"/>
    <cellStyle name="Обычный 3 14 2 15" xfId="4486"/>
    <cellStyle name="Обычный 3 14 2 2" xfId="916"/>
    <cellStyle name="Обычный 3 14 2 2 2" xfId="8657"/>
    <cellStyle name="Обычный 3 14 2 2 3" xfId="4782"/>
    <cellStyle name="Обычный 3 14 2 3" xfId="1245"/>
    <cellStyle name="Обычный 3 14 2 3 2" xfId="5078"/>
    <cellStyle name="Обычный 3 14 2 4" xfId="1531"/>
    <cellStyle name="Обычный 3 14 2 4 2" xfId="5374"/>
    <cellStyle name="Обычный 3 14 2 5" xfId="1823"/>
    <cellStyle name="Обычный 3 14 2 5 2" xfId="5670"/>
    <cellStyle name="Обычный 3 14 2 6" xfId="2116"/>
    <cellStyle name="Обычный 3 14 2 6 2" xfId="5966"/>
    <cellStyle name="Обычный 3 14 2 7" xfId="2411"/>
    <cellStyle name="Обычный 3 14 2 7 2" xfId="6262"/>
    <cellStyle name="Обычный 3 14 2 8" xfId="2707"/>
    <cellStyle name="Обычный 3 14 2 8 2" xfId="6558"/>
    <cellStyle name="Обычный 3 14 2 9" xfId="3003"/>
    <cellStyle name="Обычный 3 14 2 9 2" xfId="6854"/>
    <cellStyle name="Обычный 3 14 3" xfId="337"/>
    <cellStyle name="Обычный 3 14 3 2" xfId="917"/>
    <cellStyle name="Обычный 3 14 3 3" xfId="8389"/>
    <cellStyle name="Обычный 3 14 3 4" xfId="4634"/>
    <cellStyle name="Обычный 3 14 4" xfId="918"/>
    <cellStyle name="Обычный 3 14 4 2" xfId="8658"/>
    <cellStyle name="Обычный 3 14 4 3" xfId="4930"/>
    <cellStyle name="Обычный 3 14 5" xfId="1387"/>
    <cellStyle name="Обычный 3 14 5 2" xfId="5226"/>
    <cellStyle name="Обычный 3 14 6" xfId="1676"/>
    <cellStyle name="Обычный 3 14 6 2" xfId="5522"/>
    <cellStyle name="Обычный 3 14 7" xfId="1969"/>
    <cellStyle name="Обычный 3 14 7 2" xfId="5818"/>
    <cellStyle name="Обычный 3 14 8" xfId="2263"/>
    <cellStyle name="Обычный 3 14 8 2" xfId="6114"/>
    <cellStyle name="Обычный 3 14 9" xfId="2559"/>
    <cellStyle name="Обычный 3 14 9 2" xfId="6410"/>
    <cellStyle name="Обычный 3 15" xfId="186"/>
    <cellStyle name="Обычный 3 15 10" xfId="2905"/>
    <cellStyle name="Обычный 3 15 10 2" xfId="6756"/>
    <cellStyle name="Обычный 3 15 11" xfId="3201"/>
    <cellStyle name="Обычный 3 15 11 2" xfId="7052"/>
    <cellStyle name="Обычный 3 15 12" xfId="3497"/>
    <cellStyle name="Обычный 3 15 12 2" xfId="7348"/>
    <cellStyle name="Обычный 3 15 13" xfId="3793"/>
    <cellStyle name="Обычный 3 15 13 2" xfId="7644"/>
    <cellStyle name="Обычный 3 15 14" xfId="4089"/>
    <cellStyle name="Обычный 3 15 14 2" xfId="7940"/>
    <cellStyle name="Обычный 3 15 15" xfId="8239"/>
    <cellStyle name="Обычный 3 15 16" xfId="4387"/>
    <cellStyle name="Обычный 3 15 2" xfId="919"/>
    <cellStyle name="Обычный 3 15 2 10" xfId="3349"/>
    <cellStyle name="Обычный 3 15 2 10 2" xfId="7200"/>
    <cellStyle name="Обычный 3 15 2 11" xfId="3645"/>
    <cellStyle name="Обычный 3 15 2 11 2" xfId="7496"/>
    <cellStyle name="Обычный 3 15 2 12" xfId="3941"/>
    <cellStyle name="Обычный 3 15 2 12 2" xfId="7792"/>
    <cellStyle name="Обычный 3 15 2 13" xfId="4237"/>
    <cellStyle name="Обычный 3 15 2 13 2" xfId="8088"/>
    <cellStyle name="Обычный 3 15 2 14" xfId="8659"/>
    <cellStyle name="Обычный 3 15 2 15" xfId="4536"/>
    <cellStyle name="Обычный 3 15 2 2" xfId="1104"/>
    <cellStyle name="Обычный 3 15 2 2 2" xfId="4832"/>
    <cellStyle name="Обычный 3 15 2 3" xfId="1293"/>
    <cellStyle name="Обычный 3 15 2 3 2" xfId="5128"/>
    <cellStyle name="Обычный 3 15 2 4" xfId="1580"/>
    <cellStyle name="Обычный 3 15 2 4 2" xfId="5424"/>
    <cellStyle name="Обычный 3 15 2 5" xfId="1873"/>
    <cellStyle name="Обычный 3 15 2 5 2" xfId="5720"/>
    <cellStyle name="Обычный 3 15 2 6" xfId="2166"/>
    <cellStyle name="Обычный 3 15 2 6 2" xfId="6016"/>
    <cellStyle name="Обычный 3 15 2 7" xfId="2461"/>
    <cellStyle name="Обычный 3 15 2 7 2" xfId="6312"/>
    <cellStyle name="Обычный 3 15 2 8" xfId="2757"/>
    <cellStyle name="Обычный 3 15 2 8 2" xfId="6608"/>
    <cellStyle name="Обычный 3 15 2 9" xfId="3053"/>
    <cellStyle name="Обычный 3 15 2 9 2" xfId="6904"/>
    <cellStyle name="Обычный 3 15 3" xfId="1057"/>
    <cellStyle name="Обычный 3 15 3 2" xfId="4684"/>
    <cellStyle name="Обычный 3 15 4" xfId="1151"/>
    <cellStyle name="Обычный 3 15 4 2" xfId="4980"/>
    <cellStyle name="Обычный 3 15 5" xfId="1434"/>
    <cellStyle name="Обычный 3 15 5 2" xfId="5276"/>
    <cellStyle name="Обычный 3 15 6" xfId="1725"/>
    <cellStyle name="Обычный 3 15 6 2" xfId="5572"/>
    <cellStyle name="Обычный 3 15 7" xfId="2018"/>
    <cellStyle name="Обычный 3 15 7 2" xfId="5868"/>
    <cellStyle name="Обычный 3 15 8" xfId="2313"/>
    <cellStyle name="Обычный 3 15 8 2" xfId="6164"/>
    <cellStyle name="Обычный 3 15 9" xfId="2609"/>
    <cellStyle name="Обычный 3 15 9 2" xfId="6460"/>
    <cellStyle name="Обычный 3 16" xfId="287"/>
    <cellStyle name="Обычный 3 16 10" xfId="3251"/>
    <cellStyle name="Обычный 3 16 10 2" xfId="7102"/>
    <cellStyle name="Обычный 3 16 11" xfId="3547"/>
    <cellStyle name="Обычный 3 16 11 2" xfId="7398"/>
    <cellStyle name="Обычный 3 16 12" xfId="3843"/>
    <cellStyle name="Обычный 3 16 12 2" xfId="7694"/>
    <cellStyle name="Обычный 3 16 13" xfId="4139"/>
    <cellStyle name="Обычный 3 16 13 2" xfId="7990"/>
    <cellStyle name="Обычный 3 16 14" xfId="8339"/>
    <cellStyle name="Обычный 3 16 15" xfId="4438"/>
    <cellStyle name="Обычный 3 16 2" xfId="920"/>
    <cellStyle name="Обычный 3 16 2 2" xfId="8660"/>
    <cellStyle name="Обычный 3 16 2 3" xfId="4734"/>
    <cellStyle name="Обычный 3 16 3" xfId="1198"/>
    <cellStyle name="Обычный 3 16 3 2" xfId="5030"/>
    <cellStyle name="Обычный 3 16 4" xfId="1483"/>
    <cellStyle name="Обычный 3 16 4 2" xfId="5326"/>
    <cellStyle name="Обычный 3 16 5" xfId="1775"/>
    <cellStyle name="Обычный 3 16 5 2" xfId="5622"/>
    <cellStyle name="Обычный 3 16 6" xfId="2068"/>
    <cellStyle name="Обычный 3 16 6 2" xfId="5918"/>
    <cellStyle name="Обычный 3 16 7" xfId="2363"/>
    <cellStyle name="Обычный 3 16 7 2" xfId="6214"/>
    <cellStyle name="Обычный 3 16 8" xfId="2659"/>
    <cellStyle name="Обычный 3 16 8 2" xfId="6510"/>
    <cellStyle name="Обычный 3 16 9" xfId="2955"/>
    <cellStyle name="Обычный 3 16 9 2" xfId="6806"/>
    <cellStyle name="Обычный 3 17" xfId="388"/>
    <cellStyle name="Обычный 3 17 2" xfId="8439"/>
    <cellStyle name="Обычный 3 17 3" xfId="4586"/>
    <cellStyle name="Обычный 3 18" xfId="921"/>
    <cellStyle name="Обычный 3 18 2" xfId="8661"/>
    <cellStyle name="Обычный 3 18 3" xfId="4882"/>
    <cellStyle name="Обычный 3 19" xfId="1341"/>
    <cellStyle name="Обычный 3 19 2" xfId="5178"/>
    <cellStyle name="Обычный 3 2" xfId="10"/>
    <cellStyle name="Обычный 3 2 10" xfId="1358"/>
    <cellStyle name="Обычный 3 2 10 2" xfId="5196"/>
    <cellStyle name="Обычный 3 2 11" xfId="1647"/>
    <cellStyle name="Обычный 3 2 11 2" xfId="5492"/>
    <cellStyle name="Обычный 3 2 12" xfId="1940"/>
    <cellStyle name="Обычный 3 2 12 2" xfId="5788"/>
    <cellStyle name="Обычный 3 2 13" xfId="2234"/>
    <cellStyle name="Обычный 3 2 13 2" xfId="6084"/>
    <cellStyle name="Обычный 3 2 14" xfId="2529"/>
    <cellStyle name="Обычный 3 2 14 2" xfId="6380"/>
    <cellStyle name="Обычный 3 2 15" xfId="2825"/>
    <cellStyle name="Обычный 3 2 15 2" xfId="6676"/>
    <cellStyle name="Обычный 3 2 16" xfId="3121"/>
    <cellStyle name="Обычный 3 2 16 2" xfId="6972"/>
    <cellStyle name="Обычный 3 2 17" xfId="3417"/>
    <cellStyle name="Обычный 3 2 17 2" xfId="7268"/>
    <cellStyle name="Обычный 3 2 18" xfId="3713"/>
    <cellStyle name="Обычный 3 2 18 2" xfId="7564"/>
    <cellStyle name="Обычный 3 2 19" xfId="4009"/>
    <cellStyle name="Обычный 3 2 19 2" xfId="7860"/>
    <cellStyle name="Обычный 3 2 2" xfId="13"/>
    <cellStyle name="Обычный 3 2 2 10" xfId="1941"/>
    <cellStyle name="Обычный 3 2 2 10 2" xfId="5789"/>
    <cellStyle name="Обычный 3 2 2 11" xfId="2235"/>
    <cellStyle name="Обычный 3 2 2 11 2" xfId="6085"/>
    <cellStyle name="Обычный 3 2 2 12" xfId="2530"/>
    <cellStyle name="Обычный 3 2 2 12 2" xfId="6381"/>
    <cellStyle name="Обычный 3 2 2 13" xfId="2826"/>
    <cellStyle name="Обычный 3 2 2 13 2" xfId="6677"/>
    <cellStyle name="Обычный 3 2 2 14" xfId="3122"/>
    <cellStyle name="Обычный 3 2 2 14 2" xfId="6973"/>
    <cellStyle name="Обычный 3 2 2 15" xfId="3418"/>
    <cellStyle name="Обычный 3 2 2 15 2" xfId="7269"/>
    <cellStyle name="Обычный 3 2 2 16" xfId="3714"/>
    <cellStyle name="Обычный 3 2 2 16 2" xfId="7565"/>
    <cellStyle name="Обычный 3 2 2 17" xfId="4010"/>
    <cellStyle name="Обычный 3 2 2 17 2" xfId="7861"/>
    <cellStyle name="Обычный 3 2 2 18" xfId="8157"/>
    <cellStyle name="Обычный 3 2 2 19" xfId="4306"/>
    <cellStyle name="Обычный 3 2 2 2" xfId="19"/>
    <cellStyle name="Обычный 3 2 2 2 10" xfId="2256"/>
    <cellStyle name="Обычный 3 2 2 2 10 2" xfId="6107"/>
    <cellStyle name="Обычный 3 2 2 2 11" xfId="2552"/>
    <cellStyle name="Обычный 3 2 2 2 11 2" xfId="6403"/>
    <cellStyle name="Обычный 3 2 2 2 12" xfId="2848"/>
    <cellStyle name="Обычный 3 2 2 2 12 2" xfId="6699"/>
    <cellStyle name="Обычный 3 2 2 2 13" xfId="3144"/>
    <cellStyle name="Обычный 3 2 2 2 13 2" xfId="6995"/>
    <cellStyle name="Обычный 3 2 2 2 14" xfId="3440"/>
    <cellStyle name="Обычный 3 2 2 2 14 2" xfId="7291"/>
    <cellStyle name="Обычный 3 2 2 2 15" xfId="3736"/>
    <cellStyle name="Обычный 3 2 2 2 15 2" xfId="7587"/>
    <cellStyle name="Обычный 3 2 2 2 16" xfId="4032"/>
    <cellStyle name="Обычный 3 2 2 2 16 2" xfId="7883"/>
    <cellStyle name="Обычный 3 2 2 2 17" xfId="8179"/>
    <cellStyle name="Обычный 3 2 2 2 18" xfId="4328"/>
    <cellStyle name="Обычный 3 2 2 2 19" xfId="121"/>
    <cellStyle name="Обычный 3 2 2 2 2" xfId="38"/>
    <cellStyle name="Обычный 3 2 2 2 2 10" xfId="2896"/>
    <cellStyle name="Обычный 3 2 2 2 2 10 2" xfId="6747"/>
    <cellStyle name="Обычный 3 2 2 2 2 11" xfId="3192"/>
    <cellStyle name="Обычный 3 2 2 2 2 11 2" xfId="7043"/>
    <cellStyle name="Обычный 3 2 2 2 2 12" xfId="3488"/>
    <cellStyle name="Обычный 3 2 2 2 2 12 2" xfId="7339"/>
    <cellStyle name="Обычный 3 2 2 2 2 13" xfId="3784"/>
    <cellStyle name="Обычный 3 2 2 2 2 13 2" xfId="7635"/>
    <cellStyle name="Обычный 3 2 2 2 2 14" xfId="4080"/>
    <cellStyle name="Обычный 3 2 2 2 2 14 2" xfId="7931"/>
    <cellStyle name="Обычный 3 2 2 2 2 15" xfId="8229"/>
    <cellStyle name="Обычный 3 2 2 2 2 16" xfId="4377"/>
    <cellStyle name="Обычный 3 2 2 2 2 17" xfId="174"/>
    <cellStyle name="Обычный 3 2 2 2 2 2" xfId="277"/>
    <cellStyle name="Обычный 3 2 2 2 2 2 10" xfId="3340"/>
    <cellStyle name="Обычный 3 2 2 2 2 2 10 2" xfId="7191"/>
    <cellStyle name="Обычный 3 2 2 2 2 2 11" xfId="3636"/>
    <cellStyle name="Обычный 3 2 2 2 2 2 11 2" xfId="7487"/>
    <cellStyle name="Обычный 3 2 2 2 2 2 12" xfId="3932"/>
    <cellStyle name="Обычный 3 2 2 2 2 2 12 2" xfId="7783"/>
    <cellStyle name="Обычный 3 2 2 2 2 2 13" xfId="4228"/>
    <cellStyle name="Обычный 3 2 2 2 2 2 13 2" xfId="8079"/>
    <cellStyle name="Обычный 3 2 2 2 2 2 14" xfId="8330"/>
    <cellStyle name="Обычный 3 2 2 2 2 2 15" xfId="4527"/>
    <cellStyle name="Обычный 3 2 2 2 2 2 2" xfId="922"/>
    <cellStyle name="Обычный 3 2 2 2 2 2 2 2" xfId="8662"/>
    <cellStyle name="Обычный 3 2 2 2 2 2 2 3" xfId="4823"/>
    <cellStyle name="Обычный 3 2 2 2 2 2 3" xfId="1285"/>
    <cellStyle name="Обычный 3 2 2 2 2 2 3 2" xfId="5119"/>
    <cellStyle name="Обычный 3 2 2 2 2 2 4" xfId="1571"/>
    <cellStyle name="Обычный 3 2 2 2 2 2 4 2" xfId="5415"/>
    <cellStyle name="Обычный 3 2 2 2 2 2 5" xfId="1864"/>
    <cellStyle name="Обычный 3 2 2 2 2 2 5 2" xfId="5711"/>
    <cellStyle name="Обычный 3 2 2 2 2 2 6" xfId="2157"/>
    <cellStyle name="Обычный 3 2 2 2 2 2 6 2" xfId="6007"/>
    <cellStyle name="Обычный 3 2 2 2 2 2 7" xfId="2452"/>
    <cellStyle name="Обычный 3 2 2 2 2 2 7 2" xfId="6303"/>
    <cellStyle name="Обычный 3 2 2 2 2 2 8" xfId="2748"/>
    <cellStyle name="Обычный 3 2 2 2 2 2 8 2" xfId="6599"/>
    <cellStyle name="Обычный 3 2 2 2 2 2 9" xfId="3044"/>
    <cellStyle name="Обычный 3 2 2 2 2 2 9 2" xfId="6895"/>
    <cellStyle name="Обычный 3 2 2 2 2 3" xfId="378"/>
    <cellStyle name="Обычный 3 2 2 2 2 3 2" xfId="923"/>
    <cellStyle name="Обычный 3 2 2 2 2 3 3" xfId="8430"/>
    <cellStyle name="Обычный 3 2 2 2 2 3 4" xfId="4675"/>
    <cellStyle name="Обычный 3 2 2 2 2 4" xfId="924"/>
    <cellStyle name="Обычный 3 2 2 2 2 4 2" xfId="8663"/>
    <cellStyle name="Обычный 3 2 2 2 2 4 3" xfId="4971"/>
    <cellStyle name="Обычный 3 2 2 2 2 5" xfId="1427"/>
    <cellStyle name="Обычный 3 2 2 2 2 5 2" xfId="5267"/>
    <cellStyle name="Обычный 3 2 2 2 2 6" xfId="1717"/>
    <cellStyle name="Обычный 3 2 2 2 2 6 2" xfId="5563"/>
    <cellStyle name="Обычный 3 2 2 2 2 7" xfId="2009"/>
    <cellStyle name="Обычный 3 2 2 2 2 7 2" xfId="5859"/>
    <cellStyle name="Обычный 3 2 2 2 2 8" xfId="2304"/>
    <cellStyle name="Обычный 3 2 2 2 2 8 2" xfId="6155"/>
    <cellStyle name="Обычный 3 2 2 2 2 9" xfId="2600"/>
    <cellStyle name="Обычный 3 2 2 2 2 9 2" xfId="6451"/>
    <cellStyle name="Обычный 3 2 2 2 3" xfId="227"/>
    <cellStyle name="Обычный 3 2 2 2 3 10" xfId="2946"/>
    <cellStyle name="Обычный 3 2 2 2 3 10 2" xfId="6797"/>
    <cellStyle name="Обычный 3 2 2 2 3 11" xfId="3242"/>
    <cellStyle name="Обычный 3 2 2 2 3 11 2" xfId="7093"/>
    <cellStyle name="Обычный 3 2 2 2 3 12" xfId="3538"/>
    <cellStyle name="Обычный 3 2 2 2 3 12 2" xfId="7389"/>
    <cellStyle name="Обычный 3 2 2 2 3 13" xfId="3834"/>
    <cellStyle name="Обычный 3 2 2 2 3 13 2" xfId="7685"/>
    <cellStyle name="Обычный 3 2 2 2 3 14" xfId="4130"/>
    <cellStyle name="Обычный 3 2 2 2 3 14 2" xfId="7981"/>
    <cellStyle name="Обычный 3 2 2 2 3 15" xfId="8280"/>
    <cellStyle name="Обычный 3 2 2 2 3 16" xfId="4428"/>
    <cellStyle name="Обычный 3 2 2 2 3 2" xfId="925"/>
    <cellStyle name="Обычный 3 2 2 2 3 2 10" xfId="3390"/>
    <cellStyle name="Обычный 3 2 2 2 3 2 10 2" xfId="7241"/>
    <cellStyle name="Обычный 3 2 2 2 3 2 11" xfId="3686"/>
    <cellStyle name="Обычный 3 2 2 2 3 2 11 2" xfId="7537"/>
    <cellStyle name="Обычный 3 2 2 2 3 2 12" xfId="3982"/>
    <cellStyle name="Обычный 3 2 2 2 3 2 12 2" xfId="7833"/>
    <cellStyle name="Обычный 3 2 2 2 3 2 13" xfId="4278"/>
    <cellStyle name="Обычный 3 2 2 2 3 2 13 2" xfId="8129"/>
    <cellStyle name="Обычный 3 2 2 2 3 2 14" xfId="8664"/>
    <cellStyle name="Обычный 3 2 2 2 3 2 15" xfId="4577"/>
    <cellStyle name="Обычный 3 2 2 2 3 2 2" xfId="1144"/>
    <cellStyle name="Обычный 3 2 2 2 3 2 2 2" xfId="4873"/>
    <cellStyle name="Обычный 3 2 2 2 3 2 3" xfId="1333"/>
    <cellStyle name="Обычный 3 2 2 2 3 2 3 2" xfId="5169"/>
    <cellStyle name="Обычный 3 2 2 2 3 2 4" xfId="1620"/>
    <cellStyle name="Обычный 3 2 2 2 3 2 4 2" xfId="5465"/>
    <cellStyle name="Обычный 3 2 2 2 3 2 5" xfId="1913"/>
    <cellStyle name="Обычный 3 2 2 2 3 2 5 2" xfId="5761"/>
    <cellStyle name="Обычный 3 2 2 2 3 2 6" xfId="2207"/>
    <cellStyle name="Обычный 3 2 2 2 3 2 6 2" xfId="6057"/>
    <cellStyle name="Обычный 3 2 2 2 3 2 7" xfId="2502"/>
    <cellStyle name="Обычный 3 2 2 2 3 2 7 2" xfId="6353"/>
    <cellStyle name="Обычный 3 2 2 2 3 2 8" xfId="2798"/>
    <cellStyle name="Обычный 3 2 2 2 3 2 8 2" xfId="6649"/>
    <cellStyle name="Обычный 3 2 2 2 3 2 9" xfId="3094"/>
    <cellStyle name="Обычный 3 2 2 2 3 2 9 2" xfId="6945"/>
    <cellStyle name="Обычный 3 2 2 2 3 3" xfId="1097"/>
    <cellStyle name="Обычный 3 2 2 2 3 3 2" xfId="4725"/>
    <cellStyle name="Обычный 3 2 2 2 3 4" xfId="1191"/>
    <cellStyle name="Обычный 3 2 2 2 3 4 2" xfId="5021"/>
    <cellStyle name="Обычный 3 2 2 2 3 5" xfId="1475"/>
    <cellStyle name="Обычный 3 2 2 2 3 5 2" xfId="5317"/>
    <cellStyle name="Обычный 3 2 2 2 3 6" xfId="1766"/>
    <cellStyle name="Обычный 3 2 2 2 3 6 2" xfId="5613"/>
    <cellStyle name="Обычный 3 2 2 2 3 7" xfId="2059"/>
    <cellStyle name="Обычный 3 2 2 2 3 7 2" xfId="5909"/>
    <cellStyle name="Обычный 3 2 2 2 3 8" xfId="2354"/>
    <cellStyle name="Обычный 3 2 2 2 3 8 2" xfId="6205"/>
    <cellStyle name="Обычный 3 2 2 2 3 9" xfId="2650"/>
    <cellStyle name="Обычный 3 2 2 2 3 9 2" xfId="6501"/>
    <cellStyle name="Обычный 3 2 2 2 4" xfId="328"/>
    <cellStyle name="Обычный 3 2 2 2 4 10" xfId="3292"/>
    <cellStyle name="Обычный 3 2 2 2 4 10 2" xfId="7143"/>
    <cellStyle name="Обычный 3 2 2 2 4 11" xfId="3588"/>
    <cellStyle name="Обычный 3 2 2 2 4 11 2" xfId="7439"/>
    <cellStyle name="Обычный 3 2 2 2 4 12" xfId="3884"/>
    <cellStyle name="Обычный 3 2 2 2 4 12 2" xfId="7735"/>
    <cellStyle name="Обычный 3 2 2 2 4 13" xfId="4180"/>
    <cellStyle name="Обычный 3 2 2 2 4 13 2" xfId="8031"/>
    <cellStyle name="Обычный 3 2 2 2 4 14" xfId="8380"/>
    <cellStyle name="Обычный 3 2 2 2 4 15" xfId="4479"/>
    <cellStyle name="Обычный 3 2 2 2 4 2" xfId="926"/>
    <cellStyle name="Обычный 3 2 2 2 4 2 2" xfId="8665"/>
    <cellStyle name="Обычный 3 2 2 2 4 2 3" xfId="4775"/>
    <cellStyle name="Обычный 3 2 2 2 4 3" xfId="1239"/>
    <cellStyle name="Обычный 3 2 2 2 4 3 2" xfId="5071"/>
    <cellStyle name="Обычный 3 2 2 2 4 4" xfId="1524"/>
    <cellStyle name="Обычный 3 2 2 2 4 4 2" xfId="5367"/>
    <cellStyle name="Обычный 3 2 2 2 4 5" xfId="1816"/>
    <cellStyle name="Обычный 3 2 2 2 4 5 2" xfId="5663"/>
    <cellStyle name="Обычный 3 2 2 2 4 6" xfId="2109"/>
    <cellStyle name="Обычный 3 2 2 2 4 6 2" xfId="5959"/>
    <cellStyle name="Обычный 3 2 2 2 4 7" xfId="2404"/>
    <cellStyle name="Обычный 3 2 2 2 4 7 2" xfId="6255"/>
    <cellStyle name="Обычный 3 2 2 2 4 8" xfId="2700"/>
    <cellStyle name="Обычный 3 2 2 2 4 8 2" xfId="6551"/>
    <cellStyle name="Обычный 3 2 2 2 4 9" xfId="2996"/>
    <cellStyle name="Обычный 3 2 2 2 4 9 2" xfId="6847"/>
    <cellStyle name="Обычный 3 2 2 2 5" xfId="927"/>
    <cellStyle name="Обычный 3 2 2 2 5 2" xfId="8666"/>
    <cellStyle name="Обычный 3 2 2 2 5 3" xfId="4627"/>
    <cellStyle name="Обычный 3 2 2 2 6" xfId="928"/>
    <cellStyle name="Обычный 3 2 2 2 6 2" xfId="8667"/>
    <cellStyle name="Обычный 3 2 2 2 6 3" xfId="4923"/>
    <cellStyle name="Обычный 3 2 2 2 7" xfId="1380"/>
    <cellStyle name="Обычный 3 2 2 2 7 2" xfId="5219"/>
    <cellStyle name="Обычный 3 2 2 2 8" xfId="1669"/>
    <cellStyle name="Обычный 3 2 2 2 8 2" xfId="5515"/>
    <cellStyle name="Обычный 3 2 2 2 9" xfId="1962"/>
    <cellStyle name="Обычный 3 2 2 2 9 2" xfId="5811"/>
    <cellStyle name="Обычный 3 2 2 20" xfId="77"/>
    <cellStyle name="Обычный 3 2 2 3" xfId="25"/>
    <cellStyle name="Обычный 3 2 2 3 10" xfId="2874"/>
    <cellStyle name="Обычный 3 2 2 3 10 2" xfId="6725"/>
    <cellStyle name="Обычный 3 2 2 3 11" xfId="3170"/>
    <cellStyle name="Обычный 3 2 2 3 11 2" xfId="7021"/>
    <cellStyle name="Обычный 3 2 2 3 12" xfId="3466"/>
    <cellStyle name="Обычный 3 2 2 3 12 2" xfId="7317"/>
    <cellStyle name="Обычный 3 2 2 3 13" xfId="3762"/>
    <cellStyle name="Обычный 3 2 2 3 13 2" xfId="7613"/>
    <cellStyle name="Обычный 3 2 2 3 14" xfId="4058"/>
    <cellStyle name="Обычный 3 2 2 3 14 2" xfId="7909"/>
    <cellStyle name="Обычный 3 2 2 3 15" xfId="8207"/>
    <cellStyle name="Обычный 3 2 2 3 16" xfId="4355"/>
    <cellStyle name="Обычный 3 2 2 3 17" xfId="152"/>
    <cellStyle name="Обычный 3 2 2 3 2" xfId="44"/>
    <cellStyle name="Обычный 3 2 2 3 2 10" xfId="3318"/>
    <cellStyle name="Обычный 3 2 2 3 2 10 2" xfId="7169"/>
    <cellStyle name="Обычный 3 2 2 3 2 11" xfId="3614"/>
    <cellStyle name="Обычный 3 2 2 3 2 11 2" xfId="7465"/>
    <cellStyle name="Обычный 3 2 2 3 2 12" xfId="3910"/>
    <cellStyle name="Обычный 3 2 2 3 2 12 2" xfId="7761"/>
    <cellStyle name="Обычный 3 2 2 3 2 13" xfId="4206"/>
    <cellStyle name="Обычный 3 2 2 3 2 13 2" xfId="8057"/>
    <cellStyle name="Обычный 3 2 2 3 2 14" xfId="8308"/>
    <cellStyle name="Обычный 3 2 2 3 2 15" xfId="4505"/>
    <cellStyle name="Обычный 3 2 2 3 2 16" xfId="255"/>
    <cellStyle name="Обычный 3 2 2 3 2 2" xfId="929"/>
    <cellStyle name="Обычный 3 2 2 3 2 2 2" xfId="8668"/>
    <cellStyle name="Обычный 3 2 2 3 2 2 3" xfId="4801"/>
    <cellStyle name="Обычный 3 2 2 3 2 3" xfId="1264"/>
    <cellStyle name="Обычный 3 2 2 3 2 3 2" xfId="5097"/>
    <cellStyle name="Обычный 3 2 2 3 2 4" xfId="1550"/>
    <cellStyle name="Обычный 3 2 2 3 2 4 2" xfId="5393"/>
    <cellStyle name="Обычный 3 2 2 3 2 5" xfId="1842"/>
    <cellStyle name="Обычный 3 2 2 3 2 5 2" xfId="5689"/>
    <cellStyle name="Обычный 3 2 2 3 2 6" xfId="2135"/>
    <cellStyle name="Обычный 3 2 2 3 2 6 2" xfId="5985"/>
    <cellStyle name="Обычный 3 2 2 3 2 7" xfId="2430"/>
    <cellStyle name="Обычный 3 2 2 3 2 7 2" xfId="6281"/>
    <cellStyle name="Обычный 3 2 2 3 2 8" xfId="2726"/>
    <cellStyle name="Обычный 3 2 2 3 2 8 2" xfId="6577"/>
    <cellStyle name="Обычный 3 2 2 3 2 9" xfId="3022"/>
    <cellStyle name="Обычный 3 2 2 3 2 9 2" xfId="6873"/>
    <cellStyle name="Обычный 3 2 2 3 3" xfId="356"/>
    <cellStyle name="Обычный 3 2 2 3 3 2" xfId="930"/>
    <cellStyle name="Обычный 3 2 2 3 3 3" xfId="8408"/>
    <cellStyle name="Обычный 3 2 2 3 3 4" xfId="4653"/>
    <cellStyle name="Обычный 3 2 2 3 4" xfId="931"/>
    <cellStyle name="Обычный 3 2 2 3 4 2" xfId="8669"/>
    <cellStyle name="Обычный 3 2 2 3 4 3" xfId="4949"/>
    <cellStyle name="Обычный 3 2 2 3 5" xfId="1406"/>
    <cellStyle name="Обычный 3 2 2 3 5 2" xfId="5245"/>
    <cellStyle name="Обычный 3 2 2 3 6" xfId="1695"/>
    <cellStyle name="Обычный 3 2 2 3 6 2" xfId="5541"/>
    <cellStyle name="Обычный 3 2 2 3 7" xfId="1988"/>
    <cellStyle name="Обычный 3 2 2 3 7 2" xfId="5837"/>
    <cellStyle name="Обычный 3 2 2 3 8" xfId="2282"/>
    <cellStyle name="Обычный 3 2 2 3 8 2" xfId="6133"/>
    <cellStyle name="Обычный 3 2 2 3 9" xfId="2578"/>
    <cellStyle name="Обычный 3 2 2 3 9 2" xfId="6429"/>
    <cellStyle name="Обычный 3 2 2 4" xfId="32"/>
    <cellStyle name="Обычный 3 2 2 4 10" xfId="2924"/>
    <cellStyle name="Обычный 3 2 2 4 10 2" xfId="6775"/>
    <cellStyle name="Обычный 3 2 2 4 11" xfId="3220"/>
    <cellStyle name="Обычный 3 2 2 4 11 2" xfId="7071"/>
    <cellStyle name="Обычный 3 2 2 4 12" xfId="3516"/>
    <cellStyle name="Обычный 3 2 2 4 12 2" xfId="7367"/>
    <cellStyle name="Обычный 3 2 2 4 13" xfId="3812"/>
    <cellStyle name="Обычный 3 2 2 4 13 2" xfId="7663"/>
    <cellStyle name="Обычный 3 2 2 4 14" xfId="4108"/>
    <cellStyle name="Обычный 3 2 2 4 14 2" xfId="7959"/>
    <cellStyle name="Обычный 3 2 2 4 15" xfId="8258"/>
    <cellStyle name="Обычный 3 2 2 4 16" xfId="4406"/>
    <cellStyle name="Обычный 3 2 2 4 17" xfId="205"/>
    <cellStyle name="Обычный 3 2 2 4 2" xfId="932"/>
    <cellStyle name="Обычный 3 2 2 4 2 10" xfId="3368"/>
    <cellStyle name="Обычный 3 2 2 4 2 10 2" xfId="7219"/>
    <cellStyle name="Обычный 3 2 2 4 2 11" xfId="3664"/>
    <cellStyle name="Обычный 3 2 2 4 2 11 2" xfId="7515"/>
    <cellStyle name="Обычный 3 2 2 4 2 12" xfId="3960"/>
    <cellStyle name="Обычный 3 2 2 4 2 12 2" xfId="7811"/>
    <cellStyle name="Обычный 3 2 2 4 2 13" xfId="4256"/>
    <cellStyle name="Обычный 3 2 2 4 2 13 2" xfId="8107"/>
    <cellStyle name="Обычный 3 2 2 4 2 14" xfId="8670"/>
    <cellStyle name="Обычный 3 2 2 4 2 15" xfId="4555"/>
    <cellStyle name="Обычный 3 2 2 4 2 2" xfId="1123"/>
    <cellStyle name="Обычный 3 2 2 4 2 2 2" xfId="4851"/>
    <cellStyle name="Обычный 3 2 2 4 2 3" xfId="1312"/>
    <cellStyle name="Обычный 3 2 2 4 2 3 2" xfId="5147"/>
    <cellStyle name="Обычный 3 2 2 4 2 4" xfId="1599"/>
    <cellStyle name="Обычный 3 2 2 4 2 4 2" xfId="5443"/>
    <cellStyle name="Обычный 3 2 2 4 2 5" xfId="1892"/>
    <cellStyle name="Обычный 3 2 2 4 2 5 2" xfId="5739"/>
    <cellStyle name="Обычный 3 2 2 4 2 6" xfId="2185"/>
    <cellStyle name="Обычный 3 2 2 4 2 6 2" xfId="6035"/>
    <cellStyle name="Обычный 3 2 2 4 2 7" xfId="2480"/>
    <cellStyle name="Обычный 3 2 2 4 2 7 2" xfId="6331"/>
    <cellStyle name="Обычный 3 2 2 4 2 8" xfId="2776"/>
    <cellStyle name="Обычный 3 2 2 4 2 8 2" xfId="6627"/>
    <cellStyle name="Обычный 3 2 2 4 2 9" xfId="3072"/>
    <cellStyle name="Обычный 3 2 2 4 2 9 2" xfId="6923"/>
    <cellStyle name="Обычный 3 2 2 4 3" xfId="1076"/>
    <cellStyle name="Обычный 3 2 2 4 3 2" xfId="4703"/>
    <cellStyle name="Обычный 3 2 2 4 4" xfId="1170"/>
    <cellStyle name="Обычный 3 2 2 4 4 2" xfId="4999"/>
    <cellStyle name="Обычный 3 2 2 4 5" xfId="1453"/>
    <cellStyle name="Обычный 3 2 2 4 5 2" xfId="5295"/>
    <cellStyle name="Обычный 3 2 2 4 6" xfId="1744"/>
    <cellStyle name="Обычный 3 2 2 4 6 2" xfId="5591"/>
    <cellStyle name="Обычный 3 2 2 4 7" xfId="2037"/>
    <cellStyle name="Обычный 3 2 2 4 7 2" xfId="5887"/>
    <cellStyle name="Обычный 3 2 2 4 8" xfId="2332"/>
    <cellStyle name="Обычный 3 2 2 4 8 2" xfId="6183"/>
    <cellStyle name="Обычный 3 2 2 4 9" xfId="2628"/>
    <cellStyle name="Обычный 3 2 2 4 9 2" xfId="6479"/>
    <cellStyle name="Обычный 3 2 2 5" xfId="306"/>
    <cellStyle name="Обычный 3 2 2 5 10" xfId="3270"/>
    <cellStyle name="Обычный 3 2 2 5 10 2" xfId="7121"/>
    <cellStyle name="Обычный 3 2 2 5 11" xfId="3566"/>
    <cellStyle name="Обычный 3 2 2 5 11 2" xfId="7417"/>
    <cellStyle name="Обычный 3 2 2 5 12" xfId="3862"/>
    <cellStyle name="Обычный 3 2 2 5 12 2" xfId="7713"/>
    <cellStyle name="Обычный 3 2 2 5 13" xfId="4158"/>
    <cellStyle name="Обычный 3 2 2 5 13 2" xfId="8009"/>
    <cellStyle name="Обычный 3 2 2 5 14" xfId="8358"/>
    <cellStyle name="Обычный 3 2 2 5 15" xfId="4457"/>
    <cellStyle name="Обычный 3 2 2 5 2" xfId="933"/>
    <cellStyle name="Обычный 3 2 2 5 2 2" xfId="8671"/>
    <cellStyle name="Обычный 3 2 2 5 2 3" xfId="4753"/>
    <cellStyle name="Обычный 3 2 2 5 3" xfId="1217"/>
    <cellStyle name="Обычный 3 2 2 5 3 2" xfId="5049"/>
    <cellStyle name="Обычный 3 2 2 5 4" xfId="1502"/>
    <cellStyle name="Обычный 3 2 2 5 4 2" xfId="5345"/>
    <cellStyle name="Обычный 3 2 2 5 5" xfId="1794"/>
    <cellStyle name="Обычный 3 2 2 5 5 2" xfId="5641"/>
    <cellStyle name="Обычный 3 2 2 5 6" xfId="2087"/>
    <cellStyle name="Обычный 3 2 2 5 6 2" xfId="5937"/>
    <cellStyle name="Обычный 3 2 2 5 7" xfId="2382"/>
    <cellStyle name="Обычный 3 2 2 5 7 2" xfId="6233"/>
    <cellStyle name="Обычный 3 2 2 5 8" xfId="2678"/>
    <cellStyle name="Обычный 3 2 2 5 8 2" xfId="6529"/>
    <cellStyle name="Обычный 3 2 2 5 9" xfId="2974"/>
    <cellStyle name="Обычный 3 2 2 5 9 2" xfId="6825"/>
    <cellStyle name="Обычный 3 2 2 6" xfId="649"/>
    <cellStyle name="Обычный 3 2 2 6 2" xfId="8473"/>
    <cellStyle name="Обычный 3 2 2 6 3" xfId="4605"/>
    <cellStyle name="Обычный 3 2 2 7" xfId="934"/>
    <cellStyle name="Обычный 3 2 2 7 2" xfId="8672"/>
    <cellStyle name="Обычный 3 2 2 7 3" xfId="4901"/>
    <cellStyle name="Обычный 3 2 2 8" xfId="1359"/>
    <cellStyle name="Обычный 3 2 2 8 2" xfId="5197"/>
    <cellStyle name="Обычный 3 2 2 9" xfId="1648"/>
    <cellStyle name="Обычный 3 2 2 9 2" xfId="5493"/>
    <cellStyle name="Обычный 3 2 20" xfId="8156"/>
    <cellStyle name="Обычный 3 2 21" xfId="4305"/>
    <cellStyle name="Обычный 3 2 22" xfId="76"/>
    <cellStyle name="Обычный 3 2 3" xfId="16"/>
    <cellStyle name="Обычный 3 2 3 10" xfId="1942"/>
    <cellStyle name="Обычный 3 2 3 10 2" xfId="5790"/>
    <cellStyle name="Обычный 3 2 3 11" xfId="2236"/>
    <cellStyle name="Обычный 3 2 3 11 2" xfId="6086"/>
    <cellStyle name="Обычный 3 2 3 12" xfId="2531"/>
    <cellStyle name="Обычный 3 2 3 12 2" xfId="6382"/>
    <cellStyle name="Обычный 3 2 3 13" xfId="2827"/>
    <cellStyle name="Обычный 3 2 3 13 2" xfId="6678"/>
    <cellStyle name="Обычный 3 2 3 14" xfId="3123"/>
    <cellStyle name="Обычный 3 2 3 14 2" xfId="6974"/>
    <cellStyle name="Обычный 3 2 3 15" xfId="3419"/>
    <cellStyle name="Обычный 3 2 3 15 2" xfId="7270"/>
    <cellStyle name="Обычный 3 2 3 16" xfId="3715"/>
    <cellStyle name="Обычный 3 2 3 16 2" xfId="7566"/>
    <cellStyle name="Обычный 3 2 3 17" xfId="4011"/>
    <cellStyle name="Обычный 3 2 3 17 2" xfId="7862"/>
    <cellStyle name="Обычный 3 2 3 18" xfId="8158"/>
    <cellStyle name="Обычный 3 2 3 19" xfId="4307"/>
    <cellStyle name="Обычный 3 2 3 2" xfId="35"/>
    <cellStyle name="Обычный 3 2 3 2 10" xfId="1963"/>
    <cellStyle name="Обычный 3 2 3 2 10 2" xfId="5812"/>
    <cellStyle name="Обычный 3 2 3 2 11" xfId="2257"/>
    <cellStyle name="Обычный 3 2 3 2 11 2" xfId="6108"/>
    <cellStyle name="Обычный 3 2 3 2 12" xfId="2553"/>
    <cellStyle name="Обычный 3 2 3 2 12 2" xfId="6404"/>
    <cellStyle name="Обычный 3 2 3 2 13" xfId="2849"/>
    <cellStyle name="Обычный 3 2 3 2 13 2" xfId="6700"/>
    <cellStyle name="Обычный 3 2 3 2 14" xfId="3145"/>
    <cellStyle name="Обычный 3 2 3 2 14 2" xfId="6996"/>
    <cellStyle name="Обычный 3 2 3 2 15" xfId="3441"/>
    <cellStyle name="Обычный 3 2 3 2 15 2" xfId="7292"/>
    <cellStyle name="Обычный 3 2 3 2 16" xfId="3737"/>
    <cellStyle name="Обычный 3 2 3 2 16 2" xfId="7588"/>
    <cellStyle name="Обычный 3 2 3 2 17" xfId="4033"/>
    <cellStyle name="Обычный 3 2 3 2 17 2" xfId="7884"/>
    <cellStyle name="Обычный 3 2 3 2 18" xfId="8180"/>
    <cellStyle name="Обычный 3 2 3 2 19" xfId="4329"/>
    <cellStyle name="Обычный 3 2 3 2 2" xfId="132"/>
    <cellStyle name="Обычный 3 2 3 2 20" xfId="122"/>
    <cellStyle name="Обычный 3 2 3 2 3" xfId="175"/>
    <cellStyle name="Обычный 3 2 3 2 3 10" xfId="2897"/>
    <cellStyle name="Обычный 3 2 3 2 3 10 2" xfId="6748"/>
    <cellStyle name="Обычный 3 2 3 2 3 11" xfId="3193"/>
    <cellStyle name="Обычный 3 2 3 2 3 11 2" xfId="7044"/>
    <cellStyle name="Обычный 3 2 3 2 3 12" xfId="3489"/>
    <cellStyle name="Обычный 3 2 3 2 3 12 2" xfId="7340"/>
    <cellStyle name="Обычный 3 2 3 2 3 13" xfId="3785"/>
    <cellStyle name="Обычный 3 2 3 2 3 13 2" xfId="7636"/>
    <cellStyle name="Обычный 3 2 3 2 3 14" xfId="4081"/>
    <cellStyle name="Обычный 3 2 3 2 3 14 2" xfId="7932"/>
    <cellStyle name="Обычный 3 2 3 2 3 15" xfId="8230"/>
    <cellStyle name="Обычный 3 2 3 2 3 16" xfId="4378"/>
    <cellStyle name="Обычный 3 2 3 2 3 2" xfId="278"/>
    <cellStyle name="Обычный 3 2 3 2 3 2 10" xfId="3341"/>
    <cellStyle name="Обычный 3 2 3 2 3 2 10 2" xfId="7192"/>
    <cellStyle name="Обычный 3 2 3 2 3 2 11" xfId="3637"/>
    <cellStyle name="Обычный 3 2 3 2 3 2 11 2" xfId="7488"/>
    <cellStyle name="Обычный 3 2 3 2 3 2 12" xfId="3933"/>
    <cellStyle name="Обычный 3 2 3 2 3 2 12 2" xfId="7784"/>
    <cellStyle name="Обычный 3 2 3 2 3 2 13" xfId="4229"/>
    <cellStyle name="Обычный 3 2 3 2 3 2 13 2" xfId="8080"/>
    <cellStyle name="Обычный 3 2 3 2 3 2 14" xfId="8331"/>
    <cellStyle name="Обычный 3 2 3 2 3 2 15" xfId="4528"/>
    <cellStyle name="Обычный 3 2 3 2 3 2 2" xfId="935"/>
    <cellStyle name="Обычный 3 2 3 2 3 2 2 2" xfId="8673"/>
    <cellStyle name="Обычный 3 2 3 2 3 2 2 3" xfId="4824"/>
    <cellStyle name="Обычный 3 2 3 2 3 2 3" xfId="1286"/>
    <cellStyle name="Обычный 3 2 3 2 3 2 3 2" xfId="5120"/>
    <cellStyle name="Обычный 3 2 3 2 3 2 4" xfId="1572"/>
    <cellStyle name="Обычный 3 2 3 2 3 2 4 2" xfId="5416"/>
    <cellStyle name="Обычный 3 2 3 2 3 2 5" xfId="1865"/>
    <cellStyle name="Обычный 3 2 3 2 3 2 5 2" xfId="5712"/>
    <cellStyle name="Обычный 3 2 3 2 3 2 6" xfId="2158"/>
    <cellStyle name="Обычный 3 2 3 2 3 2 6 2" xfId="6008"/>
    <cellStyle name="Обычный 3 2 3 2 3 2 7" xfId="2453"/>
    <cellStyle name="Обычный 3 2 3 2 3 2 7 2" xfId="6304"/>
    <cellStyle name="Обычный 3 2 3 2 3 2 8" xfId="2749"/>
    <cellStyle name="Обычный 3 2 3 2 3 2 8 2" xfId="6600"/>
    <cellStyle name="Обычный 3 2 3 2 3 2 9" xfId="3045"/>
    <cellStyle name="Обычный 3 2 3 2 3 2 9 2" xfId="6896"/>
    <cellStyle name="Обычный 3 2 3 2 3 3" xfId="379"/>
    <cellStyle name="Обычный 3 2 3 2 3 3 2" xfId="936"/>
    <cellStyle name="Обычный 3 2 3 2 3 3 3" xfId="8431"/>
    <cellStyle name="Обычный 3 2 3 2 3 3 4" xfId="4676"/>
    <cellStyle name="Обычный 3 2 3 2 3 4" xfId="937"/>
    <cellStyle name="Обычный 3 2 3 2 3 4 2" xfId="8674"/>
    <cellStyle name="Обычный 3 2 3 2 3 4 3" xfId="4972"/>
    <cellStyle name="Обычный 3 2 3 2 3 5" xfId="1428"/>
    <cellStyle name="Обычный 3 2 3 2 3 5 2" xfId="5268"/>
    <cellStyle name="Обычный 3 2 3 2 3 6" xfId="1718"/>
    <cellStyle name="Обычный 3 2 3 2 3 6 2" xfId="5564"/>
    <cellStyle name="Обычный 3 2 3 2 3 7" xfId="2010"/>
    <cellStyle name="Обычный 3 2 3 2 3 7 2" xfId="5860"/>
    <cellStyle name="Обычный 3 2 3 2 3 8" xfId="2305"/>
    <cellStyle name="Обычный 3 2 3 2 3 8 2" xfId="6156"/>
    <cellStyle name="Обычный 3 2 3 2 3 9" xfId="2601"/>
    <cellStyle name="Обычный 3 2 3 2 3 9 2" xfId="6452"/>
    <cellStyle name="Обычный 3 2 3 2 4" xfId="228"/>
    <cellStyle name="Обычный 3 2 3 2 4 10" xfId="2947"/>
    <cellStyle name="Обычный 3 2 3 2 4 10 2" xfId="6798"/>
    <cellStyle name="Обычный 3 2 3 2 4 11" xfId="3243"/>
    <cellStyle name="Обычный 3 2 3 2 4 11 2" xfId="7094"/>
    <cellStyle name="Обычный 3 2 3 2 4 12" xfId="3539"/>
    <cellStyle name="Обычный 3 2 3 2 4 12 2" xfId="7390"/>
    <cellStyle name="Обычный 3 2 3 2 4 13" xfId="3835"/>
    <cellStyle name="Обычный 3 2 3 2 4 13 2" xfId="7686"/>
    <cellStyle name="Обычный 3 2 3 2 4 14" xfId="4131"/>
    <cellStyle name="Обычный 3 2 3 2 4 14 2" xfId="7982"/>
    <cellStyle name="Обычный 3 2 3 2 4 15" xfId="8281"/>
    <cellStyle name="Обычный 3 2 3 2 4 16" xfId="4429"/>
    <cellStyle name="Обычный 3 2 3 2 4 2" xfId="938"/>
    <cellStyle name="Обычный 3 2 3 2 4 2 10" xfId="3391"/>
    <cellStyle name="Обычный 3 2 3 2 4 2 10 2" xfId="7242"/>
    <cellStyle name="Обычный 3 2 3 2 4 2 11" xfId="3687"/>
    <cellStyle name="Обычный 3 2 3 2 4 2 11 2" xfId="7538"/>
    <cellStyle name="Обычный 3 2 3 2 4 2 12" xfId="3983"/>
    <cellStyle name="Обычный 3 2 3 2 4 2 12 2" xfId="7834"/>
    <cellStyle name="Обычный 3 2 3 2 4 2 13" xfId="4279"/>
    <cellStyle name="Обычный 3 2 3 2 4 2 13 2" xfId="8130"/>
    <cellStyle name="Обычный 3 2 3 2 4 2 14" xfId="8675"/>
    <cellStyle name="Обычный 3 2 3 2 4 2 15" xfId="4578"/>
    <cellStyle name="Обычный 3 2 3 2 4 2 2" xfId="1145"/>
    <cellStyle name="Обычный 3 2 3 2 4 2 2 2" xfId="4874"/>
    <cellStyle name="Обычный 3 2 3 2 4 2 3" xfId="1334"/>
    <cellStyle name="Обычный 3 2 3 2 4 2 3 2" xfId="5170"/>
    <cellStyle name="Обычный 3 2 3 2 4 2 4" xfId="1621"/>
    <cellStyle name="Обычный 3 2 3 2 4 2 4 2" xfId="5466"/>
    <cellStyle name="Обычный 3 2 3 2 4 2 5" xfId="1914"/>
    <cellStyle name="Обычный 3 2 3 2 4 2 5 2" xfId="5762"/>
    <cellStyle name="Обычный 3 2 3 2 4 2 6" xfId="2208"/>
    <cellStyle name="Обычный 3 2 3 2 4 2 6 2" xfId="6058"/>
    <cellStyle name="Обычный 3 2 3 2 4 2 7" xfId="2503"/>
    <cellStyle name="Обычный 3 2 3 2 4 2 7 2" xfId="6354"/>
    <cellStyle name="Обычный 3 2 3 2 4 2 8" xfId="2799"/>
    <cellStyle name="Обычный 3 2 3 2 4 2 8 2" xfId="6650"/>
    <cellStyle name="Обычный 3 2 3 2 4 2 9" xfId="3095"/>
    <cellStyle name="Обычный 3 2 3 2 4 2 9 2" xfId="6946"/>
    <cellStyle name="Обычный 3 2 3 2 4 3" xfId="1098"/>
    <cellStyle name="Обычный 3 2 3 2 4 3 2" xfId="4726"/>
    <cellStyle name="Обычный 3 2 3 2 4 4" xfId="1192"/>
    <cellStyle name="Обычный 3 2 3 2 4 4 2" xfId="5022"/>
    <cellStyle name="Обычный 3 2 3 2 4 5" xfId="1476"/>
    <cellStyle name="Обычный 3 2 3 2 4 5 2" xfId="5318"/>
    <cellStyle name="Обычный 3 2 3 2 4 6" xfId="1767"/>
    <cellStyle name="Обычный 3 2 3 2 4 6 2" xfId="5614"/>
    <cellStyle name="Обычный 3 2 3 2 4 7" xfId="2060"/>
    <cellStyle name="Обычный 3 2 3 2 4 7 2" xfId="5910"/>
    <cellStyle name="Обычный 3 2 3 2 4 8" xfId="2355"/>
    <cellStyle name="Обычный 3 2 3 2 4 8 2" xfId="6206"/>
    <cellStyle name="Обычный 3 2 3 2 4 9" xfId="2651"/>
    <cellStyle name="Обычный 3 2 3 2 4 9 2" xfId="6502"/>
    <cellStyle name="Обычный 3 2 3 2 5" xfId="329"/>
    <cellStyle name="Обычный 3 2 3 2 5 10" xfId="3293"/>
    <cellStyle name="Обычный 3 2 3 2 5 10 2" xfId="7144"/>
    <cellStyle name="Обычный 3 2 3 2 5 11" xfId="3589"/>
    <cellStyle name="Обычный 3 2 3 2 5 11 2" xfId="7440"/>
    <cellStyle name="Обычный 3 2 3 2 5 12" xfId="3885"/>
    <cellStyle name="Обычный 3 2 3 2 5 12 2" xfId="7736"/>
    <cellStyle name="Обычный 3 2 3 2 5 13" xfId="4181"/>
    <cellStyle name="Обычный 3 2 3 2 5 13 2" xfId="8032"/>
    <cellStyle name="Обычный 3 2 3 2 5 14" xfId="8381"/>
    <cellStyle name="Обычный 3 2 3 2 5 15" xfId="4480"/>
    <cellStyle name="Обычный 3 2 3 2 5 2" xfId="939"/>
    <cellStyle name="Обычный 3 2 3 2 5 2 2" xfId="8676"/>
    <cellStyle name="Обычный 3 2 3 2 5 2 3" xfId="4776"/>
    <cellStyle name="Обычный 3 2 3 2 5 3" xfId="1240"/>
    <cellStyle name="Обычный 3 2 3 2 5 3 2" xfId="5072"/>
    <cellStyle name="Обычный 3 2 3 2 5 4" xfId="1525"/>
    <cellStyle name="Обычный 3 2 3 2 5 4 2" xfId="5368"/>
    <cellStyle name="Обычный 3 2 3 2 5 5" xfId="1817"/>
    <cellStyle name="Обычный 3 2 3 2 5 5 2" xfId="5664"/>
    <cellStyle name="Обычный 3 2 3 2 5 6" xfId="2110"/>
    <cellStyle name="Обычный 3 2 3 2 5 6 2" xfId="5960"/>
    <cellStyle name="Обычный 3 2 3 2 5 7" xfId="2405"/>
    <cellStyle name="Обычный 3 2 3 2 5 7 2" xfId="6256"/>
    <cellStyle name="Обычный 3 2 3 2 5 8" xfId="2701"/>
    <cellStyle name="Обычный 3 2 3 2 5 8 2" xfId="6552"/>
    <cellStyle name="Обычный 3 2 3 2 5 9" xfId="2997"/>
    <cellStyle name="Обычный 3 2 3 2 5 9 2" xfId="6848"/>
    <cellStyle name="Обычный 3 2 3 2 6" xfId="940"/>
    <cellStyle name="Обычный 3 2 3 2 6 2" xfId="8677"/>
    <cellStyle name="Обычный 3 2 3 2 6 3" xfId="4628"/>
    <cellStyle name="Обычный 3 2 3 2 7" xfId="941"/>
    <cellStyle name="Обычный 3 2 3 2 7 2" xfId="8678"/>
    <cellStyle name="Обычный 3 2 3 2 7 3" xfId="4924"/>
    <cellStyle name="Обычный 3 2 3 2 8" xfId="1381"/>
    <cellStyle name="Обычный 3 2 3 2 8 2" xfId="5220"/>
    <cellStyle name="Обычный 3 2 3 2 9" xfId="1670"/>
    <cellStyle name="Обычный 3 2 3 2 9 2" xfId="5516"/>
    <cellStyle name="Обычный 3 2 3 20" xfId="78"/>
    <cellStyle name="Обычный 3 2 3 3" xfId="153"/>
    <cellStyle name="Обычный 3 2 3 3 10" xfId="2875"/>
    <cellStyle name="Обычный 3 2 3 3 10 2" xfId="6726"/>
    <cellStyle name="Обычный 3 2 3 3 11" xfId="3171"/>
    <cellStyle name="Обычный 3 2 3 3 11 2" xfId="7022"/>
    <cellStyle name="Обычный 3 2 3 3 12" xfId="3467"/>
    <cellStyle name="Обычный 3 2 3 3 12 2" xfId="7318"/>
    <cellStyle name="Обычный 3 2 3 3 13" xfId="3763"/>
    <cellStyle name="Обычный 3 2 3 3 13 2" xfId="7614"/>
    <cellStyle name="Обычный 3 2 3 3 14" xfId="4059"/>
    <cellStyle name="Обычный 3 2 3 3 14 2" xfId="7910"/>
    <cellStyle name="Обычный 3 2 3 3 15" xfId="8208"/>
    <cellStyle name="Обычный 3 2 3 3 16" xfId="4356"/>
    <cellStyle name="Обычный 3 2 3 3 2" xfId="256"/>
    <cellStyle name="Обычный 3 2 3 3 2 10" xfId="3319"/>
    <cellStyle name="Обычный 3 2 3 3 2 10 2" xfId="7170"/>
    <cellStyle name="Обычный 3 2 3 3 2 11" xfId="3615"/>
    <cellStyle name="Обычный 3 2 3 3 2 11 2" xfId="7466"/>
    <cellStyle name="Обычный 3 2 3 3 2 12" xfId="3911"/>
    <cellStyle name="Обычный 3 2 3 3 2 12 2" xfId="7762"/>
    <cellStyle name="Обычный 3 2 3 3 2 13" xfId="4207"/>
    <cellStyle name="Обычный 3 2 3 3 2 13 2" xfId="8058"/>
    <cellStyle name="Обычный 3 2 3 3 2 14" xfId="8309"/>
    <cellStyle name="Обычный 3 2 3 3 2 15" xfId="4506"/>
    <cellStyle name="Обычный 3 2 3 3 2 2" xfId="942"/>
    <cellStyle name="Обычный 3 2 3 3 2 2 2" xfId="8679"/>
    <cellStyle name="Обычный 3 2 3 3 2 2 3" xfId="4802"/>
    <cellStyle name="Обычный 3 2 3 3 2 3" xfId="1265"/>
    <cellStyle name="Обычный 3 2 3 3 2 3 2" xfId="5098"/>
    <cellStyle name="Обычный 3 2 3 3 2 4" xfId="1551"/>
    <cellStyle name="Обычный 3 2 3 3 2 4 2" xfId="5394"/>
    <cellStyle name="Обычный 3 2 3 3 2 5" xfId="1843"/>
    <cellStyle name="Обычный 3 2 3 3 2 5 2" xfId="5690"/>
    <cellStyle name="Обычный 3 2 3 3 2 6" xfId="2136"/>
    <cellStyle name="Обычный 3 2 3 3 2 6 2" xfId="5986"/>
    <cellStyle name="Обычный 3 2 3 3 2 7" xfId="2431"/>
    <cellStyle name="Обычный 3 2 3 3 2 7 2" xfId="6282"/>
    <cellStyle name="Обычный 3 2 3 3 2 8" xfId="2727"/>
    <cellStyle name="Обычный 3 2 3 3 2 8 2" xfId="6578"/>
    <cellStyle name="Обычный 3 2 3 3 2 9" xfId="3023"/>
    <cellStyle name="Обычный 3 2 3 3 2 9 2" xfId="6874"/>
    <cellStyle name="Обычный 3 2 3 3 3" xfId="357"/>
    <cellStyle name="Обычный 3 2 3 3 3 2" xfId="943"/>
    <cellStyle name="Обычный 3 2 3 3 3 3" xfId="8409"/>
    <cellStyle name="Обычный 3 2 3 3 3 4" xfId="4654"/>
    <cellStyle name="Обычный 3 2 3 3 4" xfId="944"/>
    <cellStyle name="Обычный 3 2 3 3 4 2" xfId="8680"/>
    <cellStyle name="Обычный 3 2 3 3 4 3" xfId="4950"/>
    <cellStyle name="Обычный 3 2 3 3 5" xfId="1407"/>
    <cellStyle name="Обычный 3 2 3 3 5 2" xfId="5246"/>
    <cellStyle name="Обычный 3 2 3 3 6" xfId="1696"/>
    <cellStyle name="Обычный 3 2 3 3 6 2" xfId="5542"/>
    <cellStyle name="Обычный 3 2 3 3 7" xfId="1989"/>
    <cellStyle name="Обычный 3 2 3 3 7 2" xfId="5838"/>
    <cellStyle name="Обычный 3 2 3 3 8" xfId="2283"/>
    <cellStyle name="Обычный 3 2 3 3 8 2" xfId="6134"/>
    <cellStyle name="Обычный 3 2 3 3 9" xfId="2579"/>
    <cellStyle name="Обычный 3 2 3 3 9 2" xfId="6430"/>
    <cellStyle name="Обычный 3 2 3 4" xfId="206"/>
    <cellStyle name="Обычный 3 2 3 4 10" xfId="2925"/>
    <cellStyle name="Обычный 3 2 3 4 10 2" xfId="6776"/>
    <cellStyle name="Обычный 3 2 3 4 11" xfId="3221"/>
    <cellStyle name="Обычный 3 2 3 4 11 2" xfId="7072"/>
    <cellStyle name="Обычный 3 2 3 4 12" xfId="3517"/>
    <cellStyle name="Обычный 3 2 3 4 12 2" xfId="7368"/>
    <cellStyle name="Обычный 3 2 3 4 13" xfId="3813"/>
    <cellStyle name="Обычный 3 2 3 4 13 2" xfId="7664"/>
    <cellStyle name="Обычный 3 2 3 4 14" xfId="4109"/>
    <cellStyle name="Обычный 3 2 3 4 14 2" xfId="7960"/>
    <cellStyle name="Обычный 3 2 3 4 15" xfId="8259"/>
    <cellStyle name="Обычный 3 2 3 4 16" xfId="4407"/>
    <cellStyle name="Обычный 3 2 3 4 2" xfId="945"/>
    <cellStyle name="Обычный 3 2 3 4 2 10" xfId="3369"/>
    <cellStyle name="Обычный 3 2 3 4 2 10 2" xfId="7220"/>
    <cellStyle name="Обычный 3 2 3 4 2 11" xfId="3665"/>
    <cellStyle name="Обычный 3 2 3 4 2 11 2" xfId="7516"/>
    <cellStyle name="Обычный 3 2 3 4 2 12" xfId="3961"/>
    <cellStyle name="Обычный 3 2 3 4 2 12 2" xfId="7812"/>
    <cellStyle name="Обычный 3 2 3 4 2 13" xfId="4257"/>
    <cellStyle name="Обычный 3 2 3 4 2 13 2" xfId="8108"/>
    <cellStyle name="Обычный 3 2 3 4 2 14" xfId="8681"/>
    <cellStyle name="Обычный 3 2 3 4 2 15" xfId="4556"/>
    <cellStyle name="Обычный 3 2 3 4 2 2" xfId="1124"/>
    <cellStyle name="Обычный 3 2 3 4 2 2 2" xfId="4852"/>
    <cellStyle name="Обычный 3 2 3 4 2 3" xfId="1313"/>
    <cellStyle name="Обычный 3 2 3 4 2 3 2" xfId="5148"/>
    <cellStyle name="Обычный 3 2 3 4 2 4" xfId="1600"/>
    <cellStyle name="Обычный 3 2 3 4 2 4 2" xfId="5444"/>
    <cellStyle name="Обычный 3 2 3 4 2 5" xfId="1893"/>
    <cellStyle name="Обычный 3 2 3 4 2 5 2" xfId="5740"/>
    <cellStyle name="Обычный 3 2 3 4 2 6" xfId="2186"/>
    <cellStyle name="Обычный 3 2 3 4 2 6 2" xfId="6036"/>
    <cellStyle name="Обычный 3 2 3 4 2 7" xfId="2481"/>
    <cellStyle name="Обычный 3 2 3 4 2 7 2" xfId="6332"/>
    <cellStyle name="Обычный 3 2 3 4 2 8" xfId="2777"/>
    <cellStyle name="Обычный 3 2 3 4 2 8 2" xfId="6628"/>
    <cellStyle name="Обычный 3 2 3 4 2 9" xfId="3073"/>
    <cellStyle name="Обычный 3 2 3 4 2 9 2" xfId="6924"/>
    <cellStyle name="Обычный 3 2 3 4 3" xfId="1077"/>
    <cellStyle name="Обычный 3 2 3 4 3 2" xfId="4704"/>
    <cellStyle name="Обычный 3 2 3 4 4" xfId="1171"/>
    <cellStyle name="Обычный 3 2 3 4 4 2" xfId="5000"/>
    <cellStyle name="Обычный 3 2 3 4 5" xfId="1454"/>
    <cellStyle name="Обычный 3 2 3 4 5 2" xfId="5296"/>
    <cellStyle name="Обычный 3 2 3 4 6" xfId="1745"/>
    <cellStyle name="Обычный 3 2 3 4 6 2" xfId="5592"/>
    <cellStyle name="Обычный 3 2 3 4 7" xfId="2038"/>
    <cellStyle name="Обычный 3 2 3 4 7 2" xfId="5888"/>
    <cellStyle name="Обычный 3 2 3 4 8" xfId="2333"/>
    <cellStyle name="Обычный 3 2 3 4 8 2" xfId="6184"/>
    <cellStyle name="Обычный 3 2 3 4 9" xfId="2629"/>
    <cellStyle name="Обычный 3 2 3 4 9 2" xfId="6480"/>
    <cellStyle name="Обычный 3 2 3 5" xfId="307"/>
    <cellStyle name="Обычный 3 2 3 5 10" xfId="3271"/>
    <cellStyle name="Обычный 3 2 3 5 10 2" xfId="7122"/>
    <cellStyle name="Обычный 3 2 3 5 11" xfId="3567"/>
    <cellStyle name="Обычный 3 2 3 5 11 2" xfId="7418"/>
    <cellStyle name="Обычный 3 2 3 5 12" xfId="3863"/>
    <cellStyle name="Обычный 3 2 3 5 12 2" xfId="7714"/>
    <cellStyle name="Обычный 3 2 3 5 13" xfId="4159"/>
    <cellStyle name="Обычный 3 2 3 5 13 2" xfId="8010"/>
    <cellStyle name="Обычный 3 2 3 5 14" xfId="8359"/>
    <cellStyle name="Обычный 3 2 3 5 15" xfId="4458"/>
    <cellStyle name="Обычный 3 2 3 5 2" xfId="946"/>
    <cellStyle name="Обычный 3 2 3 5 2 2" xfId="8682"/>
    <cellStyle name="Обычный 3 2 3 5 2 3" xfId="4754"/>
    <cellStyle name="Обычный 3 2 3 5 3" xfId="1218"/>
    <cellStyle name="Обычный 3 2 3 5 3 2" xfId="5050"/>
    <cellStyle name="Обычный 3 2 3 5 4" xfId="1503"/>
    <cellStyle name="Обычный 3 2 3 5 4 2" xfId="5346"/>
    <cellStyle name="Обычный 3 2 3 5 5" xfId="1795"/>
    <cellStyle name="Обычный 3 2 3 5 5 2" xfId="5642"/>
    <cellStyle name="Обычный 3 2 3 5 6" xfId="2088"/>
    <cellStyle name="Обычный 3 2 3 5 6 2" xfId="5938"/>
    <cellStyle name="Обычный 3 2 3 5 7" xfId="2383"/>
    <cellStyle name="Обычный 3 2 3 5 7 2" xfId="6234"/>
    <cellStyle name="Обычный 3 2 3 5 8" xfId="2679"/>
    <cellStyle name="Обычный 3 2 3 5 8 2" xfId="6530"/>
    <cellStyle name="Обычный 3 2 3 5 9" xfId="2975"/>
    <cellStyle name="Обычный 3 2 3 5 9 2" xfId="6826"/>
    <cellStyle name="Обычный 3 2 3 6" xfId="947"/>
    <cellStyle name="Обычный 3 2 3 6 2" xfId="8683"/>
    <cellStyle name="Обычный 3 2 3 6 3" xfId="4606"/>
    <cellStyle name="Обычный 3 2 3 7" xfId="948"/>
    <cellStyle name="Обычный 3 2 3 7 2" xfId="8684"/>
    <cellStyle name="Обычный 3 2 3 7 3" xfId="4902"/>
    <cellStyle name="Обычный 3 2 3 8" xfId="1360"/>
    <cellStyle name="Обычный 3 2 3 8 2" xfId="5198"/>
    <cellStyle name="Обычный 3 2 3 9" xfId="1649"/>
    <cellStyle name="Обычный 3 2 3 9 2" xfId="5494"/>
    <cellStyle name="Обычный 3 2 4" xfId="22"/>
    <cellStyle name="Обычный 3 2 4 10" xfId="2255"/>
    <cellStyle name="Обычный 3 2 4 10 2" xfId="6106"/>
    <cellStyle name="Обычный 3 2 4 11" xfId="2551"/>
    <cellStyle name="Обычный 3 2 4 11 2" xfId="6402"/>
    <cellStyle name="Обычный 3 2 4 12" xfId="2847"/>
    <cellStyle name="Обычный 3 2 4 12 2" xfId="6698"/>
    <cellStyle name="Обычный 3 2 4 13" xfId="3143"/>
    <cellStyle name="Обычный 3 2 4 13 2" xfId="6994"/>
    <cellStyle name="Обычный 3 2 4 14" xfId="3439"/>
    <cellStyle name="Обычный 3 2 4 14 2" xfId="7290"/>
    <cellStyle name="Обычный 3 2 4 15" xfId="3735"/>
    <cellStyle name="Обычный 3 2 4 15 2" xfId="7586"/>
    <cellStyle name="Обычный 3 2 4 16" xfId="4031"/>
    <cellStyle name="Обычный 3 2 4 16 2" xfId="7882"/>
    <cellStyle name="Обычный 3 2 4 17" xfId="8178"/>
    <cellStyle name="Обычный 3 2 4 18" xfId="4327"/>
    <cellStyle name="Обычный 3 2 4 19" xfId="120"/>
    <cellStyle name="Обычный 3 2 4 2" xfId="41"/>
    <cellStyle name="Обычный 3 2 4 2 10" xfId="2895"/>
    <cellStyle name="Обычный 3 2 4 2 10 2" xfId="6746"/>
    <cellStyle name="Обычный 3 2 4 2 11" xfId="3191"/>
    <cellStyle name="Обычный 3 2 4 2 11 2" xfId="7042"/>
    <cellStyle name="Обычный 3 2 4 2 12" xfId="3487"/>
    <cellStyle name="Обычный 3 2 4 2 12 2" xfId="7338"/>
    <cellStyle name="Обычный 3 2 4 2 13" xfId="3783"/>
    <cellStyle name="Обычный 3 2 4 2 13 2" xfId="7634"/>
    <cellStyle name="Обычный 3 2 4 2 14" xfId="4079"/>
    <cellStyle name="Обычный 3 2 4 2 14 2" xfId="7930"/>
    <cellStyle name="Обычный 3 2 4 2 15" xfId="8228"/>
    <cellStyle name="Обычный 3 2 4 2 16" xfId="4376"/>
    <cellStyle name="Обычный 3 2 4 2 17" xfId="173"/>
    <cellStyle name="Обычный 3 2 4 2 2" xfId="276"/>
    <cellStyle name="Обычный 3 2 4 2 2 10" xfId="3339"/>
    <cellStyle name="Обычный 3 2 4 2 2 10 2" xfId="7190"/>
    <cellStyle name="Обычный 3 2 4 2 2 11" xfId="3635"/>
    <cellStyle name="Обычный 3 2 4 2 2 11 2" xfId="7486"/>
    <cellStyle name="Обычный 3 2 4 2 2 12" xfId="3931"/>
    <cellStyle name="Обычный 3 2 4 2 2 12 2" xfId="7782"/>
    <cellStyle name="Обычный 3 2 4 2 2 13" xfId="4227"/>
    <cellStyle name="Обычный 3 2 4 2 2 13 2" xfId="8078"/>
    <cellStyle name="Обычный 3 2 4 2 2 14" xfId="8329"/>
    <cellStyle name="Обычный 3 2 4 2 2 15" xfId="4526"/>
    <cellStyle name="Обычный 3 2 4 2 2 2" xfId="949"/>
    <cellStyle name="Обычный 3 2 4 2 2 2 2" xfId="8685"/>
    <cellStyle name="Обычный 3 2 4 2 2 2 3" xfId="4822"/>
    <cellStyle name="Обычный 3 2 4 2 2 3" xfId="1284"/>
    <cellStyle name="Обычный 3 2 4 2 2 3 2" xfId="5118"/>
    <cellStyle name="Обычный 3 2 4 2 2 4" xfId="1570"/>
    <cellStyle name="Обычный 3 2 4 2 2 4 2" xfId="5414"/>
    <cellStyle name="Обычный 3 2 4 2 2 5" xfId="1863"/>
    <cellStyle name="Обычный 3 2 4 2 2 5 2" xfId="5710"/>
    <cellStyle name="Обычный 3 2 4 2 2 6" xfId="2156"/>
    <cellStyle name="Обычный 3 2 4 2 2 6 2" xfId="6006"/>
    <cellStyle name="Обычный 3 2 4 2 2 7" xfId="2451"/>
    <cellStyle name="Обычный 3 2 4 2 2 7 2" xfId="6302"/>
    <cellStyle name="Обычный 3 2 4 2 2 8" xfId="2747"/>
    <cellStyle name="Обычный 3 2 4 2 2 8 2" xfId="6598"/>
    <cellStyle name="Обычный 3 2 4 2 2 9" xfId="3043"/>
    <cellStyle name="Обычный 3 2 4 2 2 9 2" xfId="6894"/>
    <cellStyle name="Обычный 3 2 4 2 3" xfId="377"/>
    <cellStyle name="Обычный 3 2 4 2 3 2" xfId="950"/>
    <cellStyle name="Обычный 3 2 4 2 3 3" xfId="8429"/>
    <cellStyle name="Обычный 3 2 4 2 3 4" xfId="4674"/>
    <cellStyle name="Обычный 3 2 4 2 4" xfId="951"/>
    <cellStyle name="Обычный 3 2 4 2 4 2" xfId="8686"/>
    <cellStyle name="Обычный 3 2 4 2 4 3" xfId="4970"/>
    <cellStyle name="Обычный 3 2 4 2 5" xfId="1426"/>
    <cellStyle name="Обычный 3 2 4 2 5 2" xfId="5266"/>
    <cellStyle name="Обычный 3 2 4 2 6" xfId="1716"/>
    <cellStyle name="Обычный 3 2 4 2 6 2" xfId="5562"/>
    <cellStyle name="Обычный 3 2 4 2 7" xfId="2008"/>
    <cellStyle name="Обычный 3 2 4 2 7 2" xfId="5858"/>
    <cellStyle name="Обычный 3 2 4 2 8" xfId="2303"/>
    <cellStyle name="Обычный 3 2 4 2 8 2" xfId="6154"/>
    <cellStyle name="Обычный 3 2 4 2 9" xfId="2599"/>
    <cellStyle name="Обычный 3 2 4 2 9 2" xfId="6450"/>
    <cellStyle name="Обычный 3 2 4 3" xfId="226"/>
    <cellStyle name="Обычный 3 2 4 3 10" xfId="2945"/>
    <cellStyle name="Обычный 3 2 4 3 10 2" xfId="6796"/>
    <cellStyle name="Обычный 3 2 4 3 11" xfId="3241"/>
    <cellStyle name="Обычный 3 2 4 3 11 2" xfId="7092"/>
    <cellStyle name="Обычный 3 2 4 3 12" xfId="3537"/>
    <cellStyle name="Обычный 3 2 4 3 12 2" xfId="7388"/>
    <cellStyle name="Обычный 3 2 4 3 13" xfId="3833"/>
    <cellStyle name="Обычный 3 2 4 3 13 2" xfId="7684"/>
    <cellStyle name="Обычный 3 2 4 3 14" xfId="4129"/>
    <cellStyle name="Обычный 3 2 4 3 14 2" xfId="7980"/>
    <cellStyle name="Обычный 3 2 4 3 15" xfId="8279"/>
    <cellStyle name="Обычный 3 2 4 3 16" xfId="4427"/>
    <cellStyle name="Обычный 3 2 4 3 2" xfId="952"/>
    <cellStyle name="Обычный 3 2 4 3 2 10" xfId="3389"/>
    <cellStyle name="Обычный 3 2 4 3 2 10 2" xfId="7240"/>
    <cellStyle name="Обычный 3 2 4 3 2 11" xfId="3685"/>
    <cellStyle name="Обычный 3 2 4 3 2 11 2" xfId="7536"/>
    <cellStyle name="Обычный 3 2 4 3 2 12" xfId="3981"/>
    <cellStyle name="Обычный 3 2 4 3 2 12 2" xfId="7832"/>
    <cellStyle name="Обычный 3 2 4 3 2 13" xfId="4277"/>
    <cellStyle name="Обычный 3 2 4 3 2 13 2" xfId="8128"/>
    <cellStyle name="Обычный 3 2 4 3 2 14" xfId="8687"/>
    <cellStyle name="Обычный 3 2 4 3 2 15" xfId="4576"/>
    <cellStyle name="Обычный 3 2 4 3 2 2" xfId="1143"/>
    <cellStyle name="Обычный 3 2 4 3 2 2 2" xfId="4872"/>
    <cellStyle name="Обычный 3 2 4 3 2 3" xfId="1332"/>
    <cellStyle name="Обычный 3 2 4 3 2 3 2" xfId="5168"/>
    <cellStyle name="Обычный 3 2 4 3 2 4" xfId="1619"/>
    <cellStyle name="Обычный 3 2 4 3 2 4 2" xfId="5464"/>
    <cellStyle name="Обычный 3 2 4 3 2 5" xfId="1912"/>
    <cellStyle name="Обычный 3 2 4 3 2 5 2" xfId="5760"/>
    <cellStyle name="Обычный 3 2 4 3 2 6" xfId="2206"/>
    <cellStyle name="Обычный 3 2 4 3 2 6 2" xfId="6056"/>
    <cellStyle name="Обычный 3 2 4 3 2 7" xfId="2501"/>
    <cellStyle name="Обычный 3 2 4 3 2 7 2" xfId="6352"/>
    <cellStyle name="Обычный 3 2 4 3 2 8" xfId="2797"/>
    <cellStyle name="Обычный 3 2 4 3 2 8 2" xfId="6648"/>
    <cellStyle name="Обычный 3 2 4 3 2 9" xfId="3093"/>
    <cellStyle name="Обычный 3 2 4 3 2 9 2" xfId="6944"/>
    <cellStyle name="Обычный 3 2 4 3 3" xfId="1096"/>
    <cellStyle name="Обычный 3 2 4 3 3 2" xfId="4724"/>
    <cellStyle name="Обычный 3 2 4 3 4" xfId="1190"/>
    <cellStyle name="Обычный 3 2 4 3 4 2" xfId="5020"/>
    <cellStyle name="Обычный 3 2 4 3 5" xfId="1474"/>
    <cellStyle name="Обычный 3 2 4 3 5 2" xfId="5316"/>
    <cellStyle name="Обычный 3 2 4 3 6" xfId="1765"/>
    <cellStyle name="Обычный 3 2 4 3 6 2" xfId="5612"/>
    <cellStyle name="Обычный 3 2 4 3 7" xfId="2058"/>
    <cellStyle name="Обычный 3 2 4 3 7 2" xfId="5908"/>
    <cellStyle name="Обычный 3 2 4 3 8" xfId="2353"/>
    <cellStyle name="Обычный 3 2 4 3 8 2" xfId="6204"/>
    <cellStyle name="Обычный 3 2 4 3 9" xfId="2649"/>
    <cellStyle name="Обычный 3 2 4 3 9 2" xfId="6500"/>
    <cellStyle name="Обычный 3 2 4 4" xfId="327"/>
    <cellStyle name="Обычный 3 2 4 4 10" xfId="3291"/>
    <cellStyle name="Обычный 3 2 4 4 10 2" xfId="7142"/>
    <cellStyle name="Обычный 3 2 4 4 11" xfId="3587"/>
    <cellStyle name="Обычный 3 2 4 4 11 2" xfId="7438"/>
    <cellStyle name="Обычный 3 2 4 4 12" xfId="3883"/>
    <cellStyle name="Обычный 3 2 4 4 12 2" xfId="7734"/>
    <cellStyle name="Обычный 3 2 4 4 13" xfId="4179"/>
    <cellStyle name="Обычный 3 2 4 4 13 2" xfId="8030"/>
    <cellStyle name="Обычный 3 2 4 4 14" xfId="8379"/>
    <cellStyle name="Обычный 3 2 4 4 15" xfId="4478"/>
    <cellStyle name="Обычный 3 2 4 4 2" xfId="953"/>
    <cellStyle name="Обычный 3 2 4 4 2 2" xfId="8688"/>
    <cellStyle name="Обычный 3 2 4 4 2 3" xfId="4774"/>
    <cellStyle name="Обычный 3 2 4 4 3" xfId="1238"/>
    <cellStyle name="Обычный 3 2 4 4 3 2" xfId="5070"/>
    <cellStyle name="Обычный 3 2 4 4 4" xfId="1523"/>
    <cellStyle name="Обычный 3 2 4 4 4 2" xfId="5366"/>
    <cellStyle name="Обычный 3 2 4 4 5" xfId="1815"/>
    <cellStyle name="Обычный 3 2 4 4 5 2" xfId="5662"/>
    <cellStyle name="Обычный 3 2 4 4 6" xfId="2108"/>
    <cellStyle name="Обычный 3 2 4 4 6 2" xfId="5958"/>
    <cellStyle name="Обычный 3 2 4 4 7" xfId="2403"/>
    <cellStyle name="Обычный 3 2 4 4 7 2" xfId="6254"/>
    <cellStyle name="Обычный 3 2 4 4 8" xfId="2699"/>
    <cellStyle name="Обычный 3 2 4 4 8 2" xfId="6550"/>
    <cellStyle name="Обычный 3 2 4 4 9" xfId="2995"/>
    <cellStyle name="Обычный 3 2 4 4 9 2" xfId="6846"/>
    <cellStyle name="Обычный 3 2 4 5" xfId="954"/>
    <cellStyle name="Обычный 3 2 4 5 2" xfId="8689"/>
    <cellStyle name="Обычный 3 2 4 5 3" xfId="4626"/>
    <cellStyle name="Обычный 3 2 4 6" xfId="955"/>
    <cellStyle name="Обычный 3 2 4 6 2" xfId="8690"/>
    <cellStyle name="Обычный 3 2 4 6 3" xfId="4922"/>
    <cellStyle name="Обычный 3 2 4 7" xfId="1379"/>
    <cellStyle name="Обычный 3 2 4 7 2" xfId="5218"/>
    <cellStyle name="Обычный 3 2 4 8" xfId="1668"/>
    <cellStyle name="Обычный 3 2 4 8 2" xfId="5514"/>
    <cellStyle name="Обычный 3 2 4 9" xfId="1961"/>
    <cellStyle name="Обычный 3 2 4 9 2" xfId="5810"/>
    <cellStyle name="Обычный 3 2 5" xfId="29"/>
    <cellStyle name="Обычный 3 2 5 10" xfId="2873"/>
    <cellStyle name="Обычный 3 2 5 10 2" xfId="6724"/>
    <cellStyle name="Обычный 3 2 5 11" xfId="3169"/>
    <cellStyle name="Обычный 3 2 5 11 2" xfId="7020"/>
    <cellStyle name="Обычный 3 2 5 12" xfId="3465"/>
    <cellStyle name="Обычный 3 2 5 12 2" xfId="7316"/>
    <cellStyle name="Обычный 3 2 5 13" xfId="3761"/>
    <cellStyle name="Обычный 3 2 5 13 2" xfId="7612"/>
    <cellStyle name="Обычный 3 2 5 14" xfId="4057"/>
    <cellStyle name="Обычный 3 2 5 14 2" xfId="7908"/>
    <cellStyle name="Обычный 3 2 5 15" xfId="8206"/>
    <cellStyle name="Обычный 3 2 5 16" xfId="4354"/>
    <cellStyle name="Обычный 3 2 5 17" xfId="151"/>
    <cellStyle name="Обычный 3 2 5 2" xfId="254"/>
    <cellStyle name="Обычный 3 2 5 2 10" xfId="3317"/>
    <cellStyle name="Обычный 3 2 5 2 10 2" xfId="7168"/>
    <cellStyle name="Обычный 3 2 5 2 11" xfId="3613"/>
    <cellStyle name="Обычный 3 2 5 2 11 2" xfId="7464"/>
    <cellStyle name="Обычный 3 2 5 2 12" xfId="3909"/>
    <cellStyle name="Обычный 3 2 5 2 12 2" xfId="7760"/>
    <cellStyle name="Обычный 3 2 5 2 13" xfId="4205"/>
    <cellStyle name="Обычный 3 2 5 2 13 2" xfId="8056"/>
    <cellStyle name="Обычный 3 2 5 2 14" xfId="8307"/>
    <cellStyle name="Обычный 3 2 5 2 15" xfId="4504"/>
    <cellStyle name="Обычный 3 2 5 2 2" xfId="956"/>
    <cellStyle name="Обычный 3 2 5 2 2 2" xfId="8691"/>
    <cellStyle name="Обычный 3 2 5 2 2 3" xfId="4800"/>
    <cellStyle name="Обычный 3 2 5 2 3" xfId="1263"/>
    <cellStyle name="Обычный 3 2 5 2 3 2" xfId="5096"/>
    <cellStyle name="Обычный 3 2 5 2 4" xfId="1549"/>
    <cellStyle name="Обычный 3 2 5 2 4 2" xfId="5392"/>
    <cellStyle name="Обычный 3 2 5 2 5" xfId="1841"/>
    <cellStyle name="Обычный 3 2 5 2 5 2" xfId="5688"/>
    <cellStyle name="Обычный 3 2 5 2 6" xfId="2134"/>
    <cellStyle name="Обычный 3 2 5 2 6 2" xfId="5984"/>
    <cellStyle name="Обычный 3 2 5 2 7" xfId="2429"/>
    <cellStyle name="Обычный 3 2 5 2 7 2" xfId="6280"/>
    <cellStyle name="Обычный 3 2 5 2 8" xfId="2725"/>
    <cellStyle name="Обычный 3 2 5 2 8 2" xfId="6576"/>
    <cellStyle name="Обычный 3 2 5 2 9" xfId="3021"/>
    <cellStyle name="Обычный 3 2 5 2 9 2" xfId="6872"/>
    <cellStyle name="Обычный 3 2 5 3" xfId="355"/>
    <cellStyle name="Обычный 3 2 5 3 2" xfId="957"/>
    <cellStyle name="Обычный 3 2 5 3 3" xfId="8407"/>
    <cellStyle name="Обычный 3 2 5 3 4" xfId="4652"/>
    <cellStyle name="Обычный 3 2 5 4" xfId="958"/>
    <cellStyle name="Обычный 3 2 5 4 2" xfId="8692"/>
    <cellStyle name="Обычный 3 2 5 4 3" xfId="4948"/>
    <cellStyle name="Обычный 3 2 5 5" xfId="1405"/>
    <cellStyle name="Обычный 3 2 5 5 2" xfId="5244"/>
    <cellStyle name="Обычный 3 2 5 6" xfId="1694"/>
    <cellStyle name="Обычный 3 2 5 6 2" xfId="5540"/>
    <cellStyle name="Обычный 3 2 5 7" xfId="1987"/>
    <cellStyle name="Обычный 3 2 5 7 2" xfId="5836"/>
    <cellStyle name="Обычный 3 2 5 8" xfId="2281"/>
    <cellStyle name="Обычный 3 2 5 8 2" xfId="6132"/>
    <cellStyle name="Обычный 3 2 5 9" xfId="2577"/>
    <cellStyle name="Обычный 3 2 5 9 2" xfId="6428"/>
    <cellStyle name="Обычный 3 2 6" xfId="204"/>
    <cellStyle name="Обычный 3 2 6 10" xfId="2923"/>
    <cellStyle name="Обычный 3 2 6 10 2" xfId="6774"/>
    <cellStyle name="Обычный 3 2 6 11" xfId="3219"/>
    <cellStyle name="Обычный 3 2 6 11 2" xfId="7070"/>
    <cellStyle name="Обычный 3 2 6 12" xfId="3515"/>
    <cellStyle name="Обычный 3 2 6 12 2" xfId="7366"/>
    <cellStyle name="Обычный 3 2 6 13" xfId="3811"/>
    <cellStyle name="Обычный 3 2 6 13 2" xfId="7662"/>
    <cellStyle name="Обычный 3 2 6 14" xfId="4107"/>
    <cellStyle name="Обычный 3 2 6 14 2" xfId="7958"/>
    <cellStyle name="Обычный 3 2 6 15" xfId="8257"/>
    <cellStyle name="Обычный 3 2 6 16" xfId="4405"/>
    <cellStyle name="Обычный 3 2 6 2" xfId="959"/>
    <cellStyle name="Обычный 3 2 6 2 10" xfId="3367"/>
    <cellStyle name="Обычный 3 2 6 2 10 2" xfId="7218"/>
    <cellStyle name="Обычный 3 2 6 2 11" xfId="3663"/>
    <cellStyle name="Обычный 3 2 6 2 11 2" xfId="7514"/>
    <cellStyle name="Обычный 3 2 6 2 12" xfId="3959"/>
    <cellStyle name="Обычный 3 2 6 2 12 2" xfId="7810"/>
    <cellStyle name="Обычный 3 2 6 2 13" xfId="4255"/>
    <cellStyle name="Обычный 3 2 6 2 13 2" xfId="8106"/>
    <cellStyle name="Обычный 3 2 6 2 14" xfId="8693"/>
    <cellStyle name="Обычный 3 2 6 2 15" xfId="4554"/>
    <cellStyle name="Обычный 3 2 6 2 2" xfId="1122"/>
    <cellStyle name="Обычный 3 2 6 2 2 2" xfId="4850"/>
    <cellStyle name="Обычный 3 2 6 2 3" xfId="1311"/>
    <cellStyle name="Обычный 3 2 6 2 3 2" xfId="5146"/>
    <cellStyle name="Обычный 3 2 6 2 4" xfId="1598"/>
    <cellStyle name="Обычный 3 2 6 2 4 2" xfId="5442"/>
    <cellStyle name="Обычный 3 2 6 2 5" xfId="1891"/>
    <cellStyle name="Обычный 3 2 6 2 5 2" xfId="5738"/>
    <cellStyle name="Обычный 3 2 6 2 6" xfId="2184"/>
    <cellStyle name="Обычный 3 2 6 2 6 2" xfId="6034"/>
    <cellStyle name="Обычный 3 2 6 2 7" xfId="2479"/>
    <cellStyle name="Обычный 3 2 6 2 7 2" xfId="6330"/>
    <cellStyle name="Обычный 3 2 6 2 8" xfId="2775"/>
    <cellStyle name="Обычный 3 2 6 2 8 2" xfId="6626"/>
    <cellStyle name="Обычный 3 2 6 2 9" xfId="3071"/>
    <cellStyle name="Обычный 3 2 6 2 9 2" xfId="6922"/>
    <cellStyle name="Обычный 3 2 6 3" xfId="1075"/>
    <cellStyle name="Обычный 3 2 6 3 2" xfId="4702"/>
    <cellStyle name="Обычный 3 2 6 4" xfId="1169"/>
    <cellStyle name="Обычный 3 2 6 4 2" xfId="4998"/>
    <cellStyle name="Обычный 3 2 6 5" xfId="1452"/>
    <cellStyle name="Обычный 3 2 6 5 2" xfId="5294"/>
    <cellStyle name="Обычный 3 2 6 6" xfId="1743"/>
    <cellStyle name="Обычный 3 2 6 6 2" xfId="5590"/>
    <cellStyle name="Обычный 3 2 6 7" xfId="2036"/>
    <cellStyle name="Обычный 3 2 6 7 2" xfId="5886"/>
    <cellStyle name="Обычный 3 2 6 8" xfId="2331"/>
    <cellStyle name="Обычный 3 2 6 8 2" xfId="6182"/>
    <cellStyle name="Обычный 3 2 6 9" xfId="2627"/>
    <cellStyle name="Обычный 3 2 6 9 2" xfId="6478"/>
    <cellStyle name="Обычный 3 2 7" xfId="305"/>
    <cellStyle name="Обычный 3 2 7 10" xfId="3269"/>
    <cellStyle name="Обычный 3 2 7 10 2" xfId="7120"/>
    <cellStyle name="Обычный 3 2 7 11" xfId="3565"/>
    <cellStyle name="Обычный 3 2 7 11 2" xfId="7416"/>
    <cellStyle name="Обычный 3 2 7 12" xfId="3861"/>
    <cellStyle name="Обычный 3 2 7 12 2" xfId="7712"/>
    <cellStyle name="Обычный 3 2 7 13" xfId="4157"/>
    <cellStyle name="Обычный 3 2 7 13 2" xfId="8008"/>
    <cellStyle name="Обычный 3 2 7 14" xfId="8357"/>
    <cellStyle name="Обычный 3 2 7 15" xfId="4456"/>
    <cellStyle name="Обычный 3 2 7 2" xfId="960"/>
    <cellStyle name="Обычный 3 2 7 2 2" xfId="8694"/>
    <cellStyle name="Обычный 3 2 7 2 3" xfId="4752"/>
    <cellStyle name="Обычный 3 2 7 3" xfId="1216"/>
    <cellStyle name="Обычный 3 2 7 3 2" xfId="5048"/>
    <cellStyle name="Обычный 3 2 7 4" xfId="1501"/>
    <cellStyle name="Обычный 3 2 7 4 2" xfId="5344"/>
    <cellStyle name="Обычный 3 2 7 5" xfId="1793"/>
    <cellStyle name="Обычный 3 2 7 5 2" xfId="5640"/>
    <cellStyle name="Обычный 3 2 7 6" xfId="2086"/>
    <cellStyle name="Обычный 3 2 7 6 2" xfId="5936"/>
    <cellStyle name="Обычный 3 2 7 7" xfId="2381"/>
    <cellStyle name="Обычный 3 2 7 7 2" xfId="6232"/>
    <cellStyle name="Обычный 3 2 7 8" xfId="2677"/>
    <cellStyle name="Обычный 3 2 7 8 2" xfId="6528"/>
    <cellStyle name="Обычный 3 2 7 9" xfId="2973"/>
    <cellStyle name="Обычный 3 2 7 9 2" xfId="6824"/>
    <cellStyle name="Обычный 3 2 8" xfId="391"/>
    <cellStyle name="Обычный 3 2 8 2" xfId="8442"/>
    <cellStyle name="Обычный 3 2 8 3" xfId="4604"/>
    <cellStyle name="Обычный 3 2 9" xfId="961"/>
    <cellStyle name="Обычный 3 2 9 2" xfId="8695"/>
    <cellStyle name="Обычный 3 2 9 3" xfId="4900"/>
    <cellStyle name="Обычный 3 20" xfId="1629"/>
    <cellStyle name="Обычный 3 20 2" xfId="5474"/>
    <cellStyle name="Обычный 3 21" xfId="1922"/>
    <cellStyle name="Обычный 3 21 2" xfId="5770"/>
    <cellStyle name="Обычный 3 22" xfId="2216"/>
    <cellStyle name="Обычный 3 22 2" xfId="6066"/>
    <cellStyle name="Обычный 3 23" xfId="2511"/>
    <cellStyle name="Обычный 3 23 2" xfId="6362"/>
    <cellStyle name="Обычный 3 24" xfId="2807"/>
    <cellStyle name="Обычный 3 24 2" xfId="6658"/>
    <cellStyle name="Обычный 3 25" xfId="3103"/>
    <cellStyle name="Обычный 3 25 2" xfId="6954"/>
    <cellStyle name="Обычный 3 26" xfId="3399"/>
    <cellStyle name="Обычный 3 26 2" xfId="7250"/>
    <cellStyle name="Обычный 3 27" xfId="3695"/>
    <cellStyle name="Обычный 3 27 2" xfId="7546"/>
    <cellStyle name="Обычный 3 28" xfId="3991"/>
    <cellStyle name="Обычный 3 28 2" xfId="7842"/>
    <cellStyle name="Обычный 3 29" xfId="8138"/>
    <cellStyle name="Обычный 3 3" xfId="11"/>
    <cellStyle name="Обычный 3 3 10" xfId="1361"/>
    <cellStyle name="Обычный 3 3 10 2" xfId="5199"/>
    <cellStyle name="Обычный 3 3 11" xfId="1650"/>
    <cellStyle name="Обычный 3 3 11 2" xfId="5495"/>
    <cellStyle name="Обычный 3 3 12" xfId="1943"/>
    <cellStyle name="Обычный 3 3 12 2" xfId="5791"/>
    <cellStyle name="Обычный 3 3 13" xfId="2237"/>
    <cellStyle name="Обычный 3 3 13 2" xfId="6087"/>
    <cellStyle name="Обычный 3 3 14" xfId="2532"/>
    <cellStyle name="Обычный 3 3 14 2" xfId="6383"/>
    <cellStyle name="Обычный 3 3 15" xfId="2828"/>
    <cellStyle name="Обычный 3 3 15 2" xfId="6679"/>
    <cellStyle name="Обычный 3 3 16" xfId="3124"/>
    <cellStyle name="Обычный 3 3 16 2" xfId="6975"/>
    <cellStyle name="Обычный 3 3 17" xfId="3420"/>
    <cellStyle name="Обычный 3 3 17 2" xfId="7271"/>
    <cellStyle name="Обычный 3 3 18" xfId="3716"/>
    <cellStyle name="Обычный 3 3 18 2" xfId="7567"/>
    <cellStyle name="Обычный 3 3 19" xfId="4012"/>
    <cellStyle name="Обычный 3 3 19 2" xfId="7863"/>
    <cellStyle name="Обычный 3 3 2" xfId="14"/>
    <cellStyle name="Обычный 3 3 2 10" xfId="1944"/>
    <cellStyle name="Обычный 3 3 2 10 2" xfId="5792"/>
    <cellStyle name="Обычный 3 3 2 11" xfId="2238"/>
    <cellStyle name="Обычный 3 3 2 11 2" xfId="6088"/>
    <cellStyle name="Обычный 3 3 2 12" xfId="2533"/>
    <cellStyle name="Обычный 3 3 2 12 2" xfId="6384"/>
    <cellStyle name="Обычный 3 3 2 13" xfId="2829"/>
    <cellStyle name="Обычный 3 3 2 13 2" xfId="6680"/>
    <cellStyle name="Обычный 3 3 2 14" xfId="3125"/>
    <cellStyle name="Обычный 3 3 2 14 2" xfId="6976"/>
    <cellStyle name="Обычный 3 3 2 15" xfId="3421"/>
    <cellStyle name="Обычный 3 3 2 15 2" xfId="7272"/>
    <cellStyle name="Обычный 3 3 2 16" xfId="3717"/>
    <cellStyle name="Обычный 3 3 2 16 2" xfId="7568"/>
    <cellStyle name="Обычный 3 3 2 17" xfId="4013"/>
    <cellStyle name="Обычный 3 3 2 17 2" xfId="7864"/>
    <cellStyle name="Обычный 3 3 2 18" xfId="8160"/>
    <cellStyle name="Обычный 3 3 2 19" xfId="4309"/>
    <cellStyle name="Обычный 3 3 2 2" xfId="20"/>
    <cellStyle name="Обычный 3 3 2 2 10" xfId="2259"/>
    <cellStyle name="Обычный 3 3 2 2 10 2" xfId="6110"/>
    <cellStyle name="Обычный 3 3 2 2 11" xfId="2555"/>
    <cellStyle name="Обычный 3 3 2 2 11 2" xfId="6406"/>
    <cellStyle name="Обычный 3 3 2 2 12" xfId="2851"/>
    <cellStyle name="Обычный 3 3 2 2 12 2" xfId="6702"/>
    <cellStyle name="Обычный 3 3 2 2 13" xfId="3147"/>
    <cellStyle name="Обычный 3 3 2 2 13 2" xfId="6998"/>
    <cellStyle name="Обычный 3 3 2 2 14" xfId="3443"/>
    <cellStyle name="Обычный 3 3 2 2 14 2" xfId="7294"/>
    <cellStyle name="Обычный 3 3 2 2 15" xfId="3739"/>
    <cellStyle name="Обычный 3 3 2 2 15 2" xfId="7590"/>
    <cellStyle name="Обычный 3 3 2 2 16" xfId="4035"/>
    <cellStyle name="Обычный 3 3 2 2 16 2" xfId="7886"/>
    <cellStyle name="Обычный 3 3 2 2 17" xfId="8182"/>
    <cellStyle name="Обычный 3 3 2 2 18" xfId="4331"/>
    <cellStyle name="Обычный 3 3 2 2 19" xfId="124"/>
    <cellStyle name="Обычный 3 3 2 2 2" xfId="39"/>
    <cellStyle name="Обычный 3 3 2 2 2 10" xfId="2899"/>
    <cellStyle name="Обычный 3 3 2 2 2 10 2" xfId="6750"/>
    <cellStyle name="Обычный 3 3 2 2 2 11" xfId="3195"/>
    <cellStyle name="Обычный 3 3 2 2 2 11 2" xfId="7046"/>
    <cellStyle name="Обычный 3 3 2 2 2 12" xfId="3491"/>
    <cellStyle name="Обычный 3 3 2 2 2 12 2" xfId="7342"/>
    <cellStyle name="Обычный 3 3 2 2 2 13" xfId="3787"/>
    <cellStyle name="Обычный 3 3 2 2 2 13 2" xfId="7638"/>
    <cellStyle name="Обычный 3 3 2 2 2 14" xfId="4083"/>
    <cellStyle name="Обычный 3 3 2 2 2 14 2" xfId="7934"/>
    <cellStyle name="Обычный 3 3 2 2 2 15" xfId="8232"/>
    <cellStyle name="Обычный 3 3 2 2 2 16" xfId="4380"/>
    <cellStyle name="Обычный 3 3 2 2 2 17" xfId="177"/>
    <cellStyle name="Обычный 3 3 2 2 2 2" xfId="280"/>
    <cellStyle name="Обычный 3 3 2 2 2 2 10" xfId="3343"/>
    <cellStyle name="Обычный 3 3 2 2 2 2 10 2" xfId="7194"/>
    <cellStyle name="Обычный 3 3 2 2 2 2 11" xfId="3639"/>
    <cellStyle name="Обычный 3 3 2 2 2 2 11 2" xfId="7490"/>
    <cellStyle name="Обычный 3 3 2 2 2 2 12" xfId="3935"/>
    <cellStyle name="Обычный 3 3 2 2 2 2 12 2" xfId="7786"/>
    <cellStyle name="Обычный 3 3 2 2 2 2 13" xfId="4231"/>
    <cellStyle name="Обычный 3 3 2 2 2 2 13 2" xfId="8082"/>
    <cellStyle name="Обычный 3 3 2 2 2 2 14" xfId="8333"/>
    <cellStyle name="Обычный 3 3 2 2 2 2 15" xfId="4530"/>
    <cellStyle name="Обычный 3 3 2 2 2 2 2" xfId="962"/>
    <cellStyle name="Обычный 3 3 2 2 2 2 2 2" xfId="8696"/>
    <cellStyle name="Обычный 3 3 2 2 2 2 2 3" xfId="4826"/>
    <cellStyle name="Обычный 3 3 2 2 2 2 3" xfId="1288"/>
    <cellStyle name="Обычный 3 3 2 2 2 2 3 2" xfId="5122"/>
    <cellStyle name="Обычный 3 3 2 2 2 2 4" xfId="1574"/>
    <cellStyle name="Обычный 3 3 2 2 2 2 4 2" xfId="5418"/>
    <cellStyle name="Обычный 3 3 2 2 2 2 5" xfId="1867"/>
    <cellStyle name="Обычный 3 3 2 2 2 2 5 2" xfId="5714"/>
    <cellStyle name="Обычный 3 3 2 2 2 2 6" xfId="2160"/>
    <cellStyle name="Обычный 3 3 2 2 2 2 6 2" xfId="6010"/>
    <cellStyle name="Обычный 3 3 2 2 2 2 7" xfId="2455"/>
    <cellStyle name="Обычный 3 3 2 2 2 2 7 2" xfId="6306"/>
    <cellStyle name="Обычный 3 3 2 2 2 2 8" xfId="2751"/>
    <cellStyle name="Обычный 3 3 2 2 2 2 8 2" xfId="6602"/>
    <cellStyle name="Обычный 3 3 2 2 2 2 9" xfId="3047"/>
    <cellStyle name="Обычный 3 3 2 2 2 2 9 2" xfId="6898"/>
    <cellStyle name="Обычный 3 3 2 2 2 3" xfId="381"/>
    <cellStyle name="Обычный 3 3 2 2 2 3 2" xfId="963"/>
    <cellStyle name="Обычный 3 3 2 2 2 3 3" xfId="8433"/>
    <cellStyle name="Обычный 3 3 2 2 2 3 4" xfId="4678"/>
    <cellStyle name="Обычный 3 3 2 2 2 4" xfId="964"/>
    <cellStyle name="Обычный 3 3 2 2 2 4 2" xfId="8697"/>
    <cellStyle name="Обычный 3 3 2 2 2 4 3" xfId="4974"/>
    <cellStyle name="Обычный 3 3 2 2 2 5" xfId="1430"/>
    <cellStyle name="Обычный 3 3 2 2 2 5 2" xfId="5270"/>
    <cellStyle name="Обычный 3 3 2 2 2 6" xfId="1720"/>
    <cellStyle name="Обычный 3 3 2 2 2 6 2" xfId="5566"/>
    <cellStyle name="Обычный 3 3 2 2 2 7" xfId="2012"/>
    <cellStyle name="Обычный 3 3 2 2 2 7 2" xfId="5862"/>
    <cellStyle name="Обычный 3 3 2 2 2 8" xfId="2307"/>
    <cellStyle name="Обычный 3 3 2 2 2 8 2" xfId="6158"/>
    <cellStyle name="Обычный 3 3 2 2 2 9" xfId="2603"/>
    <cellStyle name="Обычный 3 3 2 2 2 9 2" xfId="6454"/>
    <cellStyle name="Обычный 3 3 2 2 3" xfId="230"/>
    <cellStyle name="Обычный 3 3 2 2 3 10" xfId="2949"/>
    <cellStyle name="Обычный 3 3 2 2 3 10 2" xfId="6800"/>
    <cellStyle name="Обычный 3 3 2 2 3 11" xfId="3245"/>
    <cellStyle name="Обычный 3 3 2 2 3 11 2" xfId="7096"/>
    <cellStyle name="Обычный 3 3 2 2 3 12" xfId="3541"/>
    <cellStyle name="Обычный 3 3 2 2 3 12 2" xfId="7392"/>
    <cellStyle name="Обычный 3 3 2 2 3 13" xfId="3837"/>
    <cellStyle name="Обычный 3 3 2 2 3 13 2" xfId="7688"/>
    <cellStyle name="Обычный 3 3 2 2 3 14" xfId="4133"/>
    <cellStyle name="Обычный 3 3 2 2 3 14 2" xfId="7984"/>
    <cellStyle name="Обычный 3 3 2 2 3 15" xfId="8283"/>
    <cellStyle name="Обычный 3 3 2 2 3 16" xfId="4431"/>
    <cellStyle name="Обычный 3 3 2 2 3 2" xfId="965"/>
    <cellStyle name="Обычный 3 3 2 2 3 2 10" xfId="3393"/>
    <cellStyle name="Обычный 3 3 2 2 3 2 10 2" xfId="7244"/>
    <cellStyle name="Обычный 3 3 2 2 3 2 11" xfId="3689"/>
    <cellStyle name="Обычный 3 3 2 2 3 2 11 2" xfId="7540"/>
    <cellStyle name="Обычный 3 3 2 2 3 2 12" xfId="3985"/>
    <cellStyle name="Обычный 3 3 2 2 3 2 12 2" xfId="7836"/>
    <cellStyle name="Обычный 3 3 2 2 3 2 13" xfId="4281"/>
    <cellStyle name="Обычный 3 3 2 2 3 2 13 2" xfId="8132"/>
    <cellStyle name="Обычный 3 3 2 2 3 2 14" xfId="8698"/>
    <cellStyle name="Обычный 3 3 2 2 3 2 15" xfId="4580"/>
    <cellStyle name="Обычный 3 3 2 2 3 2 2" xfId="1147"/>
    <cellStyle name="Обычный 3 3 2 2 3 2 2 2" xfId="4876"/>
    <cellStyle name="Обычный 3 3 2 2 3 2 3" xfId="1336"/>
    <cellStyle name="Обычный 3 3 2 2 3 2 3 2" xfId="5172"/>
    <cellStyle name="Обычный 3 3 2 2 3 2 4" xfId="1623"/>
    <cellStyle name="Обычный 3 3 2 2 3 2 4 2" xfId="5468"/>
    <cellStyle name="Обычный 3 3 2 2 3 2 5" xfId="1916"/>
    <cellStyle name="Обычный 3 3 2 2 3 2 5 2" xfId="5764"/>
    <cellStyle name="Обычный 3 3 2 2 3 2 6" xfId="2210"/>
    <cellStyle name="Обычный 3 3 2 2 3 2 6 2" xfId="6060"/>
    <cellStyle name="Обычный 3 3 2 2 3 2 7" xfId="2505"/>
    <cellStyle name="Обычный 3 3 2 2 3 2 7 2" xfId="6356"/>
    <cellStyle name="Обычный 3 3 2 2 3 2 8" xfId="2801"/>
    <cellStyle name="Обычный 3 3 2 2 3 2 8 2" xfId="6652"/>
    <cellStyle name="Обычный 3 3 2 2 3 2 9" xfId="3097"/>
    <cellStyle name="Обычный 3 3 2 2 3 2 9 2" xfId="6948"/>
    <cellStyle name="Обычный 3 3 2 2 3 3" xfId="1100"/>
    <cellStyle name="Обычный 3 3 2 2 3 3 2" xfId="4728"/>
    <cellStyle name="Обычный 3 3 2 2 3 4" xfId="1194"/>
    <cellStyle name="Обычный 3 3 2 2 3 4 2" xfId="5024"/>
    <cellStyle name="Обычный 3 3 2 2 3 5" xfId="1478"/>
    <cellStyle name="Обычный 3 3 2 2 3 5 2" xfId="5320"/>
    <cellStyle name="Обычный 3 3 2 2 3 6" xfId="1769"/>
    <cellStyle name="Обычный 3 3 2 2 3 6 2" xfId="5616"/>
    <cellStyle name="Обычный 3 3 2 2 3 7" xfId="2062"/>
    <cellStyle name="Обычный 3 3 2 2 3 7 2" xfId="5912"/>
    <cellStyle name="Обычный 3 3 2 2 3 8" xfId="2357"/>
    <cellStyle name="Обычный 3 3 2 2 3 8 2" xfId="6208"/>
    <cellStyle name="Обычный 3 3 2 2 3 9" xfId="2653"/>
    <cellStyle name="Обычный 3 3 2 2 3 9 2" xfId="6504"/>
    <cellStyle name="Обычный 3 3 2 2 4" xfId="331"/>
    <cellStyle name="Обычный 3 3 2 2 4 10" xfId="3295"/>
    <cellStyle name="Обычный 3 3 2 2 4 10 2" xfId="7146"/>
    <cellStyle name="Обычный 3 3 2 2 4 11" xfId="3591"/>
    <cellStyle name="Обычный 3 3 2 2 4 11 2" xfId="7442"/>
    <cellStyle name="Обычный 3 3 2 2 4 12" xfId="3887"/>
    <cellStyle name="Обычный 3 3 2 2 4 12 2" xfId="7738"/>
    <cellStyle name="Обычный 3 3 2 2 4 13" xfId="4183"/>
    <cellStyle name="Обычный 3 3 2 2 4 13 2" xfId="8034"/>
    <cellStyle name="Обычный 3 3 2 2 4 14" xfId="8383"/>
    <cellStyle name="Обычный 3 3 2 2 4 15" xfId="4482"/>
    <cellStyle name="Обычный 3 3 2 2 4 2" xfId="966"/>
    <cellStyle name="Обычный 3 3 2 2 4 2 2" xfId="8699"/>
    <cellStyle name="Обычный 3 3 2 2 4 2 3" xfId="4778"/>
    <cellStyle name="Обычный 3 3 2 2 4 3" xfId="1242"/>
    <cellStyle name="Обычный 3 3 2 2 4 3 2" xfId="5074"/>
    <cellStyle name="Обычный 3 3 2 2 4 4" xfId="1527"/>
    <cellStyle name="Обычный 3 3 2 2 4 4 2" xfId="5370"/>
    <cellStyle name="Обычный 3 3 2 2 4 5" xfId="1819"/>
    <cellStyle name="Обычный 3 3 2 2 4 5 2" xfId="5666"/>
    <cellStyle name="Обычный 3 3 2 2 4 6" xfId="2112"/>
    <cellStyle name="Обычный 3 3 2 2 4 6 2" xfId="5962"/>
    <cellStyle name="Обычный 3 3 2 2 4 7" xfId="2407"/>
    <cellStyle name="Обычный 3 3 2 2 4 7 2" xfId="6258"/>
    <cellStyle name="Обычный 3 3 2 2 4 8" xfId="2703"/>
    <cellStyle name="Обычный 3 3 2 2 4 8 2" xfId="6554"/>
    <cellStyle name="Обычный 3 3 2 2 4 9" xfId="2999"/>
    <cellStyle name="Обычный 3 3 2 2 4 9 2" xfId="6850"/>
    <cellStyle name="Обычный 3 3 2 2 5" xfId="967"/>
    <cellStyle name="Обычный 3 3 2 2 5 2" xfId="8700"/>
    <cellStyle name="Обычный 3 3 2 2 5 3" xfId="4630"/>
    <cellStyle name="Обычный 3 3 2 2 6" xfId="968"/>
    <cellStyle name="Обычный 3 3 2 2 6 2" xfId="8701"/>
    <cellStyle name="Обычный 3 3 2 2 6 3" xfId="4926"/>
    <cellStyle name="Обычный 3 3 2 2 7" xfId="1383"/>
    <cellStyle name="Обычный 3 3 2 2 7 2" xfId="5222"/>
    <cellStyle name="Обычный 3 3 2 2 8" xfId="1672"/>
    <cellStyle name="Обычный 3 3 2 2 8 2" xfId="5518"/>
    <cellStyle name="Обычный 3 3 2 2 9" xfId="1965"/>
    <cellStyle name="Обычный 3 3 2 2 9 2" xfId="5814"/>
    <cellStyle name="Обычный 3 3 2 20" xfId="80"/>
    <cellStyle name="Обычный 3 3 2 3" xfId="26"/>
    <cellStyle name="Обычный 3 3 2 3 10" xfId="2877"/>
    <cellStyle name="Обычный 3 3 2 3 10 2" xfId="6728"/>
    <cellStyle name="Обычный 3 3 2 3 11" xfId="3173"/>
    <cellStyle name="Обычный 3 3 2 3 11 2" xfId="7024"/>
    <cellStyle name="Обычный 3 3 2 3 12" xfId="3469"/>
    <cellStyle name="Обычный 3 3 2 3 12 2" xfId="7320"/>
    <cellStyle name="Обычный 3 3 2 3 13" xfId="3765"/>
    <cellStyle name="Обычный 3 3 2 3 13 2" xfId="7616"/>
    <cellStyle name="Обычный 3 3 2 3 14" xfId="4061"/>
    <cellStyle name="Обычный 3 3 2 3 14 2" xfId="7912"/>
    <cellStyle name="Обычный 3 3 2 3 15" xfId="8210"/>
    <cellStyle name="Обычный 3 3 2 3 16" xfId="4358"/>
    <cellStyle name="Обычный 3 3 2 3 17" xfId="155"/>
    <cellStyle name="Обычный 3 3 2 3 2" xfId="45"/>
    <cellStyle name="Обычный 3 3 2 3 2 10" xfId="3321"/>
    <cellStyle name="Обычный 3 3 2 3 2 10 2" xfId="7172"/>
    <cellStyle name="Обычный 3 3 2 3 2 11" xfId="3617"/>
    <cellStyle name="Обычный 3 3 2 3 2 11 2" xfId="7468"/>
    <cellStyle name="Обычный 3 3 2 3 2 12" xfId="3913"/>
    <cellStyle name="Обычный 3 3 2 3 2 12 2" xfId="7764"/>
    <cellStyle name="Обычный 3 3 2 3 2 13" xfId="4209"/>
    <cellStyle name="Обычный 3 3 2 3 2 13 2" xfId="8060"/>
    <cellStyle name="Обычный 3 3 2 3 2 14" xfId="8311"/>
    <cellStyle name="Обычный 3 3 2 3 2 15" xfId="4508"/>
    <cellStyle name="Обычный 3 3 2 3 2 16" xfId="258"/>
    <cellStyle name="Обычный 3 3 2 3 2 2" xfId="969"/>
    <cellStyle name="Обычный 3 3 2 3 2 2 2" xfId="8702"/>
    <cellStyle name="Обычный 3 3 2 3 2 2 3" xfId="4804"/>
    <cellStyle name="Обычный 3 3 2 3 2 3" xfId="1267"/>
    <cellStyle name="Обычный 3 3 2 3 2 3 2" xfId="5100"/>
    <cellStyle name="Обычный 3 3 2 3 2 4" xfId="1553"/>
    <cellStyle name="Обычный 3 3 2 3 2 4 2" xfId="5396"/>
    <cellStyle name="Обычный 3 3 2 3 2 5" xfId="1845"/>
    <cellStyle name="Обычный 3 3 2 3 2 5 2" xfId="5692"/>
    <cellStyle name="Обычный 3 3 2 3 2 6" xfId="2138"/>
    <cellStyle name="Обычный 3 3 2 3 2 6 2" xfId="5988"/>
    <cellStyle name="Обычный 3 3 2 3 2 7" xfId="2433"/>
    <cellStyle name="Обычный 3 3 2 3 2 7 2" xfId="6284"/>
    <cellStyle name="Обычный 3 3 2 3 2 8" xfId="2729"/>
    <cellStyle name="Обычный 3 3 2 3 2 8 2" xfId="6580"/>
    <cellStyle name="Обычный 3 3 2 3 2 9" xfId="3025"/>
    <cellStyle name="Обычный 3 3 2 3 2 9 2" xfId="6876"/>
    <cellStyle name="Обычный 3 3 2 3 3" xfId="359"/>
    <cellStyle name="Обычный 3 3 2 3 3 2" xfId="970"/>
    <cellStyle name="Обычный 3 3 2 3 3 3" xfId="8411"/>
    <cellStyle name="Обычный 3 3 2 3 3 4" xfId="4656"/>
    <cellStyle name="Обычный 3 3 2 3 4" xfId="971"/>
    <cellStyle name="Обычный 3 3 2 3 4 2" xfId="8703"/>
    <cellStyle name="Обычный 3 3 2 3 4 3" xfId="4952"/>
    <cellStyle name="Обычный 3 3 2 3 5" xfId="1409"/>
    <cellStyle name="Обычный 3 3 2 3 5 2" xfId="5248"/>
    <cellStyle name="Обычный 3 3 2 3 6" xfId="1698"/>
    <cellStyle name="Обычный 3 3 2 3 6 2" xfId="5544"/>
    <cellStyle name="Обычный 3 3 2 3 7" xfId="1991"/>
    <cellStyle name="Обычный 3 3 2 3 7 2" xfId="5840"/>
    <cellStyle name="Обычный 3 3 2 3 8" xfId="2285"/>
    <cellStyle name="Обычный 3 3 2 3 8 2" xfId="6136"/>
    <cellStyle name="Обычный 3 3 2 3 9" xfId="2581"/>
    <cellStyle name="Обычный 3 3 2 3 9 2" xfId="6432"/>
    <cellStyle name="Обычный 3 3 2 4" xfId="33"/>
    <cellStyle name="Обычный 3 3 2 4 10" xfId="2927"/>
    <cellStyle name="Обычный 3 3 2 4 10 2" xfId="6778"/>
    <cellStyle name="Обычный 3 3 2 4 11" xfId="3223"/>
    <cellStyle name="Обычный 3 3 2 4 11 2" xfId="7074"/>
    <cellStyle name="Обычный 3 3 2 4 12" xfId="3519"/>
    <cellStyle name="Обычный 3 3 2 4 12 2" xfId="7370"/>
    <cellStyle name="Обычный 3 3 2 4 13" xfId="3815"/>
    <cellStyle name="Обычный 3 3 2 4 13 2" xfId="7666"/>
    <cellStyle name="Обычный 3 3 2 4 14" xfId="4111"/>
    <cellStyle name="Обычный 3 3 2 4 14 2" xfId="7962"/>
    <cellStyle name="Обычный 3 3 2 4 15" xfId="8261"/>
    <cellStyle name="Обычный 3 3 2 4 16" xfId="4409"/>
    <cellStyle name="Обычный 3 3 2 4 17" xfId="208"/>
    <cellStyle name="Обычный 3 3 2 4 2" xfId="972"/>
    <cellStyle name="Обычный 3 3 2 4 2 10" xfId="3371"/>
    <cellStyle name="Обычный 3 3 2 4 2 10 2" xfId="7222"/>
    <cellStyle name="Обычный 3 3 2 4 2 11" xfId="3667"/>
    <cellStyle name="Обычный 3 3 2 4 2 11 2" xfId="7518"/>
    <cellStyle name="Обычный 3 3 2 4 2 12" xfId="3963"/>
    <cellStyle name="Обычный 3 3 2 4 2 12 2" xfId="7814"/>
    <cellStyle name="Обычный 3 3 2 4 2 13" xfId="4259"/>
    <cellStyle name="Обычный 3 3 2 4 2 13 2" xfId="8110"/>
    <cellStyle name="Обычный 3 3 2 4 2 14" xfId="8704"/>
    <cellStyle name="Обычный 3 3 2 4 2 15" xfId="4558"/>
    <cellStyle name="Обычный 3 3 2 4 2 2" xfId="1126"/>
    <cellStyle name="Обычный 3 3 2 4 2 2 2" xfId="4854"/>
    <cellStyle name="Обычный 3 3 2 4 2 3" xfId="1315"/>
    <cellStyle name="Обычный 3 3 2 4 2 3 2" xfId="5150"/>
    <cellStyle name="Обычный 3 3 2 4 2 4" xfId="1602"/>
    <cellStyle name="Обычный 3 3 2 4 2 4 2" xfId="5446"/>
    <cellStyle name="Обычный 3 3 2 4 2 5" xfId="1895"/>
    <cellStyle name="Обычный 3 3 2 4 2 5 2" xfId="5742"/>
    <cellStyle name="Обычный 3 3 2 4 2 6" xfId="2188"/>
    <cellStyle name="Обычный 3 3 2 4 2 6 2" xfId="6038"/>
    <cellStyle name="Обычный 3 3 2 4 2 7" xfId="2483"/>
    <cellStyle name="Обычный 3 3 2 4 2 7 2" xfId="6334"/>
    <cellStyle name="Обычный 3 3 2 4 2 8" xfId="2779"/>
    <cellStyle name="Обычный 3 3 2 4 2 8 2" xfId="6630"/>
    <cellStyle name="Обычный 3 3 2 4 2 9" xfId="3075"/>
    <cellStyle name="Обычный 3 3 2 4 2 9 2" xfId="6926"/>
    <cellStyle name="Обычный 3 3 2 4 3" xfId="1079"/>
    <cellStyle name="Обычный 3 3 2 4 3 2" xfId="4706"/>
    <cellStyle name="Обычный 3 3 2 4 4" xfId="1173"/>
    <cellStyle name="Обычный 3 3 2 4 4 2" xfId="5002"/>
    <cellStyle name="Обычный 3 3 2 4 5" xfId="1456"/>
    <cellStyle name="Обычный 3 3 2 4 5 2" xfId="5298"/>
    <cellStyle name="Обычный 3 3 2 4 6" xfId="1747"/>
    <cellStyle name="Обычный 3 3 2 4 6 2" xfId="5594"/>
    <cellStyle name="Обычный 3 3 2 4 7" xfId="2040"/>
    <cellStyle name="Обычный 3 3 2 4 7 2" xfId="5890"/>
    <cellStyle name="Обычный 3 3 2 4 8" xfId="2335"/>
    <cellStyle name="Обычный 3 3 2 4 8 2" xfId="6186"/>
    <cellStyle name="Обычный 3 3 2 4 9" xfId="2631"/>
    <cellStyle name="Обычный 3 3 2 4 9 2" xfId="6482"/>
    <cellStyle name="Обычный 3 3 2 5" xfId="309"/>
    <cellStyle name="Обычный 3 3 2 5 10" xfId="3273"/>
    <cellStyle name="Обычный 3 3 2 5 10 2" xfId="7124"/>
    <cellStyle name="Обычный 3 3 2 5 11" xfId="3569"/>
    <cellStyle name="Обычный 3 3 2 5 11 2" xfId="7420"/>
    <cellStyle name="Обычный 3 3 2 5 12" xfId="3865"/>
    <cellStyle name="Обычный 3 3 2 5 12 2" xfId="7716"/>
    <cellStyle name="Обычный 3 3 2 5 13" xfId="4161"/>
    <cellStyle name="Обычный 3 3 2 5 13 2" xfId="8012"/>
    <cellStyle name="Обычный 3 3 2 5 14" xfId="8361"/>
    <cellStyle name="Обычный 3 3 2 5 15" xfId="4460"/>
    <cellStyle name="Обычный 3 3 2 5 2" xfId="973"/>
    <cellStyle name="Обычный 3 3 2 5 2 2" xfId="8705"/>
    <cellStyle name="Обычный 3 3 2 5 2 3" xfId="4756"/>
    <cellStyle name="Обычный 3 3 2 5 3" xfId="1220"/>
    <cellStyle name="Обычный 3 3 2 5 3 2" xfId="5052"/>
    <cellStyle name="Обычный 3 3 2 5 4" xfId="1505"/>
    <cellStyle name="Обычный 3 3 2 5 4 2" xfId="5348"/>
    <cellStyle name="Обычный 3 3 2 5 5" xfId="1797"/>
    <cellStyle name="Обычный 3 3 2 5 5 2" xfId="5644"/>
    <cellStyle name="Обычный 3 3 2 5 6" xfId="2090"/>
    <cellStyle name="Обычный 3 3 2 5 6 2" xfId="5940"/>
    <cellStyle name="Обычный 3 3 2 5 7" xfId="2385"/>
    <cellStyle name="Обычный 3 3 2 5 7 2" xfId="6236"/>
    <cellStyle name="Обычный 3 3 2 5 8" xfId="2681"/>
    <cellStyle name="Обычный 3 3 2 5 8 2" xfId="6532"/>
    <cellStyle name="Обычный 3 3 2 5 9" xfId="2977"/>
    <cellStyle name="Обычный 3 3 2 5 9 2" xfId="6828"/>
    <cellStyle name="Обычный 3 3 2 6" xfId="974"/>
    <cellStyle name="Обычный 3 3 2 6 2" xfId="8706"/>
    <cellStyle name="Обычный 3 3 2 6 3" xfId="4608"/>
    <cellStyle name="Обычный 3 3 2 7" xfId="975"/>
    <cellStyle name="Обычный 3 3 2 7 2" xfId="8707"/>
    <cellStyle name="Обычный 3 3 2 7 3" xfId="4904"/>
    <cellStyle name="Обычный 3 3 2 8" xfId="1362"/>
    <cellStyle name="Обычный 3 3 2 8 2" xfId="5200"/>
    <cellStyle name="Обычный 3 3 2 9" xfId="1651"/>
    <cellStyle name="Обычный 3 3 2 9 2" xfId="5496"/>
    <cellStyle name="Обычный 3 3 20" xfId="8159"/>
    <cellStyle name="Обычный 3 3 21" xfId="4308"/>
    <cellStyle name="Обычный 3 3 22" xfId="79"/>
    <cellStyle name="Обычный 3 3 3" xfId="17"/>
    <cellStyle name="Обычный 3 3 3 10" xfId="1945"/>
    <cellStyle name="Обычный 3 3 3 10 2" xfId="5793"/>
    <cellStyle name="Обычный 3 3 3 11" xfId="2239"/>
    <cellStyle name="Обычный 3 3 3 11 2" xfId="6089"/>
    <cellStyle name="Обычный 3 3 3 12" xfId="2534"/>
    <cellStyle name="Обычный 3 3 3 12 2" xfId="6385"/>
    <cellStyle name="Обычный 3 3 3 13" xfId="2830"/>
    <cellStyle name="Обычный 3 3 3 13 2" xfId="6681"/>
    <cellStyle name="Обычный 3 3 3 14" xfId="3126"/>
    <cellStyle name="Обычный 3 3 3 14 2" xfId="6977"/>
    <cellStyle name="Обычный 3 3 3 15" xfId="3422"/>
    <cellStyle name="Обычный 3 3 3 15 2" xfId="7273"/>
    <cellStyle name="Обычный 3 3 3 16" xfId="3718"/>
    <cellStyle name="Обычный 3 3 3 16 2" xfId="7569"/>
    <cellStyle name="Обычный 3 3 3 17" xfId="4014"/>
    <cellStyle name="Обычный 3 3 3 17 2" xfId="7865"/>
    <cellStyle name="Обычный 3 3 3 18" xfId="8161"/>
    <cellStyle name="Обычный 3 3 3 19" xfId="4310"/>
    <cellStyle name="Обычный 3 3 3 2" xfId="36"/>
    <cellStyle name="Обычный 3 3 3 2 10" xfId="2260"/>
    <cellStyle name="Обычный 3 3 3 2 10 2" xfId="6111"/>
    <cellStyle name="Обычный 3 3 3 2 11" xfId="2556"/>
    <cellStyle name="Обычный 3 3 3 2 11 2" xfId="6407"/>
    <cellStyle name="Обычный 3 3 3 2 12" xfId="2852"/>
    <cellStyle name="Обычный 3 3 3 2 12 2" xfId="6703"/>
    <cellStyle name="Обычный 3 3 3 2 13" xfId="3148"/>
    <cellStyle name="Обычный 3 3 3 2 13 2" xfId="6999"/>
    <cellStyle name="Обычный 3 3 3 2 14" xfId="3444"/>
    <cellStyle name="Обычный 3 3 3 2 14 2" xfId="7295"/>
    <cellStyle name="Обычный 3 3 3 2 15" xfId="3740"/>
    <cellStyle name="Обычный 3 3 3 2 15 2" xfId="7591"/>
    <cellStyle name="Обычный 3 3 3 2 16" xfId="4036"/>
    <cellStyle name="Обычный 3 3 3 2 16 2" xfId="7887"/>
    <cellStyle name="Обычный 3 3 3 2 17" xfId="8183"/>
    <cellStyle name="Обычный 3 3 3 2 18" xfId="4332"/>
    <cellStyle name="Обычный 3 3 3 2 19" xfId="125"/>
    <cellStyle name="Обычный 3 3 3 2 2" xfId="178"/>
    <cellStyle name="Обычный 3 3 3 2 2 10" xfId="2900"/>
    <cellStyle name="Обычный 3 3 3 2 2 10 2" xfId="6751"/>
    <cellStyle name="Обычный 3 3 3 2 2 11" xfId="3196"/>
    <cellStyle name="Обычный 3 3 3 2 2 11 2" xfId="7047"/>
    <cellStyle name="Обычный 3 3 3 2 2 12" xfId="3492"/>
    <cellStyle name="Обычный 3 3 3 2 2 12 2" xfId="7343"/>
    <cellStyle name="Обычный 3 3 3 2 2 13" xfId="3788"/>
    <cellStyle name="Обычный 3 3 3 2 2 13 2" xfId="7639"/>
    <cellStyle name="Обычный 3 3 3 2 2 14" xfId="4084"/>
    <cellStyle name="Обычный 3 3 3 2 2 14 2" xfId="7935"/>
    <cellStyle name="Обычный 3 3 3 2 2 15" xfId="8233"/>
    <cellStyle name="Обычный 3 3 3 2 2 16" xfId="4381"/>
    <cellStyle name="Обычный 3 3 3 2 2 2" xfId="281"/>
    <cellStyle name="Обычный 3 3 3 2 2 2 10" xfId="3344"/>
    <cellStyle name="Обычный 3 3 3 2 2 2 10 2" xfId="7195"/>
    <cellStyle name="Обычный 3 3 3 2 2 2 11" xfId="3640"/>
    <cellStyle name="Обычный 3 3 3 2 2 2 11 2" xfId="7491"/>
    <cellStyle name="Обычный 3 3 3 2 2 2 12" xfId="3936"/>
    <cellStyle name="Обычный 3 3 3 2 2 2 12 2" xfId="7787"/>
    <cellStyle name="Обычный 3 3 3 2 2 2 13" xfId="4232"/>
    <cellStyle name="Обычный 3 3 3 2 2 2 13 2" xfId="8083"/>
    <cellStyle name="Обычный 3 3 3 2 2 2 14" xfId="8334"/>
    <cellStyle name="Обычный 3 3 3 2 2 2 15" xfId="4531"/>
    <cellStyle name="Обычный 3 3 3 2 2 2 2" xfId="976"/>
    <cellStyle name="Обычный 3 3 3 2 2 2 2 2" xfId="8708"/>
    <cellStyle name="Обычный 3 3 3 2 2 2 2 3" xfId="4827"/>
    <cellStyle name="Обычный 3 3 3 2 2 2 3" xfId="1289"/>
    <cellStyle name="Обычный 3 3 3 2 2 2 3 2" xfId="5123"/>
    <cellStyle name="Обычный 3 3 3 2 2 2 4" xfId="1575"/>
    <cellStyle name="Обычный 3 3 3 2 2 2 4 2" xfId="5419"/>
    <cellStyle name="Обычный 3 3 3 2 2 2 5" xfId="1868"/>
    <cellStyle name="Обычный 3 3 3 2 2 2 5 2" xfId="5715"/>
    <cellStyle name="Обычный 3 3 3 2 2 2 6" xfId="2161"/>
    <cellStyle name="Обычный 3 3 3 2 2 2 6 2" xfId="6011"/>
    <cellStyle name="Обычный 3 3 3 2 2 2 7" xfId="2456"/>
    <cellStyle name="Обычный 3 3 3 2 2 2 7 2" xfId="6307"/>
    <cellStyle name="Обычный 3 3 3 2 2 2 8" xfId="2752"/>
    <cellStyle name="Обычный 3 3 3 2 2 2 8 2" xfId="6603"/>
    <cellStyle name="Обычный 3 3 3 2 2 2 9" xfId="3048"/>
    <cellStyle name="Обычный 3 3 3 2 2 2 9 2" xfId="6899"/>
    <cellStyle name="Обычный 3 3 3 2 2 3" xfId="382"/>
    <cellStyle name="Обычный 3 3 3 2 2 3 2" xfId="977"/>
    <cellStyle name="Обычный 3 3 3 2 2 3 3" xfId="8434"/>
    <cellStyle name="Обычный 3 3 3 2 2 3 4" xfId="4679"/>
    <cellStyle name="Обычный 3 3 3 2 2 4" xfId="978"/>
    <cellStyle name="Обычный 3 3 3 2 2 4 2" xfId="8709"/>
    <cellStyle name="Обычный 3 3 3 2 2 4 3" xfId="4975"/>
    <cellStyle name="Обычный 3 3 3 2 2 5" xfId="1431"/>
    <cellStyle name="Обычный 3 3 3 2 2 5 2" xfId="5271"/>
    <cellStyle name="Обычный 3 3 3 2 2 6" xfId="1721"/>
    <cellStyle name="Обычный 3 3 3 2 2 6 2" xfId="5567"/>
    <cellStyle name="Обычный 3 3 3 2 2 7" xfId="2013"/>
    <cellStyle name="Обычный 3 3 3 2 2 7 2" xfId="5863"/>
    <cellStyle name="Обычный 3 3 3 2 2 8" xfId="2308"/>
    <cellStyle name="Обычный 3 3 3 2 2 8 2" xfId="6159"/>
    <cellStyle name="Обычный 3 3 3 2 2 9" xfId="2604"/>
    <cellStyle name="Обычный 3 3 3 2 2 9 2" xfId="6455"/>
    <cellStyle name="Обычный 3 3 3 2 3" xfId="231"/>
    <cellStyle name="Обычный 3 3 3 2 3 10" xfId="2950"/>
    <cellStyle name="Обычный 3 3 3 2 3 10 2" xfId="6801"/>
    <cellStyle name="Обычный 3 3 3 2 3 11" xfId="3246"/>
    <cellStyle name="Обычный 3 3 3 2 3 11 2" xfId="7097"/>
    <cellStyle name="Обычный 3 3 3 2 3 12" xfId="3542"/>
    <cellStyle name="Обычный 3 3 3 2 3 12 2" xfId="7393"/>
    <cellStyle name="Обычный 3 3 3 2 3 13" xfId="3838"/>
    <cellStyle name="Обычный 3 3 3 2 3 13 2" xfId="7689"/>
    <cellStyle name="Обычный 3 3 3 2 3 14" xfId="4134"/>
    <cellStyle name="Обычный 3 3 3 2 3 14 2" xfId="7985"/>
    <cellStyle name="Обычный 3 3 3 2 3 15" xfId="8284"/>
    <cellStyle name="Обычный 3 3 3 2 3 16" xfId="4432"/>
    <cellStyle name="Обычный 3 3 3 2 3 2" xfId="979"/>
    <cellStyle name="Обычный 3 3 3 2 3 2 10" xfId="3394"/>
    <cellStyle name="Обычный 3 3 3 2 3 2 10 2" xfId="7245"/>
    <cellStyle name="Обычный 3 3 3 2 3 2 11" xfId="3690"/>
    <cellStyle name="Обычный 3 3 3 2 3 2 11 2" xfId="7541"/>
    <cellStyle name="Обычный 3 3 3 2 3 2 12" xfId="3986"/>
    <cellStyle name="Обычный 3 3 3 2 3 2 12 2" xfId="7837"/>
    <cellStyle name="Обычный 3 3 3 2 3 2 13" xfId="4282"/>
    <cellStyle name="Обычный 3 3 3 2 3 2 13 2" xfId="8133"/>
    <cellStyle name="Обычный 3 3 3 2 3 2 14" xfId="8710"/>
    <cellStyle name="Обычный 3 3 3 2 3 2 15" xfId="4581"/>
    <cellStyle name="Обычный 3 3 3 2 3 2 2" xfId="1148"/>
    <cellStyle name="Обычный 3 3 3 2 3 2 2 2" xfId="4877"/>
    <cellStyle name="Обычный 3 3 3 2 3 2 3" xfId="1337"/>
    <cellStyle name="Обычный 3 3 3 2 3 2 3 2" xfId="5173"/>
    <cellStyle name="Обычный 3 3 3 2 3 2 4" xfId="1624"/>
    <cellStyle name="Обычный 3 3 3 2 3 2 4 2" xfId="5469"/>
    <cellStyle name="Обычный 3 3 3 2 3 2 5" xfId="1917"/>
    <cellStyle name="Обычный 3 3 3 2 3 2 5 2" xfId="5765"/>
    <cellStyle name="Обычный 3 3 3 2 3 2 6" xfId="2211"/>
    <cellStyle name="Обычный 3 3 3 2 3 2 6 2" xfId="6061"/>
    <cellStyle name="Обычный 3 3 3 2 3 2 7" xfId="2506"/>
    <cellStyle name="Обычный 3 3 3 2 3 2 7 2" xfId="6357"/>
    <cellStyle name="Обычный 3 3 3 2 3 2 8" xfId="2802"/>
    <cellStyle name="Обычный 3 3 3 2 3 2 8 2" xfId="6653"/>
    <cellStyle name="Обычный 3 3 3 2 3 2 9" xfId="3098"/>
    <cellStyle name="Обычный 3 3 3 2 3 2 9 2" xfId="6949"/>
    <cellStyle name="Обычный 3 3 3 2 3 3" xfId="1101"/>
    <cellStyle name="Обычный 3 3 3 2 3 3 2" xfId="4729"/>
    <cellStyle name="Обычный 3 3 3 2 3 4" xfId="1195"/>
    <cellStyle name="Обычный 3 3 3 2 3 4 2" xfId="5025"/>
    <cellStyle name="Обычный 3 3 3 2 3 5" xfId="1479"/>
    <cellStyle name="Обычный 3 3 3 2 3 5 2" xfId="5321"/>
    <cellStyle name="Обычный 3 3 3 2 3 6" xfId="1770"/>
    <cellStyle name="Обычный 3 3 3 2 3 6 2" xfId="5617"/>
    <cellStyle name="Обычный 3 3 3 2 3 7" xfId="2063"/>
    <cellStyle name="Обычный 3 3 3 2 3 7 2" xfId="5913"/>
    <cellStyle name="Обычный 3 3 3 2 3 8" xfId="2358"/>
    <cellStyle name="Обычный 3 3 3 2 3 8 2" xfId="6209"/>
    <cellStyle name="Обычный 3 3 3 2 3 9" xfId="2654"/>
    <cellStyle name="Обычный 3 3 3 2 3 9 2" xfId="6505"/>
    <cellStyle name="Обычный 3 3 3 2 4" xfId="332"/>
    <cellStyle name="Обычный 3 3 3 2 4 10" xfId="3296"/>
    <cellStyle name="Обычный 3 3 3 2 4 10 2" xfId="7147"/>
    <cellStyle name="Обычный 3 3 3 2 4 11" xfId="3592"/>
    <cellStyle name="Обычный 3 3 3 2 4 11 2" xfId="7443"/>
    <cellStyle name="Обычный 3 3 3 2 4 12" xfId="3888"/>
    <cellStyle name="Обычный 3 3 3 2 4 12 2" xfId="7739"/>
    <cellStyle name="Обычный 3 3 3 2 4 13" xfId="4184"/>
    <cellStyle name="Обычный 3 3 3 2 4 13 2" xfId="8035"/>
    <cellStyle name="Обычный 3 3 3 2 4 14" xfId="8384"/>
    <cellStyle name="Обычный 3 3 3 2 4 15" xfId="4483"/>
    <cellStyle name="Обычный 3 3 3 2 4 2" xfId="980"/>
    <cellStyle name="Обычный 3 3 3 2 4 2 2" xfId="8711"/>
    <cellStyle name="Обычный 3 3 3 2 4 2 3" xfId="4779"/>
    <cellStyle name="Обычный 3 3 3 2 4 3" xfId="1243"/>
    <cellStyle name="Обычный 3 3 3 2 4 3 2" xfId="5075"/>
    <cellStyle name="Обычный 3 3 3 2 4 4" xfId="1528"/>
    <cellStyle name="Обычный 3 3 3 2 4 4 2" xfId="5371"/>
    <cellStyle name="Обычный 3 3 3 2 4 5" xfId="1820"/>
    <cellStyle name="Обычный 3 3 3 2 4 5 2" xfId="5667"/>
    <cellStyle name="Обычный 3 3 3 2 4 6" xfId="2113"/>
    <cellStyle name="Обычный 3 3 3 2 4 6 2" xfId="5963"/>
    <cellStyle name="Обычный 3 3 3 2 4 7" xfId="2408"/>
    <cellStyle name="Обычный 3 3 3 2 4 7 2" xfId="6259"/>
    <cellStyle name="Обычный 3 3 3 2 4 8" xfId="2704"/>
    <cellStyle name="Обычный 3 3 3 2 4 8 2" xfId="6555"/>
    <cellStyle name="Обычный 3 3 3 2 4 9" xfId="3000"/>
    <cellStyle name="Обычный 3 3 3 2 4 9 2" xfId="6851"/>
    <cellStyle name="Обычный 3 3 3 2 5" xfId="981"/>
    <cellStyle name="Обычный 3 3 3 2 5 2" xfId="8712"/>
    <cellStyle name="Обычный 3 3 3 2 5 3" xfId="4631"/>
    <cellStyle name="Обычный 3 3 3 2 6" xfId="982"/>
    <cellStyle name="Обычный 3 3 3 2 6 2" xfId="8713"/>
    <cellStyle name="Обычный 3 3 3 2 6 3" xfId="4927"/>
    <cellStyle name="Обычный 3 3 3 2 7" xfId="1384"/>
    <cellStyle name="Обычный 3 3 3 2 7 2" xfId="5223"/>
    <cellStyle name="Обычный 3 3 3 2 8" xfId="1673"/>
    <cellStyle name="Обычный 3 3 3 2 8 2" xfId="5519"/>
    <cellStyle name="Обычный 3 3 3 2 9" xfId="1966"/>
    <cellStyle name="Обычный 3 3 3 2 9 2" xfId="5815"/>
    <cellStyle name="Обычный 3 3 3 20" xfId="81"/>
    <cellStyle name="Обычный 3 3 3 3" xfId="156"/>
    <cellStyle name="Обычный 3 3 3 3 10" xfId="2878"/>
    <cellStyle name="Обычный 3 3 3 3 10 2" xfId="6729"/>
    <cellStyle name="Обычный 3 3 3 3 11" xfId="3174"/>
    <cellStyle name="Обычный 3 3 3 3 11 2" xfId="7025"/>
    <cellStyle name="Обычный 3 3 3 3 12" xfId="3470"/>
    <cellStyle name="Обычный 3 3 3 3 12 2" xfId="7321"/>
    <cellStyle name="Обычный 3 3 3 3 13" xfId="3766"/>
    <cellStyle name="Обычный 3 3 3 3 13 2" xfId="7617"/>
    <cellStyle name="Обычный 3 3 3 3 14" xfId="4062"/>
    <cellStyle name="Обычный 3 3 3 3 14 2" xfId="7913"/>
    <cellStyle name="Обычный 3 3 3 3 15" xfId="8211"/>
    <cellStyle name="Обычный 3 3 3 3 16" xfId="4359"/>
    <cellStyle name="Обычный 3 3 3 3 2" xfId="259"/>
    <cellStyle name="Обычный 3 3 3 3 2 10" xfId="3322"/>
    <cellStyle name="Обычный 3 3 3 3 2 10 2" xfId="7173"/>
    <cellStyle name="Обычный 3 3 3 3 2 11" xfId="3618"/>
    <cellStyle name="Обычный 3 3 3 3 2 11 2" xfId="7469"/>
    <cellStyle name="Обычный 3 3 3 3 2 12" xfId="3914"/>
    <cellStyle name="Обычный 3 3 3 3 2 12 2" xfId="7765"/>
    <cellStyle name="Обычный 3 3 3 3 2 13" xfId="4210"/>
    <cellStyle name="Обычный 3 3 3 3 2 13 2" xfId="8061"/>
    <cellStyle name="Обычный 3 3 3 3 2 14" xfId="8312"/>
    <cellStyle name="Обычный 3 3 3 3 2 15" xfId="4509"/>
    <cellStyle name="Обычный 3 3 3 3 2 2" xfId="983"/>
    <cellStyle name="Обычный 3 3 3 3 2 2 2" xfId="8714"/>
    <cellStyle name="Обычный 3 3 3 3 2 2 3" xfId="4805"/>
    <cellStyle name="Обычный 3 3 3 3 2 3" xfId="1268"/>
    <cellStyle name="Обычный 3 3 3 3 2 3 2" xfId="5101"/>
    <cellStyle name="Обычный 3 3 3 3 2 4" xfId="1554"/>
    <cellStyle name="Обычный 3 3 3 3 2 4 2" xfId="5397"/>
    <cellStyle name="Обычный 3 3 3 3 2 5" xfId="1846"/>
    <cellStyle name="Обычный 3 3 3 3 2 5 2" xfId="5693"/>
    <cellStyle name="Обычный 3 3 3 3 2 6" xfId="2139"/>
    <cellStyle name="Обычный 3 3 3 3 2 6 2" xfId="5989"/>
    <cellStyle name="Обычный 3 3 3 3 2 7" xfId="2434"/>
    <cellStyle name="Обычный 3 3 3 3 2 7 2" xfId="6285"/>
    <cellStyle name="Обычный 3 3 3 3 2 8" xfId="2730"/>
    <cellStyle name="Обычный 3 3 3 3 2 8 2" xfId="6581"/>
    <cellStyle name="Обычный 3 3 3 3 2 9" xfId="3026"/>
    <cellStyle name="Обычный 3 3 3 3 2 9 2" xfId="6877"/>
    <cellStyle name="Обычный 3 3 3 3 3" xfId="360"/>
    <cellStyle name="Обычный 3 3 3 3 3 2" xfId="984"/>
    <cellStyle name="Обычный 3 3 3 3 3 3" xfId="8412"/>
    <cellStyle name="Обычный 3 3 3 3 3 4" xfId="4657"/>
    <cellStyle name="Обычный 3 3 3 3 4" xfId="985"/>
    <cellStyle name="Обычный 3 3 3 3 4 2" xfId="8715"/>
    <cellStyle name="Обычный 3 3 3 3 4 3" xfId="4953"/>
    <cellStyle name="Обычный 3 3 3 3 5" xfId="1410"/>
    <cellStyle name="Обычный 3 3 3 3 5 2" xfId="5249"/>
    <cellStyle name="Обычный 3 3 3 3 6" xfId="1699"/>
    <cellStyle name="Обычный 3 3 3 3 6 2" xfId="5545"/>
    <cellStyle name="Обычный 3 3 3 3 7" xfId="1992"/>
    <cellStyle name="Обычный 3 3 3 3 7 2" xfId="5841"/>
    <cellStyle name="Обычный 3 3 3 3 8" xfId="2286"/>
    <cellStyle name="Обычный 3 3 3 3 8 2" xfId="6137"/>
    <cellStyle name="Обычный 3 3 3 3 9" xfId="2582"/>
    <cellStyle name="Обычный 3 3 3 3 9 2" xfId="6433"/>
    <cellStyle name="Обычный 3 3 3 4" xfId="209"/>
    <cellStyle name="Обычный 3 3 3 4 10" xfId="2928"/>
    <cellStyle name="Обычный 3 3 3 4 10 2" xfId="6779"/>
    <cellStyle name="Обычный 3 3 3 4 11" xfId="3224"/>
    <cellStyle name="Обычный 3 3 3 4 11 2" xfId="7075"/>
    <cellStyle name="Обычный 3 3 3 4 12" xfId="3520"/>
    <cellStyle name="Обычный 3 3 3 4 12 2" xfId="7371"/>
    <cellStyle name="Обычный 3 3 3 4 13" xfId="3816"/>
    <cellStyle name="Обычный 3 3 3 4 13 2" xfId="7667"/>
    <cellStyle name="Обычный 3 3 3 4 14" xfId="4112"/>
    <cellStyle name="Обычный 3 3 3 4 14 2" xfId="7963"/>
    <cellStyle name="Обычный 3 3 3 4 15" xfId="8262"/>
    <cellStyle name="Обычный 3 3 3 4 16" xfId="4410"/>
    <cellStyle name="Обычный 3 3 3 4 2" xfId="986"/>
    <cellStyle name="Обычный 3 3 3 4 2 10" xfId="3372"/>
    <cellStyle name="Обычный 3 3 3 4 2 10 2" xfId="7223"/>
    <cellStyle name="Обычный 3 3 3 4 2 11" xfId="3668"/>
    <cellStyle name="Обычный 3 3 3 4 2 11 2" xfId="7519"/>
    <cellStyle name="Обычный 3 3 3 4 2 12" xfId="3964"/>
    <cellStyle name="Обычный 3 3 3 4 2 12 2" xfId="7815"/>
    <cellStyle name="Обычный 3 3 3 4 2 13" xfId="4260"/>
    <cellStyle name="Обычный 3 3 3 4 2 13 2" xfId="8111"/>
    <cellStyle name="Обычный 3 3 3 4 2 14" xfId="8716"/>
    <cellStyle name="Обычный 3 3 3 4 2 15" xfId="4559"/>
    <cellStyle name="Обычный 3 3 3 4 2 2" xfId="1127"/>
    <cellStyle name="Обычный 3 3 3 4 2 2 2" xfId="4855"/>
    <cellStyle name="Обычный 3 3 3 4 2 3" xfId="1316"/>
    <cellStyle name="Обычный 3 3 3 4 2 3 2" xfId="5151"/>
    <cellStyle name="Обычный 3 3 3 4 2 4" xfId="1603"/>
    <cellStyle name="Обычный 3 3 3 4 2 4 2" xfId="5447"/>
    <cellStyle name="Обычный 3 3 3 4 2 5" xfId="1896"/>
    <cellStyle name="Обычный 3 3 3 4 2 5 2" xfId="5743"/>
    <cellStyle name="Обычный 3 3 3 4 2 6" xfId="2189"/>
    <cellStyle name="Обычный 3 3 3 4 2 6 2" xfId="6039"/>
    <cellStyle name="Обычный 3 3 3 4 2 7" xfId="2484"/>
    <cellStyle name="Обычный 3 3 3 4 2 7 2" xfId="6335"/>
    <cellStyle name="Обычный 3 3 3 4 2 8" xfId="2780"/>
    <cellStyle name="Обычный 3 3 3 4 2 8 2" xfId="6631"/>
    <cellStyle name="Обычный 3 3 3 4 2 9" xfId="3076"/>
    <cellStyle name="Обычный 3 3 3 4 2 9 2" xfId="6927"/>
    <cellStyle name="Обычный 3 3 3 4 3" xfId="1080"/>
    <cellStyle name="Обычный 3 3 3 4 3 2" xfId="4707"/>
    <cellStyle name="Обычный 3 3 3 4 4" xfId="1174"/>
    <cellStyle name="Обычный 3 3 3 4 4 2" xfId="5003"/>
    <cellStyle name="Обычный 3 3 3 4 5" xfId="1457"/>
    <cellStyle name="Обычный 3 3 3 4 5 2" xfId="5299"/>
    <cellStyle name="Обычный 3 3 3 4 6" xfId="1748"/>
    <cellStyle name="Обычный 3 3 3 4 6 2" xfId="5595"/>
    <cellStyle name="Обычный 3 3 3 4 7" xfId="2041"/>
    <cellStyle name="Обычный 3 3 3 4 7 2" xfId="5891"/>
    <cellStyle name="Обычный 3 3 3 4 8" xfId="2336"/>
    <cellStyle name="Обычный 3 3 3 4 8 2" xfId="6187"/>
    <cellStyle name="Обычный 3 3 3 4 9" xfId="2632"/>
    <cellStyle name="Обычный 3 3 3 4 9 2" xfId="6483"/>
    <cellStyle name="Обычный 3 3 3 5" xfId="310"/>
    <cellStyle name="Обычный 3 3 3 5 10" xfId="3274"/>
    <cellStyle name="Обычный 3 3 3 5 10 2" xfId="7125"/>
    <cellStyle name="Обычный 3 3 3 5 11" xfId="3570"/>
    <cellStyle name="Обычный 3 3 3 5 11 2" xfId="7421"/>
    <cellStyle name="Обычный 3 3 3 5 12" xfId="3866"/>
    <cellStyle name="Обычный 3 3 3 5 12 2" xfId="7717"/>
    <cellStyle name="Обычный 3 3 3 5 13" xfId="4162"/>
    <cellStyle name="Обычный 3 3 3 5 13 2" xfId="8013"/>
    <cellStyle name="Обычный 3 3 3 5 14" xfId="8362"/>
    <cellStyle name="Обычный 3 3 3 5 15" xfId="4461"/>
    <cellStyle name="Обычный 3 3 3 5 2" xfId="987"/>
    <cellStyle name="Обычный 3 3 3 5 2 2" xfId="8717"/>
    <cellStyle name="Обычный 3 3 3 5 2 3" xfId="4757"/>
    <cellStyle name="Обычный 3 3 3 5 3" xfId="1221"/>
    <cellStyle name="Обычный 3 3 3 5 3 2" xfId="5053"/>
    <cellStyle name="Обычный 3 3 3 5 4" xfId="1506"/>
    <cellStyle name="Обычный 3 3 3 5 4 2" xfId="5349"/>
    <cellStyle name="Обычный 3 3 3 5 5" xfId="1798"/>
    <cellStyle name="Обычный 3 3 3 5 5 2" xfId="5645"/>
    <cellStyle name="Обычный 3 3 3 5 6" xfId="2091"/>
    <cellStyle name="Обычный 3 3 3 5 6 2" xfId="5941"/>
    <cellStyle name="Обычный 3 3 3 5 7" xfId="2386"/>
    <cellStyle name="Обычный 3 3 3 5 7 2" xfId="6237"/>
    <cellStyle name="Обычный 3 3 3 5 8" xfId="2682"/>
    <cellStyle name="Обычный 3 3 3 5 8 2" xfId="6533"/>
    <cellStyle name="Обычный 3 3 3 5 9" xfId="2978"/>
    <cellStyle name="Обычный 3 3 3 5 9 2" xfId="6829"/>
    <cellStyle name="Обычный 3 3 3 6" xfId="988"/>
    <cellStyle name="Обычный 3 3 3 6 2" xfId="8718"/>
    <cellStyle name="Обычный 3 3 3 6 3" xfId="4609"/>
    <cellStyle name="Обычный 3 3 3 7" xfId="989"/>
    <cellStyle name="Обычный 3 3 3 7 2" xfId="8719"/>
    <cellStyle name="Обычный 3 3 3 7 3" xfId="4905"/>
    <cellStyle name="Обычный 3 3 3 8" xfId="1363"/>
    <cellStyle name="Обычный 3 3 3 8 2" xfId="5201"/>
    <cellStyle name="Обычный 3 3 3 9" xfId="1652"/>
    <cellStyle name="Обычный 3 3 3 9 2" xfId="5497"/>
    <cellStyle name="Обычный 3 3 4" xfId="23"/>
    <cellStyle name="Обычный 3 3 4 10" xfId="2258"/>
    <cellStyle name="Обычный 3 3 4 10 2" xfId="6109"/>
    <cellStyle name="Обычный 3 3 4 11" xfId="2554"/>
    <cellStyle name="Обычный 3 3 4 11 2" xfId="6405"/>
    <cellStyle name="Обычный 3 3 4 12" xfId="2850"/>
    <cellStyle name="Обычный 3 3 4 12 2" xfId="6701"/>
    <cellStyle name="Обычный 3 3 4 13" xfId="3146"/>
    <cellStyle name="Обычный 3 3 4 13 2" xfId="6997"/>
    <cellStyle name="Обычный 3 3 4 14" xfId="3442"/>
    <cellStyle name="Обычный 3 3 4 14 2" xfId="7293"/>
    <cellStyle name="Обычный 3 3 4 15" xfId="3738"/>
    <cellStyle name="Обычный 3 3 4 15 2" xfId="7589"/>
    <cellStyle name="Обычный 3 3 4 16" xfId="4034"/>
    <cellStyle name="Обычный 3 3 4 16 2" xfId="7885"/>
    <cellStyle name="Обычный 3 3 4 17" xfId="8181"/>
    <cellStyle name="Обычный 3 3 4 18" xfId="4330"/>
    <cellStyle name="Обычный 3 3 4 19" xfId="123"/>
    <cellStyle name="Обычный 3 3 4 2" xfId="42"/>
    <cellStyle name="Обычный 3 3 4 2 10" xfId="2898"/>
    <cellStyle name="Обычный 3 3 4 2 10 2" xfId="6749"/>
    <cellStyle name="Обычный 3 3 4 2 11" xfId="3194"/>
    <cellStyle name="Обычный 3 3 4 2 11 2" xfId="7045"/>
    <cellStyle name="Обычный 3 3 4 2 12" xfId="3490"/>
    <cellStyle name="Обычный 3 3 4 2 12 2" xfId="7341"/>
    <cellStyle name="Обычный 3 3 4 2 13" xfId="3786"/>
    <cellStyle name="Обычный 3 3 4 2 13 2" xfId="7637"/>
    <cellStyle name="Обычный 3 3 4 2 14" xfId="4082"/>
    <cellStyle name="Обычный 3 3 4 2 14 2" xfId="7933"/>
    <cellStyle name="Обычный 3 3 4 2 15" xfId="8231"/>
    <cellStyle name="Обычный 3 3 4 2 16" xfId="4379"/>
    <cellStyle name="Обычный 3 3 4 2 17" xfId="176"/>
    <cellStyle name="Обычный 3 3 4 2 2" xfId="279"/>
    <cellStyle name="Обычный 3 3 4 2 2 10" xfId="3342"/>
    <cellStyle name="Обычный 3 3 4 2 2 10 2" xfId="7193"/>
    <cellStyle name="Обычный 3 3 4 2 2 11" xfId="3638"/>
    <cellStyle name="Обычный 3 3 4 2 2 11 2" xfId="7489"/>
    <cellStyle name="Обычный 3 3 4 2 2 12" xfId="3934"/>
    <cellStyle name="Обычный 3 3 4 2 2 12 2" xfId="7785"/>
    <cellStyle name="Обычный 3 3 4 2 2 13" xfId="4230"/>
    <cellStyle name="Обычный 3 3 4 2 2 13 2" xfId="8081"/>
    <cellStyle name="Обычный 3 3 4 2 2 14" xfId="8332"/>
    <cellStyle name="Обычный 3 3 4 2 2 15" xfId="4529"/>
    <cellStyle name="Обычный 3 3 4 2 2 2" xfId="990"/>
    <cellStyle name="Обычный 3 3 4 2 2 2 2" xfId="8720"/>
    <cellStyle name="Обычный 3 3 4 2 2 2 3" xfId="4825"/>
    <cellStyle name="Обычный 3 3 4 2 2 3" xfId="1287"/>
    <cellStyle name="Обычный 3 3 4 2 2 3 2" xfId="5121"/>
    <cellStyle name="Обычный 3 3 4 2 2 4" xfId="1573"/>
    <cellStyle name="Обычный 3 3 4 2 2 4 2" xfId="5417"/>
    <cellStyle name="Обычный 3 3 4 2 2 5" xfId="1866"/>
    <cellStyle name="Обычный 3 3 4 2 2 5 2" xfId="5713"/>
    <cellStyle name="Обычный 3 3 4 2 2 6" xfId="2159"/>
    <cellStyle name="Обычный 3 3 4 2 2 6 2" xfId="6009"/>
    <cellStyle name="Обычный 3 3 4 2 2 7" xfId="2454"/>
    <cellStyle name="Обычный 3 3 4 2 2 7 2" xfId="6305"/>
    <cellStyle name="Обычный 3 3 4 2 2 8" xfId="2750"/>
    <cellStyle name="Обычный 3 3 4 2 2 8 2" xfId="6601"/>
    <cellStyle name="Обычный 3 3 4 2 2 9" xfId="3046"/>
    <cellStyle name="Обычный 3 3 4 2 2 9 2" xfId="6897"/>
    <cellStyle name="Обычный 3 3 4 2 3" xfId="380"/>
    <cellStyle name="Обычный 3 3 4 2 3 2" xfId="991"/>
    <cellStyle name="Обычный 3 3 4 2 3 3" xfId="8432"/>
    <cellStyle name="Обычный 3 3 4 2 3 4" xfId="4677"/>
    <cellStyle name="Обычный 3 3 4 2 4" xfId="992"/>
    <cellStyle name="Обычный 3 3 4 2 4 2" xfId="8721"/>
    <cellStyle name="Обычный 3 3 4 2 4 3" xfId="4973"/>
    <cellStyle name="Обычный 3 3 4 2 5" xfId="1429"/>
    <cellStyle name="Обычный 3 3 4 2 5 2" xfId="5269"/>
    <cellStyle name="Обычный 3 3 4 2 6" xfId="1719"/>
    <cellStyle name="Обычный 3 3 4 2 6 2" xfId="5565"/>
    <cellStyle name="Обычный 3 3 4 2 7" xfId="2011"/>
    <cellStyle name="Обычный 3 3 4 2 7 2" xfId="5861"/>
    <cellStyle name="Обычный 3 3 4 2 8" xfId="2306"/>
    <cellStyle name="Обычный 3 3 4 2 8 2" xfId="6157"/>
    <cellStyle name="Обычный 3 3 4 2 9" xfId="2602"/>
    <cellStyle name="Обычный 3 3 4 2 9 2" xfId="6453"/>
    <cellStyle name="Обычный 3 3 4 3" xfId="229"/>
    <cellStyle name="Обычный 3 3 4 3 10" xfId="2948"/>
    <cellStyle name="Обычный 3 3 4 3 10 2" xfId="6799"/>
    <cellStyle name="Обычный 3 3 4 3 11" xfId="3244"/>
    <cellStyle name="Обычный 3 3 4 3 11 2" xfId="7095"/>
    <cellStyle name="Обычный 3 3 4 3 12" xfId="3540"/>
    <cellStyle name="Обычный 3 3 4 3 12 2" xfId="7391"/>
    <cellStyle name="Обычный 3 3 4 3 13" xfId="3836"/>
    <cellStyle name="Обычный 3 3 4 3 13 2" xfId="7687"/>
    <cellStyle name="Обычный 3 3 4 3 14" xfId="4132"/>
    <cellStyle name="Обычный 3 3 4 3 14 2" xfId="7983"/>
    <cellStyle name="Обычный 3 3 4 3 15" xfId="8282"/>
    <cellStyle name="Обычный 3 3 4 3 16" xfId="4430"/>
    <cellStyle name="Обычный 3 3 4 3 2" xfId="993"/>
    <cellStyle name="Обычный 3 3 4 3 2 10" xfId="3392"/>
    <cellStyle name="Обычный 3 3 4 3 2 10 2" xfId="7243"/>
    <cellStyle name="Обычный 3 3 4 3 2 11" xfId="3688"/>
    <cellStyle name="Обычный 3 3 4 3 2 11 2" xfId="7539"/>
    <cellStyle name="Обычный 3 3 4 3 2 12" xfId="3984"/>
    <cellStyle name="Обычный 3 3 4 3 2 12 2" xfId="7835"/>
    <cellStyle name="Обычный 3 3 4 3 2 13" xfId="4280"/>
    <cellStyle name="Обычный 3 3 4 3 2 13 2" xfId="8131"/>
    <cellStyle name="Обычный 3 3 4 3 2 14" xfId="8722"/>
    <cellStyle name="Обычный 3 3 4 3 2 15" xfId="4579"/>
    <cellStyle name="Обычный 3 3 4 3 2 2" xfId="1146"/>
    <cellStyle name="Обычный 3 3 4 3 2 2 2" xfId="4875"/>
    <cellStyle name="Обычный 3 3 4 3 2 3" xfId="1335"/>
    <cellStyle name="Обычный 3 3 4 3 2 3 2" xfId="5171"/>
    <cellStyle name="Обычный 3 3 4 3 2 4" xfId="1622"/>
    <cellStyle name="Обычный 3 3 4 3 2 4 2" xfId="5467"/>
    <cellStyle name="Обычный 3 3 4 3 2 5" xfId="1915"/>
    <cellStyle name="Обычный 3 3 4 3 2 5 2" xfId="5763"/>
    <cellStyle name="Обычный 3 3 4 3 2 6" xfId="2209"/>
    <cellStyle name="Обычный 3 3 4 3 2 6 2" xfId="6059"/>
    <cellStyle name="Обычный 3 3 4 3 2 7" xfId="2504"/>
    <cellStyle name="Обычный 3 3 4 3 2 7 2" xfId="6355"/>
    <cellStyle name="Обычный 3 3 4 3 2 8" xfId="2800"/>
    <cellStyle name="Обычный 3 3 4 3 2 8 2" xfId="6651"/>
    <cellStyle name="Обычный 3 3 4 3 2 9" xfId="3096"/>
    <cellStyle name="Обычный 3 3 4 3 2 9 2" xfId="6947"/>
    <cellStyle name="Обычный 3 3 4 3 3" xfId="1099"/>
    <cellStyle name="Обычный 3 3 4 3 3 2" xfId="4727"/>
    <cellStyle name="Обычный 3 3 4 3 4" xfId="1193"/>
    <cellStyle name="Обычный 3 3 4 3 4 2" xfId="5023"/>
    <cellStyle name="Обычный 3 3 4 3 5" xfId="1477"/>
    <cellStyle name="Обычный 3 3 4 3 5 2" xfId="5319"/>
    <cellStyle name="Обычный 3 3 4 3 6" xfId="1768"/>
    <cellStyle name="Обычный 3 3 4 3 6 2" xfId="5615"/>
    <cellStyle name="Обычный 3 3 4 3 7" xfId="2061"/>
    <cellStyle name="Обычный 3 3 4 3 7 2" xfId="5911"/>
    <cellStyle name="Обычный 3 3 4 3 8" xfId="2356"/>
    <cellStyle name="Обычный 3 3 4 3 8 2" xfId="6207"/>
    <cellStyle name="Обычный 3 3 4 3 9" xfId="2652"/>
    <cellStyle name="Обычный 3 3 4 3 9 2" xfId="6503"/>
    <cellStyle name="Обычный 3 3 4 4" xfId="330"/>
    <cellStyle name="Обычный 3 3 4 4 10" xfId="3294"/>
    <cellStyle name="Обычный 3 3 4 4 10 2" xfId="7145"/>
    <cellStyle name="Обычный 3 3 4 4 11" xfId="3590"/>
    <cellStyle name="Обычный 3 3 4 4 11 2" xfId="7441"/>
    <cellStyle name="Обычный 3 3 4 4 12" xfId="3886"/>
    <cellStyle name="Обычный 3 3 4 4 12 2" xfId="7737"/>
    <cellStyle name="Обычный 3 3 4 4 13" xfId="4182"/>
    <cellStyle name="Обычный 3 3 4 4 13 2" xfId="8033"/>
    <cellStyle name="Обычный 3 3 4 4 14" xfId="8382"/>
    <cellStyle name="Обычный 3 3 4 4 15" xfId="4481"/>
    <cellStyle name="Обычный 3 3 4 4 2" xfId="994"/>
    <cellStyle name="Обычный 3 3 4 4 2 2" xfId="8723"/>
    <cellStyle name="Обычный 3 3 4 4 2 3" xfId="4777"/>
    <cellStyle name="Обычный 3 3 4 4 3" xfId="1241"/>
    <cellStyle name="Обычный 3 3 4 4 3 2" xfId="5073"/>
    <cellStyle name="Обычный 3 3 4 4 4" xfId="1526"/>
    <cellStyle name="Обычный 3 3 4 4 4 2" xfId="5369"/>
    <cellStyle name="Обычный 3 3 4 4 5" xfId="1818"/>
    <cellStyle name="Обычный 3 3 4 4 5 2" xfId="5665"/>
    <cellStyle name="Обычный 3 3 4 4 6" xfId="2111"/>
    <cellStyle name="Обычный 3 3 4 4 6 2" xfId="5961"/>
    <cellStyle name="Обычный 3 3 4 4 7" xfId="2406"/>
    <cellStyle name="Обычный 3 3 4 4 7 2" xfId="6257"/>
    <cellStyle name="Обычный 3 3 4 4 8" xfId="2702"/>
    <cellStyle name="Обычный 3 3 4 4 8 2" xfId="6553"/>
    <cellStyle name="Обычный 3 3 4 4 9" xfId="2998"/>
    <cellStyle name="Обычный 3 3 4 4 9 2" xfId="6849"/>
    <cellStyle name="Обычный 3 3 4 5" xfId="995"/>
    <cellStyle name="Обычный 3 3 4 5 2" xfId="8724"/>
    <cellStyle name="Обычный 3 3 4 5 3" xfId="4629"/>
    <cellStyle name="Обычный 3 3 4 6" xfId="996"/>
    <cellStyle name="Обычный 3 3 4 6 2" xfId="8725"/>
    <cellStyle name="Обычный 3 3 4 6 3" xfId="4925"/>
    <cellStyle name="Обычный 3 3 4 7" xfId="1382"/>
    <cellStyle name="Обычный 3 3 4 7 2" xfId="5221"/>
    <cellStyle name="Обычный 3 3 4 8" xfId="1671"/>
    <cellStyle name="Обычный 3 3 4 8 2" xfId="5517"/>
    <cellStyle name="Обычный 3 3 4 9" xfId="1964"/>
    <cellStyle name="Обычный 3 3 4 9 2" xfId="5813"/>
    <cellStyle name="Обычный 3 3 5" xfId="30"/>
    <cellStyle name="Обычный 3 3 5 10" xfId="2876"/>
    <cellStyle name="Обычный 3 3 5 10 2" xfId="6727"/>
    <cellStyle name="Обычный 3 3 5 11" xfId="3172"/>
    <cellStyle name="Обычный 3 3 5 11 2" xfId="7023"/>
    <cellStyle name="Обычный 3 3 5 12" xfId="3468"/>
    <cellStyle name="Обычный 3 3 5 12 2" xfId="7319"/>
    <cellStyle name="Обычный 3 3 5 13" xfId="3764"/>
    <cellStyle name="Обычный 3 3 5 13 2" xfId="7615"/>
    <cellStyle name="Обычный 3 3 5 14" xfId="4060"/>
    <cellStyle name="Обычный 3 3 5 14 2" xfId="7911"/>
    <cellStyle name="Обычный 3 3 5 15" xfId="8209"/>
    <cellStyle name="Обычный 3 3 5 16" xfId="4357"/>
    <cellStyle name="Обычный 3 3 5 17" xfId="154"/>
    <cellStyle name="Обычный 3 3 5 2" xfId="257"/>
    <cellStyle name="Обычный 3 3 5 2 10" xfId="3320"/>
    <cellStyle name="Обычный 3 3 5 2 10 2" xfId="7171"/>
    <cellStyle name="Обычный 3 3 5 2 11" xfId="3616"/>
    <cellStyle name="Обычный 3 3 5 2 11 2" xfId="7467"/>
    <cellStyle name="Обычный 3 3 5 2 12" xfId="3912"/>
    <cellStyle name="Обычный 3 3 5 2 12 2" xfId="7763"/>
    <cellStyle name="Обычный 3 3 5 2 13" xfId="4208"/>
    <cellStyle name="Обычный 3 3 5 2 13 2" xfId="8059"/>
    <cellStyle name="Обычный 3 3 5 2 14" xfId="8310"/>
    <cellStyle name="Обычный 3 3 5 2 15" xfId="4507"/>
    <cellStyle name="Обычный 3 3 5 2 2" xfId="997"/>
    <cellStyle name="Обычный 3 3 5 2 2 2" xfId="8726"/>
    <cellStyle name="Обычный 3 3 5 2 2 3" xfId="4803"/>
    <cellStyle name="Обычный 3 3 5 2 3" xfId="1266"/>
    <cellStyle name="Обычный 3 3 5 2 3 2" xfId="5099"/>
    <cellStyle name="Обычный 3 3 5 2 4" xfId="1552"/>
    <cellStyle name="Обычный 3 3 5 2 4 2" xfId="5395"/>
    <cellStyle name="Обычный 3 3 5 2 5" xfId="1844"/>
    <cellStyle name="Обычный 3 3 5 2 5 2" xfId="5691"/>
    <cellStyle name="Обычный 3 3 5 2 6" xfId="2137"/>
    <cellStyle name="Обычный 3 3 5 2 6 2" xfId="5987"/>
    <cellStyle name="Обычный 3 3 5 2 7" xfId="2432"/>
    <cellStyle name="Обычный 3 3 5 2 7 2" xfId="6283"/>
    <cellStyle name="Обычный 3 3 5 2 8" xfId="2728"/>
    <cellStyle name="Обычный 3 3 5 2 8 2" xfId="6579"/>
    <cellStyle name="Обычный 3 3 5 2 9" xfId="3024"/>
    <cellStyle name="Обычный 3 3 5 2 9 2" xfId="6875"/>
    <cellStyle name="Обычный 3 3 5 3" xfId="358"/>
    <cellStyle name="Обычный 3 3 5 3 2" xfId="998"/>
    <cellStyle name="Обычный 3 3 5 3 3" xfId="8410"/>
    <cellStyle name="Обычный 3 3 5 3 4" xfId="4655"/>
    <cellStyle name="Обычный 3 3 5 4" xfId="999"/>
    <cellStyle name="Обычный 3 3 5 4 2" xfId="8727"/>
    <cellStyle name="Обычный 3 3 5 4 3" xfId="4951"/>
    <cellStyle name="Обычный 3 3 5 5" xfId="1408"/>
    <cellStyle name="Обычный 3 3 5 5 2" xfId="5247"/>
    <cellStyle name="Обычный 3 3 5 6" xfId="1697"/>
    <cellStyle name="Обычный 3 3 5 6 2" xfId="5543"/>
    <cellStyle name="Обычный 3 3 5 7" xfId="1990"/>
    <cellStyle name="Обычный 3 3 5 7 2" xfId="5839"/>
    <cellStyle name="Обычный 3 3 5 8" xfId="2284"/>
    <cellStyle name="Обычный 3 3 5 8 2" xfId="6135"/>
    <cellStyle name="Обычный 3 3 5 9" xfId="2580"/>
    <cellStyle name="Обычный 3 3 5 9 2" xfId="6431"/>
    <cellStyle name="Обычный 3 3 6" xfId="207"/>
    <cellStyle name="Обычный 3 3 6 10" xfId="2926"/>
    <cellStyle name="Обычный 3 3 6 10 2" xfId="6777"/>
    <cellStyle name="Обычный 3 3 6 11" xfId="3222"/>
    <cellStyle name="Обычный 3 3 6 11 2" xfId="7073"/>
    <cellStyle name="Обычный 3 3 6 12" xfId="3518"/>
    <cellStyle name="Обычный 3 3 6 12 2" xfId="7369"/>
    <cellStyle name="Обычный 3 3 6 13" xfId="3814"/>
    <cellStyle name="Обычный 3 3 6 13 2" xfId="7665"/>
    <cellStyle name="Обычный 3 3 6 14" xfId="4110"/>
    <cellStyle name="Обычный 3 3 6 14 2" xfId="7961"/>
    <cellStyle name="Обычный 3 3 6 15" xfId="8260"/>
    <cellStyle name="Обычный 3 3 6 16" xfId="4408"/>
    <cellStyle name="Обычный 3 3 6 2" xfId="1000"/>
    <cellStyle name="Обычный 3 3 6 2 10" xfId="3370"/>
    <cellStyle name="Обычный 3 3 6 2 10 2" xfId="7221"/>
    <cellStyle name="Обычный 3 3 6 2 11" xfId="3666"/>
    <cellStyle name="Обычный 3 3 6 2 11 2" xfId="7517"/>
    <cellStyle name="Обычный 3 3 6 2 12" xfId="3962"/>
    <cellStyle name="Обычный 3 3 6 2 12 2" xfId="7813"/>
    <cellStyle name="Обычный 3 3 6 2 13" xfId="4258"/>
    <cellStyle name="Обычный 3 3 6 2 13 2" xfId="8109"/>
    <cellStyle name="Обычный 3 3 6 2 14" xfId="8728"/>
    <cellStyle name="Обычный 3 3 6 2 15" xfId="4557"/>
    <cellStyle name="Обычный 3 3 6 2 2" xfId="1125"/>
    <cellStyle name="Обычный 3 3 6 2 2 2" xfId="4853"/>
    <cellStyle name="Обычный 3 3 6 2 3" xfId="1314"/>
    <cellStyle name="Обычный 3 3 6 2 3 2" xfId="5149"/>
    <cellStyle name="Обычный 3 3 6 2 4" xfId="1601"/>
    <cellStyle name="Обычный 3 3 6 2 4 2" xfId="5445"/>
    <cellStyle name="Обычный 3 3 6 2 5" xfId="1894"/>
    <cellStyle name="Обычный 3 3 6 2 5 2" xfId="5741"/>
    <cellStyle name="Обычный 3 3 6 2 6" xfId="2187"/>
    <cellStyle name="Обычный 3 3 6 2 6 2" xfId="6037"/>
    <cellStyle name="Обычный 3 3 6 2 7" xfId="2482"/>
    <cellStyle name="Обычный 3 3 6 2 7 2" xfId="6333"/>
    <cellStyle name="Обычный 3 3 6 2 8" xfId="2778"/>
    <cellStyle name="Обычный 3 3 6 2 8 2" xfId="6629"/>
    <cellStyle name="Обычный 3 3 6 2 9" xfId="3074"/>
    <cellStyle name="Обычный 3 3 6 2 9 2" xfId="6925"/>
    <cellStyle name="Обычный 3 3 6 3" xfId="1078"/>
    <cellStyle name="Обычный 3 3 6 3 2" xfId="4705"/>
    <cellStyle name="Обычный 3 3 6 4" xfId="1172"/>
    <cellStyle name="Обычный 3 3 6 4 2" xfId="5001"/>
    <cellStyle name="Обычный 3 3 6 5" xfId="1455"/>
    <cellStyle name="Обычный 3 3 6 5 2" xfId="5297"/>
    <cellStyle name="Обычный 3 3 6 6" xfId="1746"/>
    <cellStyle name="Обычный 3 3 6 6 2" xfId="5593"/>
    <cellStyle name="Обычный 3 3 6 7" xfId="2039"/>
    <cellStyle name="Обычный 3 3 6 7 2" xfId="5889"/>
    <cellStyle name="Обычный 3 3 6 8" xfId="2334"/>
    <cellStyle name="Обычный 3 3 6 8 2" xfId="6185"/>
    <cellStyle name="Обычный 3 3 6 9" xfId="2630"/>
    <cellStyle name="Обычный 3 3 6 9 2" xfId="6481"/>
    <cellStyle name="Обычный 3 3 7" xfId="308"/>
    <cellStyle name="Обычный 3 3 7 10" xfId="3272"/>
    <cellStyle name="Обычный 3 3 7 10 2" xfId="7123"/>
    <cellStyle name="Обычный 3 3 7 11" xfId="3568"/>
    <cellStyle name="Обычный 3 3 7 11 2" xfId="7419"/>
    <cellStyle name="Обычный 3 3 7 12" xfId="3864"/>
    <cellStyle name="Обычный 3 3 7 12 2" xfId="7715"/>
    <cellStyle name="Обычный 3 3 7 13" xfId="4160"/>
    <cellStyle name="Обычный 3 3 7 13 2" xfId="8011"/>
    <cellStyle name="Обычный 3 3 7 14" xfId="8360"/>
    <cellStyle name="Обычный 3 3 7 15" xfId="4459"/>
    <cellStyle name="Обычный 3 3 7 2" xfId="1001"/>
    <cellStyle name="Обычный 3 3 7 2 2" xfId="8729"/>
    <cellStyle name="Обычный 3 3 7 2 3" xfId="4755"/>
    <cellStyle name="Обычный 3 3 7 3" xfId="1219"/>
    <cellStyle name="Обычный 3 3 7 3 2" xfId="5051"/>
    <cellStyle name="Обычный 3 3 7 4" xfId="1504"/>
    <cellStyle name="Обычный 3 3 7 4 2" xfId="5347"/>
    <cellStyle name="Обычный 3 3 7 5" xfId="1796"/>
    <cellStyle name="Обычный 3 3 7 5 2" xfId="5643"/>
    <cellStyle name="Обычный 3 3 7 6" xfId="2089"/>
    <cellStyle name="Обычный 3 3 7 6 2" xfId="5939"/>
    <cellStyle name="Обычный 3 3 7 7" xfId="2384"/>
    <cellStyle name="Обычный 3 3 7 7 2" xfId="6235"/>
    <cellStyle name="Обычный 3 3 7 8" xfId="2680"/>
    <cellStyle name="Обычный 3 3 7 8 2" xfId="6531"/>
    <cellStyle name="Обычный 3 3 7 9" xfId="2976"/>
    <cellStyle name="Обычный 3 3 7 9 2" xfId="6827"/>
    <cellStyle name="Обычный 3 3 8" xfId="631"/>
    <cellStyle name="Обычный 3 3 8 2" xfId="8464"/>
    <cellStyle name="Обычный 3 3 8 3" xfId="4607"/>
    <cellStyle name="Обычный 3 3 9" xfId="1002"/>
    <cellStyle name="Обычный 3 3 9 2" xfId="8730"/>
    <cellStyle name="Обычный 3 3 9 3" xfId="4903"/>
    <cellStyle name="Обычный 3 30" xfId="4287"/>
    <cellStyle name="Обычный 3 31" xfId="8760"/>
    <cellStyle name="Обычный 3 32" xfId="49"/>
    <cellStyle name="Обычный 3 33" xfId="8803"/>
    <cellStyle name="Обычный 3 34" xfId="8861"/>
    <cellStyle name="Обычный 3 4" xfId="12"/>
    <cellStyle name="Обычный 3 4 2" xfId="18"/>
    <cellStyle name="Обычный 3 4 2 2" xfId="37"/>
    <cellStyle name="Обычный 3 4 2 3" xfId="708"/>
    <cellStyle name="Обычный 3 4 3" xfId="24"/>
    <cellStyle name="Обычный 3 4 3 2" xfId="43"/>
    <cellStyle name="Обычный 3 4 3 3" xfId="663"/>
    <cellStyle name="Обычный 3 4 4" xfId="31"/>
    <cellStyle name="Обычный 3 4 5" xfId="82"/>
    <cellStyle name="Обычный 3 5" xfId="15"/>
    <cellStyle name="Обычный 3 5 2" xfId="34"/>
    <cellStyle name="Обычный 3 5 3" xfId="83"/>
    <cellStyle name="Обычный 3 6" xfId="21"/>
    <cellStyle name="Обычный 3 6 2" xfId="40"/>
    <cellStyle name="Обычный 3 6 3" xfId="84"/>
    <cellStyle name="Обычный 3 7" xfId="28"/>
    <cellStyle name="Обычный 3 7 2" xfId="85"/>
    <cellStyle name="Обычный 3 8" xfId="86"/>
    <cellStyle name="Обычный 3 9" xfId="87"/>
    <cellStyle name="Обычный 30" xfId="99"/>
    <cellStyle name="Обычный 31" xfId="8866"/>
    <cellStyle name="Обычный 32" xfId="8867"/>
    <cellStyle name="Обычный 33" xfId="8868"/>
    <cellStyle name="Обычный 4" xfId="3"/>
    <cellStyle name="Обычный 4 10" xfId="187"/>
    <cellStyle name="Обычный 4 10 10" xfId="2906"/>
    <cellStyle name="Обычный 4 10 10 2" xfId="6757"/>
    <cellStyle name="Обычный 4 10 11" xfId="3202"/>
    <cellStyle name="Обычный 4 10 11 2" xfId="7053"/>
    <cellStyle name="Обычный 4 10 12" xfId="3498"/>
    <cellStyle name="Обычный 4 10 12 2" xfId="7349"/>
    <cellStyle name="Обычный 4 10 13" xfId="3794"/>
    <cellStyle name="Обычный 4 10 13 2" xfId="7645"/>
    <cellStyle name="Обычный 4 10 14" xfId="4090"/>
    <cellStyle name="Обычный 4 10 14 2" xfId="7941"/>
    <cellStyle name="Обычный 4 10 15" xfId="8240"/>
    <cellStyle name="Обычный 4 10 16" xfId="4388"/>
    <cellStyle name="Обычный 4 10 2" xfId="1003"/>
    <cellStyle name="Обычный 4 10 2 10" xfId="3350"/>
    <cellStyle name="Обычный 4 10 2 10 2" xfId="7201"/>
    <cellStyle name="Обычный 4 10 2 11" xfId="3646"/>
    <cellStyle name="Обычный 4 10 2 11 2" xfId="7497"/>
    <cellStyle name="Обычный 4 10 2 12" xfId="3942"/>
    <cellStyle name="Обычный 4 10 2 12 2" xfId="7793"/>
    <cellStyle name="Обычный 4 10 2 13" xfId="4238"/>
    <cellStyle name="Обычный 4 10 2 13 2" xfId="8089"/>
    <cellStyle name="Обычный 4 10 2 14" xfId="8731"/>
    <cellStyle name="Обычный 4 10 2 15" xfId="4537"/>
    <cellStyle name="Обычный 4 10 2 2" xfId="1105"/>
    <cellStyle name="Обычный 4 10 2 2 2" xfId="4833"/>
    <cellStyle name="Обычный 4 10 2 3" xfId="1294"/>
    <cellStyle name="Обычный 4 10 2 3 2" xfId="5129"/>
    <cellStyle name="Обычный 4 10 2 4" xfId="1581"/>
    <cellStyle name="Обычный 4 10 2 4 2" xfId="5425"/>
    <cellStyle name="Обычный 4 10 2 5" xfId="1874"/>
    <cellStyle name="Обычный 4 10 2 5 2" xfId="5721"/>
    <cellStyle name="Обычный 4 10 2 6" xfId="2167"/>
    <cellStyle name="Обычный 4 10 2 6 2" xfId="6017"/>
    <cellStyle name="Обычный 4 10 2 7" xfId="2462"/>
    <cellStyle name="Обычный 4 10 2 7 2" xfId="6313"/>
    <cellStyle name="Обычный 4 10 2 8" xfId="2758"/>
    <cellStyle name="Обычный 4 10 2 8 2" xfId="6609"/>
    <cellStyle name="Обычный 4 10 2 9" xfId="3054"/>
    <cellStyle name="Обычный 4 10 2 9 2" xfId="6905"/>
    <cellStyle name="Обычный 4 10 3" xfId="1058"/>
    <cellStyle name="Обычный 4 10 3 2" xfId="4685"/>
    <cellStyle name="Обычный 4 10 4" xfId="1152"/>
    <cellStyle name="Обычный 4 10 4 2" xfId="4981"/>
    <cellStyle name="Обычный 4 10 5" xfId="1435"/>
    <cellStyle name="Обычный 4 10 5 2" xfId="5277"/>
    <cellStyle name="Обычный 4 10 6" xfId="1726"/>
    <cellStyle name="Обычный 4 10 6 2" xfId="5573"/>
    <cellStyle name="Обычный 4 10 7" xfId="2019"/>
    <cellStyle name="Обычный 4 10 7 2" xfId="5869"/>
    <cellStyle name="Обычный 4 10 8" xfId="2314"/>
    <cellStyle name="Обычный 4 10 8 2" xfId="6165"/>
    <cellStyle name="Обычный 4 10 9" xfId="2610"/>
    <cellStyle name="Обычный 4 10 9 2" xfId="6461"/>
    <cellStyle name="Обычный 4 11" xfId="288"/>
    <cellStyle name="Обычный 4 11 10" xfId="3252"/>
    <cellStyle name="Обычный 4 11 10 2" xfId="7103"/>
    <cellStyle name="Обычный 4 11 11" xfId="3548"/>
    <cellStyle name="Обычный 4 11 11 2" xfId="7399"/>
    <cellStyle name="Обычный 4 11 12" xfId="3844"/>
    <cellStyle name="Обычный 4 11 12 2" xfId="7695"/>
    <cellStyle name="Обычный 4 11 13" xfId="4140"/>
    <cellStyle name="Обычный 4 11 13 2" xfId="7991"/>
    <cellStyle name="Обычный 4 11 14" xfId="8340"/>
    <cellStyle name="Обычный 4 11 15" xfId="4439"/>
    <cellStyle name="Обычный 4 11 2" xfId="1004"/>
    <cellStyle name="Обычный 4 11 2 2" xfId="8732"/>
    <cellStyle name="Обычный 4 11 2 3" xfId="4735"/>
    <cellStyle name="Обычный 4 11 3" xfId="1199"/>
    <cellStyle name="Обычный 4 11 3 2" xfId="5031"/>
    <cellStyle name="Обычный 4 11 4" xfId="1484"/>
    <cellStyle name="Обычный 4 11 4 2" xfId="5327"/>
    <cellStyle name="Обычный 4 11 5" xfId="1776"/>
    <cellStyle name="Обычный 4 11 5 2" xfId="5623"/>
    <cellStyle name="Обычный 4 11 6" xfId="2069"/>
    <cellStyle name="Обычный 4 11 6 2" xfId="5919"/>
    <cellStyle name="Обычный 4 11 7" xfId="2364"/>
    <cellStyle name="Обычный 4 11 7 2" xfId="6215"/>
    <cellStyle name="Обычный 4 11 8" xfId="2660"/>
    <cellStyle name="Обычный 4 11 8 2" xfId="6511"/>
    <cellStyle name="Обычный 4 11 9" xfId="2956"/>
    <cellStyle name="Обычный 4 11 9 2" xfId="6807"/>
    <cellStyle name="Обычный 4 12" xfId="392"/>
    <cellStyle name="Обычный 4 12 2" xfId="8443"/>
    <cellStyle name="Обычный 4 12 3" xfId="4587"/>
    <cellStyle name="Обычный 4 13" xfId="1005"/>
    <cellStyle name="Обычный 4 13 2" xfId="8733"/>
    <cellStyle name="Обычный 4 13 3" xfId="4883"/>
    <cellStyle name="Обычный 4 14" xfId="1026"/>
    <cellStyle name="Обычный 4 14 2" xfId="8749"/>
    <cellStyle name="Обычный 4 14 3" xfId="5179"/>
    <cellStyle name="Обычный 4 15" xfId="1630"/>
    <cellStyle name="Обычный 4 15 2" xfId="5475"/>
    <cellStyle name="Обычный 4 16" xfId="1923"/>
    <cellStyle name="Обычный 4 16 2" xfId="5771"/>
    <cellStyle name="Обычный 4 17" xfId="2217"/>
    <cellStyle name="Обычный 4 17 2" xfId="6067"/>
    <cellStyle name="Обычный 4 18" xfId="2512"/>
    <cellStyle name="Обычный 4 18 2" xfId="6363"/>
    <cellStyle name="Обычный 4 19" xfId="2808"/>
    <cellStyle name="Обычный 4 19 2" xfId="6659"/>
    <cellStyle name="Обычный 4 2" xfId="89"/>
    <cellStyle name="Обычный 4 2 2" xfId="655"/>
    <cellStyle name="Обычный 4 2 2 2" xfId="702"/>
    <cellStyle name="Обычный 4 2 2 3" xfId="8798"/>
    <cellStyle name="Обычный 4 2 3" xfId="619"/>
    <cellStyle name="Обычный 4 2 4" xfId="1045"/>
    <cellStyle name="Обычный 4 2 5" xfId="8776"/>
    <cellStyle name="Обычный 4 20" xfId="3104"/>
    <cellStyle name="Обычный 4 20 2" xfId="6955"/>
    <cellStyle name="Обычный 4 21" xfId="3400"/>
    <cellStyle name="Обычный 4 21 2" xfId="7251"/>
    <cellStyle name="Обычный 4 22" xfId="3696"/>
    <cellStyle name="Обычный 4 22 2" xfId="7547"/>
    <cellStyle name="Обычный 4 23" xfId="3992"/>
    <cellStyle name="Обычный 4 23 2" xfId="7843"/>
    <cellStyle name="Обычный 4 24" xfId="8139"/>
    <cellStyle name="Обычный 4 25" xfId="4288"/>
    <cellStyle name="Обычный 4 26" xfId="8773"/>
    <cellStyle name="Обычный 4 27" xfId="50"/>
    <cellStyle name="Обычный 4 28" xfId="8804"/>
    <cellStyle name="Обычный 4 3" xfId="90"/>
    <cellStyle name="Обычный 4 3 2" xfId="687"/>
    <cellStyle name="Обычный 4 3 2 2" xfId="8799"/>
    <cellStyle name="Обычный 4 3 3" xfId="632"/>
    <cellStyle name="Обычный 4 3 4" xfId="1046"/>
    <cellStyle name="Обычный 4 3 5" xfId="8777"/>
    <cellStyle name="Обычный 4 4" xfId="91"/>
    <cellStyle name="Обычный 4 4 2" xfId="691"/>
    <cellStyle name="Обычный 4 4 2 2" xfId="8800"/>
    <cellStyle name="Обычный 4 4 3" xfId="640"/>
    <cellStyle name="Обычный 4 4 4" xfId="1047"/>
    <cellStyle name="Обычный 4 4 5" xfId="8778"/>
    <cellStyle name="Обычный 4 5" xfId="92"/>
    <cellStyle name="Обычный 4 5 2" xfId="699"/>
    <cellStyle name="Обычный 4 5 3" xfId="652"/>
    <cellStyle name="Обычный 4 5 4" xfId="1042"/>
    <cellStyle name="Обычный 4 5 5" xfId="8795"/>
    <cellStyle name="Обычный 4 6" xfId="93"/>
    <cellStyle name="Обычный 4 6 2" xfId="667"/>
    <cellStyle name="Обычный 4 7" xfId="94"/>
    <cellStyle name="Обычный 4 7 2" xfId="723"/>
    <cellStyle name="Обычный 4 8" xfId="88"/>
    <cellStyle name="Обычный 4 9" xfId="134"/>
    <cellStyle name="Обычный 4 9 10" xfId="2856"/>
    <cellStyle name="Обычный 4 9 10 2" xfId="6707"/>
    <cellStyle name="Обычный 4 9 11" xfId="3152"/>
    <cellStyle name="Обычный 4 9 11 2" xfId="7003"/>
    <cellStyle name="Обычный 4 9 12" xfId="3448"/>
    <cellStyle name="Обычный 4 9 12 2" xfId="7299"/>
    <cellStyle name="Обычный 4 9 13" xfId="3744"/>
    <cellStyle name="Обычный 4 9 13 2" xfId="7595"/>
    <cellStyle name="Обычный 4 9 14" xfId="4040"/>
    <cellStyle name="Обычный 4 9 14 2" xfId="7891"/>
    <cellStyle name="Обычный 4 9 15" xfId="8189"/>
    <cellStyle name="Обычный 4 9 16" xfId="4337"/>
    <cellStyle name="Обычный 4 9 2" xfId="237"/>
    <cellStyle name="Обычный 4 9 2 10" xfId="3300"/>
    <cellStyle name="Обычный 4 9 2 10 2" xfId="7151"/>
    <cellStyle name="Обычный 4 9 2 11" xfId="3596"/>
    <cellStyle name="Обычный 4 9 2 11 2" xfId="7447"/>
    <cellStyle name="Обычный 4 9 2 12" xfId="3892"/>
    <cellStyle name="Обычный 4 9 2 12 2" xfId="7743"/>
    <cellStyle name="Обычный 4 9 2 13" xfId="4188"/>
    <cellStyle name="Обычный 4 9 2 13 2" xfId="8039"/>
    <cellStyle name="Обычный 4 9 2 14" xfId="8290"/>
    <cellStyle name="Обычный 4 9 2 15" xfId="4487"/>
    <cellStyle name="Обычный 4 9 2 2" xfId="1006"/>
    <cellStyle name="Обычный 4 9 2 2 2" xfId="8734"/>
    <cellStyle name="Обычный 4 9 2 2 3" xfId="4783"/>
    <cellStyle name="Обычный 4 9 2 3" xfId="1246"/>
    <cellStyle name="Обычный 4 9 2 3 2" xfId="5079"/>
    <cellStyle name="Обычный 4 9 2 4" xfId="1532"/>
    <cellStyle name="Обычный 4 9 2 4 2" xfId="5375"/>
    <cellStyle name="Обычный 4 9 2 5" xfId="1824"/>
    <cellStyle name="Обычный 4 9 2 5 2" xfId="5671"/>
    <cellStyle name="Обычный 4 9 2 6" xfId="2117"/>
    <cellStyle name="Обычный 4 9 2 6 2" xfId="5967"/>
    <cellStyle name="Обычный 4 9 2 7" xfId="2412"/>
    <cellStyle name="Обычный 4 9 2 7 2" xfId="6263"/>
    <cellStyle name="Обычный 4 9 2 8" xfId="2708"/>
    <cellStyle name="Обычный 4 9 2 8 2" xfId="6559"/>
    <cellStyle name="Обычный 4 9 2 9" xfId="3004"/>
    <cellStyle name="Обычный 4 9 2 9 2" xfId="6855"/>
    <cellStyle name="Обычный 4 9 3" xfId="338"/>
    <cellStyle name="Обычный 4 9 3 2" xfId="1007"/>
    <cellStyle name="Обычный 4 9 3 3" xfId="8390"/>
    <cellStyle name="Обычный 4 9 3 4" xfId="4635"/>
    <cellStyle name="Обычный 4 9 4" xfId="1008"/>
    <cellStyle name="Обычный 4 9 4 2" xfId="8735"/>
    <cellStyle name="Обычный 4 9 4 3" xfId="4931"/>
    <cellStyle name="Обычный 4 9 5" xfId="1388"/>
    <cellStyle name="Обычный 4 9 5 2" xfId="5227"/>
    <cellStyle name="Обычный 4 9 6" xfId="1677"/>
    <cellStyle name="Обычный 4 9 6 2" xfId="5523"/>
    <cellStyle name="Обычный 4 9 7" xfId="1970"/>
    <cellStyle name="Обычный 4 9 7 2" xfId="5819"/>
    <cellStyle name="Обычный 4 9 8" xfId="2264"/>
    <cellStyle name="Обычный 4 9 8 2" xfId="6115"/>
    <cellStyle name="Обычный 4 9 9" xfId="2560"/>
    <cellStyle name="Обычный 4 9 9 2" xfId="6411"/>
    <cellStyle name="Обычный 5" xfId="9"/>
    <cellStyle name="Обычный 5 2" xfId="95"/>
    <cellStyle name="Обычный 5 2 2" xfId="650"/>
    <cellStyle name="Обычный 5 2 3" xfId="621"/>
    <cellStyle name="Обычный 5 3" xfId="617"/>
    <cellStyle name="Обычный 5 4" xfId="633"/>
    <cellStyle name="Обычный 5 5" xfId="669"/>
    <cellStyle name="Обычный 5 6" xfId="394"/>
    <cellStyle name="Обычный 5 7" xfId="48"/>
    <cellStyle name="Обычный 5 8" xfId="8862"/>
    <cellStyle name="Обычный 6" xfId="4"/>
    <cellStyle name="Обычный 6 10" xfId="100"/>
    <cellStyle name="Обычный 6 2" xfId="622"/>
    <cellStyle name="Обычный 6 2 2" xfId="1028"/>
    <cellStyle name="Обычный 6 3" xfId="671"/>
    <cellStyle name="Обычный 6 3 2" xfId="1048"/>
    <cellStyle name="Обычный 6 4" xfId="396"/>
    <cellStyle name="Обычный 6 5" xfId="1027"/>
    <cellStyle name="Обычный 6 6" xfId="96"/>
    <cellStyle name="Обычный 7" xfId="97"/>
    <cellStyle name="Обычный 7 2" xfId="623"/>
    <cellStyle name="Обычный 7 3" xfId="673"/>
    <cellStyle name="Обычный 7 4" xfId="398"/>
    <cellStyle name="Обычный 8" xfId="98"/>
    <cellStyle name="Обычный 8 2" xfId="624"/>
    <cellStyle name="Обычный 8 3" xfId="675"/>
    <cellStyle name="Обычный 8 4" xfId="402"/>
    <cellStyle name="Обычный 9" xfId="55"/>
    <cellStyle name="Обычный 9 10" xfId="2220"/>
    <cellStyle name="Обычный 9 10 2" xfId="6070"/>
    <cellStyle name="Обычный 9 11" xfId="2515"/>
    <cellStyle name="Обычный 9 11 2" xfId="6366"/>
    <cellStyle name="Обычный 9 12" xfId="2811"/>
    <cellStyle name="Обычный 9 12 2" xfId="6662"/>
    <cellStyle name="Обычный 9 13" xfId="3107"/>
    <cellStyle name="Обычный 9 13 2" xfId="6958"/>
    <cellStyle name="Обычный 9 14" xfId="3403"/>
    <cellStyle name="Обычный 9 14 2" xfId="7254"/>
    <cellStyle name="Обычный 9 15" xfId="3699"/>
    <cellStyle name="Обычный 9 15 2" xfId="7550"/>
    <cellStyle name="Обычный 9 16" xfId="3995"/>
    <cellStyle name="Обычный 9 16 2" xfId="7846"/>
    <cellStyle name="Обычный 9 17" xfId="8142"/>
    <cellStyle name="Обычный 9 18" xfId="4291"/>
    <cellStyle name="Обычный 9 2" xfId="137"/>
    <cellStyle name="Обычный 9 2 10" xfId="2859"/>
    <cellStyle name="Обычный 9 2 10 2" xfId="6710"/>
    <cellStyle name="Обычный 9 2 11" xfId="3155"/>
    <cellStyle name="Обычный 9 2 11 2" xfId="7006"/>
    <cellStyle name="Обычный 9 2 12" xfId="3451"/>
    <cellStyle name="Обычный 9 2 12 2" xfId="7302"/>
    <cellStyle name="Обычный 9 2 13" xfId="3747"/>
    <cellStyle name="Обычный 9 2 13 2" xfId="7598"/>
    <cellStyle name="Обычный 9 2 14" xfId="4043"/>
    <cellStyle name="Обычный 9 2 14 2" xfId="7894"/>
    <cellStyle name="Обычный 9 2 15" xfId="8192"/>
    <cellStyle name="Обычный 9 2 16" xfId="4340"/>
    <cellStyle name="Обычный 9 2 2" xfId="240"/>
    <cellStyle name="Обычный 9 2 2 10" xfId="3303"/>
    <cellStyle name="Обычный 9 2 2 10 2" xfId="7154"/>
    <cellStyle name="Обычный 9 2 2 11" xfId="3599"/>
    <cellStyle name="Обычный 9 2 2 11 2" xfId="7450"/>
    <cellStyle name="Обычный 9 2 2 12" xfId="3895"/>
    <cellStyle name="Обычный 9 2 2 12 2" xfId="7746"/>
    <cellStyle name="Обычный 9 2 2 13" xfId="4191"/>
    <cellStyle name="Обычный 9 2 2 13 2" xfId="8042"/>
    <cellStyle name="Обычный 9 2 2 14" xfId="8293"/>
    <cellStyle name="Обычный 9 2 2 15" xfId="4490"/>
    <cellStyle name="Обычный 9 2 2 2" xfId="1009"/>
    <cellStyle name="Обычный 9 2 2 2 2" xfId="8736"/>
    <cellStyle name="Обычный 9 2 2 2 3" xfId="4786"/>
    <cellStyle name="Обычный 9 2 2 3" xfId="1249"/>
    <cellStyle name="Обычный 9 2 2 3 2" xfId="5082"/>
    <cellStyle name="Обычный 9 2 2 4" xfId="1535"/>
    <cellStyle name="Обычный 9 2 2 4 2" xfId="5378"/>
    <cellStyle name="Обычный 9 2 2 5" xfId="1827"/>
    <cellStyle name="Обычный 9 2 2 5 2" xfId="5674"/>
    <cellStyle name="Обычный 9 2 2 6" xfId="2120"/>
    <cellStyle name="Обычный 9 2 2 6 2" xfId="5970"/>
    <cellStyle name="Обычный 9 2 2 7" xfId="2415"/>
    <cellStyle name="Обычный 9 2 2 7 2" xfId="6266"/>
    <cellStyle name="Обычный 9 2 2 8" xfId="2711"/>
    <cellStyle name="Обычный 9 2 2 8 2" xfId="6562"/>
    <cellStyle name="Обычный 9 2 2 9" xfId="3007"/>
    <cellStyle name="Обычный 9 2 2 9 2" xfId="6858"/>
    <cellStyle name="Обычный 9 2 3" xfId="341"/>
    <cellStyle name="Обычный 9 2 3 2" xfId="1010"/>
    <cellStyle name="Обычный 9 2 3 3" xfId="8393"/>
    <cellStyle name="Обычный 9 2 3 4" xfId="4638"/>
    <cellStyle name="Обычный 9 2 4" xfId="616"/>
    <cellStyle name="Обычный 9 2 4 2" xfId="8458"/>
    <cellStyle name="Обычный 9 2 4 3" xfId="4934"/>
    <cellStyle name="Обычный 9 2 5" xfId="1391"/>
    <cellStyle name="Обычный 9 2 5 2" xfId="5230"/>
    <cellStyle name="Обычный 9 2 6" xfId="1680"/>
    <cellStyle name="Обычный 9 2 6 2" xfId="5526"/>
    <cellStyle name="Обычный 9 2 7" xfId="1973"/>
    <cellStyle name="Обычный 9 2 7 2" xfId="5822"/>
    <cellStyle name="Обычный 9 2 8" xfId="2267"/>
    <cellStyle name="Обычный 9 2 8 2" xfId="6118"/>
    <cellStyle name="Обычный 9 2 9" xfId="2563"/>
    <cellStyle name="Обычный 9 2 9 2" xfId="6414"/>
    <cellStyle name="Обычный 9 3" xfId="190"/>
    <cellStyle name="Обычный 9 3 10" xfId="2909"/>
    <cellStyle name="Обычный 9 3 10 2" xfId="6760"/>
    <cellStyle name="Обычный 9 3 11" xfId="3205"/>
    <cellStyle name="Обычный 9 3 11 2" xfId="7056"/>
    <cellStyle name="Обычный 9 3 12" xfId="3501"/>
    <cellStyle name="Обычный 9 3 12 2" xfId="7352"/>
    <cellStyle name="Обычный 9 3 13" xfId="3797"/>
    <cellStyle name="Обычный 9 3 13 2" xfId="7648"/>
    <cellStyle name="Обычный 9 3 14" xfId="4093"/>
    <cellStyle name="Обычный 9 3 14 2" xfId="7944"/>
    <cellStyle name="Обычный 9 3 15" xfId="8243"/>
    <cellStyle name="Обычный 9 3 16" xfId="4391"/>
    <cellStyle name="Обычный 9 3 2" xfId="628"/>
    <cellStyle name="Обычный 9 3 2 10" xfId="3353"/>
    <cellStyle name="Обычный 9 3 2 10 2" xfId="7204"/>
    <cellStyle name="Обычный 9 3 2 11" xfId="3649"/>
    <cellStyle name="Обычный 9 3 2 11 2" xfId="7500"/>
    <cellStyle name="Обычный 9 3 2 12" xfId="3945"/>
    <cellStyle name="Обычный 9 3 2 12 2" xfId="7796"/>
    <cellStyle name="Обычный 9 3 2 13" xfId="4241"/>
    <cellStyle name="Обычный 9 3 2 13 2" xfId="8092"/>
    <cellStyle name="Обычный 9 3 2 14" xfId="8462"/>
    <cellStyle name="Обычный 9 3 2 15" xfId="4540"/>
    <cellStyle name="Обычный 9 3 2 2" xfId="1108"/>
    <cellStyle name="Обычный 9 3 2 2 2" xfId="4836"/>
    <cellStyle name="Обычный 9 3 2 3" xfId="1297"/>
    <cellStyle name="Обычный 9 3 2 3 2" xfId="5132"/>
    <cellStyle name="Обычный 9 3 2 4" xfId="1584"/>
    <cellStyle name="Обычный 9 3 2 4 2" xfId="5428"/>
    <cellStyle name="Обычный 9 3 2 5" xfId="1877"/>
    <cellStyle name="Обычный 9 3 2 5 2" xfId="5724"/>
    <cellStyle name="Обычный 9 3 2 6" xfId="2170"/>
    <cellStyle name="Обычный 9 3 2 6 2" xfId="6020"/>
    <cellStyle name="Обычный 9 3 2 7" xfId="2465"/>
    <cellStyle name="Обычный 9 3 2 7 2" xfId="6316"/>
    <cellStyle name="Обычный 9 3 2 8" xfId="2761"/>
    <cellStyle name="Обычный 9 3 2 8 2" xfId="6612"/>
    <cellStyle name="Обычный 9 3 2 9" xfId="3057"/>
    <cellStyle name="Обычный 9 3 2 9 2" xfId="6908"/>
    <cellStyle name="Обычный 9 3 3" xfId="1061"/>
    <cellStyle name="Обычный 9 3 3 2" xfId="4688"/>
    <cellStyle name="Обычный 9 3 4" xfId="1155"/>
    <cellStyle name="Обычный 9 3 4 2" xfId="4984"/>
    <cellStyle name="Обычный 9 3 5" xfId="1438"/>
    <cellStyle name="Обычный 9 3 5 2" xfId="5280"/>
    <cellStyle name="Обычный 9 3 6" xfId="1729"/>
    <cellStyle name="Обычный 9 3 6 2" xfId="5576"/>
    <cellStyle name="Обычный 9 3 7" xfId="2022"/>
    <cellStyle name="Обычный 9 3 7 2" xfId="5872"/>
    <cellStyle name="Обычный 9 3 8" xfId="2317"/>
    <cellStyle name="Обычный 9 3 8 2" xfId="6168"/>
    <cellStyle name="Обычный 9 3 9" xfId="2613"/>
    <cellStyle name="Обычный 9 3 9 2" xfId="6464"/>
    <cellStyle name="Обычный 9 4" xfId="291"/>
    <cellStyle name="Обычный 9 4 10" xfId="3255"/>
    <cellStyle name="Обычный 9 4 10 2" xfId="7106"/>
    <cellStyle name="Обычный 9 4 11" xfId="3551"/>
    <cellStyle name="Обычный 9 4 11 2" xfId="7402"/>
    <cellStyle name="Обычный 9 4 12" xfId="3847"/>
    <cellStyle name="Обычный 9 4 12 2" xfId="7698"/>
    <cellStyle name="Обычный 9 4 13" xfId="4143"/>
    <cellStyle name="Обычный 9 4 13 2" xfId="7994"/>
    <cellStyle name="Обычный 9 4 14" xfId="8343"/>
    <cellStyle name="Обычный 9 4 15" xfId="4442"/>
    <cellStyle name="Обычный 9 4 2" xfId="625"/>
    <cellStyle name="Обычный 9 4 2 2" xfId="8459"/>
    <cellStyle name="Обычный 9 4 2 3" xfId="4738"/>
    <cellStyle name="Обычный 9 4 3" xfId="1202"/>
    <cellStyle name="Обычный 9 4 3 2" xfId="5034"/>
    <cellStyle name="Обычный 9 4 4" xfId="1487"/>
    <cellStyle name="Обычный 9 4 4 2" xfId="5330"/>
    <cellStyle name="Обычный 9 4 5" xfId="1779"/>
    <cellStyle name="Обычный 9 4 5 2" xfId="5626"/>
    <cellStyle name="Обычный 9 4 6" xfId="2072"/>
    <cellStyle name="Обычный 9 4 6 2" xfId="5922"/>
    <cellStyle name="Обычный 9 4 7" xfId="2367"/>
    <cellStyle name="Обычный 9 4 7 2" xfId="6218"/>
    <cellStyle name="Обычный 9 4 8" xfId="2663"/>
    <cellStyle name="Обычный 9 4 8 2" xfId="6514"/>
    <cellStyle name="Обычный 9 4 9" xfId="2959"/>
    <cellStyle name="Обычный 9 4 9 2" xfId="6810"/>
    <cellStyle name="Обычный 9 5" xfId="677"/>
    <cellStyle name="Обычный 9 5 2" xfId="8481"/>
    <cellStyle name="Обычный 9 5 3" xfId="4590"/>
    <cellStyle name="Обычный 9 6" xfId="405"/>
    <cellStyle name="Обычный 9 6 2" xfId="8448"/>
    <cellStyle name="Обычный 9 6 3" xfId="4886"/>
    <cellStyle name="Обычный 9 7" xfId="1344"/>
    <cellStyle name="Обычный 9 7 2" xfId="5182"/>
    <cellStyle name="Обычный 9 8" xfId="1633"/>
    <cellStyle name="Обычный 9 8 2" xfId="5478"/>
    <cellStyle name="Обычный 9 9" xfId="1926"/>
    <cellStyle name="Обычный 9 9 2" xfId="5774"/>
    <cellStyle name="Обычный_PL_Производство" xfId="8807"/>
    <cellStyle name="Обычный_PL_Производство_СВОД" xfId="8863"/>
    <cellStyle name="Обычный_PL_ЦО_Производство" xfId="8869"/>
    <cellStyle name="Обычный_Лист1" xfId="8872"/>
    <cellStyle name="Обычный_Приднепровский МЄЗ 2" xfId="8809"/>
    <cellStyle name="Обычный_Славута" xfId="27"/>
    <cellStyle name="Процентный" xfId="7" builtinId="5"/>
    <cellStyle name="Процентный 2" xfId="5"/>
    <cellStyle name="Процентный 2 2" xfId="104"/>
    <cellStyle name="Процентный 2 2 10" xfId="2240"/>
    <cellStyle name="Процентный 2 2 10 2" xfId="6091"/>
    <cellStyle name="Процентный 2 2 11" xfId="2536"/>
    <cellStyle name="Процентный 2 2 11 2" xfId="6387"/>
    <cellStyle name="Процентный 2 2 12" xfId="2832"/>
    <cellStyle name="Процентный 2 2 12 2" xfId="6683"/>
    <cellStyle name="Процентный 2 2 13" xfId="3128"/>
    <cellStyle name="Процентный 2 2 13 2" xfId="6979"/>
    <cellStyle name="Процентный 2 2 14" xfId="3424"/>
    <cellStyle name="Процентный 2 2 14 2" xfId="7275"/>
    <cellStyle name="Процентный 2 2 15" xfId="3720"/>
    <cellStyle name="Процентный 2 2 15 2" xfId="7571"/>
    <cellStyle name="Процентный 2 2 16" xfId="4016"/>
    <cellStyle name="Процентный 2 2 16 2" xfId="7867"/>
    <cellStyle name="Процентный 2 2 17" xfId="8163"/>
    <cellStyle name="Процентный 2 2 18" xfId="4312"/>
    <cellStyle name="Процентный 2 2 2" xfId="158"/>
    <cellStyle name="Процентный 2 2 2 10" xfId="2880"/>
    <cellStyle name="Процентный 2 2 2 10 2" xfId="6731"/>
    <cellStyle name="Процентный 2 2 2 11" xfId="3176"/>
    <cellStyle name="Процентный 2 2 2 11 2" xfId="7027"/>
    <cellStyle name="Процентный 2 2 2 12" xfId="3472"/>
    <cellStyle name="Процентный 2 2 2 12 2" xfId="7323"/>
    <cellStyle name="Процентный 2 2 2 13" xfId="3768"/>
    <cellStyle name="Процентный 2 2 2 13 2" xfId="7619"/>
    <cellStyle name="Процентный 2 2 2 14" xfId="4064"/>
    <cellStyle name="Процентный 2 2 2 14 2" xfId="7915"/>
    <cellStyle name="Процентный 2 2 2 15" xfId="8213"/>
    <cellStyle name="Процентный 2 2 2 16" xfId="4361"/>
    <cellStyle name="Процентный 2 2 2 2" xfId="261"/>
    <cellStyle name="Процентный 2 2 2 2 10" xfId="3324"/>
    <cellStyle name="Процентный 2 2 2 2 10 2" xfId="7175"/>
    <cellStyle name="Процентный 2 2 2 2 11" xfId="3620"/>
    <cellStyle name="Процентный 2 2 2 2 11 2" xfId="7471"/>
    <cellStyle name="Процентный 2 2 2 2 12" xfId="3916"/>
    <cellStyle name="Процентный 2 2 2 2 12 2" xfId="7767"/>
    <cellStyle name="Процентный 2 2 2 2 13" xfId="4212"/>
    <cellStyle name="Процентный 2 2 2 2 13 2" xfId="8063"/>
    <cellStyle name="Процентный 2 2 2 2 14" xfId="8314"/>
    <cellStyle name="Процентный 2 2 2 2 15" xfId="4511"/>
    <cellStyle name="Процентный 2 2 2 2 2" xfId="1011"/>
    <cellStyle name="Процентный 2 2 2 2 2 2" xfId="8737"/>
    <cellStyle name="Процентный 2 2 2 2 2 3" xfId="4807"/>
    <cellStyle name="Процентный 2 2 2 2 3" xfId="1269"/>
    <cellStyle name="Процентный 2 2 2 2 3 2" xfId="5103"/>
    <cellStyle name="Процентный 2 2 2 2 4" xfId="1555"/>
    <cellStyle name="Процентный 2 2 2 2 4 2" xfId="5399"/>
    <cellStyle name="Процентный 2 2 2 2 5" xfId="1848"/>
    <cellStyle name="Процентный 2 2 2 2 5 2" xfId="5695"/>
    <cellStyle name="Процентный 2 2 2 2 6" xfId="2141"/>
    <cellStyle name="Процентный 2 2 2 2 6 2" xfId="5991"/>
    <cellStyle name="Процентный 2 2 2 2 7" xfId="2436"/>
    <cellStyle name="Процентный 2 2 2 2 7 2" xfId="6287"/>
    <cellStyle name="Процентный 2 2 2 2 8" xfId="2732"/>
    <cellStyle name="Процентный 2 2 2 2 8 2" xfId="6583"/>
    <cellStyle name="Процентный 2 2 2 2 9" xfId="3028"/>
    <cellStyle name="Процентный 2 2 2 2 9 2" xfId="6879"/>
    <cellStyle name="Процентный 2 2 2 3" xfId="362"/>
    <cellStyle name="Процентный 2 2 2 3 2" xfId="1012"/>
    <cellStyle name="Процентный 2 2 2 3 3" xfId="8414"/>
    <cellStyle name="Процентный 2 2 2 3 4" xfId="4659"/>
    <cellStyle name="Процентный 2 2 2 4" xfId="1013"/>
    <cellStyle name="Процентный 2 2 2 4 2" xfId="8738"/>
    <cellStyle name="Процентный 2 2 2 4 3" xfId="4955"/>
    <cellStyle name="Процентный 2 2 2 5" xfId="1411"/>
    <cellStyle name="Процентный 2 2 2 5 2" xfId="5251"/>
    <cellStyle name="Процентный 2 2 2 6" xfId="1701"/>
    <cellStyle name="Процентный 2 2 2 6 2" xfId="5547"/>
    <cellStyle name="Процентный 2 2 2 7" xfId="1994"/>
    <cellStyle name="Процентный 2 2 2 7 2" xfId="5843"/>
    <cellStyle name="Процентный 2 2 2 8" xfId="2288"/>
    <cellStyle name="Процентный 2 2 2 8 2" xfId="6139"/>
    <cellStyle name="Процентный 2 2 2 9" xfId="2584"/>
    <cellStyle name="Процентный 2 2 2 9 2" xfId="6435"/>
    <cellStyle name="Процентный 2 2 3" xfId="211"/>
    <cellStyle name="Процентный 2 2 3 10" xfId="2930"/>
    <cellStyle name="Процентный 2 2 3 10 2" xfId="6781"/>
    <cellStyle name="Процентный 2 2 3 11" xfId="3226"/>
    <cellStyle name="Процентный 2 2 3 11 2" xfId="7077"/>
    <cellStyle name="Процентный 2 2 3 12" xfId="3522"/>
    <cellStyle name="Процентный 2 2 3 12 2" xfId="7373"/>
    <cellStyle name="Процентный 2 2 3 13" xfId="3818"/>
    <cellStyle name="Процентный 2 2 3 13 2" xfId="7669"/>
    <cellStyle name="Процентный 2 2 3 14" xfId="4114"/>
    <cellStyle name="Процентный 2 2 3 14 2" xfId="7965"/>
    <cellStyle name="Процентный 2 2 3 15" xfId="8264"/>
    <cellStyle name="Процентный 2 2 3 16" xfId="4412"/>
    <cellStyle name="Процентный 2 2 3 2" xfId="1014"/>
    <cellStyle name="Процентный 2 2 3 2 10" xfId="3374"/>
    <cellStyle name="Процентный 2 2 3 2 10 2" xfId="7225"/>
    <cellStyle name="Процентный 2 2 3 2 11" xfId="3670"/>
    <cellStyle name="Процентный 2 2 3 2 11 2" xfId="7521"/>
    <cellStyle name="Процентный 2 2 3 2 12" xfId="3966"/>
    <cellStyle name="Процентный 2 2 3 2 12 2" xfId="7817"/>
    <cellStyle name="Процентный 2 2 3 2 13" xfId="4262"/>
    <cellStyle name="Процентный 2 2 3 2 13 2" xfId="8113"/>
    <cellStyle name="Процентный 2 2 3 2 14" xfId="8739"/>
    <cellStyle name="Процентный 2 2 3 2 15" xfId="4561"/>
    <cellStyle name="Процентный 2 2 3 2 2" xfId="1128"/>
    <cellStyle name="Процентный 2 2 3 2 2 2" xfId="4857"/>
    <cellStyle name="Процентный 2 2 3 2 3" xfId="1317"/>
    <cellStyle name="Процентный 2 2 3 2 3 2" xfId="5153"/>
    <cellStyle name="Процентный 2 2 3 2 4" xfId="1604"/>
    <cellStyle name="Процентный 2 2 3 2 4 2" xfId="5449"/>
    <cellStyle name="Процентный 2 2 3 2 5" xfId="1897"/>
    <cellStyle name="Процентный 2 2 3 2 5 2" xfId="5745"/>
    <cellStyle name="Процентный 2 2 3 2 6" xfId="2191"/>
    <cellStyle name="Процентный 2 2 3 2 6 2" xfId="6041"/>
    <cellStyle name="Процентный 2 2 3 2 7" xfId="2486"/>
    <cellStyle name="Процентный 2 2 3 2 7 2" xfId="6337"/>
    <cellStyle name="Процентный 2 2 3 2 8" xfId="2782"/>
    <cellStyle name="Процентный 2 2 3 2 8 2" xfId="6633"/>
    <cellStyle name="Процентный 2 2 3 2 9" xfId="3078"/>
    <cellStyle name="Процентный 2 2 3 2 9 2" xfId="6929"/>
    <cellStyle name="Процентный 2 2 3 3" xfId="1081"/>
    <cellStyle name="Процентный 2 2 3 3 2" xfId="4709"/>
    <cellStyle name="Процентный 2 2 3 4" xfId="1175"/>
    <cellStyle name="Процентный 2 2 3 4 2" xfId="5005"/>
    <cellStyle name="Процентный 2 2 3 5" xfId="1459"/>
    <cellStyle name="Процентный 2 2 3 5 2" xfId="5301"/>
    <cellStyle name="Процентный 2 2 3 6" xfId="1750"/>
    <cellStyle name="Процентный 2 2 3 6 2" xfId="5597"/>
    <cellStyle name="Процентный 2 2 3 7" xfId="2043"/>
    <cellStyle name="Процентный 2 2 3 7 2" xfId="5893"/>
    <cellStyle name="Процентный 2 2 3 8" xfId="2338"/>
    <cellStyle name="Процентный 2 2 3 8 2" xfId="6189"/>
    <cellStyle name="Процентный 2 2 3 9" xfId="2634"/>
    <cellStyle name="Процентный 2 2 3 9 2" xfId="6485"/>
    <cellStyle name="Процентный 2 2 4" xfId="312"/>
    <cellStyle name="Процентный 2 2 4 10" xfId="3276"/>
    <cellStyle name="Процентный 2 2 4 10 2" xfId="7127"/>
    <cellStyle name="Процентный 2 2 4 11" xfId="3572"/>
    <cellStyle name="Процентный 2 2 4 11 2" xfId="7423"/>
    <cellStyle name="Процентный 2 2 4 12" xfId="3868"/>
    <cellStyle name="Процентный 2 2 4 12 2" xfId="7719"/>
    <cellStyle name="Процентный 2 2 4 13" xfId="4164"/>
    <cellStyle name="Процентный 2 2 4 13 2" xfId="8015"/>
    <cellStyle name="Процентный 2 2 4 14" xfId="8364"/>
    <cellStyle name="Процентный 2 2 4 15" xfId="4463"/>
    <cellStyle name="Процентный 2 2 4 2" xfId="1015"/>
    <cellStyle name="Процентный 2 2 4 2 2" xfId="8740"/>
    <cellStyle name="Процентный 2 2 4 2 3" xfId="4759"/>
    <cellStyle name="Процентный 2 2 4 3" xfId="1223"/>
    <cellStyle name="Процентный 2 2 4 3 2" xfId="5055"/>
    <cellStyle name="Процентный 2 2 4 4" xfId="1508"/>
    <cellStyle name="Процентный 2 2 4 4 2" xfId="5351"/>
    <cellStyle name="Процентный 2 2 4 5" xfId="1800"/>
    <cellStyle name="Процентный 2 2 4 5 2" xfId="5647"/>
    <cellStyle name="Процентный 2 2 4 6" xfId="2093"/>
    <cellStyle name="Процентный 2 2 4 6 2" xfId="5943"/>
    <cellStyle name="Процентный 2 2 4 7" xfId="2388"/>
    <cellStyle name="Процентный 2 2 4 7 2" xfId="6239"/>
    <cellStyle name="Процентный 2 2 4 8" xfId="2684"/>
    <cellStyle name="Процентный 2 2 4 8 2" xfId="6535"/>
    <cellStyle name="Процентный 2 2 4 9" xfId="2980"/>
    <cellStyle name="Процентный 2 2 4 9 2" xfId="6831"/>
    <cellStyle name="Процентный 2 2 5" xfId="1016"/>
    <cellStyle name="Процентный 2 2 5 2" xfId="8741"/>
    <cellStyle name="Процентный 2 2 5 3" xfId="4611"/>
    <cellStyle name="Процентный 2 2 6" xfId="1017"/>
    <cellStyle name="Процентный 2 2 6 2" xfId="8742"/>
    <cellStyle name="Процентный 2 2 6 3" xfId="4907"/>
    <cellStyle name="Процентный 2 2 7" xfId="1364"/>
    <cellStyle name="Процентный 2 2 7 2" xfId="5203"/>
    <cellStyle name="Процентный 2 2 8" xfId="1653"/>
    <cellStyle name="Процентный 2 2 8 2" xfId="5499"/>
    <cellStyle name="Процентный 2 2 9" xfId="1946"/>
    <cellStyle name="Процентный 2 2 9 2" xfId="5795"/>
    <cellStyle name="Процентный 2 3" xfId="647"/>
    <cellStyle name="Процентный 2 4" xfId="51"/>
    <cellStyle name="Процентный 2 5" xfId="8864"/>
    <cellStyle name="Процентный 3" xfId="127"/>
    <cellStyle name="Процентный 3 10" xfId="2262"/>
    <cellStyle name="Процентный 3 10 2" xfId="6113"/>
    <cellStyle name="Процентный 3 11" xfId="2558"/>
    <cellStyle name="Процентный 3 11 2" xfId="6409"/>
    <cellStyle name="Процентный 3 12" xfId="2854"/>
    <cellStyle name="Процентный 3 12 2" xfId="6705"/>
    <cellStyle name="Процентный 3 13" xfId="3150"/>
    <cellStyle name="Процентный 3 13 2" xfId="7001"/>
    <cellStyle name="Процентный 3 14" xfId="3446"/>
    <cellStyle name="Процентный 3 14 2" xfId="7297"/>
    <cellStyle name="Процентный 3 15" xfId="3742"/>
    <cellStyle name="Процентный 3 15 2" xfId="7593"/>
    <cellStyle name="Процентный 3 16" xfId="4038"/>
    <cellStyle name="Процентный 3 16 2" xfId="7889"/>
    <cellStyle name="Процентный 3 17" xfId="8185"/>
    <cellStyle name="Процентный 3 18" xfId="4334"/>
    <cellStyle name="Процентный 3 2" xfId="180"/>
    <cellStyle name="Процентный 3 2 10" xfId="2902"/>
    <cellStyle name="Процентный 3 2 10 2" xfId="6753"/>
    <cellStyle name="Процентный 3 2 11" xfId="3198"/>
    <cellStyle name="Процентный 3 2 11 2" xfId="7049"/>
    <cellStyle name="Процентный 3 2 12" xfId="3494"/>
    <cellStyle name="Процентный 3 2 12 2" xfId="7345"/>
    <cellStyle name="Процентный 3 2 13" xfId="3790"/>
    <cellStyle name="Процентный 3 2 13 2" xfId="7641"/>
    <cellStyle name="Процентный 3 2 14" xfId="4086"/>
    <cellStyle name="Процентный 3 2 14 2" xfId="7937"/>
    <cellStyle name="Процентный 3 2 15" xfId="8235"/>
    <cellStyle name="Процентный 3 2 16" xfId="4383"/>
    <cellStyle name="Процентный 3 2 2" xfId="283"/>
    <cellStyle name="Процентный 3 2 2 10" xfId="3346"/>
    <cellStyle name="Процентный 3 2 2 10 2" xfId="7197"/>
    <cellStyle name="Процентный 3 2 2 11" xfId="3642"/>
    <cellStyle name="Процентный 3 2 2 11 2" xfId="7493"/>
    <cellStyle name="Процентный 3 2 2 12" xfId="3938"/>
    <cellStyle name="Процентный 3 2 2 12 2" xfId="7789"/>
    <cellStyle name="Процентный 3 2 2 13" xfId="4234"/>
    <cellStyle name="Процентный 3 2 2 13 2" xfId="8085"/>
    <cellStyle name="Процентный 3 2 2 14" xfId="8336"/>
    <cellStyle name="Процентный 3 2 2 15" xfId="4533"/>
    <cellStyle name="Процентный 3 2 2 2" xfId="1018"/>
    <cellStyle name="Процентный 3 2 2 2 2" xfId="8743"/>
    <cellStyle name="Процентный 3 2 2 2 3" xfId="4829"/>
    <cellStyle name="Процентный 3 2 2 3" xfId="1291"/>
    <cellStyle name="Процентный 3 2 2 3 2" xfId="5125"/>
    <cellStyle name="Процентный 3 2 2 4" xfId="1577"/>
    <cellStyle name="Процентный 3 2 2 4 2" xfId="5421"/>
    <cellStyle name="Процентный 3 2 2 5" xfId="1870"/>
    <cellStyle name="Процентный 3 2 2 5 2" xfId="5717"/>
    <cellStyle name="Процентный 3 2 2 6" xfId="2163"/>
    <cellStyle name="Процентный 3 2 2 6 2" xfId="6013"/>
    <cellStyle name="Процентный 3 2 2 7" xfId="2458"/>
    <cellStyle name="Процентный 3 2 2 7 2" xfId="6309"/>
    <cellStyle name="Процентный 3 2 2 8" xfId="2754"/>
    <cellStyle name="Процентный 3 2 2 8 2" xfId="6605"/>
    <cellStyle name="Процентный 3 2 2 9" xfId="3050"/>
    <cellStyle name="Процентный 3 2 2 9 2" xfId="6901"/>
    <cellStyle name="Процентный 3 2 3" xfId="384"/>
    <cellStyle name="Процентный 3 2 3 2" xfId="1019"/>
    <cellStyle name="Процентный 3 2 3 3" xfId="8436"/>
    <cellStyle name="Процентный 3 2 3 4" xfId="4681"/>
    <cellStyle name="Процентный 3 2 4" xfId="1020"/>
    <cellStyle name="Процентный 3 2 4 2" xfId="8744"/>
    <cellStyle name="Процентный 3 2 4 3" xfId="4977"/>
    <cellStyle name="Процентный 3 2 5" xfId="1433"/>
    <cellStyle name="Процентный 3 2 5 2" xfId="5273"/>
    <cellStyle name="Процентный 3 2 6" xfId="1723"/>
    <cellStyle name="Процентный 3 2 6 2" xfId="5569"/>
    <cellStyle name="Процентный 3 2 7" xfId="2015"/>
    <cellStyle name="Процентный 3 2 7 2" xfId="5865"/>
    <cellStyle name="Процентный 3 2 8" xfId="2310"/>
    <cellStyle name="Процентный 3 2 8 2" xfId="6161"/>
    <cellStyle name="Процентный 3 2 9" xfId="2606"/>
    <cellStyle name="Процентный 3 2 9 2" xfId="6457"/>
    <cellStyle name="Процентный 3 3" xfId="233"/>
    <cellStyle name="Процентный 3 3 10" xfId="2952"/>
    <cellStyle name="Процентный 3 3 10 2" xfId="6803"/>
    <cellStyle name="Процентный 3 3 11" xfId="3248"/>
    <cellStyle name="Процентный 3 3 11 2" xfId="7099"/>
    <cellStyle name="Процентный 3 3 12" xfId="3544"/>
    <cellStyle name="Процентный 3 3 12 2" xfId="7395"/>
    <cellStyle name="Процентный 3 3 13" xfId="3840"/>
    <cellStyle name="Процентный 3 3 13 2" xfId="7691"/>
    <cellStyle name="Процентный 3 3 14" xfId="4136"/>
    <cellStyle name="Процентный 3 3 14 2" xfId="7987"/>
    <cellStyle name="Процентный 3 3 15" xfId="8286"/>
    <cellStyle name="Процентный 3 3 16" xfId="4434"/>
    <cellStyle name="Процентный 3 3 2" xfId="1021"/>
    <cellStyle name="Процентный 3 3 2 10" xfId="3396"/>
    <cellStyle name="Процентный 3 3 2 10 2" xfId="7247"/>
    <cellStyle name="Процентный 3 3 2 11" xfId="3692"/>
    <cellStyle name="Процентный 3 3 2 11 2" xfId="7543"/>
    <cellStyle name="Процентный 3 3 2 12" xfId="3988"/>
    <cellStyle name="Процентный 3 3 2 12 2" xfId="7839"/>
    <cellStyle name="Процентный 3 3 2 13" xfId="4284"/>
    <cellStyle name="Процентный 3 3 2 13 2" xfId="8135"/>
    <cellStyle name="Процентный 3 3 2 14" xfId="8745"/>
    <cellStyle name="Процентный 3 3 2 15" xfId="4583"/>
    <cellStyle name="Процентный 3 3 2 2" xfId="1150"/>
    <cellStyle name="Процентный 3 3 2 2 2" xfId="4879"/>
    <cellStyle name="Процентный 3 3 2 3" xfId="1339"/>
    <cellStyle name="Процентный 3 3 2 3 2" xfId="5175"/>
    <cellStyle name="Процентный 3 3 2 4" xfId="1626"/>
    <cellStyle name="Процентный 3 3 2 4 2" xfId="5471"/>
    <cellStyle name="Процентный 3 3 2 5" xfId="1919"/>
    <cellStyle name="Процентный 3 3 2 5 2" xfId="5767"/>
    <cellStyle name="Процентный 3 3 2 6" xfId="2213"/>
    <cellStyle name="Процентный 3 3 2 6 2" xfId="6063"/>
    <cellStyle name="Процентный 3 3 2 7" xfId="2508"/>
    <cellStyle name="Процентный 3 3 2 7 2" xfId="6359"/>
    <cellStyle name="Процентный 3 3 2 8" xfId="2804"/>
    <cellStyle name="Процентный 3 3 2 8 2" xfId="6655"/>
    <cellStyle name="Процентный 3 3 2 9" xfId="3100"/>
    <cellStyle name="Процентный 3 3 2 9 2" xfId="6951"/>
    <cellStyle name="Процентный 3 3 3" xfId="1103"/>
    <cellStyle name="Процентный 3 3 3 2" xfId="4731"/>
    <cellStyle name="Процентный 3 3 4" xfId="1197"/>
    <cellStyle name="Процентный 3 3 4 2" xfId="5027"/>
    <cellStyle name="Процентный 3 3 5" xfId="1481"/>
    <cellStyle name="Процентный 3 3 5 2" xfId="5323"/>
    <cellStyle name="Процентный 3 3 6" xfId="1772"/>
    <cellStyle name="Процентный 3 3 6 2" xfId="5619"/>
    <cellStyle name="Процентный 3 3 7" xfId="2065"/>
    <cellStyle name="Процентный 3 3 7 2" xfId="5915"/>
    <cellStyle name="Процентный 3 3 8" xfId="2360"/>
    <cellStyle name="Процентный 3 3 8 2" xfId="6211"/>
    <cellStyle name="Процентный 3 3 9" xfId="2656"/>
    <cellStyle name="Процентный 3 3 9 2" xfId="6507"/>
    <cellStyle name="Процентный 3 4" xfId="334"/>
    <cellStyle name="Процентный 3 4 10" xfId="3298"/>
    <cellStyle name="Процентный 3 4 10 2" xfId="7149"/>
    <cellStyle name="Процентный 3 4 11" xfId="3594"/>
    <cellStyle name="Процентный 3 4 11 2" xfId="7445"/>
    <cellStyle name="Процентный 3 4 12" xfId="3890"/>
    <cellStyle name="Процентный 3 4 12 2" xfId="7741"/>
    <cellStyle name="Процентный 3 4 13" xfId="4186"/>
    <cellStyle name="Процентный 3 4 13 2" xfId="8037"/>
    <cellStyle name="Процентный 3 4 14" xfId="8386"/>
    <cellStyle name="Процентный 3 4 15" xfId="4485"/>
    <cellStyle name="Процентный 3 4 2" xfId="1022"/>
    <cellStyle name="Процентный 3 4 2 2" xfId="8746"/>
    <cellStyle name="Процентный 3 4 2 3" xfId="4781"/>
    <cellStyle name="Процентный 3 4 3" xfId="1244"/>
    <cellStyle name="Процентный 3 4 3 2" xfId="5077"/>
    <cellStyle name="Процентный 3 4 4" xfId="1530"/>
    <cellStyle name="Процентный 3 4 4 2" xfId="5373"/>
    <cellStyle name="Процентный 3 4 5" xfId="1822"/>
    <cellStyle name="Процентный 3 4 5 2" xfId="5669"/>
    <cellStyle name="Процентный 3 4 6" xfId="2115"/>
    <cellStyle name="Процентный 3 4 6 2" xfId="5965"/>
    <cellStyle name="Процентный 3 4 7" xfId="2410"/>
    <cellStyle name="Процентный 3 4 7 2" xfId="6261"/>
    <cellStyle name="Процентный 3 4 8" xfId="2706"/>
    <cellStyle name="Процентный 3 4 8 2" xfId="6557"/>
    <cellStyle name="Процентный 3 4 9" xfId="3002"/>
    <cellStyle name="Процентный 3 4 9 2" xfId="6853"/>
    <cellStyle name="Процентный 3 5" xfId="1023"/>
    <cellStyle name="Процентный 3 5 2" xfId="8747"/>
    <cellStyle name="Процентный 3 5 3" xfId="4633"/>
    <cellStyle name="Процентный 3 6" xfId="1024"/>
    <cellStyle name="Процентный 3 6 2" xfId="8748"/>
    <cellStyle name="Процентный 3 6 3" xfId="4929"/>
    <cellStyle name="Процентный 3 7" xfId="1386"/>
    <cellStyle name="Процентный 3 7 2" xfId="5225"/>
    <cellStyle name="Процентный 3 8" xfId="1675"/>
    <cellStyle name="Процентный 3 8 2" xfId="5521"/>
    <cellStyle name="Процентный 3 9" xfId="1968"/>
    <cellStyle name="Процентный 3 9 2" xfId="5817"/>
    <cellStyle name="Процентный 4" xfId="54"/>
    <cellStyle name="Процентный 5" xfId="185"/>
    <cellStyle name="Процентный 6" xfId="1053"/>
    <cellStyle name="Процентный 7" xfId="46"/>
    <cellStyle name="Процентный 8" xfId="8811"/>
    <cellStyle name="Финансовый" xfId="6" builtinId="3"/>
    <cellStyle name="Финансовый 10" xfId="567"/>
    <cellStyle name="Финансовый 10 2" xfId="681"/>
    <cellStyle name="Финансовый 11" xfId="634"/>
    <cellStyle name="Финансовый 12" xfId="664"/>
    <cellStyle name="Финансовый 13" xfId="1052"/>
    <cellStyle name="Финансовый 14" xfId="8757"/>
    <cellStyle name="Финансовый 15" xfId="128"/>
    <cellStyle name="Финансовый 16" xfId="8856"/>
    <cellStyle name="Финансовый 17" xfId="8865"/>
    <cellStyle name="Финансовый 2" xfId="8"/>
    <cellStyle name="Финансовый 2 10" xfId="390"/>
    <cellStyle name="Финансовый 2 10 2" xfId="8441"/>
    <cellStyle name="Финансовый 2 10 3" xfId="6090"/>
    <cellStyle name="Финансовый 2 11" xfId="2535"/>
    <cellStyle name="Финансовый 2 11 2" xfId="6386"/>
    <cellStyle name="Финансовый 2 12" xfId="2831"/>
    <cellStyle name="Финансовый 2 12 2" xfId="6682"/>
    <cellStyle name="Финансовый 2 13" xfId="3127"/>
    <cellStyle name="Финансовый 2 13 2" xfId="6978"/>
    <cellStyle name="Финансовый 2 14" xfId="3423"/>
    <cellStyle name="Финансовый 2 14 2" xfId="7274"/>
    <cellStyle name="Финансовый 2 15" xfId="3719"/>
    <cellStyle name="Финансовый 2 15 2" xfId="7570"/>
    <cellStyle name="Финансовый 2 16" xfId="4015"/>
    <cellStyle name="Финансовый 2 16 2" xfId="7866"/>
    <cellStyle name="Финансовый 2 17" xfId="8162"/>
    <cellStyle name="Финансовый 2 18" xfId="4311"/>
    <cellStyle name="Финансовый 2 19" xfId="103"/>
    <cellStyle name="Финансовый 2 2" xfId="157"/>
    <cellStyle name="Финансовый 2 2 10" xfId="2879"/>
    <cellStyle name="Финансовый 2 2 10 2" xfId="6730"/>
    <cellStyle name="Финансовый 2 2 11" xfId="3175"/>
    <cellStyle name="Финансовый 2 2 11 2" xfId="7026"/>
    <cellStyle name="Финансовый 2 2 12" xfId="3471"/>
    <cellStyle name="Финансовый 2 2 12 2" xfId="7322"/>
    <cellStyle name="Финансовый 2 2 13" xfId="3767"/>
    <cellStyle name="Финансовый 2 2 13 2" xfId="7618"/>
    <cellStyle name="Финансовый 2 2 14" xfId="4063"/>
    <cellStyle name="Финансовый 2 2 14 2" xfId="7914"/>
    <cellStyle name="Финансовый 2 2 15" xfId="8212"/>
    <cellStyle name="Финансовый 2 2 16" xfId="4360"/>
    <cellStyle name="Финансовый 2 2 17" xfId="8788"/>
    <cellStyle name="Финансовый 2 2 2" xfId="260"/>
    <cellStyle name="Финансовый 2 2 2 10" xfId="3323"/>
    <cellStyle name="Финансовый 2 2 2 10 2" xfId="7174"/>
    <cellStyle name="Финансовый 2 2 2 11" xfId="3619"/>
    <cellStyle name="Финансовый 2 2 2 11 2" xfId="7470"/>
    <cellStyle name="Финансовый 2 2 2 12" xfId="3915"/>
    <cellStyle name="Финансовый 2 2 2 12 2" xfId="7766"/>
    <cellStyle name="Финансовый 2 2 2 13" xfId="4211"/>
    <cellStyle name="Финансовый 2 2 2 13 2" xfId="8062"/>
    <cellStyle name="Финансовый 2 2 2 14" xfId="8313"/>
    <cellStyle name="Финансовый 2 2 2 15" xfId="4510"/>
    <cellStyle name="Финансовый 2 2 2 2" xfId="657"/>
    <cellStyle name="Финансовый 2 2 2 2 2" xfId="704"/>
    <cellStyle name="Финансовый 2 2 2 2 3" xfId="8476"/>
    <cellStyle name="Финансовый 2 2 2 2 4" xfId="4806"/>
    <cellStyle name="Финансовый 2 2 2 3" xfId="698"/>
    <cellStyle name="Финансовый 2 2 2 3 2" xfId="8489"/>
    <cellStyle name="Финансовый 2 2 2 3 3" xfId="5102"/>
    <cellStyle name="Финансовый 2 2 2 4" xfId="648"/>
    <cellStyle name="Финансовый 2 2 2 4 2" xfId="8472"/>
    <cellStyle name="Финансовый 2 2 2 4 3" xfId="5398"/>
    <cellStyle name="Финансовый 2 2 2 5" xfId="1847"/>
    <cellStyle name="Финансовый 2 2 2 5 2" xfId="5694"/>
    <cellStyle name="Финансовый 2 2 2 6" xfId="2140"/>
    <cellStyle name="Финансовый 2 2 2 6 2" xfId="5990"/>
    <cellStyle name="Финансовый 2 2 2 7" xfId="2435"/>
    <cellStyle name="Финансовый 2 2 2 7 2" xfId="6286"/>
    <cellStyle name="Финансовый 2 2 2 8" xfId="2731"/>
    <cellStyle name="Финансовый 2 2 2 8 2" xfId="6582"/>
    <cellStyle name="Финансовый 2 2 2 9" xfId="3027"/>
    <cellStyle name="Финансовый 2 2 2 9 2" xfId="6878"/>
    <cellStyle name="Финансовый 2 2 3" xfId="361"/>
    <cellStyle name="Финансовый 2 2 3 2" xfId="694"/>
    <cellStyle name="Финансовый 2 2 3 3" xfId="643"/>
    <cellStyle name="Финансовый 2 2 3 4" xfId="8413"/>
    <cellStyle name="Финансовый 2 2 3 5" xfId="4658"/>
    <cellStyle name="Финансовый 2 2 4" xfId="612"/>
    <cellStyle name="Финансовый 2 2 4 2" xfId="8457"/>
    <cellStyle name="Финансовый 2 2 4 3" xfId="4954"/>
    <cellStyle name="Финансовый 2 2 5" xfId="1049"/>
    <cellStyle name="Финансовый 2 2 5 2" xfId="8756"/>
    <cellStyle name="Финансовый 2 2 5 3" xfId="5250"/>
    <cellStyle name="Финансовый 2 2 6" xfId="1700"/>
    <cellStyle name="Финансовый 2 2 6 2" xfId="5546"/>
    <cellStyle name="Финансовый 2 2 7" xfId="1993"/>
    <cellStyle name="Финансовый 2 2 7 2" xfId="5842"/>
    <cellStyle name="Финансовый 2 2 8" xfId="2287"/>
    <cellStyle name="Финансовый 2 2 8 2" xfId="6138"/>
    <cellStyle name="Финансовый 2 2 9" xfId="2583"/>
    <cellStyle name="Финансовый 2 2 9 2" xfId="6434"/>
    <cellStyle name="Финансовый 2 3" xfId="210"/>
    <cellStyle name="Финансовый 2 3 10" xfId="2929"/>
    <cellStyle name="Финансовый 2 3 10 2" xfId="6780"/>
    <cellStyle name="Финансовый 2 3 11" xfId="3225"/>
    <cellStyle name="Финансовый 2 3 11 2" xfId="7076"/>
    <cellStyle name="Финансовый 2 3 12" xfId="3521"/>
    <cellStyle name="Финансовый 2 3 12 2" xfId="7372"/>
    <cellStyle name="Финансовый 2 3 13" xfId="3817"/>
    <cellStyle name="Финансовый 2 3 13 2" xfId="7668"/>
    <cellStyle name="Финансовый 2 3 14" xfId="4113"/>
    <cellStyle name="Финансовый 2 3 14 2" xfId="7964"/>
    <cellStyle name="Финансовый 2 3 15" xfId="8263"/>
    <cellStyle name="Финансовый 2 3 16" xfId="4411"/>
    <cellStyle name="Финансовый 2 3 2" xfId="645"/>
    <cellStyle name="Финансовый 2 3 2 10" xfId="3373"/>
    <cellStyle name="Финансовый 2 3 2 10 2" xfId="7224"/>
    <cellStyle name="Финансовый 2 3 2 11" xfId="3669"/>
    <cellStyle name="Финансовый 2 3 2 11 2" xfId="7520"/>
    <cellStyle name="Финансовый 2 3 2 12" xfId="3965"/>
    <cellStyle name="Финансовый 2 3 2 12 2" xfId="7816"/>
    <cellStyle name="Финансовый 2 3 2 13" xfId="4261"/>
    <cellStyle name="Финансовый 2 3 2 13 2" xfId="8112"/>
    <cellStyle name="Финансовый 2 3 2 14" xfId="8471"/>
    <cellStyle name="Финансовый 2 3 2 15" xfId="4560"/>
    <cellStyle name="Финансовый 2 3 2 16" xfId="8762"/>
    <cellStyle name="Финансовый 2 3 2 2" xfId="696"/>
    <cellStyle name="Финансовый 2 3 2 2 2" xfId="721"/>
    <cellStyle name="Финансовый 2 3 2 2 2 2" xfId="1040"/>
    <cellStyle name="Финансовый 2 3 2 2 2 2 2" xfId="8793"/>
    <cellStyle name="Финансовый 2 3 2 2 2 3" xfId="8771"/>
    <cellStyle name="Финансовый 2 3 2 2 3" xfId="713"/>
    <cellStyle name="Финансовый 2 3 2 2 3 2" xfId="8786"/>
    <cellStyle name="Финансовый 2 3 2 2 4" xfId="1033"/>
    <cellStyle name="Финансовый 2 3 2 2 5" xfId="8488"/>
    <cellStyle name="Финансовый 2 3 2 2 6" xfId="4856"/>
    <cellStyle name="Финансовый 2 3 2 2 7" xfId="8765"/>
    <cellStyle name="Финансовый 2 3 2 3" xfId="718"/>
    <cellStyle name="Финансовый 2 3 2 3 2" xfId="1037"/>
    <cellStyle name="Финансовый 2 3 2 3 2 2" xfId="8790"/>
    <cellStyle name="Финансовый 2 3 2 3 3" xfId="8496"/>
    <cellStyle name="Финансовый 2 3 2 3 4" xfId="5152"/>
    <cellStyle name="Финансовый 2 3 2 3 5" xfId="8768"/>
    <cellStyle name="Финансовый 2 3 2 4" xfId="710"/>
    <cellStyle name="Финансовый 2 3 2 4 2" xfId="8492"/>
    <cellStyle name="Финансовый 2 3 2 4 3" xfId="5448"/>
    <cellStyle name="Финансовый 2 3 2 4 4" xfId="8783"/>
    <cellStyle name="Финансовый 2 3 2 5" xfId="1030"/>
    <cellStyle name="Финансовый 2 3 2 5 2" xfId="8751"/>
    <cellStyle name="Финансовый 2 3 2 5 3" xfId="5744"/>
    <cellStyle name="Финансовый 2 3 2 6" xfId="2190"/>
    <cellStyle name="Финансовый 2 3 2 6 2" xfId="6040"/>
    <cellStyle name="Финансовый 2 3 2 7" xfId="2485"/>
    <cellStyle name="Финансовый 2 3 2 7 2" xfId="6336"/>
    <cellStyle name="Финансовый 2 3 2 8" xfId="2781"/>
    <cellStyle name="Финансовый 2 3 2 8 2" xfId="6632"/>
    <cellStyle name="Финансовый 2 3 2 9" xfId="3077"/>
    <cellStyle name="Финансовый 2 3 2 9 2" xfId="6928"/>
    <cellStyle name="Финансовый 2 3 3" xfId="682"/>
    <cellStyle name="Финансовый 2 3 3 2" xfId="8484"/>
    <cellStyle name="Финансовый 2 3 3 3" xfId="4708"/>
    <cellStyle name="Финансовый 2 3 4" xfId="568"/>
    <cellStyle name="Финансовый 2 3 4 2" xfId="8453"/>
    <cellStyle name="Финансовый 2 3 4 3" xfId="5004"/>
    <cellStyle name="Финансовый 2 3 5" xfId="1458"/>
    <cellStyle name="Финансовый 2 3 5 2" xfId="5300"/>
    <cellStyle name="Финансовый 2 3 6" xfId="1749"/>
    <cellStyle name="Финансовый 2 3 6 2" xfId="5596"/>
    <cellStyle name="Финансовый 2 3 7" xfId="2042"/>
    <cellStyle name="Финансовый 2 3 7 2" xfId="5892"/>
    <cellStyle name="Финансовый 2 3 8" xfId="2337"/>
    <cellStyle name="Финансовый 2 3 8 2" xfId="6188"/>
    <cellStyle name="Финансовый 2 3 9" xfId="2633"/>
    <cellStyle name="Финансовый 2 3 9 2" xfId="6484"/>
    <cellStyle name="Финансовый 2 4" xfId="311"/>
    <cellStyle name="Финансовый 2 4 10" xfId="3275"/>
    <cellStyle name="Финансовый 2 4 10 2" xfId="7126"/>
    <cellStyle name="Финансовый 2 4 11" xfId="3571"/>
    <cellStyle name="Финансовый 2 4 11 2" xfId="7422"/>
    <cellStyle name="Финансовый 2 4 12" xfId="3867"/>
    <cellStyle name="Финансовый 2 4 12 2" xfId="7718"/>
    <cellStyle name="Финансовый 2 4 13" xfId="4163"/>
    <cellStyle name="Финансовый 2 4 13 2" xfId="8014"/>
    <cellStyle name="Финансовый 2 4 14" xfId="8363"/>
    <cellStyle name="Финансовый 2 4 15" xfId="4462"/>
    <cellStyle name="Финансовый 2 4 2" xfId="635"/>
    <cellStyle name="Финансовый 2 4 2 2" xfId="8465"/>
    <cellStyle name="Финансовый 2 4 2 3" xfId="4758"/>
    <cellStyle name="Финансовый 2 4 3" xfId="1222"/>
    <cellStyle name="Финансовый 2 4 3 2" xfId="5054"/>
    <cellStyle name="Финансовый 2 4 4" xfId="1507"/>
    <cellStyle name="Финансовый 2 4 4 2" xfId="5350"/>
    <cellStyle name="Финансовый 2 4 5" xfId="1799"/>
    <cellStyle name="Финансовый 2 4 5 2" xfId="5646"/>
    <cellStyle name="Финансовый 2 4 6" xfId="2092"/>
    <cellStyle name="Финансовый 2 4 6 2" xfId="5942"/>
    <cellStyle name="Финансовый 2 4 7" xfId="2387"/>
    <cellStyle name="Финансовый 2 4 7 2" xfId="6238"/>
    <cellStyle name="Финансовый 2 4 8" xfId="2683"/>
    <cellStyle name="Финансовый 2 4 8 2" xfId="6534"/>
    <cellStyle name="Финансовый 2 4 9" xfId="2979"/>
    <cellStyle name="Финансовый 2 4 9 2" xfId="6830"/>
    <cellStyle name="Финансовый 2 5" xfId="644"/>
    <cellStyle name="Финансовый 2 5 2" xfId="695"/>
    <cellStyle name="Финансовый 2 5 3" xfId="8470"/>
    <cellStyle name="Финансовый 2 5 4" xfId="4610"/>
    <cellStyle name="Финансовый 2 6" xfId="638"/>
    <cellStyle name="Финансовый 2 6 2" xfId="689"/>
    <cellStyle name="Финансовый 2 6 3" xfId="8468"/>
    <cellStyle name="Финансовый 2 6 4" xfId="4906"/>
    <cellStyle name="Финансовый 2 7" xfId="653"/>
    <cellStyle name="Финансовый 2 7 2" xfId="700"/>
    <cellStyle name="Финансовый 2 7 3" xfId="8474"/>
    <cellStyle name="Финансовый 2 7 4" xfId="5202"/>
    <cellStyle name="Финансовый 2 8" xfId="666"/>
    <cellStyle name="Финансовый 2 8 2" xfId="8479"/>
    <cellStyle name="Финансовый 2 8 3" xfId="5498"/>
    <cellStyle name="Финансовый 2 9" xfId="716"/>
    <cellStyle name="Финансовый 2 9 2" xfId="8494"/>
    <cellStyle name="Финансовый 2 9 3" xfId="5794"/>
    <cellStyle name="Финансовый 3" xfId="126"/>
    <cellStyle name="Финансовый 3 10" xfId="2261"/>
    <cellStyle name="Финансовый 3 10 2" xfId="6112"/>
    <cellStyle name="Финансовый 3 11" xfId="2557"/>
    <cellStyle name="Финансовый 3 11 2" xfId="6408"/>
    <cellStyle name="Финансовый 3 12" xfId="2853"/>
    <cellStyle name="Финансовый 3 12 2" xfId="6704"/>
    <cellStyle name="Финансовый 3 13" xfId="3149"/>
    <cellStyle name="Финансовый 3 13 2" xfId="7000"/>
    <cellStyle name="Финансовый 3 14" xfId="3445"/>
    <cellStyle name="Финансовый 3 14 2" xfId="7296"/>
    <cellStyle name="Финансовый 3 15" xfId="3741"/>
    <cellStyle name="Финансовый 3 15 2" xfId="7592"/>
    <cellStyle name="Финансовый 3 16" xfId="4037"/>
    <cellStyle name="Финансовый 3 16 2" xfId="7888"/>
    <cellStyle name="Финансовый 3 17" xfId="8184"/>
    <cellStyle name="Финансовый 3 18" xfId="4333"/>
    <cellStyle name="Финансовый 3 19" xfId="8781"/>
    <cellStyle name="Финансовый 3 2" xfId="179"/>
    <cellStyle name="Финансовый 3 2 10" xfId="2901"/>
    <cellStyle name="Финансовый 3 2 10 2" xfId="6752"/>
    <cellStyle name="Финансовый 3 2 11" xfId="3197"/>
    <cellStyle name="Финансовый 3 2 11 2" xfId="7048"/>
    <cellStyle name="Финансовый 3 2 12" xfId="3493"/>
    <cellStyle name="Финансовый 3 2 12 2" xfId="7344"/>
    <cellStyle name="Финансовый 3 2 13" xfId="3789"/>
    <cellStyle name="Финансовый 3 2 13 2" xfId="7640"/>
    <cellStyle name="Финансовый 3 2 14" xfId="4085"/>
    <cellStyle name="Финансовый 3 2 14 2" xfId="7936"/>
    <cellStyle name="Финансовый 3 2 15" xfId="8234"/>
    <cellStyle name="Финансовый 3 2 16" xfId="4382"/>
    <cellStyle name="Финансовый 3 2 2" xfId="282"/>
    <cellStyle name="Финансовый 3 2 2 10" xfId="3345"/>
    <cellStyle name="Финансовый 3 2 2 10 2" xfId="7196"/>
    <cellStyle name="Финансовый 3 2 2 11" xfId="3641"/>
    <cellStyle name="Финансовый 3 2 2 11 2" xfId="7492"/>
    <cellStyle name="Финансовый 3 2 2 12" xfId="3937"/>
    <cellStyle name="Финансовый 3 2 2 12 2" xfId="7788"/>
    <cellStyle name="Финансовый 3 2 2 13" xfId="4233"/>
    <cellStyle name="Финансовый 3 2 2 13 2" xfId="8084"/>
    <cellStyle name="Финансовый 3 2 2 14" xfId="8335"/>
    <cellStyle name="Финансовый 3 2 2 15" xfId="4532"/>
    <cellStyle name="Финансовый 3 2 2 2" xfId="692"/>
    <cellStyle name="Финансовый 3 2 2 2 2" xfId="8487"/>
    <cellStyle name="Финансовый 3 2 2 2 3" xfId="4828"/>
    <cellStyle name="Финансовый 3 2 2 3" xfId="1290"/>
    <cellStyle name="Финансовый 3 2 2 3 2" xfId="5124"/>
    <cellStyle name="Финансовый 3 2 2 4" xfId="1576"/>
    <cellStyle name="Финансовый 3 2 2 4 2" xfId="5420"/>
    <cellStyle name="Финансовый 3 2 2 5" xfId="1869"/>
    <cellStyle name="Финансовый 3 2 2 5 2" xfId="5716"/>
    <cellStyle name="Финансовый 3 2 2 6" xfId="2162"/>
    <cellStyle name="Финансовый 3 2 2 6 2" xfId="6012"/>
    <cellStyle name="Финансовый 3 2 2 7" xfId="2457"/>
    <cellStyle name="Финансовый 3 2 2 7 2" xfId="6308"/>
    <cellStyle name="Финансовый 3 2 2 8" xfId="2753"/>
    <cellStyle name="Финансовый 3 2 2 8 2" xfId="6604"/>
    <cellStyle name="Финансовый 3 2 2 9" xfId="3049"/>
    <cellStyle name="Финансовый 3 2 2 9 2" xfId="6900"/>
    <cellStyle name="Финансовый 3 2 3" xfId="383"/>
    <cellStyle name="Финансовый 3 2 3 2" xfId="1025"/>
    <cellStyle name="Финансовый 3 2 3 3" xfId="8435"/>
    <cellStyle name="Финансовый 3 2 3 4" xfId="4680"/>
    <cellStyle name="Финансовый 3 2 4" xfId="641"/>
    <cellStyle name="Финансовый 3 2 4 2" xfId="8469"/>
    <cellStyle name="Финансовый 3 2 4 3" xfId="4976"/>
    <cellStyle name="Финансовый 3 2 5" xfId="1432"/>
    <cellStyle name="Финансовый 3 2 5 2" xfId="5272"/>
    <cellStyle name="Финансовый 3 2 6" xfId="1722"/>
    <cellStyle name="Финансовый 3 2 6 2" xfId="5568"/>
    <cellStyle name="Финансовый 3 2 7" xfId="2014"/>
    <cellStyle name="Финансовый 3 2 7 2" xfId="5864"/>
    <cellStyle name="Финансовый 3 2 8" xfId="2309"/>
    <cellStyle name="Финансовый 3 2 8 2" xfId="6160"/>
    <cellStyle name="Финансовый 3 2 9" xfId="2605"/>
    <cellStyle name="Финансовый 3 2 9 2" xfId="6456"/>
    <cellStyle name="Финансовый 3 20" xfId="8854"/>
    <cellStyle name="Финансовый 3 3" xfId="232"/>
    <cellStyle name="Финансовый 3 3 10" xfId="2951"/>
    <cellStyle name="Финансовый 3 3 10 2" xfId="6802"/>
    <cellStyle name="Финансовый 3 3 11" xfId="3247"/>
    <cellStyle name="Финансовый 3 3 11 2" xfId="7098"/>
    <cellStyle name="Финансовый 3 3 12" xfId="3543"/>
    <cellStyle name="Финансовый 3 3 12 2" xfId="7394"/>
    <cellStyle name="Финансовый 3 3 13" xfId="3839"/>
    <cellStyle name="Финансовый 3 3 13 2" xfId="7690"/>
    <cellStyle name="Финансовый 3 3 14" xfId="4135"/>
    <cellStyle name="Финансовый 3 3 14 2" xfId="7986"/>
    <cellStyle name="Финансовый 3 3 15" xfId="8285"/>
    <cellStyle name="Финансовый 3 3 16" xfId="4433"/>
    <cellStyle name="Финансовый 3 3 2" xfId="637"/>
    <cellStyle name="Финансовый 3 3 2 10" xfId="3395"/>
    <cellStyle name="Финансовый 3 3 2 10 2" xfId="7246"/>
    <cellStyle name="Финансовый 3 3 2 11" xfId="3691"/>
    <cellStyle name="Финансовый 3 3 2 11 2" xfId="7542"/>
    <cellStyle name="Финансовый 3 3 2 12" xfId="3987"/>
    <cellStyle name="Финансовый 3 3 2 12 2" xfId="7838"/>
    <cellStyle name="Финансовый 3 3 2 13" xfId="4283"/>
    <cellStyle name="Финансовый 3 3 2 13 2" xfId="8134"/>
    <cellStyle name="Финансовый 3 3 2 14" xfId="8467"/>
    <cellStyle name="Финансовый 3 3 2 15" xfId="4582"/>
    <cellStyle name="Финансовый 3 3 2 2" xfId="1149"/>
    <cellStyle name="Финансовый 3 3 2 2 2" xfId="4878"/>
    <cellStyle name="Финансовый 3 3 2 3" xfId="1338"/>
    <cellStyle name="Финансовый 3 3 2 3 2" xfId="5174"/>
    <cellStyle name="Финансовый 3 3 2 4" xfId="1625"/>
    <cellStyle name="Финансовый 3 3 2 4 2" xfId="5470"/>
    <cellStyle name="Финансовый 3 3 2 5" xfId="1918"/>
    <cellStyle name="Финансовый 3 3 2 5 2" xfId="5766"/>
    <cellStyle name="Финансовый 3 3 2 6" xfId="2212"/>
    <cellStyle name="Финансовый 3 3 2 6 2" xfId="6062"/>
    <cellStyle name="Финансовый 3 3 2 7" xfId="2507"/>
    <cellStyle name="Финансовый 3 3 2 7 2" xfId="6358"/>
    <cellStyle name="Финансовый 3 3 2 8" xfId="2803"/>
    <cellStyle name="Финансовый 3 3 2 8 2" xfId="6654"/>
    <cellStyle name="Финансовый 3 3 2 9" xfId="3099"/>
    <cellStyle name="Финансовый 3 3 2 9 2" xfId="6950"/>
    <cellStyle name="Финансовый 3 3 3" xfId="1102"/>
    <cellStyle name="Финансовый 3 3 3 2" xfId="4730"/>
    <cellStyle name="Финансовый 3 3 4" xfId="1196"/>
    <cellStyle name="Финансовый 3 3 4 2" xfId="5026"/>
    <cellStyle name="Финансовый 3 3 5" xfId="1480"/>
    <cellStyle name="Финансовый 3 3 5 2" xfId="5322"/>
    <cellStyle name="Финансовый 3 3 6" xfId="1771"/>
    <cellStyle name="Финансовый 3 3 6 2" xfId="5618"/>
    <cellStyle name="Финансовый 3 3 7" xfId="2064"/>
    <cellStyle name="Финансовый 3 3 7 2" xfId="5914"/>
    <cellStyle name="Финансовый 3 3 8" xfId="2359"/>
    <cellStyle name="Финансовый 3 3 8 2" xfId="6210"/>
    <cellStyle name="Финансовый 3 3 9" xfId="2655"/>
    <cellStyle name="Финансовый 3 3 9 2" xfId="6506"/>
    <cellStyle name="Финансовый 3 4" xfId="333"/>
    <cellStyle name="Финансовый 3 4 10" xfId="3297"/>
    <cellStyle name="Финансовый 3 4 10 2" xfId="7148"/>
    <cellStyle name="Финансовый 3 4 11" xfId="3593"/>
    <cellStyle name="Финансовый 3 4 11 2" xfId="7444"/>
    <cellStyle name="Финансовый 3 4 12" xfId="3889"/>
    <cellStyle name="Финансовый 3 4 12 2" xfId="7740"/>
    <cellStyle name="Финансовый 3 4 13" xfId="4185"/>
    <cellStyle name="Финансовый 3 4 13 2" xfId="8036"/>
    <cellStyle name="Финансовый 3 4 14" xfId="8385"/>
    <cellStyle name="Финансовый 3 4 15" xfId="4484"/>
    <cellStyle name="Финансовый 3 4 2" xfId="701"/>
    <cellStyle name="Финансовый 3 4 2 2" xfId="8490"/>
    <cellStyle name="Финансовый 3 4 2 3" xfId="4780"/>
    <cellStyle name="Финансовый 3 4 3" xfId="654"/>
    <cellStyle name="Финансовый 3 4 3 2" xfId="8475"/>
    <cellStyle name="Финансовый 3 4 3 3" xfId="5076"/>
    <cellStyle name="Финансовый 3 4 4" xfId="1529"/>
    <cellStyle name="Финансовый 3 4 4 2" xfId="5372"/>
    <cellStyle name="Финансовый 3 4 5" xfId="1821"/>
    <cellStyle name="Финансовый 3 4 5 2" xfId="5668"/>
    <cellStyle name="Финансовый 3 4 6" xfId="2114"/>
    <cellStyle name="Финансовый 3 4 6 2" xfId="5964"/>
    <cellStyle name="Финансовый 3 4 7" xfId="2409"/>
    <cellStyle name="Финансовый 3 4 7 2" xfId="6260"/>
    <cellStyle name="Финансовый 3 4 8" xfId="2705"/>
    <cellStyle name="Финансовый 3 4 8 2" xfId="6556"/>
    <cellStyle name="Финансовый 3 4 9" xfId="3001"/>
    <cellStyle name="Финансовый 3 4 9 2" xfId="6852"/>
    <cellStyle name="Финансовый 3 5" xfId="668"/>
    <cellStyle name="Финансовый 3 5 2" xfId="8480"/>
    <cellStyle name="Финансовый 3 5 3" xfId="4632"/>
    <cellStyle name="Финансовый 3 6" xfId="393"/>
    <cellStyle name="Финансовый 3 6 2" xfId="8444"/>
    <cellStyle name="Финансовый 3 6 3" xfId="4928"/>
    <cellStyle name="Финансовый 3 7" xfId="1385"/>
    <cellStyle name="Финансовый 3 7 2" xfId="5224"/>
    <cellStyle name="Финансовый 3 8" xfId="1674"/>
    <cellStyle name="Финансовый 3 8 2" xfId="5520"/>
    <cellStyle name="Финансовый 3 9" xfId="1967"/>
    <cellStyle name="Финансовый 3 9 2" xfId="5816"/>
    <cellStyle name="Финансовый 4" xfId="1056"/>
    <cellStyle name="Финансовый 4 2" xfId="651"/>
    <cellStyle name="Финансовый 4 3" xfId="670"/>
    <cellStyle name="Финансовый 4 4" xfId="395"/>
    <cellStyle name="Финансовый 4 5" xfId="4384"/>
    <cellStyle name="Финансовый 4 6" xfId="8853"/>
    <cellStyle name="Финансовый 5" xfId="397"/>
    <cellStyle name="Финансовый 5 2" xfId="672"/>
    <cellStyle name="Финансовый 5 3" xfId="8445"/>
    <cellStyle name="Финансовый 5 4" xfId="4435"/>
    <cellStyle name="Финансовый 6" xfId="401"/>
    <cellStyle name="Финансовый 6 2" xfId="674"/>
    <cellStyle name="Финансовый 7" xfId="403"/>
    <cellStyle name="Финансовый 7 2" xfId="676"/>
    <cellStyle name="Финансовый 8" xfId="408"/>
    <cellStyle name="Финансовый 8 2" xfId="679"/>
    <cellStyle name="Финансовый 9" xfId="8451"/>
  </cellStyles>
  <dxfs count="5">
    <dxf>
      <fill>
        <patternFill>
          <bgColor theme="9" tint="0.79998168889431442"/>
        </patternFill>
      </fill>
    </dxf>
    <dxf>
      <fill>
        <patternFill patternType="none">
          <bgColor auto="1"/>
        </patternFill>
      </fill>
    </dxf>
    <dxf>
      <fill>
        <patternFill>
          <bgColor theme="9" tint="0.59996337778862885"/>
        </patternFill>
      </fill>
    </dxf>
    <dxf>
      <fill>
        <gradientFill degree="90">
          <stop position="0">
            <color theme="0"/>
          </stop>
          <stop position="1">
            <color theme="4"/>
          </stop>
        </gradientFill>
      </fill>
    </dxf>
    <dxf>
      <fill>
        <patternFill>
          <bgColor theme="9" tint="0.79998168889431442"/>
        </patternFill>
      </fill>
    </dxf>
  </dxfs>
  <tableStyles count="3" defaultTableStyle="TableStyleMedium2" defaultPivotStyle="PivotStyleMedium9">
    <tableStyle name="Стиль таблицы 1" pivot="0" count="1">
      <tableStyleElement type="secondRowStripe" dxfId="4"/>
    </tableStyle>
    <tableStyle name="Стиль таблицы 2" pivot="0" count="2">
      <tableStyleElement type="headerRow" dxfId="3"/>
      <tableStyleElement type="totalRow" dxfId="2"/>
    </tableStyle>
    <tableStyle name="Стиль таблицы 3" pivot="0" count="2">
      <tableStyleElement type="firstRowStripe" dxfId="1"/>
      <tableStyleElement type="secondRowStripe" dxfId="0"/>
    </tableStyle>
  </tableStyles>
  <colors>
    <mruColors>
      <color rgb="FFFF9900"/>
      <color rgb="FF00FFCC"/>
      <color rgb="FF33CCFF"/>
      <color rgb="FFFFFF99"/>
      <color rgb="FF3333FF"/>
      <color rgb="FF0033CC"/>
      <color rgb="FFF177D7"/>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2:F42"/>
  <sheetViews>
    <sheetView topLeftCell="A19" workbookViewId="0">
      <selection activeCell="C40" sqref="C40"/>
    </sheetView>
  </sheetViews>
  <sheetFormatPr defaultRowHeight="14.4" outlineLevelRow="1"/>
  <cols>
    <col min="2" max="2" width="23.6640625" bestFit="1" customWidth="1"/>
    <col min="3" max="3" width="13.6640625" bestFit="1" customWidth="1"/>
    <col min="4" max="4" width="14.109375" bestFit="1" customWidth="1"/>
  </cols>
  <sheetData>
    <row r="2" spans="1:6">
      <c r="A2" t="s">
        <v>260</v>
      </c>
      <c r="C2" s="353">
        <f>AVERAGE(E4:E15)</f>
        <v>0.1203793018739302</v>
      </c>
    </row>
    <row r="3" spans="1:6" hidden="1" outlineLevel="1">
      <c r="C3" t="s">
        <v>257</v>
      </c>
      <c r="D3" t="s">
        <v>258</v>
      </c>
      <c r="E3" t="s">
        <v>259</v>
      </c>
    </row>
    <row r="4" spans="1:6" hidden="1" outlineLevel="1">
      <c r="B4">
        <v>1</v>
      </c>
      <c r="C4">
        <f>21734908.08+3039907.5</f>
        <v>24774815.579999998</v>
      </c>
      <c r="D4">
        <v>3039907.5</v>
      </c>
      <c r="E4" s="350">
        <f>D4/C4</f>
        <v>0.12270151881388899</v>
      </c>
      <c r="F4" s="351"/>
    </row>
    <row r="5" spans="1:6" hidden="1" outlineLevel="1">
      <c r="B5">
        <v>2</v>
      </c>
      <c r="C5">
        <v>2085216.68</v>
      </c>
      <c r="D5">
        <v>250168.02</v>
      </c>
      <c r="E5" s="350">
        <f t="shared" ref="E5:E15" si="0">D5/C5</f>
        <v>0.11997219396883013</v>
      </c>
    </row>
    <row r="6" spans="1:6" hidden="1" outlineLevel="1">
      <c r="B6">
        <v>3</v>
      </c>
      <c r="C6">
        <v>1619210.26</v>
      </c>
      <c r="D6">
        <v>187157.29</v>
      </c>
      <c r="E6" s="350">
        <f t="shared" si="0"/>
        <v>0.11558553859459858</v>
      </c>
    </row>
    <row r="7" spans="1:6" hidden="1" outlineLevel="1">
      <c r="B7">
        <v>4</v>
      </c>
      <c r="C7">
        <v>6381759.2300000004</v>
      </c>
      <c r="D7">
        <v>713762.83</v>
      </c>
      <c r="E7" s="350">
        <f t="shared" si="0"/>
        <v>0.11184421164695051</v>
      </c>
    </row>
    <row r="8" spans="1:6" hidden="1" outlineLevel="1">
      <c r="B8">
        <v>5</v>
      </c>
      <c r="C8">
        <v>4404553.5999999996</v>
      </c>
      <c r="D8">
        <v>504620.64</v>
      </c>
      <c r="E8" s="350">
        <f t="shared" si="0"/>
        <v>0.11456794168653096</v>
      </c>
    </row>
    <row r="9" spans="1:6" hidden="1" outlineLevel="1">
      <c r="B9">
        <v>6</v>
      </c>
      <c r="C9">
        <v>5156496.24</v>
      </c>
      <c r="D9">
        <v>640953.80000000005</v>
      </c>
      <c r="E9" s="350">
        <f t="shared" si="0"/>
        <v>0.12430025547735103</v>
      </c>
    </row>
    <row r="10" spans="1:6" hidden="1" outlineLevel="1">
      <c r="B10">
        <v>7</v>
      </c>
      <c r="C10">
        <v>10920914.630000001</v>
      </c>
      <c r="D10">
        <v>1332106.52</v>
      </c>
      <c r="E10" s="350">
        <f t="shared" si="0"/>
        <v>0.12197756004251449</v>
      </c>
    </row>
    <row r="11" spans="1:6" hidden="1" outlineLevel="1">
      <c r="B11">
        <v>8</v>
      </c>
      <c r="C11">
        <v>1984735.11</v>
      </c>
      <c r="D11">
        <v>252504.11</v>
      </c>
      <c r="E11" s="350">
        <f t="shared" si="0"/>
        <v>0.12722307814668526</v>
      </c>
    </row>
    <row r="12" spans="1:6" hidden="1" outlineLevel="1">
      <c r="B12">
        <v>9</v>
      </c>
      <c r="C12">
        <v>3501909.78</v>
      </c>
      <c r="D12">
        <v>427337.8</v>
      </c>
      <c r="E12" s="350">
        <f t="shared" si="0"/>
        <v>0.12202992848091021</v>
      </c>
    </row>
    <row r="13" spans="1:6" hidden="1" outlineLevel="1">
      <c r="B13">
        <v>10</v>
      </c>
      <c r="C13">
        <v>8418994.3499999996</v>
      </c>
      <c r="D13">
        <v>1036294.3</v>
      </c>
      <c r="E13" s="350">
        <f t="shared" si="0"/>
        <v>0.12309003390648435</v>
      </c>
    </row>
    <row r="14" spans="1:6" hidden="1" outlineLevel="1">
      <c r="B14">
        <v>11</v>
      </c>
      <c r="C14">
        <v>4529395.3600000003</v>
      </c>
      <c r="D14">
        <v>544927.64</v>
      </c>
      <c r="E14" s="350">
        <f t="shared" si="0"/>
        <v>0.12030913547807405</v>
      </c>
    </row>
    <row r="15" spans="1:6" hidden="1" outlineLevel="1">
      <c r="B15">
        <v>12</v>
      </c>
      <c r="C15">
        <v>3867500</v>
      </c>
      <c r="D15">
        <v>467775</v>
      </c>
      <c r="E15" s="350">
        <f t="shared" si="0"/>
        <v>0.12095022624434389</v>
      </c>
    </row>
    <row r="16" spans="1:6" collapsed="1"/>
    <row r="17" spans="1:3">
      <c r="A17" t="s">
        <v>261</v>
      </c>
      <c r="B17" t="s">
        <v>262</v>
      </c>
      <c r="C17" s="352" t="e">
        <f>#REF!</f>
        <v>#REF!</v>
      </c>
    </row>
    <row r="18" spans="1:3">
      <c r="B18" t="s">
        <v>263</v>
      </c>
      <c r="C18" s="352">
        <f>2051500+250000+246471</f>
        <v>2547971</v>
      </c>
    </row>
    <row r="19" spans="1:3">
      <c r="B19" t="s">
        <v>264</v>
      </c>
      <c r="C19" s="352">
        <f>SUM(C21:C25)</f>
        <v>23342228.459999997</v>
      </c>
    </row>
    <row r="20" spans="1:3">
      <c r="B20" t="s">
        <v>265</v>
      </c>
      <c r="C20" s="352"/>
    </row>
    <row r="21" spans="1:3">
      <c r="B21" t="s">
        <v>176</v>
      </c>
      <c r="C21" s="359">
        <f>ОС!E41+88654.88+28990+12399.97+9971+18496.99</f>
        <v>262876.84000000003</v>
      </c>
    </row>
    <row r="22" spans="1:3">
      <c r="B22" t="s">
        <v>266</v>
      </c>
      <c r="C22" s="359">
        <f>ОС!E39+806079.43+11600.04</f>
        <v>20594884.489999998</v>
      </c>
    </row>
    <row r="23" spans="1:3">
      <c r="B23" t="s">
        <v>269</v>
      </c>
      <c r="C23" s="359">
        <f>1348943.82+134648.07+ОС!E40+66223.6+41478.04+153811.68</f>
        <v>2167456.4800000004</v>
      </c>
    </row>
    <row r="24" spans="1:3">
      <c r="B24" t="s">
        <v>268</v>
      </c>
      <c r="C24" s="359">
        <f>242313.65+36673+600+37424</f>
        <v>317010.65000000002</v>
      </c>
    </row>
    <row r="25" spans="1:3">
      <c r="C25" s="352"/>
    </row>
    <row r="26" spans="1:3">
      <c r="B26" t="s">
        <v>267</v>
      </c>
      <c r="C26" s="352">
        <f>1840475+2243327+4623157-2186000</f>
        <v>6520959</v>
      </c>
    </row>
    <row r="27" spans="1:3">
      <c r="C27" s="357" t="e">
        <f>C17-C18-C19+C26</f>
        <v>#REF!</v>
      </c>
    </row>
    <row r="29" spans="1:3" hidden="1">
      <c r="B29" t="s">
        <v>355</v>
      </c>
    </row>
    <row r="30" spans="1:3" hidden="1">
      <c r="B30" t="s">
        <v>362</v>
      </c>
    </row>
    <row r="31" spans="1:3" hidden="1"/>
    <row r="32" spans="1:3" hidden="1"/>
    <row r="33" spans="2:3" hidden="1">
      <c r="B33" t="s">
        <v>363</v>
      </c>
    </row>
    <row r="34" spans="2:3" hidden="1"/>
    <row r="35" spans="2:3" hidden="1"/>
    <row r="36" spans="2:3">
      <c r="C36" s="358">
        <f>SUM(C30:C35)</f>
        <v>0</v>
      </c>
    </row>
    <row r="37" spans="2:3">
      <c r="C37" s="358"/>
    </row>
    <row r="38" spans="2:3" ht="43.2">
      <c r="B38" s="370" t="s">
        <v>401</v>
      </c>
      <c r="C38" s="357">
        <f>1300000+200000</f>
        <v>1500000</v>
      </c>
    </row>
    <row r="40" spans="2:3" ht="18">
      <c r="C40" s="390" t="e">
        <f>C27+C36-C38</f>
        <v>#REF!</v>
      </c>
    </row>
    <row r="41" spans="2:3">
      <c r="B41" t="s">
        <v>400</v>
      </c>
      <c r="C41">
        <v>-500000</v>
      </c>
    </row>
    <row r="42" spans="2:3">
      <c r="C42" s="352" t="e">
        <f>C40+C41</f>
        <v>#REF!</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F42"/>
  <sheetViews>
    <sheetView workbookViewId="0">
      <selection activeCell="F29" sqref="F29"/>
    </sheetView>
  </sheetViews>
  <sheetFormatPr defaultRowHeight="14.4"/>
  <cols>
    <col min="1" max="1" width="35.88671875" customWidth="1"/>
    <col min="2" max="2" width="34.6640625" customWidth="1"/>
    <col min="5" max="5" width="13.33203125" bestFit="1" customWidth="1"/>
  </cols>
  <sheetData>
    <row r="7" spans="1:6" ht="15" thickBot="1">
      <c r="A7" s="227"/>
      <c r="B7" s="227"/>
      <c r="C7" s="227"/>
      <c r="D7" s="227"/>
      <c r="E7" s="227"/>
    </row>
    <row r="8" spans="1:6" ht="21" thickBot="1">
      <c r="A8" s="354" t="s">
        <v>270</v>
      </c>
      <c r="B8" s="355" t="s">
        <v>271</v>
      </c>
      <c r="C8" s="355"/>
      <c r="D8" s="349" t="s">
        <v>272</v>
      </c>
      <c r="E8" s="349">
        <v>-246540</v>
      </c>
      <c r="F8" t="s">
        <v>266</v>
      </c>
    </row>
    <row r="9" spans="1:6" ht="21" thickBot="1">
      <c r="A9" s="354" t="s">
        <v>273</v>
      </c>
      <c r="B9" s="355" t="s">
        <v>274</v>
      </c>
      <c r="C9" s="355"/>
      <c r="D9" s="349" t="s">
        <v>275</v>
      </c>
      <c r="E9" s="349">
        <v>-750000</v>
      </c>
      <c r="F9" t="s">
        <v>266</v>
      </c>
    </row>
    <row r="10" spans="1:6" ht="21" thickBot="1">
      <c r="A10" s="354" t="s">
        <v>276</v>
      </c>
      <c r="B10" s="355" t="s">
        <v>277</v>
      </c>
      <c r="C10" s="349" t="s">
        <v>278</v>
      </c>
      <c r="D10" s="355"/>
      <c r="E10" s="349">
        <v>-852432</v>
      </c>
      <c r="F10" t="s">
        <v>266</v>
      </c>
    </row>
    <row r="11" spans="1:6" ht="21" thickBot="1">
      <c r="A11" s="354" t="s">
        <v>279</v>
      </c>
      <c r="B11" s="355" t="s">
        <v>280</v>
      </c>
      <c r="C11" s="349" t="s">
        <v>281</v>
      </c>
      <c r="D11" s="355"/>
      <c r="E11" s="349">
        <v>-833215</v>
      </c>
      <c r="F11" t="s">
        <v>266</v>
      </c>
    </row>
    <row r="12" spans="1:6" ht="21" thickBot="1">
      <c r="A12" s="354" t="s">
        <v>282</v>
      </c>
      <c r="B12" s="355"/>
      <c r="C12" s="355"/>
      <c r="D12" s="349" t="s">
        <v>283</v>
      </c>
      <c r="E12" s="349">
        <v>-221175</v>
      </c>
      <c r="F12" t="s">
        <v>266</v>
      </c>
    </row>
    <row r="13" spans="1:6" ht="21" thickBot="1">
      <c r="A13" s="354" t="s">
        <v>284</v>
      </c>
      <c r="B13" s="355" t="s">
        <v>285</v>
      </c>
      <c r="C13" s="355"/>
      <c r="D13" s="349" t="s">
        <v>286</v>
      </c>
      <c r="E13" s="349">
        <v>-108395</v>
      </c>
      <c r="F13" t="s">
        <v>266</v>
      </c>
    </row>
    <row r="14" spans="1:6" ht="21" thickBot="1">
      <c r="A14" s="354" t="s">
        <v>287</v>
      </c>
      <c r="B14" s="355"/>
      <c r="C14" s="355"/>
      <c r="D14" s="349" t="s">
        <v>288</v>
      </c>
      <c r="E14" s="349">
        <v>-562600</v>
      </c>
      <c r="F14" t="s">
        <v>266</v>
      </c>
    </row>
    <row r="15" spans="1:6" ht="21" thickBot="1">
      <c r="A15" s="354" t="s">
        <v>289</v>
      </c>
      <c r="B15" s="355" t="s">
        <v>290</v>
      </c>
      <c r="C15" s="349" t="s">
        <v>291</v>
      </c>
      <c r="D15" s="355"/>
      <c r="E15" s="349">
        <v>-466200</v>
      </c>
      <c r="F15" t="s">
        <v>266</v>
      </c>
    </row>
    <row r="16" spans="1:6" ht="31.2" thickBot="1">
      <c r="A16" s="354" t="s">
        <v>292</v>
      </c>
      <c r="B16" s="355" t="s">
        <v>293</v>
      </c>
      <c r="C16" s="349" t="s">
        <v>294</v>
      </c>
      <c r="D16" s="355"/>
      <c r="E16" s="349">
        <v>-251562.5</v>
      </c>
      <c r="F16" t="s">
        <v>266</v>
      </c>
    </row>
    <row r="17" spans="1:6" ht="31.2" thickBot="1">
      <c r="A17" s="354" t="s">
        <v>295</v>
      </c>
      <c r="B17" s="355" t="s">
        <v>296</v>
      </c>
      <c r="C17" s="355"/>
      <c r="D17" s="349" t="s">
        <v>297</v>
      </c>
      <c r="E17" s="349">
        <v>-2062500</v>
      </c>
      <c r="F17" t="s">
        <v>266</v>
      </c>
    </row>
    <row r="18" spans="1:6" ht="31.2" thickBot="1">
      <c r="A18" s="354" t="s">
        <v>298</v>
      </c>
      <c r="B18" s="355" t="s">
        <v>299</v>
      </c>
      <c r="C18" s="349" t="s">
        <v>300</v>
      </c>
      <c r="D18" s="355"/>
      <c r="E18" s="349">
        <v>-1892700</v>
      </c>
      <c r="F18" t="s">
        <v>266</v>
      </c>
    </row>
    <row r="19" spans="1:6" ht="21" thickBot="1">
      <c r="A19" s="354" t="s">
        <v>301</v>
      </c>
      <c r="B19" s="355" t="s">
        <v>302</v>
      </c>
      <c r="C19" s="355"/>
      <c r="D19" s="349" t="s">
        <v>303</v>
      </c>
      <c r="E19" s="349">
        <v>-104364</v>
      </c>
      <c r="F19" t="s">
        <v>176</v>
      </c>
    </row>
    <row r="20" spans="1:6" ht="21" thickBot="1">
      <c r="A20" s="354" t="s">
        <v>304</v>
      </c>
      <c r="B20" s="355"/>
      <c r="C20" s="355"/>
      <c r="D20" s="349" t="s">
        <v>305</v>
      </c>
      <c r="E20" s="349">
        <v>-134425</v>
      </c>
      <c r="F20" t="s">
        <v>266</v>
      </c>
    </row>
    <row r="21" spans="1:6" ht="21" thickBot="1">
      <c r="A21" s="354" t="s">
        <v>306</v>
      </c>
      <c r="B21" s="355" t="s">
        <v>307</v>
      </c>
      <c r="C21" s="355"/>
      <c r="D21" s="349" t="s">
        <v>308</v>
      </c>
      <c r="E21" s="349">
        <v>-272442</v>
      </c>
      <c r="F21" t="s">
        <v>266</v>
      </c>
    </row>
    <row r="22" spans="1:6" ht="21" thickBot="1">
      <c r="A22" s="354" t="s">
        <v>309</v>
      </c>
      <c r="B22" s="355" t="s">
        <v>310</v>
      </c>
      <c r="C22" s="355"/>
      <c r="D22" s="349" t="s">
        <v>311</v>
      </c>
      <c r="E22" s="349">
        <v>-137500</v>
      </c>
      <c r="F22" t="s">
        <v>266</v>
      </c>
    </row>
    <row r="23" spans="1:6" ht="21" thickBot="1">
      <c r="A23" s="354" t="s">
        <v>312</v>
      </c>
      <c r="B23" s="355" t="s">
        <v>313</v>
      </c>
      <c r="C23" s="349" t="s">
        <v>314</v>
      </c>
      <c r="D23" s="355"/>
      <c r="E23" s="349">
        <v>-676250</v>
      </c>
      <c r="F23" t="s">
        <v>266</v>
      </c>
    </row>
    <row r="24" spans="1:6" ht="31.2" thickBot="1">
      <c r="A24" s="354" t="s">
        <v>315</v>
      </c>
      <c r="B24" s="355" t="s">
        <v>316</v>
      </c>
      <c r="C24" s="349" t="s">
        <v>317</v>
      </c>
      <c r="D24" s="355"/>
      <c r="E24" s="349">
        <v>-1482340</v>
      </c>
      <c r="F24" t="s">
        <v>266</v>
      </c>
    </row>
    <row r="25" spans="1:6" ht="21" thickBot="1">
      <c r="A25" s="354" t="s">
        <v>318</v>
      </c>
      <c r="B25" s="355" t="s">
        <v>319</v>
      </c>
      <c r="C25" s="355"/>
      <c r="D25" s="349" t="s">
        <v>320</v>
      </c>
      <c r="E25" s="349">
        <v>-2205.88</v>
      </c>
      <c r="F25" t="s">
        <v>266</v>
      </c>
    </row>
    <row r="26" spans="1:6" ht="21" thickBot="1">
      <c r="A26" s="354" t="s">
        <v>321</v>
      </c>
      <c r="B26" s="355" t="s">
        <v>322</v>
      </c>
      <c r="C26" s="355"/>
      <c r="D26" s="349" t="s">
        <v>323</v>
      </c>
      <c r="E26" s="349">
        <v>-7352.94</v>
      </c>
      <c r="F26" t="s">
        <v>266</v>
      </c>
    </row>
    <row r="27" spans="1:6" ht="31.2" thickBot="1">
      <c r="A27" s="354" t="s">
        <v>324</v>
      </c>
      <c r="B27" s="355" t="s">
        <v>325</v>
      </c>
      <c r="C27" s="355"/>
      <c r="D27" s="349" t="s">
        <v>326</v>
      </c>
      <c r="E27" s="349">
        <v>-1210170</v>
      </c>
      <c r="F27" t="s">
        <v>266</v>
      </c>
    </row>
    <row r="28" spans="1:6" ht="21" thickBot="1">
      <c r="A28" s="354" t="s">
        <v>327</v>
      </c>
      <c r="B28" s="355" t="s">
        <v>328</v>
      </c>
      <c r="C28" s="355"/>
      <c r="D28" s="349" t="s">
        <v>329</v>
      </c>
      <c r="E28" s="349">
        <v>-55540</v>
      </c>
      <c r="F28" t="s">
        <v>266</v>
      </c>
    </row>
    <row r="29" spans="1:6" ht="21" thickBot="1">
      <c r="A29" s="354" t="s">
        <v>330</v>
      </c>
      <c r="B29" s="355" t="s">
        <v>331</v>
      </c>
      <c r="C29" s="355"/>
      <c r="D29" s="349" t="s">
        <v>332</v>
      </c>
      <c r="E29" s="349">
        <v>-220026</v>
      </c>
      <c r="F29" t="s">
        <v>269</v>
      </c>
    </row>
    <row r="30" spans="1:6" ht="82.2" thickBot="1">
      <c r="A30" s="354" t="s">
        <v>333</v>
      </c>
      <c r="B30" s="355" t="s">
        <v>334</v>
      </c>
      <c r="C30" s="355"/>
      <c r="D30" s="349" t="s">
        <v>335</v>
      </c>
      <c r="E30" s="349">
        <v>-188332.02</v>
      </c>
      <c r="F30" t="s">
        <v>269</v>
      </c>
    </row>
    <row r="31" spans="1:6" ht="21" thickBot="1">
      <c r="A31" s="354" t="s">
        <v>336</v>
      </c>
      <c r="B31" s="355" t="s">
        <v>337</v>
      </c>
      <c r="C31" s="355"/>
      <c r="D31" s="349" t="s">
        <v>338</v>
      </c>
      <c r="E31" s="349">
        <v>-13993.25</v>
      </c>
      <c r="F31" t="s">
        <v>269</v>
      </c>
    </row>
    <row r="32" spans="1:6" ht="31.2" thickBot="1">
      <c r="A32" s="354" t="s">
        <v>339</v>
      </c>
      <c r="B32" s="355" t="s">
        <v>340</v>
      </c>
      <c r="C32" s="355"/>
      <c r="D32" s="349" t="s">
        <v>341</v>
      </c>
      <c r="E32" s="349">
        <v>-1306935</v>
      </c>
      <c r="F32" t="s">
        <v>266</v>
      </c>
    </row>
    <row r="33" spans="1:6" ht="31.2" thickBot="1">
      <c r="A33" s="354" t="s">
        <v>342</v>
      </c>
      <c r="B33" s="355" t="s">
        <v>343</v>
      </c>
      <c r="C33" s="355"/>
      <c r="D33" s="349" t="s">
        <v>344</v>
      </c>
      <c r="E33" s="349">
        <v>-2451109.3199999998</v>
      </c>
      <c r="F33" t="s">
        <v>266</v>
      </c>
    </row>
    <row r="34" spans="1:6" ht="21" thickBot="1">
      <c r="A34" s="354" t="s">
        <v>345</v>
      </c>
      <c r="B34" s="355" t="s">
        <v>346</v>
      </c>
      <c r="C34" s="355"/>
      <c r="D34" s="349" t="s">
        <v>347</v>
      </c>
      <c r="E34" s="349">
        <v>-56520</v>
      </c>
      <c r="F34" t="s">
        <v>266</v>
      </c>
    </row>
    <row r="35" spans="1:6" ht="31.2" thickBot="1">
      <c r="A35" s="354" t="s">
        <v>348</v>
      </c>
      <c r="B35" s="355" t="s">
        <v>349</v>
      </c>
      <c r="C35" s="355"/>
      <c r="D35" s="349" t="s">
        <v>350</v>
      </c>
      <c r="E35" s="349">
        <v>-2333590.38</v>
      </c>
      <c r="F35" t="s">
        <v>266</v>
      </c>
    </row>
    <row r="36" spans="1:6" ht="31.2" thickBot="1">
      <c r="A36" s="354" t="s">
        <v>351</v>
      </c>
      <c r="B36" s="355" t="s">
        <v>352</v>
      </c>
      <c r="C36" s="355"/>
      <c r="D36" s="349" t="s">
        <v>353</v>
      </c>
      <c r="E36" s="349">
        <v>-1403505</v>
      </c>
      <c r="F36" t="s">
        <v>266</v>
      </c>
    </row>
    <row r="37" spans="1:6">
      <c r="E37" s="356">
        <f>SUM(E8:E36)</f>
        <v>-20303920.289999999</v>
      </c>
    </row>
    <row r="38" spans="1:6">
      <c r="E38" s="345"/>
    </row>
    <row r="39" spans="1:6">
      <c r="E39" s="345">
        <f>SUMIF($F$8:$F$36,F39,$E$8:$E$36)*-1</f>
        <v>19777205.02</v>
      </c>
      <c r="F39" t="s">
        <v>266</v>
      </c>
    </row>
    <row r="40" spans="1:6">
      <c r="E40" s="345">
        <f>SUMIF($F$8:$F$36,F40,$E$8:$E$36)*-1</f>
        <v>422351.27</v>
      </c>
      <c r="F40" t="s">
        <v>269</v>
      </c>
    </row>
    <row r="41" spans="1:6">
      <c r="E41" s="345">
        <f>SUMIF($F$8:$F$36,F41,$E$8:$E$36)*-1</f>
        <v>104364</v>
      </c>
      <c r="F41" t="s">
        <v>176</v>
      </c>
    </row>
    <row r="42" spans="1:6" ht="30.6">
      <c r="E42" s="345">
        <f>SUMIF($F$8:$F$36,F42,$E$8:$E$36)*-1</f>
        <v>0</v>
      </c>
      <c r="F42" s="227" t="s">
        <v>354</v>
      </c>
    </row>
  </sheetData>
  <autoFilter ref="A7:E3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BA97"/>
  <sheetViews>
    <sheetView showZeros="0" zoomScale="70" zoomScaleNormal="70" workbookViewId="0">
      <pane xSplit="6" ySplit="5" topLeftCell="G6" activePane="bottomRight" state="frozen"/>
      <selection pane="topRight" activeCell="G1" sqref="G1"/>
      <selection pane="bottomLeft" activeCell="A6" sqref="A6"/>
      <selection pane="bottomRight" activeCell="C36" sqref="C36"/>
    </sheetView>
  </sheetViews>
  <sheetFormatPr defaultColWidth="7.44140625" defaultRowHeight="13.2" outlineLevelRow="3" outlineLevelCol="1"/>
  <cols>
    <col min="1" max="1" width="5.5546875" style="8" customWidth="1"/>
    <col min="2" max="2" width="47.44140625" style="8" customWidth="1"/>
    <col min="3" max="3" width="16.44140625" style="77" bestFit="1" customWidth="1" outlineLevel="1"/>
    <col min="4" max="4" width="13.33203125" style="77" bestFit="1" customWidth="1" outlineLevel="1"/>
    <col min="5" max="5" width="16.109375" style="38" bestFit="1" customWidth="1" outlineLevel="1"/>
    <col min="6" max="6" width="9.5546875" style="38" customWidth="1" outlineLevel="1"/>
    <col min="7" max="9" width="16.33203125" style="38" customWidth="1" outlineLevel="1"/>
    <col min="10" max="10" width="11.44140625" style="38" customWidth="1" outlineLevel="1"/>
    <col min="11" max="11" width="48.5546875" style="38" customWidth="1" outlineLevel="1"/>
    <col min="12" max="14" width="16.33203125" style="38" customWidth="1" outlineLevel="1"/>
    <col min="15" max="15" width="11.44140625" style="38" customWidth="1" outlineLevel="1"/>
    <col min="16" max="16" width="48.5546875" style="38" customWidth="1" outlineLevel="1"/>
    <col min="17" max="19" width="16.33203125" style="38" customWidth="1" outlineLevel="1"/>
    <col min="20" max="20" width="11.44140625" style="38" customWidth="1" outlineLevel="1"/>
    <col min="21" max="21" width="48.5546875" style="38" customWidth="1" outlineLevel="1"/>
    <col min="22" max="24" width="16.33203125" style="38" customWidth="1" outlineLevel="1"/>
    <col min="25" max="25" width="11.44140625" style="38" customWidth="1" outlineLevel="1"/>
    <col min="26" max="26" width="48.5546875" style="38" customWidth="1" outlineLevel="1"/>
    <col min="27" max="29" width="16.33203125" style="38" customWidth="1"/>
    <col min="30" max="30" width="11.44140625" style="38" customWidth="1"/>
    <col min="31" max="31" width="48.5546875" style="38" customWidth="1"/>
    <col min="32" max="34" width="16.33203125" style="38" customWidth="1"/>
    <col min="35" max="35" width="13.6640625" style="38" customWidth="1"/>
    <col min="36" max="36" width="28.88671875" style="38" customWidth="1"/>
    <col min="37" max="39" width="16.33203125" style="38" customWidth="1"/>
    <col min="40" max="40" width="13.6640625" style="38" customWidth="1"/>
    <col min="41" max="41" width="28.88671875" style="38" customWidth="1"/>
    <col min="42" max="44" width="16.33203125" style="38" customWidth="1" outlineLevel="1"/>
    <col min="45" max="45" width="9" style="38" customWidth="1" outlineLevel="1"/>
    <col min="46" max="46" width="16.33203125" style="38" customWidth="1" outlineLevel="1"/>
    <col min="47" max="47" width="22.44140625" style="1" customWidth="1" outlineLevel="1"/>
    <col min="48" max="48" width="9.6640625" style="1" customWidth="1" outlineLevel="1"/>
    <col min="49" max="49" width="8.44140625" style="1" customWidth="1" outlineLevel="1"/>
    <col min="50" max="51" width="7.44140625" style="1" customWidth="1" outlineLevel="1"/>
    <col min="52" max="16384" width="7.44140625" style="1"/>
  </cols>
  <sheetData>
    <row r="1" spans="1:53" ht="13.8" thickBot="1">
      <c r="C1" s="38"/>
      <c r="D1" s="38"/>
    </row>
    <row r="2" spans="1:53" ht="22.2" customHeight="1">
      <c r="A2" s="4834" t="s">
        <v>183</v>
      </c>
      <c r="B2" s="4835"/>
      <c r="C2" s="4835"/>
      <c r="D2" s="4835"/>
      <c r="E2" s="4835"/>
      <c r="F2" s="4836"/>
      <c r="G2" s="4837" t="s">
        <v>182</v>
      </c>
      <c r="H2" s="4838"/>
      <c r="I2" s="4838"/>
      <c r="J2" s="4838"/>
      <c r="K2" s="328"/>
      <c r="L2" s="4837" t="s">
        <v>193</v>
      </c>
      <c r="M2" s="4838"/>
      <c r="N2" s="4838"/>
      <c r="O2" s="4838"/>
      <c r="P2" s="331"/>
      <c r="Q2" s="4837" t="s">
        <v>204</v>
      </c>
      <c r="R2" s="4838"/>
      <c r="S2" s="4838"/>
      <c r="T2" s="4838"/>
      <c r="U2" s="336"/>
      <c r="V2" s="4837" t="s">
        <v>219</v>
      </c>
      <c r="W2" s="4838"/>
      <c r="X2" s="4838"/>
      <c r="Y2" s="4838"/>
      <c r="Z2" s="338"/>
      <c r="AA2" s="4837" t="s">
        <v>237</v>
      </c>
      <c r="AB2" s="4838"/>
      <c r="AC2" s="4838"/>
      <c r="AD2" s="4838"/>
      <c r="AE2" s="340"/>
      <c r="AF2" s="4837" t="s">
        <v>356</v>
      </c>
      <c r="AG2" s="4838"/>
      <c r="AH2" s="4838"/>
      <c r="AI2" s="4838"/>
      <c r="AJ2" s="360"/>
      <c r="AK2" s="4837" t="s">
        <v>364</v>
      </c>
      <c r="AL2" s="4838"/>
      <c r="AM2" s="4838"/>
      <c r="AN2" s="4838"/>
      <c r="AO2" s="364"/>
      <c r="AP2" s="4841" t="s">
        <v>171</v>
      </c>
      <c r="AQ2" s="4842"/>
      <c r="AR2" s="4842"/>
      <c r="AS2" s="4842"/>
      <c r="AT2" s="4843"/>
      <c r="AU2" s="4847" t="s">
        <v>83</v>
      </c>
      <c r="AV2" s="4848"/>
      <c r="AW2" s="4848"/>
      <c r="AX2" s="4848"/>
      <c r="AY2" s="4849"/>
    </row>
    <row r="3" spans="1:53" ht="14.4" customHeight="1" thickBot="1">
      <c r="A3" s="4853" t="s">
        <v>54</v>
      </c>
      <c r="B3" s="4854"/>
      <c r="C3" s="4854"/>
      <c r="D3" s="4854"/>
      <c r="E3" s="4854"/>
      <c r="F3" s="4855"/>
      <c r="G3" s="4839"/>
      <c r="H3" s="4840"/>
      <c r="I3" s="4840"/>
      <c r="J3" s="4840"/>
      <c r="K3" s="329"/>
      <c r="L3" s="4839"/>
      <c r="M3" s="4840"/>
      <c r="N3" s="4840"/>
      <c r="O3" s="4840"/>
      <c r="P3" s="332"/>
      <c r="Q3" s="4839"/>
      <c r="R3" s="4840"/>
      <c r="S3" s="4840"/>
      <c r="T3" s="4840"/>
      <c r="U3" s="337"/>
      <c r="V3" s="4839"/>
      <c r="W3" s="4840"/>
      <c r="X3" s="4840"/>
      <c r="Y3" s="4840"/>
      <c r="Z3" s="339"/>
      <c r="AA3" s="4839"/>
      <c r="AB3" s="4840"/>
      <c r="AC3" s="4840"/>
      <c r="AD3" s="4840"/>
      <c r="AE3" s="341"/>
      <c r="AF3" s="4839"/>
      <c r="AG3" s="4840"/>
      <c r="AH3" s="4840"/>
      <c r="AI3" s="4840"/>
      <c r="AJ3" s="361"/>
      <c r="AK3" s="4839"/>
      <c r="AL3" s="4840"/>
      <c r="AM3" s="4840"/>
      <c r="AN3" s="4840"/>
      <c r="AO3" s="365"/>
      <c r="AP3" s="4844"/>
      <c r="AQ3" s="4845"/>
      <c r="AR3" s="4845"/>
      <c r="AS3" s="4845"/>
      <c r="AT3" s="4846"/>
      <c r="AU3" s="4850"/>
      <c r="AV3" s="4851"/>
      <c r="AW3" s="4851"/>
      <c r="AX3" s="4851"/>
      <c r="AY3" s="4852"/>
    </row>
    <row r="4" spans="1:53" ht="41.4" thickBot="1">
      <c r="A4" s="92"/>
      <c r="B4" s="93" t="s">
        <v>11</v>
      </c>
      <c r="C4" s="239" t="s">
        <v>55</v>
      </c>
      <c r="D4" s="239" t="s">
        <v>18</v>
      </c>
      <c r="E4" s="240" t="s">
        <v>39</v>
      </c>
      <c r="F4" s="209" t="s">
        <v>40</v>
      </c>
      <c r="G4" s="94" t="s">
        <v>55</v>
      </c>
      <c r="H4" s="94" t="s">
        <v>18</v>
      </c>
      <c r="I4" s="95" t="s">
        <v>39</v>
      </c>
      <c r="J4" s="209" t="s">
        <v>40</v>
      </c>
      <c r="K4" s="241" t="s">
        <v>87</v>
      </c>
      <c r="L4" s="94" t="s">
        <v>55</v>
      </c>
      <c r="M4" s="94" t="s">
        <v>18</v>
      </c>
      <c r="N4" s="95" t="s">
        <v>39</v>
      </c>
      <c r="O4" s="209" t="s">
        <v>40</v>
      </c>
      <c r="P4" s="241" t="s">
        <v>87</v>
      </c>
      <c r="Q4" s="94" t="s">
        <v>55</v>
      </c>
      <c r="R4" s="94" t="s">
        <v>18</v>
      </c>
      <c r="S4" s="95" t="s">
        <v>39</v>
      </c>
      <c r="T4" s="209" t="s">
        <v>40</v>
      </c>
      <c r="U4" s="241" t="s">
        <v>87</v>
      </c>
      <c r="V4" s="94" t="s">
        <v>55</v>
      </c>
      <c r="W4" s="94" t="s">
        <v>18</v>
      </c>
      <c r="X4" s="95" t="s">
        <v>39</v>
      </c>
      <c r="Y4" s="209" t="s">
        <v>40</v>
      </c>
      <c r="Z4" s="241" t="s">
        <v>87</v>
      </c>
      <c r="AA4" s="94" t="s">
        <v>55</v>
      </c>
      <c r="AB4" s="94" t="s">
        <v>18</v>
      </c>
      <c r="AC4" s="95" t="s">
        <v>39</v>
      </c>
      <c r="AD4" s="209" t="s">
        <v>40</v>
      </c>
      <c r="AE4" s="241" t="s">
        <v>87</v>
      </c>
      <c r="AF4" s="94" t="s">
        <v>55</v>
      </c>
      <c r="AG4" s="94" t="s">
        <v>18</v>
      </c>
      <c r="AH4" s="95" t="s">
        <v>39</v>
      </c>
      <c r="AI4" s="209" t="s">
        <v>40</v>
      </c>
      <c r="AJ4" s="241" t="s">
        <v>87</v>
      </c>
      <c r="AK4" s="94" t="s">
        <v>55</v>
      </c>
      <c r="AL4" s="94" t="s">
        <v>18</v>
      </c>
      <c r="AM4" s="95" t="s">
        <v>39</v>
      </c>
      <c r="AN4" s="209" t="s">
        <v>40</v>
      </c>
      <c r="AO4" s="241" t="s">
        <v>87</v>
      </c>
      <c r="AP4" s="94" t="s">
        <v>55</v>
      </c>
      <c r="AQ4" s="94" t="s">
        <v>18</v>
      </c>
      <c r="AR4" s="95" t="s">
        <v>39</v>
      </c>
      <c r="AS4" s="209" t="s">
        <v>40</v>
      </c>
      <c r="AT4" s="95" t="s">
        <v>19</v>
      </c>
      <c r="AU4" s="94" t="s">
        <v>55</v>
      </c>
      <c r="AV4" s="94" t="s">
        <v>18</v>
      </c>
      <c r="AW4" s="95" t="s">
        <v>39</v>
      </c>
      <c r="AX4" s="209" t="s">
        <v>40</v>
      </c>
      <c r="AY4" s="95" t="s">
        <v>19</v>
      </c>
    </row>
    <row r="5" spans="1:53" s="88" customFormat="1" ht="14.4" thickBot="1">
      <c r="A5" s="83"/>
      <c r="B5" s="84" t="s">
        <v>10</v>
      </c>
      <c r="C5" s="85">
        <f>C6</f>
        <v>4590956</v>
      </c>
      <c r="D5" s="85">
        <f>D6</f>
        <v>0</v>
      </c>
      <c r="E5" s="86">
        <f>E6</f>
        <v>4590956</v>
      </c>
      <c r="F5" s="87"/>
      <c r="G5" s="85">
        <f>G6</f>
        <v>0</v>
      </c>
      <c r="H5" s="85">
        <f>H6</f>
        <v>0</v>
      </c>
      <c r="I5" s="86">
        <f>I6</f>
        <v>0</v>
      </c>
      <c r="J5" s="87"/>
      <c r="K5" s="263"/>
      <c r="L5" s="85">
        <f>L6</f>
        <v>0</v>
      </c>
      <c r="M5" s="85">
        <f>M6</f>
        <v>0</v>
      </c>
      <c r="N5" s="86">
        <f>N6</f>
        <v>0</v>
      </c>
      <c r="O5" s="87"/>
      <c r="P5" s="263"/>
      <c r="Q5" s="85">
        <f>Q6</f>
        <v>0</v>
      </c>
      <c r="R5" s="85">
        <f>R6</f>
        <v>0</v>
      </c>
      <c r="S5" s="86">
        <f>S6</f>
        <v>0</v>
      </c>
      <c r="T5" s="87"/>
      <c r="U5" s="263"/>
      <c r="V5" s="85">
        <f>V6</f>
        <v>3025190.3600000003</v>
      </c>
      <c r="W5" s="85">
        <f>W6</f>
        <v>0</v>
      </c>
      <c r="X5" s="86">
        <f>X6</f>
        <v>3025190.3600000003</v>
      </c>
      <c r="Y5" s="87"/>
      <c r="Z5" s="263"/>
      <c r="AA5" s="85">
        <f>AA6</f>
        <v>1468296.3800000001</v>
      </c>
      <c r="AB5" s="85">
        <f>AB6</f>
        <v>0</v>
      </c>
      <c r="AC5" s="86">
        <f>AC6</f>
        <v>1468296.3800000001</v>
      </c>
      <c r="AD5" s="87"/>
      <c r="AE5" s="263"/>
      <c r="AF5" s="85">
        <f>AF6</f>
        <v>506097.41000000003</v>
      </c>
      <c r="AG5" s="85">
        <f>AG6</f>
        <v>0</v>
      </c>
      <c r="AH5" s="86">
        <f>AH6</f>
        <v>506097.41000000003</v>
      </c>
      <c r="AI5" s="87"/>
      <c r="AJ5" s="263"/>
      <c r="AK5" s="85">
        <f>AK6</f>
        <v>0</v>
      </c>
      <c r="AL5" s="85">
        <f>AL6</f>
        <v>0</v>
      </c>
      <c r="AM5" s="86">
        <f>AM6</f>
        <v>0</v>
      </c>
      <c r="AN5" s="87"/>
      <c r="AO5" s="263"/>
      <c r="AP5" s="87">
        <f>AP6</f>
        <v>4999584.1500000004</v>
      </c>
      <c r="AQ5" s="87">
        <f>AQ6</f>
        <v>0</v>
      </c>
      <c r="AR5" s="87">
        <f>AR6</f>
        <v>4999584.1500000004</v>
      </c>
      <c r="AS5" s="87"/>
      <c r="AT5" s="87"/>
      <c r="AU5" s="85">
        <f>AU6</f>
        <v>-408628.15000000037</v>
      </c>
      <c r="AV5" s="85">
        <f>AV6</f>
        <v>0</v>
      </c>
      <c r="AW5" s="86">
        <f>AW6</f>
        <v>-408628.15000000037</v>
      </c>
      <c r="AX5" s="87"/>
      <c r="AY5" s="87"/>
      <c r="AZ5" s="1"/>
      <c r="BA5" s="1"/>
    </row>
    <row r="6" spans="1:53" s="2" customFormat="1" ht="13.8" outlineLevel="1">
      <c r="A6" s="330">
        <f>'PL_Сватово очередь 2'!I6</f>
        <v>0</v>
      </c>
      <c r="B6" s="9" t="s">
        <v>17</v>
      </c>
      <c r="C6" s="104">
        <v>4590956</v>
      </c>
      <c r="D6" s="105"/>
      <c r="E6" s="106">
        <f>C6+D6</f>
        <v>4590956</v>
      </c>
      <c r="F6" s="39"/>
      <c r="G6" s="39"/>
      <c r="H6" s="39"/>
      <c r="I6" s="39">
        <f>G6+H6</f>
        <v>0</v>
      </c>
      <c r="J6" s="39"/>
      <c r="K6" s="291"/>
      <c r="L6" s="39"/>
      <c r="M6" s="39"/>
      <c r="N6" s="39">
        <f>L6+M6</f>
        <v>0</v>
      </c>
      <c r="O6" s="39"/>
      <c r="P6" s="291"/>
      <c r="Q6" s="39"/>
      <c r="R6" s="39"/>
      <c r="S6" s="39">
        <f>Q6+R6</f>
        <v>0</v>
      </c>
      <c r="T6" s="39"/>
      <c r="U6" s="291"/>
      <c r="V6" s="39">
        <f>524483.22+2500707.14</f>
        <v>3025190.3600000003</v>
      </c>
      <c r="W6" s="39"/>
      <c r="X6" s="39">
        <f>V6+W6</f>
        <v>3025190.3600000003</v>
      </c>
      <c r="Y6" s="39"/>
      <c r="Z6" s="291" t="s">
        <v>220</v>
      </c>
      <c r="AA6" s="39">
        <f>721198.33+254990+211690.21+280417.84</f>
        <v>1468296.3800000001</v>
      </c>
      <c r="AB6" s="39"/>
      <c r="AC6" s="39">
        <f>AA6+AB6</f>
        <v>1468296.3800000001</v>
      </c>
      <c r="AD6" s="39"/>
      <c r="AE6" s="291"/>
      <c r="AF6" s="39">
        <f>419194.7+86902.71</f>
        <v>506097.41000000003</v>
      </c>
      <c r="AG6" s="39"/>
      <c r="AH6" s="39">
        <f>AF6+AG6</f>
        <v>506097.41000000003</v>
      </c>
      <c r="AI6" s="39"/>
      <c r="AJ6" s="291"/>
      <c r="AK6" s="39"/>
      <c r="AL6" s="39"/>
      <c r="AM6" s="39">
        <f>AK6+AL6</f>
        <v>0</v>
      </c>
      <c r="AN6" s="39"/>
      <c r="AO6" s="291"/>
      <c r="AP6" s="39">
        <f>G6+L6+Q6+V6+AA6+AF6+AK6</f>
        <v>4999584.1500000004</v>
      </c>
      <c r="AQ6" s="39">
        <f>H6+M6+R6+W6+AB6+AG6+AL6</f>
        <v>0</v>
      </c>
      <c r="AR6" s="106">
        <f>AP6+AQ6</f>
        <v>4999584.1500000004</v>
      </c>
      <c r="AS6" s="39"/>
      <c r="AT6" s="39"/>
      <c r="AU6" s="210">
        <f>C6-AP6</f>
        <v>-408628.15000000037</v>
      </c>
      <c r="AV6" s="210">
        <f>D6-AQ6</f>
        <v>0</v>
      </c>
      <c r="AW6" s="210">
        <f>AU6+AV6</f>
        <v>-408628.15000000037</v>
      </c>
      <c r="AX6" s="39"/>
      <c r="AY6" s="39"/>
      <c r="AZ6" s="1"/>
      <c r="BA6" s="1"/>
    </row>
    <row r="7" spans="1:53" s="2" customFormat="1" ht="15" customHeight="1" outlineLevel="1" collapsed="1" thickBot="1">
      <c r="A7" s="238"/>
      <c r="B7" s="10" t="s">
        <v>41</v>
      </c>
      <c r="C7" s="107"/>
      <c r="D7" s="108"/>
      <c r="E7" s="106">
        <f>C7+D7</f>
        <v>0</v>
      </c>
      <c r="F7" s="40"/>
      <c r="G7" s="40"/>
      <c r="H7" s="40"/>
      <c r="I7" s="40">
        <f>G7+H7</f>
        <v>0</v>
      </c>
      <c r="J7" s="40"/>
      <c r="K7" s="40"/>
      <c r="L7" s="40"/>
      <c r="M7" s="40"/>
      <c r="N7" s="40">
        <f>L7+M7</f>
        <v>0</v>
      </c>
      <c r="O7" s="40"/>
      <c r="P7" s="40"/>
      <c r="Q7" s="40"/>
      <c r="R7" s="40"/>
      <c r="S7" s="40">
        <f>Q7+R7</f>
        <v>0</v>
      </c>
      <c r="T7" s="40"/>
      <c r="U7" s="40"/>
      <c r="V7" s="40"/>
      <c r="W7" s="40"/>
      <c r="X7" s="40">
        <f>V7+W7</f>
        <v>0</v>
      </c>
      <c r="Y7" s="40"/>
      <c r="Z7" s="40"/>
      <c r="AA7" s="40"/>
      <c r="AB7" s="40"/>
      <c r="AC7" s="40">
        <f>AA7+AB7</f>
        <v>0</v>
      </c>
      <c r="AD7" s="40"/>
      <c r="AE7" s="40"/>
      <c r="AF7" s="40"/>
      <c r="AG7" s="40"/>
      <c r="AH7" s="40">
        <f>AF7+AG7</f>
        <v>0</v>
      </c>
      <c r="AI7" s="40"/>
      <c r="AJ7" s="40"/>
      <c r="AK7" s="40"/>
      <c r="AL7" s="40"/>
      <c r="AM7" s="40">
        <f>AK7+AL7</f>
        <v>0</v>
      </c>
      <c r="AN7" s="40"/>
      <c r="AO7" s="40"/>
      <c r="AP7" s="39">
        <f>G7+L7+Q7+V7+AA7+AF7+AK7</f>
        <v>0</v>
      </c>
      <c r="AQ7" s="39">
        <f>H7+M7+R7+W7+AB7+AG7+AL7</f>
        <v>0</v>
      </c>
      <c r="AR7" s="106">
        <f>AP7+AQ7</f>
        <v>0</v>
      </c>
      <c r="AS7" s="40"/>
      <c r="AT7" s="40"/>
      <c r="AU7" s="210">
        <f>C7-AP7</f>
        <v>0</v>
      </c>
      <c r="AV7" s="210">
        <f>D7-AQ7</f>
        <v>0</v>
      </c>
      <c r="AW7" s="210">
        <f>AU7+AV7</f>
        <v>0</v>
      </c>
      <c r="AX7" s="40"/>
      <c r="AY7" s="40"/>
      <c r="AZ7" s="1"/>
      <c r="BA7" s="1"/>
    </row>
    <row r="8" spans="1:53" s="88" customFormat="1" ht="15" customHeight="1" outlineLevel="1" thickBot="1">
      <c r="A8" s="238"/>
      <c r="B8" s="84" t="s">
        <v>16</v>
      </c>
      <c r="C8" s="109">
        <f>SUM(C9:C31)</f>
        <v>2057027</v>
      </c>
      <c r="D8" s="109">
        <f>SUM(D9:D31)</f>
        <v>856715</v>
      </c>
      <c r="E8" s="110">
        <f>SUM(E9:E31)</f>
        <v>2913742</v>
      </c>
      <c r="F8" s="164">
        <f>E8/$E$87</f>
        <v>0.91196428058576495</v>
      </c>
      <c r="G8" s="109">
        <f>SUM(G9:G31)</f>
        <v>44655</v>
      </c>
      <c r="H8" s="109">
        <f>SUM(H9:H31)</f>
        <v>30403</v>
      </c>
      <c r="I8" s="110">
        <f>SUM(I9:I31)</f>
        <v>75058</v>
      </c>
      <c r="J8" s="164">
        <f>I8/$I$87</f>
        <v>0.94501190367182497</v>
      </c>
      <c r="K8" s="264"/>
      <c r="L8" s="109">
        <f>SUM(L9:L31)</f>
        <v>956216.47400000005</v>
      </c>
      <c r="M8" s="109">
        <f>SUM(M9:M31)</f>
        <v>43331.796000000002</v>
      </c>
      <c r="N8" s="110">
        <f>SUM(N9:N31)</f>
        <v>999548.27</v>
      </c>
      <c r="O8" s="164">
        <f>N8/$N$87</f>
        <v>0.98991611942063906</v>
      </c>
      <c r="P8" s="264"/>
      <c r="Q8" s="109">
        <f>SUM(Q9:Q31)</f>
        <v>218190.11000000002</v>
      </c>
      <c r="R8" s="109">
        <f>SUM(R9:R31)</f>
        <v>30888</v>
      </c>
      <c r="S8" s="110">
        <f>SUM(S9:S31)</f>
        <v>249078.11000000002</v>
      </c>
      <c r="T8" s="164">
        <f>S8/$S$87</f>
        <v>0.9499064989150523</v>
      </c>
      <c r="U8" s="264"/>
      <c r="V8" s="109">
        <f>SUM(V9:V31)</f>
        <v>1081138.0360000003</v>
      </c>
      <c r="W8" s="109">
        <f>SUM(W9:W31)</f>
        <v>458642</v>
      </c>
      <c r="X8" s="110">
        <f>SUM(X9:X31)</f>
        <v>1539780.0360000003</v>
      </c>
      <c r="Y8" s="164">
        <f>X8/$X$87</f>
        <v>0.95830793274421933</v>
      </c>
      <c r="Z8" s="264"/>
      <c r="AA8" s="109">
        <f>SUM(AA9:AA31)</f>
        <v>381045.93999999994</v>
      </c>
      <c r="AB8" s="109">
        <f>SUM(AB9:AB31)</f>
        <v>260754.52000000002</v>
      </c>
      <c r="AC8" s="110">
        <f>SUM(AC9:AC31)</f>
        <v>641800.46000000008</v>
      </c>
      <c r="AD8" s="164">
        <f>AC8/$AC$87</f>
        <v>0.94336814287810422</v>
      </c>
      <c r="AE8" s="264"/>
      <c r="AF8" s="109">
        <f>SUM(AF9:AF31)</f>
        <v>38804.422683229815</v>
      </c>
      <c r="AG8" s="109">
        <f>SUM(AG9:AG31)</f>
        <v>180831.35999999999</v>
      </c>
      <c r="AH8" s="110">
        <f>SUM(AH9:AH31)</f>
        <v>219635.78268322983</v>
      </c>
      <c r="AI8" s="164">
        <f>AH8/$AH$87</f>
        <v>0.89695120355108249</v>
      </c>
      <c r="AJ8" s="264"/>
      <c r="AK8" s="109">
        <f>SUM(AK9:AK31)</f>
        <v>2054.4059999999999</v>
      </c>
      <c r="AL8" s="109">
        <f>SUM(AL9:AL31)</f>
        <v>80000</v>
      </c>
      <c r="AM8" s="110">
        <f>SUM(AM9:AM31)</f>
        <v>82054.406000000003</v>
      </c>
      <c r="AN8" s="164">
        <f>AM8/$AM$87</f>
        <v>0.86833213841477275</v>
      </c>
      <c r="AO8" s="264"/>
      <c r="AP8" s="109">
        <f>SUM(AP9:AP31)</f>
        <v>2722104.3886832302</v>
      </c>
      <c r="AQ8" s="109">
        <f>SUM(AQ9:AQ31)</f>
        <v>1084850.676</v>
      </c>
      <c r="AR8" s="110">
        <f>SUM(AR9:AR31)</f>
        <v>3806955.0646832306</v>
      </c>
      <c r="AS8" s="164">
        <f>AR8/$AR$87</f>
        <v>0.95733640568148648</v>
      </c>
      <c r="AT8" s="87"/>
      <c r="AU8" s="109">
        <f>SUM(AU9:AU31)</f>
        <v>-665077.38868323003</v>
      </c>
      <c r="AV8" s="109">
        <f>SUM(AV9:AV31)</f>
        <v>-228135.67599999998</v>
      </c>
      <c r="AW8" s="110">
        <f>SUM(AW9:AW31)</f>
        <v>-893213.06468323001</v>
      </c>
      <c r="AX8" s="164">
        <f>AW8/$AW$87</f>
        <v>1.125794190046371</v>
      </c>
      <c r="AY8" s="87"/>
      <c r="AZ8" s="1"/>
      <c r="BA8" s="1"/>
    </row>
    <row r="9" spans="1:53" s="2" customFormat="1" ht="30" customHeight="1" outlineLevel="2">
      <c r="A9" s="238"/>
      <c r="B9" s="31" t="s">
        <v>74</v>
      </c>
      <c r="C9" s="111">
        <v>109480</v>
      </c>
      <c r="D9" s="112"/>
      <c r="E9" s="106">
        <f t="shared" ref="E9:E31" si="0">C9+D9</f>
        <v>109480</v>
      </c>
      <c r="F9" s="177">
        <f t="shared" ref="F9:F31" si="1">E9/$E$87</f>
        <v>3.4265851073475122E-2</v>
      </c>
      <c r="G9" s="163">
        <f>4*3421.25</f>
        <v>13685</v>
      </c>
      <c r="H9" s="112"/>
      <c r="I9" s="41">
        <f>G9+H9*1</f>
        <v>13685</v>
      </c>
      <c r="J9" s="178"/>
      <c r="K9" s="291" t="s">
        <v>188</v>
      </c>
      <c r="L9" s="163">
        <v>30791.25</v>
      </c>
      <c r="M9" s="112"/>
      <c r="N9" s="41">
        <f>L9+M9*1</f>
        <v>30791.25</v>
      </c>
      <c r="O9" s="178">
        <f t="shared" ref="O9:O35" si="2">N9/$N$87</f>
        <v>3.049453000615043E-2</v>
      </c>
      <c r="P9" s="291"/>
      <c r="Q9" s="163">
        <f>4*6842.5</f>
        <v>27370</v>
      </c>
      <c r="R9" s="112"/>
      <c r="S9" s="41">
        <f>Q9+R9*1</f>
        <v>27370</v>
      </c>
      <c r="T9" s="178">
        <f t="shared" ref="T9:T34" si="3">S9/$S$87</f>
        <v>0.10438067349758266</v>
      </c>
      <c r="U9" s="291" t="s">
        <v>216</v>
      </c>
      <c r="V9" s="163">
        <v>27370</v>
      </c>
      <c r="W9" s="112"/>
      <c r="X9" s="41">
        <f>V9+W9*1</f>
        <v>27370</v>
      </c>
      <c r="Y9" s="178">
        <f t="shared" ref="Y9:Y34" si="4">X9/$X$87</f>
        <v>1.7034178587836478E-2</v>
      </c>
      <c r="Z9" s="291" t="s">
        <v>221</v>
      </c>
      <c r="AA9" s="41">
        <f>6842.5*4</f>
        <v>27370</v>
      </c>
      <c r="AB9" s="112"/>
      <c r="AC9" s="41">
        <f>AA9+AB9*1</f>
        <v>27370</v>
      </c>
      <c r="AD9" s="178">
        <f t="shared" ref="AD9:AD34" si="5">AC9/$AC$87</f>
        <v>4.0230550895170296E-2</v>
      </c>
      <c r="AE9" s="291" t="s">
        <v>245</v>
      </c>
      <c r="AF9" s="41">
        <v>6516.68</v>
      </c>
      <c r="AG9" s="41"/>
      <c r="AH9" s="41">
        <f>AF9+AG9*1</f>
        <v>6516.68</v>
      </c>
      <c r="AI9" s="178">
        <f>AH9/$AH$87</f>
        <v>2.6612894755803248E-2</v>
      </c>
      <c r="AJ9" s="363"/>
      <c r="AK9" s="41"/>
      <c r="AL9" s="41"/>
      <c r="AM9" s="41">
        <f>AK9+AL9*1</f>
        <v>0</v>
      </c>
      <c r="AN9" s="178">
        <f t="shared" ref="AN9:AN66" si="6">AM9/$AM$87</f>
        <v>0</v>
      </c>
      <c r="AO9" s="363"/>
      <c r="AP9" s="39">
        <f t="shared" ref="AP9:AQ12" si="7">G9+L9+Q9+V9+AA9+AF9+AK9</f>
        <v>133102.93</v>
      </c>
      <c r="AQ9" s="39">
        <f t="shared" si="7"/>
        <v>0</v>
      </c>
      <c r="AR9" s="210">
        <f>AP9+AQ9*1</f>
        <v>133102.93</v>
      </c>
      <c r="AS9" s="178">
        <f t="shared" ref="AS9:AS31" si="8">AR9/$AR$87</f>
        <v>3.3471443299653771E-2</v>
      </c>
      <c r="AT9" s="42"/>
      <c r="AU9" s="210">
        <f t="shared" ref="AU9:AU31" si="9">C9-AP9</f>
        <v>-23622.929999999993</v>
      </c>
      <c r="AV9" s="210">
        <f t="shared" ref="AV9:AV31" si="10">D9-AQ9</f>
        <v>0</v>
      </c>
      <c r="AW9" s="210">
        <f>AU9+AV9*1</f>
        <v>-23622.929999999993</v>
      </c>
      <c r="AX9" s="178">
        <f t="shared" ref="AX9:AX31" si="11">AW9/$AW$87</f>
        <v>2.9774035330868823E-2</v>
      </c>
      <c r="AY9" s="42"/>
      <c r="AZ9" s="1"/>
      <c r="BA9" s="1"/>
    </row>
    <row r="10" spans="1:53" s="2" customFormat="1" ht="14.4" customHeight="1" outlineLevel="2">
      <c r="A10" s="238"/>
      <c r="B10" s="31" t="s">
        <v>72</v>
      </c>
      <c r="C10" s="111">
        <v>26520</v>
      </c>
      <c r="D10" s="112"/>
      <c r="E10" s="106">
        <f t="shared" si="0"/>
        <v>26520</v>
      </c>
      <c r="F10" s="177">
        <f t="shared" si="1"/>
        <v>8.3004235519598124E-3</v>
      </c>
      <c r="G10" s="163">
        <f>4*8500*19.5%</f>
        <v>6630</v>
      </c>
      <c r="H10" s="112"/>
      <c r="I10" s="41">
        <f t="shared" ref="I10:I31" si="12">G10+H10*1</f>
        <v>6630</v>
      </c>
      <c r="J10" s="178"/>
      <c r="K10" s="291"/>
      <c r="L10" s="163">
        <v>7458.75</v>
      </c>
      <c r="M10" s="112"/>
      <c r="N10" s="41">
        <f t="shared" ref="N10:N31" si="13">L10+M10*1</f>
        <v>7458.75</v>
      </c>
      <c r="O10" s="178">
        <f t="shared" si="2"/>
        <v>7.3868737281979303E-3</v>
      </c>
      <c r="P10" s="291"/>
      <c r="Q10" s="163">
        <f>8050*19.5%*4</f>
        <v>6279</v>
      </c>
      <c r="R10" s="112"/>
      <c r="S10" s="41">
        <f t="shared" ref="S10:S31" si="14">Q10+R10*1</f>
        <v>6279</v>
      </c>
      <c r="T10" s="178">
        <f t="shared" si="3"/>
        <v>2.3946154508268966E-2</v>
      </c>
      <c r="U10" s="291"/>
      <c r="V10" s="163">
        <v>6630</v>
      </c>
      <c r="W10" s="112"/>
      <c r="X10" s="41">
        <f t="shared" ref="X10:X31" si="15">V10+W10*1</f>
        <v>6630</v>
      </c>
      <c r="Y10" s="178">
        <f t="shared" si="4"/>
        <v>4.126291707612563E-3</v>
      </c>
      <c r="Z10" s="291"/>
      <c r="AA10" s="41">
        <f>1658*4</f>
        <v>6632</v>
      </c>
      <c r="AB10" s="112"/>
      <c r="AC10" s="41">
        <f t="shared" ref="AC10:AC31" si="16">AA10+AB10*1</f>
        <v>6632</v>
      </c>
      <c r="AD10" s="178">
        <f t="shared" si="5"/>
        <v>9.7482284814311079E-3</v>
      </c>
      <c r="AE10" s="291"/>
      <c r="AF10" s="41">
        <f>AF9/0.805*0.195</f>
        <v>1578.574658385093</v>
      </c>
      <c r="AG10" s="41"/>
      <c r="AH10" s="41">
        <f t="shared" ref="AH10:AH31" si="17">AF10+AG10*1</f>
        <v>1578.574658385093</v>
      </c>
      <c r="AI10" s="178">
        <f t="shared" ref="AI10:AI31" si="18">AH10/$AH$87</f>
        <v>6.4466018352566865E-3</v>
      </c>
      <c r="AJ10" s="363"/>
      <c r="AK10" s="41"/>
      <c r="AL10" s="41"/>
      <c r="AM10" s="41">
        <f t="shared" ref="AM10:AM31" si="19">AK10+AL10*1</f>
        <v>0</v>
      </c>
      <c r="AN10" s="178">
        <f t="shared" si="6"/>
        <v>0</v>
      </c>
      <c r="AO10" s="363"/>
      <c r="AP10" s="39">
        <f t="shared" si="7"/>
        <v>35208.324658385092</v>
      </c>
      <c r="AQ10" s="39">
        <f t="shared" si="7"/>
        <v>0</v>
      </c>
      <c r="AR10" s="210">
        <f t="shared" ref="AR10:AR31" si="20">AP10+AQ10*1</f>
        <v>35208.324658385092</v>
      </c>
      <c r="AS10" s="178">
        <f t="shared" si="8"/>
        <v>8.8538504935912251E-3</v>
      </c>
      <c r="AT10" s="42"/>
      <c r="AU10" s="210">
        <f t="shared" si="9"/>
        <v>-8688.3246583850923</v>
      </c>
      <c r="AV10" s="210">
        <f t="shared" si="10"/>
        <v>0</v>
      </c>
      <c r="AW10" s="210">
        <f t="shared" ref="AW10:AW31" si="21">AU10+AV10*1</f>
        <v>-8688.3246583850923</v>
      </c>
      <c r="AX10" s="178">
        <f t="shared" si="11"/>
        <v>1.0950651987065813E-2</v>
      </c>
      <c r="AY10" s="42"/>
      <c r="AZ10" s="1"/>
      <c r="BA10" s="1"/>
    </row>
    <row r="11" spans="1:53" s="2" customFormat="1" ht="36" customHeight="1" outlineLevel="2">
      <c r="A11" s="238"/>
      <c r="B11" s="31" t="s">
        <v>69</v>
      </c>
      <c r="C11" s="111">
        <v>29920</v>
      </c>
      <c r="D11" s="112"/>
      <c r="E11" s="106">
        <f t="shared" si="0"/>
        <v>29920</v>
      </c>
      <c r="F11" s="177">
        <f t="shared" si="1"/>
        <v>9.3645804175956863E-3</v>
      </c>
      <c r="G11" s="163">
        <f>4*8500*22%</f>
        <v>7480</v>
      </c>
      <c r="H11" s="112"/>
      <c r="I11" s="41">
        <f t="shared" si="12"/>
        <v>7480</v>
      </c>
      <c r="J11" s="178"/>
      <c r="K11" s="290"/>
      <c r="L11" s="163">
        <v>8415</v>
      </c>
      <c r="M11" s="112"/>
      <c r="N11" s="41">
        <f t="shared" si="13"/>
        <v>8415</v>
      </c>
      <c r="O11" s="178">
        <f t="shared" si="2"/>
        <v>8.3339088215566397E-3</v>
      </c>
      <c r="P11" s="290"/>
      <c r="Q11" s="163">
        <f>8050*22%*4</f>
        <v>7084</v>
      </c>
      <c r="R11" s="112"/>
      <c r="S11" s="41">
        <f t="shared" si="14"/>
        <v>7084</v>
      </c>
      <c r="T11" s="178">
        <f t="shared" si="3"/>
        <v>2.7016174317021396E-2</v>
      </c>
      <c r="U11" s="290"/>
      <c r="V11" s="163">
        <v>7480</v>
      </c>
      <c r="W11" s="112"/>
      <c r="X11" s="41">
        <f t="shared" si="15"/>
        <v>7480</v>
      </c>
      <c r="Y11" s="178">
        <f t="shared" si="4"/>
        <v>4.655303464998789E-3</v>
      </c>
      <c r="Z11" s="290"/>
      <c r="AA11" s="41">
        <f>1870*2</f>
        <v>3740</v>
      </c>
      <c r="AB11" s="112"/>
      <c r="AC11" s="41">
        <f t="shared" si="16"/>
        <v>3740</v>
      </c>
      <c r="AD11" s="178">
        <f t="shared" si="5"/>
        <v>5.4973423583462517E-3</v>
      </c>
      <c r="AE11" s="290"/>
      <c r="AF11" s="41">
        <f>AF9/0.805*0.22</f>
        <v>1780.9560248447203</v>
      </c>
      <c r="AG11" s="41"/>
      <c r="AH11" s="41">
        <f t="shared" si="17"/>
        <v>1780.9560248447203</v>
      </c>
      <c r="AI11" s="178">
        <f t="shared" si="18"/>
        <v>7.2730892500331842E-3</v>
      </c>
      <c r="AJ11" s="291" t="s">
        <v>359</v>
      </c>
      <c r="AK11" s="41"/>
      <c r="AL11" s="41"/>
      <c r="AM11" s="41">
        <f t="shared" si="19"/>
        <v>0</v>
      </c>
      <c r="AN11" s="178">
        <f t="shared" si="6"/>
        <v>0</v>
      </c>
      <c r="AO11" s="291"/>
      <c r="AP11" s="39">
        <f t="shared" si="7"/>
        <v>35979.956024844723</v>
      </c>
      <c r="AQ11" s="39">
        <f t="shared" si="7"/>
        <v>0</v>
      </c>
      <c r="AR11" s="210">
        <f t="shared" si="20"/>
        <v>35979.956024844723</v>
      </c>
      <c r="AS11" s="178">
        <f t="shared" si="8"/>
        <v>9.0478929202356864E-3</v>
      </c>
      <c r="AT11" s="42"/>
      <c r="AU11" s="210">
        <f t="shared" si="9"/>
        <v>-6059.9560248447233</v>
      </c>
      <c r="AV11" s="210">
        <f t="shared" si="10"/>
        <v>0</v>
      </c>
      <c r="AW11" s="210">
        <f t="shared" si="21"/>
        <v>-6059.9560248447233</v>
      </c>
      <c r="AX11" s="178">
        <f t="shared" si="11"/>
        <v>7.6378901680375054E-3</v>
      </c>
      <c r="AY11" s="42"/>
      <c r="AZ11" s="1"/>
      <c r="BA11" s="1"/>
    </row>
    <row r="12" spans="1:53" s="2" customFormat="1" ht="52.2" customHeight="1" outlineLevel="2">
      <c r="A12" s="238"/>
      <c r="B12" s="31" t="s">
        <v>73</v>
      </c>
      <c r="C12" s="111">
        <v>28980</v>
      </c>
      <c r="D12" s="112">
        <v>91020</v>
      </c>
      <c r="E12" s="106">
        <f t="shared" si="0"/>
        <v>120000</v>
      </c>
      <c r="F12" s="177">
        <f t="shared" si="1"/>
        <v>3.7558477610677883E-2</v>
      </c>
      <c r="G12" s="163">
        <v>9660</v>
      </c>
      <c r="H12" s="112">
        <v>20340</v>
      </c>
      <c r="I12" s="41">
        <f t="shared" si="12"/>
        <v>30000</v>
      </c>
      <c r="J12" s="178">
        <f>I12/$I$87</f>
        <v>0.37771266367548761</v>
      </c>
      <c r="K12" s="291" t="s">
        <v>189</v>
      </c>
      <c r="L12" s="163">
        <v>9660</v>
      </c>
      <c r="M12" s="112">
        <v>20340</v>
      </c>
      <c r="N12" s="41">
        <f t="shared" si="13"/>
        <v>30000</v>
      </c>
      <c r="O12" s="178">
        <f t="shared" si="2"/>
        <v>2.9710904889684989E-2</v>
      </c>
      <c r="P12" s="291" t="s">
        <v>200</v>
      </c>
      <c r="Q12" s="163">
        <v>9660</v>
      </c>
      <c r="R12" s="112">
        <v>17340</v>
      </c>
      <c r="S12" s="41">
        <f t="shared" si="14"/>
        <v>27000</v>
      </c>
      <c r="T12" s="178">
        <f t="shared" si="3"/>
        <v>0.10296960849231758</v>
      </c>
      <c r="U12" s="291" t="s">
        <v>217</v>
      </c>
      <c r="V12" s="163">
        <v>9660</v>
      </c>
      <c r="W12" s="112">
        <v>19340</v>
      </c>
      <c r="X12" s="41">
        <f t="shared" si="15"/>
        <v>29000</v>
      </c>
      <c r="Y12" s="178">
        <f t="shared" si="4"/>
        <v>1.8048636428471238E-2</v>
      </c>
      <c r="Z12" s="291" t="s">
        <v>233</v>
      </c>
      <c r="AA12" s="41">
        <v>4830</v>
      </c>
      <c r="AB12" s="112">
        <f>20340/2</f>
        <v>10170</v>
      </c>
      <c r="AC12" s="41">
        <f t="shared" si="16"/>
        <v>15000</v>
      </c>
      <c r="AD12" s="178">
        <f t="shared" si="5"/>
        <v>2.2048164538821868E-2</v>
      </c>
      <c r="AE12" s="291" t="s">
        <v>189</v>
      </c>
      <c r="AF12" s="41"/>
      <c r="AG12" s="41"/>
      <c r="AH12" s="41">
        <f t="shared" si="17"/>
        <v>0</v>
      </c>
      <c r="AI12" s="178">
        <f t="shared" si="18"/>
        <v>0</v>
      </c>
      <c r="AJ12" s="291"/>
      <c r="AK12" s="41"/>
      <c r="AL12" s="41"/>
      <c r="AM12" s="41">
        <f t="shared" si="19"/>
        <v>0</v>
      </c>
      <c r="AN12" s="178">
        <f t="shared" si="6"/>
        <v>0</v>
      </c>
      <c r="AO12" s="291"/>
      <c r="AP12" s="39">
        <f t="shared" si="7"/>
        <v>43470</v>
      </c>
      <c r="AQ12" s="39">
        <f t="shared" si="7"/>
        <v>87530</v>
      </c>
      <c r="AR12" s="210">
        <f t="shared" si="20"/>
        <v>131000</v>
      </c>
      <c r="AS12" s="178">
        <f t="shared" si="8"/>
        <v>3.2942618710607226E-2</v>
      </c>
      <c r="AT12" s="42"/>
      <c r="AU12" s="210">
        <f t="shared" si="9"/>
        <v>-14490</v>
      </c>
      <c r="AV12" s="210">
        <f t="shared" si="10"/>
        <v>3490</v>
      </c>
      <c r="AW12" s="210">
        <f t="shared" si="21"/>
        <v>-11000</v>
      </c>
      <c r="AX12" s="178">
        <f t="shared" si="11"/>
        <v>1.386425767843181E-2</v>
      </c>
      <c r="AY12" s="42"/>
      <c r="AZ12" s="1"/>
      <c r="BA12" s="1"/>
    </row>
    <row r="13" spans="1:53" s="2" customFormat="1" ht="14.4" customHeight="1" outlineLevel="2">
      <c r="A13" s="238"/>
      <c r="B13" s="31" t="s">
        <v>71</v>
      </c>
      <c r="C13" s="111">
        <v>9360</v>
      </c>
      <c r="D13" s="112"/>
      <c r="E13" s="106">
        <f t="shared" si="0"/>
        <v>9360</v>
      </c>
      <c r="F13" s="177">
        <f t="shared" si="1"/>
        <v>2.9295612536328749E-3</v>
      </c>
      <c r="G13" s="163">
        <f>12000*19.5%</f>
        <v>2340</v>
      </c>
      <c r="H13" s="112"/>
      <c r="I13" s="41">
        <f t="shared" si="12"/>
        <v>2340</v>
      </c>
      <c r="J13" s="178">
        <f>I13/$I$87</f>
        <v>2.9461587766688033E-2</v>
      </c>
      <c r="K13" s="291"/>
      <c r="L13" s="163">
        <v>2340</v>
      </c>
      <c r="M13" s="112"/>
      <c r="N13" s="41">
        <f t="shared" si="13"/>
        <v>2340</v>
      </c>
      <c r="O13" s="178">
        <f t="shared" si="2"/>
        <v>2.3174505813954292E-3</v>
      </c>
      <c r="P13" s="291"/>
      <c r="Q13" s="163">
        <v>2340</v>
      </c>
      <c r="R13" s="112"/>
      <c r="S13" s="41">
        <f t="shared" si="14"/>
        <v>2340</v>
      </c>
      <c r="T13" s="178">
        <f t="shared" si="3"/>
        <v>8.9240327360008559E-3</v>
      </c>
      <c r="U13" s="291"/>
      <c r="V13" s="163">
        <v>2340</v>
      </c>
      <c r="W13" s="112"/>
      <c r="X13" s="41">
        <f t="shared" si="15"/>
        <v>2340</v>
      </c>
      <c r="Y13" s="178">
        <f t="shared" si="4"/>
        <v>1.4563382497456104E-3</v>
      </c>
      <c r="Z13" s="291"/>
      <c r="AA13" s="41">
        <v>1170</v>
      </c>
      <c r="AB13" s="112"/>
      <c r="AC13" s="41">
        <f t="shared" si="16"/>
        <v>1170</v>
      </c>
      <c r="AD13" s="178">
        <f t="shared" si="5"/>
        <v>1.7197568340281055E-3</v>
      </c>
      <c r="AE13" s="291"/>
      <c r="AF13" s="41"/>
      <c r="AG13" s="41"/>
      <c r="AH13" s="41">
        <f t="shared" si="17"/>
        <v>0</v>
      </c>
      <c r="AI13" s="178">
        <f t="shared" si="18"/>
        <v>0</v>
      </c>
      <c r="AJ13" s="291"/>
      <c r="AK13" s="41"/>
      <c r="AL13" s="41"/>
      <c r="AM13" s="41">
        <f t="shared" si="19"/>
        <v>0</v>
      </c>
      <c r="AN13" s="178">
        <f t="shared" si="6"/>
        <v>0</v>
      </c>
      <c r="AO13" s="291"/>
      <c r="AP13" s="39">
        <f t="shared" ref="AP13:AP31" si="22">G13+L13+Q13+V13+AA13+AF13+AK13</f>
        <v>10530</v>
      </c>
      <c r="AQ13" s="39">
        <f t="shared" ref="AQ13:AQ31" si="23">H13+M13+R13+W13+AB13+AG13+AL13</f>
        <v>0</v>
      </c>
      <c r="AR13" s="210">
        <f t="shared" si="20"/>
        <v>10530</v>
      </c>
      <c r="AS13" s="178">
        <f t="shared" si="8"/>
        <v>2.6479830154404129E-3</v>
      </c>
      <c r="AT13" s="42"/>
      <c r="AU13" s="210">
        <f t="shared" si="9"/>
        <v>-1170</v>
      </c>
      <c r="AV13" s="210">
        <f t="shared" si="10"/>
        <v>0</v>
      </c>
      <c r="AW13" s="210">
        <f t="shared" si="21"/>
        <v>-1170</v>
      </c>
      <c r="AX13" s="178">
        <f t="shared" si="11"/>
        <v>1.4746528621604742E-3</v>
      </c>
      <c r="AY13" s="42"/>
      <c r="AZ13" s="1"/>
      <c r="BA13" s="1"/>
    </row>
    <row r="14" spans="1:53" s="2" customFormat="1" ht="14.4" customHeight="1" outlineLevel="2">
      <c r="A14" s="238"/>
      <c r="B14" s="31" t="s">
        <v>70</v>
      </c>
      <c r="C14" s="111">
        <v>10560</v>
      </c>
      <c r="D14" s="112"/>
      <c r="E14" s="106">
        <f t="shared" si="0"/>
        <v>10560</v>
      </c>
      <c r="F14" s="177">
        <f t="shared" si="1"/>
        <v>3.3051460297396536E-3</v>
      </c>
      <c r="G14" s="163">
        <f>12000*22%</f>
        <v>2640</v>
      </c>
      <c r="H14" s="112"/>
      <c r="I14" s="41">
        <f t="shared" si="12"/>
        <v>2640</v>
      </c>
      <c r="J14" s="178">
        <f>I14/$I$87</f>
        <v>3.3238714403442907E-2</v>
      </c>
      <c r="K14" s="291"/>
      <c r="L14" s="163">
        <v>2640</v>
      </c>
      <c r="M14" s="112"/>
      <c r="N14" s="41">
        <f t="shared" si="13"/>
        <v>2640</v>
      </c>
      <c r="O14" s="178">
        <f t="shared" si="2"/>
        <v>2.6145596302922791E-3</v>
      </c>
      <c r="P14" s="291"/>
      <c r="Q14" s="163">
        <v>2640</v>
      </c>
      <c r="R14" s="112"/>
      <c r="S14" s="41">
        <f t="shared" si="14"/>
        <v>2640</v>
      </c>
      <c r="T14" s="178">
        <f t="shared" si="3"/>
        <v>1.0068139497026608E-2</v>
      </c>
      <c r="U14" s="291"/>
      <c r="V14" s="163">
        <v>2640</v>
      </c>
      <c r="W14" s="112"/>
      <c r="X14" s="41">
        <f t="shared" si="15"/>
        <v>2640</v>
      </c>
      <c r="Y14" s="178">
        <f t="shared" si="4"/>
        <v>1.6430482817642784E-3</v>
      </c>
      <c r="Z14" s="291"/>
      <c r="AA14" s="41">
        <v>1320</v>
      </c>
      <c r="AB14" s="112"/>
      <c r="AC14" s="41">
        <f t="shared" si="16"/>
        <v>1320</v>
      </c>
      <c r="AD14" s="178">
        <f t="shared" si="5"/>
        <v>1.9402384794163243E-3</v>
      </c>
      <c r="AE14" s="291"/>
      <c r="AF14" s="41"/>
      <c r="AG14" s="41"/>
      <c r="AH14" s="41">
        <f t="shared" si="17"/>
        <v>0</v>
      </c>
      <c r="AI14" s="178">
        <f t="shared" si="18"/>
        <v>0</v>
      </c>
      <c r="AJ14" s="291"/>
      <c r="AK14" s="41"/>
      <c r="AL14" s="41"/>
      <c r="AM14" s="41">
        <f t="shared" si="19"/>
        <v>0</v>
      </c>
      <c r="AN14" s="178">
        <f t="shared" si="6"/>
        <v>0</v>
      </c>
      <c r="AO14" s="291"/>
      <c r="AP14" s="39">
        <f t="shared" si="22"/>
        <v>11880</v>
      </c>
      <c r="AQ14" s="39">
        <f t="shared" si="23"/>
        <v>0</v>
      </c>
      <c r="AR14" s="210">
        <f t="shared" si="20"/>
        <v>11880</v>
      </c>
      <c r="AS14" s="178">
        <f t="shared" si="8"/>
        <v>2.9874680174199531E-3</v>
      </c>
      <c r="AT14" s="42"/>
      <c r="AU14" s="210">
        <f t="shared" si="9"/>
        <v>-1320</v>
      </c>
      <c r="AV14" s="210">
        <f t="shared" si="10"/>
        <v>0</v>
      </c>
      <c r="AW14" s="210">
        <f t="shared" si="21"/>
        <v>-1320</v>
      </c>
      <c r="AX14" s="178">
        <f t="shared" si="11"/>
        <v>1.6637109214118172E-3</v>
      </c>
      <c r="AY14" s="42"/>
      <c r="AZ14" s="1"/>
      <c r="BA14" s="1"/>
    </row>
    <row r="15" spans="1:53" s="2" customFormat="1" ht="14.4" customHeight="1" outlineLevel="2">
      <c r="A15" s="238"/>
      <c r="B15" s="7" t="s">
        <v>20</v>
      </c>
      <c r="C15" s="111"/>
      <c r="D15" s="113"/>
      <c r="E15" s="106">
        <f t="shared" si="0"/>
        <v>0</v>
      </c>
      <c r="F15" s="177">
        <f t="shared" si="1"/>
        <v>0</v>
      </c>
      <c r="G15" s="161"/>
      <c r="H15" s="113"/>
      <c r="I15" s="41">
        <f t="shared" si="12"/>
        <v>0</v>
      </c>
      <c r="J15" s="178"/>
      <c r="K15" s="291"/>
      <c r="L15" s="161"/>
      <c r="M15" s="113"/>
      <c r="N15" s="41">
        <f t="shared" si="13"/>
        <v>0</v>
      </c>
      <c r="O15" s="178">
        <f t="shared" si="2"/>
        <v>0</v>
      </c>
      <c r="P15" s="291"/>
      <c r="Q15" s="161"/>
      <c r="R15" s="113"/>
      <c r="S15" s="41">
        <f t="shared" si="14"/>
        <v>0</v>
      </c>
      <c r="T15" s="178">
        <f t="shared" si="3"/>
        <v>0</v>
      </c>
      <c r="U15" s="291"/>
      <c r="V15" s="161"/>
      <c r="W15" s="113"/>
      <c r="X15" s="41">
        <f t="shared" si="15"/>
        <v>0</v>
      </c>
      <c r="Y15" s="178">
        <f t="shared" si="4"/>
        <v>0</v>
      </c>
      <c r="Z15" s="291"/>
      <c r="AA15" s="161"/>
      <c r="AB15" s="113"/>
      <c r="AC15" s="41">
        <f t="shared" si="16"/>
        <v>0</v>
      </c>
      <c r="AD15" s="178">
        <f t="shared" si="5"/>
        <v>0</v>
      </c>
      <c r="AE15" s="291"/>
      <c r="AF15" s="41"/>
      <c r="AG15" s="41">
        <v>1500</v>
      </c>
      <c r="AH15" s="41">
        <f t="shared" si="17"/>
        <v>1500</v>
      </c>
      <c r="AI15" s="178">
        <f t="shared" si="18"/>
        <v>6.1257177172586146E-3</v>
      </c>
      <c r="AJ15" s="291" t="s">
        <v>20</v>
      </c>
      <c r="AK15" s="41"/>
      <c r="AL15" s="41"/>
      <c r="AM15" s="41">
        <f t="shared" si="19"/>
        <v>0</v>
      </c>
      <c r="AN15" s="178">
        <f t="shared" si="6"/>
        <v>0</v>
      </c>
      <c r="AO15" s="291"/>
      <c r="AP15" s="39">
        <f t="shared" si="22"/>
        <v>0</v>
      </c>
      <c r="AQ15" s="39">
        <f t="shared" si="23"/>
        <v>1500</v>
      </c>
      <c r="AR15" s="210">
        <f t="shared" si="20"/>
        <v>1500</v>
      </c>
      <c r="AS15" s="178">
        <f t="shared" si="8"/>
        <v>3.7720555775504455E-4</v>
      </c>
      <c r="AT15" s="42"/>
      <c r="AU15" s="210">
        <f t="shared" si="9"/>
        <v>0</v>
      </c>
      <c r="AV15" s="210">
        <f t="shared" si="10"/>
        <v>-1500</v>
      </c>
      <c r="AW15" s="210">
        <f t="shared" si="21"/>
        <v>-1500</v>
      </c>
      <c r="AX15" s="178">
        <f t="shared" si="11"/>
        <v>1.8905805925134287E-3</v>
      </c>
      <c r="AY15" s="42"/>
      <c r="AZ15" s="1"/>
      <c r="BA15" s="1"/>
    </row>
    <row r="16" spans="1:53" s="2" customFormat="1" ht="66" customHeight="1" outlineLevel="2">
      <c r="A16" s="292"/>
      <c r="B16" s="7" t="s">
        <v>21</v>
      </c>
      <c r="C16" s="111"/>
      <c r="D16" s="113">
        <v>623695</v>
      </c>
      <c r="E16" s="106">
        <f t="shared" si="0"/>
        <v>623695</v>
      </c>
      <c r="F16" s="177">
        <f t="shared" si="1"/>
        <v>0.19520862244493117</v>
      </c>
      <c r="G16" s="161"/>
      <c r="H16" s="113"/>
      <c r="I16" s="41">
        <f t="shared" si="12"/>
        <v>0</v>
      </c>
      <c r="J16" s="178"/>
      <c r="K16" s="291"/>
      <c r="L16" s="161"/>
      <c r="M16" s="113"/>
      <c r="N16" s="41">
        <f t="shared" si="13"/>
        <v>0</v>
      </c>
      <c r="O16" s="178">
        <f t="shared" si="2"/>
        <v>0</v>
      </c>
      <c r="P16" s="291"/>
      <c r="Q16" s="161"/>
      <c r="R16" s="113"/>
      <c r="S16" s="41">
        <f t="shared" si="14"/>
        <v>0</v>
      </c>
      <c r="T16" s="178">
        <f t="shared" si="3"/>
        <v>0</v>
      </c>
      <c r="U16" s="291"/>
      <c r="V16" s="161"/>
      <c r="W16" s="113">
        <f>9340+56250+36695+178352</f>
        <v>280637</v>
      </c>
      <c r="X16" s="41">
        <f t="shared" si="15"/>
        <v>280637</v>
      </c>
      <c r="Y16" s="178">
        <f t="shared" si="4"/>
        <v>0.17465914418540976</v>
      </c>
      <c r="Z16" s="291" t="s">
        <v>236</v>
      </c>
      <c r="AA16" s="161"/>
      <c r="AB16" s="113">
        <f>47520+34695+28253.64+86385.5+15945+33625</f>
        <v>246424.14</v>
      </c>
      <c r="AC16" s="41">
        <f t="shared" si="16"/>
        <v>246424.14</v>
      </c>
      <c r="AD16" s="178">
        <f t="shared" si="5"/>
        <v>0.36221333233717834</v>
      </c>
      <c r="AE16" s="291" t="s">
        <v>246</v>
      </c>
      <c r="AF16" s="41"/>
      <c r="AG16" s="41">
        <f>2992+15600+13739.36</f>
        <v>32331.360000000001</v>
      </c>
      <c r="AH16" s="41">
        <f t="shared" si="17"/>
        <v>32331.360000000001</v>
      </c>
      <c r="AI16" s="178">
        <f t="shared" si="18"/>
        <v>0.13203518985004431</v>
      </c>
      <c r="AJ16" s="291" t="s">
        <v>360</v>
      </c>
      <c r="AK16" s="41"/>
      <c r="AL16" s="41"/>
      <c r="AM16" s="41">
        <f t="shared" si="19"/>
        <v>0</v>
      </c>
      <c r="AN16" s="178">
        <f t="shared" si="6"/>
        <v>0</v>
      </c>
      <c r="AO16" s="291"/>
      <c r="AP16" s="39">
        <f t="shared" si="22"/>
        <v>0</v>
      </c>
      <c r="AQ16" s="39">
        <f t="shared" si="23"/>
        <v>559392.5</v>
      </c>
      <c r="AR16" s="210">
        <f t="shared" si="20"/>
        <v>559392.5</v>
      </c>
      <c r="AS16" s="178">
        <f t="shared" si="8"/>
        <v>0.14067063997765919</v>
      </c>
      <c r="AT16" s="42"/>
      <c r="AU16" s="210">
        <f t="shared" si="9"/>
        <v>0</v>
      </c>
      <c r="AV16" s="210">
        <f t="shared" si="10"/>
        <v>64302.5</v>
      </c>
      <c r="AW16" s="210">
        <f t="shared" si="21"/>
        <v>64302.5</v>
      </c>
      <c r="AX16" s="178">
        <f t="shared" si="11"/>
        <v>-8.1046039033396494E-2</v>
      </c>
      <c r="AY16" s="42"/>
    </row>
    <row r="17" spans="1:53" s="2" customFormat="1" ht="14.4" customHeight="1" outlineLevel="2">
      <c r="A17" s="238"/>
      <c r="B17" s="7" t="s">
        <v>22</v>
      </c>
      <c r="C17" s="111"/>
      <c r="D17" s="113">
        <v>30000</v>
      </c>
      <c r="E17" s="106">
        <f t="shared" si="0"/>
        <v>30000</v>
      </c>
      <c r="F17" s="177">
        <f t="shared" si="1"/>
        <v>9.3896194026694708E-3</v>
      </c>
      <c r="G17" s="161"/>
      <c r="H17" s="113"/>
      <c r="I17" s="41">
        <f t="shared" si="12"/>
        <v>0</v>
      </c>
      <c r="J17" s="178"/>
      <c r="K17" s="291"/>
      <c r="L17" s="161"/>
      <c r="M17" s="113">
        <v>300</v>
      </c>
      <c r="N17" s="41">
        <f t="shared" si="13"/>
        <v>300</v>
      </c>
      <c r="O17" s="178">
        <f t="shared" si="2"/>
        <v>2.9710904889684988E-4</v>
      </c>
      <c r="P17" s="291" t="s">
        <v>201</v>
      </c>
      <c r="Q17" s="161"/>
      <c r="R17" s="113"/>
      <c r="S17" s="41">
        <f t="shared" si="14"/>
        <v>0</v>
      </c>
      <c r="T17" s="178">
        <f t="shared" si="3"/>
        <v>0</v>
      </c>
      <c r="U17" s="291"/>
      <c r="V17" s="161"/>
      <c r="W17" s="113"/>
      <c r="X17" s="41">
        <f t="shared" si="15"/>
        <v>0</v>
      </c>
      <c r="Y17" s="178">
        <f t="shared" si="4"/>
        <v>0</v>
      </c>
      <c r="Z17" s="291"/>
      <c r="AA17" s="161"/>
      <c r="AB17" s="113"/>
      <c r="AC17" s="41">
        <f t="shared" si="16"/>
        <v>0</v>
      </c>
      <c r="AD17" s="178">
        <f t="shared" si="5"/>
        <v>0</v>
      </c>
      <c r="AE17" s="291"/>
      <c r="AF17" s="161"/>
      <c r="AG17" s="113"/>
      <c r="AH17" s="41">
        <f t="shared" si="17"/>
        <v>0</v>
      </c>
      <c r="AI17" s="178">
        <f t="shared" si="18"/>
        <v>0</v>
      </c>
      <c r="AJ17" s="291"/>
      <c r="AK17" s="161"/>
      <c r="AL17" s="113">
        <f>30000+50000</f>
        <v>80000</v>
      </c>
      <c r="AM17" s="41">
        <f t="shared" si="19"/>
        <v>80000</v>
      </c>
      <c r="AN17" s="178">
        <f t="shared" si="6"/>
        <v>0.84659160256649491</v>
      </c>
      <c r="AO17" s="291"/>
      <c r="AP17" s="39">
        <f t="shared" si="22"/>
        <v>0</v>
      </c>
      <c r="AQ17" s="39">
        <f t="shared" si="23"/>
        <v>80300</v>
      </c>
      <c r="AR17" s="210">
        <f t="shared" si="20"/>
        <v>80300</v>
      </c>
      <c r="AS17" s="178">
        <f t="shared" si="8"/>
        <v>2.019307085848672E-2</v>
      </c>
      <c r="AT17" s="42"/>
      <c r="AU17" s="210">
        <f t="shared" si="9"/>
        <v>0</v>
      </c>
      <c r="AV17" s="210">
        <f t="shared" si="10"/>
        <v>-50300</v>
      </c>
      <c r="AW17" s="210">
        <f t="shared" si="21"/>
        <v>-50300</v>
      </c>
      <c r="AX17" s="178">
        <f t="shared" si="11"/>
        <v>6.3397469202283646E-2</v>
      </c>
      <c r="AY17" s="42"/>
    </row>
    <row r="18" spans="1:53" s="2" customFormat="1" ht="84" customHeight="1" outlineLevel="2">
      <c r="A18" s="238"/>
      <c r="B18" s="7" t="s">
        <v>0</v>
      </c>
      <c r="C18" s="111">
        <v>741860</v>
      </c>
      <c r="D18" s="113"/>
      <c r="E18" s="106">
        <f t="shared" si="0"/>
        <v>741860</v>
      </c>
      <c r="F18" s="177">
        <f t="shared" si="1"/>
        <v>0.23219276833547911</v>
      </c>
      <c r="G18" s="161"/>
      <c r="H18" s="113"/>
      <c r="I18" s="41">
        <f t="shared" si="12"/>
        <v>0</v>
      </c>
      <c r="J18" s="178"/>
      <c r="K18" s="291"/>
      <c r="L18" s="161">
        <f>48.79*14000</f>
        <v>683060</v>
      </c>
      <c r="M18" s="113">
        <v>3880</v>
      </c>
      <c r="N18" s="41">
        <f t="shared" si="13"/>
        <v>686940</v>
      </c>
      <c r="O18" s="178">
        <f t="shared" si="2"/>
        <v>0.68032030016400691</v>
      </c>
      <c r="P18" s="291" t="s">
        <v>206</v>
      </c>
      <c r="Q18" s="161"/>
      <c r="R18" s="113">
        <v>200</v>
      </c>
      <c r="S18" s="41">
        <f t="shared" si="14"/>
        <v>200</v>
      </c>
      <c r="T18" s="178">
        <f t="shared" si="3"/>
        <v>7.6273784068383384E-4</v>
      </c>
      <c r="U18" s="291" t="s">
        <v>214</v>
      </c>
      <c r="V18" s="161"/>
      <c r="W18" s="113">
        <v>150000</v>
      </c>
      <c r="X18" s="41">
        <f t="shared" si="15"/>
        <v>150000</v>
      </c>
      <c r="Y18" s="178">
        <f t="shared" si="4"/>
        <v>9.3355016009333991E-2</v>
      </c>
      <c r="Z18" s="291" t="s">
        <v>231</v>
      </c>
      <c r="AA18" s="161"/>
      <c r="AB18" s="113"/>
      <c r="AC18" s="41">
        <f t="shared" si="16"/>
        <v>0</v>
      </c>
      <c r="AD18" s="178">
        <f t="shared" si="5"/>
        <v>0</v>
      </c>
      <c r="AE18" s="291"/>
      <c r="AF18" s="161"/>
      <c r="AG18" s="41">
        <v>147000</v>
      </c>
      <c r="AH18" s="41">
        <f t="shared" si="17"/>
        <v>147000</v>
      </c>
      <c r="AI18" s="178">
        <f t="shared" si="18"/>
        <v>0.60032033629134418</v>
      </c>
      <c r="AJ18" s="291" t="s">
        <v>358</v>
      </c>
      <c r="AK18" s="161"/>
      <c r="AL18" s="41"/>
      <c r="AM18" s="41">
        <f t="shared" si="19"/>
        <v>0</v>
      </c>
      <c r="AN18" s="178">
        <f t="shared" si="6"/>
        <v>0</v>
      </c>
      <c r="AO18" s="291"/>
      <c r="AP18" s="39">
        <f t="shared" si="22"/>
        <v>683060</v>
      </c>
      <c r="AQ18" s="39">
        <f t="shared" si="23"/>
        <v>301080</v>
      </c>
      <c r="AR18" s="210">
        <f t="shared" si="20"/>
        <v>984140</v>
      </c>
      <c r="AS18" s="178">
        <f t="shared" si="8"/>
        <v>0.24748205173936638</v>
      </c>
      <c r="AT18" s="42"/>
      <c r="AU18" s="210">
        <f t="shared" si="9"/>
        <v>58800</v>
      </c>
      <c r="AV18" s="210">
        <f t="shared" si="10"/>
        <v>-301080</v>
      </c>
      <c r="AW18" s="210">
        <f t="shared" si="21"/>
        <v>-242280</v>
      </c>
      <c r="AX18" s="178">
        <f t="shared" si="11"/>
        <v>0.305366577302769</v>
      </c>
      <c r="AY18" s="42"/>
    </row>
    <row r="19" spans="1:53" s="2" customFormat="1" ht="16.2" customHeight="1" outlineLevel="2">
      <c r="A19" s="238"/>
      <c r="B19" s="7" t="s">
        <v>53</v>
      </c>
      <c r="C19" s="114"/>
      <c r="D19" s="113"/>
      <c r="E19" s="106">
        <f t="shared" si="0"/>
        <v>0</v>
      </c>
      <c r="F19" s="177">
        <f t="shared" si="1"/>
        <v>0</v>
      </c>
      <c r="G19" s="161"/>
      <c r="H19" s="113"/>
      <c r="I19" s="41">
        <f t="shared" si="12"/>
        <v>0</v>
      </c>
      <c r="J19" s="178"/>
      <c r="K19" s="291"/>
      <c r="L19" s="161"/>
      <c r="M19" s="113">
        <v>600</v>
      </c>
      <c r="N19" s="41">
        <f t="shared" si="13"/>
        <v>600</v>
      </c>
      <c r="O19" s="178">
        <f t="shared" si="2"/>
        <v>5.9421809779369977E-4</v>
      </c>
      <c r="P19" s="291" t="s">
        <v>199</v>
      </c>
      <c r="Q19" s="161"/>
      <c r="R19" s="113"/>
      <c r="S19" s="41">
        <f t="shared" si="14"/>
        <v>0</v>
      </c>
      <c r="T19" s="178">
        <f t="shared" si="3"/>
        <v>0</v>
      </c>
      <c r="U19" s="291"/>
      <c r="V19" s="161"/>
      <c r="W19" s="113"/>
      <c r="X19" s="41">
        <f t="shared" si="15"/>
        <v>0</v>
      </c>
      <c r="Y19" s="178">
        <f t="shared" si="4"/>
        <v>0</v>
      </c>
      <c r="Z19" s="291"/>
      <c r="AA19" s="161"/>
      <c r="AB19" s="113"/>
      <c r="AC19" s="41">
        <f t="shared" si="16"/>
        <v>0</v>
      </c>
      <c r="AD19" s="178">
        <f t="shared" si="5"/>
        <v>0</v>
      </c>
      <c r="AE19" s="291"/>
      <c r="AF19" s="161"/>
      <c r="AG19" s="113"/>
      <c r="AH19" s="41">
        <f t="shared" si="17"/>
        <v>0</v>
      </c>
      <c r="AI19" s="178">
        <f t="shared" si="18"/>
        <v>0</v>
      </c>
      <c r="AJ19" s="291"/>
      <c r="AK19" s="161"/>
      <c r="AL19" s="113"/>
      <c r="AM19" s="41">
        <f t="shared" si="19"/>
        <v>0</v>
      </c>
      <c r="AN19" s="178">
        <f t="shared" si="6"/>
        <v>0</v>
      </c>
      <c r="AO19" s="291"/>
      <c r="AP19" s="39">
        <f t="shared" si="22"/>
        <v>0</v>
      </c>
      <c r="AQ19" s="39">
        <f t="shared" si="23"/>
        <v>600</v>
      </c>
      <c r="AR19" s="210">
        <f t="shared" si="20"/>
        <v>600</v>
      </c>
      <c r="AS19" s="178">
        <f t="shared" si="8"/>
        <v>1.5088222310201781E-4</v>
      </c>
      <c r="AT19" s="42"/>
      <c r="AU19" s="210">
        <f t="shared" si="9"/>
        <v>0</v>
      </c>
      <c r="AV19" s="210">
        <f t="shared" si="10"/>
        <v>-600</v>
      </c>
      <c r="AW19" s="210">
        <f t="shared" si="21"/>
        <v>-600</v>
      </c>
      <c r="AX19" s="178">
        <f t="shared" si="11"/>
        <v>7.562322370053714E-4</v>
      </c>
      <c r="AY19" s="42"/>
    </row>
    <row r="20" spans="1:53" s="2" customFormat="1" ht="14.4" customHeight="1" outlineLevel="2">
      <c r="A20" s="238"/>
      <c r="B20" s="7" t="s">
        <v>57</v>
      </c>
      <c r="C20" s="114"/>
      <c r="D20" s="113"/>
      <c r="E20" s="106">
        <f t="shared" si="0"/>
        <v>0</v>
      </c>
      <c r="F20" s="177">
        <f t="shared" si="1"/>
        <v>0</v>
      </c>
      <c r="G20" s="161"/>
      <c r="H20" s="113"/>
      <c r="I20" s="41">
        <f t="shared" si="12"/>
        <v>0</v>
      </c>
      <c r="J20" s="178"/>
      <c r="K20" s="291"/>
      <c r="L20" s="161"/>
      <c r="M20" s="113"/>
      <c r="N20" s="41">
        <f t="shared" si="13"/>
        <v>0</v>
      </c>
      <c r="O20" s="178">
        <f t="shared" si="2"/>
        <v>0</v>
      </c>
      <c r="P20" s="291"/>
      <c r="Q20" s="161"/>
      <c r="R20" s="113"/>
      <c r="S20" s="41">
        <f t="shared" si="14"/>
        <v>0</v>
      </c>
      <c r="T20" s="178">
        <f t="shared" si="3"/>
        <v>0</v>
      </c>
      <c r="U20" s="291"/>
      <c r="V20" s="161"/>
      <c r="W20" s="113"/>
      <c r="X20" s="41">
        <f t="shared" si="15"/>
        <v>0</v>
      </c>
      <c r="Y20" s="178">
        <f t="shared" si="4"/>
        <v>0</v>
      </c>
      <c r="Z20" s="291"/>
      <c r="AA20" s="161"/>
      <c r="AB20" s="113"/>
      <c r="AC20" s="41">
        <f t="shared" si="16"/>
        <v>0</v>
      </c>
      <c r="AD20" s="178">
        <f t="shared" si="5"/>
        <v>0</v>
      </c>
      <c r="AE20" s="291"/>
      <c r="AF20" s="161"/>
      <c r="AG20" s="113"/>
      <c r="AH20" s="41">
        <f t="shared" si="17"/>
        <v>0</v>
      </c>
      <c r="AI20" s="178">
        <f t="shared" si="18"/>
        <v>0</v>
      </c>
      <c r="AJ20" s="291"/>
      <c r="AK20" s="161"/>
      <c r="AL20" s="113"/>
      <c r="AM20" s="41">
        <f t="shared" si="19"/>
        <v>0</v>
      </c>
      <c r="AN20" s="178">
        <f t="shared" si="6"/>
        <v>0</v>
      </c>
      <c r="AO20" s="291"/>
      <c r="AP20" s="39">
        <f t="shared" si="22"/>
        <v>0</v>
      </c>
      <c r="AQ20" s="39">
        <f t="shared" si="23"/>
        <v>0</v>
      </c>
      <c r="AR20" s="210">
        <f t="shared" si="20"/>
        <v>0</v>
      </c>
      <c r="AS20" s="178">
        <f t="shared" si="8"/>
        <v>0</v>
      </c>
      <c r="AT20" s="42"/>
      <c r="AU20" s="210">
        <f t="shared" si="9"/>
        <v>0</v>
      </c>
      <c r="AV20" s="210">
        <f t="shared" si="10"/>
        <v>0</v>
      </c>
      <c r="AW20" s="210">
        <f t="shared" si="21"/>
        <v>0</v>
      </c>
      <c r="AX20" s="178">
        <f t="shared" si="11"/>
        <v>0</v>
      </c>
      <c r="AY20" s="42"/>
    </row>
    <row r="21" spans="1:53" s="2" customFormat="1" ht="59.4" customHeight="1" outlineLevel="2">
      <c r="A21" s="238"/>
      <c r="B21" s="7" t="s">
        <v>58</v>
      </c>
      <c r="C21" s="114">
        <v>269500</v>
      </c>
      <c r="D21" s="113"/>
      <c r="E21" s="106">
        <f t="shared" si="0"/>
        <v>269500</v>
      </c>
      <c r="F21" s="177">
        <f t="shared" si="1"/>
        <v>8.4350080967314084E-2</v>
      </c>
      <c r="G21" s="161"/>
      <c r="H21" s="113"/>
      <c r="I21" s="41">
        <f t="shared" si="12"/>
        <v>0</v>
      </c>
      <c r="J21" s="178"/>
      <c r="K21" s="291"/>
      <c r="L21" s="161">
        <f>(285*459.49)+(4181.06*1.2)+(818*27.42)</f>
        <v>158401.48200000002</v>
      </c>
      <c r="M21" s="113">
        <v>1500</v>
      </c>
      <c r="N21" s="41">
        <f t="shared" si="13"/>
        <v>159901.48200000002</v>
      </c>
      <c r="O21" s="178">
        <f t="shared" si="2"/>
        <v>0.15836059078072257</v>
      </c>
      <c r="P21" s="291" t="s">
        <v>218</v>
      </c>
      <c r="Q21" s="161">
        <f>(339*459.49)</f>
        <v>155767.11000000002</v>
      </c>
      <c r="R21" s="113"/>
      <c r="S21" s="41">
        <f t="shared" si="14"/>
        <v>155767.11000000002</v>
      </c>
      <c r="T21" s="178">
        <f t="shared" si="3"/>
        <v>0.59404734565480621</v>
      </c>
      <c r="U21" s="291" t="s">
        <v>215</v>
      </c>
      <c r="V21" s="161"/>
      <c r="W21" s="113"/>
      <c r="X21" s="41">
        <f t="shared" si="15"/>
        <v>0</v>
      </c>
      <c r="Y21" s="178">
        <f t="shared" si="4"/>
        <v>0</v>
      </c>
      <c r="Z21" s="291"/>
      <c r="AA21" s="161"/>
      <c r="AB21" s="113"/>
      <c r="AC21" s="41">
        <f t="shared" si="16"/>
        <v>0</v>
      </c>
      <c r="AD21" s="178">
        <f t="shared" si="5"/>
        <v>0</v>
      </c>
      <c r="AE21" s="291"/>
      <c r="AF21" s="161"/>
      <c r="AG21" s="113"/>
      <c r="AH21" s="41">
        <f t="shared" si="17"/>
        <v>0</v>
      </c>
      <c r="AI21" s="178">
        <f t="shared" si="18"/>
        <v>0</v>
      </c>
      <c r="AJ21" s="291"/>
      <c r="AK21" s="161"/>
      <c r="AL21" s="113"/>
      <c r="AM21" s="41">
        <f t="shared" si="19"/>
        <v>0</v>
      </c>
      <c r="AN21" s="178">
        <f t="shared" si="6"/>
        <v>0</v>
      </c>
      <c r="AO21" s="291"/>
      <c r="AP21" s="39">
        <f t="shared" si="22"/>
        <v>314168.59200000006</v>
      </c>
      <c r="AQ21" s="39">
        <f t="shared" si="23"/>
        <v>1500</v>
      </c>
      <c r="AR21" s="210">
        <f>AP21+AQ21*1</f>
        <v>315668.59200000006</v>
      </c>
      <c r="AS21" s="178">
        <f t="shared" si="8"/>
        <v>7.9381298207406414E-2</v>
      </c>
      <c r="AT21" s="42"/>
      <c r="AU21" s="210">
        <f t="shared" si="9"/>
        <v>-44668.592000000062</v>
      </c>
      <c r="AV21" s="210">
        <f t="shared" si="10"/>
        <v>-1500</v>
      </c>
      <c r="AW21" s="210">
        <f t="shared" si="21"/>
        <v>-46168.592000000062</v>
      </c>
      <c r="AX21" s="178">
        <f t="shared" si="11"/>
        <v>5.8190296012580571E-2</v>
      </c>
      <c r="AY21" s="42"/>
    </row>
    <row r="22" spans="1:53" s="2" customFormat="1" ht="21.6" customHeight="1" outlineLevel="2">
      <c r="A22" s="238"/>
      <c r="B22" s="7" t="s">
        <v>23</v>
      </c>
      <c r="C22" s="114">
        <v>58900</v>
      </c>
      <c r="D22" s="113"/>
      <c r="E22" s="106">
        <f t="shared" si="0"/>
        <v>58900</v>
      </c>
      <c r="F22" s="177">
        <f t="shared" si="1"/>
        <v>1.8434952760574393E-2</v>
      </c>
      <c r="G22" s="161"/>
      <c r="H22" s="113"/>
      <c r="I22" s="41">
        <f t="shared" si="12"/>
        <v>0</v>
      </c>
      <c r="J22" s="178"/>
      <c r="K22" s="291"/>
      <c r="L22" s="161">
        <f>36166.66*1.2</f>
        <v>43399.992000000006</v>
      </c>
      <c r="M22" s="113">
        <v>100</v>
      </c>
      <c r="N22" s="41">
        <f t="shared" si="13"/>
        <v>43499.992000000006</v>
      </c>
      <c r="O22" s="178">
        <f t="shared" si="2"/>
        <v>4.3080804167135271E-2</v>
      </c>
      <c r="P22" s="291" t="s">
        <v>202</v>
      </c>
      <c r="Q22" s="161"/>
      <c r="R22" s="113">
        <v>200</v>
      </c>
      <c r="S22" s="41">
        <f t="shared" si="14"/>
        <v>200</v>
      </c>
      <c r="T22" s="178">
        <f t="shared" si="3"/>
        <v>7.6273784068383384E-4</v>
      </c>
      <c r="U22" s="291" t="s">
        <v>212</v>
      </c>
      <c r="V22" s="161"/>
      <c r="W22" s="113"/>
      <c r="X22" s="41">
        <f t="shared" si="15"/>
        <v>0</v>
      </c>
      <c r="Y22" s="178">
        <f t="shared" si="4"/>
        <v>0</v>
      </c>
      <c r="Z22" s="291"/>
      <c r="AA22" s="161">
        <v>14800</v>
      </c>
      <c r="AB22" s="113"/>
      <c r="AC22" s="41">
        <f t="shared" si="16"/>
        <v>14800</v>
      </c>
      <c r="AD22" s="178">
        <f t="shared" si="5"/>
        <v>2.1754189011637573E-2</v>
      </c>
      <c r="AE22" s="291" t="s">
        <v>238</v>
      </c>
      <c r="AF22" s="161">
        <f>11500</f>
        <v>11500</v>
      </c>
      <c r="AG22" s="113"/>
      <c r="AH22" s="41">
        <f t="shared" si="17"/>
        <v>11500</v>
      </c>
      <c r="AI22" s="178">
        <f t="shared" si="18"/>
        <v>4.6963835832316045E-2</v>
      </c>
      <c r="AJ22" s="291" t="s">
        <v>361</v>
      </c>
      <c r="AK22" s="161"/>
      <c r="AL22" s="113"/>
      <c r="AM22" s="41">
        <f t="shared" si="19"/>
        <v>0</v>
      </c>
      <c r="AN22" s="178">
        <f t="shared" si="6"/>
        <v>0</v>
      </c>
      <c r="AO22" s="291"/>
      <c r="AP22" s="39">
        <f t="shared" si="22"/>
        <v>69699.991999999998</v>
      </c>
      <c r="AQ22" s="39">
        <f t="shared" si="23"/>
        <v>300</v>
      </c>
      <c r="AR22" s="210">
        <f t="shared" si="20"/>
        <v>69999.991999999998</v>
      </c>
      <c r="AS22" s="178">
        <f t="shared" si="8"/>
        <v>1.7602924016805771E-2</v>
      </c>
      <c r="AT22" s="42"/>
      <c r="AU22" s="210">
        <f t="shared" si="9"/>
        <v>-10799.991999999998</v>
      </c>
      <c r="AV22" s="210">
        <f t="shared" si="10"/>
        <v>-300</v>
      </c>
      <c r="AW22" s="210">
        <f t="shared" si="21"/>
        <v>-11099.991999999998</v>
      </c>
      <c r="AX22" s="178">
        <f t="shared" si="11"/>
        <v>1.3990286301502876E-2</v>
      </c>
      <c r="AY22" s="42"/>
    </row>
    <row r="23" spans="1:53" s="2" customFormat="1" ht="39" customHeight="1" outlineLevel="2">
      <c r="A23" s="238"/>
      <c r="B23" s="7" t="s">
        <v>24</v>
      </c>
      <c r="C23" s="114">
        <v>57900</v>
      </c>
      <c r="D23" s="113"/>
      <c r="E23" s="106">
        <f t="shared" si="0"/>
        <v>57900</v>
      </c>
      <c r="F23" s="177">
        <f t="shared" si="1"/>
        <v>1.812196544715208E-2</v>
      </c>
      <c r="G23" s="161"/>
      <c r="H23" s="113">
        <v>1524</v>
      </c>
      <c r="I23" s="41">
        <f t="shared" si="12"/>
        <v>1524</v>
      </c>
      <c r="J23" s="178"/>
      <c r="K23" s="291"/>
      <c r="L23" s="161"/>
      <c r="M23" s="113">
        <v>3966</v>
      </c>
      <c r="N23" s="41">
        <f t="shared" si="13"/>
        <v>3966</v>
      </c>
      <c r="O23" s="178">
        <f t="shared" si="2"/>
        <v>3.9277816264163554E-3</v>
      </c>
      <c r="P23" s="291"/>
      <c r="Q23" s="161"/>
      <c r="R23" s="113">
        <v>1520</v>
      </c>
      <c r="S23" s="41">
        <f t="shared" si="14"/>
        <v>1520</v>
      </c>
      <c r="T23" s="178">
        <f t="shared" si="3"/>
        <v>5.7968075891971374E-3</v>
      </c>
      <c r="U23" s="291"/>
      <c r="V23" s="161">
        <f>14274.39*1.2</f>
        <v>17129.268</v>
      </c>
      <c r="W23" s="113">
        <v>960</v>
      </c>
      <c r="X23" s="41">
        <f t="shared" si="15"/>
        <v>18089.268</v>
      </c>
      <c r="Y23" s="178">
        <f t="shared" si="4"/>
        <v>1.1258159358247555E-2</v>
      </c>
      <c r="Z23" s="291" t="s">
        <v>190</v>
      </c>
      <c r="AA23" s="161">
        <f>3959.69*1.2</f>
        <v>4751.6279999999997</v>
      </c>
      <c r="AB23" s="113">
        <v>1040</v>
      </c>
      <c r="AC23" s="41">
        <f t="shared" si="16"/>
        <v>5791.6279999999997</v>
      </c>
      <c r="AD23" s="178">
        <f t="shared" si="5"/>
        <v>8.5129844727765205E-3</v>
      </c>
      <c r="AE23" s="291" t="s">
        <v>243</v>
      </c>
      <c r="AF23" s="161"/>
      <c r="AG23" s="113"/>
      <c r="AH23" s="41">
        <f t="shared" si="17"/>
        <v>0</v>
      </c>
      <c r="AI23" s="178">
        <f t="shared" si="18"/>
        <v>0</v>
      </c>
      <c r="AJ23" s="291"/>
      <c r="AK23" s="161">
        <f>1198.98*1.2+615.63</f>
        <v>2054.4059999999999</v>
      </c>
      <c r="AL23" s="113"/>
      <c r="AM23" s="41">
        <f t="shared" si="19"/>
        <v>2054.4059999999999</v>
      </c>
      <c r="AN23" s="178">
        <f t="shared" si="6"/>
        <v>2.1740535848277783E-2</v>
      </c>
      <c r="AO23" s="291"/>
      <c r="AP23" s="39">
        <f t="shared" si="22"/>
        <v>23935.302</v>
      </c>
      <c r="AQ23" s="39">
        <f t="shared" si="23"/>
        <v>9010</v>
      </c>
      <c r="AR23" s="210">
        <f t="shared" si="20"/>
        <v>32945.301999999996</v>
      </c>
      <c r="AS23" s="178">
        <f t="shared" si="8"/>
        <v>8.2847673442122561E-3</v>
      </c>
      <c r="AT23" s="42"/>
      <c r="AU23" s="210">
        <f t="shared" si="9"/>
        <v>33964.698000000004</v>
      </c>
      <c r="AV23" s="210">
        <f t="shared" si="10"/>
        <v>-9010</v>
      </c>
      <c r="AW23" s="210">
        <f t="shared" si="21"/>
        <v>24954.698000000004</v>
      </c>
      <c r="AX23" s="178">
        <f t="shared" si="11"/>
        <v>-3.1452578487222452E-2</v>
      </c>
      <c r="AY23" s="42"/>
    </row>
    <row r="24" spans="1:53" s="2" customFormat="1" ht="60" customHeight="1" outlineLevel="2">
      <c r="A24" s="238"/>
      <c r="B24" s="7" t="s">
        <v>45</v>
      </c>
      <c r="C24" s="114">
        <v>609407</v>
      </c>
      <c r="D24" s="113">
        <v>32000</v>
      </c>
      <c r="E24" s="106">
        <f t="shared" si="0"/>
        <v>641407</v>
      </c>
      <c r="F24" s="177">
        <f t="shared" si="1"/>
        <v>0.20075225374026726</v>
      </c>
      <c r="G24" s="161"/>
      <c r="H24" s="113">
        <v>400</v>
      </c>
      <c r="I24" s="41">
        <f t="shared" si="12"/>
        <v>400</v>
      </c>
      <c r="J24" s="178"/>
      <c r="K24" s="291"/>
      <c r="L24" s="161"/>
      <c r="M24" s="113"/>
      <c r="N24" s="41">
        <f t="shared" si="13"/>
        <v>0</v>
      </c>
      <c r="O24" s="178">
        <f t="shared" si="2"/>
        <v>0</v>
      </c>
      <c r="P24" s="291"/>
      <c r="Q24" s="161"/>
      <c r="R24" s="113"/>
      <c r="S24" s="41">
        <f t="shared" si="14"/>
        <v>0</v>
      </c>
      <c r="T24" s="178">
        <f t="shared" si="3"/>
        <v>0</v>
      </c>
      <c r="U24" s="291"/>
      <c r="V24" s="161">
        <f>(684058.3+243453.41-99070.06)*1.2</f>
        <v>994129.9800000001</v>
      </c>
      <c r="W24" s="113"/>
      <c r="X24" s="41">
        <f t="shared" si="15"/>
        <v>994129.9800000001</v>
      </c>
      <c r="Y24" s="178">
        <f t="shared" si="4"/>
        <v>0.61871346798839266</v>
      </c>
      <c r="Z24" s="291" t="s">
        <v>222</v>
      </c>
      <c r="AA24" s="161">
        <f>(90507.85+165264.62+5412.79)*1.2</f>
        <v>313422.31199999998</v>
      </c>
      <c r="AB24" s="113"/>
      <c r="AC24" s="41">
        <f t="shared" si="16"/>
        <v>313422.31199999998</v>
      </c>
      <c r="AD24" s="178">
        <f t="shared" si="5"/>
        <v>0.46069244700759748</v>
      </c>
      <c r="AE24" s="291"/>
      <c r="AF24" s="161">
        <f>14523.51*1.2</f>
        <v>17428.212</v>
      </c>
      <c r="AG24" s="113"/>
      <c r="AH24" s="41">
        <f t="shared" si="17"/>
        <v>17428.212</v>
      </c>
      <c r="AI24" s="178">
        <f t="shared" si="18"/>
        <v>7.1173538019026122E-2</v>
      </c>
      <c r="AJ24" s="291"/>
      <c r="AK24" s="161"/>
      <c r="AL24" s="113"/>
      <c r="AM24" s="41">
        <f t="shared" si="19"/>
        <v>0</v>
      </c>
      <c r="AN24" s="178">
        <f t="shared" si="6"/>
        <v>0</v>
      </c>
      <c r="AO24" s="291"/>
      <c r="AP24" s="39">
        <f t="shared" si="22"/>
        <v>1324980.5040000002</v>
      </c>
      <c r="AQ24" s="39">
        <f t="shared" si="23"/>
        <v>400</v>
      </c>
      <c r="AR24" s="210">
        <f t="shared" si="20"/>
        <v>1325380.5040000002</v>
      </c>
      <c r="AS24" s="178">
        <f t="shared" si="8"/>
        <v>0.33329392816598807</v>
      </c>
      <c r="AT24" s="42"/>
      <c r="AU24" s="210">
        <f t="shared" si="9"/>
        <v>-715573.50400000019</v>
      </c>
      <c r="AV24" s="210">
        <f t="shared" si="10"/>
        <v>31600</v>
      </c>
      <c r="AW24" s="210">
        <f t="shared" si="21"/>
        <v>-683973.50400000019</v>
      </c>
      <c r="AX24" s="178">
        <f t="shared" si="11"/>
        <v>0.86207135497053755</v>
      </c>
      <c r="AY24" s="42"/>
    </row>
    <row r="25" spans="1:53" s="2" customFormat="1" ht="32.4" customHeight="1" outlineLevel="2">
      <c r="A25" s="238"/>
      <c r="B25" s="7" t="s">
        <v>25</v>
      </c>
      <c r="C25" s="114">
        <v>8000</v>
      </c>
      <c r="D25" s="113"/>
      <c r="E25" s="106">
        <f t="shared" si="0"/>
        <v>8000</v>
      </c>
      <c r="F25" s="177">
        <f t="shared" si="1"/>
        <v>2.5038985073785255E-3</v>
      </c>
      <c r="G25" s="161"/>
      <c r="H25" s="113"/>
      <c r="I25" s="41">
        <f t="shared" si="12"/>
        <v>0</v>
      </c>
      <c r="J25" s="178"/>
      <c r="K25" s="291"/>
      <c r="L25" s="161"/>
      <c r="M25" s="113"/>
      <c r="N25" s="41">
        <f t="shared" si="13"/>
        <v>0</v>
      </c>
      <c r="O25" s="178">
        <f t="shared" si="2"/>
        <v>0</v>
      </c>
      <c r="P25" s="291"/>
      <c r="Q25" s="161"/>
      <c r="R25" s="113">
        <v>650</v>
      </c>
      <c r="S25" s="41">
        <f t="shared" si="14"/>
        <v>650</v>
      </c>
      <c r="T25" s="178">
        <f t="shared" si="3"/>
        <v>2.4788979822224599E-3</v>
      </c>
      <c r="U25" s="291" t="s">
        <v>213</v>
      </c>
      <c r="V25" s="161">
        <f>4359.16*1.2</f>
        <v>5230.9919999999993</v>
      </c>
      <c r="W25" s="113">
        <v>400</v>
      </c>
      <c r="X25" s="41">
        <f t="shared" si="15"/>
        <v>5630.9919999999993</v>
      </c>
      <c r="Y25" s="178">
        <f t="shared" si="4"/>
        <v>3.5045423220562105E-3</v>
      </c>
      <c r="Z25" s="291" t="s">
        <v>230</v>
      </c>
      <c r="AA25" s="161"/>
      <c r="AB25" s="113"/>
      <c r="AC25" s="41">
        <f t="shared" si="16"/>
        <v>0</v>
      </c>
      <c r="AD25" s="178">
        <f t="shared" si="5"/>
        <v>0</v>
      </c>
      <c r="AE25" s="291"/>
      <c r="AF25" s="161"/>
      <c r="AG25" s="113"/>
      <c r="AH25" s="41">
        <f t="shared" si="17"/>
        <v>0</v>
      </c>
      <c r="AI25" s="178">
        <f t="shared" si="18"/>
        <v>0</v>
      </c>
      <c r="AJ25" s="291"/>
      <c r="AK25" s="161"/>
      <c r="AL25" s="113"/>
      <c r="AM25" s="41">
        <f t="shared" si="19"/>
        <v>0</v>
      </c>
      <c r="AN25" s="178">
        <f t="shared" si="6"/>
        <v>0</v>
      </c>
      <c r="AO25" s="291"/>
      <c r="AP25" s="39">
        <f t="shared" si="22"/>
        <v>5230.9919999999993</v>
      </c>
      <c r="AQ25" s="39">
        <f t="shared" si="23"/>
        <v>1050</v>
      </c>
      <c r="AR25" s="210">
        <f t="shared" si="20"/>
        <v>6280.9919999999993</v>
      </c>
      <c r="AS25" s="178">
        <f t="shared" si="8"/>
        <v>1.5794833937433151E-3</v>
      </c>
      <c r="AT25" s="42"/>
      <c r="AU25" s="210">
        <f t="shared" si="9"/>
        <v>2769.0080000000007</v>
      </c>
      <c r="AV25" s="210">
        <f t="shared" si="10"/>
        <v>-1050</v>
      </c>
      <c r="AW25" s="210">
        <f t="shared" si="21"/>
        <v>1719.0080000000007</v>
      </c>
      <c r="AX25" s="178">
        <f t="shared" si="11"/>
        <v>-2.1666154421168837E-3</v>
      </c>
      <c r="AY25" s="42"/>
      <c r="AZ25" s="227"/>
      <c r="BA25" s="227"/>
    </row>
    <row r="26" spans="1:53" s="226" customFormat="1" ht="51" customHeight="1" outlineLevel="2">
      <c r="A26" s="238"/>
      <c r="B26" s="262" t="s">
        <v>52</v>
      </c>
      <c r="C26" s="114">
        <v>45040</v>
      </c>
      <c r="D26" s="113"/>
      <c r="E26" s="106">
        <f t="shared" si="0"/>
        <v>45040</v>
      </c>
      <c r="F26" s="177">
        <f t="shared" si="1"/>
        <v>1.4096948596541099E-2</v>
      </c>
      <c r="G26" s="161"/>
      <c r="H26" s="113"/>
      <c r="I26" s="41">
        <f t="shared" si="12"/>
        <v>0</v>
      </c>
      <c r="J26" s="178"/>
      <c r="K26" s="291"/>
      <c r="L26" s="161"/>
      <c r="M26" s="113">
        <f>950+(4.83*1.2)</f>
        <v>955.79600000000005</v>
      </c>
      <c r="N26" s="41">
        <f t="shared" si="13"/>
        <v>955.79600000000005</v>
      </c>
      <c r="O26" s="178">
        <f t="shared" si="2"/>
        <v>9.4658546833137857E-4</v>
      </c>
      <c r="P26" s="291" t="s">
        <v>198</v>
      </c>
      <c r="Q26" s="161"/>
      <c r="R26" s="113">
        <v>120</v>
      </c>
      <c r="S26" s="41">
        <f t="shared" si="14"/>
        <v>120</v>
      </c>
      <c r="T26" s="178">
        <f t="shared" si="3"/>
        <v>4.5764270441030035E-4</v>
      </c>
      <c r="U26" s="291" t="s">
        <v>211</v>
      </c>
      <c r="V26" s="161">
        <f>64.83*1.2</f>
        <v>77.795999999999992</v>
      </c>
      <c r="W26" s="113">
        <v>305</v>
      </c>
      <c r="X26" s="41">
        <f t="shared" si="15"/>
        <v>382.79599999999999</v>
      </c>
      <c r="Y26" s="178">
        <f t="shared" si="4"/>
        <v>2.3823951138872678E-4</v>
      </c>
      <c r="Z26" s="291" t="s">
        <v>232</v>
      </c>
      <c r="AA26" s="161"/>
      <c r="AB26" s="113">
        <v>500</v>
      </c>
      <c r="AC26" s="41">
        <f t="shared" si="16"/>
        <v>500</v>
      </c>
      <c r="AD26" s="178">
        <f t="shared" si="5"/>
        <v>7.3493881796072886E-4</v>
      </c>
      <c r="AE26" s="291" t="s">
        <v>244</v>
      </c>
      <c r="AF26" s="161"/>
      <c r="AG26" s="113"/>
      <c r="AH26" s="41">
        <f t="shared" si="17"/>
        <v>0</v>
      </c>
      <c r="AI26" s="178">
        <f t="shared" si="18"/>
        <v>0</v>
      </c>
      <c r="AJ26" s="291"/>
      <c r="AK26" s="161"/>
      <c r="AL26" s="113"/>
      <c r="AM26" s="41">
        <f t="shared" si="19"/>
        <v>0</v>
      </c>
      <c r="AN26" s="178">
        <f t="shared" si="6"/>
        <v>0</v>
      </c>
      <c r="AO26" s="291"/>
      <c r="AP26" s="39">
        <f t="shared" si="22"/>
        <v>77.795999999999992</v>
      </c>
      <c r="AQ26" s="39">
        <f t="shared" si="23"/>
        <v>1880.796</v>
      </c>
      <c r="AR26" s="210">
        <f t="shared" si="20"/>
        <v>1958.5920000000001</v>
      </c>
      <c r="AS26" s="178">
        <f t="shared" si="8"/>
        <v>4.9252785851637885E-4</v>
      </c>
      <c r="AT26" s="42"/>
      <c r="AU26" s="210">
        <f t="shared" si="9"/>
        <v>44962.203999999998</v>
      </c>
      <c r="AV26" s="210">
        <f t="shared" si="10"/>
        <v>-1880.796</v>
      </c>
      <c r="AW26" s="210">
        <f t="shared" si="21"/>
        <v>43081.407999999996</v>
      </c>
      <c r="AX26" s="178">
        <f t="shared" si="11"/>
        <v>-5.4299249241968502E-2</v>
      </c>
      <c r="AY26" s="42"/>
      <c r="AZ26" s="319"/>
    </row>
    <row r="27" spans="1:53" s="2" customFormat="1" ht="87" customHeight="1" outlineLevel="2">
      <c r="A27" s="238"/>
      <c r="B27" s="7" t="s">
        <v>31</v>
      </c>
      <c r="C27" s="114">
        <v>51600</v>
      </c>
      <c r="D27" s="113"/>
      <c r="E27" s="106">
        <f t="shared" si="0"/>
        <v>51600</v>
      </c>
      <c r="F27" s="178">
        <f t="shared" si="1"/>
        <v>1.615014537259149E-2</v>
      </c>
      <c r="G27" s="161">
        <v>2220</v>
      </c>
      <c r="H27" s="113"/>
      <c r="I27" s="41">
        <f t="shared" si="12"/>
        <v>2220</v>
      </c>
      <c r="J27" s="178">
        <f>I27/$I$87</f>
        <v>2.7950737111986083E-2</v>
      </c>
      <c r="K27" s="291" t="s">
        <v>185</v>
      </c>
      <c r="L27" s="161">
        <v>10050</v>
      </c>
      <c r="M27" s="113">
        <v>2800</v>
      </c>
      <c r="N27" s="41">
        <f t="shared" si="13"/>
        <v>12850</v>
      </c>
      <c r="O27" s="178">
        <f t="shared" si="2"/>
        <v>1.2726170927748404E-2</v>
      </c>
      <c r="P27" s="291" t="s">
        <v>194</v>
      </c>
      <c r="Q27" s="161">
        <v>7050</v>
      </c>
      <c r="R27" s="113">
        <v>200</v>
      </c>
      <c r="S27" s="41">
        <f t="shared" si="14"/>
        <v>7250</v>
      </c>
      <c r="T27" s="178">
        <f t="shared" si="3"/>
        <v>2.7649246724788978E-2</v>
      </c>
      <c r="U27" s="291" t="s">
        <v>209</v>
      </c>
      <c r="V27" s="161">
        <f>8710-260</f>
        <v>8450</v>
      </c>
      <c r="W27" s="113">
        <v>3000</v>
      </c>
      <c r="X27" s="41">
        <f t="shared" si="15"/>
        <v>11450</v>
      </c>
      <c r="Y27" s="178">
        <f t="shared" si="4"/>
        <v>7.1260995553791614E-3</v>
      </c>
      <c r="Z27" s="291" t="s">
        <v>226</v>
      </c>
      <c r="AA27" s="161">
        <v>3010</v>
      </c>
      <c r="AB27" s="113"/>
      <c r="AC27" s="41">
        <f t="shared" si="16"/>
        <v>3010</v>
      </c>
      <c r="AD27" s="178">
        <f t="shared" si="5"/>
        <v>4.4243316841235877E-3</v>
      </c>
      <c r="AE27" s="291" t="s">
        <v>241</v>
      </c>
      <c r="AF27" s="161"/>
      <c r="AG27" s="113"/>
      <c r="AH27" s="41">
        <f t="shared" si="17"/>
        <v>0</v>
      </c>
      <c r="AI27" s="178">
        <f>AH27/$AH$87</f>
        <v>0</v>
      </c>
      <c r="AJ27" s="291"/>
      <c r="AK27" s="161"/>
      <c r="AL27" s="113"/>
      <c r="AM27" s="41">
        <f t="shared" si="19"/>
        <v>0</v>
      </c>
      <c r="AN27" s="178">
        <f t="shared" si="6"/>
        <v>0</v>
      </c>
      <c r="AO27" s="291"/>
      <c r="AP27" s="39">
        <f t="shared" si="22"/>
        <v>30780</v>
      </c>
      <c r="AQ27" s="39">
        <f t="shared" si="23"/>
        <v>6000</v>
      </c>
      <c r="AR27" s="210">
        <f t="shared" si="20"/>
        <v>36780</v>
      </c>
      <c r="AS27" s="178">
        <f t="shared" si="8"/>
        <v>9.2490802761536935E-3</v>
      </c>
      <c r="AT27" s="79"/>
      <c r="AU27" s="210">
        <f t="shared" si="9"/>
        <v>20820</v>
      </c>
      <c r="AV27" s="210">
        <f t="shared" si="10"/>
        <v>-6000</v>
      </c>
      <c r="AW27" s="210">
        <f t="shared" si="21"/>
        <v>14820</v>
      </c>
      <c r="AX27" s="178">
        <f t="shared" si="11"/>
        <v>-1.8678936254032674E-2</v>
      </c>
      <c r="AY27" s="79"/>
    </row>
    <row r="28" spans="1:53" s="2" customFormat="1" ht="79.95" customHeight="1" outlineLevel="2">
      <c r="A28" s="238"/>
      <c r="B28" s="7" t="s">
        <v>62</v>
      </c>
      <c r="C28" s="114"/>
      <c r="D28" s="113">
        <v>16000</v>
      </c>
      <c r="E28" s="106">
        <f t="shared" si="0"/>
        <v>16000</v>
      </c>
      <c r="F28" s="178">
        <f t="shared" si="1"/>
        <v>5.0077970147570511E-3</v>
      </c>
      <c r="G28" s="161"/>
      <c r="H28" s="113">
        <f>3500+ 1000</f>
        <v>4500</v>
      </c>
      <c r="I28" s="41">
        <f t="shared" si="12"/>
        <v>4500</v>
      </c>
      <c r="J28" s="178"/>
      <c r="K28" s="291" t="s">
        <v>184</v>
      </c>
      <c r="L28" s="161"/>
      <c r="M28" s="113">
        <f>3500+500</f>
        <v>4000</v>
      </c>
      <c r="N28" s="41">
        <f t="shared" si="13"/>
        <v>4000</v>
      </c>
      <c r="O28" s="178">
        <f t="shared" si="2"/>
        <v>3.9614539852913322E-3</v>
      </c>
      <c r="P28" s="291" t="s">
        <v>189</v>
      </c>
      <c r="Q28" s="161"/>
      <c r="R28" s="113">
        <f>3500+800</f>
        <v>4300</v>
      </c>
      <c r="S28" s="41">
        <f t="shared" si="14"/>
        <v>4300</v>
      </c>
      <c r="T28" s="178">
        <f t="shared" si="3"/>
        <v>1.6398863574702428E-2</v>
      </c>
      <c r="U28" s="291" t="s">
        <v>223</v>
      </c>
      <c r="V28" s="161"/>
      <c r="W28" s="113">
        <v>3500</v>
      </c>
      <c r="X28" s="41">
        <f t="shared" si="15"/>
        <v>3500</v>
      </c>
      <c r="Y28" s="178">
        <f t="shared" si="4"/>
        <v>2.1782837068844599E-3</v>
      </c>
      <c r="Z28" s="291" t="s">
        <v>224</v>
      </c>
      <c r="AA28" s="161"/>
      <c r="AB28" s="113">
        <v>550</v>
      </c>
      <c r="AC28" s="41">
        <f t="shared" si="16"/>
        <v>550</v>
      </c>
      <c r="AD28" s="178">
        <f t="shared" si="5"/>
        <v>8.0843269975680175E-4</v>
      </c>
      <c r="AE28" s="291" t="s">
        <v>239</v>
      </c>
      <c r="AF28" s="161"/>
      <c r="AG28" s="113"/>
      <c r="AH28" s="41">
        <f t="shared" si="17"/>
        <v>0</v>
      </c>
      <c r="AI28" s="178">
        <f t="shared" si="18"/>
        <v>0</v>
      </c>
      <c r="AJ28" s="291"/>
      <c r="AK28" s="161"/>
      <c r="AL28" s="113"/>
      <c r="AM28" s="41">
        <f t="shared" si="19"/>
        <v>0</v>
      </c>
      <c r="AN28" s="178">
        <f t="shared" si="6"/>
        <v>0</v>
      </c>
      <c r="AO28" s="291"/>
      <c r="AP28" s="39">
        <f t="shared" si="22"/>
        <v>0</v>
      </c>
      <c r="AQ28" s="39">
        <f t="shared" si="23"/>
        <v>16850</v>
      </c>
      <c r="AR28" s="210">
        <f t="shared" si="20"/>
        <v>16850</v>
      </c>
      <c r="AS28" s="178">
        <f t="shared" si="8"/>
        <v>4.2372757654483336E-3</v>
      </c>
      <c r="AT28" s="79"/>
      <c r="AU28" s="210">
        <f t="shared" si="9"/>
        <v>0</v>
      </c>
      <c r="AV28" s="210">
        <f t="shared" si="10"/>
        <v>-850</v>
      </c>
      <c r="AW28" s="210">
        <f t="shared" si="21"/>
        <v>-850</v>
      </c>
      <c r="AX28" s="178">
        <f t="shared" si="11"/>
        <v>1.0713290024242763E-3</v>
      </c>
      <c r="AY28" s="79"/>
    </row>
    <row r="29" spans="1:53" s="2" customFormat="1" ht="108.6" customHeight="1" outlineLevel="2">
      <c r="A29" s="238"/>
      <c r="B29" s="7" t="s">
        <v>34</v>
      </c>
      <c r="C29" s="114"/>
      <c r="D29" s="113">
        <v>14000</v>
      </c>
      <c r="E29" s="106">
        <f t="shared" si="0"/>
        <v>14000</v>
      </c>
      <c r="F29" s="178">
        <f t="shared" si="1"/>
        <v>4.3818223879124197E-3</v>
      </c>
      <c r="G29" s="161"/>
      <c r="H29" s="113">
        <f>969+770</f>
        <v>1739</v>
      </c>
      <c r="I29" s="41">
        <f t="shared" si="12"/>
        <v>1739</v>
      </c>
      <c r="J29" s="178">
        <f>I29/$I$87</f>
        <v>2.1894744071055766E-2</v>
      </c>
      <c r="K29" s="291" t="s">
        <v>186</v>
      </c>
      <c r="L29" s="161"/>
      <c r="M29" s="113">
        <f>800+2900</f>
        <v>3700</v>
      </c>
      <c r="N29" s="41">
        <f t="shared" si="13"/>
        <v>3700</v>
      </c>
      <c r="O29" s="178">
        <f t="shared" si="2"/>
        <v>3.6643449363944819E-3</v>
      </c>
      <c r="P29" s="291" t="s">
        <v>196</v>
      </c>
      <c r="Q29" s="161"/>
      <c r="R29" s="113">
        <v>6358</v>
      </c>
      <c r="S29" s="41">
        <f t="shared" si="14"/>
        <v>6358</v>
      </c>
      <c r="T29" s="178">
        <f t="shared" si="3"/>
        <v>2.424743595533908E-2</v>
      </c>
      <c r="U29" s="291" t="s">
        <v>208</v>
      </c>
      <c r="V29" s="161"/>
      <c r="W29" s="113">
        <v>500</v>
      </c>
      <c r="X29" s="41">
        <f t="shared" si="15"/>
        <v>500</v>
      </c>
      <c r="Y29" s="178">
        <f t="shared" si="4"/>
        <v>3.1118338669778E-4</v>
      </c>
      <c r="Z29" s="291" t="s">
        <v>225</v>
      </c>
      <c r="AA29" s="161"/>
      <c r="AB29" s="113">
        <v>2070.38</v>
      </c>
      <c r="AC29" s="41">
        <f t="shared" si="16"/>
        <v>2070.38</v>
      </c>
      <c r="AD29" s="178">
        <f t="shared" si="5"/>
        <v>3.0432052598590676E-3</v>
      </c>
      <c r="AE29" s="291" t="s">
        <v>240</v>
      </c>
      <c r="AF29" s="161"/>
      <c r="AG29" s="113"/>
      <c r="AH29" s="41">
        <f t="shared" si="17"/>
        <v>0</v>
      </c>
      <c r="AI29" s="178">
        <f t="shared" si="18"/>
        <v>0</v>
      </c>
      <c r="AJ29" s="291"/>
      <c r="AK29" s="161"/>
      <c r="AL29" s="113"/>
      <c r="AM29" s="41">
        <f t="shared" si="19"/>
        <v>0</v>
      </c>
      <c r="AN29" s="178">
        <f t="shared" si="6"/>
        <v>0</v>
      </c>
      <c r="AO29" s="291"/>
      <c r="AP29" s="39">
        <f t="shared" si="22"/>
        <v>0</v>
      </c>
      <c r="AQ29" s="39">
        <f t="shared" si="23"/>
        <v>14367.380000000001</v>
      </c>
      <c r="AR29" s="210">
        <f t="shared" si="20"/>
        <v>14367.380000000001</v>
      </c>
      <c r="AS29" s="178">
        <f t="shared" si="8"/>
        <v>3.6129703909191149E-3</v>
      </c>
      <c r="AT29" s="79"/>
      <c r="AU29" s="210">
        <f t="shared" si="9"/>
        <v>0</v>
      </c>
      <c r="AV29" s="210">
        <f t="shared" si="10"/>
        <v>-367.38000000000102</v>
      </c>
      <c r="AW29" s="210">
        <f t="shared" si="21"/>
        <v>-367.38000000000102</v>
      </c>
      <c r="AX29" s="178">
        <f t="shared" si="11"/>
        <v>4.6304099871839023E-4</v>
      </c>
      <c r="AY29" s="79"/>
    </row>
    <row r="30" spans="1:53" s="2" customFormat="1" ht="14.4" customHeight="1" outlineLevel="2">
      <c r="A30" s="238"/>
      <c r="B30" s="32" t="s">
        <v>2</v>
      </c>
      <c r="C30" s="115"/>
      <c r="D30" s="116"/>
      <c r="E30" s="106">
        <f t="shared" si="0"/>
        <v>0</v>
      </c>
      <c r="F30" s="178">
        <f t="shared" si="1"/>
        <v>0</v>
      </c>
      <c r="G30" s="161"/>
      <c r="H30" s="116"/>
      <c r="I30" s="41">
        <f t="shared" si="12"/>
        <v>0</v>
      </c>
      <c r="J30" s="178"/>
      <c r="K30" s="290"/>
      <c r="L30" s="161"/>
      <c r="M30" s="116"/>
      <c r="N30" s="41">
        <f t="shared" si="13"/>
        <v>0</v>
      </c>
      <c r="O30" s="178">
        <f t="shared" si="2"/>
        <v>0</v>
      </c>
      <c r="P30" s="290"/>
      <c r="Q30" s="161"/>
      <c r="R30" s="116"/>
      <c r="S30" s="41">
        <f t="shared" si="14"/>
        <v>0</v>
      </c>
      <c r="T30" s="178">
        <f t="shared" si="3"/>
        <v>0</v>
      </c>
      <c r="U30" s="290"/>
      <c r="V30" s="161"/>
      <c r="W30" s="116"/>
      <c r="X30" s="41">
        <f t="shared" si="15"/>
        <v>0</v>
      </c>
      <c r="Y30" s="178">
        <f t="shared" si="4"/>
        <v>0</v>
      </c>
      <c r="Z30" s="290"/>
      <c r="AA30" s="161"/>
      <c r="AB30" s="116"/>
      <c r="AC30" s="41">
        <f t="shared" si="16"/>
        <v>0</v>
      </c>
      <c r="AD30" s="178">
        <f t="shared" si="5"/>
        <v>0</v>
      </c>
      <c r="AE30" s="290"/>
      <c r="AF30" s="161"/>
      <c r="AG30" s="116"/>
      <c r="AH30" s="41">
        <f t="shared" si="17"/>
        <v>0</v>
      </c>
      <c r="AI30" s="178">
        <f t="shared" si="18"/>
        <v>0</v>
      </c>
      <c r="AJ30" s="290"/>
      <c r="AK30" s="161"/>
      <c r="AL30" s="116"/>
      <c r="AM30" s="41">
        <f t="shared" si="19"/>
        <v>0</v>
      </c>
      <c r="AN30" s="178">
        <f t="shared" si="6"/>
        <v>0</v>
      </c>
      <c r="AO30" s="290"/>
      <c r="AP30" s="39">
        <f t="shared" si="22"/>
        <v>0</v>
      </c>
      <c r="AQ30" s="39">
        <f t="shared" si="23"/>
        <v>0</v>
      </c>
      <c r="AR30" s="210">
        <f t="shared" si="20"/>
        <v>0</v>
      </c>
      <c r="AS30" s="178">
        <f t="shared" si="8"/>
        <v>0</v>
      </c>
      <c r="AT30" s="79"/>
      <c r="AU30" s="210">
        <f t="shared" si="9"/>
        <v>0</v>
      </c>
      <c r="AV30" s="210">
        <f t="shared" si="10"/>
        <v>0</v>
      </c>
      <c r="AW30" s="210">
        <f t="shared" si="21"/>
        <v>0</v>
      </c>
      <c r="AX30" s="178">
        <f t="shared" si="11"/>
        <v>0</v>
      </c>
      <c r="AY30" s="79"/>
    </row>
    <row r="31" spans="1:53" s="2" customFormat="1" ht="52.2" customHeight="1" outlineLevel="2" thickBot="1">
      <c r="A31" s="238"/>
      <c r="B31" s="32" t="s">
        <v>75</v>
      </c>
      <c r="C31" s="115"/>
      <c r="D31" s="116">
        <v>50000</v>
      </c>
      <c r="E31" s="106">
        <f t="shared" si="0"/>
        <v>50000</v>
      </c>
      <c r="F31" s="178">
        <f t="shared" si="1"/>
        <v>1.5649365671115786E-2</v>
      </c>
      <c r="G31" s="161"/>
      <c r="H31" s="116">
        <v>1900</v>
      </c>
      <c r="I31" s="41">
        <f t="shared" si="12"/>
        <v>1900</v>
      </c>
      <c r="J31" s="178"/>
      <c r="K31" s="291" t="s">
        <v>187</v>
      </c>
      <c r="L31" s="161"/>
      <c r="M31" s="116">
        <v>1190</v>
      </c>
      <c r="N31" s="41">
        <f t="shared" si="13"/>
        <v>1190</v>
      </c>
      <c r="O31" s="178">
        <f t="shared" si="2"/>
        <v>1.1785325606241711E-3</v>
      </c>
      <c r="P31" s="291" t="s">
        <v>197</v>
      </c>
      <c r="Q31" s="161"/>
      <c r="R31" s="116"/>
      <c r="S31" s="41">
        <f t="shared" si="14"/>
        <v>0</v>
      </c>
      <c r="T31" s="178">
        <f t="shared" si="3"/>
        <v>0</v>
      </c>
      <c r="U31" s="291"/>
      <c r="V31" s="161"/>
      <c r="W31" s="116"/>
      <c r="X31" s="41">
        <f t="shared" si="15"/>
        <v>0</v>
      </c>
      <c r="Y31" s="178">
        <f t="shared" si="4"/>
        <v>0</v>
      </c>
      <c r="Z31" s="291"/>
      <c r="AA31" s="161"/>
      <c r="AB31" s="116"/>
      <c r="AC31" s="41">
        <f t="shared" si="16"/>
        <v>0</v>
      </c>
      <c r="AD31" s="178">
        <f t="shared" si="5"/>
        <v>0</v>
      </c>
      <c r="AE31" s="291"/>
      <c r="AF31" s="161"/>
      <c r="AG31" s="116"/>
      <c r="AH31" s="41">
        <f t="shared" si="17"/>
        <v>0</v>
      </c>
      <c r="AI31" s="178">
        <f t="shared" si="18"/>
        <v>0</v>
      </c>
      <c r="AJ31" s="291"/>
      <c r="AK31" s="161"/>
      <c r="AL31" s="116"/>
      <c r="AM31" s="41">
        <f t="shared" si="19"/>
        <v>0</v>
      </c>
      <c r="AN31" s="178">
        <f t="shared" si="6"/>
        <v>0</v>
      </c>
      <c r="AO31" s="291"/>
      <c r="AP31" s="39">
        <f t="shared" si="22"/>
        <v>0</v>
      </c>
      <c r="AQ31" s="39">
        <f t="shared" si="23"/>
        <v>3090</v>
      </c>
      <c r="AR31" s="210">
        <f t="shared" si="20"/>
        <v>3090</v>
      </c>
      <c r="AS31" s="178">
        <f t="shared" si="8"/>
        <v>7.7704344897539185E-4</v>
      </c>
      <c r="AT31" s="79"/>
      <c r="AU31" s="210">
        <f t="shared" si="9"/>
        <v>0</v>
      </c>
      <c r="AV31" s="210">
        <f t="shared" si="10"/>
        <v>46910</v>
      </c>
      <c r="AW31" s="210">
        <f t="shared" si="21"/>
        <v>46910</v>
      </c>
      <c r="AX31" s="178">
        <f t="shared" si="11"/>
        <v>-5.912475706320329E-2</v>
      </c>
      <c r="AY31" s="79"/>
    </row>
    <row r="32" spans="1:53" s="2" customFormat="1" ht="13.8" outlineLevel="2">
      <c r="A32" s="238"/>
      <c r="B32" s="12"/>
      <c r="C32" s="46"/>
      <c r="D32" s="47"/>
      <c r="E32" s="48"/>
      <c r="F32" s="179"/>
      <c r="G32" s="96"/>
      <c r="H32" s="48"/>
      <c r="I32" s="48"/>
      <c r="J32" s="202"/>
      <c r="K32" s="266"/>
      <c r="L32" s="96"/>
      <c r="M32" s="48"/>
      <c r="N32" s="48"/>
      <c r="O32" s="202">
        <f t="shared" si="2"/>
        <v>0</v>
      </c>
      <c r="P32" s="266"/>
      <c r="Q32" s="96"/>
      <c r="R32" s="48"/>
      <c r="S32" s="48"/>
      <c r="T32" s="202">
        <f t="shared" si="3"/>
        <v>0</v>
      </c>
      <c r="U32" s="266"/>
      <c r="V32" s="96"/>
      <c r="W32" s="48"/>
      <c r="X32" s="48"/>
      <c r="Y32" s="202">
        <f t="shared" si="4"/>
        <v>0</v>
      </c>
      <c r="Z32" s="266"/>
      <c r="AA32" s="96"/>
      <c r="AB32" s="48"/>
      <c r="AC32" s="48"/>
      <c r="AD32" s="202"/>
      <c r="AE32" s="266"/>
      <c r="AF32" s="96"/>
      <c r="AG32" s="48"/>
      <c r="AH32" s="48"/>
      <c r="AI32" s="202"/>
      <c r="AJ32" s="266"/>
      <c r="AK32" s="96"/>
      <c r="AL32" s="48"/>
      <c r="AM32" s="48"/>
      <c r="AN32" s="202">
        <f t="shared" si="6"/>
        <v>0</v>
      </c>
      <c r="AO32" s="266"/>
      <c r="AP32" s="48">
        <f>G32</f>
        <v>0</v>
      </c>
      <c r="AQ32" s="48">
        <f>H32</f>
        <v>0</v>
      </c>
      <c r="AR32" s="48"/>
      <c r="AS32" s="48"/>
      <c r="AT32" s="48"/>
      <c r="AU32" s="48"/>
      <c r="AV32" s="48"/>
      <c r="AW32" s="48"/>
      <c r="AX32" s="48"/>
      <c r="AY32" s="48"/>
    </row>
    <row r="33" spans="1:52" s="88" customFormat="1" ht="13.8" outlineLevel="1">
      <c r="A33" s="238"/>
      <c r="B33" s="89" t="s">
        <v>80</v>
      </c>
      <c r="C33" s="90">
        <f>C34</f>
        <v>0</v>
      </c>
      <c r="D33" s="90">
        <f>D34</f>
        <v>0</v>
      </c>
      <c r="E33" s="91">
        <f>E34</f>
        <v>0</v>
      </c>
      <c r="F33" s="165">
        <f>E33/$E$87</f>
        <v>0</v>
      </c>
      <c r="G33" s="90">
        <f>G34</f>
        <v>0</v>
      </c>
      <c r="H33" s="90">
        <f>H34</f>
        <v>0</v>
      </c>
      <c r="I33" s="91">
        <f>I34</f>
        <v>0</v>
      </c>
      <c r="J33" s="190"/>
      <c r="K33" s="267"/>
      <c r="L33" s="90">
        <f>L34</f>
        <v>0</v>
      </c>
      <c r="M33" s="90">
        <f>M34</f>
        <v>0</v>
      </c>
      <c r="N33" s="91">
        <f>N34</f>
        <v>0</v>
      </c>
      <c r="O33" s="190">
        <f t="shared" si="2"/>
        <v>0</v>
      </c>
      <c r="P33" s="267"/>
      <c r="Q33" s="90">
        <f>Q34</f>
        <v>0</v>
      </c>
      <c r="R33" s="90">
        <f>R34</f>
        <v>0</v>
      </c>
      <c r="S33" s="91">
        <f>S34</f>
        <v>0</v>
      </c>
      <c r="T33" s="190">
        <f t="shared" si="3"/>
        <v>0</v>
      </c>
      <c r="U33" s="267"/>
      <c r="V33" s="90">
        <f>V34</f>
        <v>0</v>
      </c>
      <c r="W33" s="90">
        <f>W34</f>
        <v>0</v>
      </c>
      <c r="X33" s="91">
        <f>X34</f>
        <v>0</v>
      </c>
      <c r="Y33" s="190">
        <f t="shared" si="4"/>
        <v>0</v>
      </c>
      <c r="Z33" s="267"/>
      <c r="AA33" s="90">
        <f>AA34</f>
        <v>0</v>
      </c>
      <c r="AB33" s="90">
        <f>AB34</f>
        <v>0</v>
      </c>
      <c r="AC33" s="91">
        <f>AC34</f>
        <v>0</v>
      </c>
      <c r="AD33" s="190">
        <f t="shared" si="5"/>
        <v>0</v>
      </c>
      <c r="AE33" s="267"/>
      <c r="AF33" s="90">
        <f>AF34</f>
        <v>0</v>
      </c>
      <c r="AG33" s="90">
        <f>AG34</f>
        <v>0</v>
      </c>
      <c r="AH33" s="91">
        <f>AH34</f>
        <v>0</v>
      </c>
      <c r="AI33" s="190">
        <f>AH33/$AC$87</f>
        <v>0</v>
      </c>
      <c r="AJ33" s="267"/>
      <c r="AK33" s="90">
        <f>AK34</f>
        <v>0</v>
      </c>
      <c r="AL33" s="90">
        <f>AL34</f>
        <v>0</v>
      </c>
      <c r="AM33" s="91">
        <f>AM34</f>
        <v>0</v>
      </c>
      <c r="AN33" s="190">
        <f t="shared" si="6"/>
        <v>0</v>
      </c>
      <c r="AO33" s="267"/>
      <c r="AP33" s="39">
        <f>G33+L33+Q33+V33+AA33+AF33+AK33</f>
        <v>0</v>
      </c>
      <c r="AQ33" s="39">
        <f>H33+M33+R33+W33+AB33+AG33+AL33</f>
        <v>0</v>
      </c>
      <c r="AR33" s="91">
        <f>AR34</f>
        <v>0</v>
      </c>
      <c r="AS33" s="91"/>
      <c r="AT33" s="91"/>
      <c r="AU33" s="90">
        <f>AU34</f>
        <v>0</v>
      </c>
      <c r="AV33" s="90">
        <f>AV34</f>
        <v>0</v>
      </c>
      <c r="AW33" s="91">
        <f>AW34</f>
        <v>0</v>
      </c>
      <c r="AX33" s="91"/>
      <c r="AY33" s="91"/>
    </row>
    <row r="34" spans="1:52" s="226" customFormat="1" ht="13.8" outlineLevel="3">
      <c r="A34" s="238"/>
      <c r="B34" s="19" t="s">
        <v>81</v>
      </c>
      <c r="C34" s="43"/>
      <c r="D34" s="49"/>
      <c r="E34" s="106">
        <f>C34+D34</f>
        <v>0</v>
      </c>
      <c r="F34" s="178">
        <f>E34/$E$87</f>
        <v>0</v>
      </c>
      <c r="G34" s="97"/>
      <c r="H34" s="45"/>
      <c r="I34" s="41">
        <f>G34+H34*1</f>
        <v>0</v>
      </c>
      <c r="J34" s="178"/>
      <c r="K34" s="265"/>
      <c r="L34" s="97"/>
      <c r="M34" s="45"/>
      <c r="N34" s="41">
        <f>L34+M34*1</f>
        <v>0</v>
      </c>
      <c r="O34" s="178">
        <f t="shared" si="2"/>
        <v>0</v>
      </c>
      <c r="P34" s="265"/>
      <c r="Q34" s="97"/>
      <c r="R34" s="45"/>
      <c r="S34" s="41">
        <f>Q34+R34*1</f>
        <v>0</v>
      </c>
      <c r="T34" s="178">
        <f t="shared" si="3"/>
        <v>0</v>
      </c>
      <c r="U34" s="265"/>
      <c r="V34" s="97"/>
      <c r="W34" s="45"/>
      <c r="X34" s="41">
        <f>V34+W34*1</f>
        <v>0</v>
      </c>
      <c r="Y34" s="178">
        <f t="shared" si="4"/>
        <v>0</v>
      </c>
      <c r="Z34" s="265"/>
      <c r="AA34" s="97"/>
      <c r="AB34" s="45"/>
      <c r="AC34" s="41">
        <f>AA34+AB34*1</f>
        <v>0</v>
      </c>
      <c r="AD34" s="178">
        <f t="shared" si="5"/>
        <v>0</v>
      </c>
      <c r="AE34" s="265"/>
      <c r="AF34" s="97"/>
      <c r="AG34" s="45"/>
      <c r="AH34" s="41">
        <f>AF34+AG34*1</f>
        <v>0</v>
      </c>
      <c r="AI34" s="178">
        <f>AH34/$AC$87</f>
        <v>0</v>
      </c>
      <c r="AJ34" s="265"/>
      <c r="AK34" s="97"/>
      <c r="AL34" s="45"/>
      <c r="AM34" s="41">
        <f>AK34+AL34*1</f>
        <v>0</v>
      </c>
      <c r="AN34" s="178">
        <f t="shared" si="6"/>
        <v>0</v>
      </c>
      <c r="AO34" s="265"/>
      <c r="AP34" s="39">
        <f>G34+L34+Q34+V34+AA34+AF34+AK34</f>
        <v>0</v>
      </c>
      <c r="AQ34" s="39">
        <f>H34+M34+R34+W34+AB34+AG34+AL34</f>
        <v>0</v>
      </c>
      <c r="AR34" s="106">
        <f>AP34+AQ34*1</f>
        <v>0</v>
      </c>
      <c r="AS34" s="178">
        <f>AR34/$AR$87</f>
        <v>0</v>
      </c>
      <c r="AT34" s="45"/>
      <c r="AU34" s="210">
        <f>C34-AP34</f>
        <v>0</v>
      </c>
      <c r="AV34" s="210">
        <f>D34-AQ34</f>
        <v>0</v>
      </c>
      <c r="AW34" s="210">
        <f>AU34+AV34*1</f>
        <v>0</v>
      </c>
      <c r="AX34" s="178">
        <f>AW34/$E$87</f>
        <v>0</v>
      </c>
      <c r="AY34" s="45"/>
    </row>
    <row r="35" spans="1:52" s="2" customFormat="1" ht="14.4" outlineLevel="1" thickBot="1">
      <c r="A35" s="4"/>
      <c r="B35" s="14"/>
      <c r="C35" s="50"/>
      <c r="D35" s="51"/>
      <c r="E35" s="52"/>
      <c r="F35" s="181"/>
      <c r="G35" s="98"/>
      <c r="H35" s="52"/>
      <c r="I35" s="52"/>
      <c r="J35" s="203"/>
      <c r="K35" s="268"/>
      <c r="L35" s="98"/>
      <c r="M35" s="52"/>
      <c r="N35" s="52"/>
      <c r="O35" s="203">
        <f t="shared" si="2"/>
        <v>0</v>
      </c>
      <c r="P35" s="268"/>
      <c r="Q35" s="98"/>
      <c r="R35" s="52"/>
      <c r="S35" s="52"/>
      <c r="T35" s="203">
        <f>S35/$N$87</f>
        <v>0</v>
      </c>
      <c r="U35" s="268"/>
      <c r="V35" s="98"/>
      <c r="W35" s="52"/>
      <c r="X35" s="52"/>
      <c r="Y35" s="203">
        <f>X35/$N$87</f>
        <v>0</v>
      </c>
      <c r="Z35" s="268"/>
      <c r="AA35" s="98"/>
      <c r="AB35" s="52"/>
      <c r="AC35" s="52"/>
      <c r="AD35" s="203">
        <f>AC35/$N$87</f>
        <v>0</v>
      </c>
      <c r="AE35" s="268"/>
      <c r="AF35" s="98"/>
      <c r="AG35" s="52"/>
      <c r="AH35" s="52"/>
      <c r="AI35" s="203">
        <f>AH35/$N$87</f>
        <v>0</v>
      </c>
      <c r="AJ35" s="268"/>
      <c r="AK35" s="98"/>
      <c r="AL35" s="52"/>
      <c r="AM35" s="52"/>
      <c r="AN35" s="203">
        <f t="shared" si="6"/>
        <v>0</v>
      </c>
      <c r="AO35" s="268"/>
      <c r="AP35" s="52">
        <f>G35</f>
        <v>0</v>
      </c>
      <c r="AQ35" s="52">
        <f>H35</f>
        <v>0</v>
      </c>
      <c r="AR35" s="52"/>
      <c r="AS35" s="52"/>
      <c r="AT35" s="52"/>
      <c r="AU35" s="52"/>
      <c r="AV35" s="52"/>
      <c r="AW35" s="52"/>
      <c r="AX35" s="52"/>
      <c r="AY35" s="52"/>
    </row>
    <row r="36" spans="1:52" ht="14.4" thickBot="1">
      <c r="A36" s="33"/>
      <c r="B36" s="34" t="s">
        <v>46</v>
      </c>
      <c r="C36" s="53">
        <f>(C5)-(C8)</f>
        <v>2533929</v>
      </c>
      <c r="D36" s="53">
        <f>(D5)-(D8)</f>
        <v>-856715</v>
      </c>
      <c r="E36" s="53">
        <f>(E5)-(E8)</f>
        <v>1677214</v>
      </c>
      <c r="F36" s="166"/>
      <c r="G36" s="53">
        <f>(G5)-(G8)</f>
        <v>-44655</v>
      </c>
      <c r="H36" s="53">
        <f>(H5)-(H8)</f>
        <v>-30403</v>
      </c>
      <c r="I36" s="53">
        <f>(I5)-(I8)</f>
        <v>-75058</v>
      </c>
      <c r="J36" s="191"/>
      <c r="K36" s="269"/>
      <c r="L36" s="53">
        <f>(L5)-(L8)</f>
        <v>-956216.47400000005</v>
      </c>
      <c r="M36" s="53">
        <f>(M5)-(M8)</f>
        <v>-43331.796000000002</v>
      </c>
      <c r="N36" s="53">
        <f>(N5)-(N8)</f>
        <v>-999548.27</v>
      </c>
      <c r="O36" s="191"/>
      <c r="P36" s="269"/>
      <c r="Q36" s="53">
        <f>(Q5)-(Q8)</f>
        <v>-218190.11000000002</v>
      </c>
      <c r="R36" s="53">
        <f>(R5)-(R8)</f>
        <v>-30888</v>
      </c>
      <c r="S36" s="53">
        <f>(S5)-(S8)</f>
        <v>-249078.11000000002</v>
      </c>
      <c r="T36" s="191"/>
      <c r="U36" s="269"/>
      <c r="V36" s="53">
        <f>(V5)-(V8)</f>
        <v>1944052.324</v>
      </c>
      <c r="W36" s="53">
        <f>(W5)-(W8)</f>
        <v>-458642</v>
      </c>
      <c r="X36" s="53">
        <f>(X5)-(X8)</f>
        <v>1485410.324</v>
      </c>
      <c r="Y36" s="191"/>
      <c r="Z36" s="269"/>
      <c r="AA36" s="53">
        <f>(AA5)-(AA8)</f>
        <v>1087250.4400000002</v>
      </c>
      <c r="AB36" s="53">
        <f>(AB5)-(AB8)</f>
        <v>-260754.52000000002</v>
      </c>
      <c r="AC36" s="53">
        <f>(AC5)-(AC8)</f>
        <v>826495.92</v>
      </c>
      <c r="AD36" s="191"/>
      <c r="AE36" s="269"/>
      <c r="AF36" s="53">
        <f>(AF5)-(AF8)</f>
        <v>467292.98731677025</v>
      </c>
      <c r="AG36" s="53">
        <f>(AG5)-(AG8)</f>
        <v>-180831.35999999999</v>
      </c>
      <c r="AH36" s="53">
        <f>(AH5)-(AH8)</f>
        <v>286461.6273167702</v>
      </c>
      <c r="AI36" s="191"/>
      <c r="AJ36" s="269"/>
      <c r="AK36" s="53">
        <f>(AK5)-(AK8)</f>
        <v>-2054.4059999999999</v>
      </c>
      <c r="AL36" s="53">
        <f>(AL5)-(AL8)</f>
        <v>-80000</v>
      </c>
      <c r="AM36" s="53">
        <f>(AM5)-(AM8)</f>
        <v>-82054.406000000003</v>
      </c>
      <c r="AN36" s="191">
        <f t="shared" si="6"/>
        <v>-0.86833213841477275</v>
      </c>
      <c r="AO36" s="269"/>
      <c r="AP36" s="53">
        <f>(AP5)-(AP8)</f>
        <v>2277479.7613167702</v>
      </c>
      <c r="AQ36" s="53">
        <f>(AQ5)-(AQ8)</f>
        <v>-1084850.676</v>
      </c>
      <c r="AR36" s="53">
        <f>(AR5)-(AR8)</f>
        <v>1192629.0853167698</v>
      </c>
      <c r="AS36" s="53"/>
      <c r="AT36" s="53"/>
      <c r="AU36" s="53">
        <f>(AU5)-(AU8)</f>
        <v>256449.23868322966</v>
      </c>
      <c r="AV36" s="53">
        <f>(AV5)-(AV8)</f>
        <v>228135.67599999998</v>
      </c>
      <c r="AW36" s="53">
        <f>(AW5)-(AW8)</f>
        <v>484584.91468322964</v>
      </c>
      <c r="AX36" s="53"/>
      <c r="AY36" s="53"/>
      <c r="AZ36" s="2"/>
    </row>
    <row r="37" spans="1:52" ht="13.8">
      <c r="A37" s="293"/>
      <c r="B37" s="15" t="s">
        <v>47</v>
      </c>
      <c r="C37" s="157">
        <f>C36/(C5)</f>
        <v>0.55193929107575856</v>
      </c>
      <c r="D37" s="157" t="e">
        <f>D36/(D5)</f>
        <v>#DIV/0!</v>
      </c>
      <c r="E37" s="158">
        <f>E36/(E5)</f>
        <v>0.36533000969732665</v>
      </c>
      <c r="F37" s="167"/>
      <c r="G37" s="157" t="e">
        <f>G36/(G5)</f>
        <v>#DIV/0!</v>
      </c>
      <c r="H37" s="157" t="e">
        <f>H36/(H5)</f>
        <v>#DIV/0!</v>
      </c>
      <c r="I37" s="158" t="e">
        <f>I36/(I5)</f>
        <v>#DIV/0!</v>
      </c>
      <c r="J37" s="192"/>
      <c r="K37" s="270"/>
      <c r="L37" s="157" t="e">
        <f>L36/(L5)</f>
        <v>#DIV/0!</v>
      </c>
      <c r="M37" s="157" t="e">
        <f>M36/(M5)</f>
        <v>#DIV/0!</v>
      </c>
      <c r="N37" s="158" t="e">
        <f>N36/(N5)</f>
        <v>#DIV/0!</v>
      </c>
      <c r="O37" s="192"/>
      <c r="P37" s="270"/>
      <c r="Q37" s="157" t="e">
        <f>Q36/(Q5)</f>
        <v>#DIV/0!</v>
      </c>
      <c r="R37" s="157" t="e">
        <f>R36/(R5)</f>
        <v>#DIV/0!</v>
      </c>
      <c r="S37" s="158" t="e">
        <f>S36/(S5)</f>
        <v>#DIV/0!</v>
      </c>
      <c r="T37" s="192" t="e">
        <f t="shared" ref="T37:T72" si="24">S37/$S$87</f>
        <v>#DIV/0!</v>
      </c>
      <c r="U37" s="270"/>
      <c r="V37" s="157">
        <f>V36/(V5)</f>
        <v>0.6426214858095739</v>
      </c>
      <c r="W37" s="157" t="e">
        <f>W36/(W5)</f>
        <v>#DIV/0!</v>
      </c>
      <c r="X37" s="158">
        <f>X36/(X5)</f>
        <v>0.49101383623343287</v>
      </c>
      <c r="Y37" s="192">
        <f>X37/$S$87</f>
        <v>1.8725741659728712E-6</v>
      </c>
      <c r="Z37" s="270"/>
      <c r="AA37" s="157">
        <f>AA36/(AA5)</f>
        <v>0.74048431557122008</v>
      </c>
      <c r="AB37" s="157" t="e">
        <f>AB36/(AB5)</f>
        <v>#DIV/0!</v>
      </c>
      <c r="AC37" s="158">
        <f>AC36/(AC5)</f>
        <v>0.56289447502417733</v>
      </c>
      <c r="AD37" s="192">
        <f>AC37/$S$87</f>
        <v>2.1467045820640065E-6</v>
      </c>
      <c r="AE37" s="270"/>
      <c r="AF37" s="157">
        <f>AF36/(AF5)</f>
        <v>0.9233261780904396</v>
      </c>
      <c r="AG37" s="157" t="e">
        <f>AG36/(AG5)</f>
        <v>#DIV/0!</v>
      </c>
      <c r="AH37" s="158">
        <f>AH36/(AH5)</f>
        <v>0.56602073367016481</v>
      </c>
      <c r="AI37" s="192">
        <f>AH37/$AH$87</f>
        <v>2.3115221577193656E-6</v>
      </c>
      <c r="AJ37" s="270"/>
      <c r="AK37" s="157" t="e">
        <f>AK36/(AK5)</f>
        <v>#DIV/0!</v>
      </c>
      <c r="AL37" s="157" t="e">
        <f>AL36/(AL5)</f>
        <v>#DIV/0!</v>
      </c>
      <c r="AM37" s="158" t="e">
        <f>AM36/(AM5)</f>
        <v>#DIV/0!</v>
      </c>
      <c r="AN37" s="192" t="e">
        <f t="shared" si="6"/>
        <v>#DIV/0!</v>
      </c>
      <c r="AO37" s="270"/>
      <c r="AP37" s="54">
        <f>AP36/(AP5)</f>
        <v>0.45553383901274469</v>
      </c>
      <c r="AQ37" s="54" t="e">
        <f>AQ36/(AQ5)</f>
        <v>#DIV/0!</v>
      </c>
      <c r="AR37" s="55">
        <f>AR36/(AR5)</f>
        <v>0.23854565690563878</v>
      </c>
      <c r="AS37" s="55"/>
      <c r="AT37" s="55"/>
      <c r="AU37" s="54">
        <f>AU36/(AU5)</f>
        <v>-0.62758583490449549</v>
      </c>
      <c r="AV37" s="54" t="e">
        <f>AV36/(AV5)</f>
        <v>#DIV/0!</v>
      </c>
      <c r="AW37" s="55">
        <f>AW36/(AW5)</f>
        <v>-1.1858823595076091</v>
      </c>
      <c r="AX37" s="55"/>
      <c r="AY37" s="55"/>
      <c r="AZ37" s="2"/>
    </row>
    <row r="38" spans="1:52" ht="14.4" outlineLevel="1" thickBot="1">
      <c r="A38" s="295"/>
      <c r="B38" s="16"/>
      <c r="C38" s="56"/>
      <c r="D38" s="57"/>
      <c r="E38" s="58"/>
      <c r="F38" s="168"/>
      <c r="G38" s="80"/>
      <c r="H38" s="80"/>
      <c r="I38" s="80"/>
      <c r="J38" s="193"/>
      <c r="K38" s="271"/>
      <c r="L38" s="80"/>
      <c r="M38" s="80"/>
      <c r="N38" s="80"/>
      <c r="O38" s="193"/>
      <c r="P38" s="271"/>
      <c r="Q38" s="80"/>
      <c r="R38" s="80"/>
      <c r="S38" s="80"/>
      <c r="T38" s="193">
        <f t="shared" si="24"/>
        <v>0</v>
      </c>
      <c r="U38" s="271"/>
      <c r="V38" s="80"/>
      <c r="W38" s="80"/>
      <c r="X38" s="80"/>
      <c r="Y38" s="193">
        <f>X38/$S$87</f>
        <v>0</v>
      </c>
      <c r="Z38" s="271"/>
      <c r="AA38" s="80"/>
      <c r="AB38" s="80"/>
      <c r="AC38" s="80"/>
      <c r="AD38" s="193">
        <f>AC38/$S$87</f>
        <v>0</v>
      </c>
      <c r="AE38" s="271"/>
      <c r="AF38" s="80"/>
      <c r="AG38" s="80"/>
      <c r="AH38" s="80"/>
      <c r="AI38" s="193">
        <f>AH38/$S$87</f>
        <v>0</v>
      </c>
      <c r="AJ38" s="271"/>
      <c r="AK38" s="80"/>
      <c r="AL38" s="80"/>
      <c r="AM38" s="80"/>
      <c r="AN38" s="193">
        <f t="shared" si="6"/>
        <v>0</v>
      </c>
      <c r="AO38" s="271"/>
      <c r="AP38" s="58"/>
      <c r="AQ38" s="58"/>
      <c r="AR38" s="58"/>
      <c r="AS38" s="58"/>
      <c r="AT38" s="58"/>
      <c r="AU38" s="58"/>
      <c r="AV38" s="58"/>
      <c r="AW38" s="58"/>
      <c r="AX38" s="58"/>
      <c r="AY38" s="58"/>
    </row>
    <row r="39" spans="1:52" ht="13.8" outlineLevel="1">
      <c r="A39" s="11"/>
      <c r="B39" s="22" t="s">
        <v>26</v>
      </c>
      <c r="C39" s="117">
        <f>SUM(C40:C46)</f>
        <v>4000</v>
      </c>
      <c r="D39" s="117">
        <f>SUM(D40:D46)</f>
        <v>5600</v>
      </c>
      <c r="E39" s="118">
        <f>SUM(E40:E46)</f>
        <v>9600</v>
      </c>
      <c r="F39" s="169">
        <f t="shared" ref="F39:F46" si="25">E39/$E$87</f>
        <v>3.0046782088542306E-3</v>
      </c>
      <c r="G39" s="117">
        <f>SUM(G40:G46)</f>
        <v>0</v>
      </c>
      <c r="H39" s="117">
        <f>SUM(H40:H46)</f>
        <v>100</v>
      </c>
      <c r="I39" s="118">
        <f>SUM(I40:I46)</f>
        <v>100</v>
      </c>
      <c r="J39" s="169">
        <f>I39/$I$87</f>
        <v>1.2590422122516253E-3</v>
      </c>
      <c r="K39" s="272"/>
      <c r="L39" s="117">
        <f>SUM(L40:L46)</f>
        <v>0</v>
      </c>
      <c r="M39" s="117">
        <f>SUM(M40:M46)</f>
        <v>50</v>
      </c>
      <c r="N39" s="118">
        <f>SUM(N40:N46)</f>
        <v>50</v>
      </c>
      <c r="O39" s="169">
        <f>N39/$I$87</f>
        <v>6.2952110612581264E-4</v>
      </c>
      <c r="P39" s="272"/>
      <c r="Q39" s="117">
        <f>SUM(Q40:Q46)</f>
        <v>1817.5</v>
      </c>
      <c r="R39" s="117">
        <f>SUM(R40:R46)</f>
        <v>0</v>
      </c>
      <c r="S39" s="118">
        <f>SUM(S40:S46)</f>
        <v>1817.5</v>
      </c>
      <c r="T39" s="169">
        <f t="shared" si="24"/>
        <v>6.9313801272143406E-3</v>
      </c>
      <c r="U39" s="272"/>
      <c r="V39" s="117">
        <f>SUM(V40:V46)</f>
        <v>2504.5</v>
      </c>
      <c r="W39" s="117">
        <f>SUM(W40:W46)</f>
        <v>0</v>
      </c>
      <c r="X39" s="118">
        <f>SUM(X40:X46)</f>
        <v>2504.5</v>
      </c>
      <c r="Y39" s="169">
        <f t="shared" ref="Y39:Y50" si="26">X39/$X$87</f>
        <v>1.5587175839691799E-3</v>
      </c>
      <c r="Z39" s="272"/>
      <c r="AA39" s="117">
        <f>SUM(AA40:AA46)</f>
        <v>0</v>
      </c>
      <c r="AB39" s="117">
        <f>SUM(AB40:AB46)</f>
        <v>0</v>
      </c>
      <c r="AC39" s="118">
        <f>SUM(AC40:AC46)</f>
        <v>0</v>
      </c>
      <c r="AD39" s="169">
        <f t="shared" ref="AD39:AD46" si="27">AC39/$AC$87</f>
        <v>0</v>
      </c>
      <c r="AE39" s="272"/>
      <c r="AF39" s="117">
        <f>SUM(AF40:AF46)</f>
        <v>0</v>
      </c>
      <c r="AG39" s="117">
        <f>SUM(AG40:AG46)</f>
        <v>0</v>
      </c>
      <c r="AH39" s="118">
        <f>SUM(AH40:AH46)</f>
        <v>0</v>
      </c>
      <c r="AI39" s="169">
        <f t="shared" ref="AI39:AI46" si="28">AH39/$AC$87</f>
        <v>0</v>
      </c>
      <c r="AJ39" s="272"/>
      <c r="AK39" s="117">
        <f>SUM(AK40:AK46)</f>
        <v>0</v>
      </c>
      <c r="AL39" s="117">
        <f>SUM(AL40:AL46)</f>
        <v>0</v>
      </c>
      <c r="AM39" s="118">
        <f>SUM(AM40:AM46)</f>
        <v>0</v>
      </c>
      <c r="AN39" s="169">
        <f t="shared" si="6"/>
        <v>0</v>
      </c>
      <c r="AO39" s="272"/>
      <c r="AP39" s="117">
        <f>SUM(AP40:AP46)</f>
        <v>4322</v>
      </c>
      <c r="AQ39" s="117">
        <f>SUM(AQ40:AQ46)</f>
        <v>150</v>
      </c>
      <c r="AR39" s="118">
        <f>SUM(AR40:AR46)</f>
        <v>4472</v>
      </c>
      <c r="AS39" s="169">
        <f t="shared" ref="AS39:AS47" si="29">AR39/$AR$87</f>
        <v>1.1245755028537062E-3</v>
      </c>
      <c r="AT39" s="60"/>
      <c r="AU39" s="117">
        <f>SUM(AU40:AU46)</f>
        <v>-322</v>
      </c>
      <c r="AV39" s="117">
        <f>SUM(AV40:AV46)</f>
        <v>5450</v>
      </c>
      <c r="AW39" s="118">
        <f>SUM(AW40:AW46)</f>
        <v>5128</v>
      </c>
      <c r="AX39" s="60"/>
      <c r="AY39" s="60"/>
    </row>
    <row r="40" spans="1:52" ht="43.2" customHeight="1" outlineLevel="2">
      <c r="A40" s="4833"/>
      <c r="B40" s="18" t="s">
        <v>7</v>
      </c>
      <c r="C40" s="113"/>
      <c r="D40" s="119"/>
      <c r="E40" s="120">
        <f t="shared" ref="E40:E46" si="30">C40+D40</f>
        <v>0</v>
      </c>
      <c r="F40" s="178">
        <f t="shared" si="25"/>
        <v>0</v>
      </c>
      <c r="G40" s="78"/>
      <c r="H40" s="103"/>
      <c r="I40" s="41">
        <f t="shared" ref="I40:I46" si="31">G40+H40*1</f>
        <v>0</v>
      </c>
      <c r="J40" s="178"/>
      <c r="K40" s="265"/>
      <c r="L40" s="78"/>
      <c r="M40" s="103"/>
      <c r="N40" s="41">
        <f t="shared" ref="N40:N46" si="32">L40+M40*1</f>
        <v>0</v>
      </c>
      <c r="O40" s="178">
        <f t="shared" ref="O40:O72" si="33">N40/$N$87</f>
        <v>0</v>
      </c>
      <c r="P40" s="265"/>
      <c r="Q40" s="78"/>
      <c r="R40" s="103"/>
      <c r="S40" s="41">
        <f t="shared" ref="S40:S46" si="34">Q40+R40*1</f>
        <v>0</v>
      </c>
      <c r="T40" s="178">
        <f t="shared" si="24"/>
        <v>0</v>
      </c>
      <c r="U40" s="265"/>
      <c r="V40" s="78"/>
      <c r="W40" s="103"/>
      <c r="X40" s="41">
        <f t="shared" ref="X40:X46" si="35">V40+W40*1</f>
        <v>0</v>
      </c>
      <c r="Y40" s="178">
        <f t="shared" si="26"/>
        <v>0</v>
      </c>
      <c r="Z40" s="265"/>
      <c r="AA40" s="78"/>
      <c r="AB40" s="103"/>
      <c r="AC40" s="41">
        <f t="shared" ref="AC40:AC46" si="36">AA40+AB40*1</f>
        <v>0</v>
      </c>
      <c r="AD40" s="178">
        <f t="shared" si="27"/>
        <v>0</v>
      </c>
      <c r="AE40" s="265"/>
      <c r="AF40" s="78"/>
      <c r="AG40" s="103"/>
      <c r="AH40" s="41">
        <f t="shared" ref="AH40:AH46" si="37">AF40+AG40*1</f>
        <v>0</v>
      </c>
      <c r="AI40" s="178">
        <f t="shared" si="28"/>
        <v>0</v>
      </c>
      <c r="AJ40" s="265"/>
      <c r="AK40" s="78"/>
      <c r="AL40" s="103"/>
      <c r="AM40" s="41">
        <f t="shared" ref="AM40:AM46" si="38">AK40+AL40*1</f>
        <v>0</v>
      </c>
      <c r="AN40" s="178">
        <f t="shared" si="6"/>
        <v>0</v>
      </c>
      <c r="AO40" s="265"/>
      <c r="AP40" s="210">
        <f t="shared" ref="AP40:AQ43" si="39">G40+L40+Q40+V40</f>
        <v>0</v>
      </c>
      <c r="AQ40" s="210">
        <f t="shared" si="39"/>
        <v>0</v>
      </c>
      <c r="AR40" s="106">
        <f t="shared" ref="AR40:AR46" si="40">AP40+AQ40*1</f>
        <v>0</v>
      </c>
      <c r="AS40" s="178">
        <f t="shared" si="29"/>
        <v>0</v>
      </c>
      <c r="AT40" s="79"/>
      <c r="AU40" s="210">
        <f t="shared" ref="AU40:AV46" si="41">C40-AP40</f>
        <v>0</v>
      </c>
      <c r="AV40" s="210">
        <f t="shared" si="41"/>
        <v>0</v>
      </c>
      <c r="AW40" s="210">
        <f t="shared" ref="AW40:AW46" si="42">AU40+AV40*1</f>
        <v>0</v>
      </c>
      <c r="AX40" s="178">
        <f t="shared" ref="AX40:AX46" si="43">AW40/$E$87</f>
        <v>0</v>
      </c>
      <c r="AY40" s="79"/>
    </row>
    <row r="41" spans="1:52" ht="13.8" outlineLevel="2">
      <c r="A41" s="4833"/>
      <c r="B41" s="18" t="s">
        <v>27</v>
      </c>
      <c r="C41" s="113"/>
      <c r="D41" s="119">
        <v>1200</v>
      </c>
      <c r="E41" s="120">
        <f t="shared" si="30"/>
        <v>1200</v>
      </c>
      <c r="F41" s="178">
        <f t="shared" si="25"/>
        <v>3.7558477610677882E-4</v>
      </c>
      <c r="G41" s="78"/>
      <c r="H41" s="103"/>
      <c r="I41" s="41">
        <f t="shared" si="31"/>
        <v>0</v>
      </c>
      <c r="J41" s="178"/>
      <c r="K41" s="291"/>
      <c r="L41" s="78"/>
      <c r="M41" s="103"/>
      <c r="N41" s="41">
        <f t="shared" si="32"/>
        <v>0</v>
      </c>
      <c r="O41" s="178">
        <f t="shared" si="33"/>
        <v>0</v>
      </c>
      <c r="P41" s="291"/>
      <c r="Q41" s="78"/>
      <c r="R41" s="103"/>
      <c r="S41" s="41">
        <f t="shared" si="34"/>
        <v>0</v>
      </c>
      <c r="T41" s="178">
        <f t="shared" si="24"/>
        <v>0</v>
      </c>
      <c r="U41" s="291"/>
      <c r="V41" s="78"/>
      <c r="W41" s="103"/>
      <c r="X41" s="41">
        <f t="shared" si="35"/>
        <v>0</v>
      </c>
      <c r="Y41" s="178">
        <f t="shared" si="26"/>
        <v>0</v>
      </c>
      <c r="Z41" s="291"/>
      <c r="AA41" s="78"/>
      <c r="AB41" s="103"/>
      <c r="AC41" s="41">
        <f t="shared" si="36"/>
        <v>0</v>
      </c>
      <c r="AD41" s="178">
        <f t="shared" si="27"/>
        <v>0</v>
      </c>
      <c r="AE41" s="291"/>
      <c r="AF41" s="78"/>
      <c r="AG41" s="103"/>
      <c r="AH41" s="41">
        <f t="shared" si="37"/>
        <v>0</v>
      </c>
      <c r="AI41" s="178">
        <f t="shared" si="28"/>
        <v>0</v>
      </c>
      <c r="AJ41" s="291"/>
      <c r="AK41" s="78"/>
      <c r="AL41" s="103"/>
      <c r="AM41" s="41">
        <f t="shared" si="38"/>
        <v>0</v>
      </c>
      <c r="AN41" s="178">
        <f t="shared" si="6"/>
        <v>0</v>
      </c>
      <c r="AO41" s="291"/>
      <c r="AP41" s="210">
        <f t="shared" si="39"/>
        <v>0</v>
      </c>
      <c r="AQ41" s="210">
        <f t="shared" si="39"/>
        <v>0</v>
      </c>
      <c r="AR41" s="106">
        <f t="shared" si="40"/>
        <v>0</v>
      </c>
      <c r="AS41" s="178">
        <f t="shared" si="29"/>
        <v>0</v>
      </c>
      <c r="AT41" s="79"/>
      <c r="AU41" s="210">
        <f t="shared" si="41"/>
        <v>0</v>
      </c>
      <c r="AV41" s="210">
        <f t="shared" si="41"/>
        <v>1200</v>
      </c>
      <c r="AW41" s="210">
        <f t="shared" si="42"/>
        <v>1200</v>
      </c>
      <c r="AX41" s="178">
        <f t="shared" si="43"/>
        <v>3.7558477610677882E-4</v>
      </c>
      <c r="AY41" s="79"/>
    </row>
    <row r="42" spans="1:52" ht="67.2" customHeight="1" outlineLevel="2">
      <c r="A42" s="4833"/>
      <c r="B42" s="19" t="s">
        <v>28</v>
      </c>
      <c r="C42" s="113"/>
      <c r="D42" s="119">
        <v>1200</v>
      </c>
      <c r="E42" s="120">
        <f t="shared" si="30"/>
        <v>1200</v>
      </c>
      <c r="F42" s="178">
        <f t="shared" si="25"/>
        <v>3.7558477610677882E-4</v>
      </c>
      <c r="G42" s="78"/>
      <c r="H42" s="103"/>
      <c r="I42" s="41">
        <f t="shared" si="31"/>
        <v>0</v>
      </c>
      <c r="J42" s="178"/>
      <c r="K42" s="291"/>
      <c r="L42" s="78"/>
      <c r="M42" s="103"/>
      <c r="N42" s="41">
        <f t="shared" si="32"/>
        <v>0</v>
      </c>
      <c r="O42" s="178">
        <f t="shared" si="33"/>
        <v>0</v>
      </c>
      <c r="P42" s="291"/>
      <c r="Q42" s="78"/>
      <c r="R42" s="103"/>
      <c r="S42" s="41">
        <f t="shared" si="34"/>
        <v>0</v>
      </c>
      <c r="T42" s="178">
        <f t="shared" si="24"/>
        <v>0</v>
      </c>
      <c r="U42" s="291"/>
      <c r="V42" s="78"/>
      <c r="W42" s="103"/>
      <c r="X42" s="41">
        <f t="shared" si="35"/>
        <v>0</v>
      </c>
      <c r="Y42" s="178">
        <f t="shared" si="26"/>
        <v>0</v>
      </c>
      <c r="Z42" s="291"/>
      <c r="AA42" s="78"/>
      <c r="AB42" s="103"/>
      <c r="AC42" s="41">
        <f t="shared" si="36"/>
        <v>0</v>
      </c>
      <c r="AD42" s="178">
        <f t="shared" si="27"/>
        <v>0</v>
      </c>
      <c r="AE42" s="291"/>
      <c r="AF42" s="78"/>
      <c r="AG42" s="103"/>
      <c r="AH42" s="41">
        <f t="shared" si="37"/>
        <v>0</v>
      </c>
      <c r="AI42" s="178">
        <f t="shared" si="28"/>
        <v>0</v>
      </c>
      <c r="AJ42" s="291"/>
      <c r="AK42" s="78"/>
      <c r="AL42" s="103"/>
      <c r="AM42" s="41">
        <f t="shared" si="38"/>
        <v>0</v>
      </c>
      <c r="AN42" s="178">
        <f t="shared" si="6"/>
        <v>0</v>
      </c>
      <c r="AO42" s="291"/>
      <c r="AP42" s="210">
        <f t="shared" si="39"/>
        <v>0</v>
      </c>
      <c r="AQ42" s="210">
        <f t="shared" si="39"/>
        <v>0</v>
      </c>
      <c r="AR42" s="106">
        <f t="shared" si="40"/>
        <v>0</v>
      </c>
      <c r="AS42" s="178">
        <f t="shared" si="29"/>
        <v>0</v>
      </c>
      <c r="AT42" s="79"/>
      <c r="AU42" s="210">
        <f t="shared" si="41"/>
        <v>0</v>
      </c>
      <c r="AV42" s="210">
        <f t="shared" si="41"/>
        <v>1200</v>
      </c>
      <c r="AW42" s="210">
        <f t="shared" si="42"/>
        <v>1200</v>
      </c>
      <c r="AX42" s="178">
        <f t="shared" si="43"/>
        <v>3.7558477610677882E-4</v>
      </c>
      <c r="AY42" s="79"/>
    </row>
    <row r="43" spans="1:52" ht="13.8" outlineLevel="2">
      <c r="A43" s="4833"/>
      <c r="B43" s="18" t="s">
        <v>8</v>
      </c>
      <c r="C43" s="113">
        <v>4000</v>
      </c>
      <c r="D43" s="119"/>
      <c r="E43" s="120">
        <f t="shared" si="30"/>
        <v>4000</v>
      </c>
      <c r="F43" s="178">
        <f t="shared" si="25"/>
        <v>1.2519492536892628E-3</v>
      </c>
      <c r="G43" s="78"/>
      <c r="H43" s="103"/>
      <c r="I43" s="41">
        <f t="shared" si="31"/>
        <v>0</v>
      </c>
      <c r="J43" s="178"/>
      <c r="K43" s="291"/>
      <c r="L43" s="78"/>
      <c r="M43" s="103"/>
      <c r="N43" s="41">
        <f t="shared" si="32"/>
        <v>0</v>
      </c>
      <c r="O43" s="178">
        <f t="shared" si="33"/>
        <v>0</v>
      </c>
      <c r="P43" s="291"/>
      <c r="Q43" s="78"/>
      <c r="R43" s="103"/>
      <c r="S43" s="41">
        <f t="shared" si="34"/>
        <v>0</v>
      </c>
      <c r="T43" s="178">
        <f t="shared" si="24"/>
        <v>0</v>
      </c>
      <c r="U43" s="291"/>
      <c r="V43" s="78"/>
      <c r="W43" s="103"/>
      <c r="X43" s="41">
        <f t="shared" si="35"/>
        <v>0</v>
      </c>
      <c r="Y43" s="178">
        <f t="shared" si="26"/>
        <v>0</v>
      </c>
      <c r="Z43" s="291"/>
      <c r="AA43" s="78"/>
      <c r="AB43" s="103"/>
      <c r="AC43" s="41">
        <f t="shared" si="36"/>
        <v>0</v>
      </c>
      <c r="AD43" s="178">
        <f t="shared" si="27"/>
        <v>0</v>
      </c>
      <c r="AE43" s="291"/>
      <c r="AF43" s="78"/>
      <c r="AG43" s="103"/>
      <c r="AH43" s="41">
        <f t="shared" si="37"/>
        <v>0</v>
      </c>
      <c r="AI43" s="178">
        <f t="shared" si="28"/>
        <v>0</v>
      </c>
      <c r="AJ43" s="291"/>
      <c r="AK43" s="78"/>
      <c r="AL43" s="103"/>
      <c r="AM43" s="41">
        <f t="shared" si="38"/>
        <v>0</v>
      </c>
      <c r="AN43" s="178">
        <f t="shared" si="6"/>
        <v>0</v>
      </c>
      <c r="AO43" s="291"/>
      <c r="AP43" s="210">
        <f t="shared" si="39"/>
        <v>0</v>
      </c>
      <c r="AQ43" s="210">
        <f t="shared" si="39"/>
        <v>0</v>
      </c>
      <c r="AR43" s="106">
        <f t="shared" si="40"/>
        <v>0</v>
      </c>
      <c r="AS43" s="178">
        <f t="shared" si="29"/>
        <v>0</v>
      </c>
      <c r="AT43" s="79"/>
      <c r="AU43" s="210">
        <f t="shared" si="41"/>
        <v>4000</v>
      </c>
      <c r="AV43" s="210">
        <f t="shared" si="41"/>
        <v>0</v>
      </c>
      <c r="AW43" s="210">
        <f t="shared" si="42"/>
        <v>4000</v>
      </c>
      <c r="AX43" s="178">
        <f t="shared" si="43"/>
        <v>1.2519492536892628E-3</v>
      </c>
      <c r="AY43" s="79"/>
    </row>
    <row r="44" spans="1:52" ht="13.8" outlineLevel="2">
      <c r="A44" s="4833"/>
      <c r="B44" s="18" t="s">
        <v>29</v>
      </c>
      <c r="C44" s="113"/>
      <c r="D44" s="119"/>
      <c r="E44" s="120">
        <f t="shared" si="30"/>
        <v>0</v>
      </c>
      <c r="F44" s="178">
        <f t="shared" si="25"/>
        <v>0</v>
      </c>
      <c r="G44" s="78"/>
      <c r="H44" s="103"/>
      <c r="I44" s="41">
        <f t="shared" si="31"/>
        <v>0</v>
      </c>
      <c r="J44" s="178"/>
      <c r="K44" s="265"/>
      <c r="L44" s="78"/>
      <c r="M44" s="103"/>
      <c r="N44" s="41">
        <f t="shared" si="32"/>
        <v>0</v>
      </c>
      <c r="O44" s="178">
        <f t="shared" si="33"/>
        <v>0</v>
      </c>
      <c r="P44" s="265"/>
      <c r="Q44" s="78"/>
      <c r="R44" s="103"/>
      <c r="S44" s="41">
        <f t="shared" si="34"/>
        <v>0</v>
      </c>
      <c r="T44" s="178">
        <f t="shared" si="24"/>
        <v>0</v>
      </c>
      <c r="U44" s="265"/>
      <c r="V44" s="78"/>
      <c r="W44" s="103"/>
      <c r="X44" s="41">
        <f t="shared" si="35"/>
        <v>0</v>
      </c>
      <c r="Y44" s="178">
        <f t="shared" si="26"/>
        <v>0</v>
      </c>
      <c r="Z44" s="265"/>
      <c r="AA44" s="78"/>
      <c r="AB44" s="103"/>
      <c r="AC44" s="41">
        <f t="shared" si="36"/>
        <v>0</v>
      </c>
      <c r="AD44" s="178">
        <f t="shared" si="27"/>
        <v>0</v>
      </c>
      <c r="AE44" s="265"/>
      <c r="AF44" s="78"/>
      <c r="AG44" s="103"/>
      <c r="AH44" s="41">
        <f t="shared" si="37"/>
        <v>0</v>
      </c>
      <c r="AI44" s="178">
        <f t="shared" si="28"/>
        <v>0</v>
      </c>
      <c r="AJ44" s="265"/>
      <c r="AK44" s="78"/>
      <c r="AL44" s="103"/>
      <c r="AM44" s="41">
        <f t="shared" si="38"/>
        <v>0</v>
      </c>
      <c r="AN44" s="178">
        <f t="shared" si="6"/>
        <v>0</v>
      </c>
      <c r="AO44" s="265"/>
      <c r="AP44" s="39">
        <f t="shared" ref="AP44:AQ46" si="44">G44+L44+Q44+V44+AA44+AF44+AK44</f>
        <v>0</v>
      </c>
      <c r="AQ44" s="39">
        <f t="shared" si="44"/>
        <v>0</v>
      </c>
      <c r="AR44" s="106">
        <f t="shared" si="40"/>
        <v>0</v>
      </c>
      <c r="AS44" s="178">
        <f t="shared" si="29"/>
        <v>0</v>
      </c>
      <c r="AT44" s="79"/>
      <c r="AU44" s="210">
        <f t="shared" si="41"/>
        <v>0</v>
      </c>
      <c r="AV44" s="210">
        <f t="shared" si="41"/>
        <v>0</v>
      </c>
      <c r="AW44" s="210">
        <f t="shared" si="42"/>
        <v>0</v>
      </c>
      <c r="AX44" s="178">
        <f t="shared" si="43"/>
        <v>0</v>
      </c>
      <c r="AY44" s="79"/>
    </row>
    <row r="45" spans="1:52" ht="13.8" outlineLevel="2">
      <c r="A45" s="4833"/>
      <c r="B45" s="18" t="s">
        <v>30</v>
      </c>
      <c r="C45" s="113"/>
      <c r="D45" s="119">
        <v>1200</v>
      </c>
      <c r="E45" s="120">
        <f t="shared" si="30"/>
        <v>1200</v>
      </c>
      <c r="F45" s="178">
        <f t="shared" si="25"/>
        <v>3.7558477610677882E-4</v>
      </c>
      <c r="G45" s="78"/>
      <c r="H45" s="103">
        <v>100</v>
      </c>
      <c r="I45" s="41">
        <f t="shared" si="31"/>
        <v>100</v>
      </c>
      <c r="J45" s="178"/>
      <c r="K45" s="265"/>
      <c r="L45" s="78"/>
      <c r="M45" s="103"/>
      <c r="N45" s="41">
        <f t="shared" si="32"/>
        <v>0</v>
      </c>
      <c r="O45" s="178">
        <f t="shared" si="33"/>
        <v>0</v>
      </c>
      <c r="P45" s="265"/>
      <c r="Q45" s="78">
        <v>1817.5</v>
      </c>
      <c r="R45" s="103"/>
      <c r="S45" s="41">
        <f t="shared" si="34"/>
        <v>1817.5</v>
      </c>
      <c r="T45" s="178">
        <f t="shared" si="24"/>
        <v>6.9313801272143406E-3</v>
      </c>
      <c r="U45" s="265" t="s">
        <v>135</v>
      </c>
      <c r="V45" s="78">
        <v>2504.5</v>
      </c>
      <c r="W45" s="103"/>
      <c r="X45" s="41">
        <f t="shared" si="35"/>
        <v>2504.5</v>
      </c>
      <c r="Y45" s="178">
        <f t="shared" si="26"/>
        <v>1.5587175839691799E-3</v>
      </c>
      <c r="Z45" s="291" t="s">
        <v>229</v>
      </c>
      <c r="AA45" s="78"/>
      <c r="AB45" s="103"/>
      <c r="AC45" s="41">
        <f t="shared" si="36"/>
        <v>0</v>
      </c>
      <c r="AD45" s="178">
        <f t="shared" si="27"/>
        <v>0</v>
      </c>
      <c r="AE45" s="291"/>
      <c r="AF45" s="78"/>
      <c r="AG45" s="103"/>
      <c r="AH45" s="41">
        <f t="shared" si="37"/>
        <v>0</v>
      </c>
      <c r="AI45" s="178">
        <f t="shared" si="28"/>
        <v>0</v>
      </c>
      <c r="AJ45" s="291"/>
      <c r="AK45" s="78"/>
      <c r="AL45" s="103"/>
      <c r="AM45" s="41">
        <f t="shared" si="38"/>
        <v>0</v>
      </c>
      <c r="AN45" s="178">
        <f t="shared" si="6"/>
        <v>0</v>
      </c>
      <c r="AO45" s="291"/>
      <c r="AP45" s="39">
        <f t="shared" si="44"/>
        <v>4322</v>
      </c>
      <c r="AQ45" s="39">
        <f t="shared" si="44"/>
        <v>100</v>
      </c>
      <c r="AR45" s="106">
        <f t="shared" si="40"/>
        <v>4422</v>
      </c>
      <c r="AS45" s="178">
        <f t="shared" si="29"/>
        <v>1.1120019842618713E-3</v>
      </c>
      <c r="AT45" s="79"/>
      <c r="AU45" s="210">
        <f t="shared" si="41"/>
        <v>-4322</v>
      </c>
      <c r="AV45" s="210">
        <f t="shared" si="41"/>
        <v>1100</v>
      </c>
      <c r="AW45" s="210">
        <f t="shared" si="42"/>
        <v>-3222</v>
      </c>
      <c r="AX45" s="178">
        <f t="shared" si="43"/>
        <v>-1.0084451238467011E-3</v>
      </c>
      <c r="AY45" s="79"/>
    </row>
    <row r="46" spans="1:52" ht="13.8" outlineLevel="2">
      <c r="A46" s="4833"/>
      <c r="B46" s="18" t="s">
        <v>15</v>
      </c>
      <c r="C46" s="113"/>
      <c r="D46" s="119">
        <v>2000</v>
      </c>
      <c r="E46" s="120">
        <f t="shared" si="30"/>
        <v>2000</v>
      </c>
      <c r="F46" s="178">
        <f t="shared" si="25"/>
        <v>6.2597462684463138E-4</v>
      </c>
      <c r="G46" s="78"/>
      <c r="H46" s="103"/>
      <c r="I46" s="41">
        <f t="shared" si="31"/>
        <v>0</v>
      </c>
      <c r="J46" s="178">
        <f>I46/$I$87</f>
        <v>0</v>
      </c>
      <c r="K46" s="265"/>
      <c r="L46" s="78"/>
      <c r="M46" s="103">
        <v>50</v>
      </c>
      <c r="N46" s="41">
        <f t="shared" si="32"/>
        <v>50</v>
      </c>
      <c r="O46" s="178">
        <f t="shared" si="33"/>
        <v>4.9518174816141647E-5</v>
      </c>
      <c r="P46" s="265"/>
      <c r="Q46" s="78"/>
      <c r="R46" s="103"/>
      <c r="S46" s="41">
        <f t="shared" si="34"/>
        <v>0</v>
      </c>
      <c r="T46" s="178">
        <f t="shared" si="24"/>
        <v>0</v>
      </c>
      <c r="U46" s="265"/>
      <c r="V46" s="78"/>
      <c r="W46" s="103"/>
      <c r="X46" s="41">
        <f t="shared" si="35"/>
        <v>0</v>
      </c>
      <c r="Y46" s="178">
        <f t="shared" si="26"/>
        <v>0</v>
      </c>
      <c r="Z46" s="265"/>
      <c r="AA46" s="78"/>
      <c r="AB46" s="103"/>
      <c r="AC46" s="41">
        <f t="shared" si="36"/>
        <v>0</v>
      </c>
      <c r="AD46" s="178">
        <f t="shared" si="27"/>
        <v>0</v>
      </c>
      <c r="AE46" s="265"/>
      <c r="AF46" s="78"/>
      <c r="AG46" s="103"/>
      <c r="AH46" s="41">
        <f t="shared" si="37"/>
        <v>0</v>
      </c>
      <c r="AI46" s="178">
        <f t="shared" si="28"/>
        <v>0</v>
      </c>
      <c r="AJ46" s="265"/>
      <c r="AK46" s="78"/>
      <c r="AL46" s="103"/>
      <c r="AM46" s="41">
        <f t="shared" si="38"/>
        <v>0</v>
      </c>
      <c r="AN46" s="178">
        <f t="shared" si="6"/>
        <v>0</v>
      </c>
      <c r="AO46" s="265"/>
      <c r="AP46" s="39">
        <f t="shared" si="44"/>
        <v>0</v>
      </c>
      <c r="AQ46" s="39">
        <f t="shared" si="44"/>
        <v>50</v>
      </c>
      <c r="AR46" s="106">
        <f t="shared" si="40"/>
        <v>50</v>
      </c>
      <c r="AS46" s="178">
        <f t="shared" si="29"/>
        <v>1.2573518591834819E-5</v>
      </c>
      <c r="AT46" s="79"/>
      <c r="AU46" s="210">
        <f t="shared" si="41"/>
        <v>0</v>
      </c>
      <c r="AV46" s="210">
        <f t="shared" si="41"/>
        <v>1950</v>
      </c>
      <c r="AW46" s="210">
        <f t="shared" si="42"/>
        <v>1950</v>
      </c>
      <c r="AX46" s="178">
        <f t="shared" si="43"/>
        <v>6.1032526117351564E-4</v>
      </c>
      <c r="AY46" s="79"/>
    </row>
    <row r="47" spans="1:52" s="2" customFormat="1" ht="14.4" outlineLevel="2" thickBot="1">
      <c r="A47" s="11"/>
      <c r="B47" s="35"/>
      <c r="C47" s="116"/>
      <c r="D47" s="121"/>
      <c r="E47" s="122"/>
      <c r="F47" s="182"/>
      <c r="G47" s="222"/>
      <c r="H47" s="223"/>
      <c r="I47" s="52"/>
      <c r="J47" s="203"/>
      <c r="K47" s="273"/>
      <c r="L47" s="222"/>
      <c r="M47" s="223"/>
      <c r="N47" s="52"/>
      <c r="O47" s="203">
        <f t="shared" si="33"/>
        <v>0</v>
      </c>
      <c r="P47" s="273"/>
      <c r="Q47" s="222"/>
      <c r="R47" s="223"/>
      <c r="S47" s="52"/>
      <c r="T47" s="203">
        <f t="shared" si="24"/>
        <v>0</v>
      </c>
      <c r="U47" s="273"/>
      <c r="V47" s="222"/>
      <c r="W47" s="223"/>
      <c r="X47" s="52"/>
      <c r="Y47" s="203">
        <f t="shared" si="26"/>
        <v>0</v>
      </c>
      <c r="Z47" s="273"/>
      <c r="AA47" s="222"/>
      <c r="AB47" s="223"/>
      <c r="AC47" s="52"/>
      <c r="AD47" s="203">
        <f>AC47/$X$87</f>
        <v>0</v>
      </c>
      <c r="AE47" s="273"/>
      <c r="AF47" s="222"/>
      <c r="AG47" s="223"/>
      <c r="AH47" s="52"/>
      <c r="AI47" s="203">
        <f>AH47/$X$87</f>
        <v>0</v>
      </c>
      <c r="AJ47" s="273"/>
      <c r="AK47" s="222"/>
      <c r="AL47" s="223"/>
      <c r="AM47" s="52"/>
      <c r="AN47" s="203">
        <f t="shared" si="6"/>
        <v>0</v>
      </c>
      <c r="AO47" s="273"/>
      <c r="AP47" s="210">
        <f>G47+L47+Q47</f>
        <v>0</v>
      </c>
      <c r="AQ47" s="210">
        <f>H47+M47+R47</f>
        <v>0</v>
      </c>
      <c r="AR47" s="52"/>
      <c r="AS47" s="178">
        <f t="shared" si="29"/>
        <v>0</v>
      </c>
      <c r="AT47" s="52"/>
      <c r="AU47" s="52"/>
      <c r="AV47" s="52"/>
      <c r="AW47" s="52"/>
      <c r="AX47" s="52"/>
      <c r="AY47" s="52"/>
    </row>
    <row r="48" spans="1:52" s="2" customFormat="1" ht="13.8" outlineLevel="1">
      <c r="A48" s="293"/>
      <c r="B48" s="17" t="s">
        <v>59</v>
      </c>
      <c r="C48" s="123"/>
      <c r="D48" s="123"/>
      <c r="E48" s="123">
        <f>SUM(E49:E50)</f>
        <v>0</v>
      </c>
      <c r="F48" s="170">
        <f>E48/$E$87</f>
        <v>0</v>
      </c>
      <c r="G48" s="123">
        <f>SUM(G49:G50)</f>
        <v>0</v>
      </c>
      <c r="H48" s="123">
        <f>SUM(H49:H50)</f>
        <v>0</v>
      </c>
      <c r="I48" s="123">
        <f>SUM(I49:I50)</f>
        <v>0</v>
      </c>
      <c r="J48" s="170"/>
      <c r="K48" s="274"/>
      <c r="L48" s="123">
        <f>SUM(L49:L50)</f>
        <v>3053.8</v>
      </c>
      <c r="M48" s="123">
        <f>SUM(M49:M50)</f>
        <v>0</v>
      </c>
      <c r="N48" s="123">
        <f>SUM(N49:N50)</f>
        <v>3053.8</v>
      </c>
      <c r="O48" s="170">
        <f t="shared" si="33"/>
        <v>3.0243720450706677E-3</v>
      </c>
      <c r="P48" s="274"/>
      <c r="Q48" s="123">
        <f>SUM(Q49:Q50)</f>
        <v>0</v>
      </c>
      <c r="R48" s="123">
        <f>SUM(R49:R50)</f>
        <v>0</v>
      </c>
      <c r="S48" s="123">
        <f>SUM(S49:S50)</f>
        <v>0</v>
      </c>
      <c r="T48" s="170">
        <f t="shared" si="24"/>
        <v>0</v>
      </c>
      <c r="U48" s="274"/>
      <c r="V48" s="123">
        <f>SUM(V49:V50)</f>
        <v>0</v>
      </c>
      <c r="W48" s="123">
        <f>SUM(W49:W50)</f>
        <v>0</v>
      </c>
      <c r="X48" s="123">
        <f>SUM(X49:X50)</f>
        <v>0</v>
      </c>
      <c r="Y48" s="170">
        <f t="shared" si="26"/>
        <v>0</v>
      </c>
      <c r="Z48" s="274"/>
      <c r="AA48" s="123">
        <f>SUM(AA49:AA50)</f>
        <v>0</v>
      </c>
      <c r="AB48" s="123">
        <f>SUM(AB49:AB50)</f>
        <v>0</v>
      </c>
      <c r="AC48" s="123">
        <f>SUM(AC49:AC50)</f>
        <v>0</v>
      </c>
      <c r="AD48" s="170">
        <f>AC48/$AC$87</f>
        <v>0</v>
      </c>
      <c r="AE48" s="274"/>
      <c r="AF48" s="123">
        <f>SUM(AF49:AF50)</f>
        <v>0</v>
      </c>
      <c r="AG48" s="123">
        <f>SUM(AG49:AG50)</f>
        <v>0</v>
      </c>
      <c r="AH48" s="123">
        <f>SUM(AH49:AH50)</f>
        <v>0</v>
      </c>
      <c r="AI48" s="170">
        <f>AH48/$AC$87</f>
        <v>0</v>
      </c>
      <c r="AJ48" s="274"/>
      <c r="AK48" s="123">
        <f>SUM(AK49:AK50)</f>
        <v>1434.8</v>
      </c>
      <c r="AL48" s="123">
        <f>SUM(AL49:AL50)</f>
        <v>0</v>
      </c>
      <c r="AM48" s="123">
        <f>SUM(AM49:AM50)</f>
        <v>1434.8</v>
      </c>
      <c r="AN48" s="170">
        <f t="shared" si="6"/>
        <v>1.5183620392030086E-2</v>
      </c>
      <c r="AO48" s="274"/>
      <c r="AP48" s="123">
        <f>AP50+AP49</f>
        <v>4488.6000000000004</v>
      </c>
      <c r="AQ48" s="123">
        <f>AQ50+AQ49</f>
        <v>0</v>
      </c>
      <c r="AR48" s="123">
        <f>SUM(AR49:AR50)</f>
        <v>4488.6000000000004</v>
      </c>
      <c r="AS48" s="60"/>
      <c r="AT48" s="60"/>
      <c r="AU48" s="59">
        <f>AU50+AU49</f>
        <v>-4488.6000000000004</v>
      </c>
      <c r="AV48" s="59">
        <f>AV50+AV49</f>
        <v>0</v>
      </c>
      <c r="AW48" s="59">
        <f>SUM(AW49:AW50)</f>
        <v>-4488.6000000000004</v>
      </c>
      <c r="AX48" s="60"/>
      <c r="AY48" s="60"/>
    </row>
    <row r="49" spans="1:53" s="226" customFormat="1" ht="13.8" outlineLevel="1">
      <c r="A49" s="234"/>
      <c r="B49" s="18" t="s">
        <v>60</v>
      </c>
      <c r="C49" s="113"/>
      <c r="D49" s="119"/>
      <c r="E49" s="119">
        <f>C49+D49</f>
        <v>0</v>
      </c>
      <c r="F49" s="180">
        <f>E49/$E$87</f>
        <v>0</v>
      </c>
      <c r="G49" s="45"/>
      <c r="H49" s="45"/>
      <c r="I49" s="41">
        <f>G49+H49*1</f>
        <v>0</v>
      </c>
      <c r="J49" s="178"/>
      <c r="K49" s="265"/>
      <c r="L49" s="45"/>
      <c r="M49" s="45"/>
      <c r="N49" s="41">
        <f>L49+M49*1</f>
        <v>0</v>
      </c>
      <c r="O49" s="178">
        <f t="shared" si="33"/>
        <v>0</v>
      </c>
      <c r="P49" s="265"/>
      <c r="Q49" s="45"/>
      <c r="R49" s="45"/>
      <c r="S49" s="41">
        <f>Q49+R49*1</f>
        <v>0</v>
      </c>
      <c r="T49" s="178">
        <f t="shared" si="24"/>
        <v>0</v>
      </c>
      <c r="U49" s="265"/>
      <c r="V49" s="45"/>
      <c r="W49" s="45"/>
      <c r="X49" s="41">
        <f>V49+W49*1</f>
        <v>0</v>
      </c>
      <c r="Y49" s="178">
        <f t="shared" si="26"/>
        <v>0</v>
      </c>
      <c r="Z49" s="265"/>
      <c r="AA49" s="45"/>
      <c r="AB49" s="45"/>
      <c r="AC49" s="41">
        <f>AA49+AB49*1</f>
        <v>0</v>
      </c>
      <c r="AD49" s="178">
        <f>AC49/$AC$87</f>
        <v>0</v>
      </c>
      <c r="AE49" s="265"/>
      <c r="AF49" s="45"/>
      <c r="AG49" s="45"/>
      <c r="AH49" s="41">
        <f>AF49+AG49*1</f>
        <v>0</v>
      </c>
      <c r="AI49" s="178">
        <f>AH49/$AC$87</f>
        <v>0</v>
      </c>
      <c r="AJ49" s="265"/>
      <c r="AK49" s="45"/>
      <c r="AL49" s="45"/>
      <c r="AM49" s="41">
        <f>AK49+AL49*1</f>
        <v>0</v>
      </c>
      <c r="AN49" s="178">
        <f t="shared" si="6"/>
        <v>0</v>
      </c>
      <c r="AO49" s="265"/>
      <c r="AP49" s="39">
        <f>G49+L49+Q49+V49+AA49+AF49+AK49</f>
        <v>0</v>
      </c>
      <c r="AQ49" s="39">
        <f>H49+M49+R49+W49+AB49+AG49+AL49</f>
        <v>0</v>
      </c>
      <c r="AR49" s="106">
        <f>AP49+AQ49*1</f>
        <v>0</v>
      </c>
      <c r="AS49" s="178">
        <f>AR49/$AR$87</f>
        <v>0</v>
      </c>
      <c r="AT49" s="45"/>
      <c r="AU49" s="210">
        <f>C49-AP49</f>
        <v>0</v>
      </c>
      <c r="AV49" s="210">
        <f>D49-AQ49</f>
        <v>0</v>
      </c>
      <c r="AW49" s="210">
        <f>AU49+AV49*1</f>
        <v>0</v>
      </c>
      <c r="AX49" s="178">
        <f>AW49/$E$87</f>
        <v>0</v>
      </c>
      <c r="AY49" s="45"/>
    </row>
    <row r="50" spans="1:53" s="235" customFormat="1" ht="13.8" outlineLevel="2">
      <c r="A50" s="234"/>
      <c r="B50" s="18" t="s">
        <v>61</v>
      </c>
      <c r="C50" s="113"/>
      <c r="D50" s="119"/>
      <c r="E50" s="119">
        <f>C50+D50</f>
        <v>0</v>
      </c>
      <c r="F50" s="180">
        <f>E50/$E$87</f>
        <v>0</v>
      </c>
      <c r="G50" s="45"/>
      <c r="H50" s="224"/>
      <c r="I50" s="41">
        <f>G50+H50*1</f>
        <v>0</v>
      </c>
      <c r="J50" s="178"/>
      <c r="K50" s="291"/>
      <c r="L50" s="45">
        <v>3053.8</v>
      </c>
      <c r="M50" s="224"/>
      <c r="N50" s="41">
        <f>L50+M50*1</f>
        <v>3053.8</v>
      </c>
      <c r="O50" s="178">
        <f t="shared" si="33"/>
        <v>3.0243720450706677E-3</v>
      </c>
      <c r="P50" s="291" t="s">
        <v>205</v>
      </c>
      <c r="Q50" s="45"/>
      <c r="R50" s="224"/>
      <c r="S50" s="41">
        <f>Q50+R50*1</f>
        <v>0</v>
      </c>
      <c r="T50" s="178">
        <f t="shared" si="24"/>
        <v>0</v>
      </c>
      <c r="U50" s="291"/>
      <c r="V50" s="45"/>
      <c r="W50" s="224"/>
      <c r="X50" s="41">
        <f>V50+W50*1</f>
        <v>0</v>
      </c>
      <c r="Y50" s="178">
        <f t="shared" si="26"/>
        <v>0</v>
      </c>
      <c r="Z50" s="291"/>
      <c r="AA50" s="45"/>
      <c r="AB50" s="224"/>
      <c r="AC50" s="41">
        <f>AA50+AB50*1</f>
        <v>0</v>
      </c>
      <c r="AD50" s="178">
        <f>AC50/$X$87</f>
        <v>0</v>
      </c>
      <c r="AE50" s="291"/>
      <c r="AF50" s="45"/>
      <c r="AG50" s="224"/>
      <c r="AH50" s="41">
        <f>AF50+AG50*1</f>
        <v>0</v>
      </c>
      <c r="AI50" s="178">
        <f>AH50/$X$87</f>
        <v>0</v>
      </c>
      <c r="AJ50" s="291"/>
      <c r="AK50" s="45">
        <v>1434.8</v>
      </c>
      <c r="AL50" s="224"/>
      <c r="AM50" s="41">
        <f>AK50+AL50*1</f>
        <v>1434.8</v>
      </c>
      <c r="AN50" s="178">
        <f t="shared" si="6"/>
        <v>1.5183620392030086E-2</v>
      </c>
      <c r="AO50" s="291"/>
      <c r="AP50" s="39">
        <f>G50+L50+Q50+V50+AA50+AF50+AK50</f>
        <v>4488.6000000000004</v>
      </c>
      <c r="AQ50" s="210">
        <f>H50+M50+R50+W50</f>
        <v>0</v>
      </c>
      <c r="AR50" s="106">
        <f>AP50+AQ50*1</f>
        <v>4488.6000000000004</v>
      </c>
      <c r="AS50" s="178">
        <f>AR50/$AR$87</f>
        <v>1.1287499110261955E-3</v>
      </c>
      <c r="AT50" s="45"/>
      <c r="AU50" s="210">
        <f>C50-AP50</f>
        <v>-4488.6000000000004</v>
      </c>
      <c r="AV50" s="210">
        <f>D50-AQ50</f>
        <v>0</v>
      </c>
      <c r="AW50" s="210">
        <f>AU50+AV50*1</f>
        <v>-4488.6000000000004</v>
      </c>
      <c r="AX50" s="178">
        <f>AW50/$E$87</f>
        <v>-1.4048748550274063E-3</v>
      </c>
      <c r="AY50" s="45"/>
    </row>
    <row r="51" spans="1:53" ht="14.4" outlineLevel="1" thickBot="1">
      <c r="A51" s="20"/>
      <c r="B51" s="21"/>
      <c r="C51" s="124"/>
      <c r="D51" s="125"/>
      <c r="E51" s="126"/>
      <c r="F51" s="183"/>
      <c r="G51" s="81"/>
      <c r="H51" s="81"/>
      <c r="I51" s="81"/>
      <c r="J51" s="204"/>
      <c r="K51" s="275"/>
      <c r="L51" s="81"/>
      <c r="M51" s="81"/>
      <c r="N51" s="81"/>
      <c r="O51" s="204">
        <f t="shared" si="33"/>
        <v>0</v>
      </c>
      <c r="P51" s="275"/>
      <c r="Q51" s="81"/>
      <c r="R51" s="81"/>
      <c r="S51" s="81"/>
      <c r="T51" s="204">
        <f t="shared" si="24"/>
        <v>0</v>
      </c>
      <c r="U51" s="275"/>
      <c r="V51" s="81"/>
      <c r="W51" s="81"/>
      <c r="X51" s="81"/>
      <c r="Y51" s="204">
        <f>X51/$S$87</f>
        <v>0</v>
      </c>
      <c r="Z51" s="275"/>
      <c r="AA51" s="81"/>
      <c r="AB51" s="81"/>
      <c r="AC51" s="81"/>
      <c r="AD51" s="204">
        <f>AC51/$S$87</f>
        <v>0</v>
      </c>
      <c r="AE51" s="275"/>
      <c r="AF51" s="81"/>
      <c r="AG51" s="81"/>
      <c r="AH51" s="81"/>
      <c r="AI51" s="204">
        <f>AH51/$S$87</f>
        <v>0</v>
      </c>
      <c r="AJ51" s="275"/>
      <c r="AK51" s="81"/>
      <c r="AL51" s="81"/>
      <c r="AM51" s="81"/>
      <c r="AN51" s="204">
        <f t="shared" si="6"/>
        <v>0</v>
      </c>
      <c r="AO51" s="275"/>
      <c r="AP51" s="210">
        <f>G51</f>
        <v>0</v>
      </c>
      <c r="AQ51" s="210">
        <f>H51</f>
        <v>0</v>
      </c>
      <c r="AR51" s="61"/>
      <c r="AS51" s="61"/>
      <c r="AT51" s="61"/>
      <c r="AU51" s="61"/>
      <c r="AV51" s="61"/>
      <c r="AW51" s="61"/>
      <c r="AX51" s="61"/>
      <c r="AY51" s="61"/>
    </row>
    <row r="52" spans="1:53" ht="13.8" outlineLevel="1">
      <c r="A52" s="236"/>
      <c r="B52" s="17" t="s">
        <v>1</v>
      </c>
      <c r="C52" s="123">
        <f>SUM(C53:C69)</f>
        <v>0</v>
      </c>
      <c r="D52" s="123">
        <f>SUM(D53:D69)</f>
        <v>4000</v>
      </c>
      <c r="E52" s="127">
        <f>SUM(E53:E69)</f>
        <v>4000</v>
      </c>
      <c r="F52" s="170">
        <f>E52/$E$87</f>
        <v>1.2519492536892628E-3</v>
      </c>
      <c r="G52" s="123">
        <f>SUM(G53:G69)</f>
        <v>0</v>
      </c>
      <c r="H52" s="123">
        <f>SUM(H53:H69)</f>
        <v>95</v>
      </c>
      <c r="I52" s="127">
        <f>SUM(I53:I69)</f>
        <v>95</v>
      </c>
      <c r="J52" s="170">
        <f t="shared" ref="J52:J61" si="45">I52/$I$87</f>
        <v>1.1960901016390441E-3</v>
      </c>
      <c r="K52" s="274"/>
      <c r="L52" s="123">
        <f>SUM(L53:L69)</f>
        <v>600</v>
      </c>
      <c r="M52" s="123">
        <f>SUM(M53:M69)</f>
        <v>495</v>
      </c>
      <c r="N52" s="127">
        <f>SUM(N53:N69)</f>
        <v>1095</v>
      </c>
      <c r="O52" s="170">
        <f t="shared" si="33"/>
        <v>1.0844480284735022E-3</v>
      </c>
      <c r="P52" s="274"/>
      <c r="Q52" s="123">
        <f>SUM(Q53:Q69)</f>
        <v>1000</v>
      </c>
      <c r="R52" s="123">
        <f>SUM(R53:R69)</f>
        <v>5373</v>
      </c>
      <c r="S52" s="127">
        <f>SUM(S53:S69)</f>
        <v>6373</v>
      </c>
      <c r="T52" s="170">
        <f t="shared" si="24"/>
        <v>2.4304641293390366E-2</v>
      </c>
      <c r="U52" s="274"/>
      <c r="V52" s="123">
        <f>SUM(V53:V69)</f>
        <v>260</v>
      </c>
      <c r="W52" s="123">
        <f>SUM(W53:W69)</f>
        <v>1481</v>
      </c>
      <c r="X52" s="127">
        <f>SUM(X53:X69)</f>
        <v>1741</v>
      </c>
      <c r="Y52" s="170">
        <f t="shared" ref="Y52:Y69" si="46">X52/$X$87</f>
        <v>1.0835405524816698E-3</v>
      </c>
      <c r="Z52" s="274"/>
      <c r="AA52" s="123">
        <f>SUM(AA53:AA69)</f>
        <v>0</v>
      </c>
      <c r="AB52" s="123">
        <f>SUM(AB53:AB69)</f>
        <v>1689.55</v>
      </c>
      <c r="AC52" s="127">
        <f>SUM(AC53:AC69)</f>
        <v>1689.55</v>
      </c>
      <c r="AD52" s="170">
        <f t="shared" ref="AD52:AD69" si="47">AC52/$AC$87</f>
        <v>2.4834317597710988E-3</v>
      </c>
      <c r="AE52" s="274"/>
      <c r="AF52" s="123">
        <f>SUM(AF53:AF69)</f>
        <v>0</v>
      </c>
      <c r="AG52" s="123">
        <f>SUM(AG53:AG69)</f>
        <v>442</v>
      </c>
      <c r="AH52" s="127">
        <f>SUM(AH53:AH69)</f>
        <v>442</v>
      </c>
      <c r="AI52" s="170">
        <f>AH52/$AH$87</f>
        <v>1.8050448206855384E-3</v>
      </c>
      <c r="AJ52" s="274"/>
      <c r="AK52" s="123">
        <f>SUM(AK53:AK69)</f>
        <v>0</v>
      </c>
      <c r="AL52" s="123">
        <f>SUM(AL53:AL69)</f>
        <v>0</v>
      </c>
      <c r="AM52" s="127">
        <f>SUM(AM53:AM69)</f>
        <v>0</v>
      </c>
      <c r="AN52" s="170">
        <f t="shared" si="6"/>
        <v>0</v>
      </c>
      <c r="AO52" s="274"/>
      <c r="AP52" s="123">
        <f>SUM(AP53:AP69)</f>
        <v>1860</v>
      </c>
      <c r="AQ52" s="123">
        <f>SUM(AQ53:AQ69)</f>
        <v>9575.5499999999993</v>
      </c>
      <c r="AR52" s="127">
        <f>SUM(AR53:AR69)</f>
        <v>11435.55</v>
      </c>
      <c r="AS52" s="169">
        <f t="shared" ref="AS52:AS70" si="48">AR52/$AR$87</f>
        <v>2.8757020106571331E-3</v>
      </c>
      <c r="AT52" s="60"/>
      <c r="AU52" s="123">
        <f>SUM(AU53:AU69)</f>
        <v>-1860</v>
      </c>
      <c r="AV52" s="123">
        <f>SUM(AV53:AV69)</f>
        <v>-5575.55</v>
      </c>
      <c r="AW52" s="127">
        <f>SUM(AW53:AW69)</f>
        <v>-7435.55</v>
      </c>
      <c r="AX52" s="170">
        <f t="shared" ref="AX52:AX66" si="49">AW52/$AW$87</f>
        <v>9.3716710164421495E-3</v>
      </c>
      <c r="AY52" s="60"/>
    </row>
    <row r="53" spans="1:53" ht="13.95" hidden="1" customHeight="1" outlineLevel="2">
      <c r="A53" s="237"/>
      <c r="B53" s="19" t="s">
        <v>77</v>
      </c>
      <c r="C53" s="113"/>
      <c r="D53" s="128"/>
      <c r="E53" s="120">
        <f t="shared" ref="E53:E69" si="50">C53+D53</f>
        <v>0</v>
      </c>
      <c r="F53" s="178">
        <f>E53/$E$87</f>
        <v>0</v>
      </c>
      <c r="G53" s="78"/>
      <c r="H53" s="161"/>
      <c r="I53" s="41">
        <f t="shared" ref="I53:I69" si="51">G53+H53*1</f>
        <v>0</v>
      </c>
      <c r="J53" s="178">
        <f t="shared" si="45"/>
        <v>0</v>
      </c>
      <c r="K53" s="291"/>
      <c r="L53" s="78"/>
      <c r="M53" s="161"/>
      <c r="N53" s="41">
        <f t="shared" ref="N53:N69" si="52">L53+M53*1</f>
        <v>0</v>
      </c>
      <c r="O53" s="178">
        <f t="shared" si="33"/>
        <v>0</v>
      </c>
      <c r="P53" s="291"/>
      <c r="Q53" s="78"/>
      <c r="R53" s="161"/>
      <c r="S53" s="41">
        <f t="shared" ref="S53:S69" si="53">Q53+R53*1</f>
        <v>0</v>
      </c>
      <c r="T53" s="178">
        <f t="shared" si="24"/>
        <v>0</v>
      </c>
      <c r="U53" s="291"/>
      <c r="V53" s="78"/>
      <c r="W53" s="161"/>
      <c r="X53" s="41">
        <f t="shared" ref="X53:X69" si="54">V53+W53*1</f>
        <v>0</v>
      </c>
      <c r="Y53" s="178">
        <f t="shared" si="46"/>
        <v>0</v>
      </c>
      <c r="Z53" s="291"/>
      <c r="AA53" s="78"/>
      <c r="AB53" s="161"/>
      <c r="AC53" s="41">
        <f t="shared" ref="AC53:AC69" si="55">AA53+AB53*1</f>
        <v>0</v>
      </c>
      <c r="AD53" s="178">
        <f t="shared" si="47"/>
        <v>0</v>
      </c>
      <c r="AE53" s="291"/>
      <c r="AF53" s="78"/>
      <c r="AG53" s="161"/>
      <c r="AH53" s="41">
        <f t="shared" ref="AH53:AH69" si="56">AF53+AG53*1</f>
        <v>0</v>
      </c>
      <c r="AI53" s="178">
        <f t="shared" ref="AI53:AI62" si="57">AH53/$AC$87</f>
        <v>0</v>
      </c>
      <c r="AJ53" s="291"/>
      <c r="AK53" s="78"/>
      <c r="AL53" s="161"/>
      <c r="AM53" s="41">
        <f t="shared" ref="AM53:AM69" si="58">AK53+AL53*1</f>
        <v>0</v>
      </c>
      <c r="AN53" s="178">
        <f t="shared" si="6"/>
        <v>0</v>
      </c>
      <c r="AO53" s="291"/>
      <c r="AP53" s="210">
        <f t="shared" ref="AP53:AP62" si="59">G53+L53</f>
        <v>0</v>
      </c>
      <c r="AQ53" s="210">
        <f t="shared" ref="AQ53:AQ62" si="60">H53+M53</f>
        <v>0</v>
      </c>
      <c r="AR53" s="106">
        <f t="shared" ref="AR53:AR69" si="61">AP53+AQ53*1</f>
        <v>0</v>
      </c>
      <c r="AS53" s="178">
        <f t="shared" si="48"/>
        <v>0</v>
      </c>
      <c r="AT53" s="79"/>
      <c r="AU53" s="210">
        <f t="shared" ref="AU53:AU72" si="62">C53-AP53</f>
        <v>0</v>
      </c>
      <c r="AV53" s="210">
        <f t="shared" ref="AV53:AV72" si="63">D53-AQ53</f>
        <v>0</v>
      </c>
      <c r="AW53" s="210">
        <f t="shared" ref="AW53:AW69" si="64">AU53+AV53*1</f>
        <v>0</v>
      </c>
      <c r="AX53" s="178">
        <f t="shared" si="49"/>
        <v>0</v>
      </c>
      <c r="AY53" s="79"/>
    </row>
    <row r="54" spans="1:53" ht="13.95" hidden="1" customHeight="1" outlineLevel="2">
      <c r="A54" s="237"/>
      <c r="B54" s="19" t="s">
        <v>76</v>
      </c>
      <c r="C54" s="113"/>
      <c r="D54" s="128"/>
      <c r="E54" s="120">
        <f t="shared" si="50"/>
        <v>0</v>
      </c>
      <c r="F54" s="178">
        <f t="shared" ref="F54:F70" si="65">E54/$E$87</f>
        <v>0</v>
      </c>
      <c r="G54" s="163"/>
      <c r="H54" s="111"/>
      <c r="I54" s="41">
        <f t="shared" si="51"/>
        <v>0</v>
      </c>
      <c r="J54" s="178">
        <f t="shared" si="45"/>
        <v>0</v>
      </c>
      <c r="K54" s="291"/>
      <c r="L54" s="163"/>
      <c r="M54" s="111"/>
      <c r="N54" s="41">
        <f t="shared" si="52"/>
        <v>0</v>
      </c>
      <c r="O54" s="178">
        <f t="shared" si="33"/>
        <v>0</v>
      </c>
      <c r="P54" s="291"/>
      <c r="Q54" s="163"/>
      <c r="R54" s="111"/>
      <c r="S54" s="41">
        <f t="shared" si="53"/>
        <v>0</v>
      </c>
      <c r="T54" s="178">
        <f t="shared" si="24"/>
        <v>0</v>
      </c>
      <c r="U54" s="291"/>
      <c r="V54" s="163"/>
      <c r="W54" s="111"/>
      <c r="X54" s="41">
        <f t="shared" si="54"/>
        <v>0</v>
      </c>
      <c r="Y54" s="178">
        <f t="shared" si="46"/>
        <v>0</v>
      </c>
      <c r="Z54" s="291"/>
      <c r="AA54" s="163"/>
      <c r="AB54" s="111"/>
      <c r="AC54" s="41">
        <f t="shared" si="55"/>
        <v>0</v>
      </c>
      <c r="AD54" s="178">
        <f t="shared" si="47"/>
        <v>0</v>
      </c>
      <c r="AE54" s="291"/>
      <c r="AF54" s="163"/>
      <c r="AG54" s="111"/>
      <c r="AH54" s="41">
        <f t="shared" si="56"/>
        <v>0</v>
      </c>
      <c r="AI54" s="178">
        <f t="shared" si="57"/>
        <v>0</v>
      </c>
      <c r="AJ54" s="291"/>
      <c r="AK54" s="163"/>
      <c r="AL54" s="111"/>
      <c r="AM54" s="41">
        <f t="shared" si="58"/>
        <v>0</v>
      </c>
      <c r="AN54" s="178">
        <f t="shared" si="6"/>
        <v>0</v>
      </c>
      <c r="AO54" s="291"/>
      <c r="AP54" s="210">
        <f t="shared" si="59"/>
        <v>0</v>
      </c>
      <c r="AQ54" s="210">
        <f t="shared" si="60"/>
        <v>0</v>
      </c>
      <c r="AR54" s="106">
        <f t="shared" si="61"/>
        <v>0</v>
      </c>
      <c r="AS54" s="178">
        <f t="shared" si="48"/>
        <v>0</v>
      </c>
      <c r="AT54" s="79"/>
      <c r="AU54" s="210">
        <f t="shared" si="62"/>
        <v>0</v>
      </c>
      <c r="AV54" s="210">
        <f t="shared" si="63"/>
        <v>0</v>
      </c>
      <c r="AW54" s="210">
        <f t="shared" si="64"/>
        <v>0</v>
      </c>
      <c r="AX54" s="178">
        <f t="shared" si="49"/>
        <v>0</v>
      </c>
      <c r="AY54" s="79"/>
    </row>
    <row r="55" spans="1:53" ht="13.95" hidden="1" customHeight="1" outlineLevel="2">
      <c r="A55" s="237"/>
      <c r="B55" s="19" t="s">
        <v>68</v>
      </c>
      <c r="C55" s="113"/>
      <c r="D55" s="128"/>
      <c r="E55" s="120">
        <f t="shared" si="50"/>
        <v>0</v>
      </c>
      <c r="F55" s="178">
        <f t="shared" si="65"/>
        <v>0</v>
      </c>
      <c r="G55" s="163"/>
      <c r="H55" s="111"/>
      <c r="I55" s="41">
        <f t="shared" si="51"/>
        <v>0</v>
      </c>
      <c r="J55" s="178">
        <f t="shared" si="45"/>
        <v>0</v>
      </c>
      <c r="K55" s="291"/>
      <c r="L55" s="163"/>
      <c r="M55" s="111"/>
      <c r="N55" s="41">
        <f t="shared" si="52"/>
        <v>0</v>
      </c>
      <c r="O55" s="178">
        <f t="shared" si="33"/>
        <v>0</v>
      </c>
      <c r="P55" s="291"/>
      <c r="Q55" s="163"/>
      <c r="R55" s="111"/>
      <c r="S55" s="41">
        <f t="shared" si="53"/>
        <v>0</v>
      </c>
      <c r="T55" s="178">
        <f t="shared" si="24"/>
        <v>0</v>
      </c>
      <c r="U55" s="291"/>
      <c r="V55" s="163"/>
      <c r="W55" s="111"/>
      <c r="X55" s="41">
        <f t="shared" si="54"/>
        <v>0</v>
      </c>
      <c r="Y55" s="178">
        <f t="shared" si="46"/>
        <v>0</v>
      </c>
      <c r="Z55" s="291"/>
      <c r="AA55" s="163"/>
      <c r="AB55" s="111"/>
      <c r="AC55" s="41">
        <f t="shared" si="55"/>
        <v>0</v>
      </c>
      <c r="AD55" s="178">
        <f t="shared" si="47"/>
        <v>0</v>
      </c>
      <c r="AE55" s="291"/>
      <c r="AF55" s="163"/>
      <c r="AG55" s="111"/>
      <c r="AH55" s="41">
        <f t="shared" si="56"/>
        <v>0</v>
      </c>
      <c r="AI55" s="178">
        <f t="shared" si="57"/>
        <v>0</v>
      </c>
      <c r="AJ55" s="291"/>
      <c r="AK55" s="163"/>
      <c r="AL55" s="111"/>
      <c r="AM55" s="41">
        <f t="shared" si="58"/>
        <v>0</v>
      </c>
      <c r="AN55" s="178">
        <f t="shared" si="6"/>
        <v>0</v>
      </c>
      <c r="AO55" s="291"/>
      <c r="AP55" s="210">
        <f t="shared" si="59"/>
        <v>0</v>
      </c>
      <c r="AQ55" s="210">
        <f t="shared" si="60"/>
        <v>0</v>
      </c>
      <c r="AR55" s="106">
        <f t="shared" si="61"/>
        <v>0</v>
      </c>
      <c r="AS55" s="178">
        <f t="shared" si="48"/>
        <v>0</v>
      </c>
      <c r="AT55" s="79"/>
      <c r="AU55" s="210">
        <f t="shared" si="62"/>
        <v>0</v>
      </c>
      <c r="AV55" s="210">
        <f t="shared" si="63"/>
        <v>0</v>
      </c>
      <c r="AW55" s="210">
        <f t="shared" si="64"/>
        <v>0</v>
      </c>
      <c r="AX55" s="178">
        <f t="shared" si="49"/>
        <v>0</v>
      </c>
      <c r="AY55" s="79"/>
    </row>
    <row r="56" spans="1:53" ht="14.4" hidden="1" customHeight="1" outlineLevel="2" thickBot="1">
      <c r="A56" s="237"/>
      <c r="B56" s="19" t="s">
        <v>67</v>
      </c>
      <c r="C56" s="113"/>
      <c r="D56" s="128"/>
      <c r="E56" s="120">
        <f t="shared" si="50"/>
        <v>0</v>
      </c>
      <c r="F56" s="178">
        <f t="shared" si="65"/>
        <v>0</v>
      </c>
      <c r="G56" s="78"/>
      <c r="H56" s="161"/>
      <c r="I56" s="41">
        <f t="shared" si="51"/>
        <v>0</v>
      </c>
      <c r="J56" s="178">
        <f t="shared" si="45"/>
        <v>0</v>
      </c>
      <c r="K56" s="291"/>
      <c r="L56" s="78"/>
      <c r="M56" s="161"/>
      <c r="N56" s="41">
        <f t="shared" si="52"/>
        <v>0</v>
      </c>
      <c r="O56" s="178">
        <f t="shared" si="33"/>
        <v>0</v>
      </c>
      <c r="P56" s="291"/>
      <c r="Q56" s="78"/>
      <c r="R56" s="161"/>
      <c r="S56" s="41">
        <f t="shared" si="53"/>
        <v>0</v>
      </c>
      <c r="T56" s="178">
        <f t="shared" si="24"/>
        <v>0</v>
      </c>
      <c r="U56" s="291"/>
      <c r="V56" s="78"/>
      <c r="W56" s="161"/>
      <c r="X56" s="41">
        <f t="shared" si="54"/>
        <v>0</v>
      </c>
      <c r="Y56" s="178">
        <f t="shared" si="46"/>
        <v>0</v>
      </c>
      <c r="Z56" s="291"/>
      <c r="AA56" s="78"/>
      <c r="AB56" s="161"/>
      <c r="AC56" s="41">
        <f t="shared" si="55"/>
        <v>0</v>
      </c>
      <c r="AD56" s="178">
        <f t="shared" si="47"/>
        <v>0</v>
      </c>
      <c r="AE56" s="291"/>
      <c r="AF56" s="78"/>
      <c r="AG56" s="161"/>
      <c r="AH56" s="41">
        <f t="shared" si="56"/>
        <v>0</v>
      </c>
      <c r="AI56" s="178">
        <f t="shared" si="57"/>
        <v>0</v>
      </c>
      <c r="AJ56" s="291"/>
      <c r="AK56" s="78"/>
      <c r="AL56" s="161"/>
      <c r="AM56" s="41">
        <f t="shared" si="58"/>
        <v>0</v>
      </c>
      <c r="AN56" s="178">
        <f t="shared" si="6"/>
        <v>0</v>
      </c>
      <c r="AO56" s="291"/>
      <c r="AP56" s="210">
        <f t="shared" si="59"/>
        <v>0</v>
      </c>
      <c r="AQ56" s="210">
        <f t="shared" si="60"/>
        <v>0</v>
      </c>
      <c r="AR56" s="106">
        <f t="shared" si="61"/>
        <v>0</v>
      </c>
      <c r="AS56" s="178">
        <f t="shared" si="48"/>
        <v>0</v>
      </c>
      <c r="AT56" s="79"/>
      <c r="AU56" s="210">
        <f t="shared" si="62"/>
        <v>0</v>
      </c>
      <c r="AV56" s="210">
        <f t="shared" si="63"/>
        <v>0</v>
      </c>
      <c r="AW56" s="210">
        <f t="shared" si="64"/>
        <v>0</v>
      </c>
      <c r="AX56" s="178">
        <f t="shared" si="49"/>
        <v>0</v>
      </c>
      <c r="AY56" s="79"/>
      <c r="AZ56" s="227"/>
      <c r="BA56"/>
    </row>
    <row r="57" spans="1:53" ht="14.4" hidden="1" customHeight="1" outlineLevel="2" thickBot="1">
      <c r="A57" s="237"/>
      <c r="B57" s="19" t="s">
        <v>66</v>
      </c>
      <c r="C57" s="113"/>
      <c r="D57" s="128"/>
      <c r="E57" s="120">
        <f t="shared" si="50"/>
        <v>0</v>
      </c>
      <c r="F57" s="178">
        <f t="shared" si="65"/>
        <v>0</v>
      </c>
      <c r="G57" s="163"/>
      <c r="H57" s="111"/>
      <c r="I57" s="41">
        <f t="shared" si="51"/>
        <v>0</v>
      </c>
      <c r="J57" s="178">
        <f t="shared" si="45"/>
        <v>0</v>
      </c>
      <c r="K57" s="291"/>
      <c r="L57" s="163"/>
      <c r="M57" s="111"/>
      <c r="N57" s="41">
        <f t="shared" si="52"/>
        <v>0</v>
      </c>
      <c r="O57" s="178">
        <f t="shared" si="33"/>
        <v>0</v>
      </c>
      <c r="P57" s="291"/>
      <c r="Q57" s="163"/>
      <c r="R57" s="111"/>
      <c r="S57" s="41">
        <f t="shared" si="53"/>
        <v>0</v>
      </c>
      <c r="T57" s="178">
        <f t="shared" si="24"/>
        <v>0</v>
      </c>
      <c r="U57" s="291"/>
      <c r="V57" s="163"/>
      <c r="W57" s="111"/>
      <c r="X57" s="41">
        <f t="shared" si="54"/>
        <v>0</v>
      </c>
      <c r="Y57" s="178">
        <f t="shared" si="46"/>
        <v>0</v>
      </c>
      <c r="Z57" s="291"/>
      <c r="AA57" s="163"/>
      <c r="AB57" s="111"/>
      <c r="AC57" s="41">
        <f t="shared" si="55"/>
        <v>0</v>
      </c>
      <c r="AD57" s="178">
        <f t="shared" si="47"/>
        <v>0</v>
      </c>
      <c r="AE57" s="291"/>
      <c r="AF57" s="163"/>
      <c r="AG57" s="111"/>
      <c r="AH57" s="41">
        <f t="shared" si="56"/>
        <v>0</v>
      </c>
      <c r="AI57" s="178">
        <f t="shared" si="57"/>
        <v>0</v>
      </c>
      <c r="AJ57" s="291"/>
      <c r="AK57" s="163"/>
      <c r="AL57" s="111"/>
      <c r="AM57" s="41">
        <f t="shared" si="58"/>
        <v>0</v>
      </c>
      <c r="AN57" s="178">
        <f t="shared" si="6"/>
        <v>0</v>
      </c>
      <c r="AO57" s="291"/>
      <c r="AP57" s="210">
        <f t="shared" si="59"/>
        <v>0</v>
      </c>
      <c r="AQ57" s="210">
        <f t="shared" si="60"/>
        <v>0</v>
      </c>
      <c r="AR57" s="106">
        <f t="shared" si="61"/>
        <v>0</v>
      </c>
      <c r="AS57" s="178">
        <f t="shared" si="48"/>
        <v>0</v>
      </c>
      <c r="AT57" s="79"/>
      <c r="AU57" s="210">
        <f t="shared" si="62"/>
        <v>0</v>
      </c>
      <c r="AV57" s="210">
        <f t="shared" si="63"/>
        <v>0</v>
      </c>
      <c r="AW57" s="210">
        <f t="shared" si="64"/>
        <v>0</v>
      </c>
      <c r="AX57" s="178">
        <f t="shared" si="49"/>
        <v>0</v>
      </c>
      <c r="AY57" s="79"/>
      <c r="AZ57" s="228"/>
      <c r="BA57" s="227"/>
    </row>
    <row r="58" spans="1:53" ht="14.4" hidden="1" customHeight="1" outlineLevel="2">
      <c r="A58" s="237"/>
      <c r="B58" s="19" t="s">
        <v>65</v>
      </c>
      <c r="C58" s="113"/>
      <c r="D58" s="128"/>
      <c r="E58" s="120">
        <f t="shared" si="50"/>
        <v>0</v>
      </c>
      <c r="F58" s="178">
        <f t="shared" si="65"/>
        <v>0</v>
      </c>
      <c r="G58" s="163"/>
      <c r="H58" s="111"/>
      <c r="I58" s="41">
        <f t="shared" si="51"/>
        <v>0</v>
      </c>
      <c r="J58" s="178">
        <f t="shared" si="45"/>
        <v>0</v>
      </c>
      <c r="K58" s="291"/>
      <c r="L58" s="163"/>
      <c r="M58" s="111"/>
      <c r="N58" s="41">
        <f t="shared" si="52"/>
        <v>0</v>
      </c>
      <c r="O58" s="178">
        <f t="shared" si="33"/>
        <v>0</v>
      </c>
      <c r="P58" s="291"/>
      <c r="Q58" s="163"/>
      <c r="R58" s="111"/>
      <c r="S58" s="41">
        <f t="shared" si="53"/>
        <v>0</v>
      </c>
      <c r="T58" s="178">
        <f t="shared" si="24"/>
        <v>0</v>
      </c>
      <c r="U58" s="291"/>
      <c r="V58" s="163"/>
      <c r="W58" s="111"/>
      <c r="X58" s="41">
        <f t="shared" si="54"/>
        <v>0</v>
      </c>
      <c r="Y58" s="178">
        <f t="shared" si="46"/>
        <v>0</v>
      </c>
      <c r="Z58" s="291"/>
      <c r="AA58" s="163"/>
      <c r="AB58" s="111"/>
      <c r="AC58" s="41">
        <f t="shared" si="55"/>
        <v>0</v>
      </c>
      <c r="AD58" s="178">
        <f t="shared" si="47"/>
        <v>0</v>
      </c>
      <c r="AE58" s="291"/>
      <c r="AF58" s="163"/>
      <c r="AG58" s="111"/>
      <c r="AH58" s="41">
        <f t="shared" si="56"/>
        <v>0</v>
      </c>
      <c r="AI58" s="178">
        <f t="shared" si="57"/>
        <v>0</v>
      </c>
      <c r="AJ58" s="291"/>
      <c r="AK58" s="163"/>
      <c r="AL58" s="111"/>
      <c r="AM58" s="41">
        <f t="shared" si="58"/>
        <v>0</v>
      </c>
      <c r="AN58" s="178">
        <f t="shared" si="6"/>
        <v>0</v>
      </c>
      <c r="AO58" s="291"/>
      <c r="AP58" s="210">
        <f t="shared" si="59"/>
        <v>0</v>
      </c>
      <c r="AQ58" s="210">
        <f t="shared" si="60"/>
        <v>0</v>
      </c>
      <c r="AR58" s="106">
        <f t="shared" si="61"/>
        <v>0</v>
      </c>
      <c r="AS58" s="178">
        <f t="shared" si="48"/>
        <v>0</v>
      </c>
      <c r="AT58" s="79"/>
      <c r="AU58" s="210">
        <f t="shared" si="62"/>
        <v>0</v>
      </c>
      <c r="AV58" s="210">
        <f t="shared" si="63"/>
        <v>0</v>
      </c>
      <c r="AW58" s="210">
        <f t="shared" si="64"/>
        <v>0</v>
      </c>
      <c r="AX58" s="178">
        <f t="shared" si="49"/>
        <v>0</v>
      </c>
      <c r="AY58" s="79"/>
    </row>
    <row r="59" spans="1:53" ht="13.95" hidden="1" customHeight="1" outlineLevel="2">
      <c r="A59" s="237"/>
      <c r="B59" s="19" t="s">
        <v>32</v>
      </c>
      <c r="C59" s="113"/>
      <c r="D59" s="128"/>
      <c r="E59" s="120">
        <f t="shared" si="50"/>
        <v>0</v>
      </c>
      <c r="F59" s="178">
        <f t="shared" si="65"/>
        <v>0</v>
      </c>
      <c r="G59" s="78"/>
      <c r="H59" s="161"/>
      <c r="I59" s="41">
        <f t="shared" si="51"/>
        <v>0</v>
      </c>
      <c r="J59" s="178">
        <f t="shared" si="45"/>
        <v>0</v>
      </c>
      <c r="K59" s="291"/>
      <c r="L59" s="78"/>
      <c r="M59" s="161"/>
      <c r="N59" s="41">
        <f t="shared" si="52"/>
        <v>0</v>
      </c>
      <c r="O59" s="178">
        <f t="shared" si="33"/>
        <v>0</v>
      </c>
      <c r="P59" s="291"/>
      <c r="Q59" s="78"/>
      <c r="R59" s="161"/>
      <c r="S59" s="41">
        <f t="shared" si="53"/>
        <v>0</v>
      </c>
      <c r="T59" s="178">
        <f t="shared" si="24"/>
        <v>0</v>
      </c>
      <c r="U59" s="291"/>
      <c r="V59" s="78"/>
      <c r="W59" s="161"/>
      <c r="X59" s="41">
        <f t="shared" si="54"/>
        <v>0</v>
      </c>
      <c r="Y59" s="178">
        <f t="shared" si="46"/>
        <v>0</v>
      </c>
      <c r="Z59" s="291"/>
      <c r="AA59" s="78"/>
      <c r="AB59" s="161"/>
      <c r="AC59" s="41">
        <f t="shared" si="55"/>
        <v>0</v>
      </c>
      <c r="AD59" s="178">
        <f t="shared" si="47"/>
        <v>0</v>
      </c>
      <c r="AE59" s="291"/>
      <c r="AF59" s="78"/>
      <c r="AG59" s="161"/>
      <c r="AH59" s="41">
        <f t="shared" si="56"/>
        <v>0</v>
      </c>
      <c r="AI59" s="178">
        <f t="shared" si="57"/>
        <v>0</v>
      </c>
      <c r="AJ59" s="291"/>
      <c r="AK59" s="78"/>
      <c r="AL59" s="161"/>
      <c r="AM59" s="41">
        <f t="shared" si="58"/>
        <v>0</v>
      </c>
      <c r="AN59" s="178">
        <f t="shared" si="6"/>
        <v>0</v>
      </c>
      <c r="AO59" s="291"/>
      <c r="AP59" s="210">
        <f t="shared" si="59"/>
        <v>0</v>
      </c>
      <c r="AQ59" s="210">
        <f t="shared" si="60"/>
        <v>0</v>
      </c>
      <c r="AR59" s="106">
        <f t="shared" si="61"/>
        <v>0</v>
      </c>
      <c r="AS59" s="178">
        <f t="shared" si="48"/>
        <v>0</v>
      </c>
      <c r="AT59" s="79"/>
      <c r="AU59" s="210">
        <f t="shared" si="62"/>
        <v>0</v>
      </c>
      <c r="AV59" s="210">
        <f t="shared" si="63"/>
        <v>0</v>
      </c>
      <c r="AW59" s="210">
        <f t="shared" si="64"/>
        <v>0</v>
      </c>
      <c r="AX59" s="178">
        <f t="shared" si="49"/>
        <v>0</v>
      </c>
      <c r="AY59" s="79"/>
    </row>
    <row r="60" spans="1:53" ht="30.6" hidden="1" customHeight="1" outlineLevel="2">
      <c r="A60" s="237"/>
      <c r="B60" s="19" t="s">
        <v>33</v>
      </c>
      <c r="C60" s="129"/>
      <c r="D60" s="128"/>
      <c r="E60" s="120">
        <f t="shared" si="50"/>
        <v>0</v>
      </c>
      <c r="F60" s="178">
        <f t="shared" si="65"/>
        <v>0</v>
      </c>
      <c r="G60" s="78"/>
      <c r="H60" s="161"/>
      <c r="I60" s="41">
        <f t="shared" si="51"/>
        <v>0</v>
      </c>
      <c r="J60" s="178">
        <f t="shared" si="45"/>
        <v>0</v>
      </c>
      <c r="K60" s="291"/>
      <c r="L60" s="78"/>
      <c r="M60" s="161"/>
      <c r="N60" s="41">
        <f t="shared" si="52"/>
        <v>0</v>
      </c>
      <c r="O60" s="178">
        <f t="shared" si="33"/>
        <v>0</v>
      </c>
      <c r="P60" s="291"/>
      <c r="Q60" s="78"/>
      <c r="R60" s="161"/>
      <c r="S60" s="41">
        <f t="shared" si="53"/>
        <v>0</v>
      </c>
      <c r="T60" s="178">
        <f t="shared" si="24"/>
        <v>0</v>
      </c>
      <c r="U60" s="291"/>
      <c r="V60" s="78"/>
      <c r="W60" s="161"/>
      <c r="X60" s="41">
        <f t="shared" si="54"/>
        <v>0</v>
      </c>
      <c r="Y60" s="178">
        <f t="shared" si="46"/>
        <v>0</v>
      </c>
      <c r="Z60" s="291"/>
      <c r="AA60" s="78"/>
      <c r="AB60" s="161"/>
      <c r="AC60" s="41">
        <f t="shared" si="55"/>
        <v>0</v>
      </c>
      <c r="AD60" s="178">
        <f t="shared" si="47"/>
        <v>0</v>
      </c>
      <c r="AE60" s="291"/>
      <c r="AF60" s="78"/>
      <c r="AG60" s="161"/>
      <c r="AH60" s="41">
        <f t="shared" si="56"/>
        <v>0</v>
      </c>
      <c r="AI60" s="178">
        <f t="shared" si="57"/>
        <v>0</v>
      </c>
      <c r="AJ60" s="291"/>
      <c r="AK60" s="78"/>
      <c r="AL60" s="161"/>
      <c r="AM60" s="41">
        <f t="shared" si="58"/>
        <v>0</v>
      </c>
      <c r="AN60" s="178">
        <f t="shared" si="6"/>
        <v>0</v>
      </c>
      <c r="AO60" s="291"/>
      <c r="AP60" s="210">
        <f t="shared" si="59"/>
        <v>0</v>
      </c>
      <c r="AQ60" s="210">
        <f t="shared" si="60"/>
        <v>0</v>
      </c>
      <c r="AR60" s="106">
        <f t="shared" si="61"/>
        <v>0</v>
      </c>
      <c r="AS60" s="178">
        <f t="shared" si="48"/>
        <v>0</v>
      </c>
      <c r="AT60" s="79"/>
      <c r="AU60" s="210">
        <f t="shared" si="62"/>
        <v>0</v>
      </c>
      <c r="AV60" s="210">
        <f t="shared" si="63"/>
        <v>0</v>
      </c>
      <c r="AW60" s="210">
        <f t="shared" si="64"/>
        <v>0</v>
      </c>
      <c r="AX60" s="178">
        <f t="shared" si="49"/>
        <v>0</v>
      </c>
      <c r="AY60" s="79"/>
    </row>
    <row r="61" spans="1:53" ht="31.95" hidden="1" customHeight="1" outlineLevel="2">
      <c r="A61" s="237"/>
      <c r="B61" s="19" t="s">
        <v>35</v>
      </c>
      <c r="C61" s="129"/>
      <c r="D61" s="128"/>
      <c r="E61" s="120">
        <f t="shared" si="50"/>
        <v>0</v>
      </c>
      <c r="F61" s="178">
        <f t="shared" si="65"/>
        <v>0</v>
      </c>
      <c r="G61" s="78"/>
      <c r="H61" s="161"/>
      <c r="I61" s="41">
        <f t="shared" si="51"/>
        <v>0</v>
      </c>
      <c r="J61" s="178">
        <f t="shared" si="45"/>
        <v>0</v>
      </c>
      <c r="K61" s="291"/>
      <c r="L61" s="78"/>
      <c r="M61" s="161"/>
      <c r="N61" s="41">
        <f t="shared" si="52"/>
        <v>0</v>
      </c>
      <c r="O61" s="178">
        <f t="shared" si="33"/>
        <v>0</v>
      </c>
      <c r="P61" s="291"/>
      <c r="Q61" s="78"/>
      <c r="R61" s="161"/>
      <c r="S61" s="41">
        <f t="shared" si="53"/>
        <v>0</v>
      </c>
      <c r="T61" s="178">
        <f t="shared" si="24"/>
        <v>0</v>
      </c>
      <c r="U61" s="291"/>
      <c r="V61" s="78"/>
      <c r="W61" s="161"/>
      <c r="X61" s="41">
        <f t="shared" si="54"/>
        <v>0</v>
      </c>
      <c r="Y61" s="178">
        <f t="shared" si="46"/>
        <v>0</v>
      </c>
      <c r="Z61" s="291"/>
      <c r="AA61" s="78"/>
      <c r="AB61" s="161"/>
      <c r="AC61" s="41">
        <f t="shared" si="55"/>
        <v>0</v>
      </c>
      <c r="AD61" s="178">
        <f t="shared" si="47"/>
        <v>0</v>
      </c>
      <c r="AE61" s="291"/>
      <c r="AF61" s="78"/>
      <c r="AG61" s="161"/>
      <c r="AH61" s="41">
        <f t="shared" si="56"/>
        <v>0</v>
      </c>
      <c r="AI61" s="178">
        <f t="shared" si="57"/>
        <v>0</v>
      </c>
      <c r="AJ61" s="291"/>
      <c r="AK61" s="78"/>
      <c r="AL61" s="161"/>
      <c r="AM61" s="41">
        <f t="shared" si="58"/>
        <v>0</v>
      </c>
      <c r="AN61" s="178">
        <f t="shared" si="6"/>
        <v>0</v>
      </c>
      <c r="AO61" s="291"/>
      <c r="AP61" s="210">
        <f t="shared" si="59"/>
        <v>0</v>
      </c>
      <c r="AQ61" s="210">
        <f t="shared" si="60"/>
        <v>0</v>
      </c>
      <c r="AR61" s="106">
        <f t="shared" si="61"/>
        <v>0</v>
      </c>
      <c r="AS61" s="178">
        <f t="shared" si="48"/>
        <v>0</v>
      </c>
      <c r="AT61" s="79"/>
      <c r="AU61" s="210">
        <f t="shared" si="62"/>
        <v>0</v>
      </c>
      <c r="AV61" s="210">
        <f t="shared" si="63"/>
        <v>0</v>
      </c>
      <c r="AW61" s="210">
        <f t="shared" si="64"/>
        <v>0</v>
      </c>
      <c r="AX61" s="178">
        <f t="shared" si="49"/>
        <v>0</v>
      </c>
      <c r="AY61" s="79"/>
    </row>
    <row r="62" spans="1:53" ht="31.2" hidden="1" customHeight="1" outlineLevel="2">
      <c r="A62" s="237"/>
      <c r="B62" s="19" t="s">
        <v>63</v>
      </c>
      <c r="C62" s="129"/>
      <c r="D62" s="128"/>
      <c r="E62" s="120">
        <f t="shared" si="50"/>
        <v>0</v>
      </c>
      <c r="F62" s="178">
        <f t="shared" si="65"/>
        <v>0</v>
      </c>
      <c r="G62" s="78"/>
      <c r="H62" s="161"/>
      <c r="I62" s="41">
        <f t="shared" si="51"/>
        <v>0</v>
      </c>
      <c r="J62" s="178"/>
      <c r="K62" s="291"/>
      <c r="L62" s="78"/>
      <c r="M62" s="161"/>
      <c r="N62" s="41">
        <f t="shared" si="52"/>
        <v>0</v>
      </c>
      <c r="O62" s="178">
        <f t="shared" si="33"/>
        <v>0</v>
      </c>
      <c r="P62" s="291"/>
      <c r="Q62" s="78"/>
      <c r="R62" s="161"/>
      <c r="S62" s="41">
        <f t="shared" si="53"/>
        <v>0</v>
      </c>
      <c r="T62" s="178">
        <f t="shared" si="24"/>
        <v>0</v>
      </c>
      <c r="U62" s="291"/>
      <c r="V62" s="78"/>
      <c r="W62" s="161"/>
      <c r="X62" s="41">
        <f t="shared" si="54"/>
        <v>0</v>
      </c>
      <c r="Y62" s="178">
        <f t="shared" si="46"/>
        <v>0</v>
      </c>
      <c r="Z62" s="291"/>
      <c r="AA62" s="78"/>
      <c r="AB62" s="161"/>
      <c r="AC62" s="41">
        <f t="shared" si="55"/>
        <v>0</v>
      </c>
      <c r="AD62" s="178">
        <f t="shared" si="47"/>
        <v>0</v>
      </c>
      <c r="AE62" s="291"/>
      <c r="AF62" s="78"/>
      <c r="AG62" s="161"/>
      <c r="AH62" s="41">
        <f t="shared" si="56"/>
        <v>0</v>
      </c>
      <c r="AI62" s="178">
        <f t="shared" si="57"/>
        <v>0</v>
      </c>
      <c r="AJ62" s="291"/>
      <c r="AK62" s="78"/>
      <c r="AL62" s="161"/>
      <c r="AM62" s="41">
        <f t="shared" si="58"/>
        <v>0</v>
      </c>
      <c r="AN62" s="178">
        <f t="shared" si="6"/>
        <v>0</v>
      </c>
      <c r="AO62" s="291"/>
      <c r="AP62" s="210">
        <f t="shared" si="59"/>
        <v>0</v>
      </c>
      <c r="AQ62" s="210">
        <f t="shared" si="60"/>
        <v>0</v>
      </c>
      <c r="AR62" s="106">
        <f t="shared" si="61"/>
        <v>0</v>
      </c>
      <c r="AS62" s="178">
        <f t="shared" si="48"/>
        <v>0</v>
      </c>
      <c r="AT62" s="79"/>
      <c r="AU62" s="210">
        <f t="shared" si="62"/>
        <v>0</v>
      </c>
      <c r="AV62" s="210">
        <f t="shared" si="63"/>
        <v>0</v>
      </c>
      <c r="AW62" s="210">
        <f t="shared" si="64"/>
        <v>0</v>
      </c>
      <c r="AX62" s="178">
        <f t="shared" si="49"/>
        <v>0</v>
      </c>
      <c r="AY62" s="79"/>
    </row>
    <row r="63" spans="1:53" ht="93" customHeight="1" outlineLevel="2">
      <c r="A63" s="237"/>
      <c r="B63" s="19" t="s">
        <v>36</v>
      </c>
      <c r="C63" s="129"/>
      <c r="D63" s="128"/>
      <c r="E63" s="120">
        <f t="shared" si="50"/>
        <v>0</v>
      </c>
      <c r="F63" s="178">
        <f t="shared" si="65"/>
        <v>0</v>
      </c>
      <c r="G63" s="78"/>
      <c r="H63" s="161"/>
      <c r="I63" s="41">
        <f t="shared" si="51"/>
        <v>0</v>
      </c>
      <c r="J63" s="178">
        <f>I63/$I$87</f>
        <v>0</v>
      </c>
      <c r="K63" s="291"/>
      <c r="L63" s="78">
        <v>600</v>
      </c>
      <c r="M63" s="161"/>
      <c r="N63" s="41">
        <f t="shared" si="52"/>
        <v>600</v>
      </c>
      <c r="O63" s="178">
        <f t="shared" si="33"/>
        <v>5.9421809779369977E-4</v>
      </c>
      <c r="P63" s="291" t="s">
        <v>195</v>
      </c>
      <c r="Q63" s="78">
        <v>1000</v>
      </c>
      <c r="R63" s="161"/>
      <c r="S63" s="41">
        <f t="shared" si="53"/>
        <v>1000</v>
      </c>
      <c r="T63" s="178">
        <f t="shared" si="24"/>
        <v>3.8136892034191694E-3</v>
      </c>
      <c r="U63" s="291" t="s">
        <v>210</v>
      </c>
      <c r="V63" s="78">
        <v>260</v>
      </c>
      <c r="W63" s="161"/>
      <c r="X63" s="41">
        <f t="shared" si="54"/>
        <v>260</v>
      </c>
      <c r="Y63" s="178">
        <f t="shared" si="46"/>
        <v>1.6181536108284558E-4</v>
      </c>
      <c r="Z63" s="291" t="s">
        <v>227</v>
      </c>
      <c r="AA63" s="78"/>
      <c r="AB63" s="161"/>
      <c r="AC63" s="41">
        <f t="shared" si="55"/>
        <v>0</v>
      </c>
      <c r="AD63" s="342">
        <f>AC63/$AC$87</f>
        <v>0</v>
      </c>
      <c r="AE63" s="291"/>
      <c r="AF63" s="78"/>
      <c r="AG63" s="161"/>
      <c r="AH63" s="41">
        <f t="shared" si="56"/>
        <v>0</v>
      </c>
      <c r="AI63" s="342">
        <f t="shared" ref="AI63:AI70" si="66">AH63/$AH$87</f>
        <v>0</v>
      </c>
      <c r="AJ63" s="291"/>
      <c r="AK63" s="78"/>
      <c r="AL63" s="161"/>
      <c r="AM63" s="41">
        <f t="shared" si="58"/>
        <v>0</v>
      </c>
      <c r="AN63" s="342">
        <f t="shared" si="6"/>
        <v>0</v>
      </c>
      <c r="AO63" s="291"/>
      <c r="AP63" s="39">
        <f>G63+L63+Q63+V63+AA63+AF63+AK63</f>
        <v>1860</v>
      </c>
      <c r="AQ63" s="39">
        <f t="shared" ref="AQ63:AQ69" si="67">H63+M63+R63+W63+AB63+AG63+AL63</f>
        <v>0</v>
      </c>
      <c r="AR63" s="106">
        <f t="shared" si="61"/>
        <v>1860</v>
      </c>
      <c r="AS63" s="178">
        <f t="shared" si="48"/>
        <v>4.6773489161625525E-4</v>
      </c>
      <c r="AT63" s="79"/>
      <c r="AU63" s="210">
        <f t="shared" si="62"/>
        <v>-1860</v>
      </c>
      <c r="AV63" s="210">
        <f t="shared" si="63"/>
        <v>0</v>
      </c>
      <c r="AW63" s="210">
        <f t="shared" si="64"/>
        <v>-1860</v>
      </c>
      <c r="AX63" s="178">
        <f t="shared" si="49"/>
        <v>2.3443199347166514E-3</v>
      </c>
      <c r="AY63" s="79"/>
    </row>
    <row r="64" spans="1:53" s="2" customFormat="1" ht="13.95" hidden="1" customHeight="1" outlineLevel="2">
      <c r="A64" s="237"/>
      <c r="B64" s="19" t="s">
        <v>37</v>
      </c>
      <c r="C64" s="129"/>
      <c r="D64" s="128"/>
      <c r="E64" s="120">
        <f t="shared" si="50"/>
        <v>0</v>
      </c>
      <c r="F64" s="178">
        <f t="shared" si="65"/>
        <v>0</v>
      </c>
      <c r="G64" s="78"/>
      <c r="H64" s="161"/>
      <c r="I64" s="41">
        <f t="shared" si="51"/>
        <v>0</v>
      </c>
      <c r="J64" s="178"/>
      <c r="K64" s="291"/>
      <c r="L64" s="78"/>
      <c r="M64" s="161"/>
      <c r="N64" s="41">
        <f t="shared" si="52"/>
        <v>0</v>
      </c>
      <c r="O64" s="178">
        <f t="shared" si="33"/>
        <v>0</v>
      </c>
      <c r="P64" s="291"/>
      <c r="Q64" s="78"/>
      <c r="R64" s="161"/>
      <c r="S64" s="41">
        <f t="shared" si="53"/>
        <v>0</v>
      </c>
      <c r="T64" s="178">
        <f t="shared" si="24"/>
        <v>0</v>
      </c>
      <c r="U64" s="291"/>
      <c r="V64" s="78"/>
      <c r="W64" s="161"/>
      <c r="X64" s="41">
        <f t="shared" si="54"/>
        <v>0</v>
      </c>
      <c r="Y64" s="178">
        <f t="shared" si="46"/>
        <v>0</v>
      </c>
      <c r="Z64" s="291"/>
      <c r="AA64" s="78"/>
      <c r="AB64" s="161"/>
      <c r="AC64" s="41">
        <f t="shared" si="55"/>
        <v>0</v>
      </c>
      <c r="AD64" s="178">
        <f t="shared" si="47"/>
        <v>0</v>
      </c>
      <c r="AE64" s="291"/>
      <c r="AF64" s="78"/>
      <c r="AG64" s="161"/>
      <c r="AH64" s="41">
        <f t="shared" si="56"/>
        <v>0</v>
      </c>
      <c r="AI64" s="178">
        <f t="shared" si="66"/>
        <v>0</v>
      </c>
      <c r="AJ64" s="291"/>
      <c r="AK64" s="78"/>
      <c r="AL64" s="161"/>
      <c r="AM64" s="41">
        <f t="shared" si="58"/>
        <v>0</v>
      </c>
      <c r="AN64" s="178">
        <f t="shared" si="6"/>
        <v>0</v>
      </c>
      <c r="AO64" s="291"/>
      <c r="AP64" s="39">
        <f t="shared" ref="AP64:AP69" si="68">G64+L64+Q64+V64+AA64+AF64+AK64</f>
        <v>0</v>
      </c>
      <c r="AQ64" s="39">
        <f t="shared" si="67"/>
        <v>0</v>
      </c>
      <c r="AR64" s="106">
        <f t="shared" si="61"/>
        <v>0</v>
      </c>
      <c r="AS64" s="178">
        <f t="shared" si="48"/>
        <v>0</v>
      </c>
      <c r="AT64" s="79"/>
      <c r="AU64" s="210">
        <f t="shared" si="62"/>
        <v>0</v>
      </c>
      <c r="AV64" s="210">
        <f t="shared" si="63"/>
        <v>0</v>
      </c>
      <c r="AW64" s="210">
        <f t="shared" si="64"/>
        <v>0</v>
      </c>
      <c r="AX64" s="178">
        <f t="shared" si="49"/>
        <v>0</v>
      </c>
      <c r="AY64" s="79"/>
    </row>
    <row r="65" spans="1:52" s="2" customFormat="1" ht="102" hidden="1" customHeight="1" outlineLevel="2">
      <c r="A65" s="237"/>
      <c r="B65" s="19" t="s">
        <v>3</v>
      </c>
      <c r="C65" s="129"/>
      <c r="D65" s="128"/>
      <c r="E65" s="120">
        <f t="shared" si="50"/>
        <v>0</v>
      </c>
      <c r="F65" s="178">
        <f t="shared" si="65"/>
        <v>0</v>
      </c>
      <c r="G65" s="78"/>
      <c r="H65" s="161"/>
      <c r="I65" s="41">
        <f t="shared" si="51"/>
        <v>0</v>
      </c>
      <c r="J65" s="178"/>
      <c r="K65" s="291"/>
      <c r="L65" s="78"/>
      <c r="M65" s="161"/>
      <c r="N65" s="41">
        <f t="shared" si="52"/>
        <v>0</v>
      </c>
      <c r="O65" s="178">
        <f t="shared" si="33"/>
        <v>0</v>
      </c>
      <c r="P65" s="291"/>
      <c r="Q65" s="78"/>
      <c r="R65" s="161"/>
      <c r="S65" s="41">
        <f t="shared" si="53"/>
        <v>0</v>
      </c>
      <c r="T65" s="178">
        <f t="shared" si="24"/>
        <v>0</v>
      </c>
      <c r="U65" s="291"/>
      <c r="V65" s="78"/>
      <c r="W65" s="161"/>
      <c r="X65" s="41">
        <f t="shared" si="54"/>
        <v>0</v>
      </c>
      <c r="Y65" s="178">
        <f t="shared" si="46"/>
        <v>0</v>
      </c>
      <c r="Z65" s="291"/>
      <c r="AA65" s="78"/>
      <c r="AB65" s="161"/>
      <c r="AC65" s="41">
        <f t="shared" si="55"/>
        <v>0</v>
      </c>
      <c r="AD65" s="178">
        <f t="shared" si="47"/>
        <v>0</v>
      </c>
      <c r="AE65" s="291"/>
      <c r="AF65" s="78"/>
      <c r="AG65" s="161"/>
      <c r="AH65" s="41">
        <f t="shared" si="56"/>
        <v>0</v>
      </c>
      <c r="AI65" s="178">
        <f t="shared" si="66"/>
        <v>0</v>
      </c>
      <c r="AJ65" s="291"/>
      <c r="AK65" s="78"/>
      <c r="AL65" s="161"/>
      <c r="AM65" s="41">
        <f t="shared" si="58"/>
        <v>0</v>
      </c>
      <c r="AN65" s="178">
        <f t="shared" si="6"/>
        <v>0</v>
      </c>
      <c r="AO65" s="291"/>
      <c r="AP65" s="39">
        <f t="shared" si="68"/>
        <v>0</v>
      </c>
      <c r="AQ65" s="39">
        <f t="shared" si="67"/>
        <v>0</v>
      </c>
      <c r="AR65" s="106">
        <f t="shared" si="61"/>
        <v>0</v>
      </c>
      <c r="AS65" s="178">
        <f t="shared" si="48"/>
        <v>0</v>
      </c>
      <c r="AT65" s="79"/>
      <c r="AU65" s="210">
        <f t="shared" si="62"/>
        <v>0</v>
      </c>
      <c r="AV65" s="210">
        <f t="shared" si="63"/>
        <v>0</v>
      </c>
      <c r="AW65" s="210">
        <f t="shared" si="64"/>
        <v>0</v>
      </c>
      <c r="AX65" s="178">
        <f t="shared" si="49"/>
        <v>0</v>
      </c>
      <c r="AY65" s="79"/>
    </row>
    <row r="66" spans="1:52" s="2" customFormat="1" ht="35.4" customHeight="1" outlineLevel="2">
      <c r="A66" s="237"/>
      <c r="B66" s="19" t="s">
        <v>5</v>
      </c>
      <c r="C66" s="129"/>
      <c r="D66" s="128">
        <v>4000</v>
      </c>
      <c r="E66" s="120">
        <f t="shared" si="50"/>
        <v>4000</v>
      </c>
      <c r="F66" s="178">
        <f t="shared" si="65"/>
        <v>1.2519492536892628E-3</v>
      </c>
      <c r="G66" s="78"/>
      <c r="H66" s="161">
        <v>95</v>
      </c>
      <c r="I66" s="41">
        <f t="shared" si="51"/>
        <v>95</v>
      </c>
      <c r="J66" s="178"/>
      <c r="K66" s="291"/>
      <c r="L66" s="78"/>
      <c r="M66" s="161">
        <v>495</v>
      </c>
      <c r="N66" s="41">
        <f t="shared" si="52"/>
        <v>495</v>
      </c>
      <c r="O66" s="178">
        <f t="shared" si="33"/>
        <v>4.9022993067980233E-4</v>
      </c>
      <c r="P66" s="291"/>
      <c r="Q66" s="78"/>
      <c r="R66" s="161">
        <v>1373</v>
      </c>
      <c r="S66" s="41">
        <f t="shared" si="53"/>
        <v>1373</v>
      </c>
      <c r="T66" s="178">
        <f t="shared" si="24"/>
        <v>5.2361952762945193E-3</v>
      </c>
      <c r="U66" s="291"/>
      <c r="V66" s="78"/>
      <c r="W66" s="161">
        <v>1481</v>
      </c>
      <c r="X66" s="41">
        <f t="shared" si="54"/>
        <v>1481</v>
      </c>
      <c r="Y66" s="178">
        <f t="shared" si="46"/>
        <v>9.2172519139882428E-4</v>
      </c>
      <c r="Z66" s="291" t="s">
        <v>228</v>
      </c>
      <c r="AA66" s="78"/>
      <c r="AB66" s="161">
        <v>1689.55</v>
      </c>
      <c r="AC66" s="41">
        <f t="shared" si="55"/>
        <v>1689.55</v>
      </c>
      <c r="AD66" s="178">
        <f t="shared" si="47"/>
        <v>2.4834317597710988E-3</v>
      </c>
      <c r="AE66" s="291" t="s">
        <v>242</v>
      </c>
      <c r="AF66" s="78"/>
      <c r="AG66" s="362">
        <v>442</v>
      </c>
      <c r="AH66" s="41">
        <f t="shared" si="56"/>
        <v>442</v>
      </c>
      <c r="AI66" s="178">
        <f>AH66/$AH$87</f>
        <v>1.8050448206855384E-3</v>
      </c>
      <c r="AJ66" s="291"/>
      <c r="AK66" s="78"/>
      <c r="AL66" s="362"/>
      <c r="AM66" s="41">
        <f t="shared" si="58"/>
        <v>0</v>
      </c>
      <c r="AN66" s="178">
        <f t="shared" si="6"/>
        <v>0</v>
      </c>
      <c r="AO66" s="291"/>
      <c r="AP66" s="39">
        <f t="shared" si="68"/>
        <v>0</v>
      </c>
      <c r="AQ66" s="39">
        <f>H66+M66+R66+W66+AB66+AG66+AL66</f>
        <v>5575.55</v>
      </c>
      <c r="AR66" s="106">
        <f t="shared" si="61"/>
        <v>5575.55</v>
      </c>
      <c r="AS66" s="178">
        <f t="shared" si="48"/>
        <v>1.4020856316940926E-3</v>
      </c>
      <c r="AT66" s="79"/>
      <c r="AU66" s="210">
        <f t="shared" si="62"/>
        <v>0</v>
      </c>
      <c r="AV66" s="210">
        <f t="shared" si="63"/>
        <v>-1575.5500000000002</v>
      </c>
      <c r="AW66" s="210">
        <f t="shared" si="64"/>
        <v>-1575.5500000000002</v>
      </c>
      <c r="AX66" s="178">
        <f t="shared" si="49"/>
        <v>1.9858028350230217E-3</v>
      </c>
      <c r="AY66" s="79"/>
    </row>
    <row r="67" spans="1:52" s="2" customFormat="1" ht="13.8" outlineLevel="2">
      <c r="A67" s="237"/>
      <c r="B67" s="19" t="s">
        <v>42</v>
      </c>
      <c r="C67" s="129"/>
      <c r="D67" s="128"/>
      <c r="E67" s="120">
        <f t="shared" si="50"/>
        <v>0</v>
      </c>
      <c r="F67" s="178">
        <f t="shared" si="65"/>
        <v>0</v>
      </c>
      <c r="G67" s="78"/>
      <c r="H67" s="161"/>
      <c r="I67" s="41">
        <f t="shared" si="51"/>
        <v>0</v>
      </c>
      <c r="J67" s="178">
        <f>I67/$I$87</f>
        <v>0</v>
      </c>
      <c r="K67" s="291"/>
      <c r="L67" s="78"/>
      <c r="M67" s="161"/>
      <c r="N67" s="41">
        <f t="shared" si="52"/>
        <v>0</v>
      </c>
      <c r="O67" s="178">
        <f t="shared" si="33"/>
        <v>0</v>
      </c>
      <c r="P67" s="291"/>
      <c r="Q67" s="78"/>
      <c r="R67" s="161"/>
      <c r="S67" s="41">
        <f t="shared" si="53"/>
        <v>0</v>
      </c>
      <c r="T67" s="178">
        <f t="shared" si="24"/>
        <v>0</v>
      </c>
      <c r="U67" s="291"/>
      <c r="V67" s="78"/>
      <c r="W67" s="161"/>
      <c r="X67" s="41">
        <f t="shared" si="54"/>
        <v>0</v>
      </c>
      <c r="Y67" s="178">
        <f t="shared" si="46"/>
        <v>0</v>
      </c>
      <c r="Z67" s="291"/>
      <c r="AA67" s="78"/>
      <c r="AB67" s="161"/>
      <c r="AC67" s="41">
        <f t="shared" si="55"/>
        <v>0</v>
      </c>
      <c r="AD67" s="178">
        <f t="shared" si="47"/>
        <v>0</v>
      </c>
      <c r="AE67" s="291"/>
      <c r="AF67" s="78"/>
      <c r="AG67" s="161"/>
      <c r="AH67" s="41">
        <f t="shared" si="56"/>
        <v>0</v>
      </c>
      <c r="AI67" s="178">
        <f t="shared" si="66"/>
        <v>0</v>
      </c>
      <c r="AJ67" s="291"/>
      <c r="AK67" s="78"/>
      <c r="AL67" s="161"/>
      <c r="AM67" s="41">
        <f t="shared" si="58"/>
        <v>0</v>
      </c>
      <c r="AN67" s="178">
        <f>AM67/$AH$87</f>
        <v>0</v>
      </c>
      <c r="AO67" s="291"/>
      <c r="AP67" s="39">
        <f t="shared" si="68"/>
        <v>0</v>
      </c>
      <c r="AQ67" s="39">
        <f t="shared" si="67"/>
        <v>0</v>
      </c>
      <c r="AR67" s="106">
        <f t="shared" si="61"/>
        <v>0</v>
      </c>
      <c r="AS67" s="178">
        <f t="shared" si="48"/>
        <v>0</v>
      </c>
      <c r="AT67" s="79"/>
      <c r="AU67" s="210">
        <f t="shared" si="62"/>
        <v>0</v>
      </c>
      <c r="AV67" s="210">
        <f t="shared" si="63"/>
        <v>0</v>
      </c>
      <c r="AW67" s="210">
        <f t="shared" si="64"/>
        <v>0</v>
      </c>
      <c r="AX67" s="178">
        <f>AW67/$E$87</f>
        <v>0</v>
      </c>
      <c r="AY67" s="79"/>
    </row>
    <row r="68" spans="1:52" s="2" customFormat="1" ht="22.95" customHeight="1" outlineLevel="2">
      <c r="A68" s="237"/>
      <c r="B68" s="19" t="s">
        <v>6</v>
      </c>
      <c r="C68" s="129"/>
      <c r="D68" s="128"/>
      <c r="E68" s="120">
        <f t="shared" si="50"/>
        <v>0</v>
      </c>
      <c r="F68" s="178">
        <f t="shared" si="65"/>
        <v>0</v>
      </c>
      <c r="G68" s="78"/>
      <c r="H68" s="161"/>
      <c r="I68" s="41">
        <f t="shared" si="51"/>
        <v>0</v>
      </c>
      <c r="J68" s="178"/>
      <c r="K68" s="291"/>
      <c r="L68" s="78"/>
      <c r="M68" s="161"/>
      <c r="N68" s="41">
        <f t="shared" si="52"/>
        <v>0</v>
      </c>
      <c r="O68" s="178">
        <f t="shared" si="33"/>
        <v>0</v>
      </c>
      <c r="P68" s="291"/>
      <c r="Q68" s="78"/>
      <c r="R68" s="161">
        <v>4000</v>
      </c>
      <c r="S68" s="41">
        <f t="shared" si="53"/>
        <v>4000</v>
      </c>
      <c r="T68" s="178">
        <f t="shared" si="24"/>
        <v>1.5254756813676678E-2</v>
      </c>
      <c r="U68" s="291" t="s">
        <v>207</v>
      </c>
      <c r="V68" s="78"/>
      <c r="W68" s="161"/>
      <c r="X68" s="41">
        <f t="shared" si="54"/>
        <v>0</v>
      </c>
      <c r="Y68" s="178">
        <f t="shared" si="46"/>
        <v>0</v>
      </c>
      <c r="Z68" s="291"/>
      <c r="AA68" s="78"/>
      <c r="AB68" s="161"/>
      <c r="AC68" s="41">
        <f t="shared" si="55"/>
        <v>0</v>
      </c>
      <c r="AD68" s="178">
        <f t="shared" si="47"/>
        <v>0</v>
      </c>
      <c r="AE68" s="291"/>
      <c r="AF68" s="78"/>
      <c r="AG68" s="161"/>
      <c r="AH68" s="41">
        <f t="shared" si="56"/>
        <v>0</v>
      </c>
      <c r="AI68" s="178">
        <f t="shared" si="66"/>
        <v>0</v>
      </c>
      <c r="AJ68" s="291"/>
      <c r="AK68" s="78"/>
      <c r="AL68" s="161"/>
      <c r="AM68" s="41">
        <f t="shared" si="58"/>
        <v>0</v>
      </c>
      <c r="AN68" s="178">
        <f>AM68/$AH$87</f>
        <v>0</v>
      </c>
      <c r="AO68" s="291"/>
      <c r="AP68" s="39">
        <f t="shared" si="68"/>
        <v>0</v>
      </c>
      <c r="AQ68" s="39">
        <f t="shared" si="67"/>
        <v>4000</v>
      </c>
      <c r="AR68" s="106">
        <f t="shared" si="61"/>
        <v>4000</v>
      </c>
      <c r="AS68" s="178">
        <f t="shared" si="48"/>
        <v>1.0058814873467855E-3</v>
      </c>
      <c r="AT68" s="79"/>
      <c r="AU68" s="210">
        <f t="shared" si="62"/>
        <v>0</v>
      </c>
      <c r="AV68" s="210">
        <f t="shared" si="63"/>
        <v>-4000</v>
      </c>
      <c r="AW68" s="210">
        <f t="shared" si="64"/>
        <v>-4000</v>
      </c>
      <c r="AX68" s="178">
        <f>AW68/$E$87</f>
        <v>-1.2519492536892628E-3</v>
      </c>
      <c r="AY68" s="79"/>
    </row>
    <row r="69" spans="1:52" s="2" customFormat="1" ht="13.95" customHeight="1" outlineLevel="2">
      <c r="A69" s="237"/>
      <c r="B69" s="19" t="s">
        <v>78</v>
      </c>
      <c r="C69" s="129"/>
      <c r="D69" s="128"/>
      <c r="E69" s="120">
        <f t="shared" si="50"/>
        <v>0</v>
      </c>
      <c r="F69" s="184">
        <f t="shared" si="65"/>
        <v>0</v>
      </c>
      <c r="G69" s="78"/>
      <c r="H69" s="161"/>
      <c r="I69" s="41">
        <f t="shared" si="51"/>
        <v>0</v>
      </c>
      <c r="J69" s="178"/>
      <c r="K69" s="291"/>
      <c r="L69" s="78"/>
      <c r="M69" s="161"/>
      <c r="N69" s="41">
        <f t="shared" si="52"/>
        <v>0</v>
      </c>
      <c r="O69" s="178">
        <f t="shared" si="33"/>
        <v>0</v>
      </c>
      <c r="P69" s="291"/>
      <c r="Q69" s="78"/>
      <c r="R69" s="161"/>
      <c r="S69" s="41">
        <f t="shared" si="53"/>
        <v>0</v>
      </c>
      <c r="T69" s="178">
        <f t="shared" si="24"/>
        <v>0</v>
      </c>
      <c r="U69" s="291"/>
      <c r="V69" s="78"/>
      <c r="W69" s="161"/>
      <c r="X69" s="41">
        <f t="shared" si="54"/>
        <v>0</v>
      </c>
      <c r="Y69" s="178">
        <f t="shared" si="46"/>
        <v>0</v>
      </c>
      <c r="Z69" s="291"/>
      <c r="AA69" s="78"/>
      <c r="AB69" s="161"/>
      <c r="AC69" s="41">
        <f t="shared" si="55"/>
        <v>0</v>
      </c>
      <c r="AD69" s="178">
        <f t="shared" si="47"/>
        <v>0</v>
      </c>
      <c r="AE69" s="291"/>
      <c r="AF69" s="78"/>
      <c r="AG69" s="161"/>
      <c r="AH69" s="41">
        <f t="shared" si="56"/>
        <v>0</v>
      </c>
      <c r="AI69" s="178">
        <f t="shared" si="66"/>
        <v>0</v>
      </c>
      <c r="AJ69" s="291"/>
      <c r="AK69" s="78"/>
      <c r="AL69" s="161"/>
      <c r="AM69" s="41">
        <f t="shared" si="58"/>
        <v>0</v>
      </c>
      <c r="AN69" s="178">
        <f>AM69/$AH$87</f>
        <v>0</v>
      </c>
      <c r="AO69" s="291"/>
      <c r="AP69" s="39">
        <f t="shared" si="68"/>
        <v>0</v>
      </c>
      <c r="AQ69" s="39">
        <f t="shared" si="67"/>
        <v>0</v>
      </c>
      <c r="AR69" s="106">
        <f t="shared" si="61"/>
        <v>0</v>
      </c>
      <c r="AS69" s="178">
        <f t="shared" si="48"/>
        <v>0</v>
      </c>
      <c r="AT69" s="79"/>
      <c r="AU69" s="210">
        <f t="shared" si="62"/>
        <v>0</v>
      </c>
      <c r="AV69" s="210">
        <f t="shared" si="63"/>
        <v>0</v>
      </c>
      <c r="AW69" s="210">
        <f t="shared" si="64"/>
        <v>0</v>
      </c>
      <c r="AX69" s="178">
        <f>AW69/$E$87</f>
        <v>0</v>
      </c>
      <c r="AY69" s="79"/>
    </row>
    <row r="70" spans="1:52" s="2" customFormat="1" ht="14.4" outlineLevel="2" thickBot="1">
      <c r="A70" s="237"/>
      <c r="B70" s="19"/>
      <c r="C70" s="130"/>
      <c r="D70" s="131"/>
      <c r="E70" s="159"/>
      <c r="F70" s="184">
        <f t="shared" si="65"/>
        <v>0</v>
      </c>
      <c r="G70" s="160"/>
      <c r="H70" s="162"/>
      <c r="I70" s="62"/>
      <c r="J70" s="205"/>
      <c r="K70" s="276"/>
      <c r="L70" s="160"/>
      <c r="M70" s="162"/>
      <c r="N70" s="62"/>
      <c r="O70" s="205">
        <f t="shared" si="33"/>
        <v>0</v>
      </c>
      <c r="P70" s="276"/>
      <c r="Q70" s="160"/>
      <c r="R70" s="162"/>
      <c r="S70" s="62"/>
      <c r="T70" s="205">
        <f t="shared" si="24"/>
        <v>0</v>
      </c>
      <c r="U70" s="276"/>
      <c r="V70" s="160"/>
      <c r="W70" s="162"/>
      <c r="X70" s="62"/>
      <c r="Y70" s="205">
        <f>X70/$S$87</f>
        <v>0</v>
      </c>
      <c r="Z70" s="276"/>
      <c r="AA70" s="160"/>
      <c r="AB70" s="162"/>
      <c r="AC70" s="62"/>
      <c r="AD70" s="205">
        <f>AC70/$S$87</f>
        <v>0</v>
      </c>
      <c r="AE70" s="276"/>
      <c r="AF70" s="160"/>
      <c r="AG70" s="162"/>
      <c r="AH70" s="62"/>
      <c r="AI70" s="205">
        <f t="shared" si="66"/>
        <v>0</v>
      </c>
      <c r="AJ70" s="276"/>
      <c r="AK70" s="160"/>
      <c r="AL70" s="162"/>
      <c r="AM70" s="62"/>
      <c r="AN70" s="205">
        <f>AM70/$AH$87</f>
        <v>0</v>
      </c>
      <c r="AO70" s="276"/>
      <c r="AP70" s="210">
        <f>G70</f>
        <v>0</v>
      </c>
      <c r="AQ70" s="210">
        <f>H70</f>
        <v>0</v>
      </c>
      <c r="AR70" s="106"/>
      <c r="AS70" s="178">
        <f t="shared" si="48"/>
        <v>0</v>
      </c>
      <c r="AT70" s="79"/>
      <c r="AU70" s="210">
        <f t="shared" si="62"/>
        <v>0</v>
      </c>
      <c r="AV70" s="210">
        <f t="shared" si="63"/>
        <v>0</v>
      </c>
      <c r="AW70" s="210"/>
      <c r="AX70" s="178">
        <f>AW70/$E$87</f>
        <v>0</v>
      </c>
      <c r="AY70" s="79"/>
    </row>
    <row r="71" spans="1:52" s="2" customFormat="1" ht="14.4" outlineLevel="1" thickBot="1">
      <c r="A71" s="237"/>
      <c r="B71" s="13" t="s">
        <v>4</v>
      </c>
      <c r="C71" s="132">
        <f>C72</f>
        <v>137728.68</v>
      </c>
      <c r="D71" s="133">
        <f>D72</f>
        <v>0</v>
      </c>
      <c r="E71" s="132">
        <f>E72</f>
        <v>137728.68</v>
      </c>
      <c r="F71" s="171">
        <f>E71/$E$87</f>
        <v>4.3107329534401821E-2</v>
      </c>
      <c r="G71" s="99">
        <f>G72</f>
        <v>0</v>
      </c>
      <c r="H71" s="63">
        <f>H72</f>
        <v>0</v>
      </c>
      <c r="I71" s="63">
        <f>I72</f>
        <v>0</v>
      </c>
      <c r="J71" s="194"/>
      <c r="K71" s="277"/>
      <c r="L71" s="99">
        <f>L72</f>
        <v>0</v>
      </c>
      <c r="M71" s="63">
        <f>M72</f>
        <v>0</v>
      </c>
      <c r="N71" s="63">
        <f>N72</f>
        <v>0</v>
      </c>
      <c r="O71" s="194">
        <f t="shared" si="33"/>
        <v>0</v>
      </c>
      <c r="P71" s="277"/>
      <c r="Q71" s="99">
        <f>Q72</f>
        <v>0</v>
      </c>
      <c r="R71" s="63">
        <f>R72</f>
        <v>0</v>
      </c>
      <c r="S71" s="63">
        <f>S72</f>
        <v>0</v>
      </c>
      <c r="T71" s="194">
        <f t="shared" si="24"/>
        <v>0</v>
      </c>
      <c r="U71" s="277"/>
      <c r="V71" s="99">
        <f>V72</f>
        <v>0</v>
      </c>
      <c r="W71" s="63">
        <f>W72</f>
        <v>0</v>
      </c>
      <c r="X71" s="63">
        <f>X72</f>
        <v>0</v>
      </c>
      <c r="Y71" s="194">
        <f>X71/$X$87</f>
        <v>0</v>
      </c>
      <c r="Z71" s="277"/>
      <c r="AA71" s="99">
        <f>AA72</f>
        <v>0</v>
      </c>
      <c r="AB71" s="63">
        <f>AB72</f>
        <v>0</v>
      </c>
      <c r="AC71" s="63">
        <f>AC72</f>
        <v>0</v>
      </c>
      <c r="AD71" s="194">
        <f>AC71/$AC$87</f>
        <v>0</v>
      </c>
      <c r="AE71" s="277"/>
      <c r="AF71" s="99">
        <f>AF72</f>
        <v>0</v>
      </c>
      <c r="AG71" s="63">
        <f>AG72</f>
        <v>0</v>
      </c>
      <c r="AH71" s="63">
        <f>AH72</f>
        <v>0</v>
      </c>
      <c r="AI71" s="194">
        <f>AH71/$AC$87</f>
        <v>0</v>
      </c>
      <c r="AJ71" s="277"/>
      <c r="AK71" s="99">
        <f>AK72</f>
        <v>0</v>
      </c>
      <c r="AL71" s="63">
        <f>AL72</f>
        <v>0</v>
      </c>
      <c r="AM71" s="63">
        <f>AM72</f>
        <v>0</v>
      </c>
      <c r="AN71" s="194">
        <f>AM71/$AC$87</f>
        <v>0</v>
      </c>
      <c r="AO71" s="277"/>
      <c r="AP71" s="139">
        <f>AP72</f>
        <v>0</v>
      </c>
      <c r="AQ71" s="63">
        <f>AQ72</f>
        <v>0</v>
      </c>
      <c r="AR71" s="60">
        <f>AR72</f>
        <v>0</v>
      </c>
      <c r="AS71" s="63"/>
      <c r="AT71" s="63"/>
      <c r="AU71" s="132">
        <f t="shared" si="62"/>
        <v>137728.68</v>
      </c>
      <c r="AV71" s="133">
        <f t="shared" si="63"/>
        <v>0</v>
      </c>
      <c r="AW71" s="132">
        <f>AW72</f>
        <v>137728.68</v>
      </c>
      <c r="AX71" s="171">
        <f>AW71/$E$87</f>
        <v>4.3107329534401821E-2</v>
      </c>
      <c r="AY71" s="63"/>
    </row>
    <row r="72" spans="1:52" s="2" customFormat="1" ht="14.4" outlineLevel="1" thickBot="1">
      <c r="A72" s="20"/>
      <c r="B72" s="225" t="s">
        <v>64</v>
      </c>
      <c r="C72" s="129">
        <f>C6*3%</f>
        <v>137728.68</v>
      </c>
      <c r="D72" s="135"/>
      <c r="E72" s="136">
        <f>C72+D72</f>
        <v>137728.68</v>
      </c>
      <c r="F72" s="185"/>
      <c r="G72" s="163"/>
      <c r="H72" s="112"/>
      <c r="I72" s="41">
        <f>G72+H72*1</f>
        <v>0</v>
      </c>
      <c r="J72" s="177"/>
      <c r="K72" s="278"/>
      <c r="L72" s="163"/>
      <c r="M72" s="112"/>
      <c r="N72" s="41">
        <f>L72+M72*1</f>
        <v>0</v>
      </c>
      <c r="O72" s="177">
        <f t="shared" si="33"/>
        <v>0</v>
      </c>
      <c r="P72" s="278"/>
      <c r="Q72" s="163"/>
      <c r="R72" s="112"/>
      <c r="S72" s="41">
        <f>Q72+R72*1</f>
        <v>0</v>
      </c>
      <c r="T72" s="177">
        <f t="shared" si="24"/>
        <v>0</v>
      </c>
      <c r="U72" s="278"/>
      <c r="V72" s="163"/>
      <c r="W72" s="112"/>
      <c r="X72" s="41">
        <f>V72+W72*1</f>
        <v>0</v>
      </c>
      <c r="Y72" s="177">
        <f>X72/$X$87</f>
        <v>0</v>
      </c>
      <c r="Z72" s="278"/>
      <c r="AA72" s="163"/>
      <c r="AB72" s="112"/>
      <c r="AC72" s="41">
        <f>AA72+AB72*1</f>
        <v>0</v>
      </c>
      <c r="AD72" s="177">
        <f>AC72/$AC$87</f>
        <v>0</v>
      </c>
      <c r="AE72" s="278"/>
      <c r="AF72" s="163"/>
      <c r="AG72" s="112"/>
      <c r="AH72" s="41">
        <f>AF72+AG72*1</f>
        <v>0</v>
      </c>
      <c r="AI72" s="177">
        <f>AH72/$AC$87</f>
        <v>0</v>
      </c>
      <c r="AJ72" s="278"/>
      <c r="AK72" s="163"/>
      <c r="AL72" s="112"/>
      <c r="AM72" s="41">
        <f>AK72+AL72*1</f>
        <v>0</v>
      </c>
      <c r="AN72" s="177">
        <f>AM72/$AC$87</f>
        <v>0</v>
      </c>
      <c r="AO72" s="278"/>
      <c r="AP72" s="39">
        <f>AP6*0.03*0</f>
        <v>0</v>
      </c>
      <c r="AQ72" s="39">
        <f>H72+M72+R72+W72+AB72+AG72</f>
        <v>0</v>
      </c>
      <c r="AR72" s="106">
        <f>AP72+AQ72*1</f>
        <v>0</v>
      </c>
      <c r="AS72" s="64"/>
      <c r="AT72" s="64"/>
      <c r="AU72" s="210">
        <f t="shared" si="62"/>
        <v>137728.68</v>
      </c>
      <c r="AV72" s="210">
        <f t="shared" si="63"/>
        <v>0</v>
      </c>
      <c r="AW72" s="210">
        <f>AU72+AV72*1</f>
        <v>137728.68</v>
      </c>
      <c r="AX72" s="64"/>
      <c r="AY72" s="64"/>
    </row>
    <row r="73" spans="1:52" s="2" customFormat="1" ht="14.4" thickBot="1">
      <c r="A73" s="5"/>
      <c r="B73" s="23" t="s">
        <v>48</v>
      </c>
      <c r="C73" s="137">
        <f>C36-C39-C48-C52</f>
        <v>2529929</v>
      </c>
      <c r="D73" s="137">
        <f>D36-D39-D48-D52</f>
        <v>-866315</v>
      </c>
      <c r="E73" s="138">
        <f>E36-E39-E48-E52</f>
        <v>1663614</v>
      </c>
      <c r="F73" s="172"/>
      <c r="G73" s="65">
        <f>G36-G39-G48-G52</f>
        <v>-44655</v>
      </c>
      <c r="H73" s="65">
        <f>H36-H39-H48-H52</f>
        <v>-30598</v>
      </c>
      <c r="I73" s="66">
        <f>I36-I39-I48-I52</f>
        <v>-75253</v>
      </c>
      <c r="J73" s="195"/>
      <c r="K73" s="279"/>
      <c r="L73" s="65">
        <f>L36-L39-L48-L52</f>
        <v>-959870.27400000009</v>
      </c>
      <c r="M73" s="65">
        <f>M36-M39-M48-M52</f>
        <v>-43876.796000000002</v>
      </c>
      <c r="N73" s="66">
        <f>N36-N39-N48-N52</f>
        <v>-1003747.0700000001</v>
      </c>
      <c r="O73" s="195"/>
      <c r="P73" s="279"/>
      <c r="Q73" s="65">
        <f>Q36-Q39-Q48-Q52</f>
        <v>-221007.61000000002</v>
      </c>
      <c r="R73" s="65">
        <f>R36-R39-R48-R52</f>
        <v>-36261</v>
      </c>
      <c r="S73" s="66">
        <f>S36-S39-S48-S52</f>
        <v>-257268.61000000002</v>
      </c>
      <c r="T73" s="195"/>
      <c r="U73" s="279"/>
      <c r="V73" s="65">
        <f>V36-V39-V48-V52</f>
        <v>1941287.824</v>
      </c>
      <c r="W73" s="65">
        <f>W36-W39-W48-W52</f>
        <v>-460123</v>
      </c>
      <c r="X73" s="66">
        <f>X36-X39-X48-X52</f>
        <v>1481164.824</v>
      </c>
      <c r="Y73" s="195"/>
      <c r="Z73" s="279"/>
      <c r="AA73" s="65">
        <f>AA36-AA39-AA48-AA52</f>
        <v>1087250.4400000002</v>
      </c>
      <c r="AB73" s="65">
        <f>AB36-AB39-AB48-AB52</f>
        <v>-262444.07</v>
      </c>
      <c r="AC73" s="66">
        <f>AC36-AC39-AC48-AC52</f>
        <v>824806.37</v>
      </c>
      <c r="AD73" s="195"/>
      <c r="AE73" s="279"/>
      <c r="AF73" s="65">
        <f>AF36-AF39-AF48-AF52</f>
        <v>467292.98731677025</v>
      </c>
      <c r="AG73" s="65">
        <f>AG36-AG39-AG48-AG52</f>
        <v>-181273.36</v>
      </c>
      <c r="AH73" s="66">
        <f>AH36-AH39-AH48-AH52</f>
        <v>286019.6273167702</v>
      </c>
      <c r="AI73" s="195"/>
      <c r="AJ73" s="279"/>
      <c r="AK73" s="65">
        <f>AK36-AK39-AK48-AK52</f>
        <v>-3489.2060000000001</v>
      </c>
      <c r="AL73" s="65">
        <f>AL36-AL39-AL48-AL52</f>
        <v>-80000</v>
      </c>
      <c r="AM73" s="66">
        <f>AM36-AM39-AM48-AM52</f>
        <v>-83489.206000000006</v>
      </c>
      <c r="AN73" s="195"/>
      <c r="AO73" s="279"/>
      <c r="AP73" s="65">
        <f>AP36-AP39-AP48-AP52</f>
        <v>2266809.1613167701</v>
      </c>
      <c r="AQ73" s="65">
        <f>AQ36-AQ39-AQ48-AQ52</f>
        <v>-1094576.226</v>
      </c>
      <c r="AR73" s="138">
        <f>AR36-AR39-AR48-AR52</f>
        <v>1172232.9353167696</v>
      </c>
      <c r="AS73" s="66"/>
      <c r="AT73" s="66"/>
      <c r="AU73" s="65">
        <f>AU36-AU39-AU48-AU52</f>
        <v>263119.83868322964</v>
      </c>
      <c r="AV73" s="65">
        <f>AV36-AV39-AV48-AV52</f>
        <v>228261.22599999997</v>
      </c>
      <c r="AW73" s="138">
        <f>AW36-AW39-AW48-AW52</f>
        <v>491381.0646832296</v>
      </c>
      <c r="AX73" s="66"/>
      <c r="AY73" s="66"/>
    </row>
    <row r="74" spans="1:52" s="2" customFormat="1" ht="13.8">
      <c r="A74" s="294"/>
      <c r="B74" s="36" t="s">
        <v>49</v>
      </c>
      <c r="C74" s="157">
        <f>C73/C5</f>
        <v>0.55106801284961127</v>
      </c>
      <c r="D74" s="157" t="e">
        <f>D73/D5</f>
        <v>#DIV/0!</v>
      </c>
      <c r="E74" s="158">
        <f>E73/E5</f>
        <v>0.36236766372842605</v>
      </c>
      <c r="F74" s="167"/>
      <c r="G74" s="54" t="e">
        <f>G73/G5</f>
        <v>#DIV/0!</v>
      </c>
      <c r="H74" s="54" t="e">
        <f>H73/H5</f>
        <v>#DIV/0!</v>
      </c>
      <c r="I74" s="55" t="e">
        <f>I73/I5</f>
        <v>#DIV/0!</v>
      </c>
      <c r="J74" s="196"/>
      <c r="K74" s="280"/>
      <c r="L74" s="54" t="e">
        <f>L73/L5</f>
        <v>#DIV/0!</v>
      </c>
      <c r="M74" s="54" t="e">
        <f>M73/M5</f>
        <v>#DIV/0!</v>
      </c>
      <c r="N74" s="55" t="e">
        <f>N73/N5</f>
        <v>#DIV/0!</v>
      </c>
      <c r="O74" s="196"/>
      <c r="P74" s="280"/>
      <c r="Q74" s="54" t="e">
        <f>Q73/Q5</f>
        <v>#DIV/0!</v>
      </c>
      <c r="R74" s="54" t="e">
        <f>R73/R5</f>
        <v>#DIV/0!</v>
      </c>
      <c r="S74" s="55" t="e">
        <f>S73/S5</f>
        <v>#DIV/0!</v>
      </c>
      <c r="T74" s="196"/>
      <c r="U74" s="280"/>
      <c r="V74" s="54">
        <f>V73/V5</f>
        <v>0.64170765901819149</v>
      </c>
      <c r="W74" s="54" t="e">
        <f>W73/W5</f>
        <v>#DIV/0!</v>
      </c>
      <c r="X74" s="55">
        <f>X73/X5</f>
        <v>0.4896104534724221</v>
      </c>
      <c r="Y74" s="196"/>
      <c r="Z74" s="280"/>
      <c r="AA74" s="54">
        <f>AA73/AA5</f>
        <v>0.74048431557122008</v>
      </c>
      <c r="AB74" s="54" t="e">
        <f>AB73/AB5</f>
        <v>#DIV/0!</v>
      </c>
      <c r="AC74" s="55">
        <f>AC73/AC5</f>
        <v>0.56174378772220357</v>
      </c>
      <c r="AD74" s="196"/>
      <c r="AE74" s="280"/>
      <c r="AF74" s="54">
        <f>AF73/AF5</f>
        <v>0.9233261780904396</v>
      </c>
      <c r="AG74" s="54" t="e">
        <f>AG73/AG5</f>
        <v>#DIV/0!</v>
      </c>
      <c r="AH74" s="55">
        <f>AH73/AH5</f>
        <v>0.56514738401204268</v>
      </c>
      <c r="AI74" s="196"/>
      <c r="AJ74" s="280"/>
      <c r="AK74" s="54" t="e">
        <f>AK73/AK5</f>
        <v>#DIV/0!</v>
      </c>
      <c r="AL74" s="54" t="e">
        <f>AL73/AL5</f>
        <v>#DIV/0!</v>
      </c>
      <c r="AM74" s="55" t="e">
        <f>AM73/AM5</f>
        <v>#DIV/0!</v>
      </c>
      <c r="AN74" s="196"/>
      <c r="AO74" s="280"/>
      <c r="AP74" s="54">
        <f>AP73/AP5</f>
        <v>0.45339954150322082</v>
      </c>
      <c r="AQ74" s="54" t="e">
        <f>AQ73/AQ5</f>
        <v>#DIV/0!</v>
      </c>
      <c r="AR74" s="55">
        <f>AR73/AR5</f>
        <v>0.23446608760786025</v>
      </c>
      <c r="AS74" s="55"/>
      <c r="AT74" s="55"/>
      <c r="AU74" s="54">
        <f>AU73/AU5</f>
        <v>-0.64391021196956055</v>
      </c>
      <c r="AV74" s="54" t="e">
        <f>AV73/AV5</f>
        <v>#DIV/0!</v>
      </c>
      <c r="AW74" s="55">
        <f>AW73/AW5</f>
        <v>-1.2025139841276944</v>
      </c>
      <c r="AX74" s="55"/>
      <c r="AY74" s="55"/>
    </row>
    <row r="75" spans="1:52" s="2" customFormat="1" ht="14.4" outlineLevel="1" thickBot="1">
      <c r="A75" s="294"/>
      <c r="B75" s="27" t="s">
        <v>9</v>
      </c>
      <c r="C75" s="139">
        <f>C76-C77</f>
        <v>-129947</v>
      </c>
      <c r="D75" s="139">
        <f>D76-D77</f>
        <v>0</v>
      </c>
      <c r="E75" s="140">
        <f>E76-E77</f>
        <v>-129947</v>
      </c>
      <c r="F75" s="173"/>
      <c r="G75" s="67">
        <f>G76-G77</f>
        <v>0</v>
      </c>
      <c r="H75" s="67">
        <f>H76-H77</f>
        <v>0</v>
      </c>
      <c r="I75" s="67">
        <f>I76-I77</f>
        <v>-4172.454545454545</v>
      </c>
      <c r="J75" s="197"/>
      <c r="K75" s="281"/>
      <c r="L75" s="67">
        <f>L76-L77</f>
        <v>0</v>
      </c>
      <c r="M75" s="67">
        <f>M76-M77</f>
        <v>0</v>
      </c>
      <c r="N75" s="67">
        <f>N76-N77</f>
        <v>-5983.1994545454554</v>
      </c>
      <c r="O75" s="197"/>
      <c r="P75" s="281"/>
      <c r="Q75" s="67">
        <f>Q76-Q77</f>
        <v>0</v>
      </c>
      <c r="R75" s="67">
        <f>R76-R77</f>
        <v>0</v>
      </c>
      <c r="S75" s="67">
        <f>S76-S77</f>
        <v>-4944.681818181818</v>
      </c>
      <c r="T75" s="197"/>
      <c r="U75" s="281"/>
      <c r="V75" s="67">
        <f>V76-V77</f>
        <v>0</v>
      </c>
      <c r="W75" s="67">
        <f>W76-W77</f>
        <v>0</v>
      </c>
      <c r="X75" s="67">
        <f>X76-X77</f>
        <v>-62744.045454545456</v>
      </c>
      <c r="Y75" s="197"/>
      <c r="Z75" s="281"/>
      <c r="AA75" s="67">
        <f>AA76-AA77</f>
        <v>0</v>
      </c>
      <c r="AB75" s="67">
        <f>AB76-AB77</f>
        <v>0</v>
      </c>
      <c r="AC75" s="67">
        <f>AC76-AC77</f>
        <v>-36838.729999575298</v>
      </c>
      <c r="AD75" s="197"/>
      <c r="AE75" s="281"/>
      <c r="AF75" s="67">
        <f>AF76-AF77</f>
        <v>0</v>
      </c>
      <c r="AG75" s="67">
        <f>AG76-AG77</f>
        <v>0</v>
      </c>
      <c r="AH75" s="67">
        <f>AH76-AH77</f>
        <v>-24791.483129312539</v>
      </c>
      <c r="AI75" s="197"/>
      <c r="AJ75" s="281"/>
      <c r="AK75" s="67">
        <f>AK76-AK77</f>
        <v>0</v>
      </c>
      <c r="AL75" s="67">
        <f>AL76-AL77</f>
        <v>0</v>
      </c>
      <c r="AM75" s="67">
        <f>AM76-AM77</f>
        <v>-11007.360889483707</v>
      </c>
      <c r="AN75" s="197"/>
      <c r="AO75" s="281"/>
      <c r="AP75" s="139">
        <f>AP76-AP77</f>
        <v>0</v>
      </c>
      <c r="AQ75" s="139">
        <f>AQ76-AQ77</f>
        <v>0</v>
      </c>
      <c r="AR75" s="140">
        <f>AR76-AR77</f>
        <v>-149260.39445454543</v>
      </c>
      <c r="AS75" s="67"/>
      <c r="AT75" s="67"/>
      <c r="AU75" s="139">
        <f>AU76-AU77</f>
        <v>-129947</v>
      </c>
      <c r="AV75" s="139">
        <f>AV76-AV77</f>
        <v>0</v>
      </c>
      <c r="AW75" s="140">
        <f>AW76-AW77</f>
        <v>31126.530818181811</v>
      </c>
      <c r="AX75" s="173"/>
      <c r="AY75" s="67"/>
    </row>
    <row r="76" spans="1:52" s="2" customFormat="1" ht="13.8" outlineLevel="2">
      <c r="A76" s="11"/>
      <c r="B76" s="6" t="s">
        <v>43</v>
      </c>
      <c r="C76" s="141"/>
      <c r="D76" s="142"/>
      <c r="E76" s="119">
        <f>C76+D76*1.15</f>
        <v>0</v>
      </c>
      <c r="F76" s="186"/>
      <c r="G76" s="71"/>
      <c r="H76" s="71"/>
      <c r="I76" s="71">
        <f>G76+H76*1.15</f>
        <v>0</v>
      </c>
      <c r="J76" s="177"/>
      <c r="K76" s="265"/>
      <c r="L76" s="71"/>
      <c r="M76" s="71"/>
      <c r="N76" s="71">
        <f>L76+M76*1.15</f>
        <v>0</v>
      </c>
      <c r="O76" s="177"/>
      <c r="P76" s="265"/>
      <c r="Q76" s="71"/>
      <c r="R76" s="71"/>
      <c r="S76" s="71">
        <f>Q76+R76*1.15</f>
        <v>0</v>
      </c>
      <c r="T76" s="177"/>
      <c r="U76" s="265"/>
      <c r="V76" s="71"/>
      <c r="W76" s="71"/>
      <c r="X76" s="71">
        <f>V76+W76*1.15</f>
        <v>0</v>
      </c>
      <c r="Y76" s="177">
        <f>X76/$X$87</f>
        <v>0</v>
      </c>
      <c r="Z76" s="265"/>
      <c r="AA76" s="71"/>
      <c r="AB76" s="71"/>
      <c r="AC76" s="71">
        <f>AA76+AB76*1.15</f>
        <v>0</v>
      </c>
      <c r="AD76" s="177">
        <f>AC76/$X$87</f>
        <v>0</v>
      </c>
      <c r="AE76" s="265"/>
      <c r="AF76" s="71"/>
      <c r="AG76" s="71"/>
      <c r="AH76" s="71">
        <f>AF76+AG76*1.15</f>
        <v>0</v>
      </c>
      <c r="AI76" s="177">
        <f>AH76/$X$87</f>
        <v>0</v>
      </c>
      <c r="AJ76" s="265"/>
      <c r="AK76" s="71"/>
      <c r="AL76" s="71"/>
      <c r="AM76" s="71">
        <f>AK76+AL76*1.15</f>
        <v>0</v>
      </c>
      <c r="AN76" s="177">
        <f>AM76/$X$87</f>
        <v>0</v>
      </c>
      <c r="AO76" s="265"/>
      <c r="AP76" s="39">
        <f>G76+L76+Q76+V76+AA76+AF76+AK76</f>
        <v>0</v>
      </c>
      <c r="AQ76" s="39">
        <f>H76+M76+R76+W76+AB76+AG76+AL76</f>
        <v>0</v>
      </c>
      <c r="AR76" s="68">
        <f>AP76+AQ76*1.15</f>
        <v>0</v>
      </c>
      <c r="AS76" s="68"/>
      <c r="AT76" s="68"/>
      <c r="AU76" s="68"/>
      <c r="AV76" s="68"/>
      <c r="AW76" s="68">
        <f>AU76+AV76*1.15</f>
        <v>0</v>
      </c>
      <c r="AX76" s="68"/>
      <c r="AY76" s="68"/>
    </row>
    <row r="77" spans="1:52" s="2" customFormat="1" ht="13.8" outlineLevel="2">
      <c r="A77" s="11"/>
      <c r="B77" s="24" t="s">
        <v>79</v>
      </c>
      <c r="C77" s="113">
        <v>129947</v>
      </c>
      <c r="D77" s="119"/>
      <c r="E77" s="119">
        <f>C77+D77*1.15</f>
        <v>129947</v>
      </c>
      <c r="F77" s="180">
        <f>E77/$E$87</f>
        <v>4.0671762417289654E-2</v>
      </c>
      <c r="G77" s="45"/>
      <c r="H77" s="45"/>
      <c r="I77" s="45">
        <f>(H8+H39+H48+H52)/0.88*0.12</f>
        <v>4172.454545454545</v>
      </c>
      <c r="J77" s="178"/>
      <c r="K77" s="265"/>
      <c r="L77" s="45"/>
      <c r="M77" s="45"/>
      <c r="N77" s="45">
        <f>(M8+M39+M48+M52)/0.88*0.12</f>
        <v>5983.1994545454554</v>
      </c>
      <c r="O77" s="178"/>
      <c r="P77" s="265"/>
      <c r="Q77" s="45"/>
      <c r="R77" s="45"/>
      <c r="S77" s="45">
        <f>(R8+R39+R48+R52)/0.88*0.12</f>
        <v>4944.681818181818</v>
      </c>
      <c r="T77" s="178"/>
      <c r="U77" s="265"/>
      <c r="V77" s="45"/>
      <c r="W77" s="45"/>
      <c r="X77" s="45">
        <f>(W8+W39+W48+W52)/0.88*0.12</f>
        <v>62744.045454545456</v>
      </c>
      <c r="Y77" s="178">
        <f>X77/$X$87</f>
        <v>3.9049809119329808E-2</v>
      </c>
      <c r="Z77" s="265"/>
      <c r="AA77" s="45"/>
      <c r="AB77" s="45"/>
      <c r="AC77" s="45">
        <f>(AB8+AB39+AB48+AB52)/(1-'расчет 2020'!E13)*'расчет 2020'!E13</f>
        <v>36838.729999575298</v>
      </c>
      <c r="AD77" s="178">
        <f>AC77/$X$87</f>
        <v>2.2927201525825898E-2</v>
      </c>
      <c r="AE77" s="265"/>
      <c r="AF77" s="45"/>
      <c r="AG77" s="45"/>
      <c r="AH77" s="45">
        <f>(AG8+AG39+AG48+AG52)/(1-'расчет 2020'!E14)*'расчет 2020'!E14</f>
        <v>24791.483129312539</v>
      </c>
      <c r="AI77" s="178">
        <f>AH77/$X$87</f>
        <v>1.5429395362880705E-2</v>
      </c>
      <c r="AJ77" s="265"/>
      <c r="AK77" s="45"/>
      <c r="AL77" s="45"/>
      <c r="AM77" s="45">
        <f>(AL8+AL39+AL48+AL52)/(1-'расчет 2020'!E15)*'расчет 2020'!E15</f>
        <v>11007.360889483707</v>
      </c>
      <c r="AN77" s="178">
        <f>AM77/$X$87</f>
        <v>6.8506156803884556E-3</v>
      </c>
      <c r="AO77" s="265"/>
      <c r="AP77" s="39">
        <f>G77+L77+Q77+V77+AA77+AF77+AK77</f>
        <v>0</v>
      </c>
      <c r="AQ77" s="39">
        <f>H77+M77+R77+W77+AB77+AG77+AL77</f>
        <v>0</v>
      </c>
      <c r="AR77" s="106">
        <f>(AQ8+AQ39+AQ48+AQ52)/0.88*0.12</f>
        <v>149260.39445454543</v>
      </c>
      <c r="AS77" s="45"/>
      <c r="AT77" s="45"/>
      <c r="AU77" s="210">
        <f>C77-AP77</f>
        <v>129947</v>
      </c>
      <c r="AV77" s="210">
        <f>D77-AQ77</f>
        <v>0</v>
      </c>
      <c r="AW77" s="210">
        <f>(AV8+AV39+AV48+AV52)/0.88*0.12</f>
        <v>-31126.530818181811</v>
      </c>
      <c r="AX77" s="178">
        <f>AW77/$E$87</f>
        <v>-9.7422092569396396E-3</v>
      </c>
      <c r="AY77" s="45"/>
    </row>
    <row r="78" spans="1:52" ht="13.8" outlineLevel="2">
      <c r="A78" s="3"/>
      <c r="B78" s="25"/>
      <c r="C78" s="143"/>
      <c r="D78" s="144"/>
      <c r="E78" s="145"/>
      <c r="F78" s="187"/>
      <c r="G78" s="69"/>
      <c r="H78" s="69"/>
      <c r="I78" s="69"/>
      <c r="J78" s="177"/>
      <c r="K78" s="282"/>
      <c r="L78" s="69"/>
      <c r="M78" s="69"/>
      <c r="N78" s="69"/>
      <c r="O78" s="177"/>
      <c r="P78" s="282"/>
      <c r="Q78" s="69"/>
      <c r="R78" s="69"/>
      <c r="S78" s="69"/>
      <c r="T78" s="177"/>
      <c r="U78" s="282"/>
      <c r="V78" s="69"/>
      <c r="W78" s="69"/>
      <c r="X78" s="69"/>
      <c r="Y78" s="177"/>
      <c r="Z78" s="282"/>
      <c r="AA78" s="69"/>
      <c r="AB78" s="69"/>
      <c r="AC78" s="69"/>
      <c r="AD78" s="177"/>
      <c r="AE78" s="282"/>
      <c r="AF78" s="69"/>
      <c r="AG78" s="69"/>
      <c r="AH78" s="69"/>
      <c r="AI78" s="177"/>
      <c r="AJ78" s="282"/>
      <c r="AK78" s="69"/>
      <c r="AL78" s="69"/>
      <c r="AM78" s="69"/>
      <c r="AN78" s="177"/>
      <c r="AO78" s="282"/>
      <c r="AP78" s="69">
        <f>G78+L78+Q78</f>
        <v>0</v>
      </c>
      <c r="AQ78" s="69">
        <f>H78+M78+R78</f>
        <v>0</v>
      </c>
      <c r="AR78" s="69"/>
      <c r="AS78" s="69"/>
      <c r="AT78" s="69"/>
      <c r="AU78" s="69"/>
      <c r="AV78" s="69"/>
      <c r="AW78" s="69"/>
      <c r="AX78" s="69"/>
      <c r="AY78" s="69"/>
      <c r="AZ78" s="2"/>
    </row>
    <row r="79" spans="1:52" s="2" customFormat="1" ht="14.4" outlineLevel="1" thickBot="1">
      <c r="A79" s="26"/>
      <c r="B79" s="27" t="s">
        <v>12</v>
      </c>
      <c r="C79" s="139">
        <f>(C73+C76)-C77</f>
        <v>2399982</v>
      </c>
      <c r="D79" s="139">
        <f>(D73+D76)-D77</f>
        <v>-866315</v>
      </c>
      <c r="E79" s="140">
        <f>(E73+E76)-E77</f>
        <v>1533667</v>
      </c>
      <c r="F79" s="173"/>
      <c r="G79" s="139">
        <f>(G73+G76)-G77</f>
        <v>-44655</v>
      </c>
      <c r="H79" s="139">
        <f>(H73+H76)-H77</f>
        <v>-30598</v>
      </c>
      <c r="I79" s="140">
        <f>(I73+I76)-I77</f>
        <v>-79425.454545454544</v>
      </c>
      <c r="J79" s="198"/>
      <c r="K79" s="283"/>
      <c r="L79" s="139">
        <f>(L73+L76)-L77</f>
        <v>-959870.27400000009</v>
      </c>
      <c r="M79" s="139">
        <f>(M73+M76)-M77</f>
        <v>-43876.796000000002</v>
      </c>
      <c r="N79" s="140">
        <f>(N73+N76)-N77</f>
        <v>-1009730.2694545456</v>
      </c>
      <c r="O79" s="198"/>
      <c r="P79" s="283"/>
      <c r="Q79" s="139">
        <f>(Q73+Q76)-Q77</f>
        <v>-221007.61000000002</v>
      </c>
      <c r="R79" s="139">
        <f>(R73+R76)-R77</f>
        <v>-36261</v>
      </c>
      <c r="S79" s="140">
        <f>(S73+S76)-S77</f>
        <v>-262213.29181818181</v>
      </c>
      <c r="T79" s="198"/>
      <c r="U79" s="283"/>
      <c r="V79" s="139">
        <f>(V73+V76)-V77</f>
        <v>1941287.824</v>
      </c>
      <c r="W79" s="139">
        <f>(W73+W76)-W77</f>
        <v>-460123</v>
      </c>
      <c r="X79" s="140">
        <f>(X73+X76)-X77</f>
        <v>1418420.7785454546</v>
      </c>
      <c r="Y79" s="198"/>
      <c r="Z79" s="283"/>
      <c r="AA79" s="139">
        <f>(AA73+AA76)-AA77</f>
        <v>1087250.4400000002</v>
      </c>
      <c r="AB79" s="139">
        <f>(AB73+AB76)-AB77</f>
        <v>-262444.07</v>
      </c>
      <c r="AC79" s="140">
        <f>(AC73+AC76)-AC77</f>
        <v>787967.6400004247</v>
      </c>
      <c r="AD79" s="198"/>
      <c r="AE79" s="283"/>
      <c r="AF79" s="139">
        <f>(AF73+AF76)-AF77</f>
        <v>467292.98731677025</v>
      </c>
      <c r="AG79" s="139">
        <f>(AG73+AG76)-AG77</f>
        <v>-181273.36</v>
      </c>
      <c r="AH79" s="140">
        <f>(AH73+AH76)-AH77</f>
        <v>261228.14418745766</v>
      </c>
      <c r="AI79" s="198"/>
      <c r="AJ79" s="283"/>
      <c r="AK79" s="139">
        <f>(AK73+AK76)-AK77</f>
        <v>-3489.2060000000001</v>
      </c>
      <c r="AL79" s="139">
        <f>(AL73+AL76)-AL77</f>
        <v>-80000</v>
      </c>
      <c r="AM79" s="140">
        <f>(AM73+AM76)-AM77</f>
        <v>-94496.566889483714</v>
      </c>
      <c r="AN79" s="198"/>
      <c r="AO79" s="283"/>
      <c r="AP79" s="139">
        <f>(AP73+AP76)-AP77</f>
        <v>2266809.1613167701</v>
      </c>
      <c r="AQ79" s="139">
        <f>(AQ73+AQ76)-AQ77</f>
        <v>-1094576.226</v>
      </c>
      <c r="AR79" s="140">
        <f>(AR73+AR76)-AR77</f>
        <v>1022972.5408622242</v>
      </c>
      <c r="AS79" s="67"/>
      <c r="AT79" s="67"/>
      <c r="AU79" s="139">
        <f>(AU73+AU76)-AU77</f>
        <v>133172.83868322964</v>
      </c>
      <c r="AV79" s="139">
        <f>(AV73+AV76)-AV77</f>
        <v>228261.22599999997</v>
      </c>
      <c r="AW79" s="140">
        <f>(AW73+AW76)-AW77</f>
        <v>522507.59550141142</v>
      </c>
      <c r="AX79" s="67"/>
      <c r="AY79" s="67"/>
    </row>
    <row r="80" spans="1:52" s="2" customFormat="1" ht="13.8" outlineLevel="2">
      <c r="A80" s="293"/>
      <c r="B80" s="6" t="s">
        <v>38</v>
      </c>
      <c r="C80" s="141"/>
      <c r="D80" s="142"/>
      <c r="E80" s="146">
        <f>C80+D80</f>
        <v>0</v>
      </c>
      <c r="F80" s="180">
        <f>E80/$E$87</f>
        <v>0</v>
      </c>
      <c r="G80" s="141"/>
      <c r="H80" s="142"/>
      <c r="I80" s="146">
        <f>G80+H80</f>
        <v>0</v>
      </c>
      <c r="J80" s="178"/>
      <c r="K80" s="284"/>
      <c r="L80" s="141"/>
      <c r="M80" s="142"/>
      <c r="N80" s="146">
        <f>L80+M80</f>
        <v>0</v>
      </c>
      <c r="O80" s="178"/>
      <c r="P80" s="284"/>
      <c r="Q80" s="141"/>
      <c r="R80" s="142"/>
      <c r="S80" s="146">
        <f>Q80+R80</f>
        <v>0</v>
      </c>
      <c r="T80" s="178"/>
      <c r="U80" s="284"/>
      <c r="V80" s="141"/>
      <c r="W80" s="142"/>
      <c r="X80" s="146">
        <f>V80+W80</f>
        <v>0</v>
      </c>
      <c r="Y80" s="178">
        <f>X80/$X$87</f>
        <v>0</v>
      </c>
      <c r="Z80" s="284"/>
      <c r="AA80" s="141"/>
      <c r="AB80" s="142"/>
      <c r="AC80" s="146">
        <f>AA80+AB80</f>
        <v>0</v>
      </c>
      <c r="AD80" s="178">
        <f>AC80/$X$87</f>
        <v>0</v>
      </c>
      <c r="AE80" s="284"/>
      <c r="AF80" s="141"/>
      <c r="AG80" s="142"/>
      <c r="AH80" s="146">
        <f>AF80+AG80</f>
        <v>0</v>
      </c>
      <c r="AI80" s="178">
        <f>AH80/$X$87</f>
        <v>0</v>
      </c>
      <c r="AJ80" s="284"/>
      <c r="AK80" s="141"/>
      <c r="AL80" s="142"/>
      <c r="AM80" s="146">
        <f>AK80+AL80</f>
        <v>0</v>
      </c>
      <c r="AN80" s="178">
        <f>AM80/$X$87</f>
        <v>0</v>
      </c>
      <c r="AO80" s="284"/>
      <c r="AP80" s="39">
        <f>G80+L80+Q80+V80+AA80+AF80+AK80</f>
        <v>0</v>
      </c>
      <c r="AQ80" s="39">
        <f>H80+M80+R80+W80+AB80+AG80+AL80</f>
        <v>0</v>
      </c>
      <c r="AR80" s="146">
        <f>AP80+AQ80</f>
        <v>0</v>
      </c>
      <c r="AS80" s="101"/>
      <c r="AT80" s="101"/>
      <c r="AU80" s="141"/>
      <c r="AV80" s="142"/>
      <c r="AW80" s="146">
        <f>AU80+AV80</f>
        <v>0</v>
      </c>
      <c r="AX80" s="178">
        <f>AW80/$E$87</f>
        <v>0</v>
      </c>
      <c r="AY80" s="101"/>
    </row>
    <row r="81" spans="1:51" s="2" customFormat="1" ht="13.8" outlineLevel="1">
      <c r="A81" s="11"/>
      <c r="B81" s="28" t="s">
        <v>13</v>
      </c>
      <c r="C81" s="147">
        <f>(C79+C7)-C34</f>
        <v>2399982</v>
      </c>
      <c r="D81" s="147">
        <f>(D79+D7)-D34</f>
        <v>-866315</v>
      </c>
      <c r="E81" s="147">
        <f>(E79+E7)-E34</f>
        <v>1533667</v>
      </c>
      <c r="F81" s="174"/>
      <c r="G81" s="147">
        <f>(G79+G7)-G34</f>
        <v>-44655</v>
      </c>
      <c r="H81" s="147">
        <f>(H79+H7)-H34</f>
        <v>-30598</v>
      </c>
      <c r="I81" s="148">
        <f>(I79+I7)-I34</f>
        <v>-79425.454545454544</v>
      </c>
      <c r="J81" s="199"/>
      <c r="K81" s="285"/>
      <c r="L81" s="147">
        <f>(L79+L7)-L34</f>
        <v>-959870.27400000009</v>
      </c>
      <c r="M81" s="147">
        <f>(M79+M7)-M34</f>
        <v>-43876.796000000002</v>
      </c>
      <c r="N81" s="148">
        <f>(N79+N7)-N34</f>
        <v>-1009730.2694545456</v>
      </c>
      <c r="O81" s="199"/>
      <c r="P81" s="285"/>
      <c r="Q81" s="147">
        <f>(Q79+Q7)-Q34</f>
        <v>-221007.61000000002</v>
      </c>
      <c r="R81" s="147">
        <f>(R79+R7)-R34</f>
        <v>-36261</v>
      </c>
      <c r="S81" s="148">
        <f>(S79+S7)-S34</f>
        <v>-262213.29181818181</v>
      </c>
      <c r="T81" s="199"/>
      <c r="U81" s="285"/>
      <c r="V81" s="147">
        <f>(V79+V7)-V34</f>
        <v>1941287.824</v>
      </c>
      <c r="W81" s="147">
        <f>(W79+W7)-W34</f>
        <v>-460123</v>
      </c>
      <c r="X81" s="148">
        <f>(X79+X7)-X34</f>
        <v>1418420.7785454546</v>
      </c>
      <c r="Y81" s="199"/>
      <c r="Z81" s="285"/>
      <c r="AA81" s="147">
        <f>(AA79+AA7)-AA34</f>
        <v>1087250.4400000002</v>
      </c>
      <c r="AB81" s="147">
        <f>(AB79+AB7)-AB34</f>
        <v>-262444.07</v>
      </c>
      <c r="AC81" s="148">
        <f>(AC79+AC7)-AC34</f>
        <v>787967.6400004247</v>
      </c>
      <c r="AD81" s="199"/>
      <c r="AE81" s="285"/>
      <c r="AF81" s="147">
        <f>(AF79+AF7)-AF34</f>
        <v>467292.98731677025</v>
      </c>
      <c r="AG81" s="147">
        <f>(AG79+AG7)-AG34</f>
        <v>-181273.36</v>
      </c>
      <c r="AH81" s="148">
        <f>(AH79+AH7)-AH34</f>
        <v>261228.14418745766</v>
      </c>
      <c r="AI81" s="199"/>
      <c r="AJ81" s="285"/>
      <c r="AK81" s="147">
        <f>(AK79+AK7)-AK34</f>
        <v>-3489.2060000000001</v>
      </c>
      <c r="AL81" s="147">
        <f>(AL79+AL7)-AL34</f>
        <v>-80000</v>
      </c>
      <c r="AM81" s="148">
        <f>(AM79+AM7)-AM34</f>
        <v>-94496.566889483714</v>
      </c>
      <c r="AN81" s="199"/>
      <c r="AO81" s="285"/>
      <c r="AP81" s="147">
        <f>(AP79+AP7)-AP34</f>
        <v>2266809.1613167701</v>
      </c>
      <c r="AQ81" s="147">
        <f>(AQ79+AQ7)-AQ34</f>
        <v>-1094576.226</v>
      </c>
      <c r="AR81" s="148">
        <f>(AR79+AR7)-AR34</f>
        <v>1022972.5408622242</v>
      </c>
      <c r="AS81" s="70"/>
      <c r="AT81" s="70"/>
      <c r="AU81" s="147">
        <f>(AU79+AU7)-AU34</f>
        <v>133172.83868322964</v>
      </c>
      <c r="AV81" s="147">
        <f>(AV79+AV7)-AV34</f>
        <v>228261.22599999997</v>
      </c>
      <c r="AW81" s="148">
        <f>(AW79+AW7)-AW34</f>
        <v>522507.59550141142</v>
      </c>
      <c r="AX81" s="70"/>
      <c r="AY81" s="70"/>
    </row>
    <row r="82" spans="1:51" s="2" customFormat="1" ht="14.4" outlineLevel="1" thickBot="1">
      <c r="A82" s="11"/>
      <c r="B82" s="211" t="s">
        <v>14</v>
      </c>
      <c r="C82" s="212">
        <f>C81-C71-C80</f>
        <v>2262253.3199999998</v>
      </c>
      <c r="D82" s="212">
        <f>D81-D71-D80</f>
        <v>-866315</v>
      </c>
      <c r="E82" s="212">
        <f>E81-E71-E80</f>
        <v>1395938.32</v>
      </c>
      <c r="F82" s="214"/>
      <c r="G82" s="212">
        <f>G81-G71-G80</f>
        <v>-44655</v>
      </c>
      <c r="H82" s="212">
        <f>H81-H71-H80</f>
        <v>-30598</v>
      </c>
      <c r="I82" s="213">
        <f>I81-I71-I80</f>
        <v>-79425.454545454544</v>
      </c>
      <c r="J82" s="215"/>
      <c r="K82" s="286"/>
      <c r="L82" s="212">
        <f>L81-L71-L80</f>
        <v>-959870.27400000009</v>
      </c>
      <c r="M82" s="212">
        <f>M81-M71-M80</f>
        <v>-43876.796000000002</v>
      </c>
      <c r="N82" s="213">
        <f>N81-N71-N80</f>
        <v>-1009730.2694545456</v>
      </c>
      <c r="O82" s="215"/>
      <c r="P82" s="286"/>
      <c r="Q82" s="212">
        <f>Q81-Q71-Q80</f>
        <v>-221007.61000000002</v>
      </c>
      <c r="R82" s="212">
        <f>R81-R71-R80</f>
        <v>-36261</v>
      </c>
      <c r="S82" s="213">
        <f>S81-S71-S80</f>
        <v>-262213.29181818181</v>
      </c>
      <c r="T82" s="215"/>
      <c r="U82" s="286"/>
      <c r="V82" s="212">
        <f>V81-V71-V80</f>
        <v>1941287.824</v>
      </c>
      <c r="W82" s="212">
        <f>W81-W71-W80</f>
        <v>-460123</v>
      </c>
      <c r="X82" s="213">
        <f>X81-X71-X80</f>
        <v>1418420.7785454546</v>
      </c>
      <c r="Y82" s="215"/>
      <c r="Z82" s="286"/>
      <c r="AA82" s="212">
        <f>AA81-AA71-AA80</f>
        <v>1087250.4400000002</v>
      </c>
      <c r="AB82" s="212">
        <f>AB81-AB71-AB80</f>
        <v>-262444.07</v>
      </c>
      <c r="AC82" s="213">
        <f>AC81-AC71-AC80</f>
        <v>787967.6400004247</v>
      </c>
      <c r="AD82" s="215"/>
      <c r="AE82" s="286"/>
      <c r="AF82" s="212">
        <f>AF81-AF71-AF80</f>
        <v>467292.98731677025</v>
      </c>
      <c r="AG82" s="212">
        <f>AG81-AG71-AG80</f>
        <v>-181273.36</v>
      </c>
      <c r="AH82" s="213">
        <f>AH81-AH71-AH80</f>
        <v>261228.14418745766</v>
      </c>
      <c r="AI82" s="215"/>
      <c r="AJ82" s="286"/>
      <c r="AK82" s="212">
        <f>AK81-AK71-AK80</f>
        <v>-3489.2060000000001</v>
      </c>
      <c r="AL82" s="212">
        <f>AL81-AL71-AL80</f>
        <v>-80000</v>
      </c>
      <c r="AM82" s="213">
        <f>AM81-AM71-AM80</f>
        <v>-94496.566889483714</v>
      </c>
      <c r="AN82" s="215"/>
      <c r="AO82" s="286"/>
      <c r="AP82" s="213">
        <f>AP81-AP71-AP80</f>
        <v>2266809.1613167701</v>
      </c>
      <c r="AQ82" s="213">
        <f>AQ81-AQ71-AQ80</f>
        <v>-1094576.226</v>
      </c>
      <c r="AR82" s="213">
        <f>AR81-AR71-AR80</f>
        <v>1022972.5408622242</v>
      </c>
      <c r="AS82" s="82"/>
      <c r="AT82" s="82"/>
      <c r="AU82" s="212">
        <f>AU81-AU71-AU80</f>
        <v>-4555.8413167703548</v>
      </c>
      <c r="AV82" s="212">
        <f>AV81-AV71-AV80</f>
        <v>228261.22599999997</v>
      </c>
      <c r="AW82" s="213">
        <f>AW81-AW71-AW80</f>
        <v>384778.91550141142</v>
      </c>
      <c r="AX82" s="82"/>
      <c r="AY82" s="82"/>
    </row>
    <row r="83" spans="1:51" s="2" customFormat="1" ht="13.8" outlineLevel="3">
      <c r="A83" s="293"/>
      <c r="B83" s="216" t="s">
        <v>44</v>
      </c>
      <c r="C83" s="141"/>
      <c r="D83" s="142"/>
      <c r="E83" s="146">
        <f>C83+D83</f>
        <v>0</v>
      </c>
      <c r="F83" s="217">
        <f>E83/$E$87</f>
        <v>0</v>
      </c>
      <c r="G83" s="102"/>
      <c r="H83" s="102"/>
      <c r="I83" s="146">
        <f>G83+H83</f>
        <v>0</v>
      </c>
      <c r="J83" s="218"/>
      <c r="K83" s="287"/>
      <c r="L83" s="102"/>
      <c r="M83" s="102"/>
      <c r="N83" s="146">
        <f>L83+M83</f>
        <v>0</v>
      </c>
      <c r="O83" s="218"/>
      <c r="P83" s="287"/>
      <c r="Q83" s="102"/>
      <c r="R83" s="102"/>
      <c r="S83" s="146">
        <f>Q83+R83</f>
        <v>0</v>
      </c>
      <c r="T83" s="218"/>
      <c r="U83" s="287"/>
      <c r="V83" s="102"/>
      <c r="W83" s="102"/>
      <c r="X83" s="146">
        <f>V83+W83</f>
        <v>0</v>
      </c>
      <c r="Y83" s="218">
        <f>X83/$X$87</f>
        <v>0</v>
      </c>
      <c r="Z83" s="287"/>
      <c r="AA83" s="102"/>
      <c r="AB83" s="102"/>
      <c r="AC83" s="146">
        <f>AA83+AB83</f>
        <v>0</v>
      </c>
      <c r="AD83" s="218">
        <f>AC83/$X$87</f>
        <v>0</v>
      </c>
      <c r="AE83" s="287"/>
      <c r="AF83" s="102"/>
      <c r="AG83" s="102"/>
      <c r="AH83" s="146">
        <f>AF83+AG83</f>
        <v>0</v>
      </c>
      <c r="AI83" s="218">
        <f>AH83/$X$87</f>
        <v>0</v>
      </c>
      <c r="AJ83" s="287"/>
      <c r="AK83" s="102"/>
      <c r="AL83" s="102"/>
      <c r="AM83" s="146">
        <f>AK83+AL83</f>
        <v>0</v>
      </c>
      <c r="AN83" s="218">
        <f>AM83/$X$87</f>
        <v>0</v>
      </c>
      <c r="AO83" s="287"/>
      <c r="AP83" s="39">
        <f>G83+L83+Q83+V83+AA83+AF83+AK83</f>
        <v>0</v>
      </c>
      <c r="AQ83" s="39">
        <f>H83+M83+R83+W83+AB83+AG83+AL83</f>
        <v>0</v>
      </c>
      <c r="AR83" s="219">
        <f>AP83+AQ83*1.15</f>
        <v>0</v>
      </c>
      <c r="AS83" s="102"/>
      <c r="AT83" s="102"/>
      <c r="AU83" s="220">
        <f>C83-AP83</f>
        <v>0</v>
      </c>
      <c r="AV83" s="220">
        <f>D83-AQ83</f>
        <v>0</v>
      </c>
      <c r="AW83" s="220">
        <f>AU83+AV83*1.15</f>
        <v>0</v>
      </c>
      <c r="AX83" s="218">
        <f>AW83/$E$87</f>
        <v>0</v>
      </c>
      <c r="AY83" s="102"/>
    </row>
    <row r="84" spans="1:51" s="2" customFormat="1" ht="27.6">
      <c r="A84" s="11"/>
      <c r="B84" s="37" t="s">
        <v>50</v>
      </c>
      <c r="C84" s="149">
        <f>C82-C83</f>
        <v>2262253.3199999998</v>
      </c>
      <c r="D84" s="149">
        <f>D82-D83</f>
        <v>-866315</v>
      </c>
      <c r="E84" s="150">
        <f>E82-E83</f>
        <v>1395938.32</v>
      </c>
      <c r="F84" s="175"/>
      <c r="G84" s="72">
        <f>G82-G83</f>
        <v>-44655</v>
      </c>
      <c r="H84" s="72">
        <f>H82-H83</f>
        <v>-30598</v>
      </c>
      <c r="I84" s="73">
        <f>I82-I83</f>
        <v>-79425.454545454544</v>
      </c>
      <c r="J84" s="200"/>
      <c r="K84" s="288"/>
      <c r="L84" s="72">
        <f>L82-L83</f>
        <v>-959870.27400000009</v>
      </c>
      <c r="M84" s="72">
        <f>M82-M83</f>
        <v>-43876.796000000002</v>
      </c>
      <c r="N84" s="73">
        <f>N82-N83</f>
        <v>-1009730.2694545456</v>
      </c>
      <c r="O84" s="200"/>
      <c r="P84" s="288"/>
      <c r="Q84" s="72">
        <f>Q82-Q83</f>
        <v>-221007.61000000002</v>
      </c>
      <c r="R84" s="72">
        <f>R82-R83</f>
        <v>-36261</v>
      </c>
      <c r="S84" s="73">
        <f>S82-S83</f>
        <v>-262213.29181818181</v>
      </c>
      <c r="T84" s="200"/>
      <c r="U84" s="288"/>
      <c r="V84" s="72">
        <f>V82-V83</f>
        <v>1941287.824</v>
      </c>
      <c r="W84" s="72">
        <f>W82-W83</f>
        <v>-460123</v>
      </c>
      <c r="X84" s="73">
        <f>X82-X83</f>
        <v>1418420.7785454546</v>
      </c>
      <c r="Y84" s="200"/>
      <c r="Z84" s="288"/>
      <c r="AA84" s="72">
        <f>AA82-AA83</f>
        <v>1087250.4400000002</v>
      </c>
      <c r="AB84" s="72">
        <f>AB82-AB83</f>
        <v>-262444.07</v>
      </c>
      <c r="AC84" s="73">
        <f>AC82-AC83</f>
        <v>787967.6400004247</v>
      </c>
      <c r="AD84" s="200"/>
      <c r="AE84" s="288"/>
      <c r="AF84" s="72">
        <f>AF82-AF83</f>
        <v>467292.98731677025</v>
      </c>
      <c r="AG84" s="72">
        <f>AG82-AG83</f>
        <v>-181273.36</v>
      </c>
      <c r="AH84" s="73">
        <f>AH82-AH83</f>
        <v>261228.14418745766</v>
      </c>
      <c r="AI84" s="200"/>
      <c r="AJ84" s="288"/>
      <c r="AK84" s="72">
        <f>AK82-AK83</f>
        <v>-3489.2060000000001</v>
      </c>
      <c r="AL84" s="72">
        <f>AL82-AL83</f>
        <v>-80000</v>
      </c>
      <c r="AM84" s="73">
        <f>AM82-AM83</f>
        <v>-94496.566889483714</v>
      </c>
      <c r="AN84" s="200"/>
      <c r="AO84" s="288"/>
      <c r="AP84" s="150">
        <f>AP82-AP83</f>
        <v>2266809.1613167701</v>
      </c>
      <c r="AQ84" s="150">
        <f>AQ82-AQ83</f>
        <v>-1094576.226</v>
      </c>
      <c r="AR84" s="150">
        <f>AR82-AR83</f>
        <v>1022972.5408622242</v>
      </c>
      <c r="AS84" s="73"/>
      <c r="AT84" s="73"/>
      <c r="AU84" s="72">
        <f>AU82-AU83</f>
        <v>-4555.8413167703548</v>
      </c>
      <c r="AV84" s="72">
        <f>AV82-AV83</f>
        <v>228261.22599999997</v>
      </c>
      <c r="AW84" s="73">
        <f>AW82-AW83</f>
        <v>384778.91550141142</v>
      </c>
      <c r="AX84" s="73"/>
      <c r="AY84" s="73"/>
    </row>
    <row r="85" spans="1:51" s="2" customFormat="1" ht="14.4" thickBot="1">
      <c r="A85" s="295"/>
      <c r="B85" s="29" t="s">
        <v>51</v>
      </c>
      <c r="C85" s="155">
        <f>C84/C5</f>
        <v>0.49276301493632257</v>
      </c>
      <c r="D85" s="151" t="e">
        <f>D84/D5</f>
        <v>#DIV/0!</v>
      </c>
      <c r="E85" s="156">
        <f>E84/E5</f>
        <v>0.30406266581513741</v>
      </c>
      <c r="F85" s="176"/>
      <c r="G85" s="74" t="e">
        <f>G84/G5</f>
        <v>#DIV/0!</v>
      </c>
      <c r="H85" s="74" t="e">
        <f>H84/H5</f>
        <v>#DIV/0!</v>
      </c>
      <c r="I85" s="75" t="e">
        <f>I84/I5</f>
        <v>#DIV/0!</v>
      </c>
      <c r="J85" s="201"/>
      <c r="K85" s="289"/>
      <c r="L85" s="74" t="e">
        <f>L84/L5</f>
        <v>#DIV/0!</v>
      </c>
      <c r="M85" s="74" t="e">
        <f>M84/M5</f>
        <v>#DIV/0!</v>
      </c>
      <c r="N85" s="75" t="e">
        <f>N84/N5</f>
        <v>#DIV/0!</v>
      </c>
      <c r="O85" s="201"/>
      <c r="P85" s="289"/>
      <c r="Q85" s="74" t="e">
        <f>Q84/Q5</f>
        <v>#DIV/0!</v>
      </c>
      <c r="R85" s="74" t="e">
        <f>R84/R5</f>
        <v>#DIV/0!</v>
      </c>
      <c r="S85" s="75" t="e">
        <f>S84/S5</f>
        <v>#DIV/0!</v>
      </c>
      <c r="T85" s="201"/>
      <c r="U85" s="289"/>
      <c r="V85" s="74">
        <f>V84/V5</f>
        <v>0.64170765901819149</v>
      </c>
      <c r="W85" s="74" t="e">
        <f>W84/W5</f>
        <v>#DIV/0!</v>
      </c>
      <c r="X85" s="75">
        <f>X84/X5</f>
        <v>0.46886992544345357</v>
      </c>
      <c r="Y85" s="201"/>
      <c r="Z85" s="289"/>
      <c r="AA85" s="74">
        <f>AA84/AA5</f>
        <v>0.74048431557122008</v>
      </c>
      <c r="AB85" s="74" t="e">
        <f>AB84/AB5</f>
        <v>#DIV/0!</v>
      </c>
      <c r="AC85" s="75">
        <f>AC84/AC5</f>
        <v>0.53665435039785681</v>
      </c>
      <c r="AD85" s="201"/>
      <c r="AE85" s="289"/>
      <c r="AF85" s="74">
        <f>AF84/AF5</f>
        <v>0.9233261780904396</v>
      </c>
      <c r="AG85" s="74" t="e">
        <f>AG84/AG5</f>
        <v>#DIV/0!</v>
      </c>
      <c r="AH85" s="75">
        <f>AH84/AH5</f>
        <v>0.51616178827601122</v>
      </c>
      <c r="AI85" s="201"/>
      <c r="AJ85" s="289"/>
      <c r="AK85" s="74" t="e">
        <f>AK84/AK5</f>
        <v>#DIV/0!</v>
      </c>
      <c r="AL85" s="74" t="e">
        <f>AL84/AL5</f>
        <v>#DIV/0!</v>
      </c>
      <c r="AM85" s="75" t="e">
        <f>AM84/AM5</f>
        <v>#DIV/0!</v>
      </c>
      <c r="AN85" s="201"/>
      <c r="AO85" s="289"/>
      <c r="AP85" s="155">
        <f>AP84/AP5</f>
        <v>0.45339954150322082</v>
      </c>
      <c r="AQ85" s="151" t="e">
        <f>AQ84/AQ5</f>
        <v>#DIV/0!</v>
      </c>
      <c r="AR85" s="156">
        <f>AR84/AR5</f>
        <v>0.20461152571303837</v>
      </c>
      <c r="AS85" s="75"/>
      <c r="AT85" s="75"/>
      <c r="AU85" s="74">
        <f>AU84/AU5</f>
        <v>1.1149112749012398E-2</v>
      </c>
      <c r="AV85" s="74" t="e">
        <f>AV84/AV5</f>
        <v>#DIV/0!</v>
      </c>
      <c r="AW85" s="75">
        <f>AW84/AW5</f>
        <v>-0.94163585034807584</v>
      </c>
      <c r="AX85" s="75"/>
      <c r="AY85" s="75"/>
    </row>
    <row r="86" spans="1:51" ht="13.8">
      <c r="A86" s="30"/>
      <c r="B86" s="30"/>
      <c r="C86" s="152"/>
      <c r="D86" s="152"/>
      <c r="E86" s="152"/>
      <c r="F86" s="188"/>
      <c r="G86" s="76"/>
      <c r="H86" s="76"/>
      <c r="I86" s="76"/>
      <c r="J86" s="208"/>
      <c r="K86" s="208"/>
      <c r="L86" s="76"/>
      <c r="M86" s="76"/>
      <c r="N86" s="76"/>
      <c r="O86" s="208"/>
      <c r="P86" s="208"/>
      <c r="Q86" s="76"/>
      <c r="R86" s="76"/>
      <c r="S86" s="76"/>
      <c r="T86" s="208"/>
      <c r="U86" s="208"/>
      <c r="V86" s="76"/>
      <c r="W86" s="76"/>
      <c r="X86" s="76"/>
      <c r="Y86" s="208"/>
      <c r="Z86" s="208"/>
      <c r="AA86" s="76"/>
      <c r="AB86" s="76"/>
      <c r="AC86" s="76"/>
      <c r="AD86" s="208"/>
      <c r="AE86" s="208"/>
      <c r="AF86" s="76"/>
      <c r="AG86" s="76"/>
      <c r="AH86" s="76"/>
      <c r="AI86" s="208"/>
      <c r="AJ86" s="208"/>
      <c r="AK86" s="76"/>
      <c r="AL86" s="76"/>
      <c r="AM86" s="76"/>
      <c r="AN86" s="208"/>
      <c r="AO86" s="208"/>
      <c r="AP86" s="76"/>
      <c r="AQ86" s="76"/>
      <c r="AR86" s="76"/>
      <c r="AS86" s="76"/>
      <c r="AT86" s="76"/>
      <c r="AU86" s="76"/>
      <c r="AV86" s="76"/>
      <c r="AW86" s="76"/>
      <c r="AX86" s="76"/>
      <c r="AY86" s="76"/>
    </row>
    <row r="87" spans="1:51">
      <c r="B87" s="221" t="s">
        <v>56</v>
      </c>
      <c r="C87" s="153"/>
      <c r="D87" s="153"/>
      <c r="E87" s="154">
        <f>E8+E34+E39+E48+E52+E71+E77+E80+E83</f>
        <v>3195017.68</v>
      </c>
      <c r="F87" s="189"/>
      <c r="I87" s="154">
        <f>I8+I34+I39+I48+I52+I71+I77+I80+I83</f>
        <v>79425.454545454544</v>
      </c>
      <c r="N87" s="154">
        <f>N8+N34+N39+N48+N52+N71+N77+N80+N83</f>
        <v>1009730.2694545456</v>
      </c>
      <c r="S87" s="154">
        <f>S8+S34+S39+S48+S52+S71+S77+S80+S83</f>
        <v>262213.29181818181</v>
      </c>
      <c r="X87" s="154">
        <f>X8+X34+X39+X48+X52+X71+X77+X80+X83</f>
        <v>1606769.5814545457</v>
      </c>
      <c r="AC87" s="154">
        <f>AC8+AC34+AC39+AC48+AC52+AC71+AC77+AC80+AC83</f>
        <v>680328.73999957542</v>
      </c>
      <c r="AH87" s="154">
        <f>AH8+AH34+AH39+AH48+AH52+AH71+AH77+AH80+AH83</f>
        <v>244869.26581254238</v>
      </c>
      <c r="AM87" s="154">
        <f>AM8+AM34+AM39+AM48+AM52+AM71+AM77+AM80+AM83</f>
        <v>94496.566889483714</v>
      </c>
      <c r="AR87" s="154">
        <f>AR8+AR34+AR39+AR48+AR52+AR71+AR77+AR80+AR83</f>
        <v>3976611.6091377758</v>
      </c>
      <c r="AU87" s="38"/>
      <c r="AV87" s="38"/>
      <c r="AW87" s="154">
        <f>AW8+AW34+AW39+AW48+AW52+AW71+AW77+AW80+AW83</f>
        <v>-793407.06550141191</v>
      </c>
      <c r="AX87" s="38"/>
      <c r="AY87" s="38"/>
    </row>
    <row r="88" spans="1:51">
      <c r="C88" s="153"/>
      <c r="D88" s="153"/>
      <c r="E88" s="153"/>
    </row>
    <row r="89" spans="1:51" s="2" customFormat="1">
      <c r="A89" s="8"/>
      <c r="B89" s="8"/>
      <c r="C89" s="153"/>
      <c r="D89" s="153"/>
      <c r="E89" s="153"/>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row>
    <row r="90" spans="1:51">
      <c r="C90" s="38"/>
      <c r="D90" s="38"/>
    </row>
    <row r="91" spans="1:51" s="2" customFormat="1">
      <c r="A91" s="8"/>
      <c r="B91" s="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row>
    <row r="92" spans="1:51" s="2" customFormat="1">
      <c r="A92" s="8"/>
      <c r="B92" s="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row>
    <row r="93" spans="1:51"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row>
    <row r="94" spans="1:51"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row>
    <row r="95" spans="1:51">
      <c r="C95" s="38"/>
      <c r="D95" s="38"/>
    </row>
    <row r="96" spans="1:51"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row>
    <row r="97" spans="3:4">
      <c r="C97" s="38"/>
      <c r="D97" s="38"/>
    </row>
  </sheetData>
  <mergeCells count="12">
    <mergeCell ref="A40:A46"/>
    <mergeCell ref="A2:F2"/>
    <mergeCell ref="G2:J3"/>
    <mergeCell ref="AP2:AT3"/>
    <mergeCell ref="AU2:AY3"/>
    <mergeCell ref="A3:F3"/>
    <mergeCell ref="L2:O3"/>
    <mergeCell ref="Q2:T3"/>
    <mergeCell ref="V2:Y3"/>
    <mergeCell ref="AA2:AD3"/>
    <mergeCell ref="AF2:AI3"/>
    <mergeCell ref="AK2:AN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39997558519241921"/>
  </sheetPr>
  <dimension ref="A1:AF112"/>
  <sheetViews>
    <sheetView topLeftCell="A13" zoomScaleNormal="100" workbookViewId="0">
      <selection activeCell="AJ1" sqref="AJ1:AM1048576"/>
    </sheetView>
  </sheetViews>
  <sheetFormatPr defaultRowHeight="14.4" outlineLevelRow="1" outlineLevelCol="1"/>
  <cols>
    <col min="2" max="2" width="48.5546875" customWidth="1"/>
    <col min="3" max="3" width="13.6640625" bestFit="1" customWidth="1"/>
    <col min="4" max="4" width="14.109375" customWidth="1" outlineLevel="1"/>
    <col min="5" max="5" width="11.33203125" customWidth="1" outlineLevel="1"/>
    <col min="6" max="6" width="12.88671875" customWidth="1" outlineLevel="1"/>
    <col min="7" max="7" width="11.88671875" customWidth="1" outlineLevel="1"/>
    <col min="8" max="8" width="15.88671875" customWidth="1" outlineLevel="1"/>
    <col min="9" max="10" width="8.88671875" customWidth="1" outlineLevel="1"/>
    <col min="11" max="11" width="11.88671875" customWidth="1" outlineLevel="1"/>
    <col min="12" max="12" width="11.33203125" customWidth="1" outlineLevel="1"/>
    <col min="13" max="15" width="8.88671875" customWidth="1" outlineLevel="1"/>
    <col min="16" max="16" width="9.6640625" customWidth="1" outlineLevel="1"/>
    <col min="17" max="17" width="10.33203125" customWidth="1" outlineLevel="1"/>
    <col min="18" max="18" width="7.6640625" customWidth="1" outlineLevel="1"/>
    <col min="19" max="19" width="8" customWidth="1" outlineLevel="1"/>
    <col min="20" max="20" width="8.33203125" customWidth="1" outlineLevel="1"/>
    <col min="21" max="21" width="8.88671875" customWidth="1" outlineLevel="1"/>
    <col min="22" max="22" width="8.33203125" customWidth="1" outlineLevel="1"/>
    <col min="23" max="23" width="9.5546875" customWidth="1" outlineLevel="1"/>
    <col min="24" max="24" width="8.6640625" customWidth="1" outlineLevel="1"/>
    <col min="25" max="25" width="11.33203125" style="1312" customWidth="1" outlineLevel="1"/>
    <col min="26" max="26" width="11.33203125" style="2123" customWidth="1" outlineLevel="1"/>
    <col min="27" max="27" width="9.88671875" style="2123" customWidth="1" outlineLevel="1"/>
    <col min="28" max="28" width="9.88671875" style="2123" bestFit="1" customWidth="1"/>
    <col min="29" max="29" width="9.88671875" style="2123" customWidth="1"/>
    <col min="30" max="30" width="9.88671875" style="2123" bestFit="1" customWidth="1"/>
    <col min="31" max="31" width="9.88671875" style="2123" customWidth="1"/>
    <col min="32" max="32" width="9.88671875" style="1312" bestFit="1" customWidth="1"/>
  </cols>
  <sheetData>
    <row r="1" spans="1:32">
      <c r="C1" s="4856" t="s">
        <v>1094</v>
      </c>
      <c r="D1" s="4856"/>
      <c r="E1" s="4856"/>
      <c r="G1" s="4857" t="s">
        <v>1095</v>
      </c>
      <c r="H1" s="4857"/>
      <c r="I1" s="4857"/>
      <c r="K1" s="4858" t="s">
        <v>1096</v>
      </c>
      <c r="L1" s="4858"/>
      <c r="M1" s="4858"/>
    </row>
    <row r="2" spans="1:32">
      <c r="A2" t="s">
        <v>260</v>
      </c>
      <c r="B2" s="917"/>
      <c r="C2" s="353">
        <f>SUM(D4:D23)/SUM(C4:C23)</f>
        <v>0.12232716688312938</v>
      </c>
      <c r="G2" s="353">
        <f>SUM(H4:H23)/SUM(G4:G23)</f>
        <v>0.11141855065902874</v>
      </c>
      <c r="K2" s="353">
        <f>SUM(L4:L23)/SUM(K4:K23)</f>
        <v>5.8979856190885527E-2</v>
      </c>
    </row>
    <row r="3" spans="1:32" outlineLevel="1">
      <c r="C3" t="s">
        <v>257</v>
      </c>
      <c r="D3" t="s">
        <v>258</v>
      </c>
      <c r="E3" t="s">
        <v>259</v>
      </c>
      <c r="G3" t="s">
        <v>257</v>
      </c>
      <c r="H3" t="s">
        <v>258</v>
      </c>
      <c r="I3" t="s">
        <v>259</v>
      </c>
      <c r="K3" t="s">
        <v>257</v>
      </c>
      <c r="L3" t="s">
        <v>258</v>
      </c>
      <c r="M3" t="s">
        <v>259</v>
      </c>
    </row>
    <row r="4" spans="1:32" outlineLevel="1">
      <c r="B4">
        <v>1</v>
      </c>
      <c r="C4" s="345">
        <v>2408426</v>
      </c>
      <c r="D4" s="345">
        <v>313095.38</v>
      </c>
      <c r="E4" s="350">
        <f>D4/C4</f>
        <v>0.13</v>
      </c>
      <c r="G4" s="345"/>
      <c r="H4" s="345"/>
      <c r="I4" s="350" t="e">
        <f>H4/G4</f>
        <v>#DIV/0!</v>
      </c>
      <c r="K4" s="345"/>
      <c r="L4" s="345"/>
      <c r="M4" s="350" t="e">
        <f>L4/K4</f>
        <v>#DIV/0!</v>
      </c>
    </row>
    <row r="5" spans="1:32" outlineLevel="1">
      <c r="B5">
        <v>2</v>
      </c>
      <c r="C5" s="345">
        <v>3090864</v>
      </c>
      <c r="D5" s="345">
        <v>401812.32</v>
      </c>
      <c r="E5" s="444">
        <f>D5/C5</f>
        <v>0.13</v>
      </c>
      <c r="G5" s="345"/>
      <c r="H5" s="345"/>
      <c r="I5" s="444" t="e">
        <f>H5/G5</f>
        <v>#DIV/0!</v>
      </c>
      <c r="K5" s="345"/>
      <c r="L5" s="345"/>
      <c r="M5" s="444" t="e">
        <f>L5/K5</f>
        <v>#DIV/0!</v>
      </c>
    </row>
    <row r="6" spans="1:32" outlineLevel="1">
      <c r="B6">
        <v>3</v>
      </c>
      <c r="C6" s="345">
        <v>0</v>
      </c>
      <c r="D6" s="345">
        <v>0</v>
      </c>
      <c r="E6" s="444">
        <v>0.13</v>
      </c>
      <c r="G6" s="345"/>
      <c r="H6" s="345"/>
      <c r="I6" s="444">
        <v>0.13</v>
      </c>
      <c r="K6" s="345"/>
      <c r="L6" s="345"/>
      <c r="M6" s="444">
        <v>0.13</v>
      </c>
      <c r="Y6"/>
      <c r="AF6"/>
    </row>
    <row r="7" spans="1:32" outlineLevel="1">
      <c r="B7" s="1013" t="s">
        <v>1102</v>
      </c>
      <c r="C7" s="345">
        <v>5652236.7199999997</v>
      </c>
      <c r="D7" s="345">
        <v>621432.22</v>
      </c>
      <c r="E7" s="350">
        <f t="shared" ref="E7:E25" si="0">D7/C7</f>
        <v>0.10994447875849049</v>
      </c>
      <c r="G7" s="345">
        <v>63036</v>
      </c>
      <c r="H7" s="345">
        <v>8825</v>
      </c>
      <c r="I7" s="350">
        <f>H7/G7</f>
        <v>0.13999936544196967</v>
      </c>
      <c r="K7" s="345">
        <f>699476</f>
        <v>699476</v>
      </c>
      <c r="L7" s="345">
        <v>47451.54</v>
      </c>
      <c r="M7" s="350">
        <f>L7/K7</f>
        <v>6.7838696395587553E-2</v>
      </c>
      <c r="Y7"/>
      <c r="AF7"/>
    </row>
    <row r="8" spans="1:32" outlineLevel="1">
      <c r="B8" s="1019" t="s">
        <v>1123</v>
      </c>
      <c r="C8" s="345">
        <v>10747681.039999999</v>
      </c>
      <c r="D8" s="345">
        <v>1359669.39</v>
      </c>
      <c r="E8" s="350">
        <f t="shared" si="0"/>
        <v>0.12650816347635119</v>
      </c>
      <c r="G8" s="345">
        <v>100378.2</v>
      </c>
      <c r="H8" s="345">
        <v>14052.95</v>
      </c>
      <c r="I8" s="350">
        <f>H8/G8</f>
        <v>0.140000019924645</v>
      </c>
      <c r="K8" s="345">
        <v>1340996</v>
      </c>
      <c r="L8" s="345">
        <v>46250</v>
      </c>
      <c r="M8" s="350">
        <f>L8/K8</f>
        <v>3.448929005008218E-2</v>
      </c>
      <c r="Y8"/>
      <c r="AF8"/>
    </row>
    <row r="9" spans="1:32" outlineLevel="1">
      <c r="B9" s="1013" t="s">
        <v>1179</v>
      </c>
      <c r="C9" s="1346"/>
      <c r="D9" s="1346"/>
      <c r="E9" s="350" t="e">
        <f t="shared" si="0"/>
        <v>#DIV/0!</v>
      </c>
      <c r="G9" s="525">
        <v>618288.79</v>
      </c>
      <c r="H9" s="525">
        <v>25433.85</v>
      </c>
      <c r="I9" s="350">
        <f>H9/G9</f>
        <v>4.1135874386465904E-2</v>
      </c>
      <c r="K9" s="525">
        <v>4151566</v>
      </c>
      <c r="L9" s="525">
        <v>195298.3</v>
      </c>
      <c r="M9" s="350">
        <f>L9/K9</f>
        <v>4.7042080024742465E-2</v>
      </c>
      <c r="Y9"/>
      <c r="AF9"/>
    </row>
    <row r="10" spans="1:32" outlineLevel="1">
      <c r="B10" s="1013" t="s">
        <v>1196</v>
      </c>
      <c r="C10" s="1346"/>
      <c r="D10" s="1346"/>
      <c r="E10" s="350" t="e">
        <f>D10/C10</f>
        <v>#DIV/0!</v>
      </c>
      <c r="G10" s="345">
        <v>150445</v>
      </c>
      <c r="H10" s="345">
        <v>16548.95</v>
      </c>
      <c r="I10" s="350">
        <f>H10/G10</f>
        <v>0.11</v>
      </c>
      <c r="K10" s="345">
        <v>1312900</v>
      </c>
      <c r="L10" s="345">
        <v>59465</v>
      </c>
      <c r="M10" s="350">
        <f>L10/K10</f>
        <v>4.5292863127427835E-2</v>
      </c>
      <c r="Y10"/>
      <c r="AF10"/>
    </row>
    <row r="11" spans="1:32" outlineLevel="1">
      <c r="B11" s="1013" t="s">
        <v>1288</v>
      </c>
      <c r="C11" s="525">
        <v>3979360</v>
      </c>
      <c r="D11" s="525">
        <v>457626.4</v>
      </c>
      <c r="E11" s="444">
        <f>D11/C11</f>
        <v>0.115</v>
      </c>
      <c r="G11" s="525">
        <v>1267898.0399999998</v>
      </c>
      <c r="H11" s="525">
        <v>147703.56505</v>
      </c>
      <c r="I11" s="444">
        <f>H11/G11</f>
        <v>0.1164948287561041</v>
      </c>
      <c r="K11" s="525">
        <v>4368550</v>
      </c>
      <c r="L11" s="525">
        <v>204187.5</v>
      </c>
      <c r="M11" s="444">
        <f>L11/K11</f>
        <v>4.6740337182818101E-2</v>
      </c>
      <c r="Y11"/>
      <c r="AF11"/>
    </row>
    <row r="12" spans="1:32" outlineLevel="1">
      <c r="B12" s="1013" t="s">
        <v>1270</v>
      </c>
      <c r="C12" s="345"/>
      <c r="D12" s="345"/>
      <c r="E12" s="350" t="e">
        <f t="shared" si="0"/>
        <v>#DIV/0!</v>
      </c>
      <c r="G12" s="345"/>
      <c r="H12" s="345"/>
      <c r="I12" s="350" t="e">
        <f t="shared" ref="I12:I23" si="1">H12/G12</f>
        <v>#DIV/0!</v>
      </c>
      <c r="K12" s="345">
        <v>200000</v>
      </c>
      <c r="L12" s="345">
        <v>6000</v>
      </c>
      <c r="M12" s="350">
        <f t="shared" ref="M12:M29" si="2">L12/K12</f>
        <v>0.03</v>
      </c>
      <c r="R12" s="2123"/>
      <c r="Y12"/>
      <c r="AF12"/>
    </row>
    <row r="13" spans="1:32" outlineLevel="1">
      <c r="B13" s="1013" t="s">
        <v>1293</v>
      </c>
      <c r="C13" s="345">
        <v>2285664.7999999998</v>
      </c>
      <c r="D13" s="345">
        <v>262851.45</v>
      </c>
      <c r="E13" s="350">
        <f t="shared" si="0"/>
        <v>0.11499999912498107</v>
      </c>
      <c r="G13" s="345">
        <v>696620.59000000008</v>
      </c>
      <c r="H13" s="345">
        <v>80111.37000000001</v>
      </c>
      <c r="I13" s="350">
        <f t="shared" si="1"/>
        <v>0.11500000308632853</v>
      </c>
      <c r="K13" s="525">
        <v>200000</v>
      </c>
      <c r="L13" s="525">
        <v>6000</v>
      </c>
      <c r="M13" s="350">
        <f t="shared" si="2"/>
        <v>0.03</v>
      </c>
      <c r="R13" s="2123"/>
      <c r="Y13"/>
      <c r="AF13"/>
    </row>
    <row r="14" spans="1:32" outlineLevel="1">
      <c r="B14" s="1013" t="s">
        <v>1316</v>
      </c>
      <c r="C14" s="345">
        <v>4006508.24</v>
      </c>
      <c r="D14" s="345">
        <v>475748.44760000001</v>
      </c>
      <c r="E14" s="350">
        <f t="shared" si="0"/>
        <v>0.11874390843633957</v>
      </c>
      <c r="G14" s="345">
        <f>655733.71+139000</f>
        <v>794733.71</v>
      </c>
      <c r="H14" s="345">
        <v>75409.376650000006</v>
      </c>
      <c r="I14" s="350">
        <f t="shared" si="1"/>
        <v>9.4886344571944739E-2</v>
      </c>
      <c r="K14" s="345">
        <v>4229000</v>
      </c>
      <c r="L14" s="345">
        <v>126870</v>
      </c>
      <c r="M14" s="350">
        <f t="shared" si="2"/>
        <v>0.03</v>
      </c>
      <c r="R14" s="2123"/>
      <c r="Y14"/>
      <c r="AF14"/>
    </row>
    <row r="15" spans="1:32" s="2123" customFormat="1" outlineLevel="1">
      <c r="B15" s="1013" t="s">
        <v>1372</v>
      </c>
      <c r="C15" s="345">
        <v>2850000</v>
      </c>
      <c r="D15" s="345">
        <v>342000</v>
      </c>
      <c r="E15" s="350">
        <f t="shared" si="0"/>
        <v>0.12</v>
      </c>
      <c r="G15" s="345">
        <v>429137.72</v>
      </c>
      <c r="H15" s="345">
        <v>49350.837800000001</v>
      </c>
      <c r="I15" s="350">
        <f t="shared" si="1"/>
        <v>0.115</v>
      </c>
      <c r="K15" s="345">
        <v>1405340</v>
      </c>
      <c r="L15" s="345">
        <v>70267</v>
      </c>
      <c r="M15" s="350">
        <f t="shared" si="2"/>
        <v>0.05</v>
      </c>
    </row>
    <row r="16" spans="1:32" s="2123" customFormat="1" outlineLevel="1">
      <c r="B16" s="1013" t="s">
        <v>1399</v>
      </c>
      <c r="C16" s="2627">
        <v>1889615.69</v>
      </c>
      <c r="D16" s="2628">
        <v>223397.72589999999</v>
      </c>
      <c r="E16" s="350">
        <f t="shared" si="0"/>
        <v>0.11822389445760793</v>
      </c>
      <c r="G16" s="345"/>
      <c r="H16" s="345"/>
      <c r="I16" s="350" t="e">
        <f t="shared" si="1"/>
        <v>#DIV/0!</v>
      </c>
      <c r="K16" s="2629">
        <v>2131701.4</v>
      </c>
      <c r="L16" s="2630">
        <v>109432.72000000002</v>
      </c>
      <c r="M16" s="350">
        <f t="shared" si="2"/>
        <v>5.1335857826992098E-2</v>
      </c>
      <c r="R16" s="345"/>
    </row>
    <row r="17" spans="2:32" s="2123" customFormat="1" outlineLevel="1">
      <c r="B17" s="1013" t="s">
        <v>1408</v>
      </c>
      <c r="C17" s="2632">
        <v>5146581</v>
      </c>
      <c r="D17" s="2632">
        <v>637523</v>
      </c>
      <c r="E17" s="350">
        <f t="shared" si="0"/>
        <v>0.12387311110035963</v>
      </c>
      <c r="G17" s="345">
        <v>401936</v>
      </c>
      <c r="H17" s="345">
        <v>52252</v>
      </c>
      <c r="I17" s="350">
        <f t="shared" si="1"/>
        <v>0.13000079614665022</v>
      </c>
      <c r="K17" s="345">
        <v>1726170</v>
      </c>
      <c r="L17" s="345">
        <v>94939</v>
      </c>
      <c r="M17" s="350">
        <f t="shared" si="2"/>
        <v>5.4999797238974142E-2</v>
      </c>
    </row>
    <row r="18" spans="2:32" outlineLevel="1">
      <c r="B18" s="1013" t="s">
        <v>1488</v>
      </c>
      <c r="C18" s="345">
        <v>1091840</v>
      </c>
      <c r="D18" s="345">
        <v>119011</v>
      </c>
      <c r="E18" s="350">
        <f t="shared" si="0"/>
        <v>0.10900040298944901</v>
      </c>
      <c r="G18" s="345">
        <v>483950</v>
      </c>
      <c r="H18" s="345">
        <v>53235</v>
      </c>
      <c r="I18" s="350">
        <f t="shared" si="1"/>
        <v>0.11000103316458312</v>
      </c>
      <c r="K18" s="345">
        <v>3202451</v>
      </c>
      <c r="L18" s="345">
        <v>167623</v>
      </c>
      <c r="M18" s="350">
        <f t="shared" si="2"/>
        <v>5.2342096725289472E-2</v>
      </c>
      <c r="AF18"/>
    </row>
    <row r="19" spans="2:32" s="2123" customFormat="1" outlineLevel="1">
      <c r="B19" s="1013" t="s">
        <v>1645</v>
      </c>
      <c r="C19" s="345">
        <v>9462589.379999999</v>
      </c>
      <c r="D19" s="345">
        <v>1103619.2786999987</v>
      </c>
      <c r="E19" s="350">
        <f t="shared" si="0"/>
        <v>0.11662973361526112</v>
      </c>
      <c r="G19" s="345">
        <v>299954</v>
      </c>
      <c r="H19" s="345">
        <v>32994.94</v>
      </c>
      <c r="I19" s="350">
        <f t="shared" si="1"/>
        <v>0.11000000000000001</v>
      </c>
      <c r="K19" s="345">
        <v>1499970.19</v>
      </c>
      <c r="L19" s="345">
        <v>172496.57184999995</v>
      </c>
      <c r="M19" s="350">
        <f t="shared" si="2"/>
        <v>0.11499999999999998</v>
      </c>
    </row>
    <row r="20" spans="2:32" s="2123" customFormat="1" outlineLevel="1">
      <c r="B20" s="1013" t="s">
        <v>1750</v>
      </c>
      <c r="C20" s="345">
        <v>7762830</v>
      </c>
      <c r="D20" s="345">
        <v>918259</v>
      </c>
      <c r="E20" s="350">
        <f t="shared" si="0"/>
        <v>0.11828920638478493</v>
      </c>
      <c r="G20" s="345">
        <v>543482</v>
      </c>
      <c r="H20" s="345">
        <v>70452</v>
      </c>
      <c r="I20" s="350">
        <f t="shared" si="1"/>
        <v>0.12963078814017759</v>
      </c>
      <c r="K20" s="345">
        <v>1318783</v>
      </c>
      <c r="L20" s="345">
        <v>157961</v>
      </c>
      <c r="M20" s="350">
        <f t="shared" si="2"/>
        <v>0.11977785579583601</v>
      </c>
    </row>
    <row r="21" spans="2:32" s="2123" customFormat="1" outlineLevel="1">
      <c r="B21" s="1013" t="s">
        <v>1795</v>
      </c>
      <c r="C21" s="345">
        <v>4285951.03</v>
      </c>
      <c r="D21" s="345">
        <v>496273.3</v>
      </c>
      <c r="E21" s="350">
        <f t="shared" si="0"/>
        <v>0.11579070701608085</v>
      </c>
      <c r="G21" s="345">
        <v>449304.76499999996</v>
      </c>
      <c r="H21" s="345">
        <v>52029.49</v>
      </c>
      <c r="I21" s="350">
        <f t="shared" si="1"/>
        <v>0.11579999602274417</v>
      </c>
      <c r="K21" s="345">
        <f>1006651.19</f>
        <v>1006651.19</v>
      </c>
      <c r="L21" s="345">
        <v>116570.2</v>
      </c>
      <c r="M21" s="350">
        <f t="shared" si="2"/>
        <v>0.11579999224954972</v>
      </c>
    </row>
    <row r="22" spans="2:32" s="2123" customFormat="1" outlineLevel="1">
      <c r="B22" s="3301" t="s">
        <v>1758</v>
      </c>
      <c r="C22" s="345">
        <v>5646078</v>
      </c>
      <c r="D22" s="345">
        <v>718987</v>
      </c>
      <c r="E22" s="350">
        <f t="shared" ref="E22" si="3">D22/C22</f>
        <v>0.12734273242417127</v>
      </c>
      <c r="G22" s="345">
        <v>123912</v>
      </c>
      <c r="H22" s="345">
        <v>17348</v>
      </c>
      <c r="I22" s="350">
        <f t="shared" ref="I22" si="4">H22/G22</f>
        <v>0.14000258247788752</v>
      </c>
      <c r="K22" s="345"/>
      <c r="L22" s="345"/>
      <c r="M22" s="350">
        <v>0.1273</v>
      </c>
    </row>
    <row r="23" spans="2:32" s="2123" customFormat="1" outlineLevel="1">
      <c r="B23" s="3301" t="s">
        <v>1823</v>
      </c>
      <c r="C23" s="345">
        <v>9191143</v>
      </c>
      <c r="D23" s="345">
        <v>1273382</v>
      </c>
      <c r="E23" s="350">
        <f t="shared" si="0"/>
        <v>0.13854446612352783</v>
      </c>
      <c r="G23" s="345">
        <v>628409</v>
      </c>
      <c r="H23" s="345">
        <v>89919</v>
      </c>
      <c r="I23" s="350">
        <f t="shared" si="1"/>
        <v>0.14308993028425754</v>
      </c>
      <c r="K23" s="345">
        <v>1468605</v>
      </c>
      <c r="L23" s="345">
        <v>204046</v>
      </c>
      <c r="M23" s="350">
        <f t="shared" si="2"/>
        <v>0.13893865266698671</v>
      </c>
    </row>
    <row r="24" spans="2:32" outlineLevel="1">
      <c r="B24" s="1013" t="s">
        <v>1906</v>
      </c>
      <c r="C24" s="345">
        <v>3135856</v>
      </c>
      <c r="D24" s="345">
        <v>394168</v>
      </c>
      <c r="E24" s="350">
        <f t="shared" si="0"/>
        <v>0.12569709833614809</v>
      </c>
      <c r="G24" s="345">
        <v>120000</v>
      </c>
      <c r="H24" s="345">
        <v>16200</v>
      </c>
      <c r="I24" s="350">
        <f>H24/G24</f>
        <v>0.13500000000000001</v>
      </c>
      <c r="K24" s="345">
        <v>1312728</v>
      </c>
      <c r="L24" s="352">
        <v>183782</v>
      </c>
      <c r="M24" s="350">
        <f t="shared" si="2"/>
        <v>0.14000006094179449</v>
      </c>
    </row>
    <row r="25" spans="2:32" s="2123" customFormat="1" outlineLevel="1">
      <c r="B25" s="1013" t="s">
        <v>1907</v>
      </c>
      <c r="C25" s="345">
        <v>4891736</v>
      </c>
      <c r="D25" s="345">
        <v>629847</v>
      </c>
      <c r="E25" s="350">
        <f t="shared" si="0"/>
        <v>0.12875735730628146</v>
      </c>
      <c r="G25" s="345">
        <v>0</v>
      </c>
      <c r="H25" s="345">
        <v>0</v>
      </c>
      <c r="I25" s="350">
        <f>I24</f>
        <v>0.13500000000000001</v>
      </c>
      <c r="K25" s="345">
        <v>442477</v>
      </c>
      <c r="L25" s="352">
        <v>57522</v>
      </c>
      <c r="M25" s="350">
        <f t="shared" si="2"/>
        <v>0.12999997739995525</v>
      </c>
    </row>
    <row r="26" spans="2:32" s="2123" customFormat="1" outlineLevel="1">
      <c r="B26" s="1013" t="s">
        <v>1908</v>
      </c>
      <c r="C26" s="525">
        <v>5338093</v>
      </c>
      <c r="D26" s="4158">
        <v>672676.2248999998</v>
      </c>
      <c r="E26" s="444">
        <f>D26/C26</f>
        <v>0.12601433225310982</v>
      </c>
      <c r="F26" s="526"/>
      <c r="G26" s="525">
        <v>120000</v>
      </c>
      <c r="H26" s="525">
        <v>15600</v>
      </c>
      <c r="I26" s="444">
        <f>H26/G26</f>
        <v>0.13</v>
      </c>
      <c r="J26" s="526"/>
      <c r="K26" s="525">
        <v>319855</v>
      </c>
      <c r="L26" s="4198">
        <v>41581</v>
      </c>
      <c r="M26" s="350">
        <f t="shared" si="2"/>
        <v>0.12999953103750136</v>
      </c>
    </row>
    <row r="27" spans="2:32" s="2123" customFormat="1" outlineLevel="1">
      <c r="B27" s="1013" t="s">
        <v>1909</v>
      </c>
      <c r="C27" s="525">
        <v>3575203.0599999996</v>
      </c>
      <c r="D27" s="4199">
        <v>464776.39779999945</v>
      </c>
      <c r="E27" s="444">
        <f>D27/C27</f>
        <v>0.12999999999999987</v>
      </c>
      <c r="F27" s="526"/>
      <c r="G27" s="525">
        <v>0</v>
      </c>
      <c r="H27" s="4199">
        <v>0</v>
      </c>
      <c r="I27" s="444">
        <f>I26</f>
        <v>0.13</v>
      </c>
      <c r="J27" s="526"/>
      <c r="K27" s="525">
        <v>806365.59</v>
      </c>
      <c r="L27" s="4199">
        <v>104827.52669999993</v>
      </c>
      <c r="M27" s="350">
        <f t="shared" si="2"/>
        <v>0.12999999999999992</v>
      </c>
    </row>
    <row r="28" spans="2:32" s="2123" customFormat="1" outlineLevel="1">
      <c r="B28" s="1013" t="s">
        <v>1910</v>
      </c>
      <c r="C28" s="525">
        <v>5004914</v>
      </c>
      <c r="D28" s="4199">
        <v>647658</v>
      </c>
      <c r="E28" s="444">
        <f>D28/C28</f>
        <v>0.12940442133471225</v>
      </c>
      <c r="F28" s="526"/>
      <c r="G28" s="525">
        <v>199968</v>
      </c>
      <c r="H28" s="4199">
        <v>23996</v>
      </c>
      <c r="I28" s="444">
        <f>H28/G28</f>
        <v>0.11999919987197952</v>
      </c>
      <c r="J28" s="526"/>
      <c r="K28" s="525">
        <v>30053</v>
      </c>
      <c r="L28" s="4199">
        <v>3907</v>
      </c>
      <c r="M28" s="444">
        <f t="shared" si="2"/>
        <v>0.13000366020031279</v>
      </c>
    </row>
    <row r="29" spans="2:32" s="2123" customFormat="1" outlineLevel="1">
      <c r="B29" s="1013" t="s">
        <v>2145</v>
      </c>
      <c r="C29" s="1346">
        <v>1</v>
      </c>
      <c r="D29" s="4607">
        <v>0.13</v>
      </c>
      <c r="E29" s="444">
        <f>D29/C29</f>
        <v>0.13</v>
      </c>
      <c r="F29" s="526"/>
      <c r="G29" s="1346">
        <v>1</v>
      </c>
      <c r="H29" s="4607">
        <v>0.13</v>
      </c>
      <c r="I29" s="444">
        <f>H29/G29</f>
        <v>0.13</v>
      </c>
      <c r="J29" s="526"/>
      <c r="K29" s="1346">
        <v>1</v>
      </c>
      <c r="L29" s="4607">
        <v>0.13</v>
      </c>
      <c r="M29" s="444">
        <f t="shared" si="2"/>
        <v>0.13</v>
      </c>
    </row>
    <row r="32" spans="2:32" ht="29.4" thickBot="1">
      <c r="B32" s="528" t="s">
        <v>967</v>
      </c>
      <c r="C32" s="529">
        <v>15831479.972551942</v>
      </c>
      <c r="N32" s="352"/>
      <c r="O32" s="352"/>
      <c r="P32" s="352"/>
    </row>
    <row r="34" spans="2:32">
      <c r="B34" s="2999" t="s">
        <v>1459</v>
      </c>
      <c r="C34" s="2999">
        <v>17670</v>
      </c>
    </row>
    <row r="35" spans="2:32" s="2123" customFormat="1" ht="28.8">
      <c r="B35" s="2652"/>
      <c r="C35" s="2658" t="s">
        <v>1463</v>
      </c>
      <c r="D35" s="2658" t="s">
        <v>1464</v>
      </c>
      <c r="E35" s="2658" t="s">
        <v>1465</v>
      </c>
      <c r="F35" s="2658" t="s">
        <v>1457</v>
      </c>
      <c r="G35" s="3202" t="s">
        <v>1798</v>
      </c>
      <c r="H35" s="3202" t="s">
        <v>1797</v>
      </c>
      <c r="K35" s="370"/>
      <c r="L35" s="370"/>
      <c r="P35" s="370"/>
      <c r="Q35" s="370"/>
    </row>
    <row r="36" spans="2:32" s="2123" customFormat="1">
      <c r="B36" s="2657" t="s">
        <v>1461</v>
      </c>
      <c r="C36" s="2659" t="e">
        <f>C44</f>
        <v>#REF!</v>
      </c>
      <c r="D36" s="2659">
        <f>SUM(D37:D41)</f>
        <v>70760346.272</v>
      </c>
      <c r="E36" s="2659">
        <f>SUM(E37:E41)</f>
        <v>18204451.310000002</v>
      </c>
      <c r="F36" s="2659" t="e">
        <f>SUM(F37:F41)</f>
        <v>#REF!</v>
      </c>
      <c r="G36" s="2659">
        <f>SUM(G37:G40)</f>
        <v>7763333.333333333</v>
      </c>
      <c r="H36" s="2659" t="e">
        <f>SUM(H37:H40)</f>
        <v>#REF!</v>
      </c>
    </row>
    <row r="37" spans="2:32" s="2123" customFormat="1">
      <c r="B37" s="2656" t="s">
        <v>1094</v>
      </c>
      <c r="C37" s="2653" t="e">
        <f>53608622.52-1170745+#REF!+#REF!+#REF!+#REF!+#REF!</f>
        <v>#REF!</v>
      </c>
      <c r="D37" s="352">
        <f>C46</f>
        <v>56679410.272</v>
      </c>
      <c r="E37" s="352">
        <f>C64</f>
        <v>12998874.41</v>
      </c>
      <c r="F37" s="352" t="e">
        <f>C37-D37-E37+(C40/3*2)</f>
        <v>#REF!</v>
      </c>
      <c r="G37" s="352">
        <f>3000000+1000000/3*2+1500000+1000000/3*2</f>
        <v>5833333.333333333</v>
      </c>
      <c r="H37" s="3203" t="e">
        <f>F37-G37</f>
        <v>#REF!</v>
      </c>
      <c r="L37" s="352"/>
      <c r="Q37" s="352"/>
    </row>
    <row r="38" spans="2:32" s="2123" customFormat="1">
      <c r="B38" s="2656" t="s">
        <v>1462</v>
      </c>
      <c r="C38" s="2653" t="e">
        <f>3620913.24+1403538-254470-1314185.2+#REF!+#REF!+#REF!+#REF!+#REF!+#REF!+#REF!+#REF!+#REF!+#REF!</f>
        <v>#REF!</v>
      </c>
      <c r="D38" s="352">
        <f>C55</f>
        <v>2537197</v>
      </c>
      <c r="E38" s="352">
        <f>C65</f>
        <v>0</v>
      </c>
      <c r="F38" s="352" t="e">
        <f>C38-D38-E38</f>
        <v>#REF!</v>
      </c>
      <c r="G38" s="352"/>
      <c r="H38" s="3203" t="e">
        <f>F38-G38</f>
        <v>#REF!</v>
      </c>
    </row>
    <row r="39" spans="2:32" s="2123" customFormat="1">
      <c r="B39" s="2656" t="s">
        <v>1096</v>
      </c>
      <c r="C39" s="2653">
        <f>24034035.74+PL_Производство_СВОД!AD86+PL_Производство_СВОД!AI86+PL_Производство_СВОД!AN86+PL_Производство_СВОД!AS86+PL_Производство_СВОД!AX86</f>
        <v>22920001.891913816</v>
      </c>
      <c r="D39" s="352">
        <f>C58</f>
        <v>11543739</v>
      </c>
      <c r="E39" s="352">
        <f>C66</f>
        <v>5205576.9000000004</v>
      </c>
      <c r="F39" s="352" t="e">
        <f>C39-D39-E39+(C40/3)</f>
        <v>#REF!</v>
      </c>
      <c r="G39" s="352">
        <f>750000+1000000/3+500000+1000000/3+13333.3333333334</f>
        <v>1930000</v>
      </c>
      <c r="H39" s="3203" t="e">
        <f>F39-G39</f>
        <v>#REF!</v>
      </c>
      <c r="L39" s="352"/>
      <c r="Q39" s="352"/>
    </row>
    <row r="40" spans="2:32" s="2666" customFormat="1">
      <c r="B40" s="3149" t="s">
        <v>1756</v>
      </c>
      <c r="C40" s="3150" t="e">
        <f>-4674263.27+#REF!+#REF!+#REF!+#REF!+#REF!</f>
        <v>#REF!</v>
      </c>
      <c r="F40" s="3151"/>
      <c r="H40" s="352"/>
    </row>
    <row r="41" spans="2:32" s="2123" customFormat="1" ht="13.95" customHeight="1">
      <c r="B41" s="2652"/>
      <c r="C41" s="3201" t="e">
        <f>C36-C37-C38-C39-C40</f>
        <v>#REF!</v>
      </c>
      <c r="D41" s="352"/>
      <c r="G41" s="352"/>
    </row>
    <row r="42" spans="2:32" s="2666" customFormat="1" ht="3" customHeight="1">
      <c r="B42" s="3080" t="s">
        <v>1622</v>
      </c>
      <c r="C42" s="3080"/>
    </row>
    <row r="43" spans="2:32" s="2123" customFormat="1">
      <c r="B43" s="2652"/>
      <c r="C43" s="2652"/>
      <c r="D43" s="345"/>
    </row>
    <row r="44" spans="2:32" ht="15" thickBot="1">
      <c r="B44" s="396" t="s">
        <v>1912</v>
      </c>
      <c r="C44" s="398" t="e">
        <f>75253446.36+#REF!</f>
        <v>#REF!</v>
      </c>
      <c r="D44" s="754">
        <v>44562</v>
      </c>
      <c r="E44" s="754">
        <v>44593</v>
      </c>
      <c r="F44" s="754">
        <v>44621</v>
      </c>
      <c r="G44" s="754">
        <v>44652</v>
      </c>
      <c r="H44" s="754">
        <v>44682</v>
      </c>
      <c r="I44" s="754">
        <v>44713</v>
      </c>
      <c r="J44" s="754">
        <v>44743</v>
      </c>
      <c r="K44" s="754">
        <v>44774</v>
      </c>
      <c r="L44" s="754">
        <v>44805</v>
      </c>
      <c r="M44" s="754">
        <v>44835</v>
      </c>
      <c r="N44" s="754">
        <v>44866</v>
      </c>
      <c r="O44" s="754">
        <v>44896</v>
      </c>
      <c r="P44" s="754" t="s">
        <v>1427</v>
      </c>
      <c r="Q44" s="754" t="s">
        <v>1428</v>
      </c>
      <c r="R44" s="754" t="s">
        <v>1429</v>
      </c>
      <c r="S44" s="754" t="s">
        <v>1430</v>
      </c>
      <c r="T44" s="754" t="s">
        <v>1431</v>
      </c>
      <c r="U44" s="754" t="s">
        <v>1433</v>
      </c>
      <c r="V44" s="754" t="s">
        <v>1434</v>
      </c>
      <c r="W44" s="754" t="s">
        <v>1432</v>
      </c>
      <c r="X44" s="754" t="s">
        <v>1753</v>
      </c>
      <c r="Y44" s="754" t="s">
        <v>1796</v>
      </c>
      <c r="Z44" s="754">
        <v>45231</v>
      </c>
      <c r="AA44" s="754">
        <v>45261</v>
      </c>
      <c r="AB44" s="754">
        <v>45292</v>
      </c>
      <c r="AC44" s="754">
        <v>45323</v>
      </c>
      <c r="AD44" s="754">
        <v>45352</v>
      </c>
      <c r="AE44" s="754">
        <v>45383</v>
      </c>
      <c r="AF44" s="754">
        <v>45413</v>
      </c>
    </row>
    <row r="45" spans="2:32" s="2123" customFormat="1">
      <c r="B45" s="2641" t="s">
        <v>1438</v>
      </c>
      <c r="C45" s="2642">
        <f>C46+C55+C58</f>
        <v>70760346.272</v>
      </c>
      <c r="D45" s="2643">
        <f>D46+D55+D58</f>
        <v>2050243.5599999998</v>
      </c>
      <c r="E45" s="2643">
        <f t="shared" ref="E45:W45" si="5">E46+E55+E58</f>
        <v>4709674.9619999994</v>
      </c>
      <c r="F45" s="2643">
        <f t="shared" si="5"/>
        <v>0</v>
      </c>
      <c r="G45" s="2643">
        <f t="shared" si="5"/>
        <v>0</v>
      </c>
      <c r="H45" s="2643">
        <f t="shared" si="5"/>
        <v>0</v>
      </c>
      <c r="I45" s="2643">
        <f t="shared" si="5"/>
        <v>8236445.2200000007</v>
      </c>
      <c r="J45" s="2643">
        <f t="shared" si="5"/>
        <v>5137258</v>
      </c>
      <c r="K45" s="2643">
        <f t="shared" si="5"/>
        <v>70679</v>
      </c>
      <c r="L45" s="2643">
        <f t="shared" si="5"/>
        <v>104504</v>
      </c>
      <c r="M45" s="2643">
        <f t="shared" si="5"/>
        <v>0</v>
      </c>
      <c r="N45" s="2643">
        <f t="shared" si="5"/>
        <v>1523104</v>
      </c>
      <c r="O45" s="2643">
        <f t="shared" si="5"/>
        <v>1035552</v>
      </c>
      <c r="P45" s="2643">
        <f t="shared" si="5"/>
        <v>0</v>
      </c>
      <c r="Q45" s="2643">
        <f t="shared" si="5"/>
        <v>11950</v>
      </c>
      <c r="R45" s="2643">
        <f t="shared" si="5"/>
        <v>0</v>
      </c>
      <c r="S45" s="2643">
        <f t="shared" si="5"/>
        <v>2755185</v>
      </c>
      <c r="T45" s="2643">
        <f t="shared" si="5"/>
        <v>1732918</v>
      </c>
      <c r="U45" s="2643">
        <f t="shared" si="5"/>
        <v>1710694</v>
      </c>
      <c r="V45" s="2643">
        <f t="shared" si="5"/>
        <v>7135821.2400000002</v>
      </c>
      <c r="W45" s="2643">
        <f t="shared" si="5"/>
        <v>2518018.4</v>
      </c>
      <c r="X45" s="2643">
        <f t="shared" ref="X45" si="6">X46+X55+X58</f>
        <v>4035912.69</v>
      </c>
      <c r="Y45" s="2643">
        <f t="shared" ref="Y45:AF45" si="7">Y46+Y55+Y58</f>
        <v>6027932.3499999996</v>
      </c>
      <c r="Z45" s="2643">
        <f t="shared" si="7"/>
        <v>5410932.1099999994</v>
      </c>
      <c r="AA45" s="2643">
        <f t="shared" si="7"/>
        <v>4283534.8499999996</v>
      </c>
      <c r="AB45" s="2643">
        <f t="shared" si="7"/>
        <v>4641912.55</v>
      </c>
      <c r="AC45" s="2643">
        <f t="shared" si="7"/>
        <v>5770197.0599999996</v>
      </c>
      <c r="AD45" s="2643">
        <f t="shared" ref="AD45:AE45" si="8">AD46+AD55+AD58</f>
        <v>1857877.28</v>
      </c>
      <c r="AE45" s="2643">
        <f t="shared" si="8"/>
        <v>0</v>
      </c>
      <c r="AF45" s="2643">
        <f t="shared" si="7"/>
        <v>0</v>
      </c>
    </row>
    <row r="46" spans="2:32" s="2123" customFormat="1" ht="15.6">
      <c r="B46" s="2644" t="s">
        <v>1094</v>
      </c>
      <c r="C46" s="2645">
        <f t="shared" ref="C46:C54" si="9">SUM(D46:AF46)</f>
        <v>56679410.272</v>
      </c>
      <c r="D46" s="2646">
        <f>SUM(D47:D54)</f>
        <v>2050243.5599999998</v>
      </c>
      <c r="E46" s="2646">
        <f t="shared" ref="E46:W46" si="10">SUM(E47:E54)</f>
        <v>4709674.9619999994</v>
      </c>
      <c r="F46" s="2646">
        <f t="shared" si="10"/>
        <v>0</v>
      </c>
      <c r="G46" s="2646">
        <f t="shared" si="10"/>
        <v>0</v>
      </c>
      <c r="H46" s="2646">
        <f t="shared" si="10"/>
        <v>0</v>
      </c>
      <c r="I46" s="2646">
        <f t="shared" si="10"/>
        <v>8236445.2200000007</v>
      </c>
      <c r="J46" s="2646">
        <f t="shared" si="10"/>
        <v>5137258</v>
      </c>
      <c r="K46" s="2646">
        <f t="shared" si="10"/>
        <v>9675</v>
      </c>
      <c r="L46" s="2646">
        <f t="shared" si="10"/>
        <v>43500</v>
      </c>
      <c r="M46" s="2646">
        <f t="shared" si="10"/>
        <v>0</v>
      </c>
      <c r="N46" s="2646">
        <f t="shared" si="10"/>
        <v>0</v>
      </c>
      <c r="O46" s="2646">
        <f t="shared" si="10"/>
        <v>143467</v>
      </c>
      <c r="P46" s="2646">
        <f t="shared" si="10"/>
        <v>0</v>
      </c>
      <c r="Q46" s="2646">
        <f t="shared" si="10"/>
        <v>11950</v>
      </c>
      <c r="R46" s="2646">
        <f t="shared" si="10"/>
        <v>0</v>
      </c>
      <c r="S46" s="2646">
        <f t="shared" si="10"/>
        <v>185</v>
      </c>
      <c r="T46" s="2646">
        <f t="shared" si="10"/>
        <v>154918</v>
      </c>
      <c r="U46" s="2646">
        <f t="shared" si="10"/>
        <v>1710694</v>
      </c>
      <c r="V46" s="2646">
        <f>SUM(V47:V54)</f>
        <v>5745210.2400000002</v>
      </c>
      <c r="W46" s="2646">
        <f t="shared" si="10"/>
        <v>1068418.3999999999</v>
      </c>
      <c r="X46" s="2646">
        <f t="shared" ref="X46" si="11">SUM(X47:X54)</f>
        <v>2445758.69</v>
      </c>
      <c r="Y46" s="2646">
        <f t="shared" ref="Y46:AF46" si="12">SUM(Y47:Y54)</f>
        <v>7332813.3499999996</v>
      </c>
      <c r="Z46" s="2646">
        <f t="shared" si="12"/>
        <v>3284317.11</v>
      </c>
      <c r="AA46" s="2646">
        <f t="shared" si="12"/>
        <v>2987534.85</v>
      </c>
      <c r="AB46" s="2646">
        <f t="shared" si="12"/>
        <v>3979772.55</v>
      </c>
      <c r="AC46" s="2646">
        <f t="shared" si="12"/>
        <v>5769697.0599999996</v>
      </c>
      <c r="AD46" s="2646">
        <f t="shared" ref="AD46:AE46" si="13">SUM(AD47:AD54)</f>
        <v>1857877.28</v>
      </c>
      <c r="AE46" s="2646">
        <f t="shared" si="13"/>
        <v>0</v>
      </c>
      <c r="AF46" s="2646">
        <f t="shared" si="12"/>
        <v>0</v>
      </c>
    </row>
    <row r="47" spans="2:32" ht="14.4" customHeight="1" outlineLevel="1">
      <c r="B47" s="2634" t="s">
        <v>176</v>
      </c>
      <c r="C47" s="2635">
        <f t="shared" si="9"/>
        <v>10624</v>
      </c>
      <c r="D47" s="2635"/>
      <c r="E47" s="2635">
        <f>10624</f>
        <v>10624</v>
      </c>
      <c r="F47" s="2647"/>
      <c r="G47" s="2635"/>
      <c r="H47" s="2635"/>
      <c r="I47" s="2635"/>
      <c r="J47" s="2635"/>
      <c r="K47" s="2635"/>
      <c r="L47" s="2635"/>
      <c r="M47" s="2635"/>
      <c r="N47" s="2635"/>
      <c r="O47" s="2635"/>
      <c r="P47" s="2635"/>
      <c r="Q47" s="2635"/>
      <c r="R47" s="2634"/>
      <c r="S47" s="2634"/>
      <c r="T47" s="2634"/>
      <c r="U47" s="2635"/>
      <c r="V47" s="2634"/>
      <c r="W47" s="2634"/>
      <c r="X47" s="2646"/>
      <c r="Y47" s="2646"/>
      <c r="Z47" s="2646"/>
      <c r="AA47" s="2646"/>
      <c r="AB47" s="2646"/>
      <c r="AC47" s="2646"/>
      <c r="AD47" s="2646"/>
      <c r="AE47" s="2646"/>
      <c r="AF47" s="2646"/>
    </row>
    <row r="48" spans="2:32" s="2123" customFormat="1" ht="14.4" customHeight="1" outlineLevel="1">
      <c r="B48" s="2634" t="s">
        <v>1334</v>
      </c>
      <c r="C48" s="2635">
        <f t="shared" si="9"/>
        <v>3436060</v>
      </c>
      <c r="D48" s="2635"/>
      <c r="E48" s="2635"/>
      <c r="F48" s="2647"/>
      <c r="G48" s="2635"/>
      <c r="H48" s="2635"/>
      <c r="I48" s="2635"/>
      <c r="J48" s="2635"/>
      <c r="K48" s="2635"/>
      <c r="L48" s="2635"/>
      <c r="M48" s="2634"/>
      <c r="N48" s="2635"/>
      <c r="O48" s="2635"/>
      <c r="P48" s="2635"/>
      <c r="Q48" s="2635"/>
      <c r="R48" s="2634"/>
      <c r="S48" s="2635"/>
      <c r="T48" s="2635"/>
      <c r="U48" s="2635">
        <f>1104300</f>
        <v>1104300</v>
      </c>
      <c r="V48" s="2635">
        <v>2331760</v>
      </c>
      <c r="W48" s="2635"/>
      <c r="X48" s="2646"/>
      <c r="Y48" s="2646"/>
      <c r="Z48" s="2646"/>
      <c r="AA48" s="2646"/>
      <c r="AB48" s="2646"/>
      <c r="AC48" s="2646"/>
      <c r="AD48" s="2646"/>
      <c r="AE48" s="2646"/>
      <c r="AF48" s="2646"/>
    </row>
    <row r="49" spans="2:32" ht="15.6" customHeight="1" outlineLevel="1">
      <c r="B49" s="2634" t="s">
        <v>946</v>
      </c>
      <c r="C49" s="2635">
        <f t="shared" si="9"/>
        <v>34431488.342</v>
      </c>
      <c r="D49" s="2635">
        <f>1751726.91+20160+8400+25849.15+24000+13558+2058+7975.54+7280+3543+5765+17374+10345+3522+1674</f>
        <v>1903230.5999999999</v>
      </c>
      <c r="E49" s="2635">
        <f>3801067+2470+43500+116044+58479+114777.36*1.2+1696.38</f>
        <v>4160989.2119999998</v>
      </c>
      <c r="F49" s="2647"/>
      <c r="G49" s="2635"/>
      <c r="H49" s="2635"/>
      <c r="I49" s="2635"/>
      <c r="J49" s="2635"/>
      <c r="K49" s="2635">
        <v>9675</v>
      </c>
      <c r="L49" s="2635">
        <v>43500</v>
      </c>
      <c r="M49" s="2635"/>
      <c r="N49" s="2635"/>
      <c r="O49" s="2635">
        <v>143467</v>
      </c>
      <c r="P49" s="2635"/>
      <c r="Q49" s="2635">
        <v>11950</v>
      </c>
      <c r="R49" s="2634"/>
      <c r="S49" s="2635">
        <v>185</v>
      </c>
      <c r="T49" s="2635">
        <v>154918</v>
      </c>
      <c r="U49" s="2635">
        <v>606394</v>
      </c>
      <c r="V49" s="2635">
        <v>9010.24</v>
      </c>
      <c r="W49" s="2635">
        <v>1068418.3999999999</v>
      </c>
      <c r="X49" s="2646">
        <v>2445758.69</v>
      </c>
      <c r="Y49" s="2646">
        <v>7332813.3499999996</v>
      </c>
      <c r="Z49" s="2646">
        <v>3284317.11</v>
      </c>
      <c r="AA49" s="2646">
        <v>2987534.85</v>
      </c>
      <c r="AB49" s="2646">
        <v>3979772.55</v>
      </c>
      <c r="AC49" s="2646">
        <v>4431677.0599999996</v>
      </c>
      <c r="AD49" s="2646">
        <v>1857877.28</v>
      </c>
      <c r="AE49" s="2646">
        <v>0</v>
      </c>
      <c r="AF49" s="2646">
        <v>0</v>
      </c>
    </row>
    <row r="50" spans="2:32" s="2123" customFormat="1" ht="15.6" customHeight="1" outlineLevel="1">
      <c r="B50" s="2634" t="s">
        <v>1491</v>
      </c>
      <c r="C50" s="2635">
        <f t="shared" si="9"/>
        <v>3404440</v>
      </c>
      <c r="D50" s="2635"/>
      <c r="E50" s="2635"/>
      <c r="F50" s="2647"/>
      <c r="G50" s="2635"/>
      <c r="H50" s="2635"/>
      <c r="I50" s="2635"/>
      <c r="J50" s="2635"/>
      <c r="K50" s="2635"/>
      <c r="L50" s="2635"/>
      <c r="M50" s="2635"/>
      <c r="N50" s="2635"/>
      <c r="O50" s="2635"/>
      <c r="P50" s="2635"/>
      <c r="Q50" s="2635"/>
      <c r="R50" s="2634"/>
      <c r="S50" s="2635"/>
      <c r="T50" s="2635"/>
      <c r="U50" s="2635"/>
      <c r="V50" s="2635">
        <f>2300000+104440+1000000</f>
        <v>3404440</v>
      </c>
      <c r="W50" s="2634"/>
      <c r="X50" s="2646"/>
      <c r="Y50" s="2646"/>
      <c r="Z50" s="2646"/>
      <c r="AA50" s="2646"/>
      <c r="AB50" s="2646"/>
      <c r="AC50" s="2646"/>
      <c r="AD50" s="2646"/>
      <c r="AE50" s="2646"/>
      <c r="AF50" s="2646"/>
    </row>
    <row r="51" spans="2:32" outlineLevel="1">
      <c r="B51" s="2634" t="s">
        <v>266</v>
      </c>
      <c r="C51" s="2635">
        <f t="shared" si="9"/>
        <v>1765048</v>
      </c>
      <c r="D51" s="2635">
        <f>61004</f>
        <v>61004</v>
      </c>
      <c r="E51" s="2635">
        <f>61004</f>
        <v>61004</v>
      </c>
      <c r="F51" s="2647"/>
      <c r="G51" s="2635"/>
      <c r="H51" s="2635"/>
      <c r="I51" s="2635">
        <v>244016</v>
      </c>
      <c r="J51" s="2635">
        <v>61004</v>
      </c>
      <c r="K51" s="2635"/>
      <c r="L51" s="2635"/>
      <c r="M51" s="2635"/>
      <c r="N51" s="2635"/>
      <c r="O51" s="2635"/>
      <c r="P51" s="2635"/>
      <c r="Q51" s="2635"/>
      <c r="R51" s="2634"/>
      <c r="S51" s="2634"/>
      <c r="T51" s="2634"/>
      <c r="U51" s="2635"/>
      <c r="V51" s="2634"/>
      <c r="W51" s="2634"/>
      <c r="X51" s="2646"/>
      <c r="Y51" s="2646"/>
      <c r="Z51" s="2646"/>
      <c r="AA51" s="2646"/>
      <c r="AB51" s="2646"/>
      <c r="AC51" s="2646">
        <v>1338020</v>
      </c>
      <c r="AD51" s="2646"/>
      <c r="AE51" s="2646"/>
      <c r="AF51" s="2646"/>
    </row>
    <row r="52" spans="2:32" outlineLevel="1">
      <c r="B52" s="2634" t="s">
        <v>926</v>
      </c>
      <c r="C52" s="2635">
        <f t="shared" si="9"/>
        <v>13301771.220000001</v>
      </c>
      <c r="D52" s="2635"/>
      <c r="E52" s="2635">
        <v>279000</v>
      </c>
      <c r="F52" s="2647"/>
      <c r="G52" s="2635"/>
      <c r="H52" s="2635"/>
      <c r="I52" s="2635">
        <f>3174779.22+4817650</f>
        <v>7992429.2200000007</v>
      </c>
      <c r="J52" s="2635">
        <v>5030342</v>
      </c>
      <c r="K52" s="2635"/>
      <c r="L52" s="2634"/>
      <c r="M52" s="2635"/>
      <c r="N52" s="2635"/>
      <c r="O52" s="2635"/>
      <c r="P52" s="2635"/>
      <c r="Q52" s="2635"/>
      <c r="R52" s="2634"/>
      <c r="S52" s="2634"/>
      <c r="T52" s="2634"/>
      <c r="U52" s="2634"/>
      <c r="V52" s="2634"/>
      <c r="W52" s="2634"/>
      <c r="X52" s="2646"/>
      <c r="Y52" s="2646"/>
      <c r="Z52" s="2646"/>
      <c r="AA52" s="2646"/>
      <c r="AB52" s="2646"/>
      <c r="AC52" s="2646"/>
      <c r="AD52" s="2646"/>
      <c r="AE52" s="2646"/>
      <c r="AF52" s="2646"/>
    </row>
    <row r="53" spans="2:32" outlineLevel="1">
      <c r="B53" s="2634" t="s">
        <v>269</v>
      </c>
      <c r="C53" s="2635">
        <f t="shared" si="9"/>
        <v>219491</v>
      </c>
      <c r="D53" s="2635">
        <v>2609</v>
      </c>
      <c r="E53" s="2635">
        <f>23310+147660</f>
        <v>170970</v>
      </c>
      <c r="F53" s="2647"/>
      <c r="G53" s="2635"/>
      <c r="H53" s="2635"/>
      <c r="I53" s="2635"/>
      <c r="J53" s="2635">
        <v>45912</v>
      </c>
      <c r="K53" s="2635"/>
      <c r="L53" s="2635"/>
      <c r="M53" s="2635"/>
      <c r="N53" s="2635"/>
      <c r="O53" s="2635"/>
      <c r="P53" s="2635"/>
      <c r="Q53" s="2635"/>
      <c r="R53" s="2634"/>
      <c r="S53" s="2635"/>
      <c r="T53" s="2634"/>
      <c r="U53" s="2635"/>
      <c r="V53" s="2634"/>
      <c r="W53" s="2634"/>
      <c r="X53" s="2646"/>
      <c r="Y53" s="2646"/>
      <c r="Z53" s="2646"/>
      <c r="AA53" s="2646"/>
      <c r="AB53" s="2646"/>
      <c r="AC53" s="2646"/>
      <c r="AD53" s="2646"/>
      <c r="AE53" s="2646"/>
      <c r="AF53" s="2646"/>
    </row>
    <row r="54" spans="2:32" outlineLevel="1">
      <c r="B54" s="2634" t="s">
        <v>268</v>
      </c>
      <c r="C54" s="2635">
        <f t="shared" si="9"/>
        <v>110487.71</v>
      </c>
      <c r="D54" s="2635">
        <f>83399.96</f>
        <v>83399.960000000006</v>
      </c>
      <c r="E54" s="2635">
        <f>20111.75+6976</f>
        <v>27087.75</v>
      </c>
      <c r="F54" s="2647"/>
      <c r="G54" s="2635"/>
      <c r="H54" s="2635"/>
      <c r="I54" s="2635"/>
      <c r="J54" s="2635"/>
      <c r="K54" s="2635"/>
      <c r="L54" s="2635"/>
      <c r="M54" s="2635"/>
      <c r="N54" s="2635"/>
      <c r="O54" s="2635"/>
      <c r="P54" s="2635"/>
      <c r="Q54" s="2634"/>
      <c r="R54" s="2634"/>
      <c r="S54" s="2634"/>
      <c r="T54" s="2635"/>
      <c r="U54" s="2634"/>
      <c r="V54" s="2634"/>
      <c r="W54" s="2634"/>
      <c r="X54" s="2646"/>
      <c r="Y54" s="2646"/>
      <c r="Z54" s="2646"/>
      <c r="AA54" s="2646"/>
      <c r="AB54" s="2646"/>
      <c r="AC54" s="2646"/>
      <c r="AD54" s="2646"/>
      <c r="AE54" s="2646"/>
      <c r="AF54" s="2646"/>
    </row>
    <row r="55" spans="2:32" s="2123" customFormat="1" ht="15.6">
      <c r="B55" s="2644" t="s">
        <v>1095</v>
      </c>
      <c r="C55" s="2645">
        <f>SUM(C56:C57)</f>
        <v>2537197</v>
      </c>
      <c r="D55" s="2646">
        <f t="shared" ref="D55:X55" si="14">SUM(D56:D57)</f>
        <v>0</v>
      </c>
      <c r="E55" s="2646">
        <f t="shared" si="14"/>
        <v>0</v>
      </c>
      <c r="F55" s="2646">
        <f t="shared" si="14"/>
        <v>0</v>
      </c>
      <c r="G55" s="2646">
        <f t="shared" si="14"/>
        <v>0</v>
      </c>
      <c r="H55" s="2646">
        <f t="shared" si="14"/>
        <v>0</v>
      </c>
      <c r="I55" s="2646">
        <f t="shared" si="14"/>
        <v>0</v>
      </c>
      <c r="J55" s="2646">
        <f t="shared" si="14"/>
        <v>0</v>
      </c>
      <c r="K55" s="2646">
        <f t="shared" si="14"/>
        <v>61004</v>
      </c>
      <c r="L55" s="2646">
        <f t="shared" si="14"/>
        <v>61004</v>
      </c>
      <c r="M55" s="2646">
        <f t="shared" si="14"/>
        <v>0</v>
      </c>
      <c r="N55" s="2646">
        <f t="shared" si="14"/>
        <v>1523104</v>
      </c>
      <c r="O55" s="2646">
        <f t="shared" si="14"/>
        <v>892085</v>
      </c>
      <c r="P55" s="2646">
        <f t="shared" si="14"/>
        <v>0</v>
      </c>
      <c r="Q55" s="2646">
        <f t="shared" si="14"/>
        <v>0</v>
      </c>
      <c r="R55" s="2646">
        <f t="shared" si="14"/>
        <v>0</v>
      </c>
      <c r="S55" s="2646">
        <f t="shared" si="14"/>
        <v>0</v>
      </c>
      <c r="T55" s="2646">
        <f t="shared" si="14"/>
        <v>0</v>
      </c>
      <c r="U55" s="2646">
        <f t="shared" si="14"/>
        <v>0</v>
      </c>
      <c r="V55" s="2646">
        <f t="shared" si="14"/>
        <v>0</v>
      </c>
      <c r="W55" s="2646">
        <f t="shared" si="14"/>
        <v>0</v>
      </c>
      <c r="X55" s="2646">
        <f t="shared" si="14"/>
        <v>0</v>
      </c>
      <c r="Y55" s="2646">
        <f t="shared" ref="Y55:AF55" si="15">SUM(Y56:Y57)</f>
        <v>0</v>
      </c>
      <c r="Z55" s="2646">
        <f t="shared" si="15"/>
        <v>0</v>
      </c>
      <c r="AA55" s="2646">
        <f t="shared" ref="AA55:AC55" si="16">SUM(AA56:AA57)</f>
        <v>0</v>
      </c>
      <c r="AB55" s="2646">
        <f t="shared" si="16"/>
        <v>0</v>
      </c>
      <c r="AC55" s="2646">
        <f t="shared" si="16"/>
        <v>0</v>
      </c>
      <c r="AD55" s="2646">
        <f t="shared" ref="AD55:AE55" si="17">SUM(AD56:AD57)</f>
        <v>0</v>
      </c>
      <c r="AE55" s="2646">
        <f t="shared" si="17"/>
        <v>0</v>
      </c>
      <c r="AF55" s="2646">
        <f t="shared" si="15"/>
        <v>0</v>
      </c>
    </row>
    <row r="56" spans="2:32" s="2123" customFormat="1" outlineLevel="1">
      <c r="B56" s="2634" t="s">
        <v>266</v>
      </c>
      <c r="C56" s="2635">
        <f>SUM(D56:AF56)</f>
        <v>244016</v>
      </c>
      <c r="D56" s="2635"/>
      <c r="E56" s="2635"/>
      <c r="F56" s="2647"/>
      <c r="G56" s="2635"/>
      <c r="H56" s="2635"/>
      <c r="I56" s="2635"/>
      <c r="J56" s="2635"/>
      <c r="K56" s="2635">
        <v>61004</v>
      </c>
      <c r="L56" s="2635">
        <v>61004</v>
      </c>
      <c r="M56" s="2635"/>
      <c r="N56" s="2635">
        <v>122008</v>
      </c>
      <c r="O56" s="2635"/>
      <c r="P56" s="2635"/>
      <c r="Q56" s="2634"/>
      <c r="R56" s="2634"/>
      <c r="S56" s="2634"/>
      <c r="T56" s="2635"/>
      <c r="U56" s="2634"/>
      <c r="V56" s="2634"/>
      <c r="W56" s="2634"/>
      <c r="X56" s="2646"/>
      <c r="Y56" s="2646"/>
      <c r="Z56" s="2646"/>
      <c r="AA56" s="2646"/>
      <c r="AB56" s="2646"/>
      <c r="AC56" s="2646"/>
      <c r="AD56" s="2646"/>
      <c r="AE56" s="2646"/>
      <c r="AF56" s="2646"/>
    </row>
    <row r="57" spans="2:32" s="2123" customFormat="1" outlineLevel="1">
      <c r="B57" s="2634" t="s">
        <v>926</v>
      </c>
      <c r="C57" s="2635">
        <f>SUM(D57:AF57)</f>
        <v>2293181</v>
      </c>
      <c r="D57" s="2635"/>
      <c r="E57" s="2635"/>
      <c r="F57" s="2647"/>
      <c r="G57" s="2635"/>
      <c r="H57" s="2635"/>
      <c r="I57" s="2635"/>
      <c r="J57" s="2635"/>
      <c r="K57" s="2635"/>
      <c r="L57" s="2635"/>
      <c r="M57" s="2635"/>
      <c r="N57" s="2635">
        <v>1401096</v>
      </c>
      <c r="O57" s="2635">
        <f>639485+210500*1.2</f>
        <v>892085</v>
      </c>
      <c r="P57" s="2635"/>
      <c r="Q57" s="2634"/>
      <c r="R57" s="2634"/>
      <c r="S57" s="2634"/>
      <c r="T57" s="2635"/>
      <c r="U57" s="2634"/>
      <c r="V57" s="2634"/>
      <c r="W57" s="2634"/>
      <c r="X57" s="2646"/>
      <c r="Y57" s="2646"/>
      <c r="Z57" s="2646"/>
      <c r="AA57" s="2646"/>
      <c r="AB57" s="2646"/>
      <c r="AC57" s="2646"/>
      <c r="AD57" s="2646"/>
      <c r="AE57" s="2646"/>
      <c r="AF57" s="2646"/>
    </row>
    <row r="58" spans="2:32" s="2123" customFormat="1" ht="15.6">
      <c r="B58" s="2644" t="s">
        <v>1096</v>
      </c>
      <c r="C58" s="2645">
        <f>SUM(C59:C61)</f>
        <v>11543739</v>
      </c>
      <c r="D58" s="2646">
        <f t="shared" ref="D58" si="18">SUM(D60:D61)</f>
        <v>0</v>
      </c>
      <c r="E58" s="2646">
        <f t="shared" ref="E58" si="19">SUM(E60:E61)</f>
        <v>0</v>
      </c>
      <c r="F58" s="2646">
        <f t="shared" ref="F58" si="20">SUM(F60:F61)</f>
        <v>0</v>
      </c>
      <c r="G58" s="2646">
        <f t="shared" ref="G58" si="21">SUM(G60:G61)</f>
        <v>0</v>
      </c>
      <c r="H58" s="2646">
        <f t="shared" ref="H58" si="22">SUM(H60:H61)</f>
        <v>0</v>
      </c>
      <c r="I58" s="2646">
        <f t="shared" ref="I58" si="23">SUM(I60:I61)</f>
        <v>0</v>
      </c>
      <c r="J58" s="2646">
        <f t="shared" ref="J58" si="24">SUM(J60:J61)</f>
        <v>0</v>
      </c>
      <c r="K58" s="2646">
        <f t="shared" ref="K58" si="25">SUM(K60:K61)</f>
        <v>0</v>
      </c>
      <c r="L58" s="2646">
        <f t="shared" ref="L58" si="26">SUM(L60:L61)</f>
        <v>0</v>
      </c>
      <c r="M58" s="2646">
        <f t="shared" ref="M58" si="27">SUM(M60:M61)</f>
        <v>0</v>
      </c>
      <c r="N58" s="2646">
        <f t="shared" ref="N58" si="28">SUM(N60:N61)</f>
        <v>0</v>
      </c>
      <c r="O58" s="2646">
        <f t="shared" ref="O58" si="29">SUM(O60:O61)</f>
        <v>0</v>
      </c>
      <c r="P58" s="2646">
        <f t="shared" ref="P58" si="30">SUM(P60:P61)</f>
        <v>0</v>
      </c>
      <c r="Q58" s="2646">
        <f>SUM(Q59:Q61)</f>
        <v>0</v>
      </c>
      <c r="R58" s="2646">
        <f t="shared" ref="R58:X58" si="31">SUM(R59:R61)</f>
        <v>0</v>
      </c>
      <c r="S58" s="2646">
        <f t="shared" si="31"/>
        <v>2755000</v>
      </c>
      <c r="T58" s="2646">
        <f t="shared" si="31"/>
        <v>1578000</v>
      </c>
      <c r="U58" s="2646">
        <f t="shared" si="31"/>
        <v>0</v>
      </c>
      <c r="V58" s="2646">
        <f t="shared" si="31"/>
        <v>1390611</v>
      </c>
      <c r="W58" s="2646">
        <f t="shared" si="31"/>
        <v>1449600</v>
      </c>
      <c r="X58" s="2646">
        <f t="shared" si="31"/>
        <v>1590154</v>
      </c>
      <c r="Y58" s="2646">
        <f t="shared" ref="Y58:AF58" si="32">SUM(Y59:Y61)</f>
        <v>-1304881</v>
      </c>
      <c r="Z58" s="2646">
        <f>SUM(Z59:Z61)</f>
        <v>2126615</v>
      </c>
      <c r="AA58" s="2646">
        <f t="shared" ref="AA58:AE58" si="33">SUM(AA59:AA61)</f>
        <v>1296000</v>
      </c>
      <c r="AB58" s="2646">
        <f t="shared" si="33"/>
        <v>662140</v>
      </c>
      <c r="AC58" s="2646">
        <f t="shared" si="33"/>
        <v>500</v>
      </c>
      <c r="AD58" s="2646">
        <f t="shared" si="33"/>
        <v>0</v>
      </c>
      <c r="AE58" s="2646">
        <f t="shared" si="33"/>
        <v>0</v>
      </c>
      <c r="AF58" s="2646">
        <f t="shared" si="32"/>
        <v>0</v>
      </c>
    </row>
    <row r="59" spans="2:32" s="2123" customFormat="1" outlineLevel="1">
      <c r="B59" s="2636" t="s">
        <v>1491</v>
      </c>
      <c r="C59" s="2639">
        <f>SUM(D59:AF59)</f>
        <v>973391</v>
      </c>
      <c r="D59" s="3001"/>
      <c r="E59" s="3001"/>
      <c r="F59" s="3001"/>
      <c r="G59" s="3001"/>
      <c r="H59" s="3001"/>
      <c r="I59" s="3001"/>
      <c r="J59" s="3001"/>
      <c r="K59" s="3001"/>
      <c r="L59" s="3001"/>
      <c r="M59" s="3001"/>
      <c r="N59" s="3001"/>
      <c r="O59" s="3001"/>
      <c r="P59" s="3001"/>
      <c r="Q59" s="3001"/>
      <c r="R59" s="3001"/>
      <c r="S59" s="3001"/>
      <c r="T59" s="3001"/>
      <c r="U59" s="3001"/>
      <c r="V59" s="3001">
        <f>590611+300000</f>
        <v>890611</v>
      </c>
      <c r="W59" s="3001"/>
      <c r="X59" s="3001"/>
      <c r="Y59" s="3001"/>
      <c r="Z59" s="3001">
        <v>41140</v>
      </c>
      <c r="AA59" s="3001"/>
      <c r="AB59" s="3001">
        <v>41140</v>
      </c>
      <c r="AC59" s="3001">
        <v>500</v>
      </c>
      <c r="AD59" s="3001"/>
      <c r="AE59" s="3001"/>
      <c r="AF59" s="3001"/>
    </row>
    <row r="60" spans="2:32" s="2123" customFormat="1" outlineLevel="1">
      <c r="B60" s="2636" t="s">
        <v>266</v>
      </c>
      <c r="C60" s="2639">
        <f>SUM(D60:AF60)</f>
        <v>2065475</v>
      </c>
      <c r="D60" s="2639"/>
      <c r="E60" s="2639"/>
      <c r="F60" s="3002"/>
      <c r="G60" s="2639"/>
      <c r="H60" s="2639"/>
      <c r="I60" s="2639"/>
      <c r="J60" s="2639"/>
      <c r="K60" s="2639"/>
      <c r="L60" s="2639"/>
      <c r="M60" s="2639"/>
      <c r="N60" s="2639"/>
      <c r="O60" s="2639"/>
      <c r="P60" s="2639"/>
      <c r="Q60" s="2636"/>
      <c r="R60" s="2636"/>
      <c r="S60" s="2636"/>
      <c r="T60" s="2639"/>
      <c r="U60" s="2636"/>
      <c r="V60" s="3001"/>
      <c r="W60" s="2636"/>
      <c r="X60" s="3001"/>
      <c r="Y60" s="3001"/>
      <c r="Z60" s="3001">
        <f>1184000+544475</f>
        <v>1728475</v>
      </c>
      <c r="AA60" s="3001">
        <v>296000</v>
      </c>
      <c r="AB60" s="3001">
        <v>41000</v>
      </c>
      <c r="AC60" s="3001"/>
      <c r="AD60" s="3001"/>
      <c r="AE60" s="3001"/>
      <c r="AF60" s="3001"/>
    </row>
    <row r="61" spans="2:32" s="2123" customFormat="1" outlineLevel="1">
      <c r="B61" s="2636" t="s">
        <v>1334</v>
      </c>
      <c r="C61" s="2639">
        <f>SUM(D61:AF61)</f>
        <v>8504873</v>
      </c>
      <c r="D61" s="2639"/>
      <c r="E61" s="2639"/>
      <c r="F61" s="3002"/>
      <c r="G61" s="2639"/>
      <c r="H61" s="2639"/>
      <c r="I61" s="2639"/>
      <c r="J61" s="2639"/>
      <c r="K61" s="2639"/>
      <c r="L61" s="2639"/>
      <c r="M61" s="2639"/>
      <c r="N61" s="2639"/>
      <c r="O61" s="2639"/>
      <c r="P61" s="2639"/>
      <c r="Q61" s="2636"/>
      <c r="R61" s="2636"/>
      <c r="S61" s="2639">
        <f>S73</f>
        <v>2755000</v>
      </c>
      <c r="T61" s="2639">
        <f>738000+840000</f>
        <v>1578000</v>
      </c>
      <c r="U61" s="2636"/>
      <c r="V61" s="3001">
        <v>500000</v>
      </c>
      <c r="W61" s="3001">
        <v>1449600</v>
      </c>
      <c r="X61" s="3001">
        <f>250154+1340000</f>
        <v>1590154</v>
      </c>
      <c r="Y61" s="3001">
        <f>645119-1950000</f>
        <v>-1304881</v>
      </c>
      <c r="Z61" s="3001">
        <v>357000</v>
      </c>
      <c r="AA61" s="3001">
        <v>1000000</v>
      </c>
      <c r="AB61" s="3001">
        <v>580000</v>
      </c>
      <c r="AC61" s="3001"/>
      <c r="AD61" s="3001"/>
      <c r="AE61" s="3001"/>
      <c r="AF61" s="3001"/>
    </row>
    <row r="62" spans="2:32" s="2123" customFormat="1">
      <c r="C62" s="2125"/>
      <c r="D62" s="2125"/>
      <c r="E62" s="2125"/>
      <c r="F62" s="524"/>
      <c r="G62" s="2125"/>
      <c r="H62" s="2125"/>
      <c r="I62" s="2125"/>
      <c r="J62" s="2125"/>
      <c r="K62" s="2125"/>
      <c r="L62" s="2125"/>
      <c r="M62" s="2125">
        <f>2802191/2</f>
        <v>1401095.5</v>
      </c>
      <c r="N62" s="2125"/>
      <c r="O62" s="2125"/>
      <c r="P62" s="2125"/>
      <c r="Q62" s="526"/>
      <c r="S62" s="2125"/>
      <c r="T62" s="2125"/>
    </row>
    <row r="63" spans="2:32" s="2123" customFormat="1">
      <c r="B63" s="2641" t="s">
        <v>44</v>
      </c>
      <c r="C63" s="2642">
        <f>SUM(C64:C66)</f>
        <v>18204451.310000002</v>
      </c>
      <c r="D63" s="2643">
        <f t="shared" ref="D63:X63" si="34">SUM(D64:D66)</f>
        <v>1000000</v>
      </c>
      <c r="E63" s="2643">
        <f t="shared" si="34"/>
        <v>1000000</v>
      </c>
      <c r="F63" s="2643">
        <f t="shared" si="34"/>
        <v>0</v>
      </c>
      <c r="G63" s="2643">
        <f t="shared" si="34"/>
        <v>0</v>
      </c>
      <c r="H63" s="2643">
        <f t="shared" si="34"/>
        <v>0</v>
      </c>
      <c r="I63" s="2643">
        <f t="shared" si="34"/>
        <v>0</v>
      </c>
      <c r="J63" s="2643">
        <f t="shared" si="34"/>
        <v>0</v>
      </c>
      <c r="K63" s="2643">
        <f t="shared" si="34"/>
        <v>200000</v>
      </c>
      <c r="L63" s="2643">
        <f t="shared" si="34"/>
        <v>0</v>
      </c>
      <c r="M63" s="2643">
        <f t="shared" si="34"/>
        <v>4250000</v>
      </c>
      <c r="N63" s="2643">
        <f t="shared" si="34"/>
        <v>118053</v>
      </c>
      <c r="O63" s="2643">
        <f t="shared" si="34"/>
        <v>2733229</v>
      </c>
      <c r="P63" s="2643">
        <f t="shared" si="34"/>
        <v>380592</v>
      </c>
      <c r="Q63" s="2643">
        <f t="shared" si="34"/>
        <v>0</v>
      </c>
      <c r="R63" s="2643">
        <f t="shared" si="34"/>
        <v>300000</v>
      </c>
      <c r="S63" s="2643">
        <f t="shared" si="34"/>
        <v>39400</v>
      </c>
      <c r="T63" s="2643">
        <f t="shared" si="34"/>
        <v>400000</v>
      </c>
      <c r="U63" s="2643">
        <f t="shared" si="34"/>
        <v>4089285.62</v>
      </c>
      <c r="V63" s="2643">
        <f t="shared" si="34"/>
        <v>310400</v>
      </c>
      <c r="W63" s="2643">
        <f t="shared" si="34"/>
        <v>0</v>
      </c>
      <c r="X63" s="2643">
        <f t="shared" si="34"/>
        <v>591044</v>
      </c>
      <c r="Y63" s="2643">
        <f t="shared" ref="Y63:AF63" si="35">SUM(Y64:Y66)</f>
        <v>1096558.73</v>
      </c>
      <c r="Z63" s="2643">
        <f t="shared" si="35"/>
        <v>430923.24</v>
      </c>
      <c r="AA63" s="2643">
        <f t="shared" ref="AA63:AE63" si="36">SUM(AA64:AA66)</f>
        <v>605897.77</v>
      </c>
      <c r="AB63" s="2643">
        <f t="shared" si="36"/>
        <v>131400.35</v>
      </c>
      <c r="AC63" s="2643">
        <f t="shared" si="36"/>
        <v>121857.25</v>
      </c>
      <c r="AD63" s="2643">
        <f t="shared" si="36"/>
        <v>0</v>
      </c>
      <c r="AE63" s="2643">
        <f t="shared" si="36"/>
        <v>403154.11</v>
      </c>
      <c r="AF63" s="2643">
        <f t="shared" si="35"/>
        <v>2656.24</v>
      </c>
    </row>
    <row r="64" spans="2:32" s="2123" customFormat="1">
      <c r="B64" s="2634" t="s">
        <v>1094</v>
      </c>
      <c r="C64" s="2635">
        <f>SUM(D64:AF64)</f>
        <v>12998874.41</v>
      </c>
      <c r="D64" s="2660">
        <v>1000000</v>
      </c>
      <c r="E64" s="2660">
        <v>1000000</v>
      </c>
      <c r="F64" s="2660"/>
      <c r="G64" s="2660"/>
      <c r="H64" s="2660"/>
      <c r="I64" s="2660"/>
      <c r="J64" s="2660"/>
      <c r="K64" s="2660">
        <v>200000</v>
      </c>
      <c r="L64" s="2660"/>
      <c r="M64" s="2660">
        <v>4250000</v>
      </c>
      <c r="N64" s="2660"/>
      <c r="O64" s="2660"/>
      <c r="P64" s="2660">
        <v>221400</v>
      </c>
      <c r="Q64" s="2660"/>
      <c r="R64" s="2660"/>
      <c r="S64" s="2660">
        <f>18000+21400</f>
        <v>39400</v>
      </c>
      <c r="T64" s="2661"/>
      <c r="U64" s="2660">
        <f>38620+162026.62+3888639</f>
        <v>4089285.62</v>
      </c>
      <c r="V64" s="2660">
        <f>300000+10400</f>
        <v>310400</v>
      </c>
      <c r="W64" s="2660"/>
      <c r="X64" s="2660">
        <f>8815+20000+262229</f>
        <v>291044</v>
      </c>
      <c r="Y64" s="2660">
        <f>27435.54+21399.75+1047723.44</f>
        <v>1096558.73</v>
      </c>
      <c r="Z64" s="2660">
        <f>6121+424802.24</f>
        <v>430923.24</v>
      </c>
      <c r="AA64" s="2660">
        <f>6549.54</f>
        <v>6549.54</v>
      </c>
      <c r="AB64" s="2660">
        <v>9013</v>
      </c>
      <c r="AC64" s="2660">
        <f>45547.66+2942.27</f>
        <v>48489.93</v>
      </c>
      <c r="AD64" s="2660"/>
      <c r="AE64" s="2660">
        <v>3154.11</v>
      </c>
      <c r="AF64" s="2660">
        <v>2656.24</v>
      </c>
    </row>
    <row r="65" spans="1:32" s="2123" customFormat="1">
      <c r="A65" s="2666"/>
      <c r="B65" s="2634" t="s">
        <v>1095</v>
      </c>
      <c r="C65" s="2635">
        <f>SUM(D65:AF65)</f>
        <v>0</v>
      </c>
      <c r="D65" s="2662"/>
      <c r="E65" s="2662"/>
      <c r="F65" s="2663"/>
      <c r="G65" s="2662"/>
      <c r="H65" s="2662"/>
      <c r="I65" s="2662"/>
      <c r="J65" s="2662"/>
      <c r="K65" s="2662"/>
      <c r="L65" s="2662"/>
      <c r="M65" s="2662"/>
      <c r="N65" s="2662"/>
      <c r="O65" s="2662"/>
      <c r="P65" s="2662"/>
      <c r="Q65" s="2662"/>
      <c r="R65" s="2664"/>
      <c r="S65" s="2664"/>
      <c r="T65" s="2664"/>
      <c r="U65" s="2662"/>
      <c r="V65" s="2664"/>
      <c r="W65" s="2664"/>
      <c r="X65" s="2664"/>
      <c r="Y65" s="2664"/>
      <c r="Z65" s="2664"/>
      <c r="AA65" s="2664"/>
      <c r="AB65" s="2664"/>
      <c r="AC65" s="2664"/>
      <c r="AD65" s="2664"/>
      <c r="AE65" s="2664"/>
      <c r="AF65" s="2664"/>
    </row>
    <row r="66" spans="1:32" s="2123" customFormat="1">
      <c r="B66" s="2634" t="s">
        <v>1096</v>
      </c>
      <c r="C66" s="2635">
        <f>SUM(D66:AF66)</f>
        <v>5205576.9000000004</v>
      </c>
      <c r="D66" s="2662"/>
      <c r="E66" s="2662"/>
      <c r="F66" s="2663"/>
      <c r="G66" s="2662"/>
      <c r="H66" s="2662"/>
      <c r="I66" s="2662"/>
      <c r="J66" s="2662"/>
      <c r="K66" s="2662"/>
      <c r="L66" s="2662"/>
      <c r="M66" s="2664"/>
      <c r="N66" s="2662">
        <v>118053</v>
      </c>
      <c r="O66" s="2665">
        <f>2733229</f>
        <v>2733229</v>
      </c>
      <c r="P66" s="2662">
        <v>159192</v>
      </c>
      <c r="Q66" s="2662"/>
      <c r="R66" s="2662">
        <v>300000</v>
      </c>
      <c r="S66" s="2662"/>
      <c r="T66" s="2662">
        <v>400000</v>
      </c>
      <c r="U66" s="2662"/>
      <c r="V66" s="2662"/>
      <c r="W66" s="2662"/>
      <c r="X66" s="2662">
        <v>300000</v>
      </c>
      <c r="Y66" s="2662"/>
      <c r="Z66" s="2662"/>
      <c r="AA66" s="2662">
        <v>599348.23</v>
      </c>
      <c r="AB66" s="2662">
        <v>122387.35</v>
      </c>
      <c r="AC66" s="2662">
        <v>73367.320000000007</v>
      </c>
      <c r="AD66" s="2662"/>
      <c r="AE66" s="2662">
        <v>400000</v>
      </c>
      <c r="AF66" s="2662"/>
    </row>
    <row r="67" spans="1:32" s="2123" customFormat="1">
      <c r="B67" s="358"/>
      <c r="C67" s="358"/>
      <c r="D67" s="755"/>
      <c r="E67" s="755"/>
      <c r="F67" s="755"/>
      <c r="G67" s="755"/>
      <c r="H67" s="755"/>
      <c r="I67" s="755"/>
      <c r="J67" s="755"/>
      <c r="K67" s="755"/>
      <c r="L67" s="755"/>
      <c r="M67" s="755"/>
      <c r="N67" s="755"/>
      <c r="O67" s="755"/>
      <c r="P67" s="755"/>
      <c r="Q67" s="755"/>
      <c r="R67" s="755"/>
      <c r="S67" s="755"/>
      <c r="T67" s="755"/>
      <c r="U67" s="755"/>
      <c r="V67" s="755"/>
      <c r="W67" s="755"/>
    </row>
    <row r="68" spans="1:32" ht="15" thickBot="1">
      <c r="B68" s="396" t="s">
        <v>544</v>
      </c>
      <c r="C68" s="397" t="e">
        <f>C44-C45-C63</f>
        <v>#REF!</v>
      </c>
      <c r="Y68" s="2123"/>
    </row>
    <row r="69" spans="1:32" s="2636" customFormat="1" hidden="1" outlineLevel="1">
      <c r="D69" s="2637">
        <v>44562</v>
      </c>
      <c r="E69" s="2637">
        <v>44593</v>
      </c>
      <c r="F69" s="2637">
        <v>44621</v>
      </c>
      <c r="G69" s="2637">
        <v>44652</v>
      </c>
      <c r="H69" s="2637">
        <v>44682</v>
      </c>
      <c r="I69" s="2637">
        <v>44713</v>
      </c>
      <c r="J69" s="2637">
        <v>44743</v>
      </c>
      <c r="K69" s="2637">
        <v>44774</v>
      </c>
      <c r="L69" s="2637">
        <v>44805</v>
      </c>
      <c r="M69" s="2637">
        <v>44835</v>
      </c>
      <c r="N69" s="2637">
        <v>44866</v>
      </c>
      <c r="O69" s="2637">
        <v>44896</v>
      </c>
      <c r="P69" s="2637" t="s">
        <v>1427</v>
      </c>
      <c r="Q69" s="2637" t="s">
        <v>1428</v>
      </c>
      <c r="R69" s="2637" t="s">
        <v>1429</v>
      </c>
      <c r="S69" s="2637" t="s">
        <v>1430</v>
      </c>
      <c r="T69" s="2637" t="s">
        <v>1431</v>
      </c>
      <c r="U69" s="2637" t="s">
        <v>1433</v>
      </c>
      <c r="V69" s="2637" t="s">
        <v>1434</v>
      </c>
      <c r="W69" s="2637" t="s">
        <v>1432</v>
      </c>
    </row>
    <row r="70" spans="1:32" s="2636" customFormat="1" hidden="1" outlineLevel="1">
      <c r="B70" s="2638" t="s">
        <v>1439</v>
      </c>
      <c r="C70" s="2639">
        <f t="shared" ref="C70:C73" si="37">SUM(D70:W70)</f>
        <v>20086032.620000001</v>
      </c>
      <c r="D70" s="2639">
        <v>1000000</v>
      </c>
      <c r="E70" s="2639">
        <v>1000000</v>
      </c>
      <c r="F70" s="2639"/>
      <c r="G70" s="2639"/>
      <c r="H70" s="2639"/>
      <c r="I70" s="2639"/>
      <c r="J70" s="2639"/>
      <c r="K70" s="2639">
        <v>200000</v>
      </c>
      <c r="L70" s="2639"/>
      <c r="M70" s="2639">
        <v>4250000</v>
      </c>
      <c r="N70" s="2639">
        <v>118053</v>
      </c>
      <c r="O70" s="2639">
        <f>49068+2733229</f>
        <v>2782297</v>
      </c>
      <c r="P70" s="2639">
        <f>400737+21400</f>
        <v>422137</v>
      </c>
      <c r="Q70" s="2639">
        <v>47560</v>
      </c>
      <c r="R70" s="2639">
        <v>300000</v>
      </c>
      <c r="S70" s="2639">
        <f>118000+21400+2655000</f>
        <v>2794400</v>
      </c>
      <c r="T70" s="2639">
        <f>1578000+3888639+400000</f>
        <v>5866639</v>
      </c>
      <c r="U70" s="2639">
        <f>38620+162026.62+1104300</f>
        <v>1304946.6200000001</v>
      </c>
      <c r="V70" s="2639"/>
      <c r="W70" s="2639"/>
    </row>
    <row r="71" spans="1:32" s="2636" customFormat="1" hidden="1" outlineLevel="1">
      <c r="B71" s="2636" t="s">
        <v>1094</v>
      </c>
      <c r="C71" s="2640">
        <f t="shared" si="37"/>
        <v>9704385.4800000004</v>
      </c>
      <c r="I71" s="2640"/>
      <c r="J71" s="2640"/>
      <c r="K71" s="2640"/>
      <c r="L71" s="2640"/>
      <c r="M71" s="2640">
        <v>4250000</v>
      </c>
      <c r="N71" s="2640"/>
      <c r="O71" s="2640"/>
      <c r="P71" s="2640">
        <f>200000+21400</f>
        <v>221400</v>
      </c>
      <c r="Q71" s="2640"/>
      <c r="R71" s="2640"/>
      <c r="S71" s="2640">
        <f>18000+21400</f>
        <v>39400</v>
      </c>
      <c r="T71" s="2640">
        <f>781442+3107196.86</f>
        <v>3888638.86</v>
      </c>
      <c r="U71" s="2640">
        <f>1104300+38620+162026.62</f>
        <v>1304946.6200000001</v>
      </c>
    </row>
    <row r="72" spans="1:32" s="2636" customFormat="1" hidden="1" outlineLevel="1">
      <c r="B72" s="2636" t="s">
        <v>1095</v>
      </c>
      <c r="C72" s="2640">
        <f t="shared" si="37"/>
        <v>138173</v>
      </c>
      <c r="I72" s="2640"/>
      <c r="J72" s="2640"/>
      <c r="K72" s="2640"/>
      <c r="L72" s="2640"/>
      <c r="M72" s="2640"/>
      <c r="N72" s="2640"/>
      <c r="O72" s="2640">
        <v>49068</v>
      </c>
      <c r="P72" s="2640">
        <v>41545</v>
      </c>
      <c r="Q72" s="2640">
        <v>47560</v>
      </c>
      <c r="R72" s="2640"/>
      <c r="S72" s="2640"/>
      <c r="T72" s="2640"/>
      <c r="U72" s="2640"/>
    </row>
    <row r="73" spans="1:32" s="2636" customFormat="1" hidden="1" outlineLevel="1">
      <c r="B73" s="2636" t="s">
        <v>1096</v>
      </c>
      <c r="C73" s="2640">
        <f t="shared" si="37"/>
        <v>8043474</v>
      </c>
      <c r="I73" s="2640"/>
      <c r="J73" s="2640"/>
      <c r="K73" s="2640"/>
      <c r="L73" s="2640"/>
      <c r="M73" s="2640"/>
      <c r="N73" s="2640">
        <v>118053</v>
      </c>
      <c r="O73" s="2640">
        <v>2733229</v>
      </c>
      <c r="P73" s="2640">
        <v>159192</v>
      </c>
      <c r="Q73" s="2640"/>
      <c r="R73" s="2640">
        <v>300000</v>
      </c>
      <c r="S73" s="2640">
        <f>100000+2655000</f>
        <v>2755000</v>
      </c>
      <c r="T73" s="2640">
        <f>400000+738000+840000</f>
        <v>1978000</v>
      </c>
      <c r="U73" s="2640"/>
    </row>
    <row r="74" spans="1:32" s="2636" customFormat="1" hidden="1" outlineLevel="1">
      <c r="B74" s="2638"/>
      <c r="C74" s="2639"/>
      <c r="D74" s="2639"/>
      <c r="E74" s="2639"/>
      <c r="F74" s="2639"/>
      <c r="G74" s="2639"/>
      <c r="H74" s="2639"/>
      <c r="I74" s="2639"/>
      <c r="J74" s="2639"/>
      <c r="K74" s="2639"/>
      <c r="L74" s="2639"/>
      <c r="M74" s="2639"/>
      <c r="N74" s="2639"/>
      <c r="O74" s="2639"/>
      <c r="P74" s="2639"/>
      <c r="Q74" s="2639"/>
      <c r="R74" s="2639"/>
      <c r="S74" s="2639">
        <f>S70-S71-S72-S73</f>
        <v>0</v>
      </c>
      <c r="T74" s="2639">
        <f>T70-T71-T72-T73</f>
        <v>0.14000000013038516</v>
      </c>
      <c r="U74" s="2639">
        <f>U70-U71-U72-U73</f>
        <v>0</v>
      </c>
      <c r="V74" s="2639"/>
      <c r="W74" s="2639"/>
    </row>
    <row r="75" spans="1:32" collapsed="1">
      <c r="B75" s="358"/>
      <c r="C75" s="358"/>
    </row>
    <row r="76" spans="1:32" ht="29.4" thickBot="1">
      <c r="B76" s="832" t="s">
        <v>1963</v>
      </c>
      <c r="C76" s="833" t="e">
        <f>C68</f>
        <v>#REF!</v>
      </c>
      <c r="D76" s="345"/>
      <c r="X76" s="1312"/>
      <c r="Y76"/>
      <c r="AF76"/>
    </row>
    <row r="78" spans="1:32" s="2123" customFormat="1" ht="15" thickBot="1">
      <c r="B78" s="832" t="s">
        <v>1457</v>
      </c>
      <c r="C78" s="833">
        <f>C81+C99+C108</f>
        <v>33846219.670000002</v>
      </c>
    </row>
    <row r="79" spans="1:32" s="2123" customFormat="1">
      <c r="B79" s="2654" t="s">
        <v>1458</v>
      </c>
      <c r="C79" s="2655" t="e">
        <f>C76-C78</f>
        <v>#REF!</v>
      </c>
    </row>
    <row r="80" spans="1:32" s="2123" customFormat="1"/>
    <row r="81" spans="2:3">
      <c r="B81" s="2650" t="s">
        <v>1440</v>
      </c>
      <c r="C81" s="2651">
        <f>SUM(C82:C98)</f>
        <v>23321406.150000002</v>
      </c>
    </row>
    <row r="82" spans="2:3">
      <c r="B82" s="2648" t="s">
        <v>1441</v>
      </c>
      <c r="C82" s="2649">
        <v>3244.61</v>
      </c>
    </row>
    <row r="83" spans="2:3" s="2123" customFormat="1">
      <c r="B83" s="2648" t="s">
        <v>1846</v>
      </c>
      <c r="C83" s="2649">
        <v>11032.13</v>
      </c>
    </row>
    <row r="84" spans="2:3" s="2123" customFormat="1">
      <c r="B84" s="2648" t="s">
        <v>1799</v>
      </c>
      <c r="C84" s="2649">
        <v>4750000</v>
      </c>
    </row>
    <row r="85" spans="2:3">
      <c r="B85" s="2648" t="s">
        <v>2068</v>
      </c>
      <c r="C85" s="2649">
        <f>21114224.42-C84</f>
        <v>16364224.420000002</v>
      </c>
    </row>
    <row r="86" spans="2:3">
      <c r="B86" s="2648" t="s">
        <v>1442</v>
      </c>
      <c r="C86" s="2649">
        <v>476.59</v>
      </c>
    </row>
    <row r="87" spans="2:3">
      <c r="B87" s="2648" t="s">
        <v>1443</v>
      </c>
      <c r="C87" s="2649">
        <v>0.06</v>
      </c>
    </row>
    <row r="88" spans="2:3">
      <c r="B88" s="2648" t="s">
        <v>1444</v>
      </c>
      <c r="C88" s="2649">
        <v>0</v>
      </c>
    </row>
    <row r="89" spans="2:3">
      <c r="B89" s="2648" t="s">
        <v>1445</v>
      </c>
      <c r="C89" s="2649">
        <v>55.97</v>
      </c>
    </row>
    <row r="90" spans="2:3">
      <c r="B90" s="2648" t="s">
        <v>1334</v>
      </c>
      <c r="C90" s="2649">
        <v>565561.93999999994</v>
      </c>
    </row>
    <row r="91" spans="2:3" s="2123" customFormat="1">
      <c r="B91" s="2648" t="s">
        <v>1800</v>
      </c>
      <c r="C91" s="2649">
        <v>12741.56</v>
      </c>
    </row>
    <row r="92" spans="2:3">
      <c r="B92" s="2648" t="s">
        <v>1446</v>
      </c>
      <c r="C92" s="2649">
        <v>35230.14</v>
      </c>
    </row>
    <row r="93" spans="2:3">
      <c r="B93" s="2648" t="s">
        <v>1447</v>
      </c>
      <c r="C93" s="2649">
        <v>472561.5</v>
      </c>
    </row>
    <row r="94" spans="2:3">
      <c r="B94" s="2648" t="s">
        <v>2123</v>
      </c>
      <c r="C94" s="2649">
        <f>27000*36.55</f>
        <v>986849.99999999988</v>
      </c>
    </row>
    <row r="95" spans="2:3" s="2123" customFormat="1">
      <c r="B95" s="2648" t="s">
        <v>1801</v>
      </c>
      <c r="C95" s="2649">
        <v>0</v>
      </c>
    </row>
    <row r="96" spans="2:3" s="2123" customFormat="1">
      <c r="B96" s="2648" t="s">
        <v>1821</v>
      </c>
      <c r="C96" s="2649">
        <v>0</v>
      </c>
    </row>
    <row r="97" spans="2:3" s="2123" customFormat="1">
      <c r="B97" s="2648" t="s">
        <v>1822</v>
      </c>
      <c r="C97" s="2649">
        <v>27.98</v>
      </c>
    </row>
    <row r="98" spans="2:3">
      <c r="B98" s="2648" t="s">
        <v>1448</v>
      </c>
      <c r="C98" s="2649">
        <v>119399.25</v>
      </c>
    </row>
    <row r="99" spans="2:3">
      <c r="B99" s="2650" t="s">
        <v>1449</v>
      </c>
      <c r="C99" s="2651">
        <f>SUM(C100:C107)</f>
        <v>8401986.5199999996</v>
      </c>
    </row>
    <row r="100" spans="2:3">
      <c r="B100" s="2648" t="s">
        <v>1450</v>
      </c>
      <c r="C100" s="3000">
        <v>4985000</v>
      </c>
    </row>
    <row r="101" spans="2:3">
      <c r="B101" s="2648" t="s">
        <v>1451</v>
      </c>
      <c r="C101" s="3000">
        <v>2364608.75</v>
      </c>
    </row>
    <row r="102" spans="2:3">
      <c r="B102" s="2648" t="s">
        <v>1452</v>
      </c>
      <c r="C102" s="3000">
        <v>200714.42</v>
      </c>
    </row>
    <row r="103" spans="2:3">
      <c r="B103" s="2648" t="s">
        <v>1453</v>
      </c>
      <c r="C103" s="3000">
        <v>159077</v>
      </c>
    </row>
    <row r="104" spans="2:3">
      <c r="B104" s="2648" t="s">
        <v>1454</v>
      </c>
      <c r="C104" s="3000">
        <v>64969.13</v>
      </c>
    </row>
    <row r="105" spans="2:3">
      <c r="B105" s="2648" t="s">
        <v>1437</v>
      </c>
      <c r="C105" s="3000">
        <v>173259.62</v>
      </c>
    </row>
    <row r="106" spans="2:3">
      <c r="B106" s="2648" t="s">
        <v>1455</v>
      </c>
      <c r="C106" s="3000">
        <v>9705.7199999999993</v>
      </c>
    </row>
    <row r="107" spans="2:3">
      <c r="B107" s="2648" t="s">
        <v>1456</v>
      </c>
      <c r="C107" s="3000">
        <v>444651.88</v>
      </c>
    </row>
    <row r="108" spans="2:3">
      <c r="B108" s="2650" t="s">
        <v>1460</v>
      </c>
      <c r="C108" s="2651">
        <f>2008695+87986+26146</f>
        <v>2122827</v>
      </c>
    </row>
    <row r="109" spans="2:3">
      <c r="B109" s="2648"/>
      <c r="C109" s="2649"/>
    </row>
    <row r="110" spans="2:3">
      <c r="B110" s="2648"/>
      <c r="C110" s="2649"/>
    </row>
    <row r="111" spans="2:3">
      <c r="B111" s="2648"/>
      <c r="C111" s="2649"/>
    </row>
    <row r="112" spans="2:3">
      <c r="B112" s="2648"/>
      <c r="C112" s="2649"/>
    </row>
  </sheetData>
  <mergeCells count="3">
    <mergeCell ref="C1:E1"/>
    <mergeCell ref="G1:I1"/>
    <mergeCell ref="K1:M1"/>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pageSetUpPr fitToPage="1"/>
  </sheetPr>
  <dimension ref="A1:AL97"/>
  <sheetViews>
    <sheetView showZeros="0" zoomScale="80" zoomScaleNormal="80" workbookViewId="0">
      <pane xSplit="6" ySplit="5" topLeftCell="H51" activePane="bottomRight" state="frozen"/>
      <selection pane="topRight" activeCell="G1" sqref="G1"/>
      <selection pane="bottomLeft" activeCell="A6" sqref="A6"/>
      <selection pane="bottomRight" activeCell="N78" sqref="N78"/>
    </sheetView>
  </sheetViews>
  <sheetFormatPr defaultColWidth="7.44140625" defaultRowHeight="13.2" outlineLevelRow="3" outlineLevelCol="1"/>
  <cols>
    <col min="1" max="1" width="5.5546875" style="8" customWidth="1"/>
    <col min="2" max="2" width="55" style="8" customWidth="1"/>
    <col min="3" max="3" width="15" style="77" hidden="1" customWidth="1" outlineLevel="1"/>
    <col min="4" max="4" width="15.5546875" style="77" hidden="1" customWidth="1" outlineLevel="1"/>
    <col min="5" max="5" width="16.33203125" style="38" hidden="1" customWidth="1" outlineLevel="1"/>
    <col min="6" max="6" width="9.5546875" style="38" hidden="1" customWidth="1" outlineLevel="1"/>
    <col min="7" max="9" width="16.33203125" style="38" hidden="1" customWidth="1" outlineLevel="1"/>
    <col min="10" max="10" width="8.6640625" style="38" hidden="1" customWidth="1" outlineLevel="1"/>
    <col min="11" max="11" width="31.44140625" style="38" hidden="1" customWidth="1" outlineLevel="1"/>
    <col min="12" max="14" width="16.33203125" style="38" hidden="1" customWidth="1" outlineLevel="1"/>
    <col min="15" max="15" width="8.6640625" style="38" hidden="1" customWidth="1" outlineLevel="1"/>
    <col min="16" max="16" width="31.44140625" style="38" hidden="1" customWidth="1" outlineLevel="1"/>
    <col min="17" max="19" width="16.33203125" style="38" hidden="1" customWidth="1" outlineLevel="1"/>
    <col min="20" max="20" width="8.6640625" style="38" hidden="1" customWidth="1" outlineLevel="1"/>
    <col min="21" max="21" width="31.44140625" style="38" hidden="1" customWidth="1" outlineLevel="1"/>
    <col min="22" max="22" width="16.33203125" style="38" customWidth="1" collapsed="1"/>
    <col min="23" max="24" width="16.33203125" style="38" customWidth="1"/>
    <col min="25" max="25" width="8.6640625" style="38" customWidth="1"/>
    <col min="26" max="26" width="31.44140625" style="38" customWidth="1"/>
    <col min="27" max="29" width="16.33203125" style="38" hidden="1" customWidth="1" outlineLevel="1"/>
    <col min="30" max="30" width="13.6640625" style="38" hidden="1" customWidth="1" outlineLevel="1"/>
    <col min="31" max="34" width="16.33203125" style="38" hidden="1" customWidth="1" outlineLevel="1"/>
    <col min="35" max="35" width="9" style="38" hidden="1" customWidth="1" outlineLevel="1"/>
    <col min="36" max="36" width="16.33203125" style="38" hidden="1" customWidth="1" outlineLevel="1"/>
    <col min="37" max="37" width="22.44140625" style="1" customWidth="1" collapsed="1"/>
    <col min="38" max="16384" width="7.44140625" style="1"/>
  </cols>
  <sheetData>
    <row r="1" spans="1:38" ht="13.8" thickBot="1">
      <c r="C1" s="38"/>
      <c r="D1" s="38"/>
    </row>
    <row r="2" spans="1:38" ht="22.2" customHeight="1">
      <c r="A2" s="4834" t="s">
        <v>86</v>
      </c>
      <c r="B2" s="4835"/>
      <c r="C2" s="4835"/>
      <c r="D2" s="4835"/>
      <c r="E2" s="4835"/>
      <c r="F2" s="4836"/>
      <c r="G2" s="4837" t="s">
        <v>136</v>
      </c>
      <c r="H2" s="4838"/>
      <c r="I2" s="4838"/>
      <c r="J2" s="4838"/>
      <c r="K2" s="322"/>
      <c r="L2" s="4837" t="s">
        <v>82</v>
      </c>
      <c r="M2" s="4838"/>
      <c r="N2" s="4838"/>
      <c r="O2" s="4838"/>
      <c r="P2" s="232"/>
      <c r="Q2" s="4837" t="s">
        <v>108</v>
      </c>
      <c r="R2" s="4838"/>
      <c r="S2" s="4838"/>
      <c r="T2" s="4838"/>
      <c r="U2" s="315"/>
      <c r="V2" s="4837" t="s">
        <v>137</v>
      </c>
      <c r="W2" s="4838"/>
      <c r="X2" s="4838"/>
      <c r="Y2" s="4838"/>
      <c r="Z2" s="322"/>
      <c r="AA2" s="4841" t="s">
        <v>178</v>
      </c>
      <c r="AB2" s="4842"/>
      <c r="AC2" s="4842"/>
      <c r="AD2" s="4842"/>
      <c r="AE2" s="4843"/>
      <c r="AF2" s="4847" t="s">
        <v>83</v>
      </c>
      <c r="AG2" s="4848"/>
      <c r="AH2" s="4848"/>
      <c r="AI2" s="4848"/>
      <c r="AJ2" s="4849"/>
    </row>
    <row r="3" spans="1:38" ht="14.4" customHeight="1" thickBot="1">
      <c r="A3" s="4853" t="s">
        <v>54</v>
      </c>
      <c r="B3" s="4854"/>
      <c r="C3" s="4854"/>
      <c r="D3" s="4854"/>
      <c r="E3" s="4854"/>
      <c r="F3" s="4855"/>
      <c r="G3" s="4839"/>
      <c r="H3" s="4840"/>
      <c r="I3" s="4840"/>
      <c r="J3" s="4840"/>
      <c r="K3" s="323"/>
      <c r="L3" s="4839"/>
      <c r="M3" s="4840"/>
      <c r="N3" s="4840"/>
      <c r="O3" s="4840"/>
      <c r="P3" s="233"/>
      <c r="Q3" s="4839"/>
      <c r="R3" s="4840"/>
      <c r="S3" s="4840"/>
      <c r="T3" s="4840"/>
      <c r="U3" s="316"/>
      <c r="V3" s="4839"/>
      <c r="W3" s="4840"/>
      <c r="X3" s="4840"/>
      <c r="Y3" s="4840"/>
      <c r="Z3" s="323"/>
      <c r="AA3" s="4844"/>
      <c r="AB3" s="4845"/>
      <c r="AC3" s="4845"/>
      <c r="AD3" s="4845"/>
      <c r="AE3" s="4846"/>
      <c r="AF3" s="4850"/>
      <c r="AG3" s="4851"/>
      <c r="AH3" s="4851"/>
      <c r="AI3" s="4851"/>
      <c r="AJ3" s="4852"/>
    </row>
    <row r="4" spans="1:38" ht="41.4" thickBot="1">
      <c r="A4" s="92"/>
      <c r="B4" s="93" t="s">
        <v>11</v>
      </c>
      <c r="C4" s="239" t="s">
        <v>55</v>
      </c>
      <c r="D4" s="239" t="s">
        <v>18</v>
      </c>
      <c r="E4" s="240" t="s">
        <v>39</v>
      </c>
      <c r="F4" s="209" t="s">
        <v>40</v>
      </c>
      <c r="G4" s="94" t="s">
        <v>55</v>
      </c>
      <c r="H4" s="94" t="s">
        <v>18</v>
      </c>
      <c r="I4" s="95" t="s">
        <v>39</v>
      </c>
      <c r="J4" s="209" t="s">
        <v>40</v>
      </c>
      <c r="K4" s="241" t="s">
        <v>87</v>
      </c>
      <c r="L4" s="94" t="s">
        <v>55</v>
      </c>
      <c r="M4" s="94" t="s">
        <v>18</v>
      </c>
      <c r="N4" s="95" t="s">
        <v>39</v>
      </c>
      <c r="O4" s="209" t="s">
        <v>40</v>
      </c>
      <c r="P4" s="241" t="s">
        <v>87</v>
      </c>
      <c r="Q4" s="94" t="s">
        <v>55</v>
      </c>
      <c r="R4" s="94" t="s">
        <v>18</v>
      </c>
      <c r="S4" s="95" t="s">
        <v>39</v>
      </c>
      <c r="T4" s="209" t="s">
        <v>40</v>
      </c>
      <c r="U4" s="241" t="s">
        <v>87</v>
      </c>
      <c r="V4" s="94" t="s">
        <v>55</v>
      </c>
      <c r="W4" s="94" t="s">
        <v>18</v>
      </c>
      <c r="X4" s="95" t="s">
        <v>39</v>
      </c>
      <c r="Y4" s="209" t="s">
        <v>40</v>
      </c>
      <c r="Z4" s="241" t="s">
        <v>87</v>
      </c>
      <c r="AA4" s="94" t="s">
        <v>55</v>
      </c>
      <c r="AB4" s="94" t="s">
        <v>18</v>
      </c>
      <c r="AC4" s="95" t="s">
        <v>39</v>
      </c>
      <c r="AD4" s="209" t="s">
        <v>40</v>
      </c>
      <c r="AE4" s="95" t="s">
        <v>19</v>
      </c>
      <c r="AF4" s="94" t="s">
        <v>55</v>
      </c>
      <c r="AG4" s="94" t="s">
        <v>18</v>
      </c>
      <c r="AH4" s="95" t="s">
        <v>39</v>
      </c>
      <c r="AI4" s="209" t="s">
        <v>40</v>
      </c>
      <c r="AJ4" s="95" t="s">
        <v>19</v>
      </c>
    </row>
    <row r="5" spans="1:38" s="88" customFormat="1" ht="14.4" thickBot="1">
      <c r="A5" s="83"/>
      <c r="B5" s="84" t="s">
        <v>10</v>
      </c>
      <c r="C5" s="85">
        <f>C6</f>
        <v>0</v>
      </c>
      <c r="D5" s="85">
        <f>D6</f>
        <v>4969126.97</v>
      </c>
      <c r="E5" s="86">
        <f>E6</f>
        <v>4969126.97</v>
      </c>
      <c r="F5" s="87"/>
      <c r="G5" s="85">
        <f>G6</f>
        <v>0</v>
      </c>
      <c r="H5" s="85">
        <f>H6</f>
        <v>0</v>
      </c>
      <c r="I5" s="86">
        <f>I6</f>
        <v>0</v>
      </c>
      <c r="J5" s="87"/>
      <c r="K5" s="263"/>
      <c r="L5" s="85">
        <f>L6</f>
        <v>0</v>
      </c>
      <c r="M5" s="85">
        <f>M6</f>
        <v>1911138</v>
      </c>
      <c r="N5" s="86">
        <f>N6</f>
        <v>1911138</v>
      </c>
      <c r="O5" s="87"/>
      <c r="P5" s="263"/>
      <c r="Q5" s="85">
        <f>Q6</f>
        <v>0</v>
      </c>
      <c r="R5" s="85">
        <f>R6</f>
        <v>0</v>
      </c>
      <c r="S5" s="86">
        <f>S6</f>
        <v>0</v>
      </c>
      <c r="T5" s="87"/>
      <c r="U5" s="263"/>
      <c r="V5" s="85">
        <f>V6</f>
        <v>0</v>
      </c>
      <c r="W5" s="85">
        <f>W6</f>
        <v>2770509.28</v>
      </c>
      <c r="X5" s="86">
        <f>X6</f>
        <v>2770509.28</v>
      </c>
      <c r="Y5" s="87"/>
      <c r="Z5" s="263"/>
      <c r="AA5" s="87">
        <f>AA6</f>
        <v>0</v>
      </c>
      <c r="AB5" s="87">
        <f>AB6</f>
        <v>4681647.2799999993</v>
      </c>
      <c r="AC5" s="87">
        <f>AC6</f>
        <v>4681647.2799999993</v>
      </c>
      <c r="AD5" s="87"/>
      <c r="AE5" s="87"/>
      <c r="AF5" s="85">
        <f>AF6</f>
        <v>0</v>
      </c>
      <c r="AG5" s="85">
        <f>AG6</f>
        <v>287479.69000000041</v>
      </c>
      <c r="AH5" s="86">
        <f>AH6</f>
        <v>287479.69000000041</v>
      </c>
      <c r="AI5" s="87"/>
      <c r="AJ5" s="87"/>
      <c r="AK5" s="1"/>
      <c r="AL5" s="1"/>
    </row>
    <row r="6" spans="1:38" s="2" customFormat="1" ht="27.6" outlineLevel="1">
      <c r="A6" s="238"/>
      <c r="B6" s="9" t="s">
        <v>17</v>
      </c>
      <c r="C6" s="104"/>
      <c r="D6" s="105">
        <v>4969126.97</v>
      </c>
      <c r="E6" s="106">
        <f>C6+D6</f>
        <v>4969126.97</v>
      </c>
      <c r="F6" s="39"/>
      <c r="G6" s="39"/>
      <c r="H6" s="39"/>
      <c r="I6" s="39">
        <f>G6+H6</f>
        <v>0</v>
      </c>
      <c r="J6" s="39"/>
      <c r="K6" s="291"/>
      <c r="L6" s="39"/>
      <c r="M6" s="39">
        <f>1911138</f>
        <v>1911138</v>
      </c>
      <c r="N6" s="39">
        <f>L6+M6</f>
        <v>1911138</v>
      </c>
      <c r="O6" s="39"/>
      <c r="P6" s="291" t="s">
        <v>138</v>
      </c>
      <c r="Q6" s="39"/>
      <c r="R6" s="39"/>
      <c r="S6" s="39">
        <f>Q6+R6</f>
        <v>0</v>
      </c>
      <c r="T6" s="39"/>
      <c r="U6" s="291"/>
      <c r="V6" s="39"/>
      <c r="W6" s="39">
        <f>3342509.28-572000</f>
        <v>2770509.28</v>
      </c>
      <c r="X6" s="39">
        <f>V6+W6</f>
        <v>2770509.28</v>
      </c>
      <c r="Y6" s="39"/>
      <c r="Z6" s="291" t="s">
        <v>179</v>
      </c>
      <c r="AA6" s="39">
        <f>L6+Q6+V6+G6</f>
        <v>0</v>
      </c>
      <c r="AB6" s="39">
        <f>M6+R6+W6+H6</f>
        <v>4681647.2799999993</v>
      </c>
      <c r="AC6" s="106">
        <f>AA6+AB6</f>
        <v>4681647.2799999993</v>
      </c>
      <c r="AD6" s="39"/>
      <c r="AE6" s="39"/>
      <c r="AF6" s="210">
        <f>C6-AA6</f>
        <v>0</v>
      </c>
      <c r="AG6" s="210">
        <f>D6-AB6</f>
        <v>287479.69000000041</v>
      </c>
      <c r="AH6" s="210">
        <f>AF6+AG6</f>
        <v>287479.69000000041</v>
      </c>
      <c r="AI6" s="39"/>
      <c r="AJ6" s="39"/>
      <c r="AK6" s="1"/>
      <c r="AL6" s="1"/>
    </row>
    <row r="7" spans="1:38" s="2" customFormat="1" ht="15" customHeight="1" outlineLevel="1" collapsed="1" thickBot="1">
      <c r="A7" s="238"/>
      <c r="B7" s="10" t="s">
        <v>41</v>
      </c>
      <c r="C7" s="107"/>
      <c r="D7" s="108"/>
      <c r="E7" s="106">
        <f>C7+D7</f>
        <v>0</v>
      </c>
      <c r="F7" s="40"/>
      <c r="G7" s="40"/>
      <c r="H7" s="40"/>
      <c r="I7" s="40">
        <f>G7+H7</f>
        <v>0</v>
      </c>
      <c r="J7" s="40"/>
      <c r="K7" s="40"/>
      <c r="L7" s="40"/>
      <c r="M7" s="40"/>
      <c r="N7" s="40">
        <f>L7+M7</f>
        <v>0</v>
      </c>
      <c r="O7" s="40"/>
      <c r="P7" s="40"/>
      <c r="Q7" s="40"/>
      <c r="R7" s="40"/>
      <c r="S7" s="40">
        <f>Q7+R7</f>
        <v>0</v>
      </c>
      <c r="T7" s="40"/>
      <c r="U7" s="40"/>
      <c r="V7" s="40"/>
      <c r="W7" s="40"/>
      <c r="X7" s="40">
        <f>V7+W7</f>
        <v>0</v>
      </c>
      <c r="Y7" s="40"/>
      <c r="Z7" s="40"/>
      <c r="AA7" s="40"/>
      <c r="AB7" s="40"/>
      <c r="AC7" s="106">
        <f>AA7+AB7</f>
        <v>0</v>
      </c>
      <c r="AD7" s="40"/>
      <c r="AE7" s="40"/>
      <c r="AF7" s="210">
        <f>C7-AA7</f>
        <v>0</v>
      </c>
      <c r="AG7" s="210">
        <f>D7-AB7</f>
        <v>0</v>
      </c>
      <c r="AH7" s="210">
        <f>AF7+AG7</f>
        <v>0</v>
      </c>
      <c r="AI7" s="40"/>
      <c r="AJ7" s="40"/>
      <c r="AK7" s="1"/>
      <c r="AL7" s="1"/>
    </row>
    <row r="8" spans="1:38" s="88" customFormat="1" ht="15" customHeight="1" outlineLevel="1" thickBot="1">
      <c r="A8" s="238"/>
      <c r="B8" s="84" t="s">
        <v>16</v>
      </c>
      <c r="C8" s="109">
        <f>SUM(C9:C31)</f>
        <v>975438</v>
      </c>
      <c r="D8" s="109">
        <f>SUM(D9:D31)</f>
        <v>2243523</v>
      </c>
      <c r="E8" s="110">
        <f>SUM(E9:E31)</f>
        <v>3218961</v>
      </c>
      <c r="F8" s="164">
        <f>E8/$E$87</f>
        <v>0.9574260008405463</v>
      </c>
      <c r="G8" s="109">
        <f>SUM(G9:G31)</f>
        <v>0</v>
      </c>
      <c r="H8" s="109">
        <f>SUM(H9:H31)</f>
        <v>480</v>
      </c>
      <c r="I8" s="110">
        <f>SUM(I9:I31)</f>
        <v>480</v>
      </c>
      <c r="J8" s="164">
        <f>I8/$N$87</f>
        <v>1.1248466702757235E-3</v>
      </c>
      <c r="K8" s="264"/>
      <c r="L8" s="109">
        <f>SUM(L9:L31)</f>
        <v>172736.59600000002</v>
      </c>
      <c r="M8" s="109">
        <f>SUM(M9:M31)</f>
        <v>163985.65000000002</v>
      </c>
      <c r="N8" s="110">
        <f>SUM(N9:N31)</f>
        <v>336722.24600000004</v>
      </c>
      <c r="O8" s="164">
        <f>N8/$N$87</f>
        <v>0.78908520254346481</v>
      </c>
      <c r="P8" s="264"/>
      <c r="Q8" s="109">
        <f>SUM(Q9:Q31)</f>
        <v>132386.06</v>
      </c>
      <c r="R8" s="109">
        <f>SUM(R9:R31)</f>
        <v>33025</v>
      </c>
      <c r="S8" s="110">
        <f>SUM(S9:S31)</f>
        <v>165411.06</v>
      </c>
      <c r="T8" s="164">
        <f>S8/$S$87</f>
        <v>0.71402738705677105</v>
      </c>
      <c r="U8" s="264"/>
      <c r="V8" s="109">
        <f>SUM(V9:V31)</f>
        <v>209487.06800000003</v>
      </c>
      <c r="W8" s="109">
        <f>SUM(W9:W31)</f>
        <v>296819.5</v>
      </c>
      <c r="X8" s="110">
        <f>SUM(X9:X31)</f>
        <v>506306.56800000003</v>
      </c>
      <c r="Y8" s="164">
        <f>X8/$X$87</f>
        <v>0.82906416769330915</v>
      </c>
      <c r="Z8" s="264"/>
      <c r="AA8" s="109">
        <f>SUM(AA9:AA31)</f>
        <v>514609.72400000005</v>
      </c>
      <c r="AB8" s="109">
        <f>SUM(AB9:AB31)</f>
        <v>494310.15</v>
      </c>
      <c r="AC8" s="110">
        <f>SUM(AC9:AC31)</f>
        <v>1008919.8740000001</v>
      </c>
      <c r="AD8" s="164">
        <f>AC8/$AC$87</f>
        <v>0.79240226940359226</v>
      </c>
      <c r="AE8" s="87"/>
      <c r="AF8" s="109">
        <f>SUM(AF9:AF31)</f>
        <v>460828.27599999995</v>
      </c>
      <c r="AG8" s="109">
        <f>SUM(AG9:AG31)</f>
        <v>1749212.85</v>
      </c>
      <c r="AH8" s="110">
        <f>SUM(AH9:AH31)</f>
        <v>2210041.1260000002</v>
      </c>
      <c r="AI8" s="164">
        <f>AH8/$AH$87</f>
        <v>0.91677174918896454</v>
      </c>
      <c r="AJ8" s="87"/>
      <c r="AK8" s="1"/>
      <c r="AL8" s="1"/>
    </row>
    <row r="9" spans="1:38" s="2" customFormat="1" ht="28.95" customHeight="1" outlineLevel="2">
      <c r="A9" s="238"/>
      <c r="B9" s="31" t="s">
        <v>74</v>
      </c>
      <c r="C9" s="111">
        <v>51842</v>
      </c>
      <c r="D9" s="112"/>
      <c r="E9" s="106">
        <f t="shared" ref="E9:E31" si="0">C9+D9</f>
        <v>51842</v>
      </c>
      <c r="F9" s="177">
        <f t="shared" ref="F9:F31" si="1">E9/$E$87</f>
        <v>1.5419534047034307E-2</v>
      </c>
      <c r="G9" s="163"/>
      <c r="H9" s="112"/>
      <c r="I9" s="41">
        <f>G9+H9*1</f>
        <v>0</v>
      </c>
      <c r="J9" s="178">
        <f t="shared" ref="J9:J35" si="2">I9/$N$87</f>
        <v>0</v>
      </c>
      <c r="K9" s="265"/>
      <c r="L9" s="163">
        <f>5*3944.5</f>
        <v>19722.5</v>
      </c>
      <c r="M9" s="112"/>
      <c r="N9" s="41">
        <f>L9+M9*1</f>
        <v>19722.5</v>
      </c>
      <c r="O9" s="178">
        <f t="shared" ref="O9:O72" si="3">N9/$N$87</f>
        <v>4.6218309280235327E-2</v>
      </c>
      <c r="P9" s="265"/>
      <c r="Q9" s="163">
        <f>5*6842.5</f>
        <v>34212.5</v>
      </c>
      <c r="R9" s="112"/>
      <c r="S9" s="41">
        <f>Q9+R9*1</f>
        <v>34212.5</v>
      </c>
      <c r="T9" s="178">
        <f t="shared" ref="T9:T29" si="4">S9/$S$87</f>
        <v>0.14768457429436568</v>
      </c>
      <c r="U9" s="291" t="s">
        <v>109</v>
      </c>
      <c r="V9" s="163">
        <f>7*6842.5</f>
        <v>47897.5</v>
      </c>
      <c r="W9" s="112"/>
      <c r="X9" s="41">
        <f>V9+W9*1</f>
        <v>47897.5</v>
      </c>
      <c r="Y9" s="178">
        <f t="shared" ref="Y9:Y66" si="5">X9/$X$87</f>
        <v>7.8430941808541321E-2</v>
      </c>
      <c r="Z9" s="291" t="s">
        <v>139</v>
      </c>
      <c r="AA9" s="39">
        <f>L9+Q9+V9+G9</f>
        <v>101832.5</v>
      </c>
      <c r="AB9" s="39">
        <f t="shared" ref="AB9:AB31" si="6">M9+R9+W9+H9</f>
        <v>0</v>
      </c>
      <c r="AC9" s="210">
        <f>AA9+AB9*1</f>
        <v>101832.5</v>
      </c>
      <c r="AD9" s="178">
        <f t="shared" ref="AD9:AD31" si="7">AC9/$AC$87</f>
        <v>7.9978902367266985E-2</v>
      </c>
      <c r="AE9" s="42"/>
      <c r="AF9" s="210">
        <f>C9-AA9</f>
        <v>-49990.5</v>
      </c>
      <c r="AG9" s="210">
        <f>D9-AB9</f>
        <v>0</v>
      </c>
      <c r="AH9" s="210">
        <f>AF9+AG9*1</f>
        <v>-49990.5</v>
      </c>
      <c r="AI9" s="178">
        <f t="shared" ref="AI9:AI31" si="8">AH9/$AH$87</f>
        <v>-2.0737115517293288E-2</v>
      </c>
      <c r="AJ9" s="42"/>
      <c r="AK9" s="1"/>
      <c r="AL9" s="1"/>
    </row>
    <row r="10" spans="1:38" s="2" customFormat="1" ht="14.4" customHeight="1" outlineLevel="2">
      <c r="A10" s="238"/>
      <c r="B10" s="31" t="s">
        <v>72</v>
      </c>
      <c r="C10" s="111">
        <v>14168</v>
      </c>
      <c r="D10" s="112"/>
      <c r="E10" s="106">
        <f t="shared" si="0"/>
        <v>14168</v>
      </c>
      <c r="F10" s="177">
        <f t="shared" si="1"/>
        <v>4.2140341495000592E-3</v>
      </c>
      <c r="G10" s="163"/>
      <c r="H10" s="112"/>
      <c r="I10" s="41">
        <f t="shared" ref="I10:I31" si="9">G10+H10*1</f>
        <v>0</v>
      </c>
      <c r="J10" s="178">
        <f t="shared" si="2"/>
        <v>0</v>
      </c>
      <c r="K10" s="290"/>
      <c r="L10" s="163">
        <f>955.5*5</f>
        <v>4777.5</v>
      </c>
      <c r="M10" s="112"/>
      <c r="N10" s="41">
        <f t="shared" ref="N10:N31" si="10">L10+M10*1</f>
        <v>4777.5</v>
      </c>
      <c r="O10" s="178">
        <f t="shared" si="3"/>
        <v>1.119573951508806E-2</v>
      </c>
      <c r="P10" s="290"/>
      <c r="Q10" s="163">
        <f>1657.5*5</f>
        <v>8287.5</v>
      </c>
      <c r="R10" s="112"/>
      <c r="S10" s="41">
        <f t="shared" ref="S10:S31" si="11">Q10+R10*1</f>
        <v>8287.5</v>
      </c>
      <c r="T10" s="178">
        <f>S10/$S$87</f>
        <v>3.5774524207951935E-2</v>
      </c>
      <c r="U10" s="290"/>
      <c r="V10" s="163">
        <f>(8500*19.5%)*7</f>
        <v>11602.5</v>
      </c>
      <c r="W10" s="112"/>
      <c r="X10" s="41">
        <f t="shared" ref="X10:X31" si="12">V10+W10*1</f>
        <v>11602.5</v>
      </c>
      <c r="Y10" s="178">
        <f t="shared" si="5"/>
        <v>1.8998799568528645E-2</v>
      </c>
      <c r="Z10" s="290"/>
      <c r="AA10" s="39">
        <f t="shared" ref="AA10:AA29" si="13">L10+Q10+V10+G10</f>
        <v>24667.5</v>
      </c>
      <c r="AB10" s="39">
        <f t="shared" si="6"/>
        <v>0</v>
      </c>
      <c r="AC10" s="210">
        <f t="shared" ref="AC10:AC31" si="14">AA10+AB10*1</f>
        <v>24667.5</v>
      </c>
      <c r="AD10" s="178">
        <f t="shared" si="7"/>
        <v>1.9373771380890758E-2</v>
      </c>
      <c r="AE10" s="42"/>
      <c r="AF10" s="210">
        <f t="shared" ref="AF10:AF31" si="15">C10-AA10</f>
        <v>-10499.5</v>
      </c>
      <c r="AG10" s="210">
        <f t="shared" ref="AG10:AG31" si="16">D10-AB10</f>
        <v>0</v>
      </c>
      <c r="AH10" s="210">
        <f t="shared" ref="AH10:AH31" si="17">AF10+AG10*1</f>
        <v>-10499.5</v>
      </c>
      <c r="AI10" s="178">
        <f t="shared" si="8"/>
        <v>-4.3554144162154989E-3</v>
      </c>
      <c r="AJ10" s="42"/>
      <c r="AK10" s="1"/>
      <c r="AL10" s="1"/>
    </row>
    <row r="11" spans="1:38" s="2" customFormat="1" ht="14.4" customHeight="1" outlineLevel="2">
      <c r="A11" s="238"/>
      <c r="B11" s="31" t="s">
        <v>69</v>
      </c>
      <c r="C11" s="111">
        <v>12558</v>
      </c>
      <c r="D11" s="112"/>
      <c r="E11" s="106">
        <f t="shared" si="0"/>
        <v>12558</v>
      </c>
      <c r="F11" s="177">
        <f t="shared" si="1"/>
        <v>3.7351666325114163E-3</v>
      </c>
      <c r="G11" s="163"/>
      <c r="H11" s="112"/>
      <c r="I11" s="41">
        <f t="shared" si="9"/>
        <v>0</v>
      </c>
      <c r="J11" s="178">
        <f t="shared" si="2"/>
        <v>0</v>
      </c>
      <c r="K11" s="290"/>
      <c r="L11" s="163">
        <f>1078*5</f>
        <v>5390</v>
      </c>
      <c r="M11" s="112"/>
      <c r="N11" s="41">
        <f t="shared" si="10"/>
        <v>5390</v>
      </c>
      <c r="O11" s="178">
        <f t="shared" si="3"/>
        <v>1.2631090734971144E-2</v>
      </c>
      <c r="P11" s="290"/>
      <c r="Q11" s="163">
        <f>1870*5</f>
        <v>9350</v>
      </c>
      <c r="R11" s="112"/>
      <c r="S11" s="41">
        <f t="shared" si="11"/>
        <v>9350</v>
      </c>
      <c r="T11" s="178">
        <f t="shared" si="4"/>
        <v>4.0361001670509877E-2</v>
      </c>
      <c r="U11" s="290"/>
      <c r="V11" s="163">
        <f>(8500*22%)*7</f>
        <v>13090</v>
      </c>
      <c r="W11" s="112"/>
      <c r="X11" s="41">
        <f t="shared" si="12"/>
        <v>13090</v>
      </c>
      <c r="Y11" s="178">
        <f t="shared" si="5"/>
        <v>2.1434543102955395E-2</v>
      </c>
      <c r="Z11" s="290"/>
      <c r="AA11" s="39">
        <f t="shared" si="13"/>
        <v>27830</v>
      </c>
      <c r="AB11" s="39">
        <f t="shared" si="6"/>
        <v>0</v>
      </c>
      <c r="AC11" s="210">
        <f t="shared" si="14"/>
        <v>27830</v>
      </c>
      <c r="AD11" s="178">
        <f t="shared" si="7"/>
        <v>2.1857588224594701E-2</v>
      </c>
      <c r="AE11" s="42"/>
      <c r="AF11" s="210">
        <f t="shared" si="15"/>
        <v>-15272</v>
      </c>
      <c r="AG11" s="210">
        <f t="shared" si="16"/>
        <v>0</v>
      </c>
      <c r="AH11" s="210">
        <f t="shared" si="17"/>
        <v>-15272</v>
      </c>
      <c r="AI11" s="178">
        <f t="shared" si="8"/>
        <v>-6.3351482417679976E-3</v>
      </c>
      <c r="AJ11" s="42"/>
      <c r="AK11" s="1"/>
      <c r="AL11" s="1"/>
    </row>
    <row r="12" spans="1:38" s="2" customFormat="1" ht="15" customHeight="1" outlineLevel="2">
      <c r="A12" s="238"/>
      <c r="B12" s="31" t="s">
        <v>73</v>
      </c>
      <c r="C12" s="111"/>
      <c r="D12" s="112"/>
      <c r="E12" s="106">
        <f t="shared" si="0"/>
        <v>0</v>
      </c>
      <c r="F12" s="177">
        <f t="shared" si="1"/>
        <v>0</v>
      </c>
      <c r="G12" s="163"/>
      <c r="H12" s="112"/>
      <c r="I12" s="41">
        <f t="shared" si="9"/>
        <v>0</v>
      </c>
      <c r="J12" s="178">
        <f t="shared" si="2"/>
        <v>0</v>
      </c>
      <c r="K12" s="291"/>
      <c r="L12" s="163"/>
      <c r="M12" s="112"/>
      <c r="N12" s="41">
        <f t="shared" si="10"/>
        <v>0</v>
      </c>
      <c r="O12" s="178">
        <f t="shared" si="3"/>
        <v>0</v>
      </c>
      <c r="P12" s="291"/>
      <c r="Q12" s="163"/>
      <c r="R12" s="112"/>
      <c r="S12" s="41">
        <f t="shared" si="11"/>
        <v>0</v>
      </c>
      <c r="T12" s="178">
        <f t="shared" si="4"/>
        <v>0</v>
      </c>
      <c r="U12" s="291"/>
      <c r="V12" s="163"/>
      <c r="W12" s="112"/>
      <c r="X12" s="41">
        <f t="shared" si="12"/>
        <v>0</v>
      </c>
      <c r="Y12" s="178">
        <f t="shared" si="5"/>
        <v>0</v>
      </c>
      <c r="Z12" s="291"/>
      <c r="AA12" s="39">
        <f t="shared" si="13"/>
        <v>0</v>
      </c>
      <c r="AB12" s="39">
        <f t="shared" si="6"/>
        <v>0</v>
      </c>
      <c r="AC12" s="210">
        <f t="shared" si="14"/>
        <v>0</v>
      </c>
      <c r="AD12" s="178">
        <f t="shared" si="7"/>
        <v>0</v>
      </c>
      <c r="AE12" s="42"/>
      <c r="AF12" s="210">
        <f t="shared" si="15"/>
        <v>0</v>
      </c>
      <c r="AG12" s="210">
        <f t="shared" si="16"/>
        <v>0</v>
      </c>
      <c r="AH12" s="210">
        <f t="shared" si="17"/>
        <v>0</v>
      </c>
      <c r="AI12" s="178">
        <f t="shared" si="8"/>
        <v>0</v>
      </c>
      <c r="AJ12" s="42"/>
      <c r="AK12" s="1"/>
      <c r="AL12" s="1"/>
    </row>
    <row r="13" spans="1:38" s="2" customFormat="1" ht="14.4" customHeight="1" outlineLevel="2">
      <c r="A13" s="238"/>
      <c r="B13" s="31" t="s">
        <v>71</v>
      </c>
      <c r="C13" s="111"/>
      <c r="D13" s="112"/>
      <c r="E13" s="106">
        <f t="shared" si="0"/>
        <v>0</v>
      </c>
      <c r="F13" s="177">
        <f t="shared" si="1"/>
        <v>0</v>
      </c>
      <c r="G13" s="163"/>
      <c r="H13" s="112"/>
      <c r="I13" s="41">
        <f t="shared" si="9"/>
        <v>0</v>
      </c>
      <c r="J13" s="178">
        <f t="shared" si="2"/>
        <v>0</v>
      </c>
      <c r="K13" s="291"/>
      <c r="L13" s="163"/>
      <c r="M13" s="112"/>
      <c r="N13" s="41">
        <f t="shared" si="10"/>
        <v>0</v>
      </c>
      <c r="O13" s="178">
        <f t="shared" si="3"/>
        <v>0</v>
      </c>
      <c r="P13" s="291"/>
      <c r="Q13" s="163"/>
      <c r="R13" s="112"/>
      <c r="S13" s="41">
        <f t="shared" si="11"/>
        <v>0</v>
      </c>
      <c r="T13" s="178">
        <f t="shared" si="4"/>
        <v>0</v>
      </c>
      <c r="U13" s="291"/>
      <c r="V13" s="163"/>
      <c r="W13" s="112"/>
      <c r="X13" s="41">
        <f t="shared" si="12"/>
        <v>0</v>
      </c>
      <c r="Y13" s="178">
        <f t="shared" si="5"/>
        <v>0</v>
      </c>
      <c r="Z13" s="291"/>
      <c r="AA13" s="39">
        <f t="shared" si="13"/>
        <v>0</v>
      </c>
      <c r="AB13" s="39">
        <f t="shared" si="6"/>
        <v>0</v>
      </c>
      <c r="AC13" s="210">
        <f t="shared" si="14"/>
        <v>0</v>
      </c>
      <c r="AD13" s="178">
        <f t="shared" si="7"/>
        <v>0</v>
      </c>
      <c r="AE13" s="42"/>
      <c r="AF13" s="210">
        <f t="shared" si="15"/>
        <v>0</v>
      </c>
      <c r="AG13" s="210">
        <f t="shared" si="16"/>
        <v>0</v>
      </c>
      <c r="AH13" s="210">
        <f t="shared" si="17"/>
        <v>0</v>
      </c>
      <c r="AI13" s="178">
        <f t="shared" si="8"/>
        <v>0</v>
      </c>
      <c r="AJ13" s="42"/>
      <c r="AK13" s="1"/>
      <c r="AL13" s="1"/>
    </row>
    <row r="14" spans="1:38" s="2" customFormat="1" ht="14.4" customHeight="1" outlineLevel="2">
      <c r="A14" s="238"/>
      <c r="B14" s="31" t="s">
        <v>70</v>
      </c>
      <c r="C14" s="111"/>
      <c r="D14" s="112"/>
      <c r="E14" s="106">
        <f t="shared" si="0"/>
        <v>0</v>
      </c>
      <c r="F14" s="177">
        <f t="shared" si="1"/>
        <v>0</v>
      </c>
      <c r="G14" s="163"/>
      <c r="H14" s="112"/>
      <c r="I14" s="41">
        <f t="shared" si="9"/>
        <v>0</v>
      </c>
      <c r="J14" s="178">
        <f t="shared" si="2"/>
        <v>0</v>
      </c>
      <c r="K14" s="291"/>
      <c r="L14" s="163"/>
      <c r="M14" s="112"/>
      <c r="N14" s="41">
        <f t="shared" si="10"/>
        <v>0</v>
      </c>
      <c r="O14" s="178">
        <f t="shared" si="3"/>
        <v>0</v>
      </c>
      <c r="P14" s="291"/>
      <c r="Q14" s="163"/>
      <c r="R14" s="112"/>
      <c r="S14" s="41">
        <f t="shared" si="11"/>
        <v>0</v>
      </c>
      <c r="T14" s="178">
        <f t="shared" si="4"/>
        <v>0</v>
      </c>
      <c r="U14" s="291"/>
      <c r="V14" s="163"/>
      <c r="W14" s="112"/>
      <c r="X14" s="41">
        <f t="shared" si="12"/>
        <v>0</v>
      </c>
      <c r="Y14" s="178">
        <f t="shared" si="5"/>
        <v>0</v>
      </c>
      <c r="Z14" s="291"/>
      <c r="AA14" s="39">
        <f t="shared" si="13"/>
        <v>0</v>
      </c>
      <c r="AB14" s="39">
        <f t="shared" si="6"/>
        <v>0</v>
      </c>
      <c r="AC14" s="210">
        <f t="shared" si="14"/>
        <v>0</v>
      </c>
      <c r="AD14" s="178">
        <f t="shared" si="7"/>
        <v>0</v>
      </c>
      <c r="AE14" s="42"/>
      <c r="AF14" s="210">
        <f t="shared" si="15"/>
        <v>0</v>
      </c>
      <c r="AG14" s="210">
        <f t="shared" si="16"/>
        <v>0</v>
      </c>
      <c r="AH14" s="210">
        <f t="shared" si="17"/>
        <v>0</v>
      </c>
      <c r="AI14" s="178">
        <f t="shared" si="8"/>
        <v>0</v>
      </c>
      <c r="AJ14" s="42"/>
      <c r="AK14" s="1"/>
      <c r="AL14" s="1"/>
    </row>
    <row r="15" spans="1:38" s="2" customFormat="1" ht="14.4" customHeight="1" outlineLevel="2">
      <c r="A15" s="238"/>
      <c r="B15" s="7" t="s">
        <v>20</v>
      </c>
      <c r="C15" s="111"/>
      <c r="D15" s="113"/>
      <c r="E15" s="106">
        <f t="shared" si="0"/>
        <v>0</v>
      </c>
      <c r="F15" s="177">
        <f t="shared" si="1"/>
        <v>0</v>
      </c>
      <c r="G15" s="161"/>
      <c r="H15" s="113"/>
      <c r="I15" s="41">
        <f t="shared" si="9"/>
        <v>0</v>
      </c>
      <c r="J15" s="178">
        <f t="shared" si="2"/>
        <v>0</v>
      </c>
      <c r="K15" s="291"/>
      <c r="L15" s="161"/>
      <c r="M15" s="113"/>
      <c r="N15" s="41">
        <f t="shared" si="10"/>
        <v>0</v>
      </c>
      <c r="O15" s="178">
        <f t="shared" si="3"/>
        <v>0</v>
      </c>
      <c r="P15" s="291"/>
      <c r="Q15" s="161"/>
      <c r="R15" s="113"/>
      <c r="S15" s="41">
        <f t="shared" si="11"/>
        <v>0</v>
      </c>
      <c r="T15" s="178">
        <f t="shared" si="4"/>
        <v>0</v>
      </c>
      <c r="U15" s="291"/>
      <c r="V15" s="161"/>
      <c r="W15" s="113"/>
      <c r="X15" s="41">
        <f t="shared" si="12"/>
        <v>0</v>
      </c>
      <c r="Y15" s="178">
        <f t="shared" si="5"/>
        <v>0</v>
      </c>
      <c r="Z15" s="291"/>
      <c r="AA15" s="39">
        <f t="shared" si="13"/>
        <v>0</v>
      </c>
      <c r="AB15" s="39">
        <f t="shared" si="6"/>
        <v>0</v>
      </c>
      <c r="AC15" s="210">
        <f t="shared" si="14"/>
        <v>0</v>
      </c>
      <c r="AD15" s="178">
        <f t="shared" si="7"/>
        <v>0</v>
      </c>
      <c r="AE15" s="42"/>
      <c r="AF15" s="210">
        <f t="shared" si="15"/>
        <v>0</v>
      </c>
      <c r="AG15" s="210">
        <f t="shared" si="16"/>
        <v>0</v>
      </c>
      <c r="AH15" s="210">
        <f t="shared" si="17"/>
        <v>0</v>
      </c>
      <c r="AI15" s="178">
        <f t="shared" si="8"/>
        <v>0</v>
      </c>
      <c r="AJ15" s="42"/>
      <c r="AK15" s="1"/>
      <c r="AL15" s="1"/>
    </row>
    <row r="16" spans="1:38" s="2" customFormat="1" ht="14.4" customHeight="1" outlineLevel="2">
      <c r="A16" s="292"/>
      <c r="B16" s="7" t="s">
        <v>21</v>
      </c>
      <c r="C16" s="111"/>
      <c r="D16" s="113">
        <v>1708693</v>
      </c>
      <c r="E16" s="106">
        <f>C16+D16</f>
        <v>1708693</v>
      </c>
      <c r="F16" s="177">
        <f t="shared" si="1"/>
        <v>0.50822209578004696</v>
      </c>
      <c r="G16" s="161"/>
      <c r="H16" s="113"/>
      <c r="I16" s="41">
        <f t="shared" si="9"/>
        <v>0</v>
      </c>
      <c r="J16" s="178">
        <f t="shared" si="2"/>
        <v>0</v>
      </c>
      <c r="K16" s="291"/>
      <c r="L16" s="161"/>
      <c r="M16" s="113">
        <f>135000-L9</f>
        <v>115277.5</v>
      </c>
      <c r="N16" s="41">
        <f t="shared" si="10"/>
        <v>115277.5</v>
      </c>
      <c r="O16" s="178">
        <f t="shared" si="3"/>
        <v>0.27014481673481189</v>
      </c>
      <c r="P16" s="291" t="s">
        <v>90</v>
      </c>
      <c r="Q16" s="161"/>
      <c r="R16" s="113"/>
      <c r="S16" s="41">
        <f t="shared" si="11"/>
        <v>0</v>
      </c>
      <c r="T16" s="178">
        <f t="shared" si="4"/>
        <v>0</v>
      </c>
      <c r="U16" s="291"/>
      <c r="V16" s="161"/>
      <c r="W16" s="113">
        <v>250552.5</v>
      </c>
      <c r="X16" s="41">
        <f t="shared" si="12"/>
        <v>250552.5</v>
      </c>
      <c r="Y16" s="178">
        <f t="shared" si="5"/>
        <v>0.41027336598955166</v>
      </c>
      <c r="Z16" s="291" t="s">
        <v>140</v>
      </c>
      <c r="AA16" s="39">
        <f t="shared" si="13"/>
        <v>0</v>
      </c>
      <c r="AB16" s="39">
        <f t="shared" si="6"/>
        <v>365830</v>
      </c>
      <c r="AC16" s="210">
        <f t="shared" si="14"/>
        <v>365830</v>
      </c>
      <c r="AD16" s="178">
        <f t="shared" si="7"/>
        <v>0.28732164930662885</v>
      </c>
      <c r="AE16" s="42"/>
      <c r="AF16" s="210">
        <f t="shared" si="15"/>
        <v>0</v>
      </c>
      <c r="AG16" s="210">
        <f t="shared" si="16"/>
        <v>1342863</v>
      </c>
      <c r="AH16" s="210">
        <f t="shared" si="17"/>
        <v>1342863</v>
      </c>
      <c r="AI16" s="178">
        <f t="shared" si="8"/>
        <v>0.5570479422069996</v>
      </c>
      <c r="AJ16" s="42"/>
    </row>
    <row r="17" spans="1:38" s="2" customFormat="1" ht="14.4" customHeight="1" outlineLevel="2">
      <c r="A17" s="238"/>
      <c r="B17" s="7" t="s">
        <v>22</v>
      </c>
      <c r="C17" s="111"/>
      <c r="D17" s="113"/>
      <c r="E17" s="106">
        <f t="shared" si="0"/>
        <v>0</v>
      </c>
      <c r="F17" s="177">
        <f t="shared" si="1"/>
        <v>0</v>
      </c>
      <c r="G17" s="161"/>
      <c r="H17" s="113"/>
      <c r="I17" s="41">
        <f t="shared" si="9"/>
        <v>0</v>
      </c>
      <c r="J17" s="178">
        <f t="shared" si="2"/>
        <v>0</v>
      </c>
      <c r="K17" s="291"/>
      <c r="L17" s="161"/>
      <c r="M17" s="113"/>
      <c r="N17" s="41">
        <f t="shared" si="10"/>
        <v>0</v>
      </c>
      <c r="O17" s="178">
        <f t="shared" si="3"/>
        <v>0</v>
      </c>
      <c r="P17" s="291"/>
      <c r="Q17" s="161"/>
      <c r="R17" s="113"/>
      <c r="S17" s="41">
        <f t="shared" si="11"/>
        <v>0</v>
      </c>
      <c r="T17" s="178">
        <f t="shared" si="4"/>
        <v>0</v>
      </c>
      <c r="U17" s="291"/>
      <c r="V17" s="161"/>
      <c r="W17" s="113"/>
      <c r="X17" s="41">
        <f t="shared" si="12"/>
        <v>0</v>
      </c>
      <c r="Y17" s="178">
        <f t="shared" si="5"/>
        <v>0</v>
      </c>
      <c r="Z17" s="291"/>
      <c r="AA17" s="39">
        <f t="shared" si="13"/>
        <v>0</v>
      </c>
      <c r="AB17" s="39">
        <f t="shared" si="6"/>
        <v>0</v>
      </c>
      <c r="AC17" s="210">
        <f t="shared" si="14"/>
        <v>0</v>
      </c>
      <c r="AD17" s="178">
        <f t="shared" si="7"/>
        <v>0</v>
      </c>
      <c r="AE17" s="42"/>
      <c r="AF17" s="210">
        <f t="shared" si="15"/>
        <v>0</v>
      </c>
      <c r="AG17" s="210">
        <f t="shared" si="16"/>
        <v>0</v>
      </c>
      <c r="AH17" s="210">
        <f t="shared" si="17"/>
        <v>0</v>
      </c>
      <c r="AI17" s="178">
        <f t="shared" si="8"/>
        <v>0</v>
      </c>
      <c r="AJ17" s="42"/>
    </row>
    <row r="18" spans="1:38" s="2" customFormat="1" ht="55.2" customHeight="1" outlineLevel="2">
      <c r="A18" s="238"/>
      <c r="B18" s="7" t="s">
        <v>0</v>
      </c>
      <c r="C18" s="111">
        <v>30000</v>
      </c>
      <c r="D18" s="113">
        <v>18830</v>
      </c>
      <c r="E18" s="106">
        <f t="shared" si="0"/>
        <v>48830</v>
      </c>
      <c r="F18" s="177">
        <f t="shared" si="1"/>
        <v>1.4523665127053069E-2</v>
      </c>
      <c r="G18" s="161"/>
      <c r="H18" s="113"/>
      <c r="I18" s="41">
        <f t="shared" si="9"/>
        <v>0</v>
      </c>
      <c r="J18" s="178">
        <f t="shared" si="2"/>
        <v>0</v>
      </c>
      <c r="K18" s="291"/>
      <c r="L18" s="161">
        <v>15000</v>
      </c>
      <c r="M18" s="113">
        <v>18830</v>
      </c>
      <c r="N18" s="41">
        <f t="shared" si="10"/>
        <v>33830</v>
      </c>
      <c r="O18" s="178">
        <f t="shared" si="3"/>
        <v>7.927825594880776E-2</v>
      </c>
      <c r="P18" s="291" t="s">
        <v>97</v>
      </c>
      <c r="Q18" s="161"/>
      <c r="R18" s="113">
        <v>7455</v>
      </c>
      <c r="S18" s="41">
        <f t="shared" si="11"/>
        <v>7455</v>
      </c>
      <c r="T18" s="178">
        <f t="shared" si="4"/>
        <v>3.2180884219641832E-2</v>
      </c>
      <c r="U18" s="291" t="s">
        <v>116</v>
      </c>
      <c r="V18" s="161">
        <v>21000</v>
      </c>
      <c r="W18" s="113"/>
      <c r="X18" s="41">
        <f t="shared" si="12"/>
        <v>21000</v>
      </c>
      <c r="Y18" s="178">
        <f t="shared" si="5"/>
        <v>3.4386967544848226E-2</v>
      </c>
      <c r="Z18" s="291" t="s">
        <v>141</v>
      </c>
      <c r="AA18" s="39">
        <f t="shared" si="13"/>
        <v>36000</v>
      </c>
      <c r="AB18" s="39">
        <f t="shared" si="6"/>
        <v>26285</v>
      </c>
      <c r="AC18" s="210">
        <f t="shared" si="14"/>
        <v>62285</v>
      </c>
      <c r="AD18" s="178">
        <f t="shared" si="7"/>
        <v>4.8918429125723355E-2</v>
      </c>
      <c r="AE18" s="42"/>
      <c r="AF18" s="210">
        <f t="shared" si="15"/>
        <v>-6000</v>
      </c>
      <c r="AG18" s="210">
        <f t="shared" si="16"/>
        <v>-7455</v>
      </c>
      <c r="AH18" s="210">
        <f t="shared" si="17"/>
        <v>-13455</v>
      </c>
      <c r="AI18" s="178">
        <f t="shared" si="8"/>
        <v>-5.5814182551721069E-3</v>
      </c>
      <c r="AJ18" s="42"/>
    </row>
    <row r="19" spans="1:38" s="2" customFormat="1" ht="16.2" customHeight="1" outlineLevel="2">
      <c r="A19" s="238"/>
      <c r="B19" s="7" t="s">
        <v>53</v>
      </c>
      <c r="C19" s="114"/>
      <c r="D19" s="113"/>
      <c r="E19" s="106">
        <f t="shared" si="0"/>
        <v>0</v>
      </c>
      <c r="F19" s="177">
        <f t="shared" si="1"/>
        <v>0</v>
      </c>
      <c r="G19" s="161"/>
      <c r="H19" s="113"/>
      <c r="I19" s="41">
        <f t="shared" si="9"/>
        <v>0</v>
      </c>
      <c r="J19" s="178">
        <f t="shared" si="2"/>
        <v>0</v>
      </c>
      <c r="K19" s="291"/>
      <c r="L19" s="161"/>
      <c r="M19" s="113"/>
      <c r="N19" s="41">
        <f t="shared" si="10"/>
        <v>0</v>
      </c>
      <c r="O19" s="178">
        <f t="shared" si="3"/>
        <v>0</v>
      </c>
      <c r="P19" s="291"/>
      <c r="Q19" s="161"/>
      <c r="R19" s="113"/>
      <c r="S19" s="41">
        <f t="shared" si="11"/>
        <v>0</v>
      </c>
      <c r="T19" s="178">
        <f t="shared" si="4"/>
        <v>0</v>
      </c>
      <c r="U19" s="291"/>
      <c r="V19" s="161"/>
      <c r="W19" s="113"/>
      <c r="X19" s="41">
        <f t="shared" si="12"/>
        <v>0</v>
      </c>
      <c r="Y19" s="178">
        <f t="shared" si="5"/>
        <v>0</v>
      </c>
      <c r="Z19" s="291"/>
      <c r="AA19" s="39">
        <f t="shared" si="13"/>
        <v>0</v>
      </c>
      <c r="AB19" s="39">
        <f t="shared" si="6"/>
        <v>0</v>
      </c>
      <c r="AC19" s="210">
        <f t="shared" si="14"/>
        <v>0</v>
      </c>
      <c r="AD19" s="178">
        <f t="shared" si="7"/>
        <v>0</v>
      </c>
      <c r="AE19" s="42"/>
      <c r="AF19" s="210">
        <f t="shared" si="15"/>
        <v>0</v>
      </c>
      <c r="AG19" s="210">
        <f t="shared" si="16"/>
        <v>0</v>
      </c>
      <c r="AH19" s="210">
        <f t="shared" si="17"/>
        <v>0</v>
      </c>
      <c r="AI19" s="178">
        <f t="shared" si="8"/>
        <v>0</v>
      </c>
      <c r="AJ19" s="42"/>
    </row>
    <row r="20" spans="1:38" s="2" customFormat="1" ht="14.4" customHeight="1" outlineLevel="2">
      <c r="A20" s="238"/>
      <c r="B20" s="7" t="s">
        <v>57</v>
      </c>
      <c r="C20" s="114"/>
      <c r="D20" s="113"/>
      <c r="E20" s="106">
        <f t="shared" si="0"/>
        <v>0</v>
      </c>
      <c r="F20" s="177">
        <f t="shared" si="1"/>
        <v>0</v>
      </c>
      <c r="G20" s="161"/>
      <c r="H20" s="113"/>
      <c r="I20" s="41">
        <f t="shared" si="9"/>
        <v>0</v>
      </c>
      <c r="J20" s="178">
        <f t="shared" si="2"/>
        <v>0</v>
      </c>
      <c r="K20" s="291"/>
      <c r="L20" s="161"/>
      <c r="M20" s="113"/>
      <c r="N20" s="41">
        <f t="shared" si="10"/>
        <v>0</v>
      </c>
      <c r="O20" s="178">
        <f t="shared" si="3"/>
        <v>0</v>
      </c>
      <c r="P20" s="291"/>
      <c r="Q20" s="161"/>
      <c r="R20" s="113"/>
      <c r="S20" s="41">
        <f t="shared" si="11"/>
        <v>0</v>
      </c>
      <c r="T20" s="178">
        <f t="shared" si="4"/>
        <v>0</v>
      </c>
      <c r="U20" s="291"/>
      <c r="V20" s="161"/>
      <c r="W20" s="113"/>
      <c r="X20" s="41">
        <f t="shared" si="12"/>
        <v>0</v>
      </c>
      <c r="Y20" s="178">
        <f t="shared" si="5"/>
        <v>0</v>
      </c>
      <c r="Z20" s="291"/>
      <c r="AA20" s="39">
        <f t="shared" si="13"/>
        <v>0</v>
      </c>
      <c r="AB20" s="39">
        <f t="shared" si="6"/>
        <v>0</v>
      </c>
      <c r="AC20" s="210">
        <f t="shared" si="14"/>
        <v>0</v>
      </c>
      <c r="AD20" s="178">
        <f t="shared" si="7"/>
        <v>0</v>
      </c>
      <c r="AE20" s="42"/>
      <c r="AF20" s="210">
        <f t="shared" si="15"/>
        <v>0</v>
      </c>
      <c r="AG20" s="210">
        <f t="shared" si="16"/>
        <v>0</v>
      </c>
      <c r="AH20" s="210">
        <f t="shared" si="17"/>
        <v>0</v>
      </c>
      <c r="AI20" s="178">
        <f t="shared" si="8"/>
        <v>0</v>
      </c>
      <c r="AJ20" s="42"/>
    </row>
    <row r="21" spans="1:38" s="2" customFormat="1" ht="37.200000000000003" customHeight="1" outlineLevel="2">
      <c r="A21" s="238"/>
      <c r="B21" s="7" t="s">
        <v>58</v>
      </c>
      <c r="C21" s="114">
        <v>140000</v>
      </c>
      <c r="D21" s="113"/>
      <c r="E21" s="106">
        <f t="shared" si="0"/>
        <v>140000</v>
      </c>
      <c r="F21" s="177">
        <f t="shared" si="1"/>
        <v>4.1640653651186355E-2</v>
      </c>
      <c r="G21" s="161"/>
      <c r="H21" s="113"/>
      <c r="I21" s="41">
        <f t="shared" si="9"/>
        <v>0</v>
      </c>
      <c r="J21" s="178">
        <f t="shared" si="2"/>
        <v>0</v>
      </c>
      <c r="K21" s="291"/>
      <c r="L21" s="161">
        <v>48080.76</v>
      </c>
      <c r="M21" s="113"/>
      <c r="N21" s="41">
        <f t="shared" si="10"/>
        <v>48080.76</v>
      </c>
      <c r="O21" s="178">
        <f t="shared" si="3"/>
        <v>0.11267392247984624</v>
      </c>
      <c r="P21" s="291" t="s">
        <v>149</v>
      </c>
      <c r="Q21" s="161">
        <v>70536.06</v>
      </c>
      <c r="R21" s="113"/>
      <c r="S21" s="41">
        <f t="shared" si="11"/>
        <v>70536.06</v>
      </c>
      <c r="T21" s="178">
        <f t="shared" si="4"/>
        <v>0.30448192892953851</v>
      </c>
      <c r="U21" s="291" t="s">
        <v>148</v>
      </c>
      <c r="V21" s="161">
        <v>35664</v>
      </c>
      <c r="W21" s="113"/>
      <c r="X21" s="41">
        <f t="shared" si="12"/>
        <v>35664</v>
      </c>
      <c r="Y21" s="178">
        <f t="shared" si="5"/>
        <v>5.8398895739022245E-2</v>
      </c>
      <c r="Z21" s="291" t="s">
        <v>143</v>
      </c>
      <c r="AA21" s="39">
        <f t="shared" si="13"/>
        <v>154280.82</v>
      </c>
      <c r="AB21" s="39">
        <f t="shared" si="6"/>
        <v>0</v>
      </c>
      <c r="AC21" s="210">
        <f t="shared" si="14"/>
        <v>154280.82</v>
      </c>
      <c r="AD21" s="178">
        <f t="shared" si="7"/>
        <v>0.12117163616646838</v>
      </c>
      <c r="AE21" s="42"/>
      <c r="AF21" s="210">
        <f t="shared" si="15"/>
        <v>-14280.820000000007</v>
      </c>
      <c r="AG21" s="210">
        <f t="shared" si="16"/>
        <v>0</v>
      </c>
      <c r="AH21" s="210">
        <f t="shared" si="17"/>
        <v>-14280.820000000007</v>
      </c>
      <c r="AI21" s="178">
        <f t="shared" si="8"/>
        <v>-5.9239858377426206E-3</v>
      </c>
      <c r="AJ21" s="42"/>
    </row>
    <row r="22" spans="1:38" s="2" customFormat="1" ht="37.200000000000003" customHeight="1" outlineLevel="2">
      <c r="A22" s="238"/>
      <c r="B22" s="7" t="s">
        <v>23</v>
      </c>
      <c r="C22" s="114">
        <v>145600</v>
      </c>
      <c r="D22" s="113"/>
      <c r="E22" s="106">
        <f t="shared" si="0"/>
        <v>145600</v>
      </c>
      <c r="F22" s="177">
        <f t="shared" si="1"/>
        <v>4.330627979723381E-2</v>
      </c>
      <c r="G22" s="161"/>
      <c r="H22" s="113"/>
      <c r="I22" s="41">
        <f t="shared" si="9"/>
        <v>0</v>
      </c>
      <c r="J22" s="178">
        <f t="shared" si="2"/>
        <v>0</v>
      </c>
      <c r="K22" s="291"/>
      <c r="L22" s="161">
        <f>(20833.35*1.2)+15000</f>
        <v>40000.019999999997</v>
      </c>
      <c r="M22" s="113"/>
      <c r="N22" s="41">
        <f t="shared" si="10"/>
        <v>40000.019999999997</v>
      </c>
      <c r="O22" s="178">
        <f t="shared" si="3"/>
        <v>9.3737269391588204E-2</v>
      </c>
      <c r="P22" s="291" t="s">
        <v>181</v>
      </c>
      <c r="Q22" s="161">
        <v>10000</v>
      </c>
      <c r="R22" s="113"/>
      <c r="S22" s="41">
        <f t="shared" si="11"/>
        <v>10000</v>
      </c>
      <c r="T22" s="178">
        <f t="shared" si="4"/>
        <v>4.3166846706427675E-2</v>
      </c>
      <c r="U22" s="291" t="s">
        <v>144</v>
      </c>
      <c r="V22" s="161">
        <f>8000*1.2</f>
        <v>9600</v>
      </c>
      <c r="W22" s="113"/>
      <c r="X22" s="41">
        <f t="shared" si="12"/>
        <v>9600</v>
      </c>
      <c r="Y22" s="178">
        <f t="shared" si="5"/>
        <v>1.5719756591930617E-2</v>
      </c>
      <c r="Z22" s="291" t="s">
        <v>154</v>
      </c>
      <c r="AA22" s="39">
        <f t="shared" si="13"/>
        <v>59600.02</v>
      </c>
      <c r="AB22" s="39">
        <f t="shared" si="6"/>
        <v>0</v>
      </c>
      <c r="AC22" s="210">
        <f t="shared" si="14"/>
        <v>59600.02</v>
      </c>
      <c r="AD22" s="178">
        <f t="shared" si="7"/>
        <v>4.6809654880977672E-2</v>
      </c>
      <c r="AE22" s="42"/>
      <c r="AF22" s="210">
        <f t="shared" si="15"/>
        <v>85999.98000000001</v>
      </c>
      <c r="AG22" s="210">
        <f t="shared" si="16"/>
        <v>0</v>
      </c>
      <c r="AH22" s="210">
        <f t="shared" si="17"/>
        <v>85999.98000000001</v>
      </c>
      <c r="AI22" s="178">
        <f t="shared" si="8"/>
        <v>3.567460857052665E-2</v>
      </c>
      <c r="AJ22" s="42"/>
    </row>
    <row r="23" spans="1:38" s="2" customFormat="1" ht="22.95" customHeight="1" outlineLevel="2">
      <c r="A23" s="238"/>
      <c r="B23" s="7" t="s">
        <v>24</v>
      </c>
      <c r="C23" s="114">
        <v>302006</v>
      </c>
      <c r="D23" s="113"/>
      <c r="E23" s="106">
        <f t="shared" si="0"/>
        <v>302006</v>
      </c>
      <c r="F23" s="177">
        <f t="shared" si="1"/>
        <v>8.9826623189858484E-2</v>
      </c>
      <c r="G23" s="161"/>
      <c r="H23" s="113"/>
      <c r="I23" s="41">
        <f t="shared" si="9"/>
        <v>0</v>
      </c>
      <c r="J23" s="178">
        <f t="shared" si="2"/>
        <v>0</v>
      </c>
      <c r="K23" s="291"/>
      <c r="L23" s="161">
        <f>4769.8*1.2</f>
        <v>5723.76</v>
      </c>
      <c r="M23" s="113">
        <v>354.45</v>
      </c>
      <c r="N23" s="41">
        <f t="shared" si="10"/>
        <v>6078.21</v>
      </c>
      <c r="O23" s="178">
        <f t="shared" si="3"/>
        <v>1.4243863082784594E-2</v>
      </c>
      <c r="P23" s="291" t="s">
        <v>93</v>
      </c>
      <c r="Q23" s="161"/>
      <c r="R23" s="113">
        <v>300</v>
      </c>
      <c r="S23" s="41">
        <f t="shared" si="11"/>
        <v>300</v>
      </c>
      <c r="T23" s="178">
        <f t="shared" si="4"/>
        <v>1.2950054011928304E-3</v>
      </c>
      <c r="U23" s="291"/>
      <c r="V23" s="161">
        <v>11862.623999999998</v>
      </c>
      <c r="W23" s="113">
        <v>163.00000000000006</v>
      </c>
      <c r="X23" s="41">
        <f t="shared" si="12"/>
        <v>12025.623999999998</v>
      </c>
      <c r="Y23" s="178">
        <f t="shared" si="5"/>
        <v>1.9691654390216563E-2</v>
      </c>
      <c r="Z23" s="291" t="s">
        <v>145</v>
      </c>
      <c r="AA23" s="39">
        <f t="shared" si="13"/>
        <v>17586.383999999998</v>
      </c>
      <c r="AB23" s="39">
        <f t="shared" si="6"/>
        <v>817.45</v>
      </c>
      <c r="AC23" s="210">
        <f t="shared" si="14"/>
        <v>18403.833999999999</v>
      </c>
      <c r="AD23" s="178">
        <f t="shared" si="7"/>
        <v>1.4454309210413066E-2</v>
      </c>
      <c r="AE23" s="42"/>
      <c r="AF23" s="210">
        <f t="shared" si="15"/>
        <v>284419.61599999998</v>
      </c>
      <c r="AG23" s="210">
        <f t="shared" si="16"/>
        <v>-817.45</v>
      </c>
      <c r="AH23" s="210">
        <f t="shared" si="17"/>
        <v>283602.16599999997</v>
      </c>
      <c r="AI23" s="178">
        <f t="shared" si="8"/>
        <v>0.11764416993821998</v>
      </c>
      <c r="AJ23" s="42"/>
    </row>
    <row r="24" spans="1:38" s="2" customFormat="1" ht="14.4" customHeight="1" outlineLevel="2">
      <c r="A24" s="238"/>
      <c r="B24" s="7" t="s">
        <v>45</v>
      </c>
      <c r="C24" s="114">
        <v>178192</v>
      </c>
      <c r="D24" s="113"/>
      <c r="E24" s="106">
        <f t="shared" si="0"/>
        <v>178192</v>
      </c>
      <c r="F24" s="177">
        <f t="shared" si="1"/>
        <v>5.3000223967229997E-2</v>
      </c>
      <c r="G24" s="161"/>
      <c r="H24" s="113"/>
      <c r="I24" s="41">
        <f t="shared" si="9"/>
        <v>0</v>
      </c>
      <c r="J24" s="178">
        <f t="shared" si="2"/>
        <v>0</v>
      </c>
      <c r="K24" s="291"/>
      <c r="L24" s="161">
        <f>28368.38*1.2</f>
        <v>34042.055999999997</v>
      </c>
      <c r="M24" s="113"/>
      <c r="N24" s="41">
        <f t="shared" si="10"/>
        <v>34042.055999999997</v>
      </c>
      <c r="O24" s="178">
        <f t="shared" si="3"/>
        <v>7.9775194460291063E-2</v>
      </c>
      <c r="P24" s="291"/>
      <c r="Q24" s="161"/>
      <c r="R24" s="113"/>
      <c r="S24" s="41">
        <f t="shared" si="11"/>
        <v>0</v>
      </c>
      <c r="T24" s="178">
        <f t="shared" si="4"/>
        <v>0</v>
      </c>
      <c r="U24" s="291"/>
      <c r="V24" s="161">
        <f>((72535.75+4808)*1.2)-L24</f>
        <v>58770.444000000003</v>
      </c>
      <c r="W24" s="113">
        <v>3503.7</v>
      </c>
      <c r="X24" s="41">
        <f t="shared" si="12"/>
        <v>62274.144</v>
      </c>
      <c r="Y24" s="178">
        <f t="shared" si="5"/>
        <v>0.1019723318386288</v>
      </c>
      <c r="Z24" s="291"/>
      <c r="AA24" s="39">
        <f t="shared" si="13"/>
        <v>92812.5</v>
      </c>
      <c r="AB24" s="39">
        <f t="shared" si="6"/>
        <v>3503.7</v>
      </c>
      <c r="AC24" s="210">
        <f t="shared" si="14"/>
        <v>96316.2</v>
      </c>
      <c r="AD24" s="178">
        <f t="shared" si="7"/>
        <v>7.5646418934879917E-2</v>
      </c>
      <c r="AE24" s="42"/>
      <c r="AF24" s="210">
        <f t="shared" si="15"/>
        <v>85379.5</v>
      </c>
      <c r="AG24" s="210">
        <f t="shared" si="16"/>
        <v>-3503.7</v>
      </c>
      <c r="AH24" s="210">
        <f t="shared" si="17"/>
        <v>81875.8</v>
      </c>
      <c r="AI24" s="178">
        <f t="shared" si="8"/>
        <v>3.3963811577615785E-2</v>
      </c>
      <c r="AJ24" s="42"/>
    </row>
    <row r="25" spans="1:38" s="2" customFormat="1" ht="14.4" customHeight="1" outlineLevel="2">
      <c r="A25" s="238"/>
      <c r="B25" s="7" t="s">
        <v>25</v>
      </c>
      <c r="C25" s="114">
        <v>6000</v>
      </c>
      <c r="D25" s="113"/>
      <c r="E25" s="106">
        <f t="shared" si="0"/>
        <v>6000</v>
      </c>
      <c r="F25" s="177">
        <f t="shared" si="1"/>
        <v>1.7845994421937009E-3</v>
      </c>
      <c r="G25" s="161"/>
      <c r="H25" s="113"/>
      <c r="I25" s="41">
        <f t="shared" si="9"/>
        <v>0</v>
      </c>
      <c r="J25" s="178">
        <f t="shared" si="2"/>
        <v>0</v>
      </c>
      <c r="K25" s="291"/>
      <c r="L25" s="161"/>
      <c r="M25" s="113"/>
      <c r="N25" s="41">
        <f t="shared" si="10"/>
        <v>0</v>
      </c>
      <c r="O25" s="178">
        <f t="shared" si="3"/>
        <v>0</v>
      </c>
      <c r="P25" s="291"/>
      <c r="Q25" s="161"/>
      <c r="R25" s="113"/>
      <c r="S25" s="41">
        <f t="shared" si="11"/>
        <v>0</v>
      </c>
      <c r="T25" s="178">
        <f t="shared" si="4"/>
        <v>0</v>
      </c>
      <c r="U25" s="291"/>
      <c r="V25" s="161"/>
      <c r="W25" s="113"/>
      <c r="X25" s="41">
        <f t="shared" si="12"/>
        <v>0</v>
      </c>
      <c r="Y25" s="178">
        <f t="shared" si="5"/>
        <v>0</v>
      </c>
      <c r="Z25" s="291"/>
      <c r="AA25" s="39">
        <f t="shared" si="13"/>
        <v>0</v>
      </c>
      <c r="AB25" s="39">
        <f t="shared" si="6"/>
        <v>0</v>
      </c>
      <c r="AC25" s="210">
        <f t="shared" si="14"/>
        <v>0</v>
      </c>
      <c r="AD25" s="178">
        <f t="shared" si="7"/>
        <v>0</v>
      </c>
      <c r="AE25" s="42"/>
      <c r="AF25" s="210">
        <f t="shared" si="15"/>
        <v>6000</v>
      </c>
      <c r="AG25" s="210">
        <f t="shared" si="16"/>
        <v>0</v>
      </c>
      <c r="AH25" s="210">
        <f t="shared" si="17"/>
        <v>6000</v>
      </c>
      <c r="AI25" s="178">
        <f t="shared" si="8"/>
        <v>2.4889267581592448E-3</v>
      </c>
      <c r="AJ25" s="42"/>
      <c r="AK25" s="227"/>
      <c r="AL25" s="227"/>
    </row>
    <row r="26" spans="1:38" s="2" customFormat="1" ht="51" customHeight="1" outlineLevel="2">
      <c r="A26" s="238"/>
      <c r="B26" s="7" t="s">
        <v>52</v>
      </c>
      <c r="C26" s="114">
        <v>45272</v>
      </c>
      <c r="D26" s="113"/>
      <c r="E26" s="106">
        <f t="shared" si="0"/>
        <v>45272</v>
      </c>
      <c r="F26" s="177">
        <f t="shared" si="1"/>
        <v>1.3465397657832206E-2</v>
      </c>
      <c r="G26" s="161"/>
      <c r="H26" s="113">
        <v>180</v>
      </c>
      <c r="I26" s="41">
        <f t="shared" si="9"/>
        <v>180</v>
      </c>
      <c r="J26" s="178">
        <f t="shared" si="2"/>
        <v>4.218175013533963E-4</v>
      </c>
      <c r="K26" s="291" t="s">
        <v>147</v>
      </c>
      <c r="L26" s="161"/>
      <c r="M26" s="113">
        <v>1273.7</v>
      </c>
      <c r="N26" s="41">
        <f t="shared" si="10"/>
        <v>1273.7</v>
      </c>
      <c r="O26" s="178">
        <f t="shared" si="3"/>
        <v>2.9848275081878939E-3</v>
      </c>
      <c r="P26" s="291" t="s">
        <v>91</v>
      </c>
      <c r="Q26" s="161"/>
      <c r="R26" s="113">
        <v>870</v>
      </c>
      <c r="S26" s="41">
        <f t="shared" si="11"/>
        <v>870</v>
      </c>
      <c r="T26" s="178">
        <f t="shared" si="4"/>
        <v>3.7555156634592078E-3</v>
      </c>
      <c r="U26" s="291" t="s">
        <v>110</v>
      </c>
      <c r="V26" s="161"/>
      <c r="W26" s="113">
        <f>3684-R26-M26</f>
        <v>1540.3</v>
      </c>
      <c r="X26" s="41">
        <f t="shared" si="12"/>
        <v>1540.3</v>
      </c>
      <c r="Y26" s="178">
        <f t="shared" si="5"/>
        <v>2.5222021956823677E-3</v>
      </c>
      <c r="Z26" s="291" t="s">
        <v>146</v>
      </c>
      <c r="AA26" s="39">
        <f t="shared" si="13"/>
        <v>0</v>
      </c>
      <c r="AB26" s="39">
        <f t="shared" si="6"/>
        <v>3864</v>
      </c>
      <c r="AC26" s="210">
        <f t="shared" si="14"/>
        <v>3864</v>
      </c>
      <c r="AD26" s="178">
        <f t="shared" si="7"/>
        <v>3.0347725799437274E-3</v>
      </c>
      <c r="AE26" s="42"/>
      <c r="AF26" s="210">
        <f t="shared" si="15"/>
        <v>45272</v>
      </c>
      <c r="AG26" s="210">
        <f t="shared" si="16"/>
        <v>-3864</v>
      </c>
      <c r="AH26" s="210">
        <f t="shared" si="17"/>
        <v>41408</v>
      </c>
      <c r="AI26" s="178">
        <f t="shared" si="8"/>
        <v>1.7176913200309667E-2</v>
      </c>
      <c r="AJ26" s="42"/>
      <c r="AK26" s="227"/>
    </row>
    <row r="27" spans="1:38" s="2" customFormat="1" ht="61.2" customHeight="1" outlineLevel="2">
      <c r="A27" s="238"/>
      <c r="B27" s="7" t="s">
        <v>31</v>
      </c>
      <c r="C27" s="114">
        <v>49800</v>
      </c>
      <c r="D27" s="113"/>
      <c r="E27" s="106">
        <f t="shared" si="0"/>
        <v>49800</v>
      </c>
      <c r="F27" s="178">
        <f t="shared" si="1"/>
        <v>1.4812175370207719E-2</v>
      </c>
      <c r="G27" s="161"/>
      <c r="H27" s="113">
        <v>300</v>
      </c>
      <c r="I27" s="41">
        <f t="shared" si="9"/>
        <v>300</v>
      </c>
      <c r="J27" s="178">
        <f t="shared" si="2"/>
        <v>7.0302916892232717E-4</v>
      </c>
      <c r="K27" s="291"/>
      <c r="L27" s="161"/>
      <c r="M27" s="113">
        <v>10000</v>
      </c>
      <c r="N27" s="41">
        <f t="shared" si="10"/>
        <v>10000</v>
      </c>
      <c r="O27" s="178">
        <f t="shared" si="3"/>
        <v>2.3434305630744237E-2</v>
      </c>
      <c r="P27" s="291" t="s">
        <v>95</v>
      </c>
      <c r="Q27" s="161"/>
      <c r="R27" s="113">
        <v>13700</v>
      </c>
      <c r="S27" s="41">
        <f t="shared" si="11"/>
        <v>13700</v>
      </c>
      <c r="T27" s="178">
        <f t="shared" si="4"/>
        <v>5.9138579987805917E-2</v>
      </c>
      <c r="U27" s="291" t="s">
        <v>111</v>
      </c>
      <c r="V27" s="161"/>
      <c r="W27" s="113">
        <f>40800-R27-M27-H27</f>
        <v>16800</v>
      </c>
      <c r="X27" s="41">
        <f t="shared" si="12"/>
        <v>16800</v>
      </c>
      <c r="Y27" s="178">
        <f t="shared" si="5"/>
        <v>2.750957403587858E-2</v>
      </c>
      <c r="Z27" s="291" t="s">
        <v>150</v>
      </c>
      <c r="AA27" s="39">
        <f t="shared" si="13"/>
        <v>0</v>
      </c>
      <c r="AB27" s="39">
        <f t="shared" si="6"/>
        <v>40800</v>
      </c>
      <c r="AC27" s="210">
        <f t="shared" si="14"/>
        <v>40800</v>
      </c>
      <c r="AD27" s="178">
        <f t="shared" si="7"/>
        <v>3.2044182521144944E-2</v>
      </c>
      <c r="AE27" s="79"/>
      <c r="AF27" s="210">
        <f t="shared" si="15"/>
        <v>49800</v>
      </c>
      <c r="AG27" s="210">
        <f t="shared" si="16"/>
        <v>-40800</v>
      </c>
      <c r="AH27" s="210">
        <f t="shared" si="17"/>
        <v>9000</v>
      </c>
      <c r="AI27" s="178">
        <f t="shared" si="8"/>
        <v>3.733390137238867E-3</v>
      </c>
      <c r="AJ27" s="79"/>
    </row>
    <row r="28" spans="1:38" s="2" customFormat="1" ht="79.95" customHeight="1" outlineLevel="2">
      <c r="A28" s="238"/>
      <c r="B28" s="7" t="s">
        <v>62</v>
      </c>
      <c r="C28" s="114"/>
      <c r="D28" s="113"/>
      <c r="E28" s="106">
        <f t="shared" si="0"/>
        <v>0</v>
      </c>
      <c r="F28" s="178">
        <f t="shared" si="1"/>
        <v>0</v>
      </c>
      <c r="G28" s="161"/>
      <c r="H28" s="113"/>
      <c r="I28" s="41">
        <f t="shared" si="9"/>
        <v>0</v>
      </c>
      <c r="J28" s="178">
        <f t="shared" si="2"/>
        <v>0</v>
      </c>
      <c r="K28" s="291"/>
      <c r="L28" s="161"/>
      <c r="M28" s="113">
        <f>13150</f>
        <v>13150</v>
      </c>
      <c r="N28" s="41">
        <f t="shared" si="10"/>
        <v>13150</v>
      </c>
      <c r="O28" s="178">
        <f t="shared" si="3"/>
        <v>3.0816111904428675E-2</v>
      </c>
      <c r="P28" s="291" t="s">
        <v>94</v>
      </c>
      <c r="Q28" s="161"/>
      <c r="R28" s="113">
        <v>7500</v>
      </c>
      <c r="S28" s="41">
        <f t="shared" si="11"/>
        <v>7500</v>
      </c>
      <c r="T28" s="178">
        <f t="shared" si="4"/>
        <v>3.2375135029820756E-2</v>
      </c>
      <c r="U28" s="291" t="s">
        <v>112</v>
      </c>
      <c r="V28" s="161"/>
      <c r="W28" s="113">
        <f>36710-R28-M28</f>
        <v>16060</v>
      </c>
      <c r="X28" s="41">
        <f t="shared" si="12"/>
        <v>16060</v>
      </c>
      <c r="Y28" s="178">
        <f t="shared" si="5"/>
        <v>2.629784279858393E-2</v>
      </c>
      <c r="Z28" s="291" t="s">
        <v>142</v>
      </c>
      <c r="AA28" s="39">
        <f t="shared" si="13"/>
        <v>0</v>
      </c>
      <c r="AB28" s="39">
        <f t="shared" si="6"/>
        <v>36710</v>
      </c>
      <c r="AC28" s="210">
        <f t="shared" si="14"/>
        <v>36710</v>
      </c>
      <c r="AD28" s="178">
        <f t="shared" si="7"/>
        <v>2.8831910302726249E-2</v>
      </c>
      <c r="AE28" s="79"/>
      <c r="AF28" s="210">
        <f t="shared" si="15"/>
        <v>0</v>
      </c>
      <c r="AG28" s="210">
        <f t="shared" si="16"/>
        <v>-36710</v>
      </c>
      <c r="AH28" s="210">
        <f t="shared" si="17"/>
        <v>-36710</v>
      </c>
      <c r="AI28" s="178">
        <f t="shared" si="8"/>
        <v>-1.522808354867098E-2</v>
      </c>
      <c r="AJ28" s="79"/>
    </row>
    <row r="29" spans="1:38" s="2" customFormat="1" ht="26.4" customHeight="1" outlineLevel="2">
      <c r="A29" s="238"/>
      <c r="B29" s="7" t="s">
        <v>34</v>
      </c>
      <c r="C29" s="114"/>
      <c r="D29" s="113">
        <v>16000</v>
      </c>
      <c r="E29" s="106">
        <f t="shared" si="0"/>
        <v>16000</v>
      </c>
      <c r="F29" s="178">
        <f t="shared" si="1"/>
        <v>4.7589318458498694E-3</v>
      </c>
      <c r="G29" s="161"/>
      <c r="H29" s="113"/>
      <c r="I29" s="41">
        <f t="shared" si="9"/>
        <v>0</v>
      </c>
      <c r="J29" s="178">
        <f t="shared" si="2"/>
        <v>0</v>
      </c>
      <c r="K29" s="291"/>
      <c r="L29" s="161"/>
      <c r="M29" s="113">
        <f>4800+300</f>
        <v>5100</v>
      </c>
      <c r="N29" s="41">
        <f t="shared" si="10"/>
        <v>5100</v>
      </c>
      <c r="O29" s="178">
        <f t="shared" si="3"/>
        <v>1.1951495871679561E-2</v>
      </c>
      <c r="P29" s="291" t="s">
        <v>88</v>
      </c>
      <c r="Q29" s="161"/>
      <c r="R29" s="113">
        <v>3200</v>
      </c>
      <c r="S29" s="41">
        <f t="shared" si="11"/>
        <v>3200</v>
      </c>
      <c r="T29" s="178">
        <f t="shared" si="4"/>
        <v>1.3813390946056856E-2</v>
      </c>
      <c r="U29" s="291" t="s">
        <v>114</v>
      </c>
      <c r="V29" s="161"/>
      <c r="W29" s="113">
        <f>16500-R29-M29</f>
        <v>8200</v>
      </c>
      <c r="X29" s="41">
        <f t="shared" si="12"/>
        <v>8200</v>
      </c>
      <c r="Y29" s="178">
        <f t="shared" si="5"/>
        <v>1.3427292088940735E-2</v>
      </c>
      <c r="Z29" s="291"/>
      <c r="AA29" s="39">
        <f t="shared" si="13"/>
        <v>0</v>
      </c>
      <c r="AB29" s="39">
        <f t="shared" si="6"/>
        <v>16500</v>
      </c>
      <c r="AC29" s="210">
        <f t="shared" si="14"/>
        <v>16500</v>
      </c>
      <c r="AD29" s="178">
        <f t="shared" si="7"/>
        <v>1.2959044401933618E-2</v>
      </c>
      <c r="AE29" s="79"/>
      <c r="AF29" s="210">
        <f t="shared" si="15"/>
        <v>0</v>
      </c>
      <c r="AG29" s="210">
        <f t="shared" si="16"/>
        <v>-500</v>
      </c>
      <c r="AH29" s="210">
        <f t="shared" si="17"/>
        <v>-500</v>
      </c>
      <c r="AI29" s="178">
        <f t="shared" si="8"/>
        <v>-2.0741056317993706E-4</v>
      </c>
      <c r="AJ29" s="79"/>
    </row>
    <row r="30" spans="1:38" s="2" customFormat="1" ht="14.4" customHeight="1" outlineLevel="2">
      <c r="A30" s="238"/>
      <c r="B30" s="32" t="s">
        <v>2</v>
      </c>
      <c r="C30" s="115"/>
      <c r="D30" s="116"/>
      <c r="E30" s="106">
        <f t="shared" si="0"/>
        <v>0</v>
      </c>
      <c r="F30" s="178">
        <f t="shared" si="1"/>
        <v>0</v>
      </c>
      <c r="G30" s="161"/>
      <c r="H30" s="116"/>
      <c r="I30" s="41">
        <f t="shared" si="9"/>
        <v>0</v>
      </c>
      <c r="J30" s="178">
        <f t="shared" si="2"/>
        <v>0</v>
      </c>
      <c r="K30" s="290"/>
      <c r="L30" s="161"/>
      <c r="M30" s="116"/>
      <c r="N30" s="41">
        <f t="shared" si="10"/>
        <v>0</v>
      </c>
      <c r="O30" s="178">
        <f t="shared" si="3"/>
        <v>0</v>
      </c>
      <c r="P30" s="290"/>
      <c r="Q30" s="161"/>
      <c r="R30" s="116"/>
      <c r="S30" s="41">
        <f t="shared" si="11"/>
        <v>0</v>
      </c>
      <c r="T30" s="178">
        <f t="shared" ref="T30:T35" si="18">S30/$N$87</f>
        <v>0</v>
      </c>
      <c r="U30" s="290"/>
      <c r="V30" s="161"/>
      <c r="W30" s="116"/>
      <c r="X30" s="41">
        <f t="shared" si="12"/>
        <v>0</v>
      </c>
      <c r="Y30" s="178">
        <f t="shared" si="5"/>
        <v>0</v>
      </c>
      <c r="Z30" s="290"/>
      <c r="AA30" s="210">
        <f>L30+Q30+V30</f>
        <v>0</v>
      </c>
      <c r="AB30" s="39">
        <f t="shared" si="6"/>
        <v>0</v>
      </c>
      <c r="AC30" s="210">
        <f t="shared" si="14"/>
        <v>0</v>
      </c>
      <c r="AD30" s="178">
        <f t="shared" si="7"/>
        <v>0</v>
      </c>
      <c r="AE30" s="79"/>
      <c r="AF30" s="210">
        <f t="shared" si="15"/>
        <v>0</v>
      </c>
      <c r="AG30" s="210">
        <f t="shared" si="16"/>
        <v>0</v>
      </c>
      <c r="AH30" s="210">
        <f t="shared" si="17"/>
        <v>0</v>
      </c>
      <c r="AI30" s="178">
        <f t="shared" si="8"/>
        <v>0</v>
      </c>
      <c r="AJ30" s="79"/>
    </row>
    <row r="31" spans="1:38" s="2" customFormat="1" ht="15" customHeight="1" outlineLevel="2" thickBot="1">
      <c r="A31" s="238"/>
      <c r="B31" s="32" t="s">
        <v>75</v>
      </c>
      <c r="C31" s="115"/>
      <c r="D31" s="116">
        <v>500000</v>
      </c>
      <c r="E31" s="106">
        <f t="shared" si="0"/>
        <v>500000</v>
      </c>
      <c r="F31" s="178">
        <f t="shared" si="1"/>
        <v>0.14871662018280843</v>
      </c>
      <c r="G31" s="161"/>
      <c r="H31" s="116"/>
      <c r="I31" s="41">
        <f t="shared" si="9"/>
        <v>0</v>
      </c>
      <c r="J31" s="178">
        <f t="shared" si="2"/>
        <v>0</v>
      </c>
      <c r="K31" s="290"/>
      <c r="L31" s="161"/>
      <c r="M31" s="116"/>
      <c r="N31" s="41">
        <f t="shared" si="10"/>
        <v>0</v>
      </c>
      <c r="O31" s="178">
        <f t="shared" si="3"/>
        <v>0</v>
      </c>
      <c r="P31" s="290"/>
      <c r="Q31" s="161"/>
      <c r="R31" s="116"/>
      <c r="S31" s="41">
        <f t="shared" si="11"/>
        <v>0</v>
      </c>
      <c r="T31" s="178">
        <f t="shared" si="18"/>
        <v>0</v>
      </c>
      <c r="U31" s="290"/>
      <c r="V31" s="161"/>
      <c r="W31" s="116"/>
      <c r="X31" s="41">
        <f t="shared" si="12"/>
        <v>0</v>
      </c>
      <c r="Y31" s="178">
        <f t="shared" si="5"/>
        <v>0</v>
      </c>
      <c r="Z31" s="290"/>
      <c r="AA31" s="210">
        <f>L31+Q31+V31</f>
        <v>0</v>
      </c>
      <c r="AB31" s="39">
        <f t="shared" si="6"/>
        <v>0</v>
      </c>
      <c r="AC31" s="210">
        <f t="shared" si="14"/>
        <v>0</v>
      </c>
      <c r="AD31" s="178">
        <f t="shared" si="7"/>
        <v>0</v>
      </c>
      <c r="AE31" s="79"/>
      <c r="AF31" s="210">
        <f t="shared" si="15"/>
        <v>0</v>
      </c>
      <c r="AG31" s="210">
        <f t="shared" si="16"/>
        <v>500000</v>
      </c>
      <c r="AH31" s="210">
        <f t="shared" si="17"/>
        <v>500000</v>
      </c>
      <c r="AI31" s="178">
        <f t="shared" si="8"/>
        <v>0.20741056317993706</v>
      </c>
      <c r="AJ31" s="79"/>
    </row>
    <row r="32" spans="1:38" s="2" customFormat="1" ht="13.8" outlineLevel="2">
      <c r="A32" s="238"/>
      <c r="B32" s="12"/>
      <c r="C32" s="46"/>
      <c r="D32" s="47"/>
      <c r="E32" s="48"/>
      <c r="F32" s="179"/>
      <c r="G32" s="96"/>
      <c r="H32" s="48"/>
      <c r="I32" s="48"/>
      <c r="J32" s="202">
        <f t="shared" si="2"/>
        <v>0</v>
      </c>
      <c r="K32" s="266"/>
      <c r="L32" s="96"/>
      <c r="M32" s="48"/>
      <c r="N32" s="48"/>
      <c r="O32" s="202">
        <f t="shared" si="3"/>
        <v>0</v>
      </c>
      <c r="P32" s="266"/>
      <c r="Q32" s="96"/>
      <c r="R32" s="48"/>
      <c r="S32" s="48"/>
      <c r="T32" s="202">
        <f t="shared" si="18"/>
        <v>0</v>
      </c>
      <c r="U32" s="266"/>
      <c r="V32" s="96"/>
      <c r="W32" s="48"/>
      <c r="X32" s="48"/>
      <c r="Y32" s="202">
        <f t="shared" si="5"/>
        <v>0</v>
      </c>
      <c r="Z32" s="266"/>
      <c r="AA32" s="48">
        <f>L32+Q32+V32</f>
        <v>0</v>
      </c>
      <c r="AB32" s="39">
        <f>M32+R32+W32+H32</f>
        <v>0</v>
      </c>
      <c r="AC32" s="48"/>
      <c r="AD32" s="48"/>
      <c r="AE32" s="48"/>
      <c r="AF32" s="48"/>
      <c r="AG32" s="48"/>
      <c r="AH32" s="48"/>
      <c r="AI32" s="48"/>
      <c r="AJ32" s="48"/>
    </row>
    <row r="33" spans="1:37" s="88" customFormat="1" ht="13.8" outlineLevel="1">
      <c r="A33" s="238"/>
      <c r="B33" s="89" t="s">
        <v>80</v>
      </c>
      <c r="C33" s="90">
        <f>C34</f>
        <v>0</v>
      </c>
      <c r="D33" s="90">
        <f>D34</f>
        <v>0</v>
      </c>
      <c r="E33" s="91">
        <f>E34</f>
        <v>0</v>
      </c>
      <c r="F33" s="165">
        <f>E33/$E$87</f>
        <v>0</v>
      </c>
      <c r="G33" s="90">
        <f>G34</f>
        <v>0</v>
      </c>
      <c r="H33" s="90">
        <f>H34</f>
        <v>0</v>
      </c>
      <c r="I33" s="91">
        <f>I34</f>
        <v>0</v>
      </c>
      <c r="J33" s="190">
        <f t="shared" si="2"/>
        <v>0</v>
      </c>
      <c r="K33" s="267"/>
      <c r="L33" s="90">
        <f>L34</f>
        <v>0</v>
      </c>
      <c r="M33" s="90">
        <f>M34</f>
        <v>0</v>
      </c>
      <c r="N33" s="91">
        <f>N34</f>
        <v>0</v>
      </c>
      <c r="O33" s="190">
        <f t="shared" si="3"/>
        <v>0</v>
      </c>
      <c r="P33" s="267"/>
      <c r="Q33" s="90">
        <f>Q34</f>
        <v>0</v>
      </c>
      <c r="R33" s="90">
        <f>R34</f>
        <v>0</v>
      </c>
      <c r="S33" s="91">
        <f>S34</f>
        <v>0</v>
      </c>
      <c r="T33" s="190">
        <f t="shared" si="18"/>
        <v>0</v>
      </c>
      <c r="U33" s="267"/>
      <c r="V33" s="90">
        <f>V34</f>
        <v>0</v>
      </c>
      <c r="W33" s="90">
        <f>W34</f>
        <v>0</v>
      </c>
      <c r="X33" s="91">
        <f>X34</f>
        <v>0</v>
      </c>
      <c r="Y33" s="190">
        <f t="shared" si="5"/>
        <v>0</v>
      </c>
      <c r="Z33" s="267"/>
      <c r="AA33" s="90">
        <f>AA34</f>
        <v>0</v>
      </c>
      <c r="AB33" s="90">
        <f>AB34</f>
        <v>0</v>
      </c>
      <c r="AC33" s="91">
        <f>AC34</f>
        <v>0</v>
      </c>
      <c r="AD33" s="91"/>
      <c r="AE33" s="91"/>
      <c r="AF33" s="90">
        <f>AF34</f>
        <v>0</v>
      </c>
      <c r="AG33" s="90">
        <f>AG34</f>
        <v>0</v>
      </c>
      <c r="AH33" s="91">
        <f>AH34</f>
        <v>0</v>
      </c>
      <c r="AI33" s="91"/>
      <c r="AJ33" s="91"/>
    </row>
    <row r="34" spans="1:37" s="226" customFormat="1" ht="13.8" outlineLevel="3">
      <c r="A34" s="238"/>
      <c r="B34" s="19" t="s">
        <v>81</v>
      </c>
      <c r="C34" s="43"/>
      <c r="D34" s="49"/>
      <c r="E34" s="44">
        <f>C34+D34</f>
        <v>0</v>
      </c>
      <c r="F34" s="180">
        <f>E34/$E$87</f>
        <v>0</v>
      </c>
      <c r="G34" s="97"/>
      <c r="H34" s="45"/>
      <c r="I34" s="41">
        <f>G34+H34*1</f>
        <v>0</v>
      </c>
      <c r="J34" s="178">
        <f t="shared" si="2"/>
        <v>0</v>
      </c>
      <c r="K34" s="265"/>
      <c r="L34" s="97"/>
      <c r="M34" s="45"/>
      <c r="N34" s="41">
        <f>L34+M34*1</f>
        <v>0</v>
      </c>
      <c r="O34" s="178">
        <f t="shared" si="3"/>
        <v>0</v>
      </c>
      <c r="P34" s="265"/>
      <c r="Q34" s="97"/>
      <c r="R34" s="45"/>
      <c r="S34" s="41">
        <f>Q34+R34*1</f>
        <v>0</v>
      </c>
      <c r="T34" s="178">
        <f t="shared" si="18"/>
        <v>0</v>
      </c>
      <c r="U34" s="265"/>
      <c r="V34" s="97"/>
      <c r="W34" s="45"/>
      <c r="X34" s="41">
        <f>V34+W34*1</f>
        <v>0</v>
      </c>
      <c r="Y34" s="178">
        <f t="shared" si="5"/>
        <v>0</v>
      </c>
      <c r="Z34" s="265"/>
      <c r="AA34" s="39">
        <f>L34+Q34+V34+G34</f>
        <v>0</v>
      </c>
      <c r="AB34" s="39">
        <f>M34+R34+W34+H34</f>
        <v>0</v>
      </c>
      <c r="AC34" s="106">
        <f>AA34+AB34*1</f>
        <v>0</v>
      </c>
      <c r="AD34" s="178">
        <f>AC34/$AC$87</f>
        <v>0</v>
      </c>
      <c r="AE34" s="45"/>
      <c r="AF34" s="210">
        <f>C34-AA34</f>
        <v>0</v>
      </c>
      <c r="AG34" s="210">
        <f>D34-AB34</f>
        <v>0</v>
      </c>
      <c r="AH34" s="210">
        <f>AF34+AG34*1</f>
        <v>0</v>
      </c>
      <c r="AI34" s="178">
        <f>AH34/$E$87</f>
        <v>0</v>
      </c>
      <c r="AJ34" s="45"/>
    </row>
    <row r="35" spans="1:37" s="2" customFormat="1" ht="14.4" outlineLevel="1" thickBot="1">
      <c r="A35" s="4"/>
      <c r="B35" s="14"/>
      <c r="C35" s="50"/>
      <c r="D35" s="51"/>
      <c r="E35" s="52"/>
      <c r="F35" s="181"/>
      <c r="G35" s="98"/>
      <c r="H35" s="52"/>
      <c r="I35" s="52"/>
      <c r="J35" s="203">
        <f t="shared" si="2"/>
        <v>0</v>
      </c>
      <c r="K35" s="268"/>
      <c r="L35" s="98"/>
      <c r="M35" s="52"/>
      <c r="N35" s="52"/>
      <c r="O35" s="203">
        <f t="shared" si="3"/>
        <v>0</v>
      </c>
      <c r="P35" s="268"/>
      <c r="Q35" s="98"/>
      <c r="R35" s="52"/>
      <c r="S35" s="52"/>
      <c r="T35" s="203">
        <f t="shared" si="18"/>
        <v>0</v>
      </c>
      <c r="U35" s="268"/>
      <c r="V35" s="98"/>
      <c r="W35" s="52"/>
      <c r="X35" s="52"/>
      <c r="Y35" s="203">
        <f t="shared" si="5"/>
        <v>0</v>
      </c>
      <c r="Z35" s="268"/>
      <c r="AA35" s="39">
        <f>L35+Q35+V35+G35</f>
        <v>0</v>
      </c>
      <c r="AB35" s="39">
        <f>M35+R35+W35+H35</f>
        <v>0</v>
      </c>
      <c r="AC35" s="52"/>
      <c r="AD35" s="52"/>
      <c r="AE35" s="52"/>
      <c r="AF35" s="52"/>
      <c r="AG35" s="52"/>
      <c r="AH35" s="52"/>
      <c r="AI35" s="52"/>
      <c r="AJ35" s="52"/>
    </row>
    <row r="36" spans="1:37" ht="14.4" thickBot="1">
      <c r="A36" s="33"/>
      <c r="B36" s="34" t="s">
        <v>46</v>
      </c>
      <c r="C36" s="53">
        <f>(C5)-(C8)</f>
        <v>-975438</v>
      </c>
      <c r="D36" s="53">
        <f>(D5)-(D8)</f>
        <v>2725603.9699999997</v>
      </c>
      <c r="E36" s="53">
        <f>(E5)-(E8)</f>
        <v>1750165.9699999997</v>
      </c>
      <c r="F36" s="166"/>
      <c r="G36" s="53">
        <f>(G5)-(G8)</f>
        <v>0</v>
      </c>
      <c r="H36" s="53">
        <f>(H5)-(H8)</f>
        <v>-480</v>
      </c>
      <c r="I36" s="53">
        <f>(I5)-(I8)</f>
        <v>-480</v>
      </c>
      <c r="J36" s="191"/>
      <c r="K36" s="269"/>
      <c r="L36" s="53">
        <f>(L5)-(L8)</f>
        <v>-172736.59600000002</v>
      </c>
      <c r="M36" s="53">
        <f>(M5)-(M8)</f>
        <v>1747152.35</v>
      </c>
      <c r="N36" s="53">
        <f>(N5)-(N8)</f>
        <v>1574415.754</v>
      </c>
      <c r="O36" s="191"/>
      <c r="P36" s="269"/>
      <c r="Q36" s="53">
        <f>(Q5)-(Q8)</f>
        <v>-132386.06</v>
      </c>
      <c r="R36" s="53">
        <f>(R5)-(R8)</f>
        <v>-33025</v>
      </c>
      <c r="S36" s="53">
        <f>(S5)-(S8)</f>
        <v>-165411.06</v>
      </c>
      <c r="T36" s="191"/>
      <c r="U36" s="269"/>
      <c r="V36" s="53">
        <f>(V5)-(V8)</f>
        <v>-209487.06800000003</v>
      </c>
      <c r="W36" s="53">
        <f>(W5)-(W8)</f>
        <v>2473689.7799999998</v>
      </c>
      <c r="X36" s="53">
        <f>(X5)-(X8)</f>
        <v>2264202.7119999998</v>
      </c>
      <c r="Y36" s="191">
        <f t="shared" si="5"/>
        <v>3.7075745320238727</v>
      </c>
      <c r="Z36" s="269"/>
      <c r="AA36" s="53">
        <f>(AA5)-(AA8)</f>
        <v>-514609.72400000005</v>
      </c>
      <c r="AB36" s="53">
        <f>(AB5)-(AB8)</f>
        <v>4187337.1299999994</v>
      </c>
      <c r="AC36" s="53">
        <f>(AC5)-(AC8)</f>
        <v>3672727.4059999995</v>
      </c>
      <c r="AD36" s="53"/>
      <c r="AE36" s="53"/>
      <c r="AF36" s="53">
        <f>(AF5)-(AF8)</f>
        <v>-460828.27599999995</v>
      </c>
      <c r="AG36" s="53">
        <f>(AG5)-(AG8)</f>
        <v>-1461733.1599999997</v>
      </c>
      <c r="AH36" s="53">
        <f>(AH5)-(AH8)</f>
        <v>-1922561.4359999998</v>
      </c>
      <c r="AI36" s="53"/>
      <c r="AJ36" s="53"/>
      <c r="AK36" s="2"/>
    </row>
    <row r="37" spans="1:37" ht="13.8">
      <c r="A37" s="229"/>
      <c r="B37" s="15" t="s">
        <v>47</v>
      </c>
      <c r="C37" s="157" t="e">
        <f>C36/(C5)</f>
        <v>#DIV/0!</v>
      </c>
      <c r="D37" s="157">
        <f>D36/(D5)</f>
        <v>0.54850761239453694</v>
      </c>
      <c r="E37" s="158">
        <f>E36/(E5)</f>
        <v>0.35220793925497135</v>
      </c>
      <c r="F37" s="167"/>
      <c r="G37" s="157" t="e">
        <f>G36/(G5)</f>
        <v>#DIV/0!</v>
      </c>
      <c r="H37" s="157" t="e">
        <f>H36/(H5)</f>
        <v>#DIV/0!</v>
      </c>
      <c r="I37" s="158" t="e">
        <f>I36/(I5)</f>
        <v>#DIV/0!</v>
      </c>
      <c r="J37" s="192"/>
      <c r="K37" s="270"/>
      <c r="L37" s="157" t="e">
        <f>L36/(L5)</f>
        <v>#DIV/0!</v>
      </c>
      <c r="M37" s="157">
        <f>M36/(M5)</f>
        <v>0.91419476249229525</v>
      </c>
      <c r="N37" s="158">
        <f>N36/(N5)</f>
        <v>0.82381060603682199</v>
      </c>
      <c r="O37" s="192"/>
      <c r="P37" s="270"/>
      <c r="Q37" s="157" t="e">
        <f>Q36/(Q5)</f>
        <v>#DIV/0!</v>
      </c>
      <c r="R37" s="157" t="e">
        <f>R36/(R5)</f>
        <v>#DIV/0!</v>
      </c>
      <c r="S37" s="158" t="e">
        <f>S36/(S5)</f>
        <v>#DIV/0!</v>
      </c>
      <c r="T37" s="192"/>
      <c r="U37" s="270"/>
      <c r="V37" s="157" t="e">
        <f>V36/(V5)</f>
        <v>#DIV/0!</v>
      </c>
      <c r="W37" s="157">
        <f>W36/(W5)</f>
        <v>0.8928646432832017</v>
      </c>
      <c r="X37" s="158">
        <f>X36/(X5)</f>
        <v>0.81725144483183254</v>
      </c>
      <c r="Y37" s="192">
        <f t="shared" si="5"/>
        <v>1.3382285194958355E-6</v>
      </c>
      <c r="Z37" s="270"/>
      <c r="AA37" s="54" t="e">
        <f>AA36/(AA5)</f>
        <v>#DIV/0!</v>
      </c>
      <c r="AB37" s="54">
        <f>AB36/(AB5)</f>
        <v>0.89441533707340726</v>
      </c>
      <c r="AC37" s="55">
        <f>AC36/(AC5)</f>
        <v>0.78449468452907456</v>
      </c>
      <c r="AD37" s="55"/>
      <c r="AE37" s="55"/>
      <c r="AF37" s="54" t="e">
        <f>AF36/(AF5)</f>
        <v>#DIV/0!</v>
      </c>
      <c r="AG37" s="54">
        <f>AG36/(AG5)</f>
        <v>-5.0846484494261057</v>
      </c>
      <c r="AH37" s="55">
        <f>AH36/(AH5)</f>
        <v>-6.6876426505121005</v>
      </c>
      <c r="AI37" s="55"/>
      <c r="AJ37" s="55"/>
      <c r="AK37" s="2"/>
    </row>
    <row r="38" spans="1:37" ht="14.4" outlineLevel="1" thickBot="1">
      <c r="A38" s="231"/>
      <c r="B38" s="16"/>
      <c r="C38" s="56"/>
      <c r="D38" s="57"/>
      <c r="E38" s="58"/>
      <c r="F38" s="168"/>
      <c r="G38" s="80"/>
      <c r="H38" s="80"/>
      <c r="I38" s="80"/>
      <c r="J38" s="193">
        <f t="shared" ref="J38:J72" si="19">I38/$N$87</f>
        <v>0</v>
      </c>
      <c r="K38" s="271"/>
      <c r="L38" s="80"/>
      <c r="M38" s="80"/>
      <c r="N38" s="80"/>
      <c r="O38" s="193">
        <f t="shared" si="3"/>
        <v>0</v>
      </c>
      <c r="P38" s="271"/>
      <c r="Q38" s="80"/>
      <c r="R38" s="80"/>
      <c r="S38" s="80"/>
      <c r="T38" s="193">
        <f>S38/$N$87</f>
        <v>0</v>
      </c>
      <c r="U38" s="271"/>
      <c r="V38" s="80"/>
      <c r="W38" s="80"/>
      <c r="X38" s="80"/>
      <c r="Y38" s="193">
        <f t="shared" si="5"/>
        <v>0</v>
      </c>
      <c r="Z38" s="271"/>
      <c r="AA38" s="58"/>
      <c r="AB38" s="39">
        <f>M38+R38+W38+H38</f>
        <v>0</v>
      </c>
      <c r="AC38" s="58"/>
      <c r="AD38" s="58"/>
      <c r="AE38" s="58"/>
      <c r="AF38" s="58"/>
      <c r="AG38" s="58"/>
      <c r="AH38" s="58"/>
      <c r="AI38" s="58"/>
      <c r="AJ38" s="58"/>
    </row>
    <row r="39" spans="1:37" ht="13.8" outlineLevel="1">
      <c r="A39" s="11"/>
      <c r="B39" s="22" t="s">
        <v>26</v>
      </c>
      <c r="C39" s="117">
        <f>SUM(C40:C46)</f>
        <v>0</v>
      </c>
      <c r="D39" s="117">
        <f>SUM(D40:D46)</f>
        <v>3000</v>
      </c>
      <c r="E39" s="118">
        <f>SUM(E40:E46)</f>
        <v>3000</v>
      </c>
      <c r="F39" s="169">
        <f t="shared" ref="F39:F46" si="20">E39/$E$87</f>
        <v>8.9229972109685046E-4</v>
      </c>
      <c r="G39" s="117">
        <f>SUM(G40:G46)</f>
        <v>0</v>
      </c>
      <c r="H39" s="117">
        <f>SUM(H40:H46)</f>
        <v>0</v>
      </c>
      <c r="I39" s="118">
        <f>SUM(I40:I46)</f>
        <v>0</v>
      </c>
      <c r="J39" s="169">
        <f t="shared" si="19"/>
        <v>0</v>
      </c>
      <c r="K39" s="272"/>
      <c r="L39" s="117">
        <f>SUM(L40:L46)</f>
        <v>0</v>
      </c>
      <c r="M39" s="117">
        <f>SUM(M40:M46)</f>
        <v>0</v>
      </c>
      <c r="N39" s="118">
        <f>SUM(N40:N46)</f>
        <v>0</v>
      </c>
      <c r="O39" s="169">
        <f t="shared" si="3"/>
        <v>0</v>
      </c>
      <c r="P39" s="272"/>
      <c r="Q39" s="117">
        <f>SUM(Q40:Q46)</f>
        <v>414</v>
      </c>
      <c r="R39" s="117">
        <f>SUM(R40:R46)</f>
        <v>0</v>
      </c>
      <c r="S39" s="118">
        <f>SUM(S40:S46)</f>
        <v>414</v>
      </c>
      <c r="T39" s="169">
        <f t="shared" ref="T39:T46" si="21">S39/$S$87</f>
        <v>1.7871074536461059E-3</v>
      </c>
      <c r="U39" s="272"/>
      <c r="V39" s="117">
        <f>SUM(V40:V46)</f>
        <v>0</v>
      </c>
      <c r="W39" s="117">
        <f>SUM(W40:W46)</f>
        <v>0</v>
      </c>
      <c r="X39" s="118">
        <f>SUM(X40:X46)</f>
        <v>0</v>
      </c>
      <c r="Y39" s="169">
        <f t="shared" si="5"/>
        <v>0</v>
      </c>
      <c r="Z39" s="272"/>
      <c r="AA39" s="117">
        <f>SUM(AA40:AA46)</f>
        <v>414</v>
      </c>
      <c r="AB39" s="117">
        <f>SUM(AB40:AB46)</f>
        <v>0</v>
      </c>
      <c r="AC39" s="118">
        <f>SUM(AC40:AC46)</f>
        <v>414</v>
      </c>
      <c r="AD39" s="169">
        <f t="shared" ref="AD39:AD47" si="22">AC39/$AC$87</f>
        <v>3.2515420499397077E-4</v>
      </c>
      <c r="AE39" s="60"/>
      <c r="AF39" s="117">
        <f>SUM(AF40:AF46)</f>
        <v>-414</v>
      </c>
      <c r="AG39" s="117">
        <f>SUM(AG40:AG46)</f>
        <v>3000</v>
      </c>
      <c r="AH39" s="118">
        <f>SUM(AH40:AH46)</f>
        <v>2586</v>
      </c>
      <c r="AI39" s="60"/>
      <c r="AJ39" s="60"/>
    </row>
    <row r="40" spans="1:37" ht="43.2" customHeight="1" outlineLevel="2">
      <c r="A40" s="4833"/>
      <c r="B40" s="18" t="s">
        <v>7</v>
      </c>
      <c r="C40" s="113"/>
      <c r="D40" s="119"/>
      <c r="E40" s="120">
        <f t="shared" ref="E40:E46" si="23">C40+D40</f>
        <v>0</v>
      </c>
      <c r="F40" s="178">
        <f t="shared" si="20"/>
        <v>0</v>
      </c>
      <c r="G40" s="78"/>
      <c r="H40" s="103"/>
      <c r="I40" s="41">
        <f t="shared" ref="I40:I46" si="24">G40+H40*1</f>
        <v>0</v>
      </c>
      <c r="J40" s="178">
        <f t="shared" si="19"/>
        <v>0</v>
      </c>
      <c r="K40" s="265"/>
      <c r="L40" s="78"/>
      <c r="M40" s="103"/>
      <c r="N40" s="41">
        <f t="shared" ref="N40:N46" si="25">L40+M40*1</f>
        <v>0</v>
      </c>
      <c r="O40" s="178">
        <f t="shared" si="3"/>
        <v>0</v>
      </c>
      <c r="P40" s="265"/>
      <c r="Q40" s="78"/>
      <c r="R40" s="103"/>
      <c r="S40" s="41">
        <f t="shared" ref="S40:S46" si="26">Q40+R40*1</f>
        <v>0</v>
      </c>
      <c r="T40" s="178">
        <f t="shared" si="21"/>
        <v>0</v>
      </c>
      <c r="U40" s="265"/>
      <c r="V40" s="78"/>
      <c r="W40" s="103"/>
      <c r="X40" s="41">
        <f t="shared" ref="X40:X46" si="27">V40+W40*1</f>
        <v>0</v>
      </c>
      <c r="Y40" s="178">
        <f t="shared" si="5"/>
        <v>0</v>
      </c>
      <c r="Z40" s="265"/>
      <c r="AA40" s="210">
        <f>L40</f>
        <v>0</v>
      </c>
      <c r="AB40" s="39">
        <f t="shared" ref="AB40:AB47" si="28">M40+R40+W40+H40</f>
        <v>0</v>
      </c>
      <c r="AC40" s="106">
        <f t="shared" ref="AC40:AC46" si="29">AA40+AB40*1</f>
        <v>0</v>
      </c>
      <c r="AD40" s="178">
        <f t="shared" si="22"/>
        <v>0</v>
      </c>
      <c r="AE40" s="79"/>
      <c r="AF40" s="210">
        <f t="shared" ref="AF40:AG46" si="30">C40-AA40</f>
        <v>0</v>
      </c>
      <c r="AG40" s="210">
        <f t="shared" si="30"/>
        <v>0</v>
      </c>
      <c r="AH40" s="210">
        <f t="shared" ref="AH40:AH46" si="31">AF40+AG40*1</f>
        <v>0</v>
      </c>
      <c r="AI40" s="178">
        <f t="shared" ref="AI40:AI46" si="32">AH40/$E$87</f>
        <v>0</v>
      </c>
      <c r="AJ40" s="79"/>
    </row>
    <row r="41" spans="1:37" ht="13.8" outlineLevel="2">
      <c r="A41" s="4833"/>
      <c r="B41" s="18" t="s">
        <v>27</v>
      </c>
      <c r="C41" s="113"/>
      <c r="D41" s="119"/>
      <c r="E41" s="120">
        <f t="shared" si="23"/>
        <v>0</v>
      </c>
      <c r="F41" s="178">
        <f t="shared" si="20"/>
        <v>0</v>
      </c>
      <c r="G41" s="78"/>
      <c r="H41" s="103"/>
      <c r="I41" s="41">
        <f t="shared" si="24"/>
        <v>0</v>
      </c>
      <c r="J41" s="178">
        <f t="shared" si="19"/>
        <v>0</v>
      </c>
      <c r="K41" s="265"/>
      <c r="L41" s="78"/>
      <c r="M41" s="103"/>
      <c r="N41" s="41">
        <f t="shared" si="25"/>
        <v>0</v>
      </c>
      <c r="O41" s="178">
        <f t="shared" si="3"/>
        <v>0</v>
      </c>
      <c r="P41" s="265"/>
      <c r="Q41" s="78"/>
      <c r="R41" s="103"/>
      <c r="S41" s="41">
        <f t="shared" si="26"/>
        <v>0</v>
      </c>
      <c r="T41" s="178">
        <f t="shared" si="21"/>
        <v>0</v>
      </c>
      <c r="U41" s="265"/>
      <c r="V41" s="78"/>
      <c r="W41" s="103"/>
      <c r="X41" s="41">
        <f t="shared" si="27"/>
        <v>0</v>
      </c>
      <c r="Y41" s="178">
        <f t="shared" si="5"/>
        <v>0</v>
      </c>
      <c r="Z41" s="265"/>
      <c r="AA41" s="210">
        <f>L41</f>
        <v>0</v>
      </c>
      <c r="AB41" s="39">
        <f t="shared" si="28"/>
        <v>0</v>
      </c>
      <c r="AC41" s="106">
        <f t="shared" si="29"/>
        <v>0</v>
      </c>
      <c r="AD41" s="178">
        <f t="shared" si="22"/>
        <v>0</v>
      </c>
      <c r="AE41" s="79"/>
      <c r="AF41" s="210">
        <f t="shared" si="30"/>
        <v>0</v>
      </c>
      <c r="AG41" s="210">
        <f t="shared" si="30"/>
        <v>0</v>
      </c>
      <c r="AH41" s="210">
        <f t="shared" si="31"/>
        <v>0</v>
      </c>
      <c r="AI41" s="178">
        <f t="shared" si="32"/>
        <v>0</v>
      </c>
      <c r="AJ41" s="79"/>
    </row>
    <row r="42" spans="1:37" ht="67.2" customHeight="1" outlineLevel="2">
      <c r="A42" s="4833"/>
      <c r="B42" s="19" t="s">
        <v>28</v>
      </c>
      <c r="C42" s="113"/>
      <c r="D42" s="119"/>
      <c r="E42" s="120">
        <f t="shared" si="23"/>
        <v>0</v>
      </c>
      <c r="F42" s="178">
        <f t="shared" si="20"/>
        <v>0</v>
      </c>
      <c r="G42" s="78"/>
      <c r="H42" s="103"/>
      <c r="I42" s="41">
        <f t="shared" si="24"/>
        <v>0</v>
      </c>
      <c r="J42" s="178">
        <f t="shared" si="19"/>
        <v>0</v>
      </c>
      <c r="K42" s="265"/>
      <c r="L42" s="78"/>
      <c r="M42" s="103"/>
      <c r="N42" s="41">
        <f t="shared" si="25"/>
        <v>0</v>
      </c>
      <c r="O42" s="178">
        <f t="shared" si="3"/>
        <v>0</v>
      </c>
      <c r="P42" s="265"/>
      <c r="Q42" s="78"/>
      <c r="R42" s="103"/>
      <c r="S42" s="41">
        <f t="shared" si="26"/>
        <v>0</v>
      </c>
      <c r="T42" s="178">
        <f t="shared" si="21"/>
        <v>0</v>
      </c>
      <c r="U42" s="265"/>
      <c r="V42" s="78"/>
      <c r="W42" s="103"/>
      <c r="X42" s="41">
        <f t="shared" si="27"/>
        <v>0</v>
      </c>
      <c r="Y42" s="178">
        <f t="shared" si="5"/>
        <v>0</v>
      </c>
      <c r="Z42" s="265"/>
      <c r="AA42" s="210">
        <f>L42</f>
        <v>0</v>
      </c>
      <c r="AB42" s="39">
        <f t="shared" si="28"/>
        <v>0</v>
      </c>
      <c r="AC42" s="106">
        <f t="shared" si="29"/>
        <v>0</v>
      </c>
      <c r="AD42" s="178">
        <f t="shared" si="22"/>
        <v>0</v>
      </c>
      <c r="AE42" s="79"/>
      <c r="AF42" s="210">
        <f t="shared" si="30"/>
        <v>0</v>
      </c>
      <c r="AG42" s="210">
        <f t="shared" si="30"/>
        <v>0</v>
      </c>
      <c r="AH42" s="210">
        <f t="shared" si="31"/>
        <v>0</v>
      </c>
      <c r="AI42" s="178">
        <f t="shared" si="32"/>
        <v>0</v>
      </c>
      <c r="AJ42" s="79"/>
    </row>
    <row r="43" spans="1:37" ht="13.8" outlineLevel="2">
      <c r="A43" s="4833"/>
      <c r="B43" s="18" t="s">
        <v>8</v>
      </c>
      <c r="C43" s="113"/>
      <c r="D43" s="119">
        <v>2000</v>
      </c>
      <c r="E43" s="120">
        <f t="shared" si="23"/>
        <v>2000</v>
      </c>
      <c r="F43" s="178">
        <f t="shared" si="20"/>
        <v>5.9486648073123368E-4</v>
      </c>
      <c r="G43" s="78"/>
      <c r="H43" s="103"/>
      <c r="I43" s="41">
        <f t="shared" si="24"/>
        <v>0</v>
      </c>
      <c r="J43" s="178">
        <f t="shared" si="19"/>
        <v>0</v>
      </c>
      <c r="K43" s="265"/>
      <c r="L43" s="78"/>
      <c r="M43" s="103"/>
      <c r="N43" s="41">
        <f t="shared" si="25"/>
        <v>0</v>
      </c>
      <c r="O43" s="178">
        <f t="shared" si="3"/>
        <v>0</v>
      </c>
      <c r="P43" s="265"/>
      <c r="Q43" s="78"/>
      <c r="R43" s="103"/>
      <c r="S43" s="41">
        <f t="shared" si="26"/>
        <v>0</v>
      </c>
      <c r="T43" s="178">
        <f t="shared" si="21"/>
        <v>0</v>
      </c>
      <c r="U43" s="265"/>
      <c r="V43" s="78"/>
      <c r="W43" s="103"/>
      <c r="X43" s="41">
        <f t="shared" si="27"/>
        <v>0</v>
      </c>
      <c r="Y43" s="178">
        <f t="shared" si="5"/>
        <v>0</v>
      </c>
      <c r="Z43" s="265"/>
      <c r="AA43" s="210">
        <f>L43</f>
        <v>0</v>
      </c>
      <c r="AB43" s="39">
        <f t="shared" si="28"/>
        <v>0</v>
      </c>
      <c r="AC43" s="106">
        <f t="shared" si="29"/>
        <v>0</v>
      </c>
      <c r="AD43" s="178">
        <f t="shared" si="22"/>
        <v>0</v>
      </c>
      <c r="AE43" s="79"/>
      <c r="AF43" s="210">
        <f t="shared" si="30"/>
        <v>0</v>
      </c>
      <c r="AG43" s="210">
        <f t="shared" si="30"/>
        <v>2000</v>
      </c>
      <c r="AH43" s="210">
        <f t="shared" si="31"/>
        <v>2000</v>
      </c>
      <c r="AI43" s="178">
        <f t="shared" si="32"/>
        <v>5.9486648073123368E-4</v>
      </c>
      <c r="AJ43" s="79"/>
    </row>
    <row r="44" spans="1:37" ht="13.8" outlineLevel="2">
      <c r="A44" s="4833"/>
      <c r="B44" s="18" t="s">
        <v>29</v>
      </c>
      <c r="C44" s="113"/>
      <c r="D44" s="119"/>
      <c r="E44" s="120">
        <f t="shared" si="23"/>
        <v>0</v>
      </c>
      <c r="F44" s="178">
        <f t="shared" si="20"/>
        <v>0</v>
      </c>
      <c r="G44" s="78"/>
      <c r="H44" s="103"/>
      <c r="I44" s="41">
        <f t="shared" si="24"/>
        <v>0</v>
      </c>
      <c r="J44" s="178">
        <f t="shared" si="19"/>
        <v>0</v>
      </c>
      <c r="K44" s="265"/>
      <c r="L44" s="78"/>
      <c r="M44" s="103"/>
      <c r="N44" s="41">
        <f t="shared" si="25"/>
        <v>0</v>
      </c>
      <c r="O44" s="178">
        <f t="shared" si="3"/>
        <v>0</v>
      </c>
      <c r="P44" s="265"/>
      <c r="Q44" s="78"/>
      <c r="R44" s="103"/>
      <c r="S44" s="41">
        <f t="shared" si="26"/>
        <v>0</v>
      </c>
      <c r="T44" s="178">
        <f t="shared" si="21"/>
        <v>0</v>
      </c>
      <c r="U44" s="265"/>
      <c r="V44" s="78"/>
      <c r="W44" s="103"/>
      <c r="X44" s="41">
        <f t="shared" si="27"/>
        <v>0</v>
      </c>
      <c r="Y44" s="178">
        <f t="shared" si="5"/>
        <v>0</v>
      </c>
      <c r="Z44" s="265"/>
      <c r="AA44" s="210">
        <f>L44</f>
        <v>0</v>
      </c>
      <c r="AB44" s="39">
        <f t="shared" si="28"/>
        <v>0</v>
      </c>
      <c r="AC44" s="106">
        <f t="shared" si="29"/>
        <v>0</v>
      </c>
      <c r="AD44" s="178">
        <f t="shared" si="22"/>
        <v>0</v>
      </c>
      <c r="AE44" s="79"/>
      <c r="AF44" s="210">
        <f t="shared" si="30"/>
        <v>0</v>
      </c>
      <c r="AG44" s="210">
        <f t="shared" si="30"/>
        <v>0</v>
      </c>
      <c r="AH44" s="210">
        <f t="shared" si="31"/>
        <v>0</v>
      </c>
      <c r="AI44" s="178">
        <f t="shared" si="32"/>
        <v>0</v>
      </c>
      <c r="AJ44" s="79"/>
    </row>
    <row r="45" spans="1:37" ht="13.8" outlineLevel="2">
      <c r="A45" s="4833"/>
      <c r="B45" s="18" t="s">
        <v>30</v>
      </c>
      <c r="C45" s="113"/>
      <c r="D45" s="119">
        <v>1000</v>
      </c>
      <c r="E45" s="120">
        <f t="shared" si="23"/>
        <v>1000</v>
      </c>
      <c r="F45" s="178">
        <f t="shared" si="20"/>
        <v>2.9743324036561684E-4</v>
      </c>
      <c r="G45" s="78"/>
      <c r="H45" s="103"/>
      <c r="I45" s="41">
        <f t="shared" si="24"/>
        <v>0</v>
      </c>
      <c r="J45" s="178">
        <f t="shared" si="19"/>
        <v>0</v>
      </c>
      <c r="K45" s="265"/>
      <c r="L45" s="78"/>
      <c r="M45" s="103"/>
      <c r="N45" s="41">
        <f t="shared" si="25"/>
        <v>0</v>
      </c>
      <c r="O45" s="178">
        <f t="shared" si="3"/>
        <v>0</v>
      </c>
      <c r="P45" s="265"/>
      <c r="Q45" s="78"/>
      <c r="R45" s="103"/>
      <c r="S45" s="41">
        <f t="shared" si="26"/>
        <v>0</v>
      </c>
      <c r="T45" s="178">
        <f t="shared" si="21"/>
        <v>0</v>
      </c>
      <c r="U45" s="265"/>
      <c r="V45" s="78"/>
      <c r="W45" s="103"/>
      <c r="X45" s="41">
        <f t="shared" si="27"/>
        <v>0</v>
      </c>
      <c r="Y45" s="178">
        <f t="shared" si="5"/>
        <v>0</v>
      </c>
      <c r="Z45" s="265"/>
      <c r="AA45" s="39">
        <f>L45+Q45+V45+G45</f>
        <v>0</v>
      </c>
      <c r="AB45" s="39">
        <f t="shared" si="28"/>
        <v>0</v>
      </c>
      <c r="AC45" s="106">
        <f t="shared" si="29"/>
        <v>0</v>
      </c>
      <c r="AD45" s="178">
        <f t="shared" si="22"/>
        <v>0</v>
      </c>
      <c r="AE45" s="79"/>
      <c r="AF45" s="210">
        <f t="shared" si="30"/>
        <v>0</v>
      </c>
      <c r="AG45" s="210">
        <f t="shared" si="30"/>
        <v>1000</v>
      </c>
      <c r="AH45" s="210">
        <f t="shared" si="31"/>
        <v>1000</v>
      </c>
      <c r="AI45" s="178">
        <f t="shared" si="32"/>
        <v>2.9743324036561684E-4</v>
      </c>
      <c r="AJ45" s="79"/>
    </row>
    <row r="46" spans="1:37" ht="13.8" outlineLevel="2">
      <c r="A46" s="4833"/>
      <c r="B46" s="18" t="s">
        <v>15</v>
      </c>
      <c r="C46" s="113"/>
      <c r="D46" s="119"/>
      <c r="E46" s="120">
        <f t="shared" si="23"/>
        <v>0</v>
      </c>
      <c r="F46" s="178">
        <f t="shared" si="20"/>
        <v>0</v>
      </c>
      <c r="G46" s="78"/>
      <c r="H46" s="103"/>
      <c r="I46" s="41">
        <f t="shared" si="24"/>
        <v>0</v>
      </c>
      <c r="J46" s="178">
        <f t="shared" si="19"/>
        <v>0</v>
      </c>
      <c r="K46" s="265"/>
      <c r="L46" s="78"/>
      <c r="M46" s="103"/>
      <c r="N46" s="41">
        <f t="shared" si="25"/>
        <v>0</v>
      </c>
      <c r="O46" s="178">
        <f t="shared" si="3"/>
        <v>0</v>
      </c>
      <c r="P46" s="265"/>
      <c r="Q46" s="78">
        <v>414</v>
      </c>
      <c r="R46" s="103"/>
      <c r="S46" s="41">
        <f t="shared" si="26"/>
        <v>414</v>
      </c>
      <c r="T46" s="178">
        <f t="shared" si="21"/>
        <v>1.7871074536461059E-3</v>
      </c>
      <c r="U46" s="265"/>
      <c r="V46" s="78"/>
      <c r="W46" s="103"/>
      <c r="X46" s="41">
        <f t="shared" si="27"/>
        <v>0</v>
      </c>
      <c r="Y46" s="178">
        <f t="shared" si="5"/>
        <v>0</v>
      </c>
      <c r="Z46" s="265"/>
      <c r="AA46" s="39">
        <f>L46+Q46+V46+G46</f>
        <v>414</v>
      </c>
      <c r="AB46" s="39">
        <f t="shared" si="28"/>
        <v>0</v>
      </c>
      <c r="AC46" s="106">
        <f t="shared" si="29"/>
        <v>414</v>
      </c>
      <c r="AD46" s="178">
        <f t="shared" si="22"/>
        <v>3.2515420499397077E-4</v>
      </c>
      <c r="AE46" s="79"/>
      <c r="AF46" s="210">
        <f t="shared" si="30"/>
        <v>-414</v>
      </c>
      <c r="AG46" s="210">
        <f t="shared" si="30"/>
        <v>0</v>
      </c>
      <c r="AH46" s="210">
        <f t="shared" si="31"/>
        <v>-414</v>
      </c>
      <c r="AI46" s="178">
        <f t="shared" si="32"/>
        <v>-1.2313736151136538E-4</v>
      </c>
      <c r="AJ46" s="79"/>
    </row>
    <row r="47" spans="1:37" s="2" customFormat="1" ht="14.4" outlineLevel="2" thickBot="1">
      <c r="A47" s="11"/>
      <c r="B47" s="35"/>
      <c r="C47" s="116"/>
      <c r="D47" s="121"/>
      <c r="E47" s="122"/>
      <c r="F47" s="182"/>
      <c r="G47" s="222"/>
      <c r="H47" s="223"/>
      <c r="I47" s="52"/>
      <c r="J47" s="203">
        <f t="shared" si="19"/>
        <v>0</v>
      </c>
      <c r="K47" s="273"/>
      <c r="L47" s="222"/>
      <c r="M47" s="223"/>
      <c r="N47" s="52"/>
      <c r="O47" s="203">
        <f t="shared" si="3"/>
        <v>0</v>
      </c>
      <c r="P47" s="273"/>
      <c r="Q47" s="222"/>
      <c r="R47" s="223"/>
      <c r="S47" s="52"/>
      <c r="T47" s="203">
        <f>S47/$N$87</f>
        <v>0</v>
      </c>
      <c r="U47" s="273"/>
      <c r="V47" s="222"/>
      <c r="W47" s="223"/>
      <c r="X47" s="52"/>
      <c r="Y47" s="203">
        <f t="shared" si="5"/>
        <v>0</v>
      </c>
      <c r="Z47" s="273"/>
      <c r="AA47" s="39">
        <f>L47+Q47+V47+G47</f>
        <v>0</v>
      </c>
      <c r="AB47" s="39">
        <f t="shared" si="28"/>
        <v>0</v>
      </c>
      <c r="AC47" s="52"/>
      <c r="AD47" s="178">
        <f t="shared" si="22"/>
        <v>0</v>
      </c>
      <c r="AE47" s="52"/>
      <c r="AF47" s="52"/>
      <c r="AG47" s="52"/>
      <c r="AH47" s="52"/>
      <c r="AI47" s="52"/>
      <c r="AJ47" s="52"/>
    </row>
    <row r="48" spans="1:37" s="2" customFormat="1" ht="13.8" outlineLevel="1">
      <c r="A48" s="229"/>
      <c r="B48" s="17" t="s">
        <v>59</v>
      </c>
      <c r="C48" s="123">
        <f>SUM(C49:C50)</f>
        <v>0</v>
      </c>
      <c r="D48" s="123">
        <f>SUM(D49:D50)</f>
        <v>0</v>
      </c>
      <c r="E48" s="123">
        <f>SUM(E49:E50)</f>
        <v>0</v>
      </c>
      <c r="F48" s="170">
        <f>E48/$E$87</f>
        <v>0</v>
      </c>
      <c r="G48" s="123">
        <f>SUM(G49:G50)</f>
        <v>0</v>
      </c>
      <c r="H48" s="123">
        <f>SUM(H49:H50)</f>
        <v>0</v>
      </c>
      <c r="I48" s="123">
        <f>SUM(I49:I50)</f>
        <v>0</v>
      </c>
      <c r="J48" s="170">
        <f t="shared" si="19"/>
        <v>0</v>
      </c>
      <c r="K48" s="274"/>
      <c r="L48" s="123">
        <f>SUM(L49:L50)</f>
        <v>0</v>
      </c>
      <c r="M48" s="123">
        <f>SUM(M49:M50)</f>
        <v>0</v>
      </c>
      <c r="N48" s="123">
        <f>SUM(N49:N50)</f>
        <v>0</v>
      </c>
      <c r="O48" s="170">
        <f t="shared" si="3"/>
        <v>0</v>
      </c>
      <c r="P48" s="274"/>
      <c r="Q48" s="123">
        <f>SUM(Q49:Q50)</f>
        <v>0</v>
      </c>
      <c r="R48" s="123">
        <f>SUM(R49:R50)</f>
        <v>0</v>
      </c>
      <c r="S48" s="123">
        <f>SUM(S49:S50)</f>
        <v>0</v>
      </c>
      <c r="T48" s="170">
        <f>S48/$N$87</f>
        <v>0</v>
      </c>
      <c r="U48" s="274"/>
      <c r="V48" s="123">
        <f>SUM(V49:V50)</f>
        <v>0</v>
      </c>
      <c r="W48" s="123">
        <f>SUM(W49:W50)</f>
        <v>0</v>
      </c>
      <c r="X48" s="123">
        <f>SUM(X49:X50)</f>
        <v>0</v>
      </c>
      <c r="Y48" s="170">
        <f t="shared" si="5"/>
        <v>0</v>
      </c>
      <c r="Z48" s="274"/>
      <c r="AA48" s="123">
        <f>AA50+AA49</f>
        <v>0</v>
      </c>
      <c r="AB48" s="123">
        <f>AB50+AB49</f>
        <v>0</v>
      </c>
      <c r="AC48" s="123">
        <f>SUM(AC49:AC50)</f>
        <v>0</v>
      </c>
      <c r="AD48" s="60"/>
      <c r="AE48" s="60"/>
      <c r="AF48" s="59">
        <f>AF50+AF49</f>
        <v>0</v>
      </c>
      <c r="AG48" s="59">
        <f>AG50+AG49</f>
        <v>0</v>
      </c>
      <c r="AH48" s="59">
        <f>SUM(AH49:AH50)</f>
        <v>0</v>
      </c>
      <c r="AI48" s="60"/>
      <c r="AJ48" s="60"/>
    </row>
    <row r="49" spans="1:38" s="226" customFormat="1" ht="13.8" outlineLevel="1">
      <c r="A49" s="234"/>
      <c r="B49" s="18" t="s">
        <v>60</v>
      </c>
      <c r="C49" s="113"/>
      <c r="D49" s="119"/>
      <c r="E49" s="119">
        <f>C49+D49</f>
        <v>0</v>
      </c>
      <c r="F49" s="180">
        <f>E49/$E$87</f>
        <v>0</v>
      </c>
      <c r="G49" s="45"/>
      <c r="H49" s="45"/>
      <c r="I49" s="41">
        <f>G49+H49*1</f>
        <v>0</v>
      </c>
      <c r="J49" s="178">
        <f t="shared" si="19"/>
        <v>0</v>
      </c>
      <c r="K49" s="265"/>
      <c r="L49" s="45"/>
      <c r="M49" s="45"/>
      <c r="N49" s="41">
        <f>L49+M49*1</f>
        <v>0</v>
      </c>
      <c r="O49" s="178">
        <f t="shared" si="3"/>
        <v>0</v>
      </c>
      <c r="P49" s="265"/>
      <c r="Q49" s="45"/>
      <c r="R49" s="45"/>
      <c r="S49" s="41">
        <f>Q49+R49*1</f>
        <v>0</v>
      </c>
      <c r="T49" s="178">
        <f>S49/$N$87</f>
        <v>0</v>
      </c>
      <c r="U49" s="265"/>
      <c r="V49" s="45"/>
      <c r="W49" s="45"/>
      <c r="X49" s="41">
        <f>V49+W49*1</f>
        <v>0</v>
      </c>
      <c r="Y49" s="178">
        <f t="shared" si="5"/>
        <v>0</v>
      </c>
      <c r="Z49" s="265"/>
      <c r="AA49" s="210">
        <f>L49</f>
        <v>0</v>
      </c>
      <c r="AB49" s="39">
        <f>M49+R49+W49+H49</f>
        <v>0</v>
      </c>
      <c r="AC49" s="106">
        <f>AA49+AB49*1</f>
        <v>0</v>
      </c>
      <c r="AD49" s="178">
        <f>AC49/$AC$87</f>
        <v>0</v>
      </c>
      <c r="AE49" s="45"/>
      <c r="AF49" s="210">
        <f>C49-AA49</f>
        <v>0</v>
      </c>
      <c r="AG49" s="210">
        <f>D49-AB49</f>
        <v>0</v>
      </c>
      <c r="AH49" s="210">
        <f>AF49+AG49*1</f>
        <v>0</v>
      </c>
      <c r="AI49" s="178">
        <f>AH49/$E$87</f>
        <v>0</v>
      </c>
      <c r="AJ49" s="45"/>
    </row>
    <row r="50" spans="1:38" s="235" customFormat="1" ht="13.8" hidden="1" outlineLevel="2">
      <c r="A50" s="234"/>
      <c r="B50" s="18" t="s">
        <v>61</v>
      </c>
      <c r="C50" s="113"/>
      <c r="D50" s="119"/>
      <c r="E50" s="119">
        <f>C50+D50</f>
        <v>0</v>
      </c>
      <c r="F50" s="180">
        <f>E50/$E$87</f>
        <v>0</v>
      </c>
      <c r="G50" s="45"/>
      <c r="H50" s="224"/>
      <c r="I50" s="41">
        <f>G50+H50*1</f>
        <v>0</v>
      </c>
      <c r="J50" s="178">
        <f t="shared" si="19"/>
        <v>0</v>
      </c>
      <c r="K50" s="265"/>
      <c r="L50" s="45"/>
      <c r="M50" s="224"/>
      <c r="N50" s="41">
        <f>L50+M50*1</f>
        <v>0</v>
      </c>
      <c r="O50" s="178">
        <f t="shared" si="3"/>
        <v>0</v>
      </c>
      <c r="P50" s="265"/>
      <c r="Q50" s="45"/>
      <c r="R50" s="224"/>
      <c r="S50" s="41">
        <f>Q50+R50*1</f>
        <v>0</v>
      </c>
      <c r="T50" s="178">
        <f>S50/$N$87</f>
        <v>0</v>
      </c>
      <c r="U50" s="265"/>
      <c r="V50" s="45"/>
      <c r="W50" s="224"/>
      <c r="X50" s="41">
        <f>V50+W50*1</f>
        <v>0</v>
      </c>
      <c r="Y50" s="178">
        <f t="shared" si="5"/>
        <v>0</v>
      </c>
      <c r="Z50" s="265"/>
      <c r="AA50" s="210">
        <f>L50</f>
        <v>0</v>
      </c>
      <c r="AB50" s="210">
        <f>M50</f>
        <v>0</v>
      </c>
      <c r="AC50" s="106">
        <f>AA50+AB50*1</f>
        <v>0</v>
      </c>
      <c r="AD50" s="178">
        <f>AC50/$AC$87</f>
        <v>0</v>
      </c>
      <c r="AE50" s="45"/>
      <c r="AF50" s="210">
        <f>C50-AA50</f>
        <v>0</v>
      </c>
      <c r="AG50" s="210">
        <f>D50-AB50</f>
        <v>0</v>
      </c>
      <c r="AH50" s="210">
        <f>AF50+AG50*1</f>
        <v>0</v>
      </c>
      <c r="AI50" s="178">
        <f>AH50/$E$87</f>
        <v>0</v>
      </c>
      <c r="AJ50" s="45"/>
    </row>
    <row r="51" spans="1:38" ht="14.4" outlineLevel="1" collapsed="1" thickBot="1">
      <c r="A51" s="20"/>
      <c r="B51" s="21"/>
      <c r="C51" s="124"/>
      <c r="D51" s="125"/>
      <c r="E51" s="126"/>
      <c r="F51" s="183"/>
      <c r="G51" s="81"/>
      <c r="H51" s="81"/>
      <c r="I51" s="81"/>
      <c r="J51" s="204">
        <f t="shared" si="19"/>
        <v>0</v>
      </c>
      <c r="K51" s="275"/>
      <c r="L51" s="81"/>
      <c r="M51" s="81"/>
      <c r="N51" s="81"/>
      <c r="O51" s="204">
        <f t="shared" si="3"/>
        <v>0</v>
      </c>
      <c r="P51" s="275"/>
      <c r="Q51" s="81"/>
      <c r="R51" s="81"/>
      <c r="S51" s="81"/>
      <c r="T51" s="204">
        <f>S51/$N$87</f>
        <v>0</v>
      </c>
      <c r="U51" s="275"/>
      <c r="V51" s="81"/>
      <c r="W51" s="81"/>
      <c r="X51" s="81"/>
      <c r="Y51" s="204">
        <f t="shared" si="5"/>
        <v>0</v>
      </c>
      <c r="Z51" s="275"/>
      <c r="AA51" s="210"/>
      <c r="AB51" s="210"/>
      <c r="AC51" s="61"/>
      <c r="AD51" s="61"/>
      <c r="AE51" s="61"/>
      <c r="AF51" s="61"/>
      <c r="AG51" s="61"/>
      <c r="AH51" s="61"/>
      <c r="AI51" s="61"/>
      <c r="AJ51" s="61"/>
    </row>
    <row r="52" spans="1:38" ht="13.8" outlineLevel="1">
      <c r="A52" s="236"/>
      <c r="B52" s="17" t="s">
        <v>1</v>
      </c>
      <c r="C52" s="123">
        <f>SUM(C53:C69)</f>
        <v>26643</v>
      </c>
      <c r="D52" s="123">
        <f>SUM(D53:D69)</f>
        <v>113495</v>
      </c>
      <c r="E52" s="127">
        <f>SUM(E53:E69)</f>
        <v>140138</v>
      </c>
      <c r="F52" s="170">
        <f>E52/$E$87</f>
        <v>4.1681699438356812E-2</v>
      </c>
      <c r="G52" s="123">
        <f>SUM(G53:G69)</f>
        <v>910</v>
      </c>
      <c r="H52" s="123">
        <f>SUM(H53:H69)</f>
        <v>3035</v>
      </c>
      <c r="I52" s="127">
        <f>SUM(I53:I69)</f>
        <v>3945</v>
      </c>
      <c r="J52" s="170">
        <f t="shared" si="19"/>
        <v>9.2448335713286017E-3</v>
      </c>
      <c r="K52" s="274"/>
      <c r="L52" s="123">
        <f>SUM(L53:L69)</f>
        <v>12007.36</v>
      </c>
      <c r="M52" s="123">
        <f>SUM(M53:M69)</f>
        <v>48303.8</v>
      </c>
      <c r="N52" s="127">
        <f>SUM(N53:N69)</f>
        <v>60311.16</v>
      </c>
      <c r="O52" s="170">
        <f t="shared" si="3"/>
        <v>0.14133501563847167</v>
      </c>
      <c r="P52" s="274"/>
      <c r="Q52" s="123">
        <f>SUM(Q53:Q69)</f>
        <v>20856.41</v>
      </c>
      <c r="R52" s="123">
        <f>SUM(R53:R69)</f>
        <v>35617.46</v>
      </c>
      <c r="S52" s="127">
        <f>SUM(S53:S69)</f>
        <v>56473.87</v>
      </c>
      <c r="T52" s="170">
        <f t="shared" ref="T52:T65" si="33">S52/$S$87</f>
        <v>0.24377988892087249</v>
      </c>
      <c r="U52" s="274"/>
      <c r="V52" s="123">
        <f>SUM(V53:V69)</f>
        <v>10842.32</v>
      </c>
      <c r="W52" s="123">
        <f>SUM(W53:W69)</f>
        <v>46703.54</v>
      </c>
      <c r="X52" s="127">
        <f>SUM(X53:X69)</f>
        <v>57545.86</v>
      </c>
      <c r="Y52" s="170">
        <f t="shared" si="5"/>
        <v>9.4229886674303792E-2</v>
      </c>
      <c r="Z52" s="274"/>
      <c r="AA52" s="123">
        <f>SUM(AA53:AA69)</f>
        <v>44616.09</v>
      </c>
      <c r="AB52" s="123">
        <f>SUM(AB53:AB69)</f>
        <v>133659.79999999999</v>
      </c>
      <c r="AC52" s="127">
        <f>SUM(AC53:AC69)</f>
        <v>178275.89</v>
      </c>
      <c r="AD52" s="169">
        <f t="shared" ref="AD52:AD60" si="34">AC52/$AC$87</f>
        <v>0.14001728329116567</v>
      </c>
      <c r="AE52" s="60"/>
      <c r="AF52" s="123">
        <f>SUM(AF53:AF69)</f>
        <v>-17973.09</v>
      </c>
      <c r="AG52" s="123">
        <f>SUM(AG53:AG69)</f>
        <v>-20164.800000000003</v>
      </c>
      <c r="AH52" s="127">
        <f>SUM(AH53:AH69)</f>
        <v>-38137.89</v>
      </c>
      <c r="AI52" s="170">
        <f t="shared" ref="AI52:AI66" si="35">AH52/$AH$87</f>
        <v>-1.5820402486788981E-2</v>
      </c>
      <c r="AJ52" s="60"/>
    </row>
    <row r="53" spans="1:38" ht="13.95" customHeight="1" outlineLevel="2">
      <c r="A53" s="237"/>
      <c r="B53" s="19" t="s">
        <v>77</v>
      </c>
      <c r="C53" s="113">
        <v>5555</v>
      </c>
      <c r="D53" s="128">
        <v>28112</v>
      </c>
      <c r="E53" s="120">
        <f t="shared" ref="E53:E69" si="36">C53+D53</f>
        <v>33667</v>
      </c>
      <c r="F53" s="178">
        <f>E53/$E$87</f>
        <v>1.0013684903389221E-2</v>
      </c>
      <c r="G53" s="78"/>
      <c r="H53" s="161"/>
      <c r="I53" s="41">
        <f t="shared" ref="I53:I69" si="37">G53+H53*1</f>
        <v>0</v>
      </c>
      <c r="J53" s="178">
        <f t="shared" si="19"/>
        <v>0</v>
      </c>
      <c r="K53" s="291"/>
      <c r="L53" s="78"/>
      <c r="M53" s="161"/>
      <c r="N53" s="41">
        <f t="shared" ref="N53:N69" si="38">L53+M53*1</f>
        <v>0</v>
      </c>
      <c r="O53" s="178">
        <f t="shared" si="3"/>
        <v>0</v>
      </c>
      <c r="P53" s="291"/>
      <c r="Q53" s="78"/>
      <c r="R53" s="161"/>
      <c r="S53" s="41">
        <f t="shared" ref="S53:S69" si="39">Q53+R53*1</f>
        <v>0</v>
      </c>
      <c r="T53" s="178">
        <f t="shared" si="33"/>
        <v>0</v>
      </c>
      <c r="U53" s="291"/>
      <c r="V53" s="78"/>
      <c r="W53" s="161"/>
      <c r="X53" s="41">
        <f t="shared" ref="X53:X69" si="40">V53+W53*1</f>
        <v>0</v>
      </c>
      <c r="Y53" s="178">
        <f t="shared" si="5"/>
        <v>0</v>
      </c>
      <c r="Z53" s="291"/>
      <c r="AA53" s="210">
        <f>L53</f>
        <v>0</v>
      </c>
      <c r="AB53" s="39">
        <f t="shared" ref="AB53:AB70" si="41">M53+R53+W53+H53</f>
        <v>0</v>
      </c>
      <c r="AC53" s="106">
        <f t="shared" ref="AC53:AC69" si="42">AA53+AB53*1</f>
        <v>0</v>
      </c>
      <c r="AD53" s="178">
        <f t="shared" si="34"/>
        <v>0</v>
      </c>
      <c r="AE53" s="79"/>
      <c r="AF53" s="210">
        <f t="shared" ref="AF53:AF72" si="43">C53-AA53</f>
        <v>5555</v>
      </c>
      <c r="AG53" s="210">
        <f t="shared" ref="AG53:AG72" si="44">D53-AB53</f>
        <v>28112</v>
      </c>
      <c r="AH53" s="210">
        <f t="shared" ref="AH53:AH69" si="45">AF53+AG53*1</f>
        <v>33667</v>
      </c>
      <c r="AI53" s="178">
        <f t="shared" si="35"/>
        <v>1.3965782861157882E-2</v>
      </c>
      <c r="AJ53" s="79"/>
    </row>
    <row r="54" spans="1:38" ht="13.95" customHeight="1" outlineLevel="2">
      <c r="A54" s="237"/>
      <c r="B54" s="19" t="s">
        <v>76</v>
      </c>
      <c r="C54" s="113">
        <v>1518</v>
      </c>
      <c r="D54" s="128"/>
      <c r="E54" s="120">
        <f t="shared" si="36"/>
        <v>1518</v>
      </c>
      <c r="F54" s="178">
        <f t="shared" ref="F54:F62" si="46">E54/$E$87</f>
        <v>4.5150365887500638E-4</v>
      </c>
      <c r="G54" s="163"/>
      <c r="H54" s="111"/>
      <c r="I54" s="41">
        <f t="shared" si="37"/>
        <v>0</v>
      </c>
      <c r="J54" s="178">
        <f t="shared" si="19"/>
        <v>0</v>
      </c>
      <c r="K54" s="291"/>
      <c r="L54" s="163"/>
      <c r="M54" s="111"/>
      <c r="N54" s="41">
        <f t="shared" si="38"/>
        <v>0</v>
      </c>
      <c r="O54" s="178">
        <f t="shared" si="3"/>
        <v>0</v>
      </c>
      <c r="P54" s="291"/>
      <c r="Q54" s="163"/>
      <c r="R54" s="111"/>
      <c r="S54" s="41">
        <f t="shared" si="39"/>
        <v>0</v>
      </c>
      <c r="T54" s="178">
        <f t="shared" si="33"/>
        <v>0</v>
      </c>
      <c r="U54" s="291"/>
      <c r="V54" s="163"/>
      <c r="W54" s="111"/>
      <c r="X54" s="41">
        <f t="shared" si="40"/>
        <v>0</v>
      </c>
      <c r="Y54" s="178">
        <f t="shared" si="5"/>
        <v>0</v>
      </c>
      <c r="Z54" s="291"/>
      <c r="AA54" s="210">
        <f>L54</f>
        <v>0</v>
      </c>
      <c r="AB54" s="39">
        <f t="shared" si="41"/>
        <v>0</v>
      </c>
      <c r="AC54" s="106">
        <f t="shared" si="42"/>
        <v>0</v>
      </c>
      <c r="AD54" s="178">
        <f t="shared" si="34"/>
        <v>0</v>
      </c>
      <c r="AE54" s="79"/>
      <c r="AF54" s="210">
        <f t="shared" si="43"/>
        <v>1518</v>
      </c>
      <c r="AG54" s="210">
        <f t="shared" si="44"/>
        <v>0</v>
      </c>
      <c r="AH54" s="210">
        <f t="shared" si="45"/>
        <v>1518</v>
      </c>
      <c r="AI54" s="178">
        <f t="shared" si="35"/>
        <v>6.2969846981428897E-4</v>
      </c>
      <c r="AJ54" s="79"/>
    </row>
    <row r="55" spans="1:38" ht="13.95" customHeight="1" outlineLevel="2">
      <c r="A55" s="237"/>
      <c r="B55" s="19" t="s">
        <v>68</v>
      </c>
      <c r="C55" s="113">
        <v>1346</v>
      </c>
      <c r="D55" s="128"/>
      <c r="E55" s="120">
        <f t="shared" si="36"/>
        <v>1346</v>
      </c>
      <c r="F55" s="178">
        <f t="shared" si="46"/>
        <v>4.0034514153212026E-4</v>
      </c>
      <c r="G55" s="163"/>
      <c r="H55" s="111"/>
      <c r="I55" s="41">
        <f t="shared" si="37"/>
        <v>0</v>
      </c>
      <c r="J55" s="178">
        <f t="shared" si="19"/>
        <v>0</v>
      </c>
      <c r="K55" s="291"/>
      <c r="L55" s="163"/>
      <c r="M55" s="111"/>
      <c r="N55" s="41">
        <f t="shared" si="38"/>
        <v>0</v>
      </c>
      <c r="O55" s="178">
        <f t="shared" si="3"/>
        <v>0</v>
      </c>
      <c r="P55" s="291"/>
      <c r="Q55" s="163"/>
      <c r="R55" s="111"/>
      <c r="S55" s="41">
        <f t="shared" si="39"/>
        <v>0</v>
      </c>
      <c r="T55" s="178">
        <f t="shared" si="33"/>
        <v>0</v>
      </c>
      <c r="U55" s="291"/>
      <c r="V55" s="163"/>
      <c r="W55" s="111"/>
      <c r="X55" s="41">
        <f t="shared" si="40"/>
        <v>0</v>
      </c>
      <c r="Y55" s="178">
        <f t="shared" si="5"/>
        <v>0</v>
      </c>
      <c r="Z55" s="291"/>
      <c r="AA55" s="210">
        <f>L55</f>
        <v>0</v>
      </c>
      <c r="AB55" s="39">
        <f t="shared" si="41"/>
        <v>0</v>
      </c>
      <c r="AC55" s="106">
        <f t="shared" si="42"/>
        <v>0</v>
      </c>
      <c r="AD55" s="178">
        <f t="shared" si="34"/>
        <v>0</v>
      </c>
      <c r="AE55" s="79"/>
      <c r="AF55" s="210">
        <f t="shared" si="43"/>
        <v>1346</v>
      </c>
      <c r="AG55" s="210">
        <f t="shared" si="44"/>
        <v>0</v>
      </c>
      <c r="AH55" s="210">
        <f t="shared" si="45"/>
        <v>1346</v>
      </c>
      <c r="AI55" s="178">
        <f t="shared" si="35"/>
        <v>5.5834923608039056E-4</v>
      </c>
      <c r="AJ55" s="79"/>
    </row>
    <row r="56" spans="1:38" ht="14.4" customHeight="1" outlineLevel="2" thickBot="1">
      <c r="A56" s="237"/>
      <c r="B56" s="19" t="s">
        <v>67</v>
      </c>
      <c r="C56" s="113">
        <v>7406</v>
      </c>
      <c r="D56" s="128">
        <v>67383</v>
      </c>
      <c r="E56" s="120">
        <f t="shared" si="36"/>
        <v>74789</v>
      </c>
      <c r="F56" s="178">
        <f t="shared" si="46"/>
        <v>2.2244734613704117E-2</v>
      </c>
      <c r="G56" s="163"/>
      <c r="H56" s="112"/>
      <c r="I56" s="41">
        <f t="shared" si="37"/>
        <v>0</v>
      </c>
      <c r="J56" s="178">
        <f t="shared" si="19"/>
        <v>0</v>
      </c>
      <c r="K56" s="291"/>
      <c r="L56" s="163">
        <v>4347</v>
      </c>
      <c r="M56" s="112">
        <v>28288</v>
      </c>
      <c r="N56" s="41">
        <f t="shared" si="38"/>
        <v>32635</v>
      </c>
      <c r="O56" s="178">
        <f t="shared" si="3"/>
        <v>7.6477856425933827E-2</v>
      </c>
      <c r="P56" s="291" t="s">
        <v>89</v>
      </c>
      <c r="Q56" s="163">
        <v>10465</v>
      </c>
      <c r="R56" s="112">
        <v>22535</v>
      </c>
      <c r="S56" s="41">
        <f t="shared" si="39"/>
        <v>33000</v>
      </c>
      <c r="T56" s="178">
        <f t="shared" si="33"/>
        <v>0.14245059413121133</v>
      </c>
      <c r="U56" s="291" t="s">
        <v>115</v>
      </c>
      <c r="V56" s="163">
        <v>5232.5</v>
      </c>
      <c r="W56" s="112">
        <v>11268</v>
      </c>
      <c r="X56" s="41">
        <f t="shared" si="40"/>
        <v>16500.5</v>
      </c>
      <c r="Y56" s="178">
        <f t="shared" si="5"/>
        <v>2.7019150379703243E-2</v>
      </c>
      <c r="Z56" s="291" t="s">
        <v>151</v>
      </c>
      <c r="AA56" s="39">
        <f t="shared" ref="AA56:AA66" si="47">L56+Q56+V56+G56</f>
        <v>20044.5</v>
      </c>
      <c r="AB56" s="39">
        <f t="shared" si="41"/>
        <v>62091</v>
      </c>
      <c r="AC56" s="106">
        <f t="shared" si="42"/>
        <v>82135.5</v>
      </c>
      <c r="AD56" s="178">
        <f t="shared" si="34"/>
        <v>6.4508944937879925E-2</v>
      </c>
      <c r="AE56" s="79"/>
      <c r="AF56" s="210">
        <f t="shared" si="43"/>
        <v>-12638.5</v>
      </c>
      <c r="AG56" s="210">
        <f t="shared" si="44"/>
        <v>5292</v>
      </c>
      <c r="AH56" s="210">
        <f t="shared" si="45"/>
        <v>-7346.5</v>
      </c>
      <c r="AI56" s="178">
        <f t="shared" si="35"/>
        <v>-3.0474834048028151E-3</v>
      </c>
      <c r="AJ56" s="79"/>
      <c r="AK56" s="227"/>
      <c r="AL56"/>
    </row>
    <row r="57" spans="1:38" ht="14.4" customHeight="1" outlineLevel="2" thickBot="1">
      <c r="A57" s="237"/>
      <c r="B57" s="19" t="s">
        <v>66</v>
      </c>
      <c r="C57" s="113">
        <v>2024</v>
      </c>
      <c r="D57" s="128"/>
      <c r="E57" s="120">
        <f t="shared" si="36"/>
        <v>2024</v>
      </c>
      <c r="F57" s="178">
        <f t="shared" si="46"/>
        <v>6.0200487850000847E-4</v>
      </c>
      <c r="G57" s="163"/>
      <c r="H57" s="111"/>
      <c r="I57" s="41">
        <f t="shared" si="37"/>
        <v>0</v>
      </c>
      <c r="J57" s="178">
        <f t="shared" si="19"/>
        <v>0</v>
      </c>
      <c r="K57" s="291"/>
      <c r="L57" s="163">
        <v>1053</v>
      </c>
      <c r="M57" s="111"/>
      <c r="N57" s="41">
        <f t="shared" si="38"/>
        <v>1053</v>
      </c>
      <c r="O57" s="178">
        <f t="shared" si="3"/>
        <v>2.4676323829173684E-3</v>
      </c>
      <c r="P57" s="291"/>
      <c r="Q57" s="163">
        <v>2535</v>
      </c>
      <c r="R57" s="111"/>
      <c r="S57" s="41">
        <f t="shared" si="39"/>
        <v>2535</v>
      </c>
      <c r="T57" s="178">
        <f t="shared" si="33"/>
        <v>1.0942795640079417E-2</v>
      </c>
      <c r="U57" s="291"/>
      <c r="V57" s="163">
        <v>1267.5</v>
      </c>
      <c r="W57" s="111"/>
      <c r="X57" s="41">
        <f t="shared" si="40"/>
        <v>1267.5</v>
      </c>
      <c r="Y57" s="178">
        <f t="shared" si="5"/>
        <v>2.0754991125283393E-3</v>
      </c>
      <c r="Z57" s="291"/>
      <c r="AA57" s="39">
        <f t="shared" si="47"/>
        <v>4855.5</v>
      </c>
      <c r="AB57" s="39">
        <f t="shared" si="41"/>
        <v>0</v>
      </c>
      <c r="AC57" s="106">
        <f t="shared" si="42"/>
        <v>4855.5</v>
      </c>
      <c r="AD57" s="178">
        <f t="shared" si="34"/>
        <v>3.8134933390053748E-3</v>
      </c>
      <c r="AE57" s="79"/>
      <c r="AF57" s="210">
        <f t="shared" si="43"/>
        <v>-2831.5</v>
      </c>
      <c r="AG57" s="210">
        <f t="shared" si="44"/>
        <v>0</v>
      </c>
      <c r="AH57" s="210">
        <f t="shared" si="45"/>
        <v>-2831.5</v>
      </c>
      <c r="AI57" s="178">
        <f t="shared" si="35"/>
        <v>-1.1745660192879837E-3</v>
      </c>
      <c r="AJ57" s="79"/>
      <c r="AK57" s="228"/>
      <c r="AL57" s="227"/>
    </row>
    <row r="58" spans="1:38" ht="14.4" customHeight="1" outlineLevel="2">
      <c r="A58" s="237"/>
      <c r="B58" s="19" t="s">
        <v>65</v>
      </c>
      <c r="C58" s="113">
        <v>1794</v>
      </c>
      <c r="D58" s="128"/>
      <c r="E58" s="120">
        <f t="shared" si="36"/>
        <v>1794</v>
      </c>
      <c r="F58" s="178">
        <f t="shared" si="46"/>
        <v>5.3359523321591662E-4</v>
      </c>
      <c r="G58" s="163"/>
      <c r="H58" s="111"/>
      <c r="I58" s="41">
        <f t="shared" si="37"/>
        <v>0</v>
      </c>
      <c r="J58" s="178">
        <f t="shared" si="19"/>
        <v>0</v>
      </c>
      <c r="K58" s="291"/>
      <c r="L58" s="163">
        <v>1188</v>
      </c>
      <c r="M58" s="111"/>
      <c r="N58" s="41">
        <f t="shared" si="38"/>
        <v>1188</v>
      </c>
      <c r="O58" s="178">
        <f t="shared" si="3"/>
        <v>2.7839955089324154E-3</v>
      </c>
      <c r="P58" s="291"/>
      <c r="Q58" s="163">
        <v>2860</v>
      </c>
      <c r="R58" s="111"/>
      <c r="S58" s="41">
        <f t="shared" si="39"/>
        <v>2860</v>
      </c>
      <c r="T58" s="178">
        <f t="shared" si="33"/>
        <v>1.2345718158038315E-2</v>
      </c>
      <c r="U58" s="291"/>
      <c r="V58" s="163">
        <v>1430</v>
      </c>
      <c r="W58" s="111"/>
      <c r="X58" s="41">
        <f t="shared" si="40"/>
        <v>1430</v>
      </c>
      <c r="Y58" s="178">
        <f t="shared" si="5"/>
        <v>2.3415887423396649E-3</v>
      </c>
      <c r="Z58" s="291"/>
      <c r="AA58" s="39">
        <f t="shared" si="47"/>
        <v>5478</v>
      </c>
      <c r="AB58" s="39">
        <f t="shared" si="41"/>
        <v>0</v>
      </c>
      <c r="AC58" s="106">
        <f t="shared" si="42"/>
        <v>5478</v>
      </c>
      <c r="AD58" s="178">
        <f t="shared" si="34"/>
        <v>4.3024027414419611E-3</v>
      </c>
      <c r="AE58" s="79"/>
      <c r="AF58" s="210">
        <f t="shared" si="43"/>
        <v>-3684</v>
      </c>
      <c r="AG58" s="210">
        <f t="shared" si="44"/>
        <v>0</v>
      </c>
      <c r="AH58" s="210">
        <f t="shared" si="45"/>
        <v>-3684</v>
      </c>
      <c r="AI58" s="178">
        <f t="shared" si="35"/>
        <v>-1.5282010295097762E-3</v>
      </c>
      <c r="AJ58" s="79"/>
    </row>
    <row r="59" spans="1:38" ht="13.95" customHeight="1" outlineLevel="2">
      <c r="A59" s="237"/>
      <c r="B59" s="19" t="s">
        <v>32</v>
      </c>
      <c r="C59" s="113"/>
      <c r="D59" s="128"/>
      <c r="E59" s="120">
        <f t="shared" si="36"/>
        <v>0</v>
      </c>
      <c r="F59" s="178">
        <f t="shared" si="46"/>
        <v>0</v>
      </c>
      <c r="G59" s="78"/>
      <c r="H59" s="161"/>
      <c r="I59" s="41">
        <f t="shared" si="37"/>
        <v>0</v>
      </c>
      <c r="J59" s="178">
        <f t="shared" si="19"/>
        <v>0</v>
      </c>
      <c r="K59" s="291"/>
      <c r="L59" s="78"/>
      <c r="M59" s="161"/>
      <c r="N59" s="41">
        <f t="shared" si="38"/>
        <v>0</v>
      </c>
      <c r="O59" s="178">
        <f t="shared" si="3"/>
        <v>0</v>
      </c>
      <c r="P59" s="291"/>
      <c r="Q59" s="78"/>
      <c r="R59" s="161"/>
      <c r="S59" s="41">
        <f t="shared" si="39"/>
        <v>0</v>
      </c>
      <c r="T59" s="178">
        <f t="shared" si="33"/>
        <v>0</v>
      </c>
      <c r="U59" s="291"/>
      <c r="V59" s="78"/>
      <c r="W59" s="161"/>
      <c r="X59" s="41">
        <f t="shared" si="40"/>
        <v>0</v>
      </c>
      <c r="Y59" s="178">
        <f t="shared" si="5"/>
        <v>0</v>
      </c>
      <c r="Z59" s="291"/>
      <c r="AA59" s="39">
        <f t="shared" si="47"/>
        <v>0</v>
      </c>
      <c r="AB59" s="39">
        <f t="shared" si="41"/>
        <v>0</v>
      </c>
      <c r="AC59" s="106">
        <f t="shared" si="42"/>
        <v>0</v>
      </c>
      <c r="AD59" s="178">
        <f t="shared" si="34"/>
        <v>0</v>
      </c>
      <c r="AE59" s="79"/>
      <c r="AF59" s="210">
        <f t="shared" si="43"/>
        <v>0</v>
      </c>
      <c r="AG59" s="210">
        <f t="shared" si="44"/>
        <v>0</v>
      </c>
      <c r="AH59" s="210">
        <f t="shared" si="45"/>
        <v>0</v>
      </c>
      <c r="AI59" s="178">
        <f t="shared" si="35"/>
        <v>0</v>
      </c>
      <c r="AJ59" s="79"/>
    </row>
    <row r="60" spans="1:38" ht="30.6" customHeight="1" outlineLevel="2">
      <c r="A60" s="237"/>
      <c r="B60" s="19" t="s">
        <v>33</v>
      </c>
      <c r="C60" s="129"/>
      <c r="D60" s="128"/>
      <c r="E60" s="120">
        <f t="shared" si="36"/>
        <v>0</v>
      </c>
      <c r="F60" s="178">
        <f t="shared" si="46"/>
        <v>0</v>
      </c>
      <c r="G60" s="78"/>
      <c r="H60" s="161"/>
      <c r="I60" s="41">
        <f t="shared" si="37"/>
        <v>0</v>
      </c>
      <c r="J60" s="178">
        <f t="shared" si="19"/>
        <v>0</v>
      </c>
      <c r="K60" s="291"/>
      <c r="L60" s="78"/>
      <c r="M60" s="161"/>
      <c r="N60" s="41">
        <f t="shared" si="38"/>
        <v>0</v>
      </c>
      <c r="O60" s="178">
        <f t="shared" si="3"/>
        <v>0</v>
      </c>
      <c r="P60" s="291"/>
      <c r="Q60" s="78"/>
      <c r="R60" s="161"/>
      <c r="S60" s="41">
        <f t="shared" si="39"/>
        <v>0</v>
      </c>
      <c r="T60" s="178">
        <f t="shared" si="33"/>
        <v>0</v>
      </c>
      <c r="U60" s="291"/>
      <c r="V60" s="78"/>
      <c r="W60" s="161"/>
      <c r="X60" s="41">
        <f t="shared" si="40"/>
        <v>0</v>
      </c>
      <c r="Y60" s="178">
        <f t="shared" si="5"/>
        <v>0</v>
      </c>
      <c r="Z60" s="291"/>
      <c r="AA60" s="39">
        <f t="shared" si="47"/>
        <v>0</v>
      </c>
      <c r="AB60" s="39">
        <f t="shared" si="41"/>
        <v>0</v>
      </c>
      <c r="AC60" s="106">
        <f t="shared" si="42"/>
        <v>0</v>
      </c>
      <c r="AD60" s="178">
        <f t="shared" si="34"/>
        <v>0</v>
      </c>
      <c r="AE60" s="79"/>
      <c r="AF60" s="210">
        <f t="shared" si="43"/>
        <v>0</v>
      </c>
      <c r="AG60" s="210">
        <f t="shared" si="44"/>
        <v>0</v>
      </c>
      <c r="AH60" s="210">
        <f t="shared" si="45"/>
        <v>0</v>
      </c>
      <c r="AI60" s="178">
        <f t="shared" si="35"/>
        <v>0</v>
      </c>
      <c r="AJ60" s="79"/>
    </row>
    <row r="61" spans="1:38" ht="31.95" customHeight="1" outlineLevel="2">
      <c r="A61" s="237"/>
      <c r="B61" s="19" t="s">
        <v>35</v>
      </c>
      <c r="C61" s="129">
        <v>7000</v>
      </c>
      <c r="D61" s="128"/>
      <c r="E61" s="120">
        <f t="shared" si="36"/>
        <v>7000</v>
      </c>
      <c r="F61" s="178">
        <f t="shared" si="46"/>
        <v>2.0820326825593178E-3</v>
      </c>
      <c r="G61" s="78"/>
      <c r="H61" s="161"/>
      <c r="I61" s="41">
        <f t="shared" si="37"/>
        <v>0</v>
      </c>
      <c r="J61" s="178">
        <f t="shared" si="19"/>
        <v>0</v>
      </c>
      <c r="K61" s="291"/>
      <c r="L61" s="78">
        <v>5419.36</v>
      </c>
      <c r="M61" s="161">
        <v>412.8</v>
      </c>
      <c r="N61" s="41">
        <f t="shared" si="38"/>
        <v>5832.16</v>
      </c>
      <c r="O61" s="178">
        <f t="shared" si="3"/>
        <v>1.3667261992740131E-2</v>
      </c>
      <c r="P61" s="291" t="s">
        <v>92</v>
      </c>
      <c r="Q61" s="78">
        <v>4996.41</v>
      </c>
      <c r="R61" s="161"/>
      <c r="S61" s="41">
        <f t="shared" si="39"/>
        <v>4996.41</v>
      </c>
      <c r="T61" s="178">
        <f t="shared" si="33"/>
        <v>2.1567926455246231E-2</v>
      </c>
      <c r="U61" s="291" t="s">
        <v>89</v>
      </c>
      <c r="V61" s="78">
        <v>2912.32</v>
      </c>
      <c r="W61" s="161"/>
      <c r="X61" s="41">
        <f t="shared" si="40"/>
        <v>2912.32</v>
      </c>
      <c r="Y61" s="178">
        <f t="shared" si="5"/>
        <v>4.7688501581053516E-3</v>
      </c>
      <c r="Z61" s="291" t="s">
        <v>152</v>
      </c>
      <c r="AA61" s="39">
        <f t="shared" si="47"/>
        <v>13328.09</v>
      </c>
      <c r="AB61" s="39">
        <f t="shared" si="41"/>
        <v>412.8</v>
      </c>
      <c r="AC61" s="106">
        <f t="shared" si="42"/>
        <v>13740.89</v>
      </c>
      <c r="AD61" s="178">
        <f t="shared" ref="AD61:AD70" si="48">AC61/$AC$87</f>
        <v>1.0792048704974886E-2</v>
      </c>
      <c r="AE61" s="79"/>
      <c r="AF61" s="210">
        <f t="shared" si="43"/>
        <v>-6328.09</v>
      </c>
      <c r="AG61" s="210">
        <f t="shared" si="44"/>
        <v>-412.8</v>
      </c>
      <c r="AH61" s="210">
        <f t="shared" si="45"/>
        <v>-6740.89</v>
      </c>
      <c r="AI61" s="178">
        <f t="shared" si="35"/>
        <v>-2.796263582468012E-3</v>
      </c>
      <c r="AJ61" s="79"/>
    </row>
    <row r="62" spans="1:38" ht="31.2" customHeight="1" outlineLevel="2">
      <c r="A62" s="237"/>
      <c r="B62" s="19" t="s">
        <v>63</v>
      </c>
      <c r="C62" s="129"/>
      <c r="D62" s="128"/>
      <c r="E62" s="120">
        <f t="shared" si="36"/>
        <v>0</v>
      </c>
      <c r="F62" s="178">
        <f t="shared" si="46"/>
        <v>0</v>
      </c>
      <c r="G62" s="78"/>
      <c r="H62" s="161"/>
      <c r="I62" s="41">
        <f t="shared" si="37"/>
        <v>0</v>
      </c>
      <c r="J62" s="178">
        <f t="shared" si="19"/>
        <v>0</v>
      </c>
      <c r="K62" s="291"/>
      <c r="L62" s="78"/>
      <c r="M62" s="161"/>
      <c r="N62" s="41">
        <f t="shared" si="38"/>
        <v>0</v>
      </c>
      <c r="O62" s="178">
        <f t="shared" si="3"/>
        <v>0</v>
      </c>
      <c r="P62" s="291"/>
      <c r="Q62" s="78"/>
      <c r="R62" s="161"/>
      <c r="S62" s="41">
        <f t="shared" si="39"/>
        <v>0</v>
      </c>
      <c r="T62" s="178">
        <f t="shared" si="33"/>
        <v>0</v>
      </c>
      <c r="U62" s="291"/>
      <c r="V62" s="78"/>
      <c r="W62" s="161"/>
      <c r="X62" s="41">
        <f t="shared" si="40"/>
        <v>0</v>
      </c>
      <c r="Y62" s="178">
        <f t="shared" si="5"/>
        <v>0</v>
      </c>
      <c r="Z62" s="291"/>
      <c r="AA62" s="39">
        <f t="shared" si="47"/>
        <v>0</v>
      </c>
      <c r="AB62" s="39">
        <f t="shared" si="41"/>
        <v>0</v>
      </c>
      <c r="AC62" s="106">
        <f t="shared" si="42"/>
        <v>0</v>
      </c>
      <c r="AD62" s="178">
        <f t="shared" si="48"/>
        <v>0</v>
      </c>
      <c r="AE62" s="79"/>
      <c r="AF62" s="210">
        <f t="shared" si="43"/>
        <v>0</v>
      </c>
      <c r="AG62" s="210">
        <f t="shared" si="44"/>
        <v>0</v>
      </c>
      <c r="AH62" s="210">
        <f t="shared" si="45"/>
        <v>0</v>
      </c>
      <c r="AI62" s="178">
        <f t="shared" si="35"/>
        <v>0</v>
      </c>
      <c r="AJ62" s="79"/>
    </row>
    <row r="63" spans="1:38" ht="93" customHeight="1" outlineLevel="2">
      <c r="A63" s="237"/>
      <c r="B63" s="19" t="s">
        <v>36</v>
      </c>
      <c r="C63" s="129"/>
      <c r="D63" s="128">
        <v>18000</v>
      </c>
      <c r="E63" s="120">
        <f t="shared" si="36"/>
        <v>18000</v>
      </c>
      <c r="F63" s="178">
        <f t="shared" ref="F63:F69" si="49">E63/$E$87</f>
        <v>5.3537983265811032E-3</v>
      </c>
      <c r="G63" s="78">
        <v>910</v>
      </c>
      <c r="H63" s="161">
        <f>1820+1205</f>
        <v>3025</v>
      </c>
      <c r="I63" s="41">
        <f t="shared" si="37"/>
        <v>3935</v>
      </c>
      <c r="J63" s="178">
        <f t="shared" si="19"/>
        <v>9.2213992656978577E-3</v>
      </c>
      <c r="K63" s="291" t="s">
        <v>153</v>
      </c>
      <c r="L63" s="78"/>
      <c r="M63" s="161">
        <f>1983+7500+4000+1250+4680+180</f>
        <v>19593</v>
      </c>
      <c r="N63" s="41">
        <f t="shared" si="38"/>
        <v>19593</v>
      </c>
      <c r="O63" s="178">
        <f t="shared" si="3"/>
        <v>4.5914835022317184E-2</v>
      </c>
      <c r="P63" s="291" t="s">
        <v>96</v>
      </c>
      <c r="Q63" s="78"/>
      <c r="R63" s="161">
        <f>3120+7500+2325</f>
        <v>12945</v>
      </c>
      <c r="S63" s="41">
        <f t="shared" si="39"/>
        <v>12945</v>
      </c>
      <c r="T63" s="178">
        <f t="shared" si="33"/>
        <v>5.5879483061470628E-2</v>
      </c>
      <c r="U63" s="291" t="s">
        <v>113</v>
      </c>
      <c r="V63" s="78"/>
      <c r="W63" s="161">
        <v>8150</v>
      </c>
      <c r="X63" s="41">
        <f t="shared" si="40"/>
        <v>8150</v>
      </c>
      <c r="Y63" s="178">
        <f t="shared" si="5"/>
        <v>1.3345418356691096E-2</v>
      </c>
      <c r="Z63" s="291"/>
      <c r="AA63" s="39">
        <f t="shared" si="47"/>
        <v>910</v>
      </c>
      <c r="AB63" s="39">
        <f t="shared" si="41"/>
        <v>43713</v>
      </c>
      <c r="AC63" s="106">
        <f t="shared" si="42"/>
        <v>44623</v>
      </c>
      <c r="AD63" s="178">
        <f t="shared" si="48"/>
        <v>3.5046753839241447E-2</v>
      </c>
      <c r="AE63" s="79"/>
      <c r="AF63" s="210">
        <f t="shared" si="43"/>
        <v>-910</v>
      </c>
      <c r="AG63" s="210">
        <f t="shared" si="44"/>
        <v>-25713</v>
      </c>
      <c r="AH63" s="210">
        <f t="shared" si="45"/>
        <v>-26623</v>
      </c>
      <c r="AI63" s="178">
        <f t="shared" si="35"/>
        <v>-1.104378284707893E-2</v>
      </c>
      <c r="AJ63" s="79"/>
    </row>
    <row r="64" spans="1:38" s="2" customFormat="1" ht="13.95" customHeight="1" outlineLevel="2">
      <c r="A64" s="237"/>
      <c r="B64" s="19" t="s">
        <v>37</v>
      </c>
      <c r="C64" s="129"/>
      <c r="D64" s="128"/>
      <c r="E64" s="120">
        <f t="shared" si="36"/>
        <v>0</v>
      </c>
      <c r="F64" s="178">
        <f t="shared" si="49"/>
        <v>0</v>
      </c>
      <c r="G64" s="78"/>
      <c r="H64" s="161"/>
      <c r="I64" s="41">
        <f t="shared" si="37"/>
        <v>0</v>
      </c>
      <c r="J64" s="178">
        <f t="shared" si="19"/>
        <v>0</v>
      </c>
      <c r="K64" s="291"/>
      <c r="L64" s="78"/>
      <c r="M64" s="161"/>
      <c r="N64" s="41">
        <f t="shared" si="38"/>
        <v>0</v>
      </c>
      <c r="O64" s="178">
        <f t="shared" si="3"/>
        <v>0</v>
      </c>
      <c r="P64" s="291"/>
      <c r="Q64" s="78"/>
      <c r="R64" s="161"/>
      <c r="S64" s="41">
        <f t="shared" si="39"/>
        <v>0</v>
      </c>
      <c r="T64" s="178">
        <f t="shared" si="33"/>
        <v>0</v>
      </c>
      <c r="U64" s="291"/>
      <c r="V64" s="78"/>
      <c r="W64" s="161"/>
      <c r="X64" s="41">
        <f t="shared" si="40"/>
        <v>0</v>
      </c>
      <c r="Y64" s="178">
        <f t="shared" si="5"/>
        <v>0</v>
      </c>
      <c r="Z64" s="291"/>
      <c r="AA64" s="39">
        <f t="shared" si="47"/>
        <v>0</v>
      </c>
      <c r="AB64" s="39">
        <f t="shared" si="41"/>
        <v>0</v>
      </c>
      <c r="AC64" s="106">
        <f t="shared" si="42"/>
        <v>0</v>
      </c>
      <c r="AD64" s="178">
        <f t="shared" si="48"/>
        <v>0</v>
      </c>
      <c r="AE64" s="79"/>
      <c r="AF64" s="210">
        <f t="shared" si="43"/>
        <v>0</v>
      </c>
      <c r="AG64" s="210">
        <f t="shared" si="44"/>
        <v>0</v>
      </c>
      <c r="AH64" s="210">
        <f t="shared" si="45"/>
        <v>0</v>
      </c>
      <c r="AI64" s="178">
        <f t="shared" si="35"/>
        <v>0</v>
      </c>
      <c r="AJ64" s="79"/>
    </row>
    <row r="65" spans="1:37" s="2" customFormat="1" ht="102" customHeight="1" outlineLevel="2">
      <c r="A65" s="237"/>
      <c r="B65" s="19" t="s">
        <v>3</v>
      </c>
      <c r="C65" s="129"/>
      <c r="D65" s="128"/>
      <c r="E65" s="120">
        <f t="shared" si="36"/>
        <v>0</v>
      </c>
      <c r="F65" s="178">
        <f t="shared" si="49"/>
        <v>0</v>
      </c>
      <c r="G65" s="78"/>
      <c r="H65" s="161"/>
      <c r="I65" s="41">
        <f t="shared" si="37"/>
        <v>0</v>
      </c>
      <c r="J65" s="178">
        <f t="shared" si="19"/>
        <v>0</v>
      </c>
      <c r="K65" s="291"/>
      <c r="L65" s="78"/>
      <c r="M65" s="161"/>
      <c r="N65" s="41">
        <f t="shared" si="38"/>
        <v>0</v>
      </c>
      <c r="O65" s="178">
        <f t="shared" si="3"/>
        <v>0</v>
      </c>
      <c r="P65" s="291"/>
      <c r="Q65" s="78"/>
      <c r="R65" s="161"/>
      <c r="S65" s="41">
        <f t="shared" si="39"/>
        <v>0</v>
      </c>
      <c r="T65" s="178">
        <f t="shared" si="33"/>
        <v>0</v>
      </c>
      <c r="U65" s="291"/>
      <c r="V65" s="78"/>
      <c r="W65" s="161"/>
      <c r="X65" s="41">
        <f t="shared" si="40"/>
        <v>0</v>
      </c>
      <c r="Y65" s="178">
        <f t="shared" si="5"/>
        <v>0</v>
      </c>
      <c r="Z65" s="291"/>
      <c r="AA65" s="39">
        <f t="shared" si="47"/>
        <v>0</v>
      </c>
      <c r="AB65" s="39">
        <f t="shared" si="41"/>
        <v>0</v>
      </c>
      <c r="AC65" s="106">
        <f t="shared" si="42"/>
        <v>0</v>
      </c>
      <c r="AD65" s="178">
        <f t="shared" si="48"/>
        <v>0</v>
      </c>
      <c r="AE65" s="79"/>
      <c r="AF65" s="210">
        <f t="shared" si="43"/>
        <v>0</v>
      </c>
      <c r="AG65" s="210">
        <f t="shared" si="44"/>
        <v>0</v>
      </c>
      <c r="AH65" s="210">
        <f t="shared" si="45"/>
        <v>0</v>
      </c>
      <c r="AI65" s="178">
        <f t="shared" si="35"/>
        <v>0</v>
      </c>
      <c r="AJ65" s="79"/>
    </row>
    <row r="66" spans="1:37" s="2" customFormat="1" ht="13.95" customHeight="1" outlineLevel="2">
      <c r="A66" s="237"/>
      <c r="B66" s="19" t="s">
        <v>5</v>
      </c>
      <c r="C66" s="129"/>
      <c r="D66" s="128"/>
      <c r="E66" s="120">
        <f t="shared" si="36"/>
        <v>0</v>
      </c>
      <c r="F66" s="178">
        <f t="shared" si="49"/>
        <v>0</v>
      </c>
      <c r="G66" s="78"/>
      <c r="H66" s="161">
        <v>10</v>
      </c>
      <c r="I66" s="41">
        <f t="shared" si="37"/>
        <v>10</v>
      </c>
      <c r="J66" s="178">
        <f t="shared" si="19"/>
        <v>2.3434305630744237E-5</v>
      </c>
      <c r="K66" s="291"/>
      <c r="L66" s="78"/>
      <c r="M66" s="161">
        <v>10</v>
      </c>
      <c r="N66" s="41">
        <f t="shared" si="38"/>
        <v>10</v>
      </c>
      <c r="O66" s="178">
        <f t="shared" si="3"/>
        <v>2.3434305630744237E-5</v>
      </c>
      <c r="P66" s="291"/>
      <c r="Q66" s="78"/>
      <c r="R66" s="161">
        <v>137.46</v>
      </c>
      <c r="S66" s="41">
        <f t="shared" si="39"/>
        <v>137.46</v>
      </c>
      <c r="T66" s="178">
        <f>S66/$S$87</f>
        <v>5.933714748265549E-4</v>
      </c>
      <c r="U66" s="291"/>
      <c r="V66" s="78"/>
      <c r="W66" s="161">
        <f>38.54+27247</f>
        <v>27285.54</v>
      </c>
      <c r="X66" s="41">
        <f t="shared" si="40"/>
        <v>27285.54</v>
      </c>
      <c r="Y66" s="178">
        <f t="shared" si="5"/>
        <v>4.4679379924936098E-2</v>
      </c>
      <c r="Z66" s="291"/>
      <c r="AA66" s="39">
        <f t="shared" si="47"/>
        <v>0</v>
      </c>
      <c r="AB66" s="39">
        <f t="shared" si="41"/>
        <v>27443</v>
      </c>
      <c r="AC66" s="106">
        <f t="shared" si="42"/>
        <v>27443</v>
      </c>
      <c r="AD66" s="178">
        <f t="shared" si="48"/>
        <v>2.1553639728622079E-2</v>
      </c>
      <c r="AE66" s="79"/>
      <c r="AF66" s="210">
        <f t="shared" si="43"/>
        <v>0</v>
      </c>
      <c r="AG66" s="210">
        <f t="shared" si="44"/>
        <v>-27443</v>
      </c>
      <c r="AH66" s="210">
        <f t="shared" si="45"/>
        <v>-27443</v>
      </c>
      <c r="AI66" s="178">
        <f t="shared" si="35"/>
        <v>-1.1383936170694026E-2</v>
      </c>
      <c r="AJ66" s="79"/>
    </row>
    <row r="67" spans="1:37" s="2" customFormat="1" ht="13.8" outlineLevel="2">
      <c r="A67" s="237"/>
      <c r="B67" s="19" t="s">
        <v>42</v>
      </c>
      <c r="C67" s="129"/>
      <c r="D67" s="128"/>
      <c r="E67" s="120">
        <f t="shared" si="36"/>
        <v>0</v>
      </c>
      <c r="F67" s="178">
        <f t="shared" si="49"/>
        <v>0</v>
      </c>
      <c r="G67" s="78"/>
      <c r="H67" s="161"/>
      <c r="I67" s="41">
        <f t="shared" si="37"/>
        <v>0</v>
      </c>
      <c r="J67" s="178">
        <f t="shared" si="19"/>
        <v>0</v>
      </c>
      <c r="K67" s="291"/>
      <c r="L67" s="78"/>
      <c r="M67" s="161"/>
      <c r="N67" s="41">
        <f t="shared" si="38"/>
        <v>0</v>
      </c>
      <c r="O67" s="178">
        <f t="shared" si="3"/>
        <v>0</v>
      </c>
      <c r="P67" s="291"/>
      <c r="Q67" s="78"/>
      <c r="R67" s="161"/>
      <c r="S67" s="41">
        <f t="shared" si="39"/>
        <v>0</v>
      </c>
      <c r="T67" s="178">
        <f t="shared" ref="T67:T72" si="50">S67/$N$87</f>
        <v>0</v>
      </c>
      <c r="U67" s="291"/>
      <c r="V67" s="78"/>
      <c r="W67" s="161"/>
      <c r="X67" s="41">
        <f t="shared" si="40"/>
        <v>0</v>
      </c>
      <c r="Y67" s="178">
        <f t="shared" ref="Y67:Y72" si="51">X67/$N$87</f>
        <v>0</v>
      </c>
      <c r="Z67" s="291"/>
      <c r="AA67" s="210">
        <f>L67</f>
        <v>0</v>
      </c>
      <c r="AB67" s="39">
        <f t="shared" si="41"/>
        <v>0</v>
      </c>
      <c r="AC67" s="106">
        <f t="shared" si="42"/>
        <v>0</v>
      </c>
      <c r="AD67" s="178">
        <f t="shared" si="48"/>
        <v>0</v>
      </c>
      <c r="AE67" s="79"/>
      <c r="AF67" s="210">
        <f t="shared" si="43"/>
        <v>0</v>
      </c>
      <c r="AG67" s="210">
        <f t="shared" si="44"/>
        <v>0</v>
      </c>
      <c r="AH67" s="210">
        <f t="shared" si="45"/>
        <v>0</v>
      </c>
      <c r="AI67" s="178">
        <f>AH67/$E$87</f>
        <v>0</v>
      </c>
      <c r="AJ67" s="79"/>
    </row>
    <row r="68" spans="1:37" s="2" customFormat="1" ht="21.6" customHeight="1" outlineLevel="2">
      <c r="A68" s="237"/>
      <c r="B68" s="19" t="s">
        <v>6</v>
      </c>
      <c r="C68" s="129"/>
      <c r="D68" s="128"/>
      <c r="E68" s="120">
        <f t="shared" si="36"/>
        <v>0</v>
      </c>
      <c r="F68" s="178">
        <f t="shared" si="49"/>
        <v>0</v>
      </c>
      <c r="G68" s="78"/>
      <c r="H68" s="161"/>
      <c r="I68" s="41">
        <f t="shared" si="37"/>
        <v>0</v>
      </c>
      <c r="J68" s="178">
        <f t="shared" si="19"/>
        <v>0</v>
      </c>
      <c r="K68" s="291"/>
      <c r="L68" s="78"/>
      <c r="M68" s="161"/>
      <c r="N68" s="41">
        <f t="shared" si="38"/>
        <v>0</v>
      </c>
      <c r="O68" s="178">
        <f t="shared" si="3"/>
        <v>0</v>
      </c>
      <c r="P68" s="291"/>
      <c r="Q68" s="78"/>
      <c r="R68" s="161"/>
      <c r="S68" s="41">
        <f t="shared" si="39"/>
        <v>0</v>
      </c>
      <c r="T68" s="178">
        <f t="shared" si="50"/>
        <v>0</v>
      </c>
      <c r="U68" s="291"/>
      <c r="V68" s="78"/>
      <c r="W68" s="161"/>
      <c r="X68" s="41">
        <f t="shared" si="40"/>
        <v>0</v>
      </c>
      <c r="Y68" s="178">
        <f t="shared" si="51"/>
        <v>0</v>
      </c>
      <c r="Z68" s="291"/>
      <c r="AA68" s="210">
        <f>L68</f>
        <v>0</v>
      </c>
      <c r="AB68" s="39">
        <f t="shared" si="41"/>
        <v>0</v>
      </c>
      <c r="AC68" s="106">
        <f t="shared" si="42"/>
        <v>0</v>
      </c>
      <c r="AD68" s="178">
        <f t="shared" si="48"/>
        <v>0</v>
      </c>
      <c r="AE68" s="79"/>
      <c r="AF68" s="210">
        <f t="shared" si="43"/>
        <v>0</v>
      </c>
      <c r="AG68" s="210">
        <f t="shared" si="44"/>
        <v>0</v>
      </c>
      <c r="AH68" s="210">
        <f t="shared" si="45"/>
        <v>0</v>
      </c>
      <c r="AI68" s="178">
        <f>AH68/$E$87</f>
        <v>0</v>
      </c>
      <c r="AJ68" s="79"/>
    </row>
    <row r="69" spans="1:37" s="2" customFormat="1" ht="13.95" customHeight="1" outlineLevel="2">
      <c r="A69" s="237"/>
      <c r="B69" s="19" t="s">
        <v>78</v>
      </c>
      <c r="C69" s="129"/>
      <c r="D69" s="128"/>
      <c r="E69" s="120">
        <f t="shared" si="36"/>
        <v>0</v>
      </c>
      <c r="F69" s="184">
        <f t="shared" si="49"/>
        <v>0</v>
      </c>
      <c r="G69" s="78"/>
      <c r="H69" s="161"/>
      <c r="I69" s="41">
        <f t="shared" si="37"/>
        <v>0</v>
      </c>
      <c r="J69" s="178">
        <f t="shared" si="19"/>
        <v>0</v>
      </c>
      <c r="K69" s="291"/>
      <c r="L69" s="78"/>
      <c r="M69" s="161"/>
      <c r="N69" s="41">
        <f t="shared" si="38"/>
        <v>0</v>
      </c>
      <c r="O69" s="178">
        <f t="shared" si="3"/>
        <v>0</v>
      </c>
      <c r="P69" s="291"/>
      <c r="Q69" s="78"/>
      <c r="R69" s="161"/>
      <c r="S69" s="41">
        <f t="shared" si="39"/>
        <v>0</v>
      </c>
      <c r="T69" s="178">
        <f t="shared" si="50"/>
        <v>0</v>
      </c>
      <c r="U69" s="291"/>
      <c r="V69" s="78"/>
      <c r="W69" s="161"/>
      <c r="X69" s="41">
        <f t="shared" si="40"/>
        <v>0</v>
      </c>
      <c r="Y69" s="178">
        <f t="shared" si="51"/>
        <v>0</v>
      </c>
      <c r="Z69" s="291"/>
      <c r="AA69" s="210">
        <f>L69</f>
        <v>0</v>
      </c>
      <c r="AB69" s="39">
        <f t="shared" si="41"/>
        <v>0</v>
      </c>
      <c r="AC69" s="106">
        <f t="shared" si="42"/>
        <v>0</v>
      </c>
      <c r="AD69" s="178">
        <f t="shared" si="48"/>
        <v>0</v>
      </c>
      <c r="AE69" s="79"/>
      <c r="AF69" s="210">
        <f t="shared" si="43"/>
        <v>0</v>
      </c>
      <c r="AG69" s="210">
        <f t="shared" si="44"/>
        <v>0</v>
      </c>
      <c r="AH69" s="210">
        <f t="shared" si="45"/>
        <v>0</v>
      </c>
      <c r="AI69" s="178">
        <f>AH69/$E$87</f>
        <v>0</v>
      </c>
      <c r="AJ69" s="79"/>
    </row>
    <row r="70" spans="1:37" s="2" customFormat="1" ht="14.4" outlineLevel="2" thickBot="1">
      <c r="A70" s="237"/>
      <c r="B70" s="19"/>
      <c r="C70" s="130"/>
      <c r="D70" s="131"/>
      <c r="E70" s="159"/>
      <c r="F70" s="184">
        <f>E70/$E$87</f>
        <v>0</v>
      </c>
      <c r="G70" s="160"/>
      <c r="H70" s="162"/>
      <c r="I70" s="62"/>
      <c r="J70" s="205">
        <f t="shared" si="19"/>
        <v>0</v>
      </c>
      <c r="K70" s="276"/>
      <c r="L70" s="160"/>
      <c r="M70" s="162"/>
      <c r="N70" s="62"/>
      <c r="O70" s="205">
        <f t="shared" si="3"/>
        <v>0</v>
      </c>
      <c r="P70" s="276"/>
      <c r="Q70" s="160"/>
      <c r="R70" s="162"/>
      <c r="S70" s="62"/>
      <c r="T70" s="205">
        <f t="shared" si="50"/>
        <v>0</v>
      </c>
      <c r="U70" s="276"/>
      <c r="V70" s="160"/>
      <c r="W70" s="162"/>
      <c r="X70" s="62"/>
      <c r="Y70" s="205">
        <f t="shared" si="51"/>
        <v>0</v>
      </c>
      <c r="Z70" s="276"/>
      <c r="AA70" s="210">
        <f>L70</f>
        <v>0</v>
      </c>
      <c r="AB70" s="39">
        <f t="shared" si="41"/>
        <v>0</v>
      </c>
      <c r="AC70" s="106"/>
      <c r="AD70" s="178">
        <f t="shared" si="48"/>
        <v>0</v>
      </c>
      <c r="AE70" s="79"/>
      <c r="AF70" s="210">
        <f t="shared" si="43"/>
        <v>0</v>
      </c>
      <c r="AG70" s="210">
        <f t="shared" si="44"/>
        <v>0</v>
      </c>
      <c r="AH70" s="210"/>
      <c r="AI70" s="178">
        <f>AH70/$E$87</f>
        <v>0</v>
      </c>
      <c r="AJ70" s="79"/>
    </row>
    <row r="71" spans="1:37" s="2" customFormat="1" ht="14.4" outlineLevel="1" thickBot="1">
      <c r="A71" s="237"/>
      <c r="B71" s="13" t="s">
        <v>4</v>
      </c>
      <c r="C71" s="132">
        <f>C72</f>
        <v>0</v>
      </c>
      <c r="D71" s="133">
        <f>D72</f>
        <v>0</v>
      </c>
      <c r="E71" s="132">
        <f>E72</f>
        <v>0</v>
      </c>
      <c r="F71" s="171">
        <f>E71/$E$87</f>
        <v>0</v>
      </c>
      <c r="G71" s="99">
        <f>G72</f>
        <v>0</v>
      </c>
      <c r="H71" s="63">
        <f>H72</f>
        <v>0</v>
      </c>
      <c r="I71" s="63">
        <f>I72</f>
        <v>0</v>
      </c>
      <c r="J71" s="194">
        <f t="shared" si="19"/>
        <v>0</v>
      </c>
      <c r="K71" s="277"/>
      <c r="L71" s="99">
        <f>L72</f>
        <v>0</v>
      </c>
      <c r="M71" s="63">
        <f>M72</f>
        <v>0</v>
      </c>
      <c r="N71" s="63">
        <f>N72</f>
        <v>0</v>
      </c>
      <c r="O71" s="194">
        <f t="shared" si="3"/>
        <v>0</v>
      </c>
      <c r="P71" s="277"/>
      <c r="Q71" s="99">
        <f>Q72</f>
        <v>0</v>
      </c>
      <c r="R71" s="63">
        <f>R72</f>
        <v>0</v>
      </c>
      <c r="S71" s="63">
        <f>S72</f>
        <v>0</v>
      </c>
      <c r="T71" s="194">
        <f t="shared" si="50"/>
        <v>0</v>
      </c>
      <c r="U71" s="277"/>
      <c r="V71" s="99">
        <f>V72</f>
        <v>0</v>
      </c>
      <c r="W71" s="63">
        <f>W72</f>
        <v>0</v>
      </c>
      <c r="X71" s="63">
        <f>X72</f>
        <v>0</v>
      </c>
      <c r="Y71" s="194">
        <f t="shared" si="51"/>
        <v>0</v>
      </c>
      <c r="Z71" s="277"/>
      <c r="AA71" s="139">
        <f>AA72</f>
        <v>0</v>
      </c>
      <c r="AB71" s="63">
        <f>AB72</f>
        <v>0</v>
      </c>
      <c r="AC71" s="60">
        <f>AC72</f>
        <v>0</v>
      </c>
      <c r="AD71" s="63"/>
      <c r="AE71" s="63"/>
      <c r="AF71" s="132">
        <f t="shared" si="43"/>
        <v>0</v>
      </c>
      <c r="AG71" s="133">
        <f t="shared" si="44"/>
        <v>0</v>
      </c>
      <c r="AH71" s="132">
        <f>AH72</f>
        <v>0</v>
      </c>
      <c r="AI71" s="171">
        <f>AH71/$E$87</f>
        <v>0</v>
      </c>
      <c r="AJ71" s="63"/>
    </row>
    <row r="72" spans="1:37" s="2" customFormat="1" ht="14.4" outlineLevel="1" thickBot="1">
      <c r="A72" s="20"/>
      <c r="B72" s="225" t="s">
        <v>64</v>
      </c>
      <c r="C72" s="134"/>
      <c r="D72" s="135"/>
      <c r="E72" s="136">
        <f>C72+D72</f>
        <v>0</v>
      </c>
      <c r="F72" s="185"/>
      <c r="G72" s="100"/>
      <c r="H72" s="64"/>
      <c r="I72" s="64">
        <f>G72+H72*1</f>
        <v>0</v>
      </c>
      <c r="J72" s="206">
        <f t="shared" si="19"/>
        <v>0</v>
      </c>
      <c r="K72" s="278"/>
      <c r="L72" s="100"/>
      <c r="M72" s="64"/>
      <c r="N72" s="64">
        <f>L72+M72*1</f>
        <v>0</v>
      </c>
      <c r="O72" s="206">
        <f t="shared" si="3"/>
        <v>0</v>
      </c>
      <c r="P72" s="278"/>
      <c r="Q72" s="100"/>
      <c r="R72" s="64"/>
      <c r="S72" s="64">
        <f>Q72+R72*1</f>
        <v>0</v>
      </c>
      <c r="T72" s="206">
        <f t="shared" si="50"/>
        <v>0</v>
      </c>
      <c r="U72" s="278"/>
      <c r="V72" s="100"/>
      <c r="W72" s="64"/>
      <c r="X72" s="64">
        <f>V72+W72*1</f>
        <v>0</v>
      </c>
      <c r="Y72" s="206">
        <f t="shared" si="51"/>
        <v>0</v>
      </c>
      <c r="Z72" s="278"/>
      <c r="AA72" s="100">
        <f>L72</f>
        <v>0</v>
      </c>
      <c r="AB72" s="39">
        <f>M72+R72+W72+H72</f>
        <v>0</v>
      </c>
      <c r="AC72" s="64">
        <f>AA72+AB72*1</f>
        <v>0</v>
      </c>
      <c r="AD72" s="64"/>
      <c r="AE72" s="64"/>
      <c r="AF72" s="210">
        <f t="shared" si="43"/>
        <v>0</v>
      </c>
      <c r="AG72" s="210">
        <f t="shared" si="44"/>
        <v>0</v>
      </c>
      <c r="AH72" s="210">
        <f>AF72+AG72*1</f>
        <v>0</v>
      </c>
      <c r="AI72" s="64"/>
      <c r="AJ72" s="64"/>
    </row>
    <row r="73" spans="1:37" s="2" customFormat="1" ht="14.4" thickBot="1">
      <c r="A73" s="5"/>
      <c r="B73" s="23" t="s">
        <v>48</v>
      </c>
      <c r="C73" s="137">
        <f>C36-C39-C48-C52</f>
        <v>-1002081</v>
      </c>
      <c r="D73" s="137">
        <f>D36-D39-D48-D52</f>
        <v>2609108.9699999997</v>
      </c>
      <c r="E73" s="138">
        <f>E36-E39-E48-E52</f>
        <v>1607027.9699999997</v>
      </c>
      <c r="F73" s="172"/>
      <c r="G73" s="65">
        <f>G36-G39-G48-G52</f>
        <v>-910</v>
      </c>
      <c r="H73" s="65">
        <f>H36-H39-H48-H52</f>
        <v>-3515</v>
      </c>
      <c r="I73" s="66">
        <f>I36-I39-I48-I52</f>
        <v>-4425</v>
      </c>
      <c r="J73" s="195"/>
      <c r="K73" s="279"/>
      <c r="L73" s="65">
        <f>L36-L39-L48-L52</f>
        <v>-184743.95600000001</v>
      </c>
      <c r="M73" s="65">
        <f>M36-M39-M48-M52</f>
        <v>1698848.55</v>
      </c>
      <c r="N73" s="66">
        <f>N36-N39-N48-N52</f>
        <v>1514104.594</v>
      </c>
      <c r="O73" s="195"/>
      <c r="P73" s="279"/>
      <c r="Q73" s="65">
        <f>Q36-Q39-Q48-Q52</f>
        <v>-153656.47</v>
      </c>
      <c r="R73" s="65">
        <f>R36-R39-R48-R52</f>
        <v>-68642.459999999992</v>
      </c>
      <c r="S73" s="66">
        <f>S36-S39-S48-S52</f>
        <v>-222298.93</v>
      </c>
      <c r="T73" s="195"/>
      <c r="U73" s="279"/>
      <c r="V73" s="65">
        <f>V36-V39-V48-V52</f>
        <v>-220329.38800000004</v>
      </c>
      <c r="W73" s="65">
        <f>W36-W39-W48-W52</f>
        <v>2426986.2399999998</v>
      </c>
      <c r="X73" s="66">
        <f>X36-X39-X48-X52</f>
        <v>2206656.852</v>
      </c>
      <c r="Y73" s="195"/>
      <c r="Z73" s="279"/>
      <c r="AA73" s="65">
        <f>AA36-AA39-AA48-AA52</f>
        <v>-559639.81400000001</v>
      </c>
      <c r="AB73" s="65">
        <f>AB36-AB39-AB48-AB52</f>
        <v>4053677.3299999996</v>
      </c>
      <c r="AC73" s="66">
        <f>AC36-AC39-AC48-AC52</f>
        <v>3494037.5159999994</v>
      </c>
      <c r="AD73" s="66"/>
      <c r="AE73" s="66"/>
      <c r="AF73" s="65">
        <f>AF36-AF39-AF48-AF52</f>
        <v>-442441.18599999993</v>
      </c>
      <c r="AG73" s="65">
        <f>AG36-AG39-AG48-AG52</f>
        <v>-1444568.3599999996</v>
      </c>
      <c r="AH73" s="66">
        <f>AH36-AH39-AH48-AH52</f>
        <v>-1887009.5459999999</v>
      </c>
      <c r="AI73" s="66"/>
      <c r="AJ73" s="66"/>
    </row>
    <row r="74" spans="1:37" s="2" customFormat="1" ht="13.8">
      <c r="A74" s="230"/>
      <c r="B74" s="36" t="s">
        <v>49</v>
      </c>
      <c r="C74" s="157" t="e">
        <f>C73/C5</f>
        <v>#DIV/0!</v>
      </c>
      <c r="D74" s="157">
        <f>D73/D5</f>
        <v>0.5250638564383473</v>
      </c>
      <c r="E74" s="158">
        <f>E73/E5</f>
        <v>0.32340247687412177</v>
      </c>
      <c r="F74" s="167"/>
      <c r="G74" s="54" t="e">
        <f>G73/G5</f>
        <v>#DIV/0!</v>
      </c>
      <c r="H74" s="54" t="e">
        <f>H73/H5</f>
        <v>#DIV/0!</v>
      </c>
      <c r="I74" s="55" t="e">
        <f>I73/I5</f>
        <v>#DIV/0!</v>
      </c>
      <c r="J74" s="196"/>
      <c r="K74" s="280"/>
      <c r="L74" s="54" t="e">
        <f>L73/L5</f>
        <v>#DIV/0!</v>
      </c>
      <c r="M74" s="54">
        <f>M73/M5</f>
        <v>0.88891987391805305</v>
      </c>
      <c r="N74" s="55">
        <f>N73/N5</f>
        <v>0.79225288493033996</v>
      </c>
      <c r="O74" s="196"/>
      <c r="P74" s="280"/>
      <c r="Q74" s="54" t="e">
        <f>Q73/Q5</f>
        <v>#DIV/0!</v>
      </c>
      <c r="R74" s="54" t="e">
        <f>R73/R5</f>
        <v>#DIV/0!</v>
      </c>
      <c r="S74" s="55" t="e">
        <f>S73/S5</f>
        <v>#DIV/0!</v>
      </c>
      <c r="T74" s="196"/>
      <c r="U74" s="280"/>
      <c r="V74" s="54" t="e">
        <f>V73/V5</f>
        <v>#DIV/0!</v>
      </c>
      <c r="W74" s="54">
        <f>W73/W5</f>
        <v>0.87600725885314479</v>
      </c>
      <c r="X74" s="55">
        <f>X73/X5</f>
        <v>0.79648058497028396</v>
      </c>
      <c r="Y74" s="196"/>
      <c r="Z74" s="280"/>
      <c r="AA74" s="54" t="e">
        <f>AA73/AA5</f>
        <v>#DIV/0!</v>
      </c>
      <c r="AB74" s="54">
        <f>AB73/AB5</f>
        <v>0.86586559976812272</v>
      </c>
      <c r="AC74" s="55">
        <f>AC73/AC5</f>
        <v>0.7463265186436685</v>
      </c>
      <c r="AD74" s="55"/>
      <c r="AE74" s="55"/>
      <c r="AF74" s="54" t="e">
        <f>AF73/AF5</f>
        <v>#DIV/0!</v>
      </c>
      <c r="AG74" s="54">
        <f>AG73/AG5</f>
        <v>-5.0249405792805657</v>
      </c>
      <c r="AH74" s="55">
        <f>AH73/AH5</f>
        <v>-6.5639751663847878</v>
      </c>
      <c r="AI74" s="55"/>
      <c r="AJ74" s="55"/>
    </row>
    <row r="75" spans="1:37" s="2" customFormat="1" ht="14.4" outlineLevel="1" thickBot="1">
      <c r="A75" s="230"/>
      <c r="B75" s="27" t="s">
        <v>9</v>
      </c>
      <c r="C75" s="139">
        <f>C76-C77</f>
        <v>0</v>
      </c>
      <c r="D75" s="139">
        <f>D76-D77</f>
        <v>0</v>
      </c>
      <c r="E75" s="140">
        <f>E76-E77</f>
        <v>0</v>
      </c>
      <c r="F75" s="173"/>
      <c r="G75" s="67">
        <f>G76-G77</f>
        <v>0</v>
      </c>
      <c r="H75" s="67">
        <f>H76-H77</f>
        <v>0</v>
      </c>
      <c r="I75" s="67">
        <f>I76-I77</f>
        <v>-479.31818181818181</v>
      </c>
      <c r="J75" s="197">
        <f t="shared" ref="J75:J83" si="52">I75/$N$87</f>
        <v>-1.1232488767099909E-3</v>
      </c>
      <c r="K75" s="281"/>
      <c r="L75" s="67">
        <f>L76-L77</f>
        <v>0</v>
      </c>
      <c r="M75" s="67">
        <f>M76-M77</f>
        <v>0</v>
      </c>
      <c r="N75" s="67">
        <f>N76-N77</f>
        <v>-29691.42031107569</v>
      </c>
      <c r="O75" s="197">
        <f t="shared" ref="O75:O83" si="53">N75/$N$87</f>
        <v>-6.9579781818063485E-2</v>
      </c>
      <c r="P75" s="281"/>
      <c r="Q75" s="67">
        <f>Q76-Q77</f>
        <v>0</v>
      </c>
      <c r="R75" s="67">
        <f>R76-R77</f>
        <v>0</v>
      </c>
      <c r="S75" s="67">
        <f>S76-S77</f>
        <v>-9360.3354545454531</v>
      </c>
      <c r="T75" s="197">
        <f t="shared" ref="T75:T83" si="54">S75/$N$87</f>
        <v>-2.1935296184810944E-2</v>
      </c>
      <c r="U75" s="281"/>
      <c r="V75" s="67">
        <f>V76-V77</f>
        <v>0</v>
      </c>
      <c r="W75" s="67">
        <f>W76-W77</f>
        <v>0</v>
      </c>
      <c r="X75" s="67">
        <f>X76-X77</f>
        <v>-46844.050909090904</v>
      </c>
      <c r="Y75" s="197">
        <f t="shared" ref="Y75:Y83" si="55">X75/$N$87</f>
        <v>-0.10977578059857787</v>
      </c>
      <c r="Z75" s="281"/>
      <c r="AA75" s="139">
        <f>AA76-AA77</f>
        <v>0</v>
      </c>
      <c r="AB75" s="139">
        <f>AB76-AB77</f>
        <v>0</v>
      </c>
      <c r="AC75" s="140">
        <f>AC76-AC77</f>
        <v>-85632.2659090909</v>
      </c>
      <c r="AD75" s="67"/>
      <c r="AE75" s="67"/>
      <c r="AF75" s="139">
        <f>AF76-AF77</f>
        <v>0</v>
      </c>
      <c r="AG75" s="139">
        <f>AG76-AG77</f>
        <v>0</v>
      </c>
      <c r="AH75" s="140">
        <f>AH76-AH77</f>
        <v>-236188.37045454545</v>
      </c>
      <c r="AI75" s="173"/>
      <c r="AJ75" s="67"/>
    </row>
    <row r="76" spans="1:37" s="2" customFormat="1" ht="13.8" outlineLevel="2">
      <c r="A76" s="11"/>
      <c r="B76" s="6" t="s">
        <v>43</v>
      </c>
      <c r="C76" s="141"/>
      <c r="D76" s="142"/>
      <c r="E76" s="119">
        <f>C76+D76*1.15</f>
        <v>0</v>
      </c>
      <c r="F76" s="186"/>
      <c r="G76" s="71"/>
      <c r="H76" s="71"/>
      <c r="I76" s="71">
        <f>G76+H76*1</f>
        <v>0</v>
      </c>
      <c r="J76" s="177">
        <f t="shared" si="52"/>
        <v>0</v>
      </c>
      <c r="K76" s="265"/>
      <c r="L76" s="71"/>
      <c r="M76" s="71"/>
      <c r="N76" s="71">
        <f>L76+M76*1</f>
        <v>0</v>
      </c>
      <c r="O76" s="177">
        <f t="shared" si="53"/>
        <v>0</v>
      </c>
      <c r="P76" s="265"/>
      <c r="Q76" s="71"/>
      <c r="R76" s="71"/>
      <c r="S76" s="71">
        <f>Q76+R76*1</f>
        <v>0</v>
      </c>
      <c r="T76" s="177">
        <f t="shared" si="54"/>
        <v>0</v>
      </c>
      <c r="U76" s="265"/>
      <c r="V76" s="71"/>
      <c r="W76" s="71"/>
      <c r="X76" s="71">
        <f>V76+W76*1</f>
        <v>0</v>
      </c>
      <c r="Y76" s="177">
        <f t="shared" si="55"/>
        <v>0</v>
      </c>
      <c r="Z76" s="265"/>
      <c r="AA76" s="68"/>
      <c r="AB76" s="68"/>
      <c r="AC76" s="68">
        <f>AA76+AB76*1</f>
        <v>0</v>
      </c>
      <c r="AD76" s="68"/>
      <c r="AE76" s="68"/>
      <c r="AF76" s="68"/>
      <c r="AG76" s="68"/>
      <c r="AH76" s="68">
        <f>AF76+AG76*1</f>
        <v>0</v>
      </c>
      <c r="AI76" s="68"/>
      <c r="AJ76" s="68"/>
    </row>
    <row r="77" spans="1:37" s="2" customFormat="1" ht="13.8" outlineLevel="2">
      <c r="A77" s="11"/>
      <c r="B77" s="24" t="s">
        <v>79</v>
      </c>
      <c r="C77" s="113"/>
      <c r="D77" s="119"/>
      <c r="E77" s="119">
        <f>C77+D77*1.15</f>
        <v>0</v>
      </c>
      <c r="F77" s="180">
        <f>E77/$E$87</f>
        <v>0</v>
      </c>
      <c r="G77" s="45"/>
      <c r="H77" s="45"/>
      <c r="I77" s="45">
        <f>(H8+H39+H48+H52)/0.88*0.12</f>
        <v>479.31818181818181</v>
      </c>
      <c r="J77" s="178">
        <f t="shared" si="52"/>
        <v>1.1232488767099909E-3</v>
      </c>
      <c r="K77" s="265"/>
      <c r="L77" s="45"/>
      <c r="M77" s="45"/>
      <c r="N77" s="45">
        <f>(M8+M39+M48+M52)/(1-'расчет 2020'!E4)*'расчет 2020'!E4</f>
        <v>29691.42031107569</v>
      </c>
      <c r="O77" s="178">
        <f t="shared" si="53"/>
        <v>6.9579781818063485E-2</v>
      </c>
      <c r="P77" s="265"/>
      <c r="Q77" s="45"/>
      <c r="R77" s="45"/>
      <c r="S77" s="45">
        <f>(R8+R39+R48+R52)/0.88*0.12</f>
        <v>9360.3354545454531</v>
      </c>
      <c r="T77" s="178">
        <f t="shared" si="54"/>
        <v>2.1935296184810944E-2</v>
      </c>
      <c r="U77" s="265"/>
      <c r="V77" s="45"/>
      <c r="W77" s="45"/>
      <c r="X77" s="45">
        <f>(W8+W39+W48+W52)/0.88*0.12</f>
        <v>46844.050909090904</v>
      </c>
      <c r="Y77" s="178">
        <f t="shared" si="55"/>
        <v>0.10977578059857787</v>
      </c>
      <c r="Z77" s="265"/>
      <c r="AA77" s="39">
        <f>L77</f>
        <v>0</v>
      </c>
      <c r="AB77" s="39">
        <f>M77</f>
        <v>0</v>
      </c>
      <c r="AC77" s="106">
        <f>(AB8+AB39+AB48+AB52)/0.88*0.12</f>
        <v>85632.2659090909</v>
      </c>
      <c r="AD77" s="45"/>
      <c r="AE77" s="45"/>
      <c r="AF77" s="210">
        <f>C77-AA77</f>
        <v>0</v>
      </c>
      <c r="AG77" s="210">
        <f>D77-AB77</f>
        <v>0</v>
      </c>
      <c r="AH77" s="210">
        <f>(AG8+AG39+AG48+AG52)/0.88*0.12</f>
        <v>236188.37045454545</v>
      </c>
      <c r="AI77" s="178">
        <f>AH77/$E$87</f>
        <v>7.0250272360970173E-2</v>
      </c>
      <c r="AJ77" s="45"/>
    </row>
    <row r="78" spans="1:37" ht="13.8" outlineLevel="2">
      <c r="A78" s="3"/>
      <c r="B78" s="25"/>
      <c r="C78" s="143"/>
      <c r="D78" s="144"/>
      <c r="E78" s="145"/>
      <c r="F78" s="187"/>
      <c r="G78" s="69"/>
      <c r="H78" s="69"/>
      <c r="I78" s="69"/>
      <c r="J78" s="207">
        <f t="shared" si="52"/>
        <v>0</v>
      </c>
      <c r="K78" s="282"/>
      <c r="L78" s="69"/>
      <c r="M78" s="69"/>
      <c r="N78" s="69"/>
      <c r="O78" s="207">
        <f t="shared" si="53"/>
        <v>0</v>
      </c>
      <c r="P78" s="282"/>
      <c r="Q78" s="69"/>
      <c r="R78" s="69"/>
      <c r="S78" s="69"/>
      <c r="T78" s="207">
        <f t="shared" si="54"/>
        <v>0</v>
      </c>
      <c r="U78" s="282"/>
      <c r="V78" s="69"/>
      <c r="W78" s="69"/>
      <c r="X78" s="69"/>
      <c r="Y78" s="207">
        <f t="shared" si="55"/>
        <v>0</v>
      </c>
      <c r="Z78" s="282"/>
      <c r="AA78" s="69"/>
      <c r="AB78" s="69"/>
      <c r="AC78" s="69"/>
      <c r="AD78" s="69"/>
      <c r="AE78" s="69"/>
      <c r="AF78" s="69"/>
      <c r="AG78" s="69"/>
      <c r="AH78" s="69"/>
      <c r="AI78" s="69"/>
      <c r="AJ78" s="69"/>
      <c r="AK78" s="2"/>
    </row>
    <row r="79" spans="1:37" s="2" customFormat="1" ht="14.4" outlineLevel="1" thickBot="1">
      <c r="A79" s="26"/>
      <c r="B79" s="27" t="s">
        <v>12</v>
      </c>
      <c r="C79" s="139">
        <f>(C73+C76)-C77</f>
        <v>-1002081</v>
      </c>
      <c r="D79" s="139">
        <f>(D73+D76)-D77</f>
        <v>2609108.9699999997</v>
      </c>
      <c r="E79" s="140">
        <f>(E73+E76)-E77</f>
        <v>1607027.9699999997</v>
      </c>
      <c r="F79" s="173"/>
      <c r="G79" s="139">
        <f>(G73+G76)-G77</f>
        <v>-910</v>
      </c>
      <c r="H79" s="139">
        <f>(H73+H76)-H77</f>
        <v>-3515</v>
      </c>
      <c r="I79" s="140">
        <f>(I73+I76)-I77</f>
        <v>-4904.318181818182</v>
      </c>
      <c r="J79" s="198">
        <f t="shared" si="52"/>
        <v>-1.1492929118314317E-2</v>
      </c>
      <c r="K79" s="283"/>
      <c r="L79" s="139">
        <f>(L73+L76)-L77</f>
        <v>-184743.95600000001</v>
      </c>
      <c r="M79" s="139">
        <f>(M73+M76)-M77</f>
        <v>1698848.55</v>
      </c>
      <c r="N79" s="140">
        <f>(N73+N76)-N77</f>
        <v>1484413.1736889244</v>
      </c>
      <c r="O79" s="198">
        <f t="shared" si="53"/>
        <v>3.4786191994529285</v>
      </c>
      <c r="P79" s="283"/>
      <c r="Q79" s="139">
        <f>(Q73+Q76)-Q77</f>
        <v>-153656.47</v>
      </c>
      <c r="R79" s="139">
        <f>(R73+R76)-R77</f>
        <v>-68642.459999999992</v>
      </c>
      <c r="S79" s="140">
        <f>(S73+S76)-S77</f>
        <v>-231659.26545454544</v>
      </c>
      <c r="T79" s="198">
        <f t="shared" si="54"/>
        <v>-0.54287740288555286</v>
      </c>
      <c r="U79" s="283"/>
      <c r="V79" s="139">
        <f>(V73+V76)-V77</f>
        <v>-220329.38800000004</v>
      </c>
      <c r="W79" s="139">
        <f>(W73+W76)-W77</f>
        <v>2426986.2399999998</v>
      </c>
      <c r="X79" s="140">
        <f>(X73+X76)-X77</f>
        <v>2159812.8010909092</v>
      </c>
      <c r="Y79" s="198">
        <f t="shared" si="55"/>
        <v>5.0613713285958175</v>
      </c>
      <c r="Z79" s="283"/>
      <c r="AA79" s="139">
        <f>(AA73+AA76)-AA77</f>
        <v>-559639.81400000001</v>
      </c>
      <c r="AB79" s="139">
        <f>(AB73+AB76)-AB77</f>
        <v>4053677.3299999996</v>
      </c>
      <c r="AC79" s="140">
        <f>(AC73+AC76)-AC77</f>
        <v>3408405.2500909083</v>
      </c>
      <c r="AD79" s="67"/>
      <c r="AE79" s="67"/>
      <c r="AF79" s="139">
        <f>(AF73+AF76)-AF77</f>
        <v>-442441.18599999993</v>
      </c>
      <c r="AG79" s="139">
        <f>(AG73+AG76)-AG77</f>
        <v>-1444568.3599999996</v>
      </c>
      <c r="AH79" s="140">
        <f>(AH73+AH76)-AH77</f>
        <v>-2123197.9164545452</v>
      </c>
      <c r="AI79" s="67"/>
      <c r="AJ79" s="67"/>
    </row>
    <row r="80" spans="1:37" s="2" customFormat="1" ht="13.8" outlineLevel="2">
      <c r="A80" s="229"/>
      <c r="B80" s="6" t="s">
        <v>38</v>
      </c>
      <c r="C80" s="141"/>
      <c r="D80" s="142"/>
      <c r="E80" s="146">
        <f>C80+D80</f>
        <v>0</v>
      </c>
      <c r="F80" s="180">
        <f>E80/$E$87</f>
        <v>0</v>
      </c>
      <c r="G80" s="141"/>
      <c r="H80" s="142"/>
      <c r="I80" s="146">
        <f>G80+H80</f>
        <v>0</v>
      </c>
      <c r="J80" s="178">
        <f t="shared" si="52"/>
        <v>0</v>
      </c>
      <c r="K80" s="284"/>
      <c r="L80" s="141"/>
      <c r="M80" s="142"/>
      <c r="N80" s="146">
        <f>L80+M80</f>
        <v>0</v>
      </c>
      <c r="O80" s="178">
        <f t="shared" si="53"/>
        <v>0</v>
      </c>
      <c r="P80" s="284"/>
      <c r="Q80" s="141"/>
      <c r="R80" s="142"/>
      <c r="S80" s="146">
        <f>Q80+R80</f>
        <v>0</v>
      </c>
      <c r="T80" s="178">
        <f t="shared" si="54"/>
        <v>0</v>
      </c>
      <c r="U80" s="284"/>
      <c r="V80" s="141"/>
      <c r="W80" s="142"/>
      <c r="X80" s="146">
        <f>V80+W80</f>
        <v>0</v>
      </c>
      <c r="Y80" s="178">
        <f t="shared" si="55"/>
        <v>0</v>
      </c>
      <c r="Z80" s="284"/>
      <c r="AA80" s="141"/>
      <c r="AB80" s="142"/>
      <c r="AC80" s="146">
        <f>AA80+AB80</f>
        <v>0</v>
      </c>
      <c r="AD80" s="101"/>
      <c r="AE80" s="101"/>
      <c r="AF80" s="141"/>
      <c r="AG80" s="142"/>
      <c r="AH80" s="146">
        <f>AF80+AG80</f>
        <v>0</v>
      </c>
      <c r="AI80" s="178">
        <f>AH80/$E$87</f>
        <v>0</v>
      </c>
      <c r="AJ80" s="101"/>
    </row>
    <row r="81" spans="1:36" s="2" customFormat="1" ht="13.8" outlineLevel="1">
      <c r="A81" s="11"/>
      <c r="B81" s="28" t="s">
        <v>13</v>
      </c>
      <c r="C81" s="147">
        <f>(C79+C7)-C34</f>
        <v>-1002081</v>
      </c>
      <c r="D81" s="147">
        <f>(D79+D7)-D34</f>
        <v>2609108.9699999997</v>
      </c>
      <c r="E81" s="147">
        <f>(E79+E7)-E34</f>
        <v>1607027.9699999997</v>
      </c>
      <c r="F81" s="174"/>
      <c r="G81" s="147">
        <f>(G79+G7)-G34</f>
        <v>-910</v>
      </c>
      <c r="H81" s="147">
        <f>(H79+H7)-H34</f>
        <v>-3515</v>
      </c>
      <c r="I81" s="148">
        <f>(I79+I7)-I34</f>
        <v>-4904.318181818182</v>
      </c>
      <c r="J81" s="199">
        <f t="shared" si="52"/>
        <v>-1.1492929118314317E-2</v>
      </c>
      <c r="K81" s="285"/>
      <c r="L81" s="147">
        <f>(L79+L7)-L34</f>
        <v>-184743.95600000001</v>
      </c>
      <c r="M81" s="147">
        <f>(M79+M7)-M34</f>
        <v>1698848.55</v>
      </c>
      <c r="N81" s="148">
        <f>(N79+N7)-N34</f>
        <v>1484413.1736889244</v>
      </c>
      <c r="O81" s="199">
        <f t="shared" si="53"/>
        <v>3.4786191994529285</v>
      </c>
      <c r="P81" s="285"/>
      <c r="Q81" s="147">
        <f>(Q79+Q7)-Q34</f>
        <v>-153656.47</v>
      </c>
      <c r="R81" s="147">
        <f>(R79+R7)-R34</f>
        <v>-68642.459999999992</v>
      </c>
      <c r="S81" s="148">
        <f>(S79+S7)-S34</f>
        <v>-231659.26545454544</v>
      </c>
      <c r="T81" s="199">
        <f t="shared" si="54"/>
        <v>-0.54287740288555286</v>
      </c>
      <c r="U81" s="285"/>
      <c r="V81" s="147">
        <f>(V79+V7)-V34</f>
        <v>-220329.38800000004</v>
      </c>
      <c r="W81" s="147">
        <f>(W79+W7)-W34</f>
        <v>2426986.2399999998</v>
      </c>
      <c r="X81" s="148">
        <f>(X79+X7)-X34</f>
        <v>2159812.8010909092</v>
      </c>
      <c r="Y81" s="199">
        <f t="shared" si="55"/>
        <v>5.0613713285958175</v>
      </c>
      <c r="Z81" s="285"/>
      <c r="AA81" s="147">
        <f>(AA79+AA7)-AA34</f>
        <v>-559639.81400000001</v>
      </c>
      <c r="AB81" s="147">
        <f>(AB79+AB7)-AB34</f>
        <v>4053677.3299999996</v>
      </c>
      <c r="AC81" s="148">
        <f>(AC79+AC7)-AC34</f>
        <v>3408405.2500909083</v>
      </c>
      <c r="AD81" s="70"/>
      <c r="AE81" s="70"/>
      <c r="AF81" s="147">
        <f>(AF79+AF7)-AF34</f>
        <v>-442441.18599999993</v>
      </c>
      <c r="AG81" s="147">
        <f>(AG79+AG7)-AG34</f>
        <v>-1444568.3599999996</v>
      </c>
      <c r="AH81" s="148">
        <f>(AH79+AH7)-AH34</f>
        <v>-2123197.9164545452</v>
      </c>
      <c r="AI81" s="70"/>
      <c r="AJ81" s="70"/>
    </row>
    <row r="82" spans="1:36" s="2" customFormat="1" ht="14.4" outlineLevel="1" thickBot="1">
      <c r="A82" s="11"/>
      <c r="B82" s="211" t="s">
        <v>14</v>
      </c>
      <c r="C82" s="212">
        <f>C81-C71-C80</f>
        <v>-1002081</v>
      </c>
      <c r="D82" s="212">
        <f>D81-D71-D80</f>
        <v>2609108.9699999997</v>
      </c>
      <c r="E82" s="212">
        <f>E81-E71-E80</f>
        <v>1607027.9699999997</v>
      </c>
      <c r="F82" s="214"/>
      <c r="G82" s="212">
        <f>G81-G71-G80</f>
        <v>-910</v>
      </c>
      <c r="H82" s="212">
        <f>H81-H71-H80</f>
        <v>-3515</v>
      </c>
      <c r="I82" s="213">
        <f>I81-I71-I80</f>
        <v>-4904.318181818182</v>
      </c>
      <c r="J82" s="215">
        <f t="shared" si="52"/>
        <v>-1.1492929118314317E-2</v>
      </c>
      <c r="K82" s="286"/>
      <c r="L82" s="212">
        <f>L81-L71-L80</f>
        <v>-184743.95600000001</v>
      </c>
      <c r="M82" s="212">
        <f>M81-M71-M80</f>
        <v>1698848.55</v>
      </c>
      <c r="N82" s="213">
        <f>N81-N71-N80</f>
        <v>1484413.1736889244</v>
      </c>
      <c r="O82" s="215">
        <f t="shared" si="53"/>
        <v>3.4786191994529285</v>
      </c>
      <c r="P82" s="286"/>
      <c r="Q82" s="212">
        <f>Q81-Q71-Q80</f>
        <v>-153656.47</v>
      </c>
      <c r="R82" s="212">
        <f>R81-R71-R80</f>
        <v>-68642.459999999992</v>
      </c>
      <c r="S82" s="213">
        <f>S81-S71-S80</f>
        <v>-231659.26545454544</v>
      </c>
      <c r="T82" s="215">
        <f t="shared" si="54"/>
        <v>-0.54287740288555286</v>
      </c>
      <c r="U82" s="286"/>
      <c r="V82" s="212">
        <f>V81-V71-V80</f>
        <v>-220329.38800000004</v>
      </c>
      <c r="W82" s="212">
        <f>W81-W71-W80</f>
        <v>2426986.2399999998</v>
      </c>
      <c r="X82" s="213">
        <f>X81-X71-X80</f>
        <v>2159812.8010909092</v>
      </c>
      <c r="Y82" s="215">
        <f t="shared" si="55"/>
        <v>5.0613713285958175</v>
      </c>
      <c r="Z82" s="286"/>
      <c r="AA82" s="212">
        <f>AA81-AA71-AA80</f>
        <v>-559639.81400000001</v>
      </c>
      <c r="AB82" s="212">
        <f>AB81-AB71-AB80</f>
        <v>4053677.3299999996</v>
      </c>
      <c r="AC82" s="213">
        <f>AC81-AC71-AC80</f>
        <v>3408405.2500909083</v>
      </c>
      <c r="AD82" s="82"/>
      <c r="AE82" s="82"/>
      <c r="AF82" s="212">
        <f>AF81-AF71-AF80</f>
        <v>-442441.18599999993</v>
      </c>
      <c r="AG82" s="212">
        <f>AG81-AG71-AG80</f>
        <v>-1444568.3599999996</v>
      </c>
      <c r="AH82" s="213">
        <f>AH81-AH71-AH80</f>
        <v>-2123197.9164545452</v>
      </c>
      <c r="AI82" s="82"/>
      <c r="AJ82" s="82"/>
    </row>
    <row r="83" spans="1:36" s="2" customFormat="1" ht="13.8" outlineLevel="3">
      <c r="A83" s="229"/>
      <c r="B83" s="216" t="s">
        <v>44</v>
      </c>
      <c r="C83" s="141"/>
      <c r="D83" s="142"/>
      <c r="E83" s="146">
        <f>C83+D83</f>
        <v>0</v>
      </c>
      <c r="F83" s="217">
        <f>E83/$E$87</f>
        <v>0</v>
      </c>
      <c r="G83" s="102"/>
      <c r="H83" s="102"/>
      <c r="I83" s="146">
        <f>G83+H83</f>
        <v>0</v>
      </c>
      <c r="J83" s="218">
        <f t="shared" si="52"/>
        <v>0</v>
      </c>
      <c r="K83" s="287"/>
      <c r="L83" s="102"/>
      <c r="M83" s="102"/>
      <c r="N83" s="146">
        <f>L83+M83</f>
        <v>0</v>
      </c>
      <c r="O83" s="218">
        <f t="shared" si="53"/>
        <v>0</v>
      </c>
      <c r="P83" s="287"/>
      <c r="Q83" s="102"/>
      <c r="R83" s="102"/>
      <c r="S83" s="146">
        <f>Q83+R83</f>
        <v>0</v>
      </c>
      <c r="T83" s="218">
        <f t="shared" si="54"/>
        <v>0</v>
      </c>
      <c r="U83" s="287"/>
      <c r="V83" s="102"/>
      <c r="W83" s="102"/>
      <c r="X83" s="146">
        <f>V83+W83</f>
        <v>0</v>
      </c>
      <c r="Y83" s="218">
        <f t="shared" si="55"/>
        <v>0</v>
      </c>
      <c r="Z83" s="287"/>
      <c r="AA83" s="102">
        <f>L83</f>
        <v>0</v>
      </c>
      <c r="AB83" s="102">
        <f>M83</f>
        <v>0</v>
      </c>
      <c r="AC83" s="219">
        <f>AA83+AB83*1.15</f>
        <v>0</v>
      </c>
      <c r="AD83" s="102"/>
      <c r="AE83" s="102"/>
      <c r="AF83" s="220">
        <f>C83-AA83</f>
        <v>0</v>
      </c>
      <c r="AG83" s="220">
        <f>D83-AB83</f>
        <v>0</v>
      </c>
      <c r="AH83" s="220">
        <f>AF83+AG83*1.15</f>
        <v>0</v>
      </c>
      <c r="AI83" s="218">
        <f>AH83/$E$87</f>
        <v>0</v>
      </c>
      <c r="AJ83" s="102"/>
    </row>
    <row r="84" spans="1:36" s="2" customFormat="1" ht="27.6">
      <c r="A84" s="11"/>
      <c r="B84" s="37" t="s">
        <v>50</v>
      </c>
      <c r="C84" s="149">
        <f>C82-C83</f>
        <v>-1002081</v>
      </c>
      <c r="D84" s="149">
        <f>D82-D83</f>
        <v>2609108.9699999997</v>
      </c>
      <c r="E84" s="150">
        <f>E82-E83</f>
        <v>1607027.9699999997</v>
      </c>
      <c r="F84" s="175"/>
      <c r="G84" s="72">
        <f>G82-G83</f>
        <v>-910</v>
      </c>
      <c r="H84" s="72">
        <f>H82-H83</f>
        <v>-3515</v>
      </c>
      <c r="I84" s="73">
        <f>I82-I83</f>
        <v>-4904.318181818182</v>
      </c>
      <c r="J84" s="200"/>
      <c r="K84" s="288"/>
      <c r="L84" s="72">
        <f>L82-L83</f>
        <v>-184743.95600000001</v>
      </c>
      <c r="M84" s="72">
        <f>M82-M83</f>
        <v>1698848.55</v>
      </c>
      <c r="N84" s="73">
        <f>N82-N83</f>
        <v>1484413.1736889244</v>
      </c>
      <c r="O84" s="200"/>
      <c r="P84" s="288"/>
      <c r="Q84" s="72">
        <f>Q82-Q83</f>
        <v>-153656.47</v>
      </c>
      <c r="R84" s="72">
        <f>R82-R83</f>
        <v>-68642.459999999992</v>
      </c>
      <c r="S84" s="73">
        <f>S82-S83</f>
        <v>-231659.26545454544</v>
      </c>
      <c r="T84" s="200"/>
      <c r="U84" s="288"/>
      <c r="V84" s="72">
        <f>V82-V83</f>
        <v>-220329.38800000004</v>
      </c>
      <c r="W84" s="72">
        <f>W82-W83</f>
        <v>2426986.2399999998</v>
      </c>
      <c r="X84" s="73">
        <f>X82-X83</f>
        <v>2159812.8010909092</v>
      </c>
      <c r="Y84" s="200"/>
      <c r="Z84" s="288"/>
      <c r="AA84" s="149">
        <f>AA82-AA83</f>
        <v>-559639.81400000001</v>
      </c>
      <c r="AB84" s="149">
        <f>AB82-AB83</f>
        <v>4053677.3299999996</v>
      </c>
      <c r="AC84" s="150">
        <f>AC82-AC83</f>
        <v>3408405.2500909083</v>
      </c>
      <c r="AD84" s="73"/>
      <c r="AE84" s="73"/>
      <c r="AF84" s="72">
        <f>AF82-AF83</f>
        <v>-442441.18599999993</v>
      </c>
      <c r="AG84" s="72">
        <f>AG82-AG83</f>
        <v>-1444568.3599999996</v>
      </c>
      <c r="AH84" s="73">
        <f>AH82-AH83</f>
        <v>-2123197.9164545452</v>
      </c>
      <c r="AI84" s="73"/>
      <c r="AJ84" s="73"/>
    </row>
    <row r="85" spans="1:36" s="2" customFormat="1" ht="14.4" thickBot="1">
      <c r="A85" s="231"/>
      <c r="B85" s="29" t="s">
        <v>51</v>
      </c>
      <c r="C85" s="155" t="e">
        <f>C84/C5</f>
        <v>#DIV/0!</v>
      </c>
      <c r="D85" s="155">
        <f>D84/D5</f>
        <v>0.5250638564383473</v>
      </c>
      <c r="E85" s="156">
        <f>E84/E5</f>
        <v>0.32340247687412177</v>
      </c>
      <c r="F85" s="176"/>
      <c r="G85" s="74" t="e">
        <f>G84/G5</f>
        <v>#DIV/0!</v>
      </c>
      <c r="H85" s="74" t="e">
        <f>H84/H5</f>
        <v>#DIV/0!</v>
      </c>
      <c r="I85" s="75" t="e">
        <f>I84/I5</f>
        <v>#DIV/0!</v>
      </c>
      <c r="J85" s="201"/>
      <c r="K85" s="289"/>
      <c r="L85" s="74" t="e">
        <f>L84/L5</f>
        <v>#DIV/0!</v>
      </c>
      <c r="M85" s="74">
        <f>M84/M5</f>
        <v>0.88891987391805305</v>
      </c>
      <c r="N85" s="75">
        <f>N84/N5</f>
        <v>0.77671689521579523</v>
      </c>
      <c r="O85" s="201"/>
      <c r="P85" s="289"/>
      <c r="Q85" s="74" t="e">
        <f>Q84/Q5</f>
        <v>#DIV/0!</v>
      </c>
      <c r="R85" s="74" t="e">
        <f>R84/R5</f>
        <v>#DIV/0!</v>
      </c>
      <c r="S85" s="75" t="e">
        <f>S84/S5</f>
        <v>#DIV/0!</v>
      </c>
      <c r="T85" s="201"/>
      <c r="U85" s="289"/>
      <c r="V85" s="74" t="e">
        <f>V84/V5</f>
        <v>#DIV/0!</v>
      </c>
      <c r="W85" s="74">
        <f>W84/W5</f>
        <v>0.87600725885314479</v>
      </c>
      <c r="X85" s="75">
        <f>X84/X5</f>
        <v>0.77957248390480371</v>
      </c>
      <c r="Y85" s="201"/>
      <c r="Z85" s="289"/>
      <c r="AA85" s="155" t="e">
        <f>AA84/AA5</f>
        <v>#DIV/0!</v>
      </c>
      <c r="AB85" s="155">
        <f>AB84/AB5</f>
        <v>0.86586559976812272</v>
      </c>
      <c r="AC85" s="156">
        <f>AC84/AC5</f>
        <v>0.72803546406659425</v>
      </c>
      <c r="AD85" s="75"/>
      <c r="AE85" s="75"/>
      <c r="AF85" s="74" t="e">
        <f>AF84/AF5</f>
        <v>#DIV/0!</v>
      </c>
      <c r="AG85" s="74">
        <f>AG84/AG5</f>
        <v>-5.0249405792805657</v>
      </c>
      <c r="AH85" s="75">
        <f>AH84/AH5</f>
        <v>-7.3855579726503189</v>
      </c>
      <c r="AI85" s="75"/>
      <c r="AJ85" s="75"/>
    </row>
    <row r="86" spans="1:36" ht="13.8">
      <c r="A86" s="30"/>
      <c r="B86" s="30"/>
      <c r="C86" s="152"/>
      <c r="D86" s="152"/>
      <c r="E86" s="152"/>
      <c r="F86" s="188"/>
      <c r="G86" s="76"/>
      <c r="H86" s="76"/>
      <c r="I86" s="76"/>
      <c r="J86" s="208"/>
      <c r="K86" s="208"/>
      <c r="L86" s="76"/>
      <c r="M86" s="76"/>
      <c r="N86" s="76"/>
      <c r="O86" s="208"/>
      <c r="P86" s="208"/>
      <c r="Q86" s="76"/>
      <c r="R86" s="76"/>
      <c r="S86" s="76"/>
      <c r="T86" s="208"/>
      <c r="U86" s="208"/>
      <c r="V86" s="76"/>
      <c r="W86" s="76"/>
      <c r="X86" s="76"/>
      <c r="Y86" s="208"/>
      <c r="Z86" s="208"/>
      <c r="AA86" s="76"/>
      <c r="AB86" s="76"/>
      <c r="AC86" s="76"/>
      <c r="AD86" s="76"/>
      <c r="AE86" s="76"/>
      <c r="AF86" s="76"/>
      <c r="AG86" s="76"/>
      <c r="AH86" s="76"/>
      <c r="AI86" s="76"/>
      <c r="AJ86" s="76"/>
    </row>
    <row r="87" spans="1:36">
      <c r="B87" s="221" t="s">
        <v>56</v>
      </c>
      <c r="C87" s="153"/>
      <c r="D87" s="153"/>
      <c r="E87" s="154">
        <f>E8+E34+E39+E48+E52+E71+E77+E80+E83</f>
        <v>3362099</v>
      </c>
      <c r="F87" s="189"/>
      <c r="I87" s="154">
        <f>I8+I34+I39+I48+I52+I71+I77+I80+I83</f>
        <v>4904.318181818182</v>
      </c>
      <c r="N87" s="154">
        <f>N8+N34+N39+N48+N52+N71+N77+N80+N83</f>
        <v>426724.82631107577</v>
      </c>
      <c r="S87" s="154">
        <f>S8+S34+S39+S48+S52+S71+S77+S80+S83</f>
        <v>231659.26545454544</v>
      </c>
      <c r="X87" s="154">
        <f>X8+X34+X39+X48+X52+X71+X77+X80+X83</f>
        <v>610696.47890909098</v>
      </c>
      <c r="AC87" s="154">
        <f>AC8+AC34+AC39+AC48+AC52+AC71+AC77+AC80+AC83</f>
        <v>1273242.0299090908</v>
      </c>
      <c r="AH87" s="154">
        <f>AH8+AH34+AH39+AH48+AH52+AH71+AH77+AH80+AH83</f>
        <v>2410677.6064545456</v>
      </c>
    </row>
    <row r="88" spans="1:36">
      <c r="C88" s="153"/>
      <c r="D88" s="153"/>
      <c r="E88" s="153"/>
    </row>
    <row r="89" spans="1:36" s="2" customFormat="1">
      <c r="A89" s="8"/>
      <c r="B89" s="8"/>
      <c r="C89" s="153"/>
      <c r="D89" s="153"/>
      <c r="E89" s="153"/>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row>
    <row r="90" spans="1:36">
      <c r="C90" s="38"/>
      <c r="D90" s="38"/>
    </row>
    <row r="91" spans="1:36" s="2" customFormat="1">
      <c r="A91" s="8"/>
      <c r="B91" s="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row>
    <row r="92" spans="1:36" s="2" customFormat="1">
      <c r="A92" s="8"/>
      <c r="B92" s="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row>
    <row r="93" spans="1:36"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row>
    <row r="94" spans="1:36"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row>
    <row r="95" spans="1:36">
      <c r="C95" s="38"/>
      <c r="D95" s="38"/>
    </row>
    <row r="96" spans="1:36"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row>
    <row r="97" spans="3:4">
      <c r="C97" s="38"/>
      <c r="D97" s="38"/>
    </row>
  </sheetData>
  <mergeCells count="9">
    <mergeCell ref="A40:A46"/>
    <mergeCell ref="A2:F2"/>
    <mergeCell ref="L2:O3"/>
    <mergeCell ref="AA2:AE3"/>
    <mergeCell ref="AF2:AJ3"/>
    <mergeCell ref="A3:F3"/>
    <mergeCell ref="Q2:T3"/>
    <mergeCell ref="V2:Y3"/>
    <mergeCell ref="G2:J3"/>
  </mergeCells>
  <pageMargins left="0.39370078740157483" right="0.19685039370078741" top="0.19685039370078741" bottom="0.19685039370078741" header="0.11811023622047245" footer="0.11811023622047245"/>
  <pageSetup paperSize="9" scale="43" orientation="portrait" horizontalDpi="4294967295" verticalDpi="4294967295"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7:L46"/>
  <sheetViews>
    <sheetView view="pageBreakPreview" zoomScale="60" zoomScaleNormal="100" workbookViewId="0">
      <selection activeCell="E26" sqref="E26"/>
    </sheetView>
  </sheetViews>
  <sheetFormatPr defaultRowHeight="14.4"/>
  <cols>
    <col min="1" max="1" width="32.6640625" customWidth="1"/>
    <col min="2" max="2" width="36.6640625" customWidth="1"/>
    <col min="3" max="3" width="32.6640625" customWidth="1"/>
  </cols>
  <sheetData>
    <row r="7" spans="1:12" ht="15" thickBot="1">
      <c r="A7" s="227"/>
      <c r="B7" s="227"/>
      <c r="C7" s="227"/>
      <c r="D7" s="227"/>
      <c r="E7" s="227"/>
      <c r="F7" s="227"/>
      <c r="G7" s="227"/>
      <c r="H7" s="227"/>
      <c r="I7" s="227"/>
      <c r="J7" s="227"/>
      <c r="K7" s="227"/>
    </row>
    <row r="8" spans="1:12" ht="15" thickBot="1">
      <c r="A8" s="371" t="s">
        <v>403</v>
      </c>
      <c r="B8" s="371" t="s">
        <v>404</v>
      </c>
      <c r="C8" s="371" t="s">
        <v>405</v>
      </c>
      <c r="D8" s="4861" t="s">
        <v>406</v>
      </c>
      <c r="E8" s="227"/>
      <c r="F8" s="227"/>
      <c r="G8" s="227"/>
      <c r="H8" s="227"/>
      <c r="I8" s="227"/>
      <c r="J8" s="227"/>
      <c r="K8" s="227"/>
      <c r="L8" s="227"/>
    </row>
    <row r="9" spans="1:12" ht="15" thickBot="1">
      <c r="A9" s="371" t="s">
        <v>407</v>
      </c>
      <c r="B9" s="4863" t="s">
        <v>408</v>
      </c>
      <c r="C9" s="4864"/>
      <c r="D9" s="4862"/>
      <c r="E9" s="227"/>
      <c r="F9" s="227"/>
      <c r="G9" s="227"/>
      <c r="H9" s="227"/>
      <c r="I9" s="227"/>
      <c r="J9" s="227"/>
      <c r="K9" s="227"/>
      <c r="L9" s="227"/>
    </row>
    <row r="10" spans="1:12" ht="27" thickBot="1">
      <c r="A10" s="372" t="s">
        <v>409</v>
      </c>
      <c r="B10" s="372" t="s">
        <v>410</v>
      </c>
      <c r="C10" s="372" t="s">
        <v>411</v>
      </c>
      <c r="D10" s="373">
        <v>9.08</v>
      </c>
      <c r="E10" s="227"/>
      <c r="F10" s="227"/>
      <c r="G10" s="227"/>
      <c r="H10" s="227"/>
      <c r="I10" s="227"/>
      <c r="J10" s="227"/>
      <c r="K10" s="227"/>
      <c r="L10" s="227"/>
    </row>
    <row r="11" spans="1:12" ht="15" thickBot="1">
      <c r="A11" s="374" t="s">
        <v>412</v>
      </c>
      <c r="B11" s="4859"/>
      <c r="C11" s="4860"/>
      <c r="D11" s="349">
        <v>9.08</v>
      </c>
      <c r="E11" s="227"/>
      <c r="F11" s="227"/>
      <c r="G11" s="227"/>
      <c r="H11" s="227"/>
      <c r="I11" s="227"/>
      <c r="J11" s="227"/>
      <c r="K11" s="227"/>
      <c r="L11" s="227"/>
    </row>
    <row r="12" spans="1:12" ht="27" thickBot="1">
      <c r="A12" s="372" t="s">
        <v>409</v>
      </c>
      <c r="B12" s="372" t="s">
        <v>413</v>
      </c>
      <c r="C12" s="372" t="s">
        <v>414</v>
      </c>
      <c r="D12" s="373">
        <v>7.5350000000000001</v>
      </c>
      <c r="E12" s="227"/>
      <c r="F12" s="227"/>
      <c r="G12" s="227"/>
      <c r="H12" s="227"/>
      <c r="I12" s="227"/>
      <c r="J12" s="227"/>
      <c r="K12" s="227"/>
      <c r="L12" s="227"/>
    </row>
    <row r="13" spans="1:12" ht="15" thickBot="1">
      <c r="A13" s="374" t="s">
        <v>415</v>
      </c>
      <c r="B13" s="4859"/>
      <c r="C13" s="4860"/>
      <c r="D13" s="349">
        <v>7.5350000000000001</v>
      </c>
      <c r="E13" s="227"/>
      <c r="F13" s="227"/>
      <c r="G13" s="227"/>
      <c r="H13" s="227"/>
      <c r="I13" s="227"/>
      <c r="J13" s="227"/>
      <c r="K13" s="227"/>
      <c r="L13" s="227"/>
    </row>
    <row r="14" spans="1:12" ht="27" thickBot="1">
      <c r="A14" s="372" t="s">
        <v>409</v>
      </c>
      <c r="B14" s="372" t="s">
        <v>416</v>
      </c>
      <c r="C14" s="372" t="s">
        <v>417</v>
      </c>
      <c r="D14" s="373">
        <v>0.71599999999999997</v>
      </c>
      <c r="E14" s="227"/>
      <c r="F14" s="227"/>
      <c r="G14" s="227"/>
      <c r="H14" s="227"/>
      <c r="I14" s="227"/>
      <c r="J14" s="227"/>
      <c r="K14" s="227"/>
      <c r="L14" s="227"/>
    </row>
    <row r="15" spans="1:12" ht="15" thickBot="1">
      <c r="A15" s="374" t="s">
        <v>418</v>
      </c>
      <c r="B15" s="4859"/>
      <c r="C15" s="4860"/>
      <c r="D15" s="349">
        <v>0.71599999999999997</v>
      </c>
      <c r="E15" s="227"/>
      <c r="F15" s="227"/>
      <c r="G15" s="227"/>
      <c r="H15" s="227"/>
      <c r="I15" s="227"/>
      <c r="J15" s="227"/>
      <c r="K15" s="227"/>
      <c r="L15" s="227"/>
    </row>
    <row r="16" spans="1:12" ht="27" thickBot="1">
      <c r="A16" s="372" t="s">
        <v>409</v>
      </c>
      <c r="B16" s="372" t="s">
        <v>419</v>
      </c>
      <c r="C16" s="372" t="s">
        <v>420</v>
      </c>
      <c r="D16" s="373">
        <v>19.254999999999999</v>
      </c>
      <c r="E16" s="227"/>
      <c r="F16" s="227"/>
      <c r="G16" s="227"/>
      <c r="H16" s="227"/>
      <c r="I16" s="227"/>
      <c r="J16" s="227"/>
      <c r="K16" s="227"/>
      <c r="L16" s="227"/>
    </row>
    <row r="17" spans="1:12" ht="15" thickBot="1">
      <c r="A17" s="374" t="s">
        <v>421</v>
      </c>
      <c r="B17" s="4859"/>
      <c r="C17" s="4860"/>
      <c r="D17" s="349">
        <v>19.254999999999999</v>
      </c>
      <c r="E17" s="227"/>
      <c r="F17" s="227"/>
      <c r="G17" s="227"/>
      <c r="H17" s="227"/>
      <c r="I17" s="227"/>
      <c r="J17" s="227"/>
      <c r="K17" s="227"/>
      <c r="L17" s="227"/>
    </row>
    <row r="18" spans="1:12" ht="27" thickBot="1">
      <c r="A18" s="372" t="s">
        <v>409</v>
      </c>
      <c r="B18" s="372" t="s">
        <v>422</v>
      </c>
      <c r="C18" s="372" t="s">
        <v>423</v>
      </c>
      <c r="D18" s="373">
        <v>20</v>
      </c>
      <c r="E18" s="227"/>
      <c r="F18" s="227"/>
      <c r="G18" s="227"/>
      <c r="H18" s="227"/>
      <c r="I18" s="227"/>
      <c r="J18" s="227"/>
      <c r="K18" s="227"/>
      <c r="L18" s="227"/>
    </row>
    <row r="19" spans="1:12" ht="15" thickBot="1">
      <c r="A19" s="374" t="s">
        <v>424</v>
      </c>
      <c r="B19" s="4859"/>
      <c r="C19" s="4860"/>
      <c r="D19" s="349">
        <v>20</v>
      </c>
      <c r="E19" s="227"/>
      <c r="F19" s="227"/>
      <c r="G19" s="227"/>
      <c r="H19" s="227"/>
      <c r="I19" s="227"/>
      <c r="J19" s="227"/>
      <c r="K19" s="227"/>
      <c r="L19" s="227"/>
    </row>
    <row r="20" spans="1:12" ht="27" thickBot="1">
      <c r="A20" s="372" t="s">
        <v>409</v>
      </c>
      <c r="B20" s="372" t="s">
        <v>425</v>
      </c>
      <c r="C20" s="372" t="s">
        <v>426</v>
      </c>
      <c r="D20" s="373">
        <v>20.704999999999998</v>
      </c>
      <c r="E20" s="227"/>
      <c r="F20" s="227"/>
      <c r="G20" s="227"/>
      <c r="H20" s="227"/>
      <c r="I20" s="227"/>
      <c r="J20" s="227"/>
      <c r="K20" s="227"/>
      <c r="L20" s="227"/>
    </row>
    <row r="21" spans="1:12" ht="15" thickBot="1">
      <c r="A21" s="374" t="s">
        <v>427</v>
      </c>
      <c r="B21" s="4859"/>
      <c r="C21" s="4860"/>
      <c r="D21" s="349">
        <v>20.704999999999998</v>
      </c>
      <c r="E21" s="227"/>
      <c r="F21" s="227"/>
      <c r="G21" s="227"/>
      <c r="H21" s="227"/>
      <c r="I21" s="227"/>
      <c r="J21" s="227"/>
      <c r="K21" s="227"/>
      <c r="L21" s="227"/>
    </row>
    <row r="22" spans="1:12" ht="27" thickBot="1">
      <c r="A22" s="372" t="s">
        <v>409</v>
      </c>
      <c r="B22" s="372" t="s">
        <v>428</v>
      </c>
      <c r="C22" s="372" t="s">
        <v>429</v>
      </c>
      <c r="D22" s="373">
        <v>18</v>
      </c>
      <c r="E22" s="227"/>
      <c r="F22" s="227"/>
      <c r="G22" s="227"/>
      <c r="H22" s="227"/>
      <c r="I22" s="227"/>
      <c r="J22" s="227"/>
      <c r="K22" s="227"/>
      <c r="L22" s="227"/>
    </row>
    <row r="23" spans="1:12" ht="15" thickBot="1">
      <c r="A23" s="374" t="s">
        <v>430</v>
      </c>
      <c r="B23" s="4859"/>
      <c r="C23" s="4860"/>
      <c r="D23" s="349">
        <v>18</v>
      </c>
      <c r="E23" s="227"/>
      <c r="F23" s="227"/>
      <c r="G23" s="227"/>
      <c r="H23" s="227"/>
      <c r="I23" s="227"/>
      <c r="J23" s="227"/>
      <c r="K23" s="227"/>
      <c r="L23" s="227"/>
    </row>
    <row r="24" spans="1:12" ht="27" thickBot="1">
      <c r="A24" s="372" t="s">
        <v>409</v>
      </c>
      <c r="B24" s="372" t="s">
        <v>431</v>
      </c>
      <c r="C24" s="372" t="s">
        <v>432</v>
      </c>
      <c r="D24" s="373">
        <v>15.72</v>
      </c>
      <c r="E24" s="227"/>
      <c r="F24" s="227"/>
      <c r="G24" s="227"/>
      <c r="H24" s="227"/>
      <c r="I24" s="227"/>
      <c r="J24" s="227"/>
      <c r="K24" s="227"/>
      <c r="L24" s="227"/>
    </row>
    <row r="25" spans="1:12" ht="15" thickBot="1">
      <c r="A25" s="374" t="s">
        <v>433</v>
      </c>
      <c r="B25" s="4859"/>
      <c r="C25" s="4860"/>
      <c r="D25" s="349">
        <v>15.72</v>
      </c>
      <c r="E25" s="227"/>
      <c r="F25" s="227"/>
      <c r="G25" s="227"/>
      <c r="H25" s="227"/>
      <c r="I25" s="227"/>
      <c r="J25" s="227"/>
      <c r="K25" s="227"/>
      <c r="L25" s="227"/>
    </row>
    <row r="26" spans="1:12" ht="27" thickBot="1">
      <c r="A26" s="372" t="s">
        <v>409</v>
      </c>
      <c r="B26" s="372" t="s">
        <v>434</v>
      </c>
      <c r="C26" s="372" t="s">
        <v>435</v>
      </c>
      <c r="D26" s="373">
        <v>18.7</v>
      </c>
      <c r="E26" s="227"/>
      <c r="F26" s="227"/>
      <c r="G26" s="227"/>
      <c r="H26" s="227"/>
      <c r="I26" s="227"/>
      <c r="J26" s="227"/>
      <c r="K26" s="227"/>
      <c r="L26" s="227"/>
    </row>
    <row r="27" spans="1:12" ht="15" thickBot="1">
      <c r="A27" s="374" t="s">
        <v>436</v>
      </c>
      <c r="B27" s="4859"/>
      <c r="C27" s="4860"/>
      <c r="D27" s="349">
        <v>18.7</v>
      </c>
      <c r="E27" s="227"/>
      <c r="F27" s="227"/>
      <c r="G27" s="227"/>
      <c r="H27" s="227"/>
      <c r="I27" s="227"/>
      <c r="J27" s="227"/>
      <c r="K27" s="227"/>
      <c r="L27" s="227"/>
    </row>
    <row r="28" spans="1:12" ht="27" thickBot="1">
      <c r="A28" s="372" t="s">
        <v>409</v>
      </c>
      <c r="B28" s="372" t="s">
        <v>437</v>
      </c>
      <c r="C28" s="372" t="s">
        <v>438</v>
      </c>
      <c r="D28" s="373">
        <v>14.62</v>
      </c>
      <c r="E28" s="227"/>
      <c r="F28" s="227"/>
      <c r="G28" s="227"/>
      <c r="H28" s="227"/>
      <c r="I28" s="227"/>
      <c r="J28" s="227"/>
      <c r="K28" s="227"/>
      <c r="L28" s="227"/>
    </row>
    <row r="29" spans="1:12" ht="15" thickBot="1">
      <c r="A29" s="374" t="s">
        <v>439</v>
      </c>
      <c r="B29" s="4859"/>
      <c r="C29" s="4860"/>
      <c r="D29" s="349">
        <v>14.62</v>
      </c>
      <c r="E29" s="227"/>
      <c r="F29" s="227"/>
      <c r="G29" s="227"/>
      <c r="H29" s="227"/>
      <c r="I29" s="227"/>
      <c r="J29" s="227"/>
      <c r="K29" s="227"/>
      <c r="L29" s="227"/>
    </row>
    <row r="30" spans="1:12" ht="27" thickBot="1">
      <c r="A30" s="372" t="s">
        <v>409</v>
      </c>
      <c r="B30" s="372" t="s">
        <v>440</v>
      </c>
      <c r="C30" s="372" t="s">
        <v>441</v>
      </c>
      <c r="D30" s="373">
        <v>21.975000000000001</v>
      </c>
      <c r="E30" s="227"/>
      <c r="F30" s="227"/>
      <c r="G30" s="227"/>
      <c r="H30" s="227"/>
      <c r="I30" s="227"/>
      <c r="J30" s="227"/>
      <c r="K30" s="227"/>
      <c r="L30" s="227"/>
    </row>
    <row r="31" spans="1:12" ht="15" thickBot="1">
      <c r="A31" s="374" t="s">
        <v>442</v>
      </c>
      <c r="B31" s="4859"/>
      <c r="C31" s="4860"/>
      <c r="D31" s="349">
        <v>21.975000000000001</v>
      </c>
      <c r="E31" s="227"/>
      <c r="F31" s="227"/>
      <c r="G31" s="227"/>
      <c r="H31" s="227"/>
      <c r="I31" s="227"/>
      <c r="J31" s="227"/>
      <c r="K31" s="227"/>
      <c r="L31" s="227"/>
    </row>
    <row r="32" spans="1:12" ht="27" thickBot="1">
      <c r="A32" s="372" t="s">
        <v>409</v>
      </c>
      <c r="B32" s="372" t="s">
        <v>443</v>
      </c>
      <c r="C32" s="372" t="s">
        <v>444</v>
      </c>
      <c r="D32" s="373">
        <v>18</v>
      </c>
      <c r="E32" s="227"/>
      <c r="F32" s="227"/>
      <c r="G32" s="227"/>
      <c r="H32" s="227"/>
      <c r="I32" s="227"/>
      <c r="J32" s="227"/>
      <c r="K32" s="227"/>
      <c r="L32" s="227"/>
    </row>
    <row r="33" spans="1:12" ht="15" thickBot="1">
      <c r="A33" s="374" t="s">
        <v>445</v>
      </c>
      <c r="B33" s="4859"/>
      <c r="C33" s="4860"/>
      <c r="D33" s="349">
        <v>18</v>
      </c>
      <c r="E33" s="227"/>
      <c r="F33" s="227"/>
      <c r="G33" s="227"/>
      <c r="H33" s="227"/>
      <c r="I33" s="227"/>
      <c r="J33" s="227"/>
      <c r="K33" s="227"/>
      <c r="L33" s="227"/>
    </row>
    <row r="34" spans="1:12" ht="27" thickBot="1">
      <c r="A34" s="372" t="s">
        <v>409</v>
      </c>
      <c r="B34" s="372" t="s">
        <v>446</v>
      </c>
      <c r="C34" s="372" t="s">
        <v>447</v>
      </c>
      <c r="D34" s="373">
        <v>7.35</v>
      </c>
      <c r="E34" s="227"/>
      <c r="F34" s="227"/>
      <c r="G34" s="227"/>
      <c r="H34" s="227"/>
      <c r="I34" s="227"/>
      <c r="J34" s="227"/>
      <c r="K34" s="227"/>
      <c r="L34" s="227"/>
    </row>
    <row r="35" spans="1:12" ht="15" thickBot="1">
      <c r="A35" s="374" t="s">
        <v>448</v>
      </c>
      <c r="B35" s="4859"/>
      <c r="C35" s="4860"/>
      <c r="D35" s="349">
        <v>7.35</v>
      </c>
      <c r="E35" s="227"/>
      <c r="F35" s="227"/>
      <c r="G35" s="227"/>
      <c r="H35" s="227"/>
      <c r="I35" s="227"/>
      <c r="J35" s="227"/>
      <c r="K35" s="227"/>
      <c r="L35" s="227"/>
    </row>
    <row r="36" spans="1:12" ht="27" thickBot="1">
      <c r="A36" s="372" t="s">
        <v>409</v>
      </c>
      <c r="B36" s="372" t="s">
        <v>449</v>
      </c>
      <c r="C36" s="372" t="s">
        <v>450</v>
      </c>
      <c r="D36" s="373">
        <v>15.79</v>
      </c>
      <c r="E36" s="227"/>
      <c r="F36" s="227"/>
      <c r="G36" s="227"/>
      <c r="H36" s="227"/>
      <c r="I36" s="227"/>
      <c r="J36" s="227"/>
      <c r="K36" s="227"/>
      <c r="L36" s="227"/>
    </row>
    <row r="37" spans="1:12" ht="15" thickBot="1">
      <c r="A37" s="374" t="s">
        <v>451</v>
      </c>
      <c r="B37" s="4859"/>
      <c r="C37" s="4860"/>
      <c r="D37" s="349">
        <v>15.79</v>
      </c>
      <c r="E37" s="227"/>
      <c r="F37" s="227"/>
      <c r="G37" s="227"/>
      <c r="H37" s="227"/>
      <c r="I37" s="227"/>
      <c r="J37" s="227"/>
      <c r="K37" s="227"/>
      <c r="L37" s="227"/>
    </row>
    <row r="38" spans="1:12" ht="27" thickBot="1">
      <c r="A38" s="372" t="s">
        <v>409</v>
      </c>
      <c r="B38" s="372" t="s">
        <v>452</v>
      </c>
      <c r="C38" s="372" t="s">
        <v>453</v>
      </c>
      <c r="D38" s="373">
        <v>18.059999999999999</v>
      </c>
      <c r="E38" s="227"/>
      <c r="F38" s="227"/>
      <c r="G38" s="227"/>
      <c r="H38" s="227"/>
      <c r="I38" s="227"/>
      <c r="J38" s="227"/>
      <c r="K38" s="227"/>
      <c r="L38" s="227"/>
    </row>
    <row r="39" spans="1:12" ht="15" thickBot="1">
      <c r="A39" s="374" t="s">
        <v>454</v>
      </c>
      <c r="B39" s="4859"/>
      <c r="C39" s="4860"/>
      <c r="D39" s="349">
        <v>18.059999999999999</v>
      </c>
      <c r="E39" s="227"/>
      <c r="F39" s="227"/>
      <c r="G39" s="227"/>
      <c r="H39" s="227"/>
      <c r="I39" s="227"/>
      <c r="J39" s="227"/>
      <c r="K39" s="227"/>
      <c r="L39" s="227"/>
    </row>
    <row r="40" spans="1:12" ht="27" thickBot="1">
      <c r="A40" s="372" t="s">
        <v>409</v>
      </c>
      <c r="B40" s="372" t="s">
        <v>455</v>
      </c>
      <c r="C40" s="372" t="s">
        <v>456</v>
      </c>
      <c r="D40" s="373">
        <v>15.92</v>
      </c>
      <c r="E40" s="227"/>
      <c r="F40" s="227"/>
      <c r="G40" s="227"/>
      <c r="H40" s="227"/>
      <c r="I40" s="227"/>
      <c r="J40" s="227"/>
      <c r="K40" s="227"/>
      <c r="L40" s="227"/>
    </row>
    <row r="41" spans="1:12" ht="15" thickBot="1">
      <c r="A41" s="374" t="s">
        <v>457</v>
      </c>
      <c r="B41" s="4859"/>
      <c r="C41" s="4860"/>
      <c r="D41" s="349">
        <v>15.92</v>
      </c>
      <c r="E41" s="227"/>
      <c r="F41" s="227"/>
      <c r="G41" s="227"/>
      <c r="H41" s="227"/>
      <c r="I41" s="227"/>
      <c r="J41" s="227"/>
      <c r="K41" s="227"/>
      <c r="L41" s="227"/>
    </row>
    <row r="42" spans="1:12" ht="27" thickBot="1">
      <c r="A42" s="372" t="s">
        <v>409</v>
      </c>
      <c r="B42" s="372" t="s">
        <v>458</v>
      </c>
      <c r="C42" s="372" t="s">
        <v>459</v>
      </c>
      <c r="D42" s="373">
        <v>0.7</v>
      </c>
      <c r="E42" s="227"/>
      <c r="F42" s="227"/>
      <c r="G42" s="227"/>
      <c r="H42" s="227"/>
      <c r="I42" s="227"/>
      <c r="J42" s="227"/>
      <c r="K42" s="227"/>
      <c r="L42" s="227"/>
    </row>
    <row r="43" spans="1:12" ht="15" thickBot="1">
      <c r="A43" s="374" t="s">
        <v>460</v>
      </c>
      <c r="B43" s="4859"/>
      <c r="C43" s="4860"/>
      <c r="D43" s="349">
        <v>0.7</v>
      </c>
      <c r="E43" s="227"/>
      <c r="F43" s="227"/>
      <c r="G43" s="227"/>
      <c r="H43" s="227"/>
      <c r="I43" s="227"/>
      <c r="J43" s="227"/>
      <c r="K43" s="227"/>
      <c r="L43" s="227"/>
    </row>
    <row r="44" spans="1:12" ht="27" thickBot="1">
      <c r="A44" s="372" t="s">
        <v>461</v>
      </c>
      <c r="B44" s="372" t="s">
        <v>462</v>
      </c>
      <c r="C44" s="372" t="s">
        <v>463</v>
      </c>
      <c r="D44" s="373">
        <v>2</v>
      </c>
      <c r="E44" s="227"/>
      <c r="F44" s="227"/>
      <c r="G44" s="227"/>
      <c r="H44" s="227"/>
      <c r="I44" s="227"/>
      <c r="J44" s="227"/>
      <c r="K44" s="227"/>
      <c r="L44" s="227"/>
    </row>
    <row r="45" spans="1:12" ht="15" thickBot="1">
      <c r="A45" s="374" t="s">
        <v>462</v>
      </c>
      <c r="B45" s="4865"/>
      <c r="C45" s="4866"/>
      <c r="D45" s="349">
        <v>2</v>
      </c>
      <c r="E45" s="227"/>
      <c r="F45" s="227"/>
      <c r="G45" s="227"/>
      <c r="H45" s="227"/>
      <c r="I45" s="227"/>
      <c r="J45" s="227"/>
      <c r="K45" s="227"/>
      <c r="L45" s="227"/>
    </row>
    <row r="46" spans="1:12" ht="15" thickBot="1">
      <c r="A46" s="4863" t="s">
        <v>464</v>
      </c>
      <c r="B46" s="4867"/>
      <c r="C46" s="4864"/>
      <c r="D46" s="375">
        <v>244.126</v>
      </c>
      <c r="E46" s="227"/>
      <c r="F46" s="227"/>
      <c r="G46" s="227"/>
      <c r="H46" s="227"/>
      <c r="I46" s="227"/>
      <c r="J46" s="227"/>
      <c r="K46" s="227"/>
      <c r="L46" s="227"/>
    </row>
  </sheetData>
  <mergeCells count="21">
    <mergeCell ref="B43:C43"/>
    <mergeCell ref="B45:C45"/>
    <mergeCell ref="A46:C46"/>
    <mergeCell ref="B31:C31"/>
    <mergeCell ref="B33:C33"/>
    <mergeCell ref="B35:C35"/>
    <mergeCell ref="B37:C37"/>
    <mergeCell ref="B39:C39"/>
    <mergeCell ref="B41:C41"/>
    <mergeCell ref="B29:C29"/>
    <mergeCell ref="D8:D9"/>
    <mergeCell ref="B9:C9"/>
    <mergeCell ref="B11:C11"/>
    <mergeCell ref="B13:C13"/>
    <mergeCell ref="B15:C15"/>
    <mergeCell ref="B17:C17"/>
    <mergeCell ref="B19:C19"/>
    <mergeCell ref="B21:C21"/>
    <mergeCell ref="B23:C23"/>
    <mergeCell ref="B25:C25"/>
    <mergeCell ref="B27:C27"/>
  </mergeCells>
  <pageMargins left="0.7" right="0.7" top="0.75" bottom="0.75" header="0.3" footer="0.3"/>
  <pageSetup paperSize="9" scale="7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CC"/>
  </sheetPr>
  <dimension ref="A3:Q19"/>
  <sheetViews>
    <sheetView workbookViewId="0">
      <selection activeCell="O20" sqref="O20"/>
    </sheetView>
  </sheetViews>
  <sheetFormatPr defaultRowHeight="14.4"/>
  <cols>
    <col min="2" max="11" width="9.88671875" bestFit="1" customWidth="1"/>
    <col min="14" max="14" width="14.88671875" bestFit="1" customWidth="1"/>
  </cols>
  <sheetData>
    <row r="3" spans="1:17">
      <c r="B3" t="s">
        <v>248</v>
      </c>
      <c r="P3" t="s">
        <v>255</v>
      </c>
      <c r="Q3" t="s">
        <v>256</v>
      </c>
    </row>
    <row r="4" spans="1:17">
      <c r="B4">
        <v>1</v>
      </c>
      <c r="C4">
        <v>2</v>
      </c>
      <c r="D4">
        <v>3</v>
      </c>
      <c r="E4">
        <v>4</v>
      </c>
      <c r="F4">
        <v>5</v>
      </c>
      <c r="G4">
        <v>6</v>
      </c>
      <c r="H4">
        <v>7</v>
      </c>
      <c r="I4">
        <v>8</v>
      </c>
      <c r="J4">
        <v>9</v>
      </c>
      <c r="K4">
        <v>10</v>
      </c>
      <c r="L4">
        <v>11</v>
      </c>
      <c r="M4">
        <v>12</v>
      </c>
      <c r="P4">
        <v>10</v>
      </c>
      <c r="Q4">
        <v>10</v>
      </c>
    </row>
    <row r="5" spans="1:17" ht="15" thickBot="1">
      <c r="A5" s="227"/>
      <c r="B5">
        <v>3477</v>
      </c>
      <c r="C5">
        <v>3856</v>
      </c>
      <c r="D5">
        <v>3422</v>
      </c>
      <c r="E5">
        <v>3514</v>
      </c>
      <c r="F5">
        <v>3165</v>
      </c>
      <c r="G5">
        <v>2282</v>
      </c>
      <c r="H5">
        <v>5053</v>
      </c>
      <c r="I5">
        <v>4720</v>
      </c>
      <c r="J5">
        <v>4882</v>
      </c>
      <c r="K5">
        <v>5679</v>
      </c>
      <c r="P5">
        <v>1329</v>
      </c>
      <c r="Q5">
        <v>4307</v>
      </c>
    </row>
    <row r="6" spans="1:17" ht="21" thickBot="1">
      <c r="A6" s="343" t="s">
        <v>251</v>
      </c>
      <c r="B6" s="227">
        <v>230</v>
      </c>
      <c r="C6">
        <v>283</v>
      </c>
      <c r="D6">
        <v>309</v>
      </c>
      <c r="E6">
        <v>256</v>
      </c>
      <c r="F6">
        <v>246</v>
      </c>
      <c r="G6">
        <v>165</v>
      </c>
      <c r="H6">
        <v>320</v>
      </c>
      <c r="I6">
        <v>235</v>
      </c>
      <c r="J6">
        <v>301</v>
      </c>
      <c r="K6">
        <v>301</v>
      </c>
      <c r="P6">
        <v>85</v>
      </c>
      <c r="Q6">
        <v>216</v>
      </c>
    </row>
    <row r="7" spans="1:17" ht="41.4" thickBot="1">
      <c r="A7" s="343" t="s">
        <v>250</v>
      </c>
      <c r="B7" s="227">
        <v>230</v>
      </c>
      <c r="C7">
        <v>288</v>
      </c>
      <c r="D7">
        <v>186</v>
      </c>
      <c r="E7">
        <v>281</v>
      </c>
      <c r="F7">
        <v>198</v>
      </c>
      <c r="G7">
        <v>165</v>
      </c>
      <c r="H7">
        <v>316</v>
      </c>
      <c r="I7">
        <v>277</v>
      </c>
      <c r="J7">
        <v>235</v>
      </c>
      <c r="K7">
        <v>312</v>
      </c>
      <c r="P7">
        <v>72</v>
      </c>
      <c r="Q7">
        <v>240</v>
      </c>
    </row>
    <row r="8" spans="1:17" ht="31.2" thickBot="1">
      <c r="A8" s="343" t="s">
        <v>249</v>
      </c>
      <c r="B8" s="227">
        <v>231</v>
      </c>
      <c r="C8">
        <v>279</v>
      </c>
      <c r="D8">
        <v>220</v>
      </c>
      <c r="E8">
        <v>281</v>
      </c>
      <c r="F8">
        <v>198</v>
      </c>
      <c r="G8">
        <v>165</v>
      </c>
      <c r="H8">
        <v>260</v>
      </c>
      <c r="I8">
        <v>286</v>
      </c>
      <c r="J8">
        <v>297</v>
      </c>
      <c r="K8">
        <v>295</v>
      </c>
      <c r="P8">
        <v>55</v>
      </c>
      <c r="Q8">
        <v>240</v>
      </c>
    </row>
    <row r="9" spans="1:17">
      <c r="A9" s="344" t="s">
        <v>252</v>
      </c>
      <c r="B9">
        <f t="shared" ref="B9:M9" si="0">B5-B6-B7-B8</f>
        <v>2786</v>
      </c>
      <c r="C9">
        <f t="shared" si="0"/>
        <v>3006</v>
      </c>
      <c r="D9">
        <f t="shared" si="0"/>
        <v>2707</v>
      </c>
      <c r="E9">
        <f t="shared" si="0"/>
        <v>2696</v>
      </c>
      <c r="F9">
        <f t="shared" si="0"/>
        <v>2523</v>
      </c>
      <c r="G9">
        <f t="shared" si="0"/>
        <v>1787</v>
      </c>
      <c r="H9">
        <f t="shared" si="0"/>
        <v>4157</v>
      </c>
      <c r="I9">
        <f t="shared" si="0"/>
        <v>3922</v>
      </c>
      <c r="J9">
        <f t="shared" si="0"/>
        <v>4049</v>
      </c>
      <c r="K9">
        <f t="shared" si="0"/>
        <v>4771</v>
      </c>
      <c r="L9">
        <f t="shared" si="0"/>
        <v>0</v>
      </c>
      <c r="M9">
        <f t="shared" si="0"/>
        <v>0</v>
      </c>
      <c r="P9">
        <f>P5-P6-P7-P8</f>
        <v>1117</v>
      </c>
      <c r="Q9">
        <f>Q5-Q6-Q7-Q8</f>
        <v>3611</v>
      </c>
    </row>
    <row r="11" spans="1:17" ht="15" thickBot="1"/>
    <row r="12" spans="1:17" ht="21" thickBot="1">
      <c r="A12" s="343" t="s">
        <v>251</v>
      </c>
      <c r="B12">
        <f>B6*100</f>
        <v>23000</v>
      </c>
      <c r="C12">
        <f t="shared" ref="C12:M12" si="1">C6*100</f>
        <v>28300</v>
      </c>
      <c r="D12">
        <f t="shared" si="1"/>
        <v>30900</v>
      </c>
      <c r="E12">
        <f t="shared" si="1"/>
        <v>25600</v>
      </c>
      <c r="F12">
        <f t="shared" si="1"/>
        <v>24600</v>
      </c>
      <c r="G12">
        <f t="shared" si="1"/>
        <v>16500</v>
      </c>
      <c r="H12">
        <f t="shared" si="1"/>
        <v>32000</v>
      </c>
      <c r="I12">
        <f t="shared" si="1"/>
        <v>23500</v>
      </c>
      <c r="J12">
        <f t="shared" si="1"/>
        <v>30100</v>
      </c>
      <c r="K12">
        <f t="shared" si="1"/>
        <v>30100</v>
      </c>
      <c r="L12">
        <f t="shared" si="1"/>
        <v>0</v>
      </c>
      <c r="M12">
        <f t="shared" si="1"/>
        <v>0</v>
      </c>
      <c r="P12">
        <f>P6*100</f>
        <v>8500</v>
      </c>
      <c r="Q12">
        <f>Q6*100</f>
        <v>21600</v>
      </c>
    </row>
    <row r="13" spans="1:17" ht="41.4" thickBot="1">
      <c r="A13" s="343" t="s">
        <v>250</v>
      </c>
      <c r="B13">
        <f>B7*110</f>
        <v>25300</v>
      </c>
      <c r="C13">
        <f t="shared" ref="C13:M13" si="2">C7*110</f>
        <v>31680</v>
      </c>
      <c r="D13">
        <f t="shared" si="2"/>
        <v>20460</v>
      </c>
      <c r="E13">
        <f t="shared" si="2"/>
        <v>30910</v>
      </c>
      <c r="F13">
        <f t="shared" si="2"/>
        <v>21780</v>
      </c>
      <c r="G13">
        <f t="shared" si="2"/>
        <v>18150</v>
      </c>
      <c r="H13">
        <f t="shared" si="2"/>
        <v>34760</v>
      </c>
      <c r="I13">
        <f t="shared" si="2"/>
        <v>30470</v>
      </c>
      <c r="J13">
        <f t="shared" si="2"/>
        <v>25850</v>
      </c>
      <c r="K13">
        <f t="shared" si="2"/>
        <v>34320</v>
      </c>
      <c r="L13">
        <f t="shared" si="2"/>
        <v>0</v>
      </c>
      <c r="M13">
        <f t="shared" si="2"/>
        <v>0</v>
      </c>
      <c r="P13">
        <f>P7*110</f>
        <v>7920</v>
      </c>
      <c r="Q13">
        <f>Q7*110</f>
        <v>26400</v>
      </c>
    </row>
    <row r="14" spans="1:17" ht="31.2" thickBot="1">
      <c r="A14" s="343" t="s">
        <v>249</v>
      </c>
      <c r="B14">
        <f>B8*95</f>
        <v>21945</v>
      </c>
      <c r="C14">
        <f t="shared" ref="C14:M14" si="3">C8*95</f>
        <v>26505</v>
      </c>
      <c r="D14">
        <f t="shared" si="3"/>
        <v>20900</v>
      </c>
      <c r="E14">
        <f t="shared" si="3"/>
        <v>26695</v>
      </c>
      <c r="F14">
        <f t="shared" si="3"/>
        <v>18810</v>
      </c>
      <c r="G14">
        <f t="shared" si="3"/>
        <v>15675</v>
      </c>
      <c r="H14">
        <f t="shared" si="3"/>
        <v>24700</v>
      </c>
      <c r="I14">
        <f t="shared" si="3"/>
        <v>27170</v>
      </c>
      <c r="J14">
        <f t="shared" si="3"/>
        <v>28215</v>
      </c>
      <c r="K14">
        <f t="shared" si="3"/>
        <v>28025</v>
      </c>
      <c r="L14">
        <f t="shared" si="3"/>
        <v>0</v>
      </c>
      <c r="M14">
        <f t="shared" si="3"/>
        <v>0</v>
      </c>
      <c r="P14">
        <f>P8*95</f>
        <v>5225</v>
      </c>
      <c r="Q14">
        <f>Q8*95</f>
        <v>22800</v>
      </c>
    </row>
    <row r="15" spans="1:17">
      <c r="A15" s="344" t="s">
        <v>252</v>
      </c>
      <c r="B15">
        <f>B9*90</f>
        <v>250740</v>
      </c>
      <c r="C15">
        <f t="shared" ref="C15:M15" si="4">C9*90</f>
        <v>270540</v>
      </c>
      <c r="D15">
        <f t="shared" si="4"/>
        <v>243630</v>
      </c>
      <c r="E15">
        <f t="shared" si="4"/>
        <v>242640</v>
      </c>
      <c r="F15">
        <f t="shared" si="4"/>
        <v>227070</v>
      </c>
      <c r="G15">
        <f t="shared" si="4"/>
        <v>160830</v>
      </c>
      <c r="H15">
        <f t="shared" si="4"/>
        <v>374130</v>
      </c>
      <c r="I15">
        <f t="shared" si="4"/>
        <v>352980</v>
      </c>
      <c r="J15">
        <f t="shared" si="4"/>
        <v>364410</v>
      </c>
      <c r="K15">
        <f t="shared" si="4"/>
        <v>429390</v>
      </c>
      <c r="L15">
        <f t="shared" si="4"/>
        <v>0</v>
      </c>
      <c r="M15">
        <f t="shared" si="4"/>
        <v>0</v>
      </c>
      <c r="P15">
        <f>P9*90</f>
        <v>100530</v>
      </c>
      <c r="Q15">
        <f>Q9*90</f>
        <v>324990</v>
      </c>
    </row>
    <row r="16" spans="1:17" ht="18">
      <c r="B16" s="345">
        <f>SUM(B12:B15)</f>
        <v>320985</v>
      </c>
      <c r="C16" s="345">
        <f t="shared" ref="C16:M16" si="5">SUM(C12:C15)</f>
        <v>357025</v>
      </c>
      <c r="D16" s="345">
        <f t="shared" si="5"/>
        <v>315890</v>
      </c>
      <c r="E16" s="345">
        <f t="shared" si="5"/>
        <v>325845</v>
      </c>
      <c r="F16" s="345">
        <f t="shared" si="5"/>
        <v>292260</v>
      </c>
      <c r="G16" s="345">
        <f t="shared" si="5"/>
        <v>211155</v>
      </c>
      <c r="H16" s="345">
        <f t="shared" si="5"/>
        <v>465590</v>
      </c>
      <c r="I16" s="345">
        <f t="shared" si="5"/>
        <v>434120</v>
      </c>
      <c r="J16" s="345">
        <f t="shared" si="5"/>
        <v>448575</v>
      </c>
      <c r="K16" s="345">
        <f>SUM(K12:K15)</f>
        <v>521835</v>
      </c>
      <c r="L16">
        <f t="shared" si="5"/>
        <v>0</v>
      </c>
      <c r="M16">
        <f t="shared" si="5"/>
        <v>0</v>
      </c>
      <c r="N16" s="347">
        <f>SUM(B16:M16)</f>
        <v>3693280</v>
      </c>
      <c r="P16">
        <f>SUM(P12:P15)</f>
        <v>122175</v>
      </c>
      <c r="Q16">
        <f>SUM(Q12:Q15)</f>
        <v>395790</v>
      </c>
    </row>
    <row r="17" spans="14:15">
      <c r="N17" s="348">
        <v>365830</v>
      </c>
      <c r="O17" t="s">
        <v>253</v>
      </c>
    </row>
    <row r="18" spans="14:15">
      <c r="N18">
        <v>371026.37</v>
      </c>
      <c r="O18" t="s">
        <v>254</v>
      </c>
    </row>
    <row r="19" spans="14:15">
      <c r="N19" s="345">
        <f>N16+N17-N18</f>
        <v>3688083.63</v>
      </c>
      <c r="O19" t="s">
        <v>357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1:AL97"/>
  <sheetViews>
    <sheetView showZeros="0" zoomScale="80" zoomScaleNormal="80" workbookViewId="0">
      <pane xSplit="6" ySplit="5" topLeftCell="U60" activePane="bottomRight" state="frozen"/>
      <selection pane="topRight" activeCell="G1" sqref="G1"/>
      <selection pane="bottomLeft" activeCell="A6" sqref="A6"/>
      <selection pane="bottomRight" activeCell="X60" sqref="X60"/>
    </sheetView>
  </sheetViews>
  <sheetFormatPr defaultColWidth="7.44140625" defaultRowHeight="13.2" outlineLevelRow="3" outlineLevelCol="2"/>
  <cols>
    <col min="1" max="1" width="5.6640625" style="8" customWidth="1"/>
    <col min="2" max="2" width="55" style="8" customWidth="1"/>
    <col min="3" max="3" width="15" style="77" customWidth="1" outlineLevel="2"/>
    <col min="4" max="4" width="15.5546875" style="77" customWidth="1" outlineLevel="2"/>
    <col min="5" max="5" width="16.33203125" style="38" customWidth="1" outlineLevel="2"/>
    <col min="6" max="6" width="9.5546875" style="38" customWidth="1" outlineLevel="2"/>
    <col min="7" max="9" width="16.33203125" style="38" customWidth="1" outlineLevel="1"/>
    <col min="10" max="10" width="8.6640625" style="38" customWidth="1" outlineLevel="1"/>
    <col min="11" max="11" width="31" style="38" customWidth="1" outlineLevel="1"/>
    <col min="12" max="14" width="16.33203125" style="38" customWidth="1" outlineLevel="1"/>
    <col min="15" max="15" width="8.6640625" style="38" customWidth="1" outlineLevel="1"/>
    <col min="16" max="16" width="31" style="38" customWidth="1" outlineLevel="1"/>
    <col min="17" max="19" width="16.33203125" style="38" customWidth="1" outlineLevel="1"/>
    <col min="20" max="20" width="8.6640625" style="38" customWidth="1" outlineLevel="1"/>
    <col min="21" max="21" width="37.44140625" style="38" customWidth="1" outlineLevel="1"/>
    <col min="22" max="22" width="16.33203125" style="38" customWidth="1"/>
    <col min="23" max="23" width="15.88671875" style="38" customWidth="1"/>
    <col min="24" max="24" width="16.33203125" style="38" customWidth="1"/>
    <col min="25" max="25" width="8.6640625" style="38" customWidth="1"/>
    <col min="26" max="26" width="37.44140625" style="38" customWidth="1"/>
    <col min="27" max="29" width="16.33203125" style="38" customWidth="1" outlineLevel="1"/>
    <col min="30" max="30" width="13.6640625" style="38" customWidth="1" outlineLevel="1"/>
    <col min="31" max="34" width="16.33203125" style="38" customWidth="1" outlineLevel="1"/>
    <col min="35" max="35" width="9" style="38" customWidth="1" outlineLevel="1"/>
    <col min="36" max="36" width="16.33203125" style="38" customWidth="1" outlineLevel="1"/>
    <col min="37" max="37" width="22.44140625" style="1" customWidth="1"/>
    <col min="38" max="16384" width="7.44140625" style="1"/>
  </cols>
  <sheetData>
    <row r="1" spans="1:36" ht="13.8" thickBot="1">
      <c r="C1" s="38"/>
      <c r="D1" s="38"/>
    </row>
    <row r="2" spans="1:36" ht="22.2" customHeight="1">
      <c r="A2" s="4834" t="s">
        <v>84</v>
      </c>
      <c r="B2" s="4835"/>
      <c r="C2" s="4835"/>
      <c r="D2" s="4835"/>
      <c r="E2" s="4835"/>
      <c r="F2" s="4836"/>
      <c r="G2" s="4837" t="s">
        <v>136</v>
      </c>
      <c r="H2" s="4838"/>
      <c r="I2" s="4838"/>
      <c r="J2" s="4838"/>
      <c r="K2" s="326"/>
      <c r="L2" s="4837" t="s">
        <v>82</v>
      </c>
      <c r="M2" s="4838"/>
      <c r="N2" s="4838"/>
      <c r="O2" s="4838"/>
      <c r="P2" s="232"/>
      <c r="Q2" s="4837" t="s">
        <v>108</v>
      </c>
      <c r="R2" s="4838"/>
      <c r="S2" s="4838"/>
      <c r="T2" s="4838"/>
      <c r="U2" s="317"/>
      <c r="V2" s="4837" t="s">
        <v>137</v>
      </c>
      <c r="W2" s="4838"/>
      <c r="X2" s="4838"/>
      <c r="Y2" s="4838"/>
      <c r="Z2" s="324"/>
      <c r="AA2" s="4841" t="s">
        <v>171</v>
      </c>
      <c r="AB2" s="4842"/>
      <c r="AC2" s="4842"/>
      <c r="AD2" s="4842"/>
      <c r="AE2" s="4843"/>
      <c r="AF2" s="4847" t="s">
        <v>83</v>
      </c>
      <c r="AG2" s="4848"/>
      <c r="AH2" s="4848"/>
      <c r="AI2" s="4848"/>
      <c r="AJ2" s="4849"/>
    </row>
    <row r="3" spans="1:36" ht="14.4" customHeight="1" thickBot="1">
      <c r="A3" s="4853" t="s">
        <v>54</v>
      </c>
      <c r="B3" s="4854"/>
      <c r="C3" s="4854"/>
      <c r="D3" s="4854"/>
      <c r="E3" s="4854"/>
      <c r="F3" s="4855"/>
      <c r="G3" s="4839"/>
      <c r="H3" s="4840"/>
      <c r="I3" s="4840"/>
      <c r="J3" s="4840"/>
      <c r="K3" s="327"/>
      <c r="L3" s="4839"/>
      <c r="M3" s="4840"/>
      <c r="N3" s="4840"/>
      <c r="O3" s="4840"/>
      <c r="P3" s="233"/>
      <c r="Q3" s="4839"/>
      <c r="R3" s="4840"/>
      <c r="S3" s="4840"/>
      <c r="T3" s="4840"/>
      <c r="U3" s="318"/>
      <c r="V3" s="4839"/>
      <c r="W3" s="4840"/>
      <c r="X3" s="4840"/>
      <c r="Y3" s="4840"/>
      <c r="Z3" s="325"/>
      <c r="AA3" s="4844"/>
      <c r="AB3" s="4845"/>
      <c r="AC3" s="4845"/>
      <c r="AD3" s="4845"/>
      <c r="AE3" s="4846"/>
      <c r="AF3" s="4850"/>
      <c r="AG3" s="4851"/>
      <c r="AH3" s="4851"/>
      <c r="AI3" s="4851"/>
      <c r="AJ3" s="4852"/>
    </row>
    <row r="4" spans="1:36" ht="41.4" thickBot="1">
      <c r="A4" s="92"/>
      <c r="B4" s="93" t="s">
        <v>11</v>
      </c>
      <c r="C4" s="239" t="s">
        <v>55</v>
      </c>
      <c r="D4" s="239" t="s">
        <v>18</v>
      </c>
      <c r="E4" s="240" t="s">
        <v>39</v>
      </c>
      <c r="F4" s="209" t="s">
        <v>40</v>
      </c>
      <c r="G4" s="94" t="s">
        <v>55</v>
      </c>
      <c r="H4" s="94" t="s">
        <v>18</v>
      </c>
      <c r="I4" s="95" t="s">
        <v>39</v>
      </c>
      <c r="J4" s="209" t="s">
        <v>40</v>
      </c>
      <c r="K4" s="241" t="s">
        <v>87</v>
      </c>
      <c r="L4" s="94" t="s">
        <v>55</v>
      </c>
      <c r="M4" s="94" t="s">
        <v>18</v>
      </c>
      <c r="N4" s="95" t="s">
        <v>39</v>
      </c>
      <c r="O4" s="209" t="s">
        <v>40</v>
      </c>
      <c r="P4" s="241" t="s">
        <v>87</v>
      </c>
      <c r="Q4" s="94" t="s">
        <v>55</v>
      </c>
      <c r="R4" s="94" t="s">
        <v>18</v>
      </c>
      <c r="S4" s="95" t="s">
        <v>39</v>
      </c>
      <c r="T4" s="209" t="s">
        <v>40</v>
      </c>
      <c r="U4" s="241" t="s">
        <v>87</v>
      </c>
      <c r="V4" s="94" t="s">
        <v>55</v>
      </c>
      <c r="W4" s="94" t="s">
        <v>18</v>
      </c>
      <c r="X4" s="95" t="s">
        <v>39</v>
      </c>
      <c r="Y4" s="209" t="s">
        <v>40</v>
      </c>
      <c r="Z4" s="241" t="s">
        <v>87</v>
      </c>
      <c r="AA4" s="94" t="s">
        <v>55</v>
      </c>
      <c r="AB4" s="94" t="s">
        <v>18</v>
      </c>
      <c r="AC4" s="95" t="s">
        <v>39</v>
      </c>
      <c r="AD4" s="209" t="s">
        <v>40</v>
      </c>
      <c r="AE4" s="95" t="s">
        <v>19</v>
      </c>
      <c r="AF4" s="94" t="s">
        <v>55</v>
      </c>
      <c r="AG4" s="94" t="s">
        <v>18</v>
      </c>
      <c r="AH4" s="95" t="s">
        <v>39</v>
      </c>
      <c r="AI4" s="209" t="s">
        <v>40</v>
      </c>
      <c r="AJ4" s="95" t="s">
        <v>19</v>
      </c>
    </row>
    <row r="5" spans="1:36" s="88" customFormat="1" ht="14.4" thickBot="1">
      <c r="A5" s="83"/>
      <c r="B5" s="84" t="s">
        <v>10</v>
      </c>
      <c r="C5" s="85">
        <f>C6</f>
        <v>3046281.3000000003</v>
      </c>
      <c r="D5" s="85">
        <f>D6</f>
        <v>0</v>
      </c>
      <c r="E5" s="86">
        <f>E6</f>
        <v>3046281.3000000003</v>
      </c>
      <c r="F5" s="87"/>
      <c r="G5" s="85">
        <f>G6</f>
        <v>841617.06</v>
      </c>
      <c r="H5" s="85">
        <f>H6</f>
        <v>1210000</v>
      </c>
      <c r="I5" s="86">
        <f>I6</f>
        <v>2051617.06</v>
      </c>
      <c r="J5" s="87"/>
      <c r="K5" s="87"/>
      <c r="L5" s="85">
        <f>L6</f>
        <v>0</v>
      </c>
      <c r="M5" s="85">
        <f>M6</f>
        <v>0</v>
      </c>
      <c r="N5" s="86">
        <f>N6</f>
        <v>0</v>
      </c>
      <c r="O5" s="87"/>
      <c r="P5" s="87"/>
      <c r="Q5" s="85">
        <f>Q6</f>
        <v>1003963.29</v>
      </c>
      <c r="R5" s="85">
        <f>R6</f>
        <v>0</v>
      </c>
      <c r="S5" s="86">
        <f>S6</f>
        <v>1003963.29</v>
      </c>
      <c r="T5" s="87"/>
      <c r="U5" s="87"/>
      <c r="V5" s="85">
        <f>V6</f>
        <v>1811159.76</v>
      </c>
      <c r="W5" s="85">
        <f>W6</f>
        <v>0</v>
      </c>
      <c r="X5" s="86">
        <f>X6</f>
        <v>1811159.76</v>
      </c>
      <c r="Y5" s="87"/>
      <c r="Z5" s="87"/>
      <c r="AA5" s="87">
        <f>AA6</f>
        <v>3656740.1100000003</v>
      </c>
      <c r="AB5" s="87">
        <f>AB6</f>
        <v>1210000</v>
      </c>
      <c r="AC5" s="87">
        <f>AC6</f>
        <v>4866740.1100000003</v>
      </c>
      <c r="AD5" s="87"/>
      <c r="AE5" s="87"/>
      <c r="AF5" s="85">
        <f>AF6</f>
        <v>-610458.81000000006</v>
      </c>
      <c r="AG5" s="85">
        <f>AG6</f>
        <v>-1210000</v>
      </c>
      <c r="AH5" s="86">
        <f>AH6</f>
        <v>-1820458.81</v>
      </c>
      <c r="AI5" s="87"/>
      <c r="AJ5" s="87"/>
    </row>
    <row r="6" spans="1:36" s="2" customFormat="1" ht="13.8" outlineLevel="1">
      <c r="A6" s="238"/>
      <c r="B6" s="9" t="s">
        <v>17</v>
      </c>
      <c r="C6" s="104">
        <v>3046281.3000000003</v>
      </c>
      <c r="D6" s="105">
        <v>0</v>
      </c>
      <c r="E6" s="106">
        <f>C6+D6</f>
        <v>3046281.3000000003</v>
      </c>
      <c r="F6" s="39"/>
      <c r="G6" s="39">
        <f>2051617.06-H6</f>
        <v>841617.06</v>
      </c>
      <c r="H6" s="39">
        <f>1100000*1.1</f>
        <v>1210000</v>
      </c>
      <c r="I6" s="39">
        <f>G6+H6</f>
        <v>2051617.06</v>
      </c>
      <c r="J6" s="39"/>
      <c r="K6" s="291"/>
      <c r="L6" s="39"/>
      <c r="M6" s="39"/>
      <c r="N6" s="39">
        <f>L6+M6</f>
        <v>0</v>
      </c>
      <c r="O6" s="39"/>
      <c r="P6" s="291" t="s">
        <v>101</v>
      </c>
      <c r="Q6" s="39">
        <f>82210.91+504052.98+417699.4</f>
        <v>1003963.29</v>
      </c>
      <c r="R6" s="39"/>
      <c r="S6" s="39">
        <f>Q6+R6</f>
        <v>1003963.29</v>
      </c>
      <c r="T6" s="39"/>
      <c r="U6" s="291" t="s">
        <v>118</v>
      </c>
      <c r="V6" s="39">
        <f>404231.91+180701.72+1027339.15+132890.92+65996.06</f>
        <v>1811159.76</v>
      </c>
      <c r="W6" s="39"/>
      <c r="X6" s="39">
        <f>V6+W6</f>
        <v>1811159.76</v>
      </c>
      <c r="Y6" s="39"/>
      <c r="Z6" s="291" t="s">
        <v>156</v>
      </c>
      <c r="AA6" s="39">
        <f>G6+L6+Q6+V6</f>
        <v>3656740.1100000003</v>
      </c>
      <c r="AB6" s="39">
        <f>H6+M6+R6+W6</f>
        <v>1210000</v>
      </c>
      <c r="AC6" s="106">
        <f>AA6+AB6</f>
        <v>4866740.1100000003</v>
      </c>
      <c r="AD6" s="39"/>
      <c r="AE6" s="39"/>
      <c r="AF6" s="210">
        <f>C6-AA6</f>
        <v>-610458.81000000006</v>
      </c>
      <c r="AG6" s="210">
        <f>D6-AB6</f>
        <v>-1210000</v>
      </c>
      <c r="AH6" s="210">
        <f>AF6+AG6</f>
        <v>-1820458.81</v>
      </c>
      <c r="AI6" s="39"/>
      <c r="AJ6" s="39"/>
    </row>
    <row r="7" spans="1:36" s="2" customFormat="1" ht="15" customHeight="1" outlineLevel="1" collapsed="1" thickBot="1">
      <c r="A7" s="238"/>
      <c r="B7" s="10" t="s">
        <v>41</v>
      </c>
      <c r="C7" s="107"/>
      <c r="D7" s="108"/>
      <c r="E7" s="106">
        <f>C7+D7</f>
        <v>0</v>
      </c>
      <c r="F7" s="40"/>
      <c r="G7" s="40"/>
      <c r="H7" s="40"/>
      <c r="I7" s="40">
        <f>G7+H7</f>
        <v>0</v>
      </c>
      <c r="J7" s="40"/>
      <c r="K7" s="40"/>
      <c r="L7" s="40"/>
      <c r="M7" s="40"/>
      <c r="N7" s="40">
        <f>L7+M7</f>
        <v>0</v>
      </c>
      <c r="O7" s="40"/>
      <c r="P7" s="40"/>
      <c r="Q7" s="40"/>
      <c r="R7" s="40"/>
      <c r="S7" s="40">
        <f>Q7+R7</f>
        <v>0</v>
      </c>
      <c r="T7" s="40"/>
      <c r="U7" s="40"/>
      <c r="V7" s="40"/>
      <c r="W7" s="40"/>
      <c r="X7" s="40">
        <f>V7+W7</f>
        <v>0</v>
      </c>
      <c r="Y7" s="40"/>
      <c r="Z7" s="40"/>
      <c r="AA7" s="40"/>
      <c r="AB7" s="40"/>
      <c r="AC7" s="106">
        <f>AA7+AB7</f>
        <v>0</v>
      </c>
      <c r="AD7" s="40"/>
      <c r="AE7" s="40"/>
      <c r="AF7" s="210">
        <f>C7-AA7</f>
        <v>0</v>
      </c>
      <c r="AG7" s="210">
        <f>D7-AB7</f>
        <v>0</v>
      </c>
      <c r="AH7" s="210">
        <f>AF7+AG7</f>
        <v>0</v>
      </c>
      <c r="AI7" s="40"/>
      <c r="AJ7" s="40"/>
    </row>
    <row r="8" spans="1:36" s="88" customFormat="1" ht="15" customHeight="1" outlineLevel="1" thickBot="1">
      <c r="A8" s="238"/>
      <c r="B8" s="84" t="s">
        <v>16</v>
      </c>
      <c r="C8" s="109">
        <f>SUM(C9:C31)</f>
        <v>1355548.2291495714</v>
      </c>
      <c r="D8" s="109">
        <f>SUM(D9:D31)</f>
        <v>916057.78272772685</v>
      </c>
      <c r="E8" s="110">
        <f>SUM(E9:E31)</f>
        <v>2271606.0118772979</v>
      </c>
      <c r="F8" s="164">
        <f t="shared" ref="F8:F31" si="0">E8/$E$87</f>
        <v>0.9573068616137288</v>
      </c>
      <c r="G8" s="109">
        <f>SUM(G9:G31)</f>
        <v>1187368.5919999999</v>
      </c>
      <c r="H8" s="109">
        <f>SUM(H9:H31)</f>
        <v>504589.58</v>
      </c>
      <c r="I8" s="110">
        <f>SUM(I9:I31)</f>
        <v>1691958.1719999998</v>
      </c>
      <c r="J8" s="164">
        <f>I8/$N$87</f>
        <v>8.2470016975191704</v>
      </c>
      <c r="K8" s="242"/>
      <c r="L8" s="109">
        <f>SUM(L9:L31)</f>
        <v>107233.3</v>
      </c>
      <c r="M8" s="109">
        <f>SUM(M9:M31)</f>
        <v>56982</v>
      </c>
      <c r="N8" s="110">
        <f>SUM(N9:N31)</f>
        <v>164215.29999999999</v>
      </c>
      <c r="O8" s="164">
        <f>N8/$N$87</f>
        <v>0.80042395862409066</v>
      </c>
      <c r="P8" s="242"/>
      <c r="Q8" s="109">
        <f>SUM(Q9:Q31)</f>
        <v>467869.984</v>
      </c>
      <c r="R8" s="109">
        <f>SUM(R9:R31)</f>
        <v>241020</v>
      </c>
      <c r="S8" s="110">
        <f>SUM(S9:S31)</f>
        <v>708889.98399999994</v>
      </c>
      <c r="T8" s="164">
        <f>S8/$S$87</f>
        <v>0.95499387985633277</v>
      </c>
      <c r="U8" s="242"/>
      <c r="V8" s="109">
        <f>SUM(V9:V31)</f>
        <v>672023.0340499999</v>
      </c>
      <c r="W8" s="109">
        <f>SUM(W9:W31)</f>
        <v>239229.22</v>
      </c>
      <c r="X8" s="110">
        <f>SUM(X9:X31)</f>
        <v>911252.25404999999</v>
      </c>
      <c r="Y8" s="164">
        <f>X8/$X$87</f>
        <v>0.93131560089455523</v>
      </c>
      <c r="Z8" s="242"/>
      <c r="AA8" s="109">
        <f>SUM(AA9:AA31)</f>
        <v>2434494.9100499996</v>
      </c>
      <c r="AB8" s="109">
        <f>SUM(AB9:AB31)</f>
        <v>1041820.8</v>
      </c>
      <c r="AC8" s="110">
        <f>SUM(AC9:AC31)</f>
        <v>3632588.8300499991</v>
      </c>
      <c r="AD8" s="164">
        <f t="shared" ref="AD8:AD31" si="1">AC8/$AC$87</f>
        <v>0.95053082906896413</v>
      </c>
      <c r="AE8" s="87"/>
      <c r="AF8" s="109">
        <f>SUM(AF9:AF31)</f>
        <v>-1078946.6809004282</v>
      </c>
      <c r="AG8" s="109">
        <f>SUM(AG9:AG31)</f>
        <v>-125763.01727227327</v>
      </c>
      <c r="AH8" s="110">
        <f>SUM(AH9:AH31)</f>
        <v>-1223574.1507635424</v>
      </c>
      <c r="AI8" s="164">
        <f>AH8/$AH$87</f>
        <v>0.93996399111901396</v>
      </c>
      <c r="AJ8" s="87"/>
    </row>
    <row r="9" spans="1:36" s="2" customFormat="1" ht="35.4" customHeight="1" outlineLevel="2">
      <c r="A9" s="238"/>
      <c r="B9" s="31" t="s">
        <v>74</v>
      </c>
      <c r="C9" s="111">
        <v>68327</v>
      </c>
      <c r="D9" s="112">
        <v>0</v>
      </c>
      <c r="E9" s="106">
        <f>C9+D9</f>
        <v>68327</v>
      </c>
      <c r="F9" s="177">
        <f t="shared" si="0"/>
        <v>2.8794564546615754E-2</v>
      </c>
      <c r="G9" s="39">
        <v>64805.000000000015</v>
      </c>
      <c r="H9" s="39">
        <v>0</v>
      </c>
      <c r="I9" s="41">
        <f>G9+H9</f>
        <v>64805.000000000015</v>
      </c>
      <c r="J9" s="178">
        <f t="shared" ref="J9:J14" si="2">I9/$N$87</f>
        <v>0.31587479752881864</v>
      </c>
      <c r="K9" s="291"/>
      <c r="L9" s="163">
        <v>47495</v>
      </c>
      <c r="M9" s="112"/>
      <c r="N9" s="41">
        <f>L9+M9</f>
        <v>47495</v>
      </c>
      <c r="O9" s="178">
        <f t="shared" ref="O9:O14" si="3">N9/$N$87</f>
        <v>0.23150179011852848</v>
      </c>
      <c r="P9" s="291" t="s">
        <v>106</v>
      </c>
      <c r="Q9" s="163">
        <f>(6842.5*9)+3079.12+(4392.5*2)</f>
        <v>73446.62</v>
      </c>
      <c r="R9" s="112"/>
      <c r="S9" s="41">
        <f>Q9+R9</f>
        <v>73446.62</v>
      </c>
      <c r="T9" s="178">
        <f>S9/$S$87</f>
        <v>9.8944933881494557E-2</v>
      </c>
      <c r="U9" s="291" t="s">
        <v>119</v>
      </c>
      <c r="V9" s="163">
        <v>3550.51</v>
      </c>
      <c r="W9" s="112"/>
      <c r="X9" s="41">
        <f>V9+W9</f>
        <v>3550.51</v>
      </c>
      <c r="Y9" s="178">
        <f t="shared" ref="Y9:Y66" si="4">X9/$X$87</f>
        <v>3.6286827708090293E-3</v>
      </c>
      <c r="Z9" s="291" t="s">
        <v>157</v>
      </c>
      <c r="AA9" s="210">
        <f t="shared" ref="AA9:AA31" si="5">G9+L9+Q9+V9</f>
        <v>189297.13</v>
      </c>
      <c r="AB9" s="210">
        <f t="shared" ref="AB9:AB31" si="6">H9+M9+R9+W9</f>
        <v>0</v>
      </c>
      <c r="AC9" s="210">
        <f>AA9+AB9*1.15</f>
        <v>189297.13</v>
      </c>
      <c r="AD9" s="178">
        <f t="shared" si="1"/>
        <v>4.953292715949878E-2</v>
      </c>
      <c r="AE9" s="42"/>
      <c r="AF9" s="210">
        <f t="shared" ref="AF9:AF31" si="7">C9-AA9</f>
        <v>-120970.13</v>
      </c>
      <c r="AG9" s="210">
        <f t="shared" ref="AG9:AG31" si="8">D9-AB9</f>
        <v>0</v>
      </c>
      <c r="AH9" s="210">
        <f t="shared" ref="AH9:AH31" si="9">AF9+AG9*1.15</f>
        <v>-120970.13</v>
      </c>
      <c r="AI9" s="178">
        <f t="shared" ref="AI9:AI31" si="10">AH9/$AH$87</f>
        <v>9.2930670470628571E-2</v>
      </c>
      <c r="AJ9" s="42"/>
    </row>
    <row r="10" spans="1:36" s="2" customFormat="1" ht="14.4" customHeight="1" outlineLevel="2">
      <c r="A10" s="238"/>
      <c r="B10" s="31" t="s">
        <v>72</v>
      </c>
      <c r="C10" s="111">
        <v>13377</v>
      </c>
      <c r="D10" s="112"/>
      <c r="E10" s="106">
        <f t="shared" ref="E10:E31" si="11">C10+D10</f>
        <v>13377</v>
      </c>
      <c r="F10" s="177">
        <f t="shared" si="0"/>
        <v>5.6373745362752487E-3</v>
      </c>
      <c r="G10" s="39">
        <v>15700.000000000004</v>
      </c>
      <c r="H10" s="39">
        <v>0</v>
      </c>
      <c r="I10" s="41">
        <f t="shared" ref="I10:I31" si="12">G10+H10</f>
        <v>15700.000000000004</v>
      </c>
      <c r="J10" s="178">
        <f t="shared" si="2"/>
        <v>7.6525489101187449E-2</v>
      </c>
      <c r="K10" s="291"/>
      <c r="L10" s="163">
        <v>11505</v>
      </c>
      <c r="M10" s="112"/>
      <c r="N10" s="41">
        <f t="shared" ref="N10:N31" si="13">L10+M10</f>
        <v>11505</v>
      </c>
      <c r="O10" s="178">
        <f t="shared" si="3"/>
        <v>5.607807338274913E-2</v>
      </c>
      <c r="P10" s="291"/>
      <c r="Q10" s="163">
        <f>(1657.5*11)+745.88</f>
        <v>18978.38</v>
      </c>
      <c r="R10" s="112"/>
      <c r="S10" s="41">
        <f t="shared" ref="S10:S31" si="14">Q10+R10</f>
        <v>18978.38</v>
      </c>
      <c r="T10" s="178">
        <f t="shared" ref="T10:T31" si="15">S10/$S$87</f>
        <v>2.5567065635939117E-2</v>
      </c>
      <c r="U10" s="291"/>
      <c r="V10" s="163">
        <v>1657.5</v>
      </c>
      <c r="W10" s="112"/>
      <c r="X10" s="41">
        <f t="shared" ref="X10:X31" si="16">V10+W10</f>
        <v>1657.5</v>
      </c>
      <c r="Y10" s="178">
        <f t="shared" si="4"/>
        <v>1.6939937340314393E-3</v>
      </c>
      <c r="Z10" s="291"/>
      <c r="AA10" s="210">
        <f t="shared" si="5"/>
        <v>47840.880000000005</v>
      </c>
      <c r="AB10" s="210">
        <f t="shared" si="6"/>
        <v>0</v>
      </c>
      <c r="AC10" s="210">
        <f t="shared" ref="AC10:AC31" si="17">AA10+AB10*1.15</f>
        <v>47840.880000000005</v>
      </c>
      <c r="AD10" s="178">
        <f t="shared" si="1"/>
        <v>1.2518408621865118E-2</v>
      </c>
      <c r="AE10" s="42"/>
      <c r="AF10" s="210">
        <f t="shared" si="7"/>
        <v>-34463.880000000005</v>
      </c>
      <c r="AG10" s="210">
        <f t="shared" si="8"/>
        <v>0</v>
      </c>
      <c r="AH10" s="210">
        <f t="shared" si="9"/>
        <v>-34463.880000000005</v>
      </c>
      <c r="AI10" s="178">
        <f t="shared" si="10"/>
        <v>2.6475556200685962E-2</v>
      </c>
      <c r="AJ10" s="42"/>
    </row>
    <row r="11" spans="1:36" s="2" customFormat="1" ht="14.4" customHeight="1" outlineLevel="2">
      <c r="A11" s="238"/>
      <c r="B11" s="31" t="s">
        <v>69</v>
      </c>
      <c r="C11" s="111">
        <v>15092</v>
      </c>
      <c r="D11" s="112">
        <v>0</v>
      </c>
      <c r="E11" s="106">
        <f t="shared" si="11"/>
        <v>15092</v>
      </c>
      <c r="F11" s="177">
        <f t="shared" si="0"/>
        <v>6.3601148614387424E-3</v>
      </c>
      <c r="G11" s="39">
        <v>17710</v>
      </c>
      <c r="H11" s="39">
        <v>0</v>
      </c>
      <c r="I11" s="41">
        <f t="shared" si="12"/>
        <v>17710</v>
      </c>
      <c r="J11" s="178">
        <f t="shared" si="2"/>
        <v>8.6322701400129265E-2</v>
      </c>
      <c r="K11" s="291"/>
      <c r="L11" s="163">
        <v>12980</v>
      </c>
      <c r="M11" s="112"/>
      <c r="N11" s="41">
        <f t="shared" si="13"/>
        <v>12980</v>
      </c>
      <c r="O11" s="178">
        <f t="shared" si="3"/>
        <v>6.3267569970281073E-2</v>
      </c>
      <c r="P11" s="291"/>
      <c r="Q11" s="163">
        <f>(1870*11)+841.5</f>
        <v>21411.5</v>
      </c>
      <c r="R11" s="112"/>
      <c r="S11" s="41">
        <f t="shared" si="14"/>
        <v>21411.5</v>
      </c>
      <c r="T11" s="178">
        <f t="shared" si="15"/>
        <v>2.8844886964214566E-2</v>
      </c>
      <c r="U11" s="291"/>
      <c r="V11" s="163">
        <v>1870</v>
      </c>
      <c r="W11" s="112"/>
      <c r="X11" s="41">
        <f t="shared" si="16"/>
        <v>1870</v>
      </c>
      <c r="Y11" s="178">
        <f t="shared" si="4"/>
        <v>1.9111724178816239E-3</v>
      </c>
      <c r="Z11" s="291"/>
      <c r="AA11" s="210">
        <f t="shared" si="5"/>
        <v>53971.5</v>
      </c>
      <c r="AB11" s="210">
        <f t="shared" si="6"/>
        <v>0</v>
      </c>
      <c r="AC11" s="210">
        <f t="shared" si="17"/>
        <v>53971.5</v>
      </c>
      <c r="AD11" s="178">
        <f t="shared" si="1"/>
        <v>1.4122593291239483E-2</v>
      </c>
      <c r="AE11" s="42"/>
      <c r="AF11" s="210">
        <f t="shared" si="7"/>
        <v>-38879.5</v>
      </c>
      <c r="AG11" s="210">
        <f t="shared" si="8"/>
        <v>0</v>
      </c>
      <c r="AH11" s="210">
        <f t="shared" si="9"/>
        <v>-38879.5</v>
      </c>
      <c r="AI11" s="178">
        <f t="shared" si="10"/>
        <v>2.9867687193217064E-2</v>
      </c>
      <c r="AJ11" s="42"/>
    </row>
    <row r="12" spans="1:36" s="2" customFormat="1" ht="14.4" customHeight="1" outlineLevel="2">
      <c r="A12" s="238"/>
      <c r="B12" s="31" t="s">
        <v>73</v>
      </c>
      <c r="C12" s="111">
        <v>9901.5</v>
      </c>
      <c r="D12" s="112">
        <v>61973.499999999985</v>
      </c>
      <c r="E12" s="106">
        <f t="shared" si="11"/>
        <v>71874.999999999985</v>
      </c>
      <c r="F12" s="177">
        <f t="shared" si="0"/>
        <v>3.0289773102697422E-2</v>
      </c>
      <c r="G12" s="39">
        <v>3703</v>
      </c>
      <c r="H12" s="39">
        <v>39044.499999999993</v>
      </c>
      <c r="I12" s="41">
        <f t="shared" si="12"/>
        <v>42747.499999999993</v>
      </c>
      <c r="J12" s="178">
        <f t="shared" si="2"/>
        <v>0.20836135957662477</v>
      </c>
      <c r="K12" s="291"/>
      <c r="L12" s="163">
        <v>4266.5</v>
      </c>
      <c r="M12" s="112">
        <v>20734</v>
      </c>
      <c r="N12" s="41">
        <f t="shared" si="13"/>
        <v>25000.5</v>
      </c>
      <c r="O12" s="178">
        <f t="shared" si="3"/>
        <v>0.12185831148243544</v>
      </c>
      <c r="P12" s="291" t="s">
        <v>107</v>
      </c>
      <c r="Q12" s="163">
        <v>9660</v>
      </c>
      <c r="R12" s="112">
        <v>15340</v>
      </c>
      <c r="S12" s="41">
        <f t="shared" si="14"/>
        <v>25000</v>
      </c>
      <c r="T12" s="178">
        <f t="shared" si="15"/>
        <v>3.367919922029583E-2</v>
      </c>
      <c r="U12" s="291" t="s">
        <v>120</v>
      </c>
      <c r="V12" s="163">
        <v>7532.44</v>
      </c>
      <c r="W12" s="112">
        <v>17463.04</v>
      </c>
      <c r="X12" s="41">
        <f t="shared" si="16"/>
        <v>24995.48</v>
      </c>
      <c r="Y12" s="178">
        <f t="shared" si="4"/>
        <v>2.5545813875781698E-2</v>
      </c>
      <c r="Z12" s="291" t="s">
        <v>166</v>
      </c>
      <c r="AA12" s="210">
        <f t="shared" si="5"/>
        <v>25161.94</v>
      </c>
      <c r="AB12" s="210">
        <f t="shared" si="6"/>
        <v>92581.540000000008</v>
      </c>
      <c r="AC12" s="210">
        <f t="shared" si="17"/>
        <v>131630.71100000001</v>
      </c>
      <c r="AD12" s="178">
        <f t="shared" si="1"/>
        <v>3.4443493252729371E-2</v>
      </c>
      <c r="AE12" s="42"/>
      <c r="AF12" s="210">
        <f t="shared" si="7"/>
        <v>-15260.439999999999</v>
      </c>
      <c r="AG12" s="210">
        <f t="shared" si="8"/>
        <v>-30608.040000000023</v>
      </c>
      <c r="AH12" s="210">
        <f t="shared" si="9"/>
        <v>-50459.686000000016</v>
      </c>
      <c r="AI12" s="178">
        <f t="shared" si="10"/>
        <v>3.8763721686646047E-2</v>
      </c>
      <c r="AJ12" s="42"/>
    </row>
    <row r="13" spans="1:36" s="2" customFormat="1" ht="14.4" customHeight="1" outlineLevel="2">
      <c r="A13" s="238"/>
      <c r="B13" s="31" t="s">
        <v>71</v>
      </c>
      <c r="C13" s="111">
        <v>2706</v>
      </c>
      <c r="D13" s="112">
        <v>0</v>
      </c>
      <c r="E13" s="106">
        <f t="shared" si="11"/>
        <v>2706</v>
      </c>
      <c r="F13" s="177">
        <f t="shared" si="0"/>
        <v>1.1403704489168591E-3</v>
      </c>
      <c r="G13" s="39">
        <v>897</v>
      </c>
      <c r="H13" s="39">
        <v>0</v>
      </c>
      <c r="I13" s="41">
        <f t="shared" si="12"/>
        <v>897</v>
      </c>
      <c r="J13" s="178">
        <f t="shared" si="2"/>
        <v>4.3721887722143393E-3</v>
      </c>
      <c r="K13" s="291"/>
      <c r="L13" s="163">
        <v>1033.5</v>
      </c>
      <c r="M13" s="112"/>
      <c r="N13" s="41">
        <f t="shared" si="13"/>
        <v>1033.5</v>
      </c>
      <c r="O13" s="178">
        <f t="shared" si="3"/>
        <v>5.0375218462469559E-3</v>
      </c>
      <c r="P13" s="291"/>
      <c r="Q13" s="163">
        <v>1883.7</v>
      </c>
      <c r="R13" s="112"/>
      <c r="S13" s="41">
        <f t="shared" si="14"/>
        <v>1883.7</v>
      </c>
      <c r="T13" s="178">
        <f t="shared" si="15"/>
        <v>2.53766030285085E-3</v>
      </c>
      <c r="U13" s="291"/>
      <c r="V13" s="163">
        <v>1824.6286500000001</v>
      </c>
      <c r="W13" s="112"/>
      <c r="X13" s="41">
        <f t="shared" si="16"/>
        <v>1824.6286500000001</v>
      </c>
      <c r="Y13" s="178">
        <f t="shared" si="4"/>
        <v>1.8648021116345367E-3</v>
      </c>
      <c r="Z13" s="291"/>
      <c r="AA13" s="210">
        <f t="shared" si="5"/>
        <v>5638.8286499999995</v>
      </c>
      <c r="AB13" s="210">
        <f t="shared" si="6"/>
        <v>0</v>
      </c>
      <c r="AC13" s="210">
        <f t="shared" si="17"/>
        <v>5638.8286499999995</v>
      </c>
      <c r="AD13" s="178">
        <f t="shared" si="1"/>
        <v>1.475498803311729E-3</v>
      </c>
      <c r="AE13" s="42"/>
      <c r="AF13" s="210">
        <f t="shared" si="7"/>
        <v>-2932.8286499999995</v>
      </c>
      <c r="AG13" s="210">
        <f t="shared" si="8"/>
        <v>0</v>
      </c>
      <c r="AH13" s="210">
        <f t="shared" si="9"/>
        <v>-2932.8286499999995</v>
      </c>
      <c r="AI13" s="178">
        <f t="shared" si="10"/>
        <v>2.2530333134300872E-3</v>
      </c>
      <c r="AJ13" s="42"/>
    </row>
    <row r="14" spans="1:36" s="2" customFormat="1" ht="14.4" customHeight="1" outlineLevel="2">
      <c r="A14" s="238"/>
      <c r="B14" s="31" t="s">
        <v>70</v>
      </c>
      <c r="C14" s="111">
        <v>2398.5</v>
      </c>
      <c r="D14" s="112">
        <v>0</v>
      </c>
      <c r="E14" s="106">
        <f t="shared" si="11"/>
        <v>2398.5</v>
      </c>
      <c r="F14" s="177">
        <f t="shared" si="0"/>
        <v>1.0107828979035796E-3</v>
      </c>
      <c r="G14" s="39">
        <v>1012</v>
      </c>
      <c r="H14" s="39">
        <v>0</v>
      </c>
      <c r="I14" s="41">
        <f t="shared" si="12"/>
        <v>1012</v>
      </c>
      <c r="J14" s="178">
        <f t="shared" si="2"/>
        <v>4.9327257942931007E-3</v>
      </c>
      <c r="K14" s="291"/>
      <c r="L14" s="163">
        <v>1166</v>
      </c>
      <c r="M14" s="112"/>
      <c r="N14" s="41">
        <f t="shared" si="13"/>
        <v>1166</v>
      </c>
      <c r="O14" s="178">
        <f t="shared" si="3"/>
        <v>5.6833579803811807E-3</v>
      </c>
      <c r="P14" s="291"/>
      <c r="Q14" s="163">
        <v>2640</v>
      </c>
      <c r="R14" s="112"/>
      <c r="S14" s="41">
        <f t="shared" si="14"/>
        <v>2640</v>
      </c>
      <c r="T14" s="178">
        <f t="shared" si="15"/>
        <v>3.5565234376632392E-3</v>
      </c>
      <c r="U14" s="291"/>
      <c r="V14" s="163">
        <v>2058.5553999999997</v>
      </c>
      <c r="W14" s="112"/>
      <c r="X14" s="41">
        <f t="shared" si="16"/>
        <v>2058.5553999999997</v>
      </c>
      <c r="Y14" s="178">
        <f t="shared" si="4"/>
        <v>2.1038793054338357E-3</v>
      </c>
      <c r="Z14" s="291"/>
      <c r="AA14" s="210">
        <f t="shared" si="5"/>
        <v>6876.5553999999993</v>
      </c>
      <c r="AB14" s="210">
        <f t="shared" si="6"/>
        <v>0</v>
      </c>
      <c r="AC14" s="210">
        <f t="shared" si="17"/>
        <v>6876.5553999999993</v>
      </c>
      <c r="AD14" s="178">
        <f t="shared" si="1"/>
        <v>1.7993718010223291E-3</v>
      </c>
      <c r="AE14" s="42"/>
      <c r="AF14" s="210">
        <f t="shared" si="7"/>
        <v>-4478.0553999999993</v>
      </c>
      <c r="AG14" s="210">
        <f t="shared" si="8"/>
        <v>0</v>
      </c>
      <c r="AH14" s="210">
        <f t="shared" si="9"/>
        <v>-4478.0553999999993</v>
      </c>
      <c r="AI14" s="178">
        <f t="shared" si="10"/>
        <v>3.4400945979525584E-3</v>
      </c>
      <c r="AJ14" s="42"/>
    </row>
    <row r="15" spans="1:36" s="2" customFormat="1" ht="15" customHeight="1" outlineLevel="2">
      <c r="A15" s="238"/>
      <c r="B15" s="7" t="s">
        <v>20</v>
      </c>
      <c r="C15" s="111"/>
      <c r="D15" s="113"/>
      <c r="E15" s="106">
        <f t="shared" si="11"/>
        <v>0</v>
      </c>
      <c r="F15" s="177">
        <f t="shared" si="0"/>
        <v>0</v>
      </c>
      <c r="G15" s="39">
        <v>0</v>
      </c>
      <c r="H15" s="39">
        <v>0</v>
      </c>
      <c r="I15" s="41">
        <f t="shared" si="12"/>
        <v>0</v>
      </c>
      <c r="J15" s="178">
        <f t="shared" ref="J15:J24" si="18">I15/$E$87</f>
        <v>0</v>
      </c>
      <c r="K15" s="291"/>
      <c r="L15" s="161"/>
      <c r="M15" s="113"/>
      <c r="N15" s="41">
        <f t="shared" si="13"/>
        <v>0</v>
      </c>
      <c r="O15" s="178">
        <f t="shared" ref="O15:O31" si="19">N15/$E$87</f>
        <v>0</v>
      </c>
      <c r="P15" s="291"/>
      <c r="Q15" s="161"/>
      <c r="R15" s="113"/>
      <c r="S15" s="41">
        <f t="shared" si="14"/>
        <v>0</v>
      </c>
      <c r="T15" s="178">
        <f t="shared" si="15"/>
        <v>0</v>
      </c>
      <c r="U15" s="291"/>
      <c r="V15" s="161"/>
      <c r="W15" s="113"/>
      <c r="X15" s="41">
        <f t="shared" si="16"/>
        <v>0</v>
      </c>
      <c r="Y15" s="178">
        <f t="shared" si="4"/>
        <v>0</v>
      </c>
      <c r="Z15" s="291"/>
      <c r="AA15" s="210">
        <f t="shared" si="5"/>
        <v>0</v>
      </c>
      <c r="AB15" s="210">
        <f t="shared" si="6"/>
        <v>0</v>
      </c>
      <c r="AC15" s="210">
        <f t="shared" si="17"/>
        <v>0</v>
      </c>
      <c r="AD15" s="178">
        <f t="shared" si="1"/>
        <v>0</v>
      </c>
      <c r="AE15" s="42"/>
      <c r="AF15" s="210">
        <f t="shared" si="7"/>
        <v>0</v>
      </c>
      <c r="AG15" s="210">
        <f t="shared" si="8"/>
        <v>0</v>
      </c>
      <c r="AH15" s="210">
        <f t="shared" si="9"/>
        <v>0</v>
      </c>
      <c r="AI15" s="178">
        <f t="shared" si="10"/>
        <v>0</v>
      </c>
      <c r="AJ15" s="42"/>
    </row>
    <row r="16" spans="1:36" s="226" customFormat="1" ht="25.95" customHeight="1" outlineLevel="2">
      <c r="A16" s="238"/>
      <c r="B16" s="262" t="s">
        <v>21</v>
      </c>
      <c r="C16" s="111"/>
      <c r="D16" s="113">
        <v>634634.64293716056</v>
      </c>
      <c r="E16" s="106">
        <f t="shared" si="11"/>
        <v>634634.64293716056</v>
      </c>
      <c r="F16" s="177">
        <f t="shared" si="0"/>
        <v>0.26744959078508512</v>
      </c>
      <c r="G16" s="39">
        <v>0</v>
      </c>
      <c r="H16" s="39">
        <v>360320</v>
      </c>
      <c r="I16" s="41">
        <f t="shared" si="12"/>
        <v>360320</v>
      </c>
      <c r="J16" s="178">
        <f t="shared" si="18"/>
        <v>0.15184711018245478</v>
      </c>
      <c r="K16" s="291"/>
      <c r="L16" s="161"/>
      <c r="M16" s="113"/>
      <c r="N16" s="41">
        <f t="shared" si="13"/>
        <v>0</v>
      </c>
      <c r="O16" s="178">
        <f t="shared" si="19"/>
        <v>0</v>
      </c>
      <c r="P16" s="291"/>
      <c r="Q16" s="161"/>
      <c r="R16" s="113">
        <f>145166+47817</f>
        <v>192983</v>
      </c>
      <c r="S16" s="41">
        <f t="shared" si="14"/>
        <v>192983</v>
      </c>
      <c r="T16" s="178">
        <f t="shared" si="15"/>
        <v>0.259980516125214</v>
      </c>
      <c r="U16" s="291" t="s">
        <v>132</v>
      </c>
      <c r="V16" s="161"/>
      <c r="W16" s="113">
        <v>174796</v>
      </c>
      <c r="X16" s="41">
        <f t="shared" si="16"/>
        <v>174796</v>
      </c>
      <c r="Y16" s="178">
        <f t="shared" si="4"/>
        <v>0.17864454222247933</v>
      </c>
      <c r="Z16" s="291" t="s">
        <v>158</v>
      </c>
      <c r="AA16" s="210">
        <f t="shared" si="5"/>
        <v>0</v>
      </c>
      <c r="AB16" s="210">
        <f t="shared" si="6"/>
        <v>728099</v>
      </c>
      <c r="AC16" s="210">
        <f t="shared" si="17"/>
        <v>837313.85</v>
      </c>
      <c r="AD16" s="178">
        <f t="shared" si="1"/>
        <v>0.21909791205862172</v>
      </c>
      <c r="AE16" s="42"/>
      <c r="AF16" s="210">
        <f t="shared" si="7"/>
        <v>0</v>
      </c>
      <c r="AG16" s="210">
        <f t="shared" si="8"/>
        <v>-93464.357062839437</v>
      </c>
      <c r="AH16" s="210">
        <f t="shared" si="9"/>
        <v>-107484.01062226534</v>
      </c>
      <c r="AI16" s="178">
        <f t="shared" si="10"/>
        <v>8.2570475637244345E-2</v>
      </c>
      <c r="AJ16" s="42"/>
    </row>
    <row r="17" spans="1:38" s="2" customFormat="1" ht="14.4" customHeight="1" outlineLevel="2">
      <c r="A17" s="238"/>
      <c r="B17" s="7" t="s">
        <v>22</v>
      </c>
      <c r="C17" s="111"/>
      <c r="D17" s="113"/>
      <c r="E17" s="106">
        <f t="shared" si="11"/>
        <v>0</v>
      </c>
      <c r="F17" s="177">
        <f t="shared" si="0"/>
        <v>0</v>
      </c>
      <c r="G17" s="39">
        <v>0</v>
      </c>
      <c r="H17" s="39">
        <v>0</v>
      </c>
      <c r="I17" s="41">
        <f t="shared" si="12"/>
        <v>0</v>
      </c>
      <c r="J17" s="178">
        <f t="shared" si="18"/>
        <v>0</v>
      </c>
      <c r="K17" s="291"/>
      <c r="L17" s="161"/>
      <c r="M17" s="113"/>
      <c r="N17" s="41">
        <f t="shared" si="13"/>
        <v>0</v>
      </c>
      <c r="O17" s="178">
        <f t="shared" si="19"/>
        <v>0</v>
      </c>
      <c r="P17" s="291"/>
      <c r="Q17" s="161"/>
      <c r="R17" s="113"/>
      <c r="S17" s="41">
        <f t="shared" si="14"/>
        <v>0</v>
      </c>
      <c r="T17" s="178">
        <f t="shared" si="15"/>
        <v>0</v>
      </c>
      <c r="U17" s="291"/>
      <c r="V17" s="161"/>
      <c r="W17" s="113">
        <v>12500</v>
      </c>
      <c r="X17" s="41">
        <f t="shared" si="16"/>
        <v>12500</v>
      </c>
      <c r="Y17" s="178">
        <f t="shared" si="4"/>
        <v>1.2775216697069679E-2</v>
      </c>
      <c r="Z17" s="291" t="s">
        <v>180</v>
      </c>
      <c r="AA17" s="210">
        <f t="shared" si="5"/>
        <v>0</v>
      </c>
      <c r="AB17" s="210">
        <f t="shared" si="6"/>
        <v>12500</v>
      </c>
      <c r="AC17" s="210">
        <f t="shared" si="17"/>
        <v>14374.999999999998</v>
      </c>
      <c r="AD17" s="178">
        <f t="shared" si="1"/>
        <v>3.7614718612891535E-3</v>
      </c>
      <c r="AE17" s="42"/>
      <c r="AF17" s="210">
        <f t="shared" si="7"/>
        <v>0</v>
      </c>
      <c r="AG17" s="210">
        <f t="shared" si="8"/>
        <v>-12500</v>
      </c>
      <c r="AH17" s="210">
        <f t="shared" si="9"/>
        <v>-14374.999999999998</v>
      </c>
      <c r="AI17" s="178">
        <f t="shared" si="10"/>
        <v>1.104304333652684E-2</v>
      </c>
      <c r="AJ17" s="42"/>
    </row>
    <row r="18" spans="1:38" s="2" customFormat="1" ht="14.4" customHeight="1" outlineLevel="2">
      <c r="A18" s="238"/>
      <c r="B18" s="7" t="s">
        <v>0</v>
      </c>
      <c r="C18" s="111"/>
      <c r="D18" s="113"/>
      <c r="E18" s="106">
        <f t="shared" si="11"/>
        <v>0</v>
      </c>
      <c r="F18" s="177">
        <f t="shared" si="0"/>
        <v>0</v>
      </c>
      <c r="G18" s="39">
        <v>0</v>
      </c>
      <c r="H18" s="39">
        <v>300</v>
      </c>
      <c r="I18" s="41">
        <f t="shared" si="12"/>
        <v>300</v>
      </c>
      <c r="J18" s="178">
        <f t="shared" si="18"/>
        <v>1.264268790373458E-4</v>
      </c>
      <c r="K18" s="291"/>
      <c r="L18" s="161"/>
      <c r="M18" s="113"/>
      <c r="N18" s="41">
        <f t="shared" si="13"/>
        <v>0</v>
      </c>
      <c r="O18" s="178">
        <f t="shared" si="19"/>
        <v>0</v>
      </c>
      <c r="P18" s="291"/>
      <c r="Q18" s="161"/>
      <c r="R18" s="113"/>
      <c r="S18" s="41">
        <f t="shared" si="14"/>
        <v>0</v>
      </c>
      <c r="T18" s="178">
        <f t="shared" si="15"/>
        <v>0</v>
      </c>
      <c r="U18" s="291"/>
      <c r="V18" s="161"/>
      <c r="W18" s="113"/>
      <c r="X18" s="41">
        <f t="shared" si="16"/>
        <v>0</v>
      </c>
      <c r="Y18" s="178">
        <f t="shared" si="4"/>
        <v>0</v>
      </c>
      <c r="Z18" s="291"/>
      <c r="AA18" s="210">
        <f t="shared" si="5"/>
        <v>0</v>
      </c>
      <c r="AB18" s="210">
        <f t="shared" si="6"/>
        <v>300</v>
      </c>
      <c r="AC18" s="210">
        <f t="shared" si="17"/>
        <v>345</v>
      </c>
      <c r="AD18" s="178">
        <f t="shared" si="1"/>
        <v>9.0275324670939695E-5</v>
      </c>
      <c r="AE18" s="42"/>
      <c r="AF18" s="210">
        <f t="shared" si="7"/>
        <v>0</v>
      </c>
      <c r="AG18" s="210">
        <f t="shared" si="8"/>
        <v>-300</v>
      </c>
      <c r="AH18" s="210">
        <f t="shared" si="9"/>
        <v>-345</v>
      </c>
      <c r="AI18" s="178">
        <f t="shared" si="10"/>
        <v>2.6503304007664417E-4</v>
      </c>
      <c r="AJ18" s="42"/>
    </row>
    <row r="19" spans="1:38" s="2" customFormat="1" ht="28.2" customHeight="1" outlineLevel="2">
      <c r="A19" s="238"/>
      <c r="B19" s="7" t="s">
        <v>53</v>
      </c>
      <c r="C19" s="114">
        <v>2000</v>
      </c>
      <c r="D19" s="113">
        <v>0</v>
      </c>
      <c r="E19" s="106">
        <f t="shared" si="11"/>
        <v>2000</v>
      </c>
      <c r="F19" s="177">
        <f t="shared" si="0"/>
        <v>8.4284586024897194E-4</v>
      </c>
      <c r="G19" s="39">
        <f>2640+850</f>
        <v>3490</v>
      </c>
      <c r="H19" s="39">
        <v>0</v>
      </c>
      <c r="I19" s="41">
        <f t="shared" si="12"/>
        <v>3490</v>
      </c>
      <c r="J19" s="178">
        <f t="shared" si="18"/>
        <v>1.470766026134456E-3</v>
      </c>
      <c r="K19" s="291"/>
      <c r="L19" s="161"/>
      <c r="M19" s="113"/>
      <c r="N19" s="41">
        <f t="shared" si="13"/>
        <v>0</v>
      </c>
      <c r="O19" s="178">
        <f t="shared" si="19"/>
        <v>0</v>
      </c>
      <c r="P19" s="291"/>
      <c r="Q19" s="161">
        <f>1080*1.2</f>
        <v>1296</v>
      </c>
      <c r="R19" s="113"/>
      <c r="S19" s="41">
        <f t="shared" si="14"/>
        <v>1296</v>
      </c>
      <c r="T19" s="178">
        <f t="shared" si="15"/>
        <v>1.7459296875801356E-3</v>
      </c>
      <c r="U19" s="291" t="s">
        <v>122</v>
      </c>
      <c r="V19" s="161">
        <f>150*1.2</f>
        <v>180</v>
      </c>
      <c r="W19" s="113"/>
      <c r="X19" s="41">
        <f t="shared" si="16"/>
        <v>180</v>
      </c>
      <c r="Y19" s="178">
        <f t="shared" si="4"/>
        <v>1.8396312043780338E-4</v>
      </c>
      <c r="Z19" s="291" t="s">
        <v>160</v>
      </c>
      <c r="AA19" s="210">
        <f t="shared" si="5"/>
        <v>4966</v>
      </c>
      <c r="AB19" s="210">
        <f t="shared" si="6"/>
        <v>0</v>
      </c>
      <c r="AC19" s="210">
        <f t="shared" si="17"/>
        <v>4966</v>
      </c>
      <c r="AD19" s="178">
        <f t="shared" si="1"/>
        <v>1.2994413400460479E-3</v>
      </c>
      <c r="AE19" s="42"/>
      <c r="AF19" s="210">
        <f t="shared" si="7"/>
        <v>-2966</v>
      </c>
      <c r="AG19" s="210">
        <f t="shared" si="8"/>
        <v>0</v>
      </c>
      <c r="AH19" s="210">
        <f t="shared" si="9"/>
        <v>-2966</v>
      </c>
      <c r="AI19" s="178">
        <f t="shared" si="10"/>
        <v>2.278515932948773E-3</v>
      </c>
      <c r="AJ19" s="42"/>
    </row>
    <row r="20" spans="1:38" s="2" customFormat="1" ht="14.4" customHeight="1" outlineLevel="2">
      <c r="A20" s="238"/>
      <c r="B20" s="7" t="s">
        <v>57</v>
      </c>
      <c r="C20" s="114"/>
      <c r="D20" s="113"/>
      <c r="E20" s="106">
        <f t="shared" si="11"/>
        <v>0</v>
      </c>
      <c r="F20" s="177">
        <f t="shared" si="0"/>
        <v>0</v>
      </c>
      <c r="G20" s="39">
        <v>0</v>
      </c>
      <c r="H20" s="39">
        <v>0</v>
      </c>
      <c r="I20" s="41">
        <f t="shared" si="12"/>
        <v>0</v>
      </c>
      <c r="J20" s="178">
        <f t="shared" si="18"/>
        <v>0</v>
      </c>
      <c r="K20" s="291"/>
      <c r="L20" s="161"/>
      <c r="M20" s="113"/>
      <c r="N20" s="41">
        <f t="shared" si="13"/>
        <v>0</v>
      </c>
      <c r="O20" s="178">
        <f t="shared" si="19"/>
        <v>0</v>
      </c>
      <c r="P20" s="291"/>
      <c r="Q20" s="161"/>
      <c r="R20" s="113"/>
      <c r="S20" s="41">
        <f t="shared" si="14"/>
        <v>0</v>
      </c>
      <c r="T20" s="178">
        <f t="shared" si="15"/>
        <v>0</v>
      </c>
      <c r="U20" s="291"/>
      <c r="V20" s="161"/>
      <c r="W20" s="113"/>
      <c r="X20" s="41">
        <f t="shared" si="16"/>
        <v>0</v>
      </c>
      <c r="Y20" s="178">
        <f t="shared" si="4"/>
        <v>0</v>
      </c>
      <c r="Z20" s="291"/>
      <c r="AA20" s="210">
        <f t="shared" si="5"/>
        <v>0</v>
      </c>
      <c r="AB20" s="210">
        <f t="shared" si="6"/>
        <v>0</v>
      </c>
      <c r="AC20" s="210">
        <f t="shared" si="17"/>
        <v>0</v>
      </c>
      <c r="AD20" s="178">
        <f t="shared" si="1"/>
        <v>0</v>
      </c>
      <c r="AE20" s="42"/>
      <c r="AF20" s="210">
        <f t="shared" si="7"/>
        <v>0</v>
      </c>
      <c r="AG20" s="210">
        <f t="shared" si="8"/>
        <v>0</v>
      </c>
      <c r="AH20" s="210">
        <f t="shared" si="9"/>
        <v>0</v>
      </c>
      <c r="AI20" s="178">
        <f t="shared" si="10"/>
        <v>0</v>
      </c>
      <c r="AJ20" s="42"/>
    </row>
    <row r="21" spans="1:38" s="226" customFormat="1" ht="113.4" customHeight="1" outlineLevel="2">
      <c r="A21" s="238"/>
      <c r="B21" s="262" t="s">
        <v>58</v>
      </c>
      <c r="C21" s="114">
        <v>194438.24</v>
      </c>
      <c r="D21" s="113">
        <v>0</v>
      </c>
      <c r="E21" s="106">
        <f t="shared" si="11"/>
        <v>194438.24</v>
      </c>
      <c r="F21" s="177">
        <f t="shared" si="0"/>
        <v>8.1940732829048027E-2</v>
      </c>
      <c r="G21" s="39">
        <v>151582.15600000002</v>
      </c>
      <c r="H21" s="39">
        <v>0</v>
      </c>
      <c r="I21" s="41">
        <f t="shared" si="12"/>
        <v>151582.15600000002</v>
      </c>
      <c r="J21" s="178">
        <f t="shared" si="18"/>
        <v>6.3880196336106934E-2</v>
      </c>
      <c r="K21" s="291"/>
      <c r="L21" s="161"/>
      <c r="M21" s="113"/>
      <c r="N21" s="41">
        <f t="shared" si="13"/>
        <v>0</v>
      </c>
      <c r="O21" s="178">
        <f t="shared" si="19"/>
        <v>0</v>
      </c>
      <c r="P21" s="291"/>
      <c r="Q21" s="161">
        <f>(35333.33*1.2)+73204</f>
        <v>115603.996</v>
      </c>
      <c r="R21" s="113"/>
      <c r="S21" s="41">
        <f t="shared" si="14"/>
        <v>115603.996</v>
      </c>
      <c r="T21" s="178">
        <f>S21/$S$87</f>
        <v>0.15573800047785127</v>
      </c>
      <c r="U21" s="291" t="s">
        <v>125</v>
      </c>
      <c r="V21" s="161">
        <f>2649.92+ ((16333.34+18333.33+8250+2000)*1.2)</f>
        <v>56549.923999999992</v>
      </c>
      <c r="W21" s="113"/>
      <c r="X21" s="41">
        <f t="shared" si="16"/>
        <v>56549.923999999992</v>
      </c>
      <c r="Y21" s="178">
        <f t="shared" si="4"/>
        <v>5.77950026642257E-2</v>
      </c>
      <c r="Z21" s="291" t="s">
        <v>159</v>
      </c>
      <c r="AA21" s="210">
        <f t="shared" si="5"/>
        <v>323736.076</v>
      </c>
      <c r="AB21" s="210">
        <f t="shared" si="6"/>
        <v>0</v>
      </c>
      <c r="AC21" s="210">
        <f t="shared" si="17"/>
        <v>323736.076</v>
      </c>
      <c r="AD21" s="178">
        <f t="shared" si="1"/>
        <v>8.4711244546655101E-2</v>
      </c>
      <c r="AE21" s="42"/>
      <c r="AF21" s="210">
        <f t="shared" si="7"/>
        <v>-129297.83600000001</v>
      </c>
      <c r="AG21" s="210">
        <f t="shared" si="8"/>
        <v>0</v>
      </c>
      <c r="AH21" s="210">
        <f t="shared" si="9"/>
        <v>-129297.83600000001</v>
      </c>
      <c r="AI21" s="178">
        <f t="shared" si="10"/>
        <v>9.9328111740322814E-2</v>
      </c>
      <c r="AJ21" s="42"/>
    </row>
    <row r="22" spans="1:38" s="2" customFormat="1" ht="64.2" customHeight="1" outlineLevel="2">
      <c r="A22" s="238"/>
      <c r="B22" s="7" t="s">
        <v>23</v>
      </c>
      <c r="C22" s="114">
        <v>10000</v>
      </c>
      <c r="D22" s="113">
        <v>0</v>
      </c>
      <c r="E22" s="106">
        <f t="shared" si="11"/>
        <v>10000</v>
      </c>
      <c r="F22" s="177">
        <f t="shared" si="0"/>
        <v>4.2142293012448597E-3</v>
      </c>
      <c r="G22" s="39">
        <v>24239.999999999993</v>
      </c>
      <c r="H22" s="39">
        <v>3300</v>
      </c>
      <c r="I22" s="41">
        <f t="shared" si="12"/>
        <v>27539.999999999993</v>
      </c>
      <c r="J22" s="178">
        <f t="shared" si="18"/>
        <v>1.160598749562834E-2</v>
      </c>
      <c r="K22" s="291"/>
      <c r="L22" s="161"/>
      <c r="M22" s="113"/>
      <c r="N22" s="41">
        <f t="shared" si="13"/>
        <v>0</v>
      </c>
      <c r="O22" s="178">
        <f t="shared" si="19"/>
        <v>0</v>
      </c>
      <c r="P22" s="291"/>
      <c r="Q22" s="161">
        <f>500*1.2</f>
        <v>600</v>
      </c>
      <c r="R22" s="113"/>
      <c r="S22" s="41">
        <f t="shared" si="14"/>
        <v>600</v>
      </c>
      <c r="T22" s="178">
        <f t="shared" si="15"/>
        <v>8.0830078128709987E-4</v>
      </c>
      <c r="U22" s="291" t="s">
        <v>121</v>
      </c>
      <c r="V22" s="161">
        <f>(6833.34+2083.33)*1.2</f>
        <v>10700.003999999999</v>
      </c>
      <c r="W22" s="113">
        <v>2100</v>
      </c>
      <c r="X22" s="41">
        <f t="shared" si="16"/>
        <v>12800.003999999999</v>
      </c>
      <c r="Y22" s="178">
        <f t="shared" si="4"/>
        <v>1.3081825985868692E-2</v>
      </c>
      <c r="Z22" s="291" t="s">
        <v>163</v>
      </c>
      <c r="AA22" s="210">
        <f t="shared" si="5"/>
        <v>35540.003999999994</v>
      </c>
      <c r="AB22" s="210">
        <f t="shared" si="6"/>
        <v>5400</v>
      </c>
      <c r="AC22" s="210">
        <f t="shared" si="17"/>
        <v>41750.003999999994</v>
      </c>
      <c r="AD22" s="178">
        <f t="shared" si="1"/>
        <v>1.0924623669892842E-2</v>
      </c>
      <c r="AE22" s="42"/>
      <c r="AF22" s="210">
        <f t="shared" si="7"/>
        <v>-25540.003999999994</v>
      </c>
      <c r="AG22" s="210">
        <f t="shared" si="8"/>
        <v>-5400</v>
      </c>
      <c r="AH22" s="210">
        <f t="shared" si="9"/>
        <v>-31750.003999999994</v>
      </c>
      <c r="AI22" s="178">
        <f t="shared" si="10"/>
        <v>2.4390724877001772E-2</v>
      </c>
      <c r="AJ22" s="42"/>
    </row>
    <row r="23" spans="1:38" s="2" customFormat="1" ht="25.2" customHeight="1" outlineLevel="2">
      <c r="A23" s="238"/>
      <c r="B23" s="7" t="s">
        <v>24</v>
      </c>
      <c r="C23" s="114">
        <v>50000</v>
      </c>
      <c r="D23" s="113">
        <v>0</v>
      </c>
      <c r="E23" s="106">
        <f t="shared" si="11"/>
        <v>50000</v>
      </c>
      <c r="F23" s="177">
        <f t="shared" si="0"/>
        <v>2.1071146506224298E-2</v>
      </c>
      <c r="G23" s="39">
        <v>26408.591999999997</v>
      </c>
      <c r="H23" s="39">
        <v>15324</v>
      </c>
      <c r="I23" s="41">
        <f t="shared" si="12"/>
        <v>41732.591999999997</v>
      </c>
      <c r="J23" s="178">
        <f t="shared" si="18"/>
        <v>1.758707120232968E-2</v>
      </c>
      <c r="K23" s="291"/>
      <c r="L23" s="161"/>
      <c r="M23" s="113"/>
      <c r="N23" s="41">
        <f t="shared" si="13"/>
        <v>0</v>
      </c>
      <c r="O23" s="178">
        <f t="shared" si="19"/>
        <v>0</v>
      </c>
      <c r="P23" s="291" t="s">
        <v>98</v>
      </c>
      <c r="Q23" s="161"/>
      <c r="R23" s="113">
        <v>2290</v>
      </c>
      <c r="S23" s="41">
        <f t="shared" si="14"/>
        <v>2290</v>
      </c>
      <c r="T23" s="178">
        <f t="shared" si="15"/>
        <v>3.0850146485790976E-3</v>
      </c>
      <c r="U23" s="291"/>
      <c r="V23" s="161">
        <f>34905.75*1.2</f>
        <v>41886.9</v>
      </c>
      <c r="W23" s="113">
        <f>993+260</f>
        <v>1253</v>
      </c>
      <c r="X23" s="41">
        <f t="shared" si="16"/>
        <v>43139.9</v>
      </c>
      <c r="Y23" s="178">
        <f t="shared" si="4"/>
        <v>4.4089725663193302E-2</v>
      </c>
      <c r="Z23" s="291" t="s">
        <v>164</v>
      </c>
      <c r="AA23" s="210">
        <f t="shared" si="5"/>
        <v>68295.491999999998</v>
      </c>
      <c r="AB23" s="210">
        <f t="shared" si="6"/>
        <v>18867</v>
      </c>
      <c r="AC23" s="210">
        <f t="shared" si="17"/>
        <v>89992.542000000001</v>
      </c>
      <c r="AD23" s="178">
        <f t="shared" si="1"/>
        <v>2.354813317974834E-2</v>
      </c>
      <c r="AE23" s="42"/>
      <c r="AF23" s="210">
        <f t="shared" si="7"/>
        <v>-18295.491999999998</v>
      </c>
      <c r="AG23" s="210">
        <f t="shared" si="8"/>
        <v>-18867</v>
      </c>
      <c r="AH23" s="210">
        <f t="shared" si="9"/>
        <v>-39992.542000000001</v>
      </c>
      <c r="AI23" s="178">
        <f t="shared" si="10"/>
        <v>3.0722739091747466E-2</v>
      </c>
      <c r="AJ23" s="42"/>
    </row>
    <row r="24" spans="1:38" s="2" customFormat="1" ht="25.2" customHeight="1" outlineLevel="2">
      <c r="A24" s="238"/>
      <c r="B24" s="7" t="s">
        <v>45</v>
      </c>
      <c r="C24" s="114">
        <v>781652.62</v>
      </c>
      <c r="D24" s="113">
        <v>0</v>
      </c>
      <c r="E24" s="106">
        <f t="shared" si="11"/>
        <v>781652.62</v>
      </c>
      <c r="F24" s="177">
        <f t="shared" si="0"/>
        <v>0.3294063374598814</v>
      </c>
      <c r="G24" s="39">
        <v>818952.48</v>
      </c>
      <c r="H24" s="39">
        <v>1880</v>
      </c>
      <c r="I24" s="41">
        <f t="shared" si="12"/>
        <v>820832.48</v>
      </c>
      <c r="J24" s="178">
        <f t="shared" si="18"/>
        <v>0.34591762886294852</v>
      </c>
      <c r="K24" s="291"/>
      <c r="L24" s="161"/>
      <c r="M24" s="113"/>
      <c r="N24" s="41">
        <f t="shared" si="13"/>
        <v>0</v>
      </c>
      <c r="O24" s="178">
        <f t="shared" si="19"/>
        <v>0</v>
      </c>
      <c r="P24" s="291" t="s">
        <v>98</v>
      </c>
      <c r="Q24" s="161">
        <v>187286.42399999997</v>
      </c>
      <c r="R24" s="113"/>
      <c r="S24" s="41">
        <f t="shared" si="14"/>
        <v>187286.42399999997</v>
      </c>
      <c r="T24" s="178">
        <f t="shared" si="15"/>
        <v>0.25230627140611173</v>
      </c>
      <c r="U24" s="291" t="s">
        <v>126</v>
      </c>
      <c r="V24" s="161">
        <f>(416310.41+20360.05)*1.2</f>
        <v>524004.55199999991</v>
      </c>
      <c r="W24" s="113">
        <v>208</v>
      </c>
      <c r="X24" s="41">
        <f t="shared" si="16"/>
        <v>524212.55199999991</v>
      </c>
      <c r="Y24" s="178">
        <f t="shared" si="4"/>
        <v>0.5357543157699125</v>
      </c>
      <c r="Z24" s="291"/>
      <c r="AA24" s="210">
        <f t="shared" si="5"/>
        <v>1530243.4559999998</v>
      </c>
      <c r="AB24" s="210">
        <f t="shared" si="6"/>
        <v>2088</v>
      </c>
      <c r="AC24" s="210">
        <f t="shared" si="17"/>
        <v>1532644.6559999997</v>
      </c>
      <c r="AD24" s="178">
        <f t="shared" si="1"/>
        <v>0.40104346065385699</v>
      </c>
      <c r="AE24" s="42"/>
      <c r="AF24" s="210">
        <f t="shared" si="7"/>
        <v>-748590.83599999978</v>
      </c>
      <c r="AG24" s="210">
        <f t="shared" si="8"/>
        <v>-2088</v>
      </c>
      <c r="AH24" s="210">
        <f t="shared" si="9"/>
        <v>-750992.03599999973</v>
      </c>
      <c r="AI24" s="178">
        <f t="shared" si="10"/>
        <v>0.57692087644761891</v>
      </c>
      <c r="AJ24" s="42"/>
    </row>
    <row r="25" spans="1:38" s="2" customFormat="1" ht="63" customHeight="1" outlineLevel="2">
      <c r="A25" s="238"/>
      <c r="B25" s="7" t="s">
        <v>25</v>
      </c>
      <c r="C25" s="114">
        <v>20000</v>
      </c>
      <c r="D25" s="113">
        <v>0</v>
      </c>
      <c r="E25" s="106">
        <f t="shared" si="11"/>
        <v>20000</v>
      </c>
      <c r="F25" s="177">
        <f t="shared" si="0"/>
        <v>8.4284586024897194E-3</v>
      </c>
      <c r="G25" s="39">
        <v>4.0000000044528861E-3</v>
      </c>
      <c r="H25" s="39">
        <v>0</v>
      </c>
      <c r="I25" s="41">
        <f t="shared" si="12"/>
        <v>4.0000000044528861E-3</v>
      </c>
      <c r="J25" s="178">
        <f>I25/$N$87</f>
        <v>1.9496939920096113E-8</v>
      </c>
      <c r="K25" s="291"/>
      <c r="L25" s="161">
        <v>5900</v>
      </c>
      <c r="M25" s="113"/>
      <c r="N25" s="41">
        <f t="shared" si="13"/>
        <v>5900</v>
      </c>
      <c r="O25" s="178">
        <f>N25/$N$87</f>
        <v>2.8757986350127759E-2</v>
      </c>
      <c r="P25" s="291" t="s">
        <v>105</v>
      </c>
      <c r="Q25" s="161">
        <f>12737.22*1.2</f>
        <v>15284.663999999999</v>
      </c>
      <c r="R25" s="113"/>
      <c r="S25" s="41">
        <f t="shared" si="14"/>
        <v>15284.663999999999</v>
      </c>
      <c r="T25" s="178">
        <f t="shared" si="15"/>
        <v>2.0591009754851345E-2</v>
      </c>
      <c r="U25" s="291" t="s">
        <v>124</v>
      </c>
      <c r="V25" s="161">
        <f>5773.35*1.2</f>
        <v>6928.02</v>
      </c>
      <c r="W25" s="113">
        <v>138</v>
      </c>
      <c r="X25" s="41">
        <f t="shared" si="16"/>
        <v>7066.02</v>
      </c>
      <c r="Y25" s="178">
        <f t="shared" si="4"/>
        <v>7.2215949348662638E-3</v>
      </c>
      <c r="Z25" s="291" t="s">
        <v>162</v>
      </c>
      <c r="AA25" s="210">
        <f t="shared" si="5"/>
        <v>28112.688000000006</v>
      </c>
      <c r="AB25" s="210">
        <f t="shared" si="6"/>
        <v>138</v>
      </c>
      <c r="AC25" s="210">
        <f t="shared" si="17"/>
        <v>28271.388000000006</v>
      </c>
      <c r="AD25" s="178">
        <f t="shared" si="1"/>
        <v>7.3977064655017652E-3</v>
      </c>
      <c r="AE25" s="42"/>
      <c r="AF25" s="210">
        <f t="shared" si="7"/>
        <v>-8112.6880000000056</v>
      </c>
      <c r="AG25" s="210">
        <f t="shared" si="8"/>
        <v>-138</v>
      </c>
      <c r="AH25" s="210">
        <f t="shared" si="9"/>
        <v>-8271.3880000000063</v>
      </c>
      <c r="AI25" s="178">
        <f t="shared" si="10"/>
        <v>6.3541771225897837E-3</v>
      </c>
      <c r="AJ25" s="42"/>
      <c r="AK25" s="227"/>
      <c r="AL25" s="227"/>
    </row>
    <row r="26" spans="1:38" s="226" customFormat="1" ht="71.400000000000006" customHeight="1" outlineLevel="2">
      <c r="A26" s="238"/>
      <c r="B26" s="262" t="s">
        <v>52</v>
      </c>
      <c r="C26" s="114">
        <f>37431+50000</f>
        <v>87431</v>
      </c>
      <c r="D26" s="113">
        <v>10350</v>
      </c>
      <c r="E26" s="106">
        <f t="shared" si="11"/>
        <v>97781</v>
      </c>
      <c r="F26" s="177">
        <f t="shared" si="0"/>
        <v>4.1207155530502367E-2</v>
      </c>
      <c r="G26" s="39">
        <v>1238.3999999999999</v>
      </c>
      <c r="H26" s="39">
        <v>3051</v>
      </c>
      <c r="I26" s="41">
        <f t="shared" si="12"/>
        <v>4289.3999999999996</v>
      </c>
      <c r="J26" s="178">
        <f>I26/$N$87</f>
        <v>2.090754350004034E-2</v>
      </c>
      <c r="K26" s="291"/>
      <c r="L26" s="161"/>
      <c r="M26" s="113">
        <v>3000</v>
      </c>
      <c r="N26" s="41">
        <f t="shared" si="13"/>
        <v>3000</v>
      </c>
      <c r="O26" s="178">
        <f>N26/$N$87</f>
        <v>1.4622704923793776E-2</v>
      </c>
      <c r="P26" s="291" t="s">
        <v>129</v>
      </c>
      <c r="Q26" s="161"/>
      <c r="R26" s="113">
        <f>1018</f>
        <v>1018</v>
      </c>
      <c r="S26" s="41">
        <f t="shared" si="14"/>
        <v>1018</v>
      </c>
      <c r="T26" s="178">
        <f t="shared" si="15"/>
        <v>1.3714169922504462E-3</v>
      </c>
      <c r="U26" s="291" t="s">
        <v>127</v>
      </c>
      <c r="V26" s="161"/>
      <c r="W26" s="113">
        <v>1060</v>
      </c>
      <c r="X26" s="41">
        <f t="shared" si="16"/>
        <v>1060</v>
      </c>
      <c r="Y26" s="178">
        <f t="shared" si="4"/>
        <v>1.0833383759115088E-3</v>
      </c>
      <c r="Z26" s="291" t="s">
        <v>170</v>
      </c>
      <c r="AA26" s="210">
        <f t="shared" si="5"/>
        <v>1238.3999999999999</v>
      </c>
      <c r="AB26" s="210">
        <f t="shared" si="6"/>
        <v>8129</v>
      </c>
      <c r="AC26" s="210">
        <f t="shared" si="17"/>
        <v>10586.749999999998</v>
      </c>
      <c r="AD26" s="178">
        <f t="shared" si="1"/>
        <v>2.7702095462610742E-3</v>
      </c>
      <c r="AE26" s="42"/>
      <c r="AF26" s="210">
        <f t="shared" si="7"/>
        <v>86192.6</v>
      </c>
      <c r="AG26" s="210">
        <f t="shared" si="8"/>
        <v>2221</v>
      </c>
      <c r="AH26" s="210">
        <f t="shared" si="9"/>
        <v>88746.75</v>
      </c>
      <c r="AI26" s="178">
        <f t="shared" si="10"/>
        <v>-6.8176292607020059E-2</v>
      </c>
      <c r="AJ26" s="42"/>
      <c r="AK26" s="319"/>
    </row>
    <row r="27" spans="1:38" s="2" customFormat="1" ht="42.6" customHeight="1" outlineLevel="2">
      <c r="A27" s="238"/>
      <c r="B27" s="7" t="s">
        <v>31</v>
      </c>
      <c r="C27" s="114">
        <v>0</v>
      </c>
      <c r="D27" s="113">
        <v>154368.56170334521</v>
      </c>
      <c r="E27" s="106">
        <f t="shared" si="11"/>
        <v>154368.56170334521</v>
      </c>
      <c r="F27" s="178">
        <f t="shared" si="0"/>
        <v>6.505445159212625E-2</v>
      </c>
      <c r="G27" s="39">
        <v>3400</v>
      </c>
      <c r="H27" s="39">
        <v>58700</v>
      </c>
      <c r="I27" s="41">
        <f t="shared" si="12"/>
        <v>62100</v>
      </c>
      <c r="J27" s="178">
        <f>I27/$N$87</f>
        <v>0.30268999192253115</v>
      </c>
      <c r="K27" s="291"/>
      <c r="L27" s="161"/>
      <c r="M27" s="113">
        <v>29600</v>
      </c>
      <c r="N27" s="41">
        <f t="shared" si="13"/>
        <v>29600</v>
      </c>
      <c r="O27" s="178">
        <f>N27/$N$87</f>
        <v>0.14427735524809859</v>
      </c>
      <c r="P27" s="291" t="s">
        <v>100</v>
      </c>
      <c r="Q27" s="161"/>
      <c r="R27" s="113">
        <f>900+22500</f>
        <v>23400</v>
      </c>
      <c r="S27" s="41">
        <f t="shared" si="14"/>
        <v>23400</v>
      </c>
      <c r="T27" s="178">
        <f t="shared" si="15"/>
        <v>3.1523730470196895E-2</v>
      </c>
      <c r="U27" s="291" t="s">
        <v>128</v>
      </c>
      <c r="V27" s="161"/>
      <c r="W27" s="113">
        <v>18400</v>
      </c>
      <c r="X27" s="41">
        <f t="shared" si="16"/>
        <v>18400</v>
      </c>
      <c r="Y27" s="178">
        <f t="shared" si="4"/>
        <v>1.8805118978086566E-2</v>
      </c>
      <c r="Z27" s="291" t="s">
        <v>165</v>
      </c>
      <c r="AA27" s="210">
        <f t="shared" si="5"/>
        <v>3400</v>
      </c>
      <c r="AB27" s="210">
        <f t="shared" si="6"/>
        <v>130100</v>
      </c>
      <c r="AC27" s="210">
        <f t="shared" si="17"/>
        <v>153015</v>
      </c>
      <c r="AD27" s="178">
        <f t="shared" si="1"/>
        <v>4.0039068998619816E-2</v>
      </c>
      <c r="AE27" s="79"/>
      <c r="AF27" s="210">
        <f t="shared" si="7"/>
        <v>-3400</v>
      </c>
      <c r="AG27" s="210">
        <f t="shared" si="8"/>
        <v>24268.561703345214</v>
      </c>
      <c r="AH27" s="210">
        <f t="shared" si="9"/>
        <v>24508.845958846996</v>
      </c>
      <c r="AI27" s="178">
        <f t="shared" si="10"/>
        <v>-1.8827982473169261E-2</v>
      </c>
      <c r="AJ27" s="79"/>
    </row>
    <row r="28" spans="1:38" s="2" customFormat="1" ht="28.95" customHeight="1" outlineLevel="2">
      <c r="A28" s="238"/>
      <c r="B28" s="7" t="s">
        <v>62</v>
      </c>
      <c r="C28" s="114">
        <v>79640.11914957143</v>
      </c>
      <c r="D28" s="113">
        <v>5750</v>
      </c>
      <c r="E28" s="106">
        <f t="shared" si="11"/>
        <v>85390.11914957143</v>
      </c>
      <c r="F28" s="178">
        <f t="shared" si="0"/>
        <v>3.5985354215691372E-2</v>
      </c>
      <c r="G28" s="39">
        <v>38280</v>
      </c>
      <c r="H28" s="39">
        <v>6000</v>
      </c>
      <c r="I28" s="41">
        <f t="shared" si="12"/>
        <v>44280</v>
      </c>
      <c r="J28" s="178">
        <f>I28/$N$87</f>
        <v>0.21583112467519613</v>
      </c>
      <c r="K28" s="291"/>
      <c r="L28" s="161">
        <v>18180</v>
      </c>
      <c r="M28" s="113"/>
      <c r="N28" s="41">
        <f t="shared" si="13"/>
        <v>18180</v>
      </c>
      <c r="O28" s="178">
        <f>N28/$N$87</f>
        <v>8.8613591838190287E-2</v>
      </c>
      <c r="P28" s="291" t="s">
        <v>99</v>
      </c>
      <c r="Q28" s="161">
        <f>13500*1.2</f>
        <v>16200</v>
      </c>
      <c r="R28" s="113"/>
      <c r="S28" s="41">
        <f t="shared" si="14"/>
        <v>16200</v>
      </c>
      <c r="T28" s="178">
        <f t="shared" si="15"/>
        <v>2.1824121094751698E-2</v>
      </c>
      <c r="U28" s="291" t="s">
        <v>123</v>
      </c>
      <c r="V28" s="161">
        <f>8900*1.2</f>
        <v>10680</v>
      </c>
      <c r="W28" s="113"/>
      <c r="X28" s="41">
        <f t="shared" si="16"/>
        <v>10680</v>
      </c>
      <c r="Y28" s="178">
        <f t="shared" si="4"/>
        <v>1.0915145145976333E-2</v>
      </c>
      <c r="Z28" s="291" t="s">
        <v>161</v>
      </c>
      <c r="AA28" s="210">
        <f t="shared" si="5"/>
        <v>83340</v>
      </c>
      <c r="AB28" s="210">
        <f t="shared" si="6"/>
        <v>6000</v>
      </c>
      <c r="AC28" s="210">
        <f t="shared" si="17"/>
        <v>90240</v>
      </c>
      <c r="AD28" s="178">
        <f t="shared" si="1"/>
        <v>2.3612884922624922E-2</v>
      </c>
      <c r="AE28" s="79"/>
      <c r="AF28" s="210">
        <f t="shared" si="7"/>
        <v>-3699.8808504285698</v>
      </c>
      <c r="AG28" s="210">
        <f t="shared" si="8"/>
        <v>-250</v>
      </c>
      <c r="AH28" s="210">
        <f t="shared" si="9"/>
        <v>-3987.3808504285698</v>
      </c>
      <c r="AI28" s="178">
        <f t="shared" si="10"/>
        <v>3.063152662992692E-3</v>
      </c>
      <c r="AJ28" s="79"/>
    </row>
    <row r="29" spans="1:38" s="2" customFormat="1" ht="78" customHeight="1" outlineLevel="2">
      <c r="A29" s="238"/>
      <c r="B29" s="7" t="s">
        <v>34</v>
      </c>
      <c r="C29" s="114">
        <f>37168.75-C61</f>
        <v>18584.25</v>
      </c>
      <c r="D29" s="113">
        <f>44662.9698725352+575</f>
        <v>45237.969872535199</v>
      </c>
      <c r="E29" s="106">
        <f t="shared" si="11"/>
        <v>63822.219872535199</v>
      </c>
      <c r="F29" s="178">
        <f t="shared" si="0"/>
        <v>2.6896146905732981E-2</v>
      </c>
      <c r="G29" s="39">
        <v>15949.96</v>
      </c>
      <c r="H29" s="39">
        <v>16670.080000000002</v>
      </c>
      <c r="I29" s="41">
        <f t="shared" si="12"/>
        <v>32620.04</v>
      </c>
      <c r="J29" s="178">
        <f>I29/$N$87</f>
        <v>0.1589977398407833</v>
      </c>
      <c r="K29" s="291"/>
      <c r="L29" s="161">
        <f>1968.3+2739</f>
        <v>4707.3</v>
      </c>
      <c r="M29" s="113">
        <v>3648</v>
      </c>
      <c r="N29" s="41">
        <f t="shared" si="13"/>
        <v>8355.2999999999993</v>
      </c>
      <c r="O29" s="178">
        <f>N29/$N$87</f>
        <v>4.0725695483258044E-2</v>
      </c>
      <c r="P29" s="291" t="s">
        <v>104</v>
      </c>
      <c r="Q29" s="161">
        <f>3578.7</f>
        <v>3578.7</v>
      </c>
      <c r="R29" s="113">
        <v>5989</v>
      </c>
      <c r="S29" s="41">
        <f t="shared" si="14"/>
        <v>9567.7000000000007</v>
      </c>
      <c r="T29" s="178">
        <f t="shared" si="15"/>
        <v>1.2889298975200976E-2</v>
      </c>
      <c r="U29" s="291" t="s">
        <v>133</v>
      </c>
      <c r="V29" s="161">
        <v>2600</v>
      </c>
      <c r="W29" s="113">
        <f>10397.18+834+80</f>
        <v>11311.18</v>
      </c>
      <c r="X29" s="41">
        <f t="shared" si="16"/>
        <v>13911.18</v>
      </c>
      <c r="Y29" s="178">
        <f t="shared" si="4"/>
        <v>1.4217467120955342E-2</v>
      </c>
      <c r="Z29" s="291" t="s">
        <v>169</v>
      </c>
      <c r="AA29" s="210">
        <f t="shared" si="5"/>
        <v>26835.96</v>
      </c>
      <c r="AB29" s="210">
        <f t="shared" si="6"/>
        <v>37618.26</v>
      </c>
      <c r="AC29" s="210">
        <f t="shared" si="17"/>
        <v>70096.959000000003</v>
      </c>
      <c r="AD29" s="178">
        <f t="shared" si="1"/>
        <v>1.8342103571508835E-2</v>
      </c>
      <c r="AE29" s="79"/>
      <c r="AF29" s="210">
        <f t="shared" si="7"/>
        <v>-8251.7099999999991</v>
      </c>
      <c r="AG29" s="210">
        <f t="shared" si="8"/>
        <v>7619.7098725351971</v>
      </c>
      <c r="AH29" s="210">
        <f t="shared" si="9"/>
        <v>510.95635341547677</v>
      </c>
      <c r="AI29" s="178">
        <f t="shared" si="10"/>
        <v>-3.9252265418023198E-4</v>
      </c>
      <c r="AJ29" s="79"/>
    </row>
    <row r="30" spans="1:38" s="2" customFormat="1" ht="14.4" customHeight="1" outlineLevel="2">
      <c r="A30" s="238"/>
      <c r="B30" s="32" t="s">
        <v>2</v>
      </c>
      <c r="C30" s="115"/>
      <c r="D30" s="116"/>
      <c r="E30" s="106">
        <f t="shared" si="11"/>
        <v>0</v>
      </c>
      <c r="F30" s="178">
        <f t="shared" si="0"/>
        <v>0</v>
      </c>
      <c r="G30" s="39">
        <v>0</v>
      </c>
      <c r="H30" s="39">
        <v>0</v>
      </c>
      <c r="I30" s="41">
        <f t="shared" si="12"/>
        <v>0</v>
      </c>
      <c r="J30" s="178">
        <f>I30/$E$87</f>
        <v>0</v>
      </c>
      <c r="K30" s="291"/>
      <c r="L30" s="161"/>
      <c r="M30" s="116"/>
      <c r="N30" s="41">
        <f t="shared" si="13"/>
        <v>0</v>
      </c>
      <c r="O30" s="178">
        <f t="shared" si="19"/>
        <v>0</v>
      </c>
      <c r="P30" s="291"/>
      <c r="Q30" s="161"/>
      <c r="R30" s="116"/>
      <c r="S30" s="41">
        <f t="shared" si="14"/>
        <v>0</v>
      </c>
      <c r="T30" s="178">
        <f t="shared" si="15"/>
        <v>0</v>
      </c>
      <c r="U30" s="291"/>
      <c r="V30" s="161"/>
      <c r="W30" s="116"/>
      <c r="X30" s="41">
        <f t="shared" si="16"/>
        <v>0</v>
      </c>
      <c r="Y30" s="178">
        <f t="shared" si="4"/>
        <v>0</v>
      </c>
      <c r="Z30" s="291"/>
      <c r="AA30" s="210">
        <f t="shared" si="5"/>
        <v>0</v>
      </c>
      <c r="AB30" s="210">
        <f t="shared" si="6"/>
        <v>0</v>
      </c>
      <c r="AC30" s="210">
        <f t="shared" si="17"/>
        <v>0</v>
      </c>
      <c r="AD30" s="178">
        <f t="shared" si="1"/>
        <v>0</v>
      </c>
      <c r="AE30" s="79"/>
      <c r="AF30" s="210">
        <f t="shared" si="7"/>
        <v>0</v>
      </c>
      <c r="AG30" s="210">
        <f t="shared" si="8"/>
        <v>0</v>
      </c>
      <c r="AH30" s="210">
        <f t="shared" si="9"/>
        <v>0</v>
      </c>
      <c r="AI30" s="178">
        <f t="shared" si="10"/>
        <v>0</v>
      </c>
      <c r="AJ30" s="79"/>
    </row>
    <row r="31" spans="1:38" s="2" customFormat="1" ht="15" customHeight="1" outlineLevel="2" thickBot="1">
      <c r="A31" s="238"/>
      <c r="B31" s="32" t="s">
        <v>75</v>
      </c>
      <c r="C31" s="115"/>
      <c r="D31" s="116">
        <v>3743.1082146858021</v>
      </c>
      <c r="E31" s="106">
        <f t="shared" si="11"/>
        <v>3743.1082146858021</v>
      </c>
      <c r="F31" s="178">
        <f t="shared" si="0"/>
        <v>1.5774316316059243E-3</v>
      </c>
      <c r="G31" s="39">
        <v>0</v>
      </c>
      <c r="H31" s="39">
        <v>0</v>
      </c>
      <c r="I31" s="41">
        <f t="shared" si="12"/>
        <v>0</v>
      </c>
      <c r="J31" s="178">
        <f>I31/$E$87</f>
        <v>0</v>
      </c>
      <c r="K31" s="291"/>
      <c r="L31" s="161"/>
      <c r="M31" s="116"/>
      <c r="N31" s="41">
        <f t="shared" si="13"/>
        <v>0</v>
      </c>
      <c r="O31" s="178">
        <f t="shared" si="19"/>
        <v>0</v>
      </c>
      <c r="P31" s="291"/>
      <c r="Q31" s="161"/>
      <c r="R31" s="116"/>
      <c r="S31" s="41">
        <f t="shared" si="14"/>
        <v>0</v>
      </c>
      <c r="T31" s="178">
        <f t="shared" si="15"/>
        <v>0</v>
      </c>
      <c r="U31" s="291"/>
      <c r="V31" s="161"/>
      <c r="W31" s="116"/>
      <c r="X31" s="41">
        <f t="shared" si="16"/>
        <v>0</v>
      </c>
      <c r="Y31" s="178">
        <f t="shared" si="4"/>
        <v>0</v>
      </c>
      <c r="Z31" s="291"/>
      <c r="AA31" s="210">
        <f t="shared" si="5"/>
        <v>0</v>
      </c>
      <c r="AB31" s="210">
        <f t="shared" si="6"/>
        <v>0</v>
      </c>
      <c r="AC31" s="210">
        <f t="shared" si="17"/>
        <v>0</v>
      </c>
      <c r="AD31" s="178">
        <f t="shared" si="1"/>
        <v>0</v>
      </c>
      <c r="AE31" s="79"/>
      <c r="AF31" s="210">
        <f t="shared" si="7"/>
        <v>0</v>
      </c>
      <c r="AG31" s="210">
        <f t="shared" si="8"/>
        <v>3743.1082146858021</v>
      </c>
      <c r="AH31" s="210">
        <f t="shared" si="9"/>
        <v>4304.5744468886724</v>
      </c>
      <c r="AI31" s="178">
        <f t="shared" si="10"/>
        <v>-3.306824498246794E-3</v>
      </c>
      <c r="AJ31" s="79"/>
    </row>
    <row r="32" spans="1:38" s="2" customFormat="1" ht="13.8" outlineLevel="2">
      <c r="A32" s="238"/>
      <c r="B32" s="12"/>
      <c r="C32" s="46"/>
      <c r="D32" s="47"/>
      <c r="E32" s="48"/>
      <c r="F32" s="179"/>
      <c r="G32" s="96"/>
      <c r="H32" s="48"/>
      <c r="I32" s="48"/>
      <c r="J32" s="202"/>
      <c r="K32" s="202"/>
      <c r="L32" s="96"/>
      <c r="M32" s="48"/>
      <c r="N32" s="48"/>
      <c r="O32" s="202"/>
      <c r="P32" s="202"/>
      <c r="Q32" s="96"/>
      <c r="R32" s="48"/>
      <c r="S32" s="48"/>
      <c r="T32" s="202"/>
      <c r="U32" s="202"/>
      <c r="V32" s="96"/>
      <c r="W32" s="48"/>
      <c r="X32" s="48"/>
      <c r="Y32" s="202">
        <f t="shared" si="4"/>
        <v>0</v>
      </c>
      <c r="Z32" s="202"/>
      <c r="AA32" s="48"/>
      <c r="AB32" s="48"/>
      <c r="AC32" s="48"/>
      <c r="AD32" s="48"/>
      <c r="AE32" s="48"/>
      <c r="AF32" s="48"/>
      <c r="AG32" s="48"/>
      <c r="AH32" s="48"/>
      <c r="AI32" s="48"/>
      <c r="AJ32" s="48"/>
    </row>
    <row r="33" spans="1:37" s="88" customFormat="1" ht="13.8" outlineLevel="1">
      <c r="A33" s="238"/>
      <c r="B33" s="89" t="s">
        <v>80</v>
      </c>
      <c r="C33" s="90">
        <f>C34</f>
        <v>0</v>
      </c>
      <c r="D33" s="90">
        <f>D34</f>
        <v>0</v>
      </c>
      <c r="E33" s="91">
        <f>E34</f>
        <v>0</v>
      </c>
      <c r="F33" s="165">
        <f>E33/$E$87</f>
        <v>0</v>
      </c>
      <c r="G33" s="90">
        <f>G34</f>
        <v>0</v>
      </c>
      <c r="H33" s="90">
        <f>H34</f>
        <v>0</v>
      </c>
      <c r="I33" s="91">
        <f>I34</f>
        <v>0</v>
      </c>
      <c r="J33" s="190">
        <f>I33/$E$87</f>
        <v>0</v>
      </c>
      <c r="K33" s="243"/>
      <c r="L33" s="90">
        <f>L34</f>
        <v>0</v>
      </c>
      <c r="M33" s="90">
        <f>M34</f>
        <v>0</v>
      </c>
      <c r="N33" s="91">
        <f>N34</f>
        <v>0</v>
      </c>
      <c r="O33" s="190">
        <f>N33/$E$87</f>
        <v>0</v>
      </c>
      <c r="P33" s="243"/>
      <c r="Q33" s="90">
        <f>Q34</f>
        <v>0</v>
      </c>
      <c r="R33" s="90">
        <f>R34</f>
        <v>0</v>
      </c>
      <c r="S33" s="91">
        <f>S34</f>
        <v>0</v>
      </c>
      <c r="T33" s="190">
        <f>S33/$S$87</f>
        <v>0</v>
      </c>
      <c r="U33" s="243"/>
      <c r="V33" s="90">
        <f>V34</f>
        <v>0</v>
      </c>
      <c r="W33" s="90">
        <f>W34</f>
        <v>0</v>
      </c>
      <c r="X33" s="91">
        <f>X34</f>
        <v>0</v>
      </c>
      <c r="Y33" s="190">
        <f t="shared" si="4"/>
        <v>0</v>
      </c>
      <c r="Z33" s="243"/>
      <c r="AA33" s="90">
        <f>AA34</f>
        <v>0</v>
      </c>
      <c r="AB33" s="90">
        <f>AB34</f>
        <v>0</v>
      </c>
      <c r="AC33" s="91">
        <f>AC34</f>
        <v>0</v>
      </c>
      <c r="AD33" s="91"/>
      <c r="AE33" s="91"/>
      <c r="AF33" s="90">
        <f>AF34</f>
        <v>0</v>
      </c>
      <c r="AG33" s="90">
        <f>AG34</f>
        <v>0</v>
      </c>
      <c r="AH33" s="91">
        <f>AH34</f>
        <v>0</v>
      </c>
      <c r="AI33" s="91"/>
      <c r="AJ33" s="91"/>
    </row>
    <row r="34" spans="1:37" s="226" customFormat="1" ht="13.8" outlineLevel="3">
      <c r="A34" s="238"/>
      <c r="B34" s="19" t="s">
        <v>81</v>
      </c>
      <c r="C34" s="43"/>
      <c r="D34" s="49"/>
      <c r="E34" s="44">
        <f>C34+D34*1.15</f>
        <v>0</v>
      </c>
      <c r="F34" s="180">
        <f>E34/$E$87</f>
        <v>0</v>
      </c>
      <c r="G34" s="97"/>
      <c r="H34" s="45"/>
      <c r="I34" s="41">
        <f>G34+H34*1.15</f>
        <v>0</v>
      </c>
      <c r="J34" s="178">
        <f>I34/$E$87</f>
        <v>0</v>
      </c>
      <c r="K34" s="177"/>
      <c r="L34" s="97"/>
      <c r="M34" s="45"/>
      <c r="N34" s="41">
        <f>L34+M34*1.15</f>
        <v>0</v>
      </c>
      <c r="O34" s="178">
        <f>N34/$E$87</f>
        <v>0</v>
      </c>
      <c r="P34" s="177"/>
      <c r="Q34" s="97"/>
      <c r="R34" s="45"/>
      <c r="S34" s="41">
        <f>Q34+R34*1.15</f>
        <v>0</v>
      </c>
      <c r="T34" s="178">
        <f>S34/$S$87</f>
        <v>0</v>
      </c>
      <c r="U34" s="177"/>
      <c r="V34" s="97"/>
      <c r="W34" s="45"/>
      <c r="X34" s="41">
        <f>V34+W34*1.15</f>
        <v>0</v>
      </c>
      <c r="Y34" s="178">
        <f t="shared" si="4"/>
        <v>0</v>
      </c>
      <c r="Z34" s="177"/>
      <c r="AA34" s="210">
        <f>L34+Q34</f>
        <v>0</v>
      </c>
      <c r="AB34" s="210">
        <f>M34+R34</f>
        <v>0</v>
      </c>
      <c r="AC34" s="106">
        <f>AA34+AB34*1.15</f>
        <v>0</v>
      </c>
      <c r="AD34" s="178">
        <f>AC34/$AC$87</f>
        <v>0</v>
      </c>
      <c r="AE34" s="45"/>
      <c r="AF34" s="210">
        <f>C34-AA34</f>
        <v>0</v>
      </c>
      <c r="AG34" s="210">
        <f>D34-AB34</f>
        <v>0</v>
      </c>
      <c r="AH34" s="210">
        <f>AF34+AG34*1.15</f>
        <v>0</v>
      </c>
      <c r="AI34" s="178">
        <f>AH34/$E$87</f>
        <v>0</v>
      </c>
      <c r="AJ34" s="45"/>
    </row>
    <row r="35" spans="1:37" s="2" customFormat="1" ht="14.4" outlineLevel="1" thickBot="1">
      <c r="A35" s="4"/>
      <c r="B35" s="14"/>
      <c r="C35" s="50"/>
      <c r="D35" s="51"/>
      <c r="E35" s="52"/>
      <c r="F35" s="181"/>
      <c r="G35" s="98"/>
      <c r="H35" s="52"/>
      <c r="I35" s="52"/>
      <c r="J35" s="203"/>
      <c r="K35" s="203"/>
      <c r="L35" s="98"/>
      <c r="M35" s="52"/>
      <c r="N35" s="52"/>
      <c r="O35" s="203"/>
      <c r="P35" s="203"/>
      <c r="Q35" s="98"/>
      <c r="R35" s="52"/>
      <c r="S35" s="52"/>
      <c r="T35" s="203"/>
      <c r="U35" s="203"/>
      <c r="V35" s="98"/>
      <c r="W35" s="52"/>
      <c r="X35" s="52"/>
      <c r="Y35" s="203">
        <f t="shared" si="4"/>
        <v>0</v>
      </c>
      <c r="Z35" s="203"/>
      <c r="AA35" s="52"/>
      <c r="AB35" s="52"/>
      <c r="AC35" s="52"/>
      <c r="AD35" s="52"/>
      <c r="AE35" s="52"/>
      <c r="AF35" s="52"/>
      <c r="AG35" s="52"/>
      <c r="AH35" s="52"/>
      <c r="AI35" s="52"/>
      <c r="AJ35" s="52"/>
    </row>
    <row r="36" spans="1:37" ht="14.4" thickBot="1">
      <c r="A36" s="33"/>
      <c r="B36" s="34" t="s">
        <v>46</v>
      </c>
      <c r="C36" s="53">
        <f>(C5)-(C8)</f>
        <v>1690733.0708504289</v>
      </c>
      <c r="D36" s="53">
        <f>(D5)-(D8)</f>
        <v>-916057.78272772685</v>
      </c>
      <c r="E36" s="53">
        <f>(E5)-(E8)</f>
        <v>774675.28812270239</v>
      </c>
      <c r="F36" s="166"/>
      <c r="G36" s="53">
        <f>(G5)-(G8)</f>
        <v>-345751.53199999989</v>
      </c>
      <c r="H36" s="53">
        <f>(H5)-(H8)</f>
        <v>705410.41999999993</v>
      </c>
      <c r="I36" s="53">
        <f>(I5)-(I8)</f>
        <v>359658.88800000027</v>
      </c>
      <c r="J36" s="191"/>
      <c r="K36" s="191"/>
      <c r="L36" s="53">
        <f>(L5)-(L8)</f>
        <v>-107233.3</v>
      </c>
      <c r="M36" s="53">
        <f>(M5)-(M8)</f>
        <v>-56982</v>
      </c>
      <c r="N36" s="53">
        <f>(N5)-(N8)</f>
        <v>-164215.29999999999</v>
      </c>
      <c r="O36" s="191"/>
      <c r="P36" s="191"/>
      <c r="Q36" s="53">
        <f>(Q5)-(Q8)</f>
        <v>536093.3060000001</v>
      </c>
      <c r="R36" s="53">
        <f>(R5)-(R8)</f>
        <v>-241020</v>
      </c>
      <c r="S36" s="53">
        <f>(S5)-(S8)</f>
        <v>295073.3060000001</v>
      </c>
      <c r="T36" s="191"/>
      <c r="U36" s="191"/>
      <c r="V36" s="53">
        <f>(V5)-(V8)</f>
        <v>1139136.7259500001</v>
      </c>
      <c r="W36" s="53">
        <f>(W5)-(W8)</f>
        <v>-239229.22</v>
      </c>
      <c r="X36" s="53">
        <f>(X5)-(X8)</f>
        <v>899907.50595000002</v>
      </c>
      <c r="Y36" s="191">
        <f t="shared" si="4"/>
        <v>0.91972107166646178</v>
      </c>
      <c r="Z36" s="191"/>
      <c r="AA36" s="53">
        <f>(AA5)-(AA8)</f>
        <v>1222245.1999500007</v>
      </c>
      <c r="AB36" s="53">
        <f>(AB5)-(AB8)</f>
        <v>168179.19999999995</v>
      </c>
      <c r="AC36" s="53">
        <f>(AC5)-(AC8)</f>
        <v>1234151.2799500013</v>
      </c>
      <c r="AD36" s="53"/>
      <c r="AE36" s="53"/>
      <c r="AF36" s="53">
        <f>(AF5)-(AF8)</f>
        <v>468487.87090042816</v>
      </c>
      <c r="AG36" s="53">
        <f>(AG5)-(AG8)</f>
        <v>-1084236.9827277267</v>
      </c>
      <c r="AH36" s="53">
        <f>(AH5)-(AH8)</f>
        <v>-596884.65923645766</v>
      </c>
      <c r="AI36" s="53"/>
      <c r="AJ36" s="53"/>
      <c r="AK36" s="2"/>
    </row>
    <row r="37" spans="1:37" ht="13.8">
      <c r="A37" s="229"/>
      <c r="B37" s="15" t="s">
        <v>47</v>
      </c>
      <c r="C37" s="157">
        <f>C36/(C5)</f>
        <v>0.55501541202069182</v>
      </c>
      <c r="D37" s="157" t="e">
        <f>D36/(D5)</f>
        <v>#DIV/0!</v>
      </c>
      <c r="E37" s="158">
        <f>E36/(E5)</f>
        <v>0.25430195436078157</v>
      </c>
      <c r="F37" s="167"/>
      <c r="G37" s="157">
        <f>G36/(G5)</f>
        <v>-0.41081811245603772</v>
      </c>
      <c r="H37" s="157">
        <f>H36/(H5)</f>
        <v>0.5829838181818181</v>
      </c>
      <c r="I37" s="158">
        <f>I36/(I5)</f>
        <v>0.17530507764446074</v>
      </c>
      <c r="J37" s="192"/>
      <c r="K37" s="244"/>
      <c r="L37" s="157" t="e">
        <f>L36/(L5)</f>
        <v>#DIV/0!</v>
      </c>
      <c r="M37" s="157" t="e">
        <f>M36/(M5)</f>
        <v>#DIV/0!</v>
      </c>
      <c r="N37" s="158" t="e">
        <f>N36/(N5)</f>
        <v>#DIV/0!</v>
      </c>
      <c r="O37" s="192"/>
      <c r="P37" s="244"/>
      <c r="Q37" s="157">
        <f>Q36/(Q5)</f>
        <v>0.5339770002945029</v>
      </c>
      <c r="R37" s="157" t="e">
        <f>R36/(R5)</f>
        <v>#DIV/0!</v>
      </c>
      <c r="S37" s="158">
        <f>S36/(S5)</f>
        <v>0.29390846153348904</v>
      </c>
      <c r="T37" s="192"/>
      <c r="U37" s="244"/>
      <c r="V37" s="157">
        <f>V36/(V5)</f>
        <v>0.62895430381580475</v>
      </c>
      <c r="W37" s="157" t="e">
        <f>W36/(W5)</f>
        <v>#DIV/0!</v>
      </c>
      <c r="X37" s="158">
        <f>X36/(X5)</f>
        <v>0.49686809845532348</v>
      </c>
      <c r="Y37" s="192">
        <f t="shared" si="4"/>
        <v>5.0780781021021673E-7</v>
      </c>
      <c r="Z37" s="244"/>
      <c r="AA37" s="54">
        <f>AA36/(AA5)</f>
        <v>0.33424448092648307</v>
      </c>
      <c r="AB37" s="54">
        <f>AB36/(AB5)</f>
        <v>0.13899107438016525</v>
      </c>
      <c r="AC37" s="55">
        <f>AC36/(AC5)</f>
        <v>0.25358890182241539</v>
      </c>
      <c r="AD37" s="55"/>
      <c r="AE37" s="55"/>
      <c r="AF37" s="54">
        <f>AF36/(AF5)</f>
        <v>-0.76743567825719172</v>
      </c>
      <c r="AG37" s="54">
        <f>AG36/(AG5)</f>
        <v>0.89606362208903034</v>
      </c>
      <c r="AH37" s="55">
        <f>AH36/(AH5)</f>
        <v>0.32787594861125019</v>
      </c>
      <c r="AI37" s="55"/>
      <c r="AJ37" s="55"/>
      <c r="AK37" s="2"/>
    </row>
    <row r="38" spans="1:37" ht="14.4" outlineLevel="1" thickBot="1">
      <c r="A38" s="231"/>
      <c r="B38" s="16"/>
      <c r="C38" s="56"/>
      <c r="D38" s="57"/>
      <c r="E38" s="58"/>
      <c r="F38" s="168"/>
      <c r="G38" s="80"/>
      <c r="H38" s="80"/>
      <c r="I38" s="80"/>
      <c r="J38" s="193"/>
      <c r="K38" s="193"/>
      <c r="L38" s="80"/>
      <c r="M38" s="80"/>
      <c r="N38" s="80"/>
      <c r="O38" s="193"/>
      <c r="P38" s="193"/>
      <c r="Q38" s="80"/>
      <c r="R38" s="80"/>
      <c r="S38" s="80"/>
      <c r="T38" s="193"/>
      <c r="U38" s="193"/>
      <c r="V38" s="80"/>
      <c r="W38" s="80"/>
      <c r="X38" s="80"/>
      <c r="Y38" s="193">
        <f t="shared" si="4"/>
        <v>0</v>
      </c>
      <c r="Z38" s="193"/>
      <c r="AA38" s="58"/>
      <c r="AB38" s="58"/>
      <c r="AC38" s="58"/>
      <c r="AD38" s="58"/>
      <c r="AE38" s="58"/>
      <c r="AF38" s="58"/>
      <c r="AG38" s="58"/>
      <c r="AH38" s="58"/>
      <c r="AI38" s="58"/>
      <c r="AJ38" s="58"/>
    </row>
    <row r="39" spans="1:37" ht="13.8" outlineLevel="1">
      <c r="A39" s="11"/>
      <c r="B39" s="22" t="s">
        <v>26</v>
      </c>
      <c r="C39" s="117">
        <f>SUM(C40:C46)</f>
        <v>3743.1082146858021</v>
      </c>
      <c r="D39" s="117">
        <f>SUM(D40:D46)</f>
        <v>0</v>
      </c>
      <c r="E39" s="118">
        <f>SUM(E40:E46)</f>
        <v>3743.1082146858021</v>
      </c>
      <c r="F39" s="169">
        <f t="shared" ref="F39:F46" si="20">E39/$E$87</f>
        <v>1.5774316316059243E-3</v>
      </c>
      <c r="G39" s="132">
        <f>SUM(G40:G46)</f>
        <v>434.78</v>
      </c>
      <c r="H39" s="132">
        <f>SUM(H40:H46)</f>
        <v>94</v>
      </c>
      <c r="I39" s="133">
        <f>SUM(I40:I46)</f>
        <v>528.78</v>
      </c>
      <c r="J39" s="169">
        <f t="shared" ref="J39:J46" si="21">I39/$E$87</f>
        <v>2.2284001699122567E-4</v>
      </c>
      <c r="K39" s="169"/>
      <c r="L39" s="117">
        <f>SUM(L40:L46)</f>
        <v>0</v>
      </c>
      <c r="M39" s="117">
        <f>SUM(M40:M46)</f>
        <v>0</v>
      </c>
      <c r="N39" s="118">
        <f>SUM(N40:N46)</f>
        <v>0</v>
      </c>
      <c r="O39" s="169">
        <f t="shared" ref="O39:O46" si="22">N39/$E$87</f>
        <v>0</v>
      </c>
      <c r="P39" s="245"/>
      <c r="Q39" s="117">
        <f>SUM(Q40:Q46)</f>
        <v>0</v>
      </c>
      <c r="R39" s="117">
        <f>SUM(R40:R46)</f>
        <v>0</v>
      </c>
      <c r="S39" s="118">
        <f>SUM(S40:S46)</f>
        <v>0</v>
      </c>
      <c r="T39" s="169">
        <f t="shared" ref="T39:T48" si="23">S39/$S$87</f>
        <v>0</v>
      </c>
      <c r="U39" s="245"/>
      <c r="V39" s="117">
        <f>SUM(V40:V46)</f>
        <v>0</v>
      </c>
      <c r="W39" s="117">
        <f>SUM(W40:W46)</f>
        <v>0</v>
      </c>
      <c r="X39" s="118">
        <f>SUM(X40:X46)</f>
        <v>0</v>
      </c>
      <c r="Y39" s="169">
        <f t="shared" si="4"/>
        <v>0</v>
      </c>
      <c r="Z39" s="245"/>
      <c r="AA39" s="117">
        <f>SUM(AA40:AA46)</f>
        <v>434.78</v>
      </c>
      <c r="AB39" s="117">
        <f>SUM(AB40:AB46)</f>
        <v>94</v>
      </c>
      <c r="AC39" s="118">
        <f>SUM(AC40:AC46)</f>
        <v>542.88</v>
      </c>
      <c r="AD39" s="169">
        <f t="shared" ref="AD39:AD47" si="24">AC39/$AC$87</f>
        <v>1.420541108908978E-4</v>
      </c>
      <c r="AE39" s="60"/>
      <c r="AF39" s="117">
        <f>SUM(AF40:AF46)</f>
        <v>3308.3282146858019</v>
      </c>
      <c r="AG39" s="117">
        <f>SUM(AG40:AG46)</f>
        <v>-94</v>
      </c>
      <c r="AH39" s="118">
        <f>SUM(AH40:AH46)</f>
        <v>3200.2282146858024</v>
      </c>
      <c r="AI39" s="60"/>
      <c r="AJ39" s="60"/>
    </row>
    <row r="40" spans="1:37" ht="43.2" hidden="1" customHeight="1" outlineLevel="2">
      <c r="A40" s="4833"/>
      <c r="B40" s="18" t="s">
        <v>7</v>
      </c>
      <c r="C40" s="113"/>
      <c r="D40" s="119"/>
      <c r="E40" s="120">
        <f>C40+D40*1.15</f>
        <v>0</v>
      </c>
      <c r="F40" s="178">
        <f t="shared" si="20"/>
        <v>0</v>
      </c>
      <c r="G40" s="78"/>
      <c r="H40" s="103"/>
      <c r="I40" s="41">
        <f>G40+H40*1.15</f>
        <v>0</v>
      </c>
      <c r="J40" s="178">
        <f t="shared" si="21"/>
        <v>0</v>
      </c>
      <c r="K40" s="291"/>
      <c r="L40" s="78"/>
      <c r="M40" s="103"/>
      <c r="N40" s="41">
        <f>L40+M40*1.15</f>
        <v>0</v>
      </c>
      <c r="O40" s="178">
        <f t="shared" si="22"/>
        <v>0</v>
      </c>
      <c r="P40" s="291"/>
      <c r="Q40" s="78"/>
      <c r="R40" s="103"/>
      <c r="S40" s="41">
        <f>Q40+R40*1.15</f>
        <v>0</v>
      </c>
      <c r="T40" s="178">
        <f t="shared" si="23"/>
        <v>0</v>
      </c>
      <c r="U40" s="291"/>
      <c r="V40" s="78"/>
      <c r="W40" s="103"/>
      <c r="X40" s="41">
        <f>V40+W40*1.15</f>
        <v>0</v>
      </c>
      <c r="Y40" s="178">
        <f t="shared" si="4"/>
        <v>0</v>
      </c>
      <c r="Z40" s="291"/>
      <c r="AA40" s="210">
        <f>L40</f>
        <v>0</v>
      </c>
      <c r="AB40" s="210">
        <f>M40</f>
        <v>0</v>
      </c>
      <c r="AC40" s="106">
        <f>AA40+AB40*1.15</f>
        <v>0</v>
      </c>
      <c r="AD40" s="178">
        <f t="shared" si="24"/>
        <v>0</v>
      </c>
      <c r="AE40" s="79"/>
      <c r="AF40" s="210">
        <f t="shared" ref="AF40:AG46" si="25">C40-AA40</f>
        <v>0</v>
      </c>
      <c r="AG40" s="210">
        <f t="shared" si="25"/>
        <v>0</v>
      </c>
      <c r="AH40" s="210">
        <f t="shared" ref="AH40:AH46" si="26">AF40+AG40*1.15</f>
        <v>0</v>
      </c>
      <c r="AI40" s="178">
        <f t="shared" ref="AI40:AI46" si="27">AH40/$E$87</f>
        <v>0</v>
      </c>
      <c r="AJ40" s="79"/>
    </row>
    <row r="41" spans="1:37" ht="13.8" outlineLevel="2">
      <c r="A41" s="4833"/>
      <c r="B41" s="18" t="s">
        <v>27</v>
      </c>
      <c r="C41" s="113"/>
      <c r="D41" s="119"/>
      <c r="E41" s="120">
        <f>C41+D41*1.15</f>
        <v>0</v>
      </c>
      <c r="F41" s="178">
        <f t="shared" si="20"/>
        <v>0</v>
      </c>
      <c r="G41" s="78"/>
      <c r="H41" s="103">
        <v>94</v>
      </c>
      <c r="I41" s="41">
        <f t="shared" ref="I41:I46" si="28">G41+H41</f>
        <v>94</v>
      </c>
      <c r="J41" s="178">
        <f t="shared" si="21"/>
        <v>3.9613755431701679E-5</v>
      </c>
      <c r="K41" s="291"/>
      <c r="L41" s="78"/>
      <c r="M41" s="103"/>
      <c r="N41" s="41">
        <f t="shared" ref="N41:N46" si="29">L41+M41</f>
        <v>0</v>
      </c>
      <c r="O41" s="178">
        <f t="shared" si="22"/>
        <v>0</v>
      </c>
      <c r="P41" s="291"/>
      <c r="Q41" s="78"/>
      <c r="R41" s="103"/>
      <c r="S41" s="41">
        <f t="shared" ref="S41:S46" si="30">Q41+R41</f>
        <v>0</v>
      </c>
      <c r="T41" s="178">
        <f t="shared" si="23"/>
        <v>0</v>
      </c>
      <c r="U41" s="291"/>
      <c r="V41" s="78"/>
      <c r="W41" s="103"/>
      <c r="X41" s="41">
        <f t="shared" ref="X41:X46" si="31">V41+W41</f>
        <v>0</v>
      </c>
      <c r="Y41" s="178">
        <f t="shared" si="4"/>
        <v>0</v>
      </c>
      <c r="Z41" s="291"/>
      <c r="AA41" s="210">
        <f t="shared" ref="AA41:AA46" si="32">G41+L41+Q41+V41</f>
        <v>0</v>
      </c>
      <c r="AB41" s="210">
        <f t="shared" ref="AB41:AB46" si="33">H41+M41+R41+W41</f>
        <v>94</v>
      </c>
      <c r="AC41" s="106">
        <f t="shared" ref="AC41:AC46" si="34">AA41+AB41*1.15</f>
        <v>108.1</v>
      </c>
      <c r="AD41" s="178">
        <f t="shared" si="24"/>
        <v>2.8286268396894438E-5</v>
      </c>
      <c r="AE41" s="79"/>
      <c r="AF41" s="210">
        <f t="shared" si="25"/>
        <v>0</v>
      </c>
      <c r="AG41" s="210">
        <f t="shared" si="25"/>
        <v>-94</v>
      </c>
      <c r="AH41" s="210">
        <f t="shared" si="26"/>
        <v>-108.1</v>
      </c>
      <c r="AI41" s="178">
        <f t="shared" si="27"/>
        <v>-4.555581874645693E-5</v>
      </c>
      <c r="AJ41" s="79"/>
    </row>
    <row r="42" spans="1:37" ht="67.2" customHeight="1" outlineLevel="2">
      <c r="A42" s="4833"/>
      <c r="B42" s="19" t="s">
        <v>28</v>
      </c>
      <c r="C42" s="113">
        <v>1871.554107342901</v>
      </c>
      <c r="D42" s="119"/>
      <c r="E42" s="120">
        <f>C42+D42</f>
        <v>1871.554107342901</v>
      </c>
      <c r="F42" s="178">
        <f t="shared" si="20"/>
        <v>7.8871581580296213E-4</v>
      </c>
      <c r="G42" s="78">
        <v>335</v>
      </c>
      <c r="H42" s="103"/>
      <c r="I42" s="41">
        <f t="shared" si="28"/>
        <v>335</v>
      </c>
      <c r="J42" s="178">
        <f t="shared" si="21"/>
        <v>1.411766815917028E-4</v>
      </c>
      <c r="K42" s="291"/>
      <c r="L42" s="78"/>
      <c r="M42" s="103"/>
      <c r="N42" s="41">
        <f t="shared" si="29"/>
        <v>0</v>
      </c>
      <c r="O42" s="178">
        <f t="shared" si="22"/>
        <v>0</v>
      </c>
      <c r="P42" s="291"/>
      <c r="Q42" s="78"/>
      <c r="R42" s="103"/>
      <c r="S42" s="41">
        <f t="shared" si="30"/>
        <v>0</v>
      </c>
      <c r="T42" s="178">
        <f t="shared" si="23"/>
        <v>0</v>
      </c>
      <c r="U42" s="291"/>
      <c r="V42" s="78"/>
      <c r="W42" s="103"/>
      <c r="X42" s="41">
        <f t="shared" si="31"/>
        <v>0</v>
      </c>
      <c r="Y42" s="178">
        <f t="shared" si="4"/>
        <v>0</v>
      </c>
      <c r="Z42" s="291"/>
      <c r="AA42" s="210">
        <f t="shared" si="32"/>
        <v>335</v>
      </c>
      <c r="AB42" s="210">
        <f t="shared" si="33"/>
        <v>0</v>
      </c>
      <c r="AC42" s="106">
        <f t="shared" si="34"/>
        <v>335</v>
      </c>
      <c r="AD42" s="178">
        <f t="shared" si="24"/>
        <v>8.7658648593521156E-5</v>
      </c>
      <c r="AE42" s="79"/>
      <c r="AF42" s="210">
        <f t="shared" si="25"/>
        <v>1536.554107342901</v>
      </c>
      <c r="AG42" s="210">
        <f t="shared" si="25"/>
        <v>0</v>
      </c>
      <c r="AH42" s="210">
        <f t="shared" si="26"/>
        <v>1536.554107342901</v>
      </c>
      <c r="AI42" s="178">
        <f t="shared" si="27"/>
        <v>6.4753913421125933E-4</v>
      </c>
      <c r="AJ42" s="79"/>
    </row>
    <row r="43" spans="1:37" ht="13.8" hidden="1" outlineLevel="2">
      <c r="A43" s="4833"/>
      <c r="B43" s="18" t="s">
        <v>8</v>
      </c>
      <c r="C43" s="113"/>
      <c r="D43" s="119"/>
      <c r="E43" s="120">
        <f>C43+D43</f>
        <v>0</v>
      </c>
      <c r="F43" s="178">
        <f t="shared" si="20"/>
        <v>0</v>
      </c>
      <c r="G43" s="78"/>
      <c r="H43" s="103"/>
      <c r="I43" s="41">
        <f t="shared" si="28"/>
        <v>0</v>
      </c>
      <c r="J43" s="178">
        <f t="shared" si="21"/>
        <v>0</v>
      </c>
      <c r="K43" s="291"/>
      <c r="L43" s="78"/>
      <c r="M43" s="103"/>
      <c r="N43" s="41">
        <f t="shared" si="29"/>
        <v>0</v>
      </c>
      <c r="O43" s="178">
        <f t="shared" si="22"/>
        <v>0</v>
      </c>
      <c r="P43" s="291"/>
      <c r="Q43" s="78"/>
      <c r="R43" s="103"/>
      <c r="S43" s="41">
        <f t="shared" si="30"/>
        <v>0</v>
      </c>
      <c r="T43" s="178">
        <f t="shared" si="23"/>
        <v>0</v>
      </c>
      <c r="U43" s="291"/>
      <c r="V43" s="78"/>
      <c r="W43" s="103"/>
      <c r="X43" s="41">
        <f t="shared" si="31"/>
        <v>0</v>
      </c>
      <c r="Y43" s="178">
        <f t="shared" si="4"/>
        <v>0</v>
      </c>
      <c r="Z43" s="291"/>
      <c r="AA43" s="210">
        <f t="shared" si="32"/>
        <v>0</v>
      </c>
      <c r="AB43" s="210">
        <f t="shared" si="33"/>
        <v>0</v>
      </c>
      <c r="AC43" s="106">
        <f t="shared" si="34"/>
        <v>0</v>
      </c>
      <c r="AD43" s="178">
        <f t="shared" si="24"/>
        <v>0</v>
      </c>
      <c r="AE43" s="79"/>
      <c r="AF43" s="210">
        <f t="shared" si="25"/>
        <v>0</v>
      </c>
      <c r="AG43" s="210">
        <f t="shared" si="25"/>
        <v>0</v>
      </c>
      <c r="AH43" s="210">
        <f t="shared" si="26"/>
        <v>0</v>
      </c>
      <c r="AI43" s="178">
        <f t="shared" si="27"/>
        <v>0</v>
      </c>
      <c r="AJ43" s="79"/>
    </row>
    <row r="44" spans="1:37" ht="13.8" hidden="1" outlineLevel="2">
      <c r="A44" s="4833"/>
      <c r="B44" s="18" t="s">
        <v>29</v>
      </c>
      <c r="C44" s="113"/>
      <c r="D44" s="119"/>
      <c r="E44" s="120">
        <f>C44+D44</f>
        <v>0</v>
      </c>
      <c r="F44" s="178">
        <f t="shared" si="20"/>
        <v>0</v>
      </c>
      <c r="G44" s="78"/>
      <c r="H44" s="103"/>
      <c r="I44" s="41">
        <f t="shared" si="28"/>
        <v>0</v>
      </c>
      <c r="J44" s="178">
        <f t="shared" si="21"/>
        <v>0</v>
      </c>
      <c r="K44" s="291"/>
      <c r="L44" s="78"/>
      <c r="M44" s="103"/>
      <c r="N44" s="41">
        <f t="shared" si="29"/>
        <v>0</v>
      </c>
      <c r="O44" s="178">
        <f t="shared" si="22"/>
        <v>0</v>
      </c>
      <c r="P44" s="291"/>
      <c r="Q44" s="78"/>
      <c r="R44" s="103"/>
      <c r="S44" s="41">
        <f t="shared" si="30"/>
        <v>0</v>
      </c>
      <c r="T44" s="178">
        <f t="shared" si="23"/>
        <v>0</v>
      </c>
      <c r="U44" s="291"/>
      <c r="V44" s="78"/>
      <c r="W44" s="103"/>
      <c r="X44" s="41">
        <f t="shared" si="31"/>
        <v>0</v>
      </c>
      <c r="Y44" s="178">
        <f t="shared" si="4"/>
        <v>0</v>
      </c>
      <c r="Z44" s="291"/>
      <c r="AA44" s="210">
        <f t="shared" si="32"/>
        <v>0</v>
      </c>
      <c r="AB44" s="210">
        <f t="shared" si="33"/>
        <v>0</v>
      </c>
      <c r="AC44" s="106">
        <f t="shared" si="34"/>
        <v>0</v>
      </c>
      <c r="AD44" s="178">
        <f t="shared" si="24"/>
        <v>0</v>
      </c>
      <c r="AE44" s="79"/>
      <c r="AF44" s="210">
        <f t="shared" si="25"/>
        <v>0</v>
      </c>
      <c r="AG44" s="210">
        <f t="shared" si="25"/>
        <v>0</v>
      </c>
      <c r="AH44" s="210">
        <f t="shared" si="26"/>
        <v>0</v>
      </c>
      <c r="AI44" s="178">
        <f t="shared" si="27"/>
        <v>0</v>
      </c>
      <c r="AJ44" s="79"/>
    </row>
    <row r="45" spans="1:37" ht="13.8" hidden="1" outlineLevel="2">
      <c r="A45" s="4833"/>
      <c r="B45" s="18" t="s">
        <v>30</v>
      </c>
      <c r="C45" s="113"/>
      <c r="D45" s="119"/>
      <c r="E45" s="120">
        <f>C45+D45</f>
        <v>0</v>
      </c>
      <c r="F45" s="178">
        <f t="shared" si="20"/>
        <v>0</v>
      </c>
      <c r="G45" s="78"/>
      <c r="H45" s="103"/>
      <c r="I45" s="41">
        <f t="shared" si="28"/>
        <v>0</v>
      </c>
      <c r="J45" s="178">
        <f t="shared" si="21"/>
        <v>0</v>
      </c>
      <c r="K45" s="291"/>
      <c r="L45" s="78"/>
      <c r="M45" s="103"/>
      <c r="N45" s="41">
        <f t="shared" si="29"/>
        <v>0</v>
      </c>
      <c r="O45" s="178">
        <f t="shared" si="22"/>
        <v>0</v>
      </c>
      <c r="P45" s="291"/>
      <c r="Q45" s="78"/>
      <c r="R45" s="103"/>
      <c r="S45" s="41">
        <f t="shared" si="30"/>
        <v>0</v>
      </c>
      <c r="T45" s="178">
        <f t="shared" si="23"/>
        <v>0</v>
      </c>
      <c r="U45" s="291"/>
      <c r="V45" s="78"/>
      <c r="W45" s="103"/>
      <c r="X45" s="41">
        <f t="shared" si="31"/>
        <v>0</v>
      </c>
      <c r="Y45" s="178">
        <f t="shared" si="4"/>
        <v>0</v>
      </c>
      <c r="Z45" s="291"/>
      <c r="AA45" s="210">
        <f t="shared" si="32"/>
        <v>0</v>
      </c>
      <c r="AB45" s="210">
        <f t="shared" si="33"/>
        <v>0</v>
      </c>
      <c r="AC45" s="106">
        <f t="shared" si="34"/>
        <v>0</v>
      </c>
      <c r="AD45" s="178">
        <f t="shared" si="24"/>
        <v>0</v>
      </c>
      <c r="AE45" s="79"/>
      <c r="AF45" s="210">
        <f t="shared" si="25"/>
        <v>0</v>
      </c>
      <c r="AG45" s="210">
        <f t="shared" si="25"/>
        <v>0</v>
      </c>
      <c r="AH45" s="210">
        <f t="shared" si="26"/>
        <v>0</v>
      </c>
      <c r="AI45" s="178">
        <f t="shared" si="27"/>
        <v>0</v>
      </c>
      <c r="AJ45" s="79"/>
    </row>
    <row r="46" spans="1:37" ht="13.8" outlineLevel="2">
      <c r="A46" s="4833"/>
      <c r="B46" s="18" t="s">
        <v>15</v>
      </c>
      <c r="C46" s="113">
        <v>1871.554107342901</v>
      </c>
      <c r="D46" s="119"/>
      <c r="E46" s="120">
        <f>C46+D46</f>
        <v>1871.554107342901</v>
      </c>
      <c r="F46" s="178">
        <f t="shared" si="20"/>
        <v>7.8871581580296213E-4</v>
      </c>
      <c r="G46" s="78">
        <v>99.78</v>
      </c>
      <c r="H46" s="103"/>
      <c r="I46" s="41">
        <f t="shared" si="28"/>
        <v>99.78</v>
      </c>
      <c r="J46" s="178">
        <f t="shared" si="21"/>
        <v>4.2049579967821208E-5</v>
      </c>
      <c r="K46" s="291"/>
      <c r="L46" s="78"/>
      <c r="M46" s="103"/>
      <c r="N46" s="41">
        <f t="shared" si="29"/>
        <v>0</v>
      </c>
      <c r="O46" s="178">
        <f t="shared" si="22"/>
        <v>0</v>
      </c>
      <c r="P46" s="291"/>
      <c r="Q46" s="78"/>
      <c r="R46" s="103"/>
      <c r="S46" s="41">
        <f t="shared" si="30"/>
        <v>0</v>
      </c>
      <c r="T46" s="178">
        <f t="shared" si="23"/>
        <v>0</v>
      </c>
      <c r="U46" s="291"/>
      <c r="V46" s="78"/>
      <c r="W46" s="103"/>
      <c r="X46" s="41">
        <f t="shared" si="31"/>
        <v>0</v>
      </c>
      <c r="Y46" s="178">
        <f t="shared" si="4"/>
        <v>0</v>
      </c>
      <c r="Z46" s="291"/>
      <c r="AA46" s="210">
        <f t="shared" si="32"/>
        <v>99.78</v>
      </c>
      <c r="AB46" s="210">
        <f t="shared" si="33"/>
        <v>0</v>
      </c>
      <c r="AC46" s="106">
        <f t="shared" si="34"/>
        <v>99.78</v>
      </c>
      <c r="AD46" s="178">
        <f t="shared" si="24"/>
        <v>2.6109193900482212E-5</v>
      </c>
      <c r="AE46" s="79"/>
      <c r="AF46" s="210">
        <f t="shared" si="25"/>
        <v>1771.7741073429011</v>
      </c>
      <c r="AG46" s="210">
        <f t="shared" si="25"/>
        <v>0</v>
      </c>
      <c r="AH46" s="210">
        <f t="shared" si="26"/>
        <v>1771.7741073429011</v>
      </c>
      <c r="AI46" s="178">
        <f t="shared" si="27"/>
        <v>7.4666623583514091E-4</v>
      </c>
      <c r="AJ46" s="79"/>
    </row>
    <row r="47" spans="1:37" s="2" customFormat="1" ht="14.4" outlineLevel="2" thickBot="1">
      <c r="A47" s="11"/>
      <c r="B47" s="35"/>
      <c r="C47" s="116"/>
      <c r="D47" s="121"/>
      <c r="E47" s="122"/>
      <c r="F47" s="182"/>
      <c r="G47" s="222"/>
      <c r="H47" s="223"/>
      <c r="I47" s="52"/>
      <c r="J47" s="203"/>
      <c r="K47" s="291"/>
      <c r="L47" s="222"/>
      <c r="M47" s="223"/>
      <c r="N47" s="52"/>
      <c r="O47" s="203"/>
      <c r="P47" s="291"/>
      <c r="Q47" s="222"/>
      <c r="R47" s="223"/>
      <c r="S47" s="52"/>
      <c r="T47" s="203">
        <f t="shared" si="23"/>
        <v>0</v>
      </c>
      <c r="U47" s="291"/>
      <c r="V47" s="222"/>
      <c r="W47" s="223"/>
      <c r="X47" s="52"/>
      <c r="Y47" s="203">
        <f t="shared" si="4"/>
        <v>0</v>
      </c>
      <c r="Z47" s="291"/>
      <c r="AA47" s="210"/>
      <c r="AB47" s="210"/>
      <c r="AC47" s="52"/>
      <c r="AD47" s="178">
        <f t="shared" si="24"/>
        <v>0</v>
      </c>
      <c r="AE47" s="52"/>
      <c r="AF47" s="52"/>
      <c r="AG47" s="52"/>
      <c r="AH47" s="52"/>
      <c r="AI47" s="52"/>
      <c r="AJ47" s="52"/>
    </row>
    <row r="48" spans="1:37" s="2" customFormat="1" ht="13.8" outlineLevel="1">
      <c r="A48" s="229"/>
      <c r="B48" s="17" t="s">
        <v>59</v>
      </c>
      <c r="C48" s="123">
        <f>SUM(C49:C50)</f>
        <v>0</v>
      </c>
      <c r="D48" s="123">
        <f>SUM(D49:D50)</f>
        <v>0</v>
      </c>
      <c r="E48" s="123">
        <f>SUM(E49:E50)</f>
        <v>0</v>
      </c>
      <c r="F48" s="170">
        <f>E48/$E$87</f>
        <v>0</v>
      </c>
      <c r="G48" s="123">
        <f>SUM(G49:G50)</f>
        <v>0</v>
      </c>
      <c r="H48" s="123">
        <f>SUM(H49:H50)</f>
        <v>0</v>
      </c>
      <c r="I48" s="123">
        <f>SUM(I49:I50)</f>
        <v>0</v>
      </c>
      <c r="J48" s="170">
        <f>I48/$E$87</f>
        <v>0</v>
      </c>
      <c r="K48" s="246"/>
      <c r="L48" s="123">
        <f>SUM(L49:L50)</f>
        <v>0</v>
      </c>
      <c r="M48" s="123">
        <f>SUM(M49:M50)</f>
        <v>0</v>
      </c>
      <c r="N48" s="123">
        <f>SUM(N49:N50)</f>
        <v>0</v>
      </c>
      <c r="O48" s="170">
        <f>N48/$E$87</f>
        <v>0</v>
      </c>
      <c r="P48" s="246"/>
      <c r="Q48" s="123">
        <f>SUM(Q49:Q50)</f>
        <v>0</v>
      </c>
      <c r="R48" s="123">
        <f>SUM(R49:R50)</f>
        <v>0</v>
      </c>
      <c r="S48" s="123">
        <f>SUM(S49:S50)</f>
        <v>0</v>
      </c>
      <c r="T48" s="170">
        <f t="shared" si="23"/>
        <v>0</v>
      </c>
      <c r="U48" s="246"/>
      <c r="V48" s="123">
        <f>SUM(V49:V50)</f>
        <v>0</v>
      </c>
      <c r="W48" s="123">
        <f>SUM(W49:W50)</f>
        <v>0</v>
      </c>
      <c r="X48" s="123">
        <f>SUM(X49:X50)</f>
        <v>0</v>
      </c>
      <c r="Y48" s="170">
        <f t="shared" si="4"/>
        <v>0</v>
      </c>
      <c r="Z48" s="246"/>
      <c r="AA48" s="123">
        <f>AA50+AA49</f>
        <v>0</v>
      </c>
      <c r="AB48" s="123">
        <f>AB50+AB49</f>
        <v>0</v>
      </c>
      <c r="AC48" s="123">
        <f>AC50+AC49</f>
        <v>0</v>
      </c>
      <c r="AD48" s="60"/>
      <c r="AE48" s="60"/>
      <c r="AF48" s="59">
        <f>AF50+AF49</f>
        <v>0</v>
      </c>
      <c r="AG48" s="59">
        <f>AG50+AG49</f>
        <v>0</v>
      </c>
      <c r="AH48" s="59">
        <f>AH50+AH49</f>
        <v>0</v>
      </c>
      <c r="AI48" s="60"/>
      <c r="AJ48" s="60"/>
    </row>
    <row r="49" spans="1:38" s="226" customFormat="1" ht="13.8" outlineLevel="1">
      <c r="A49" s="234"/>
      <c r="B49" s="18" t="s">
        <v>60</v>
      </c>
      <c r="C49" s="113"/>
      <c r="D49" s="119"/>
      <c r="E49" s="119">
        <f>C49+D49*1.15</f>
        <v>0</v>
      </c>
      <c r="F49" s="180">
        <f>E49/$E$87</f>
        <v>0</v>
      </c>
      <c r="G49" s="45"/>
      <c r="H49" s="45"/>
      <c r="I49" s="41">
        <f>G49+H49*1.15</f>
        <v>0</v>
      </c>
      <c r="J49" s="178">
        <f>I49/$E$87</f>
        <v>0</v>
      </c>
      <c r="K49" s="177"/>
      <c r="L49" s="45"/>
      <c r="M49" s="45"/>
      <c r="N49" s="41">
        <f>L49+M49*1.15</f>
        <v>0</v>
      </c>
      <c r="O49" s="178">
        <f>N49/$E$87</f>
        <v>0</v>
      </c>
      <c r="P49" s="177"/>
      <c r="Q49" s="45"/>
      <c r="R49" s="45"/>
      <c r="S49" s="41">
        <f>Q49+R49*1.15</f>
        <v>0</v>
      </c>
      <c r="T49" s="178">
        <f>S49/$E$87</f>
        <v>0</v>
      </c>
      <c r="U49" s="177"/>
      <c r="V49" s="45"/>
      <c r="W49" s="45"/>
      <c r="X49" s="41">
        <f>V49+W49*1.15</f>
        <v>0</v>
      </c>
      <c r="Y49" s="178">
        <f t="shared" si="4"/>
        <v>0</v>
      </c>
      <c r="Z49" s="177"/>
      <c r="AA49" s="210">
        <f t="shared" ref="AA49:AB51" si="35">L49+Q49+V49</f>
        <v>0</v>
      </c>
      <c r="AB49" s="210">
        <f t="shared" si="35"/>
        <v>0</v>
      </c>
      <c r="AC49" s="106">
        <f>AA49+AB49*1.15</f>
        <v>0</v>
      </c>
      <c r="AD49" s="178">
        <f>AC49/$AC$87</f>
        <v>0</v>
      </c>
      <c r="AE49" s="45"/>
      <c r="AF49" s="210">
        <f>C49-AA49</f>
        <v>0</v>
      </c>
      <c r="AG49" s="210">
        <f>D49-AB49</f>
        <v>0</v>
      </c>
      <c r="AH49" s="210">
        <f>AF49+AG49*1.15</f>
        <v>0</v>
      </c>
      <c r="AI49" s="178">
        <f>AH49/$E$87</f>
        <v>0</v>
      </c>
      <c r="AJ49" s="45"/>
    </row>
    <row r="50" spans="1:38" s="235" customFormat="1" ht="13.8" hidden="1" outlineLevel="2">
      <c r="A50" s="234"/>
      <c r="B50" s="18" t="s">
        <v>61</v>
      </c>
      <c r="C50" s="113"/>
      <c r="D50" s="119"/>
      <c r="E50" s="119">
        <f>C50+D50*1.15</f>
        <v>0</v>
      </c>
      <c r="F50" s="180">
        <f>E50/$E$87</f>
        <v>0</v>
      </c>
      <c r="G50" s="45"/>
      <c r="H50" s="224"/>
      <c r="I50" s="41">
        <f>G50+H50*1.15</f>
        <v>0</v>
      </c>
      <c r="J50" s="178">
        <f>I50/$E$87</f>
        <v>0</v>
      </c>
      <c r="K50" s="177"/>
      <c r="L50" s="45"/>
      <c r="M50" s="224"/>
      <c r="N50" s="41">
        <f>L50+M50*1.15</f>
        <v>0</v>
      </c>
      <c r="O50" s="178">
        <f>N50/$E$87</f>
        <v>0</v>
      </c>
      <c r="P50" s="177"/>
      <c r="Q50" s="45"/>
      <c r="R50" s="224"/>
      <c r="S50" s="41">
        <f>Q50+R50*1.15</f>
        <v>0</v>
      </c>
      <c r="T50" s="178">
        <f>S50/$E$87</f>
        <v>0</v>
      </c>
      <c r="U50" s="177"/>
      <c r="V50" s="45"/>
      <c r="W50" s="224"/>
      <c r="X50" s="41">
        <f>V50+W50*1.15</f>
        <v>0</v>
      </c>
      <c r="Y50" s="178">
        <f t="shared" si="4"/>
        <v>0</v>
      </c>
      <c r="Z50" s="177"/>
      <c r="AA50" s="210">
        <f t="shared" si="35"/>
        <v>0</v>
      </c>
      <c r="AB50" s="210">
        <f t="shared" si="35"/>
        <v>0</v>
      </c>
      <c r="AC50" s="106">
        <f>AA50+AB50*1.15</f>
        <v>0</v>
      </c>
      <c r="AD50" s="178">
        <f>AC50/$AC$87</f>
        <v>0</v>
      </c>
      <c r="AE50" s="45"/>
      <c r="AF50" s="210">
        <f>C50-AA50</f>
        <v>0</v>
      </c>
      <c r="AG50" s="210">
        <f>D50-AB50</f>
        <v>0</v>
      </c>
      <c r="AH50" s="210">
        <f>AF50+AG50*1.15</f>
        <v>0</v>
      </c>
      <c r="AI50" s="178">
        <f>AH50/$E$87</f>
        <v>0</v>
      </c>
      <c r="AJ50" s="45"/>
    </row>
    <row r="51" spans="1:38" ht="14.4" outlineLevel="1" collapsed="1" thickBot="1">
      <c r="A51" s="20"/>
      <c r="B51" s="21"/>
      <c r="C51" s="124"/>
      <c r="D51" s="125"/>
      <c r="E51" s="126"/>
      <c r="F51" s="183"/>
      <c r="G51" s="81"/>
      <c r="H51" s="81"/>
      <c r="I51" s="81"/>
      <c r="J51" s="204"/>
      <c r="K51" s="247"/>
      <c r="L51" s="81"/>
      <c r="M51" s="81"/>
      <c r="N51" s="81"/>
      <c r="O51" s="204"/>
      <c r="P51" s="247"/>
      <c r="Q51" s="81"/>
      <c r="R51" s="81"/>
      <c r="S51" s="81"/>
      <c r="T51" s="204"/>
      <c r="U51" s="247"/>
      <c r="V51" s="81"/>
      <c r="W51" s="81"/>
      <c r="X51" s="81"/>
      <c r="Y51" s="204">
        <f t="shared" si="4"/>
        <v>0</v>
      </c>
      <c r="Z51" s="247"/>
      <c r="AA51" s="210">
        <f t="shared" si="35"/>
        <v>0</v>
      </c>
      <c r="AB51" s="210">
        <f t="shared" si="35"/>
        <v>0</v>
      </c>
      <c r="AC51" s="61"/>
      <c r="AD51" s="61"/>
      <c r="AE51" s="61"/>
      <c r="AF51" s="61"/>
      <c r="AG51" s="61"/>
      <c r="AH51" s="61"/>
      <c r="AI51" s="61"/>
      <c r="AJ51" s="61"/>
    </row>
    <row r="52" spans="1:38" ht="13.8" outlineLevel="1">
      <c r="A52" s="236"/>
      <c r="B52" s="17" t="s">
        <v>1</v>
      </c>
      <c r="C52" s="123">
        <f>SUM(C53:C69)</f>
        <v>33590.5</v>
      </c>
      <c r="D52" s="123">
        <f>SUM(D53:D69)</f>
        <v>63973.499999999985</v>
      </c>
      <c r="E52" s="127">
        <f>SUM(E53:E69)</f>
        <v>97563.999999999985</v>
      </c>
      <c r="F52" s="170">
        <f>E52/$E$87</f>
        <v>4.1115706754665346E-2</v>
      </c>
      <c r="G52" s="123">
        <f>SUM(G53:G69)</f>
        <v>13302.359999999999</v>
      </c>
      <c r="H52" s="123">
        <f>SUM(H53:H69)</f>
        <v>32081.13</v>
      </c>
      <c r="I52" s="127">
        <f>SUM(I53:I69)</f>
        <v>45383.49</v>
      </c>
      <c r="J52" s="170">
        <f>I52/$N$87</f>
        <v>0.22120979422731518</v>
      </c>
      <c r="K52" s="246"/>
      <c r="L52" s="123">
        <f>SUM(L53:L69)</f>
        <v>9611.4</v>
      </c>
      <c r="M52" s="123">
        <f>SUM(M53:M69)</f>
        <v>20497.23</v>
      </c>
      <c r="N52" s="127">
        <f>SUM(N53:N69)</f>
        <v>30108.63</v>
      </c>
      <c r="O52" s="170">
        <f t="shared" ref="O52:O66" si="36">N52/$N$87</f>
        <v>0.14675653738322833</v>
      </c>
      <c r="P52" s="246"/>
      <c r="Q52" s="123">
        <f>SUM(Q53:Q69)</f>
        <v>17921</v>
      </c>
      <c r="R52" s="123">
        <f>SUM(R53:R69)</f>
        <v>15486.95</v>
      </c>
      <c r="S52" s="127">
        <f>SUM(S53:S69)</f>
        <v>33407.949999999997</v>
      </c>
      <c r="T52" s="170">
        <f t="shared" ref="T52:T66" si="37">S52/$S$87</f>
        <v>4.5006120143667276E-2</v>
      </c>
      <c r="U52" s="246"/>
      <c r="V52" s="123">
        <f>SUM(V53:V69)</f>
        <v>18817.98</v>
      </c>
      <c r="W52" s="123">
        <f>SUM(W53:W69)</f>
        <v>14640</v>
      </c>
      <c r="X52" s="127">
        <f>SUM(X53:X69)</f>
        <v>33457.980000000003</v>
      </c>
      <c r="Y52" s="170">
        <f t="shared" si="4"/>
        <v>3.4194635579697874E-2</v>
      </c>
      <c r="Z52" s="246"/>
      <c r="AA52" s="123">
        <f>SUM(AA53:AA69)</f>
        <v>59652.739999999991</v>
      </c>
      <c r="AB52" s="123">
        <f>SUM(AB53:AB69)</f>
        <v>82705.31</v>
      </c>
      <c r="AC52" s="127">
        <f>SUM(AC53:AC69)</f>
        <v>154763.84650000001</v>
      </c>
      <c r="AD52" s="169">
        <f t="shared" ref="AD52:AD60" si="38">AC52/$AC$87</f>
        <v>4.0496685478582539E-2</v>
      </c>
      <c r="AE52" s="60"/>
      <c r="AF52" s="123">
        <f>SUM(AF53:AF69)</f>
        <v>-26062.239999999998</v>
      </c>
      <c r="AG52" s="123">
        <f>SUM(AG53:AG69)</f>
        <v>-18731.810000000016</v>
      </c>
      <c r="AH52" s="127">
        <f>SUM(AH53:AH69)</f>
        <v>-47603.821500000013</v>
      </c>
      <c r="AI52" s="170">
        <f t="shared" ref="AI52:AI66" si="39">AH52/$AH$87</f>
        <v>3.6569813134524405E-2</v>
      </c>
      <c r="AJ52" s="60"/>
    </row>
    <row r="53" spans="1:38" ht="13.95" hidden="1" customHeight="1" outlineLevel="2">
      <c r="A53" s="237"/>
      <c r="B53" s="19" t="s">
        <v>77</v>
      </c>
      <c r="C53" s="113"/>
      <c r="D53" s="128"/>
      <c r="E53" s="120">
        <f>C53+D53*1.15</f>
        <v>0</v>
      </c>
      <c r="F53" s="178">
        <f>E53/$E$87</f>
        <v>0</v>
      </c>
      <c r="G53" s="78"/>
      <c r="H53" s="161"/>
      <c r="I53" s="41">
        <f>G53+H53*1.15</f>
        <v>0</v>
      </c>
      <c r="J53" s="178">
        <f>I53/$N$87</f>
        <v>0</v>
      </c>
      <c r="K53" s="177"/>
      <c r="L53" s="78"/>
      <c r="M53" s="161"/>
      <c r="N53" s="41">
        <f>L53+M53*1.15</f>
        <v>0</v>
      </c>
      <c r="O53" s="178">
        <f t="shared" si="36"/>
        <v>0</v>
      </c>
      <c r="P53" s="177"/>
      <c r="Q53" s="78"/>
      <c r="R53" s="161"/>
      <c r="S53" s="41">
        <f>Q53+R53*1.15</f>
        <v>0</v>
      </c>
      <c r="T53" s="178">
        <f t="shared" si="37"/>
        <v>0</v>
      </c>
      <c r="U53" s="177"/>
      <c r="V53" s="78"/>
      <c r="W53" s="161"/>
      <c r="X53" s="41">
        <f>V53+W53*1.15</f>
        <v>0</v>
      </c>
      <c r="Y53" s="178">
        <f t="shared" si="4"/>
        <v>0</v>
      </c>
      <c r="Z53" s="177"/>
      <c r="AA53" s="210">
        <f t="shared" ref="AA53:AB55" si="40">L53</f>
        <v>0</v>
      </c>
      <c r="AB53" s="210">
        <f t="shared" si="40"/>
        <v>0</v>
      </c>
      <c r="AC53" s="106">
        <f t="shared" ref="AC53:AC70" si="41">AA53+AB53*1.15</f>
        <v>0</v>
      </c>
      <c r="AD53" s="178">
        <f t="shared" si="38"/>
        <v>0</v>
      </c>
      <c r="AE53" s="79"/>
      <c r="AF53" s="210">
        <f t="shared" ref="AF53:AF72" si="42">C53-AA53</f>
        <v>0</v>
      </c>
      <c r="AG53" s="210">
        <f t="shared" ref="AG53:AG72" si="43">D53-AB53</f>
        <v>0</v>
      </c>
      <c r="AH53" s="210">
        <f t="shared" ref="AH53:AH71" si="44">AF53+AG53*1.15</f>
        <v>0</v>
      </c>
      <c r="AI53" s="178">
        <f t="shared" si="39"/>
        <v>0</v>
      </c>
      <c r="AJ53" s="79"/>
    </row>
    <row r="54" spans="1:38" ht="13.95" hidden="1" customHeight="1" outlineLevel="2">
      <c r="A54" s="237"/>
      <c r="B54" s="19" t="s">
        <v>76</v>
      </c>
      <c r="C54" s="113"/>
      <c r="D54" s="128"/>
      <c r="E54" s="120">
        <f>C54+D54*1.15</f>
        <v>0</v>
      </c>
      <c r="F54" s="178">
        <f t="shared" ref="F54:F62" si="45">E54/$E$87</f>
        <v>0</v>
      </c>
      <c r="G54" s="163"/>
      <c r="H54" s="111"/>
      <c r="I54" s="41">
        <f>G54+H54*1.15</f>
        <v>0</v>
      </c>
      <c r="J54" s="178">
        <f>I54/$N$87</f>
        <v>0</v>
      </c>
      <c r="K54" s="177"/>
      <c r="L54" s="163"/>
      <c r="M54" s="111"/>
      <c r="N54" s="41">
        <f>L54+M54*1.15</f>
        <v>0</v>
      </c>
      <c r="O54" s="178">
        <f t="shared" si="36"/>
        <v>0</v>
      </c>
      <c r="P54" s="177"/>
      <c r="Q54" s="163"/>
      <c r="R54" s="111"/>
      <c r="S54" s="41">
        <f>Q54+R54*1.15</f>
        <v>0</v>
      </c>
      <c r="T54" s="178">
        <f t="shared" si="37"/>
        <v>0</v>
      </c>
      <c r="U54" s="177"/>
      <c r="V54" s="163"/>
      <c r="W54" s="111"/>
      <c r="X54" s="41">
        <f>V54+W54*1.15</f>
        <v>0</v>
      </c>
      <c r="Y54" s="178">
        <f t="shared" si="4"/>
        <v>0</v>
      </c>
      <c r="Z54" s="177"/>
      <c r="AA54" s="210">
        <f t="shared" si="40"/>
        <v>0</v>
      </c>
      <c r="AB54" s="210">
        <f t="shared" si="40"/>
        <v>0</v>
      </c>
      <c r="AC54" s="106">
        <f t="shared" si="41"/>
        <v>0</v>
      </c>
      <c r="AD54" s="178">
        <f t="shared" si="38"/>
        <v>0</v>
      </c>
      <c r="AE54" s="79"/>
      <c r="AF54" s="210">
        <f t="shared" si="42"/>
        <v>0</v>
      </c>
      <c r="AG54" s="210">
        <f t="shared" si="43"/>
        <v>0</v>
      </c>
      <c r="AH54" s="210">
        <f t="shared" si="44"/>
        <v>0</v>
      </c>
      <c r="AI54" s="178">
        <f t="shared" si="39"/>
        <v>0</v>
      </c>
      <c r="AJ54" s="79"/>
    </row>
    <row r="55" spans="1:38" ht="13.95" hidden="1" customHeight="1" outlineLevel="2">
      <c r="A55" s="237"/>
      <c r="B55" s="19" t="s">
        <v>68</v>
      </c>
      <c r="C55" s="113"/>
      <c r="D55" s="128"/>
      <c r="E55" s="120">
        <f>C55+D55*1.15</f>
        <v>0</v>
      </c>
      <c r="F55" s="178">
        <f t="shared" si="45"/>
        <v>0</v>
      </c>
      <c r="G55" s="163"/>
      <c r="H55" s="111"/>
      <c r="I55" s="41">
        <f>G55+H55*1.15</f>
        <v>0</v>
      </c>
      <c r="J55" s="178">
        <f>I55/$N$87</f>
        <v>0</v>
      </c>
      <c r="K55" s="291"/>
      <c r="L55" s="163"/>
      <c r="M55" s="111"/>
      <c r="N55" s="41">
        <f>L55+M55*1.15</f>
        <v>0</v>
      </c>
      <c r="O55" s="178">
        <f t="shared" si="36"/>
        <v>0</v>
      </c>
      <c r="P55" s="291"/>
      <c r="Q55" s="163"/>
      <c r="R55" s="111"/>
      <c r="S55" s="41">
        <f>Q55+R55*1.15</f>
        <v>0</v>
      </c>
      <c r="T55" s="178">
        <f t="shared" si="37"/>
        <v>0</v>
      </c>
      <c r="U55" s="291"/>
      <c r="V55" s="163"/>
      <c r="W55" s="111"/>
      <c r="X55" s="41">
        <f>V55+W55*1.15</f>
        <v>0</v>
      </c>
      <c r="Y55" s="178">
        <f t="shared" si="4"/>
        <v>0</v>
      </c>
      <c r="Z55" s="291"/>
      <c r="AA55" s="210">
        <f t="shared" si="40"/>
        <v>0</v>
      </c>
      <c r="AB55" s="210">
        <f t="shared" si="40"/>
        <v>0</v>
      </c>
      <c r="AC55" s="106">
        <f t="shared" si="41"/>
        <v>0</v>
      </c>
      <c r="AD55" s="178">
        <f t="shared" si="38"/>
        <v>0</v>
      </c>
      <c r="AE55" s="79"/>
      <c r="AF55" s="210">
        <f t="shared" si="42"/>
        <v>0</v>
      </c>
      <c r="AG55" s="210">
        <f t="shared" si="43"/>
        <v>0</v>
      </c>
      <c r="AH55" s="210">
        <f t="shared" si="44"/>
        <v>0</v>
      </c>
      <c r="AI55" s="178">
        <f t="shared" si="39"/>
        <v>0</v>
      </c>
      <c r="AJ55" s="79"/>
    </row>
    <row r="56" spans="1:38" ht="43.95" customHeight="1" outlineLevel="2">
      <c r="A56" s="237"/>
      <c r="B56" s="19" t="s">
        <v>67</v>
      </c>
      <c r="C56" s="113">
        <v>9901.5</v>
      </c>
      <c r="D56" s="128">
        <v>61973.499999999985</v>
      </c>
      <c r="E56" s="120">
        <f t="shared" ref="E56:E66" si="46">C56+D56</f>
        <v>71874.999999999985</v>
      </c>
      <c r="F56" s="178">
        <f t="shared" si="45"/>
        <v>3.0289773102697422E-2</v>
      </c>
      <c r="G56" s="163">
        <v>5555</v>
      </c>
      <c r="H56" s="112">
        <v>31945.5</v>
      </c>
      <c r="I56" s="41">
        <f t="shared" ref="I56:I66" si="47">G56+H56</f>
        <v>37500.5</v>
      </c>
      <c r="J56" s="178">
        <f>I56/$N$87</f>
        <v>0.1827862486649095</v>
      </c>
      <c r="K56" s="291"/>
      <c r="L56" s="163">
        <v>4552.75</v>
      </c>
      <c r="M56" s="112">
        <v>20447</v>
      </c>
      <c r="N56" s="41">
        <f t="shared" ref="N56:N66" si="48">L56+M56</f>
        <v>24999.75</v>
      </c>
      <c r="O56" s="178">
        <f>N56/$N$87</f>
        <v>0.12185465580620448</v>
      </c>
      <c r="P56" s="291" t="s">
        <v>102</v>
      </c>
      <c r="Q56" s="163">
        <v>10465</v>
      </c>
      <c r="R56" s="112">
        <v>14535</v>
      </c>
      <c r="S56" s="41">
        <f t="shared" ref="S56:S66" si="49">Q56+R56</f>
        <v>25000</v>
      </c>
      <c r="T56" s="178">
        <f t="shared" si="37"/>
        <v>3.367919922029583E-2</v>
      </c>
      <c r="U56" s="291" t="s">
        <v>130</v>
      </c>
      <c r="V56" s="163">
        <v>10465</v>
      </c>
      <c r="W56" s="112">
        <v>14335</v>
      </c>
      <c r="X56" s="41">
        <f t="shared" ref="X56:X66" si="50">V56+W56</f>
        <v>24800</v>
      </c>
      <c r="Y56" s="178">
        <f t="shared" si="4"/>
        <v>2.5346029926986244E-2</v>
      </c>
      <c r="Z56" s="291" t="s">
        <v>167</v>
      </c>
      <c r="AA56" s="210">
        <f t="shared" ref="AA56:AA70" si="51">G56+L56+Q56+V56</f>
        <v>31037.75</v>
      </c>
      <c r="AB56" s="210">
        <f t="shared" ref="AB56:AB70" si="52">H56+M56+R56+W56</f>
        <v>81262.5</v>
      </c>
      <c r="AC56" s="106">
        <f t="shared" si="41"/>
        <v>124489.625</v>
      </c>
      <c r="AD56" s="178">
        <f t="shared" si="38"/>
        <v>3.2574902362430526E-2</v>
      </c>
      <c r="AE56" s="79"/>
      <c r="AF56" s="210">
        <f t="shared" si="42"/>
        <v>-21136.25</v>
      </c>
      <c r="AG56" s="210">
        <f t="shared" si="43"/>
        <v>-19289.000000000015</v>
      </c>
      <c r="AH56" s="210">
        <f t="shared" si="44"/>
        <v>-43318.60000000002</v>
      </c>
      <c r="AI56" s="178">
        <f t="shared" si="39"/>
        <v>3.3277855796707605E-2</v>
      </c>
      <c r="AJ56" s="79"/>
      <c r="AK56" s="227"/>
      <c r="AL56"/>
    </row>
    <row r="57" spans="1:38" ht="14.4" customHeight="1" outlineLevel="2">
      <c r="A57" s="237"/>
      <c r="B57" s="19" t="s">
        <v>66</v>
      </c>
      <c r="C57" s="113">
        <v>2706</v>
      </c>
      <c r="D57" s="128">
        <v>0</v>
      </c>
      <c r="E57" s="120">
        <f t="shared" si="46"/>
        <v>2706</v>
      </c>
      <c r="F57" s="178">
        <f t="shared" si="45"/>
        <v>1.1403704489168591E-3</v>
      </c>
      <c r="G57" s="163">
        <v>1346</v>
      </c>
      <c r="H57" s="111">
        <v>0</v>
      </c>
      <c r="I57" s="41">
        <f t="shared" si="47"/>
        <v>1346</v>
      </c>
      <c r="J57" s="178">
        <f t="shared" ref="J57:J66" si="53">I57/$N$87</f>
        <v>6.560720275808808E-3</v>
      </c>
      <c r="K57" s="291"/>
      <c r="L57" s="163">
        <v>1102.81</v>
      </c>
      <c r="M57" s="111"/>
      <c r="N57" s="41">
        <f t="shared" si="48"/>
        <v>1102.81</v>
      </c>
      <c r="O57" s="178">
        <f t="shared" si="36"/>
        <v>5.3753550723363375E-3</v>
      </c>
      <c r="P57" s="291"/>
      <c r="Q57" s="163">
        <v>2535</v>
      </c>
      <c r="R57" s="111"/>
      <c r="S57" s="41">
        <f t="shared" si="49"/>
        <v>2535</v>
      </c>
      <c r="T57" s="178">
        <f t="shared" si="37"/>
        <v>3.415070800937997E-3</v>
      </c>
      <c r="U57" s="291"/>
      <c r="V57" s="163">
        <v>2535</v>
      </c>
      <c r="W57" s="111"/>
      <c r="X57" s="41">
        <f t="shared" si="50"/>
        <v>2535</v>
      </c>
      <c r="Y57" s="178">
        <f t="shared" si="4"/>
        <v>2.5908139461657308E-3</v>
      </c>
      <c r="Z57" s="291"/>
      <c r="AA57" s="210">
        <f t="shared" si="51"/>
        <v>7518.8099999999995</v>
      </c>
      <c r="AB57" s="210">
        <f t="shared" si="52"/>
        <v>0</v>
      </c>
      <c r="AC57" s="106">
        <f t="shared" si="41"/>
        <v>7518.8099999999995</v>
      </c>
      <c r="AD57" s="178">
        <f t="shared" si="38"/>
        <v>1.9674290257655305E-3</v>
      </c>
      <c r="AE57" s="79"/>
      <c r="AF57" s="210">
        <f t="shared" si="42"/>
        <v>-4812.8099999999995</v>
      </c>
      <c r="AG57" s="210">
        <f t="shared" si="43"/>
        <v>0</v>
      </c>
      <c r="AH57" s="210">
        <f t="shared" si="44"/>
        <v>-4812.8099999999995</v>
      </c>
      <c r="AI57" s="178">
        <f t="shared" si="39"/>
        <v>3.6972570017718082E-3</v>
      </c>
      <c r="AJ57" s="79"/>
      <c r="AK57" s="227"/>
      <c r="AL57" s="227"/>
    </row>
    <row r="58" spans="1:38" ht="14.4" customHeight="1" outlineLevel="2">
      <c r="A58" s="237"/>
      <c r="B58" s="19" t="s">
        <v>65</v>
      </c>
      <c r="C58" s="113">
        <v>2398.5</v>
      </c>
      <c r="D58" s="128">
        <v>0</v>
      </c>
      <c r="E58" s="120">
        <f t="shared" si="46"/>
        <v>2398.5</v>
      </c>
      <c r="F58" s="178">
        <f t="shared" si="45"/>
        <v>1.0107828979035796E-3</v>
      </c>
      <c r="G58" s="163">
        <v>1518</v>
      </c>
      <c r="H58" s="111">
        <v>0</v>
      </c>
      <c r="I58" s="41">
        <f t="shared" si="47"/>
        <v>1518</v>
      </c>
      <c r="J58" s="178">
        <f t="shared" si="53"/>
        <v>7.399088691439651E-3</v>
      </c>
      <c r="K58" s="291"/>
      <c r="L58" s="163">
        <v>1244.23</v>
      </c>
      <c r="M58" s="111"/>
      <c r="N58" s="41">
        <f t="shared" si="48"/>
        <v>1244.23</v>
      </c>
      <c r="O58" s="178">
        <f t="shared" si="36"/>
        <v>6.0646693824439766E-3</v>
      </c>
      <c r="P58" s="291"/>
      <c r="Q58" s="163">
        <v>2860</v>
      </c>
      <c r="R58" s="111"/>
      <c r="S58" s="41">
        <f t="shared" si="49"/>
        <v>2860</v>
      </c>
      <c r="T58" s="178">
        <f t="shared" si="37"/>
        <v>3.8529003908018425E-3</v>
      </c>
      <c r="U58" s="291"/>
      <c r="V58" s="163">
        <v>2860</v>
      </c>
      <c r="W58" s="111"/>
      <c r="X58" s="41">
        <f t="shared" si="50"/>
        <v>2860</v>
      </c>
      <c r="Y58" s="178">
        <f t="shared" si="4"/>
        <v>2.9229695802895426E-3</v>
      </c>
      <c r="Z58" s="291"/>
      <c r="AA58" s="210">
        <f t="shared" si="51"/>
        <v>8482.23</v>
      </c>
      <c r="AB58" s="210">
        <f t="shared" si="52"/>
        <v>0</v>
      </c>
      <c r="AC58" s="106">
        <f t="shared" si="41"/>
        <v>8482.23</v>
      </c>
      <c r="AD58" s="178">
        <f t="shared" si="38"/>
        <v>2.2195248324161877E-3</v>
      </c>
      <c r="AE58" s="79"/>
      <c r="AF58" s="210">
        <f t="shared" si="42"/>
        <v>-6083.73</v>
      </c>
      <c r="AG58" s="210">
        <f t="shared" si="43"/>
        <v>0</v>
      </c>
      <c r="AH58" s="210">
        <f t="shared" si="44"/>
        <v>-6083.73</v>
      </c>
      <c r="AI58" s="178">
        <f t="shared" si="39"/>
        <v>4.6735926287115427E-3</v>
      </c>
      <c r="AJ58" s="79"/>
      <c r="AK58" s="227"/>
    </row>
    <row r="59" spans="1:38" ht="13.95" customHeight="1" outlineLevel="2">
      <c r="A59" s="237"/>
      <c r="B59" s="19" t="s">
        <v>32</v>
      </c>
      <c r="C59" s="113"/>
      <c r="D59" s="128"/>
      <c r="E59" s="120">
        <f t="shared" si="46"/>
        <v>0</v>
      </c>
      <c r="F59" s="178">
        <f t="shared" si="45"/>
        <v>0</v>
      </c>
      <c r="G59" s="78">
        <v>0</v>
      </c>
      <c r="H59" s="161">
        <v>0</v>
      </c>
      <c r="I59" s="41">
        <f t="shared" si="47"/>
        <v>0</v>
      </c>
      <c r="J59" s="178">
        <f t="shared" si="53"/>
        <v>0</v>
      </c>
      <c r="K59" s="291"/>
      <c r="L59" s="78"/>
      <c r="M59" s="161"/>
      <c r="N59" s="41">
        <f t="shared" si="48"/>
        <v>0</v>
      </c>
      <c r="O59" s="178">
        <f t="shared" si="36"/>
        <v>0</v>
      </c>
      <c r="P59" s="291"/>
      <c r="Q59" s="78"/>
      <c r="R59" s="161"/>
      <c r="S59" s="41">
        <f t="shared" si="49"/>
        <v>0</v>
      </c>
      <c r="T59" s="178">
        <f t="shared" si="37"/>
        <v>0</v>
      </c>
      <c r="U59" s="291"/>
      <c r="V59" s="78"/>
      <c r="W59" s="161"/>
      <c r="X59" s="41">
        <f t="shared" si="50"/>
        <v>0</v>
      </c>
      <c r="Y59" s="178">
        <f t="shared" si="4"/>
        <v>0</v>
      </c>
      <c r="Z59" s="291"/>
      <c r="AA59" s="210">
        <f t="shared" si="51"/>
        <v>0</v>
      </c>
      <c r="AB59" s="210">
        <f t="shared" si="52"/>
        <v>0</v>
      </c>
      <c r="AC59" s="106">
        <f t="shared" si="41"/>
        <v>0</v>
      </c>
      <c r="AD59" s="178">
        <f t="shared" si="38"/>
        <v>0</v>
      </c>
      <c r="AE59" s="79"/>
      <c r="AF59" s="210">
        <f t="shared" si="42"/>
        <v>0</v>
      </c>
      <c r="AG59" s="210">
        <f t="shared" si="43"/>
        <v>0</v>
      </c>
      <c r="AH59" s="210">
        <f t="shared" si="44"/>
        <v>0</v>
      </c>
      <c r="AI59" s="178">
        <f t="shared" si="39"/>
        <v>0</v>
      </c>
      <c r="AJ59" s="79"/>
      <c r="AK59" s="227"/>
    </row>
    <row r="60" spans="1:38" ht="30.6" customHeight="1" outlineLevel="2">
      <c r="A60" s="237"/>
      <c r="B60" s="19" t="s">
        <v>33</v>
      </c>
      <c r="C60" s="129"/>
      <c r="D60" s="128"/>
      <c r="E60" s="120">
        <f t="shared" si="46"/>
        <v>0</v>
      </c>
      <c r="F60" s="178">
        <f t="shared" si="45"/>
        <v>0</v>
      </c>
      <c r="G60" s="78">
        <v>0</v>
      </c>
      <c r="H60" s="161">
        <v>0</v>
      </c>
      <c r="I60" s="41">
        <f t="shared" si="47"/>
        <v>0</v>
      </c>
      <c r="J60" s="178">
        <f t="shared" si="53"/>
        <v>0</v>
      </c>
      <c r="K60" s="291"/>
      <c r="L60" s="78"/>
      <c r="M60" s="161"/>
      <c r="N60" s="41">
        <f t="shared" si="48"/>
        <v>0</v>
      </c>
      <c r="O60" s="178">
        <f t="shared" si="36"/>
        <v>0</v>
      </c>
      <c r="P60" s="291"/>
      <c r="Q60" s="78"/>
      <c r="R60" s="161"/>
      <c r="S60" s="41">
        <f t="shared" si="49"/>
        <v>0</v>
      </c>
      <c r="T60" s="178">
        <f t="shared" si="37"/>
        <v>0</v>
      </c>
      <c r="U60" s="291"/>
      <c r="V60" s="78"/>
      <c r="W60" s="161"/>
      <c r="X60" s="41">
        <f t="shared" si="50"/>
        <v>0</v>
      </c>
      <c r="Y60" s="178">
        <f t="shared" si="4"/>
        <v>0</v>
      </c>
      <c r="Z60" s="291"/>
      <c r="AA60" s="210">
        <f t="shared" si="51"/>
        <v>0</v>
      </c>
      <c r="AB60" s="210">
        <f t="shared" si="52"/>
        <v>0</v>
      </c>
      <c r="AC60" s="106">
        <f t="shared" si="41"/>
        <v>0</v>
      </c>
      <c r="AD60" s="178">
        <f t="shared" si="38"/>
        <v>0</v>
      </c>
      <c r="AE60" s="79"/>
      <c r="AF60" s="210">
        <f t="shared" si="42"/>
        <v>0</v>
      </c>
      <c r="AG60" s="210">
        <f t="shared" si="43"/>
        <v>0</v>
      </c>
      <c r="AH60" s="210">
        <f t="shared" si="44"/>
        <v>0</v>
      </c>
      <c r="AI60" s="178">
        <f t="shared" si="39"/>
        <v>0</v>
      </c>
      <c r="AJ60" s="79"/>
      <c r="AK60" s="227"/>
    </row>
    <row r="61" spans="1:38" ht="57.6" customHeight="1" outlineLevel="2">
      <c r="A61" s="237"/>
      <c r="B61" s="19" t="s">
        <v>35</v>
      </c>
      <c r="C61" s="129">
        <v>18584.5</v>
      </c>
      <c r="D61" s="128"/>
      <c r="E61" s="120">
        <f t="shared" si="46"/>
        <v>18584.5</v>
      </c>
      <c r="F61" s="178">
        <f t="shared" si="45"/>
        <v>7.8319344448985091E-3</v>
      </c>
      <c r="G61" s="78">
        <v>4883.3599999999988</v>
      </c>
      <c r="H61" s="161">
        <v>0</v>
      </c>
      <c r="I61" s="41">
        <f t="shared" si="47"/>
        <v>4883.3599999999988</v>
      </c>
      <c r="J61" s="178">
        <f t="shared" si="53"/>
        <v>2.3802644105552519E-2</v>
      </c>
      <c r="K61" s="291"/>
      <c r="L61" s="78">
        <v>2711.61</v>
      </c>
      <c r="M61" s="161"/>
      <c r="N61" s="41">
        <f t="shared" si="48"/>
        <v>2711.61</v>
      </c>
      <c r="O61" s="178">
        <f t="shared" si="36"/>
        <v>1.3217024299469481E-2</v>
      </c>
      <c r="P61" s="291" t="s">
        <v>103</v>
      </c>
      <c r="Q61" s="78">
        <f>2061</f>
        <v>2061</v>
      </c>
      <c r="R61" s="161"/>
      <c r="S61" s="41">
        <f t="shared" si="49"/>
        <v>2061</v>
      </c>
      <c r="T61" s="178">
        <f t="shared" si="37"/>
        <v>2.776513183721188E-3</v>
      </c>
      <c r="U61" s="291" t="s">
        <v>131</v>
      </c>
      <c r="V61" s="78">
        <v>2957.98</v>
      </c>
      <c r="W61" s="161"/>
      <c r="X61" s="41">
        <f t="shared" si="50"/>
        <v>2957.98</v>
      </c>
      <c r="Y61" s="178">
        <f t="shared" si="4"/>
        <v>3.0231068388478534E-3</v>
      </c>
      <c r="Z61" s="291" t="s">
        <v>168</v>
      </c>
      <c r="AA61" s="210">
        <f t="shared" si="51"/>
        <v>12613.949999999999</v>
      </c>
      <c r="AB61" s="210">
        <f t="shared" si="52"/>
        <v>0</v>
      </c>
      <c r="AC61" s="106">
        <f t="shared" si="41"/>
        <v>12613.949999999999</v>
      </c>
      <c r="AD61" s="178">
        <f t="shared" ref="AD61:AD70" si="54">AC61/$AC$87</f>
        <v>3.3006621206753614E-3</v>
      </c>
      <c r="AE61" s="79"/>
      <c r="AF61" s="210">
        <f t="shared" si="42"/>
        <v>5970.5500000000011</v>
      </c>
      <c r="AG61" s="210">
        <f t="shared" si="43"/>
        <v>0</v>
      </c>
      <c r="AH61" s="210">
        <f t="shared" si="44"/>
        <v>5970.5500000000011</v>
      </c>
      <c r="AI61" s="178">
        <f t="shared" si="39"/>
        <v>-4.5866464273321981E-3</v>
      </c>
      <c r="AJ61" s="79"/>
    </row>
    <row r="62" spans="1:38" ht="31.2" hidden="1" customHeight="1" outlineLevel="2">
      <c r="A62" s="237"/>
      <c r="B62" s="19" t="s">
        <v>63</v>
      </c>
      <c r="C62" s="129"/>
      <c r="D62" s="128"/>
      <c r="E62" s="120">
        <f t="shared" si="46"/>
        <v>0</v>
      </c>
      <c r="F62" s="178">
        <f t="shared" si="45"/>
        <v>0</v>
      </c>
      <c r="G62" s="78">
        <v>0</v>
      </c>
      <c r="H62" s="161">
        <v>0</v>
      </c>
      <c r="I62" s="41">
        <f t="shared" si="47"/>
        <v>0</v>
      </c>
      <c r="J62" s="178">
        <f t="shared" si="53"/>
        <v>0</v>
      </c>
      <c r="K62" s="291"/>
      <c r="L62" s="78"/>
      <c r="M62" s="161"/>
      <c r="N62" s="41">
        <f t="shared" si="48"/>
        <v>0</v>
      </c>
      <c r="O62" s="178">
        <f t="shared" si="36"/>
        <v>0</v>
      </c>
      <c r="P62" s="291"/>
      <c r="Q62" s="78"/>
      <c r="R62" s="161"/>
      <c r="S62" s="41">
        <f t="shared" si="49"/>
        <v>0</v>
      </c>
      <c r="T62" s="178">
        <f t="shared" si="37"/>
        <v>0</v>
      </c>
      <c r="U62" s="291"/>
      <c r="V62" s="78"/>
      <c r="W62" s="161"/>
      <c r="X62" s="41">
        <f t="shared" si="50"/>
        <v>0</v>
      </c>
      <c r="Y62" s="178">
        <f t="shared" si="4"/>
        <v>0</v>
      </c>
      <c r="Z62" s="291"/>
      <c r="AA62" s="210">
        <f t="shared" si="51"/>
        <v>0</v>
      </c>
      <c r="AB62" s="210">
        <f t="shared" si="52"/>
        <v>0</v>
      </c>
      <c r="AC62" s="106">
        <f>AA62+AB62*1.15</f>
        <v>0</v>
      </c>
      <c r="AD62" s="178">
        <f t="shared" si="54"/>
        <v>0</v>
      </c>
      <c r="AE62" s="79"/>
      <c r="AF62" s="210">
        <f t="shared" si="42"/>
        <v>0</v>
      </c>
      <c r="AG62" s="210">
        <f t="shared" si="43"/>
        <v>0</v>
      </c>
      <c r="AH62" s="210">
        <f t="shared" si="44"/>
        <v>0</v>
      </c>
      <c r="AI62" s="178">
        <f t="shared" si="39"/>
        <v>0</v>
      </c>
      <c r="AJ62" s="79"/>
    </row>
    <row r="63" spans="1:38" ht="57" hidden="1" customHeight="1" outlineLevel="2">
      <c r="A63" s="237"/>
      <c r="B63" s="19" t="s">
        <v>36</v>
      </c>
      <c r="C63" s="129"/>
      <c r="D63" s="128"/>
      <c r="E63" s="120">
        <f t="shared" si="46"/>
        <v>0</v>
      </c>
      <c r="F63" s="178">
        <f t="shared" ref="F63:F69" si="55">E63/$E$87</f>
        <v>0</v>
      </c>
      <c r="G63" s="78">
        <v>0</v>
      </c>
      <c r="H63" s="161">
        <v>0</v>
      </c>
      <c r="I63" s="41">
        <f t="shared" si="47"/>
        <v>0</v>
      </c>
      <c r="J63" s="178">
        <f t="shared" si="53"/>
        <v>0</v>
      </c>
      <c r="K63" s="291"/>
      <c r="L63" s="78"/>
      <c r="M63" s="161"/>
      <c r="N63" s="41">
        <f t="shared" si="48"/>
        <v>0</v>
      </c>
      <c r="O63" s="178">
        <f t="shared" si="36"/>
        <v>0</v>
      </c>
      <c r="P63" s="291"/>
      <c r="Q63" s="78"/>
      <c r="R63" s="161"/>
      <c r="S63" s="41">
        <f t="shared" si="49"/>
        <v>0</v>
      </c>
      <c r="T63" s="178">
        <f t="shared" si="37"/>
        <v>0</v>
      </c>
      <c r="U63" s="291"/>
      <c r="V63" s="78"/>
      <c r="W63" s="161"/>
      <c r="X63" s="41">
        <f t="shared" si="50"/>
        <v>0</v>
      </c>
      <c r="Y63" s="178">
        <f t="shared" si="4"/>
        <v>0</v>
      </c>
      <c r="Z63" s="291"/>
      <c r="AA63" s="210">
        <f t="shared" si="51"/>
        <v>0</v>
      </c>
      <c r="AB63" s="210">
        <f t="shared" si="52"/>
        <v>0</v>
      </c>
      <c r="AC63" s="106">
        <f t="shared" si="41"/>
        <v>0</v>
      </c>
      <c r="AD63" s="178">
        <f t="shared" si="54"/>
        <v>0</v>
      </c>
      <c r="AE63" s="79"/>
      <c r="AF63" s="210">
        <f t="shared" si="42"/>
        <v>0</v>
      </c>
      <c r="AG63" s="210">
        <f t="shared" si="43"/>
        <v>0</v>
      </c>
      <c r="AH63" s="210">
        <f t="shared" si="44"/>
        <v>0</v>
      </c>
      <c r="AI63" s="178">
        <f t="shared" si="39"/>
        <v>0</v>
      </c>
      <c r="AJ63" s="79"/>
    </row>
    <row r="64" spans="1:38" s="2" customFormat="1" ht="13.95" hidden="1" customHeight="1" outlineLevel="2">
      <c r="A64" s="237"/>
      <c r="B64" s="19" t="s">
        <v>37</v>
      </c>
      <c r="C64" s="129"/>
      <c r="D64" s="128"/>
      <c r="E64" s="120">
        <f t="shared" si="46"/>
        <v>0</v>
      </c>
      <c r="F64" s="178">
        <f t="shared" si="55"/>
        <v>0</v>
      </c>
      <c r="G64" s="78">
        <v>0</v>
      </c>
      <c r="H64" s="161">
        <v>0</v>
      </c>
      <c r="I64" s="41">
        <f t="shared" si="47"/>
        <v>0</v>
      </c>
      <c r="J64" s="178">
        <f t="shared" si="53"/>
        <v>0</v>
      </c>
      <c r="K64" s="291"/>
      <c r="L64" s="78"/>
      <c r="M64" s="161"/>
      <c r="N64" s="41">
        <f t="shared" si="48"/>
        <v>0</v>
      </c>
      <c r="O64" s="178">
        <f t="shared" si="36"/>
        <v>0</v>
      </c>
      <c r="P64" s="291"/>
      <c r="Q64" s="78"/>
      <c r="R64" s="161"/>
      <c r="S64" s="41">
        <f t="shared" si="49"/>
        <v>0</v>
      </c>
      <c r="T64" s="178">
        <f t="shared" si="37"/>
        <v>0</v>
      </c>
      <c r="U64" s="291"/>
      <c r="V64" s="78"/>
      <c r="W64" s="161"/>
      <c r="X64" s="41">
        <f t="shared" si="50"/>
        <v>0</v>
      </c>
      <c r="Y64" s="178">
        <f t="shared" si="4"/>
        <v>0</v>
      </c>
      <c r="Z64" s="291"/>
      <c r="AA64" s="210">
        <f t="shared" si="51"/>
        <v>0</v>
      </c>
      <c r="AB64" s="210">
        <f t="shared" si="52"/>
        <v>0</v>
      </c>
      <c r="AC64" s="106">
        <f t="shared" si="41"/>
        <v>0</v>
      </c>
      <c r="AD64" s="178">
        <f t="shared" si="54"/>
        <v>0</v>
      </c>
      <c r="AE64" s="79"/>
      <c r="AF64" s="210">
        <f t="shared" si="42"/>
        <v>0</v>
      </c>
      <c r="AG64" s="210">
        <f t="shared" si="43"/>
        <v>0</v>
      </c>
      <c r="AH64" s="210">
        <f t="shared" si="44"/>
        <v>0</v>
      </c>
      <c r="AI64" s="178">
        <f t="shared" si="39"/>
        <v>0</v>
      </c>
      <c r="AJ64" s="79"/>
    </row>
    <row r="65" spans="1:37" s="2" customFormat="1" ht="102" hidden="1" customHeight="1" outlineLevel="2">
      <c r="A65" s="237"/>
      <c r="B65" s="19" t="s">
        <v>3</v>
      </c>
      <c r="C65" s="129"/>
      <c r="D65" s="128"/>
      <c r="E65" s="120">
        <f t="shared" si="46"/>
        <v>0</v>
      </c>
      <c r="F65" s="178">
        <f t="shared" si="55"/>
        <v>0</v>
      </c>
      <c r="G65" s="78">
        <v>0</v>
      </c>
      <c r="H65" s="161">
        <v>0</v>
      </c>
      <c r="I65" s="41">
        <f t="shared" si="47"/>
        <v>0</v>
      </c>
      <c r="J65" s="178">
        <f t="shared" si="53"/>
        <v>0</v>
      </c>
      <c r="K65" s="291"/>
      <c r="L65" s="78"/>
      <c r="M65" s="161"/>
      <c r="N65" s="41">
        <f t="shared" si="48"/>
        <v>0</v>
      </c>
      <c r="O65" s="178">
        <f t="shared" si="36"/>
        <v>0</v>
      </c>
      <c r="P65" s="291"/>
      <c r="Q65" s="78"/>
      <c r="R65" s="161"/>
      <c r="S65" s="41">
        <f t="shared" si="49"/>
        <v>0</v>
      </c>
      <c r="T65" s="178">
        <f t="shared" si="37"/>
        <v>0</v>
      </c>
      <c r="U65" s="291"/>
      <c r="V65" s="78"/>
      <c r="W65" s="161"/>
      <c r="X65" s="41">
        <f t="shared" si="50"/>
        <v>0</v>
      </c>
      <c r="Y65" s="178">
        <f t="shared" si="4"/>
        <v>0</v>
      </c>
      <c r="Z65" s="291"/>
      <c r="AA65" s="210">
        <f t="shared" si="51"/>
        <v>0</v>
      </c>
      <c r="AB65" s="210">
        <f t="shared" si="52"/>
        <v>0</v>
      </c>
      <c r="AC65" s="106">
        <f t="shared" si="41"/>
        <v>0</v>
      </c>
      <c r="AD65" s="178">
        <f t="shared" si="54"/>
        <v>0</v>
      </c>
      <c r="AE65" s="79"/>
      <c r="AF65" s="210">
        <f t="shared" si="42"/>
        <v>0</v>
      </c>
      <c r="AG65" s="210">
        <f t="shared" si="43"/>
        <v>0</v>
      </c>
      <c r="AH65" s="210">
        <f t="shared" si="44"/>
        <v>0</v>
      </c>
      <c r="AI65" s="178">
        <f t="shared" si="39"/>
        <v>0</v>
      </c>
      <c r="AJ65" s="79"/>
    </row>
    <row r="66" spans="1:37" s="2" customFormat="1" ht="13.95" customHeight="1" outlineLevel="2">
      <c r="A66" s="237"/>
      <c r="B66" s="19" t="s">
        <v>5</v>
      </c>
      <c r="C66" s="129"/>
      <c r="D66" s="128">
        <v>2000</v>
      </c>
      <c r="E66" s="120">
        <f t="shared" si="46"/>
        <v>2000</v>
      </c>
      <c r="F66" s="178">
        <f t="shared" si="55"/>
        <v>8.4284586024897194E-4</v>
      </c>
      <c r="G66" s="78">
        <v>0</v>
      </c>
      <c r="H66" s="161">
        <v>135.62999999999988</v>
      </c>
      <c r="I66" s="41">
        <f t="shared" si="47"/>
        <v>135.62999999999988</v>
      </c>
      <c r="J66" s="178">
        <f t="shared" si="53"/>
        <v>6.610924896047161E-4</v>
      </c>
      <c r="K66" s="177"/>
      <c r="L66" s="78"/>
      <c r="M66" s="161">
        <v>50.23</v>
      </c>
      <c r="N66" s="41">
        <f t="shared" si="48"/>
        <v>50.23</v>
      </c>
      <c r="O66" s="178">
        <f t="shared" si="36"/>
        <v>2.4483282277405375E-4</v>
      </c>
      <c r="P66" s="177"/>
      <c r="Q66" s="78"/>
      <c r="R66" s="161">
        <v>951.95</v>
      </c>
      <c r="S66" s="41">
        <f t="shared" si="49"/>
        <v>951.95</v>
      </c>
      <c r="T66" s="178">
        <f t="shared" si="37"/>
        <v>1.2824365479104246E-3</v>
      </c>
      <c r="U66" s="177"/>
      <c r="V66" s="78"/>
      <c r="W66" s="161">
        <v>305</v>
      </c>
      <c r="X66" s="41">
        <f t="shared" si="50"/>
        <v>305</v>
      </c>
      <c r="Y66" s="178">
        <f t="shared" si="4"/>
        <v>3.1171528740850016E-4</v>
      </c>
      <c r="Z66" s="177"/>
      <c r="AA66" s="210">
        <f t="shared" si="51"/>
        <v>0</v>
      </c>
      <c r="AB66" s="210">
        <f t="shared" si="52"/>
        <v>1442.81</v>
      </c>
      <c r="AC66" s="106">
        <f t="shared" si="41"/>
        <v>1659.2314999999999</v>
      </c>
      <c r="AD66" s="178">
        <f t="shared" si="54"/>
        <v>4.3416713729492831E-4</v>
      </c>
      <c r="AE66" s="79"/>
      <c r="AF66" s="210">
        <f t="shared" si="42"/>
        <v>0</v>
      </c>
      <c r="AG66" s="210">
        <f t="shared" si="43"/>
        <v>557.19000000000005</v>
      </c>
      <c r="AH66" s="210">
        <f t="shared" si="44"/>
        <v>640.76850000000002</v>
      </c>
      <c r="AI66" s="178">
        <f t="shared" si="39"/>
        <v>-4.9224586533435125E-4</v>
      </c>
      <c r="AJ66" s="79"/>
    </row>
    <row r="67" spans="1:37" s="2" customFormat="1" ht="13.8" hidden="1" outlineLevel="2">
      <c r="A67" s="237"/>
      <c r="B67" s="19" t="s">
        <v>42</v>
      </c>
      <c r="C67" s="129"/>
      <c r="D67" s="128"/>
      <c r="E67" s="120">
        <f>C67+D67*1.15</f>
        <v>0</v>
      </c>
      <c r="F67" s="178">
        <f t="shared" si="55"/>
        <v>0</v>
      </c>
      <c r="G67" s="78"/>
      <c r="H67" s="161"/>
      <c r="I67" s="41">
        <f>G67+H67*1.15</f>
        <v>0</v>
      </c>
      <c r="J67" s="178">
        <f>I67/$E$87</f>
        <v>0</v>
      </c>
      <c r="K67" s="177"/>
      <c r="L67" s="78"/>
      <c r="M67" s="161"/>
      <c r="N67" s="41">
        <f>L67+M67*1.15</f>
        <v>0</v>
      </c>
      <c r="O67" s="178">
        <f>N67/$E$87</f>
        <v>0</v>
      </c>
      <c r="P67" s="177"/>
      <c r="Q67" s="78"/>
      <c r="R67" s="161"/>
      <c r="S67" s="41">
        <f>Q67+R67*1.15</f>
        <v>0</v>
      </c>
      <c r="T67" s="178">
        <f>S67/$E$87</f>
        <v>0</v>
      </c>
      <c r="U67" s="177"/>
      <c r="V67" s="78"/>
      <c r="W67" s="161"/>
      <c r="X67" s="41">
        <f>V67+W67*1.15</f>
        <v>0</v>
      </c>
      <c r="Y67" s="178">
        <f>X67/$E$87</f>
        <v>0</v>
      </c>
      <c r="Z67" s="177"/>
      <c r="AA67" s="210">
        <f t="shared" si="51"/>
        <v>0</v>
      </c>
      <c r="AB67" s="210">
        <f t="shared" si="52"/>
        <v>0</v>
      </c>
      <c r="AC67" s="106">
        <f t="shared" si="41"/>
        <v>0</v>
      </c>
      <c r="AD67" s="178">
        <f t="shared" si="54"/>
        <v>0</v>
      </c>
      <c r="AE67" s="79"/>
      <c r="AF67" s="210">
        <f t="shared" si="42"/>
        <v>0</v>
      </c>
      <c r="AG67" s="210">
        <f t="shared" si="43"/>
        <v>0</v>
      </c>
      <c r="AH67" s="210">
        <f t="shared" si="44"/>
        <v>0</v>
      </c>
      <c r="AI67" s="178">
        <f>AH67/$E$87</f>
        <v>0</v>
      </c>
      <c r="AJ67" s="79"/>
    </row>
    <row r="68" spans="1:37" s="2" customFormat="1" ht="21.6" hidden="1" customHeight="1" outlineLevel="2">
      <c r="A68" s="237"/>
      <c r="B68" s="19" t="s">
        <v>6</v>
      </c>
      <c r="C68" s="129"/>
      <c r="D68" s="128"/>
      <c r="E68" s="120">
        <f>C68+D68*1.15</f>
        <v>0</v>
      </c>
      <c r="F68" s="178">
        <f t="shared" si="55"/>
        <v>0</v>
      </c>
      <c r="G68" s="78"/>
      <c r="H68" s="161"/>
      <c r="I68" s="41">
        <f>G68+H68*1.15</f>
        <v>0</v>
      </c>
      <c r="J68" s="178">
        <f>I68/$E$87</f>
        <v>0</v>
      </c>
      <c r="K68" s="177"/>
      <c r="L68" s="78"/>
      <c r="M68" s="161"/>
      <c r="N68" s="41">
        <f>L68+M68*1.15</f>
        <v>0</v>
      </c>
      <c r="O68" s="178">
        <f>N68/$E$87</f>
        <v>0</v>
      </c>
      <c r="P68" s="177"/>
      <c r="Q68" s="78"/>
      <c r="R68" s="161"/>
      <c r="S68" s="41">
        <f>Q68+R68*1.15</f>
        <v>0</v>
      </c>
      <c r="T68" s="178">
        <f>S68/$E$87</f>
        <v>0</v>
      </c>
      <c r="U68" s="177"/>
      <c r="V68" s="78"/>
      <c r="W68" s="161"/>
      <c r="X68" s="41">
        <f>V68+W68*1.15</f>
        <v>0</v>
      </c>
      <c r="Y68" s="178">
        <f>X68/$E$87</f>
        <v>0</v>
      </c>
      <c r="Z68" s="177"/>
      <c r="AA68" s="210">
        <f t="shared" si="51"/>
        <v>0</v>
      </c>
      <c r="AB68" s="210">
        <f t="shared" si="52"/>
        <v>0</v>
      </c>
      <c r="AC68" s="106">
        <f>AA68+AB68*1.15</f>
        <v>0</v>
      </c>
      <c r="AD68" s="178">
        <f t="shared" si="54"/>
        <v>0</v>
      </c>
      <c r="AE68" s="79"/>
      <c r="AF68" s="210">
        <f t="shared" si="42"/>
        <v>0</v>
      </c>
      <c r="AG68" s="210">
        <f t="shared" si="43"/>
        <v>0</v>
      </c>
      <c r="AH68" s="210">
        <f t="shared" si="44"/>
        <v>0</v>
      </c>
      <c r="AI68" s="178">
        <f>AH68/$E$87</f>
        <v>0</v>
      </c>
      <c r="AJ68" s="79"/>
    </row>
    <row r="69" spans="1:37" s="2" customFormat="1" ht="13.95" hidden="1" customHeight="1" outlineLevel="2">
      <c r="A69" s="237"/>
      <c r="B69" s="19" t="s">
        <v>78</v>
      </c>
      <c r="C69" s="129"/>
      <c r="D69" s="128"/>
      <c r="E69" s="120">
        <f>C69+D69*1.15</f>
        <v>0</v>
      </c>
      <c r="F69" s="184">
        <f t="shared" si="55"/>
        <v>0</v>
      </c>
      <c r="G69" s="78"/>
      <c r="H69" s="161"/>
      <c r="I69" s="41">
        <f>G69+H69*1.15</f>
        <v>0</v>
      </c>
      <c r="J69" s="178">
        <f>I69/$E$87</f>
        <v>0</v>
      </c>
      <c r="K69" s="177"/>
      <c r="L69" s="78"/>
      <c r="M69" s="161"/>
      <c r="N69" s="41">
        <f>L69+M69*1.15</f>
        <v>0</v>
      </c>
      <c r="O69" s="178">
        <f>N69/$E$87</f>
        <v>0</v>
      </c>
      <c r="P69" s="177"/>
      <c r="Q69" s="78"/>
      <c r="R69" s="161"/>
      <c r="S69" s="41">
        <f>Q69+R69*1.15</f>
        <v>0</v>
      </c>
      <c r="T69" s="178">
        <f>S69/$E$87</f>
        <v>0</v>
      </c>
      <c r="U69" s="177"/>
      <c r="V69" s="78"/>
      <c r="W69" s="161"/>
      <c r="X69" s="41">
        <f>V69+W69*1.15</f>
        <v>0</v>
      </c>
      <c r="Y69" s="178">
        <f>X69/$E$87</f>
        <v>0</v>
      </c>
      <c r="Z69" s="177"/>
      <c r="AA69" s="210">
        <f t="shared" si="51"/>
        <v>0</v>
      </c>
      <c r="AB69" s="210">
        <f t="shared" si="52"/>
        <v>0</v>
      </c>
      <c r="AC69" s="106">
        <f t="shared" si="41"/>
        <v>0</v>
      </c>
      <c r="AD69" s="178">
        <f t="shared" si="54"/>
        <v>0</v>
      </c>
      <c r="AE69" s="79"/>
      <c r="AF69" s="210">
        <f t="shared" si="42"/>
        <v>0</v>
      </c>
      <c r="AG69" s="210">
        <f t="shared" si="43"/>
        <v>0</v>
      </c>
      <c r="AH69" s="210">
        <f>AF69+AG69*1.15</f>
        <v>0</v>
      </c>
      <c r="AI69" s="178">
        <f>AH69/$E$87</f>
        <v>0</v>
      </c>
      <c r="AJ69" s="79"/>
    </row>
    <row r="70" spans="1:37" s="2" customFormat="1" ht="14.4" outlineLevel="2" thickBot="1">
      <c r="A70" s="237"/>
      <c r="B70" s="19"/>
      <c r="C70" s="130"/>
      <c r="D70" s="131"/>
      <c r="E70" s="159"/>
      <c r="F70" s="184">
        <f>E70/$E$87</f>
        <v>0</v>
      </c>
      <c r="G70" s="160"/>
      <c r="H70" s="162"/>
      <c r="I70" s="62"/>
      <c r="J70" s="205">
        <f>I70/$E$87</f>
        <v>0</v>
      </c>
      <c r="K70" s="248"/>
      <c r="L70" s="160"/>
      <c r="M70" s="162"/>
      <c r="N70" s="62"/>
      <c r="O70" s="205">
        <f>N70/$E$87</f>
        <v>0</v>
      </c>
      <c r="P70" s="248"/>
      <c r="Q70" s="160"/>
      <c r="R70" s="162"/>
      <c r="S70" s="62"/>
      <c r="T70" s="205">
        <f>S70/$E$87</f>
        <v>0</v>
      </c>
      <c r="U70" s="248"/>
      <c r="V70" s="160"/>
      <c r="W70" s="162"/>
      <c r="X70" s="62"/>
      <c r="Y70" s="205">
        <f>X70/$E$87</f>
        <v>0</v>
      </c>
      <c r="Z70" s="248"/>
      <c r="AA70" s="210">
        <f t="shared" si="51"/>
        <v>0</v>
      </c>
      <c r="AB70" s="210">
        <f t="shared" si="52"/>
        <v>0</v>
      </c>
      <c r="AC70" s="106">
        <f t="shared" si="41"/>
        <v>0</v>
      </c>
      <c r="AD70" s="178">
        <f t="shared" si="54"/>
        <v>0</v>
      </c>
      <c r="AE70" s="79"/>
      <c r="AF70" s="210">
        <f t="shared" si="42"/>
        <v>0</v>
      </c>
      <c r="AG70" s="210">
        <f t="shared" si="43"/>
        <v>0</v>
      </c>
      <c r="AH70" s="210">
        <f t="shared" si="44"/>
        <v>0</v>
      </c>
      <c r="AI70" s="178">
        <f>AH70/$E$87</f>
        <v>0</v>
      </c>
      <c r="AJ70" s="79"/>
    </row>
    <row r="71" spans="1:37" s="2" customFormat="1" ht="14.4" outlineLevel="1" thickBot="1">
      <c r="A71" s="237"/>
      <c r="B71" s="13" t="s">
        <v>4</v>
      </c>
      <c r="C71" s="132">
        <f>C72</f>
        <v>0</v>
      </c>
      <c r="D71" s="133">
        <f>D72</f>
        <v>0</v>
      </c>
      <c r="E71" s="132">
        <f>E72</f>
        <v>0</v>
      </c>
      <c r="F71" s="171">
        <f>E71/$E$87</f>
        <v>0</v>
      </c>
      <c r="G71" s="99">
        <f>G72</f>
        <v>0</v>
      </c>
      <c r="H71" s="63">
        <f>H72</f>
        <v>0</v>
      </c>
      <c r="I71" s="63">
        <f>I72</f>
        <v>0</v>
      </c>
      <c r="J71" s="194">
        <f>I71/$E$87</f>
        <v>0</v>
      </c>
      <c r="K71" s="249"/>
      <c r="L71" s="99">
        <f>L72</f>
        <v>0</v>
      </c>
      <c r="M71" s="63">
        <f>M72</f>
        <v>0</v>
      </c>
      <c r="N71" s="63">
        <f>N72</f>
        <v>0</v>
      </c>
      <c r="O71" s="194">
        <f>N71/$E$87</f>
        <v>0</v>
      </c>
      <c r="P71" s="249"/>
      <c r="Q71" s="99">
        <f>Q72</f>
        <v>0</v>
      </c>
      <c r="R71" s="63">
        <f>R72</f>
        <v>0</v>
      </c>
      <c r="S71" s="63">
        <f>S72</f>
        <v>0</v>
      </c>
      <c r="T71" s="194">
        <f>S71/$E$87</f>
        <v>0</v>
      </c>
      <c r="U71" s="249"/>
      <c r="V71" s="99">
        <f>V72</f>
        <v>0</v>
      </c>
      <c r="W71" s="63">
        <f>W72</f>
        <v>0</v>
      </c>
      <c r="X71" s="63">
        <f>X72</f>
        <v>0</v>
      </c>
      <c r="Y71" s="194">
        <f>X71/$E$87</f>
        <v>0</v>
      </c>
      <c r="Z71" s="249"/>
      <c r="AA71" s="139">
        <f>AA72</f>
        <v>0</v>
      </c>
      <c r="AB71" s="63">
        <f>AB72</f>
        <v>0</v>
      </c>
      <c r="AC71" s="60">
        <f>AC72</f>
        <v>0</v>
      </c>
      <c r="AD71" s="63"/>
      <c r="AE71" s="63"/>
      <c r="AF71" s="132">
        <f t="shared" si="42"/>
        <v>0</v>
      </c>
      <c r="AG71" s="133">
        <f t="shared" si="43"/>
        <v>0</v>
      </c>
      <c r="AH71" s="132">
        <f t="shared" si="44"/>
        <v>0</v>
      </c>
      <c r="AI71" s="171">
        <f>AH71/$E$87</f>
        <v>0</v>
      </c>
      <c r="AJ71" s="63"/>
    </row>
    <row r="72" spans="1:37" s="2" customFormat="1" ht="14.4" outlineLevel="1" thickBot="1">
      <c r="A72" s="20"/>
      <c r="B72" s="225" t="s">
        <v>64</v>
      </c>
      <c r="C72" s="134"/>
      <c r="D72" s="135"/>
      <c r="E72" s="136">
        <f>C72+D72</f>
        <v>0</v>
      </c>
      <c r="F72" s="185"/>
      <c r="G72" s="100"/>
      <c r="H72" s="64"/>
      <c r="I72" s="64">
        <f>G72+H72</f>
        <v>0</v>
      </c>
      <c r="J72" s="206"/>
      <c r="K72" s="206"/>
      <c r="L72" s="100"/>
      <c r="M72" s="64"/>
      <c r="N72" s="64">
        <f>L72+M72</f>
        <v>0</v>
      </c>
      <c r="O72" s="206"/>
      <c r="P72" s="206"/>
      <c r="Q72" s="100"/>
      <c r="R72" s="64"/>
      <c r="S72" s="64">
        <f>Q72+R72</f>
        <v>0</v>
      </c>
      <c r="T72" s="206"/>
      <c r="U72" s="206"/>
      <c r="V72" s="100"/>
      <c r="W72" s="64"/>
      <c r="X72" s="64">
        <f>V72+W72</f>
        <v>0</v>
      </c>
      <c r="Y72" s="206"/>
      <c r="Z72" s="206"/>
      <c r="AA72" s="100">
        <f>L72</f>
        <v>0</v>
      </c>
      <c r="AB72" s="64">
        <f>M72</f>
        <v>0</v>
      </c>
      <c r="AC72" s="64">
        <f>AA72+AB72</f>
        <v>0</v>
      </c>
      <c r="AD72" s="64"/>
      <c r="AE72" s="64"/>
      <c r="AF72" s="210">
        <f t="shared" si="42"/>
        <v>0</v>
      </c>
      <c r="AG72" s="210">
        <f t="shared" si="43"/>
        <v>0</v>
      </c>
      <c r="AH72" s="210">
        <f>AF72+AG72</f>
        <v>0</v>
      </c>
      <c r="AI72" s="64"/>
      <c r="AJ72" s="64"/>
    </row>
    <row r="73" spans="1:37" s="2" customFormat="1" ht="14.4" thickBot="1">
      <c r="A73" s="5"/>
      <c r="B73" s="23" t="s">
        <v>48</v>
      </c>
      <c r="C73" s="137">
        <f>C36-C39-C48-C52</f>
        <v>1653399.4626357432</v>
      </c>
      <c r="D73" s="137">
        <f>D36-D39-D48-D52</f>
        <v>-980031.28272772685</v>
      </c>
      <c r="E73" s="138">
        <f>E36-E39-E48-E52</f>
        <v>673368.17990801658</v>
      </c>
      <c r="F73" s="172"/>
      <c r="G73" s="65">
        <f>G36-G39-G48-G52</f>
        <v>-359488.6719999999</v>
      </c>
      <c r="H73" s="65">
        <f>H36-H39-H48-H52</f>
        <v>673235.28999999992</v>
      </c>
      <c r="I73" s="66">
        <f>I36-I39-I48-I52</f>
        <v>313746.61800000025</v>
      </c>
      <c r="J73" s="195"/>
      <c r="K73" s="250"/>
      <c r="L73" s="65">
        <f>L36-L39-L48-L52</f>
        <v>-116844.7</v>
      </c>
      <c r="M73" s="65">
        <f>M36-M39-M48-M52</f>
        <v>-77479.23</v>
      </c>
      <c r="N73" s="66">
        <f>N36-N39-N48-N52</f>
        <v>-194323.93</v>
      </c>
      <c r="O73" s="195"/>
      <c r="P73" s="250"/>
      <c r="Q73" s="65">
        <f>Q36-Q39-Q48-Q52</f>
        <v>518172.3060000001</v>
      </c>
      <c r="R73" s="65">
        <f>R36-R39-R48-R52</f>
        <v>-256506.95</v>
      </c>
      <c r="S73" s="66">
        <f>S36-S39-S48-S52</f>
        <v>261665.35600000009</v>
      </c>
      <c r="T73" s="195"/>
      <c r="U73" s="250"/>
      <c r="V73" s="65">
        <f>V36-V39-V48-V52</f>
        <v>1120318.7459500001</v>
      </c>
      <c r="W73" s="65">
        <f>W36-W39-W48-W52</f>
        <v>-253869.22</v>
      </c>
      <c r="X73" s="66">
        <f>X36-X39-X48-X52</f>
        <v>866449.52595000004</v>
      </c>
      <c r="Y73" s="195"/>
      <c r="Z73" s="250"/>
      <c r="AA73" s="65">
        <f>AA36-AA39-AA48-AA52</f>
        <v>1162157.6799500007</v>
      </c>
      <c r="AB73" s="65">
        <f>AB36-AB39-AB48-AB52</f>
        <v>85379.889999999956</v>
      </c>
      <c r="AC73" s="66">
        <f>AC36-AC39-AC48-AC52</f>
        <v>1078844.5534500014</v>
      </c>
      <c r="AD73" s="66"/>
      <c r="AE73" s="66"/>
      <c r="AF73" s="65">
        <f>AF36-AF39-AF48-AF52</f>
        <v>491241.78268574236</v>
      </c>
      <c r="AG73" s="65">
        <f>AG36-AG39-AG48-AG52</f>
        <v>-1065411.1727277266</v>
      </c>
      <c r="AH73" s="66">
        <f>AH36-AH39-AH48-AH52</f>
        <v>-552481.06595114351</v>
      </c>
      <c r="AI73" s="66"/>
      <c r="AJ73" s="66"/>
    </row>
    <row r="74" spans="1:37" s="2" customFormat="1" ht="13.8">
      <c r="A74" s="230"/>
      <c r="B74" s="36" t="s">
        <v>49</v>
      </c>
      <c r="C74" s="157">
        <f>C73/C5</f>
        <v>0.54275994230596603</v>
      </c>
      <c r="D74" s="157" t="e">
        <f>D73/D5</f>
        <v>#DIV/0!</v>
      </c>
      <c r="E74" s="158">
        <f>E73/E5</f>
        <v>0.22104596181187092</v>
      </c>
      <c r="F74" s="167"/>
      <c r="G74" s="54">
        <f>G73/G5</f>
        <v>-0.42714042892619108</v>
      </c>
      <c r="H74" s="54">
        <f>H73/H5</f>
        <v>0.55639280165289251</v>
      </c>
      <c r="I74" s="55">
        <f>I73/I5</f>
        <v>0.15292650081589798</v>
      </c>
      <c r="J74" s="196"/>
      <c r="K74" s="251"/>
      <c r="L74" s="54" t="e">
        <f>L73/L5</f>
        <v>#DIV/0!</v>
      </c>
      <c r="M74" s="54" t="e">
        <f>M73/M5</f>
        <v>#DIV/0!</v>
      </c>
      <c r="N74" s="55" t="e">
        <f>N73/N5</f>
        <v>#DIV/0!</v>
      </c>
      <c r="O74" s="196"/>
      <c r="P74" s="251"/>
      <c r="Q74" s="54">
        <f>Q73/Q5</f>
        <v>0.51612674602873188</v>
      </c>
      <c r="R74" s="54" t="e">
        <f>R73/R5</f>
        <v>#DIV/0!</v>
      </c>
      <c r="S74" s="55">
        <f>S73/S5</f>
        <v>0.26063239423823958</v>
      </c>
      <c r="T74" s="196"/>
      <c r="U74" s="251"/>
      <c r="V74" s="54">
        <f>V73/V5</f>
        <v>0.618564287200153</v>
      </c>
      <c r="W74" s="54" t="e">
        <f>W73/W5</f>
        <v>#DIV/0!</v>
      </c>
      <c r="X74" s="55">
        <f>X73/X5</f>
        <v>0.47839486338300719</v>
      </c>
      <c r="Y74" s="196"/>
      <c r="Z74" s="251"/>
      <c r="AA74" s="54">
        <f>AA73/AA5</f>
        <v>0.31781249008423534</v>
      </c>
      <c r="AB74" s="54">
        <f>AB73/AB5</f>
        <v>7.0561892561983433E-2</v>
      </c>
      <c r="AC74" s="55">
        <f>AC73/AC5</f>
        <v>0.22167704234570301</v>
      </c>
      <c r="AD74" s="55"/>
      <c r="AE74" s="55"/>
      <c r="AF74" s="54">
        <f>AF73/AF5</f>
        <v>-0.8047091378462411</v>
      </c>
      <c r="AG74" s="54">
        <f>AG73/AG5</f>
        <v>0.8805051014278733</v>
      </c>
      <c r="AH74" s="55">
        <f>AH73/AH5</f>
        <v>0.30348451880168797</v>
      </c>
      <c r="AI74" s="55"/>
      <c r="AJ74" s="55"/>
    </row>
    <row r="75" spans="1:37" s="2" customFormat="1" ht="14.4" outlineLevel="1" thickBot="1">
      <c r="A75" s="230"/>
      <c r="B75" s="27" t="s">
        <v>9</v>
      </c>
      <c r="C75" s="139">
        <f>C76-C77</f>
        <v>0</v>
      </c>
      <c r="D75" s="139">
        <f>D76-D77</f>
        <v>0</v>
      </c>
      <c r="E75" s="140">
        <f>E76-E77</f>
        <v>0</v>
      </c>
      <c r="F75" s="173"/>
      <c r="G75" s="67">
        <f>G76-G77</f>
        <v>0</v>
      </c>
      <c r="H75" s="67">
        <f>H76-H77</f>
        <v>0</v>
      </c>
      <c r="I75" s="67">
        <f>I76-I77</f>
        <v>0</v>
      </c>
      <c r="J75" s="197"/>
      <c r="K75" s="252"/>
      <c r="L75" s="67">
        <f>L76-L77</f>
        <v>0</v>
      </c>
      <c r="M75" s="67">
        <f>M76-M77</f>
        <v>0</v>
      </c>
      <c r="N75" s="67">
        <f>N76-N77</f>
        <v>-10836.470598555437</v>
      </c>
      <c r="O75" s="197"/>
      <c r="P75" s="252"/>
      <c r="Q75" s="67">
        <f>Q76-Q77</f>
        <v>0</v>
      </c>
      <c r="R75" s="67">
        <f>R76-R77</f>
        <v>0</v>
      </c>
      <c r="S75" s="67">
        <f>S76-S77</f>
        <v>0</v>
      </c>
      <c r="T75" s="197"/>
      <c r="U75" s="252"/>
      <c r="V75" s="67">
        <f>V76-V77</f>
        <v>0</v>
      </c>
      <c r="W75" s="67">
        <f>W76-W77</f>
        <v>-29345</v>
      </c>
      <c r="X75" s="67">
        <f>X76-X77</f>
        <v>-33746.75</v>
      </c>
      <c r="Y75" s="197"/>
      <c r="Z75" s="252"/>
      <c r="AA75" s="139">
        <f>AA76-AA77</f>
        <v>0</v>
      </c>
      <c r="AB75" s="139">
        <f>AB76-AB77</f>
        <v>-29345</v>
      </c>
      <c r="AC75" s="140">
        <f>AC76-AC77</f>
        <v>-33746.75</v>
      </c>
      <c r="AD75" s="67"/>
      <c r="AE75" s="67"/>
      <c r="AF75" s="139">
        <f>AF76-AF77</f>
        <v>0</v>
      </c>
      <c r="AG75" s="139">
        <f>AG76-AG77</f>
        <v>29345</v>
      </c>
      <c r="AH75" s="140">
        <f>AH76-AH77</f>
        <v>33746.75</v>
      </c>
      <c r="AI75" s="173"/>
      <c r="AJ75" s="67"/>
    </row>
    <row r="76" spans="1:37" s="2" customFormat="1" ht="13.8" outlineLevel="2">
      <c r="A76" s="11"/>
      <c r="B76" s="6" t="s">
        <v>43</v>
      </c>
      <c r="C76" s="141"/>
      <c r="D76" s="142"/>
      <c r="E76" s="119">
        <f>C76+D76*1.15</f>
        <v>0</v>
      </c>
      <c r="F76" s="186"/>
      <c r="G76" s="71"/>
      <c r="H76" s="71"/>
      <c r="I76" s="71">
        <f>G76+H76*1.15</f>
        <v>0</v>
      </c>
      <c r="J76" s="177"/>
      <c r="K76" s="177"/>
      <c r="L76" s="71"/>
      <c r="M76" s="71"/>
      <c r="N76" s="71">
        <f>L76+M76*1.15</f>
        <v>0</v>
      </c>
      <c r="O76" s="177"/>
      <c r="P76" s="177"/>
      <c r="Q76" s="71"/>
      <c r="R76" s="71"/>
      <c r="S76" s="71">
        <f>Q76+R76*1.15</f>
        <v>0</v>
      </c>
      <c r="T76" s="177"/>
      <c r="U76" s="177"/>
      <c r="V76" s="71"/>
      <c r="W76" s="71"/>
      <c r="X76" s="71">
        <f>V76+W76*1.15</f>
        <v>0</v>
      </c>
      <c r="Y76" s="177"/>
      <c r="Z76" s="177"/>
      <c r="AA76" s="68"/>
      <c r="AB76" s="68"/>
      <c r="AC76" s="68"/>
      <c r="AD76" s="68"/>
      <c r="AE76" s="68"/>
      <c r="AF76" s="68"/>
      <c r="AG76" s="68"/>
      <c r="AH76" s="68"/>
      <c r="AI76" s="68"/>
      <c r="AJ76" s="68"/>
    </row>
    <row r="77" spans="1:37" s="2" customFormat="1" ht="13.8" outlineLevel="2">
      <c r="A77" s="11"/>
      <c r="B77" s="24" t="s">
        <v>79</v>
      </c>
      <c r="C77" s="113"/>
      <c r="D77" s="119"/>
      <c r="E77" s="119">
        <f>C77+D77*1.15</f>
        <v>0</v>
      </c>
      <c r="F77" s="180">
        <f>E77/$E$87</f>
        <v>0</v>
      </c>
      <c r="G77" s="45"/>
      <c r="H77" s="45"/>
      <c r="I77" s="45">
        <f>G77+H77*1.15</f>
        <v>0</v>
      </c>
      <c r="J77" s="178">
        <f>I77/$E$87</f>
        <v>0</v>
      </c>
      <c r="K77" s="177"/>
      <c r="L77" s="45"/>
      <c r="M77" s="45"/>
      <c r="N77" s="224">
        <f>(M8+M39+M48+M52)/(1-'расчет 2020'!E4)*'расчет 2020'!E4</f>
        <v>10836.470598555437</v>
      </c>
      <c r="O77" s="178">
        <f>N77/$E$87</f>
        <v>4.5667371918510745E-3</v>
      </c>
      <c r="P77" s="177"/>
      <c r="Q77" s="45"/>
      <c r="R77" s="45"/>
      <c r="S77" s="45">
        <f>Q77+R77*1.15</f>
        <v>0</v>
      </c>
      <c r="T77" s="178">
        <f>S77/$E$87</f>
        <v>0</v>
      </c>
      <c r="U77" s="177"/>
      <c r="V77" s="45"/>
      <c r="W77" s="78">
        <f>7300+7300+14745</f>
        <v>29345</v>
      </c>
      <c r="X77" s="45">
        <f>V77+W77*1.15</f>
        <v>33746.75</v>
      </c>
      <c r="Y77" s="178">
        <f>X77/$X$87</f>
        <v>3.4489763525746897E-2</v>
      </c>
      <c r="Z77" s="177"/>
      <c r="AA77" s="210">
        <f>G77+L77+Q77+V77</f>
        <v>0</v>
      </c>
      <c r="AB77" s="210">
        <f>H77+M77+R77+W77</f>
        <v>29345</v>
      </c>
      <c r="AC77" s="106">
        <f>AA77+AB77*1.15</f>
        <v>33746.75</v>
      </c>
      <c r="AD77" s="45"/>
      <c r="AE77" s="45"/>
      <c r="AF77" s="210">
        <f>C77-AA77</f>
        <v>0</v>
      </c>
      <c r="AG77" s="210">
        <f>D77-AB77</f>
        <v>-29345</v>
      </c>
      <c r="AH77" s="210">
        <f>AF77+AG77*1.15</f>
        <v>-33746.75</v>
      </c>
      <c r="AI77" s="178">
        <f>AH77/$E$87</f>
        <v>-1.4221654267178497E-2</v>
      </c>
      <c r="AJ77" s="45"/>
    </row>
    <row r="78" spans="1:37" ht="13.8" outlineLevel="2">
      <c r="A78" s="3"/>
      <c r="B78" s="25"/>
      <c r="C78" s="143"/>
      <c r="D78" s="144"/>
      <c r="E78" s="145"/>
      <c r="F78" s="187"/>
      <c r="G78" s="69"/>
      <c r="H78" s="69"/>
      <c r="I78" s="69"/>
      <c r="J78" s="207"/>
      <c r="K78" s="207"/>
      <c r="L78" s="69"/>
      <c r="M78" s="69"/>
      <c r="N78" s="69"/>
      <c r="O78" s="207"/>
      <c r="P78" s="207"/>
      <c r="Q78" s="69"/>
      <c r="R78" s="69"/>
      <c r="S78" s="69"/>
      <c r="T78" s="207"/>
      <c r="U78" s="207"/>
      <c r="V78" s="69"/>
      <c r="W78" s="69"/>
      <c r="X78" s="69"/>
      <c r="Y78" s="207"/>
      <c r="Z78" s="207"/>
      <c r="AA78" s="69"/>
      <c r="AB78" s="69"/>
      <c r="AC78" s="69"/>
      <c r="AD78" s="69"/>
      <c r="AE78" s="69"/>
      <c r="AF78" s="69"/>
      <c r="AG78" s="69"/>
      <c r="AH78" s="69"/>
      <c r="AI78" s="69"/>
      <c r="AJ78" s="69"/>
      <c r="AK78" s="2"/>
    </row>
    <row r="79" spans="1:37" s="2" customFormat="1" ht="14.4" outlineLevel="1" thickBot="1">
      <c r="A79" s="26"/>
      <c r="B79" s="27" t="s">
        <v>12</v>
      </c>
      <c r="C79" s="139">
        <f>(C73+C76)-C77</f>
        <v>1653399.4626357432</v>
      </c>
      <c r="D79" s="139">
        <f>(D73+D76)-D77</f>
        <v>-980031.28272772685</v>
      </c>
      <c r="E79" s="140">
        <f>(E73+E76)-E77</f>
        <v>673368.17990801658</v>
      </c>
      <c r="F79" s="173"/>
      <c r="G79" s="139">
        <f>(G73+G76)-G77</f>
        <v>-359488.6719999999</v>
      </c>
      <c r="H79" s="139">
        <f>(H73+H76)-H77</f>
        <v>673235.28999999992</v>
      </c>
      <c r="I79" s="140">
        <f>(I73+I76)-I77</f>
        <v>313746.61800000025</v>
      </c>
      <c r="J79" s="198"/>
      <c r="K79" s="253"/>
      <c r="L79" s="139">
        <f>(L73+L76)-L77</f>
        <v>-116844.7</v>
      </c>
      <c r="M79" s="139">
        <f>(M73+M76)-M77</f>
        <v>-77479.23</v>
      </c>
      <c r="N79" s="140">
        <f>(N73+N76)-N77</f>
        <v>-205160.40059855542</v>
      </c>
      <c r="O79" s="198"/>
      <c r="P79" s="253"/>
      <c r="Q79" s="139">
        <f>(Q73+Q76)-Q77</f>
        <v>518172.3060000001</v>
      </c>
      <c r="R79" s="139">
        <f>(R73+R76)-R77</f>
        <v>-256506.95</v>
      </c>
      <c r="S79" s="140">
        <f>(S73+S76)-S77</f>
        <v>261665.35600000009</v>
      </c>
      <c r="T79" s="198"/>
      <c r="U79" s="253"/>
      <c r="V79" s="139">
        <f>(V73+V76)-V77</f>
        <v>1120318.7459500001</v>
      </c>
      <c r="W79" s="139">
        <f>(W73+W76)-W77</f>
        <v>-283214.21999999997</v>
      </c>
      <c r="X79" s="140">
        <f>(X73+X76)-X77</f>
        <v>832702.77595000004</v>
      </c>
      <c r="Y79" s="198"/>
      <c r="Z79" s="253"/>
      <c r="AA79" s="139">
        <f>(AA73+AA76)-AA77</f>
        <v>1162157.6799500007</v>
      </c>
      <c r="AB79" s="139">
        <f>(AB73+AB76)-AB77</f>
        <v>56034.889999999956</v>
      </c>
      <c r="AC79" s="140">
        <f>(AC73+AC76)-AC77</f>
        <v>1045097.8034500014</v>
      </c>
      <c r="AD79" s="67"/>
      <c r="AE79" s="67"/>
      <c r="AF79" s="139">
        <f>(AF73+AF76)-AF77</f>
        <v>491241.78268574236</v>
      </c>
      <c r="AG79" s="139">
        <f>(AG73+AG76)-AG77</f>
        <v>-1036066.1727277266</v>
      </c>
      <c r="AH79" s="140">
        <f>(AH73+AH76)-AH77</f>
        <v>-518734.31595114351</v>
      </c>
      <c r="AI79" s="67"/>
      <c r="AJ79" s="67"/>
    </row>
    <row r="80" spans="1:37" s="2" customFormat="1" ht="13.8" outlineLevel="2">
      <c r="A80" s="229"/>
      <c r="B80" s="6" t="s">
        <v>38</v>
      </c>
      <c r="C80" s="141"/>
      <c r="D80" s="142"/>
      <c r="E80" s="146">
        <f>C80+D80</f>
        <v>0</v>
      </c>
      <c r="F80" s="180">
        <f>E80/$E$87</f>
        <v>0</v>
      </c>
      <c r="G80" s="141"/>
      <c r="H80" s="142"/>
      <c r="I80" s="146">
        <f>G80+H80</f>
        <v>0</v>
      </c>
      <c r="J80" s="178">
        <f>I80/$E$87</f>
        <v>0</v>
      </c>
      <c r="K80" s="254"/>
      <c r="L80" s="141"/>
      <c r="M80" s="142"/>
      <c r="N80" s="146">
        <f>L80+M80</f>
        <v>0</v>
      </c>
      <c r="O80" s="178">
        <f>N80/$E$87</f>
        <v>0</v>
      </c>
      <c r="P80" s="254"/>
      <c r="Q80" s="141"/>
      <c r="R80" s="142"/>
      <c r="S80" s="146">
        <f>Q80+R80</f>
        <v>0</v>
      </c>
      <c r="T80" s="178">
        <f>S80/$E$87</f>
        <v>0</v>
      </c>
      <c r="U80" s="254"/>
      <c r="V80" s="141"/>
      <c r="W80" s="142"/>
      <c r="X80" s="146">
        <f>V80+W80</f>
        <v>0</v>
      </c>
      <c r="Y80" s="178">
        <f>X80/$E$87</f>
        <v>0</v>
      </c>
      <c r="Z80" s="254"/>
      <c r="AA80" s="141"/>
      <c r="AB80" s="142"/>
      <c r="AC80" s="146">
        <f>AA80+AB80</f>
        <v>0</v>
      </c>
      <c r="AD80" s="101"/>
      <c r="AE80" s="101"/>
      <c r="AF80" s="141"/>
      <c r="AG80" s="142"/>
      <c r="AH80" s="146">
        <f>AF80+AG80</f>
        <v>0</v>
      </c>
      <c r="AI80" s="178">
        <f>AH80/$E$87</f>
        <v>0</v>
      </c>
      <c r="AJ80" s="101"/>
    </row>
    <row r="81" spans="1:36" s="2" customFormat="1" ht="13.8" outlineLevel="1">
      <c r="A81" s="11"/>
      <c r="B81" s="28" t="s">
        <v>13</v>
      </c>
      <c r="C81" s="147">
        <f>(C79+C7)-C34</f>
        <v>1653399.4626357432</v>
      </c>
      <c r="D81" s="147">
        <f>(D79+D7)-D34</f>
        <v>-980031.28272772685</v>
      </c>
      <c r="E81" s="147">
        <f>(E79+E7)-E34</f>
        <v>673368.17990801658</v>
      </c>
      <c r="F81" s="174"/>
      <c r="G81" s="147">
        <f>(G79+G7)-G34</f>
        <v>-359488.6719999999</v>
      </c>
      <c r="H81" s="147">
        <f>(H79+H7)-H34</f>
        <v>673235.28999999992</v>
      </c>
      <c r="I81" s="148">
        <f>(I79+I7)-I34</f>
        <v>313746.61800000025</v>
      </c>
      <c r="J81" s="199"/>
      <c r="K81" s="255"/>
      <c r="L81" s="147">
        <f>(L79+L7)-L34</f>
        <v>-116844.7</v>
      </c>
      <c r="M81" s="147">
        <f>(M79+M7)-M34</f>
        <v>-77479.23</v>
      </c>
      <c r="N81" s="148">
        <f>(N79+N7)-N34</f>
        <v>-205160.40059855542</v>
      </c>
      <c r="O81" s="199"/>
      <c r="P81" s="255"/>
      <c r="Q81" s="147">
        <f>(Q79+Q7)-Q34</f>
        <v>518172.3060000001</v>
      </c>
      <c r="R81" s="147">
        <f>(R79+R7)-R34</f>
        <v>-256506.95</v>
      </c>
      <c r="S81" s="148">
        <f>(S79+S7)-S34</f>
        <v>261665.35600000009</v>
      </c>
      <c r="T81" s="199"/>
      <c r="U81" s="255"/>
      <c r="V81" s="147">
        <f>(V79+V7)-V34</f>
        <v>1120318.7459500001</v>
      </c>
      <c r="W81" s="147">
        <f>(W79+W7)-W34</f>
        <v>-283214.21999999997</v>
      </c>
      <c r="X81" s="148">
        <f>(X79+X7)-X34</f>
        <v>832702.77595000004</v>
      </c>
      <c r="Y81" s="199"/>
      <c r="Z81" s="255"/>
      <c r="AA81" s="147">
        <f>(AA79+AA7)-AA34</f>
        <v>1162157.6799500007</v>
      </c>
      <c r="AB81" s="147">
        <f>(AB79+AB7)-AB34</f>
        <v>56034.889999999956</v>
      </c>
      <c r="AC81" s="148">
        <f>(AC79+AC7)-AC34</f>
        <v>1045097.8034500014</v>
      </c>
      <c r="AD81" s="70"/>
      <c r="AE81" s="70"/>
      <c r="AF81" s="147">
        <f>(AF79+AF7)-AF34</f>
        <v>491241.78268574236</v>
      </c>
      <c r="AG81" s="147">
        <f>(AG79+AG7)-AG34</f>
        <v>-1036066.1727277266</v>
      </c>
      <c r="AH81" s="148">
        <f>(AH79+AH7)-AH34</f>
        <v>-518734.31595114351</v>
      </c>
      <c r="AI81" s="70"/>
      <c r="AJ81" s="70"/>
    </row>
    <row r="82" spans="1:36" s="2" customFormat="1" ht="14.4" outlineLevel="1" thickBot="1">
      <c r="A82" s="11"/>
      <c r="B82" s="211" t="s">
        <v>14</v>
      </c>
      <c r="C82" s="212">
        <f>C81-C71-C80</f>
        <v>1653399.4626357432</v>
      </c>
      <c r="D82" s="212">
        <f>D81-D71-D80</f>
        <v>-980031.28272772685</v>
      </c>
      <c r="E82" s="212">
        <f>E81-E71-E80</f>
        <v>673368.17990801658</v>
      </c>
      <c r="F82" s="214"/>
      <c r="G82" s="212">
        <f>G81-G71-G80</f>
        <v>-359488.6719999999</v>
      </c>
      <c r="H82" s="212">
        <f>H81-H71-H80</f>
        <v>673235.28999999992</v>
      </c>
      <c r="I82" s="213">
        <f>I81-I71-I80</f>
        <v>313746.61800000025</v>
      </c>
      <c r="J82" s="215"/>
      <c r="K82" s="256"/>
      <c r="L82" s="212">
        <f>L81-L71-L80</f>
        <v>-116844.7</v>
      </c>
      <c r="M82" s="212">
        <f>M81-M71-M80</f>
        <v>-77479.23</v>
      </c>
      <c r="N82" s="213">
        <f>N81-N71-N80</f>
        <v>-205160.40059855542</v>
      </c>
      <c r="O82" s="215"/>
      <c r="P82" s="256"/>
      <c r="Q82" s="212">
        <f>Q81-Q71-Q80</f>
        <v>518172.3060000001</v>
      </c>
      <c r="R82" s="212">
        <f>R81-R71-R80</f>
        <v>-256506.95</v>
      </c>
      <c r="S82" s="213">
        <f>S81-S71-S80</f>
        <v>261665.35600000009</v>
      </c>
      <c r="T82" s="215"/>
      <c r="U82" s="256"/>
      <c r="V82" s="212">
        <f>V81-V71-V80</f>
        <v>1120318.7459500001</v>
      </c>
      <c r="W82" s="212">
        <f>W81-W71-W80</f>
        <v>-283214.21999999997</v>
      </c>
      <c r="X82" s="213">
        <f>X81-X71-X80</f>
        <v>832702.77595000004</v>
      </c>
      <c r="Y82" s="215"/>
      <c r="Z82" s="256"/>
      <c r="AA82" s="212">
        <f>AA81-AA71-AA80</f>
        <v>1162157.6799500007</v>
      </c>
      <c r="AB82" s="212">
        <f>AB81-AB71-AB80</f>
        <v>56034.889999999956</v>
      </c>
      <c r="AC82" s="213">
        <f>AC81-AC71-AC80</f>
        <v>1045097.8034500014</v>
      </c>
      <c r="AD82" s="82"/>
      <c r="AE82" s="82"/>
      <c r="AF82" s="212">
        <f>AF81-AF71-AF80</f>
        <v>491241.78268574236</v>
      </c>
      <c r="AG82" s="212">
        <f>AG81-AG71-AG80</f>
        <v>-1036066.1727277266</v>
      </c>
      <c r="AH82" s="213">
        <f>AH81-AH71-AH80</f>
        <v>-518734.31595114351</v>
      </c>
      <c r="AI82" s="82"/>
      <c r="AJ82" s="82"/>
    </row>
    <row r="83" spans="1:36" s="2" customFormat="1" ht="13.8" outlineLevel="3">
      <c r="A83" s="229"/>
      <c r="B83" s="216" t="s">
        <v>44</v>
      </c>
      <c r="C83" s="141"/>
      <c r="D83" s="142"/>
      <c r="E83" s="146">
        <f>C83+D83</f>
        <v>0</v>
      </c>
      <c r="F83" s="217">
        <f>E83/$E$87</f>
        <v>0</v>
      </c>
      <c r="G83" s="102"/>
      <c r="H83" s="102"/>
      <c r="I83" s="146">
        <f>G83+H83</f>
        <v>0</v>
      </c>
      <c r="J83" s="218">
        <f>I83/$E$87</f>
        <v>0</v>
      </c>
      <c r="K83" s="218"/>
      <c r="L83" s="102"/>
      <c r="M83" s="102"/>
      <c r="N83" s="146">
        <f>L83+M83</f>
        <v>0</v>
      </c>
      <c r="O83" s="218">
        <f>N83/$E$87</f>
        <v>0</v>
      </c>
      <c r="P83" s="218"/>
      <c r="Q83" s="102"/>
      <c r="R83" s="102"/>
      <c r="S83" s="146">
        <f>Q83+R83</f>
        <v>0</v>
      </c>
      <c r="T83" s="218">
        <f>S83/$E$87</f>
        <v>0</v>
      </c>
      <c r="U83" s="218"/>
      <c r="V83" s="102"/>
      <c r="W83" s="102"/>
      <c r="X83" s="146">
        <f>V83+W83</f>
        <v>0</v>
      </c>
      <c r="Y83" s="218">
        <f>X83/$E$87</f>
        <v>0</v>
      </c>
      <c r="Z83" s="218"/>
      <c r="AA83" s="102">
        <f>L83</f>
        <v>0</v>
      </c>
      <c r="AB83" s="102">
        <f>M83</f>
        <v>0</v>
      </c>
      <c r="AC83" s="219">
        <f>AA83+AB83*1.15</f>
        <v>0</v>
      </c>
      <c r="AD83" s="102"/>
      <c r="AE83" s="102"/>
      <c r="AF83" s="220">
        <f>C83-AA83</f>
        <v>0</v>
      </c>
      <c r="AG83" s="220">
        <f>D83-AB83</f>
        <v>0</v>
      </c>
      <c r="AH83" s="220">
        <f>AF83+AG83*1.15</f>
        <v>0</v>
      </c>
      <c r="AI83" s="218">
        <f>AH83/$E$87</f>
        <v>0</v>
      </c>
      <c r="AJ83" s="102"/>
    </row>
    <row r="84" spans="1:36" s="2" customFormat="1" ht="27.6">
      <c r="A84" s="11"/>
      <c r="B84" s="37" t="s">
        <v>50</v>
      </c>
      <c r="C84" s="149">
        <f>C82-C83</f>
        <v>1653399.4626357432</v>
      </c>
      <c r="D84" s="149">
        <f>D82-D83</f>
        <v>-980031.28272772685</v>
      </c>
      <c r="E84" s="150">
        <f>E82-E83</f>
        <v>673368.17990801658</v>
      </c>
      <c r="F84" s="175"/>
      <c r="G84" s="72">
        <f>G82-G83</f>
        <v>-359488.6719999999</v>
      </c>
      <c r="H84" s="72">
        <f>H82-H83</f>
        <v>673235.28999999992</v>
      </c>
      <c r="I84" s="73">
        <f>I82-I83</f>
        <v>313746.61800000025</v>
      </c>
      <c r="J84" s="200"/>
      <c r="K84" s="257"/>
      <c r="L84" s="72">
        <f>L82-L83</f>
        <v>-116844.7</v>
      </c>
      <c r="M84" s="72">
        <f>M82-M83</f>
        <v>-77479.23</v>
      </c>
      <c r="N84" s="73">
        <f>N82-N83</f>
        <v>-205160.40059855542</v>
      </c>
      <c r="O84" s="200"/>
      <c r="P84" s="257"/>
      <c r="Q84" s="72">
        <f>Q82-Q83</f>
        <v>518172.3060000001</v>
      </c>
      <c r="R84" s="72">
        <f>R82-R83</f>
        <v>-256506.95</v>
      </c>
      <c r="S84" s="73">
        <f>S82-S83</f>
        <v>261665.35600000009</v>
      </c>
      <c r="T84" s="200"/>
      <c r="U84" s="257"/>
      <c r="V84" s="72">
        <f>V82-V83</f>
        <v>1120318.7459500001</v>
      </c>
      <c r="W84" s="72">
        <f>W82-W83</f>
        <v>-283214.21999999997</v>
      </c>
      <c r="X84" s="73">
        <f>X82-X83</f>
        <v>832702.77595000004</v>
      </c>
      <c r="Y84" s="200"/>
      <c r="Z84" s="257"/>
      <c r="AA84" s="149">
        <f>AA82-AA83</f>
        <v>1162157.6799500007</v>
      </c>
      <c r="AB84" s="149">
        <f>AB82-AB83</f>
        <v>56034.889999999956</v>
      </c>
      <c r="AC84" s="150">
        <f>AC82-AC83</f>
        <v>1045097.8034500014</v>
      </c>
      <c r="AD84" s="73"/>
      <c r="AE84" s="73"/>
      <c r="AF84" s="72">
        <f>AF82-AF83</f>
        <v>491241.78268574236</v>
      </c>
      <c r="AG84" s="72">
        <f>AG82-AG83</f>
        <v>-1036066.1727277266</v>
      </c>
      <c r="AH84" s="73">
        <f>AH82-AH83</f>
        <v>-518734.31595114351</v>
      </c>
      <c r="AI84" s="73"/>
      <c r="AJ84" s="73"/>
    </row>
    <row r="85" spans="1:36" s="2" customFormat="1" ht="14.4" thickBot="1">
      <c r="A85" s="231"/>
      <c r="B85" s="29" t="s">
        <v>51</v>
      </c>
      <c r="C85" s="155">
        <f>C84/C5</f>
        <v>0.54275994230596603</v>
      </c>
      <c r="D85" s="151" t="e">
        <f>D84/D5</f>
        <v>#DIV/0!</v>
      </c>
      <c r="E85" s="156">
        <f>E84/E5</f>
        <v>0.22104596181187092</v>
      </c>
      <c r="F85" s="176"/>
      <c r="G85" s="74">
        <f>G84/G5</f>
        <v>-0.42714042892619108</v>
      </c>
      <c r="H85" s="74">
        <f>H84/H5</f>
        <v>0.55639280165289251</v>
      </c>
      <c r="I85" s="75">
        <f>I84/I5</f>
        <v>0.15292650081589798</v>
      </c>
      <c r="J85" s="201"/>
      <c r="K85" s="258"/>
      <c r="L85" s="74" t="e">
        <f>L84/L5</f>
        <v>#DIV/0!</v>
      </c>
      <c r="M85" s="74" t="e">
        <f>M84/M5</f>
        <v>#DIV/0!</v>
      </c>
      <c r="N85" s="75" t="e">
        <f>N84/N5</f>
        <v>#DIV/0!</v>
      </c>
      <c r="O85" s="201"/>
      <c r="P85" s="258"/>
      <c r="Q85" s="74">
        <f>Q84/Q5</f>
        <v>0.51612674602873188</v>
      </c>
      <c r="R85" s="74" t="e">
        <f>R84/R5</f>
        <v>#DIV/0!</v>
      </c>
      <c r="S85" s="75">
        <f>S84/S5</f>
        <v>0.26063239423823958</v>
      </c>
      <c r="T85" s="201"/>
      <c r="U85" s="258"/>
      <c r="V85" s="74">
        <f>V84/V5</f>
        <v>0.618564287200153</v>
      </c>
      <c r="W85" s="74" t="e">
        <f>W84/W5</f>
        <v>#DIV/0!</v>
      </c>
      <c r="X85" s="75">
        <f>X84/X5</f>
        <v>0.45976218903516275</v>
      </c>
      <c r="Y85" s="201"/>
      <c r="Z85" s="258"/>
      <c r="AA85" s="155">
        <f>AA84/AA5</f>
        <v>0.31781249008423534</v>
      </c>
      <c r="AB85" s="151">
        <f>AB84/AB5</f>
        <v>4.6309826446280955E-2</v>
      </c>
      <c r="AC85" s="156">
        <f>AC84/AC5</f>
        <v>0.21474288329113209</v>
      </c>
      <c r="AD85" s="75"/>
      <c r="AE85" s="75"/>
      <c r="AF85" s="74">
        <f>AF84/AF5</f>
        <v>-0.8047091378462411</v>
      </c>
      <c r="AG85" s="74">
        <f>AG84/AG5</f>
        <v>0.85625303531217078</v>
      </c>
      <c r="AH85" s="75">
        <f>AH84/AH5</f>
        <v>0.2849470216528236</v>
      </c>
      <c r="AI85" s="75"/>
      <c r="AJ85" s="75"/>
    </row>
    <row r="86" spans="1:36" ht="13.8">
      <c r="A86" s="30"/>
      <c r="B86" s="30"/>
      <c r="C86" s="152"/>
      <c r="D86" s="152"/>
      <c r="E86" s="152"/>
      <c r="F86" s="188"/>
      <c r="G86" s="76"/>
      <c r="H86" s="76"/>
      <c r="I86" s="76"/>
      <c r="J86" s="208"/>
      <c r="K86" s="208"/>
      <c r="L86" s="76"/>
      <c r="M86" s="76"/>
      <c r="N86" s="76"/>
      <c r="O86" s="208"/>
      <c r="P86" s="208"/>
      <c r="Q86" s="76"/>
      <c r="R86" s="76"/>
      <c r="S86" s="76"/>
      <c r="T86" s="208"/>
      <c r="U86" s="208"/>
      <c r="V86" s="76"/>
      <c r="W86" s="76"/>
      <c r="X86" s="76"/>
      <c r="Y86" s="208"/>
      <c r="Z86" s="208"/>
      <c r="AA86" s="76"/>
      <c r="AB86" s="76"/>
      <c r="AC86" s="76"/>
      <c r="AD86" s="76"/>
      <c r="AE86" s="76"/>
      <c r="AF86" s="76"/>
      <c r="AG86" s="76"/>
      <c r="AH86" s="76"/>
      <c r="AI86" s="76"/>
      <c r="AJ86" s="76"/>
    </row>
    <row r="87" spans="1:36">
      <c r="B87" s="221" t="s">
        <v>56</v>
      </c>
      <c r="C87" s="153"/>
      <c r="D87" s="153"/>
      <c r="E87" s="154">
        <f>E8+E34+E39+E48+E52+E71+E77+E80+E83</f>
        <v>2372913.1200919836</v>
      </c>
      <c r="F87" s="189"/>
      <c r="I87" s="154">
        <f>I8+I34+I39+I48+I52+I71+I77+I80+I83</f>
        <v>1737870.4419999998</v>
      </c>
      <c r="N87" s="154">
        <f>N8+N34+N39+N48+N52+N71+N77+N80+N83</f>
        <v>205160.40059855542</v>
      </c>
      <c r="S87" s="154">
        <f>S8+S34+S39+S48+S52+S71+S77+S80+S83</f>
        <v>742297.93399999989</v>
      </c>
      <c r="X87" s="154">
        <f>X8+X34+X39+X48+X52+X71+X77+X80+X83</f>
        <v>978456.98404999997</v>
      </c>
      <c r="AC87" s="154">
        <f>AC8+AC34+AC39+AC48+AC52+AC71+AC77+AC80+AC83</f>
        <v>3821642.3065499989</v>
      </c>
      <c r="AH87" s="154">
        <f>AH8+AH34+AH39+AH48+AH52+AH71+AH77+AH80+AH83</f>
        <v>-1301724.4940488567</v>
      </c>
    </row>
    <row r="88" spans="1:36">
      <c r="C88" s="153"/>
      <c r="D88" s="153"/>
      <c r="E88" s="153"/>
    </row>
    <row r="89" spans="1:36" s="2" customFormat="1">
      <c r="A89" s="8"/>
      <c r="B89" s="8"/>
      <c r="C89" s="153"/>
      <c r="D89" s="153"/>
      <c r="E89" s="153"/>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row>
    <row r="90" spans="1:36">
      <c r="C90" s="38"/>
      <c r="D90" s="38"/>
    </row>
    <row r="91" spans="1:36" s="2" customFormat="1">
      <c r="A91" s="8"/>
      <c r="B91" s="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row>
    <row r="92" spans="1:36" s="2" customFormat="1">
      <c r="A92" s="8"/>
      <c r="B92" s="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row>
    <row r="93" spans="1:36"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row>
    <row r="94" spans="1:36"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row>
    <row r="95" spans="1:36">
      <c r="C95" s="38"/>
      <c r="D95" s="38"/>
    </row>
    <row r="96" spans="1:36"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row>
    <row r="97" spans="3:4">
      <c r="C97" s="38"/>
      <c r="D97" s="38"/>
    </row>
  </sheetData>
  <mergeCells count="9">
    <mergeCell ref="A40:A46"/>
    <mergeCell ref="A2:F2"/>
    <mergeCell ref="L2:O3"/>
    <mergeCell ref="AA2:AE3"/>
    <mergeCell ref="AF2:AJ3"/>
    <mergeCell ref="A3:F3"/>
    <mergeCell ref="Q2:T3"/>
    <mergeCell ref="V2:Y3"/>
    <mergeCell ref="G2:J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W116"/>
  <sheetViews>
    <sheetView zoomScale="85" zoomScaleNormal="85" workbookViewId="0">
      <pane xSplit="6" ySplit="4" topLeftCell="G77" activePane="bottomRight" state="frozen"/>
      <selection pane="topRight" activeCell="G1" sqref="G1"/>
      <selection pane="bottomLeft" activeCell="A5" sqref="A5"/>
      <selection pane="bottomRight" activeCell="S86" sqref="S86"/>
    </sheetView>
  </sheetViews>
  <sheetFormatPr defaultColWidth="7.44140625" defaultRowHeight="13.2" outlineLevelRow="3" outlineLevelCol="1"/>
  <cols>
    <col min="1" max="1" width="4.44140625" style="1402" customWidth="1"/>
    <col min="2" max="2" width="55" style="1402" customWidth="1"/>
    <col min="3" max="3" width="17.109375" style="1459" hidden="1" customWidth="1" outlineLevel="1"/>
    <col min="4" max="4" width="16.44140625" style="1459" hidden="1" customWidth="1" outlineLevel="1"/>
    <col min="5" max="5" width="17.109375" style="1952" hidden="1" customWidth="1" outlineLevel="1"/>
    <col min="6" max="6" width="9.5546875" style="1952" hidden="1" customWidth="1" outlineLevel="1"/>
    <col min="7" max="7" width="16.6640625" style="1952" hidden="1" customWidth="1" outlineLevel="1" collapsed="1"/>
    <col min="8" max="10" width="16.6640625" style="1952" hidden="1" customWidth="1" outlineLevel="1"/>
    <col min="11" max="11" width="22.33203125" style="1952" hidden="1" customWidth="1" outlineLevel="1"/>
    <col min="12" max="15" width="16.6640625" style="1952" hidden="1" customWidth="1" outlineLevel="1"/>
    <col min="16" max="16" width="17.88671875" style="1952" hidden="1" customWidth="1" outlineLevel="1"/>
    <col min="17" max="17" width="16.6640625" style="1952" customWidth="1" collapsed="1"/>
    <col min="18" max="21" width="16.6640625" style="1952" customWidth="1"/>
    <col min="22" max="22" width="7.88671875" style="1395" bestFit="1" customWidth="1"/>
    <col min="23" max="23" width="15.88671875" style="1395" bestFit="1" customWidth="1"/>
    <col min="24" max="16384" width="7.44140625" style="1395"/>
  </cols>
  <sheetData>
    <row r="1" spans="1:23" ht="13.8" thickBot="1">
      <c r="C1" s="1952"/>
      <c r="D1" s="1952"/>
    </row>
    <row r="2" spans="1:23" ht="22.2" customHeight="1" thickBot="1">
      <c r="A2" s="4834" t="s">
        <v>1637</v>
      </c>
      <c r="B2" s="4835"/>
      <c r="C2" s="4835"/>
      <c r="D2" s="4835"/>
      <c r="E2" s="4835"/>
      <c r="F2" s="4836"/>
      <c r="G2" s="4868" t="s">
        <v>1623</v>
      </c>
      <c r="H2" s="4869"/>
      <c r="I2" s="4869"/>
      <c r="J2" s="4869"/>
      <c r="K2" s="4870"/>
      <c r="L2" s="4880" t="s">
        <v>1748</v>
      </c>
      <c r="M2" s="4881"/>
      <c r="N2" s="4881"/>
      <c r="O2" s="4881"/>
      <c r="P2" s="4882"/>
      <c r="Q2" s="4874" t="s">
        <v>469</v>
      </c>
      <c r="R2" s="4875"/>
      <c r="S2" s="4875"/>
      <c r="T2" s="4875"/>
      <c r="U2" s="4876"/>
    </row>
    <row r="3" spans="1:23" ht="14.4" customHeight="1" thickBot="1">
      <c r="A3" s="4834" t="s">
        <v>54</v>
      </c>
      <c r="B3" s="4835"/>
      <c r="C3" s="4835"/>
      <c r="D3" s="4835"/>
      <c r="E3" s="4835"/>
      <c r="F3" s="4836"/>
      <c r="G3" s="4871"/>
      <c r="H3" s="4872"/>
      <c r="I3" s="4872"/>
      <c r="J3" s="4872"/>
      <c r="K3" s="4873"/>
      <c r="L3" s="4883"/>
      <c r="M3" s="4884"/>
      <c r="N3" s="4884"/>
      <c r="O3" s="4884"/>
      <c r="P3" s="4885"/>
      <c r="Q3" s="4877"/>
      <c r="R3" s="4878"/>
      <c r="S3" s="4878"/>
      <c r="T3" s="4878"/>
      <c r="U3" s="4879"/>
    </row>
    <row r="4" spans="1:23" ht="41.4" thickBot="1">
      <c r="A4" s="1471"/>
      <c r="B4" s="1474" t="s">
        <v>11</v>
      </c>
      <c r="C4" s="1573" t="s">
        <v>55</v>
      </c>
      <c r="D4" s="1573" t="s">
        <v>18</v>
      </c>
      <c r="E4" s="1574" t="s">
        <v>39</v>
      </c>
      <c r="F4" s="1962" t="s">
        <v>40</v>
      </c>
      <c r="G4" s="1956" t="s">
        <v>55</v>
      </c>
      <c r="H4" s="1956" t="s">
        <v>18</v>
      </c>
      <c r="I4" s="1474" t="s">
        <v>39</v>
      </c>
      <c r="J4" s="1962" t="s">
        <v>40</v>
      </c>
      <c r="K4" s="1474" t="s">
        <v>19</v>
      </c>
      <c r="L4" s="1956" t="s">
        <v>55</v>
      </c>
      <c r="M4" s="1956" t="s">
        <v>18</v>
      </c>
      <c r="N4" s="1474" t="s">
        <v>39</v>
      </c>
      <c r="O4" s="1962" t="s">
        <v>40</v>
      </c>
      <c r="P4" s="1474" t="s">
        <v>19</v>
      </c>
      <c r="Q4" s="1956" t="s">
        <v>55</v>
      </c>
      <c r="R4" s="1956" t="s">
        <v>18</v>
      </c>
      <c r="S4" s="1474" t="s">
        <v>39</v>
      </c>
      <c r="T4" s="1962" t="s">
        <v>40</v>
      </c>
      <c r="U4" s="1474" t="s">
        <v>19</v>
      </c>
    </row>
    <row r="5" spans="1:23" s="2466" customFormat="1" ht="24.6" customHeight="1" thickBot="1">
      <c r="A5" s="1462"/>
      <c r="B5" s="970" t="s">
        <v>10</v>
      </c>
      <c r="C5" s="1464">
        <f>C6</f>
        <v>0</v>
      </c>
      <c r="D5" s="1464">
        <f>D6</f>
        <v>0</v>
      </c>
      <c r="E5" s="1955">
        <f>E6</f>
        <v>0</v>
      </c>
      <c r="F5" s="1466"/>
      <c r="G5" s="1955">
        <f>G6</f>
        <v>0</v>
      </c>
      <c r="H5" s="1466">
        <f>H6</f>
        <v>0</v>
      </c>
      <c r="I5" s="1466">
        <f>I6</f>
        <v>0</v>
      </c>
      <c r="J5" s="1466"/>
      <c r="K5" s="1466"/>
      <c r="L5" s="1955">
        <f>SUM(L6:L7)</f>
        <v>277178.11</v>
      </c>
      <c r="M5" s="1955">
        <f>SUM(M6:M7)</f>
        <v>0</v>
      </c>
      <c r="N5" s="1955">
        <f>SUM(N6:N7)</f>
        <v>277178.11</v>
      </c>
      <c r="O5" s="1466"/>
      <c r="P5" s="1466"/>
      <c r="Q5" s="1466">
        <f>Q6+Q7</f>
        <v>277178.11</v>
      </c>
      <c r="R5" s="1466">
        <f>R6+R7</f>
        <v>0</v>
      </c>
      <c r="S5" s="1466">
        <f>S6+S7</f>
        <v>277178.11</v>
      </c>
      <c r="T5" s="1466"/>
      <c r="U5" s="1466"/>
    </row>
    <row r="6" spans="1:23" s="1396" customFormat="1" ht="24.6" customHeight="1" outlineLevel="1">
      <c r="A6" s="1572"/>
      <c r="B6" s="1424" t="s">
        <v>17</v>
      </c>
      <c r="C6" s="1974"/>
      <c r="D6" s="2011"/>
      <c r="E6" s="2012">
        <f>C6+D6</f>
        <v>0</v>
      </c>
      <c r="F6" s="2043"/>
      <c r="G6" s="2051"/>
      <c r="H6" s="2043"/>
      <c r="I6" s="2012">
        <f>G6+H6</f>
        <v>0</v>
      </c>
      <c r="J6" s="2043"/>
      <c r="K6" s="2043" t="s">
        <v>1638</v>
      </c>
      <c r="L6" s="2051">
        <v>277178.11</v>
      </c>
      <c r="M6" s="2043"/>
      <c r="N6" s="2012">
        <f>L6+M6</f>
        <v>277178.11</v>
      </c>
      <c r="O6" s="2043"/>
      <c r="P6" s="2046" t="s">
        <v>1638</v>
      </c>
      <c r="Q6" s="2043">
        <f>G6+L6</f>
        <v>277178.11</v>
      </c>
      <c r="R6" s="2043">
        <f>H6+M6</f>
        <v>0</v>
      </c>
      <c r="S6" s="2012">
        <f>Q6+R6</f>
        <v>277178.11</v>
      </c>
      <c r="T6" s="2043"/>
      <c r="U6" s="2043"/>
    </row>
    <row r="7" spans="1:23" s="1396" customFormat="1" ht="24.6" customHeight="1" outlineLevel="1" collapsed="1" thickBot="1">
      <c r="A7" s="1572"/>
      <c r="B7" s="2586" t="s">
        <v>41</v>
      </c>
      <c r="C7" s="2476"/>
      <c r="D7" s="2477"/>
      <c r="E7" s="2012">
        <f>C7+D7</f>
        <v>0</v>
      </c>
      <c r="F7" s="1905"/>
      <c r="G7" s="2051"/>
      <c r="H7" s="2043"/>
      <c r="I7" s="2012">
        <f>G7+H7</f>
        <v>0</v>
      </c>
      <c r="J7" s="1905"/>
      <c r="K7" s="1906"/>
      <c r="L7" s="2051"/>
      <c r="M7" s="2043"/>
      <c r="N7" s="2012">
        <f>L7+M7</f>
        <v>0</v>
      </c>
      <c r="O7" s="1905"/>
      <c r="P7" s="2055"/>
      <c r="Q7" s="2043">
        <f>G7+L7</f>
        <v>0</v>
      </c>
      <c r="R7" s="2043">
        <f>H7+M7</f>
        <v>0</v>
      </c>
      <c r="S7" s="2012">
        <f>Q7+R7</f>
        <v>0</v>
      </c>
      <c r="T7" s="1905"/>
      <c r="U7" s="1905"/>
    </row>
    <row r="8" spans="1:23" s="2466" customFormat="1" ht="24.6" customHeight="1" thickBot="1">
      <c r="A8" s="1572"/>
      <c r="B8" s="970" t="s">
        <v>16</v>
      </c>
      <c r="C8" s="1957">
        <f>SUM(C9:C33)</f>
        <v>0</v>
      </c>
      <c r="D8" s="1957">
        <f>SUM(D9:D33)</f>
        <v>0</v>
      </c>
      <c r="E8" s="1484">
        <f>SUM(E9:E33)</f>
        <v>0</v>
      </c>
      <c r="F8" s="1528" t="e">
        <f t="shared" ref="F8:F33" si="0">E8/$E$89</f>
        <v>#DIV/0!</v>
      </c>
      <c r="G8" s="1957">
        <f>SUM(G9:G33)</f>
        <v>37527.199999999997</v>
      </c>
      <c r="H8" s="1957">
        <f>SUM(H9:H33)</f>
        <v>0</v>
      </c>
      <c r="I8" s="1484">
        <f>SUM(I9:I33)</f>
        <v>37527.199999999997</v>
      </c>
      <c r="J8" s="1528">
        <f>I8/I$89</f>
        <v>0.9248938991388701</v>
      </c>
      <c r="K8" s="1600"/>
      <c r="L8" s="1957">
        <f>SUM(L9:L33)</f>
        <v>0</v>
      </c>
      <c r="M8" s="1957">
        <f>SUM(M9:M33)</f>
        <v>74675</v>
      </c>
      <c r="N8" s="1484">
        <f>SUM(N9:N33)</f>
        <v>74675</v>
      </c>
      <c r="O8" s="1528">
        <f>N8/N$89</f>
        <v>0.92133143527336669</v>
      </c>
      <c r="P8" s="1600"/>
      <c r="Q8" s="1957">
        <f>SUM(Q9:Q33)</f>
        <v>37527.199999999997</v>
      </c>
      <c r="R8" s="1957">
        <f>SUM(R9:R33)</f>
        <v>74675</v>
      </c>
      <c r="S8" s="1484">
        <f>SUM(S9:S33)</f>
        <v>112202.2</v>
      </c>
      <c r="T8" s="1528">
        <f>S8/$S$89</f>
        <v>0.92251988024249465</v>
      </c>
      <c r="U8" s="1466"/>
    </row>
    <row r="9" spans="1:23" s="1396" customFormat="1" ht="24.6" customHeight="1">
      <c r="A9" s="1572"/>
      <c r="B9" s="1424" t="s">
        <v>74</v>
      </c>
      <c r="C9" s="1485"/>
      <c r="D9" s="1486"/>
      <c r="E9" s="2571">
        <f t="shared" ref="E9:E33" si="1">C9+D9</f>
        <v>0</v>
      </c>
      <c r="F9" s="1976" t="e">
        <f t="shared" si="0"/>
        <v>#DIV/0!</v>
      </c>
      <c r="G9" s="2051">
        <v>24761.8</v>
      </c>
      <c r="H9" s="2043"/>
      <c r="I9" s="2045">
        <f>G9+H9*1</f>
        <v>24761.8</v>
      </c>
      <c r="J9" s="2138">
        <f t="shared" ref="J9:J33" si="2">I9/I$89</f>
        <v>0.61027835148097576</v>
      </c>
      <c r="K9" s="1434"/>
      <c r="L9" s="1695"/>
      <c r="M9" s="2467"/>
      <c r="N9" s="1561">
        <f>L9+M9*1</f>
        <v>0</v>
      </c>
      <c r="O9" s="1559">
        <f t="shared" ref="O9:O33" si="3">N9/N$89</f>
        <v>0</v>
      </c>
      <c r="P9" s="1580"/>
      <c r="Q9" s="2043">
        <f t="shared" ref="Q9:Q33" si="4">G9+L9</f>
        <v>24761.8</v>
      </c>
      <c r="R9" s="2043">
        <f t="shared" ref="R9:R33" si="5">H9+M9</f>
        <v>0</v>
      </c>
      <c r="S9" s="2045">
        <f t="shared" ref="S9:S33" si="6">Q9+R9*1</f>
        <v>24761.8</v>
      </c>
      <c r="T9" s="2138">
        <f t="shared" ref="T9:T33" si="7">S9/$S$89</f>
        <v>0.20359006125181683</v>
      </c>
      <c r="U9" s="1434"/>
    </row>
    <row r="10" spans="1:23" s="1396" customFormat="1" ht="24.6" customHeight="1">
      <c r="A10" s="1572"/>
      <c r="B10" s="1424" t="s">
        <v>72</v>
      </c>
      <c r="C10" s="1485"/>
      <c r="D10" s="1486"/>
      <c r="E10" s="2571">
        <f t="shared" si="1"/>
        <v>0</v>
      </c>
      <c r="F10" s="1976" t="e">
        <f t="shared" si="0"/>
        <v>#DIV/0!</v>
      </c>
      <c r="G10" s="2051">
        <v>5998.2</v>
      </c>
      <c r="H10" s="2043"/>
      <c r="I10" s="2045">
        <f t="shared" ref="I10:I33" si="8">G10+H10*1</f>
        <v>5998.2</v>
      </c>
      <c r="J10" s="2138">
        <f t="shared" si="2"/>
        <v>0.14783140191154071</v>
      </c>
      <c r="K10" s="1615"/>
      <c r="L10" s="2051"/>
      <c r="M10" s="2043"/>
      <c r="N10" s="2045">
        <f t="shared" ref="N10:N33" si="9">L10+M10*1</f>
        <v>0</v>
      </c>
      <c r="O10" s="2138">
        <f t="shared" si="3"/>
        <v>0</v>
      </c>
      <c r="P10" s="1615"/>
      <c r="Q10" s="2043">
        <f t="shared" si="4"/>
        <v>5998.2</v>
      </c>
      <c r="R10" s="2043">
        <f t="shared" si="5"/>
        <v>0</v>
      </c>
      <c r="S10" s="2045">
        <f t="shared" si="6"/>
        <v>5998.2</v>
      </c>
      <c r="T10" s="2138">
        <f t="shared" si="7"/>
        <v>4.9316847135533269E-2</v>
      </c>
      <c r="U10" s="1434"/>
    </row>
    <row r="11" spans="1:23" s="1396" customFormat="1" ht="24.6" customHeight="1">
      <c r="A11" s="1572"/>
      <c r="B11" s="1424" t="s">
        <v>69</v>
      </c>
      <c r="C11" s="1485"/>
      <c r="D11" s="1486"/>
      <c r="E11" s="2571">
        <f t="shared" si="1"/>
        <v>0</v>
      </c>
      <c r="F11" s="1976" t="e">
        <f t="shared" si="0"/>
        <v>#DIV/0!</v>
      </c>
      <c r="G11" s="2051">
        <v>6767.2</v>
      </c>
      <c r="H11" s="2043"/>
      <c r="I11" s="2045">
        <f t="shared" si="8"/>
        <v>6767.2</v>
      </c>
      <c r="J11" s="2138">
        <f t="shared" si="2"/>
        <v>0.16678414574635364</v>
      </c>
      <c r="K11" s="1615"/>
      <c r="L11" s="2051"/>
      <c r="M11" s="2043"/>
      <c r="N11" s="2045">
        <f t="shared" si="9"/>
        <v>0</v>
      </c>
      <c r="O11" s="2138">
        <f t="shared" si="3"/>
        <v>0</v>
      </c>
      <c r="P11" s="1615"/>
      <c r="Q11" s="2043">
        <f t="shared" si="4"/>
        <v>6767.2</v>
      </c>
      <c r="R11" s="2043">
        <f t="shared" si="5"/>
        <v>0</v>
      </c>
      <c r="S11" s="2045">
        <f t="shared" si="6"/>
        <v>6767.2</v>
      </c>
      <c r="T11" s="2138">
        <f t="shared" si="7"/>
        <v>5.5639519845217027E-2</v>
      </c>
      <c r="U11" s="1434"/>
    </row>
    <row r="12" spans="1:23" s="1396" customFormat="1" ht="24.6" customHeight="1">
      <c r="A12" s="1572"/>
      <c r="B12" s="1424" t="s">
        <v>73</v>
      </c>
      <c r="C12" s="1485"/>
      <c r="D12" s="1486"/>
      <c r="E12" s="2571">
        <f t="shared" si="1"/>
        <v>0</v>
      </c>
      <c r="F12" s="1976" t="e">
        <f t="shared" si="0"/>
        <v>#DIV/0!</v>
      </c>
      <c r="G12" s="2051"/>
      <c r="H12" s="2043"/>
      <c r="I12" s="2045">
        <f t="shared" si="8"/>
        <v>0</v>
      </c>
      <c r="J12" s="2138">
        <f t="shared" si="2"/>
        <v>0</v>
      </c>
      <c r="K12" s="2048"/>
      <c r="L12" s="2051"/>
      <c r="M12" s="2043"/>
      <c r="N12" s="2045">
        <f t="shared" si="9"/>
        <v>0</v>
      </c>
      <c r="O12" s="2138">
        <f t="shared" si="3"/>
        <v>0</v>
      </c>
      <c r="P12" s="2048"/>
      <c r="Q12" s="2043">
        <f t="shared" si="4"/>
        <v>0</v>
      </c>
      <c r="R12" s="2043">
        <f t="shared" si="5"/>
        <v>0</v>
      </c>
      <c r="S12" s="2045">
        <f t="shared" si="6"/>
        <v>0</v>
      </c>
      <c r="T12" s="2138">
        <f t="shared" si="7"/>
        <v>0</v>
      </c>
      <c r="U12" s="1434"/>
      <c r="W12" s="842"/>
    </row>
    <row r="13" spans="1:23" s="1396" customFormat="1" ht="24.6" customHeight="1">
      <c r="A13" s="1572"/>
      <c r="B13" s="1424" t="s">
        <v>71</v>
      </c>
      <c r="C13" s="1485"/>
      <c r="D13" s="1486"/>
      <c r="E13" s="2571">
        <f t="shared" si="1"/>
        <v>0</v>
      </c>
      <c r="F13" s="1976" t="e">
        <f t="shared" si="0"/>
        <v>#DIV/0!</v>
      </c>
      <c r="G13" s="2051"/>
      <c r="H13" s="2043"/>
      <c r="I13" s="2045">
        <f t="shared" si="8"/>
        <v>0</v>
      </c>
      <c r="J13" s="2138">
        <f t="shared" si="2"/>
        <v>0</v>
      </c>
      <c r="K13" s="2048"/>
      <c r="L13" s="2051"/>
      <c r="M13" s="2043"/>
      <c r="N13" s="2045">
        <f t="shared" si="9"/>
        <v>0</v>
      </c>
      <c r="O13" s="2138">
        <f t="shared" si="3"/>
        <v>0</v>
      </c>
      <c r="P13" s="2048"/>
      <c r="Q13" s="2043">
        <f t="shared" si="4"/>
        <v>0</v>
      </c>
      <c r="R13" s="2043">
        <f t="shared" si="5"/>
        <v>0</v>
      </c>
      <c r="S13" s="2045">
        <f t="shared" si="6"/>
        <v>0</v>
      </c>
      <c r="T13" s="2138">
        <f t="shared" si="7"/>
        <v>0</v>
      </c>
      <c r="U13" s="1434"/>
    </row>
    <row r="14" spans="1:23" s="1396" customFormat="1" ht="24.6" customHeight="1">
      <c r="A14" s="1572"/>
      <c r="B14" s="1424" t="s">
        <v>70</v>
      </c>
      <c r="C14" s="1485"/>
      <c r="D14" s="1486"/>
      <c r="E14" s="2571">
        <f t="shared" si="1"/>
        <v>0</v>
      </c>
      <c r="F14" s="1976" t="e">
        <f t="shared" si="0"/>
        <v>#DIV/0!</v>
      </c>
      <c r="G14" s="2051"/>
      <c r="H14" s="2043"/>
      <c r="I14" s="2045">
        <f t="shared" si="8"/>
        <v>0</v>
      </c>
      <c r="J14" s="2138">
        <f t="shared" si="2"/>
        <v>0</v>
      </c>
      <c r="K14" s="2048"/>
      <c r="L14" s="2051"/>
      <c r="M14" s="2043"/>
      <c r="N14" s="2045">
        <f t="shared" si="9"/>
        <v>0</v>
      </c>
      <c r="O14" s="2138">
        <f t="shared" si="3"/>
        <v>0</v>
      </c>
      <c r="P14" s="2048"/>
      <c r="Q14" s="2043">
        <f t="shared" si="4"/>
        <v>0</v>
      </c>
      <c r="R14" s="2043">
        <f t="shared" si="5"/>
        <v>0</v>
      </c>
      <c r="S14" s="2045">
        <f t="shared" si="6"/>
        <v>0</v>
      </c>
      <c r="T14" s="2138">
        <f t="shared" si="7"/>
        <v>0</v>
      </c>
      <c r="U14" s="1434"/>
    </row>
    <row r="15" spans="1:23" s="1396" customFormat="1" ht="24.6" customHeight="1">
      <c r="A15" s="1572"/>
      <c r="B15" s="2557" t="s">
        <v>20</v>
      </c>
      <c r="C15" s="1485"/>
      <c r="D15" s="2558"/>
      <c r="E15" s="2571">
        <f t="shared" si="1"/>
        <v>0</v>
      </c>
      <c r="F15" s="1976" t="e">
        <f t="shared" si="0"/>
        <v>#DIV/0!</v>
      </c>
      <c r="G15" s="2051"/>
      <c r="H15" s="2043"/>
      <c r="I15" s="2045">
        <f t="shared" si="8"/>
        <v>0</v>
      </c>
      <c r="J15" s="2138">
        <f t="shared" si="2"/>
        <v>0</v>
      </c>
      <c r="K15" s="2048"/>
      <c r="L15" s="2051"/>
      <c r="M15" s="2043"/>
      <c r="N15" s="2045">
        <f t="shared" si="9"/>
        <v>0</v>
      </c>
      <c r="O15" s="2138">
        <f t="shared" si="3"/>
        <v>0</v>
      </c>
      <c r="P15" s="1615"/>
      <c r="Q15" s="2043">
        <f t="shared" si="4"/>
        <v>0</v>
      </c>
      <c r="R15" s="2043">
        <f t="shared" si="5"/>
        <v>0</v>
      </c>
      <c r="S15" s="2045">
        <f t="shared" si="6"/>
        <v>0</v>
      </c>
      <c r="T15" s="2138">
        <f t="shared" si="7"/>
        <v>0</v>
      </c>
      <c r="U15" s="1434"/>
    </row>
    <row r="16" spans="1:23" s="1396" customFormat="1" ht="24.6" customHeight="1">
      <c r="A16" s="1572"/>
      <c r="B16" s="2557" t="s">
        <v>21</v>
      </c>
      <c r="C16" s="1485"/>
      <c r="D16" s="2558"/>
      <c r="E16" s="2571">
        <f t="shared" si="1"/>
        <v>0</v>
      </c>
      <c r="F16" s="1976" t="e">
        <f t="shared" si="0"/>
        <v>#DIV/0!</v>
      </c>
      <c r="G16" s="2051"/>
      <c r="H16" s="2043">
        <f>25395*0</f>
        <v>0</v>
      </c>
      <c r="I16" s="2045">
        <f t="shared" si="8"/>
        <v>0</v>
      </c>
      <c r="J16" s="2138">
        <f t="shared" si="2"/>
        <v>0</v>
      </c>
      <c r="K16" s="2046" t="s">
        <v>1639</v>
      </c>
      <c r="L16" s="2051"/>
      <c r="M16" s="2043">
        <v>66133</v>
      </c>
      <c r="N16" s="2045">
        <f t="shared" si="9"/>
        <v>66133</v>
      </c>
      <c r="O16" s="2138">
        <f t="shared" si="3"/>
        <v>0.81594123614239789</v>
      </c>
      <c r="P16" s="2046" t="s">
        <v>1792</v>
      </c>
      <c r="Q16" s="2043">
        <f t="shared" si="4"/>
        <v>0</v>
      </c>
      <c r="R16" s="2043">
        <f t="shared" si="5"/>
        <v>66133</v>
      </c>
      <c r="S16" s="2045">
        <f t="shared" si="6"/>
        <v>66133</v>
      </c>
      <c r="T16" s="2138">
        <f t="shared" si="7"/>
        <v>0.54374163109169782</v>
      </c>
      <c r="U16" s="1434"/>
    </row>
    <row r="17" spans="1:22" s="1396" customFormat="1" ht="24.6" customHeight="1">
      <c r="A17" s="1572"/>
      <c r="B17" s="2557" t="s">
        <v>22</v>
      </c>
      <c r="C17" s="1485"/>
      <c r="D17" s="2558"/>
      <c r="E17" s="2571">
        <f t="shared" si="1"/>
        <v>0</v>
      </c>
      <c r="F17" s="1976" t="e">
        <f t="shared" si="0"/>
        <v>#DIV/0!</v>
      </c>
      <c r="G17" s="2051"/>
      <c r="H17" s="2043"/>
      <c r="I17" s="2045">
        <f t="shared" si="8"/>
        <v>0</v>
      </c>
      <c r="J17" s="2138">
        <f t="shared" si="2"/>
        <v>0</v>
      </c>
      <c r="K17" s="2048"/>
      <c r="L17" s="2051"/>
      <c r="M17" s="2043"/>
      <c r="N17" s="2045">
        <f t="shared" si="9"/>
        <v>0</v>
      </c>
      <c r="O17" s="2138">
        <f t="shared" si="3"/>
        <v>0</v>
      </c>
      <c r="P17" s="2048"/>
      <c r="Q17" s="2043">
        <f t="shared" si="4"/>
        <v>0</v>
      </c>
      <c r="R17" s="2043">
        <f t="shared" si="5"/>
        <v>0</v>
      </c>
      <c r="S17" s="2045">
        <f t="shared" si="6"/>
        <v>0</v>
      </c>
      <c r="T17" s="2138">
        <f t="shared" si="7"/>
        <v>0</v>
      </c>
      <c r="U17" s="1434"/>
    </row>
    <row r="18" spans="1:22" s="1396" customFormat="1" ht="24.6" customHeight="1">
      <c r="A18" s="1572"/>
      <c r="B18" s="2557" t="s">
        <v>0</v>
      </c>
      <c r="C18" s="1485"/>
      <c r="D18" s="2558"/>
      <c r="E18" s="2571">
        <f t="shared" si="1"/>
        <v>0</v>
      </c>
      <c r="F18" s="1976" t="e">
        <f t="shared" si="0"/>
        <v>#DIV/0!</v>
      </c>
      <c r="G18" s="2051"/>
      <c r="H18" s="2043"/>
      <c r="I18" s="2045">
        <f t="shared" si="8"/>
        <v>0</v>
      </c>
      <c r="J18" s="2138">
        <f t="shared" si="2"/>
        <v>0</v>
      </c>
      <c r="K18" s="2046"/>
      <c r="L18" s="1618"/>
      <c r="M18" s="2043"/>
      <c r="N18" s="2045">
        <f t="shared" si="9"/>
        <v>0</v>
      </c>
      <c r="O18" s="2138">
        <f t="shared" si="3"/>
        <v>0</v>
      </c>
      <c r="P18" s="2055"/>
      <c r="Q18" s="2043">
        <f t="shared" si="4"/>
        <v>0</v>
      </c>
      <c r="R18" s="2043">
        <f t="shared" si="5"/>
        <v>0</v>
      </c>
      <c r="S18" s="2045">
        <f t="shared" si="6"/>
        <v>0</v>
      </c>
      <c r="T18" s="2138">
        <f t="shared" si="7"/>
        <v>0</v>
      </c>
      <c r="U18" s="1434"/>
    </row>
    <row r="19" spans="1:22" s="1396" customFormat="1" ht="24.6" customHeight="1">
      <c r="A19" s="1572"/>
      <c r="B19" s="2557" t="s">
        <v>53</v>
      </c>
      <c r="C19" s="2139"/>
      <c r="D19" s="2558"/>
      <c r="E19" s="2571">
        <f t="shared" si="1"/>
        <v>0</v>
      </c>
      <c r="F19" s="1976" t="e">
        <f t="shared" si="0"/>
        <v>#DIV/0!</v>
      </c>
      <c r="G19" s="2051"/>
      <c r="H19" s="2043"/>
      <c r="I19" s="2045">
        <f t="shared" si="8"/>
        <v>0</v>
      </c>
      <c r="J19" s="2138">
        <f t="shared" si="2"/>
        <v>0</v>
      </c>
      <c r="K19" s="2048"/>
      <c r="L19" s="2051"/>
      <c r="M19" s="2043"/>
      <c r="N19" s="2045">
        <f t="shared" si="9"/>
        <v>0</v>
      </c>
      <c r="O19" s="2138">
        <f t="shared" si="3"/>
        <v>0</v>
      </c>
      <c r="P19" s="2048"/>
      <c r="Q19" s="2043">
        <f t="shared" si="4"/>
        <v>0</v>
      </c>
      <c r="R19" s="2043">
        <f t="shared" si="5"/>
        <v>0</v>
      </c>
      <c r="S19" s="2045">
        <f t="shared" si="6"/>
        <v>0</v>
      </c>
      <c r="T19" s="2138">
        <f t="shared" si="7"/>
        <v>0</v>
      </c>
      <c r="U19" s="1434"/>
    </row>
    <row r="20" spans="1:22" s="1396" customFormat="1" ht="24.6" customHeight="1">
      <c r="A20" s="1572"/>
      <c r="B20" s="2557" t="s">
        <v>57</v>
      </c>
      <c r="C20" s="2139"/>
      <c r="D20" s="2558"/>
      <c r="E20" s="2571">
        <f t="shared" si="1"/>
        <v>0</v>
      </c>
      <c r="F20" s="1976" t="e">
        <f t="shared" si="0"/>
        <v>#DIV/0!</v>
      </c>
      <c r="G20" s="2051"/>
      <c r="H20" s="2043"/>
      <c r="I20" s="2045">
        <f t="shared" si="8"/>
        <v>0</v>
      </c>
      <c r="J20" s="2138">
        <f t="shared" si="2"/>
        <v>0</v>
      </c>
      <c r="K20" s="2048"/>
      <c r="L20" s="2051"/>
      <c r="M20" s="2043"/>
      <c r="N20" s="2045">
        <f t="shared" si="9"/>
        <v>0</v>
      </c>
      <c r="O20" s="2138">
        <f t="shared" si="3"/>
        <v>0</v>
      </c>
      <c r="P20" s="2048"/>
      <c r="Q20" s="2043">
        <f t="shared" si="4"/>
        <v>0</v>
      </c>
      <c r="R20" s="2043">
        <f t="shared" si="5"/>
        <v>0</v>
      </c>
      <c r="S20" s="2045">
        <f t="shared" si="6"/>
        <v>0</v>
      </c>
      <c r="T20" s="2138">
        <f t="shared" si="7"/>
        <v>0</v>
      </c>
      <c r="U20" s="1434"/>
    </row>
    <row r="21" spans="1:22" s="1396" customFormat="1" ht="24.6" customHeight="1">
      <c r="A21" s="1572"/>
      <c r="B21" s="2557" t="s">
        <v>58</v>
      </c>
      <c r="C21" s="2139"/>
      <c r="D21" s="2558"/>
      <c r="E21" s="2571">
        <f t="shared" si="1"/>
        <v>0</v>
      </c>
      <c r="F21" s="1976" t="e">
        <f t="shared" si="0"/>
        <v>#DIV/0!</v>
      </c>
      <c r="G21" s="2051"/>
      <c r="H21" s="2043"/>
      <c r="I21" s="2045">
        <f t="shared" si="8"/>
        <v>0</v>
      </c>
      <c r="J21" s="2138">
        <f t="shared" si="2"/>
        <v>0</v>
      </c>
      <c r="K21" s="2046"/>
      <c r="L21" s="2051"/>
      <c r="M21" s="2043"/>
      <c r="N21" s="2045">
        <f t="shared" si="9"/>
        <v>0</v>
      </c>
      <c r="O21" s="2138">
        <f t="shared" si="3"/>
        <v>0</v>
      </c>
      <c r="P21" s="2048"/>
      <c r="Q21" s="2043">
        <f t="shared" si="4"/>
        <v>0</v>
      </c>
      <c r="R21" s="2043">
        <f t="shared" si="5"/>
        <v>0</v>
      </c>
      <c r="S21" s="2045">
        <f t="shared" si="6"/>
        <v>0</v>
      </c>
      <c r="T21" s="2138">
        <f t="shared" si="7"/>
        <v>0</v>
      </c>
      <c r="U21" s="1434"/>
    </row>
    <row r="22" spans="1:22" s="1396" customFormat="1" ht="24.6" customHeight="1">
      <c r="A22" s="1572"/>
      <c r="B22" s="2557" t="s">
        <v>621</v>
      </c>
      <c r="C22" s="2139"/>
      <c r="D22" s="2558"/>
      <c r="E22" s="2571">
        <f t="shared" si="1"/>
        <v>0</v>
      </c>
      <c r="F22" s="1976" t="e">
        <f t="shared" si="0"/>
        <v>#DIV/0!</v>
      </c>
      <c r="G22" s="2051"/>
      <c r="H22" s="2043"/>
      <c r="I22" s="2045">
        <f t="shared" si="8"/>
        <v>0</v>
      </c>
      <c r="J22" s="2138">
        <f t="shared" si="2"/>
        <v>0</v>
      </c>
      <c r="K22" s="2048"/>
      <c r="L22" s="2051"/>
      <c r="M22" s="2043"/>
      <c r="N22" s="2045">
        <f t="shared" si="9"/>
        <v>0</v>
      </c>
      <c r="O22" s="2138">
        <f t="shared" si="3"/>
        <v>0</v>
      </c>
      <c r="P22" s="2048"/>
      <c r="Q22" s="2043">
        <f t="shared" si="4"/>
        <v>0</v>
      </c>
      <c r="R22" s="2043">
        <f t="shared" si="5"/>
        <v>0</v>
      </c>
      <c r="S22" s="2045">
        <f t="shared" si="6"/>
        <v>0</v>
      </c>
      <c r="T22" s="2138">
        <f t="shared" si="7"/>
        <v>0</v>
      </c>
      <c r="U22" s="1434"/>
    </row>
    <row r="23" spans="1:22" s="1396" customFormat="1" ht="24.6" customHeight="1">
      <c r="A23" s="1572"/>
      <c r="B23" s="2557" t="s">
        <v>630</v>
      </c>
      <c r="C23" s="2139"/>
      <c r="D23" s="2558"/>
      <c r="E23" s="2571">
        <f t="shared" si="1"/>
        <v>0</v>
      </c>
      <c r="F23" s="1976" t="e">
        <f t="shared" si="0"/>
        <v>#DIV/0!</v>
      </c>
      <c r="G23" s="2051"/>
      <c r="H23" s="2043"/>
      <c r="I23" s="2045">
        <f t="shared" si="8"/>
        <v>0</v>
      </c>
      <c r="J23" s="2138">
        <f t="shared" si="2"/>
        <v>0</v>
      </c>
      <c r="K23" s="2048"/>
      <c r="L23" s="2051"/>
      <c r="M23" s="2043"/>
      <c r="N23" s="2045">
        <f t="shared" si="9"/>
        <v>0</v>
      </c>
      <c r="O23" s="2138">
        <f t="shared" si="3"/>
        <v>0</v>
      </c>
      <c r="P23" s="2048"/>
      <c r="Q23" s="2043">
        <f t="shared" si="4"/>
        <v>0</v>
      </c>
      <c r="R23" s="2043">
        <f t="shared" si="5"/>
        <v>0</v>
      </c>
      <c r="S23" s="2045">
        <f t="shared" si="6"/>
        <v>0</v>
      </c>
      <c r="T23" s="2138">
        <f t="shared" si="7"/>
        <v>0</v>
      </c>
      <c r="U23" s="1434"/>
    </row>
    <row r="24" spans="1:22" s="1396" customFormat="1" ht="24.6" customHeight="1">
      <c r="A24" s="1572"/>
      <c r="B24" s="2557" t="s">
        <v>23</v>
      </c>
      <c r="C24" s="2139"/>
      <c r="D24" s="2558"/>
      <c r="E24" s="2571">
        <f t="shared" si="1"/>
        <v>0</v>
      </c>
      <c r="F24" s="1976" t="e">
        <f t="shared" si="0"/>
        <v>#DIV/0!</v>
      </c>
      <c r="G24" s="2051"/>
      <c r="H24" s="2043"/>
      <c r="I24" s="2045">
        <f t="shared" si="8"/>
        <v>0</v>
      </c>
      <c r="J24" s="2138">
        <f t="shared" si="2"/>
        <v>0</v>
      </c>
      <c r="K24" s="2048"/>
      <c r="L24" s="2051"/>
      <c r="M24" s="2043"/>
      <c r="N24" s="2045">
        <f t="shared" si="9"/>
        <v>0</v>
      </c>
      <c r="O24" s="2138">
        <f t="shared" si="3"/>
        <v>0</v>
      </c>
      <c r="P24" s="2046"/>
      <c r="Q24" s="2043">
        <f t="shared" si="4"/>
        <v>0</v>
      </c>
      <c r="R24" s="2043">
        <f t="shared" si="5"/>
        <v>0</v>
      </c>
      <c r="S24" s="2045">
        <f t="shared" si="6"/>
        <v>0</v>
      </c>
      <c r="T24" s="2138">
        <f t="shared" si="7"/>
        <v>0</v>
      </c>
      <c r="U24" s="1434"/>
    </row>
    <row r="25" spans="1:22" s="1396" customFormat="1" ht="24.6" customHeight="1">
      <c r="A25" s="1572"/>
      <c r="B25" s="2557" t="s">
        <v>24</v>
      </c>
      <c r="C25" s="2139"/>
      <c r="D25" s="2558"/>
      <c r="E25" s="2571">
        <f t="shared" si="1"/>
        <v>0</v>
      </c>
      <c r="F25" s="1976" t="e">
        <f t="shared" si="0"/>
        <v>#DIV/0!</v>
      </c>
      <c r="G25" s="2051"/>
      <c r="H25" s="2043"/>
      <c r="I25" s="2045">
        <f t="shared" si="8"/>
        <v>0</v>
      </c>
      <c r="J25" s="2138">
        <f t="shared" si="2"/>
        <v>0</v>
      </c>
      <c r="K25" s="2046"/>
      <c r="L25" s="2051"/>
      <c r="M25" s="2043"/>
      <c r="N25" s="2045">
        <f t="shared" si="9"/>
        <v>0</v>
      </c>
      <c r="O25" s="2138">
        <f t="shared" si="3"/>
        <v>0</v>
      </c>
      <c r="P25" s="2046"/>
      <c r="Q25" s="2043">
        <f t="shared" si="4"/>
        <v>0</v>
      </c>
      <c r="R25" s="2043">
        <f t="shared" si="5"/>
        <v>0</v>
      </c>
      <c r="S25" s="2045">
        <f t="shared" si="6"/>
        <v>0</v>
      </c>
      <c r="T25" s="2138">
        <f t="shared" si="7"/>
        <v>0</v>
      </c>
      <c r="U25" s="1434"/>
    </row>
    <row r="26" spans="1:22" s="1396" customFormat="1" ht="24.6" customHeight="1">
      <c r="A26" s="1572"/>
      <c r="B26" s="2557" t="s">
        <v>45</v>
      </c>
      <c r="C26" s="2139"/>
      <c r="D26" s="2558"/>
      <c r="E26" s="2571">
        <f t="shared" si="1"/>
        <v>0</v>
      </c>
      <c r="F26" s="1976" t="e">
        <f t="shared" si="0"/>
        <v>#DIV/0!</v>
      </c>
      <c r="G26" s="2051"/>
      <c r="H26" s="2043"/>
      <c r="I26" s="2045">
        <f t="shared" si="8"/>
        <v>0</v>
      </c>
      <c r="J26" s="2138">
        <f t="shared" si="2"/>
        <v>0</v>
      </c>
      <c r="K26" s="2048"/>
      <c r="L26" s="2051"/>
      <c r="M26" s="2043"/>
      <c r="N26" s="2045">
        <f t="shared" si="9"/>
        <v>0</v>
      </c>
      <c r="O26" s="2138">
        <f t="shared" si="3"/>
        <v>0</v>
      </c>
      <c r="P26" s="2048"/>
      <c r="Q26" s="2043">
        <f t="shared" si="4"/>
        <v>0</v>
      </c>
      <c r="R26" s="2043">
        <f t="shared" si="5"/>
        <v>0</v>
      </c>
      <c r="S26" s="2045">
        <f t="shared" si="6"/>
        <v>0</v>
      </c>
      <c r="T26" s="2138">
        <f t="shared" si="7"/>
        <v>0</v>
      </c>
      <c r="U26" s="1434"/>
    </row>
    <row r="27" spans="1:22" s="1396" customFormat="1" ht="24.6" customHeight="1">
      <c r="A27" s="1572"/>
      <c r="B27" s="2557" t="s">
        <v>25</v>
      </c>
      <c r="C27" s="2139"/>
      <c r="D27" s="2558"/>
      <c r="E27" s="2571">
        <f t="shared" si="1"/>
        <v>0</v>
      </c>
      <c r="F27" s="1976" t="e">
        <f t="shared" si="0"/>
        <v>#DIV/0!</v>
      </c>
      <c r="G27" s="2051"/>
      <c r="H27" s="2043"/>
      <c r="I27" s="2045">
        <f t="shared" si="8"/>
        <v>0</v>
      </c>
      <c r="J27" s="2138">
        <f t="shared" si="2"/>
        <v>0</v>
      </c>
      <c r="K27" s="2046"/>
      <c r="L27" s="2051"/>
      <c r="M27" s="2043"/>
      <c r="N27" s="2045">
        <f t="shared" si="9"/>
        <v>0</v>
      </c>
      <c r="O27" s="2138">
        <f t="shared" si="3"/>
        <v>0</v>
      </c>
      <c r="P27" s="2046"/>
      <c r="Q27" s="2043">
        <f t="shared" si="4"/>
        <v>0</v>
      </c>
      <c r="R27" s="2043">
        <f t="shared" si="5"/>
        <v>0</v>
      </c>
      <c r="S27" s="2045">
        <f t="shared" si="6"/>
        <v>0</v>
      </c>
      <c r="T27" s="2138">
        <f t="shared" si="7"/>
        <v>0</v>
      </c>
      <c r="U27" s="1434"/>
    </row>
    <row r="28" spans="1:22" s="1396" customFormat="1" ht="24.6" customHeight="1">
      <c r="A28" s="1572"/>
      <c r="B28" s="2557" t="s">
        <v>52</v>
      </c>
      <c r="C28" s="2139"/>
      <c r="D28" s="2558"/>
      <c r="E28" s="2571">
        <f t="shared" si="1"/>
        <v>0</v>
      </c>
      <c r="F28" s="1976" t="e">
        <f t="shared" si="0"/>
        <v>#DIV/0!</v>
      </c>
      <c r="G28" s="2051"/>
      <c r="H28" s="2043"/>
      <c r="I28" s="2045">
        <f t="shared" si="8"/>
        <v>0</v>
      </c>
      <c r="J28" s="2138">
        <f t="shared" si="2"/>
        <v>0</v>
      </c>
      <c r="K28" s="2046"/>
      <c r="L28" s="2051"/>
      <c r="M28" s="2043"/>
      <c r="N28" s="2045">
        <f t="shared" si="9"/>
        <v>0</v>
      </c>
      <c r="O28" s="2138">
        <f t="shared" si="3"/>
        <v>0</v>
      </c>
      <c r="P28" s="2046"/>
      <c r="Q28" s="2043">
        <f t="shared" si="4"/>
        <v>0</v>
      </c>
      <c r="R28" s="2043">
        <f t="shared" si="5"/>
        <v>0</v>
      </c>
      <c r="S28" s="2045">
        <f>Q28+R28*1</f>
        <v>0</v>
      </c>
      <c r="T28" s="2138">
        <f t="shared" si="7"/>
        <v>0</v>
      </c>
      <c r="U28" s="1434"/>
      <c r="V28" s="1665"/>
    </row>
    <row r="29" spans="1:22" s="1396" customFormat="1" ht="24.6" customHeight="1">
      <c r="A29" s="1572"/>
      <c r="B29" s="2557" t="s">
        <v>31</v>
      </c>
      <c r="C29" s="2139"/>
      <c r="D29" s="2558"/>
      <c r="E29" s="2571">
        <f t="shared" si="1"/>
        <v>0</v>
      </c>
      <c r="F29" s="2138" t="e">
        <f t="shared" si="0"/>
        <v>#DIV/0!</v>
      </c>
      <c r="G29" s="2051"/>
      <c r="H29" s="2043"/>
      <c r="I29" s="2045">
        <f t="shared" si="8"/>
        <v>0</v>
      </c>
      <c r="J29" s="2138">
        <f t="shared" si="2"/>
        <v>0</v>
      </c>
      <c r="K29" s="2046"/>
      <c r="L29" s="2051"/>
      <c r="M29" s="2043">
        <v>742</v>
      </c>
      <c r="N29" s="2045">
        <f t="shared" si="9"/>
        <v>742</v>
      </c>
      <c r="O29" s="2138">
        <f t="shared" si="3"/>
        <v>9.1547094070684714E-3</v>
      </c>
      <c r="P29" s="2046"/>
      <c r="Q29" s="2043">
        <f t="shared" si="4"/>
        <v>0</v>
      </c>
      <c r="R29" s="2043">
        <f t="shared" si="5"/>
        <v>742</v>
      </c>
      <c r="S29" s="2045">
        <f t="shared" si="6"/>
        <v>742</v>
      </c>
      <c r="T29" s="2138">
        <f t="shared" si="7"/>
        <v>6.1006802998509035E-3</v>
      </c>
      <c r="U29" s="2140"/>
    </row>
    <row r="30" spans="1:22" s="1396" customFormat="1" ht="51" customHeight="1">
      <c r="A30" s="1572"/>
      <c r="B30" s="2557" t="s">
        <v>62</v>
      </c>
      <c r="C30" s="2139"/>
      <c r="D30" s="2558"/>
      <c r="E30" s="2571">
        <f t="shared" si="1"/>
        <v>0</v>
      </c>
      <c r="F30" s="2138" t="e">
        <f t="shared" si="0"/>
        <v>#DIV/0!</v>
      </c>
      <c r="G30" s="2051"/>
      <c r="H30" s="2043"/>
      <c r="I30" s="2045">
        <f t="shared" si="8"/>
        <v>0</v>
      </c>
      <c r="J30" s="2138">
        <f t="shared" si="2"/>
        <v>0</v>
      </c>
      <c r="K30" s="2046"/>
      <c r="L30" s="2051"/>
      <c r="M30" s="2043">
        <v>7800</v>
      </c>
      <c r="N30" s="2045">
        <f t="shared" si="9"/>
        <v>7800</v>
      </c>
      <c r="O30" s="2138">
        <f t="shared" si="3"/>
        <v>9.6235489723900378E-2</v>
      </c>
      <c r="P30" s="2046"/>
      <c r="Q30" s="2043">
        <f t="shared" si="4"/>
        <v>0</v>
      </c>
      <c r="R30" s="2043">
        <f t="shared" si="5"/>
        <v>7800</v>
      </c>
      <c r="S30" s="2045">
        <f t="shared" si="6"/>
        <v>7800</v>
      </c>
      <c r="T30" s="2138">
        <f t="shared" si="7"/>
        <v>6.4131140618378768E-2</v>
      </c>
      <c r="U30" s="2140"/>
    </row>
    <row r="31" spans="1:22" s="1396" customFormat="1" ht="24.6" customHeight="1">
      <c r="A31" s="1572"/>
      <c r="B31" s="2557" t="s">
        <v>34</v>
      </c>
      <c r="C31" s="2139"/>
      <c r="D31" s="2558"/>
      <c r="E31" s="2571">
        <f t="shared" si="1"/>
        <v>0</v>
      </c>
      <c r="F31" s="2138" t="e">
        <f t="shared" si="0"/>
        <v>#DIV/0!</v>
      </c>
      <c r="G31" s="2051"/>
      <c r="H31" s="2043"/>
      <c r="I31" s="2045">
        <f t="shared" si="8"/>
        <v>0</v>
      </c>
      <c r="J31" s="2138">
        <f t="shared" si="2"/>
        <v>0</v>
      </c>
      <c r="K31" s="2046"/>
      <c r="L31" s="2051"/>
      <c r="M31" s="2043"/>
      <c r="N31" s="2045">
        <f t="shared" si="9"/>
        <v>0</v>
      </c>
      <c r="O31" s="2138">
        <f t="shared" si="3"/>
        <v>0</v>
      </c>
      <c r="P31" s="2046"/>
      <c r="Q31" s="2043">
        <f t="shared" si="4"/>
        <v>0</v>
      </c>
      <c r="R31" s="2043">
        <f t="shared" si="5"/>
        <v>0</v>
      </c>
      <c r="S31" s="2045">
        <f t="shared" si="6"/>
        <v>0</v>
      </c>
      <c r="T31" s="2138">
        <f t="shared" si="7"/>
        <v>0</v>
      </c>
      <c r="U31" s="2140"/>
    </row>
    <row r="32" spans="1:22" s="1396" customFormat="1" ht="24.6" customHeight="1">
      <c r="A32" s="1572"/>
      <c r="B32" s="2561" t="s">
        <v>2</v>
      </c>
      <c r="C32" s="2141"/>
      <c r="D32" s="2479"/>
      <c r="E32" s="2571">
        <f t="shared" si="1"/>
        <v>0</v>
      </c>
      <c r="F32" s="2138" t="e">
        <f t="shared" si="0"/>
        <v>#DIV/0!</v>
      </c>
      <c r="G32" s="2051"/>
      <c r="H32" s="2043"/>
      <c r="I32" s="2045">
        <f t="shared" si="8"/>
        <v>0</v>
      </c>
      <c r="J32" s="2138">
        <f t="shared" si="2"/>
        <v>0</v>
      </c>
      <c r="K32" s="2046"/>
      <c r="L32" s="2051"/>
      <c r="M32" s="2043"/>
      <c r="N32" s="2045">
        <f t="shared" si="9"/>
        <v>0</v>
      </c>
      <c r="O32" s="2138">
        <f t="shared" si="3"/>
        <v>0</v>
      </c>
      <c r="P32" s="2046"/>
      <c r="Q32" s="2043">
        <f t="shared" si="4"/>
        <v>0</v>
      </c>
      <c r="R32" s="2043">
        <f t="shared" si="5"/>
        <v>0</v>
      </c>
      <c r="S32" s="2045">
        <f t="shared" si="6"/>
        <v>0</v>
      </c>
      <c r="T32" s="2138">
        <f t="shared" si="7"/>
        <v>0</v>
      </c>
      <c r="U32" s="2140"/>
    </row>
    <row r="33" spans="1:21" s="1396" customFormat="1" ht="24.6" customHeight="1" thickBot="1">
      <c r="A33" s="1572"/>
      <c r="B33" s="2562" t="s">
        <v>75</v>
      </c>
      <c r="C33" s="2144"/>
      <c r="D33" s="2563"/>
      <c r="E33" s="2571">
        <f t="shared" si="1"/>
        <v>0</v>
      </c>
      <c r="F33" s="2503" t="e">
        <f t="shared" si="0"/>
        <v>#DIV/0!</v>
      </c>
      <c r="G33" s="2028"/>
      <c r="H33" s="2025"/>
      <c r="I33" s="2026">
        <f t="shared" si="8"/>
        <v>0</v>
      </c>
      <c r="J33" s="2503">
        <f t="shared" si="2"/>
        <v>0</v>
      </c>
      <c r="K33" s="1675"/>
      <c r="L33" s="2028"/>
      <c r="M33" s="2025"/>
      <c r="N33" s="2026">
        <f t="shared" si="9"/>
        <v>0</v>
      </c>
      <c r="O33" s="2503">
        <f t="shared" si="3"/>
        <v>0</v>
      </c>
      <c r="P33" s="1675"/>
      <c r="Q33" s="2500">
        <f t="shared" si="4"/>
        <v>0</v>
      </c>
      <c r="R33" s="2501">
        <f t="shared" si="5"/>
        <v>0</v>
      </c>
      <c r="S33" s="2537">
        <f t="shared" si="6"/>
        <v>0</v>
      </c>
      <c r="T33" s="2503">
        <f t="shared" si="7"/>
        <v>0</v>
      </c>
      <c r="U33" s="2504"/>
    </row>
    <row r="34" spans="1:21" s="1396" customFormat="1" ht="24.6" customHeight="1">
      <c r="A34" s="1572"/>
      <c r="B34" s="1077"/>
      <c r="C34" s="1617"/>
      <c r="D34" s="1618"/>
      <c r="E34" s="2024"/>
      <c r="F34" s="1620"/>
      <c r="G34" s="2051"/>
      <c r="H34" s="2043"/>
      <c r="I34" s="2024"/>
      <c r="J34" s="1976"/>
      <c r="K34" s="2024"/>
      <c r="L34" s="2051"/>
      <c r="M34" s="2043"/>
      <c r="N34" s="2024"/>
      <c r="O34" s="1976"/>
      <c r="P34" s="2024"/>
      <c r="Q34" s="2043"/>
      <c r="R34" s="2043"/>
      <c r="S34" s="2024"/>
      <c r="T34" s="2024"/>
      <c r="U34" s="2024"/>
    </row>
    <row r="35" spans="1:21" s="2466" customFormat="1" ht="24.6" customHeight="1">
      <c r="A35" s="1572"/>
      <c r="B35" s="2587" t="s">
        <v>80</v>
      </c>
      <c r="C35" s="2495">
        <f>C36</f>
        <v>0</v>
      </c>
      <c r="D35" s="2495">
        <f>D36</f>
        <v>0</v>
      </c>
      <c r="E35" s="2505">
        <f>E36</f>
        <v>0</v>
      </c>
      <c r="F35" s="2544" t="e">
        <f>E35/$E$89</f>
        <v>#DIV/0!</v>
      </c>
      <c r="G35" s="2495"/>
      <c r="H35" s="2495"/>
      <c r="I35" s="2505">
        <f>I36</f>
        <v>0</v>
      </c>
      <c r="J35" s="2138">
        <f t="shared" ref="J35:J36" si="10">I35/I$89</f>
        <v>0</v>
      </c>
      <c r="K35" s="2506"/>
      <c r="L35" s="2495"/>
      <c r="M35" s="2495"/>
      <c r="N35" s="2505">
        <f>N36</f>
        <v>0</v>
      </c>
      <c r="O35" s="2505">
        <f t="shared" ref="O35:O36" si="11">N35/N$89</f>
        <v>0</v>
      </c>
      <c r="P35" s="2506"/>
      <c r="Q35" s="2495">
        <f t="shared" ref="Q35:R35" si="12">Q36</f>
        <v>0</v>
      </c>
      <c r="R35" s="2495">
        <f t="shared" si="12"/>
        <v>0</v>
      </c>
      <c r="S35" s="2505">
        <f>S36</f>
        <v>0</v>
      </c>
      <c r="T35" s="2495">
        <f>T36</f>
        <v>0</v>
      </c>
      <c r="U35" s="2505"/>
    </row>
    <row r="36" spans="1:21" s="1564" customFormat="1" ht="24.6" customHeight="1" outlineLevel="1">
      <c r="A36" s="1572"/>
      <c r="B36" s="2588" t="s">
        <v>81</v>
      </c>
      <c r="C36" s="2564"/>
      <c r="D36" s="2565"/>
      <c r="E36" s="2571">
        <f>C36+D36</f>
        <v>0</v>
      </c>
      <c r="F36" s="2484" t="e">
        <f>E36/$E$89</f>
        <v>#DIV/0!</v>
      </c>
      <c r="G36" s="2051"/>
      <c r="H36" s="2043"/>
      <c r="I36" s="2012">
        <f>G36+H36*1</f>
        <v>0</v>
      </c>
      <c r="J36" s="2138">
        <f t="shared" si="10"/>
        <v>0</v>
      </c>
      <c r="K36" s="2046"/>
      <c r="L36" s="2051"/>
      <c r="M36" s="2043"/>
      <c r="N36" s="2012">
        <f>L36+M36*1</f>
        <v>0</v>
      </c>
      <c r="O36" s="2138">
        <f t="shared" si="11"/>
        <v>0</v>
      </c>
      <c r="P36" s="2046"/>
      <c r="Q36" s="2043">
        <f>G36+L36</f>
        <v>0</v>
      </c>
      <c r="R36" s="2043">
        <f>H36+M36</f>
        <v>0</v>
      </c>
      <c r="S36" s="2012">
        <f>Q36+R36*1</f>
        <v>0</v>
      </c>
      <c r="T36" s="2138">
        <f>S36/$S$89</f>
        <v>0</v>
      </c>
      <c r="U36" s="2147"/>
    </row>
    <row r="37" spans="1:21" s="1396" customFormat="1" ht="24.6" customHeight="1" thickBot="1">
      <c r="A37" s="1398"/>
      <c r="B37" s="2589"/>
      <c r="C37" s="2566"/>
      <c r="D37" s="2567"/>
      <c r="E37" s="2507"/>
      <c r="F37" s="2568"/>
      <c r="G37" s="2028"/>
      <c r="H37" s="2025"/>
      <c r="I37" s="2507"/>
      <c r="J37" s="2503"/>
      <c r="K37" s="2508"/>
      <c r="L37" s="2028"/>
      <c r="M37" s="2025"/>
      <c r="N37" s="2507"/>
      <c r="O37" s="2503" t="e">
        <f t="shared" ref="O37" si="13">N37/$AN$89</f>
        <v>#DIV/0!</v>
      </c>
      <c r="P37" s="2508"/>
      <c r="Q37" s="2043"/>
      <c r="R37" s="2043"/>
      <c r="S37" s="2507"/>
      <c r="T37" s="2507"/>
      <c r="U37" s="2507"/>
    </row>
    <row r="38" spans="1:21" ht="24.6" customHeight="1" thickBot="1">
      <c r="A38" s="1426"/>
      <c r="B38" s="971" t="s">
        <v>46</v>
      </c>
      <c r="C38" s="2002">
        <f>(C5)-(C8)</f>
        <v>0</v>
      </c>
      <c r="D38" s="2002">
        <f>(D5)-(D8)</f>
        <v>0</v>
      </c>
      <c r="E38" s="2002">
        <f>(E5)-(E8)</f>
        <v>0</v>
      </c>
      <c r="F38" s="1530"/>
      <c r="G38" s="2002">
        <f>(G5)-(G8)</f>
        <v>-37527.199999999997</v>
      </c>
      <c r="H38" s="2002">
        <f>(H5)-(H8)</f>
        <v>0</v>
      </c>
      <c r="I38" s="2002">
        <f>(I5)-(I8)</f>
        <v>-37527.199999999997</v>
      </c>
      <c r="J38" s="2002"/>
      <c r="K38" s="2021"/>
      <c r="L38" s="2002">
        <f>(L5)-(L8)</f>
        <v>277178.11</v>
      </c>
      <c r="M38" s="2002">
        <f>(M5)-(M8)</f>
        <v>-74675</v>
      </c>
      <c r="N38" s="2002">
        <f>(N5)-(N8)</f>
        <v>202503.11</v>
      </c>
      <c r="O38" s="2002"/>
      <c r="P38" s="2021"/>
      <c r="Q38" s="2002">
        <f>(Q5)-(Q8)</f>
        <v>239650.90999999997</v>
      </c>
      <c r="R38" s="2002">
        <f>(R5)-(R8)</f>
        <v>-74675</v>
      </c>
      <c r="S38" s="2002">
        <f>(S5)-(S8)</f>
        <v>164975.90999999997</v>
      </c>
      <c r="T38" s="2002"/>
      <c r="U38" s="2002"/>
    </row>
    <row r="39" spans="1:21" ht="24.6" customHeight="1">
      <c r="A39" s="1565"/>
      <c r="B39" s="972" t="s">
        <v>47</v>
      </c>
      <c r="C39" s="1525" t="e">
        <f>C38/(C5)</f>
        <v>#DIV/0!</v>
      </c>
      <c r="D39" s="1525" t="e">
        <f>D38/(D5)</f>
        <v>#DIV/0!</v>
      </c>
      <c r="E39" s="1526" t="e">
        <f>E38/(E5)</f>
        <v>#DIV/0!</v>
      </c>
      <c r="F39" s="1531"/>
      <c r="G39" s="2003" t="e">
        <f>G38/(G5)</f>
        <v>#DIV/0!</v>
      </c>
      <c r="H39" s="2003" t="e">
        <f>H38/(H5)</f>
        <v>#DIV/0!</v>
      </c>
      <c r="I39" s="2004" t="e">
        <f>I38/(I5)</f>
        <v>#DIV/0!</v>
      </c>
      <c r="J39" s="2004"/>
      <c r="K39" s="2022"/>
      <c r="L39" s="2003">
        <f>L38/(L5)</f>
        <v>1</v>
      </c>
      <c r="M39" s="2003" t="e">
        <f>M38/(M5)</f>
        <v>#DIV/0!</v>
      </c>
      <c r="N39" s="2004">
        <f>N38/(N5)</f>
        <v>0.73058839314547597</v>
      </c>
      <c r="O39" s="2004"/>
      <c r="P39" s="2022"/>
      <c r="Q39" s="2003">
        <f>Q38/(Q5)</f>
        <v>0.86460979909272051</v>
      </c>
      <c r="R39" s="2003" t="e">
        <f>R38/(R5)</f>
        <v>#DIV/0!</v>
      </c>
      <c r="S39" s="2004">
        <f>S38/(S5)</f>
        <v>0.59519819223819648</v>
      </c>
      <c r="T39" s="2004"/>
      <c r="U39" s="2004"/>
    </row>
    <row r="40" spans="1:21" ht="24.6" customHeight="1" outlineLevel="1" thickBot="1">
      <c r="A40" s="1567"/>
      <c r="B40" s="2590"/>
      <c r="C40" s="2591"/>
      <c r="D40" s="2592"/>
      <c r="E40" s="2090"/>
      <c r="F40" s="2127"/>
      <c r="G40" s="2509"/>
      <c r="H40" s="2496"/>
      <c r="I40" s="2496"/>
      <c r="J40" s="2496"/>
      <c r="K40" s="2510"/>
      <c r="L40" s="2509"/>
      <c r="M40" s="2496"/>
      <c r="N40" s="2496"/>
      <c r="O40" s="2496"/>
      <c r="P40" s="2510"/>
      <c r="Q40" s="2043"/>
      <c r="R40" s="2043"/>
      <c r="S40" s="2496"/>
      <c r="T40" s="2496"/>
      <c r="U40" s="2496"/>
    </row>
    <row r="41" spans="1:21" ht="24.6" customHeight="1" outlineLevel="1">
      <c r="A41" s="1405"/>
      <c r="B41" s="2593" t="s">
        <v>26</v>
      </c>
      <c r="C41" s="2594">
        <f>SUM(C42:C48)</f>
        <v>0</v>
      </c>
      <c r="D41" s="2594">
        <f>SUM(D42:D48)</f>
        <v>0</v>
      </c>
      <c r="E41" s="2595">
        <f>SUM(E42:E48)</f>
        <v>0</v>
      </c>
      <c r="F41" s="2464" t="e">
        <f t="shared" ref="F41:F48" si="14">E41/$E$89</f>
        <v>#DIV/0!</v>
      </c>
      <c r="G41" s="2013">
        <f>SUM(G42:G48)</f>
        <v>0</v>
      </c>
      <c r="H41" s="2013">
        <f>SUM(H42:H48)</f>
        <v>0</v>
      </c>
      <c r="I41" s="2014">
        <f>SUM(I42:I48)</f>
        <v>0</v>
      </c>
      <c r="J41" s="2464">
        <f t="shared" ref="J41:J48" si="15">I41/I$89</f>
        <v>0</v>
      </c>
      <c r="K41" s="2023"/>
      <c r="L41" s="2013">
        <f>SUM(L42:L48)</f>
        <v>462.58</v>
      </c>
      <c r="M41" s="2013">
        <f>SUM(M42:M48)</f>
        <v>0</v>
      </c>
      <c r="N41" s="2014">
        <f>SUM(N42:N48)</f>
        <v>462.58</v>
      </c>
      <c r="O41" s="2464">
        <f t="shared" ref="O41:O48" si="16">N41/N$89</f>
        <v>5.7072580559592093E-3</v>
      </c>
      <c r="P41" s="2023"/>
      <c r="Q41" s="2013">
        <f>SUM(Q42:Q48)</f>
        <v>462.58</v>
      </c>
      <c r="R41" s="2013">
        <f>SUM(R42:R48)</f>
        <v>0</v>
      </c>
      <c r="S41" s="2014">
        <f>SUM(S42:S48)</f>
        <v>462.58</v>
      </c>
      <c r="T41" s="2464">
        <f t="shared" ref="T41:T49" si="17">S41/$S$89</f>
        <v>3.8033055163140578E-3</v>
      </c>
      <c r="U41" s="2006"/>
    </row>
    <row r="42" spans="1:21" ht="24.6" customHeight="1" outlineLevel="2">
      <c r="A42" s="4833"/>
      <c r="B42" s="2559" t="s">
        <v>7</v>
      </c>
      <c r="C42" s="2558"/>
      <c r="D42" s="2502"/>
      <c r="E42" s="2571">
        <f t="shared" ref="E42:E48" si="18">C42+D42</f>
        <v>0</v>
      </c>
      <c r="F42" s="2138" t="e">
        <f t="shared" si="14"/>
        <v>#DIV/0!</v>
      </c>
      <c r="G42" s="2051"/>
      <c r="H42" s="2043"/>
      <c r="I42" s="2012">
        <f t="shared" ref="I42:I48" si="19">G42+H42*1</f>
        <v>0</v>
      </c>
      <c r="J42" s="2138">
        <f t="shared" si="15"/>
        <v>0</v>
      </c>
      <c r="K42" s="2046"/>
      <c r="L42" s="2051"/>
      <c r="M42" s="2043"/>
      <c r="N42" s="2012">
        <f t="shared" ref="N42:N48" si="20">L42+M42*1</f>
        <v>0</v>
      </c>
      <c r="O42" s="2138">
        <f t="shared" si="16"/>
        <v>0</v>
      </c>
      <c r="P42" s="2046"/>
      <c r="Q42" s="2043">
        <f t="shared" ref="Q42:Q48" si="21">G42+L42</f>
        <v>0</v>
      </c>
      <c r="R42" s="2043">
        <f t="shared" ref="R42:R48" si="22">H42+M42</f>
        <v>0</v>
      </c>
      <c r="S42" s="2012">
        <f t="shared" ref="S42:S48" si="23">Q42+R42*1</f>
        <v>0</v>
      </c>
      <c r="T42" s="2138">
        <f t="shared" si="17"/>
        <v>0</v>
      </c>
      <c r="U42" s="2140"/>
    </row>
    <row r="43" spans="1:21" ht="24.6" customHeight="1" outlineLevel="2">
      <c r="A43" s="4833"/>
      <c r="B43" s="2559" t="s">
        <v>27</v>
      </c>
      <c r="C43" s="2558"/>
      <c r="D43" s="2502"/>
      <c r="E43" s="2571">
        <f t="shared" si="18"/>
        <v>0</v>
      </c>
      <c r="F43" s="2138" t="e">
        <f t="shared" si="14"/>
        <v>#DIV/0!</v>
      </c>
      <c r="G43" s="2051"/>
      <c r="H43" s="2043"/>
      <c r="I43" s="2012">
        <f t="shared" si="19"/>
        <v>0</v>
      </c>
      <c r="J43" s="2138">
        <f t="shared" si="15"/>
        <v>0</v>
      </c>
      <c r="K43" s="2046"/>
      <c r="L43" s="2051"/>
      <c r="M43" s="2043"/>
      <c r="N43" s="2012">
        <f t="shared" si="20"/>
        <v>0</v>
      </c>
      <c r="O43" s="2138">
        <f t="shared" si="16"/>
        <v>0</v>
      </c>
      <c r="P43" s="2046"/>
      <c r="Q43" s="2043">
        <f t="shared" si="21"/>
        <v>0</v>
      </c>
      <c r="R43" s="2043">
        <f t="shared" si="22"/>
        <v>0</v>
      </c>
      <c r="S43" s="2012">
        <f t="shared" si="23"/>
        <v>0</v>
      </c>
      <c r="T43" s="2138">
        <f t="shared" si="17"/>
        <v>0</v>
      </c>
      <c r="U43" s="2140"/>
    </row>
    <row r="44" spans="1:21" ht="24.6" customHeight="1" outlineLevel="2">
      <c r="A44" s="4833"/>
      <c r="B44" s="2588" t="s">
        <v>28</v>
      </c>
      <c r="C44" s="2558"/>
      <c r="D44" s="2502"/>
      <c r="E44" s="2571">
        <f t="shared" si="18"/>
        <v>0</v>
      </c>
      <c r="F44" s="2138" t="e">
        <f t="shared" si="14"/>
        <v>#DIV/0!</v>
      </c>
      <c r="G44" s="2051"/>
      <c r="H44" s="2043"/>
      <c r="I44" s="2012">
        <f t="shared" si="19"/>
        <v>0</v>
      </c>
      <c r="J44" s="2138">
        <f t="shared" si="15"/>
        <v>0</v>
      </c>
      <c r="K44" s="2046"/>
      <c r="L44" s="2051"/>
      <c r="M44" s="2043"/>
      <c r="N44" s="2012">
        <f t="shared" si="20"/>
        <v>0</v>
      </c>
      <c r="O44" s="2138">
        <f t="shared" si="16"/>
        <v>0</v>
      </c>
      <c r="P44" s="2046"/>
      <c r="Q44" s="2043">
        <f t="shared" si="21"/>
        <v>0</v>
      </c>
      <c r="R44" s="2043">
        <f t="shared" si="22"/>
        <v>0</v>
      </c>
      <c r="S44" s="2012">
        <f t="shared" si="23"/>
        <v>0</v>
      </c>
      <c r="T44" s="2138">
        <f t="shared" si="17"/>
        <v>0</v>
      </c>
      <c r="U44" s="2140"/>
    </row>
    <row r="45" spans="1:21" ht="24.6" customHeight="1" outlineLevel="2">
      <c r="A45" s="4833"/>
      <c r="B45" s="2559" t="s">
        <v>8</v>
      </c>
      <c r="C45" s="2558"/>
      <c r="D45" s="2502"/>
      <c r="E45" s="2571">
        <f t="shared" si="18"/>
        <v>0</v>
      </c>
      <c r="F45" s="2138" t="e">
        <f t="shared" si="14"/>
        <v>#DIV/0!</v>
      </c>
      <c r="G45" s="2051"/>
      <c r="H45" s="2043"/>
      <c r="I45" s="2012">
        <f t="shared" si="19"/>
        <v>0</v>
      </c>
      <c r="J45" s="2138">
        <f t="shared" si="15"/>
        <v>0</v>
      </c>
      <c r="K45" s="2046"/>
      <c r="L45" s="2051"/>
      <c r="M45" s="2043"/>
      <c r="N45" s="2012">
        <f t="shared" si="20"/>
        <v>0</v>
      </c>
      <c r="O45" s="2138">
        <f t="shared" si="16"/>
        <v>0</v>
      </c>
      <c r="P45" s="2046"/>
      <c r="Q45" s="2043">
        <f t="shared" si="21"/>
        <v>0</v>
      </c>
      <c r="R45" s="2043">
        <f t="shared" si="22"/>
        <v>0</v>
      </c>
      <c r="S45" s="2012">
        <f t="shared" si="23"/>
        <v>0</v>
      </c>
      <c r="T45" s="2138">
        <f t="shared" si="17"/>
        <v>0</v>
      </c>
      <c r="U45" s="2140"/>
    </row>
    <row r="46" spans="1:21" ht="24.6" customHeight="1" outlineLevel="2">
      <c r="A46" s="4833"/>
      <c r="B46" s="2559" t="s">
        <v>29</v>
      </c>
      <c r="C46" s="2558"/>
      <c r="D46" s="2502"/>
      <c r="E46" s="2571">
        <f t="shared" si="18"/>
        <v>0</v>
      </c>
      <c r="F46" s="2138" t="e">
        <f t="shared" si="14"/>
        <v>#DIV/0!</v>
      </c>
      <c r="G46" s="2051"/>
      <c r="H46" s="2043"/>
      <c r="I46" s="2012">
        <f t="shared" si="19"/>
        <v>0</v>
      </c>
      <c r="J46" s="2138">
        <f t="shared" si="15"/>
        <v>0</v>
      </c>
      <c r="K46" s="2046"/>
      <c r="L46" s="2051"/>
      <c r="M46" s="2043"/>
      <c r="N46" s="2012">
        <f t="shared" si="20"/>
        <v>0</v>
      </c>
      <c r="O46" s="2138">
        <f t="shared" si="16"/>
        <v>0</v>
      </c>
      <c r="P46" s="2046"/>
      <c r="Q46" s="2043">
        <f t="shared" si="21"/>
        <v>0</v>
      </c>
      <c r="R46" s="2043">
        <f t="shared" si="22"/>
        <v>0</v>
      </c>
      <c r="S46" s="2012">
        <f t="shared" si="23"/>
        <v>0</v>
      </c>
      <c r="T46" s="2138">
        <f t="shared" si="17"/>
        <v>0</v>
      </c>
      <c r="U46" s="2140"/>
    </row>
    <row r="47" spans="1:21" ht="24.6" customHeight="1" outlineLevel="2">
      <c r="A47" s="4833"/>
      <c r="B47" s="2559" t="s">
        <v>30</v>
      </c>
      <c r="C47" s="2558"/>
      <c r="D47" s="2502"/>
      <c r="E47" s="2571">
        <f t="shared" si="18"/>
        <v>0</v>
      </c>
      <c r="F47" s="2138" t="e">
        <f t="shared" si="14"/>
        <v>#DIV/0!</v>
      </c>
      <c r="G47" s="2051"/>
      <c r="H47" s="2043"/>
      <c r="I47" s="2012">
        <f t="shared" si="19"/>
        <v>0</v>
      </c>
      <c r="J47" s="2138">
        <f t="shared" si="15"/>
        <v>0</v>
      </c>
      <c r="K47" s="2046"/>
      <c r="L47" s="2051">
        <v>462.58</v>
      </c>
      <c r="M47" s="2043"/>
      <c r="N47" s="2012">
        <f t="shared" si="20"/>
        <v>462.58</v>
      </c>
      <c r="O47" s="2138">
        <f t="shared" si="16"/>
        <v>5.7072580559592093E-3</v>
      </c>
      <c r="P47" s="2046"/>
      <c r="Q47" s="2043">
        <f t="shared" si="21"/>
        <v>462.58</v>
      </c>
      <c r="R47" s="2043">
        <f t="shared" si="22"/>
        <v>0</v>
      </c>
      <c r="S47" s="2012">
        <f t="shared" si="23"/>
        <v>462.58</v>
      </c>
      <c r="T47" s="2138">
        <f t="shared" si="17"/>
        <v>3.8033055163140578E-3</v>
      </c>
      <c r="U47" s="2140"/>
    </row>
    <row r="48" spans="1:21" ht="24.6" customHeight="1" outlineLevel="2">
      <c r="A48" s="4833"/>
      <c r="B48" s="2559" t="s">
        <v>15</v>
      </c>
      <c r="C48" s="2558"/>
      <c r="D48" s="2502"/>
      <c r="E48" s="2571">
        <f t="shared" si="18"/>
        <v>0</v>
      </c>
      <c r="F48" s="2138" t="e">
        <f t="shared" si="14"/>
        <v>#DIV/0!</v>
      </c>
      <c r="G48" s="2051"/>
      <c r="H48" s="2043"/>
      <c r="I48" s="2012">
        <f t="shared" si="19"/>
        <v>0</v>
      </c>
      <c r="J48" s="2138">
        <f t="shared" si="15"/>
        <v>0</v>
      </c>
      <c r="K48" s="2046"/>
      <c r="L48" s="2051"/>
      <c r="M48" s="2043"/>
      <c r="N48" s="2012">
        <f t="shared" si="20"/>
        <v>0</v>
      </c>
      <c r="O48" s="2138">
        <f t="shared" si="16"/>
        <v>0</v>
      </c>
      <c r="P48" s="2046"/>
      <c r="Q48" s="2043">
        <f t="shared" si="21"/>
        <v>0</v>
      </c>
      <c r="R48" s="2043">
        <f t="shared" si="22"/>
        <v>0</v>
      </c>
      <c r="S48" s="2012">
        <f t="shared" si="23"/>
        <v>0</v>
      </c>
      <c r="T48" s="2138">
        <f t="shared" si="17"/>
        <v>0</v>
      </c>
      <c r="U48" s="2140"/>
    </row>
    <row r="49" spans="1:21" s="1396" customFormat="1" ht="24.6" customHeight="1" outlineLevel="2" thickBot="1">
      <c r="A49" s="1405"/>
      <c r="B49" s="2596"/>
      <c r="C49" s="2479"/>
      <c r="D49" s="2483"/>
      <c r="E49" s="2128"/>
      <c r="F49" s="2129"/>
      <c r="G49" s="2051"/>
      <c r="H49" s="2043"/>
      <c r="I49" s="2507"/>
      <c r="J49" s="2138"/>
      <c r="K49" s="2511"/>
      <c r="L49" s="2051"/>
      <c r="M49" s="2043"/>
      <c r="N49" s="2507"/>
      <c r="O49" s="2138"/>
      <c r="P49" s="2511"/>
      <c r="Q49" s="2043"/>
      <c r="R49" s="2043"/>
      <c r="S49" s="2507"/>
      <c r="T49" s="2138">
        <f t="shared" si="17"/>
        <v>0</v>
      </c>
      <c r="U49" s="2507"/>
    </row>
    <row r="50" spans="1:21" s="1396" customFormat="1" ht="24.6" customHeight="1" outlineLevel="1">
      <c r="A50" s="1565"/>
      <c r="B50" s="983" t="s">
        <v>59</v>
      </c>
      <c r="C50" s="2015">
        <f>SUM(C51:C52)</f>
        <v>0</v>
      </c>
      <c r="D50" s="2015">
        <f>SUM(D51:D52)</f>
        <v>0</v>
      </c>
      <c r="E50" s="2015">
        <f>SUM(E51:E52)</f>
        <v>0</v>
      </c>
      <c r="F50" s="1534" t="e">
        <f>E50/$E$89</f>
        <v>#DIV/0!</v>
      </c>
      <c r="G50" s="2015">
        <f>G52+G51</f>
        <v>0</v>
      </c>
      <c r="H50" s="2015">
        <f>H52+H51</f>
        <v>0</v>
      </c>
      <c r="I50" s="2015">
        <f>SUM(I51:I52)</f>
        <v>0</v>
      </c>
      <c r="J50" s="2006">
        <f t="shared" ref="J50:J52" si="24">I50/I$89</f>
        <v>0</v>
      </c>
      <c r="K50" s="1984"/>
      <c r="L50" s="2015">
        <f>L52+L51</f>
        <v>0</v>
      </c>
      <c r="M50" s="2015">
        <f>M52+M51</f>
        <v>0</v>
      </c>
      <c r="N50" s="2015">
        <f>SUM(N51:N52)</f>
        <v>0</v>
      </c>
      <c r="O50" s="2006">
        <f t="shared" ref="O50:O52" si="25">N50/N$89</f>
        <v>0</v>
      </c>
      <c r="P50" s="1984"/>
      <c r="Q50" s="2015">
        <f>Q52+Q51</f>
        <v>0</v>
      </c>
      <c r="R50" s="2015">
        <f>R52+R51</f>
        <v>0</v>
      </c>
      <c r="S50" s="2015">
        <f>SUM(S51:S52)</f>
        <v>0</v>
      </c>
      <c r="T50" s="2006"/>
      <c r="U50" s="2006"/>
    </row>
    <row r="51" spans="1:21" s="1564" customFormat="1" ht="24.6" customHeight="1" outlineLevel="1">
      <c r="A51" s="1568"/>
      <c r="B51" s="2559" t="s">
        <v>60</v>
      </c>
      <c r="C51" s="2558"/>
      <c r="D51" s="2502"/>
      <c r="E51" s="2571">
        <f>C51+D51</f>
        <v>0</v>
      </c>
      <c r="F51" s="2484" t="e">
        <f>E51/$E$89</f>
        <v>#DIV/0!</v>
      </c>
      <c r="G51" s="2051"/>
      <c r="H51" s="2043"/>
      <c r="I51" s="2012">
        <f>G51+H51*1</f>
        <v>0</v>
      </c>
      <c r="J51" s="2138">
        <f t="shared" si="24"/>
        <v>0</v>
      </c>
      <c r="K51" s="2512"/>
      <c r="L51" s="2051"/>
      <c r="M51" s="2043"/>
      <c r="N51" s="2012">
        <f>L51+M51*1</f>
        <v>0</v>
      </c>
      <c r="O51" s="2138">
        <f t="shared" si="25"/>
        <v>0</v>
      </c>
      <c r="P51" s="2512"/>
      <c r="Q51" s="2043">
        <f t="shared" ref="Q51:Q52" si="26">G51+L51</f>
        <v>0</v>
      </c>
      <c r="R51" s="2043">
        <f t="shared" ref="R51:R52" si="27">H51+M51</f>
        <v>0</v>
      </c>
      <c r="S51" s="2012">
        <f>Q51+R51*1</f>
        <v>0</v>
      </c>
      <c r="T51" s="2138">
        <f>S51/$S$89</f>
        <v>0</v>
      </c>
      <c r="U51" s="2147"/>
    </row>
    <row r="52" spans="1:21" s="1569" customFormat="1" ht="24.6" customHeight="1" outlineLevel="2">
      <c r="A52" s="1568"/>
      <c r="B52" s="2559" t="s">
        <v>61</v>
      </c>
      <c r="C52" s="2558"/>
      <c r="D52" s="2502"/>
      <c r="E52" s="2571">
        <f>C52+D52</f>
        <v>0</v>
      </c>
      <c r="F52" s="2484" t="e">
        <f>E52/$E$89</f>
        <v>#DIV/0!</v>
      </c>
      <c r="G52" s="2051"/>
      <c r="H52" s="2043"/>
      <c r="I52" s="2012">
        <f>G52+H52*1</f>
        <v>0</v>
      </c>
      <c r="J52" s="2138">
        <f t="shared" si="24"/>
        <v>0</v>
      </c>
      <c r="K52" s="2046"/>
      <c r="L52" s="2051"/>
      <c r="M52" s="2043"/>
      <c r="N52" s="2012">
        <f>L52+M52*1</f>
        <v>0</v>
      </c>
      <c r="O52" s="2138">
        <f t="shared" si="25"/>
        <v>0</v>
      </c>
      <c r="P52" s="2046"/>
      <c r="Q52" s="2043">
        <f t="shared" si="26"/>
        <v>0</v>
      </c>
      <c r="R52" s="2043">
        <f t="shared" si="27"/>
        <v>0</v>
      </c>
      <c r="S52" s="2012">
        <f>Q52+R52*1</f>
        <v>0</v>
      </c>
      <c r="T52" s="2138">
        <f>S52/$S$89</f>
        <v>0</v>
      </c>
      <c r="U52" s="2147"/>
    </row>
    <row r="53" spans="1:21" ht="24.6" customHeight="1" outlineLevel="1" thickBot="1">
      <c r="A53" s="1413"/>
      <c r="B53" s="2562"/>
      <c r="C53" s="2573"/>
      <c r="D53" s="2574"/>
      <c r="E53" s="2575"/>
      <c r="F53" s="2576"/>
      <c r="G53" s="2051"/>
      <c r="H53" s="2043"/>
      <c r="I53" s="2513"/>
      <c r="J53" s="2513"/>
      <c r="K53" s="2514"/>
      <c r="L53" s="2051"/>
      <c r="M53" s="2043"/>
      <c r="N53" s="2513"/>
      <c r="O53" s="2513"/>
      <c r="P53" s="2514"/>
      <c r="Q53" s="2043"/>
      <c r="R53" s="2043"/>
      <c r="S53" s="2513"/>
      <c r="T53" s="2513"/>
      <c r="U53" s="2513"/>
    </row>
    <row r="54" spans="1:21" ht="24.6" customHeight="1" outlineLevel="1">
      <c r="A54" s="1570"/>
      <c r="B54" s="983" t="s">
        <v>1</v>
      </c>
      <c r="C54" s="2015">
        <f>SUM(C55:C71)</f>
        <v>0</v>
      </c>
      <c r="D54" s="2015">
        <f>SUM(D55:D71)</f>
        <v>0</v>
      </c>
      <c r="E54" s="1975">
        <f>SUM(E55:E71)</f>
        <v>0</v>
      </c>
      <c r="F54" s="1534" t="e">
        <f>E54/$E$89</f>
        <v>#DIV/0!</v>
      </c>
      <c r="G54" s="2015">
        <f>SUM(G55:G72)</f>
        <v>0</v>
      </c>
      <c r="H54" s="2015">
        <f>SUM(H55:H72)</f>
        <v>0</v>
      </c>
      <c r="I54" s="2015">
        <f>SUM(I55:I72)</f>
        <v>0</v>
      </c>
      <c r="J54" s="2464">
        <f t="shared" ref="J54:J71" si="28">I54/I$89</f>
        <v>0</v>
      </c>
      <c r="K54" s="1984"/>
      <c r="L54" s="2015">
        <f>SUM(L55:L72)</f>
        <v>0</v>
      </c>
      <c r="M54" s="2015">
        <f>SUM(M55:M72)</f>
        <v>0</v>
      </c>
      <c r="N54" s="2015">
        <f>SUM(N55:N72)</f>
        <v>0</v>
      </c>
      <c r="O54" s="2464">
        <f t="shared" ref="O54:O71" si="29">N54/N$89</f>
        <v>0</v>
      </c>
      <c r="P54" s="1984"/>
      <c r="Q54" s="2015">
        <f>SUM(Q55:Q72)</f>
        <v>0</v>
      </c>
      <c r="R54" s="2015">
        <f>SUM(R55:R72)</f>
        <v>0</v>
      </c>
      <c r="S54" s="2015">
        <f>SUM(S55:S72)</f>
        <v>0</v>
      </c>
      <c r="T54" s="2464">
        <f t="shared" ref="T54:T71" si="30">S54/$S$89</f>
        <v>0</v>
      </c>
      <c r="U54" s="2006"/>
    </row>
    <row r="55" spans="1:21" ht="24.6" customHeight="1" outlineLevel="2">
      <c r="A55" s="1571"/>
      <c r="B55" s="2588" t="s">
        <v>77</v>
      </c>
      <c r="C55" s="2558"/>
      <c r="D55" s="2560"/>
      <c r="E55" s="2571">
        <f>C55+D55</f>
        <v>0</v>
      </c>
      <c r="F55" s="2138" t="e">
        <f>E55/$E$89</f>
        <v>#DIV/0!</v>
      </c>
      <c r="G55" s="2011"/>
      <c r="H55" s="2045"/>
      <c r="I55" s="2012">
        <f t="shared" ref="I55:I71" si="31">G55+H55*1</f>
        <v>0</v>
      </c>
      <c r="J55" s="2138">
        <f t="shared" si="28"/>
        <v>0</v>
      </c>
      <c r="K55" s="2046"/>
      <c r="L55" s="2011"/>
      <c r="M55" s="2045"/>
      <c r="N55" s="2012">
        <f t="shared" ref="N55:N62" si="32">L55+M55*1</f>
        <v>0</v>
      </c>
      <c r="O55" s="2138">
        <f t="shared" si="29"/>
        <v>0</v>
      </c>
      <c r="P55" s="2046"/>
      <c r="Q55" s="2043">
        <f t="shared" ref="Q55:Q71" si="33">G55+L55</f>
        <v>0</v>
      </c>
      <c r="R55" s="2043">
        <f t="shared" ref="R55:R71" si="34">H55+M55</f>
        <v>0</v>
      </c>
      <c r="S55" s="2012">
        <f t="shared" ref="S55:S71" si="35">Q55+R55*1</f>
        <v>0</v>
      </c>
      <c r="T55" s="2138">
        <f t="shared" si="30"/>
        <v>0</v>
      </c>
      <c r="U55" s="2140"/>
    </row>
    <row r="56" spans="1:21" ht="24.6" customHeight="1" outlineLevel="2">
      <c r="A56" s="1571"/>
      <c r="B56" s="2588" t="s">
        <v>76</v>
      </c>
      <c r="C56" s="2558"/>
      <c r="D56" s="2560"/>
      <c r="E56" s="2571">
        <f t="shared" ref="E56:E71" si="36">C56+D56</f>
        <v>0</v>
      </c>
      <c r="F56" s="2138" t="e">
        <f t="shared" ref="F56:F72" si="37">E56/$E$89</f>
        <v>#DIV/0!</v>
      </c>
      <c r="G56" s="2011"/>
      <c r="H56" s="2045"/>
      <c r="I56" s="2012">
        <f t="shared" si="31"/>
        <v>0</v>
      </c>
      <c r="J56" s="2138">
        <f t="shared" si="28"/>
        <v>0</v>
      </c>
      <c r="K56" s="2046"/>
      <c r="L56" s="2011"/>
      <c r="M56" s="2045"/>
      <c r="N56" s="2012">
        <f t="shared" si="32"/>
        <v>0</v>
      </c>
      <c r="O56" s="2138">
        <f t="shared" si="29"/>
        <v>0</v>
      </c>
      <c r="P56" s="2046"/>
      <c r="Q56" s="2043">
        <f t="shared" si="33"/>
        <v>0</v>
      </c>
      <c r="R56" s="2043">
        <f t="shared" si="34"/>
        <v>0</v>
      </c>
      <c r="S56" s="2012">
        <f t="shared" si="35"/>
        <v>0</v>
      </c>
      <c r="T56" s="2138">
        <f t="shared" si="30"/>
        <v>0</v>
      </c>
      <c r="U56" s="2140"/>
    </row>
    <row r="57" spans="1:21" ht="24.6" customHeight="1" outlineLevel="2">
      <c r="A57" s="1571"/>
      <c r="B57" s="2588" t="s">
        <v>68</v>
      </c>
      <c r="C57" s="2558"/>
      <c r="D57" s="2560"/>
      <c r="E57" s="2571">
        <f t="shared" si="36"/>
        <v>0</v>
      </c>
      <c r="F57" s="2138" t="e">
        <f t="shared" si="37"/>
        <v>#DIV/0!</v>
      </c>
      <c r="G57" s="2011"/>
      <c r="H57" s="2045"/>
      <c r="I57" s="2012">
        <f t="shared" si="31"/>
        <v>0</v>
      </c>
      <c r="J57" s="2138">
        <f t="shared" si="28"/>
        <v>0</v>
      </c>
      <c r="K57" s="2046"/>
      <c r="L57" s="2011"/>
      <c r="M57" s="2045"/>
      <c r="N57" s="2012">
        <f t="shared" si="32"/>
        <v>0</v>
      </c>
      <c r="O57" s="2138">
        <f t="shared" si="29"/>
        <v>0</v>
      </c>
      <c r="P57" s="2046"/>
      <c r="Q57" s="2043">
        <f t="shared" si="33"/>
        <v>0</v>
      </c>
      <c r="R57" s="2043">
        <f t="shared" si="34"/>
        <v>0</v>
      </c>
      <c r="S57" s="2012">
        <f t="shared" si="35"/>
        <v>0</v>
      </c>
      <c r="T57" s="2138">
        <f t="shared" si="30"/>
        <v>0</v>
      </c>
      <c r="U57" s="2140"/>
    </row>
    <row r="58" spans="1:21" ht="24.6" customHeight="1" outlineLevel="2">
      <c r="A58" s="1571"/>
      <c r="B58" s="2588" t="s">
        <v>67</v>
      </c>
      <c r="C58" s="2558"/>
      <c r="D58" s="2560"/>
      <c r="E58" s="2571">
        <f t="shared" si="36"/>
        <v>0</v>
      </c>
      <c r="F58" s="2138" t="e">
        <f t="shared" si="37"/>
        <v>#DIV/0!</v>
      </c>
      <c r="G58" s="2011"/>
      <c r="H58" s="2045"/>
      <c r="I58" s="2012">
        <f t="shared" si="31"/>
        <v>0</v>
      </c>
      <c r="J58" s="2138">
        <f t="shared" si="28"/>
        <v>0</v>
      </c>
      <c r="K58" s="2046"/>
      <c r="L58" s="2011"/>
      <c r="M58" s="2045"/>
      <c r="N58" s="2012">
        <f t="shared" si="32"/>
        <v>0</v>
      </c>
      <c r="O58" s="2138">
        <f t="shared" si="29"/>
        <v>0</v>
      </c>
      <c r="P58" s="2046"/>
      <c r="Q58" s="2043">
        <f t="shared" si="33"/>
        <v>0</v>
      </c>
      <c r="R58" s="2043">
        <f t="shared" si="34"/>
        <v>0</v>
      </c>
      <c r="S58" s="2012">
        <f t="shared" si="35"/>
        <v>0</v>
      </c>
      <c r="T58" s="2138">
        <f t="shared" si="30"/>
        <v>0</v>
      </c>
      <c r="U58" s="2140"/>
    </row>
    <row r="59" spans="1:21" ht="24.6" customHeight="1" outlineLevel="2">
      <c r="A59" s="1571"/>
      <c r="B59" s="2588" t="s">
        <v>66</v>
      </c>
      <c r="C59" s="2558"/>
      <c r="D59" s="2560"/>
      <c r="E59" s="2571">
        <f t="shared" si="36"/>
        <v>0</v>
      </c>
      <c r="F59" s="2138" t="e">
        <f t="shared" si="37"/>
        <v>#DIV/0!</v>
      </c>
      <c r="G59" s="2011"/>
      <c r="H59" s="2045"/>
      <c r="I59" s="2012">
        <f t="shared" si="31"/>
        <v>0</v>
      </c>
      <c r="J59" s="2138">
        <f t="shared" si="28"/>
        <v>0</v>
      </c>
      <c r="K59" s="2046"/>
      <c r="L59" s="2011"/>
      <c r="M59" s="2045"/>
      <c r="N59" s="2012">
        <f t="shared" si="32"/>
        <v>0</v>
      </c>
      <c r="O59" s="2138">
        <f t="shared" si="29"/>
        <v>0</v>
      </c>
      <c r="P59" s="2046"/>
      <c r="Q59" s="2043">
        <f t="shared" si="33"/>
        <v>0</v>
      </c>
      <c r="R59" s="2043">
        <f t="shared" si="34"/>
        <v>0</v>
      </c>
      <c r="S59" s="2012">
        <f t="shared" si="35"/>
        <v>0</v>
      </c>
      <c r="T59" s="2138">
        <f t="shared" si="30"/>
        <v>0</v>
      </c>
      <c r="U59" s="2140"/>
    </row>
    <row r="60" spans="1:21" ht="24.6" customHeight="1" outlineLevel="2">
      <c r="A60" s="1571"/>
      <c r="B60" s="2588" t="s">
        <v>65</v>
      </c>
      <c r="C60" s="2558"/>
      <c r="D60" s="2560"/>
      <c r="E60" s="2571">
        <f t="shared" si="36"/>
        <v>0</v>
      </c>
      <c r="F60" s="2138" t="e">
        <f t="shared" si="37"/>
        <v>#DIV/0!</v>
      </c>
      <c r="G60" s="2011"/>
      <c r="H60" s="2045"/>
      <c r="I60" s="2012">
        <f t="shared" si="31"/>
        <v>0</v>
      </c>
      <c r="J60" s="2138">
        <f t="shared" si="28"/>
        <v>0</v>
      </c>
      <c r="K60" s="2046"/>
      <c r="L60" s="2011"/>
      <c r="M60" s="2045"/>
      <c r="N60" s="2012">
        <f t="shared" si="32"/>
        <v>0</v>
      </c>
      <c r="O60" s="2138">
        <f t="shared" si="29"/>
        <v>0</v>
      </c>
      <c r="P60" s="2046"/>
      <c r="Q60" s="2043">
        <f t="shared" si="33"/>
        <v>0</v>
      </c>
      <c r="R60" s="2043">
        <f t="shared" si="34"/>
        <v>0</v>
      </c>
      <c r="S60" s="2012">
        <f t="shared" si="35"/>
        <v>0</v>
      </c>
      <c r="T60" s="2138">
        <f t="shared" si="30"/>
        <v>0</v>
      </c>
      <c r="U60" s="2140"/>
    </row>
    <row r="61" spans="1:21" ht="24.6" customHeight="1" outlineLevel="2">
      <c r="A61" s="1571"/>
      <c r="B61" s="2588" t="s">
        <v>32</v>
      </c>
      <c r="C61" s="2558"/>
      <c r="D61" s="2560"/>
      <c r="E61" s="2571">
        <f t="shared" si="36"/>
        <v>0</v>
      </c>
      <c r="F61" s="2138" t="e">
        <f t="shared" si="37"/>
        <v>#DIV/0!</v>
      </c>
      <c r="G61" s="2011"/>
      <c r="H61" s="2045"/>
      <c r="I61" s="2012">
        <f t="shared" si="31"/>
        <v>0</v>
      </c>
      <c r="J61" s="2138">
        <f t="shared" si="28"/>
        <v>0</v>
      </c>
      <c r="K61" s="2046"/>
      <c r="L61" s="2011"/>
      <c r="M61" s="2045"/>
      <c r="N61" s="2012">
        <f t="shared" si="32"/>
        <v>0</v>
      </c>
      <c r="O61" s="2138">
        <f t="shared" si="29"/>
        <v>0</v>
      </c>
      <c r="P61" s="2046"/>
      <c r="Q61" s="2043">
        <f t="shared" si="33"/>
        <v>0</v>
      </c>
      <c r="R61" s="2043">
        <f t="shared" si="34"/>
        <v>0</v>
      </c>
      <c r="S61" s="2012">
        <f t="shared" si="35"/>
        <v>0</v>
      </c>
      <c r="T61" s="2138">
        <f t="shared" si="30"/>
        <v>0</v>
      </c>
      <c r="U61" s="2140"/>
    </row>
    <row r="62" spans="1:21" ht="24.6" customHeight="1" outlineLevel="2">
      <c r="A62" s="1571"/>
      <c r="B62" s="2588" t="s">
        <v>33</v>
      </c>
      <c r="C62" s="2558"/>
      <c r="D62" s="2560"/>
      <c r="E62" s="2571">
        <f t="shared" si="36"/>
        <v>0</v>
      </c>
      <c r="F62" s="2138" t="e">
        <f t="shared" si="37"/>
        <v>#DIV/0!</v>
      </c>
      <c r="G62" s="2011"/>
      <c r="H62" s="2045"/>
      <c r="I62" s="2012">
        <f t="shared" si="31"/>
        <v>0</v>
      </c>
      <c r="J62" s="2138">
        <f t="shared" si="28"/>
        <v>0</v>
      </c>
      <c r="K62" s="2046"/>
      <c r="L62" s="2011"/>
      <c r="M62" s="2045"/>
      <c r="N62" s="2012">
        <f t="shared" si="32"/>
        <v>0</v>
      </c>
      <c r="O62" s="2138">
        <f t="shared" si="29"/>
        <v>0</v>
      </c>
      <c r="P62" s="2046"/>
      <c r="Q62" s="2043">
        <f t="shared" si="33"/>
        <v>0</v>
      </c>
      <c r="R62" s="2043">
        <f t="shared" si="34"/>
        <v>0</v>
      </c>
      <c r="S62" s="2012">
        <f t="shared" si="35"/>
        <v>0</v>
      </c>
      <c r="T62" s="2138">
        <f t="shared" si="30"/>
        <v>0</v>
      </c>
      <c r="U62" s="2140"/>
    </row>
    <row r="63" spans="1:21" ht="24.6" customHeight="1" outlineLevel="2">
      <c r="A63" s="1571"/>
      <c r="B63" s="2588" t="s">
        <v>35</v>
      </c>
      <c r="C63" s="2558"/>
      <c r="D63" s="2560"/>
      <c r="E63" s="2571">
        <f t="shared" si="36"/>
        <v>0</v>
      </c>
      <c r="F63" s="2138" t="e">
        <f t="shared" si="37"/>
        <v>#DIV/0!</v>
      </c>
      <c r="G63" s="2011"/>
      <c r="H63" s="1951"/>
      <c r="I63" s="2012">
        <f t="shared" si="31"/>
        <v>0</v>
      </c>
      <c r="J63" s="2138">
        <f t="shared" si="28"/>
        <v>0</v>
      </c>
      <c r="K63" s="2046"/>
      <c r="L63" s="2011"/>
      <c r="M63" s="1951"/>
      <c r="N63" s="2012">
        <f>L63+M63*1</f>
        <v>0</v>
      </c>
      <c r="O63" s="2138">
        <f t="shared" si="29"/>
        <v>0</v>
      </c>
      <c r="P63" s="2046"/>
      <c r="Q63" s="2043">
        <f t="shared" si="33"/>
        <v>0</v>
      </c>
      <c r="R63" s="2043">
        <f t="shared" si="34"/>
        <v>0</v>
      </c>
      <c r="S63" s="2012">
        <f t="shared" si="35"/>
        <v>0</v>
      </c>
      <c r="T63" s="2138">
        <f t="shared" si="30"/>
        <v>0</v>
      </c>
      <c r="U63" s="2140"/>
    </row>
    <row r="64" spans="1:21" ht="24.6" customHeight="1" outlineLevel="2">
      <c r="A64" s="1571"/>
      <c r="B64" s="2588" t="s">
        <v>63</v>
      </c>
      <c r="C64" s="2558"/>
      <c r="D64" s="2560"/>
      <c r="E64" s="2571">
        <f t="shared" si="36"/>
        <v>0</v>
      </c>
      <c r="F64" s="2138" t="e">
        <f t="shared" si="37"/>
        <v>#DIV/0!</v>
      </c>
      <c r="G64" s="2011"/>
      <c r="H64" s="2045"/>
      <c r="I64" s="2012">
        <f t="shared" si="31"/>
        <v>0</v>
      </c>
      <c r="J64" s="2138">
        <f t="shared" si="28"/>
        <v>0</v>
      </c>
      <c r="K64" s="2046"/>
      <c r="L64" s="2011"/>
      <c r="M64" s="2045"/>
      <c r="N64" s="2012">
        <f>L64+M64*1</f>
        <v>0</v>
      </c>
      <c r="O64" s="2138">
        <f t="shared" si="29"/>
        <v>0</v>
      </c>
      <c r="P64" s="2046"/>
      <c r="Q64" s="2043">
        <f t="shared" si="33"/>
        <v>0</v>
      </c>
      <c r="R64" s="2043">
        <f t="shared" si="34"/>
        <v>0</v>
      </c>
      <c r="S64" s="2012">
        <f t="shared" si="35"/>
        <v>0</v>
      </c>
      <c r="T64" s="2138">
        <f t="shared" si="30"/>
        <v>0</v>
      </c>
      <c r="U64" s="2140"/>
    </row>
    <row r="65" spans="1:23" ht="24.6" customHeight="1" outlineLevel="2">
      <c r="A65" s="1571"/>
      <c r="B65" s="2588" t="s">
        <v>36</v>
      </c>
      <c r="C65" s="2558"/>
      <c r="D65" s="2560"/>
      <c r="E65" s="2571">
        <f t="shared" si="36"/>
        <v>0</v>
      </c>
      <c r="F65" s="2138" t="e">
        <f t="shared" si="37"/>
        <v>#DIV/0!</v>
      </c>
      <c r="G65" s="2011"/>
      <c r="H65" s="2045"/>
      <c r="I65" s="2012">
        <f t="shared" si="31"/>
        <v>0</v>
      </c>
      <c r="J65" s="2138">
        <f t="shared" si="28"/>
        <v>0</v>
      </c>
      <c r="K65" s="2046"/>
      <c r="L65" s="2045"/>
      <c r="M65" s="2045"/>
      <c r="N65" s="2012">
        <f t="shared" ref="N65:N71" si="38">L65+M65*1</f>
        <v>0</v>
      </c>
      <c r="O65" s="2138">
        <f t="shared" si="29"/>
        <v>0</v>
      </c>
      <c r="P65" s="2046"/>
      <c r="Q65" s="2043">
        <f t="shared" si="33"/>
        <v>0</v>
      </c>
      <c r="R65" s="2043">
        <f t="shared" si="34"/>
        <v>0</v>
      </c>
      <c r="S65" s="2012">
        <f t="shared" si="35"/>
        <v>0</v>
      </c>
      <c r="T65" s="2138">
        <f t="shared" si="30"/>
        <v>0</v>
      </c>
      <c r="U65" s="2140"/>
    </row>
    <row r="66" spans="1:23" s="1396" customFormat="1" ht="24.6" customHeight="1" outlineLevel="2">
      <c r="A66" s="1571"/>
      <c r="B66" s="2588" t="s">
        <v>37</v>
      </c>
      <c r="C66" s="2558"/>
      <c r="D66" s="2560"/>
      <c r="E66" s="2571">
        <f t="shared" si="36"/>
        <v>0</v>
      </c>
      <c r="F66" s="2138" t="e">
        <f t="shared" si="37"/>
        <v>#DIV/0!</v>
      </c>
      <c r="G66" s="2011"/>
      <c r="H66" s="2043"/>
      <c r="I66" s="2012">
        <f t="shared" si="31"/>
        <v>0</v>
      </c>
      <c r="J66" s="2138">
        <f t="shared" si="28"/>
        <v>0</v>
      </c>
      <c r="K66" s="2046"/>
      <c r="L66" s="2011"/>
      <c r="M66" s="2043"/>
      <c r="N66" s="2012">
        <f t="shared" si="38"/>
        <v>0</v>
      </c>
      <c r="O66" s="2138">
        <f t="shared" si="29"/>
        <v>0</v>
      </c>
      <c r="P66" s="2046"/>
      <c r="Q66" s="2043">
        <f t="shared" si="33"/>
        <v>0</v>
      </c>
      <c r="R66" s="2043">
        <f t="shared" si="34"/>
        <v>0</v>
      </c>
      <c r="S66" s="2012">
        <f t="shared" si="35"/>
        <v>0</v>
      </c>
      <c r="T66" s="2138">
        <f t="shared" si="30"/>
        <v>0</v>
      </c>
      <c r="U66" s="2140"/>
    </row>
    <row r="67" spans="1:23" s="1396" customFormat="1" ht="24.6" customHeight="1" outlineLevel="2">
      <c r="A67" s="1571"/>
      <c r="B67" s="2588" t="s">
        <v>3</v>
      </c>
      <c r="C67" s="2558"/>
      <c r="D67" s="2560"/>
      <c r="E67" s="2571">
        <f t="shared" si="36"/>
        <v>0</v>
      </c>
      <c r="F67" s="2138" t="e">
        <f t="shared" si="37"/>
        <v>#DIV/0!</v>
      </c>
      <c r="G67" s="2011"/>
      <c r="H67" s="2011"/>
      <c r="I67" s="2012">
        <f t="shared" si="31"/>
        <v>0</v>
      </c>
      <c r="J67" s="2138">
        <f t="shared" si="28"/>
        <v>0</v>
      </c>
      <c r="K67" s="2046"/>
      <c r="L67" s="2011"/>
      <c r="M67" s="2011"/>
      <c r="N67" s="2012">
        <f t="shared" si="38"/>
        <v>0</v>
      </c>
      <c r="O67" s="2138">
        <f t="shared" si="29"/>
        <v>0</v>
      </c>
      <c r="P67" s="2046"/>
      <c r="Q67" s="2043">
        <f t="shared" si="33"/>
        <v>0</v>
      </c>
      <c r="R67" s="2043">
        <f t="shared" si="34"/>
        <v>0</v>
      </c>
      <c r="S67" s="2012">
        <f t="shared" si="35"/>
        <v>0</v>
      </c>
      <c r="T67" s="2138">
        <f t="shared" si="30"/>
        <v>0</v>
      </c>
      <c r="U67" s="2140"/>
    </row>
    <row r="68" spans="1:23" s="1396" customFormat="1" ht="24.6" customHeight="1" outlineLevel="2">
      <c r="A68" s="1571"/>
      <c r="B68" s="2588" t="s">
        <v>5</v>
      </c>
      <c r="C68" s="2558"/>
      <c r="D68" s="2560"/>
      <c r="E68" s="2571">
        <f t="shared" si="36"/>
        <v>0</v>
      </c>
      <c r="F68" s="2138" t="e">
        <f t="shared" si="37"/>
        <v>#DIV/0!</v>
      </c>
      <c r="G68" s="2011"/>
      <c r="H68" s="2043"/>
      <c r="I68" s="2012">
        <f t="shared" si="31"/>
        <v>0</v>
      </c>
      <c r="J68" s="2138">
        <f t="shared" si="28"/>
        <v>0</v>
      </c>
      <c r="K68" s="2046"/>
      <c r="L68" s="2043"/>
      <c r="M68" s="2043"/>
      <c r="N68" s="2012">
        <f t="shared" si="38"/>
        <v>0</v>
      </c>
      <c r="O68" s="2138">
        <f t="shared" si="29"/>
        <v>0</v>
      </c>
      <c r="P68" s="2046"/>
      <c r="Q68" s="2043">
        <f t="shared" si="33"/>
        <v>0</v>
      </c>
      <c r="R68" s="2043">
        <f t="shared" si="34"/>
        <v>0</v>
      </c>
      <c r="S68" s="2012">
        <f t="shared" si="35"/>
        <v>0</v>
      </c>
      <c r="T68" s="2138">
        <f t="shared" si="30"/>
        <v>0</v>
      </c>
      <c r="U68" s="2140"/>
    </row>
    <row r="69" spans="1:23" s="1396" customFormat="1" ht="24.6" customHeight="1" outlineLevel="2">
      <c r="A69" s="1571"/>
      <c r="B69" s="2588" t="s">
        <v>42</v>
      </c>
      <c r="C69" s="2558"/>
      <c r="D69" s="2560"/>
      <c r="E69" s="2571">
        <f t="shared" si="36"/>
        <v>0</v>
      </c>
      <c r="F69" s="2138" t="e">
        <f t="shared" si="37"/>
        <v>#DIV/0!</v>
      </c>
      <c r="G69" s="2011"/>
      <c r="H69" s="2043"/>
      <c r="I69" s="2012">
        <f t="shared" si="31"/>
        <v>0</v>
      </c>
      <c r="J69" s="2138">
        <f t="shared" si="28"/>
        <v>0</v>
      </c>
      <c r="K69" s="2485"/>
      <c r="L69" s="2011"/>
      <c r="M69" s="2043"/>
      <c r="N69" s="2012">
        <f t="shared" si="38"/>
        <v>0</v>
      </c>
      <c r="O69" s="2138">
        <f t="shared" si="29"/>
        <v>0</v>
      </c>
      <c r="P69" s="2485"/>
      <c r="Q69" s="2043">
        <f t="shared" si="33"/>
        <v>0</v>
      </c>
      <c r="R69" s="2043">
        <f t="shared" si="34"/>
        <v>0</v>
      </c>
      <c r="S69" s="2012">
        <f t="shared" si="35"/>
        <v>0</v>
      </c>
      <c r="T69" s="2138">
        <f t="shared" si="30"/>
        <v>0</v>
      </c>
      <c r="U69" s="2140"/>
    </row>
    <row r="70" spans="1:23" s="1396" customFormat="1" ht="24.6" customHeight="1" outlineLevel="2">
      <c r="A70" s="1571"/>
      <c r="B70" s="2588" t="s">
        <v>6</v>
      </c>
      <c r="C70" s="2577"/>
      <c r="D70" s="2560"/>
      <c r="E70" s="2571">
        <f t="shared" si="36"/>
        <v>0</v>
      </c>
      <c r="F70" s="2138" t="e">
        <f t="shared" si="37"/>
        <v>#DIV/0!</v>
      </c>
      <c r="G70" s="2011"/>
      <c r="H70" s="2051"/>
      <c r="I70" s="2012">
        <f t="shared" si="31"/>
        <v>0</v>
      </c>
      <c r="J70" s="2138">
        <f t="shared" si="28"/>
        <v>0</v>
      </c>
      <c r="K70" s="2046"/>
      <c r="L70" s="2011"/>
      <c r="M70" s="2051"/>
      <c r="N70" s="2012">
        <f t="shared" si="38"/>
        <v>0</v>
      </c>
      <c r="O70" s="2138">
        <f t="shared" si="29"/>
        <v>0</v>
      </c>
      <c r="P70" s="2046"/>
      <c r="Q70" s="2043">
        <f t="shared" si="33"/>
        <v>0</v>
      </c>
      <c r="R70" s="2043">
        <f t="shared" si="34"/>
        <v>0</v>
      </c>
      <c r="S70" s="2012">
        <f t="shared" si="35"/>
        <v>0</v>
      </c>
      <c r="T70" s="2138">
        <f>S70/$S$89</f>
        <v>0</v>
      </c>
      <c r="U70" s="2140"/>
    </row>
    <row r="71" spans="1:23" s="1396" customFormat="1" ht="24.6" customHeight="1" outlineLevel="2">
      <c r="A71" s="1571"/>
      <c r="B71" s="2588" t="s">
        <v>235</v>
      </c>
      <c r="C71" s="2577"/>
      <c r="D71" s="2560"/>
      <c r="E71" s="2571">
        <f t="shared" si="36"/>
        <v>0</v>
      </c>
      <c r="F71" s="2017" t="e">
        <f t="shared" si="37"/>
        <v>#DIV/0!</v>
      </c>
      <c r="G71" s="2051"/>
      <c r="H71" s="2043"/>
      <c r="I71" s="2012">
        <f t="shared" si="31"/>
        <v>0</v>
      </c>
      <c r="J71" s="2138">
        <f t="shared" si="28"/>
        <v>0</v>
      </c>
      <c r="K71" s="2046"/>
      <c r="L71" s="2051"/>
      <c r="M71" s="2043"/>
      <c r="N71" s="2012">
        <f t="shared" si="38"/>
        <v>0</v>
      </c>
      <c r="O71" s="2138">
        <f t="shared" si="29"/>
        <v>0</v>
      </c>
      <c r="P71" s="2046"/>
      <c r="Q71" s="2043">
        <f t="shared" si="33"/>
        <v>0</v>
      </c>
      <c r="R71" s="2043">
        <f t="shared" si="34"/>
        <v>0</v>
      </c>
      <c r="S71" s="2012">
        <f t="shared" si="35"/>
        <v>0</v>
      </c>
      <c r="T71" s="2138">
        <f t="shared" si="30"/>
        <v>0</v>
      </c>
      <c r="U71" s="2140"/>
    </row>
    <row r="72" spans="1:23" s="1396" customFormat="1" ht="24.6" customHeight="1" outlineLevel="2" thickBot="1">
      <c r="A72" s="1571"/>
      <c r="B72" s="2597"/>
      <c r="C72" s="2488"/>
      <c r="D72" s="2489"/>
      <c r="E72" s="2571"/>
      <c r="F72" s="2017" t="e">
        <f t="shared" si="37"/>
        <v>#DIV/0!</v>
      </c>
      <c r="G72" s="2029"/>
      <c r="H72" s="2027"/>
      <c r="I72" s="2030"/>
      <c r="J72" s="2017"/>
      <c r="K72" s="1990"/>
      <c r="L72" s="2029"/>
      <c r="M72" s="2027"/>
      <c r="N72" s="2030"/>
      <c r="O72" s="2017"/>
      <c r="P72" s="1990"/>
      <c r="Q72" s="2043"/>
      <c r="R72" s="2043"/>
      <c r="S72" s="2030"/>
      <c r="T72" s="2017">
        <f>S72/$S$89</f>
        <v>0</v>
      </c>
      <c r="U72" s="1928"/>
    </row>
    <row r="73" spans="1:23" s="1396" customFormat="1" ht="14.4" customHeight="1" outlineLevel="1" thickBot="1">
      <c r="A73" s="1571"/>
      <c r="B73" s="986" t="s">
        <v>4</v>
      </c>
      <c r="C73" s="1584">
        <f>C74</f>
        <v>0</v>
      </c>
      <c r="D73" s="843">
        <f>D74</f>
        <v>0</v>
      </c>
      <c r="E73" s="1584">
        <f>E74</f>
        <v>0</v>
      </c>
      <c r="F73" s="838" t="e">
        <f>E73/$E$89</f>
        <v>#DIV/0!</v>
      </c>
      <c r="G73" s="1584">
        <f>G74</f>
        <v>0</v>
      </c>
      <c r="H73" s="1584">
        <f>H74</f>
        <v>0</v>
      </c>
      <c r="I73" s="1688">
        <f>I74</f>
        <v>0</v>
      </c>
      <c r="J73" s="1689">
        <f t="shared" ref="J73:J74" si="39">I73/I$89</f>
        <v>0</v>
      </c>
      <c r="K73" s="1732"/>
      <c r="L73" s="1584">
        <f>L74</f>
        <v>0</v>
      </c>
      <c r="M73" s="1584">
        <f>M74</f>
        <v>0</v>
      </c>
      <c r="N73" s="1688">
        <f>N74</f>
        <v>0</v>
      </c>
      <c r="O73" s="1689">
        <f t="shared" ref="O73:O74" si="40">N73/N$89</f>
        <v>0</v>
      </c>
      <c r="P73" s="1732"/>
      <c r="Q73" s="1584">
        <f>Q74</f>
        <v>0</v>
      </c>
      <c r="R73" s="1689">
        <f>R74</f>
        <v>0</v>
      </c>
      <c r="S73" s="1688">
        <f>S74</f>
        <v>0</v>
      </c>
      <c r="T73" s="1689"/>
      <c r="U73" s="1689"/>
    </row>
    <row r="74" spans="1:23" s="1396" customFormat="1" ht="14.4" customHeight="1" outlineLevel="1" thickBot="1">
      <c r="A74" s="1413"/>
      <c r="B74" s="985" t="s">
        <v>64</v>
      </c>
      <c r="C74" s="304"/>
      <c r="D74" s="305"/>
      <c r="E74" s="306">
        <f>C74+D74</f>
        <v>0</v>
      </c>
      <c r="F74" s="307"/>
      <c r="G74" s="2028"/>
      <c r="H74" s="2025"/>
      <c r="I74" s="1628">
        <f>G74+H74*1</f>
        <v>0</v>
      </c>
      <c r="J74" s="1664">
        <f t="shared" si="39"/>
        <v>0</v>
      </c>
      <c r="K74" s="1675"/>
      <c r="L74" s="2028"/>
      <c r="M74" s="2025"/>
      <c r="N74" s="1628">
        <f>L74+M74*1</f>
        <v>0</v>
      </c>
      <c r="O74" s="1664">
        <f t="shared" si="40"/>
        <v>0</v>
      </c>
      <c r="P74" s="1675"/>
      <c r="Q74" s="2043">
        <f>G74+L74</f>
        <v>0</v>
      </c>
      <c r="R74" s="2043">
        <f>H74+M74</f>
        <v>0</v>
      </c>
      <c r="S74" s="1628">
        <f>Q74+R74*1</f>
        <v>0</v>
      </c>
      <c r="T74" s="1664">
        <f>S74/$S$89</f>
        <v>0</v>
      </c>
      <c r="U74" s="1648"/>
    </row>
    <row r="75" spans="1:23" s="1396" customFormat="1" ht="14.4" customHeight="1" thickBot="1">
      <c r="A75" s="1399"/>
      <c r="B75" s="971" t="s">
        <v>48</v>
      </c>
      <c r="C75" s="1958">
        <f>C38-C41-C50-C54</f>
        <v>0</v>
      </c>
      <c r="D75" s="1958">
        <f>D38-D41-D50-D54</f>
        <v>0</v>
      </c>
      <c r="E75" s="1508">
        <f>E38-E41-E50-E54</f>
        <v>0</v>
      </c>
      <c r="F75" s="1536"/>
      <c r="G75" s="1450">
        <f>G38-G41-G50-G54</f>
        <v>-37527.199999999997</v>
      </c>
      <c r="H75" s="1450">
        <f>H38-H41-H50-H54</f>
        <v>0</v>
      </c>
      <c r="I75" s="1508">
        <f>I38-I41-I50-I54</f>
        <v>-37527.199999999997</v>
      </c>
      <c r="J75" s="1953"/>
      <c r="K75" s="1660"/>
      <c r="L75" s="1450">
        <f>L38-L41-L50-L54</f>
        <v>276715.52999999997</v>
      </c>
      <c r="M75" s="1450">
        <f>M38-M41-M50-M54</f>
        <v>-74675</v>
      </c>
      <c r="N75" s="1508">
        <f>N38-N41-N50-N54</f>
        <v>202040.53</v>
      </c>
      <c r="O75" s="1953"/>
      <c r="P75" s="1660"/>
      <c r="Q75" s="1450">
        <f>Q38-Q41-Q50-Q54</f>
        <v>239188.33</v>
      </c>
      <c r="R75" s="1450">
        <f>R38-R41-R50-R54</f>
        <v>-74675</v>
      </c>
      <c r="S75" s="1508">
        <f>S38-S41-S50-S54</f>
        <v>164513.32999999999</v>
      </c>
      <c r="T75" s="1953"/>
      <c r="U75" s="1953"/>
    </row>
    <row r="76" spans="1:23" s="1396" customFormat="1" ht="14.4" customHeight="1">
      <c r="A76" s="1566"/>
      <c r="B76" s="972" t="s">
        <v>49</v>
      </c>
      <c r="C76" s="1525" t="e">
        <f>C75/C5</f>
        <v>#DIV/0!</v>
      </c>
      <c r="D76" s="1525" t="e">
        <f>D75/D5</f>
        <v>#DIV/0!</v>
      </c>
      <c r="E76" s="1526" t="e">
        <f>E75/E5</f>
        <v>#DIV/0!</v>
      </c>
      <c r="F76" s="1531"/>
      <c r="G76" s="2003" t="e">
        <f>G75/G5</f>
        <v>#DIV/0!</v>
      </c>
      <c r="H76" s="2003" t="e">
        <f>H75/H5</f>
        <v>#DIV/0!</v>
      </c>
      <c r="I76" s="2004" t="e">
        <f>I75/I5</f>
        <v>#DIV/0!</v>
      </c>
      <c r="J76" s="2004"/>
      <c r="K76" s="1661"/>
      <c r="L76" s="2003">
        <f>L75/L5</f>
        <v>0.99833110919184775</v>
      </c>
      <c r="M76" s="2003" t="e">
        <f>M75/M5</f>
        <v>#DIV/0!</v>
      </c>
      <c r="N76" s="2004">
        <f>N75/N5</f>
        <v>0.72891950233732383</v>
      </c>
      <c r="O76" s="2004"/>
      <c r="P76" s="1661"/>
      <c r="Q76" s="2003">
        <f>Q75/Q5</f>
        <v>0.86294090828456838</v>
      </c>
      <c r="R76" s="2003" t="e">
        <f>R75/R5</f>
        <v>#DIV/0!</v>
      </c>
      <c r="S76" s="2004">
        <f>S75/S5</f>
        <v>0.59352930143004434</v>
      </c>
      <c r="T76" s="2004"/>
      <c r="U76" s="2004"/>
    </row>
    <row r="77" spans="1:23" s="1396" customFormat="1" ht="14.4" customHeight="1" outlineLevel="1" thickBot="1">
      <c r="A77" s="1566"/>
      <c r="B77" s="2598" t="s">
        <v>9</v>
      </c>
      <c r="C77" s="2515">
        <f>C78-C79</f>
        <v>0</v>
      </c>
      <c r="D77" s="2515">
        <f>D78-D79</f>
        <v>0</v>
      </c>
      <c r="E77" s="2516">
        <f>E78-E79</f>
        <v>0</v>
      </c>
      <c r="F77" s="2547"/>
      <c r="G77" s="2515">
        <f>G78-G79</f>
        <v>0</v>
      </c>
      <c r="H77" s="2515">
        <f>H78-H79</f>
        <v>0</v>
      </c>
      <c r="I77" s="2516">
        <f>I78-I79</f>
        <v>-3047.4</v>
      </c>
      <c r="J77" s="2517"/>
      <c r="K77" s="2518"/>
      <c r="L77" s="2515">
        <f>L78-L79</f>
        <v>0</v>
      </c>
      <c r="M77" s="2515">
        <f>M78-M79</f>
        <v>0</v>
      </c>
      <c r="N77" s="2516">
        <f>N78-N79</f>
        <v>-5913.6</v>
      </c>
      <c r="O77" s="2517">
        <f t="shared" ref="O77" si="41">N77/N$89</f>
        <v>-7.2961306670674006E-2</v>
      </c>
      <c r="P77" s="2518"/>
      <c r="Q77" s="2515">
        <f>Q78-Q79</f>
        <v>0</v>
      </c>
      <c r="R77" s="2515">
        <f>R79</f>
        <v>0</v>
      </c>
      <c r="S77" s="2516">
        <f>S78-S79</f>
        <v>-8961</v>
      </c>
      <c r="T77" s="2517"/>
      <c r="U77" s="2517"/>
    </row>
    <row r="78" spans="1:23" s="1396" customFormat="1" ht="14.4" customHeight="1" outlineLevel="2">
      <c r="A78" s="1405"/>
      <c r="B78" s="1622" t="s">
        <v>43</v>
      </c>
      <c r="C78" s="1510"/>
      <c r="D78" s="1511"/>
      <c r="E78" s="2502">
        <f>C78+D78*1.15</f>
        <v>0</v>
      </c>
      <c r="F78" s="1547"/>
      <c r="G78" s="2051"/>
      <c r="H78" s="2043"/>
      <c r="I78" s="1452">
        <f>G78+H78*1.15</f>
        <v>0</v>
      </c>
      <c r="J78" s="2138"/>
      <c r="K78" s="1662"/>
      <c r="L78" s="1618"/>
      <c r="M78" s="1674"/>
      <c r="N78" s="1452">
        <f>L78+M78*1.15</f>
        <v>0</v>
      </c>
      <c r="O78" s="2138" t="e">
        <f>N78/$AN$89</f>
        <v>#DIV/0!</v>
      </c>
      <c r="P78" s="1662"/>
      <c r="Q78" s="2043">
        <f t="shared" ref="Q78:Q79" si="42">G78+L78</f>
        <v>0</v>
      </c>
      <c r="R78" s="2043">
        <f t="shared" ref="R78:R79" si="43">H78+M78</f>
        <v>0</v>
      </c>
      <c r="S78" s="2012">
        <f>Q78+R78*1</f>
        <v>0</v>
      </c>
      <c r="T78" s="1452"/>
      <c r="U78" s="1452"/>
    </row>
    <row r="79" spans="1:23" s="1396" customFormat="1" ht="14.4" customHeight="1" outlineLevel="2">
      <c r="A79" s="1405"/>
      <c r="B79" s="2557" t="s">
        <v>79</v>
      </c>
      <c r="C79" s="2790"/>
      <c r="D79" s="2805"/>
      <c r="E79" s="2805">
        <f>C79+D79</f>
        <v>0</v>
      </c>
      <c r="F79" s="2810" t="e">
        <f>E79/$E$89</f>
        <v>#DIV/0!</v>
      </c>
      <c r="G79" s="2051"/>
      <c r="H79" s="2043">
        <v>0</v>
      </c>
      <c r="I79" s="3081">
        <v>3047.4</v>
      </c>
      <c r="J79" s="2788">
        <f>I79/I$89</f>
        <v>7.5106100861129871E-2</v>
      </c>
      <c r="K79" s="2811"/>
      <c r="L79" s="1618"/>
      <c r="M79" s="1674"/>
      <c r="N79" s="3081">
        <v>5913.6</v>
      </c>
      <c r="O79" s="2788">
        <f t="shared" ref="O79" si="44">N79/N$89</f>
        <v>7.2961306670674006E-2</v>
      </c>
      <c r="P79" s="2633" t="s">
        <v>1419</v>
      </c>
      <c r="Q79" s="2043">
        <f t="shared" si="42"/>
        <v>0</v>
      </c>
      <c r="R79" s="2043">
        <f t="shared" si="43"/>
        <v>0</v>
      </c>
      <c r="S79" s="2043">
        <f>I79+N79</f>
        <v>8961</v>
      </c>
      <c r="T79" s="2147"/>
      <c r="U79" s="2147"/>
      <c r="V79" s="3143">
        <v>8961</v>
      </c>
      <c r="W79" s="3143">
        <f>V79-S79</f>
        <v>0</v>
      </c>
    </row>
    <row r="80" spans="1:23" ht="14.4" customHeight="1" outlineLevel="2">
      <c r="A80" s="1397"/>
      <c r="B80" s="2599"/>
      <c r="C80" s="2582"/>
      <c r="D80" s="2583"/>
      <c r="E80" s="2491"/>
      <c r="F80" s="2492"/>
      <c r="G80" s="2051"/>
      <c r="H80" s="2043"/>
      <c r="I80" s="2465"/>
      <c r="J80" s="2465"/>
      <c r="K80" s="2519"/>
      <c r="L80" s="2051"/>
      <c r="M80" s="2043"/>
      <c r="N80" s="2465"/>
      <c r="O80" s="2465"/>
      <c r="P80" s="2519"/>
      <c r="Q80" s="2043"/>
      <c r="R80" s="2043"/>
      <c r="S80" s="2465"/>
      <c r="T80" s="2465"/>
      <c r="U80" s="2465"/>
    </row>
    <row r="81" spans="1:21" s="1396" customFormat="1" ht="14.4" customHeight="1" outlineLevel="1" thickBot="1">
      <c r="A81" s="1419"/>
      <c r="B81" s="2598" t="s">
        <v>12</v>
      </c>
      <c r="C81" s="2515">
        <f>(C75+C78)-C79</f>
        <v>0</v>
      </c>
      <c r="D81" s="2515">
        <f>(D75+D78)-D79</f>
        <v>0</v>
      </c>
      <c r="E81" s="2516">
        <f>(E75+E78)-E79</f>
        <v>0</v>
      </c>
      <c r="F81" s="2547"/>
      <c r="G81" s="2515">
        <f>(G75+G78)-G79</f>
        <v>-37527.199999999997</v>
      </c>
      <c r="H81" s="2515">
        <f>(H75+H78)-H79</f>
        <v>0</v>
      </c>
      <c r="I81" s="2516">
        <f>(I75+I78)-I79</f>
        <v>-40574.6</v>
      </c>
      <c r="J81" s="2517"/>
      <c r="K81" s="2518"/>
      <c r="L81" s="2515">
        <f>(L75+L78)-L79</f>
        <v>276715.52999999997</v>
      </c>
      <c r="M81" s="2515">
        <f>(M75+M78)-M79</f>
        <v>-74675</v>
      </c>
      <c r="N81" s="2516">
        <f>(N75+N78)-N79</f>
        <v>196126.93</v>
      </c>
      <c r="O81" s="2517"/>
      <c r="P81" s="2518"/>
      <c r="Q81" s="2516">
        <f>(Q75+Q78)-Q79</f>
        <v>239188.33</v>
      </c>
      <c r="R81" s="2516">
        <f>(R75+R78)-R79</f>
        <v>-74675</v>
      </c>
      <c r="S81" s="2516">
        <f>(S75+S78)-S79</f>
        <v>155552.32999999999</v>
      </c>
      <c r="T81" s="2517"/>
      <c r="U81" s="2517"/>
    </row>
    <row r="82" spans="1:21" s="1396" customFormat="1" ht="14.4" customHeight="1" outlineLevel="2">
      <c r="A82" s="1565"/>
      <c r="B82" s="1622" t="s">
        <v>38</v>
      </c>
      <c r="C82" s="1510"/>
      <c r="D82" s="1511"/>
      <c r="E82" s="1515">
        <f>C82+D82</f>
        <v>0</v>
      </c>
      <c r="F82" s="2484" t="e">
        <f>E82/$E$89</f>
        <v>#DIV/0!</v>
      </c>
      <c r="G82" s="2051"/>
      <c r="H82" s="2043"/>
      <c r="I82" s="1515">
        <f>G82+H82</f>
        <v>0</v>
      </c>
      <c r="J82" s="1476"/>
      <c r="K82" s="2046"/>
      <c r="L82" s="2051"/>
      <c r="M82" s="2043"/>
      <c r="N82" s="1515">
        <f>L82+M82</f>
        <v>0</v>
      </c>
      <c r="O82" s="1476"/>
      <c r="P82" s="2046"/>
      <c r="Q82" s="2043">
        <f>G82+L82</f>
        <v>0</v>
      </c>
      <c r="R82" s="2043">
        <f>H82+M82</f>
        <v>0</v>
      </c>
      <c r="S82" s="1515">
        <f>Q82+R82</f>
        <v>0</v>
      </c>
      <c r="T82" s="1476"/>
      <c r="U82" s="1476"/>
    </row>
    <row r="83" spans="1:21" s="1396" customFormat="1" ht="14.4" customHeight="1" outlineLevel="1">
      <c r="A83" s="1405"/>
      <c r="B83" s="2600" t="s">
        <v>13</v>
      </c>
      <c r="C83" s="2520">
        <f t="shared" ref="C83:E83" si="45">(C81)-C36</f>
        <v>0</v>
      </c>
      <c r="D83" s="2520">
        <f t="shared" si="45"/>
        <v>0</v>
      </c>
      <c r="E83" s="2520">
        <f t="shared" si="45"/>
        <v>0</v>
      </c>
      <c r="F83" s="2550"/>
      <c r="G83" s="2520">
        <f>(G81+G7)-G36</f>
        <v>-37527.199999999997</v>
      </c>
      <c r="H83" s="2520">
        <f>(H81+H7)-H36</f>
        <v>0</v>
      </c>
      <c r="I83" s="2521">
        <f>(I81+I7)-I36</f>
        <v>-40574.6</v>
      </c>
      <c r="J83" s="2522"/>
      <c r="K83" s="2523"/>
      <c r="L83" s="2520">
        <f>(L81+L7)-L36</f>
        <v>276715.52999999997</v>
      </c>
      <c r="M83" s="2520">
        <f>(M81+M7)-M36</f>
        <v>-74675</v>
      </c>
      <c r="N83" s="2521">
        <f>(N81+N7)-N36</f>
        <v>196126.93</v>
      </c>
      <c r="O83" s="2522"/>
      <c r="P83" s="2523"/>
      <c r="Q83" s="2520">
        <f>(Q81)-Q36</f>
        <v>239188.33</v>
      </c>
      <c r="R83" s="2520">
        <f>(R81)-R36</f>
        <v>-74675</v>
      </c>
      <c r="S83" s="2521">
        <f>(S81)-S36</f>
        <v>155552.32999999999</v>
      </c>
      <c r="T83" s="2522"/>
      <c r="U83" s="2522"/>
    </row>
    <row r="84" spans="1:21" s="1396" customFormat="1" ht="14.4" customHeight="1" outlineLevel="1" thickBot="1">
      <c r="A84" s="1405"/>
      <c r="B84" s="2601" t="s">
        <v>14</v>
      </c>
      <c r="C84" s="2539">
        <f>C83-C73-C82</f>
        <v>0</v>
      </c>
      <c r="D84" s="2539">
        <f>D83-D73-D82</f>
        <v>0</v>
      </c>
      <c r="E84" s="2539">
        <f>E83-E73-E82</f>
        <v>0</v>
      </c>
      <c r="F84" s="2551"/>
      <c r="G84" s="2497">
        <f>G83-G73-G82</f>
        <v>-37527.199999999997</v>
      </c>
      <c r="H84" s="2497">
        <f>H83-H73-H82</f>
        <v>0</v>
      </c>
      <c r="I84" s="2497">
        <f>I83-I73-I82</f>
        <v>-40574.6</v>
      </c>
      <c r="J84" s="2498"/>
      <c r="K84" s="2524"/>
      <c r="L84" s="2497">
        <f>L83-L73-L82</f>
        <v>276715.52999999997</v>
      </c>
      <c r="M84" s="2497">
        <f>M83-M73-M82</f>
        <v>-74675</v>
      </c>
      <c r="N84" s="2497">
        <f>N83-N73-N82</f>
        <v>196126.93</v>
      </c>
      <c r="O84" s="2498"/>
      <c r="P84" s="2524"/>
      <c r="Q84" s="2497">
        <f>Q83-Q73-Q82</f>
        <v>239188.33</v>
      </c>
      <c r="R84" s="2497">
        <f>R83-R73-R82</f>
        <v>-74675</v>
      </c>
      <c r="S84" s="2497">
        <f>S83-S73-S82</f>
        <v>155552.32999999999</v>
      </c>
      <c r="T84" s="2498"/>
      <c r="U84" s="2498"/>
    </row>
    <row r="85" spans="1:21" s="1396" customFormat="1" ht="14.4" customHeight="1" outlineLevel="3">
      <c r="A85" s="1565"/>
      <c r="B85" s="1424" t="s">
        <v>44</v>
      </c>
      <c r="C85" s="1486"/>
      <c r="D85" s="1091"/>
      <c r="E85" s="1092">
        <f>C85+D85</f>
        <v>0</v>
      </c>
      <c r="F85" s="1587" t="e">
        <f>E85/$E$89</f>
        <v>#DIV/0!</v>
      </c>
      <c r="G85" s="2051"/>
      <c r="H85" s="2043"/>
      <c r="I85" s="2012">
        <f>G85+H85*1</f>
        <v>0</v>
      </c>
      <c r="J85" s="1476"/>
      <c r="K85" s="1748"/>
      <c r="L85" s="2051"/>
      <c r="M85" s="2043"/>
      <c r="N85" s="2012">
        <f>L85+M85*1</f>
        <v>0</v>
      </c>
      <c r="O85" s="1476"/>
      <c r="P85" s="1748"/>
      <c r="Q85" s="2043">
        <f>G85+L85</f>
        <v>0</v>
      </c>
      <c r="R85" s="2043">
        <f>H85+M85</f>
        <v>0</v>
      </c>
      <c r="S85" s="2012">
        <f>Q85+R85*1.15</f>
        <v>0</v>
      </c>
      <c r="T85" s="1476"/>
      <c r="U85" s="1476"/>
    </row>
    <row r="86" spans="1:21" s="1396" customFormat="1" ht="14.4" customHeight="1">
      <c r="A86" s="1405"/>
      <c r="B86" s="2602" t="s">
        <v>50</v>
      </c>
      <c r="C86" s="2540">
        <f>C84-C85</f>
        <v>0</v>
      </c>
      <c r="D86" s="2540">
        <f>D84-D85</f>
        <v>0</v>
      </c>
      <c r="E86" s="2525">
        <f>E84-E85</f>
        <v>0</v>
      </c>
      <c r="F86" s="2553"/>
      <c r="G86" s="2525">
        <f>G84-G85</f>
        <v>-37527.199999999997</v>
      </c>
      <c r="H86" s="2525">
        <f>H84-H85</f>
        <v>0</v>
      </c>
      <c r="I86" s="2525">
        <f>I84-I85</f>
        <v>-40574.6</v>
      </c>
      <c r="J86" s="2526"/>
      <c r="K86" s="2523"/>
      <c r="L86" s="2525">
        <f>L84</f>
        <v>276715.52999999997</v>
      </c>
      <c r="M86" s="2525">
        <f t="shared" ref="M86" si="46">M84</f>
        <v>-74675</v>
      </c>
      <c r="N86" s="2525">
        <f>N84</f>
        <v>196126.93</v>
      </c>
      <c r="O86" s="2526"/>
      <c r="P86" s="2523"/>
      <c r="Q86" s="2525">
        <f>Q84-Q85</f>
        <v>239188.33</v>
      </c>
      <c r="R86" s="2525">
        <f>R84-R85</f>
        <v>-74675</v>
      </c>
      <c r="S86" s="2525">
        <f>S84-S85</f>
        <v>155552.32999999999</v>
      </c>
      <c r="T86" s="2526"/>
      <c r="U86" s="2526"/>
    </row>
    <row r="87" spans="1:21" s="1396" customFormat="1" ht="14.4" customHeight="1" thickBot="1">
      <c r="A87" s="1567"/>
      <c r="B87" s="2603" t="s">
        <v>51</v>
      </c>
      <c r="C87" s="2527" t="e">
        <f>C86/C5</f>
        <v>#DIV/0!</v>
      </c>
      <c r="D87" s="2528" t="e">
        <f>D86/D5</f>
        <v>#DIV/0!</v>
      </c>
      <c r="E87" s="2529" t="e">
        <f>E86/E5</f>
        <v>#DIV/0!</v>
      </c>
      <c r="F87" s="2555"/>
      <c r="G87" s="2527" t="e">
        <f>G86/G5</f>
        <v>#DIV/0!</v>
      </c>
      <c r="H87" s="2528" t="e">
        <f>H86/H5</f>
        <v>#DIV/0!</v>
      </c>
      <c r="I87" s="2529" t="e">
        <f>I86/I5</f>
        <v>#DIV/0!</v>
      </c>
      <c r="J87" s="2530"/>
      <c r="K87" s="2531"/>
      <c r="L87" s="2527">
        <f>L86/L5</f>
        <v>0.99833110919184775</v>
      </c>
      <c r="M87" s="2528" t="e">
        <f>M86/M5</f>
        <v>#DIV/0!</v>
      </c>
      <c r="N87" s="2529">
        <f>N86/N5</f>
        <v>0.70758448421486098</v>
      </c>
      <c r="O87" s="2530"/>
      <c r="P87" s="2531"/>
      <c r="Q87" s="2527">
        <f>Q86/Q5</f>
        <v>0.86294090828456838</v>
      </c>
      <c r="R87" s="2528" t="e">
        <f>R86/R5</f>
        <v>#DIV/0!</v>
      </c>
      <c r="S87" s="2529">
        <f>S86/S5</f>
        <v>0.56119990860750146</v>
      </c>
      <c r="T87" s="2530"/>
      <c r="U87" s="2530"/>
    </row>
    <row r="88" spans="1:21" ht="13.8">
      <c r="A88" s="1423"/>
      <c r="B88" s="1423"/>
      <c r="C88" s="1521"/>
      <c r="D88" s="1521"/>
      <c r="E88" s="1521"/>
      <c r="F88" s="1549"/>
      <c r="G88" s="1954"/>
      <c r="H88" s="1954"/>
      <c r="I88" s="1954"/>
      <c r="J88" s="1954"/>
      <c r="K88" s="1605"/>
      <c r="L88" s="1954"/>
      <c r="M88" s="1954"/>
      <c r="N88" s="1954"/>
      <c r="O88" s="1954"/>
      <c r="P88" s="1605"/>
      <c r="Q88" s="1954"/>
      <c r="R88" s="1954"/>
      <c r="S88" s="1954"/>
      <c r="T88" s="1954"/>
      <c r="U88" s="1954"/>
    </row>
    <row r="89" spans="1:21">
      <c r="B89" s="1562" t="s">
        <v>56</v>
      </c>
      <c r="C89" s="1522"/>
      <c r="D89" s="1522"/>
      <c r="E89" s="1960">
        <f>E8+E36+E41+E50+E54+E73+E79+E82+E85</f>
        <v>0</v>
      </c>
      <c r="F89" s="189"/>
      <c r="I89" s="1960">
        <f>I8+I36+I41+I50+I54+I73+I79+I82+I85</f>
        <v>40574.6</v>
      </c>
      <c r="K89" s="1606"/>
      <c r="N89" s="1960">
        <f>N8+N36+N41+N50+N54+N73+N79+N82+N85</f>
        <v>81051.180000000008</v>
      </c>
      <c r="P89" s="1606"/>
      <c r="S89" s="1960">
        <f>S8+S36+S41+S50+S54+S73+S79+S82+S85-S78</f>
        <v>121625.78</v>
      </c>
    </row>
    <row r="90" spans="1:21" s="2470" customFormat="1" ht="13.95" customHeight="1">
      <c r="A90" s="1336"/>
      <c r="B90" s="1336"/>
      <c r="C90" s="1341"/>
      <c r="D90" s="1341"/>
      <c r="E90" s="1341"/>
      <c r="F90" s="2468"/>
      <c r="G90" s="2468"/>
      <c r="H90" s="2468"/>
      <c r="I90" s="2468"/>
      <c r="J90" s="2468"/>
      <c r="K90" s="1857"/>
      <c r="L90" s="2468"/>
      <c r="M90" s="2468"/>
      <c r="N90" s="2468"/>
      <c r="O90" s="2468"/>
      <c r="P90" s="1857"/>
      <c r="Q90" s="2468"/>
      <c r="R90" s="2468"/>
      <c r="S90" s="1592">
        <f>(I89+N89)-S89</f>
        <v>0</v>
      </c>
      <c r="T90" s="2468"/>
      <c r="U90" s="2468"/>
    </row>
    <row r="91" spans="1:21" s="2469" customFormat="1">
      <c r="A91" s="1336"/>
      <c r="B91" s="1336"/>
      <c r="C91" s="1336"/>
      <c r="D91" s="1336"/>
      <c r="E91" s="1336"/>
      <c r="F91" s="2468"/>
      <c r="G91" s="2468"/>
      <c r="H91" s="2468"/>
      <c r="I91" s="2468"/>
      <c r="J91" s="2468"/>
      <c r="K91" s="1857"/>
      <c r="L91" s="2468"/>
      <c r="M91" s="1586"/>
      <c r="N91" s="1586"/>
      <c r="O91" s="1586"/>
      <c r="P91" s="1857"/>
      <c r="Q91" s="1065"/>
      <c r="R91" s="1065"/>
      <c r="S91" s="2468"/>
      <c r="T91" s="2468"/>
      <c r="U91" s="2468"/>
    </row>
    <row r="92" spans="1:21">
      <c r="C92" s="1402"/>
      <c r="D92" s="1402"/>
      <c r="E92" s="1402"/>
      <c r="G92" s="1606"/>
      <c r="H92" s="1606"/>
      <c r="I92" s="1606"/>
      <c r="J92" s="1606"/>
      <c r="K92" s="1606"/>
      <c r="L92" s="2468"/>
      <c r="M92" s="1218"/>
      <c r="N92" s="1218"/>
      <c r="O92" s="1218"/>
      <c r="P92" s="1342"/>
      <c r="Q92" s="1065"/>
      <c r="R92" s="1065" t="s">
        <v>1374</v>
      </c>
      <c r="S92" s="1952">
        <v>147236.98669999998</v>
      </c>
    </row>
    <row r="93" spans="1:21" s="1396" customFormat="1">
      <c r="A93" s="1402"/>
      <c r="B93" s="1402"/>
      <c r="C93" s="1402"/>
      <c r="D93" s="1402"/>
      <c r="E93" s="1402"/>
      <c r="F93" s="1952"/>
      <c r="G93" s="1606"/>
      <c r="H93" s="1606"/>
      <c r="I93" s="1606"/>
      <c r="J93" s="1606"/>
      <c r="K93" s="1606"/>
      <c r="L93" s="2468"/>
      <c r="M93" s="1218"/>
      <c r="N93" s="1218"/>
      <c r="O93" s="1218"/>
      <c r="P93" s="1036"/>
      <c r="Q93" s="1065"/>
      <c r="R93" s="1065" t="s">
        <v>1373</v>
      </c>
      <c r="S93" s="1952">
        <f>S92-S86</f>
        <v>-8315.3433000000077</v>
      </c>
      <c r="T93" s="1952"/>
      <c r="U93" s="1952"/>
    </row>
    <row r="94" spans="1:21" s="1396" customFormat="1">
      <c r="A94" s="1402"/>
      <c r="B94" s="1402"/>
      <c r="C94" s="1402"/>
      <c r="D94" s="1402"/>
      <c r="E94" s="1402"/>
      <c r="F94" s="1952"/>
      <c r="G94" s="1963"/>
      <c r="H94" s="1963"/>
      <c r="I94" s="1963"/>
      <c r="J94" s="1963"/>
      <c r="K94" s="1963"/>
      <c r="L94" s="1963"/>
      <c r="M94" s="1963"/>
      <c r="N94" s="1963"/>
      <c r="O94" s="1963"/>
      <c r="P94" s="1963"/>
      <c r="Q94" s="1065"/>
      <c r="R94" s="1065"/>
      <c r="S94" s="1952"/>
      <c r="T94" s="1952"/>
      <c r="U94" s="1952"/>
    </row>
    <row r="95" spans="1:21" s="1396" customFormat="1">
      <c r="A95" s="1402"/>
      <c r="B95" s="1402"/>
      <c r="C95" s="1402"/>
      <c r="D95" s="1402"/>
      <c r="E95" s="1402"/>
      <c r="F95" s="1952"/>
      <c r="G95" s="1963"/>
      <c r="H95" s="1963"/>
      <c r="I95" s="1963"/>
      <c r="J95" s="1963"/>
      <c r="K95" s="1963"/>
      <c r="L95" s="1963"/>
      <c r="M95" s="1963"/>
      <c r="N95" s="1963"/>
      <c r="O95" s="1963"/>
      <c r="P95" s="1963"/>
      <c r="Q95" s="1065"/>
      <c r="R95" s="1065" t="s">
        <v>1400</v>
      </c>
      <c r="S95" s="1952">
        <v>8315.3432999999986</v>
      </c>
      <c r="T95" s="1952"/>
      <c r="U95" s="1952"/>
    </row>
    <row r="96" spans="1:21" s="1396" customFormat="1">
      <c r="A96" s="1402"/>
      <c r="B96" s="1402"/>
      <c r="C96" s="1952"/>
      <c r="D96" s="1952"/>
      <c r="E96" s="1952"/>
      <c r="F96" s="1952"/>
      <c r="G96" s="1952"/>
      <c r="H96" s="1952"/>
      <c r="I96" s="1952"/>
      <c r="J96" s="1952"/>
      <c r="K96" s="1952"/>
      <c r="L96" s="1952"/>
      <c r="M96" s="1586"/>
      <c r="N96" s="1586"/>
      <c r="O96" s="1586"/>
      <c r="P96" s="1952"/>
      <c r="Q96" s="1065"/>
      <c r="R96" s="1065"/>
      <c r="S96" s="1952"/>
      <c r="T96" s="1952"/>
      <c r="U96" s="1952"/>
    </row>
    <row r="97" spans="3:19">
      <c r="C97" s="1952"/>
      <c r="D97" s="1952"/>
      <c r="M97" s="1586"/>
      <c r="N97" s="1586"/>
      <c r="O97" s="1586"/>
      <c r="Q97" s="1065"/>
      <c r="R97" s="756" t="s">
        <v>1458</v>
      </c>
      <c r="S97" s="756">
        <f>SUM(S93:S96)</f>
        <v>0</v>
      </c>
    </row>
    <row r="98" spans="3:19">
      <c r="M98" s="1586"/>
      <c r="N98" s="1586"/>
      <c r="O98" s="1586"/>
      <c r="Q98" s="1065"/>
      <c r="R98" s="1065"/>
    </row>
    <row r="99" spans="3:19">
      <c r="M99" s="1586"/>
      <c r="N99" s="1586"/>
      <c r="O99" s="1586"/>
      <c r="Q99" s="1065"/>
      <c r="R99" s="1065"/>
    </row>
    <row r="100" spans="3:19">
      <c r="M100" s="1586"/>
      <c r="N100" s="1586"/>
      <c r="O100" s="1586"/>
      <c r="Q100" s="1065"/>
      <c r="R100" s="1065"/>
    </row>
    <row r="101" spans="3:19">
      <c r="M101" s="1586"/>
      <c r="N101" s="1586"/>
      <c r="O101" s="1586"/>
      <c r="Q101" s="1065"/>
      <c r="R101" s="1065"/>
    </row>
    <row r="102" spans="3:19">
      <c r="M102" s="1586"/>
      <c r="N102" s="1586"/>
      <c r="O102" s="1586"/>
      <c r="Q102" s="1065"/>
      <c r="R102" s="1065"/>
    </row>
    <row r="103" spans="3:19">
      <c r="M103" s="1586"/>
      <c r="N103" s="1586"/>
      <c r="O103" s="1586"/>
    </row>
    <row r="111" spans="3:19">
      <c r="L111" s="1395"/>
      <c r="M111" s="1395"/>
      <c r="N111" s="1395"/>
      <c r="O111" s="1395"/>
      <c r="P111" s="1395"/>
    </row>
    <row r="112" spans="3:19">
      <c r="L112" s="1395"/>
      <c r="M112" s="1395"/>
      <c r="N112" s="1395"/>
      <c r="O112" s="1395"/>
      <c r="P112" s="1395"/>
    </row>
    <row r="113" spans="12:16">
      <c r="L113" s="1395"/>
      <c r="M113" s="1395"/>
      <c r="N113" s="1395"/>
      <c r="O113" s="1395"/>
      <c r="P113" s="1395"/>
    </row>
    <row r="114" spans="12:16">
      <c r="L114" s="1395"/>
      <c r="M114" s="1395"/>
      <c r="N114" s="1395"/>
      <c r="O114" s="1395"/>
      <c r="P114" s="1395"/>
    </row>
    <row r="115" spans="12:16">
      <c r="L115" s="1395"/>
      <c r="M115" s="1395"/>
      <c r="N115" s="1395"/>
      <c r="O115" s="1395"/>
      <c r="P115" s="1395"/>
    </row>
    <row r="116" spans="12:16">
      <c r="L116" s="1395"/>
      <c r="M116" s="1395"/>
      <c r="N116" s="1395"/>
      <c r="O116" s="1395"/>
      <c r="P116" s="1395"/>
    </row>
  </sheetData>
  <mergeCells count="6">
    <mergeCell ref="A2:F2"/>
    <mergeCell ref="G2:K3"/>
    <mergeCell ref="Q2:U3"/>
    <mergeCell ref="A3:F3"/>
    <mergeCell ref="A42:A48"/>
    <mergeCell ref="L2:P3"/>
  </mergeCell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pageSetUpPr fitToPage="1"/>
  </sheetPr>
  <dimension ref="A1:FV116"/>
  <sheetViews>
    <sheetView showZeros="0" zoomScale="70" zoomScaleNormal="70" workbookViewId="0">
      <pane xSplit="6" ySplit="5" topLeftCell="G69" activePane="bottomRight" state="frozen"/>
      <selection activeCell="C26" sqref="C25:C26"/>
      <selection pane="topRight" activeCell="C26" sqref="C25:C26"/>
      <selection pane="bottomLeft" activeCell="C26" sqref="C25:C26"/>
      <selection pane="bottomRight" activeCell="CJ26" sqref="CJ26"/>
    </sheetView>
  </sheetViews>
  <sheetFormatPr defaultColWidth="7.44140625" defaultRowHeight="13.2" outlineLevelRow="3" outlineLevelCol="1"/>
  <cols>
    <col min="1" max="1" width="4.44140625" style="1402" customWidth="1"/>
    <col min="2" max="2" width="49.44140625" style="1402" customWidth="1"/>
    <col min="3" max="3" width="17.109375" style="1459" hidden="1" customWidth="1"/>
    <col min="4" max="4" width="15.5546875" style="1459" hidden="1" customWidth="1"/>
    <col min="5" max="5" width="17.109375" style="1952" hidden="1" customWidth="1"/>
    <col min="6" max="6" width="9.5546875" style="1952" hidden="1" customWidth="1"/>
    <col min="7" max="10" width="16.6640625" style="1952" hidden="1" customWidth="1" outlineLevel="1"/>
    <col min="11" max="11" width="11.5546875" style="1952" hidden="1" customWidth="1" outlineLevel="1"/>
    <col min="12" max="12" width="3.109375" style="1952" customWidth="1" collapsed="1"/>
    <col min="13" max="16" width="16.6640625" style="1952" hidden="1" customWidth="1" outlineLevel="1"/>
    <col min="17" max="17" width="39.6640625" style="1952" hidden="1" customWidth="1" outlineLevel="1"/>
    <col min="18" max="18" width="16.6640625" style="1952" hidden="1" customWidth="1" outlineLevel="1" collapsed="1"/>
    <col min="19" max="21" width="16.6640625" style="1952" hidden="1" customWidth="1" outlineLevel="1"/>
    <col min="22" max="22" width="43.6640625" style="1952" hidden="1" customWidth="1" outlineLevel="1"/>
    <col min="23" max="23" width="16.6640625" style="1952" hidden="1" customWidth="1" outlineLevel="1" collapsed="1"/>
    <col min="24" max="26" width="16.6640625" style="1952" hidden="1" customWidth="1" outlineLevel="1"/>
    <col min="27" max="27" width="46.109375" style="1952" hidden="1" customWidth="1" outlineLevel="1"/>
    <col min="28" max="29" width="16.6640625" style="1586" hidden="1" customWidth="1" outlineLevel="1"/>
    <col min="30" max="30" width="22.109375" style="1586" hidden="1" customWidth="1" outlineLevel="1"/>
    <col min="31" max="31" width="16.6640625" style="1586" hidden="1" customWidth="1" outlineLevel="1"/>
    <col min="32" max="32" width="49.6640625" style="1586" hidden="1" customWidth="1" outlineLevel="1"/>
    <col min="33" max="33" width="17.44140625" style="1952" hidden="1" customWidth="1" outlineLevel="1" collapsed="1"/>
    <col min="34" max="34" width="16.6640625" style="1952" hidden="1" customWidth="1" outlineLevel="1"/>
    <col min="35" max="35" width="17.44140625" style="1952" hidden="1" customWidth="1" outlineLevel="1"/>
    <col min="36" max="36" width="16.6640625" style="1952" hidden="1" customWidth="1" outlineLevel="1"/>
    <col min="37" max="37" width="55.33203125" style="1952" hidden="1" customWidth="1" outlineLevel="1"/>
    <col min="38" max="41" width="16.6640625" style="1952" hidden="1" customWidth="1" outlineLevel="1"/>
    <col min="42" max="42" width="43.6640625" style="1952" hidden="1" customWidth="1" outlineLevel="1"/>
    <col min="43" max="43" width="16.6640625" style="1952" hidden="1" customWidth="1" outlineLevel="1" collapsed="1"/>
    <col min="44" max="46" width="16.6640625" style="1952" hidden="1" customWidth="1" outlineLevel="1"/>
    <col min="47" max="47" width="34.44140625" style="1952" hidden="1" customWidth="1" outlineLevel="1"/>
    <col min="48" max="51" width="16.6640625" style="1952" hidden="1" customWidth="1" outlineLevel="1"/>
    <col min="52" max="52" width="35.6640625" style="1952" hidden="1" customWidth="1" outlineLevel="1"/>
    <col min="53" max="56" width="16.6640625" style="1952" hidden="1" customWidth="1" outlineLevel="1"/>
    <col min="57" max="57" width="44.6640625" style="1952" hidden="1" customWidth="1" outlineLevel="1"/>
    <col min="58" max="61" width="16.6640625" style="1952" hidden="1" customWidth="1" outlineLevel="1"/>
    <col min="62" max="62" width="43.6640625" style="1952" hidden="1" customWidth="1" outlineLevel="1"/>
    <col min="63" max="66" width="16.6640625" style="1952" hidden="1" customWidth="1" outlineLevel="1"/>
    <col min="67" max="67" width="29.33203125" style="1952" hidden="1" customWidth="1" outlineLevel="1"/>
    <col min="68" max="71" width="16.6640625" style="1952" hidden="1" customWidth="1" outlineLevel="1"/>
    <col min="72" max="72" width="40.44140625" style="1952" hidden="1" customWidth="1" outlineLevel="1"/>
    <col min="73" max="76" width="16.6640625" style="1952" hidden="1" customWidth="1" outlineLevel="1"/>
    <col min="77" max="77" width="40.44140625" style="1952" hidden="1" customWidth="1" outlineLevel="1"/>
    <col min="78" max="78" width="16.6640625" style="1952" hidden="1" customWidth="1" outlineLevel="1" collapsed="1"/>
    <col min="79" max="81" width="16.6640625" style="1952" hidden="1" customWidth="1" outlineLevel="1"/>
    <col min="82" max="82" width="17.88671875" style="1952" hidden="1" customWidth="1" outlineLevel="1"/>
    <col min="83" max="83" width="16.6640625" style="1952" customWidth="1" collapsed="1"/>
    <col min="84" max="86" width="16.6640625" style="1952" customWidth="1"/>
    <col min="87" max="87" width="17.88671875" style="1952" customWidth="1"/>
    <col min="88" max="88" width="16.6640625" style="1952" customWidth="1" collapsed="1"/>
    <col min="89" max="91" width="16.6640625" style="1952" customWidth="1"/>
    <col min="92" max="92" width="17.88671875" style="1952" customWidth="1"/>
    <col min="93" max="93" width="17.44140625" style="1952" bestFit="1" customWidth="1"/>
    <col min="94" max="94" width="18.88671875" style="1952" customWidth="1"/>
    <col min="95" max="95" width="17.44140625" style="1952" bestFit="1" customWidth="1"/>
    <col min="96" max="96" width="16.6640625" style="1952" customWidth="1"/>
    <col min="97" max="97" width="21.6640625" style="1952" customWidth="1"/>
    <col min="98" max="98" width="16.33203125" style="3147" customWidth="1"/>
    <col min="99" max="99" width="15.33203125" style="3196" customWidth="1"/>
    <col min="100" max="100" width="12.44140625" style="1569" bestFit="1" customWidth="1"/>
    <col min="101" max="101" width="13.6640625" style="1569" customWidth="1"/>
    <col min="102" max="102" width="15.33203125" style="1569" bestFit="1" customWidth="1"/>
    <col min="103" max="178" width="7.44140625" style="1569"/>
    <col min="179" max="16384" width="7.44140625" style="1395"/>
  </cols>
  <sheetData>
    <row r="1" spans="1:178" ht="13.8" thickBot="1">
      <c r="C1" s="1952"/>
      <c r="D1" s="1952"/>
    </row>
    <row r="2" spans="1:178" ht="22.2" customHeight="1" thickBot="1">
      <c r="A2" s="4834" t="s">
        <v>1092</v>
      </c>
      <c r="B2" s="4835"/>
      <c r="C2" s="4835"/>
      <c r="D2" s="4835"/>
      <c r="E2" s="4835"/>
      <c r="F2" s="4836"/>
      <c r="G2" s="4892" t="s">
        <v>1377</v>
      </c>
      <c r="H2" s="4893"/>
      <c r="I2" s="4893"/>
      <c r="J2" s="4893"/>
      <c r="K2" s="4894"/>
      <c r="L2" s="3152"/>
      <c r="M2" s="4892" t="s">
        <v>1066</v>
      </c>
      <c r="N2" s="4893"/>
      <c r="O2" s="4893"/>
      <c r="P2" s="4893"/>
      <c r="Q2" s="3152"/>
      <c r="R2" s="4916" t="s">
        <v>1107</v>
      </c>
      <c r="S2" s="4917"/>
      <c r="T2" s="4917"/>
      <c r="U2" s="4917"/>
      <c r="V2" s="4918"/>
      <c r="W2" s="4922" t="s">
        <v>1155</v>
      </c>
      <c r="X2" s="4923"/>
      <c r="Y2" s="4923"/>
      <c r="Z2" s="4923"/>
      <c r="AA2" s="4924"/>
      <c r="AB2" s="4928" t="s">
        <v>1193</v>
      </c>
      <c r="AC2" s="4929"/>
      <c r="AD2" s="4929"/>
      <c r="AE2" s="4929"/>
      <c r="AF2" s="4930"/>
      <c r="AG2" s="4934" t="s">
        <v>1232</v>
      </c>
      <c r="AH2" s="4935"/>
      <c r="AI2" s="4935"/>
      <c r="AJ2" s="4935"/>
      <c r="AK2" s="4936"/>
      <c r="AL2" s="4898" t="s">
        <v>1270</v>
      </c>
      <c r="AM2" s="4899"/>
      <c r="AN2" s="4899"/>
      <c r="AO2" s="4899"/>
      <c r="AP2" s="4900"/>
      <c r="AQ2" s="4904" t="s">
        <v>1293</v>
      </c>
      <c r="AR2" s="4905"/>
      <c r="AS2" s="4905"/>
      <c r="AT2" s="4905"/>
      <c r="AU2" s="4906"/>
      <c r="AV2" s="4910" t="s">
        <v>1316</v>
      </c>
      <c r="AW2" s="4911"/>
      <c r="AX2" s="4911"/>
      <c r="AY2" s="4911"/>
      <c r="AZ2" s="4912"/>
      <c r="BA2" s="4868" t="s">
        <v>1335</v>
      </c>
      <c r="BB2" s="4869"/>
      <c r="BC2" s="4869"/>
      <c r="BD2" s="4869"/>
      <c r="BE2" s="4870"/>
      <c r="BF2" s="4940" t="s">
        <v>1365</v>
      </c>
      <c r="BG2" s="4941"/>
      <c r="BH2" s="4941"/>
      <c r="BI2" s="4941"/>
      <c r="BJ2" s="4942"/>
      <c r="BK2" s="4898" t="s">
        <v>1407</v>
      </c>
      <c r="BL2" s="4899"/>
      <c r="BM2" s="4899"/>
      <c r="BN2" s="4899"/>
      <c r="BO2" s="4900"/>
      <c r="BP2" s="4886" t="s">
        <v>1466</v>
      </c>
      <c r="BQ2" s="4887"/>
      <c r="BR2" s="4887"/>
      <c r="BS2" s="4887"/>
      <c r="BT2" s="4888"/>
      <c r="BU2" s="4904" t="s">
        <v>1623</v>
      </c>
      <c r="BV2" s="4905"/>
      <c r="BW2" s="4905"/>
      <c r="BX2" s="4905"/>
      <c r="BY2" s="4906"/>
      <c r="BZ2" s="4910" t="s">
        <v>1748</v>
      </c>
      <c r="CA2" s="4911"/>
      <c r="CB2" s="4911"/>
      <c r="CC2" s="4911"/>
      <c r="CD2" s="4912"/>
      <c r="CE2" s="4904" t="s">
        <v>1757</v>
      </c>
      <c r="CF2" s="4905"/>
      <c r="CG2" s="4905"/>
      <c r="CH2" s="4905"/>
      <c r="CI2" s="4906"/>
      <c r="CJ2" s="4886" t="s">
        <v>1758</v>
      </c>
      <c r="CK2" s="4887"/>
      <c r="CL2" s="4887"/>
      <c r="CM2" s="4887"/>
      <c r="CN2" s="4888"/>
      <c r="CO2" s="4874" t="s">
        <v>469</v>
      </c>
      <c r="CP2" s="4875"/>
      <c r="CQ2" s="4875"/>
      <c r="CR2" s="4875"/>
      <c r="CS2" s="4876"/>
      <c r="CT2" s="1952"/>
      <c r="CU2" s="1569"/>
    </row>
    <row r="3" spans="1:178" ht="14.4" customHeight="1" thickBot="1">
      <c r="A3" s="4834" t="s">
        <v>54</v>
      </c>
      <c r="B3" s="4835"/>
      <c r="C3" s="4835"/>
      <c r="D3" s="4835"/>
      <c r="E3" s="4835"/>
      <c r="F3" s="4836"/>
      <c r="G3" s="4895"/>
      <c r="H3" s="4896"/>
      <c r="I3" s="4896"/>
      <c r="J3" s="4896"/>
      <c r="K3" s="4897"/>
      <c r="L3" s="3153"/>
      <c r="M3" s="4895"/>
      <c r="N3" s="4896"/>
      <c r="O3" s="4896"/>
      <c r="P3" s="4896"/>
      <c r="Q3" s="3153"/>
      <c r="R3" s="4919"/>
      <c r="S3" s="4920"/>
      <c r="T3" s="4920"/>
      <c r="U3" s="4920"/>
      <c r="V3" s="4921"/>
      <c r="W3" s="4925"/>
      <c r="X3" s="4926"/>
      <c r="Y3" s="4926"/>
      <c r="Z3" s="4926"/>
      <c r="AA3" s="4927"/>
      <c r="AB3" s="4931"/>
      <c r="AC3" s="4932"/>
      <c r="AD3" s="4932"/>
      <c r="AE3" s="4932"/>
      <c r="AF3" s="4933"/>
      <c r="AG3" s="4937"/>
      <c r="AH3" s="4938"/>
      <c r="AI3" s="4938"/>
      <c r="AJ3" s="4938"/>
      <c r="AK3" s="4939"/>
      <c r="AL3" s="4901"/>
      <c r="AM3" s="4902"/>
      <c r="AN3" s="4902"/>
      <c r="AO3" s="4902"/>
      <c r="AP3" s="4903"/>
      <c r="AQ3" s="4907"/>
      <c r="AR3" s="4908"/>
      <c r="AS3" s="4908"/>
      <c r="AT3" s="4908"/>
      <c r="AU3" s="4909"/>
      <c r="AV3" s="4913"/>
      <c r="AW3" s="4914"/>
      <c r="AX3" s="4914"/>
      <c r="AY3" s="4914"/>
      <c r="AZ3" s="4915"/>
      <c r="BA3" s="4871"/>
      <c r="BB3" s="4872"/>
      <c r="BC3" s="4872"/>
      <c r="BD3" s="4872"/>
      <c r="BE3" s="4873"/>
      <c r="BF3" s="4943"/>
      <c r="BG3" s="4944"/>
      <c r="BH3" s="4944"/>
      <c r="BI3" s="4944"/>
      <c r="BJ3" s="4945"/>
      <c r="BK3" s="4901"/>
      <c r="BL3" s="4902"/>
      <c r="BM3" s="4902"/>
      <c r="BN3" s="4902"/>
      <c r="BO3" s="4903"/>
      <c r="BP3" s="4889"/>
      <c r="BQ3" s="4890"/>
      <c r="BR3" s="4890"/>
      <c r="BS3" s="4890"/>
      <c r="BT3" s="4891"/>
      <c r="BU3" s="4907"/>
      <c r="BV3" s="4908"/>
      <c r="BW3" s="4908"/>
      <c r="BX3" s="4908"/>
      <c r="BY3" s="4909"/>
      <c r="BZ3" s="4913"/>
      <c r="CA3" s="4914"/>
      <c r="CB3" s="4914"/>
      <c r="CC3" s="4914"/>
      <c r="CD3" s="4915"/>
      <c r="CE3" s="4907"/>
      <c r="CF3" s="4908"/>
      <c r="CG3" s="4908"/>
      <c r="CH3" s="4908"/>
      <c r="CI3" s="4909"/>
      <c r="CJ3" s="4889"/>
      <c r="CK3" s="4890"/>
      <c r="CL3" s="4890"/>
      <c r="CM3" s="4890"/>
      <c r="CN3" s="4891"/>
      <c r="CO3" s="4877"/>
      <c r="CP3" s="4878"/>
      <c r="CQ3" s="4878"/>
      <c r="CR3" s="4878"/>
      <c r="CS3" s="4879"/>
      <c r="CT3" s="1952"/>
      <c r="CU3" s="1569"/>
    </row>
    <row r="4" spans="1:178" ht="41.4" thickBot="1">
      <c r="A4" s="1471"/>
      <c r="B4" s="1474" t="s">
        <v>11</v>
      </c>
      <c r="C4" s="1573" t="s">
        <v>55</v>
      </c>
      <c r="D4" s="1573" t="s">
        <v>18</v>
      </c>
      <c r="E4" s="1574" t="s">
        <v>39</v>
      </c>
      <c r="F4" s="1962" t="s">
        <v>40</v>
      </c>
      <c r="G4" s="1956" t="s">
        <v>55</v>
      </c>
      <c r="H4" s="1956" t="s">
        <v>18</v>
      </c>
      <c r="I4" s="1956" t="s">
        <v>39</v>
      </c>
      <c r="J4" s="1962" t="s">
        <v>40</v>
      </c>
      <c r="K4" s="1474" t="s">
        <v>19</v>
      </c>
      <c r="L4" s="1474"/>
      <c r="M4" s="1956" t="s">
        <v>55</v>
      </c>
      <c r="N4" s="1956" t="s">
        <v>18</v>
      </c>
      <c r="O4" s="1956"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767" t="s">
        <v>1201</v>
      </c>
      <c r="AC4" s="1767" t="s">
        <v>18</v>
      </c>
      <c r="AD4" s="1768" t="s">
        <v>39</v>
      </c>
      <c r="AE4" s="1769" t="s">
        <v>40</v>
      </c>
      <c r="AF4" s="1768"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O4" s="1956" t="s">
        <v>55</v>
      </c>
      <c r="CP4" s="1956" t="s">
        <v>18</v>
      </c>
      <c r="CQ4" s="1474" t="s">
        <v>39</v>
      </c>
      <c r="CR4" s="1962" t="s">
        <v>40</v>
      </c>
      <c r="CS4" s="1474" t="s">
        <v>19</v>
      </c>
      <c r="CT4" s="1952"/>
      <c r="CU4" s="1569"/>
    </row>
    <row r="5" spans="1:178" s="2466" customFormat="1" ht="14.4" thickBot="1">
      <c r="A5" s="1462"/>
      <c r="B5" s="970" t="s">
        <v>10</v>
      </c>
      <c r="C5" s="1464">
        <f>C6</f>
        <v>116246095.55673152</v>
      </c>
      <c r="D5" s="1464">
        <f>D6</f>
        <v>0</v>
      </c>
      <c r="E5" s="1955">
        <f>E6</f>
        <v>116246095.55673152</v>
      </c>
      <c r="F5" s="1466"/>
      <c r="G5" s="1966">
        <f t="shared" ref="G5:I5" si="0">SUM(G6:G7)</f>
        <v>72033301.069999993</v>
      </c>
      <c r="H5" s="1955">
        <f t="shared" si="0"/>
        <v>33800</v>
      </c>
      <c r="I5" s="1966">
        <f t="shared" si="0"/>
        <v>72067101.069999993</v>
      </c>
      <c r="J5" s="1955"/>
      <c r="K5" s="1466"/>
      <c r="L5" s="1466"/>
      <c r="M5" s="1966">
        <f>M6</f>
        <v>0</v>
      </c>
      <c r="N5" s="1955">
        <f>N6</f>
        <v>0</v>
      </c>
      <c r="O5" s="1966">
        <f t="shared" ref="O5" si="1">SUM(O6:O7)</f>
        <v>0</v>
      </c>
      <c r="P5" s="1955"/>
      <c r="Q5" s="1466"/>
      <c r="R5" s="1955">
        <f>R6</f>
        <v>6367140.5599999996</v>
      </c>
      <c r="S5" s="1466">
        <f>S6</f>
        <v>0</v>
      </c>
      <c r="T5" s="1466">
        <f t="shared" ref="T5" si="2">SUM(T6:T7)</f>
        <v>6379340.5599999996</v>
      </c>
      <c r="U5" s="1466"/>
      <c r="V5" s="1466"/>
      <c r="W5" s="1955">
        <f>W6</f>
        <v>10069393.84</v>
      </c>
      <c r="X5" s="1466">
        <f>X6</f>
        <v>0</v>
      </c>
      <c r="Y5" s="1466">
        <f t="shared" ref="Y5" si="3">SUM(Y6:Y7)</f>
        <v>10069393.84</v>
      </c>
      <c r="Z5" s="1466"/>
      <c r="AA5" s="1466"/>
      <c r="AB5" s="1770">
        <f>AB6</f>
        <v>14596554.17</v>
      </c>
      <c r="AC5" s="1771">
        <f>AC6</f>
        <v>0</v>
      </c>
      <c r="AD5" s="1771">
        <f t="shared" ref="AD5" si="4">SUM(AD6:AD7)</f>
        <v>14630354.17</v>
      </c>
      <c r="AE5" s="1771"/>
      <c r="AF5" s="1771"/>
      <c r="AG5" s="1955">
        <f>AG6</f>
        <v>40642098.050000004</v>
      </c>
      <c r="AH5" s="1466">
        <f>AH6</f>
        <v>0</v>
      </c>
      <c r="AI5" s="1466">
        <f t="shared" ref="AI5" si="5">SUM(AI6:AI7)</f>
        <v>40642098.050000004</v>
      </c>
      <c r="AJ5" s="1466"/>
      <c r="AK5" s="1466"/>
      <c r="AL5" s="1966">
        <f t="shared" ref="AL5:AN5" si="6">SUM(AL6:AL7)</f>
        <v>10120759.310000001</v>
      </c>
      <c r="AM5" s="1955">
        <f t="shared" si="6"/>
        <v>0</v>
      </c>
      <c r="AN5" s="1966">
        <f t="shared" si="6"/>
        <v>10120759.310000001</v>
      </c>
      <c r="AO5" s="1955"/>
      <c r="AP5" s="1466"/>
      <c r="AQ5" s="1966">
        <f t="shared" ref="AQ5:AS5" si="7">SUM(AQ6:AQ7)</f>
        <v>9035135.8599999975</v>
      </c>
      <c r="AR5" s="1955">
        <f t="shared" si="7"/>
        <v>0</v>
      </c>
      <c r="AS5" s="1966">
        <f t="shared" si="7"/>
        <v>9035135.8599999975</v>
      </c>
      <c r="AT5" s="1955"/>
      <c r="AU5" s="1466"/>
      <c r="AV5" s="1966">
        <f t="shared" ref="AV5:AX5" si="8">SUM(AV6:AV7)</f>
        <v>2608077.8499999996</v>
      </c>
      <c r="AW5" s="1955">
        <f t="shared" si="8"/>
        <v>0</v>
      </c>
      <c r="AX5" s="1966">
        <f t="shared" si="8"/>
        <v>2608077.8499999996</v>
      </c>
      <c r="AY5" s="1955"/>
      <c r="AZ5" s="1466"/>
      <c r="BA5" s="1966">
        <f t="shared" ref="BA5:BC5" si="9">SUM(BA6:BA7)</f>
        <v>3393091.4500000007</v>
      </c>
      <c r="BB5" s="1955">
        <f t="shared" si="9"/>
        <v>0</v>
      </c>
      <c r="BC5" s="1966">
        <f t="shared" si="9"/>
        <v>3393091.4500000007</v>
      </c>
      <c r="BD5" s="1955"/>
      <c r="BE5" s="1466"/>
      <c r="BF5" s="1966">
        <f t="shared" ref="BF5:BH5" si="10">SUM(BF6:BF7)</f>
        <v>8064584.6699999999</v>
      </c>
      <c r="BG5" s="1955">
        <f t="shared" si="10"/>
        <v>0</v>
      </c>
      <c r="BH5" s="1966">
        <f t="shared" si="10"/>
        <v>8064584.6699999999</v>
      </c>
      <c r="BI5" s="1955"/>
      <c r="BJ5" s="1466"/>
      <c r="BK5" s="1955">
        <f>SUM(BK6:BK7)</f>
        <v>10574709.249999998</v>
      </c>
      <c r="BL5" s="1955">
        <f>SUM(BL6:BL7)</f>
        <v>0</v>
      </c>
      <c r="BM5" s="1955">
        <f>SUM(BM6:BM7)</f>
        <v>10574709.249999998</v>
      </c>
      <c r="BN5" s="1466"/>
      <c r="BO5" s="1466"/>
      <c r="BP5" s="1955">
        <f>SUM(BP6:BP7)</f>
        <v>1669771.26</v>
      </c>
      <c r="BQ5" s="1955">
        <f>SUM(BQ6:BQ7)</f>
        <v>41200</v>
      </c>
      <c r="BR5" s="1955">
        <f>SUM(BR6:BR7)</f>
        <v>1710971.26</v>
      </c>
      <c r="BS5" s="1466"/>
      <c r="BT5" s="1466"/>
      <c r="BU5" s="1955">
        <f>SUM(BU6:BU7)</f>
        <v>0</v>
      </c>
      <c r="BV5" s="1955">
        <f>SUM(BV6:BV7)</f>
        <v>0</v>
      </c>
      <c r="BW5" s="1955">
        <f>SUM(BW6:BW7)</f>
        <v>0</v>
      </c>
      <c r="BX5" s="1466"/>
      <c r="BY5" s="1466"/>
      <c r="BZ5" s="1955">
        <f>SUM(BZ6:BZ7)</f>
        <v>0</v>
      </c>
      <c r="CA5" s="1955">
        <f>SUM(CA6:CA7)</f>
        <v>0</v>
      </c>
      <c r="CB5" s="1955">
        <f>SUM(CB6:CB7)</f>
        <v>0</v>
      </c>
      <c r="CC5" s="1466"/>
      <c r="CD5" s="1466"/>
      <c r="CE5" s="1955">
        <f>SUM(CE6:CE7)</f>
        <v>0</v>
      </c>
      <c r="CF5" s="1955">
        <f>SUM(CF6:CF7)</f>
        <v>0</v>
      </c>
      <c r="CG5" s="1955">
        <f>SUM(CG6:CG7)</f>
        <v>0</v>
      </c>
      <c r="CH5" s="1466"/>
      <c r="CI5" s="1466"/>
      <c r="CJ5" s="1955">
        <f>SUM(CJ6:CJ7)</f>
        <v>4750</v>
      </c>
      <c r="CK5" s="1955">
        <f>SUM(CK6:CK7)</f>
        <v>0</v>
      </c>
      <c r="CL5" s="1955">
        <f>SUM(CL6:CL7)</f>
        <v>4750</v>
      </c>
      <c r="CM5" s="1466"/>
      <c r="CN5" s="1466"/>
      <c r="CO5" s="1966">
        <f t="shared" ref="CO5:CQ5" si="11">SUM(CO6:CO7)</f>
        <v>117151066.27000001</v>
      </c>
      <c r="CP5" s="1955">
        <f t="shared" si="11"/>
        <v>82200</v>
      </c>
      <c r="CQ5" s="1966">
        <f t="shared" si="11"/>
        <v>117233266.27000001</v>
      </c>
      <c r="CR5" s="1955"/>
      <c r="CS5" s="1466"/>
      <c r="CT5" s="1966"/>
      <c r="CU5" s="916"/>
      <c r="CV5" s="1564"/>
      <c r="CW5" s="1564"/>
      <c r="CX5" s="1564"/>
      <c r="CY5" s="1564"/>
      <c r="CZ5" s="1564"/>
      <c r="DA5" s="1564"/>
      <c r="DB5" s="1564"/>
      <c r="DC5" s="1564"/>
      <c r="DD5" s="1564"/>
      <c r="DE5" s="1564"/>
      <c r="DF5" s="1564"/>
      <c r="DG5" s="1564"/>
      <c r="DH5" s="1564"/>
      <c r="DI5" s="1564"/>
      <c r="DJ5" s="1564"/>
      <c r="DK5" s="1564"/>
      <c r="DL5" s="1564"/>
      <c r="DM5" s="1564"/>
      <c r="DN5" s="1564"/>
      <c r="DO5" s="1564"/>
      <c r="DP5" s="1564"/>
      <c r="DQ5" s="1564"/>
      <c r="DR5" s="1564"/>
      <c r="DS5" s="1564"/>
      <c r="DT5" s="1564"/>
      <c r="DU5" s="1564"/>
      <c r="DV5" s="1564"/>
      <c r="DW5" s="1564"/>
      <c r="DX5" s="1564"/>
      <c r="DY5" s="1564"/>
      <c r="DZ5" s="1564"/>
      <c r="EA5" s="1564"/>
      <c r="EB5" s="1564"/>
      <c r="EC5" s="1564"/>
      <c r="ED5" s="1564"/>
      <c r="EE5" s="1564"/>
      <c r="EF5" s="1564"/>
      <c r="EG5" s="1564"/>
      <c r="EH5" s="1564"/>
      <c r="EI5" s="1564"/>
      <c r="EJ5" s="1564"/>
      <c r="EK5" s="1564"/>
      <c r="EL5" s="1564"/>
      <c r="EM5" s="1564"/>
      <c r="EN5" s="1564"/>
      <c r="EO5" s="1564"/>
      <c r="EP5" s="1564"/>
      <c r="EQ5" s="1564"/>
      <c r="ER5" s="1564"/>
      <c r="ES5" s="1564"/>
      <c r="ET5" s="1564"/>
      <c r="EU5" s="1564"/>
      <c r="EV5" s="1564"/>
      <c r="EW5" s="1564"/>
      <c r="EX5" s="1564"/>
      <c r="EY5" s="1564"/>
      <c r="EZ5" s="1564"/>
      <c r="FA5" s="1564"/>
      <c r="FB5" s="1564"/>
      <c r="FC5" s="1564"/>
      <c r="FD5" s="1564"/>
      <c r="FE5" s="1564"/>
      <c r="FF5" s="1564"/>
      <c r="FG5" s="1564"/>
      <c r="FH5" s="1564"/>
      <c r="FI5" s="1564"/>
      <c r="FJ5" s="1564"/>
      <c r="FK5" s="1564"/>
      <c r="FL5" s="1564"/>
      <c r="FM5" s="1564"/>
      <c r="FN5" s="1564"/>
      <c r="FO5" s="1564"/>
      <c r="FP5" s="1564"/>
      <c r="FQ5" s="1564"/>
      <c r="FR5" s="1564"/>
      <c r="FS5" s="1564"/>
      <c r="FT5" s="1564"/>
      <c r="FU5" s="1564"/>
      <c r="FV5" s="1564"/>
    </row>
    <row r="6" spans="1:178" s="1396" customFormat="1" ht="120.6" customHeight="1" outlineLevel="1">
      <c r="A6" s="1572"/>
      <c r="B6" s="1424" t="s">
        <v>17</v>
      </c>
      <c r="C6" s="1974">
        <v>116246095.55673152</v>
      </c>
      <c r="D6" s="2011"/>
      <c r="E6" s="3081">
        <f>C6+D6</f>
        <v>116246095.55673152</v>
      </c>
      <c r="F6" s="2043"/>
      <c r="G6" s="1979">
        <f>71675115.07+300000</f>
        <v>71975115.069999993</v>
      </c>
      <c r="H6" s="2051">
        <v>0</v>
      </c>
      <c r="I6" s="3082">
        <f>G6+H6</f>
        <v>71975115.069999993</v>
      </c>
      <c r="J6" s="2051"/>
      <c r="K6" s="2043"/>
      <c r="L6" s="2043"/>
      <c r="M6" s="1979"/>
      <c r="N6" s="2051"/>
      <c r="O6" s="3082">
        <f>M6+N6</f>
        <v>0</v>
      </c>
      <c r="P6" s="2051"/>
      <c r="Q6" s="2043"/>
      <c r="R6" s="3040">
        <v>6367140.5599999996</v>
      </c>
      <c r="S6" s="3049"/>
      <c r="T6" s="3083">
        <f>R6+S6</f>
        <v>6367140.5599999996</v>
      </c>
      <c r="U6" s="3049"/>
      <c r="V6" s="3044" t="s">
        <v>1497</v>
      </c>
      <c r="W6" s="3040">
        <v>10069393.84</v>
      </c>
      <c r="X6" s="3049"/>
      <c r="Y6" s="3083">
        <f>W6+X6</f>
        <v>10069393.84</v>
      </c>
      <c r="Z6" s="3049"/>
      <c r="AA6" s="3044" t="s">
        <v>1498</v>
      </c>
      <c r="AB6" s="3040">
        <v>14596554.17</v>
      </c>
      <c r="AC6" s="3049"/>
      <c r="AD6" s="3083">
        <f>AB6+AC6</f>
        <v>14596554.17</v>
      </c>
      <c r="AE6" s="3049"/>
      <c r="AF6" s="3044" t="s">
        <v>1499</v>
      </c>
      <c r="AG6" s="3040">
        <f>40833641.74-191543.69</f>
        <v>40642098.050000004</v>
      </c>
      <c r="AH6" s="3049"/>
      <c r="AI6" s="3083">
        <f>AG6+AH6</f>
        <v>40642098.050000004</v>
      </c>
      <c r="AJ6" s="3049"/>
      <c r="AK6" s="3044" t="s">
        <v>1599</v>
      </c>
      <c r="AL6" s="3040">
        <f>687983.93+495158.69+1353191.2+101104+462147.01+569352.1+131347.91+10268+201315.97+459352.26+1425420.2+160676.44+232179.71+90921.44+237729.71+228771.6+296195.12+114264.22+1318038.58+188115.88+457996+16851.2+226420.38+288485.74+367472.02</f>
        <v>10120759.310000001</v>
      </c>
      <c r="AM6" s="3049"/>
      <c r="AN6" s="3083">
        <f>AL6+AM6</f>
        <v>10120759.310000001</v>
      </c>
      <c r="AO6" s="3049"/>
      <c r="AP6" s="3044" t="s">
        <v>1271</v>
      </c>
      <c r="AQ6" s="3040">
        <v>9007149.8599999975</v>
      </c>
      <c r="AR6" s="3049"/>
      <c r="AS6" s="3083">
        <f>AQ6+AR6</f>
        <v>9007149.8599999975</v>
      </c>
      <c r="AT6" s="3049"/>
      <c r="AU6" s="3049"/>
      <c r="AV6" s="3040">
        <f>143790.94+43654.34+90324.26+171400.67+49606.97+256614.62+89239.98+87807.19+63997.12+134221.08+65849.88+154522.55+370532.12+298509.13+233262.74+6017.3+6814.46+145350.58+178561.92</f>
        <v>2590077.8499999996</v>
      </c>
      <c r="AW6" s="3049"/>
      <c r="AX6" s="3083">
        <f>AV6+AW6</f>
        <v>2590077.8499999996</v>
      </c>
      <c r="AY6" s="3049"/>
      <c r="AZ6" s="3044" t="s">
        <v>1327</v>
      </c>
      <c r="BA6" s="3040">
        <f>280633.03+22189.5+117375.41+34950.32+49131.3+29101.46+153245.24+864575.47+365068.42+332436.62+64677.56+80545.24+97357.45+901804.43</f>
        <v>3393091.4500000007</v>
      </c>
      <c r="BB6" s="3049"/>
      <c r="BC6" s="3083">
        <f>BA6+BB6</f>
        <v>3393091.4500000007</v>
      </c>
      <c r="BD6" s="3044"/>
      <c r="BE6" s="3044" t="s">
        <v>1336</v>
      </c>
      <c r="BF6" s="3040">
        <f>300000+16364.28+354383.22+1329168.68+922645.63+1592084.62+1831750.16+128616.35+694370.48+895201.25</f>
        <v>8064584.6699999999</v>
      </c>
      <c r="BG6" s="3049"/>
      <c r="BH6" s="3083">
        <f>BF6+BG6</f>
        <v>8064584.6699999999</v>
      </c>
      <c r="BI6" s="3044"/>
      <c r="BJ6" s="3044" t="s">
        <v>1378</v>
      </c>
      <c r="BK6" s="3040">
        <f>348777.38+321007.63+701597.32+156068.29+1898008.08+890777.03+3664704.94+660828.67+1096764.79+120858.72+180580.36+139736.04+395000</f>
        <v>10574709.249999998</v>
      </c>
      <c r="BL6" s="3049"/>
      <c r="BM6" s="3083">
        <f>BK6+BL6</f>
        <v>10574709.249999998</v>
      </c>
      <c r="BN6" s="3049"/>
      <c r="BO6" s="3044" t="s">
        <v>1409</v>
      </c>
      <c r="BP6" s="3040">
        <f>643846.93+153545.98+171900.58+72872.11+487834.48+139771.18</f>
        <v>1669771.26</v>
      </c>
      <c r="BQ6" s="3049"/>
      <c r="BR6" s="3083">
        <f>BP6+BQ6</f>
        <v>1669771.26</v>
      </c>
      <c r="BS6" s="3049"/>
      <c r="BT6" s="3044" t="s">
        <v>1467</v>
      </c>
      <c r="BU6" s="3040"/>
      <c r="BV6" s="3049"/>
      <c r="BW6" s="3083">
        <f>BU6+BV6</f>
        <v>0</v>
      </c>
      <c r="BX6" s="3049"/>
      <c r="BY6" s="3044"/>
      <c r="BZ6" s="3040"/>
      <c r="CA6" s="3049"/>
      <c r="CB6" s="3083">
        <f>BZ6+CA6</f>
        <v>0</v>
      </c>
      <c r="CC6" s="3049"/>
      <c r="CD6" s="3044"/>
      <c r="CE6" s="3040"/>
      <c r="CF6" s="3049"/>
      <c r="CG6" s="3083">
        <f>CE6+CF6</f>
        <v>0</v>
      </c>
      <c r="CH6" s="3049"/>
      <c r="CI6" s="3044"/>
      <c r="CJ6" s="3040"/>
      <c r="CK6" s="3049"/>
      <c r="CL6" s="3083">
        <f>CJ6+CK6</f>
        <v>0</v>
      </c>
      <c r="CM6" s="3049"/>
      <c r="CN6" s="3044"/>
      <c r="CO6" s="2043">
        <f>M6+R6+W6+AB6+AG6+AL6+AQ6+AV6+BA6+BF6+BK6+BP6+BU6+BZ6+CE6+CJ6</f>
        <v>117095330.27000001</v>
      </c>
      <c r="CP6" s="2043">
        <f>N6+S6+X6+AC6+AH6+AM6+AR6+AW6+BB6+BG6+BL6+BQ6+BV6+CA6+CF6+CK6</f>
        <v>0</v>
      </c>
      <c r="CQ6" s="3081">
        <f>CO6+CP6</f>
        <v>117095330.27000001</v>
      </c>
      <c r="CR6" s="2043"/>
      <c r="CS6" s="2046" t="s">
        <v>1759</v>
      </c>
      <c r="CT6" s="920"/>
      <c r="CU6" s="1564"/>
      <c r="CV6" s="1564"/>
      <c r="CW6" s="3197"/>
      <c r="CX6" s="1564"/>
      <c r="CY6" s="1564"/>
      <c r="CZ6" s="1564"/>
      <c r="DA6" s="1564"/>
      <c r="DB6" s="1564"/>
      <c r="DC6" s="1564"/>
      <c r="DD6" s="1564"/>
      <c r="DE6" s="1564"/>
      <c r="DF6" s="1564"/>
      <c r="DG6" s="1564"/>
      <c r="DH6" s="1564"/>
      <c r="DI6" s="1564"/>
      <c r="DJ6" s="1564"/>
      <c r="DK6" s="1564"/>
      <c r="DL6" s="1564"/>
      <c r="DM6" s="1564"/>
      <c r="DN6" s="1564"/>
      <c r="DO6" s="1564"/>
      <c r="DP6" s="1564"/>
      <c r="DQ6" s="1564"/>
      <c r="DR6" s="1564"/>
      <c r="DS6" s="1564"/>
      <c r="DT6" s="1564"/>
      <c r="DU6" s="1564"/>
      <c r="DV6" s="1564"/>
      <c r="DW6" s="1564"/>
      <c r="DX6" s="1564"/>
      <c r="DY6" s="1564"/>
      <c r="DZ6" s="1564"/>
      <c r="EA6" s="1564"/>
      <c r="EB6" s="1564"/>
      <c r="EC6" s="1564"/>
      <c r="ED6" s="1564"/>
      <c r="EE6" s="1564"/>
      <c r="EF6" s="1564"/>
      <c r="EG6" s="1564"/>
      <c r="EH6" s="1564"/>
      <c r="EI6" s="1564"/>
      <c r="EJ6" s="1564"/>
      <c r="EK6" s="1564"/>
      <c r="EL6" s="1564"/>
      <c r="EM6" s="1564"/>
      <c r="EN6" s="1564"/>
      <c r="EO6" s="1564"/>
      <c r="EP6" s="1564"/>
      <c r="EQ6" s="1564"/>
      <c r="ER6" s="1564"/>
      <c r="ES6" s="1564"/>
      <c r="ET6" s="1564"/>
      <c r="EU6" s="1564"/>
      <c r="EV6" s="1564"/>
      <c r="EW6" s="1564"/>
      <c r="EX6" s="1564"/>
      <c r="EY6" s="1564"/>
      <c r="EZ6" s="1564"/>
      <c r="FA6" s="1564"/>
      <c r="FB6" s="1564"/>
      <c r="FC6" s="1564"/>
      <c r="FD6" s="1564"/>
      <c r="FE6" s="1564"/>
      <c r="FF6" s="1564"/>
      <c r="FG6" s="1564"/>
      <c r="FH6" s="1564"/>
      <c r="FI6" s="1564"/>
      <c r="FJ6" s="1564"/>
      <c r="FK6" s="1564"/>
      <c r="FL6" s="1564"/>
      <c r="FM6" s="1564"/>
      <c r="FN6" s="1564"/>
      <c r="FO6" s="1564"/>
      <c r="FP6" s="1564"/>
      <c r="FQ6" s="1564"/>
      <c r="FR6" s="1564"/>
      <c r="FS6" s="1564"/>
      <c r="FT6" s="1564"/>
      <c r="FU6" s="1564"/>
      <c r="FV6" s="1564"/>
    </row>
    <row r="7" spans="1:178" s="1396" customFormat="1" ht="304.2" outlineLevel="1" collapsed="1" thickBot="1">
      <c r="A7" s="1572"/>
      <c r="B7" s="3154" t="s">
        <v>41</v>
      </c>
      <c r="C7" s="2784">
        <v>861749.02078548993</v>
      </c>
      <c r="D7" s="2785"/>
      <c r="E7" s="3081">
        <f>C7+D7</f>
        <v>861749.02078548993</v>
      </c>
      <c r="F7" s="2786"/>
      <c r="G7" s="1979">
        <v>58186</v>
      </c>
      <c r="H7" s="2051">
        <v>33800</v>
      </c>
      <c r="I7" s="3082">
        <f>G7+H7</f>
        <v>91986</v>
      </c>
      <c r="J7" s="3155"/>
      <c r="K7" s="2787"/>
      <c r="L7" s="2787"/>
      <c r="M7" s="1979"/>
      <c r="N7" s="2051"/>
      <c r="O7" s="3082">
        <f>M7+N7</f>
        <v>0</v>
      </c>
      <c r="P7" s="3155"/>
      <c r="Q7" s="2787"/>
      <c r="R7" s="2051">
        <v>5000</v>
      </c>
      <c r="S7" s="2043">
        <f>7200</f>
        <v>7200</v>
      </c>
      <c r="T7" s="3081">
        <f>R7+S7</f>
        <v>12200</v>
      </c>
      <c r="U7" s="2786"/>
      <c r="V7" s="3044" t="s">
        <v>1760</v>
      </c>
      <c r="W7" s="2051"/>
      <c r="X7" s="2043"/>
      <c r="Y7" s="3081">
        <f>W7+X7</f>
        <v>0</v>
      </c>
      <c r="Z7" s="2786"/>
      <c r="AA7" s="2787"/>
      <c r="AB7" s="3040"/>
      <c r="AC7" s="3049">
        <v>33800</v>
      </c>
      <c r="AD7" s="3083">
        <f>AB7+AC7</f>
        <v>33800</v>
      </c>
      <c r="AE7" s="3156"/>
      <c r="AF7" s="3156" t="s">
        <v>1761</v>
      </c>
      <c r="AG7" s="2051"/>
      <c r="AH7" s="2043"/>
      <c r="AI7" s="3081">
        <f>AG7+AH7</f>
        <v>0</v>
      </c>
      <c r="AJ7" s="2786"/>
      <c r="AK7" s="2787"/>
      <c r="AL7" s="2051"/>
      <c r="AM7" s="2043"/>
      <c r="AN7" s="3081">
        <f>AL7+AM7</f>
        <v>0</v>
      </c>
      <c r="AO7" s="2786"/>
      <c r="AP7" s="2787"/>
      <c r="AQ7" s="2051">
        <v>27986</v>
      </c>
      <c r="AR7" s="2043"/>
      <c r="AS7" s="3081">
        <f>AQ7+AR7</f>
        <v>27986</v>
      </c>
      <c r="AT7" s="2786"/>
      <c r="AU7" s="2787" t="s">
        <v>1762</v>
      </c>
      <c r="AV7" s="2051">
        <v>18000</v>
      </c>
      <c r="AW7" s="2043"/>
      <c r="AX7" s="3081">
        <f>AV7+AW7</f>
        <v>18000</v>
      </c>
      <c r="AY7" s="2786"/>
      <c r="AZ7" s="2787" t="s">
        <v>1763</v>
      </c>
      <c r="BA7" s="2051"/>
      <c r="BB7" s="2043"/>
      <c r="BC7" s="3081">
        <f>BA7+BB7</f>
        <v>0</v>
      </c>
      <c r="BD7" s="2786"/>
      <c r="BE7" s="2787"/>
      <c r="BF7" s="3040"/>
      <c r="BG7" s="3049"/>
      <c r="BH7" s="3083">
        <f>BF7+BG7</f>
        <v>0</v>
      </c>
      <c r="BI7" s="3156"/>
      <c r="BJ7" s="3156"/>
      <c r="BK7" s="2051"/>
      <c r="BL7" s="2043"/>
      <c r="BM7" s="3081">
        <f>BK7+BL7</f>
        <v>0</v>
      </c>
      <c r="BN7" s="2786"/>
      <c r="BO7" s="2055"/>
      <c r="BP7" s="3040"/>
      <c r="BQ7" s="3040">
        <f>(675587.42+8533.43)*0+41200</f>
        <v>41200</v>
      </c>
      <c r="BR7" s="3083">
        <f>BP7+BQ7</f>
        <v>41200</v>
      </c>
      <c r="BS7" s="3156"/>
      <c r="BT7" s="3044" t="s">
        <v>1764</v>
      </c>
      <c r="BU7" s="3040">
        <f>684120.85*0</f>
        <v>0</v>
      </c>
      <c r="BV7" s="3049"/>
      <c r="BW7" s="3083">
        <f>BU7+BV7</f>
        <v>0</v>
      </c>
      <c r="BX7" s="3156"/>
      <c r="BY7" s="3044" t="s">
        <v>1765</v>
      </c>
      <c r="BZ7" s="3040"/>
      <c r="CA7" s="3049"/>
      <c r="CB7" s="3083">
        <f>BZ7+CA7</f>
        <v>0</v>
      </c>
      <c r="CC7" s="3156"/>
      <c r="CD7" s="3044"/>
      <c r="CE7" s="3040"/>
      <c r="CF7" s="3049"/>
      <c r="CG7" s="3083">
        <f>CE7+CF7</f>
        <v>0</v>
      </c>
      <c r="CH7" s="3156"/>
      <c r="CI7" s="3044"/>
      <c r="CJ7" s="3040">
        <f>10*475</f>
        <v>4750</v>
      </c>
      <c r="CK7" s="3049"/>
      <c r="CL7" s="3083">
        <f>CJ7+CK7</f>
        <v>4750</v>
      </c>
      <c r="CM7" s="3156"/>
      <c r="CN7" s="3044" t="s">
        <v>1766</v>
      </c>
      <c r="CO7" s="2043">
        <f>M7+R7+W7+AB7+AG7+AL7+AQ7+AV7+BA7+BF7+BK7+BP7+BU7+BZ7+CE7+CJ7</f>
        <v>55736</v>
      </c>
      <c r="CP7" s="2043">
        <f>N7+S7+X7+AC7+AH7+AM7+AR7+AW7+BB7+BG7+BL7+BQ7+BV7+CA7+CF7+CK7</f>
        <v>82200</v>
      </c>
      <c r="CQ7" s="3081">
        <f>CO7+CP7</f>
        <v>137936</v>
      </c>
      <c r="CR7" s="2786"/>
      <c r="CS7" s="3140" t="s">
        <v>1787</v>
      </c>
      <c r="CT7" s="919"/>
      <c r="CU7" s="3198"/>
      <c r="CV7" s="1564"/>
      <c r="CW7" s="3197"/>
      <c r="CX7" s="1564"/>
      <c r="CY7" s="1564"/>
      <c r="CZ7" s="1564"/>
      <c r="DA7" s="1564"/>
      <c r="DB7" s="1564"/>
      <c r="DC7" s="1564"/>
      <c r="DD7" s="1564"/>
      <c r="DE7" s="1564"/>
      <c r="DF7" s="1564"/>
      <c r="DG7" s="1564"/>
      <c r="DH7" s="1564"/>
      <c r="DI7" s="1564"/>
      <c r="DJ7" s="1564"/>
      <c r="DK7" s="1564"/>
      <c r="DL7" s="1564"/>
      <c r="DM7" s="1564"/>
      <c r="DN7" s="1564"/>
      <c r="DO7" s="1564"/>
      <c r="DP7" s="1564"/>
      <c r="DQ7" s="1564"/>
      <c r="DR7" s="1564"/>
      <c r="DS7" s="1564"/>
      <c r="DT7" s="1564"/>
      <c r="DU7" s="1564"/>
      <c r="DV7" s="1564"/>
      <c r="DW7" s="1564"/>
      <c r="DX7" s="1564"/>
      <c r="DY7" s="1564"/>
      <c r="DZ7" s="1564"/>
      <c r="EA7" s="1564"/>
      <c r="EB7" s="1564"/>
      <c r="EC7" s="1564"/>
      <c r="ED7" s="1564"/>
      <c r="EE7" s="1564"/>
      <c r="EF7" s="1564"/>
      <c r="EG7" s="1564"/>
      <c r="EH7" s="1564"/>
      <c r="EI7" s="1564"/>
      <c r="EJ7" s="1564"/>
      <c r="EK7" s="1564"/>
      <c r="EL7" s="1564"/>
      <c r="EM7" s="1564"/>
      <c r="EN7" s="1564"/>
      <c r="EO7" s="1564"/>
      <c r="EP7" s="1564"/>
      <c r="EQ7" s="1564"/>
      <c r="ER7" s="1564"/>
      <c r="ES7" s="1564"/>
      <c r="ET7" s="1564"/>
      <c r="EU7" s="1564"/>
      <c r="EV7" s="1564"/>
      <c r="EW7" s="1564"/>
      <c r="EX7" s="1564"/>
      <c r="EY7" s="1564"/>
      <c r="EZ7" s="1564"/>
      <c r="FA7" s="1564"/>
      <c r="FB7" s="1564"/>
      <c r="FC7" s="1564"/>
      <c r="FD7" s="1564"/>
      <c r="FE7" s="1564"/>
      <c r="FF7" s="1564"/>
      <c r="FG7" s="1564"/>
      <c r="FH7" s="1564"/>
      <c r="FI7" s="1564"/>
      <c r="FJ7" s="1564"/>
      <c r="FK7" s="1564"/>
      <c r="FL7" s="1564"/>
      <c r="FM7" s="1564"/>
      <c r="FN7" s="1564"/>
      <c r="FO7" s="1564"/>
      <c r="FP7" s="1564"/>
      <c r="FQ7" s="1564"/>
      <c r="FR7" s="1564"/>
      <c r="FS7" s="1564"/>
      <c r="FT7" s="1564"/>
      <c r="FU7" s="1564"/>
      <c r="FV7" s="1564"/>
    </row>
    <row r="8" spans="1:178" s="2466" customFormat="1" ht="14.4" customHeight="1" thickBot="1">
      <c r="A8" s="1572"/>
      <c r="B8" s="970" t="s">
        <v>16</v>
      </c>
      <c r="C8" s="1957">
        <f>SUM(C9:C33)</f>
        <v>0</v>
      </c>
      <c r="D8" s="1957">
        <f>SUM(D9:D33)</f>
        <v>0</v>
      </c>
      <c r="E8" s="1484">
        <f>SUM(E9:E33)</f>
        <v>0</v>
      </c>
      <c r="F8" s="1528" t="e">
        <f t="shared" ref="F8:F33" si="12">E8/$E$89</f>
        <v>#DIV/0!</v>
      </c>
      <c r="G8" s="1957">
        <f>SUM(G9:G33)</f>
        <v>49124967.185999997</v>
      </c>
      <c r="H8" s="1484">
        <f>SUM(H9:H33)</f>
        <v>4713059.05</v>
      </c>
      <c r="I8" s="1957">
        <f>SUM(I9:I33)</f>
        <v>53838026.236000009</v>
      </c>
      <c r="J8" s="1969">
        <f>I8/I$89</f>
        <v>0.9833812307920301</v>
      </c>
      <c r="K8" s="1600"/>
      <c r="L8" s="1600"/>
      <c r="M8" s="1957">
        <f>SUM(M9:M33)</f>
        <v>850777.49</v>
      </c>
      <c r="N8" s="1484">
        <f>SUM(N9:N33)</f>
        <v>279053.75</v>
      </c>
      <c r="O8" s="1957">
        <f>SUM(O9:O33)</f>
        <v>1129831.24</v>
      </c>
      <c r="P8" s="1969">
        <f t="shared" ref="P8:P33" si="13">O8/$AS$89</f>
        <v>0.16245677284352289</v>
      </c>
      <c r="Q8" s="1600"/>
      <c r="R8" s="1957">
        <f>SUM(R9:R33)</f>
        <v>2508966.2739999997</v>
      </c>
      <c r="S8" s="1484">
        <f>SUM(S9:S33)</f>
        <v>676989.8</v>
      </c>
      <c r="T8" s="1484">
        <f>SUM(T9:T33)</f>
        <v>3185956.0739999996</v>
      </c>
      <c r="U8" s="1528">
        <f t="shared" ref="U8:U33" si="14">T8/$AS$89</f>
        <v>0.45810393966736129</v>
      </c>
      <c r="V8" s="1600"/>
      <c r="W8" s="1957">
        <f>SUM(W9:W33)</f>
        <v>5649753.2079999987</v>
      </c>
      <c r="X8" s="1957">
        <f>SUM(X9:X33)</f>
        <v>1009669.83</v>
      </c>
      <c r="Y8" s="1484">
        <f>SUM(Y9:Y33)</f>
        <v>6659423.0379999988</v>
      </c>
      <c r="Z8" s="1528">
        <f t="shared" ref="Z8:Z33" si="15">Y8/$AS$89</f>
        <v>0.95754864748941526</v>
      </c>
      <c r="AA8" s="1600"/>
      <c r="AB8" s="1773">
        <f>SUM(AB9:AB33)</f>
        <v>10383543.917999998</v>
      </c>
      <c r="AC8" s="1773">
        <f>SUM(AC9:AC33)</f>
        <v>1157723.7999999998</v>
      </c>
      <c r="AD8" s="1774">
        <f>SUM(AD9:AD33)</f>
        <v>11541267.717999998</v>
      </c>
      <c r="AE8" s="1775">
        <f t="shared" ref="AE8:AE33" si="16">AD8/$AS$89</f>
        <v>1.659501916400727</v>
      </c>
      <c r="AF8" s="1771"/>
      <c r="AG8" s="1957">
        <f>SUM(AG9:AG33)</f>
        <v>30045602.292000003</v>
      </c>
      <c r="AH8" s="1957">
        <f>SUM(AH9:AH33)</f>
        <v>1608506.8099999998</v>
      </c>
      <c r="AI8" s="1484">
        <f>SUM(AI9:AI33)</f>
        <v>31654109.102000002</v>
      </c>
      <c r="AJ8" s="1528">
        <f t="shared" ref="AJ8:AJ33" si="17">AI8/$AS$89</f>
        <v>4.5514978077148101</v>
      </c>
      <c r="AK8" s="1600"/>
      <c r="AL8" s="1957">
        <f>SUM(AL9:AL33)</f>
        <v>5120880.9239999996</v>
      </c>
      <c r="AM8" s="1957">
        <f>SUM(AM9:AM33)</f>
        <v>1114643.3899999999</v>
      </c>
      <c r="AN8" s="1484">
        <f>SUM(AN9:AN33)</f>
        <v>6235524.3140000002</v>
      </c>
      <c r="AO8" s="1528">
        <f>AN8/$AN$89</f>
        <v>0.97247529174731395</v>
      </c>
      <c r="AP8" s="1600"/>
      <c r="AQ8" s="1957">
        <f>SUM(AQ9:AQ33)</f>
        <v>5979483.6419999991</v>
      </c>
      <c r="AR8" s="1957">
        <f>SUM(AR9:AR33)</f>
        <v>779534.22</v>
      </c>
      <c r="AS8" s="1484">
        <f>SUM(AS9:AS33)</f>
        <v>6759017.8619999997</v>
      </c>
      <c r="AT8" s="1528">
        <f t="shared" ref="AT8:AT33" si="18">AS8/$AS$89</f>
        <v>0.97186924080117287</v>
      </c>
      <c r="AU8" s="1600"/>
      <c r="AV8" s="1957">
        <f>SUM(AV9:AV33)</f>
        <v>2116879.986</v>
      </c>
      <c r="AW8" s="1957">
        <f>SUM(AW9:AW33)</f>
        <v>630805.27999999991</v>
      </c>
      <c r="AX8" s="1484">
        <f>SUM(AX9:AX33)</f>
        <v>2747685.2659999998</v>
      </c>
      <c r="AY8" s="1528">
        <f t="shared" ref="AY8:AY33" si="19">AX8/$AX$89</f>
        <v>0.94763544420103529</v>
      </c>
      <c r="AZ8" s="1600"/>
      <c r="BA8" s="1957">
        <f>SUM(BA9:BA33)</f>
        <v>2409386.2419999996</v>
      </c>
      <c r="BB8" s="1957">
        <f>SUM(BB9:BB33)</f>
        <v>908728.84000000008</v>
      </c>
      <c r="BC8" s="1484">
        <f>SUM(BC9:BC33)</f>
        <v>3318115.0819999995</v>
      </c>
      <c r="BD8" s="1528">
        <f t="shared" ref="BD8:BD33" si="20">BC8/$BC$89</f>
        <v>0.9464733461518271</v>
      </c>
      <c r="BE8" s="1600"/>
      <c r="BF8" s="1957">
        <f>SUM(BF9:BF33)</f>
        <v>3754619.16</v>
      </c>
      <c r="BG8" s="1957">
        <f>SUM(BG9:BG33)</f>
        <v>624531.01</v>
      </c>
      <c r="BH8" s="1484">
        <f>SUM(BH9:BH33)</f>
        <v>4379150.17</v>
      </c>
      <c r="BI8" s="1528">
        <f>BH8/BH$89</f>
        <v>0.96062263805219339</v>
      </c>
      <c r="BJ8" s="1600"/>
      <c r="BK8" s="1957">
        <f>SUM(BK9:BK33)</f>
        <v>4688266.57</v>
      </c>
      <c r="BL8" s="1957">
        <f>SUM(BL9:BL33)</f>
        <v>1181798.69</v>
      </c>
      <c r="BM8" s="1484">
        <f>SUM(BM9:BM33)</f>
        <v>5870065.2599999998</v>
      </c>
      <c r="BN8" s="1528">
        <f>BM8/BM$89</f>
        <v>0.96746177204742023</v>
      </c>
      <c r="BO8" s="1600"/>
      <c r="BP8" s="1957">
        <f>SUM(BP9:BP33)</f>
        <v>1577787.872</v>
      </c>
      <c r="BQ8" s="1957">
        <f>SUM(BQ9:BQ33)</f>
        <v>702356.1</v>
      </c>
      <c r="BR8" s="1484">
        <f>SUM(BR9:BR33)</f>
        <v>2280143.9720000001</v>
      </c>
      <c r="BS8" s="1528">
        <f>BR8/BR$89</f>
        <v>0.93123460888910492</v>
      </c>
      <c r="BT8" s="1600"/>
      <c r="BU8" s="1957">
        <f>SUM(BU9:BU33)</f>
        <v>147455.12600000002</v>
      </c>
      <c r="BV8" s="1957">
        <f>SUM(BV9:BV33)</f>
        <v>290000</v>
      </c>
      <c r="BW8" s="1484">
        <f>SUM(BW9:BW33)</f>
        <v>437455.12600000005</v>
      </c>
      <c r="BX8" s="1528">
        <f>BW8/BW$89</f>
        <v>0.81038375056551137</v>
      </c>
      <c r="BY8" s="1600"/>
      <c r="BZ8" s="1957">
        <f>SUM(BZ9:BZ33)</f>
        <v>3567778.71</v>
      </c>
      <c r="CA8" s="1957">
        <f>SUM(CA9:CA33)</f>
        <v>0</v>
      </c>
      <c r="CB8" s="1484">
        <f>SUM(CB9:CB33)</f>
        <v>3567778.71</v>
      </c>
      <c r="CC8" s="1528">
        <f>CB8/CB$89</f>
        <v>0.99782844743094823</v>
      </c>
      <c r="CD8" s="1600"/>
      <c r="CE8" s="1957">
        <f>SUM(CE9:CE33)</f>
        <v>2009530.5899999999</v>
      </c>
      <c r="CF8" s="1957">
        <f>SUM(CF9:CF33)</f>
        <v>0</v>
      </c>
      <c r="CG8" s="1484">
        <f>SUM(CG9:CG33)</f>
        <v>2009530.5899999999</v>
      </c>
      <c r="CH8" s="1528">
        <f>CG8/CG$89</f>
        <v>1</v>
      </c>
      <c r="CI8" s="1600"/>
      <c r="CJ8" s="1957">
        <f>SUM(CJ9:CJ33)</f>
        <v>4750</v>
      </c>
      <c r="CK8" s="1957">
        <f>SUM(CK9:CK33)</f>
        <v>0</v>
      </c>
      <c r="CL8" s="1484">
        <f>SUM(CL9:CL33)</f>
        <v>4750</v>
      </c>
      <c r="CM8" s="1528">
        <f>CL8/CL$89</f>
        <v>1</v>
      </c>
      <c r="CN8" s="1600"/>
      <c r="CO8" s="1957">
        <f>SUM(CO9:CO33)</f>
        <v>80815462.004000008</v>
      </c>
      <c r="CP8" s="1957">
        <f>SUM(CP9:CP33)</f>
        <v>10964341.52</v>
      </c>
      <c r="CQ8" s="1484">
        <f>SUM(CQ9:CQ33)</f>
        <v>91779803.524000019</v>
      </c>
      <c r="CR8" s="1528">
        <f t="shared" ref="CR8:CR33" si="21">CQ8/$CQ$89</f>
        <v>0.97544175079347895</v>
      </c>
      <c r="CS8" s="1466"/>
      <c r="CT8" s="919"/>
      <c r="CU8" s="1564"/>
      <c r="CV8" s="1564"/>
      <c r="CW8" s="1564"/>
      <c r="CX8" s="1564"/>
      <c r="CY8" s="1564"/>
      <c r="CZ8" s="1564"/>
      <c r="DA8" s="1564"/>
      <c r="DB8" s="1564"/>
      <c r="DC8" s="1564"/>
      <c r="DD8" s="1564"/>
      <c r="DE8" s="1564"/>
      <c r="DF8" s="1564"/>
      <c r="DG8" s="1564"/>
      <c r="DH8" s="1564"/>
      <c r="DI8" s="1564"/>
      <c r="DJ8" s="1564"/>
      <c r="DK8" s="1564"/>
      <c r="DL8" s="1564"/>
      <c r="DM8" s="1564"/>
      <c r="DN8" s="1564"/>
      <c r="DO8" s="1564"/>
      <c r="DP8" s="1564"/>
      <c r="DQ8" s="1564"/>
      <c r="DR8" s="1564"/>
      <c r="DS8" s="1564"/>
      <c r="DT8" s="1564"/>
      <c r="DU8" s="1564"/>
      <c r="DV8" s="1564"/>
      <c r="DW8" s="1564"/>
      <c r="DX8" s="1564"/>
      <c r="DY8" s="1564"/>
      <c r="DZ8" s="1564"/>
      <c r="EA8" s="1564"/>
      <c r="EB8" s="1564"/>
      <c r="EC8" s="1564"/>
      <c r="ED8" s="1564"/>
      <c r="EE8" s="1564"/>
      <c r="EF8" s="1564"/>
      <c r="EG8" s="1564"/>
      <c r="EH8" s="1564"/>
      <c r="EI8" s="1564"/>
      <c r="EJ8" s="1564"/>
      <c r="EK8" s="1564"/>
      <c r="EL8" s="1564"/>
      <c r="EM8" s="1564"/>
      <c r="EN8" s="1564"/>
      <c r="EO8" s="1564"/>
      <c r="EP8" s="1564"/>
      <c r="EQ8" s="1564"/>
      <c r="ER8" s="1564"/>
      <c r="ES8" s="1564"/>
      <c r="ET8" s="1564"/>
      <c r="EU8" s="1564"/>
      <c r="EV8" s="1564"/>
      <c r="EW8" s="1564"/>
      <c r="EX8" s="1564"/>
      <c r="EY8" s="1564"/>
      <c r="EZ8" s="1564"/>
      <c r="FA8" s="1564"/>
      <c r="FB8" s="1564"/>
      <c r="FC8" s="1564"/>
      <c r="FD8" s="1564"/>
      <c r="FE8" s="1564"/>
      <c r="FF8" s="1564"/>
      <c r="FG8" s="1564"/>
      <c r="FH8" s="1564"/>
      <c r="FI8" s="1564"/>
      <c r="FJ8" s="1564"/>
      <c r="FK8" s="1564"/>
      <c r="FL8" s="1564"/>
      <c r="FM8" s="1564"/>
      <c r="FN8" s="1564"/>
      <c r="FO8" s="1564"/>
      <c r="FP8" s="1564"/>
      <c r="FQ8" s="1564"/>
      <c r="FR8" s="1564"/>
      <c r="FS8" s="1564"/>
      <c r="FT8" s="1564"/>
      <c r="FU8" s="1564"/>
      <c r="FV8" s="1564"/>
    </row>
    <row r="9" spans="1:178" s="1396" customFormat="1" ht="37.950000000000003" customHeight="1">
      <c r="A9" s="1572"/>
      <c r="B9" s="799" t="s">
        <v>74</v>
      </c>
      <c r="C9" s="1964"/>
      <c r="D9" s="1510"/>
      <c r="E9" s="3084">
        <f t="shared" ref="E9:E33" si="22">C9+D9</f>
        <v>0</v>
      </c>
      <c r="F9" s="1559" t="e">
        <f t="shared" si="12"/>
        <v>#DIV/0!</v>
      </c>
      <c r="G9" s="2532">
        <v>832913.70000000007</v>
      </c>
      <c r="H9" s="2083">
        <v>0</v>
      </c>
      <c r="I9" s="1982">
        <f>G9+H9*1</f>
        <v>832913.70000000007</v>
      </c>
      <c r="J9" s="2533">
        <f t="shared" ref="J9:J36" si="23">I9/I$89</f>
        <v>1.5213627926460889E-2</v>
      </c>
      <c r="K9" s="2534"/>
      <c r="L9" s="2534"/>
      <c r="M9" s="3034">
        <v>112903.98</v>
      </c>
      <c r="N9" s="3035">
        <v>0</v>
      </c>
      <c r="O9" s="3036">
        <f>M9+N9*1</f>
        <v>112903.98</v>
      </c>
      <c r="P9" s="3037">
        <f t="shared" si="13"/>
        <v>1.6234297284955276E-2</v>
      </c>
      <c r="Q9" s="3038"/>
      <c r="R9" s="3034">
        <v>173603.46</v>
      </c>
      <c r="S9" s="3035">
        <v>0</v>
      </c>
      <c r="T9" s="3047">
        <f>R9+S9*1</f>
        <v>173603.46</v>
      </c>
      <c r="U9" s="3050">
        <f t="shared" si="14"/>
        <v>2.4962186269579176E-2</v>
      </c>
      <c r="V9" s="3051"/>
      <c r="W9" s="3035">
        <v>186798.83</v>
      </c>
      <c r="X9" s="3060"/>
      <c r="Y9" s="3061">
        <f>W9+X9*1</f>
        <v>186798.83</v>
      </c>
      <c r="Z9" s="3050">
        <f t="shared" si="15"/>
        <v>2.6859529121133038E-2</v>
      </c>
      <c r="AA9" s="3044" t="s">
        <v>1500</v>
      </c>
      <c r="AB9" s="3040">
        <v>158675.04</v>
      </c>
      <c r="AC9" s="3060"/>
      <c r="AD9" s="3064">
        <f>AB9+AC9*1</f>
        <v>158675.04</v>
      </c>
      <c r="AE9" s="3050">
        <f t="shared" si="16"/>
        <v>2.2815650706575357E-2</v>
      </c>
      <c r="AF9" s="3044" t="s">
        <v>1501</v>
      </c>
      <c r="AG9" s="3035">
        <v>161851.1</v>
      </c>
      <c r="AH9" s="3060"/>
      <c r="AI9" s="3061">
        <f>AG9+AH9*1</f>
        <v>161851.1</v>
      </c>
      <c r="AJ9" s="3050">
        <f t="shared" si="17"/>
        <v>2.3272331704312151E-2</v>
      </c>
      <c r="AK9" s="3071"/>
      <c r="AL9" s="3035">
        <f>115583.3+532.76</f>
        <v>116116.06</v>
      </c>
      <c r="AM9" s="3060"/>
      <c r="AN9" s="3061">
        <f t="shared" ref="AN9:AN33" si="24">AL9+AM9*1</f>
        <v>116116.06</v>
      </c>
      <c r="AO9" s="3050">
        <f t="shared" ref="AO9:AO33" si="25">AN9/$AN$89</f>
        <v>1.8109142654054063E-2</v>
      </c>
      <c r="AP9" s="3075" t="s">
        <v>1272</v>
      </c>
      <c r="AQ9" s="3040">
        <v>112280.69</v>
      </c>
      <c r="AR9" s="3060"/>
      <c r="AS9" s="3061">
        <f>AQ9+AR9*1</f>
        <v>112280.69</v>
      </c>
      <c r="AT9" s="3050">
        <f t="shared" si="18"/>
        <v>1.6144675332259367E-2</v>
      </c>
      <c r="AU9" s="3071"/>
      <c r="AV9" s="3035">
        <v>92573.03</v>
      </c>
      <c r="AW9" s="3060"/>
      <c r="AX9" s="3061">
        <f>AV9+AW9*1</f>
        <v>92573.03</v>
      </c>
      <c r="AY9" s="1559">
        <f t="shared" si="19"/>
        <v>3.1927049830126272E-2</v>
      </c>
      <c r="AZ9" s="1580"/>
      <c r="BA9" s="3035">
        <f>85985.58+61398.09</f>
        <v>147383.66999999998</v>
      </c>
      <c r="BB9" s="3060"/>
      <c r="BC9" s="3061">
        <f>BA9+BB9*1</f>
        <v>147383.66999999998</v>
      </c>
      <c r="BD9" s="3050">
        <f t="shared" si="20"/>
        <v>4.2040348772037155E-2</v>
      </c>
      <c r="BE9" s="3071"/>
      <c r="BF9" s="3035">
        <v>54343.14</v>
      </c>
      <c r="BG9" s="3060"/>
      <c r="BH9" s="3061">
        <f>BF9+BG9*1</f>
        <v>54343.14</v>
      </c>
      <c r="BI9" s="3050">
        <f t="shared" ref="BI9:BI36" si="26">BH9/BH$89</f>
        <v>1.1920863290888166E-2</v>
      </c>
      <c r="BJ9" s="3075" t="s">
        <v>1379</v>
      </c>
      <c r="BK9" s="3035">
        <v>56018.5</v>
      </c>
      <c r="BL9" s="3060"/>
      <c r="BM9" s="3061">
        <f>BK9+BL9*1</f>
        <v>56018.5</v>
      </c>
      <c r="BN9" s="3050">
        <f t="shared" ref="BN9:BN33" si="27">BM9/BM$89</f>
        <v>9.2325646951050104E-3</v>
      </c>
      <c r="BO9" s="3075" t="s">
        <v>1413</v>
      </c>
      <c r="BP9" s="3040">
        <v>28901.34</v>
      </c>
      <c r="BQ9" s="3049"/>
      <c r="BR9" s="3061">
        <f>BP9+BQ9*1</f>
        <v>28901.34</v>
      </c>
      <c r="BS9" s="3050">
        <f t="shared" ref="BS9:BS33" si="28">BR9/BR$89</f>
        <v>1.1803609062310143E-2</v>
      </c>
      <c r="BT9" s="3044" t="s">
        <v>1468</v>
      </c>
      <c r="BU9" s="3040"/>
      <c r="BV9" s="3049"/>
      <c r="BW9" s="3061">
        <f>BU9+BV9*1</f>
        <v>0</v>
      </c>
      <c r="BX9" s="3050">
        <f t="shared" ref="BX9:BX33" si="29">BW9/BW$89</f>
        <v>0</v>
      </c>
      <c r="BY9" s="3044"/>
      <c r="BZ9" s="3040"/>
      <c r="CA9" s="3049"/>
      <c r="CB9" s="3061">
        <f>BZ9+CA9*1</f>
        <v>0</v>
      </c>
      <c r="CC9" s="3050">
        <f t="shared" ref="CC9:CC33" si="30">CB9/CB$89</f>
        <v>0</v>
      </c>
      <c r="CD9" s="3044"/>
      <c r="CE9" s="3040"/>
      <c r="CF9" s="3049"/>
      <c r="CG9" s="3061">
        <f>CE9+CF9*1</f>
        <v>0</v>
      </c>
      <c r="CH9" s="3050">
        <f t="shared" ref="CH9:CH33" si="31">CG9/CG$89</f>
        <v>0</v>
      </c>
      <c r="CI9" s="3044"/>
      <c r="CJ9" s="3040"/>
      <c r="CK9" s="3049"/>
      <c r="CL9" s="3061">
        <f>CJ9+CK9*1</f>
        <v>0</v>
      </c>
      <c r="CM9" s="3050">
        <f t="shared" ref="CM9:CM33" si="32">CL9/CL$89</f>
        <v>0</v>
      </c>
      <c r="CN9" s="3044"/>
      <c r="CO9" s="2043">
        <f t="shared" ref="CO9:CO33" si="33">M9+R9+W9+AB9+AG9+AL9+AQ9+AV9+BA9+BF9+BK9+BP9+BU9+BZ9+CE9+CJ9</f>
        <v>1401448.8399999999</v>
      </c>
      <c r="CP9" s="2043">
        <f t="shared" ref="CP9:CP33" si="34">N9+S9+X9+AC9+AH9+AM9+AR9+AW9+BB9+BG9+BL9+BQ9+BV9+CA9+CF9+CK9</f>
        <v>0</v>
      </c>
      <c r="CQ9" s="3076">
        <f t="shared" ref="CQ9:CQ33" si="35">CO9+CP9*1</f>
        <v>1401448.8399999999</v>
      </c>
      <c r="CR9" s="1559">
        <f t="shared" si="21"/>
        <v>1.4894689873460201E-2</v>
      </c>
      <c r="CS9" s="1580"/>
      <c r="CT9" s="919"/>
      <c r="CU9" s="1564"/>
      <c r="CV9" s="1564"/>
      <c r="CW9" s="1564"/>
      <c r="CX9" s="1564"/>
      <c r="CY9" s="1564"/>
      <c r="CZ9" s="1564"/>
      <c r="DA9" s="1564"/>
      <c r="DB9" s="1564"/>
      <c r="DC9" s="1564"/>
      <c r="DD9" s="1564"/>
      <c r="DE9" s="1564"/>
      <c r="DF9" s="1564"/>
      <c r="DG9" s="1564"/>
      <c r="DH9" s="1564"/>
      <c r="DI9" s="1564"/>
      <c r="DJ9" s="1564"/>
      <c r="DK9" s="1564"/>
      <c r="DL9" s="1564"/>
      <c r="DM9" s="1564"/>
      <c r="DN9" s="1564"/>
      <c r="DO9" s="1564"/>
      <c r="DP9" s="1564"/>
      <c r="DQ9" s="1564"/>
      <c r="DR9" s="1564"/>
      <c r="DS9" s="1564"/>
      <c r="DT9" s="1564"/>
      <c r="DU9" s="1564"/>
      <c r="DV9" s="1564"/>
      <c r="DW9" s="1564"/>
      <c r="DX9" s="1564"/>
      <c r="DY9" s="1564"/>
      <c r="DZ9" s="1564"/>
      <c r="EA9" s="1564"/>
      <c r="EB9" s="1564"/>
      <c r="EC9" s="1564"/>
      <c r="ED9" s="1564"/>
      <c r="EE9" s="1564"/>
      <c r="EF9" s="1564"/>
      <c r="EG9" s="1564"/>
      <c r="EH9" s="1564"/>
      <c r="EI9" s="1564"/>
      <c r="EJ9" s="1564"/>
      <c r="EK9" s="1564"/>
      <c r="EL9" s="1564"/>
      <c r="EM9" s="1564"/>
      <c r="EN9" s="1564"/>
      <c r="EO9" s="1564"/>
      <c r="EP9" s="1564"/>
      <c r="EQ9" s="1564"/>
      <c r="ER9" s="1564"/>
      <c r="ES9" s="1564"/>
      <c r="ET9" s="1564"/>
      <c r="EU9" s="1564"/>
      <c r="EV9" s="1564"/>
      <c r="EW9" s="1564"/>
      <c r="EX9" s="1564"/>
      <c r="EY9" s="1564"/>
      <c r="EZ9" s="1564"/>
      <c r="FA9" s="1564"/>
      <c r="FB9" s="1564"/>
      <c r="FC9" s="1564"/>
      <c r="FD9" s="1564"/>
      <c r="FE9" s="1564"/>
      <c r="FF9" s="1564"/>
      <c r="FG9" s="1564"/>
      <c r="FH9" s="1564"/>
      <c r="FI9" s="1564"/>
      <c r="FJ9" s="1564"/>
      <c r="FK9" s="1564"/>
      <c r="FL9" s="1564"/>
      <c r="FM9" s="1564"/>
      <c r="FN9" s="1564"/>
      <c r="FO9" s="1564"/>
      <c r="FP9" s="1564"/>
      <c r="FQ9" s="1564"/>
      <c r="FR9" s="1564"/>
      <c r="FS9" s="1564"/>
      <c r="FT9" s="1564"/>
      <c r="FU9" s="1564"/>
      <c r="FV9" s="1564"/>
    </row>
    <row r="10" spans="1:178" s="1396" customFormat="1" ht="13.8">
      <c r="A10" s="1572"/>
      <c r="B10" s="3085" t="s">
        <v>72</v>
      </c>
      <c r="C10" s="1485"/>
      <c r="D10" s="1486"/>
      <c r="E10" s="3081">
        <f t="shared" si="22"/>
        <v>0</v>
      </c>
      <c r="F10" s="1976" t="e">
        <f t="shared" si="12"/>
        <v>#DIV/0!</v>
      </c>
      <c r="G10" s="2535">
        <v>209423.29</v>
      </c>
      <c r="H10" s="2000">
        <v>0</v>
      </c>
      <c r="I10" s="1982">
        <f t="shared" ref="I10:I33" si="36">G10+H10*1</f>
        <v>209423.29</v>
      </c>
      <c r="J10" s="3086">
        <f t="shared" si="23"/>
        <v>3.8252318495845578E-3</v>
      </c>
      <c r="K10" s="2106"/>
      <c r="L10" s="2106"/>
      <c r="M10" s="3039">
        <v>32126.68</v>
      </c>
      <c r="N10" s="3040">
        <v>0</v>
      </c>
      <c r="O10" s="3041">
        <f t="shared" ref="O10:O33" si="37">M10+N10*1</f>
        <v>32126.68</v>
      </c>
      <c r="P10" s="3042">
        <f t="shared" si="13"/>
        <v>4.6194480823317915E-3</v>
      </c>
      <c r="Q10" s="3043"/>
      <c r="R10" s="3039">
        <v>42053.13</v>
      </c>
      <c r="S10" s="3040">
        <v>0</v>
      </c>
      <c r="T10" s="3047">
        <f t="shared" ref="T10:T33" si="38">R10+S10*1</f>
        <v>42053.13</v>
      </c>
      <c r="U10" s="3157">
        <f t="shared" si="14"/>
        <v>6.0467577332780579E-3</v>
      </c>
      <c r="V10" s="3044"/>
      <c r="W10" s="3040">
        <v>45249.4</v>
      </c>
      <c r="X10" s="3049"/>
      <c r="Y10" s="3062">
        <f t="shared" ref="Y10:Y33" si="39">W10+X10*1</f>
        <v>45249.4</v>
      </c>
      <c r="Z10" s="3157">
        <f t="shared" si="15"/>
        <v>6.5063446972007128E-3</v>
      </c>
      <c r="AA10" s="3043"/>
      <c r="AB10" s="3040">
        <v>38436.800000000003</v>
      </c>
      <c r="AC10" s="3049"/>
      <c r="AD10" s="3065">
        <f t="shared" ref="AD10:AD33" si="40">AB10+AC10*1</f>
        <v>38436.800000000003</v>
      </c>
      <c r="AE10" s="3157">
        <f t="shared" si="16"/>
        <v>5.526770959556687E-3</v>
      </c>
      <c r="AF10" s="3063"/>
      <c r="AG10" s="3040">
        <v>39206.19</v>
      </c>
      <c r="AH10" s="3049"/>
      <c r="AI10" s="3062">
        <f t="shared" ref="AI10:AI33" si="41">AG10+AH10*1</f>
        <v>39206.19</v>
      </c>
      <c r="AJ10" s="3157">
        <f t="shared" si="17"/>
        <v>5.6374004164462645E-3</v>
      </c>
      <c r="AK10" s="3063"/>
      <c r="AL10" s="3040">
        <v>28127.58</v>
      </c>
      <c r="AM10" s="3049"/>
      <c r="AN10" s="3062">
        <f t="shared" si="24"/>
        <v>28127.58</v>
      </c>
      <c r="AO10" s="3157">
        <f t="shared" si="25"/>
        <v>4.3867003301121142E-3</v>
      </c>
      <c r="AP10" s="3063"/>
      <c r="AQ10" s="3040">
        <v>27198.42</v>
      </c>
      <c r="AR10" s="3049"/>
      <c r="AS10" s="3062">
        <f t="shared" ref="AS10:AS33" si="42">AQ10+AR10*1</f>
        <v>27198.42</v>
      </c>
      <c r="AT10" s="3157">
        <f t="shared" si="18"/>
        <v>3.9108208228006954E-3</v>
      </c>
      <c r="AU10" s="3063"/>
      <c r="AV10" s="3087">
        <v>23086.22</v>
      </c>
      <c r="AW10" s="3158"/>
      <c r="AX10" s="3159">
        <f t="shared" ref="AX10:AX33" si="43">AV10+AW10*1</f>
        <v>23086.22</v>
      </c>
      <c r="AY10" s="2788">
        <f t="shared" si="19"/>
        <v>7.9620910791108144E-3</v>
      </c>
      <c r="AZ10" s="3160"/>
      <c r="BA10" s="3087">
        <f>45578.41+17757.02</f>
        <v>63335.430000000008</v>
      </c>
      <c r="BB10" s="3158"/>
      <c r="BC10" s="3159">
        <f t="shared" ref="BC10:BC33" si="44">BA10+BB10*1</f>
        <v>63335.430000000008</v>
      </c>
      <c r="BD10" s="3157">
        <f t="shared" si="20"/>
        <v>1.8066069102682446E-2</v>
      </c>
      <c r="BE10" s="3161"/>
      <c r="BF10" s="3087">
        <v>12957.85</v>
      </c>
      <c r="BG10" s="3158"/>
      <c r="BH10" s="3159">
        <f t="shared" ref="BH10:BH33" si="45">BF10+BG10*1</f>
        <v>12957.85</v>
      </c>
      <c r="BI10" s="3157">
        <f t="shared" si="26"/>
        <v>2.8424702436008523E-3</v>
      </c>
      <c r="BJ10" s="3161"/>
      <c r="BK10" s="3040">
        <v>13043.18</v>
      </c>
      <c r="BL10" s="3049"/>
      <c r="BM10" s="3062">
        <f t="shared" ref="BM10:BM33" si="46">BK10+BL10*1</f>
        <v>13043.18</v>
      </c>
      <c r="BN10" s="3157">
        <f t="shared" si="27"/>
        <v>2.1496827508751533E-3</v>
      </c>
      <c r="BO10" s="3063"/>
      <c r="BP10" s="3040">
        <v>7558.71</v>
      </c>
      <c r="BQ10" s="3049"/>
      <c r="BR10" s="3062">
        <f t="shared" ref="BR10:BR33" si="47">BP10+BQ10*1</f>
        <v>7558.71</v>
      </c>
      <c r="BS10" s="3157">
        <f t="shared" si="28"/>
        <v>3.0870560968928877E-3</v>
      </c>
      <c r="BT10" s="3044"/>
      <c r="BU10" s="3040"/>
      <c r="BV10" s="3049"/>
      <c r="BW10" s="3062">
        <f t="shared" ref="BW10:BW33" si="48">BU10+BV10*1</f>
        <v>0</v>
      </c>
      <c r="BX10" s="3157">
        <f t="shared" si="29"/>
        <v>0</v>
      </c>
      <c r="BY10" s="3044"/>
      <c r="BZ10" s="3040"/>
      <c r="CA10" s="3049"/>
      <c r="CB10" s="3062">
        <f t="shared" ref="CB10:CB33" si="49">BZ10+CA10*1</f>
        <v>0</v>
      </c>
      <c r="CC10" s="3157">
        <f t="shared" si="30"/>
        <v>0</v>
      </c>
      <c r="CD10" s="3044"/>
      <c r="CE10" s="3040"/>
      <c r="CF10" s="3049"/>
      <c r="CG10" s="3062">
        <f t="shared" ref="CG10:CG33" si="50">CE10+CF10*1</f>
        <v>0</v>
      </c>
      <c r="CH10" s="3157">
        <f t="shared" si="31"/>
        <v>0</v>
      </c>
      <c r="CI10" s="3044"/>
      <c r="CJ10" s="3040"/>
      <c r="CK10" s="3049"/>
      <c r="CL10" s="3062">
        <f t="shared" ref="CL10:CL33" si="51">CJ10+CK10*1</f>
        <v>0</v>
      </c>
      <c r="CM10" s="3157">
        <f t="shared" si="32"/>
        <v>0</v>
      </c>
      <c r="CN10" s="3044"/>
      <c r="CO10" s="3162">
        <f t="shared" si="33"/>
        <v>372379.59</v>
      </c>
      <c r="CP10" s="3162">
        <f t="shared" si="34"/>
        <v>0</v>
      </c>
      <c r="CQ10" s="3163">
        <f t="shared" si="35"/>
        <v>372379.59</v>
      </c>
      <c r="CR10" s="2788">
        <f t="shared" si="21"/>
        <v>3.9576746221119726E-3</v>
      </c>
      <c r="CS10" s="2792"/>
      <c r="CT10" s="919"/>
      <c r="CU10" s="1564"/>
      <c r="CV10" s="1564"/>
      <c r="CW10" s="1564"/>
      <c r="CX10" s="1564"/>
      <c r="CY10" s="1564"/>
      <c r="CZ10" s="1564"/>
      <c r="DA10" s="1564"/>
      <c r="DB10" s="1564"/>
      <c r="DC10" s="1564"/>
      <c r="DD10" s="1564"/>
      <c r="DE10" s="1564"/>
      <c r="DF10" s="1564"/>
      <c r="DG10" s="1564"/>
      <c r="DH10" s="1564"/>
      <c r="DI10" s="1564"/>
      <c r="DJ10" s="1564"/>
      <c r="DK10" s="1564"/>
      <c r="DL10" s="1564"/>
      <c r="DM10" s="1564"/>
      <c r="DN10" s="1564"/>
      <c r="DO10" s="1564"/>
      <c r="DP10" s="1564"/>
      <c r="DQ10" s="1564"/>
      <c r="DR10" s="1564"/>
      <c r="DS10" s="1564"/>
      <c r="DT10" s="1564"/>
      <c r="DU10" s="1564"/>
      <c r="DV10" s="1564"/>
      <c r="DW10" s="1564"/>
      <c r="DX10" s="1564"/>
      <c r="DY10" s="1564"/>
      <c r="DZ10" s="1564"/>
      <c r="EA10" s="1564"/>
      <c r="EB10" s="1564"/>
      <c r="EC10" s="1564"/>
      <c r="ED10" s="1564"/>
      <c r="EE10" s="1564"/>
      <c r="EF10" s="1564"/>
      <c r="EG10" s="1564"/>
      <c r="EH10" s="1564"/>
      <c r="EI10" s="1564"/>
      <c r="EJ10" s="1564"/>
      <c r="EK10" s="1564"/>
      <c r="EL10" s="1564"/>
      <c r="EM10" s="1564"/>
      <c r="EN10" s="1564"/>
      <c r="EO10" s="1564"/>
      <c r="EP10" s="1564"/>
      <c r="EQ10" s="1564"/>
      <c r="ER10" s="1564"/>
      <c r="ES10" s="1564"/>
      <c r="ET10" s="1564"/>
      <c r="EU10" s="1564"/>
      <c r="EV10" s="1564"/>
      <c r="EW10" s="1564"/>
      <c r="EX10" s="1564"/>
      <c r="EY10" s="1564"/>
      <c r="EZ10" s="1564"/>
      <c r="FA10" s="1564"/>
      <c r="FB10" s="1564"/>
      <c r="FC10" s="1564"/>
      <c r="FD10" s="1564"/>
      <c r="FE10" s="1564"/>
      <c r="FF10" s="1564"/>
      <c r="FG10" s="1564"/>
      <c r="FH10" s="1564"/>
      <c r="FI10" s="1564"/>
      <c r="FJ10" s="1564"/>
      <c r="FK10" s="1564"/>
      <c r="FL10" s="1564"/>
      <c r="FM10" s="1564"/>
      <c r="FN10" s="1564"/>
      <c r="FO10" s="1564"/>
      <c r="FP10" s="1564"/>
      <c r="FQ10" s="1564"/>
      <c r="FR10" s="1564"/>
      <c r="FS10" s="1564"/>
      <c r="FT10" s="1564"/>
      <c r="FU10" s="1564"/>
      <c r="FV10" s="1564"/>
    </row>
    <row r="11" spans="1:178" s="1396" customFormat="1" ht="28.2" thickBot="1">
      <c r="A11" s="1572"/>
      <c r="B11" s="3085" t="s">
        <v>69</v>
      </c>
      <c r="C11" s="1485"/>
      <c r="D11" s="1486"/>
      <c r="E11" s="3081">
        <f t="shared" si="22"/>
        <v>0</v>
      </c>
      <c r="F11" s="1976" t="e">
        <f t="shared" si="12"/>
        <v>#DIV/0!</v>
      </c>
      <c r="G11" s="2535">
        <v>238881.74</v>
      </c>
      <c r="H11" s="2000">
        <v>0</v>
      </c>
      <c r="I11" s="1982">
        <f t="shared" si="36"/>
        <v>238881.74</v>
      </c>
      <c r="J11" s="3086">
        <f t="shared" si="23"/>
        <v>4.3633066796542894E-3</v>
      </c>
      <c r="K11" s="2106"/>
      <c r="L11" s="2106"/>
      <c r="M11" s="3039">
        <v>36245.360000000001</v>
      </c>
      <c r="N11" s="3040">
        <v>0</v>
      </c>
      <c r="O11" s="3041">
        <f t="shared" si="37"/>
        <v>36245.360000000001</v>
      </c>
      <c r="P11" s="3042">
        <f t="shared" si="13"/>
        <v>5.2116670239634299E-3</v>
      </c>
      <c r="Q11" s="3043"/>
      <c r="R11" s="3039">
        <v>47803.6</v>
      </c>
      <c r="S11" s="3040">
        <v>0</v>
      </c>
      <c r="T11" s="3047">
        <f t="shared" si="38"/>
        <v>47803.6</v>
      </c>
      <c r="U11" s="3157">
        <f t="shared" si="14"/>
        <v>6.8736093598391126E-3</v>
      </c>
      <c r="V11" s="3044"/>
      <c r="W11" s="3040">
        <v>52196.43</v>
      </c>
      <c r="X11" s="3049"/>
      <c r="Y11" s="3062">
        <f t="shared" si="39"/>
        <v>52196.43</v>
      </c>
      <c r="Z11" s="3157">
        <f t="shared" si="15"/>
        <v>7.505247926896449E-3</v>
      </c>
      <c r="AA11" s="3043"/>
      <c r="AB11" s="3040">
        <v>43364.6</v>
      </c>
      <c r="AC11" s="3049"/>
      <c r="AD11" s="3065">
        <f t="shared" si="40"/>
        <v>43364.6</v>
      </c>
      <c r="AE11" s="3157">
        <f t="shared" si="16"/>
        <v>6.2353320763641066E-3</v>
      </c>
      <c r="AF11" s="3063"/>
      <c r="AG11" s="3040">
        <v>44521.01</v>
      </c>
      <c r="AH11" s="3049"/>
      <c r="AI11" s="3062">
        <f t="shared" si="41"/>
        <v>44521.01</v>
      </c>
      <c r="AJ11" s="3157">
        <f t="shared" si="17"/>
        <v>6.4016105700300972E-3</v>
      </c>
      <c r="AK11" s="3063"/>
      <c r="AL11" s="3040">
        <v>35148.69</v>
      </c>
      <c r="AM11" s="3049"/>
      <c r="AN11" s="3062">
        <f t="shared" si="24"/>
        <v>35148.69</v>
      </c>
      <c r="AO11" s="3157">
        <f t="shared" si="25"/>
        <v>5.4816934135822693E-3</v>
      </c>
      <c r="AP11" s="3063"/>
      <c r="AQ11" s="3040">
        <v>32488.65</v>
      </c>
      <c r="AR11" s="3049"/>
      <c r="AS11" s="3062">
        <f t="shared" si="42"/>
        <v>32488.65</v>
      </c>
      <c r="AT11" s="3157">
        <f t="shared" si="18"/>
        <v>4.6714952164384482E-3</v>
      </c>
      <c r="AU11" s="3063"/>
      <c r="AV11" s="3040">
        <v>27440.94</v>
      </c>
      <c r="AW11" s="3049"/>
      <c r="AX11" s="3062">
        <f t="shared" si="43"/>
        <v>27440.94</v>
      </c>
      <c r="AY11" s="2788">
        <f t="shared" si="19"/>
        <v>9.4639687041193892E-3</v>
      </c>
      <c r="AZ11" s="1615"/>
      <c r="BA11" s="3040">
        <f>51421.71+21962.34</f>
        <v>73384.05</v>
      </c>
      <c r="BB11" s="3049"/>
      <c r="BC11" s="3062">
        <f t="shared" si="44"/>
        <v>73384.05</v>
      </c>
      <c r="BD11" s="3157">
        <f t="shared" si="20"/>
        <v>2.0932380475425897E-2</v>
      </c>
      <c r="BE11" s="3063"/>
      <c r="BF11" s="3040">
        <v>13768.55</v>
      </c>
      <c r="BG11" s="3049"/>
      <c r="BH11" s="3062">
        <f t="shared" si="45"/>
        <v>13768.55</v>
      </c>
      <c r="BI11" s="3157">
        <f t="shared" si="26"/>
        <v>3.0203076646612296E-3</v>
      </c>
      <c r="BJ11" s="3063"/>
      <c r="BK11" s="3040">
        <v>12541.78</v>
      </c>
      <c r="BL11" s="3049"/>
      <c r="BM11" s="3062">
        <f t="shared" si="46"/>
        <v>12541.78</v>
      </c>
      <c r="BN11" s="3157">
        <f t="shared" si="27"/>
        <v>2.067045623174025E-3</v>
      </c>
      <c r="BO11" s="3063"/>
      <c r="BP11" s="3040">
        <v>8667.34</v>
      </c>
      <c r="BQ11" s="3049"/>
      <c r="BR11" s="3062">
        <f t="shared" si="47"/>
        <v>8667.34</v>
      </c>
      <c r="BS11" s="3157">
        <f t="shared" si="28"/>
        <v>3.5398321659176769E-3</v>
      </c>
      <c r="BT11" s="3044"/>
      <c r="BU11" s="3040"/>
      <c r="BV11" s="3049"/>
      <c r="BW11" s="3062">
        <f t="shared" si="48"/>
        <v>0</v>
      </c>
      <c r="BX11" s="3157">
        <f t="shared" si="29"/>
        <v>0</v>
      </c>
      <c r="BY11" s="3044"/>
      <c r="BZ11" s="3040"/>
      <c r="CA11" s="3049"/>
      <c r="CB11" s="3062">
        <f t="shared" si="49"/>
        <v>0</v>
      </c>
      <c r="CC11" s="3157">
        <f t="shared" si="30"/>
        <v>0</v>
      </c>
      <c r="CD11" s="3044"/>
      <c r="CE11" s="3040"/>
      <c r="CF11" s="3049"/>
      <c r="CG11" s="3062">
        <f t="shared" si="50"/>
        <v>0</v>
      </c>
      <c r="CH11" s="3157">
        <f t="shared" si="31"/>
        <v>0</v>
      </c>
      <c r="CI11" s="3044"/>
      <c r="CJ11" s="3040"/>
      <c r="CK11" s="3049"/>
      <c r="CL11" s="3062">
        <f t="shared" si="51"/>
        <v>0</v>
      </c>
      <c r="CM11" s="3157">
        <f t="shared" si="32"/>
        <v>0</v>
      </c>
      <c r="CN11" s="3044"/>
      <c r="CO11" s="2043">
        <f t="shared" si="33"/>
        <v>427571.00000000006</v>
      </c>
      <c r="CP11" s="2043">
        <f t="shared" si="34"/>
        <v>0</v>
      </c>
      <c r="CQ11" s="2478">
        <f t="shared" si="35"/>
        <v>427571.00000000006</v>
      </c>
      <c r="CR11" s="2788">
        <f t="shared" si="21"/>
        <v>4.5442525350302861E-3</v>
      </c>
      <c r="CS11" s="1434"/>
      <c r="CT11" s="919"/>
      <c r="CU11" s="1564"/>
      <c r="CV11" s="1564"/>
      <c r="CW11" s="1564"/>
      <c r="CX11" s="1564"/>
      <c r="CY11" s="1564"/>
      <c r="CZ11" s="1564"/>
      <c r="DA11" s="1564"/>
      <c r="DB11" s="1564"/>
      <c r="DC11" s="1564"/>
      <c r="DD11" s="1564"/>
      <c r="DE11" s="1564"/>
      <c r="DF11" s="1564"/>
      <c r="DG11" s="1564"/>
      <c r="DH11" s="1564"/>
      <c r="DI11" s="1564"/>
      <c r="DJ11" s="1564"/>
      <c r="DK11" s="1564"/>
      <c r="DL11" s="1564"/>
      <c r="DM11" s="1564"/>
      <c r="DN11" s="1564"/>
      <c r="DO11" s="1564"/>
      <c r="DP11" s="1564"/>
      <c r="DQ11" s="1564"/>
      <c r="DR11" s="1564"/>
      <c r="DS11" s="1564"/>
      <c r="DT11" s="1564"/>
      <c r="DU11" s="1564"/>
      <c r="DV11" s="1564"/>
      <c r="DW11" s="1564"/>
      <c r="DX11" s="1564"/>
      <c r="DY11" s="1564"/>
      <c r="DZ11" s="1564"/>
      <c r="EA11" s="1564"/>
      <c r="EB11" s="1564"/>
      <c r="EC11" s="1564"/>
      <c r="ED11" s="1564"/>
      <c r="EE11" s="1564"/>
      <c r="EF11" s="1564"/>
      <c r="EG11" s="1564"/>
      <c r="EH11" s="1564"/>
      <c r="EI11" s="1564"/>
      <c r="EJ11" s="1564"/>
      <c r="EK11" s="1564"/>
      <c r="EL11" s="1564"/>
      <c r="EM11" s="1564"/>
      <c r="EN11" s="1564"/>
      <c r="EO11" s="1564"/>
      <c r="EP11" s="1564"/>
      <c r="EQ11" s="1564"/>
      <c r="ER11" s="1564"/>
      <c r="ES11" s="1564"/>
      <c r="ET11" s="1564"/>
      <c r="EU11" s="1564"/>
      <c r="EV11" s="1564"/>
      <c r="EW11" s="1564"/>
      <c r="EX11" s="1564"/>
      <c r="EY11" s="1564"/>
      <c r="EZ11" s="1564"/>
      <c r="FA11" s="1564"/>
      <c r="FB11" s="1564"/>
      <c r="FC11" s="1564"/>
      <c r="FD11" s="1564"/>
      <c r="FE11" s="1564"/>
      <c r="FF11" s="1564"/>
      <c r="FG11" s="1564"/>
      <c r="FH11" s="1564"/>
      <c r="FI11" s="1564"/>
      <c r="FJ11" s="1564"/>
      <c r="FK11" s="1564"/>
      <c r="FL11" s="1564"/>
      <c r="FM11" s="1564"/>
      <c r="FN11" s="1564"/>
      <c r="FO11" s="1564"/>
      <c r="FP11" s="1564"/>
      <c r="FQ11" s="1564"/>
      <c r="FR11" s="1564"/>
      <c r="FS11" s="1564"/>
      <c r="FT11" s="1564"/>
      <c r="FU11" s="1564"/>
      <c r="FV11" s="1564"/>
    </row>
    <row r="12" spans="1:178" s="1396" customFormat="1" ht="51" customHeight="1">
      <c r="A12" s="1572"/>
      <c r="B12" s="3085" t="s">
        <v>73</v>
      </c>
      <c r="C12" s="1485"/>
      <c r="D12" s="1486"/>
      <c r="E12" s="3081">
        <f t="shared" si="22"/>
        <v>0</v>
      </c>
      <c r="F12" s="1976" t="e">
        <f t="shared" si="12"/>
        <v>#DIV/0!</v>
      </c>
      <c r="G12" s="2535">
        <v>151190.74</v>
      </c>
      <c r="H12" s="2000">
        <v>266785.40000000002</v>
      </c>
      <c r="I12" s="1982">
        <f t="shared" si="36"/>
        <v>417976.14</v>
      </c>
      <c r="J12" s="3086">
        <f t="shared" si="23"/>
        <v>7.6345646326844256E-3</v>
      </c>
      <c r="K12" s="1994"/>
      <c r="L12" s="1994"/>
      <c r="M12" s="3039">
        <v>31006.65</v>
      </c>
      <c r="N12" s="3040">
        <v>54993.5</v>
      </c>
      <c r="O12" s="3041">
        <f t="shared" si="37"/>
        <v>86000.15</v>
      </c>
      <c r="P12" s="3042">
        <f t="shared" si="13"/>
        <v>1.2365835125127974E-2</v>
      </c>
      <c r="Q12" s="3044" t="s">
        <v>1502</v>
      </c>
      <c r="R12" s="3039">
        <v>31006.65</v>
      </c>
      <c r="S12" s="3040">
        <v>54993.5</v>
      </c>
      <c r="T12" s="3047">
        <f t="shared" si="38"/>
        <v>86000.15</v>
      </c>
      <c r="U12" s="3157">
        <f t="shared" si="14"/>
        <v>1.2365835125127974E-2</v>
      </c>
      <c r="V12" s="3044" t="s">
        <v>1503</v>
      </c>
      <c r="W12" s="3040">
        <v>26411.66</v>
      </c>
      <c r="X12" s="3049">
        <v>45588.4</v>
      </c>
      <c r="Y12" s="3062">
        <f t="shared" si="39"/>
        <v>72000.06</v>
      </c>
      <c r="Z12" s="3157">
        <f t="shared" si="15"/>
        <v>1.0352782767929145E-2</v>
      </c>
      <c r="AA12" s="3044" t="s">
        <v>1504</v>
      </c>
      <c r="AB12" s="3040">
        <v>27776.78</v>
      </c>
      <c r="AC12" s="3049">
        <v>54605</v>
      </c>
      <c r="AD12" s="3065">
        <f t="shared" si="40"/>
        <v>82381.78</v>
      </c>
      <c r="AE12" s="3157">
        <f t="shared" si="16"/>
        <v>1.1845555022805952E-2</v>
      </c>
      <c r="AF12" s="3044" t="s">
        <v>1505</v>
      </c>
      <c r="AG12" s="3040">
        <v>31395</v>
      </c>
      <c r="AH12" s="3049">
        <v>56605</v>
      </c>
      <c r="AI12" s="3062">
        <f t="shared" si="41"/>
        <v>88000</v>
      </c>
      <c r="AJ12" s="3157">
        <f t="shared" si="17"/>
        <v>1.2653390616310109E-2</v>
      </c>
      <c r="AK12" s="3043" t="s">
        <v>1506</v>
      </c>
      <c r="AL12" s="3040">
        <v>20930</v>
      </c>
      <c r="AM12" s="3049">
        <v>39070</v>
      </c>
      <c r="AN12" s="3062">
        <f t="shared" si="24"/>
        <v>60000</v>
      </c>
      <c r="AO12" s="3157">
        <f t="shared" si="25"/>
        <v>9.3574356488089917E-3</v>
      </c>
      <c r="AP12" s="3063" t="s">
        <v>1273</v>
      </c>
      <c r="AQ12" s="3040">
        <v>20930</v>
      </c>
      <c r="AR12" s="3049">
        <f>19500-23094+19500</f>
        <v>15906</v>
      </c>
      <c r="AS12" s="3062">
        <f t="shared" si="42"/>
        <v>36836</v>
      </c>
      <c r="AT12" s="3157">
        <f t="shared" si="18"/>
        <v>5.2965942811636271E-3</v>
      </c>
      <c r="AU12" s="3063" t="s">
        <v>1294</v>
      </c>
      <c r="AV12" s="3040">
        <v>20982.98</v>
      </c>
      <c r="AW12" s="3049">
        <v>35600</v>
      </c>
      <c r="AX12" s="3062">
        <f t="shared" si="43"/>
        <v>56582.979999999996</v>
      </c>
      <c r="AY12" s="2788">
        <f t="shared" si="19"/>
        <v>1.9514621288695404E-2</v>
      </c>
      <c r="AZ12" s="2046" t="s">
        <v>1299</v>
      </c>
      <c r="BA12" s="3040">
        <f>29490.11+3594</f>
        <v>33084.11</v>
      </c>
      <c r="BB12" s="3049">
        <v>57200</v>
      </c>
      <c r="BC12" s="3062">
        <f t="shared" si="44"/>
        <v>90284.11</v>
      </c>
      <c r="BD12" s="3157">
        <f t="shared" si="20"/>
        <v>2.575302591510286E-2</v>
      </c>
      <c r="BE12" s="3063" t="s">
        <v>1337</v>
      </c>
      <c r="BF12" s="3040">
        <v>31062.15</v>
      </c>
      <c r="BG12" s="3049">
        <v>56800</v>
      </c>
      <c r="BH12" s="3062">
        <f t="shared" si="45"/>
        <v>87862.15</v>
      </c>
      <c r="BI12" s="3157">
        <f t="shared" si="26"/>
        <v>1.9273687140520579E-2</v>
      </c>
      <c r="BJ12" s="3063" t="s">
        <v>1337</v>
      </c>
      <c r="BK12" s="3040">
        <v>26627.97</v>
      </c>
      <c r="BL12" s="3049">
        <v>52800</v>
      </c>
      <c r="BM12" s="3062">
        <f t="shared" si="46"/>
        <v>79427.97</v>
      </c>
      <c r="BN12" s="3157">
        <f t="shared" si="27"/>
        <v>1.3090744515220149E-2</v>
      </c>
      <c r="BO12" s="3075" t="s">
        <v>1337</v>
      </c>
      <c r="BP12" s="3040">
        <v>10502.49</v>
      </c>
      <c r="BQ12" s="3049">
        <v>19500</v>
      </c>
      <c r="BR12" s="3062">
        <f t="shared" si="47"/>
        <v>30002.489999999998</v>
      </c>
      <c r="BS12" s="3157">
        <f t="shared" si="28"/>
        <v>1.2253330221223978E-2</v>
      </c>
      <c r="BT12" s="3044" t="s">
        <v>1469</v>
      </c>
      <c r="BU12" s="3040"/>
      <c r="BV12" s="3049"/>
      <c r="BW12" s="3062">
        <f t="shared" si="48"/>
        <v>0</v>
      </c>
      <c r="BX12" s="3157">
        <f t="shared" si="29"/>
        <v>0</v>
      </c>
      <c r="BY12" s="3044"/>
      <c r="BZ12" s="3040"/>
      <c r="CA12" s="3049"/>
      <c r="CB12" s="3062">
        <f t="shared" si="49"/>
        <v>0</v>
      </c>
      <c r="CC12" s="3157">
        <f t="shared" si="30"/>
        <v>0</v>
      </c>
      <c r="CD12" s="3044"/>
      <c r="CE12" s="3040"/>
      <c r="CF12" s="3049"/>
      <c r="CG12" s="3062">
        <f t="shared" si="50"/>
        <v>0</v>
      </c>
      <c r="CH12" s="3157">
        <f t="shared" si="31"/>
        <v>0</v>
      </c>
      <c r="CI12" s="3044"/>
      <c r="CJ12" s="3040"/>
      <c r="CK12" s="3049"/>
      <c r="CL12" s="3062">
        <f t="shared" si="51"/>
        <v>0</v>
      </c>
      <c r="CM12" s="3157">
        <f t="shared" si="32"/>
        <v>0</v>
      </c>
      <c r="CN12" s="3044"/>
      <c r="CO12" s="2043">
        <f t="shared" si="33"/>
        <v>311716.44000000006</v>
      </c>
      <c r="CP12" s="2043">
        <f t="shared" si="34"/>
        <v>543661.4</v>
      </c>
      <c r="CQ12" s="2478">
        <f t="shared" si="35"/>
        <v>855377.84000000008</v>
      </c>
      <c r="CR12" s="2788">
        <f t="shared" si="21"/>
        <v>9.0910115929956192E-3</v>
      </c>
      <c r="CS12" s="1434"/>
      <c r="CT12" s="919"/>
      <c r="CU12" s="1564"/>
      <c r="CV12" s="1564"/>
      <c r="CW12" s="1564"/>
      <c r="CX12" s="1564"/>
      <c r="CY12" s="1564"/>
      <c r="CZ12" s="1564"/>
      <c r="DA12" s="1564"/>
      <c r="DB12" s="1564"/>
      <c r="DC12" s="1564"/>
      <c r="DD12" s="1564"/>
      <c r="DE12" s="1564"/>
      <c r="DF12" s="1564"/>
      <c r="DG12" s="1564"/>
      <c r="DH12" s="1564"/>
      <c r="DI12" s="1564"/>
      <c r="DJ12" s="1564"/>
      <c r="DK12" s="1564"/>
      <c r="DL12" s="1564"/>
      <c r="DM12" s="1564"/>
      <c r="DN12" s="1564"/>
      <c r="DO12" s="1564"/>
      <c r="DP12" s="1564"/>
      <c r="DQ12" s="1564"/>
      <c r="DR12" s="1564"/>
      <c r="DS12" s="1564"/>
      <c r="DT12" s="1564"/>
      <c r="DU12" s="1564"/>
      <c r="DV12" s="1564"/>
      <c r="DW12" s="1564"/>
      <c r="DX12" s="1564"/>
      <c r="DY12" s="1564"/>
      <c r="DZ12" s="1564"/>
      <c r="EA12" s="1564"/>
      <c r="EB12" s="1564"/>
      <c r="EC12" s="1564"/>
      <c r="ED12" s="1564"/>
      <c r="EE12" s="1564"/>
      <c r="EF12" s="1564"/>
      <c r="EG12" s="1564"/>
      <c r="EH12" s="1564"/>
      <c r="EI12" s="1564"/>
      <c r="EJ12" s="1564"/>
      <c r="EK12" s="1564"/>
      <c r="EL12" s="1564"/>
      <c r="EM12" s="1564"/>
      <c r="EN12" s="1564"/>
      <c r="EO12" s="1564"/>
      <c r="EP12" s="1564"/>
      <c r="EQ12" s="1564"/>
      <c r="ER12" s="1564"/>
      <c r="ES12" s="1564"/>
      <c r="ET12" s="1564"/>
      <c r="EU12" s="1564"/>
      <c r="EV12" s="1564"/>
      <c r="EW12" s="1564"/>
      <c r="EX12" s="1564"/>
      <c r="EY12" s="1564"/>
      <c r="EZ12" s="1564"/>
      <c r="FA12" s="1564"/>
      <c r="FB12" s="1564"/>
      <c r="FC12" s="1564"/>
      <c r="FD12" s="1564"/>
      <c r="FE12" s="1564"/>
      <c r="FF12" s="1564"/>
      <c r="FG12" s="1564"/>
      <c r="FH12" s="1564"/>
      <c r="FI12" s="1564"/>
      <c r="FJ12" s="1564"/>
      <c r="FK12" s="1564"/>
      <c r="FL12" s="1564"/>
      <c r="FM12" s="1564"/>
      <c r="FN12" s="1564"/>
      <c r="FO12" s="1564"/>
      <c r="FP12" s="1564"/>
      <c r="FQ12" s="1564"/>
      <c r="FR12" s="1564"/>
      <c r="FS12" s="1564"/>
      <c r="FT12" s="1564"/>
      <c r="FU12" s="1564"/>
      <c r="FV12" s="1564"/>
    </row>
    <row r="13" spans="1:178" s="1396" customFormat="1" ht="13.8">
      <c r="A13" s="1572"/>
      <c r="B13" s="3085" t="s">
        <v>71</v>
      </c>
      <c r="C13" s="1485"/>
      <c r="D13" s="1486"/>
      <c r="E13" s="3081">
        <f t="shared" si="22"/>
        <v>0</v>
      </c>
      <c r="F13" s="1976" t="e">
        <f t="shared" si="12"/>
        <v>#DIV/0!</v>
      </c>
      <c r="G13" s="2535">
        <v>35753.300000000003</v>
      </c>
      <c r="H13" s="2000">
        <v>0</v>
      </c>
      <c r="I13" s="1982">
        <f t="shared" si="36"/>
        <v>35753.300000000003</v>
      </c>
      <c r="J13" s="3086">
        <f t="shared" si="23"/>
        <v>6.5305373575093566E-4</v>
      </c>
      <c r="K13" s="1994"/>
      <c r="L13" s="1994"/>
      <c r="M13" s="3039">
        <v>7510.95</v>
      </c>
      <c r="N13" s="3040">
        <v>0</v>
      </c>
      <c r="O13" s="3041">
        <f t="shared" si="37"/>
        <v>7510.95</v>
      </c>
      <c r="P13" s="3042">
        <f t="shared" si="13"/>
        <v>1.0799884573815274E-3</v>
      </c>
      <c r="Q13" s="3044"/>
      <c r="R13" s="3039">
        <v>7510.95</v>
      </c>
      <c r="S13" s="3040">
        <v>0</v>
      </c>
      <c r="T13" s="3047">
        <f t="shared" si="38"/>
        <v>7510.95</v>
      </c>
      <c r="U13" s="3157">
        <f t="shared" si="14"/>
        <v>1.0799884573815274E-3</v>
      </c>
      <c r="V13" s="3044"/>
      <c r="W13" s="3040">
        <v>6397.86</v>
      </c>
      <c r="X13" s="3049"/>
      <c r="Y13" s="3062">
        <f t="shared" si="39"/>
        <v>6397.86</v>
      </c>
      <c r="Z13" s="3157">
        <f t="shared" si="15"/>
        <v>9.1993888282347494E-4</v>
      </c>
      <c r="AA13" s="3043"/>
      <c r="AB13" s="3040">
        <v>6728.54</v>
      </c>
      <c r="AC13" s="3049"/>
      <c r="AD13" s="3065">
        <f t="shared" si="40"/>
        <v>6728.54</v>
      </c>
      <c r="AE13" s="3157">
        <f t="shared" si="16"/>
        <v>9.6748687383485478E-4</v>
      </c>
      <c r="AF13" s="3044"/>
      <c r="AG13" s="3040">
        <v>7605</v>
      </c>
      <c r="AH13" s="3049"/>
      <c r="AI13" s="3062">
        <f t="shared" si="41"/>
        <v>7605</v>
      </c>
      <c r="AJ13" s="3157">
        <f t="shared" si="17"/>
        <v>1.093511768602709E-3</v>
      </c>
      <c r="AK13" s="3043"/>
      <c r="AL13" s="3040">
        <v>5070</v>
      </c>
      <c r="AM13" s="3049"/>
      <c r="AN13" s="3062">
        <f t="shared" si="24"/>
        <v>5070</v>
      </c>
      <c r="AO13" s="3157">
        <f t="shared" si="25"/>
        <v>7.9070331232435976E-4</v>
      </c>
      <c r="AP13" s="3043"/>
      <c r="AQ13" s="3040">
        <v>5070</v>
      </c>
      <c r="AR13" s="3049"/>
      <c r="AS13" s="3062">
        <f t="shared" si="42"/>
        <v>5070</v>
      </c>
      <c r="AT13" s="3157">
        <f t="shared" si="18"/>
        <v>7.2900784573513931E-4</v>
      </c>
      <c r="AU13" s="3043"/>
      <c r="AV13" s="3040">
        <v>5082.84</v>
      </c>
      <c r="AW13" s="3049"/>
      <c r="AX13" s="3062">
        <f t="shared" si="43"/>
        <v>5082.84</v>
      </c>
      <c r="AY13" s="2788">
        <f t="shared" si="19"/>
        <v>1.7529952941862121E-3</v>
      </c>
      <c r="AZ13" s="2048"/>
      <c r="BA13" s="3040">
        <v>7143.57</v>
      </c>
      <c r="BB13" s="3049"/>
      <c r="BC13" s="3062">
        <f t="shared" si="44"/>
        <v>7143.57</v>
      </c>
      <c r="BD13" s="3157">
        <f t="shared" si="20"/>
        <v>2.0376624783292577E-3</v>
      </c>
      <c r="BE13" s="3043"/>
      <c r="BF13" s="3040">
        <v>7524.37</v>
      </c>
      <c r="BG13" s="3049"/>
      <c r="BH13" s="3062">
        <f t="shared" si="45"/>
        <v>7524.37</v>
      </c>
      <c r="BI13" s="3157">
        <f t="shared" si="26"/>
        <v>1.6505668630863101E-3</v>
      </c>
      <c r="BJ13" s="3043"/>
      <c r="BK13" s="3040">
        <v>6450.27</v>
      </c>
      <c r="BL13" s="3049"/>
      <c r="BM13" s="3062">
        <f t="shared" si="46"/>
        <v>6450.27</v>
      </c>
      <c r="BN13" s="3157">
        <f t="shared" si="27"/>
        <v>1.0630869279951265E-3</v>
      </c>
      <c r="BO13" s="3043"/>
      <c r="BP13" s="3040">
        <v>2544.08</v>
      </c>
      <c r="BQ13" s="3049"/>
      <c r="BR13" s="3062">
        <f t="shared" si="47"/>
        <v>2544.08</v>
      </c>
      <c r="BS13" s="3157">
        <f t="shared" si="28"/>
        <v>1.0390288389134201E-3</v>
      </c>
      <c r="BT13" s="3043"/>
      <c r="BU13" s="3040"/>
      <c r="BV13" s="3049"/>
      <c r="BW13" s="3062">
        <f t="shared" si="48"/>
        <v>0</v>
      </c>
      <c r="BX13" s="3157">
        <f t="shared" si="29"/>
        <v>0</v>
      </c>
      <c r="BY13" s="3043"/>
      <c r="BZ13" s="3040"/>
      <c r="CA13" s="3049"/>
      <c r="CB13" s="3062">
        <f t="shared" si="49"/>
        <v>0</v>
      </c>
      <c r="CC13" s="3157">
        <f t="shared" si="30"/>
        <v>0</v>
      </c>
      <c r="CD13" s="3043"/>
      <c r="CE13" s="3040"/>
      <c r="CF13" s="3049"/>
      <c r="CG13" s="3062">
        <f t="shared" si="50"/>
        <v>0</v>
      </c>
      <c r="CH13" s="3157">
        <f t="shared" si="31"/>
        <v>0</v>
      </c>
      <c r="CI13" s="3043"/>
      <c r="CJ13" s="3040"/>
      <c r="CK13" s="3049"/>
      <c r="CL13" s="3062">
        <f t="shared" si="51"/>
        <v>0</v>
      </c>
      <c r="CM13" s="3157">
        <f t="shared" si="32"/>
        <v>0</v>
      </c>
      <c r="CN13" s="3043"/>
      <c r="CO13" s="2043">
        <f t="shared" si="33"/>
        <v>74638.430000000008</v>
      </c>
      <c r="CP13" s="2043">
        <f t="shared" si="34"/>
        <v>0</v>
      </c>
      <c r="CQ13" s="2478">
        <f t="shared" si="35"/>
        <v>74638.430000000008</v>
      </c>
      <c r="CR13" s="2788">
        <f t="shared" si="21"/>
        <v>7.932621125805551E-4</v>
      </c>
      <c r="CS13" s="1434"/>
      <c r="CT13" s="919"/>
      <c r="CU13" s="1564"/>
      <c r="CV13" s="1564"/>
      <c r="CW13" s="1564"/>
      <c r="CX13" s="1564"/>
      <c r="CY13" s="1564"/>
      <c r="CZ13" s="1564"/>
      <c r="DA13" s="1564"/>
      <c r="DB13" s="1564"/>
      <c r="DC13" s="1564"/>
      <c r="DD13" s="1564"/>
      <c r="DE13" s="1564"/>
      <c r="DF13" s="1564"/>
      <c r="DG13" s="1564"/>
      <c r="DH13" s="1564"/>
      <c r="DI13" s="1564"/>
      <c r="DJ13" s="1564"/>
      <c r="DK13" s="1564"/>
      <c r="DL13" s="1564"/>
      <c r="DM13" s="1564"/>
      <c r="DN13" s="1564"/>
      <c r="DO13" s="1564"/>
      <c r="DP13" s="1564"/>
      <c r="DQ13" s="1564"/>
      <c r="DR13" s="1564"/>
      <c r="DS13" s="1564"/>
      <c r="DT13" s="1564"/>
      <c r="DU13" s="1564"/>
      <c r="DV13" s="1564"/>
      <c r="DW13" s="1564"/>
      <c r="DX13" s="1564"/>
      <c r="DY13" s="1564"/>
      <c r="DZ13" s="1564"/>
      <c r="EA13" s="1564"/>
      <c r="EB13" s="1564"/>
      <c r="EC13" s="1564"/>
      <c r="ED13" s="1564"/>
      <c r="EE13" s="1564"/>
      <c r="EF13" s="1564"/>
      <c r="EG13" s="1564"/>
      <c r="EH13" s="1564"/>
      <c r="EI13" s="1564"/>
      <c r="EJ13" s="1564"/>
      <c r="EK13" s="1564"/>
      <c r="EL13" s="1564"/>
      <c r="EM13" s="1564"/>
      <c r="EN13" s="1564"/>
      <c r="EO13" s="1564"/>
      <c r="EP13" s="1564"/>
      <c r="EQ13" s="1564"/>
      <c r="ER13" s="1564"/>
      <c r="ES13" s="1564"/>
      <c r="ET13" s="1564"/>
      <c r="EU13" s="1564"/>
      <c r="EV13" s="1564"/>
      <c r="EW13" s="1564"/>
      <c r="EX13" s="1564"/>
      <c r="EY13" s="1564"/>
      <c r="EZ13" s="1564"/>
      <c r="FA13" s="1564"/>
      <c r="FB13" s="1564"/>
      <c r="FC13" s="1564"/>
      <c r="FD13" s="1564"/>
      <c r="FE13" s="1564"/>
      <c r="FF13" s="1564"/>
      <c r="FG13" s="1564"/>
      <c r="FH13" s="1564"/>
      <c r="FI13" s="1564"/>
      <c r="FJ13" s="1564"/>
      <c r="FK13" s="1564"/>
      <c r="FL13" s="1564"/>
      <c r="FM13" s="1564"/>
      <c r="FN13" s="1564"/>
      <c r="FO13" s="1564"/>
      <c r="FP13" s="1564"/>
      <c r="FQ13" s="1564"/>
      <c r="FR13" s="1564"/>
      <c r="FS13" s="1564"/>
      <c r="FT13" s="1564"/>
      <c r="FU13" s="1564"/>
      <c r="FV13" s="1564"/>
    </row>
    <row r="14" spans="1:178" s="1396" customFormat="1" ht="13.8">
      <c r="A14" s="1572"/>
      <c r="B14" s="3085" t="s">
        <v>70</v>
      </c>
      <c r="C14" s="1485"/>
      <c r="D14" s="1486"/>
      <c r="E14" s="3081">
        <f t="shared" si="22"/>
        <v>0</v>
      </c>
      <c r="F14" s="1976" t="e">
        <f t="shared" si="12"/>
        <v>#DIV/0!</v>
      </c>
      <c r="G14" s="2535">
        <v>40336.99</v>
      </c>
      <c r="H14" s="2000">
        <v>0</v>
      </c>
      <c r="I14" s="1982">
        <f t="shared" si="36"/>
        <v>40336.99</v>
      </c>
      <c r="J14" s="3086">
        <f t="shared" si="23"/>
        <v>7.3677736064777606E-4</v>
      </c>
      <c r="K14" s="1994"/>
      <c r="L14" s="1994"/>
      <c r="M14" s="3039">
        <v>8473.86</v>
      </c>
      <c r="N14" s="3040">
        <v>0</v>
      </c>
      <c r="O14" s="3041">
        <f t="shared" si="37"/>
        <v>8473.86</v>
      </c>
      <c r="P14" s="3042">
        <f t="shared" si="13"/>
        <v>1.2184438705446091E-3</v>
      </c>
      <c r="Q14" s="3044"/>
      <c r="R14" s="3039">
        <v>8473.86</v>
      </c>
      <c r="S14" s="3040">
        <v>0</v>
      </c>
      <c r="T14" s="3047">
        <f t="shared" si="38"/>
        <v>8473.86</v>
      </c>
      <c r="U14" s="3157">
        <f t="shared" si="14"/>
        <v>1.2184438705446091E-3</v>
      </c>
      <c r="V14" s="3044"/>
      <c r="W14" s="3040">
        <v>7218.1</v>
      </c>
      <c r="X14" s="3049"/>
      <c r="Y14" s="3062">
        <f t="shared" si="39"/>
        <v>7218.1</v>
      </c>
      <c r="Z14" s="3157">
        <f t="shared" si="15"/>
        <v>1.0378799864498636E-3</v>
      </c>
      <c r="AA14" s="3043"/>
      <c r="AB14" s="3040">
        <v>7591.17</v>
      </c>
      <c r="AC14" s="3049"/>
      <c r="AD14" s="3065">
        <f t="shared" si="40"/>
        <v>7591.17</v>
      </c>
      <c r="AE14" s="3157">
        <f t="shared" si="16"/>
        <v>1.0915231732365319E-3</v>
      </c>
      <c r="AF14" s="3044"/>
      <c r="AG14" s="3040">
        <v>8580</v>
      </c>
      <c r="AH14" s="3049"/>
      <c r="AI14" s="3062">
        <f t="shared" si="41"/>
        <v>8580</v>
      </c>
      <c r="AJ14" s="3157">
        <f t="shared" si="17"/>
        <v>1.2337055850902357E-3</v>
      </c>
      <c r="AK14" s="3043"/>
      <c r="AL14" s="3040">
        <v>5720</v>
      </c>
      <c r="AM14" s="3049"/>
      <c r="AN14" s="3062">
        <f t="shared" si="24"/>
        <v>5720</v>
      </c>
      <c r="AO14" s="3157">
        <f t="shared" si="25"/>
        <v>8.9207553185312392E-4</v>
      </c>
      <c r="AP14" s="3043"/>
      <c r="AQ14" s="3040">
        <v>5720</v>
      </c>
      <c r="AR14" s="3049"/>
      <c r="AS14" s="3062">
        <f t="shared" si="42"/>
        <v>5720</v>
      </c>
      <c r="AT14" s="3157">
        <f t="shared" si="18"/>
        <v>8.2247039006015708E-4</v>
      </c>
      <c r="AU14" s="3043"/>
      <c r="AV14" s="3040">
        <v>5734.48</v>
      </c>
      <c r="AW14" s="3049"/>
      <c r="AX14" s="3062">
        <f t="shared" si="43"/>
        <v>5734.48</v>
      </c>
      <c r="AY14" s="2788">
        <f t="shared" si="19"/>
        <v>1.9777361582510858E-3</v>
      </c>
      <c r="AZ14" s="2048"/>
      <c r="BA14" s="3040">
        <v>8059.41</v>
      </c>
      <c r="BB14" s="3049"/>
      <c r="BC14" s="3062">
        <f t="shared" si="44"/>
        <v>8059.41</v>
      </c>
      <c r="BD14" s="3157">
        <f t="shared" si="20"/>
        <v>2.2989005993462098E-3</v>
      </c>
      <c r="BE14" s="3043"/>
      <c r="BF14" s="3040">
        <v>8489.0300000000007</v>
      </c>
      <c r="BG14" s="3049"/>
      <c r="BH14" s="3062">
        <f t="shared" si="45"/>
        <v>8489.0300000000007</v>
      </c>
      <c r="BI14" s="3157">
        <f t="shared" si="26"/>
        <v>1.8621773806638405E-3</v>
      </c>
      <c r="BJ14" s="3043"/>
      <c r="BK14" s="3040">
        <v>7107.98</v>
      </c>
      <c r="BL14" s="3049"/>
      <c r="BM14" s="3062">
        <f t="shared" si="46"/>
        <v>7107.98</v>
      </c>
      <c r="BN14" s="3157">
        <f t="shared" si="27"/>
        <v>1.1714859412785509E-3</v>
      </c>
      <c r="BO14" s="3043"/>
      <c r="BP14" s="3040">
        <v>2870.25</v>
      </c>
      <c r="BQ14" s="3049"/>
      <c r="BR14" s="3062">
        <f t="shared" si="47"/>
        <v>2870.25</v>
      </c>
      <c r="BS14" s="3157">
        <f t="shared" si="28"/>
        <v>1.172240072989546E-3</v>
      </c>
      <c r="BT14" s="3043"/>
      <c r="BU14" s="3040"/>
      <c r="BV14" s="3049"/>
      <c r="BW14" s="3062">
        <f t="shared" si="48"/>
        <v>0</v>
      </c>
      <c r="BX14" s="3157">
        <f t="shared" si="29"/>
        <v>0</v>
      </c>
      <c r="BY14" s="3043"/>
      <c r="BZ14" s="3040"/>
      <c r="CA14" s="3049"/>
      <c r="CB14" s="3062">
        <f t="shared" si="49"/>
        <v>0</v>
      </c>
      <c r="CC14" s="3157">
        <f t="shared" si="30"/>
        <v>0</v>
      </c>
      <c r="CD14" s="3043"/>
      <c r="CE14" s="3040"/>
      <c r="CF14" s="3049"/>
      <c r="CG14" s="3062">
        <f t="shared" si="50"/>
        <v>0</v>
      </c>
      <c r="CH14" s="3157">
        <f t="shared" si="31"/>
        <v>0</v>
      </c>
      <c r="CI14" s="3043"/>
      <c r="CJ14" s="3040"/>
      <c r="CK14" s="3049"/>
      <c r="CL14" s="3062">
        <f t="shared" si="51"/>
        <v>0</v>
      </c>
      <c r="CM14" s="3157">
        <f t="shared" si="32"/>
        <v>0</v>
      </c>
      <c r="CN14" s="3043"/>
      <c r="CO14" s="2043">
        <f t="shared" si="33"/>
        <v>84038.14</v>
      </c>
      <c r="CP14" s="2043">
        <f t="shared" si="34"/>
        <v>0</v>
      </c>
      <c r="CQ14" s="2478">
        <f t="shared" si="35"/>
        <v>84038.14</v>
      </c>
      <c r="CR14" s="2788">
        <f t="shared" si="21"/>
        <v>8.9316284484735871E-4</v>
      </c>
      <c r="CS14" s="1434"/>
      <c r="CT14" s="919"/>
      <c r="CU14" s="1564"/>
      <c r="CV14" s="1564"/>
      <c r="CW14" s="1564"/>
      <c r="CX14" s="1564"/>
      <c r="CY14" s="1564"/>
      <c r="CZ14" s="1564"/>
      <c r="DA14" s="1564"/>
      <c r="DB14" s="1564"/>
      <c r="DC14" s="1564"/>
      <c r="DD14" s="1564"/>
      <c r="DE14" s="1564"/>
      <c r="DF14" s="1564"/>
      <c r="DG14" s="1564"/>
      <c r="DH14" s="1564"/>
      <c r="DI14" s="1564"/>
      <c r="DJ14" s="1564"/>
      <c r="DK14" s="1564"/>
      <c r="DL14" s="1564"/>
      <c r="DM14" s="1564"/>
      <c r="DN14" s="1564"/>
      <c r="DO14" s="1564"/>
      <c r="DP14" s="1564"/>
      <c r="DQ14" s="1564"/>
      <c r="DR14" s="1564"/>
      <c r="DS14" s="1564"/>
      <c r="DT14" s="1564"/>
      <c r="DU14" s="1564"/>
      <c r="DV14" s="1564"/>
      <c r="DW14" s="1564"/>
      <c r="DX14" s="1564"/>
      <c r="DY14" s="1564"/>
      <c r="DZ14" s="1564"/>
      <c r="EA14" s="1564"/>
      <c r="EB14" s="1564"/>
      <c r="EC14" s="1564"/>
      <c r="ED14" s="1564"/>
      <c r="EE14" s="1564"/>
      <c r="EF14" s="1564"/>
      <c r="EG14" s="1564"/>
      <c r="EH14" s="1564"/>
      <c r="EI14" s="1564"/>
      <c r="EJ14" s="1564"/>
      <c r="EK14" s="1564"/>
      <c r="EL14" s="1564"/>
      <c r="EM14" s="1564"/>
      <c r="EN14" s="1564"/>
      <c r="EO14" s="1564"/>
      <c r="EP14" s="1564"/>
      <c r="EQ14" s="1564"/>
      <c r="ER14" s="1564"/>
      <c r="ES14" s="1564"/>
      <c r="ET14" s="1564"/>
      <c r="EU14" s="1564"/>
      <c r="EV14" s="1564"/>
      <c r="EW14" s="1564"/>
      <c r="EX14" s="1564"/>
      <c r="EY14" s="1564"/>
      <c r="EZ14" s="1564"/>
      <c r="FA14" s="1564"/>
      <c r="FB14" s="1564"/>
      <c r="FC14" s="1564"/>
      <c r="FD14" s="1564"/>
      <c r="FE14" s="1564"/>
      <c r="FF14" s="1564"/>
      <c r="FG14" s="1564"/>
      <c r="FH14" s="1564"/>
      <c r="FI14" s="1564"/>
      <c r="FJ14" s="1564"/>
      <c r="FK14" s="1564"/>
      <c r="FL14" s="1564"/>
      <c r="FM14" s="1564"/>
      <c r="FN14" s="1564"/>
      <c r="FO14" s="1564"/>
      <c r="FP14" s="1564"/>
      <c r="FQ14" s="1564"/>
      <c r="FR14" s="1564"/>
      <c r="FS14" s="1564"/>
      <c r="FT14" s="1564"/>
      <c r="FU14" s="1564"/>
      <c r="FV14" s="1564"/>
    </row>
    <row r="15" spans="1:178" s="1396" customFormat="1" ht="60" customHeight="1">
      <c r="A15" s="1572"/>
      <c r="B15" s="3085" t="s">
        <v>20</v>
      </c>
      <c r="C15" s="1485"/>
      <c r="D15" s="2790"/>
      <c r="E15" s="3081">
        <f t="shared" si="22"/>
        <v>0</v>
      </c>
      <c r="F15" s="1976" t="e">
        <f t="shared" si="12"/>
        <v>#DIV/0!</v>
      </c>
      <c r="G15" s="1979">
        <v>0</v>
      </c>
      <c r="H15" s="2051">
        <f>111794.58-10000</f>
        <v>101794.58</v>
      </c>
      <c r="I15" s="1982">
        <f t="shared" si="36"/>
        <v>101794.58</v>
      </c>
      <c r="J15" s="3003">
        <f t="shared" si="23"/>
        <v>1.8593341243520873E-3</v>
      </c>
      <c r="K15" s="2046"/>
      <c r="L15" s="2046"/>
      <c r="M15" s="1979"/>
      <c r="N15" s="2051"/>
      <c r="O15" s="1982">
        <f t="shared" si="37"/>
        <v>0</v>
      </c>
      <c r="P15" s="3003">
        <f t="shared" si="13"/>
        <v>0</v>
      </c>
      <c r="Q15" s="2046"/>
      <c r="R15" s="3039"/>
      <c r="S15" s="3040">
        <v>13444.58</v>
      </c>
      <c r="T15" s="3047">
        <f t="shared" si="38"/>
        <v>13444.58</v>
      </c>
      <c r="U15" s="3157">
        <f t="shared" si="14"/>
        <v>1.9331763910480748E-3</v>
      </c>
      <c r="V15" s="3044" t="s">
        <v>1507</v>
      </c>
      <c r="W15" s="3040"/>
      <c r="X15" s="3049">
        <v>36950</v>
      </c>
      <c r="Y15" s="3062">
        <f t="shared" si="39"/>
        <v>36950</v>
      </c>
      <c r="Z15" s="3157">
        <f t="shared" si="15"/>
        <v>5.3129861735529381E-3</v>
      </c>
      <c r="AA15" s="3044" t="s">
        <v>1508</v>
      </c>
      <c r="AB15" s="3040"/>
      <c r="AC15" s="3049">
        <v>20900</v>
      </c>
      <c r="AD15" s="3065">
        <f t="shared" si="40"/>
        <v>20900</v>
      </c>
      <c r="AE15" s="3157">
        <f t="shared" si="16"/>
        <v>3.0051802713736511E-3</v>
      </c>
      <c r="AF15" s="3044" t="s">
        <v>1509</v>
      </c>
      <c r="AG15" s="3040"/>
      <c r="AH15" s="3049">
        <v>40500</v>
      </c>
      <c r="AI15" s="3062">
        <f t="shared" si="41"/>
        <v>40500</v>
      </c>
      <c r="AJ15" s="3157">
        <f t="shared" si="17"/>
        <v>5.8234354540972659E-3</v>
      </c>
      <c r="AK15" s="3043"/>
      <c r="AL15" s="3040"/>
      <c r="AM15" s="3049">
        <v>27000</v>
      </c>
      <c r="AN15" s="3062">
        <f t="shared" si="24"/>
        <v>27000</v>
      </c>
      <c r="AO15" s="3157">
        <f t="shared" si="25"/>
        <v>4.2108460419640467E-3</v>
      </c>
      <c r="AP15" s="3043"/>
      <c r="AQ15" s="3040"/>
      <c r="AR15" s="3049">
        <v>21500</v>
      </c>
      <c r="AS15" s="3062">
        <f t="shared" si="42"/>
        <v>21500</v>
      </c>
      <c r="AT15" s="3157">
        <f t="shared" si="18"/>
        <v>3.0914533892121292E-3</v>
      </c>
      <c r="AU15" s="3043"/>
      <c r="AV15" s="3040"/>
      <c r="AW15" s="3049">
        <v>16890</v>
      </c>
      <c r="AX15" s="3062">
        <f t="shared" si="43"/>
        <v>16890</v>
      </c>
      <c r="AY15" s="2788">
        <f t="shared" si="19"/>
        <v>5.8251077190714486E-3</v>
      </c>
      <c r="AZ15" s="2048"/>
      <c r="BA15" s="3040"/>
      <c r="BB15" s="3049">
        <v>18035</v>
      </c>
      <c r="BC15" s="3062">
        <f t="shared" si="44"/>
        <v>18035</v>
      </c>
      <c r="BD15" s="3157">
        <f t="shared" si="20"/>
        <v>5.1443805823514245E-3</v>
      </c>
      <c r="BE15" s="3043"/>
      <c r="BF15" s="3040"/>
      <c r="BG15" s="3049">
        <v>18200</v>
      </c>
      <c r="BH15" s="3062">
        <f t="shared" si="45"/>
        <v>18200</v>
      </c>
      <c r="BI15" s="3157">
        <f t="shared" si="26"/>
        <v>3.9924029398037105E-3</v>
      </c>
      <c r="BJ15" s="3043"/>
      <c r="BK15" s="3040"/>
      <c r="BL15" s="3049">
        <v>17800</v>
      </c>
      <c r="BM15" s="3062">
        <f t="shared" si="46"/>
        <v>17800</v>
      </c>
      <c r="BN15" s="3157">
        <f t="shared" si="27"/>
        <v>2.9336674772239379E-3</v>
      </c>
      <c r="BO15" s="3063"/>
      <c r="BP15" s="3040"/>
      <c r="BQ15" s="3049"/>
      <c r="BR15" s="3062">
        <f t="shared" si="47"/>
        <v>0</v>
      </c>
      <c r="BS15" s="3157">
        <f t="shared" si="28"/>
        <v>0</v>
      </c>
      <c r="BT15" s="3063"/>
      <c r="BU15" s="3040"/>
      <c r="BV15" s="3049"/>
      <c r="BW15" s="3062">
        <f t="shared" si="48"/>
        <v>0</v>
      </c>
      <c r="BX15" s="3157">
        <f t="shared" si="29"/>
        <v>0</v>
      </c>
      <c r="BY15" s="3063"/>
      <c r="BZ15" s="3040"/>
      <c r="CA15" s="3049"/>
      <c r="CB15" s="3062">
        <f t="shared" si="49"/>
        <v>0</v>
      </c>
      <c r="CC15" s="3157">
        <f t="shared" si="30"/>
        <v>0</v>
      </c>
      <c r="CD15" s="3063"/>
      <c r="CE15" s="3040"/>
      <c r="CF15" s="3049"/>
      <c r="CG15" s="3062">
        <f t="shared" si="50"/>
        <v>0</v>
      </c>
      <c r="CH15" s="3157">
        <f t="shared" si="31"/>
        <v>0</v>
      </c>
      <c r="CI15" s="3063"/>
      <c r="CJ15" s="3040"/>
      <c r="CK15" s="3049"/>
      <c r="CL15" s="3062">
        <f t="shared" si="51"/>
        <v>0</v>
      </c>
      <c r="CM15" s="3157">
        <f t="shared" si="32"/>
        <v>0</v>
      </c>
      <c r="CN15" s="3063"/>
      <c r="CO15" s="2043">
        <f t="shared" si="33"/>
        <v>0</v>
      </c>
      <c r="CP15" s="2043">
        <f t="shared" si="34"/>
        <v>231219.58000000002</v>
      </c>
      <c r="CQ15" s="2478">
        <f t="shared" si="35"/>
        <v>231219.58000000002</v>
      </c>
      <c r="CR15" s="2788">
        <f t="shared" si="21"/>
        <v>2.4574168092869673E-3</v>
      </c>
      <c r="CS15" s="1434"/>
      <c r="CT15" s="919"/>
      <c r="CU15" s="1564"/>
      <c r="CV15" s="1564"/>
      <c r="CW15" s="1564"/>
      <c r="CX15" s="1564"/>
      <c r="CY15" s="1564"/>
      <c r="CZ15" s="1564"/>
      <c r="DA15" s="1564"/>
      <c r="DB15" s="1564"/>
      <c r="DC15" s="1564"/>
      <c r="DD15" s="1564"/>
      <c r="DE15" s="1564"/>
      <c r="DF15" s="1564"/>
      <c r="DG15" s="1564"/>
      <c r="DH15" s="1564"/>
      <c r="DI15" s="1564"/>
      <c r="DJ15" s="1564"/>
      <c r="DK15" s="1564"/>
      <c r="DL15" s="1564"/>
      <c r="DM15" s="1564"/>
      <c r="DN15" s="1564"/>
      <c r="DO15" s="1564"/>
      <c r="DP15" s="1564"/>
      <c r="DQ15" s="1564"/>
      <c r="DR15" s="1564"/>
      <c r="DS15" s="1564"/>
      <c r="DT15" s="1564"/>
      <c r="DU15" s="1564"/>
      <c r="DV15" s="1564"/>
      <c r="DW15" s="1564"/>
      <c r="DX15" s="1564"/>
      <c r="DY15" s="1564"/>
      <c r="DZ15" s="1564"/>
      <c r="EA15" s="1564"/>
      <c r="EB15" s="1564"/>
      <c r="EC15" s="1564"/>
      <c r="ED15" s="1564"/>
      <c r="EE15" s="1564"/>
      <c r="EF15" s="1564"/>
      <c r="EG15" s="1564"/>
      <c r="EH15" s="1564"/>
      <c r="EI15" s="1564"/>
      <c r="EJ15" s="1564"/>
      <c r="EK15" s="1564"/>
      <c r="EL15" s="1564"/>
      <c r="EM15" s="1564"/>
      <c r="EN15" s="1564"/>
      <c r="EO15" s="1564"/>
      <c r="EP15" s="1564"/>
      <c r="EQ15" s="1564"/>
      <c r="ER15" s="1564"/>
      <c r="ES15" s="1564"/>
      <c r="ET15" s="1564"/>
      <c r="EU15" s="1564"/>
      <c r="EV15" s="1564"/>
      <c r="EW15" s="1564"/>
      <c r="EX15" s="1564"/>
      <c r="EY15" s="1564"/>
      <c r="EZ15" s="1564"/>
      <c r="FA15" s="1564"/>
      <c r="FB15" s="1564"/>
      <c r="FC15" s="1564"/>
      <c r="FD15" s="1564"/>
      <c r="FE15" s="1564"/>
      <c r="FF15" s="1564"/>
      <c r="FG15" s="1564"/>
      <c r="FH15" s="1564"/>
      <c r="FI15" s="1564"/>
      <c r="FJ15" s="1564"/>
      <c r="FK15" s="1564"/>
      <c r="FL15" s="1564"/>
      <c r="FM15" s="1564"/>
      <c r="FN15" s="1564"/>
      <c r="FO15" s="1564"/>
      <c r="FP15" s="1564"/>
      <c r="FQ15" s="1564"/>
      <c r="FR15" s="1564"/>
      <c r="FS15" s="1564"/>
      <c r="FT15" s="1564"/>
      <c r="FU15" s="1564"/>
      <c r="FV15" s="1564"/>
    </row>
    <row r="16" spans="1:178" s="1396" customFormat="1" ht="58.2" customHeight="1">
      <c r="A16" s="1572"/>
      <c r="B16" s="3085" t="s">
        <v>21</v>
      </c>
      <c r="C16" s="1485"/>
      <c r="D16" s="2790"/>
      <c r="E16" s="3081">
        <f t="shared" si="22"/>
        <v>0</v>
      </c>
      <c r="F16" s="1976" t="e">
        <f t="shared" si="12"/>
        <v>#DIV/0!</v>
      </c>
      <c r="G16" s="1979">
        <v>0</v>
      </c>
      <c r="H16" s="2051">
        <v>3024017.3899999997</v>
      </c>
      <c r="I16" s="1982">
        <f t="shared" si="36"/>
        <v>3024017.3899999997</v>
      </c>
      <c r="J16" s="3003">
        <f t="shared" si="23"/>
        <v>5.5235344807760232E-2</v>
      </c>
      <c r="K16" s="2046"/>
      <c r="L16" s="2046"/>
      <c r="M16" s="1979"/>
      <c r="N16" s="2051"/>
      <c r="O16" s="1982">
        <f t="shared" si="37"/>
        <v>0</v>
      </c>
      <c r="P16" s="3003">
        <f t="shared" si="13"/>
        <v>0</v>
      </c>
      <c r="Q16" s="2046"/>
      <c r="R16" s="3039"/>
      <c r="S16" s="3040">
        <v>466818.92</v>
      </c>
      <c r="T16" s="3047">
        <f t="shared" si="38"/>
        <v>466818.92</v>
      </c>
      <c r="U16" s="3157">
        <f t="shared" si="14"/>
        <v>6.7123206157318399E-2</v>
      </c>
      <c r="V16" s="3044" t="s">
        <v>1510</v>
      </c>
      <c r="W16" s="3040"/>
      <c r="X16" s="3040">
        <v>829328.42999999993</v>
      </c>
      <c r="Y16" s="3062">
        <f t="shared" si="39"/>
        <v>829328.42999999993</v>
      </c>
      <c r="Z16" s="3157">
        <f t="shared" si="15"/>
        <v>0.11924791561364995</v>
      </c>
      <c r="AA16" s="3044" t="s">
        <v>1511</v>
      </c>
      <c r="AB16" s="3040"/>
      <c r="AC16" s="3049">
        <v>943574.04999999993</v>
      </c>
      <c r="AD16" s="3065">
        <f t="shared" si="40"/>
        <v>943574.04999999993</v>
      </c>
      <c r="AE16" s="3157">
        <f t="shared" si="16"/>
        <v>0.13567512534163323</v>
      </c>
      <c r="AF16" s="3044" t="s">
        <v>1512</v>
      </c>
      <c r="AG16" s="3040"/>
      <c r="AH16" s="3049">
        <f>22500+2805+1450.8+3012+34160+37660+3229.2+12936+60140+25762.65+26781.2+15769+5025+25009.15+24528+54500+56051+19285+119915.36+48259.54+25582.82+35005.2+1020+104236.95+19672.12</f>
        <v>784295.98999999987</v>
      </c>
      <c r="AI16" s="3062">
        <f t="shared" si="41"/>
        <v>784295.98999999987</v>
      </c>
      <c r="AJ16" s="3157">
        <f t="shared" si="17"/>
        <v>0.11277276727585961</v>
      </c>
      <c r="AK16" s="3063" t="s">
        <v>1513</v>
      </c>
      <c r="AL16" s="3040"/>
      <c r="AM16" s="3049">
        <f>27045.2+33405+42288.52+36633.49+1800+56334.9+13410+1080+89609.49+98948.15+92800+23346.16+69539+1540+44135</f>
        <v>631914.90999999992</v>
      </c>
      <c r="AN16" s="3062">
        <f t="shared" si="24"/>
        <v>631914.90999999992</v>
      </c>
      <c r="AO16" s="3157">
        <f t="shared" si="25"/>
        <v>9.8551718430798754E-2</v>
      </c>
      <c r="AP16" s="3044" t="s">
        <v>1274</v>
      </c>
      <c r="AQ16" s="3040"/>
      <c r="AR16" s="3049">
        <f>28265+72269.75+22259+32340+60685+14820+88145+20205+21156+19872.18+34171.2+30080+9000+5550</f>
        <v>458818.13</v>
      </c>
      <c r="AS16" s="3062">
        <f t="shared" si="42"/>
        <v>458818.13</v>
      </c>
      <c r="AT16" s="3157">
        <f t="shared" si="18"/>
        <v>6.5972784326533543E-2</v>
      </c>
      <c r="AU16" s="3044" t="s">
        <v>1295</v>
      </c>
      <c r="AV16" s="3040"/>
      <c r="AW16" s="3049">
        <f>2700+23835+25209.45+20281.35+8000+37872.82+58918.8+42460+77630.8</f>
        <v>296908.21999999997</v>
      </c>
      <c r="AX16" s="3062">
        <f t="shared" si="43"/>
        <v>296908.21999999997</v>
      </c>
      <c r="AY16" s="2788">
        <f t="shared" si="19"/>
        <v>0.10239919266890253</v>
      </c>
      <c r="AZ16" s="3044" t="s">
        <v>1328</v>
      </c>
      <c r="BA16" s="3040"/>
      <c r="BB16" s="3049">
        <f>21136.1+17276.71+17900.55+35085+25800+10950+79765+35185+11348.3+39550+7453.65+7500+7140+19600+25000</f>
        <v>360690.31</v>
      </c>
      <c r="BC16" s="3062">
        <f t="shared" si="44"/>
        <v>360690.31</v>
      </c>
      <c r="BD16" s="3157">
        <f t="shared" si="20"/>
        <v>0.10288484762995929</v>
      </c>
      <c r="BE16" s="3044" t="s">
        <v>1338</v>
      </c>
      <c r="BF16" s="3040"/>
      <c r="BG16" s="3049">
        <f>45500+45990+21776.35+25780+102134.7+45430+9000+52170+69300+10962+34185+15000+8499.68</f>
        <v>485727.73</v>
      </c>
      <c r="BH16" s="3062">
        <f t="shared" si="45"/>
        <v>485727.73</v>
      </c>
      <c r="BI16" s="3157">
        <f t="shared" si="26"/>
        <v>0.10655059435143863</v>
      </c>
      <c r="BJ16" s="3044" t="s">
        <v>1380</v>
      </c>
      <c r="BK16" s="3040"/>
      <c r="BL16" s="3049">
        <f>34910.32+23040+95958.56+141797.4+76579+12364+10540+24563+18100+38291.7+58049+25751+82298+140140+100541.3-49095.98</f>
        <v>833827.3</v>
      </c>
      <c r="BM16" s="3062">
        <f t="shared" si="46"/>
        <v>833827.3</v>
      </c>
      <c r="BN16" s="3157">
        <f t="shared" si="27"/>
        <v>0.1374253950354746</v>
      </c>
      <c r="BO16" s="3044" t="s">
        <v>1411</v>
      </c>
      <c r="BP16" s="3040"/>
      <c r="BQ16" s="3049">
        <f>60006+116550+81250</f>
        <v>257806</v>
      </c>
      <c r="BR16" s="3062">
        <f t="shared" si="47"/>
        <v>257806</v>
      </c>
      <c r="BS16" s="3157">
        <f t="shared" si="28"/>
        <v>0.10529066257543521</v>
      </c>
      <c r="BT16" s="3044" t="s">
        <v>1470</v>
      </c>
      <c r="BU16" s="3040"/>
      <c r="BV16" s="3049"/>
      <c r="BW16" s="3062">
        <f t="shared" si="48"/>
        <v>0</v>
      </c>
      <c r="BX16" s="3157">
        <f t="shared" si="29"/>
        <v>0</v>
      </c>
      <c r="BY16" s="2055"/>
      <c r="BZ16" s="3040"/>
      <c r="CA16" s="3049"/>
      <c r="CB16" s="3062">
        <f t="shared" si="49"/>
        <v>0</v>
      </c>
      <c r="CC16" s="3157">
        <f t="shared" si="30"/>
        <v>0</v>
      </c>
      <c r="CD16" s="2055"/>
      <c r="CE16" s="3040"/>
      <c r="CF16" s="3049"/>
      <c r="CG16" s="3062">
        <f t="shared" si="50"/>
        <v>0</v>
      </c>
      <c r="CH16" s="3157">
        <f t="shared" si="31"/>
        <v>0</v>
      </c>
      <c r="CI16" s="2055"/>
      <c r="CJ16" s="3040"/>
      <c r="CK16" s="3049"/>
      <c r="CL16" s="3062">
        <f t="shared" si="51"/>
        <v>0</v>
      </c>
      <c r="CM16" s="3157">
        <f t="shared" si="32"/>
        <v>0</v>
      </c>
      <c r="CN16" s="2055"/>
      <c r="CO16" s="2043">
        <f t="shared" si="33"/>
        <v>0</v>
      </c>
      <c r="CP16" s="2043">
        <f t="shared" si="34"/>
        <v>6349709.9899999993</v>
      </c>
      <c r="CQ16" s="2478">
        <f t="shared" si="35"/>
        <v>6349709.9899999993</v>
      </c>
      <c r="CR16" s="2788">
        <f t="shared" si="21"/>
        <v>6.7485132805463005E-2</v>
      </c>
      <c r="CS16" s="1434"/>
      <c r="CT16" s="919"/>
      <c r="CU16" s="1564"/>
      <c r="CV16" s="1564"/>
      <c r="CW16" s="1564"/>
      <c r="CX16" s="1564"/>
      <c r="CY16" s="1564"/>
      <c r="CZ16" s="1564"/>
      <c r="DA16" s="1564"/>
      <c r="DB16" s="1564"/>
      <c r="DC16" s="1564"/>
      <c r="DD16" s="1564"/>
      <c r="DE16" s="1564"/>
      <c r="DF16" s="1564"/>
      <c r="DG16" s="1564"/>
      <c r="DH16" s="1564"/>
      <c r="DI16" s="1564"/>
      <c r="DJ16" s="1564"/>
      <c r="DK16" s="1564"/>
      <c r="DL16" s="1564"/>
      <c r="DM16" s="1564"/>
      <c r="DN16" s="1564"/>
      <c r="DO16" s="1564"/>
      <c r="DP16" s="1564"/>
      <c r="DQ16" s="1564"/>
      <c r="DR16" s="1564"/>
      <c r="DS16" s="1564"/>
      <c r="DT16" s="1564"/>
      <c r="DU16" s="1564"/>
      <c r="DV16" s="1564"/>
      <c r="DW16" s="1564"/>
      <c r="DX16" s="1564"/>
      <c r="DY16" s="1564"/>
      <c r="DZ16" s="1564"/>
      <c r="EA16" s="1564"/>
      <c r="EB16" s="1564"/>
      <c r="EC16" s="1564"/>
      <c r="ED16" s="1564"/>
      <c r="EE16" s="1564"/>
      <c r="EF16" s="1564"/>
      <c r="EG16" s="1564"/>
      <c r="EH16" s="1564"/>
      <c r="EI16" s="1564"/>
      <c r="EJ16" s="1564"/>
      <c r="EK16" s="1564"/>
      <c r="EL16" s="1564"/>
      <c r="EM16" s="1564"/>
      <c r="EN16" s="1564"/>
      <c r="EO16" s="1564"/>
      <c r="EP16" s="1564"/>
      <c r="EQ16" s="1564"/>
      <c r="ER16" s="1564"/>
      <c r="ES16" s="1564"/>
      <c r="ET16" s="1564"/>
      <c r="EU16" s="1564"/>
      <c r="EV16" s="1564"/>
      <c r="EW16" s="1564"/>
      <c r="EX16" s="1564"/>
      <c r="EY16" s="1564"/>
      <c r="EZ16" s="1564"/>
      <c r="FA16" s="1564"/>
      <c r="FB16" s="1564"/>
      <c r="FC16" s="1564"/>
      <c r="FD16" s="1564"/>
      <c r="FE16" s="1564"/>
      <c r="FF16" s="1564"/>
      <c r="FG16" s="1564"/>
      <c r="FH16" s="1564"/>
      <c r="FI16" s="1564"/>
      <c r="FJ16" s="1564"/>
      <c r="FK16" s="1564"/>
      <c r="FL16" s="1564"/>
      <c r="FM16" s="1564"/>
      <c r="FN16" s="1564"/>
      <c r="FO16" s="1564"/>
      <c r="FP16" s="1564"/>
      <c r="FQ16" s="1564"/>
      <c r="FR16" s="1564"/>
      <c r="FS16" s="1564"/>
      <c r="FT16" s="1564"/>
      <c r="FU16" s="1564"/>
      <c r="FV16" s="1564"/>
    </row>
    <row r="17" spans="1:178" s="1396" customFormat="1" ht="13.8">
      <c r="A17" s="1572"/>
      <c r="B17" s="3085" t="s">
        <v>22</v>
      </c>
      <c r="C17" s="1485"/>
      <c r="D17" s="2790"/>
      <c r="E17" s="3081">
        <f t="shared" si="22"/>
        <v>0</v>
      </c>
      <c r="F17" s="1976" t="e">
        <f t="shared" si="12"/>
        <v>#DIV/0!</v>
      </c>
      <c r="G17" s="1979">
        <v>0</v>
      </c>
      <c r="H17" s="2051">
        <v>600</v>
      </c>
      <c r="I17" s="1982">
        <f t="shared" si="36"/>
        <v>600</v>
      </c>
      <c r="J17" s="3003">
        <f t="shared" si="23"/>
        <v>1.0959330787663275E-5</v>
      </c>
      <c r="K17" s="2046"/>
      <c r="L17" s="2046"/>
      <c r="M17" s="1979"/>
      <c r="N17" s="2051"/>
      <c r="O17" s="1982">
        <f t="shared" si="37"/>
        <v>0</v>
      </c>
      <c r="P17" s="3003">
        <f t="shared" si="13"/>
        <v>0</v>
      </c>
      <c r="Q17" s="2046"/>
      <c r="R17" s="3039"/>
      <c r="S17" s="3040">
        <v>600</v>
      </c>
      <c r="T17" s="3047">
        <f t="shared" si="38"/>
        <v>600</v>
      </c>
      <c r="U17" s="3157">
        <f t="shared" si="14"/>
        <v>8.6273117838478022E-5</v>
      </c>
      <c r="V17" s="3044" t="s">
        <v>1514</v>
      </c>
      <c r="W17" s="2051"/>
      <c r="X17" s="2043"/>
      <c r="Y17" s="2045">
        <f t="shared" si="39"/>
        <v>0</v>
      </c>
      <c r="Z17" s="2788">
        <f t="shared" si="15"/>
        <v>0</v>
      </c>
      <c r="AA17" s="2048"/>
      <c r="AB17" s="3040"/>
      <c r="AC17" s="3049"/>
      <c r="AD17" s="3065">
        <f t="shared" si="40"/>
        <v>0</v>
      </c>
      <c r="AE17" s="3157">
        <f t="shared" si="16"/>
        <v>0</v>
      </c>
      <c r="AF17" s="3043"/>
      <c r="AG17" s="2051"/>
      <c r="AH17" s="2043"/>
      <c r="AI17" s="2045">
        <f t="shared" si="41"/>
        <v>0</v>
      </c>
      <c r="AJ17" s="2788">
        <f t="shared" si="17"/>
        <v>0</v>
      </c>
      <c r="AK17" s="2048"/>
      <c r="AL17" s="3040"/>
      <c r="AM17" s="3049"/>
      <c r="AN17" s="3062">
        <f t="shared" si="24"/>
        <v>0</v>
      </c>
      <c r="AO17" s="3157">
        <f t="shared" si="25"/>
        <v>0</v>
      </c>
      <c r="AP17" s="3043"/>
      <c r="AQ17" s="3040"/>
      <c r="AR17" s="3049"/>
      <c r="AS17" s="3062">
        <f t="shared" si="42"/>
        <v>0</v>
      </c>
      <c r="AT17" s="3157">
        <f t="shared" si="18"/>
        <v>0</v>
      </c>
      <c r="AU17" s="3043"/>
      <c r="AV17" s="2051"/>
      <c r="AW17" s="2043"/>
      <c r="AX17" s="2045">
        <f t="shared" si="43"/>
        <v>0</v>
      </c>
      <c r="AY17" s="2788">
        <f t="shared" si="19"/>
        <v>0</v>
      </c>
      <c r="AZ17" s="2048"/>
      <c r="BA17" s="2051"/>
      <c r="BB17" s="2043"/>
      <c r="BC17" s="2045">
        <f t="shared" si="44"/>
        <v>0</v>
      </c>
      <c r="BD17" s="2788">
        <f t="shared" si="20"/>
        <v>0</v>
      </c>
      <c r="BE17" s="2048"/>
      <c r="BF17" s="2051"/>
      <c r="BG17" s="2043"/>
      <c r="BH17" s="2045">
        <f t="shared" si="45"/>
        <v>0</v>
      </c>
      <c r="BI17" s="2788">
        <f t="shared" si="26"/>
        <v>0</v>
      </c>
      <c r="BJ17" s="2048"/>
      <c r="BK17" s="3040"/>
      <c r="BL17" s="3049"/>
      <c r="BM17" s="3062">
        <f t="shared" si="46"/>
        <v>0</v>
      </c>
      <c r="BN17" s="3157">
        <f t="shared" si="27"/>
        <v>0</v>
      </c>
      <c r="BO17" s="3043"/>
      <c r="BP17" s="2051"/>
      <c r="BQ17" s="2043"/>
      <c r="BR17" s="2045">
        <f t="shared" si="47"/>
        <v>0</v>
      </c>
      <c r="BS17" s="2788">
        <f t="shared" si="28"/>
        <v>0</v>
      </c>
      <c r="BT17" s="2048"/>
      <c r="BU17" s="2051"/>
      <c r="BV17" s="2043">
        <v>30000</v>
      </c>
      <c r="BW17" s="2045">
        <f t="shared" si="48"/>
        <v>30000</v>
      </c>
      <c r="BX17" s="2788">
        <f t="shared" si="29"/>
        <v>5.5574871734307529E-2</v>
      </c>
      <c r="BY17" s="2049" t="s">
        <v>1624</v>
      </c>
      <c r="BZ17" s="2051"/>
      <c r="CA17" s="2043"/>
      <c r="CB17" s="2045">
        <f t="shared" si="49"/>
        <v>0</v>
      </c>
      <c r="CC17" s="2788">
        <f t="shared" si="30"/>
        <v>0</v>
      </c>
      <c r="CD17" s="2049"/>
      <c r="CE17" s="2051"/>
      <c r="CF17" s="2043"/>
      <c r="CG17" s="2045">
        <f t="shared" si="50"/>
        <v>0</v>
      </c>
      <c r="CH17" s="2788">
        <f t="shared" si="31"/>
        <v>0</v>
      </c>
      <c r="CI17" s="2049"/>
      <c r="CJ17" s="2051"/>
      <c r="CK17" s="2043"/>
      <c r="CL17" s="2045">
        <f t="shared" si="51"/>
        <v>0</v>
      </c>
      <c r="CM17" s="2788">
        <f t="shared" si="32"/>
        <v>0</v>
      </c>
      <c r="CN17" s="2049"/>
      <c r="CO17" s="2043">
        <f t="shared" si="33"/>
        <v>0</v>
      </c>
      <c r="CP17" s="2043">
        <f t="shared" si="34"/>
        <v>30600</v>
      </c>
      <c r="CQ17" s="2478">
        <f t="shared" si="35"/>
        <v>30600</v>
      </c>
      <c r="CR17" s="2788">
        <f t="shared" si="21"/>
        <v>3.252188000868317E-4</v>
      </c>
      <c r="CS17" s="1434"/>
      <c r="CT17" s="919"/>
      <c r="CU17" s="1564"/>
      <c r="CV17" s="1564"/>
      <c r="CW17" s="1564"/>
      <c r="CX17" s="1564"/>
      <c r="CY17" s="1564"/>
      <c r="CZ17" s="1564"/>
      <c r="DA17" s="1564"/>
      <c r="DB17" s="1564"/>
      <c r="DC17" s="1564"/>
      <c r="DD17" s="1564"/>
      <c r="DE17" s="1564"/>
      <c r="DF17" s="1564"/>
      <c r="DG17" s="1564"/>
      <c r="DH17" s="1564"/>
      <c r="DI17" s="1564"/>
      <c r="DJ17" s="1564"/>
      <c r="DK17" s="1564"/>
      <c r="DL17" s="1564"/>
      <c r="DM17" s="1564"/>
      <c r="DN17" s="1564"/>
      <c r="DO17" s="1564"/>
      <c r="DP17" s="1564"/>
      <c r="DQ17" s="1564"/>
      <c r="DR17" s="1564"/>
      <c r="DS17" s="1564"/>
      <c r="DT17" s="1564"/>
      <c r="DU17" s="1564"/>
      <c r="DV17" s="1564"/>
      <c r="DW17" s="1564"/>
      <c r="DX17" s="1564"/>
      <c r="DY17" s="1564"/>
      <c r="DZ17" s="1564"/>
      <c r="EA17" s="1564"/>
      <c r="EB17" s="1564"/>
      <c r="EC17" s="1564"/>
      <c r="ED17" s="1564"/>
      <c r="EE17" s="1564"/>
      <c r="EF17" s="1564"/>
      <c r="EG17" s="1564"/>
      <c r="EH17" s="1564"/>
      <c r="EI17" s="1564"/>
      <c r="EJ17" s="1564"/>
      <c r="EK17" s="1564"/>
      <c r="EL17" s="1564"/>
      <c r="EM17" s="1564"/>
      <c r="EN17" s="1564"/>
      <c r="EO17" s="1564"/>
      <c r="EP17" s="1564"/>
      <c r="EQ17" s="1564"/>
      <c r="ER17" s="1564"/>
      <c r="ES17" s="1564"/>
      <c r="ET17" s="1564"/>
      <c r="EU17" s="1564"/>
      <c r="EV17" s="1564"/>
      <c r="EW17" s="1564"/>
      <c r="EX17" s="1564"/>
      <c r="EY17" s="1564"/>
      <c r="EZ17" s="1564"/>
      <c r="FA17" s="1564"/>
      <c r="FB17" s="1564"/>
      <c r="FC17" s="1564"/>
      <c r="FD17" s="1564"/>
      <c r="FE17" s="1564"/>
      <c r="FF17" s="1564"/>
      <c r="FG17" s="1564"/>
      <c r="FH17" s="1564"/>
      <c r="FI17" s="1564"/>
      <c r="FJ17" s="1564"/>
      <c r="FK17" s="1564"/>
      <c r="FL17" s="1564"/>
      <c r="FM17" s="1564"/>
      <c r="FN17" s="1564"/>
      <c r="FO17" s="1564"/>
      <c r="FP17" s="1564"/>
      <c r="FQ17" s="1564"/>
      <c r="FR17" s="1564"/>
      <c r="FS17" s="1564"/>
      <c r="FT17" s="1564"/>
      <c r="FU17" s="1564"/>
      <c r="FV17" s="1564"/>
    </row>
    <row r="18" spans="1:178" s="1396" customFormat="1" ht="86.4" customHeight="1">
      <c r="A18" s="1572"/>
      <c r="B18" s="3085" t="s">
        <v>0</v>
      </c>
      <c r="C18" s="1485"/>
      <c r="D18" s="2790"/>
      <c r="E18" s="3081">
        <f t="shared" si="22"/>
        <v>0</v>
      </c>
      <c r="F18" s="1976" t="e">
        <f t="shared" si="12"/>
        <v>#DIV/0!</v>
      </c>
      <c r="G18" s="1979">
        <f>21335084.596+2678867</f>
        <v>24013951.596000001</v>
      </c>
      <c r="H18" s="2051">
        <v>6000</v>
      </c>
      <c r="I18" s="1982">
        <f t="shared" si="36"/>
        <v>24019951.596000001</v>
      </c>
      <c r="J18" s="3003">
        <f t="shared" si="23"/>
        <v>0.43873765840704071</v>
      </c>
      <c r="K18" s="2046"/>
      <c r="L18" s="2046"/>
      <c r="M18" s="3039">
        <v>16270</v>
      </c>
      <c r="N18" s="3040">
        <v>1000</v>
      </c>
      <c r="O18" s="3041">
        <f t="shared" si="37"/>
        <v>17270</v>
      </c>
      <c r="P18" s="3042">
        <f t="shared" si="13"/>
        <v>2.483227908450859E-3</v>
      </c>
      <c r="Q18" s="3044" t="s">
        <v>1582</v>
      </c>
      <c r="R18" s="3052">
        <f>7890+6390+3000</f>
        <v>17280</v>
      </c>
      <c r="S18" s="3040">
        <v>5000</v>
      </c>
      <c r="T18" s="3047">
        <f t="shared" si="38"/>
        <v>22280</v>
      </c>
      <c r="U18" s="3157">
        <f t="shared" si="14"/>
        <v>3.2036084424021507E-3</v>
      </c>
      <c r="V18" s="3044" t="s">
        <v>1586</v>
      </c>
      <c r="W18" s="3040">
        <f>3725+5480+186065+35001+4500</f>
        <v>234771</v>
      </c>
      <c r="X18" s="3049">
        <v>0</v>
      </c>
      <c r="Y18" s="3062">
        <f t="shared" si="39"/>
        <v>234771</v>
      </c>
      <c r="Z18" s="3157">
        <f t="shared" si="15"/>
        <v>3.3757376913428873E-2</v>
      </c>
      <c r="AA18" s="3044" t="s">
        <v>1593</v>
      </c>
      <c r="AB18" s="3040">
        <f>4581890+3600+3900</f>
        <v>4589390</v>
      </c>
      <c r="AC18" s="3049"/>
      <c r="AD18" s="3065">
        <f t="shared" si="40"/>
        <v>4589390</v>
      </c>
      <c r="AE18" s="3157">
        <f t="shared" si="16"/>
        <v>0.65990164046122102</v>
      </c>
      <c r="AF18" s="3063" t="s">
        <v>1596</v>
      </c>
      <c r="AG18" s="3040">
        <f>792+1752+38520+40450*1.2+313740+196000+2678867.9+13475765.2+504+74266.25+351165+661835.82</f>
        <v>17841748.170000002</v>
      </c>
      <c r="AH18" s="3049"/>
      <c r="AI18" s="3062">
        <f t="shared" si="41"/>
        <v>17841748.170000002</v>
      </c>
      <c r="AJ18" s="3157">
        <f t="shared" si="17"/>
        <v>2.5654387371914327</v>
      </c>
      <c r="AK18" s="3063" t="s">
        <v>1600</v>
      </c>
      <c r="AL18" s="3040">
        <f>16580.84+97524.01+133526.18+2000+87098</f>
        <v>336729.02999999997</v>
      </c>
      <c r="AM18" s="3049"/>
      <c r="AN18" s="3062">
        <f t="shared" si="24"/>
        <v>336729.02999999997</v>
      </c>
      <c r="AO18" s="3157">
        <f t="shared" si="25"/>
        <v>5.2515337155181203E-2</v>
      </c>
      <c r="AP18" s="3044" t="s">
        <v>1605</v>
      </c>
      <c r="AQ18" s="3040">
        <f>489920.66+176054.59+18000</f>
        <v>683975.25</v>
      </c>
      <c r="AR18" s="3049"/>
      <c r="AS18" s="3062">
        <f t="shared" si="42"/>
        <v>683975.25</v>
      </c>
      <c r="AT18" s="3157">
        <f t="shared" si="18"/>
        <v>9.8347795569754107E-2</v>
      </c>
      <c r="AU18" s="3044" t="s">
        <v>1767</v>
      </c>
      <c r="AV18" s="3040">
        <f>10960+148391.88+142173+28078.18</f>
        <v>329603.06</v>
      </c>
      <c r="AW18" s="3049"/>
      <c r="AX18" s="3062">
        <f t="shared" si="43"/>
        <v>329603.06</v>
      </c>
      <c r="AY18" s="3157">
        <f t="shared" si="19"/>
        <v>0.11367515269600768</v>
      </c>
      <c r="AZ18" s="3044" t="s">
        <v>1611</v>
      </c>
      <c r="BA18" s="3040">
        <f>3000</f>
        <v>3000</v>
      </c>
      <c r="BB18" s="3049"/>
      <c r="BC18" s="3062">
        <f t="shared" si="44"/>
        <v>3000</v>
      </c>
      <c r="BD18" s="3157">
        <f t="shared" si="20"/>
        <v>8.5573283876097994E-4</v>
      </c>
      <c r="BE18" s="3044" t="s">
        <v>1563</v>
      </c>
      <c r="BF18" s="3040">
        <f>61160+37700+58000+101500+90000</f>
        <v>348360</v>
      </c>
      <c r="BG18" s="3049"/>
      <c r="BH18" s="3062">
        <f t="shared" si="45"/>
        <v>348360</v>
      </c>
      <c r="BI18" s="3157">
        <f t="shared" si="26"/>
        <v>7.6417224621429705E-2</v>
      </c>
      <c r="BJ18" s="3044" t="s">
        <v>1615</v>
      </c>
      <c r="BK18" s="3040">
        <f>45500+54810+2260</f>
        <v>102570</v>
      </c>
      <c r="BL18" s="3049"/>
      <c r="BM18" s="3062">
        <f t="shared" si="46"/>
        <v>102570</v>
      </c>
      <c r="BN18" s="3157">
        <f t="shared" si="27"/>
        <v>1.6904846805553896E-2</v>
      </c>
      <c r="BO18" s="3044" t="s">
        <v>1565</v>
      </c>
      <c r="BP18" s="3040">
        <f>4205+40365+244589.63+46496.89+21372.98+29180+220620.89+275431.7</f>
        <v>882262.09000000008</v>
      </c>
      <c r="BQ18" s="3049"/>
      <c r="BR18" s="3062">
        <f t="shared" si="47"/>
        <v>882262.09000000008</v>
      </c>
      <c r="BS18" s="3157">
        <f t="shared" si="28"/>
        <v>0.36032505070203275</v>
      </c>
      <c r="BT18" s="3044" t="s">
        <v>1625</v>
      </c>
      <c r="BU18" s="3040">
        <f>37262.26+20000+47096.2*0+4401.67+55871.2+24900*0</f>
        <v>117535.13</v>
      </c>
      <c r="BV18" s="3049"/>
      <c r="BW18" s="3062">
        <f t="shared" si="48"/>
        <v>117535.13</v>
      </c>
      <c r="BX18" s="3157">
        <f t="shared" si="29"/>
        <v>0.21773332580083871</v>
      </c>
      <c r="BY18" s="2055" t="s">
        <v>1768</v>
      </c>
      <c r="BZ18" s="3040">
        <f>39246.83*1.2+803031.91*1.2+1325409.74*0+399999.99+24900</f>
        <v>1435634.4780000001</v>
      </c>
      <c r="CA18" s="3049"/>
      <c r="CB18" s="3062">
        <f t="shared" si="49"/>
        <v>1435634.4780000001</v>
      </c>
      <c r="CC18" s="3157">
        <f t="shared" si="30"/>
        <v>0.40151507105693784</v>
      </c>
      <c r="CD18" s="2055" t="s">
        <v>1769</v>
      </c>
      <c r="CE18" s="3040">
        <f>1325409.74</f>
        <v>1325409.74</v>
      </c>
      <c r="CF18" s="3049"/>
      <c r="CG18" s="3062">
        <f t="shared" si="50"/>
        <v>1325409.74</v>
      </c>
      <c r="CH18" s="3157">
        <f t="shared" si="31"/>
        <v>0.65956186315133436</v>
      </c>
      <c r="CI18" s="3124" t="s">
        <v>1777</v>
      </c>
      <c r="CJ18" s="3040"/>
      <c r="CK18" s="3049"/>
      <c r="CL18" s="3062">
        <f t="shared" si="51"/>
        <v>0</v>
      </c>
      <c r="CM18" s="3157">
        <f t="shared" si="32"/>
        <v>0</v>
      </c>
      <c r="CN18" s="2055"/>
      <c r="CO18" s="2043">
        <f t="shared" si="33"/>
        <v>28264537.947999999</v>
      </c>
      <c r="CP18" s="2043">
        <f t="shared" si="34"/>
        <v>6000</v>
      </c>
      <c r="CQ18" s="3077">
        <f t="shared" si="35"/>
        <v>28270537.947999999</v>
      </c>
      <c r="CR18" s="2788">
        <f t="shared" si="21"/>
        <v>0.30046112513914386</v>
      </c>
      <c r="CS18" s="1434"/>
      <c r="CT18" s="919"/>
      <c r="CU18" s="1564"/>
      <c r="CV18" s="1564"/>
      <c r="CW18" s="1564"/>
      <c r="CX18" s="1564"/>
      <c r="CY18" s="1564"/>
      <c r="CZ18" s="1564"/>
      <c r="DA18" s="1564"/>
      <c r="DB18" s="1564"/>
      <c r="DC18" s="1564"/>
      <c r="DD18" s="1564"/>
      <c r="DE18" s="1564"/>
      <c r="DF18" s="1564"/>
      <c r="DG18" s="1564"/>
      <c r="DH18" s="1564"/>
      <c r="DI18" s="1564"/>
      <c r="DJ18" s="1564"/>
      <c r="DK18" s="1564"/>
      <c r="DL18" s="1564"/>
      <c r="DM18" s="1564"/>
      <c r="DN18" s="1564"/>
      <c r="DO18" s="1564"/>
      <c r="DP18" s="1564"/>
      <c r="DQ18" s="1564"/>
      <c r="DR18" s="1564"/>
      <c r="DS18" s="1564"/>
      <c r="DT18" s="1564"/>
      <c r="DU18" s="1564"/>
      <c r="DV18" s="1564"/>
      <c r="DW18" s="1564"/>
      <c r="DX18" s="1564"/>
      <c r="DY18" s="1564"/>
      <c r="DZ18" s="1564"/>
      <c r="EA18" s="1564"/>
      <c r="EB18" s="1564"/>
      <c r="EC18" s="1564"/>
      <c r="ED18" s="1564"/>
      <c r="EE18" s="1564"/>
      <c r="EF18" s="1564"/>
      <c r="EG18" s="1564"/>
      <c r="EH18" s="1564"/>
      <c r="EI18" s="1564"/>
      <c r="EJ18" s="1564"/>
      <c r="EK18" s="1564"/>
      <c r="EL18" s="1564"/>
      <c r="EM18" s="1564"/>
      <c r="EN18" s="1564"/>
      <c r="EO18" s="1564"/>
      <c r="EP18" s="1564"/>
      <c r="EQ18" s="1564"/>
      <c r="ER18" s="1564"/>
      <c r="ES18" s="1564"/>
      <c r="ET18" s="1564"/>
      <c r="EU18" s="1564"/>
      <c r="EV18" s="1564"/>
      <c r="EW18" s="1564"/>
      <c r="EX18" s="1564"/>
      <c r="EY18" s="1564"/>
      <c r="EZ18" s="1564"/>
      <c r="FA18" s="1564"/>
      <c r="FB18" s="1564"/>
      <c r="FC18" s="1564"/>
      <c r="FD18" s="1564"/>
      <c r="FE18" s="1564"/>
      <c r="FF18" s="1564"/>
      <c r="FG18" s="1564"/>
      <c r="FH18" s="1564"/>
      <c r="FI18" s="1564"/>
      <c r="FJ18" s="1564"/>
      <c r="FK18" s="1564"/>
      <c r="FL18" s="1564"/>
      <c r="FM18" s="1564"/>
      <c r="FN18" s="1564"/>
      <c r="FO18" s="1564"/>
      <c r="FP18" s="1564"/>
      <c r="FQ18" s="1564"/>
      <c r="FR18" s="1564"/>
      <c r="FS18" s="1564"/>
      <c r="FT18" s="1564"/>
      <c r="FU18" s="1564"/>
      <c r="FV18" s="1564"/>
    </row>
    <row r="19" spans="1:178" s="1396" customFormat="1" ht="36">
      <c r="A19" s="1572"/>
      <c r="B19" s="3085" t="s">
        <v>53</v>
      </c>
      <c r="C19" s="2675"/>
      <c r="D19" s="2790"/>
      <c r="E19" s="3081">
        <f t="shared" si="22"/>
        <v>0</v>
      </c>
      <c r="F19" s="1976" t="e">
        <f t="shared" si="12"/>
        <v>#DIV/0!</v>
      </c>
      <c r="G19" s="1979">
        <v>15673.64</v>
      </c>
      <c r="H19" s="2051">
        <v>0</v>
      </c>
      <c r="I19" s="1982">
        <f t="shared" si="36"/>
        <v>15673.64</v>
      </c>
      <c r="J19" s="3003">
        <f t="shared" si="23"/>
        <v>2.8628767567791767E-4</v>
      </c>
      <c r="K19" s="2046"/>
      <c r="L19" s="2046"/>
      <c r="M19" s="3039">
        <f>7400+5060+4320+5400</f>
        <v>22180</v>
      </c>
      <c r="N19" s="3040"/>
      <c r="O19" s="3041">
        <f t="shared" si="37"/>
        <v>22180</v>
      </c>
      <c r="P19" s="3042">
        <f t="shared" si="13"/>
        <v>3.1892295894290707E-3</v>
      </c>
      <c r="Q19" s="3044" t="s">
        <v>1576</v>
      </c>
      <c r="R19" s="3052"/>
      <c r="S19" s="3040"/>
      <c r="T19" s="3047">
        <f t="shared" si="38"/>
        <v>0</v>
      </c>
      <c r="U19" s="3157">
        <f t="shared" si="14"/>
        <v>0</v>
      </c>
      <c r="V19" s="3044"/>
      <c r="W19" s="3040">
        <f>10000*2+2820+1200</f>
        <v>24020</v>
      </c>
      <c r="X19" s="3049"/>
      <c r="Y19" s="3062">
        <f t="shared" si="39"/>
        <v>24020</v>
      </c>
      <c r="Z19" s="3157">
        <f t="shared" si="15"/>
        <v>3.4538004841337369E-3</v>
      </c>
      <c r="AA19" s="3044" t="s">
        <v>1592</v>
      </c>
      <c r="AB19" s="3040">
        <f>500+2000+1500+4500+3000</f>
        <v>11500</v>
      </c>
      <c r="AC19" s="3049"/>
      <c r="AD19" s="3065">
        <f t="shared" si="40"/>
        <v>11500</v>
      </c>
      <c r="AE19" s="3157">
        <f t="shared" si="16"/>
        <v>1.653568091904162E-3</v>
      </c>
      <c r="AF19" s="3063" t="s">
        <v>1595</v>
      </c>
      <c r="AG19" s="3040">
        <f>428.64+3000+720+11000</f>
        <v>15148.64</v>
      </c>
      <c r="AH19" s="3049"/>
      <c r="AI19" s="3062">
        <f t="shared" si="41"/>
        <v>15148.64</v>
      </c>
      <c r="AJ19" s="3157">
        <f t="shared" si="17"/>
        <v>2.1782006730211361E-3</v>
      </c>
      <c r="AK19" s="3063" t="s">
        <v>1601</v>
      </c>
      <c r="AL19" s="3040"/>
      <c r="AM19" s="3049"/>
      <c r="AN19" s="3062">
        <f t="shared" si="24"/>
        <v>0</v>
      </c>
      <c r="AO19" s="3157">
        <f t="shared" si="25"/>
        <v>0</v>
      </c>
      <c r="AP19" s="3043"/>
      <c r="AQ19" s="3040"/>
      <c r="AR19" s="3049"/>
      <c r="AS19" s="3062">
        <f t="shared" si="42"/>
        <v>0</v>
      </c>
      <c r="AT19" s="3157">
        <f t="shared" si="18"/>
        <v>0</v>
      </c>
      <c r="AU19" s="3044"/>
      <c r="AV19" s="3040"/>
      <c r="AW19" s="3049"/>
      <c r="AX19" s="3062">
        <f t="shared" si="43"/>
        <v>0</v>
      </c>
      <c r="AY19" s="3157">
        <f t="shared" si="19"/>
        <v>0</v>
      </c>
      <c r="AZ19" s="3043"/>
      <c r="BA19" s="3040">
        <v>11000</v>
      </c>
      <c r="BB19" s="3049"/>
      <c r="BC19" s="3062">
        <f t="shared" si="44"/>
        <v>11000</v>
      </c>
      <c r="BD19" s="3157">
        <f t="shared" si="20"/>
        <v>3.1376870754569264E-3</v>
      </c>
      <c r="BE19" s="3043" t="s">
        <v>1579</v>
      </c>
      <c r="BF19" s="3040"/>
      <c r="BG19" s="3049"/>
      <c r="BH19" s="3062">
        <f t="shared" si="45"/>
        <v>0</v>
      </c>
      <c r="BI19" s="3157">
        <f t="shared" si="26"/>
        <v>0</v>
      </c>
      <c r="BJ19" s="3044"/>
      <c r="BK19" s="3040">
        <f>12600*3</f>
        <v>37800</v>
      </c>
      <c r="BL19" s="3049"/>
      <c r="BM19" s="3062">
        <f t="shared" si="46"/>
        <v>37800</v>
      </c>
      <c r="BN19" s="3157">
        <f t="shared" si="27"/>
        <v>6.2299230696103852E-3</v>
      </c>
      <c r="BO19" s="3044" t="s">
        <v>1618</v>
      </c>
      <c r="BP19" s="3040"/>
      <c r="BQ19" s="3049"/>
      <c r="BR19" s="3062">
        <f t="shared" si="47"/>
        <v>0</v>
      </c>
      <c r="BS19" s="3157">
        <f t="shared" si="28"/>
        <v>0</v>
      </c>
      <c r="BT19" s="3044"/>
      <c r="BU19" s="3040"/>
      <c r="BV19" s="3049"/>
      <c r="BW19" s="3062">
        <f t="shared" si="48"/>
        <v>0</v>
      </c>
      <c r="BX19" s="3157">
        <f t="shared" si="29"/>
        <v>0</v>
      </c>
      <c r="BY19" s="2055"/>
      <c r="BZ19" s="3040"/>
      <c r="CA19" s="3049"/>
      <c r="CB19" s="3062">
        <f t="shared" si="49"/>
        <v>0</v>
      </c>
      <c r="CC19" s="3157">
        <f t="shared" si="30"/>
        <v>0</v>
      </c>
      <c r="CD19" s="2055"/>
      <c r="CE19" s="3040"/>
      <c r="CF19" s="3049"/>
      <c r="CG19" s="3062">
        <f t="shared" si="50"/>
        <v>0</v>
      </c>
      <c r="CH19" s="3157">
        <f t="shared" si="31"/>
        <v>0</v>
      </c>
      <c r="CI19" s="2055"/>
      <c r="CJ19" s="3040"/>
      <c r="CK19" s="3049"/>
      <c r="CL19" s="3062">
        <f t="shared" si="51"/>
        <v>0</v>
      </c>
      <c r="CM19" s="3157">
        <f t="shared" si="32"/>
        <v>0</v>
      </c>
      <c r="CN19" s="2055"/>
      <c r="CO19" s="2043">
        <f t="shared" si="33"/>
        <v>121648.64</v>
      </c>
      <c r="CP19" s="2043">
        <f t="shared" si="34"/>
        <v>0</v>
      </c>
      <c r="CQ19" s="3078">
        <f t="shared" si="35"/>
        <v>121648.64</v>
      </c>
      <c r="CR19" s="2788">
        <f t="shared" si="21"/>
        <v>1.292889697156698E-3</v>
      </c>
      <c r="CS19" s="1434"/>
      <c r="CT19" s="919"/>
      <c r="CU19" s="1564"/>
      <c r="CV19" s="1564"/>
      <c r="CW19" s="1564"/>
      <c r="CX19" s="1564"/>
      <c r="CY19" s="1564"/>
      <c r="CZ19" s="1564"/>
      <c r="DA19" s="1564"/>
      <c r="DB19" s="1564"/>
      <c r="DC19" s="1564"/>
      <c r="DD19" s="1564"/>
      <c r="DE19" s="1564"/>
      <c r="DF19" s="1564"/>
      <c r="DG19" s="1564"/>
      <c r="DH19" s="1564"/>
      <c r="DI19" s="1564"/>
      <c r="DJ19" s="1564"/>
      <c r="DK19" s="1564"/>
      <c r="DL19" s="1564"/>
      <c r="DM19" s="1564"/>
      <c r="DN19" s="1564"/>
      <c r="DO19" s="1564"/>
      <c r="DP19" s="1564"/>
      <c r="DQ19" s="1564"/>
      <c r="DR19" s="1564"/>
      <c r="DS19" s="1564"/>
      <c r="DT19" s="1564"/>
      <c r="DU19" s="1564"/>
      <c r="DV19" s="1564"/>
      <c r="DW19" s="1564"/>
      <c r="DX19" s="1564"/>
      <c r="DY19" s="1564"/>
      <c r="DZ19" s="1564"/>
      <c r="EA19" s="1564"/>
      <c r="EB19" s="1564"/>
      <c r="EC19" s="1564"/>
      <c r="ED19" s="1564"/>
      <c r="EE19" s="1564"/>
      <c r="EF19" s="1564"/>
      <c r="EG19" s="1564"/>
      <c r="EH19" s="1564"/>
      <c r="EI19" s="1564"/>
      <c r="EJ19" s="1564"/>
      <c r="EK19" s="1564"/>
      <c r="EL19" s="1564"/>
      <c r="EM19" s="1564"/>
      <c r="EN19" s="1564"/>
      <c r="EO19" s="1564"/>
      <c r="EP19" s="1564"/>
      <c r="EQ19" s="1564"/>
      <c r="ER19" s="1564"/>
      <c r="ES19" s="1564"/>
      <c r="ET19" s="1564"/>
      <c r="EU19" s="1564"/>
      <c r="EV19" s="1564"/>
      <c r="EW19" s="1564"/>
      <c r="EX19" s="1564"/>
      <c r="EY19" s="1564"/>
      <c r="EZ19" s="1564"/>
      <c r="FA19" s="1564"/>
      <c r="FB19" s="1564"/>
      <c r="FC19" s="1564"/>
      <c r="FD19" s="1564"/>
      <c r="FE19" s="1564"/>
      <c r="FF19" s="1564"/>
      <c r="FG19" s="1564"/>
      <c r="FH19" s="1564"/>
      <c r="FI19" s="1564"/>
      <c r="FJ19" s="1564"/>
      <c r="FK19" s="1564"/>
      <c r="FL19" s="1564"/>
      <c r="FM19" s="1564"/>
      <c r="FN19" s="1564"/>
      <c r="FO19" s="1564"/>
      <c r="FP19" s="1564"/>
      <c r="FQ19" s="1564"/>
      <c r="FR19" s="1564"/>
      <c r="FS19" s="1564"/>
      <c r="FT19" s="1564"/>
      <c r="FU19" s="1564"/>
      <c r="FV19" s="1564"/>
    </row>
    <row r="20" spans="1:178" s="1396" customFormat="1" ht="33.6" customHeight="1">
      <c r="A20" s="1572"/>
      <c r="B20" s="3085" t="s">
        <v>57</v>
      </c>
      <c r="C20" s="2675"/>
      <c r="D20" s="2790"/>
      <c r="E20" s="3081">
        <f t="shared" si="22"/>
        <v>0</v>
      </c>
      <c r="F20" s="1976" t="e">
        <f t="shared" si="12"/>
        <v>#DIV/0!</v>
      </c>
      <c r="G20" s="1979">
        <v>115471.33199999999</v>
      </c>
      <c r="H20" s="2051">
        <v>0</v>
      </c>
      <c r="I20" s="1982">
        <f t="shared" si="36"/>
        <v>115471.33199999999</v>
      </c>
      <c r="J20" s="3003">
        <f t="shared" si="23"/>
        <v>2.109147539800146E-3</v>
      </c>
      <c r="K20" s="2046"/>
      <c r="L20" s="2046"/>
      <c r="M20" s="1979"/>
      <c r="N20" s="2051"/>
      <c r="O20" s="1982">
        <f t="shared" si="37"/>
        <v>0</v>
      </c>
      <c r="P20" s="3003">
        <f t="shared" si="13"/>
        <v>0</v>
      </c>
      <c r="Q20" s="2046"/>
      <c r="R20" s="3052">
        <v>10510.94</v>
      </c>
      <c r="S20" s="3040"/>
      <c r="T20" s="3047">
        <f t="shared" si="38"/>
        <v>10510.94</v>
      </c>
      <c r="U20" s="3157">
        <f t="shared" si="14"/>
        <v>1.5113526086886204E-3</v>
      </c>
      <c r="V20" s="3043" t="s">
        <v>1566</v>
      </c>
      <c r="W20" s="3040">
        <v>67100.432000000001</v>
      </c>
      <c r="X20" s="3049"/>
      <c r="Y20" s="3062">
        <f t="shared" si="39"/>
        <v>67100.432000000001</v>
      </c>
      <c r="Z20" s="3157">
        <f t="shared" si="15"/>
        <v>9.6482724615813021E-3</v>
      </c>
      <c r="AA20" s="3044" t="s">
        <v>1770</v>
      </c>
      <c r="AB20" s="3040">
        <v>62928.14</v>
      </c>
      <c r="AC20" s="3049"/>
      <c r="AD20" s="3065">
        <f t="shared" si="40"/>
        <v>62928.14</v>
      </c>
      <c r="AE20" s="3157">
        <f t="shared" si="16"/>
        <v>9.0483447292937363E-3</v>
      </c>
      <c r="AF20" s="3063" t="s">
        <v>1771</v>
      </c>
      <c r="AG20" s="3040"/>
      <c r="AH20" s="3049"/>
      <c r="AI20" s="3062">
        <f t="shared" si="41"/>
        <v>0</v>
      </c>
      <c r="AJ20" s="3157">
        <f t="shared" si="17"/>
        <v>0</v>
      </c>
      <c r="AK20" s="3043"/>
      <c r="AL20" s="3040"/>
      <c r="AM20" s="3049"/>
      <c r="AN20" s="3062">
        <f t="shared" si="24"/>
        <v>0</v>
      </c>
      <c r="AO20" s="3157">
        <f t="shared" si="25"/>
        <v>0</v>
      </c>
      <c r="AP20" s="3043"/>
      <c r="AQ20" s="3040">
        <v>21180</v>
      </c>
      <c r="AR20" s="3049"/>
      <c r="AS20" s="3062">
        <f t="shared" si="42"/>
        <v>21180</v>
      </c>
      <c r="AT20" s="3157">
        <f t="shared" si="18"/>
        <v>3.045441059698274E-3</v>
      </c>
      <c r="AU20" s="3044" t="s">
        <v>1568</v>
      </c>
      <c r="AV20" s="3040">
        <f>2846.05*1.2</f>
        <v>3415.26</v>
      </c>
      <c r="AW20" s="3049"/>
      <c r="AX20" s="3062">
        <f t="shared" si="43"/>
        <v>3415.26</v>
      </c>
      <c r="AY20" s="3157">
        <f t="shared" si="19"/>
        <v>1.1778719590666642E-3</v>
      </c>
      <c r="AZ20" s="3044" t="s">
        <v>1569</v>
      </c>
      <c r="BA20" s="3040"/>
      <c r="BB20" s="3049"/>
      <c r="BC20" s="3062">
        <f t="shared" si="44"/>
        <v>0</v>
      </c>
      <c r="BD20" s="3157">
        <f t="shared" si="20"/>
        <v>0</v>
      </c>
      <c r="BE20" s="3043"/>
      <c r="BF20" s="3040">
        <f>37264+1851.26</f>
        <v>39115.26</v>
      </c>
      <c r="BG20" s="3049"/>
      <c r="BH20" s="3062">
        <f t="shared" si="45"/>
        <v>39115.26</v>
      </c>
      <c r="BI20" s="3157">
        <f t="shared" si="26"/>
        <v>8.5804329129223356E-3</v>
      </c>
      <c r="BJ20" s="3044" t="s">
        <v>1564</v>
      </c>
      <c r="BK20" s="3040"/>
      <c r="BL20" s="3049"/>
      <c r="BM20" s="3062">
        <f t="shared" si="46"/>
        <v>0</v>
      </c>
      <c r="BN20" s="3157">
        <f t="shared" si="27"/>
        <v>0</v>
      </c>
      <c r="BO20" s="3043"/>
      <c r="BP20" s="3040">
        <f>856.078</f>
        <v>856.07799999999997</v>
      </c>
      <c r="BQ20" s="3049"/>
      <c r="BR20" s="3062">
        <f t="shared" si="47"/>
        <v>856.07799999999997</v>
      </c>
      <c r="BS20" s="3157">
        <f t="shared" si="28"/>
        <v>3.4963119491498805E-4</v>
      </c>
      <c r="BT20" s="3044" t="s">
        <v>758</v>
      </c>
      <c r="BU20" s="3040"/>
      <c r="BV20" s="3049"/>
      <c r="BW20" s="3062">
        <f t="shared" si="48"/>
        <v>0</v>
      </c>
      <c r="BX20" s="3157">
        <f t="shared" si="29"/>
        <v>0</v>
      </c>
      <c r="BY20" s="2055"/>
      <c r="BZ20" s="3040"/>
      <c r="CA20" s="3049"/>
      <c r="CB20" s="3062">
        <f t="shared" si="49"/>
        <v>0</v>
      </c>
      <c r="CC20" s="3157">
        <f t="shared" si="30"/>
        <v>0</v>
      </c>
      <c r="CD20" s="2055"/>
      <c r="CE20" s="3040"/>
      <c r="CF20" s="3049"/>
      <c r="CG20" s="3062">
        <f t="shared" si="50"/>
        <v>0</v>
      </c>
      <c r="CH20" s="3157">
        <f t="shared" si="31"/>
        <v>0</v>
      </c>
      <c r="CI20" s="2055"/>
      <c r="CJ20" s="3040"/>
      <c r="CK20" s="3049"/>
      <c r="CL20" s="3062">
        <f t="shared" si="51"/>
        <v>0</v>
      </c>
      <c r="CM20" s="3157">
        <f t="shared" si="32"/>
        <v>0</v>
      </c>
      <c r="CN20" s="2055"/>
      <c r="CO20" s="2043">
        <f t="shared" si="33"/>
        <v>205106.11000000002</v>
      </c>
      <c r="CP20" s="2043">
        <f t="shared" si="34"/>
        <v>0</v>
      </c>
      <c r="CQ20" s="3078">
        <f t="shared" si="35"/>
        <v>205106.11000000002</v>
      </c>
      <c r="CR20" s="2788">
        <f t="shared" si="21"/>
        <v>2.1798811432901214E-3</v>
      </c>
      <c r="CS20" s="1434"/>
      <c r="CT20" s="919"/>
      <c r="CU20" s="1564"/>
      <c r="CV20" s="1564"/>
      <c r="CW20" s="1564"/>
      <c r="CX20" s="1564"/>
      <c r="CY20" s="1564"/>
      <c r="CZ20" s="1564"/>
      <c r="DA20" s="1564"/>
      <c r="DB20" s="1564"/>
      <c r="DC20" s="1564"/>
      <c r="DD20" s="1564"/>
      <c r="DE20" s="1564"/>
      <c r="DF20" s="1564"/>
      <c r="DG20" s="1564"/>
      <c r="DH20" s="1564"/>
      <c r="DI20" s="1564"/>
      <c r="DJ20" s="1564"/>
      <c r="DK20" s="1564"/>
      <c r="DL20" s="1564"/>
      <c r="DM20" s="1564"/>
      <c r="DN20" s="1564"/>
      <c r="DO20" s="1564"/>
      <c r="DP20" s="1564"/>
      <c r="DQ20" s="1564"/>
      <c r="DR20" s="1564"/>
      <c r="DS20" s="1564"/>
      <c r="DT20" s="1564"/>
      <c r="DU20" s="1564"/>
      <c r="DV20" s="1564"/>
      <c r="DW20" s="1564"/>
      <c r="DX20" s="1564"/>
      <c r="DY20" s="1564"/>
      <c r="DZ20" s="1564"/>
      <c r="EA20" s="1564"/>
      <c r="EB20" s="1564"/>
      <c r="EC20" s="1564"/>
      <c r="ED20" s="1564"/>
      <c r="EE20" s="1564"/>
      <c r="EF20" s="1564"/>
      <c r="EG20" s="1564"/>
      <c r="EH20" s="1564"/>
      <c r="EI20" s="1564"/>
      <c r="EJ20" s="1564"/>
      <c r="EK20" s="1564"/>
      <c r="EL20" s="1564"/>
      <c r="EM20" s="1564"/>
      <c r="EN20" s="1564"/>
      <c r="EO20" s="1564"/>
      <c r="EP20" s="1564"/>
      <c r="EQ20" s="1564"/>
      <c r="ER20" s="1564"/>
      <c r="ES20" s="1564"/>
      <c r="ET20" s="1564"/>
      <c r="EU20" s="1564"/>
      <c r="EV20" s="1564"/>
      <c r="EW20" s="1564"/>
      <c r="EX20" s="1564"/>
      <c r="EY20" s="1564"/>
      <c r="EZ20" s="1564"/>
      <c r="FA20" s="1564"/>
      <c r="FB20" s="1564"/>
      <c r="FC20" s="1564"/>
      <c r="FD20" s="1564"/>
      <c r="FE20" s="1564"/>
      <c r="FF20" s="1564"/>
      <c r="FG20" s="1564"/>
      <c r="FH20" s="1564"/>
      <c r="FI20" s="1564"/>
      <c r="FJ20" s="1564"/>
      <c r="FK20" s="1564"/>
      <c r="FL20" s="1564"/>
      <c r="FM20" s="1564"/>
      <c r="FN20" s="1564"/>
      <c r="FO20" s="1564"/>
      <c r="FP20" s="1564"/>
      <c r="FQ20" s="1564"/>
      <c r="FR20" s="1564"/>
      <c r="FS20" s="1564"/>
      <c r="FT20" s="1564"/>
      <c r="FU20" s="1564"/>
      <c r="FV20" s="1564"/>
    </row>
    <row r="21" spans="1:178" s="1564" customFormat="1" ht="33.6" customHeight="1">
      <c r="A21" s="1572"/>
      <c r="B21" s="3088" t="s">
        <v>58</v>
      </c>
      <c r="C21" s="2675"/>
      <c r="D21" s="2790"/>
      <c r="E21" s="3081">
        <f t="shared" si="22"/>
        <v>0</v>
      </c>
      <c r="F21" s="1976" t="e">
        <f t="shared" si="12"/>
        <v>#DIV/0!</v>
      </c>
      <c r="G21" s="1979">
        <v>620935.11</v>
      </c>
      <c r="H21" s="2051">
        <v>0</v>
      </c>
      <c r="I21" s="1982">
        <f t="shared" si="36"/>
        <v>620935.11</v>
      </c>
      <c r="J21" s="3003">
        <f t="shared" si="23"/>
        <v>1.1341722113606803E-2</v>
      </c>
      <c r="K21" s="2046"/>
      <c r="L21" s="2046"/>
      <c r="M21" s="3039">
        <v>212309.65</v>
      </c>
      <c r="N21" s="3040"/>
      <c r="O21" s="3041">
        <f t="shared" si="37"/>
        <v>212309.65</v>
      </c>
      <c r="P21" s="3042">
        <f t="shared" si="13"/>
        <v>3.052769242116004E-2</v>
      </c>
      <c r="Q21" s="3044" t="s">
        <v>1583</v>
      </c>
      <c r="R21" s="3052">
        <v>290476.33</v>
      </c>
      <c r="S21" s="3040"/>
      <c r="T21" s="3047">
        <f t="shared" si="38"/>
        <v>290476.33</v>
      </c>
      <c r="U21" s="3157">
        <f t="shared" si="14"/>
        <v>4.1767164412297712E-2</v>
      </c>
      <c r="V21" s="3044" t="s">
        <v>1515</v>
      </c>
      <c r="W21" s="2051">
        <v>306041.84000000003</v>
      </c>
      <c r="X21" s="2043"/>
      <c r="Y21" s="2045">
        <f t="shared" si="39"/>
        <v>306041.84000000003</v>
      </c>
      <c r="Z21" s="2788">
        <f t="shared" si="15"/>
        <v>4.4005306209707731E-2</v>
      </c>
      <c r="AA21" s="2048"/>
      <c r="AB21" s="3040">
        <v>291734.8</v>
      </c>
      <c r="AC21" s="3063"/>
      <c r="AD21" s="3065">
        <f t="shared" si="40"/>
        <v>291734.8</v>
      </c>
      <c r="AE21" s="3157">
        <f t="shared" si="16"/>
        <v>4.1948117963308031E-2</v>
      </c>
      <c r="AF21" s="3063" t="s">
        <v>1516</v>
      </c>
      <c r="AG21" s="3040">
        <v>278612.8</v>
      </c>
      <c r="AH21" s="3049"/>
      <c r="AI21" s="3062">
        <f t="shared" si="41"/>
        <v>278612.8</v>
      </c>
      <c r="AJ21" s="3157">
        <f t="shared" si="17"/>
        <v>4.0061324876180512E-2</v>
      </c>
      <c r="AK21" s="3063" t="s">
        <v>1517</v>
      </c>
      <c r="AL21" s="3040">
        <f>77626.58+73545.64+16057.2+48555.54</f>
        <v>215784.96000000002</v>
      </c>
      <c r="AM21" s="3049"/>
      <c r="AN21" s="3062">
        <f t="shared" si="24"/>
        <v>215784.96000000002</v>
      </c>
      <c r="AO21" s="3157">
        <f t="shared" si="25"/>
        <v>3.3653231286347042E-2</v>
      </c>
      <c r="AP21" s="3063" t="s">
        <v>1275</v>
      </c>
      <c r="AQ21" s="3040">
        <v>170938.82</v>
      </c>
      <c r="AR21" s="3049"/>
      <c r="AS21" s="3062">
        <f t="shared" si="42"/>
        <v>170938.82</v>
      </c>
      <c r="AT21" s="3157">
        <f t="shared" si="18"/>
        <v>2.4579041601717307E-2</v>
      </c>
      <c r="AU21" s="3044" t="s">
        <v>1296</v>
      </c>
      <c r="AV21" s="3040">
        <v>240630.69</v>
      </c>
      <c r="AW21" s="3049"/>
      <c r="AX21" s="3062">
        <f t="shared" si="43"/>
        <v>240630.69</v>
      </c>
      <c r="AY21" s="3157">
        <f t="shared" si="19"/>
        <v>8.2989916504706274E-2</v>
      </c>
      <c r="AZ21" s="3044" t="s">
        <v>1329</v>
      </c>
      <c r="BA21" s="3040">
        <v>294151.3</v>
      </c>
      <c r="BB21" s="3049"/>
      <c r="BC21" s="3062">
        <f t="shared" si="44"/>
        <v>294151.3</v>
      </c>
      <c r="BD21" s="3157">
        <f t="shared" si="20"/>
        <v>8.3904975658077544E-2</v>
      </c>
      <c r="BE21" s="3044" t="s">
        <v>1339</v>
      </c>
      <c r="BF21" s="3040">
        <v>301696.45999999996</v>
      </c>
      <c r="BG21" s="3049"/>
      <c r="BH21" s="3062">
        <f t="shared" si="45"/>
        <v>301696.45999999996</v>
      </c>
      <c r="BI21" s="3157">
        <f t="shared" si="26"/>
        <v>6.618097988089959E-2</v>
      </c>
      <c r="BJ21" s="3044" t="s">
        <v>1381</v>
      </c>
      <c r="BK21" s="3040">
        <v>163076.87</v>
      </c>
      <c r="BL21" s="3049"/>
      <c r="BM21" s="3062">
        <f t="shared" si="46"/>
        <v>163076.87</v>
      </c>
      <c r="BN21" s="3157">
        <f t="shared" si="27"/>
        <v>2.6877152236318883E-2</v>
      </c>
      <c r="BO21" s="3044" t="s">
        <v>1412</v>
      </c>
      <c r="BP21" s="3040">
        <v>32228.74</v>
      </c>
      <c r="BQ21" s="3049"/>
      <c r="BR21" s="3062">
        <f t="shared" si="47"/>
        <v>32228.74</v>
      </c>
      <c r="BS21" s="3157">
        <f t="shared" si="28"/>
        <v>1.3162553969152897E-2</v>
      </c>
      <c r="BT21" s="3044" t="s">
        <v>1471</v>
      </c>
      <c r="BU21" s="3040"/>
      <c r="BV21" s="3049"/>
      <c r="BW21" s="3062">
        <f t="shared" si="48"/>
        <v>0</v>
      </c>
      <c r="BX21" s="3157">
        <f t="shared" si="29"/>
        <v>0</v>
      </c>
      <c r="BY21" s="3044"/>
      <c r="BZ21" s="3040"/>
      <c r="CA21" s="3049"/>
      <c r="CB21" s="3062">
        <f t="shared" si="49"/>
        <v>0</v>
      </c>
      <c r="CC21" s="3157">
        <f t="shared" si="30"/>
        <v>0</v>
      </c>
      <c r="CD21" s="3044"/>
      <c r="CE21" s="3040"/>
      <c r="CF21" s="3049"/>
      <c r="CG21" s="3062">
        <f t="shared" si="50"/>
        <v>0</v>
      </c>
      <c r="CH21" s="3157">
        <f t="shared" si="31"/>
        <v>0</v>
      </c>
      <c r="CI21" s="3044"/>
      <c r="CJ21" s="3040"/>
      <c r="CK21" s="3049"/>
      <c r="CL21" s="3062">
        <f t="shared" si="51"/>
        <v>0</v>
      </c>
      <c r="CM21" s="3157">
        <f t="shared" si="32"/>
        <v>0</v>
      </c>
      <c r="CN21" s="3044"/>
      <c r="CO21" s="2043">
        <f t="shared" si="33"/>
        <v>2797683.2600000002</v>
      </c>
      <c r="CP21" s="2043">
        <f t="shared" si="34"/>
        <v>0</v>
      </c>
      <c r="CQ21" s="2045">
        <f t="shared" si="35"/>
        <v>2797683.2600000002</v>
      </c>
      <c r="CR21" s="2788">
        <f t="shared" si="21"/>
        <v>2.9733960550333848E-2</v>
      </c>
      <c r="CS21" s="1434"/>
      <c r="CT21" s="919"/>
      <c r="CU21" s="3198"/>
    </row>
    <row r="22" spans="1:178" s="1396" customFormat="1" ht="33.6" customHeight="1">
      <c r="A22" s="1572"/>
      <c r="B22" s="3085" t="s">
        <v>621</v>
      </c>
      <c r="C22" s="2675"/>
      <c r="D22" s="2790"/>
      <c r="E22" s="3081">
        <f t="shared" si="22"/>
        <v>0</v>
      </c>
      <c r="F22" s="1976" t="e">
        <f t="shared" si="12"/>
        <v>#DIV/0!</v>
      </c>
      <c r="G22" s="1979">
        <v>406302.96799999999</v>
      </c>
      <c r="H22" s="2051">
        <v>5700</v>
      </c>
      <c r="I22" s="1982">
        <f t="shared" si="36"/>
        <v>412002.96799999999</v>
      </c>
      <c r="J22" s="3003">
        <f t="shared" si="23"/>
        <v>7.525461353018412E-3</v>
      </c>
      <c r="K22" s="2046"/>
      <c r="L22" s="2046"/>
      <c r="M22" s="3039">
        <f>12960+10800+5400+6480+116100+18200+9800+11200+4800</f>
        <v>195740</v>
      </c>
      <c r="N22" s="3040">
        <v>5100</v>
      </c>
      <c r="O22" s="3041">
        <f t="shared" si="37"/>
        <v>200840</v>
      </c>
      <c r="P22" s="3042">
        <f t="shared" si="13"/>
        <v>2.887848831113321E-2</v>
      </c>
      <c r="Q22" s="3044" t="s">
        <v>1584</v>
      </c>
      <c r="R22" s="3053">
        <f>1500+23000*2+12000+10800</f>
        <v>70300</v>
      </c>
      <c r="S22" s="3040">
        <v>600</v>
      </c>
      <c r="T22" s="3047">
        <f t="shared" si="38"/>
        <v>70900</v>
      </c>
      <c r="U22" s="3157">
        <f t="shared" si="14"/>
        <v>1.0194606757913486E-2</v>
      </c>
      <c r="V22" s="3044" t="s">
        <v>1587</v>
      </c>
      <c r="W22" s="3040">
        <f>6750+14000+23000*2+13000+8100+9000</f>
        <v>96850</v>
      </c>
      <c r="X22" s="3049"/>
      <c r="Y22" s="3062">
        <f t="shared" si="39"/>
        <v>96850</v>
      </c>
      <c r="Z22" s="3157">
        <f t="shared" si="15"/>
        <v>1.3925919104427661E-2</v>
      </c>
      <c r="AA22" s="3063" t="s">
        <v>1577</v>
      </c>
      <c r="AB22" s="3040">
        <f>14000+23000*2+6900+17400</f>
        <v>84300</v>
      </c>
      <c r="AC22" s="3049"/>
      <c r="AD22" s="3065">
        <f t="shared" si="40"/>
        <v>84300</v>
      </c>
      <c r="AE22" s="3157">
        <f t="shared" si="16"/>
        <v>1.2121373056306162E-2</v>
      </c>
      <c r="AF22" s="3063" t="s">
        <v>1578</v>
      </c>
      <c r="AG22" s="3040">
        <f>10500+9200+54000</f>
        <v>73700</v>
      </c>
      <c r="AH22" s="3049"/>
      <c r="AI22" s="3062">
        <f t="shared" si="41"/>
        <v>73700</v>
      </c>
      <c r="AJ22" s="3157">
        <f t="shared" si="17"/>
        <v>1.0597214641159716E-2</v>
      </c>
      <c r="AK22" s="3063" t="s">
        <v>1602</v>
      </c>
      <c r="AL22" s="3040">
        <f>4166.68*1.2</f>
        <v>5000.0160000000005</v>
      </c>
      <c r="AM22" s="3049"/>
      <c r="AN22" s="3062">
        <f t="shared" si="24"/>
        <v>5000.0160000000005</v>
      </c>
      <c r="AO22" s="3157">
        <f t="shared" si="25"/>
        <v>7.7978879938358906E-4</v>
      </c>
      <c r="AP22" s="3063" t="s">
        <v>1606</v>
      </c>
      <c r="AQ22" s="3040">
        <f>5200+10150+7700+2750+5700+1500+6600+1500+6175</f>
        <v>47275</v>
      </c>
      <c r="AR22" s="3049"/>
      <c r="AS22" s="3062">
        <f t="shared" si="42"/>
        <v>47275</v>
      </c>
      <c r="AT22" s="3157">
        <f t="shared" si="18"/>
        <v>6.7976027430234143E-3</v>
      </c>
      <c r="AU22" s="3044" t="s">
        <v>1608</v>
      </c>
      <c r="AV22" s="3040">
        <f>5500+6300+5500+12600+21600+22200+10000+9500+1700+9500</f>
        <v>104400</v>
      </c>
      <c r="AW22" s="3049"/>
      <c r="AX22" s="3062">
        <f t="shared" si="43"/>
        <v>104400</v>
      </c>
      <c r="AY22" s="3157">
        <f t="shared" si="19"/>
        <v>3.6005994426942523E-2</v>
      </c>
      <c r="AZ22" s="3044" t="s">
        <v>1612</v>
      </c>
      <c r="BA22" s="3040">
        <f>30400+4000+8400+1300+27000+10500+25050+6500</f>
        <v>113150</v>
      </c>
      <c r="BB22" s="3049"/>
      <c r="BC22" s="3062">
        <f t="shared" si="44"/>
        <v>113150</v>
      </c>
      <c r="BD22" s="3157">
        <f t="shared" si="20"/>
        <v>3.2275390235268292E-2</v>
      </c>
      <c r="BE22" s="3044" t="s">
        <v>1614</v>
      </c>
      <c r="BF22" s="3040">
        <f>39200+33046+3500+21250+13750+5000+6600+12600</f>
        <v>134946</v>
      </c>
      <c r="BG22" s="3049"/>
      <c r="BH22" s="3062">
        <f t="shared" si="45"/>
        <v>134946</v>
      </c>
      <c r="BI22" s="3157">
        <f t="shared" si="26"/>
        <v>2.9602132259052283E-2</v>
      </c>
      <c r="BJ22" s="3044" t="s">
        <v>1580</v>
      </c>
      <c r="BK22" s="3040">
        <f>9800+4000+4500+6000+30800</f>
        <v>55100</v>
      </c>
      <c r="BL22" s="3049"/>
      <c r="BM22" s="3062">
        <f t="shared" si="46"/>
        <v>55100</v>
      </c>
      <c r="BN22" s="3157">
        <f t="shared" si="27"/>
        <v>9.0811841570246632E-3</v>
      </c>
      <c r="BO22" s="3044" t="s">
        <v>1619</v>
      </c>
      <c r="BP22" s="3040">
        <f>2700+6000+13440</f>
        <v>22140</v>
      </c>
      <c r="BQ22" s="3049"/>
      <c r="BR22" s="3062">
        <f t="shared" si="47"/>
        <v>22140</v>
      </c>
      <c r="BS22" s="3157">
        <f t="shared" si="28"/>
        <v>9.0422072000656915E-3</v>
      </c>
      <c r="BT22" s="3044" t="s">
        <v>1472</v>
      </c>
      <c r="BU22" s="3040"/>
      <c r="BV22" s="3049"/>
      <c r="BW22" s="3062">
        <f t="shared" si="48"/>
        <v>0</v>
      </c>
      <c r="BX22" s="3157">
        <f t="shared" si="29"/>
        <v>0</v>
      </c>
      <c r="BY22" s="3044"/>
      <c r="BZ22" s="3040"/>
      <c r="CA22" s="3049"/>
      <c r="CB22" s="3062">
        <f t="shared" si="49"/>
        <v>0</v>
      </c>
      <c r="CC22" s="3157">
        <f t="shared" si="30"/>
        <v>0</v>
      </c>
      <c r="CD22" s="3044"/>
      <c r="CE22" s="3040"/>
      <c r="CF22" s="3049"/>
      <c r="CG22" s="3062">
        <f t="shared" si="50"/>
        <v>0</v>
      </c>
      <c r="CH22" s="3157">
        <f t="shared" si="31"/>
        <v>0</v>
      </c>
      <c r="CI22" s="3044"/>
      <c r="CJ22" s="3040"/>
      <c r="CK22" s="3049"/>
      <c r="CL22" s="3062">
        <f t="shared" si="51"/>
        <v>0</v>
      </c>
      <c r="CM22" s="3157">
        <f t="shared" si="32"/>
        <v>0</v>
      </c>
      <c r="CN22" s="3044"/>
      <c r="CO22" s="2043">
        <f t="shared" si="33"/>
        <v>1002901.0159999999</v>
      </c>
      <c r="CP22" s="2043">
        <f t="shared" si="34"/>
        <v>5700</v>
      </c>
      <c r="CQ22" s="3078">
        <f t="shared" si="35"/>
        <v>1008601.0159999999</v>
      </c>
      <c r="CR22" s="2788">
        <f t="shared" si="21"/>
        <v>1.0719477522545076E-2</v>
      </c>
      <c r="CS22" s="1434"/>
      <c r="CT22" s="919"/>
      <c r="CU22" s="1564"/>
      <c r="CV22" s="1564"/>
      <c r="CW22" s="1564"/>
      <c r="CX22" s="1564"/>
      <c r="CY22" s="1564"/>
      <c r="CZ22" s="1564"/>
      <c r="DA22" s="1564"/>
      <c r="DB22" s="1564"/>
      <c r="DC22" s="1564"/>
      <c r="DD22" s="1564"/>
      <c r="DE22" s="1564"/>
      <c r="DF22" s="1564"/>
      <c r="DG22" s="1564"/>
      <c r="DH22" s="1564"/>
      <c r="DI22" s="1564"/>
      <c r="DJ22" s="1564"/>
      <c r="DK22" s="1564"/>
      <c r="DL22" s="1564"/>
      <c r="DM22" s="1564"/>
      <c r="DN22" s="1564"/>
      <c r="DO22" s="1564"/>
      <c r="DP22" s="1564"/>
      <c r="DQ22" s="1564"/>
      <c r="DR22" s="1564"/>
      <c r="DS22" s="1564"/>
      <c r="DT22" s="1564"/>
      <c r="DU22" s="1564"/>
      <c r="DV22" s="1564"/>
      <c r="DW22" s="1564"/>
      <c r="DX22" s="1564"/>
      <c r="DY22" s="1564"/>
      <c r="DZ22" s="1564"/>
      <c r="EA22" s="1564"/>
      <c r="EB22" s="1564"/>
      <c r="EC22" s="1564"/>
      <c r="ED22" s="1564"/>
      <c r="EE22" s="1564"/>
      <c r="EF22" s="1564"/>
      <c r="EG22" s="1564"/>
      <c r="EH22" s="1564"/>
      <c r="EI22" s="1564"/>
      <c r="EJ22" s="1564"/>
      <c r="EK22" s="1564"/>
      <c r="EL22" s="1564"/>
      <c r="EM22" s="1564"/>
      <c r="EN22" s="1564"/>
      <c r="EO22" s="1564"/>
      <c r="EP22" s="1564"/>
      <c r="EQ22" s="1564"/>
      <c r="ER22" s="1564"/>
      <c r="ES22" s="1564"/>
      <c r="ET22" s="1564"/>
      <c r="EU22" s="1564"/>
      <c r="EV22" s="1564"/>
      <c r="EW22" s="1564"/>
      <c r="EX22" s="1564"/>
      <c r="EY22" s="1564"/>
      <c r="EZ22" s="1564"/>
      <c r="FA22" s="1564"/>
      <c r="FB22" s="1564"/>
      <c r="FC22" s="1564"/>
      <c r="FD22" s="1564"/>
      <c r="FE22" s="1564"/>
      <c r="FF22" s="1564"/>
      <c r="FG22" s="1564"/>
      <c r="FH22" s="1564"/>
      <c r="FI22" s="1564"/>
      <c r="FJ22" s="1564"/>
      <c r="FK22" s="1564"/>
      <c r="FL22" s="1564"/>
      <c r="FM22" s="1564"/>
      <c r="FN22" s="1564"/>
      <c r="FO22" s="1564"/>
      <c r="FP22" s="1564"/>
      <c r="FQ22" s="1564"/>
      <c r="FR22" s="1564"/>
      <c r="FS22" s="1564"/>
      <c r="FT22" s="1564"/>
      <c r="FU22" s="1564"/>
      <c r="FV22" s="1564"/>
    </row>
    <row r="23" spans="1:178" s="1396" customFormat="1" ht="33.6" customHeight="1">
      <c r="A23" s="1572"/>
      <c r="B23" s="3085" t="s">
        <v>630</v>
      </c>
      <c r="C23" s="2675"/>
      <c r="D23" s="2790"/>
      <c r="E23" s="3081">
        <f t="shared" si="22"/>
        <v>0</v>
      </c>
      <c r="F23" s="1976" t="e">
        <f t="shared" si="12"/>
        <v>#DIV/0!</v>
      </c>
      <c r="G23" s="1979">
        <v>0</v>
      </c>
      <c r="H23" s="2051">
        <v>0</v>
      </c>
      <c r="I23" s="1982">
        <f t="shared" si="36"/>
        <v>0</v>
      </c>
      <c r="J23" s="3003">
        <f t="shared" si="23"/>
        <v>0</v>
      </c>
      <c r="K23" s="2046"/>
      <c r="L23" s="2046"/>
      <c r="M23" s="1979"/>
      <c r="N23" s="2051"/>
      <c r="O23" s="1982">
        <f t="shared" si="37"/>
        <v>0</v>
      </c>
      <c r="P23" s="3003">
        <f t="shared" si="13"/>
        <v>0</v>
      </c>
      <c r="Q23" s="2046"/>
      <c r="R23" s="2052"/>
      <c r="S23" s="2051"/>
      <c r="T23" s="2011">
        <f t="shared" si="38"/>
        <v>0</v>
      </c>
      <c r="U23" s="2788">
        <f t="shared" si="14"/>
        <v>0</v>
      </c>
      <c r="V23" s="2048"/>
      <c r="W23" s="3040"/>
      <c r="X23" s="3049"/>
      <c r="Y23" s="3062">
        <f t="shared" si="39"/>
        <v>0</v>
      </c>
      <c r="Z23" s="3157">
        <f t="shared" si="15"/>
        <v>0</v>
      </c>
      <c r="AA23" s="3043"/>
      <c r="AB23" s="3040"/>
      <c r="AC23" s="3049"/>
      <c r="AD23" s="3065">
        <f t="shared" si="40"/>
        <v>0</v>
      </c>
      <c r="AE23" s="3157">
        <f t="shared" si="16"/>
        <v>0</v>
      </c>
      <c r="AF23" s="3043"/>
      <c r="AG23" s="2051"/>
      <c r="AH23" s="2043"/>
      <c r="AI23" s="2045">
        <f t="shared" si="41"/>
        <v>0</v>
      </c>
      <c r="AJ23" s="2788">
        <f t="shared" si="17"/>
        <v>0</v>
      </c>
      <c r="AK23" s="2048"/>
      <c r="AL23" s="3040"/>
      <c r="AM23" s="3049"/>
      <c r="AN23" s="3062">
        <f t="shared" si="24"/>
        <v>0</v>
      </c>
      <c r="AO23" s="3157">
        <f t="shared" si="25"/>
        <v>0</v>
      </c>
      <c r="AP23" s="3043"/>
      <c r="AQ23" s="3040"/>
      <c r="AR23" s="3049"/>
      <c r="AS23" s="3062">
        <f t="shared" si="42"/>
        <v>0</v>
      </c>
      <c r="AT23" s="3157">
        <f t="shared" si="18"/>
        <v>0</v>
      </c>
      <c r="AU23" s="3044"/>
      <c r="AV23" s="3040"/>
      <c r="AW23" s="3049"/>
      <c r="AX23" s="3062">
        <f t="shared" si="43"/>
        <v>0</v>
      </c>
      <c r="AY23" s="3157">
        <f t="shared" si="19"/>
        <v>0</v>
      </c>
      <c r="AZ23" s="3043"/>
      <c r="BA23" s="2051"/>
      <c r="BB23" s="2043"/>
      <c r="BC23" s="2045">
        <f t="shared" si="44"/>
        <v>0</v>
      </c>
      <c r="BD23" s="2788">
        <f t="shared" si="20"/>
        <v>0</v>
      </c>
      <c r="BE23" s="2048"/>
      <c r="BF23" s="3040"/>
      <c r="BG23" s="3049"/>
      <c r="BH23" s="3062">
        <f t="shared" si="45"/>
        <v>0</v>
      </c>
      <c r="BI23" s="3157">
        <f t="shared" si="26"/>
        <v>0</v>
      </c>
      <c r="BJ23" s="3044"/>
      <c r="BK23" s="3040"/>
      <c r="BL23" s="3049"/>
      <c r="BM23" s="3062">
        <f t="shared" si="46"/>
        <v>0</v>
      </c>
      <c r="BN23" s="3157">
        <f t="shared" si="27"/>
        <v>0</v>
      </c>
      <c r="BO23" s="3043"/>
      <c r="BP23" s="3040"/>
      <c r="BQ23" s="3049"/>
      <c r="BR23" s="3062">
        <f t="shared" si="47"/>
        <v>0</v>
      </c>
      <c r="BS23" s="3157">
        <f t="shared" si="28"/>
        <v>0</v>
      </c>
      <c r="BT23" s="3043"/>
      <c r="BU23" s="3040"/>
      <c r="BV23" s="3049"/>
      <c r="BW23" s="3062">
        <f t="shared" si="48"/>
        <v>0</v>
      </c>
      <c r="BX23" s="3157">
        <f t="shared" si="29"/>
        <v>0</v>
      </c>
      <c r="BY23" s="3043"/>
      <c r="BZ23" s="3040"/>
      <c r="CA23" s="3049"/>
      <c r="CB23" s="3062">
        <f t="shared" si="49"/>
        <v>0</v>
      </c>
      <c r="CC23" s="3157">
        <f t="shared" si="30"/>
        <v>0</v>
      </c>
      <c r="CD23" s="3043"/>
      <c r="CE23" s="3040"/>
      <c r="CF23" s="3049"/>
      <c r="CG23" s="3062">
        <f t="shared" si="50"/>
        <v>0</v>
      </c>
      <c r="CH23" s="3157">
        <f t="shared" si="31"/>
        <v>0</v>
      </c>
      <c r="CI23" s="3043"/>
      <c r="CJ23" s="3040"/>
      <c r="CK23" s="3049"/>
      <c r="CL23" s="3062">
        <f t="shared" si="51"/>
        <v>0</v>
      </c>
      <c r="CM23" s="3157">
        <f t="shared" si="32"/>
        <v>0</v>
      </c>
      <c r="CN23" s="3043"/>
      <c r="CO23" s="2043">
        <f t="shared" si="33"/>
        <v>0</v>
      </c>
      <c r="CP23" s="2043">
        <f t="shared" si="34"/>
        <v>0</v>
      </c>
      <c r="CQ23" s="2045">
        <f t="shared" si="35"/>
        <v>0</v>
      </c>
      <c r="CR23" s="2788">
        <f t="shared" si="21"/>
        <v>0</v>
      </c>
      <c r="CS23" s="1434"/>
      <c r="CT23" s="919"/>
      <c r="CU23" s="1564"/>
      <c r="CV23" s="1564"/>
      <c r="CW23" s="1564"/>
      <c r="CX23" s="1564"/>
      <c r="CY23" s="1564"/>
      <c r="CZ23" s="1564"/>
      <c r="DA23" s="1564"/>
      <c r="DB23" s="1564"/>
      <c r="DC23" s="1564"/>
      <c r="DD23" s="1564"/>
      <c r="DE23" s="1564"/>
      <c r="DF23" s="1564"/>
      <c r="DG23" s="1564"/>
      <c r="DH23" s="1564"/>
      <c r="DI23" s="1564"/>
      <c r="DJ23" s="1564"/>
      <c r="DK23" s="1564"/>
      <c r="DL23" s="1564"/>
      <c r="DM23" s="1564"/>
      <c r="DN23" s="1564"/>
      <c r="DO23" s="1564"/>
      <c r="DP23" s="1564"/>
      <c r="DQ23" s="1564"/>
      <c r="DR23" s="1564"/>
      <c r="DS23" s="1564"/>
      <c r="DT23" s="1564"/>
      <c r="DU23" s="1564"/>
      <c r="DV23" s="1564"/>
      <c r="DW23" s="1564"/>
      <c r="DX23" s="1564"/>
      <c r="DY23" s="1564"/>
      <c r="DZ23" s="1564"/>
      <c r="EA23" s="1564"/>
      <c r="EB23" s="1564"/>
      <c r="EC23" s="1564"/>
      <c r="ED23" s="1564"/>
      <c r="EE23" s="1564"/>
      <c r="EF23" s="1564"/>
      <c r="EG23" s="1564"/>
      <c r="EH23" s="1564"/>
      <c r="EI23" s="1564"/>
      <c r="EJ23" s="1564"/>
      <c r="EK23" s="1564"/>
      <c r="EL23" s="1564"/>
      <c r="EM23" s="1564"/>
      <c r="EN23" s="1564"/>
      <c r="EO23" s="1564"/>
      <c r="EP23" s="1564"/>
      <c r="EQ23" s="1564"/>
      <c r="ER23" s="1564"/>
      <c r="ES23" s="1564"/>
      <c r="ET23" s="1564"/>
      <c r="EU23" s="1564"/>
      <c r="EV23" s="1564"/>
      <c r="EW23" s="1564"/>
      <c r="EX23" s="1564"/>
      <c r="EY23" s="1564"/>
      <c r="EZ23" s="1564"/>
      <c r="FA23" s="1564"/>
      <c r="FB23" s="1564"/>
      <c r="FC23" s="1564"/>
      <c r="FD23" s="1564"/>
      <c r="FE23" s="1564"/>
      <c r="FF23" s="1564"/>
      <c r="FG23" s="1564"/>
      <c r="FH23" s="1564"/>
      <c r="FI23" s="1564"/>
      <c r="FJ23" s="1564"/>
      <c r="FK23" s="1564"/>
      <c r="FL23" s="1564"/>
      <c r="FM23" s="1564"/>
      <c r="FN23" s="1564"/>
      <c r="FO23" s="1564"/>
      <c r="FP23" s="1564"/>
      <c r="FQ23" s="1564"/>
      <c r="FR23" s="1564"/>
      <c r="FS23" s="1564"/>
      <c r="FT23" s="1564"/>
      <c r="FU23" s="1564"/>
      <c r="FV23" s="1564"/>
    </row>
    <row r="24" spans="1:178" s="1396" customFormat="1" ht="33.6" customHeight="1">
      <c r="A24" s="1572"/>
      <c r="B24" s="3085" t="s">
        <v>23</v>
      </c>
      <c r="C24" s="2675"/>
      <c r="D24" s="2790"/>
      <c r="E24" s="3081">
        <f t="shared" si="22"/>
        <v>0</v>
      </c>
      <c r="F24" s="1976" t="e">
        <f t="shared" si="12"/>
        <v>#DIV/0!</v>
      </c>
      <c r="G24" s="1979">
        <v>249849.19199999998</v>
      </c>
      <c r="H24" s="2051">
        <v>3765</v>
      </c>
      <c r="I24" s="1982">
        <f t="shared" si="36"/>
        <v>253614.19199999998</v>
      </c>
      <c r="J24" s="3003">
        <f t="shared" si="23"/>
        <v>4.6324030376232415E-3</v>
      </c>
      <c r="K24" s="2046"/>
      <c r="L24" s="2046"/>
      <c r="M24" s="3039">
        <f>8200*3+20000+48000+33000+1200+26000</f>
        <v>152800</v>
      </c>
      <c r="N24" s="3040">
        <v>3600</v>
      </c>
      <c r="O24" s="3041">
        <f t="shared" si="37"/>
        <v>156400</v>
      </c>
      <c r="P24" s="3042">
        <f t="shared" si="13"/>
        <v>2.2488526049896602E-2</v>
      </c>
      <c r="Q24" s="3044" t="s">
        <v>1585</v>
      </c>
      <c r="R24" s="3052">
        <f>6000+3200</f>
        <v>9200</v>
      </c>
      <c r="S24" s="3040">
        <v>165</v>
      </c>
      <c r="T24" s="3047">
        <f t="shared" si="38"/>
        <v>9365</v>
      </c>
      <c r="U24" s="3157">
        <f t="shared" si="14"/>
        <v>1.3465795809289112E-3</v>
      </c>
      <c r="V24" s="3044" t="s">
        <v>1588</v>
      </c>
      <c r="W24" s="3040">
        <v>2250</v>
      </c>
      <c r="X24" s="3049"/>
      <c r="Y24" s="3062">
        <f t="shared" si="39"/>
        <v>2250</v>
      </c>
      <c r="Z24" s="3157">
        <f t="shared" si="15"/>
        <v>3.2352419189429256E-4</v>
      </c>
      <c r="AA24" s="3043" t="s">
        <v>1570</v>
      </c>
      <c r="AB24" s="3040">
        <f>3000+3000+1800+6000+4000+3000+3000+4000+9000+16000</f>
        <v>52800</v>
      </c>
      <c r="AC24" s="3049"/>
      <c r="AD24" s="3065">
        <f t="shared" si="40"/>
        <v>52800</v>
      </c>
      <c r="AE24" s="3157">
        <f t="shared" si="16"/>
        <v>7.5920343697860656E-3</v>
      </c>
      <c r="AF24" s="3043" t="s">
        <v>1571</v>
      </c>
      <c r="AG24" s="3040">
        <f>18000+12000+3000+4000+6000+1500</f>
        <v>44500</v>
      </c>
      <c r="AH24" s="3049"/>
      <c r="AI24" s="3062">
        <f t="shared" si="41"/>
        <v>44500</v>
      </c>
      <c r="AJ24" s="3157">
        <f t="shared" si="17"/>
        <v>6.3985895730204528E-3</v>
      </c>
      <c r="AK24" s="3044" t="s">
        <v>1573</v>
      </c>
      <c r="AL24" s="3040">
        <f>3500+6000</f>
        <v>9500</v>
      </c>
      <c r="AM24" s="3049"/>
      <c r="AN24" s="3062">
        <f t="shared" si="24"/>
        <v>9500</v>
      </c>
      <c r="AO24" s="3157">
        <f t="shared" si="25"/>
        <v>1.4815939777280903E-3</v>
      </c>
      <c r="AP24" s="3044" t="s">
        <v>1574</v>
      </c>
      <c r="AQ24" s="3040">
        <f>2300+6000</f>
        <v>8300</v>
      </c>
      <c r="AR24" s="3049"/>
      <c r="AS24" s="3062">
        <f t="shared" si="42"/>
        <v>8300</v>
      </c>
      <c r="AT24" s="3157">
        <f t="shared" si="18"/>
        <v>1.1934447967656126E-3</v>
      </c>
      <c r="AU24" s="3044" t="s">
        <v>1609</v>
      </c>
      <c r="AV24" s="3040">
        <f>16700+10400+7200+675+23000+17000</f>
        <v>74975</v>
      </c>
      <c r="AW24" s="3049"/>
      <c r="AX24" s="3062">
        <f t="shared" si="43"/>
        <v>74975</v>
      </c>
      <c r="AY24" s="3157">
        <f t="shared" si="19"/>
        <v>2.5857753181609346E-2</v>
      </c>
      <c r="AZ24" s="3044" t="s">
        <v>1575</v>
      </c>
      <c r="BA24" s="3040">
        <f>525+41400+9000+6000</f>
        <v>56925</v>
      </c>
      <c r="BB24" s="3049"/>
      <c r="BC24" s="3062">
        <f t="shared" si="44"/>
        <v>56925</v>
      </c>
      <c r="BD24" s="3157">
        <f t="shared" si="20"/>
        <v>1.6237530615489593E-2</v>
      </c>
      <c r="BE24" s="3044" t="s">
        <v>1340</v>
      </c>
      <c r="BF24" s="3040">
        <f>5760+1995+24500+4000+9600</f>
        <v>45855</v>
      </c>
      <c r="BG24" s="3049"/>
      <c r="BH24" s="3062">
        <f t="shared" si="45"/>
        <v>45855</v>
      </c>
      <c r="BI24" s="3157">
        <f t="shared" si="26"/>
        <v>1.0058881143115338E-2</v>
      </c>
      <c r="BJ24" s="3044" t="s">
        <v>1382</v>
      </c>
      <c r="BK24" s="3040">
        <f>3460+360+2000</f>
        <v>5820</v>
      </c>
      <c r="BL24" s="3049"/>
      <c r="BM24" s="3062">
        <f t="shared" si="46"/>
        <v>5820</v>
      </c>
      <c r="BN24" s="3157">
        <f t="shared" si="27"/>
        <v>9.592103773844562E-4</v>
      </c>
      <c r="BO24" s="3044" t="s">
        <v>1423</v>
      </c>
      <c r="BP24" s="3040">
        <f>-3500+35000+88000+36000</f>
        <v>155500</v>
      </c>
      <c r="BQ24" s="3049"/>
      <c r="BR24" s="3062">
        <f t="shared" si="47"/>
        <v>155500</v>
      </c>
      <c r="BS24" s="3157">
        <f t="shared" si="28"/>
        <v>6.3507823830633012E-2</v>
      </c>
      <c r="BT24" s="3044" t="s">
        <v>1473</v>
      </c>
      <c r="BU24" s="3040">
        <f>18333.33*1.2</f>
        <v>21999.996000000003</v>
      </c>
      <c r="BV24" s="3049"/>
      <c r="BW24" s="3062">
        <f t="shared" si="48"/>
        <v>21999.996000000003</v>
      </c>
      <c r="BX24" s="3157">
        <f t="shared" si="29"/>
        <v>4.0754898528509297E-2</v>
      </c>
      <c r="BY24" s="3044" t="s">
        <v>1626</v>
      </c>
      <c r="BZ24" s="3040"/>
      <c r="CA24" s="3049"/>
      <c r="CB24" s="3062">
        <f t="shared" si="49"/>
        <v>0</v>
      </c>
      <c r="CC24" s="3157">
        <f t="shared" si="30"/>
        <v>0</v>
      </c>
      <c r="CD24" s="3044"/>
      <c r="CE24" s="3040"/>
      <c r="CF24" s="3049"/>
      <c r="CG24" s="3062">
        <f t="shared" si="50"/>
        <v>0</v>
      </c>
      <c r="CH24" s="3157">
        <f t="shared" si="31"/>
        <v>0</v>
      </c>
      <c r="CI24" s="3044"/>
      <c r="CJ24" s="3040"/>
      <c r="CK24" s="3049"/>
      <c r="CL24" s="3062">
        <f t="shared" si="51"/>
        <v>0</v>
      </c>
      <c r="CM24" s="3157">
        <f t="shared" si="32"/>
        <v>0</v>
      </c>
      <c r="CN24" s="3044"/>
      <c r="CO24" s="2043">
        <f t="shared" si="33"/>
        <v>640424.99600000004</v>
      </c>
      <c r="CP24" s="2043">
        <f t="shared" si="34"/>
        <v>3765</v>
      </c>
      <c r="CQ24" s="2045">
        <f t="shared" si="35"/>
        <v>644189.99600000004</v>
      </c>
      <c r="CR24" s="2788">
        <f t="shared" si="21"/>
        <v>6.8464933832372852E-3</v>
      </c>
      <c r="CS24" s="1434"/>
      <c r="CT24" s="919"/>
      <c r="CU24" s="1564"/>
      <c r="CV24" s="1564"/>
      <c r="CW24" s="1564"/>
      <c r="CX24" s="1564"/>
      <c r="CY24" s="1564"/>
      <c r="CZ24" s="1564"/>
      <c r="DA24" s="1564"/>
      <c r="DB24" s="1564"/>
      <c r="DC24" s="1564"/>
      <c r="DD24" s="1564"/>
      <c r="DE24" s="1564"/>
      <c r="DF24" s="1564"/>
      <c r="DG24" s="1564"/>
      <c r="DH24" s="1564"/>
      <c r="DI24" s="1564"/>
      <c r="DJ24" s="1564"/>
      <c r="DK24" s="1564"/>
      <c r="DL24" s="1564"/>
      <c r="DM24" s="1564"/>
      <c r="DN24" s="1564"/>
      <c r="DO24" s="1564"/>
      <c r="DP24" s="1564"/>
      <c r="DQ24" s="1564"/>
      <c r="DR24" s="1564"/>
      <c r="DS24" s="1564"/>
      <c r="DT24" s="1564"/>
      <c r="DU24" s="1564"/>
      <c r="DV24" s="1564"/>
      <c r="DW24" s="1564"/>
      <c r="DX24" s="1564"/>
      <c r="DY24" s="1564"/>
      <c r="DZ24" s="1564"/>
      <c r="EA24" s="1564"/>
      <c r="EB24" s="1564"/>
      <c r="EC24" s="1564"/>
      <c r="ED24" s="1564"/>
      <c r="EE24" s="1564"/>
      <c r="EF24" s="1564"/>
      <c r="EG24" s="1564"/>
      <c r="EH24" s="1564"/>
      <c r="EI24" s="1564"/>
      <c r="EJ24" s="1564"/>
      <c r="EK24" s="1564"/>
      <c r="EL24" s="1564"/>
      <c r="EM24" s="1564"/>
      <c r="EN24" s="1564"/>
      <c r="EO24" s="1564"/>
      <c r="EP24" s="1564"/>
      <c r="EQ24" s="1564"/>
      <c r="ER24" s="1564"/>
      <c r="ES24" s="1564"/>
      <c r="ET24" s="1564"/>
      <c r="EU24" s="1564"/>
      <c r="EV24" s="1564"/>
      <c r="EW24" s="1564"/>
      <c r="EX24" s="1564"/>
      <c r="EY24" s="1564"/>
      <c r="EZ24" s="1564"/>
      <c r="FA24" s="1564"/>
      <c r="FB24" s="1564"/>
      <c r="FC24" s="1564"/>
      <c r="FD24" s="1564"/>
      <c r="FE24" s="1564"/>
      <c r="FF24" s="1564"/>
      <c r="FG24" s="1564"/>
      <c r="FH24" s="1564"/>
      <c r="FI24" s="1564"/>
      <c r="FJ24" s="1564"/>
      <c r="FK24" s="1564"/>
      <c r="FL24" s="1564"/>
      <c r="FM24" s="1564"/>
      <c r="FN24" s="1564"/>
      <c r="FO24" s="1564"/>
      <c r="FP24" s="1564"/>
      <c r="FQ24" s="1564"/>
      <c r="FR24" s="1564"/>
      <c r="FS24" s="1564"/>
      <c r="FT24" s="1564"/>
      <c r="FU24" s="1564"/>
      <c r="FV24" s="1564"/>
    </row>
    <row r="25" spans="1:178" s="1396" customFormat="1" ht="33.6" customHeight="1">
      <c r="A25" s="1572"/>
      <c r="B25" s="3085" t="s">
        <v>24</v>
      </c>
      <c r="C25" s="2675"/>
      <c r="D25" s="2790"/>
      <c r="E25" s="3081">
        <f t="shared" si="22"/>
        <v>0</v>
      </c>
      <c r="F25" s="1976" t="e">
        <f t="shared" si="12"/>
        <v>#DIV/0!</v>
      </c>
      <c r="G25" s="1979">
        <v>186866.03999999998</v>
      </c>
      <c r="H25" s="2051">
        <v>9050.4699999999993</v>
      </c>
      <c r="I25" s="1982">
        <f t="shared" si="36"/>
        <v>195916.50999999998</v>
      </c>
      <c r="J25" s="3003">
        <f t="shared" si="23"/>
        <v>3.578523066424233E-3</v>
      </c>
      <c r="K25" s="2046"/>
      <c r="L25" s="2046"/>
      <c r="M25" s="1979"/>
      <c r="N25" s="3040">
        <v>420</v>
      </c>
      <c r="O25" s="3041">
        <f t="shared" si="37"/>
        <v>420</v>
      </c>
      <c r="P25" s="3042">
        <f t="shared" si="13"/>
        <v>6.0391182486934613E-5</v>
      </c>
      <c r="Q25" s="3044" t="s">
        <v>1518</v>
      </c>
      <c r="R25" s="3004">
        <f>35281.63*1.2</f>
        <v>42337.955999999998</v>
      </c>
      <c r="S25" s="3040">
        <v>798</v>
      </c>
      <c r="T25" s="3047">
        <f t="shared" si="38"/>
        <v>43135.955999999998</v>
      </c>
      <c r="U25" s="3157">
        <f t="shared" si="14"/>
        <v>6.2024556917723381E-3</v>
      </c>
      <c r="V25" s="3044" t="s">
        <v>1519</v>
      </c>
      <c r="W25" s="2051">
        <v>70956.887999999992</v>
      </c>
      <c r="X25" s="2060">
        <v>2069</v>
      </c>
      <c r="Y25" s="2045">
        <f t="shared" si="39"/>
        <v>73025.887999999992</v>
      </c>
      <c r="Z25" s="2788">
        <f t="shared" si="15"/>
        <v>1.0500285067805828E-2</v>
      </c>
      <c r="AA25" s="2062" t="s">
        <v>1520</v>
      </c>
      <c r="AB25" s="3040"/>
      <c r="AC25" s="3049">
        <v>5600</v>
      </c>
      <c r="AD25" s="3065">
        <f t="shared" si="40"/>
        <v>5600</v>
      </c>
      <c r="AE25" s="3157">
        <f t="shared" si="16"/>
        <v>8.0521576649246148E-4</v>
      </c>
      <c r="AF25" s="3044" t="s">
        <v>1521</v>
      </c>
      <c r="AG25" s="3040">
        <f>(125+210)*1.2+60974.96*1.2</f>
        <v>73571.95199999999</v>
      </c>
      <c r="AH25" s="3040">
        <f>273.47-110</f>
        <v>163.47000000000003</v>
      </c>
      <c r="AI25" s="3062">
        <f t="shared" si="41"/>
        <v>73735.421999999991</v>
      </c>
      <c r="AJ25" s="3157">
        <f t="shared" si="17"/>
        <v>1.0602307918459839E-2</v>
      </c>
      <c r="AK25" s="3044" t="s">
        <v>1522</v>
      </c>
      <c r="AL25" s="2000">
        <f>53205.51*1.2</f>
        <v>63846.612000000001</v>
      </c>
      <c r="AM25" s="1993">
        <v>2931</v>
      </c>
      <c r="AN25" s="1997">
        <f t="shared" si="24"/>
        <v>66777.611999999994</v>
      </c>
      <c r="AO25" s="3164">
        <f t="shared" si="25"/>
        <v>1.0414453451185584E-2</v>
      </c>
      <c r="AP25" s="2104" t="s">
        <v>1276</v>
      </c>
      <c r="AQ25" s="3040">
        <f>33189.25*1.2</f>
        <v>39827.1</v>
      </c>
      <c r="AR25" s="3049">
        <v>4242.88</v>
      </c>
      <c r="AS25" s="3062">
        <f t="shared" si="42"/>
        <v>44069.979999999996</v>
      </c>
      <c r="AT25" s="3157">
        <f t="shared" si="18"/>
        <v>6.3367576294656152E-3</v>
      </c>
      <c r="AU25" s="3044" t="s">
        <v>1297</v>
      </c>
      <c r="AV25" s="3040">
        <f>40125.41*1.2</f>
        <v>48150.492000000006</v>
      </c>
      <c r="AW25" s="3049">
        <v>927.6</v>
      </c>
      <c r="AX25" s="3062">
        <f t="shared" si="43"/>
        <v>49078.092000000004</v>
      </c>
      <c r="AY25" s="3157">
        <f t="shared" si="19"/>
        <v>1.6926297960124258E-2</v>
      </c>
      <c r="AZ25" s="3044"/>
      <c r="BA25" s="3040">
        <f>14549.27*1.2</f>
        <v>17459.124</v>
      </c>
      <c r="BB25" s="3049">
        <v>3432.57</v>
      </c>
      <c r="BC25" s="3062">
        <f t="shared" si="44"/>
        <v>20891.694</v>
      </c>
      <c r="BD25" s="3157">
        <f t="shared" si="20"/>
        <v>5.9592362043819104E-3</v>
      </c>
      <c r="BE25" s="3044"/>
      <c r="BF25" s="3040">
        <f>24303.51*1.2</f>
        <v>29164.211999999996</v>
      </c>
      <c r="BG25" s="3049">
        <v>1466.3</v>
      </c>
      <c r="BH25" s="3062">
        <f t="shared" si="45"/>
        <v>30630.511999999995</v>
      </c>
      <c r="BI25" s="3157">
        <f t="shared" si="26"/>
        <v>6.7191948437633417E-3</v>
      </c>
      <c r="BJ25" s="3044"/>
      <c r="BK25" s="3040">
        <f>41458.17*1.2</f>
        <v>49749.803999999996</v>
      </c>
      <c r="BL25" s="3049"/>
      <c r="BM25" s="3062">
        <f t="shared" si="46"/>
        <v>49749.803999999996</v>
      </c>
      <c r="BN25" s="3157">
        <f t="shared" si="27"/>
        <v>8.1994034827564816E-3</v>
      </c>
      <c r="BO25" s="3044"/>
      <c r="BP25" s="3040">
        <f>8861.16*1.2</f>
        <v>10633.392</v>
      </c>
      <c r="BQ25" s="3049"/>
      <c r="BR25" s="3062">
        <f t="shared" si="47"/>
        <v>10633.392</v>
      </c>
      <c r="BS25" s="3157">
        <f t="shared" si="28"/>
        <v>4.3427883334923624E-3</v>
      </c>
      <c r="BT25" s="3044" t="s">
        <v>1494</v>
      </c>
      <c r="BU25" s="3040"/>
      <c r="BV25" s="3049"/>
      <c r="BW25" s="3062">
        <f t="shared" si="48"/>
        <v>0</v>
      </c>
      <c r="BX25" s="3157">
        <f t="shared" si="29"/>
        <v>0</v>
      </c>
      <c r="BY25" s="3044"/>
      <c r="BZ25" s="3040">
        <f>2486.14*1.2+95337.936</f>
        <v>98321.304000000004</v>
      </c>
      <c r="CA25" s="3049"/>
      <c r="CB25" s="3062">
        <f t="shared" si="49"/>
        <v>98321.304000000004</v>
      </c>
      <c r="CC25" s="3157">
        <f t="shared" si="30"/>
        <v>2.7498284533377434E-2</v>
      </c>
      <c r="CD25" s="3044" t="s">
        <v>1772</v>
      </c>
      <c r="CE25" s="3040"/>
      <c r="CF25" s="3049"/>
      <c r="CG25" s="3062"/>
      <c r="CH25" s="3157"/>
      <c r="CI25" s="3044"/>
      <c r="CJ25" s="3040"/>
      <c r="CK25" s="3049"/>
      <c r="CL25" s="3062">
        <f t="shared" si="51"/>
        <v>0</v>
      </c>
      <c r="CM25" s="3157">
        <f t="shared" si="32"/>
        <v>0</v>
      </c>
      <c r="CN25" s="3044"/>
      <c r="CO25" s="2043">
        <f t="shared" si="33"/>
        <v>544018.83600000001</v>
      </c>
      <c r="CP25" s="2043">
        <f t="shared" si="34"/>
        <v>22050.819999999996</v>
      </c>
      <c r="CQ25" s="2045">
        <f t="shared" si="35"/>
        <v>566069.65599999996</v>
      </c>
      <c r="CR25" s="2788">
        <f t="shared" si="21"/>
        <v>6.0162253035910326E-3</v>
      </c>
      <c r="CS25" s="1434"/>
      <c r="CT25" s="919"/>
      <c r="CU25" s="1564"/>
      <c r="CV25" s="1564"/>
      <c r="CW25" s="1564"/>
      <c r="CX25" s="1564"/>
      <c r="CY25" s="1564"/>
      <c r="CZ25" s="1564"/>
      <c r="DA25" s="1564"/>
      <c r="DB25" s="1564"/>
      <c r="DC25" s="1564"/>
      <c r="DD25" s="1564"/>
      <c r="DE25" s="1564"/>
      <c r="DF25" s="1564"/>
      <c r="DG25" s="1564"/>
      <c r="DH25" s="1564"/>
      <c r="DI25" s="1564"/>
      <c r="DJ25" s="1564"/>
      <c r="DK25" s="1564"/>
      <c r="DL25" s="1564"/>
      <c r="DM25" s="1564"/>
      <c r="DN25" s="1564"/>
      <c r="DO25" s="1564"/>
      <c r="DP25" s="1564"/>
      <c r="DQ25" s="1564"/>
      <c r="DR25" s="1564"/>
      <c r="DS25" s="1564"/>
      <c r="DT25" s="1564"/>
      <c r="DU25" s="1564"/>
      <c r="DV25" s="1564"/>
      <c r="DW25" s="1564"/>
      <c r="DX25" s="1564"/>
      <c r="DY25" s="1564"/>
      <c r="DZ25" s="1564"/>
      <c r="EA25" s="1564"/>
      <c r="EB25" s="1564"/>
      <c r="EC25" s="1564"/>
      <c r="ED25" s="1564"/>
      <c r="EE25" s="1564"/>
      <c r="EF25" s="1564"/>
      <c r="EG25" s="1564"/>
      <c r="EH25" s="1564"/>
      <c r="EI25" s="1564"/>
      <c r="EJ25" s="1564"/>
      <c r="EK25" s="1564"/>
      <c r="EL25" s="1564"/>
      <c r="EM25" s="1564"/>
      <c r="EN25" s="1564"/>
      <c r="EO25" s="1564"/>
      <c r="EP25" s="1564"/>
      <c r="EQ25" s="1564"/>
      <c r="ER25" s="1564"/>
      <c r="ES25" s="1564"/>
      <c r="ET25" s="1564"/>
      <c r="EU25" s="1564"/>
      <c r="EV25" s="1564"/>
      <c r="EW25" s="1564"/>
      <c r="EX25" s="1564"/>
      <c r="EY25" s="1564"/>
      <c r="EZ25" s="1564"/>
      <c r="FA25" s="1564"/>
      <c r="FB25" s="1564"/>
      <c r="FC25" s="1564"/>
      <c r="FD25" s="1564"/>
      <c r="FE25" s="1564"/>
      <c r="FF25" s="1564"/>
      <c r="FG25" s="1564"/>
      <c r="FH25" s="1564"/>
      <c r="FI25" s="1564"/>
      <c r="FJ25" s="1564"/>
      <c r="FK25" s="1564"/>
      <c r="FL25" s="1564"/>
      <c r="FM25" s="1564"/>
      <c r="FN25" s="1564"/>
      <c r="FO25" s="1564"/>
      <c r="FP25" s="1564"/>
      <c r="FQ25" s="1564"/>
      <c r="FR25" s="1564"/>
      <c r="FS25" s="1564"/>
      <c r="FT25" s="1564"/>
      <c r="FU25" s="1564"/>
      <c r="FV25" s="1564"/>
    </row>
    <row r="26" spans="1:178" s="1396" customFormat="1" ht="33.6" customHeight="1">
      <c r="A26" s="1572"/>
      <c r="B26" s="3085" t="s">
        <v>45</v>
      </c>
      <c r="C26" s="2675"/>
      <c r="D26" s="2790"/>
      <c r="E26" s="3081">
        <f t="shared" si="22"/>
        <v>0</v>
      </c>
      <c r="F26" s="1976" t="e">
        <f t="shared" si="12"/>
        <v>#DIV/0!</v>
      </c>
      <c r="G26" s="1979">
        <f>24418012.788-2678867</f>
        <v>21739145.787999999</v>
      </c>
      <c r="H26" s="2051">
        <v>0</v>
      </c>
      <c r="I26" s="1982">
        <f t="shared" si="36"/>
        <v>21739145.787999999</v>
      </c>
      <c r="J26" s="3003">
        <f t="shared" si="23"/>
        <v>0.39707748288654798</v>
      </c>
      <c r="K26" s="2046"/>
      <c r="L26" s="2046"/>
      <c r="M26" s="1979"/>
      <c r="N26" s="2051"/>
      <c r="O26" s="1982">
        <f t="shared" si="37"/>
        <v>0</v>
      </c>
      <c r="P26" s="3003">
        <f t="shared" si="13"/>
        <v>0</v>
      </c>
      <c r="Q26" s="2046"/>
      <c r="R26" s="3039">
        <f>1420729.64*1.2</f>
        <v>1704875.5679999997</v>
      </c>
      <c r="S26" s="3040"/>
      <c r="T26" s="3047">
        <f t="shared" si="38"/>
        <v>1704875.5679999997</v>
      </c>
      <c r="U26" s="3157">
        <f t="shared" si="14"/>
        <v>0.24514155129667686</v>
      </c>
      <c r="V26" s="3044"/>
      <c r="W26" s="3040">
        <f>3742567.29*1.2</f>
        <v>4491080.7479999997</v>
      </c>
      <c r="X26" s="3049"/>
      <c r="Y26" s="3062">
        <f>W26+X26*1</f>
        <v>4491080.7479999997</v>
      </c>
      <c r="Z26" s="3157">
        <f>Y26/$AS$89</f>
        <v>0.6457658976572066</v>
      </c>
      <c r="AA26" s="3044" t="s">
        <v>1523</v>
      </c>
      <c r="AB26" s="3040">
        <f>4134877.54*1.2+675+933</f>
        <v>4963461.0479999995</v>
      </c>
      <c r="AC26" s="3049"/>
      <c r="AD26" s="3065">
        <f t="shared" si="40"/>
        <v>4963461.0479999995</v>
      </c>
      <c r="AE26" s="3157">
        <f t="shared" si="16"/>
        <v>0.71368876646799928</v>
      </c>
      <c r="AF26" s="3063" t="s">
        <v>1524</v>
      </c>
      <c r="AG26" s="3040">
        <f>9447333.95*1.2+((-2678867-13475765)*0)+82480-91220</f>
        <v>11328060.739999998</v>
      </c>
      <c r="AH26" s="3049"/>
      <c r="AI26" s="3062">
        <f t="shared" si="41"/>
        <v>11328060.739999998</v>
      </c>
      <c r="AJ26" s="3157">
        <f t="shared" si="17"/>
        <v>1.6288451985057606</v>
      </c>
      <c r="AK26" s="3063" t="s">
        <v>1603</v>
      </c>
      <c r="AL26" s="2000">
        <f>3553354.98*1.2</f>
        <v>4264025.9759999998</v>
      </c>
      <c r="AM26" s="1993"/>
      <c r="AN26" s="1997">
        <f t="shared" si="24"/>
        <v>4264025.9759999998</v>
      </c>
      <c r="AO26" s="3164">
        <f t="shared" si="25"/>
        <v>0.6650058112544992</v>
      </c>
      <c r="AP26" s="2104" t="s">
        <v>1277</v>
      </c>
      <c r="AQ26" s="3040">
        <f>3992533.71*1.2</f>
        <v>4791040.4519999996</v>
      </c>
      <c r="AR26" s="3049"/>
      <c r="AS26" s="3062">
        <f t="shared" si="42"/>
        <v>4791040.4519999996</v>
      </c>
      <c r="AT26" s="3157">
        <f t="shared" si="18"/>
        <v>0.68889666247385162</v>
      </c>
      <c r="AU26" s="3044" t="s">
        <v>1298</v>
      </c>
      <c r="AV26" s="3040">
        <f>942771.47*1.2</f>
        <v>1131325.764</v>
      </c>
      <c r="AW26" s="3049"/>
      <c r="AX26" s="3062">
        <f t="shared" si="43"/>
        <v>1131325.764</v>
      </c>
      <c r="AY26" s="3157">
        <f t="shared" si="19"/>
        <v>0.3901772907436829</v>
      </c>
      <c r="AZ26" s="3043"/>
      <c r="BA26" s="3040">
        <f>1294954.44*1.2</f>
        <v>1553945.328</v>
      </c>
      <c r="BB26" s="3049"/>
      <c r="BC26" s="3062">
        <f t="shared" si="44"/>
        <v>1553945.328</v>
      </c>
      <c r="BD26" s="3157">
        <f t="shared" si="20"/>
        <v>0.44325401560293404</v>
      </c>
      <c r="BE26" s="3043"/>
      <c r="BF26" s="3040">
        <f>2122874.59*1.2+125331*1.2</f>
        <v>2697846.7080000001</v>
      </c>
      <c r="BG26" s="3049"/>
      <c r="BH26" s="3062">
        <f t="shared" si="45"/>
        <v>2697846.7080000001</v>
      </c>
      <c r="BI26" s="3157">
        <f t="shared" si="26"/>
        <v>0.59180720484389904</v>
      </c>
      <c r="BJ26" s="3044" t="s">
        <v>1383</v>
      </c>
      <c r="BK26" s="3040">
        <f>3428204.53*1.2</f>
        <v>4113845.4359999998</v>
      </c>
      <c r="BL26" s="3049"/>
      <c r="BM26" s="3062">
        <f t="shared" si="46"/>
        <v>4113845.4359999998</v>
      </c>
      <c r="BN26" s="3157">
        <f t="shared" si="27"/>
        <v>0.67801430123142314</v>
      </c>
      <c r="BO26" s="3043"/>
      <c r="BP26" s="3049">
        <f>902465.86*1.2-684120.85</f>
        <v>398838.18199999991</v>
      </c>
      <c r="BQ26" s="3049"/>
      <c r="BR26" s="3062">
        <f t="shared" si="47"/>
        <v>398838.18199999991</v>
      </c>
      <c r="BS26" s="3157">
        <f t="shared" si="28"/>
        <v>0.16288967845264271</v>
      </c>
      <c r="BT26" s="3044" t="s">
        <v>1493</v>
      </c>
      <c r="BU26" s="3049"/>
      <c r="BV26" s="3049"/>
      <c r="BW26" s="3062">
        <f t="shared" si="48"/>
        <v>0</v>
      </c>
      <c r="BX26" s="3157">
        <f t="shared" si="29"/>
        <v>0</v>
      </c>
      <c r="BY26" s="3044"/>
      <c r="BZ26" s="3049">
        <f>406404.6*1.2+684120.85*0+1546137.408</f>
        <v>2033822.9280000001</v>
      </c>
      <c r="CA26" s="3049"/>
      <c r="CB26" s="3062">
        <f t="shared" si="49"/>
        <v>2033822.9280000001</v>
      </c>
      <c r="CC26" s="3157">
        <f t="shared" si="30"/>
        <v>0.56881509184063306</v>
      </c>
      <c r="CD26" s="3044" t="s">
        <v>1773</v>
      </c>
      <c r="CE26" s="3049">
        <f>684120.85</f>
        <v>684120.85</v>
      </c>
      <c r="CF26" s="3049"/>
      <c r="CG26" s="3062">
        <f t="shared" si="50"/>
        <v>684120.85</v>
      </c>
      <c r="CH26" s="3157"/>
      <c r="CI26" s="3044" t="s">
        <v>1778</v>
      </c>
      <c r="CJ26" s="3049">
        <f>10*475</f>
        <v>4750</v>
      </c>
      <c r="CK26" s="3049"/>
      <c r="CL26" s="3062">
        <f t="shared" si="51"/>
        <v>4750</v>
      </c>
      <c r="CM26" s="3157">
        <f t="shared" si="32"/>
        <v>1</v>
      </c>
      <c r="CN26" s="3044" t="s">
        <v>1766</v>
      </c>
      <c r="CO26" s="2043">
        <f t="shared" si="33"/>
        <v>44161039.727999993</v>
      </c>
      <c r="CP26" s="2043">
        <f t="shared" si="34"/>
        <v>0</v>
      </c>
      <c r="CQ26" s="2045">
        <f t="shared" si="35"/>
        <v>44161039.727999993</v>
      </c>
      <c r="CR26" s="2788">
        <f t="shared" si="21"/>
        <v>0.46934641669696281</v>
      </c>
      <c r="CS26" s="1434"/>
      <c r="CT26" s="919"/>
      <c r="CU26" s="3197"/>
      <c r="CV26" s="1564"/>
      <c r="CW26" s="1564"/>
      <c r="CX26" s="916"/>
      <c r="CY26" s="1564"/>
      <c r="CZ26" s="1564"/>
      <c r="DA26" s="1564"/>
      <c r="DB26" s="1564"/>
      <c r="DC26" s="1564"/>
      <c r="DD26" s="1564"/>
      <c r="DE26" s="1564"/>
      <c r="DF26" s="1564"/>
      <c r="DG26" s="1564"/>
      <c r="DH26" s="1564"/>
      <c r="DI26" s="1564"/>
      <c r="DJ26" s="1564"/>
      <c r="DK26" s="1564"/>
      <c r="DL26" s="1564"/>
      <c r="DM26" s="1564"/>
      <c r="DN26" s="1564"/>
      <c r="DO26" s="1564"/>
      <c r="DP26" s="1564"/>
      <c r="DQ26" s="1564"/>
      <c r="DR26" s="1564"/>
      <c r="DS26" s="1564"/>
      <c r="DT26" s="1564"/>
      <c r="DU26" s="1564"/>
      <c r="DV26" s="1564"/>
      <c r="DW26" s="1564"/>
      <c r="DX26" s="1564"/>
      <c r="DY26" s="1564"/>
      <c r="DZ26" s="1564"/>
      <c r="EA26" s="1564"/>
      <c r="EB26" s="1564"/>
      <c r="EC26" s="1564"/>
      <c r="ED26" s="1564"/>
      <c r="EE26" s="1564"/>
      <c r="EF26" s="1564"/>
      <c r="EG26" s="1564"/>
      <c r="EH26" s="1564"/>
      <c r="EI26" s="1564"/>
      <c r="EJ26" s="1564"/>
      <c r="EK26" s="1564"/>
      <c r="EL26" s="1564"/>
      <c r="EM26" s="1564"/>
      <c r="EN26" s="1564"/>
      <c r="EO26" s="1564"/>
      <c r="EP26" s="1564"/>
      <c r="EQ26" s="1564"/>
      <c r="ER26" s="1564"/>
      <c r="ES26" s="1564"/>
      <c r="ET26" s="1564"/>
      <c r="EU26" s="1564"/>
      <c r="EV26" s="1564"/>
      <c r="EW26" s="1564"/>
      <c r="EX26" s="1564"/>
      <c r="EY26" s="1564"/>
      <c r="EZ26" s="1564"/>
      <c r="FA26" s="1564"/>
      <c r="FB26" s="1564"/>
      <c r="FC26" s="1564"/>
      <c r="FD26" s="1564"/>
      <c r="FE26" s="1564"/>
      <c r="FF26" s="1564"/>
      <c r="FG26" s="1564"/>
      <c r="FH26" s="1564"/>
      <c r="FI26" s="1564"/>
      <c r="FJ26" s="1564"/>
      <c r="FK26" s="1564"/>
      <c r="FL26" s="1564"/>
      <c r="FM26" s="1564"/>
      <c r="FN26" s="1564"/>
      <c r="FO26" s="1564"/>
      <c r="FP26" s="1564"/>
      <c r="FQ26" s="1564"/>
      <c r="FR26" s="1564"/>
      <c r="FS26" s="1564"/>
      <c r="FT26" s="1564"/>
      <c r="FU26" s="1564"/>
      <c r="FV26" s="1564"/>
    </row>
    <row r="27" spans="1:178" s="1396" customFormat="1" ht="33.6" customHeight="1">
      <c r="A27" s="1572"/>
      <c r="B27" s="3085" t="s">
        <v>25</v>
      </c>
      <c r="C27" s="2675"/>
      <c r="D27" s="2790"/>
      <c r="E27" s="3081">
        <f t="shared" si="22"/>
        <v>0</v>
      </c>
      <c r="F27" s="1976" t="e">
        <f t="shared" si="12"/>
        <v>#DIV/0!</v>
      </c>
      <c r="G27" s="1979">
        <v>38520</v>
      </c>
      <c r="H27" s="2051">
        <v>1350</v>
      </c>
      <c r="I27" s="1982">
        <f t="shared" si="36"/>
        <v>39870</v>
      </c>
      <c r="J27" s="3003">
        <f t="shared" si="23"/>
        <v>7.2824753084022465E-4</v>
      </c>
      <c r="K27" s="2046"/>
      <c r="L27" s="2046"/>
      <c r="M27" s="1979"/>
      <c r="N27" s="2051"/>
      <c r="O27" s="1982">
        <f t="shared" si="37"/>
        <v>0</v>
      </c>
      <c r="P27" s="3003">
        <f t="shared" si="13"/>
        <v>0</v>
      </c>
      <c r="Q27" s="2046"/>
      <c r="R27" s="3052">
        <v>15023.52</v>
      </c>
      <c r="S27" s="3040">
        <v>600</v>
      </c>
      <c r="T27" s="3047">
        <f t="shared" si="38"/>
        <v>15623.52</v>
      </c>
      <c r="U27" s="3157">
        <f t="shared" si="14"/>
        <v>2.2464829700196971E-3</v>
      </c>
      <c r="V27" s="3044" t="s">
        <v>1589</v>
      </c>
      <c r="W27" s="3040">
        <f>400.02+345+200+400+1801+1856+2126</f>
        <v>7128.02</v>
      </c>
      <c r="X27" s="3049">
        <v>750</v>
      </c>
      <c r="Y27" s="3062">
        <f t="shared" si="39"/>
        <v>7878.02</v>
      </c>
      <c r="Z27" s="3157">
        <f t="shared" si="15"/>
        <v>1.1327689129898111E-3</v>
      </c>
      <c r="AA27" s="3044" t="s">
        <v>1594</v>
      </c>
      <c r="AB27" s="3040">
        <v>11375</v>
      </c>
      <c r="AC27" s="3049"/>
      <c r="AD27" s="3065">
        <f t="shared" si="40"/>
        <v>11375</v>
      </c>
      <c r="AE27" s="3157">
        <f t="shared" si="16"/>
        <v>1.6355945256878125E-3</v>
      </c>
      <c r="AF27" s="3044" t="s">
        <v>1561</v>
      </c>
      <c r="AG27" s="3040">
        <v>1752</v>
      </c>
      <c r="AH27" s="3049"/>
      <c r="AI27" s="3062">
        <f t="shared" si="41"/>
        <v>1752</v>
      </c>
      <c r="AJ27" s="3157">
        <f t="shared" si="17"/>
        <v>2.5191750408835579E-4</v>
      </c>
      <c r="AK27" s="3044" t="s">
        <v>1572</v>
      </c>
      <c r="AL27" s="2000"/>
      <c r="AM27" s="1993"/>
      <c r="AN27" s="1997">
        <f t="shared" si="24"/>
        <v>0</v>
      </c>
      <c r="AO27" s="3164">
        <f t="shared" si="25"/>
        <v>0</v>
      </c>
      <c r="AP27" s="1994"/>
      <c r="AQ27" s="3040"/>
      <c r="AR27" s="3049"/>
      <c r="AS27" s="3062">
        <f t="shared" si="42"/>
        <v>0</v>
      </c>
      <c r="AT27" s="3157">
        <f t="shared" si="18"/>
        <v>0</v>
      </c>
      <c r="AU27" s="3044"/>
      <c r="AV27" s="3040"/>
      <c r="AW27" s="3049">
        <v>1450</v>
      </c>
      <c r="AX27" s="3062">
        <f t="shared" si="43"/>
        <v>1450</v>
      </c>
      <c r="AY27" s="3157">
        <f t="shared" si="19"/>
        <v>5.0008325592975733E-4</v>
      </c>
      <c r="AZ27" s="3044" t="s">
        <v>1330</v>
      </c>
      <c r="BA27" s="3040">
        <f>10939.43</f>
        <v>10939.43</v>
      </c>
      <c r="BB27" s="3049"/>
      <c r="BC27" s="3062">
        <f t="shared" si="44"/>
        <v>10939.43</v>
      </c>
      <c r="BD27" s="3157">
        <f t="shared" si="20"/>
        <v>3.1204098294423423E-3</v>
      </c>
      <c r="BE27" s="3044" t="s">
        <v>1341</v>
      </c>
      <c r="BF27" s="3040">
        <f>4366.21+3828</f>
        <v>8194.2099999999991</v>
      </c>
      <c r="BG27" s="3049"/>
      <c r="BH27" s="3062">
        <f t="shared" si="45"/>
        <v>8194.2099999999991</v>
      </c>
      <c r="BI27" s="3157">
        <f t="shared" si="26"/>
        <v>1.7975048402949978E-3</v>
      </c>
      <c r="BJ27" s="3044" t="s">
        <v>1616</v>
      </c>
      <c r="BK27" s="3040">
        <f>2460+2931+3120+460+876+8497</f>
        <v>18344</v>
      </c>
      <c r="BL27" s="3049"/>
      <c r="BM27" s="3062">
        <f t="shared" si="46"/>
        <v>18344</v>
      </c>
      <c r="BN27" s="3157">
        <f t="shared" si="27"/>
        <v>3.0233256293368494E-3</v>
      </c>
      <c r="BO27" s="3044" t="s">
        <v>1620</v>
      </c>
      <c r="BP27" s="3040">
        <f>630+7660.33</f>
        <v>8290.33</v>
      </c>
      <c r="BQ27" s="3049"/>
      <c r="BR27" s="3062">
        <f t="shared" si="47"/>
        <v>8290.33</v>
      </c>
      <c r="BS27" s="3157">
        <f t="shared" si="28"/>
        <v>3.3858573449376964E-3</v>
      </c>
      <c r="BT27" s="3044" t="s">
        <v>1474</v>
      </c>
      <c r="BU27" s="3040"/>
      <c r="BV27" s="3049"/>
      <c r="BW27" s="3062">
        <f t="shared" si="48"/>
        <v>0</v>
      </c>
      <c r="BX27" s="3157">
        <f t="shared" si="29"/>
        <v>0</v>
      </c>
      <c r="BY27" s="3044"/>
      <c r="BZ27" s="3040"/>
      <c r="CA27" s="3049"/>
      <c r="CB27" s="3062">
        <f t="shared" si="49"/>
        <v>0</v>
      </c>
      <c r="CC27" s="3157">
        <f t="shared" si="30"/>
        <v>0</v>
      </c>
      <c r="CD27" s="3044"/>
      <c r="CE27" s="3040"/>
      <c r="CF27" s="3049"/>
      <c r="CG27" s="3062">
        <f t="shared" si="50"/>
        <v>0</v>
      </c>
      <c r="CH27" s="3157">
        <f t="shared" si="31"/>
        <v>0</v>
      </c>
      <c r="CI27" s="3044"/>
      <c r="CJ27" s="3040"/>
      <c r="CK27" s="3049"/>
      <c r="CL27" s="3062">
        <f t="shared" si="51"/>
        <v>0</v>
      </c>
      <c r="CM27" s="3157">
        <f t="shared" si="32"/>
        <v>0</v>
      </c>
      <c r="CN27" s="3044"/>
      <c r="CO27" s="2043">
        <f t="shared" si="33"/>
        <v>81046.509999999995</v>
      </c>
      <c r="CP27" s="2043">
        <f t="shared" si="34"/>
        <v>2800</v>
      </c>
      <c r="CQ27" s="2045">
        <f t="shared" si="35"/>
        <v>83846.509999999995</v>
      </c>
      <c r="CR27" s="2788">
        <f t="shared" si="21"/>
        <v>8.9112618868197825E-4</v>
      </c>
      <c r="CS27" s="1434"/>
      <c r="CT27" s="919"/>
      <c r="CU27" s="1564"/>
      <c r="CV27" s="1564"/>
      <c r="CW27" s="1564"/>
      <c r="CX27" s="1564"/>
      <c r="CY27" s="1564"/>
      <c r="CZ27" s="1564"/>
      <c r="DA27" s="1564"/>
      <c r="DB27" s="1564"/>
      <c r="DC27" s="1564"/>
      <c r="DD27" s="1564"/>
      <c r="DE27" s="1564"/>
      <c r="DF27" s="1564"/>
      <c r="DG27" s="1564"/>
      <c r="DH27" s="1564"/>
      <c r="DI27" s="1564"/>
      <c r="DJ27" s="1564"/>
      <c r="DK27" s="1564"/>
      <c r="DL27" s="1564"/>
      <c r="DM27" s="1564"/>
      <c r="DN27" s="1564"/>
      <c r="DO27" s="1564"/>
      <c r="DP27" s="1564"/>
      <c r="DQ27" s="1564"/>
      <c r="DR27" s="1564"/>
      <c r="DS27" s="1564"/>
      <c r="DT27" s="1564"/>
      <c r="DU27" s="1564"/>
      <c r="DV27" s="1564"/>
      <c r="DW27" s="1564"/>
      <c r="DX27" s="1564"/>
      <c r="DY27" s="1564"/>
      <c r="DZ27" s="1564"/>
      <c r="EA27" s="1564"/>
      <c r="EB27" s="1564"/>
      <c r="EC27" s="1564"/>
      <c r="ED27" s="1564"/>
      <c r="EE27" s="1564"/>
      <c r="EF27" s="1564"/>
      <c r="EG27" s="1564"/>
      <c r="EH27" s="1564"/>
      <c r="EI27" s="1564"/>
      <c r="EJ27" s="1564"/>
      <c r="EK27" s="1564"/>
      <c r="EL27" s="1564"/>
      <c r="EM27" s="1564"/>
      <c r="EN27" s="1564"/>
      <c r="EO27" s="1564"/>
      <c r="EP27" s="1564"/>
      <c r="EQ27" s="1564"/>
      <c r="ER27" s="1564"/>
      <c r="ES27" s="1564"/>
      <c r="ET27" s="1564"/>
      <c r="EU27" s="1564"/>
      <c r="EV27" s="1564"/>
      <c r="EW27" s="1564"/>
      <c r="EX27" s="1564"/>
      <c r="EY27" s="1564"/>
      <c r="EZ27" s="1564"/>
      <c r="FA27" s="1564"/>
      <c r="FB27" s="1564"/>
      <c r="FC27" s="1564"/>
      <c r="FD27" s="1564"/>
      <c r="FE27" s="1564"/>
      <c r="FF27" s="1564"/>
      <c r="FG27" s="1564"/>
      <c r="FH27" s="1564"/>
      <c r="FI27" s="1564"/>
      <c r="FJ27" s="1564"/>
      <c r="FK27" s="1564"/>
      <c r="FL27" s="1564"/>
      <c r="FM27" s="1564"/>
      <c r="FN27" s="1564"/>
      <c r="FO27" s="1564"/>
      <c r="FP27" s="1564"/>
      <c r="FQ27" s="1564"/>
      <c r="FR27" s="1564"/>
      <c r="FS27" s="1564"/>
      <c r="FT27" s="1564"/>
      <c r="FU27" s="1564"/>
      <c r="FV27" s="1564"/>
    </row>
    <row r="28" spans="1:178" s="1396" customFormat="1" ht="33.6" customHeight="1">
      <c r="A28" s="1572"/>
      <c r="B28" s="3085" t="s">
        <v>52</v>
      </c>
      <c r="C28" s="2675"/>
      <c r="D28" s="2790"/>
      <c r="E28" s="3081">
        <f t="shared" si="22"/>
        <v>0</v>
      </c>
      <c r="F28" s="1976" t="e">
        <f t="shared" si="12"/>
        <v>#DIV/0!</v>
      </c>
      <c r="G28" s="1979">
        <v>28700.05</v>
      </c>
      <c r="H28" s="2051">
        <v>8382.4600000000009</v>
      </c>
      <c r="I28" s="1982">
        <f t="shared" si="36"/>
        <v>37082.51</v>
      </c>
      <c r="J28" s="3003">
        <f t="shared" si="23"/>
        <v>6.7733248921138548E-4</v>
      </c>
      <c r="K28" s="2046"/>
      <c r="L28" s="2046"/>
      <c r="M28" s="3039">
        <f>472+660+4400+4418.36</f>
        <v>9950.36</v>
      </c>
      <c r="N28" s="3040">
        <v>3206</v>
      </c>
      <c r="O28" s="3041">
        <f t="shared" si="37"/>
        <v>13156.36</v>
      </c>
      <c r="P28" s="3042">
        <f t="shared" si="13"/>
        <v>1.8917336610090646E-3</v>
      </c>
      <c r="Q28" s="3044" t="s">
        <v>1562</v>
      </c>
      <c r="R28" s="3052">
        <f>94+250+4400+16158+792+1000</f>
        <v>22694</v>
      </c>
      <c r="S28" s="3040">
        <v>2539.8000000000002</v>
      </c>
      <c r="T28" s="3047">
        <f t="shared" si="38"/>
        <v>25233.8</v>
      </c>
      <c r="U28" s="3157">
        <f t="shared" si="14"/>
        <v>3.6283310015209776E-3</v>
      </c>
      <c r="V28" s="3044" t="s">
        <v>1590</v>
      </c>
      <c r="W28" s="3040">
        <f>1900+4400+250</f>
        <v>6550</v>
      </c>
      <c r="X28" s="3049"/>
      <c r="Y28" s="3062">
        <f t="shared" si="39"/>
        <v>6550</v>
      </c>
      <c r="Z28" s="3157">
        <f t="shared" si="15"/>
        <v>9.4181486973671843E-4</v>
      </c>
      <c r="AA28" s="3044" t="s">
        <v>1567</v>
      </c>
      <c r="AB28" s="3040">
        <f>4000+3000+1900+250+4400</f>
        <v>13550</v>
      </c>
      <c r="AC28" s="3049">
        <v>1899.75</v>
      </c>
      <c r="AD28" s="3065">
        <f t="shared" si="40"/>
        <v>15449.75</v>
      </c>
      <c r="AE28" s="3157">
        <f t="shared" si="16"/>
        <v>2.2214968372083763E-3</v>
      </c>
      <c r="AF28" s="3044" t="s">
        <v>1598</v>
      </c>
      <c r="AG28" s="3040">
        <f>1889.69+250+4400+1500</f>
        <v>8039.6900000000005</v>
      </c>
      <c r="AH28" s="3049">
        <f>249.92+300+76.99+110</f>
        <v>736.91</v>
      </c>
      <c r="AI28" s="3062">
        <f t="shared" si="41"/>
        <v>8776.6</v>
      </c>
      <c r="AJ28" s="3157">
        <f t="shared" si="17"/>
        <v>1.2619744100353103E-3</v>
      </c>
      <c r="AK28" s="3044" t="s">
        <v>1604</v>
      </c>
      <c r="AL28" s="3040">
        <f>1900+250+4400+792</f>
        <v>7342</v>
      </c>
      <c r="AM28" s="3049">
        <v>80</v>
      </c>
      <c r="AN28" s="3062">
        <f t="shared" si="24"/>
        <v>7422</v>
      </c>
      <c r="AO28" s="3157">
        <f t="shared" si="25"/>
        <v>1.1575147897576723E-3</v>
      </c>
      <c r="AP28" s="3044" t="s">
        <v>1607</v>
      </c>
      <c r="AQ28" s="3040">
        <f>2599.26+3520+250</f>
        <v>6369.26</v>
      </c>
      <c r="AR28" s="3049"/>
      <c r="AS28" s="3062">
        <f t="shared" si="42"/>
        <v>6369.26</v>
      </c>
      <c r="AT28" s="3157">
        <f t="shared" si="18"/>
        <v>9.1582653087317421E-4</v>
      </c>
      <c r="AU28" s="3044" t="s">
        <v>1610</v>
      </c>
      <c r="AV28" s="3040">
        <f>792+250+1417.23</f>
        <v>2459.23</v>
      </c>
      <c r="AW28" s="3049"/>
      <c r="AX28" s="3062">
        <f t="shared" si="43"/>
        <v>2459.23</v>
      </c>
      <c r="AY28" s="3157">
        <f t="shared" si="19"/>
        <v>8.48151548606991E-4</v>
      </c>
      <c r="AZ28" s="3044" t="s">
        <v>1613</v>
      </c>
      <c r="BA28" s="3040">
        <f>20621.36-BA63</f>
        <v>8235.82</v>
      </c>
      <c r="BB28" s="3049"/>
      <c r="BC28" s="3062">
        <f t="shared" si="44"/>
        <v>8235.82</v>
      </c>
      <c r="BD28" s="3157">
        <f t="shared" si="20"/>
        <v>2.3492205427081514E-3</v>
      </c>
      <c r="BE28" s="3044" t="s">
        <v>1342</v>
      </c>
      <c r="BF28" s="3040">
        <f>792+2200+4724.22+1900+500</f>
        <v>10116.220000000001</v>
      </c>
      <c r="BG28" s="3049"/>
      <c r="BH28" s="3062">
        <f t="shared" si="45"/>
        <v>10116.220000000001</v>
      </c>
      <c r="BI28" s="3157">
        <f t="shared" si="26"/>
        <v>2.2191223333901701E-3</v>
      </c>
      <c r="BJ28" s="3044" t="s">
        <v>1617</v>
      </c>
      <c r="BK28" s="3040">
        <f>9910.78+2200</f>
        <v>12110.78</v>
      </c>
      <c r="BL28" s="3049"/>
      <c r="BM28" s="3062">
        <f t="shared" si="46"/>
        <v>12110.78</v>
      </c>
      <c r="BN28" s="3157">
        <f t="shared" si="27"/>
        <v>1.9960113151580969E-3</v>
      </c>
      <c r="BO28" s="3044" t="s">
        <v>1422</v>
      </c>
      <c r="BP28" s="3040">
        <f>1490.31+1417.27*2+250*2</f>
        <v>4824.8500000000004</v>
      </c>
      <c r="BQ28" s="3049"/>
      <c r="BR28" s="3062">
        <f t="shared" si="47"/>
        <v>4824.8500000000004</v>
      </c>
      <c r="BS28" s="3157">
        <f t="shared" si="28"/>
        <v>1.9705191241751107E-3</v>
      </c>
      <c r="BT28" s="3044" t="s">
        <v>1621</v>
      </c>
      <c r="BU28" s="3040">
        <f>6600*1.2</f>
        <v>7920</v>
      </c>
      <c r="BV28" s="3049"/>
      <c r="BW28" s="3062">
        <f t="shared" si="48"/>
        <v>7920</v>
      </c>
      <c r="BX28" s="3157">
        <f t="shared" si="29"/>
        <v>1.4671766137857188E-2</v>
      </c>
      <c r="BY28" s="3044" t="s">
        <v>1627</v>
      </c>
      <c r="BZ28" s="3040"/>
      <c r="CA28" s="3049"/>
      <c r="CB28" s="3062">
        <f t="shared" si="49"/>
        <v>0</v>
      </c>
      <c r="CC28" s="3157">
        <f t="shared" si="30"/>
        <v>0</v>
      </c>
      <c r="CD28" s="3044"/>
      <c r="CE28" s="3040"/>
      <c r="CF28" s="3049"/>
      <c r="CG28" s="3062">
        <f t="shared" si="50"/>
        <v>0</v>
      </c>
      <c r="CH28" s="3157">
        <f t="shared" si="31"/>
        <v>0</v>
      </c>
      <c r="CI28" s="3044"/>
      <c r="CJ28" s="3040"/>
      <c r="CK28" s="3049"/>
      <c r="CL28" s="3062">
        <f t="shared" si="51"/>
        <v>0</v>
      </c>
      <c r="CM28" s="3157">
        <f t="shared" si="32"/>
        <v>0</v>
      </c>
      <c r="CN28" s="3044"/>
      <c r="CO28" s="2043">
        <f t="shared" si="33"/>
        <v>120162.20999999999</v>
      </c>
      <c r="CP28" s="2043">
        <f t="shared" si="34"/>
        <v>8462.4600000000009</v>
      </c>
      <c r="CQ28" s="2045">
        <f>CO28+CP28*1</f>
        <v>128624.67</v>
      </c>
      <c r="CR28" s="2788">
        <f t="shared" si="21"/>
        <v>1.3670313999661666E-3</v>
      </c>
      <c r="CS28" s="1434"/>
      <c r="CT28" s="919"/>
      <c r="CU28" s="1564"/>
      <c r="CV28" s="1564"/>
      <c r="CW28" s="1564"/>
      <c r="CX28" s="1564"/>
      <c r="CY28" s="1564"/>
      <c r="CZ28" s="1564"/>
      <c r="DA28" s="1564"/>
      <c r="DB28" s="1564"/>
      <c r="DC28" s="1564"/>
      <c r="DD28" s="1564"/>
      <c r="DE28" s="1564"/>
      <c r="DF28" s="1564"/>
      <c r="DG28" s="1564"/>
      <c r="DH28" s="1564"/>
      <c r="DI28" s="1564"/>
      <c r="DJ28" s="1564"/>
      <c r="DK28" s="1564"/>
      <c r="DL28" s="1564"/>
      <c r="DM28" s="1564"/>
      <c r="DN28" s="1564"/>
      <c r="DO28" s="1564"/>
      <c r="DP28" s="1564"/>
      <c r="DQ28" s="1564"/>
      <c r="DR28" s="1564"/>
      <c r="DS28" s="1564"/>
      <c r="DT28" s="1564"/>
      <c r="DU28" s="1564"/>
      <c r="DV28" s="1564"/>
      <c r="DW28" s="1564"/>
      <c r="DX28" s="1564"/>
      <c r="DY28" s="1564"/>
      <c r="DZ28" s="1564"/>
      <c r="EA28" s="1564"/>
      <c r="EB28" s="1564"/>
      <c r="EC28" s="1564"/>
      <c r="ED28" s="1564"/>
      <c r="EE28" s="1564"/>
      <c r="EF28" s="1564"/>
      <c r="EG28" s="1564"/>
      <c r="EH28" s="1564"/>
      <c r="EI28" s="1564"/>
      <c r="EJ28" s="1564"/>
      <c r="EK28" s="1564"/>
      <c r="EL28" s="1564"/>
      <c r="EM28" s="1564"/>
      <c r="EN28" s="1564"/>
      <c r="EO28" s="1564"/>
      <c r="EP28" s="1564"/>
      <c r="EQ28" s="1564"/>
      <c r="ER28" s="1564"/>
      <c r="ES28" s="1564"/>
      <c r="ET28" s="1564"/>
      <c r="EU28" s="1564"/>
      <c r="EV28" s="1564"/>
      <c r="EW28" s="1564"/>
      <c r="EX28" s="1564"/>
      <c r="EY28" s="1564"/>
      <c r="EZ28" s="1564"/>
      <c r="FA28" s="1564"/>
      <c r="FB28" s="1564"/>
      <c r="FC28" s="1564"/>
      <c r="FD28" s="1564"/>
      <c r="FE28" s="1564"/>
      <c r="FF28" s="1564"/>
      <c r="FG28" s="1564"/>
      <c r="FH28" s="1564"/>
      <c r="FI28" s="1564"/>
      <c r="FJ28" s="1564"/>
      <c r="FK28" s="1564"/>
      <c r="FL28" s="1564"/>
      <c r="FM28" s="1564"/>
      <c r="FN28" s="1564"/>
      <c r="FO28" s="1564"/>
      <c r="FP28" s="1564"/>
      <c r="FQ28" s="1564"/>
      <c r="FR28" s="1564"/>
      <c r="FS28" s="1564"/>
      <c r="FT28" s="1564"/>
      <c r="FU28" s="1564"/>
      <c r="FV28" s="1564"/>
    </row>
    <row r="29" spans="1:178" s="1396" customFormat="1" ht="33.6" customHeight="1">
      <c r="A29" s="1572"/>
      <c r="B29" s="3085" t="s">
        <v>31</v>
      </c>
      <c r="C29" s="2675"/>
      <c r="D29" s="2790"/>
      <c r="E29" s="3081">
        <f t="shared" si="22"/>
        <v>0</v>
      </c>
      <c r="F29" s="2788" t="e">
        <f t="shared" si="12"/>
        <v>#DIV/0!</v>
      </c>
      <c r="G29" s="1979">
        <v>121355.4</v>
      </c>
      <c r="H29" s="2051">
        <v>7210.6900000000005</v>
      </c>
      <c r="I29" s="1982">
        <f t="shared" si="36"/>
        <v>128566.09</v>
      </c>
      <c r="J29" s="3003">
        <f t="shared" si="23"/>
        <v>2.3483305139774791E-3</v>
      </c>
      <c r="K29" s="2046"/>
      <c r="L29" s="2046"/>
      <c r="M29" s="3039">
        <v>13260</v>
      </c>
      <c r="N29" s="3040"/>
      <c r="O29" s="3041">
        <f t="shared" si="37"/>
        <v>13260</v>
      </c>
      <c r="P29" s="3042">
        <f t="shared" si="13"/>
        <v>1.9066359042303643E-3</v>
      </c>
      <c r="Q29" s="3044" t="s">
        <v>1525</v>
      </c>
      <c r="R29" s="3052">
        <v>12120</v>
      </c>
      <c r="S29" s="3040"/>
      <c r="T29" s="3047">
        <f t="shared" si="38"/>
        <v>12120</v>
      </c>
      <c r="U29" s="3157">
        <f t="shared" si="14"/>
        <v>1.7427169803372561E-3</v>
      </c>
      <c r="V29" s="3044" t="s">
        <v>1526</v>
      </c>
      <c r="W29" s="3040">
        <v>18732</v>
      </c>
      <c r="X29" s="3049"/>
      <c r="Y29" s="3062">
        <f t="shared" si="39"/>
        <v>18732</v>
      </c>
      <c r="Z29" s="3157">
        <f t="shared" si="15"/>
        <v>2.6934467389172836E-3</v>
      </c>
      <c r="AA29" s="3044"/>
      <c r="AB29" s="3040">
        <v>19932</v>
      </c>
      <c r="AC29" s="3049"/>
      <c r="AD29" s="3065">
        <f t="shared" si="40"/>
        <v>19932</v>
      </c>
      <c r="AE29" s="3157">
        <f t="shared" si="16"/>
        <v>2.8659929745942399E-3</v>
      </c>
      <c r="AF29" s="3044" t="s">
        <v>1597</v>
      </c>
      <c r="AG29" s="3040">
        <v>11310</v>
      </c>
      <c r="AH29" s="3049">
        <f>240+250+5320+545.69+855</f>
        <v>7210.6900000000005</v>
      </c>
      <c r="AI29" s="3062">
        <f t="shared" si="41"/>
        <v>18520.690000000002</v>
      </c>
      <c r="AJ29" s="3157">
        <f t="shared" si="17"/>
        <v>2.6630627846998696E-3</v>
      </c>
      <c r="AK29" s="3044" t="s">
        <v>1527</v>
      </c>
      <c r="AL29" s="3040">
        <f>910+3640+2990</f>
        <v>7540</v>
      </c>
      <c r="AM29" s="3049">
        <v>6426.73</v>
      </c>
      <c r="AN29" s="3062">
        <f t="shared" si="24"/>
        <v>13966.73</v>
      </c>
      <c r="AO29" s="3157">
        <f t="shared" si="25"/>
        <v>2.1782129533215E-3</v>
      </c>
      <c r="AP29" s="3044" t="s">
        <v>1278</v>
      </c>
      <c r="AQ29" s="3040">
        <v>6890</v>
      </c>
      <c r="AR29" s="3049"/>
      <c r="AS29" s="3062">
        <f t="shared" si="42"/>
        <v>6890</v>
      </c>
      <c r="AT29" s="3157">
        <f t="shared" si="18"/>
        <v>9.9070296984518917E-4</v>
      </c>
      <c r="AU29" s="3044" t="s">
        <v>1299</v>
      </c>
      <c r="AV29" s="3040">
        <f>3900+3120</f>
        <v>7020</v>
      </c>
      <c r="AW29" s="3049"/>
      <c r="AX29" s="3062">
        <f t="shared" si="43"/>
        <v>7020</v>
      </c>
      <c r="AY29" s="3157">
        <f t="shared" si="19"/>
        <v>2.4210927287082041E-3</v>
      </c>
      <c r="AZ29" s="3044" t="s">
        <v>1331</v>
      </c>
      <c r="BA29" s="3040">
        <f>3640+910+3640</f>
        <v>8190</v>
      </c>
      <c r="BB29" s="3049"/>
      <c r="BC29" s="3062">
        <f t="shared" si="44"/>
        <v>8190</v>
      </c>
      <c r="BD29" s="3157">
        <f t="shared" si="20"/>
        <v>2.3361506498174754E-3</v>
      </c>
      <c r="BE29" s="3044" t="s">
        <v>1343</v>
      </c>
      <c r="BF29" s="3040">
        <f>3380+3250+4550</f>
        <v>11180</v>
      </c>
      <c r="BG29" s="3049"/>
      <c r="BH29" s="3062">
        <f t="shared" si="45"/>
        <v>11180</v>
      </c>
      <c r="BI29" s="3157">
        <f t="shared" si="26"/>
        <v>2.4524760915937078E-3</v>
      </c>
      <c r="BJ29" s="3044" t="s">
        <v>1384</v>
      </c>
      <c r="BK29" s="3040">
        <v>8060</v>
      </c>
      <c r="BL29" s="3049"/>
      <c r="BM29" s="3062">
        <f t="shared" si="46"/>
        <v>8060</v>
      </c>
      <c r="BN29" s="3157">
        <f t="shared" si="27"/>
        <v>1.3283910037317382E-3</v>
      </c>
      <c r="BO29" s="3044" t="s">
        <v>1337</v>
      </c>
      <c r="BP29" s="3040">
        <v>1170</v>
      </c>
      <c r="BQ29" s="3049"/>
      <c r="BR29" s="3062">
        <f t="shared" si="47"/>
        <v>1170</v>
      </c>
      <c r="BS29" s="3157">
        <f t="shared" si="28"/>
        <v>4.7784021788965033E-4</v>
      </c>
      <c r="BT29" s="3044" t="s">
        <v>1475</v>
      </c>
      <c r="BU29" s="3040"/>
      <c r="BV29" s="3049"/>
      <c r="BW29" s="3062">
        <f t="shared" si="48"/>
        <v>0</v>
      </c>
      <c r="BX29" s="3157">
        <f t="shared" si="29"/>
        <v>0</v>
      </c>
      <c r="BY29" s="3044"/>
      <c r="BZ29" s="3040"/>
      <c r="CA29" s="3049"/>
      <c r="CB29" s="3062">
        <f t="shared" si="49"/>
        <v>0</v>
      </c>
      <c r="CC29" s="3157">
        <f t="shared" si="30"/>
        <v>0</v>
      </c>
      <c r="CD29" s="3044"/>
      <c r="CE29" s="3040"/>
      <c r="CF29" s="3049"/>
      <c r="CG29" s="3062">
        <f t="shared" si="50"/>
        <v>0</v>
      </c>
      <c r="CH29" s="3157">
        <f t="shared" si="31"/>
        <v>0</v>
      </c>
      <c r="CI29" s="3044"/>
      <c r="CJ29" s="3040"/>
      <c r="CK29" s="3049"/>
      <c r="CL29" s="3062">
        <f t="shared" si="51"/>
        <v>0</v>
      </c>
      <c r="CM29" s="3157">
        <f t="shared" si="32"/>
        <v>0</v>
      </c>
      <c r="CN29" s="3044"/>
      <c r="CO29" s="2043">
        <f t="shared" si="33"/>
        <v>125404</v>
      </c>
      <c r="CP29" s="2043">
        <f t="shared" si="34"/>
        <v>13637.42</v>
      </c>
      <c r="CQ29" s="3079">
        <f t="shared" si="35"/>
        <v>139041.42000000001</v>
      </c>
      <c r="CR29" s="2788">
        <f t="shared" si="21"/>
        <v>1.477741299829059E-3</v>
      </c>
      <c r="CS29" s="2792"/>
      <c r="CT29" s="919"/>
      <c r="CU29" s="1564"/>
      <c r="CV29" s="1564"/>
      <c r="CW29" s="1564"/>
      <c r="CX29" s="1564"/>
      <c r="CY29" s="1564"/>
      <c r="CZ29" s="1564"/>
      <c r="DA29" s="1564"/>
      <c r="DB29" s="1564"/>
      <c r="DC29" s="1564"/>
      <c r="DD29" s="1564"/>
      <c r="DE29" s="1564"/>
      <c r="DF29" s="1564"/>
      <c r="DG29" s="1564"/>
      <c r="DH29" s="1564"/>
      <c r="DI29" s="1564"/>
      <c r="DJ29" s="1564"/>
      <c r="DK29" s="1564"/>
      <c r="DL29" s="1564"/>
      <c r="DM29" s="1564"/>
      <c r="DN29" s="1564"/>
      <c r="DO29" s="1564"/>
      <c r="DP29" s="1564"/>
      <c r="DQ29" s="1564"/>
      <c r="DR29" s="1564"/>
      <c r="DS29" s="1564"/>
      <c r="DT29" s="1564"/>
      <c r="DU29" s="1564"/>
      <c r="DV29" s="1564"/>
      <c r="DW29" s="1564"/>
      <c r="DX29" s="1564"/>
      <c r="DY29" s="1564"/>
      <c r="DZ29" s="1564"/>
      <c r="EA29" s="1564"/>
      <c r="EB29" s="1564"/>
      <c r="EC29" s="1564"/>
      <c r="ED29" s="1564"/>
      <c r="EE29" s="1564"/>
      <c r="EF29" s="1564"/>
      <c r="EG29" s="1564"/>
      <c r="EH29" s="1564"/>
      <c r="EI29" s="1564"/>
      <c r="EJ29" s="1564"/>
      <c r="EK29" s="1564"/>
      <c r="EL29" s="1564"/>
      <c r="EM29" s="1564"/>
      <c r="EN29" s="1564"/>
      <c r="EO29" s="1564"/>
      <c r="EP29" s="1564"/>
      <c r="EQ29" s="1564"/>
      <c r="ER29" s="1564"/>
      <c r="ES29" s="1564"/>
      <c r="ET29" s="1564"/>
      <c r="EU29" s="1564"/>
      <c r="EV29" s="1564"/>
      <c r="EW29" s="1564"/>
      <c r="EX29" s="1564"/>
      <c r="EY29" s="1564"/>
      <c r="EZ29" s="1564"/>
      <c r="FA29" s="1564"/>
      <c r="FB29" s="1564"/>
      <c r="FC29" s="1564"/>
      <c r="FD29" s="1564"/>
      <c r="FE29" s="1564"/>
      <c r="FF29" s="1564"/>
      <c r="FG29" s="1564"/>
      <c r="FH29" s="1564"/>
      <c r="FI29" s="1564"/>
      <c r="FJ29" s="1564"/>
      <c r="FK29" s="1564"/>
      <c r="FL29" s="1564"/>
      <c r="FM29" s="1564"/>
      <c r="FN29" s="1564"/>
      <c r="FO29" s="1564"/>
      <c r="FP29" s="1564"/>
      <c r="FQ29" s="1564"/>
      <c r="FR29" s="1564"/>
      <c r="FS29" s="1564"/>
      <c r="FT29" s="1564"/>
      <c r="FU29" s="1564"/>
      <c r="FV29" s="1564"/>
    </row>
    <row r="30" spans="1:178" s="1396" customFormat="1" ht="33.6" customHeight="1">
      <c r="A30" s="1572"/>
      <c r="B30" s="3085" t="s">
        <v>62</v>
      </c>
      <c r="C30" s="2675"/>
      <c r="D30" s="2790"/>
      <c r="E30" s="3081">
        <f t="shared" si="22"/>
        <v>0</v>
      </c>
      <c r="F30" s="2788" t="e">
        <f t="shared" si="12"/>
        <v>#DIV/0!</v>
      </c>
      <c r="G30" s="1979">
        <v>0</v>
      </c>
      <c r="H30" s="2051">
        <f>607560.31-1674.25</f>
        <v>605886.06000000006</v>
      </c>
      <c r="I30" s="1982">
        <f t="shared" si="36"/>
        <v>605886.06000000006</v>
      </c>
      <c r="J30" s="3003">
        <f t="shared" si="23"/>
        <v>1.1066842918623332E-2</v>
      </c>
      <c r="K30" s="2046"/>
      <c r="L30" s="2046"/>
      <c r="M30" s="1979"/>
      <c r="N30" s="3040">
        <v>201166.25</v>
      </c>
      <c r="O30" s="3041">
        <f t="shared" si="37"/>
        <v>201166.25</v>
      </c>
      <c r="P30" s="3042">
        <f t="shared" si="13"/>
        <v>2.8925399318957882E-2</v>
      </c>
      <c r="Q30" s="3044" t="s">
        <v>1528</v>
      </c>
      <c r="R30" s="3052"/>
      <c r="S30" s="3040">
        <v>110205</v>
      </c>
      <c r="T30" s="3047">
        <f t="shared" si="38"/>
        <v>110205</v>
      </c>
      <c r="U30" s="3157">
        <f t="shared" si="14"/>
        <v>1.584621491898245E-2</v>
      </c>
      <c r="V30" s="3044" t="s">
        <v>1529</v>
      </c>
      <c r="W30" s="3040"/>
      <c r="X30" s="3049">
        <v>94560</v>
      </c>
      <c r="Y30" s="3062">
        <f t="shared" si="39"/>
        <v>94560</v>
      </c>
      <c r="Z30" s="3157">
        <f t="shared" si="15"/>
        <v>1.3596643371344136E-2</v>
      </c>
      <c r="AA30" s="3044" t="s">
        <v>1530</v>
      </c>
      <c r="AB30" s="3040"/>
      <c r="AC30" s="3049">
        <v>95345</v>
      </c>
      <c r="AD30" s="3065">
        <f t="shared" si="40"/>
        <v>95345</v>
      </c>
      <c r="AE30" s="3157">
        <f t="shared" si="16"/>
        <v>1.3709517367182811E-2</v>
      </c>
      <c r="AF30" s="3044" t="s">
        <v>1531</v>
      </c>
      <c r="AG30" s="3040"/>
      <c r="AH30" s="3049">
        <f>25000+16000+9000+14000+12000+1500+10000+18784.06</f>
        <v>106284.06</v>
      </c>
      <c r="AI30" s="3062">
        <f t="shared" si="41"/>
        <v>106284.06</v>
      </c>
      <c r="AJ30" s="3157">
        <f t="shared" si="17"/>
        <v>1.5282428721219781E-2</v>
      </c>
      <c r="AK30" s="3044" t="s">
        <v>1532</v>
      </c>
      <c r="AL30" s="3040"/>
      <c r="AM30" s="3049">
        <f>82000+17094.02</f>
        <v>99094.02</v>
      </c>
      <c r="AN30" s="3062">
        <f t="shared" si="24"/>
        <v>99094.02</v>
      </c>
      <c r="AO30" s="3157">
        <f t="shared" si="25"/>
        <v>1.545443192219652E-2</v>
      </c>
      <c r="AP30" s="3044" t="s">
        <v>1279</v>
      </c>
      <c r="AQ30" s="3040"/>
      <c r="AR30" s="3049">
        <f>63000+17741.46-1674.25</f>
        <v>79067.209999999992</v>
      </c>
      <c r="AS30" s="3062">
        <f t="shared" si="42"/>
        <v>79067.209999999992</v>
      </c>
      <c r="AT30" s="3157">
        <f t="shared" si="18"/>
        <v>1.1368957875816144E-2</v>
      </c>
      <c r="AU30" s="3044" t="s">
        <v>1300</v>
      </c>
      <c r="AV30" s="3040"/>
      <c r="AW30" s="3049">
        <f>61000+18029.46</f>
        <v>79029.459999999992</v>
      </c>
      <c r="AX30" s="3062">
        <f t="shared" si="43"/>
        <v>79029.459999999992</v>
      </c>
      <c r="AY30" s="3157">
        <f t="shared" si="19"/>
        <v>2.7256075635290009E-2</v>
      </c>
      <c r="AZ30" s="3044" t="s">
        <v>1332</v>
      </c>
      <c r="BA30" s="2051"/>
      <c r="BB30" s="3049">
        <f>54000+8365.7</f>
        <v>62365.7</v>
      </c>
      <c r="BC30" s="3062">
        <f t="shared" si="44"/>
        <v>62365.7</v>
      </c>
      <c r="BD30" s="3157">
        <f t="shared" si="20"/>
        <v>1.778945916743855E-2</v>
      </c>
      <c r="BE30" s="3044" t="s">
        <v>1344</v>
      </c>
      <c r="BF30" s="3040"/>
      <c r="BG30" s="3049">
        <f>61370.61</f>
        <v>61370.61</v>
      </c>
      <c r="BH30" s="3062">
        <f t="shared" si="45"/>
        <v>61370.61</v>
      </c>
      <c r="BI30" s="3157">
        <f t="shared" si="26"/>
        <v>1.3462428779205879E-2</v>
      </c>
      <c r="BJ30" s="3044" t="s">
        <v>1385</v>
      </c>
      <c r="BK30" s="3040"/>
      <c r="BL30" s="3049">
        <v>61238.35</v>
      </c>
      <c r="BM30" s="3062">
        <f t="shared" si="46"/>
        <v>61238.35</v>
      </c>
      <c r="BN30" s="3157">
        <f t="shared" si="27"/>
        <v>1.009286268280093E-2</v>
      </c>
      <c r="BO30" s="3044" t="s">
        <v>1414</v>
      </c>
      <c r="BP30" s="3040"/>
      <c r="BQ30" s="3040">
        <f>16000+8581.1</f>
        <v>24581.1</v>
      </c>
      <c r="BR30" s="3062">
        <f t="shared" si="47"/>
        <v>24581.1</v>
      </c>
      <c r="BS30" s="3157">
        <f t="shared" si="28"/>
        <v>1.0039177931595969E-2</v>
      </c>
      <c r="BT30" s="3044" t="s">
        <v>1492</v>
      </c>
      <c r="BU30" s="3040"/>
      <c r="BV30" s="3040">
        <v>10000</v>
      </c>
      <c r="BW30" s="3062">
        <f t="shared" si="48"/>
        <v>10000</v>
      </c>
      <c r="BX30" s="3157">
        <f t="shared" si="29"/>
        <v>1.8524957244769179E-2</v>
      </c>
      <c r="BY30" s="3044" t="s">
        <v>1628</v>
      </c>
      <c r="BZ30" s="3040"/>
      <c r="CA30" s="3040"/>
      <c r="CB30" s="3062">
        <f t="shared" si="49"/>
        <v>0</v>
      </c>
      <c r="CC30" s="3157">
        <f t="shared" si="30"/>
        <v>0</v>
      </c>
      <c r="CD30" s="3044"/>
      <c r="CE30" s="3040"/>
      <c r="CF30" s="3040"/>
      <c r="CG30" s="3062">
        <f t="shared" si="50"/>
        <v>0</v>
      </c>
      <c r="CH30" s="3157">
        <f t="shared" si="31"/>
        <v>0</v>
      </c>
      <c r="CI30" s="3044"/>
      <c r="CJ30" s="3040"/>
      <c r="CK30" s="3040"/>
      <c r="CL30" s="3062">
        <f t="shared" si="51"/>
        <v>0</v>
      </c>
      <c r="CM30" s="3157">
        <f t="shared" si="32"/>
        <v>0</v>
      </c>
      <c r="CN30" s="3044"/>
      <c r="CO30" s="2043">
        <f t="shared" si="33"/>
        <v>0</v>
      </c>
      <c r="CP30" s="2043">
        <f t="shared" si="34"/>
        <v>1084306.76</v>
      </c>
      <c r="CQ30" s="3079">
        <f t="shared" si="35"/>
        <v>1084306.76</v>
      </c>
      <c r="CR30" s="2788">
        <f t="shared" si="21"/>
        <v>1.1524083118079745E-2</v>
      </c>
      <c r="CS30" s="2792"/>
      <c r="CT30" s="919"/>
      <c r="CU30" s="1564"/>
      <c r="CV30" s="1564"/>
      <c r="CW30" s="1564"/>
      <c r="CX30" s="1564"/>
      <c r="CY30" s="1564"/>
      <c r="CZ30" s="1564"/>
      <c r="DA30" s="1564"/>
      <c r="DB30" s="1564"/>
      <c r="DC30" s="1564"/>
      <c r="DD30" s="1564"/>
      <c r="DE30" s="1564"/>
      <c r="DF30" s="1564"/>
      <c r="DG30" s="1564"/>
      <c r="DH30" s="1564"/>
      <c r="DI30" s="1564"/>
      <c r="DJ30" s="1564"/>
      <c r="DK30" s="1564"/>
      <c r="DL30" s="1564"/>
      <c r="DM30" s="1564"/>
      <c r="DN30" s="1564"/>
      <c r="DO30" s="1564"/>
      <c r="DP30" s="1564"/>
      <c r="DQ30" s="1564"/>
      <c r="DR30" s="1564"/>
      <c r="DS30" s="1564"/>
      <c r="DT30" s="1564"/>
      <c r="DU30" s="1564"/>
      <c r="DV30" s="1564"/>
      <c r="DW30" s="1564"/>
      <c r="DX30" s="1564"/>
      <c r="DY30" s="1564"/>
      <c r="DZ30" s="1564"/>
      <c r="EA30" s="1564"/>
      <c r="EB30" s="1564"/>
      <c r="EC30" s="1564"/>
      <c r="ED30" s="1564"/>
      <c r="EE30" s="1564"/>
      <c r="EF30" s="1564"/>
      <c r="EG30" s="1564"/>
      <c r="EH30" s="1564"/>
      <c r="EI30" s="1564"/>
      <c r="EJ30" s="1564"/>
      <c r="EK30" s="1564"/>
      <c r="EL30" s="1564"/>
      <c r="EM30" s="1564"/>
      <c r="EN30" s="1564"/>
      <c r="EO30" s="1564"/>
      <c r="EP30" s="1564"/>
      <c r="EQ30" s="1564"/>
      <c r="ER30" s="1564"/>
      <c r="ES30" s="1564"/>
      <c r="ET30" s="1564"/>
      <c r="EU30" s="1564"/>
      <c r="EV30" s="1564"/>
      <c r="EW30" s="1564"/>
      <c r="EX30" s="1564"/>
      <c r="EY30" s="1564"/>
      <c r="EZ30" s="1564"/>
      <c r="FA30" s="1564"/>
      <c r="FB30" s="1564"/>
      <c r="FC30" s="1564"/>
      <c r="FD30" s="1564"/>
      <c r="FE30" s="1564"/>
      <c r="FF30" s="1564"/>
      <c r="FG30" s="1564"/>
      <c r="FH30" s="1564"/>
      <c r="FI30" s="1564"/>
      <c r="FJ30" s="1564"/>
      <c r="FK30" s="1564"/>
      <c r="FL30" s="1564"/>
      <c r="FM30" s="1564"/>
      <c r="FN30" s="1564"/>
      <c r="FO30" s="1564"/>
      <c r="FP30" s="1564"/>
      <c r="FQ30" s="1564"/>
      <c r="FR30" s="1564"/>
      <c r="FS30" s="1564"/>
      <c r="FT30" s="1564"/>
      <c r="FU30" s="1564"/>
      <c r="FV30" s="1564"/>
    </row>
    <row r="31" spans="1:178" s="1396" customFormat="1" ht="54.6" customHeight="1">
      <c r="A31" s="1572"/>
      <c r="B31" s="3085" t="s">
        <v>34</v>
      </c>
      <c r="C31" s="2675"/>
      <c r="D31" s="2790"/>
      <c r="E31" s="3081">
        <f t="shared" si="22"/>
        <v>0</v>
      </c>
      <c r="F31" s="2788" t="e">
        <f t="shared" si="12"/>
        <v>#DIV/0!</v>
      </c>
      <c r="G31" s="1979">
        <v>3696.31</v>
      </c>
      <c r="H31" s="2051">
        <v>18307</v>
      </c>
      <c r="I31" s="1982">
        <f t="shared" si="36"/>
        <v>22003.31</v>
      </c>
      <c r="J31" s="3003">
        <f t="shared" si="23"/>
        <v>4.0190258785583203E-4</v>
      </c>
      <c r="K31" s="2046"/>
      <c r="L31" s="2046"/>
      <c r="M31" s="1979"/>
      <c r="N31" s="3040">
        <v>9568</v>
      </c>
      <c r="O31" s="3041">
        <f t="shared" si="37"/>
        <v>9568</v>
      </c>
      <c r="P31" s="3042">
        <f t="shared" si="13"/>
        <v>1.3757686524642628E-3</v>
      </c>
      <c r="Q31" s="3044" t="s">
        <v>1533</v>
      </c>
      <c r="R31" s="3052">
        <v>3696.31</v>
      </c>
      <c r="S31" s="3040">
        <v>6315</v>
      </c>
      <c r="T31" s="3047">
        <f t="shared" si="38"/>
        <v>10011.31</v>
      </c>
      <c r="U31" s="3157">
        <f t="shared" si="14"/>
        <v>1.4395115455792223E-3</v>
      </c>
      <c r="V31" s="3044" t="s">
        <v>1534</v>
      </c>
      <c r="W31" s="3040"/>
      <c r="X31" s="3049">
        <v>424</v>
      </c>
      <c r="Y31" s="3062">
        <f t="shared" si="39"/>
        <v>424</v>
      </c>
      <c r="Z31" s="3157">
        <f t="shared" si="15"/>
        <v>6.0966336605857803E-5</v>
      </c>
      <c r="AA31" s="3044" t="s">
        <v>1535</v>
      </c>
      <c r="AB31" s="3040"/>
      <c r="AC31" s="3049">
        <v>2000</v>
      </c>
      <c r="AD31" s="3065">
        <f t="shared" si="40"/>
        <v>2000</v>
      </c>
      <c r="AE31" s="3157">
        <f t="shared" si="16"/>
        <v>2.8757705946159338E-4</v>
      </c>
      <c r="AF31" s="3044" t="s">
        <v>1536</v>
      </c>
      <c r="AG31" s="3040"/>
      <c r="AH31" s="3049">
        <v>7210.6900000000005</v>
      </c>
      <c r="AI31" s="3062">
        <f t="shared" si="41"/>
        <v>7210.6900000000005</v>
      </c>
      <c r="AJ31" s="3157">
        <f t="shared" si="17"/>
        <v>1.0368145134445586E-3</v>
      </c>
      <c r="AK31" s="3044" t="s">
        <v>1774</v>
      </c>
      <c r="AL31" s="2000"/>
      <c r="AM31" s="1993">
        <v>6426.73</v>
      </c>
      <c r="AN31" s="1997">
        <f t="shared" si="24"/>
        <v>6426.73</v>
      </c>
      <c r="AO31" s="3164">
        <f t="shared" si="25"/>
        <v>1.0022952067878367E-3</v>
      </c>
      <c r="AP31" s="1994" t="s">
        <v>1775</v>
      </c>
      <c r="AQ31" s="3040"/>
      <c r="AR31" s="3049"/>
      <c r="AS31" s="3062">
        <f t="shared" si="42"/>
        <v>0</v>
      </c>
      <c r="AT31" s="3157">
        <f t="shared" si="18"/>
        <v>0</v>
      </c>
      <c r="AU31" s="3044"/>
      <c r="AV31" s="3040"/>
      <c r="AW31" s="3049"/>
      <c r="AX31" s="3062">
        <f t="shared" si="43"/>
        <v>0</v>
      </c>
      <c r="AY31" s="3157">
        <f t="shared" si="19"/>
        <v>0</v>
      </c>
      <c r="AZ31" s="3044"/>
      <c r="BA31" s="2051"/>
      <c r="BB31" s="3049">
        <f>677.93+1327.33</f>
        <v>2005.2599999999998</v>
      </c>
      <c r="BC31" s="3062">
        <f t="shared" si="44"/>
        <v>2005.2599999999998</v>
      </c>
      <c r="BD31" s="3157">
        <f t="shared" si="20"/>
        <v>5.7198894408461414E-4</v>
      </c>
      <c r="BE31" s="3044" t="s">
        <v>1345</v>
      </c>
      <c r="BF31" s="2051"/>
      <c r="BG31" s="2043">
        <v>966.37</v>
      </c>
      <c r="BH31" s="2045">
        <f t="shared" si="45"/>
        <v>966.37</v>
      </c>
      <c r="BI31" s="2788">
        <f t="shared" si="26"/>
        <v>2.1198562796363252E-4</v>
      </c>
      <c r="BJ31" s="2046"/>
      <c r="BK31" s="3040"/>
      <c r="BL31" s="3049">
        <v>4133.04</v>
      </c>
      <c r="BM31" s="3062">
        <f t="shared" si="46"/>
        <v>4133.04</v>
      </c>
      <c r="BN31" s="3157">
        <f t="shared" si="27"/>
        <v>6.8117781067784412E-4</v>
      </c>
      <c r="BO31" s="3044"/>
      <c r="BP31" s="3040"/>
      <c r="BQ31" s="3049">
        <v>469</v>
      </c>
      <c r="BR31" s="3062">
        <f t="shared" si="47"/>
        <v>469</v>
      </c>
      <c r="BS31" s="3157">
        <f t="shared" si="28"/>
        <v>1.9154449759850085E-4</v>
      </c>
      <c r="BT31" s="3044" t="s">
        <v>1476</v>
      </c>
      <c r="BU31" s="3040"/>
      <c r="BV31" s="3049"/>
      <c r="BW31" s="3062">
        <f t="shared" si="48"/>
        <v>0</v>
      </c>
      <c r="BX31" s="3157">
        <f t="shared" si="29"/>
        <v>0</v>
      </c>
      <c r="BY31" s="3044"/>
      <c r="BZ31" s="3040"/>
      <c r="CA31" s="3049"/>
      <c r="CB31" s="3062">
        <f t="shared" si="49"/>
        <v>0</v>
      </c>
      <c r="CC31" s="3157">
        <f t="shared" si="30"/>
        <v>0</v>
      </c>
      <c r="CD31" s="3044"/>
      <c r="CE31" s="3040"/>
      <c r="CF31" s="3049"/>
      <c r="CG31" s="3062">
        <f t="shared" si="50"/>
        <v>0</v>
      </c>
      <c r="CH31" s="3157">
        <f t="shared" si="31"/>
        <v>0</v>
      </c>
      <c r="CI31" s="3044"/>
      <c r="CJ31" s="3040"/>
      <c r="CK31" s="3049"/>
      <c r="CL31" s="3062">
        <f t="shared" si="51"/>
        <v>0</v>
      </c>
      <c r="CM31" s="3157">
        <f t="shared" si="32"/>
        <v>0</v>
      </c>
      <c r="CN31" s="3044"/>
      <c r="CO31" s="2043">
        <f t="shared" si="33"/>
        <v>3696.31</v>
      </c>
      <c r="CP31" s="2043">
        <f t="shared" si="34"/>
        <v>39518.090000000004</v>
      </c>
      <c r="CQ31" s="3079">
        <f t="shared" si="35"/>
        <v>43214.400000000001</v>
      </c>
      <c r="CR31" s="2788">
        <f t="shared" si="21"/>
        <v>4.5928546779321506E-4</v>
      </c>
      <c r="CS31" s="2792"/>
      <c r="CT31" s="919"/>
      <c r="CU31" s="1564"/>
      <c r="CV31" s="1564"/>
      <c r="CW31" s="1564"/>
      <c r="CX31" s="1564"/>
      <c r="CY31" s="1564"/>
      <c r="CZ31" s="1564"/>
      <c r="DA31" s="1564"/>
      <c r="DB31" s="1564"/>
      <c r="DC31" s="1564"/>
      <c r="DD31" s="1564"/>
      <c r="DE31" s="1564"/>
      <c r="DF31" s="1564"/>
      <c r="DG31" s="1564"/>
      <c r="DH31" s="1564"/>
      <c r="DI31" s="1564"/>
      <c r="DJ31" s="1564"/>
      <c r="DK31" s="1564"/>
      <c r="DL31" s="1564"/>
      <c r="DM31" s="1564"/>
      <c r="DN31" s="1564"/>
      <c r="DO31" s="1564"/>
      <c r="DP31" s="1564"/>
      <c r="DQ31" s="1564"/>
      <c r="DR31" s="1564"/>
      <c r="DS31" s="1564"/>
      <c r="DT31" s="1564"/>
      <c r="DU31" s="1564"/>
      <c r="DV31" s="1564"/>
      <c r="DW31" s="1564"/>
      <c r="DX31" s="1564"/>
      <c r="DY31" s="1564"/>
      <c r="DZ31" s="1564"/>
      <c r="EA31" s="1564"/>
      <c r="EB31" s="1564"/>
      <c r="EC31" s="1564"/>
      <c r="ED31" s="1564"/>
      <c r="EE31" s="1564"/>
      <c r="EF31" s="1564"/>
      <c r="EG31" s="1564"/>
      <c r="EH31" s="1564"/>
      <c r="EI31" s="1564"/>
      <c r="EJ31" s="1564"/>
      <c r="EK31" s="1564"/>
      <c r="EL31" s="1564"/>
      <c r="EM31" s="1564"/>
      <c r="EN31" s="1564"/>
      <c r="EO31" s="1564"/>
      <c r="EP31" s="1564"/>
      <c r="EQ31" s="1564"/>
      <c r="ER31" s="1564"/>
      <c r="ES31" s="1564"/>
      <c r="ET31" s="1564"/>
      <c r="EU31" s="1564"/>
      <c r="EV31" s="1564"/>
      <c r="EW31" s="1564"/>
      <c r="EX31" s="1564"/>
      <c r="EY31" s="1564"/>
      <c r="EZ31" s="1564"/>
      <c r="FA31" s="1564"/>
      <c r="FB31" s="1564"/>
      <c r="FC31" s="1564"/>
      <c r="FD31" s="1564"/>
      <c r="FE31" s="1564"/>
      <c r="FF31" s="1564"/>
      <c r="FG31" s="1564"/>
      <c r="FH31" s="1564"/>
      <c r="FI31" s="1564"/>
      <c r="FJ31" s="1564"/>
      <c r="FK31" s="1564"/>
      <c r="FL31" s="1564"/>
      <c r="FM31" s="1564"/>
      <c r="FN31" s="1564"/>
      <c r="FO31" s="1564"/>
      <c r="FP31" s="1564"/>
      <c r="FQ31" s="1564"/>
      <c r="FR31" s="1564"/>
      <c r="FS31" s="1564"/>
      <c r="FT31" s="1564"/>
      <c r="FU31" s="1564"/>
      <c r="FV31" s="1564"/>
    </row>
    <row r="32" spans="1:178" s="1396" customFormat="1" ht="13.8">
      <c r="A32" s="1572"/>
      <c r="B32" s="3085" t="s">
        <v>2</v>
      </c>
      <c r="C32" s="2795"/>
      <c r="D32" s="2796"/>
      <c r="E32" s="3081">
        <f t="shared" si="22"/>
        <v>0</v>
      </c>
      <c r="F32" s="2788" t="e">
        <f t="shared" si="12"/>
        <v>#DIV/0!</v>
      </c>
      <c r="G32" s="1979">
        <v>0</v>
      </c>
      <c r="H32" s="2051">
        <v>0</v>
      </c>
      <c r="I32" s="1982">
        <f t="shared" si="36"/>
        <v>0</v>
      </c>
      <c r="J32" s="3003">
        <f t="shared" si="23"/>
        <v>0</v>
      </c>
      <c r="K32" s="2046"/>
      <c r="L32" s="2046"/>
      <c r="M32" s="1979"/>
      <c r="N32" s="2051"/>
      <c r="O32" s="1982">
        <f t="shared" si="37"/>
        <v>0</v>
      </c>
      <c r="P32" s="3003">
        <f t="shared" si="13"/>
        <v>0</v>
      </c>
      <c r="Q32" s="2046"/>
      <c r="R32" s="3052"/>
      <c r="S32" s="3040"/>
      <c r="T32" s="3047">
        <f t="shared" si="38"/>
        <v>0</v>
      </c>
      <c r="U32" s="3157">
        <f t="shared" si="14"/>
        <v>0</v>
      </c>
      <c r="V32" s="3044"/>
      <c r="W32" s="2051"/>
      <c r="X32" s="2043"/>
      <c r="Y32" s="2045">
        <f t="shared" si="39"/>
        <v>0</v>
      </c>
      <c r="Z32" s="2788">
        <f t="shared" si="15"/>
        <v>0</v>
      </c>
      <c r="AA32" s="2046"/>
      <c r="AB32" s="3040"/>
      <c r="AC32" s="3049"/>
      <c r="AD32" s="3065">
        <f t="shared" si="40"/>
        <v>0</v>
      </c>
      <c r="AE32" s="3157">
        <f t="shared" si="16"/>
        <v>0</v>
      </c>
      <c r="AF32" s="3044"/>
      <c r="AG32" s="3040"/>
      <c r="AH32" s="3049"/>
      <c r="AI32" s="3062">
        <f t="shared" si="41"/>
        <v>0</v>
      </c>
      <c r="AJ32" s="3157">
        <f t="shared" si="17"/>
        <v>0</v>
      </c>
      <c r="AK32" s="3044"/>
      <c r="AL32" s="2000"/>
      <c r="AM32" s="3049"/>
      <c r="AN32" s="3062">
        <f t="shared" si="24"/>
        <v>0</v>
      </c>
      <c r="AO32" s="3157">
        <f t="shared" si="25"/>
        <v>0</v>
      </c>
      <c r="AP32" s="3044"/>
      <c r="AQ32" s="3040"/>
      <c r="AR32" s="3049"/>
      <c r="AS32" s="3062">
        <f t="shared" si="42"/>
        <v>0</v>
      </c>
      <c r="AT32" s="3157">
        <f t="shared" si="18"/>
        <v>0</v>
      </c>
      <c r="AU32" s="3044"/>
      <c r="AV32" s="3040"/>
      <c r="AW32" s="3049"/>
      <c r="AX32" s="3062">
        <f t="shared" si="43"/>
        <v>0</v>
      </c>
      <c r="AY32" s="3157">
        <f t="shared" si="19"/>
        <v>0</v>
      </c>
      <c r="AZ32" s="3044"/>
      <c r="BA32" s="2051"/>
      <c r="BB32" s="3049"/>
      <c r="BC32" s="3062">
        <f t="shared" si="44"/>
        <v>0</v>
      </c>
      <c r="BD32" s="3157">
        <f t="shared" si="20"/>
        <v>0</v>
      </c>
      <c r="BE32" s="3044"/>
      <c r="BF32" s="2051"/>
      <c r="BG32" s="2043"/>
      <c r="BH32" s="2045">
        <f t="shared" si="45"/>
        <v>0</v>
      </c>
      <c r="BI32" s="2788">
        <f t="shared" si="26"/>
        <v>0</v>
      </c>
      <c r="BJ32" s="2046"/>
      <c r="BK32" s="3040"/>
      <c r="BL32" s="3049"/>
      <c r="BM32" s="3062">
        <f t="shared" si="46"/>
        <v>0</v>
      </c>
      <c r="BN32" s="3157">
        <f t="shared" si="27"/>
        <v>0</v>
      </c>
      <c r="BO32" s="3044"/>
      <c r="BP32" s="2051"/>
      <c r="BQ32" s="3049"/>
      <c r="BR32" s="3062">
        <f t="shared" si="47"/>
        <v>0</v>
      </c>
      <c r="BS32" s="3157">
        <f t="shared" si="28"/>
        <v>0</v>
      </c>
      <c r="BT32" s="3044"/>
      <c r="BU32" s="2051"/>
      <c r="BV32" s="3049"/>
      <c r="BW32" s="3062">
        <f t="shared" si="48"/>
        <v>0</v>
      </c>
      <c r="BX32" s="3157">
        <f t="shared" si="29"/>
        <v>0</v>
      </c>
      <c r="BY32" s="3044"/>
      <c r="BZ32" s="2051"/>
      <c r="CA32" s="3049"/>
      <c r="CB32" s="3062">
        <f t="shared" si="49"/>
        <v>0</v>
      </c>
      <c r="CC32" s="3157">
        <f t="shared" si="30"/>
        <v>0</v>
      </c>
      <c r="CD32" s="3044"/>
      <c r="CE32" s="2051"/>
      <c r="CF32" s="3049"/>
      <c r="CG32" s="3062">
        <f t="shared" si="50"/>
        <v>0</v>
      </c>
      <c r="CH32" s="3157">
        <f t="shared" si="31"/>
        <v>0</v>
      </c>
      <c r="CI32" s="3044"/>
      <c r="CJ32" s="2051"/>
      <c r="CK32" s="3049"/>
      <c r="CL32" s="3062">
        <f t="shared" si="51"/>
        <v>0</v>
      </c>
      <c r="CM32" s="3157">
        <f t="shared" si="32"/>
        <v>0</v>
      </c>
      <c r="CN32" s="3044"/>
      <c r="CO32" s="2043">
        <f t="shared" si="33"/>
        <v>0</v>
      </c>
      <c r="CP32" s="2043">
        <f t="shared" si="34"/>
        <v>0</v>
      </c>
      <c r="CQ32" s="2045">
        <f t="shared" si="35"/>
        <v>0</v>
      </c>
      <c r="CR32" s="2788">
        <f t="shared" si="21"/>
        <v>0</v>
      </c>
      <c r="CS32" s="2792"/>
      <c r="CT32" s="919"/>
      <c r="CU32" s="1564"/>
      <c r="CV32" s="1564"/>
      <c r="CW32" s="1564"/>
      <c r="CX32" s="1564"/>
      <c r="CY32" s="1564"/>
      <c r="CZ32" s="1564"/>
      <c r="DA32" s="1564"/>
      <c r="DB32" s="1564"/>
      <c r="DC32" s="1564"/>
      <c r="DD32" s="1564"/>
      <c r="DE32" s="1564"/>
      <c r="DF32" s="1564"/>
      <c r="DG32" s="1564"/>
      <c r="DH32" s="1564"/>
      <c r="DI32" s="1564"/>
      <c r="DJ32" s="1564"/>
      <c r="DK32" s="1564"/>
      <c r="DL32" s="1564"/>
      <c r="DM32" s="1564"/>
      <c r="DN32" s="1564"/>
      <c r="DO32" s="1564"/>
      <c r="DP32" s="1564"/>
      <c r="DQ32" s="1564"/>
      <c r="DR32" s="1564"/>
      <c r="DS32" s="1564"/>
      <c r="DT32" s="1564"/>
      <c r="DU32" s="1564"/>
      <c r="DV32" s="1564"/>
      <c r="DW32" s="1564"/>
      <c r="DX32" s="1564"/>
      <c r="DY32" s="1564"/>
      <c r="DZ32" s="1564"/>
      <c r="EA32" s="1564"/>
      <c r="EB32" s="1564"/>
      <c r="EC32" s="1564"/>
      <c r="ED32" s="1564"/>
      <c r="EE32" s="1564"/>
      <c r="EF32" s="1564"/>
      <c r="EG32" s="1564"/>
      <c r="EH32" s="1564"/>
      <c r="EI32" s="1564"/>
      <c r="EJ32" s="1564"/>
      <c r="EK32" s="1564"/>
      <c r="EL32" s="1564"/>
      <c r="EM32" s="1564"/>
      <c r="EN32" s="1564"/>
      <c r="EO32" s="1564"/>
      <c r="EP32" s="1564"/>
      <c r="EQ32" s="1564"/>
      <c r="ER32" s="1564"/>
      <c r="ES32" s="1564"/>
      <c r="ET32" s="1564"/>
      <c r="EU32" s="1564"/>
      <c r="EV32" s="1564"/>
      <c r="EW32" s="1564"/>
      <c r="EX32" s="1564"/>
      <c r="EY32" s="1564"/>
      <c r="EZ32" s="1564"/>
      <c r="FA32" s="1564"/>
      <c r="FB32" s="1564"/>
      <c r="FC32" s="1564"/>
      <c r="FD32" s="1564"/>
      <c r="FE32" s="1564"/>
      <c r="FF32" s="1564"/>
      <c r="FG32" s="1564"/>
      <c r="FH32" s="1564"/>
      <c r="FI32" s="1564"/>
      <c r="FJ32" s="1564"/>
      <c r="FK32" s="1564"/>
      <c r="FL32" s="1564"/>
      <c r="FM32" s="1564"/>
      <c r="FN32" s="1564"/>
      <c r="FO32" s="1564"/>
      <c r="FP32" s="1564"/>
      <c r="FQ32" s="1564"/>
      <c r="FR32" s="1564"/>
      <c r="FS32" s="1564"/>
      <c r="FT32" s="1564"/>
      <c r="FU32" s="1564"/>
      <c r="FV32" s="1564"/>
    </row>
    <row r="33" spans="1:178" s="1396" customFormat="1" ht="25.95" customHeight="1" thickBot="1">
      <c r="A33" s="1572"/>
      <c r="B33" s="3089" t="s">
        <v>75</v>
      </c>
      <c r="C33" s="2887"/>
      <c r="D33" s="2888"/>
      <c r="E33" s="3090">
        <f t="shared" si="22"/>
        <v>0</v>
      </c>
      <c r="F33" s="2889" t="e">
        <f t="shared" si="12"/>
        <v>#DIV/0!</v>
      </c>
      <c r="G33" s="1987">
        <v>76000</v>
      </c>
      <c r="H33" s="2028">
        <v>654210</v>
      </c>
      <c r="I33" s="1983">
        <f t="shared" si="36"/>
        <v>730210</v>
      </c>
      <c r="J33" s="3005">
        <f t="shared" si="23"/>
        <v>1.3337688224099333E-2</v>
      </c>
      <c r="K33" s="2890"/>
      <c r="L33" s="2890"/>
      <c r="M33" s="1987"/>
      <c r="N33" s="2028"/>
      <c r="O33" s="1983">
        <f t="shared" si="37"/>
        <v>0</v>
      </c>
      <c r="P33" s="3005">
        <f t="shared" si="13"/>
        <v>0</v>
      </c>
      <c r="Q33" s="2890"/>
      <c r="R33" s="3054"/>
      <c r="S33" s="3055">
        <v>14910</v>
      </c>
      <c r="T33" s="3056">
        <f t="shared" si="38"/>
        <v>14910</v>
      </c>
      <c r="U33" s="3057">
        <f t="shared" si="14"/>
        <v>2.1438869782861789E-3</v>
      </c>
      <c r="V33" s="3058" t="s">
        <v>1537</v>
      </c>
      <c r="W33" s="2028"/>
      <c r="X33" s="2025"/>
      <c r="Y33" s="2026">
        <f t="shared" si="39"/>
        <v>0</v>
      </c>
      <c r="Z33" s="2889">
        <f t="shared" si="15"/>
        <v>0</v>
      </c>
      <c r="AA33" s="2890"/>
      <c r="AB33" s="3066"/>
      <c r="AC33" s="3067">
        <v>33800</v>
      </c>
      <c r="AD33" s="3068">
        <f t="shared" si="40"/>
        <v>33800</v>
      </c>
      <c r="AE33" s="3057">
        <f t="shared" si="16"/>
        <v>4.8600523049009284E-3</v>
      </c>
      <c r="AF33" s="3069" t="s">
        <v>1538</v>
      </c>
      <c r="AG33" s="3055">
        <v>76000</v>
      </c>
      <c r="AH33" s="3072">
        <f>500000+5500+100000</f>
        <v>605500</v>
      </c>
      <c r="AI33" s="3073">
        <f t="shared" si="41"/>
        <v>681500</v>
      </c>
      <c r="AJ33" s="3057">
        <f t="shared" si="17"/>
        <v>9.7991883011537953E-2</v>
      </c>
      <c r="AK33" s="3058" t="s">
        <v>1539</v>
      </c>
      <c r="AL33" s="2108"/>
      <c r="AM33" s="3072">
        <v>301700</v>
      </c>
      <c r="AN33" s="3073">
        <f t="shared" si="24"/>
        <v>301700</v>
      </c>
      <c r="AO33" s="3057">
        <f t="shared" si="25"/>
        <v>4.705230558742788E-2</v>
      </c>
      <c r="AP33" s="3058" t="s">
        <v>1280</v>
      </c>
      <c r="AQ33" s="3055"/>
      <c r="AR33" s="3072">
        <v>200000</v>
      </c>
      <c r="AS33" s="3073">
        <f t="shared" si="42"/>
        <v>200000</v>
      </c>
      <c r="AT33" s="3057">
        <f t="shared" si="18"/>
        <v>2.875770594615934E-2</v>
      </c>
      <c r="AU33" s="3044" t="s">
        <v>1301</v>
      </c>
      <c r="AV33" s="3055"/>
      <c r="AW33" s="3072">
        <v>200000</v>
      </c>
      <c r="AX33" s="3073">
        <f t="shared" si="43"/>
        <v>200000</v>
      </c>
      <c r="AY33" s="3057">
        <f t="shared" si="19"/>
        <v>6.8977000817897552E-2</v>
      </c>
      <c r="AZ33" s="3044" t="s">
        <v>1301</v>
      </c>
      <c r="BA33" s="2028"/>
      <c r="BB33" s="3072">
        <f>200000+200000+5000</f>
        <v>405000</v>
      </c>
      <c r="BC33" s="3073">
        <f t="shared" si="44"/>
        <v>405000</v>
      </c>
      <c r="BD33" s="3057">
        <f t="shared" si="20"/>
        <v>0.1155239332327323</v>
      </c>
      <c r="BE33" s="3058"/>
      <c r="BF33" s="2028"/>
      <c r="BG33" s="2025"/>
      <c r="BH33" s="2026">
        <f t="shared" si="45"/>
        <v>0</v>
      </c>
      <c r="BI33" s="2889">
        <f t="shared" si="26"/>
        <v>0</v>
      </c>
      <c r="BJ33" s="1675"/>
      <c r="BK33" s="3055"/>
      <c r="BL33" s="3072">
        <f>212000</f>
        <v>212000</v>
      </c>
      <c r="BM33" s="3073">
        <f t="shared" si="46"/>
        <v>212000</v>
      </c>
      <c r="BN33" s="3057">
        <f t="shared" si="27"/>
        <v>3.4940309279296339E-2</v>
      </c>
      <c r="BO33" s="3058" t="s">
        <v>1415</v>
      </c>
      <c r="BP33" s="2028"/>
      <c r="BQ33" s="3072">
        <v>400000</v>
      </c>
      <c r="BR33" s="3073">
        <f t="shared" si="47"/>
        <v>400000</v>
      </c>
      <c r="BS33" s="3057">
        <f t="shared" si="28"/>
        <v>0.16336417705629069</v>
      </c>
      <c r="BT33" s="3058" t="s">
        <v>1477</v>
      </c>
      <c r="BU33" s="2028"/>
      <c r="BV33" s="3072">
        <v>250000</v>
      </c>
      <c r="BW33" s="3073">
        <f t="shared" si="48"/>
        <v>250000</v>
      </c>
      <c r="BX33" s="3057">
        <f t="shared" si="29"/>
        <v>0.46312393111922945</v>
      </c>
      <c r="BY33" s="3058" t="s">
        <v>1477</v>
      </c>
      <c r="BZ33" s="2028"/>
      <c r="CA33" s="3072"/>
      <c r="CB33" s="3073">
        <f t="shared" si="49"/>
        <v>0</v>
      </c>
      <c r="CC33" s="3057">
        <f t="shared" si="30"/>
        <v>0</v>
      </c>
      <c r="CD33" s="3058"/>
      <c r="CE33" s="2028"/>
      <c r="CF33" s="3072"/>
      <c r="CG33" s="3073">
        <f t="shared" si="50"/>
        <v>0</v>
      </c>
      <c r="CH33" s="3057">
        <f t="shared" si="31"/>
        <v>0</v>
      </c>
      <c r="CI33" s="3058"/>
      <c r="CJ33" s="2028"/>
      <c r="CK33" s="3072"/>
      <c r="CL33" s="3073">
        <f t="shared" si="51"/>
        <v>0</v>
      </c>
      <c r="CM33" s="3057">
        <f t="shared" si="32"/>
        <v>0</v>
      </c>
      <c r="CN33" s="3058"/>
      <c r="CO33" s="2836">
        <f t="shared" si="33"/>
        <v>76000</v>
      </c>
      <c r="CP33" s="2892">
        <f t="shared" si="34"/>
        <v>2622910</v>
      </c>
      <c r="CQ33" s="2998">
        <f t="shared" si="35"/>
        <v>2698910</v>
      </c>
      <c r="CR33" s="2889">
        <f t="shared" si="21"/>
        <v>2.8684191887004933E-2</v>
      </c>
      <c r="CS33" s="2893"/>
      <c r="CT33" s="919"/>
      <c r="CU33" s="1564"/>
      <c r="CV33" s="1564"/>
      <c r="CW33" s="1564"/>
      <c r="CX33" s="1564"/>
      <c r="CY33" s="1564"/>
      <c r="CZ33" s="1564"/>
      <c r="DA33" s="1564"/>
      <c r="DB33" s="1564"/>
      <c r="DC33" s="1564"/>
      <c r="DD33" s="1564"/>
      <c r="DE33" s="1564"/>
      <c r="DF33" s="1564"/>
      <c r="DG33" s="1564"/>
      <c r="DH33" s="1564"/>
      <c r="DI33" s="1564"/>
      <c r="DJ33" s="1564"/>
      <c r="DK33" s="1564"/>
      <c r="DL33" s="1564"/>
      <c r="DM33" s="1564"/>
      <c r="DN33" s="1564"/>
      <c r="DO33" s="1564"/>
      <c r="DP33" s="1564"/>
      <c r="DQ33" s="1564"/>
      <c r="DR33" s="1564"/>
      <c r="DS33" s="1564"/>
      <c r="DT33" s="1564"/>
      <c r="DU33" s="1564"/>
      <c r="DV33" s="1564"/>
      <c r="DW33" s="1564"/>
      <c r="DX33" s="1564"/>
      <c r="DY33" s="1564"/>
      <c r="DZ33" s="1564"/>
      <c r="EA33" s="1564"/>
      <c r="EB33" s="1564"/>
      <c r="EC33" s="1564"/>
      <c r="ED33" s="1564"/>
      <c r="EE33" s="1564"/>
      <c r="EF33" s="1564"/>
      <c r="EG33" s="1564"/>
      <c r="EH33" s="1564"/>
      <c r="EI33" s="1564"/>
      <c r="EJ33" s="1564"/>
      <c r="EK33" s="1564"/>
      <c r="EL33" s="1564"/>
      <c r="EM33" s="1564"/>
      <c r="EN33" s="1564"/>
      <c r="EO33" s="1564"/>
      <c r="EP33" s="1564"/>
      <c r="EQ33" s="1564"/>
      <c r="ER33" s="1564"/>
      <c r="ES33" s="1564"/>
      <c r="ET33" s="1564"/>
      <c r="EU33" s="1564"/>
      <c r="EV33" s="1564"/>
      <c r="EW33" s="1564"/>
      <c r="EX33" s="1564"/>
      <c r="EY33" s="1564"/>
      <c r="EZ33" s="1564"/>
      <c r="FA33" s="1564"/>
      <c r="FB33" s="1564"/>
      <c r="FC33" s="1564"/>
      <c r="FD33" s="1564"/>
      <c r="FE33" s="1564"/>
      <c r="FF33" s="1564"/>
      <c r="FG33" s="1564"/>
      <c r="FH33" s="1564"/>
      <c r="FI33" s="1564"/>
      <c r="FJ33" s="1564"/>
      <c r="FK33" s="1564"/>
      <c r="FL33" s="1564"/>
      <c r="FM33" s="1564"/>
      <c r="FN33" s="1564"/>
      <c r="FO33" s="1564"/>
      <c r="FP33" s="1564"/>
      <c r="FQ33" s="1564"/>
      <c r="FR33" s="1564"/>
      <c r="FS33" s="1564"/>
      <c r="FT33" s="1564"/>
      <c r="FU33" s="1564"/>
      <c r="FV33" s="1564"/>
    </row>
    <row r="34" spans="1:178" s="1396" customFormat="1" ht="14.4" customHeight="1">
      <c r="A34" s="1572"/>
      <c r="B34" s="1077"/>
      <c r="C34" s="1617"/>
      <c r="D34" s="1618"/>
      <c r="E34" s="2024"/>
      <c r="F34" s="1620"/>
      <c r="G34" s="1979"/>
      <c r="H34" s="2051"/>
      <c r="I34" s="1985"/>
      <c r="J34" s="1986"/>
      <c r="K34" s="2024"/>
      <c r="L34" s="2024"/>
      <c r="M34" s="1979"/>
      <c r="N34" s="2051"/>
      <c r="O34" s="1985"/>
      <c r="P34" s="1986"/>
      <c r="Q34" s="2024"/>
      <c r="R34" s="2052"/>
      <c r="S34" s="2051"/>
      <c r="T34" s="2024"/>
      <c r="U34" s="1976"/>
      <c r="V34" s="2024"/>
      <c r="W34" s="2051"/>
      <c r="X34" s="2043"/>
      <c r="Y34" s="2024"/>
      <c r="Z34" s="1976"/>
      <c r="AA34" s="2024"/>
      <c r="AB34" s="2056"/>
      <c r="AC34" s="2050"/>
      <c r="AD34" s="2034"/>
      <c r="AE34" s="1991"/>
      <c r="AF34" s="2034"/>
      <c r="AG34" s="2051"/>
      <c r="AH34" s="2043"/>
      <c r="AI34" s="2024"/>
      <c r="AJ34" s="1976"/>
      <c r="AK34" s="2024"/>
      <c r="AL34" s="2051"/>
      <c r="AM34" s="2043"/>
      <c r="AN34" s="2024"/>
      <c r="AO34" s="1976"/>
      <c r="AP34" s="2024"/>
      <c r="AQ34" s="2051"/>
      <c r="AR34" s="2043"/>
      <c r="AS34" s="2024"/>
      <c r="AT34" s="1976"/>
      <c r="AU34" s="2046"/>
      <c r="AV34" s="2051"/>
      <c r="AW34" s="2043"/>
      <c r="AX34" s="2024"/>
      <c r="AY34" s="1976"/>
      <c r="AZ34" s="2024"/>
      <c r="BA34" s="2051"/>
      <c r="BB34" s="2043"/>
      <c r="BC34" s="2024"/>
      <c r="BD34" s="1976"/>
      <c r="BE34" s="2024"/>
      <c r="BF34" s="2051"/>
      <c r="BG34" s="2043"/>
      <c r="BH34" s="2024"/>
      <c r="BI34" s="1976"/>
      <c r="BJ34" s="2024"/>
      <c r="BK34" s="2051"/>
      <c r="BL34" s="2043"/>
      <c r="BM34" s="2024"/>
      <c r="BN34" s="1976"/>
      <c r="BO34" s="2024"/>
      <c r="BP34" s="2051"/>
      <c r="BQ34" s="2043"/>
      <c r="BR34" s="2024"/>
      <c r="BS34" s="1976"/>
      <c r="BT34" s="2024"/>
      <c r="BU34" s="2051"/>
      <c r="BV34" s="2043"/>
      <c r="BW34" s="2024"/>
      <c r="BX34" s="1976"/>
      <c r="BY34" s="2024"/>
      <c r="BZ34" s="2051"/>
      <c r="CA34" s="2043"/>
      <c r="CB34" s="2024"/>
      <c r="CC34" s="1976"/>
      <c r="CD34" s="2024"/>
      <c r="CE34" s="2051"/>
      <c r="CF34" s="2043"/>
      <c r="CG34" s="2024"/>
      <c r="CH34" s="1976"/>
      <c r="CI34" s="2024"/>
      <c r="CJ34" s="2051"/>
      <c r="CK34" s="2043"/>
      <c r="CL34" s="2024"/>
      <c r="CM34" s="1976"/>
      <c r="CN34" s="2024"/>
      <c r="CO34" s="2043"/>
      <c r="CP34" s="2043"/>
      <c r="CQ34" s="2024"/>
      <c r="CR34" s="2024"/>
      <c r="CS34" s="2024"/>
      <c r="CT34" s="919"/>
      <c r="CU34" s="1564"/>
      <c r="CV34" s="1564"/>
      <c r="CW34" s="1564"/>
      <c r="CX34" s="1564"/>
      <c r="CY34" s="1564"/>
      <c r="CZ34" s="1564"/>
      <c r="DA34" s="1564"/>
      <c r="DB34" s="1564"/>
      <c r="DC34" s="1564"/>
      <c r="DD34" s="1564"/>
      <c r="DE34" s="1564"/>
      <c r="DF34" s="1564"/>
      <c r="DG34" s="1564"/>
      <c r="DH34" s="1564"/>
      <c r="DI34" s="1564"/>
      <c r="DJ34" s="1564"/>
      <c r="DK34" s="1564"/>
      <c r="DL34" s="1564"/>
      <c r="DM34" s="1564"/>
      <c r="DN34" s="1564"/>
      <c r="DO34" s="1564"/>
      <c r="DP34" s="1564"/>
      <c r="DQ34" s="1564"/>
      <c r="DR34" s="1564"/>
      <c r="DS34" s="1564"/>
      <c r="DT34" s="1564"/>
      <c r="DU34" s="1564"/>
      <c r="DV34" s="1564"/>
      <c r="DW34" s="1564"/>
      <c r="DX34" s="1564"/>
      <c r="DY34" s="1564"/>
      <c r="DZ34" s="1564"/>
      <c r="EA34" s="1564"/>
      <c r="EB34" s="1564"/>
      <c r="EC34" s="1564"/>
      <c r="ED34" s="1564"/>
      <c r="EE34" s="1564"/>
      <c r="EF34" s="1564"/>
      <c r="EG34" s="1564"/>
      <c r="EH34" s="1564"/>
      <c r="EI34" s="1564"/>
      <c r="EJ34" s="1564"/>
      <c r="EK34" s="1564"/>
      <c r="EL34" s="1564"/>
      <c r="EM34" s="1564"/>
      <c r="EN34" s="1564"/>
      <c r="EO34" s="1564"/>
      <c r="EP34" s="1564"/>
      <c r="EQ34" s="1564"/>
      <c r="ER34" s="1564"/>
      <c r="ES34" s="1564"/>
      <c r="ET34" s="1564"/>
      <c r="EU34" s="1564"/>
      <c r="EV34" s="1564"/>
      <c r="EW34" s="1564"/>
      <c r="EX34" s="1564"/>
      <c r="EY34" s="1564"/>
      <c r="EZ34" s="1564"/>
      <c r="FA34" s="1564"/>
      <c r="FB34" s="1564"/>
      <c r="FC34" s="1564"/>
      <c r="FD34" s="1564"/>
      <c r="FE34" s="1564"/>
      <c r="FF34" s="1564"/>
      <c r="FG34" s="1564"/>
      <c r="FH34" s="1564"/>
      <c r="FI34" s="1564"/>
      <c r="FJ34" s="1564"/>
      <c r="FK34" s="1564"/>
      <c r="FL34" s="1564"/>
      <c r="FM34" s="1564"/>
      <c r="FN34" s="1564"/>
      <c r="FO34" s="1564"/>
      <c r="FP34" s="1564"/>
      <c r="FQ34" s="1564"/>
      <c r="FR34" s="1564"/>
      <c r="FS34" s="1564"/>
      <c r="FT34" s="1564"/>
      <c r="FU34" s="1564"/>
      <c r="FV34" s="1564"/>
    </row>
    <row r="35" spans="1:178" s="2466" customFormat="1" ht="14.4" customHeight="1">
      <c r="A35" s="1572"/>
      <c r="B35" s="3091" t="s">
        <v>80</v>
      </c>
      <c r="C35" s="2797">
        <f>C36</f>
        <v>0</v>
      </c>
      <c r="D35" s="2797">
        <f>D36</f>
        <v>0</v>
      </c>
      <c r="E35" s="2798">
        <f>E36</f>
        <v>0</v>
      </c>
      <c r="F35" s="2799" t="e">
        <f>E35/$E$89</f>
        <v>#DIV/0!</v>
      </c>
      <c r="G35" s="2797">
        <f t="shared" ref="G35:I35" si="52">G36</f>
        <v>55274.12</v>
      </c>
      <c r="H35" s="2797">
        <f t="shared" si="52"/>
        <v>0</v>
      </c>
      <c r="I35" s="2797">
        <f t="shared" si="52"/>
        <v>55274.12</v>
      </c>
      <c r="J35" s="2797">
        <f t="shared" si="23"/>
        <v>1.009612275128324E-3</v>
      </c>
      <c r="K35" s="2797"/>
      <c r="L35" s="2797"/>
      <c r="M35" s="2797">
        <f>M36</f>
        <v>10700.16</v>
      </c>
      <c r="N35" s="2797">
        <f>N36</f>
        <v>0</v>
      </c>
      <c r="O35" s="2797">
        <f t="shared" ref="O35" si="53">O36</f>
        <v>10700.16</v>
      </c>
      <c r="P35" s="2797">
        <f>O35/$AS$89</f>
        <v>1.5385602742842815E-3</v>
      </c>
      <c r="Q35" s="2797"/>
      <c r="R35" s="2797">
        <v>26028</v>
      </c>
      <c r="S35" s="2798">
        <v>0</v>
      </c>
      <c r="T35" s="2797">
        <f t="shared" ref="T35" si="54">T36</f>
        <v>23373.56</v>
      </c>
      <c r="U35" s="2797">
        <f>T35/$AS$89</f>
        <v>3.3608498269745608E-3</v>
      </c>
      <c r="V35" s="2797"/>
      <c r="W35" s="2797">
        <v>0</v>
      </c>
      <c r="X35" s="2797">
        <v>0</v>
      </c>
      <c r="Y35" s="2797">
        <f t="shared" ref="Y35" si="55">Y36</f>
        <v>0</v>
      </c>
      <c r="Z35" s="2797">
        <f>Y35/$AS$89</f>
        <v>0</v>
      </c>
      <c r="AA35" s="2797">
        <v>0</v>
      </c>
      <c r="AB35" s="2797">
        <f>AB36</f>
        <v>21200.399999999998</v>
      </c>
      <c r="AC35" s="2797">
        <f>AC36</f>
        <v>0</v>
      </c>
      <c r="AD35" s="2797">
        <f t="shared" ref="AD35" si="56">AD36</f>
        <v>21200.399999999998</v>
      </c>
      <c r="AE35" s="2797">
        <f>AD35/$AS$89</f>
        <v>3.048374345704782E-3</v>
      </c>
      <c r="AF35" s="3006"/>
      <c r="AG35" s="2797">
        <f t="shared" ref="AG35:CR35" si="57">AG36</f>
        <v>0</v>
      </c>
      <c r="AH35" s="2797">
        <f t="shared" si="57"/>
        <v>0</v>
      </c>
      <c r="AI35" s="2797">
        <f t="shared" si="57"/>
        <v>0</v>
      </c>
      <c r="AJ35" s="2797">
        <f>AI35/$AS$89</f>
        <v>0</v>
      </c>
      <c r="AK35" s="2797">
        <f t="shared" si="57"/>
        <v>0</v>
      </c>
      <c r="AL35" s="2797">
        <f t="shared" si="57"/>
        <v>0</v>
      </c>
      <c r="AM35" s="2797">
        <f t="shared" si="57"/>
        <v>0</v>
      </c>
      <c r="AN35" s="2797">
        <f t="shared" si="57"/>
        <v>0</v>
      </c>
      <c r="AO35" s="2797">
        <f t="shared" si="57"/>
        <v>0</v>
      </c>
      <c r="AP35" s="2797">
        <f t="shared" si="57"/>
        <v>0</v>
      </c>
      <c r="AQ35" s="2797">
        <f t="shared" si="57"/>
        <v>0</v>
      </c>
      <c r="AR35" s="2797">
        <f t="shared" si="57"/>
        <v>0</v>
      </c>
      <c r="AS35" s="2797">
        <f t="shared" si="57"/>
        <v>0</v>
      </c>
      <c r="AT35" s="2797">
        <f>AS35/$AS$89</f>
        <v>0</v>
      </c>
      <c r="AU35" s="2797"/>
      <c r="AV35" s="2797">
        <f t="shared" si="57"/>
        <v>0</v>
      </c>
      <c r="AW35" s="2797">
        <f t="shared" si="57"/>
        <v>0</v>
      </c>
      <c r="AX35" s="2797">
        <f t="shared" si="57"/>
        <v>0</v>
      </c>
      <c r="AY35" s="2797">
        <f t="shared" si="57"/>
        <v>0</v>
      </c>
      <c r="AZ35" s="2797">
        <f t="shared" si="57"/>
        <v>0</v>
      </c>
      <c r="BA35" s="2797">
        <f t="shared" si="57"/>
        <v>0</v>
      </c>
      <c r="BB35" s="2797">
        <f t="shared" si="57"/>
        <v>0</v>
      </c>
      <c r="BC35" s="2797">
        <f t="shared" si="57"/>
        <v>0</v>
      </c>
      <c r="BD35" s="2797">
        <f t="shared" si="57"/>
        <v>0</v>
      </c>
      <c r="BE35" s="2797">
        <f t="shared" si="57"/>
        <v>0</v>
      </c>
      <c r="BF35" s="2797">
        <f t="shared" si="57"/>
        <v>0</v>
      </c>
      <c r="BG35" s="2797">
        <f t="shared" si="57"/>
        <v>0</v>
      </c>
      <c r="BH35" s="2797">
        <f t="shared" si="57"/>
        <v>0</v>
      </c>
      <c r="BI35" s="2797">
        <f t="shared" si="26"/>
        <v>0</v>
      </c>
      <c r="BJ35" s="2797">
        <f t="shared" si="57"/>
        <v>0</v>
      </c>
      <c r="BK35" s="2797"/>
      <c r="BL35" s="2797"/>
      <c r="BM35" s="2798">
        <f>BM36</f>
        <v>0</v>
      </c>
      <c r="BN35" s="2798">
        <f t="shared" ref="BN35:BN36" si="58">BM35/BM$89</f>
        <v>0</v>
      </c>
      <c r="BO35" s="2800"/>
      <c r="BP35" s="2797"/>
      <c r="BQ35" s="2797"/>
      <c r="BR35" s="2798">
        <f>BR36</f>
        <v>0</v>
      </c>
      <c r="BS35" s="2798">
        <f t="shared" ref="BS35:BS36" si="59">BR35/BR$89</f>
        <v>0</v>
      </c>
      <c r="BT35" s="2800"/>
      <c r="BU35" s="2797"/>
      <c r="BV35" s="2797"/>
      <c r="BW35" s="2798">
        <f>BW36</f>
        <v>0</v>
      </c>
      <c r="BX35" s="2798">
        <f t="shared" ref="BX35:BX36" si="60">BW35/BW$89</f>
        <v>0</v>
      </c>
      <c r="BY35" s="2800"/>
      <c r="BZ35" s="2797"/>
      <c r="CA35" s="2797"/>
      <c r="CB35" s="2798">
        <f>CB36</f>
        <v>0</v>
      </c>
      <c r="CC35" s="2798">
        <f t="shared" ref="CC35:CC36" si="61">CB35/CB$89</f>
        <v>0</v>
      </c>
      <c r="CD35" s="2800"/>
      <c r="CE35" s="2797"/>
      <c r="CF35" s="2797"/>
      <c r="CG35" s="2798">
        <f>CG36</f>
        <v>0</v>
      </c>
      <c r="CH35" s="2798">
        <f t="shared" ref="CH35:CH36" si="62">CG35/CG$89</f>
        <v>0</v>
      </c>
      <c r="CI35" s="2800"/>
      <c r="CJ35" s="2797"/>
      <c r="CK35" s="2797"/>
      <c r="CL35" s="2798">
        <f>CL36</f>
        <v>0</v>
      </c>
      <c r="CM35" s="2798">
        <f t="shared" ref="CM35:CM36" si="63">CL35/CL$89</f>
        <v>0</v>
      </c>
      <c r="CN35" s="2800"/>
      <c r="CO35" s="2797">
        <f t="shared" si="57"/>
        <v>55274.119999999995</v>
      </c>
      <c r="CP35" s="2797">
        <f t="shared" si="57"/>
        <v>0</v>
      </c>
      <c r="CQ35" s="2797">
        <f t="shared" si="57"/>
        <v>55274.119999999995</v>
      </c>
      <c r="CR35" s="2797">
        <f t="shared" si="57"/>
        <v>5.8745696020442962E-4</v>
      </c>
      <c r="CS35" s="2798"/>
      <c r="CT35" s="919"/>
      <c r="CU35" s="1564"/>
      <c r="CV35" s="1564"/>
      <c r="CW35" s="1564"/>
      <c r="CX35" s="1564"/>
      <c r="CY35" s="1564"/>
      <c r="CZ35" s="1564"/>
      <c r="DA35" s="1564"/>
      <c r="DB35" s="1564"/>
      <c r="DC35" s="1564"/>
      <c r="DD35" s="1564"/>
      <c r="DE35" s="1564"/>
      <c r="DF35" s="1564"/>
      <c r="DG35" s="1564"/>
      <c r="DH35" s="1564"/>
      <c r="DI35" s="1564"/>
      <c r="DJ35" s="1564"/>
      <c r="DK35" s="1564"/>
      <c r="DL35" s="1564"/>
      <c r="DM35" s="1564"/>
      <c r="DN35" s="1564"/>
      <c r="DO35" s="1564"/>
      <c r="DP35" s="1564"/>
      <c r="DQ35" s="1564"/>
      <c r="DR35" s="1564"/>
      <c r="DS35" s="1564"/>
      <c r="DT35" s="1564"/>
      <c r="DU35" s="1564"/>
      <c r="DV35" s="1564"/>
      <c r="DW35" s="1564"/>
      <c r="DX35" s="1564"/>
      <c r="DY35" s="1564"/>
      <c r="DZ35" s="1564"/>
      <c r="EA35" s="1564"/>
      <c r="EB35" s="1564"/>
      <c r="EC35" s="1564"/>
      <c r="ED35" s="1564"/>
      <c r="EE35" s="1564"/>
      <c r="EF35" s="1564"/>
      <c r="EG35" s="1564"/>
      <c r="EH35" s="1564"/>
      <c r="EI35" s="1564"/>
      <c r="EJ35" s="1564"/>
      <c r="EK35" s="1564"/>
      <c r="EL35" s="1564"/>
      <c r="EM35" s="1564"/>
      <c r="EN35" s="1564"/>
      <c r="EO35" s="1564"/>
      <c r="EP35" s="1564"/>
      <c r="EQ35" s="1564"/>
      <c r="ER35" s="1564"/>
      <c r="ES35" s="1564"/>
      <c r="ET35" s="1564"/>
      <c r="EU35" s="1564"/>
      <c r="EV35" s="1564"/>
      <c r="EW35" s="1564"/>
      <c r="EX35" s="1564"/>
      <c r="EY35" s="1564"/>
      <c r="EZ35" s="1564"/>
      <c r="FA35" s="1564"/>
      <c r="FB35" s="1564"/>
      <c r="FC35" s="1564"/>
      <c r="FD35" s="1564"/>
      <c r="FE35" s="1564"/>
      <c r="FF35" s="1564"/>
      <c r="FG35" s="1564"/>
      <c r="FH35" s="1564"/>
      <c r="FI35" s="1564"/>
      <c r="FJ35" s="1564"/>
      <c r="FK35" s="1564"/>
      <c r="FL35" s="1564"/>
      <c r="FM35" s="1564"/>
      <c r="FN35" s="1564"/>
      <c r="FO35" s="1564"/>
      <c r="FP35" s="1564"/>
      <c r="FQ35" s="1564"/>
      <c r="FR35" s="1564"/>
      <c r="FS35" s="1564"/>
      <c r="FT35" s="1564"/>
      <c r="FU35" s="1564"/>
      <c r="FV35" s="1564"/>
    </row>
    <row r="36" spans="1:178" s="1564" customFormat="1" ht="42.6" customHeight="1" outlineLevel="1">
      <c r="A36" s="1572"/>
      <c r="B36" s="3092" t="s">
        <v>81</v>
      </c>
      <c r="C36" s="2801"/>
      <c r="D36" s="2802"/>
      <c r="E36" s="3081">
        <f>C36+D36</f>
        <v>0</v>
      </c>
      <c r="F36" s="2810" t="e">
        <f>E36/$E$89</f>
        <v>#DIV/0!</v>
      </c>
      <c r="G36" s="1979">
        <v>55274.12</v>
      </c>
      <c r="H36" s="2051">
        <v>0</v>
      </c>
      <c r="I36" s="3082">
        <f>G36+H36*1</f>
        <v>55274.12</v>
      </c>
      <c r="J36" s="3003">
        <f t="shared" si="23"/>
        <v>1.009612275128324E-3</v>
      </c>
      <c r="K36" s="2046"/>
      <c r="L36" s="2046"/>
      <c r="M36" s="3039">
        <v>10700.16</v>
      </c>
      <c r="N36" s="3040"/>
      <c r="O36" s="3093">
        <f>M36+N36*1</f>
        <v>10700.16</v>
      </c>
      <c r="P36" s="3042">
        <f>O36/$AS$89</f>
        <v>1.5385602742842815E-3</v>
      </c>
      <c r="Q36" s="3044" t="s">
        <v>1540</v>
      </c>
      <c r="R36" s="3052">
        <f>7800+7400+2200+2900+3073.56</f>
        <v>23373.56</v>
      </c>
      <c r="S36" s="3040"/>
      <c r="T36" s="3083">
        <f>R36+S36*1</f>
        <v>23373.56</v>
      </c>
      <c r="U36" s="3157">
        <f>T36/$AS$89</f>
        <v>3.3608498269745608E-3</v>
      </c>
      <c r="V36" s="3044" t="s">
        <v>1591</v>
      </c>
      <c r="W36" s="2051"/>
      <c r="X36" s="2043"/>
      <c r="Y36" s="3081">
        <f>W36+X36*1</f>
        <v>0</v>
      </c>
      <c r="Z36" s="2788">
        <f>Y36/$AS$89</f>
        <v>0</v>
      </c>
      <c r="AA36" s="2046"/>
      <c r="AB36" s="3040">
        <v>21200.399999999998</v>
      </c>
      <c r="AC36" s="3049"/>
      <c r="AD36" s="3083">
        <f>AB36+AC36*1</f>
        <v>21200.399999999998</v>
      </c>
      <c r="AE36" s="3157">
        <f>AD36/$AS$89</f>
        <v>3.048374345704782E-3</v>
      </c>
      <c r="AF36" s="3044" t="s">
        <v>1541</v>
      </c>
      <c r="AG36" s="2051"/>
      <c r="AH36" s="2043"/>
      <c r="AI36" s="3081">
        <f>AG36+AH36*1</f>
        <v>0</v>
      </c>
      <c r="AJ36" s="2788">
        <f>AI36/$AS$89</f>
        <v>0</v>
      </c>
      <c r="AK36" s="2046"/>
      <c r="AL36" s="2051"/>
      <c r="AM36" s="2043"/>
      <c r="AN36" s="3081">
        <f>AL36+AM36*1</f>
        <v>0</v>
      </c>
      <c r="AO36" s="2788"/>
      <c r="AP36" s="2046"/>
      <c r="AQ36" s="2051">
        <f>(4500+4761.67+1696.75)*1.2*0</f>
        <v>0</v>
      </c>
      <c r="AR36" s="2043"/>
      <c r="AS36" s="3081">
        <f>AQ36+AR36*1</f>
        <v>0</v>
      </c>
      <c r="AT36" s="2788">
        <f>AS36/$AS$89</f>
        <v>0</v>
      </c>
      <c r="AU36" s="2046" t="s">
        <v>1370</v>
      </c>
      <c r="AV36" s="2051"/>
      <c r="AW36" s="2043"/>
      <c r="AX36" s="3081">
        <f>AV36+AW36*1</f>
        <v>0</v>
      </c>
      <c r="AY36" s="2788">
        <f>AX36/$AX$89</f>
        <v>0</v>
      </c>
      <c r="AZ36" s="2046"/>
      <c r="BA36" s="2051"/>
      <c r="BB36" s="2043"/>
      <c r="BC36" s="3081">
        <f>BA36+BB36*1</f>
        <v>0</v>
      </c>
      <c r="BD36" s="2788">
        <f>BC36/$AX$89</f>
        <v>0</v>
      </c>
      <c r="BE36" s="2046"/>
      <c r="BF36" s="2051"/>
      <c r="BG36" s="2043"/>
      <c r="BH36" s="3081">
        <f>BF36+BG36*1</f>
        <v>0</v>
      </c>
      <c r="BI36" s="2788">
        <f t="shared" si="26"/>
        <v>0</v>
      </c>
      <c r="BJ36" s="2046"/>
      <c r="BK36" s="2051"/>
      <c r="BL36" s="2043"/>
      <c r="BM36" s="3081">
        <f>BK36+BL36*1</f>
        <v>0</v>
      </c>
      <c r="BN36" s="2788">
        <f t="shared" si="58"/>
        <v>0</v>
      </c>
      <c r="BO36" s="2046"/>
      <c r="BP36" s="2051"/>
      <c r="BQ36" s="2043"/>
      <c r="BR36" s="3081">
        <f>BP36+BQ36*1</f>
        <v>0</v>
      </c>
      <c r="BS36" s="2788">
        <f t="shared" si="59"/>
        <v>0</v>
      </c>
      <c r="BT36" s="2046"/>
      <c r="BU36" s="2051"/>
      <c r="BV36" s="2043"/>
      <c r="BW36" s="3081">
        <f>BU36+BV36*1</f>
        <v>0</v>
      </c>
      <c r="BX36" s="2788">
        <f t="shared" si="60"/>
        <v>0</v>
      </c>
      <c r="BY36" s="2046"/>
      <c r="BZ36" s="2051"/>
      <c r="CA36" s="2043"/>
      <c r="CB36" s="3081">
        <f>BZ36+CA36*1</f>
        <v>0</v>
      </c>
      <c r="CC36" s="2788">
        <f t="shared" si="61"/>
        <v>0</v>
      </c>
      <c r="CD36" s="2046"/>
      <c r="CE36" s="2051"/>
      <c r="CF36" s="2043"/>
      <c r="CG36" s="3081">
        <f>CE36+CF36*1</f>
        <v>0</v>
      </c>
      <c r="CH36" s="2788">
        <f t="shared" si="62"/>
        <v>0</v>
      </c>
      <c r="CI36" s="2046"/>
      <c r="CJ36" s="2051"/>
      <c r="CK36" s="2043"/>
      <c r="CL36" s="3081">
        <f>CJ36+CK36*1</f>
        <v>0</v>
      </c>
      <c r="CM36" s="2788">
        <f t="shared" si="63"/>
        <v>0</v>
      </c>
      <c r="CN36" s="2046"/>
      <c r="CO36" s="2043">
        <f>M36+R36+W36+AB36+AG36+AL36+AQ36+AV36+BA36+BF36+BK36+BP36+BU36+BZ36+CE36+CJ36</f>
        <v>55274.119999999995</v>
      </c>
      <c r="CP36" s="2043">
        <f>N36+S36+X36+AC36+AH36+AM36+AR36+AW36+BB36+BG36+BL36+BQ36+BV36+CA36+CF36+CK36</f>
        <v>0</v>
      </c>
      <c r="CQ36" s="3081">
        <f>CO36+CP36*1</f>
        <v>55274.119999999995</v>
      </c>
      <c r="CR36" s="2788">
        <f>CQ36/$CQ$89</f>
        <v>5.8745696020442962E-4</v>
      </c>
      <c r="CS36" s="2803"/>
      <c r="CT36" s="919"/>
    </row>
    <row r="37" spans="1:178" s="1396" customFormat="1" ht="14.4" customHeight="1" thickBot="1">
      <c r="A37" s="1398"/>
      <c r="B37" s="2837"/>
      <c r="C37" s="2906"/>
      <c r="D37" s="2839"/>
      <c r="E37" s="2908"/>
      <c r="F37" s="2909"/>
      <c r="G37" s="1987"/>
      <c r="H37" s="2028"/>
      <c r="I37" s="3007"/>
      <c r="J37" s="3005"/>
      <c r="K37" s="2910"/>
      <c r="L37" s="2910"/>
      <c r="M37" s="1987"/>
      <c r="N37" s="2028"/>
      <c r="O37" s="3007"/>
      <c r="P37" s="3005"/>
      <c r="Q37" s="2910"/>
      <c r="R37" s="1740"/>
      <c r="S37" s="2028"/>
      <c r="T37" s="2908"/>
      <c r="U37" s="2889"/>
      <c r="V37" s="2910"/>
      <c r="W37" s="2028"/>
      <c r="X37" s="2025"/>
      <c r="Y37" s="2908"/>
      <c r="Z37" s="2889"/>
      <c r="AA37" s="2910"/>
      <c r="AB37" s="1778"/>
      <c r="AC37" s="2032"/>
      <c r="AD37" s="3008"/>
      <c r="AE37" s="3009"/>
      <c r="AF37" s="3008"/>
      <c r="AG37" s="2028"/>
      <c r="AH37" s="2025"/>
      <c r="AI37" s="2908"/>
      <c r="AJ37" s="2889"/>
      <c r="AK37" s="2910"/>
      <c r="AL37" s="2028"/>
      <c r="AM37" s="2025"/>
      <c r="AN37" s="2908"/>
      <c r="AO37" s="2889"/>
      <c r="AP37" s="2910"/>
      <c r="AQ37" s="2028"/>
      <c r="AR37" s="2025"/>
      <c r="AS37" s="2908"/>
      <c r="AT37" s="2889"/>
      <c r="AU37" s="2910"/>
      <c r="AV37" s="2028"/>
      <c r="AW37" s="2025"/>
      <c r="AX37" s="2908"/>
      <c r="AY37" s="2889"/>
      <c r="AZ37" s="2910"/>
      <c r="BA37" s="2028"/>
      <c r="BB37" s="2025"/>
      <c r="BC37" s="2908"/>
      <c r="BD37" s="2889"/>
      <c r="BE37" s="2910"/>
      <c r="BF37" s="2028"/>
      <c r="BG37" s="2025"/>
      <c r="BH37" s="2908"/>
      <c r="BI37" s="2889"/>
      <c r="BJ37" s="2910"/>
      <c r="BK37" s="2028"/>
      <c r="BL37" s="2025"/>
      <c r="BM37" s="2908"/>
      <c r="BN37" s="2889">
        <f t="shared" ref="BN37" si="64">BM37/$BM$89</f>
        <v>0</v>
      </c>
      <c r="BO37" s="2910"/>
      <c r="BP37" s="2028"/>
      <c r="BQ37" s="2025"/>
      <c r="BR37" s="2908"/>
      <c r="BS37" s="2889">
        <f t="shared" ref="BS37" si="65">BR37/$BM$89</f>
        <v>0</v>
      </c>
      <c r="BT37" s="2910"/>
      <c r="BU37" s="2028"/>
      <c r="BV37" s="2025"/>
      <c r="BW37" s="2908"/>
      <c r="BX37" s="2889">
        <f t="shared" ref="BX37" si="66">BW37/$BM$89</f>
        <v>0</v>
      </c>
      <c r="BY37" s="2910"/>
      <c r="BZ37" s="2028"/>
      <c r="CA37" s="2025"/>
      <c r="CB37" s="2908"/>
      <c r="CC37" s="2889">
        <f t="shared" ref="CC37" si="67">CB37/$BM$89</f>
        <v>0</v>
      </c>
      <c r="CD37" s="2910"/>
      <c r="CE37" s="2028"/>
      <c r="CF37" s="2025"/>
      <c r="CG37" s="2908"/>
      <c r="CH37" s="2889">
        <f t="shared" ref="CH37" si="68">CG37/$BM$89</f>
        <v>0</v>
      </c>
      <c r="CI37" s="2910"/>
      <c r="CJ37" s="2028"/>
      <c r="CK37" s="2025"/>
      <c r="CL37" s="2908"/>
      <c r="CM37" s="2889">
        <f t="shared" ref="CM37" si="69">CL37/$BM$89</f>
        <v>0</v>
      </c>
      <c r="CN37" s="2910"/>
      <c r="CO37" s="2025"/>
      <c r="CP37" s="2025"/>
      <c r="CQ37" s="2908"/>
      <c r="CR37" s="2908"/>
      <c r="CS37" s="2908"/>
      <c r="CT37" s="919"/>
      <c r="CU37" s="1564"/>
      <c r="CV37" s="1564"/>
      <c r="CW37" s="1564"/>
      <c r="CX37" s="1564"/>
      <c r="CY37" s="1564"/>
      <c r="CZ37" s="1564"/>
      <c r="DA37" s="1564"/>
      <c r="DB37" s="1564"/>
      <c r="DC37" s="1564"/>
      <c r="DD37" s="1564"/>
      <c r="DE37" s="1564"/>
      <c r="DF37" s="1564"/>
      <c r="DG37" s="1564"/>
      <c r="DH37" s="1564"/>
      <c r="DI37" s="1564"/>
      <c r="DJ37" s="1564"/>
      <c r="DK37" s="1564"/>
      <c r="DL37" s="1564"/>
      <c r="DM37" s="1564"/>
      <c r="DN37" s="1564"/>
      <c r="DO37" s="1564"/>
      <c r="DP37" s="1564"/>
      <c r="DQ37" s="1564"/>
      <c r="DR37" s="1564"/>
      <c r="DS37" s="1564"/>
      <c r="DT37" s="1564"/>
      <c r="DU37" s="1564"/>
      <c r="DV37" s="1564"/>
      <c r="DW37" s="1564"/>
      <c r="DX37" s="1564"/>
      <c r="DY37" s="1564"/>
      <c r="DZ37" s="1564"/>
      <c r="EA37" s="1564"/>
      <c r="EB37" s="1564"/>
      <c r="EC37" s="1564"/>
      <c r="ED37" s="1564"/>
      <c r="EE37" s="1564"/>
      <c r="EF37" s="1564"/>
      <c r="EG37" s="1564"/>
      <c r="EH37" s="1564"/>
      <c r="EI37" s="1564"/>
      <c r="EJ37" s="1564"/>
      <c r="EK37" s="1564"/>
      <c r="EL37" s="1564"/>
      <c r="EM37" s="1564"/>
      <c r="EN37" s="1564"/>
      <c r="EO37" s="1564"/>
      <c r="EP37" s="1564"/>
      <c r="EQ37" s="1564"/>
      <c r="ER37" s="1564"/>
      <c r="ES37" s="1564"/>
      <c r="ET37" s="1564"/>
      <c r="EU37" s="1564"/>
      <c r="EV37" s="1564"/>
      <c r="EW37" s="1564"/>
      <c r="EX37" s="1564"/>
      <c r="EY37" s="1564"/>
      <c r="EZ37" s="1564"/>
      <c r="FA37" s="1564"/>
      <c r="FB37" s="1564"/>
      <c r="FC37" s="1564"/>
      <c r="FD37" s="1564"/>
      <c r="FE37" s="1564"/>
      <c r="FF37" s="1564"/>
      <c r="FG37" s="1564"/>
      <c r="FH37" s="1564"/>
      <c r="FI37" s="1564"/>
      <c r="FJ37" s="1564"/>
      <c r="FK37" s="1564"/>
      <c r="FL37" s="1564"/>
      <c r="FM37" s="1564"/>
      <c r="FN37" s="1564"/>
      <c r="FO37" s="1564"/>
      <c r="FP37" s="1564"/>
      <c r="FQ37" s="1564"/>
      <c r="FR37" s="1564"/>
      <c r="FS37" s="1564"/>
      <c r="FT37" s="1564"/>
      <c r="FU37" s="1564"/>
      <c r="FV37" s="1564"/>
    </row>
    <row r="38" spans="1:178" ht="14.4" customHeight="1" thickBot="1">
      <c r="A38" s="1426"/>
      <c r="B38" s="971" t="s">
        <v>46</v>
      </c>
      <c r="C38" s="2002">
        <f>(C5)-(C8)</f>
        <v>116246095.55673152</v>
      </c>
      <c r="D38" s="2002">
        <f>(D5)-(D8)</f>
        <v>0</v>
      </c>
      <c r="E38" s="2002">
        <f>(E5)-(E8)</f>
        <v>116246095.55673152</v>
      </c>
      <c r="F38" s="1530"/>
      <c r="G38" s="1988">
        <f>(G5)-(G8)</f>
        <v>22908333.883999996</v>
      </c>
      <c r="H38" s="2002">
        <f>(H5)-(H8)</f>
        <v>-4679259.05</v>
      </c>
      <c r="I38" s="1988">
        <f>(I5)-(I8)</f>
        <v>18229074.833999984</v>
      </c>
      <c r="J38" s="2002"/>
      <c r="K38" s="2021"/>
      <c r="L38" s="2021"/>
      <c r="M38" s="1988">
        <v>-862459.10200000007</v>
      </c>
      <c r="N38" s="2002">
        <v>-279053.75</v>
      </c>
      <c r="O38" s="1988">
        <f>(O5)-(O8)</f>
        <v>-1129831.24</v>
      </c>
      <c r="P38" s="2002"/>
      <c r="Q38" s="2021"/>
      <c r="R38" s="2002">
        <v>3882820.1979999999</v>
      </c>
      <c r="S38" s="2002">
        <v>-676989.8</v>
      </c>
      <c r="T38" s="2002">
        <f>(T5)-(T8)</f>
        <v>3193384.486</v>
      </c>
      <c r="U38" s="2002"/>
      <c r="V38" s="2021"/>
      <c r="W38" s="2002">
        <v>4761338.62</v>
      </c>
      <c r="X38" s="2002">
        <v>-1009669.83</v>
      </c>
      <c r="Y38" s="2002">
        <f>(Y5)-(Y8)</f>
        <v>3409970.8020000011</v>
      </c>
      <c r="Z38" s="2002"/>
      <c r="AA38" s="2021"/>
      <c r="AB38" s="2035">
        <v>8892366.3939999975</v>
      </c>
      <c r="AC38" s="2035">
        <v>-1157723.7999999998</v>
      </c>
      <c r="AD38" s="2035">
        <f>(AD5)-(AD8)</f>
        <v>3089086.4520000014</v>
      </c>
      <c r="AE38" s="2035"/>
      <c r="AF38" s="2035"/>
      <c r="AG38" s="2002">
        <f>(AG5)-(AG8)</f>
        <v>10596495.758000001</v>
      </c>
      <c r="AH38" s="2002">
        <f>(AH5)-(AH8)</f>
        <v>-1608506.8099999998</v>
      </c>
      <c r="AI38" s="2002">
        <f>(AI5)-(AI8)</f>
        <v>8987988.9480000027</v>
      </c>
      <c r="AJ38" s="2002"/>
      <c r="AK38" s="2021"/>
      <c r="AL38" s="2002">
        <f>(AL5)-(AL8)</f>
        <v>4999878.3860000009</v>
      </c>
      <c r="AM38" s="2002">
        <f>(AM5)-(AM8)</f>
        <v>-1114643.3899999999</v>
      </c>
      <c r="AN38" s="2002">
        <f>(AN5)-(AN8)</f>
        <v>3885234.9960000003</v>
      </c>
      <c r="AO38" s="2002"/>
      <c r="AP38" s="2021"/>
      <c r="AQ38" s="2002">
        <f>(AQ5)-(AQ8)</f>
        <v>3055652.2179999985</v>
      </c>
      <c r="AR38" s="2002">
        <f>(AR5)-(AR8)</f>
        <v>-779534.22</v>
      </c>
      <c r="AS38" s="2002">
        <f>(AS5)-(AS8)</f>
        <v>2276117.9979999978</v>
      </c>
      <c r="AT38" s="2002"/>
      <c r="AU38" s="2021"/>
      <c r="AV38" s="2002">
        <f>(AV5)-(AV8)</f>
        <v>491197.86399999959</v>
      </c>
      <c r="AW38" s="2002">
        <f>(AW5)-(AW8)</f>
        <v>-630805.27999999991</v>
      </c>
      <c r="AX38" s="2002">
        <f>(AX5)-(AX8)</f>
        <v>-139607.4160000002</v>
      </c>
      <c r="AY38" s="2002"/>
      <c r="AZ38" s="2021"/>
      <c r="BA38" s="2002">
        <f>(BA5)-(BA8)</f>
        <v>983705.20800000103</v>
      </c>
      <c r="BB38" s="2002">
        <f>(BB5)-(BB8)</f>
        <v>-908728.84000000008</v>
      </c>
      <c r="BC38" s="2002">
        <f>(BC5)-(BC8)</f>
        <v>74976.368000001181</v>
      </c>
      <c r="BD38" s="2002"/>
      <c r="BE38" s="2021"/>
      <c r="BF38" s="2002">
        <f>(BF5)-(BF8)</f>
        <v>4309965.51</v>
      </c>
      <c r="BG38" s="2002">
        <f>(BG5)-(BG8)</f>
        <v>-624531.01</v>
      </c>
      <c r="BH38" s="2002">
        <f>(BH5)-(BH8)</f>
        <v>3685434.5</v>
      </c>
      <c r="BI38" s="2002"/>
      <c r="BJ38" s="2021"/>
      <c r="BK38" s="2002">
        <f>(BK5)-(BK8)</f>
        <v>5886442.6799999978</v>
      </c>
      <c r="BL38" s="2002">
        <f>(BL5)-(BL8)</f>
        <v>-1181798.69</v>
      </c>
      <c r="BM38" s="2002">
        <f>(BM5)-(BM8)</f>
        <v>4704643.9899999984</v>
      </c>
      <c r="BN38" s="2002"/>
      <c r="BO38" s="2021"/>
      <c r="BP38" s="2002">
        <f>(BP5)-(BP8)</f>
        <v>91983.388000000035</v>
      </c>
      <c r="BQ38" s="2002">
        <f>(BQ5)-(BQ8)</f>
        <v>-661156.1</v>
      </c>
      <c r="BR38" s="2002">
        <f>(BR5)-(BR8)</f>
        <v>-569172.71200000006</v>
      </c>
      <c r="BS38" s="2002"/>
      <c r="BT38" s="2021"/>
      <c r="BU38" s="2002">
        <f>(BU5)-(BU8)</f>
        <v>-147455.12600000002</v>
      </c>
      <c r="BV38" s="2002">
        <f>(BV5)-(BV8)</f>
        <v>-290000</v>
      </c>
      <c r="BW38" s="2002">
        <f>(BW5)-(BW8)</f>
        <v>-437455.12600000005</v>
      </c>
      <c r="BX38" s="2002"/>
      <c r="BY38" s="2021"/>
      <c r="BZ38" s="2002">
        <f>(BZ5)-(BZ8)</f>
        <v>-3567778.71</v>
      </c>
      <c r="CA38" s="2002">
        <f>(CA5)-(CA8)</f>
        <v>0</v>
      </c>
      <c r="CB38" s="2002">
        <f>(CB5)-(CB8)</f>
        <v>-3567778.71</v>
      </c>
      <c r="CC38" s="2002"/>
      <c r="CD38" s="2021"/>
      <c r="CE38" s="2002">
        <f>(CE5)-(CE8)</f>
        <v>-2009530.5899999999</v>
      </c>
      <c r="CF38" s="2002">
        <f>(CF5)-(CF8)</f>
        <v>0</v>
      </c>
      <c r="CG38" s="2002">
        <f>(CG5)-(CG8)</f>
        <v>-2009530.5899999999</v>
      </c>
      <c r="CH38" s="2002"/>
      <c r="CI38" s="2021"/>
      <c r="CJ38" s="2002">
        <f>(CJ5)-(CJ8)</f>
        <v>0</v>
      </c>
      <c r="CK38" s="2002">
        <f>(CK5)-(CK8)</f>
        <v>0</v>
      </c>
      <c r="CL38" s="2002">
        <f>(CL5)-(CL8)</f>
        <v>0</v>
      </c>
      <c r="CM38" s="2002"/>
      <c r="CN38" s="2021"/>
      <c r="CO38" s="2002">
        <f>(CO5)-(CO8)</f>
        <v>36335604.266000003</v>
      </c>
      <c r="CP38" s="2002">
        <f>(CP5)-(CP8)</f>
        <v>-10882141.52</v>
      </c>
      <c r="CQ38" s="2002">
        <f>(CQ5)-(CQ8)</f>
        <v>25453462.745999992</v>
      </c>
      <c r="CR38" s="2002"/>
      <c r="CS38" s="2002"/>
      <c r="CT38" s="919"/>
      <c r="CU38" s="1564"/>
      <c r="CV38" s="1564"/>
      <c r="CW38" s="1564"/>
    </row>
    <row r="39" spans="1:178" ht="14.4" customHeight="1">
      <c r="A39" s="1565"/>
      <c r="B39" s="972" t="s">
        <v>47</v>
      </c>
      <c r="C39" s="1525">
        <f>C38/(C5)</f>
        <v>1</v>
      </c>
      <c r="D39" s="1525" t="e">
        <f>D38/(D5)</f>
        <v>#DIV/0!</v>
      </c>
      <c r="E39" s="1526">
        <f>E38/(E5)</f>
        <v>1</v>
      </c>
      <c r="F39" s="1531"/>
      <c r="G39" s="2003">
        <f>G38/(G5)</f>
        <v>0.31802421301972961</v>
      </c>
      <c r="H39" s="2004">
        <f>H38/(H5)</f>
        <v>-138.43961686390531</v>
      </c>
      <c r="I39" s="2003">
        <f>I38/(I5)</f>
        <v>0.25294585966894623</v>
      </c>
      <c r="J39" s="2004"/>
      <c r="K39" s="2022"/>
      <c r="L39" s="2022"/>
      <c r="M39" s="2003" t="e">
        <v>#DIV/0!</v>
      </c>
      <c r="N39" s="2004" t="e">
        <v>#DIV/0!</v>
      </c>
      <c r="O39" s="2003" t="e">
        <f>O38/(O5)</f>
        <v>#DIV/0!</v>
      </c>
      <c r="P39" s="2004"/>
      <c r="Q39" s="2022"/>
      <c r="R39" s="2003">
        <v>0.60982161349968533</v>
      </c>
      <c r="S39" s="2003" t="e">
        <v>#DIV/0!</v>
      </c>
      <c r="T39" s="2004">
        <f>T38/(T5)</f>
        <v>0.50058222412882125</v>
      </c>
      <c r="U39" s="2004"/>
      <c r="V39" s="2022"/>
      <c r="W39" s="2003">
        <v>0.47285255653482317</v>
      </c>
      <c r="X39" s="2003" t="e">
        <v>#DIV/0!</v>
      </c>
      <c r="Y39" s="2004">
        <f>Y38/(Y5)</f>
        <v>0.33864707808469247</v>
      </c>
      <c r="Z39" s="2004"/>
      <c r="AA39" s="2022"/>
      <c r="AB39" s="2036">
        <v>0.60920997452099335</v>
      </c>
      <c r="AC39" s="2036" t="e">
        <v>#DIV/0!</v>
      </c>
      <c r="AD39" s="2037">
        <f>AD38/(AD5)</f>
        <v>0.2111422878835203</v>
      </c>
      <c r="AE39" s="2037"/>
      <c r="AF39" s="2037"/>
      <c r="AG39" s="2003">
        <f>AG38/(AG5)</f>
        <v>0.26072708512645304</v>
      </c>
      <c r="AH39" s="2003" t="e">
        <f>AH38/(AH5)</f>
        <v>#DIV/0!</v>
      </c>
      <c r="AI39" s="2004">
        <f>AI38/(AI5)</f>
        <v>0.22114972846486702</v>
      </c>
      <c r="AJ39" s="2004"/>
      <c r="AK39" s="2022"/>
      <c r="AL39" s="2003">
        <f>AL38/(AL5)</f>
        <v>0.49402206226362683</v>
      </c>
      <c r="AM39" s="2003" t="e">
        <f>AM38/(AM5)</f>
        <v>#DIV/0!</v>
      </c>
      <c r="AN39" s="2004">
        <f>AN38/(AN5)</f>
        <v>0.38388769824425356</v>
      </c>
      <c r="AO39" s="2004"/>
      <c r="AP39" s="2022"/>
      <c r="AQ39" s="2003">
        <f>AQ38/(AQ5)</f>
        <v>0.3381965988500365</v>
      </c>
      <c r="AR39" s="2003" t="e">
        <f>AR38/(AR5)</f>
        <v>#DIV/0!</v>
      </c>
      <c r="AS39" s="2004">
        <f>AS38/(AS5)</f>
        <v>0.2519185138185624</v>
      </c>
      <c r="AT39" s="2004"/>
      <c r="AU39" s="2022"/>
      <c r="AV39" s="2003">
        <f>AV38/(AV5)</f>
        <v>0.18833711731419353</v>
      </c>
      <c r="AW39" s="2003" t="e">
        <f>AW38/(AW5)</f>
        <v>#DIV/0!</v>
      </c>
      <c r="AX39" s="2004">
        <f>AX38/(AX5)</f>
        <v>-5.3528853059351823E-2</v>
      </c>
      <c r="AY39" s="2004"/>
      <c r="AZ39" s="2022"/>
      <c r="BA39" s="2003">
        <f>BA38/(BA5)</f>
        <v>0.2899141454027126</v>
      </c>
      <c r="BB39" s="2003" t="e">
        <f>BB38/(BB5)</f>
        <v>#DIV/0!</v>
      </c>
      <c r="BC39" s="2004">
        <f>BC38/(BC5)</f>
        <v>2.2096771957030855E-2</v>
      </c>
      <c r="BD39" s="2004"/>
      <c r="BE39" s="2022"/>
      <c r="BF39" s="2003">
        <f>BF38/(BF5)</f>
        <v>0.53443118106663756</v>
      </c>
      <c r="BG39" s="2003" t="e">
        <f>BG38/(BG5)</f>
        <v>#DIV/0!</v>
      </c>
      <c r="BH39" s="2004">
        <f>BH38/(BH5)</f>
        <v>0.45698999400548174</v>
      </c>
      <c r="BI39" s="2004"/>
      <c r="BJ39" s="2022"/>
      <c r="BK39" s="2003">
        <f>BK38/(BK5)</f>
        <v>0.55665291033888231</v>
      </c>
      <c r="BL39" s="2003" t="e">
        <f>BL38/(BL5)</f>
        <v>#DIV/0!</v>
      </c>
      <c r="BM39" s="2004">
        <f>BM38/(BM5)</f>
        <v>0.44489582444075226</v>
      </c>
      <c r="BN39" s="2004"/>
      <c r="BO39" s="2022"/>
      <c r="BP39" s="2003">
        <f>BP38/(BP5)</f>
        <v>5.5087418380886516E-2</v>
      </c>
      <c r="BQ39" s="2003">
        <f>BQ38/(BQ5)</f>
        <v>-16.047478155339807</v>
      </c>
      <c r="BR39" s="2004">
        <f>BR38/(BR5)</f>
        <v>-0.33266059185587959</v>
      </c>
      <c r="BS39" s="2004"/>
      <c r="BT39" s="2022"/>
      <c r="BU39" s="2003" t="e">
        <f>BU38/(BU5)</f>
        <v>#DIV/0!</v>
      </c>
      <c r="BV39" s="2003" t="e">
        <f>BV38/(BV5)</f>
        <v>#DIV/0!</v>
      </c>
      <c r="BW39" s="2004" t="e">
        <f>BW38/(BW5)</f>
        <v>#DIV/0!</v>
      </c>
      <c r="BX39" s="2004"/>
      <c r="BY39" s="2022"/>
      <c r="BZ39" s="2003" t="e">
        <f>BZ38/(BZ5)</f>
        <v>#DIV/0!</v>
      </c>
      <c r="CA39" s="2003" t="e">
        <f>CA38/(CA5)</f>
        <v>#DIV/0!</v>
      </c>
      <c r="CB39" s="2004" t="e">
        <f>CB38/(CB5)</f>
        <v>#DIV/0!</v>
      </c>
      <c r="CC39" s="2004"/>
      <c r="CD39" s="2022"/>
      <c r="CE39" s="2003" t="e">
        <f>CE38/(CE5)</f>
        <v>#DIV/0!</v>
      </c>
      <c r="CF39" s="2003" t="e">
        <f>CF38/(CF5)</f>
        <v>#DIV/0!</v>
      </c>
      <c r="CG39" s="2004" t="e">
        <f>CG38/(CG5)</f>
        <v>#DIV/0!</v>
      </c>
      <c r="CH39" s="2004"/>
      <c r="CI39" s="2022"/>
      <c r="CJ39" s="2003">
        <f>CJ38/(CJ5)</f>
        <v>0</v>
      </c>
      <c r="CK39" s="2003" t="e">
        <f>CK38/(CK5)</f>
        <v>#DIV/0!</v>
      </c>
      <c r="CL39" s="2004">
        <f>CL38/(CL5)</f>
        <v>0</v>
      </c>
      <c r="CM39" s="2004"/>
      <c r="CN39" s="2022"/>
      <c r="CO39" s="2003">
        <f>CO38/(CO5)</f>
        <v>0.31016025225290506</v>
      </c>
      <c r="CP39" s="2003">
        <f>CP38/(CP5)</f>
        <v>-132.38614987834549</v>
      </c>
      <c r="CQ39" s="2004">
        <f>CQ38/(CQ5)</f>
        <v>0.21711808905313706</v>
      </c>
      <c r="CR39" s="2004"/>
      <c r="CS39" s="2004"/>
      <c r="CT39" s="919"/>
      <c r="CU39" s="1564"/>
      <c r="CV39" s="1564"/>
      <c r="CW39" s="1564"/>
    </row>
    <row r="40" spans="1:178" ht="14.4" customHeight="1" outlineLevel="1" thickBot="1">
      <c r="A40" s="1567"/>
      <c r="B40" s="3165"/>
      <c r="C40" s="3166"/>
      <c r="D40" s="3167"/>
      <c r="E40" s="3168"/>
      <c r="F40" s="3169"/>
      <c r="G40" s="3010"/>
      <c r="H40" s="2840"/>
      <c r="I40" s="3010"/>
      <c r="J40" s="2840"/>
      <c r="K40" s="2916"/>
      <c r="L40" s="2916"/>
      <c r="M40" s="3010"/>
      <c r="N40" s="2840"/>
      <c r="O40" s="3010"/>
      <c r="P40" s="2840"/>
      <c r="Q40" s="2916"/>
      <c r="R40" s="2840"/>
      <c r="S40" s="2914"/>
      <c r="T40" s="2914"/>
      <c r="U40" s="2914"/>
      <c r="V40" s="2916"/>
      <c r="W40" s="2840"/>
      <c r="X40" s="2914"/>
      <c r="Y40" s="2914"/>
      <c r="Z40" s="2914"/>
      <c r="AA40" s="2916"/>
      <c r="AB40" s="3011"/>
      <c r="AC40" s="3012"/>
      <c r="AD40" s="3012"/>
      <c r="AE40" s="3012"/>
      <c r="AF40" s="3012"/>
      <c r="AG40" s="2840"/>
      <c r="AH40" s="2914"/>
      <c r="AI40" s="2914"/>
      <c r="AJ40" s="2914"/>
      <c r="AK40" s="2916"/>
      <c r="AL40" s="2840"/>
      <c r="AM40" s="2914"/>
      <c r="AN40" s="2914"/>
      <c r="AO40" s="2914"/>
      <c r="AP40" s="2916"/>
      <c r="AQ40" s="2840"/>
      <c r="AR40" s="2914"/>
      <c r="AS40" s="2914"/>
      <c r="AT40" s="2914"/>
      <c r="AU40" s="2916"/>
      <c r="AV40" s="2840"/>
      <c r="AW40" s="2914"/>
      <c r="AX40" s="2914"/>
      <c r="AY40" s="2914"/>
      <c r="AZ40" s="2916"/>
      <c r="BA40" s="2840"/>
      <c r="BB40" s="2914"/>
      <c r="BC40" s="2914"/>
      <c r="BD40" s="2914"/>
      <c r="BE40" s="2916"/>
      <c r="BF40" s="2840"/>
      <c r="BG40" s="2914"/>
      <c r="BH40" s="2914"/>
      <c r="BI40" s="2914"/>
      <c r="BJ40" s="2916"/>
      <c r="BK40" s="2840"/>
      <c r="BL40" s="2914"/>
      <c r="BM40" s="2914"/>
      <c r="BN40" s="2914"/>
      <c r="BO40" s="2916"/>
      <c r="BP40" s="2840"/>
      <c r="BQ40" s="2914"/>
      <c r="BR40" s="2914"/>
      <c r="BS40" s="2914"/>
      <c r="BT40" s="2916"/>
      <c r="BU40" s="2840"/>
      <c r="BV40" s="2914"/>
      <c r="BW40" s="2914"/>
      <c r="BX40" s="2914"/>
      <c r="BY40" s="2916"/>
      <c r="BZ40" s="2840"/>
      <c r="CA40" s="2914"/>
      <c r="CB40" s="2914"/>
      <c r="CC40" s="2914"/>
      <c r="CD40" s="2916"/>
      <c r="CE40" s="2840"/>
      <c r="CF40" s="2914"/>
      <c r="CG40" s="2914"/>
      <c r="CH40" s="2914"/>
      <c r="CI40" s="2916"/>
      <c r="CJ40" s="2840"/>
      <c r="CK40" s="2914"/>
      <c r="CL40" s="2914"/>
      <c r="CM40" s="2914"/>
      <c r="CN40" s="2916"/>
      <c r="CO40" s="2914"/>
      <c r="CP40" s="2914"/>
      <c r="CQ40" s="2914"/>
      <c r="CR40" s="2914"/>
      <c r="CS40" s="2914"/>
      <c r="CT40" s="919"/>
      <c r="CU40" s="1564"/>
      <c r="CV40" s="1564"/>
      <c r="CW40" s="1564"/>
    </row>
    <row r="41" spans="1:178" ht="14.4" customHeight="1" outlineLevel="1">
      <c r="A41" s="1405"/>
      <c r="B41" s="3094" t="s">
        <v>26</v>
      </c>
      <c r="C41" s="3095">
        <f>SUM(C42:C48)</f>
        <v>0</v>
      </c>
      <c r="D41" s="3095">
        <f>SUM(D42:D48)</f>
        <v>0</v>
      </c>
      <c r="E41" s="3096">
        <f>SUM(E42:E48)</f>
        <v>0</v>
      </c>
      <c r="F41" s="2804" t="e">
        <f t="shared" ref="F41:F48" si="70">E41/$E$89</f>
        <v>#DIV/0!</v>
      </c>
      <c r="G41" s="2013">
        <f>SUM(G42:G48)</f>
        <v>58130.85</v>
      </c>
      <c r="H41" s="2014">
        <f>SUM(H42:H48)</f>
        <v>2568.79</v>
      </c>
      <c r="I41" s="2013">
        <f>SUM(I42:I48)</f>
        <v>60699.64</v>
      </c>
      <c r="J41" s="3013">
        <f t="shared" ref="J41:J48" si="71">I41/I$89</f>
        <v>1.1087123890867953E-3</v>
      </c>
      <c r="K41" s="2023"/>
      <c r="L41" s="2023"/>
      <c r="M41" s="2013">
        <v>10629.06</v>
      </c>
      <c r="N41" s="2014">
        <v>593</v>
      </c>
      <c r="O41" s="2013">
        <f>SUM(O42:O48)</f>
        <v>12824.06</v>
      </c>
      <c r="P41" s="3013">
        <f>O41/$AS$89</f>
        <v>1.8439527325795207E-3</v>
      </c>
      <c r="Q41" s="2023"/>
      <c r="R41" s="2013">
        <v>6301.16</v>
      </c>
      <c r="S41" s="2013">
        <v>567.79</v>
      </c>
      <c r="T41" s="2014">
        <f>SUM(T42:T48)</f>
        <v>7275</v>
      </c>
      <c r="U41" s="2804">
        <f>T41/$AS$89</f>
        <v>1.0460615537915461E-3</v>
      </c>
      <c r="V41" s="2023"/>
      <c r="W41" s="2013">
        <v>7263.97</v>
      </c>
      <c r="X41" s="2013">
        <v>1258</v>
      </c>
      <c r="Y41" s="2014">
        <f>SUM(Y42:Y48)</f>
        <v>4681.6499999999996</v>
      </c>
      <c r="Z41" s="2804">
        <f>Y41/$AS$89</f>
        <v>6.7316757021418437E-4</v>
      </c>
      <c r="AA41" s="2023"/>
      <c r="AB41" s="2038">
        <f>SUM(AB42:AB48)</f>
        <v>6839.58</v>
      </c>
      <c r="AC41" s="2038">
        <f>SUM(AC42:AC48)</f>
        <v>0</v>
      </c>
      <c r="AD41" s="2038">
        <f>SUM(AD42:AD48)</f>
        <v>6839.58</v>
      </c>
      <c r="AE41" s="3170">
        <f>AD41/$AS$89</f>
        <v>9.8345315217616253E-4</v>
      </c>
      <c r="AF41" s="2039"/>
      <c r="AG41" s="2013">
        <f>SUM(AG42:AG48)</f>
        <v>22270.14</v>
      </c>
      <c r="AH41" s="2013">
        <f>SUM(AH42:AH48)</f>
        <v>150</v>
      </c>
      <c r="AI41" s="2014">
        <f>SUM(AI42:AI48)</f>
        <v>22420.14</v>
      </c>
      <c r="AJ41" s="2804">
        <f>AI41/$AS$89</f>
        <v>3.223758966958624E-3</v>
      </c>
      <c r="AK41" s="2023"/>
      <c r="AL41" s="2013">
        <f>SUM(AL42:AL48)</f>
        <v>8553.7099999999991</v>
      </c>
      <c r="AM41" s="2013">
        <f>SUM(AM42:AM48)</f>
        <v>0</v>
      </c>
      <c r="AN41" s="2014">
        <f>SUM(AN42:AN48)</f>
        <v>8553.7099999999991</v>
      </c>
      <c r="AO41" s="2804">
        <f t="shared" ref="AO41:AO49" si="72">AN41/$AN$89</f>
        <v>1.3340131813928992E-3</v>
      </c>
      <c r="AP41" s="2023"/>
      <c r="AQ41" s="2013">
        <f>SUM(AQ42:AQ48)</f>
        <v>9856.1299999999992</v>
      </c>
      <c r="AR41" s="2013">
        <f>SUM(AR42:AR48)</f>
        <v>0</v>
      </c>
      <c r="AS41" s="2014">
        <f>SUM(AS42:AS48)</f>
        <v>9856.1299999999992</v>
      </c>
      <c r="AT41" s="2804">
        <f>AS41/$AS$89</f>
        <v>1.4171984415355971E-3</v>
      </c>
      <c r="AU41" s="2023"/>
      <c r="AV41" s="2013">
        <f>SUM(AV42:AV48)</f>
        <v>7747.32</v>
      </c>
      <c r="AW41" s="2013">
        <f>SUM(AW42:AW48)</f>
        <v>0</v>
      </c>
      <c r="AX41" s="2014">
        <f>SUM(AX42:AX48)</f>
        <v>7747.32</v>
      </c>
      <c r="AY41" s="2804">
        <f t="shared" ref="AY41:AY48" si="73">AX41/$AX$89</f>
        <v>2.6719344898825702E-3</v>
      </c>
      <c r="AZ41" s="2023"/>
      <c r="BA41" s="2013">
        <f>SUM(BA42:BA48)</f>
        <v>4550.3700000000008</v>
      </c>
      <c r="BB41" s="2013">
        <f>SUM(BB42:BB48)</f>
        <v>0</v>
      </c>
      <c r="BC41" s="2014">
        <f>SUM(BC42:BC48)</f>
        <v>4550.3700000000008</v>
      </c>
      <c r="BD41" s="2804">
        <f t="shared" ref="BD41:BD48" si="74">BC41/$BC$89</f>
        <v>1.2979670125042671E-3</v>
      </c>
      <c r="BE41" s="2023"/>
      <c r="BF41" s="2013">
        <f>SUM(BF42:BF48)</f>
        <v>6866.3399999999992</v>
      </c>
      <c r="BG41" s="2013">
        <f>SUM(BG42:BG48)</f>
        <v>665.5</v>
      </c>
      <c r="BH41" s="2014">
        <f>SUM(BH42:BH48)</f>
        <v>7531.8399999999992</v>
      </c>
      <c r="BI41" s="2804">
        <f t="shared" ref="BI41:BI48" si="75">BH41/BH$89</f>
        <v>1.6522055031940206E-3</v>
      </c>
      <c r="BJ41" s="2023"/>
      <c r="BK41" s="2013">
        <f>SUM(BK42:BK48)</f>
        <v>6591.3239999999996</v>
      </c>
      <c r="BL41" s="2013">
        <f>SUM(BL42:BL48)</f>
        <v>805.5</v>
      </c>
      <c r="BM41" s="2014">
        <f>SUM(BM42:BM48)</f>
        <v>7396.8239999999996</v>
      </c>
      <c r="BN41" s="2804">
        <f t="shared" ref="BN41:BN48" si="76">BM41/BM$89</f>
        <v>1.2190911237949145E-3</v>
      </c>
      <c r="BO41" s="2023"/>
      <c r="BP41" s="2013">
        <f>SUM(BP42:BP48)</f>
        <v>1365.654</v>
      </c>
      <c r="BQ41" s="2013">
        <f>SUM(BQ42:BQ48)</f>
        <v>43</v>
      </c>
      <c r="BR41" s="2014">
        <f>SUM(BR42:BR48)</f>
        <v>1408.654</v>
      </c>
      <c r="BS41" s="2804">
        <f t="shared" ref="BS41:BS48" si="77">BR41/BR$89</f>
        <v>5.753090036676303E-4</v>
      </c>
      <c r="BT41" s="2023"/>
      <c r="BU41" s="2013">
        <f>SUM(BU42:BU48)</f>
        <v>488.00599999999997</v>
      </c>
      <c r="BV41" s="2013">
        <f>SUM(BV42:BV48)</f>
        <v>0</v>
      </c>
      <c r="BW41" s="2014">
        <f>SUM(BW42:BW48)</f>
        <v>488.00599999999997</v>
      </c>
      <c r="BX41" s="2804">
        <f t="shared" ref="BX41:BX48" si="78">BW41/BW$89</f>
        <v>9.040290285190827E-4</v>
      </c>
      <c r="BY41" s="2023"/>
      <c r="BZ41" s="2013">
        <f>SUM(BZ42:BZ48)</f>
        <v>7764.4800000000005</v>
      </c>
      <c r="CA41" s="2013">
        <f>SUM(CA42:CA48)</f>
        <v>0</v>
      </c>
      <c r="CB41" s="2014">
        <f>SUM(CB42:CB48)</f>
        <v>7764.4800000000005</v>
      </c>
      <c r="CC41" s="2804">
        <f t="shared" ref="CC41:CC48" si="79">CB41/CB$89</f>
        <v>2.171552569051753E-3</v>
      </c>
      <c r="CD41" s="2023"/>
      <c r="CE41" s="2013">
        <f>SUM(CE42:CE48)</f>
        <v>0</v>
      </c>
      <c r="CF41" s="2013">
        <f>SUM(CF42:CF48)</f>
        <v>0</v>
      </c>
      <c r="CG41" s="2014">
        <f>SUM(CG42:CG48)</f>
        <v>0</v>
      </c>
      <c r="CH41" s="2804">
        <f t="shared" ref="CH41:CH48" si="80">CG41/CG$89</f>
        <v>0</v>
      </c>
      <c r="CI41" s="2023"/>
      <c r="CJ41" s="2013">
        <f>SUM(CJ42:CJ48)</f>
        <v>0</v>
      </c>
      <c r="CK41" s="2013">
        <f>SUM(CK42:CK48)</f>
        <v>0</v>
      </c>
      <c r="CL41" s="2014">
        <f>SUM(CL42:CL48)</f>
        <v>0</v>
      </c>
      <c r="CM41" s="2804">
        <f t="shared" ref="CM41:CM48" si="81">CL41/CL$89</f>
        <v>0</v>
      </c>
      <c r="CN41" s="2023"/>
      <c r="CO41" s="2013">
        <f>SUM(CO42:CO48)</f>
        <v>105254.974</v>
      </c>
      <c r="CP41" s="2013">
        <f>SUM(CP42:CP48)</f>
        <v>4082.79</v>
      </c>
      <c r="CQ41" s="2014">
        <f>SUM(CQ42:CQ48)</f>
        <v>109337.76400000001</v>
      </c>
      <c r="CR41" s="2804">
        <f t="shared" ref="CR41:CR49" si="82">CQ41/$CQ$89</f>
        <v>1.162048902361346E-3</v>
      </c>
      <c r="CS41" s="2006"/>
      <c r="CT41" s="919"/>
      <c r="CU41" s="1564"/>
      <c r="CV41" s="1564"/>
      <c r="CW41" s="1564"/>
    </row>
    <row r="42" spans="1:178" ht="14.4" customHeight="1" outlineLevel="2">
      <c r="A42" s="4833"/>
      <c r="B42" s="2791" t="s">
        <v>7</v>
      </c>
      <c r="C42" s="2790"/>
      <c r="D42" s="2805"/>
      <c r="E42" s="3081">
        <f t="shared" ref="E42:E48" si="83">C42+D42</f>
        <v>0</v>
      </c>
      <c r="F42" s="2788" t="e">
        <f t="shared" si="70"/>
        <v>#DIV/0!</v>
      </c>
      <c r="G42" s="1979">
        <v>0</v>
      </c>
      <c r="H42" s="2051">
        <v>120</v>
      </c>
      <c r="I42" s="3082">
        <f t="shared" ref="I42:I48" si="84">G42+H42*1</f>
        <v>120</v>
      </c>
      <c r="J42" s="3003">
        <f t="shared" si="71"/>
        <v>2.1918661575326551E-6</v>
      </c>
      <c r="K42" s="2046"/>
      <c r="L42" s="2046"/>
      <c r="M42" s="1979"/>
      <c r="N42" s="2051"/>
      <c r="O42" s="3082">
        <f t="shared" ref="O42:O48" si="85">M42+N42*1</f>
        <v>0</v>
      </c>
      <c r="P42" s="3003">
        <f t="shared" ref="P42:P48" si="86">O42/$AS$89</f>
        <v>0</v>
      </c>
      <c r="Q42" s="2046"/>
      <c r="R42" s="2051"/>
      <c r="S42" s="2043"/>
      <c r="T42" s="3081">
        <f t="shared" ref="T42:T48" si="87">R42+S42*1</f>
        <v>0</v>
      </c>
      <c r="U42" s="2788">
        <f t="shared" ref="U42:U48" si="88">T42/$AS$89</f>
        <v>0</v>
      </c>
      <c r="V42" s="2046"/>
      <c r="W42" s="3040"/>
      <c r="X42" s="3049">
        <v>120</v>
      </c>
      <c r="Y42" s="3083">
        <f t="shared" ref="Y42:Y48" si="89">W42+X42*1</f>
        <v>120</v>
      </c>
      <c r="Z42" s="3157">
        <f t="shared" ref="Z42:Z48" si="90">Y42/$AS$89</f>
        <v>1.7254623567695605E-5</v>
      </c>
      <c r="AA42" s="3044" t="s">
        <v>1542</v>
      </c>
      <c r="AB42" s="3040"/>
      <c r="AC42" s="3049"/>
      <c r="AD42" s="3083">
        <f t="shared" ref="AD42:AD48" si="91">AB42+AC42*1</f>
        <v>0</v>
      </c>
      <c r="AE42" s="3157">
        <f t="shared" ref="AE42:AE48" si="92">AD42/$AS$89</f>
        <v>0</v>
      </c>
      <c r="AF42" s="3044"/>
      <c r="AG42" s="2051"/>
      <c r="AH42" s="2043"/>
      <c r="AI42" s="3081">
        <f t="shared" ref="AI42:AI48" si="93">AG42+AH42*1</f>
        <v>0</v>
      </c>
      <c r="AJ42" s="2788">
        <f t="shared" ref="AJ42:AJ48" si="94">AI42/$AS$89</f>
        <v>0</v>
      </c>
      <c r="AK42" s="2046"/>
      <c r="AL42" s="3040"/>
      <c r="AM42" s="3049"/>
      <c r="AN42" s="3083">
        <f t="shared" ref="AN42:AN48" si="95">AL42+AM42*1</f>
        <v>0</v>
      </c>
      <c r="AO42" s="3157">
        <f t="shared" si="72"/>
        <v>0</v>
      </c>
      <c r="AP42" s="3044"/>
      <c r="AQ42" s="3040"/>
      <c r="AR42" s="3049"/>
      <c r="AS42" s="3083">
        <f t="shared" ref="AS42:AS48" si="96">AQ42+AR42*1</f>
        <v>0</v>
      </c>
      <c r="AT42" s="3157">
        <f t="shared" ref="AT42:AT48" si="97">AS42/$AS$89</f>
        <v>0</v>
      </c>
      <c r="AU42" s="3044"/>
      <c r="AV42" s="2051"/>
      <c r="AW42" s="2043"/>
      <c r="AX42" s="3081">
        <f t="shared" ref="AX42:AX48" si="98">AV42+AW42*1</f>
        <v>0</v>
      </c>
      <c r="AY42" s="2788">
        <f t="shared" si="73"/>
        <v>0</v>
      </c>
      <c r="AZ42" s="2046"/>
      <c r="BA42" s="3040"/>
      <c r="BB42" s="3049"/>
      <c r="BC42" s="3083">
        <f t="shared" ref="BC42:BC48" si="99">BA42+BB42*1</f>
        <v>0</v>
      </c>
      <c r="BD42" s="3157">
        <f t="shared" si="74"/>
        <v>0</v>
      </c>
      <c r="BE42" s="3044"/>
      <c r="BF42" s="3040"/>
      <c r="BG42" s="3049"/>
      <c r="BH42" s="3083">
        <f t="shared" ref="BH42:BH48" si="100">BF42+BG42*1</f>
        <v>0</v>
      </c>
      <c r="BI42" s="3157">
        <f t="shared" si="75"/>
        <v>0</v>
      </c>
      <c r="BJ42" s="3044"/>
      <c r="BK42" s="3040"/>
      <c r="BL42" s="3049"/>
      <c r="BM42" s="3083">
        <f t="shared" ref="BM42:BM48" si="101">BK42+BL42*1</f>
        <v>0</v>
      </c>
      <c r="BN42" s="3157">
        <f t="shared" si="76"/>
        <v>0</v>
      </c>
      <c r="BO42" s="3044"/>
      <c r="BP42" s="2051"/>
      <c r="BQ42" s="2043"/>
      <c r="BR42" s="3081">
        <f t="shared" ref="BR42:BR48" si="102">BP42+BQ42*1</f>
        <v>0</v>
      </c>
      <c r="BS42" s="2788">
        <f t="shared" si="77"/>
        <v>0</v>
      </c>
      <c r="BT42" s="2046"/>
      <c r="BU42" s="2051"/>
      <c r="BV42" s="2043"/>
      <c r="BW42" s="3081">
        <f t="shared" ref="BW42:BW48" si="103">BU42+BV42*1</f>
        <v>0</v>
      </c>
      <c r="BX42" s="2788">
        <f t="shared" si="78"/>
        <v>0</v>
      </c>
      <c r="BY42" s="2046"/>
      <c r="BZ42" s="2051"/>
      <c r="CA42" s="2043"/>
      <c r="CB42" s="3081">
        <f t="shared" ref="CB42:CB48" si="104">BZ42+CA42*1</f>
        <v>0</v>
      </c>
      <c r="CC42" s="2788">
        <f t="shared" si="79"/>
        <v>0</v>
      </c>
      <c r="CD42" s="2046"/>
      <c r="CE42" s="2051"/>
      <c r="CF42" s="2043"/>
      <c r="CG42" s="3081">
        <f t="shared" ref="CG42:CG48" si="105">CE42+CF42*1</f>
        <v>0</v>
      </c>
      <c r="CH42" s="2788">
        <f t="shared" si="80"/>
        <v>0</v>
      </c>
      <c r="CI42" s="2046"/>
      <c r="CJ42" s="2051"/>
      <c r="CK42" s="2043"/>
      <c r="CL42" s="3081">
        <f t="shared" ref="CL42:CL48" si="106">CJ42+CK42*1</f>
        <v>0</v>
      </c>
      <c r="CM42" s="2788">
        <f t="shared" si="81"/>
        <v>0</v>
      </c>
      <c r="CN42" s="2046"/>
      <c r="CO42" s="2043">
        <f t="shared" ref="CO42:CO48" si="107">M42+R42+W42+AB42+AG42+AL42+AQ42+AV42+BA42+BF42+BK42+BP42+BU42+BZ42+CE42+CJ42</f>
        <v>0</v>
      </c>
      <c r="CP42" s="2043">
        <f t="shared" ref="CP42:CP48" si="108">N42+S42+X42+AC42+AH42+AM42+AR42+AW42+BB42+BG42+BL42+BQ42+BV42+CA42+CF42+CK42</f>
        <v>120</v>
      </c>
      <c r="CQ42" s="3097">
        <f t="shared" ref="CQ42:CQ48" si="109">CO42+CP42*1</f>
        <v>120</v>
      </c>
      <c r="CR42" s="2788">
        <f t="shared" si="82"/>
        <v>1.2753678434777715E-6</v>
      </c>
      <c r="CS42" s="2792"/>
      <c r="CT42" s="919"/>
      <c r="CU42" s="1564"/>
      <c r="CV42" s="1564"/>
      <c r="CW42" s="1564"/>
    </row>
    <row r="43" spans="1:178" ht="55.2" outlineLevel="2">
      <c r="A43" s="4833"/>
      <c r="B43" s="2791" t="s">
        <v>27</v>
      </c>
      <c r="C43" s="2790"/>
      <c r="D43" s="2805"/>
      <c r="E43" s="3081">
        <f t="shared" si="83"/>
        <v>0</v>
      </c>
      <c r="F43" s="2788" t="e">
        <f t="shared" si="70"/>
        <v>#DIV/0!</v>
      </c>
      <c r="G43" s="1979">
        <v>756</v>
      </c>
      <c r="H43" s="2051">
        <v>1569</v>
      </c>
      <c r="I43" s="3082">
        <f t="shared" si="84"/>
        <v>2325</v>
      </c>
      <c r="J43" s="3003">
        <f t="shared" si="71"/>
        <v>4.2467406802195193E-5</v>
      </c>
      <c r="K43" s="2046"/>
      <c r="L43" s="2046"/>
      <c r="M43" s="3039"/>
      <c r="N43" s="3040">
        <v>593</v>
      </c>
      <c r="O43" s="3093">
        <f t="shared" si="85"/>
        <v>593</v>
      </c>
      <c r="P43" s="3042">
        <f t="shared" si="86"/>
        <v>8.5266598130362439E-5</v>
      </c>
      <c r="Q43" s="3044" t="s">
        <v>1543</v>
      </c>
      <c r="R43" s="3040"/>
      <c r="S43" s="3040">
        <v>474</v>
      </c>
      <c r="T43" s="3083">
        <f t="shared" si="87"/>
        <v>474</v>
      </c>
      <c r="U43" s="3157">
        <f t="shared" si="88"/>
        <v>6.8155763092397635E-5</v>
      </c>
      <c r="V43" s="3044" t="s">
        <v>1544</v>
      </c>
      <c r="W43" s="3040"/>
      <c r="X43" s="3049">
        <v>502</v>
      </c>
      <c r="Y43" s="3083">
        <f t="shared" si="89"/>
        <v>502</v>
      </c>
      <c r="Z43" s="3157">
        <f t="shared" si="90"/>
        <v>7.218184192485994E-5</v>
      </c>
      <c r="AA43" s="3044" t="s">
        <v>1545</v>
      </c>
      <c r="AB43" s="3040"/>
      <c r="AC43" s="3049"/>
      <c r="AD43" s="3083">
        <f t="shared" si="91"/>
        <v>0</v>
      </c>
      <c r="AE43" s="3157">
        <f t="shared" si="92"/>
        <v>0</v>
      </c>
      <c r="AF43" s="3044"/>
      <c r="AG43" s="3040">
        <f>630*1.2</f>
        <v>756</v>
      </c>
      <c r="AH43" s="3049"/>
      <c r="AI43" s="3083">
        <f t="shared" si="93"/>
        <v>756</v>
      </c>
      <c r="AJ43" s="3157">
        <f t="shared" si="94"/>
        <v>1.0870412847648231E-4</v>
      </c>
      <c r="AK43" s="3044" t="s">
        <v>1546</v>
      </c>
      <c r="AL43" s="3040"/>
      <c r="AM43" s="3049"/>
      <c r="AN43" s="3083">
        <f t="shared" si="95"/>
        <v>0</v>
      </c>
      <c r="AO43" s="3157">
        <f t="shared" si="72"/>
        <v>0</v>
      </c>
      <c r="AP43" s="3044"/>
      <c r="AQ43" s="3040"/>
      <c r="AR43" s="3049"/>
      <c r="AS43" s="3083">
        <f t="shared" si="96"/>
        <v>0</v>
      </c>
      <c r="AT43" s="3157">
        <f t="shared" si="97"/>
        <v>0</v>
      </c>
      <c r="AU43" s="3044"/>
      <c r="AV43" s="3040"/>
      <c r="AW43" s="3049"/>
      <c r="AX43" s="3083">
        <f t="shared" si="98"/>
        <v>0</v>
      </c>
      <c r="AY43" s="3157">
        <f t="shared" si="73"/>
        <v>0</v>
      </c>
      <c r="AZ43" s="3044"/>
      <c r="BA43" s="3040">
        <f>310*1.2</f>
        <v>372</v>
      </c>
      <c r="BB43" s="3049"/>
      <c r="BC43" s="3083">
        <f t="shared" si="99"/>
        <v>372</v>
      </c>
      <c r="BD43" s="3157">
        <f t="shared" si="74"/>
        <v>1.0611087200636151E-4</v>
      </c>
      <c r="BE43" s="3044"/>
      <c r="BF43" s="3040">
        <f>1015.3*1.2</f>
        <v>1218.3599999999999</v>
      </c>
      <c r="BG43" s="3049">
        <v>590.5</v>
      </c>
      <c r="BH43" s="3083">
        <f t="shared" si="100"/>
        <v>1808.86</v>
      </c>
      <c r="BI43" s="3157">
        <f t="shared" si="75"/>
        <v>3.9679659240073295E-4</v>
      </c>
      <c r="BJ43" s="3044" t="s">
        <v>1386</v>
      </c>
      <c r="BK43" s="3040">
        <f>1229.47*1.2</f>
        <v>1475.364</v>
      </c>
      <c r="BL43" s="3049">
        <v>725.5</v>
      </c>
      <c r="BM43" s="3083">
        <f t="shared" si="101"/>
        <v>2200.864</v>
      </c>
      <c r="BN43" s="3157">
        <f t="shared" si="76"/>
        <v>3.6273051340410028E-4</v>
      </c>
      <c r="BO43" s="3044" t="s">
        <v>1417</v>
      </c>
      <c r="BP43" s="3040">
        <v>272.02</v>
      </c>
      <c r="BQ43" s="3049"/>
      <c r="BR43" s="3083">
        <f t="shared" si="102"/>
        <v>272.02</v>
      </c>
      <c r="BS43" s="3157">
        <f t="shared" si="77"/>
        <v>1.1109580860713049E-4</v>
      </c>
      <c r="BT43" s="3044"/>
      <c r="BU43" s="3040"/>
      <c r="BV43" s="3049"/>
      <c r="BW43" s="3083">
        <f t="shared" si="103"/>
        <v>0</v>
      </c>
      <c r="BX43" s="3157">
        <f t="shared" si="78"/>
        <v>0</v>
      </c>
      <c r="BY43" s="3044"/>
      <c r="BZ43" s="3040">
        <f>734*1.2+6883.68</f>
        <v>7764.4800000000005</v>
      </c>
      <c r="CA43" s="3049"/>
      <c r="CB43" s="3083">
        <f t="shared" si="104"/>
        <v>7764.4800000000005</v>
      </c>
      <c r="CC43" s="3157">
        <f t="shared" si="79"/>
        <v>2.171552569051753E-3</v>
      </c>
      <c r="CD43" s="3044" t="s">
        <v>1776</v>
      </c>
      <c r="CE43" s="3040"/>
      <c r="CF43" s="3049"/>
      <c r="CG43" s="3083">
        <f t="shared" si="105"/>
        <v>0</v>
      </c>
      <c r="CH43" s="3157">
        <f t="shared" si="80"/>
        <v>0</v>
      </c>
      <c r="CI43" s="3044"/>
      <c r="CJ43" s="3040"/>
      <c r="CK43" s="3049"/>
      <c r="CL43" s="3083">
        <f t="shared" si="106"/>
        <v>0</v>
      </c>
      <c r="CM43" s="3157">
        <f t="shared" si="81"/>
        <v>0</v>
      </c>
      <c r="CN43" s="3044"/>
      <c r="CO43" s="2043">
        <f t="shared" si="107"/>
        <v>11858.224</v>
      </c>
      <c r="CP43" s="2043">
        <f t="shared" si="108"/>
        <v>2885</v>
      </c>
      <c r="CQ43" s="3097">
        <f t="shared" si="109"/>
        <v>14743.224</v>
      </c>
      <c r="CR43" s="2788">
        <f t="shared" si="82"/>
        <v>1.5669194832324768E-4</v>
      </c>
      <c r="CS43" s="2792"/>
      <c r="CT43" s="919"/>
      <c r="CU43" s="1564"/>
      <c r="CV43" s="1564"/>
      <c r="CW43" s="1564"/>
    </row>
    <row r="44" spans="1:178" ht="14.4" customHeight="1" outlineLevel="2">
      <c r="A44" s="4833"/>
      <c r="B44" s="3092" t="s">
        <v>28</v>
      </c>
      <c r="C44" s="2790"/>
      <c r="D44" s="2805"/>
      <c r="E44" s="3081">
        <f t="shared" si="83"/>
        <v>0</v>
      </c>
      <c r="F44" s="2788" t="e">
        <f t="shared" si="70"/>
        <v>#DIV/0!</v>
      </c>
      <c r="G44" s="1979">
        <v>0</v>
      </c>
      <c r="H44" s="2051">
        <v>0</v>
      </c>
      <c r="I44" s="3082">
        <f t="shared" si="84"/>
        <v>0</v>
      </c>
      <c r="J44" s="3003">
        <f t="shared" si="71"/>
        <v>0</v>
      </c>
      <c r="K44" s="2046"/>
      <c r="L44" s="2046"/>
      <c r="M44" s="3039"/>
      <c r="N44" s="3040"/>
      <c r="O44" s="3093">
        <f t="shared" si="85"/>
        <v>0</v>
      </c>
      <c r="P44" s="3042">
        <f t="shared" si="86"/>
        <v>0</v>
      </c>
      <c r="Q44" s="3044"/>
      <c r="R44" s="3040"/>
      <c r="S44" s="3040"/>
      <c r="T44" s="3083">
        <f t="shared" si="87"/>
        <v>0</v>
      </c>
      <c r="U44" s="3157">
        <f t="shared" si="88"/>
        <v>0</v>
      </c>
      <c r="V44" s="3044"/>
      <c r="W44" s="3040"/>
      <c r="X44" s="3049"/>
      <c r="Y44" s="3083">
        <f t="shared" si="89"/>
        <v>0</v>
      </c>
      <c r="Z44" s="3157">
        <f t="shared" si="90"/>
        <v>0</v>
      </c>
      <c r="AA44" s="3044"/>
      <c r="AB44" s="3040"/>
      <c r="AC44" s="3049"/>
      <c r="AD44" s="3083">
        <f t="shared" si="91"/>
        <v>0</v>
      </c>
      <c r="AE44" s="3157">
        <f t="shared" si="92"/>
        <v>0</v>
      </c>
      <c r="AF44" s="3044"/>
      <c r="AG44" s="3040"/>
      <c r="AH44" s="3049"/>
      <c r="AI44" s="3083">
        <f t="shared" si="93"/>
        <v>0</v>
      </c>
      <c r="AJ44" s="3157">
        <f t="shared" si="94"/>
        <v>0</v>
      </c>
      <c r="AK44" s="3044"/>
      <c r="AL44" s="3040"/>
      <c r="AM44" s="3049"/>
      <c r="AN44" s="3083">
        <f t="shared" si="95"/>
        <v>0</v>
      </c>
      <c r="AO44" s="3157">
        <f t="shared" si="72"/>
        <v>0</v>
      </c>
      <c r="AP44" s="3044"/>
      <c r="AQ44" s="3040"/>
      <c r="AR44" s="3049"/>
      <c r="AS44" s="3083">
        <f t="shared" si="96"/>
        <v>0</v>
      </c>
      <c r="AT44" s="3157">
        <f t="shared" si="97"/>
        <v>0</v>
      </c>
      <c r="AU44" s="3044"/>
      <c r="AV44" s="3040"/>
      <c r="AW44" s="3049"/>
      <c r="AX44" s="3083">
        <f t="shared" si="98"/>
        <v>0</v>
      </c>
      <c r="AY44" s="3157">
        <f t="shared" si="73"/>
        <v>0</v>
      </c>
      <c r="AZ44" s="3044"/>
      <c r="BA44" s="3040"/>
      <c r="BB44" s="3049"/>
      <c r="BC44" s="3083">
        <f t="shared" si="99"/>
        <v>0</v>
      </c>
      <c r="BD44" s="3157">
        <f t="shared" si="74"/>
        <v>0</v>
      </c>
      <c r="BE44" s="3044"/>
      <c r="BF44" s="3040"/>
      <c r="BG44" s="3049"/>
      <c r="BH44" s="3083">
        <f t="shared" si="100"/>
        <v>0</v>
      </c>
      <c r="BI44" s="3157">
        <f t="shared" si="75"/>
        <v>0</v>
      </c>
      <c r="BJ44" s="3044"/>
      <c r="BK44" s="3040"/>
      <c r="BL44" s="3049"/>
      <c r="BM44" s="3083">
        <f t="shared" si="101"/>
        <v>0</v>
      </c>
      <c r="BN44" s="3157">
        <f t="shared" si="76"/>
        <v>0</v>
      </c>
      <c r="BO44" s="3044"/>
      <c r="BP44" s="3040"/>
      <c r="BQ44" s="3049"/>
      <c r="BR44" s="3083">
        <f t="shared" si="102"/>
        <v>0</v>
      </c>
      <c r="BS44" s="3157">
        <f t="shared" si="77"/>
        <v>0</v>
      </c>
      <c r="BT44" s="3044"/>
      <c r="BU44" s="3040"/>
      <c r="BV44" s="3049"/>
      <c r="BW44" s="3083">
        <f t="shared" si="103"/>
        <v>0</v>
      </c>
      <c r="BX44" s="3157">
        <f t="shared" si="78"/>
        <v>0</v>
      </c>
      <c r="BY44" s="3044"/>
      <c r="BZ44" s="3040"/>
      <c r="CA44" s="3049"/>
      <c r="CB44" s="3083">
        <f t="shared" si="104"/>
        <v>0</v>
      </c>
      <c r="CC44" s="3157">
        <f t="shared" si="79"/>
        <v>0</v>
      </c>
      <c r="CD44" s="3044"/>
      <c r="CE44" s="3040"/>
      <c r="CF44" s="3049"/>
      <c r="CG44" s="3083">
        <f t="shared" si="105"/>
        <v>0</v>
      </c>
      <c r="CH44" s="3157">
        <f t="shared" si="80"/>
        <v>0</v>
      </c>
      <c r="CI44" s="3044"/>
      <c r="CJ44" s="3040"/>
      <c r="CK44" s="3049"/>
      <c r="CL44" s="3083">
        <f t="shared" si="106"/>
        <v>0</v>
      </c>
      <c r="CM44" s="3157">
        <f t="shared" si="81"/>
        <v>0</v>
      </c>
      <c r="CN44" s="3044"/>
      <c r="CO44" s="2043">
        <f t="shared" si="107"/>
        <v>0</v>
      </c>
      <c r="CP44" s="2043">
        <f t="shared" si="108"/>
        <v>0</v>
      </c>
      <c r="CQ44" s="3081">
        <f t="shared" si="109"/>
        <v>0</v>
      </c>
      <c r="CR44" s="2788">
        <f t="shared" si="82"/>
        <v>0</v>
      </c>
      <c r="CS44" s="2792"/>
      <c r="CT44" s="919"/>
      <c r="CU44" s="1564"/>
      <c r="CV44" s="1564"/>
      <c r="CW44" s="1564"/>
    </row>
    <row r="45" spans="1:178" ht="14.4" customHeight="1" outlineLevel="2">
      <c r="A45" s="4833"/>
      <c r="B45" s="2791" t="s">
        <v>8</v>
      </c>
      <c r="C45" s="2790"/>
      <c r="D45" s="2805"/>
      <c r="E45" s="3081">
        <f t="shared" si="83"/>
        <v>0</v>
      </c>
      <c r="F45" s="2788" t="e">
        <f t="shared" si="70"/>
        <v>#DIV/0!</v>
      </c>
      <c r="G45" s="1979">
        <v>13803</v>
      </c>
      <c r="H45" s="2051">
        <v>0</v>
      </c>
      <c r="I45" s="3082">
        <f t="shared" si="84"/>
        <v>13803</v>
      </c>
      <c r="J45" s="3003">
        <f t="shared" si="71"/>
        <v>2.5211940477019363E-4</v>
      </c>
      <c r="K45" s="2046"/>
      <c r="L45" s="2046"/>
      <c r="M45" s="3039">
        <f>5478+1602</f>
        <v>7080</v>
      </c>
      <c r="N45" s="3040"/>
      <c r="O45" s="3093">
        <f t="shared" si="85"/>
        <v>7080</v>
      </c>
      <c r="P45" s="3042">
        <f t="shared" si="86"/>
        <v>1.0180227904940406E-3</v>
      </c>
      <c r="Q45" s="3044"/>
      <c r="R45" s="3040">
        <v>2175</v>
      </c>
      <c r="S45" s="3040"/>
      <c r="T45" s="3083">
        <f t="shared" si="87"/>
        <v>2175</v>
      </c>
      <c r="U45" s="3157">
        <f t="shared" si="88"/>
        <v>3.1274005216448285E-4</v>
      </c>
      <c r="V45" s="3044"/>
      <c r="W45" s="3040"/>
      <c r="X45" s="3049"/>
      <c r="Y45" s="3083">
        <f t="shared" si="89"/>
        <v>0</v>
      </c>
      <c r="Z45" s="3157">
        <f t="shared" si="90"/>
        <v>0</v>
      </c>
      <c r="AA45" s="3044"/>
      <c r="AB45" s="3040"/>
      <c r="AC45" s="3049"/>
      <c r="AD45" s="3083">
        <f t="shared" si="91"/>
        <v>0</v>
      </c>
      <c r="AE45" s="3157">
        <f t="shared" si="92"/>
        <v>0</v>
      </c>
      <c r="AF45" s="3044"/>
      <c r="AG45" s="3040">
        <f>5125*1.2</f>
        <v>6150</v>
      </c>
      <c r="AH45" s="3049"/>
      <c r="AI45" s="3083">
        <f t="shared" si="93"/>
        <v>6150</v>
      </c>
      <c r="AJ45" s="3157">
        <f t="shared" si="94"/>
        <v>8.8429945784439972E-4</v>
      </c>
      <c r="AK45" s="3044" t="s">
        <v>1257</v>
      </c>
      <c r="AL45" s="3040">
        <f>1812.5*1.2</f>
        <v>2175</v>
      </c>
      <c r="AM45" s="3049"/>
      <c r="AN45" s="3083">
        <f t="shared" si="95"/>
        <v>2175</v>
      </c>
      <c r="AO45" s="3157">
        <f t="shared" si="72"/>
        <v>3.3920704226932596E-4</v>
      </c>
      <c r="AP45" s="3044" t="s">
        <v>1257</v>
      </c>
      <c r="AQ45" s="3040">
        <f>1250*1.2</f>
        <v>1500</v>
      </c>
      <c r="AR45" s="3049"/>
      <c r="AS45" s="3083">
        <f t="shared" si="96"/>
        <v>1500</v>
      </c>
      <c r="AT45" s="3157">
        <f t="shared" si="97"/>
        <v>2.1568279459619505E-4</v>
      </c>
      <c r="AU45" s="3044" t="s">
        <v>1302</v>
      </c>
      <c r="AV45" s="3040">
        <f>1250*1.2</f>
        <v>1500</v>
      </c>
      <c r="AW45" s="3049"/>
      <c r="AX45" s="3083">
        <f t="shared" si="98"/>
        <v>1500</v>
      </c>
      <c r="AY45" s="3157">
        <f t="shared" si="73"/>
        <v>5.1732750613423168E-4</v>
      </c>
      <c r="AZ45" s="3044"/>
      <c r="BA45" s="3040">
        <f>875*1.2</f>
        <v>1050</v>
      </c>
      <c r="BB45" s="3049"/>
      <c r="BC45" s="3083">
        <f t="shared" si="99"/>
        <v>1050</v>
      </c>
      <c r="BD45" s="3157">
        <f t="shared" si="74"/>
        <v>2.9950649356634296E-4</v>
      </c>
      <c r="BE45" s="3044"/>
      <c r="BF45" s="3040">
        <f>250*1.2</f>
        <v>300</v>
      </c>
      <c r="BG45" s="3049"/>
      <c r="BH45" s="3083">
        <f t="shared" si="100"/>
        <v>300</v>
      </c>
      <c r="BI45" s="3157">
        <f t="shared" si="75"/>
        <v>6.5808839667094132E-5</v>
      </c>
      <c r="BJ45" s="3044"/>
      <c r="BK45" s="3040">
        <f>3250*1.2</f>
        <v>3900</v>
      </c>
      <c r="BL45" s="3049"/>
      <c r="BM45" s="3083">
        <f t="shared" si="101"/>
        <v>3900</v>
      </c>
      <c r="BN45" s="3157">
        <f t="shared" si="76"/>
        <v>6.4276984051535725E-4</v>
      </c>
      <c r="BO45" s="3044"/>
      <c r="BP45" s="3040">
        <v>225</v>
      </c>
      <c r="BQ45" s="3049"/>
      <c r="BR45" s="3083">
        <f t="shared" si="102"/>
        <v>225</v>
      </c>
      <c r="BS45" s="3157">
        <f t="shared" si="77"/>
        <v>9.1892349594163521E-5</v>
      </c>
      <c r="BT45" s="3044"/>
      <c r="BU45" s="3040"/>
      <c r="BV45" s="3049"/>
      <c r="BW45" s="3083">
        <f t="shared" si="103"/>
        <v>0</v>
      </c>
      <c r="BX45" s="3157">
        <f t="shared" si="78"/>
        <v>0</v>
      </c>
      <c r="BY45" s="3044"/>
      <c r="BZ45" s="3040"/>
      <c r="CA45" s="3049"/>
      <c r="CB45" s="3083">
        <f t="shared" si="104"/>
        <v>0</v>
      </c>
      <c r="CC45" s="3157">
        <f t="shared" si="79"/>
        <v>0</v>
      </c>
      <c r="CD45" s="3044"/>
      <c r="CE45" s="3040"/>
      <c r="CF45" s="3049"/>
      <c r="CG45" s="3083">
        <f t="shared" si="105"/>
        <v>0</v>
      </c>
      <c r="CH45" s="3157">
        <f t="shared" si="80"/>
        <v>0</v>
      </c>
      <c r="CI45" s="3044"/>
      <c r="CJ45" s="3040"/>
      <c r="CK45" s="3049"/>
      <c r="CL45" s="3083">
        <f t="shared" si="106"/>
        <v>0</v>
      </c>
      <c r="CM45" s="3157">
        <f t="shared" si="81"/>
        <v>0</v>
      </c>
      <c r="CN45" s="3044"/>
      <c r="CO45" s="2043">
        <f t="shared" si="107"/>
        <v>26055</v>
      </c>
      <c r="CP45" s="2043">
        <f t="shared" si="108"/>
        <v>0</v>
      </c>
      <c r="CQ45" s="3097">
        <f t="shared" si="109"/>
        <v>26055</v>
      </c>
      <c r="CR45" s="2788">
        <f t="shared" si="82"/>
        <v>2.7691424301511114E-4</v>
      </c>
      <c r="CS45" s="2792"/>
      <c r="CT45" s="919"/>
      <c r="CU45" s="1564"/>
      <c r="CV45" s="1564"/>
      <c r="CW45" s="1564"/>
    </row>
    <row r="46" spans="1:178" ht="14.4" customHeight="1" outlineLevel="2">
      <c r="A46" s="4833"/>
      <c r="B46" s="2791" t="s">
        <v>29</v>
      </c>
      <c r="C46" s="2790"/>
      <c r="D46" s="2805"/>
      <c r="E46" s="3081">
        <f t="shared" si="83"/>
        <v>0</v>
      </c>
      <c r="F46" s="2788" t="e">
        <f t="shared" si="70"/>
        <v>#DIV/0!</v>
      </c>
      <c r="G46" s="1979">
        <v>0</v>
      </c>
      <c r="H46" s="2051">
        <v>0</v>
      </c>
      <c r="I46" s="3082">
        <f t="shared" si="84"/>
        <v>0</v>
      </c>
      <c r="J46" s="3003">
        <f t="shared" si="71"/>
        <v>0</v>
      </c>
      <c r="K46" s="2046"/>
      <c r="L46" s="2046"/>
      <c r="M46" s="3039"/>
      <c r="N46" s="3040"/>
      <c r="O46" s="3093">
        <f t="shared" si="85"/>
        <v>0</v>
      </c>
      <c r="P46" s="3042">
        <f t="shared" si="86"/>
        <v>0</v>
      </c>
      <c r="Q46" s="3044"/>
      <c r="R46" s="3040"/>
      <c r="S46" s="3040"/>
      <c r="T46" s="3083">
        <f t="shared" si="87"/>
        <v>0</v>
      </c>
      <c r="U46" s="3157">
        <f t="shared" si="88"/>
        <v>0</v>
      </c>
      <c r="V46" s="3044"/>
      <c r="W46" s="3040"/>
      <c r="X46" s="3049"/>
      <c r="Y46" s="3083">
        <f t="shared" si="89"/>
        <v>0</v>
      </c>
      <c r="Z46" s="3157">
        <f t="shared" si="90"/>
        <v>0</v>
      </c>
      <c r="AA46" s="3044"/>
      <c r="AB46" s="3040"/>
      <c r="AC46" s="3049"/>
      <c r="AD46" s="3083">
        <f t="shared" si="91"/>
        <v>0</v>
      </c>
      <c r="AE46" s="3157">
        <f t="shared" si="92"/>
        <v>0</v>
      </c>
      <c r="AF46" s="3044"/>
      <c r="AG46" s="3040"/>
      <c r="AH46" s="3049"/>
      <c r="AI46" s="3083">
        <f t="shared" si="93"/>
        <v>0</v>
      </c>
      <c r="AJ46" s="3157">
        <f t="shared" si="94"/>
        <v>0</v>
      </c>
      <c r="AK46" s="3044"/>
      <c r="AL46" s="3040"/>
      <c r="AM46" s="3049"/>
      <c r="AN46" s="3083">
        <f t="shared" si="95"/>
        <v>0</v>
      </c>
      <c r="AO46" s="3157">
        <f t="shared" si="72"/>
        <v>0</v>
      </c>
      <c r="AP46" s="3044"/>
      <c r="AQ46" s="3040"/>
      <c r="AR46" s="3049"/>
      <c r="AS46" s="3083">
        <f t="shared" si="96"/>
        <v>0</v>
      </c>
      <c r="AT46" s="3157">
        <f t="shared" si="97"/>
        <v>0</v>
      </c>
      <c r="AU46" s="3044"/>
      <c r="AV46" s="3040"/>
      <c r="AW46" s="3049"/>
      <c r="AX46" s="3083">
        <f t="shared" si="98"/>
        <v>0</v>
      </c>
      <c r="AY46" s="3157">
        <f t="shared" si="73"/>
        <v>0</v>
      </c>
      <c r="AZ46" s="3044"/>
      <c r="BA46" s="3040"/>
      <c r="BB46" s="3049"/>
      <c r="BC46" s="3083">
        <f t="shared" si="99"/>
        <v>0</v>
      </c>
      <c r="BD46" s="3157">
        <f t="shared" si="74"/>
        <v>0</v>
      </c>
      <c r="BE46" s="3044"/>
      <c r="BF46" s="3040"/>
      <c r="BG46" s="3049"/>
      <c r="BH46" s="3083">
        <f t="shared" si="100"/>
        <v>0</v>
      </c>
      <c r="BI46" s="3157">
        <f t="shared" si="75"/>
        <v>0</v>
      </c>
      <c r="BJ46" s="3044"/>
      <c r="BK46" s="3040"/>
      <c r="BL46" s="3049"/>
      <c r="BM46" s="3083">
        <f t="shared" si="101"/>
        <v>0</v>
      </c>
      <c r="BN46" s="3157">
        <f t="shared" si="76"/>
        <v>0</v>
      </c>
      <c r="BO46" s="3044"/>
      <c r="BP46" s="3040"/>
      <c r="BQ46" s="3049"/>
      <c r="BR46" s="3083">
        <f t="shared" si="102"/>
        <v>0</v>
      </c>
      <c r="BS46" s="3157">
        <f t="shared" si="77"/>
        <v>0</v>
      </c>
      <c r="BT46" s="3044"/>
      <c r="BU46" s="3040"/>
      <c r="BV46" s="3049"/>
      <c r="BW46" s="3083">
        <f t="shared" si="103"/>
        <v>0</v>
      </c>
      <c r="BX46" s="3157">
        <f t="shared" si="78"/>
        <v>0</v>
      </c>
      <c r="BY46" s="3044"/>
      <c r="BZ46" s="3040"/>
      <c r="CA46" s="3049"/>
      <c r="CB46" s="3083">
        <f t="shared" si="104"/>
        <v>0</v>
      </c>
      <c r="CC46" s="3157">
        <f t="shared" si="79"/>
        <v>0</v>
      </c>
      <c r="CD46" s="3044"/>
      <c r="CE46" s="3040"/>
      <c r="CF46" s="3049"/>
      <c r="CG46" s="3083">
        <f t="shared" si="105"/>
        <v>0</v>
      </c>
      <c r="CH46" s="3157">
        <f t="shared" si="80"/>
        <v>0</v>
      </c>
      <c r="CI46" s="3044"/>
      <c r="CJ46" s="3040"/>
      <c r="CK46" s="3049"/>
      <c r="CL46" s="3083">
        <f t="shared" si="106"/>
        <v>0</v>
      </c>
      <c r="CM46" s="3157">
        <f t="shared" si="81"/>
        <v>0</v>
      </c>
      <c r="CN46" s="3044"/>
      <c r="CO46" s="2043">
        <f t="shared" si="107"/>
        <v>0</v>
      </c>
      <c r="CP46" s="2043">
        <f t="shared" si="108"/>
        <v>0</v>
      </c>
      <c r="CQ46" s="3081">
        <f t="shared" si="109"/>
        <v>0</v>
      </c>
      <c r="CR46" s="2788">
        <f t="shared" si="82"/>
        <v>0</v>
      </c>
      <c r="CS46" s="2792"/>
      <c r="CT46" s="919"/>
      <c r="CU46" s="1564"/>
      <c r="CV46" s="1564"/>
      <c r="CW46" s="1564"/>
    </row>
    <row r="47" spans="1:178" ht="22.95" customHeight="1" outlineLevel="2">
      <c r="A47" s="4833"/>
      <c r="B47" s="2791" t="s">
        <v>30</v>
      </c>
      <c r="C47" s="2790"/>
      <c r="D47" s="2805"/>
      <c r="E47" s="3081">
        <f t="shared" si="83"/>
        <v>0</v>
      </c>
      <c r="F47" s="2788" t="e">
        <f t="shared" si="70"/>
        <v>#DIV/0!</v>
      </c>
      <c r="G47" s="2538">
        <v>29145.309999999998</v>
      </c>
      <c r="H47" s="2105">
        <v>879.79</v>
      </c>
      <c r="I47" s="3098">
        <f t="shared" si="84"/>
        <v>30025.1</v>
      </c>
      <c r="J47" s="3099">
        <f t="shared" si="71"/>
        <v>5.484250047211143E-4</v>
      </c>
      <c r="K47" s="1754"/>
      <c r="L47" s="1754"/>
      <c r="M47" s="3039">
        <v>2311.06</v>
      </c>
      <c r="N47" s="3040"/>
      <c r="O47" s="3093">
        <f t="shared" si="85"/>
        <v>2311.06</v>
      </c>
      <c r="P47" s="3042">
        <f t="shared" si="86"/>
        <v>3.3230391951965502E-4</v>
      </c>
      <c r="Q47" s="3044"/>
      <c r="R47" s="3040">
        <f>4126.16+406.05</f>
        <v>4532.21</v>
      </c>
      <c r="S47" s="3040">
        <v>93.79</v>
      </c>
      <c r="T47" s="3083">
        <f t="shared" si="87"/>
        <v>4626</v>
      </c>
      <c r="U47" s="3157">
        <f t="shared" si="88"/>
        <v>6.651657385346655E-4</v>
      </c>
      <c r="V47" s="3044" t="s">
        <v>486</v>
      </c>
      <c r="W47" s="3040">
        <v>1505.17</v>
      </c>
      <c r="X47" s="3049">
        <v>636</v>
      </c>
      <c r="Y47" s="3083">
        <f t="shared" si="89"/>
        <v>2141.17</v>
      </c>
      <c r="Z47" s="3157">
        <f t="shared" si="90"/>
        <v>3.0787568620369E-4</v>
      </c>
      <c r="AA47" s="3044" t="s">
        <v>1547</v>
      </c>
      <c r="AB47" s="3040">
        <v>5838.78</v>
      </c>
      <c r="AC47" s="3049"/>
      <c r="AD47" s="3083">
        <f t="shared" si="91"/>
        <v>5838.78</v>
      </c>
      <c r="AE47" s="3157">
        <f t="shared" si="92"/>
        <v>8.3954959162158113E-4</v>
      </c>
      <c r="AF47" s="3044" t="s">
        <v>486</v>
      </c>
      <c r="AG47" s="3040">
        <v>15364.14</v>
      </c>
      <c r="AH47" s="3049">
        <v>150</v>
      </c>
      <c r="AI47" s="3083">
        <f t="shared" si="93"/>
        <v>15514.14</v>
      </c>
      <c r="AJ47" s="3157">
        <f t="shared" si="94"/>
        <v>2.2307553806377423E-3</v>
      </c>
      <c r="AK47" s="3044" t="s">
        <v>1548</v>
      </c>
      <c r="AL47" s="3040">
        <v>6378.71</v>
      </c>
      <c r="AM47" s="3049"/>
      <c r="AN47" s="3083">
        <f t="shared" si="95"/>
        <v>6378.71</v>
      </c>
      <c r="AO47" s="3157">
        <f t="shared" si="72"/>
        <v>9.9480613912357333E-4</v>
      </c>
      <c r="AP47" s="3044" t="s">
        <v>486</v>
      </c>
      <c r="AQ47" s="3040">
        <v>8305.73</v>
      </c>
      <c r="AR47" s="3049"/>
      <c r="AS47" s="3083">
        <f t="shared" si="96"/>
        <v>8305.73</v>
      </c>
      <c r="AT47" s="3157">
        <f t="shared" si="97"/>
        <v>1.1942687050409701E-3</v>
      </c>
      <c r="AU47" s="3044" t="s">
        <v>486</v>
      </c>
      <c r="AV47" s="3040">
        <v>4979.0600000000004</v>
      </c>
      <c r="AW47" s="3049"/>
      <c r="AX47" s="3083">
        <f t="shared" si="98"/>
        <v>4979.0600000000004</v>
      </c>
      <c r="AY47" s="3157">
        <f t="shared" si="73"/>
        <v>1.7172031284618053E-3</v>
      </c>
      <c r="AZ47" s="3044" t="s">
        <v>486</v>
      </c>
      <c r="BA47" s="3040">
        <f>3129.36-0.99</f>
        <v>3128.3700000000003</v>
      </c>
      <c r="BB47" s="3049"/>
      <c r="BC47" s="3083">
        <f t="shared" si="99"/>
        <v>3128.3700000000003</v>
      </c>
      <c r="BD47" s="3044" t="s">
        <v>486</v>
      </c>
      <c r="BE47" s="3044"/>
      <c r="BF47" s="3040">
        <v>5003.16</v>
      </c>
      <c r="BG47" s="3049">
        <v>75</v>
      </c>
      <c r="BH47" s="3083">
        <f t="shared" si="100"/>
        <v>5078.16</v>
      </c>
      <c r="BI47" s="3044">
        <f t="shared" si="75"/>
        <v>1.1139593908128357E-3</v>
      </c>
      <c r="BJ47" s="3044"/>
      <c r="BK47" s="3040">
        <v>839.58</v>
      </c>
      <c r="BL47" s="3049">
        <v>80</v>
      </c>
      <c r="BM47" s="3083">
        <f t="shared" si="101"/>
        <v>919.58</v>
      </c>
      <c r="BN47" s="3157">
        <f t="shared" si="76"/>
        <v>1.5155853588233646E-4</v>
      </c>
      <c r="BO47" s="3044"/>
      <c r="BP47" s="3040">
        <f>780.07+0.004</f>
        <v>780.07400000000007</v>
      </c>
      <c r="BQ47" s="3049">
        <v>43</v>
      </c>
      <c r="BR47" s="3083">
        <f t="shared" si="102"/>
        <v>823.07400000000007</v>
      </c>
      <c r="BS47" s="3157">
        <f t="shared" si="77"/>
        <v>3.3615201666607357E-4</v>
      </c>
      <c r="BT47" s="3044" t="s">
        <v>1478</v>
      </c>
      <c r="BU47" s="3040">
        <f>135.01+288.33*1.2+7</f>
        <v>488.00599999999997</v>
      </c>
      <c r="BV47" s="3049"/>
      <c r="BW47" s="3083">
        <f t="shared" si="103"/>
        <v>488.00599999999997</v>
      </c>
      <c r="BX47" s="3157">
        <f t="shared" si="78"/>
        <v>9.040290285190827E-4</v>
      </c>
      <c r="BY47" s="3044" t="s">
        <v>1643</v>
      </c>
      <c r="BZ47" s="3040"/>
      <c r="CA47" s="3049"/>
      <c r="CB47" s="3083">
        <f t="shared" si="104"/>
        <v>0</v>
      </c>
      <c r="CC47" s="3157">
        <f t="shared" si="79"/>
        <v>0</v>
      </c>
      <c r="CD47" s="3044"/>
      <c r="CE47" s="3040"/>
      <c r="CF47" s="3049"/>
      <c r="CG47" s="3083">
        <f t="shared" si="105"/>
        <v>0</v>
      </c>
      <c r="CH47" s="3157">
        <f t="shared" si="80"/>
        <v>0</v>
      </c>
      <c r="CI47" s="3044"/>
      <c r="CJ47" s="3040"/>
      <c r="CK47" s="3049"/>
      <c r="CL47" s="3083">
        <f t="shared" si="106"/>
        <v>0</v>
      </c>
      <c r="CM47" s="3157">
        <f t="shared" si="81"/>
        <v>0</v>
      </c>
      <c r="CN47" s="3044"/>
      <c r="CO47" s="2043">
        <f t="shared" si="107"/>
        <v>59454.05</v>
      </c>
      <c r="CP47" s="2043">
        <f t="shared" si="108"/>
        <v>1077.79</v>
      </c>
      <c r="CQ47" s="3097">
        <f t="shared" si="109"/>
        <v>60531.840000000004</v>
      </c>
      <c r="CR47" s="2788">
        <f t="shared" si="82"/>
        <v>6.4333635202117924E-4</v>
      </c>
      <c r="CS47" s="2792"/>
      <c r="CT47" s="919"/>
      <c r="CU47" s="1564"/>
      <c r="CV47" s="1564"/>
      <c r="CW47" s="1564"/>
    </row>
    <row r="48" spans="1:178" ht="14.4" customHeight="1" outlineLevel="2">
      <c r="A48" s="4833"/>
      <c r="B48" s="2791" t="s">
        <v>15</v>
      </c>
      <c r="C48" s="2790"/>
      <c r="D48" s="2805"/>
      <c r="E48" s="3081">
        <f t="shared" si="83"/>
        <v>0</v>
      </c>
      <c r="F48" s="2788" t="e">
        <f t="shared" si="70"/>
        <v>#DIV/0!</v>
      </c>
      <c r="G48" s="1979">
        <v>14426.539999999999</v>
      </c>
      <c r="H48" s="2051">
        <v>0</v>
      </c>
      <c r="I48" s="3082">
        <f t="shared" si="84"/>
        <v>14426.539999999999</v>
      </c>
      <c r="J48" s="3003">
        <f t="shared" si="71"/>
        <v>2.6350870663575953E-4</v>
      </c>
      <c r="K48" s="2806"/>
      <c r="L48" s="2806"/>
      <c r="M48" s="3039">
        <v>2840</v>
      </c>
      <c r="N48" s="3040"/>
      <c r="O48" s="3093">
        <f t="shared" si="85"/>
        <v>2840</v>
      </c>
      <c r="P48" s="3042">
        <f t="shared" si="86"/>
        <v>4.0835942443546264E-4</v>
      </c>
      <c r="Q48" s="3171"/>
      <c r="R48" s="2051"/>
      <c r="S48" s="2043"/>
      <c r="T48" s="3081">
        <f t="shared" si="87"/>
        <v>0</v>
      </c>
      <c r="U48" s="2788">
        <f t="shared" si="88"/>
        <v>0</v>
      </c>
      <c r="V48" s="2806"/>
      <c r="W48" s="3040">
        <v>1918.48</v>
      </c>
      <c r="X48" s="3049"/>
      <c r="Y48" s="3083">
        <f t="shared" si="89"/>
        <v>1918.48</v>
      </c>
      <c r="Z48" s="3157">
        <f t="shared" si="90"/>
        <v>2.7585541851793887E-4</v>
      </c>
      <c r="AA48" s="3171"/>
      <c r="AB48" s="3040">
        <v>1000.8</v>
      </c>
      <c r="AC48" s="3049"/>
      <c r="AD48" s="3083">
        <f t="shared" si="91"/>
        <v>1000.8</v>
      </c>
      <c r="AE48" s="3157">
        <f t="shared" si="92"/>
        <v>1.4390356055458134E-4</v>
      </c>
      <c r="AF48" s="3171" t="s">
        <v>1549</v>
      </c>
      <c r="AG48" s="3040"/>
      <c r="AH48" s="3049"/>
      <c r="AI48" s="3083">
        <f t="shared" si="93"/>
        <v>0</v>
      </c>
      <c r="AJ48" s="3157">
        <f t="shared" si="94"/>
        <v>0</v>
      </c>
      <c r="AK48" s="3171"/>
      <c r="AL48" s="2051"/>
      <c r="AM48" s="2043"/>
      <c r="AN48" s="3081">
        <f t="shared" si="95"/>
        <v>0</v>
      </c>
      <c r="AO48" s="2788">
        <f t="shared" si="72"/>
        <v>0</v>
      </c>
      <c r="AP48" s="2806"/>
      <c r="AQ48" s="3040">
        <f>42*1.2</f>
        <v>50.4</v>
      </c>
      <c r="AR48" s="3049"/>
      <c r="AS48" s="3083">
        <f t="shared" si="96"/>
        <v>50.4</v>
      </c>
      <c r="AT48" s="3157">
        <f t="shared" si="97"/>
        <v>7.2469418984321538E-6</v>
      </c>
      <c r="AU48" s="3171"/>
      <c r="AV48" s="3040">
        <f>623.55*1.2+520</f>
        <v>1268.2599999999998</v>
      </c>
      <c r="AW48" s="3049"/>
      <c r="AX48" s="3083">
        <f t="shared" si="98"/>
        <v>1268.2599999999998</v>
      </c>
      <c r="AY48" s="3157">
        <f t="shared" si="73"/>
        <v>4.3740385528653371E-4</v>
      </c>
      <c r="AZ48" s="3171"/>
      <c r="BA48" s="3040"/>
      <c r="BB48" s="3049"/>
      <c r="BC48" s="3083">
        <f t="shared" si="99"/>
        <v>0</v>
      </c>
      <c r="BD48" s="3157">
        <f t="shared" si="74"/>
        <v>0</v>
      </c>
      <c r="BE48" s="3044"/>
      <c r="BF48" s="3040">
        <f>287.35*1.2</f>
        <v>344.82</v>
      </c>
      <c r="BG48" s="3049"/>
      <c r="BH48" s="3083">
        <f t="shared" si="100"/>
        <v>344.82</v>
      </c>
      <c r="BI48" s="3157">
        <f t="shared" si="75"/>
        <v>7.564068031335799E-5</v>
      </c>
      <c r="BJ48" s="3044"/>
      <c r="BK48" s="3040">
        <f>313.65*1.2</f>
        <v>376.37999999999994</v>
      </c>
      <c r="BL48" s="3049"/>
      <c r="BM48" s="3083">
        <f t="shared" si="101"/>
        <v>376.37999999999994</v>
      </c>
      <c r="BN48" s="3157">
        <f t="shared" si="76"/>
        <v>6.2032233993120539E-5</v>
      </c>
      <c r="BO48" s="3044"/>
      <c r="BP48" s="3040">
        <v>88.559999999999988</v>
      </c>
      <c r="BQ48" s="3049"/>
      <c r="BR48" s="3083">
        <f t="shared" si="102"/>
        <v>88.559999999999988</v>
      </c>
      <c r="BS48" s="3157">
        <f t="shared" si="77"/>
        <v>3.6168828800262758E-5</v>
      </c>
      <c r="BT48" s="3044"/>
      <c r="BU48" s="3040"/>
      <c r="BV48" s="3049"/>
      <c r="BW48" s="3083">
        <f t="shared" si="103"/>
        <v>0</v>
      </c>
      <c r="BX48" s="3157">
        <f t="shared" si="78"/>
        <v>0</v>
      </c>
      <c r="BY48" s="3044"/>
      <c r="BZ48" s="3040"/>
      <c r="CA48" s="3049"/>
      <c r="CB48" s="3083">
        <f t="shared" si="104"/>
        <v>0</v>
      </c>
      <c r="CC48" s="3157">
        <f t="shared" si="79"/>
        <v>0</v>
      </c>
      <c r="CD48" s="3044"/>
      <c r="CE48" s="3040"/>
      <c r="CF48" s="3049"/>
      <c r="CG48" s="3083">
        <f t="shared" si="105"/>
        <v>0</v>
      </c>
      <c r="CH48" s="3157">
        <f t="shared" si="80"/>
        <v>0</v>
      </c>
      <c r="CI48" s="3044"/>
      <c r="CJ48" s="3040"/>
      <c r="CK48" s="3049"/>
      <c r="CL48" s="3083">
        <f t="shared" si="106"/>
        <v>0</v>
      </c>
      <c r="CM48" s="3157">
        <f t="shared" si="81"/>
        <v>0</v>
      </c>
      <c r="CN48" s="3044"/>
      <c r="CO48" s="2043">
        <f t="shared" si="107"/>
        <v>7887.6999999999989</v>
      </c>
      <c r="CP48" s="2043">
        <f t="shared" si="108"/>
        <v>0</v>
      </c>
      <c r="CQ48" s="3097">
        <f t="shared" si="109"/>
        <v>7887.6999999999989</v>
      </c>
      <c r="CR48" s="2788">
        <f t="shared" si="82"/>
        <v>8.3830991158330136E-5</v>
      </c>
      <c r="CS48" s="2792"/>
      <c r="CT48" s="919"/>
      <c r="CU48" s="1564"/>
      <c r="CV48" s="1564"/>
      <c r="CW48" s="1564"/>
    </row>
    <row r="49" spans="1:178" s="1396" customFormat="1" ht="14.4" customHeight="1" outlineLevel="2" thickBot="1">
      <c r="A49" s="1405"/>
      <c r="B49" s="3172"/>
      <c r="C49" s="2796"/>
      <c r="D49" s="2807"/>
      <c r="E49" s="2808"/>
      <c r="F49" s="2809"/>
      <c r="G49" s="1979"/>
      <c r="H49" s="2051"/>
      <c r="I49" s="3007"/>
      <c r="J49" s="3003"/>
      <c r="K49" s="2927"/>
      <c r="L49" s="2927"/>
      <c r="M49" s="3039"/>
      <c r="N49" s="3040"/>
      <c r="O49" s="3045"/>
      <c r="P49" s="3042"/>
      <c r="Q49" s="3046"/>
      <c r="R49" s="2051"/>
      <c r="S49" s="2043"/>
      <c r="T49" s="2908"/>
      <c r="U49" s="2788"/>
      <c r="V49" s="2927"/>
      <c r="W49" s="2051"/>
      <c r="X49" s="2043"/>
      <c r="Y49" s="2908"/>
      <c r="Z49" s="2788"/>
      <c r="AA49" s="2927"/>
      <c r="AB49" s="2056"/>
      <c r="AC49" s="2050"/>
      <c r="AD49" s="3008"/>
      <c r="AE49" s="3173"/>
      <c r="AF49" s="3014"/>
      <c r="AG49" s="2051"/>
      <c r="AH49" s="2043"/>
      <c r="AI49" s="2908"/>
      <c r="AJ49" s="2788"/>
      <c r="AK49" s="2927"/>
      <c r="AL49" s="2051"/>
      <c r="AM49" s="2043"/>
      <c r="AN49" s="2908"/>
      <c r="AO49" s="2788">
        <f t="shared" si="72"/>
        <v>0</v>
      </c>
      <c r="AP49" s="2927"/>
      <c r="AQ49" s="2051"/>
      <c r="AR49" s="2043"/>
      <c r="AS49" s="2908"/>
      <c r="AT49" s="2788"/>
      <c r="AU49" s="2927"/>
      <c r="AV49" s="3040"/>
      <c r="AW49" s="3049"/>
      <c r="AX49" s="3100"/>
      <c r="AY49" s="3157"/>
      <c r="AZ49" s="3046"/>
      <c r="BA49" s="2051"/>
      <c r="BB49" s="2043"/>
      <c r="BC49" s="2908"/>
      <c r="BD49" s="2788"/>
      <c r="BE49" s="2927"/>
      <c r="BF49" s="2051"/>
      <c r="BG49" s="2043"/>
      <c r="BH49" s="2908"/>
      <c r="BI49" s="2788"/>
      <c r="BJ49" s="2927"/>
      <c r="BK49" s="2051"/>
      <c r="BL49" s="2043"/>
      <c r="BM49" s="2908"/>
      <c r="BN49" s="2788"/>
      <c r="BO49" s="2927"/>
      <c r="BP49" s="3040"/>
      <c r="BQ49" s="3049"/>
      <c r="BR49" s="3100"/>
      <c r="BS49" s="3157"/>
      <c r="BT49" s="3046"/>
      <c r="BU49" s="3040"/>
      <c r="BV49" s="3049"/>
      <c r="BW49" s="3100"/>
      <c r="BX49" s="3157"/>
      <c r="BY49" s="3046"/>
      <c r="BZ49" s="3040"/>
      <c r="CA49" s="3049"/>
      <c r="CB49" s="3100"/>
      <c r="CC49" s="3157"/>
      <c r="CD49" s="3046"/>
      <c r="CE49" s="3040"/>
      <c r="CF49" s="3049"/>
      <c r="CG49" s="3100"/>
      <c r="CH49" s="3157"/>
      <c r="CI49" s="3046"/>
      <c r="CJ49" s="3040"/>
      <c r="CK49" s="3049"/>
      <c r="CL49" s="3100"/>
      <c r="CM49" s="3157"/>
      <c r="CN49" s="3046"/>
      <c r="CO49" s="2043">
        <f>G49+AL49+AQ49+AV49+BA49+BF49</f>
        <v>0</v>
      </c>
      <c r="CP49" s="2043">
        <f>H49+AM49+AR49+AW49+BB49+BG49</f>
        <v>0</v>
      </c>
      <c r="CQ49" s="2908"/>
      <c r="CR49" s="2788">
        <f t="shared" si="82"/>
        <v>0</v>
      </c>
      <c r="CS49" s="2908"/>
      <c r="CT49" s="919"/>
      <c r="CU49" s="1564"/>
      <c r="CV49" s="1564"/>
      <c r="CW49" s="1564"/>
      <c r="CX49" s="1564"/>
      <c r="CY49" s="1564"/>
      <c r="CZ49" s="1564"/>
      <c r="DA49" s="1564"/>
      <c r="DB49" s="1564"/>
      <c r="DC49" s="1564"/>
      <c r="DD49" s="1564"/>
      <c r="DE49" s="1564"/>
      <c r="DF49" s="1564"/>
      <c r="DG49" s="1564"/>
      <c r="DH49" s="1564"/>
      <c r="DI49" s="1564"/>
      <c r="DJ49" s="1564"/>
      <c r="DK49" s="1564"/>
      <c r="DL49" s="1564"/>
      <c r="DM49" s="1564"/>
      <c r="DN49" s="1564"/>
      <c r="DO49" s="1564"/>
      <c r="DP49" s="1564"/>
      <c r="DQ49" s="1564"/>
      <c r="DR49" s="1564"/>
      <c r="DS49" s="1564"/>
      <c r="DT49" s="1564"/>
      <c r="DU49" s="1564"/>
      <c r="DV49" s="1564"/>
      <c r="DW49" s="1564"/>
      <c r="DX49" s="1564"/>
      <c r="DY49" s="1564"/>
      <c r="DZ49" s="1564"/>
      <c r="EA49" s="1564"/>
      <c r="EB49" s="1564"/>
      <c r="EC49" s="1564"/>
      <c r="ED49" s="1564"/>
      <c r="EE49" s="1564"/>
      <c r="EF49" s="1564"/>
      <c r="EG49" s="1564"/>
      <c r="EH49" s="1564"/>
      <c r="EI49" s="1564"/>
      <c r="EJ49" s="1564"/>
      <c r="EK49" s="1564"/>
      <c r="EL49" s="1564"/>
      <c r="EM49" s="1564"/>
      <c r="EN49" s="1564"/>
      <c r="EO49" s="1564"/>
      <c r="EP49" s="1564"/>
      <c r="EQ49" s="1564"/>
      <c r="ER49" s="1564"/>
      <c r="ES49" s="1564"/>
      <c r="ET49" s="1564"/>
      <c r="EU49" s="1564"/>
      <c r="EV49" s="1564"/>
      <c r="EW49" s="1564"/>
      <c r="EX49" s="1564"/>
      <c r="EY49" s="1564"/>
      <c r="EZ49" s="1564"/>
      <c r="FA49" s="1564"/>
      <c r="FB49" s="1564"/>
      <c r="FC49" s="1564"/>
      <c r="FD49" s="1564"/>
      <c r="FE49" s="1564"/>
      <c r="FF49" s="1564"/>
      <c r="FG49" s="1564"/>
      <c r="FH49" s="1564"/>
      <c r="FI49" s="1564"/>
      <c r="FJ49" s="1564"/>
      <c r="FK49" s="1564"/>
      <c r="FL49" s="1564"/>
      <c r="FM49" s="1564"/>
      <c r="FN49" s="1564"/>
      <c r="FO49" s="1564"/>
      <c r="FP49" s="1564"/>
      <c r="FQ49" s="1564"/>
      <c r="FR49" s="1564"/>
      <c r="FS49" s="1564"/>
      <c r="FT49" s="1564"/>
      <c r="FU49" s="1564"/>
      <c r="FV49" s="1564"/>
    </row>
    <row r="50" spans="1:178" s="1396" customFormat="1" ht="14.4" customHeight="1" outlineLevel="1">
      <c r="A50" s="1565"/>
      <c r="B50" s="983" t="s">
        <v>59</v>
      </c>
      <c r="C50" s="2015">
        <f>SUM(C51:C52)</f>
        <v>0</v>
      </c>
      <c r="D50" s="2015">
        <f>SUM(D51:D52)</f>
        <v>0</v>
      </c>
      <c r="E50" s="2015">
        <f>SUM(E51:E52)</f>
        <v>0</v>
      </c>
      <c r="F50" s="1534" t="e">
        <f>E50/$E$89</f>
        <v>#DIV/0!</v>
      </c>
      <c r="G50" s="2015">
        <f>G52+G51</f>
        <v>0</v>
      </c>
      <c r="H50" s="1975">
        <f>H52+H51</f>
        <v>0</v>
      </c>
      <c r="I50" s="2015">
        <f>SUM(I51:I52)</f>
        <v>0</v>
      </c>
      <c r="J50" s="2006">
        <f t="shared" ref="J50:J52" si="110">I50/I$89</f>
        <v>0</v>
      </c>
      <c r="K50" s="1984"/>
      <c r="L50" s="1984"/>
      <c r="M50" s="2015">
        <v>0</v>
      </c>
      <c r="N50" s="1975">
        <v>0</v>
      </c>
      <c r="O50" s="2015">
        <f>SUM(O51:O52)</f>
        <v>0</v>
      </c>
      <c r="P50" s="2006">
        <f>O50/$AS$89</f>
        <v>0</v>
      </c>
      <c r="Q50" s="1984"/>
      <c r="R50" s="2015">
        <v>0</v>
      </c>
      <c r="S50" s="2015">
        <v>0</v>
      </c>
      <c r="T50" s="2015">
        <f>SUM(T51:T52)</f>
        <v>0</v>
      </c>
      <c r="U50" s="2006">
        <f>T50/$AS$89</f>
        <v>0</v>
      </c>
      <c r="V50" s="1984"/>
      <c r="W50" s="2015">
        <v>0</v>
      </c>
      <c r="X50" s="2015">
        <v>0</v>
      </c>
      <c r="Y50" s="2015">
        <f>SUM(Y51:Y52)</f>
        <v>0</v>
      </c>
      <c r="Z50" s="2006">
        <f>Y50/$AS$89</f>
        <v>0</v>
      </c>
      <c r="AA50" s="1984"/>
      <c r="AB50" s="2040">
        <v>0</v>
      </c>
      <c r="AC50" s="2040">
        <v>0</v>
      </c>
      <c r="AD50" s="2040">
        <f>SUM(AD51:AD52)</f>
        <v>0</v>
      </c>
      <c r="AE50" s="2039">
        <f>AD50/$AS$89</f>
        <v>0</v>
      </c>
      <c r="AF50" s="1796"/>
      <c r="AG50" s="2015">
        <f>AG52+AG51</f>
        <v>0</v>
      </c>
      <c r="AH50" s="2015">
        <f>AH52+AH51</f>
        <v>0</v>
      </c>
      <c r="AI50" s="2015">
        <f>SUM(AI51:AI52)</f>
        <v>0</v>
      </c>
      <c r="AJ50" s="2006">
        <f>AI50/$AS$89</f>
        <v>0</v>
      </c>
      <c r="AK50" s="1984"/>
      <c r="AL50" s="2015">
        <f>AL52+AL51</f>
        <v>0</v>
      </c>
      <c r="AM50" s="2015">
        <f>AM52+AM51</f>
        <v>0</v>
      </c>
      <c r="AN50" s="2015">
        <f>SUM(AN51:AN52)</f>
        <v>0</v>
      </c>
      <c r="AO50" s="2006">
        <f t="shared" ref="AO50:AO52" si="111">AN50/AN$89</f>
        <v>0</v>
      </c>
      <c r="AP50" s="1984"/>
      <c r="AQ50" s="2015">
        <f>AQ52+AQ51</f>
        <v>0</v>
      </c>
      <c r="AR50" s="2015">
        <f>AR52+AR51</f>
        <v>0</v>
      </c>
      <c r="AS50" s="2015">
        <f>SUM(AS51:AS52)</f>
        <v>0</v>
      </c>
      <c r="AT50" s="2006">
        <f>AS50/$AS$89</f>
        <v>0</v>
      </c>
      <c r="AU50" s="1984"/>
      <c r="AV50" s="2015">
        <f>AV52+AV51</f>
        <v>0</v>
      </c>
      <c r="AW50" s="2015">
        <f>AW52+AW51</f>
        <v>0</v>
      </c>
      <c r="AX50" s="2015">
        <f>SUM(AX51:AX52)</f>
        <v>0</v>
      </c>
      <c r="AY50" s="2006">
        <f t="shared" ref="AY50:AY52" si="112">AX50/AX$89</f>
        <v>0</v>
      </c>
      <c r="AZ50" s="1984"/>
      <c r="BA50" s="2015">
        <f>BA52+BA51</f>
        <v>0</v>
      </c>
      <c r="BB50" s="2015">
        <f>BB52+BB51</f>
        <v>0</v>
      </c>
      <c r="BC50" s="2015">
        <f>SUM(BC51:BC52)</f>
        <v>0</v>
      </c>
      <c r="BD50" s="2006">
        <f t="shared" ref="BD50:BD52" si="113">BC50/$BC$89</f>
        <v>0</v>
      </c>
      <c r="BE50" s="1984"/>
      <c r="BF50" s="2015">
        <f>BF52+BF51</f>
        <v>0</v>
      </c>
      <c r="BG50" s="2015">
        <f>BG52+BG51</f>
        <v>0</v>
      </c>
      <c r="BH50" s="2015">
        <f>SUM(BH51:BH52)</f>
        <v>0</v>
      </c>
      <c r="BI50" s="2006">
        <f t="shared" ref="BI50:BI52" si="114">BH50/BH$89</f>
        <v>0</v>
      </c>
      <c r="BJ50" s="1984"/>
      <c r="BK50" s="2015">
        <f>BK52+BK51</f>
        <v>0</v>
      </c>
      <c r="BL50" s="2015">
        <f>BL52+BL51</f>
        <v>0</v>
      </c>
      <c r="BM50" s="2015">
        <f>SUM(BM51:BM52)</f>
        <v>0</v>
      </c>
      <c r="BN50" s="2006">
        <f t="shared" ref="BN50:BN52" si="115">BM50/BM$89</f>
        <v>0</v>
      </c>
      <c r="BO50" s="1984"/>
      <c r="BP50" s="2015">
        <f>BP52+BP51</f>
        <v>0</v>
      </c>
      <c r="BQ50" s="2015">
        <f>BQ52+BQ51</f>
        <v>0</v>
      </c>
      <c r="BR50" s="2015">
        <f>SUM(BR51:BR52)</f>
        <v>0</v>
      </c>
      <c r="BS50" s="2006">
        <f t="shared" ref="BS50:BS52" si="116">BR50/BR$89</f>
        <v>0</v>
      </c>
      <c r="BT50" s="1984"/>
      <c r="BU50" s="2015">
        <f>BU52+BU51</f>
        <v>0</v>
      </c>
      <c r="BV50" s="2015">
        <f>BV52+BV51</f>
        <v>0</v>
      </c>
      <c r="BW50" s="2015">
        <f>SUM(BW51:BW52)</f>
        <v>0</v>
      </c>
      <c r="BX50" s="2006">
        <f t="shared" ref="BX50:BX52" si="117">BW50/BW$89</f>
        <v>0</v>
      </c>
      <c r="BY50" s="1984"/>
      <c r="BZ50" s="2015">
        <f>BZ52+BZ51</f>
        <v>0</v>
      </c>
      <c r="CA50" s="2015">
        <f>CA52+CA51</f>
        <v>0</v>
      </c>
      <c r="CB50" s="2015">
        <f>SUM(CB51:CB52)</f>
        <v>0</v>
      </c>
      <c r="CC50" s="2006">
        <f t="shared" ref="CC50:CC52" si="118">CB50/CB$89</f>
        <v>0</v>
      </c>
      <c r="CD50" s="1984"/>
      <c r="CE50" s="2015">
        <f>CE52+CE51</f>
        <v>0</v>
      </c>
      <c r="CF50" s="2015">
        <f>CF52+CF51</f>
        <v>0</v>
      </c>
      <c r="CG50" s="2015">
        <f>SUM(CG51:CG52)</f>
        <v>0</v>
      </c>
      <c r="CH50" s="2006">
        <f t="shared" ref="CH50:CH52" si="119">CG50/CG$89</f>
        <v>0</v>
      </c>
      <c r="CI50" s="1984"/>
      <c r="CJ50" s="2015">
        <f>CJ52+CJ51</f>
        <v>0</v>
      </c>
      <c r="CK50" s="2015">
        <f>CK52+CK51</f>
        <v>0</v>
      </c>
      <c r="CL50" s="2015">
        <f>SUM(CL51:CL52)</f>
        <v>0</v>
      </c>
      <c r="CM50" s="2006">
        <f t="shared" ref="CM50:CM52" si="120">CL50/CL$89</f>
        <v>0</v>
      </c>
      <c r="CN50" s="1984"/>
      <c r="CO50" s="2015">
        <f>CO52+CO51</f>
        <v>0</v>
      </c>
      <c r="CP50" s="2015">
        <f>CP52+CP51</f>
        <v>0</v>
      </c>
      <c r="CQ50" s="2015">
        <f>SUM(CQ51:CQ52)</f>
        <v>0</v>
      </c>
      <c r="CR50" s="2006"/>
      <c r="CS50" s="2006"/>
      <c r="CT50" s="919"/>
      <c r="CU50" s="1564"/>
      <c r="CV50" s="1564"/>
      <c r="CW50" s="1564"/>
      <c r="CX50" s="1564"/>
      <c r="CY50" s="1564"/>
      <c r="CZ50" s="1564"/>
      <c r="DA50" s="1564"/>
      <c r="DB50" s="1564"/>
      <c r="DC50" s="1564"/>
      <c r="DD50" s="1564"/>
      <c r="DE50" s="1564"/>
      <c r="DF50" s="1564"/>
      <c r="DG50" s="1564"/>
      <c r="DH50" s="1564"/>
      <c r="DI50" s="1564"/>
      <c r="DJ50" s="1564"/>
      <c r="DK50" s="1564"/>
      <c r="DL50" s="1564"/>
      <c r="DM50" s="1564"/>
      <c r="DN50" s="1564"/>
      <c r="DO50" s="1564"/>
      <c r="DP50" s="1564"/>
      <c r="DQ50" s="1564"/>
      <c r="DR50" s="1564"/>
      <c r="DS50" s="1564"/>
      <c r="DT50" s="1564"/>
      <c r="DU50" s="1564"/>
      <c r="DV50" s="1564"/>
      <c r="DW50" s="1564"/>
      <c r="DX50" s="1564"/>
      <c r="DY50" s="1564"/>
      <c r="DZ50" s="1564"/>
      <c r="EA50" s="1564"/>
      <c r="EB50" s="1564"/>
      <c r="EC50" s="1564"/>
      <c r="ED50" s="1564"/>
      <c r="EE50" s="1564"/>
      <c r="EF50" s="1564"/>
      <c r="EG50" s="1564"/>
      <c r="EH50" s="1564"/>
      <c r="EI50" s="1564"/>
      <c r="EJ50" s="1564"/>
      <c r="EK50" s="1564"/>
      <c r="EL50" s="1564"/>
      <c r="EM50" s="1564"/>
      <c r="EN50" s="1564"/>
      <c r="EO50" s="1564"/>
      <c r="EP50" s="1564"/>
      <c r="EQ50" s="1564"/>
      <c r="ER50" s="1564"/>
      <c r="ES50" s="1564"/>
      <c r="ET50" s="1564"/>
      <c r="EU50" s="1564"/>
      <c r="EV50" s="1564"/>
      <c r="EW50" s="1564"/>
      <c r="EX50" s="1564"/>
      <c r="EY50" s="1564"/>
      <c r="EZ50" s="1564"/>
      <c r="FA50" s="1564"/>
      <c r="FB50" s="1564"/>
      <c r="FC50" s="1564"/>
      <c r="FD50" s="1564"/>
      <c r="FE50" s="1564"/>
      <c r="FF50" s="1564"/>
      <c r="FG50" s="1564"/>
      <c r="FH50" s="1564"/>
      <c r="FI50" s="1564"/>
      <c r="FJ50" s="1564"/>
      <c r="FK50" s="1564"/>
      <c r="FL50" s="1564"/>
      <c r="FM50" s="1564"/>
      <c r="FN50" s="1564"/>
      <c r="FO50" s="1564"/>
      <c r="FP50" s="1564"/>
      <c r="FQ50" s="1564"/>
      <c r="FR50" s="1564"/>
      <c r="FS50" s="1564"/>
      <c r="FT50" s="1564"/>
      <c r="FU50" s="1564"/>
      <c r="FV50" s="1564"/>
    </row>
    <row r="51" spans="1:178" s="1564" customFormat="1" ht="14.4" customHeight="1" outlineLevel="1">
      <c r="A51" s="1568"/>
      <c r="B51" s="2791" t="s">
        <v>60</v>
      </c>
      <c r="C51" s="2790"/>
      <c r="D51" s="2805"/>
      <c r="E51" s="3081">
        <f>C51+D51</f>
        <v>0</v>
      </c>
      <c r="F51" s="2810" t="e">
        <f>E51/$E$89</f>
        <v>#DIV/0!</v>
      </c>
      <c r="G51" s="1979">
        <v>0</v>
      </c>
      <c r="H51" s="2051">
        <v>0</v>
      </c>
      <c r="I51" s="3082">
        <f>G51+H51*1</f>
        <v>0</v>
      </c>
      <c r="J51" s="3003">
        <f t="shared" si="110"/>
        <v>0</v>
      </c>
      <c r="K51" s="2811"/>
      <c r="L51" s="2811"/>
      <c r="M51" s="1979"/>
      <c r="N51" s="2051"/>
      <c r="O51" s="3082">
        <f>M51+N51*1</f>
        <v>0</v>
      </c>
      <c r="P51" s="3003">
        <f>O51/$AS$89</f>
        <v>0</v>
      </c>
      <c r="Q51" s="2811"/>
      <c r="R51" s="2051"/>
      <c r="S51" s="2043"/>
      <c r="T51" s="3081">
        <f>R51+S51*1</f>
        <v>0</v>
      </c>
      <c r="U51" s="2788">
        <f>T51/$AS$89</f>
        <v>0</v>
      </c>
      <c r="V51" s="2811"/>
      <c r="W51" s="2051"/>
      <c r="X51" s="2043"/>
      <c r="Y51" s="3081">
        <f>W51+X51*1</f>
        <v>0</v>
      </c>
      <c r="Z51" s="2788">
        <f>Y51/$AS$89</f>
        <v>0</v>
      </c>
      <c r="AA51" s="2811"/>
      <c r="AB51" s="2056"/>
      <c r="AC51" s="2050"/>
      <c r="AD51" s="3101">
        <f>AB51+AC51*1</f>
        <v>0</v>
      </c>
      <c r="AE51" s="3173">
        <f>AD51/$AS$89</f>
        <v>0</v>
      </c>
      <c r="AF51" s="3174"/>
      <c r="AG51" s="2051"/>
      <c r="AH51" s="2043"/>
      <c r="AI51" s="3081">
        <f>AG51+AH51*1</f>
        <v>0</v>
      </c>
      <c r="AJ51" s="2788">
        <f>AI51/$AS$89</f>
        <v>0</v>
      </c>
      <c r="AK51" s="2811"/>
      <c r="AL51" s="2051"/>
      <c r="AM51" s="2043"/>
      <c r="AN51" s="3081">
        <f>AL51+AM51*1</f>
        <v>0</v>
      </c>
      <c r="AO51" s="3003">
        <f t="shared" si="111"/>
        <v>0</v>
      </c>
      <c r="AP51" s="2811"/>
      <c r="AQ51" s="2051"/>
      <c r="AR51" s="2043"/>
      <c r="AS51" s="3081">
        <f>AQ51+AR51*1</f>
        <v>0</v>
      </c>
      <c r="AT51" s="2788">
        <f>AS51/$AS$89</f>
        <v>0</v>
      </c>
      <c r="AU51" s="2811"/>
      <c r="AV51" s="2051"/>
      <c r="AW51" s="2043"/>
      <c r="AX51" s="3081">
        <f>AV51+AW51*1</f>
        <v>0</v>
      </c>
      <c r="AY51" s="3003">
        <f t="shared" si="112"/>
        <v>0</v>
      </c>
      <c r="AZ51" s="2811"/>
      <c r="BA51" s="2051"/>
      <c r="BB51" s="2043"/>
      <c r="BC51" s="3081">
        <f>BA51+BB51*1</f>
        <v>0</v>
      </c>
      <c r="BD51" s="2788">
        <f t="shared" si="113"/>
        <v>0</v>
      </c>
      <c r="BE51" s="2811"/>
      <c r="BF51" s="2051"/>
      <c r="BG51" s="2043"/>
      <c r="BH51" s="3081">
        <f>BF51+BG51*1</f>
        <v>0</v>
      </c>
      <c r="BI51" s="2788">
        <f t="shared" si="114"/>
        <v>0</v>
      </c>
      <c r="BJ51" s="2811"/>
      <c r="BK51" s="2051"/>
      <c r="BL51" s="2043"/>
      <c r="BM51" s="3081">
        <f>BK51+BL51*1</f>
        <v>0</v>
      </c>
      <c r="BN51" s="2788">
        <f t="shared" si="115"/>
        <v>0</v>
      </c>
      <c r="BO51" s="2811"/>
      <c r="BP51" s="2051"/>
      <c r="BQ51" s="2043"/>
      <c r="BR51" s="3081">
        <f>BP51+BQ51*1</f>
        <v>0</v>
      </c>
      <c r="BS51" s="2788">
        <f t="shared" si="116"/>
        <v>0</v>
      </c>
      <c r="BT51" s="2811"/>
      <c r="BU51" s="2051"/>
      <c r="BV51" s="2043"/>
      <c r="BW51" s="3081">
        <f>BU51+BV51*1</f>
        <v>0</v>
      </c>
      <c r="BX51" s="2788">
        <f t="shared" si="117"/>
        <v>0</v>
      </c>
      <c r="BY51" s="2811"/>
      <c r="BZ51" s="2051"/>
      <c r="CA51" s="2043"/>
      <c r="CB51" s="3081">
        <f>BZ51+CA51*1</f>
        <v>0</v>
      </c>
      <c r="CC51" s="2788">
        <f t="shared" si="118"/>
        <v>0</v>
      </c>
      <c r="CD51" s="2811"/>
      <c r="CE51" s="2051"/>
      <c r="CF51" s="2043"/>
      <c r="CG51" s="3081">
        <f>CE51+CF51*1</f>
        <v>0</v>
      </c>
      <c r="CH51" s="2788">
        <f t="shared" si="119"/>
        <v>0</v>
      </c>
      <c r="CI51" s="2811"/>
      <c r="CJ51" s="2051"/>
      <c r="CK51" s="2043"/>
      <c r="CL51" s="3081">
        <f>CJ51+CK51*1</f>
        <v>0</v>
      </c>
      <c r="CM51" s="2788">
        <f t="shared" si="120"/>
        <v>0</v>
      </c>
      <c r="CN51" s="2811"/>
      <c r="CO51" s="2043">
        <f t="shared" ref="CO51:CO52" si="121">M51+R51+W51+AB51+AG51+AL51+AQ51+AV51+BA51+BF51+BK51+BP51+BU51+BZ51+CE51+CJ51</f>
        <v>0</v>
      </c>
      <c r="CP51" s="2043">
        <f t="shared" ref="CP51:CP52" si="122">N51+S51+X51+AC51+AH51+AM51+AR51+AW51+BB51+BG51+BL51+BQ51+BV51+CA51+CF51+CK51</f>
        <v>0</v>
      </c>
      <c r="CQ51" s="3081">
        <f>CO51+CP51*1</f>
        <v>0</v>
      </c>
      <c r="CR51" s="2788">
        <f>CQ51/$CQ$89</f>
        <v>0</v>
      </c>
      <c r="CS51" s="2803"/>
      <c r="CT51" s="919"/>
    </row>
    <row r="52" spans="1:178" s="1569" customFormat="1" ht="14.4" customHeight="1" outlineLevel="2">
      <c r="A52" s="1568"/>
      <c r="B52" s="2791" t="s">
        <v>61</v>
      </c>
      <c r="C52" s="2790"/>
      <c r="D52" s="2805"/>
      <c r="E52" s="3081">
        <f>C52+D52</f>
        <v>0</v>
      </c>
      <c r="F52" s="2810" t="e">
        <f>E52/$E$89</f>
        <v>#DIV/0!</v>
      </c>
      <c r="G52" s="1979">
        <v>0</v>
      </c>
      <c r="H52" s="2051">
        <v>0</v>
      </c>
      <c r="I52" s="3082">
        <f>G52+H52*1</f>
        <v>0</v>
      </c>
      <c r="J52" s="3003">
        <f t="shared" si="110"/>
        <v>0</v>
      </c>
      <c r="K52" s="2046"/>
      <c r="L52" s="2046"/>
      <c r="M52" s="1979"/>
      <c r="N52" s="2051"/>
      <c r="O52" s="3082">
        <f>M52+N52*1</f>
        <v>0</v>
      </c>
      <c r="P52" s="3003">
        <f>O52/$AS$89</f>
        <v>0</v>
      </c>
      <c r="Q52" s="2046"/>
      <c r="R52" s="2051"/>
      <c r="S52" s="2043"/>
      <c r="T52" s="3081">
        <f>R52+S52*1</f>
        <v>0</v>
      </c>
      <c r="U52" s="2788">
        <f>T52/$AS$89</f>
        <v>0</v>
      </c>
      <c r="V52" s="2046"/>
      <c r="W52" s="2051"/>
      <c r="X52" s="2043"/>
      <c r="Y52" s="3081">
        <f>W52+X52*1</f>
        <v>0</v>
      </c>
      <c r="Z52" s="2788">
        <f>Y52/$AS$89</f>
        <v>0</v>
      </c>
      <c r="AA52" s="2046"/>
      <c r="AB52" s="2056"/>
      <c r="AC52" s="2050"/>
      <c r="AD52" s="3101">
        <f>AB52+AC52*1</f>
        <v>0</v>
      </c>
      <c r="AE52" s="3173">
        <f>AD52/$AS$89</f>
        <v>0</v>
      </c>
      <c r="AF52" s="2055"/>
      <c r="AG52" s="2051"/>
      <c r="AH52" s="2043"/>
      <c r="AI52" s="3081">
        <f>AG52+AH52*1</f>
        <v>0</v>
      </c>
      <c r="AJ52" s="2788">
        <f>AI52/$AS$89</f>
        <v>0</v>
      </c>
      <c r="AK52" s="2046"/>
      <c r="AL52" s="2051"/>
      <c r="AM52" s="2043"/>
      <c r="AN52" s="3081">
        <f>AL52+AM52*1</f>
        <v>0</v>
      </c>
      <c r="AO52" s="3003">
        <f t="shared" si="111"/>
        <v>0</v>
      </c>
      <c r="AP52" s="2046"/>
      <c r="AQ52" s="2051"/>
      <c r="AR52" s="2043"/>
      <c r="AS52" s="3081">
        <f>AQ52+AR52*1</f>
        <v>0</v>
      </c>
      <c r="AT52" s="2788">
        <f>AS52/$AS$89</f>
        <v>0</v>
      </c>
      <c r="AU52" s="2046"/>
      <c r="AV52" s="2051"/>
      <c r="AW52" s="2043"/>
      <c r="AX52" s="3081">
        <f>AV52+AW52*1</f>
        <v>0</v>
      </c>
      <c r="AY52" s="3003">
        <f t="shared" si="112"/>
        <v>0</v>
      </c>
      <c r="AZ52" s="2046"/>
      <c r="BA52" s="2051"/>
      <c r="BB52" s="2043"/>
      <c r="BC52" s="3081">
        <f>BA52+BB52*1</f>
        <v>0</v>
      </c>
      <c r="BD52" s="2788">
        <f t="shared" si="113"/>
        <v>0</v>
      </c>
      <c r="BE52" s="2046"/>
      <c r="BF52" s="2051"/>
      <c r="BG52" s="2043"/>
      <c r="BH52" s="3081">
        <f>BF52+BG52*1</f>
        <v>0</v>
      </c>
      <c r="BI52" s="2788">
        <f t="shared" si="114"/>
        <v>0</v>
      </c>
      <c r="BJ52" s="2046"/>
      <c r="BK52" s="2051"/>
      <c r="BL52" s="2043"/>
      <c r="BM52" s="3081">
        <f>BK52+BL52*1</f>
        <v>0</v>
      </c>
      <c r="BN52" s="2788">
        <f t="shared" si="115"/>
        <v>0</v>
      </c>
      <c r="BO52" s="2046"/>
      <c r="BP52" s="2051"/>
      <c r="BQ52" s="2043"/>
      <c r="BR52" s="3081">
        <f>BP52+BQ52*1</f>
        <v>0</v>
      </c>
      <c r="BS52" s="2788">
        <f t="shared" si="116"/>
        <v>0</v>
      </c>
      <c r="BT52" s="2046"/>
      <c r="BU52" s="2051"/>
      <c r="BV52" s="2043"/>
      <c r="BW52" s="3081">
        <f>BU52+BV52*1</f>
        <v>0</v>
      </c>
      <c r="BX52" s="2788">
        <f t="shared" si="117"/>
        <v>0</v>
      </c>
      <c r="BY52" s="2046"/>
      <c r="BZ52" s="2051"/>
      <c r="CA52" s="2043"/>
      <c r="CB52" s="3081">
        <f>BZ52+CA52*1</f>
        <v>0</v>
      </c>
      <c r="CC52" s="2788">
        <f t="shared" si="118"/>
        <v>0</v>
      </c>
      <c r="CD52" s="2046"/>
      <c r="CE52" s="2051"/>
      <c r="CF52" s="2043"/>
      <c r="CG52" s="3081">
        <f>CE52+CF52*1</f>
        <v>0</v>
      </c>
      <c r="CH52" s="2788">
        <f t="shared" si="119"/>
        <v>0</v>
      </c>
      <c r="CI52" s="2046"/>
      <c r="CJ52" s="2051"/>
      <c r="CK52" s="2043"/>
      <c r="CL52" s="3081">
        <f>CJ52+CK52*1</f>
        <v>0</v>
      </c>
      <c r="CM52" s="2788">
        <f t="shared" si="120"/>
        <v>0</v>
      </c>
      <c r="CN52" s="2046"/>
      <c r="CO52" s="2043">
        <f t="shared" si="121"/>
        <v>0</v>
      </c>
      <c r="CP52" s="2043">
        <f t="shared" si="122"/>
        <v>0</v>
      </c>
      <c r="CQ52" s="3081">
        <f>CO52+CP52*1</f>
        <v>0</v>
      </c>
      <c r="CR52" s="2788">
        <f>CQ52/$CQ$89</f>
        <v>0</v>
      </c>
      <c r="CS52" s="2803"/>
      <c r="CT52" s="919"/>
      <c r="CU52" s="1564"/>
      <c r="CV52" s="1564"/>
      <c r="CW52" s="1564"/>
    </row>
    <row r="53" spans="1:178" ht="14.4" customHeight="1" outlineLevel="1" thickBot="1">
      <c r="A53" s="1413"/>
      <c r="B53" s="2834"/>
      <c r="C53" s="2931"/>
      <c r="D53" s="2842"/>
      <c r="E53" s="2933"/>
      <c r="F53" s="2934"/>
      <c r="G53" s="1979"/>
      <c r="H53" s="2051"/>
      <c r="I53" s="3015"/>
      <c r="J53" s="3016"/>
      <c r="K53" s="2936"/>
      <c r="L53" s="2936"/>
      <c r="M53" s="1979"/>
      <c r="N53" s="2051"/>
      <c r="O53" s="3015"/>
      <c r="P53" s="3016"/>
      <c r="Q53" s="2936"/>
      <c r="R53" s="2051"/>
      <c r="S53" s="2043"/>
      <c r="T53" s="2935"/>
      <c r="U53" s="2935"/>
      <c r="V53" s="2936"/>
      <c r="W53" s="2051"/>
      <c r="X53" s="2043"/>
      <c r="Y53" s="2935"/>
      <c r="Z53" s="2935"/>
      <c r="AA53" s="2936"/>
      <c r="AB53" s="2056"/>
      <c r="AC53" s="2050"/>
      <c r="AD53" s="3017"/>
      <c r="AE53" s="3017"/>
      <c r="AF53" s="3018"/>
      <c r="AG53" s="2051"/>
      <c r="AH53" s="2043"/>
      <c r="AI53" s="2935"/>
      <c r="AJ53" s="2935"/>
      <c r="AK53" s="2936"/>
      <c r="AL53" s="2051"/>
      <c r="AM53" s="2043"/>
      <c r="AN53" s="2935"/>
      <c r="AO53" s="2935"/>
      <c r="AP53" s="2936"/>
      <c r="AQ53" s="2051"/>
      <c r="AR53" s="2043"/>
      <c r="AS53" s="2935"/>
      <c r="AT53" s="2935"/>
      <c r="AU53" s="2936"/>
      <c r="AV53" s="2051"/>
      <c r="AW53" s="2043"/>
      <c r="AX53" s="2935"/>
      <c r="AY53" s="2935"/>
      <c r="AZ53" s="2936"/>
      <c r="BA53" s="2051"/>
      <c r="BB53" s="2043"/>
      <c r="BC53" s="2935"/>
      <c r="BD53" s="2935"/>
      <c r="BE53" s="2936"/>
      <c r="BF53" s="2051"/>
      <c r="BG53" s="2043"/>
      <c r="BH53" s="2935"/>
      <c r="BI53" s="2935"/>
      <c r="BJ53" s="2936"/>
      <c r="BK53" s="2051"/>
      <c r="BL53" s="2043"/>
      <c r="BM53" s="2935"/>
      <c r="BN53" s="2935"/>
      <c r="BO53" s="2936"/>
      <c r="BP53" s="2051"/>
      <c r="BQ53" s="2043"/>
      <c r="BR53" s="2935"/>
      <c r="BS53" s="2935"/>
      <c r="BT53" s="2936"/>
      <c r="BU53" s="2051"/>
      <c r="BV53" s="2043"/>
      <c r="BW53" s="2935"/>
      <c r="BX53" s="2935"/>
      <c r="BY53" s="2936"/>
      <c r="BZ53" s="2051"/>
      <c r="CA53" s="2043"/>
      <c r="CB53" s="2935"/>
      <c r="CC53" s="2935"/>
      <c r="CD53" s="2936"/>
      <c r="CE53" s="2051"/>
      <c r="CF53" s="2043"/>
      <c r="CG53" s="2935"/>
      <c r="CH53" s="2935"/>
      <c r="CI53" s="2936"/>
      <c r="CJ53" s="2051"/>
      <c r="CK53" s="2043"/>
      <c r="CL53" s="2935"/>
      <c r="CM53" s="2935"/>
      <c r="CN53" s="2936"/>
      <c r="CO53" s="2043">
        <f>G53+AL53+AQ53+AV53+BA53+BF53</f>
        <v>0</v>
      </c>
      <c r="CP53" s="2043">
        <f>H53+AM53+AR53+AW53+BB53+BG53</f>
        <v>0</v>
      </c>
      <c r="CQ53" s="2935"/>
      <c r="CR53" s="2935"/>
      <c r="CS53" s="2935"/>
      <c r="CT53" s="919"/>
      <c r="CU53" s="1564"/>
      <c r="CV53" s="1564"/>
      <c r="CW53" s="1564"/>
    </row>
    <row r="54" spans="1:178" ht="14.4" customHeight="1" outlineLevel="1">
      <c r="A54" s="1570"/>
      <c r="B54" s="983" t="s">
        <v>1</v>
      </c>
      <c r="C54" s="2015">
        <f>SUM(C55:C71)</f>
        <v>0</v>
      </c>
      <c r="D54" s="2015">
        <f>SUM(D55:D71)</f>
        <v>0</v>
      </c>
      <c r="E54" s="1975">
        <f>SUM(E55:E71)</f>
        <v>0</v>
      </c>
      <c r="F54" s="1534" t="e">
        <f>E54/$E$89</f>
        <v>#DIV/0!</v>
      </c>
      <c r="G54" s="2015">
        <f>SUM(G55:G72)</f>
        <v>148686.62999999998</v>
      </c>
      <c r="H54" s="1975">
        <f>SUM(H55:H72)</f>
        <v>153329.81</v>
      </c>
      <c r="I54" s="2015">
        <f>SUM(I55:I72)</f>
        <v>302016.43999999994</v>
      </c>
      <c r="J54" s="3013">
        <f t="shared" ref="J54:J71" si="123">I54/I$89</f>
        <v>5.5164967821207623E-3</v>
      </c>
      <c r="K54" s="1984"/>
      <c r="L54" s="1984"/>
      <c r="M54" s="2015">
        <v>41646.49</v>
      </c>
      <c r="N54" s="1975">
        <v>28773.3</v>
      </c>
      <c r="O54" s="2015">
        <f>SUM(O55:O72)</f>
        <v>79499.37</v>
      </c>
      <c r="P54" s="3013">
        <f>O54/$AS$89</f>
        <v>1.1431097526824606E-2</v>
      </c>
      <c r="Q54" s="1984"/>
      <c r="R54" s="2015">
        <v>30332.25</v>
      </c>
      <c r="S54" s="1975">
        <v>29308.36</v>
      </c>
      <c r="T54" s="2015">
        <f>SUM(T55:T72)</f>
        <v>68720.190000000017</v>
      </c>
      <c r="U54" s="2804">
        <f>T54/$AS$89</f>
        <v>9.8811750829210006E-3</v>
      </c>
      <c r="V54" s="1984"/>
      <c r="W54" s="2015">
        <v>26078.15</v>
      </c>
      <c r="X54" s="2015">
        <v>28964.5</v>
      </c>
      <c r="Y54" s="2015">
        <f>SUM(Y55:Y72)</f>
        <v>55042.65</v>
      </c>
      <c r="Z54" s="2804">
        <f>Y54/$AS$89</f>
        <v>7.9145017159868367E-3</v>
      </c>
      <c r="AA54" s="1984"/>
      <c r="AB54" s="2040">
        <f>SUM(AB55:AB71)</f>
        <v>27839.739999999998</v>
      </c>
      <c r="AC54" s="2040">
        <f>SUM(AC55:AC71)</f>
        <v>33836.26</v>
      </c>
      <c r="AD54" s="2040">
        <f>SUM(AD55:AD72)</f>
        <v>61676</v>
      </c>
      <c r="AE54" s="3170">
        <f>AD54/$AS$89</f>
        <v>8.8683013596766169E-3</v>
      </c>
      <c r="AF54" s="1796"/>
      <c r="AG54" s="2015">
        <f>SUM(AG55:AG72)</f>
        <v>45105.11</v>
      </c>
      <c r="AH54" s="2015">
        <f>SUM(AH55:AH72)</f>
        <v>32447.39</v>
      </c>
      <c r="AI54" s="2015">
        <f>SUM(AI55:AI72)</f>
        <v>77552.5</v>
      </c>
      <c r="AJ54" s="2804">
        <f>AI54/$AS$89</f>
        <v>1.1151159951947612E-2</v>
      </c>
      <c r="AK54" s="1984"/>
      <c r="AL54" s="2015">
        <f>SUM(AL55:AL72)</f>
        <v>41769.759999999995</v>
      </c>
      <c r="AM54" s="2015">
        <f>SUM(AM55:AM72)</f>
        <v>42499.41</v>
      </c>
      <c r="AN54" s="2015">
        <f>SUM(AN55:AN72)</f>
        <v>84269.170000000013</v>
      </c>
      <c r="AO54" s="2804">
        <f t="shared" ref="AO54:AO72" si="124">AN54/$AN$89</f>
        <v>1.3142388924225756E-2</v>
      </c>
      <c r="AP54" s="1984"/>
      <c r="AQ54" s="2015">
        <f>SUM(AQ55:AQ72)</f>
        <v>39961.86</v>
      </c>
      <c r="AR54" s="2015">
        <f>SUM(AR55:AR72)</f>
        <v>16765.550000000003</v>
      </c>
      <c r="AS54" s="2015">
        <f>SUM(AS55:AS72)</f>
        <v>56727.41</v>
      </c>
      <c r="AT54" s="2804">
        <f>AS54/$AS$89</f>
        <v>8.1567508793360943E-3</v>
      </c>
      <c r="AU54" s="1984"/>
      <c r="AV54" s="2015">
        <f>SUM(AV55:AV72)</f>
        <v>40152.550000000003</v>
      </c>
      <c r="AW54" s="2015">
        <f>SUM(AW55:AW72)</f>
        <v>30537.200000000001</v>
      </c>
      <c r="AX54" s="2015">
        <f>SUM(AX55:AX72)</f>
        <v>70689.75</v>
      </c>
      <c r="AY54" s="2804">
        <f t="shared" ref="AY54:AY71" si="125">AX54/$AX$89</f>
        <v>2.4379834717834871E-2</v>
      </c>
      <c r="AZ54" s="1984"/>
      <c r="BA54" s="2015">
        <f>SUM(BA55:BA72)</f>
        <v>47650.04</v>
      </c>
      <c r="BB54" s="2015">
        <f>SUM(BB55:BB72)</f>
        <v>36296.800000000003</v>
      </c>
      <c r="BC54" s="2015">
        <f>SUM(BC55:BC72)</f>
        <v>83946.840000000011</v>
      </c>
      <c r="BD54" s="2804">
        <f t="shared" ref="BD54:BD71" si="126">BC54/$BC$89</f>
        <v>2.3945355899404597E-2</v>
      </c>
      <c r="BE54" s="1984"/>
      <c r="BF54" s="2015">
        <f>SUM(BF55:BF72)</f>
        <v>38972.129999999997</v>
      </c>
      <c r="BG54" s="2015">
        <f>SUM(BG55:BG72)</f>
        <v>39225.1</v>
      </c>
      <c r="BH54" s="2015">
        <f>SUM(BH55:BH72)</f>
        <v>78197.23000000001</v>
      </c>
      <c r="BI54" s="2804">
        <f t="shared" ref="BI54:BI71" si="127">BH54/BH$89</f>
        <v>1.7153563238269613E-2</v>
      </c>
      <c r="BJ54" s="1984"/>
      <c r="BK54" s="2015">
        <f>SUM(BK55:BK72)</f>
        <v>34483.520000000004</v>
      </c>
      <c r="BL54" s="2015">
        <f>SUM(BL55:BL72)</f>
        <v>41997.24</v>
      </c>
      <c r="BM54" s="2015">
        <f>SUM(BM55:BM72)</f>
        <v>76480.759999999995</v>
      </c>
      <c r="BN54" s="2804">
        <f t="shared" ref="BN54:BN71" si="128">BM54/BM$89</f>
        <v>1.2605006642998285E-2</v>
      </c>
      <c r="BO54" s="1984"/>
      <c r="BP54" s="2015">
        <f>SUM(BP55:BP72)</f>
        <v>29527.16</v>
      </c>
      <c r="BQ54" s="2015">
        <f>SUM(BQ55:BQ72)</f>
        <v>35831.199999999997</v>
      </c>
      <c r="BR54" s="2015">
        <f>SUM(BR55:BR72)</f>
        <v>65358.36</v>
      </c>
      <c r="BS54" s="2804">
        <f t="shared" ref="BS54:BS71" si="129">BR54/BR$89</f>
        <v>2.6693036737871972E-2</v>
      </c>
      <c r="BT54" s="1984"/>
      <c r="BU54" s="2015">
        <f>SUM(BU55:BU72)</f>
        <v>0</v>
      </c>
      <c r="BV54" s="2015">
        <f>SUM(BV55:BV72)</f>
        <v>60820.7</v>
      </c>
      <c r="BW54" s="2015">
        <f>SUM(BW55:BW72)</f>
        <v>60820.7</v>
      </c>
      <c r="BX54" s="2804">
        <f t="shared" ref="BX54:BX71" si="130">BW54/BW$89</f>
        <v>0.11267008670969327</v>
      </c>
      <c r="BY54" s="1984"/>
      <c r="BZ54" s="2015">
        <f>SUM(BZ55:BZ72)</f>
        <v>0</v>
      </c>
      <c r="CA54" s="2015">
        <f>SUM(CA55:CA72)</f>
        <v>0</v>
      </c>
      <c r="CB54" s="2015">
        <f>SUM(CB55:CB72)</f>
        <v>0</v>
      </c>
      <c r="CC54" s="2804">
        <f t="shared" ref="CC54:CC71" si="131">CB54/CB$89</f>
        <v>0</v>
      </c>
      <c r="CD54" s="1984"/>
      <c r="CE54" s="2015">
        <f>SUM(CE55:CE72)</f>
        <v>0</v>
      </c>
      <c r="CF54" s="2015">
        <f>SUM(CF55:CF72)</f>
        <v>0</v>
      </c>
      <c r="CG54" s="2015">
        <f>SUM(CG55:CG72)</f>
        <v>0</v>
      </c>
      <c r="CH54" s="2804">
        <f t="shared" ref="CH54:CH71" si="132">CG54/CG$89</f>
        <v>0</v>
      </c>
      <c r="CI54" s="1984"/>
      <c r="CJ54" s="2015">
        <f>SUM(CJ55:CJ72)</f>
        <v>0</v>
      </c>
      <c r="CK54" s="2015">
        <f>SUM(CK55:CK72)</f>
        <v>0</v>
      </c>
      <c r="CL54" s="2015">
        <f>SUM(CL55:CL72)</f>
        <v>0</v>
      </c>
      <c r="CM54" s="2804">
        <f t="shared" ref="CM54:CM71" si="133">CL54/CL$89</f>
        <v>0</v>
      </c>
      <c r="CN54" s="1984"/>
      <c r="CO54" s="2015">
        <f>SUM(CO55:CO72)</f>
        <v>461677.92000000004</v>
      </c>
      <c r="CP54" s="2015">
        <f>SUM(CP55:CP72)</f>
        <v>457303.01</v>
      </c>
      <c r="CQ54" s="2015">
        <f>SUM(CQ55:CQ72)</f>
        <v>918980.92999999993</v>
      </c>
      <c r="CR54" s="2804">
        <f t="shared" ref="CR54:CR71" si="134">CQ54/$CQ$89</f>
        <v>9.7669893907608059E-3</v>
      </c>
      <c r="CS54" s="2006"/>
      <c r="CT54" s="919"/>
      <c r="CU54" s="1564"/>
      <c r="CV54" s="1564"/>
      <c r="CW54" s="1564"/>
    </row>
    <row r="55" spans="1:178" ht="14.4" customHeight="1" outlineLevel="2">
      <c r="A55" s="1571"/>
      <c r="B55" s="3092" t="s">
        <v>77</v>
      </c>
      <c r="C55" s="2790"/>
      <c r="D55" s="2793"/>
      <c r="E55" s="3081">
        <f t="shared" ref="E55:E71" si="135">C55+D55</f>
        <v>0</v>
      </c>
      <c r="F55" s="2788" t="e">
        <f>E55/$E$89</f>
        <v>#DIV/0!</v>
      </c>
      <c r="G55" s="1982">
        <v>0</v>
      </c>
      <c r="H55" s="2011">
        <v>0</v>
      </c>
      <c r="I55" s="3082">
        <f t="shared" ref="I55:I71" si="136">G55+H55*1</f>
        <v>0</v>
      </c>
      <c r="J55" s="3003">
        <f t="shared" si="123"/>
        <v>0</v>
      </c>
      <c r="K55" s="2046"/>
      <c r="L55" s="2046"/>
      <c r="M55" s="1982"/>
      <c r="N55" s="2011"/>
      <c r="O55" s="3082">
        <f t="shared" ref="O55:O62" si="137">M55+N55*1</f>
        <v>0</v>
      </c>
      <c r="P55" s="3003">
        <f t="shared" ref="P55:P71" si="138">O55/$AS$89</f>
        <v>0</v>
      </c>
      <c r="Q55" s="2046"/>
      <c r="R55" s="1974"/>
      <c r="S55" s="2011"/>
      <c r="T55" s="3081">
        <f t="shared" ref="T55:T62" si="139">R55+S55*1</f>
        <v>0</v>
      </c>
      <c r="U55" s="2788">
        <f t="shared" ref="U55:U71" si="140">T55/$AS$89</f>
        <v>0</v>
      </c>
      <c r="V55" s="2046"/>
      <c r="W55" s="2011"/>
      <c r="X55" s="2045"/>
      <c r="Y55" s="3081">
        <f t="shared" ref="Y55:Y62" si="141">W55+X55*1</f>
        <v>0</v>
      </c>
      <c r="Z55" s="2788">
        <f t="shared" ref="Z55:Z71" si="142">Y55/$AS$89</f>
        <v>0</v>
      </c>
      <c r="AA55" s="2046"/>
      <c r="AB55" s="2041"/>
      <c r="AC55" s="2057"/>
      <c r="AD55" s="3101">
        <f t="shared" ref="AD55:AD62" si="143">AB55+AC55*1</f>
        <v>0</v>
      </c>
      <c r="AE55" s="3173">
        <f t="shared" ref="AE55:AE71" si="144">AD55/$AS$89</f>
        <v>0</v>
      </c>
      <c r="AF55" s="2055"/>
      <c r="AG55" s="3047"/>
      <c r="AH55" s="3062"/>
      <c r="AI55" s="3083">
        <f t="shared" ref="AI55:AI62" si="145">AG55+AH55*1</f>
        <v>0</v>
      </c>
      <c r="AJ55" s="3157">
        <f t="shared" ref="AJ55:AJ71" si="146">AI55/$AS$89</f>
        <v>0</v>
      </c>
      <c r="AK55" s="3044"/>
      <c r="AL55" s="2011">
        <v>532.76</v>
      </c>
      <c r="AM55" s="2045"/>
      <c r="AN55" s="3081">
        <f t="shared" ref="AN55:AN71" si="147">AL55+AM55*1</f>
        <v>532.76</v>
      </c>
      <c r="AO55" s="2788">
        <f t="shared" si="124"/>
        <v>8.3087790270991305E-5</v>
      </c>
      <c r="AP55" s="2046"/>
      <c r="AQ55" s="2011"/>
      <c r="AR55" s="2045"/>
      <c r="AS55" s="3081">
        <f t="shared" ref="AS55:AS71" si="148">AQ55+AR55*1</f>
        <v>0</v>
      </c>
      <c r="AT55" s="2788">
        <f t="shared" ref="AT55:AT71" si="149">AS55/$AS$89</f>
        <v>0</v>
      </c>
      <c r="AU55" s="2046"/>
      <c r="AV55" s="2011"/>
      <c r="AW55" s="2045"/>
      <c r="AX55" s="3081">
        <f t="shared" ref="AX55:AX71" si="150">AV55+AW55*1</f>
        <v>0</v>
      </c>
      <c r="AY55" s="2788">
        <f t="shared" si="125"/>
        <v>0</v>
      </c>
      <c r="AZ55" s="2046"/>
      <c r="BA55" s="3047"/>
      <c r="BB55" s="3062"/>
      <c r="BC55" s="3083">
        <f t="shared" ref="BC55:BC71" si="151">BA55+BB55*1</f>
        <v>0</v>
      </c>
      <c r="BD55" s="3157">
        <f t="shared" si="126"/>
        <v>0</v>
      </c>
      <c r="BE55" s="3044"/>
      <c r="BF55" s="2011"/>
      <c r="BG55" s="2045"/>
      <c r="BH55" s="3081">
        <f t="shared" ref="BH55:BH71" si="152">BF55+BG55*1</f>
        <v>0</v>
      </c>
      <c r="BI55" s="2788">
        <f t="shared" si="127"/>
        <v>0</v>
      </c>
      <c r="BJ55" s="2046"/>
      <c r="BK55" s="2011"/>
      <c r="BL55" s="2045"/>
      <c r="BM55" s="3081">
        <f t="shared" ref="BM55:BM62" si="153">BK55+BL55*1</f>
        <v>0</v>
      </c>
      <c r="BN55" s="2788">
        <f t="shared" si="128"/>
        <v>0</v>
      </c>
      <c r="BO55" s="2046"/>
      <c r="BP55" s="2011"/>
      <c r="BQ55" s="2045"/>
      <c r="BR55" s="3081">
        <f t="shared" ref="BR55:BR62" si="154">BP55+BQ55*1</f>
        <v>0</v>
      </c>
      <c r="BS55" s="2788">
        <f t="shared" si="129"/>
        <v>0</v>
      </c>
      <c r="BT55" s="2046"/>
      <c r="BU55" s="2011"/>
      <c r="BV55" s="2045"/>
      <c r="BW55" s="3081">
        <f t="shared" ref="BW55:BW62" si="155">BU55+BV55*1</f>
        <v>0</v>
      </c>
      <c r="BX55" s="2788">
        <f t="shared" si="130"/>
        <v>0</v>
      </c>
      <c r="BY55" s="2046"/>
      <c r="BZ55" s="2011"/>
      <c r="CA55" s="2045"/>
      <c r="CB55" s="3081">
        <f t="shared" ref="CB55:CB58" si="156">BZ55+CA55*1</f>
        <v>0</v>
      </c>
      <c r="CC55" s="2788">
        <f t="shared" si="131"/>
        <v>0</v>
      </c>
      <c r="CD55" s="2046"/>
      <c r="CE55" s="2011"/>
      <c r="CF55" s="2045"/>
      <c r="CG55" s="3081">
        <f t="shared" ref="CG55:CG58" si="157">CE55+CF55*1</f>
        <v>0</v>
      </c>
      <c r="CH55" s="2788">
        <f t="shared" si="132"/>
        <v>0</v>
      </c>
      <c r="CI55" s="2046"/>
      <c r="CJ55" s="2011"/>
      <c r="CK55" s="2045"/>
      <c r="CL55" s="3081">
        <f t="shared" ref="CL55:CL58" si="158">CJ55+CK55*1</f>
        <v>0</v>
      </c>
      <c r="CM55" s="2788">
        <f t="shared" si="133"/>
        <v>0</v>
      </c>
      <c r="CN55" s="2046"/>
      <c r="CO55" s="2043">
        <f t="shared" ref="CO55:CO71" si="159">M55+R55+W55+AB55+AG55+AL55+AQ55+AV55+BA55+BF55+BK55+BP55+BU55+BZ55+CE55+CJ55</f>
        <v>532.76</v>
      </c>
      <c r="CP55" s="2043">
        <f t="shared" ref="CP55:CP71" si="160">N55+S55+X55+AC55+AH55+AM55+AR55+AW55+BB55+BG55+BL55+BQ55+BV55+CA55+CF55+CK55</f>
        <v>0</v>
      </c>
      <c r="CQ55" s="3081">
        <f t="shared" ref="CQ55:CQ71" si="161">CO55+CP55*1</f>
        <v>532.76</v>
      </c>
      <c r="CR55" s="2788">
        <f t="shared" si="134"/>
        <v>5.6622081024268128E-6</v>
      </c>
      <c r="CS55" s="2792"/>
      <c r="CT55" s="919"/>
      <c r="CU55" s="1564"/>
      <c r="CV55" s="1564"/>
      <c r="CW55" s="1564"/>
    </row>
    <row r="56" spans="1:178" ht="14.4" customHeight="1" outlineLevel="2">
      <c r="A56" s="1571"/>
      <c r="B56" s="3092" t="s">
        <v>76</v>
      </c>
      <c r="C56" s="2790"/>
      <c r="D56" s="2793"/>
      <c r="E56" s="3081">
        <f t="shared" si="135"/>
        <v>0</v>
      </c>
      <c r="F56" s="2788" t="e">
        <f t="shared" ref="F56:F72" si="162">E56/$E$89</f>
        <v>#DIV/0!</v>
      </c>
      <c r="G56" s="1982">
        <v>0</v>
      </c>
      <c r="H56" s="2011">
        <v>0</v>
      </c>
      <c r="I56" s="3082">
        <f t="shared" si="136"/>
        <v>0</v>
      </c>
      <c r="J56" s="3003">
        <f t="shared" si="123"/>
        <v>0</v>
      </c>
      <c r="K56" s="2046"/>
      <c r="L56" s="2046"/>
      <c r="M56" s="3041"/>
      <c r="N56" s="3047"/>
      <c r="O56" s="3093">
        <f t="shared" si="137"/>
        <v>0</v>
      </c>
      <c r="P56" s="3042">
        <f t="shared" si="138"/>
        <v>0</v>
      </c>
      <c r="Q56" s="3044"/>
      <c r="R56" s="1974"/>
      <c r="S56" s="2011"/>
      <c r="T56" s="3081">
        <f t="shared" si="139"/>
        <v>0</v>
      </c>
      <c r="U56" s="2788">
        <f t="shared" si="140"/>
        <v>0</v>
      </c>
      <c r="V56" s="2046"/>
      <c r="W56" s="3047"/>
      <c r="X56" s="3062"/>
      <c r="Y56" s="3083">
        <f t="shared" si="141"/>
        <v>0</v>
      </c>
      <c r="Z56" s="3157">
        <f t="shared" si="142"/>
        <v>0</v>
      </c>
      <c r="AA56" s="3044"/>
      <c r="AB56" s="3047"/>
      <c r="AC56" s="3062"/>
      <c r="AD56" s="3083">
        <f t="shared" si="143"/>
        <v>0</v>
      </c>
      <c r="AE56" s="3157">
        <f t="shared" si="144"/>
        <v>0</v>
      </c>
      <c r="AF56" s="3044"/>
      <c r="AG56" s="3047"/>
      <c r="AH56" s="3062"/>
      <c r="AI56" s="3083">
        <f t="shared" si="145"/>
        <v>0</v>
      </c>
      <c r="AJ56" s="3157">
        <f t="shared" si="146"/>
        <v>0</v>
      </c>
      <c r="AK56" s="3044"/>
      <c r="AL56" s="3047"/>
      <c r="AM56" s="3062"/>
      <c r="AN56" s="3083">
        <f t="shared" si="147"/>
        <v>0</v>
      </c>
      <c r="AO56" s="3157">
        <f t="shared" si="124"/>
        <v>0</v>
      </c>
      <c r="AP56" s="3044"/>
      <c r="AQ56" s="3047"/>
      <c r="AR56" s="3062"/>
      <c r="AS56" s="3083">
        <f t="shared" si="148"/>
        <v>0</v>
      </c>
      <c r="AT56" s="3157">
        <f t="shared" si="149"/>
        <v>0</v>
      </c>
      <c r="AU56" s="3044"/>
      <c r="AV56" s="3047"/>
      <c r="AW56" s="3062"/>
      <c r="AX56" s="3083">
        <f t="shared" si="150"/>
        <v>0</v>
      </c>
      <c r="AY56" s="3157">
        <f t="shared" si="125"/>
        <v>0</v>
      </c>
      <c r="AZ56" s="3044"/>
      <c r="BA56" s="3047"/>
      <c r="BB56" s="3062"/>
      <c r="BC56" s="3083">
        <f t="shared" si="151"/>
        <v>0</v>
      </c>
      <c r="BD56" s="3157">
        <f t="shared" si="126"/>
        <v>0</v>
      </c>
      <c r="BE56" s="3044"/>
      <c r="BF56" s="3047"/>
      <c r="BG56" s="3062"/>
      <c r="BH56" s="3083">
        <f t="shared" si="152"/>
        <v>0</v>
      </c>
      <c r="BI56" s="3157">
        <f t="shared" si="127"/>
        <v>0</v>
      </c>
      <c r="BJ56" s="3044"/>
      <c r="BK56" s="2011"/>
      <c r="BL56" s="2045"/>
      <c r="BM56" s="3081">
        <f t="shared" si="153"/>
        <v>0</v>
      </c>
      <c r="BN56" s="2788">
        <f t="shared" si="128"/>
        <v>0</v>
      </c>
      <c r="BO56" s="2046"/>
      <c r="BP56" s="2011"/>
      <c r="BQ56" s="2045"/>
      <c r="BR56" s="3081">
        <f t="shared" si="154"/>
        <v>0</v>
      </c>
      <c r="BS56" s="2788">
        <f t="shared" si="129"/>
        <v>0</v>
      </c>
      <c r="BT56" s="2046"/>
      <c r="BU56" s="2011"/>
      <c r="BV56" s="2045"/>
      <c r="BW56" s="3081">
        <f t="shared" si="155"/>
        <v>0</v>
      </c>
      <c r="BX56" s="2788">
        <f t="shared" si="130"/>
        <v>0</v>
      </c>
      <c r="BY56" s="2046"/>
      <c r="BZ56" s="2011"/>
      <c r="CA56" s="2045"/>
      <c r="CB56" s="3081">
        <f t="shared" si="156"/>
        <v>0</v>
      </c>
      <c r="CC56" s="2788">
        <f t="shared" si="131"/>
        <v>0</v>
      </c>
      <c r="CD56" s="2046"/>
      <c r="CE56" s="2011"/>
      <c r="CF56" s="2045"/>
      <c r="CG56" s="3081">
        <f t="shared" si="157"/>
        <v>0</v>
      </c>
      <c r="CH56" s="2788">
        <f t="shared" si="132"/>
        <v>0</v>
      </c>
      <c r="CI56" s="2046"/>
      <c r="CJ56" s="2011"/>
      <c r="CK56" s="2045"/>
      <c r="CL56" s="3081">
        <f t="shared" si="158"/>
        <v>0</v>
      </c>
      <c r="CM56" s="2788">
        <f t="shared" si="133"/>
        <v>0</v>
      </c>
      <c r="CN56" s="2046"/>
      <c r="CO56" s="2043">
        <f t="shared" si="159"/>
        <v>0</v>
      </c>
      <c r="CP56" s="2043">
        <f t="shared" si="160"/>
        <v>0</v>
      </c>
      <c r="CQ56" s="3081">
        <f t="shared" si="161"/>
        <v>0</v>
      </c>
      <c r="CR56" s="2788">
        <f t="shared" si="134"/>
        <v>0</v>
      </c>
      <c r="CS56" s="2792"/>
      <c r="CT56" s="919"/>
      <c r="CU56" s="1564"/>
      <c r="CV56" s="1564"/>
      <c r="CW56" s="1564"/>
    </row>
    <row r="57" spans="1:178" ht="14.4" customHeight="1" outlineLevel="2">
      <c r="A57" s="1571"/>
      <c r="B57" s="3092" t="s">
        <v>68</v>
      </c>
      <c r="C57" s="2790"/>
      <c r="D57" s="2793"/>
      <c r="E57" s="3081">
        <f t="shared" si="135"/>
        <v>0</v>
      </c>
      <c r="F57" s="2788" t="e">
        <f t="shared" si="162"/>
        <v>#DIV/0!</v>
      </c>
      <c r="G57" s="1982">
        <v>0</v>
      </c>
      <c r="H57" s="2011">
        <v>0</v>
      </c>
      <c r="I57" s="3082">
        <f t="shared" si="136"/>
        <v>0</v>
      </c>
      <c r="J57" s="3003">
        <f t="shared" si="123"/>
        <v>0</v>
      </c>
      <c r="K57" s="2046"/>
      <c r="L57" s="2046"/>
      <c r="M57" s="3041"/>
      <c r="N57" s="3047"/>
      <c r="O57" s="3093">
        <f t="shared" si="137"/>
        <v>0</v>
      </c>
      <c r="P57" s="3042">
        <f t="shared" si="138"/>
        <v>0</v>
      </c>
      <c r="Q57" s="3044"/>
      <c r="R57" s="3059"/>
      <c r="S57" s="3047"/>
      <c r="T57" s="3083">
        <f t="shared" si="139"/>
        <v>0</v>
      </c>
      <c r="U57" s="3157">
        <f t="shared" si="140"/>
        <v>0</v>
      </c>
      <c r="V57" s="3044"/>
      <c r="W57" s="3047"/>
      <c r="X57" s="3062"/>
      <c r="Y57" s="3083">
        <f t="shared" si="141"/>
        <v>0</v>
      </c>
      <c r="Z57" s="3157">
        <f t="shared" si="142"/>
        <v>0</v>
      </c>
      <c r="AA57" s="3044"/>
      <c r="AB57" s="3047"/>
      <c r="AC57" s="3062"/>
      <c r="AD57" s="3083">
        <f t="shared" si="143"/>
        <v>0</v>
      </c>
      <c r="AE57" s="3157">
        <f t="shared" si="144"/>
        <v>0</v>
      </c>
      <c r="AF57" s="3044"/>
      <c r="AG57" s="3047"/>
      <c r="AH57" s="3062"/>
      <c r="AI57" s="3083">
        <f t="shared" si="145"/>
        <v>0</v>
      </c>
      <c r="AJ57" s="3157">
        <f t="shared" si="146"/>
        <v>0</v>
      </c>
      <c r="AK57" s="3044"/>
      <c r="AL57" s="3047"/>
      <c r="AM57" s="3062"/>
      <c r="AN57" s="3083">
        <f t="shared" si="147"/>
        <v>0</v>
      </c>
      <c r="AO57" s="3157">
        <f t="shared" si="124"/>
        <v>0</v>
      </c>
      <c r="AP57" s="3044"/>
      <c r="AQ57" s="3047"/>
      <c r="AR57" s="3062"/>
      <c r="AS57" s="3083">
        <f t="shared" si="148"/>
        <v>0</v>
      </c>
      <c r="AT57" s="3157">
        <f t="shared" si="149"/>
        <v>0</v>
      </c>
      <c r="AU57" s="3044"/>
      <c r="AV57" s="3047"/>
      <c r="AW57" s="3062"/>
      <c r="AX57" s="3083">
        <f t="shared" si="150"/>
        <v>0</v>
      </c>
      <c r="AY57" s="3157">
        <f t="shared" si="125"/>
        <v>0</v>
      </c>
      <c r="AZ57" s="3044"/>
      <c r="BA57" s="3047"/>
      <c r="BB57" s="3062"/>
      <c r="BC57" s="3083">
        <f t="shared" si="151"/>
        <v>0</v>
      </c>
      <c r="BD57" s="3157">
        <f t="shared" si="126"/>
        <v>0</v>
      </c>
      <c r="BE57" s="3044"/>
      <c r="BF57" s="3047"/>
      <c r="BG57" s="3062"/>
      <c r="BH57" s="3083">
        <f t="shared" si="152"/>
        <v>0</v>
      </c>
      <c r="BI57" s="3157">
        <f t="shared" si="127"/>
        <v>0</v>
      </c>
      <c r="BJ57" s="3044"/>
      <c r="BK57" s="3047"/>
      <c r="BL57" s="3062"/>
      <c r="BM57" s="3083">
        <f t="shared" si="153"/>
        <v>0</v>
      </c>
      <c r="BN57" s="3157">
        <f t="shared" si="128"/>
        <v>0</v>
      </c>
      <c r="BO57" s="3044"/>
      <c r="BP57" s="3047"/>
      <c r="BQ57" s="3074"/>
      <c r="BR57" s="3083">
        <f t="shared" si="154"/>
        <v>0</v>
      </c>
      <c r="BS57" s="3157">
        <f t="shared" si="129"/>
        <v>0</v>
      </c>
      <c r="BT57" s="3044"/>
      <c r="BU57" s="3047"/>
      <c r="BV57" s="3074"/>
      <c r="BW57" s="3083">
        <f t="shared" si="155"/>
        <v>0</v>
      </c>
      <c r="BX57" s="3157">
        <f t="shared" si="130"/>
        <v>0</v>
      </c>
      <c r="BY57" s="3044"/>
      <c r="BZ57" s="3047"/>
      <c r="CA57" s="3074"/>
      <c r="CB57" s="3083">
        <f t="shared" si="156"/>
        <v>0</v>
      </c>
      <c r="CC57" s="3157">
        <f t="shared" si="131"/>
        <v>0</v>
      </c>
      <c r="CD57" s="3044"/>
      <c r="CE57" s="3047"/>
      <c r="CF57" s="3074"/>
      <c r="CG57" s="3083">
        <f t="shared" si="157"/>
        <v>0</v>
      </c>
      <c r="CH57" s="3157">
        <f t="shared" si="132"/>
        <v>0</v>
      </c>
      <c r="CI57" s="3044"/>
      <c r="CJ57" s="3047"/>
      <c r="CK57" s="3074"/>
      <c r="CL57" s="3083">
        <f t="shared" si="158"/>
        <v>0</v>
      </c>
      <c r="CM57" s="3157">
        <f t="shared" si="133"/>
        <v>0</v>
      </c>
      <c r="CN57" s="3044"/>
      <c r="CO57" s="2043">
        <f t="shared" si="159"/>
        <v>0</v>
      </c>
      <c r="CP57" s="2043">
        <f t="shared" si="160"/>
        <v>0</v>
      </c>
      <c r="CQ57" s="3081">
        <f t="shared" si="161"/>
        <v>0</v>
      </c>
      <c r="CR57" s="2788">
        <f t="shared" si="134"/>
        <v>0</v>
      </c>
      <c r="CS57" s="2792"/>
      <c r="CT57" s="919"/>
      <c r="CU57" s="1564"/>
      <c r="CV57" s="1564"/>
      <c r="CW57" s="1564"/>
    </row>
    <row r="58" spans="1:178" ht="14.4" customHeight="1" outlineLevel="2">
      <c r="A58" s="1571"/>
      <c r="B58" s="3092" t="s">
        <v>67</v>
      </c>
      <c r="C58" s="2790"/>
      <c r="D58" s="2793"/>
      <c r="E58" s="3081">
        <f t="shared" si="135"/>
        <v>0</v>
      </c>
      <c r="F58" s="2788" t="e">
        <f t="shared" si="162"/>
        <v>#DIV/0!</v>
      </c>
      <c r="G58" s="1982">
        <v>56298.31</v>
      </c>
      <c r="H58" s="2011">
        <v>115101.3</v>
      </c>
      <c r="I58" s="3082">
        <f t="shared" si="136"/>
        <v>171399.61</v>
      </c>
      <c r="J58" s="3003">
        <f t="shared" si="123"/>
        <v>3.1307083714441301E-3</v>
      </c>
      <c r="K58" s="2046"/>
      <c r="L58" s="2046"/>
      <c r="M58" s="3041">
        <v>11347.76</v>
      </c>
      <c r="N58" s="3047">
        <v>28652.3</v>
      </c>
      <c r="O58" s="3093">
        <f t="shared" si="137"/>
        <v>40000.06</v>
      </c>
      <c r="P58" s="3042">
        <f t="shared" si="138"/>
        <v>5.7515498165436512E-3</v>
      </c>
      <c r="Q58" s="3044" t="s">
        <v>1550</v>
      </c>
      <c r="R58" s="3059">
        <v>11140.55</v>
      </c>
      <c r="S58" s="3047">
        <v>28859.5</v>
      </c>
      <c r="T58" s="3083">
        <f t="shared" si="139"/>
        <v>40000.050000000003</v>
      </c>
      <c r="U58" s="3157">
        <f t="shared" si="140"/>
        <v>5.7515483786583551E-3</v>
      </c>
      <c r="V58" s="3044" t="s">
        <v>1551</v>
      </c>
      <c r="W58" s="3047">
        <v>11270</v>
      </c>
      <c r="X58" s="3062">
        <v>28859.5</v>
      </c>
      <c r="Y58" s="3083">
        <f t="shared" si="141"/>
        <v>40129.5</v>
      </c>
      <c r="Z58" s="3157">
        <f t="shared" si="142"/>
        <v>5.7701618038320064E-3</v>
      </c>
      <c r="AA58" s="3044" t="s">
        <v>1552</v>
      </c>
      <c r="AB58" s="3047">
        <v>11270</v>
      </c>
      <c r="AC58" s="3062">
        <v>28730</v>
      </c>
      <c r="AD58" s="3083">
        <f t="shared" si="143"/>
        <v>40000</v>
      </c>
      <c r="AE58" s="3157">
        <f t="shared" si="144"/>
        <v>5.7515411892318678E-3</v>
      </c>
      <c r="AF58" s="3044" t="s">
        <v>1552</v>
      </c>
      <c r="AG58" s="3047">
        <v>11270</v>
      </c>
      <c r="AH58" s="3062"/>
      <c r="AI58" s="3083">
        <f t="shared" si="145"/>
        <v>11270</v>
      </c>
      <c r="AJ58" s="3157">
        <f t="shared" si="146"/>
        <v>1.6204967300660789E-3</v>
      </c>
      <c r="AK58" s="3044" t="s">
        <v>1553</v>
      </c>
      <c r="AL58" s="3047">
        <v>13139.13</v>
      </c>
      <c r="AM58" s="3062">
        <v>26860.95</v>
      </c>
      <c r="AN58" s="3083">
        <f t="shared" si="147"/>
        <v>40000.080000000002</v>
      </c>
      <c r="AO58" s="3157">
        <f t="shared" si="124"/>
        <v>6.2383029091201934E-3</v>
      </c>
      <c r="AP58" s="3044" t="s">
        <v>1281</v>
      </c>
      <c r="AQ58" s="3047">
        <v>13573.26</v>
      </c>
      <c r="AR58" s="3062">
        <f>26400-23094</f>
        <v>3306</v>
      </c>
      <c r="AS58" s="3083">
        <f t="shared" si="148"/>
        <v>16879.260000000002</v>
      </c>
      <c r="AT58" s="3157">
        <f t="shared" si="149"/>
        <v>2.4270439783438476E-3</v>
      </c>
      <c r="AU58" s="3044" t="s">
        <v>1281</v>
      </c>
      <c r="AV58" s="3047">
        <v>13282.5</v>
      </c>
      <c r="AW58" s="3062">
        <v>26800</v>
      </c>
      <c r="AX58" s="3083">
        <f t="shared" si="150"/>
        <v>40082.5</v>
      </c>
      <c r="AY58" s="3157">
        <f t="shared" si="125"/>
        <v>1.3823853176416894E-2</v>
      </c>
      <c r="AZ58" s="3044" t="s">
        <v>1281</v>
      </c>
      <c r="BA58" s="3047">
        <v>13282.5</v>
      </c>
      <c r="BB58" s="3062">
        <v>31710</v>
      </c>
      <c r="BC58" s="3083">
        <f t="shared" si="151"/>
        <v>44992.5</v>
      </c>
      <c r="BD58" s="3157">
        <f t="shared" si="126"/>
        <v>1.2833853249317797E-2</v>
      </c>
      <c r="BE58" s="3044" t="s">
        <v>1281</v>
      </c>
      <c r="BF58" s="3047">
        <v>13282.5</v>
      </c>
      <c r="BG58" s="3062">
        <v>31700</v>
      </c>
      <c r="BH58" s="3083">
        <f t="shared" si="152"/>
        <v>44982.5</v>
      </c>
      <c r="BI58" s="3157">
        <f t="shared" si="127"/>
        <v>9.8674871010835385E-3</v>
      </c>
      <c r="BJ58" s="3044" t="s">
        <v>1281</v>
      </c>
      <c r="BK58" s="3047">
        <v>13282.5</v>
      </c>
      <c r="BL58" s="3062">
        <v>31700</v>
      </c>
      <c r="BM58" s="3083">
        <f t="shared" si="153"/>
        <v>44982.5</v>
      </c>
      <c r="BN58" s="3157">
        <f t="shared" si="128"/>
        <v>7.4136908592261682E-3</v>
      </c>
      <c r="BO58" s="3044" t="s">
        <v>1281</v>
      </c>
      <c r="BP58" s="3047">
        <v>12945.65</v>
      </c>
      <c r="BQ58" s="3074">
        <v>31400</v>
      </c>
      <c r="BR58" s="3083">
        <f t="shared" si="154"/>
        <v>44345.65</v>
      </c>
      <c r="BS58" s="3157">
        <f t="shared" si="129"/>
        <v>1.8111226545690747E-2</v>
      </c>
      <c r="BT58" s="3044" t="s">
        <v>1281</v>
      </c>
      <c r="BU58" s="3047"/>
      <c r="BV58" s="3074">
        <f>31400*0</f>
        <v>0</v>
      </c>
      <c r="BW58" s="3083">
        <f t="shared" si="155"/>
        <v>0</v>
      </c>
      <c r="BX58" s="3157">
        <f t="shared" si="130"/>
        <v>0</v>
      </c>
      <c r="BY58" s="3044" t="s">
        <v>1281</v>
      </c>
      <c r="BZ58" s="3047"/>
      <c r="CA58" s="3074">
        <f>31400*0</f>
        <v>0</v>
      </c>
      <c r="CB58" s="3083">
        <f t="shared" si="156"/>
        <v>0</v>
      </c>
      <c r="CC58" s="3157">
        <f t="shared" si="131"/>
        <v>0</v>
      </c>
      <c r="CD58" s="3044"/>
      <c r="CE58" s="3047"/>
      <c r="CF58" s="3074">
        <f>31400*0</f>
        <v>0</v>
      </c>
      <c r="CG58" s="3083">
        <f t="shared" si="157"/>
        <v>0</v>
      </c>
      <c r="CH58" s="3157">
        <f t="shared" si="132"/>
        <v>0</v>
      </c>
      <c r="CI58" s="3044"/>
      <c r="CJ58" s="3047"/>
      <c r="CK58" s="3074">
        <f>31400*0</f>
        <v>0</v>
      </c>
      <c r="CL58" s="3083">
        <f t="shared" si="158"/>
        <v>0</v>
      </c>
      <c r="CM58" s="3157">
        <f t="shared" si="133"/>
        <v>0</v>
      </c>
      <c r="CN58" s="3044"/>
      <c r="CO58" s="2043">
        <f t="shared" si="159"/>
        <v>149086.35</v>
      </c>
      <c r="CP58" s="2043">
        <f t="shared" si="160"/>
        <v>298578.25</v>
      </c>
      <c r="CQ58" s="3081">
        <f t="shared" si="161"/>
        <v>447664.6</v>
      </c>
      <c r="CR58" s="2788">
        <f t="shared" si="134"/>
        <v>4.757808629194493E-3</v>
      </c>
      <c r="CS58" s="2792"/>
      <c r="CT58" s="919"/>
      <c r="CU58" s="1564"/>
      <c r="CV58" s="1564"/>
      <c r="CW58" s="1564"/>
    </row>
    <row r="59" spans="1:178" ht="14.4" customHeight="1" outlineLevel="2">
      <c r="A59" s="1571"/>
      <c r="B59" s="3092" t="s">
        <v>66</v>
      </c>
      <c r="C59" s="2790"/>
      <c r="D59" s="2793"/>
      <c r="E59" s="3081">
        <f t="shared" si="135"/>
        <v>0</v>
      </c>
      <c r="F59" s="2788" t="e">
        <f t="shared" si="162"/>
        <v>#DIV/0!</v>
      </c>
      <c r="G59" s="1982">
        <v>14333.46</v>
      </c>
      <c r="H59" s="2011">
        <v>0</v>
      </c>
      <c r="I59" s="3082">
        <f t="shared" si="136"/>
        <v>14333.46</v>
      </c>
      <c r="J59" s="3003">
        <f t="shared" si="123"/>
        <v>2.6180854911956675E-4</v>
      </c>
      <c r="K59" s="2046"/>
      <c r="L59" s="2046"/>
      <c r="M59" s="3041">
        <v>2748.84</v>
      </c>
      <c r="N59" s="3047"/>
      <c r="O59" s="3093">
        <f t="shared" si="137"/>
        <v>2748.84</v>
      </c>
      <c r="P59" s="3042">
        <f t="shared" si="138"/>
        <v>3.9525166206520323E-4</v>
      </c>
      <c r="Q59" s="3044"/>
      <c r="R59" s="3059">
        <v>3044.62</v>
      </c>
      <c r="S59" s="3047"/>
      <c r="T59" s="3083">
        <f t="shared" si="139"/>
        <v>3044.62</v>
      </c>
      <c r="U59" s="3157">
        <f t="shared" si="140"/>
        <v>4.3778143338897823E-4</v>
      </c>
      <c r="V59" s="3044"/>
      <c r="W59" s="3047">
        <v>3080</v>
      </c>
      <c r="X59" s="3062"/>
      <c r="Y59" s="3083">
        <f t="shared" si="141"/>
        <v>3080</v>
      </c>
      <c r="Z59" s="3157">
        <f t="shared" si="142"/>
        <v>4.4286867157085385E-4</v>
      </c>
      <c r="AA59" s="3044"/>
      <c r="AB59" s="3047">
        <v>2730</v>
      </c>
      <c r="AC59" s="3062"/>
      <c r="AD59" s="3083">
        <f t="shared" si="143"/>
        <v>2730</v>
      </c>
      <c r="AE59" s="3157">
        <f t="shared" si="144"/>
        <v>3.9254268616507496E-4</v>
      </c>
      <c r="AF59" s="3070" t="s">
        <v>1194</v>
      </c>
      <c r="AG59" s="3047">
        <v>2730</v>
      </c>
      <c r="AH59" s="3062"/>
      <c r="AI59" s="3083">
        <f t="shared" si="145"/>
        <v>2730</v>
      </c>
      <c r="AJ59" s="3157">
        <f t="shared" si="146"/>
        <v>3.9254268616507496E-4</v>
      </c>
      <c r="AK59" s="3044"/>
      <c r="AL59" s="3047">
        <v>3182.75</v>
      </c>
      <c r="AM59" s="3062"/>
      <c r="AN59" s="3083">
        <f t="shared" si="147"/>
        <v>3182.75</v>
      </c>
      <c r="AO59" s="3157">
        <f t="shared" si="124"/>
        <v>4.9637297185411359E-4</v>
      </c>
      <c r="AP59" s="3044"/>
      <c r="AQ59" s="3047">
        <v>3287.94</v>
      </c>
      <c r="AR59" s="3062"/>
      <c r="AS59" s="3083">
        <f t="shared" si="148"/>
        <v>3287.94</v>
      </c>
      <c r="AT59" s="3157">
        <f t="shared" si="149"/>
        <v>4.7276805844307572E-4</v>
      </c>
      <c r="AU59" s="3044"/>
      <c r="AV59" s="3047">
        <v>3217.5</v>
      </c>
      <c r="AW59" s="3062"/>
      <c r="AX59" s="3083">
        <f t="shared" si="150"/>
        <v>3217.5</v>
      </c>
      <c r="AY59" s="3157">
        <f t="shared" si="125"/>
        <v>1.109667500657927E-3</v>
      </c>
      <c r="AZ59" s="3044"/>
      <c r="BA59" s="3047">
        <v>3217.5</v>
      </c>
      <c r="BB59" s="3062"/>
      <c r="BC59" s="3083">
        <f t="shared" si="151"/>
        <v>3217.5</v>
      </c>
      <c r="BD59" s="3157">
        <f t="shared" si="126"/>
        <v>9.1777346957115104E-4</v>
      </c>
      <c r="BE59" s="3044"/>
      <c r="BF59" s="3047">
        <v>3217.5</v>
      </c>
      <c r="BG59" s="3062"/>
      <c r="BH59" s="3083">
        <f t="shared" si="152"/>
        <v>3217.5</v>
      </c>
      <c r="BI59" s="3157">
        <f t="shared" si="127"/>
        <v>7.0579980542958458E-4</v>
      </c>
      <c r="BJ59" s="3044"/>
      <c r="BK59" s="3047">
        <v>3217.5</v>
      </c>
      <c r="BL59" s="3062"/>
      <c r="BM59" s="3083">
        <f t="shared" si="153"/>
        <v>3217.5</v>
      </c>
      <c r="BN59" s="3157">
        <f t="shared" si="128"/>
        <v>5.3028511842516976E-4</v>
      </c>
      <c r="BO59" s="3044"/>
      <c r="BP59" s="3047">
        <v>2597.63</v>
      </c>
      <c r="BQ59" s="3074"/>
      <c r="BR59" s="3083">
        <f t="shared" si="154"/>
        <v>2597.63</v>
      </c>
      <c r="BS59" s="3157">
        <f t="shared" si="129"/>
        <v>1.0608992181168312E-3</v>
      </c>
      <c r="BT59" s="3044"/>
      <c r="BU59" s="3047"/>
      <c r="BV59" s="3074"/>
      <c r="BW59" s="3083">
        <f t="shared" si="155"/>
        <v>0</v>
      </c>
      <c r="BX59" s="3157">
        <f t="shared" si="130"/>
        <v>0</v>
      </c>
      <c r="BY59" s="3044"/>
      <c r="BZ59" s="3047"/>
      <c r="CA59" s="3074"/>
      <c r="CB59" s="3083"/>
      <c r="CC59" s="3157">
        <f t="shared" si="131"/>
        <v>0</v>
      </c>
      <c r="CD59" s="3044"/>
      <c r="CE59" s="3047"/>
      <c r="CF59" s="3074"/>
      <c r="CG59" s="3083"/>
      <c r="CH59" s="3157">
        <f t="shared" si="132"/>
        <v>0</v>
      </c>
      <c r="CI59" s="3044"/>
      <c r="CJ59" s="3047"/>
      <c r="CK59" s="3074"/>
      <c r="CL59" s="3083"/>
      <c r="CM59" s="3157">
        <f t="shared" si="133"/>
        <v>0</v>
      </c>
      <c r="CN59" s="3044"/>
      <c r="CO59" s="2043">
        <f t="shared" si="159"/>
        <v>36271.779999999992</v>
      </c>
      <c r="CP59" s="2043">
        <f t="shared" si="160"/>
        <v>0</v>
      </c>
      <c r="CQ59" s="3081">
        <f t="shared" si="161"/>
        <v>36271.779999999992</v>
      </c>
      <c r="CR59" s="2788">
        <f t="shared" si="134"/>
        <v>3.8549884864750125E-4</v>
      </c>
      <c r="CS59" s="2792"/>
      <c r="CT59" s="919"/>
      <c r="CU59" s="1564"/>
      <c r="CV59" s="1564"/>
      <c r="CW59" s="1564"/>
    </row>
    <row r="60" spans="1:178" ht="14.4" customHeight="1" outlineLevel="2">
      <c r="A60" s="1571"/>
      <c r="B60" s="3092" t="s">
        <v>65</v>
      </c>
      <c r="C60" s="2790"/>
      <c r="D60" s="2793"/>
      <c r="E60" s="3081">
        <f t="shared" si="135"/>
        <v>0</v>
      </c>
      <c r="F60" s="2788" t="e">
        <f t="shared" si="162"/>
        <v>#DIV/0!</v>
      </c>
      <c r="G60" s="1982">
        <v>14689.9</v>
      </c>
      <c r="H60" s="2011">
        <v>0</v>
      </c>
      <c r="I60" s="3082">
        <f t="shared" si="136"/>
        <v>14689.9</v>
      </c>
      <c r="J60" s="3003">
        <f t="shared" si="123"/>
        <v>2.6831912222949122E-4</v>
      </c>
      <c r="K60" s="2046"/>
      <c r="L60" s="2046"/>
      <c r="M60" s="3041">
        <v>3101.25</v>
      </c>
      <c r="N60" s="3047"/>
      <c r="O60" s="3093">
        <f t="shared" si="137"/>
        <v>3101.25</v>
      </c>
      <c r="P60" s="3042">
        <f t="shared" si="138"/>
        <v>4.4592417782763326E-4</v>
      </c>
      <c r="Q60" s="3044"/>
      <c r="R60" s="3059">
        <v>2698.65</v>
      </c>
      <c r="S60" s="3047"/>
      <c r="T60" s="3083">
        <f t="shared" si="139"/>
        <v>2698.65</v>
      </c>
      <c r="U60" s="3157">
        <f t="shared" si="140"/>
        <v>3.8803491575801455E-4</v>
      </c>
      <c r="V60" s="3044"/>
      <c r="W60" s="3047">
        <v>2730</v>
      </c>
      <c r="X60" s="3062"/>
      <c r="Y60" s="3083">
        <f t="shared" si="141"/>
        <v>2730</v>
      </c>
      <c r="Z60" s="3157">
        <f t="shared" si="142"/>
        <v>3.9254268616507496E-4</v>
      </c>
      <c r="AA60" s="3044"/>
      <c r="AB60" s="3047">
        <v>3080</v>
      </c>
      <c r="AC60" s="3062"/>
      <c r="AD60" s="3083">
        <f t="shared" si="143"/>
        <v>3080</v>
      </c>
      <c r="AE60" s="3157">
        <f t="shared" si="144"/>
        <v>4.4286867157085385E-4</v>
      </c>
      <c r="AF60" s="3070" t="s">
        <v>1194</v>
      </c>
      <c r="AG60" s="3047">
        <v>3080</v>
      </c>
      <c r="AH60" s="3062"/>
      <c r="AI60" s="3083">
        <f t="shared" si="145"/>
        <v>3080</v>
      </c>
      <c r="AJ60" s="3157">
        <f t="shared" si="146"/>
        <v>4.4286867157085385E-4</v>
      </c>
      <c r="AK60" s="3044"/>
      <c r="AL60" s="3047">
        <v>3040.8</v>
      </c>
      <c r="AM60" s="3062"/>
      <c r="AN60" s="3083">
        <f t="shared" si="147"/>
        <v>3040.8</v>
      </c>
      <c r="AO60" s="3157">
        <f t="shared" si="124"/>
        <v>4.7423483868163973E-4</v>
      </c>
      <c r="AP60" s="3044"/>
      <c r="AQ60" s="3047">
        <v>3159.46</v>
      </c>
      <c r="AR60" s="3062"/>
      <c r="AS60" s="3083">
        <f t="shared" si="148"/>
        <v>3159.46</v>
      </c>
      <c r="AT60" s="3157">
        <f t="shared" si="149"/>
        <v>4.5429410814326295E-4</v>
      </c>
      <c r="AU60" s="3044"/>
      <c r="AV60" s="3047">
        <v>3080</v>
      </c>
      <c r="AW60" s="3062"/>
      <c r="AX60" s="3083">
        <f t="shared" si="150"/>
        <v>3080</v>
      </c>
      <c r="AY60" s="3157">
        <f t="shared" si="125"/>
        <v>1.0622458125956224E-3</v>
      </c>
      <c r="AZ60" s="3044"/>
      <c r="BA60" s="3047">
        <v>3080</v>
      </c>
      <c r="BB60" s="3062"/>
      <c r="BC60" s="3083">
        <f t="shared" si="151"/>
        <v>3080</v>
      </c>
      <c r="BD60" s="3157">
        <f t="shared" si="126"/>
        <v>8.7855238112793943E-4</v>
      </c>
      <c r="BE60" s="3044"/>
      <c r="BF60" s="3047">
        <v>3080</v>
      </c>
      <c r="BG60" s="3062"/>
      <c r="BH60" s="3083">
        <f t="shared" si="152"/>
        <v>3080</v>
      </c>
      <c r="BI60" s="3157">
        <f t="shared" si="127"/>
        <v>6.7563742058216641E-4</v>
      </c>
      <c r="BJ60" s="3044"/>
      <c r="BK60" s="3047">
        <v>3080</v>
      </c>
      <c r="BL60" s="3062"/>
      <c r="BM60" s="3083">
        <f t="shared" si="153"/>
        <v>3080</v>
      </c>
      <c r="BN60" s="3157">
        <f t="shared" si="128"/>
        <v>5.0762336122751287E-4</v>
      </c>
      <c r="BO60" s="3044"/>
      <c r="BP60" s="3047">
        <v>3861.83</v>
      </c>
      <c r="BQ60" s="3074"/>
      <c r="BR60" s="3083">
        <f t="shared" si="154"/>
        <v>3861.83</v>
      </c>
      <c r="BS60" s="3157">
        <f t="shared" si="129"/>
        <v>1.5772116997032379E-3</v>
      </c>
      <c r="BT60" s="3044"/>
      <c r="BU60" s="3047"/>
      <c r="BV60" s="3074"/>
      <c r="BW60" s="3083">
        <f t="shared" si="155"/>
        <v>0</v>
      </c>
      <c r="BX60" s="3157">
        <f t="shared" si="130"/>
        <v>0</v>
      </c>
      <c r="BY60" s="3044"/>
      <c r="BZ60" s="3047"/>
      <c r="CA60" s="3074"/>
      <c r="CB60" s="3083"/>
      <c r="CC60" s="3157">
        <f t="shared" si="131"/>
        <v>0</v>
      </c>
      <c r="CD60" s="3044"/>
      <c r="CE60" s="3047"/>
      <c r="CF60" s="3074"/>
      <c r="CG60" s="3083"/>
      <c r="CH60" s="3157">
        <f t="shared" si="132"/>
        <v>0</v>
      </c>
      <c r="CI60" s="3044"/>
      <c r="CJ60" s="3047"/>
      <c r="CK60" s="3074"/>
      <c r="CL60" s="3083"/>
      <c r="CM60" s="3157">
        <f t="shared" si="133"/>
        <v>0</v>
      </c>
      <c r="CN60" s="3044"/>
      <c r="CO60" s="2043">
        <f t="shared" si="159"/>
        <v>37071.990000000005</v>
      </c>
      <c r="CP60" s="2043">
        <f t="shared" si="160"/>
        <v>0</v>
      </c>
      <c r="CQ60" s="3081">
        <f t="shared" si="161"/>
        <v>37071.990000000005</v>
      </c>
      <c r="CR60" s="2788">
        <f t="shared" si="134"/>
        <v>3.9400353283107931E-4</v>
      </c>
      <c r="CS60" s="2792"/>
      <c r="CT60" s="919"/>
      <c r="CU60" s="1564"/>
      <c r="CV60" s="1564"/>
      <c r="CW60" s="1564"/>
    </row>
    <row r="61" spans="1:178" ht="14.4" customHeight="1" outlineLevel="2">
      <c r="A61" s="1571"/>
      <c r="B61" s="3092" t="s">
        <v>32</v>
      </c>
      <c r="C61" s="2790"/>
      <c r="D61" s="2793"/>
      <c r="E61" s="3081">
        <f t="shared" si="135"/>
        <v>0</v>
      </c>
      <c r="F61" s="2788" t="e">
        <f t="shared" si="162"/>
        <v>#DIV/0!</v>
      </c>
      <c r="G61" s="1982">
        <v>0</v>
      </c>
      <c r="H61" s="2011">
        <v>0</v>
      </c>
      <c r="I61" s="3082">
        <f t="shared" si="136"/>
        <v>0</v>
      </c>
      <c r="J61" s="3003">
        <f t="shared" si="123"/>
        <v>0</v>
      </c>
      <c r="K61" s="2046"/>
      <c r="L61" s="2046"/>
      <c r="M61" s="3041"/>
      <c r="N61" s="3047"/>
      <c r="O61" s="3093">
        <f t="shared" si="137"/>
        <v>0</v>
      </c>
      <c r="P61" s="3042">
        <f t="shared" si="138"/>
        <v>0</v>
      </c>
      <c r="Q61" s="3044"/>
      <c r="R61" s="3059"/>
      <c r="S61" s="3047"/>
      <c r="T61" s="3083">
        <f t="shared" si="139"/>
        <v>0</v>
      </c>
      <c r="U61" s="3157">
        <f t="shared" si="140"/>
        <v>0</v>
      </c>
      <c r="V61" s="3044"/>
      <c r="W61" s="3047"/>
      <c r="X61" s="3062"/>
      <c r="Y61" s="3083">
        <f t="shared" si="141"/>
        <v>0</v>
      </c>
      <c r="Z61" s="3157">
        <f t="shared" si="142"/>
        <v>0</v>
      </c>
      <c r="AA61" s="3044"/>
      <c r="AB61" s="3047"/>
      <c r="AC61" s="3062"/>
      <c r="AD61" s="3083">
        <f t="shared" si="143"/>
        <v>0</v>
      </c>
      <c r="AE61" s="3157">
        <f t="shared" si="144"/>
        <v>0</v>
      </c>
      <c r="AF61" s="3044"/>
      <c r="AG61" s="3047"/>
      <c r="AH61" s="3062"/>
      <c r="AI61" s="3083">
        <f t="shared" si="145"/>
        <v>0</v>
      </c>
      <c r="AJ61" s="3157">
        <f t="shared" si="146"/>
        <v>0</v>
      </c>
      <c r="AK61" s="3044"/>
      <c r="AL61" s="3047"/>
      <c r="AM61" s="3062"/>
      <c r="AN61" s="3083">
        <f t="shared" si="147"/>
        <v>0</v>
      </c>
      <c r="AO61" s="3157">
        <f t="shared" si="124"/>
        <v>0</v>
      </c>
      <c r="AP61" s="3044"/>
      <c r="AQ61" s="3047"/>
      <c r="AR61" s="3062"/>
      <c r="AS61" s="3083">
        <f t="shared" si="148"/>
        <v>0</v>
      </c>
      <c r="AT61" s="3157">
        <f t="shared" si="149"/>
        <v>0</v>
      </c>
      <c r="AU61" s="3044"/>
      <c r="AV61" s="3047"/>
      <c r="AW61" s="3062"/>
      <c r="AX61" s="3083">
        <f t="shared" si="150"/>
        <v>0</v>
      </c>
      <c r="AY61" s="3157">
        <f t="shared" si="125"/>
        <v>0</v>
      </c>
      <c r="AZ61" s="3044"/>
      <c r="BA61" s="3047"/>
      <c r="BB61" s="3062"/>
      <c r="BC61" s="3083">
        <f t="shared" si="151"/>
        <v>0</v>
      </c>
      <c r="BD61" s="3157">
        <f t="shared" si="126"/>
        <v>0</v>
      </c>
      <c r="BE61" s="3044"/>
      <c r="BF61" s="3047"/>
      <c r="BG61" s="3062"/>
      <c r="BH61" s="3083">
        <f t="shared" si="152"/>
        <v>0</v>
      </c>
      <c r="BI61" s="3157">
        <f t="shared" si="127"/>
        <v>0</v>
      </c>
      <c r="BJ61" s="3044"/>
      <c r="BK61" s="3047"/>
      <c r="BL61" s="3062"/>
      <c r="BM61" s="3083">
        <f t="shared" si="153"/>
        <v>0</v>
      </c>
      <c r="BN61" s="3157">
        <f t="shared" si="128"/>
        <v>0</v>
      </c>
      <c r="BO61" s="3044"/>
      <c r="BP61" s="3047"/>
      <c r="BQ61" s="3074">
        <f>60000*0</f>
        <v>0</v>
      </c>
      <c r="BR61" s="3083">
        <f t="shared" si="154"/>
        <v>0</v>
      </c>
      <c r="BS61" s="3157">
        <f t="shared" si="129"/>
        <v>0</v>
      </c>
      <c r="BT61" s="3044"/>
      <c r="BU61" s="3047"/>
      <c r="BV61" s="3074">
        <f>30000+30000+292000*0</f>
        <v>60000</v>
      </c>
      <c r="BW61" s="3083">
        <f t="shared" si="155"/>
        <v>60000</v>
      </c>
      <c r="BX61" s="3157">
        <f t="shared" si="130"/>
        <v>0.11114974346861506</v>
      </c>
      <c r="BY61" s="3044" t="s">
        <v>1629</v>
      </c>
      <c r="BZ61" s="3047"/>
      <c r="CA61" s="3074"/>
      <c r="CB61" s="3083"/>
      <c r="CC61" s="3157">
        <f t="shared" si="131"/>
        <v>0</v>
      </c>
      <c r="CD61" s="3044"/>
      <c r="CE61" s="3047"/>
      <c r="CF61" s="3074"/>
      <c r="CG61" s="3083"/>
      <c r="CH61" s="3157">
        <f t="shared" si="132"/>
        <v>0</v>
      </c>
      <c r="CI61" s="3044"/>
      <c r="CJ61" s="3047"/>
      <c r="CK61" s="3074"/>
      <c r="CL61" s="3083"/>
      <c r="CM61" s="3157">
        <f t="shared" si="133"/>
        <v>0</v>
      </c>
      <c r="CN61" s="3044"/>
      <c r="CO61" s="2043">
        <f t="shared" si="159"/>
        <v>0</v>
      </c>
      <c r="CP61" s="2043">
        <f t="shared" si="160"/>
        <v>60000</v>
      </c>
      <c r="CQ61" s="3081">
        <f t="shared" si="161"/>
        <v>60000</v>
      </c>
      <c r="CR61" s="2788">
        <f t="shared" si="134"/>
        <v>6.3768392173888574E-4</v>
      </c>
      <c r="CS61" s="2792"/>
      <c r="CT61" s="919"/>
      <c r="CU61" s="1564"/>
      <c r="CV61" s="1564"/>
      <c r="CW61" s="1564"/>
    </row>
    <row r="62" spans="1:178" ht="14.4" customHeight="1" outlineLevel="2">
      <c r="A62" s="1571"/>
      <c r="B62" s="3092" t="s">
        <v>33</v>
      </c>
      <c r="C62" s="2812"/>
      <c r="D62" s="2793"/>
      <c r="E62" s="3081">
        <f t="shared" si="135"/>
        <v>0</v>
      </c>
      <c r="F62" s="2788" t="e">
        <f t="shared" si="162"/>
        <v>#DIV/0!</v>
      </c>
      <c r="G62" s="1982">
        <v>0</v>
      </c>
      <c r="H62" s="2011">
        <v>0</v>
      </c>
      <c r="I62" s="3082">
        <f t="shared" si="136"/>
        <v>0</v>
      </c>
      <c r="J62" s="3003">
        <f t="shared" si="123"/>
        <v>0</v>
      </c>
      <c r="K62" s="2046"/>
      <c r="L62" s="2046"/>
      <c r="M62" s="3041"/>
      <c r="N62" s="3047"/>
      <c r="O62" s="3093">
        <f t="shared" si="137"/>
        <v>0</v>
      </c>
      <c r="P62" s="3042">
        <f t="shared" si="138"/>
        <v>0</v>
      </c>
      <c r="Q62" s="3044"/>
      <c r="R62" s="3059"/>
      <c r="S62" s="3047"/>
      <c r="T62" s="3083">
        <f t="shared" si="139"/>
        <v>0</v>
      </c>
      <c r="U62" s="3157">
        <f t="shared" si="140"/>
        <v>0</v>
      </c>
      <c r="V62" s="3044"/>
      <c r="W62" s="3047"/>
      <c r="X62" s="3062"/>
      <c r="Y62" s="3083">
        <f t="shared" si="141"/>
        <v>0</v>
      </c>
      <c r="Z62" s="3157">
        <f t="shared" si="142"/>
        <v>0</v>
      </c>
      <c r="AA62" s="3044"/>
      <c r="AB62" s="3047"/>
      <c r="AC62" s="3062"/>
      <c r="AD62" s="3083">
        <f t="shared" si="143"/>
        <v>0</v>
      </c>
      <c r="AE62" s="3157">
        <f t="shared" si="144"/>
        <v>0</v>
      </c>
      <c r="AF62" s="3044"/>
      <c r="AG62" s="3047"/>
      <c r="AH62" s="3062"/>
      <c r="AI62" s="3083">
        <f t="shared" si="145"/>
        <v>0</v>
      </c>
      <c r="AJ62" s="3157">
        <f t="shared" si="146"/>
        <v>0</v>
      </c>
      <c r="AK62" s="3044"/>
      <c r="AL62" s="3047"/>
      <c r="AM62" s="3062"/>
      <c r="AN62" s="3083">
        <f t="shared" si="147"/>
        <v>0</v>
      </c>
      <c r="AO62" s="3157">
        <f t="shared" si="124"/>
        <v>0</v>
      </c>
      <c r="AP62" s="3044"/>
      <c r="AQ62" s="3047"/>
      <c r="AR62" s="3062"/>
      <c r="AS62" s="3083">
        <f t="shared" si="148"/>
        <v>0</v>
      </c>
      <c r="AT62" s="3157">
        <f t="shared" si="149"/>
        <v>0</v>
      </c>
      <c r="AU62" s="3044"/>
      <c r="AV62" s="3047"/>
      <c r="AW62" s="3062"/>
      <c r="AX62" s="3083">
        <f t="shared" si="150"/>
        <v>0</v>
      </c>
      <c r="AY62" s="3157">
        <f t="shared" si="125"/>
        <v>0</v>
      </c>
      <c r="AZ62" s="3044"/>
      <c r="BA62" s="3047"/>
      <c r="BB62" s="3062"/>
      <c r="BC62" s="3083">
        <f t="shared" si="151"/>
        <v>0</v>
      </c>
      <c r="BD62" s="3157">
        <f t="shared" si="126"/>
        <v>0</v>
      </c>
      <c r="BE62" s="3044"/>
      <c r="BF62" s="3047"/>
      <c r="BG62" s="3062"/>
      <c r="BH62" s="3083">
        <f t="shared" si="152"/>
        <v>0</v>
      </c>
      <c r="BI62" s="3157">
        <f t="shared" si="127"/>
        <v>0</v>
      </c>
      <c r="BJ62" s="3044"/>
      <c r="BK62" s="3047"/>
      <c r="BL62" s="3062"/>
      <c r="BM62" s="3083">
        <f t="shared" si="153"/>
        <v>0</v>
      </c>
      <c r="BN62" s="3157">
        <f t="shared" si="128"/>
        <v>0</v>
      </c>
      <c r="BO62" s="3044"/>
      <c r="BP62" s="3047"/>
      <c r="BQ62" s="3074"/>
      <c r="BR62" s="3083">
        <f t="shared" si="154"/>
        <v>0</v>
      </c>
      <c r="BS62" s="3157">
        <f t="shared" si="129"/>
        <v>0</v>
      </c>
      <c r="BT62" s="3044"/>
      <c r="BU62" s="3047"/>
      <c r="BV62" s="3074"/>
      <c r="BW62" s="3083">
        <f t="shared" si="155"/>
        <v>0</v>
      </c>
      <c r="BX62" s="3157">
        <f t="shared" si="130"/>
        <v>0</v>
      </c>
      <c r="BY62" s="3044"/>
      <c r="BZ62" s="3047"/>
      <c r="CA62" s="3074"/>
      <c r="CB62" s="3083"/>
      <c r="CC62" s="3157">
        <f t="shared" si="131"/>
        <v>0</v>
      </c>
      <c r="CD62" s="3044"/>
      <c r="CE62" s="3047"/>
      <c r="CF62" s="3074"/>
      <c r="CG62" s="3083"/>
      <c r="CH62" s="3157">
        <f t="shared" si="132"/>
        <v>0</v>
      </c>
      <c r="CI62" s="3044"/>
      <c r="CJ62" s="3047"/>
      <c r="CK62" s="3074"/>
      <c r="CL62" s="3083"/>
      <c r="CM62" s="3157">
        <f t="shared" si="133"/>
        <v>0</v>
      </c>
      <c r="CN62" s="3044"/>
      <c r="CO62" s="2043">
        <f t="shared" si="159"/>
        <v>0</v>
      </c>
      <c r="CP62" s="2043">
        <f t="shared" si="160"/>
        <v>0</v>
      </c>
      <c r="CQ62" s="3081">
        <f t="shared" si="161"/>
        <v>0</v>
      </c>
      <c r="CR62" s="2788">
        <f t="shared" si="134"/>
        <v>0</v>
      </c>
      <c r="CS62" s="2792"/>
      <c r="CT62" s="919"/>
      <c r="CU62" s="1564"/>
      <c r="CV62" s="1564"/>
      <c r="CW62" s="1564"/>
    </row>
    <row r="63" spans="1:178" ht="19.2" customHeight="1" outlineLevel="2">
      <c r="A63" s="1571"/>
      <c r="B63" s="3092" t="s">
        <v>35</v>
      </c>
      <c r="C63" s="2812"/>
      <c r="D63" s="2793"/>
      <c r="E63" s="3081">
        <f t="shared" si="135"/>
        <v>0</v>
      </c>
      <c r="F63" s="2788" t="e">
        <f t="shared" si="162"/>
        <v>#DIV/0!</v>
      </c>
      <c r="G63" s="1982">
        <v>37014.959999999999</v>
      </c>
      <c r="H63" s="2011">
        <v>0</v>
      </c>
      <c r="I63" s="3082">
        <f t="shared" si="136"/>
        <v>37014.959999999999</v>
      </c>
      <c r="J63" s="3003">
        <f t="shared" si="123"/>
        <v>6.7609865122020773E-4</v>
      </c>
      <c r="K63" s="2046"/>
      <c r="L63" s="2046"/>
      <c r="M63" s="3041">
        <v>16648.64</v>
      </c>
      <c r="N63" s="3047"/>
      <c r="O63" s="3093">
        <f>M63+N63*1</f>
        <v>16648.64</v>
      </c>
      <c r="P63" s="3042">
        <f t="shared" si="138"/>
        <v>2.393883467617331E-3</v>
      </c>
      <c r="Q63" s="3044" t="s">
        <v>1554</v>
      </c>
      <c r="R63" s="3059">
        <v>5648.43</v>
      </c>
      <c r="S63" s="3047"/>
      <c r="T63" s="3083">
        <f>R63+S63*1</f>
        <v>5648.43</v>
      </c>
      <c r="U63" s="3157">
        <f t="shared" si="140"/>
        <v>8.1217944498732401E-4</v>
      </c>
      <c r="V63" s="3044" t="s">
        <v>1555</v>
      </c>
      <c r="W63" s="3047">
        <v>8998.15</v>
      </c>
      <c r="X63" s="3062"/>
      <c r="Y63" s="3083">
        <f>W63+X63*1</f>
        <v>8998.15</v>
      </c>
      <c r="Z63" s="3157">
        <f t="shared" si="142"/>
        <v>1.2938307587971683E-3</v>
      </c>
      <c r="AA63" s="3044" t="s">
        <v>1556</v>
      </c>
      <c r="AB63" s="3047">
        <v>5719.74</v>
      </c>
      <c r="AC63" s="3062"/>
      <c r="AD63" s="3083">
        <f>AB63+AC63*1</f>
        <v>5719.74</v>
      </c>
      <c r="AE63" s="3157">
        <f t="shared" si="144"/>
        <v>8.2243300504242711E-4</v>
      </c>
      <c r="AF63" s="3044" t="s">
        <v>1552</v>
      </c>
      <c r="AG63" s="3047">
        <f>5205.82+6860+5205.82+3.47</f>
        <v>17275.11</v>
      </c>
      <c r="AH63" s="3074"/>
      <c r="AI63" s="3083">
        <f>AG63+AH63*1</f>
        <v>17275.11</v>
      </c>
      <c r="AJ63" s="3157">
        <f t="shared" si="146"/>
        <v>2.4839626678377835E-3</v>
      </c>
      <c r="AK63" s="3044" t="s">
        <v>1289</v>
      </c>
      <c r="AL63" s="3047">
        <f>5205.82+6860</f>
        <v>12065.82</v>
      </c>
      <c r="AM63" s="3074"/>
      <c r="AN63" s="3083">
        <f t="shared" si="147"/>
        <v>12065.82</v>
      </c>
      <c r="AO63" s="3157">
        <f t="shared" si="124"/>
        <v>1.8817522366685417E-3</v>
      </c>
      <c r="AP63" s="3044" t="s">
        <v>1289</v>
      </c>
      <c r="AQ63" s="3047">
        <v>11507.2</v>
      </c>
      <c r="AR63" s="3074"/>
      <c r="AS63" s="3083">
        <f>AQ63+AR63*1</f>
        <v>11507.2</v>
      </c>
      <c r="AT63" s="3157">
        <f t="shared" si="149"/>
        <v>1.6546033693182239E-3</v>
      </c>
      <c r="AU63" s="3044" t="s">
        <v>1289</v>
      </c>
      <c r="AV63" s="3047">
        <v>12205.55</v>
      </c>
      <c r="AW63" s="3074"/>
      <c r="AX63" s="3083">
        <f t="shared" si="150"/>
        <v>12205.55</v>
      </c>
      <c r="AY63" s="3157">
        <f t="shared" si="125"/>
        <v>4.2095111616644474E-3</v>
      </c>
      <c r="AZ63" s="3044" t="s">
        <v>1289</v>
      </c>
      <c r="BA63" s="3047">
        <f>8166.04+4219.5</f>
        <v>12385.54</v>
      </c>
      <c r="BB63" s="3074"/>
      <c r="BC63" s="3083">
        <f t="shared" si="151"/>
        <v>12385.54</v>
      </c>
      <c r="BD63" s="3157">
        <f t="shared" si="126"/>
        <v>3.5329044345958896E-3</v>
      </c>
      <c r="BE63" s="3044" t="s">
        <v>1289</v>
      </c>
      <c r="BF63" s="3047">
        <v>12592.13</v>
      </c>
      <c r="BG63" s="3074"/>
      <c r="BH63" s="3083">
        <f t="shared" si="152"/>
        <v>12592.13</v>
      </c>
      <c r="BI63" s="3157">
        <f t="shared" si="127"/>
        <v>2.7622448807906866E-3</v>
      </c>
      <c r="BJ63" s="3044" t="s">
        <v>1289</v>
      </c>
      <c r="BK63" s="3047">
        <v>8303.52</v>
      </c>
      <c r="BL63" s="3074"/>
      <c r="BM63" s="3083">
        <f>BK63+BL63*1</f>
        <v>8303.52</v>
      </c>
      <c r="BN63" s="3157">
        <f t="shared" si="128"/>
        <v>1.3685262118246356E-3</v>
      </c>
      <c r="BO63" s="3044" t="s">
        <v>1289</v>
      </c>
      <c r="BP63" s="3047">
        <v>3355.05</v>
      </c>
      <c r="BQ63" s="3074"/>
      <c r="BR63" s="3083">
        <f>BP63+BQ63*1</f>
        <v>3355.05</v>
      </c>
      <c r="BS63" s="3157">
        <f t="shared" si="129"/>
        <v>1.3702374555817705E-3</v>
      </c>
      <c r="BT63" s="3044" t="s">
        <v>1397</v>
      </c>
      <c r="BU63" s="3047"/>
      <c r="BV63" s="3074"/>
      <c r="BW63" s="3083">
        <f>BU63+BV63*1</f>
        <v>0</v>
      </c>
      <c r="BX63" s="3157">
        <f t="shared" si="130"/>
        <v>0</v>
      </c>
      <c r="BY63" s="3044"/>
      <c r="BZ63" s="3047"/>
      <c r="CA63" s="3074"/>
      <c r="CB63" s="3083"/>
      <c r="CC63" s="3157">
        <f t="shared" si="131"/>
        <v>0</v>
      </c>
      <c r="CD63" s="3044"/>
      <c r="CE63" s="3047"/>
      <c r="CF63" s="3074"/>
      <c r="CG63" s="3083"/>
      <c r="CH63" s="3157">
        <f t="shared" si="132"/>
        <v>0</v>
      </c>
      <c r="CI63" s="3044"/>
      <c r="CJ63" s="3047"/>
      <c r="CK63" s="3074"/>
      <c r="CL63" s="3083"/>
      <c r="CM63" s="3157">
        <f t="shared" si="133"/>
        <v>0</v>
      </c>
      <c r="CN63" s="3044"/>
      <c r="CO63" s="2043">
        <f t="shared" si="159"/>
        <v>126704.88</v>
      </c>
      <c r="CP63" s="2043">
        <f t="shared" si="160"/>
        <v>0</v>
      </c>
      <c r="CQ63" s="3102">
        <f t="shared" si="161"/>
        <v>126704.88</v>
      </c>
      <c r="CR63" s="2788">
        <f t="shared" si="134"/>
        <v>1.3466277463642484E-3</v>
      </c>
      <c r="CS63" s="2792"/>
      <c r="CT63" s="919"/>
      <c r="CU63" s="1564"/>
      <c r="CV63" s="1564"/>
      <c r="CW63" s="1564"/>
    </row>
    <row r="64" spans="1:178" ht="18.600000000000001" customHeight="1" outlineLevel="2">
      <c r="A64" s="1571"/>
      <c r="B64" s="3092" t="s">
        <v>63</v>
      </c>
      <c r="C64" s="2812"/>
      <c r="D64" s="2793"/>
      <c r="E64" s="3081">
        <f t="shared" si="135"/>
        <v>0</v>
      </c>
      <c r="F64" s="2788" t="e">
        <f t="shared" si="162"/>
        <v>#DIV/0!</v>
      </c>
      <c r="G64" s="2732">
        <v>0</v>
      </c>
      <c r="H64" s="2011">
        <v>0</v>
      </c>
      <c r="I64" s="3082">
        <f t="shared" si="136"/>
        <v>0</v>
      </c>
      <c r="J64" s="3003">
        <f t="shared" si="123"/>
        <v>0</v>
      </c>
      <c r="K64" s="2046"/>
      <c r="L64" s="2046"/>
      <c r="M64" s="3048"/>
      <c r="N64" s="3047"/>
      <c r="O64" s="3093">
        <f t="shared" ref="O64:O66" si="163">M64+N64*1</f>
        <v>0</v>
      </c>
      <c r="P64" s="3042">
        <f t="shared" si="138"/>
        <v>0</v>
      </c>
      <c r="Q64" s="3044"/>
      <c r="R64" s="3059"/>
      <c r="S64" s="3047"/>
      <c r="T64" s="3083">
        <f t="shared" ref="T64:T66" si="164">R64+S64*1</f>
        <v>0</v>
      </c>
      <c r="U64" s="3157">
        <f t="shared" si="140"/>
        <v>0</v>
      </c>
      <c r="V64" s="3044"/>
      <c r="W64" s="3047"/>
      <c r="X64" s="3062"/>
      <c r="Y64" s="3083">
        <f t="shared" ref="Y64:Y66" si="165">W64+X64*1</f>
        <v>0</v>
      </c>
      <c r="Z64" s="3157">
        <f t="shared" si="142"/>
        <v>0</v>
      </c>
      <c r="AA64" s="3044"/>
      <c r="AB64" s="3047"/>
      <c r="AC64" s="3062"/>
      <c r="AD64" s="3083">
        <f t="shared" ref="AD64:AD66" si="166">AB64+AC64*1</f>
        <v>0</v>
      </c>
      <c r="AE64" s="3157">
        <f t="shared" si="144"/>
        <v>0</v>
      </c>
      <c r="AF64" s="3044"/>
      <c r="AG64" s="3047"/>
      <c r="AH64" s="3062"/>
      <c r="AI64" s="3083">
        <f t="shared" ref="AI64:AI66" si="167">AG64+AH64*1</f>
        <v>0</v>
      </c>
      <c r="AJ64" s="3157">
        <f t="shared" si="146"/>
        <v>0</v>
      </c>
      <c r="AK64" s="3044"/>
      <c r="AL64" s="3047"/>
      <c r="AM64" s="3062"/>
      <c r="AN64" s="3083">
        <f t="shared" si="147"/>
        <v>0</v>
      </c>
      <c r="AO64" s="3157">
        <f t="shared" si="124"/>
        <v>0</v>
      </c>
      <c r="AP64" s="3044"/>
      <c r="AQ64" s="3047"/>
      <c r="AR64" s="3062"/>
      <c r="AS64" s="3083">
        <f t="shared" si="148"/>
        <v>0</v>
      </c>
      <c r="AT64" s="3157">
        <f t="shared" si="149"/>
        <v>0</v>
      </c>
      <c r="AU64" s="3044"/>
      <c r="AV64" s="3047"/>
      <c r="AW64" s="3062"/>
      <c r="AX64" s="3083">
        <f t="shared" si="150"/>
        <v>0</v>
      </c>
      <c r="AY64" s="3157">
        <f t="shared" si="125"/>
        <v>0</v>
      </c>
      <c r="AZ64" s="3044"/>
      <c r="BA64" s="3047"/>
      <c r="BB64" s="3062"/>
      <c r="BC64" s="3083">
        <f t="shared" si="151"/>
        <v>0</v>
      </c>
      <c r="BD64" s="3157">
        <f t="shared" si="126"/>
        <v>0</v>
      </c>
      <c r="BE64" s="3044"/>
      <c r="BF64" s="3047"/>
      <c r="BG64" s="3062"/>
      <c r="BH64" s="3083">
        <f t="shared" si="152"/>
        <v>0</v>
      </c>
      <c r="BI64" s="3157">
        <f t="shared" si="127"/>
        <v>0</v>
      </c>
      <c r="BJ64" s="3044"/>
      <c r="BK64" s="3047"/>
      <c r="BL64" s="3062"/>
      <c r="BM64" s="3083">
        <f>BK64+BL64*1</f>
        <v>0</v>
      </c>
      <c r="BN64" s="3157">
        <f t="shared" si="128"/>
        <v>0</v>
      </c>
      <c r="BO64" s="3044"/>
      <c r="BP64" s="3047"/>
      <c r="BQ64" s="3062"/>
      <c r="BR64" s="3083">
        <f>BP64+BQ64*1</f>
        <v>0</v>
      </c>
      <c r="BS64" s="3157">
        <f t="shared" si="129"/>
        <v>0</v>
      </c>
      <c r="BT64" s="3044"/>
      <c r="BU64" s="3047"/>
      <c r="BV64" s="3062"/>
      <c r="BW64" s="3083">
        <f>BU64+BV64*1</f>
        <v>0</v>
      </c>
      <c r="BX64" s="3157">
        <f t="shared" si="130"/>
        <v>0</v>
      </c>
      <c r="BY64" s="3044"/>
      <c r="BZ64" s="3047"/>
      <c r="CA64" s="3062"/>
      <c r="CB64" s="3083"/>
      <c r="CC64" s="3157">
        <f t="shared" si="131"/>
        <v>0</v>
      </c>
      <c r="CD64" s="3044"/>
      <c r="CE64" s="3047"/>
      <c r="CF64" s="3062"/>
      <c r="CG64" s="3083"/>
      <c r="CH64" s="3157">
        <f t="shared" si="132"/>
        <v>0</v>
      </c>
      <c r="CI64" s="3044"/>
      <c r="CJ64" s="3047"/>
      <c r="CK64" s="3062"/>
      <c r="CL64" s="3083"/>
      <c r="CM64" s="3157">
        <f t="shared" si="133"/>
        <v>0</v>
      </c>
      <c r="CN64" s="3044"/>
      <c r="CO64" s="2043">
        <f t="shared" si="159"/>
        <v>0</v>
      </c>
      <c r="CP64" s="2043">
        <f t="shared" si="160"/>
        <v>0</v>
      </c>
      <c r="CQ64" s="3081">
        <f t="shared" si="161"/>
        <v>0</v>
      </c>
      <c r="CR64" s="2788">
        <f t="shared" si="134"/>
        <v>0</v>
      </c>
      <c r="CS64" s="2792"/>
      <c r="CT64" s="919"/>
      <c r="CU64" s="1564"/>
      <c r="CV64" s="1564"/>
      <c r="CW64" s="1564"/>
    </row>
    <row r="65" spans="1:178" ht="36.6" customHeight="1" outlineLevel="2">
      <c r="A65" s="1571"/>
      <c r="B65" s="3092" t="s">
        <v>36</v>
      </c>
      <c r="C65" s="2812"/>
      <c r="D65" s="2793"/>
      <c r="E65" s="3081">
        <f t="shared" si="135"/>
        <v>0</v>
      </c>
      <c r="F65" s="2788" t="e">
        <f t="shared" si="162"/>
        <v>#DIV/0!</v>
      </c>
      <c r="G65" s="1979">
        <v>26350</v>
      </c>
      <c r="H65" s="2011">
        <v>12885</v>
      </c>
      <c r="I65" s="3082">
        <f t="shared" si="136"/>
        <v>39235</v>
      </c>
      <c r="J65" s="3003">
        <f t="shared" si="123"/>
        <v>7.1664890575661431E-4</v>
      </c>
      <c r="K65" s="2046"/>
      <c r="L65" s="2046"/>
      <c r="M65" s="3039">
        <f>7800+18159.16/2</f>
        <v>16879.580000000002</v>
      </c>
      <c r="N65" s="3047"/>
      <c r="O65" s="3093">
        <f t="shared" si="163"/>
        <v>16879.580000000002</v>
      </c>
      <c r="P65" s="3042">
        <f t="shared" si="138"/>
        <v>2.4270899906733618E-3</v>
      </c>
      <c r="Q65" s="3044" t="s">
        <v>1557</v>
      </c>
      <c r="R65" s="3059">
        <f>7800+18159.16/2</f>
        <v>16879.580000000002</v>
      </c>
      <c r="S65" s="3047"/>
      <c r="T65" s="3083">
        <f t="shared" si="164"/>
        <v>16879.580000000002</v>
      </c>
      <c r="U65" s="3157">
        <f t="shared" si="140"/>
        <v>2.4270899906733618E-3</v>
      </c>
      <c r="V65" s="3044" t="s">
        <v>1558</v>
      </c>
      <c r="W65" s="3040"/>
      <c r="X65" s="3062"/>
      <c r="Y65" s="3083">
        <f t="shared" si="165"/>
        <v>0</v>
      </c>
      <c r="Z65" s="3157">
        <f t="shared" si="142"/>
        <v>0</v>
      </c>
      <c r="AA65" s="3044"/>
      <c r="AB65" s="2041"/>
      <c r="AC65" s="2057"/>
      <c r="AD65" s="3101">
        <f t="shared" si="166"/>
        <v>0</v>
      </c>
      <c r="AE65" s="3173">
        <f t="shared" si="144"/>
        <v>0</v>
      </c>
      <c r="AF65" s="2055"/>
      <c r="AG65" s="3040">
        <f>8200+2550</f>
        <v>10750</v>
      </c>
      <c r="AH65" s="3062">
        <v>12885</v>
      </c>
      <c r="AI65" s="3083">
        <f t="shared" si="167"/>
        <v>23635</v>
      </c>
      <c r="AJ65" s="3157">
        <f t="shared" si="146"/>
        <v>3.3984419001873798E-3</v>
      </c>
      <c r="AK65" s="3044" t="s">
        <v>1559</v>
      </c>
      <c r="AL65" s="3040">
        <f>1300+200+5800+2508.5</f>
        <v>9808.5</v>
      </c>
      <c r="AM65" s="3062"/>
      <c r="AN65" s="3083">
        <f t="shared" si="147"/>
        <v>9808.5</v>
      </c>
      <c r="AO65" s="3157">
        <f t="shared" si="124"/>
        <v>1.5297067926890499E-3</v>
      </c>
      <c r="AP65" s="3044" t="s">
        <v>1292</v>
      </c>
      <c r="AQ65" s="3047">
        <f>800+3600+(2017+2017)</f>
        <v>8434</v>
      </c>
      <c r="AR65" s="3062">
        <v>1068.8499999999999</v>
      </c>
      <c r="AS65" s="3083">
        <f t="shared" si="148"/>
        <v>9502.85</v>
      </c>
      <c r="AT65" s="3157">
        <f t="shared" si="149"/>
        <v>1.3664008297523014E-3</v>
      </c>
      <c r="AU65" s="3044" t="s">
        <v>1303</v>
      </c>
      <c r="AV65" s="3047">
        <f>200+6000+2167</f>
        <v>8367</v>
      </c>
      <c r="AW65" s="3062"/>
      <c r="AX65" s="3083">
        <f t="shared" si="150"/>
        <v>8367</v>
      </c>
      <c r="AY65" s="3157">
        <f t="shared" si="125"/>
        <v>2.8856528292167441E-3</v>
      </c>
      <c r="AZ65" s="3044" t="s">
        <v>1333</v>
      </c>
      <c r="BA65" s="3047">
        <f>800+400+5200+400+750+4134+4000.5</f>
        <v>15684.5</v>
      </c>
      <c r="BB65" s="3062">
        <v>1268</v>
      </c>
      <c r="BC65" s="3083">
        <f t="shared" si="151"/>
        <v>16952.5</v>
      </c>
      <c r="BD65" s="3157">
        <f>BC65/$BC$89</f>
        <v>4.8356036496985041E-3</v>
      </c>
      <c r="BE65" s="3044" t="s">
        <v>1346</v>
      </c>
      <c r="BF65" s="3047">
        <f>6400+400</f>
        <v>6800</v>
      </c>
      <c r="BG65" s="3062">
        <v>1028</v>
      </c>
      <c r="BH65" s="3083">
        <f t="shared" si="152"/>
        <v>7828</v>
      </c>
      <c r="BI65" s="3157">
        <f t="shared" si="127"/>
        <v>1.7171719897133761E-3</v>
      </c>
      <c r="BJ65" s="3044" t="s">
        <v>1387</v>
      </c>
      <c r="BK65" s="3062">
        <v>6600</v>
      </c>
      <c r="BL65" s="3062">
        <f>1500+2633.04</f>
        <v>4133.04</v>
      </c>
      <c r="BM65" s="3083">
        <f t="shared" ref="BM65:BM71" si="168">BK65+BL65*1</f>
        <v>10733.04</v>
      </c>
      <c r="BN65" s="3157">
        <f t="shared" si="128"/>
        <v>1.7689421561653718E-3</v>
      </c>
      <c r="BO65" s="3044" t="s">
        <v>1420</v>
      </c>
      <c r="BP65" s="3062">
        <f>400+2167+400+3800</f>
        <v>6767</v>
      </c>
      <c r="BQ65" s="3062">
        <v>1430</v>
      </c>
      <c r="BR65" s="3083">
        <f t="shared" ref="BR65:BR71" si="169">BP65+BQ65*1</f>
        <v>8197</v>
      </c>
      <c r="BS65" s="3157">
        <f t="shared" si="129"/>
        <v>3.3477403983260372E-3</v>
      </c>
      <c r="BT65" s="3044" t="s">
        <v>1495</v>
      </c>
      <c r="BU65" s="3062"/>
      <c r="BV65" s="3062"/>
      <c r="BW65" s="3083">
        <f t="shared" ref="BW65:BW71" si="170">BU65+BV65*1</f>
        <v>0</v>
      </c>
      <c r="BX65" s="3157">
        <f t="shared" si="130"/>
        <v>0</v>
      </c>
      <c r="BY65" s="3044"/>
      <c r="BZ65" s="3062"/>
      <c r="CA65" s="3062"/>
      <c r="CB65" s="3083"/>
      <c r="CC65" s="3157">
        <f t="shared" si="131"/>
        <v>0</v>
      </c>
      <c r="CD65" s="3044"/>
      <c r="CE65" s="3062"/>
      <c r="CF65" s="3062"/>
      <c r="CG65" s="3083"/>
      <c r="CH65" s="3157">
        <f t="shared" si="132"/>
        <v>0</v>
      </c>
      <c r="CI65" s="3044"/>
      <c r="CJ65" s="3062"/>
      <c r="CK65" s="3062"/>
      <c r="CL65" s="3083"/>
      <c r="CM65" s="3157">
        <f t="shared" si="133"/>
        <v>0</v>
      </c>
      <c r="CN65" s="3044"/>
      <c r="CO65" s="2043">
        <f t="shared" si="159"/>
        <v>106970.16</v>
      </c>
      <c r="CP65" s="2043">
        <f t="shared" si="160"/>
        <v>21812.89</v>
      </c>
      <c r="CQ65" s="3102">
        <f t="shared" si="161"/>
        <v>128783.05</v>
      </c>
      <c r="CR65" s="2788">
        <f t="shared" si="134"/>
        <v>1.3687146729582501E-3</v>
      </c>
      <c r="CS65" s="2792"/>
      <c r="CT65" s="919"/>
      <c r="CU65" s="1564"/>
      <c r="CV65" s="1564"/>
      <c r="CW65" s="1564"/>
    </row>
    <row r="66" spans="1:178" s="1396" customFormat="1" ht="14.4" customHeight="1" outlineLevel="2">
      <c r="A66" s="1571"/>
      <c r="B66" s="3092" t="s">
        <v>37</v>
      </c>
      <c r="C66" s="2812"/>
      <c r="D66" s="2793"/>
      <c r="E66" s="3081">
        <f t="shared" si="135"/>
        <v>0</v>
      </c>
      <c r="F66" s="2788" t="e">
        <f t="shared" si="162"/>
        <v>#DIV/0!</v>
      </c>
      <c r="G66" s="1979">
        <v>0</v>
      </c>
      <c r="H66" s="2051">
        <v>0</v>
      </c>
      <c r="I66" s="3082">
        <f t="shared" si="136"/>
        <v>0</v>
      </c>
      <c r="J66" s="3003">
        <f t="shared" si="123"/>
        <v>0</v>
      </c>
      <c r="K66" s="2046"/>
      <c r="L66" s="2046"/>
      <c r="M66" s="3039"/>
      <c r="N66" s="3040"/>
      <c r="O66" s="3093">
        <f t="shared" si="163"/>
        <v>0</v>
      </c>
      <c r="P66" s="3042">
        <f t="shared" si="138"/>
        <v>0</v>
      </c>
      <c r="Q66" s="3044"/>
      <c r="R66" s="3059"/>
      <c r="S66" s="3047"/>
      <c r="T66" s="3083">
        <f t="shared" si="164"/>
        <v>0</v>
      </c>
      <c r="U66" s="3157">
        <f t="shared" si="140"/>
        <v>0</v>
      </c>
      <c r="V66" s="3044"/>
      <c r="W66" s="3040"/>
      <c r="X66" s="3049"/>
      <c r="Y66" s="3083">
        <f t="shared" si="165"/>
        <v>0</v>
      </c>
      <c r="Z66" s="3157">
        <f t="shared" si="142"/>
        <v>0</v>
      </c>
      <c r="AA66" s="3044"/>
      <c r="AB66" s="2041"/>
      <c r="AC66" s="2050"/>
      <c r="AD66" s="3101">
        <f t="shared" si="166"/>
        <v>0</v>
      </c>
      <c r="AE66" s="3173">
        <f t="shared" si="144"/>
        <v>0</v>
      </c>
      <c r="AF66" s="2055"/>
      <c r="AG66" s="3040"/>
      <c r="AH66" s="3049"/>
      <c r="AI66" s="3083">
        <f t="shared" si="167"/>
        <v>0</v>
      </c>
      <c r="AJ66" s="3157">
        <f t="shared" si="146"/>
        <v>0</v>
      </c>
      <c r="AK66" s="3044"/>
      <c r="AL66" s="3040"/>
      <c r="AM66" s="3062"/>
      <c r="AN66" s="3083">
        <f t="shared" si="147"/>
        <v>0</v>
      </c>
      <c r="AO66" s="3157">
        <f t="shared" si="124"/>
        <v>0</v>
      </c>
      <c r="AP66" s="3044"/>
      <c r="AQ66" s="3047"/>
      <c r="AR66" s="3049"/>
      <c r="AS66" s="3083">
        <f t="shared" si="148"/>
        <v>0</v>
      </c>
      <c r="AT66" s="3157">
        <f t="shared" si="149"/>
        <v>0</v>
      </c>
      <c r="AU66" s="3044"/>
      <c r="AV66" s="3047"/>
      <c r="AW66" s="3049"/>
      <c r="AX66" s="3083">
        <f t="shared" si="150"/>
        <v>0</v>
      </c>
      <c r="AY66" s="3157">
        <f t="shared" si="125"/>
        <v>0</v>
      </c>
      <c r="AZ66" s="3044"/>
      <c r="BA66" s="3047"/>
      <c r="BB66" s="3049"/>
      <c r="BC66" s="3083">
        <f t="shared" si="151"/>
        <v>0</v>
      </c>
      <c r="BD66" s="3157">
        <f t="shared" si="126"/>
        <v>0</v>
      </c>
      <c r="BE66" s="3044"/>
      <c r="BF66" s="3047"/>
      <c r="BG66" s="3049"/>
      <c r="BH66" s="3083">
        <f t="shared" si="152"/>
        <v>0</v>
      </c>
      <c r="BI66" s="3157">
        <f t="shared" si="127"/>
        <v>0</v>
      </c>
      <c r="BJ66" s="3044"/>
      <c r="BK66" s="3047"/>
      <c r="BL66" s="3049">
        <v>1300</v>
      </c>
      <c r="BM66" s="3083">
        <f t="shared" si="168"/>
        <v>1300</v>
      </c>
      <c r="BN66" s="3157">
        <f t="shared" si="128"/>
        <v>2.1425661350511907E-4</v>
      </c>
      <c r="BO66" s="3044" t="s">
        <v>1416</v>
      </c>
      <c r="BP66" s="3047"/>
      <c r="BQ66" s="3049"/>
      <c r="BR66" s="3083">
        <f t="shared" si="169"/>
        <v>0</v>
      </c>
      <c r="BS66" s="3157">
        <f t="shared" si="129"/>
        <v>0</v>
      </c>
      <c r="BT66" s="3044"/>
      <c r="BU66" s="3047"/>
      <c r="BV66" s="3049"/>
      <c r="BW66" s="3083">
        <f t="shared" si="170"/>
        <v>0</v>
      </c>
      <c r="BX66" s="3157">
        <f t="shared" si="130"/>
        <v>0</v>
      </c>
      <c r="BY66" s="3044"/>
      <c r="BZ66" s="3047"/>
      <c r="CA66" s="3049"/>
      <c r="CB66" s="3083"/>
      <c r="CC66" s="3157">
        <f t="shared" si="131"/>
        <v>0</v>
      </c>
      <c r="CD66" s="3044"/>
      <c r="CE66" s="3047"/>
      <c r="CF66" s="3049"/>
      <c r="CG66" s="3083"/>
      <c r="CH66" s="3157">
        <f t="shared" si="132"/>
        <v>0</v>
      </c>
      <c r="CI66" s="3044"/>
      <c r="CJ66" s="3047"/>
      <c r="CK66" s="3049"/>
      <c r="CL66" s="3083"/>
      <c r="CM66" s="3157">
        <f t="shared" si="133"/>
        <v>0</v>
      </c>
      <c r="CN66" s="3044"/>
      <c r="CO66" s="2043">
        <f t="shared" si="159"/>
        <v>0</v>
      </c>
      <c r="CP66" s="2043">
        <f t="shared" si="160"/>
        <v>1300</v>
      </c>
      <c r="CQ66" s="3097">
        <f t="shared" si="161"/>
        <v>1300</v>
      </c>
      <c r="CR66" s="2788">
        <f t="shared" si="134"/>
        <v>1.3816484971009191E-5</v>
      </c>
      <c r="CS66" s="2792"/>
      <c r="CT66" s="919"/>
      <c r="CU66" s="1564"/>
      <c r="CV66" s="1564"/>
      <c r="CW66" s="1564"/>
      <c r="CX66" s="1564"/>
      <c r="CY66" s="1564"/>
      <c r="CZ66" s="1564"/>
      <c r="DA66" s="1564"/>
      <c r="DB66" s="1564"/>
      <c r="DC66" s="1564"/>
      <c r="DD66" s="1564"/>
      <c r="DE66" s="1564"/>
      <c r="DF66" s="1564"/>
      <c r="DG66" s="1564"/>
      <c r="DH66" s="1564"/>
      <c r="DI66" s="1564"/>
      <c r="DJ66" s="1564"/>
      <c r="DK66" s="1564"/>
      <c r="DL66" s="1564"/>
      <c r="DM66" s="1564"/>
      <c r="DN66" s="1564"/>
      <c r="DO66" s="1564"/>
      <c r="DP66" s="1564"/>
      <c r="DQ66" s="1564"/>
      <c r="DR66" s="1564"/>
      <c r="DS66" s="1564"/>
      <c r="DT66" s="1564"/>
      <c r="DU66" s="1564"/>
      <c r="DV66" s="1564"/>
      <c r="DW66" s="1564"/>
      <c r="DX66" s="1564"/>
      <c r="DY66" s="1564"/>
      <c r="DZ66" s="1564"/>
      <c r="EA66" s="1564"/>
      <c r="EB66" s="1564"/>
      <c r="EC66" s="1564"/>
      <c r="ED66" s="1564"/>
      <c r="EE66" s="1564"/>
      <c r="EF66" s="1564"/>
      <c r="EG66" s="1564"/>
      <c r="EH66" s="1564"/>
      <c r="EI66" s="1564"/>
      <c r="EJ66" s="1564"/>
      <c r="EK66" s="1564"/>
      <c r="EL66" s="1564"/>
      <c r="EM66" s="1564"/>
      <c r="EN66" s="1564"/>
      <c r="EO66" s="1564"/>
      <c r="EP66" s="1564"/>
      <c r="EQ66" s="1564"/>
      <c r="ER66" s="1564"/>
      <c r="ES66" s="1564"/>
      <c r="ET66" s="1564"/>
      <c r="EU66" s="1564"/>
      <c r="EV66" s="1564"/>
      <c r="EW66" s="1564"/>
      <c r="EX66" s="1564"/>
      <c r="EY66" s="1564"/>
      <c r="EZ66" s="1564"/>
      <c r="FA66" s="1564"/>
      <c r="FB66" s="1564"/>
      <c r="FC66" s="1564"/>
      <c r="FD66" s="1564"/>
      <c r="FE66" s="1564"/>
      <c r="FF66" s="1564"/>
      <c r="FG66" s="1564"/>
      <c r="FH66" s="1564"/>
      <c r="FI66" s="1564"/>
      <c r="FJ66" s="1564"/>
      <c r="FK66" s="1564"/>
      <c r="FL66" s="1564"/>
      <c r="FM66" s="1564"/>
      <c r="FN66" s="1564"/>
      <c r="FO66" s="1564"/>
      <c r="FP66" s="1564"/>
      <c r="FQ66" s="1564"/>
      <c r="FR66" s="1564"/>
      <c r="FS66" s="1564"/>
      <c r="FT66" s="1564"/>
      <c r="FU66" s="1564"/>
      <c r="FV66" s="1564"/>
    </row>
    <row r="67" spans="1:178" s="1396" customFormat="1" ht="14.4" customHeight="1" outlineLevel="2">
      <c r="A67" s="1571"/>
      <c r="B67" s="3092" t="s">
        <v>3</v>
      </c>
      <c r="C67" s="2812"/>
      <c r="D67" s="2793"/>
      <c r="E67" s="3081">
        <f t="shared" si="135"/>
        <v>0</v>
      </c>
      <c r="F67" s="2788" t="e">
        <f t="shared" si="162"/>
        <v>#DIV/0!</v>
      </c>
      <c r="G67" s="1979">
        <v>0</v>
      </c>
      <c r="H67" s="2051">
        <v>0</v>
      </c>
      <c r="I67" s="3082">
        <f t="shared" si="136"/>
        <v>0</v>
      </c>
      <c r="J67" s="3003">
        <f t="shared" si="123"/>
        <v>0</v>
      </c>
      <c r="K67" s="2046"/>
      <c r="L67" s="2046"/>
      <c r="M67" s="3039"/>
      <c r="N67" s="3040"/>
      <c r="O67" s="3093">
        <f>M67+N67*1</f>
        <v>0</v>
      </c>
      <c r="P67" s="3042">
        <f t="shared" si="138"/>
        <v>0</v>
      </c>
      <c r="Q67" s="3044"/>
      <c r="R67" s="3059"/>
      <c r="S67" s="3047"/>
      <c r="T67" s="3083">
        <f>R67+S67*1</f>
        <v>0</v>
      </c>
      <c r="U67" s="3157">
        <f t="shared" si="140"/>
        <v>0</v>
      </c>
      <c r="V67" s="3044"/>
      <c r="W67" s="3040"/>
      <c r="X67" s="3049"/>
      <c r="Y67" s="3083">
        <f>W67+X67*1</f>
        <v>0</v>
      </c>
      <c r="Z67" s="3157">
        <f t="shared" si="142"/>
        <v>0</v>
      </c>
      <c r="AA67" s="3044"/>
      <c r="AB67" s="2056"/>
      <c r="AC67" s="2050"/>
      <c r="AD67" s="3101">
        <f>AB67+AC67*1</f>
        <v>0</v>
      </c>
      <c r="AE67" s="3173">
        <f t="shared" si="144"/>
        <v>0</v>
      </c>
      <c r="AF67" s="2055"/>
      <c r="AG67" s="3040"/>
      <c r="AH67" s="3040"/>
      <c r="AI67" s="3083">
        <f>AG67+AH67*1</f>
        <v>0</v>
      </c>
      <c r="AJ67" s="3157">
        <f t="shared" si="146"/>
        <v>0</v>
      </c>
      <c r="AK67" s="3044"/>
      <c r="AL67" s="3040"/>
      <c r="AM67" s="3062"/>
      <c r="AN67" s="3083">
        <f t="shared" si="147"/>
        <v>0</v>
      </c>
      <c r="AO67" s="3157">
        <f t="shared" si="124"/>
        <v>0</v>
      </c>
      <c r="AP67" s="3044"/>
      <c r="AQ67" s="3047"/>
      <c r="AR67" s="3047"/>
      <c r="AS67" s="3083">
        <f>AQ67+AR67*1</f>
        <v>0</v>
      </c>
      <c r="AT67" s="3157">
        <f t="shared" si="149"/>
        <v>0</v>
      </c>
      <c r="AU67" s="3044"/>
      <c r="AV67" s="3047"/>
      <c r="AW67" s="3047"/>
      <c r="AX67" s="3083">
        <f t="shared" si="150"/>
        <v>0</v>
      </c>
      <c r="AY67" s="3157">
        <f t="shared" si="125"/>
        <v>0</v>
      </c>
      <c r="AZ67" s="3044"/>
      <c r="BA67" s="3047"/>
      <c r="BB67" s="3047"/>
      <c r="BC67" s="3083">
        <f t="shared" si="151"/>
        <v>0</v>
      </c>
      <c r="BD67" s="3157">
        <f t="shared" si="126"/>
        <v>0</v>
      </c>
      <c r="BE67" s="3044"/>
      <c r="BF67" s="3047"/>
      <c r="BG67" s="3047"/>
      <c r="BH67" s="3083">
        <f t="shared" si="152"/>
        <v>0</v>
      </c>
      <c r="BI67" s="3157">
        <f t="shared" si="127"/>
        <v>0</v>
      </c>
      <c r="BJ67" s="3044"/>
      <c r="BK67" s="3047"/>
      <c r="BL67" s="3047"/>
      <c r="BM67" s="3083">
        <f t="shared" si="168"/>
        <v>0</v>
      </c>
      <c r="BN67" s="3157">
        <f t="shared" si="128"/>
        <v>0</v>
      </c>
      <c r="BO67" s="3044"/>
      <c r="BP67" s="3047"/>
      <c r="BQ67" s="3047"/>
      <c r="BR67" s="3083">
        <f t="shared" si="169"/>
        <v>0</v>
      </c>
      <c r="BS67" s="3157">
        <f t="shared" si="129"/>
        <v>0</v>
      </c>
      <c r="BT67" s="3044"/>
      <c r="BU67" s="3047"/>
      <c r="BV67" s="3047"/>
      <c r="BW67" s="3083">
        <f t="shared" si="170"/>
        <v>0</v>
      </c>
      <c r="BX67" s="3157">
        <f t="shared" si="130"/>
        <v>0</v>
      </c>
      <c r="BY67" s="3044"/>
      <c r="BZ67" s="3047"/>
      <c r="CA67" s="3047"/>
      <c r="CB67" s="3083"/>
      <c r="CC67" s="3157">
        <f t="shared" si="131"/>
        <v>0</v>
      </c>
      <c r="CD67" s="3044"/>
      <c r="CE67" s="3047"/>
      <c r="CF67" s="3047"/>
      <c r="CG67" s="3083"/>
      <c r="CH67" s="3157">
        <f t="shared" si="132"/>
        <v>0</v>
      </c>
      <c r="CI67" s="3044"/>
      <c r="CJ67" s="3047"/>
      <c r="CK67" s="3047"/>
      <c r="CL67" s="3083"/>
      <c r="CM67" s="3157">
        <f t="shared" si="133"/>
        <v>0</v>
      </c>
      <c r="CN67" s="3044"/>
      <c r="CO67" s="2043">
        <f t="shared" si="159"/>
        <v>0</v>
      </c>
      <c r="CP67" s="2043">
        <f t="shared" si="160"/>
        <v>0</v>
      </c>
      <c r="CQ67" s="3081">
        <f t="shared" si="161"/>
        <v>0</v>
      </c>
      <c r="CR67" s="2788">
        <f t="shared" si="134"/>
        <v>0</v>
      </c>
      <c r="CS67" s="2792"/>
      <c r="CT67" s="919"/>
      <c r="CU67" s="1564"/>
      <c r="CV67" s="1564"/>
      <c r="CW67" s="1564"/>
      <c r="CX67" s="1564"/>
      <c r="CY67" s="1564"/>
      <c r="CZ67" s="1564"/>
      <c r="DA67" s="1564"/>
      <c r="DB67" s="1564"/>
      <c r="DC67" s="1564"/>
      <c r="DD67" s="1564"/>
      <c r="DE67" s="1564"/>
      <c r="DF67" s="1564"/>
      <c r="DG67" s="1564"/>
      <c r="DH67" s="1564"/>
      <c r="DI67" s="1564"/>
      <c r="DJ67" s="1564"/>
      <c r="DK67" s="1564"/>
      <c r="DL67" s="1564"/>
      <c r="DM67" s="1564"/>
      <c r="DN67" s="1564"/>
      <c r="DO67" s="1564"/>
      <c r="DP67" s="1564"/>
      <c r="DQ67" s="1564"/>
      <c r="DR67" s="1564"/>
      <c r="DS67" s="1564"/>
      <c r="DT67" s="1564"/>
      <c r="DU67" s="1564"/>
      <c r="DV67" s="1564"/>
      <c r="DW67" s="1564"/>
      <c r="DX67" s="1564"/>
      <c r="DY67" s="1564"/>
      <c r="DZ67" s="1564"/>
      <c r="EA67" s="1564"/>
      <c r="EB67" s="1564"/>
      <c r="EC67" s="1564"/>
      <c r="ED67" s="1564"/>
      <c r="EE67" s="1564"/>
      <c r="EF67" s="1564"/>
      <c r="EG67" s="1564"/>
      <c r="EH67" s="1564"/>
      <c r="EI67" s="1564"/>
      <c r="EJ67" s="1564"/>
      <c r="EK67" s="1564"/>
      <c r="EL67" s="1564"/>
      <c r="EM67" s="1564"/>
      <c r="EN67" s="1564"/>
      <c r="EO67" s="1564"/>
      <c r="EP67" s="1564"/>
      <c r="EQ67" s="1564"/>
      <c r="ER67" s="1564"/>
      <c r="ES67" s="1564"/>
      <c r="ET67" s="1564"/>
      <c r="EU67" s="1564"/>
      <c r="EV67" s="1564"/>
      <c r="EW67" s="1564"/>
      <c r="EX67" s="1564"/>
      <c r="EY67" s="1564"/>
      <c r="EZ67" s="1564"/>
      <c r="FA67" s="1564"/>
      <c r="FB67" s="1564"/>
      <c r="FC67" s="1564"/>
      <c r="FD67" s="1564"/>
      <c r="FE67" s="1564"/>
      <c r="FF67" s="1564"/>
      <c r="FG67" s="1564"/>
      <c r="FH67" s="1564"/>
      <c r="FI67" s="1564"/>
      <c r="FJ67" s="1564"/>
      <c r="FK67" s="1564"/>
      <c r="FL67" s="1564"/>
      <c r="FM67" s="1564"/>
      <c r="FN67" s="1564"/>
      <c r="FO67" s="1564"/>
      <c r="FP67" s="1564"/>
      <c r="FQ67" s="1564"/>
      <c r="FR67" s="1564"/>
      <c r="FS67" s="1564"/>
      <c r="FT67" s="1564"/>
      <c r="FU67" s="1564"/>
      <c r="FV67" s="1564"/>
    </row>
    <row r="68" spans="1:178" s="1396" customFormat="1" ht="27.6" customHeight="1" outlineLevel="2">
      <c r="A68" s="1571"/>
      <c r="B68" s="3092" t="s">
        <v>5</v>
      </c>
      <c r="C68" s="2812"/>
      <c r="D68" s="2793"/>
      <c r="E68" s="3081">
        <f t="shared" si="135"/>
        <v>0</v>
      </c>
      <c r="F68" s="2788" t="e">
        <f t="shared" si="162"/>
        <v>#DIV/0!</v>
      </c>
      <c r="G68" s="1979">
        <v>0</v>
      </c>
      <c r="H68" s="2051">
        <v>23343.51</v>
      </c>
      <c r="I68" s="3082">
        <f t="shared" si="136"/>
        <v>23343.51</v>
      </c>
      <c r="J68" s="3003">
        <f t="shared" si="123"/>
        <v>4.2638207972520918E-4</v>
      </c>
      <c r="K68" s="2046"/>
      <c r="L68" s="2046"/>
      <c r="M68" s="3039"/>
      <c r="N68" s="3040">
        <v>121</v>
      </c>
      <c r="O68" s="3093">
        <f t="shared" ref="O68:O71" si="171">M68+N68*1</f>
        <v>121</v>
      </c>
      <c r="P68" s="3042">
        <f t="shared" si="138"/>
        <v>1.7398412097426399E-5</v>
      </c>
      <c r="Q68" s="3044"/>
      <c r="R68" s="3059"/>
      <c r="S68" s="3047">
        <v>448.86</v>
      </c>
      <c r="T68" s="3083">
        <f t="shared" ref="T68:T71" si="172">R68+S68*1</f>
        <v>448.86</v>
      </c>
      <c r="U68" s="3157">
        <f t="shared" si="140"/>
        <v>6.4540919454965414E-5</v>
      </c>
      <c r="V68" s="3044"/>
      <c r="W68" s="3040"/>
      <c r="X68" s="3049">
        <v>105</v>
      </c>
      <c r="Y68" s="3083">
        <f t="shared" ref="Y68:Y71" si="173">W68+X68*1</f>
        <v>105</v>
      </c>
      <c r="Z68" s="3157">
        <f t="shared" si="142"/>
        <v>1.5097795621733653E-5</v>
      </c>
      <c r="AA68" s="3044" t="s">
        <v>950</v>
      </c>
      <c r="AB68" s="3040"/>
      <c r="AC68" s="3049">
        <v>3106.26</v>
      </c>
      <c r="AD68" s="3083">
        <f t="shared" ref="AD68:AD71" si="174">AB68+AC68*1</f>
        <v>3106.26</v>
      </c>
      <c r="AE68" s="3157">
        <f t="shared" si="144"/>
        <v>4.4664455836158456E-4</v>
      </c>
      <c r="AF68" s="3044"/>
      <c r="AG68" s="3040"/>
      <c r="AH68" s="3049">
        <v>19562.39</v>
      </c>
      <c r="AI68" s="3083">
        <f t="shared" ref="AI68:AI71" si="175">AG68+AH68*1</f>
        <v>19562.39</v>
      </c>
      <c r="AJ68" s="3157">
        <f t="shared" si="146"/>
        <v>2.8128472961204401E-3</v>
      </c>
      <c r="AK68" s="3044" t="s">
        <v>1258</v>
      </c>
      <c r="AL68" s="3040"/>
      <c r="AM68" s="3062">
        <v>5638.46</v>
      </c>
      <c r="AN68" s="3083">
        <f t="shared" si="147"/>
        <v>5638.46</v>
      </c>
      <c r="AO68" s="3157">
        <f t="shared" si="124"/>
        <v>8.7935877680639244E-4</v>
      </c>
      <c r="AP68" s="3044" t="s">
        <v>1258</v>
      </c>
      <c r="AQ68" s="3047"/>
      <c r="AR68" s="3049">
        <v>12390.7</v>
      </c>
      <c r="AS68" s="3083">
        <f t="shared" si="148"/>
        <v>12390.7</v>
      </c>
      <c r="AT68" s="3157">
        <f t="shared" si="149"/>
        <v>1.7816405353353827E-3</v>
      </c>
      <c r="AU68" s="3044" t="s">
        <v>1258</v>
      </c>
      <c r="AV68" s="3047"/>
      <c r="AW68" s="3049">
        <v>3737.2</v>
      </c>
      <c r="AX68" s="3083">
        <f t="shared" si="150"/>
        <v>3737.2</v>
      </c>
      <c r="AY68" s="3157">
        <f t="shared" si="125"/>
        <v>1.2889042372832336E-3</v>
      </c>
      <c r="AZ68" s="3044" t="s">
        <v>1258</v>
      </c>
      <c r="BA68" s="3047"/>
      <c r="BB68" s="3049">
        <v>3318.8</v>
      </c>
      <c r="BC68" s="3083">
        <f t="shared" si="151"/>
        <v>3318.8</v>
      </c>
      <c r="BD68" s="3157">
        <f t="shared" si="126"/>
        <v>9.4666871509331346E-4</v>
      </c>
      <c r="BE68" s="3044" t="s">
        <v>1258</v>
      </c>
      <c r="BF68" s="3047"/>
      <c r="BG68" s="3049">
        <v>6497.1</v>
      </c>
      <c r="BH68" s="3083">
        <f t="shared" si="152"/>
        <v>6497.1</v>
      </c>
      <c r="BI68" s="3157">
        <f t="shared" si="127"/>
        <v>1.4252220406702576E-3</v>
      </c>
      <c r="BJ68" s="3044" t="s">
        <v>1258</v>
      </c>
      <c r="BK68" s="3047"/>
      <c r="BL68" s="3049">
        <v>4864.2</v>
      </c>
      <c r="BM68" s="3083">
        <f t="shared" si="168"/>
        <v>4864.2</v>
      </c>
      <c r="BN68" s="3157">
        <f t="shared" si="128"/>
        <v>8.0168232262430787E-4</v>
      </c>
      <c r="BO68" s="3044" t="s">
        <v>1258</v>
      </c>
      <c r="BP68" s="3047"/>
      <c r="BQ68" s="3049">
        <v>3001.2</v>
      </c>
      <c r="BR68" s="3083">
        <f t="shared" si="169"/>
        <v>3001.2</v>
      </c>
      <c r="BS68" s="3157">
        <f t="shared" si="129"/>
        <v>1.2257214204533491E-3</v>
      </c>
      <c r="BT68" s="3044" t="s">
        <v>1258</v>
      </c>
      <c r="BU68" s="3047"/>
      <c r="BV68" s="3049">
        <v>820.7</v>
      </c>
      <c r="BW68" s="3083">
        <f t="shared" si="170"/>
        <v>820.7</v>
      </c>
      <c r="BX68" s="3157">
        <f t="shared" si="130"/>
        <v>1.5203432410782064E-3</v>
      </c>
      <c r="BY68" s="3044" t="s">
        <v>1258</v>
      </c>
      <c r="BZ68" s="3047"/>
      <c r="CA68" s="3049"/>
      <c r="CB68" s="3083"/>
      <c r="CC68" s="3157">
        <f t="shared" si="131"/>
        <v>0</v>
      </c>
      <c r="CD68" s="3044"/>
      <c r="CE68" s="3047"/>
      <c r="CF68" s="3049"/>
      <c r="CG68" s="3083"/>
      <c r="CH68" s="3157">
        <f t="shared" si="132"/>
        <v>0</v>
      </c>
      <c r="CI68" s="3044"/>
      <c r="CJ68" s="3047"/>
      <c r="CK68" s="3049"/>
      <c r="CL68" s="3083"/>
      <c r="CM68" s="3157">
        <f>CL68/CL$89</f>
        <v>0</v>
      </c>
      <c r="CN68" s="3044"/>
      <c r="CO68" s="2043">
        <f t="shared" si="159"/>
        <v>0</v>
      </c>
      <c r="CP68" s="2043">
        <f t="shared" si="160"/>
        <v>63611.869999999988</v>
      </c>
      <c r="CQ68" s="3097">
        <f t="shared" si="161"/>
        <v>63611.869999999988</v>
      </c>
      <c r="CR68" s="2788">
        <f t="shared" si="134"/>
        <v>6.760711121790694E-4</v>
      </c>
      <c r="CS68" s="2792"/>
      <c r="CT68" s="919"/>
      <c r="CU68" s="1564"/>
      <c r="CV68" s="1564"/>
      <c r="CW68" s="1564"/>
      <c r="CX68" s="1564"/>
      <c r="CY68" s="1564"/>
      <c r="CZ68" s="1564"/>
      <c r="DA68" s="1564"/>
      <c r="DB68" s="1564"/>
      <c r="DC68" s="1564"/>
      <c r="DD68" s="1564"/>
      <c r="DE68" s="1564"/>
      <c r="DF68" s="1564"/>
      <c r="DG68" s="1564"/>
      <c r="DH68" s="1564"/>
      <c r="DI68" s="1564"/>
      <c r="DJ68" s="1564"/>
      <c r="DK68" s="1564"/>
      <c r="DL68" s="1564"/>
      <c r="DM68" s="1564"/>
      <c r="DN68" s="1564"/>
      <c r="DO68" s="1564"/>
      <c r="DP68" s="1564"/>
      <c r="DQ68" s="1564"/>
      <c r="DR68" s="1564"/>
      <c r="DS68" s="1564"/>
      <c r="DT68" s="1564"/>
      <c r="DU68" s="1564"/>
      <c r="DV68" s="1564"/>
      <c r="DW68" s="1564"/>
      <c r="DX68" s="1564"/>
      <c r="DY68" s="1564"/>
      <c r="DZ68" s="1564"/>
      <c r="EA68" s="1564"/>
      <c r="EB68" s="1564"/>
      <c r="EC68" s="1564"/>
      <c r="ED68" s="1564"/>
      <c r="EE68" s="1564"/>
      <c r="EF68" s="1564"/>
      <c r="EG68" s="1564"/>
      <c r="EH68" s="1564"/>
      <c r="EI68" s="1564"/>
      <c r="EJ68" s="1564"/>
      <c r="EK68" s="1564"/>
      <c r="EL68" s="1564"/>
      <c r="EM68" s="1564"/>
      <c r="EN68" s="1564"/>
      <c r="EO68" s="1564"/>
      <c r="EP68" s="1564"/>
      <c r="EQ68" s="1564"/>
      <c r="ER68" s="1564"/>
      <c r="ES68" s="1564"/>
      <c r="ET68" s="1564"/>
      <c r="EU68" s="1564"/>
      <c r="EV68" s="1564"/>
      <c r="EW68" s="1564"/>
      <c r="EX68" s="1564"/>
      <c r="EY68" s="1564"/>
      <c r="EZ68" s="1564"/>
      <c r="FA68" s="1564"/>
      <c r="FB68" s="1564"/>
      <c r="FC68" s="1564"/>
      <c r="FD68" s="1564"/>
      <c r="FE68" s="1564"/>
      <c r="FF68" s="1564"/>
      <c r="FG68" s="1564"/>
      <c r="FH68" s="1564"/>
      <c r="FI68" s="1564"/>
      <c r="FJ68" s="1564"/>
      <c r="FK68" s="1564"/>
      <c r="FL68" s="1564"/>
      <c r="FM68" s="1564"/>
      <c r="FN68" s="1564"/>
      <c r="FO68" s="1564"/>
      <c r="FP68" s="1564"/>
      <c r="FQ68" s="1564"/>
      <c r="FR68" s="1564"/>
      <c r="FS68" s="1564"/>
      <c r="FT68" s="1564"/>
      <c r="FU68" s="1564"/>
      <c r="FV68" s="1564"/>
    </row>
    <row r="69" spans="1:178" s="1396" customFormat="1" ht="14.4" customHeight="1" outlineLevel="2">
      <c r="A69" s="1571"/>
      <c r="B69" s="3092" t="s">
        <v>42</v>
      </c>
      <c r="C69" s="2812"/>
      <c r="D69" s="2793"/>
      <c r="E69" s="3081">
        <f t="shared" si="135"/>
        <v>0</v>
      </c>
      <c r="F69" s="2788" t="e">
        <f t="shared" si="162"/>
        <v>#DIV/0!</v>
      </c>
      <c r="G69" s="1979">
        <v>0</v>
      </c>
      <c r="H69" s="2051">
        <v>0</v>
      </c>
      <c r="I69" s="3082">
        <f t="shared" si="136"/>
        <v>0</v>
      </c>
      <c r="J69" s="3003">
        <f t="shared" si="123"/>
        <v>0</v>
      </c>
      <c r="K69" s="2046"/>
      <c r="L69" s="2046"/>
      <c r="M69" s="3039"/>
      <c r="N69" s="3040"/>
      <c r="O69" s="3093">
        <f t="shared" si="171"/>
        <v>0</v>
      </c>
      <c r="P69" s="3042">
        <f t="shared" si="138"/>
        <v>0</v>
      </c>
      <c r="Q69" s="3044"/>
      <c r="R69" s="3052"/>
      <c r="S69" s="3040"/>
      <c r="T69" s="3083">
        <f t="shared" si="172"/>
        <v>0</v>
      </c>
      <c r="U69" s="3157">
        <f t="shared" si="140"/>
        <v>0</v>
      </c>
      <c r="V69" s="3044"/>
      <c r="W69" s="3040"/>
      <c r="X69" s="3049"/>
      <c r="Y69" s="3083">
        <f t="shared" si="173"/>
        <v>0</v>
      </c>
      <c r="Z69" s="3157">
        <f t="shared" si="142"/>
        <v>0</v>
      </c>
      <c r="AA69" s="3044"/>
      <c r="AB69" s="3040">
        <v>5040</v>
      </c>
      <c r="AC69" s="3049"/>
      <c r="AD69" s="3083">
        <f t="shared" si="174"/>
        <v>5040</v>
      </c>
      <c r="AE69" s="3157">
        <f t="shared" si="144"/>
        <v>7.2469418984321538E-4</v>
      </c>
      <c r="AF69" s="3044" t="s">
        <v>1581</v>
      </c>
      <c r="AG69" s="3040"/>
      <c r="AH69" s="3049"/>
      <c r="AI69" s="3083">
        <f t="shared" si="175"/>
        <v>0</v>
      </c>
      <c r="AJ69" s="3157">
        <f t="shared" si="146"/>
        <v>0</v>
      </c>
      <c r="AK69" s="3044"/>
      <c r="AL69" s="3040"/>
      <c r="AM69" s="3062"/>
      <c r="AN69" s="3083">
        <f t="shared" si="147"/>
        <v>0</v>
      </c>
      <c r="AO69" s="3157">
        <f t="shared" si="124"/>
        <v>0</v>
      </c>
      <c r="AP69" s="3044"/>
      <c r="AQ69" s="3047"/>
      <c r="AR69" s="3049"/>
      <c r="AS69" s="3083">
        <f t="shared" si="148"/>
        <v>0</v>
      </c>
      <c r="AT69" s="3157">
        <f t="shared" si="149"/>
        <v>0</v>
      </c>
      <c r="AU69" s="3175"/>
      <c r="AV69" s="3047"/>
      <c r="AW69" s="3049"/>
      <c r="AX69" s="3083">
        <f t="shared" si="150"/>
        <v>0</v>
      </c>
      <c r="AY69" s="3157">
        <f t="shared" si="125"/>
        <v>0</v>
      </c>
      <c r="AZ69" s="3175"/>
      <c r="BA69" s="3047"/>
      <c r="BB69" s="3049"/>
      <c r="BC69" s="3083">
        <f t="shared" si="151"/>
        <v>0</v>
      </c>
      <c r="BD69" s="3157">
        <f t="shared" si="126"/>
        <v>0</v>
      </c>
      <c r="BE69" s="3175"/>
      <c r="BF69" s="3047"/>
      <c r="BG69" s="3049"/>
      <c r="BH69" s="3083">
        <f t="shared" si="152"/>
        <v>0</v>
      </c>
      <c r="BI69" s="3157">
        <f t="shared" si="127"/>
        <v>0</v>
      </c>
      <c r="BJ69" s="3175"/>
      <c r="BK69" s="3047"/>
      <c r="BL69" s="3049"/>
      <c r="BM69" s="3083">
        <f t="shared" si="168"/>
        <v>0</v>
      </c>
      <c r="BN69" s="3157">
        <f t="shared" si="128"/>
        <v>0</v>
      </c>
      <c r="BO69" s="3175"/>
      <c r="BP69" s="3047"/>
      <c r="BQ69" s="3049"/>
      <c r="BR69" s="3083">
        <f t="shared" si="169"/>
        <v>0</v>
      </c>
      <c r="BS69" s="3157">
        <f t="shared" si="129"/>
        <v>0</v>
      </c>
      <c r="BT69" s="3175"/>
      <c r="BU69" s="3047"/>
      <c r="BV69" s="3049"/>
      <c r="BW69" s="3083">
        <f t="shared" si="170"/>
        <v>0</v>
      </c>
      <c r="BX69" s="3157">
        <f t="shared" si="130"/>
        <v>0</v>
      </c>
      <c r="BY69" s="3175"/>
      <c r="BZ69" s="3047"/>
      <c r="CA69" s="3049"/>
      <c r="CB69" s="3083"/>
      <c r="CC69" s="3157">
        <f t="shared" si="131"/>
        <v>0</v>
      </c>
      <c r="CD69" s="3175"/>
      <c r="CE69" s="3047"/>
      <c r="CF69" s="3049"/>
      <c r="CG69" s="3083"/>
      <c r="CH69" s="3157">
        <f t="shared" si="132"/>
        <v>0</v>
      </c>
      <c r="CI69" s="3175"/>
      <c r="CJ69" s="3047"/>
      <c r="CK69" s="3049"/>
      <c r="CL69" s="3083"/>
      <c r="CM69" s="3157">
        <f t="shared" si="133"/>
        <v>0</v>
      </c>
      <c r="CN69" s="3175"/>
      <c r="CO69" s="2043">
        <f t="shared" si="159"/>
        <v>5040</v>
      </c>
      <c r="CP69" s="2043">
        <f t="shared" si="160"/>
        <v>0</v>
      </c>
      <c r="CQ69" s="3097">
        <f t="shared" si="161"/>
        <v>5040</v>
      </c>
      <c r="CR69" s="2788">
        <f t="shared" si="134"/>
        <v>5.3565449426066403E-5</v>
      </c>
      <c r="CS69" s="2792"/>
      <c r="CT69" s="919"/>
      <c r="CU69" s="1564"/>
      <c r="CV69" s="1564"/>
      <c r="CW69" s="1564"/>
      <c r="CX69" s="1564"/>
      <c r="CY69" s="1564"/>
      <c r="CZ69" s="1564"/>
      <c r="DA69" s="1564"/>
      <c r="DB69" s="1564"/>
      <c r="DC69" s="1564"/>
      <c r="DD69" s="1564"/>
      <c r="DE69" s="1564"/>
      <c r="DF69" s="1564"/>
      <c r="DG69" s="1564"/>
      <c r="DH69" s="1564"/>
      <c r="DI69" s="1564"/>
      <c r="DJ69" s="1564"/>
      <c r="DK69" s="1564"/>
      <c r="DL69" s="1564"/>
      <c r="DM69" s="1564"/>
      <c r="DN69" s="1564"/>
      <c r="DO69" s="1564"/>
      <c r="DP69" s="1564"/>
      <c r="DQ69" s="1564"/>
      <c r="DR69" s="1564"/>
      <c r="DS69" s="1564"/>
      <c r="DT69" s="1564"/>
      <c r="DU69" s="1564"/>
      <c r="DV69" s="1564"/>
      <c r="DW69" s="1564"/>
      <c r="DX69" s="1564"/>
      <c r="DY69" s="1564"/>
      <c r="DZ69" s="1564"/>
      <c r="EA69" s="1564"/>
      <c r="EB69" s="1564"/>
      <c r="EC69" s="1564"/>
      <c r="ED69" s="1564"/>
      <c r="EE69" s="1564"/>
      <c r="EF69" s="1564"/>
      <c r="EG69" s="1564"/>
      <c r="EH69" s="1564"/>
      <c r="EI69" s="1564"/>
      <c r="EJ69" s="1564"/>
      <c r="EK69" s="1564"/>
      <c r="EL69" s="1564"/>
      <c r="EM69" s="1564"/>
      <c r="EN69" s="1564"/>
      <c r="EO69" s="1564"/>
      <c r="EP69" s="1564"/>
      <c r="EQ69" s="1564"/>
      <c r="ER69" s="1564"/>
      <c r="ES69" s="1564"/>
      <c r="ET69" s="1564"/>
      <c r="EU69" s="1564"/>
      <c r="EV69" s="1564"/>
      <c r="EW69" s="1564"/>
      <c r="EX69" s="1564"/>
      <c r="EY69" s="1564"/>
      <c r="EZ69" s="1564"/>
      <c r="FA69" s="1564"/>
      <c r="FB69" s="1564"/>
      <c r="FC69" s="1564"/>
      <c r="FD69" s="1564"/>
      <c r="FE69" s="1564"/>
      <c r="FF69" s="1564"/>
      <c r="FG69" s="1564"/>
      <c r="FH69" s="1564"/>
      <c r="FI69" s="1564"/>
      <c r="FJ69" s="1564"/>
      <c r="FK69" s="1564"/>
      <c r="FL69" s="1564"/>
      <c r="FM69" s="1564"/>
      <c r="FN69" s="1564"/>
      <c r="FO69" s="1564"/>
      <c r="FP69" s="1564"/>
      <c r="FQ69" s="1564"/>
      <c r="FR69" s="1564"/>
      <c r="FS69" s="1564"/>
      <c r="FT69" s="1564"/>
      <c r="FU69" s="1564"/>
      <c r="FV69" s="1564"/>
    </row>
    <row r="70" spans="1:178" s="1396" customFormat="1" ht="14.4" customHeight="1" outlineLevel="2">
      <c r="A70" s="1571"/>
      <c r="B70" s="3092" t="s">
        <v>6</v>
      </c>
      <c r="C70" s="2812"/>
      <c r="D70" s="2793"/>
      <c r="E70" s="3081">
        <f t="shared" si="135"/>
        <v>0</v>
      </c>
      <c r="F70" s="2788" t="e">
        <f t="shared" si="162"/>
        <v>#DIV/0!</v>
      </c>
      <c r="G70" s="1979">
        <v>0</v>
      </c>
      <c r="H70" s="2051">
        <v>0</v>
      </c>
      <c r="I70" s="3082">
        <f t="shared" si="136"/>
        <v>0</v>
      </c>
      <c r="J70" s="3003">
        <f t="shared" si="123"/>
        <v>0</v>
      </c>
      <c r="K70" s="2046"/>
      <c r="L70" s="2046"/>
      <c r="M70" s="3039"/>
      <c r="N70" s="3040"/>
      <c r="O70" s="3093">
        <f t="shared" si="171"/>
        <v>0</v>
      </c>
      <c r="P70" s="3042">
        <f t="shared" si="138"/>
        <v>0</v>
      </c>
      <c r="Q70" s="3044"/>
      <c r="R70" s="3052"/>
      <c r="S70" s="3040"/>
      <c r="T70" s="3083">
        <f t="shared" si="172"/>
        <v>0</v>
      </c>
      <c r="U70" s="3157">
        <f t="shared" si="140"/>
        <v>0</v>
      </c>
      <c r="V70" s="3044"/>
      <c r="W70" s="3040"/>
      <c r="X70" s="3049"/>
      <c r="Y70" s="3083">
        <f t="shared" si="173"/>
        <v>0</v>
      </c>
      <c r="Z70" s="3157">
        <f t="shared" si="142"/>
        <v>0</v>
      </c>
      <c r="AA70" s="3044"/>
      <c r="AB70" s="3040"/>
      <c r="AC70" s="3049"/>
      <c r="AD70" s="3083">
        <f t="shared" si="174"/>
        <v>0</v>
      </c>
      <c r="AE70" s="3157">
        <f t="shared" si="144"/>
        <v>0</v>
      </c>
      <c r="AF70" s="3044"/>
      <c r="AG70" s="3040"/>
      <c r="AH70" s="3040"/>
      <c r="AI70" s="3083">
        <f t="shared" si="175"/>
        <v>0</v>
      </c>
      <c r="AJ70" s="3157">
        <f t="shared" si="146"/>
        <v>0</v>
      </c>
      <c r="AK70" s="3044"/>
      <c r="AL70" s="3040"/>
      <c r="AM70" s="3062"/>
      <c r="AN70" s="3083">
        <f t="shared" si="147"/>
        <v>0</v>
      </c>
      <c r="AO70" s="3157">
        <f t="shared" si="124"/>
        <v>0</v>
      </c>
      <c r="AP70" s="3044"/>
      <c r="AQ70" s="3047"/>
      <c r="AR70" s="3040"/>
      <c r="AS70" s="3083">
        <f t="shared" si="148"/>
        <v>0</v>
      </c>
      <c r="AT70" s="3157">
        <f t="shared" si="149"/>
        <v>0</v>
      </c>
      <c r="AU70" s="3044"/>
      <c r="AV70" s="3047"/>
      <c r="AW70" s="3040"/>
      <c r="AX70" s="3083">
        <f t="shared" si="150"/>
        <v>0</v>
      </c>
      <c r="AY70" s="3157">
        <f t="shared" si="125"/>
        <v>0</v>
      </c>
      <c r="AZ70" s="3044"/>
      <c r="BA70" s="3047"/>
      <c r="BB70" s="3040"/>
      <c r="BC70" s="3083">
        <f t="shared" si="151"/>
        <v>0</v>
      </c>
      <c r="BD70" s="3157">
        <f t="shared" si="126"/>
        <v>0</v>
      </c>
      <c r="BE70" s="3044"/>
      <c r="BF70" s="3047"/>
      <c r="BG70" s="3040"/>
      <c r="BH70" s="3083">
        <f t="shared" si="152"/>
        <v>0</v>
      </c>
      <c r="BI70" s="3157">
        <f t="shared" si="127"/>
        <v>0</v>
      </c>
      <c r="BJ70" s="3044"/>
      <c r="BK70" s="3047"/>
      <c r="BL70" s="3040"/>
      <c r="BM70" s="3083">
        <f t="shared" si="168"/>
        <v>0</v>
      </c>
      <c r="BN70" s="3157">
        <f t="shared" si="128"/>
        <v>0</v>
      </c>
      <c r="BO70" s="3044"/>
      <c r="BP70" s="3047"/>
      <c r="BQ70" s="3040"/>
      <c r="BR70" s="3083">
        <f t="shared" si="169"/>
        <v>0</v>
      </c>
      <c r="BS70" s="3157">
        <f t="shared" si="129"/>
        <v>0</v>
      </c>
      <c r="BT70" s="3044"/>
      <c r="BU70" s="3047"/>
      <c r="BV70" s="3040"/>
      <c r="BW70" s="3083">
        <f t="shared" si="170"/>
        <v>0</v>
      </c>
      <c r="BX70" s="3157">
        <f t="shared" si="130"/>
        <v>0</v>
      </c>
      <c r="BY70" s="3044"/>
      <c r="BZ70" s="3047"/>
      <c r="CA70" s="3040"/>
      <c r="CB70" s="3083"/>
      <c r="CC70" s="3157">
        <f t="shared" si="131"/>
        <v>0</v>
      </c>
      <c r="CD70" s="3044"/>
      <c r="CE70" s="3047"/>
      <c r="CF70" s="3040"/>
      <c r="CG70" s="3083"/>
      <c r="CH70" s="3157">
        <f t="shared" si="132"/>
        <v>0</v>
      </c>
      <c r="CI70" s="3044"/>
      <c r="CJ70" s="3047"/>
      <c r="CK70" s="3040"/>
      <c r="CL70" s="3083"/>
      <c r="CM70" s="3157">
        <f t="shared" si="133"/>
        <v>0</v>
      </c>
      <c r="CN70" s="3044"/>
      <c r="CO70" s="2043">
        <f t="shared" si="159"/>
        <v>0</v>
      </c>
      <c r="CP70" s="2043">
        <f t="shared" si="160"/>
        <v>0</v>
      </c>
      <c r="CQ70" s="3081">
        <f t="shared" si="161"/>
        <v>0</v>
      </c>
      <c r="CR70" s="2788">
        <f>CQ70/$CQ$89</f>
        <v>0</v>
      </c>
      <c r="CS70" s="2792"/>
      <c r="CT70" s="919"/>
      <c r="CU70" s="1564"/>
      <c r="CV70" s="1564"/>
      <c r="CW70" s="1564"/>
      <c r="CX70" s="1564"/>
      <c r="CY70" s="1564"/>
      <c r="CZ70" s="1564"/>
      <c r="DA70" s="1564"/>
      <c r="DB70" s="1564"/>
      <c r="DC70" s="1564"/>
      <c r="DD70" s="1564"/>
      <c r="DE70" s="1564"/>
      <c r="DF70" s="1564"/>
      <c r="DG70" s="1564"/>
      <c r="DH70" s="1564"/>
      <c r="DI70" s="1564"/>
      <c r="DJ70" s="1564"/>
      <c r="DK70" s="1564"/>
      <c r="DL70" s="1564"/>
      <c r="DM70" s="1564"/>
      <c r="DN70" s="1564"/>
      <c r="DO70" s="1564"/>
      <c r="DP70" s="1564"/>
      <c r="DQ70" s="1564"/>
      <c r="DR70" s="1564"/>
      <c r="DS70" s="1564"/>
      <c r="DT70" s="1564"/>
      <c r="DU70" s="1564"/>
      <c r="DV70" s="1564"/>
      <c r="DW70" s="1564"/>
      <c r="DX70" s="1564"/>
      <c r="DY70" s="1564"/>
      <c r="DZ70" s="1564"/>
      <c r="EA70" s="1564"/>
      <c r="EB70" s="1564"/>
      <c r="EC70" s="1564"/>
      <c r="ED70" s="1564"/>
      <c r="EE70" s="1564"/>
      <c r="EF70" s="1564"/>
      <c r="EG70" s="1564"/>
      <c r="EH70" s="1564"/>
      <c r="EI70" s="1564"/>
      <c r="EJ70" s="1564"/>
      <c r="EK70" s="1564"/>
      <c r="EL70" s="1564"/>
      <c r="EM70" s="1564"/>
      <c r="EN70" s="1564"/>
      <c r="EO70" s="1564"/>
      <c r="EP70" s="1564"/>
      <c r="EQ70" s="1564"/>
      <c r="ER70" s="1564"/>
      <c r="ES70" s="1564"/>
      <c r="ET70" s="1564"/>
      <c r="EU70" s="1564"/>
      <c r="EV70" s="1564"/>
      <c r="EW70" s="1564"/>
      <c r="EX70" s="1564"/>
      <c r="EY70" s="1564"/>
      <c r="EZ70" s="1564"/>
      <c r="FA70" s="1564"/>
      <c r="FB70" s="1564"/>
      <c r="FC70" s="1564"/>
      <c r="FD70" s="1564"/>
      <c r="FE70" s="1564"/>
      <c r="FF70" s="1564"/>
      <c r="FG70" s="1564"/>
      <c r="FH70" s="1564"/>
      <c r="FI70" s="1564"/>
      <c r="FJ70" s="1564"/>
      <c r="FK70" s="1564"/>
      <c r="FL70" s="1564"/>
      <c r="FM70" s="1564"/>
      <c r="FN70" s="1564"/>
      <c r="FO70" s="1564"/>
      <c r="FP70" s="1564"/>
      <c r="FQ70" s="1564"/>
      <c r="FR70" s="1564"/>
      <c r="FS70" s="1564"/>
      <c r="FT70" s="1564"/>
      <c r="FU70" s="1564"/>
      <c r="FV70" s="1564"/>
    </row>
    <row r="71" spans="1:178" s="1396" customFormat="1" ht="32.4" customHeight="1" outlineLevel="2">
      <c r="A71" s="1571"/>
      <c r="B71" s="3092" t="s">
        <v>235</v>
      </c>
      <c r="C71" s="2812"/>
      <c r="D71" s="2793"/>
      <c r="E71" s="3081">
        <f t="shared" si="135"/>
        <v>0</v>
      </c>
      <c r="F71" s="2814" t="e">
        <f t="shared" si="162"/>
        <v>#DIV/0!</v>
      </c>
      <c r="G71" s="1979">
        <v>0</v>
      </c>
      <c r="H71" s="2051">
        <v>2000</v>
      </c>
      <c r="I71" s="3082">
        <f t="shared" si="136"/>
        <v>2000</v>
      </c>
      <c r="J71" s="3003">
        <f t="shared" si="123"/>
        <v>3.6531102625544252E-5</v>
      </c>
      <c r="K71" s="2046"/>
      <c r="L71" s="2046"/>
      <c r="M71" s="3039"/>
      <c r="N71" s="3040"/>
      <c r="O71" s="3093">
        <f t="shared" si="171"/>
        <v>0</v>
      </c>
      <c r="P71" s="3042">
        <f t="shared" si="138"/>
        <v>0</v>
      </c>
      <c r="Q71" s="3044"/>
      <c r="R71" s="3052"/>
      <c r="S71" s="3040"/>
      <c r="T71" s="3083">
        <f t="shared" si="172"/>
        <v>0</v>
      </c>
      <c r="U71" s="3157">
        <f t="shared" si="140"/>
        <v>0</v>
      </c>
      <c r="V71" s="3044"/>
      <c r="W71" s="3040"/>
      <c r="X71" s="3049"/>
      <c r="Y71" s="3083">
        <f t="shared" si="173"/>
        <v>0</v>
      </c>
      <c r="Z71" s="3157">
        <f t="shared" si="142"/>
        <v>0</v>
      </c>
      <c r="AA71" s="3044"/>
      <c r="AB71" s="3040"/>
      <c r="AC71" s="3049">
        <v>2000</v>
      </c>
      <c r="AD71" s="3083">
        <f t="shared" si="174"/>
        <v>2000</v>
      </c>
      <c r="AE71" s="3157">
        <f t="shared" si="144"/>
        <v>2.8757705946159338E-4</v>
      </c>
      <c r="AF71" s="3044" t="s">
        <v>1560</v>
      </c>
      <c r="AG71" s="2051"/>
      <c r="AH71" s="2043"/>
      <c r="AI71" s="3081">
        <f t="shared" si="175"/>
        <v>0</v>
      </c>
      <c r="AJ71" s="2788">
        <f t="shared" si="146"/>
        <v>0</v>
      </c>
      <c r="AK71" s="2046"/>
      <c r="AL71" s="3040"/>
      <c r="AM71" s="3062">
        <v>10000</v>
      </c>
      <c r="AN71" s="3083">
        <f t="shared" si="147"/>
        <v>10000</v>
      </c>
      <c r="AO71" s="3157">
        <f t="shared" si="124"/>
        <v>1.5595726081348319E-3</v>
      </c>
      <c r="AP71" s="3044" t="s">
        <v>1282</v>
      </c>
      <c r="AQ71" s="3040"/>
      <c r="AR71" s="3049"/>
      <c r="AS71" s="3083">
        <f t="shared" si="148"/>
        <v>0</v>
      </c>
      <c r="AT71" s="3157">
        <f t="shared" si="149"/>
        <v>0</v>
      </c>
      <c r="AU71" s="3044"/>
      <c r="AV71" s="3040"/>
      <c r="AW71" s="3049"/>
      <c r="AX71" s="3083">
        <f t="shared" si="150"/>
        <v>0</v>
      </c>
      <c r="AY71" s="3157">
        <f t="shared" si="125"/>
        <v>0</v>
      </c>
      <c r="AZ71" s="3044"/>
      <c r="BA71" s="3040"/>
      <c r="BB71" s="3049"/>
      <c r="BC71" s="3083">
        <f t="shared" si="151"/>
        <v>0</v>
      </c>
      <c r="BD71" s="3157">
        <f t="shared" si="126"/>
        <v>0</v>
      </c>
      <c r="BE71" s="3044"/>
      <c r="BF71" s="3040"/>
      <c r="BG71" s="3049"/>
      <c r="BH71" s="3083">
        <f t="shared" si="152"/>
        <v>0</v>
      </c>
      <c r="BI71" s="3157">
        <f t="shared" si="127"/>
        <v>0</v>
      </c>
      <c r="BJ71" s="3044"/>
      <c r="BK71" s="2051"/>
      <c r="BL71" s="2043"/>
      <c r="BM71" s="3081">
        <f t="shared" si="168"/>
        <v>0</v>
      </c>
      <c r="BN71" s="2788">
        <f t="shared" si="128"/>
        <v>0</v>
      </c>
      <c r="BO71" s="2046"/>
      <c r="BP71" s="3040"/>
      <c r="BQ71" s="3049"/>
      <c r="BR71" s="3083">
        <f t="shared" si="169"/>
        <v>0</v>
      </c>
      <c r="BS71" s="3157">
        <f t="shared" si="129"/>
        <v>0</v>
      </c>
      <c r="BT71" s="3044"/>
      <c r="BU71" s="3040"/>
      <c r="BV71" s="3049"/>
      <c r="BW71" s="3083">
        <f t="shared" si="170"/>
        <v>0</v>
      </c>
      <c r="BX71" s="3157">
        <f t="shared" si="130"/>
        <v>0</v>
      </c>
      <c r="BY71" s="3044"/>
      <c r="BZ71" s="3040"/>
      <c r="CA71" s="3049"/>
      <c r="CB71" s="3083"/>
      <c r="CC71" s="3157">
        <f t="shared" si="131"/>
        <v>0</v>
      </c>
      <c r="CD71" s="3044"/>
      <c r="CE71" s="3040"/>
      <c r="CF71" s="3049"/>
      <c r="CG71" s="3083"/>
      <c r="CH71" s="3157">
        <f t="shared" si="132"/>
        <v>0</v>
      </c>
      <c r="CI71" s="3044"/>
      <c r="CJ71" s="3040"/>
      <c r="CK71" s="3049"/>
      <c r="CL71" s="3083"/>
      <c r="CM71" s="3157">
        <f t="shared" si="133"/>
        <v>0</v>
      </c>
      <c r="CN71" s="3044"/>
      <c r="CO71" s="2043">
        <f t="shared" si="159"/>
        <v>0</v>
      </c>
      <c r="CP71" s="2043">
        <f t="shared" si="160"/>
        <v>12000</v>
      </c>
      <c r="CQ71" s="3097">
        <f t="shared" si="161"/>
        <v>12000</v>
      </c>
      <c r="CR71" s="2788">
        <f t="shared" si="134"/>
        <v>1.2753678434777714E-4</v>
      </c>
      <c r="CS71" s="2792"/>
      <c r="CT71" s="919"/>
      <c r="CU71" s="1564"/>
      <c r="CV71" s="1564"/>
      <c r="CW71" s="1564"/>
      <c r="CX71" s="1564"/>
      <c r="CY71" s="1564"/>
      <c r="CZ71" s="1564"/>
      <c r="DA71" s="1564"/>
      <c r="DB71" s="1564"/>
      <c r="DC71" s="1564"/>
      <c r="DD71" s="1564"/>
      <c r="DE71" s="1564"/>
      <c r="DF71" s="1564"/>
      <c r="DG71" s="1564"/>
      <c r="DH71" s="1564"/>
      <c r="DI71" s="1564"/>
      <c r="DJ71" s="1564"/>
      <c r="DK71" s="1564"/>
      <c r="DL71" s="1564"/>
      <c r="DM71" s="1564"/>
      <c r="DN71" s="1564"/>
      <c r="DO71" s="1564"/>
      <c r="DP71" s="1564"/>
      <c r="DQ71" s="1564"/>
      <c r="DR71" s="1564"/>
      <c r="DS71" s="1564"/>
      <c r="DT71" s="1564"/>
      <c r="DU71" s="1564"/>
      <c r="DV71" s="1564"/>
      <c r="DW71" s="1564"/>
      <c r="DX71" s="1564"/>
      <c r="DY71" s="1564"/>
      <c r="DZ71" s="1564"/>
      <c r="EA71" s="1564"/>
      <c r="EB71" s="1564"/>
      <c r="EC71" s="1564"/>
      <c r="ED71" s="1564"/>
      <c r="EE71" s="1564"/>
      <c r="EF71" s="1564"/>
      <c r="EG71" s="1564"/>
      <c r="EH71" s="1564"/>
      <c r="EI71" s="1564"/>
      <c r="EJ71" s="1564"/>
      <c r="EK71" s="1564"/>
      <c r="EL71" s="1564"/>
      <c r="EM71" s="1564"/>
      <c r="EN71" s="1564"/>
      <c r="EO71" s="1564"/>
      <c r="EP71" s="1564"/>
      <c r="EQ71" s="1564"/>
      <c r="ER71" s="1564"/>
      <c r="ES71" s="1564"/>
      <c r="ET71" s="1564"/>
      <c r="EU71" s="1564"/>
      <c r="EV71" s="1564"/>
      <c r="EW71" s="1564"/>
      <c r="EX71" s="1564"/>
      <c r="EY71" s="1564"/>
      <c r="EZ71" s="1564"/>
      <c r="FA71" s="1564"/>
      <c r="FB71" s="1564"/>
      <c r="FC71" s="1564"/>
      <c r="FD71" s="1564"/>
      <c r="FE71" s="1564"/>
      <c r="FF71" s="1564"/>
      <c r="FG71" s="1564"/>
      <c r="FH71" s="1564"/>
      <c r="FI71" s="1564"/>
      <c r="FJ71" s="1564"/>
      <c r="FK71" s="1564"/>
      <c r="FL71" s="1564"/>
      <c r="FM71" s="1564"/>
      <c r="FN71" s="1564"/>
      <c r="FO71" s="1564"/>
      <c r="FP71" s="1564"/>
      <c r="FQ71" s="1564"/>
      <c r="FR71" s="1564"/>
      <c r="FS71" s="1564"/>
      <c r="FT71" s="1564"/>
      <c r="FU71" s="1564"/>
      <c r="FV71" s="1564"/>
    </row>
    <row r="72" spans="1:178" s="1396" customFormat="1" ht="14.4" customHeight="1" outlineLevel="2" thickBot="1">
      <c r="A72" s="1571"/>
      <c r="B72" s="3176"/>
      <c r="C72" s="2815"/>
      <c r="D72" s="2816"/>
      <c r="E72" s="3177"/>
      <c r="F72" s="2814" t="e">
        <f t="shared" si="162"/>
        <v>#DIV/0!</v>
      </c>
      <c r="G72" s="1980"/>
      <c r="H72" s="2029"/>
      <c r="I72" s="3103"/>
      <c r="J72" s="3178"/>
      <c r="K72" s="2817"/>
      <c r="L72" s="2817"/>
      <c r="M72" s="1980"/>
      <c r="N72" s="2029"/>
      <c r="O72" s="3103"/>
      <c r="P72" s="3178"/>
      <c r="Q72" s="2817"/>
      <c r="R72" s="1741"/>
      <c r="S72" s="2028"/>
      <c r="T72" s="3104"/>
      <c r="U72" s="2814"/>
      <c r="V72" s="2817"/>
      <c r="W72" s="2029"/>
      <c r="X72" s="2027"/>
      <c r="Y72" s="3104"/>
      <c r="Z72" s="2814"/>
      <c r="AA72" s="2817"/>
      <c r="AB72" s="1823"/>
      <c r="AC72" s="2042"/>
      <c r="AD72" s="3105"/>
      <c r="AE72" s="3179"/>
      <c r="AF72" s="3180"/>
      <c r="AG72" s="2029"/>
      <c r="AH72" s="2027"/>
      <c r="AI72" s="3104"/>
      <c r="AJ72" s="2814"/>
      <c r="AK72" s="2817"/>
      <c r="AL72" s="2029"/>
      <c r="AM72" s="2027"/>
      <c r="AN72" s="3104"/>
      <c r="AO72" s="2814">
        <f t="shared" si="124"/>
        <v>0</v>
      </c>
      <c r="AP72" s="2817"/>
      <c r="AQ72" s="2029"/>
      <c r="AR72" s="2027"/>
      <c r="AS72" s="3104"/>
      <c r="AT72" s="2814"/>
      <c r="AU72" s="2817"/>
      <c r="AV72" s="2029"/>
      <c r="AW72" s="2027"/>
      <c r="AX72" s="3104"/>
      <c r="AY72" s="2814"/>
      <c r="AZ72" s="2817"/>
      <c r="BA72" s="2029"/>
      <c r="BB72" s="2027"/>
      <c r="BC72" s="3104"/>
      <c r="BD72" s="2814"/>
      <c r="BE72" s="2817"/>
      <c r="BF72" s="2029"/>
      <c r="BG72" s="2027"/>
      <c r="BH72" s="3104"/>
      <c r="BI72" s="2814"/>
      <c r="BJ72" s="2817"/>
      <c r="BK72" s="2029"/>
      <c r="BL72" s="2027"/>
      <c r="BM72" s="3104"/>
      <c r="BN72" s="2814"/>
      <c r="BO72" s="2817"/>
      <c r="BP72" s="2029"/>
      <c r="BQ72" s="2027"/>
      <c r="BR72" s="3104"/>
      <c r="BS72" s="2814"/>
      <c r="BT72" s="2817"/>
      <c r="BU72" s="2029"/>
      <c r="BV72" s="2027"/>
      <c r="BW72" s="3104"/>
      <c r="BX72" s="2814"/>
      <c r="BY72" s="2817"/>
      <c r="BZ72" s="2029"/>
      <c r="CA72" s="2027"/>
      <c r="CB72" s="3104"/>
      <c r="CC72" s="2814"/>
      <c r="CD72" s="2817"/>
      <c r="CE72" s="2029"/>
      <c r="CF72" s="2027"/>
      <c r="CG72" s="3104"/>
      <c r="CH72" s="2814"/>
      <c r="CI72" s="2817"/>
      <c r="CJ72" s="2029"/>
      <c r="CK72" s="2027"/>
      <c r="CL72" s="3104"/>
      <c r="CM72" s="2814"/>
      <c r="CN72" s="2817"/>
      <c r="CO72" s="2027"/>
      <c r="CP72" s="2027"/>
      <c r="CQ72" s="3104"/>
      <c r="CR72" s="2814">
        <f>CQ72/$CQ$89</f>
        <v>0</v>
      </c>
      <c r="CS72" s="2818"/>
      <c r="CT72" s="919"/>
      <c r="CU72" s="1564"/>
      <c r="CV72" s="1564"/>
      <c r="CW72" s="1564"/>
      <c r="CX72" s="1564"/>
      <c r="CY72" s="1564"/>
      <c r="CZ72" s="1564"/>
      <c r="DA72" s="1564"/>
      <c r="DB72" s="1564"/>
      <c r="DC72" s="1564"/>
      <c r="DD72" s="1564"/>
      <c r="DE72" s="1564"/>
      <c r="DF72" s="1564"/>
      <c r="DG72" s="1564"/>
      <c r="DH72" s="1564"/>
      <c r="DI72" s="1564"/>
      <c r="DJ72" s="1564"/>
      <c r="DK72" s="1564"/>
      <c r="DL72" s="1564"/>
      <c r="DM72" s="1564"/>
      <c r="DN72" s="1564"/>
      <c r="DO72" s="1564"/>
      <c r="DP72" s="1564"/>
      <c r="DQ72" s="1564"/>
      <c r="DR72" s="1564"/>
      <c r="DS72" s="1564"/>
      <c r="DT72" s="1564"/>
      <c r="DU72" s="1564"/>
      <c r="DV72" s="1564"/>
      <c r="DW72" s="1564"/>
      <c r="DX72" s="1564"/>
      <c r="DY72" s="1564"/>
      <c r="DZ72" s="1564"/>
      <c r="EA72" s="1564"/>
      <c r="EB72" s="1564"/>
      <c r="EC72" s="1564"/>
      <c r="ED72" s="1564"/>
      <c r="EE72" s="1564"/>
      <c r="EF72" s="1564"/>
      <c r="EG72" s="1564"/>
      <c r="EH72" s="1564"/>
      <c r="EI72" s="1564"/>
      <c r="EJ72" s="1564"/>
      <c r="EK72" s="1564"/>
      <c r="EL72" s="1564"/>
      <c r="EM72" s="1564"/>
      <c r="EN72" s="1564"/>
      <c r="EO72" s="1564"/>
      <c r="EP72" s="1564"/>
      <c r="EQ72" s="1564"/>
      <c r="ER72" s="1564"/>
      <c r="ES72" s="1564"/>
      <c r="ET72" s="1564"/>
      <c r="EU72" s="1564"/>
      <c r="EV72" s="1564"/>
      <c r="EW72" s="1564"/>
      <c r="EX72" s="1564"/>
      <c r="EY72" s="1564"/>
      <c r="EZ72" s="1564"/>
      <c r="FA72" s="1564"/>
      <c r="FB72" s="1564"/>
      <c r="FC72" s="1564"/>
      <c r="FD72" s="1564"/>
      <c r="FE72" s="1564"/>
      <c r="FF72" s="1564"/>
      <c r="FG72" s="1564"/>
      <c r="FH72" s="1564"/>
      <c r="FI72" s="1564"/>
      <c r="FJ72" s="1564"/>
      <c r="FK72" s="1564"/>
      <c r="FL72" s="1564"/>
      <c r="FM72" s="1564"/>
      <c r="FN72" s="1564"/>
      <c r="FO72" s="1564"/>
      <c r="FP72" s="1564"/>
      <c r="FQ72" s="1564"/>
      <c r="FR72" s="1564"/>
      <c r="FS72" s="1564"/>
      <c r="FT72" s="1564"/>
      <c r="FU72" s="1564"/>
      <c r="FV72" s="1564"/>
    </row>
    <row r="73" spans="1:178" s="1396" customFormat="1" ht="14.4" customHeight="1" outlineLevel="1" thickBot="1">
      <c r="A73" s="1571"/>
      <c r="B73" s="986" t="s">
        <v>4</v>
      </c>
      <c r="C73" s="1584">
        <f>C74</f>
        <v>0</v>
      </c>
      <c r="D73" s="843">
        <f>D74</f>
        <v>0</v>
      </c>
      <c r="E73" s="1584">
        <f>E74</f>
        <v>0</v>
      </c>
      <c r="F73" s="838" t="e">
        <f>E73/$E$89</f>
        <v>#DIV/0!</v>
      </c>
      <c r="G73" s="1584">
        <f>G74</f>
        <v>0</v>
      </c>
      <c r="H73" s="843">
        <f>H74</f>
        <v>0</v>
      </c>
      <c r="I73" s="1971">
        <f>I74</f>
        <v>0</v>
      </c>
      <c r="J73" s="1970">
        <f>I73/$BC$89</f>
        <v>0</v>
      </c>
      <c r="K73" s="1732"/>
      <c r="L73" s="1732"/>
      <c r="M73" s="1584">
        <f>M74</f>
        <v>0</v>
      </c>
      <c r="N73" s="843">
        <f>N74</f>
        <v>0</v>
      </c>
      <c r="O73" s="1971">
        <f>O74</f>
        <v>0</v>
      </c>
      <c r="P73" s="1970">
        <f>O73/$AS$89</f>
        <v>0</v>
      </c>
      <c r="Q73" s="1732"/>
      <c r="R73" s="1584">
        <f>R74</f>
        <v>0</v>
      </c>
      <c r="S73" s="1584">
        <f>S74</f>
        <v>0</v>
      </c>
      <c r="T73" s="1688">
        <f>T74</f>
        <v>0</v>
      </c>
      <c r="U73" s="1689">
        <f>T73/$AS$89</f>
        <v>0</v>
      </c>
      <c r="V73" s="1732"/>
      <c r="W73" s="1584">
        <f>W74</f>
        <v>0</v>
      </c>
      <c r="X73" s="1584">
        <f>X74</f>
        <v>0</v>
      </c>
      <c r="Y73" s="1688">
        <f>Y74</f>
        <v>0</v>
      </c>
      <c r="Z73" s="1689">
        <f>Y73/$AS$89</f>
        <v>0</v>
      </c>
      <c r="AA73" s="1732"/>
      <c r="AB73" s="1800">
        <f>AB74</f>
        <v>0</v>
      </c>
      <c r="AC73" s="1800">
        <f>AC74</f>
        <v>0</v>
      </c>
      <c r="AD73" s="1801">
        <f>AD74</f>
        <v>0</v>
      </c>
      <c r="AE73" s="1802">
        <f>AD73/$AS$89</f>
        <v>0</v>
      </c>
      <c r="AF73" s="1803"/>
      <c r="AG73" s="1584">
        <f>AG74</f>
        <v>0</v>
      </c>
      <c r="AH73" s="1584">
        <f>AH74</f>
        <v>0</v>
      </c>
      <c r="AI73" s="1688">
        <f>AI74</f>
        <v>0</v>
      </c>
      <c r="AJ73" s="1689">
        <f>AI73/$AS$89</f>
        <v>0</v>
      </c>
      <c r="AK73" s="1732"/>
      <c r="AL73" s="1584">
        <f>AL74</f>
        <v>0</v>
      </c>
      <c r="AM73" s="1584">
        <f>AM74</f>
        <v>0</v>
      </c>
      <c r="AN73" s="1688">
        <f>AN74</f>
        <v>0</v>
      </c>
      <c r="AO73" s="1689"/>
      <c r="AP73" s="1732"/>
      <c r="AQ73" s="1584">
        <f>AQ74</f>
        <v>0</v>
      </c>
      <c r="AR73" s="1584">
        <f>AR74</f>
        <v>0</v>
      </c>
      <c r="AS73" s="1688">
        <f>AS74</f>
        <v>0</v>
      </c>
      <c r="AT73" s="1689">
        <f>AS73/$AS$89</f>
        <v>0</v>
      </c>
      <c r="AU73" s="1732"/>
      <c r="AV73" s="1584">
        <f>AV74</f>
        <v>0</v>
      </c>
      <c r="AW73" s="1584">
        <f>AW74</f>
        <v>0</v>
      </c>
      <c r="AX73" s="1688">
        <f>AX74</f>
        <v>0</v>
      </c>
      <c r="AY73" s="1689"/>
      <c r="AZ73" s="1732"/>
      <c r="BA73" s="1584">
        <f>BA74</f>
        <v>0</v>
      </c>
      <c r="BB73" s="1584">
        <f>BB74</f>
        <v>0</v>
      </c>
      <c r="BC73" s="1688">
        <f>BC74</f>
        <v>0</v>
      </c>
      <c r="BD73" s="1689">
        <f>BC73/$BC$89</f>
        <v>0</v>
      </c>
      <c r="BE73" s="1732"/>
      <c r="BF73" s="1584">
        <f>BF74</f>
        <v>0</v>
      </c>
      <c r="BG73" s="1584">
        <f>BG74</f>
        <v>0</v>
      </c>
      <c r="BH73" s="1688">
        <f>BH74</f>
        <v>0</v>
      </c>
      <c r="BI73" s="1689">
        <f>BH73/$BC$89</f>
        <v>0</v>
      </c>
      <c r="BJ73" s="1732"/>
      <c r="BK73" s="1584">
        <f>BK74</f>
        <v>0</v>
      </c>
      <c r="BL73" s="1584">
        <f>BL74</f>
        <v>0</v>
      </c>
      <c r="BM73" s="1688">
        <f>BM74</f>
        <v>0</v>
      </c>
      <c r="BN73" s="1689">
        <f t="shared" ref="BN73:BN74" si="176">BM73/BM$89</f>
        <v>0</v>
      </c>
      <c r="BO73" s="1732"/>
      <c r="BP73" s="1584">
        <f>BP74</f>
        <v>0</v>
      </c>
      <c r="BQ73" s="1584">
        <f>BQ74</f>
        <v>0</v>
      </c>
      <c r="BR73" s="1688">
        <f>BR74</f>
        <v>0</v>
      </c>
      <c r="BS73" s="1689">
        <f t="shared" ref="BS73:BS74" si="177">BR73/BR$89</f>
        <v>0</v>
      </c>
      <c r="BT73" s="1732"/>
      <c r="BU73" s="1584">
        <f>BU74</f>
        <v>0</v>
      </c>
      <c r="BV73" s="1584">
        <f>BV74</f>
        <v>0</v>
      </c>
      <c r="BW73" s="1688">
        <f>BW74</f>
        <v>0</v>
      </c>
      <c r="BX73" s="1689">
        <f t="shared" ref="BX73:BX74" si="178">BW73/BW$89</f>
        <v>0</v>
      </c>
      <c r="BY73" s="1732"/>
      <c r="BZ73" s="1584">
        <f>BZ74</f>
        <v>0</v>
      </c>
      <c r="CA73" s="1584">
        <f>CA74</f>
        <v>0</v>
      </c>
      <c r="CB73" s="1688">
        <f>CB74</f>
        <v>0</v>
      </c>
      <c r="CC73" s="1689">
        <f t="shared" ref="CC73:CC74" si="179">CB73/CB$89</f>
        <v>0</v>
      </c>
      <c r="CD73" s="1732"/>
      <c r="CE73" s="1584">
        <f>CE74</f>
        <v>0</v>
      </c>
      <c r="CF73" s="1584">
        <f>CF74</f>
        <v>0</v>
      </c>
      <c r="CG73" s="1688">
        <f>CG74</f>
        <v>0</v>
      </c>
      <c r="CH73" s="1689">
        <f t="shared" ref="CH73:CH74" si="180">CG73/CG$89</f>
        <v>0</v>
      </c>
      <c r="CI73" s="1732"/>
      <c r="CJ73" s="1584">
        <f>CJ74</f>
        <v>0</v>
      </c>
      <c r="CK73" s="1584">
        <f>CK74</f>
        <v>0</v>
      </c>
      <c r="CL73" s="1688">
        <f>CL74</f>
        <v>0</v>
      </c>
      <c r="CM73" s="1689">
        <f t="shared" ref="CM73:CM74" si="181">CL73/CL$89</f>
        <v>0</v>
      </c>
      <c r="CN73" s="1732"/>
      <c r="CO73" s="1584">
        <f>CO74</f>
        <v>0</v>
      </c>
      <c r="CP73" s="1689">
        <f>CP74</f>
        <v>0</v>
      </c>
      <c r="CQ73" s="1688">
        <f>CQ74</f>
        <v>0</v>
      </c>
      <c r="CR73" s="1689"/>
      <c r="CS73" s="1689"/>
      <c r="CT73" s="919"/>
      <c r="CU73" s="1564"/>
      <c r="CV73" s="1564"/>
      <c r="CW73" s="1564"/>
      <c r="CX73" s="1564"/>
      <c r="CY73" s="1564"/>
      <c r="CZ73" s="1564"/>
      <c r="DA73" s="1564"/>
      <c r="DB73" s="1564"/>
      <c r="DC73" s="1564"/>
      <c r="DD73" s="1564"/>
      <c r="DE73" s="1564"/>
      <c r="DF73" s="1564"/>
      <c r="DG73" s="1564"/>
      <c r="DH73" s="1564"/>
      <c r="DI73" s="1564"/>
      <c r="DJ73" s="1564"/>
      <c r="DK73" s="1564"/>
      <c r="DL73" s="1564"/>
      <c r="DM73" s="1564"/>
      <c r="DN73" s="1564"/>
      <c r="DO73" s="1564"/>
      <c r="DP73" s="1564"/>
      <c r="DQ73" s="1564"/>
      <c r="DR73" s="1564"/>
      <c r="DS73" s="1564"/>
      <c r="DT73" s="1564"/>
      <c r="DU73" s="1564"/>
      <c r="DV73" s="1564"/>
      <c r="DW73" s="1564"/>
      <c r="DX73" s="1564"/>
      <c r="DY73" s="1564"/>
      <c r="DZ73" s="1564"/>
      <c r="EA73" s="1564"/>
      <c r="EB73" s="1564"/>
      <c r="EC73" s="1564"/>
      <c r="ED73" s="1564"/>
      <c r="EE73" s="1564"/>
      <c r="EF73" s="1564"/>
      <c r="EG73" s="1564"/>
      <c r="EH73" s="1564"/>
      <c r="EI73" s="1564"/>
      <c r="EJ73" s="1564"/>
      <c r="EK73" s="1564"/>
      <c r="EL73" s="1564"/>
      <c r="EM73" s="1564"/>
      <c r="EN73" s="1564"/>
      <c r="EO73" s="1564"/>
      <c r="EP73" s="1564"/>
      <c r="EQ73" s="1564"/>
      <c r="ER73" s="1564"/>
      <c r="ES73" s="1564"/>
      <c r="ET73" s="1564"/>
      <c r="EU73" s="1564"/>
      <c r="EV73" s="1564"/>
      <c r="EW73" s="1564"/>
      <c r="EX73" s="1564"/>
      <c r="EY73" s="1564"/>
      <c r="EZ73" s="1564"/>
      <c r="FA73" s="1564"/>
      <c r="FB73" s="1564"/>
      <c r="FC73" s="1564"/>
      <c r="FD73" s="1564"/>
      <c r="FE73" s="1564"/>
      <c r="FF73" s="1564"/>
      <c r="FG73" s="1564"/>
      <c r="FH73" s="1564"/>
      <c r="FI73" s="1564"/>
      <c r="FJ73" s="1564"/>
      <c r="FK73" s="1564"/>
      <c r="FL73" s="1564"/>
      <c r="FM73" s="1564"/>
      <c r="FN73" s="1564"/>
      <c r="FO73" s="1564"/>
      <c r="FP73" s="1564"/>
      <c r="FQ73" s="1564"/>
      <c r="FR73" s="1564"/>
      <c r="FS73" s="1564"/>
      <c r="FT73" s="1564"/>
      <c r="FU73" s="1564"/>
      <c r="FV73" s="1564"/>
    </row>
    <row r="74" spans="1:178" s="1396" customFormat="1" ht="14.4" customHeight="1" outlineLevel="1" thickBot="1">
      <c r="A74" s="1413"/>
      <c r="B74" s="985" t="s">
        <v>64</v>
      </c>
      <c r="C74" s="304"/>
      <c r="D74" s="305"/>
      <c r="E74" s="306">
        <f>C74+D74</f>
        <v>0</v>
      </c>
      <c r="F74" s="307"/>
      <c r="G74" s="1987">
        <v>0</v>
      </c>
      <c r="H74" s="2028">
        <v>0</v>
      </c>
      <c r="I74" s="3106">
        <f>G74+H74*1</f>
        <v>0</v>
      </c>
      <c r="J74" s="1972">
        <f>I74/$BC$89</f>
        <v>0</v>
      </c>
      <c r="K74" s="1675"/>
      <c r="L74" s="1675"/>
      <c r="M74" s="1987"/>
      <c r="N74" s="2028"/>
      <c r="O74" s="3106">
        <f>M74+N74*1</f>
        <v>0</v>
      </c>
      <c r="P74" s="1972">
        <f>O74/$AS$89</f>
        <v>0</v>
      </c>
      <c r="Q74" s="1675"/>
      <c r="R74" s="2028"/>
      <c r="S74" s="2025"/>
      <c r="T74" s="3090">
        <f>R74+S74*1</f>
        <v>0</v>
      </c>
      <c r="U74" s="1664">
        <f>T74/$AS$89</f>
        <v>0</v>
      </c>
      <c r="V74" s="1675"/>
      <c r="W74" s="2028"/>
      <c r="X74" s="2025"/>
      <c r="Y74" s="3090">
        <f>W74+X74*1</f>
        <v>0</v>
      </c>
      <c r="Z74" s="1664">
        <f>Y74/$AS$89</f>
        <v>0</v>
      </c>
      <c r="AA74" s="1675"/>
      <c r="AB74" s="1778"/>
      <c r="AC74" s="2032"/>
      <c r="AD74" s="3107">
        <f>AB74+AC74*1</f>
        <v>0</v>
      </c>
      <c r="AE74" s="1827">
        <f>AD74/$AS$89</f>
        <v>0</v>
      </c>
      <c r="AF74" s="1828"/>
      <c r="AG74" s="2028"/>
      <c r="AH74" s="2025"/>
      <c r="AI74" s="3090">
        <f>AG74+AH74*1</f>
        <v>0</v>
      </c>
      <c r="AJ74" s="1664">
        <f>AI74/$AS$89</f>
        <v>0</v>
      </c>
      <c r="AK74" s="1675"/>
      <c r="AL74" s="2028"/>
      <c r="AM74" s="2025"/>
      <c r="AN74" s="3090">
        <f>AL74+AM74*1</f>
        <v>0</v>
      </c>
      <c r="AO74" s="1664"/>
      <c r="AP74" s="1675"/>
      <c r="AQ74" s="2028"/>
      <c r="AR74" s="2025"/>
      <c r="AS74" s="3090">
        <f>AQ74+AR74*1</f>
        <v>0</v>
      </c>
      <c r="AT74" s="1664">
        <f>AS74/$AS$89</f>
        <v>0</v>
      </c>
      <c r="AU74" s="1675"/>
      <c r="AV74" s="2028"/>
      <c r="AW74" s="2025"/>
      <c r="AX74" s="3090">
        <f>AV74+AW74*1</f>
        <v>0</v>
      </c>
      <c r="AY74" s="1664">
        <f>AX74/$AX$89</f>
        <v>0</v>
      </c>
      <c r="AZ74" s="1675"/>
      <c r="BA74" s="2028"/>
      <c r="BB74" s="2025"/>
      <c r="BC74" s="3090">
        <f>BA74+BB74*1</f>
        <v>0</v>
      </c>
      <c r="BD74" s="1664">
        <f>BC74/$BC$89</f>
        <v>0</v>
      </c>
      <c r="BE74" s="1675"/>
      <c r="BF74" s="2028"/>
      <c r="BG74" s="2025"/>
      <c r="BH74" s="3090">
        <f>BF74+BG74*1</f>
        <v>0</v>
      </c>
      <c r="BI74" s="1664">
        <f>BH74/$BC$89</f>
        <v>0</v>
      </c>
      <c r="BJ74" s="1675"/>
      <c r="BK74" s="2028"/>
      <c r="BL74" s="2025"/>
      <c r="BM74" s="3090">
        <f>BK74+BL74*1</f>
        <v>0</v>
      </c>
      <c r="BN74" s="1664">
        <f t="shared" si="176"/>
        <v>0</v>
      </c>
      <c r="BO74" s="1675"/>
      <c r="BP74" s="2028"/>
      <c r="BQ74" s="2025"/>
      <c r="BR74" s="3090">
        <f>BP74+BQ74*1</f>
        <v>0</v>
      </c>
      <c r="BS74" s="1664">
        <f t="shared" si="177"/>
        <v>0</v>
      </c>
      <c r="BT74" s="1675"/>
      <c r="BU74" s="2028"/>
      <c r="BV74" s="2025"/>
      <c r="BW74" s="3090">
        <f>BU74+BV74*1</f>
        <v>0</v>
      </c>
      <c r="BX74" s="1664">
        <f t="shared" si="178"/>
        <v>0</v>
      </c>
      <c r="BY74" s="1675"/>
      <c r="BZ74" s="2028"/>
      <c r="CA74" s="2025"/>
      <c r="CB74" s="3090">
        <f>BZ74+CA74*1</f>
        <v>0</v>
      </c>
      <c r="CC74" s="1664">
        <f t="shared" si="179"/>
        <v>0</v>
      </c>
      <c r="CD74" s="1675"/>
      <c r="CE74" s="2028"/>
      <c r="CF74" s="2025"/>
      <c r="CG74" s="3090">
        <f>CE74+CF74*1</f>
        <v>0</v>
      </c>
      <c r="CH74" s="1664">
        <f t="shared" si="180"/>
        <v>0</v>
      </c>
      <c r="CI74" s="1675"/>
      <c r="CJ74" s="2028"/>
      <c r="CK74" s="2025"/>
      <c r="CL74" s="3090">
        <f>CJ74+CK74*1</f>
        <v>0</v>
      </c>
      <c r="CM74" s="1664">
        <f t="shared" si="181"/>
        <v>0</v>
      </c>
      <c r="CN74" s="1675"/>
      <c r="CO74" s="2043">
        <f>M74+R74+W74+AB74+AG74+AL74+AQ74+AV74+BA74+BF74+BK74+BP74+BU74+BZ74+CE74+CJ74</f>
        <v>0</v>
      </c>
      <c r="CP74" s="2043">
        <f>N74+S74+X74+AC74+AH74+AM74+AR74+AW74+BB74+BG74+BL74+BQ74+BV74+CA74+CF74+CK74</f>
        <v>0</v>
      </c>
      <c r="CQ74" s="3090">
        <f>CO74+CP74*1</f>
        <v>0</v>
      </c>
      <c r="CR74" s="1664">
        <f>CQ74/$CQ$89</f>
        <v>0</v>
      </c>
      <c r="CS74" s="1648"/>
      <c r="CT74" s="919"/>
      <c r="CU74" s="1564"/>
      <c r="CV74" s="1564"/>
      <c r="CW74" s="1564"/>
      <c r="CX74" s="1564"/>
      <c r="CY74" s="1564"/>
      <c r="CZ74" s="1564"/>
      <c r="DA74" s="1564"/>
      <c r="DB74" s="1564"/>
      <c r="DC74" s="1564"/>
      <c r="DD74" s="1564"/>
      <c r="DE74" s="1564"/>
      <c r="DF74" s="1564"/>
      <c r="DG74" s="1564"/>
      <c r="DH74" s="1564"/>
      <c r="DI74" s="1564"/>
      <c r="DJ74" s="1564"/>
      <c r="DK74" s="1564"/>
      <c r="DL74" s="1564"/>
      <c r="DM74" s="1564"/>
      <c r="DN74" s="1564"/>
      <c r="DO74" s="1564"/>
      <c r="DP74" s="1564"/>
      <c r="DQ74" s="1564"/>
      <c r="DR74" s="1564"/>
      <c r="DS74" s="1564"/>
      <c r="DT74" s="1564"/>
      <c r="DU74" s="1564"/>
      <c r="DV74" s="1564"/>
      <c r="DW74" s="1564"/>
      <c r="DX74" s="1564"/>
      <c r="DY74" s="1564"/>
      <c r="DZ74" s="1564"/>
      <c r="EA74" s="1564"/>
      <c r="EB74" s="1564"/>
      <c r="EC74" s="1564"/>
      <c r="ED74" s="1564"/>
      <c r="EE74" s="1564"/>
      <c r="EF74" s="1564"/>
      <c r="EG74" s="1564"/>
      <c r="EH74" s="1564"/>
      <c r="EI74" s="1564"/>
      <c r="EJ74" s="1564"/>
      <c r="EK74" s="1564"/>
      <c r="EL74" s="1564"/>
      <c r="EM74" s="1564"/>
      <c r="EN74" s="1564"/>
      <c r="EO74" s="1564"/>
      <c r="EP74" s="1564"/>
      <c r="EQ74" s="1564"/>
      <c r="ER74" s="1564"/>
      <c r="ES74" s="1564"/>
      <c r="ET74" s="1564"/>
      <c r="EU74" s="1564"/>
      <c r="EV74" s="1564"/>
      <c r="EW74" s="1564"/>
      <c r="EX74" s="1564"/>
      <c r="EY74" s="1564"/>
      <c r="EZ74" s="1564"/>
      <c r="FA74" s="1564"/>
      <c r="FB74" s="1564"/>
      <c r="FC74" s="1564"/>
      <c r="FD74" s="1564"/>
      <c r="FE74" s="1564"/>
      <c r="FF74" s="1564"/>
      <c r="FG74" s="1564"/>
      <c r="FH74" s="1564"/>
      <c r="FI74" s="1564"/>
      <c r="FJ74" s="1564"/>
      <c r="FK74" s="1564"/>
      <c r="FL74" s="1564"/>
      <c r="FM74" s="1564"/>
      <c r="FN74" s="1564"/>
      <c r="FO74" s="1564"/>
      <c r="FP74" s="1564"/>
      <c r="FQ74" s="1564"/>
      <c r="FR74" s="1564"/>
      <c r="FS74" s="1564"/>
      <c r="FT74" s="1564"/>
      <c r="FU74" s="1564"/>
      <c r="FV74" s="1564"/>
    </row>
    <row r="75" spans="1:178" s="1396" customFormat="1" ht="14.4" customHeight="1" thickBot="1">
      <c r="A75" s="1399"/>
      <c r="B75" s="971" t="s">
        <v>48</v>
      </c>
      <c r="C75" s="1958">
        <f>C38-C41-C50-C54</f>
        <v>116246095.55673152</v>
      </c>
      <c r="D75" s="1958">
        <f>D38-D41-D50-D54</f>
        <v>0</v>
      </c>
      <c r="E75" s="1508">
        <f>E38-E41-E50-E54</f>
        <v>116246095.55673152</v>
      </c>
      <c r="F75" s="1536"/>
      <c r="G75" s="1450">
        <f>G38-G41-G50-G54</f>
        <v>22701516.403999995</v>
      </c>
      <c r="H75" s="1953">
        <f>H38-H41-H50-H54</f>
        <v>-4835157.6499999994</v>
      </c>
      <c r="I75" s="1958">
        <f>I38-I41-I50-I54</f>
        <v>17866358.753999982</v>
      </c>
      <c r="J75" s="1953"/>
      <c r="K75" s="1660"/>
      <c r="L75" s="1660"/>
      <c r="M75" s="1450">
        <f>M38-M41-M50-M54</f>
        <v>-914734.65200000012</v>
      </c>
      <c r="N75" s="1953">
        <f>N38-N41-N50-N54</f>
        <v>-308420.05</v>
      </c>
      <c r="O75" s="1958">
        <f>O38-O41-O50-O54</f>
        <v>-1222154.67</v>
      </c>
      <c r="P75" s="1953"/>
      <c r="Q75" s="1660"/>
      <c r="R75" s="1450">
        <f>R38-R41-R50-R54</f>
        <v>3846186.7879999997</v>
      </c>
      <c r="S75" s="1450">
        <f>S38-S41-S50-S54</f>
        <v>-706865.95000000007</v>
      </c>
      <c r="T75" s="1508">
        <f>T38-T41-T50-T54</f>
        <v>3117389.2960000001</v>
      </c>
      <c r="U75" s="1953"/>
      <c r="V75" s="1660"/>
      <c r="W75" s="1450">
        <f>W38-W41-W50-W54</f>
        <v>4727996.5</v>
      </c>
      <c r="X75" s="1450">
        <f>X38-X41-X50-X54</f>
        <v>-1039892.33</v>
      </c>
      <c r="Y75" s="1508">
        <f>Y38-Y41-Y50-Y54</f>
        <v>3350246.5020000013</v>
      </c>
      <c r="Z75" s="1953"/>
      <c r="AA75" s="1660"/>
      <c r="AB75" s="1804">
        <f>AB38-AB41-AB50-AB54</f>
        <v>8857687.0739999972</v>
      </c>
      <c r="AC75" s="1804">
        <f>AC38-AC41-AC50-AC54</f>
        <v>-1191560.0599999998</v>
      </c>
      <c r="AD75" s="1805">
        <f>AD38-AD41-AD50-AD54</f>
        <v>3020570.8720000014</v>
      </c>
      <c r="AE75" s="1806"/>
      <c r="AF75" s="1807"/>
      <c r="AG75" s="1450">
        <f>AG38-AG41-AG50-AG54</f>
        <v>10529120.508000001</v>
      </c>
      <c r="AH75" s="1450">
        <f>AH38-AH41-AH50-AH54</f>
        <v>-1641104.1999999997</v>
      </c>
      <c r="AI75" s="1508">
        <f>AI38-AI41-AI50-AI54</f>
        <v>8888016.3080000021</v>
      </c>
      <c r="AJ75" s="1953"/>
      <c r="AK75" s="1660"/>
      <c r="AL75" s="1450">
        <f>AL38-AL41-AL50-AL54</f>
        <v>4949554.9160000011</v>
      </c>
      <c r="AM75" s="1450">
        <f>AM38-AM41-AM50-AM54</f>
        <v>-1157142.7999999998</v>
      </c>
      <c r="AN75" s="1508">
        <f>AN38-AN41-AN50-AN54</f>
        <v>3792412.1160000004</v>
      </c>
      <c r="AO75" s="1953"/>
      <c r="AP75" s="1660"/>
      <c r="AQ75" s="1450">
        <f>AQ38-AQ41-AQ50-AQ54</f>
        <v>3005834.2279999987</v>
      </c>
      <c r="AR75" s="1450">
        <f>AR38-AR41-AR50-AR54</f>
        <v>-796299.77</v>
      </c>
      <c r="AS75" s="1508">
        <f>AS38-AS41-AS50-AS54</f>
        <v>2209534.4579999978</v>
      </c>
      <c r="AT75" s="1953"/>
      <c r="AU75" s="1660"/>
      <c r="AV75" s="1450">
        <f>AV38-AV41-AV50-AV54</f>
        <v>443297.9939999996</v>
      </c>
      <c r="AW75" s="1450">
        <f>AW38-AW41-AW50-AW54</f>
        <v>-661342.47999999986</v>
      </c>
      <c r="AX75" s="1508">
        <f>AX38-AX41-AX50-AX54</f>
        <v>-218044.48600000021</v>
      </c>
      <c r="AY75" s="1953"/>
      <c r="AZ75" s="1660"/>
      <c r="BA75" s="1450">
        <f>BA38-BA41-BA50-BA54</f>
        <v>931504.798000001</v>
      </c>
      <c r="BB75" s="1450">
        <f>BB38-BB41-BB50-BB54</f>
        <v>-945025.64000000013</v>
      </c>
      <c r="BC75" s="1508">
        <f>BC38-BC41-BC50-BC54</f>
        <v>-13520.841999998825</v>
      </c>
      <c r="BD75" s="1953"/>
      <c r="BE75" s="1660"/>
      <c r="BF75" s="1450">
        <f>BF38-BF41-BF50-BF54</f>
        <v>4264127.04</v>
      </c>
      <c r="BG75" s="1450">
        <f>BG38-BG41-BG50-BG54</f>
        <v>-664421.61</v>
      </c>
      <c r="BH75" s="1508">
        <f>BH38-BH41-BH50-BH54</f>
        <v>3599705.43</v>
      </c>
      <c r="BI75" s="1953"/>
      <c r="BJ75" s="1660"/>
      <c r="BK75" s="1450">
        <f>BK38-BK41-BK50-BK54</f>
        <v>5845367.8359999983</v>
      </c>
      <c r="BL75" s="1450">
        <f>BL38-BL41-BL50-BL54</f>
        <v>-1224601.43</v>
      </c>
      <c r="BM75" s="1508">
        <f>BM38-BM41-BM50-BM54</f>
        <v>4620766.4059999986</v>
      </c>
      <c r="BN75" s="1953"/>
      <c r="BO75" s="1660"/>
      <c r="BP75" s="1450">
        <f>BP38-BP41-BP50-BP54</f>
        <v>61090.574000000037</v>
      </c>
      <c r="BQ75" s="1450">
        <f>BQ38-BQ41-BQ50-BQ54</f>
        <v>-697030.29999999993</v>
      </c>
      <c r="BR75" s="1508">
        <f>BR38-BR41-BR50-BR54</f>
        <v>-635939.72600000002</v>
      </c>
      <c r="BS75" s="1953"/>
      <c r="BT75" s="1660"/>
      <c r="BU75" s="1450">
        <f>BU38-BU41-BU50-BU54</f>
        <v>-147943.13200000001</v>
      </c>
      <c r="BV75" s="1450">
        <f>BV38-BV41-BV50-BV54</f>
        <v>-350820.7</v>
      </c>
      <c r="BW75" s="1508">
        <f>BW38-BW41-BW50-BW54</f>
        <v>-498763.83200000005</v>
      </c>
      <c r="BX75" s="1953"/>
      <c r="BY75" s="1660"/>
      <c r="BZ75" s="1450">
        <f>BZ38-BZ41-BZ50-BZ54</f>
        <v>-3575543.19</v>
      </c>
      <c r="CA75" s="1450">
        <f>CA38-CA41-CA50-CA54</f>
        <v>0</v>
      </c>
      <c r="CB75" s="1508">
        <f>CB38-CB41-CB50-CB54</f>
        <v>-3575543.19</v>
      </c>
      <c r="CC75" s="1953"/>
      <c r="CD75" s="1660"/>
      <c r="CE75" s="1450">
        <f>CE38-CE41-CE50-CE54</f>
        <v>-2009530.5899999999</v>
      </c>
      <c r="CF75" s="1450">
        <f>CF38-CF41-CF50-CF54</f>
        <v>0</v>
      </c>
      <c r="CG75" s="1508">
        <f>CG38-CG41-CG50-CG54</f>
        <v>-2009530.5899999999</v>
      </c>
      <c r="CH75" s="1953"/>
      <c r="CI75" s="1660"/>
      <c r="CJ75" s="1450">
        <f>CJ38-CJ41-CJ50-CJ54</f>
        <v>0</v>
      </c>
      <c r="CK75" s="1450">
        <f>CK38-CK41-CK50-CK54</f>
        <v>0</v>
      </c>
      <c r="CL75" s="1508">
        <f>CL38-CL41-CL50-CL54</f>
        <v>0</v>
      </c>
      <c r="CM75" s="1953"/>
      <c r="CN75" s="1660"/>
      <c r="CO75" s="1450">
        <f>CO38-CO41-CO50-CO54</f>
        <v>35768671.372000001</v>
      </c>
      <c r="CP75" s="1450">
        <f>CP38-CP41-CP50-CP54</f>
        <v>-11343527.319999998</v>
      </c>
      <c r="CQ75" s="1508">
        <f>CQ38-CQ41-CQ50-CQ54</f>
        <v>24425144.051999994</v>
      </c>
      <c r="CR75" s="1953"/>
      <c r="CS75" s="1953"/>
      <c r="CT75" s="919"/>
      <c r="CU75" s="1564"/>
      <c r="CV75" s="1564"/>
      <c r="CW75" s="1564"/>
      <c r="CX75" s="1564"/>
      <c r="CY75" s="1564"/>
      <c r="CZ75" s="1564"/>
      <c r="DA75" s="1564"/>
      <c r="DB75" s="1564"/>
      <c r="DC75" s="1564"/>
      <c r="DD75" s="1564"/>
      <c r="DE75" s="1564"/>
      <c r="DF75" s="1564"/>
      <c r="DG75" s="1564"/>
      <c r="DH75" s="1564"/>
      <c r="DI75" s="1564"/>
      <c r="DJ75" s="1564"/>
      <c r="DK75" s="1564"/>
      <c r="DL75" s="1564"/>
      <c r="DM75" s="1564"/>
      <c r="DN75" s="1564"/>
      <c r="DO75" s="1564"/>
      <c r="DP75" s="1564"/>
      <c r="DQ75" s="1564"/>
      <c r="DR75" s="1564"/>
      <c r="DS75" s="1564"/>
      <c r="DT75" s="1564"/>
      <c r="DU75" s="1564"/>
      <c r="DV75" s="1564"/>
      <c r="DW75" s="1564"/>
      <c r="DX75" s="1564"/>
      <c r="DY75" s="1564"/>
      <c r="DZ75" s="1564"/>
      <c r="EA75" s="1564"/>
      <c r="EB75" s="1564"/>
      <c r="EC75" s="1564"/>
      <c r="ED75" s="1564"/>
      <c r="EE75" s="1564"/>
      <c r="EF75" s="1564"/>
      <c r="EG75" s="1564"/>
      <c r="EH75" s="1564"/>
      <c r="EI75" s="1564"/>
      <c r="EJ75" s="1564"/>
      <c r="EK75" s="1564"/>
      <c r="EL75" s="1564"/>
      <c r="EM75" s="1564"/>
      <c r="EN75" s="1564"/>
      <c r="EO75" s="1564"/>
      <c r="EP75" s="1564"/>
      <c r="EQ75" s="1564"/>
      <c r="ER75" s="1564"/>
      <c r="ES75" s="1564"/>
      <c r="ET75" s="1564"/>
      <c r="EU75" s="1564"/>
      <c r="EV75" s="1564"/>
      <c r="EW75" s="1564"/>
      <c r="EX75" s="1564"/>
      <c r="EY75" s="1564"/>
      <c r="EZ75" s="1564"/>
      <c r="FA75" s="1564"/>
      <c r="FB75" s="1564"/>
      <c r="FC75" s="1564"/>
      <c r="FD75" s="1564"/>
      <c r="FE75" s="1564"/>
      <c r="FF75" s="1564"/>
      <c r="FG75" s="1564"/>
      <c r="FH75" s="1564"/>
      <c r="FI75" s="1564"/>
      <c r="FJ75" s="1564"/>
      <c r="FK75" s="1564"/>
      <c r="FL75" s="1564"/>
      <c r="FM75" s="1564"/>
      <c r="FN75" s="1564"/>
      <c r="FO75" s="1564"/>
      <c r="FP75" s="1564"/>
      <c r="FQ75" s="1564"/>
      <c r="FR75" s="1564"/>
      <c r="FS75" s="1564"/>
      <c r="FT75" s="1564"/>
      <c r="FU75" s="1564"/>
      <c r="FV75" s="1564"/>
    </row>
    <row r="76" spans="1:178" s="1396" customFormat="1" ht="14.4" customHeight="1">
      <c r="A76" s="1566"/>
      <c r="B76" s="972" t="s">
        <v>49</v>
      </c>
      <c r="C76" s="1525">
        <f>C75/C5</f>
        <v>1</v>
      </c>
      <c r="D76" s="1525" t="e">
        <f>D75/D5</f>
        <v>#DIV/0!</v>
      </c>
      <c r="E76" s="1526">
        <f>E75/E5</f>
        <v>1</v>
      </c>
      <c r="F76" s="1531"/>
      <c r="G76" s="2003">
        <f>G75/G5</f>
        <v>0.31515307596328651</v>
      </c>
      <c r="H76" s="2004">
        <f>H75/H5</f>
        <v>-143.05200147928991</v>
      </c>
      <c r="I76" s="2003">
        <f>I75/I5</f>
        <v>0.24791282691732092</v>
      </c>
      <c r="J76" s="2004"/>
      <c r="K76" s="1661"/>
      <c r="L76" s="1661"/>
      <c r="M76" s="2003" t="e">
        <f>M75/M5</f>
        <v>#DIV/0!</v>
      </c>
      <c r="N76" s="2004" t="e">
        <f>N75/N5</f>
        <v>#DIV/0!</v>
      </c>
      <c r="O76" s="2003" t="e">
        <f>O75/O5</f>
        <v>#DIV/0!</v>
      </c>
      <c r="P76" s="2004"/>
      <c r="Q76" s="1661"/>
      <c r="R76" s="2003">
        <f>R75/R5</f>
        <v>0.60406814515180107</v>
      </c>
      <c r="S76" s="2003" t="e">
        <f>S75/S5</f>
        <v>#DIV/0!</v>
      </c>
      <c r="T76" s="2004">
        <f>T75/T5</f>
        <v>0.48866952103902106</v>
      </c>
      <c r="U76" s="2004"/>
      <c r="V76" s="1661"/>
      <c r="W76" s="2003">
        <f>W75/W5</f>
        <v>0.46954132245958513</v>
      </c>
      <c r="X76" s="2003" t="e">
        <f>X75/X5</f>
        <v>#DIV/0!</v>
      </c>
      <c r="Y76" s="2004">
        <f>Y75/Y5</f>
        <v>0.33271580744923979</v>
      </c>
      <c r="Z76" s="2004"/>
      <c r="AA76" s="1661"/>
      <c r="AB76" s="2036">
        <f>AB75/AB5</f>
        <v>0.60683411789098973</v>
      </c>
      <c r="AC76" s="2036" t="e">
        <f>AC75/AC5</f>
        <v>#DIV/0!</v>
      </c>
      <c r="AD76" s="2037">
        <f>AD75/AD5</f>
        <v>0.20645917637412883</v>
      </c>
      <c r="AE76" s="2037"/>
      <c r="AF76" s="1808"/>
      <c r="AG76" s="2003">
        <f>AG75/AG5</f>
        <v>0.25906931514821246</v>
      </c>
      <c r="AH76" s="2003" t="e">
        <f>AH75/AH5</f>
        <v>#DIV/0!</v>
      </c>
      <c r="AI76" s="2004">
        <f>AI75/AI5</f>
        <v>0.21868989876126735</v>
      </c>
      <c r="AJ76" s="2004"/>
      <c r="AK76" s="1661"/>
      <c r="AL76" s="2003">
        <f>AL75/AL5</f>
        <v>0.48904976043739162</v>
      </c>
      <c r="AM76" s="2003" t="e">
        <f>AM75/AM5</f>
        <v>#DIV/0!</v>
      </c>
      <c r="AN76" s="2004">
        <f>AN75/AN5</f>
        <v>0.37471616504631611</v>
      </c>
      <c r="AO76" s="2004"/>
      <c r="AP76" s="1661"/>
      <c r="AQ76" s="2003">
        <f>AQ75/AQ5</f>
        <v>0.3326827924422599</v>
      </c>
      <c r="AR76" s="2003" t="e">
        <f>AR75/AR5</f>
        <v>#DIV/0!</v>
      </c>
      <c r="AS76" s="2004">
        <f>AS75/AS5</f>
        <v>0.24454911273464772</v>
      </c>
      <c r="AT76" s="2004"/>
      <c r="AU76" s="1661"/>
      <c r="AV76" s="2003">
        <f>AV75/AV5</f>
        <v>0.16997115097618717</v>
      </c>
      <c r="AW76" s="2003" t="e">
        <f>AW75/AW5</f>
        <v>#DIV/0!</v>
      </c>
      <c r="AX76" s="2004">
        <f>AX75/AX5</f>
        <v>-8.3603518967043197E-2</v>
      </c>
      <c r="AY76" s="2004"/>
      <c r="AZ76" s="1661"/>
      <c r="BA76" s="2003">
        <f>BA75/BA5</f>
        <v>0.27452982382776653</v>
      </c>
      <c r="BB76" s="2003" t="e">
        <f>BB75/BB5</f>
        <v>#DIV/0!</v>
      </c>
      <c r="BC76" s="2004">
        <f>BC75/BC5</f>
        <v>-3.9848150865485288E-3</v>
      </c>
      <c r="BD76" s="2004"/>
      <c r="BE76" s="1661"/>
      <c r="BF76" s="2003">
        <f>BF75/BF5</f>
        <v>0.52874725909474518</v>
      </c>
      <c r="BG76" s="2003" t="e">
        <f>BG75/BG5</f>
        <v>#DIV/0!</v>
      </c>
      <c r="BH76" s="2004">
        <f>BH75/BH5</f>
        <v>0.4463596796733737</v>
      </c>
      <c r="BI76" s="2004"/>
      <c r="BJ76" s="1661"/>
      <c r="BK76" s="2003">
        <f>BK75/BK5</f>
        <v>0.5527686575401588</v>
      </c>
      <c r="BL76" s="2003" t="e">
        <f>BL75/BL5</f>
        <v>#DIV/0!</v>
      </c>
      <c r="BM76" s="2004">
        <f>BM75/BM5</f>
        <v>0.43696391992999706</v>
      </c>
      <c r="BN76" s="2004"/>
      <c r="BO76" s="1661"/>
      <c r="BP76" s="2003">
        <f>BP75/BP5</f>
        <v>3.6586193249008275E-2</v>
      </c>
      <c r="BQ76" s="2003">
        <f>BQ75/BQ5</f>
        <v>-16.918211165048543</v>
      </c>
      <c r="BR76" s="2004">
        <f>BR75/BR5</f>
        <v>-0.37168346474738567</v>
      </c>
      <c r="BS76" s="2004"/>
      <c r="BT76" s="1661"/>
      <c r="BU76" s="2003" t="e">
        <f>BU75/BU5</f>
        <v>#DIV/0!</v>
      </c>
      <c r="BV76" s="2003" t="e">
        <f>BV75/BV5</f>
        <v>#DIV/0!</v>
      </c>
      <c r="BW76" s="2004" t="e">
        <f>BW75/BW5</f>
        <v>#DIV/0!</v>
      </c>
      <c r="BX76" s="2004"/>
      <c r="BY76" s="1661"/>
      <c r="BZ76" s="2003" t="e">
        <f>BZ75/BZ5</f>
        <v>#DIV/0!</v>
      </c>
      <c r="CA76" s="2003" t="e">
        <f>CA75/CA5</f>
        <v>#DIV/0!</v>
      </c>
      <c r="CB76" s="2004" t="e">
        <f>CB75/CB5</f>
        <v>#DIV/0!</v>
      </c>
      <c r="CC76" s="2004"/>
      <c r="CD76" s="1661"/>
      <c r="CE76" s="2003" t="e">
        <f>CE75/CE5</f>
        <v>#DIV/0!</v>
      </c>
      <c r="CF76" s="2003" t="e">
        <f>CF75/CF5</f>
        <v>#DIV/0!</v>
      </c>
      <c r="CG76" s="2004" t="e">
        <f>CG75/CG5</f>
        <v>#DIV/0!</v>
      </c>
      <c r="CH76" s="2004"/>
      <c r="CI76" s="1661"/>
      <c r="CJ76" s="2003">
        <f>CJ75/CJ5</f>
        <v>0</v>
      </c>
      <c r="CK76" s="2003" t="e">
        <f>CK75/CK5</f>
        <v>#DIV/0!</v>
      </c>
      <c r="CL76" s="2004">
        <f>CL75/CL5</f>
        <v>0</v>
      </c>
      <c r="CM76" s="2004"/>
      <c r="CN76" s="1661"/>
      <c r="CO76" s="2003">
        <f>CO75/CO5</f>
        <v>0.30532092033685249</v>
      </c>
      <c r="CP76" s="2003">
        <f>CP75/CP5</f>
        <v>-137.99911581508513</v>
      </c>
      <c r="CQ76" s="2004">
        <f>CQ75/CQ5</f>
        <v>0.20834652849939733</v>
      </c>
      <c r="CR76" s="2004"/>
      <c r="CS76" s="2004"/>
      <c r="CT76" s="919"/>
      <c r="CU76" s="1564"/>
      <c r="CV76" s="1564"/>
      <c r="CW76" s="1564"/>
      <c r="CX76" s="1564"/>
      <c r="CY76" s="1564"/>
      <c r="CZ76" s="1564"/>
      <c r="DA76" s="1564"/>
      <c r="DB76" s="1564"/>
      <c r="DC76" s="1564"/>
      <c r="DD76" s="1564"/>
      <c r="DE76" s="1564"/>
      <c r="DF76" s="1564"/>
      <c r="DG76" s="1564"/>
      <c r="DH76" s="1564"/>
      <c r="DI76" s="1564"/>
      <c r="DJ76" s="1564"/>
      <c r="DK76" s="1564"/>
      <c r="DL76" s="1564"/>
      <c r="DM76" s="1564"/>
      <c r="DN76" s="1564"/>
      <c r="DO76" s="1564"/>
      <c r="DP76" s="1564"/>
      <c r="DQ76" s="1564"/>
      <c r="DR76" s="1564"/>
      <c r="DS76" s="1564"/>
      <c r="DT76" s="1564"/>
      <c r="DU76" s="1564"/>
      <c r="DV76" s="1564"/>
      <c r="DW76" s="1564"/>
      <c r="DX76" s="1564"/>
      <c r="DY76" s="1564"/>
      <c r="DZ76" s="1564"/>
      <c r="EA76" s="1564"/>
      <c r="EB76" s="1564"/>
      <c r="EC76" s="1564"/>
      <c r="ED76" s="1564"/>
      <c r="EE76" s="1564"/>
      <c r="EF76" s="1564"/>
      <c r="EG76" s="1564"/>
      <c r="EH76" s="1564"/>
      <c r="EI76" s="1564"/>
      <c r="EJ76" s="1564"/>
      <c r="EK76" s="1564"/>
      <c r="EL76" s="1564"/>
      <c r="EM76" s="1564"/>
      <c r="EN76" s="1564"/>
      <c r="EO76" s="1564"/>
      <c r="EP76" s="1564"/>
      <c r="EQ76" s="1564"/>
      <c r="ER76" s="1564"/>
      <c r="ES76" s="1564"/>
      <c r="ET76" s="1564"/>
      <c r="EU76" s="1564"/>
      <c r="EV76" s="1564"/>
      <c r="EW76" s="1564"/>
      <c r="EX76" s="1564"/>
      <c r="EY76" s="1564"/>
      <c r="EZ76" s="1564"/>
      <c r="FA76" s="1564"/>
      <c r="FB76" s="1564"/>
      <c r="FC76" s="1564"/>
      <c r="FD76" s="1564"/>
      <c r="FE76" s="1564"/>
      <c r="FF76" s="1564"/>
      <c r="FG76" s="1564"/>
      <c r="FH76" s="1564"/>
      <c r="FI76" s="1564"/>
      <c r="FJ76" s="1564"/>
      <c r="FK76" s="1564"/>
      <c r="FL76" s="1564"/>
      <c r="FM76" s="1564"/>
      <c r="FN76" s="1564"/>
      <c r="FO76" s="1564"/>
      <c r="FP76" s="1564"/>
      <c r="FQ76" s="1564"/>
      <c r="FR76" s="1564"/>
      <c r="FS76" s="1564"/>
      <c r="FT76" s="1564"/>
      <c r="FU76" s="1564"/>
      <c r="FV76" s="1564"/>
    </row>
    <row r="77" spans="1:178" s="1396" customFormat="1" ht="14.4" customHeight="1" outlineLevel="1" thickBot="1">
      <c r="A77" s="1566"/>
      <c r="B77" s="2843" t="s">
        <v>9</v>
      </c>
      <c r="C77" s="2953">
        <f>C78-C79</f>
        <v>0</v>
      </c>
      <c r="D77" s="2953">
        <f>D78-D79</f>
        <v>0</v>
      </c>
      <c r="E77" s="2845">
        <f>E78-E79</f>
        <v>0</v>
      </c>
      <c r="F77" s="2846"/>
      <c r="G77" s="2953">
        <f>G78-G79</f>
        <v>0</v>
      </c>
      <c r="H77" s="2845">
        <f>H78-H79</f>
        <v>0</v>
      </c>
      <c r="I77" s="2953">
        <f>I78-I79</f>
        <v>-491851.99</v>
      </c>
      <c r="J77" s="2847">
        <f t="shared" ref="J77" si="182">I77/I$89</f>
        <v>-8.9839477616340813E-3</v>
      </c>
      <c r="K77" s="2848"/>
      <c r="L77" s="2848"/>
      <c r="M77" s="2953">
        <f>M78-M79</f>
        <v>0</v>
      </c>
      <c r="N77" s="2845">
        <f>N78-N79</f>
        <v>0</v>
      </c>
      <c r="O77" s="2953">
        <f>O78-O79</f>
        <v>-34259.56</v>
      </c>
      <c r="P77" s="2847"/>
      <c r="Q77" s="2848"/>
      <c r="R77" s="2953">
        <f>R78-R79</f>
        <v>0</v>
      </c>
      <c r="S77" s="2953">
        <f>S78-S79</f>
        <v>0</v>
      </c>
      <c r="T77" s="2845">
        <f>T78-T79</f>
        <v>-68583.839999999997</v>
      </c>
      <c r="U77" s="2847"/>
      <c r="V77" s="2848"/>
      <c r="W77" s="2953">
        <f>W78-W79</f>
        <v>0</v>
      </c>
      <c r="X77" s="2953">
        <f>X78-X79</f>
        <v>0</v>
      </c>
      <c r="Y77" s="2845">
        <f>Y78-Y79</f>
        <v>-115784.57</v>
      </c>
      <c r="Z77" s="2847"/>
      <c r="AA77" s="2848"/>
      <c r="AB77" s="3181">
        <f>AB78-AB79</f>
        <v>0</v>
      </c>
      <c r="AC77" s="3181">
        <f>AC78-AC79</f>
        <v>0</v>
      </c>
      <c r="AD77" s="3019">
        <f>AD78-AD79</f>
        <v>-35288.300000000003</v>
      </c>
      <c r="AE77" s="3020"/>
      <c r="AF77" s="3021"/>
      <c r="AG77" s="2953">
        <f>AG78-AG79</f>
        <v>0</v>
      </c>
      <c r="AH77" s="2953">
        <f>AH78-AH79</f>
        <v>0</v>
      </c>
      <c r="AI77" s="2845">
        <f>AI78-AI79</f>
        <v>-237935.72</v>
      </c>
      <c r="AJ77" s="2847"/>
      <c r="AK77" s="2848"/>
      <c r="AL77" s="2953">
        <f>AL78-AL79</f>
        <v>0</v>
      </c>
      <c r="AM77" s="2953">
        <f>AM78-AM79</f>
        <v>0</v>
      </c>
      <c r="AN77" s="2845">
        <f>AN78-AN79</f>
        <v>-83665.91</v>
      </c>
      <c r="AO77" s="2847"/>
      <c r="AP77" s="2848"/>
      <c r="AQ77" s="2953">
        <f>AQ78-AQ79</f>
        <v>0</v>
      </c>
      <c r="AR77" s="2953">
        <f>AR78-AR79</f>
        <v>0</v>
      </c>
      <c r="AS77" s="2845">
        <f>AS78-AS79</f>
        <v>-129056.26</v>
      </c>
      <c r="AT77" s="2847"/>
      <c r="AU77" s="2848"/>
      <c r="AV77" s="2953">
        <f>AV78-AV79</f>
        <v>0</v>
      </c>
      <c r="AW77" s="2953">
        <f>AW78-AW79</f>
        <v>0</v>
      </c>
      <c r="AX77" s="2845">
        <f>AX78-AX79</f>
        <v>-73394.86</v>
      </c>
      <c r="AY77" s="2847"/>
      <c r="AZ77" s="2848"/>
      <c r="BA77" s="2953">
        <f>BA78-BA79</f>
        <v>0</v>
      </c>
      <c r="BB77" s="2953">
        <f>BB78-BB79</f>
        <v>0</v>
      </c>
      <c r="BC77" s="2845">
        <f>BC78-BC79</f>
        <v>-99154.77</v>
      </c>
      <c r="BD77" s="2847">
        <f>BC77/$BC$89</f>
        <v>-2.828333093626402E-2</v>
      </c>
      <c r="BE77" s="2848"/>
      <c r="BF77" s="2953">
        <f>BF78-BF79</f>
        <v>0</v>
      </c>
      <c r="BG77" s="2953">
        <f>BG78-BG79</f>
        <v>0</v>
      </c>
      <c r="BH77" s="2845">
        <f>BH78-BH79</f>
        <v>-93778.86</v>
      </c>
      <c r="BI77" s="2847">
        <f>BH77/$BC$89</f>
        <v>-2.6749883361189504E-2</v>
      </c>
      <c r="BJ77" s="2848"/>
      <c r="BK77" s="2953">
        <f>BK78-BK79</f>
        <v>0</v>
      </c>
      <c r="BL77" s="2953">
        <f>BL78-BL79</f>
        <v>0</v>
      </c>
      <c r="BM77" s="2845">
        <f>BM78-BM79</f>
        <v>-113547.81</v>
      </c>
      <c r="BN77" s="2847">
        <f t="shared" ref="BN77" si="183">BM77/BM$89</f>
        <v>-1.8714130185786687E-2</v>
      </c>
      <c r="BO77" s="2848"/>
      <c r="BP77" s="2953">
        <f>BP78-BP79</f>
        <v>0</v>
      </c>
      <c r="BQ77" s="2953">
        <f>BQ78-BQ79</f>
        <v>0</v>
      </c>
      <c r="BR77" s="2845">
        <f>BR78-BR79</f>
        <v>-101606.23</v>
      </c>
      <c r="BS77" s="2847">
        <f t="shared" ref="BS77" si="184">BR77/BR$89</f>
        <v>-4.1497045369355487E-2</v>
      </c>
      <c r="BT77" s="2848"/>
      <c r="BU77" s="2953">
        <f>BU78-BU79</f>
        <v>0</v>
      </c>
      <c r="BV77" s="2953">
        <f>BV78-BV79</f>
        <v>0</v>
      </c>
      <c r="BW77" s="2845">
        <f>BW78-BW79</f>
        <v>-41048.480000000003</v>
      </c>
      <c r="BX77" s="2847">
        <f t="shared" ref="BX77" si="185">BW77/BW$89</f>
        <v>-7.6042133696276271E-2</v>
      </c>
      <c r="BY77" s="2848"/>
      <c r="BZ77" s="2953">
        <f>BZ78-BZ79</f>
        <v>0</v>
      </c>
      <c r="CA77" s="2953">
        <f>CA78-CA79</f>
        <v>0</v>
      </c>
      <c r="CB77" s="2845">
        <f>CB78-CB79</f>
        <v>0</v>
      </c>
      <c r="CC77" s="2847">
        <f t="shared" ref="CC77" si="186">CB77/CB$89</f>
        <v>0</v>
      </c>
      <c r="CD77" s="2848"/>
      <c r="CE77" s="2953">
        <f>CE78-CE79</f>
        <v>0</v>
      </c>
      <c r="CF77" s="2953">
        <f>CF78-CF79</f>
        <v>0</v>
      </c>
      <c r="CG77" s="2845">
        <f>CG78-CG79</f>
        <v>0</v>
      </c>
      <c r="CH77" s="2847">
        <f t="shared" ref="CH77" si="187">CG77/CG$89</f>
        <v>0</v>
      </c>
      <c r="CI77" s="2848"/>
      <c r="CJ77" s="2953">
        <f>CJ78-CJ79</f>
        <v>0</v>
      </c>
      <c r="CK77" s="2953">
        <f>CK78-CK79</f>
        <v>0</v>
      </c>
      <c r="CL77" s="2845">
        <f>CL78-CL79</f>
        <v>0</v>
      </c>
      <c r="CM77" s="2847">
        <f t="shared" ref="CM77" si="188">CL77/CL$89</f>
        <v>0</v>
      </c>
      <c r="CN77" s="2848"/>
      <c r="CO77" s="2953">
        <f>CO78-CO79</f>
        <v>0</v>
      </c>
      <c r="CP77" s="2953">
        <f>CP79</f>
        <v>0</v>
      </c>
      <c r="CQ77" s="2845">
        <f>CQ78-CQ79</f>
        <v>-1227105.17</v>
      </c>
      <c r="CR77" s="2847"/>
      <c r="CS77" s="2847"/>
      <c r="CT77" s="919"/>
      <c r="CU77" s="1564"/>
      <c r="CV77" s="1564"/>
      <c r="CW77" s="1564"/>
      <c r="CX77" s="1564"/>
      <c r="CY77" s="1564"/>
      <c r="CZ77" s="1564"/>
      <c r="DA77" s="1564"/>
      <c r="DB77" s="1564"/>
      <c r="DC77" s="1564"/>
      <c r="DD77" s="1564"/>
      <c r="DE77" s="1564"/>
      <c r="DF77" s="1564"/>
      <c r="DG77" s="1564"/>
      <c r="DH77" s="1564"/>
      <c r="DI77" s="1564"/>
      <c r="DJ77" s="1564"/>
      <c r="DK77" s="1564"/>
      <c r="DL77" s="1564"/>
      <c r="DM77" s="1564"/>
      <c r="DN77" s="1564"/>
      <c r="DO77" s="1564"/>
      <c r="DP77" s="1564"/>
      <c r="DQ77" s="1564"/>
      <c r="DR77" s="1564"/>
      <c r="DS77" s="1564"/>
      <c r="DT77" s="1564"/>
      <c r="DU77" s="1564"/>
      <c r="DV77" s="1564"/>
      <c r="DW77" s="1564"/>
      <c r="DX77" s="1564"/>
      <c r="DY77" s="1564"/>
      <c r="DZ77" s="1564"/>
      <c r="EA77" s="1564"/>
      <c r="EB77" s="1564"/>
      <c r="EC77" s="1564"/>
      <c r="ED77" s="1564"/>
      <c r="EE77" s="1564"/>
      <c r="EF77" s="1564"/>
      <c r="EG77" s="1564"/>
      <c r="EH77" s="1564"/>
      <c r="EI77" s="1564"/>
      <c r="EJ77" s="1564"/>
      <c r="EK77" s="1564"/>
      <c r="EL77" s="1564"/>
      <c r="EM77" s="1564"/>
      <c r="EN77" s="1564"/>
      <c r="EO77" s="1564"/>
      <c r="EP77" s="1564"/>
      <c r="EQ77" s="1564"/>
      <c r="ER77" s="1564"/>
      <c r="ES77" s="1564"/>
      <c r="ET77" s="1564"/>
      <c r="EU77" s="1564"/>
      <c r="EV77" s="1564"/>
      <c r="EW77" s="1564"/>
      <c r="EX77" s="1564"/>
      <c r="EY77" s="1564"/>
      <c r="EZ77" s="1564"/>
      <c r="FA77" s="1564"/>
      <c r="FB77" s="1564"/>
      <c r="FC77" s="1564"/>
      <c r="FD77" s="1564"/>
      <c r="FE77" s="1564"/>
      <c r="FF77" s="1564"/>
      <c r="FG77" s="1564"/>
      <c r="FH77" s="1564"/>
      <c r="FI77" s="1564"/>
      <c r="FJ77" s="1564"/>
      <c r="FK77" s="1564"/>
      <c r="FL77" s="1564"/>
      <c r="FM77" s="1564"/>
      <c r="FN77" s="1564"/>
      <c r="FO77" s="1564"/>
      <c r="FP77" s="1564"/>
      <c r="FQ77" s="1564"/>
      <c r="FR77" s="1564"/>
      <c r="FS77" s="1564"/>
      <c r="FT77" s="1564"/>
      <c r="FU77" s="1564"/>
      <c r="FV77" s="1564"/>
    </row>
    <row r="78" spans="1:178" s="1396" customFormat="1" ht="14.4" customHeight="1" outlineLevel="2">
      <c r="A78" s="1405"/>
      <c r="B78" s="1622" t="s">
        <v>43</v>
      </c>
      <c r="C78" s="1510"/>
      <c r="D78" s="1511"/>
      <c r="E78" s="2805">
        <f>C78+D78*1.15</f>
        <v>0</v>
      </c>
      <c r="F78" s="1547"/>
      <c r="G78" s="1979">
        <v>0</v>
      </c>
      <c r="H78" s="2051">
        <v>0</v>
      </c>
      <c r="I78" s="1965">
        <f>G78+H78*1.15</f>
        <v>0</v>
      </c>
      <c r="J78" s="1967">
        <f>I78/$BC$89</f>
        <v>0</v>
      </c>
      <c r="K78" s="1662"/>
      <c r="L78" s="1662"/>
      <c r="M78" s="1979"/>
      <c r="N78" s="2051"/>
      <c r="O78" s="1965">
        <f>M78+N78*1.15</f>
        <v>0</v>
      </c>
      <c r="P78" s="1967"/>
      <c r="Q78" s="1662"/>
      <c r="R78" s="2051"/>
      <c r="S78" s="2043"/>
      <c r="T78" s="1452">
        <f>R78+S78*1.15</f>
        <v>0</v>
      </c>
      <c r="U78" s="2788"/>
      <c r="V78" s="1662"/>
      <c r="W78" s="2051"/>
      <c r="X78" s="2043"/>
      <c r="Y78" s="1452">
        <f>W78+X78*1.15</f>
        <v>0</v>
      </c>
      <c r="Z78" s="2788"/>
      <c r="AA78" s="1662"/>
      <c r="AB78" s="2056"/>
      <c r="AC78" s="2050"/>
      <c r="AD78" s="1810">
        <f>AB78+AC78*1.15</f>
        <v>0</v>
      </c>
      <c r="AE78" s="3173"/>
      <c r="AF78" s="1811"/>
      <c r="AG78" s="2051"/>
      <c r="AH78" s="2043"/>
      <c r="AI78" s="1452">
        <f>AG78+AH78*1.15</f>
        <v>0</v>
      </c>
      <c r="AJ78" s="2788"/>
      <c r="AK78" s="1662"/>
      <c r="AL78" s="2051"/>
      <c r="AM78" s="2043"/>
      <c r="AN78" s="1452">
        <f>AL78+AM78*1.15</f>
        <v>0</v>
      </c>
      <c r="AO78" s="2788"/>
      <c r="AP78" s="1662"/>
      <c r="AQ78" s="2051"/>
      <c r="AR78" s="2043"/>
      <c r="AS78" s="1452">
        <f>AQ78+AR78*1.15</f>
        <v>0</v>
      </c>
      <c r="AT78" s="2788"/>
      <c r="AU78" s="1662"/>
      <c r="AV78" s="2051"/>
      <c r="AW78" s="2043"/>
      <c r="AX78" s="1452">
        <f>AV78+AW78*1.15</f>
        <v>0</v>
      </c>
      <c r="AY78" s="2788"/>
      <c r="AZ78" s="1662"/>
      <c r="BA78" s="2051"/>
      <c r="BB78" s="2043"/>
      <c r="BC78" s="1452">
        <f>BA78+BB78*1.15</f>
        <v>0</v>
      </c>
      <c r="BD78" s="2788">
        <f>BC78/$BC$89</f>
        <v>0</v>
      </c>
      <c r="BE78" s="1662"/>
      <c r="BF78" s="2051"/>
      <c r="BG78" s="2043"/>
      <c r="BH78" s="1452">
        <f>BF78+BG78*1.15</f>
        <v>0</v>
      </c>
      <c r="BI78" s="2788">
        <f>BH78/$BC$89</f>
        <v>0</v>
      </c>
      <c r="BJ78" s="1662"/>
      <c r="BK78" s="2051"/>
      <c r="BL78" s="2043"/>
      <c r="BM78" s="1452">
        <f>BK78+BL78*1.15</f>
        <v>0</v>
      </c>
      <c r="BN78" s="2788">
        <f>BM78/$BM$89</f>
        <v>0</v>
      </c>
      <c r="BO78" s="1662"/>
      <c r="BP78" s="2051"/>
      <c r="BQ78" s="2043"/>
      <c r="BR78" s="1452">
        <f>BP78+BQ78*1.15</f>
        <v>0</v>
      </c>
      <c r="BS78" s="2788">
        <f>BR78/$BM$89</f>
        <v>0</v>
      </c>
      <c r="BT78" s="1662"/>
      <c r="BU78" s="2051"/>
      <c r="BV78" s="2043"/>
      <c r="BW78" s="1452">
        <f>BU78+BV78*1.15</f>
        <v>0</v>
      </c>
      <c r="BX78" s="2788">
        <f>BW78/$BM$89</f>
        <v>0</v>
      </c>
      <c r="BY78" s="1662"/>
      <c r="BZ78" s="2051"/>
      <c r="CA78" s="2043"/>
      <c r="CB78" s="1452">
        <f>BZ78+CA78*1.15</f>
        <v>0</v>
      </c>
      <c r="CC78" s="2788">
        <f>CB78/$BM$89</f>
        <v>0</v>
      </c>
      <c r="CD78" s="1662"/>
      <c r="CE78" s="2051"/>
      <c r="CF78" s="2043"/>
      <c r="CG78" s="1452">
        <f>CE78+CF78*1.15</f>
        <v>0</v>
      </c>
      <c r="CH78" s="2788">
        <f>CG78/$BM$89</f>
        <v>0</v>
      </c>
      <c r="CI78" s="1662"/>
      <c r="CJ78" s="2051"/>
      <c r="CK78" s="2043"/>
      <c r="CL78" s="1452">
        <f>CJ78+CK78*1.15</f>
        <v>0</v>
      </c>
      <c r="CM78" s="2788">
        <f>CL78/$BM$89</f>
        <v>0</v>
      </c>
      <c r="CN78" s="1662"/>
      <c r="CO78" s="2043">
        <f t="shared" ref="CO78:CO79" si="189">M78+R78+W78+AB78+AG78+AL78+AQ78+AV78+BA78+BF78+BK78+BP78+BU78+BZ78+CE78+CJ78</f>
        <v>0</v>
      </c>
      <c r="CP78" s="2043">
        <f t="shared" ref="CP78:CQ79" si="190">N78+S78+X78+AC78+AH78+AM78+AR78+AW78+BB78+BG78+BL78+BQ78+BV78+CA78+CF78+CK78</f>
        <v>0</v>
      </c>
      <c r="CQ78" s="3081">
        <f>CO78+CP78*1</f>
        <v>0</v>
      </c>
      <c r="CR78" s="1452"/>
      <c r="CS78" s="1452"/>
      <c r="CT78" s="919"/>
      <c r="CU78" s="1564"/>
      <c r="CV78" s="1564"/>
      <c r="CW78" s="1564"/>
      <c r="CX78" s="1564"/>
      <c r="CY78" s="1564"/>
      <c r="CZ78" s="1564"/>
      <c r="DA78" s="1564"/>
      <c r="DB78" s="1564"/>
      <c r="DC78" s="1564"/>
      <c r="DD78" s="1564"/>
      <c r="DE78" s="1564"/>
      <c r="DF78" s="1564"/>
      <c r="DG78" s="1564"/>
      <c r="DH78" s="1564"/>
      <c r="DI78" s="1564"/>
      <c r="DJ78" s="1564"/>
      <c r="DK78" s="1564"/>
      <c r="DL78" s="1564"/>
      <c r="DM78" s="1564"/>
      <c r="DN78" s="1564"/>
      <c r="DO78" s="1564"/>
      <c r="DP78" s="1564"/>
      <c r="DQ78" s="1564"/>
      <c r="DR78" s="1564"/>
      <c r="DS78" s="1564"/>
      <c r="DT78" s="1564"/>
      <c r="DU78" s="1564"/>
      <c r="DV78" s="1564"/>
      <c r="DW78" s="1564"/>
      <c r="DX78" s="1564"/>
      <c r="DY78" s="1564"/>
      <c r="DZ78" s="1564"/>
      <c r="EA78" s="1564"/>
      <c r="EB78" s="1564"/>
      <c r="EC78" s="1564"/>
      <c r="ED78" s="1564"/>
      <c r="EE78" s="1564"/>
      <c r="EF78" s="1564"/>
      <c r="EG78" s="1564"/>
      <c r="EH78" s="1564"/>
      <c r="EI78" s="1564"/>
      <c r="EJ78" s="1564"/>
      <c r="EK78" s="1564"/>
      <c r="EL78" s="1564"/>
      <c r="EM78" s="1564"/>
      <c r="EN78" s="1564"/>
      <c r="EO78" s="1564"/>
      <c r="EP78" s="1564"/>
      <c r="EQ78" s="1564"/>
      <c r="ER78" s="1564"/>
      <c r="ES78" s="1564"/>
      <c r="ET78" s="1564"/>
      <c r="EU78" s="1564"/>
      <c r="EV78" s="1564"/>
      <c r="EW78" s="1564"/>
      <c r="EX78" s="1564"/>
      <c r="EY78" s="1564"/>
      <c r="EZ78" s="1564"/>
      <c r="FA78" s="1564"/>
      <c r="FB78" s="1564"/>
      <c r="FC78" s="1564"/>
      <c r="FD78" s="1564"/>
      <c r="FE78" s="1564"/>
      <c r="FF78" s="1564"/>
      <c r="FG78" s="1564"/>
      <c r="FH78" s="1564"/>
      <c r="FI78" s="1564"/>
      <c r="FJ78" s="1564"/>
      <c r="FK78" s="1564"/>
      <c r="FL78" s="1564"/>
      <c r="FM78" s="1564"/>
      <c r="FN78" s="1564"/>
      <c r="FO78" s="1564"/>
      <c r="FP78" s="1564"/>
      <c r="FQ78" s="1564"/>
      <c r="FR78" s="1564"/>
      <c r="FS78" s="1564"/>
      <c r="FT78" s="1564"/>
      <c r="FU78" s="1564"/>
      <c r="FV78" s="1564"/>
    </row>
    <row r="79" spans="1:178" s="1396" customFormat="1" ht="14.4" customHeight="1" outlineLevel="2">
      <c r="A79" s="1405"/>
      <c r="B79" s="2789" t="s">
        <v>79</v>
      </c>
      <c r="C79" s="2790"/>
      <c r="D79" s="2805"/>
      <c r="E79" s="2805">
        <f>C79+D79*1.15</f>
        <v>0</v>
      </c>
      <c r="F79" s="2810" t="e">
        <f>E79/$E$89</f>
        <v>#DIV/0!</v>
      </c>
      <c r="G79" s="1979">
        <v>0</v>
      </c>
      <c r="H79" s="2051">
        <v>0</v>
      </c>
      <c r="I79" s="2051">
        <v>491851.99</v>
      </c>
      <c r="J79" s="3003">
        <f t="shared" ref="J79" si="191">I79/I$89</f>
        <v>8.9839477616340813E-3</v>
      </c>
      <c r="K79" s="2811"/>
      <c r="L79" s="2811"/>
      <c r="M79" s="1979"/>
      <c r="N79" s="2051"/>
      <c r="O79" s="3082">
        <v>34259.56</v>
      </c>
      <c r="P79" s="3003">
        <f>O79/$AS$89</f>
        <v>4.9261317616240132E-3</v>
      </c>
      <c r="Q79" s="2811"/>
      <c r="R79" s="2051"/>
      <c r="S79" s="2043"/>
      <c r="T79" s="3108">
        <v>68583.839999999997</v>
      </c>
      <c r="U79" s="2788">
        <f>T79/$AS$89</f>
        <v>9.8615695168922032E-3</v>
      </c>
      <c r="V79" s="2811"/>
      <c r="W79" s="2051"/>
      <c r="X79" s="3081"/>
      <c r="Y79" s="3108">
        <f>115784.57</f>
        <v>115784.57</v>
      </c>
      <c r="Z79" s="2788">
        <f>Y79/$AS$89</f>
        <v>1.6648493085812514E-2</v>
      </c>
      <c r="AA79" s="2811"/>
      <c r="AB79" s="2056"/>
      <c r="AC79" s="2050">
        <v>0</v>
      </c>
      <c r="AD79" s="3108">
        <f>35288.3</f>
        <v>35288.300000000003</v>
      </c>
      <c r="AE79" s="3173">
        <f>AD79/$AS$89</f>
        <v>5.0740527736992738E-3</v>
      </c>
      <c r="AF79" s="3174"/>
      <c r="AG79" s="2051"/>
      <c r="AH79" s="2043">
        <v>0</v>
      </c>
      <c r="AI79" s="3108">
        <f>237935.72</f>
        <v>237935.72</v>
      </c>
      <c r="AJ79" s="2788">
        <f>AI79/$AS$89</f>
        <v>3.4212427349238517E-2</v>
      </c>
      <c r="AK79" s="2811"/>
      <c r="AL79" s="2051"/>
      <c r="AM79" s="2043">
        <v>0</v>
      </c>
      <c r="AN79" s="3101">
        <f>83665.91</f>
        <v>83665.91</v>
      </c>
      <c r="AO79" s="2788">
        <f>AN79/$AN$89</f>
        <v>1.3048306147067413E-2</v>
      </c>
      <c r="AP79" s="2811"/>
      <c r="AQ79" s="2051"/>
      <c r="AR79" s="2043">
        <v>0</v>
      </c>
      <c r="AS79" s="3101">
        <f>129056.26</f>
        <v>129056.26</v>
      </c>
      <c r="AT79" s="2788">
        <f>AS79/$AS$89</f>
        <v>1.8556809877955428E-2</v>
      </c>
      <c r="AU79" s="2811"/>
      <c r="AV79" s="2051"/>
      <c r="AW79" s="2043">
        <v>0</v>
      </c>
      <c r="AX79" s="3101">
        <v>73394.86</v>
      </c>
      <c r="AY79" s="2788">
        <f>AX79/$AX$89</f>
        <v>2.5312786591247385E-2</v>
      </c>
      <c r="AZ79" s="2811"/>
      <c r="BA79" s="2051"/>
      <c r="BB79" s="2043">
        <v>0</v>
      </c>
      <c r="BC79" s="3101">
        <f>99154.77</f>
        <v>99154.77</v>
      </c>
      <c r="BD79" s="2788">
        <f>BC79/$BC$89</f>
        <v>2.828333093626402E-2</v>
      </c>
      <c r="BE79" s="2811"/>
      <c r="BF79" s="2051"/>
      <c r="BG79" s="2043">
        <v>0</v>
      </c>
      <c r="BH79" s="3101">
        <f>93778.86</f>
        <v>93778.86</v>
      </c>
      <c r="BI79" s="2788">
        <f t="shared" ref="BI79" si="192">BH79/BH$89</f>
        <v>2.057159320634289E-2</v>
      </c>
      <c r="BJ79" s="2811"/>
      <c r="BK79" s="2051"/>
      <c r="BL79" s="2043">
        <v>0</v>
      </c>
      <c r="BM79" s="3101">
        <f>113547.81</f>
        <v>113547.81</v>
      </c>
      <c r="BN79" s="2788">
        <f t="shared" ref="BN79" si="193">BM79/BM$89</f>
        <v>1.8714130185786687E-2</v>
      </c>
      <c r="BO79" s="2811"/>
      <c r="BP79" s="2051"/>
      <c r="BQ79" s="2043">
        <v>0</v>
      </c>
      <c r="BR79" s="3101">
        <f>101606.23</f>
        <v>101606.23</v>
      </c>
      <c r="BS79" s="2788">
        <f t="shared" ref="BS79" si="194">BR79/BR$89</f>
        <v>4.1497045369355487E-2</v>
      </c>
      <c r="BT79" s="2811"/>
      <c r="BU79" s="2051"/>
      <c r="BV79" s="2043">
        <v>0</v>
      </c>
      <c r="BW79" s="3101">
        <f>41048.48</f>
        <v>41048.480000000003</v>
      </c>
      <c r="BX79" s="2788">
        <f>BW79/BW$89</f>
        <v>7.6042133696276271E-2</v>
      </c>
      <c r="BY79" s="2811"/>
      <c r="BZ79" s="2051"/>
      <c r="CA79" s="2043">
        <v>0</v>
      </c>
      <c r="CB79" s="3101"/>
      <c r="CC79" s="2788">
        <f>CB79/CB$89</f>
        <v>0</v>
      </c>
      <c r="CD79" s="2811"/>
      <c r="CE79" s="2051"/>
      <c r="CF79" s="2043">
        <v>0</v>
      </c>
      <c r="CG79" s="3101"/>
      <c r="CH79" s="2788">
        <f>CG79/CG$89</f>
        <v>0</v>
      </c>
      <c r="CI79" s="2811"/>
      <c r="CJ79" s="2051"/>
      <c r="CK79" s="2043">
        <v>0</v>
      </c>
      <c r="CL79" s="3101"/>
      <c r="CM79" s="2788">
        <f>CL79/CL$89</f>
        <v>0</v>
      </c>
      <c r="CN79" s="2811"/>
      <c r="CO79" s="2043">
        <f t="shared" si="189"/>
        <v>0</v>
      </c>
      <c r="CP79" s="2043">
        <f t="shared" si="190"/>
        <v>0</v>
      </c>
      <c r="CQ79" s="2043">
        <f t="shared" si="190"/>
        <v>1227105.17</v>
      </c>
      <c r="CR79" s="2803"/>
      <c r="CS79" s="2803"/>
      <c r="CT79" s="919"/>
      <c r="CU79" s="1564"/>
      <c r="CV79" s="1564"/>
      <c r="CW79" s="1564"/>
      <c r="CX79" s="1564"/>
      <c r="CY79" s="1564"/>
      <c r="CZ79" s="1564"/>
      <c r="DA79" s="1564"/>
      <c r="DB79" s="1564"/>
      <c r="DC79" s="1564"/>
      <c r="DD79" s="1564"/>
      <c r="DE79" s="1564"/>
      <c r="DF79" s="1564"/>
      <c r="DG79" s="1564"/>
      <c r="DH79" s="1564"/>
      <c r="DI79" s="1564"/>
      <c r="DJ79" s="1564"/>
      <c r="DK79" s="1564"/>
      <c r="DL79" s="1564"/>
      <c r="DM79" s="1564"/>
      <c r="DN79" s="1564"/>
      <c r="DO79" s="1564"/>
      <c r="DP79" s="1564"/>
      <c r="DQ79" s="1564"/>
      <c r="DR79" s="1564"/>
      <c r="DS79" s="1564"/>
      <c r="DT79" s="1564"/>
      <c r="DU79" s="1564"/>
      <c r="DV79" s="1564"/>
      <c r="DW79" s="1564"/>
      <c r="DX79" s="1564"/>
      <c r="DY79" s="1564"/>
      <c r="DZ79" s="1564"/>
      <c r="EA79" s="1564"/>
      <c r="EB79" s="1564"/>
      <c r="EC79" s="1564"/>
      <c r="ED79" s="1564"/>
      <c r="EE79" s="1564"/>
      <c r="EF79" s="1564"/>
      <c r="EG79" s="1564"/>
      <c r="EH79" s="1564"/>
      <c r="EI79" s="1564"/>
      <c r="EJ79" s="1564"/>
      <c r="EK79" s="1564"/>
      <c r="EL79" s="1564"/>
      <c r="EM79" s="1564"/>
      <c r="EN79" s="1564"/>
      <c r="EO79" s="1564"/>
      <c r="EP79" s="1564"/>
      <c r="EQ79" s="1564"/>
      <c r="ER79" s="1564"/>
      <c r="ES79" s="1564"/>
      <c r="ET79" s="1564"/>
      <c r="EU79" s="1564"/>
      <c r="EV79" s="1564"/>
      <c r="EW79" s="1564"/>
      <c r="EX79" s="1564"/>
      <c r="EY79" s="1564"/>
      <c r="EZ79" s="1564"/>
      <c r="FA79" s="1564"/>
      <c r="FB79" s="1564"/>
      <c r="FC79" s="1564"/>
      <c r="FD79" s="1564"/>
      <c r="FE79" s="1564"/>
      <c r="FF79" s="1564"/>
      <c r="FG79" s="1564"/>
      <c r="FH79" s="1564"/>
      <c r="FI79" s="1564"/>
      <c r="FJ79" s="1564"/>
      <c r="FK79" s="1564"/>
      <c r="FL79" s="1564"/>
      <c r="FM79" s="1564"/>
      <c r="FN79" s="1564"/>
      <c r="FO79" s="1564"/>
      <c r="FP79" s="1564"/>
      <c r="FQ79" s="1564"/>
      <c r="FR79" s="1564"/>
      <c r="FS79" s="1564"/>
      <c r="FT79" s="1564"/>
      <c r="FU79" s="1564"/>
      <c r="FV79" s="1564"/>
    </row>
    <row r="80" spans="1:178" ht="14.4" customHeight="1" outlineLevel="2">
      <c r="A80" s="1397"/>
      <c r="B80" s="3109"/>
      <c r="C80" s="2819"/>
      <c r="D80" s="2820"/>
      <c r="E80" s="2821"/>
      <c r="F80" s="2822"/>
      <c r="G80" s="1979"/>
      <c r="H80" s="2051"/>
      <c r="I80" s="2783"/>
      <c r="J80" s="3022"/>
      <c r="K80" s="2824"/>
      <c r="L80" s="2824"/>
      <c r="M80" s="1979"/>
      <c r="N80" s="2051"/>
      <c r="O80" s="2783"/>
      <c r="P80" s="3022"/>
      <c r="Q80" s="2824"/>
      <c r="R80" s="2051"/>
      <c r="S80" s="2043"/>
      <c r="T80" s="2823"/>
      <c r="U80" s="2823"/>
      <c r="V80" s="2824"/>
      <c r="W80" s="2051"/>
      <c r="X80" s="2043"/>
      <c r="Y80" s="2823"/>
      <c r="Z80" s="2823"/>
      <c r="AA80" s="2824"/>
      <c r="AB80" s="2056"/>
      <c r="AC80" s="2050"/>
      <c r="AD80" s="3182"/>
      <c r="AE80" s="3182"/>
      <c r="AF80" s="3183"/>
      <c r="AG80" s="2051"/>
      <c r="AH80" s="2043"/>
      <c r="AI80" s="2823"/>
      <c r="AJ80" s="2823"/>
      <c r="AK80" s="2824"/>
      <c r="AL80" s="2051"/>
      <c r="AM80" s="2043"/>
      <c r="AN80" s="2823"/>
      <c r="AO80" s="2823"/>
      <c r="AP80" s="2824"/>
      <c r="AQ80" s="2051"/>
      <c r="AR80" s="2043"/>
      <c r="AS80" s="2823"/>
      <c r="AT80" s="2823"/>
      <c r="AU80" s="2824"/>
      <c r="AV80" s="2051"/>
      <c r="AW80" s="2043"/>
      <c r="AX80" s="2823"/>
      <c r="AY80" s="2823"/>
      <c r="AZ80" s="2824"/>
      <c r="BA80" s="2051"/>
      <c r="BB80" s="2043"/>
      <c r="BC80" s="2823"/>
      <c r="BD80" s="2823"/>
      <c r="BE80" s="2824"/>
      <c r="BF80" s="2051"/>
      <c r="BG80" s="2043"/>
      <c r="BH80" s="2823"/>
      <c r="BI80" s="2823"/>
      <c r="BJ80" s="2824"/>
      <c r="BK80" s="2051"/>
      <c r="BL80" s="2043"/>
      <c r="BM80" s="2823"/>
      <c r="BN80" s="2823"/>
      <c r="BO80" s="2824"/>
      <c r="BP80" s="2051"/>
      <c r="BQ80" s="2043"/>
      <c r="BR80" s="2823"/>
      <c r="BS80" s="2823"/>
      <c r="BT80" s="2824"/>
      <c r="BU80" s="2051"/>
      <c r="BV80" s="2043"/>
      <c r="BW80" s="2823"/>
      <c r="BX80" s="2823"/>
      <c r="BY80" s="2824"/>
      <c r="BZ80" s="2051"/>
      <c r="CA80" s="2043"/>
      <c r="CB80" s="2823"/>
      <c r="CC80" s="2823"/>
      <c r="CD80" s="2824"/>
      <c r="CE80" s="2051"/>
      <c r="CF80" s="2043"/>
      <c r="CG80" s="2823"/>
      <c r="CH80" s="2823"/>
      <c r="CI80" s="2824"/>
      <c r="CJ80" s="2051"/>
      <c r="CK80" s="2043"/>
      <c r="CL80" s="2823"/>
      <c r="CM80" s="2823"/>
      <c r="CN80" s="2824"/>
      <c r="CO80" s="2043">
        <f>G80+AL80+AQ80+AV80+BA80+BF80</f>
        <v>0</v>
      </c>
      <c r="CP80" s="2043">
        <f>H80+AM80+AR80+AW80+BB80+BG80</f>
        <v>0</v>
      </c>
      <c r="CQ80" s="2823">
        <f>CO80+CP80*1</f>
        <v>0</v>
      </c>
      <c r="CR80" s="2823"/>
      <c r="CS80" s="2823"/>
      <c r="CT80" s="919"/>
      <c r="CU80" s="1564"/>
      <c r="CV80" s="1564"/>
      <c r="CW80" s="1564"/>
    </row>
    <row r="81" spans="1:178" s="1396" customFormat="1" ht="14.4" customHeight="1" outlineLevel="1" thickBot="1">
      <c r="A81" s="1419"/>
      <c r="B81" s="2843" t="s">
        <v>12</v>
      </c>
      <c r="C81" s="2953">
        <f>(C75+C78)-C79</f>
        <v>116246095.55673152</v>
      </c>
      <c r="D81" s="2953">
        <f>(D75+D78)-D79</f>
        <v>0</v>
      </c>
      <c r="E81" s="2845">
        <f>(E75+E78)-E79</f>
        <v>116246095.55673152</v>
      </c>
      <c r="F81" s="2846"/>
      <c r="G81" s="2953">
        <f>(G75+G78)-G79</f>
        <v>22701516.403999995</v>
      </c>
      <c r="H81" s="2845">
        <f>(H75+H78)-H79</f>
        <v>-4835157.6499999994</v>
      </c>
      <c r="I81" s="2953">
        <f>(I75+I78)-I79</f>
        <v>17374506.763999984</v>
      </c>
      <c r="J81" s="2847"/>
      <c r="K81" s="2848"/>
      <c r="L81" s="2848"/>
      <c r="M81" s="2953">
        <f>(M75+M78)-M79</f>
        <v>-914734.65200000012</v>
      </c>
      <c r="N81" s="2845">
        <f>(N75+N78)-N79</f>
        <v>-308420.05</v>
      </c>
      <c r="O81" s="2953">
        <f>(O75+O78)-O79</f>
        <v>-1256414.23</v>
      </c>
      <c r="P81" s="2847"/>
      <c r="Q81" s="2848"/>
      <c r="R81" s="2953">
        <f>(R75+R78)-R79</f>
        <v>3846186.7879999997</v>
      </c>
      <c r="S81" s="2953">
        <f>(S75+S78)-S79</f>
        <v>-706865.95000000007</v>
      </c>
      <c r="T81" s="2845">
        <f>(T75+T78)-T79</f>
        <v>3048805.4560000002</v>
      </c>
      <c r="U81" s="2847"/>
      <c r="V81" s="2848"/>
      <c r="W81" s="2953">
        <f>(W75+W78)-W79</f>
        <v>4727996.5</v>
      </c>
      <c r="X81" s="2953">
        <f>(X75+X78)-X79</f>
        <v>-1039892.33</v>
      </c>
      <c r="Y81" s="2845">
        <f>(Y75+Y78)-Y79</f>
        <v>3234461.9320000014</v>
      </c>
      <c r="Z81" s="2847"/>
      <c r="AA81" s="2848"/>
      <c r="AB81" s="3181">
        <f>(AB75+AB78)-AB79</f>
        <v>8857687.0739999972</v>
      </c>
      <c r="AC81" s="3181">
        <f>(AC75+AC78)-AC79</f>
        <v>-1191560.0599999998</v>
      </c>
      <c r="AD81" s="3019">
        <f>(AD75+AD78)-AD79</f>
        <v>2985282.5720000016</v>
      </c>
      <c r="AE81" s="3020"/>
      <c r="AF81" s="3021"/>
      <c r="AG81" s="2953">
        <f>(AG75+AG78)-AG79</f>
        <v>10529120.508000001</v>
      </c>
      <c r="AH81" s="2953">
        <f>(AH75+AH78)-AH79</f>
        <v>-1641104.1999999997</v>
      </c>
      <c r="AI81" s="2845">
        <f>(AI75+AI78)-AI79</f>
        <v>8650080.5880000014</v>
      </c>
      <c r="AJ81" s="2847"/>
      <c r="AK81" s="2848"/>
      <c r="AL81" s="2953">
        <f>(AL75+AL78)-AL79</f>
        <v>4949554.9160000011</v>
      </c>
      <c r="AM81" s="2953">
        <f>(AM75+AM78)-AM79</f>
        <v>-1157142.7999999998</v>
      </c>
      <c r="AN81" s="2845">
        <f>(AN75+AN78)-AN79</f>
        <v>3708746.2060000002</v>
      </c>
      <c r="AO81" s="2847"/>
      <c r="AP81" s="2848"/>
      <c r="AQ81" s="2953">
        <f>(AQ75+AQ78)-AQ79</f>
        <v>3005834.2279999987</v>
      </c>
      <c r="AR81" s="2953">
        <f>(AR75+AR78)-AR79</f>
        <v>-796299.77</v>
      </c>
      <c r="AS81" s="2845">
        <f>(AS75+AS78)-AS79</f>
        <v>2080478.1979999978</v>
      </c>
      <c r="AT81" s="2847"/>
      <c r="AU81" s="2848"/>
      <c r="AV81" s="2953">
        <f>(AV75+AV78)-AV79</f>
        <v>443297.9939999996</v>
      </c>
      <c r="AW81" s="2953">
        <f>(AW75+AW78)-AW79</f>
        <v>-661342.47999999986</v>
      </c>
      <c r="AX81" s="2845">
        <f>(AX75+AX78)-AX79</f>
        <v>-291439.34600000019</v>
      </c>
      <c r="AY81" s="2847"/>
      <c r="AZ81" s="2848"/>
      <c r="BA81" s="2953">
        <f>(BA75+BA78)-BA79</f>
        <v>931504.798000001</v>
      </c>
      <c r="BB81" s="2953">
        <f>(BB75+BB78)-BB79</f>
        <v>-945025.64000000013</v>
      </c>
      <c r="BC81" s="2845">
        <f>(BC75+BC78)-BC79</f>
        <v>-112675.61199999883</v>
      </c>
      <c r="BD81" s="2847"/>
      <c r="BE81" s="2848"/>
      <c r="BF81" s="2953">
        <f>(BF75+BF78)-BF79</f>
        <v>4264127.04</v>
      </c>
      <c r="BG81" s="2953">
        <f>(BG75+BG78)-BG79</f>
        <v>-664421.61</v>
      </c>
      <c r="BH81" s="2845">
        <f>(BH75+BH78)-BH79</f>
        <v>3505926.5700000003</v>
      </c>
      <c r="BI81" s="2847"/>
      <c r="BJ81" s="2848"/>
      <c r="BK81" s="2953">
        <f>(BK75+BK78)-BK79</f>
        <v>5845367.8359999983</v>
      </c>
      <c r="BL81" s="2953">
        <f>(BL75+BL78)-BL79</f>
        <v>-1224601.43</v>
      </c>
      <c r="BM81" s="2845">
        <f>(BM75+BM78)-BM79</f>
        <v>4507218.595999999</v>
      </c>
      <c r="BN81" s="2847"/>
      <c r="BO81" s="2848"/>
      <c r="BP81" s="2953">
        <f>(BP75+BP78)-BP79</f>
        <v>61090.574000000037</v>
      </c>
      <c r="BQ81" s="2953">
        <f>(BQ75+BQ78)-BQ79</f>
        <v>-697030.29999999993</v>
      </c>
      <c r="BR81" s="2845">
        <f>(BR75+BR78)-BR79</f>
        <v>-737545.95600000001</v>
      </c>
      <c r="BS81" s="2847"/>
      <c r="BT81" s="2848"/>
      <c r="BU81" s="2953">
        <f>(BU75+BU78)-BU79</f>
        <v>-147943.13200000001</v>
      </c>
      <c r="BV81" s="2953">
        <f>(BV75+BV78)-BV79</f>
        <v>-350820.7</v>
      </c>
      <c r="BW81" s="2845">
        <f>(BW75+BW78)-BW79</f>
        <v>-539812.31200000003</v>
      </c>
      <c r="BX81" s="2847"/>
      <c r="BY81" s="2848"/>
      <c r="BZ81" s="2953">
        <f>(BZ75+BZ78)-BZ79</f>
        <v>-3575543.19</v>
      </c>
      <c r="CA81" s="2953">
        <f>(CA75+CA78)-CA79</f>
        <v>0</v>
      </c>
      <c r="CB81" s="2845">
        <f>(CB75+CB78)-CB79</f>
        <v>-3575543.19</v>
      </c>
      <c r="CC81" s="2847"/>
      <c r="CD81" s="2848"/>
      <c r="CE81" s="2953">
        <f>(CE75+CE78)-CE79</f>
        <v>-2009530.5899999999</v>
      </c>
      <c r="CF81" s="2953">
        <f>(CF75+CF78)-CF79</f>
        <v>0</v>
      </c>
      <c r="CG81" s="2845">
        <f>(CG75+CG78)-CG79</f>
        <v>-2009530.5899999999</v>
      </c>
      <c r="CH81" s="2847"/>
      <c r="CI81" s="2848"/>
      <c r="CJ81" s="2953">
        <f>(CJ75+CJ78)-CJ79</f>
        <v>0</v>
      </c>
      <c r="CK81" s="2953">
        <f>(CK75+CK78)-CK79</f>
        <v>0</v>
      </c>
      <c r="CL81" s="2845">
        <f>(CL75+CL78)-CL79</f>
        <v>0</v>
      </c>
      <c r="CM81" s="2847"/>
      <c r="CN81" s="2848"/>
      <c r="CO81" s="2953">
        <f>(CO75+CO78)-CO79</f>
        <v>35768671.372000001</v>
      </c>
      <c r="CP81" s="2953">
        <f>(CP75+CP78)-CP79</f>
        <v>-11343527.319999998</v>
      </c>
      <c r="CQ81" s="2845">
        <f>(CQ75+CQ78)-CQ79</f>
        <v>23198038.881999992</v>
      </c>
      <c r="CR81" s="2847"/>
      <c r="CS81" s="2847"/>
      <c r="CT81" s="919"/>
      <c r="CU81" s="1564"/>
      <c r="CV81" s="1564"/>
      <c r="CW81" s="1564"/>
      <c r="CX81" s="1564"/>
      <c r="CY81" s="1564"/>
      <c r="CZ81" s="1564"/>
      <c r="DA81" s="1564"/>
      <c r="DB81" s="1564"/>
      <c r="DC81" s="1564"/>
      <c r="DD81" s="1564"/>
      <c r="DE81" s="1564"/>
      <c r="DF81" s="1564"/>
      <c r="DG81" s="1564"/>
      <c r="DH81" s="1564"/>
      <c r="DI81" s="1564"/>
      <c r="DJ81" s="1564"/>
      <c r="DK81" s="1564"/>
      <c r="DL81" s="1564"/>
      <c r="DM81" s="1564"/>
      <c r="DN81" s="1564"/>
      <c r="DO81" s="1564"/>
      <c r="DP81" s="1564"/>
      <c r="DQ81" s="1564"/>
      <c r="DR81" s="1564"/>
      <c r="DS81" s="1564"/>
      <c r="DT81" s="1564"/>
      <c r="DU81" s="1564"/>
      <c r="DV81" s="1564"/>
      <c r="DW81" s="1564"/>
      <c r="DX81" s="1564"/>
      <c r="DY81" s="1564"/>
      <c r="DZ81" s="1564"/>
      <c r="EA81" s="1564"/>
      <c r="EB81" s="1564"/>
      <c r="EC81" s="1564"/>
      <c r="ED81" s="1564"/>
      <c r="EE81" s="1564"/>
      <c r="EF81" s="1564"/>
      <c r="EG81" s="1564"/>
      <c r="EH81" s="1564"/>
      <c r="EI81" s="1564"/>
      <c r="EJ81" s="1564"/>
      <c r="EK81" s="1564"/>
      <c r="EL81" s="1564"/>
      <c r="EM81" s="1564"/>
      <c r="EN81" s="1564"/>
      <c r="EO81" s="1564"/>
      <c r="EP81" s="1564"/>
      <c r="EQ81" s="1564"/>
      <c r="ER81" s="1564"/>
      <c r="ES81" s="1564"/>
      <c r="ET81" s="1564"/>
      <c r="EU81" s="1564"/>
      <c r="EV81" s="1564"/>
      <c r="EW81" s="1564"/>
      <c r="EX81" s="1564"/>
      <c r="EY81" s="1564"/>
      <c r="EZ81" s="1564"/>
      <c r="FA81" s="1564"/>
      <c r="FB81" s="1564"/>
      <c r="FC81" s="1564"/>
      <c r="FD81" s="1564"/>
      <c r="FE81" s="1564"/>
      <c r="FF81" s="1564"/>
      <c r="FG81" s="1564"/>
      <c r="FH81" s="1564"/>
      <c r="FI81" s="1564"/>
      <c r="FJ81" s="1564"/>
      <c r="FK81" s="1564"/>
      <c r="FL81" s="1564"/>
      <c r="FM81" s="1564"/>
      <c r="FN81" s="1564"/>
      <c r="FO81" s="1564"/>
      <c r="FP81" s="1564"/>
      <c r="FQ81" s="1564"/>
      <c r="FR81" s="1564"/>
      <c r="FS81" s="1564"/>
      <c r="FT81" s="1564"/>
      <c r="FU81" s="1564"/>
      <c r="FV81" s="1564"/>
    </row>
    <row r="82" spans="1:178" s="1396" customFormat="1" ht="14.4" customHeight="1" outlineLevel="2">
      <c r="A82" s="1565"/>
      <c r="B82" s="1622" t="s">
        <v>38</v>
      </c>
      <c r="C82" s="1510"/>
      <c r="D82" s="1511"/>
      <c r="E82" s="1515">
        <f>C82+D82</f>
        <v>0</v>
      </c>
      <c r="F82" s="2810" t="e">
        <f>E82/$E$89</f>
        <v>#DIV/0!</v>
      </c>
      <c r="G82" s="1979">
        <v>0</v>
      </c>
      <c r="H82" s="2051">
        <v>0</v>
      </c>
      <c r="I82" s="1964">
        <f>G82+H82</f>
        <v>0</v>
      </c>
      <c r="J82" s="1968"/>
      <c r="K82" s="1748"/>
      <c r="L82" s="1748"/>
      <c r="M82" s="1979"/>
      <c r="N82" s="2051"/>
      <c r="O82" s="1964">
        <f>M82+N82</f>
        <v>0</v>
      </c>
      <c r="P82" s="1968"/>
      <c r="Q82" s="1748"/>
      <c r="R82" s="2051"/>
      <c r="S82" s="2043"/>
      <c r="T82" s="1515">
        <f>R82+S82</f>
        <v>0</v>
      </c>
      <c r="U82" s="1476"/>
      <c r="V82" s="2046"/>
      <c r="W82" s="2051"/>
      <c r="X82" s="2043"/>
      <c r="Y82" s="1515">
        <f>W82+X82</f>
        <v>0</v>
      </c>
      <c r="Z82" s="1476"/>
      <c r="AA82" s="1748"/>
      <c r="AB82" s="2056"/>
      <c r="AC82" s="2050"/>
      <c r="AD82" s="1761">
        <f>AB82+AC82</f>
        <v>0</v>
      </c>
      <c r="AE82" s="1812"/>
      <c r="AF82" s="1813"/>
      <c r="AG82" s="2051"/>
      <c r="AH82" s="2043"/>
      <c r="AI82" s="1515">
        <f>AG82+AH82</f>
        <v>0</v>
      </c>
      <c r="AJ82" s="1476"/>
      <c r="AK82" s="2046"/>
      <c r="AL82" s="2051"/>
      <c r="AM82" s="2043"/>
      <c r="AN82" s="1515">
        <f>AL82+AM82</f>
        <v>0</v>
      </c>
      <c r="AO82" s="1476"/>
      <c r="AP82" s="2046"/>
      <c r="AQ82" s="2051"/>
      <c r="AR82" s="2043"/>
      <c r="AS82" s="1515">
        <f>AQ82+AR82</f>
        <v>0</v>
      </c>
      <c r="AT82" s="1476"/>
      <c r="AU82" s="2046"/>
      <c r="AV82" s="2051"/>
      <c r="AW82" s="2043"/>
      <c r="AX82" s="1515">
        <f>AV82+AW82</f>
        <v>0</v>
      </c>
      <c r="AY82" s="1476"/>
      <c r="AZ82" s="2046"/>
      <c r="BA82" s="2051"/>
      <c r="BB82" s="2043"/>
      <c r="BC82" s="1515">
        <f>BA82+BB82</f>
        <v>0</v>
      </c>
      <c r="BD82" s="1476"/>
      <c r="BE82" s="2046"/>
      <c r="BF82" s="2051"/>
      <c r="BG82" s="2043"/>
      <c r="BH82" s="1515">
        <f>BF82+BG82</f>
        <v>0</v>
      </c>
      <c r="BI82" s="1476"/>
      <c r="BJ82" s="2046"/>
      <c r="BK82" s="2051"/>
      <c r="BL82" s="2043"/>
      <c r="BM82" s="1515">
        <f>BK82+BL82</f>
        <v>0</v>
      </c>
      <c r="BN82" s="1476"/>
      <c r="BO82" s="2046"/>
      <c r="BP82" s="2051"/>
      <c r="BQ82" s="2043"/>
      <c r="BR82" s="1515">
        <f>BP82+BQ82</f>
        <v>0</v>
      </c>
      <c r="BS82" s="1476"/>
      <c r="BT82" s="2046"/>
      <c r="BU82" s="2051"/>
      <c r="BV82" s="2043"/>
      <c r="BW82" s="1515">
        <f>BU82+BV82</f>
        <v>0</v>
      </c>
      <c r="BX82" s="1476"/>
      <c r="BY82" s="2046"/>
      <c r="BZ82" s="2051"/>
      <c r="CA82" s="2043"/>
      <c r="CB82" s="1515">
        <f>BZ82+CA82</f>
        <v>0</v>
      </c>
      <c r="CC82" s="1476"/>
      <c r="CD82" s="2046"/>
      <c r="CE82" s="2051"/>
      <c r="CF82" s="2043"/>
      <c r="CG82" s="1515">
        <f>CE82+CF82</f>
        <v>0</v>
      </c>
      <c r="CH82" s="1476"/>
      <c r="CI82" s="2046"/>
      <c r="CJ82" s="2051"/>
      <c r="CK82" s="2043"/>
      <c r="CL82" s="1515">
        <f>CJ82+CK82</f>
        <v>0</v>
      </c>
      <c r="CM82" s="1476"/>
      <c r="CN82" s="2046"/>
      <c r="CO82" s="2043">
        <f>M82+R82+W82+AB82+AG82+AL82+AQ82+AV82+BA82+BF82+BK82+BP82+BU82+BZ82+CE82+CJ82</f>
        <v>0</v>
      </c>
      <c r="CP82" s="2043">
        <f>N82+S82+X82+AC82+AH82+AM82+AR82+AW82+BB82+BG82+BL82+BQ82+BV82+CA82+CF82+CK82</f>
        <v>0</v>
      </c>
      <c r="CQ82" s="3081">
        <f>CO82+CP82*1</f>
        <v>0</v>
      </c>
      <c r="CR82" s="1476"/>
      <c r="CS82" s="1476"/>
      <c r="CT82" s="919"/>
      <c r="CU82" s="1564"/>
      <c r="CV82" s="1564"/>
      <c r="CW82" s="1564"/>
      <c r="CX82" s="1564"/>
      <c r="CY82" s="1564"/>
      <c r="CZ82" s="1564"/>
      <c r="DA82" s="1564"/>
      <c r="DB82" s="1564"/>
      <c r="DC82" s="1564"/>
      <c r="DD82" s="1564"/>
      <c r="DE82" s="1564"/>
      <c r="DF82" s="1564"/>
      <c r="DG82" s="1564"/>
      <c r="DH82" s="1564"/>
      <c r="DI82" s="1564"/>
      <c r="DJ82" s="1564"/>
      <c r="DK82" s="1564"/>
      <c r="DL82" s="1564"/>
      <c r="DM82" s="1564"/>
      <c r="DN82" s="1564"/>
      <c r="DO82" s="1564"/>
      <c r="DP82" s="1564"/>
      <c r="DQ82" s="1564"/>
      <c r="DR82" s="1564"/>
      <c r="DS82" s="1564"/>
      <c r="DT82" s="1564"/>
      <c r="DU82" s="1564"/>
      <c r="DV82" s="1564"/>
      <c r="DW82" s="1564"/>
      <c r="DX82" s="1564"/>
      <c r="DY82" s="1564"/>
      <c r="DZ82" s="1564"/>
      <c r="EA82" s="1564"/>
      <c r="EB82" s="1564"/>
      <c r="EC82" s="1564"/>
      <c r="ED82" s="1564"/>
      <c r="EE82" s="1564"/>
      <c r="EF82" s="1564"/>
      <c r="EG82" s="1564"/>
      <c r="EH82" s="1564"/>
      <c r="EI82" s="1564"/>
      <c r="EJ82" s="1564"/>
      <c r="EK82" s="1564"/>
      <c r="EL82" s="1564"/>
      <c r="EM82" s="1564"/>
      <c r="EN82" s="1564"/>
      <c r="EO82" s="1564"/>
      <c r="EP82" s="1564"/>
      <c r="EQ82" s="1564"/>
      <c r="ER82" s="1564"/>
      <c r="ES82" s="1564"/>
      <c r="ET82" s="1564"/>
      <c r="EU82" s="1564"/>
      <c r="EV82" s="1564"/>
      <c r="EW82" s="1564"/>
      <c r="EX82" s="1564"/>
      <c r="EY82" s="1564"/>
      <c r="EZ82" s="1564"/>
      <c r="FA82" s="1564"/>
      <c r="FB82" s="1564"/>
      <c r="FC82" s="1564"/>
      <c r="FD82" s="1564"/>
      <c r="FE82" s="1564"/>
      <c r="FF82" s="1564"/>
      <c r="FG82" s="1564"/>
      <c r="FH82" s="1564"/>
      <c r="FI82" s="1564"/>
      <c r="FJ82" s="1564"/>
      <c r="FK82" s="1564"/>
      <c r="FL82" s="1564"/>
      <c r="FM82" s="1564"/>
      <c r="FN82" s="1564"/>
      <c r="FO82" s="1564"/>
      <c r="FP82" s="1564"/>
      <c r="FQ82" s="1564"/>
      <c r="FR82" s="1564"/>
      <c r="FS82" s="1564"/>
      <c r="FT82" s="1564"/>
      <c r="FU82" s="1564"/>
      <c r="FV82" s="1564"/>
    </row>
    <row r="83" spans="1:178" s="1396" customFormat="1" ht="14.4" customHeight="1" outlineLevel="1">
      <c r="A83" s="1405"/>
      <c r="B83" s="3110" t="s">
        <v>13</v>
      </c>
      <c r="C83" s="2825">
        <f>(C81+C7)-C36</f>
        <v>117107844.57751702</v>
      </c>
      <c r="D83" s="2825">
        <f>(D81+D7)-D36</f>
        <v>0</v>
      </c>
      <c r="E83" s="2825">
        <f>(E81+E7)-E36</f>
        <v>117107844.57751702</v>
      </c>
      <c r="F83" s="2826"/>
      <c r="G83" s="2825">
        <f t="shared" ref="G83:I83" si="195">(G81)-G36</f>
        <v>22646242.283999994</v>
      </c>
      <c r="H83" s="2825">
        <f t="shared" si="195"/>
        <v>-4835157.6499999994</v>
      </c>
      <c r="I83" s="2827">
        <f t="shared" si="195"/>
        <v>17319232.643999983</v>
      </c>
      <c r="J83" s="2828"/>
      <c r="K83" s="2829"/>
      <c r="L83" s="2829"/>
      <c r="M83" s="2825">
        <f>(M81)-M36</f>
        <v>-925434.81200000015</v>
      </c>
      <c r="N83" s="2825">
        <f>(N81)-N36</f>
        <v>-308420.05</v>
      </c>
      <c r="O83" s="2827">
        <f t="shared" ref="O83" si="196">(O81)-O36</f>
        <v>-1267114.3899999999</v>
      </c>
      <c r="P83" s="2828"/>
      <c r="Q83" s="2829"/>
      <c r="R83" s="2825">
        <f>(R81+R7)-R36</f>
        <v>3827813.2279999997</v>
      </c>
      <c r="S83" s="2825">
        <f>(S81+S7)-S36</f>
        <v>-699665.95000000007</v>
      </c>
      <c r="T83" s="2827">
        <f t="shared" ref="T83" si="197">(T81)-T36</f>
        <v>3025431.8960000002</v>
      </c>
      <c r="U83" s="2828"/>
      <c r="V83" s="2829"/>
      <c r="W83" s="2825">
        <f>(W81+W7)-W36</f>
        <v>4727996.5</v>
      </c>
      <c r="X83" s="2825">
        <f>(X81+X7)-X36</f>
        <v>-1039892.33</v>
      </c>
      <c r="Y83" s="2827">
        <f t="shared" ref="Y83" si="198">(Y81)-Y36</f>
        <v>3234461.9320000014</v>
      </c>
      <c r="Z83" s="2828"/>
      <c r="AA83" s="2829"/>
      <c r="AB83" s="3023">
        <f>(AB81+AB7)-AB36</f>
        <v>8836486.6739999969</v>
      </c>
      <c r="AC83" s="3023">
        <f>(AC81+AC7)-AC36</f>
        <v>-1157760.0599999998</v>
      </c>
      <c r="AD83" s="3024">
        <f t="shared" ref="AD83" si="199">(AD81)-AD36</f>
        <v>2964082.1720000017</v>
      </c>
      <c r="AE83" s="3025"/>
      <c r="AF83" s="3026"/>
      <c r="AG83" s="2825">
        <f>(AG81+AG7)-AG36</f>
        <v>10529120.508000001</v>
      </c>
      <c r="AH83" s="2825">
        <f>(AH81+AH7)-AH36</f>
        <v>-1641104.1999999997</v>
      </c>
      <c r="AI83" s="2827">
        <f t="shared" ref="AI83" si="200">(AI81)-AI36</f>
        <v>8650080.5880000014</v>
      </c>
      <c r="AJ83" s="2828"/>
      <c r="AK83" s="2829"/>
      <c r="AL83" s="2825">
        <f t="shared" ref="AL83:AN83" si="201">(AL81)-AL36</f>
        <v>4949554.9160000011</v>
      </c>
      <c r="AM83" s="2825">
        <f t="shared" si="201"/>
        <v>-1157142.7999999998</v>
      </c>
      <c r="AN83" s="2827">
        <f t="shared" si="201"/>
        <v>3708746.2060000002</v>
      </c>
      <c r="AO83" s="2828"/>
      <c r="AP83" s="2829"/>
      <c r="AQ83" s="2825">
        <f t="shared" ref="AQ83:AS83" si="202">(AQ81)-AQ36</f>
        <v>3005834.2279999987</v>
      </c>
      <c r="AR83" s="2825">
        <f t="shared" si="202"/>
        <v>-796299.77</v>
      </c>
      <c r="AS83" s="2827">
        <f t="shared" si="202"/>
        <v>2080478.1979999978</v>
      </c>
      <c r="AT83" s="2828"/>
      <c r="AU83" s="2829"/>
      <c r="AV83" s="2825">
        <f t="shared" ref="AV83:AX83" si="203">(AV81)-AV36</f>
        <v>443297.9939999996</v>
      </c>
      <c r="AW83" s="2825">
        <f t="shared" si="203"/>
        <v>-661342.47999999986</v>
      </c>
      <c r="AX83" s="2827">
        <f t="shared" si="203"/>
        <v>-291439.34600000019</v>
      </c>
      <c r="AY83" s="2828"/>
      <c r="AZ83" s="2829"/>
      <c r="BA83" s="2825">
        <f t="shared" ref="BA83:BC83" si="204">(BA81)-BA36</f>
        <v>931504.798000001</v>
      </c>
      <c r="BB83" s="2825">
        <f t="shared" si="204"/>
        <v>-945025.64000000013</v>
      </c>
      <c r="BC83" s="2827">
        <f t="shared" si="204"/>
        <v>-112675.61199999883</v>
      </c>
      <c r="BD83" s="2828"/>
      <c r="BE83" s="2829"/>
      <c r="BF83" s="2825">
        <f t="shared" ref="BF83:BH83" si="205">(BF81)-BF36</f>
        <v>4264127.04</v>
      </c>
      <c r="BG83" s="2825">
        <f t="shared" si="205"/>
        <v>-664421.61</v>
      </c>
      <c r="BH83" s="2827">
        <f t="shared" si="205"/>
        <v>3505926.5700000003</v>
      </c>
      <c r="BI83" s="2828"/>
      <c r="BJ83" s="2829"/>
      <c r="BK83" s="2825">
        <f>(BK81+BK7)-BK36</f>
        <v>5845367.8359999983</v>
      </c>
      <c r="BL83" s="2825">
        <f>(BL81+BL7)-BL36</f>
        <v>-1224601.43</v>
      </c>
      <c r="BM83" s="2827">
        <f>(BM81+BM7)-BM36</f>
        <v>4507218.595999999</v>
      </c>
      <c r="BN83" s="2828"/>
      <c r="BO83" s="2829"/>
      <c r="BP83" s="2825">
        <f>(BP81+BP7)-BP36</f>
        <v>61090.574000000037</v>
      </c>
      <c r="BQ83" s="2825">
        <f>(BQ81+BQ7)-BQ36</f>
        <v>-655830.29999999993</v>
      </c>
      <c r="BR83" s="2827">
        <f>(BR81)-BR36</f>
        <v>-737545.95600000001</v>
      </c>
      <c r="BS83" s="2828"/>
      <c r="BT83" s="2829"/>
      <c r="BU83" s="2825">
        <f>(BU81)-BU36</f>
        <v>-147943.13200000001</v>
      </c>
      <c r="BV83" s="2825">
        <f>(BV81+BV7)-BV36</f>
        <v>-350820.7</v>
      </c>
      <c r="BW83" s="2827">
        <f>(BW81)-BW36</f>
        <v>-539812.31200000003</v>
      </c>
      <c r="BX83" s="2828"/>
      <c r="BY83" s="2829"/>
      <c r="BZ83" s="2825">
        <f>(BZ81)-BZ36</f>
        <v>-3575543.19</v>
      </c>
      <c r="CA83" s="2825">
        <f>(CA81+CA7)-CA36</f>
        <v>0</v>
      </c>
      <c r="CB83" s="2827">
        <f>(CB81)-CB36</f>
        <v>-3575543.19</v>
      </c>
      <c r="CC83" s="2828"/>
      <c r="CD83" s="2829"/>
      <c r="CE83" s="2825">
        <f>(CE81)-CE36</f>
        <v>-2009530.5899999999</v>
      </c>
      <c r="CF83" s="2825">
        <f>(CF81+CF7)-CF36</f>
        <v>0</v>
      </c>
      <c r="CG83" s="2827">
        <f>(CG81)-CG36</f>
        <v>-2009530.5899999999</v>
      </c>
      <c r="CH83" s="2828"/>
      <c r="CI83" s="2829"/>
      <c r="CJ83" s="2825">
        <f>(CJ81)-CJ36</f>
        <v>0</v>
      </c>
      <c r="CK83" s="2825">
        <f>(CK81+CK7)-CK36</f>
        <v>0</v>
      </c>
      <c r="CL83" s="2827">
        <f>(CL81)-CL36</f>
        <v>0</v>
      </c>
      <c r="CM83" s="2828"/>
      <c r="CN83" s="2829"/>
      <c r="CO83" s="2825">
        <f t="shared" ref="CO83:CQ83" si="206">(CO81)-CO36</f>
        <v>35713397.252000004</v>
      </c>
      <c r="CP83" s="2825">
        <f t="shared" si="206"/>
        <v>-11343527.319999998</v>
      </c>
      <c r="CQ83" s="2827">
        <f t="shared" si="206"/>
        <v>23142764.761999991</v>
      </c>
      <c r="CR83" s="2828"/>
      <c r="CS83" s="2829"/>
      <c r="CT83" s="919"/>
      <c r="CU83" s="1564"/>
      <c r="CV83" s="1564"/>
      <c r="CW83" s="1564"/>
      <c r="CX83" s="1564"/>
      <c r="CY83" s="1564"/>
      <c r="CZ83" s="1564"/>
      <c r="DA83" s="1564"/>
      <c r="DB83" s="1564"/>
      <c r="DC83" s="1564"/>
      <c r="DD83" s="1564"/>
      <c r="DE83" s="1564"/>
      <c r="DF83" s="1564"/>
      <c r="DG83" s="1564"/>
      <c r="DH83" s="1564"/>
      <c r="DI83" s="1564"/>
      <c r="DJ83" s="1564"/>
      <c r="DK83" s="1564"/>
      <c r="DL83" s="1564"/>
      <c r="DM83" s="1564"/>
      <c r="DN83" s="1564"/>
      <c r="DO83" s="1564"/>
      <c r="DP83" s="1564"/>
      <c r="DQ83" s="1564"/>
      <c r="DR83" s="1564"/>
      <c r="DS83" s="1564"/>
      <c r="DT83" s="1564"/>
      <c r="DU83" s="1564"/>
      <c r="DV83" s="1564"/>
      <c r="DW83" s="1564"/>
      <c r="DX83" s="1564"/>
      <c r="DY83" s="1564"/>
      <c r="DZ83" s="1564"/>
      <c r="EA83" s="1564"/>
      <c r="EB83" s="1564"/>
      <c r="EC83" s="1564"/>
      <c r="ED83" s="1564"/>
      <c r="EE83" s="1564"/>
      <c r="EF83" s="1564"/>
      <c r="EG83" s="1564"/>
      <c r="EH83" s="1564"/>
      <c r="EI83" s="1564"/>
      <c r="EJ83" s="1564"/>
      <c r="EK83" s="1564"/>
      <c r="EL83" s="1564"/>
      <c r="EM83" s="1564"/>
      <c r="EN83" s="1564"/>
      <c r="EO83" s="1564"/>
      <c r="EP83" s="1564"/>
      <c r="EQ83" s="1564"/>
      <c r="ER83" s="1564"/>
      <c r="ES83" s="1564"/>
      <c r="ET83" s="1564"/>
      <c r="EU83" s="1564"/>
      <c r="EV83" s="1564"/>
      <c r="EW83" s="1564"/>
      <c r="EX83" s="1564"/>
      <c r="EY83" s="1564"/>
      <c r="EZ83" s="1564"/>
      <c r="FA83" s="1564"/>
      <c r="FB83" s="1564"/>
      <c r="FC83" s="1564"/>
      <c r="FD83" s="1564"/>
      <c r="FE83" s="1564"/>
      <c r="FF83" s="1564"/>
      <c r="FG83" s="1564"/>
      <c r="FH83" s="1564"/>
      <c r="FI83" s="1564"/>
      <c r="FJ83" s="1564"/>
      <c r="FK83" s="1564"/>
      <c r="FL83" s="1564"/>
      <c r="FM83" s="1564"/>
      <c r="FN83" s="1564"/>
      <c r="FO83" s="1564"/>
      <c r="FP83" s="1564"/>
      <c r="FQ83" s="1564"/>
      <c r="FR83" s="1564"/>
      <c r="FS83" s="1564"/>
      <c r="FT83" s="1564"/>
      <c r="FU83" s="1564"/>
      <c r="FV83" s="1564"/>
    </row>
    <row r="84" spans="1:178" s="1396" customFormat="1" ht="14.4" customHeight="1" outlineLevel="1" thickBot="1">
      <c r="A84" s="1405"/>
      <c r="B84" s="2849" t="s">
        <v>14</v>
      </c>
      <c r="C84" s="2976">
        <f>C83-C73-C82</f>
        <v>117107844.57751702</v>
      </c>
      <c r="D84" s="2976">
        <f>D83-D73-D82</f>
        <v>0</v>
      </c>
      <c r="E84" s="2976">
        <f>E83-E73-E82</f>
        <v>117107844.57751702</v>
      </c>
      <c r="F84" s="2851"/>
      <c r="G84" s="2976">
        <f>G83-G73-G82</f>
        <v>22646242.283999994</v>
      </c>
      <c r="H84" s="2852">
        <f>H83-H73-H82</f>
        <v>-4835157.6499999994</v>
      </c>
      <c r="I84" s="2976">
        <f>I83-I73-I82</f>
        <v>17319232.643999983</v>
      </c>
      <c r="J84" s="2853"/>
      <c r="K84" s="2854"/>
      <c r="L84" s="2854"/>
      <c r="M84" s="2976">
        <f>M83-M73-M82</f>
        <v>-925434.81200000015</v>
      </c>
      <c r="N84" s="2852">
        <f>N83-N73-N82</f>
        <v>-308420.05</v>
      </c>
      <c r="O84" s="2976">
        <f>O83-O73-O82</f>
        <v>-1267114.3899999999</v>
      </c>
      <c r="P84" s="2853"/>
      <c r="Q84" s="2854"/>
      <c r="R84" s="2852">
        <f>R83-R73-R82</f>
        <v>3827813.2279999997</v>
      </c>
      <c r="S84" s="2852">
        <f>S83-S73-S82</f>
        <v>-699665.95000000007</v>
      </c>
      <c r="T84" s="2852">
        <f>T83-T73-T82</f>
        <v>3025431.8960000002</v>
      </c>
      <c r="U84" s="2853"/>
      <c r="V84" s="2854"/>
      <c r="W84" s="2852">
        <f>W83-W73-W82</f>
        <v>4727996.5</v>
      </c>
      <c r="X84" s="2852">
        <f>X83-X73-X82</f>
        <v>-1039892.33</v>
      </c>
      <c r="Y84" s="2852">
        <f>Y83-Y73-Y82</f>
        <v>3234461.9320000014</v>
      </c>
      <c r="Z84" s="2853"/>
      <c r="AA84" s="2854"/>
      <c r="AB84" s="3027">
        <f>AB83-AB73-AB82</f>
        <v>8836486.6739999969</v>
      </c>
      <c r="AC84" s="3027">
        <f>AC83-AC73-AC82</f>
        <v>-1157760.0599999998</v>
      </c>
      <c r="AD84" s="3027">
        <f>AD83-AD73-AD82</f>
        <v>2964082.1720000017</v>
      </c>
      <c r="AE84" s="3028"/>
      <c r="AF84" s="3029"/>
      <c r="AG84" s="2852">
        <f>AG83-AG73-AG82</f>
        <v>10529120.508000001</v>
      </c>
      <c r="AH84" s="2852">
        <f>AH83-AH73-AH82</f>
        <v>-1641104.1999999997</v>
      </c>
      <c r="AI84" s="2852">
        <f>AI83-AI73-AI82</f>
        <v>8650080.5880000014</v>
      </c>
      <c r="AJ84" s="2853"/>
      <c r="AK84" s="2854"/>
      <c r="AL84" s="2852">
        <f>AL83-AL73-AL82</f>
        <v>4949554.9160000011</v>
      </c>
      <c r="AM84" s="2852">
        <f>AM83-AM73-AM82</f>
        <v>-1157142.7999999998</v>
      </c>
      <c r="AN84" s="2852">
        <f>AN83-AN73-AN82</f>
        <v>3708746.2060000002</v>
      </c>
      <c r="AO84" s="2853"/>
      <c r="AP84" s="2854"/>
      <c r="AQ84" s="2852">
        <f>AQ83-AQ73-AQ82</f>
        <v>3005834.2279999987</v>
      </c>
      <c r="AR84" s="2852">
        <f>AR83-AR73-AR82</f>
        <v>-796299.77</v>
      </c>
      <c r="AS84" s="2852">
        <f>AS83-AS73-AS82</f>
        <v>2080478.1979999978</v>
      </c>
      <c r="AT84" s="2853"/>
      <c r="AU84" s="2854"/>
      <c r="AV84" s="2852">
        <f>AV83-AV73-AV82</f>
        <v>443297.9939999996</v>
      </c>
      <c r="AW84" s="2852">
        <f>AW83-AW73-AW82</f>
        <v>-661342.47999999986</v>
      </c>
      <c r="AX84" s="2852">
        <f>AX83-AX73-AX82</f>
        <v>-291439.34600000019</v>
      </c>
      <c r="AY84" s="2853"/>
      <c r="AZ84" s="2854"/>
      <c r="BA84" s="2852">
        <f>BA83-BA73-BA82</f>
        <v>931504.798000001</v>
      </c>
      <c r="BB84" s="2852">
        <f>BB83-BB73-BB82</f>
        <v>-945025.64000000013</v>
      </c>
      <c r="BC84" s="2852">
        <f>BC83-BC73-BC82</f>
        <v>-112675.61199999883</v>
      </c>
      <c r="BD84" s="2853"/>
      <c r="BE84" s="2854"/>
      <c r="BF84" s="2852">
        <f>BF83-BF73-BF82</f>
        <v>4264127.04</v>
      </c>
      <c r="BG84" s="2852">
        <f>BG83-BG73-BG82</f>
        <v>-664421.61</v>
      </c>
      <c r="BH84" s="2852">
        <f>BH83-BH73-BH82</f>
        <v>3505926.5700000003</v>
      </c>
      <c r="BI84" s="2853"/>
      <c r="BJ84" s="2854"/>
      <c r="BK84" s="2852">
        <f>BK83-BK73-BK82</f>
        <v>5845367.8359999983</v>
      </c>
      <c r="BL84" s="2852">
        <f>BL83-BL73-BL82</f>
        <v>-1224601.43</v>
      </c>
      <c r="BM84" s="2852">
        <f>BM83-BM73-BM82</f>
        <v>4507218.595999999</v>
      </c>
      <c r="BN84" s="2853"/>
      <c r="BO84" s="2854"/>
      <c r="BP84" s="2852">
        <f>BP83-BP73-BP82</f>
        <v>61090.574000000037</v>
      </c>
      <c r="BQ84" s="2852">
        <f>BQ83-BQ73-BQ82</f>
        <v>-655830.29999999993</v>
      </c>
      <c r="BR84" s="2852">
        <f>BR83-BR73-BR82</f>
        <v>-737545.95600000001</v>
      </c>
      <c r="BS84" s="2853"/>
      <c r="BT84" s="2854"/>
      <c r="BU84" s="2852">
        <f>BU83-BU73-BU82</f>
        <v>-147943.13200000001</v>
      </c>
      <c r="BV84" s="2852">
        <f>BV83-BV73-BV82</f>
        <v>-350820.7</v>
      </c>
      <c r="BW84" s="2852">
        <f>BW83-BW73-BW82</f>
        <v>-539812.31200000003</v>
      </c>
      <c r="BX84" s="2853"/>
      <c r="BY84" s="2854"/>
      <c r="BZ84" s="2852">
        <f>BZ83-BZ73-BZ82</f>
        <v>-3575543.19</v>
      </c>
      <c r="CA84" s="2852">
        <f>CA83-CA73-CA82</f>
        <v>0</v>
      </c>
      <c r="CB84" s="2852">
        <f>CB83-CB73-CB82</f>
        <v>-3575543.19</v>
      </c>
      <c r="CC84" s="2853"/>
      <c r="CD84" s="2854"/>
      <c r="CE84" s="2852">
        <f>CE83-CE73-CE82</f>
        <v>-2009530.5899999999</v>
      </c>
      <c r="CF84" s="2852">
        <f>CF83-CF73-CF82</f>
        <v>0</v>
      </c>
      <c r="CG84" s="2852">
        <f>CG83-CG73-CG82</f>
        <v>-2009530.5899999999</v>
      </c>
      <c r="CH84" s="2853"/>
      <c r="CI84" s="2854"/>
      <c r="CJ84" s="2852">
        <f>CJ83-CJ73-CJ82</f>
        <v>0</v>
      </c>
      <c r="CK84" s="2852">
        <f>CK83-CK73-CK82</f>
        <v>0</v>
      </c>
      <c r="CL84" s="2852">
        <f>CL83-CL73-CL82</f>
        <v>0</v>
      </c>
      <c r="CM84" s="2853"/>
      <c r="CN84" s="2854"/>
      <c r="CO84" s="2852">
        <f>CO83-CO73-CO82</f>
        <v>35713397.252000004</v>
      </c>
      <c r="CP84" s="2852">
        <f>CP83-CP73-CP82</f>
        <v>-11343527.319999998</v>
      </c>
      <c r="CQ84" s="2852">
        <f>CQ83-CQ73-CQ82</f>
        <v>23142764.761999991</v>
      </c>
      <c r="CR84" s="2853"/>
      <c r="CS84" s="2853"/>
      <c r="CT84" s="919"/>
      <c r="CU84" s="1564"/>
      <c r="CV84" s="1564"/>
      <c r="CW84" s="1564"/>
      <c r="CX84" s="1564"/>
      <c r="CY84" s="1564"/>
      <c r="CZ84" s="1564"/>
      <c r="DA84" s="1564"/>
      <c r="DB84" s="1564"/>
      <c r="DC84" s="1564"/>
      <c r="DD84" s="1564"/>
      <c r="DE84" s="1564"/>
      <c r="DF84" s="1564"/>
      <c r="DG84" s="1564"/>
      <c r="DH84" s="1564"/>
      <c r="DI84" s="1564"/>
      <c r="DJ84" s="1564"/>
      <c r="DK84" s="1564"/>
      <c r="DL84" s="1564"/>
      <c r="DM84" s="1564"/>
      <c r="DN84" s="1564"/>
      <c r="DO84" s="1564"/>
      <c r="DP84" s="1564"/>
      <c r="DQ84" s="1564"/>
      <c r="DR84" s="1564"/>
      <c r="DS84" s="1564"/>
      <c r="DT84" s="1564"/>
      <c r="DU84" s="1564"/>
      <c r="DV84" s="1564"/>
      <c r="DW84" s="1564"/>
      <c r="DX84" s="1564"/>
      <c r="DY84" s="1564"/>
      <c r="DZ84" s="1564"/>
      <c r="EA84" s="1564"/>
      <c r="EB84" s="1564"/>
      <c r="EC84" s="1564"/>
      <c r="ED84" s="1564"/>
      <c r="EE84" s="1564"/>
      <c r="EF84" s="1564"/>
      <c r="EG84" s="1564"/>
      <c r="EH84" s="1564"/>
      <c r="EI84" s="1564"/>
      <c r="EJ84" s="1564"/>
      <c r="EK84" s="1564"/>
      <c r="EL84" s="1564"/>
      <c r="EM84" s="1564"/>
      <c r="EN84" s="1564"/>
      <c r="EO84" s="1564"/>
      <c r="EP84" s="1564"/>
      <c r="EQ84" s="1564"/>
      <c r="ER84" s="1564"/>
      <c r="ES84" s="1564"/>
      <c r="ET84" s="1564"/>
      <c r="EU84" s="1564"/>
      <c r="EV84" s="1564"/>
      <c r="EW84" s="1564"/>
      <c r="EX84" s="1564"/>
      <c r="EY84" s="1564"/>
      <c r="EZ84" s="1564"/>
      <c r="FA84" s="1564"/>
      <c r="FB84" s="1564"/>
      <c r="FC84" s="1564"/>
      <c r="FD84" s="1564"/>
      <c r="FE84" s="1564"/>
      <c r="FF84" s="1564"/>
      <c r="FG84" s="1564"/>
      <c r="FH84" s="1564"/>
      <c r="FI84" s="1564"/>
      <c r="FJ84" s="1564"/>
      <c r="FK84" s="1564"/>
      <c r="FL84" s="1564"/>
      <c r="FM84" s="1564"/>
      <c r="FN84" s="1564"/>
      <c r="FO84" s="1564"/>
      <c r="FP84" s="1564"/>
      <c r="FQ84" s="1564"/>
      <c r="FR84" s="1564"/>
      <c r="FS84" s="1564"/>
      <c r="FT84" s="1564"/>
      <c r="FU84" s="1564"/>
      <c r="FV84" s="1564"/>
    </row>
    <row r="85" spans="1:178" s="1396" customFormat="1" ht="14.4" customHeight="1" outlineLevel="3">
      <c r="A85" s="1565"/>
      <c r="B85" s="1424" t="s">
        <v>44</v>
      </c>
      <c r="C85" s="1486"/>
      <c r="D85" s="1091"/>
      <c r="E85" s="1092">
        <f>C85+D85</f>
        <v>0</v>
      </c>
      <c r="F85" s="1587" t="e">
        <f>E85/$E$89</f>
        <v>#DIV/0!</v>
      </c>
      <c r="G85" s="1979">
        <v>0</v>
      </c>
      <c r="H85" s="2051">
        <v>0</v>
      </c>
      <c r="I85" s="3082">
        <f>G85+H85*1</f>
        <v>0</v>
      </c>
      <c r="J85" s="1968"/>
      <c r="K85" s="1748"/>
      <c r="L85" s="1748"/>
      <c r="M85" s="1979"/>
      <c r="N85" s="2051"/>
      <c r="O85" s="3082">
        <f>M85+N85*1</f>
        <v>0</v>
      </c>
      <c r="P85" s="1968"/>
      <c r="Q85" s="1748"/>
      <c r="R85" s="2051"/>
      <c r="S85" s="2043"/>
      <c r="T85" s="3081">
        <f>R85+S85*1</f>
        <v>0</v>
      </c>
      <c r="U85" s="1476"/>
      <c r="V85" s="1748"/>
      <c r="W85" s="2051"/>
      <c r="X85" s="2043"/>
      <c r="Y85" s="3081">
        <f>W85+X85*1</f>
        <v>0</v>
      </c>
      <c r="Z85" s="1476"/>
      <c r="AA85" s="1748"/>
      <c r="AB85" s="2056"/>
      <c r="AC85" s="2050"/>
      <c r="AD85" s="3101">
        <f>AB85+AC85*1</f>
        <v>0</v>
      </c>
      <c r="AE85" s="1812"/>
      <c r="AF85" s="1813"/>
      <c r="AG85" s="2051"/>
      <c r="AH85" s="2043"/>
      <c r="AI85" s="3081">
        <f>AG85+AH85*1</f>
        <v>0</v>
      </c>
      <c r="AJ85" s="1476"/>
      <c r="AK85" s="1748"/>
      <c r="AL85" s="2051"/>
      <c r="AM85" s="2043"/>
      <c r="AN85" s="3081">
        <f>AL85+AM85*1</f>
        <v>0</v>
      </c>
      <c r="AO85" s="1476"/>
      <c r="AP85" s="1748"/>
      <c r="AQ85" s="2051"/>
      <c r="AR85" s="2043"/>
      <c r="AS85" s="3081">
        <f>AQ85+AR85*1</f>
        <v>0</v>
      </c>
      <c r="AT85" s="1476"/>
      <c r="AU85" s="1748"/>
      <c r="AV85" s="2051"/>
      <c r="AW85" s="2043"/>
      <c r="AX85" s="3081">
        <f>AV85+AW85*1</f>
        <v>0</v>
      </c>
      <c r="AY85" s="1476"/>
      <c r="AZ85" s="1748"/>
      <c r="BA85" s="2051"/>
      <c r="BB85" s="2043"/>
      <c r="BC85" s="3081">
        <f>BA85+BB85*1</f>
        <v>0</v>
      </c>
      <c r="BD85" s="1476"/>
      <c r="BE85" s="1748"/>
      <c r="BF85" s="2051"/>
      <c r="BG85" s="2043"/>
      <c r="BH85" s="3081">
        <f>BF85+BG85*1</f>
        <v>0</v>
      </c>
      <c r="BI85" s="1476"/>
      <c r="BJ85" s="1748"/>
      <c r="BK85" s="2051"/>
      <c r="BL85" s="2043"/>
      <c r="BM85" s="3081">
        <f>BK85+BL85*1</f>
        <v>0</v>
      </c>
      <c r="BN85" s="1476"/>
      <c r="BO85" s="1748"/>
      <c r="BP85" s="2051"/>
      <c r="BQ85" s="2043"/>
      <c r="BR85" s="3081">
        <f>BP85+BQ85*1</f>
        <v>0</v>
      </c>
      <c r="BS85" s="1476"/>
      <c r="BT85" s="1748"/>
      <c r="BU85" s="2051"/>
      <c r="BV85" s="2043"/>
      <c r="BW85" s="3081">
        <f>BU85+BV85*1</f>
        <v>0</v>
      </c>
      <c r="BX85" s="1476"/>
      <c r="BY85" s="1748"/>
      <c r="BZ85" s="2051"/>
      <c r="CA85" s="2043"/>
      <c r="CB85" s="3081">
        <f>BZ85+CA85*1</f>
        <v>0</v>
      </c>
      <c r="CC85" s="1476"/>
      <c r="CD85" s="1748"/>
      <c r="CE85" s="2051"/>
      <c r="CF85" s="2043"/>
      <c r="CG85" s="3081">
        <f>CE85+CF85*1</f>
        <v>0</v>
      </c>
      <c r="CH85" s="1476"/>
      <c r="CI85" s="1748"/>
      <c r="CJ85" s="2051"/>
      <c r="CK85" s="2043"/>
      <c r="CL85" s="3081">
        <f>CJ85+CK85*1</f>
        <v>0</v>
      </c>
      <c r="CM85" s="1476"/>
      <c r="CN85" s="1748"/>
      <c r="CO85" s="2043">
        <f>M85+R85+W85+AB85+AG85+AL85+AQ85+AV85+BA85+BF85+BK85+BP85+BU85+BZ85+CE85+CJ85</f>
        <v>0</v>
      </c>
      <c r="CP85" s="2043">
        <f>N85+S85+X85+AC85+AH85+AM85+AR85+AW85+BB85+BG85+BL85+BQ85+BV85+CA85+CF85+CK85</f>
        <v>0</v>
      </c>
      <c r="CQ85" s="3081">
        <f>CO85+CP85</f>
        <v>0</v>
      </c>
      <c r="CR85" s="1476"/>
      <c r="CS85" s="1476"/>
      <c r="CT85" s="920"/>
      <c r="CU85" s="1564"/>
      <c r="CV85" s="1564"/>
      <c r="CW85" s="1564"/>
      <c r="CX85" s="1564"/>
      <c r="CY85" s="1564"/>
      <c r="CZ85" s="1564"/>
      <c r="DA85" s="1564"/>
      <c r="DB85" s="1564"/>
      <c r="DC85" s="1564"/>
      <c r="DD85" s="1564"/>
      <c r="DE85" s="1564"/>
      <c r="DF85" s="1564"/>
      <c r="DG85" s="1564"/>
      <c r="DH85" s="1564"/>
      <c r="DI85" s="1564"/>
      <c r="DJ85" s="1564"/>
      <c r="DK85" s="1564"/>
      <c r="DL85" s="1564"/>
      <c r="DM85" s="1564"/>
      <c r="DN85" s="1564"/>
      <c r="DO85" s="1564"/>
      <c r="DP85" s="1564"/>
      <c r="DQ85" s="1564"/>
      <c r="DR85" s="1564"/>
      <c r="DS85" s="1564"/>
      <c r="DT85" s="1564"/>
      <c r="DU85" s="1564"/>
      <c r="DV85" s="1564"/>
      <c r="DW85" s="1564"/>
      <c r="DX85" s="1564"/>
      <c r="DY85" s="1564"/>
      <c r="DZ85" s="1564"/>
      <c r="EA85" s="1564"/>
      <c r="EB85" s="1564"/>
      <c r="EC85" s="1564"/>
      <c r="ED85" s="1564"/>
      <c r="EE85" s="1564"/>
      <c r="EF85" s="1564"/>
      <c r="EG85" s="1564"/>
      <c r="EH85" s="1564"/>
      <c r="EI85" s="1564"/>
      <c r="EJ85" s="1564"/>
      <c r="EK85" s="1564"/>
      <c r="EL85" s="1564"/>
      <c r="EM85" s="1564"/>
      <c r="EN85" s="1564"/>
      <c r="EO85" s="1564"/>
      <c r="EP85" s="1564"/>
      <c r="EQ85" s="1564"/>
      <c r="ER85" s="1564"/>
      <c r="ES85" s="1564"/>
      <c r="ET85" s="1564"/>
      <c r="EU85" s="1564"/>
      <c r="EV85" s="1564"/>
      <c r="EW85" s="1564"/>
      <c r="EX85" s="1564"/>
      <c r="EY85" s="1564"/>
      <c r="EZ85" s="1564"/>
      <c r="FA85" s="1564"/>
      <c r="FB85" s="1564"/>
      <c r="FC85" s="1564"/>
      <c r="FD85" s="1564"/>
      <c r="FE85" s="1564"/>
      <c r="FF85" s="1564"/>
      <c r="FG85" s="1564"/>
      <c r="FH85" s="1564"/>
      <c r="FI85" s="1564"/>
      <c r="FJ85" s="1564"/>
      <c r="FK85" s="1564"/>
      <c r="FL85" s="1564"/>
      <c r="FM85" s="1564"/>
      <c r="FN85" s="1564"/>
      <c r="FO85" s="1564"/>
      <c r="FP85" s="1564"/>
      <c r="FQ85" s="1564"/>
      <c r="FR85" s="1564"/>
      <c r="FS85" s="1564"/>
      <c r="FT85" s="1564"/>
      <c r="FU85" s="1564"/>
      <c r="FV85" s="1564"/>
    </row>
    <row r="86" spans="1:178" s="1396" customFormat="1" ht="28.95" customHeight="1">
      <c r="A86" s="1405"/>
      <c r="B86" s="3111" t="s">
        <v>50</v>
      </c>
      <c r="C86" s="2830">
        <f>C84-C85</f>
        <v>117107844.57751702</v>
      </c>
      <c r="D86" s="2830">
        <f>D84-D85</f>
        <v>0</v>
      </c>
      <c r="E86" s="2831">
        <f>E84-E85</f>
        <v>117107844.57751702</v>
      </c>
      <c r="F86" s="2832"/>
      <c r="G86" s="2830">
        <f>G84-G85</f>
        <v>22646242.283999994</v>
      </c>
      <c r="H86" s="2831">
        <f>H84-H85</f>
        <v>-4835157.6499999994</v>
      </c>
      <c r="I86" s="2830">
        <f>I84-I85</f>
        <v>17319232.643999983</v>
      </c>
      <c r="J86" s="2833"/>
      <c r="K86" s="2829"/>
      <c r="L86" s="2829"/>
      <c r="M86" s="2830">
        <f>M84-M85</f>
        <v>-925434.81200000015</v>
      </c>
      <c r="N86" s="2831">
        <f>N84-N85</f>
        <v>-308420.05</v>
      </c>
      <c r="O86" s="2830">
        <f>O84-O85</f>
        <v>-1267114.3899999999</v>
      </c>
      <c r="P86" s="2833"/>
      <c r="Q86" s="2829"/>
      <c r="R86" s="2831">
        <f>R84-R85</f>
        <v>3827813.2279999997</v>
      </c>
      <c r="S86" s="2831">
        <f>S84-S85</f>
        <v>-699665.95000000007</v>
      </c>
      <c r="T86" s="2831">
        <f>T84-T85</f>
        <v>3025431.8960000002</v>
      </c>
      <c r="U86" s="2833"/>
      <c r="V86" s="2829"/>
      <c r="W86" s="2831">
        <f>W84-W85</f>
        <v>4727996.5</v>
      </c>
      <c r="X86" s="2831">
        <f>X84-X85</f>
        <v>-1039892.33</v>
      </c>
      <c r="Y86" s="2831">
        <f>Y84-Y85</f>
        <v>3234461.9320000014</v>
      </c>
      <c r="Z86" s="2833"/>
      <c r="AA86" s="2829"/>
      <c r="AB86" s="3024">
        <f>AB84-AB85</f>
        <v>8836486.6739999969</v>
      </c>
      <c r="AC86" s="3024">
        <f>AC84-AC85</f>
        <v>-1157760.0599999998</v>
      </c>
      <c r="AD86" s="3024">
        <f>AD84-AD85</f>
        <v>2964082.1720000017</v>
      </c>
      <c r="AE86" s="3025"/>
      <c r="AF86" s="3026"/>
      <c r="AG86" s="2831">
        <f>AG84-AG85</f>
        <v>10529120.508000001</v>
      </c>
      <c r="AH86" s="2831">
        <f>AH84-AH85</f>
        <v>-1641104.1999999997</v>
      </c>
      <c r="AI86" s="2831">
        <f>AI84-AI85</f>
        <v>8650080.5880000014</v>
      </c>
      <c r="AJ86" s="2833"/>
      <c r="AK86" s="2829"/>
      <c r="AL86" s="2831">
        <f>AL84-AL85</f>
        <v>4949554.9160000011</v>
      </c>
      <c r="AM86" s="2831">
        <f>AM84-AM85</f>
        <v>-1157142.7999999998</v>
      </c>
      <c r="AN86" s="2831">
        <f>AN84-AN85</f>
        <v>3708746.2060000002</v>
      </c>
      <c r="AO86" s="2833"/>
      <c r="AP86" s="2829"/>
      <c r="AQ86" s="2831">
        <f>AQ84-AQ85</f>
        <v>3005834.2279999987</v>
      </c>
      <c r="AR86" s="2831">
        <f>AR84-AR85</f>
        <v>-796299.77</v>
      </c>
      <c r="AS86" s="2831">
        <f>AS84-AS85</f>
        <v>2080478.1979999978</v>
      </c>
      <c r="AT86" s="2833"/>
      <c r="AU86" s="2829"/>
      <c r="AV86" s="2831">
        <f>AV84-AV85</f>
        <v>443297.9939999996</v>
      </c>
      <c r="AW86" s="2831">
        <f>AW84-AW85</f>
        <v>-661342.47999999986</v>
      </c>
      <c r="AX86" s="2831">
        <f>AX84-AX85</f>
        <v>-291439.34600000019</v>
      </c>
      <c r="AY86" s="2833"/>
      <c r="AZ86" s="2829"/>
      <c r="BA86" s="2831">
        <f>BA84-BA85</f>
        <v>931504.798000001</v>
      </c>
      <c r="BB86" s="2831">
        <f>BB84-BB85</f>
        <v>-945025.64000000013</v>
      </c>
      <c r="BC86" s="2831">
        <f>BC84-BC85</f>
        <v>-112675.61199999883</v>
      </c>
      <c r="BD86" s="2833"/>
      <c r="BE86" s="2829"/>
      <c r="BF86" s="2831">
        <f>BF84-BF85</f>
        <v>4264127.04</v>
      </c>
      <c r="BG86" s="2831">
        <f>BG84-BG85</f>
        <v>-664421.61</v>
      </c>
      <c r="BH86" s="2831">
        <f>BH84-BH85</f>
        <v>3505926.5700000003</v>
      </c>
      <c r="BI86" s="2833"/>
      <c r="BJ86" s="2829"/>
      <c r="BK86" s="2831">
        <f>BK84-BK85</f>
        <v>5845367.8359999983</v>
      </c>
      <c r="BL86" s="2831">
        <f>BL84-BL85</f>
        <v>-1224601.43</v>
      </c>
      <c r="BM86" s="2831">
        <f>BM84-BM85</f>
        <v>4507218.595999999</v>
      </c>
      <c r="BN86" s="2833"/>
      <c r="BO86" s="2829"/>
      <c r="BP86" s="2831">
        <f>BP84-BP85</f>
        <v>61090.574000000037</v>
      </c>
      <c r="BQ86" s="2831">
        <f>BQ84-BQ85</f>
        <v>-655830.29999999993</v>
      </c>
      <c r="BR86" s="2831">
        <f>BR84-BR85</f>
        <v>-737545.95600000001</v>
      </c>
      <c r="BS86" s="2833"/>
      <c r="BT86" s="2829"/>
      <c r="BU86" s="2831">
        <f>BU84-BU85</f>
        <v>-147943.13200000001</v>
      </c>
      <c r="BV86" s="2831">
        <f>BV84-BV85</f>
        <v>-350820.7</v>
      </c>
      <c r="BW86" s="2831">
        <f>BW84-BW85</f>
        <v>-539812.31200000003</v>
      </c>
      <c r="BX86" s="2833"/>
      <c r="BY86" s="2829"/>
      <c r="BZ86" s="2831">
        <f>BZ84-BZ85</f>
        <v>-3575543.19</v>
      </c>
      <c r="CA86" s="2831">
        <f>CA84-CA85</f>
        <v>0</v>
      </c>
      <c r="CB86" s="2831">
        <f>CB84-CB85</f>
        <v>-3575543.19</v>
      </c>
      <c r="CC86" s="2833"/>
      <c r="CD86" s="2829"/>
      <c r="CE86" s="2831">
        <f>CE84-CE85</f>
        <v>-2009530.5899999999</v>
      </c>
      <c r="CF86" s="2831">
        <f>CF84-CF85</f>
        <v>0</v>
      </c>
      <c r="CG86" s="2831">
        <f>CG84-CG85</f>
        <v>-2009530.5899999999</v>
      </c>
      <c r="CH86" s="2833"/>
      <c r="CI86" s="2829"/>
      <c r="CJ86" s="2831">
        <f>CJ84-CJ85</f>
        <v>0</v>
      </c>
      <c r="CK86" s="2831">
        <f>CK84-CK85</f>
        <v>0</v>
      </c>
      <c r="CL86" s="2831">
        <f>CL84-CL85</f>
        <v>0</v>
      </c>
      <c r="CM86" s="2833"/>
      <c r="CN86" s="2829"/>
      <c r="CO86" s="2831">
        <f>CO84-CO85</f>
        <v>35713397.252000004</v>
      </c>
      <c r="CP86" s="2831">
        <f>CP84-CP85</f>
        <v>-11343527.319999998</v>
      </c>
      <c r="CQ86" s="2831">
        <f>CQ84-CQ85</f>
        <v>23142764.761999991</v>
      </c>
      <c r="CR86" s="2833"/>
      <c r="CS86" s="2833"/>
      <c r="CT86" s="920"/>
      <c r="CU86" s="1564"/>
      <c r="CV86" s="1564"/>
      <c r="CW86" s="1564"/>
      <c r="CX86" s="1564"/>
      <c r="CY86" s="1564"/>
      <c r="CZ86" s="1564"/>
      <c r="DA86" s="1564"/>
      <c r="DB86" s="1564"/>
      <c r="DC86" s="1564"/>
      <c r="DD86" s="1564"/>
      <c r="DE86" s="1564"/>
      <c r="DF86" s="1564"/>
      <c r="DG86" s="1564"/>
      <c r="DH86" s="1564"/>
      <c r="DI86" s="1564"/>
      <c r="DJ86" s="1564"/>
      <c r="DK86" s="1564"/>
      <c r="DL86" s="1564"/>
      <c r="DM86" s="1564"/>
      <c r="DN86" s="1564"/>
      <c r="DO86" s="1564"/>
      <c r="DP86" s="1564"/>
      <c r="DQ86" s="1564"/>
      <c r="DR86" s="1564"/>
      <c r="DS86" s="1564"/>
      <c r="DT86" s="1564"/>
      <c r="DU86" s="1564"/>
      <c r="DV86" s="1564"/>
      <c r="DW86" s="1564"/>
      <c r="DX86" s="1564"/>
      <c r="DY86" s="1564"/>
      <c r="DZ86" s="1564"/>
      <c r="EA86" s="1564"/>
      <c r="EB86" s="1564"/>
      <c r="EC86" s="1564"/>
      <c r="ED86" s="1564"/>
      <c r="EE86" s="1564"/>
      <c r="EF86" s="1564"/>
      <c r="EG86" s="1564"/>
      <c r="EH86" s="1564"/>
      <c r="EI86" s="1564"/>
      <c r="EJ86" s="1564"/>
      <c r="EK86" s="1564"/>
      <c r="EL86" s="1564"/>
      <c r="EM86" s="1564"/>
      <c r="EN86" s="1564"/>
      <c r="EO86" s="1564"/>
      <c r="EP86" s="1564"/>
      <c r="EQ86" s="1564"/>
      <c r="ER86" s="1564"/>
      <c r="ES86" s="1564"/>
      <c r="ET86" s="1564"/>
      <c r="EU86" s="1564"/>
      <c r="EV86" s="1564"/>
      <c r="EW86" s="1564"/>
      <c r="EX86" s="1564"/>
      <c r="EY86" s="1564"/>
      <c r="EZ86" s="1564"/>
      <c r="FA86" s="1564"/>
      <c r="FB86" s="1564"/>
      <c r="FC86" s="1564"/>
      <c r="FD86" s="1564"/>
      <c r="FE86" s="1564"/>
      <c r="FF86" s="1564"/>
      <c r="FG86" s="1564"/>
      <c r="FH86" s="1564"/>
      <c r="FI86" s="1564"/>
      <c r="FJ86" s="1564"/>
      <c r="FK86" s="1564"/>
      <c r="FL86" s="1564"/>
      <c r="FM86" s="1564"/>
      <c r="FN86" s="1564"/>
      <c r="FO86" s="1564"/>
      <c r="FP86" s="1564"/>
      <c r="FQ86" s="1564"/>
      <c r="FR86" s="1564"/>
      <c r="FS86" s="1564"/>
      <c r="FT86" s="1564"/>
      <c r="FU86" s="1564"/>
      <c r="FV86" s="1564"/>
    </row>
    <row r="87" spans="1:178" s="1396" customFormat="1" ht="14.4" customHeight="1" thickBot="1">
      <c r="A87" s="1567"/>
      <c r="B87" s="2855" t="s">
        <v>51</v>
      </c>
      <c r="C87" s="2989">
        <f>C86/C5</f>
        <v>1.0074131437848159</v>
      </c>
      <c r="D87" s="2990" t="e">
        <f>D86/D5</f>
        <v>#DIV/0!</v>
      </c>
      <c r="E87" s="2858">
        <f>E86/E5</f>
        <v>1.0074131437848159</v>
      </c>
      <c r="F87" s="2859"/>
      <c r="G87" s="2989">
        <f>G86/G5</f>
        <v>0.31438573475888598</v>
      </c>
      <c r="H87" s="3030">
        <f>H86/H5</f>
        <v>-143.05200147928991</v>
      </c>
      <c r="I87" s="2989">
        <f>I86/I5</f>
        <v>0.24032092850769063</v>
      </c>
      <c r="J87" s="2860"/>
      <c r="K87" s="2861"/>
      <c r="L87" s="2861"/>
      <c r="M87" s="2989" t="e">
        <f>M86/M5</f>
        <v>#DIV/0!</v>
      </c>
      <c r="N87" s="3030" t="e">
        <f>N86/N5</f>
        <v>#DIV/0!</v>
      </c>
      <c r="O87" s="2989" t="e">
        <f>O86/O5</f>
        <v>#DIV/0!</v>
      </c>
      <c r="P87" s="2860"/>
      <c r="Q87" s="2861"/>
      <c r="R87" s="2989">
        <f>R86/R5</f>
        <v>0.60118246046699497</v>
      </c>
      <c r="S87" s="2990" t="e">
        <f>S86/S5</f>
        <v>#DIV/0!</v>
      </c>
      <c r="T87" s="2858">
        <f>T86/T5</f>
        <v>0.47425464553032115</v>
      </c>
      <c r="U87" s="2860"/>
      <c r="V87" s="2861"/>
      <c r="W87" s="2989">
        <f>W86/W5</f>
        <v>0.46954132245958513</v>
      </c>
      <c r="X87" s="2990" t="e">
        <f>X86/X5</f>
        <v>#DIV/0!</v>
      </c>
      <c r="Y87" s="2858">
        <f>Y86/Y5</f>
        <v>0.32121714408977786</v>
      </c>
      <c r="Z87" s="2860"/>
      <c r="AA87" s="2861"/>
      <c r="AB87" s="3184">
        <f>AB86/AB5</f>
        <v>0.60538169290403121</v>
      </c>
      <c r="AC87" s="3185" t="e">
        <f>AC86/AC5</f>
        <v>#DIV/0!</v>
      </c>
      <c r="AD87" s="3031">
        <f>AD86/AD5</f>
        <v>0.20259811468391825</v>
      </c>
      <c r="AE87" s="3032"/>
      <c r="AF87" s="3033"/>
      <c r="AG87" s="2989">
        <f>AG86/AG5</f>
        <v>0.25906931514821246</v>
      </c>
      <c r="AH87" s="2990" t="e">
        <f>AH86/AH5</f>
        <v>#DIV/0!</v>
      </c>
      <c r="AI87" s="2858">
        <f>AI86/AI5</f>
        <v>0.21283548347721187</v>
      </c>
      <c r="AJ87" s="2860"/>
      <c r="AK87" s="2861"/>
      <c r="AL87" s="2989">
        <f>AL86/AL5</f>
        <v>0.48904976043739162</v>
      </c>
      <c r="AM87" s="2990" t="e">
        <f>AM86/AM5</f>
        <v>#DIV/0!</v>
      </c>
      <c r="AN87" s="2858">
        <f>AN86/AN5</f>
        <v>0.36644940289564104</v>
      </c>
      <c r="AO87" s="2860"/>
      <c r="AP87" s="2861"/>
      <c r="AQ87" s="2989">
        <f>AQ86/AQ5</f>
        <v>0.3326827924422599</v>
      </c>
      <c r="AR87" s="2990" t="e">
        <f>AR86/AR5</f>
        <v>#DIV/0!</v>
      </c>
      <c r="AS87" s="2858">
        <f>AS86/AS5</f>
        <v>0.23026529210375352</v>
      </c>
      <c r="AT87" s="2860"/>
      <c r="AU87" s="2861"/>
      <c r="AV87" s="2989">
        <f>AV86/AV5</f>
        <v>0.16997115097618717</v>
      </c>
      <c r="AW87" s="2990" t="e">
        <f>AW86/AW5</f>
        <v>#DIV/0!</v>
      </c>
      <c r="AX87" s="2858">
        <f>AX86/AX5</f>
        <v>-0.11174487985471762</v>
      </c>
      <c r="AY87" s="2860"/>
      <c r="AZ87" s="2861"/>
      <c r="BA87" s="2989">
        <f>BA86/BA5</f>
        <v>0.27452982382776653</v>
      </c>
      <c r="BB87" s="2990" t="e">
        <f>BB86/BB5</f>
        <v>#DIV/0!</v>
      </c>
      <c r="BC87" s="2858">
        <f>BC86/BC5</f>
        <v>-3.3207360797775969E-2</v>
      </c>
      <c r="BD87" s="2860"/>
      <c r="BE87" s="2861"/>
      <c r="BF87" s="2989">
        <f>BF86/BF5</f>
        <v>0.52874725909474518</v>
      </c>
      <c r="BG87" s="2990" t="e">
        <f>BG86/BG5</f>
        <v>#DIV/0!</v>
      </c>
      <c r="BH87" s="2858">
        <f>BH86/BH5</f>
        <v>0.43473119986475389</v>
      </c>
      <c r="BI87" s="2860"/>
      <c r="BJ87" s="2861"/>
      <c r="BK87" s="2989">
        <f>BK86/BK5</f>
        <v>0.5527686575401588</v>
      </c>
      <c r="BL87" s="2990" t="e">
        <f>BL86/BL5</f>
        <v>#DIV/0!</v>
      </c>
      <c r="BM87" s="2858">
        <f>BM86/BM5</f>
        <v>0.42622624314706331</v>
      </c>
      <c r="BN87" s="2860"/>
      <c r="BO87" s="2861"/>
      <c r="BP87" s="2989">
        <f>BP86/BP5</f>
        <v>3.6586193249008275E-2</v>
      </c>
      <c r="BQ87" s="2990">
        <f>BQ86/BQ5</f>
        <v>-15.918211165048541</v>
      </c>
      <c r="BR87" s="2858">
        <f>BR86/BR5</f>
        <v>-0.43106858264819714</v>
      </c>
      <c r="BS87" s="2860"/>
      <c r="BT87" s="2861"/>
      <c r="BU87" s="2989" t="e">
        <f>BU86/BU5</f>
        <v>#DIV/0!</v>
      </c>
      <c r="BV87" s="2990" t="e">
        <f>BV86/BV5</f>
        <v>#DIV/0!</v>
      </c>
      <c r="BW87" s="2858" t="e">
        <f>BW86/BW5</f>
        <v>#DIV/0!</v>
      </c>
      <c r="BX87" s="2860"/>
      <c r="BY87" s="2861"/>
      <c r="BZ87" s="2989" t="e">
        <f>BZ86/BZ5</f>
        <v>#DIV/0!</v>
      </c>
      <c r="CA87" s="2990" t="e">
        <f>CA86/CA5</f>
        <v>#DIV/0!</v>
      </c>
      <c r="CB87" s="2858" t="e">
        <f>CB86/CB5</f>
        <v>#DIV/0!</v>
      </c>
      <c r="CC87" s="2860"/>
      <c r="CD87" s="2861"/>
      <c r="CE87" s="2989" t="e">
        <f>CE86/CE5</f>
        <v>#DIV/0!</v>
      </c>
      <c r="CF87" s="2990" t="e">
        <f>CF86/CF5</f>
        <v>#DIV/0!</v>
      </c>
      <c r="CG87" s="2858" t="e">
        <f>CG86/CG5</f>
        <v>#DIV/0!</v>
      </c>
      <c r="CH87" s="2860"/>
      <c r="CI87" s="2861"/>
      <c r="CJ87" s="2989">
        <f>CJ86/CJ5</f>
        <v>0</v>
      </c>
      <c r="CK87" s="2990" t="e">
        <f>CK86/CK5</f>
        <v>#DIV/0!</v>
      </c>
      <c r="CL87" s="2858">
        <f>CL86/CL5</f>
        <v>0</v>
      </c>
      <c r="CM87" s="2860"/>
      <c r="CN87" s="2861"/>
      <c r="CO87" s="2989">
        <v>0.01</v>
      </c>
      <c r="CP87" s="2990">
        <f>CP86/CP5</f>
        <v>-137.99911581508513</v>
      </c>
      <c r="CQ87" s="2858">
        <f>CQ86/CQ5</f>
        <v>0.19740783054444525</v>
      </c>
      <c r="CR87" s="2860"/>
      <c r="CS87" s="2860"/>
      <c r="CT87" s="920"/>
      <c r="CU87" s="1564"/>
      <c r="CV87" s="1564"/>
      <c r="CW87" s="1564"/>
      <c r="CX87" s="1564"/>
      <c r="CY87" s="1564"/>
      <c r="CZ87" s="1564"/>
      <c r="DA87" s="1564"/>
      <c r="DB87" s="1564"/>
      <c r="DC87" s="1564"/>
      <c r="DD87" s="1564"/>
      <c r="DE87" s="1564"/>
      <c r="DF87" s="1564"/>
      <c r="DG87" s="1564"/>
      <c r="DH87" s="1564"/>
      <c r="DI87" s="1564"/>
      <c r="DJ87" s="1564"/>
      <c r="DK87" s="1564"/>
      <c r="DL87" s="1564"/>
      <c r="DM87" s="1564"/>
      <c r="DN87" s="1564"/>
      <c r="DO87" s="1564"/>
      <c r="DP87" s="1564"/>
      <c r="DQ87" s="1564"/>
      <c r="DR87" s="1564"/>
      <c r="DS87" s="1564"/>
      <c r="DT87" s="1564"/>
      <c r="DU87" s="1564"/>
      <c r="DV87" s="1564"/>
      <c r="DW87" s="1564"/>
      <c r="DX87" s="1564"/>
      <c r="DY87" s="1564"/>
      <c r="DZ87" s="1564"/>
      <c r="EA87" s="1564"/>
      <c r="EB87" s="1564"/>
      <c r="EC87" s="1564"/>
      <c r="ED87" s="1564"/>
      <c r="EE87" s="1564"/>
      <c r="EF87" s="1564"/>
      <c r="EG87" s="1564"/>
      <c r="EH87" s="1564"/>
      <c r="EI87" s="1564"/>
      <c r="EJ87" s="1564"/>
      <c r="EK87" s="1564"/>
      <c r="EL87" s="1564"/>
      <c r="EM87" s="1564"/>
      <c r="EN87" s="1564"/>
      <c r="EO87" s="1564"/>
      <c r="EP87" s="1564"/>
      <c r="EQ87" s="1564"/>
      <c r="ER87" s="1564"/>
      <c r="ES87" s="1564"/>
      <c r="ET87" s="1564"/>
      <c r="EU87" s="1564"/>
      <c r="EV87" s="1564"/>
      <c r="EW87" s="1564"/>
      <c r="EX87" s="1564"/>
      <c r="EY87" s="1564"/>
      <c r="EZ87" s="1564"/>
      <c r="FA87" s="1564"/>
      <c r="FB87" s="1564"/>
      <c r="FC87" s="1564"/>
      <c r="FD87" s="1564"/>
      <c r="FE87" s="1564"/>
      <c r="FF87" s="1564"/>
      <c r="FG87" s="1564"/>
      <c r="FH87" s="1564"/>
      <c r="FI87" s="1564"/>
      <c r="FJ87" s="1564"/>
      <c r="FK87" s="1564"/>
      <c r="FL87" s="1564"/>
      <c r="FM87" s="1564"/>
      <c r="FN87" s="1564"/>
      <c r="FO87" s="1564"/>
      <c r="FP87" s="1564"/>
      <c r="FQ87" s="1564"/>
      <c r="FR87" s="1564"/>
      <c r="FS87" s="1564"/>
      <c r="FT87" s="1564"/>
      <c r="FU87" s="1564"/>
      <c r="FV87" s="1564"/>
    </row>
    <row r="88" spans="1:178" ht="13.8">
      <c r="A88" s="1423"/>
      <c r="B88" s="1423"/>
      <c r="C88" s="1521"/>
      <c r="D88" s="1521"/>
      <c r="E88" s="1521"/>
      <c r="F88" s="1549"/>
      <c r="G88" s="1954"/>
      <c r="H88" s="1954"/>
      <c r="I88" s="1954"/>
      <c r="J88" s="1954"/>
      <c r="K88" s="1605"/>
      <c r="L88" s="1605"/>
      <c r="M88" s="1954"/>
      <c r="N88" s="1954"/>
      <c r="O88" s="1954"/>
      <c r="P88" s="1954"/>
      <c r="Q88" s="1605"/>
      <c r="R88" s="1954"/>
      <c r="S88" s="1954"/>
      <c r="T88" s="1954"/>
      <c r="U88" s="1954"/>
      <c r="V88" s="1605"/>
      <c r="W88" s="1954"/>
      <c r="X88" s="1954"/>
      <c r="Y88" s="1954"/>
      <c r="Z88" s="1954"/>
      <c r="AA88" s="1605"/>
      <c r="AB88" s="1954"/>
      <c r="AC88" s="1954"/>
      <c r="AD88" s="1954"/>
      <c r="AE88" s="1954"/>
      <c r="AF88" s="1611"/>
      <c r="AG88" s="1954"/>
      <c r="AH88" s="1954"/>
      <c r="AI88" s="1954"/>
      <c r="AJ88" s="1954"/>
      <c r="AK88" s="1605"/>
      <c r="AL88" s="1954"/>
      <c r="AM88" s="1954"/>
      <c r="AN88" s="1954"/>
      <c r="AO88" s="1954"/>
      <c r="AP88" s="1605"/>
      <c r="AQ88" s="1954"/>
      <c r="AR88" s="1954"/>
      <c r="AS88" s="1954"/>
      <c r="AT88" s="1954"/>
      <c r="AU88" s="1605"/>
      <c r="AV88" s="1954"/>
      <c r="AW88" s="1954"/>
      <c r="AX88" s="1954"/>
      <c r="AY88" s="1954"/>
      <c r="AZ88" s="1605"/>
      <c r="BA88" s="1954"/>
      <c r="BB88" s="1954"/>
      <c r="BC88" s="1954"/>
      <c r="BD88" s="1954"/>
      <c r="BE88" s="1605"/>
      <c r="BF88" s="1954"/>
      <c r="BG88" s="1954"/>
      <c r="BH88" s="1954"/>
      <c r="BI88" s="1954"/>
      <c r="BJ88" s="1605"/>
      <c r="BK88" s="1954"/>
      <c r="BL88" s="1954"/>
      <c r="BM88" s="1954"/>
      <c r="BN88" s="1954"/>
      <c r="BO88" s="1605"/>
      <c r="BP88" s="1954"/>
      <c r="BQ88" s="1954"/>
      <c r="BR88" s="1954"/>
      <c r="BS88" s="1954"/>
      <c r="BT88" s="1605"/>
      <c r="BU88" s="1954"/>
      <c r="BV88" s="1954"/>
      <c r="BW88" s="1954"/>
      <c r="BX88" s="1954"/>
      <c r="BY88" s="1605"/>
      <c r="BZ88" s="1954"/>
      <c r="CA88" s="1954"/>
      <c r="CB88" s="1954"/>
      <c r="CC88" s="1954"/>
      <c r="CD88" s="1605"/>
      <c r="CE88" s="1954"/>
      <c r="CF88" s="1954"/>
      <c r="CG88" s="1954"/>
      <c r="CH88" s="1954"/>
      <c r="CI88" s="1605"/>
      <c r="CJ88" s="1954"/>
      <c r="CK88" s="1954"/>
      <c r="CL88" s="1954"/>
      <c r="CM88" s="1954"/>
      <c r="CN88" s="1605"/>
      <c r="CO88" s="1954"/>
      <c r="CP88" s="1954"/>
      <c r="CQ88" s="1954"/>
      <c r="CR88" s="1954"/>
      <c r="CS88" s="1954"/>
      <c r="CT88" s="1952"/>
      <c r="CU88" s="1569"/>
    </row>
    <row r="89" spans="1:178">
      <c r="B89" s="1562" t="s">
        <v>56</v>
      </c>
      <c r="C89" s="1522"/>
      <c r="D89" s="1522"/>
      <c r="E89" s="3112">
        <f>E8+E36+E41+E50+E54+E73+E79+E82+E85</f>
        <v>0</v>
      </c>
      <c r="F89" s="189"/>
      <c r="I89" s="3112">
        <f>I8+I36+I41+I50+I54+I73+I79+I82+I85</f>
        <v>54747868.426000006</v>
      </c>
      <c r="K89" s="1606"/>
      <c r="L89" s="1606"/>
      <c r="O89" s="3112">
        <f>O8+O36+O41+O50+O54+O73+O79+O82+O85</f>
        <v>1267114.3900000001</v>
      </c>
      <c r="Q89" s="1606"/>
      <c r="T89" s="3112">
        <f>T8+T36+T41+T50+T54+T73+T79+T82+T85</f>
        <v>3353908.6639999994</v>
      </c>
      <c r="V89" s="1606"/>
      <c r="Y89" s="3112">
        <f>Y8+Y36+Y41+Y50+Y54+Y73+Y79+Y82+Y85</f>
        <v>6834931.9079999998</v>
      </c>
      <c r="AA89" s="1606"/>
      <c r="AD89" s="3113">
        <f>AD8+AD36+AD41+AD50+AD54+AD73+AD79+AD82+AD85</f>
        <v>11666271.998</v>
      </c>
      <c r="AF89" s="1963"/>
      <c r="AI89" s="3112">
        <f>AI8+AI36+AI41+AI50+AI54+AI73+AI79+AI82+AI85</f>
        <v>31992017.462000001</v>
      </c>
      <c r="AK89" s="1606"/>
      <c r="AN89" s="3112">
        <f>AN8+AN36+AN41+AN50+AN54+AN73+AN79+AN82+AN85</f>
        <v>6412013.1040000003</v>
      </c>
      <c r="AP89" s="1606"/>
      <c r="AS89" s="3112">
        <f>AS8+AS36+AS41+AS50+AS54+AS73+AS79+AS82+AS85</f>
        <v>6954657.6619999995</v>
      </c>
      <c r="AU89" s="1606"/>
      <c r="AX89" s="3112">
        <f>AX8+AX36+AX41+AX50+AX54+AX73+AX79+AX82+AX85</f>
        <v>2899517.1959999995</v>
      </c>
      <c r="AZ89" s="1606"/>
      <c r="BC89" s="3112">
        <f>BC8+BC36+BC41+BC50+BC54+BC73+BC79+BC82+BC85</f>
        <v>3505767.0619999995</v>
      </c>
      <c r="BE89" s="1606"/>
      <c r="BH89" s="3112">
        <f>BH8+BH36+BH41+BH50+BH54+BH73+BH79+BH82+BH85</f>
        <v>4558658.1000000006</v>
      </c>
      <c r="BJ89" s="1606"/>
      <c r="BM89" s="3112">
        <f>BM8+BM36+BM41+BM50+BM54+BM73+BM79+BM82+BM85</f>
        <v>6067490.6539999992</v>
      </c>
      <c r="BO89" s="1606"/>
      <c r="BR89" s="3112">
        <f>BR8+BR36+BR41+BR50+BR54+BR73+BR79+BR82+BR85</f>
        <v>2448517.216</v>
      </c>
      <c r="BT89" s="1606"/>
      <c r="BW89" s="3112">
        <f>BW8+BW36+BW41+BW50+BW54+BW73+BW79+BW82+BW85</f>
        <v>539812.31200000003</v>
      </c>
      <c r="BY89" s="1606"/>
      <c r="CB89" s="3112">
        <f>CB8+CB36+CB41+CB50+CB54+CB73+CB79+CB82+CB85</f>
        <v>3575543.19</v>
      </c>
      <c r="CD89" s="1606"/>
      <c r="CG89" s="3112">
        <f>CG8+CG36+CG41+CG50+CG54+CG73+CG79+CG82+CG85</f>
        <v>2009530.5899999999</v>
      </c>
      <c r="CI89" s="1606"/>
      <c r="CL89" s="3112">
        <f>CL8+CL36+CL41+CL50+CL54+CL73+CL79+CL82+CL85</f>
        <v>4750</v>
      </c>
      <c r="CN89" s="1606"/>
      <c r="CQ89" s="3112">
        <f>CQ8+CQ36+CQ41+CQ50+CQ54+CQ73+CQ79+CQ82+CQ85-CQ78</f>
        <v>94090501.508000031</v>
      </c>
      <c r="CT89" s="1952"/>
      <c r="CU89" s="1569"/>
    </row>
    <row r="90" spans="1:178" s="1162" customFormat="1">
      <c r="A90" s="1161"/>
      <c r="B90" s="1161"/>
      <c r="C90" s="1220"/>
      <c r="D90" s="1220"/>
      <c r="E90" s="1220"/>
      <c r="F90" s="1586"/>
      <c r="G90" s="1586"/>
      <c r="H90" s="1586"/>
      <c r="I90" s="1586"/>
      <c r="J90" s="1586"/>
      <c r="K90" s="1963"/>
      <c r="L90" s="1963"/>
      <c r="M90" s="1586"/>
      <c r="N90" s="1586"/>
      <c r="O90" s="1586"/>
      <c r="P90" s="1586"/>
      <c r="Q90" s="1963"/>
      <c r="R90" s="1586"/>
      <c r="S90" s="1586"/>
      <c r="T90" s="1586"/>
      <c r="U90" s="1586"/>
      <c r="V90" s="1963"/>
      <c r="W90" s="1586"/>
      <c r="X90" s="1586"/>
      <c r="Y90" s="1586"/>
      <c r="Z90" s="1586"/>
      <c r="AA90" s="1963"/>
      <c r="AB90" s="1586"/>
      <c r="AC90" s="1586"/>
      <c r="AD90" s="1586"/>
      <c r="AE90" s="1586"/>
      <c r="AF90" s="1963"/>
      <c r="AG90" s="1586"/>
      <c r="AH90" s="1586"/>
      <c r="AI90" s="1586"/>
      <c r="AJ90" s="1586"/>
      <c r="AK90" s="1963"/>
      <c r="AL90" s="1586"/>
      <c r="AM90" s="1586"/>
      <c r="AN90" s="1586"/>
      <c r="AO90" s="1586"/>
      <c r="AP90" s="1963"/>
      <c r="AQ90" s="1586"/>
      <c r="AR90" s="1586"/>
      <c r="AS90" s="1586"/>
      <c r="AT90" s="1586"/>
      <c r="AU90" s="1963"/>
      <c r="AV90" s="1586"/>
      <c r="AW90" s="1586"/>
      <c r="AX90" s="1586"/>
      <c r="AY90" s="1586"/>
      <c r="AZ90" s="1963"/>
      <c r="BA90" s="1586"/>
      <c r="BB90" s="1586"/>
      <c r="BC90" s="1586"/>
      <c r="BD90" s="1586"/>
      <c r="BE90" s="1963"/>
      <c r="BF90" s="1586"/>
      <c r="BG90" s="1586"/>
      <c r="BH90" s="1586"/>
      <c r="BI90" s="1586"/>
      <c r="BJ90" s="1963"/>
      <c r="BK90" s="2468"/>
      <c r="BL90" s="2468"/>
      <c r="BM90" s="2468"/>
      <c r="BN90" s="2468"/>
      <c r="BO90" s="1857"/>
      <c r="BP90" s="2468"/>
      <c r="BQ90" s="2468"/>
      <c r="BR90" s="2468"/>
      <c r="BS90" s="2468"/>
      <c r="BT90" s="1857"/>
      <c r="BU90" s="2468"/>
      <c r="BV90" s="2468"/>
      <c r="BW90" s="2468"/>
      <c r="BX90" s="2468"/>
      <c r="BY90" s="1857"/>
      <c r="BZ90" s="2468"/>
      <c r="CA90" s="2468"/>
      <c r="CB90" s="2468"/>
      <c r="CC90" s="2468"/>
      <c r="CD90" s="1857"/>
      <c r="CE90" s="2468"/>
      <c r="CF90" s="2468"/>
      <c r="CG90" s="2468"/>
      <c r="CH90" s="2468"/>
      <c r="CI90" s="1857"/>
      <c r="CJ90" s="2468"/>
      <c r="CK90" s="2468"/>
      <c r="CL90" s="2468"/>
      <c r="CM90" s="2468"/>
      <c r="CN90" s="1857"/>
      <c r="CO90" s="1586"/>
      <c r="CP90" s="1586"/>
      <c r="CQ90" s="2109"/>
      <c r="CR90" s="1586"/>
      <c r="CS90" s="1586"/>
      <c r="CT90" s="3147"/>
      <c r="CU90" s="3196"/>
      <c r="CV90" s="3199"/>
      <c r="CW90" s="3199"/>
      <c r="CX90" s="3199"/>
      <c r="CY90" s="3199"/>
      <c r="CZ90" s="3199"/>
      <c r="DA90" s="3199"/>
      <c r="DB90" s="3199"/>
      <c r="DC90" s="3199"/>
      <c r="DD90" s="3199"/>
      <c r="DE90" s="3199"/>
      <c r="DF90" s="3199"/>
      <c r="DG90" s="3199"/>
      <c r="DH90" s="3199"/>
      <c r="DI90" s="3199"/>
      <c r="DJ90" s="3199"/>
      <c r="DK90" s="3199"/>
      <c r="DL90" s="3199"/>
      <c r="DM90" s="3199"/>
      <c r="DN90" s="3199"/>
      <c r="DO90" s="3199"/>
      <c r="DP90" s="3199"/>
      <c r="DQ90" s="3199"/>
      <c r="DR90" s="3199"/>
      <c r="DS90" s="3199"/>
      <c r="DT90" s="3199"/>
      <c r="DU90" s="3199"/>
      <c r="DV90" s="3199"/>
      <c r="DW90" s="3199"/>
      <c r="DX90" s="3199"/>
      <c r="DY90" s="3199"/>
      <c r="DZ90" s="3199"/>
      <c r="EA90" s="3199"/>
      <c r="EB90" s="3199"/>
      <c r="EC90" s="3199"/>
      <c r="ED90" s="3199"/>
      <c r="EE90" s="3199"/>
      <c r="EF90" s="3199"/>
      <c r="EG90" s="3199"/>
      <c r="EH90" s="3199"/>
      <c r="EI90" s="3199"/>
      <c r="EJ90" s="3199"/>
      <c r="EK90" s="3199"/>
      <c r="EL90" s="3199"/>
      <c r="EM90" s="3199"/>
      <c r="EN90" s="3199"/>
      <c r="EO90" s="3199"/>
      <c r="EP90" s="3199"/>
      <c r="EQ90" s="3199"/>
      <c r="ER90" s="3199"/>
      <c r="ES90" s="3199"/>
      <c r="ET90" s="3199"/>
      <c r="EU90" s="3199"/>
      <c r="EV90" s="3199"/>
      <c r="EW90" s="3199"/>
      <c r="EX90" s="3199"/>
      <c r="EY90" s="3199"/>
      <c r="EZ90" s="3199"/>
      <c r="FA90" s="3199"/>
      <c r="FB90" s="3199"/>
      <c r="FC90" s="3199"/>
      <c r="FD90" s="3199"/>
      <c r="FE90" s="3199"/>
      <c r="FF90" s="3199"/>
      <c r="FG90" s="3199"/>
      <c r="FH90" s="3199"/>
      <c r="FI90" s="3199"/>
      <c r="FJ90" s="3199"/>
      <c r="FK90" s="3199"/>
      <c r="FL90" s="3199"/>
      <c r="FM90" s="3199"/>
      <c r="FN90" s="3199"/>
      <c r="FO90" s="3199"/>
      <c r="FP90" s="3199"/>
      <c r="FQ90" s="3199"/>
      <c r="FR90" s="3199"/>
      <c r="FS90" s="3199"/>
      <c r="FT90" s="3199"/>
      <c r="FU90" s="3199"/>
      <c r="FV90" s="3199"/>
    </row>
    <row r="91" spans="1:178" s="1221" customFormat="1">
      <c r="A91" s="1161"/>
      <c r="B91" s="1161"/>
      <c r="C91" s="1220"/>
      <c r="D91" s="1220"/>
      <c r="E91" s="1220"/>
      <c r="F91" s="1586"/>
      <c r="G91" s="1586"/>
      <c r="H91" s="1586"/>
      <c r="I91" s="1586"/>
      <c r="J91" s="1586"/>
      <c r="K91" s="1963"/>
      <c r="L91" s="1963"/>
      <c r="M91" s="1586"/>
      <c r="N91" s="1586"/>
      <c r="O91" s="1586"/>
      <c r="P91" s="1586"/>
      <c r="Q91" s="1963"/>
      <c r="R91" s="1586"/>
      <c r="S91" s="1586"/>
      <c r="T91" s="1586"/>
      <c r="U91" s="1586"/>
      <c r="V91" s="1963"/>
      <c r="W91" s="1586"/>
      <c r="X91" s="1586"/>
      <c r="Y91" s="1586"/>
      <c r="Z91" s="1586"/>
      <c r="AA91" s="1963"/>
      <c r="AB91" s="1586"/>
      <c r="AC91" s="1586"/>
      <c r="AD91" s="1586"/>
      <c r="AE91" s="1586"/>
      <c r="AF91" s="1963"/>
      <c r="AG91" s="1586"/>
      <c r="AH91" s="1586"/>
      <c r="AI91" s="1586"/>
      <c r="AJ91" s="1586"/>
      <c r="AK91" s="1963"/>
      <c r="AL91" s="1586"/>
      <c r="AM91" s="1586"/>
      <c r="AN91" s="1586"/>
      <c r="AO91" s="1586"/>
      <c r="AP91" s="1963"/>
      <c r="AQ91" s="2107" t="s">
        <v>1315</v>
      </c>
      <c r="AR91" s="1586"/>
      <c r="AS91" s="1586"/>
      <c r="AT91" s="1586"/>
      <c r="AU91" s="1963"/>
      <c r="AV91" s="1586"/>
      <c r="AW91" s="1586"/>
      <c r="AX91" s="1586"/>
      <c r="AY91" s="1586"/>
      <c r="AZ91" s="1963"/>
      <c r="BA91" s="1586"/>
      <c r="BB91" s="1586"/>
      <c r="BC91" s="1586"/>
      <c r="BE91" s="1963"/>
      <c r="BF91" s="1586"/>
      <c r="BG91" s="1586"/>
      <c r="BH91" s="1586"/>
      <c r="BJ91" s="1963"/>
      <c r="BK91" s="2468"/>
      <c r="BL91" s="1586"/>
      <c r="BM91" s="1586"/>
      <c r="BN91" s="1586"/>
      <c r="BO91" s="1857"/>
      <c r="BP91" s="2468"/>
      <c r="BQ91" s="1586"/>
      <c r="BR91" s="1586"/>
      <c r="BS91" s="1586"/>
      <c r="BT91" s="1857"/>
      <c r="BU91" s="2468"/>
      <c r="BV91" s="1586"/>
      <c r="BW91" s="1586"/>
      <c r="BX91" s="1586"/>
      <c r="BY91" s="1857"/>
      <c r="BZ91" s="2468"/>
      <c r="CA91" s="1586"/>
      <c r="CB91" s="1586"/>
      <c r="CC91" s="1586"/>
      <c r="CD91" s="1857"/>
      <c r="CE91" s="2468"/>
      <c r="CF91" s="1586"/>
      <c r="CG91" s="1586"/>
      <c r="CH91" s="1586"/>
      <c r="CI91" s="1857"/>
      <c r="CJ91" s="2468"/>
      <c r="CK91" s="1586"/>
      <c r="CL91" s="1586"/>
      <c r="CM91" s="1586"/>
      <c r="CN91" s="1857"/>
      <c r="CO91" s="1586"/>
      <c r="CP91" s="1065"/>
      <c r="CQ91" s="1952"/>
      <c r="CT91" s="3148"/>
      <c r="CU91" s="3196"/>
      <c r="CV91" s="3200"/>
      <c r="CW91" s="3200"/>
      <c r="CX91" s="3200"/>
      <c r="CY91" s="3200"/>
      <c r="CZ91" s="3200"/>
      <c r="DA91" s="3200"/>
      <c r="DB91" s="3200"/>
      <c r="DC91" s="3200"/>
      <c r="DD91" s="3200"/>
      <c r="DE91" s="3200"/>
      <c r="DF91" s="3200"/>
      <c r="DG91" s="3200"/>
      <c r="DH91" s="3200"/>
      <c r="DI91" s="3200"/>
      <c r="DJ91" s="3200"/>
      <c r="DK91" s="3200"/>
      <c r="DL91" s="3200"/>
      <c r="DM91" s="3200"/>
      <c r="DN91" s="3200"/>
      <c r="DO91" s="3200"/>
      <c r="DP91" s="3200"/>
      <c r="DQ91" s="3200"/>
      <c r="DR91" s="3200"/>
      <c r="DS91" s="3200"/>
      <c r="DT91" s="3200"/>
      <c r="DU91" s="3200"/>
      <c r="DV91" s="3200"/>
      <c r="DW91" s="3200"/>
      <c r="DX91" s="3200"/>
      <c r="DY91" s="3200"/>
      <c r="DZ91" s="3200"/>
      <c r="EA91" s="3200"/>
      <c r="EB91" s="3200"/>
      <c r="EC91" s="3200"/>
      <c r="ED91" s="3200"/>
      <c r="EE91" s="3200"/>
      <c r="EF91" s="3200"/>
      <c r="EG91" s="3200"/>
      <c r="EH91" s="3200"/>
      <c r="EI91" s="3200"/>
      <c r="EJ91" s="3200"/>
      <c r="EK91" s="3200"/>
      <c r="EL91" s="3200"/>
      <c r="EM91" s="3200"/>
      <c r="EN91" s="3200"/>
      <c r="EO91" s="3200"/>
      <c r="EP91" s="3200"/>
      <c r="EQ91" s="3200"/>
      <c r="ER91" s="3200"/>
      <c r="ES91" s="3200"/>
      <c r="ET91" s="3200"/>
      <c r="EU91" s="3200"/>
      <c r="EV91" s="3200"/>
      <c r="EW91" s="3200"/>
      <c r="EX91" s="3200"/>
      <c r="EY91" s="3200"/>
      <c r="EZ91" s="3200"/>
      <c r="FA91" s="3200"/>
      <c r="FB91" s="3200"/>
      <c r="FC91" s="3200"/>
      <c r="FD91" s="3200"/>
      <c r="FE91" s="3200"/>
      <c r="FF91" s="3200"/>
      <c r="FG91" s="3200"/>
      <c r="FH91" s="3200"/>
      <c r="FI91" s="3200"/>
      <c r="FJ91" s="3200"/>
      <c r="FK91" s="3200"/>
      <c r="FL91" s="3200"/>
      <c r="FM91" s="3200"/>
      <c r="FN91" s="3200"/>
      <c r="FO91" s="3200"/>
      <c r="FP91" s="3200"/>
      <c r="FQ91" s="3200"/>
      <c r="FR91" s="3200"/>
      <c r="FS91" s="3200"/>
      <c r="FT91" s="3200"/>
      <c r="FU91" s="3200"/>
      <c r="FV91" s="3200"/>
    </row>
    <row r="92" spans="1:178" s="1162" customFormat="1">
      <c r="A92" s="1161"/>
      <c r="B92" s="1161"/>
      <c r="C92" s="1586"/>
      <c r="D92" s="1586"/>
      <c r="E92" s="1586"/>
      <c r="F92" s="1586"/>
      <c r="G92" s="1586"/>
      <c r="H92" s="1586"/>
      <c r="I92" s="1586"/>
      <c r="J92" s="1586"/>
      <c r="K92" s="1963"/>
      <c r="L92" s="1963"/>
      <c r="M92" s="1586"/>
      <c r="N92" s="1586"/>
      <c r="O92" s="1586"/>
      <c r="P92" s="1586"/>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P92" s="1963"/>
      <c r="AQ92" s="1963" t="s">
        <v>1304</v>
      </c>
      <c r="AR92" s="1963">
        <v>21372.98</v>
      </c>
      <c r="AS92" s="1963"/>
      <c r="AT92" s="1963"/>
      <c r="AU92" s="1963"/>
      <c r="AV92" s="1963"/>
      <c r="AW92" s="1963"/>
      <c r="AX92" s="1963"/>
      <c r="AY92" s="1963"/>
      <c r="AZ92" s="1963"/>
      <c r="BA92" s="1963"/>
      <c r="BB92" s="1963"/>
      <c r="BC92" s="1963"/>
      <c r="BD92" s="1952"/>
      <c r="BE92" s="1963"/>
      <c r="BF92" s="1963"/>
      <c r="BG92" s="1963"/>
      <c r="BH92" s="1963"/>
      <c r="BI92" s="1952"/>
      <c r="BJ92" s="1963"/>
      <c r="BK92" s="1342"/>
      <c r="BL92" s="1218"/>
      <c r="BM92" s="1218"/>
      <c r="BN92" s="1218"/>
      <c r="BO92" s="1342"/>
      <c r="BP92" s="1342"/>
      <c r="BQ92" s="1218"/>
      <c r="BR92" s="1218"/>
      <c r="BS92" s="1218"/>
      <c r="BT92" s="1342"/>
      <c r="BU92" s="1342"/>
      <c r="BV92" s="1218"/>
      <c r="BW92" s="1218"/>
      <c r="BX92" s="1218"/>
      <c r="BY92" s="1342"/>
      <c r="BZ92" s="2468"/>
      <c r="CA92" s="1218"/>
      <c r="CB92" s="1218"/>
      <c r="CC92" s="1218"/>
      <c r="CD92" s="1342"/>
      <c r="CE92" s="2468"/>
      <c r="CF92" s="1218"/>
      <c r="CG92" s="1218"/>
      <c r="CH92" s="1218"/>
      <c r="CI92" s="1342"/>
      <c r="CJ92" s="2468"/>
      <c r="CK92" s="1218"/>
      <c r="CL92" s="1218"/>
      <c r="CM92" s="1218"/>
      <c r="CN92" s="1342"/>
      <c r="CO92" s="1586"/>
      <c r="CP92" s="1952" t="s">
        <v>1374</v>
      </c>
      <c r="CQ92" s="1952">
        <v>20086901.403299972</v>
      </c>
      <c r="CR92" s="2462"/>
      <c r="CS92" s="2462"/>
      <c r="CT92" s="3147"/>
      <c r="CU92" s="3196"/>
      <c r="CV92" s="3199"/>
      <c r="CW92" s="3199"/>
      <c r="CX92" s="3199"/>
      <c r="CY92" s="3199"/>
      <c r="CZ92" s="3199"/>
      <c r="DA92" s="3199"/>
      <c r="DB92" s="3199"/>
      <c r="DC92" s="3199"/>
      <c r="DD92" s="3199"/>
      <c r="DE92" s="3199"/>
      <c r="DF92" s="3199"/>
      <c r="DG92" s="3199"/>
      <c r="DH92" s="3199"/>
      <c r="DI92" s="3199"/>
      <c r="DJ92" s="3199"/>
      <c r="DK92" s="3199"/>
      <c r="DL92" s="3199"/>
      <c r="DM92" s="3199"/>
      <c r="DN92" s="3199"/>
      <c r="DO92" s="3199"/>
      <c r="DP92" s="3199"/>
      <c r="DQ92" s="3199"/>
      <c r="DR92" s="3199"/>
      <c r="DS92" s="3199"/>
      <c r="DT92" s="3199"/>
      <c r="DU92" s="3199"/>
      <c r="DV92" s="3199"/>
      <c r="DW92" s="3199"/>
      <c r="DX92" s="3199"/>
      <c r="DY92" s="3199"/>
      <c r="DZ92" s="3199"/>
      <c r="EA92" s="3199"/>
      <c r="EB92" s="3199"/>
      <c r="EC92" s="3199"/>
      <c r="ED92" s="3199"/>
      <c r="EE92" s="3199"/>
      <c r="EF92" s="3199"/>
      <c r="EG92" s="3199"/>
      <c r="EH92" s="3199"/>
      <c r="EI92" s="3199"/>
      <c r="EJ92" s="3199"/>
      <c r="EK92" s="3199"/>
      <c r="EL92" s="3199"/>
      <c r="EM92" s="3199"/>
      <c r="EN92" s="3199"/>
      <c r="EO92" s="3199"/>
      <c r="EP92" s="3199"/>
      <c r="EQ92" s="3199"/>
      <c r="ER92" s="3199"/>
      <c r="ES92" s="3199"/>
      <c r="ET92" s="3199"/>
      <c r="EU92" s="3199"/>
      <c r="EV92" s="3199"/>
      <c r="EW92" s="3199"/>
      <c r="EX92" s="3199"/>
      <c r="EY92" s="3199"/>
      <c r="EZ92" s="3199"/>
      <c r="FA92" s="3199"/>
      <c r="FB92" s="3199"/>
      <c r="FC92" s="3199"/>
      <c r="FD92" s="3199"/>
      <c r="FE92" s="3199"/>
      <c r="FF92" s="3199"/>
      <c r="FG92" s="3199"/>
      <c r="FH92" s="3199"/>
      <c r="FI92" s="3199"/>
      <c r="FJ92" s="3199"/>
      <c r="FK92" s="3199"/>
      <c r="FL92" s="3199"/>
      <c r="FM92" s="3199"/>
      <c r="FN92" s="3199"/>
      <c r="FO92" s="3199"/>
      <c r="FP92" s="3199"/>
      <c r="FQ92" s="3199"/>
      <c r="FR92" s="3199"/>
      <c r="FS92" s="3199"/>
      <c r="FT92" s="3199"/>
      <c r="FU92" s="3199"/>
      <c r="FV92" s="3199"/>
    </row>
    <row r="93" spans="1:178" s="1221" customFormat="1">
      <c r="A93" s="1161"/>
      <c r="B93" s="1161"/>
      <c r="C93" s="1586"/>
      <c r="D93" s="1586"/>
      <c r="E93" s="1586"/>
      <c r="F93" s="1586"/>
      <c r="G93" s="1586"/>
      <c r="H93" s="1586"/>
      <c r="I93" s="1586"/>
      <c r="J93" s="1586"/>
      <c r="K93" s="1963"/>
      <c r="L93" s="1963"/>
      <c r="M93" s="1586"/>
      <c r="N93" s="1586"/>
      <c r="O93" s="1586"/>
      <c r="P93" s="1586"/>
      <c r="Q93" s="1963"/>
      <c r="R93" s="1963"/>
      <c r="S93" s="1963"/>
      <c r="T93" s="1963"/>
      <c r="U93" s="1963"/>
      <c r="V93" s="1963"/>
      <c r="W93" s="1963"/>
      <c r="X93" s="1963"/>
      <c r="Y93" s="1963"/>
      <c r="Z93" s="1963"/>
      <c r="AA93" s="1963"/>
      <c r="AB93" s="1963"/>
      <c r="AC93" s="1963"/>
      <c r="AD93" s="1963"/>
      <c r="AE93" s="1963"/>
      <c r="AF93" s="1963"/>
      <c r="AG93" s="1963"/>
      <c r="AH93" s="1963"/>
      <c r="AI93" s="1963"/>
      <c r="AJ93" s="1963"/>
      <c r="AK93" s="1963"/>
      <c r="AL93" s="1963"/>
      <c r="AM93" s="1963"/>
      <c r="AN93" s="1963"/>
      <c r="AO93" s="1963"/>
      <c r="AP93" s="1963"/>
      <c r="AQ93" s="1963" t="s">
        <v>1314</v>
      </c>
      <c r="AR93" s="1963">
        <v>1001779.3</v>
      </c>
      <c r="AS93" s="1963">
        <f>AS86-AR92-AR93</f>
        <v>1057325.9179999977</v>
      </c>
      <c r="AT93" s="1963"/>
      <c r="AU93" s="1963"/>
      <c r="AV93" s="1963"/>
      <c r="AW93" s="1963"/>
      <c r="AX93" s="1963"/>
      <c r="AY93" s="1963"/>
      <c r="AZ93" s="1963"/>
      <c r="BA93" s="1963"/>
      <c r="BB93" s="1963"/>
      <c r="BC93" s="1963"/>
      <c r="BE93" s="1963"/>
      <c r="BF93" s="1963"/>
      <c r="BG93" s="1963"/>
      <c r="BH93" s="1963"/>
      <c r="BJ93" s="1963"/>
      <c r="BK93" s="1036"/>
      <c r="BL93" s="1218"/>
      <c r="BM93" s="1218"/>
      <c r="BN93" s="1218"/>
      <c r="BO93" s="1036"/>
      <c r="BP93" s="1036"/>
      <c r="BQ93" s="1218"/>
      <c r="BR93" s="1218"/>
      <c r="BS93" s="1218"/>
      <c r="BT93" s="1036"/>
      <c r="BU93" s="1036"/>
      <c r="BV93" s="1218"/>
      <c r="BW93" s="1218"/>
      <c r="BX93" s="1218"/>
      <c r="BY93" s="1036"/>
      <c r="BZ93" s="2468"/>
      <c r="CA93" s="1218"/>
      <c r="CB93" s="1218"/>
      <c r="CC93" s="1218"/>
      <c r="CD93" s="1036"/>
      <c r="CE93" s="2468"/>
      <c r="CF93" s="1218"/>
      <c r="CG93" s="1218"/>
      <c r="CH93" s="1218"/>
      <c r="CI93" s="1036"/>
      <c r="CJ93" s="2468"/>
      <c r="CK93" s="1218"/>
      <c r="CL93" s="1218"/>
      <c r="CM93" s="1218"/>
      <c r="CN93" s="1036"/>
      <c r="CO93" s="1586"/>
      <c r="CP93" s="1952" t="s">
        <v>1373</v>
      </c>
      <c r="CQ93" s="1952">
        <f>CQ92-CQ86</f>
        <v>-3055863.3587000184</v>
      </c>
      <c r="CT93" s="3148"/>
      <c r="CU93" s="3196"/>
      <c r="CV93" s="3200"/>
      <c r="CW93" s="3200"/>
      <c r="CX93" s="3200"/>
      <c r="CY93" s="3200"/>
      <c r="CZ93" s="3200"/>
      <c r="DA93" s="3200"/>
      <c r="DB93" s="3200"/>
      <c r="DC93" s="3200"/>
      <c r="DD93" s="3200"/>
      <c r="DE93" s="3200"/>
      <c r="DF93" s="3200"/>
      <c r="DG93" s="3200"/>
      <c r="DH93" s="3200"/>
      <c r="DI93" s="3200"/>
      <c r="DJ93" s="3200"/>
      <c r="DK93" s="3200"/>
      <c r="DL93" s="3200"/>
      <c r="DM93" s="3200"/>
      <c r="DN93" s="3200"/>
      <c r="DO93" s="3200"/>
      <c r="DP93" s="3200"/>
      <c r="DQ93" s="3200"/>
      <c r="DR93" s="3200"/>
      <c r="DS93" s="3200"/>
      <c r="DT93" s="3200"/>
      <c r="DU93" s="3200"/>
      <c r="DV93" s="3200"/>
      <c r="DW93" s="3200"/>
      <c r="DX93" s="3200"/>
      <c r="DY93" s="3200"/>
      <c r="DZ93" s="3200"/>
      <c r="EA93" s="3200"/>
      <c r="EB93" s="3200"/>
      <c r="EC93" s="3200"/>
      <c r="ED93" s="3200"/>
      <c r="EE93" s="3200"/>
      <c r="EF93" s="3200"/>
      <c r="EG93" s="3200"/>
      <c r="EH93" s="3200"/>
      <c r="EI93" s="3200"/>
      <c r="EJ93" s="3200"/>
      <c r="EK93" s="3200"/>
      <c r="EL93" s="3200"/>
      <c r="EM93" s="3200"/>
      <c r="EN93" s="3200"/>
      <c r="EO93" s="3200"/>
      <c r="EP93" s="3200"/>
      <c r="EQ93" s="3200"/>
      <c r="ER93" s="3200"/>
      <c r="ES93" s="3200"/>
      <c r="ET93" s="3200"/>
      <c r="EU93" s="3200"/>
      <c r="EV93" s="3200"/>
      <c r="EW93" s="3200"/>
      <c r="EX93" s="3200"/>
      <c r="EY93" s="3200"/>
      <c r="EZ93" s="3200"/>
      <c r="FA93" s="3200"/>
      <c r="FB93" s="3200"/>
      <c r="FC93" s="3200"/>
      <c r="FD93" s="3200"/>
      <c r="FE93" s="3200"/>
      <c r="FF93" s="3200"/>
      <c r="FG93" s="3200"/>
      <c r="FH93" s="3200"/>
      <c r="FI93" s="3200"/>
      <c r="FJ93" s="3200"/>
      <c r="FK93" s="3200"/>
      <c r="FL93" s="3200"/>
      <c r="FM93" s="3200"/>
      <c r="FN93" s="3200"/>
      <c r="FO93" s="3200"/>
      <c r="FP93" s="3200"/>
      <c r="FQ93" s="3200"/>
      <c r="FR93" s="3200"/>
      <c r="FS93" s="3200"/>
      <c r="FT93" s="3200"/>
      <c r="FU93" s="3200"/>
      <c r="FV93" s="3200"/>
    </row>
    <row r="94" spans="1:178" s="1221" customFormat="1">
      <c r="A94" s="1161"/>
      <c r="B94" s="1161"/>
      <c r="C94" s="1586"/>
      <c r="D94" s="1586"/>
      <c r="E94" s="1586"/>
      <c r="F94" s="1586"/>
      <c r="G94" s="1654"/>
      <c r="H94" s="1586"/>
      <c r="I94" s="1586"/>
      <c r="J94" s="1586"/>
      <c r="K94" s="1963"/>
      <c r="L94" s="1963"/>
      <c r="M94" s="1654"/>
      <c r="N94" s="1586"/>
      <c r="O94" s="1586"/>
      <c r="P94" s="1586"/>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63"/>
      <c r="CK94" s="1963"/>
      <c r="CL94" s="1963"/>
      <c r="CM94" s="1963"/>
      <c r="CN94" s="1963"/>
      <c r="CO94" s="1586"/>
      <c r="CT94" s="3148"/>
      <c r="CU94" s="3196"/>
      <c r="CV94" s="3200"/>
      <c r="CW94" s="3200"/>
      <c r="CX94" s="3200"/>
      <c r="CY94" s="3200"/>
      <c r="CZ94" s="3200"/>
      <c r="DA94" s="3200"/>
      <c r="DB94" s="3200"/>
      <c r="DC94" s="3200"/>
      <c r="DD94" s="3200"/>
      <c r="DE94" s="3200"/>
      <c r="DF94" s="3200"/>
      <c r="DG94" s="3200"/>
      <c r="DH94" s="3200"/>
      <c r="DI94" s="3200"/>
      <c r="DJ94" s="3200"/>
      <c r="DK94" s="3200"/>
      <c r="DL94" s="3200"/>
      <c r="DM94" s="3200"/>
      <c r="DN94" s="3200"/>
      <c r="DO94" s="3200"/>
      <c r="DP94" s="3200"/>
      <c r="DQ94" s="3200"/>
      <c r="DR94" s="3200"/>
      <c r="DS94" s="3200"/>
      <c r="DT94" s="3200"/>
      <c r="DU94" s="3200"/>
      <c r="DV94" s="3200"/>
      <c r="DW94" s="3200"/>
      <c r="DX94" s="3200"/>
      <c r="DY94" s="3200"/>
      <c r="DZ94" s="3200"/>
      <c r="EA94" s="3200"/>
      <c r="EB94" s="3200"/>
      <c r="EC94" s="3200"/>
      <c r="ED94" s="3200"/>
      <c r="EE94" s="3200"/>
      <c r="EF94" s="3200"/>
      <c r="EG94" s="3200"/>
      <c r="EH94" s="3200"/>
      <c r="EI94" s="3200"/>
      <c r="EJ94" s="3200"/>
      <c r="EK94" s="3200"/>
      <c r="EL94" s="3200"/>
      <c r="EM94" s="3200"/>
      <c r="EN94" s="3200"/>
      <c r="EO94" s="3200"/>
      <c r="EP94" s="3200"/>
      <c r="EQ94" s="3200"/>
      <c r="ER94" s="3200"/>
      <c r="ES94" s="3200"/>
      <c r="ET94" s="3200"/>
      <c r="EU94" s="3200"/>
      <c r="EV94" s="3200"/>
      <c r="EW94" s="3200"/>
      <c r="EX94" s="3200"/>
      <c r="EY94" s="3200"/>
      <c r="EZ94" s="3200"/>
      <c r="FA94" s="3200"/>
      <c r="FB94" s="3200"/>
      <c r="FC94" s="3200"/>
      <c r="FD94" s="3200"/>
      <c r="FE94" s="3200"/>
      <c r="FF94" s="3200"/>
      <c r="FG94" s="3200"/>
      <c r="FH94" s="3200"/>
      <c r="FI94" s="3200"/>
      <c r="FJ94" s="3200"/>
      <c r="FK94" s="3200"/>
      <c r="FL94" s="3200"/>
      <c r="FM94" s="3200"/>
      <c r="FN94" s="3200"/>
      <c r="FO94" s="3200"/>
      <c r="FP94" s="3200"/>
      <c r="FQ94" s="3200"/>
      <c r="FR94" s="3200"/>
      <c r="FS94" s="3200"/>
      <c r="FT94" s="3200"/>
      <c r="FU94" s="3200"/>
      <c r="FV94" s="3200"/>
    </row>
    <row r="95" spans="1:178" s="1396" customFormat="1">
      <c r="A95" s="1402"/>
      <c r="B95" s="1402"/>
      <c r="C95" s="1952"/>
      <c r="D95" s="1952"/>
      <c r="E95" s="1952"/>
      <c r="F95" s="1952"/>
      <c r="G95" s="1952"/>
      <c r="H95" s="1963"/>
      <c r="I95" s="1963"/>
      <c r="J95" s="1963"/>
      <c r="K95" s="1963"/>
      <c r="L95" s="1963"/>
      <c r="M95" s="1952"/>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963"/>
      <c r="AQ95" s="2110" t="s">
        <v>1305</v>
      </c>
      <c r="AR95" s="1963">
        <v>1005429.23</v>
      </c>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63"/>
      <c r="CK95" s="1963"/>
      <c r="CL95" s="1963"/>
      <c r="CM95" s="1963"/>
      <c r="CN95" s="1963"/>
      <c r="CO95" s="1952"/>
      <c r="CP95" s="1065" t="s">
        <v>1400</v>
      </c>
      <c r="CQ95" s="1952">
        <v>3502396.5866999994</v>
      </c>
      <c r="CR95" s="1221"/>
      <c r="CS95" s="1221"/>
      <c r="CT95" s="3148"/>
      <c r="CU95" s="3196"/>
      <c r="CV95" s="1564"/>
      <c r="CW95" s="1564"/>
      <c r="CX95" s="1564"/>
      <c r="CY95" s="1564"/>
      <c r="CZ95" s="1564"/>
      <c r="DA95" s="1564"/>
      <c r="DB95" s="1564"/>
      <c r="DC95" s="1564"/>
      <c r="DD95" s="1564"/>
      <c r="DE95" s="1564"/>
      <c r="DF95" s="1564"/>
      <c r="DG95" s="1564"/>
      <c r="DH95" s="1564"/>
      <c r="DI95" s="1564"/>
      <c r="DJ95" s="1564"/>
      <c r="DK95" s="1564"/>
      <c r="DL95" s="1564"/>
      <c r="DM95" s="1564"/>
      <c r="DN95" s="1564"/>
      <c r="DO95" s="1564"/>
      <c r="DP95" s="1564"/>
      <c r="DQ95" s="1564"/>
      <c r="DR95" s="1564"/>
      <c r="DS95" s="1564"/>
      <c r="DT95" s="1564"/>
      <c r="DU95" s="1564"/>
      <c r="DV95" s="1564"/>
      <c r="DW95" s="1564"/>
      <c r="DX95" s="1564"/>
      <c r="DY95" s="1564"/>
      <c r="DZ95" s="1564"/>
      <c r="EA95" s="1564"/>
      <c r="EB95" s="1564"/>
      <c r="EC95" s="1564"/>
      <c r="ED95" s="1564"/>
      <c r="EE95" s="1564"/>
      <c r="EF95" s="1564"/>
      <c r="EG95" s="1564"/>
      <c r="EH95" s="1564"/>
      <c r="EI95" s="1564"/>
      <c r="EJ95" s="1564"/>
      <c r="EK95" s="1564"/>
      <c r="EL95" s="1564"/>
      <c r="EM95" s="1564"/>
      <c r="EN95" s="1564"/>
      <c r="EO95" s="1564"/>
      <c r="EP95" s="1564"/>
      <c r="EQ95" s="1564"/>
      <c r="ER95" s="1564"/>
      <c r="ES95" s="1564"/>
      <c r="ET95" s="1564"/>
      <c r="EU95" s="1564"/>
      <c r="EV95" s="1564"/>
      <c r="EW95" s="1564"/>
      <c r="EX95" s="1564"/>
      <c r="EY95" s="1564"/>
      <c r="EZ95" s="1564"/>
      <c r="FA95" s="1564"/>
      <c r="FB95" s="1564"/>
      <c r="FC95" s="1564"/>
      <c r="FD95" s="1564"/>
      <c r="FE95" s="1564"/>
      <c r="FF95" s="1564"/>
      <c r="FG95" s="1564"/>
      <c r="FH95" s="1564"/>
      <c r="FI95" s="1564"/>
      <c r="FJ95" s="1564"/>
      <c r="FK95" s="1564"/>
      <c r="FL95" s="1564"/>
      <c r="FM95" s="1564"/>
      <c r="FN95" s="1564"/>
      <c r="FO95" s="1564"/>
      <c r="FP95" s="1564"/>
      <c r="FQ95" s="1564"/>
      <c r="FR95" s="1564"/>
      <c r="FS95" s="1564"/>
      <c r="FT95" s="1564"/>
      <c r="FU95" s="1564"/>
      <c r="FV95" s="1564"/>
    </row>
    <row r="96" spans="1:178">
      <c r="C96" s="1952"/>
      <c r="D96" s="1952"/>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963"/>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63"/>
      <c r="CK96" s="1963"/>
      <c r="CL96" s="1963"/>
      <c r="CM96" s="1963"/>
      <c r="CN96" s="1963"/>
      <c r="CP96" s="1065"/>
      <c r="CR96" s="2463"/>
      <c r="CS96" s="1221"/>
      <c r="CT96" s="3148"/>
    </row>
    <row r="97" spans="1:98">
      <c r="BL97" s="1586"/>
      <c r="BM97" s="1586"/>
      <c r="BN97" s="1586"/>
      <c r="BQ97" s="1586"/>
      <c r="BR97" s="1586"/>
      <c r="BS97" s="1586"/>
      <c r="BV97" s="1586"/>
      <c r="BW97" s="1586"/>
      <c r="BX97" s="1586"/>
      <c r="CA97" s="1586"/>
      <c r="CB97" s="1586"/>
      <c r="CC97" s="1586"/>
      <c r="CF97" s="1586"/>
      <c r="CG97" s="1586"/>
      <c r="CH97" s="1586"/>
      <c r="CK97" s="1586"/>
      <c r="CL97" s="1586"/>
      <c r="CM97" s="1586"/>
      <c r="CP97" s="1065" t="s">
        <v>1401</v>
      </c>
      <c r="CQ97" s="1952">
        <f>-CQ103</f>
        <v>-489664.33999999997</v>
      </c>
      <c r="CS97" s="1221"/>
      <c r="CT97" s="3148"/>
    </row>
    <row r="98" spans="1:98">
      <c r="BL98" s="1586"/>
      <c r="BM98" s="1586"/>
      <c r="BN98" s="1586"/>
      <c r="BQ98" s="1586"/>
      <c r="BR98" s="1586"/>
      <c r="BS98" s="1586"/>
      <c r="BV98" s="1586"/>
      <c r="BW98" s="1586"/>
      <c r="BX98" s="1586"/>
      <c r="CA98" s="1586"/>
      <c r="CB98" s="1586"/>
      <c r="CC98" s="1586"/>
      <c r="CF98" s="1586"/>
      <c r="CG98" s="1586"/>
      <c r="CH98" s="1586"/>
      <c r="CK98" s="1586"/>
      <c r="CL98" s="1586"/>
      <c r="CM98" s="1586"/>
      <c r="CP98" s="1065" t="s">
        <v>1754</v>
      </c>
      <c r="CQ98" s="3114">
        <v>43127.34</v>
      </c>
      <c r="CR98" s="1952" t="s">
        <v>1755</v>
      </c>
      <c r="CS98" s="1221"/>
      <c r="CT98" s="3148"/>
    </row>
    <row r="99" spans="1:98">
      <c r="BL99" s="1586"/>
      <c r="BM99" s="1586"/>
      <c r="BN99" s="1586"/>
      <c r="BQ99" s="1586"/>
      <c r="BR99" s="1586"/>
      <c r="BS99" s="1586"/>
      <c r="BV99" s="1586"/>
      <c r="BW99" s="1586"/>
      <c r="BX99" s="1586"/>
      <c r="CA99" s="1586"/>
      <c r="CB99" s="1586"/>
      <c r="CC99" s="1586"/>
      <c r="CF99" s="1586"/>
      <c r="CG99" s="1586"/>
      <c r="CH99" s="1586"/>
      <c r="CK99" s="1586"/>
      <c r="CL99" s="1586"/>
      <c r="CM99" s="1586"/>
      <c r="CP99" s="1065"/>
      <c r="CS99" s="1221"/>
      <c r="CT99" s="3148"/>
    </row>
    <row r="100" spans="1:98">
      <c r="BL100" s="1586"/>
      <c r="BM100" s="1586"/>
      <c r="BN100" s="1586"/>
      <c r="BQ100" s="1586"/>
      <c r="BR100" s="1586"/>
      <c r="BS100" s="1586"/>
      <c r="BV100" s="1586"/>
      <c r="BW100" s="1586"/>
      <c r="BX100" s="1586"/>
      <c r="CA100" s="1586"/>
      <c r="CB100" s="1586"/>
      <c r="CC100" s="1586"/>
      <c r="CF100" s="1586"/>
      <c r="CG100" s="1586"/>
      <c r="CH100" s="1586"/>
      <c r="CK100" s="1586"/>
      <c r="CL100" s="1586"/>
      <c r="CM100" s="1586"/>
      <c r="CP100" s="1952" t="s">
        <v>1458</v>
      </c>
      <c r="CQ100" s="1952">
        <f>SUM(CQ93:CQ99)</f>
        <v>-3.7720000189437997</v>
      </c>
      <c r="CR100" s="1952">
        <f>CQ100/CQ92</f>
        <v>-1.8778406600453156E-7</v>
      </c>
      <c r="CS100" s="1221"/>
      <c r="CT100" s="3148"/>
    </row>
    <row r="101" spans="1:98">
      <c r="BL101" s="1586"/>
      <c r="BM101" s="1586"/>
      <c r="BN101" s="1586"/>
      <c r="BQ101" s="1586"/>
      <c r="BR101" s="1586"/>
      <c r="BS101" s="1586"/>
      <c r="BV101" s="1586"/>
      <c r="BW101" s="1586"/>
      <c r="BX101" s="1586"/>
      <c r="CA101" s="1586"/>
      <c r="CB101" s="1586"/>
      <c r="CC101" s="1586"/>
      <c r="CF101" s="1586"/>
      <c r="CG101" s="1586"/>
      <c r="CH101" s="1586"/>
      <c r="CK101" s="1586"/>
      <c r="CL101" s="1586"/>
      <c r="CM101" s="1586"/>
      <c r="CS101" s="1221"/>
      <c r="CT101" s="3148"/>
    </row>
    <row r="102" spans="1:98">
      <c r="CA102" s="1586"/>
      <c r="CB102" s="1586"/>
      <c r="CC102" s="1586"/>
      <c r="CF102" s="1586"/>
      <c r="CG102" s="1586"/>
      <c r="CH102" s="1586"/>
      <c r="CK102" s="1586"/>
      <c r="CL102" s="1586"/>
      <c r="CM102" s="1586"/>
      <c r="CS102" s="1221"/>
    </row>
    <row r="103" spans="1:98" ht="13.8">
      <c r="CA103" s="1586"/>
      <c r="CB103" s="1586"/>
      <c r="CC103" s="1586"/>
      <c r="CF103" s="1586"/>
      <c r="CG103" s="1586"/>
      <c r="CH103" s="1586"/>
      <c r="CK103" s="1586"/>
      <c r="CL103" s="1586"/>
      <c r="CM103" s="1586"/>
      <c r="CP103" s="2782" t="s">
        <v>1481</v>
      </c>
      <c r="CQ103" s="756">
        <f>SUM(CQ104:CQ107)</f>
        <v>489664.33999999997</v>
      </c>
      <c r="CS103" s="3147"/>
    </row>
    <row r="104" spans="1:98">
      <c r="CP104" s="1065" t="s">
        <v>1630</v>
      </c>
      <c r="CQ104" s="1678">
        <v>30638.3</v>
      </c>
    </row>
    <row r="105" spans="1:98">
      <c r="CP105" s="1065" t="s">
        <v>1779</v>
      </c>
      <c r="CQ105" s="1678">
        <v>239546.93</v>
      </c>
    </row>
    <row r="106" spans="1:98">
      <c r="CP106" s="1065" t="s">
        <v>1780</v>
      </c>
      <c r="CQ106" s="1678">
        <v>217479.11</v>
      </c>
      <c r="CR106" s="828" t="s">
        <v>1781</v>
      </c>
    </row>
    <row r="107" spans="1:98">
      <c r="CP107" s="1065" t="s">
        <v>1496</v>
      </c>
      <c r="CQ107" s="1678">
        <v>2000</v>
      </c>
      <c r="CR107" s="1395" t="s">
        <v>1782</v>
      </c>
    </row>
    <row r="108" spans="1:98">
      <c r="CP108" s="1065"/>
      <c r="CQ108" s="1678"/>
      <c r="CR108" s="1395"/>
    </row>
    <row r="109" spans="1:98">
      <c r="BK109" s="1395"/>
      <c r="BL109" s="1395"/>
      <c r="BM109" s="1395"/>
      <c r="BN109" s="1395"/>
      <c r="BP109" s="1395"/>
      <c r="BQ109" s="1395"/>
      <c r="BR109" s="1395"/>
      <c r="BS109" s="1395"/>
      <c r="BU109" s="1395"/>
      <c r="BV109" s="1395"/>
      <c r="BW109" s="1395"/>
      <c r="BX109" s="1395"/>
      <c r="CP109" s="1065"/>
    </row>
    <row r="110" spans="1:98">
      <c r="A110" s="1395"/>
      <c r="B110" s="1395"/>
      <c r="C110" s="1395"/>
      <c r="D110" s="1395"/>
      <c r="E110" s="1395"/>
      <c r="F110" s="1395"/>
      <c r="G110" s="1395"/>
      <c r="H110" s="1395"/>
      <c r="I110" s="1395"/>
      <c r="J110" s="1395"/>
      <c r="K110" s="1395"/>
      <c r="L110" s="1395"/>
      <c r="AL110" s="1395"/>
      <c r="AM110" s="1395"/>
      <c r="AN110" s="1395"/>
      <c r="AO110" s="1395"/>
      <c r="AP110" s="1395"/>
      <c r="AQ110" s="1395"/>
      <c r="AR110" s="1395"/>
      <c r="AS110" s="1395"/>
      <c r="AT110" s="1395"/>
      <c r="AU110" s="1395"/>
      <c r="AV110" s="1395"/>
      <c r="AW110" s="1395"/>
      <c r="AX110" s="1395"/>
      <c r="AY110" s="1395"/>
      <c r="AZ110" s="1395"/>
      <c r="BA110" s="1395"/>
      <c r="BB110" s="1395"/>
      <c r="BC110" s="1395"/>
      <c r="BD110" s="1395"/>
      <c r="BE110" s="1395"/>
      <c r="BF110" s="1395"/>
      <c r="BG110" s="1395"/>
      <c r="BH110" s="1395"/>
      <c r="BI110" s="1395"/>
      <c r="BJ110" s="1395"/>
      <c r="BK110" s="1395"/>
      <c r="BL110" s="1395"/>
      <c r="BM110" s="1395"/>
      <c r="BN110" s="1395"/>
      <c r="BP110" s="1395"/>
      <c r="BQ110" s="1395"/>
      <c r="BR110" s="1395"/>
      <c r="BS110" s="1395"/>
      <c r="BU110" s="1395"/>
      <c r="BV110" s="1395"/>
      <c r="BW110" s="1395"/>
      <c r="BX110" s="1395"/>
    </row>
    <row r="111" spans="1:98">
      <c r="A111" s="1395"/>
      <c r="B111" s="1395"/>
      <c r="C111" s="1395"/>
      <c r="D111" s="1395"/>
      <c r="E111" s="1395"/>
      <c r="F111" s="1395"/>
      <c r="G111" s="1395"/>
      <c r="H111" s="1395"/>
      <c r="I111" s="1395"/>
      <c r="J111" s="1395"/>
      <c r="K111" s="1395"/>
      <c r="L111" s="1395"/>
      <c r="AL111" s="1395"/>
      <c r="AM111" s="1395"/>
      <c r="AN111" s="1395"/>
      <c r="AO111" s="1395"/>
      <c r="AP111" s="1395"/>
      <c r="AQ111" s="1395"/>
      <c r="AR111" s="1395"/>
      <c r="AS111" s="1395"/>
      <c r="AT111" s="1395"/>
      <c r="AU111" s="1395"/>
      <c r="AV111" s="1395"/>
      <c r="AW111" s="1395"/>
      <c r="AX111" s="1395"/>
      <c r="AY111" s="1395"/>
      <c r="AZ111" s="1395"/>
      <c r="BA111" s="1395"/>
      <c r="BB111" s="1395"/>
      <c r="BC111" s="1395"/>
      <c r="BD111" s="1395"/>
      <c r="BE111" s="1395"/>
      <c r="BF111" s="1395"/>
      <c r="BG111" s="1395"/>
      <c r="BH111" s="1395"/>
      <c r="BI111" s="1395"/>
      <c r="BJ111" s="1395"/>
      <c r="BK111" s="1395"/>
      <c r="BL111" s="1395"/>
      <c r="BM111" s="1395"/>
      <c r="BN111" s="1395"/>
      <c r="BP111" s="1395"/>
      <c r="BQ111" s="1395"/>
      <c r="BR111" s="1395"/>
      <c r="BS111" s="1395"/>
      <c r="BU111" s="1395"/>
      <c r="BV111" s="1395"/>
      <c r="BW111" s="1395"/>
      <c r="BX111" s="1395"/>
      <c r="BZ111" s="1395"/>
      <c r="CA111" s="1395"/>
      <c r="CB111" s="1395"/>
      <c r="CC111" s="1395"/>
      <c r="CD111" s="1395"/>
      <c r="CE111" s="1395"/>
      <c r="CF111" s="1395"/>
      <c r="CG111" s="1395"/>
      <c r="CH111" s="1395"/>
      <c r="CI111" s="1395"/>
      <c r="CJ111" s="1395"/>
      <c r="CK111" s="1395"/>
      <c r="CL111" s="1395"/>
      <c r="CM111" s="1395"/>
      <c r="CN111" s="1395"/>
      <c r="CO111" s="1395"/>
      <c r="CS111" s="1395"/>
    </row>
    <row r="112" spans="1:98">
      <c r="A112" s="1395"/>
      <c r="B112" s="1395"/>
      <c r="C112" s="1395"/>
      <c r="D112" s="1395"/>
      <c r="E112" s="1395"/>
      <c r="F112" s="1395"/>
      <c r="G112" s="1395"/>
      <c r="H112" s="1395"/>
      <c r="I112" s="1395"/>
      <c r="J112" s="1395"/>
      <c r="K112" s="1395"/>
      <c r="L112" s="1395"/>
      <c r="AL112" s="1395"/>
      <c r="AM112" s="1395"/>
      <c r="AN112" s="1395"/>
      <c r="AO112" s="1395"/>
      <c r="AP112" s="1395"/>
      <c r="AQ112" s="1395"/>
      <c r="AR112" s="1395"/>
      <c r="AS112" s="1395"/>
      <c r="AT112" s="1395"/>
      <c r="AU112" s="1395"/>
      <c r="AV112" s="1395"/>
      <c r="AW112" s="1395"/>
      <c r="AX112" s="1395"/>
      <c r="AY112" s="1395"/>
      <c r="AZ112" s="1395"/>
      <c r="BA112" s="1395"/>
      <c r="BB112" s="1395"/>
      <c r="BC112" s="1395"/>
      <c r="BD112" s="1395"/>
      <c r="BE112" s="1395"/>
      <c r="BF112" s="1395"/>
      <c r="BG112" s="1395"/>
      <c r="BH112" s="1395"/>
      <c r="BI112" s="1395"/>
      <c r="BJ112" s="1395"/>
      <c r="BK112" s="1395"/>
      <c r="BL112" s="1395"/>
      <c r="BM112" s="1395"/>
      <c r="BN112" s="1395"/>
      <c r="BP112" s="1395"/>
      <c r="BQ112" s="1395"/>
      <c r="BR112" s="1395"/>
      <c r="BS112" s="1395"/>
      <c r="BU112" s="1395"/>
      <c r="BV112" s="1395"/>
      <c r="BW112" s="1395"/>
      <c r="BX112" s="1395"/>
      <c r="BZ112" s="1395"/>
      <c r="CA112" s="1395"/>
      <c r="CB112" s="1395"/>
      <c r="CC112" s="1395"/>
      <c r="CD112" s="1395"/>
      <c r="CE112" s="1395"/>
      <c r="CF112" s="1395"/>
      <c r="CG112" s="1395"/>
      <c r="CH112" s="1395"/>
      <c r="CI112" s="1395"/>
      <c r="CJ112" s="1395"/>
      <c r="CK112" s="1395"/>
      <c r="CL112" s="1395"/>
      <c r="CM112" s="1395"/>
      <c r="CN112" s="1395"/>
      <c r="CO112" s="1395"/>
      <c r="CS112" s="1395"/>
    </row>
    <row r="113" spans="1:97">
      <c r="A113" s="1395"/>
      <c r="B113" s="1395"/>
      <c r="C113" s="1395"/>
      <c r="D113" s="1395"/>
      <c r="E113" s="1395"/>
      <c r="F113" s="1395"/>
      <c r="G113" s="1395"/>
      <c r="H113" s="1395"/>
      <c r="I113" s="1395"/>
      <c r="J113" s="1395"/>
      <c r="K113" s="1395"/>
      <c r="L113" s="1395"/>
      <c r="AL113" s="1395"/>
      <c r="AM113" s="1395"/>
      <c r="AN113" s="1395"/>
      <c r="AO113" s="1395"/>
      <c r="AP113" s="1395"/>
      <c r="AQ113" s="1395"/>
      <c r="AR113" s="1395"/>
      <c r="AS113" s="1395"/>
      <c r="AT113" s="1395"/>
      <c r="AU113" s="1395"/>
      <c r="AV113" s="1395"/>
      <c r="AW113" s="1395"/>
      <c r="AX113" s="1395"/>
      <c r="AY113" s="1395"/>
      <c r="AZ113" s="1395"/>
      <c r="BA113" s="1395"/>
      <c r="BB113" s="1395"/>
      <c r="BC113" s="1395"/>
      <c r="BD113" s="1395"/>
      <c r="BE113" s="1395"/>
      <c r="BF113" s="1395"/>
      <c r="BG113" s="1395"/>
      <c r="BH113" s="1395"/>
      <c r="BI113" s="1395"/>
      <c r="BJ113" s="1395"/>
      <c r="BK113" s="1395"/>
      <c r="BL113" s="1395"/>
      <c r="BM113" s="1395"/>
      <c r="BN113" s="1395"/>
      <c r="BO113" s="1395"/>
      <c r="BP113" s="1395"/>
      <c r="BQ113" s="1395"/>
      <c r="BR113" s="1395"/>
      <c r="BS113" s="1395"/>
      <c r="BT113" s="1395"/>
      <c r="BU113" s="1395"/>
      <c r="BV113" s="1395"/>
      <c r="BW113" s="1395"/>
      <c r="BX113" s="1395"/>
      <c r="BZ113" s="1395"/>
      <c r="CA113" s="1395"/>
      <c r="CB113" s="1395"/>
      <c r="CC113" s="1395"/>
      <c r="CD113" s="1395"/>
      <c r="CE113" s="1395"/>
      <c r="CF113" s="1395"/>
      <c r="CG113" s="1395"/>
      <c r="CH113" s="1395"/>
      <c r="CI113" s="1395"/>
      <c r="CJ113" s="1395"/>
      <c r="CK113" s="1395"/>
      <c r="CL113" s="1395"/>
      <c r="CM113" s="1395"/>
      <c r="CN113" s="1395"/>
      <c r="CO113" s="1395"/>
      <c r="CS113" s="1395"/>
    </row>
    <row r="114" spans="1:97">
      <c r="BY114" s="1395"/>
      <c r="BZ114" s="1395"/>
      <c r="CA114" s="1395"/>
      <c r="CB114" s="1395"/>
      <c r="CC114" s="1395"/>
      <c r="CD114" s="1395"/>
      <c r="CE114" s="1395"/>
      <c r="CF114" s="1395"/>
      <c r="CG114" s="1395"/>
      <c r="CH114" s="1395"/>
      <c r="CI114" s="1395"/>
      <c r="CJ114" s="1395"/>
      <c r="CK114" s="1395"/>
      <c r="CL114" s="1395"/>
      <c r="CM114" s="1395"/>
      <c r="CN114" s="1395"/>
      <c r="CO114" s="1395"/>
      <c r="CS114" s="1395"/>
    </row>
    <row r="115" spans="1:97">
      <c r="BZ115" s="1395"/>
      <c r="CA115" s="1395"/>
      <c r="CB115" s="1395"/>
      <c r="CC115" s="1395"/>
      <c r="CD115" s="1395"/>
      <c r="CE115" s="1395"/>
      <c r="CF115" s="1395"/>
      <c r="CG115" s="1395"/>
      <c r="CH115" s="1395"/>
      <c r="CI115" s="1395"/>
      <c r="CJ115" s="1395"/>
      <c r="CK115" s="1395"/>
      <c r="CL115" s="1395"/>
      <c r="CM115" s="1395"/>
      <c r="CN115" s="1395"/>
    </row>
    <row r="116" spans="1:97">
      <c r="BZ116" s="1395"/>
      <c r="CA116" s="1395"/>
      <c r="CB116" s="1395"/>
      <c r="CC116" s="1395"/>
      <c r="CD116" s="1395"/>
      <c r="CE116" s="1395"/>
      <c r="CF116" s="1395"/>
      <c r="CG116" s="1395"/>
      <c r="CH116" s="1395"/>
      <c r="CI116" s="1395"/>
      <c r="CJ116" s="1395"/>
      <c r="CK116" s="1395"/>
      <c r="CL116" s="1395"/>
      <c r="CM116" s="1395"/>
      <c r="CN116" s="1395"/>
    </row>
  </sheetData>
  <mergeCells count="21">
    <mergeCell ref="CO2:CS3"/>
    <mergeCell ref="BU2:BY3"/>
    <mergeCell ref="BA2:BE3"/>
    <mergeCell ref="BF2:BJ3"/>
    <mergeCell ref="BZ2:CD3"/>
    <mergeCell ref="CJ2:CN3"/>
    <mergeCell ref="CE2:CI3"/>
    <mergeCell ref="A42:A48"/>
    <mergeCell ref="A2:F2"/>
    <mergeCell ref="BP2:BT3"/>
    <mergeCell ref="A3:F3"/>
    <mergeCell ref="G2:K3"/>
    <mergeCell ref="AL2:AP3"/>
    <mergeCell ref="AQ2:AU3"/>
    <mergeCell ref="AV2:AZ3"/>
    <mergeCell ref="BK2:BO3"/>
    <mergeCell ref="M2:P3"/>
    <mergeCell ref="R2:V3"/>
    <mergeCell ref="W2:AA3"/>
    <mergeCell ref="AB2:AF3"/>
    <mergeCell ref="AG2:AK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BT104"/>
  <sheetViews>
    <sheetView zoomScale="70" zoomScaleNormal="70" workbookViewId="0">
      <pane xSplit="2" ySplit="5" topLeftCell="G6" activePane="bottomRight" state="frozen"/>
      <selection activeCell="C26" sqref="C25:C26"/>
      <selection pane="topRight" activeCell="C26" sqref="C25:C26"/>
      <selection pane="bottomLeft" activeCell="C26" sqref="C25:C26"/>
      <selection pane="bottomRight" activeCell="BJ10" sqref="B10:BJ11"/>
    </sheetView>
  </sheetViews>
  <sheetFormatPr defaultColWidth="7.44140625" defaultRowHeight="13.2" outlineLevelCol="1"/>
  <cols>
    <col min="1" max="1" width="5.5546875" style="2150" customWidth="1"/>
    <col min="2" max="2" width="47.44140625" style="2150" customWidth="1"/>
    <col min="3" max="3" width="14.6640625" style="2461" hidden="1" customWidth="1"/>
    <col min="4" max="4" width="15.44140625" style="2461" hidden="1" customWidth="1"/>
    <col min="5" max="5" width="15.33203125" style="2151" hidden="1" customWidth="1"/>
    <col min="6" max="6" width="9.5546875" style="2151" hidden="1" customWidth="1"/>
    <col min="7" max="8" width="16.44140625" style="2151" bestFit="1" customWidth="1"/>
    <col min="9" max="9" width="16.109375" style="2151" bestFit="1" customWidth="1"/>
    <col min="10" max="10" width="13.5546875" style="2151" bestFit="1" customWidth="1"/>
    <col min="11" max="11" width="8.33203125" style="2151" customWidth="1"/>
    <col min="12" max="13" width="13" style="2151" hidden="1" customWidth="1" outlineLevel="1"/>
    <col min="14" max="14" width="13.33203125" style="2151" hidden="1" customWidth="1" outlineLevel="1"/>
    <col min="15" max="16" width="9.5546875" style="2151" hidden="1" customWidth="1" outlineLevel="1"/>
    <col min="17" max="17" width="18.33203125" style="2151" hidden="1" customWidth="1" outlineLevel="1"/>
    <col min="18" max="18" width="18.6640625" style="2151" hidden="1" customWidth="1" outlineLevel="1"/>
    <col min="19" max="19" width="19.6640625" style="2151" hidden="1" customWidth="1" outlineLevel="1"/>
    <col min="20" max="20" width="9.6640625" style="2151" hidden="1" customWidth="1" outlineLevel="1"/>
    <col min="21" max="21" width="40.109375" style="2151" hidden="1" customWidth="1" outlineLevel="1"/>
    <col min="22" max="22" width="18.6640625" style="2151" hidden="1" customWidth="1" outlineLevel="1"/>
    <col min="23" max="23" width="18.33203125" style="2151" hidden="1" customWidth="1" outlineLevel="1"/>
    <col min="24" max="24" width="23.88671875" style="2151" hidden="1" customWidth="1" outlineLevel="1"/>
    <col min="25" max="25" width="12.6640625" style="2151" hidden="1" customWidth="1" outlineLevel="1"/>
    <col min="26" max="26" width="29.6640625" style="2151" hidden="1" customWidth="1" outlineLevel="1"/>
    <col min="27" max="27" width="16.44140625" style="2151" hidden="1" customWidth="1" outlineLevel="1" collapsed="1"/>
    <col min="28" max="29" width="16.44140625" style="2151" hidden="1" customWidth="1" outlineLevel="1"/>
    <col min="30" max="30" width="11.109375" style="2151" hidden="1" customWidth="1" outlineLevel="1"/>
    <col min="31" max="31" width="16.44140625" style="2151" hidden="1" customWidth="1" outlineLevel="1"/>
    <col min="32" max="32" width="15.33203125" style="2151" hidden="1" customWidth="1" outlineLevel="1" collapsed="1"/>
    <col min="33" max="36" width="15.33203125" style="2151" hidden="1" customWidth="1" outlineLevel="1"/>
    <col min="37" max="37" width="15.33203125" style="2151" hidden="1" customWidth="1" outlineLevel="1" collapsed="1"/>
    <col min="38" max="40" width="15.33203125" style="2151" hidden="1" customWidth="1" outlineLevel="1"/>
    <col min="41" max="41" width="37.33203125" style="2151" hidden="1" customWidth="1" outlineLevel="1"/>
    <col min="42" max="42" width="15.33203125" style="2151" hidden="1" customWidth="1" outlineLevel="1" collapsed="1"/>
    <col min="43" max="45" width="15.33203125" style="2151" hidden="1" customWidth="1" outlineLevel="1"/>
    <col min="46" max="46" width="37.109375" style="2151" hidden="1" customWidth="1" outlineLevel="1"/>
    <col min="47" max="47" width="15.33203125" style="2151" hidden="1" customWidth="1" outlineLevel="1" collapsed="1"/>
    <col min="48" max="50" width="15.33203125" style="2151" hidden="1" customWidth="1" outlineLevel="1"/>
    <col min="51" max="51" width="37.109375" style="2151" hidden="1" customWidth="1" outlineLevel="1"/>
    <col min="52" max="55" width="15.33203125" style="2151" hidden="1" customWidth="1" outlineLevel="1"/>
    <col min="56" max="56" width="37.109375" style="2151" hidden="1" customWidth="1" outlineLevel="1"/>
    <col min="57" max="60" width="15.33203125" style="2151" hidden="1" customWidth="1" outlineLevel="1"/>
    <col min="61" max="61" width="37.109375" style="2151" hidden="1" customWidth="1" outlineLevel="1"/>
    <col min="62" max="62" width="16.6640625" style="2151" customWidth="1" collapsed="1"/>
    <col min="63" max="67" width="16.6640625" style="2151" customWidth="1"/>
    <col min="68" max="68" width="5.6640625" style="2151" customWidth="1"/>
    <col min="69" max="69" width="17.6640625" style="2152" customWidth="1"/>
    <col min="70" max="70" width="10.5546875" style="2152" bestFit="1" customWidth="1"/>
    <col min="71" max="71" width="11.88671875" style="2153" bestFit="1" customWidth="1"/>
    <col min="72" max="72" width="7.44140625" style="2153"/>
    <col min="73" max="16384" width="7.44140625" style="2154"/>
  </cols>
  <sheetData>
    <row r="1" spans="1:72" ht="13.8" thickBot="1">
      <c r="C1" s="2151"/>
      <c r="D1" s="2151"/>
    </row>
    <row r="2" spans="1:72" ht="14.4" customHeight="1">
      <c r="A2" s="4947" t="s">
        <v>943</v>
      </c>
      <c r="B2" s="4948"/>
      <c r="C2" s="4948"/>
      <c r="D2" s="4948"/>
      <c r="E2" s="4948"/>
      <c r="F2" s="4949"/>
      <c r="G2" s="4947" t="s">
        <v>1349</v>
      </c>
      <c r="H2" s="4948"/>
      <c r="I2" s="4948"/>
      <c r="J2" s="4948"/>
      <c r="K2" s="4949"/>
      <c r="L2" s="4947" t="s">
        <v>969</v>
      </c>
      <c r="M2" s="4948"/>
      <c r="N2" s="4948"/>
      <c r="O2" s="4948"/>
      <c r="P2" s="4949"/>
      <c r="Q2" s="4904" t="s">
        <v>964</v>
      </c>
      <c r="R2" s="4905"/>
      <c r="S2" s="4905"/>
      <c r="T2" s="4905"/>
      <c r="U2" s="4906"/>
      <c r="V2" s="4837" t="s">
        <v>1008</v>
      </c>
      <c r="W2" s="4838"/>
      <c r="X2" s="4838"/>
      <c r="Y2" s="4838"/>
      <c r="Z2" s="4953"/>
      <c r="AA2" s="4837" t="s">
        <v>1062</v>
      </c>
      <c r="AB2" s="4838"/>
      <c r="AC2" s="4838"/>
      <c r="AD2" s="4838"/>
      <c r="AE2" s="4838"/>
      <c r="AF2" s="4922" t="s">
        <v>1066</v>
      </c>
      <c r="AG2" s="4923"/>
      <c r="AH2" s="4923"/>
      <c r="AI2" s="4923"/>
      <c r="AJ2" s="4924"/>
      <c r="AK2" s="4955" t="s">
        <v>1124</v>
      </c>
      <c r="AL2" s="4956"/>
      <c r="AM2" s="4956"/>
      <c r="AN2" s="4956"/>
      <c r="AO2" s="4957"/>
      <c r="AP2" s="4934" t="s">
        <v>1155</v>
      </c>
      <c r="AQ2" s="4935"/>
      <c r="AR2" s="4935"/>
      <c r="AS2" s="4935"/>
      <c r="AT2" s="4936"/>
      <c r="AU2" s="4837" t="s">
        <v>1193</v>
      </c>
      <c r="AV2" s="4838"/>
      <c r="AW2" s="4838"/>
      <c r="AX2" s="4838"/>
      <c r="AY2" s="4953"/>
      <c r="AZ2" s="4940" t="s">
        <v>1232</v>
      </c>
      <c r="BA2" s="4941"/>
      <c r="BB2" s="4941"/>
      <c r="BC2" s="4941"/>
      <c r="BD2" s="4942"/>
      <c r="BE2" s="4898" t="s">
        <v>1316</v>
      </c>
      <c r="BF2" s="4899"/>
      <c r="BG2" s="4899"/>
      <c r="BH2" s="4899"/>
      <c r="BI2" s="4900"/>
      <c r="BJ2" s="4874" t="s">
        <v>469</v>
      </c>
      <c r="BK2" s="4875"/>
      <c r="BL2" s="4875"/>
      <c r="BM2" s="4875"/>
      <c r="BN2" s="4876"/>
      <c r="BO2" s="2155"/>
      <c r="BP2" s="2155"/>
    </row>
    <row r="3" spans="1:72" ht="15" customHeight="1" thickBot="1">
      <c r="A3" s="4853" t="s">
        <v>54</v>
      </c>
      <c r="B3" s="4854"/>
      <c r="C3" s="4854"/>
      <c r="D3" s="4854"/>
      <c r="E3" s="4854"/>
      <c r="F3" s="4855"/>
      <c r="G3" s="4950"/>
      <c r="H3" s="4951"/>
      <c r="I3" s="4951"/>
      <c r="J3" s="4951"/>
      <c r="K3" s="4952"/>
      <c r="L3" s="4950"/>
      <c r="M3" s="4951"/>
      <c r="N3" s="4951"/>
      <c r="O3" s="4951"/>
      <c r="P3" s="4952"/>
      <c r="Q3" s="4907"/>
      <c r="R3" s="4908"/>
      <c r="S3" s="4908"/>
      <c r="T3" s="4908"/>
      <c r="U3" s="4909"/>
      <c r="V3" s="4839"/>
      <c r="W3" s="4840"/>
      <c r="X3" s="4840"/>
      <c r="Y3" s="4840"/>
      <c r="Z3" s="4954"/>
      <c r="AA3" s="4839"/>
      <c r="AB3" s="4840"/>
      <c r="AC3" s="4840"/>
      <c r="AD3" s="4840"/>
      <c r="AE3" s="4840"/>
      <c r="AF3" s="4925"/>
      <c r="AG3" s="4926"/>
      <c r="AH3" s="4926"/>
      <c r="AI3" s="4926"/>
      <c r="AJ3" s="4927"/>
      <c r="AK3" s="4958"/>
      <c r="AL3" s="4959"/>
      <c r="AM3" s="4959"/>
      <c r="AN3" s="4959"/>
      <c r="AO3" s="4960"/>
      <c r="AP3" s="4937"/>
      <c r="AQ3" s="4938"/>
      <c r="AR3" s="4938"/>
      <c r="AS3" s="4938"/>
      <c r="AT3" s="4939"/>
      <c r="AU3" s="4839"/>
      <c r="AV3" s="4840"/>
      <c r="AW3" s="4840"/>
      <c r="AX3" s="4840"/>
      <c r="AY3" s="4954"/>
      <c r="AZ3" s="4943"/>
      <c r="BA3" s="4944"/>
      <c r="BB3" s="4944"/>
      <c r="BC3" s="4944"/>
      <c r="BD3" s="4945"/>
      <c r="BE3" s="4901"/>
      <c r="BF3" s="4902"/>
      <c r="BG3" s="4902"/>
      <c r="BH3" s="4902"/>
      <c r="BI3" s="4903"/>
      <c r="BJ3" s="4877"/>
      <c r="BK3" s="4878"/>
      <c r="BL3" s="4878"/>
      <c r="BM3" s="4878"/>
      <c r="BN3" s="4879"/>
      <c r="BO3" s="2155"/>
      <c r="BP3" s="2155"/>
    </row>
    <row r="4" spans="1:72" ht="41.4" thickBot="1">
      <c r="A4" s="2156"/>
      <c r="B4" s="2157" t="s">
        <v>11</v>
      </c>
      <c r="C4" s="2158" t="s">
        <v>55</v>
      </c>
      <c r="D4" s="2158" t="s">
        <v>18</v>
      </c>
      <c r="E4" s="2159" t="s">
        <v>39</v>
      </c>
      <c r="F4" s="2160" t="s">
        <v>40</v>
      </c>
      <c r="G4" s="2161" t="s">
        <v>55</v>
      </c>
      <c r="H4" s="2161" t="s">
        <v>18</v>
      </c>
      <c r="I4" s="2162" t="s">
        <v>39</v>
      </c>
      <c r="J4" s="2160" t="s">
        <v>40</v>
      </c>
      <c r="K4" s="2162" t="s">
        <v>19</v>
      </c>
      <c r="L4" s="2163" t="s">
        <v>968</v>
      </c>
      <c r="M4" s="2163" t="s">
        <v>18</v>
      </c>
      <c r="N4" s="2163" t="s">
        <v>39</v>
      </c>
      <c r="O4" s="2163" t="s">
        <v>40</v>
      </c>
      <c r="P4" s="2163"/>
      <c r="Q4" s="2161" t="s">
        <v>55</v>
      </c>
      <c r="R4" s="2161" t="s">
        <v>18</v>
      </c>
      <c r="S4" s="2162" t="s">
        <v>39</v>
      </c>
      <c r="T4" s="2160" t="s">
        <v>40</v>
      </c>
      <c r="U4" s="2162" t="s">
        <v>19</v>
      </c>
      <c r="V4" s="2161" t="s">
        <v>55</v>
      </c>
      <c r="W4" s="2161" t="s">
        <v>18</v>
      </c>
      <c r="X4" s="2162" t="s">
        <v>39</v>
      </c>
      <c r="Y4" s="2160" t="s">
        <v>40</v>
      </c>
      <c r="Z4" s="2162" t="s">
        <v>19</v>
      </c>
      <c r="AA4" s="2161" t="s">
        <v>55</v>
      </c>
      <c r="AB4" s="2161" t="s">
        <v>18</v>
      </c>
      <c r="AC4" s="2162" t="s">
        <v>39</v>
      </c>
      <c r="AD4" s="2160" t="s">
        <v>40</v>
      </c>
      <c r="AE4" s="2161" t="s">
        <v>19</v>
      </c>
      <c r="AF4" s="2161" t="s">
        <v>55</v>
      </c>
      <c r="AG4" s="2161" t="s">
        <v>18</v>
      </c>
      <c r="AH4" s="2162" t="s">
        <v>39</v>
      </c>
      <c r="AI4" s="2160" t="s">
        <v>40</v>
      </c>
      <c r="AJ4" s="2162" t="s">
        <v>19</v>
      </c>
      <c r="AK4" s="2161" t="s">
        <v>55</v>
      </c>
      <c r="AL4" s="2161" t="s">
        <v>18</v>
      </c>
      <c r="AM4" s="2162" t="s">
        <v>39</v>
      </c>
      <c r="AN4" s="2160" t="s">
        <v>40</v>
      </c>
      <c r="AO4" s="2162" t="s">
        <v>19</v>
      </c>
      <c r="AP4" s="2161" t="s">
        <v>55</v>
      </c>
      <c r="AQ4" s="2161" t="s">
        <v>18</v>
      </c>
      <c r="AR4" s="2162" t="s">
        <v>39</v>
      </c>
      <c r="AS4" s="2160" t="s">
        <v>40</v>
      </c>
      <c r="AT4" s="2162" t="s">
        <v>19</v>
      </c>
      <c r="AU4" s="2161" t="s">
        <v>55</v>
      </c>
      <c r="AV4" s="2161" t="s">
        <v>18</v>
      </c>
      <c r="AW4" s="2162" t="s">
        <v>39</v>
      </c>
      <c r="AX4" s="2160" t="s">
        <v>40</v>
      </c>
      <c r="AY4" s="2162" t="s">
        <v>19</v>
      </c>
      <c r="AZ4" s="2161" t="s">
        <v>55</v>
      </c>
      <c r="BA4" s="2161" t="s">
        <v>18</v>
      </c>
      <c r="BB4" s="2162" t="s">
        <v>39</v>
      </c>
      <c r="BC4" s="2160" t="s">
        <v>40</v>
      </c>
      <c r="BD4" s="2162" t="s">
        <v>19</v>
      </c>
      <c r="BE4" s="2161" t="s">
        <v>55</v>
      </c>
      <c r="BF4" s="2161" t="s">
        <v>18</v>
      </c>
      <c r="BG4" s="2162" t="s">
        <v>39</v>
      </c>
      <c r="BH4" s="2160" t="s">
        <v>40</v>
      </c>
      <c r="BI4" s="2162" t="s">
        <v>19</v>
      </c>
      <c r="BJ4" s="2161" t="s">
        <v>55</v>
      </c>
      <c r="BK4" s="2161" t="s">
        <v>18</v>
      </c>
      <c r="BL4" s="2162" t="s">
        <v>39</v>
      </c>
      <c r="BM4" s="2160" t="s">
        <v>40</v>
      </c>
      <c r="BN4" s="2162" t="s">
        <v>19</v>
      </c>
      <c r="BO4" s="2164"/>
      <c r="BP4" s="2164"/>
      <c r="BQ4" s="2165" t="s">
        <v>1350</v>
      </c>
    </row>
    <row r="5" spans="1:72" s="2175" customFormat="1" ht="15" customHeight="1" thickBot="1">
      <c r="A5" s="2166"/>
      <c r="B5" s="2167" t="s">
        <v>10</v>
      </c>
      <c r="C5" s="2168">
        <f>C6</f>
        <v>0</v>
      </c>
      <c r="D5" s="2168">
        <f>D6</f>
        <v>0</v>
      </c>
      <c r="E5" s="2169">
        <f>E6</f>
        <v>0</v>
      </c>
      <c r="F5" s="2170"/>
      <c r="G5" s="2170">
        <f>G6</f>
        <v>12323166.798512999</v>
      </c>
      <c r="H5" s="2170">
        <f>H6</f>
        <v>0</v>
      </c>
      <c r="I5" s="2170">
        <f>I6</f>
        <v>12323166.798512999</v>
      </c>
      <c r="J5" s="2170"/>
      <c r="K5" s="2170"/>
      <c r="L5" s="2170">
        <v>0</v>
      </c>
      <c r="M5" s="2170">
        <v>0</v>
      </c>
      <c r="N5" s="2170">
        <v>0</v>
      </c>
      <c r="O5" s="2170"/>
      <c r="P5" s="2170"/>
      <c r="Q5" s="2170">
        <f>Q6</f>
        <v>3145663.74</v>
      </c>
      <c r="R5" s="2170">
        <f>R6</f>
        <v>0</v>
      </c>
      <c r="S5" s="2170">
        <f>S6</f>
        <v>3145663.74</v>
      </c>
      <c r="T5" s="2170"/>
      <c r="U5" s="2170"/>
      <c r="V5" s="2170">
        <f>V6</f>
        <v>2022564.9699999997</v>
      </c>
      <c r="W5" s="2170">
        <f>W6</f>
        <v>0</v>
      </c>
      <c r="X5" s="2170">
        <f>X6</f>
        <v>2022564.9699999997</v>
      </c>
      <c r="Y5" s="2170"/>
      <c r="Z5" s="2170"/>
      <c r="AA5" s="2170">
        <f>AA6</f>
        <v>0</v>
      </c>
      <c r="AB5" s="2170">
        <f>AB6</f>
        <v>0</v>
      </c>
      <c r="AC5" s="2170">
        <f>AC6</f>
        <v>0</v>
      </c>
      <c r="AD5" s="2170"/>
      <c r="AE5" s="2171"/>
      <c r="AF5" s="2169">
        <f>AF6</f>
        <v>0</v>
      </c>
      <c r="AG5" s="2170">
        <f>AG6</f>
        <v>0</v>
      </c>
      <c r="AH5" s="2170">
        <f>AH6</f>
        <v>0</v>
      </c>
      <c r="AI5" s="2170"/>
      <c r="AJ5" s="2170"/>
      <c r="AK5" s="2169">
        <f>AK6</f>
        <v>0</v>
      </c>
      <c r="AL5" s="2170">
        <f>AL6</f>
        <v>0</v>
      </c>
      <c r="AM5" s="2170">
        <f>AM6</f>
        <v>0</v>
      </c>
      <c r="AN5" s="2170"/>
      <c r="AO5" s="2170"/>
      <c r="AP5" s="2169">
        <f>AP6</f>
        <v>1929039.38</v>
      </c>
      <c r="AQ5" s="2170">
        <f>AQ6</f>
        <v>0</v>
      </c>
      <c r="AR5" s="2170">
        <f>AR6</f>
        <v>1929039.38</v>
      </c>
      <c r="AS5" s="2170"/>
      <c r="AT5" s="2170"/>
      <c r="AU5" s="2169">
        <f>AU6</f>
        <v>0</v>
      </c>
      <c r="AV5" s="2170">
        <f>AV6</f>
        <v>0</v>
      </c>
      <c r="AW5" s="2170">
        <f>AW6</f>
        <v>0</v>
      </c>
      <c r="AX5" s="2170"/>
      <c r="AY5" s="2170"/>
      <c r="AZ5" s="2169">
        <f>AZ6</f>
        <v>0</v>
      </c>
      <c r="BA5" s="2170">
        <f>BA6</f>
        <v>0</v>
      </c>
      <c r="BB5" s="2170">
        <f>BB6</f>
        <v>0</v>
      </c>
      <c r="BC5" s="2170"/>
      <c r="BD5" s="2170"/>
      <c r="BE5" s="2169">
        <f>BE6</f>
        <v>488047.21</v>
      </c>
      <c r="BF5" s="2170">
        <f>BF6</f>
        <v>0</v>
      </c>
      <c r="BG5" s="2170">
        <f>BG6</f>
        <v>488047.21</v>
      </c>
      <c r="BH5" s="2170"/>
      <c r="BI5" s="2170"/>
      <c r="BJ5" s="2170">
        <f>BJ6+BJ7</f>
        <v>7585315.2999999998</v>
      </c>
      <c r="BK5" s="2170">
        <f>BK6+BK7</f>
        <v>0</v>
      </c>
      <c r="BL5" s="2170">
        <f>BL6+BL7</f>
        <v>7585315.2999999998</v>
      </c>
      <c r="BM5" s="2170"/>
      <c r="BN5" s="2170"/>
      <c r="BO5" s="2172"/>
      <c r="BP5" s="2172"/>
      <c r="BQ5" s="2173"/>
      <c r="BR5" s="2173"/>
      <c r="BS5" s="2174"/>
      <c r="BT5" s="2174"/>
    </row>
    <row r="6" spans="1:72" s="2192" customFormat="1" ht="80.400000000000006" customHeight="1">
      <c r="A6" s="2176">
        <v>0</v>
      </c>
      <c r="B6" s="2177" t="s">
        <v>17</v>
      </c>
      <c r="C6" s="2178"/>
      <c r="D6" s="2179"/>
      <c r="E6" s="2180">
        <f>C6+D6</f>
        <v>0</v>
      </c>
      <c r="F6" s="2181"/>
      <c r="G6" s="2181">
        <v>12323166.798512999</v>
      </c>
      <c r="H6" s="2181"/>
      <c r="I6" s="2180">
        <v>12323166.798512999</v>
      </c>
      <c r="J6" s="2181" t="s">
        <v>1351</v>
      </c>
      <c r="K6" s="2182"/>
      <c r="L6" s="2181">
        <v>0</v>
      </c>
      <c r="M6" s="2181">
        <v>0</v>
      </c>
      <c r="N6" s="2181">
        <f>L6+M6</f>
        <v>0</v>
      </c>
      <c r="O6" s="2181"/>
      <c r="P6" s="2181"/>
      <c r="Q6" s="2181">
        <v>3145663.74</v>
      </c>
      <c r="R6" s="2181"/>
      <c r="S6" s="2180">
        <f>Q6+R6</f>
        <v>3145663.74</v>
      </c>
      <c r="T6" s="2181"/>
      <c r="U6" s="2182" t="s">
        <v>971</v>
      </c>
      <c r="V6" s="2181">
        <f>5168228.71-Q6</f>
        <v>2022564.9699999997</v>
      </c>
      <c r="W6" s="2181"/>
      <c r="X6" s="2180">
        <f>V6+W6</f>
        <v>2022564.9699999997</v>
      </c>
      <c r="Y6" s="2181"/>
      <c r="Z6" s="2182" t="s">
        <v>1059</v>
      </c>
      <c r="AA6" s="2181"/>
      <c r="AB6" s="2181"/>
      <c r="AC6" s="2180">
        <f>AA6+AB6</f>
        <v>0</v>
      </c>
      <c r="AD6" s="2181"/>
      <c r="AE6" s="2183"/>
      <c r="AF6" s="2184"/>
      <c r="AG6" s="2181"/>
      <c r="AH6" s="2180">
        <f>AF6+AG6</f>
        <v>0</v>
      </c>
      <c r="AI6" s="2181"/>
      <c r="AJ6" s="2181"/>
      <c r="AK6" s="2184"/>
      <c r="AL6" s="2181"/>
      <c r="AM6" s="2180">
        <f>AK6+AL6</f>
        <v>0</v>
      </c>
      <c r="AN6" s="2181"/>
      <c r="AO6" s="2181"/>
      <c r="AP6" s="2185">
        <v>1929039.38</v>
      </c>
      <c r="AQ6" s="2181"/>
      <c r="AR6" s="2180">
        <f>AP6+AQ6</f>
        <v>1929039.38</v>
      </c>
      <c r="AS6" s="2181"/>
      <c r="AT6" s="2186" t="s">
        <v>1180</v>
      </c>
      <c r="AU6" s="2184"/>
      <c r="AV6" s="2181"/>
      <c r="AW6" s="2180">
        <f>AU6+AV6</f>
        <v>0</v>
      </c>
      <c r="AX6" s="2181"/>
      <c r="AY6" s="2187"/>
      <c r="AZ6" s="2184"/>
      <c r="BA6" s="2181"/>
      <c r="BB6" s="2180">
        <f>AZ6+BA6</f>
        <v>0</v>
      </c>
      <c r="BC6" s="2181"/>
      <c r="BD6" s="2187"/>
      <c r="BE6" s="2184">
        <v>488047.21</v>
      </c>
      <c r="BF6" s="2181"/>
      <c r="BG6" s="2180">
        <f>BE6+BF6</f>
        <v>488047.21</v>
      </c>
      <c r="BH6" s="2181"/>
      <c r="BI6" s="2187" t="s">
        <v>1319</v>
      </c>
      <c r="BJ6" s="2184">
        <f>L6+Q6+V6+AA6+AF6+AK6+AP6+AU6+AZ6+BE6</f>
        <v>7585315.2999999998</v>
      </c>
      <c r="BK6" s="2181">
        <f>M6+R6+W6+AB6+AG6+AL6+AQ6+AV6+BA6+BF6</f>
        <v>0</v>
      </c>
      <c r="BL6" s="2180">
        <f>BJ6+BK6</f>
        <v>7585315.2999999998</v>
      </c>
      <c r="BM6" s="2181"/>
      <c r="BN6" s="2181"/>
      <c r="BO6" s="2188">
        <f>BL6-I6</f>
        <v>-4737851.4985129992</v>
      </c>
      <c r="BP6" s="2188"/>
      <c r="BQ6" s="2189">
        <v>7585315.3000000007</v>
      </c>
      <c r="BR6" s="2190">
        <f>BL6-BQ6</f>
        <v>0</v>
      </c>
      <c r="BS6" s="2191"/>
      <c r="BT6" s="2191"/>
    </row>
    <row r="7" spans="1:72" s="2192" customFormat="1" ht="15" customHeight="1" thickBot="1">
      <c r="A7" s="2193"/>
      <c r="B7" s="2194" t="s">
        <v>41</v>
      </c>
      <c r="C7" s="2195"/>
      <c r="D7" s="2196"/>
      <c r="E7" s="2180">
        <f>C7+D7</f>
        <v>0</v>
      </c>
      <c r="F7" s="2197"/>
      <c r="G7" s="2181"/>
      <c r="H7" s="2181"/>
      <c r="I7" s="2180">
        <f>G7+H7</f>
        <v>0</v>
      </c>
      <c r="J7" s="2197"/>
      <c r="K7" s="2197"/>
      <c r="L7" s="2198">
        <v>0</v>
      </c>
      <c r="M7" s="2198">
        <v>0</v>
      </c>
      <c r="N7" s="2181">
        <f>L7+M7</f>
        <v>0</v>
      </c>
      <c r="O7" s="2198"/>
      <c r="P7" s="2198"/>
      <c r="Q7" s="2181"/>
      <c r="R7" s="2181"/>
      <c r="S7" s="2180">
        <f>Q7+R7</f>
        <v>0</v>
      </c>
      <c r="T7" s="2197"/>
      <c r="U7" s="2197"/>
      <c r="V7" s="2181"/>
      <c r="W7" s="2181"/>
      <c r="X7" s="2180">
        <f>V7+W7</f>
        <v>0</v>
      </c>
      <c r="Y7" s="2197"/>
      <c r="Z7" s="2197"/>
      <c r="AA7" s="2181"/>
      <c r="AB7" s="2181"/>
      <c r="AC7" s="2180">
        <f>AA7+AB7</f>
        <v>0</v>
      </c>
      <c r="AD7" s="2197"/>
      <c r="AE7" s="2199"/>
      <c r="AF7" s="2184"/>
      <c r="AG7" s="2181"/>
      <c r="AH7" s="2180">
        <f>AF7+AG7</f>
        <v>0</v>
      </c>
      <c r="AI7" s="2197"/>
      <c r="AJ7" s="2197"/>
      <c r="AK7" s="2184"/>
      <c r="AL7" s="2181"/>
      <c r="AM7" s="2180">
        <f>AK7+AL7</f>
        <v>0</v>
      </c>
      <c r="AN7" s="2197"/>
      <c r="AO7" s="2197"/>
      <c r="AP7" s="2184"/>
      <c r="AQ7" s="2181"/>
      <c r="AR7" s="2180">
        <f>AP7+AQ7</f>
        <v>0</v>
      </c>
      <c r="AS7" s="2197"/>
      <c r="AT7" s="2197"/>
      <c r="AU7" s="2184"/>
      <c r="AV7" s="2181"/>
      <c r="AW7" s="2180">
        <f>AU7+AV7</f>
        <v>0</v>
      </c>
      <c r="AX7" s="2197"/>
      <c r="AY7" s="2197"/>
      <c r="AZ7" s="2184"/>
      <c r="BA7" s="2181"/>
      <c r="BB7" s="2180">
        <f>AZ7+BA7</f>
        <v>0</v>
      </c>
      <c r="BC7" s="2197"/>
      <c r="BD7" s="2197"/>
      <c r="BE7" s="2184"/>
      <c r="BF7" s="2181"/>
      <c r="BG7" s="2180">
        <f>BE7+BF7</f>
        <v>0</v>
      </c>
      <c r="BH7" s="2197"/>
      <c r="BI7" s="2197"/>
      <c r="BJ7" s="2181">
        <f>L7+Q7+V7+AA7+AF7+AK7+AP7+AU7+AZ7+BE7</f>
        <v>0</v>
      </c>
      <c r="BK7" s="2181">
        <f>M7+R7+W7+AB7+AG7+AL7+AQ7+AV7+BA7+BF7</f>
        <v>0</v>
      </c>
      <c r="BL7" s="2180">
        <f>BJ7+BK7</f>
        <v>0</v>
      </c>
      <c r="BM7" s="2197"/>
      <c r="BN7" s="2197"/>
      <c r="BO7" s="2188"/>
      <c r="BP7" s="2188"/>
      <c r="BQ7" s="2200">
        <v>8207.83</v>
      </c>
      <c r="BR7" s="2190">
        <f>BQ7-BL7</f>
        <v>8207.83</v>
      </c>
      <c r="BS7" s="2191" t="s">
        <v>1352</v>
      </c>
      <c r="BT7" s="2191"/>
    </row>
    <row r="8" spans="1:72" s="2175" customFormat="1" ht="15" customHeight="1" thickBot="1">
      <c r="A8" s="2193"/>
      <c r="B8" s="2167" t="s">
        <v>16</v>
      </c>
      <c r="C8" s="2201">
        <f>SUM(C9:C33)</f>
        <v>0</v>
      </c>
      <c r="D8" s="2201">
        <f>SUM(D9:D33)</f>
        <v>0</v>
      </c>
      <c r="E8" s="2202">
        <f>SUM(E9:E33)</f>
        <v>0</v>
      </c>
      <c r="F8" s="1528" t="e">
        <f t="shared" ref="F8:F21" si="0">E8/$E$89</f>
        <v>#DIV/0!</v>
      </c>
      <c r="G8" s="2201">
        <f>SUM(G9:G33)</f>
        <v>8104757.0181761608</v>
      </c>
      <c r="H8" s="2201">
        <f>SUM(H9:H33)</f>
        <v>1492303.7333992564</v>
      </c>
      <c r="I8" s="2202">
        <f>SUM(I9:I33)</f>
        <v>9597060.7515754178</v>
      </c>
      <c r="J8" s="1528">
        <f>I8/$S$89</f>
        <v>4.0782757282334021</v>
      </c>
      <c r="K8" s="2170"/>
      <c r="L8" s="2201">
        <v>160805.64000000001</v>
      </c>
      <c r="M8" s="2201">
        <v>123526</v>
      </c>
      <c r="N8" s="2202">
        <v>284331.64</v>
      </c>
      <c r="O8" s="1528">
        <v>0.66275342606034693</v>
      </c>
      <c r="P8" s="1576"/>
      <c r="Q8" s="2201">
        <f>SUM(Q9:Q33)</f>
        <v>2181500.2480000001</v>
      </c>
      <c r="R8" s="2201">
        <f>SUM(R9:R33)</f>
        <v>111235.68</v>
      </c>
      <c r="S8" s="2202">
        <f>SUM(S9:S33)</f>
        <v>2292735.9280000003</v>
      </c>
      <c r="T8" s="1528">
        <f>S8/$S$89</f>
        <v>0.97429927020897078</v>
      </c>
      <c r="U8" s="2170"/>
      <c r="V8" s="2201">
        <f>SUM(V9:V33)</f>
        <v>1151416.4876000001</v>
      </c>
      <c r="W8" s="2201">
        <f>SUM(W9:W33)</f>
        <v>168991.72999999998</v>
      </c>
      <c r="X8" s="2202">
        <f>SUM(X9:X33)</f>
        <v>1320408.2176000001</v>
      </c>
      <c r="Y8" s="1528">
        <f>X8/$X$89</f>
        <v>0.96121744061671033</v>
      </c>
      <c r="Z8" s="2170"/>
      <c r="AA8" s="2201">
        <f>SUM(AA9:AA33)</f>
        <v>0</v>
      </c>
      <c r="AB8" s="2201">
        <f>SUM(AB9:AB33)</f>
        <v>0</v>
      </c>
      <c r="AC8" s="2202">
        <f>SUM(AC9:AC33)</f>
        <v>0</v>
      </c>
      <c r="AD8" s="1528" t="e">
        <f>AC8/$AC$89</f>
        <v>#DIV/0!</v>
      </c>
      <c r="AE8" s="2171"/>
      <c r="AF8" s="2201">
        <f>SUM(AF9:AF33)</f>
        <v>0</v>
      </c>
      <c r="AG8" s="2201">
        <f>SUM(AG9:AG33)</f>
        <v>0</v>
      </c>
      <c r="AH8" s="2202">
        <f>SUM(AH9:AH33)</f>
        <v>0</v>
      </c>
      <c r="AI8" s="1528" t="e">
        <f>AH8/$AC$89</f>
        <v>#DIV/0!</v>
      </c>
      <c r="AJ8" s="2170"/>
      <c r="AK8" s="2201">
        <f>SUM(AK9:AK33)</f>
        <v>8250.48</v>
      </c>
      <c r="AL8" s="2201">
        <f>SUM(AL9:AL33)</f>
        <v>0</v>
      </c>
      <c r="AM8" s="2202">
        <f>SUM(AM9:AM33)</f>
        <v>8250.48</v>
      </c>
      <c r="AN8" s="1528" t="e">
        <f>AM8/$AC$89</f>
        <v>#DIV/0!</v>
      </c>
      <c r="AO8" s="2170"/>
      <c r="AP8" s="2201">
        <f>SUM(AP9:AP33)</f>
        <v>628422.99839999992</v>
      </c>
      <c r="AQ8" s="2201">
        <f>SUM(AQ9:AQ33)</f>
        <v>138795.4</v>
      </c>
      <c r="AR8" s="2202">
        <f>SUM(AR9:AR33)</f>
        <v>767218.39839999995</v>
      </c>
      <c r="AS8" s="1528" t="e">
        <f>AR8/$AC$89</f>
        <v>#DIV/0!</v>
      </c>
      <c r="AT8" s="2170"/>
      <c r="AU8" s="2201">
        <f>SUM(AU9:AU33)</f>
        <v>0</v>
      </c>
      <c r="AV8" s="2201">
        <f>SUM(AV9:AV33)</f>
        <v>116787.2</v>
      </c>
      <c r="AW8" s="2202">
        <f>SUM(AW9:AW33)</f>
        <v>116787.2</v>
      </c>
      <c r="AX8" s="1528" t="e">
        <f>AW8/$AC$89</f>
        <v>#DIV/0!</v>
      </c>
      <c r="AY8" s="2170"/>
      <c r="AZ8" s="2201">
        <f>SUM(AZ9:AZ33)</f>
        <v>0</v>
      </c>
      <c r="BA8" s="2201">
        <f>SUM(BA9:BA33)</f>
        <v>0</v>
      </c>
      <c r="BB8" s="2202">
        <f>SUM(BB9:BB33)</f>
        <v>0</v>
      </c>
      <c r="BC8" s="1528" t="e">
        <f>BB8/$AC$89</f>
        <v>#DIV/0!</v>
      </c>
      <c r="BD8" s="2170"/>
      <c r="BE8" s="2201">
        <f>SUM(BE9:BE33)</f>
        <v>374984.228</v>
      </c>
      <c r="BF8" s="2201">
        <f>SUM(BF9:BF33)</f>
        <v>129250</v>
      </c>
      <c r="BG8" s="2202">
        <f>SUM(BG9:BG33)</f>
        <v>504234.228</v>
      </c>
      <c r="BH8" s="1528">
        <f>BG8/$BG$89</f>
        <v>0.96661428768148594</v>
      </c>
      <c r="BI8" s="2170"/>
      <c r="BJ8" s="2201">
        <f>SUM(BJ9:BJ33)</f>
        <v>4505380.432</v>
      </c>
      <c r="BK8" s="2201">
        <f>SUM(BK9:BK33)</f>
        <v>832603.24</v>
      </c>
      <c r="BL8" s="2202">
        <f>SUM(BL9:BL33)</f>
        <v>5337983.6719999993</v>
      </c>
      <c r="BM8" s="1528">
        <f>BL8/$BL$89</f>
        <v>0.94413636668896239</v>
      </c>
      <c r="BN8" s="2170"/>
      <c r="BO8" s="2172"/>
      <c r="BP8" s="2172"/>
      <c r="BQ8" s="2173"/>
      <c r="BR8" s="2173"/>
      <c r="BS8" s="2174"/>
      <c r="BT8" s="2174"/>
    </row>
    <row r="9" spans="1:72" s="2192" customFormat="1" ht="15" customHeight="1">
      <c r="A9" s="2193"/>
      <c r="B9" s="2203" t="s">
        <v>74</v>
      </c>
      <c r="C9" s="2204"/>
      <c r="D9" s="2205"/>
      <c r="E9" s="2206">
        <f t="shared" ref="E9:E33" si="1">C9+D9</f>
        <v>0</v>
      </c>
      <c r="F9" s="1559" t="e">
        <f t="shared" si="0"/>
        <v>#DIV/0!</v>
      </c>
      <c r="G9" s="2207"/>
      <c r="H9" s="2207"/>
      <c r="I9" s="2208">
        <f>G9+H9*1</f>
        <v>0</v>
      </c>
      <c r="J9" s="1559">
        <f>I9/$S$89</f>
        <v>0</v>
      </c>
      <c r="K9" s="2209"/>
      <c r="L9" s="2207">
        <v>52464.82</v>
      </c>
      <c r="M9" s="2207">
        <v>0</v>
      </c>
      <c r="N9" s="2181">
        <f t="shared" ref="N9:N33" si="2">L9+M9</f>
        <v>52464.82</v>
      </c>
      <c r="O9" s="1559">
        <v>0.12229113581112327</v>
      </c>
      <c r="P9" s="1559"/>
      <c r="Q9" s="2207">
        <v>52157.56</v>
      </c>
      <c r="R9" s="2207"/>
      <c r="S9" s="2208">
        <f>Q9+R9*1</f>
        <v>52157.56</v>
      </c>
      <c r="T9" s="1559">
        <f>S9/$S$89</f>
        <v>2.2164381001439342E-2</v>
      </c>
      <c r="U9" s="2209"/>
      <c r="V9" s="2207">
        <v>39051.9</v>
      </c>
      <c r="W9" s="2207"/>
      <c r="X9" s="2208">
        <f>V9+W9*1</f>
        <v>39051.9</v>
      </c>
      <c r="Y9" s="1559">
        <f>X9/$X$89</f>
        <v>2.8428607811490578E-2</v>
      </c>
      <c r="Z9" s="2209"/>
      <c r="AA9" s="2207"/>
      <c r="AB9" s="2207"/>
      <c r="AC9" s="2208">
        <f>AA9+AB9*1</f>
        <v>0</v>
      </c>
      <c r="AD9" s="1559" t="e">
        <f>AC9/$AC$89</f>
        <v>#DIV/0!</v>
      </c>
      <c r="AE9" s="2210"/>
      <c r="AF9" s="2211"/>
      <c r="AG9" s="2207"/>
      <c r="AH9" s="2208">
        <f>AF9+AG9*1</f>
        <v>0</v>
      </c>
      <c r="AI9" s="1559">
        <f>AH9/$AH$89</f>
        <v>0</v>
      </c>
      <c r="AJ9" s="2209"/>
      <c r="AK9" s="2211"/>
      <c r="AL9" s="2207"/>
      <c r="AM9" s="2208">
        <f>AK9+AL9*1</f>
        <v>0</v>
      </c>
      <c r="AN9" s="1559">
        <f>AM9/$AH$89</f>
        <v>0</v>
      </c>
      <c r="AO9" s="2209"/>
      <c r="AP9" s="2211"/>
      <c r="AQ9" s="2207"/>
      <c r="AR9" s="2208">
        <f>AP9+AQ9*1</f>
        <v>0</v>
      </c>
      <c r="AS9" s="1559">
        <f>AR9/$AH$89</f>
        <v>0</v>
      </c>
      <c r="AT9" s="2209"/>
      <c r="AU9" s="2211"/>
      <c r="AV9" s="2207"/>
      <c r="AW9" s="2208">
        <f>AU9+AV9*1</f>
        <v>0</v>
      </c>
      <c r="AX9" s="1559">
        <f>AW9/$AH$89</f>
        <v>0</v>
      </c>
      <c r="AY9" s="2209"/>
      <c r="AZ9" s="2211"/>
      <c r="BA9" s="2207"/>
      <c r="BB9" s="2208">
        <f>AZ9+BA9*1</f>
        <v>0</v>
      </c>
      <c r="BC9" s="1559">
        <f>BB9/$AH$89</f>
        <v>0</v>
      </c>
      <c r="BD9" s="2209"/>
      <c r="BE9" s="2211"/>
      <c r="BF9" s="2207"/>
      <c r="BG9" s="2208">
        <f>BE9+BF9*1</f>
        <v>0</v>
      </c>
      <c r="BH9" s="1559">
        <f>BG9/$BG$89</f>
        <v>0</v>
      </c>
      <c r="BI9" s="2209"/>
      <c r="BJ9" s="2181">
        <f t="shared" ref="BJ9:BK33" si="3">L9+Q9+V9+AA9+AF9+AK9+AP9+AU9+AZ9+BE9</f>
        <v>143674.28</v>
      </c>
      <c r="BK9" s="2181">
        <f t="shared" si="3"/>
        <v>0</v>
      </c>
      <c r="BL9" s="2212">
        <f t="shared" ref="BL9:BL33" si="4">BJ9+BK9*1</f>
        <v>143674.28</v>
      </c>
      <c r="BM9" s="2119">
        <f t="shared" ref="BM9:BM33" si="5">BL9/$BL$89</f>
        <v>2.5411863550161246E-2</v>
      </c>
      <c r="BN9" s="1434"/>
      <c r="BO9" s="2188">
        <f>I9-BL9</f>
        <v>-143674.28</v>
      </c>
      <c r="BP9" s="2213"/>
      <c r="BQ9" s="2189">
        <v>143674.28</v>
      </c>
      <c r="BR9" s="2190">
        <f t="shared" ref="BR9:BR22" si="6">BL9-BQ9</f>
        <v>0</v>
      </c>
      <c r="BS9" s="2191"/>
      <c r="BT9" s="2191"/>
    </row>
    <row r="10" spans="1:72" s="2192" customFormat="1" ht="15" customHeight="1">
      <c r="A10" s="2193"/>
      <c r="B10" s="2214" t="s">
        <v>72</v>
      </c>
      <c r="C10" s="2215"/>
      <c r="D10" s="2216"/>
      <c r="E10" s="2180">
        <f t="shared" si="1"/>
        <v>0</v>
      </c>
      <c r="F10" s="1976" t="e">
        <f t="shared" si="0"/>
        <v>#DIV/0!</v>
      </c>
      <c r="G10" s="2181"/>
      <c r="H10" s="2181"/>
      <c r="I10" s="2212">
        <f t="shared" ref="I10:I33" si="7">G10+H10*1</f>
        <v>0</v>
      </c>
      <c r="J10" s="2119">
        <f>I10/$S$89</f>
        <v>0</v>
      </c>
      <c r="K10" s="2187"/>
      <c r="L10" s="2181">
        <v>12708.87</v>
      </c>
      <c r="M10" s="2181">
        <v>0</v>
      </c>
      <c r="N10" s="2181">
        <f t="shared" si="2"/>
        <v>12708.87</v>
      </c>
      <c r="O10" s="2119">
        <v>2.9623319915629373E-2</v>
      </c>
      <c r="P10" s="1976"/>
      <c r="Q10" s="2181">
        <v>12634.44</v>
      </c>
      <c r="R10" s="2181"/>
      <c r="S10" s="2212">
        <f t="shared" ref="S10:S33" si="8">Q10+R10*1</f>
        <v>12634.44</v>
      </c>
      <c r="T10" s="2119">
        <f>S10/$S$89</f>
        <v>5.3690115469325122E-3</v>
      </c>
      <c r="U10" s="2187"/>
      <c r="V10" s="2181">
        <v>9459.7900000000009</v>
      </c>
      <c r="W10" s="2181"/>
      <c r="X10" s="2212">
        <f t="shared" ref="X10:X33" si="9">V10+W10*1</f>
        <v>9459.7900000000009</v>
      </c>
      <c r="Y10" s="2119">
        <f t="shared" ref="Y10:Y33" si="10">X10/$X$89</f>
        <v>6.8864423981691153E-3</v>
      </c>
      <c r="Z10" s="2187"/>
      <c r="AA10" s="2181"/>
      <c r="AB10" s="2181"/>
      <c r="AC10" s="2212">
        <f t="shared" ref="AC10:AC33" si="11">AA10+AB10*1</f>
        <v>0</v>
      </c>
      <c r="AD10" s="2119" t="e">
        <f t="shared" ref="AD10:AD33" si="12">AC10/$AC$89</f>
        <v>#DIV/0!</v>
      </c>
      <c r="AE10" s="2217"/>
      <c r="AF10" s="2184"/>
      <c r="AG10" s="2181"/>
      <c r="AH10" s="2212">
        <f t="shared" ref="AH10:AH33" si="13">AF10+AG10*1</f>
        <v>0</v>
      </c>
      <c r="AI10" s="2119">
        <f t="shared" ref="AI10:AI33" si="14">AH10/$AH$89</f>
        <v>0</v>
      </c>
      <c r="AJ10" s="2187"/>
      <c r="AK10" s="2184"/>
      <c r="AL10" s="2181"/>
      <c r="AM10" s="2212">
        <f t="shared" ref="AM10:AM33" si="15">AK10+AL10*1</f>
        <v>0</v>
      </c>
      <c r="AN10" s="2119">
        <f t="shared" ref="AN10:AN33" si="16">AM10/$AH$89</f>
        <v>0</v>
      </c>
      <c r="AO10" s="2187"/>
      <c r="AP10" s="2184"/>
      <c r="AQ10" s="2181"/>
      <c r="AR10" s="2212">
        <f t="shared" ref="AR10:AR33" si="17">AP10+AQ10*1</f>
        <v>0</v>
      </c>
      <c r="AS10" s="2119">
        <f t="shared" ref="AS10:AS33" si="18">AR10/$AH$89</f>
        <v>0</v>
      </c>
      <c r="AT10" s="2187"/>
      <c r="AU10" s="2184"/>
      <c r="AV10" s="2181"/>
      <c r="AW10" s="2212">
        <f t="shared" ref="AW10:AW33" si="19">AU10+AV10*1</f>
        <v>0</v>
      </c>
      <c r="AX10" s="2119">
        <f t="shared" ref="AX10:AX33" si="20">AW10/$AH$89</f>
        <v>0</v>
      </c>
      <c r="AY10" s="2187"/>
      <c r="AZ10" s="2184"/>
      <c r="BA10" s="2181"/>
      <c r="BB10" s="2212">
        <f t="shared" ref="BB10:BB33" si="21">AZ10+BA10*1</f>
        <v>0</v>
      </c>
      <c r="BC10" s="2119">
        <f t="shared" ref="BC10:BC33" si="22">BB10/$AH$89</f>
        <v>0</v>
      </c>
      <c r="BD10" s="2187"/>
      <c r="BE10" s="2184"/>
      <c r="BF10" s="2181"/>
      <c r="BG10" s="2212">
        <f t="shared" ref="BG10:BG33" si="23">BE10+BF10*1</f>
        <v>0</v>
      </c>
      <c r="BH10" s="2119">
        <f t="shared" ref="BH10:BH33" si="24">BG10/$BG$89</f>
        <v>0</v>
      </c>
      <c r="BI10" s="2187"/>
      <c r="BJ10" s="2181">
        <f t="shared" si="3"/>
        <v>34803.100000000006</v>
      </c>
      <c r="BK10" s="2181">
        <f t="shared" si="3"/>
        <v>0</v>
      </c>
      <c r="BL10" s="2212">
        <f t="shared" si="4"/>
        <v>34803.100000000006</v>
      </c>
      <c r="BM10" s="2119">
        <f t="shared" si="5"/>
        <v>6.155671205191472E-3</v>
      </c>
      <c r="BN10" s="1434"/>
      <c r="BO10" s="2188">
        <f t="shared" ref="BO10:BO33" si="25">I10-BL10</f>
        <v>-34803.100000000006</v>
      </c>
      <c r="BP10" s="2213"/>
      <c r="BQ10" s="2189">
        <v>34803.100000000006</v>
      </c>
      <c r="BR10" s="2190">
        <f t="shared" si="6"/>
        <v>0</v>
      </c>
      <c r="BS10" s="2191"/>
      <c r="BT10" s="2191"/>
    </row>
    <row r="11" spans="1:72" s="2192" customFormat="1" ht="15" customHeight="1">
      <c r="A11" s="2193"/>
      <c r="B11" s="2214" t="s">
        <v>69</v>
      </c>
      <c r="C11" s="2215"/>
      <c r="D11" s="2216"/>
      <c r="E11" s="2180">
        <f t="shared" si="1"/>
        <v>0</v>
      </c>
      <c r="F11" s="1976" t="e">
        <f t="shared" si="0"/>
        <v>#DIV/0!</v>
      </c>
      <c r="G11" s="2181"/>
      <c r="H11" s="2181"/>
      <c r="I11" s="2212">
        <f t="shared" si="7"/>
        <v>0</v>
      </c>
      <c r="J11" s="2119">
        <f t="shared" ref="J11:J33" si="26">I11/$S$89</f>
        <v>0</v>
      </c>
      <c r="K11" s="2187"/>
      <c r="L11" s="2181">
        <v>14338.21</v>
      </c>
      <c r="M11" s="2181">
        <v>0</v>
      </c>
      <c r="N11" s="2181">
        <f t="shared" si="2"/>
        <v>14338.21</v>
      </c>
      <c r="O11" s="2119">
        <v>3.3421176064235149E-2</v>
      </c>
      <c r="P11" s="1976"/>
      <c r="Q11" s="2181">
        <v>14254.24</v>
      </c>
      <c r="R11" s="2181"/>
      <c r="S11" s="2212">
        <f t="shared" si="8"/>
        <v>14254.24</v>
      </c>
      <c r="T11" s="2119">
        <f t="shared" ref="T11:T33" si="27">S11/$S$89</f>
        <v>6.057346360641808E-3</v>
      </c>
      <c r="U11" s="2187"/>
      <c r="V11" s="2181">
        <v>10672.59</v>
      </c>
      <c r="W11" s="2181"/>
      <c r="X11" s="2212">
        <f t="shared" si="9"/>
        <v>10672.59</v>
      </c>
      <c r="Y11" s="2119">
        <f t="shared" si="10"/>
        <v>7.7693242951773463E-3</v>
      </c>
      <c r="Z11" s="2187"/>
      <c r="AA11" s="2181"/>
      <c r="AB11" s="2181"/>
      <c r="AC11" s="2212">
        <f t="shared" si="11"/>
        <v>0</v>
      </c>
      <c r="AD11" s="2119" t="e">
        <f t="shared" si="12"/>
        <v>#DIV/0!</v>
      </c>
      <c r="AE11" s="2217"/>
      <c r="AF11" s="2184"/>
      <c r="AG11" s="2181"/>
      <c r="AH11" s="2212">
        <f t="shared" si="13"/>
        <v>0</v>
      </c>
      <c r="AI11" s="2119">
        <f t="shared" si="14"/>
        <v>0</v>
      </c>
      <c r="AJ11" s="2187"/>
      <c r="AK11" s="2184"/>
      <c r="AL11" s="2181"/>
      <c r="AM11" s="2212">
        <f t="shared" si="15"/>
        <v>0</v>
      </c>
      <c r="AN11" s="2119">
        <f t="shared" si="16"/>
        <v>0</v>
      </c>
      <c r="AO11" s="2187"/>
      <c r="AP11" s="2184"/>
      <c r="AQ11" s="2181"/>
      <c r="AR11" s="2212">
        <f t="shared" si="17"/>
        <v>0</v>
      </c>
      <c r="AS11" s="2119">
        <f t="shared" si="18"/>
        <v>0</v>
      </c>
      <c r="AT11" s="2187"/>
      <c r="AU11" s="2184"/>
      <c r="AV11" s="2181"/>
      <c r="AW11" s="2212">
        <f t="shared" si="19"/>
        <v>0</v>
      </c>
      <c r="AX11" s="2119">
        <f t="shared" si="20"/>
        <v>0</v>
      </c>
      <c r="AY11" s="2187"/>
      <c r="AZ11" s="2184"/>
      <c r="BA11" s="2181"/>
      <c r="BB11" s="2212">
        <f t="shared" si="21"/>
        <v>0</v>
      </c>
      <c r="BC11" s="2119">
        <f t="shared" si="22"/>
        <v>0</v>
      </c>
      <c r="BD11" s="2187"/>
      <c r="BE11" s="2184"/>
      <c r="BF11" s="2181"/>
      <c r="BG11" s="2212">
        <f t="shared" si="23"/>
        <v>0</v>
      </c>
      <c r="BH11" s="2119">
        <f t="shared" si="24"/>
        <v>0</v>
      </c>
      <c r="BI11" s="2187"/>
      <c r="BJ11" s="2181">
        <f t="shared" si="3"/>
        <v>39265.039999999994</v>
      </c>
      <c r="BK11" s="2181">
        <f t="shared" si="3"/>
        <v>0</v>
      </c>
      <c r="BL11" s="2212">
        <f t="shared" si="4"/>
        <v>39265.039999999994</v>
      </c>
      <c r="BM11" s="2119">
        <f t="shared" si="5"/>
        <v>6.9448605468677002E-3</v>
      </c>
      <c r="BN11" s="1434"/>
      <c r="BO11" s="2188">
        <f t="shared" si="25"/>
        <v>-39265.039999999994</v>
      </c>
      <c r="BP11" s="2213"/>
      <c r="BQ11" s="2189">
        <v>39265.039999999994</v>
      </c>
      <c r="BR11" s="2190">
        <f t="shared" si="6"/>
        <v>0</v>
      </c>
      <c r="BS11" s="2191"/>
      <c r="BT11" s="2191"/>
    </row>
    <row r="12" spans="1:72" s="2192" customFormat="1" ht="15" customHeight="1">
      <c r="A12" s="2193"/>
      <c r="B12" s="2214" t="s">
        <v>73</v>
      </c>
      <c r="C12" s="2215"/>
      <c r="D12" s="2216"/>
      <c r="E12" s="2180">
        <f t="shared" si="1"/>
        <v>0</v>
      </c>
      <c r="F12" s="1976" t="e">
        <f t="shared" si="0"/>
        <v>#DIV/0!</v>
      </c>
      <c r="G12" s="2181">
        <v>59892</v>
      </c>
      <c r="H12" s="2181">
        <v>108108</v>
      </c>
      <c r="I12" s="2212">
        <f t="shared" si="7"/>
        <v>168000</v>
      </c>
      <c r="J12" s="2119">
        <f t="shared" si="26"/>
        <v>7.1391683357921829E-2</v>
      </c>
      <c r="K12" s="2187"/>
      <c r="L12" s="2181">
        <v>25630.5</v>
      </c>
      <c r="M12" s="2181">
        <v>64091.229999999996</v>
      </c>
      <c r="N12" s="2181">
        <f t="shared" si="2"/>
        <v>89721.73</v>
      </c>
      <c r="O12" s="2119">
        <v>0.18276136716204588</v>
      </c>
      <c r="P12" s="1976"/>
      <c r="Q12" s="2181">
        <v>19467.66</v>
      </c>
      <c r="R12" s="2181">
        <f>20018+16956+9473.68</f>
        <v>46447.68</v>
      </c>
      <c r="S12" s="2212">
        <f t="shared" si="8"/>
        <v>65915.34</v>
      </c>
      <c r="T12" s="2119">
        <f t="shared" si="27"/>
        <v>2.8010756438748566E-2</v>
      </c>
      <c r="U12" s="2187" t="s">
        <v>976</v>
      </c>
      <c r="V12" s="2181">
        <v>79278.87</v>
      </c>
      <c r="W12" s="2181">
        <v>5000</v>
      </c>
      <c r="X12" s="2212">
        <f t="shared" si="9"/>
        <v>84278.87</v>
      </c>
      <c r="Y12" s="2119">
        <f t="shared" si="10"/>
        <v>6.1352480725024867E-2</v>
      </c>
      <c r="Z12" s="2187" t="s">
        <v>1018</v>
      </c>
      <c r="AA12" s="2181"/>
      <c r="AB12" s="2181"/>
      <c r="AC12" s="2212">
        <f t="shared" si="11"/>
        <v>0</v>
      </c>
      <c r="AD12" s="2119" t="e">
        <f t="shared" si="12"/>
        <v>#DIV/0!</v>
      </c>
      <c r="AE12" s="2217"/>
      <c r="AF12" s="2184"/>
      <c r="AG12" s="2181"/>
      <c r="AH12" s="2212">
        <f t="shared" si="13"/>
        <v>0</v>
      </c>
      <c r="AI12" s="2119">
        <f t="shared" si="14"/>
        <v>0</v>
      </c>
      <c r="AJ12" s="2187"/>
      <c r="AK12" s="2184"/>
      <c r="AL12" s="2181"/>
      <c r="AM12" s="2212">
        <f t="shared" si="15"/>
        <v>0</v>
      </c>
      <c r="AN12" s="2119">
        <f t="shared" si="16"/>
        <v>0</v>
      </c>
      <c r="AO12" s="2187"/>
      <c r="AP12" s="2184"/>
      <c r="AQ12" s="2181"/>
      <c r="AR12" s="2212">
        <f t="shared" si="17"/>
        <v>0</v>
      </c>
      <c r="AS12" s="2119">
        <f t="shared" si="18"/>
        <v>0</v>
      </c>
      <c r="AT12" s="2187"/>
      <c r="AU12" s="2184"/>
      <c r="AV12" s="2181"/>
      <c r="AW12" s="2212">
        <f t="shared" si="19"/>
        <v>0</v>
      </c>
      <c r="AX12" s="2119">
        <f t="shared" si="20"/>
        <v>0</v>
      </c>
      <c r="AY12" s="2187"/>
      <c r="AZ12" s="2184"/>
      <c r="BA12" s="2181"/>
      <c r="BB12" s="2212">
        <f t="shared" si="21"/>
        <v>0</v>
      </c>
      <c r="BC12" s="2119">
        <f t="shared" si="22"/>
        <v>0</v>
      </c>
      <c r="BD12" s="2187"/>
      <c r="BE12" s="2184"/>
      <c r="BF12" s="2181"/>
      <c r="BG12" s="2212">
        <f t="shared" si="23"/>
        <v>0</v>
      </c>
      <c r="BH12" s="2119">
        <f t="shared" si="24"/>
        <v>0</v>
      </c>
      <c r="BI12" s="2187"/>
      <c r="BJ12" s="2181">
        <f t="shared" si="3"/>
        <v>124377.03</v>
      </c>
      <c r="BK12" s="2181">
        <f t="shared" si="3"/>
        <v>115538.91</v>
      </c>
      <c r="BL12" s="2212">
        <f t="shared" si="4"/>
        <v>239915.94</v>
      </c>
      <c r="BM12" s="2119">
        <f t="shared" si="5"/>
        <v>4.2434255670455924E-2</v>
      </c>
      <c r="BN12" s="1434"/>
      <c r="BO12" s="2188">
        <f t="shared" si="25"/>
        <v>-71915.94</v>
      </c>
      <c r="BP12" s="2213"/>
      <c r="BQ12" s="2189">
        <v>239915.94</v>
      </c>
      <c r="BR12" s="2190">
        <f t="shared" si="6"/>
        <v>0</v>
      </c>
      <c r="BS12" s="2191"/>
      <c r="BT12" s="2191"/>
    </row>
    <row r="13" spans="1:72" s="2192" customFormat="1" ht="15" customHeight="1">
      <c r="A13" s="2193"/>
      <c r="B13" s="2214" t="s">
        <v>71</v>
      </c>
      <c r="C13" s="2215"/>
      <c r="D13" s="2216"/>
      <c r="E13" s="2180">
        <f t="shared" si="1"/>
        <v>0</v>
      </c>
      <c r="F13" s="1976" t="e">
        <f t="shared" si="0"/>
        <v>#DIV/0!</v>
      </c>
      <c r="G13" s="2181">
        <v>14508</v>
      </c>
      <c r="H13" s="2181">
        <v>0</v>
      </c>
      <c r="I13" s="2212">
        <f t="shared" si="7"/>
        <v>14508</v>
      </c>
      <c r="J13" s="2119">
        <f t="shared" si="26"/>
        <v>6.1651817985519646E-3</v>
      </c>
      <c r="K13" s="2187"/>
      <c r="L13" s="2181">
        <v>6208.63</v>
      </c>
      <c r="M13" s="2181">
        <v>0</v>
      </c>
      <c r="N13" s="2181">
        <f t="shared" si="2"/>
        <v>6208.63</v>
      </c>
      <c r="O13" s="2119">
        <v>1.4471800618605273E-2</v>
      </c>
      <c r="P13" s="1976"/>
      <c r="Q13" s="2181">
        <v>4715.7700000000004</v>
      </c>
      <c r="R13" s="2181"/>
      <c r="S13" s="2212">
        <f t="shared" si="8"/>
        <v>4715.7700000000004</v>
      </c>
      <c r="T13" s="2119">
        <f t="shared" si="27"/>
        <v>2.0039688013618281E-3</v>
      </c>
      <c r="U13" s="2187"/>
      <c r="V13" s="2181">
        <v>3818.05</v>
      </c>
      <c r="W13" s="2181"/>
      <c r="X13" s="2212">
        <f t="shared" si="9"/>
        <v>3818.05</v>
      </c>
      <c r="Y13" s="2119">
        <f t="shared" si="10"/>
        <v>2.7794254838986476E-3</v>
      </c>
      <c r="Z13" s="2187"/>
      <c r="AA13" s="2181"/>
      <c r="AB13" s="2181"/>
      <c r="AC13" s="2212">
        <f t="shared" si="11"/>
        <v>0</v>
      </c>
      <c r="AD13" s="2119" t="e">
        <f t="shared" si="12"/>
        <v>#DIV/0!</v>
      </c>
      <c r="AE13" s="2217"/>
      <c r="AF13" s="2184"/>
      <c r="AG13" s="2181"/>
      <c r="AH13" s="2212">
        <f t="shared" si="13"/>
        <v>0</v>
      </c>
      <c r="AI13" s="2119">
        <f t="shared" si="14"/>
        <v>0</v>
      </c>
      <c r="AJ13" s="2187"/>
      <c r="AK13" s="2184"/>
      <c r="AL13" s="2181"/>
      <c r="AM13" s="2212">
        <f t="shared" si="15"/>
        <v>0</v>
      </c>
      <c r="AN13" s="2119">
        <f t="shared" si="16"/>
        <v>0</v>
      </c>
      <c r="AO13" s="2187"/>
      <c r="AP13" s="2184"/>
      <c r="AQ13" s="2181"/>
      <c r="AR13" s="2212">
        <f t="shared" si="17"/>
        <v>0</v>
      </c>
      <c r="AS13" s="2119">
        <f t="shared" si="18"/>
        <v>0</v>
      </c>
      <c r="AT13" s="2187"/>
      <c r="AU13" s="2184"/>
      <c r="AV13" s="2181"/>
      <c r="AW13" s="2212">
        <f t="shared" si="19"/>
        <v>0</v>
      </c>
      <c r="AX13" s="2119">
        <f t="shared" si="20"/>
        <v>0</v>
      </c>
      <c r="AY13" s="2187"/>
      <c r="AZ13" s="2184"/>
      <c r="BA13" s="2181"/>
      <c r="BB13" s="2212">
        <f t="shared" si="21"/>
        <v>0</v>
      </c>
      <c r="BC13" s="2119">
        <f t="shared" si="22"/>
        <v>0</v>
      </c>
      <c r="BD13" s="2187"/>
      <c r="BE13" s="2184"/>
      <c r="BF13" s="2181"/>
      <c r="BG13" s="2212">
        <f t="shared" si="23"/>
        <v>0</v>
      </c>
      <c r="BH13" s="2119">
        <f t="shared" si="24"/>
        <v>0</v>
      </c>
      <c r="BI13" s="2187"/>
      <c r="BJ13" s="2181">
        <f t="shared" si="3"/>
        <v>14742.45</v>
      </c>
      <c r="BK13" s="2181">
        <f t="shared" si="3"/>
        <v>0</v>
      </c>
      <c r="BL13" s="2212">
        <f t="shared" si="4"/>
        <v>14742.45</v>
      </c>
      <c r="BM13" s="2119">
        <f t="shared" si="5"/>
        <v>2.6075170016169537E-3</v>
      </c>
      <c r="BN13" s="1434"/>
      <c r="BO13" s="2188">
        <f t="shared" si="25"/>
        <v>-234.45000000000073</v>
      </c>
      <c r="BP13" s="2213"/>
      <c r="BQ13" s="2189">
        <v>14742.45</v>
      </c>
      <c r="BR13" s="2190">
        <f t="shared" si="6"/>
        <v>0</v>
      </c>
      <c r="BS13" s="2191"/>
      <c r="BT13" s="2191"/>
    </row>
    <row r="14" spans="1:72" s="2192" customFormat="1" ht="15" customHeight="1">
      <c r="A14" s="2193"/>
      <c r="B14" s="2214" t="s">
        <v>70</v>
      </c>
      <c r="C14" s="2215"/>
      <c r="D14" s="2216"/>
      <c r="E14" s="2180">
        <f t="shared" si="1"/>
        <v>0</v>
      </c>
      <c r="F14" s="1976" t="e">
        <f t="shared" si="0"/>
        <v>#DIV/0!</v>
      </c>
      <c r="G14" s="2181">
        <v>16368</v>
      </c>
      <c r="H14" s="2181">
        <v>0</v>
      </c>
      <c r="I14" s="2212">
        <f t="shared" si="7"/>
        <v>16368</v>
      </c>
      <c r="J14" s="2119">
        <f t="shared" si="26"/>
        <v>6.9555897214432418E-3</v>
      </c>
      <c r="K14" s="2187"/>
      <c r="L14" s="2181">
        <f>7004.61+0.35</f>
        <v>7004.96</v>
      </c>
      <c r="M14" s="2181">
        <v>0</v>
      </c>
      <c r="N14" s="2181">
        <f t="shared" si="2"/>
        <v>7004.96</v>
      </c>
      <c r="O14" s="2119">
        <v>1.632716385596962E-2</v>
      </c>
      <c r="P14" s="1976"/>
      <c r="Q14" s="2181">
        <v>5320</v>
      </c>
      <c r="R14" s="2181"/>
      <c r="S14" s="2212">
        <f t="shared" si="8"/>
        <v>5320</v>
      </c>
      <c r="T14" s="2119">
        <f t="shared" si="27"/>
        <v>2.2607366396675248E-3</v>
      </c>
      <c r="U14" s="2187"/>
      <c r="V14" s="2181">
        <v>4307.55</v>
      </c>
      <c r="W14" s="2181"/>
      <c r="X14" s="2212">
        <f t="shared" si="9"/>
        <v>4307.55</v>
      </c>
      <c r="Y14" s="2119">
        <f t="shared" si="10"/>
        <v>3.1357667508722046E-3</v>
      </c>
      <c r="Z14" s="2187"/>
      <c r="AA14" s="2181"/>
      <c r="AB14" s="2181"/>
      <c r="AC14" s="2212">
        <f t="shared" si="11"/>
        <v>0</v>
      </c>
      <c r="AD14" s="2119" t="e">
        <f t="shared" si="12"/>
        <v>#DIV/0!</v>
      </c>
      <c r="AE14" s="2217"/>
      <c r="AF14" s="2184"/>
      <c r="AG14" s="2181"/>
      <c r="AH14" s="2212">
        <f t="shared" si="13"/>
        <v>0</v>
      </c>
      <c r="AI14" s="2119">
        <f t="shared" si="14"/>
        <v>0</v>
      </c>
      <c r="AJ14" s="2187"/>
      <c r="AK14" s="2184"/>
      <c r="AL14" s="2181"/>
      <c r="AM14" s="2212">
        <f t="shared" si="15"/>
        <v>0</v>
      </c>
      <c r="AN14" s="2119">
        <f t="shared" si="16"/>
        <v>0</v>
      </c>
      <c r="AO14" s="2187"/>
      <c r="AP14" s="2184"/>
      <c r="AQ14" s="2181"/>
      <c r="AR14" s="2212">
        <f t="shared" si="17"/>
        <v>0</v>
      </c>
      <c r="AS14" s="2119">
        <f t="shared" si="18"/>
        <v>0</v>
      </c>
      <c r="AT14" s="2187"/>
      <c r="AU14" s="2184"/>
      <c r="AV14" s="2181"/>
      <c r="AW14" s="2212">
        <f t="shared" si="19"/>
        <v>0</v>
      </c>
      <c r="AX14" s="2119">
        <f t="shared" si="20"/>
        <v>0</v>
      </c>
      <c r="AY14" s="2187"/>
      <c r="AZ14" s="2184"/>
      <c r="BA14" s="2181"/>
      <c r="BB14" s="2212">
        <f t="shared" si="21"/>
        <v>0</v>
      </c>
      <c r="BC14" s="2119">
        <f t="shared" si="22"/>
        <v>0</v>
      </c>
      <c r="BD14" s="2187"/>
      <c r="BE14" s="2184"/>
      <c r="BF14" s="2181"/>
      <c r="BG14" s="2212">
        <f t="shared" si="23"/>
        <v>0</v>
      </c>
      <c r="BH14" s="2119">
        <f t="shared" si="24"/>
        <v>0</v>
      </c>
      <c r="BI14" s="2187"/>
      <c r="BJ14" s="2181">
        <f t="shared" si="3"/>
        <v>16632.509999999998</v>
      </c>
      <c r="BK14" s="2181">
        <f t="shared" si="3"/>
        <v>0</v>
      </c>
      <c r="BL14" s="2212">
        <f t="shared" si="4"/>
        <v>16632.509999999998</v>
      </c>
      <c r="BM14" s="2119">
        <f t="shared" si="5"/>
        <v>2.9418144612709551E-3</v>
      </c>
      <c r="BN14" s="1434"/>
      <c r="BO14" s="2188">
        <f t="shared" si="25"/>
        <v>-264.5099999999984</v>
      </c>
      <c r="BP14" s="2213"/>
      <c r="BQ14" s="2189">
        <v>16632.509999999998</v>
      </c>
      <c r="BR14" s="2190">
        <f t="shared" si="6"/>
        <v>0</v>
      </c>
      <c r="BS14" s="2191"/>
      <c r="BT14" s="2191"/>
    </row>
    <row r="15" spans="1:72" s="2192" customFormat="1" ht="15" customHeight="1">
      <c r="A15" s="2193"/>
      <c r="B15" s="2218" t="s">
        <v>20</v>
      </c>
      <c r="C15" s="2215"/>
      <c r="D15" s="2219"/>
      <c r="E15" s="2180">
        <f t="shared" si="1"/>
        <v>0</v>
      </c>
      <c r="F15" s="1976" t="e">
        <f t="shared" si="0"/>
        <v>#DIV/0!</v>
      </c>
      <c r="G15" s="2181"/>
      <c r="H15" s="2181">
        <v>60000</v>
      </c>
      <c r="I15" s="2212">
        <f t="shared" si="7"/>
        <v>60000</v>
      </c>
      <c r="J15" s="2119">
        <f t="shared" si="26"/>
        <v>2.549702977068637E-2</v>
      </c>
      <c r="K15" s="2187"/>
      <c r="L15" s="2181">
        <v>0</v>
      </c>
      <c r="M15" s="2181">
        <v>17512</v>
      </c>
      <c r="N15" s="2181">
        <f t="shared" si="2"/>
        <v>17512</v>
      </c>
      <c r="O15" s="2119">
        <v>4.5480850633751096E-2</v>
      </c>
      <c r="P15" s="1976"/>
      <c r="Q15" s="2181"/>
      <c r="R15" s="2181">
        <v>10000</v>
      </c>
      <c r="S15" s="2212">
        <f t="shared" si="8"/>
        <v>10000</v>
      </c>
      <c r="T15" s="2119">
        <f t="shared" si="27"/>
        <v>4.2495049617810613E-3</v>
      </c>
      <c r="U15" s="2187"/>
      <c r="V15" s="2181"/>
      <c r="W15" s="2181">
        <v>19000</v>
      </c>
      <c r="X15" s="2212">
        <f t="shared" si="9"/>
        <v>19000</v>
      </c>
      <c r="Y15" s="2119">
        <f t="shared" si="10"/>
        <v>1.3831428135847959E-2</v>
      </c>
      <c r="Z15" s="2187"/>
      <c r="AA15" s="2181"/>
      <c r="AB15" s="2181"/>
      <c r="AC15" s="2212">
        <f t="shared" si="11"/>
        <v>0</v>
      </c>
      <c r="AD15" s="2119" t="e">
        <f t="shared" si="12"/>
        <v>#DIV/0!</v>
      </c>
      <c r="AE15" s="2217"/>
      <c r="AF15" s="2184"/>
      <c r="AG15" s="2181"/>
      <c r="AH15" s="2212">
        <f t="shared" si="13"/>
        <v>0</v>
      </c>
      <c r="AI15" s="2119">
        <f t="shared" si="14"/>
        <v>0</v>
      </c>
      <c r="AJ15" s="2187"/>
      <c r="AK15" s="2184"/>
      <c r="AL15" s="2181"/>
      <c r="AM15" s="2212">
        <f t="shared" si="15"/>
        <v>0</v>
      </c>
      <c r="AN15" s="2119">
        <f t="shared" si="16"/>
        <v>0</v>
      </c>
      <c r="AO15" s="2187"/>
      <c r="AP15" s="2184"/>
      <c r="AQ15" s="2181"/>
      <c r="AR15" s="2212">
        <f t="shared" si="17"/>
        <v>0</v>
      </c>
      <c r="AS15" s="2119">
        <f t="shared" si="18"/>
        <v>0</v>
      </c>
      <c r="AT15" s="2187"/>
      <c r="AU15" s="2184"/>
      <c r="AV15" s="2181"/>
      <c r="AW15" s="2212">
        <f t="shared" si="19"/>
        <v>0</v>
      </c>
      <c r="AX15" s="2119">
        <f t="shared" si="20"/>
        <v>0</v>
      </c>
      <c r="AY15" s="2187"/>
      <c r="AZ15" s="2184"/>
      <c r="BA15" s="2181"/>
      <c r="BB15" s="2212">
        <f t="shared" si="21"/>
        <v>0</v>
      </c>
      <c r="BC15" s="2119">
        <f t="shared" si="22"/>
        <v>0</v>
      </c>
      <c r="BD15" s="2187"/>
      <c r="BE15" s="2184"/>
      <c r="BF15" s="2181"/>
      <c r="BG15" s="2212">
        <f t="shared" si="23"/>
        <v>0</v>
      </c>
      <c r="BH15" s="2119">
        <f t="shared" si="24"/>
        <v>0</v>
      </c>
      <c r="BI15" s="2187"/>
      <c r="BJ15" s="2181">
        <f t="shared" si="3"/>
        <v>0</v>
      </c>
      <c r="BK15" s="2181">
        <f t="shared" si="3"/>
        <v>46512</v>
      </c>
      <c r="BL15" s="2212">
        <f t="shared" si="4"/>
        <v>46512</v>
      </c>
      <c r="BM15" s="2119">
        <f t="shared" si="5"/>
        <v>8.2266401296397645E-3</v>
      </c>
      <c r="BN15" s="1434"/>
      <c r="BO15" s="2188">
        <f t="shared" si="25"/>
        <v>13488</v>
      </c>
      <c r="BP15" s="2213"/>
      <c r="BQ15" s="2189">
        <v>46512</v>
      </c>
      <c r="BR15" s="2190">
        <f t="shared" si="6"/>
        <v>0</v>
      </c>
      <c r="BS15" s="2191"/>
      <c r="BT15" s="2191"/>
    </row>
    <row r="16" spans="1:72" s="2192" customFormat="1" ht="27.6" customHeight="1">
      <c r="A16" s="2220"/>
      <c r="B16" s="2218" t="s">
        <v>21</v>
      </c>
      <c r="C16" s="2215"/>
      <c r="D16" s="2219"/>
      <c r="E16" s="2180">
        <f t="shared" si="1"/>
        <v>0</v>
      </c>
      <c r="F16" s="1976" t="e">
        <f t="shared" si="0"/>
        <v>#DIV/0!</v>
      </c>
      <c r="G16" s="2181"/>
      <c r="H16" s="2181">
        <v>1123534.1499999999</v>
      </c>
      <c r="I16" s="2212">
        <f t="shared" si="7"/>
        <v>1123534.1499999999</v>
      </c>
      <c r="J16" s="2119">
        <f t="shared" si="26"/>
        <v>0.47744639451554671</v>
      </c>
      <c r="K16" s="2187"/>
      <c r="L16" s="2181">
        <v>0</v>
      </c>
      <c r="M16" s="2181">
        <v>0</v>
      </c>
      <c r="N16" s="2181">
        <f t="shared" si="2"/>
        <v>0</v>
      </c>
      <c r="O16" s="2119">
        <v>0</v>
      </c>
      <c r="P16" s="1976"/>
      <c r="Q16" s="2181"/>
      <c r="R16" s="2181"/>
      <c r="S16" s="2212">
        <f t="shared" si="8"/>
        <v>0</v>
      </c>
      <c r="T16" s="2119">
        <f t="shared" si="27"/>
        <v>0</v>
      </c>
      <c r="U16" s="2187" t="s">
        <v>993</v>
      </c>
      <c r="V16" s="2181"/>
      <c r="W16" s="2181">
        <f>81998.73</f>
        <v>81998.73</v>
      </c>
      <c r="X16" s="2212">
        <f t="shared" si="9"/>
        <v>81998.73</v>
      </c>
      <c r="Y16" s="2119">
        <f t="shared" si="10"/>
        <v>5.9692607432936848E-2</v>
      </c>
      <c r="Z16" s="2187" t="s">
        <v>1056</v>
      </c>
      <c r="AA16" s="2181"/>
      <c r="AB16" s="2181"/>
      <c r="AC16" s="2212">
        <f t="shared" si="11"/>
        <v>0</v>
      </c>
      <c r="AD16" s="2119" t="e">
        <f t="shared" si="12"/>
        <v>#DIV/0!</v>
      </c>
      <c r="AE16" s="2217"/>
      <c r="AF16" s="2184"/>
      <c r="AG16" s="2181"/>
      <c r="AH16" s="2212">
        <f t="shared" si="13"/>
        <v>0</v>
      </c>
      <c r="AI16" s="2119">
        <f t="shared" si="14"/>
        <v>0</v>
      </c>
      <c r="AJ16" s="2187"/>
      <c r="AK16" s="2184"/>
      <c r="AL16" s="2181"/>
      <c r="AM16" s="2212">
        <f t="shared" si="15"/>
        <v>0</v>
      </c>
      <c r="AN16" s="2119">
        <f t="shared" si="16"/>
        <v>0</v>
      </c>
      <c r="AO16" s="2187"/>
      <c r="AP16" s="2221"/>
      <c r="AQ16" s="2222">
        <f>87948+50847.4</f>
        <v>138795.4</v>
      </c>
      <c r="AR16" s="2223">
        <f>AP16+AQ16*1</f>
        <v>138795.4</v>
      </c>
      <c r="AS16" s="2137">
        <f>AR16/$X$89</f>
        <v>0.1010388737203301</v>
      </c>
      <c r="AT16" s="2224" t="s">
        <v>1255</v>
      </c>
      <c r="AU16" s="2221"/>
      <c r="AV16" s="2222">
        <f>19007.2+71620+26160</f>
        <v>116787.2</v>
      </c>
      <c r="AW16" s="2223">
        <f t="shared" si="19"/>
        <v>116787.2</v>
      </c>
      <c r="AX16" s="2137" t="e">
        <f>AW16/$AC$89</f>
        <v>#DIV/0!</v>
      </c>
      <c r="AY16" s="2064" t="s">
        <v>1256</v>
      </c>
      <c r="AZ16" s="2184"/>
      <c r="BA16" s="2181"/>
      <c r="BB16" s="2212">
        <f t="shared" si="21"/>
        <v>0</v>
      </c>
      <c r="BC16" s="2119">
        <f t="shared" si="22"/>
        <v>0</v>
      </c>
      <c r="BD16" s="2187"/>
      <c r="BE16" s="2184"/>
      <c r="BF16" s="2181">
        <f>74250+35000+20000</f>
        <v>129250</v>
      </c>
      <c r="BG16" s="2212">
        <f t="shared" si="23"/>
        <v>129250</v>
      </c>
      <c r="BH16" s="2119">
        <f t="shared" si="24"/>
        <v>0.24777155088890962</v>
      </c>
      <c r="BI16" s="2187" t="s">
        <v>1320</v>
      </c>
      <c r="BJ16" s="2181">
        <f t="shared" si="3"/>
        <v>0</v>
      </c>
      <c r="BK16" s="2181">
        <f t="shared" si="3"/>
        <v>466831.33</v>
      </c>
      <c r="BL16" s="2212">
        <f t="shared" si="4"/>
        <v>466831.33</v>
      </c>
      <c r="BM16" s="2119">
        <f t="shared" si="5"/>
        <v>8.2569086540056416E-2</v>
      </c>
      <c r="BN16" s="1434"/>
      <c r="BO16" s="2188">
        <f t="shared" si="25"/>
        <v>656702.81999999983</v>
      </c>
      <c r="BP16" s="2213"/>
      <c r="BQ16" s="2225">
        <v>396134.63</v>
      </c>
      <c r="BR16" s="2190">
        <f t="shared" si="6"/>
        <v>70696.700000000012</v>
      </c>
      <c r="BS16" s="2191"/>
      <c r="BT16" s="2191"/>
    </row>
    <row r="17" spans="1:72" s="2192" customFormat="1" ht="15" customHeight="1">
      <c r="A17" s="2193"/>
      <c r="B17" s="2218" t="s">
        <v>22</v>
      </c>
      <c r="C17" s="2215"/>
      <c r="D17" s="2219"/>
      <c r="E17" s="2180">
        <f t="shared" si="1"/>
        <v>0</v>
      </c>
      <c r="F17" s="1976" t="e">
        <f t="shared" si="0"/>
        <v>#DIV/0!</v>
      </c>
      <c r="G17" s="2181"/>
      <c r="H17" s="2181"/>
      <c r="I17" s="2212">
        <f t="shared" si="7"/>
        <v>0</v>
      </c>
      <c r="J17" s="2119">
        <f t="shared" si="26"/>
        <v>0</v>
      </c>
      <c r="K17" s="2187"/>
      <c r="L17" s="2181">
        <v>0</v>
      </c>
      <c r="M17" s="2181">
        <v>3000</v>
      </c>
      <c r="N17" s="2181">
        <f t="shared" si="2"/>
        <v>3000</v>
      </c>
      <c r="O17" s="2119">
        <v>6.9927507124463561E-3</v>
      </c>
      <c r="P17" s="1976"/>
      <c r="Q17" s="2181"/>
      <c r="R17" s="2181"/>
      <c r="S17" s="2212">
        <f t="shared" si="8"/>
        <v>0</v>
      </c>
      <c r="T17" s="2119">
        <f t="shared" si="27"/>
        <v>0</v>
      </c>
      <c r="U17" s="2187"/>
      <c r="V17" s="2181"/>
      <c r="W17" s="2181"/>
      <c r="X17" s="2212">
        <f t="shared" si="9"/>
        <v>0</v>
      </c>
      <c r="Y17" s="2119">
        <f t="shared" si="10"/>
        <v>0</v>
      </c>
      <c r="Z17" s="2187"/>
      <c r="AA17" s="2181"/>
      <c r="AB17" s="2181"/>
      <c r="AC17" s="2212">
        <f t="shared" si="11"/>
        <v>0</v>
      </c>
      <c r="AD17" s="2119" t="e">
        <f t="shared" si="12"/>
        <v>#DIV/0!</v>
      </c>
      <c r="AE17" s="2217"/>
      <c r="AF17" s="2184"/>
      <c r="AG17" s="2181"/>
      <c r="AH17" s="2212">
        <f t="shared" si="13"/>
        <v>0</v>
      </c>
      <c r="AI17" s="2119">
        <f t="shared" si="14"/>
        <v>0</v>
      </c>
      <c r="AJ17" s="2187"/>
      <c r="AK17" s="2184"/>
      <c r="AL17" s="2181"/>
      <c r="AM17" s="2212">
        <f t="shared" si="15"/>
        <v>0</v>
      </c>
      <c r="AN17" s="2119">
        <f t="shared" si="16"/>
        <v>0</v>
      </c>
      <c r="AO17" s="2187"/>
      <c r="AP17" s="2184"/>
      <c r="AQ17" s="2181"/>
      <c r="AR17" s="2212">
        <f t="shared" si="17"/>
        <v>0</v>
      </c>
      <c r="AS17" s="2119">
        <f t="shared" si="18"/>
        <v>0</v>
      </c>
      <c r="AT17" s="2187"/>
      <c r="AU17" s="2184"/>
      <c r="AV17" s="2181"/>
      <c r="AW17" s="2212">
        <f t="shared" si="19"/>
        <v>0</v>
      </c>
      <c r="AX17" s="2119">
        <f t="shared" si="20"/>
        <v>0</v>
      </c>
      <c r="AY17" s="2187"/>
      <c r="AZ17" s="2184"/>
      <c r="BA17" s="2181"/>
      <c r="BB17" s="2212">
        <f t="shared" si="21"/>
        <v>0</v>
      </c>
      <c r="BC17" s="2119">
        <f t="shared" si="22"/>
        <v>0</v>
      </c>
      <c r="BD17" s="2187"/>
      <c r="BE17" s="2184"/>
      <c r="BF17" s="2181"/>
      <c r="BG17" s="2212">
        <f t="shared" si="23"/>
        <v>0</v>
      </c>
      <c r="BH17" s="2119">
        <f t="shared" si="24"/>
        <v>0</v>
      </c>
      <c r="BI17" s="2187"/>
      <c r="BJ17" s="2181">
        <f t="shared" si="3"/>
        <v>0</v>
      </c>
      <c r="BK17" s="2181">
        <f t="shared" si="3"/>
        <v>3000</v>
      </c>
      <c r="BL17" s="2212">
        <f t="shared" si="4"/>
        <v>3000</v>
      </c>
      <c r="BM17" s="2119">
        <f t="shared" si="5"/>
        <v>5.3061404344941724E-4</v>
      </c>
      <c r="BN17" s="1434"/>
      <c r="BO17" s="2188">
        <f t="shared" si="25"/>
        <v>-3000</v>
      </c>
      <c r="BP17" s="2213"/>
      <c r="BQ17" s="2189">
        <v>3000</v>
      </c>
      <c r="BR17" s="2190">
        <f t="shared" si="6"/>
        <v>0</v>
      </c>
      <c r="BS17" s="2191"/>
      <c r="BT17" s="2191"/>
    </row>
    <row r="18" spans="1:72" s="2192" customFormat="1" ht="54.6" customHeight="1">
      <c r="A18" s="2193"/>
      <c r="B18" s="2218" t="s">
        <v>0</v>
      </c>
      <c r="C18" s="2215"/>
      <c r="D18" s="2219"/>
      <c r="E18" s="2180">
        <f t="shared" si="1"/>
        <v>0</v>
      </c>
      <c r="F18" s="1976" t="e">
        <f t="shared" si="0"/>
        <v>#DIV/0!</v>
      </c>
      <c r="G18" s="2181">
        <v>501540</v>
      </c>
      <c r="H18" s="2181">
        <v>11700</v>
      </c>
      <c r="I18" s="2212">
        <f t="shared" si="7"/>
        <v>513240</v>
      </c>
      <c r="J18" s="2119">
        <f t="shared" si="26"/>
        <v>0.21810159265845119</v>
      </c>
      <c r="K18" s="2187"/>
      <c r="L18" s="2181">
        <v>0</v>
      </c>
      <c r="M18" s="2181">
        <v>300</v>
      </c>
      <c r="N18" s="2181">
        <f t="shared" si="2"/>
        <v>300</v>
      </c>
      <c r="O18" s="2119">
        <v>6.9927507124463559E-4</v>
      </c>
      <c r="P18" s="1976"/>
      <c r="Q18" s="2181">
        <f>15.215*14000+4000*1.2+174090</f>
        <v>391900</v>
      </c>
      <c r="R18" s="2181">
        <v>12150</v>
      </c>
      <c r="S18" s="2212">
        <f t="shared" si="8"/>
        <v>404050</v>
      </c>
      <c r="T18" s="2119">
        <f t="shared" si="27"/>
        <v>0.1717012479807638</v>
      </c>
      <c r="U18" s="2187" t="s">
        <v>980</v>
      </c>
      <c r="V18" s="2181">
        <v>8484</v>
      </c>
      <c r="W18" s="2181"/>
      <c r="X18" s="2212">
        <f t="shared" si="9"/>
        <v>8484</v>
      </c>
      <c r="Y18" s="2119">
        <f t="shared" si="10"/>
        <v>6.1760966476070572E-3</v>
      </c>
      <c r="Z18" s="2187" t="s">
        <v>1053</v>
      </c>
      <c r="AA18" s="2181"/>
      <c r="AB18" s="2181"/>
      <c r="AC18" s="2212">
        <f t="shared" si="11"/>
        <v>0</v>
      </c>
      <c r="AD18" s="2119" t="e">
        <f t="shared" si="12"/>
        <v>#DIV/0!</v>
      </c>
      <c r="AE18" s="2217"/>
      <c r="AF18" s="2184"/>
      <c r="AG18" s="2181"/>
      <c r="AH18" s="2212">
        <f t="shared" si="13"/>
        <v>0</v>
      </c>
      <c r="AI18" s="2119">
        <f t="shared" si="14"/>
        <v>0</v>
      </c>
      <c r="AJ18" s="2187"/>
      <c r="AK18" s="2184">
        <f>6875.4*1.2</f>
        <v>8250.48</v>
      </c>
      <c r="AL18" s="2181"/>
      <c r="AM18" s="2212">
        <f t="shared" si="15"/>
        <v>8250.48</v>
      </c>
      <c r="AN18" s="2119">
        <f t="shared" si="16"/>
        <v>45.582762430939226</v>
      </c>
      <c r="AO18" s="2187" t="s">
        <v>1138</v>
      </c>
      <c r="AP18" s="2184"/>
      <c r="AQ18" s="2181">
        <v>0</v>
      </c>
      <c r="AR18" s="2212">
        <f t="shared" si="17"/>
        <v>0</v>
      </c>
      <c r="AS18" s="2119">
        <f t="shared" si="18"/>
        <v>0</v>
      </c>
      <c r="AT18" s="2187"/>
      <c r="AU18" s="2184">
        <v>0</v>
      </c>
      <c r="AV18" s="2181">
        <v>0</v>
      </c>
      <c r="AW18" s="2212">
        <f t="shared" si="19"/>
        <v>0</v>
      </c>
      <c r="AX18" s="2119">
        <f t="shared" si="20"/>
        <v>0</v>
      </c>
      <c r="AY18" s="2187"/>
      <c r="AZ18" s="2184">
        <v>0</v>
      </c>
      <c r="BA18" s="2181">
        <v>0</v>
      </c>
      <c r="BB18" s="2212">
        <f t="shared" si="21"/>
        <v>0</v>
      </c>
      <c r="BC18" s="2119">
        <f t="shared" si="22"/>
        <v>0</v>
      </c>
      <c r="BD18" s="2187"/>
      <c r="BE18" s="2184">
        <v>50000</v>
      </c>
      <c r="BF18" s="2181"/>
      <c r="BG18" s="2212">
        <f t="shared" si="23"/>
        <v>50000</v>
      </c>
      <c r="BH18" s="2119">
        <f t="shared" si="24"/>
        <v>9.5849729550835441E-2</v>
      </c>
      <c r="BI18" s="2187" t="s">
        <v>1321</v>
      </c>
      <c r="BJ18" s="2181">
        <f t="shared" si="3"/>
        <v>458634.48</v>
      </c>
      <c r="BK18" s="2181">
        <f t="shared" si="3"/>
        <v>12450</v>
      </c>
      <c r="BL18" s="2212">
        <f t="shared" si="4"/>
        <v>471084.48</v>
      </c>
      <c r="BM18" s="2119">
        <f t="shared" si="5"/>
        <v>8.3321346913022037E-2</v>
      </c>
      <c r="BN18" s="1434"/>
      <c r="BO18" s="2188">
        <f t="shared" si="25"/>
        <v>42155.520000000019</v>
      </c>
      <c r="BP18" s="2213"/>
      <c r="BQ18" s="2189">
        <v>525434</v>
      </c>
      <c r="BR18" s="2226">
        <f t="shared" si="6"/>
        <v>-54349.520000000019</v>
      </c>
      <c r="BS18" s="2191"/>
      <c r="BT18" s="2191"/>
    </row>
    <row r="19" spans="1:72" s="2192" customFormat="1" ht="15" customHeight="1">
      <c r="A19" s="2193"/>
      <c r="B19" s="2218" t="s">
        <v>53</v>
      </c>
      <c r="C19" s="2227"/>
      <c r="D19" s="2219"/>
      <c r="E19" s="2180">
        <f t="shared" si="1"/>
        <v>0</v>
      </c>
      <c r="F19" s="1976" t="e">
        <f t="shared" si="0"/>
        <v>#DIV/0!</v>
      </c>
      <c r="G19" s="2181">
        <v>6000</v>
      </c>
      <c r="H19" s="2181"/>
      <c r="I19" s="2212">
        <f t="shared" si="7"/>
        <v>6000</v>
      </c>
      <c r="J19" s="2119">
        <f t="shared" si="26"/>
        <v>2.549702977068637E-3</v>
      </c>
      <c r="K19" s="2187"/>
      <c r="L19" s="2181">
        <v>0</v>
      </c>
      <c r="M19" s="2181">
        <v>500</v>
      </c>
      <c r="N19" s="2181">
        <f t="shared" si="2"/>
        <v>500</v>
      </c>
      <c r="O19" s="2119">
        <v>1.1654584520743925E-3</v>
      </c>
      <c r="P19" s="1976"/>
      <c r="Q19" s="2181"/>
      <c r="R19" s="2181"/>
      <c r="S19" s="2212">
        <f t="shared" si="8"/>
        <v>0</v>
      </c>
      <c r="T19" s="2119">
        <f t="shared" si="27"/>
        <v>0</v>
      </c>
      <c r="U19" s="2187"/>
      <c r="V19" s="2181"/>
      <c r="W19" s="2181"/>
      <c r="X19" s="2212">
        <f t="shared" si="9"/>
        <v>0</v>
      </c>
      <c r="Y19" s="2119">
        <f t="shared" si="10"/>
        <v>0</v>
      </c>
      <c r="Z19" s="2187"/>
      <c r="AA19" s="2181"/>
      <c r="AB19" s="2181"/>
      <c r="AC19" s="2212">
        <f t="shared" si="11"/>
        <v>0</v>
      </c>
      <c r="AD19" s="2119" t="e">
        <f t="shared" si="12"/>
        <v>#DIV/0!</v>
      </c>
      <c r="AE19" s="2217"/>
      <c r="AF19" s="2184"/>
      <c r="AG19" s="2181"/>
      <c r="AH19" s="2212">
        <f t="shared" si="13"/>
        <v>0</v>
      </c>
      <c r="AI19" s="2119">
        <f t="shared" si="14"/>
        <v>0</v>
      </c>
      <c r="AJ19" s="2187"/>
      <c r="AK19" s="2184"/>
      <c r="AL19" s="2181"/>
      <c r="AM19" s="2212">
        <f t="shared" si="15"/>
        <v>0</v>
      </c>
      <c r="AN19" s="2119">
        <f t="shared" si="16"/>
        <v>0</v>
      </c>
      <c r="AO19" s="2187"/>
      <c r="AP19" s="2184"/>
      <c r="AQ19" s="2181"/>
      <c r="AR19" s="2212">
        <f t="shared" si="17"/>
        <v>0</v>
      </c>
      <c r="AS19" s="2119">
        <f t="shared" si="18"/>
        <v>0</v>
      </c>
      <c r="AT19" s="2187"/>
      <c r="AU19" s="2184"/>
      <c r="AV19" s="2181"/>
      <c r="AW19" s="2212">
        <f t="shared" si="19"/>
        <v>0</v>
      </c>
      <c r="AX19" s="2119">
        <f t="shared" si="20"/>
        <v>0</v>
      </c>
      <c r="AY19" s="2187"/>
      <c r="AZ19" s="2184"/>
      <c r="BA19" s="2181"/>
      <c r="BB19" s="2212">
        <f t="shared" si="21"/>
        <v>0</v>
      </c>
      <c r="BC19" s="2119">
        <f t="shared" si="22"/>
        <v>0</v>
      </c>
      <c r="BD19" s="2187"/>
      <c r="BE19" s="2184"/>
      <c r="BF19" s="2181"/>
      <c r="BG19" s="2212">
        <f t="shared" si="23"/>
        <v>0</v>
      </c>
      <c r="BH19" s="2119">
        <f t="shared" si="24"/>
        <v>0</v>
      </c>
      <c r="BI19" s="2187"/>
      <c r="BJ19" s="2181">
        <f t="shared" si="3"/>
        <v>0</v>
      </c>
      <c r="BK19" s="2181">
        <f t="shared" si="3"/>
        <v>500</v>
      </c>
      <c r="BL19" s="2212">
        <f t="shared" si="4"/>
        <v>500</v>
      </c>
      <c r="BM19" s="2119">
        <f t="shared" si="5"/>
        <v>8.8435673908236198E-5</v>
      </c>
      <c r="BN19" s="1434"/>
      <c r="BO19" s="2188">
        <f t="shared" si="25"/>
        <v>5500</v>
      </c>
      <c r="BP19" s="2213"/>
      <c r="BQ19" s="2189">
        <v>500</v>
      </c>
      <c r="BR19" s="2190">
        <f t="shared" si="6"/>
        <v>0</v>
      </c>
      <c r="BS19" s="2191"/>
      <c r="BT19" s="2191"/>
    </row>
    <row r="20" spans="1:72" s="2192" customFormat="1" ht="15" customHeight="1">
      <c r="A20" s="2193"/>
      <c r="B20" s="2218" t="s">
        <v>57</v>
      </c>
      <c r="C20" s="2227"/>
      <c r="D20" s="2219"/>
      <c r="E20" s="2180">
        <f t="shared" si="1"/>
        <v>0</v>
      </c>
      <c r="F20" s="1976" t="e">
        <f t="shared" si="0"/>
        <v>#DIV/0!</v>
      </c>
      <c r="G20" s="2181">
        <v>103086.00000000001</v>
      </c>
      <c r="H20" s="2181"/>
      <c r="I20" s="2212">
        <f t="shared" si="7"/>
        <v>103086.00000000001</v>
      </c>
      <c r="J20" s="2119">
        <f t="shared" si="26"/>
        <v>4.3806446849016259E-2</v>
      </c>
      <c r="K20" s="2187"/>
      <c r="L20" s="2181">
        <v>0</v>
      </c>
      <c r="M20" s="2181">
        <v>0</v>
      </c>
      <c r="N20" s="2181">
        <f t="shared" si="2"/>
        <v>0</v>
      </c>
      <c r="O20" s="2119">
        <v>0</v>
      </c>
      <c r="P20" s="1976"/>
      <c r="Q20" s="2181">
        <f>32078.47*1.2+6811.94*1.2+12410.81</f>
        <v>59079.301999999996</v>
      </c>
      <c r="R20" s="2181"/>
      <c r="S20" s="2212">
        <f t="shared" si="8"/>
        <v>59079.301999999996</v>
      </c>
      <c r="T20" s="2119">
        <f t="shared" si="27"/>
        <v>2.5105778698756177E-2</v>
      </c>
      <c r="U20" s="2187" t="s">
        <v>995</v>
      </c>
      <c r="V20" s="2181">
        <f>3530.4*1.2</f>
        <v>4236.4799999999996</v>
      </c>
      <c r="W20" s="2181"/>
      <c r="X20" s="2212">
        <f t="shared" si="9"/>
        <v>4236.4799999999996</v>
      </c>
      <c r="Y20" s="2119">
        <f t="shared" si="10"/>
        <v>3.0840299299451138E-3</v>
      </c>
      <c r="Z20" s="2187"/>
      <c r="AA20" s="2181"/>
      <c r="AB20" s="2181"/>
      <c r="AC20" s="2212">
        <f t="shared" si="11"/>
        <v>0</v>
      </c>
      <c r="AD20" s="2119" t="e">
        <f t="shared" si="12"/>
        <v>#DIV/0!</v>
      </c>
      <c r="AE20" s="2217"/>
      <c r="AF20" s="2184"/>
      <c r="AG20" s="2181"/>
      <c r="AH20" s="2212">
        <f t="shared" si="13"/>
        <v>0</v>
      </c>
      <c r="AI20" s="2119">
        <f t="shared" si="14"/>
        <v>0</v>
      </c>
      <c r="AJ20" s="2187"/>
      <c r="AK20" s="2184"/>
      <c r="AL20" s="2181"/>
      <c r="AM20" s="2212">
        <f t="shared" si="15"/>
        <v>0</v>
      </c>
      <c r="AN20" s="2119">
        <f t="shared" si="16"/>
        <v>0</v>
      </c>
      <c r="AO20" s="2187"/>
      <c r="AP20" s="2184"/>
      <c r="AQ20" s="2181"/>
      <c r="AR20" s="2212">
        <f t="shared" si="17"/>
        <v>0</v>
      </c>
      <c r="AS20" s="2119">
        <f t="shared" si="18"/>
        <v>0</v>
      </c>
      <c r="AT20" s="2187"/>
      <c r="AU20" s="2184"/>
      <c r="AV20" s="2181"/>
      <c r="AW20" s="2212">
        <f t="shared" si="19"/>
        <v>0</v>
      </c>
      <c r="AX20" s="2119">
        <f t="shared" si="20"/>
        <v>0</v>
      </c>
      <c r="AY20" s="2187"/>
      <c r="AZ20" s="2184"/>
      <c r="BA20" s="2181"/>
      <c r="BB20" s="2212">
        <f t="shared" si="21"/>
        <v>0</v>
      </c>
      <c r="BC20" s="2119">
        <f t="shared" si="22"/>
        <v>0</v>
      </c>
      <c r="BD20" s="2187"/>
      <c r="BE20" s="2184"/>
      <c r="BF20" s="2181"/>
      <c r="BG20" s="2212">
        <f t="shared" si="23"/>
        <v>0</v>
      </c>
      <c r="BH20" s="2119">
        <f t="shared" si="24"/>
        <v>0</v>
      </c>
      <c r="BI20" s="2187"/>
      <c r="BJ20" s="2181">
        <f t="shared" si="3"/>
        <v>63315.781999999992</v>
      </c>
      <c r="BK20" s="2181">
        <f t="shared" si="3"/>
        <v>0</v>
      </c>
      <c r="BL20" s="2212">
        <f t="shared" si="4"/>
        <v>63315.781999999992</v>
      </c>
      <c r="BM20" s="2119">
        <f t="shared" si="5"/>
        <v>1.1198747700393941E-2</v>
      </c>
      <c r="BN20" s="1434"/>
      <c r="BO20" s="2188">
        <f t="shared" si="25"/>
        <v>39770.218000000023</v>
      </c>
      <c r="BP20" s="2213"/>
      <c r="BQ20" s="2200">
        <v>38494.160000000003</v>
      </c>
      <c r="BR20" s="2190">
        <f t="shared" si="6"/>
        <v>24821.621999999988</v>
      </c>
      <c r="BS20" s="2191"/>
      <c r="BT20" s="2191"/>
    </row>
    <row r="21" spans="1:72" s="2192" customFormat="1" ht="15" customHeight="1">
      <c r="A21" s="2193"/>
      <c r="B21" s="2218" t="s">
        <v>58</v>
      </c>
      <c r="C21" s="2227"/>
      <c r="D21" s="2219"/>
      <c r="E21" s="2180">
        <f t="shared" si="1"/>
        <v>0</v>
      </c>
      <c r="F21" s="1976" t="e">
        <f t="shared" si="0"/>
        <v>#DIV/0!</v>
      </c>
      <c r="G21" s="2181">
        <v>655629.19999999995</v>
      </c>
      <c r="H21" s="2181"/>
      <c r="I21" s="2212">
        <f t="shared" si="7"/>
        <v>655629.19999999995</v>
      </c>
      <c r="J21" s="2119">
        <f t="shared" si="26"/>
        <v>0.27860995384885479</v>
      </c>
      <c r="K21" s="2187"/>
      <c r="L21" s="2181">
        <v>0</v>
      </c>
      <c r="M21" s="2181">
        <v>0</v>
      </c>
      <c r="N21" s="2181">
        <f t="shared" si="2"/>
        <v>0</v>
      </c>
      <c r="O21" s="2119">
        <v>0</v>
      </c>
      <c r="P21" s="1976"/>
      <c r="Q21" s="2181">
        <f>130635.68+263565+105377-0.1</f>
        <v>499577.58</v>
      </c>
      <c r="R21" s="2181"/>
      <c r="S21" s="2212">
        <f t="shared" si="8"/>
        <v>499577.58</v>
      </c>
      <c r="T21" s="2119">
        <f t="shared" si="27"/>
        <v>0.21229574050045752</v>
      </c>
      <c r="U21" s="2187" t="s">
        <v>996</v>
      </c>
      <c r="V21" s="2181">
        <v>61037.52</v>
      </c>
      <c r="W21" s="2181"/>
      <c r="X21" s="2212">
        <f t="shared" si="9"/>
        <v>61037.52</v>
      </c>
      <c r="Y21" s="2119">
        <f t="shared" si="10"/>
        <v>4.443347744580961E-2</v>
      </c>
      <c r="Z21" s="2187" t="s">
        <v>1034</v>
      </c>
      <c r="AA21" s="2181"/>
      <c r="AB21" s="2181"/>
      <c r="AC21" s="2212">
        <f t="shared" si="11"/>
        <v>0</v>
      </c>
      <c r="AD21" s="2119" t="e">
        <f t="shared" si="12"/>
        <v>#DIV/0!</v>
      </c>
      <c r="AE21" s="2217"/>
      <c r="AF21" s="2184"/>
      <c r="AG21" s="2181"/>
      <c r="AH21" s="2212">
        <f t="shared" si="13"/>
        <v>0</v>
      </c>
      <c r="AI21" s="2119">
        <f t="shared" si="14"/>
        <v>0</v>
      </c>
      <c r="AJ21" s="2187"/>
      <c r="AK21" s="2184"/>
      <c r="AL21" s="2181"/>
      <c r="AM21" s="2212">
        <f t="shared" si="15"/>
        <v>0</v>
      </c>
      <c r="AN21" s="2119">
        <f t="shared" si="16"/>
        <v>0</v>
      </c>
      <c r="AO21" s="2187"/>
      <c r="AP21" s="2184"/>
      <c r="AQ21" s="2181"/>
      <c r="AR21" s="2212">
        <f t="shared" si="17"/>
        <v>0</v>
      </c>
      <c r="AS21" s="2119">
        <f t="shared" si="18"/>
        <v>0</v>
      </c>
      <c r="AT21" s="2187"/>
      <c r="AU21" s="2184"/>
      <c r="AV21" s="2181"/>
      <c r="AW21" s="2212">
        <f t="shared" si="19"/>
        <v>0</v>
      </c>
      <c r="AX21" s="2119">
        <f t="shared" si="20"/>
        <v>0</v>
      </c>
      <c r="AY21" s="2187"/>
      <c r="AZ21" s="2184"/>
      <c r="BA21" s="2181"/>
      <c r="BB21" s="2212">
        <f t="shared" si="21"/>
        <v>0</v>
      </c>
      <c r="BC21" s="2119">
        <f t="shared" si="22"/>
        <v>0</v>
      </c>
      <c r="BD21" s="2187"/>
      <c r="BE21" s="2184"/>
      <c r="BF21" s="2181"/>
      <c r="BG21" s="2212">
        <f t="shared" si="23"/>
        <v>0</v>
      </c>
      <c r="BH21" s="2119">
        <f t="shared" si="24"/>
        <v>0</v>
      </c>
      <c r="BI21" s="2187"/>
      <c r="BJ21" s="2181">
        <f t="shared" si="3"/>
        <v>560615.1</v>
      </c>
      <c r="BK21" s="2181">
        <f t="shared" si="3"/>
        <v>0</v>
      </c>
      <c r="BL21" s="2212">
        <f t="shared" si="4"/>
        <v>560615.1</v>
      </c>
      <c r="BM21" s="2119">
        <f t="shared" si="5"/>
        <v>9.915674834326646E-2</v>
      </c>
      <c r="BN21" s="1434"/>
      <c r="BO21" s="2188">
        <f t="shared" si="25"/>
        <v>95014.099999999977</v>
      </c>
      <c r="BP21" s="2213"/>
      <c r="BQ21" s="2189">
        <v>560615.1</v>
      </c>
      <c r="BR21" s="2190">
        <f t="shared" si="6"/>
        <v>0</v>
      </c>
      <c r="BS21" s="2191"/>
      <c r="BT21" s="2191"/>
    </row>
    <row r="22" spans="1:72" s="2192" customFormat="1" ht="15" customHeight="1">
      <c r="A22" s="2193"/>
      <c r="B22" s="2218" t="s">
        <v>621</v>
      </c>
      <c r="C22" s="2227"/>
      <c r="D22" s="2219"/>
      <c r="E22" s="2180"/>
      <c r="F22" s="1976"/>
      <c r="G22" s="2181"/>
      <c r="H22" s="2181"/>
      <c r="I22" s="2212">
        <f t="shared" si="7"/>
        <v>0</v>
      </c>
      <c r="J22" s="2119">
        <f t="shared" si="26"/>
        <v>0</v>
      </c>
      <c r="K22" s="2187"/>
      <c r="L22" s="2181">
        <v>0</v>
      </c>
      <c r="M22" s="2181">
        <v>0</v>
      </c>
      <c r="N22" s="2181">
        <f t="shared" si="2"/>
        <v>0</v>
      </c>
      <c r="O22" s="2119">
        <v>0</v>
      </c>
      <c r="P22" s="1976"/>
      <c r="Q22" s="2181">
        <f>1150*1.2+4800+21900+BJ96</f>
        <v>35395</v>
      </c>
      <c r="R22" s="2181"/>
      <c r="S22" s="2212">
        <f t="shared" si="8"/>
        <v>35395</v>
      </c>
      <c r="T22" s="2119">
        <f t="shared" si="27"/>
        <v>1.5041122812224068E-2</v>
      </c>
      <c r="U22" s="2187" t="s">
        <v>960</v>
      </c>
      <c r="V22" s="2181">
        <f>24900+8000*1.2</f>
        <v>34500</v>
      </c>
      <c r="W22" s="2181"/>
      <c r="X22" s="2212">
        <f t="shared" si="9"/>
        <v>34500</v>
      </c>
      <c r="Y22" s="2119">
        <f t="shared" si="10"/>
        <v>2.511496161509235E-2</v>
      </c>
      <c r="Z22" s="2187" t="s">
        <v>1037</v>
      </c>
      <c r="AA22" s="2181"/>
      <c r="AB22" s="2181"/>
      <c r="AC22" s="2212">
        <f t="shared" si="11"/>
        <v>0</v>
      </c>
      <c r="AD22" s="2119" t="e">
        <f t="shared" si="12"/>
        <v>#DIV/0!</v>
      </c>
      <c r="AE22" s="2217"/>
      <c r="AF22" s="2184"/>
      <c r="AG22" s="2181"/>
      <c r="AH22" s="2212">
        <f t="shared" si="13"/>
        <v>0</v>
      </c>
      <c r="AI22" s="2119">
        <f t="shared" si="14"/>
        <v>0</v>
      </c>
      <c r="AJ22" s="2187"/>
      <c r="AK22" s="2184"/>
      <c r="AL22" s="2181"/>
      <c r="AM22" s="2212">
        <f t="shared" si="15"/>
        <v>0</v>
      </c>
      <c r="AN22" s="2119">
        <f t="shared" si="16"/>
        <v>0</v>
      </c>
      <c r="AO22" s="2187"/>
      <c r="AP22" s="2184"/>
      <c r="AQ22" s="2181"/>
      <c r="AR22" s="2212">
        <f t="shared" si="17"/>
        <v>0</v>
      </c>
      <c r="AS22" s="2119">
        <f t="shared" si="18"/>
        <v>0</v>
      </c>
      <c r="AT22" s="2187"/>
      <c r="AU22" s="2184"/>
      <c r="AV22" s="2181"/>
      <c r="AW22" s="2212">
        <f t="shared" si="19"/>
        <v>0</v>
      </c>
      <c r="AX22" s="2119">
        <f t="shared" si="20"/>
        <v>0</v>
      </c>
      <c r="AY22" s="2187"/>
      <c r="AZ22" s="2184"/>
      <c r="BA22" s="2181"/>
      <c r="BB22" s="2212">
        <f t="shared" si="21"/>
        <v>0</v>
      </c>
      <c r="BC22" s="2119">
        <f t="shared" si="22"/>
        <v>0</v>
      </c>
      <c r="BD22" s="2187"/>
      <c r="BE22" s="2184"/>
      <c r="BF22" s="2181"/>
      <c r="BG22" s="2212">
        <f t="shared" si="23"/>
        <v>0</v>
      </c>
      <c r="BH22" s="2119">
        <f t="shared" si="24"/>
        <v>0</v>
      </c>
      <c r="BI22" s="2187"/>
      <c r="BJ22" s="2181">
        <f t="shared" si="3"/>
        <v>69895</v>
      </c>
      <c r="BK22" s="2181">
        <f t="shared" si="3"/>
        <v>0</v>
      </c>
      <c r="BL22" s="2212">
        <f t="shared" si="4"/>
        <v>69895</v>
      </c>
      <c r="BM22" s="2119">
        <f t="shared" si="5"/>
        <v>1.2362422855632339E-2</v>
      </c>
      <c r="BN22" s="1434"/>
      <c r="BO22" s="2188">
        <f t="shared" si="25"/>
        <v>-69895</v>
      </c>
      <c r="BP22" s="2213"/>
      <c r="BQ22" s="2189">
        <v>73747</v>
      </c>
      <c r="BR22" s="2226">
        <f t="shared" si="6"/>
        <v>-3852</v>
      </c>
      <c r="BS22" s="2191"/>
      <c r="BT22" s="2191"/>
    </row>
    <row r="23" spans="1:72" s="2192" customFormat="1" ht="15" customHeight="1">
      <c r="A23" s="2193"/>
      <c r="B23" s="2218" t="s">
        <v>630</v>
      </c>
      <c r="C23" s="2227"/>
      <c r="D23" s="2219"/>
      <c r="E23" s="2180"/>
      <c r="F23" s="1976"/>
      <c r="G23" s="2181"/>
      <c r="H23" s="2181"/>
      <c r="I23" s="2212">
        <f t="shared" si="7"/>
        <v>0</v>
      </c>
      <c r="J23" s="2119">
        <f t="shared" si="26"/>
        <v>0</v>
      </c>
      <c r="K23" s="2187"/>
      <c r="L23" s="2181">
        <v>0</v>
      </c>
      <c r="M23" s="2181">
        <v>0</v>
      </c>
      <c r="N23" s="2181">
        <f t="shared" si="2"/>
        <v>0</v>
      </c>
      <c r="O23" s="2119">
        <v>0</v>
      </c>
      <c r="P23" s="1976"/>
      <c r="Q23" s="2181"/>
      <c r="R23" s="2181"/>
      <c r="S23" s="2212">
        <f t="shared" si="8"/>
        <v>0</v>
      </c>
      <c r="T23" s="2119">
        <f t="shared" si="27"/>
        <v>0</v>
      </c>
      <c r="U23" s="2187"/>
      <c r="V23" s="2181"/>
      <c r="W23" s="2181"/>
      <c r="X23" s="2212">
        <f t="shared" si="9"/>
        <v>0</v>
      </c>
      <c r="Y23" s="2119">
        <f t="shared" si="10"/>
        <v>0</v>
      </c>
      <c r="Z23" s="2187"/>
      <c r="AA23" s="2181"/>
      <c r="AB23" s="2181"/>
      <c r="AC23" s="2212">
        <f t="shared" si="11"/>
        <v>0</v>
      </c>
      <c r="AD23" s="2119" t="e">
        <f t="shared" si="12"/>
        <v>#DIV/0!</v>
      </c>
      <c r="AE23" s="2217"/>
      <c r="AF23" s="2184"/>
      <c r="AG23" s="2181"/>
      <c r="AH23" s="2212">
        <f t="shared" si="13"/>
        <v>0</v>
      </c>
      <c r="AI23" s="2119">
        <f t="shared" si="14"/>
        <v>0</v>
      </c>
      <c r="AJ23" s="2187"/>
      <c r="AK23" s="2184"/>
      <c r="AL23" s="2181"/>
      <c r="AM23" s="2212">
        <f t="shared" si="15"/>
        <v>0</v>
      </c>
      <c r="AN23" s="2119">
        <f t="shared" si="16"/>
        <v>0</v>
      </c>
      <c r="AO23" s="2187"/>
      <c r="AP23" s="2184"/>
      <c r="AQ23" s="2181"/>
      <c r="AR23" s="2212">
        <f t="shared" si="17"/>
        <v>0</v>
      </c>
      <c r="AS23" s="2119">
        <f t="shared" si="18"/>
        <v>0</v>
      </c>
      <c r="AT23" s="2187"/>
      <c r="AU23" s="2184"/>
      <c r="AV23" s="2181"/>
      <c r="AW23" s="2212">
        <f t="shared" si="19"/>
        <v>0</v>
      </c>
      <c r="AX23" s="2119">
        <f t="shared" si="20"/>
        <v>0</v>
      </c>
      <c r="AY23" s="2187"/>
      <c r="AZ23" s="2184"/>
      <c r="BA23" s="2181"/>
      <c r="BB23" s="2212">
        <f t="shared" si="21"/>
        <v>0</v>
      </c>
      <c r="BC23" s="2119">
        <f t="shared" si="22"/>
        <v>0</v>
      </c>
      <c r="BD23" s="2187"/>
      <c r="BE23" s="2184"/>
      <c r="BF23" s="2181"/>
      <c r="BG23" s="2212">
        <f t="shared" si="23"/>
        <v>0</v>
      </c>
      <c r="BH23" s="2119">
        <f t="shared" si="24"/>
        <v>0</v>
      </c>
      <c r="BI23" s="2187"/>
      <c r="BJ23" s="2181">
        <f t="shared" si="3"/>
        <v>0</v>
      </c>
      <c r="BK23" s="2181">
        <f t="shared" si="3"/>
        <v>0</v>
      </c>
      <c r="BL23" s="2212">
        <f t="shared" si="4"/>
        <v>0</v>
      </c>
      <c r="BM23" s="2119">
        <f t="shared" si="5"/>
        <v>0</v>
      </c>
      <c r="BN23" s="1434"/>
      <c r="BO23" s="2188">
        <f t="shared" si="25"/>
        <v>0</v>
      </c>
      <c r="BP23" s="2213"/>
      <c r="BQ23" s="2152"/>
      <c r="BR23" s="2228"/>
      <c r="BS23" s="2191"/>
      <c r="BT23" s="2191"/>
    </row>
    <row r="24" spans="1:72" s="2192" customFormat="1" ht="15" customHeight="1">
      <c r="A24" s="2193"/>
      <c r="B24" s="2218" t="s">
        <v>23</v>
      </c>
      <c r="C24" s="2227"/>
      <c r="D24" s="2219"/>
      <c r="E24" s="2180">
        <f t="shared" si="1"/>
        <v>0</v>
      </c>
      <c r="F24" s="1976" t="e">
        <f t="shared" ref="F24:F33" si="28">E24/$E$89</f>
        <v>#DIV/0!</v>
      </c>
      <c r="G24" s="2181">
        <v>201000</v>
      </c>
      <c r="H24" s="2181">
        <v>0</v>
      </c>
      <c r="I24" s="2212">
        <f t="shared" si="7"/>
        <v>201000</v>
      </c>
      <c r="J24" s="2119">
        <f t="shared" si="26"/>
        <v>8.5415049731799336E-2</v>
      </c>
      <c r="K24" s="2187"/>
      <c r="L24" s="2181">
        <v>0</v>
      </c>
      <c r="M24" s="2181">
        <v>0</v>
      </c>
      <c r="N24" s="2181">
        <f t="shared" si="2"/>
        <v>0</v>
      </c>
      <c r="O24" s="2119">
        <v>0</v>
      </c>
      <c r="P24" s="1976"/>
      <c r="Q24" s="2181">
        <f>63750*1.2+3000*1.2+63333.33*1.2+21666.66*1.2</f>
        <v>182099.98799999998</v>
      </c>
      <c r="R24" s="2181">
        <v>350</v>
      </c>
      <c r="S24" s="2212">
        <f t="shared" si="8"/>
        <v>182449.98799999998</v>
      </c>
      <c r="T24" s="2119">
        <f t="shared" si="27"/>
        <v>7.7532212928289504E-2</v>
      </c>
      <c r="U24" s="2187" t="s">
        <v>994</v>
      </c>
      <c r="V24" s="2181">
        <f>18166.66*1.2</f>
        <v>21799.991999999998</v>
      </c>
      <c r="W24" s="2181"/>
      <c r="X24" s="2212">
        <f t="shared" si="9"/>
        <v>21799.991999999998</v>
      </c>
      <c r="Y24" s="2119">
        <f t="shared" si="10"/>
        <v>1.58697380373716E-2</v>
      </c>
      <c r="Z24" s="2187"/>
      <c r="AA24" s="2181"/>
      <c r="AB24" s="2181"/>
      <c r="AC24" s="2212">
        <f t="shared" si="11"/>
        <v>0</v>
      </c>
      <c r="AD24" s="2119" t="e">
        <f t="shared" si="12"/>
        <v>#DIV/0!</v>
      </c>
      <c r="AE24" s="2217"/>
      <c r="AF24" s="2184"/>
      <c r="AG24" s="2181"/>
      <c r="AH24" s="2212">
        <f t="shared" si="13"/>
        <v>0</v>
      </c>
      <c r="AI24" s="2119">
        <f t="shared" si="14"/>
        <v>0</v>
      </c>
      <c r="AJ24" s="2187"/>
      <c r="AK24" s="2184"/>
      <c r="AL24" s="2181"/>
      <c r="AM24" s="2212">
        <f t="shared" si="15"/>
        <v>0</v>
      </c>
      <c r="AN24" s="2119">
        <f t="shared" si="16"/>
        <v>0</v>
      </c>
      <c r="AO24" s="2181"/>
      <c r="AP24" s="2184"/>
      <c r="AQ24" s="2181"/>
      <c r="AR24" s="2212">
        <f t="shared" si="17"/>
        <v>0</v>
      </c>
      <c r="AS24" s="2119">
        <f t="shared" si="18"/>
        <v>0</v>
      </c>
      <c r="AT24" s="2181"/>
      <c r="AU24" s="2184"/>
      <c r="AV24" s="2181"/>
      <c r="AW24" s="2212">
        <f t="shared" si="19"/>
        <v>0</v>
      </c>
      <c r="AX24" s="2119">
        <f t="shared" si="20"/>
        <v>0</v>
      </c>
      <c r="AY24" s="2181"/>
      <c r="AZ24" s="2184"/>
      <c r="BA24" s="2181"/>
      <c r="BB24" s="2212">
        <f t="shared" si="21"/>
        <v>0</v>
      </c>
      <c r="BC24" s="2119">
        <f t="shared" si="22"/>
        <v>0</v>
      </c>
      <c r="BD24" s="2181"/>
      <c r="BE24" s="2184"/>
      <c r="BF24" s="2181"/>
      <c r="BG24" s="2212">
        <f t="shared" si="23"/>
        <v>0</v>
      </c>
      <c r="BH24" s="2119">
        <f t="shared" si="24"/>
        <v>0</v>
      </c>
      <c r="BI24" s="2181"/>
      <c r="BJ24" s="2181">
        <f t="shared" si="3"/>
        <v>203899.97999999998</v>
      </c>
      <c r="BK24" s="2181">
        <f t="shared" si="3"/>
        <v>350</v>
      </c>
      <c r="BL24" s="2212">
        <f t="shared" si="4"/>
        <v>204249.97999999998</v>
      </c>
      <c r="BM24" s="2119">
        <f t="shared" si="5"/>
        <v>3.612596925408753E-2</v>
      </c>
      <c r="BN24" s="1434"/>
      <c r="BO24" s="2188">
        <f t="shared" si="25"/>
        <v>-3249.9799999999814</v>
      </c>
      <c r="BP24" s="2213"/>
      <c r="BQ24" s="2189">
        <v>138683.34</v>
      </c>
      <c r="BR24" s="2226">
        <f t="shared" ref="BR24:BR31" si="29">BL24-BQ24</f>
        <v>65566.639999999985</v>
      </c>
      <c r="BS24" s="2191"/>
      <c r="BT24" s="2191"/>
    </row>
    <row r="25" spans="1:72" s="2192" customFormat="1" ht="15" customHeight="1">
      <c r="A25" s="2193"/>
      <c r="B25" s="2218" t="s">
        <v>24</v>
      </c>
      <c r="C25" s="2227"/>
      <c r="D25" s="2219"/>
      <c r="E25" s="2180">
        <f t="shared" si="1"/>
        <v>0</v>
      </c>
      <c r="F25" s="1976" t="e">
        <f t="shared" si="28"/>
        <v>#DIV/0!</v>
      </c>
      <c r="G25" s="2181">
        <v>146470.42899999997</v>
      </c>
      <c r="H25" s="2181">
        <v>0</v>
      </c>
      <c r="I25" s="2212">
        <f t="shared" si="7"/>
        <v>146470.42899999997</v>
      </c>
      <c r="J25" s="2119">
        <f t="shared" si="26"/>
        <v>6.2242681478970059E-2</v>
      </c>
      <c r="K25" s="2187"/>
      <c r="L25" s="2181">
        <v>0</v>
      </c>
      <c r="M25" s="2181">
        <v>364</v>
      </c>
      <c r="N25" s="2181">
        <f t="shared" si="2"/>
        <v>364</v>
      </c>
      <c r="O25" s="2119">
        <v>8.4845375311015788E-4</v>
      </c>
      <c r="P25" s="1976"/>
      <c r="Q25" s="2181">
        <f>21687.3*1.2</f>
        <v>26024.76</v>
      </c>
      <c r="R25" s="2181">
        <f>1449+160</f>
        <v>1609</v>
      </c>
      <c r="S25" s="2212">
        <f t="shared" si="8"/>
        <v>27633.759999999998</v>
      </c>
      <c r="T25" s="2119">
        <f t="shared" si="27"/>
        <v>1.1742980023266703E-2</v>
      </c>
      <c r="U25" s="2187"/>
      <c r="V25" s="2181"/>
      <c r="W25" s="2181">
        <v>732</v>
      </c>
      <c r="X25" s="2212">
        <f t="shared" si="9"/>
        <v>732</v>
      </c>
      <c r="Y25" s="2119">
        <f t="shared" si="10"/>
        <v>5.3287396818108988E-4</v>
      </c>
      <c r="Z25" s="2187"/>
      <c r="AA25" s="2181"/>
      <c r="AB25" s="2181"/>
      <c r="AC25" s="2212">
        <f t="shared" si="11"/>
        <v>0</v>
      </c>
      <c r="AD25" s="2119" t="e">
        <f t="shared" si="12"/>
        <v>#DIV/0!</v>
      </c>
      <c r="AE25" s="2217"/>
      <c r="AF25" s="2184"/>
      <c r="AG25" s="2181"/>
      <c r="AH25" s="2212">
        <f t="shared" si="13"/>
        <v>0</v>
      </c>
      <c r="AI25" s="2119">
        <f t="shared" si="14"/>
        <v>0</v>
      </c>
      <c r="AJ25" s="2187"/>
      <c r="AK25" s="2184"/>
      <c r="AL25" s="2181"/>
      <c r="AM25" s="2212">
        <f t="shared" si="15"/>
        <v>0</v>
      </c>
      <c r="AN25" s="2119">
        <f t="shared" si="16"/>
        <v>0</v>
      </c>
      <c r="AO25" s="2187"/>
      <c r="AP25" s="2184"/>
      <c r="AQ25" s="2181"/>
      <c r="AR25" s="2212">
        <f t="shared" si="17"/>
        <v>0</v>
      </c>
      <c r="AS25" s="2119">
        <f t="shared" si="18"/>
        <v>0</v>
      </c>
      <c r="AT25" s="2187"/>
      <c r="AU25" s="2184"/>
      <c r="AV25" s="2181"/>
      <c r="AW25" s="2212">
        <f t="shared" si="19"/>
        <v>0</v>
      </c>
      <c r="AX25" s="2119">
        <f t="shared" si="20"/>
        <v>0</v>
      </c>
      <c r="AY25" s="2187"/>
      <c r="AZ25" s="2184"/>
      <c r="BA25" s="2181"/>
      <c r="BB25" s="2212">
        <f t="shared" si="21"/>
        <v>0</v>
      </c>
      <c r="BC25" s="2119">
        <f t="shared" si="22"/>
        <v>0</v>
      </c>
      <c r="BD25" s="2187"/>
      <c r="BE25" s="2184">
        <f>47330.94*1.2</f>
        <v>56797.128000000004</v>
      </c>
      <c r="BF25" s="2181"/>
      <c r="BG25" s="2212">
        <f t="shared" si="23"/>
        <v>56797.128000000004</v>
      </c>
      <c r="BH25" s="2119">
        <f t="shared" si="24"/>
        <v>0.10887978716128367</v>
      </c>
      <c r="BI25" s="2187"/>
      <c r="BJ25" s="2181">
        <f t="shared" si="3"/>
        <v>82821.888000000006</v>
      </c>
      <c r="BK25" s="2181">
        <f t="shared" si="3"/>
        <v>2705</v>
      </c>
      <c r="BL25" s="2212">
        <f t="shared" si="4"/>
        <v>85526.888000000006</v>
      </c>
      <c r="BM25" s="2119">
        <f t="shared" si="5"/>
        <v>1.5127255955108481E-2</v>
      </c>
      <c r="BN25" s="1434"/>
      <c r="BO25" s="2188">
        <f t="shared" si="25"/>
        <v>60943.540999999968</v>
      </c>
      <c r="BP25" s="2213"/>
      <c r="BQ25" s="2189">
        <v>368294.83999999997</v>
      </c>
      <c r="BR25" s="2190">
        <f t="shared" si="29"/>
        <v>-282767.95199999993</v>
      </c>
      <c r="BS25" s="2191"/>
      <c r="BT25" s="2191"/>
    </row>
    <row r="26" spans="1:72" s="2192" customFormat="1" ht="43.2" customHeight="1">
      <c r="A26" s="2193"/>
      <c r="B26" s="2218" t="s">
        <v>45</v>
      </c>
      <c r="C26" s="2227"/>
      <c r="D26" s="2219"/>
      <c r="E26" s="2180">
        <f t="shared" si="1"/>
        <v>0</v>
      </c>
      <c r="F26" s="1976" t="e">
        <f t="shared" si="28"/>
        <v>#DIV/0!</v>
      </c>
      <c r="G26" s="2181">
        <v>6067855.6212373506</v>
      </c>
      <c r="H26" s="2181">
        <v>0</v>
      </c>
      <c r="I26" s="2212">
        <f t="shared" si="7"/>
        <v>6067855.6212373506</v>
      </c>
      <c r="J26" s="2119">
        <f t="shared" si="26"/>
        <v>2.5785382569819228</v>
      </c>
      <c r="K26" s="2187"/>
      <c r="L26" s="2181">
        <v>0</v>
      </c>
      <c r="M26" s="2181">
        <v>0</v>
      </c>
      <c r="N26" s="2181">
        <f t="shared" si="2"/>
        <v>0</v>
      </c>
      <c r="O26" s="2119">
        <v>0</v>
      </c>
      <c r="P26" s="1976"/>
      <c r="Q26" s="2181">
        <f>323.9*1.2+690216.99*1.2+BJ98+BJ99</f>
        <v>858513.94800000009</v>
      </c>
      <c r="R26" s="2181"/>
      <c r="S26" s="2212">
        <f t="shared" si="8"/>
        <v>858513.94800000009</v>
      </c>
      <c r="T26" s="2119">
        <f t="shared" si="27"/>
        <v>0.36482592817842485</v>
      </c>
      <c r="U26" s="2187"/>
      <c r="V26" s="2181">
        <f>288537.85*1.2+499697.6156</f>
        <v>845943.03560000006</v>
      </c>
      <c r="W26" s="2181"/>
      <c r="X26" s="2212">
        <f t="shared" si="9"/>
        <v>845943.03560000006</v>
      </c>
      <c r="Y26" s="2119">
        <f t="shared" si="10"/>
        <v>0.61582106862749864</v>
      </c>
      <c r="Z26" s="2187"/>
      <c r="AA26" s="2181"/>
      <c r="AB26" s="2181"/>
      <c r="AC26" s="2212">
        <f t="shared" si="11"/>
        <v>0</v>
      </c>
      <c r="AD26" s="2119" t="e">
        <f t="shared" si="12"/>
        <v>#DIV/0!</v>
      </c>
      <c r="AE26" s="2217"/>
      <c r="AF26" s="2184"/>
      <c r="AG26" s="2181"/>
      <c r="AH26" s="2212">
        <f t="shared" si="13"/>
        <v>0</v>
      </c>
      <c r="AI26" s="2119">
        <f t="shared" si="14"/>
        <v>0</v>
      </c>
      <c r="AJ26" s="2187"/>
      <c r="AK26" s="2184"/>
      <c r="AL26" s="2181"/>
      <c r="AM26" s="2212">
        <f t="shared" si="15"/>
        <v>0</v>
      </c>
      <c r="AN26" s="2119">
        <f t="shared" si="16"/>
        <v>0</v>
      </c>
      <c r="AO26" s="2187"/>
      <c r="AP26" s="2229">
        <f>523685.832*1.2</f>
        <v>628422.99839999992</v>
      </c>
      <c r="AQ26" s="2181"/>
      <c r="AR26" s="2212">
        <f t="shared" si="17"/>
        <v>628422.99839999992</v>
      </c>
      <c r="AS26" s="2119">
        <f t="shared" si="18"/>
        <v>3471.9502674033147</v>
      </c>
      <c r="AT26" s="2186" t="s">
        <v>1181</v>
      </c>
      <c r="AU26" s="2184"/>
      <c r="AV26" s="2181"/>
      <c r="AW26" s="2212">
        <f t="shared" si="19"/>
        <v>0</v>
      </c>
      <c r="AX26" s="2119">
        <f t="shared" si="20"/>
        <v>0</v>
      </c>
      <c r="AY26" s="2187"/>
      <c r="AZ26" s="2184"/>
      <c r="BA26" s="2181"/>
      <c r="BB26" s="2212">
        <f t="shared" si="21"/>
        <v>0</v>
      </c>
      <c r="BC26" s="2119">
        <f t="shared" si="22"/>
        <v>0</v>
      </c>
      <c r="BD26" s="2187"/>
      <c r="BE26" s="2184">
        <f>223489.25*1.2</f>
        <v>268187.09999999998</v>
      </c>
      <c r="BF26" s="2181"/>
      <c r="BG26" s="2212">
        <f t="shared" si="23"/>
        <v>268187.09999999998</v>
      </c>
      <c r="BH26" s="2119">
        <f t="shared" si="24"/>
        <v>0.51411322008045712</v>
      </c>
      <c r="BI26" s="2187"/>
      <c r="BJ26" s="2181">
        <f t="shared" si="3"/>
        <v>2601067.0819999999</v>
      </c>
      <c r="BK26" s="2181">
        <f t="shared" si="3"/>
        <v>0</v>
      </c>
      <c r="BL26" s="2212">
        <f t="shared" si="4"/>
        <v>2601067.0819999999</v>
      </c>
      <c r="BM26" s="2119">
        <f t="shared" si="5"/>
        <v>0.46005424055439892</v>
      </c>
      <c r="BN26" s="1434"/>
      <c r="BO26" s="2188">
        <f t="shared" si="25"/>
        <v>3466788.5392373507</v>
      </c>
      <c r="BP26" s="2213"/>
      <c r="BQ26" s="2189">
        <v>2298816.5700000003</v>
      </c>
      <c r="BR26" s="2190">
        <f t="shared" si="29"/>
        <v>302250.51199999964</v>
      </c>
      <c r="BS26" s="2230"/>
      <c r="BT26" s="2191"/>
    </row>
    <row r="27" spans="1:72" s="2192" customFormat="1" ht="15" customHeight="1">
      <c r="A27" s="2193"/>
      <c r="B27" s="2218" t="s">
        <v>25</v>
      </c>
      <c r="C27" s="2227"/>
      <c r="D27" s="2219"/>
      <c r="E27" s="2180">
        <f t="shared" si="1"/>
        <v>0</v>
      </c>
      <c r="F27" s="1976" t="e">
        <f t="shared" si="28"/>
        <v>#DIV/0!</v>
      </c>
      <c r="G27" s="2181">
        <v>0</v>
      </c>
      <c r="H27" s="2181">
        <v>6161.5833992564994</v>
      </c>
      <c r="I27" s="2212">
        <f t="shared" si="7"/>
        <v>6161.5833992564994</v>
      </c>
      <c r="J27" s="2119">
        <f t="shared" si="26"/>
        <v>2.6183679227568314E-3</v>
      </c>
      <c r="K27" s="2187"/>
      <c r="L27" s="2181">
        <v>0</v>
      </c>
      <c r="M27" s="2181">
        <v>2605</v>
      </c>
      <c r="N27" s="2181">
        <f t="shared" si="2"/>
        <v>2605</v>
      </c>
      <c r="O27" s="2119">
        <v>6.0720385353075857E-3</v>
      </c>
      <c r="P27" s="1976"/>
      <c r="Q27" s="2181"/>
      <c r="R27" s="2181">
        <v>540</v>
      </c>
      <c r="S27" s="2212">
        <f t="shared" si="8"/>
        <v>540</v>
      </c>
      <c r="T27" s="2119">
        <f t="shared" si="27"/>
        <v>2.2947326793617732E-4</v>
      </c>
      <c r="U27" s="2187" t="s">
        <v>983</v>
      </c>
      <c r="V27" s="2181"/>
      <c r="W27" s="2181"/>
      <c r="X27" s="2212">
        <f t="shared" si="9"/>
        <v>0</v>
      </c>
      <c r="Y27" s="2119">
        <f t="shared" si="10"/>
        <v>0</v>
      </c>
      <c r="Z27" s="2187"/>
      <c r="AA27" s="2181"/>
      <c r="AB27" s="2181"/>
      <c r="AC27" s="2212">
        <f t="shared" si="11"/>
        <v>0</v>
      </c>
      <c r="AD27" s="2119" t="e">
        <f t="shared" si="12"/>
        <v>#DIV/0!</v>
      </c>
      <c r="AE27" s="2217"/>
      <c r="AF27" s="2184"/>
      <c r="AG27" s="2181"/>
      <c r="AH27" s="2212">
        <f t="shared" si="13"/>
        <v>0</v>
      </c>
      <c r="AI27" s="2119">
        <f t="shared" si="14"/>
        <v>0</v>
      </c>
      <c r="AJ27" s="2187"/>
      <c r="AK27" s="2184"/>
      <c r="AL27" s="2181"/>
      <c r="AM27" s="2212">
        <f t="shared" si="15"/>
        <v>0</v>
      </c>
      <c r="AN27" s="2119">
        <f t="shared" si="16"/>
        <v>0</v>
      </c>
      <c r="AO27" s="2187"/>
      <c r="AP27" s="2184"/>
      <c r="AQ27" s="2181"/>
      <c r="AR27" s="2212">
        <f t="shared" si="17"/>
        <v>0</v>
      </c>
      <c r="AS27" s="2119">
        <f t="shared" si="18"/>
        <v>0</v>
      </c>
      <c r="AT27" s="2187"/>
      <c r="AU27" s="2184"/>
      <c r="AV27" s="2181"/>
      <c r="AW27" s="2212">
        <f t="shared" si="19"/>
        <v>0</v>
      </c>
      <c r="AX27" s="2119">
        <f t="shared" si="20"/>
        <v>0</v>
      </c>
      <c r="AY27" s="2187"/>
      <c r="AZ27" s="2184"/>
      <c r="BA27" s="2181"/>
      <c r="BB27" s="2212">
        <f t="shared" si="21"/>
        <v>0</v>
      </c>
      <c r="BC27" s="2119">
        <f t="shared" si="22"/>
        <v>0</v>
      </c>
      <c r="BD27" s="2187"/>
      <c r="BE27" s="2184"/>
      <c r="BF27" s="2181"/>
      <c r="BG27" s="2212">
        <f t="shared" si="23"/>
        <v>0</v>
      </c>
      <c r="BH27" s="2119">
        <f t="shared" si="24"/>
        <v>0</v>
      </c>
      <c r="BI27" s="2187"/>
      <c r="BJ27" s="2181">
        <f t="shared" si="3"/>
        <v>0</v>
      </c>
      <c r="BK27" s="2181">
        <f t="shared" si="3"/>
        <v>3145</v>
      </c>
      <c r="BL27" s="2212">
        <f t="shared" si="4"/>
        <v>3145</v>
      </c>
      <c r="BM27" s="2119">
        <f t="shared" si="5"/>
        <v>5.5626038888280567E-4</v>
      </c>
      <c r="BN27" s="1434"/>
      <c r="BO27" s="2188">
        <f t="shared" si="25"/>
        <v>3016.5833992564994</v>
      </c>
      <c r="BP27" s="2213"/>
      <c r="BQ27" s="2200">
        <v>6758.0399999999991</v>
      </c>
      <c r="BR27" s="2190">
        <f t="shared" si="29"/>
        <v>-3613.0399999999991</v>
      </c>
      <c r="BS27" s="2191"/>
      <c r="BT27" s="2191"/>
    </row>
    <row r="28" spans="1:72" s="2234" customFormat="1" ht="15" customHeight="1">
      <c r="A28" s="2193"/>
      <c r="B28" s="2231" t="s">
        <v>52</v>
      </c>
      <c r="C28" s="2227"/>
      <c r="D28" s="2219"/>
      <c r="E28" s="2180">
        <f t="shared" si="1"/>
        <v>0</v>
      </c>
      <c r="F28" s="1976" t="e">
        <f t="shared" si="28"/>
        <v>#DIV/0!</v>
      </c>
      <c r="G28" s="2181">
        <v>149149.23449999999</v>
      </c>
      <c r="H28" s="2181">
        <v>0</v>
      </c>
      <c r="I28" s="2212">
        <f t="shared" si="7"/>
        <v>149149.23449999999</v>
      </c>
      <c r="J28" s="2119">
        <f t="shared" si="26"/>
        <v>6.3381041205359701E-2</v>
      </c>
      <c r="K28" s="2187"/>
      <c r="L28" s="2181">
        <v>0</v>
      </c>
      <c r="M28" s="2181">
        <v>15311</v>
      </c>
      <c r="N28" s="2181">
        <f t="shared" si="2"/>
        <v>15311</v>
      </c>
      <c r="O28" s="2119">
        <v>3.5688668719422049E-2</v>
      </c>
      <c r="P28" s="1976"/>
      <c r="Q28" s="2181"/>
      <c r="R28" s="2181">
        <f>3955+937</f>
        <v>4892</v>
      </c>
      <c r="S28" s="2212">
        <f t="shared" si="8"/>
        <v>4892</v>
      </c>
      <c r="T28" s="2119">
        <f t="shared" si="27"/>
        <v>2.0788578273032952E-3</v>
      </c>
      <c r="U28" s="2187" t="s">
        <v>984</v>
      </c>
      <c r="V28" s="2181">
        <v>10116.709999999999</v>
      </c>
      <c r="W28" s="2181">
        <v>1369</v>
      </c>
      <c r="X28" s="2212">
        <f t="shared" si="9"/>
        <v>11485.71</v>
      </c>
      <c r="Y28" s="2119">
        <f t="shared" si="10"/>
        <v>8.361251181799487E-3</v>
      </c>
      <c r="Z28" s="2187" t="s">
        <v>1019</v>
      </c>
      <c r="AA28" s="2181"/>
      <c r="AB28" s="2181"/>
      <c r="AC28" s="2212">
        <f t="shared" si="11"/>
        <v>0</v>
      </c>
      <c r="AD28" s="2119" t="e">
        <f t="shared" si="12"/>
        <v>#DIV/0!</v>
      </c>
      <c r="AE28" s="2217"/>
      <c r="AF28" s="2184"/>
      <c r="AG28" s="2181"/>
      <c r="AH28" s="2212">
        <f t="shared" si="13"/>
        <v>0</v>
      </c>
      <c r="AI28" s="2119">
        <f t="shared" si="14"/>
        <v>0</v>
      </c>
      <c r="AJ28" s="2187"/>
      <c r="AK28" s="2184"/>
      <c r="AL28" s="2181"/>
      <c r="AM28" s="2212">
        <f t="shared" si="15"/>
        <v>0</v>
      </c>
      <c r="AN28" s="2119">
        <f t="shared" si="16"/>
        <v>0</v>
      </c>
      <c r="AO28" s="2187"/>
      <c r="AP28" s="2184"/>
      <c r="AQ28" s="2181"/>
      <c r="AR28" s="2212">
        <f t="shared" si="17"/>
        <v>0</v>
      </c>
      <c r="AS28" s="2119">
        <f t="shared" si="18"/>
        <v>0</v>
      </c>
      <c r="AT28" s="2187"/>
      <c r="AU28" s="2184"/>
      <c r="AV28" s="2181"/>
      <c r="AW28" s="2212">
        <f t="shared" si="19"/>
        <v>0</v>
      </c>
      <c r="AX28" s="2119">
        <f t="shared" si="20"/>
        <v>0</v>
      </c>
      <c r="AY28" s="2187"/>
      <c r="AZ28" s="2184"/>
      <c r="BA28" s="2181"/>
      <c r="BB28" s="2212">
        <f t="shared" si="21"/>
        <v>0</v>
      </c>
      <c r="BC28" s="2119">
        <f t="shared" si="22"/>
        <v>0</v>
      </c>
      <c r="BD28" s="2187"/>
      <c r="BE28" s="2184"/>
      <c r="BF28" s="2181"/>
      <c r="BG28" s="2212">
        <f t="shared" si="23"/>
        <v>0</v>
      </c>
      <c r="BH28" s="2119">
        <f t="shared" si="24"/>
        <v>0</v>
      </c>
      <c r="BI28" s="2187"/>
      <c r="BJ28" s="2181">
        <f t="shared" si="3"/>
        <v>10116.709999999999</v>
      </c>
      <c r="BK28" s="2181">
        <f t="shared" si="3"/>
        <v>21572</v>
      </c>
      <c r="BL28" s="2212">
        <f>BJ28+BK28*1</f>
        <v>31688.71</v>
      </c>
      <c r="BM28" s="2119">
        <f t="shared" si="5"/>
        <v>5.6048248482653273E-3</v>
      </c>
      <c r="BN28" s="1434"/>
      <c r="BO28" s="2188">
        <f t="shared" si="25"/>
        <v>117460.5245</v>
      </c>
      <c r="BP28" s="2213"/>
      <c r="BQ28" s="2232">
        <v>21131</v>
      </c>
      <c r="BR28" s="2190">
        <f t="shared" si="29"/>
        <v>10557.71</v>
      </c>
      <c r="BS28" s="2233"/>
      <c r="BT28" s="2233"/>
    </row>
    <row r="29" spans="1:72" s="2192" customFormat="1" ht="15" customHeight="1">
      <c r="A29" s="2193"/>
      <c r="B29" s="2218" t="s">
        <v>31</v>
      </c>
      <c r="C29" s="2227"/>
      <c r="D29" s="2219"/>
      <c r="E29" s="2180">
        <f t="shared" si="1"/>
        <v>0</v>
      </c>
      <c r="F29" s="2119" t="e">
        <f t="shared" si="28"/>
        <v>#DIV/0!</v>
      </c>
      <c r="G29" s="2181">
        <v>139561.58339925649</v>
      </c>
      <c r="H29" s="2181">
        <f>4800+22000</f>
        <v>26800</v>
      </c>
      <c r="I29" s="2212">
        <f t="shared" si="7"/>
        <v>166361.58339925649</v>
      </c>
      <c r="J29" s="2119">
        <f t="shared" si="26"/>
        <v>7.0695437410489434E-2</v>
      </c>
      <c r="K29" s="2187"/>
      <c r="L29" s="2181">
        <v>26130</v>
      </c>
      <c r="M29" s="2181">
        <v>4200</v>
      </c>
      <c r="N29" s="2181">
        <f t="shared" si="2"/>
        <v>30330</v>
      </c>
      <c r="O29" s="2119">
        <v>7.0696709702832664E-2</v>
      </c>
      <c r="P29" s="1976"/>
      <c r="Q29" s="2181">
        <f>21160-800</f>
        <v>20360</v>
      </c>
      <c r="R29" s="2181">
        <v>7380</v>
      </c>
      <c r="S29" s="2212">
        <f t="shared" si="8"/>
        <v>27740</v>
      </c>
      <c r="T29" s="2119">
        <f t="shared" si="27"/>
        <v>1.1788126763980665E-2</v>
      </c>
      <c r="U29" s="2187"/>
      <c r="V29" s="2181">
        <v>11030</v>
      </c>
      <c r="W29" s="2181">
        <v>33530</v>
      </c>
      <c r="X29" s="2212">
        <f t="shared" si="9"/>
        <v>44560</v>
      </c>
      <c r="Y29" s="2119">
        <f t="shared" si="10"/>
        <v>3.2438338828072899E-2</v>
      </c>
      <c r="Z29" s="2187"/>
      <c r="AA29" s="2181"/>
      <c r="AB29" s="2181"/>
      <c r="AC29" s="2212">
        <f t="shared" si="11"/>
        <v>0</v>
      </c>
      <c r="AD29" s="2119" t="e">
        <f t="shared" si="12"/>
        <v>#DIV/0!</v>
      </c>
      <c r="AE29" s="2217"/>
      <c r="AF29" s="2184"/>
      <c r="AG29" s="2181"/>
      <c r="AH29" s="2212">
        <f t="shared" si="13"/>
        <v>0</v>
      </c>
      <c r="AI29" s="2119">
        <f t="shared" si="14"/>
        <v>0</v>
      </c>
      <c r="AJ29" s="2187"/>
      <c r="AK29" s="2184"/>
      <c r="AL29" s="2181"/>
      <c r="AM29" s="2212">
        <f t="shared" si="15"/>
        <v>0</v>
      </c>
      <c r="AN29" s="2119">
        <f t="shared" si="16"/>
        <v>0</v>
      </c>
      <c r="AO29" s="2187"/>
      <c r="AP29" s="2184"/>
      <c r="AQ29" s="2181"/>
      <c r="AR29" s="2212">
        <f t="shared" si="17"/>
        <v>0</v>
      </c>
      <c r="AS29" s="2119">
        <f t="shared" si="18"/>
        <v>0</v>
      </c>
      <c r="AT29" s="2187"/>
      <c r="AU29" s="2184"/>
      <c r="AV29" s="2181"/>
      <c r="AW29" s="2212">
        <f t="shared" si="19"/>
        <v>0</v>
      </c>
      <c r="AX29" s="2119">
        <f t="shared" si="20"/>
        <v>0</v>
      </c>
      <c r="AY29" s="2187"/>
      <c r="AZ29" s="2184"/>
      <c r="BA29" s="2181"/>
      <c r="BB29" s="2212">
        <f t="shared" si="21"/>
        <v>0</v>
      </c>
      <c r="BC29" s="2119">
        <f t="shared" si="22"/>
        <v>0</v>
      </c>
      <c r="BD29" s="2187"/>
      <c r="BE29" s="2184"/>
      <c r="BF29" s="2181"/>
      <c r="BG29" s="2212">
        <f t="shared" si="23"/>
        <v>0</v>
      </c>
      <c r="BH29" s="2119">
        <f t="shared" si="24"/>
        <v>0</v>
      </c>
      <c r="BI29" s="2187"/>
      <c r="BJ29" s="2181">
        <f t="shared" si="3"/>
        <v>57520</v>
      </c>
      <c r="BK29" s="2181">
        <f t="shared" si="3"/>
        <v>45110</v>
      </c>
      <c r="BL29" s="2212">
        <f t="shared" si="4"/>
        <v>102630</v>
      </c>
      <c r="BM29" s="2119">
        <f t="shared" si="5"/>
        <v>1.8152306426404564E-2</v>
      </c>
      <c r="BN29" s="2122"/>
      <c r="BO29" s="2188">
        <f t="shared" si="25"/>
        <v>63731.583399256488</v>
      </c>
      <c r="BP29" s="2213"/>
      <c r="BQ29" s="2200">
        <v>110780.016</v>
      </c>
      <c r="BR29" s="2190">
        <f t="shared" si="29"/>
        <v>-8150.0160000000033</v>
      </c>
      <c r="BS29" s="2191"/>
      <c r="BT29" s="2191"/>
    </row>
    <row r="30" spans="1:72" s="2192" customFormat="1" ht="15" customHeight="1">
      <c r="A30" s="2193"/>
      <c r="B30" s="2218" t="s">
        <v>62</v>
      </c>
      <c r="C30" s="2227"/>
      <c r="D30" s="2219"/>
      <c r="E30" s="2180">
        <f t="shared" si="1"/>
        <v>0</v>
      </c>
      <c r="F30" s="2119" t="e">
        <f t="shared" si="28"/>
        <v>#DIV/0!</v>
      </c>
      <c r="G30" s="2181"/>
      <c r="H30" s="2181">
        <v>112000</v>
      </c>
      <c r="I30" s="2212">
        <f t="shared" si="7"/>
        <v>112000</v>
      </c>
      <c r="J30" s="2119">
        <f t="shared" si="26"/>
        <v>4.7594455571947893E-2</v>
      </c>
      <c r="K30" s="2187"/>
      <c r="L30" s="2181">
        <v>16320</v>
      </c>
      <c r="M30" s="2181">
        <v>19220</v>
      </c>
      <c r="N30" s="2181">
        <f t="shared" si="2"/>
        <v>35540</v>
      </c>
      <c r="O30" s="2119">
        <v>8.2840786773447833E-2</v>
      </c>
      <c r="P30" s="1976"/>
      <c r="Q30" s="2181"/>
      <c r="R30" s="2181">
        <f>19912</f>
        <v>19912</v>
      </c>
      <c r="S30" s="2212">
        <f t="shared" si="8"/>
        <v>19912</v>
      </c>
      <c r="T30" s="2119">
        <f t="shared" si="27"/>
        <v>8.4616142798984492E-3</v>
      </c>
      <c r="U30" s="2187" t="s">
        <v>981</v>
      </c>
      <c r="V30" s="2181">
        <f>15520-7840</f>
        <v>7680</v>
      </c>
      <c r="W30" s="2181">
        <f>8500+9517</f>
        <v>18017</v>
      </c>
      <c r="X30" s="2212">
        <f t="shared" si="9"/>
        <v>25697</v>
      </c>
      <c r="Y30" s="2119">
        <f t="shared" si="10"/>
        <v>1.8706642568783422E-2</v>
      </c>
      <c r="Z30" s="2187"/>
      <c r="AA30" s="2181"/>
      <c r="AB30" s="2181"/>
      <c r="AC30" s="2212">
        <f t="shared" si="11"/>
        <v>0</v>
      </c>
      <c r="AD30" s="2119" t="e">
        <f t="shared" si="12"/>
        <v>#DIV/0!</v>
      </c>
      <c r="AE30" s="2217"/>
      <c r="AF30" s="2184"/>
      <c r="AG30" s="2181"/>
      <c r="AH30" s="2212">
        <f t="shared" si="13"/>
        <v>0</v>
      </c>
      <c r="AI30" s="2119">
        <f t="shared" si="14"/>
        <v>0</v>
      </c>
      <c r="AJ30" s="2187"/>
      <c r="AK30" s="2184"/>
      <c r="AL30" s="2181"/>
      <c r="AM30" s="2212">
        <f t="shared" si="15"/>
        <v>0</v>
      </c>
      <c r="AN30" s="2119">
        <f t="shared" si="16"/>
        <v>0</v>
      </c>
      <c r="AO30" s="2187"/>
      <c r="AP30" s="2184"/>
      <c r="AQ30" s="2181"/>
      <c r="AR30" s="2212">
        <f t="shared" si="17"/>
        <v>0</v>
      </c>
      <c r="AS30" s="2119">
        <f t="shared" si="18"/>
        <v>0</v>
      </c>
      <c r="AT30" s="2187"/>
      <c r="AU30" s="2184"/>
      <c r="AV30" s="2181"/>
      <c r="AW30" s="2212">
        <f t="shared" si="19"/>
        <v>0</v>
      </c>
      <c r="AX30" s="2119">
        <f t="shared" si="20"/>
        <v>0</v>
      </c>
      <c r="AY30" s="2187"/>
      <c r="AZ30" s="2184"/>
      <c r="BA30" s="2181"/>
      <c r="BB30" s="2212">
        <f t="shared" si="21"/>
        <v>0</v>
      </c>
      <c r="BC30" s="2119">
        <f t="shared" si="22"/>
        <v>0</v>
      </c>
      <c r="BD30" s="2187"/>
      <c r="BE30" s="2184"/>
      <c r="BF30" s="2181"/>
      <c r="BG30" s="2212">
        <f t="shared" si="23"/>
        <v>0</v>
      </c>
      <c r="BH30" s="2119">
        <f t="shared" si="24"/>
        <v>0</v>
      </c>
      <c r="BI30" s="2187"/>
      <c r="BJ30" s="2181">
        <f t="shared" si="3"/>
        <v>24000</v>
      </c>
      <c r="BK30" s="2181">
        <f t="shared" si="3"/>
        <v>57149</v>
      </c>
      <c r="BL30" s="2212">
        <f t="shared" si="4"/>
        <v>81149</v>
      </c>
      <c r="BM30" s="2119">
        <f t="shared" si="5"/>
        <v>1.4352933003958918E-2</v>
      </c>
      <c r="BN30" s="2122"/>
      <c r="BO30" s="2188">
        <f t="shared" si="25"/>
        <v>30851</v>
      </c>
      <c r="BP30" s="2213"/>
      <c r="BQ30" s="2200">
        <v>77269</v>
      </c>
      <c r="BR30" s="2190">
        <f t="shared" si="29"/>
        <v>3880</v>
      </c>
      <c r="BS30" s="2191"/>
      <c r="BT30" s="2191"/>
    </row>
    <row r="31" spans="1:72" s="2192" customFormat="1" ht="15" customHeight="1">
      <c r="A31" s="2193"/>
      <c r="B31" s="2218" t="s">
        <v>34</v>
      </c>
      <c r="C31" s="2227"/>
      <c r="D31" s="2235"/>
      <c r="E31" s="2180">
        <f t="shared" si="1"/>
        <v>0</v>
      </c>
      <c r="F31" s="2119" t="e">
        <f t="shared" si="28"/>
        <v>#DIV/0!</v>
      </c>
      <c r="G31" s="2181">
        <f>3696.9500395539+40000</f>
        <v>43696.9500395539</v>
      </c>
      <c r="H31" s="2181">
        <v>44000</v>
      </c>
      <c r="I31" s="2212">
        <f t="shared" si="7"/>
        <v>87696.950039553893</v>
      </c>
      <c r="J31" s="2119">
        <f t="shared" si="26"/>
        <v>3.7266862432615011E-2</v>
      </c>
      <c r="K31" s="2187"/>
      <c r="L31" s="2181">
        <v>0</v>
      </c>
      <c r="M31" s="2181">
        <f>5737+34703</f>
        <v>40440</v>
      </c>
      <c r="N31" s="2181">
        <f t="shared" si="2"/>
        <v>40440</v>
      </c>
      <c r="O31" s="2119">
        <v>1.3372470279101581E-2</v>
      </c>
      <c r="P31" s="1976"/>
      <c r="Q31" s="2181"/>
      <c r="R31" s="2181">
        <v>7955</v>
      </c>
      <c r="S31" s="2212">
        <f t="shared" si="8"/>
        <v>7955</v>
      </c>
      <c r="T31" s="2119">
        <f t="shared" si="27"/>
        <v>3.3804811970968344E-3</v>
      </c>
      <c r="U31" s="2187"/>
      <c r="V31" s="2181"/>
      <c r="W31" s="2181">
        <v>9345</v>
      </c>
      <c r="X31" s="2212">
        <f t="shared" si="9"/>
        <v>9345</v>
      </c>
      <c r="Y31" s="2119">
        <f t="shared" si="10"/>
        <v>6.8028787331315364E-3</v>
      </c>
      <c r="Z31" s="2187"/>
      <c r="AA31" s="2181"/>
      <c r="AB31" s="2181"/>
      <c r="AC31" s="2212">
        <f t="shared" si="11"/>
        <v>0</v>
      </c>
      <c r="AD31" s="2119" t="e">
        <f t="shared" si="12"/>
        <v>#DIV/0!</v>
      </c>
      <c r="AE31" s="2217"/>
      <c r="AF31" s="2184"/>
      <c r="AG31" s="2181"/>
      <c r="AH31" s="2212">
        <f t="shared" si="13"/>
        <v>0</v>
      </c>
      <c r="AI31" s="2119">
        <f t="shared" si="14"/>
        <v>0</v>
      </c>
      <c r="AJ31" s="2187"/>
      <c r="AK31" s="2184"/>
      <c r="AL31" s="2181"/>
      <c r="AM31" s="2212">
        <f t="shared" si="15"/>
        <v>0</v>
      </c>
      <c r="AN31" s="2119">
        <f t="shared" si="16"/>
        <v>0</v>
      </c>
      <c r="AO31" s="2187"/>
      <c r="AP31" s="2184"/>
      <c r="AQ31" s="2181"/>
      <c r="AR31" s="2212">
        <f t="shared" si="17"/>
        <v>0</v>
      </c>
      <c r="AS31" s="2119">
        <f t="shared" si="18"/>
        <v>0</v>
      </c>
      <c r="AT31" s="2187"/>
      <c r="AU31" s="2184"/>
      <c r="AV31" s="2181"/>
      <c r="AW31" s="2212">
        <f t="shared" si="19"/>
        <v>0</v>
      </c>
      <c r="AX31" s="2119">
        <f t="shared" si="20"/>
        <v>0</v>
      </c>
      <c r="AY31" s="2187"/>
      <c r="AZ31" s="2184"/>
      <c r="BA31" s="2181"/>
      <c r="BB31" s="2212">
        <f t="shared" si="21"/>
        <v>0</v>
      </c>
      <c r="BC31" s="2119">
        <f t="shared" si="22"/>
        <v>0</v>
      </c>
      <c r="BD31" s="2187"/>
      <c r="BE31" s="2184"/>
      <c r="BF31" s="2181"/>
      <c r="BG31" s="2212">
        <f t="shared" si="23"/>
        <v>0</v>
      </c>
      <c r="BH31" s="2119">
        <f t="shared" si="24"/>
        <v>0</v>
      </c>
      <c r="BI31" s="2187"/>
      <c r="BJ31" s="2181">
        <f t="shared" si="3"/>
        <v>0</v>
      </c>
      <c r="BK31" s="2181">
        <f t="shared" si="3"/>
        <v>57740</v>
      </c>
      <c r="BL31" s="2212">
        <f t="shared" si="4"/>
        <v>57740</v>
      </c>
      <c r="BM31" s="2119">
        <f t="shared" si="5"/>
        <v>1.0212551622923116E-2</v>
      </c>
      <c r="BN31" s="2122"/>
      <c r="BO31" s="2188">
        <f t="shared" si="25"/>
        <v>29956.950039553893</v>
      </c>
      <c r="BP31" s="2213"/>
      <c r="BQ31" s="2200">
        <v>70700.616239999988</v>
      </c>
      <c r="BR31" s="2190">
        <f t="shared" si="29"/>
        <v>-12960.616239999988</v>
      </c>
      <c r="BS31" s="2191"/>
      <c r="BT31" s="2191"/>
    </row>
    <row r="32" spans="1:72" s="2192" customFormat="1" ht="15" customHeight="1">
      <c r="A32" s="2193"/>
      <c r="B32" s="2236" t="s">
        <v>2</v>
      </c>
      <c r="C32" s="2237"/>
      <c r="D32" s="2238"/>
      <c r="E32" s="2180">
        <f t="shared" si="1"/>
        <v>0</v>
      </c>
      <c r="F32" s="2119" t="e">
        <f t="shared" si="28"/>
        <v>#DIV/0!</v>
      </c>
      <c r="G32" s="2181"/>
      <c r="H32" s="2181"/>
      <c r="I32" s="2212">
        <f t="shared" si="7"/>
        <v>0</v>
      </c>
      <c r="J32" s="2119">
        <f t="shared" si="26"/>
        <v>0</v>
      </c>
      <c r="K32" s="2120"/>
      <c r="L32" s="2181">
        <v>0</v>
      </c>
      <c r="M32" s="2181">
        <v>0</v>
      </c>
      <c r="N32" s="2181">
        <f t="shared" si="2"/>
        <v>0</v>
      </c>
      <c r="O32" s="2119">
        <v>0</v>
      </c>
      <c r="P32" s="1976"/>
      <c r="Q32" s="2181"/>
      <c r="R32" s="2181"/>
      <c r="S32" s="2212">
        <f t="shared" si="8"/>
        <v>0</v>
      </c>
      <c r="T32" s="2119">
        <f t="shared" si="27"/>
        <v>0</v>
      </c>
      <c r="U32" s="2120"/>
      <c r="V32" s="2181"/>
      <c r="W32" s="2181"/>
      <c r="X32" s="2212">
        <f t="shared" si="9"/>
        <v>0</v>
      </c>
      <c r="Y32" s="2119">
        <f t="shared" si="10"/>
        <v>0</v>
      </c>
      <c r="Z32" s="2120"/>
      <c r="AA32" s="2181"/>
      <c r="AB32" s="2181"/>
      <c r="AC32" s="2212">
        <f t="shared" si="11"/>
        <v>0</v>
      </c>
      <c r="AD32" s="2119" t="e">
        <f t="shared" si="12"/>
        <v>#DIV/0!</v>
      </c>
      <c r="AE32" s="2239"/>
      <c r="AF32" s="2184"/>
      <c r="AG32" s="2181"/>
      <c r="AH32" s="2212">
        <f t="shared" si="13"/>
        <v>0</v>
      </c>
      <c r="AI32" s="2119">
        <f t="shared" si="14"/>
        <v>0</v>
      </c>
      <c r="AJ32" s="2120"/>
      <c r="AK32" s="2184"/>
      <c r="AL32" s="2181"/>
      <c r="AM32" s="2212">
        <f t="shared" si="15"/>
        <v>0</v>
      </c>
      <c r="AN32" s="2119">
        <f t="shared" si="16"/>
        <v>0</v>
      </c>
      <c r="AO32" s="2120"/>
      <c r="AP32" s="2184"/>
      <c r="AQ32" s="2181"/>
      <c r="AR32" s="2212">
        <f t="shared" si="17"/>
        <v>0</v>
      </c>
      <c r="AS32" s="2119">
        <f t="shared" si="18"/>
        <v>0</v>
      </c>
      <c r="AT32" s="2120"/>
      <c r="AU32" s="2184"/>
      <c r="AV32" s="2181"/>
      <c r="AW32" s="2212">
        <f t="shared" si="19"/>
        <v>0</v>
      </c>
      <c r="AX32" s="2119">
        <f t="shared" si="20"/>
        <v>0</v>
      </c>
      <c r="AY32" s="2120"/>
      <c r="AZ32" s="2184"/>
      <c r="BA32" s="2181"/>
      <c r="BB32" s="2212">
        <f t="shared" si="21"/>
        <v>0</v>
      </c>
      <c r="BC32" s="2119">
        <f t="shared" si="22"/>
        <v>0</v>
      </c>
      <c r="BD32" s="2120"/>
      <c r="BE32" s="2184"/>
      <c r="BF32" s="2181"/>
      <c r="BG32" s="2212">
        <f t="shared" si="23"/>
        <v>0</v>
      </c>
      <c r="BH32" s="2119">
        <f t="shared" si="24"/>
        <v>0</v>
      </c>
      <c r="BI32" s="2120"/>
      <c r="BJ32" s="2181">
        <f t="shared" si="3"/>
        <v>0</v>
      </c>
      <c r="BK32" s="2181">
        <f t="shared" si="3"/>
        <v>0</v>
      </c>
      <c r="BL32" s="2212">
        <f t="shared" si="4"/>
        <v>0</v>
      </c>
      <c r="BM32" s="2119">
        <f t="shared" si="5"/>
        <v>0</v>
      </c>
      <c r="BN32" s="2122"/>
      <c r="BO32" s="2188">
        <f t="shared" si="25"/>
        <v>0</v>
      </c>
      <c r="BP32" s="2213"/>
      <c r="BQ32" s="2152"/>
      <c r="BR32" s="2228"/>
      <c r="BS32" s="2191"/>
      <c r="BT32" s="2191"/>
    </row>
    <row r="33" spans="1:72" s="2192" customFormat="1" ht="15" customHeight="1" thickBot="1">
      <c r="A33" s="2193"/>
      <c r="B33" s="2240" t="s">
        <v>75</v>
      </c>
      <c r="C33" s="2241"/>
      <c r="D33" s="2242"/>
      <c r="E33" s="2243">
        <f t="shared" si="1"/>
        <v>0</v>
      </c>
      <c r="F33" s="2132" t="e">
        <f t="shared" si="28"/>
        <v>#DIV/0!</v>
      </c>
      <c r="G33" s="2244"/>
      <c r="H33" s="2244"/>
      <c r="I33" s="2245">
        <f t="shared" si="7"/>
        <v>0</v>
      </c>
      <c r="J33" s="2132">
        <f t="shared" si="26"/>
        <v>0</v>
      </c>
      <c r="K33" s="2134"/>
      <c r="L33" s="2244">
        <v>0</v>
      </c>
      <c r="M33" s="2244">
        <v>0</v>
      </c>
      <c r="N33" s="2181">
        <f t="shared" si="2"/>
        <v>0</v>
      </c>
      <c r="O33" s="2132">
        <v>0</v>
      </c>
      <c r="P33" s="1664"/>
      <c r="Q33" s="2244"/>
      <c r="R33" s="2244"/>
      <c r="S33" s="2245">
        <f t="shared" si="8"/>
        <v>0</v>
      </c>
      <c r="T33" s="2132">
        <f t="shared" si="27"/>
        <v>0</v>
      </c>
      <c r="U33" s="2134"/>
      <c r="V33" s="2244"/>
      <c r="W33" s="2244"/>
      <c r="X33" s="2245">
        <f t="shared" si="9"/>
        <v>0</v>
      </c>
      <c r="Y33" s="2132">
        <f t="shared" si="10"/>
        <v>0</v>
      </c>
      <c r="Z33" s="2134"/>
      <c r="AA33" s="2244"/>
      <c r="AB33" s="2244"/>
      <c r="AC33" s="2245">
        <f t="shared" si="11"/>
        <v>0</v>
      </c>
      <c r="AD33" s="2132" t="e">
        <f t="shared" si="12"/>
        <v>#DIV/0!</v>
      </c>
      <c r="AE33" s="2246"/>
      <c r="AF33" s="2247"/>
      <c r="AG33" s="2244"/>
      <c r="AH33" s="2245">
        <f t="shared" si="13"/>
        <v>0</v>
      </c>
      <c r="AI33" s="2132">
        <f t="shared" si="14"/>
        <v>0</v>
      </c>
      <c r="AJ33" s="2134"/>
      <c r="AK33" s="2247"/>
      <c r="AL33" s="2244"/>
      <c r="AM33" s="2245">
        <f t="shared" si="15"/>
        <v>0</v>
      </c>
      <c r="AN33" s="2132">
        <f t="shared" si="16"/>
        <v>0</v>
      </c>
      <c r="AO33" s="2134"/>
      <c r="AP33" s="2247"/>
      <c r="AQ33" s="2244"/>
      <c r="AR33" s="2245">
        <f t="shared" si="17"/>
        <v>0</v>
      </c>
      <c r="AS33" s="2132">
        <f t="shared" si="18"/>
        <v>0</v>
      </c>
      <c r="AT33" s="2134"/>
      <c r="AU33" s="2247"/>
      <c r="AV33" s="2244"/>
      <c r="AW33" s="2245">
        <f t="shared" si="19"/>
        <v>0</v>
      </c>
      <c r="AX33" s="2132">
        <f t="shared" si="20"/>
        <v>0</v>
      </c>
      <c r="AY33" s="2134"/>
      <c r="AZ33" s="2247"/>
      <c r="BA33" s="2244"/>
      <c r="BB33" s="2245">
        <f t="shared" si="21"/>
        <v>0</v>
      </c>
      <c r="BC33" s="2132">
        <f t="shared" si="22"/>
        <v>0</v>
      </c>
      <c r="BD33" s="2134"/>
      <c r="BE33" s="2247"/>
      <c r="BF33" s="2244"/>
      <c r="BG33" s="2245">
        <f t="shared" si="23"/>
        <v>0</v>
      </c>
      <c r="BH33" s="2132">
        <f t="shared" si="24"/>
        <v>0</v>
      </c>
      <c r="BI33" s="2134"/>
      <c r="BJ33" s="2248">
        <f t="shared" si="3"/>
        <v>0</v>
      </c>
      <c r="BK33" s="2249">
        <f t="shared" si="3"/>
        <v>0</v>
      </c>
      <c r="BL33" s="2250">
        <f t="shared" si="4"/>
        <v>0</v>
      </c>
      <c r="BM33" s="2132">
        <f t="shared" si="5"/>
        <v>0</v>
      </c>
      <c r="BN33" s="2133"/>
      <c r="BO33" s="2188">
        <f t="shared" si="25"/>
        <v>0</v>
      </c>
      <c r="BP33" s="2213"/>
      <c r="BQ33" s="2152"/>
      <c r="BR33" s="2228"/>
      <c r="BS33" s="2191"/>
      <c r="BT33" s="2191"/>
    </row>
    <row r="34" spans="1:72" s="2192" customFormat="1" ht="15" customHeight="1">
      <c r="A34" s="2193"/>
      <c r="B34" s="2251"/>
      <c r="C34" s="2252"/>
      <c r="D34" s="2253"/>
      <c r="E34" s="2254"/>
      <c r="F34" s="2255"/>
      <c r="G34" s="2181"/>
      <c r="H34" s="2181"/>
      <c r="I34" s="2254"/>
      <c r="J34" s="2254"/>
      <c r="K34" s="2254"/>
      <c r="L34" s="2181"/>
      <c r="M34" s="2181"/>
      <c r="N34" s="2254"/>
      <c r="O34" s="2254"/>
      <c r="P34" s="2255"/>
      <c r="Q34" s="2181"/>
      <c r="R34" s="2181"/>
      <c r="S34" s="2254"/>
      <c r="T34" s="2254"/>
      <c r="U34" s="2254"/>
      <c r="V34" s="2181"/>
      <c r="W34" s="2181"/>
      <c r="X34" s="2254"/>
      <c r="Y34" s="2254"/>
      <c r="Z34" s="2254"/>
      <c r="AA34" s="2181"/>
      <c r="AB34" s="2181"/>
      <c r="AC34" s="2254"/>
      <c r="AD34" s="2254"/>
      <c r="AE34" s="2256"/>
      <c r="AF34" s="2184"/>
      <c r="AG34" s="2181"/>
      <c r="AH34" s="2254"/>
      <c r="AI34" s="2254"/>
      <c r="AJ34" s="2254"/>
      <c r="AK34" s="2184"/>
      <c r="AL34" s="2181"/>
      <c r="AM34" s="2254"/>
      <c r="AN34" s="2254"/>
      <c r="AO34" s="2254"/>
      <c r="AP34" s="2184"/>
      <c r="AQ34" s="2181"/>
      <c r="AR34" s="2254"/>
      <c r="AS34" s="2254"/>
      <c r="AT34" s="2254"/>
      <c r="AU34" s="2184"/>
      <c r="AV34" s="2181"/>
      <c r="AW34" s="2254"/>
      <c r="AX34" s="2254"/>
      <c r="AY34" s="2254"/>
      <c r="AZ34" s="2184"/>
      <c r="BA34" s="2181"/>
      <c r="BB34" s="2254"/>
      <c r="BC34" s="2254"/>
      <c r="BD34" s="2254"/>
      <c r="BE34" s="2184"/>
      <c r="BF34" s="2181"/>
      <c r="BG34" s="2254"/>
      <c r="BH34" s="2254"/>
      <c r="BI34" s="2254"/>
      <c r="BJ34" s="2181"/>
      <c r="BK34" s="2181"/>
      <c r="BL34" s="2254"/>
      <c r="BM34" s="2254"/>
      <c r="BN34" s="2254"/>
      <c r="BO34" s="2257"/>
      <c r="BP34" s="2257"/>
      <c r="BQ34" s="2152"/>
      <c r="BR34" s="2228"/>
      <c r="BS34" s="2191"/>
      <c r="BT34" s="2191"/>
    </row>
    <row r="35" spans="1:72" s="2175" customFormat="1" ht="15" customHeight="1">
      <c r="A35" s="2193"/>
      <c r="B35" s="2258" t="s">
        <v>80</v>
      </c>
      <c r="C35" s="2259">
        <f>C36</f>
        <v>0</v>
      </c>
      <c r="D35" s="2259">
        <f>D36</f>
        <v>0</v>
      </c>
      <c r="E35" s="2260">
        <f>E36</f>
        <v>0</v>
      </c>
      <c r="F35" s="2261" t="e">
        <f>E35/$E$89</f>
        <v>#DIV/0!</v>
      </c>
      <c r="G35" s="2259">
        <f>G36</f>
        <v>0</v>
      </c>
      <c r="H35" s="2259">
        <f>H36</f>
        <v>0</v>
      </c>
      <c r="I35" s="2260">
        <f>I36</f>
        <v>0</v>
      </c>
      <c r="J35" s="2260"/>
      <c r="K35" s="2262"/>
      <c r="L35" s="2259">
        <v>0</v>
      </c>
      <c r="M35" s="2259">
        <v>0</v>
      </c>
      <c r="N35" s="2260">
        <v>0</v>
      </c>
      <c r="O35" s="2260"/>
      <c r="P35" s="2263"/>
      <c r="Q35" s="2259">
        <f>Q36</f>
        <v>0</v>
      </c>
      <c r="R35" s="2259">
        <f>R36</f>
        <v>0</v>
      </c>
      <c r="S35" s="2260">
        <f>S36</f>
        <v>0</v>
      </c>
      <c r="T35" s="2260"/>
      <c r="U35" s="2262"/>
      <c r="V35" s="2259">
        <f>V36</f>
        <v>0</v>
      </c>
      <c r="W35" s="2259">
        <f>W36</f>
        <v>0</v>
      </c>
      <c r="X35" s="2260">
        <f>X36</f>
        <v>0</v>
      </c>
      <c r="Y35" s="2260"/>
      <c r="Z35" s="2262"/>
      <c r="AA35" s="2259">
        <f>AA36</f>
        <v>0</v>
      </c>
      <c r="AB35" s="2259">
        <f>AB36</f>
        <v>0</v>
      </c>
      <c r="AC35" s="2260">
        <f>AC36</f>
        <v>0</v>
      </c>
      <c r="AD35" s="2260"/>
      <c r="AE35" s="2264"/>
      <c r="AF35" s="2259">
        <f>AF36</f>
        <v>0</v>
      </c>
      <c r="AG35" s="2259">
        <f>AG36</f>
        <v>0</v>
      </c>
      <c r="AH35" s="2260">
        <f>AH36</f>
        <v>0</v>
      </c>
      <c r="AI35" s="2260"/>
      <c r="AJ35" s="2262"/>
      <c r="AK35" s="2259">
        <f>AK36</f>
        <v>0</v>
      </c>
      <c r="AL35" s="2259">
        <f>AL36</f>
        <v>0</v>
      </c>
      <c r="AM35" s="2260">
        <f>AM36</f>
        <v>0</v>
      </c>
      <c r="AN35" s="2260"/>
      <c r="AO35" s="2262"/>
      <c r="AP35" s="2259">
        <f>AP36</f>
        <v>0</v>
      </c>
      <c r="AQ35" s="2259">
        <f>AQ36</f>
        <v>0</v>
      </c>
      <c r="AR35" s="2260">
        <f>AR36</f>
        <v>0</v>
      </c>
      <c r="AS35" s="2260"/>
      <c r="AT35" s="2262"/>
      <c r="AU35" s="2259">
        <f>AU36</f>
        <v>0</v>
      </c>
      <c r="AV35" s="2259">
        <f>AV36</f>
        <v>0</v>
      </c>
      <c r="AW35" s="2260">
        <f>AW36</f>
        <v>0</v>
      </c>
      <c r="AX35" s="2260"/>
      <c r="AY35" s="2262"/>
      <c r="AZ35" s="2259">
        <f>AZ36</f>
        <v>0</v>
      </c>
      <c r="BA35" s="2259">
        <f>BA36</f>
        <v>0</v>
      </c>
      <c r="BB35" s="2260">
        <f>BB36</f>
        <v>0</v>
      </c>
      <c r="BC35" s="2260"/>
      <c r="BD35" s="2262"/>
      <c r="BE35" s="2259">
        <f>BE36</f>
        <v>0</v>
      </c>
      <c r="BF35" s="2259">
        <f>BF36</f>
        <v>0</v>
      </c>
      <c r="BG35" s="2260">
        <f>BG36</f>
        <v>0</v>
      </c>
      <c r="BH35" s="2260"/>
      <c r="BI35" s="2262"/>
      <c r="BJ35" s="2259">
        <f>SUM(BJ36)</f>
        <v>0</v>
      </c>
      <c r="BK35" s="2259">
        <f>SUM(BK36)</f>
        <v>0</v>
      </c>
      <c r="BL35" s="2259">
        <f>BL36</f>
        <v>0</v>
      </c>
      <c r="BM35" s="2259">
        <f>BM36</f>
        <v>0</v>
      </c>
      <c r="BN35" s="2260"/>
      <c r="BO35" s="2172"/>
      <c r="BP35" s="2172"/>
      <c r="BQ35" s="2173"/>
      <c r="BR35" s="2265"/>
      <c r="BS35" s="2174"/>
      <c r="BT35" s="2174"/>
    </row>
    <row r="36" spans="1:72" s="2234" customFormat="1" ht="15" customHeight="1">
      <c r="A36" s="2193"/>
      <c r="B36" s="2266" t="s">
        <v>81</v>
      </c>
      <c r="C36" s="2267"/>
      <c r="D36" s="2268"/>
      <c r="E36" s="2180">
        <f>C36+D36</f>
        <v>0</v>
      </c>
      <c r="F36" s="2119" t="e">
        <f>E36/$E$89</f>
        <v>#DIV/0!</v>
      </c>
      <c r="G36" s="2181"/>
      <c r="H36" s="2181"/>
      <c r="I36" s="2180">
        <f>G36+H36*1</f>
        <v>0</v>
      </c>
      <c r="J36" s="2119">
        <f>I36/$S$89</f>
        <v>0</v>
      </c>
      <c r="K36" s="2269"/>
      <c r="L36" s="2181">
        <v>0</v>
      </c>
      <c r="M36" s="2181">
        <v>0</v>
      </c>
      <c r="N36" s="2181">
        <f>L36+M36</f>
        <v>0</v>
      </c>
      <c r="O36" s="2119">
        <v>0</v>
      </c>
      <c r="P36" s="1976"/>
      <c r="Q36" s="2181"/>
      <c r="R36" s="2181"/>
      <c r="S36" s="2180">
        <f>Q36+R36*1</f>
        <v>0</v>
      </c>
      <c r="T36" s="2119">
        <f>S36/$S$89</f>
        <v>0</v>
      </c>
      <c r="U36" s="2269"/>
      <c r="V36" s="2181"/>
      <c r="W36" s="2181"/>
      <c r="X36" s="2180">
        <f>V36+W36*1</f>
        <v>0</v>
      </c>
      <c r="Y36" s="2119">
        <f>X36/$S$89</f>
        <v>0</v>
      </c>
      <c r="Z36" s="2269"/>
      <c r="AA36" s="2181"/>
      <c r="AB36" s="2181"/>
      <c r="AC36" s="2180">
        <f>AA36+AB36*1</f>
        <v>0</v>
      </c>
      <c r="AD36" s="2119">
        <f>AC36/$S$89</f>
        <v>0</v>
      </c>
      <c r="AE36" s="2270"/>
      <c r="AF36" s="2184"/>
      <c r="AG36" s="2181"/>
      <c r="AH36" s="2180">
        <f>AF36+AG36*1</f>
        <v>0</v>
      </c>
      <c r="AI36" s="2119">
        <f>AH36/$AH$89</f>
        <v>0</v>
      </c>
      <c r="AJ36" s="2269"/>
      <c r="AK36" s="2184"/>
      <c r="AL36" s="2181"/>
      <c r="AM36" s="2180">
        <f>AK36+AL36*1</f>
        <v>0</v>
      </c>
      <c r="AN36" s="2119">
        <f>AM36/$AH$89</f>
        <v>0</v>
      </c>
      <c r="AO36" s="2269"/>
      <c r="AP36" s="2184"/>
      <c r="AQ36" s="2181"/>
      <c r="AR36" s="2180">
        <f>AP36+AQ36*1</f>
        <v>0</v>
      </c>
      <c r="AS36" s="2119">
        <f>AR36/$AH$89</f>
        <v>0</v>
      </c>
      <c r="AT36" s="2269"/>
      <c r="AU36" s="2184"/>
      <c r="AV36" s="2181"/>
      <c r="AW36" s="2180">
        <f>AU36+AV36*1</f>
        <v>0</v>
      </c>
      <c r="AX36" s="2119">
        <f>AW36/$AH$89</f>
        <v>0</v>
      </c>
      <c r="AY36" s="2269"/>
      <c r="AZ36" s="2184"/>
      <c r="BA36" s="2181"/>
      <c r="BB36" s="2180">
        <f>AZ36+BA36*1</f>
        <v>0</v>
      </c>
      <c r="BC36" s="2119">
        <f>BB36/$AH$89</f>
        <v>0</v>
      </c>
      <c r="BD36" s="2269"/>
      <c r="BE36" s="2184"/>
      <c r="BF36" s="2181"/>
      <c r="BG36" s="2180">
        <f>BE36+BF36*1</f>
        <v>0</v>
      </c>
      <c r="BH36" s="2119">
        <f>BG36/$BG$89</f>
        <v>0</v>
      </c>
      <c r="BI36" s="2269"/>
      <c r="BJ36" s="2181">
        <f>L36+Q36+V36+AA36+AF36+AK36+AP36+AU36+AZ36+BE36</f>
        <v>0</v>
      </c>
      <c r="BK36" s="2181">
        <f>M36+R36+W36+AB36+AG36+AL36+AQ36+AV36+BA36+BF36</f>
        <v>0</v>
      </c>
      <c r="BL36" s="2180">
        <f>BJ36+BK36*1</f>
        <v>0</v>
      </c>
      <c r="BM36" s="2119">
        <f>BL36/$BL$89</f>
        <v>0</v>
      </c>
      <c r="BN36" s="2271"/>
      <c r="BO36" s="2188">
        <f>I36-BL36</f>
        <v>0</v>
      </c>
      <c r="BP36" s="2272"/>
      <c r="BQ36" s="2273"/>
      <c r="BR36" s="2274"/>
      <c r="BS36" s="2233"/>
      <c r="BT36" s="2233"/>
    </row>
    <row r="37" spans="1:72" s="2192" customFormat="1" ht="15" customHeight="1" thickBot="1">
      <c r="A37" s="1398"/>
      <c r="B37" s="2275"/>
      <c r="C37" s="2276"/>
      <c r="D37" s="2277"/>
      <c r="E37" s="2278"/>
      <c r="F37" s="2279"/>
      <c r="G37" s="2181"/>
      <c r="H37" s="2181"/>
      <c r="I37" s="2278"/>
      <c r="J37" s="2278"/>
      <c r="K37" s="2280"/>
      <c r="L37" s="2181"/>
      <c r="M37" s="2181"/>
      <c r="N37" s="2278"/>
      <c r="O37" s="2278"/>
      <c r="P37" s="2281"/>
      <c r="Q37" s="2181"/>
      <c r="R37" s="2181"/>
      <c r="S37" s="2278"/>
      <c r="T37" s="2278"/>
      <c r="U37" s="2280"/>
      <c r="V37" s="2181"/>
      <c r="W37" s="2181"/>
      <c r="X37" s="2278"/>
      <c r="Y37" s="2278"/>
      <c r="Z37" s="2280"/>
      <c r="AA37" s="2181"/>
      <c r="AB37" s="2181"/>
      <c r="AC37" s="2278"/>
      <c r="AD37" s="2278"/>
      <c r="AE37" s="2282"/>
      <c r="AF37" s="2184"/>
      <c r="AG37" s="2181"/>
      <c r="AH37" s="2278"/>
      <c r="AI37" s="2278"/>
      <c r="AJ37" s="2280"/>
      <c r="AK37" s="2184"/>
      <c r="AL37" s="2181"/>
      <c r="AM37" s="2278"/>
      <c r="AN37" s="2278"/>
      <c r="AO37" s="2280"/>
      <c r="AP37" s="2184"/>
      <c r="AQ37" s="2181"/>
      <c r="AR37" s="2278"/>
      <c r="AS37" s="2278"/>
      <c r="AT37" s="2280"/>
      <c r="AU37" s="2184"/>
      <c r="AV37" s="2181"/>
      <c r="AW37" s="2278"/>
      <c r="AX37" s="2278"/>
      <c r="AY37" s="2280"/>
      <c r="AZ37" s="2184"/>
      <c r="BA37" s="2181"/>
      <c r="BB37" s="2278"/>
      <c r="BC37" s="2278"/>
      <c r="BD37" s="2280"/>
      <c r="BE37" s="2184"/>
      <c r="BF37" s="2181"/>
      <c r="BG37" s="2278"/>
      <c r="BH37" s="2278"/>
      <c r="BI37" s="2280"/>
      <c r="BJ37" s="2244"/>
      <c r="BK37" s="2244"/>
      <c r="BL37" s="2278"/>
      <c r="BM37" s="2278"/>
      <c r="BN37" s="2278"/>
      <c r="BO37" s="2283"/>
      <c r="BP37" s="2283"/>
      <c r="BQ37" s="2152"/>
      <c r="BR37" s="2228"/>
      <c r="BS37" s="2191"/>
      <c r="BT37" s="2191"/>
    </row>
    <row r="38" spans="1:72" ht="15" customHeight="1" thickBot="1">
      <c r="A38" s="2284"/>
      <c r="B38" s="2285" t="s">
        <v>46</v>
      </c>
      <c r="C38" s="2286">
        <f>(C5)-(C8)</f>
        <v>0</v>
      </c>
      <c r="D38" s="2286">
        <f>(D5)-(D8)</f>
        <v>0</v>
      </c>
      <c r="E38" s="2286">
        <f>(E5)-(E8)</f>
        <v>0</v>
      </c>
      <c r="F38" s="2287"/>
      <c r="G38" s="2286">
        <f>(G5)-(G8)</f>
        <v>4218409.7803368382</v>
      </c>
      <c r="H38" s="2286">
        <f>(H5)-(H8)</f>
        <v>-1492303.7333992564</v>
      </c>
      <c r="I38" s="2286">
        <f>(I5)-(I8)</f>
        <v>2726106.0469375812</v>
      </c>
      <c r="J38" s="2286"/>
      <c r="K38" s="2288"/>
      <c r="L38" s="2286">
        <v>-160805.64000000001</v>
      </c>
      <c r="M38" s="2286">
        <v>-123526</v>
      </c>
      <c r="N38" s="2286">
        <v>-284331.64</v>
      </c>
      <c r="O38" s="2286"/>
      <c r="P38" s="2287"/>
      <c r="Q38" s="2286">
        <f>(Q5)-(Q8)</f>
        <v>964163.49200000009</v>
      </c>
      <c r="R38" s="2286">
        <f>(R5)-(R8)</f>
        <v>-111235.68</v>
      </c>
      <c r="S38" s="2286">
        <f>(S5)-(S8)</f>
        <v>852927.81199999992</v>
      </c>
      <c r="T38" s="2286"/>
      <c r="U38" s="2288"/>
      <c r="V38" s="2286">
        <f>(V5)-(V8)</f>
        <v>871148.48239999963</v>
      </c>
      <c r="W38" s="2286">
        <f>(W5)-(W8)</f>
        <v>-168991.72999999998</v>
      </c>
      <c r="X38" s="2286">
        <f>(X5)-(X8)</f>
        <v>702156.75239999965</v>
      </c>
      <c r="Y38" s="2286"/>
      <c r="Z38" s="2288"/>
      <c r="AA38" s="2286">
        <f>(AA5)-(AA8)</f>
        <v>0</v>
      </c>
      <c r="AB38" s="2286">
        <f>(AB5)-(AB8)</f>
        <v>0</v>
      </c>
      <c r="AC38" s="2286">
        <f>(AC5)-(AC8)</f>
        <v>0</v>
      </c>
      <c r="AD38" s="2286"/>
      <c r="AE38" s="2289"/>
      <c r="AF38" s="2286">
        <f>(AF5)-(AF8)</f>
        <v>0</v>
      </c>
      <c r="AG38" s="2286">
        <f>(AG5)-(AG8)</f>
        <v>0</v>
      </c>
      <c r="AH38" s="2286">
        <f>(AH5)-(AH8)</f>
        <v>0</v>
      </c>
      <c r="AI38" s="2286"/>
      <c r="AJ38" s="2288"/>
      <c r="AK38" s="2286">
        <f>(AK5)-(AK8)</f>
        <v>-8250.48</v>
      </c>
      <c r="AL38" s="2286">
        <f>(AL5)-(AL8)</f>
        <v>0</v>
      </c>
      <c r="AM38" s="2286">
        <f>(AM5)-(AM8)</f>
        <v>-8250.48</v>
      </c>
      <c r="AN38" s="2286"/>
      <c r="AO38" s="2288"/>
      <c r="AP38" s="2286">
        <f>(AP5)-(AP8)</f>
        <v>1300616.3816</v>
      </c>
      <c r="AQ38" s="2286">
        <f>(AQ5)-(AQ8)</f>
        <v>-138795.4</v>
      </c>
      <c r="AR38" s="2286">
        <f>(AR5)-(AR8)</f>
        <v>1161820.9816000001</v>
      </c>
      <c r="AS38" s="2286"/>
      <c r="AT38" s="2288"/>
      <c r="AU38" s="2286">
        <f>(AU5)-(AU8)</f>
        <v>0</v>
      </c>
      <c r="AV38" s="2286">
        <f>(AV5)-(AV8)</f>
        <v>-116787.2</v>
      </c>
      <c r="AW38" s="2286">
        <f>(AW5)-(AW8)</f>
        <v>-116787.2</v>
      </c>
      <c r="AX38" s="2286"/>
      <c r="AY38" s="2288"/>
      <c r="AZ38" s="2286">
        <f>(AZ5)-(AZ8)</f>
        <v>0</v>
      </c>
      <c r="BA38" s="2286">
        <f>(BA5)-(BA8)</f>
        <v>0</v>
      </c>
      <c r="BB38" s="2286">
        <f>(BB5)-(BB8)</f>
        <v>0</v>
      </c>
      <c r="BC38" s="2286"/>
      <c r="BD38" s="2288"/>
      <c r="BE38" s="2286">
        <f>(BE5)-(BE8)</f>
        <v>113062.98200000002</v>
      </c>
      <c r="BF38" s="2286">
        <f>(BF5)-(BF8)</f>
        <v>-129250</v>
      </c>
      <c r="BG38" s="2286">
        <f>(BG5)-(BG8)</f>
        <v>-16187.017999999982</v>
      </c>
      <c r="BH38" s="2286"/>
      <c r="BI38" s="2288"/>
      <c r="BJ38" s="2286">
        <f>(BJ5)-(BJ8)</f>
        <v>3079934.8679999998</v>
      </c>
      <c r="BK38" s="2286">
        <f>(BK5)-(BK8)</f>
        <v>-832603.24</v>
      </c>
      <c r="BL38" s="2286">
        <f>(BL5)-(BL8)</f>
        <v>2247331.6280000005</v>
      </c>
      <c r="BM38" s="2286"/>
      <c r="BN38" s="2286"/>
      <c r="BO38" s="2290"/>
      <c r="BP38" s="2290"/>
      <c r="BR38" s="2228"/>
    </row>
    <row r="39" spans="1:72" ht="15" customHeight="1">
      <c r="A39" s="2291"/>
      <c r="B39" s="2292" t="s">
        <v>47</v>
      </c>
      <c r="C39" s="1525" t="e">
        <f>C38/(C5)</f>
        <v>#DIV/0!</v>
      </c>
      <c r="D39" s="1525" t="e">
        <f>D38/(D5)</f>
        <v>#DIV/0!</v>
      </c>
      <c r="E39" s="1526" t="e">
        <f>E38/(E5)</f>
        <v>#DIV/0!</v>
      </c>
      <c r="F39" s="2293"/>
      <c r="G39" s="2294">
        <f>G38/(G5)</f>
        <v>0.34231540068465693</v>
      </c>
      <c r="H39" s="2294" t="e">
        <f>H38/(H5)</f>
        <v>#DIV/0!</v>
      </c>
      <c r="I39" s="2295">
        <f>I38/(I5)</f>
        <v>0.22121797842308946</v>
      </c>
      <c r="J39" s="2295"/>
      <c r="K39" s="2296"/>
      <c r="L39" s="2294" t="e">
        <v>#DIV/0!</v>
      </c>
      <c r="M39" s="2294" t="e">
        <v>#DIV/0!</v>
      </c>
      <c r="N39" s="2295" t="e">
        <v>#DIV/0!</v>
      </c>
      <c r="O39" s="2295"/>
      <c r="P39" s="2297"/>
      <c r="Q39" s="2294">
        <f>Q38/(Q5)</f>
        <v>0.30650558091755858</v>
      </c>
      <c r="R39" s="2294" t="e">
        <f>R38/(R5)</f>
        <v>#DIV/0!</v>
      </c>
      <c r="S39" s="2295">
        <f>S38/(S5)</f>
        <v>0.27114398820008645</v>
      </c>
      <c r="T39" s="2295"/>
      <c r="U39" s="2296"/>
      <c r="V39" s="2294">
        <f>V38/(V5)</f>
        <v>0.43071470895691411</v>
      </c>
      <c r="W39" s="2294" t="e">
        <f>W38/(W5)</f>
        <v>#DIV/0!</v>
      </c>
      <c r="X39" s="2295">
        <f>X38/(X5)</f>
        <v>0.3471615314290743</v>
      </c>
      <c r="Y39" s="2295"/>
      <c r="Z39" s="2296"/>
      <c r="AA39" s="2294" t="e">
        <f>AA38/(AA5)</f>
        <v>#DIV/0!</v>
      </c>
      <c r="AB39" s="2294" t="e">
        <f>AB38/(AB5)</f>
        <v>#DIV/0!</v>
      </c>
      <c r="AC39" s="2295" t="e">
        <f>AC38/(AC5)</f>
        <v>#DIV/0!</v>
      </c>
      <c r="AD39" s="2295"/>
      <c r="AE39" s="2298"/>
      <c r="AF39" s="2294" t="e">
        <f>AF38/(AF5)</f>
        <v>#DIV/0!</v>
      </c>
      <c r="AG39" s="2294" t="e">
        <f>AG38/(AG5)</f>
        <v>#DIV/0!</v>
      </c>
      <c r="AH39" s="2295" t="e">
        <f>AH38/(AH5)</f>
        <v>#DIV/0!</v>
      </c>
      <c r="AI39" s="2295"/>
      <c r="AJ39" s="2296"/>
      <c r="AK39" s="2294" t="e">
        <f>AK38/(AK5)</f>
        <v>#DIV/0!</v>
      </c>
      <c r="AL39" s="2294" t="e">
        <f>AL38/(AL5)</f>
        <v>#DIV/0!</v>
      </c>
      <c r="AM39" s="2295" t="e">
        <f>AM38/(AM5)</f>
        <v>#DIV/0!</v>
      </c>
      <c r="AN39" s="2295"/>
      <c r="AO39" s="2296"/>
      <c r="AP39" s="2294">
        <f>AP38/(AP5)</f>
        <v>0.67423008316191035</v>
      </c>
      <c r="AQ39" s="2294" t="e">
        <f>AQ38/(AQ5)</f>
        <v>#DIV/0!</v>
      </c>
      <c r="AR39" s="2295">
        <f>AR38/(AR5)</f>
        <v>0.6022795561591906</v>
      </c>
      <c r="AS39" s="2295"/>
      <c r="AT39" s="2296"/>
      <c r="AU39" s="2294" t="e">
        <f>AU38/(AU5)</f>
        <v>#DIV/0!</v>
      </c>
      <c r="AV39" s="2294" t="e">
        <f>AV38/(AV5)</f>
        <v>#DIV/0!</v>
      </c>
      <c r="AW39" s="2295" t="e">
        <f>AW38/(AW5)</f>
        <v>#DIV/0!</v>
      </c>
      <c r="AX39" s="2295"/>
      <c r="AY39" s="2296"/>
      <c r="AZ39" s="2294" t="e">
        <f>AZ38/(AZ5)</f>
        <v>#DIV/0!</v>
      </c>
      <c r="BA39" s="2294" t="e">
        <f>BA38/(BA5)</f>
        <v>#DIV/0!</v>
      </c>
      <c r="BB39" s="2295" t="e">
        <f>BB38/(BB5)</f>
        <v>#DIV/0!</v>
      </c>
      <c r="BC39" s="2295"/>
      <c r="BD39" s="2296"/>
      <c r="BE39" s="2294">
        <f>BE38/(BE5)</f>
        <v>0.23166402692887028</v>
      </c>
      <c r="BF39" s="2294" t="e">
        <f>BF38/(BF5)</f>
        <v>#DIV/0!</v>
      </c>
      <c r="BG39" s="2295">
        <f>BG38/(BG5)</f>
        <v>-3.3166910225754555E-2</v>
      </c>
      <c r="BH39" s="2295"/>
      <c r="BI39" s="2296"/>
      <c r="BJ39" s="2294">
        <f>BJ38/(BJ5)</f>
        <v>0.40603913564410432</v>
      </c>
      <c r="BK39" s="2294" t="e">
        <f>BK38/(BK5)</f>
        <v>#DIV/0!</v>
      </c>
      <c r="BL39" s="2295">
        <f>BL38/(BL5)</f>
        <v>0.29627398982346859</v>
      </c>
      <c r="BM39" s="2295"/>
      <c r="BN39" s="2295"/>
      <c r="BO39" s="2299"/>
      <c r="BP39" s="2299"/>
      <c r="BR39" s="2228"/>
    </row>
    <row r="40" spans="1:72" ht="15" customHeight="1" thickBot="1">
      <c r="A40" s="2300"/>
      <c r="B40" s="2301"/>
      <c r="C40" s="2302"/>
      <c r="D40" s="2303"/>
      <c r="E40" s="2304"/>
      <c r="F40" s="2305"/>
      <c r="G40" s="2304"/>
      <c r="H40" s="2304"/>
      <c r="I40" s="2304"/>
      <c r="J40" s="2304"/>
      <c r="K40" s="2306"/>
      <c r="L40" s="2304"/>
      <c r="M40" s="2304"/>
      <c r="N40" s="2304"/>
      <c r="O40" s="2304"/>
      <c r="P40" s="2305"/>
      <c r="Q40" s="2304"/>
      <c r="R40" s="2304"/>
      <c r="S40" s="2304"/>
      <c r="T40" s="2304"/>
      <c r="U40" s="2306"/>
      <c r="V40" s="2304"/>
      <c r="W40" s="2304"/>
      <c r="X40" s="2304"/>
      <c r="Y40" s="2304"/>
      <c r="Z40" s="2306"/>
      <c r="AA40" s="2304"/>
      <c r="AB40" s="2304"/>
      <c r="AC40" s="2304"/>
      <c r="AD40" s="2304"/>
      <c r="AE40" s="2307"/>
      <c r="AF40" s="2303"/>
      <c r="AG40" s="2304"/>
      <c r="AH40" s="2304"/>
      <c r="AI40" s="2304"/>
      <c r="AJ40" s="2306"/>
      <c r="AK40" s="2303"/>
      <c r="AL40" s="2304"/>
      <c r="AM40" s="2304"/>
      <c r="AN40" s="2304"/>
      <c r="AO40" s="2306"/>
      <c r="AP40" s="2303"/>
      <c r="AQ40" s="2304"/>
      <c r="AR40" s="2304"/>
      <c r="AS40" s="2304"/>
      <c r="AT40" s="2306"/>
      <c r="AU40" s="2303"/>
      <c r="AV40" s="2304"/>
      <c r="AW40" s="2304"/>
      <c r="AX40" s="2304"/>
      <c r="AY40" s="2306"/>
      <c r="AZ40" s="2303"/>
      <c r="BA40" s="2304"/>
      <c r="BB40" s="2304"/>
      <c r="BC40" s="2304"/>
      <c r="BD40" s="2306"/>
      <c r="BE40" s="2303"/>
      <c r="BF40" s="2304"/>
      <c r="BG40" s="2304"/>
      <c r="BH40" s="2304"/>
      <c r="BI40" s="2306"/>
      <c r="BJ40" s="2304">
        <f>L40+Q40+V40+AA40</f>
        <v>0</v>
      </c>
      <c r="BK40" s="2304">
        <f>M40+R40+W40+AB40</f>
        <v>0</v>
      </c>
      <c r="BL40" s="2304"/>
      <c r="BM40" s="2304"/>
      <c r="BN40" s="2304"/>
      <c r="BO40" s="2308"/>
      <c r="BP40" s="2308"/>
      <c r="BR40" s="2228"/>
    </row>
    <row r="41" spans="1:72" ht="15" customHeight="1">
      <c r="A41" s="2309"/>
      <c r="B41" s="2310" t="s">
        <v>26</v>
      </c>
      <c r="C41" s="2311">
        <f>SUM(C42:C48)</f>
        <v>0</v>
      </c>
      <c r="D41" s="2311">
        <f>SUM(D42:D48)</f>
        <v>0</v>
      </c>
      <c r="E41" s="2312">
        <f>SUM(E42:E48)</f>
        <v>0</v>
      </c>
      <c r="F41" s="2121" t="e">
        <f t="shared" ref="F41:F48" si="30">E41/$E$89</f>
        <v>#DIV/0!</v>
      </c>
      <c r="G41" s="2311">
        <f>SUM(G42:G48)</f>
        <v>22000</v>
      </c>
      <c r="H41" s="2311">
        <f>SUM(H42:H48)</f>
        <v>5000</v>
      </c>
      <c r="I41" s="2312">
        <f>SUM(I42:I48)</f>
        <v>27000</v>
      </c>
      <c r="J41" s="2121">
        <f>I41/$S$89</f>
        <v>1.1473663396808866E-2</v>
      </c>
      <c r="K41" s="2313"/>
      <c r="L41" s="2311">
        <v>10975.56</v>
      </c>
      <c r="M41" s="2311">
        <v>2266.3000000000002</v>
      </c>
      <c r="N41" s="2312">
        <v>13241.859999999999</v>
      </c>
      <c r="O41" s="2121">
        <v>3.0865675316371629E-2</v>
      </c>
      <c r="P41" s="1577"/>
      <c r="Q41" s="2311">
        <f>SUM(Q42:Q48)</f>
        <v>3295.05</v>
      </c>
      <c r="R41" s="2311">
        <f>SUM(R42:R48)</f>
        <v>110</v>
      </c>
      <c r="S41" s="2312">
        <f>SUM(S42:S48)</f>
        <v>3405.05</v>
      </c>
      <c r="T41" s="2121">
        <f>S41/$S$89</f>
        <v>1.4469776870112605E-3</v>
      </c>
      <c r="U41" s="2313"/>
      <c r="V41" s="2311">
        <f>SUM(V42:V48)</f>
        <v>11913.8</v>
      </c>
      <c r="W41" s="2311">
        <f>SUM(W42:W48)</f>
        <v>0</v>
      </c>
      <c r="X41" s="2312">
        <f>SUM(X42:X48)</f>
        <v>11913.8</v>
      </c>
      <c r="Y41" s="2121">
        <f>X41/$S$89</f>
        <v>5.0627752213667212E-3</v>
      </c>
      <c r="Z41" s="2313"/>
      <c r="AA41" s="2311">
        <f>SUM(AA42:AA48)</f>
        <v>0</v>
      </c>
      <c r="AB41" s="2311">
        <f>SUM(AB42:AB48)</f>
        <v>0</v>
      </c>
      <c r="AC41" s="2312">
        <f>SUM(AC42:AC48)</f>
        <v>0</v>
      </c>
      <c r="AD41" s="2121" t="e">
        <f t="shared" ref="AD41:AD52" si="31">AC41/$AC$89</f>
        <v>#DIV/0!</v>
      </c>
      <c r="AE41" s="2314"/>
      <c r="AF41" s="2311">
        <f>SUM(AF42:AF48)</f>
        <v>181</v>
      </c>
      <c r="AG41" s="2311">
        <f>SUM(AG42:AG48)</f>
        <v>0</v>
      </c>
      <c r="AH41" s="2312">
        <f>SUM(AH42:AH48)</f>
        <v>181</v>
      </c>
      <c r="AI41" s="2121">
        <f t="shared" ref="AI41:AI52" si="32">AH41/$AH$89</f>
        <v>1</v>
      </c>
      <c r="AJ41" s="2313"/>
      <c r="AK41" s="2311">
        <f>SUM(AK42:AK48)</f>
        <v>0</v>
      </c>
      <c r="AL41" s="2311">
        <f>SUM(AL42:AL48)</f>
        <v>0</v>
      </c>
      <c r="AM41" s="2312">
        <f>SUM(AM42:AM48)</f>
        <v>0</v>
      </c>
      <c r="AN41" s="2121">
        <f t="shared" ref="AN41:AN52" si="33">AM41/$AH$89</f>
        <v>0</v>
      </c>
      <c r="AO41" s="2313"/>
      <c r="AP41" s="2311">
        <f>SUM(AP42:AP48)</f>
        <v>45</v>
      </c>
      <c r="AQ41" s="2311">
        <f>SUM(AQ42:AQ48)</f>
        <v>0</v>
      </c>
      <c r="AR41" s="2312">
        <f>SUM(AR42:AR48)</f>
        <v>45</v>
      </c>
      <c r="AS41" s="2121">
        <f t="shared" ref="AS41:AS52" si="34">AR41/$AH$89</f>
        <v>0.24861878453038674</v>
      </c>
      <c r="AT41" s="2313"/>
      <c r="AU41" s="2311">
        <f>SUM(AU42:AU48)</f>
        <v>0</v>
      </c>
      <c r="AV41" s="2311">
        <f>SUM(AV42:AV48)</f>
        <v>0</v>
      </c>
      <c r="AW41" s="2312">
        <f>SUM(AW42:AW48)</f>
        <v>0</v>
      </c>
      <c r="AX41" s="2121">
        <f t="shared" ref="AX41:AX52" si="35">AW41/$AH$89</f>
        <v>0</v>
      </c>
      <c r="AY41" s="2313"/>
      <c r="AZ41" s="2311">
        <f>SUM(AZ42:AZ48)</f>
        <v>0</v>
      </c>
      <c r="BA41" s="2311">
        <f>SUM(BA42:BA48)</f>
        <v>0</v>
      </c>
      <c r="BB41" s="2312">
        <f>SUM(BB42:BB48)</f>
        <v>0</v>
      </c>
      <c r="BC41" s="2121">
        <f t="shared" ref="BC41:BC52" si="36">BB41/$AH$89</f>
        <v>0</v>
      </c>
      <c r="BD41" s="2313"/>
      <c r="BE41" s="2311">
        <f>SUM(BE42:BE48)</f>
        <v>0</v>
      </c>
      <c r="BF41" s="2311">
        <f>SUM(BF42:BF48)</f>
        <v>0</v>
      </c>
      <c r="BG41" s="2312">
        <f>SUM(BG42:BG48)</f>
        <v>0</v>
      </c>
      <c r="BH41" s="2121">
        <f t="shared" ref="BH41:BH52" si="37">BG41/$BG$89</f>
        <v>0</v>
      </c>
      <c r="BI41" s="2313"/>
      <c r="BJ41" s="2311">
        <f>SUM(BJ42:BJ48)</f>
        <v>27924.95</v>
      </c>
      <c r="BK41" s="2311">
        <f>SUM(BK42:BK48)</f>
        <v>2376.3000000000002</v>
      </c>
      <c r="BL41" s="2312">
        <f>SUM(BL42:BL48)</f>
        <v>30301.25</v>
      </c>
      <c r="BM41" s="2121">
        <f t="shared" ref="BM41:BM49" si="38">BL41/$BL$89</f>
        <v>5.3594229280238843E-3</v>
      </c>
      <c r="BN41" s="2315"/>
      <c r="BO41" s="2316"/>
      <c r="BP41" s="2316"/>
      <c r="BR41" s="2228"/>
    </row>
    <row r="42" spans="1:72" ht="15" customHeight="1">
      <c r="A42" s="4946"/>
      <c r="B42" s="2317" t="s">
        <v>7</v>
      </c>
      <c r="C42" s="2219"/>
      <c r="D42" s="2318"/>
      <c r="E42" s="2319">
        <f t="shared" ref="E42:E48" si="39">C42+D42</f>
        <v>0</v>
      </c>
      <c r="F42" s="2119" t="e">
        <f t="shared" si="30"/>
        <v>#DIV/0!</v>
      </c>
      <c r="G42" s="2181"/>
      <c r="H42" s="2181"/>
      <c r="I42" s="2180">
        <f t="shared" ref="I42:I48" si="40">G42+H42*1</f>
        <v>0</v>
      </c>
      <c r="J42" s="2119">
        <f t="shared" ref="J42:J49" si="41">I42/$S$89</f>
        <v>0</v>
      </c>
      <c r="K42" s="2120"/>
      <c r="L42" s="2181">
        <v>0</v>
      </c>
      <c r="M42" s="2181">
        <v>0</v>
      </c>
      <c r="N42" s="2181">
        <f t="shared" ref="N42:N48" si="42">L42+M42</f>
        <v>0</v>
      </c>
      <c r="O42" s="2119">
        <v>0</v>
      </c>
      <c r="P42" s="1976"/>
      <c r="Q42" s="2181"/>
      <c r="R42" s="2181"/>
      <c r="S42" s="2180">
        <f t="shared" ref="S42:S48" si="43">Q42+R42*1</f>
        <v>0</v>
      </c>
      <c r="T42" s="2119">
        <f t="shared" ref="T42:T52" si="44">S42/$S$89</f>
        <v>0</v>
      </c>
      <c r="U42" s="2120"/>
      <c r="V42" s="2181"/>
      <c r="W42" s="2181"/>
      <c r="X42" s="2180">
        <f t="shared" ref="X42:X48" si="45">V42+W42*1</f>
        <v>0</v>
      </c>
      <c r="Y42" s="2119">
        <f t="shared" ref="Y42:Y49" si="46">X42/$S$89</f>
        <v>0</v>
      </c>
      <c r="Z42" s="2120"/>
      <c r="AA42" s="2181"/>
      <c r="AB42" s="2181"/>
      <c r="AC42" s="2180">
        <f t="shared" ref="AC42:AC48" si="47">AA42+AB42*1</f>
        <v>0</v>
      </c>
      <c r="AD42" s="2119" t="e">
        <f t="shared" si="31"/>
        <v>#DIV/0!</v>
      </c>
      <c r="AE42" s="2239"/>
      <c r="AF42" s="2184"/>
      <c r="AG42" s="2181"/>
      <c r="AH42" s="2180">
        <f t="shared" ref="AH42:AH48" si="48">AF42+AG42*1</f>
        <v>0</v>
      </c>
      <c r="AI42" s="2119">
        <f t="shared" si="32"/>
        <v>0</v>
      </c>
      <c r="AJ42" s="2120"/>
      <c r="AK42" s="2184"/>
      <c r="AL42" s="2181"/>
      <c r="AM42" s="2180">
        <f t="shared" ref="AM42:AM48" si="49">AK42+AL42*1</f>
        <v>0</v>
      </c>
      <c r="AN42" s="2119">
        <f t="shared" si="33"/>
        <v>0</v>
      </c>
      <c r="AO42" s="2120"/>
      <c r="AP42" s="2184"/>
      <c r="AQ42" s="2181"/>
      <c r="AR42" s="2180">
        <f t="shared" ref="AR42:AR48" si="50">AP42+AQ42*1</f>
        <v>0</v>
      </c>
      <c r="AS42" s="2119">
        <f t="shared" si="34"/>
        <v>0</v>
      </c>
      <c r="AT42" s="2120"/>
      <c r="AU42" s="2184"/>
      <c r="AV42" s="2181"/>
      <c r="AW42" s="2180">
        <f t="shared" ref="AW42:AW48" si="51">AU42+AV42*1</f>
        <v>0</v>
      </c>
      <c r="AX42" s="2119">
        <f t="shared" si="35"/>
        <v>0</v>
      </c>
      <c r="AY42" s="2120"/>
      <c r="AZ42" s="2184"/>
      <c r="BA42" s="2181"/>
      <c r="BB42" s="2180">
        <f t="shared" ref="BB42:BB48" si="52">AZ42+BA42*1</f>
        <v>0</v>
      </c>
      <c r="BC42" s="2119">
        <f t="shared" si="36"/>
        <v>0</v>
      </c>
      <c r="BD42" s="2120"/>
      <c r="BE42" s="2184"/>
      <c r="BF42" s="2181"/>
      <c r="BG42" s="2180">
        <f t="shared" ref="BG42:BG48" si="53">BE42+BF42*1</f>
        <v>0</v>
      </c>
      <c r="BH42" s="2119">
        <f t="shared" si="37"/>
        <v>0</v>
      </c>
      <c r="BI42" s="2120"/>
      <c r="BJ42" s="2181">
        <f t="shared" ref="BJ42:BK49" si="54">L42+Q42+V42+AA42+AF42+AK42+AP42+AU42+AZ42+BE42</f>
        <v>0</v>
      </c>
      <c r="BK42" s="2181">
        <f t="shared" si="54"/>
        <v>0</v>
      </c>
      <c r="BL42" s="2180">
        <f t="shared" ref="BL42:BL48" si="55">BJ42+BK42*1</f>
        <v>0</v>
      </c>
      <c r="BM42" s="2119">
        <f t="shared" si="38"/>
        <v>0</v>
      </c>
      <c r="BN42" s="2122"/>
      <c r="BO42" s="2188">
        <f t="shared" ref="BO42:BO49" si="56">I42-BL42</f>
        <v>0</v>
      </c>
      <c r="BP42" s="2213"/>
      <c r="BR42" s="2228"/>
    </row>
    <row r="43" spans="1:72" ht="15" customHeight="1">
      <c r="A43" s="4946"/>
      <c r="B43" s="2317" t="s">
        <v>27</v>
      </c>
      <c r="C43" s="2219"/>
      <c r="D43" s="2318"/>
      <c r="E43" s="2319">
        <f t="shared" si="39"/>
        <v>0</v>
      </c>
      <c r="F43" s="2119" t="e">
        <f t="shared" si="30"/>
        <v>#DIV/0!</v>
      </c>
      <c r="G43" s="2181"/>
      <c r="H43" s="2181">
        <v>4000</v>
      </c>
      <c r="I43" s="2180">
        <f t="shared" si="40"/>
        <v>4000</v>
      </c>
      <c r="J43" s="2119">
        <f t="shared" si="41"/>
        <v>1.6998019847124246E-3</v>
      </c>
      <c r="K43" s="2120"/>
      <c r="L43" s="2181">
        <v>0</v>
      </c>
      <c r="M43" s="2181">
        <v>988.3</v>
      </c>
      <c r="N43" s="2181">
        <f t="shared" si="42"/>
        <v>988.3</v>
      </c>
      <c r="O43" s="2119">
        <v>2.3036451763702444E-3</v>
      </c>
      <c r="P43" s="1976"/>
      <c r="Q43" s="2181"/>
      <c r="R43" s="2181">
        <v>110</v>
      </c>
      <c r="S43" s="2180">
        <f t="shared" si="43"/>
        <v>110</v>
      </c>
      <c r="T43" s="2119">
        <f t="shared" si="44"/>
        <v>4.674455457959168E-5</v>
      </c>
      <c r="U43" s="2120"/>
      <c r="V43" s="2181"/>
      <c r="W43" s="2181"/>
      <c r="X43" s="2180">
        <f t="shared" si="45"/>
        <v>0</v>
      </c>
      <c r="Y43" s="2119">
        <f t="shared" si="46"/>
        <v>0</v>
      </c>
      <c r="Z43" s="2120"/>
      <c r="AA43" s="2181"/>
      <c r="AB43" s="2181"/>
      <c r="AC43" s="2180">
        <f t="shared" si="47"/>
        <v>0</v>
      </c>
      <c r="AD43" s="2119" t="e">
        <f t="shared" si="31"/>
        <v>#DIV/0!</v>
      </c>
      <c r="AE43" s="2239"/>
      <c r="AF43" s="2184"/>
      <c r="AG43" s="2181"/>
      <c r="AH43" s="2180">
        <f t="shared" si="48"/>
        <v>0</v>
      </c>
      <c r="AI43" s="2119">
        <f t="shared" si="32"/>
        <v>0</v>
      </c>
      <c r="AJ43" s="2120"/>
      <c r="AK43" s="2184"/>
      <c r="AL43" s="2181"/>
      <c r="AM43" s="2180">
        <f t="shared" si="49"/>
        <v>0</v>
      </c>
      <c r="AN43" s="2119">
        <f t="shared" si="33"/>
        <v>0</v>
      </c>
      <c r="AO43" s="2120"/>
      <c r="AP43" s="2184"/>
      <c r="AQ43" s="2181"/>
      <c r="AR43" s="2180">
        <f t="shared" si="50"/>
        <v>0</v>
      </c>
      <c r="AS43" s="2119">
        <f t="shared" si="34"/>
        <v>0</v>
      </c>
      <c r="AT43" s="2120"/>
      <c r="AU43" s="2184"/>
      <c r="AV43" s="2181"/>
      <c r="AW43" s="2180">
        <f t="shared" si="51"/>
        <v>0</v>
      </c>
      <c r="AX43" s="2119">
        <f t="shared" si="35"/>
        <v>0</v>
      </c>
      <c r="AY43" s="2120"/>
      <c r="AZ43" s="2184"/>
      <c r="BA43" s="2181"/>
      <c r="BB43" s="2180">
        <f t="shared" si="52"/>
        <v>0</v>
      </c>
      <c r="BC43" s="2119">
        <f t="shared" si="36"/>
        <v>0</v>
      </c>
      <c r="BD43" s="2120"/>
      <c r="BE43" s="2184"/>
      <c r="BF43" s="2181"/>
      <c r="BG43" s="2180">
        <f t="shared" si="53"/>
        <v>0</v>
      </c>
      <c r="BH43" s="2119">
        <f t="shared" si="37"/>
        <v>0</v>
      </c>
      <c r="BI43" s="2120"/>
      <c r="BJ43" s="2181">
        <f t="shared" si="54"/>
        <v>0</v>
      </c>
      <c r="BK43" s="2181">
        <f t="shared" si="54"/>
        <v>1098.3</v>
      </c>
      <c r="BL43" s="2180">
        <f t="shared" si="55"/>
        <v>1098.3</v>
      </c>
      <c r="BM43" s="2119">
        <f t="shared" si="38"/>
        <v>1.9425780130683163E-4</v>
      </c>
      <c r="BN43" s="2122"/>
      <c r="BO43" s="2188">
        <f t="shared" si="56"/>
        <v>2901.7</v>
      </c>
      <c r="BP43" s="2213"/>
      <c r="BQ43" s="2189">
        <v>1098.3</v>
      </c>
      <c r="BR43" s="2190">
        <f>BL43-BQ43</f>
        <v>0</v>
      </c>
    </row>
    <row r="44" spans="1:72" ht="15" customHeight="1">
      <c r="A44" s="4946"/>
      <c r="B44" s="2266" t="s">
        <v>28</v>
      </c>
      <c r="C44" s="2219"/>
      <c r="D44" s="2318"/>
      <c r="E44" s="2319">
        <f t="shared" si="39"/>
        <v>0</v>
      </c>
      <c r="F44" s="2119" t="e">
        <f t="shared" si="30"/>
        <v>#DIV/0!</v>
      </c>
      <c r="G44" s="2181"/>
      <c r="H44" s="2181">
        <v>1000</v>
      </c>
      <c r="I44" s="2180">
        <f t="shared" si="40"/>
        <v>1000</v>
      </c>
      <c r="J44" s="2119">
        <f t="shared" si="41"/>
        <v>4.2495049617810615E-4</v>
      </c>
      <c r="K44" s="2120"/>
      <c r="L44" s="2181">
        <v>0</v>
      </c>
      <c r="M44" s="2181">
        <v>200</v>
      </c>
      <c r="N44" s="2181">
        <f t="shared" si="42"/>
        <v>200</v>
      </c>
      <c r="O44" s="2119">
        <v>4.6618338082975706E-4</v>
      </c>
      <c r="P44" s="1976"/>
      <c r="Q44" s="2181"/>
      <c r="R44" s="2181"/>
      <c r="S44" s="2180">
        <f t="shared" si="43"/>
        <v>0</v>
      </c>
      <c r="T44" s="2119">
        <f t="shared" si="44"/>
        <v>0</v>
      </c>
      <c r="U44" s="2120"/>
      <c r="V44" s="2181"/>
      <c r="W44" s="2181"/>
      <c r="X44" s="2180">
        <f t="shared" si="45"/>
        <v>0</v>
      </c>
      <c r="Y44" s="2119">
        <f t="shared" si="46"/>
        <v>0</v>
      </c>
      <c r="Z44" s="2120"/>
      <c r="AA44" s="2181"/>
      <c r="AB44" s="2181"/>
      <c r="AC44" s="2180">
        <f t="shared" si="47"/>
        <v>0</v>
      </c>
      <c r="AD44" s="2119" t="e">
        <f t="shared" si="31"/>
        <v>#DIV/0!</v>
      </c>
      <c r="AE44" s="2239"/>
      <c r="AF44" s="2184"/>
      <c r="AG44" s="2181"/>
      <c r="AH44" s="2180">
        <f t="shared" si="48"/>
        <v>0</v>
      </c>
      <c r="AI44" s="2119">
        <f t="shared" si="32"/>
        <v>0</v>
      </c>
      <c r="AJ44" s="2120"/>
      <c r="AK44" s="2184"/>
      <c r="AL44" s="2181"/>
      <c r="AM44" s="2180">
        <f t="shared" si="49"/>
        <v>0</v>
      </c>
      <c r="AN44" s="2119">
        <f t="shared" si="33"/>
        <v>0</v>
      </c>
      <c r="AO44" s="2120"/>
      <c r="AP44" s="2184"/>
      <c r="AQ44" s="2181"/>
      <c r="AR44" s="2180">
        <f t="shared" si="50"/>
        <v>0</v>
      </c>
      <c r="AS44" s="2119">
        <f t="shared" si="34"/>
        <v>0</v>
      </c>
      <c r="AT44" s="2120"/>
      <c r="AU44" s="2184"/>
      <c r="AV44" s="2181"/>
      <c r="AW44" s="2180">
        <f t="shared" si="51"/>
        <v>0</v>
      </c>
      <c r="AX44" s="2119">
        <f t="shared" si="35"/>
        <v>0</v>
      </c>
      <c r="AY44" s="2120"/>
      <c r="AZ44" s="2184"/>
      <c r="BA44" s="2181"/>
      <c r="BB44" s="2180">
        <f t="shared" si="52"/>
        <v>0</v>
      </c>
      <c r="BC44" s="2119">
        <f t="shared" si="36"/>
        <v>0</v>
      </c>
      <c r="BD44" s="2120"/>
      <c r="BE44" s="2184"/>
      <c r="BF44" s="2181"/>
      <c r="BG44" s="2180">
        <f t="shared" si="53"/>
        <v>0</v>
      </c>
      <c r="BH44" s="2119">
        <f t="shared" si="37"/>
        <v>0</v>
      </c>
      <c r="BI44" s="2120"/>
      <c r="BJ44" s="2181">
        <f t="shared" si="54"/>
        <v>0</v>
      </c>
      <c r="BK44" s="2181">
        <f t="shared" si="54"/>
        <v>200</v>
      </c>
      <c r="BL44" s="2180">
        <f t="shared" si="55"/>
        <v>200</v>
      </c>
      <c r="BM44" s="2119">
        <f t="shared" si="38"/>
        <v>3.537426956329448E-5</v>
      </c>
      <c r="BN44" s="2122"/>
      <c r="BO44" s="2188">
        <f t="shared" si="56"/>
        <v>800</v>
      </c>
      <c r="BP44" s="2213"/>
      <c r="BQ44" s="2189">
        <v>200</v>
      </c>
      <c r="BR44" s="2190">
        <f>BL44-BQ44</f>
        <v>0</v>
      </c>
    </row>
    <row r="45" spans="1:72" ht="15" customHeight="1">
      <c r="A45" s="4946"/>
      <c r="B45" s="2317" t="s">
        <v>8</v>
      </c>
      <c r="C45" s="2219"/>
      <c r="D45" s="2318"/>
      <c r="E45" s="2319">
        <f t="shared" si="39"/>
        <v>0</v>
      </c>
      <c r="F45" s="2119" t="e">
        <f t="shared" si="30"/>
        <v>#DIV/0!</v>
      </c>
      <c r="G45" s="2181">
        <v>8000</v>
      </c>
      <c r="H45" s="2181"/>
      <c r="I45" s="2180">
        <f t="shared" si="40"/>
        <v>8000</v>
      </c>
      <c r="J45" s="2119">
        <f t="shared" si="41"/>
        <v>3.3996039694248492E-3</v>
      </c>
      <c r="K45" s="2120"/>
      <c r="L45" s="2181">
        <v>0</v>
      </c>
      <c r="M45" s="2181">
        <v>0</v>
      </c>
      <c r="N45" s="2181">
        <f t="shared" si="42"/>
        <v>0</v>
      </c>
      <c r="O45" s="2119">
        <v>0</v>
      </c>
      <c r="P45" s="1976"/>
      <c r="Q45" s="2181"/>
      <c r="R45" s="2181"/>
      <c r="S45" s="2180">
        <f t="shared" si="43"/>
        <v>0</v>
      </c>
      <c r="T45" s="2119">
        <f t="shared" si="44"/>
        <v>0</v>
      </c>
      <c r="U45" s="2120"/>
      <c r="V45" s="2181"/>
      <c r="W45" s="2181"/>
      <c r="X45" s="2180">
        <f t="shared" si="45"/>
        <v>0</v>
      </c>
      <c r="Y45" s="2119">
        <f t="shared" si="46"/>
        <v>0</v>
      </c>
      <c r="Z45" s="2120"/>
      <c r="AA45" s="2181"/>
      <c r="AB45" s="2181"/>
      <c r="AC45" s="2180">
        <f t="shared" si="47"/>
        <v>0</v>
      </c>
      <c r="AD45" s="2119" t="e">
        <f t="shared" si="31"/>
        <v>#DIV/0!</v>
      </c>
      <c r="AE45" s="2239"/>
      <c r="AF45" s="2184"/>
      <c r="AG45" s="2181"/>
      <c r="AH45" s="2180">
        <f t="shared" si="48"/>
        <v>0</v>
      </c>
      <c r="AI45" s="2119">
        <f t="shared" si="32"/>
        <v>0</v>
      </c>
      <c r="AJ45" s="2120"/>
      <c r="AK45" s="2184"/>
      <c r="AL45" s="2181"/>
      <c r="AM45" s="2180">
        <f t="shared" si="49"/>
        <v>0</v>
      </c>
      <c r="AN45" s="2119">
        <f t="shared" si="33"/>
        <v>0</v>
      </c>
      <c r="AO45" s="2120"/>
      <c r="AP45" s="2184"/>
      <c r="AQ45" s="2181"/>
      <c r="AR45" s="2180">
        <f t="shared" si="50"/>
        <v>0</v>
      </c>
      <c r="AS45" s="2119">
        <f t="shared" si="34"/>
        <v>0</v>
      </c>
      <c r="AT45" s="2120"/>
      <c r="AU45" s="2184"/>
      <c r="AV45" s="2181"/>
      <c r="AW45" s="2180">
        <f t="shared" si="51"/>
        <v>0</v>
      </c>
      <c r="AX45" s="2119">
        <f t="shared" si="35"/>
        <v>0</v>
      </c>
      <c r="AY45" s="2120"/>
      <c r="AZ45" s="2184"/>
      <c r="BA45" s="2181"/>
      <c r="BB45" s="2180">
        <f t="shared" si="52"/>
        <v>0</v>
      </c>
      <c r="BC45" s="2119">
        <f t="shared" si="36"/>
        <v>0</v>
      </c>
      <c r="BD45" s="2120"/>
      <c r="BE45" s="2184"/>
      <c r="BF45" s="2181"/>
      <c r="BG45" s="2180">
        <f t="shared" si="53"/>
        <v>0</v>
      </c>
      <c r="BH45" s="2119">
        <f t="shared" si="37"/>
        <v>0</v>
      </c>
      <c r="BI45" s="2120"/>
      <c r="BJ45" s="2181">
        <f t="shared" si="54"/>
        <v>0</v>
      </c>
      <c r="BK45" s="2181">
        <f t="shared" si="54"/>
        <v>0</v>
      </c>
      <c r="BL45" s="2180">
        <f t="shared" si="55"/>
        <v>0</v>
      </c>
      <c r="BM45" s="2119">
        <f t="shared" si="38"/>
        <v>0</v>
      </c>
      <c r="BN45" s="2122"/>
      <c r="BO45" s="2188">
        <f t="shared" si="56"/>
        <v>8000</v>
      </c>
      <c r="BP45" s="2213"/>
      <c r="BR45" s="2228"/>
    </row>
    <row r="46" spans="1:72" ht="15" customHeight="1">
      <c r="A46" s="4946"/>
      <c r="B46" s="2317" t="s">
        <v>29</v>
      </c>
      <c r="C46" s="2219"/>
      <c r="D46" s="2318"/>
      <c r="E46" s="2319">
        <f t="shared" si="39"/>
        <v>0</v>
      </c>
      <c r="F46" s="2119" t="e">
        <f t="shared" si="30"/>
        <v>#DIV/0!</v>
      </c>
      <c r="G46" s="2181"/>
      <c r="H46" s="2181"/>
      <c r="I46" s="2180">
        <f t="shared" si="40"/>
        <v>0</v>
      </c>
      <c r="J46" s="2119">
        <f t="shared" si="41"/>
        <v>0</v>
      </c>
      <c r="K46" s="2120"/>
      <c r="L46" s="2181">
        <v>0</v>
      </c>
      <c r="M46" s="2181">
        <v>0</v>
      </c>
      <c r="N46" s="2181">
        <f t="shared" si="42"/>
        <v>0</v>
      </c>
      <c r="O46" s="2119">
        <v>0</v>
      </c>
      <c r="P46" s="1976"/>
      <c r="Q46" s="2181"/>
      <c r="R46" s="2181"/>
      <c r="S46" s="2180">
        <f t="shared" si="43"/>
        <v>0</v>
      </c>
      <c r="T46" s="2119">
        <f t="shared" si="44"/>
        <v>0</v>
      </c>
      <c r="U46" s="2120"/>
      <c r="V46" s="2181"/>
      <c r="W46" s="2181"/>
      <c r="X46" s="2180">
        <f t="shared" si="45"/>
        <v>0</v>
      </c>
      <c r="Y46" s="2119">
        <f t="shared" si="46"/>
        <v>0</v>
      </c>
      <c r="Z46" s="2120"/>
      <c r="AA46" s="2181"/>
      <c r="AB46" s="2181"/>
      <c r="AC46" s="2180">
        <f t="shared" si="47"/>
        <v>0</v>
      </c>
      <c r="AD46" s="2119" t="e">
        <f t="shared" si="31"/>
        <v>#DIV/0!</v>
      </c>
      <c r="AE46" s="2239"/>
      <c r="AF46" s="2184"/>
      <c r="AG46" s="2181"/>
      <c r="AH46" s="2180">
        <f t="shared" si="48"/>
        <v>0</v>
      </c>
      <c r="AI46" s="2119">
        <f t="shared" si="32"/>
        <v>0</v>
      </c>
      <c r="AJ46" s="2120"/>
      <c r="AK46" s="2184"/>
      <c r="AL46" s="2181"/>
      <c r="AM46" s="2180">
        <f t="shared" si="49"/>
        <v>0</v>
      </c>
      <c r="AN46" s="2119">
        <f t="shared" si="33"/>
        <v>0</v>
      </c>
      <c r="AO46" s="2120"/>
      <c r="AP46" s="2184"/>
      <c r="AQ46" s="2181"/>
      <c r="AR46" s="2180">
        <f t="shared" si="50"/>
        <v>0</v>
      </c>
      <c r="AS46" s="2119">
        <f t="shared" si="34"/>
        <v>0</v>
      </c>
      <c r="AT46" s="2120"/>
      <c r="AU46" s="2184"/>
      <c r="AV46" s="2181"/>
      <c r="AW46" s="2180">
        <f t="shared" si="51"/>
        <v>0</v>
      </c>
      <c r="AX46" s="2119">
        <f t="shared" si="35"/>
        <v>0</v>
      </c>
      <c r="AY46" s="2120"/>
      <c r="AZ46" s="2184"/>
      <c r="BA46" s="2181"/>
      <c r="BB46" s="2180">
        <f t="shared" si="52"/>
        <v>0</v>
      </c>
      <c r="BC46" s="2119">
        <f t="shared" si="36"/>
        <v>0</v>
      </c>
      <c r="BD46" s="2120"/>
      <c r="BE46" s="2184"/>
      <c r="BF46" s="2181"/>
      <c r="BG46" s="2180">
        <f t="shared" si="53"/>
        <v>0</v>
      </c>
      <c r="BH46" s="2119">
        <f t="shared" si="37"/>
        <v>0</v>
      </c>
      <c r="BI46" s="2120"/>
      <c r="BJ46" s="2181">
        <f t="shared" si="54"/>
        <v>0</v>
      </c>
      <c r="BK46" s="2181">
        <f t="shared" si="54"/>
        <v>0</v>
      </c>
      <c r="BL46" s="2180">
        <f t="shared" si="55"/>
        <v>0</v>
      </c>
      <c r="BM46" s="2119">
        <f t="shared" si="38"/>
        <v>0</v>
      </c>
      <c r="BN46" s="2122"/>
      <c r="BO46" s="2188">
        <f t="shared" si="56"/>
        <v>0</v>
      </c>
      <c r="BP46" s="2213"/>
      <c r="BR46" s="2228"/>
    </row>
    <row r="47" spans="1:72" ht="31.2" customHeight="1">
      <c r="A47" s="4946"/>
      <c r="B47" s="2317" t="s">
        <v>30</v>
      </c>
      <c r="C47" s="2219"/>
      <c r="D47" s="2318"/>
      <c r="E47" s="2319">
        <f t="shared" si="39"/>
        <v>0</v>
      </c>
      <c r="F47" s="2119" t="e">
        <f t="shared" si="30"/>
        <v>#DIV/0!</v>
      </c>
      <c r="G47" s="2181">
        <v>12000</v>
      </c>
      <c r="H47" s="2181"/>
      <c r="I47" s="2180">
        <f t="shared" si="40"/>
        <v>12000</v>
      </c>
      <c r="J47" s="2119">
        <f t="shared" si="41"/>
        <v>5.099405954137274E-3</v>
      </c>
      <c r="K47" s="2120"/>
      <c r="L47" s="2181">
        <f>9958.24+584.32</f>
        <v>10542.56</v>
      </c>
      <c r="M47" s="2181">
        <v>1078</v>
      </c>
      <c r="N47" s="2181">
        <f t="shared" si="42"/>
        <v>11620.56</v>
      </c>
      <c r="O47" s="2119">
        <v>2.5724558374242989E-2</v>
      </c>
      <c r="P47" s="1976"/>
      <c r="Q47" s="2181">
        <v>3295.05</v>
      </c>
      <c r="R47" s="2181"/>
      <c r="S47" s="2180">
        <f t="shared" si="43"/>
        <v>3295.05</v>
      </c>
      <c r="T47" s="2119">
        <f t="shared" si="44"/>
        <v>1.4002331324316688E-3</v>
      </c>
      <c r="U47" s="2120"/>
      <c r="V47" s="2181">
        <f>9232.3+92.5+2589</f>
        <v>11913.8</v>
      </c>
      <c r="W47" s="2181"/>
      <c r="X47" s="2180">
        <f t="shared" si="45"/>
        <v>11913.8</v>
      </c>
      <c r="Y47" s="2119">
        <f t="shared" si="46"/>
        <v>5.0627752213667212E-3</v>
      </c>
      <c r="Z47" s="2187" t="s">
        <v>1031</v>
      </c>
      <c r="AA47" s="2181"/>
      <c r="AB47" s="2181"/>
      <c r="AC47" s="2180">
        <f t="shared" si="47"/>
        <v>0</v>
      </c>
      <c r="AD47" s="2119" t="e">
        <f t="shared" si="31"/>
        <v>#DIV/0!</v>
      </c>
      <c r="AE47" s="2239"/>
      <c r="AF47" s="2184">
        <v>181</v>
      </c>
      <c r="AG47" s="2181"/>
      <c r="AH47" s="2180">
        <f t="shared" si="48"/>
        <v>181</v>
      </c>
      <c r="AI47" s="2119">
        <f t="shared" si="32"/>
        <v>1</v>
      </c>
      <c r="AJ47" s="2187" t="s">
        <v>1130</v>
      </c>
      <c r="AK47" s="2184"/>
      <c r="AL47" s="2181"/>
      <c r="AM47" s="2180">
        <f t="shared" si="49"/>
        <v>0</v>
      </c>
      <c r="AN47" s="2119">
        <f t="shared" si="33"/>
        <v>0</v>
      </c>
      <c r="AO47" s="2187"/>
      <c r="AP47" s="2221">
        <v>45</v>
      </c>
      <c r="AQ47" s="2222"/>
      <c r="AR47" s="2320">
        <f t="shared" si="50"/>
        <v>45</v>
      </c>
      <c r="AS47" s="2137">
        <f t="shared" si="34"/>
        <v>0.24861878453038674</v>
      </c>
      <c r="AT47" s="2321" t="s">
        <v>486</v>
      </c>
      <c r="AU47" s="2322"/>
      <c r="AV47" s="2322"/>
      <c r="AW47" s="2180">
        <f t="shared" si="51"/>
        <v>0</v>
      </c>
      <c r="AX47" s="2119">
        <f t="shared" si="35"/>
        <v>0</v>
      </c>
      <c r="AY47" s="2130"/>
      <c r="AZ47" s="2184"/>
      <c r="BA47" s="2322"/>
      <c r="BB47" s="2180">
        <f t="shared" si="52"/>
        <v>0</v>
      </c>
      <c r="BC47" s="2119">
        <f t="shared" si="36"/>
        <v>0</v>
      </c>
      <c r="BD47" s="2130"/>
      <c r="BE47" s="2184"/>
      <c r="BF47" s="2322"/>
      <c r="BG47" s="2180">
        <f t="shared" si="53"/>
        <v>0</v>
      </c>
      <c r="BH47" s="2119">
        <f t="shared" si="37"/>
        <v>0</v>
      </c>
      <c r="BI47" s="2130"/>
      <c r="BJ47" s="2181">
        <f t="shared" si="54"/>
        <v>25977.41</v>
      </c>
      <c r="BK47" s="2181">
        <f t="shared" si="54"/>
        <v>1078</v>
      </c>
      <c r="BL47" s="2180">
        <f t="shared" si="55"/>
        <v>27055.41</v>
      </c>
      <c r="BM47" s="2119">
        <f t="shared" si="38"/>
        <v>4.7853268324272655E-3</v>
      </c>
      <c r="BN47" s="2122"/>
      <c r="BO47" s="2188">
        <f t="shared" si="56"/>
        <v>-15055.41</v>
      </c>
      <c r="BP47" s="2213"/>
      <c r="BQ47" s="2189">
        <v>27055.41</v>
      </c>
      <c r="BR47" s="2190">
        <f>BL47-BQ47</f>
        <v>0</v>
      </c>
    </row>
    <row r="48" spans="1:72" ht="15" customHeight="1">
      <c r="A48" s="4946"/>
      <c r="B48" s="2317" t="s">
        <v>15</v>
      </c>
      <c r="C48" s="2219"/>
      <c r="D48" s="2318"/>
      <c r="E48" s="2319">
        <f t="shared" si="39"/>
        <v>0</v>
      </c>
      <c r="F48" s="2119" t="e">
        <f t="shared" si="30"/>
        <v>#DIV/0!</v>
      </c>
      <c r="G48" s="2181">
        <v>2000</v>
      </c>
      <c r="H48" s="2181"/>
      <c r="I48" s="2180">
        <f t="shared" si="40"/>
        <v>2000</v>
      </c>
      <c r="J48" s="2119">
        <f t="shared" si="41"/>
        <v>8.4990099235621229E-4</v>
      </c>
      <c r="K48" s="2120"/>
      <c r="L48" s="2181">
        <f>1017.32+930.22</f>
        <v>1947.54</v>
      </c>
      <c r="M48" s="2181">
        <v>0</v>
      </c>
      <c r="N48" s="2181">
        <f t="shared" si="42"/>
        <v>1947.54</v>
      </c>
      <c r="O48" s="2119">
        <v>2.3712883849286424E-3</v>
      </c>
      <c r="P48" s="1976"/>
      <c r="Q48" s="2181"/>
      <c r="R48" s="2181"/>
      <c r="S48" s="2180">
        <f t="shared" si="43"/>
        <v>0</v>
      </c>
      <c r="T48" s="2119">
        <f t="shared" si="44"/>
        <v>0</v>
      </c>
      <c r="U48" s="2120"/>
      <c r="V48" s="2181"/>
      <c r="W48" s="2181"/>
      <c r="X48" s="2180">
        <f t="shared" si="45"/>
        <v>0</v>
      </c>
      <c r="Y48" s="2119">
        <f t="shared" si="46"/>
        <v>0</v>
      </c>
      <c r="Z48" s="2120"/>
      <c r="AA48" s="2181"/>
      <c r="AB48" s="2181"/>
      <c r="AC48" s="2180">
        <f t="shared" si="47"/>
        <v>0</v>
      </c>
      <c r="AD48" s="2119" t="e">
        <f t="shared" si="31"/>
        <v>#DIV/0!</v>
      </c>
      <c r="AE48" s="2239"/>
      <c r="AF48" s="2184"/>
      <c r="AG48" s="2181"/>
      <c r="AH48" s="2180">
        <f t="shared" si="48"/>
        <v>0</v>
      </c>
      <c r="AI48" s="2119">
        <f t="shared" si="32"/>
        <v>0</v>
      </c>
      <c r="AJ48" s="2120"/>
      <c r="AK48" s="2184"/>
      <c r="AL48" s="2181"/>
      <c r="AM48" s="2180">
        <f t="shared" si="49"/>
        <v>0</v>
      </c>
      <c r="AN48" s="2119">
        <f t="shared" si="33"/>
        <v>0</v>
      </c>
      <c r="AO48" s="2120"/>
      <c r="AP48" s="2184"/>
      <c r="AQ48" s="2181"/>
      <c r="AR48" s="2180">
        <f t="shared" si="50"/>
        <v>0</v>
      </c>
      <c r="AS48" s="2119">
        <f t="shared" si="34"/>
        <v>0</v>
      </c>
      <c r="AT48" s="2120"/>
      <c r="AU48" s="2184"/>
      <c r="AV48" s="2181"/>
      <c r="AW48" s="2180">
        <f t="shared" si="51"/>
        <v>0</v>
      </c>
      <c r="AX48" s="2119">
        <f t="shared" si="35"/>
        <v>0</v>
      </c>
      <c r="AY48" s="2120"/>
      <c r="AZ48" s="2184"/>
      <c r="BA48" s="2181"/>
      <c r="BB48" s="2180">
        <f t="shared" si="52"/>
        <v>0</v>
      </c>
      <c r="BC48" s="2119">
        <f t="shared" si="36"/>
        <v>0</v>
      </c>
      <c r="BD48" s="2120"/>
      <c r="BE48" s="2184"/>
      <c r="BF48" s="2181"/>
      <c r="BG48" s="2180">
        <f t="shared" si="53"/>
        <v>0</v>
      </c>
      <c r="BH48" s="2119">
        <f t="shared" si="37"/>
        <v>0</v>
      </c>
      <c r="BI48" s="2120"/>
      <c r="BJ48" s="2181">
        <f t="shared" si="54"/>
        <v>1947.54</v>
      </c>
      <c r="BK48" s="2181">
        <f t="shared" si="54"/>
        <v>0</v>
      </c>
      <c r="BL48" s="2180">
        <f t="shared" si="55"/>
        <v>1947.54</v>
      </c>
      <c r="BM48" s="2119">
        <f t="shared" si="38"/>
        <v>3.4446402472649266E-4</v>
      </c>
      <c r="BN48" s="2122"/>
      <c r="BO48" s="2188">
        <f t="shared" si="56"/>
        <v>52.460000000000036</v>
      </c>
      <c r="BP48" s="2213"/>
      <c r="BQ48" s="2189">
        <v>1947.54</v>
      </c>
      <c r="BR48" s="2190">
        <f>BL48-BQ48</f>
        <v>0</v>
      </c>
    </row>
    <row r="49" spans="1:72" s="2192" customFormat="1" ht="15" customHeight="1" thickBot="1">
      <c r="A49" s="2309"/>
      <c r="B49" s="2323"/>
      <c r="C49" s="2238"/>
      <c r="D49" s="2324"/>
      <c r="E49" s="2325"/>
      <c r="F49" s="2326"/>
      <c r="G49" s="2181"/>
      <c r="H49" s="2181"/>
      <c r="I49" s="2278"/>
      <c r="J49" s="2119">
        <f t="shared" si="41"/>
        <v>0</v>
      </c>
      <c r="K49" s="2280"/>
      <c r="L49" s="2181"/>
      <c r="M49" s="2181"/>
      <c r="N49" s="2278"/>
      <c r="O49" s="2119">
        <v>0</v>
      </c>
      <c r="P49" s="2281"/>
      <c r="Q49" s="2181"/>
      <c r="R49" s="2181"/>
      <c r="S49" s="2278"/>
      <c r="T49" s="2119">
        <f t="shared" si="44"/>
        <v>0</v>
      </c>
      <c r="U49" s="2280"/>
      <c r="V49" s="2181"/>
      <c r="W49" s="2181"/>
      <c r="X49" s="2278"/>
      <c r="Y49" s="2119">
        <f t="shared" si="46"/>
        <v>0</v>
      </c>
      <c r="Z49" s="2280"/>
      <c r="AA49" s="2181"/>
      <c r="AB49" s="2181"/>
      <c r="AC49" s="2278"/>
      <c r="AD49" s="2119" t="e">
        <f t="shared" si="31"/>
        <v>#DIV/0!</v>
      </c>
      <c r="AE49" s="2282"/>
      <c r="AF49" s="2184"/>
      <c r="AG49" s="2181"/>
      <c r="AH49" s="2278"/>
      <c r="AI49" s="2119">
        <f t="shared" si="32"/>
        <v>0</v>
      </c>
      <c r="AJ49" s="2280"/>
      <c r="AK49" s="2184"/>
      <c r="AL49" s="2181"/>
      <c r="AM49" s="2278"/>
      <c r="AN49" s="2119">
        <f t="shared" si="33"/>
        <v>0</v>
      </c>
      <c r="AO49" s="2280"/>
      <c r="AP49" s="2184"/>
      <c r="AQ49" s="2181"/>
      <c r="AR49" s="2278"/>
      <c r="AS49" s="2119">
        <f t="shared" si="34"/>
        <v>0</v>
      </c>
      <c r="AT49" s="2280"/>
      <c r="AU49" s="2184"/>
      <c r="AV49" s="2181"/>
      <c r="AW49" s="2278"/>
      <c r="AX49" s="2119">
        <f t="shared" si="35"/>
        <v>0</v>
      </c>
      <c r="AY49" s="2280"/>
      <c r="AZ49" s="2184"/>
      <c r="BA49" s="2181"/>
      <c r="BB49" s="2278"/>
      <c r="BC49" s="2119">
        <f t="shared" si="36"/>
        <v>0</v>
      </c>
      <c r="BD49" s="2280"/>
      <c r="BE49" s="2184"/>
      <c r="BF49" s="2181"/>
      <c r="BG49" s="2278"/>
      <c r="BH49" s="2119">
        <f t="shared" si="37"/>
        <v>0</v>
      </c>
      <c r="BI49" s="2280"/>
      <c r="BJ49" s="2181">
        <f t="shared" si="54"/>
        <v>0</v>
      </c>
      <c r="BK49" s="2181">
        <f t="shared" si="54"/>
        <v>0</v>
      </c>
      <c r="BL49" s="2278"/>
      <c r="BM49" s="2119">
        <f t="shared" si="38"/>
        <v>0</v>
      </c>
      <c r="BN49" s="2278"/>
      <c r="BO49" s="2188">
        <f t="shared" si="56"/>
        <v>0</v>
      </c>
      <c r="BP49" s="2283"/>
      <c r="BQ49" s="2152"/>
      <c r="BR49" s="2228"/>
      <c r="BS49" s="2191"/>
      <c r="BT49" s="2191"/>
    </row>
    <row r="50" spans="1:72" s="2192" customFormat="1" ht="15" customHeight="1">
      <c r="A50" s="2291"/>
      <c r="B50" s="2327" t="s">
        <v>59</v>
      </c>
      <c r="C50" s="2328"/>
      <c r="D50" s="2328"/>
      <c r="E50" s="2328">
        <f>SUM(E51:E52)</f>
        <v>0</v>
      </c>
      <c r="F50" s="1534" t="e">
        <f>E50/$E$89</f>
        <v>#DIV/0!</v>
      </c>
      <c r="G50" s="2328">
        <f>G52+G51</f>
        <v>0</v>
      </c>
      <c r="H50" s="2328">
        <f>H52+H51</f>
        <v>0</v>
      </c>
      <c r="I50" s="2328">
        <f>SUM(I51:I52)</f>
        <v>0</v>
      </c>
      <c r="J50" s="2315"/>
      <c r="K50" s="2313"/>
      <c r="L50" s="2328">
        <v>0</v>
      </c>
      <c r="M50" s="2328">
        <v>0</v>
      </c>
      <c r="N50" s="2328">
        <v>0</v>
      </c>
      <c r="O50" s="2315"/>
      <c r="P50" s="1578"/>
      <c r="Q50" s="2328">
        <f>Q52+Q51</f>
        <v>0</v>
      </c>
      <c r="R50" s="2328">
        <f>R52+R51</f>
        <v>0</v>
      </c>
      <c r="S50" s="2328">
        <f>SUM(S51:S52)</f>
        <v>0</v>
      </c>
      <c r="T50" s="2315"/>
      <c r="U50" s="2313"/>
      <c r="V50" s="2328">
        <f>V52+V51</f>
        <v>0</v>
      </c>
      <c r="W50" s="2328">
        <f>W52+W51</f>
        <v>0</v>
      </c>
      <c r="X50" s="2328">
        <f>SUM(X51:X52)</f>
        <v>0</v>
      </c>
      <c r="Y50" s="2315"/>
      <c r="Z50" s="2313"/>
      <c r="AA50" s="2328">
        <f>AA52+AA51</f>
        <v>0</v>
      </c>
      <c r="AB50" s="2328">
        <f>AB52+AB51</f>
        <v>0</v>
      </c>
      <c r="AC50" s="2328">
        <f>SUM(AC51:AC52)</f>
        <v>0</v>
      </c>
      <c r="AD50" s="2315" t="e">
        <v>#DIV/0!</v>
      </c>
      <c r="AE50" s="2314"/>
      <c r="AF50" s="2328">
        <f>AF52+AF51</f>
        <v>0</v>
      </c>
      <c r="AG50" s="2328">
        <f>AG52+AG51</f>
        <v>0</v>
      </c>
      <c r="AH50" s="2328">
        <f>SUM(AH51:AH52)</f>
        <v>0</v>
      </c>
      <c r="AI50" s="2315">
        <f t="shared" si="32"/>
        <v>0</v>
      </c>
      <c r="AJ50" s="2313"/>
      <c r="AK50" s="2328">
        <f>AK52+AK51</f>
        <v>0</v>
      </c>
      <c r="AL50" s="2328">
        <f>AL52+AL51</f>
        <v>0</v>
      </c>
      <c r="AM50" s="2328">
        <f>SUM(AM51:AM52)</f>
        <v>0</v>
      </c>
      <c r="AN50" s="2315">
        <f t="shared" si="33"/>
        <v>0</v>
      </c>
      <c r="AO50" s="2313"/>
      <c r="AP50" s="2328">
        <f>AP52+AP51</f>
        <v>0</v>
      </c>
      <c r="AQ50" s="2328">
        <f>AQ52+AQ51</f>
        <v>0</v>
      </c>
      <c r="AR50" s="2328">
        <f>SUM(AR51:AR52)</f>
        <v>0</v>
      </c>
      <c r="AS50" s="2315">
        <f t="shared" si="34"/>
        <v>0</v>
      </c>
      <c r="AT50" s="2313"/>
      <c r="AU50" s="2328">
        <f>AU52+AU51</f>
        <v>0</v>
      </c>
      <c r="AV50" s="2328">
        <f>AV52+AV51</f>
        <v>0</v>
      </c>
      <c r="AW50" s="2328">
        <f>SUM(AW51:AW52)</f>
        <v>0</v>
      </c>
      <c r="AX50" s="2315">
        <f t="shared" si="35"/>
        <v>0</v>
      </c>
      <c r="AY50" s="2313"/>
      <c r="AZ50" s="2328">
        <f>AZ52+AZ51</f>
        <v>0</v>
      </c>
      <c r="BA50" s="2328">
        <f>BA52+BA51</f>
        <v>0</v>
      </c>
      <c r="BB50" s="2328">
        <f>SUM(BB51:BB52)</f>
        <v>0</v>
      </c>
      <c r="BC50" s="2315">
        <f t="shared" si="36"/>
        <v>0</v>
      </c>
      <c r="BD50" s="2313"/>
      <c r="BE50" s="2328">
        <f>BE52+BE51</f>
        <v>0</v>
      </c>
      <c r="BF50" s="2328">
        <f>BF52+BF51</f>
        <v>0</v>
      </c>
      <c r="BG50" s="2328">
        <f>SUM(BG51:BG52)</f>
        <v>0</v>
      </c>
      <c r="BH50" s="2315">
        <f t="shared" si="37"/>
        <v>0</v>
      </c>
      <c r="BI50" s="2313"/>
      <c r="BJ50" s="2328">
        <f>BJ52+BJ51</f>
        <v>1472.58</v>
      </c>
      <c r="BK50" s="2328">
        <f>BK52+BK51</f>
        <v>0</v>
      </c>
      <c r="BL50" s="2328">
        <f>SUM(BL51:BL52)</f>
        <v>1472.58</v>
      </c>
      <c r="BM50" s="2315"/>
      <c r="BN50" s="2315"/>
      <c r="BO50" s="2316"/>
      <c r="BP50" s="2316"/>
      <c r="BQ50" s="2152"/>
      <c r="BR50" s="2228"/>
      <c r="BS50" s="2191"/>
      <c r="BT50" s="2191"/>
    </row>
    <row r="51" spans="1:72" s="2234" customFormat="1" ht="15" customHeight="1">
      <c r="A51" s="2329"/>
      <c r="B51" s="2317" t="s">
        <v>60</v>
      </c>
      <c r="C51" s="2219"/>
      <c r="D51" s="2318"/>
      <c r="E51" s="2318">
        <f>C51+D51</f>
        <v>0</v>
      </c>
      <c r="F51" s="2330" t="e">
        <f>E51/$E$89</f>
        <v>#DIV/0!</v>
      </c>
      <c r="G51" s="2181"/>
      <c r="H51" s="2181"/>
      <c r="I51" s="2180">
        <f>G51+H51*1</f>
        <v>0</v>
      </c>
      <c r="J51" s="2119">
        <f>I51/$S$89</f>
        <v>0</v>
      </c>
      <c r="K51" s="2269"/>
      <c r="L51" s="2181">
        <v>0</v>
      </c>
      <c r="M51" s="2181">
        <v>0</v>
      </c>
      <c r="N51" s="2181">
        <f>L51+M51</f>
        <v>0</v>
      </c>
      <c r="O51" s="2119">
        <v>0</v>
      </c>
      <c r="P51" s="2331"/>
      <c r="Q51" s="2181"/>
      <c r="R51" s="2181"/>
      <c r="S51" s="2180">
        <f>Q51+R51*1</f>
        <v>0</v>
      </c>
      <c r="T51" s="2119">
        <f t="shared" si="44"/>
        <v>0</v>
      </c>
      <c r="U51" s="2269"/>
      <c r="V51" s="2181"/>
      <c r="W51" s="2181"/>
      <c r="X51" s="2180">
        <f>V51+W51*1</f>
        <v>0</v>
      </c>
      <c r="Y51" s="2119">
        <f>X51/$S$89</f>
        <v>0</v>
      </c>
      <c r="Z51" s="2269"/>
      <c r="AA51" s="2181"/>
      <c r="AB51" s="2181"/>
      <c r="AC51" s="2180">
        <f>AA51+AB51*1</f>
        <v>0</v>
      </c>
      <c r="AD51" s="2119" t="e">
        <f t="shared" si="31"/>
        <v>#DIV/0!</v>
      </c>
      <c r="AE51" s="2270"/>
      <c r="AF51" s="2184"/>
      <c r="AG51" s="2181"/>
      <c r="AH51" s="2180">
        <f>AF51+AG51*1</f>
        <v>0</v>
      </c>
      <c r="AI51" s="2119">
        <f t="shared" si="32"/>
        <v>0</v>
      </c>
      <c r="AJ51" s="2269"/>
      <c r="AK51" s="2184"/>
      <c r="AL51" s="2181"/>
      <c r="AM51" s="2180">
        <f>AK51+AL51*1</f>
        <v>0</v>
      </c>
      <c r="AN51" s="2119">
        <f t="shared" si="33"/>
        <v>0</v>
      </c>
      <c r="AO51" s="2269"/>
      <c r="AP51" s="2184"/>
      <c r="AQ51" s="2181"/>
      <c r="AR51" s="2180">
        <f>AP51+AQ51*1</f>
        <v>0</v>
      </c>
      <c r="AS51" s="2119">
        <f t="shared" si="34"/>
        <v>0</v>
      </c>
      <c r="AT51" s="2269"/>
      <c r="AU51" s="2184"/>
      <c r="AV51" s="2181"/>
      <c r="AW51" s="2180">
        <f>AU51+AV51*1</f>
        <v>0</v>
      </c>
      <c r="AX51" s="2119">
        <f t="shared" si="35"/>
        <v>0</v>
      </c>
      <c r="AY51" s="2269"/>
      <c r="AZ51" s="2184"/>
      <c r="BA51" s="2181"/>
      <c r="BB51" s="2180">
        <f>AZ51+BA51*1</f>
        <v>0</v>
      </c>
      <c r="BC51" s="2119">
        <f t="shared" si="36"/>
        <v>0</v>
      </c>
      <c r="BD51" s="2269"/>
      <c r="BE51" s="2184"/>
      <c r="BF51" s="2181"/>
      <c r="BG51" s="2180">
        <f>BE51+BF51*1</f>
        <v>0</v>
      </c>
      <c r="BH51" s="2119">
        <f t="shared" si="37"/>
        <v>0</v>
      </c>
      <c r="BI51" s="2269"/>
      <c r="BJ51" s="2181">
        <f>L51+Q51+V51+AA51+AF51+AK51+AP51+AU51+AZ51+BE51</f>
        <v>0</v>
      </c>
      <c r="BK51" s="2181">
        <f>M51+R51+W51+AB51+AG51+AL51+AQ51+AV51+BA51+BF51</f>
        <v>0</v>
      </c>
      <c r="BL51" s="2180">
        <f>BJ51+BK51*1</f>
        <v>0</v>
      </c>
      <c r="BM51" s="2119">
        <f>BL51/$BL$89</f>
        <v>0</v>
      </c>
      <c r="BN51" s="2271"/>
      <c r="BO51" s="2188">
        <f>I51-BL51</f>
        <v>0</v>
      </c>
      <c r="BP51" s="2272"/>
      <c r="BQ51" s="2273"/>
      <c r="BR51" s="2274"/>
      <c r="BS51" s="2233"/>
      <c r="BT51" s="2233"/>
    </row>
    <row r="52" spans="1:72" s="2333" customFormat="1" ht="15" customHeight="1">
      <c r="A52" s="2329"/>
      <c r="B52" s="2317" t="s">
        <v>61</v>
      </c>
      <c r="C52" s="2219"/>
      <c r="D52" s="2318"/>
      <c r="E52" s="2318">
        <f>C52+D52</f>
        <v>0</v>
      </c>
      <c r="F52" s="2330" t="e">
        <f>E52/$E$89</f>
        <v>#DIV/0!</v>
      </c>
      <c r="G52" s="2181"/>
      <c r="H52" s="2181"/>
      <c r="I52" s="2180">
        <f>G52+H52*1</f>
        <v>0</v>
      </c>
      <c r="J52" s="2119">
        <f>I52/$S$89</f>
        <v>0</v>
      </c>
      <c r="K52" s="2269"/>
      <c r="L52" s="2181">
        <v>1472.58</v>
      </c>
      <c r="M52" s="2181">
        <v>0</v>
      </c>
      <c r="N52" s="2181">
        <f>L52+M52</f>
        <v>1472.58</v>
      </c>
      <c r="O52" s="2119">
        <v>0</v>
      </c>
      <c r="P52" s="2331"/>
      <c r="Q52" s="2181"/>
      <c r="R52" s="2181"/>
      <c r="S52" s="2180">
        <f>Q52+R52*1</f>
        <v>0</v>
      </c>
      <c r="T52" s="2119">
        <f t="shared" si="44"/>
        <v>0</v>
      </c>
      <c r="U52" s="2269"/>
      <c r="V52" s="2181"/>
      <c r="W52" s="2181"/>
      <c r="X52" s="2180">
        <f>V52+W52*1</f>
        <v>0</v>
      </c>
      <c r="Y52" s="2119">
        <f>X52/$S$89</f>
        <v>0</v>
      </c>
      <c r="Z52" s="2269"/>
      <c r="AA52" s="2181"/>
      <c r="AB52" s="2181"/>
      <c r="AC52" s="2180">
        <f>AA52+AB52*1</f>
        <v>0</v>
      </c>
      <c r="AD52" s="2119" t="e">
        <f t="shared" si="31"/>
        <v>#DIV/0!</v>
      </c>
      <c r="AE52" s="2270"/>
      <c r="AF52" s="2184"/>
      <c r="AG52" s="2181"/>
      <c r="AH52" s="2180">
        <f>AF52+AG52*1</f>
        <v>0</v>
      </c>
      <c r="AI52" s="2119">
        <f t="shared" si="32"/>
        <v>0</v>
      </c>
      <c r="AJ52" s="2269"/>
      <c r="AK52" s="2184"/>
      <c r="AL52" s="2181"/>
      <c r="AM52" s="2180">
        <f>AK52+AL52*1</f>
        <v>0</v>
      </c>
      <c r="AN52" s="2119">
        <f t="shared" si="33"/>
        <v>0</v>
      </c>
      <c r="AO52" s="2269"/>
      <c r="AP52" s="2184"/>
      <c r="AQ52" s="2181"/>
      <c r="AR52" s="2180">
        <f>AP52+AQ52*1</f>
        <v>0</v>
      </c>
      <c r="AS52" s="2119">
        <f t="shared" si="34"/>
        <v>0</v>
      </c>
      <c r="AT52" s="2269"/>
      <c r="AU52" s="2184"/>
      <c r="AV52" s="2181"/>
      <c r="AW52" s="2180">
        <f>AU52+AV52*1</f>
        <v>0</v>
      </c>
      <c r="AX52" s="2119">
        <f t="shared" si="35"/>
        <v>0</v>
      </c>
      <c r="AY52" s="2269"/>
      <c r="AZ52" s="2184"/>
      <c r="BA52" s="2181"/>
      <c r="BB52" s="2180">
        <f>AZ52+BA52*1</f>
        <v>0</v>
      </c>
      <c r="BC52" s="2119">
        <f t="shared" si="36"/>
        <v>0</v>
      </c>
      <c r="BD52" s="2269"/>
      <c r="BE52" s="2184"/>
      <c r="BF52" s="2181"/>
      <c r="BG52" s="2180">
        <f>BE52+BF52*1</f>
        <v>0</v>
      </c>
      <c r="BH52" s="2119">
        <f t="shared" si="37"/>
        <v>0</v>
      </c>
      <c r="BI52" s="2269"/>
      <c r="BJ52" s="2181">
        <f>L52+Q52+V52+AA52+AF52+AK52+AP52+AU52+AZ52+BE52</f>
        <v>1472.58</v>
      </c>
      <c r="BK52" s="2181">
        <f>M52+R52+W52+AB52+AG52+AL52+AQ52+AV52+BA52+BF52</f>
        <v>0</v>
      </c>
      <c r="BL52" s="2180">
        <f>BJ52+BK52*1</f>
        <v>1472.58</v>
      </c>
      <c r="BM52" s="2119">
        <f>BL52/$BL$89</f>
        <v>2.6045720936758091E-4</v>
      </c>
      <c r="BN52" s="2271"/>
      <c r="BO52" s="2188">
        <f>I52-BL52</f>
        <v>-1472.58</v>
      </c>
      <c r="BP52" s="2272"/>
      <c r="BQ52" s="2189">
        <v>1472.58</v>
      </c>
      <c r="BR52" s="2190">
        <f>BL52-BQ52</f>
        <v>0</v>
      </c>
      <c r="BS52" s="2332"/>
      <c r="BT52" s="2332"/>
    </row>
    <row r="53" spans="1:72" ht="15" customHeight="1" thickBot="1">
      <c r="A53" s="2334"/>
      <c r="B53" s="2335"/>
      <c r="C53" s="2336"/>
      <c r="D53" s="2337"/>
      <c r="E53" s="2338"/>
      <c r="F53" s="2339"/>
      <c r="G53" s="2181"/>
      <c r="H53" s="2181"/>
      <c r="I53" s="2340"/>
      <c r="J53" s="2340"/>
      <c r="K53" s="2340"/>
      <c r="L53" s="2181"/>
      <c r="M53" s="2181"/>
      <c r="N53" s="2340"/>
      <c r="O53" s="2340"/>
      <c r="P53" s="2341"/>
      <c r="Q53" s="2181"/>
      <c r="R53" s="2181"/>
      <c r="S53" s="2340"/>
      <c r="T53" s="2340"/>
      <c r="U53" s="2340"/>
      <c r="V53" s="2181"/>
      <c r="W53" s="2181"/>
      <c r="X53" s="2340"/>
      <c r="Y53" s="2340"/>
      <c r="Z53" s="2340"/>
      <c r="AA53" s="2181"/>
      <c r="AB53" s="2181"/>
      <c r="AC53" s="2340"/>
      <c r="AD53" s="2340"/>
      <c r="AE53" s="2342"/>
      <c r="AF53" s="2184"/>
      <c r="AG53" s="2181"/>
      <c r="AH53" s="2340"/>
      <c r="AI53" s="2340"/>
      <c r="AJ53" s="2340"/>
      <c r="AK53" s="2184"/>
      <c r="AL53" s="2181"/>
      <c r="AM53" s="2340"/>
      <c r="AN53" s="2340"/>
      <c r="AO53" s="2340"/>
      <c r="AP53" s="2184"/>
      <c r="AQ53" s="2181"/>
      <c r="AR53" s="2340"/>
      <c r="AS53" s="2340"/>
      <c r="AT53" s="2340"/>
      <c r="AU53" s="2184"/>
      <c r="AV53" s="2181"/>
      <c r="AW53" s="2340"/>
      <c r="AX53" s="2340"/>
      <c r="AY53" s="2340"/>
      <c r="AZ53" s="2184"/>
      <c r="BA53" s="2181"/>
      <c r="BB53" s="2340"/>
      <c r="BC53" s="2340"/>
      <c r="BD53" s="2340"/>
      <c r="BE53" s="2184"/>
      <c r="BF53" s="2181"/>
      <c r="BG53" s="2340"/>
      <c r="BH53" s="2340"/>
      <c r="BI53" s="2340"/>
      <c r="BJ53" s="2181"/>
      <c r="BK53" s="2181"/>
      <c r="BL53" s="2340"/>
      <c r="BM53" s="2340"/>
      <c r="BN53" s="2340"/>
      <c r="BO53" s="2343"/>
      <c r="BP53" s="2343"/>
      <c r="BR53" s="2228"/>
    </row>
    <row r="54" spans="1:72" ht="15" customHeight="1">
      <c r="A54" s="2344"/>
      <c r="B54" s="2327" t="s">
        <v>1</v>
      </c>
      <c r="C54" s="2328">
        <f>SUM(C55:C71)</f>
        <v>0</v>
      </c>
      <c r="D54" s="2328">
        <f>SUM(D55:D71)</f>
        <v>0</v>
      </c>
      <c r="E54" s="2345">
        <f>SUM(E55:E71)</f>
        <v>0</v>
      </c>
      <c r="F54" s="1534" t="e">
        <f>E54/$E$89</f>
        <v>#DIV/0!</v>
      </c>
      <c r="G54" s="2328">
        <f>SUM(G55:G72)</f>
        <v>98311.833992564993</v>
      </c>
      <c r="H54" s="2328">
        <f>SUM(H55:H72)</f>
        <v>62426</v>
      </c>
      <c r="I54" s="2328">
        <f>SUM(I55:I72)</f>
        <v>160737.83399256499</v>
      </c>
      <c r="J54" s="2121">
        <f>I54/$S$89</f>
        <v>6.8305622309734554E-2</v>
      </c>
      <c r="K54" s="2313"/>
      <c r="L54" s="2328">
        <v>56507.857760000006</v>
      </c>
      <c r="M54" s="2328">
        <v>49129.654368181822</v>
      </c>
      <c r="N54" s="2328">
        <v>105637.5121281818</v>
      </c>
      <c r="O54" s="2121">
        <v>0.24623226273180127</v>
      </c>
      <c r="P54" s="1578"/>
      <c r="Q54" s="2328">
        <f>SUM(Q55:Q72)</f>
        <v>26426.3</v>
      </c>
      <c r="R54" s="2328">
        <f>SUM(R55:R72)</f>
        <v>30648</v>
      </c>
      <c r="S54" s="2328">
        <f>SUM(S55:S72)</f>
        <v>57074.3</v>
      </c>
      <c r="T54" s="2121">
        <f>S54/$S$89</f>
        <v>2.4253752104018086E-2</v>
      </c>
      <c r="U54" s="2313"/>
      <c r="V54" s="2328">
        <f>SUM(V55:V72)</f>
        <v>22000</v>
      </c>
      <c r="W54" s="2328">
        <f>SUM(W55:W72)</f>
        <v>2262.81</v>
      </c>
      <c r="X54" s="2328">
        <f>SUM(X55:X72)</f>
        <v>24262.81</v>
      </c>
      <c r="Y54" s="2121">
        <f>X54/$S$89</f>
        <v>1.0310493148175117E-2</v>
      </c>
      <c r="Z54" s="2313"/>
      <c r="AA54" s="2328">
        <f>SUM(AA55:AA72)</f>
        <v>0</v>
      </c>
      <c r="AB54" s="2328">
        <f>SUM(AB55:AB72)</f>
        <v>0</v>
      </c>
      <c r="AC54" s="2328">
        <f>SUM(AC55:AC72)</f>
        <v>0</v>
      </c>
      <c r="AD54" s="2121" t="e">
        <f t="shared" ref="AD54:AD71" si="57">AC54/$AC$89</f>
        <v>#DIV/0!</v>
      </c>
      <c r="AE54" s="2314"/>
      <c r="AF54" s="2328">
        <f>SUM(AF55:AF72)</f>
        <v>0</v>
      </c>
      <c r="AG54" s="2328">
        <f>SUM(AG55:AG72)</f>
        <v>0</v>
      </c>
      <c r="AH54" s="2328">
        <f>SUM(AH55:AH72)</f>
        <v>0</v>
      </c>
      <c r="AI54" s="2121">
        <f t="shared" ref="AI54:AI71" si="58">AH54/$AH$89</f>
        <v>0</v>
      </c>
      <c r="AJ54" s="2313"/>
      <c r="AK54" s="2328">
        <f>SUM(AK55:AK72)</f>
        <v>0</v>
      </c>
      <c r="AL54" s="2328">
        <f>SUM(AL55:AL72)</f>
        <v>0</v>
      </c>
      <c r="AM54" s="2328">
        <f>SUM(AM55:AM72)</f>
        <v>0</v>
      </c>
      <c r="AN54" s="2121">
        <f t="shared" ref="AN54:AN71" si="59">AM54/$AH$89</f>
        <v>0</v>
      </c>
      <c r="AO54" s="2313"/>
      <c r="AP54" s="2328">
        <f>SUM(AP55:AP72)</f>
        <v>0</v>
      </c>
      <c r="AQ54" s="2328">
        <f>SUM(AQ55:AQ72)</f>
        <v>0</v>
      </c>
      <c r="AR54" s="2328">
        <f>SUM(AR55:AR72)</f>
        <v>0</v>
      </c>
      <c r="AS54" s="2121">
        <f t="shared" ref="AS54:AS71" si="60">AR54/$AH$89</f>
        <v>0</v>
      </c>
      <c r="AT54" s="2313"/>
      <c r="AU54" s="2328">
        <f>SUM(AU55:AU72)</f>
        <v>0</v>
      </c>
      <c r="AV54" s="2328">
        <f>SUM(AV55:AV72)</f>
        <v>0</v>
      </c>
      <c r="AW54" s="2328">
        <f>SUM(AW55:AW72)</f>
        <v>0</v>
      </c>
      <c r="AX54" s="2121">
        <f t="shared" ref="AX54:AX71" si="61">AW54/$AH$89</f>
        <v>0</v>
      </c>
      <c r="AY54" s="2313"/>
      <c r="AZ54" s="2328">
        <f>SUM(AZ55:AZ72)</f>
        <v>0</v>
      </c>
      <c r="BA54" s="2328">
        <f>SUM(BA55:BA72)</f>
        <v>0</v>
      </c>
      <c r="BB54" s="2328">
        <f>SUM(BB55:BB72)</f>
        <v>0</v>
      </c>
      <c r="BC54" s="2121">
        <f t="shared" ref="BC54:BC71" si="62">BB54/$AH$89</f>
        <v>0</v>
      </c>
      <c r="BD54" s="2313"/>
      <c r="BE54" s="2328">
        <f>SUM(BE55:BE72)</f>
        <v>0</v>
      </c>
      <c r="BF54" s="2328">
        <f>SUM(BF55:BF72)</f>
        <v>0</v>
      </c>
      <c r="BG54" s="2328">
        <f>SUM(BG55:BG72)</f>
        <v>0</v>
      </c>
      <c r="BH54" s="2121">
        <f t="shared" ref="BH54:BH71" si="63">BG54/$BG$89</f>
        <v>0</v>
      </c>
      <c r="BI54" s="2313"/>
      <c r="BJ54" s="2328">
        <f>SUM(BJ55:BJ72)</f>
        <v>104694.25775999999</v>
      </c>
      <c r="BK54" s="2328">
        <f>SUM(BK55:BK72)</f>
        <v>82040.400000000009</v>
      </c>
      <c r="BL54" s="2328">
        <f>SUM(BL55:BL72)</f>
        <v>186734.65776</v>
      </c>
      <c r="BM54" s="2121">
        <f t="shared" ref="BM54:BM71" si="64">BL54/$BL$89</f>
        <v>3.3028010602058899E-2</v>
      </c>
      <c r="BN54" s="2315"/>
      <c r="BO54" s="2316"/>
      <c r="BP54" s="2316"/>
      <c r="BR54" s="2228"/>
    </row>
    <row r="55" spans="1:72" ht="15" customHeight="1">
      <c r="A55" s="2346"/>
      <c r="B55" s="2266" t="s">
        <v>77</v>
      </c>
      <c r="C55" s="2219"/>
      <c r="D55" s="2235"/>
      <c r="E55" s="2319">
        <f t="shared" ref="E55:E71" si="65">C55+D55</f>
        <v>0</v>
      </c>
      <c r="F55" s="2119" t="e">
        <f>E55/$E$89</f>
        <v>#DIV/0!</v>
      </c>
      <c r="G55" s="2212"/>
      <c r="H55" s="2212"/>
      <c r="I55" s="2180">
        <f t="shared" ref="I55:I71" si="66">G55+H55*1</f>
        <v>0</v>
      </c>
      <c r="J55" s="2119">
        <f t="shared" ref="J55:J72" si="67">I55/$S$89</f>
        <v>0</v>
      </c>
      <c r="K55" s="2120"/>
      <c r="L55" s="2212">
        <v>0</v>
      </c>
      <c r="M55" s="2212">
        <v>0</v>
      </c>
      <c r="N55" s="2181">
        <f t="shared" ref="N55:N71" si="68">L55+M55</f>
        <v>0</v>
      </c>
      <c r="O55" s="2119">
        <v>0</v>
      </c>
      <c r="P55" s="1976"/>
      <c r="Q55" s="2212"/>
      <c r="R55" s="2212"/>
      <c r="S55" s="2180">
        <f t="shared" ref="S55:S71" si="69">Q55+R55*1</f>
        <v>0</v>
      </c>
      <c r="T55" s="2119">
        <f t="shared" ref="T55:T72" si="70">S55/$S$89</f>
        <v>0</v>
      </c>
      <c r="U55" s="2120"/>
      <c r="V55" s="2212"/>
      <c r="W55" s="2212"/>
      <c r="X55" s="2180">
        <f t="shared" ref="X55:X71" si="71">V55+W55*1</f>
        <v>0</v>
      </c>
      <c r="Y55" s="2119">
        <f t="shared" ref="Y55:Y72" si="72">X55/$S$89</f>
        <v>0</v>
      </c>
      <c r="Z55" s="2120"/>
      <c r="AA55" s="2212"/>
      <c r="AB55" s="2212"/>
      <c r="AC55" s="2180">
        <f t="shared" ref="AC55:AC71" si="73">AA55+AB55*1</f>
        <v>0</v>
      </c>
      <c r="AD55" s="2119" t="e">
        <f t="shared" si="57"/>
        <v>#DIV/0!</v>
      </c>
      <c r="AE55" s="2239"/>
      <c r="AF55" s="2179"/>
      <c r="AG55" s="2212"/>
      <c r="AH55" s="2180">
        <f t="shared" ref="AH55:AH71" si="74">AF55+AG55*1</f>
        <v>0</v>
      </c>
      <c r="AI55" s="2119">
        <f t="shared" si="58"/>
        <v>0</v>
      </c>
      <c r="AJ55" s="2120"/>
      <c r="AK55" s="2179"/>
      <c r="AL55" s="2212"/>
      <c r="AM55" s="2180">
        <f t="shared" ref="AM55:AM71" si="75">AK55+AL55*1</f>
        <v>0</v>
      </c>
      <c r="AN55" s="2119">
        <f t="shared" si="59"/>
        <v>0</v>
      </c>
      <c r="AO55" s="2120"/>
      <c r="AP55" s="2179"/>
      <c r="AQ55" s="2212"/>
      <c r="AR55" s="2180">
        <f t="shared" ref="AR55:AR71" si="76">AP55+AQ55*1</f>
        <v>0</v>
      </c>
      <c r="AS55" s="2119">
        <f t="shared" si="60"/>
        <v>0</v>
      </c>
      <c r="AT55" s="2120"/>
      <c r="AU55" s="2179"/>
      <c r="AV55" s="2212"/>
      <c r="AW55" s="2180">
        <f t="shared" ref="AW55:AW71" si="77">AU55+AV55*1</f>
        <v>0</v>
      </c>
      <c r="AX55" s="2119">
        <f t="shared" si="61"/>
        <v>0</v>
      </c>
      <c r="AY55" s="2120"/>
      <c r="AZ55" s="2179"/>
      <c r="BA55" s="2212"/>
      <c r="BB55" s="2180">
        <f t="shared" ref="BB55:BB71" si="78">AZ55+BA55*1</f>
        <v>0</v>
      </c>
      <c r="BC55" s="2119">
        <f t="shared" si="62"/>
        <v>0</v>
      </c>
      <c r="BD55" s="2120"/>
      <c r="BE55" s="2179"/>
      <c r="BF55" s="2212"/>
      <c r="BG55" s="2180">
        <f t="shared" ref="BG55:BG71" si="79">BE55+BF55*1</f>
        <v>0</v>
      </c>
      <c r="BH55" s="2119">
        <f t="shared" si="63"/>
        <v>0</v>
      </c>
      <c r="BI55" s="2120"/>
      <c r="BJ55" s="2181">
        <f t="shared" ref="BJ55:BK71" si="80">L55+Q55+V55+AA55+AF55+AK55+AP55+AU55+AZ55+BE55</f>
        <v>0</v>
      </c>
      <c r="BK55" s="2181">
        <f t="shared" si="80"/>
        <v>0</v>
      </c>
      <c r="BL55" s="2180">
        <f t="shared" ref="BL55:BL71" si="81">BJ55+BK55*1</f>
        <v>0</v>
      </c>
      <c r="BM55" s="2119">
        <f t="shared" si="64"/>
        <v>0</v>
      </c>
      <c r="BN55" s="2122"/>
      <c r="BO55" s="2188">
        <f t="shared" ref="BO55:BO72" si="82">I55-BL55</f>
        <v>0</v>
      </c>
      <c r="BP55" s="2213"/>
      <c r="BR55" s="2228"/>
    </row>
    <row r="56" spans="1:72" ht="15" customHeight="1">
      <c r="A56" s="2346"/>
      <c r="B56" s="2266" t="s">
        <v>76</v>
      </c>
      <c r="C56" s="2219"/>
      <c r="D56" s="2235"/>
      <c r="E56" s="2319">
        <f t="shared" si="65"/>
        <v>0</v>
      </c>
      <c r="F56" s="2119" t="e">
        <f t="shared" ref="F56:F72" si="83">E56/$E$89</f>
        <v>#DIV/0!</v>
      </c>
      <c r="G56" s="2212"/>
      <c r="H56" s="2212"/>
      <c r="I56" s="2180">
        <f t="shared" si="66"/>
        <v>0</v>
      </c>
      <c r="J56" s="2119">
        <f t="shared" si="67"/>
        <v>0</v>
      </c>
      <c r="K56" s="2120"/>
      <c r="L56" s="2212">
        <v>0</v>
      </c>
      <c r="M56" s="2212">
        <v>0</v>
      </c>
      <c r="N56" s="2181">
        <f t="shared" si="68"/>
        <v>0</v>
      </c>
      <c r="O56" s="2119">
        <v>0</v>
      </c>
      <c r="P56" s="1976"/>
      <c r="Q56" s="2212"/>
      <c r="R56" s="2212"/>
      <c r="S56" s="2180">
        <f t="shared" si="69"/>
        <v>0</v>
      </c>
      <c r="T56" s="2119">
        <f t="shared" si="70"/>
        <v>0</v>
      </c>
      <c r="U56" s="2120"/>
      <c r="V56" s="2212"/>
      <c r="W56" s="2212"/>
      <c r="X56" s="2180">
        <f t="shared" si="71"/>
        <v>0</v>
      </c>
      <c r="Y56" s="2119">
        <f t="shared" si="72"/>
        <v>0</v>
      </c>
      <c r="Z56" s="2120"/>
      <c r="AA56" s="2212"/>
      <c r="AB56" s="2212"/>
      <c r="AC56" s="2180">
        <f t="shared" si="73"/>
        <v>0</v>
      </c>
      <c r="AD56" s="2119" t="e">
        <f t="shared" si="57"/>
        <v>#DIV/0!</v>
      </c>
      <c r="AE56" s="2239"/>
      <c r="AF56" s="2179"/>
      <c r="AG56" s="2212"/>
      <c r="AH56" s="2180">
        <f t="shared" si="74"/>
        <v>0</v>
      </c>
      <c r="AI56" s="2119">
        <f t="shared" si="58"/>
        <v>0</v>
      </c>
      <c r="AJ56" s="2120"/>
      <c r="AK56" s="2179"/>
      <c r="AL56" s="2212"/>
      <c r="AM56" s="2180">
        <f t="shared" si="75"/>
        <v>0</v>
      </c>
      <c r="AN56" s="2119">
        <f t="shared" si="59"/>
        <v>0</v>
      </c>
      <c r="AO56" s="2120"/>
      <c r="AP56" s="2179"/>
      <c r="AQ56" s="2212"/>
      <c r="AR56" s="2180">
        <f t="shared" si="76"/>
        <v>0</v>
      </c>
      <c r="AS56" s="2119">
        <f t="shared" si="60"/>
        <v>0</v>
      </c>
      <c r="AT56" s="2120"/>
      <c r="AU56" s="2179"/>
      <c r="AV56" s="2212"/>
      <c r="AW56" s="2180">
        <f t="shared" si="77"/>
        <v>0</v>
      </c>
      <c r="AX56" s="2119">
        <f t="shared" si="61"/>
        <v>0</v>
      </c>
      <c r="AY56" s="2120"/>
      <c r="AZ56" s="2179"/>
      <c r="BA56" s="2212"/>
      <c r="BB56" s="2180">
        <f t="shared" si="78"/>
        <v>0</v>
      </c>
      <c r="BC56" s="2119">
        <f t="shared" si="62"/>
        <v>0</v>
      </c>
      <c r="BD56" s="2120"/>
      <c r="BE56" s="2179"/>
      <c r="BF56" s="2212"/>
      <c r="BG56" s="2180">
        <f t="shared" si="79"/>
        <v>0</v>
      </c>
      <c r="BH56" s="2119">
        <f t="shared" si="63"/>
        <v>0</v>
      </c>
      <c r="BI56" s="2120"/>
      <c r="BJ56" s="2181">
        <f t="shared" si="80"/>
        <v>0</v>
      </c>
      <c r="BK56" s="2181">
        <f t="shared" si="80"/>
        <v>0</v>
      </c>
      <c r="BL56" s="2180">
        <f t="shared" si="81"/>
        <v>0</v>
      </c>
      <c r="BM56" s="2119">
        <f t="shared" si="64"/>
        <v>0</v>
      </c>
      <c r="BN56" s="2122"/>
      <c r="BO56" s="2188">
        <f t="shared" si="82"/>
        <v>0</v>
      </c>
      <c r="BP56" s="2213"/>
      <c r="BR56" s="2228"/>
    </row>
    <row r="57" spans="1:72" ht="15" customHeight="1">
      <c r="A57" s="2346"/>
      <c r="B57" s="2347" t="s">
        <v>68</v>
      </c>
      <c r="C57" s="2219"/>
      <c r="D57" s="2235"/>
      <c r="E57" s="2319">
        <f t="shared" si="65"/>
        <v>0</v>
      </c>
      <c r="F57" s="2119" t="e">
        <f t="shared" si="83"/>
        <v>#DIV/0!</v>
      </c>
      <c r="G57" s="2212"/>
      <c r="H57" s="2212"/>
      <c r="I57" s="2180">
        <f t="shared" si="66"/>
        <v>0</v>
      </c>
      <c r="J57" s="2119">
        <f t="shared" si="67"/>
        <v>0</v>
      </c>
      <c r="K57" s="2135"/>
      <c r="L57" s="2212">
        <v>0</v>
      </c>
      <c r="M57" s="2212">
        <v>0</v>
      </c>
      <c r="N57" s="2181">
        <f t="shared" si="68"/>
        <v>0</v>
      </c>
      <c r="O57" s="2119">
        <v>0</v>
      </c>
      <c r="P57" s="1976"/>
      <c r="Q57" s="2212"/>
      <c r="R57" s="2212"/>
      <c r="S57" s="2180">
        <f t="shared" si="69"/>
        <v>0</v>
      </c>
      <c r="T57" s="2119">
        <f t="shared" si="70"/>
        <v>0</v>
      </c>
      <c r="U57" s="2135"/>
      <c r="V57" s="2212"/>
      <c r="W57" s="2212"/>
      <c r="X57" s="2180">
        <f t="shared" si="71"/>
        <v>0</v>
      </c>
      <c r="Y57" s="2119">
        <f t="shared" si="72"/>
        <v>0</v>
      </c>
      <c r="Z57" s="2187"/>
      <c r="AA57" s="2212"/>
      <c r="AB57" s="2212"/>
      <c r="AC57" s="2180">
        <f t="shared" si="73"/>
        <v>0</v>
      </c>
      <c r="AD57" s="2119" t="e">
        <f t="shared" si="57"/>
        <v>#DIV/0!</v>
      </c>
      <c r="AE57" s="2239"/>
      <c r="AF57" s="2179"/>
      <c r="AG57" s="2212"/>
      <c r="AH57" s="2180">
        <f t="shared" si="74"/>
        <v>0</v>
      </c>
      <c r="AI57" s="2119">
        <f t="shared" si="58"/>
        <v>0</v>
      </c>
      <c r="AJ57" s="2120"/>
      <c r="AK57" s="2179"/>
      <c r="AL57" s="2212"/>
      <c r="AM57" s="2180">
        <f t="shared" si="75"/>
        <v>0</v>
      </c>
      <c r="AN57" s="2119">
        <f t="shared" si="59"/>
        <v>0</v>
      </c>
      <c r="AO57" s="2120"/>
      <c r="AP57" s="2179"/>
      <c r="AQ57" s="2212"/>
      <c r="AR57" s="2180">
        <f t="shared" si="76"/>
        <v>0</v>
      </c>
      <c r="AS57" s="2119">
        <f t="shared" si="60"/>
        <v>0</v>
      </c>
      <c r="AT57" s="2120"/>
      <c r="AU57" s="2179"/>
      <c r="AV57" s="2212"/>
      <c r="AW57" s="2180">
        <f t="shared" si="77"/>
        <v>0</v>
      </c>
      <c r="AX57" s="2119">
        <f t="shared" si="61"/>
        <v>0</v>
      </c>
      <c r="AY57" s="2120"/>
      <c r="AZ57" s="2179"/>
      <c r="BA57" s="2212"/>
      <c r="BB57" s="2180">
        <f t="shared" si="78"/>
        <v>0</v>
      </c>
      <c r="BC57" s="2119">
        <f t="shared" si="62"/>
        <v>0</v>
      </c>
      <c r="BD57" s="2120"/>
      <c r="BE57" s="2179"/>
      <c r="BF57" s="2212"/>
      <c r="BG57" s="2180">
        <f t="shared" si="79"/>
        <v>0</v>
      </c>
      <c r="BH57" s="2119">
        <f t="shared" si="63"/>
        <v>0</v>
      </c>
      <c r="BI57" s="2120"/>
      <c r="BJ57" s="2181">
        <f t="shared" si="80"/>
        <v>0</v>
      </c>
      <c r="BK57" s="2181">
        <f t="shared" si="80"/>
        <v>0</v>
      </c>
      <c r="BL57" s="2180">
        <f t="shared" si="81"/>
        <v>0</v>
      </c>
      <c r="BM57" s="2119">
        <f t="shared" si="64"/>
        <v>0</v>
      </c>
      <c r="BN57" s="2122"/>
      <c r="BO57" s="2188">
        <f t="shared" si="82"/>
        <v>0</v>
      </c>
      <c r="BP57" s="2213"/>
      <c r="BR57" s="2228"/>
    </row>
    <row r="58" spans="1:72" ht="15" customHeight="1">
      <c r="A58" s="2346"/>
      <c r="B58" s="2347" t="s">
        <v>67</v>
      </c>
      <c r="C58" s="2219"/>
      <c r="D58" s="2235"/>
      <c r="E58" s="2319">
        <f t="shared" si="65"/>
        <v>0</v>
      </c>
      <c r="F58" s="2119" t="e">
        <f t="shared" si="83"/>
        <v>#DIV/0!</v>
      </c>
      <c r="G58" s="2212">
        <v>21574</v>
      </c>
      <c r="H58" s="2212">
        <v>58426</v>
      </c>
      <c r="I58" s="2180">
        <f t="shared" si="66"/>
        <v>80000</v>
      </c>
      <c r="J58" s="2119">
        <f t="shared" si="67"/>
        <v>3.3996039694248491E-2</v>
      </c>
      <c r="K58" s="2135"/>
      <c r="L58" s="2212">
        <v>16670.810000000001</v>
      </c>
      <c r="M58" s="2212">
        <v>45147.3</v>
      </c>
      <c r="N58" s="2181">
        <f t="shared" si="68"/>
        <v>61818.11</v>
      </c>
      <c r="O58" s="2119">
        <v>0.14409302761841217</v>
      </c>
      <c r="P58" s="1976"/>
      <c r="Q58" s="2212">
        <v>10787</v>
      </c>
      <c r="R58" s="2212">
        <v>29213</v>
      </c>
      <c r="S58" s="2180">
        <f t="shared" si="69"/>
        <v>40000</v>
      </c>
      <c r="T58" s="2119">
        <f t="shared" si="70"/>
        <v>1.6998019847124245E-2</v>
      </c>
      <c r="U58" s="2135" t="s">
        <v>972</v>
      </c>
      <c r="V58" s="2212">
        <v>10000</v>
      </c>
      <c r="W58" s="2212"/>
      <c r="X58" s="2180">
        <f t="shared" si="71"/>
        <v>10000</v>
      </c>
      <c r="Y58" s="2119">
        <f t="shared" si="72"/>
        <v>4.2495049617810613E-3</v>
      </c>
      <c r="Z58" s="2187" t="s">
        <v>1017</v>
      </c>
      <c r="AA58" s="2212"/>
      <c r="AB58" s="2212"/>
      <c r="AC58" s="2180">
        <f t="shared" si="73"/>
        <v>0</v>
      </c>
      <c r="AD58" s="2119" t="e">
        <f t="shared" si="57"/>
        <v>#DIV/0!</v>
      </c>
      <c r="AE58" s="2088"/>
      <c r="AF58" s="2179"/>
      <c r="AG58" s="2212"/>
      <c r="AH58" s="2180">
        <f t="shared" si="74"/>
        <v>0</v>
      </c>
      <c r="AI58" s="2119">
        <f t="shared" si="58"/>
        <v>0</v>
      </c>
      <c r="AJ58" s="2131"/>
      <c r="AK58" s="2179"/>
      <c r="AL58" s="2212"/>
      <c r="AM58" s="2180">
        <f t="shared" si="75"/>
        <v>0</v>
      </c>
      <c r="AN58" s="2119">
        <f t="shared" si="59"/>
        <v>0</v>
      </c>
      <c r="AO58" s="2131"/>
      <c r="AP58" s="2179"/>
      <c r="AQ58" s="2212"/>
      <c r="AR58" s="2180">
        <f t="shared" si="76"/>
        <v>0</v>
      </c>
      <c r="AS58" s="2119">
        <f t="shared" si="60"/>
        <v>0</v>
      </c>
      <c r="AT58" s="2131"/>
      <c r="AU58" s="2179"/>
      <c r="AV58" s="2212"/>
      <c r="AW58" s="2180">
        <f t="shared" si="77"/>
        <v>0</v>
      </c>
      <c r="AX58" s="2119">
        <f t="shared" si="61"/>
        <v>0</v>
      </c>
      <c r="AY58" s="2131"/>
      <c r="AZ58" s="2179"/>
      <c r="BA58" s="2212"/>
      <c r="BB58" s="2180">
        <f t="shared" si="78"/>
        <v>0</v>
      </c>
      <c r="BC58" s="2119">
        <f t="shared" si="62"/>
        <v>0</v>
      </c>
      <c r="BD58" s="2131"/>
      <c r="BE58" s="2179"/>
      <c r="BF58" s="2212"/>
      <c r="BG58" s="2180">
        <f t="shared" si="79"/>
        <v>0</v>
      </c>
      <c r="BH58" s="2119">
        <f t="shared" si="63"/>
        <v>0</v>
      </c>
      <c r="BI58" s="2131"/>
      <c r="BJ58" s="2181">
        <f t="shared" si="80"/>
        <v>37457.81</v>
      </c>
      <c r="BK58" s="2181">
        <f t="shared" si="80"/>
        <v>74360.3</v>
      </c>
      <c r="BL58" s="2180">
        <f t="shared" si="81"/>
        <v>111818.11</v>
      </c>
      <c r="BM58" s="2119">
        <f t="shared" si="64"/>
        <v>1.9777419825990572E-2</v>
      </c>
      <c r="BN58" s="2122"/>
      <c r="BO58" s="2188">
        <f t="shared" si="82"/>
        <v>-31818.11</v>
      </c>
      <c r="BP58" s="2213"/>
      <c r="BQ58" s="2189">
        <v>111818.11</v>
      </c>
      <c r="BR58" s="2190">
        <f>BL58-BQ58</f>
        <v>0</v>
      </c>
    </row>
    <row r="59" spans="1:72" ht="15" customHeight="1">
      <c r="A59" s="2346"/>
      <c r="B59" s="2347" t="s">
        <v>66</v>
      </c>
      <c r="C59" s="2219"/>
      <c r="D59" s="2235"/>
      <c r="E59" s="2319">
        <f t="shared" si="65"/>
        <v>0</v>
      </c>
      <c r="F59" s="2119" t="e">
        <f t="shared" si="83"/>
        <v>#DIV/0!</v>
      </c>
      <c r="G59" s="2212">
        <v>5226</v>
      </c>
      <c r="H59" s="2212">
        <v>0</v>
      </c>
      <c r="I59" s="2180">
        <f t="shared" si="66"/>
        <v>5226</v>
      </c>
      <c r="J59" s="2119">
        <f t="shared" si="67"/>
        <v>2.2207912930267827E-3</v>
      </c>
      <c r="K59" s="2135"/>
      <c r="L59" s="2212">
        <v>4038.2799999999997</v>
      </c>
      <c r="M59" s="2212">
        <v>0</v>
      </c>
      <c r="N59" s="2181">
        <f t="shared" si="68"/>
        <v>4038.2799999999997</v>
      </c>
      <c r="O59" s="2119">
        <v>9.4128951156859566E-3</v>
      </c>
      <c r="P59" s="1976"/>
      <c r="Q59" s="2212">
        <v>2613</v>
      </c>
      <c r="R59" s="2212"/>
      <c r="S59" s="2180">
        <f t="shared" si="69"/>
        <v>2613</v>
      </c>
      <c r="T59" s="2119">
        <f t="shared" si="70"/>
        <v>1.1103956465133913E-3</v>
      </c>
      <c r="U59" s="2135"/>
      <c r="V59" s="2212"/>
      <c r="W59" s="2212"/>
      <c r="X59" s="2180">
        <f t="shared" si="71"/>
        <v>0</v>
      </c>
      <c r="Y59" s="2119">
        <f t="shared" si="72"/>
        <v>0</v>
      </c>
      <c r="Z59" s="2187"/>
      <c r="AA59" s="2212"/>
      <c r="AB59" s="2212"/>
      <c r="AC59" s="2180">
        <f t="shared" si="73"/>
        <v>0</v>
      </c>
      <c r="AD59" s="2119" t="e">
        <f t="shared" si="57"/>
        <v>#DIV/0!</v>
      </c>
      <c r="AE59" s="2239"/>
      <c r="AF59" s="2179"/>
      <c r="AG59" s="2212"/>
      <c r="AH59" s="2180">
        <f t="shared" si="74"/>
        <v>0</v>
      </c>
      <c r="AI59" s="2119">
        <f t="shared" si="58"/>
        <v>0</v>
      </c>
      <c r="AJ59" s="2120"/>
      <c r="AK59" s="2179"/>
      <c r="AL59" s="2212"/>
      <c r="AM59" s="2180">
        <f t="shared" si="75"/>
        <v>0</v>
      </c>
      <c r="AN59" s="2119">
        <f t="shared" si="59"/>
        <v>0</v>
      </c>
      <c r="AO59" s="2120"/>
      <c r="AP59" s="2179"/>
      <c r="AQ59" s="2212"/>
      <c r="AR59" s="2180">
        <f t="shared" si="76"/>
        <v>0</v>
      </c>
      <c r="AS59" s="2119">
        <f t="shared" si="60"/>
        <v>0</v>
      </c>
      <c r="AT59" s="2120"/>
      <c r="AU59" s="2179"/>
      <c r="AV59" s="2212"/>
      <c r="AW59" s="2180">
        <f t="shared" si="77"/>
        <v>0</v>
      </c>
      <c r="AX59" s="2119">
        <f t="shared" si="61"/>
        <v>0</v>
      </c>
      <c r="AY59" s="2120"/>
      <c r="AZ59" s="2179"/>
      <c r="BA59" s="2212"/>
      <c r="BB59" s="2180">
        <f t="shared" si="78"/>
        <v>0</v>
      </c>
      <c r="BC59" s="2119">
        <f t="shared" si="62"/>
        <v>0</v>
      </c>
      <c r="BD59" s="2120"/>
      <c r="BE59" s="2179"/>
      <c r="BF59" s="2212"/>
      <c r="BG59" s="2180">
        <f t="shared" si="79"/>
        <v>0</v>
      </c>
      <c r="BH59" s="2119">
        <f t="shared" si="63"/>
        <v>0</v>
      </c>
      <c r="BI59" s="2120"/>
      <c r="BJ59" s="2181">
        <f t="shared" si="80"/>
        <v>6651.28</v>
      </c>
      <c r="BK59" s="2181">
        <f t="shared" si="80"/>
        <v>0</v>
      </c>
      <c r="BL59" s="2180">
        <f t="shared" si="81"/>
        <v>6651.28</v>
      </c>
      <c r="BM59" s="2119">
        <f t="shared" si="64"/>
        <v>1.1764208583047466E-3</v>
      </c>
      <c r="BN59" s="2122"/>
      <c r="BO59" s="2188">
        <f t="shared" si="82"/>
        <v>-1425.2799999999997</v>
      </c>
      <c r="BP59" s="2213"/>
      <c r="BQ59" s="2189">
        <v>6651.28</v>
      </c>
      <c r="BR59" s="2190">
        <f>BL59-BQ59</f>
        <v>0</v>
      </c>
    </row>
    <row r="60" spans="1:72" ht="15" customHeight="1">
      <c r="A60" s="2346"/>
      <c r="B60" s="2347" t="s">
        <v>65</v>
      </c>
      <c r="C60" s="2219"/>
      <c r="D60" s="2235"/>
      <c r="E60" s="2319">
        <f t="shared" si="65"/>
        <v>0</v>
      </c>
      <c r="F60" s="2119" t="e">
        <f t="shared" si="83"/>
        <v>#DIV/0!</v>
      </c>
      <c r="G60" s="2212">
        <v>5896</v>
      </c>
      <c r="H60" s="2212">
        <v>0</v>
      </c>
      <c r="I60" s="2180">
        <f t="shared" si="66"/>
        <v>5896</v>
      </c>
      <c r="J60" s="2119">
        <f t="shared" si="67"/>
        <v>2.5055081254661141E-3</v>
      </c>
      <c r="K60" s="2135"/>
      <c r="L60" s="2212">
        <v>4556</v>
      </c>
      <c r="M60" s="2212">
        <v>0</v>
      </c>
      <c r="N60" s="2181">
        <f t="shared" si="68"/>
        <v>4556</v>
      </c>
      <c r="O60" s="2119">
        <v>1.0619657415301865E-2</v>
      </c>
      <c r="P60" s="1976"/>
      <c r="Q60" s="2212">
        <v>2948</v>
      </c>
      <c r="R60" s="2212"/>
      <c r="S60" s="2180">
        <f t="shared" si="69"/>
        <v>2948</v>
      </c>
      <c r="T60" s="2119">
        <f t="shared" si="70"/>
        <v>1.2527540627330571E-3</v>
      </c>
      <c r="U60" s="2135"/>
      <c r="V60" s="2212"/>
      <c r="W60" s="2212"/>
      <c r="X60" s="2180">
        <f t="shared" si="71"/>
        <v>0</v>
      </c>
      <c r="Y60" s="2119">
        <f t="shared" si="72"/>
        <v>0</v>
      </c>
      <c r="Z60" s="2187"/>
      <c r="AA60" s="2212"/>
      <c r="AB60" s="2212"/>
      <c r="AC60" s="2180">
        <f t="shared" si="73"/>
        <v>0</v>
      </c>
      <c r="AD60" s="2119" t="e">
        <f t="shared" si="57"/>
        <v>#DIV/0!</v>
      </c>
      <c r="AE60" s="2239"/>
      <c r="AF60" s="2179"/>
      <c r="AG60" s="2212"/>
      <c r="AH60" s="2180">
        <f t="shared" si="74"/>
        <v>0</v>
      </c>
      <c r="AI60" s="2119">
        <f t="shared" si="58"/>
        <v>0</v>
      </c>
      <c r="AJ60" s="2120"/>
      <c r="AK60" s="2179"/>
      <c r="AL60" s="2212"/>
      <c r="AM60" s="2180">
        <f t="shared" si="75"/>
        <v>0</v>
      </c>
      <c r="AN60" s="2119">
        <f t="shared" si="59"/>
        <v>0</v>
      </c>
      <c r="AO60" s="2120"/>
      <c r="AP60" s="2179"/>
      <c r="AQ60" s="2212"/>
      <c r="AR60" s="2180">
        <f t="shared" si="76"/>
        <v>0</v>
      </c>
      <c r="AS60" s="2119">
        <f t="shared" si="60"/>
        <v>0</v>
      </c>
      <c r="AT60" s="2120"/>
      <c r="AU60" s="2179"/>
      <c r="AV60" s="2212"/>
      <c r="AW60" s="2180">
        <f t="shared" si="77"/>
        <v>0</v>
      </c>
      <c r="AX60" s="2119">
        <f t="shared" si="61"/>
        <v>0</v>
      </c>
      <c r="AY60" s="2120"/>
      <c r="AZ60" s="2179"/>
      <c r="BA60" s="2212"/>
      <c r="BB60" s="2180">
        <f t="shared" si="78"/>
        <v>0</v>
      </c>
      <c r="BC60" s="2119">
        <f t="shared" si="62"/>
        <v>0</v>
      </c>
      <c r="BD60" s="2120"/>
      <c r="BE60" s="2179"/>
      <c r="BF60" s="2212"/>
      <c r="BG60" s="2180">
        <f t="shared" si="79"/>
        <v>0</v>
      </c>
      <c r="BH60" s="2119">
        <f t="shared" si="63"/>
        <v>0</v>
      </c>
      <c r="BI60" s="2120"/>
      <c r="BJ60" s="2181">
        <f t="shared" si="80"/>
        <v>7504</v>
      </c>
      <c r="BK60" s="2181">
        <f t="shared" si="80"/>
        <v>0</v>
      </c>
      <c r="BL60" s="2180">
        <f t="shared" si="81"/>
        <v>7504</v>
      </c>
      <c r="BM60" s="2119">
        <f t="shared" si="64"/>
        <v>1.3272425940148089E-3</v>
      </c>
      <c r="BN60" s="2122"/>
      <c r="BO60" s="2188">
        <f t="shared" si="82"/>
        <v>-1608</v>
      </c>
      <c r="BP60" s="2213"/>
      <c r="BQ60" s="2189">
        <v>7504</v>
      </c>
      <c r="BR60" s="2190">
        <f>BL60-BQ60</f>
        <v>0</v>
      </c>
    </row>
    <row r="61" spans="1:72" ht="15" customHeight="1">
      <c r="A61" s="2346"/>
      <c r="B61" s="2347" t="s">
        <v>32</v>
      </c>
      <c r="C61" s="2219"/>
      <c r="D61" s="2235"/>
      <c r="E61" s="2319">
        <f t="shared" si="65"/>
        <v>0</v>
      </c>
      <c r="F61" s="2119" t="e">
        <f t="shared" si="83"/>
        <v>#DIV/0!</v>
      </c>
      <c r="G61" s="2212"/>
      <c r="H61" s="2212"/>
      <c r="I61" s="2180">
        <f t="shared" si="66"/>
        <v>0</v>
      </c>
      <c r="J61" s="2119">
        <f t="shared" si="67"/>
        <v>0</v>
      </c>
      <c r="K61" s="2135"/>
      <c r="L61" s="2212">
        <v>0</v>
      </c>
      <c r="M61" s="2212">
        <v>0</v>
      </c>
      <c r="N61" s="2181">
        <f t="shared" si="68"/>
        <v>0</v>
      </c>
      <c r="O61" s="2119">
        <v>0</v>
      </c>
      <c r="P61" s="1976"/>
      <c r="Q61" s="2212"/>
      <c r="R61" s="2212"/>
      <c r="S61" s="2180">
        <f t="shared" si="69"/>
        <v>0</v>
      </c>
      <c r="T61" s="2119">
        <f t="shared" si="70"/>
        <v>0</v>
      </c>
      <c r="U61" s="2135"/>
      <c r="V61" s="2212"/>
      <c r="W61" s="2212"/>
      <c r="X61" s="2180">
        <f t="shared" si="71"/>
        <v>0</v>
      </c>
      <c r="Y61" s="2119">
        <f t="shared" si="72"/>
        <v>0</v>
      </c>
      <c r="Z61" s="2187"/>
      <c r="AA61" s="2212"/>
      <c r="AB61" s="2212"/>
      <c r="AC61" s="2180">
        <f t="shared" si="73"/>
        <v>0</v>
      </c>
      <c r="AD61" s="2119" t="e">
        <f t="shared" si="57"/>
        <v>#DIV/0!</v>
      </c>
      <c r="AE61" s="2239"/>
      <c r="AF61" s="2179"/>
      <c r="AG61" s="2212"/>
      <c r="AH61" s="2180">
        <f t="shared" si="74"/>
        <v>0</v>
      </c>
      <c r="AI61" s="2119">
        <f t="shared" si="58"/>
        <v>0</v>
      </c>
      <c r="AJ61" s="2120"/>
      <c r="AK61" s="2179"/>
      <c r="AL61" s="2212"/>
      <c r="AM61" s="2180">
        <f t="shared" si="75"/>
        <v>0</v>
      </c>
      <c r="AN61" s="2119">
        <f t="shared" si="59"/>
        <v>0</v>
      </c>
      <c r="AO61" s="2120"/>
      <c r="AP61" s="2179"/>
      <c r="AQ61" s="2212"/>
      <c r="AR61" s="2180">
        <f t="shared" si="76"/>
        <v>0</v>
      </c>
      <c r="AS61" s="2119">
        <f t="shared" si="60"/>
        <v>0</v>
      </c>
      <c r="AT61" s="2120"/>
      <c r="AU61" s="2179"/>
      <c r="AV61" s="2212"/>
      <c r="AW61" s="2180">
        <f t="shared" si="77"/>
        <v>0</v>
      </c>
      <c r="AX61" s="2119">
        <f t="shared" si="61"/>
        <v>0</v>
      </c>
      <c r="AY61" s="2120"/>
      <c r="AZ61" s="2179"/>
      <c r="BA61" s="2212"/>
      <c r="BB61" s="2180">
        <f t="shared" si="78"/>
        <v>0</v>
      </c>
      <c r="BC61" s="2119">
        <f t="shared" si="62"/>
        <v>0</v>
      </c>
      <c r="BD61" s="2120"/>
      <c r="BE61" s="2179"/>
      <c r="BF61" s="2212"/>
      <c r="BG61" s="2180">
        <f t="shared" si="79"/>
        <v>0</v>
      </c>
      <c r="BH61" s="2119">
        <f t="shared" si="63"/>
        <v>0</v>
      </c>
      <c r="BI61" s="2120"/>
      <c r="BJ61" s="2181">
        <f t="shared" si="80"/>
        <v>0</v>
      </c>
      <c r="BK61" s="2181">
        <f t="shared" si="80"/>
        <v>0</v>
      </c>
      <c r="BL61" s="2180">
        <f t="shared" si="81"/>
        <v>0</v>
      </c>
      <c r="BM61" s="2119">
        <f t="shared" si="64"/>
        <v>0</v>
      </c>
      <c r="BN61" s="2122"/>
      <c r="BO61" s="2188">
        <f t="shared" si="82"/>
        <v>0</v>
      </c>
      <c r="BP61" s="2213"/>
      <c r="BR61" s="2228"/>
    </row>
    <row r="62" spans="1:72" ht="15" customHeight="1">
      <c r="A62" s="2346"/>
      <c r="B62" s="2347" t="s">
        <v>33</v>
      </c>
      <c r="C62" s="2348"/>
      <c r="D62" s="2235"/>
      <c r="E62" s="2319">
        <f t="shared" si="65"/>
        <v>0</v>
      </c>
      <c r="F62" s="2119" t="e">
        <f t="shared" si="83"/>
        <v>#DIV/0!</v>
      </c>
      <c r="G62" s="2212"/>
      <c r="H62" s="2212"/>
      <c r="I62" s="2180">
        <f t="shared" si="66"/>
        <v>0</v>
      </c>
      <c r="J62" s="2119">
        <f t="shared" si="67"/>
        <v>0</v>
      </c>
      <c r="K62" s="2135"/>
      <c r="L62" s="2212">
        <v>0</v>
      </c>
      <c r="M62" s="2212">
        <v>435</v>
      </c>
      <c r="N62" s="2181">
        <f t="shared" si="68"/>
        <v>435</v>
      </c>
      <c r="O62" s="2119">
        <v>1.0139488533047216E-3</v>
      </c>
      <c r="P62" s="1976"/>
      <c r="Q62" s="2212"/>
      <c r="R62" s="2212"/>
      <c r="S62" s="2180">
        <f t="shared" si="69"/>
        <v>0</v>
      </c>
      <c r="T62" s="2119">
        <f t="shared" si="70"/>
        <v>0</v>
      </c>
      <c r="U62" s="2135"/>
      <c r="V62" s="2212"/>
      <c r="W62" s="2212"/>
      <c r="X62" s="2180">
        <f t="shared" si="71"/>
        <v>0</v>
      </c>
      <c r="Y62" s="2119">
        <f t="shared" si="72"/>
        <v>0</v>
      </c>
      <c r="Z62" s="2187"/>
      <c r="AA62" s="2212"/>
      <c r="AB62" s="2212"/>
      <c r="AC62" s="2180">
        <f t="shared" si="73"/>
        <v>0</v>
      </c>
      <c r="AD62" s="2119" t="e">
        <f t="shared" si="57"/>
        <v>#DIV/0!</v>
      </c>
      <c r="AE62" s="2239"/>
      <c r="AF62" s="2179"/>
      <c r="AG62" s="2212"/>
      <c r="AH62" s="2180">
        <f t="shared" si="74"/>
        <v>0</v>
      </c>
      <c r="AI62" s="2119">
        <f t="shared" si="58"/>
        <v>0</v>
      </c>
      <c r="AJ62" s="2120"/>
      <c r="AK62" s="2179"/>
      <c r="AL62" s="2212"/>
      <c r="AM62" s="2180">
        <f t="shared" si="75"/>
        <v>0</v>
      </c>
      <c r="AN62" s="2119">
        <f t="shared" si="59"/>
        <v>0</v>
      </c>
      <c r="AO62" s="2120"/>
      <c r="AP62" s="2179"/>
      <c r="AQ62" s="2212"/>
      <c r="AR62" s="2180">
        <f t="shared" si="76"/>
        <v>0</v>
      </c>
      <c r="AS62" s="2119">
        <f t="shared" si="60"/>
        <v>0</v>
      </c>
      <c r="AT62" s="2120"/>
      <c r="AU62" s="2179"/>
      <c r="AV62" s="2212"/>
      <c r="AW62" s="2180">
        <f t="shared" si="77"/>
        <v>0</v>
      </c>
      <c r="AX62" s="2119">
        <f t="shared" si="61"/>
        <v>0</v>
      </c>
      <c r="AY62" s="2120"/>
      <c r="AZ62" s="2179"/>
      <c r="BA62" s="2212"/>
      <c r="BB62" s="2180">
        <f t="shared" si="78"/>
        <v>0</v>
      </c>
      <c r="BC62" s="2119">
        <f t="shared" si="62"/>
        <v>0</v>
      </c>
      <c r="BD62" s="2120"/>
      <c r="BE62" s="2179"/>
      <c r="BF62" s="2212"/>
      <c r="BG62" s="2180">
        <f t="shared" si="79"/>
        <v>0</v>
      </c>
      <c r="BH62" s="2119">
        <f t="shared" si="63"/>
        <v>0</v>
      </c>
      <c r="BI62" s="2120"/>
      <c r="BJ62" s="2181">
        <f t="shared" si="80"/>
        <v>0</v>
      </c>
      <c r="BK62" s="2181">
        <f t="shared" si="80"/>
        <v>435</v>
      </c>
      <c r="BL62" s="2180">
        <f t="shared" si="81"/>
        <v>435</v>
      </c>
      <c r="BM62" s="2119">
        <f t="shared" si="64"/>
        <v>7.69390363001655E-5</v>
      </c>
      <c r="BN62" s="2122"/>
      <c r="BO62" s="2188">
        <f t="shared" si="82"/>
        <v>-435</v>
      </c>
      <c r="BP62" s="2213"/>
      <c r="BQ62" s="2189">
        <v>435</v>
      </c>
      <c r="BR62" s="2190">
        <f>BL62-BQ62</f>
        <v>0</v>
      </c>
    </row>
    <row r="63" spans="1:72" ht="15" customHeight="1">
      <c r="A63" s="2346"/>
      <c r="B63" s="2347" t="s">
        <v>35</v>
      </c>
      <c r="C63" s="2348"/>
      <c r="D63" s="2235"/>
      <c r="E63" s="2319">
        <f t="shared" si="65"/>
        <v>0</v>
      </c>
      <c r="F63" s="2119" t="e">
        <f t="shared" si="83"/>
        <v>#DIV/0!</v>
      </c>
      <c r="G63" s="2181"/>
      <c r="H63" s="2212"/>
      <c r="I63" s="2180">
        <f t="shared" si="66"/>
        <v>0</v>
      </c>
      <c r="J63" s="2119">
        <f t="shared" si="67"/>
        <v>0</v>
      </c>
      <c r="K63" s="2135"/>
      <c r="L63" s="2212">
        <v>12573.883760000001</v>
      </c>
      <c r="M63" s="2212">
        <v>721</v>
      </c>
      <c r="N63" s="2181">
        <f t="shared" si="68"/>
        <v>13294.883760000001</v>
      </c>
      <c r="O63" s="2119">
        <v>3.0989269294877164E-2</v>
      </c>
      <c r="P63" s="1976"/>
      <c r="Q63" s="2181">
        <v>5378.3</v>
      </c>
      <c r="R63" s="2212"/>
      <c r="S63" s="2180">
        <f t="shared" si="69"/>
        <v>5378.3</v>
      </c>
      <c r="T63" s="2119">
        <f t="shared" si="70"/>
        <v>2.2855112535947087E-3</v>
      </c>
      <c r="U63" s="2135" t="s">
        <v>979</v>
      </c>
      <c r="V63" s="2181">
        <v>4160</v>
      </c>
      <c r="W63" s="2212"/>
      <c r="X63" s="2180">
        <f t="shared" si="71"/>
        <v>4160</v>
      </c>
      <c r="Y63" s="2119">
        <f t="shared" si="72"/>
        <v>1.7677940641009217E-3</v>
      </c>
      <c r="Z63" s="2187" t="s">
        <v>1045</v>
      </c>
      <c r="AA63" s="2181"/>
      <c r="AB63" s="2212"/>
      <c r="AC63" s="2180">
        <f t="shared" si="73"/>
        <v>0</v>
      </c>
      <c r="AD63" s="2119" t="e">
        <f t="shared" si="57"/>
        <v>#DIV/0!</v>
      </c>
      <c r="AE63" s="2088"/>
      <c r="AF63" s="2184"/>
      <c r="AG63" s="2212"/>
      <c r="AH63" s="2180">
        <f t="shared" si="74"/>
        <v>0</v>
      </c>
      <c r="AI63" s="2119">
        <f t="shared" si="58"/>
        <v>0</v>
      </c>
      <c r="AJ63" s="2131"/>
      <c r="AK63" s="2184"/>
      <c r="AL63" s="2212"/>
      <c r="AM63" s="2180">
        <f t="shared" si="75"/>
        <v>0</v>
      </c>
      <c r="AN63" s="2119">
        <f t="shared" si="59"/>
        <v>0</v>
      </c>
      <c r="AO63" s="2131"/>
      <c r="AP63" s="2184"/>
      <c r="AQ63" s="2212"/>
      <c r="AR63" s="2180">
        <f t="shared" si="76"/>
        <v>0</v>
      </c>
      <c r="AS63" s="2119">
        <f t="shared" si="60"/>
        <v>0</v>
      </c>
      <c r="AT63" s="2131"/>
      <c r="AU63" s="2184"/>
      <c r="AV63" s="2212"/>
      <c r="AW63" s="2180">
        <f t="shared" si="77"/>
        <v>0</v>
      </c>
      <c r="AX63" s="2119">
        <f t="shared" si="61"/>
        <v>0</v>
      </c>
      <c r="AY63" s="2131"/>
      <c r="AZ63" s="2184"/>
      <c r="BA63" s="2212"/>
      <c r="BB63" s="2180">
        <f t="shared" si="78"/>
        <v>0</v>
      </c>
      <c r="BC63" s="2119">
        <f t="shared" si="62"/>
        <v>0</v>
      </c>
      <c r="BD63" s="2131"/>
      <c r="BE63" s="2184"/>
      <c r="BF63" s="2212"/>
      <c r="BG63" s="2180">
        <f t="shared" si="79"/>
        <v>0</v>
      </c>
      <c r="BH63" s="2119">
        <f t="shared" si="63"/>
        <v>0</v>
      </c>
      <c r="BI63" s="2131"/>
      <c r="BJ63" s="2181">
        <f t="shared" si="80"/>
        <v>22112.18376</v>
      </c>
      <c r="BK63" s="2181">
        <f t="shared" si="80"/>
        <v>721</v>
      </c>
      <c r="BL63" s="2180">
        <f t="shared" si="81"/>
        <v>22833.18376</v>
      </c>
      <c r="BM63" s="2119">
        <f t="shared" si="64"/>
        <v>4.0385359865723891E-3</v>
      </c>
      <c r="BN63" s="2122"/>
      <c r="BO63" s="2188">
        <f t="shared" si="82"/>
        <v>-22833.18376</v>
      </c>
      <c r="BP63" s="2213"/>
      <c r="BQ63" s="2189">
        <v>22833.18376</v>
      </c>
      <c r="BR63" s="2190">
        <f>BL63-BQ63</f>
        <v>0</v>
      </c>
    </row>
    <row r="64" spans="1:72" ht="15" customHeight="1">
      <c r="A64" s="2346"/>
      <c r="B64" s="2347" t="s">
        <v>63</v>
      </c>
      <c r="C64" s="2348"/>
      <c r="D64" s="2235"/>
      <c r="E64" s="2319">
        <f t="shared" si="65"/>
        <v>0</v>
      </c>
      <c r="F64" s="2119" t="e">
        <f t="shared" si="83"/>
        <v>#DIV/0!</v>
      </c>
      <c r="G64" s="2212"/>
      <c r="H64" s="2212"/>
      <c r="I64" s="2180">
        <f t="shared" si="66"/>
        <v>0</v>
      </c>
      <c r="J64" s="2119">
        <f t="shared" si="67"/>
        <v>0</v>
      </c>
      <c r="K64" s="2135"/>
      <c r="L64" s="2212">
        <v>0</v>
      </c>
      <c r="M64" s="2212">
        <v>0</v>
      </c>
      <c r="N64" s="2181">
        <f t="shared" si="68"/>
        <v>0</v>
      </c>
      <c r="O64" s="2119">
        <v>0</v>
      </c>
      <c r="P64" s="1976"/>
      <c r="Q64" s="2212"/>
      <c r="R64" s="2212"/>
      <c r="S64" s="2180">
        <f t="shared" si="69"/>
        <v>0</v>
      </c>
      <c r="T64" s="2119">
        <f t="shared" si="70"/>
        <v>0</v>
      </c>
      <c r="U64" s="2135"/>
      <c r="V64" s="2212"/>
      <c r="W64" s="2212"/>
      <c r="X64" s="2180">
        <f t="shared" si="71"/>
        <v>0</v>
      </c>
      <c r="Y64" s="2119">
        <f t="shared" si="72"/>
        <v>0</v>
      </c>
      <c r="Z64" s="2187"/>
      <c r="AA64" s="2212"/>
      <c r="AB64" s="2212"/>
      <c r="AC64" s="2180">
        <f t="shared" si="73"/>
        <v>0</v>
      </c>
      <c r="AD64" s="2119" t="e">
        <f t="shared" si="57"/>
        <v>#DIV/0!</v>
      </c>
      <c r="AE64" s="2239"/>
      <c r="AF64" s="2179"/>
      <c r="AG64" s="2212"/>
      <c r="AH64" s="2180">
        <f t="shared" si="74"/>
        <v>0</v>
      </c>
      <c r="AI64" s="2119">
        <f t="shared" si="58"/>
        <v>0</v>
      </c>
      <c r="AJ64" s="2120"/>
      <c r="AK64" s="2179"/>
      <c r="AL64" s="2212"/>
      <c r="AM64" s="2180">
        <f t="shared" si="75"/>
        <v>0</v>
      </c>
      <c r="AN64" s="2119">
        <f t="shared" si="59"/>
        <v>0</v>
      </c>
      <c r="AO64" s="2120"/>
      <c r="AP64" s="2179"/>
      <c r="AQ64" s="2212"/>
      <c r="AR64" s="2180">
        <f t="shared" si="76"/>
        <v>0</v>
      </c>
      <c r="AS64" s="2119">
        <f t="shared" si="60"/>
        <v>0</v>
      </c>
      <c r="AT64" s="2120"/>
      <c r="AU64" s="2179"/>
      <c r="AV64" s="2212"/>
      <c r="AW64" s="2180">
        <f t="shared" si="77"/>
        <v>0</v>
      </c>
      <c r="AX64" s="2119">
        <f t="shared" si="61"/>
        <v>0</v>
      </c>
      <c r="AY64" s="2120"/>
      <c r="AZ64" s="2179"/>
      <c r="BA64" s="2212"/>
      <c r="BB64" s="2180">
        <f t="shared" si="78"/>
        <v>0</v>
      </c>
      <c r="BC64" s="2119">
        <f t="shared" si="62"/>
        <v>0</v>
      </c>
      <c r="BD64" s="2120"/>
      <c r="BE64" s="2179"/>
      <c r="BF64" s="2212"/>
      <c r="BG64" s="2180">
        <f t="shared" si="79"/>
        <v>0</v>
      </c>
      <c r="BH64" s="2119">
        <f t="shared" si="63"/>
        <v>0</v>
      </c>
      <c r="BI64" s="2120"/>
      <c r="BJ64" s="2181">
        <f t="shared" si="80"/>
        <v>0</v>
      </c>
      <c r="BK64" s="2181">
        <f t="shared" si="80"/>
        <v>0</v>
      </c>
      <c r="BL64" s="2180">
        <f t="shared" si="81"/>
        <v>0</v>
      </c>
      <c r="BM64" s="2119">
        <f t="shared" si="64"/>
        <v>0</v>
      </c>
      <c r="BN64" s="2122"/>
      <c r="BO64" s="2188">
        <f t="shared" si="82"/>
        <v>0</v>
      </c>
      <c r="BP64" s="2213"/>
      <c r="BR64" s="2228"/>
    </row>
    <row r="65" spans="1:72" ht="29.4" customHeight="1">
      <c r="A65" s="2346"/>
      <c r="B65" s="2347" t="s">
        <v>36</v>
      </c>
      <c r="C65" s="2348"/>
      <c r="D65" s="2235"/>
      <c r="E65" s="2319">
        <f t="shared" si="65"/>
        <v>0</v>
      </c>
      <c r="F65" s="2119" t="e">
        <f t="shared" si="83"/>
        <v>#DIV/0!</v>
      </c>
      <c r="G65" s="2181"/>
      <c r="H65" s="2181"/>
      <c r="I65" s="2180">
        <f t="shared" si="66"/>
        <v>0</v>
      </c>
      <c r="J65" s="2119">
        <f t="shared" si="67"/>
        <v>0</v>
      </c>
      <c r="K65" s="2135"/>
      <c r="L65" s="2181">
        <v>12789.984</v>
      </c>
      <c r="M65" s="2181">
        <v>2000</v>
      </c>
      <c r="N65" s="2181">
        <f t="shared" si="68"/>
        <v>14789.984</v>
      </c>
      <c r="O65" s="2119">
        <v>3.4474223717690065E-2</v>
      </c>
      <c r="P65" s="1976"/>
      <c r="Q65" s="2181">
        <f>3900+800</f>
        <v>4700</v>
      </c>
      <c r="R65" s="2181">
        <v>1250</v>
      </c>
      <c r="S65" s="2180">
        <f t="shared" si="69"/>
        <v>5950</v>
      </c>
      <c r="T65" s="2119">
        <f t="shared" si="70"/>
        <v>2.5284554522597316E-3</v>
      </c>
      <c r="U65" s="2135" t="s">
        <v>982</v>
      </c>
      <c r="V65" s="2181">
        <v>7840</v>
      </c>
      <c r="W65" s="2181"/>
      <c r="X65" s="2180">
        <f t="shared" si="71"/>
        <v>7840</v>
      </c>
      <c r="Y65" s="2119">
        <f t="shared" si="72"/>
        <v>3.3316118900363523E-3</v>
      </c>
      <c r="Z65" s="2187" t="s">
        <v>1038</v>
      </c>
      <c r="AA65" s="2181"/>
      <c r="AB65" s="2181"/>
      <c r="AC65" s="2180">
        <f t="shared" si="73"/>
        <v>0</v>
      </c>
      <c r="AD65" s="2119" t="e">
        <f t="shared" si="57"/>
        <v>#DIV/0!</v>
      </c>
      <c r="AE65" s="2239"/>
      <c r="AF65" s="2184"/>
      <c r="AG65" s="2181"/>
      <c r="AH65" s="2180">
        <f t="shared" si="74"/>
        <v>0</v>
      </c>
      <c r="AI65" s="2119">
        <f t="shared" si="58"/>
        <v>0</v>
      </c>
      <c r="AJ65" s="2120"/>
      <c r="AK65" s="2184"/>
      <c r="AL65" s="2181"/>
      <c r="AM65" s="2180">
        <f t="shared" si="75"/>
        <v>0</v>
      </c>
      <c r="AN65" s="2119">
        <f t="shared" si="59"/>
        <v>0</v>
      </c>
      <c r="AO65" s="2120"/>
      <c r="AP65" s="2184"/>
      <c r="AQ65" s="2181"/>
      <c r="AR65" s="2180">
        <f t="shared" si="76"/>
        <v>0</v>
      </c>
      <c r="AS65" s="2119">
        <f t="shared" si="60"/>
        <v>0</v>
      </c>
      <c r="AT65" s="2120"/>
      <c r="AU65" s="2184"/>
      <c r="AV65" s="2181"/>
      <c r="AW65" s="2180">
        <f t="shared" si="77"/>
        <v>0</v>
      </c>
      <c r="AX65" s="2119">
        <f t="shared" si="61"/>
        <v>0</v>
      </c>
      <c r="AY65" s="2120"/>
      <c r="AZ65" s="2184"/>
      <c r="BA65" s="2181"/>
      <c r="BB65" s="2180">
        <f t="shared" si="78"/>
        <v>0</v>
      </c>
      <c r="BC65" s="2119">
        <f t="shared" si="62"/>
        <v>0</v>
      </c>
      <c r="BD65" s="2120"/>
      <c r="BE65" s="2184"/>
      <c r="BF65" s="2181"/>
      <c r="BG65" s="2180">
        <f t="shared" si="79"/>
        <v>0</v>
      </c>
      <c r="BH65" s="2119">
        <f t="shared" si="63"/>
        <v>0</v>
      </c>
      <c r="BI65" s="2120"/>
      <c r="BJ65" s="2181">
        <f t="shared" si="80"/>
        <v>25329.984</v>
      </c>
      <c r="BK65" s="2181">
        <f t="shared" si="80"/>
        <v>3250</v>
      </c>
      <c r="BL65" s="2180">
        <f t="shared" si="81"/>
        <v>28579.984</v>
      </c>
      <c r="BM65" s="2119">
        <f t="shared" si="64"/>
        <v>5.0549802906532165E-3</v>
      </c>
      <c r="BN65" s="2122"/>
      <c r="BO65" s="2188">
        <f t="shared" si="82"/>
        <v>-28579.984</v>
      </c>
      <c r="BP65" s="2213"/>
      <c r="BQ65" s="2189">
        <v>28579.984</v>
      </c>
      <c r="BR65" s="2190">
        <f>BL65-BQ65</f>
        <v>0</v>
      </c>
    </row>
    <row r="66" spans="1:72" s="2192" customFormat="1" ht="15" customHeight="1">
      <c r="A66" s="2346"/>
      <c r="B66" s="2347" t="s">
        <v>37</v>
      </c>
      <c r="C66" s="2348"/>
      <c r="D66" s="2235"/>
      <c r="E66" s="2319">
        <f t="shared" si="65"/>
        <v>0</v>
      </c>
      <c r="F66" s="2119" t="e">
        <f t="shared" si="83"/>
        <v>#DIV/0!</v>
      </c>
      <c r="G66" s="2181"/>
      <c r="H66" s="2181"/>
      <c r="I66" s="2180">
        <f t="shared" si="66"/>
        <v>0</v>
      </c>
      <c r="J66" s="2119">
        <f t="shared" si="67"/>
        <v>0</v>
      </c>
      <c r="K66" s="2135"/>
      <c r="L66" s="2181">
        <v>0</v>
      </c>
      <c r="M66" s="2181">
        <v>0</v>
      </c>
      <c r="N66" s="2181">
        <f t="shared" si="68"/>
        <v>0</v>
      </c>
      <c r="O66" s="2119">
        <v>0</v>
      </c>
      <c r="P66" s="1976"/>
      <c r="Q66" s="2181"/>
      <c r="R66" s="2181"/>
      <c r="S66" s="2180">
        <f t="shared" si="69"/>
        <v>0</v>
      </c>
      <c r="T66" s="2119">
        <f t="shared" si="70"/>
        <v>0</v>
      </c>
      <c r="U66" s="2135"/>
      <c r="V66" s="2181"/>
      <c r="W66" s="2181"/>
      <c r="X66" s="2180">
        <f t="shared" si="71"/>
        <v>0</v>
      </c>
      <c r="Y66" s="2119">
        <f t="shared" si="72"/>
        <v>0</v>
      </c>
      <c r="Z66" s="2187"/>
      <c r="AA66" s="2181"/>
      <c r="AB66" s="2181"/>
      <c r="AC66" s="2180">
        <f t="shared" si="73"/>
        <v>0</v>
      </c>
      <c r="AD66" s="2119" t="e">
        <f t="shared" si="57"/>
        <v>#DIV/0!</v>
      </c>
      <c r="AE66" s="2239"/>
      <c r="AF66" s="2184"/>
      <c r="AG66" s="2181"/>
      <c r="AH66" s="2180">
        <f t="shared" si="74"/>
        <v>0</v>
      </c>
      <c r="AI66" s="2119">
        <f t="shared" si="58"/>
        <v>0</v>
      </c>
      <c r="AJ66" s="2120"/>
      <c r="AK66" s="2184"/>
      <c r="AL66" s="2181"/>
      <c r="AM66" s="2180">
        <f t="shared" si="75"/>
        <v>0</v>
      </c>
      <c r="AN66" s="2119">
        <f t="shared" si="59"/>
        <v>0</v>
      </c>
      <c r="AO66" s="2120"/>
      <c r="AP66" s="2184"/>
      <c r="AQ66" s="2181"/>
      <c r="AR66" s="2180">
        <f t="shared" si="76"/>
        <v>0</v>
      </c>
      <c r="AS66" s="2119">
        <f t="shared" si="60"/>
        <v>0</v>
      </c>
      <c r="AT66" s="2120"/>
      <c r="AU66" s="2184"/>
      <c r="AV66" s="2181"/>
      <c r="AW66" s="2180">
        <f t="shared" si="77"/>
        <v>0</v>
      </c>
      <c r="AX66" s="2119">
        <f t="shared" si="61"/>
        <v>0</v>
      </c>
      <c r="AY66" s="2120"/>
      <c r="AZ66" s="2184"/>
      <c r="BA66" s="2181"/>
      <c r="BB66" s="2180">
        <f t="shared" si="78"/>
        <v>0</v>
      </c>
      <c r="BC66" s="2119">
        <f t="shared" si="62"/>
        <v>0</v>
      </c>
      <c r="BD66" s="2120"/>
      <c r="BE66" s="2184"/>
      <c r="BF66" s="2181"/>
      <c r="BG66" s="2180">
        <f t="shared" si="79"/>
        <v>0</v>
      </c>
      <c r="BH66" s="2119">
        <f t="shared" si="63"/>
        <v>0</v>
      </c>
      <c r="BI66" s="2120"/>
      <c r="BJ66" s="2181">
        <f t="shared" si="80"/>
        <v>0</v>
      </c>
      <c r="BK66" s="2181">
        <f t="shared" si="80"/>
        <v>0</v>
      </c>
      <c r="BL66" s="2180">
        <f t="shared" si="81"/>
        <v>0</v>
      </c>
      <c r="BM66" s="2119">
        <f t="shared" si="64"/>
        <v>0</v>
      </c>
      <c r="BN66" s="2122"/>
      <c r="BO66" s="2188">
        <f t="shared" si="82"/>
        <v>0</v>
      </c>
      <c r="BP66" s="2213"/>
      <c r="BQ66" s="2152"/>
      <c r="BR66" s="2228"/>
      <c r="BS66" s="2191"/>
      <c r="BT66" s="2191"/>
    </row>
    <row r="67" spans="1:72" s="2192" customFormat="1" ht="15" customHeight="1">
      <c r="A67" s="2346"/>
      <c r="B67" s="2347" t="s">
        <v>3</v>
      </c>
      <c r="C67" s="2348"/>
      <c r="D67" s="2235"/>
      <c r="E67" s="2319">
        <f t="shared" si="65"/>
        <v>0</v>
      </c>
      <c r="F67" s="2119" t="e">
        <f t="shared" si="83"/>
        <v>#DIV/0!</v>
      </c>
      <c r="G67" s="2181"/>
      <c r="H67" s="2181"/>
      <c r="I67" s="2180">
        <f t="shared" si="66"/>
        <v>0</v>
      </c>
      <c r="J67" s="2119">
        <f t="shared" si="67"/>
        <v>0</v>
      </c>
      <c r="K67" s="2135"/>
      <c r="L67" s="2181">
        <v>0</v>
      </c>
      <c r="M67" s="2181">
        <v>0</v>
      </c>
      <c r="N67" s="2181">
        <f t="shared" si="68"/>
        <v>0</v>
      </c>
      <c r="O67" s="2119">
        <v>0</v>
      </c>
      <c r="P67" s="1976"/>
      <c r="Q67" s="2181"/>
      <c r="R67" s="2181"/>
      <c r="S67" s="2180">
        <f t="shared" si="69"/>
        <v>0</v>
      </c>
      <c r="T67" s="2119">
        <f t="shared" si="70"/>
        <v>0</v>
      </c>
      <c r="U67" s="2135"/>
      <c r="V67" s="2181"/>
      <c r="W67" s="2181"/>
      <c r="X67" s="2180">
        <f t="shared" si="71"/>
        <v>0</v>
      </c>
      <c r="Y67" s="2119">
        <f t="shared" si="72"/>
        <v>0</v>
      </c>
      <c r="Z67" s="2187"/>
      <c r="AA67" s="2181"/>
      <c r="AB67" s="2181"/>
      <c r="AC67" s="2180">
        <f t="shared" si="73"/>
        <v>0</v>
      </c>
      <c r="AD67" s="2119" t="e">
        <f t="shared" si="57"/>
        <v>#DIV/0!</v>
      </c>
      <c r="AE67" s="2239"/>
      <c r="AF67" s="2184"/>
      <c r="AG67" s="2181"/>
      <c r="AH67" s="2180">
        <f t="shared" si="74"/>
        <v>0</v>
      </c>
      <c r="AI67" s="2119">
        <f t="shared" si="58"/>
        <v>0</v>
      </c>
      <c r="AJ67" s="2120"/>
      <c r="AK67" s="2184"/>
      <c r="AL67" s="2181"/>
      <c r="AM67" s="2180">
        <f t="shared" si="75"/>
        <v>0</v>
      </c>
      <c r="AN67" s="2119">
        <f t="shared" si="59"/>
        <v>0</v>
      </c>
      <c r="AO67" s="2120"/>
      <c r="AP67" s="2184"/>
      <c r="AQ67" s="2181"/>
      <c r="AR67" s="2180">
        <f t="shared" si="76"/>
        <v>0</v>
      </c>
      <c r="AS67" s="2119">
        <f t="shared" si="60"/>
        <v>0</v>
      </c>
      <c r="AT67" s="2120"/>
      <c r="AU67" s="2184"/>
      <c r="AV67" s="2181"/>
      <c r="AW67" s="2180">
        <f t="shared" si="77"/>
        <v>0</v>
      </c>
      <c r="AX67" s="2119">
        <f t="shared" si="61"/>
        <v>0</v>
      </c>
      <c r="AY67" s="2120"/>
      <c r="AZ67" s="2184"/>
      <c r="BA67" s="2181"/>
      <c r="BB67" s="2180">
        <f t="shared" si="78"/>
        <v>0</v>
      </c>
      <c r="BC67" s="2119">
        <f t="shared" si="62"/>
        <v>0</v>
      </c>
      <c r="BD67" s="2120"/>
      <c r="BE67" s="2184"/>
      <c r="BF67" s="2181"/>
      <c r="BG67" s="2180">
        <f t="shared" si="79"/>
        <v>0</v>
      </c>
      <c r="BH67" s="2119">
        <f t="shared" si="63"/>
        <v>0</v>
      </c>
      <c r="BI67" s="2120"/>
      <c r="BJ67" s="2181">
        <f t="shared" si="80"/>
        <v>0</v>
      </c>
      <c r="BK67" s="2181">
        <f t="shared" si="80"/>
        <v>0</v>
      </c>
      <c r="BL67" s="2180">
        <f t="shared" si="81"/>
        <v>0</v>
      </c>
      <c r="BM67" s="2119">
        <f t="shared" si="64"/>
        <v>0</v>
      </c>
      <c r="BN67" s="2122"/>
      <c r="BO67" s="2188">
        <f t="shared" si="82"/>
        <v>0</v>
      </c>
      <c r="BP67" s="2213"/>
      <c r="BQ67" s="2152"/>
      <c r="BR67" s="2228"/>
      <c r="BS67" s="2191"/>
      <c r="BT67" s="2191"/>
    </row>
    <row r="68" spans="1:72" s="2192" customFormat="1" ht="15" customHeight="1">
      <c r="A68" s="2346"/>
      <c r="B68" s="2347" t="s">
        <v>5</v>
      </c>
      <c r="C68" s="2348"/>
      <c r="D68" s="2235"/>
      <c r="E68" s="2319">
        <f t="shared" si="65"/>
        <v>0</v>
      </c>
      <c r="F68" s="2119" t="e">
        <f t="shared" si="83"/>
        <v>#DIV/0!</v>
      </c>
      <c r="G68" s="2181">
        <v>4000</v>
      </c>
      <c r="H68" s="2181"/>
      <c r="I68" s="2180">
        <f t="shared" si="66"/>
        <v>4000</v>
      </c>
      <c r="J68" s="2119">
        <f t="shared" si="67"/>
        <v>1.6998019847124246E-3</v>
      </c>
      <c r="K68" s="2135"/>
      <c r="L68" s="2181">
        <v>0</v>
      </c>
      <c r="M68" s="2181">
        <v>826.29</v>
      </c>
      <c r="N68" s="2181">
        <f t="shared" si="68"/>
        <v>826.29</v>
      </c>
      <c r="O68" s="2119">
        <v>1.9260133287290998E-3</v>
      </c>
      <c r="P68" s="1976"/>
      <c r="Q68" s="2181"/>
      <c r="R68" s="2181">
        <v>185</v>
      </c>
      <c r="S68" s="2180">
        <f t="shared" si="69"/>
        <v>185</v>
      </c>
      <c r="T68" s="2119">
        <f t="shared" si="70"/>
        <v>7.8615841792949642E-5</v>
      </c>
      <c r="U68" s="2135"/>
      <c r="V68" s="2181"/>
      <c r="W68" s="2181">
        <v>2262.81</v>
      </c>
      <c r="X68" s="2180">
        <f t="shared" si="71"/>
        <v>2262.81</v>
      </c>
      <c r="Y68" s="2119">
        <f t="shared" si="72"/>
        <v>9.6158223225678043E-4</v>
      </c>
      <c r="Z68" s="2120"/>
      <c r="AA68" s="2181"/>
      <c r="AB68" s="2181"/>
      <c r="AC68" s="2180">
        <f t="shared" si="73"/>
        <v>0</v>
      </c>
      <c r="AD68" s="2119" t="e">
        <f t="shared" si="57"/>
        <v>#DIV/0!</v>
      </c>
      <c r="AE68" s="2239"/>
      <c r="AF68" s="2184"/>
      <c r="AG68" s="2181"/>
      <c r="AH68" s="2180">
        <f t="shared" si="74"/>
        <v>0</v>
      </c>
      <c r="AI68" s="2119">
        <f t="shared" si="58"/>
        <v>0</v>
      </c>
      <c r="AJ68" s="2120"/>
      <c r="AK68" s="2184"/>
      <c r="AL68" s="2181"/>
      <c r="AM68" s="2180">
        <f t="shared" si="75"/>
        <v>0</v>
      </c>
      <c r="AN68" s="2119">
        <f t="shared" si="59"/>
        <v>0</v>
      </c>
      <c r="AO68" s="2120"/>
      <c r="AP68" s="2184"/>
      <c r="AQ68" s="2181"/>
      <c r="AR68" s="2180">
        <f t="shared" si="76"/>
        <v>0</v>
      </c>
      <c r="AS68" s="2119">
        <f t="shared" si="60"/>
        <v>0</v>
      </c>
      <c r="AT68" s="2120"/>
      <c r="AU68" s="2184"/>
      <c r="AV68" s="2181"/>
      <c r="AW68" s="2180">
        <f t="shared" si="77"/>
        <v>0</v>
      </c>
      <c r="AX68" s="2119">
        <f t="shared" si="61"/>
        <v>0</v>
      </c>
      <c r="AY68" s="2120"/>
      <c r="AZ68" s="2184"/>
      <c r="BA68" s="2181"/>
      <c r="BB68" s="2180">
        <f t="shared" si="78"/>
        <v>0</v>
      </c>
      <c r="BC68" s="2119">
        <f t="shared" si="62"/>
        <v>0</v>
      </c>
      <c r="BD68" s="2120"/>
      <c r="BE68" s="2184"/>
      <c r="BF68" s="2181"/>
      <c r="BG68" s="2180">
        <f t="shared" si="79"/>
        <v>0</v>
      </c>
      <c r="BH68" s="2119">
        <f t="shared" si="63"/>
        <v>0</v>
      </c>
      <c r="BI68" s="2120"/>
      <c r="BJ68" s="2181">
        <f t="shared" si="80"/>
        <v>0</v>
      </c>
      <c r="BK68" s="2181">
        <f t="shared" si="80"/>
        <v>3274.1</v>
      </c>
      <c r="BL68" s="2180">
        <f t="shared" si="81"/>
        <v>3274.1</v>
      </c>
      <c r="BM68" s="2119">
        <f t="shared" si="64"/>
        <v>5.7909447988591231E-4</v>
      </c>
      <c r="BN68" s="2122"/>
      <c r="BO68" s="2188">
        <f t="shared" si="82"/>
        <v>725.90000000000009</v>
      </c>
      <c r="BP68" s="2213"/>
      <c r="BQ68" s="2189">
        <v>3274.1</v>
      </c>
      <c r="BR68" s="2190">
        <f>BL68-BQ68</f>
        <v>0</v>
      </c>
      <c r="BS68" s="2191"/>
      <c r="BT68" s="2191"/>
    </row>
    <row r="69" spans="1:72" s="2192" customFormat="1" ht="15" customHeight="1">
      <c r="A69" s="2346"/>
      <c r="B69" s="2347" t="s">
        <v>42</v>
      </c>
      <c r="C69" s="2348"/>
      <c r="D69" s="2235"/>
      <c r="E69" s="2319">
        <f t="shared" si="65"/>
        <v>0</v>
      </c>
      <c r="F69" s="2119" t="e">
        <f t="shared" si="83"/>
        <v>#DIV/0!</v>
      </c>
      <c r="G69" s="2181">
        <v>61615.833992564993</v>
      </c>
      <c r="H69" s="2181"/>
      <c r="I69" s="2180">
        <f t="shared" si="66"/>
        <v>61615.833992564993</v>
      </c>
      <c r="J69" s="2119">
        <f t="shared" si="67"/>
        <v>2.6183679227568313E-2</v>
      </c>
      <c r="K69" s="2135"/>
      <c r="L69" s="2181">
        <v>39</v>
      </c>
      <c r="M69" s="2181">
        <v>0</v>
      </c>
      <c r="N69" s="2181">
        <f t="shared" si="68"/>
        <v>39</v>
      </c>
      <c r="O69" s="2119">
        <v>6.5009272456709611E-4</v>
      </c>
      <c r="P69" s="1976"/>
      <c r="Q69" s="2181"/>
      <c r="R69" s="2181"/>
      <c r="S69" s="2180">
        <f t="shared" si="69"/>
        <v>0</v>
      </c>
      <c r="T69" s="2119">
        <f t="shared" si="70"/>
        <v>0</v>
      </c>
      <c r="U69" s="2135"/>
      <c r="V69" s="2181"/>
      <c r="W69" s="2181"/>
      <c r="X69" s="2180">
        <f t="shared" si="71"/>
        <v>0</v>
      </c>
      <c r="Y69" s="2119">
        <f t="shared" si="72"/>
        <v>0</v>
      </c>
      <c r="Z69" s="2131"/>
      <c r="AA69" s="2181"/>
      <c r="AB69" s="2181"/>
      <c r="AC69" s="2180">
        <f t="shared" si="73"/>
        <v>0</v>
      </c>
      <c r="AD69" s="2119" t="e">
        <f t="shared" si="57"/>
        <v>#DIV/0!</v>
      </c>
      <c r="AE69" s="2088"/>
      <c r="AF69" s="2184"/>
      <c r="AG69" s="2181"/>
      <c r="AH69" s="2180">
        <f t="shared" si="74"/>
        <v>0</v>
      </c>
      <c r="AI69" s="2119">
        <f t="shared" si="58"/>
        <v>0</v>
      </c>
      <c r="AJ69" s="2131"/>
      <c r="AK69" s="2184"/>
      <c r="AL69" s="2181"/>
      <c r="AM69" s="2180">
        <f t="shared" si="75"/>
        <v>0</v>
      </c>
      <c r="AN69" s="2119">
        <f t="shared" si="59"/>
        <v>0</v>
      </c>
      <c r="AO69" s="2131"/>
      <c r="AP69" s="2184"/>
      <c r="AQ69" s="2181"/>
      <c r="AR69" s="2180">
        <f t="shared" si="76"/>
        <v>0</v>
      </c>
      <c r="AS69" s="2119">
        <f t="shared" si="60"/>
        <v>0</v>
      </c>
      <c r="AT69" s="2131"/>
      <c r="AU69" s="2184"/>
      <c r="AV69" s="2181"/>
      <c r="AW69" s="2180">
        <f t="shared" si="77"/>
        <v>0</v>
      </c>
      <c r="AX69" s="2119">
        <f t="shared" si="61"/>
        <v>0</v>
      </c>
      <c r="AY69" s="2131"/>
      <c r="AZ69" s="2184"/>
      <c r="BA69" s="2181"/>
      <c r="BB69" s="2180">
        <f t="shared" si="78"/>
        <v>0</v>
      </c>
      <c r="BC69" s="2119">
        <f t="shared" si="62"/>
        <v>0</v>
      </c>
      <c r="BD69" s="2131"/>
      <c r="BE69" s="2184"/>
      <c r="BF69" s="2181"/>
      <c r="BG69" s="2180">
        <f t="shared" si="79"/>
        <v>0</v>
      </c>
      <c r="BH69" s="2119">
        <f t="shared" si="63"/>
        <v>0</v>
      </c>
      <c r="BI69" s="2131"/>
      <c r="BJ69" s="2181">
        <f t="shared" si="80"/>
        <v>39</v>
      </c>
      <c r="BK69" s="2181">
        <f t="shared" si="80"/>
        <v>0</v>
      </c>
      <c r="BL69" s="2180">
        <f t="shared" si="81"/>
        <v>39</v>
      </c>
      <c r="BM69" s="2119">
        <f t="shared" si="64"/>
        <v>6.897982564842424E-6</v>
      </c>
      <c r="BN69" s="2122"/>
      <c r="BO69" s="2188">
        <f t="shared" si="82"/>
        <v>61576.833992564993</v>
      </c>
      <c r="BP69" s="2213"/>
      <c r="BQ69" s="2189">
        <v>39</v>
      </c>
      <c r="BR69" s="2190">
        <f>BL69-BQ69</f>
        <v>0</v>
      </c>
      <c r="BS69" s="2191"/>
      <c r="BT69" s="2191"/>
    </row>
    <row r="70" spans="1:72" s="2192" customFormat="1" ht="15" customHeight="1">
      <c r="A70" s="2346"/>
      <c r="B70" s="2347" t="s">
        <v>6</v>
      </c>
      <c r="C70" s="2348"/>
      <c r="D70" s="2235"/>
      <c r="E70" s="2319">
        <f t="shared" si="65"/>
        <v>0</v>
      </c>
      <c r="F70" s="2119" t="e">
        <f t="shared" si="83"/>
        <v>#DIV/0!</v>
      </c>
      <c r="G70" s="2181"/>
      <c r="H70" s="2181">
        <v>4000</v>
      </c>
      <c r="I70" s="2180">
        <f t="shared" si="66"/>
        <v>4000</v>
      </c>
      <c r="J70" s="2119">
        <f t="shared" si="67"/>
        <v>1.6998019847124246E-3</v>
      </c>
      <c r="K70" s="2120"/>
      <c r="L70" s="2181">
        <v>5600</v>
      </c>
      <c r="M70" s="2181">
        <v>0</v>
      </c>
      <c r="N70" s="2181">
        <f t="shared" si="68"/>
        <v>5600</v>
      </c>
      <c r="O70" s="2119">
        <v>1.3053134663233197E-2</v>
      </c>
      <c r="P70" s="1976"/>
      <c r="Q70" s="2181"/>
      <c r="R70" s="2181"/>
      <c r="S70" s="2180">
        <f t="shared" si="69"/>
        <v>0</v>
      </c>
      <c r="T70" s="2119">
        <f t="shared" si="70"/>
        <v>0</v>
      </c>
      <c r="U70" s="2120"/>
      <c r="V70" s="2181"/>
      <c r="W70" s="2181"/>
      <c r="X70" s="2180">
        <f t="shared" si="71"/>
        <v>0</v>
      </c>
      <c r="Y70" s="2119">
        <f t="shared" si="72"/>
        <v>0</v>
      </c>
      <c r="Z70" s="2120"/>
      <c r="AA70" s="2181"/>
      <c r="AB70" s="2181"/>
      <c r="AC70" s="2180">
        <f t="shared" si="73"/>
        <v>0</v>
      </c>
      <c r="AD70" s="2119" t="e">
        <f t="shared" si="57"/>
        <v>#DIV/0!</v>
      </c>
      <c r="AE70" s="2239"/>
      <c r="AF70" s="2184"/>
      <c r="AG70" s="2181"/>
      <c r="AH70" s="2180">
        <f t="shared" si="74"/>
        <v>0</v>
      </c>
      <c r="AI70" s="2119">
        <f t="shared" si="58"/>
        <v>0</v>
      </c>
      <c r="AJ70" s="2120"/>
      <c r="AK70" s="2184"/>
      <c r="AL70" s="2181"/>
      <c r="AM70" s="2180">
        <f t="shared" si="75"/>
        <v>0</v>
      </c>
      <c r="AN70" s="2119">
        <f t="shared" si="59"/>
        <v>0</v>
      </c>
      <c r="AO70" s="2120"/>
      <c r="AP70" s="2184"/>
      <c r="AQ70" s="2181"/>
      <c r="AR70" s="2180">
        <f t="shared" si="76"/>
        <v>0</v>
      </c>
      <c r="AS70" s="2119">
        <f t="shared" si="60"/>
        <v>0</v>
      </c>
      <c r="AT70" s="2120"/>
      <c r="AU70" s="2184"/>
      <c r="AV70" s="2181"/>
      <c r="AW70" s="2180">
        <f t="shared" si="77"/>
        <v>0</v>
      </c>
      <c r="AX70" s="2119">
        <f t="shared" si="61"/>
        <v>0</v>
      </c>
      <c r="AY70" s="2120"/>
      <c r="AZ70" s="2184"/>
      <c r="BA70" s="2181"/>
      <c r="BB70" s="2180">
        <f t="shared" si="78"/>
        <v>0</v>
      </c>
      <c r="BC70" s="2119">
        <f t="shared" si="62"/>
        <v>0</v>
      </c>
      <c r="BD70" s="2120"/>
      <c r="BE70" s="2184"/>
      <c r="BF70" s="2181"/>
      <c r="BG70" s="2180">
        <f t="shared" si="79"/>
        <v>0</v>
      </c>
      <c r="BH70" s="2119">
        <f t="shared" si="63"/>
        <v>0</v>
      </c>
      <c r="BI70" s="2120"/>
      <c r="BJ70" s="2181">
        <f t="shared" si="80"/>
        <v>5600</v>
      </c>
      <c r="BK70" s="2181">
        <f t="shared" si="80"/>
        <v>0</v>
      </c>
      <c r="BL70" s="2180">
        <f t="shared" si="81"/>
        <v>5600</v>
      </c>
      <c r="BM70" s="2119">
        <f>BL70/$BL$89</f>
        <v>9.9047954777224537E-4</v>
      </c>
      <c r="BN70" s="2122"/>
      <c r="BO70" s="2188">
        <f t="shared" si="82"/>
        <v>-1600</v>
      </c>
      <c r="BP70" s="2213"/>
      <c r="BQ70" s="2189">
        <v>5600</v>
      </c>
      <c r="BR70" s="2190">
        <f>BL70-BQ70</f>
        <v>0</v>
      </c>
      <c r="BS70" s="2191"/>
      <c r="BT70" s="2191"/>
    </row>
    <row r="71" spans="1:72" s="2192" customFormat="1" ht="15" customHeight="1">
      <c r="A71" s="2346"/>
      <c r="B71" s="2347" t="s">
        <v>78</v>
      </c>
      <c r="C71" s="2348"/>
      <c r="D71" s="2235"/>
      <c r="E71" s="2319">
        <f t="shared" si="65"/>
        <v>0</v>
      </c>
      <c r="F71" s="2017" t="e">
        <f t="shared" si="83"/>
        <v>#DIV/0!</v>
      </c>
      <c r="G71" s="2181"/>
      <c r="H71" s="2181"/>
      <c r="I71" s="2180">
        <f t="shared" si="66"/>
        <v>0</v>
      </c>
      <c r="J71" s="2119">
        <f t="shared" si="67"/>
        <v>0</v>
      </c>
      <c r="K71" s="2120"/>
      <c r="L71" s="2181">
        <v>0</v>
      </c>
      <c r="M71" s="2181">
        <v>0</v>
      </c>
      <c r="N71" s="2181">
        <f t="shared" si="68"/>
        <v>0</v>
      </c>
      <c r="O71" s="2119">
        <v>0</v>
      </c>
      <c r="P71" s="1690"/>
      <c r="Q71" s="2181"/>
      <c r="R71" s="2181"/>
      <c r="S71" s="2180">
        <f t="shared" si="69"/>
        <v>0</v>
      </c>
      <c r="T71" s="2119">
        <f t="shared" si="70"/>
        <v>0</v>
      </c>
      <c r="U71" s="2120"/>
      <c r="V71" s="2181"/>
      <c r="W71" s="2181"/>
      <c r="X71" s="2180">
        <f t="shared" si="71"/>
        <v>0</v>
      </c>
      <c r="Y71" s="2119">
        <f t="shared" si="72"/>
        <v>0</v>
      </c>
      <c r="Z71" s="2120"/>
      <c r="AA71" s="2181"/>
      <c r="AB71" s="2181"/>
      <c r="AC71" s="2180">
        <f t="shared" si="73"/>
        <v>0</v>
      </c>
      <c r="AD71" s="2119" t="e">
        <f t="shared" si="57"/>
        <v>#DIV/0!</v>
      </c>
      <c r="AE71" s="2239"/>
      <c r="AF71" s="2184"/>
      <c r="AG71" s="2181"/>
      <c r="AH71" s="2180">
        <f t="shared" si="74"/>
        <v>0</v>
      </c>
      <c r="AI71" s="2119">
        <f t="shared" si="58"/>
        <v>0</v>
      </c>
      <c r="AJ71" s="2120"/>
      <c r="AK71" s="2184"/>
      <c r="AL71" s="2181"/>
      <c r="AM71" s="2180">
        <f t="shared" si="75"/>
        <v>0</v>
      </c>
      <c r="AN71" s="2119">
        <f t="shared" si="59"/>
        <v>0</v>
      </c>
      <c r="AO71" s="2120"/>
      <c r="AP71" s="2184"/>
      <c r="AQ71" s="2181"/>
      <c r="AR71" s="2180">
        <f t="shared" si="76"/>
        <v>0</v>
      </c>
      <c r="AS71" s="2119">
        <f t="shared" si="60"/>
        <v>0</v>
      </c>
      <c r="AT71" s="2120"/>
      <c r="AU71" s="2184"/>
      <c r="AV71" s="2181"/>
      <c r="AW71" s="2180">
        <f t="shared" si="77"/>
        <v>0</v>
      </c>
      <c r="AX71" s="2119">
        <f t="shared" si="61"/>
        <v>0</v>
      </c>
      <c r="AY71" s="2120"/>
      <c r="AZ71" s="2184"/>
      <c r="BA71" s="2181"/>
      <c r="BB71" s="2180">
        <f t="shared" si="78"/>
        <v>0</v>
      </c>
      <c r="BC71" s="2119">
        <f t="shared" si="62"/>
        <v>0</v>
      </c>
      <c r="BD71" s="2120"/>
      <c r="BE71" s="2184"/>
      <c r="BF71" s="2181"/>
      <c r="BG71" s="2180">
        <f t="shared" si="79"/>
        <v>0</v>
      </c>
      <c r="BH71" s="2119">
        <f t="shared" si="63"/>
        <v>0</v>
      </c>
      <c r="BI71" s="2120"/>
      <c r="BJ71" s="2181">
        <f t="shared" si="80"/>
        <v>0</v>
      </c>
      <c r="BK71" s="2181">
        <f t="shared" si="80"/>
        <v>0</v>
      </c>
      <c r="BL71" s="2180">
        <f t="shared" si="81"/>
        <v>0</v>
      </c>
      <c r="BM71" s="2119">
        <f t="shared" si="64"/>
        <v>0</v>
      </c>
      <c r="BN71" s="2122"/>
      <c r="BO71" s="2188">
        <f t="shared" si="82"/>
        <v>0</v>
      </c>
      <c r="BP71" s="2213"/>
      <c r="BQ71" s="2152"/>
      <c r="BR71" s="2228"/>
      <c r="BS71" s="2191"/>
      <c r="BT71" s="2191"/>
    </row>
    <row r="72" spans="1:72" s="2192" customFormat="1" ht="15" customHeight="1" thickBot="1">
      <c r="A72" s="2346"/>
      <c r="B72" s="2349"/>
      <c r="C72" s="2350"/>
      <c r="D72" s="2351"/>
      <c r="E72" s="2352"/>
      <c r="F72" s="2017" t="e">
        <f t="shared" si="83"/>
        <v>#DIV/0!</v>
      </c>
      <c r="G72" s="2198"/>
      <c r="H72" s="2198"/>
      <c r="I72" s="2353"/>
      <c r="J72" s="2017">
        <f t="shared" si="67"/>
        <v>0</v>
      </c>
      <c r="K72" s="2031"/>
      <c r="L72" s="2198"/>
      <c r="M72" s="2198"/>
      <c r="N72" s="2353"/>
      <c r="O72" s="2017">
        <v>0</v>
      </c>
      <c r="P72" s="1690"/>
      <c r="Q72" s="2198"/>
      <c r="R72" s="2198"/>
      <c r="S72" s="2353"/>
      <c r="T72" s="2017">
        <f t="shared" si="70"/>
        <v>0</v>
      </c>
      <c r="U72" s="2031"/>
      <c r="V72" s="2198"/>
      <c r="W72" s="2198"/>
      <c r="X72" s="2353"/>
      <c r="Y72" s="2017">
        <f t="shared" si="72"/>
        <v>0</v>
      </c>
      <c r="Z72" s="2031"/>
      <c r="AA72" s="2198"/>
      <c r="AB72" s="2198"/>
      <c r="AC72" s="2353"/>
      <c r="AD72" s="2017"/>
      <c r="AE72" s="1117"/>
      <c r="AF72" s="2354"/>
      <c r="AG72" s="2198"/>
      <c r="AH72" s="2353"/>
      <c r="AI72" s="2017"/>
      <c r="AJ72" s="2031"/>
      <c r="AK72" s="2354"/>
      <c r="AL72" s="2198"/>
      <c r="AM72" s="2353"/>
      <c r="AN72" s="2017"/>
      <c r="AO72" s="2031"/>
      <c r="AP72" s="2354"/>
      <c r="AQ72" s="2198"/>
      <c r="AR72" s="2353"/>
      <c r="AS72" s="2017"/>
      <c r="AT72" s="2031"/>
      <c r="AU72" s="2354"/>
      <c r="AV72" s="2198"/>
      <c r="AW72" s="2353"/>
      <c r="AX72" s="2017"/>
      <c r="AY72" s="2031"/>
      <c r="AZ72" s="2354"/>
      <c r="BA72" s="2198"/>
      <c r="BB72" s="2353"/>
      <c r="BC72" s="2017"/>
      <c r="BD72" s="2031"/>
      <c r="BE72" s="2354"/>
      <c r="BF72" s="2198"/>
      <c r="BG72" s="2353"/>
      <c r="BH72" s="2017"/>
      <c r="BI72" s="2031"/>
      <c r="BJ72" s="2198"/>
      <c r="BK72" s="2198"/>
      <c r="BL72" s="2353"/>
      <c r="BM72" s="2017">
        <f>BL72/$BL$89</f>
        <v>0</v>
      </c>
      <c r="BN72" s="1928"/>
      <c r="BO72" s="2188">
        <f t="shared" si="82"/>
        <v>0</v>
      </c>
      <c r="BP72" s="2213"/>
      <c r="BQ72" s="2152"/>
      <c r="BR72" s="2228"/>
      <c r="BS72" s="2191"/>
      <c r="BT72" s="2191"/>
    </row>
    <row r="73" spans="1:72" s="2192" customFormat="1" ht="15" customHeight="1" thickBot="1">
      <c r="A73" s="2346"/>
      <c r="B73" s="2355" t="s">
        <v>4</v>
      </c>
      <c r="C73" s="2356">
        <f>C74</f>
        <v>0</v>
      </c>
      <c r="D73" s="2357">
        <f>D74</f>
        <v>0</v>
      </c>
      <c r="E73" s="2356">
        <f>E74</f>
        <v>0</v>
      </c>
      <c r="F73" s="838" t="e">
        <f>E73/$E$89</f>
        <v>#DIV/0!</v>
      </c>
      <c r="G73" s="2356">
        <f>G74</f>
        <v>369695.00395538996</v>
      </c>
      <c r="H73" s="2358">
        <f>H74</f>
        <v>0</v>
      </c>
      <c r="I73" s="2359">
        <f>I74</f>
        <v>369695.00395538996</v>
      </c>
      <c r="J73" s="2358"/>
      <c r="K73" s="2360"/>
      <c r="L73" s="2356">
        <v>0</v>
      </c>
      <c r="M73" s="2358">
        <v>0</v>
      </c>
      <c r="N73" s="2359">
        <v>0</v>
      </c>
      <c r="O73" s="2358"/>
      <c r="P73" s="969"/>
      <c r="Q73" s="2356">
        <f>Q74</f>
        <v>0</v>
      </c>
      <c r="R73" s="2358">
        <f>R74</f>
        <v>0</v>
      </c>
      <c r="S73" s="2359">
        <f>S74</f>
        <v>0</v>
      </c>
      <c r="T73" s="2358"/>
      <c r="U73" s="2360"/>
      <c r="V73" s="2356">
        <f>V74</f>
        <v>0</v>
      </c>
      <c r="W73" s="2358">
        <f>W74</f>
        <v>0</v>
      </c>
      <c r="X73" s="2359">
        <f>X74</f>
        <v>0</v>
      </c>
      <c r="Y73" s="2358"/>
      <c r="Z73" s="2360"/>
      <c r="AA73" s="2356">
        <f>AA74</f>
        <v>0</v>
      </c>
      <c r="AB73" s="2358">
        <f>AB74</f>
        <v>0</v>
      </c>
      <c r="AC73" s="2359">
        <f>AC74</f>
        <v>0</v>
      </c>
      <c r="AD73" s="2358"/>
      <c r="AE73" s="2361"/>
      <c r="AF73" s="2356">
        <f>AF74</f>
        <v>0</v>
      </c>
      <c r="AG73" s="2358">
        <f>AG74</f>
        <v>0</v>
      </c>
      <c r="AH73" s="2359">
        <f>AH74</f>
        <v>0</v>
      </c>
      <c r="AI73" s="2358"/>
      <c r="AJ73" s="2360"/>
      <c r="AK73" s="2356">
        <f>AK74</f>
        <v>0</v>
      </c>
      <c r="AL73" s="2358">
        <f>AL74</f>
        <v>0</v>
      </c>
      <c r="AM73" s="2359">
        <f>AM74</f>
        <v>0</v>
      </c>
      <c r="AN73" s="2358"/>
      <c r="AO73" s="2360"/>
      <c r="AP73" s="2356">
        <f>AP74</f>
        <v>0</v>
      </c>
      <c r="AQ73" s="2358">
        <f>AQ74</f>
        <v>0</v>
      </c>
      <c r="AR73" s="2359">
        <f>AR74</f>
        <v>0</v>
      </c>
      <c r="AS73" s="2358"/>
      <c r="AT73" s="2360"/>
      <c r="AU73" s="2356">
        <f>AU74</f>
        <v>0</v>
      </c>
      <c r="AV73" s="2358">
        <f>AV74</f>
        <v>0</v>
      </c>
      <c r="AW73" s="2359">
        <f>AW74</f>
        <v>0</v>
      </c>
      <c r="AX73" s="2358"/>
      <c r="AY73" s="2360"/>
      <c r="AZ73" s="2356">
        <f>AZ74</f>
        <v>0</v>
      </c>
      <c r="BA73" s="2358">
        <f>BA74</f>
        <v>0</v>
      </c>
      <c r="BB73" s="2359">
        <f>BB74</f>
        <v>0</v>
      </c>
      <c r="BC73" s="2358"/>
      <c r="BD73" s="2360"/>
      <c r="BE73" s="2356">
        <f>BE74</f>
        <v>0</v>
      </c>
      <c r="BF73" s="2358">
        <f>BF74</f>
        <v>0</v>
      </c>
      <c r="BG73" s="2359">
        <f>BG74</f>
        <v>0</v>
      </c>
      <c r="BH73" s="2358"/>
      <c r="BI73" s="2360"/>
      <c r="BJ73" s="2356">
        <f>BJ74</f>
        <v>0</v>
      </c>
      <c r="BK73" s="2358">
        <f>BK74</f>
        <v>0</v>
      </c>
      <c r="BL73" s="2359">
        <f>BL74</f>
        <v>0</v>
      </c>
      <c r="BM73" s="2358"/>
      <c r="BN73" s="2358"/>
      <c r="BO73" s="2362"/>
      <c r="BP73" s="2362"/>
      <c r="BQ73" s="2152"/>
      <c r="BR73" s="2228"/>
      <c r="BS73" s="2191"/>
      <c r="BT73" s="2191"/>
    </row>
    <row r="74" spans="1:72" s="2192" customFormat="1" ht="15" customHeight="1" thickBot="1">
      <c r="A74" s="2334"/>
      <c r="B74" s="2363" t="s">
        <v>64</v>
      </c>
      <c r="C74" s="2364">
        <f>C6*3%</f>
        <v>0</v>
      </c>
      <c r="D74" s="2365"/>
      <c r="E74" s="2366">
        <f>C74+D74</f>
        <v>0</v>
      </c>
      <c r="F74" s="2367"/>
      <c r="G74" s="2181">
        <v>369695.00395538996</v>
      </c>
      <c r="H74" s="2181"/>
      <c r="I74" s="2368">
        <f>G74+H74*1</f>
        <v>369695.00395538996</v>
      </c>
      <c r="J74" s="2369"/>
      <c r="K74" s="2369"/>
      <c r="L74" s="2181">
        <v>0</v>
      </c>
      <c r="M74" s="2181">
        <v>0</v>
      </c>
      <c r="N74" s="2369">
        <v>0</v>
      </c>
      <c r="O74" s="2369"/>
      <c r="P74" s="2370"/>
      <c r="Q74" s="2181"/>
      <c r="R74" s="2181"/>
      <c r="S74" s="2368">
        <f>Q74+R74*1</f>
        <v>0</v>
      </c>
      <c r="T74" s="2369"/>
      <c r="U74" s="2369"/>
      <c r="V74" s="2181"/>
      <c r="W74" s="2181"/>
      <c r="X74" s="2368">
        <f>V74+W74*1</f>
        <v>0</v>
      </c>
      <c r="Y74" s="2369"/>
      <c r="Z74" s="2369"/>
      <c r="AA74" s="2181"/>
      <c r="AB74" s="2181"/>
      <c r="AC74" s="2368">
        <f>AA74+AB74*1</f>
        <v>0</v>
      </c>
      <c r="AD74" s="2369"/>
      <c r="AE74" s="2371"/>
      <c r="AF74" s="2184"/>
      <c r="AG74" s="2181"/>
      <c r="AH74" s="2368">
        <f>AF74+AG74*1</f>
        <v>0</v>
      </c>
      <c r="AI74" s="2369"/>
      <c r="AJ74" s="2369"/>
      <c r="AK74" s="2184"/>
      <c r="AL74" s="2181"/>
      <c r="AM74" s="2368">
        <f>AK74+AL74*1</f>
        <v>0</v>
      </c>
      <c r="AN74" s="2369"/>
      <c r="AO74" s="2369"/>
      <c r="AP74" s="2184"/>
      <c r="AQ74" s="2181"/>
      <c r="AR74" s="2368">
        <f>AP74+AQ74*1</f>
        <v>0</v>
      </c>
      <c r="AS74" s="2369"/>
      <c r="AT74" s="2369"/>
      <c r="AU74" s="2184"/>
      <c r="AV74" s="2181"/>
      <c r="AW74" s="2368">
        <f>AU74+AV74*1</f>
        <v>0</v>
      </c>
      <c r="AX74" s="2369"/>
      <c r="AY74" s="2369"/>
      <c r="AZ74" s="2184"/>
      <c r="BA74" s="2181"/>
      <c r="BB74" s="2368">
        <f>AZ74+BA74*1</f>
        <v>0</v>
      </c>
      <c r="BC74" s="2369"/>
      <c r="BD74" s="2369"/>
      <c r="BE74" s="2184"/>
      <c r="BF74" s="2181"/>
      <c r="BG74" s="2368">
        <f>BE74+BF74*1</f>
        <v>0</v>
      </c>
      <c r="BH74" s="2369"/>
      <c r="BI74" s="2369"/>
      <c r="BJ74" s="2244">
        <f>L74+Q74+V74+AA74+AF74+AK74+AP74+AU74+AZ74+BE74</f>
        <v>0</v>
      </c>
      <c r="BK74" s="2244">
        <f>M74+R74+W74+AB74+AG74+AL74+AQ74+AV74+BA74+BF74</f>
        <v>0</v>
      </c>
      <c r="BL74" s="2243">
        <f>BJ74+BK74*1</f>
        <v>0</v>
      </c>
      <c r="BM74" s="1664">
        <f>BL74/$BL$89</f>
        <v>0</v>
      </c>
      <c r="BN74" s="2369"/>
      <c r="BO74" s="2188">
        <f>I74-BL74</f>
        <v>369695.00395538996</v>
      </c>
      <c r="BP74" s="2257"/>
      <c r="BQ74" s="2152"/>
      <c r="BR74" s="2228"/>
      <c r="BS74" s="2191"/>
      <c r="BT74" s="2191"/>
    </row>
    <row r="75" spans="1:72" s="2192" customFormat="1" ht="15" customHeight="1" thickBot="1">
      <c r="A75" s="1399"/>
      <c r="B75" s="2372" t="s">
        <v>48</v>
      </c>
      <c r="C75" s="2373">
        <f>C38-C41-C50-C54</f>
        <v>0</v>
      </c>
      <c r="D75" s="2373">
        <f>D38-D41-D50-D54</f>
        <v>0</v>
      </c>
      <c r="E75" s="2374">
        <f>E38-E41-E50-E54</f>
        <v>0</v>
      </c>
      <c r="F75" s="2375"/>
      <c r="G75" s="2376">
        <f>G38-G41-G50-G54</f>
        <v>4098097.9463442732</v>
      </c>
      <c r="H75" s="2376">
        <f>H38-H41-H50-H54</f>
        <v>-1559729.7333992564</v>
      </c>
      <c r="I75" s="2374">
        <f>I38-I41-I50-I54</f>
        <v>2538368.2129450161</v>
      </c>
      <c r="J75" s="2377"/>
      <c r="K75" s="2378"/>
      <c r="L75" s="2376">
        <v>-228289.05776000003</v>
      </c>
      <c r="M75" s="2376">
        <v>-174921.95436818182</v>
      </c>
      <c r="N75" s="2374">
        <v>-403211.01212818181</v>
      </c>
      <c r="O75" s="2377"/>
      <c r="P75" s="2379"/>
      <c r="Q75" s="2376">
        <f>Q38-Q41-Q50-Q54</f>
        <v>934442.14199999999</v>
      </c>
      <c r="R75" s="2376">
        <f>R38-R41-R50-R54</f>
        <v>-141993.68</v>
      </c>
      <c r="S75" s="2374">
        <f>S38-S41-S50-S54</f>
        <v>792448.46199999982</v>
      </c>
      <c r="T75" s="2377"/>
      <c r="U75" s="2378"/>
      <c r="V75" s="2376">
        <f>V38-V41-V50-V54</f>
        <v>837234.68239999958</v>
      </c>
      <c r="W75" s="2376">
        <f>W38-W41-W50-W54</f>
        <v>-171254.53999999998</v>
      </c>
      <c r="X75" s="2374">
        <f>X38-X41-X50-X54</f>
        <v>665980.14239999955</v>
      </c>
      <c r="Y75" s="2377"/>
      <c r="Z75" s="2378"/>
      <c r="AA75" s="2376">
        <f>AA38-AA41-AA50-AA54</f>
        <v>0</v>
      </c>
      <c r="AB75" s="2376">
        <f>AB38-AB41-AB50-AB54</f>
        <v>0</v>
      </c>
      <c r="AC75" s="2374">
        <f>AC38-AC41-AC50-AC54</f>
        <v>0</v>
      </c>
      <c r="AD75" s="2377"/>
      <c r="AE75" s="2380"/>
      <c r="AF75" s="2376">
        <f>AF38-AF41-AF50-AF54</f>
        <v>-181</v>
      </c>
      <c r="AG75" s="2376">
        <f>AG38-AG41-AG50-AG54</f>
        <v>0</v>
      </c>
      <c r="AH75" s="2374">
        <f>AH38-AH41-AH50-AH54</f>
        <v>-181</v>
      </c>
      <c r="AI75" s="2377"/>
      <c r="AJ75" s="2378"/>
      <c r="AK75" s="2376">
        <f>AK38-AK41-AK50-AK54</f>
        <v>-8250.48</v>
      </c>
      <c r="AL75" s="2376">
        <f>AL38-AL41-AL50-AL54</f>
        <v>0</v>
      </c>
      <c r="AM75" s="2374">
        <f>AM38-AM41-AM50-AM54</f>
        <v>-8250.48</v>
      </c>
      <c r="AN75" s="2377"/>
      <c r="AO75" s="2378"/>
      <c r="AP75" s="2376">
        <f>AP38-AP41-AP50-AP54</f>
        <v>1300571.3816</v>
      </c>
      <c r="AQ75" s="2376">
        <f>AQ38-AQ41-AQ50-AQ54</f>
        <v>-138795.4</v>
      </c>
      <c r="AR75" s="2374">
        <f>AR38-AR41-AR50-AR54</f>
        <v>1161775.9816000001</v>
      </c>
      <c r="AS75" s="2377"/>
      <c r="AT75" s="2378"/>
      <c r="AU75" s="2376">
        <f>AU38-AU41-AU50-AU54</f>
        <v>0</v>
      </c>
      <c r="AV75" s="2376">
        <f>AV38-AV41-AV50-AV54</f>
        <v>-116787.2</v>
      </c>
      <c r="AW75" s="2374">
        <f>AW38-AW41-AW50-AW54</f>
        <v>-116787.2</v>
      </c>
      <c r="AX75" s="2377"/>
      <c r="AY75" s="2378"/>
      <c r="AZ75" s="2376">
        <f>AZ38-AZ41-AZ50-AZ54</f>
        <v>0</v>
      </c>
      <c r="BA75" s="2376">
        <f>BA38-BA41-BA50-BA54</f>
        <v>0</v>
      </c>
      <c r="BB75" s="2374">
        <f>BB38-BB41-BB50-BB54</f>
        <v>0</v>
      </c>
      <c r="BC75" s="2377"/>
      <c r="BD75" s="2378"/>
      <c r="BE75" s="2376">
        <f>BE38-BE41-BE50-BE54</f>
        <v>113062.98200000002</v>
      </c>
      <c r="BF75" s="2376">
        <f>BF38-BF41-BF50-BF54</f>
        <v>-129250</v>
      </c>
      <c r="BG75" s="2374">
        <f>BG38-BG41-BG50-BG54</f>
        <v>-16187.017999999982</v>
      </c>
      <c r="BH75" s="2377"/>
      <c r="BI75" s="2378"/>
      <c r="BJ75" s="2376">
        <f>BJ38-BJ41-BJ50-BJ54</f>
        <v>2945843.0802399996</v>
      </c>
      <c r="BK75" s="2376">
        <f>BK38-BK41-BK50-BK54</f>
        <v>-917019.94000000006</v>
      </c>
      <c r="BL75" s="2374">
        <f>BL38-BL41-BL50-BL54</f>
        <v>2028823.1402400003</v>
      </c>
      <c r="BM75" s="2377"/>
      <c r="BN75" s="2377"/>
      <c r="BO75" s="2381"/>
      <c r="BP75" s="2381"/>
      <c r="BQ75" s="2152"/>
      <c r="BR75" s="2228"/>
      <c r="BS75" s="2191"/>
      <c r="BT75" s="2191"/>
    </row>
    <row r="76" spans="1:72" s="2192" customFormat="1" ht="15" customHeight="1">
      <c r="A76" s="2382"/>
      <c r="B76" s="2383" t="s">
        <v>49</v>
      </c>
      <c r="C76" s="1525" t="e">
        <f>C75/C5</f>
        <v>#DIV/0!</v>
      </c>
      <c r="D76" s="1525" t="e">
        <f>D75/D5</f>
        <v>#DIV/0!</v>
      </c>
      <c r="E76" s="1526" t="e">
        <f>E75/E5</f>
        <v>#DIV/0!</v>
      </c>
      <c r="F76" s="2293"/>
      <c r="G76" s="2294">
        <f>G75/G5</f>
        <v>0.33255233929307676</v>
      </c>
      <c r="H76" s="2294" t="e">
        <f>H75/H5</f>
        <v>#DIV/0!</v>
      </c>
      <c r="I76" s="2295">
        <f>I75/I5</f>
        <v>0.20598343384034318</v>
      </c>
      <c r="J76" s="2295"/>
      <c r="K76" s="2296"/>
      <c r="L76" s="2294" t="e">
        <v>#DIV/0!</v>
      </c>
      <c r="M76" s="2294" t="e">
        <v>#DIV/0!</v>
      </c>
      <c r="N76" s="2295" t="e">
        <v>#DIV/0!</v>
      </c>
      <c r="O76" s="2295"/>
      <c r="P76" s="2297"/>
      <c r="Q76" s="2294">
        <f>Q75/Q5</f>
        <v>0.29705722519470562</v>
      </c>
      <c r="R76" s="2294" t="e">
        <f>R75/R5</f>
        <v>#DIV/0!</v>
      </c>
      <c r="S76" s="2295">
        <f>S75/S5</f>
        <v>0.25191772786241917</v>
      </c>
      <c r="T76" s="2295"/>
      <c r="U76" s="2296"/>
      <c r="V76" s="2294">
        <f>V75/V5</f>
        <v>0.4139469904890124</v>
      </c>
      <c r="W76" s="2294" t="e">
        <f>W75/W5</f>
        <v>#DIV/0!</v>
      </c>
      <c r="X76" s="2295">
        <f>X75/X5</f>
        <v>0.32927503060630958</v>
      </c>
      <c r="Y76" s="2295"/>
      <c r="Z76" s="2296"/>
      <c r="AA76" s="2294" t="e">
        <f>AA75/AA5</f>
        <v>#DIV/0!</v>
      </c>
      <c r="AB76" s="2294" t="e">
        <f>AB75/AB5</f>
        <v>#DIV/0!</v>
      </c>
      <c r="AC76" s="2295" t="e">
        <f>AC75/AC5</f>
        <v>#DIV/0!</v>
      </c>
      <c r="AD76" s="2295"/>
      <c r="AE76" s="2298"/>
      <c r="AF76" s="2294" t="e">
        <f>AF75/AF5</f>
        <v>#DIV/0!</v>
      </c>
      <c r="AG76" s="2294" t="e">
        <f>AG75/AG5</f>
        <v>#DIV/0!</v>
      </c>
      <c r="AH76" s="2295" t="e">
        <f>AH75/AH5</f>
        <v>#DIV/0!</v>
      </c>
      <c r="AI76" s="2295"/>
      <c r="AJ76" s="2296"/>
      <c r="AK76" s="2294" t="e">
        <f>AK75/AK5</f>
        <v>#DIV/0!</v>
      </c>
      <c r="AL76" s="2294" t="e">
        <f>AL75/AL5</f>
        <v>#DIV/0!</v>
      </c>
      <c r="AM76" s="2295" t="e">
        <f>AM75/AM5</f>
        <v>#DIV/0!</v>
      </c>
      <c r="AN76" s="2295"/>
      <c r="AO76" s="2296"/>
      <c r="AP76" s="2294">
        <f>AP75/AP5</f>
        <v>0.67420675548883824</v>
      </c>
      <c r="AQ76" s="2294" t="e">
        <f>AQ75/AQ5</f>
        <v>#DIV/0!</v>
      </c>
      <c r="AR76" s="2295">
        <f>AR75/AR5</f>
        <v>0.60225622848611837</v>
      </c>
      <c r="AS76" s="2295"/>
      <c r="AT76" s="2296"/>
      <c r="AU76" s="2294" t="e">
        <f>AU75/AU5</f>
        <v>#DIV/0!</v>
      </c>
      <c r="AV76" s="2294" t="e">
        <f>AV75/AV5</f>
        <v>#DIV/0!</v>
      </c>
      <c r="AW76" s="2295" t="e">
        <f>AW75/AW5</f>
        <v>#DIV/0!</v>
      </c>
      <c r="AX76" s="2295"/>
      <c r="AY76" s="2296"/>
      <c r="AZ76" s="2294" t="e">
        <f>AZ75/AZ5</f>
        <v>#DIV/0!</v>
      </c>
      <c r="BA76" s="2294" t="e">
        <f>BA75/BA5</f>
        <v>#DIV/0!</v>
      </c>
      <c r="BB76" s="2295" t="e">
        <f>BB75/BB5</f>
        <v>#DIV/0!</v>
      </c>
      <c r="BC76" s="2295"/>
      <c r="BD76" s="2296"/>
      <c r="BE76" s="2294">
        <f>BE75/BE5</f>
        <v>0.23166402692887028</v>
      </c>
      <c r="BF76" s="2294" t="e">
        <f>BF75/BF5</f>
        <v>#DIV/0!</v>
      </c>
      <c r="BG76" s="2295">
        <f>BG75/BG5</f>
        <v>-3.3166910225754555E-2</v>
      </c>
      <c r="BH76" s="2295"/>
      <c r="BI76" s="2296"/>
      <c r="BJ76" s="2294">
        <f>BJ75/BJ5</f>
        <v>0.38836132233553949</v>
      </c>
      <c r="BK76" s="2294" t="e">
        <f>BK75/BK5</f>
        <v>#DIV/0!</v>
      </c>
      <c r="BL76" s="2295">
        <f>BL75/BL5</f>
        <v>0.2674672126338638</v>
      </c>
      <c r="BM76" s="2295"/>
      <c r="BN76" s="2295"/>
      <c r="BO76" s="2299"/>
      <c r="BP76" s="2299"/>
      <c r="BQ76" s="2152"/>
      <c r="BR76" s="2228"/>
      <c r="BS76" s="2191"/>
      <c r="BT76" s="2191"/>
    </row>
    <row r="77" spans="1:72" s="2192" customFormat="1" ht="15" customHeight="1" thickBot="1">
      <c r="A77" s="2382"/>
      <c r="B77" s="2384" t="s">
        <v>9</v>
      </c>
      <c r="C77" s="2385">
        <f>C78-C79</f>
        <v>0</v>
      </c>
      <c r="D77" s="2385">
        <f>D78-D79</f>
        <v>0</v>
      </c>
      <c r="E77" s="2386">
        <f>E78-E79</f>
        <v>0</v>
      </c>
      <c r="F77" s="2387"/>
      <c r="G77" s="2385">
        <f>G78-G79</f>
        <v>0</v>
      </c>
      <c r="H77" s="2385">
        <f>H78-H79</f>
        <v>0</v>
      </c>
      <c r="I77" s="2386">
        <f>I78-I79</f>
        <v>-233959.46000988845</v>
      </c>
      <c r="J77" s="2388"/>
      <c r="K77" s="2389"/>
      <c r="L77" s="2385">
        <v>0</v>
      </c>
      <c r="M77" s="2385">
        <v>0</v>
      </c>
      <c r="N77" s="2386">
        <v>-25804.710491576072</v>
      </c>
      <c r="O77" s="2388"/>
      <c r="P77" s="2390"/>
      <c r="Q77" s="2385">
        <f>Q78-Q79</f>
        <v>0</v>
      </c>
      <c r="R77" s="2385">
        <f>R78-R79</f>
        <v>0</v>
      </c>
      <c r="S77" s="2386">
        <f>S78-S79</f>
        <v>0</v>
      </c>
      <c r="T77" s="2388"/>
      <c r="U77" s="2389"/>
      <c r="V77" s="2385">
        <f>V78-V79</f>
        <v>0</v>
      </c>
      <c r="W77" s="2385">
        <f>W78-W79</f>
        <v>0</v>
      </c>
      <c r="X77" s="2386">
        <f>X78-X79</f>
        <v>-17098.338981783199</v>
      </c>
      <c r="Y77" s="2388"/>
      <c r="Z77" s="2389"/>
      <c r="AA77" s="2385">
        <f>AA78-AA79</f>
        <v>0</v>
      </c>
      <c r="AB77" s="2385">
        <f>AB78-AB79</f>
        <v>0</v>
      </c>
      <c r="AC77" s="2386">
        <f>AC78-AC79</f>
        <v>0</v>
      </c>
      <c r="AD77" s="2388"/>
      <c r="AE77" s="2391"/>
      <c r="AF77" s="2385">
        <f>AF78-AF79</f>
        <v>0</v>
      </c>
      <c r="AG77" s="2385">
        <f>AG78-AG79</f>
        <v>0</v>
      </c>
      <c r="AH77" s="2386">
        <f>AH78-AH79</f>
        <v>0</v>
      </c>
      <c r="AI77" s="2388"/>
      <c r="AJ77" s="2389"/>
      <c r="AK77" s="2385">
        <f>AK78-AK79</f>
        <v>0</v>
      </c>
      <c r="AL77" s="2385">
        <f>AL78-AL79</f>
        <v>0</v>
      </c>
      <c r="AM77" s="2386">
        <f>AM78-AM79</f>
        <v>0</v>
      </c>
      <c r="AN77" s="2388"/>
      <c r="AO77" s="2389"/>
      <c r="AP77" s="2385">
        <f>AP78-AP79</f>
        <v>0</v>
      </c>
      <c r="AQ77" s="2385">
        <f>AQ78-AQ79</f>
        <v>0</v>
      </c>
      <c r="AR77" s="2386">
        <f>AR78-AR79</f>
        <v>-20101.791932992117</v>
      </c>
      <c r="AS77" s="2388"/>
      <c r="AT77" s="2389"/>
      <c r="AU77" s="2385">
        <f>AU78-AU79</f>
        <v>0</v>
      </c>
      <c r="AV77" s="2385">
        <f>AV78-AV79</f>
        <v>0</v>
      </c>
      <c r="AW77" s="2386">
        <f>AW78-AW79</f>
        <v>-16914.335740498154</v>
      </c>
      <c r="AX77" s="2388"/>
      <c r="AY77" s="2389"/>
      <c r="AZ77" s="2385">
        <f>AZ78-AZ79</f>
        <v>0</v>
      </c>
      <c r="BA77" s="2385">
        <f>BA78-BA79</f>
        <v>0</v>
      </c>
      <c r="BB77" s="2386">
        <f>BB78-BB79</f>
        <v>0</v>
      </c>
      <c r="BC77" s="2388"/>
      <c r="BD77" s="2389"/>
      <c r="BE77" s="2385">
        <f>BE78-BE79</f>
        <v>0</v>
      </c>
      <c r="BF77" s="2385">
        <f>BF78-BF79</f>
        <v>0</v>
      </c>
      <c r="BG77" s="2386">
        <f>BG78-BG79</f>
        <v>-17415.652853150463</v>
      </c>
      <c r="BH77" s="2388"/>
      <c r="BI77" s="2389"/>
      <c r="BJ77" s="2385">
        <f>BJ78-BJ79</f>
        <v>0</v>
      </c>
      <c r="BK77" s="2385">
        <f>BK79</f>
        <v>0</v>
      </c>
      <c r="BL77" s="2386">
        <f>BL78-BL79</f>
        <v>-97334.83</v>
      </c>
      <c r="BM77" s="2388"/>
      <c r="BN77" s="2388"/>
      <c r="BO77" s="2316"/>
      <c r="BP77" s="2316"/>
      <c r="BQ77" s="2152"/>
      <c r="BR77" s="2228"/>
      <c r="BS77" s="2191"/>
      <c r="BT77" s="2191"/>
    </row>
    <row r="78" spans="1:72" s="2192" customFormat="1" ht="15" customHeight="1">
      <c r="A78" s="2309"/>
      <c r="B78" s="2392" t="s">
        <v>43</v>
      </c>
      <c r="C78" s="2205"/>
      <c r="D78" s="2393"/>
      <c r="E78" s="2318">
        <f>C78+D78*1.15</f>
        <v>0</v>
      </c>
      <c r="F78" s="2394"/>
      <c r="G78" s="2181"/>
      <c r="H78" s="2181"/>
      <c r="I78" s="2395">
        <f>G78+H78*1.15</f>
        <v>0</v>
      </c>
      <c r="J78" s="2395"/>
      <c r="K78" s="2396"/>
      <c r="L78" s="2181">
        <v>0</v>
      </c>
      <c r="M78" s="2181">
        <v>0</v>
      </c>
      <c r="N78" s="2395">
        <v>0</v>
      </c>
      <c r="O78" s="2395"/>
      <c r="P78" s="2397"/>
      <c r="Q78" s="2181"/>
      <c r="R78" s="2181"/>
      <c r="S78" s="2395">
        <f>Q78+R78*1.15</f>
        <v>0</v>
      </c>
      <c r="T78" s="2395"/>
      <c r="U78" s="2396"/>
      <c r="V78" s="2181"/>
      <c r="W78" s="2181"/>
      <c r="X78" s="2395">
        <f>V78+W78*1.15</f>
        <v>0</v>
      </c>
      <c r="Y78" s="2395"/>
      <c r="Z78" s="2396"/>
      <c r="AA78" s="2181"/>
      <c r="AB78" s="2181"/>
      <c r="AC78" s="2395">
        <f>AA78+AB78*1.15</f>
        <v>0</v>
      </c>
      <c r="AD78" s="2395"/>
      <c r="AE78" s="2398"/>
      <c r="AF78" s="2184"/>
      <c r="AG78" s="2181"/>
      <c r="AH78" s="2395">
        <f>AF78+AG78*1.15</f>
        <v>0</v>
      </c>
      <c r="AI78" s="2395"/>
      <c r="AJ78" s="2396"/>
      <c r="AK78" s="2184"/>
      <c r="AL78" s="2181"/>
      <c r="AM78" s="2395">
        <f>AK78+AL78*1.15</f>
        <v>0</v>
      </c>
      <c r="AN78" s="2395"/>
      <c r="AO78" s="2396"/>
      <c r="AP78" s="2184"/>
      <c r="AQ78" s="2181"/>
      <c r="AR78" s="2395">
        <f>AP78+AQ78*1.15</f>
        <v>0</v>
      </c>
      <c r="AS78" s="2395"/>
      <c r="AT78" s="2396"/>
      <c r="AU78" s="2184"/>
      <c r="AV78" s="2181"/>
      <c r="AW78" s="2395">
        <f>AU78+AV78*1.15</f>
        <v>0</v>
      </c>
      <c r="AX78" s="2395"/>
      <c r="AY78" s="2396"/>
      <c r="AZ78" s="2184"/>
      <c r="BA78" s="2181"/>
      <c r="BB78" s="2395">
        <f>AZ78+BA78*1.15</f>
        <v>0</v>
      </c>
      <c r="BC78" s="2395"/>
      <c r="BD78" s="2396"/>
      <c r="BE78" s="2184"/>
      <c r="BF78" s="2181"/>
      <c r="BG78" s="2395">
        <f>BE78+BF78*1.15</f>
        <v>0</v>
      </c>
      <c r="BH78" s="2119">
        <f>BG78/$BG$89</f>
        <v>0</v>
      </c>
      <c r="BI78" s="2396"/>
      <c r="BJ78" s="2181">
        <f>L78+Q78+V78+AA78+AF78+AK78+AP78+AU78+AZ78+BE78</f>
        <v>0</v>
      </c>
      <c r="BK78" s="2181">
        <f>M78+R78+W78+AB78+AG78+AL78+AQ78+AV78+BA78+BF78</f>
        <v>0</v>
      </c>
      <c r="BL78" s="2180">
        <f>BJ78+BK78*1.15</f>
        <v>0</v>
      </c>
      <c r="BM78" s="2395"/>
      <c r="BN78" s="2395"/>
      <c r="BO78" s="2188">
        <f>I78-BL78</f>
        <v>0</v>
      </c>
      <c r="BP78" s="2283"/>
      <c r="BQ78" s="2152"/>
      <c r="BR78" s="2228"/>
      <c r="BS78" s="2191"/>
      <c r="BT78" s="2191"/>
    </row>
    <row r="79" spans="1:72" s="2192" customFormat="1" ht="15" customHeight="1">
      <c r="A79" s="2309"/>
      <c r="B79" s="2399" t="s">
        <v>79</v>
      </c>
      <c r="C79" s="2219"/>
      <c r="D79" s="2318"/>
      <c r="E79" s="2318">
        <f>C79+D79*1.15</f>
        <v>0</v>
      </c>
      <c r="F79" s="2330" t="e">
        <f>E79/$E$89</f>
        <v>#DIV/0!</v>
      </c>
      <c r="G79" s="2181"/>
      <c r="H79" s="2181"/>
      <c r="I79" s="2180">
        <v>233959.46000988845</v>
      </c>
      <c r="J79" s="2271"/>
      <c r="K79" s="2269"/>
      <c r="L79" s="2181">
        <v>0</v>
      </c>
      <c r="M79" s="2181">
        <v>0</v>
      </c>
      <c r="N79" s="2180">
        <v>25804.710491576072</v>
      </c>
      <c r="O79" s="2122"/>
      <c r="P79" s="2331"/>
      <c r="Q79" s="2181"/>
      <c r="R79" s="2181"/>
      <c r="S79" s="2180"/>
      <c r="T79" s="2271"/>
      <c r="U79" s="2269"/>
      <c r="V79" s="2181"/>
      <c r="W79" s="2181"/>
      <c r="X79" s="2180">
        <f>25589.7588505747-8491.4198687915</f>
        <v>17098.338981783199</v>
      </c>
      <c r="Y79" s="2271"/>
      <c r="Z79" s="2269"/>
      <c r="AA79" s="2181"/>
      <c r="AB79" s="2181"/>
      <c r="AC79" s="2180">
        <v>0</v>
      </c>
      <c r="AD79" s="2271"/>
      <c r="AE79" s="2270"/>
      <c r="AF79" s="2184"/>
      <c r="AG79" s="2181"/>
      <c r="AH79" s="2180">
        <v>0</v>
      </c>
      <c r="AI79" s="2271"/>
      <c r="AJ79" s="2269"/>
      <c r="AK79" s="2184"/>
      <c r="AL79" s="2181"/>
      <c r="AM79" s="2180">
        <v>0</v>
      </c>
      <c r="AN79" s="2271"/>
      <c r="AO79" s="2269"/>
      <c r="AP79" s="2184"/>
      <c r="AQ79" s="2181"/>
      <c r="AR79" s="2180">
        <v>20101.791932992117</v>
      </c>
      <c r="AS79" s="2271"/>
      <c r="AT79" s="2269"/>
      <c r="AU79" s="2184"/>
      <c r="AV79" s="2181"/>
      <c r="AW79" s="2180">
        <v>16914.335740498154</v>
      </c>
      <c r="AX79" s="2271"/>
      <c r="AY79" s="2269"/>
      <c r="AZ79" s="2184"/>
      <c r="BA79" s="2181"/>
      <c r="BB79" s="2180">
        <v>0</v>
      </c>
      <c r="BC79" s="2271"/>
      <c r="BD79" s="2269"/>
      <c r="BE79" s="2184"/>
      <c r="BF79" s="2181"/>
      <c r="BG79" s="2180">
        <v>17415.652853150463</v>
      </c>
      <c r="BH79" s="2119">
        <f>BG79/$BG$89</f>
        <v>3.338571231851415E-2</v>
      </c>
      <c r="BI79" s="2269"/>
      <c r="BJ79" s="2181">
        <f>L79+Q79+V79+AA79+AF79+AK79+AP79+AU79+AZ79+BE79</f>
        <v>0</v>
      </c>
      <c r="BK79" s="2181">
        <f>M79+R79+W79+AB79+AG79+AL79+AQ79+AV79+BA79+BF79</f>
        <v>0</v>
      </c>
      <c r="BL79" s="2180">
        <f>N79+S79+X79+AC79+AH79+AM79+AR79+AW79+BB79+BG79</f>
        <v>97334.83</v>
      </c>
      <c r="BM79" s="2271"/>
      <c r="BN79" s="2271"/>
      <c r="BO79" s="2188">
        <f>I79-BL79</f>
        <v>136624.63000988844</v>
      </c>
      <c r="BP79" s="2272"/>
      <c r="BQ79" s="2189">
        <v>97334.83</v>
      </c>
      <c r="BR79" s="2190">
        <f>BL79-BQ79</f>
        <v>0</v>
      </c>
      <c r="BS79" s="2191"/>
      <c r="BT79" s="2191"/>
    </row>
    <row r="80" spans="1:72" ht="15" customHeight="1">
      <c r="A80" s="1397"/>
      <c r="B80" s="2400"/>
      <c r="C80" s="2401"/>
      <c r="D80" s="2402"/>
      <c r="E80" s="2403"/>
      <c r="F80" s="2404"/>
      <c r="G80" s="2181"/>
      <c r="H80" s="2181"/>
      <c r="I80" s="2405"/>
      <c r="J80" s="2405"/>
      <c r="K80" s="2405"/>
      <c r="L80" s="2181"/>
      <c r="M80" s="2181"/>
      <c r="N80" s="2405"/>
      <c r="O80" s="2405"/>
      <c r="P80" s="2255"/>
      <c r="Q80" s="2181"/>
      <c r="R80" s="2181"/>
      <c r="S80" s="2405"/>
      <c r="T80" s="2405"/>
      <c r="U80" s="2405"/>
      <c r="V80" s="2181"/>
      <c r="W80" s="2181"/>
      <c r="X80" s="2405"/>
      <c r="Y80" s="2405"/>
      <c r="Z80" s="2405"/>
      <c r="AA80" s="2181"/>
      <c r="AB80" s="2181"/>
      <c r="AC80" s="2405"/>
      <c r="AD80" s="2405"/>
      <c r="AE80" s="2406"/>
      <c r="AF80" s="2184"/>
      <c r="AG80" s="2181"/>
      <c r="AH80" s="2405"/>
      <c r="AI80" s="2405"/>
      <c r="AJ80" s="2405"/>
      <c r="AK80" s="2184"/>
      <c r="AL80" s="2181"/>
      <c r="AM80" s="2405"/>
      <c r="AN80" s="2405"/>
      <c r="AO80" s="2405"/>
      <c r="AP80" s="2184"/>
      <c r="AQ80" s="2181"/>
      <c r="AR80" s="2405"/>
      <c r="AS80" s="2405"/>
      <c r="AT80" s="2405"/>
      <c r="AU80" s="2184"/>
      <c r="AV80" s="2181"/>
      <c r="AW80" s="2405"/>
      <c r="AX80" s="2405"/>
      <c r="AY80" s="2405"/>
      <c r="AZ80" s="2184"/>
      <c r="BA80" s="2181"/>
      <c r="BB80" s="2405"/>
      <c r="BC80" s="2405"/>
      <c r="BD80" s="2405"/>
      <c r="BE80" s="2184"/>
      <c r="BF80" s="2181"/>
      <c r="BG80" s="2405"/>
      <c r="BH80" s="2405"/>
      <c r="BI80" s="2405"/>
      <c r="BJ80" s="2181"/>
      <c r="BK80" s="2181"/>
      <c r="BL80" s="2405"/>
      <c r="BM80" s="2405"/>
      <c r="BN80" s="2405"/>
      <c r="BO80" s="2257"/>
      <c r="BP80" s="2257"/>
      <c r="BR80" s="2228"/>
    </row>
    <row r="81" spans="1:72" s="2192" customFormat="1" ht="15" customHeight="1" thickBot="1">
      <c r="A81" s="2407"/>
      <c r="B81" s="2384" t="s">
        <v>12</v>
      </c>
      <c r="C81" s="2385">
        <f>(C75+C78)-C79</f>
        <v>0</v>
      </c>
      <c r="D81" s="2385">
        <f>(D75+D78)-D79</f>
        <v>0</v>
      </c>
      <c r="E81" s="2386">
        <f>(E75+E78)-E79</f>
        <v>0</v>
      </c>
      <c r="F81" s="2387"/>
      <c r="G81" s="2385">
        <f>(G75+G78)-G79</f>
        <v>4098097.9463442732</v>
      </c>
      <c r="H81" s="2385">
        <f>(H75+H78)-H79</f>
        <v>-1559729.7333992564</v>
      </c>
      <c r="I81" s="2386">
        <f>(I75+I78)-I79</f>
        <v>2304408.7529351278</v>
      </c>
      <c r="J81" s="2388"/>
      <c r="K81" s="2389"/>
      <c r="L81" s="2385">
        <v>-228289.05776000003</v>
      </c>
      <c r="M81" s="2385">
        <v>-174921.95436818182</v>
      </c>
      <c r="N81" s="2386">
        <v>-429015.72261975787</v>
      </c>
      <c r="O81" s="2388"/>
      <c r="P81" s="2390"/>
      <c r="Q81" s="2385">
        <f>(Q75+Q78)-Q79</f>
        <v>934442.14199999999</v>
      </c>
      <c r="R81" s="2385">
        <f>(R75+R78)-R79</f>
        <v>-141993.68</v>
      </c>
      <c r="S81" s="2386">
        <f>(S75+S78)-S79</f>
        <v>792448.46199999982</v>
      </c>
      <c r="T81" s="2388"/>
      <c r="U81" s="2389"/>
      <c r="V81" s="2385">
        <f>(V75+V78)-V79</f>
        <v>837234.68239999958</v>
      </c>
      <c r="W81" s="2385">
        <f>(W75+W78)-W79</f>
        <v>-171254.53999999998</v>
      </c>
      <c r="X81" s="2386">
        <f>(X75+X78)-X79</f>
        <v>648881.8034182163</v>
      </c>
      <c r="Y81" s="2388"/>
      <c r="Z81" s="2389"/>
      <c r="AA81" s="2385">
        <f>(AA75+AA78)-AA79</f>
        <v>0</v>
      </c>
      <c r="AB81" s="2385">
        <f>(AB75+AB78)-AB79</f>
        <v>0</v>
      </c>
      <c r="AC81" s="2386">
        <f>(AC75+AC78)-AC79</f>
        <v>0</v>
      </c>
      <c r="AD81" s="2388"/>
      <c r="AE81" s="2391"/>
      <c r="AF81" s="2385">
        <f>(AF75+AF78)-AF79</f>
        <v>-181</v>
      </c>
      <c r="AG81" s="2385">
        <f>(AG75+AG78)-AG79</f>
        <v>0</v>
      </c>
      <c r="AH81" s="2386">
        <f>(AH75+AH78)-AH79</f>
        <v>-181</v>
      </c>
      <c r="AI81" s="2388"/>
      <c r="AJ81" s="2389"/>
      <c r="AK81" s="2385">
        <f>(AK75+AK78)-AK79</f>
        <v>-8250.48</v>
      </c>
      <c r="AL81" s="2385">
        <f>(AL75+AL78)-AL79</f>
        <v>0</v>
      </c>
      <c r="AM81" s="2386">
        <f>(AM75+AM78)-AM79</f>
        <v>-8250.48</v>
      </c>
      <c r="AN81" s="2388"/>
      <c r="AO81" s="2389"/>
      <c r="AP81" s="2385">
        <f>(AP75+AP78)-AP79</f>
        <v>1300571.3816</v>
      </c>
      <c r="AQ81" s="2385">
        <f>(AQ75+AQ78)-AQ79</f>
        <v>-138795.4</v>
      </c>
      <c r="AR81" s="2386">
        <f>(AR75+AR78)-AR79</f>
        <v>1141674.1896670079</v>
      </c>
      <c r="AS81" s="2388"/>
      <c r="AT81" s="2389"/>
      <c r="AU81" s="2385">
        <f>(AU75+AU78)-AU79</f>
        <v>0</v>
      </c>
      <c r="AV81" s="2385">
        <f>(AV75+AV78)-AV79</f>
        <v>-116787.2</v>
      </c>
      <c r="AW81" s="2386">
        <f>(AW75+AW78)-AW79</f>
        <v>-133701.53574049816</v>
      </c>
      <c r="AX81" s="2388"/>
      <c r="AY81" s="2389"/>
      <c r="AZ81" s="2385">
        <f>(AZ75+AZ78)-AZ79</f>
        <v>0</v>
      </c>
      <c r="BA81" s="2385">
        <f>(BA75+BA78)-BA79</f>
        <v>0</v>
      </c>
      <c r="BB81" s="2386">
        <f>(BB75+BB78)-BB79</f>
        <v>0</v>
      </c>
      <c r="BC81" s="2388"/>
      <c r="BD81" s="2389"/>
      <c r="BE81" s="2385">
        <f>(BE75+BE78)-BE79</f>
        <v>113062.98200000002</v>
      </c>
      <c r="BF81" s="2385">
        <f>(BF75+BF78)-BF79</f>
        <v>-129250</v>
      </c>
      <c r="BG81" s="2386">
        <f>(BG75+BG78)-BG79</f>
        <v>-33602.670853150441</v>
      </c>
      <c r="BH81" s="2388"/>
      <c r="BI81" s="2389"/>
      <c r="BJ81" s="2385">
        <f>(BJ75+BJ78)-BJ79</f>
        <v>2945843.0802399996</v>
      </c>
      <c r="BK81" s="2385">
        <f>(BK75+BK78)-BK79</f>
        <v>-917019.94000000006</v>
      </c>
      <c r="BL81" s="2386">
        <f>(BL75+BL78)-BL79</f>
        <v>1931488.3102400003</v>
      </c>
      <c r="BM81" s="2388"/>
      <c r="BN81" s="2388"/>
      <c r="BO81" s="2316"/>
      <c r="BP81" s="2316"/>
      <c r="BQ81" s="2152"/>
      <c r="BR81" s="2228"/>
      <c r="BS81" s="2191"/>
      <c r="BT81" s="2191"/>
    </row>
    <row r="82" spans="1:72" s="2192" customFormat="1" ht="15" customHeight="1">
      <c r="A82" s="2291"/>
      <c r="B82" s="2392" t="s">
        <v>38</v>
      </c>
      <c r="C82" s="2205"/>
      <c r="D82" s="2393"/>
      <c r="E82" s="2408">
        <f>C82+D82</f>
        <v>0</v>
      </c>
      <c r="F82" s="2330" t="e">
        <f>E82/$E$89</f>
        <v>#DIV/0!</v>
      </c>
      <c r="G82" s="2181"/>
      <c r="H82" s="2181"/>
      <c r="I82" s="2408">
        <f>G82+H82</f>
        <v>0</v>
      </c>
      <c r="J82" s="2409"/>
      <c r="K82" s="2410"/>
      <c r="L82" s="2181">
        <v>0</v>
      </c>
      <c r="M82" s="2181">
        <v>0</v>
      </c>
      <c r="N82" s="2408">
        <v>0</v>
      </c>
      <c r="O82" s="2409"/>
      <c r="P82" s="2331"/>
      <c r="Q82" s="2181"/>
      <c r="R82" s="2181"/>
      <c r="S82" s="2408">
        <f>Q82+R82</f>
        <v>0</v>
      </c>
      <c r="T82" s="2409"/>
      <c r="U82" s="2410"/>
      <c r="V82" s="2181"/>
      <c r="W82" s="2181"/>
      <c r="X82" s="2408">
        <f>V82+W82</f>
        <v>0</v>
      </c>
      <c r="Y82" s="2409"/>
      <c r="Z82" s="2410"/>
      <c r="AA82" s="2181"/>
      <c r="AB82" s="2181"/>
      <c r="AC82" s="2408">
        <f>AA82+AB82</f>
        <v>0</v>
      </c>
      <c r="AD82" s="2409"/>
      <c r="AE82" s="2411"/>
      <c r="AF82" s="2184"/>
      <c r="AG82" s="2181"/>
      <c r="AH82" s="2408">
        <f>AF82+AG82</f>
        <v>0</v>
      </c>
      <c r="AI82" s="2409"/>
      <c r="AJ82" s="2410"/>
      <c r="AK82" s="2184"/>
      <c r="AL82" s="2181"/>
      <c r="AM82" s="2408">
        <f>AK82+AL82</f>
        <v>0</v>
      </c>
      <c r="AN82" s="2409"/>
      <c r="AO82" s="2410"/>
      <c r="AP82" s="2184"/>
      <c r="AQ82" s="2181"/>
      <c r="AR82" s="2408">
        <f>AP82+AQ82</f>
        <v>0</v>
      </c>
      <c r="AS82" s="2409"/>
      <c r="AT82" s="2410"/>
      <c r="AU82" s="2184"/>
      <c r="AV82" s="2181"/>
      <c r="AW82" s="2408">
        <f>AU82+AV82</f>
        <v>0</v>
      </c>
      <c r="AX82" s="2409"/>
      <c r="AY82" s="2410"/>
      <c r="AZ82" s="2184"/>
      <c r="BA82" s="2181"/>
      <c r="BB82" s="2408">
        <f>AZ82+BA82</f>
        <v>0</v>
      </c>
      <c r="BC82" s="2409"/>
      <c r="BD82" s="2410"/>
      <c r="BE82" s="2184"/>
      <c r="BF82" s="2181"/>
      <c r="BG82" s="2408">
        <f>BE82+BF82</f>
        <v>0</v>
      </c>
      <c r="BH82" s="2409"/>
      <c r="BI82" s="2410"/>
      <c r="BJ82" s="2181">
        <f>L82+Q82+V82+AA82+AF82+AK82+AP82+AU82+AZ82+BE82</f>
        <v>0</v>
      </c>
      <c r="BK82" s="2181">
        <f>M82+R82+W82+AB82+AG82+AL82+AQ82+AV82+BA82+BF82</f>
        <v>0</v>
      </c>
      <c r="BL82" s="2180">
        <f>N82</f>
        <v>0</v>
      </c>
      <c r="BM82" s="2409"/>
      <c r="BN82" s="2409"/>
      <c r="BO82" s="2188">
        <f>I82-BL82</f>
        <v>0</v>
      </c>
      <c r="BP82" s="2272"/>
      <c r="BQ82" s="2152"/>
      <c r="BR82" s="2228"/>
      <c r="BS82" s="2191"/>
      <c r="BT82" s="2191"/>
    </row>
    <row r="83" spans="1:72" s="2192" customFormat="1" ht="15" customHeight="1">
      <c r="A83" s="2309"/>
      <c r="B83" s="2412" t="s">
        <v>13</v>
      </c>
      <c r="C83" s="2413">
        <f>(C81+C7)-C36</f>
        <v>0</v>
      </c>
      <c r="D83" s="2413">
        <f>(D81+D7)-D36</f>
        <v>0</v>
      </c>
      <c r="E83" s="2413">
        <f>(E81+E7)-E36</f>
        <v>0</v>
      </c>
      <c r="F83" s="2414"/>
      <c r="G83" s="2413">
        <f>(G81)-G36</f>
        <v>4098097.9463442732</v>
      </c>
      <c r="H83" s="2413">
        <f>(H81)-H36</f>
        <v>-1559729.7333992564</v>
      </c>
      <c r="I83" s="2415">
        <f>(I81)-I36</f>
        <v>2304408.7529351278</v>
      </c>
      <c r="J83" s="2416"/>
      <c r="K83" s="2417"/>
      <c r="L83" s="2413">
        <v>-228289.05776000003</v>
      </c>
      <c r="M83" s="2413">
        <v>-174921.95436818182</v>
      </c>
      <c r="N83" s="2415">
        <v>-429015.72261975787</v>
      </c>
      <c r="O83" s="2416"/>
      <c r="P83" s="2418"/>
      <c r="Q83" s="2413">
        <f>(Q81)-Q36</f>
        <v>934442.14199999999</v>
      </c>
      <c r="R83" s="2413">
        <f>(R81)-R36</f>
        <v>-141993.68</v>
      </c>
      <c r="S83" s="2415">
        <f>(S81)-S36</f>
        <v>792448.46199999982</v>
      </c>
      <c r="T83" s="2416"/>
      <c r="U83" s="2417"/>
      <c r="V83" s="2413">
        <f>(V81+V7)-V36</f>
        <v>837234.68239999958</v>
      </c>
      <c r="W83" s="2413">
        <f>(W81+W7)-W36</f>
        <v>-171254.53999999998</v>
      </c>
      <c r="X83" s="2415">
        <f>(X81+X7)-X36</f>
        <v>648881.8034182163</v>
      </c>
      <c r="Y83" s="2416"/>
      <c r="Z83" s="2417"/>
      <c r="AA83" s="2413">
        <f>(AA81+AA7)-AA36</f>
        <v>0</v>
      </c>
      <c r="AB83" s="2413">
        <f>(AB81+AB7)-AB36</f>
        <v>0</v>
      </c>
      <c r="AC83" s="2415">
        <f>(AC81+AC7)-AC36</f>
        <v>0</v>
      </c>
      <c r="AD83" s="2416"/>
      <c r="AE83" s="2419"/>
      <c r="AF83" s="2413">
        <f>(AF81+AF7)-AF36</f>
        <v>-181</v>
      </c>
      <c r="AG83" s="2413">
        <f>(AG81+AG7)-AG36</f>
        <v>0</v>
      </c>
      <c r="AH83" s="2415">
        <f>(AH81+AH7)-AH36</f>
        <v>-181</v>
      </c>
      <c r="AI83" s="2416"/>
      <c r="AJ83" s="2417"/>
      <c r="AK83" s="2413">
        <f>(AK81+AK7)-AK36</f>
        <v>-8250.48</v>
      </c>
      <c r="AL83" s="2413">
        <f>(AL81+AL7)-AL36</f>
        <v>0</v>
      </c>
      <c r="AM83" s="2415">
        <f>(AM81+AM7)-AM36</f>
        <v>-8250.48</v>
      </c>
      <c r="AN83" s="2416"/>
      <c r="AO83" s="2417"/>
      <c r="AP83" s="2413">
        <f>(AP81+AP7)-AP36</f>
        <v>1300571.3816</v>
      </c>
      <c r="AQ83" s="2413">
        <f>(AQ81+AQ7)-AQ36</f>
        <v>-138795.4</v>
      </c>
      <c r="AR83" s="2415">
        <f>(AR81+AR7)-AR36</f>
        <v>1141674.1896670079</v>
      </c>
      <c r="AS83" s="2416"/>
      <c r="AT83" s="2417"/>
      <c r="AU83" s="2413">
        <f>(AU81+AU7)-AU36</f>
        <v>0</v>
      </c>
      <c r="AV83" s="2413">
        <f>(AV81+AV7)-AV36</f>
        <v>-116787.2</v>
      </c>
      <c r="AW83" s="2415">
        <f>(AW81+AW7)-AW36</f>
        <v>-133701.53574049816</v>
      </c>
      <c r="AX83" s="2416"/>
      <c r="AY83" s="2417"/>
      <c r="AZ83" s="2413">
        <f>(AZ81+AZ7)-AZ36</f>
        <v>0</v>
      </c>
      <c r="BA83" s="2413">
        <f>(BA81+BA7)-BA36</f>
        <v>0</v>
      </c>
      <c r="BB83" s="2415">
        <f>(BB81+BB7)-BB36</f>
        <v>0</v>
      </c>
      <c r="BC83" s="2416"/>
      <c r="BD83" s="2417"/>
      <c r="BE83" s="2413">
        <f>(BE81+BE7)-BE36</f>
        <v>113062.98200000002</v>
      </c>
      <c r="BF83" s="2413">
        <f>(BF81+BF7)-BF36</f>
        <v>-129250</v>
      </c>
      <c r="BG83" s="2415">
        <f>(BG81+BG7)-BG36</f>
        <v>-33602.670853150441</v>
      </c>
      <c r="BH83" s="2416"/>
      <c r="BI83" s="2417"/>
      <c r="BJ83" s="2413">
        <f>(BJ81)-BJ36</f>
        <v>2945843.0802399996</v>
      </c>
      <c r="BK83" s="2413">
        <f>(BK81)-BK36</f>
        <v>-917019.94000000006</v>
      </c>
      <c r="BL83" s="2415">
        <f>(BL81)-BL36</f>
        <v>1931488.3102400003</v>
      </c>
      <c r="BM83" s="2416"/>
      <c r="BN83" s="2416"/>
      <c r="BO83" s="2420"/>
      <c r="BP83" s="2420"/>
      <c r="BQ83" s="2152"/>
      <c r="BR83" s="2228"/>
      <c r="BS83" s="2191"/>
      <c r="BT83" s="2191"/>
    </row>
    <row r="84" spans="1:72" s="2192" customFormat="1" ht="15" customHeight="1" thickBot="1">
      <c r="A84" s="2421"/>
      <c r="B84" s="2422" t="s">
        <v>14</v>
      </c>
      <c r="C84" s="2423">
        <f>C83-C73-C82</f>
        <v>0</v>
      </c>
      <c r="D84" s="2423">
        <f>D83-D73-D82</f>
        <v>0</v>
      </c>
      <c r="E84" s="2423">
        <f>E83-E73-E82</f>
        <v>0</v>
      </c>
      <c r="F84" s="2424"/>
      <c r="G84" s="2425">
        <f>G83-G73-G82</f>
        <v>3728402.9423888833</v>
      </c>
      <c r="H84" s="2425">
        <f>H83-H73-H82</f>
        <v>-1559729.7333992564</v>
      </c>
      <c r="I84" s="2425">
        <f>I83-I73-I82</f>
        <v>1934713.748979738</v>
      </c>
      <c r="J84" s="2426"/>
      <c r="K84" s="2427"/>
      <c r="L84" s="2425">
        <v>-228289.05776000003</v>
      </c>
      <c r="M84" s="2425">
        <v>-174921.95436818182</v>
      </c>
      <c r="N84" s="2425">
        <v>-429015.72261975787</v>
      </c>
      <c r="O84" s="2426"/>
      <c r="P84" s="2424"/>
      <c r="Q84" s="2425">
        <f>Q83-Q73-Q82</f>
        <v>934442.14199999999</v>
      </c>
      <c r="R84" s="2425">
        <f>R83-R73-R82</f>
        <v>-141993.68</v>
      </c>
      <c r="S84" s="2425">
        <f>S83-S73-S82</f>
        <v>792448.46199999982</v>
      </c>
      <c r="T84" s="2426"/>
      <c r="U84" s="2427"/>
      <c r="V84" s="2425">
        <f>V83-V73-V82</f>
        <v>837234.68239999958</v>
      </c>
      <c r="W84" s="2425">
        <f>W83-W73-W82</f>
        <v>-171254.53999999998</v>
      </c>
      <c r="X84" s="2425">
        <f>X83-X73-X82</f>
        <v>648881.8034182163</v>
      </c>
      <c r="Y84" s="2426"/>
      <c r="Z84" s="2427"/>
      <c r="AA84" s="2425">
        <f>AA83-AA73-AA82</f>
        <v>0</v>
      </c>
      <c r="AB84" s="2425">
        <f>AB83-AB73-AB82</f>
        <v>0</v>
      </c>
      <c r="AC84" s="2425">
        <f>AC83-AC73-AC82</f>
        <v>0</v>
      </c>
      <c r="AD84" s="2426"/>
      <c r="AE84" s="2428"/>
      <c r="AF84" s="2425">
        <f>AF83-AF73-AF82</f>
        <v>-181</v>
      </c>
      <c r="AG84" s="2425">
        <f>AG83-AG73-AG82</f>
        <v>0</v>
      </c>
      <c r="AH84" s="2425">
        <f>AH83-AH73-AH82</f>
        <v>-181</v>
      </c>
      <c r="AI84" s="2426"/>
      <c r="AJ84" s="2427"/>
      <c r="AK84" s="2425">
        <f>AK83-AK73-AK82</f>
        <v>-8250.48</v>
      </c>
      <c r="AL84" s="2425">
        <f>AL83-AL73-AL82</f>
        <v>0</v>
      </c>
      <c r="AM84" s="2425">
        <f>AM83-AM73-AM82</f>
        <v>-8250.48</v>
      </c>
      <c r="AN84" s="2426"/>
      <c r="AO84" s="2427"/>
      <c r="AP84" s="2425">
        <f>AP83-AP73-AP82</f>
        <v>1300571.3816</v>
      </c>
      <c r="AQ84" s="2425">
        <f>AQ83-AQ73-AQ82</f>
        <v>-138795.4</v>
      </c>
      <c r="AR84" s="2425">
        <f>AR83-AR73-AR82</f>
        <v>1141674.1896670079</v>
      </c>
      <c r="AS84" s="2426"/>
      <c r="AT84" s="2427"/>
      <c r="AU84" s="2425">
        <f>AU83-AU73-AU82</f>
        <v>0</v>
      </c>
      <c r="AV84" s="2425">
        <f>AV83-AV73-AV82</f>
        <v>-116787.2</v>
      </c>
      <c r="AW84" s="2425">
        <f>AW83-AW73-AW82</f>
        <v>-133701.53574049816</v>
      </c>
      <c r="AX84" s="2426"/>
      <c r="AY84" s="2427"/>
      <c r="AZ84" s="2425">
        <f>AZ83-AZ73-AZ82</f>
        <v>0</v>
      </c>
      <c r="BA84" s="2425">
        <f>BA83-BA73-BA82</f>
        <v>0</v>
      </c>
      <c r="BB84" s="2425">
        <f>BB83-BB73-BB82</f>
        <v>0</v>
      </c>
      <c r="BC84" s="2426"/>
      <c r="BD84" s="2427"/>
      <c r="BE84" s="2425">
        <f>BE83-BE73-BE82</f>
        <v>113062.98200000002</v>
      </c>
      <c r="BF84" s="2425">
        <f>BF83-BF73-BF82</f>
        <v>-129250</v>
      </c>
      <c r="BG84" s="2425">
        <f>BG83-BG73-BG82</f>
        <v>-33602.670853150441</v>
      </c>
      <c r="BH84" s="2426"/>
      <c r="BI84" s="2427"/>
      <c r="BJ84" s="2425">
        <f>BJ83-BJ73-BJ82</f>
        <v>2945843.0802399996</v>
      </c>
      <c r="BK84" s="2425">
        <f>BK83-BK73-BK82</f>
        <v>-917019.94000000006</v>
      </c>
      <c r="BL84" s="2425">
        <f>BL83-BL73-BL82</f>
        <v>1931488.3102400003</v>
      </c>
      <c r="BM84" s="2426"/>
      <c r="BN84" s="2426"/>
      <c r="BO84" s="2188">
        <f>BL84-I84</f>
        <v>-3225.4387397377286</v>
      </c>
      <c r="BP84" s="2429"/>
      <c r="BQ84" s="2152"/>
      <c r="BR84" s="2152"/>
      <c r="BS84" s="2191"/>
      <c r="BT84" s="2191"/>
    </row>
    <row r="85" spans="1:72" s="2192" customFormat="1" ht="15" customHeight="1">
      <c r="A85" s="2382"/>
      <c r="B85" s="2177" t="s">
        <v>44</v>
      </c>
      <c r="C85" s="2216"/>
      <c r="D85" s="2430"/>
      <c r="E85" s="2431">
        <f>C85+D85</f>
        <v>0</v>
      </c>
      <c r="F85" s="2331" t="e">
        <f>E85/$E$89</f>
        <v>#DIV/0!</v>
      </c>
      <c r="G85" s="2181"/>
      <c r="H85" s="2181"/>
      <c r="I85" s="2180">
        <f>G85+H85*1.15</f>
        <v>0</v>
      </c>
      <c r="J85" s="2409"/>
      <c r="K85" s="2410"/>
      <c r="L85" s="2181">
        <v>0</v>
      </c>
      <c r="M85" s="2181">
        <v>0</v>
      </c>
      <c r="N85" s="2180">
        <v>0</v>
      </c>
      <c r="O85" s="2409"/>
      <c r="P85" s="2331"/>
      <c r="Q85" s="2181"/>
      <c r="R85" s="2181"/>
      <c r="S85" s="2180">
        <f>Q85+R85*1.15</f>
        <v>0</v>
      </c>
      <c r="T85" s="2409"/>
      <c r="U85" s="2410"/>
      <c r="V85" s="2181"/>
      <c r="W85" s="2181"/>
      <c r="X85" s="2180">
        <f>V85+W85*1.15</f>
        <v>0</v>
      </c>
      <c r="Y85" s="2409"/>
      <c r="Z85" s="2410"/>
      <c r="AA85" s="2181"/>
      <c r="AB85" s="2181"/>
      <c r="AC85" s="2180">
        <f>AA85+AB85*1.15</f>
        <v>0</v>
      </c>
      <c r="AD85" s="2409"/>
      <c r="AE85" s="2411"/>
      <c r="AF85" s="2184"/>
      <c r="AG85" s="2181"/>
      <c r="AH85" s="2180">
        <f>AF85+AG85*1.15</f>
        <v>0</v>
      </c>
      <c r="AI85" s="2409"/>
      <c r="AJ85" s="2410"/>
      <c r="AK85" s="2184"/>
      <c r="AL85" s="2181"/>
      <c r="AM85" s="2180">
        <f>AK85+AL85*1.15</f>
        <v>0</v>
      </c>
      <c r="AN85" s="2409"/>
      <c r="AO85" s="2410"/>
      <c r="AP85" s="2184"/>
      <c r="AQ85" s="2181"/>
      <c r="AR85" s="2180">
        <f>AP85+AQ85*1.15</f>
        <v>0</v>
      </c>
      <c r="AS85" s="2409"/>
      <c r="AT85" s="2410"/>
      <c r="AU85" s="2184"/>
      <c r="AV85" s="2181"/>
      <c r="AW85" s="2180">
        <f>AU85+AV85*1.15</f>
        <v>0</v>
      </c>
      <c r="AX85" s="2409"/>
      <c r="AY85" s="2410"/>
      <c r="AZ85" s="2184"/>
      <c r="BA85" s="2181"/>
      <c r="BB85" s="2180">
        <f>AZ85+BA85*1.15</f>
        <v>0</v>
      </c>
      <c r="BC85" s="2409"/>
      <c r="BD85" s="2410"/>
      <c r="BE85" s="2184"/>
      <c r="BF85" s="2181"/>
      <c r="BG85" s="2180">
        <f>BE85+BF85*1.15</f>
        <v>0</v>
      </c>
      <c r="BH85" s="2409"/>
      <c r="BI85" s="2410"/>
      <c r="BJ85" s="2181">
        <f>L85+Q85+V85+AA85+AF85+AK85+AP85+AU85+AZ85+BE85</f>
        <v>0</v>
      </c>
      <c r="BK85" s="2181">
        <f>M85+R85+W85+AB85+AG85+AL85+AQ85+AV85+BA85+BF85</f>
        <v>0</v>
      </c>
      <c r="BL85" s="2180">
        <f>BJ85+BK85*1.15</f>
        <v>0</v>
      </c>
      <c r="BM85" s="2409"/>
      <c r="BN85" s="2409"/>
      <c r="BO85" s="2272"/>
      <c r="BP85" s="2272"/>
      <c r="BQ85" s="2152"/>
      <c r="BR85" s="2152"/>
      <c r="BS85" s="2191"/>
      <c r="BT85" s="2191"/>
    </row>
    <row r="86" spans="1:72" s="2192" customFormat="1" ht="15" customHeight="1">
      <c r="A86" s="2309"/>
      <c r="B86" s="2432" t="s">
        <v>50</v>
      </c>
      <c r="C86" s="2433">
        <f>C84-C85</f>
        <v>0</v>
      </c>
      <c r="D86" s="2433">
        <f>D84-D85</f>
        <v>0</v>
      </c>
      <c r="E86" s="2434">
        <f>E84-E85</f>
        <v>0</v>
      </c>
      <c r="F86" s="2435"/>
      <c r="G86" s="2434">
        <f>G84-G85</f>
        <v>3728402.9423888833</v>
      </c>
      <c r="H86" s="2434">
        <f>H84-H85</f>
        <v>-1559729.7333992564</v>
      </c>
      <c r="I86" s="2434">
        <f>I84-I85</f>
        <v>1934713.748979738</v>
      </c>
      <c r="J86" s="2436"/>
      <c r="K86" s="2417"/>
      <c r="L86" s="2434">
        <v>-228289.05776000003</v>
      </c>
      <c r="M86" s="2434">
        <v>-174921.95436818182</v>
      </c>
      <c r="N86" s="2434">
        <v>-429015.72261975787</v>
      </c>
      <c r="O86" s="2436"/>
      <c r="P86" s="2435"/>
      <c r="Q86" s="2434">
        <f>Q84-Q85</f>
        <v>934442.14199999999</v>
      </c>
      <c r="R86" s="2434">
        <f>R84-R85</f>
        <v>-141993.68</v>
      </c>
      <c r="S86" s="2434">
        <f>S84-S85</f>
        <v>792448.46199999982</v>
      </c>
      <c r="T86" s="2436"/>
      <c r="U86" s="2417"/>
      <c r="V86" s="2434">
        <f>V84-V85</f>
        <v>837234.68239999958</v>
      </c>
      <c r="W86" s="2434">
        <f>W84-W85</f>
        <v>-171254.53999999998</v>
      </c>
      <c r="X86" s="2434">
        <f>X84-X85</f>
        <v>648881.8034182163</v>
      </c>
      <c r="Y86" s="2436"/>
      <c r="Z86" s="2417"/>
      <c r="AA86" s="2434">
        <f>AA84-AA85</f>
        <v>0</v>
      </c>
      <c r="AB86" s="2434">
        <f>AB84-AB85</f>
        <v>0</v>
      </c>
      <c r="AC86" s="2434">
        <f>AC84-AC85</f>
        <v>0</v>
      </c>
      <c r="AD86" s="2436"/>
      <c r="AE86" s="2419"/>
      <c r="AF86" s="2434">
        <f>AF84-AF85</f>
        <v>-181</v>
      </c>
      <c r="AG86" s="2434">
        <f>AG84-AG85</f>
        <v>0</v>
      </c>
      <c r="AH86" s="2434">
        <f>AH84-AH85</f>
        <v>-181</v>
      </c>
      <c r="AI86" s="2436"/>
      <c r="AJ86" s="2417"/>
      <c r="AK86" s="2434">
        <f>AK84-AK85</f>
        <v>-8250.48</v>
      </c>
      <c r="AL86" s="2434">
        <f>AL84-AL85</f>
        <v>0</v>
      </c>
      <c r="AM86" s="2434">
        <f>AM84-AM85</f>
        <v>-8250.48</v>
      </c>
      <c r="AN86" s="2436"/>
      <c r="AO86" s="2417"/>
      <c r="AP86" s="2434">
        <f>AP84-AP85</f>
        <v>1300571.3816</v>
      </c>
      <c r="AQ86" s="2434">
        <f>AQ84-AQ85</f>
        <v>-138795.4</v>
      </c>
      <c r="AR86" s="2434">
        <f>AR84-AR85</f>
        <v>1141674.1896670079</v>
      </c>
      <c r="AS86" s="2436"/>
      <c r="AT86" s="2417"/>
      <c r="AU86" s="2434">
        <f>AU84-AU85</f>
        <v>0</v>
      </c>
      <c r="AV86" s="2434">
        <f>AV84-AV85</f>
        <v>-116787.2</v>
      </c>
      <c r="AW86" s="2434">
        <f>AW84-AW85</f>
        <v>-133701.53574049816</v>
      </c>
      <c r="AX86" s="2436"/>
      <c r="AY86" s="2417"/>
      <c r="AZ86" s="2434">
        <f>AZ84-AZ85</f>
        <v>0</v>
      </c>
      <c r="BA86" s="2434">
        <f>BA84-BA85</f>
        <v>0</v>
      </c>
      <c r="BB86" s="2434">
        <f>BB84-BB85</f>
        <v>0</v>
      </c>
      <c r="BC86" s="2436"/>
      <c r="BD86" s="2417"/>
      <c r="BE86" s="2434">
        <f>BE84-BE85</f>
        <v>113062.98200000002</v>
      </c>
      <c r="BF86" s="2434">
        <f>BF84-BF85</f>
        <v>-129250</v>
      </c>
      <c r="BG86" s="2434">
        <f>BG84-BG85</f>
        <v>-33602.670853150441</v>
      </c>
      <c r="BH86" s="2436"/>
      <c r="BI86" s="2417"/>
      <c r="BJ86" s="2434">
        <f>BJ84-BJ85</f>
        <v>2945843.0802399996</v>
      </c>
      <c r="BK86" s="2434">
        <f>BK84-BK85</f>
        <v>-917019.94000000006</v>
      </c>
      <c r="BL86" s="2434">
        <f>BL84-BL85</f>
        <v>1931488.3102400003</v>
      </c>
      <c r="BM86" s="2436"/>
      <c r="BN86" s="2436"/>
      <c r="BO86" s="2381"/>
      <c r="BP86" s="2381"/>
      <c r="BQ86" s="2152"/>
      <c r="BR86" s="2152"/>
      <c r="BS86" s="2191"/>
      <c r="BT86" s="2191"/>
    </row>
    <row r="87" spans="1:72" s="2192" customFormat="1" ht="15" customHeight="1" thickBot="1">
      <c r="A87" s="2300"/>
      <c r="B87" s="2437" t="s">
        <v>51</v>
      </c>
      <c r="C87" s="2096" t="e">
        <f>C86/C5</f>
        <v>#DIV/0!</v>
      </c>
      <c r="D87" s="2438" t="e">
        <f>D86/D5</f>
        <v>#DIV/0!</v>
      </c>
      <c r="E87" s="2136" t="e">
        <f>E86/E5</f>
        <v>#DIV/0!</v>
      </c>
      <c r="F87" s="2439"/>
      <c r="G87" s="2096">
        <f>G86/G5</f>
        <v>0.30255233929307673</v>
      </c>
      <c r="H87" s="2438" t="e">
        <f>H86/H5</f>
        <v>#DIV/0!</v>
      </c>
      <c r="I87" s="2136">
        <f>I86/I5</f>
        <v>0.1569980980224332</v>
      </c>
      <c r="J87" s="2440"/>
      <c r="K87" s="2441"/>
      <c r="L87" s="2096" t="e">
        <v>#DIV/0!</v>
      </c>
      <c r="M87" s="2438" t="e">
        <v>#DIV/0!</v>
      </c>
      <c r="N87" s="2136" t="e">
        <v>#DIV/0!</v>
      </c>
      <c r="O87" s="2440"/>
      <c r="P87" s="2442"/>
      <c r="Q87" s="2096">
        <f>Q86/Q5</f>
        <v>0.29705722519470562</v>
      </c>
      <c r="R87" s="2438" t="e">
        <f>R86/R5</f>
        <v>#DIV/0!</v>
      </c>
      <c r="S87" s="2136">
        <f>S86/S5</f>
        <v>0.25191772786241917</v>
      </c>
      <c r="T87" s="2440"/>
      <c r="U87" s="2441"/>
      <c r="V87" s="2096">
        <f>V86/V5</f>
        <v>0.4139469904890124</v>
      </c>
      <c r="W87" s="2438" t="e">
        <f>W86/W5</f>
        <v>#DIV/0!</v>
      </c>
      <c r="X87" s="2136">
        <f>X86/X5</f>
        <v>0.32082124087129638</v>
      </c>
      <c r="Y87" s="2440"/>
      <c r="Z87" s="2441"/>
      <c r="AA87" s="2096" t="e">
        <f>AA86/AA5</f>
        <v>#DIV/0!</v>
      </c>
      <c r="AB87" s="2438" t="e">
        <f>AB86/AB5</f>
        <v>#DIV/0!</v>
      </c>
      <c r="AC87" s="2136" t="e">
        <f>AC86/AC5</f>
        <v>#DIV/0!</v>
      </c>
      <c r="AD87" s="2440"/>
      <c r="AE87" s="2443"/>
      <c r="AF87" s="2096" t="e">
        <f>AF86/AF5</f>
        <v>#DIV/0!</v>
      </c>
      <c r="AG87" s="2438" t="e">
        <f>AG86/AG5</f>
        <v>#DIV/0!</v>
      </c>
      <c r="AH87" s="2136" t="e">
        <f>AH86/AH5</f>
        <v>#DIV/0!</v>
      </c>
      <c r="AI87" s="2440"/>
      <c r="AJ87" s="2441"/>
      <c r="AK87" s="2096" t="e">
        <f>AK86/AK5</f>
        <v>#DIV/0!</v>
      </c>
      <c r="AL87" s="2438" t="e">
        <f>AL86/AL5</f>
        <v>#DIV/0!</v>
      </c>
      <c r="AM87" s="2136" t="e">
        <f>AM86/AM5</f>
        <v>#DIV/0!</v>
      </c>
      <c r="AN87" s="2440"/>
      <c r="AO87" s="2441"/>
      <c r="AP87" s="2096">
        <f>AP86/AP5</f>
        <v>0.67420675548883824</v>
      </c>
      <c r="AQ87" s="2438" t="e">
        <f>AQ86/AQ5</f>
        <v>#DIV/0!</v>
      </c>
      <c r="AR87" s="2136">
        <f>AR86/AR5</f>
        <v>0.59183560558883352</v>
      </c>
      <c r="AS87" s="2440"/>
      <c r="AT87" s="2441"/>
      <c r="AU87" s="2096" t="e">
        <f>AU86/AU5</f>
        <v>#DIV/0!</v>
      </c>
      <c r="AV87" s="2438" t="e">
        <f>AV86/AV5</f>
        <v>#DIV/0!</v>
      </c>
      <c r="AW87" s="2136" t="e">
        <f>AW86/AW5</f>
        <v>#DIV/0!</v>
      </c>
      <c r="AX87" s="2440"/>
      <c r="AY87" s="2441"/>
      <c r="AZ87" s="2096" t="e">
        <f>AZ86/AZ5</f>
        <v>#DIV/0!</v>
      </c>
      <c r="BA87" s="2438" t="e">
        <f>BA86/BA5</f>
        <v>#DIV/0!</v>
      </c>
      <c r="BB87" s="2136" t="e">
        <f>BB86/BB5</f>
        <v>#DIV/0!</v>
      </c>
      <c r="BC87" s="2440"/>
      <c r="BD87" s="2441"/>
      <c r="BE87" s="2096">
        <f>BE86/BE5</f>
        <v>0.23166402692887028</v>
      </c>
      <c r="BF87" s="2438" t="e">
        <f>BF86/BF5</f>
        <v>#DIV/0!</v>
      </c>
      <c r="BG87" s="2136">
        <f>BG86/BG5</f>
        <v>-6.885127127998629E-2</v>
      </c>
      <c r="BH87" s="2440"/>
      <c r="BI87" s="2441"/>
      <c r="BJ87" s="2096">
        <f>BJ86/BJ5</f>
        <v>0.38836132233553949</v>
      </c>
      <c r="BK87" s="2438" t="e">
        <f>BK86/BK5</f>
        <v>#DIV/0!</v>
      </c>
      <c r="BL87" s="2136">
        <f>BL86/BL5</f>
        <v>0.2546352041872274</v>
      </c>
      <c r="BM87" s="2440"/>
      <c r="BN87" s="2440"/>
      <c r="BO87" s="2299"/>
      <c r="BP87" s="2299"/>
      <c r="BQ87" s="2152"/>
      <c r="BR87" s="2152"/>
      <c r="BS87" s="2191"/>
      <c r="BT87" s="2191"/>
    </row>
    <row r="88" spans="1:72" ht="13.8">
      <c r="A88" s="2444"/>
      <c r="B88" s="2444"/>
      <c r="C88" s="2445"/>
      <c r="D88" s="2445"/>
      <c r="E88" s="2445"/>
      <c r="F88" s="2446"/>
      <c r="G88" s="2446"/>
      <c r="H88" s="2446"/>
      <c r="I88" s="2446"/>
      <c r="J88" s="2446"/>
      <c r="K88" s="2446"/>
      <c r="L88" s="2447"/>
      <c r="M88" s="2447"/>
      <c r="N88" s="2447"/>
      <c r="O88" s="2447"/>
      <c r="P88" s="2446"/>
      <c r="Q88" s="2447"/>
      <c r="R88" s="2447"/>
      <c r="S88" s="2447"/>
      <c r="T88" s="2447"/>
      <c r="U88" s="2448"/>
      <c r="V88" s="2447"/>
      <c r="W88" s="2447"/>
      <c r="X88" s="2447"/>
      <c r="Y88" s="2447"/>
      <c r="Z88" s="2448"/>
      <c r="AA88" s="2447"/>
      <c r="AB88" s="2447"/>
      <c r="AC88" s="2447"/>
      <c r="AD88" s="2447"/>
      <c r="AE88" s="2448"/>
      <c r="AF88" s="2447"/>
      <c r="AG88" s="2447"/>
      <c r="AH88" s="2447"/>
      <c r="AI88" s="2447"/>
      <c r="AJ88" s="2448"/>
      <c r="AK88" s="2447"/>
      <c r="AL88" s="2447"/>
      <c r="AM88" s="2447"/>
      <c r="AN88" s="2447"/>
      <c r="AO88" s="2448"/>
      <c r="AP88" s="2447"/>
      <c r="AQ88" s="2447"/>
      <c r="AR88" s="2447"/>
      <c r="AS88" s="2447"/>
      <c r="AT88" s="2448"/>
      <c r="AU88" s="2447"/>
      <c r="AV88" s="2447"/>
      <c r="AW88" s="2447"/>
      <c r="AX88" s="2447"/>
      <c r="AY88" s="2448"/>
      <c r="AZ88" s="2447"/>
      <c r="BA88" s="2447"/>
      <c r="BB88" s="2447"/>
      <c r="BC88" s="2447"/>
      <c r="BD88" s="2448"/>
      <c r="BE88" s="2447"/>
      <c r="BF88" s="2447"/>
      <c r="BG88" s="2447"/>
      <c r="BH88" s="2447"/>
      <c r="BI88" s="2448"/>
      <c r="BJ88" s="2447"/>
      <c r="BK88" s="2447"/>
      <c r="BL88" s="2447"/>
      <c r="BM88" s="2447"/>
      <c r="BN88" s="2447"/>
      <c r="BO88" s="2447"/>
      <c r="BP88" s="2447"/>
    </row>
    <row r="89" spans="1:72">
      <c r="B89" s="2449" t="s">
        <v>56</v>
      </c>
      <c r="C89" s="2450"/>
      <c r="D89" s="2450"/>
      <c r="E89" s="2451">
        <f>E8+E36+E41+E50+E54+E73+E79+E82+E85</f>
        <v>0</v>
      </c>
      <c r="F89" s="2452"/>
      <c r="G89" s="2452"/>
      <c r="H89" s="2452"/>
      <c r="I89" s="2452">
        <f>I8+I36+I41+I50+I54+I73+I79+I82+I85-I78</f>
        <v>10388453.049533261</v>
      </c>
      <c r="J89" s="2452"/>
      <c r="K89" s="2452"/>
      <c r="N89" s="2451">
        <v>429015.72261975787</v>
      </c>
      <c r="P89" s="2452"/>
      <c r="S89" s="2451">
        <f>S8+S36+S41+S50+S54+S73+S79+S82+S85</f>
        <v>2353215.2779999999</v>
      </c>
      <c r="U89" s="2453"/>
      <c r="X89" s="2451">
        <f>X8+X36+X41+X50+X54+X73+X79+X82+X85</f>
        <v>1373683.1665817834</v>
      </c>
      <c r="Z89" s="2453"/>
      <c r="AC89" s="2451">
        <f>AC8+AC36+AC41+AC50+AC54+AC73+AC79+AC82+AC85</f>
        <v>0</v>
      </c>
      <c r="AE89" s="2453"/>
      <c r="AH89" s="2451">
        <f>AH8+AH36+AH41+AH50+AH54+AH73+AH79+AH82+AH85</f>
        <v>181</v>
      </c>
      <c r="AJ89" s="2453"/>
      <c r="AM89" s="2451">
        <f>AM8+AM36+AM41+AM50+AM54+AM73+AM79+AM82+AM85</f>
        <v>8250.48</v>
      </c>
      <c r="AO89" s="2453"/>
      <c r="AR89" s="2451">
        <f>AR8+AR36+AR41+AR50+AR54+AR73+AR79+AR82+AR85</f>
        <v>787365.19033299212</v>
      </c>
      <c r="AT89" s="2453"/>
      <c r="AW89" s="2451">
        <f>AW8+AW36+AW41+AW50+AW54+AW73+AW79+AW82+AW85</f>
        <v>133701.53574049816</v>
      </c>
      <c r="AY89" s="2453"/>
      <c r="BB89" s="2451">
        <f>BB8+BB36+BB41+BB50+BB54+BB73+BB79+BB82+BB85</f>
        <v>0</v>
      </c>
      <c r="BD89" s="2453"/>
      <c r="BG89" s="2451">
        <f>BG8+BG36+BG41+BG50+BG54+BG73+BG79+BG82+BG85</f>
        <v>521649.88085315045</v>
      </c>
      <c r="BI89" s="2453"/>
      <c r="BL89" s="2451">
        <f>BL8+BL36+BL41+BL50+BL54+BL73+BL79+BL82+BL85-BL78</f>
        <v>5653826.9897599993</v>
      </c>
    </row>
    <row r="90" spans="1:72" s="2457" customFormat="1">
      <c r="A90" s="2454"/>
      <c r="B90" s="2454"/>
      <c r="C90" s="2455"/>
      <c r="D90" s="2455"/>
      <c r="E90" s="2455"/>
      <c r="F90" s="2456"/>
      <c r="G90" s="2456"/>
      <c r="H90" s="2456"/>
      <c r="I90" s="2456"/>
      <c r="J90" s="2456"/>
      <c r="K90" s="2456"/>
      <c r="L90" s="2456"/>
      <c r="M90" s="2456"/>
      <c r="N90" s="2456" t="b">
        <v>1</v>
      </c>
      <c r="O90" s="2456"/>
      <c r="P90" s="2456"/>
      <c r="Q90" s="2456"/>
      <c r="R90" s="2456"/>
      <c r="S90" s="2456"/>
      <c r="T90" s="2456"/>
      <c r="U90" s="2456"/>
      <c r="V90" s="2456"/>
      <c r="W90" s="2456"/>
      <c r="X90" s="2456"/>
      <c r="Y90" s="2456"/>
      <c r="Z90" s="2456"/>
      <c r="AA90" s="2456"/>
      <c r="AB90" s="2456"/>
      <c r="AC90" s="2456"/>
      <c r="AD90" s="2456"/>
      <c r="AE90" s="2456"/>
      <c r="AF90" s="2456"/>
      <c r="AG90" s="2456"/>
      <c r="AH90" s="2456"/>
      <c r="AI90" s="2456"/>
      <c r="AJ90" s="2456"/>
      <c r="AK90" s="2456"/>
      <c r="AL90" s="2456"/>
      <c r="AM90" s="2456"/>
      <c r="AN90" s="2456"/>
      <c r="AO90" s="2456"/>
      <c r="AP90" s="2456"/>
      <c r="AQ90" s="2456"/>
      <c r="AR90" s="2456"/>
      <c r="AS90" s="2456"/>
      <c r="AT90" s="2456"/>
      <c r="AU90" s="2456"/>
      <c r="AV90" s="2456"/>
      <c r="AW90" s="2456"/>
      <c r="AX90" s="2456"/>
      <c r="AY90" s="2456"/>
      <c r="AZ90" s="2456"/>
      <c r="BA90" s="2456"/>
      <c r="BB90" s="2456"/>
      <c r="BC90" s="2456"/>
      <c r="BD90" s="2456"/>
      <c r="BE90" s="2456"/>
      <c r="BF90" s="2456"/>
      <c r="BG90" s="2456"/>
      <c r="BH90" s="2456"/>
      <c r="BI90" s="2456"/>
      <c r="BJ90" s="2456"/>
      <c r="BK90" s="2456"/>
      <c r="BL90" s="2453"/>
      <c r="BM90" s="2456"/>
      <c r="BN90" s="2456"/>
      <c r="BO90" s="2456"/>
      <c r="BP90" s="2456"/>
      <c r="BQ90" s="2152"/>
      <c r="BR90" s="2152"/>
    </row>
    <row r="91" spans="1:72" s="2458" customFormat="1">
      <c r="A91" s="2454"/>
      <c r="B91" s="2454"/>
      <c r="C91" s="2455"/>
      <c r="D91" s="2455"/>
      <c r="E91" s="2455"/>
      <c r="F91" s="2456"/>
      <c r="G91" s="2456"/>
      <c r="H91" s="2456"/>
      <c r="I91" s="2456"/>
      <c r="J91" s="2456"/>
      <c r="K91" s="2456"/>
      <c r="L91" s="2456"/>
      <c r="M91" s="2456"/>
      <c r="N91" s="2456"/>
      <c r="O91" s="2456"/>
      <c r="P91" s="2456"/>
      <c r="Q91" s="2456"/>
      <c r="R91" s="2456"/>
      <c r="S91" s="2456"/>
      <c r="T91" s="2456"/>
      <c r="U91" s="2456"/>
      <c r="V91" s="2456"/>
      <c r="W91" s="2456"/>
      <c r="X91" s="2456"/>
      <c r="Y91" s="2456"/>
      <c r="Z91" s="2456"/>
      <c r="AA91" s="2456"/>
      <c r="AB91" s="2456"/>
      <c r="AC91" s="2456"/>
      <c r="AD91" s="2456"/>
      <c r="AE91" s="2456"/>
      <c r="AF91" s="2456"/>
      <c r="AG91" s="2456"/>
      <c r="AH91" s="2456"/>
      <c r="AI91" s="2456"/>
      <c r="AJ91" s="2456"/>
      <c r="AK91" s="2456"/>
      <c r="AL91" s="2456"/>
      <c r="AM91" s="2456"/>
      <c r="AN91" s="2456"/>
      <c r="AO91" s="2456"/>
      <c r="AP91" s="2456"/>
      <c r="AQ91" s="2456"/>
      <c r="AR91" s="2456"/>
      <c r="AS91" s="2456"/>
      <c r="AT91" s="2456"/>
      <c r="AU91" s="2456"/>
      <c r="AV91" s="2456"/>
      <c r="AW91" s="2456"/>
      <c r="AX91" s="2456"/>
      <c r="AY91" s="2456"/>
      <c r="AZ91" s="2456"/>
      <c r="BA91" s="2456"/>
      <c r="BB91" s="2456"/>
      <c r="BC91" s="2456"/>
      <c r="BD91" s="2456"/>
      <c r="BE91" s="2456"/>
      <c r="BF91" s="2456"/>
      <c r="BG91" s="2456"/>
      <c r="BH91" s="2456"/>
      <c r="BI91" s="2456"/>
      <c r="BJ91" s="2151"/>
      <c r="BK91" s="2151"/>
      <c r="BL91" s="2151"/>
      <c r="BM91" s="2151"/>
      <c r="BN91" s="2151"/>
      <c r="BO91" s="2151"/>
      <c r="BP91" s="2151"/>
      <c r="BQ91" s="2152"/>
      <c r="BR91" s="2152"/>
      <c r="BS91" s="2457"/>
      <c r="BT91" s="2457"/>
    </row>
    <row r="92" spans="1:72" s="2457" customFormat="1">
      <c r="A92" s="2454"/>
      <c r="B92" s="2454"/>
      <c r="C92" s="2456"/>
      <c r="D92" s="2456"/>
      <c r="E92" s="2456"/>
      <c r="F92" s="2456"/>
      <c r="G92" s="2456"/>
      <c r="H92" s="2456"/>
      <c r="I92" s="2456"/>
      <c r="J92" s="2456"/>
      <c r="K92" s="2456"/>
      <c r="L92" s="2456"/>
      <c r="M92" s="2456"/>
      <c r="N92" s="2456"/>
      <c r="O92" s="2456"/>
      <c r="P92" s="2456"/>
      <c r="Q92" s="2456"/>
      <c r="R92" s="2456"/>
      <c r="S92" s="2456"/>
      <c r="T92" s="2456"/>
      <c r="U92" s="2456"/>
      <c r="V92" s="2456"/>
      <c r="W92" s="2456"/>
      <c r="X92" s="2456"/>
      <c r="Y92" s="2456"/>
      <c r="Z92" s="2456"/>
      <c r="AA92" s="2456"/>
      <c r="AB92" s="2456"/>
      <c r="AC92" s="2456"/>
      <c r="AD92" s="2456"/>
      <c r="AE92" s="2456"/>
      <c r="AF92" s="2456"/>
      <c r="AG92" s="2456"/>
      <c r="AH92" s="2456"/>
      <c r="AI92" s="2456"/>
      <c r="AJ92" s="2456"/>
      <c r="AK92" s="2456"/>
      <c r="AL92" s="2456"/>
      <c r="AM92" s="2456"/>
      <c r="AN92" s="2456"/>
      <c r="AO92" s="2456"/>
      <c r="AP92" s="2456"/>
      <c r="AQ92" s="2456"/>
      <c r="AR92" s="2456"/>
      <c r="AS92" s="2456"/>
      <c r="AT92" s="2456"/>
      <c r="AU92" s="2456"/>
      <c r="AV92" s="2456"/>
      <c r="AW92" s="2456"/>
      <c r="AX92" s="2456"/>
      <c r="AY92" s="2456"/>
      <c r="AZ92" s="2456"/>
      <c r="BA92" s="2456"/>
      <c r="BB92" s="2456"/>
      <c r="BC92" s="2456"/>
      <c r="BD92" s="2456"/>
      <c r="BE92" s="2456"/>
      <c r="BF92" s="2456"/>
      <c r="BG92" s="2456"/>
      <c r="BH92" s="2456"/>
      <c r="BI92" s="2456"/>
      <c r="BJ92" s="2151"/>
      <c r="BK92" s="2151"/>
      <c r="BL92" s="2151"/>
      <c r="BM92" s="2151"/>
      <c r="BN92" s="2151"/>
      <c r="BO92" s="2151"/>
      <c r="BP92" s="2151"/>
      <c r="BQ92" s="2152"/>
      <c r="BR92" s="2152"/>
    </row>
    <row r="93" spans="1:72" s="2458" customFormat="1">
      <c r="A93" s="2454"/>
      <c r="B93" s="2459"/>
      <c r="C93" s="2456"/>
      <c r="D93" s="2456"/>
      <c r="E93" s="2456"/>
      <c r="F93" s="2456"/>
      <c r="G93" s="2456"/>
      <c r="H93" s="2456"/>
      <c r="I93" s="2456"/>
      <c r="J93" s="2456"/>
      <c r="K93" s="2456"/>
      <c r="L93" s="2456"/>
      <c r="M93" s="2456"/>
      <c r="N93" s="2456"/>
      <c r="O93" s="2456"/>
      <c r="P93" s="2456"/>
      <c r="Q93" s="2456"/>
      <c r="R93" s="2456"/>
      <c r="S93" s="2456"/>
      <c r="T93" s="2456"/>
      <c r="U93" s="2456"/>
      <c r="V93" s="2456"/>
      <c r="W93" s="2456"/>
      <c r="X93" s="2456"/>
      <c r="Y93" s="2456"/>
      <c r="Z93" s="2456"/>
      <c r="AA93" s="2456"/>
      <c r="AB93" s="2456"/>
      <c r="AC93" s="2456">
        <f>AC5-AC89</f>
        <v>0</v>
      </c>
      <c r="AD93" s="2456"/>
      <c r="AE93" s="2456"/>
      <c r="AF93" s="2456"/>
      <c r="AG93" s="2456"/>
      <c r="AH93" s="2456">
        <f>AH5-AH89</f>
        <v>-181</v>
      </c>
      <c r="AI93" s="2456"/>
      <c r="AJ93" s="2456"/>
      <c r="AK93" s="2456"/>
      <c r="AL93" s="2456"/>
      <c r="AM93" s="2456">
        <f>AM5-AM89</f>
        <v>-8250.48</v>
      </c>
      <c r="AN93" s="2456"/>
      <c r="AO93" s="2456"/>
      <c r="AP93" s="2456"/>
      <c r="AQ93" s="2456"/>
      <c r="AR93" s="2456">
        <f>AR5-AR89</f>
        <v>1141674.1896670079</v>
      </c>
      <c r="AS93" s="2456"/>
      <c r="AT93" s="2456"/>
      <c r="AU93" s="2456"/>
      <c r="AV93" s="2456"/>
      <c r="AW93" s="2456">
        <f>AW5-AW89</f>
        <v>-133701.53574049816</v>
      </c>
      <c r="AX93" s="2456"/>
      <c r="AY93" s="2456"/>
      <c r="AZ93" s="2456"/>
      <c r="BA93" s="2456"/>
      <c r="BB93" s="2456">
        <f>BB5-BB89</f>
        <v>0</v>
      </c>
      <c r="BC93" s="2456"/>
      <c r="BD93" s="2456"/>
      <c r="BE93" s="2456"/>
      <c r="BF93" s="2456"/>
      <c r="BG93" s="2456">
        <f>BG5-BG89</f>
        <v>-33602.670853150426</v>
      </c>
      <c r="BH93" s="2456"/>
      <c r="BI93" s="2456"/>
      <c r="BJ93" s="2151"/>
      <c r="BK93" s="2151"/>
      <c r="BL93" s="2151">
        <v>227559.459</v>
      </c>
      <c r="BM93" s="2151" t="s">
        <v>1353</v>
      </c>
      <c r="BN93" s="2151"/>
      <c r="BO93" s="2151"/>
      <c r="BP93" s="2151"/>
      <c r="BQ93" s="2152"/>
      <c r="BR93" s="2152"/>
      <c r="BS93" s="2457"/>
      <c r="BT93" s="2457"/>
    </row>
    <row r="94" spans="1:72" s="2458" customFormat="1">
      <c r="A94" s="2454"/>
      <c r="B94" s="2459"/>
      <c r="C94" s="2456"/>
      <c r="D94" s="2456"/>
      <c r="E94" s="2456"/>
      <c r="F94" s="2456"/>
      <c r="G94" s="2456"/>
      <c r="H94" s="2456"/>
      <c r="I94" s="2456"/>
      <c r="J94" s="2456"/>
      <c r="K94" s="2456"/>
      <c r="L94" s="2456"/>
      <c r="M94" s="2456"/>
      <c r="N94" s="2456"/>
      <c r="O94" s="2456"/>
      <c r="P94" s="2456"/>
      <c r="Q94" s="2456"/>
      <c r="R94" s="2456"/>
      <c r="S94" s="2456"/>
      <c r="T94" s="2456"/>
      <c r="U94" s="2456"/>
      <c r="V94" s="1343"/>
      <c r="W94" s="2456"/>
      <c r="X94" s="2456"/>
      <c r="Y94" s="2456"/>
      <c r="Z94" s="2456"/>
      <c r="AA94" s="2456"/>
      <c r="AB94" s="2456"/>
      <c r="AC94" s="2456"/>
      <c r="AD94" s="2456"/>
      <c r="AE94" s="2456"/>
      <c r="AF94" s="2456"/>
      <c r="AG94" s="2456"/>
      <c r="AH94" s="2456"/>
      <c r="AI94" s="2456"/>
      <c r="AJ94" s="2456"/>
      <c r="AK94" s="2456"/>
      <c r="AL94" s="2456"/>
      <c r="AM94" s="2456"/>
      <c r="AN94" s="2456"/>
      <c r="AO94" s="2456"/>
      <c r="AP94" s="2456"/>
      <c r="AQ94" s="2456"/>
      <c r="AR94" s="2456"/>
      <c r="AS94" s="2456"/>
      <c r="AT94" s="2456"/>
      <c r="AU94" s="2456"/>
      <c r="AV94" s="2456"/>
      <c r="AW94" s="2456"/>
      <c r="AX94" s="2456"/>
      <c r="AY94" s="2456"/>
      <c r="AZ94" s="2456"/>
      <c r="BA94" s="2456"/>
      <c r="BB94" s="2456"/>
      <c r="BC94" s="2456"/>
      <c r="BD94" s="2456"/>
      <c r="BE94" s="2456"/>
      <c r="BF94" s="2456"/>
      <c r="BG94" s="2456"/>
      <c r="BH94" s="2456"/>
      <c r="BI94" s="2456"/>
      <c r="BJ94" s="2151"/>
      <c r="BK94" s="2151"/>
      <c r="BL94" s="2151">
        <v>1824216.7209999999</v>
      </c>
      <c r="BM94" s="2151"/>
      <c r="BN94" s="2151"/>
      <c r="BO94" s="2151"/>
      <c r="BP94" s="2151"/>
      <c r="BQ94" s="2152"/>
      <c r="BR94" s="2152"/>
      <c r="BS94" s="2457"/>
      <c r="BT94" s="2457"/>
    </row>
    <row r="95" spans="1:72" s="2192" customFormat="1">
      <c r="A95" s="2150"/>
      <c r="B95" s="2460"/>
      <c r="C95" s="2151"/>
      <c r="D95" s="2151"/>
      <c r="E95" s="2151"/>
      <c r="F95" s="2151"/>
      <c r="G95" s="2151"/>
      <c r="H95" s="2151"/>
      <c r="I95" s="2151"/>
      <c r="J95" s="2151"/>
      <c r="K95" s="2151"/>
      <c r="L95" s="2151"/>
      <c r="M95" s="2151"/>
      <c r="N95" s="2151"/>
      <c r="O95" s="2151"/>
      <c r="P95" s="2151"/>
      <c r="Q95" s="2151"/>
      <c r="R95" s="2151"/>
      <c r="S95" s="2151"/>
      <c r="T95" s="2151"/>
      <c r="U95" s="2151"/>
      <c r="V95" s="2151"/>
      <c r="W95" s="2151"/>
      <c r="X95" s="2151"/>
      <c r="Y95" s="2151"/>
      <c r="Z95" s="2151"/>
      <c r="AA95" s="2151"/>
      <c r="AB95" s="2151"/>
      <c r="AC95" s="2151"/>
      <c r="AD95" s="2151"/>
      <c r="AE95" s="2151"/>
      <c r="AF95" s="2151"/>
      <c r="AG95" s="2151"/>
      <c r="AH95" s="2151"/>
      <c r="AI95" s="2151"/>
      <c r="AJ95" s="2151"/>
      <c r="AK95" s="2151"/>
      <c r="AL95" s="2151"/>
      <c r="AM95" s="2151"/>
      <c r="AN95" s="2151"/>
      <c r="AO95" s="2151"/>
      <c r="AP95" s="2151"/>
      <c r="AQ95" s="2151"/>
      <c r="AR95" s="2151"/>
      <c r="AS95" s="2151"/>
      <c r="AT95" s="2151"/>
      <c r="AU95" s="2151"/>
      <c r="AV95" s="2151"/>
      <c r="AW95" s="2151"/>
      <c r="AX95" s="2151"/>
      <c r="AY95" s="2151"/>
      <c r="AZ95" s="2151"/>
      <c r="BA95" s="2151"/>
      <c r="BB95" s="2151"/>
      <c r="BC95" s="2151"/>
      <c r="BD95" s="2151"/>
      <c r="BE95" s="2151"/>
      <c r="BF95" s="2151"/>
      <c r="BG95" s="2151"/>
      <c r="BH95" s="2151"/>
      <c r="BI95" s="2151"/>
      <c r="BJ95" s="2151" t="s">
        <v>1354</v>
      </c>
      <c r="BK95" s="2151"/>
      <c r="BL95" s="2151"/>
      <c r="BM95" s="2151"/>
      <c r="BN95" s="2151"/>
      <c r="BO95" s="2151"/>
      <c r="BP95" s="2151"/>
      <c r="BQ95" s="2152"/>
      <c r="BR95" s="2152"/>
      <c r="BS95" s="2191"/>
      <c r="BT95" s="2191"/>
    </row>
    <row r="96" spans="1:72" s="2192" customFormat="1">
      <c r="A96" s="2150"/>
      <c r="B96" s="2460"/>
      <c r="C96" s="2151"/>
      <c r="D96" s="2151"/>
      <c r="E96" s="2151"/>
      <c r="F96" s="2151"/>
      <c r="G96" s="2151"/>
      <c r="H96" s="2151"/>
      <c r="I96" s="2151"/>
      <c r="J96" s="2151"/>
      <c r="K96" s="2460" t="s">
        <v>1355</v>
      </c>
      <c r="L96" s="2151"/>
      <c r="M96" s="2151"/>
      <c r="N96" s="2151"/>
      <c r="O96" s="2151"/>
      <c r="P96" s="2151"/>
      <c r="Q96" s="2151"/>
      <c r="R96" s="2151"/>
      <c r="S96" s="2151"/>
      <c r="T96" s="2151"/>
      <c r="U96" s="2151"/>
      <c r="V96" s="2151"/>
      <c r="W96" s="2151"/>
      <c r="X96" s="2151"/>
      <c r="Y96" s="2151"/>
      <c r="Z96" s="2151"/>
      <c r="AA96" s="2151"/>
      <c r="AB96" s="2151"/>
      <c r="AC96" s="2151"/>
      <c r="AD96" s="2151"/>
      <c r="AE96" s="2151"/>
      <c r="AF96" s="2151"/>
      <c r="AG96" s="2151"/>
      <c r="AH96" s="2151"/>
      <c r="AI96" s="2151"/>
      <c r="AJ96" s="2151"/>
      <c r="AK96" s="2151"/>
      <c r="AL96" s="2151"/>
      <c r="AM96" s="2151"/>
      <c r="AN96" s="2151"/>
      <c r="AO96" s="2151"/>
      <c r="AP96" s="2151"/>
      <c r="AQ96" s="2151"/>
      <c r="AR96" s="2151"/>
      <c r="AS96" s="2151"/>
      <c r="AT96" s="2151"/>
      <c r="AU96" s="2151"/>
      <c r="AV96" s="2151"/>
      <c r="AW96" s="2151"/>
      <c r="AX96" s="2151"/>
      <c r="AY96" s="2151"/>
      <c r="AZ96" s="2151"/>
      <c r="BA96" s="2151"/>
      <c r="BB96" s="2151"/>
      <c r="BC96" s="2151"/>
      <c r="BD96" s="2151"/>
      <c r="BE96" s="2151"/>
      <c r="BF96" s="2151"/>
      <c r="BG96" s="2151"/>
      <c r="BH96" s="2151"/>
      <c r="BI96" s="2151"/>
      <c r="BJ96" s="2151">
        <v>7315</v>
      </c>
      <c r="BK96" s="2151"/>
      <c r="BL96" s="2151">
        <f>BL94+BL93</f>
        <v>2051776.18</v>
      </c>
      <c r="BM96" s="2151"/>
      <c r="BN96" s="2151"/>
      <c r="BO96" s="2151"/>
      <c r="BP96" s="2151"/>
      <c r="BQ96" s="2152"/>
      <c r="BR96" s="2152"/>
      <c r="BS96" s="2191"/>
      <c r="BT96" s="2191"/>
    </row>
    <row r="97" spans="1:72">
      <c r="C97" s="2151"/>
      <c r="D97" s="2151"/>
      <c r="K97" s="2460" t="s">
        <v>1356</v>
      </c>
      <c r="BJ97" s="2151">
        <v>12410.81</v>
      </c>
    </row>
    <row r="98" spans="1:72" s="2192" customFormat="1">
      <c r="A98" s="2150"/>
      <c r="B98" s="2150"/>
      <c r="C98" s="2151"/>
      <c r="D98" s="2151"/>
      <c r="E98" s="2151"/>
      <c r="F98" s="2151"/>
      <c r="G98" s="2151"/>
      <c r="H98" s="2151"/>
      <c r="I98" s="2151"/>
      <c r="J98" s="2151"/>
      <c r="K98" s="2460" t="s">
        <v>1357</v>
      </c>
      <c r="L98" s="2151"/>
      <c r="M98" s="2151"/>
      <c r="N98" s="2151"/>
      <c r="O98" s="2151"/>
      <c r="P98" s="2151"/>
      <c r="Q98" s="2151"/>
      <c r="R98" s="2151"/>
      <c r="S98" s="2151"/>
      <c r="T98" s="2151"/>
      <c r="U98" s="2151"/>
      <c r="V98" s="2151"/>
      <c r="W98" s="2151"/>
      <c r="X98" s="2151"/>
      <c r="Y98" s="2151"/>
      <c r="Z98" s="2151"/>
      <c r="AA98" s="2151"/>
      <c r="AB98" s="2151"/>
      <c r="AC98" s="2151"/>
      <c r="AD98" s="2151"/>
      <c r="AE98" s="2151"/>
      <c r="AF98" s="2151"/>
      <c r="AG98" s="2151"/>
      <c r="AH98" s="2151"/>
      <c r="AI98" s="2151"/>
      <c r="AJ98" s="2151"/>
      <c r="AK98" s="2151"/>
      <c r="AL98" s="2151"/>
      <c r="AM98" s="2151"/>
      <c r="AN98" s="2151"/>
      <c r="AO98" s="2151"/>
      <c r="AP98" s="2151"/>
      <c r="AQ98" s="2151"/>
      <c r="AR98" s="2151"/>
      <c r="AS98" s="2151"/>
      <c r="AT98" s="2151"/>
      <c r="AU98" s="2151"/>
      <c r="AV98" s="2151"/>
      <c r="AW98" s="2151"/>
      <c r="AX98" s="2151"/>
      <c r="AY98" s="2151"/>
      <c r="AZ98" s="2151"/>
      <c r="BA98" s="2151"/>
      <c r="BB98" s="2151"/>
      <c r="BC98" s="2151"/>
      <c r="BD98" s="2151"/>
      <c r="BE98" s="2151"/>
      <c r="BF98" s="2151"/>
      <c r="BG98" s="2151"/>
      <c r="BH98" s="2151"/>
      <c r="BI98" s="2151"/>
      <c r="BJ98" s="2151">
        <v>14704.080000000016</v>
      </c>
      <c r="BK98" s="2151"/>
      <c r="BL98" s="2151">
        <f>BL96-BL84</f>
        <v>120287.86975999968</v>
      </c>
      <c r="BM98" s="2151"/>
      <c r="BN98" s="2151"/>
      <c r="BO98" s="2151"/>
      <c r="BP98" s="2151"/>
      <c r="BQ98" s="2152"/>
      <c r="BR98" s="2152"/>
      <c r="BS98" s="2191"/>
      <c r="BT98" s="2191"/>
    </row>
    <row r="99" spans="1:72">
      <c r="C99" s="2151"/>
      <c r="D99" s="2151"/>
      <c r="K99" s="2460" t="s">
        <v>1358</v>
      </c>
      <c r="BJ99" s="2151">
        <v>15160.800000000003</v>
      </c>
      <c r="BL99" s="2151">
        <f>-BR16</f>
        <v>-70696.700000000012</v>
      </c>
      <c r="BM99" s="2151" t="s">
        <v>1359</v>
      </c>
    </row>
    <row r="100" spans="1:72">
      <c r="BJ100" s="2151">
        <f>SUM(BJ96:BJ99)</f>
        <v>49590.690000000017</v>
      </c>
      <c r="BL100" s="2151">
        <f>-BJ100</f>
        <v>-49590.690000000017</v>
      </c>
      <c r="BM100" s="2151" t="s">
        <v>1360</v>
      </c>
    </row>
    <row r="101" spans="1:72">
      <c r="C101" s="2461" t="s">
        <v>1355</v>
      </c>
      <c r="BL101" s="2151">
        <f>SUM(BL98:BL100)</f>
        <v>0.47975999965274241</v>
      </c>
    </row>
    <row r="102" spans="1:72">
      <c r="C102" s="2461" t="s">
        <v>1356</v>
      </c>
    </row>
    <row r="103" spans="1:72">
      <c r="C103" s="2461" t="s">
        <v>1357</v>
      </c>
    </row>
    <row r="104" spans="1:72">
      <c r="C104" s="2461" t="s">
        <v>1358</v>
      </c>
    </row>
  </sheetData>
  <mergeCells count="15">
    <mergeCell ref="BJ2:BN3"/>
    <mergeCell ref="BE2:BI3"/>
    <mergeCell ref="AZ2:BD3"/>
    <mergeCell ref="A42:A48"/>
    <mergeCell ref="A2:F2"/>
    <mergeCell ref="L2:P3"/>
    <mergeCell ref="AU2:AY3"/>
    <mergeCell ref="AA2:AE3"/>
    <mergeCell ref="AF2:AJ3"/>
    <mergeCell ref="AK2:AO3"/>
    <mergeCell ref="A3:F3"/>
    <mergeCell ref="V2:Z3"/>
    <mergeCell ref="G2:K3"/>
    <mergeCell ref="Q2:U3"/>
    <mergeCell ref="AP2:AT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pageSetUpPr fitToPage="1"/>
  </sheetPr>
  <dimension ref="A1:BF99"/>
  <sheetViews>
    <sheetView showZeros="0" zoomScale="70" zoomScaleNormal="70" workbookViewId="0">
      <pane xSplit="6" ySplit="5" topLeftCell="AW6"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1"/>
  <cols>
    <col min="1" max="1" width="4.44140625" style="8" customWidth="1"/>
    <col min="2" max="2" width="55" style="8" customWidth="1"/>
    <col min="3" max="3" width="15" style="77" hidden="1" customWidth="1" outlineLevel="1"/>
    <col min="4" max="4" width="15.5546875" style="77" hidden="1" customWidth="1" outlineLevel="1"/>
    <col min="5" max="5" width="16.33203125" style="38" hidden="1" customWidth="1" outlineLevel="1"/>
    <col min="6" max="6" width="9.5546875" style="38" hidden="1" customWidth="1" outlineLevel="1"/>
    <col min="7" max="7" width="16.6640625" style="38" hidden="1" customWidth="1" outlineLevel="1" collapsed="1"/>
    <col min="8" max="11" width="16.6640625" style="38" hidden="1" customWidth="1" outlineLevel="1"/>
    <col min="12" max="12" width="16.6640625" style="1431" hidden="1" customWidth="1" outlineLevel="1" collapsed="1"/>
    <col min="13" max="15" width="16.6640625" style="1431" hidden="1" customWidth="1" outlineLevel="1"/>
    <col min="16" max="16" width="22.6640625" style="1431" hidden="1" customWidth="1" outlineLevel="1"/>
    <col min="17" max="17" width="16.6640625" style="1431" hidden="1" customWidth="1" outlineLevel="1" collapsed="1"/>
    <col min="18" max="20" width="16.6640625" style="1431" hidden="1" customWidth="1" outlineLevel="1"/>
    <col min="21" max="21" width="34.44140625" style="1431" hidden="1" customWidth="1" outlineLevel="1"/>
    <col min="22" max="25" width="16.6640625" style="1586" hidden="1" customWidth="1" outlineLevel="1"/>
    <col min="26" max="26" width="43.6640625" style="1586" hidden="1" customWidth="1" outlineLevel="1"/>
    <col min="27" max="31" width="16.6640625" style="1431" hidden="1" customWidth="1" outlineLevel="1"/>
    <col min="32" max="51" width="16.6640625" style="38" hidden="1" customWidth="1" outlineLevel="1"/>
    <col min="52" max="52" width="16.6640625" style="38" customWidth="1" collapsed="1"/>
    <col min="53" max="56" width="16.6640625" style="38" customWidth="1"/>
    <col min="57" max="57" width="7.44140625" style="1"/>
    <col min="58" max="58" width="15.6640625" style="1" bestFit="1" customWidth="1"/>
    <col min="59" max="16384" width="7.44140625" style="1"/>
  </cols>
  <sheetData>
    <row r="1" spans="1:58" ht="13.8" thickBot="1">
      <c r="C1" s="38"/>
      <c r="D1" s="38"/>
    </row>
    <row r="2" spans="1:58" ht="22.2" customHeight="1" thickBot="1">
      <c r="A2" s="4834" t="s">
        <v>1093</v>
      </c>
      <c r="B2" s="4835"/>
      <c r="C2" s="4835"/>
      <c r="D2" s="4835"/>
      <c r="E2" s="4835"/>
      <c r="F2" s="4836"/>
      <c r="G2" s="4892" t="s">
        <v>1066</v>
      </c>
      <c r="H2" s="4893"/>
      <c r="I2" s="4893"/>
      <c r="J2" s="4893"/>
      <c r="K2" s="1174"/>
      <c r="L2" s="4916" t="s">
        <v>1107</v>
      </c>
      <c r="M2" s="4917"/>
      <c r="N2" s="4917"/>
      <c r="O2" s="4917"/>
      <c r="P2" s="4918"/>
      <c r="Q2" s="4922" t="s">
        <v>1155</v>
      </c>
      <c r="R2" s="4923"/>
      <c r="S2" s="4923"/>
      <c r="T2" s="4923"/>
      <c r="U2" s="4924"/>
      <c r="V2" s="4928" t="s">
        <v>1193</v>
      </c>
      <c r="W2" s="4929"/>
      <c r="X2" s="4929"/>
      <c r="Y2" s="4929"/>
      <c r="Z2" s="4930"/>
      <c r="AA2" s="4934" t="s">
        <v>1232</v>
      </c>
      <c r="AB2" s="4935"/>
      <c r="AC2" s="4935"/>
      <c r="AD2" s="4935"/>
      <c r="AE2" s="4936"/>
      <c r="AF2" s="4898"/>
      <c r="AG2" s="4899"/>
      <c r="AH2" s="4899"/>
      <c r="AI2" s="4899"/>
      <c r="AJ2" s="4900"/>
      <c r="AK2" s="4904"/>
      <c r="AL2" s="4905"/>
      <c r="AM2" s="4905"/>
      <c r="AN2" s="4905"/>
      <c r="AO2" s="4906"/>
      <c r="AP2" s="4910"/>
      <c r="AQ2" s="4911"/>
      <c r="AR2" s="4911"/>
      <c r="AS2" s="4911"/>
      <c r="AT2" s="4912"/>
      <c r="AU2" s="4868"/>
      <c r="AV2" s="4869"/>
      <c r="AW2" s="4869"/>
      <c r="AX2" s="4869"/>
      <c r="AY2" s="4870"/>
      <c r="AZ2" s="4874" t="s">
        <v>469</v>
      </c>
      <c r="BA2" s="4875"/>
      <c r="BB2" s="4875"/>
      <c r="BC2" s="4875"/>
      <c r="BD2" s="4876"/>
    </row>
    <row r="3" spans="1:58" ht="14.4" customHeight="1" thickBot="1">
      <c r="A3" s="4834" t="s">
        <v>54</v>
      </c>
      <c r="B3" s="4835"/>
      <c r="C3" s="4835"/>
      <c r="D3" s="4835"/>
      <c r="E3" s="4835"/>
      <c r="F3" s="4836"/>
      <c r="G3" s="4895"/>
      <c r="H3" s="4896"/>
      <c r="I3" s="4896"/>
      <c r="J3" s="4896"/>
      <c r="K3" s="1175"/>
      <c r="L3" s="4919"/>
      <c r="M3" s="4920"/>
      <c r="N3" s="4920"/>
      <c r="O3" s="4920"/>
      <c r="P3" s="4921"/>
      <c r="Q3" s="4925"/>
      <c r="R3" s="4926"/>
      <c r="S3" s="4926"/>
      <c r="T3" s="4926"/>
      <c r="U3" s="4927"/>
      <c r="V3" s="4931"/>
      <c r="W3" s="4932"/>
      <c r="X3" s="4932"/>
      <c r="Y3" s="4932"/>
      <c r="Z3" s="4933"/>
      <c r="AA3" s="4937"/>
      <c r="AB3" s="4938"/>
      <c r="AC3" s="4938"/>
      <c r="AD3" s="4938"/>
      <c r="AE3" s="4939"/>
      <c r="AF3" s="4901"/>
      <c r="AG3" s="4902"/>
      <c r="AH3" s="4902"/>
      <c r="AI3" s="4902"/>
      <c r="AJ3" s="4903"/>
      <c r="AK3" s="4907"/>
      <c r="AL3" s="4908"/>
      <c r="AM3" s="4908"/>
      <c r="AN3" s="4908"/>
      <c r="AO3" s="4909"/>
      <c r="AP3" s="4913"/>
      <c r="AQ3" s="4914"/>
      <c r="AR3" s="4914"/>
      <c r="AS3" s="4914"/>
      <c r="AT3" s="4915"/>
      <c r="AU3" s="4871"/>
      <c r="AV3" s="4872"/>
      <c r="AW3" s="4872"/>
      <c r="AX3" s="4872"/>
      <c r="AY3" s="4873"/>
      <c r="AZ3" s="4877"/>
      <c r="BA3" s="4878"/>
      <c r="BB3" s="4878"/>
      <c r="BC3" s="4878"/>
      <c r="BD3" s="4879"/>
    </row>
    <row r="4" spans="1:58" ht="41.4" thickBot="1">
      <c r="A4" s="724"/>
      <c r="B4" s="653" t="s">
        <v>11</v>
      </c>
      <c r="C4" s="725" t="s">
        <v>55</v>
      </c>
      <c r="D4" s="725" t="s">
        <v>18</v>
      </c>
      <c r="E4" s="726" t="s">
        <v>39</v>
      </c>
      <c r="F4" s="654" t="s">
        <v>40</v>
      </c>
      <c r="G4" s="632" t="s">
        <v>55</v>
      </c>
      <c r="H4" s="632" t="s">
        <v>18</v>
      </c>
      <c r="I4" s="632" t="s">
        <v>39</v>
      </c>
      <c r="J4" s="654" t="s">
        <v>40</v>
      </c>
      <c r="K4" s="653" t="s">
        <v>19</v>
      </c>
      <c r="L4" s="1473" t="s">
        <v>55</v>
      </c>
      <c r="M4" s="1473" t="s">
        <v>18</v>
      </c>
      <c r="N4" s="1474" t="s">
        <v>39</v>
      </c>
      <c r="O4" s="1551" t="s">
        <v>40</v>
      </c>
      <c r="P4" s="1474" t="s">
        <v>19</v>
      </c>
      <c r="Q4" s="1473" t="s">
        <v>55</v>
      </c>
      <c r="R4" s="1473" t="s">
        <v>18</v>
      </c>
      <c r="S4" s="1474" t="s">
        <v>39</v>
      </c>
      <c r="T4" s="1551" t="s">
        <v>40</v>
      </c>
      <c r="U4" s="1474" t="s">
        <v>19</v>
      </c>
      <c r="V4" s="1767" t="s">
        <v>1201</v>
      </c>
      <c r="W4" s="1767" t="s">
        <v>18</v>
      </c>
      <c r="X4" s="1768" t="s">
        <v>39</v>
      </c>
      <c r="Y4" s="1769" t="s">
        <v>40</v>
      </c>
      <c r="Z4" s="1768" t="s">
        <v>19</v>
      </c>
      <c r="AA4" s="1473" t="s">
        <v>55</v>
      </c>
      <c r="AB4" s="1473" t="s">
        <v>18</v>
      </c>
      <c r="AC4" s="1474" t="s">
        <v>39</v>
      </c>
      <c r="AD4" s="1551" t="s">
        <v>40</v>
      </c>
      <c r="AE4" s="1474" t="s">
        <v>19</v>
      </c>
      <c r="AF4" s="632" t="s">
        <v>55</v>
      </c>
      <c r="AG4" s="632" t="s">
        <v>18</v>
      </c>
      <c r="AH4" s="653" t="s">
        <v>39</v>
      </c>
      <c r="AI4" s="654" t="s">
        <v>40</v>
      </c>
      <c r="AJ4" s="653" t="s">
        <v>19</v>
      </c>
      <c r="AK4" s="632" t="s">
        <v>55</v>
      </c>
      <c r="AL4" s="632" t="s">
        <v>18</v>
      </c>
      <c r="AM4" s="653" t="s">
        <v>39</v>
      </c>
      <c r="AN4" s="654" t="s">
        <v>40</v>
      </c>
      <c r="AO4" s="653" t="s">
        <v>19</v>
      </c>
      <c r="AP4" s="632" t="s">
        <v>55</v>
      </c>
      <c r="AQ4" s="632" t="s">
        <v>18</v>
      </c>
      <c r="AR4" s="653" t="s">
        <v>39</v>
      </c>
      <c r="AS4" s="654" t="s">
        <v>40</v>
      </c>
      <c r="AT4" s="653" t="s">
        <v>19</v>
      </c>
      <c r="AU4" s="632" t="s">
        <v>55</v>
      </c>
      <c r="AV4" s="632" t="s">
        <v>18</v>
      </c>
      <c r="AW4" s="653" t="s">
        <v>39</v>
      </c>
      <c r="AX4" s="654" t="s">
        <v>40</v>
      </c>
      <c r="AY4" s="653" t="s">
        <v>19</v>
      </c>
      <c r="AZ4" s="632" t="s">
        <v>55</v>
      </c>
      <c r="BA4" s="632" t="s">
        <v>18</v>
      </c>
      <c r="BB4" s="653" t="s">
        <v>39</v>
      </c>
      <c r="BC4" s="654" t="s">
        <v>40</v>
      </c>
      <c r="BD4" s="653" t="s">
        <v>19</v>
      </c>
    </row>
    <row r="5" spans="1:58" s="88" customFormat="1" ht="14.4" thickBot="1">
      <c r="A5" s="83"/>
      <c r="B5" s="970" t="s">
        <v>10</v>
      </c>
      <c r="C5" s="684">
        <f>C6</f>
        <v>0</v>
      </c>
      <c r="D5" s="684">
        <f>D6</f>
        <v>0</v>
      </c>
      <c r="E5" s="655">
        <f>E6</f>
        <v>0</v>
      </c>
      <c r="F5" s="620"/>
      <c r="G5" s="633">
        <f>G6</f>
        <v>0</v>
      </c>
      <c r="H5" s="655">
        <f>H6</f>
        <v>0</v>
      </c>
      <c r="I5" s="633">
        <f>I6</f>
        <v>0</v>
      </c>
      <c r="J5" s="655"/>
      <c r="K5" s="620"/>
      <c r="L5" s="1465">
        <f>L6</f>
        <v>0</v>
      </c>
      <c r="M5" s="1466">
        <f>M6</f>
        <v>0</v>
      </c>
      <c r="N5" s="1466">
        <f>N6</f>
        <v>0</v>
      </c>
      <c r="O5" s="1466"/>
      <c r="P5" s="1466"/>
      <c r="Q5" s="1465">
        <f>Q6</f>
        <v>3009973.5300000003</v>
      </c>
      <c r="R5" s="1466">
        <f>R6</f>
        <v>0</v>
      </c>
      <c r="S5" s="1466">
        <f>S6</f>
        <v>3009973.5300000003</v>
      </c>
      <c r="T5" s="1466"/>
      <c r="U5" s="1466"/>
      <c r="V5" s="1770">
        <f>V6</f>
        <v>780431.85</v>
      </c>
      <c r="W5" s="1771">
        <f>W6</f>
        <v>0</v>
      </c>
      <c r="X5" s="1771">
        <f>X6</f>
        <v>780431.85</v>
      </c>
      <c r="Y5" s="1771"/>
      <c r="Z5" s="1771"/>
      <c r="AA5" s="1465">
        <f>AA6</f>
        <v>0</v>
      </c>
      <c r="AB5" s="1466">
        <f>AB6</f>
        <v>0</v>
      </c>
      <c r="AC5" s="1466">
        <f>AC6</f>
        <v>0</v>
      </c>
      <c r="AD5" s="1466"/>
      <c r="AE5" s="1466"/>
      <c r="AF5" s="655">
        <f>AF6</f>
        <v>0</v>
      </c>
      <c r="AG5" s="620">
        <f>AG6</f>
        <v>0</v>
      </c>
      <c r="AH5" s="620">
        <f>AH6</f>
        <v>0</v>
      </c>
      <c r="AI5" s="620"/>
      <c r="AJ5" s="620"/>
      <c r="AK5" s="655">
        <f>AK6</f>
        <v>0</v>
      </c>
      <c r="AL5" s="620">
        <f>AL6</f>
        <v>0</v>
      </c>
      <c r="AM5" s="620">
        <f>AM6</f>
        <v>0</v>
      </c>
      <c r="AN5" s="620"/>
      <c r="AO5" s="620"/>
      <c r="AP5" s="655">
        <f>AP6</f>
        <v>0</v>
      </c>
      <c r="AQ5" s="620">
        <f>AQ6</f>
        <v>0</v>
      </c>
      <c r="AR5" s="620">
        <f>AR6</f>
        <v>0</v>
      </c>
      <c r="AS5" s="620"/>
      <c r="AT5" s="620"/>
      <c r="AU5" s="655">
        <f>AU6</f>
        <v>0</v>
      </c>
      <c r="AV5" s="620">
        <f>AV6</f>
        <v>0</v>
      </c>
      <c r="AW5" s="620">
        <f>AW6</f>
        <v>0</v>
      </c>
      <c r="AX5" s="620"/>
      <c r="AY5" s="620"/>
      <c r="AZ5" s="620">
        <f>AZ6+AZ7</f>
        <v>3790405.3800000004</v>
      </c>
      <c r="BA5" s="620">
        <f>BA6+BA7</f>
        <v>0</v>
      </c>
      <c r="BB5" s="620">
        <f>BB6+BB7</f>
        <v>3790405.3800000004</v>
      </c>
      <c r="BC5" s="620"/>
      <c r="BD5" s="620"/>
    </row>
    <row r="6" spans="1:58" s="2" customFormat="1" ht="55.95" customHeight="1" outlineLevel="1">
      <c r="A6" s="238"/>
      <c r="B6" s="1067" t="s">
        <v>17</v>
      </c>
      <c r="C6" s="1076"/>
      <c r="D6" s="1023"/>
      <c r="E6" s="1178">
        <f>C6+D6</f>
        <v>0</v>
      </c>
      <c r="F6" s="1176"/>
      <c r="G6" s="1024"/>
      <c r="H6" s="1024"/>
      <c r="I6" s="1062">
        <f>G6+H6</f>
        <v>0</v>
      </c>
      <c r="J6" s="1024"/>
      <c r="K6" s="1176"/>
      <c r="L6" s="1746"/>
      <c r="M6" s="1695"/>
      <c r="N6" s="1480">
        <f>L6+M6</f>
        <v>0</v>
      </c>
      <c r="O6" s="1432"/>
      <c r="P6" s="1432"/>
      <c r="Q6" s="1763">
        <v>3009973.5300000003</v>
      </c>
      <c r="R6" s="1432"/>
      <c r="S6" s="1480">
        <f>Q6+R6</f>
        <v>3009973.5300000003</v>
      </c>
      <c r="T6" s="1432"/>
      <c r="U6" s="1762" t="s">
        <v>1182</v>
      </c>
      <c r="V6" s="1772">
        <v>780431.85</v>
      </c>
      <c r="W6" s="1625"/>
      <c r="X6" s="1765">
        <f>V6+W6</f>
        <v>780431.85</v>
      </c>
      <c r="Y6" s="1625"/>
      <c r="Z6" s="1726" t="s">
        <v>1198</v>
      </c>
      <c r="AA6" s="1644"/>
      <c r="AB6" s="1432"/>
      <c r="AC6" s="1480">
        <f>AA6+AB6</f>
        <v>0</v>
      </c>
      <c r="AD6" s="1432"/>
      <c r="AE6" s="1432"/>
      <c r="AF6" s="1024"/>
      <c r="AG6" s="1176"/>
      <c r="AH6" s="1178">
        <f>AF6+AG6</f>
        <v>0</v>
      </c>
      <c r="AI6" s="1176"/>
      <c r="AJ6" s="1176"/>
      <c r="AK6" s="1024"/>
      <c r="AL6" s="1176"/>
      <c r="AM6" s="1178">
        <f>AK6+AL6</f>
        <v>0</v>
      </c>
      <c r="AN6" s="1176"/>
      <c r="AO6" s="1176"/>
      <c r="AP6" s="1024"/>
      <c r="AQ6" s="1176"/>
      <c r="AR6" s="1178">
        <f>AP6+AQ6</f>
        <v>0</v>
      </c>
      <c r="AS6" s="1176"/>
      <c r="AT6" s="1176"/>
      <c r="AU6" s="1024"/>
      <c r="AV6" s="1176"/>
      <c r="AW6" s="1178">
        <f>AU6+AV6</f>
        <v>0</v>
      </c>
      <c r="AX6" s="1176"/>
      <c r="AY6" s="1176"/>
      <c r="AZ6" s="1024">
        <f>G6+L6+Q6+V6+AA6</f>
        <v>3790405.3800000004</v>
      </c>
      <c r="BA6" s="2051">
        <f>H6+M6+R6+W6+AB6</f>
        <v>0</v>
      </c>
      <c r="BB6" s="1178">
        <f>AZ6+BA6</f>
        <v>3790405.3800000004</v>
      </c>
      <c r="BC6" s="1176"/>
      <c r="BD6" s="1176"/>
    </row>
    <row r="7" spans="1:58" s="2" customFormat="1" ht="14.4" outlineLevel="1" collapsed="1" thickBot="1">
      <c r="A7" s="238"/>
      <c r="B7" s="1195" t="s">
        <v>41</v>
      </c>
      <c r="C7" s="1196"/>
      <c r="D7" s="1197"/>
      <c r="E7" s="1178">
        <f>C7+D7</f>
        <v>0</v>
      </c>
      <c r="F7" s="1177"/>
      <c r="G7" s="1024"/>
      <c r="H7" s="1024"/>
      <c r="I7" s="1062">
        <f>G7+H7</f>
        <v>0</v>
      </c>
      <c r="J7" s="1198"/>
      <c r="K7" s="1118"/>
      <c r="L7" s="1746"/>
      <c r="M7" s="1644"/>
      <c r="N7" s="1480">
        <f>L7+M7</f>
        <v>0</v>
      </c>
      <c r="O7" s="1905"/>
      <c r="P7" s="1906"/>
      <c r="Q7" s="1644"/>
      <c r="R7" s="1432"/>
      <c r="S7" s="1480">
        <f>Q7+R7</f>
        <v>0</v>
      </c>
      <c r="T7" s="1905"/>
      <c r="U7" s="1906"/>
      <c r="V7" s="1772"/>
      <c r="W7" s="1625"/>
      <c r="X7" s="1765">
        <f>V7+W7</f>
        <v>0</v>
      </c>
      <c r="Y7" s="1906"/>
      <c r="Z7" s="1906"/>
      <c r="AA7" s="1644"/>
      <c r="AB7" s="1432"/>
      <c r="AC7" s="1480">
        <f>AA7+AB7</f>
        <v>0</v>
      </c>
      <c r="AD7" s="1905"/>
      <c r="AE7" s="1906"/>
      <c r="AF7" s="1024"/>
      <c r="AG7" s="1176"/>
      <c r="AH7" s="1178">
        <f>AF7+AG7</f>
        <v>0</v>
      </c>
      <c r="AI7" s="1177"/>
      <c r="AJ7" s="1118"/>
      <c r="AK7" s="1024"/>
      <c r="AL7" s="1176"/>
      <c r="AM7" s="1178">
        <f>AK7+AL7</f>
        <v>0</v>
      </c>
      <c r="AN7" s="1177"/>
      <c r="AO7" s="1118"/>
      <c r="AP7" s="1024"/>
      <c r="AQ7" s="1176"/>
      <c r="AR7" s="1178">
        <f>AP7+AQ7</f>
        <v>0</v>
      </c>
      <c r="AS7" s="1177"/>
      <c r="AT7" s="1118"/>
      <c r="AU7" s="1024"/>
      <c r="AV7" s="1176"/>
      <c r="AW7" s="1178">
        <f>AU7+AV7</f>
        <v>0</v>
      </c>
      <c r="AX7" s="1177"/>
      <c r="AY7" s="1118"/>
      <c r="AZ7" s="2051">
        <f>G7+L7+Q7+V7+AA7</f>
        <v>0</v>
      </c>
      <c r="BA7" s="2051">
        <f>H7+M7+R7+W7+AB7</f>
        <v>0</v>
      </c>
      <c r="BB7" s="1178">
        <f>AZ7+BA7</f>
        <v>0</v>
      </c>
      <c r="BC7" s="1177"/>
      <c r="BD7" s="1177"/>
    </row>
    <row r="8" spans="1:58" s="88" customFormat="1" ht="14.4" customHeight="1" thickBot="1">
      <c r="A8" s="238"/>
      <c r="B8" s="970" t="s">
        <v>16</v>
      </c>
      <c r="C8" s="618">
        <f>SUM(C9:C33)</f>
        <v>0</v>
      </c>
      <c r="D8" s="618">
        <f>SUM(D9:D33)</f>
        <v>0</v>
      </c>
      <c r="E8" s="619">
        <f>SUM(E9:E33)</f>
        <v>0</v>
      </c>
      <c r="F8" s="577" t="e">
        <f t="shared" ref="F8:F33" si="0">E8/$E$89</f>
        <v>#DIV/0!</v>
      </c>
      <c r="G8" s="618">
        <f>SUM(G9:G33)</f>
        <v>0</v>
      </c>
      <c r="H8" s="619">
        <f>SUM(H9:H33)</f>
        <v>0</v>
      </c>
      <c r="I8" s="618">
        <f>SUM(I9:I33)</f>
        <v>0</v>
      </c>
      <c r="J8" s="908" t="e">
        <f>I8/$I$89</f>
        <v>#DIV/0!</v>
      </c>
      <c r="K8" s="656"/>
      <c r="L8" s="1483">
        <f>SUM(L9:L33)</f>
        <v>424525.6</v>
      </c>
      <c r="M8" s="1484">
        <f>SUM(M9:M33)</f>
        <v>91602.2</v>
      </c>
      <c r="N8" s="1484">
        <f>SUM(N9:N33)</f>
        <v>516127.8</v>
      </c>
      <c r="O8" s="1528">
        <f>N8/$N$89</f>
        <v>0.9671834476873894</v>
      </c>
      <c r="P8" s="1600"/>
      <c r="Q8" s="1483">
        <f>SUM(Q9:Q33)</f>
        <v>1542153.7759999998</v>
      </c>
      <c r="R8" s="1483">
        <f>SUM(R9:R33)</f>
        <v>176759.8</v>
      </c>
      <c r="S8" s="1484">
        <f>SUM(S9:S33)</f>
        <v>1718913.5759999999</v>
      </c>
      <c r="T8" s="1528">
        <f>S8/$S$89</f>
        <v>0.98449645498095295</v>
      </c>
      <c r="U8" s="1600"/>
      <c r="V8" s="1773">
        <f>SUM(V9:V33)</f>
        <v>504659.76600000006</v>
      </c>
      <c r="W8" s="1773">
        <f>SUM(W9:W33)</f>
        <v>136983.20000000001</v>
      </c>
      <c r="X8" s="1774">
        <f>SUM(X9:X33)</f>
        <v>641642.96600000001</v>
      </c>
      <c r="Y8" s="1775">
        <f>X8/$X$89</f>
        <v>0.96924801012518325</v>
      </c>
      <c r="Z8" s="1771"/>
      <c r="AA8" s="1483">
        <f>SUM(AA9:AA33)</f>
        <v>60008.943999999996</v>
      </c>
      <c r="AB8" s="1483">
        <f>SUM(AB9:AB33)</f>
        <v>5890</v>
      </c>
      <c r="AC8" s="1484">
        <f>SUM(AC9:AC33)</f>
        <v>65898.943999999989</v>
      </c>
      <c r="AD8" s="1528">
        <f>AC8/$AC$89</f>
        <v>0.98798505272525583</v>
      </c>
      <c r="AE8" s="1600"/>
      <c r="AF8" s="618">
        <f>SUM(AF9:AF33)</f>
        <v>0</v>
      </c>
      <c r="AG8" s="618">
        <f>SUM(AG9:AG33)</f>
        <v>0</v>
      </c>
      <c r="AH8" s="619">
        <f>SUM(AH9:AH33)</f>
        <v>0</v>
      </c>
      <c r="AI8" s="577" t="e">
        <f>AH8/$AH$89</f>
        <v>#DIV/0!</v>
      </c>
      <c r="AJ8" s="656"/>
      <c r="AK8" s="618">
        <f>SUM(AK9:AK33)</f>
        <v>0</v>
      </c>
      <c r="AL8" s="618">
        <f>SUM(AL9:AL33)</f>
        <v>0</v>
      </c>
      <c r="AM8" s="619">
        <f>SUM(AM9:AM33)</f>
        <v>0</v>
      </c>
      <c r="AN8" s="577" t="e">
        <f>AM8/$AH$89</f>
        <v>#DIV/0!</v>
      </c>
      <c r="AO8" s="656"/>
      <c r="AP8" s="618">
        <f>SUM(AP9:AP33)</f>
        <v>0</v>
      </c>
      <c r="AQ8" s="618">
        <f>SUM(AQ9:AQ33)</f>
        <v>0</v>
      </c>
      <c r="AR8" s="619">
        <f>SUM(AR9:AR33)</f>
        <v>0</v>
      </c>
      <c r="AS8" s="577" t="e">
        <f>AR8/$AR$89</f>
        <v>#DIV/0!</v>
      </c>
      <c r="AT8" s="656"/>
      <c r="AU8" s="618">
        <f>SUM(AU9:AU33)</f>
        <v>0</v>
      </c>
      <c r="AV8" s="618">
        <f>SUM(AV9:AV33)</f>
        <v>0</v>
      </c>
      <c r="AW8" s="619">
        <f>SUM(AW9:AW33)</f>
        <v>0</v>
      </c>
      <c r="AX8" s="577" t="e">
        <f>AW8/$AW$89</f>
        <v>#DIV/0!</v>
      </c>
      <c r="AY8" s="656"/>
      <c r="AZ8" s="618">
        <f>SUM(AZ9:AZ33)</f>
        <v>2531348.0860000001</v>
      </c>
      <c r="BA8" s="618">
        <f>SUM(BA9:BA33)</f>
        <v>411235.19999999995</v>
      </c>
      <c r="BB8" s="619">
        <f>SUM(BB9:BB33)</f>
        <v>2942583.2859999998</v>
      </c>
      <c r="BC8" s="577">
        <f>BB8/$BB$89</f>
        <v>0.97814716950589076</v>
      </c>
      <c r="BD8" s="620"/>
    </row>
    <row r="9" spans="1:58" s="2" customFormat="1" ht="14.4" customHeight="1">
      <c r="A9" s="238"/>
      <c r="B9" s="1067" t="s">
        <v>74</v>
      </c>
      <c r="C9" s="1037"/>
      <c r="D9" s="1038"/>
      <c r="E9" s="1178">
        <f>C9+D9*1.15</f>
        <v>0</v>
      </c>
      <c r="F9" s="1039" t="e">
        <f t="shared" si="0"/>
        <v>#DIV/0!</v>
      </c>
      <c r="G9" s="1025"/>
      <c r="H9" s="1024"/>
      <c r="I9" s="1040">
        <f>G9+H9*1</f>
        <v>0</v>
      </c>
      <c r="J9" s="1267" t="e">
        <f t="shared" ref="J9:J17" si="1">I9/$I$89</f>
        <v>#DIV/0!</v>
      </c>
      <c r="K9" s="1020"/>
      <c r="L9" s="2071">
        <v>12380.36</v>
      </c>
      <c r="M9" s="2059"/>
      <c r="N9" s="2063">
        <v>12380.36</v>
      </c>
      <c r="O9" s="2061">
        <v>2.3199833972150016E-2</v>
      </c>
      <c r="P9" s="2072"/>
      <c r="Q9" s="2059">
        <v>0</v>
      </c>
      <c r="R9" s="2060"/>
      <c r="S9" s="2063">
        <v>0</v>
      </c>
      <c r="T9" s="2061">
        <v>0</v>
      </c>
      <c r="U9" s="2072"/>
      <c r="V9" s="2066"/>
      <c r="W9" s="2069"/>
      <c r="X9" s="2067">
        <v>0</v>
      </c>
      <c r="Y9" s="2068">
        <v>0</v>
      </c>
      <c r="Z9" s="2073"/>
      <c r="AA9" s="1644"/>
      <c r="AB9" s="1432"/>
      <c r="AC9" s="1552">
        <f>AA9+AB9*1</f>
        <v>0</v>
      </c>
      <c r="AD9" s="1877">
        <f>AC9/$AC$89</f>
        <v>0</v>
      </c>
      <c r="AE9" s="1434"/>
      <c r="AF9" s="1024"/>
      <c r="AG9" s="1176"/>
      <c r="AH9" s="1022">
        <f>AF9+AG9*1</f>
        <v>0</v>
      </c>
      <c r="AI9" s="1233" t="e">
        <f t="shared" ref="AI9:AI33" si="2">AH9/$AH$89</f>
        <v>#DIV/0!</v>
      </c>
      <c r="AJ9" s="1043"/>
      <c r="AK9" s="1024"/>
      <c r="AL9" s="1176"/>
      <c r="AM9" s="1022">
        <f>AK9+AL9*1</f>
        <v>0</v>
      </c>
      <c r="AN9" s="1233" t="e">
        <f t="shared" ref="AN9:AN33" si="3">AM9/$AH$89</f>
        <v>#DIV/0!</v>
      </c>
      <c r="AO9" s="1043"/>
      <c r="AP9" s="1024"/>
      <c r="AQ9" s="1176"/>
      <c r="AR9" s="1022">
        <f>AP9+AQ9*1</f>
        <v>0</v>
      </c>
      <c r="AS9" s="1233" t="e">
        <f t="shared" ref="AS9:AS33" si="4">AR9/$AR$89</f>
        <v>#DIV/0!</v>
      </c>
      <c r="AT9" s="1043"/>
      <c r="AU9" s="1024"/>
      <c r="AV9" s="1176"/>
      <c r="AW9" s="1022">
        <f>AU9+AV9*1</f>
        <v>0</v>
      </c>
      <c r="AX9" s="1233" t="e">
        <f t="shared" ref="AX9:AX33" si="5">AW9/$AW$89</f>
        <v>#DIV/0!</v>
      </c>
      <c r="AY9" s="1043"/>
      <c r="AZ9" s="2051">
        <f t="shared" ref="AZ9:AZ33" si="6">G9+L9+Q9+V9+AA9</f>
        <v>12380.36</v>
      </c>
      <c r="BA9" s="2051">
        <f t="shared" ref="BA9:BA33" si="7">H9+M9+R9+W9+AB9</f>
        <v>0</v>
      </c>
      <c r="BB9" s="1022">
        <f t="shared" ref="BB9:BB33" si="8">AZ9+BA9*1</f>
        <v>12380.36</v>
      </c>
      <c r="BC9" s="1233">
        <f t="shared" ref="BC9:BC33" si="9">BB9/$BB$89</f>
        <v>4.1153683394720237E-3</v>
      </c>
      <c r="BD9" s="1043"/>
    </row>
    <row r="10" spans="1:58" s="2" customFormat="1" ht="14.4" customHeight="1">
      <c r="A10" s="238"/>
      <c r="B10" s="1067" t="s">
        <v>72</v>
      </c>
      <c r="C10" s="1037"/>
      <c r="D10" s="1038"/>
      <c r="E10" s="1178">
        <f t="shared" ref="E10:E32" si="10">C10+D10*1.15</f>
        <v>0</v>
      </c>
      <c r="F10" s="1039" t="e">
        <f t="shared" si="0"/>
        <v>#DIV/0!</v>
      </c>
      <c r="G10" s="1025"/>
      <c r="H10" s="1024"/>
      <c r="I10" s="1040">
        <f t="shared" ref="I10:I33" si="11">G10+H10*1</f>
        <v>0</v>
      </c>
      <c r="J10" s="1267" t="e">
        <f t="shared" si="1"/>
        <v>#DIV/0!</v>
      </c>
      <c r="K10" s="1041"/>
      <c r="L10" s="2071">
        <v>2998.97</v>
      </c>
      <c r="M10" s="2059"/>
      <c r="N10" s="2063">
        <v>2998.97</v>
      </c>
      <c r="O10" s="2061">
        <v>5.6198370715761677E-3</v>
      </c>
      <c r="P10" s="2062"/>
      <c r="Q10" s="2059">
        <v>0</v>
      </c>
      <c r="R10" s="2060"/>
      <c r="S10" s="2063">
        <v>0</v>
      </c>
      <c r="T10" s="2061">
        <v>0</v>
      </c>
      <c r="U10" s="2070"/>
      <c r="V10" s="2066"/>
      <c r="W10" s="2069"/>
      <c r="X10" s="2067">
        <v>0</v>
      </c>
      <c r="Y10" s="2068">
        <v>0</v>
      </c>
      <c r="Z10" s="2064"/>
      <c r="AA10" s="1644"/>
      <c r="AB10" s="1432"/>
      <c r="AC10" s="1552">
        <f t="shared" ref="AC10:AC33" si="12">AA10+AB10*1</f>
        <v>0</v>
      </c>
      <c r="AD10" s="1877">
        <f>AC10/$AC$89</f>
        <v>0</v>
      </c>
      <c r="AE10" s="1615"/>
      <c r="AF10" s="1024"/>
      <c r="AG10" s="1176"/>
      <c r="AH10" s="1022">
        <f t="shared" ref="AH10:AH33" si="13">AF10+AG10*1</f>
        <v>0</v>
      </c>
      <c r="AI10" s="1233" t="e">
        <f t="shared" si="2"/>
        <v>#DIV/0!</v>
      </c>
      <c r="AJ10" s="1042"/>
      <c r="AK10" s="1024"/>
      <c r="AL10" s="1176"/>
      <c r="AM10" s="1022">
        <f t="shared" ref="AM10:AM33" si="14">AK10+AL10*1</f>
        <v>0</v>
      </c>
      <c r="AN10" s="1233" t="e">
        <f t="shared" si="3"/>
        <v>#DIV/0!</v>
      </c>
      <c r="AO10" s="1042"/>
      <c r="AP10" s="1024"/>
      <c r="AQ10" s="1176"/>
      <c r="AR10" s="1022">
        <f t="shared" ref="AR10:AR33" si="15">AP10+AQ10*1</f>
        <v>0</v>
      </c>
      <c r="AS10" s="1233" t="e">
        <f t="shared" si="4"/>
        <v>#DIV/0!</v>
      </c>
      <c r="AT10" s="1042"/>
      <c r="AU10" s="1024"/>
      <c r="AV10" s="1176"/>
      <c r="AW10" s="1022">
        <f t="shared" ref="AW10:AW33" si="16">AU10+AV10*1</f>
        <v>0</v>
      </c>
      <c r="AX10" s="1233" t="e">
        <f t="shared" si="5"/>
        <v>#DIV/0!</v>
      </c>
      <c r="AY10" s="1042"/>
      <c r="AZ10" s="2051">
        <f t="shared" si="6"/>
        <v>2998.97</v>
      </c>
      <c r="BA10" s="2051">
        <f t="shared" si="7"/>
        <v>0</v>
      </c>
      <c r="BB10" s="1022">
        <f t="shared" si="8"/>
        <v>2998.97</v>
      </c>
      <c r="BC10" s="1233">
        <f t="shared" si="9"/>
        <v>9.9689073573195068E-4</v>
      </c>
      <c r="BD10" s="1043"/>
    </row>
    <row r="11" spans="1:58" s="2" customFormat="1" ht="18" customHeight="1">
      <c r="A11" s="238"/>
      <c r="B11" s="1067" t="s">
        <v>69</v>
      </c>
      <c r="C11" s="1037"/>
      <c r="D11" s="1038"/>
      <c r="E11" s="1178">
        <f t="shared" si="10"/>
        <v>0</v>
      </c>
      <c r="F11" s="1039" t="e">
        <f t="shared" si="0"/>
        <v>#DIV/0!</v>
      </c>
      <c r="G11" s="1025"/>
      <c r="H11" s="1024"/>
      <c r="I11" s="1040">
        <f t="shared" si="11"/>
        <v>0</v>
      </c>
      <c r="J11" s="1267" t="e">
        <f t="shared" si="1"/>
        <v>#DIV/0!</v>
      </c>
      <c r="K11" s="1041"/>
      <c r="L11" s="2071">
        <v>3383.45</v>
      </c>
      <c r="M11" s="2059"/>
      <c r="N11" s="2063">
        <v>3383.45</v>
      </c>
      <c r="O11" s="2061">
        <v>6.3403227574215099E-3</v>
      </c>
      <c r="P11" s="2062"/>
      <c r="Q11" s="2059">
        <v>0</v>
      </c>
      <c r="R11" s="2060"/>
      <c r="S11" s="2063">
        <v>0</v>
      </c>
      <c r="T11" s="2061">
        <v>0</v>
      </c>
      <c r="U11" s="2070"/>
      <c r="V11" s="2066"/>
      <c r="W11" s="2069"/>
      <c r="X11" s="2067">
        <v>0</v>
      </c>
      <c r="Y11" s="2068">
        <v>0</v>
      </c>
      <c r="Z11" s="2064"/>
      <c r="AA11" s="1644"/>
      <c r="AB11" s="1432"/>
      <c r="AC11" s="1552">
        <f t="shared" si="12"/>
        <v>0</v>
      </c>
      <c r="AD11" s="1877">
        <f>AC11/$AC$89</f>
        <v>0</v>
      </c>
      <c r="AE11" s="1615"/>
      <c r="AF11" s="1024"/>
      <c r="AG11" s="1176"/>
      <c r="AH11" s="1022">
        <f t="shared" si="13"/>
        <v>0</v>
      </c>
      <c r="AI11" s="1233" t="e">
        <f t="shared" si="2"/>
        <v>#DIV/0!</v>
      </c>
      <c r="AJ11" s="1042"/>
      <c r="AK11" s="1024"/>
      <c r="AL11" s="1176"/>
      <c r="AM11" s="1022">
        <f t="shared" si="14"/>
        <v>0</v>
      </c>
      <c r="AN11" s="1233" t="e">
        <f t="shared" si="3"/>
        <v>#DIV/0!</v>
      </c>
      <c r="AO11" s="1042"/>
      <c r="AP11" s="1024"/>
      <c r="AQ11" s="1176"/>
      <c r="AR11" s="1022">
        <f t="shared" si="15"/>
        <v>0</v>
      </c>
      <c r="AS11" s="1233" t="e">
        <f t="shared" si="4"/>
        <v>#DIV/0!</v>
      </c>
      <c r="AT11" s="1042"/>
      <c r="AU11" s="1024"/>
      <c r="AV11" s="1176"/>
      <c r="AW11" s="1022">
        <f t="shared" si="16"/>
        <v>0</v>
      </c>
      <c r="AX11" s="1233" t="e">
        <f t="shared" si="5"/>
        <v>#DIV/0!</v>
      </c>
      <c r="AY11" s="1042"/>
      <c r="AZ11" s="2051">
        <f t="shared" si="6"/>
        <v>3383.45</v>
      </c>
      <c r="BA11" s="2051">
        <f t="shared" si="7"/>
        <v>0</v>
      </c>
      <c r="BB11" s="1022">
        <f t="shared" si="8"/>
        <v>3383.45</v>
      </c>
      <c r="BC11" s="1233">
        <f t="shared" si="9"/>
        <v>1.124696132276171E-3</v>
      </c>
      <c r="BD11" s="1043"/>
    </row>
    <row r="12" spans="1:58" s="2" customFormat="1" ht="30.6" customHeight="1">
      <c r="A12" s="238"/>
      <c r="B12" s="1067" t="s">
        <v>73</v>
      </c>
      <c r="C12" s="1037"/>
      <c r="D12" s="1038"/>
      <c r="E12" s="1178">
        <f t="shared" si="10"/>
        <v>0</v>
      </c>
      <c r="F12" s="1039" t="e">
        <f t="shared" si="0"/>
        <v>#DIV/0!</v>
      </c>
      <c r="G12" s="1025"/>
      <c r="H12" s="1024"/>
      <c r="I12" s="1040">
        <f t="shared" si="11"/>
        <v>0</v>
      </c>
      <c r="J12" s="1267" t="e">
        <f t="shared" si="1"/>
        <v>#DIV/0!</v>
      </c>
      <c r="K12" s="1041"/>
      <c r="L12" s="2071">
        <v>9335.98</v>
      </c>
      <c r="M12" s="2059">
        <v>24762.2</v>
      </c>
      <c r="N12" s="2063">
        <v>34098.18</v>
      </c>
      <c r="O12" s="2061">
        <v>6.3897343433671247E-2</v>
      </c>
      <c r="P12" s="2062" t="s">
        <v>1259</v>
      </c>
      <c r="Q12" s="2066">
        <v>10830.06</v>
      </c>
      <c r="R12" s="2060">
        <v>10157.4</v>
      </c>
      <c r="S12" s="2063">
        <v>20987.46</v>
      </c>
      <c r="T12" s="2061">
        <v>1.3564038863512835E-2</v>
      </c>
      <c r="U12" s="2062" t="s">
        <v>1260</v>
      </c>
      <c r="V12" s="2066">
        <v>4550</v>
      </c>
      <c r="W12" s="2069">
        <v>7093</v>
      </c>
      <c r="X12" s="2067">
        <v>11643</v>
      </c>
      <c r="Y12" s="2068">
        <v>1.7638274890737382E-2</v>
      </c>
      <c r="Z12" s="2064" t="s">
        <v>1197</v>
      </c>
      <c r="AA12" s="1644"/>
      <c r="AB12" s="1432"/>
      <c r="AC12" s="1552">
        <f t="shared" si="12"/>
        <v>0</v>
      </c>
      <c r="AD12" s="1877">
        <f>AC12/$AC$89</f>
        <v>0</v>
      </c>
      <c r="AE12" s="1608"/>
      <c r="AF12" s="1024"/>
      <c r="AG12" s="1176"/>
      <c r="AH12" s="1022">
        <f t="shared" si="13"/>
        <v>0</v>
      </c>
      <c r="AI12" s="1233" t="e">
        <f t="shared" si="2"/>
        <v>#DIV/0!</v>
      </c>
      <c r="AJ12" s="1041"/>
      <c r="AK12" s="1024"/>
      <c r="AL12" s="1176"/>
      <c r="AM12" s="1022">
        <f t="shared" si="14"/>
        <v>0</v>
      </c>
      <c r="AN12" s="1233" t="e">
        <f t="shared" si="3"/>
        <v>#DIV/0!</v>
      </c>
      <c r="AO12" s="1041"/>
      <c r="AP12" s="1024"/>
      <c r="AQ12" s="1176"/>
      <c r="AR12" s="1022">
        <f t="shared" si="15"/>
        <v>0</v>
      </c>
      <c r="AS12" s="1233" t="e">
        <f t="shared" si="4"/>
        <v>#DIV/0!</v>
      </c>
      <c r="AT12" s="1041"/>
      <c r="AU12" s="1024"/>
      <c r="AV12" s="1176"/>
      <c r="AW12" s="1022">
        <f t="shared" si="16"/>
        <v>0</v>
      </c>
      <c r="AX12" s="1233" t="e">
        <f t="shared" si="5"/>
        <v>#DIV/0!</v>
      </c>
      <c r="AY12" s="1041"/>
      <c r="AZ12" s="2051">
        <f t="shared" si="6"/>
        <v>24716.04</v>
      </c>
      <c r="BA12" s="2051">
        <f t="shared" si="7"/>
        <v>42012.6</v>
      </c>
      <c r="BB12" s="1022">
        <f t="shared" si="8"/>
        <v>66728.639999999999</v>
      </c>
      <c r="BC12" s="1233">
        <f t="shared" si="9"/>
        <v>2.2181336600230236E-2</v>
      </c>
      <c r="BD12" s="1043"/>
      <c r="BF12" s="842"/>
    </row>
    <row r="13" spans="1:58" s="2" customFormat="1" ht="18" customHeight="1">
      <c r="A13" s="238"/>
      <c r="B13" s="1067" t="s">
        <v>71</v>
      </c>
      <c r="C13" s="1037"/>
      <c r="D13" s="1038"/>
      <c r="E13" s="1178">
        <f t="shared" si="10"/>
        <v>0</v>
      </c>
      <c r="F13" s="1039" t="e">
        <f t="shared" si="0"/>
        <v>#DIV/0!</v>
      </c>
      <c r="G13" s="1025"/>
      <c r="H13" s="1024"/>
      <c r="I13" s="1040">
        <f t="shared" si="11"/>
        <v>0</v>
      </c>
      <c r="J13" s="1267" t="e">
        <f t="shared" si="1"/>
        <v>#DIV/0!</v>
      </c>
      <c r="K13" s="1041"/>
      <c r="L13" s="2071">
        <v>2261.5100000000002</v>
      </c>
      <c r="M13" s="2059"/>
      <c r="N13" s="2063">
        <v>2261.5100000000002</v>
      </c>
      <c r="O13" s="2061">
        <v>4.2378942556078325E-3</v>
      </c>
      <c r="P13" s="2062"/>
      <c r="Q13" s="2066">
        <v>2623.43</v>
      </c>
      <c r="R13" s="2060"/>
      <c r="S13" s="2063">
        <v>2623.43</v>
      </c>
      <c r="T13" s="2061">
        <v>1.6955032422077505E-3</v>
      </c>
      <c r="U13" s="2070"/>
      <c r="V13" s="2066">
        <v>1102.17</v>
      </c>
      <c r="W13" s="2069"/>
      <c r="X13" s="2067">
        <v>1102.17</v>
      </c>
      <c r="Y13" s="2068">
        <v>1.6697051821973736E-3</v>
      </c>
      <c r="Z13" s="2074" t="s">
        <v>1194</v>
      </c>
      <c r="AA13" s="1644"/>
      <c r="AB13" s="1432"/>
      <c r="AC13" s="1552">
        <f t="shared" si="12"/>
        <v>0</v>
      </c>
      <c r="AD13" s="1877">
        <f t="shared" ref="AD13:AD37" si="17">AC13/$AC$89</f>
        <v>0</v>
      </c>
      <c r="AE13" s="1608"/>
      <c r="AF13" s="1024"/>
      <c r="AG13" s="1176"/>
      <c r="AH13" s="1022">
        <f t="shared" si="13"/>
        <v>0</v>
      </c>
      <c r="AI13" s="1233" t="e">
        <f t="shared" si="2"/>
        <v>#DIV/0!</v>
      </c>
      <c r="AJ13" s="1041"/>
      <c r="AK13" s="1024"/>
      <c r="AL13" s="1176"/>
      <c r="AM13" s="1022">
        <f t="shared" si="14"/>
        <v>0</v>
      </c>
      <c r="AN13" s="1233" t="e">
        <f t="shared" si="3"/>
        <v>#DIV/0!</v>
      </c>
      <c r="AO13" s="1041"/>
      <c r="AP13" s="1024"/>
      <c r="AQ13" s="1176"/>
      <c r="AR13" s="1022">
        <f t="shared" si="15"/>
        <v>0</v>
      </c>
      <c r="AS13" s="1233" t="e">
        <f t="shared" si="4"/>
        <v>#DIV/0!</v>
      </c>
      <c r="AT13" s="1041"/>
      <c r="AU13" s="1024"/>
      <c r="AV13" s="1176"/>
      <c r="AW13" s="1022">
        <f t="shared" si="16"/>
        <v>0</v>
      </c>
      <c r="AX13" s="1233" t="e">
        <f t="shared" si="5"/>
        <v>#DIV/0!</v>
      </c>
      <c r="AY13" s="1041"/>
      <c r="AZ13" s="2051">
        <f t="shared" si="6"/>
        <v>5987.1100000000006</v>
      </c>
      <c r="BA13" s="2051">
        <f t="shared" si="7"/>
        <v>0</v>
      </c>
      <c r="BB13" s="1022">
        <f t="shared" si="8"/>
        <v>5987.1100000000006</v>
      </c>
      <c r="BC13" s="1233">
        <f t="shared" si="9"/>
        <v>1.9901814599039406E-3</v>
      </c>
      <c r="BD13" s="1043"/>
    </row>
    <row r="14" spans="1:58" s="2" customFormat="1" ht="18" customHeight="1">
      <c r="A14" s="238"/>
      <c r="B14" s="1067" t="s">
        <v>70</v>
      </c>
      <c r="C14" s="1037"/>
      <c r="D14" s="1038"/>
      <c r="E14" s="1178">
        <f t="shared" si="10"/>
        <v>0</v>
      </c>
      <c r="F14" s="1039" t="e">
        <f t="shared" si="0"/>
        <v>#DIV/0!</v>
      </c>
      <c r="G14" s="1025"/>
      <c r="H14" s="1024"/>
      <c r="I14" s="1040">
        <f t="shared" si="11"/>
        <v>0</v>
      </c>
      <c r="J14" s="1267" t="e">
        <f t="shared" si="1"/>
        <v>#DIV/0!</v>
      </c>
      <c r="K14" s="1041"/>
      <c r="L14" s="2071">
        <v>2551.4499999999998</v>
      </c>
      <c r="M14" s="2059"/>
      <c r="N14" s="2063">
        <v>2551.4499999999998</v>
      </c>
      <c r="O14" s="2061">
        <v>4.7812193173899752E-3</v>
      </c>
      <c r="P14" s="2062"/>
      <c r="Q14" s="2066">
        <v>2959.77</v>
      </c>
      <c r="R14" s="2060"/>
      <c r="S14" s="2063">
        <v>2959.77</v>
      </c>
      <c r="T14" s="2061">
        <v>1.912877275623605E-3</v>
      </c>
      <c r="U14" s="2070"/>
      <c r="V14" s="2066">
        <v>1243.48</v>
      </c>
      <c r="W14" s="2069"/>
      <c r="X14" s="2067">
        <v>1243.48</v>
      </c>
      <c r="Y14" s="2068">
        <v>1.883779271762786E-3</v>
      </c>
      <c r="Z14" s="2074" t="s">
        <v>1194</v>
      </c>
      <c r="AA14" s="1644"/>
      <c r="AB14" s="1432"/>
      <c r="AC14" s="1552">
        <f t="shared" si="12"/>
        <v>0</v>
      </c>
      <c r="AD14" s="1877">
        <f t="shared" si="17"/>
        <v>0</v>
      </c>
      <c r="AE14" s="1608"/>
      <c r="AF14" s="1024"/>
      <c r="AG14" s="1176"/>
      <c r="AH14" s="1022">
        <f t="shared" si="13"/>
        <v>0</v>
      </c>
      <c r="AI14" s="1233" t="e">
        <f t="shared" si="2"/>
        <v>#DIV/0!</v>
      </c>
      <c r="AJ14" s="1041"/>
      <c r="AK14" s="1024"/>
      <c r="AL14" s="1176"/>
      <c r="AM14" s="1022">
        <f t="shared" si="14"/>
        <v>0</v>
      </c>
      <c r="AN14" s="1233" t="e">
        <f t="shared" si="3"/>
        <v>#DIV/0!</v>
      </c>
      <c r="AO14" s="1041"/>
      <c r="AP14" s="1024"/>
      <c r="AQ14" s="1176"/>
      <c r="AR14" s="1022">
        <f t="shared" si="15"/>
        <v>0</v>
      </c>
      <c r="AS14" s="1233" t="e">
        <f t="shared" si="4"/>
        <v>#DIV/0!</v>
      </c>
      <c r="AT14" s="1041"/>
      <c r="AU14" s="1024"/>
      <c r="AV14" s="1176"/>
      <c r="AW14" s="1022">
        <f t="shared" si="16"/>
        <v>0</v>
      </c>
      <c r="AX14" s="1233" t="e">
        <f t="shared" si="5"/>
        <v>#DIV/0!</v>
      </c>
      <c r="AY14" s="1041"/>
      <c r="AZ14" s="2051">
        <f t="shared" si="6"/>
        <v>6754.6999999999989</v>
      </c>
      <c r="BA14" s="2051">
        <f t="shared" si="7"/>
        <v>0</v>
      </c>
      <c r="BB14" s="1022">
        <f t="shared" si="8"/>
        <v>6754.6999999999989</v>
      </c>
      <c r="BC14" s="1233">
        <f t="shared" si="9"/>
        <v>2.2453368498679903E-3</v>
      </c>
      <c r="BD14" s="1043"/>
    </row>
    <row r="15" spans="1:58" s="2" customFormat="1" ht="18" customHeight="1">
      <c r="A15" s="238"/>
      <c r="B15" s="1258" t="s">
        <v>20</v>
      </c>
      <c r="C15" s="1037"/>
      <c r="D15" s="1230"/>
      <c r="E15" s="1178">
        <f t="shared" si="10"/>
        <v>0</v>
      </c>
      <c r="F15" s="1039" t="e">
        <f t="shared" si="0"/>
        <v>#DIV/0!</v>
      </c>
      <c r="G15" s="1025"/>
      <c r="H15" s="1024"/>
      <c r="I15" s="1040">
        <f t="shared" si="11"/>
        <v>0</v>
      </c>
      <c r="J15" s="1267" t="e">
        <f t="shared" si="1"/>
        <v>#DIV/0!</v>
      </c>
      <c r="K15" s="1041"/>
      <c r="L15" s="2071"/>
      <c r="M15" s="2059"/>
      <c r="N15" s="2063">
        <v>0</v>
      </c>
      <c r="O15" s="2061">
        <v>0</v>
      </c>
      <c r="P15" s="2062"/>
      <c r="Q15" s="2059"/>
      <c r="R15" s="2060"/>
      <c r="S15" s="2063">
        <v>0</v>
      </c>
      <c r="T15" s="2061">
        <v>0</v>
      </c>
      <c r="U15" s="2070"/>
      <c r="V15" s="2066"/>
      <c r="W15" s="2069"/>
      <c r="X15" s="2067">
        <v>0</v>
      </c>
      <c r="Y15" s="2068">
        <v>0</v>
      </c>
      <c r="Z15" s="2064"/>
      <c r="AA15" s="1644"/>
      <c r="AB15" s="1432"/>
      <c r="AC15" s="1552">
        <f t="shared" si="12"/>
        <v>0</v>
      </c>
      <c r="AD15" s="1877">
        <f t="shared" si="17"/>
        <v>0</v>
      </c>
      <c r="AE15" s="1608"/>
      <c r="AF15" s="1024"/>
      <c r="AG15" s="1176"/>
      <c r="AH15" s="1022">
        <f t="shared" si="13"/>
        <v>0</v>
      </c>
      <c r="AI15" s="1233" t="e">
        <f t="shared" si="2"/>
        <v>#DIV/0!</v>
      </c>
      <c r="AJ15" s="1041"/>
      <c r="AK15" s="1024"/>
      <c r="AL15" s="1176"/>
      <c r="AM15" s="1022">
        <f t="shared" si="14"/>
        <v>0</v>
      </c>
      <c r="AN15" s="1233" t="e">
        <f t="shared" si="3"/>
        <v>#DIV/0!</v>
      </c>
      <c r="AO15" s="1041"/>
      <c r="AP15" s="1024"/>
      <c r="AQ15" s="1176"/>
      <c r="AR15" s="1022">
        <f t="shared" si="15"/>
        <v>0</v>
      </c>
      <c r="AS15" s="1233" t="e">
        <f t="shared" si="4"/>
        <v>#DIV/0!</v>
      </c>
      <c r="AT15" s="1041"/>
      <c r="AU15" s="1024"/>
      <c r="AV15" s="1176"/>
      <c r="AW15" s="1022">
        <f t="shared" si="16"/>
        <v>0</v>
      </c>
      <c r="AX15" s="1233" t="e">
        <f t="shared" si="5"/>
        <v>#DIV/0!</v>
      </c>
      <c r="AY15" s="1041"/>
      <c r="AZ15" s="2051">
        <f t="shared" si="6"/>
        <v>0</v>
      </c>
      <c r="BA15" s="2051">
        <f t="shared" si="7"/>
        <v>0</v>
      </c>
      <c r="BB15" s="1022">
        <f t="shared" si="8"/>
        <v>0</v>
      </c>
      <c r="BC15" s="1233">
        <f t="shared" si="9"/>
        <v>0</v>
      </c>
      <c r="BD15" s="1043"/>
    </row>
    <row r="16" spans="1:58" s="2" customFormat="1" ht="33.6" customHeight="1">
      <c r="A16" s="238"/>
      <c r="B16" s="1258" t="s">
        <v>21</v>
      </c>
      <c r="C16" s="1037"/>
      <c r="D16" s="1230"/>
      <c r="E16" s="1178">
        <f t="shared" si="10"/>
        <v>0</v>
      </c>
      <c r="F16" s="1039" t="e">
        <f t="shared" si="0"/>
        <v>#DIV/0!</v>
      </c>
      <c r="G16" s="1025"/>
      <c r="H16" s="1024"/>
      <c r="I16" s="1040">
        <f t="shared" si="11"/>
        <v>0</v>
      </c>
      <c r="J16" s="1267" t="e">
        <f t="shared" si="1"/>
        <v>#DIV/0!</v>
      </c>
      <c r="K16" s="1041"/>
      <c r="L16" s="2052"/>
      <c r="M16" s="2051"/>
      <c r="N16" s="2045">
        <v>0</v>
      </c>
      <c r="O16" s="2044">
        <v>0</v>
      </c>
      <c r="P16" s="2046" t="s">
        <v>950</v>
      </c>
      <c r="Q16" s="2066"/>
      <c r="R16" s="2069">
        <v>138795.4</v>
      </c>
      <c r="S16" s="2067">
        <v>138795.4</v>
      </c>
      <c r="T16" s="2068">
        <v>8.9702431817704931E-2</v>
      </c>
      <c r="U16" s="2065" t="s">
        <v>1255</v>
      </c>
      <c r="V16" s="2066"/>
      <c r="W16" s="2069">
        <v>116787.2</v>
      </c>
      <c r="X16" s="2067">
        <v>116787.2</v>
      </c>
      <c r="Y16" s="2068">
        <v>0.17692388021296268</v>
      </c>
      <c r="Z16" s="2064" t="s">
        <v>1256</v>
      </c>
      <c r="AA16" s="1644"/>
      <c r="AB16" s="1432"/>
      <c r="AC16" s="1552">
        <f t="shared" si="12"/>
        <v>0</v>
      </c>
      <c r="AD16" s="1877">
        <f t="shared" si="17"/>
        <v>0</v>
      </c>
      <c r="AE16" s="1608"/>
      <c r="AF16" s="1024"/>
      <c r="AG16" s="1032"/>
      <c r="AH16" s="1022">
        <f t="shared" si="13"/>
        <v>0</v>
      </c>
      <c r="AI16" s="1233" t="e">
        <f t="shared" si="2"/>
        <v>#DIV/0!</v>
      </c>
      <c r="AJ16" s="1021"/>
      <c r="AK16" s="1024"/>
      <c r="AL16" s="1176"/>
      <c r="AM16" s="1022">
        <f t="shared" si="14"/>
        <v>0</v>
      </c>
      <c r="AN16" s="1233" t="e">
        <f t="shared" si="3"/>
        <v>#DIV/0!</v>
      </c>
      <c r="AO16" s="1021"/>
      <c r="AP16" s="1024"/>
      <c r="AQ16" s="1176"/>
      <c r="AR16" s="1022">
        <f t="shared" si="15"/>
        <v>0</v>
      </c>
      <c r="AS16" s="1233" t="e">
        <f t="shared" si="4"/>
        <v>#DIV/0!</v>
      </c>
      <c r="AT16" s="1021"/>
      <c r="AU16" s="1024"/>
      <c r="AV16" s="1176"/>
      <c r="AW16" s="1022">
        <f t="shared" si="16"/>
        <v>0</v>
      </c>
      <c r="AX16" s="1233" t="e">
        <f t="shared" si="5"/>
        <v>#DIV/0!</v>
      </c>
      <c r="AY16" s="1021"/>
      <c r="AZ16" s="2051">
        <f t="shared" si="6"/>
        <v>0</v>
      </c>
      <c r="BA16" s="2051">
        <f t="shared" si="7"/>
        <v>255582.59999999998</v>
      </c>
      <c r="BB16" s="1022">
        <f t="shared" si="8"/>
        <v>255582.59999999998</v>
      </c>
      <c r="BC16" s="1233">
        <f t="shared" si="9"/>
        <v>8.4958477795471388E-2</v>
      </c>
      <c r="BD16" s="1043"/>
    </row>
    <row r="17" spans="1:57" s="2" customFormat="1" ht="18" customHeight="1">
      <c r="A17" s="238"/>
      <c r="B17" s="1258" t="s">
        <v>22</v>
      </c>
      <c r="C17" s="1037"/>
      <c r="D17" s="1230"/>
      <c r="E17" s="1178">
        <f t="shared" si="10"/>
        <v>0</v>
      </c>
      <c r="F17" s="1039" t="e">
        <f t="shared" si="0"/>
        <v>#DIV/0!</v>
      </c>
      <c r="G17" s="1025"/>
      <c r="H17" s="1024"/>
      <c r="I17" s="1040">
        <f t="shared" si="11"/>
        <v>0</v>
      </c>
      <c r="J17" s="1267" t="e">
        <f t="shared" si="1"/>
        <v>#DIV/0!</v>
      </c>
      <c r="K17" s="1041"/>
      <c r="L17" s="2052"/>
      <c r="M17" s="2051"/>
      <c r="N17" s="2045">
        <v>0</v>
      </c>
      <c r="O17" s="2044">
        <v>0</v>
      </c>
      <c r="P17" s="2046"/>
      <c r="Q17" s="2051"/>
      <c r="R17" s="2043"/>
      <c r="S17" s="2045">
        <v>0</v>
      </c>
      <c r="T17" s="2044">
        <v>0</v>
      </c>
      <c r="U17" s="2048"/>
      <c r="V17" s="2056"/>
      <c r="W17" s="2050"/>
      <c r="X17" s="2057">
        <v>0</v>
      </c>
      <c r="Y17" s="2058">
        <v>0</v>
      </c>
      <c r="Z17" s="2047"/>
      <c r="AA17" s="1644"/>
      <c r="AB17" s="1432"/>
      <c r="AC17" s="1552">
        <f t="shared" si="12"/>
        <v>0</v>
      </c>
      <c r="AD17" s="1877">
        <f t="shared" si="17"/>
        <v>0</v>
      </c>
      <c r="AE17" s="1608"/>
      <c r="AF17" s="1024"/>
      <c r="AG17" s="1176"/>
      <c r="AH17" s="1022">
        <f t="shared" si="13"/>
        <v>0</v>
      </c>
      <c r="AI17" s="1233" t="e">
        <f t="shared" si="2"/>
        <v>#DIV/0!</v>
      </c>
      <c r="AJ17" s="1041"/>
      <c r="AK17" s="1024"/>
      <c r="AL17" s="1176"/>
      <c r="AM17" s="1022">
        <f t="shared" si="14"/>
        <v>0</v>
      </c>
      <c r="AN17" s="1233" t="e">
        <f t="shared" si="3"/>
        <v>#DIV/0!</v>
      </c>
      <c r="AO17" s="1041"/>
      <c r="AP17" s="1024"/>
      <c r="AQ17" s="1176"/>
      <c r="AR17" s="1022">
        <f t="shared" si="15"/>
        <v>0</v>
      </c>
      <c r="AS17" s="1233" t="e">
        <f t="shared" si="4"/>
        <v>#DIV/0!</v>
      </c>
      <c r="AT17" s="1041"/>
      <c r="AU17" s="1024"/>
      <c r="AV17" s="1176"/>
      <c r="AW17" s="1022">
        <f t="shared" si="16"/>
        <v>0</v>
      </c>
      <c r="AX17" s="1233" t="e">
        <f t="shared" si="5"/>
        <v>#DIV/0!</v>
      </c>
      <c r="AY17" s="1041"/>
      <c r="AZ17" s="2051">
        <f t="shared" si="6"/>
        <v>0</v>
      </c>
      <c r="BA17" s="2051">
        <f t="shared" si="7"/>
        <v>0</v>
      </c>
      <c r="BB17" s="1022">
        <f t="shared" si="8"/>
        <v>0</v>
      </c>
      <c r="BC17" s="1233">
        <f t="shared" si="9"/>
        <v>0</v>
      </c>
      <c r="BD17" s="1043"/>
    </row>
    <row r="18" spans="1:57" s="2" customFormat="1" ht="18" customHeight="1">
      <c r="A18" s="238"/>
      <c r="B18" s="1258" t="s">
        <v>0</v>
      </c>
      <c r="C18" s="1037"/>
      <c r="D18" s="1230"/>
      <c r="E18" s="1178">
        <f t="shared" si="10"/>
        <v>0</v>
      </c>
      <c r="F18" s="1039" t="e">
        <f t="shared" si="0"/>
        <v>#DIV/0!</v>
      </c>
      <c r="G18" s="1025"/>
      <c r="H18" s="1024"/>
      <c r="I18" s="1040">
        <f t="shared" si="11"/>
        <v>0</v>
      </c>
      <c r="J18" s="1267" t="e">
        <f>I18/$I$89</f>
        <v>#DIV/0!</v>
      </c>
      <c r="K18" s="1054"/>
      <c r="L18" s="2052">
        <v>378000</v>
      </c>
      <c r="M18" s="2051">
        <v>10647</v>
      </c>
      <c r="N18" s="2045">
        <v>388647</v>
      </c>
      <c r="O18" s="2044">
        <v>0.72829432050232679</v>
      </c>
      <c r="P18" s="2046" t="s">
        <v>1139</v>
      </c>
      <c r="Q18" s="2054"/>
      <c r="R18" s="2043">
        <v>0</v>
      </c>
      <c r="S18" s="2045">
        <v>0</v>
      </c>
      <c r="T18" s="2044">
        <v>0</v>
      </c>
      <c r="U18" s="2053"/>
      <c r="V18" s="2056"/>
      <c r="W18" s="2050"/>
      <c r="X18" s="2057">
        <v>0</v>
      </c>
      <c r="Y18" s="2058">
        <v>0</v>
      </c>
      <c r="Z18" s="2055"/>
      <c r="AA18" s="1644"/>
      <c r="AB18" s="1432"/>
      <c r="AC18" s="1552">
        <f t="shared" si="12"/>
        <v>0</v>
      </c>
      <c r="AD18" s="1877">
        <f t="shared" si="17"/>
        <v>0</v>
      </c>
      <c r="AE18" s="1590"/>
      <c r="AF18" s="1024"/>
      <c r="AG18" s="1176"/>
      <c r="AH18" s="1022">
        <f t="shared" si="13"/>
        <v>0</v>
      </c>
      <c r="AI18" s="1233" t="e">
        <f t="shared" si="2"/>
        <v>#DIV/0!</v>
      </c>
      <c r="AJ18" s="1021"/>
      <c r="AK18" s="1024"/>
      <c r="AL18" s="1176"/>
      <c r="AM18" s="1022">
        <f t="shared" si="14"/>
        <v>0</v>
      </c>
      <c r="AN18" s="1233" t="e">
        <f t="shared" si="3"/>
        <v>#DIV/0!</v>
      </c>
      <c r="AO18" s="1021"/>
      <c r="AP18" s="1024"/>
      <c r="AQ18" s="1176"/>
      <c r="AR18" s="1022">
        <f t="shared" si="15"/>
        <v>0</v>
      </c>
      <c r="AS18" s="1233" t="e">
        <f t="shared" si="4"/>
        <v>#DIV/0!</v>
      </c>
      <c r="AT18" s="1021"/>
      <c r="AU18" s="1024"/>
      <c r="AV18" s="1176"/>
      <c r="AW18" s="1022">
        <f t="shared" si="16"/>
        <v>0</v>
      </c>
      <c r="AX18" s="1233" t="e">
        <f t="shared" si="5"/>
        <v>#DIV/0!</v>
      </c>
      <c r="AY18" s="1021"/>
      <c r="AZ18" s="2051">
        <f t="shared" si="6"/>
        <v>378000</v>
      </c>
      <c r="BA18" s="2051">
        <f t="shared" si="7"/>
        <v>10647</v>
      </c>
      <c r="BB18" s="1022">
        <f t="shared" si="8"/>
        <v>388647</v>
      </c>
      <c r="BC18" s="1233">
        <f t="shared" si="9"/>
        <v>0.12919055334665416</v>
      </c>
      <c r="BD18" s="1043"/>
    </row>
    <row r="19" spans="1:57" s="2" customFormat="1" ht="18" customHeight="1">
      <c r="A19" s="238"/>
      <c r="B19" s="1258" t="s">
        <v>53</v>
      </c>
      <c r="C19" s="1101"/>
      <c r="D19" s="1230"/>
      <c r="E19" s="1178">
        <f t="shared" si="10"/>
        <v>0</v>
      </c>
      <c r="F19" s="1039" t="e">
        <f t="shared" si="0"/>
        <v>#DIV/0!</v>
      </c>
      <c r="G19" s="1025"/>
      <c r="H19" s="1024"/>
      <c r="I19" s="1040">
        <f t="shared" si="11"/>
        <v>0</v>
      </c>
      <c r="J19" s="1267" t="e">
        <f t="shared" ref="J19:J37" si="18">I19/$I$89</f>
        <v>#DIV/0!</v>
      </c>
      <c r="K19" s="1041"/>
      <c r="L19" s="2052"/>
      <c r="M19" s="2051">
        <v>1500</v>
      </c>
      <c r="N19" s="2045">
        <v>1500</v>
      </c>
      <c r="O19" s="2044">
        <v>2.8108836058260843E-3</v>
      </c>
      <c r="P19" s="2046" t="s">
        <v>1127</v>
      </c>
      <c r="Q19" s="2051"/>
      <c r="R19" s="2043">
        <v>200</v>
      </c>
      <c r="S19" s="2045">
        <v>200</v>
      </c>
      <c r="T19" s="2044">
        <v>1.292585083046051E-4</v>
      </c>
      <c r="U19" s="2046" t="s">
        <v>1183</v>
      </c>
      <c r="V19" s="2056"/>
      <c r="W19" s="2050"/>
      <c r="X19" s="2057">
        <v>0</v>
      </c>
      <c r="Y19" s="2058">
        <v>0</v>
      </c>
      <c r="Z19" s="2047"/>
      <c r="AA19" s="1644"/>
      <c r="AB19" s="1432"/>
      <c r="AC19" s="1552">
        <f t="shared" si="12"/>
        <v>0</v>
      </c>
      <c r="AD19" s="1877">
        <f t="shared" si="17"/>
        <v>0</v>
      </c>
      <c r="AE19" s="1608"/>
      <c r="AF19" s="1024"/>
      <c r="AG19" s="1176"/>
      <c r="AH19" s="1022">
        <f t="shared" si="13"/>
        <v>0</v>
      </c>
      <c r="AI19" s="1233" t="e">
        <f t="shared" si="2"/>
        <v>#DIV/0!</v>
      </c>
      <c r="AJ19" s="1041"/>
      <c r="AK19" s="1024"/>
      <c r="AL19" s="1176"/>
      <c r="AM19" s="1022">
        <f t="shared" si="14"/>
        <v>0</v>
      </c>
      <c r="AN19" s="1233" t="e">
        <f t="shared" si="3"/>
        <v>#DIV/0!</v>
      </c>
      <c r="AO19" s="1041"/>
      <c r="AP19" s="1024"/>
      <c r="AQ19" s="1176"/>
      <c r="AR19" s="1022">
        <f t="shared" si="15"/>
        <v>0</v>
      </c>
      <c r="AS19" s="1233" t="e">
        <f t="shared" si="4"/>
        <v>#DIV/0!</v>
      </c>
      <c r="AT19" s="1041"/>
      <c r="AU19" s="1024"/>
      <c r="AV19" s="1176"/>
      <c r="AW19" s="1022">
        <f t="shared" si="16"/>
        <v>0</v>
      </c>
      <c r="AX19" s="1233" t="e">
        <f t="shared" si="5"/>
        <v>#DIV/0!</v>
      </c>
      <c r="AY19" s="1041"/>
      <c r="AZ19" s="2051">
        <f t="shared" si="6"/>
        <v>0</v>
      </c>
      <c r="BA19" s="2051">
        <f t="shared" si="7"/>
        <v>1700</v>
      </c>
      <c r="BB19" s="1022">
        <f t="shared" si="8"/>
        <v>1700</v>
      </c>
      <c r="BC19" s="1233">
        <f t="shared" si="9"/>
        <v>5.6509876749161084E-4</v>
      </c>
      <c r="BD19" s="1043"/>
    </row>
    <row r="20" spans="1:57" s="2" customFormat="1" ht="18" customHeight="1">
      <c r="A20" s="238"/>
      <c r="B20" s="1258" t="s">
        <v>57</v>
      </c>
      <c r="C20" s="1101"/>
      <c r="D20" s="1230"/>
      <c r="E20" s="1178">
        <f t="shared" si="10"/>
        <v>0</v>
      </c>
      <c r="F20" s="1039" t="e">
        <f t="shared" si="0"/>
        <v>#DIV/0!</v>
      </c>
      <c r="G20" s="1025"/>
      <c r="H20" s="1024"/>
      <c r="I20" s="1040">
        <f t="shared" si="11"/>
        <v>0</v>
      </c>
      <c r="J20" s="1267" t="e">
        <f t="shared" si="18"/>
        <v>#DIV/0!</v>
      </c>
      <c r="K20" s="1041"/>
      <c r="L20" s="2052"/>
      <c r="M20" s="2051"/>
      <c r="N20" s="2045">
        <v>0</v>
      </c>
      <c r="O20" s="2044">
        <v>0</v>
      </c>
      <c r="P20" s="2046"/>
      <c r="Q20" s="2051"/>
      <c r="R20" s="2043"/>
      <c r="S20" s="2045">
        <v>0</v>
      </c>
      <c r="T20" s="2044">
        <v>0</v>
      </c>
      <c r="U20" s="2048"/>
      <c r="V20" s="2056"/>
      <c r="W20" s="2050"/>
      <c r="X20" s="2057">
        <v>0</v>
      </c>
      <c r="Y20" s="2058">
        <v>0</v>
      </c>
      <c r="Z20" s="2049"/>
      <c r="AA20" s="1644"/>
      <c r="AB20" s="1432"/>
      <c r="AC20" s="1552">
        <f t="shared" si="12"/>
        <v>0</v>
      </c>
      <c r="AD20" s="1877">
        <f t="shared" si="17"/>
        <v>0</v>
      </c>
      <c r="AE20" s="1608"/>
      <c r="AF20" s="1024"/>
      <c r="AG20" s="1176"/>
      <c r="AH20" s="1022">
        <f t="shared" si="13"/>
        <v>0</v>
      </c>
      <c r="AI20" s="1233" t="e">
        <f t="shared" si="2"/>
        <v>#DIV/0!</v>
      </c>
      <c r="AJ20" s="1041"/>
      <c r="AK20" s="1024"/>
      <c r="AL20" s="1176"/>
      <c r="AM20" s="1022">
        <f t="shared" si="14"/>
        <v>0</v>
      </c>
      <c r="AN20" s="1233" t="e">
        <f t="shared" si="3"/>
        <v>#DIV/0!</v>
      </c>
      <c r="AO20" s="1041"/>
      <c r="AP20" s="1024"/>
      <c r="AQ20" s="1176"/>
      <c r="AR20" s="1022">
        <f t="shared" si="15"/>
        <v>0</v>
      </c>
      <c r="AS20" s="1233" t="e">
        <f t="shared" si="4"/>
        <v>#DIV/0!</v>
      </c>
      <c r="AT20" s="1041"/>
      <c r="AU20" s="1024"/>
      <c r="AV20" s="1176"/>
      <c r="AW20" s="1022">
        <f t="shared" si="16"/>
        <v>0</v>
      </c>
      <c r="AX20" s="1233" t="e">
        <f t="shared" si="5"/>
        <v>#DIV/0!</v>
      </c>
      <c r="AY20" s="1041"/>
      <c r="AZ20" s="2051">
        <f t="shared" si="6"/>
        <v>0</v>
      </c>
      <c r="BA20" s="2051">
        <f t="shared" si="7"/>
        <v>0</v>
      </c>
      <c r="BB20" s="1022">
        <f t="shared" si="8"/>
        <v>0</v>
      </c>
      <c r="BC20" s="1233">
        <f t="shared" si="9"/>
        <v>0</v>
      </c>
      <c r="BD20" s="1043"/>
    </row>
    <row r="21" spans="1:57" s="2" customFormat="1" ht="18" customHeight="1">
      <c r="A21" s="238"/>
      <c r="B21" s="1258" t="s">
        <v>58</v>
      </c>
      <c r="C21" s="1101"/>
      <c r="D21" s="1230"/>
      <c r="E21" s="1178">
        <f t="shared" si="10"/>
        <v>0</v>
      </c>
      <c r="F21" s="1039" t="e">
        <f t="shared" si="0"/>
        <v>#DIV/0!</v>
      </c>
      <c r="G21" s="1025"/>
      <c r="H21" s="1024"/>
      <c r="I21" s="1040">
        <f t="shared" si="11"/>
        <v>0</v>
      </c>
      <c r="J21" s="1267" t="e">
        <f t="shared" si="18"/>
        <v>#DIV/0!</v>
      </c>
      <c r="K21" s="1041"/>
      <c r="L21" s="2052">
        <v>4913.88</v>
      </c>
      <c r="M21" s="2051"/>
      <c r="N21" s="2045">
        <v>4913.88</v>
      </c>
      <c r="O21" s="2044">
        <v>9.2082298219977859E-3</v>
      </c>
      <c r="P21" s="2046" t="s">
        <v>1131</v>
      </c>
      <c r="Q21" s="2054">
        <v>20000.003999999997</v>
      </c>
      <c r="R21" s="2043"/>
      <c r="S21" s="2045">
        <v>20000.003999999997</v>
      </c>
      <c r="T21" s="2044">
        <v>1.2925853415630673E-2</v>
      </c>
      <c r="U21" s="2053" t="s">
        <v>1200</v>
      </c>
      <c r="V21" s="2056"/>
      <c r="W21" s="2050"/>
      <c r="X21" s="2057">
        <v>0</v>
      </c>
      <c r="Y21" s="2058">
        <v>0</v>
      </c>
      <c r="Z21" s="2049"/>
      <c r="AA21" s="1644"/>
      <c r="AB21" s="1432"/>
      <c r="AC21" s="1552">
        <f t="shared" si="12"/>
        <v>0</v>
      </c>
      <c r="AD21" s="1877">
        <f t="shared" si="17"/>
        <v>0</v>
      </c>
      <c r="AE21" s="1608"/>
      <c r="AF21" s="1024"/>
      <c r="AG21" s="1176"/>
      <c r="AH21" s="1022">
        <f t="shared" si="13"/>
        <v>0</v>
      </c>
      <c r="AI21" s="1233" t="e">
        <f t="shared" si="2"/>
        <v>#DIV/0!</v>
      </c>
      <c r="AJ21" s="1041"/>
      <c r="AK21" s="1024"/>
      <c r="AL21" s="1176"/>
      <c r="AM21" s="1022">
        <f t="shared" si="14"/>
        <v>0</v>
      </c>
      <c r="AN21" s="1233" t="e">
        <f t="shared" si="3"/>
        <v>#DIV/0!</v>
      </c>
      <c r="AO21" s="1041"/>
      <c r="AP21" s="1024"/>
      <c r="AQ21" s="1176"/>
      <c r="AR21" s="1022">
        <f t="shared" si="15"/>
        <v>0</v>
      </c>
      <c r="AS21" s="1233" t="e">
        <f t="shared" si="4"/>
        <v>#DIV/0!</v>
      </c>
      <c r="AT21" s="1041"/>
      <c r="AU21" s="1024"/>
      <c r="AV21" s="1176"/>
      <c r="AW21" s="1022">
        <f t="shared" si="16"/>
        <v>0</v>
      </c>
      <c r="AX21" s="1233" t="e">
        <f t="shared" si="5"/>
        <v>#DIV/0!</v>
      </c>
      <c r="AY21" s="1041"/>
      <c r="AZ21" s="2051">
        <f t="shared" si="6"/>
        <v>24913.883999999998</v>
      </c>
      <c r="BA21" s="2051">
        <f t="shared" si="7"/>
        <v>0</v>
      </c>
      <c r="BB21" s="1022">
        <f t="shared" si="8"/>
        <v>24913.883999999998</v>
      </c>
      <c r="BC21" s="1233">
        <f t="shared" si="9"/>
        <v>8.2816500834288018E-3</v>
      </c>
      <c r="BD21" s="1043"/>
    </row>
    <row r="22" spans="1:57" s="2" customFormat="1" ht="18" customHeight="1">
      <c r="A22" s="238"/>
      <c r="B22" s="1258" t="s">
        <v>621</v>
      </c>
      <c r="C22" s="1101"/>
      <c r="D22" s="1230"/>
      <c r="E22" s="1178"/>
      <c r="F22" s="1039" t="e">
        <f t="shared" si="0"/>
        <v>#DIV/0!</v>
      </c>
      <c r="G22" s="1025"/>
      <c r="H22" s="1024"/>
      <c r="I22" s="1040">
        <f t="shared" si="11"/>
        <v>0</v>
      </c>
      <c r="J22" s="1267" t="e">
        <f t="shared" si="18"/>
        <v>#DIV/0!</v>
      </c>
      <c r="K22" s="1041"/>
      <c r="L22" s="2052"/>
      <c r="M22" s="2051">
        <v>22900</v>
      </c>
      <c r="N22" s="2045">
        <v>22900</v>
      </c>
      <c r="O22" s="2044">
        <v>4.2912823048944886E-2</v>
      </c>
      <c r="P22" s="2046" t="s">
        <v>1126</v>
      </c>
      <c r="Q22" s="2051"/>
      <c r="R22" s="2043"/>
      <c r="S22" s="2045">
        <v>0</v>
      </c>
      <c r="T22" s="2044">
        <v>0</v>
      </c>
      <c r="U22" s="2048"/>
      <c r="V22" s="2056"/>
      <c r="W22" s="2050"/>
      <c r="X22" s="2057">
        <v>0</v>
      </c>
      <c r="Y22" s="2058">
        <v>0</v>
      </c>
      <c r="Z22" s="2049"/>
      <c r="AA22" s="1644"/>
      <c r="AB22" s="1432"/>
      <c r="AC22" s="1552">
        <f t="shared" si="12"/>
        <v>0</v>
      </c>
      <c r="AD22" s="1877">
        <f t="shared" si="17"/>
        <v>0</v>
      </c>
      <c r="AE22" s="1608"/>
      <c r="AF22" s="1024"/>
      <c r="AG22" s="1176"/>
      <c r="AH22" s="1022">
        <f t="shared" si="13"/>
        <v>0</v>
      </c>
      <c r="AI22" s="1233" t="e">
        <f t="shared" si="2"/>
        <v>#DIV/0!</v>
      </c>
      <c r="AJ22" s="1041"/>
      <c r="AK22" s="1024"/>
      <c r="AL22" s="1176"/>
      <c r="AM22" s="1022">
        <f t="shared" si="14"/>
        <v>0</v>
      </c>
      <c r="AN22" s="1233" t="e">
        <f t="shared" si="3"/>
        <v>#DIV/0!</v>
      </c>
      <c r="AO22" s="1041"/>
      <c r="AP22" s="1024"/>
      <c r="AQ22" s="1176"/>
      <c r="AR22" s="1022">
        <f t="shared" si="15"/>
        <v>0</v>
      </c>
      <c r="AS22" s="1233" t="e">
        <f t="shared" si="4"/>
        <v>#DIV/0!</v>
      </c>
      <c r="AT22" s="1041"/>
      <c r="AU22" s="1024"/>
      <c r="AV22" s="1176"/>
      <c r="AW22" s="1022">
        <f t="shared" si="16"/>
        <v>0</v>
      </c>
      <c r="AX22" s="1233" t="e">
        <f t="shared" si="5"/>
        <v>#DIV/0!</v>
      </c>
      <c r="AY22" s="1041"/>
      <c r="AZ22" s="2051">
        <f t="shared" si="6"/>
        <v>0</v>
      </c>
      <c r="BA22" s="2051">
        <f t="shared" si="7"/>
        <v>22900</v>
      </c>
      <c r="BB22" s="1022">
        <f t="shared" si="8"/>
        <v>22900</v>
      </c>
      <c r="BC22" s="1233">
        <f t="shared" si="9"/>
        <v>7.6122128091516989E-3</v>
      </c>
      <c r="BD22" s="1043"/>
    </row>
    <row r="23" spans="1:57" s="2" customFormat="1" ht="18" customHeight="1">
      <c r="A23" s="238"/>
      <c r="B23" s="1258" t="s">
        <v>630</v>
      </c>
      <c r="C23" s="1101"/>
      <c r="D23" s="1230"/>
      <c r="E23" s="1178"/>
      <c r="F23" s="1039" t="e">
        <f t="shared" si="0"/>
        <v>#DIV/0!</v>
      </c>
      <c r="G23" s="1025"/>
      <c r="H23" s="1024"/>
      <c r="I23" s="1040">
        <f t="shared" si="11"/>
        <v>0</v>
      </c>
      <c r="J23" s="1267" t="e">
        <f t="shared" si="18"/>
        <v>#DIV/0!</v>
      </c>
      <c r="K23" s="1041"/>
      <c r="L23" s="2052"/>
      <c r="M23" s="2051"/>
      <c r="N23" s="2045">
        <v>0</v>
      </c>
      <c r="O23" s="2044">
        <v>0</v>
      </c>
      <c r="P23" s="2046"/>
      <c r="Q23" s="2051"/>
      <c r="R23" s="2043"/>
      <c r="S23" s="2045">
        <v>0</v>
      </c>
      <c r="T23" s="2044">
        <v>0</v>
      </c>
      <c r="U23" s="2048"/>
      <c r="V23" s="2056"/>
      <c r="W23" s="2050"/>
      <c r="X23" s="2057">
        <v>0</v>
      </c>
      <c r="Y23" s="2058">
        <v>0</v>
      </c>
      <c r="Z23" s="2049"/>
      <c r="AA23" s="1644"/>
      <c r="AB23" s="1432"/>
      <c r="AC23" s="1552">
        <f t="shared" si="12"/>
        <v>0</v>
      </c>
      <c r="AD23" s="1877">
        <f t="shared" si="17"/>
        <v>0</v>
      </c>
      <c r="AE23" s="1608"/>
      <c r="AF23" s="1024"/>
      <c r="AG23" s="1176"/>
      <c r="AH23" s="1022">
        <f t="shared" si="13"/>
        <v>0</v>
      </c>
      <c r="AI23" s="1233" t="e">
        <f t="shared" si="2"/>
        <v>#DIV/0!</v>
      </c>
      <c r="AJ23" s="1041"/>
      <c r="AK23" s="1024"/>
      <c r="AL23" s="1176"/>
      <c r="AM23" s="1022">
        <f t="shared" si="14"/>
        <v>0</v>
      </c>
      <c r="AN23" s="1233" t="e">
        <f t="shared" si="3"/>
        <v>#DIV/0!</v>
      </c>
      <c r="AO23" s="1041"/>
      <c r="AP23" s="1024"/>
      <c r="AQ23" s="1176"/>
      <c r="AR23" s="1022">
        <f t="shared" si="15"/>
        <v>0</v>
      </c>
      <c r="AS23" s="1233" t="e">
        <f t="shared" si="4"/>
        <v>#DIV/0!</v>
      </c>
      <c r="AT23" s="1041"/>
      <c r="AU23" s="1024"/>
      <c r="AV23" s="1176"/>
      <c r="AW23" s="1022">
        <f t="shared" si="16"/>
        <v>0</v>
      </c>
      <c r="AX23" s="1233" t="e">
        <f t="shared" si="5"/>
        <v>#DIV/0!</v>
      </c>
      <c r="AY23" s="1041"/>
      <c r="AZ23" s="2051">
        <f t="shared" si="6"/>
        <v>0</v>
      </c>
      <c r="BA23" s="2051">
        <f t="shared" si="7"/>
        <v>0</v>
      </c>
      <c r="BB23" s="1022">
        <f t="shared" si="8"/>
        <v>0</v>
      </c>
      <c r="BC23" s="1233">
        <f t="shared" si="9"/>
        <v>0</v>
      </c>
      <c r="BD23" s="1043"/>
    </row>
    <row r="24" spans="1:57" s="2" customFormat="1" ht="18" customHeight="1">
      <c r="A24" s="238"/>
      <c r="B24" s="1258" t="s">
        <v>23</v>
      </c>
      <c r="C24" s="1101"/>
      <c r="D24" s="1230"/>
      <c r="E24" s="1178">
        <f t="shared" si="10"/>
        <v>0</v>
      </c>
      <c r="F24" s="1039" t="e">
        <f t="shared" si="0"/>
        <v>#DIV/0!</v>
      </c>
      <c r="G24" s="1025"/>
      <c r="H24" s="1024"/>
      <c r="I24" s="1040">
        <f t="shared" si="11"/>
        <v>0</v>
      </c>
      <c r="J24" s="1267" t="e">
        <f t="shared" si="18"/>
        <v>#DIV/0!</v>
      </c>
      <c r="K24" s="1041"/>
      <c r="L24" s="2052"/>
      <c r="M24" s="2051"/>
      <c r="N24" s="2045">
        <v>0</v>
      </c>
      <c r="O24" s="2044">
        <v>0</v>
      </c>
      <c r="P24" s="2046"/>
      <c r="Q24" s="2051"/>
      <c r="R24" s="2043"/>
      <c r="S24" s="2045">
        <v>0</v>
      </c>
      <c r="T24" s="2044">
        <v>0</v>
      </c>
      <c r="U24" s="2048"/>
      <c r="V24" s="2056"/>
      <c r="W24" s="2050"/>
      <c r="X24" s="2057">
        <v>0</v>
      </c>
      <c r="Y24" s="2058">
        <v>0</v>
      </c>
      <c r="Z24" s="2049"/>
      <c r="AA24" s="1868">
        <f>11000+11000</f>
        <v>22000</v>
      </c>
      <c r="AB24" s="1871"/>
      <c r="AC24" s="1872">
        <f t="shared" si="12"/>
        <v>22000</v>
      </c>
      <c r="AD24" s="1907">
        <f t="shared" si="17"/>
        <v>0.32983337578149408</v>
      </c>
      <c r="AE24" s="1870" t="s">
        <v>1261</v>
      </c>
      <c r="AF24" s="1024"/>
      <c r="AG24" s="1176"/>
      <c r="AH24" s="1022">
        <f t="shared" si="13"/>
        <v>0</v>
      </c>
      <c r="AI24" s="1233" t="e">
        <f t="shared" si="2"/>
        <v>#DIV/0!</v>
      </c>
      <c r="AJ24" s="1021"/>
      <c r="AK24" s="1024"/>
      <c r="AL24" s="1176"/>
      <c r="AM24" s="1022">
        <f t="shared" si="14"/>
        <v>0</v>
      </c>
      <c r="AN24" s="1233" t="e">
        <f t="shared" si="3"/>
        <v>#DIV/0!</v>
      </c>
      <c r="AO24" s="1021"/>
      <c r="AP24" s="1024"/>
      <c r="AQ24" s="1176"/>
      <c r="AR24" s="1022">
        <f t="shared" si="15"/>
        <v>0</v>
      </c>
      <c r="AS24" s="1233" t="e">
        <f t="shared" si="4"/>
        <v>#DIV/0!</v>
      </c>
      <c r="AT24" s="1021"/>
      <c r="AU24" s="1024"/>
      <c r="AV24" s="1176"/>
      <c r="AW24" s="1022">
        <f t="shared" si="16"/>
        <v>0</v>
      </c>
      <c r="AX24" s="1233" t="e">
        <f t="shared" si="5"/>
        <v>#DIV/0!</v>
      </c>
      <c r="AY24" s="1021"/>
      <c r="AZ24" s="2051">
        <f t="shared" si="6"/>
        <v>22000</v>
      </c>
      <c r="BA24" s="2051">
        <f t="shared" si="7"/>
        <v>0</v>
      </c>
      <c r="BB24" s="1022">
        <f t="shared" si="8"/>
        <v>22000</v>
      </c>
      <c r="BC24" s="1233">
        <f t="shared" si="9"/>
        <v>7.3130428734208466E-3</v>
      </c>
      <c r="BD24" s="1043"/>
    </row>
    <row r="25" spans="1:57" s="2" customFormat="1" ht="45.6" customHeight="1">
      <c r="A25" s="238"/>
      <c r="B25" s="1258" t="s">
        <v>24</v>
      </c>
      <c r="C25" s="1101"/>
      <c r="D25" s="1230"/>
      <c r="E25" s="1178">
        <f t="shared" si="10"/>
        <v>0</v>
      </c>
      <c r="F25" s="1039" t="e">
        <f t="shared" si="0"/>
        <v>#DIV/0!</v>
      </c>
      <c r="G25" s="1025"/>
      <c r="H25" s="1024"/>
      <c r="I25" s="1040">
        <f t="shared" si="11"/>
        <v>0</v>
      </c>
      <c r="J25" s="1267" t="e">
        <f t="shared" si="18"/>
        <v>#DIV/0!</v>
      </c>
      <c r="K25" s="1021"/>
      <c r="L25" s="2052"/>
      <c r="M25" s="2051">
        <v>3736</v>
      </c>
      <c r="N25" s="2045">
        <v>3736</v>
      </c>
      <c r="O25" s="2044">
        <v>7.0009741009108345E-3</v>
      </c>
      <c r="P25" s="2046" t="s">
        <v>1128</v>
      </c>
      <c r="Q25" s="2051">
        <v>25027.5</v>
      </c>
      <c r="R25" s="2043">
        <v>2055</v>
      </c>
      <c r="S25" s="2045">
        <v>27082.5</v>
      </c>
      <c r="T25" s="2044">
        <v>1.7503217755797336E-2</v>
      </c>
      <c r="U25" s="2046" t="s">
        <v>1184</v>
      </c>
      <c r="V25" s="2056"/>
      <c r="W25" s="2050">
        <v>503</v>
      </c>
      <c r="X25" s="2057">
        <v>503</v>
      </c>
      <c r="Y25" s="2058">
        <v>7.6200740960584922E-4</v>
      </c>
      <c r="Z25" s="2055" t="s">
        <v>1202</v>
      </c>
      <c r="AA25" s="1644"/>
      <c r="AB25" s="1432"/>
      <c r="AC25" s="1552">
        <f t="shared" si="12"/>
        <v>0</v>
      </c>
      <c r="AD25" s="1877">
        <f t="shared" si="17"/>
        <v>0</v>
      </c>
      <c r="AE25" s="1590"/>
      <c r="AF25" s="1024"/>
      <c r="AG25" s="1176"/>
      <c r="AH25" s="1022">
        <f t="shared" si="13"/>
        <v>0</v>
      </c>
      <c r="AI25" s="1233" t="e">
        <f t="shared" si="2"/>
        <v>#DIV/0!</v>
      </c>
      <c r="AJ25" s="1021"/>
      <c r="AK25" s="1024"/>
      <c r="AL25" s="1176"/>
      <c r="AM25" s="1022">
        <f t="shared" si="14"/>
        <v>0</v>
      </c>
      <c r="AN25" s="1233" t="e">
        <f t="shared" si="3"/>
        <v>#DIV/0!</v>
      </c>
      <c r="AO25" s="1021"/>
      <c r="AP25" s="1024"/>
      <c r="AQ25" s="1176"/>
      <c r="AR25" s="1022">
        <f t="shared" si="15"/>
        <v>0</v>
      </c>
      <c r="AS25" s="1233" t="e">
        <f t="shared" si="4"/>
        <v>#DIV/0!</v>
      </c>
      <c r="AT25" s="1021"/>
      <c r="AU25" s="1024"/>
      <c r="AV25" s="1176"/>
      <c r="AW25" s="1022">
        <f t="shared" si="16"/>
        <v>0</v>
      </c>
      <c r="AX25" s="1233" t="e">
        <f t="shared" si="5"/>
        <v>#DIV/0!</v>
      </c>
      <c r="AY25" s="1021"/>
      <c r="AZ25" s="2051">
        <f t="shared" si="6"/>
        <v>25027.5</v>
      </c>
      <c r="BA25" s="2051">
        <f t="shared" si="7"/>
        <v>6294</v>
      </c>
      <c r="BB25" s="1022">
        <f t="shared" si="8"/>
        <v>31321.5</v>
      </c>
      <c r="BC25" s="1233">
        <f t="shared" si="9"/>
        <v>1.0411612379993228E-2</v>
      </c>
      <c r="BD25" s="1043"/>
    </row>
    <row r="26" spans="1:57" s="2" customFormat="1" ht="34.200000000000003" customHeight="1">
      <c r="A26" s="238"/>
      <c r="B26" s="1258" t="s">
        <v>45</v>
      </c>
      <c r="C26" s="1101"/>
      <c r="D26" s="1230"/>
      <c r="E26" s="1178">
        <f t="shared" si="10"/>
        <v>0</v>
      </c>
      <c r="F26" s="1039" t="e">
        <f t="shared" si="0"/>
        <v>#DIV/0!</v>
      </c>
      <c r="G26" s="1025"/>
      <c r="H26" s="1024"/>
      <c r="I26" s="1040">
        <f t="shared" si="11"/>
        <v>0</v>
      </c>
      <c r="J26" s="1267" t="e">
        <f t="shared" si="18"/>
        <v>#DIV/0!</v>
      </c>
      <c r="K26" s="1041"/>
      <c r="L26" s="1746"/>
      <c r="M26" s="1644"/>
      <c r="N26" s="1552">
        <f t="shared" ref="N26:N33" si="19">L26+M26*1</f>
        <v>0</v>
      </c>
      <c r="O26" s="1877">
        <f t="shared" ref="O26:O33" si="20">N26/$N$89</f>
        <v>0</v>
      </c>
      <c r="P26" s="1590"/>
      <c r="Q26" s="1879">
        <v>1472673.0119999999</v>
      </c>
      <c r="R26" s="1432"/>
      <c r="S26" s="1552">
        <f t="shared" ref="S26:S33" si="21">Q26+R26*1</f>
        <v>1472673.0119999999</v>
      </c>
      <c r="T26" s="1877">
        <f t="shared" ref="T26:T31" si="22">S26/$S$89</f>
        <v>0.84346379009582173</v>
      </c>
      <c r="U26" s="1762" t="s">
        <v>1185</v>
      </c>
      <c r="V26" s="1866">
        <v>495580.11600000004</v>
      </c>
      <c r="W26" s="1625"/>
      <c r="X26" s="1776">
        <f t="shared" ref="X26:X33" si="23">V26+W26*1</f>
        <v>495580.11600000004</v>
      </c>
      <c r="Y26" s="1878">
        <f t="shared" ref="Y26:Y33" si="24">X26/$X$89</f>
        <v>0.74860953325031465</v>
      </c>
      <c r="Z26" s="1604" t="s">
        <v>1198</v>
      </c>
      <c r="AA26" s="1868">
        <f>31674.12*1.2</f>
        <v>38008.943999999996</v>
      </c>
      <c r="AB26" s="1871"/>
      <c r="AC26" s="1872">
        <f t="shared" si="12"/>
        <v>38008.943999999996</v>
      </c>
      <c r="AD26" s="1907">
        <f t="shared" si="17"/>
        <v>0.56984628679135285</v>
      </c>
      <c r="AE26" s="1908" t="s">
        <v>1262</v>
      </c>
      <c r="AF26" s="1024"/>
      <c r="AG26" s="1176"/>
      <c r="AH26" s="1022">
        <f t="shared" si="13"/>
        <v>0</v>
      </c>
      <c r="AI26" s="1233" t="e">
        <f t="shared" si="2"/>
        <v>#DIV/0!</v>
      </c>
      <c r="AJ26" s="1041"/>
      <c r="AK26" s="1024"/>
      <c r="AL26" s="1176"/>
      <c r="AM26" s="1022">
        <f t="shared" si="14"/>
        <v>0</v>
      </c>
      <c r="AN26" s="1233" t="e">
        <f t="shared" si="3"/>
        <v>#DIV/0!</v>
      </c>
      <c r="AO26" s="1041"/>
      <c r="AP26" s="1024"/>
      <c r="AQ26" s="1176"/>
      <c r="AR26" s="1022">
        <f t="shared" si="15"/>
        <v>0</v>
      </c>
      <c r="AS26" s="1233" t="e">
        <f t="shared" si="4"/>
        <v>#DIV/0!</v>
      </c>
      <c r="AT26" s="1041"/>
      <c r="AU26" s="1024"/>
      <c r="AV26" s="1176"/>
      <c r="AW26" s="1022">
        <f t="shared" si="16"/>
        <v>0</v>
      </c>
      <c r="AX26" s="1233" t="e">
        <f t="shared" si="5"/>
        <v>#DIV/0!</v>
      </c>
      <c r="AY26" s="1041"/>
      <c r="AZ26" s="2051">
        <f t="shared" si="6"/>
        <v>2006262.0719999999</v>
      </c>
      <c r="BA26" s="2051">
        <f t="shared" si="7"/>
        <v>0</v>
      </c>
      <c r="BB26" s="1022">
        <f t="shared" si="8"/>
        <v>2006262.0719999999</v>
      </c>
      <c r="BC26" s="1233">
        <f t="shared" si="9"/>
        <v>0.66690366126609735</v>
      </c>
      <c r="BD26" s="1043"/>
    </row>
    <row r="27" spans="1:57" s="2" customFormat="1" ht="18" customHeight="1">
      <c r="A27" s="238"/>
      <c r="B27" s="1258" t="s">
        <v>25</v>
      </c>
      <c r="C27" s="1101"/>
      <c r="D27" s="1230"/>
      <c r="E27" s="1178">
        <f t="shared" si="10"/>
        <v>0</v>
      </c>
      <c r="F27" s="1039" t="e">
        <f t="shared" si="0"/>
        <v>#DIV/0!</v>
      </c>
      <c r="G27" s="1025"/>
      <c r="H27" s="1024"/>
      <c r="I27" s="1040">
        <f t="shared" si="11"/>
        <v>0</v>
      </c>
      <c r="J27" s="1267" t="e">
        <f t="shared" si="18"/>
        <v>#DIV/0!</v>
      </c>
      <c r="K27" s="1021"/>
      <c r="L27" s="1746"/>
      <c r="M27" s="1644"/>
      <c r="N27" s="1552">
        <f t="shared" si="19"/>
        <v>0</v>
      </c>
      <c r="O27" s="1877">
        <f t="shared" si="20"/>
        <v>0</v>
      </c>
      <c r="P27" s="1590"/>
      <c r="Q27" s="1644"/>
      <c r="R27" s="1432">
        <v>982</v>
      </c>
      <c r="S27" s="1552">
        <f t="shared" si="21"/>
        <v>982</v>
      </c>
      <c r="T27" s="1877">
        <f t="shared" si="22"/>
        <v>5.6243404688270139E-4</v>
      </c>
      <c r="U27" s="1590" t="s">
        <v>1186</v>
      </c>
      <c r="V27" s="1772"/>
      <c r="W27" s="1625"/>
      <c r="X27" s="1776">
        <f t="shared" si="23"/>
        <v>0</v>
      </c>
      <c r="Y27" s="1878">
        <f t="shared" si="24"/>
        <v>0</v>
      </c>
      <c r="Z27" s="1726"/>
      <c r="AA27" s="1644"/>
      <c r="AB27" s="1432"/>
      <c r="AC27" s="1552">
        <f t="shared" si="12"/>
        <v>0</v>
      </c>
      <c r="AD27" s="1877">
        <f t="shared" si="17"/>
        <v>0</v>
      </c>
      <c r="AE27" s="1590"/>
      <c r="AF27" s="1024"/>
      <c r="AG27" s="1176"/>
      <c r="AH27" s="1022">
        <f t="shared" si="13"/>
        <v>0</v>
      </c>
      <c r="AI27" s="1233" t="e">
        <f t="shared" si="2"/>
        <v>#DIV/0!</v>
      </c>
      <c r="AJ27" s="1021"/>
      <c r="AK27" s="1024"/>
      <c r="AL27" s="1176"/>
      <c r="AM27" s="1022">
        <f t="shared" si="14"/>
        <v>0</v>
      </c>
      <c r="AN27" s="1233" t="e">
        <f t="shared" si="3"/>
        <v>#DIV/0!</v>
      </c>
      <c r="AO27" s="1021"/>
      <c r="AP27" s="1024"/>
      <c r="AQ27" s="1176"/>
      <c r="AR27" s="1022">
        <f t="shared" si="15"/>
        <v>0</v>
      </c>
      <c r="AS27" s="1233" t="e">
        <f t="shared" si="4"/>
        <v>#DIV/0!</v>
      </c>
      <c r="AT27" s="1021"/>
      <c r="AU27" s="1024"/>
      <c r="AV27" s="1176"/>
      <c r="AW27" s="1022">
        <f t="shared" si="16"/>
        <v>0</v>
      </c>
      <c r="AX27" s="1233" t="e">
        <f t="shared" si="5"/>
        <v>#DIV/0!</v>
      </c>
      <c r="AY27" s="1021"/>
      <c r="AZ27" s="2051">
        <f t="shared" si="6"/>
        <v>0</v>
      </c>
      <c r="BA27" s="2051">
        <f t="shared" si="7"/>
        <v>982</v>
      </c>
      <c r="BB27" s="1022">
        <f t="shared" si="8"/>
        <v>982</v>
      </c>
      <c r="BC27" s="1233">
        <f t="shared" si="9"/>
        <v>3.2642764098633054E-4</v>
      </c>
      <c r="BD27" s="1043"/>
    </row>
    <row r="28" spans="1:57" s="2" customFormat="1" ht="18" customHeight="1">
      <c r="A28" s="238"/>
      <c r="B28" s="1258" t="s">
        <v>52</v>
      </c>
      <c r="C28" s="1101"/>
      <c r="D28" s="1230"/>
      <c r="E28" s="1178">
        <f t="shared" si="10"/>
        <v>0</v>
      </c>
      <c r="F28" s="1039" t="e">
        <f t="shared" si="0"/>
        <v>#DIV/0!</v>
      </c>
      <c r="G28" s="1025"/>
      <c r="H28" s="1024"/>
      <c r="I28" s="1040">
        <f t="shared" si="11"/>
        <v>0</v>
      </c>
      <c r="J28" s="1267" t="e">
        <f t="shared" si="18"/>
        <v>#DIV/0!</v>
      </c>
      <c r="K28" s="1021"/>
      <c r="L28" s="1746"/>
      <c r="M28" s="1644">
        <v>1000</v>
      </c>
      <c r="N28" s="1552">
        <f t="shared" si="19"/>
        <v>1000</v>
      </c>
      <c r="O28" s="1877">
        <f t="shared" si="20"/>
        <v>1.8739224038840563E-3</v>
      </c>
      <c r="P28" s="1590" t="s">
        <v>1125</v>
      </c>
      <c r="Q28" s="1644"/>
      <c r="R28" s="1432"/>
      <c r="S28" s="1552">
        <f t="shared" si="21"/>
        <v>0</v>
      </c>
      <c r="T28" s="1877">
        <f t="shared" si="22"/>
        <v>0</v>
      </c>
      <c r="U28" s="1590"/>
      <c r="V28" s="1772"/>
      <c r="W28" s="1625"/>
      <c r="X28" s="1776">
        <f t="shared" si="23"/>
        <v>0</v>
      </c>
      <c r="Y28" s="1878">
        <f t="shared" si="24"/>
        <v>0</v>
      </c>
      <c r="Z28" s="1726"/>
      <c r="AA28" s="1644"/>
      <c r="AB28" s="1432"/>
      <c r="AC28" s="1552">
        <f t="shared" si="12"/>
        <v>0</v>
      </c>
      <c r="AD28" s="1877">
        <f t="shared" si="17"/>
        <v>0</v>
      </c>
      <c r="AE28" s="1590"/>
      <c r="AF28" s="1024"/>
      <c r="AG28" s="1176"/>
      <c r="AH28" s="1022">
        <f t="shared" si="13"/>
        <v>0</v>
      </c>
      <c r="AI28" s="1233" t="e">
        <f t="shared" si="2"/>
        <v>#DIV/0!</v>
      </c>
      <c r="AJ28" s="1021"/>
      <c r="AK28" s="1024"/>
      <c r="AL28" s="1176"/>
      <c r="AM28" s="1022">
        <f t="shared" si="14"/>
        <v>0</v>
      </c>
      <c r="AN28" s="1233" t="e">
        <f t="shared" si="3"/>
        <v>#DIV/0!</v>
      </c>
      <c r="AO28" s="1021"/>
      <c r="AP28" s="1024"/>
      <c r="AQ28" s="1176"/>
      <c r="AR28" s="1022">
        <f t="shared" si="15"/>
        <v>0</v>
      </c>
      <c r="AS28" s="1233" t="e">
        <f t="shared" si="4"/>
        <v>#DIV/0!</v>
      </c>
      <c r="AT28" s="1021"/>
      <c r="AU28" s="1024"/>
      <c r="AV28" s="1176"/>
      <c r="AW28" s="1022">
        <f t="shared" si="16"/>
        <v>0</v>
      </c>
      <c r="AX28" s="1233" t="e">
        <f t="shared" si="5"/>
        <v>#DIV/0!</v>
      </c>
      <c r="AY28" s="1021"/>
      <c r="AZ28" s="2051">
        <f t="shared" si="6"/>
        <v>0</v>
      </c>
      <c r="BA28" s="2051">
        <f t="shared" si="7"/>
        <v>1000</v>
      </c>
      <c r="BB28" s="1022">
        <f>AZ28+BA28*1</f>
        <v>1000</v>
      </c>
      <c r="BC28" s="1233">
        <f t="shared" si="9"/>
        <v>3.3241103970094757E-4</v>
      </c>
      <c r="BD28" s="1043"/>
      <c r="BE28" s="685"/>
    </row>
    <row r="29" spans="1:57" s="2" customFormat="1" ht="24" customHeight="1">
      <c r="A29" s="238"/>
      <c r="B29" s="1258" t="s">
        <v>31</v>
      </c>
      <c r="C29" s="1101"/>
      <c r="D29" s="1230"/>
      <c r="E29" s="1178">
        <f t="shared" si="10"/>
        <v>0</v>
      </c>
      <c r="F29" s="1233" t="e">
        <f t="shared" si="0"/>
        <v>#DIV/0!</v>
      </c>
      <c r="G29" s="1025"/>
      <c r="H29" s="1024"/>
      <c r="I29" s="1040">
        <f t="shared" si="11"/>
        <v>0</v>
      </c>
      <c r="J29" s="1267" t="e">
        <f>I29/$I$89</f>
        <v>#DIV/0!</v>
      </c>
      <c r="K29" s="1021"/>
      <c r="L29" s="1746">
        <v>3380</v>
      </c>
      <c r="M29" s="1644"/>
      <c r="N29" s="1552">
        <f t="shared" si="19"/>
        <v>3380</v>
      </c>
      <c r="O29" s="1877">
        <f t="shared" si="20"/>
        <v>6.3338577251281104E-3</v>
      </c>
      <c r="P29" s="1590" t="s">
        <v>1135</v>
      </c>
      <c r="Q29" s="1763">
        <f>6700*1.2</f>
        <v>8040</v>
      </c>
      <c r="R29" s="1432">
        <v>24570</v>
      </c>
      <c r="S29" s="1552">
        <f t="shared" si="21"/>
        <v>32610</v>
      </c>
      <c r="T29" s="1877">
        <f t="shared" si="22"/>
        <v>1.8677163206563027E-2</v>
      </c>
      <c r="U29" s="1590" t="s">
        <v>1187</v>
      </c>
      <c r="V29" s="1772">
        <f>1820*1.2</f>
        <v>2184</v>
      </c>
      <c r="W29" s="1625"/>
      <c r="X29" s="1776">
        <f t="shared" si="23"/>
        <v>2184</v>
      </c>
      <c r="Y29" s="1878">
        <f t="shared" si="24"/>
        <v>3.2990896281615283E-3</v>
      </c>
      <c r="Z29" s="1726" t="s">
        <v>1203</v>
      </c>
      <c r="AA29" s="1644"/>
      <c r="AB29" s="1432"/>
      <c r="AC29" s="1552">
        <f t="shared" si="12"/>
        <v>0</v>
      </c>
      <c r="AD29" s="1877">
        <f t="shared" si="17"/>
        <v>0</v>
      </c>
      <c r="AE29" s="1590"/>
      <c r="AF29" s="1024"/>
      <c r="AG29" s="1176"/>
      <c r="AH29" s="1022">
        <f t="shared" si="13"/>
        <v>0</v>
      </c>
      <c r="AI29" s="1233" t="e">
        <f t="shared" si="2"/>
        <v>#DIV/0!</v>
      </c>
      <c r="AJ29" s="1021"/>
      <c r="AK29" s="1024"/>
      <c r="AL29" s="1176"/>
      <c r="AM29" s="1022">
        <f t="shared" si="14"/>
        <v>0</v>
      </c>
      <c r="AN29" s="1233" t="e">
        <f t="shared" si="3"/>
        <v>#DIV/0!</v>
      </c>
      <c r="AO29" s="1021"/>
      <c r="AP29" s="1024"/>
      <c r="AQ29" s="1176"/>
      <c r="AR29" s="1022">
        <f t="shared" si="15"/>
        <v>0</v>
      </c>
      <c r="AS29" s="1233" t="e">
        <f t="shared" si="4"/>
        <v>#DIV/0!</v>
      </c>
      <c r="AT29" s="1021"/>
      <c r="AU29" s="1024"/>
      <c r="AV29" s="1176"/>
      <c r="AW29" s="1022">
        <f t="shared" si="16"/>
        <v>0</v>
      </c>
      <c r="AX29" s="1233" t="e">
        <f t="shared" si="5"/>
        <v>#DIV/0!</v>
      </c>
      <c r="AY29" s="1021"/>
      <c r="AZ29" s="2051">
        <f t="shared" si="6"/>
        <v>13604</v>
      </c>
      <c r="BA29" s="2051">
        <f t="shared" si="7"/>
        <v>24570</v>
      </c>
      <c r="BB29" s="1022">
        <f t="shared" si="8"/>
        <v>38174</v>
      </c>
      <c r="BC29" s="1233">
        <f t="shared" si="9"/>
        <v>1.2689459029543973E-2</v>
      </c>
      <c r="BD29" s="1234"/>
    </row>
    <row r="30" spans="1:57" s="2" customFormat="1" ht="29.4" customHeight="1">
      <c r="A30" s="238"/>
      <c r="B30" s="1258" t="s">
        <v>62</v>
      </c>
      <c r="C30" s="1101"/>
      <c r="D30" s="1230"/>
      <c r="E30" s="1178">
        <f t="shared" si="10"/>
        <v>0</v>
      </c>
      <c r="F30" s="1233" t="e">
        <f t="shared" si="0"/>
        <v>#DIV/0!</v>
      </c>
      <c r="G30" s="1025"/>
      <c r="H30" s="1024"/>
      <c r="I30" s="1040">
        <f t="shared" si="11"/>
        <v>0</v>
      </c>
      <c r="J30" s="1267" t="e">
        <f t="shared" si="18"/>
        <v>#DIV/0!</v>
      </c>
      <c r="K30" s="1021"/>
      <c r="L30" s="1746"/>
      <c r="M30" s="1644">
        <f>22860+350-700</f>
        <v>22510</v>
      </c>
      <c r="N30" s="1552">
        <f t="shared" si="19"/>
        <v>22510</v>
      </c>
      <c r="O30" s="1877">
        <f t="shared" si="20"/>
        <v>4.2181993311430105E-2</v>
      </c>
      <c r="P30" s="1590" t="s">
        <v>1132</v>
      </c>
      <c r="Q30" s="1644"/>
      <c r="R30" s="1432"/>
      <c r="S30" s="1552">
        <f t="shared" si="21"/>
        <v>0</v>
      </c>
      <c r="T30" s="1877">
        <f t="shared" si="22"/>
        <v>0</v>
      </c>
      <c r="U30" s="1590"/>
      <c r="V30" s="1772"/>
      <c r="W30" s="1625">
        <v>3600</v>
      </c>
      <c r="X30" s="1776">
        <f t="shared" si="23"/>
        <v>3600</v>
      </c>
      <c r="Y30" s="1878">
        <f t="shared" si="24"/>
        <v>5.4380598266398818E-3</v>
      </c>
      <c r="Z30" s="1726" t="s">
        <v>1204</v>
      </c>
      <c r="AA30" s="1644"/>
      <c r="AB30" s="1868">
        <f>3500+890+1500</f>
        <v>5890</v>
      </c>
      <c r="AC30" s="1552">
        <f t="shared" si="12"/>
        <v>5890</v>
      </c>
      <c r="AD30" s="1877">
        <f t="shared" si="17"/>
        <v>8.8305390152409083E-2</v>
      </c>
      <c r="AE30" s="1590" t="s">
        <v>1263</v>
      </c>
      <c r="AF30" s="1024"/>
      <c r="AG30" s="1032"/>
      <c r="AH30" s="1022">
        <f t="shared" si="13"/>
        <v>0</v>
      </c>
      <c r="AI30" s="1233" t="e">
        <f t="shared" si="2"/>
        <v>#DIV/0!</v>
      </c>
      <c r="AJ30" s="1021"/>
      <c r="AK30" s="1024"/>
      <c r="AL30" s="1176"/>
      <c r="AM30" s="1022">
        <f t="shared" si="14"/>
        <v>0</v>
      </c>
      <c r="AN30" s="1233" t="e">
        <f t="shared" si="3"/>
        <v>#DIV/0!</v>
      </c>
      <c r="AO30" s="1021"/>
      <c r="AP30" s="1024"/>
      <c r="AQ30" s="1176"/>
      <c r="AR30" s="1022">
        <f t="shared" si="15"/>
        <v>0</v>
      </c>
      <c r="AS30" s="1233" t="e">
        <f t="shared" si="4"/>
        <v>#DIV/0!</v>
      </c>
      <c r="AT30" s="1021"/>
      <c r="AU30" s="1024"/>
      <c r="AV30" s="1176"/>
      <c r="AW30" s="1022">
        <f t="shared" si="16"/>
        <v>0</v>
      </c>
      <c r="AX30" s="1233" t="e">
        <f t="shared" si="5"/>
        <v>#DIV/0!</v>
      </c>
      <c r="AY30" s="1021"/>
      <c r="AZ30" s="2051">
        <f t="shared" si="6"/>
        <v>0</v>
      </c>
      <c r="BA30" s="2051">
        <f t="shared" si="7"/>
        <v>32000</v>
      </c>
      <c r="BB30" s="1022">
        <f t="shared" si="8"/>
        <v>32000</v>
      </c>
      <c r="BC30" s="1233">
        <f t="shared" si="9"/>
        <v>1.0637153270430322E-2</v>
      </c>
      <c r="BD30" s="1234"/>
    </row>
    <row r="31" spans="1:57" s="2" customFormat="1" ht="35.4" customHeight="1">
      <c r="A31" s="238"/>
      <c r="B31" s="1258" t="s">
        <v>34</v>
      </c>
      <c r="C31" s="1101"/>
      <c r="D31" s="1230"/>
      <c r="E31" s="1178">
        <f t="shared" si="10"/>
        <v>0</v>
      </c>
      <c r="F31" s="1233" t="e">
        <f t="shared" si="0"/>
        <v>#DIV/0!</v>
      </c>
      <c r="G31" s="1025"/>
      <c r="H31" s="1024"/>
      <c r="I31" s="1040">
        <f t="shared" si="11"/>
        <v>0</v>
      </c>
      <c r="J31" s="1267" t="e">
        <f t="shared" si="18"/>
        <v>#DIV/0!</v>
      </c>
      <c r="K31" s="1021"/>
      <c r="L31" s="1746">
        <v>5320</v>
      </c>
      <c r="M31" s="1644">
        <f>4015+532</f>
        <v>4547</v>
      </c>
      <c r="N31" s="1552">
        <f t="shared" si="19"/>
        <v>9867</v>
      </c>
      <c r="O31" s="1877">
        <f t="shared" si="20"/>
        <v>1.8489992359123984E-2</v>
      </c>
      <c r="P31" s="1590" t="s">
        <v>1133</v>
      </c>
      <c r="Q31" s="1644"/>
      <c r="R31" s="1432"/>
      <c r="S31" s="1552">
        <f t="shared" si="21"/>
        <v>0</v>
      </c>
      <c r="T31" s="1877">
        <f t="shared" si="22"/>
        <v>0</v>
      </c>
      <c r="U31" s="1590"/>
      <c r="V31" s="1772"/>
      <c r="W31" s="1625">
        <v>5500</v>
      </c>
      <c r="X31" s="1776">
        <f t="shared" si="23"/>
        <v>5500</v>
      </c>
      <c r="Y31" s="1878">
        <f t="shared" si="24"/>
        <v>8.3081469573664853E-3</v>
      </c>
      <c r="Z31" s="1726" t="s">
        <v>1205</v>
      </c>
      <c r="AA31" s="1644"/>
      <c r="AB31" s="1432"/>
      <c r="AC31" s="1552">
        <f t="shared" si="12"/>
        <v>0</v>
      </c>
      <c r="AD31" s="1877">
        <f t="shared" si="17"/>
        <v>0</v>
      </c>
      <c r="AE31" s="1590"/>
      <c r="AF31" s="1024"/>
      <c r="AG31" s="1176"/>
      <c r="AH31" s="1022">
        <f t="shared" si="13"/>
        <v>0</v>
      </c>
      <c r="AI31" s="1233" t="e">
        <f t="shared" si="2"/>
        <v>#DIV/0!</v>
      </c>
      <c r="AJ31" s="1021"/>
      <c r="AK31" s="1024"/>
      <c r="AL31" s="1176"/>
      <c r="AM31" s="1022">
        <f t="shared" si="14"/>
        <v>0</v>
      </c>
      <c r="AN31" s="1233" t="e">
        <f t="shared" si="3"/>
        <v>#DIV/0!</v>
      </c>
      <c r="AO31" s="1021"/>
      <c r="AP31" s="1024"/>
      <c r="AQ31" s="1176"/>
      <c r="AR31" s="1022">
        <f t="shared" si="15"/>
        <v>0</v>
      </c>
      <c r="AS31" s="1233" t="e">
        <f t="shared" si="4"/>
        <v>#DIV/0!</v>
      </c>
      <c r="AT31" s="1021"/>
      <c r="AU31" s="1024"/>
      <c r="AV31" s="1176"/>
      <c r="AW31" s="1022">
        <f t="shared" si="16"/>
        <v>0</v>
      </c>
      <c r="AX31" s="1233" t="e">
        <f t="shared" si="5"/>
        <v>#DIV/0!</v>
      </c>
      <c r="AY31" s="1021"/>
      <c r="AZ31" s="2051">
        <f t="shared" si="6"/>
        <v>5320</v>
      </c>
      <c r="BA31" s="2051">
        <f t="shared" si="7"/>
        <v>10047</v>
      </c>
      <c r="BB31" s="1022">
        <f t="shared" si="8"/>
        <v>15367</v>
      </c>
      <c r="BC31" s="1233">
        <f t="shared" si="9"/>
        <v>5.1081604470844611E-3</v>
      </c>
      <c r="BD31" s="1234"/>
    </row>
    <row r="32" spans="1:57" s="2" customFormat="1" ht="14.4" customHeight="1">
      <c r="A32" s="238"/>
      <c r="B32" s="1102" t="s">
        <v>2</v>
      </c>
      <c r="C32" s="1116"/>
      <c r="D32" s="1103"/>
      <c r="E32" s="1178">
        <f t="shared" si="10"/>
        <v>0</v>
      </c>
      <c r="F32" s="1233" t="e">
        <f t="shared" si="0"/>
        <v>#DIV/0!</v>
      </c>
      <c r="G32" s="1025"/>
      <c r="H32" s="1024"/>
      <c r="I32" s="1040">
        <f t="shared" si="11"/>
        <v>0</v>
      </c>
      <c r="J32" s="1267" t="e">
        <f t="shared" si="18"/>
        <v>#DIV/0!</v>
      </c>
      <c r="K32" s="1021"/>
      <c r="L32" s="1746"/>
      <c r="M32" s="1644"/>
      <c r="N32" s="1552">
        <f t="shared" si="19"/>
        <v>0</v>
      </c>
      <c r="O32" s="1877">
        <f t="shared" si="20"/>
        <v>0</v>
      </c>
      <c r="P32" s="1590"/>
      <c r="Q32" s="1644"/>
      <c r="R32" s="1432"/>
      <c r="S32" s="1552">
        <f t="shared" si="21"/>
        <v>0</v>
      </c>
      <c r="T32" s="1877"/>
      <c r="U32" s="1590"/>
      <c r="V32" s="1772"/>
      <c r="W32" s="1625"/>
      <c r="X32" s="1776">
        <f t="shared" si="23"/>
        <v>0</v>
      </c>
      <c r="Y32" s="1878">
        <f t="shared" si="24"/>
        <v>0</v>
      </c>
      <c r="Z32" s="1726"/>
      <c r="AA32" s="1644"/>
      <c r="AB32" s="1432"/>
      <c r="AC32" s="1552">
        <f t="shared" si="12"/>
        <v>0</v>
      </c>
      <c r="AD32" s="1877">
        <f t="shared" si="17"/>
        <v>0</v>
      </c>
      <c r="AE32" s="1590"/>
      <c r="AF32" s="1024"/>
      <c r="AG32" s="1176"/>
      <c r="AH32" s="1022">
        <f t="shared" si="13"/>
        <v>0</v>
      </c>
      <c r="AI32" s="1233" t="e">
        <f t="shared" si="2"/>
        <v>#DIV/0!</v>
      </c>
      <c r="AJ32" s="1021"/>
      <c r="AK32" s="1024"/>
      <c r="AL32" s="1176"/>
      <c r="AM32" s="1022">
        <f t="shared" si="14"/>
        <v>0</v>
      </c>
      <c r="AN32" s="1233" t="e">
        <f t="shared" si="3"/>
        <v>#DIV/0!</v>
      </c>
      <c r="AO32" s="1021"/>
      <c r="AP32" s="1024"/>
      <c r="AQ32" s="1176"/>
      <c r="AR32" s="1022">
        <f t="shared" si="15"/>
        <v>0</v>
      </c>
      <c r="AS32" s="1233" t="e">
        <f t="shared" si="4"/>
        <v>#DIV/0!</v>
      </c>
      <c r="AT32" s="1021"/>
      <c r="AU32" s="1024"/>
      <c r="AV32" s="1176"/>
      <c r="AW32" s="1022">
        <f t="shared" si="16"/>
        <v>0</v>
      </c>
      <c r="AX32" s="1233" t="e">
        <f t="shared" si="5"/>
        <v>#DIV/0!</v>
      </c>
      <c r="AY32" s="1021"/>
      <c r="AZ32" s="2051">
        <f t="shared" si="6"/>
        <v>0</v>
      </c>
      <c r="BA32" s="2051">
        <f t="shared" si="7"/>
        <v>0</v>
      </c>
      <c r="BB32" s="1022">
        <f t="shared" si="8"/>
        <v>0</v>
      </c>
      <c r="BC32" s="1233">
        <f t="shared" si="9"/>
        <v>0</v>
      </c>
      <c r="BD32" s="1234"/>
    </row>
    <row r="33" spans="1:56" s="2" customFormat="1" ht="34.950000000000003" customHeight="1" thickBot="1">
      <c r="A33" s="238"/>
      <c r="B33" s="1068" t="s">
        <v>75</v>
      </c>
      <c r="C33" s="1104"/>
      <c r="D33" s="1199"/>
      <c r="E33" s="507">
        <f>C33+D33*1.15</f>
        <v>0</v>
      </c>
      <c r="F33" s="1165" t="e">
        <f t="shared" si="0"/>
        <v>#DIV/0!</v>
      </c>
      <c r="G33" s="937"/>
      <c r="H33" s="600"/>
      <c r="I33" s="594">
        <f t="shared" si="11"/>
        <v>0</v>
      </c>
      <c r="J33" s="1044" t="e">
        <f t="shared" si="18"/>
        <v>#DIV/0!</v>
      </c>
      <c r="K33" s="1179"/>
      <c r="L33" s="1740"/>
      <c r="M33" s="1646"/>
      <c r="N33" s="1630">
        <f t="shared" si="19"/>
        <v>0</v>
      </c>
      <c r="O33" s="1550">
        <f t="shared" si="20"/>
        <v>0</v>
      </c>
      <c r="P33" s="1228"/>
      <c r="Q33" s="1646"/>
      <c r="R33" s="1629"/>
      <c r="S33" s="1630">
        <f t="shared" si="21"/>
        <v>0</v>
      </c>
      <c r="T33" s="1550"/>
      <c r="U33" s="1228"/>
      <c r="V33" s="1778"/>
      <c r="W33" s="1909">
        <v>3500</v>
      </c>
      <c r="X33" s="1779">
        <f t="shared" si="23"/>
        <v>3500</v>
      </c>
      <c r="Y33" s="1780">
        <f t="shared" si="24"/>
        <v>5.2870026092332184E-3</v>
      </c>
      <c r="Z33" s="1910" t="s">
        <v>1206</v>
      </c>
      <c r="AA33" s="1646"/>
      <c r="AB33" s="1629"/>
      <c r="AC33" s="1630">
        <f t="shared" si="12"/>
        <v>0</v>
      </c>
      <c r="AD33" s="1550">
        <f t="shared" si="17"/>
        <v>0</v>
      </c>
      <c r="AE33" s="1675"/>
      <c r="AF33" s="600"/>
      <c r="AG33" s="512"/>
      <c r="AH33" s="513">
        <f t="shared" si="13"/>
        <v>0</v>
      </c>
      <c r="AI33" s="1165" t="e">
        <f t="shared" si="2"/>
        <v>#DIV/0!</v>
      </c>
      <c r="AJ33" s="728"/>
      <c r="AK33" s="600"/>
      <c r="AL33" s="512"/>
      <c r="AM33" s="513">
        <f t="shared" si="14"/>
        <v>0</v>
      </c>
      <c r="AN33" s="1165" t="e">
        <f t="shared" si="3"/>
        <v>#DIV/0!</v>
      </c>
      <c r="AO33" s="728"/>
      <c r="AP33" s="600"/>
      <c r="AQ33" s="512"/>
      <c r="AR33" s="513">
        <f t="shared" si="15"/>
        <v>0</v>
      </c>
      <c r="AS33" s="1165" t="e">
        <f t="shared" si="4"/>
        <v>#DIV/0!</v>
      </c>
      <c r="AT33" s="728"/>
      <c r="AU33" s="600"/>
      <c r="AV33" s="512"/>
      <c r="AW33" s="513">
        <f t="shared" si="16"/>
        <v>0</v>
      </c>
      <c r="AX33" s="1165" t="e">
        <f t="shared" si="5"/>
        <v>#DIV/0!</v>
      </c>
      <c r="AY33" s="728"/>
      <c r="AZ33" s="2081">
        <f t="shared" si="6"/>
        <v>0</v>
      </c>
      <c r="BA33" s="2081">
        <f t="shared" si="7"/>
        <v>3500</v>
      </c>
      <c r="BB33" s="1219">
        <f t="shared" si="8"/>
        <v>3500</v>
      </c>
      <c r="BC33" s="1165">
        <f t="shared" si="9"/>
        <v>1.1634386389533164E-3</v>
      </c>
      <c r="BD33" s="1166"/>
    </row>
    <row r="34" spans="1:56" s="2" customFormat="1" ht="14.4" customHeight="1">
      <c r="A34" s="238"/>
      <c r="B34" s="1077"/>
      <c r="C34" s="1078"/>
      <c r="D34" s="1079"/>
      <c r="E34" s="1028"/>
      <c r="F34" s="1080"/>
      <c r="G34" s="1025"/>
      <c r="H34" s="1024"/>
      <c r="I34" s="1026"/>
      <c r="J34" s="1081" t="e">
        <f t="shared" si="18"/>
        <v>#DIV/0!</v>
      </c>
      <c r="K34" s="1028"/>
      <c r="L34" s="1746"/>
      <c r="M34" s="1644"/>
      <c r="N34" s="1619"/>
      <c r="O34" s="1539" t="e">
        <f>N34/$I$89</f>
        <v>#DIV/0!</v>
      </c>
      <c r="P34" s="1619"/>
      <c r="Q34" s="1644"/>
      <c r="R34" s="1432"/>
      <c r="S34" s="1619"/>
      <c r="T34" s="1539"/>
      <c r="U34" s="1619"/>
      <c r="V34" s="1772"/>
      <c r="W34" s="1625"/>
      <c r="X34" s="1781"/>
      <c r="Y34" s="1782" t="e">
        <f>X34/$I$89</f>
        <v>#DIV/0!</v>
      </c>
      <c r="Z34" s="1781"/>
      <c r="AA34" s="1644"/>
      <c r="AB34" s="1432"/>
      <c r="AC34" s="1619"/>
      <c r="AD34" s="1539">
        <f t="shared" si="17"/>
        <v>0</v>
      </c>
      <c r="AE34" s="1619"/>
      <c r="AF34" s="1024"/>
      <c r="AG34" s="1176"/>
      <c r="AH34" s="1028"/>
      <c r="AI34" s="1039" t="e">
        <f>AH34/$I$89</f>
        <v>#DIV/0!</v>
      </c>
      <c r="AJ34" s="1028"/>
      <c r="AK34" s="1024"/>
      <c r="AL34" s="1176"/>
      <c r="AM34" s="1028"/>
      <c r="AN34" s="1039" t="e">
        <f>AM34/$I$89</f>
        <v>#DIV/0!</v>
      </c>
      <c r="AO34" s="1028"/>
      <c r="AP34" s="1024"/>
      <c r="AQ34" s="1176"/>
      <c r="AR34" s="1028"/>
      <c r="AS34" s="1039" t="e">
        <f>AR34/$I$89</f>
        <v>#DIV/0!</v>
      </c>
      <c r="AT34" s="1028"/>
      <c r="AU34" s="1024"/>
      <c r="AV34" s="1176"/>
      <c r="AW34" s="1028"/>
      <c r="AX34" s="1039" t="e">
        <f>AW34/$I$89</f>
        <v>#DIV/0!</v>
      </c>
      <c r="AY34" s="1028"/>
      <c r="AZ34" s="1176">
        <f t="shared" ref="AZ34:BA37" si="25">G34+L34+Q34+V34</f>
        <v>0</v>
      </c>
      <c r="BA34" s="1176">
        <f t="shared" si="25"/>
        <v>0</v>
      </c>
      <c r="BB34" s="1028"/>
      <c r="BC34" s="1028"/>
      <c r="BD34" s="1028"/>
    </row>
    <row r="35" spans="1:56" s="88" customFormat="1" ht="14.4" customHeight="1">
      <c r="A35" s="238"/>
      <c r="B35" s="1268" t="s">
        <v>80</v>
      </c>
      <c r="C35" s="1260">
        <f>C36</f>
        <v>0</v>
      </c>
      <c r="D35" s="1260">
        <f>D36</f>
        <v>0</v>
      </c>
      <c r="E35" s="1261">
        <f>E36</f>
        <v>0</v>
      </c>
      <c r="F35" s="1262" t="e">
        <f>E35/$E$89</f>
        <v>#DIV/0!</v>
      </c>
      <c r="G35" s="1260">
        <f>G36</f>
        <v>0</v>
      </c>
      <c r="H35" s="1261">
        <f>H36</f>
        <v>0</v>
      </c>
      <c r="I35" s="1260">
        <f>I36</f>
        <v>0</v>
      </c>
      <c r="J35" s="1267" t="e">
        <f t="shared" si="18"/>
        <v>#DIV/0!</v>
      </c>
      <c r="K35" s="1264"/>
      <c r="L35" s="1882">
        <f>L36</f>
        <v>0</v>
      </c>
      <c r="M35" s="1883">
        <f>M36</f>
        <v>0</v>
      </c>
      <c r="N35" s="1883">
        <f>N36</f>
        <v>0</v>
      </c>
      <c r="O35" s="1877" t="e">
        <f>N35/$I$89</f>
        <v>#DIV/0!</v>
      </c>
      <c r="P35" s="1884"/>
      <c r="Q35" s="1882"/>
      <c r="R35" s="1882"/>
      <c r="S35" s="1883">
        <f>S36</f>
        <v>0</v>
      </c>
      <c r="T35" s="1883">
        <f>T36</f>
        <v>0</v>
      </c>
      <c r="U35" s="1884"/>
      <c r="V35" s="1885"/>
      <c r="W35" s="1885"/>
      <c r="X35" s="1886">
        <f>X36</f>
        <v>0</v>
      </c>
      <c r="Y35" s="1878" t="e">
        <f>X35/$I$89</f>
        <v>#DIV/0!</v>
      </c>
      <c r="Z35" s="1886"/>
      <c r="AA35" s="1882"/>
      <c r="AB35" s="1882"/>
      <c r="AC35" s="1883">
        <f>AC36</f>
        <v>0</v>
      </c>
      <c r="AD35" s="2010">
        <f t="shared" si="17"/>
        <v>0</v>
      </c>
      <c r="AE35" s="1884"/>
      <c r="AF35" s="1260"/>
      <c r="AG35" s="1260"/>
      <c r="AH35" s="1261">
        <f>AH36</f>
        <v>0</v>
      </c>
      <c r="AI35" s="1233" t="e">
        <f>AH35/$I$89</f>
        <v>#DIV/0!</v>
      </c>
      <c r="AJ35" s="1264"/>
      <c r="AK35" s="1260"/>
      <c r="AL35" s="1260"/>
      <c r="AM35" s="1261">
        <f>AM36</f>
        <v>0</v>
      </c>
      <c r="AN35" s="1233" t="e">
        <f>AM35/$I$89</f>
        <v>#DIV/0!</v>
      </c>
      <c r="AO35" s="1264"/>
      <c r="AP35" s="1260"/>
      <c r="AQ35" s="1260"/>
      <c r="AR35" s="1261">
        <f>AR36</f>
        <v>0</v>
      </c>
      <c r="AS35" s="1233" t="e">
        <f>AR35/$I$89</f>
        <v>#DIV/0!</v>
      </c>
      <c r="AT35" s="1264"/>
      <c r="AU35" s="1260"/>
      <c r="AV35" s="1260"/>
      <c r="AW35" s="1261">
        <f>AW36</f>
        <v>0</v>
      </c>
      <c r="AX35" s="1233" t="e">
        <f>AW35/$I$89</f>
        <v>#DIV/0!</v>
      </c>
      <c r="AY35" s="1264"/>
      <c r="AZ35" s="1260">
        <f t="shared" si="25"/>
        <v>0</v>
      </c>
      <c r="BA35" s="1260">
        <f t="shared" si="25"/>
        <v>0</v>
      </c>
      <c r="BB35" s="1260">
        <f>BB36</f>
        <v>0</v>
      </c>
      <c r="BC35" s="1260">
        <f>BC36</f>
        <v>0</v>
      </c>
      <c r="BD35" s="1261"/>
    </row>
    <row r="36" spans="1:56" s="226" customFormat="1" ht="14.4" customHeight="1" outlineLevel="1">
      <c r="A36" s="238"/>
      <c r="B36" s="1269" t="s">
        <v>81</v>
      </c>
      <c r="C36" s="1265"/>
      <c r="D36" s="1266"/>
      <c r="E36" s="1270">
        <f>C36+D36*1.15</f>
        <v>0</v>
      </c>
      <c r="F36" s="1236" t="e">
        <f>E36/$E$89</f>
        <v>#DIV/0!</v>
      </c>
      <c r="G36" s="1025"/>
      <c r="H36" s="1024"/>
      <c r="I36" s="1062">
        <f>G36+H36*1</f>
        <v>0</v>
      </c>
      <c r="J36" s="1267" t="e">
        <f t="shared" si="18"/>
        <v>#DIV/0!</v>
      </c>
      <c r="K36" s="1021" t="s">
        <v>950</v>
      </c>
      <c r="L36" s="1746"/>
      <c r="M36" s="1644"/>
      <c r="N36" s="1480">
        <f>L36+M36*1</f>
        <v>0</v>
      </c>
      <c r="O36" s="1877">
        <f>N36/$N$89</f>
        <v>0</v>
      </c>
      <c r="P36" s="1590"/>
      <c r="Q36" s="1644"/>
      <c r="R36" s="1432"/>
      <c r="S36" s="1480">
        <f>Q36+R36*1</f>
        <v>0</v>
      </c>
      <c r="T36" s="1877"/>
      <c r="U36" s="1590"/>
      <c r="V36" s="1772"/>
      <c r="W36" s="1625"/>
      <c r="X36" s="1765">
        <f>V36+W36*1</f>
        <v>0</v>
      </c>
      <c r="Y36" s="1878">
        <f>X36/$X$89</f>
        <v>0</v>
      </c>
      <c r="Z36" s="1726"/>
      <c r="AA36" s="1644"/>
      <c r="AB36" s="1432"/>
      <c r="AC36" s="1480">
        <f>AA36+AB36*1</f>
        <v>0</v>
      </c>
      <c r="AD36" s="1877">
        <f t="shared" si="17"/>
        <v>0</v>
      </c>
      <c r="AE36" s="1590"/>
      <c r="AF36" s="1024"/>
      <c r="AG36" s="1176"/>
      <c r="AH36" s="1178">
        <f>AF36+AG36*1</f>
        <v>0</v>
      </c>
      <c r="AI36" s="1233">
        <f>AH36/$X$89</f>
        <v>0</v>
      </c>
      <c r="AJ36" s="1021"/>
      <c r="AK36" s="1024"/>
      <c r="AL36" s="1176"/>
      <c r="AM36" s="1178">
        <f>AK36+AL36*1</f>
        <v>0</v>
      </c>
      <c r="AN36" s="1233">
        <f>AM36/$X$89</f>
        <v>0</v>
      </c>
      <c r="AO36" s="1021"/>
      <c r="AP36" s="1024"/>
      <c r="AQ36" s="1176"/>
      <c r="AR36" s="1178">
        <f>AP36+AQ36*1</f>
        <v>0</v>
      </c>
      <c r="AS36" s="1233" t="e">
        <f>AR36/$AR$89</f>
        <v>#DIV/0!</v>
      </c>
      <c r="AT36" s="1021"/>
      <c r="AU36" s="1024"/>
      <c r="AV36" s="1176"/>
      <c r="AW36" s="1178">
        <f>AU36+AV36*1</f>
        <v>0</v>
      </c>
      <c r="AX36" s="1233" t="e">
        <f>AW36/$AR$89</f>
        <v>#DIV/0!</v>
      </c>
      <c r="AY36" s="1021"/>
      <c r="AZ36" s="2051">
        <f>G36+L36+Q36+V36+AA36</f>
        <v>0</v>
      </c>
      <c r="BA36" s="2051">
        <f>H36+M36+R36+W36+AB36</f>
        <v>0</v>
      </c>
      <c r="BB36" s="1178">
        <f>AZ36+BA36*1</f>
        <v>0</v>
      </c>
      <c r="BC36" s="1233">
        <f>BB36/$BB$89</f>
        <v>0</v>
      </c>
      <c r="BD36" s="1237"/>
    </row>
    <row r="37" spans="1:56" s="2" customFormat="1" ht="14.4" customHeight="1" thickBot="1">
      <c r="A37" s="4"/>
      <c r="B37" s="1082"/>
      <c r="C37" s="1200"/>
      <c r="D37" s="1083"/>
      <c r="E37" s="1167"/>
      <c r="F37" s="1201"/>
      <c r="G37" s="937"/>
      <c r="H37" s="600"/>
      <c r="I37" s="1202"/>
      <c r="J37" s="1044" t="e">
        <f t="shared" si="18"/>
        <v>#DIV/0!</v>
      </c>
      <c r="K37" s="1180"/>
      <c r="L37" s="1740"/>
      <c r="M37" s="1646"/>
      <c r="N37" s="1439"/>
      <c r="O37" s="1550" t="e">
        <f>N37/$I$89</f>
        <v>#DIV/0!</v>
      </c>
      <c r="P37" s="1449"/>
      <c r="Q37" s="1646"/>
      <c r="R37" s="1629"/>
      <c r="S37" s="1439"/>
      <c r="T37" s="1550"/>
      <c r="U37" s="1449"/>
      <c r="V37" s="1778"/>
      <c r="W37" s="1701"/>
      <c r="X37" s="1728"/>
      <c r="Y37" s="1780" t="e">
        <f>X37/$I$89</f>
        <v>#DIV/0!</v>
      </c>
      <c r="Z37" s="1728"/>
      <c r="AA37" s="1646"/>
      <c r="AB37" s="1629"/>
      <c r="AC37" s="1439"/>
      <c r="AD37" s="1550">
        <f t="shared" si="17"/>
        <v>0</v>
      </c>
      <c r="AE37" s="1449"/>
      <c r="AF37" s="600"/>
      <c r="AG37" s="512"/>
      <c r="AH37" s="1167"/>
      <c r="AI37" s="1165" t="e">
        <f>AH37/$I$89</f>
        <v>#DIV/0!</v>
      </c>
      <c r="AJ37" s="1180"/>
      <c r="AK37" s="600"/>
      <c r="AL37" s="512"/>
      <c r="AM37" s="1167"/>
      <c r="AN37" s="1165" t="e">
        <f>AM37/$I$89</f>
        <v>#DIV/0!</v>
      </c>
      <c r="AO37" s="1180"/>
      <c r="AP37" s="600"/>
      <c r="AQ37" s="512"/>
      <c r="AR37" s="1167"/>
      <c r="AS37" s="1165" t="e">
        <f>AR37/$I$89</f>
        <v>#DIV/0!</v>
      </c>
      <c r="AT37" s="1180"/>
      <c r="AU37" s="600"/>
      <c r="AV37" s="512"/>
      <c r="AW37" s="1167"/>
      <c r="AX37" s="1165" t="e">
        <f>AW37/$I$89</f>
        <v>#DIV/0!</v>
      </c>
      <c r="AY37" s="1180"/>
      <c r="AZ37" s="512">
        <f t="shared" si="25"/>
        <v>0</v>
      </c>
      <c r="BA37" s="512">
        <f t="shared" si="25"/>
        <v>0</v>
      </c>
      <c r="BB37" s="1167"/>
      <c r="BC37" s="1167"/>
      <c r="BD37" s="1167"/>
    </row>
    <row r="38" spans="1:56" ht="14.4" customHeight="1" thickBot="1">
      <c r="A38" s="889"/>
      <c r="B38" s="971" t="s">
        <v>46</v>
      </c>
      <c r="C38" s="648">
        <f>(C5)-(C8)</f>
        <v>0</v>
      </c>
      <c r="D38" s="648">
        <f>(D5)-(D8)</f>
        <v>0</v>
      </c>
      <c r="E38" s="648">
        <f>(E5)-(E8)</f>
        <v>0</v>
      </c>
      <c r="F38" s="871"/>
      <c r="G38" s="940">
        <f>(G5)-(G8)</f>
        <v>0</v>
      </c>
      <c r="H38" s="648">
        <f>(H5)-(H8)</f>
        <v>0</v>
      </c>
      <c r="I38" s="940">
        <f>(I5)-(I8)</f>
        <v>0</v>
      </c>
      <c r="J38" s="648"/>
      <c r="K38" s="636"/>
      <c r="L38" s="1706">
        <f>(L5)-(L8)</f>
        <v>-424525.6</v>
      </c>
      <c r="M38" s="1440">
        <f>(M5)-(M8)</f>
        <v>-91602.2</v>
      </c>
      <c r="N38" s="1440">
        <f>(N5)-(N8)</f>
        <v>-516127.8</v>
      </c>
      <c r="O38" s="1440"/>
      <c r="P38" s="1595"/>
      <c r="Q38" s="1440">
        <f>(Q5)-(Q8)</f>
        <v>1467819.7540000004</v>
      </c>
      <c r="R38" s="1440">
        <f>(R5)-(R8)</f>
        <v>-176759.8</v>
      </c>
      <c r="S38" s="1440">
        <f>(S5)-(S8)</f>
        <v>1291059.9540000004</v>
      </c>
      <c r="T38" s="1440"/>
      <c r="U38" s="1595"/>
      <c r="V38" s="1786">
        <f>(V5)-(V8)</f>
        <v>275772.08399999992</v>
      </c>
      <c r="W38" s="1786">
        <f>(W5)-(W8)</f>
        <v>-136983.20000000001</v>
      </c>
      <c r="X38" s="1786">
        <f>(X5)-(X8)</f>
        <v>138788.88399999996</v>
      </c>
      <c r="Y38" s="1786"/>
      <c r="Z38" s="1786"/>
      <c r="AA38" s="1440">
        <f>(AA5)-(AA8)</f>
        <v>-60008.943999999996</v>
      </c>
      <c r="AB38" s="1440">
        <f>(AB5)-(AB8)</f>
        <v>-5890</v>
      </c>
      <c r="AC38" s="1440">
        <f>(AC5)-(AC8)</f>
        <v>-65898.943999999989</v>
      </c>
      <c r="AD38" s="1440"/>
      <c r="AE38" s="1595"/>
      <c r="AF38" s="648">
        <f>(AF5)-(AF8)</f>
        <v>0</v>
      </c>
      <c r="AG38" s="648">
        <f>(AG5)-(AG8)</f>
        <v>0</v>
      </c>
      <c r="AH38" s="648">
        <f>(AH5)-(AH8)</f>
        <v>0</v>
      </c>
      <c r="AI38" s="648"/>
      <c r="AJ38" s="636"/>
      <c r="AK38" s="648">
        <f>(AK5)-(AK8)</f>
        <v>0</v>
      </c>
      <c r="AL38" s="648">
        <f>(AL5)-(AL8)</f>
        <v>0</v>
      </c>
      <c r="AM38" s="648">
        <f>(AM5)-(AM8)</f>
        <v>0</v>
      </c>
      <c r="AN38" s="648"/>
      <c r="AO38" s="636"/>
      <c r="AP38" s="648">
        <f>(AP5)-(AP8)</f>
        <v>0</v>
      </c>
      <c r="AQ38" s="648">
        <f>(AQ5)-(AQ8)</f>
        <v>0</v>
      </c>
      <c r="AR38" s="648">
        <f>(AR5)-(AR8)</f>
        <v>0</v>
      </c>
      <c r="AS38" s="648"/>
      <c r="AT38" s="636"/>
      <c r="AU38" s="648">
        <f>(AU5)-(AU8)</f>
        <v>0</v>
      </c>
      <c r="AV38" s="648">
        <f>(AV5)-(AV8)</f>
        <v>0</v>
      </c>
      <c r="AW38" s="648">
        <f>(AW5)-(AW8)</f>
        <v>0</v>
      </c>
      <c r="AX38" s="648"/>
      <c r="AY38" s="636"/>
      <c r="AZ38" s="648">
        <f>(AZ5)-(AZ8)</f>
        <v>1259057.2940000002</v>
      </c>
      <c r="BA38" s="648">
        <f>(BA5)-(BA8)</f>
        <v>-411235.19999999995</v>
      </c>
      <c r="BB38" s="648">
        <f>(BB5)-(BB8)</f>
        <v>847822.09400000051</v>
      </c>
      <c r="BC38" s="648"/>
      <c r="BD38" s="648"/>
    </row>
    <row r="39" spans="1:56" ht="14.4" customHeight="1">
      <c r="A39" s="293"/>
      <c r="B39" s="972" t="s">
        <v>47</v>
      </c>
      <c r="C39" s="873" t="e">
        <f>C38/(C5)</f>
        <v>#DIV/0!</v>
      </c>
      <c r="D39" s="873" t="e">
        <f>D38/(D5)</f>
        <v>#DIV/0!</v>
      </c>
      <c r="E39" s="874" t="e">
        <f>E38/(E5)</f>
        <v>#DIV/0!</v>
      </c>
      <c r="F39" s="875"/>
      <c r="G39" s="639" t="e">
        <f>G38/(G5)</f>
        <v>#DIV/0!</v>
      </c>
      <c r="H39" s="660" t="e">
        <f>H38/(H5)</f>
        <v>#DIV/0!</v>
      </c>
      <c r="I39" s="639" t="e">
        <f>I38/(I5)</f>
        <v>#DIV/0!</v>
      </c>
      <c r="J39" s="660"/>
      <c r="K39" s="661"/>
      <c r="L39" s="1441" t="e">
        <f>L38/(L5)</f>
        <v>#DIV/0!</v>
      </c>
      <c r="M39" s="1442" t="e">
        <f>M38/(M5)</f>
        <v>#DIV/0!</v>
      </c>
      <c r="N39" s="1442" t="e">
        <f>N38/(N5)</f>
        <v>#DIV/0!</v>
      </c>
      <c r="O39" s="1442"/>
      <c r="P39" s="1596"/>
      <c r="Q39" s="1441">
        <f>Q38/(Q5)</f>
        <v>0.48765204722581074</v>
      </c>
      <c r="R39" s="1441" t="e">
        <f>R38/(R5)</f>
        <v>#DIV/0!</v>
      </c>
      <c r="S39" s="1442">
        <f>S38/(S5)</f>
        <v>0.42892734475309496</v>
      </c>
      <c r="T39" s="1442"/>
      <c r="U39" s="1596"/>
      <c r="V39" s="1787">
        <f>V38/(V5)</f>
        <v>0.35335831565562059</v>
      </c>
      <c r="W39" s="1787" t="e">
        <f>W38/(W5)</f>
        <v>#DIV/0!</v>
      </c>
      <c r="X39" s="1788">
        <f>X38/(X5)</f>
        <v>0.17783600707736361</v>
      </c>
      <c r="Y39" s="1788"/>
      <c r="Z39" s="1788"/>
      <c r="AA39" s="1441" t="e">
        <f>AA38/(AA5)</f>
        <v>#DIV/0!</v>
      </c>
      <c r="AB39" s="1441" t="e">
        <f>AB38/(AB5)</f>
        <v>#DIV/0!</v>
      </c>
      <c r="AC39" s="1442" t="e">
        <f>AC38/(AC5)</f>
        <v>#DIV/0!</v>
      </c>
      <c r="AD39" s="1442"/>
      <c r="AE39" s="1596"/>
      <c r="AF39" s="639" t="e">
        <f>AF38/(AF5)</f>
        <v>#DIV/0!</v>
      </c>
      <c r="AG39" s="639" t="e">
        <f>AG38/(AG5)</f>
        <v>#DIV/0!</v>
      </c>
      <c r="AH39" s="660" t="e">
        <f>AH38/(AH5)</f>
        <v>#DIV/0!</v>
      </c>
      <c r="AI39" s="660"/>
      <c r="AJ39" s="661"/>
      <c r="AK39" s="639" t="e">
        <f>AK38/(AK5)</f>
        <v>#DIV/0!</v>
      </c>
      <c r="AL39" s="639" t="e">
        <f>AL38/(AL5)</f>
        <v>#DIV/0!</v>
      </c>
      <c r="AM39" s="660" t="e">
        <f>AM38/(AM5)</f>
        <v>#DIV/0!</v>
      </c>
      <c r="AN39" s="660"/>
      <c r="AO39" s="661"/>
      <c r="AP39" s="639" t="e">
        <f>AP38/(AP5)</f>
        <v>#DIV/0!</v>
      </c>
      <c r="AQ39" s="639" t="e">
        <f>AQ38/(AQ5)</f>
        <v>#DIV/0!</v>
      </c>
      <c r="AR39" s="660" t="e">
        <f>AR38/(AR5)</f>
        <v>#DIV/0!</v>
      </c>
      <c r="AS39" s="660"/>
      <c r="AT39" s="661"/>
      <c r="AU39" s="639" t="e">
        <f>AU38/(AU5)</f>
        <v>#DIV/0!</v>
      </c>
      <c r="AV39" s="639" t="e">
        <f>AV38/(AV5)</f>
        <v>#DIV/0!</v>
      </c>
      <c r="AW39" s="660" t="e">
        <f>AW38/(AW5)</f>
        <v>#DIV/0!</v>
      </c>
      <c r="AX39" s="660"/>
      <c r="AY39" s="661"/>
      <c r="AZ39" s="639">
        <f>AZ38/(AZ5)</f>
        <v>0.33216956176861484</v>
      </c>
      <c r="BA39" s="639" t="e">
        <f>BA38/(BA5)</f>
        <v>#DIV/0!</v>
      </c>
      <c r="BB39" s="660">
        <f>BB38/(BB5)</f>
        <v>0.22367583648796963</v>
      </c>
      <c r="BC39" s="660"/>
      <c r="BD39" s="660"/>
    </row>
    <row r="40" spans="1:56" ht="14.4" customHeight="1" outlineLevel="1" thickBot="1">
      <c r="A40" s="295"/>
      <c r="B40" s="1203"/>
      <c r="C40" s="1204"/>
      <c r="D40" s="1205"/>
      <c r="E40" s="1119"/>
      <c r="F40" s="1120"/>
      <c r="G40" s="1182"/>
      <c r="H40" s="1029"/>
      <c r="I40" s="1182"/>
      <c r="J40" s="1029"/>
      <c r="K40" s="1181"/>
      <c r="L40" s="1223"/>
      <c r="M40" s="1363"/>
      <c r="N40" s="1444"/>
      <c r="O40" s="1444"/>
      <c r="P40" s="1597"/>
      <c r="Q40" s="1363"/>
      <c r="R40" s="1444"/>
      <c r="S40" s="1444"/>
      <c r="T40" s="1444"/>
      <c r="U40" s="1597"/>
      <c r="V40" s="1384"/>
      <c r="W40" s="1790"/>
      <c r="X40" s="1790"/>
      <c r="Y40" s="1790"/>
      <c r="Z40" s="1790"/>
      <c r="AA40" s="1363"/>
      <c r="AB40" s="1444"/>
      <c r="AC40" s="1444"/>
      <c r="AD40" s="1444"/>
      <c r="AE40" s="1597"/>
      <c r="AF40" s="1029"/>
      <c r="AG40" s="1168"/>
      <c r="AH40" s="1168"/>
      <c r="AI40" s="1168"/>
      <c r="AJ40" s="1181"/>
      <c r="AK40" s="1029"/>
      <c r="AL40" s="1168"/>
      <c r="AM40" s="1168"/>
      <c r="AN40" s="1168"/>
      <c r="AO40" s="1181"/>
      <c r="AP40" s="1029"/>
      <c r="AQ40" s="1168"/>
      <c r="AR40" s="1168"/>
      <c r="AS40" s="1168"/>
      <c r="AT40" s="1181"/>
      <c r="AU40" s="1029"/>
      <c r="AV40" s="1168"/>
      <c r="AW40" s="1168"/>
      <c r="AX40" s="1168"/>
      <c r="AY40" s="1181"/>
      <c r="AZ40" s="1168">
        <f>G40+L40+Q40+V40</f>
        <v>0</v>
      </c>
      <c r="BA40" s="1168">
        <f>H40+M40+R40+W40</f>
        <v>0</v>
      </c>
      <c r="BB40" s="1168"/>
      <c r="BC40" s="1168"/>
      <c r="BD40" s="1168"/>
    </row>
    <row r="41" spans="1:56" ht="14.4" customHeight="1" outlineLevel="1">
      <c r="A41" s="11"/>
      <c r="B41" s="1271" t="s">
        <v>26</v>
      </c>
      <c r="C41" s="1272">
        <f>SUM(C42:C48)</f>
        <v>0</v>
      </c>
      <c r="D41" s="1272">
        <f>SUM(D42:D48)</f>
        <v>0</v>
      </c>
      <c r="E41" s="1273">
        <f>SUM(E42:E48)</f>
        <v>0</v>
      </c>
      <c r="F41" s="1229" t="e">
        <f t="shared" ref="F41:F48" si="26">E41/$E$89</f>
        <v>#DIV/0!</v>
      </c>
      <c r="G41" s="1030">
        <f>SUM(G42:G48)</f>
        <v>0</v>
      </c>
      <c r="H41" s="1031">
        <f>SUM(H42:H48)</f>
        <v>0</v>
      </c>
      <c r="I41" s="1030">
        <f>SUM(I42:I48)</f>
        <v>0</v>
      </c>
      <c r="J41" s="1274" t="e">
        <f t="shared" ref="J41:J48" si="27">I41/$I$89</f>
        <v>#DIV/0!</v>
      </c>
      <c r="K41" s="665"/>
      <c r="L41" s="1491">
        <f>SUM(L42:L48)</f>
        <v>0</v>
      </c>
      <c r="M41" s="1492">
        <f>SUM(M42:M48)</f>
        <v>0</v>
      </c>
      <c r="N41" s="1492">
        <f>SUM(N42:N48)</f>
        <v>0</v>
      </c>
      <c r="O41" s="1888">
        <f t="shared" ref="O41:O48" si="28">N41/$N$89</f>
        <v>0</v>
      </c>
      <c r="P41" s="1598"/>
      <c r="Q41" s="1491">
        <f>SUM(Q42:Q48)</f>
        <v>135</v>
      </c>
      <c r="R41" s="1491">
        <f>SUM(R42:R48)</f>
        <v>1165</v>
      </c>
      <c r="S41" s="1492">
        <f>SUM(S42:S48)</f>
        <v>1300</v>
      </c>
      <c r="T41" s="1888">
        <f t="shared" ref="T41:T46" si="29">S41/$S$89</f>
        <v>7.4456645717669223E-4</v>
      </c>
      <c r="U41" s="1598"/>
      <c r="V41" s="1791">
        <f>SUM(V42:V48)</f>
        <v>45.01</v>
      </c>
      <c r="W41" s="1791">
        <f>SUM(W42:W48)</f>
        <v>0</v>
      </c>
      <c r="X41" s="1792">
        <f>SUM(X42:X48)</f>
        <v>45.01</v>
      </c>
      <c r="Y41" s="1889">
        <f t="shared" ref="Y41:Y48" si="30">X41/$X$89</f>
        <v>6.7990853554739182E-5</v>
      </c>
      <c r="Z41" s="1794"/>
      <c r="AA41" s="1491">
        <f>SUM(AA42:AA48)</f>
        <v>0</v>
      </c>
      <c r="AB41" s="1491">
        <f>SUM(AB42:AB48)</f>
        <v>0</v>
      </c>
      <c r="AC41" s="1492">
        <f>SUM(AC42:AC48)</f>
        <v>0</v>
      </c>
      <c r="AD41" s="1888">
        <f t="shared" ref="AD41:AD74" si="31">AC41/$AC$89</f>
        <v>0</v>
      </c>
      <c r="AE41" s="1598"/>
      <c r="AF41" s="1030">
        <f>SUM(AF42:AF48)</f>
        <v>0</v>
      </c>
      <c r="AG41" s="1030">
        <f>SUM(AG42:AG48)</f>
        <v>0</v>
      </c>
      <c r="AH41" s="1031">
        <f>SUM(AH42:AH48)</f>
        <v>0</v>
      </c>
      <c r="AI41" s="1229" t="e">
        <f t="shared" ref="AI41:AI47" si="32">AH41/$AH$89</f>
        <v>#DIV/0!</v>
      </c>
      <c r="AJ41" s="665"/>
      <c r="AK41" s="1030">
        <f>SUM(AK42:AK48)</f>
        <v>0</v>
      </c>
      <c r="AL41" s="1030">
        <f>SUM(AL42:AL48)</f>
        <v>0</v>
      </c>
      <c r="AM41" s="1031">
        <f>SUM(AM42:AM48)</f>
        <v>0</v>
      </c>
      <c r="AN41" s="1229" t="e">
        <f t="shared" ref="AN41:AN47" si="33">AM41/$AH$89</f>
        <v>#DIV/0!</v>
      </c>
      <c r="AO41" s="665"/>
      <c r="AP41" s="1030">
        <f>SUM(AP42:AP48)</f>
        <v>0</v>
      </c>
      <c r="AQ41" s="1030">
        <f>SUM(AQ42:AQ48)</f>
        <v>0</v>
      </c>
      <c r="AR41" s="1031">
        <f>SUM(AR42:AR48)</f>
        <v>0</v>
      </c>
      <c r="AS41" s="1229" t="e">
        <f t="shared" ref="AS41:AS48" si="34">AR41/$AR$89</f>
        <v>#DIV/0!</v>
      </c>
      <c r="AT41" s="665"/>
      <c r="AU41" s="1030">
        <f>SUM(AU42:AU48)</f>
        <v>0</v>
      </c>
      <c r="AV41" s="1030">
        <f>SUM(AV42:AV48)</f>
        <v>0</v>
      </c>
      <c r="AW41" s="1031">
        <f>SUM(AW42:AW48)</f>
        <v>0</v>
      </c>
      <c r="AX41" s="1229" t="e">
        <f t="shared" ref="AX41:AX48" si="35">AW41/$AW$89</f>
        <v>#DIV/0!</v>
      </c>
      <c r="AY41" s="665"/>
      <c r="AZ41" s="1030">
        <f>SUM(AZ42:AZ48)</f>
        <v>180.01</v>
      </c>
      <c r="BA41" s="1030">
        <f>SUM(BA42:BA48)</f>
        <v>1165</v>
      </c>
      <c r="BB41" s="1031">
        <f>SUM(BB42:BB48)</f>
        <v>1345.01</v>
      </c>
      <c r="BC41" s="1229">
        <f t="shared" ref="BC41:BC49" si="36">BB41/$BB$89</f>
        <v>4.470961725081715E-4</v>
      </c>
      <c r="BD41" s="581"/>
    </row>
    <row r="42" spans="1:56" ht="14.4" customHeight="1" outlineLevel="2">
      <c r="A42" s="4833"/>
      <c r="B42" s="1259" t="s">
        <v>7</v>
      </c>
      <c r="C42" s="1230"/>
      <c r="D42" s="1231"/>
      <c r="E42" s="1232">
        <f t="shared" ref="E42:E48" si="37">C42+D42*1.15</f>
        <v>0</v>
      </c>
      <c r="F42" s="1233" t="e">
        <f t="shared" si="26"/>
        <v>#DIV/0!</v>
      </c>
      <c r="G42" s="1025"/>
      <c r="H42" s="1024"/>
      <c r="I42" s="1062">
        <f t="shared" ref="I42:I48" si="38">G42+H42*1</f>
        <v>0</v>
      </c>
      <c r="J42" s="1267" t="e">
        <f t="shared" si="27"/>
        <v>#DIV/0!</v>
      </c>
      <c r="K42" s="1021"/>
      <c r="L42" s="1746"/>
      <c r="M42" s="1644"/>
      <c r="N42" s="1480">
        <f t="shared" ref="N42:N48" si="39">L42+M42*1</f>
        <v>0</v>
      </c>
      <c r="O42" s="1877">
        <f t="shared" si="28"/>
        <v>0</v>
      </c>
      <c r="P42" s="1590"/>
      <c r="Q42" s="1644"/>
      <c r="R42" s="1432"/>
      <c r="S42" s="1480">
        <f>Q42+R42*1</f>
        <v>0</v>
      </c>
      <c r="T42" s="1877">
        <f t="shared" si="29"/>
        <v>0</v>
      </c>
      <c r="U42" s="1590"/>
      <c r="V42" s="1772"/>
      <c r="W42" s="1625"/>
      <c r="X42" s="1765">
        <f>V42+W42*1</f>
        <v>0</v>
      </c>
      <c r="Y42" s="1878">
        <f t="shared" si="30"/>
        <v>0</v>
      </c>
      <c r="Z42" s="1726"/>
      <c r="AA42" s="1644"/>
      <c r="AB42" s="1432"/>
      <c r="AC42" s="1480">
        <f t="shared" ref="AC42:AC48" si="40">AA42+AB42*1</f>
        <v>0</v>
      </c>
      <c r="AD42" s="1877">
        <f t="shared" si="31"/>
        <v>0</v>
      </c>
      <c r="AE42" s="1590"/>
      <c r="AF42" s="1024"/>
      <c r="AG42" s="1176"/>
      <c r="AH42" s="1178">
        <f t="shared" ref="AH42:AH48" si="41">AF42+AG42*1</f>
        <v>0</v>
      </c>
      <c r="AI42" s="1233" t="e">
        <f t="shared" si="32"/>
        <v>#DIV/0!</v>
      </c>
      <c r="AJ42" s="1021"/>
      <c r="AK42" s="1024"/>
      <c r="AL42" s="1176"/>
      <c r="AM42" s="1178">
        <f t="shared" ref="AM42:AM48" si="42">AK42+AL42*1</f>
        <v>0</v>
      </c>
      <c r="AN42" s="1233" t="e">
        <f t="shared" si="33"/>
        <v>#DIV/0!</v>
      </c>
      <c r="AO42" s="1021"/>
      <c r="AP42" s="1024"/>
      <c r="AQ42" s="1176"/>
      <c r="AR42" s="1178">
        <f t="shared" ref="AR42:AR48" si="43">AP42+AQ42*1</f>
        <v>0</v>
      </c>
      <c r="AS42" s="1233" t="e">
        <f t="shared" si="34"/>
        <v>#DIV/0!</v>
      </c>
      <c r="AT42" s="1021"/>
      <c r="AU42" s="1024"/>
      <c r="AV42" s="1176"/>
      <c r="AW42" s="1178">
        <f t="shared" ref="AW42:AW48" si="44">AU42+AV42*1</f>
        <v>0</v>
      </c>
      <c r="AX42" s="1233" t="e">
        <f t="shared" si="35"/>
        <v>#DIV/0!</v>
      </c>
      <c r="AY42" s="1021"/>
      <c r="AZ42" s="2051">
        <f t="shared" ref="AZ42:AZ48" si="45">G42+L42+Q42+V42+AA42</f>
        <v>0</v>
      </c>
      <c r="BA42" s="2051">
        <f t="shared" ref="BA42:BA48" si="46">H42+M42+R42+W42+AB42</f>
        <v>0</v>
      </c>
      <c r="BB42" s="1178">
        <f t="shared" ref="BB42:BB48" si="47">AZ42+BA42*1</f>
        <v>0</v>
      </c>
      <c r="BC42" s="1233">
        <f t="shared" si="36"/>
        <v>0</v>
      </c>
      <c r="BD42" s="1234"/>
    </row>
    <row r="43" spans="1:56" ht="14.4" customHeight="1" outlineLevel="2">
      <c r="A43" s="4833"/>
      <c r="B43" s="1259" t="s">
        <v>27</v>
      </c>
      <c r="C43" s="1230"/>
      <c r="D43" s="1231"/>
      <c r="E43" s="1232">
        <f t="shared" si="37"/>
        <v>0</v>
      </c>
      <c r="F43" s="1233" t="e">
        <f t="shared" si="26"/>
        <v>#DIV/0!</v>
      </c>
      <c r="G43" s="1025"/>
      <c r="H43" s="1024"/>
      <c r="I43" s="1062">
        <f t="shared" si="38"/>
        <v>0</v>
      </c>
      <c r="J43" s="1267" t="e">
        <f t="shared" si="27"/>
        <v>#DIV/0!</v>
      </c>
      <c r="K43" s="1021"/>
      <c r="L43" s="1746"/>
      <c r="M43" s="1644"/>
      <c r="N43" s="1480">
        <f t="shared" si="39"/>
        <v>0</v>
      </c>
      <c r="O43" s="1877">
        <f t="shared" si="28"/>
        <v>0</v>
      </c>
      <c r="P43" s="1590"/>
      <c r="Q43" s="1644"/>
      <c r="R43" s="1432">
        <v>250</v>
      </c>
      <c r="S43" s="1480">
        <f>Q43+R43*1</f>
        <v>250</v>
      </c>
      <c r="T43" s="1877">
        <f t="shared" si="29"/>
        <v>1.4318585714936388E-4</v>
      </c>
      <c r="U43" s="1590" t="s">
        <v>1188</v>
      </c>
      <c r="V43" s="1772"/>
      <c r="W43" s="1625"/>
      <c r="X43" s="1765">
        <f>V43+W43*1</f>
        <v>0</v>
      </c>
      <c r="Y43" s="1878">
        <f t="shared" si="30"/>
        <v>0</v>
      </c>
      <c r="Z43" s="1726"/>
      <c r="AA43" s="1644"/>
      <c r="AB43" s="1432"/>
      <c r="AC43" s="1480">
        <f t="shared" si="40"/>
        <v>0</v>
      </c>
      <c r="AD43" s="1877">
        <f t="shared" si="31"/>
        <v>0</v>
      </c>
      <c r="AE43" s="1590"/>
      <c r="AF43" s="1024"/>
      <c r="AG43" s="1176"/>
      <c r="AH43" s="1178">
        <f t="shared" si="41"/>
        <v>0</v>
      </c>
      <c r="AI43" s="1233" t="e">
        <f t="shared" si="32"/>
        <v>#DIV/0!</v>
      </c>
      <c r="AJ43" s="1021"/>
      <c r="AK43" s="1024"/>
      <c r="AL43" s="1176"/>
      <c r="AM43" s="1178">
        <f t="shared" si="42"/>
        <v>0</v>
      </c>
      <c r="AN43" s="1233" t="e">
        <f t="shared" si="33"/>
        <v>#DIV/0!</v>
      </c>
      <c r="AO43" s="1021"/>
      <c r="AP43" s="1024"/>
      <c r="AQ43" s="1176"/>
      <c r="AR43" s="1178">
        <f t="shared" si="43"/>
        <v>0</v>
      </c>
      <c r="AS43" s="1233" t="e">
        <f t="shared" si="34"/>
        <v>#DIV/0!</v>
      </c>
      <c r="AT43" s="1021"/>
      <c r="AU43" s="1024"/>
      <c r="AV43" s="1176"/>
      <c r="AW43" s="1178">
        <f t="shared" si="44"/>
        <v>0</v>
      </c>
      <c r="AX43" s="1233" t="e">
        <f t="shared" si="35"/>
        <v>#DIV/0!</v>
      </c>
      <c r="AY43" s="1021"/>
      <c r="AZ43" s="2051">
        <f t="shared" si="45"/>
        <v>0</v>
      </c>
      <c r="BA43" s="2051">
        <f t="shared" si="46"/>
        <v>250</v>
      </c>
      <c r="BB43" s="1178">
        <f t="shared" si="47"/>
        <v>250</v>
      </c>
      <c r="BC43" s="1233">
        <f t="shared" si="36"/>
        <v>8.3102759925236892E-5</v>
      </c>
      <c r="BD43" s="1234"/>
    </row>
    <row r="44" spans="1:56" ht="14.4" customHeight="1" outlineLevel="2">
      <c r="A44" s="4833"/>
      <c r="B44" s="1269" t="s">
        <v>28</v>
      </c>
      <c r="C44" s="1230"/>
      <c r="D44" s="1231"/>
      <c r="E44" s="1232">
        <f t="shared" si="37"/>
        <v>0</v>
      </c>
      <c r="F44" s="1233" t="e">
        <f t="shared" si="26"/>
        <v>#DIV/0!</v>
      </c>
      <c r="G44" s="1025"/>
      <c r="H44" s="1024"/>
      <c r="I44" s="1062">
        <f t="shared" si="38"/>
        <v>0</v>
      </c>
      <c r="J44" s="1267" t="e">
        <f t="shared" si="27"/>
        <v>#DIV/0!</v>
      </c>
      <c r="K44" s="1021"/>
      <c r="L44" s="1746"/>
      <c r="M44" s="1644"/>
      <c r="N44" s="1480">
        <f t="shared" si="39"/>
        <v>0</v>
      </c>
      <c r="O44" s="1877">
        <f t="shared" si="28"/>
        <v>0</v>
      </c>
      <c r="P44" s="1590"/>
      <c r="Q44" s="1644"/>
      <c r="R44" s="1432"/>
      <c r="S44" s="1480">
        <f>Q44+R44*1</f>
        <v>0</v>
      </c>
      <c r="T44" s="1877">
        <f t="shared" si="29"/>
        <v>0</v>
      </c>
      <c r="U44" s="1590"/>
      <c r="V44" s="1772"/>
      <c r="W44" s="1625"/>
      <c r="X44" s="1765">
        <f>V44+W44*1</f>
        <v>0</v>
      </c>
      <c r="Y44" s="1878">
        <f t="shared" si="30"/>
        <v>0</v>
      </c>
      <c r="Z44" s="1726"/>
      <c r="AA44" s="1644"/>
      <c r="AB44" s="1432"/>
      <c r="AC44" s="1480">
        <f t="shared" si="40"/>
        <v>0</v>
      </c>
      <c r="AD44" s="1877">
        <f t="shared" si="31"/>
        <v>0</v>
      </c>
      <c r="AE44" s="1590"/>
      <c r="AF44" s="1024"/>
      <c r="AG44" s="1176"/>
      <c r="AH44" s="1178">
        <f t="shared" si="41"/>
        <v>0</v>
      </c>
      <c r="AI44" s="1233" t="e">
        <f t="shared" si="32"/>
        <v>#DIV/0!</v>
      </c>
      <c r="AJ44" s="1021"/>
      <c r="AK44" s="1024"/>
      <c r="AL44" s="1176"/>
      <c r="AM44" s="1178">
        <f t="shared" si="42"/>
        <v>0</v>
      </c>
      <c r="AN44" s="1233" t="e">
        <f t="shared" si="33"/>
        <v>#DIV/0!</v>
      </c>
      <c r="AO44" s="1021"/>
      <c r="AP44" s="1024"/>
      <c r="AQ44" s="1176"/>
      <c r="AR44" s="1178">
        <f t="shared" si="43"/>
        <v>0</v>
      </c>
      <c r="AS44" s="1233" t="e">
        <f t="shared" si="34"/>
        <v>#DIV/0!</v>
      </c>
      <c r="AT44" s="1021"/>
      <c r="AU44" s="1024"/>
      <c r="AV44" s="1176"/>
      <c r="AW44" s="1178">
        <f t="shared" si="44"/>
        <v>0</v>
      </c>
      <c r="AX44" s="1233" t="e">
        <f t="shared" si="35"/>
        <v>#DIV/0!</v>
      </c>
      <c r="AY44" s="1021"/>
      <c r="AZ44" s="2051">
        <f t="shared" si="45"/>
        <v>0</v>
      </c>
      <c r="BA44" s="2051">
        <f t="shared" si="46"/>
        <v>0</v>
      </c>
      <c r="BB44" s="1178">
        <f t="shared" si="47"/>
        <v>0</v>
      </c>
      <c r="BC44" s="1233">
        <f t="shared" si="36"/>
        <v>0</v>
      </c>
      <c r="BD44" s="1234"/>
    </row>
    <row r="45" spans="1:56" ht="14.4" customHeight="1" outlineLevel="2">
      <c r="A45" s="4833"/>
      <c r="B45" s="1259" t="s">
        <v>8</v>
      </c>
      <c r="C45" s="1230"/>
      <c r="D45" s="1231"/>
      <c r="E45" s="1232">
        <f t="shared" si="37"/>
        <v>0</v>
      </c>
      <c r="F45" s="1233" t="e">
        <f t="shared" si="26"/>
        <v>#DIV/0!</v>
      </c>
      <c r="G45" s="1025"/>
      <c r="H45" s="1024"/>
      <c r="I45" s="1062">
        <f t="shared" si="38"/>
        <v>0</v>
      </c>
      <c r="J45" s="1267" t="e">
        <f t="shared" si="27"/>
        <v>#DIV/0!</v>
      </c>
      <c r="K45" s="1021"/>
      <c r="L45" s="1746"/>
      <c r="M45" s="1644"/>
      <c r="N45" s="1480">
        <f t="shared" si="39"/>
        <v>0</v>
      </c>
      <c r="O45" s="1877">
        <f t="shared" si="28"/>
        <v>0</v>
      </c>
      <c r="P45" s="1590"/>
      <c r="Q45" s="1644"/>
      <c r="R45" s="1432">
        <v>915</v>
      </c>
      <c r="S45" s="1480">
        <f>Q45+R45*1</f>
        <v>915</v>
      </c>
      <c r="T45" s="1877">
        <f t="shared" si="29"/>
        <v>5.2406023716667185E-4</v>
      </c>
      <c r="U45" s="1590" t="s">
        <v>1189</v>
      </c>
      <c r="V45" s="1772"/>
      <c r="W45" s="1625"/>
      <c r="X45" s="1765">
        <f>V45+W45*1</f>
        <v>0</v>
      </c>
      <c r="Y45" s="1878">
        <f t="shared" si="30"/>
        <v>0</v>
      </c>
      <c r="Z45" s="1726"/>
      <c r="AA45" s="1644"/>
      <c r="AB45" s="1432"/>
      <c r="AC45" s="1480">
        <f t="shared" si="40"/>
        <v>0</v>
      </c>
      <c r="AD45" s="1877">
        <f t="shared" si="31"/>
        <v>0</v>
      </c>
      <c r="AE45" s="1590"/>
      <c r="AF45" s="1024"/>
      <c r="AG45" s="1176"/>
      <c r="AH45" s="1178">
        <f t="shared" si="41"/>
        <v>0</v>
      </c>
      <c r="AI45" s="1233" t="e">
        <f t="shared" si="32"/>
        <v>#DIV/0!</v>
      </c>
      <c r="AJ45" s="1021"/>
      <c r="AK45" s="1024"/>
      <c r="AL45" s="1176"/>
      <c r="AM45" s="1178">
        <f t="shared" si="42"/>
        <v>0</v>
      </c>
      <c r="AN45" s="1233" t="e">
        <f t="shared" si="33"/>
        <v>#DIV/0!</v>
      </c>
      <c r="AO45" s="1021"/>
      <c r="AP45" s="1024"/>
      <c r="AQ45" s="1176"/>
      <c r="AR45" s="1178">
        <f t="shared" si="43"/>
        <v>0</v>
      </c>
      <c r="AS45" s="1233" t="e">
        <f t="shared" si="34"/>
        <v>#DIV/0!</v>
      </c>
      <c r="AT45" s="1021"/>
      <c r="AU45" s="1024"/>
      <c r="AV45" s="1176"/>
      <c r="AW45" s="1178">
        <f t="shared" si="44"/>
        <v>0</v>
      </c>
      <c r="AX45" s="1233" t="e">
        <f t="shared" si="35"/>
        <v>#DIV/0!</v>
      </c>
      <c r="AY45" s="1021"/>
      <c r="AZ45" s="2051">
        <f t="shared" si="45"/>
        <v>0</v>
      </c>
      <c r="BA45" s="2051">
        <f t="shared" si="46"/>
        <v>915</v>
      </c>
      <c r="BB45" s="1178">
        <f t="shared" si="47"/>
        <v>915</v>
      </c>
      <c r="BC45" s="1233">
        <f t="shared" si="36"/>
        <v>3.0415610132636704E-4</v>
      </c>
      <c r="BD45" s="1234"/>
    </row>
    <row r="46" spans="1:56" ht="14.4" customHeight="1" outlineLevel="2">
      <c r="A46" s="4833"/>
      <c r="B46" s="1259" t="s">
        <v>29</v>
      </c>
      <c r="C46" s="1230"/>
      <c r="D46" s="1231"/>
      <c r="E46" s="1232">
        <f t="shared" si="37"/>
        <v>0</v>
      </c>
      <c r="F46" s="1233" t="e">
        <f t="shared" si="26"/>
        <v>#DIV/0!</v>
      </c>
      <c r="G46" s="1025"/>
      <c r="H46" s="1024"/>
      <c r="I46" s="1062">
        <f t="shared" si="38"/>
        <v>0</v>
      </c>
      <c r="J46" s="1267" t="e">
        <f t="shared" si="27"/>
        <v>#DIV/0!</v>
      </c>
      <c r="K46" s="1021"/>
      <c r="L46" s="1746"/>
      <c r="M46" s="1644"/>
      <c r="N46" s="1480">
        <f t="shared" si="39"/>
        <v>0</v>
      </c>
      <c r="O46" s="1877">
        <f t="shared" si="28"/>
        <v>0</v>
      </c>
      <c r="P46" s="1590"/>
      <c r="Q46" s="1644"/>
      <c r="R46" s="1432"/>
      <c r="S46" s="1480">
        <f>Q46+R46*1</f>
        <v>0</v>
      </c>
      <c r="T46" s="1877">
        <f t="shared" si="29"/>
        <v>0</v>
      </c>
      <c r="U46" s="1590"/>
      <c r="V46" s="1772"/>
      <c r="W46" s="1625"/>
      <c r="X46" s="1765">
        <f>V46+W46*1</f>
        <v>0</v>
      </c>
      <c r="Y46" s="1878">
        <f t="shared" si="30"/>
        <v>0</v>
      </c>
      <c r="Z46" s="1726"/>
      <c r="AA46" s="1644"/>
      <c r="AB46" s="1432"/>
      <c r="AC46" s="1480">
        <f t="shared" si="40"/>
        <v>0</v>
      </c>
      <c r="AD46" s="1877">
        <f t="shared" si="31"/>
        <v>0</v>
      </c>
      <c r="AE46" s="1590"/>
      <c r="AF46" s="1024"/>
      <c r="AG46" s="1176"/>
      <c r="AH46" s="1178">
        <f t="shared" si="41"/>
        <v>0</v>
      </c>
      <c r="AI46" s="1233" t="e">
        <f t="shared" si="32"/>
        <v>#DIV/0!</v>
      </c>
      <c r="AJ46" s="1021"/>
      <c r="AK46" s="1024"/>
      <c r="AL46" s="1176"/>
      <c r="AM46" s="1178">
        <f t="shared" si="42"/>
        <v>0</v>
      </c>
      <c r="AN46" s="1233" t="e">
        <f t="shared" si="33"/>
        <v>#DIV/0!</v>
      </c>
      <c r="AO46" s="1021"/>
      <c r="AP46" s="1024"/>
      <c r="AQ46" s="1176"/>
      <c r="AR46" s="1178">
        <f t="shared" si="43"/>
        <v>0</v>
      </c>
      <c r="AS46" s="1233" t="e">
        <f t="shared" si="34"/>
        <v>#DIV/0!</v>
      </c>
      <c r="AT46" s="1021"/>
      <c r="AU46" s="1024"/>
      <c r="AV46" s="1176"/>
      <c r="AW46" s="1178">
        <f t="shared" si="44"/>
        <v>0</v>
      </c>
      <c r="AX46" s="1233" t="e">
        <f t="shared" si="35"/>
        <v>#DIV/0!</v>
      </c>
      <c r="AY46" s="1021"/>
      <c r="AZ46" s="2051">
        <f t="shared" si="45"/>
        <v>0</v>
      </c>
      <c r="BA46" s="2051">
        <f t="shared" si="46"/>
        <v>0</v>
      </c>
      <c r="BB46" s="1178">
        <f t="shared" si="47"/>
        <v>0</v>
      </c>
      <c r="BC46" s="1233">
        <f t="shared" si="36"/>
        <v>0</v>
      </c>
      <c r="BD46" s="1234"/>
    </row>
    <row r="47" spans="1:56" ht="14.4" customHeight="1" outlineLevel="2">
      <c r="A47" s="4833"/>
      <c r="B47" s="1259" t="s">
        <v>30</v>
      </c>
      <c r="C47" s="1230"/>
      <c r="D47" s="1231"/>
      <c r="E47" s="1232">
        <f t="shared" si="37"/>
        <v>0</v>
      </c>
      <c r="F47" s="1233" t="e">
        <f t="shared" si="26"/>
        <v>#DIV/0!</v>
      </c>
      <c r="G47" s="1025"/>
      <c r="H47" s="1024"/>
      <c r="I47" s="1062">
        <f t="shared" si="38"/>
        <v>0</v>
      </c>
      <c r="J47" s="1267" t="e">
        <f t="shared" si="27"/>
        <v>#DIV/0!</v>
      </c>
      <c r="K47" s="1021"/>
      <c r="L47" s="1746"/>
      <c r="M47" s="1644"/>
      <c r="N47" s="1480">
        <f t="shared" si="39"/>
        <v>0</v>
      </c>
      <c r="O47" s="1877">
        <f t="shared" si="28"/>
        <v>0</v>
      </c>
      <c r="P47" s="1590"/>
      <c r="Q47" s="1360">
        <v>135</v>
      </c>
      <c r="R47" s="1356"/>
      <c r="S47" s="1357">
        <v>135</v>
      </c>
      <c r="T47" s="1890">
        <v>7.3448033581577181E-5</v>
      </c>
      <c r="U47" s="1358" t="s">
        <v>486</v>
      </c>
      <c r="V47" s="1359">
        <v>45.01</v>
      </c>
      <c r="W47" s="1353"/>
      <c r="X47" s="1354">
        <v>45.01</v>
      </c>
      <c r="Y47" s="1911">
        <v>6.8125347253490464E-5</v>
      </c>
      <c r="Z47" s="1355" t="s">
        <v>486</v>
      </c>
      <c r="AA47" s="1644"/>
      <c r="AB47" s="1432"/>
      <c r="AC47" s="1480">
        <f t="shared" si="40"/>
        <v>0</v>
      </c>
      <c r="AD47" s="1877">
        <f t="shared" si="31"/>
        <v>0</v>
      </c>
      <c r="AE47" s="1590"/>
      <c r="AF47" s="1024"/>
      <c r="AG47" s="1176"/>
      <c r="AH47" s="1178">
        <f t="shared" si="41"/>
        <v>0</v>
      </c>
      <c r="AI47" s="1233" t="e">
        <f t="shared" si="32"/>
        <v>#DIV/0!</v>
      </c>
      <c r="AJ47" s="1021"/>
      <c r="AK47" s="1024"/>
      <c r="AL47" s="1176"/>
      <c r="AM47" s="1178">
        <f t="shared" si="42"/>
        <v>0</v>
      </c>
      <c r="AN47" s="1233" t="e">
        <f t="shared" si="33"/>
        <v>#DIV/0!</v>
      </c>
      <c r="AO47" s="1021"/>
      <c r="AP47" s="1024"/>
      <c r="AQ47" s="1176"/>
      <c r="AR47" s="1178">
        <f t="shared" si="43"/>
        <v>0</v>
      </c>
      <c r="AS47" s="1233" t="e">
        <f t="shared" si="34"/>
        <v>#DIV/0!</v>
      </c>
      <c r="AT47" s="1021"/>
      <c r="AU47" s="1024"/>
      <c r="AV47" s="1176"/>
      <c r="AW47" s="1178">
        <f t="shared" si="44"/>
        <v>0</v>
      </c>
      <c r="AX47" s="1233" t="e">
        <f t="shared" si="35"/>
        <v>#DIV/0!</v>
      </c>
      <c r="AY47" s="1021"/>
      <c r="AZ47" s="2051">
        <f t="shared" si="45"/>
        <v>180.01</v>
      </c>
      <c r="BA47" s="2051">
        <f t="shared" si="46"/>
        <v>0</v>
      </c>
      <c r="BB47" s="1178">
        <f t="shared" si="47"/>
        <v>180.01</v>
      </c>
      <c r="BC47" s="1233">
        <f t="shared" si="36"/>
        <v>5.9837311256567568E-5</v>
      </c>
      <c r="BD47" s="1234"/>
    </row>
    <row r="48" spans="1:56" ht="14.4" customHeight="1" outlineLevel="2">
      <c r="A48" s="4833"/>
      <c r="B48" s="1259" t="s">
        <v>15</v>
      </c>
      <c r="C48" s="1230"/>
      <c r="D48" s="1231"/>
      <c r="E48" s="1232">
        <f t="shared" si="37"/>
        <v>0</v>
      </c>
      <c r="F48" s="1233" t="e">
        <f t="shared" si="26"/>
        <v>#DIV/0!</v>
      </c>
      <c r="G48" s="1025"/>
      <c r="H48" s="1024"/>
      <c r="I48" s="1062">
        <f t="shared" si="38"/>
        <v>0</v>
      </c>
      <c r="J48" s="1267" t="e">
        <f t="shared" si="27"/>
        <v>#DIV/0!</v>
      </c>
      <c r="K48" s="1275"/>
      <c r="L48" s="1746"/>
      <c r="M48" s="1644"/>
      <c r="N48" s="1480">
        <f t="shared" si="39"/>
        <v>0</v>
      </c>
      <c r="O48" s="1877">
        <f t="shared" si="28"/>
        <v>0</v>
      </c>
      <c r="P48" s="1912"/>
      <c r="Q48" s="1644"/>
      <c r="R48" s="1432"/>
      <c r="S48" s="1480">
        <f>Q48+R48*1</f>
        <v>0</v>
      </c>
      <c r="T48" s="1877"/>
      <c r="U48" s="1912"/>
      <c r="V48" s="1772"/>
      <c r="W48" s="1625"/>
      <c r="X48" s="1765">
        <f>V48+W48*1</f>
        <v>0</v>
      </c>
      <c r="Y48" s="1878">
        <f t="shared" si="30"/>
        <v>0</v>
      </c>
      <c r="Z48" s="1913"/>
      <c r="AA48" s="1644"/>
      <c r="AB48" s="1432"/>
      <c r="AC48" s="1480">
        <f t="shared" si="40"/>
        <v>0</v>
      </c>
      <c r="AD48" s="1877">
        <f t="shared" si="31"/>
        <v>0</v>
      </c>
      <c r="AE48" s="1912"/>
      <c r="AF48" s="1024"/>
      <c r="AG48" s="1176"/>
      <c r="AH48" s="1178">
        <f t="shared" si="41"/>
        <v>0</v>
      </c>
      <c r="AI48" s="1233">
        <f>AH48/$X$89</f>
        <v>0</v>
      </c>
      <c r="AJ48" s="1275"/>
      <c r="AK48" s="1024"/>
      <c r="AL48" s="1176"/>
      <c r="AM48" s="1178">
        <f t="shared" si="42"/>
        <v>0</v>
      </c>
      <c r="AN48" s="1233">
        <f>AM48/$X$89</f>
        <v>0</v>
      </c>
      <c r="AO48" s="1275"/>
      <c r="AP48" s="1024"/>
      <c r="AQ48" s="1176"/>
      <c r="AR48" s="1178">
        <f t="shared" si="43"/>
        <v>0</v>
      </c>
      <c r="AS48" s="1233" t="e">
        <f t="shared" si="34"/>
        <v>#DIV/0!</v>
      </c>
      <c r="AT48" s="1275"/>
      <c r="AU48" s="1024"/>
      <c r="AV48" s="1176"/>
      <c r="AW48" s="1178">
        <f t="shared" si="44"/>
        <v>0</v>
      </c>
      <c r="AX48" s="1233" t="e">
        <f t="shared" si="35"/>
        <v>#DIV/0!</v>
      </c>
      <c r="AY48" s="1021"/>
      <c r="AZ48" s="2051">
        <f t="shared" si="45"/>
        <v>0</v>
      </c>
      <c r="BA48" s="2051">
        <f t="shared" si="46"/>
        <v>0</v>
      </c>
      <c r="BB48" s="1178">
        <f t="shared" si="47"/>
        <v>0</v>
      </c>
      <c r="BC48" s="1233">
        <f t="shared" si="36"/>
        <v>0</v>
      </c>
      <c r="BD48" s="1234"/>
    </row>
    <row r="49" spans="1:56" s="2" customFormat="1" ht="14.4" customHeight="1" outlineLevel="2" thickBot="1">
      <c r="A49" s="11"/>
      <c r="B49" s="1206"/>
      <c r="C49" s="1103"/>
      <c r="D49" s="1207"/>
      <c r="E49" s="1109"/>
      <c r="F49" s="1110"/>
      <c r="G49" s="1025"/>
      <c r="H49" s="1024"/>
      <c r="I49" s="1202"/>
      <c r="J49" s="1267" t="e">
        <f>I49/#REF!</f>
        <v>#REF!</v>
      </c>
      <c r="K49" s="1184"/>
      <c r="L49" s="1746"/>
      <c r="M49" s="1644"/>
      <c r="N49" s="1439"/>
      <c r="O49" s="1877"/>
      <c r="P49" s="1873"/>
      <c r="Q49" s="1644"/>
      <c r="R49" s="1432"/>
      <c r="S49" s="1439"/>
      <c r="T49" s="1877"/>
      <c r="U49" s="1873"/>
      <c r="V49" s="1772"/>
      <c r="W49" s="1625"/>
      <c r="X49" s="1728"/>
      <c r="Y49" s="1878"/>
      <c r="Z49" s="1874"/>
      <c r="AA49" s="1644"/>
      <c r="AB49" s="1432"/>
      <c r="AC49" s="1439"/>
      <c r="AD49" s="1877">
        <f t="shared" si="31"/>
        <v>0</v>
      </c>
      <c r="AE49" s="1873"/>
      <c r="AF49" s="1024"/>
      <c r="AG49" s="1176"/>
      <c r="AH49" s="1167"/>
      <c r="AI49" s="1233" t="e">
        <f>AH49/#REF!</f>
        <v>#REF!</v>
      </c>
      <c r="AJ49" s="1184"/>
      <c r="AK49" s="1024"/>
      <c r="AL49" s="1176"/>
      <c r="AM49" s="1167"/>
      <c r="AN49" s="1233" t="e">
        <f>AM49/#REF!</f>
        <v>#REF!</v>
      </c>
      <c r="AO49" s="1184"/>
      <c r="AP49" s="1024"/>
      <c r="AQ49" s="1176"/>
      <c r="AR49" s="1167"/>
      <c r="AS49" s="1233" t="e">
        <f>AR49/#REF!</f>
        <v>#REF!</v>
      </c>
      <c r="AT49" s="1184"/>
      <c r="AU49" s="1024"/>
      <c r="AV49" s="1176"/>
      <c r="AW49" s="1167"/>
      <c r="AX49" s="1233" t="e">
        <f>AW49/#REF!</f>
        <v>#REF!</v>
      </c>
      <c r="AY49" s="1184"/>
      <c r="AZ49" s="1176">
        <f>G49+L49+Q49+V49</f>
        <v>0</v>
      </c>
      <c r="BA49" s="1176">
        <f>H49+M49+R49+W49</f>
        <v>0</v>
      </c>
      <c r="BB49" s="1167"/>
      <c r="BC49" s="1233">
        <f t="shared" si="36"/>
        <v>0</v>
      </c>
      <c r="BD49" s="1167"/>
    </row>
    <row r="50" spans="1:56" s="2" customFormat="1" ht="14.4" customHeight="1" outlineLevel="1">
      <c r="A50" s="293"/>
      <c r="B50" s="983" t="s">
        <v>59</v>
      </c>
      <c r="C50" s="578">
        <f>SUM(C51:C52)</f>
        <v>0</v>
      </c>
      <c r="D50" s="578">
        <f>SUM(D51:D52)</f>
        <v>0</v>
      </c>
      <c r="E50" s="578">
        <f>SUM(E51:E52)</f>
        <v>0</v>
      </c>
      <c r="F50" s="580" t="e">
        <f>E50/$E$89</f>
        <v>#DIV/0!</v>
      </c>
      <c r="G50" s="578">
        <f>G52+G51</f>
        <v>0</v>
      </c>
      <c r="H50" s="579">
        <f>H52+H51</f>
        <v>0</v>
      </c>
      <c r="I50" s="578">
        <f>SUM(I51:I52)</f>
        <v>0</v>
      </c>
      <c r="J50" s="581"/>
      <c r="K50" s="667"/>
      <c r="L50" s="1497">
        <f>L52+L51</f>
        <v>0</v>
      </c>
      <c r="M50" s="1500">
        <f>M52+M51</f>
        <v>0</v>
      </c>
      <c r="N50" s="1497">
        <f>SUM(N51:N52)</f>
        <v>0</v>
      </c>
      <c r="O50" s="1446"/>
      <c r="P50" s="1659"/>
      <c r="Q50" s="1497">
        <f>Q52+Q51</f>
        <v>0</v>
      </c>
      <c r="R50" s="1497">
        <f>R52+R51</f>
        <v>0</v>
      </c>
      <c r="S50" s="1497">
        <f>SUM(S51:S52)</f>
        <v>0</v>
      </c>
      <c r="T50" s="1446"/>
      <c r="U50" s="1659"/>
      <c r="V50" s="1795">
        <f>V52+V51</f>
        <v>0</v>
      </c>
      <c r="W50" s="1795">
        <f>W52+W51</f>
        <v>0</v>
      </c>
      <c r="X50" s="1795">
        <f>SUM(X51:X52)</f>
        <v>0</v>
      </c>
      <c r="Y50" s="1794">
        <f>X50/$X$89</f>
        <v>0</v>
      </c>
      <c r="Z50" s="1796"/>
      <c r="AA50" s="1497">
        <f>AA52+AA51</f>
        <v>0</v>
      </c>
      <c r="AB50" s="1497">
        <f>AB52+AB51</f>
        <v>0</v>
      </c>
      <c r="AC50" s="1497">
        <f>SUM(AC51:AC52)</f>
        <v>0</v>
      </c>
      <c r="AD50" s="1446">
        <f t="shared" si="31"/>
        <v>0</v>
      </c>
      <c r="AE50" s="1659"/>
      <c r="AF50" s="578">
        <f>AF52+AF51</f>
        <v>0</v>
      </c>
      <c r="AG50" s="578">
        <f>AG52+AG51</f>
        <v>0</v>
      </c>
      <c r="AH50" s="578">
        <f>SUM(AH51:AH52)</f>
        <v>0</v>
      </c>
      <c r="AI50" s="581">
        <f>AH50/$X$89</f>
        <v>0</v>
      </c>
      <c r="AJ50" s="667"/>
      <c r="AK50" s="578">
        <f>AK52+AK51</f>
        <v>0</v>
      </c>
      <c r="AL50" s="578">
        <f>AL52+AL51</f>
        <v>0</v>
      </c>
      <c r="AM50" s="578">
        <f>SUM(AM51:AM52)</f>
        <v>0</v>
      </c>
      <c r="AN50" s="581">
        <f>AM50/$X$89</f>
        <v>0</v>
      </c>
      <c r="AO50" s="667"/>
      <c r="AP50" s="578">
        <f>AP52+AP51</f>
        <v>0</v>
      </c>
      <c r="AQ50" s="578">
        <f>AQ52+AQ51</f>
        <v>0</v>
      </c>
      <c r="AR50" s="578">
        <f>SUM(AR51:AR52)</f>
        <v>0</v>
      </c>
      <c r="AS50" s="581">
        <f>AR50/$X$89</f>
        <v>0</v>
      </c>
      <c r="AT50" s="667"/>
      <c r="AU50" s="578">
        <f>AU52+AU51</f>
        <v>0</v>
      </c>
      <c r="AV50" s="578">
        <f>AV52+AV51</f>
        <v>0</v>
      </c>
      <c r="AW50" s="578">
        <f>SUM(AW51:AW52)</f>
        <v>0</v>
      </c>
      <c r="AX50" s="581">
        <f>AW50/$X$89</f>
        <v>0</v>
      </c>
      <c r="AY50" s="667"/>
      <c r="AZ50" s="578">
        <f>AZ52+AZ51</f>
        <v>0</v>
      </c>
      <c r="BA50" s="578">
        <f>BA52+BA51</f>
        <v>0</v>
      </c>
      <c r="BB50" s="578">
        <f>SUM(BB51:BB52)</f>
        <v>0</v>
      </c>
      <c r="BC50" s="581"/>
      <c r="BD50" s="581"/>
    </row>
    <row r="51" spans="1:56" s="226" customFormat="1" ht="14.4" customHeight="1" outlineLevel="1">
      <c r="A51" s="234"/>
      <c r="B51" s="1259" t="s">
        <v>60</v>
      </c>
      <c r="C51" s="1230"/>
      <c r="D51" s="1231"/>
      <c r="E51" s="1231">
        <f>C51+D51*1.15</f>
        <v>0</v>
      </c>
      <c r="F51" s="1236" t="e">
        <f>E51/$E$89</f>
        <v>#DIV/0!</v>
      </c>
      <c r="G51" s="1025"/>
      <c r="H51" s="1024"/>
      <c r="I51" s="1062">
        <f>G51+H51*1</f>
        <v>0</v>
      </c>
      <c r="J51" s="1267" t="e">
        <f>I51/#REF!</f>
        <v>#REF!</v>
      </c>
      <c r="K51" s="1277"/>
      <c r="L51" s="1746"/>
      <c r="M51" s="1644"/>
      <c r="N51" s="1480">
        <f>L51+M51*1</f>
        <v>0</v>
      </c>
      <c r="O51" s="1877"/>
      <c r="P51" s="1914"/>
      <c r="Q51" s="1644"/>
      <c r="R51" s="1432"/>
      <c r="S51" s="1480">
        <f>Q51+R51*1</f>
        <v>0</v>
      </c>
      <c r="T51" s="1877"/>
      <c r="U51" s="1914"/>
      <c r="V51" s="1772"/>
      <c r="W51" s="1625"/>
      <c r="X51" s="1765">
        <f>V51+W51*1</f>
        <v>0</v>
      </c>
      <c r="Y51" s="1878">
        <f>X51/$X$89</f>
        <v>0</v>
      </c>
      <c r="Z51" s="1915"/>
      <c r="AA51" s="1644"/>
      <c r="AB51" s="1432"/>
      <c r="AC51" s="1480">
        <f>AA51+AB51*1</f>
        <v>0</v>
      </c>
      <c r="AD51" s="1877">
        <f t="shared" si="31"/>
        <v>0</v>
      </c>
      <c r="AE51" s="1914"/>
      <c r="AF51" s="1024"/>
      <c r="AG51" s="1176"/>
      <c r="AH51" s="1178">
        <f>AF51+AG51*1</f>
        <v>0</v>
      </c>
      <c r="AI51" s="1233">
        <f>AH51/$X$89</f>
        <v>0</v>
      </c>
      <c r="AJ51" s="1277"/>
      <c r="AK51" s="1024"/>
      <c r="AL51" s="1176"/>
      <c r="AM51" s="1178">
        <f>AK51+AL51*1</f>
        <v>0</v>
      </c>
      <c r="AN51" s="1233">
        <f>AM51/$X$89</f>
        <v>0</v>
      </c>
      <c r="AO51" s="1277"/>
      <c r="AP51" s="1024"/>
      <c r="AQ51" s="1176"/>
      <c r="AR51" s="1178">
        <f>AP51+AQ51*1</f>
        <v>0</v>
      </c>
      <c r="AS51" s="1233">
        <f>AR51/$X$89</f>
        <v>0</v>
      </c>
      <c r="AT51" s="1277"/>
      <c r="AU51" s="1024"/>
      <c r="AV51" s="1176"/>
      <c r="AW51" s="1178">
        <f>AU51+AV51*1</f>
        <v>0</v>
      </c>
      <c r="AX51" s="1233">
        <f>AW51/$X$89</f>
        <v>0</v>
      </c>
      <c r="AY51" s="1277"/>
      <c r="AZ51" s="2051">
        <f>G51+L51+Q51+V51+AA51</f>
        <v>0</v>
      </c>
      <c r="BA51" s="2051">
        <f>H51+M51+R51+W51+AB51</f>
        <v>0</v>
      </c>
      <c r="BB51" s="1178">
        <f>AZ51+BA51*1</f>
        <v>0</v>
      </c>
      <c r="BC51" s="1233">
        <f>BB51/$BB$89</f>
        <v>0</v>
      </c>
      <c r="BD51" s="1237"/>
    </row>
    <row r="52" spans="1:56" s="235" customFormat="1" ht="14.4" customHeight="1" outlineLevel="2">
      <c r="A52" s="234"/>
      <c r="B52" s="1259" t="s">
        <v>61</v>
      </c>
      <c r="C52" s="1230"/>
      <c r="D52" s="1231"/>
      <c r="E52" s="1231">
        <f>C52+D52*1.15</f>
        <v>0</v>
      </c>
      <c r="F52" s="1236" t="e">
        <f>E52/$E$89</f>
        <v>#DIV/0!</v>
      </c>
      <c r="G52" s="1025"/>
      <c r="H52" s="1024"/>
      <c r="I52" s="1062">
        <f>G52+H52*1</f>
        <v>0</v>
      </c>
      <c r="J52" s="1267" t="e">
        <f>I52/#REF!</f>
        <v>#REF!</v>
      </c>
      <c r="K52" s="1021"/>
      <c r="L52" s="1746"/>
      <c r="M52" s="1644"/>
      <c r="N52" s="1480">
        <f>L52+M52*1</f>
        <v>0</v>
      </c>
      <c r="O52" s="1877"/>
      <c r="P52" s="1590"/>
      <c r="Q52" s="1644"/>
      <c r="R52" s="1432"/>
      <c r="S52" s="1480">
        <f>Q52+R52*1</f>
        <v>0</v>
      </c>
      <c r="T52" s="1877"/>
      <c r="U52" s="1590"/>
      <c r="V52" s="1772"/>
      <c r="W52" s="1625"/>
      <c r="X52" s="1765">
        <f>V52+W52*1</f>
        <v>0</v>
      </c>
      <c r="Y52" s="1878">
        <f>X52/$X$89</f>
        <v>0</v>
      </c>
      <c r="Z52" s="1726"/>
      <c r="AA52" s="1644"/>
      <c r="AB52" s="1432"/>
      <c r="AC52" s="1480">
        <f>AA52+AB52*1</f>
        <v>0</v>
      </c>
      <c r="AD52" s="1877">
        <f t="shared" si="31"/>
        <v>0</v>
      </c>
      <c r="AE52" s="1590"/>
      <c r="AF52" s="1024"/>
      <c r="AG52" s="1176"/>
      <c r="AH52" s="1178">
        <f>AF52+AG52*1</f>
        <v>0</v>
      </c>
      <c r="AI52" s="1233">
        <f>AH52/$X$89</f>
        <v>0</v>
      </c>
      <c r="AJ52" s="1021"/>
      <c r="AK52" s="1024"/>
      <c r="AL52" s="1176"/>
      <c r="AM52" s="1178">
        <f>AK52+AL52*1</f>
        <v>0</v>
      </c>
      <c r="AN52" s="1233">
        <f>AM52/$X$89</f>
        <v>0</v>
      </c>
      <c r="AO52" s="1021"/>
      <c r="AP52" s="1024"/>
      <c r="AQ52" s="1176"/>
      <c r="AR52" s="1178">
        <f>AP52+AQ52*1</f>
        <v>0</v>
      </c>
      <c r="AS52" s="1233">
        <f>AR52/$X$89</f>
        <v>0</v>
      </c>
      <c r="AT52" s="1021"/>
      <c r="AU52" s="1024"/>
      <c r="AV52" s="1176"/>
      <c r="AW52" s="1178">
        <f>AU52+AV52*1</f>
        <v>0</v>
      </c>
      <c r="AX52" s="1233">
        <f>AW52/$X$89</f>
        <v>0</v>
      </c>
      <c r="AY52" s="1021"/>
      <c r="AZ52" s="2051">
        <f>G52+L52+Q52+V52+AA52</f>
        <v>0</v>
      </c>
      <c r="BA52" s="2051">
        <f>H52+M52+R52+W52+AB52</f>
        <v>0</v>
      </c>
      <c r="BB52" s="1178">
        <f>AZ52+BA52*1</f>
        <v>0</v>
      </c>
      <c r="BC52" s="1233">
        <f>BB52/$BB$89</f>
        <v>0</v>
      </c>
      <c r="BD52" s="1237"/>
    </row>
    <row r="53" spans="1:56" ht="14.4" customHeight="1" outlineLevel="1" thickBot="1">
      <c r="A53" s="20"/>
      <c r="B53" s="1068"/>
      <c r="C53" s="1208"/>
      <c r="D53" s="1085"/>
      <c r="E53" s="1209"/>
      <c r="F53" s="1210"/>
      <c r="G53" s="1025"/>
      <c r="H53" s="1024"/>
      <c r="I53" s="1211"/>
      <c r="J53" s="1086"/>
      <c r="K53" s="1186"/>
      <c r="L53" s="1746"/>
      <c r="M53" s="1644"/>
      <c r="N53" s="1447"/>
      <c r="O53" s="1447"/>
      <c r="P53" s="1875"/>
      <c r="Q53" s="1644"/>
      <c r="R53" s="1432"/>
      <c r="S53" s="1447"/>
      <c r="T53" s="1447"/>
      <c r="U53" s="1875"/>
      <c r="V53" s="1772"/>
      <c r="W53" s="1625"/>
      <c r="X53" s="1797"/>
      <c r="Y53" s="1797"/>
      <c r="Z53" s="1876"/>
      <c r="AA53" s="1644"/>
      <c r="AB53" s="1432"/>
      <c r="AC53" s="1447"/>
      <c r="AD53" s="1447">
        <f t="shared" si="31"/>
        <v>0</v>
      </c>
      <c r="AE53" s="1875"/>
      <c r="AF53" s="1024"/>
      <c r="AG53" s="1176"/>
      <c r="AH53" s="1169"/>
      <c r="AI53" s="1169"/>
      <c r="AJ53" s="1186"/>
      <c r="AK53" s="1024"/>
      <c r="AL53" s="1176"/>
      <c r="AM53" s="1169"/>
      <c r="AN53" s="1169"/>
      <c r="AO53" s="1186"/>
      <c r="AP53" s="1024"/>
      <c r="AQ53" s="1176"/>
      <c r="AR53" s="1169"/>
      <c r="AS53" s="1169"/>
      <c r="AT53" s="1186"/>
      <c r="AU53" s="1024"/>
      <c r="AV53" s="1176"/>
      <c r="AW53" s="1169"/>
      <c r="AX53" s="1169"/>
      <c r="AY53" s="1186"/>
      <c r="AZ53" s="1176">
        <f>G53+L53+Q53+V53</f>
        <v>0</v>
      </c>
      <c r="BA53" s="1176">
        <f>H53+M53+R53+W53</f>
        <v>0</v>
      </c>
      <c r="BB53" s="1169"/>
      <c r="BC53" s="1169"/>
      <c r="BD53" s="1169"/>
    </row>
    <row r="54" spans="1:56" ht="14.4" customHeight="1" outlineLevel="1">
      <c r="A54" s="236"/>
      <c r="B54" s="983" t="s">
        <v>1</v>
      </c>
      <c r="C54" s="578">
        <f>SUM(C55:C71)</f>
        <v>0</v>
      </c>
      <c r="D54" s="578">
        <f>SUM(D55:D71)</f>
        <v>0</v>
      </c>
      <c r="E54" s="579">
        <f>SUM(E55:E71)</f>
        <v>0</v>
      </c>
      <c r="F54" s="580" t="e">
        <f>E54/$E$89</f>
        <v>#DIV/0!</v>
      </c>
      <c r="G54" s="578">
        <f>SUM(G55:G72)</f>
        <v>0</v>
      </c>
      <c r="H54" s="579">
        <f>SUM(H55:H72)</f>
        <v>0</v>
      </c>
      <c r="I54" s="578">
        <f>SUM(I55:I72)</f>
        <v>0</v>
      </c>
      <c r="J54" s="1274" t="e">
        <f>I54/$I$89</f>
        <v>#DIV/0!</v>
      </c>
      <c r="K54" s="667"/>
      <c r="L54" s="1497">
        <f>SUM(L55:L72)</f>
        <v>1200</v>
      </c>
      <c r="M54" s="1500">
        <f>SUM(M55:M72)</f>
        <v>2660.17</v>
      </c>
      <c r="N54" s="1497">
        <f>SUM(N55:N72)</f>
        <v>3860.17</v>
      </c>
      <c r="O54" s="1888" t="e">
        <f>N54/$I$89</f>
        <v>#DIV/0!</v>
      </c>
      <c r="P54" s="1659"/>
      <c r="Q54" s="1497">
        <f>SUM(Q55:Q72)</f>
        <v>0</v>
      </c>
      <c r="R54" s="1497">
        <f>SUM(R55:R72)</f>
        <v>0</v>
      </c>
      <c r="S54" s="1497">
        <f>SUM(S55:S72)</f>
        <v>0</v>
      </c>
      <c r="T54" s="1888">
        <f t="shared" ref="T54:T71" si="48">S54/$S$89</f>
        <v>0</v>
      </c>
      <c r="U54" s="1659"/>
      <c r="V54" s="1795">
        <f>SUM(V55:V72)</f>
        <v>0</v>
      </c>
      <c r="W54" s="1795">
        <f>SUM(W55:W72)</f>
        <v>413.6</v>
      </c>
      <c r="X54" s="1795">
        <f>SUM(X55:X72)</f>
        <v>413.6</v>
      </c>
      <c r="Y54" s="1889">
        <f t="shared" ref="Y54:Y71" si="49">X54/$X$89</f>
        <v>6.2477265119395976E-4</v>
      </c>
      <c r="Z54" s="1796"/>
      <c r="AA54" s="1497">
        <f>SUM(AA55:AA72)</f>
        <v>0</v>
      </c>
      <c r="AB54" s="1497">
        <f>SUM(AB55:AB72)</f>
        <v>31.89</v>
      </c>
      <c r="AC54" s="1497">
        <f>SUM(AC55:AC72)</f>
        <v>31.89</v>
      </c>
      <c r="AD54" s="1888">
        <f t="shared" si="31"/>
        <v>4.781084706214475E-4</v>
      </c>
      <c r="AE54" s="1659"/>
      <c r="AF54" s="578">
        <f>SUM(AF55:AF72)</f>
        <v>0</v>
      </c>
      <c r="AG54" s="578">
        <f>SUM(AG55:AG72)</f>
        <v>0</v>
      </c>
      <c r="AH54" s="578">
        <f>SUM(AH55:AH72)</f>
        <v>0</v>
      </c>
      <c r="AI54" s="1229" t="e">
        <f t="shared" ref="AI54:AI71" si="50">AH54/$AH$89</f>
        <v>#DIV/0!</v>
      </c>
      <c r="AJ54" s="667"/>
      <c r="AK54" s="578">
        <f>SUM(AK55:AK72)</f>
        <v>0</v>
      </c>
      <c r="AL54" s="578">
        <f>SUM(AL55:AL72)</f>
        <v>0</v>
      </c>
      <c r="AM54" s="578">
        <f>SUM(AM55:AM72)</f>
        <v>0</v>
      </c>
      <c r="AN54" s="1229" t="e">
        <f t="shared" ref="AN54:AN71" si="51">AM54/$AH$89</f>
        <v>#DIV/0!</v>
      </c>
      <c r="AO54" s="667"/>
      <c r="AP54" s="578">
        <f>SUM(AP55:AP72)</f>
        <v>0</v>
      </c>
      <c r="AQ54" s="578">
        <f>SUM(AQ55:AQ72)</f>
        <v>0</v>
      </c>
      <c r="AR54" s="578">
        <f>SUM(AR55:AR72)</f>
        <v>0</v>
      </c>
      <c r="AS54" s="1229" t="e">
        <f t="shared" ref="AS54:AS71" si="52">AR54/$AR$89</f>
        <v>#DIV/0!</v>
      </c>
      <c r="AT54" s="667"/>
      <c r="AU54" s="578">
        <f>SUM(AU55:AU72)</f>
        <v>0</v>
      </c>
      <c r="AV54" s="578">
        <f>SUM(AV55:AV72)</f>
        <v>0</v>
      </c>
      <c r="AW54" s="578">
        <f>SUM(AW55:AW72)</f>
        <v>0</v>
      </c>
      <c r="AX54" s="1229" t="e">
        <f t="shared" ref="AX54:AX71" si="53">AW54/$AW$89</f>
        <v>#DIV/0!</v>
      </c>
      <c r="AY54" s="667"/>
      <c r="AZ54" s="578">
        <f>SUM(AZ55:AZ72)</f>
        <v>1200</v>
      </c>
      <c r="BA54" s="578">
        <f>SUM(BA55:BA72)</f>
        <v>3105.66</v>
      </c>
      <c r="BB54" s="578">
        <f>SUM(BB55:BB72)</f>
        <v>4305.66</v>
      </c>
      <c r="BC54" s="1229">
        <f t="shared" ref="BC54:BC71" si="54">BB54/$BB$89</f>
        <v>1.431248917198782E-3</v>
      </c>
      <c r="BD54" s="581"/>
    </row>
    <row r="55" spans="1:56" ht="14.4" customHeight="1" outlineLevel="2">
      <c r="A55" s="237"/>
      <c r="B55" s="1269" t="s">
        <v>77</v>
      </c>
      <c r="C55" s="1230"/>
      <c r="D55" s="1239"/>
      <c r="E55" s="1232">
        <f t="shared" ref="E55:E70" si="55">C55+D55*1.15</f>
        <v>0</v>
      </c>
      <c r="F55" s="1233" t="e">
        <f>E55/$E$89</f>
        <v>#DIV/0!</v>
      </c>
      <c r="G55" s="1040"/>
      <c r="H55" s="1023"/>
      <c r="I55" s="1062">
        <f t="shared" ref="I55:I71" si="56">G55+H55*1</f>
        <v>0</v>
      </c>
      <c r="J55" s="1267" t="e">
        <f>I55/$I$89</f>
        <v>#DIV/0!</v>
      </c>
      <c r="K55" s="1021"/>
      <c r="L55" s="1478"/>
      <c r="M55" s="1479"/>
      <c r="N55" s="1480">
        <f t="shared" ref="N55:N71" si="57">L55+M55*1</f>
        <v>0</v>
      </c>
      <c r="O55" s="1877">
        <f t="shared" ref="O55:O71" si="58">N55/$N$89</f>
        <v>0</v>
      </c>
      <c r="P55" s="1590"/>
      <c r="Q55" s="1479"/>
      <c r="R55" s="1552"/>
      <c r="S55" s="1480">
        <f t="shared" ref="S55:S71" si="59">Q55+R55*1</f>
        <v>0</v>
      </c>
      <c r="T55" s="1877">
        <f t="shared" si="48"/>
        <v>0</v>
      </c>
      <c r="U55" s="1590"/>
      <c r="V55" s="1798"/>
      <c r="W55" s="1776"/>
      <c r="X55" s="1765">
        <f t="shared" ref="X55:X71" si="60">V55+W55*1</f>
        <v>0</v>
      </c>
      <c r="Y55" s="1878">
        <f t="shared" si="49"/>
        <v>0</v>
      </c>
      <c r="Z55" s="1726"/>
      <c r="AA55" s="1479"/>
      <c r="AB55" s="1552"/>
      <c r="AC55" s="1480">
        <f t="shared" ref="AC55:AC71" si="61">AA55+AB55*1</f>
        <v>0</v>
      </c>
      <c r="AD55" s="1877">
        <f t="shared" si="31"/>
        <v>0</v>
      </c>
      <c r="AE55" s="1590"/>
      <c r="AF55" s="1023"/>
      <c r="AG55" s="1022"/>
      <c r="AH55" s="1178">
        <f t="shared" ref="AH55:AH71" si="62">AF55+AG55*1</f>
        <v>0</v>
      </c>
      <c r="AI55" s="1233" t="e">
        <f t="shared" si="50"/>
        <v>#DIV/0!</v>
      </c>
      <c r="AJ55" s="1021"/>
      <c r="AK55" s="1023"/>
      <c r="AL55" s="1022"/>
      <c r="AM55" s="1178">
        <f t="shared" ref="AM55:AM71" si="63">AK55+AL55*1</f>
        <v>0</v>
      </c>
      <c r="AN55" s="1233" t="e">
        <f t="shared" si="51"/>
        <v>#DIV/0!</v>
      </c>
      <c r="AO55" s="1021"/>
      <c r="AP55" s="1023"/>
      <c r="AQ55" s="1022"/>
      <c r="AR55" s="1178">
        <f t="shared" ref="AR55:AR62" si="64">AP55+AQ55*1</f>
        <v>0</v>
      </c>
      <c r="AS55" s="1233" t="e">
        <f t="shared" si="52"/>
        <v>#DIV/0!</v>
      </c>
      <c r="AT55" s="1021"/>
      <c r="AU55" s="1023"/>
      <c r="AV55" s="1022"/>
      <c r="AW55" s="1178">
        <f t="shared" ref="AW55:AW62" si="65">AU55+AV55*1</f>
        <v>0</v>
      </c>
      <c r="AX55" s="1233" t="e">
        <f t="shared" si="53"/>
        <v>#DIV/0!</v>
      </c>
      <c r="AY55" s="1021"/>
      <c r="AZ55" s="2051">
        <f t="shared" ref="AZ55:AZ71" si="66">G55+L55+Q55+V55+AA55</f>
        <v>0</v>
      </c>
      <c r="BA55" s="2051">
        <f t="shared" ref="BA55:BA71" si="67">H55+M55+R55+W55+AB55</f>
        <v>0</v>
      </c>
      <c r="BB55" s="1178">
        <f t="shared" ref="BB55:BB71" si="68">AZ55+BA55*1</f>
        <v>0</v>
      </c>
      <c r="BC55" s="1233">
        <f t="shared" si="54"/>
        <v>0</v>
      </c>
      <c r="BD55" s="1234"/>
    </row>
    <row r="56" spans="1:56" ht="14.4" customHeight="1" outlineLevel="2">
      <c r="A56" s="237"/>
      <c r="B56" s="1269" t="s">
        <v>76</v>
      </c>
      <c r="C56" s="1230"/>
      <c r="D56" s="1239"/>
      <c r="E56" s="1232">
        <f t="shared" si="55"/>
        <v>0</v>
      </c>
      <c r="F56" s="1233" t="e">
        <f t="shared" ref="F56:F72" si="69">E56/$E$89</f>
        <v>#DIV/0!</v>
      </c>
      <c r="G56" s="1040"/>
      <c r="H56" s="1023"/>
      <c r="I56" s="1062">
        <f t="shared" si="56"/>
        <v>0</v>
      </c>
      <c r="J56" s="1267" t="e">
        <f t="shared" ref="J56:J66" si="70">I56/$I$89</f>
        <v>#DIV/0!</v>
      </c>
      <c r="K56" s="1021"/>
      <c r="L56" s="1478"/>
      <c r="M56" s="1479"/>
      <c r="N56" s="1480">
        <f t="shared" si="57"/>
        <v>0</v>
      </c>
      <c r="O56" s="1877">
        <f t="shared" si="58"/>
        <v>0</v>
      </c>
      <c r="P56" s="1590"/>
      <c r="Q56" s="1479"/>
      <c r="R56" s="1552"/>
      <c r="S56" s="1480">
        <f t="shared" si="59"/>
        <v>0</v>
      </c>
      <c r="T56" s="1877">
        <f t="shared" si="48"/>
        <v>0</v>
      </c>
      <c r="U56" s="1590"/>
      <c r="V56" s="1798"/>
      <c r="W56" s="1776"/>
      <c r="X56" s="1765">
        <f t="shared" si="60"/>
        <v>0</v>
      </c>
      <c r="Y56" s="1878">
        <f t="shared" si="49"/>
        <v>0</v>
      </c>
      <c r="Z56" s="1726"/>
      <c r="AA56" s="1479"/>
      <c r="AB56" s="1552"/>
      <c r="AC56" s="1480">
        <f t="shared" si="61"/>
        <v>0</v>
      </c>
      <c r="AD56" s="1877">
        <f t="shared" si="31"/>
        <v>0</v>
      </c>
      <c r="AE56" s="1590"/>
      <c r="AF56" s="1023"/>
      <c r="AG56" s="1022"/>
      <c r="AH56" s="1178">
        <f t="shared" si="62"/>
        <v>0</v>
      </c>
      <c r="AI56" s="1233" t="e">
        <f t="shared" si="50"/>
        <v>#DIV/0!</v>
      </c>
      <c r="AJ56" s="1021"/>
      <c r="AK56" s="1023"/>
      <c r="AL56" s="1022"/>
      <c r="AM56" s="1178">
        <f t="shared" si="63"/>
        <v>0</v>
      </c>
      <c r="AN56" s="1233" t="e">
        <f t="shared" si="51"/>
        <v>#DIV/0!</v>
      </c>
      <c r="AO56" s="1021"/>
      <c r="AP56" s="1023"/>
      <c r="AQ56" s="1022"/>
      <c r="AR56" s="1178">
        <f t="shared" si="64"/>
        <v>0</v>
      </c>
      <c r="AS56" s="1233" t="e">
        <f t="shared" si="52"/>
        <v>#DIV/0!</v>
      </c>
      <c r="AT56" s="1021"/>
      <c r="AU56" s="1023"/>
      <c r="AV56" s="1022"/>
      <c r="AW56" s="1178">
        <f t="shared" si="65"/>
        <v>0</v>
      </c>
      <c r="AX56" s="1233" t="e">
        <f t="shared" si="53"/>
        <v>#DIV/0!</v>
      </c>
      <c r="AY56" s="1021"/>
      <c r="AZ56" s="2051">
        <f t="shared" si="66"/>
        <v>0</v>
      </c>
      <c r="BA56" s="2051">
        <f t="shared" si="67"/>
        <v>0</v>
      </c>
      <c r="BB56" s="1178">
        <f t="shared" si="68"/>
        <v>0</v>
      </c>
      <c r="BC56" s="1233">
        <f t="shared" si="54"/>
        <v>0</v>
      </c>
      <c r="BD56" s="1234"/>
    </row>
    <row r="57" spans="1:56" ht="14.4" customHeight="1" outlineLevel="2">
      <c r="A57" s="237"/>
      <c r="B57" s="1269" t="s">
        <v>68</v>
      </c>
      <c r="C57" s="1230"/>
      <c r="D57" s="1239"/>
      <c r="E57" s="1232">
        <f t="shared" si="55"/>
        <v>0</v>
      </c>
      <c r="F57" s="1233" t="e">
        <f t="shared" si="69"/>
        <v>#DIV/0!</v>
      </c>
      <c r="G57" s="1040"/>
      <c r="H57" s="1023"/>
      <c r="I57" s="1062">
        <f t="shared" si="56"/>
        <v>0</v>
      </c>
      <c r="J57" s="1267" t="e">
        <f t="shared" si="70"/>
        <v>#DIV/0!</v>
      </c>
      <c r="K57" s="1021"/>
      <c r="L57" s="1478"/>
      <c r="M57" s="1479"/>
      <c r="N57" s="1480">
        <f t="shared" si="57"/>
        <v>0</v>
      </c>
      <c r="O57" s="1877">
        <f t="shared" si="58"/>
        <v>0</v>
      </c>
      <c r="P57" s="1590"/>
      <c r="Q57" s="1479"/>
      <c r="R57" s="1552"/>
      <c r="S57" s="1480">
        <f t="shared" si="59"/>
        <v>0</v>
      </c>
      <c r="T57" s="1877">
        <f t="shared" si="48"/>
        <v>0</v>
      </c>
      <c r="U57" s="1590"/>
      <c r="V57" s="1798"/>
      <c r="W57" s="1776"/>
      <c r="X57" s="1765">
        <f t="shared" si="60"/>
        <v>0</v>
      </c>
      <c r="Y57" s="1878">
        <f t="shared" si="49"/>
        <v>0</v>
      </c>
      <c r="Z57" s="1726"/>
      <c r="AA57" s="1479"/>
      <c r="AB57" s="1552"/>
      <c r="AC57" s="1480">
        <f t="shared" si="61"/>
        <v>0</v>
      </c>
      <c r="AD57" s="1877">
        <f t="shared" si="31"/>
        <v>0</v>
      </c>
      <c r="AE57" s="1590"/>
      <c r="AF57" s="1023"/>
      <c r="AG57" s="1022"/>
      <c r="AH57" s="1178">
        <f t="shared" si="62"/>
        <v>0</v>
      </c>
      <c r="AI57" s="1233" t="e">
        <f t="shared" si="50"/>
        <v>#DIV/0!</v>
      </c>
      <c r="AJ57" s="1021"/>
      <c r="AK57" s="1023"/>
      <c r="AL57" s="1022"/>
      <c r="AM57" s="1178">
        <f t="shared" si="63"/>
        <v>0</v>
      </c>
      <c r="AN57" s="1233" t="e">
        <f t="shared" si="51"/>
        <v>#DIV/0!</v>
      </c>
      <c r="AO57" s="1021"/>
      <c r="AP57" s="1023"/>
      <c r="AQ57" s="1022"/>
      <c r="AR57" s="1178">
        <f t="shared" si="64"/>
        <v>0</v>
      </c>
      <c r="AS57" s="1233" t="e">
        <f t="shared" si="52"/>
        <v>#DIV/0!</v>
      </c>
      <c r="AT57" s="1021"/>
      <c r="AU57" s="1023"/>
      <c r="AV57" s="1022"/>
      <c r="AW57" s="1178">
        <f t="shared" si="65"/>
        <v>0</v>
      </c>
      <c r="AX57" s="1233" t="e">
        <f t="shared" si="53"/>
        <v>#DIV/0!</v>
      </c>
      <c r="AY57" s="1021"/>
      <c r="AZ57" s="2051">
        <f t="shared" si="66"/>
        <v>0</v>
      </c>
      <c r="BA57" s="2051">
        <f t="shared" si="67"/>
        <v>0</v>
      </c>
      <c r="BB57" s="1178">
        <f t="shared" si="68"/>
        <v>0</v>
      </c>
      <c r="BC57" s="1233">
        <f t="shared" si="54"/>
        <v>0</v>
      </c>
      <c r="BD57" s="1234"/>
    </row>
    <row r="58" spans="1:56" ht="14.4" customHeight="1" outlineLevel="2">
      <c r="A58" s="237"/>
      <c r="B58" s="1269" t="s">
        <v>67</v>
      </c>
      <c r="C58" s="1230"/>
      <c r="D58" s="1239"/>
      <c r="E58" s="1232">
        <f t="shared" si="55"/>
        <v>0</v>
      </c>
      <c r="F58" s="1233" t="e">
        <f t="shared" si="69"/>
        <v>#DIV/0!</v>
      </c>
      <c r="G58" s="1040"/>
      <c r="H58" s="1023"/>
      <c r="I58" s="1062">
        <f t="shared" si="56"/>
        <v>0</v>
      </c>
      <c r="J58" s="1267" t="e">
        <f t="shared" si="70"/>
        <v>#DIV/0!</v>
      </c>
      <c r="K58" s="1021"/>
      <c r="L58" s="1478"/>
      <c r="M58" s="1479"/>
      <c r="N58" s="1480">
        <f t="shared" si="57"/>
        <v>0</v>
      </c>
      <c r="O58" s="1877">
        <f t="shared" si="58"/>
        <v>0</v>
      </c>
      <c r="P58" s="1590"/>
      <c r="Q58" s="1479"/>
      <c r="R58" s="1552"/>
      <c r="S58" s="1480">
        <f t="shared" si="59"/>
        <v>0</v>
      </c>
      <c r="T58" s="1877">
        <f t="shared" si="48"/>
        <v>0</v>
      </c>
      <c r="U58" s="1590"/>
      <c r="V58" s="1798"/>
      <c r="W58" s="1776"/>
      <c r="X58" s="1765">
        <f t="shared" si="60"/>
        <v>0</v>
      </c>
      <c r="Y58" s="1878">
        <f t="shared" si="49"/>
        <v>0</v>
      </c>
      <c r="Z58" s="1726"/>
      <c r="AA58" s="1479"/>
      <c r="AB58" s="1552"/>
      <c r="AC58" s="1480">
        <f t="shared" si="61"/>
        <v>0</v>
      </c>
      <c r="AD58" s="1877">
        <f t="shared" si="31"/>
        <v>0</v>
      </c>
      <c r="AE58" s="1590"/>
      <c r="AF58" s="1023"/>
      <c r="AG58" s="1022"/>
      <c r="AH58" s="1178">
        <f t="shared" si="62"/>
        <v>0</v>
      </c>
      <c r="AI58" s="1233" t="e">
        <f t="shared" si="50"/>
        <v>#DIV/0!</v>
      </c>
      <c r="AJ58" s="1021"/>
      <c r="AK58" s="1023"/>
      <c r="AL58" s="1022"/>
      <c r="AM58" s="1178">
        <f t="shared" si="63"/>
        <v>0</v>
      </c>
      <c r="AN58" s="1233" t="e">
        <f t="shared" si="51"/>
        <v>#DIV/0!</v>
      </c>
      <c r="AO58" s="1021"/>
      <c r="AP58" s="1023"/>
      <c r="AQ58" s="1022"/>
      <c r="AR58" s="1178">
        <f t="shared" si="64"/>
        <v>0</v>
      </c>
      <c r="AS58" s="1233" t="e">
        <f t="shared" si="52"/>
        <v>#DIV/0!</v>
      </c>
      <c r="AT58" s="1021"/>
      <c r="AU58" s="1023"/>
      <c r="AV58" s="1022"/>
      <c r="AW58" s="1178">
        <f t="shared" si="65"/>
        <v>0</v>
      </c>
      <c r="AX58" s="1233" t="e">
        <f t="shared" si="53"/>
        <v>#DIV/0!</v>
      </c>
      <c r="AY58" s="1021"/>
      <c r="AZ58" s="2051">
        <f t="shared" si="66"/>
        <v>0</v>
      </c>
      <c r="BA58" s="2051">
        <f t="shared" si="67"/>
        <v>0</v>
      </c>
      <c r="BB58" s="1178">
        <f t="shared" si="68"/>
        <v>0</v>
      </c>
      <c r="BC58" s="1233">
        <f t="shared" si="54"/>
        <v>0</v>
      </c>
      <c r="BD58" s="1234"/>
    </row>
    <row r="59" spans="1:56" ht="14.4" customHeight="1" outlineLevel="2">
      <c r="A59" s="237"/>
      <c r="B59" s="1269" t="s">
        <v>66</v>
      </c>
      <c r="C59" s="1230"/>
      <c r="D59" s="1239"/>
      <c r="E59" s="1232">
        <f t="shared" si="55"/>
        <v>0</v>
      </c>
      <c r="F59" s="1233" t="e">
        <f t="shared" si="69"/>
        <v>#DIV/0!</v>
      </c>
      <c r="G59" s="1040"/>
      <c r="H59" s="1023"/>
      <c r="I59" s="1062">
        <f t="shared" si="56"/>
        <v>0</v>
      </c>
      <c r="J59" s="1267" t="e">
        <f t="shared" si="70"/>
        <v>#DIV/0!</v>
      </c>
      <c r="K59" s="1021"/>
      <c r="L59" s="1478"/>
      <c r="M59" s="1479"/>
      <c r="N59" s="1480">
        <f t="shared" si="57"/>
        <v>0</v>
      </c>
      <c r="O59" s="1877">
        <f t="shared" si="58"/>
        <v>0</v>
      </c>
      <c r="P59" s="1590"/>
      <c r="Q59" s="1479"/>
      <c r="R59" s="1552"/>
      <c r="S59" s="1480">
        <f t="shared" si="59"/>
        <v>0</v>
      </c>
      <c r="T59" s="1877">
        <f t="shared" si="48"/>
        <v>0</v>
      </c>
      <c r="U59" s="1590"/>
      <c r="V59" s="1798"/>
      <c r="W59" s="1776"/>
      <c r="X59" s="1765">
        <f t="shared" si="60"/>
        <v>0</v>
      </c>
      <c r="Y59" s="1878">
        <f t="shared" si="49"/>
        <v>0</v>
      </c>
      <c r="Z59" s="1726"/>
      <c r="AA59" s="1479"/>
      <c r="AB59" s="1552"/>
      <c r="AC59" s="1480">
        <f t="shared" si="61"/>
        <v>0</v>
      </c>
      <c r="AD59" s="1877">
        <f t="shared" si="31"/>
        <v>0</v>
      </c>
      <c r="AE59" s="1590"/>
      <c r="AF59" s="1023"/>
      <c r="AG59" s="1022"/>
      <c r="AH59" s="1178">
        <f t="shared" si="62"/>
        <v>0</v>
      </c>
      <c r="AI59" s="1233" t="e">
        <f t="shared" si="50"/>
        <v>#DIV/0!</v>
      </c>
      <c r="AJ59" s="1021"/>
      <c r="AK59" s="1023"/>
      <c r="AL59" s="1022"/>
      <c r="AM59" s="1178">
        <f t="shared" si="63"/>
        <v>0</v>
      </c>
      <c r="AN59" s="1233" t="e">
        <f t="shared" si="51"/>
        <v>#DIV/0!</v>
      </c>
      <c r="AO59" s="1021"/>
      <c r="AP59" s="1023"/>
      <c r="AQ59" s="1022"/>
      <c r="AR59" s="1178">
        <f t="shared" si="64"/>
        <v>0</v>
      </c>
      <c r="AS59" s="1233" t="e">
        <f t="shared" si="52"/>
        <v>#DIV/0!</v>
      </c>
      <c r="AT59" s="1021"/>
      <c r="AU59" s="1023"/>
      <c r="AV59" s="1022"/>
      <c r="AW59" s="1178">
        <f t="shared" si="65"/>
        <v>0</v>
      </c>
      <c r="AX59" s="1233" t="e">
        <f t="shared" si="53"/>
        <v>#DIV/0!</v>
      </c>
      <c r="AY59" s="1021"/>
      <c r="AZ59" s="2051">
        <f t="shared" si="66"/>
        <v>0</v>
      </c>
      <c r="BA59" s="2051">
        <f t="shared" si="67"/>
        <v>0</v>
      </c>
      <c r="BB59" s="1178">
        <f t="shared" si="68"/>
        <v>0</v>
      </c>
      <c r="BC59" s="1233">
        <f t="shared" si="54"/>
        <v>0</v>
      </c>
      <c r="BD59" s="1234"/>
    </row>
    <row r="60" spans="1:56" ht="14.4" customHeight="1" outlineLevel="2">
      <c r="A60" s="237"/>
      <c r="B60" s="1269" t="s">
        <v>65</v>
      </c>
      <c r="C60" s="1230"/>
      <c r="D60" s="1239"/>
      <c r="E60" s="1232">
        <f t="shared" si="55"/>
        <v>0</v>
      </c>
      <c r="F60" s="1233" t="e">
        <f t="shared" si="69"/>
        <v>#DIV/0!</v>
      </c>
      <c r="G60" s="1040"/>
      <c r="H60" s="1023"/>
      <c r="I60" s="1062">
        <f t="shared" si="56"/>
        <v>0</v>
      </c>
      <c r="J60" s="1267" t="e">
        <f t="shared" si="70"/>
        <v>#DIV/0!</v>
      </c>
      <c r="K60" s="1021"/>
      <c r="L60" s="1478"/>
      <c r="M60" s="1479"/>
      <c r="N60" s="1480">
        <f t="shared" si="57"/>
        <v>0</v>
      </c>
      <c r="O60" s="1877">
        <f t="shared" si="58"/>
        <v>0</v>
      </c>
      <c r="P60" s="1590"/>
      <c r="Q60" s="1479"/>
      <c r="R60" s="1552"/>
      <c r="S60" s="1480">
        <f t="shared" si="59"/>
        <v>0</v>
      </c>
      <c r="T60" s="1877">
        <f t="shared" si="48"/>
        <v>0</v>
      </c>
      <c r="U60" s="1590"/>
      <c r="V60" s="1798"/>
      <c r="W60" s="1776"/>
      <c r="X60" s="1765">
        <f t="shared" si="60"/>
        <v>0</v>
      </c>
      <c r="Y60" s="1878">
        <f t="shared" si="49"/>
        <v>0</v>
      </c>
      <c r="Z60" s="1726"/>
      <c r="AA60" s="1479"/>
      <c r="AB60" s="1552"/>
      <c r="AC60" s="1480">
        <f t="shared" si="61"/>
        <v>0</v>
      </c>
      <c r="AD60" s="1877">
        <f t="shared" si="31"/>
        <v>0</v>
      </c>
      <c r="AE60" s="1590"/>
      <c r="AF60" s="1023"/>
      <c r="AG60" s="1022"/>
      <c r="AH60" s="1178">
        <f t="shared" si="62"/>
        <v>0</v>
      </c>
      <c r="AI60" s="1233" t="e">
        <f t="shared" si="50"/>
        <v>#DIV/0!</v>
      </c>
      <c r="AJ60" s="1021"/>
      <c r="AK60" s="1023"/>
      <c r="AL60" s="1022"/>
      <c r="AM60" s="1178">
        <f t="shared" si="63"/>
        <v>0</v>
      </c>
      <c r="AN60" s="1233" t="e">
        <f t="shared" si="51"/>
        <v>#DIV/0!</v>
      </c>
      <c r="AO60" s="1021"/>
      <c r="AP60" s="1023"/>
      <c r="AQ60" s="1022"/>
      <c r="AR60" s="1178">
        <f t="shared" si="64"/>
        <v>0</v>
      </c>
      <c r="AS60" s="1233" t="e">
        <f t="shared" si="52"/>
        <v>#DIV/0!</v>
      </c>
      <c r="AT60" s="1021"/>
      <c r="AU60" s="1023"/>
      <c r="AV60" s="1022"/>
      <c r="AW60" s="1178">
        <f t="shared" si="65"/>
        <v>0</v>
      </c>
      <c r="AX60" s="1233" t="e">
        <f t="shared" si="53"/>
        <v>#DIV/0!</v>
      </c>
      <c r="AY60" s="1021"/>
      <c r="AZ60" s="2051">
        <f t="shared" si="66"/>
        <v>0</v>
      </c>
      <c r="BA60" s="2051">
        <f t="shared" si="67"/>
        <v>0</v>
      </c>
      <c r="BB60" s="1178">
        <f t="shared" si="68"/>
        <v>0</v>
      </c>
      <c r="BC60" s="1233">
        <f t="shared" si="54"/>
        <v>0</v>
      </c>
      <c r="BD60" s="1234"/>
    </row>
    <row r="61" spans="1:56" ht="14.4" customHeight="1" outlineLevel="2">
      <c r="A61" s="237"/>
      <c r="B61" s="1269" t="s">
        <v>32</v>
      </c>
      <c r="C61" s="1230"/>
      <c r="D61" s="1239"/>
      <c r="E61" s="1232">
        <f t="shared" si="55"/>
        <v>0</v>
      </c>
      <c r="F61" s="1233" t="e">
        <f t="shared" si="69"/>
        <v>#DIV/0!</v>
      </c>
      <c r="G61" s="1040"/>
      <c r="H61" s="1023"/>
      <c r="I61" s="1062">
        <f t="shared" si="56"/>
        <v>0</v>
      </c>
      <c r="J61" s="1267" t="e">
        <f t="shared" si="70"/>
        <v>#DIV/0!</v>
      </c>
      <c r="K61" s="1021"/>
      <c r="L61" s="1478"/>
      <c r="M61" s="1479"/>
      <c r="N61" s="1480">
        <f t="shared" si="57"/>
        <v>0</v>
      </c>
      <c r="O61" s="1877">
        <f t="shared" si="58"/>
        <v>0</v>
      </c>
      <c r="P61" s="1590"/>
      <c r="Q61" s="1479"/>
      <c r="R61" s="1552"/>
      <c r="S61" s="1480">
        <f t="shared" si="59"/>
        <v>0</v>
      </c>
      <c r="T61" s="1877">
        <f t="shared" si="48"/>
        <v>0</v>
      </c>
      <c r="U61" s="1590"/>
      <c r="V61" s="1798"/>
      <c r="W61" s="1776"/>
      <c r="X61" s="1765">
        <f t="shared" si="60"/>
        <v>0</v>
      </c>
      <c r="Y61" s="1878">
        <f t="shared" si="49"/>
        <v>0</v>
      </c>
      <c r="Z61" s="1726"/>
      <c r="AA61" s="1479"/>
      <c r="AB61" s="1552"/>
      <c r="AC61" s="1480">
        <f t="shared" si="61"/>
        <v>0</v>
      </c>
      <c r="AD61" s="1877">
        <f t="shared" si="31"/>
        <v>0</v>
      </c>
      <c r="AE61" s="1590"/>
      <c r="AF61" s="1023"/>
      <c r="AG61" s="1022"/>
      <c r="AH61" s="1178">
        <f t="shared" si="62"/>
        <v>0</v>
      </c>
      <c r="AI61" s="1233" t="e">
        <f t="shared" si="50"/>
        <v>#DIV/0!</v>
      </c>
      <c r="AJ61" s="1021"/>
      <c r="AK61" s="1023"/>
      <c r="AL61" s="1022"/>
      <c r="AM61" s="1178">
        <f t="shared" si="63"/>
        <v>0</v>
      </c>
      <c r="AN61" s="1233" t="e">
        <f t="shared" si="51"/>
        <v>#DIV/0!</v>
      </c>
      <c r="AO61" s="1021"/>
      <c r="AP61" s="1023"/>
      <c r="AQ61" s="1022"/>
      <c r="AR61" s="1178">
        <f t="shared" si="64"/>
        <v>0</v>
      </c>
      <c r="AS61" s="1233" t="e">
        <f t="shared" si="52"/>
        <v>#DIV/0!</v>
      </c>
      <c r="AT61" s="1021"/>
      <c r="AU61" s="1023"/>
      <c r="AV61" s="1022"/>
      <c r="AW61" s="1178">
        <f t="shared" si="65"/>
        <v>0</v>
      </c>
      <c r="AX61" s="1233" t="e">
        <f t="shared" si="53"/>
        <v>#DIV/0!</v>
      </c>
      <c r="AY61" s="1021"/>
      <c r="AZ61" s="2051">
        <f t="shared" si="66"/>
        <v>0</v>
      </c>
      <c r="BA61" s="2051">
        <f t="shared" si="67"/>
        <v>0</v>
      </c>
      <c r="BB61" s="1178">
        <f t="shared" si="68"/>
        <v>0</v>
      </c>
      <c r="BC61" s="1233">
        <f t="shared" si="54"/>
        <v>0</v>
      </c>
      <c r="BD61" s="1234"/>
    </row>
    <row r="62" spans="1:56" ht="14.4" customHeight="1" outlineLevel="2">
      <c r="A62" s="237"/>
      <c r="B62" s="1269" t="s">
        <v>33</v>
      </c>
      <c r="C62" s="1240"/>
      <c r="D62" s="1239"/>
      <c r="E62" s="1232">
        <f t="shared" si="55"/>
        <v>0</v>
      </c>
      <c r="F62" s="1233" t="e">
        <f t="shared" si="69"/>
        <v>#DIV/0!</v>
      </c>
      <c r="G62" s="1040"/>
      <c r="H62" s="1023"/>
      <c r="I62" s="1062">
        <f t="shared" si="56"/>
        <v>0</v>
      </c>
      <c r="J62" s="1267" t="e">
        <f t="shared" si="70"/>
        <v>#DIV/0!</v>
      </c>
      <c r="K62" s="1021"/>
      <c r="L62" s="1478"/>
      <c r="M62" s="1479"/>
      <c r="N62" s="1480">
        <f t="shared" si="57"/>
        <v>0</v>
      </c>
      <c r="O62" s="1877">
        <f t="shared" si="58"/>
        <v>0</v>
      </c>
      <c r="P62" s="1590"/>
      <c r="Q62" s="1479"/>
      <c r="R62" s="1552"/>
      <c r="S62" s="1480">
        <f t="shared" si="59"/>
        <v>0</v>
      </c>
      <c r="T62" s="1877">
        <f t="shared" si="48"/>
        <v>0</v>
      </c>
      <c r="U62" s="1590"/>
      <c r="V62" s="1798"/>
      <c r="W62" s="1776"/>
      <c r="X62" s="1765">
        <f t="shared" si="60"/>
        <v>0</v>
      </c>
      <c r="Y62" s="1878">
        <f t="shared" si="49"/>
        <v>0</v>
      </c>
      <c r="Z62" s="1726"/>
      <c r="AA62" s="1479"/>
      <c r="AB62" s="1552"/>
      <c r="AC62" s="1480">
        <f t="shared" si="61"/>
        <v>0</v>
      </c>
      <c r="AD62" s="1877">
        <f t="shared" si="31"/>
        <v>0</v>
      </c>
      <c r="AE62" s="1590"/>
      <c r="AF62" s="1023"/>
      <c r="AG62" s="1022"/>
      <c r="AH62" s="1178">
        <f t="shared" si="62"/>
        <v>0</v>
      </c>
      <c r="AI62" s="1233" t="e">
        <f t="shared" si="50"/>
        <v>#DIV/0!</v>
      </c>
      <c r="AJ62" s="1021"/>
      <c r="AK62" s="1023"/>
      <c r="AL62" s="1022"/>
      <c r="AM62" s="1178">
        <f t="shared" si="63"/>
        <v>0</v>
      </c>
      <c r="AN62" s="1233" t="e">
        <f t="shared" si="51"/>
        <v>#DIV/0!</v>
      </c>
      <c r="AO62" s="1021"/>
      <c r="AP62" s="1023"/>
      <c r="AQ62" s="1022"/>
      <c r="AR62" s="1178">
        <f t="shared" si="64"/>
        <v>0</v>
      </c>
      <c r="AS62" s="1233" t="e">
        <f t="shared" si="52"/>
        <v>#DIV/0!</v>
      </c>
      <c r="AT62" s="1021"/>
      <c r="AU62" s="1023"/>
      <c r="AV62" s="1022"/>
      <c r="AW62" s="1178">
        <f t="shared" si="65"/>
        <v>0</v>
      </c>
      <c r="AX62" s="1233" t="e">
        <f t="shared" si="53"/>
        <v>#DIV/0!</v>
      </c>
      <c r="AY62" s="1021"/>
      <c r="AZ62" s="2051">
        <f t="shared" si="66"/>
        <v>0</v>
      </c>
      <c r="BA62" s="2051">
        <f t="shared" si="67"/>
        <v>0</v>
      </c>
      <c r="BB62" s="1178">
        <f t="shared" si="68"/>
        <v>0</v>
      </c>
      <c r="BC62" s="1233">
        <f t="shared" si="54"/>
        <v>0</v>
      </c>
      <c r="BD62" s="1234"/>
    </row>
    <row r="63" spans="1:56" ht="14.4" customHeight="1" outlineLevel="2">
      <c r="A63" s="237"/>
      <c r="B63" s="1269" t="s">
        <v>35</v>
      </c>
      <c r="C63" s="1240"/>
      <c r="D63" s="1239"/>
      <c r="E63" s="1232">
        <f t="shared" si="55"/>
        <v>0</v>
      </c>
      <c r="F63" s="1233" t="e">
        <f t="shared" si="69"/>
        <v>#DIV/0!</v>
      </c>
      <c r="G63" s="1278"/>
      <c r="H63" s="1023"/>
      <c r="I63" s="1062">
        <f t="shared" si="56"/>
        <v>0</v>
      </c>
      <c r="J63" s="1267" t="e">
        <f t="shared" si="70"/>
        <v>#DIV/0!</v>
      </c>
      <c r="K63" s="1021"/>
      <c r="L63" s="1916"/>
      <c r="M63" s="1479"/>
      <c r="N63" s="1480">
        <f t="shared" si="57"/>
        <v>0</v>
      </c>
      <c r="O63" s="1877">
        <f t="shared" si="58"/>
        <v>0</v>
      </c>
      <c r="P63" s="1590"/>
      <c r="Q63" s="1917"/>
      <c r="R63" s="1552"/>
      <c r="S63" s="1480">
        <f t="shared" si="59"/>
        <v>0</v>
      </c>
      <c r="T63" s="1877">
        <f t="shared" si="48"/>
        <v>0</v>
      </c>
      <c r="U63" s="1590"/>
      <c r="V63" s="1798"/>
      <c r="W63" s="1776"/>
      <c r="X63" s="1765">
        <f t="shared" si="60"/>
        <v>0</v>
      </c>
      <c r="Y63" s="1878">
        <f t="shared" si="49"/>
        <v>0</v>
      </c>
      <c r="Z63" s="1726"/>
      <c r="AA63" s="1479"/>
      <c r="AB63" s="1917"/>
      <c r="AC63" s="1480">
        <f t="shared" si="61"/>
        <v>0</v>
      </c>
      <c r="AD63" s="1877">
        <f t="shared" si="31"/>
        <v>0</v>
      </c>
      <c r="AE63" s="1590"/>
      <c r="AF63" s="1023"/>
      <c r="AG63" s="1279"/>
      <c r="AH63" s="1178">
        <f t="shared" si="62"/>
        <v>0</v>
      </c>
      <c r="AI63" s="1233" t="e">
        <f t="shared" si="50"/>
        <v>#DIV/0!</v>
      </c>
      <c r="AJ63" s="1021"/>
      <c r="AK63" s="1023"/>
      <c r="AL63" s="1279"/>
      <c r="AM63" s="1178">
        <f>AK63+AL63*1</f>
        <v>0</v>
      </c>
      <c r="AN63" s="1233" t="e">
        <f t="shared" si="51"/>
        <v>#DIV/0!</v>
      </c>
      <c r="AO63" s="1021"/>
      <c r="AP63" s="1023"/>
      <c r="AQ63" s="1279"/>
      <c r="AR63" s="1178">
        <f t="shared" ref="AR63:AR71" si="71">AP63+AQ63*1</f>
        <v>0</v>
      </c>
      <c r="AS63" s="1233" t="e">
        <f t="shared" si="52"/>
        <v>#DIV/0!</v>
      </c>
      <c r="AT63" s="1021"/>
      <c r="AU63" s="1023"/>
      <c r="AV63" s="1279"/>
      <c r="AW63" s="1178">
        <f t="shared" ref="AW63:AW71" si="72">AU63+AV63*1</f>
        <v>0</v>
      </c>
      <c r="AX63" s="1233" t="e">
        <f t="shared" si="53"/>
        <v>#DIV/0!</v>
      </c>
      <c r="AY63" s="1021"/>
      <c r="AZ63" s="2051">
        <f t="shared" si="66"/>
        <v>0</v>
      </c>
      <c r="BA63" s="2051">
        <f t="shared" si="67"/>
        <v>0</v>
      </c>
      <c r="BB63" s="1178">
        <f t="shared" si="68"/>
        <v>0</v>
      </c>
      <c r="BC63" s="1233">
        <f t="shared" si="54"/>
        <v>0</v>
      </c>
      <c r="BD63" s="1234"/>
    </row>
    <row r="64" spans="1:56" ht="14.4" customHeight="1" outlineLevel="2">
      <c r="A64" s="237"/>
      <c r="B64" s="1269" t="s">
        <v>63</v>
      </c>
      <c r="C64" s="1240"/>
      <c r="D64" s="1239"/>
      <c r="E64" s="1232">
        <f t="shared" si="55"/>
        <v>0</v>
      </c>
      <c r="F64" s="1233" t="e">
        <f t="shared" si="69"/>
        <v>#DIV/0!</v>
      </c>
      <c r="G64" s="1278"/>
      <c r="H64" s="1023"/>
      <c r="I64" s="1062">
        <f t="shared" si="56"/>
        <v>0</v>
      </c>
      <c r="J64" s="1267" t="e">
        <f t="shared" si="70"/>
        <v>#DIV/0!</v>
      </c>
      <c r="K64" s="1021"/>
      <c r="L64" s="1916"/>
      <c r="M64" s="1479"/>
      <c r="N64" s="1480">
        <f t="shared" si="57"/>
        <v>0</v>
      </c>
      <c r="O64" s="1877">
        <f t="shared" si="58"/>
        <v>0</v>
      </c>
      <c r="P64" s="1590"/>
      <c r="Q64" s="1917"/>
      <c r="R64" s="1552"/>
      <c r="S64" s="1480">
        <f t="shared" si="59"/>
        <v>0</v>
      </c>
      <c r="T64" s="1877">
        <f t="shared" si="48"/>
        <v>0</v>
      </c>
      <c r="U64" s="1590"/>
      <c r="V64" s="1917"/>
      <c r="W64" s="1776"/>
      <c r="X64" s="1765">
        <f t="shared" si="60"/>
        <v>0</v>
      </c>
      <c r="Y64" s="1878">
        <f t="shared" si="49"/>
        <v>0</v>
      </c>
      <c r="Z64" s="1726"/>
      <c r="AA64" s="1479"/>
      <c r="AB64" s="1552"/>
      <c r="AC64" s="1480">
        <f t="shared" si="61"/>
        <v>0</v>
      </c>
      <c r="AD64" s="1877">
        <f t="shared" si="31"/>
        <v>0</v>
      </c>
      <c r="AE64" s="1590"/>
      <c r="AF64" s="1023"/>
      <c r="AG64" s="1022"/>
      <c r="AH64" s="1178">
        <f t="shared" si="62"/>
        <v>0</v>
      </c>
      <c r="AI64" s="1233" t="e">
        <f t="shared" si="50"/>
        <v>#DIV/0!</v>
      </c>
      <c r="AJ64" s="1021"/>
      <c r="AK64" s="1023"/>
      <c r="AL64" s="1022"/>
      <c r="AM64" s="1178">
        <f t="shared" si="63"/>
        <v>0</v>
      </c>
      <c r="AN64" s="1233" t="e">
        <f t="shared" si="51"/>
        <v>#DIV/0!</v>
      </c>
      <c r="AO64" s="1021"/>
      <c r="AP64" s="1023"/>
      <c r="AQ64" s="1022"/>
      <c r="AR64" s="1178">
        <f t="shared" si="71"/>
        <v>0</v>
      </c>
      <c r="AS64" s="1233" t="e">
        <f t="shared" si="52"/>
        <v>#DIV/0!</v>
      </c>
      <c r="AT64" s="1021"/>
      <c r="AU64" s="1023"/>
      <c r="AV64" s="1022"/>
      <c r="AW64" s="1178">
        <f t="shared" si="72"/>
        <v>0</v>
      </c>
      <c r="AX64" s="1233" t="e">
        <f t="shared" si="53"/>
        <v>#DIV/0!</v>
      </c>
      <c r="AY64" s="1021"/>
      <c r="AZ64" s="2051">
        <f t="shared" si="66"/>
        <v>0</v>
      </c>
      <c r="BA64" s="2051">
        <f t="shared" si="67"/>
        <v>0</v>
      </c>
      <c r="BB64" s="1178">
        <f t="shared" si="68"/>
        <v>0</v>
      </c>
      <c r="BC64" s="1233">
        <f t="shared" si="54"/>
        <v>0</v>
      </c>
      <c r="BD64" s="1234"/>
    </row>
    <row r="65" spans="1:56" ht="40.950000000000003" customHeight="1" outlineLevel="2">
      <c r="A65" s="237"/>
      <c r="B65" s="1269" t="s">
        <v>36</v>
      </c>
      <c r="C65" s="1240"/>
      <c r="D65" s="1239"/>
      <c r="E65" s="1232">
        <f t="shared" si="55"/>
        <v>0</v>
      </c>
      <c r="F65" s="1233" t="e">
        <f t="shared" si="69"/>
        <v>#DIV/0!</v>
      </c>
      <c r="G65" s="1025"/>
      <c r="H65" s="1023"/>
      <c r="I65" s="1062">
        <f t="shared" si="56"/>
        <v>0</v>
      </c>
      <c r="J65" s="1267" t="e">
        <f>I65/$I$89</f>
        <v>#DIV/0!</v>
      </c>
      <c r="K65" s="1021"/>
      <c r="L65" s="1746">
        <v>1200</v>
      </c>
      <c r="M65" s="1479">
        <f>1400+700</f>
        <v>2100</v>
      </c>
      <c r="N65" s="1480">
        <f t="shared" si="57"/>
        <v>3300</v>
      </c>
      <c r="O65" s="1877">
        <f t="shared" si="58"/>
        <v>6.1839439328173857E-3</v>
      </c>
      <c r="P65" s="1590" t="s">
        <v>1134</v>
      </c>
      <c r="Q65" s="1644"/>
      <c r="R65" s="1552"/>
      <c r="S65" s="1480">
        <f t="shared" si="59"/>
        <v>0</v>
      </c>
      <c r="T65" s="1877">
        <f t="shared" si="48"/>
        <v>0</v>
      </c>
      <c r="U65" s="1590"/>
      <c r="V65" s="1772"/>
      <c r="W65" s="1776"/>
      <c r="X65" s="1765">
        <f t="shared" si="60"/>
        <v>0</v>
      </c>
      <c r="Y65" s="1878">
        <f t="shared" si="49"/>
        <v>0</v>
      </c>
      <c r="Z65" s="1726"/>
      <c r="AA65" s="1644"/>
      <c r="AB65" s="1552"/>
      <c r="AC65" s="1480">
        <f t="shared" si="61"/>
        <v>0</v>
      </c>
      <c r="AD65" s="1877">
        <f t="shared" si="31"/>
        <v>0</v>
      </c>
      <c r="AE65" s="1590"/>
      <c r="AF65" s="1024"/>
      <c r="AG65" s="1022"/>
      <c r="AH65" s="1178">
        <f t="shared" si="62"/>
        <v>0</v>
      </c>
      <c r="AI65" s="1233" t="e">
        <f t="shared" si="50"/>
        <v>#DIV/0!</v>
      </c>
      <c r="AJ65" s="1021"/>
      <c r="AK65" s="1023"/>
      <c r="AL65" s="1022"/>
      <c r="AM65" s="1178">
        <f t="shared" si="63"/>
        <v>0</v>
      </c>
      <c r="AN65" s="1233" t="e">
        <f t="shared" si="51"/>
        <v>#DIV/0!</v>
      </c>
      <c r="AO65" s="1021"/>
      <c r="AP65" s="1023"/>
      <c r="AQ65" s="1022"/>
      <c r="AR65" s="1178">
        <f t="shared" si="71"/>
        <v>0</v>
      </c>
      <c r="AS65" s="1233" t="e">
        <f t="shared" si="52"/>
        <v>#DIV/0!</v>
      </c>
      <c r="AT65" s="1021"/>
      <c r="AU65" s="1023"/>
      <c r="AV65" s="1022"/>
      <c r="AW65" s="1178">
        <f t="shared" si="72"/>
        <v>0</v>
      </c>
      <c r="AX65" s="1233" t="e">
        <f t="shared" si="53"/>
        <v>#DIV/0!</v>
      </c>
      <c r="AY65" s="1021"/>
      <c r="AZ65" s="2051">
        <f t="shared" si="66"/>
        <v>1200</v>
      </c>
      <c r="BA65" s="2051">
        <f t="shared" si="67"/>
        <v>2100</v>
      </c>
      <c r="BB65" s="1178">
        <f t="shared" si="68"/>
        <v>3300</v>
      </c>
      <c r="BC65" s="1233">
        <f t="shared" si="54"/>
        <v>1.0969564310131269E-3</v>
      </c>
      <c r="BD65" s="1234"/>
    </row>
    <row r="66" spans="1:56" s="2" customFormat="1" ht="14.4" customHeight="1" outlineLevel="2">
      <c r="A66" s="237"/>
      <c r="B66" s="1269" t="s">
        <v>37</v>
      </c>
      <c r="C66" s="1240"/>
      <c r="D66" s="1239"/>
      <c r="E66" s="1232">
        <f t="shared" si="55"/>
        <v>0</v>
      </c>
      <c r="F66" s="1233" t="e">
        <f t="shared" si="69"/>
        <v>#DIV/0!</v>
      </c>
      <c r="G66" s="1025"/>
      <c r="H66" s="1024"/>
      <c r="I66" s="1062">
        <f t="shared" si="56"/>
        <v>0</v>
      </c>
      <c r="J66" s="1267" t="e">
        <f t="shared" si="70"/>
        <v>#DIV/0!</v>
      </c>
      <c r="K66" s="1021"/>
      <c r="L66" s="1746"/>
      <c r="M66" s="1644"/>
      <c r="N66" s="1480">
        <f t="shared" si="57"/>
        <v>0</v>
      </c>
      <c r="O66" s="1877">
        <f t="shared" si="58"/>
        <v>0</v>
      </c>
      <c r="P66" s="1590"/>
      <c r="Q66" s="1644"/>
      <c r="R66" s="1432"/>
      <c r="S66" s="1480">
        <f t="shared" si="59"/>
        <v>0</v>
      </c>
      <c r="T66" s="1877">
        <f t="shared" si="48"/>
        <v>0</v>
      </c>
      <c r="U66" s="1590"/>
      <c r="V66" s="1772"/>
      <c r="W66" s="1625"/>
      <c r="X66" s="1765">
        <f t="shared" si="60"/>
        <v>0</v>
      </c>
      <c r="Y66" s="1878">
        <f t="shared" si="49"/>
        <v>0</v>
      </c>
      <c r="Z66" s="1726"/>
      <c r="AA66" s="1644"/>
      <c r="AB66" s="1432"/>
      <c r="AC66" s="1480">
        <f t="shared" si="61"/>
        <v>0</v>
      </c>
      <c r="AD66" s="1877">
        <f t="shared" si="31"/>
        <v>0</v>
      </c>
      <c r="AE66" s="1590"/>
      <c r="AF66" s="1069"/>
      <c r="AG66" s="1176"/>
      <c r="AH66" s="1178">
        <f t="shared" si="62"/>
        <v>0</v>
      </c>
      <c r="AI66" s="1233" t="e">
        <f t="shared" si="50"/>
        <v>#DIV/0!</v>
      </c>
      <c r="AJ66" s="1021"/>
      <c r="AK66" s="1023"/>
      <c r="AL66" s="1176"/>
      <c r="AM66" s="1178">
        <f t="shared" si="63"/>
        <v>0</v>
      </c>
      <c r="AN66" s="1233" t="e">
        <f t="shared" si="51"/>
        <v>#DIV/0!</v>
      </c>
      <c r="AO66" s="1021"/>
      <c r="AP66" s="1023"/>
      <c r="AQ66" s="1176"/>
      <c r="AR66" s="1178">
        <f t="shared" si="71"/>
        <v>0</v>
      </c>
      <c r="AS66" s="1233" t="e">
        <f t="shared" si="52"/>
        <v>#DIV/0!</v>
      </c>
      <c r="AT66" s="1021"/>
      <c r="AU66" s="1023"/>
      <c r="AV66" s="1176"/>
      <c r="AW66" s="1178">
        <f t="shared" si="72"/>
        <v>0</v>
      </c>
      <c r="AX66" s="1233" t="e">
        <f t="shared" si="53"/>
        <v>#DIV/0!</v>
      </c>
      <c r="AY66" s="1021"/>
      <c r="AZ66" s="2051">
        <f t="shared" si="66"/>
        <v>0</v>
      </c>
      <c r="BA66" s="2051">
        <f t="shared" si="67"/>
        <v>0</v>
      </c>
      <c r="BB66" s="1178">
        <f t="shared" si="68"/>
        <v>0</v>
      </c>
      <c r="BC66" s="1233">
        <f t="shared" si="54"/>
        <v>0</v>
      </c>
      <c r="BD66" s="1234"/>
    </row>
    <row r="67" spans="1:56" s="2" customFormat="1" ht="14.4" customHeight="1" outlineLevel="2">
      <c r="A67" s="237"/>
      <c r="B67" s="1269" t="s">
        <v>3</v>
      </c>
      <c r="C67" s="1240"/>
      <c r="D67" s="1239"/>
      <c r="E67" s="1232">
        <f t="shared" si="55"/>
        <v>0</v>
      </c>
      <c r="F67" s="1233" t="e">
        <f t="shared" si="69"/>
        <v>#DIV/0!</v>
      </c>
      <c r="G67" s="1025"/>
      <c r="H67" s="1024"/>
      <c r="I67" s="1062">
        <f t="shared" si="56"/>
        <v>0</v>
      </c>
      <c r="J67" s="1267" t="e">
        <f>I67/$I$89</f>
        <v>#DIV/0!</v>
      </c>
      <c r="K67" s="1021"/>
      <c r="L67" s="1746"/>
      <c r="M67" s="1644"/>
      <c r="N67" s="1480">
        <f t="shared" si="57"/>
        <v>0</v>
      </c>
      <c r="O67" s="1877">
        <f t="shared" si="58"/>
        <v>0</v>
      </c>
      <c r="P67" s="1590"/>
      <c r="Q67" s="1644"/>
      <c r="R67" s="1432"/>
      <c r="S67" s="1480">
        <f t="shared" si="59"/>
        <v>0</v>
      </c>
      <c r="T67" s="1877">
        <f t="shared" si="48"/>
        <v>0</v>
      </c>
      <c r="U67" s="1590"/>
      <c r="V67" s="1772"/>
      <c r="W67" s="1625"/>
      <c r="X67" s="1765">
        <f t="shared" si="60"/>
        <v>0</v>
      </c>
      <c r="Y67" s="1878">
        <f t="shared" si="49"/>
        <v>0</v>
      </c>
      <c r="Z67" s="1726"/>
      <c r="AA67" s="1644"/>
      <c r="AB67" s="1644"/>
      <c r="AC67" s="1480">
        <f t="shared" si="61"/>
        <v>0</v>
      </c>
      <c r="AD67" s="1877">
        <f t="shared" si="31"/>
        <v>0</v>
      </c>
      <c r="AE67" s="1590"/>
      <c r="AF67" s="1024"/>
      <c r="AG67" s="1024"/>
      <c r="AH67" s="1178">
        <f t="shared" si="62"/>
        <v>0</v>
      </c>
      <c r="AI67" s="1233" t="e">
        <f t="shared" si="50"/>
        <v>#DIV/0!</v>
      </c>
      <c r="AJ67" s="1021"/>
      <c r="AK67" s="1023"/>
      <c r="AL67" s="1023"/>
      <c r="AM67" s="1178">
        <f>AK67+AL67*1</f>
        <v>0</v>
      </c>
      <c r="AN67" s="1233" t="e">
        <f t="shared" si="51"/>
        <v>#DIV/0!</v>
      </c>
      <c r="AO67" s="1021"/>
      <c r="AP67" s="1023"/>
      <c r="AQ67" s="1023"/>
      <c r="AR67" s="1178">
        <f t="shared" si="71"/>
        <v>0</v>
      </c>
      <c r="AS67" s="1233" t="e">
        <f t="shared" si="52"/>
        <v>#DIV/0!</v>
      </c>
      <c r="AT67" s="1021"/>
      <c r="AU67" s="1023"/>
      <c r="AV67" s="1023"/>
      <c r="AW67" s="1178">
        <f t="shared" si="72"/>
        <v>0</v>
      </c>
      <c r="AX67" s="1233" t="e">
        <f t="shared" si="53"/>
        <v>#DIV/0!</v>
      </c>
      <c r="AY67" s="1021"/>
      <c r="AZ67" s="2051">
        <f t="shared" si="66"/>
        <v>0</v>
      </c>
      <c r="BA67" s="2051">
        <f t="shared" si="67"/>
        <v>0</v>
      </c>
      <c r="BB67" s="1178">
        <f t="shared" si="68"/>
        <v>0</v>
      </c>
      <c r="BC67" s="1233">
        <f t="shared" si="54"/>
        <v>0</v>
      </c>
      <c r="BD67" s="1234"/>
    </row>
    <row r="68" spans="1:56" s="2" customFormat="1" ht="21" customHeight="1" outlineLevel="2">
      <c r="A68" s="237"/>
      <c r="B68" s="1269" t="s">
        <v>5</v>
      </c>
      <c r="C68" s="1240"/>
      <c r="D68" s="1239"/>
      <c r="E68" s="1232">
        <f t="shared" si="55"/>
        <v>0</v>
      </c>
      <c r="F68" s="1233" t="e">
        <f t="shared" si="69"/>
        <v>#DIV/0!</v>
      </c>
      <c r="G68" s="1025"/>
      <c r="H68" s="1024"/>
      <c r="I68" s="1062">
        <f t="shared" si="56"/>
        <v>0</v>
      </c>
      <c r="J68" s="1267" t="e">
        <f>I68/$I$89</f>
        <v>#DIV/0!</v>
      </c>
      <c r="K68" s="1021"/>
      <c r="L68" s="1746"/>
      <c r="M68" s="1644">
        <v>560.16999999999996</v>
      </c>
      <c r="N68" s="1480">
        <f t="shared" si="57"/>
        <v>560.16999999999996</v>
      </c>
      <c r="O68" s="1877">
        <f t="shared" si="58"/>
        <v>1.0497151129837316E-3</v>
      </c>
      <c r="P68" s="1590"/>
      <c r="Q68" s="1644"/>
      <c r="R68" s="1432"/>
      <c r="S68" s="1480">
        <f t="shared" si="59"/>
        <v>0</v>
      </c>
      <c r="T68" s="1877">
        <f t="shared" si="48"/>
        <v>0</v>
      </c>
      <c r="U68" s="1590"/>
      <c r="V68" s="1772"/>
      <c r="W68" s="1625">
        <v>413.6</v>
      </c>
      <c r="X68" s="1765">
        <f t="shared" si="60"/>
        <v>413.6</v>
      </c>
      <c r="Y68" s="1878">
        <f t="shared" si="49"/>
        <v>6.2477265119395976E-4</v>
      </c>
      <c r="Z68" s="1726" t="s">
        <v>1207</v>
      </c>
      <c r="AA68" s="1644"/>
      <c r="AB68" s="1871">
        <v>31.89</v>
      </c>
      <c r="AC68" s="1480">
        <f t="shared" si="61"/>
        <v>31.89</v>
      </c>
      <c r="AD68" s="1877">
        <f t="shared" si="31"/>
        <v>4.781084706214475E-4</v>
      </c>
      <c r="AE68" s="1590" t="s">
        <v>1264</v>
      </c>
      <c r="AF68" s="1024"/>
      <c r="AG68" s="1176"/>
      <c r="AH68" s="1178">
        <f t="shared" si="62"/>
        <v>0</v>
      </c>
      <c r="AI68" s="1233" t="e">
        <f t="shared" si="50"/>
        <v>#DIV/0!</v>
      </c>
      <c r="AJ68" s="1021"/>
      <c r="AK68" s="1023"/>
      <c r="AL68" s="1176"/>
      <c r="AM68" s="1178">
        <f t="shared" si="63"/>
        <v>0</v>
      </c>
      <c r="AN68" s="1233" t="e">
        <f t="shared" si="51"/>
        <v>#DIV/0!</v>
      </c>
      <c r="AO68" s="1021"/>
      <c r="AP68" s="1023"/>
      <c r="AQ68" s="1176"/>
      <c r="AR68" s="1178">
        <f t="shared" si="71"/>
        <v>0</v>
      </c>
      <c r="AS68" s="1233" t="e">
        <f t="shared" si="52"/>
        <v>#DIV/0!</v>
      </c>
      <c r="AT68" s="1021"/>
      <c r="AU68" s="1023"/>
      <c r="AV68" s="1176"/>
      <c r="AW68" s="1178">
        <f t="shared" si="72"/>
        <v>0</v>
      </c>
      <c r="AX68" s="1233" t="e">
        <f t="shared" si="53"/>
        <v>#DIV/0!</v>
      </c>
      <c r="AY68" s="1021"/>
      <c r="AZ68" s="2051">
        <f t="shared" si="66"/>
        <v>0</v>
      </c>
      <c r="BA68" s="2051">
        <f t="shared" si="67"/>
        <v>1005.66</v>
      </c>
      <c r="BB68" s="1178">
        <f t="shared" si="68"/>
        <v>1005.66</v>
      </c>
      <c r="BC68" s="1233">
        <f t="shared" si="54"/>
        <v>3.3429248618565492E-4</v>
      </c>
      <c r="BD68" s="1234"/>
    </row>
    <row r="69" spans="1:56" s="2" customFormat="1" ht="14.4" customHeight="1" outlineLevel="2">
      <c r="A69" s="237"/>
      <c r="B69" s="1269" t="s">
        <v>42</v>
      </c>
      <c r="C69" s="1240"/>
      <c r="D69" s="1239"/>
      <c r="E69" s="1232">
        <f t="shared" si="55"/>
        <v>0</v>
      </c>
      <c r="F69" s="1233" t="e">
        <f t="shared" si="69"/>
        <v>#DIV/0!</v>
      </c>
      <c r="G69" s="1025"/>
      <c r="H69" s="1024"/>
      <c r="I69" s="1062">
        <f t="shared" si="56"/>
        <v>0</v>
      </c>
      <c r="J69" s="1267" t="e">
        <f>I69/$I$89</f>
        <v>#DIV/0!</v>
      </c>
      <c r="K69" s="1021"/>
      <c r="L69" s="1746"/>
      <c r="M69" s="1644"/>
      <c r="N69" s="1480">
        <f t="shared" si="57"/>
        <v>0</v>
      </c>
      <c r="O69" s="1877">
        <f t="shared" si="58"/>
        <v>0</v>
      </c>
      <c r="P69" s="1590"/>
      <c r="Q69" s="1644"/>
      <c r="R69" s="1432"/>
      <c r="S69" s="1480">
        <f t="shared" si="59"/>
        <v>0</v>
      </c>
      <c r="T69" s="1877">
        <f t="shared" si="48"/>
        <v>0</v>
      </c>
      <c r="U69" s="1590"/>
      <c r="V69" s="1772"/>
      <c r="W69" s="1625"/>
      <c r="X69" s="1765">
        <f t="shared" si="60"/>
        <v>0</v>
      </c>
      <c r="Y69" s="1878">
        <f t="shared" si="49"/>
        <v>0</v>
      </c>
      <c r="Z69" s="1726"/>
      <c r="AA69" s="1644"/>
      <c r="AB69" s="1432"/>
      <c r="AC69" s="1480">
        <f t="shared" si="61"/>
        <v>0</v>
      </c>
      <c r="AD69" s="1877">
        <f t="shared" si="31"/>
        <v>0</v>
      </c>
      <c r="AE69" s="1590"/>
      <c r="AF69" s="1024"/>
      <c r="AG69" s="1176"/>
      <c r="AH69" s="1178">
        <f t="shared" si="62"/>
        <v>0</v>
      </c>
      <c r="AI69" s="1233" t="e">
        <f t="shared" si="50"/>
        <v>#DIV/0!</v>
      </c>
      <c r="AJ69" s="1021"/>
      <c r="AK69" s="1023"/>
      <c r="AL69" s="1176"/>
      <c r="AM69" s="1178">
        <f t="shared" si="63"/>
        <v>0</v>
      </c>
      <c r="AN69" s="1233" t="e">
        <f t="shared" si="51"/>
        <v>#DIV/0!</v>
      </c>
      <c r="AO69" s="1280"/>
      <c r="AP69" s="1023"/>
      <c r="AQ69" s="1176"/>
      <c r="AR69" s="1178">
        <f t="shared" si="71"/>
        <v>0</v>
      </c>
      <c r="AS69" s="1233" t="e">
        <f t="shared" si="52"/>
        <v>#DIV/0!</v>
      </c>
      <c r="AT69" s="1280"/>
      <c r="AU69" s="1023"/>
      <c r="AV69" s="1176"/>
      <c r="AW69" s="1178">
        <f t="shared" si="72"/>
        <v>0</v>
      </c>
      <c r="AX69" s="1233" t="e">
        <f t="shared" si="53"/>
        <v>#DIV/0!</v>
      </c>
      <c r="AY69" s="1280"/>
      <c r="AZ69" s="2051">
        <f t="shared" si="66"/>
        <v>0</v>
      </c>
      <c r="BA69" s="2051">
        <f t="shared" si="67"/>
        <v>0</v>
      </c>
      <c r="BB69" s="1178">
        <f t="shared" si="68"/>
        <v>0</v>
      </c>
      <c r="BC69" s="1233">
        <f t="shared" si="54"/>
        <v>0</v>
      </c>
      <c r="BD69" s="1234"/>
    </row>
    <row r="70" spans="1:56" s="2" customFormat="1" ht="14.4" customHeight="1" outlineLevel="2">
      <c r="A70" s="237"/>
      <c r="B70" s="1269" t="s">
        <v>6</v>
      </c>
      <c r="C70" s="1240"/>
      <c r="D70" s="1239"/>
      <c r="E70" s="1232">
        <f t="shared" si="55"/>
        <v>0</v>
      </c>
      <c r="F70" s="1233" t="e">
        <f t="shared" si="69"/>
        <v>#DIV/0!</v>
      </c>
      <c r="G70" s="1025"/>
      <c r="H70" s="1024"/>
      <c r="I70" s="1062">
        <f t="shared" si="56"/>
        <v>0</v>
      </c>
      <c r="J70" s="1267" t="e">
        <f>I70/$I$89</f>
        <v>#DIV/0!</v>
      </c>
      <c r="K70" s="1021"/>
      <c r="L70" s="1746"/>
      <c r="M70" s="1644"/>
      <c r="N70" s="1480">
        <f t="shared" si="57"/>
        <v>0</v>
      </c>
      <c r="O70" s="1877">
        <f t="shared" si="58"/>
        <v>0</v>
      </c>
      <c r="P70" s="1590"/>
      <c r="Q70" s="1644"/>
      <c r="R70" s="1432"/>
      <c r="S70" s="1480">
        <f t="shared" si="59"/>
        <v>0</v>
      </c>
      <c r="T70" s="1877">
        <f t="shared" si="48"/>
        <v>0</v>
      </c>
      <c r="U70" s="1590"/>
      <c r="V70" s="1772"/>
      <c r="W70" s="1625"/>
      <c r="X70" s="1765">
        <f t="shared" si="60"/>
        <v>0</v>
      </c>
      <c r="Y70" s="1878">
        <f t="shared" si="49"/>
        <v>0</v>
      </c>
      <c r="Z70" s="1726"/>
      <c r="AA70" s="1644"/>
      <c r="AB70" s="1644"/>
      <c r="AC70" s="1480">
        <f t="shared" si="61"/>
        <v>0</v>
      </c>
      <c r="AD70" s="1877">
        <f t="shared" si="31"/>
        <v>0</v>
      </c>
      <c r="AE70" s="1590"/>
      <c r="AF70" s="1024"/>
      <c r="AG70" s="1024"/>
      <c r="AH70" s="1178">
        <f t="shared" si="62"/>
        <v>0</v>
      </c>
      <c r="AI70" s="1233" t="e">
        <f t="shared" si="50"/>
        <v>#DIV/0!</v>
      </c>
      <c r="AJ70" s="1021"/>
      <c r="AK70" s="1023"/>
      <c r="AL70" s="1024"/>
      <c r="AM70" s="1178">
        <f t="shared" si="63"/>
        <v>0</v>
      </c>
      <c r="AN70" s="1233" t="e">
        <f t="shared" si="51"/>
        <v>#DIV/0!</v>
      </c>
      <c r="AO70" s="1021"/>
      <c r="AP70" s="1023"/>
      <c r="AQ70" s="1024"/>
      <c r="AR70" s="1178">
        <f t="shared" si="71"/>
        <v>0</v>
      </c>
      <c r="AS70" s="1233" t="e">
        <f t="shared" si="52"/>
        <v>#DIV/0!</v>
      </c>
      <c r="AT70" s="1021"/>
      <c r="AU70" s="1023"/>
      <c r="AV70" s="1024"/>
      <c r="AW70" s="1178">
        <f t="shared" si="72"/>
        <v>0</v>
      </c>
      <c r="AX70" s="1233" t="e">
        <f t="shared" si="53"/>
        <v>#DIV/0!</v>
      </c>
      <c r="AY70" s="1021"/>
      <c r="AZ70" s="2051">
        <f t="shared" si="66"/>
        <v>0</v>
      </c>
      <c r="BA70" s="2051">
        <f t="shared" si="67"/>
        <v>0</v>
      </c>
      <c r="BB70" s="1178">
        <f t="shared" si="68"/>
        <v>0</v>
      </c>
      <c r="BC70" s="1233">
        <f>BB70/$BB$89</f>
        <v>0</v>
      </c>
      <c r="BD70" s="1234"/>
    </row>
    <row r="71" spans="1:56" s="2" customFormat="1" ht="14.4" customHeight="1" outlineLevel="2">
      <c r="A71" s="237"/>
      <c r="B71" s="1269" t="s">
        <v>235</v>
      </c>
      <c r="C71" s="1240"/>
      <c r="D71" s="1239"/>
      <c r="E71" s="1232">
        <f>C71+D71*1.15</f>
        <v>0</v>
      </c>
      <c r="F71" s="1111" t="e">
        <f t="shared" si="69"/>
        <v>#DIV/0!</v>
      </c>
      <c r="G71" s="1025"/>
      <c r="H71" s="1024"/>
      <c r="I71" s="1062">
        <f t="shared" si="56"/>
        <v>0</v>
      </c>
      <c r="J71" s="1267" t="e">
        <f>I71/$I$89</f>
        <v>#DIV/0!</v>
      </c>
      <c r="K71" s="1021"/>
      <c r="L71" s="1746"/>
      <c r="M71" s="1644"/>
      <c r="N71" s="1480">
        <f t="shared" si="57"/>
        <v>0</v>
      </c>
      <c r="O71" s="1877">
        <f t="shared" si="58"/>
        <v>0</v>
      </c>
      <c r="P71" s="1590"/>
      <c r="Q71" s="1644"/>
      <c r="R71" s="1432"/>
      <c r="S71" s="1480">
        <f t="shared" si="59"/>
        <v>0</v>
      </c>
      <c r="T71" s="1877">
        <f t="shared" si="48"/>
        <v>0</v>
      </c>
      <c r="U71" s="1590"/>
      <c r="V71" s="1772"/>
      <c r="W71" s="1625"/>
      <c r="X71" s="1765">
        <f t="shared" si="60"/>
        <v>0</v>
      </c>
      <c r="Y71" s="1878">
        <f t="shared" si="49"/>
        <v>0</v>
      </c>
      <c r="Z71" s="1726"/>
      <c r="AA71" s="1644"/>
      <c r="AB71" s="1432"/>
      <c r="AC71" s="1480">
        <f t="shared" si="61"/>
        <v>0</v>
      </c>
      <c r="AD71" s="1877">
        <f t="shared" si="31"/>
        <v>0</v>
      </c>
      <c r="AE71" s="1590"/>
      <c r="AF71" s="1024"/>
      <c r="AG71" s="1032"/>
      <c r="AH71" s="1178">
        <f t="shared" si="62"/>
        <v>0</v>
      </c>
      <c r="AI71" s="1233" t="e">
        <f t="shared" si="50"/>
        <v>#DIV/0!</v>
      </c>
      <c r="AJ71" s="1021"/>
      <c r="AK71" s="1024"/>
      <c r="AL71" s="1176"/>
      <c r="AM71" s="1178">
        <f t="shared" si="63"/>
        <v>0</v>
      </c>
      <c r="AN71" s="1233" t="e">
        <f t="shared" si="51"/>
        <v>#DIV/0!</v>
      </c>
      <c r="AO71" s="1021"/>
      <c r="AP71" s="1024"/>
      <c r="AQ71" s="1176"/>
      <c r="AR71" s="1178">
        <f t="shared" si="71"/>
        <v>0</v>
      </c>
      <c r="AS71" s="1233" t="e">
        <f t="shared" si="52"/>
        <v>#DIV/0!</v>
      </c>
      <c r="AT71" s="1021"/>
      <c r="AU71" s="1024"/>
      <c r="AV71" s="1176"/>
      <c r="AW71" s="1178">
        <f t="shared" si="72"/>
        <v>0</v>
      </c>
      <c r="AX71" s="1233" t="e">
        <f t="shared" si="53"/>
        <v>#DIV/0!</v>
      </c>
      <c r="AY71" s="1021"/>
      <c r="AZ71" s="2051">
        <f t="shared" si="66"/>
        <v>0</v>
      </c>
      <c r="BA71" s="2051">
        <f t="shared" si="67"/>
        <v>0</v>
      </c>
      <c r="BB71" s="1178">
        <f t="shared" si="68"/>
        <v>0</v>
      </c>
      <c r="BC71" s="1233">
        <f t="shared" si="54"/>
        <v>0</v>
      </c>
      <c r="BD71" s="1234"/>
    </row>
    <row r="72" spans="1:56" s="2" customFormat="1" ht="14.4" customHeight="1" outlineLevel="2" thickBot="1">
      <c r="A72" s="237"/>
      <c r="B72" s="1212"/>
      <c r="C72" s="1213"/>
      <c r="D72" s="1214"/>
      <c r="E72" s="1113"/>
      <c r="F72" s="1111" t="e">
        <f t="shared" si="69"/>
        <v>#DIV/0!</v>
      </c>
      <c r="G72" s="544"/>
      <c r="H72" s="604"/>
      <c r="I72" s="987"/>
      <c r="J72" s="1215" t="e">
        <f>I72/#REF!</f>
        <v>#REF!</v>
      </c>
      <c r="K72" s="1121"/>
      <c r="L72" s="1741"/>
      <c r="M72" s="1646"/>
      <c r="N72" s="1653"/>
      <c r="O72" s="1891"/>
      <c r="P72" s="1918"/>
      <c r="Q72" s="1647"/>
      <c r="R72" s="1636"/>
      <c r="S72" s="1653"/>
      <c r="T72" s="1891"/>
      <c r="U72" s="1918"/>
      <c r="V72" s="1823"/>
      <c r="W72" s="1824"/>
      <c r="X72" s="1825"/>
      <c r="Y72" s="1892"/>
      <c r="Z72" s="1919"/>
      <c r="AA72" s="1647"/>
      <c r="AB72" s="1636"/>
      <c r="AC72" s="1653"/>
      <c r="AD72" s="1891">
        <f t="shared" si="31"/>
        <v>0</v>
      </c>
      <c r="AE72" s="1918"/>
      <c r="AF72" s="604"/>
      <c r="AG72" s="535"/>
      <c r="AH72" s="622"/>
      <c r="AI72" s="1111" t="e">
        <f>AH72/#REF!</f>
        <v>#REF!</v>
      </c>
      <c r="AJ72" s="1121"/>
      <c r="AK72" s="604"/>
      <c r="AL72" s="535"/>
      <c r="AM72" s="622"/>
      <c r="AN72" s="1111" t="e">
        <f>AM72/#REF!</f>
        <v>#REF!</v>
      </c>
      <c r="AO72" s="1121"/>
      <c r="AP72" s="604"/>
      <c r="AQ72" s="535"/>
      <c r="AR72" s="622"/>
      <c r="AS72" s="1111" t="e">
        <f>AR72/#REF!</f>
        <v>#REF!</v>
      </c>
      <c r="AT72" s="1121"/>
      <c r="AU72" s="604"/>
      <c r="AV72" s="535"/>
      <c r="AW72" s="622"/>
      <c r="AX72" s="1111" t="e">
        <f>AW72/#REF!</f>
        <v>#REF!</v>
      </c>
      <c r="AY72" s="1121"/>
      <c r="AZ72" s="535">
        <f>G72+L72+Q72+V72</f>
        <v>0</v>
      </c>
      <c r="BA72" s="535">
        <f>H72+M72+R72+W72</f>
        <v>0</v>
      </c>
      <c r="BB72" s="622"/>
      <c r="BC72" s="1111">
        <f>BB72/$BB$89</f>
        <v>0</v>
      </c>
      <c r="BD72" s="1114"/>
    </row>
    <row r="73" spans="1:56" s="2" customFormat="1" ht="14.4" customHeight="1" outlineLevel="1" thickBot="1">
      <c r="A73" s="237"/>
      <c r="B73" s="986" t="s">
        <v>4</v>
      </c>
      <c r="C73" s="836">
        <f>C74</f>
        <v>0</v>
      </c>
      <c r="D73" s="843">
        <f>D74</f>
        <v>0</v>
      </c>
      <c r="E73" s="836">
        <f>E74</f>
        <v>0</v>
      </c>
      <c r="F73" s="838" t="e">
        <f>E73/$E$89</f>
        <v>#DIV/0!</v>
      </c>
      <c r="G73" s="836">
        <f>G74</f>
        <v>0</v>
      </c>
      <c r="H73" s="843">
        <f>H74</f>
        <v>0</v>
      </c>
      <c r="I73" s="945">
        <f>I74</f>
        <v>0</v>
      </c>
      <c r="J73" s="915"/>
      <c r="K73" s="981"/>
      <c r="L73" s="1584">
        <f>L74</f>
        <v>0</v>
      </c>
      <c r="M73" s="1584">
        <f>M74</f>
        <v>0</v>
      </c>
      <c r="N73" s="1688">
        <f>N74</f>
        <v>0</v>
      </c>
      <c r="O73" s="1689"/>
      <c r="P73" s="1732"/>
      <c r="Q73" s="1584">
        <f>Q74</f>
        <v>0</v>
      </c>
      <c r="R73" s="1584">
        <f>R74</f>
        <v>0</v>
      </c>
      <c r="S73" s="1688">
        <f>S74</f>
        <v>0</v>
      </c>
      <c r="T73" s="1689"/>
      <c r="U73" s="1732"/>
      <c r="V73" s="1800">
        <f>V74</f>
        <v>0</v>
      </c>
      <c r="W73" s="1800">
        <f>W74</f>
        <v>0</v>
      </c>
      <c r="X73" s="1801">
        <f>X74</f>
        <v>0</v>
      </c>
      <c r="Y73" s="1802"/>
      <c r="Z73" s="1803"/>
      <c r="AA73" s="1584">
        <f>AA74</f>
        <v>0</v>
      </c>
      <c r="AB73" s="1584">
        <f>AB74</f>
        <v>0</v>
      </c>
      <c r="AC73" s="1688">
        <f>AC74</f>
        <v>0</v>
      </c>
      <c r="AD73" s="1689">
        <f t="shared" si="31"/>
        <v>0</v>
      </c>
      <c r="AE73" s="1732"/>
      <c r="AF73" s="836">
        <f>AF74</f>
        <v>0</v>
      </c>
      <c r="AG73" s="836">
        <f>AG74</f>
        <v>0</v>
      </c>
      <c r="AH73" s="837">
        <f>AH74</f>
        <v>0</v>
      </c>
      <c r="AI73" s="840"/>
      <c r="AJ73" s="981"/>
      <c r="AK73" s="836">
        <f>AK74</f>
        <v>0</v>
      </c>
      <c r="AL73" s="836">
        <f>AL74</f>
        <v>0</v>
      </c>
      <c r="AM73" s="837">
        <f>AM74</f>
        <v>0</v>
      </c>
      <c r="AN73" s="840"/>
      <c r="AO73" s="981"/>
      <c r="AP73" s="836">
        <f>AP74</f>
        <v>0</v>
      </c>
      <c r="AQ73" s="836">
        <f>AQ74</f>
        <v>0</v>
      </c>
      <c r="AR73" s="837">
        <f>AR74</f>
        <v>0</v>
      </c>
      <c r="AS73" s="840"/>
      <c r="AT73" s="981"/>
      <c r="AU73" s="836">
        <f>AU74</f>
        <v>0</v>
      </c>
      <c r="AV73" s="836">
        <f>AV74</f>
        <v>0</v>
      </c>
      <c r="AW73" s="837">
        <f>AW74</f>
        <v>0</v>
      </c>
      <c r="AX73" s="840" t="e">
        <f>AW73/$AW$89</f>
        <v>#DIV/0!</v>
      </c>
      <c r="AY73" s="981"/>
      <c r="AZ73" s="836">
        <f>AZ74</f>
        <v>0</v>
      </c>
      <c r="BA73" s="840">
        <f>BA74</f>
        <v>0</v>
      </c>
      <c r="BB73" s="837">
        <f>BB74</f>
        <v>0</v>
      </c>
      <c r="BC73" s="840"/>
      <c r="BD73" s="840"/>
    </row>
    <row r="74" spans="1:56" s="2" customFormat="1" ht="14.4" customHeight="1" outlineLevel="1" thickBot="1">
      <c r="A74" s="20"/>
      <c r="B74" s="985" t="s">
        <v>64</v>
      </c>
      <c r="C74" s="304"/>
      <c r="D74" s="305"/>
      <c r="E74" s="306">
        <f>C74+D74</f>
        <v>0</v>
      </c>
      <c r="F74" s="307"/>
      <c r="G74" s="937"/>
      <c r="H74" s="600"/>
      <c r="I74" s="988">
        <f>G74+H74*1</f>
        <v>0</v>
      </c>
      <c r="J74" s="990" t="e">
        <f>I74/$I$89</f>
        <v>#DIV/0!</v>
      </c>
      <c r="K74" s="728"/>
      <c r="L74" s="1646"/>
      <c r="M74" s="1629"/>
      <c r="N74" s="1628">
        <f>L74+M74*1</f>
        <v>0</v>
      </c>
      <c r="O74" s="1664">
        <f>N74/$N$89</f>
        <v>0</v>
      </c>
      <c r="P74" s="1675"/>
      <c r="Q74" s="1646"/>
      <c r="R74" s="1629"/>
      <c r="S74" s="1628">
        <f>Q74+R74*1</f>
        <v>0</v>
      </c>
      <c r="T74" s="1664">
        <f>S74/$N$89</f>
        <v>0</v>
      </c>
      <c r="U74" s="1675"/>
      <c r="V74" s="1778"/>
      <c r="W74" s="1701"/>
      <c r="X74" s="1799">
        <f>V74+W74*1</f>
        <v>0</v>
      </c>
      <c r="Y74" s="1827">
        <f>X74/$X$89</f>
        <v>0</v>
      </c>
      <c r="Z74" s="1828"/>
      <c r="AA74" s="1646"/>
      <c r="AB74" s="1629"/>
      <c r="AC74" s="1628">
        <f>AA74+AB74*1</f>
        <v>0</v>
      </c>
      <c r="AD74" s="1664">
        <f t="shared" si="31"/>
        <v>0</v>
      </c>
      <c r="AE74" s="1675"/>
      <c r="AF74" s="600"/>
      <c r="AG74" s="512"/>
      <c r="AH74" s="507">
        <f>AF74+AG74*1</f>
        <v>0</v>
      </c>
      <c r="AI74" s="683">
        <f>AH74/$S$89</f>
        <v>0</v>
      </c>
      <c r="AJ74" s="728"/>
      <c r="AK74" s="600"/>
      <c r="AL74" s="512"/>
      <c r="AM74" s="507">
        <f>AK74+AL74*1</f>
        <v>0</v>
      </c>
      <c r="AN74" s="683">
        <f>AM74/$S$89</f>
        <v>0</v>
      </c>
      <c r="AO74" s="728"/>
      <c r="AP74" s="600"/>
      <c r="AQ74" s="512"/>
      <c r="AR74" s="507">
        <f>AP74+AQ74*1</f>
        <v>0</v>
      </c>
      <c r="AS74" s="683" t="e">
        <f>AR74/$AR$89</f>
        <v>#DIV/0!</v>
      </c>
      <c r="AT74" s="728"/>
      <c r="AU74" s="600"/>
      <c r="AV74" s="512"/>
      <c r="AW74" s="507">
        <f>AU74+AV74*1</f>
        <v>0</v>
      </c>
      <c r="AX74" s="683" t="e">
        <f>AW74/$AW$89</f>
        <v>#DIV/0!</v>
      </c>
      <c r="AY74" s="728"/>
      <c r="AZ74" s="2051">
        <f>G74+L74+Q74+V74+AA74</f>
        <v>0</v>
      </c>
      <c r="BA74" s="2051">
        <f>H74+M74+R74+W74+AB74</f>
        <v>0</v>
      </c>
      <c r="BB74" s="507">
        <f>AZ74+BA74*1</f>
        <v>0</v>
      </c>
      <c r="BC74" s="683">
        <f>BB74/$BB$89</f>
        <v>0</v>
      </c>
      <c r="BD74" s="608"/>
    </row>
    <row r="75" spans="1:56" s="2" customFormat="1" ht="14.4" customHeight="1" thickBot="1">
      <c r="A75" s="977"/>
      <c r="B75" s="971" t="s">
        <v>48</v>
      </c>
      <c r="C75" s="989">
        <f>C38-C41-C50-C54</f>
        <v>0</v>
      </c>
      <c r="D75" s="989">
        <f>D38-D41-D50-D54</f>
        <v>0</v>
      </c>
      <c r="E75" s="670">
        <f>E38-E41-E50-E54</f>
        <v>0</v>
      </c>
      <c r="F75" s="967"/>
      <c r="G75" s="646">
        <f>G38-G41-G50-G54</f>
        <v>0</v>
      </c>
      <c r="H75" s="671">
        <f>H38-H41-H50-H54</f>
        <v>0</v>
      </c>
      <c r="I75" s="989">
        <f>I38-I41-I50-I54</f>
        <v>0</v>
      </c>
      <c r="J75" s="671"/>
      <c r="K75" s="672"/>
      <c r="L75" s="1450">
        <f>L38-L41-L50-L54</f>
        <v>-425725.6</v>
      </c>
      <c r="M75" s="1450">
        <f>M38-M41-M50-M54</f>
        <v>-94262.37</v>
      </c>
      <c r="N75" s="1508">
        <f>N38-N41-N50-N54</f>
        <v>-519987.97</v>
      </c>
      <c r="O75" s="1451"/>
      <c r="P75" s="1660"/>
      <c r="Q75" s="1450">
        <f>Q38-Q41-Q50-Q54</f>
        <v>1467684.7540000004</v>
      </c>
      <c r="R75" s="1450">
        <f>R38-R41-R50-R54</f>
        <v>-177924.8</v>
      </c>
      <c r="S75" s="1508">
        <f>S38-S41-S50-S54</f>
        <v>1289759.9540000004</v>
      </c>
      <c r="T75" s="1451"/>
      <c r="U75" s="1660"/>
      <c r="V75" s="1804">
        <f>V38-V41-V50-V54</f>
        <v>275727.07399999991</v>
      </c>
      <c r="W75" s="1804">
        <f>W38-W41-W50-W54</f>
        <v>-137396.80000000002</v>
      </c>
      <c r="X75" s="1805">
        <f>X38-X41-X50-X54</f>
        <v>138330.27399999995</v>
      </c>
      <c r="Y75" s="1806"/>
      <c r="Z75" s="1807"/>
      <c r="AA75" s="1450">
        <f>AA38-AA41-AA50-AA54</f>
        <v>-60008.943999999996</v>
      </c>
      <c r="AB75" s="1450">
        <f>AB38-AB41-AB50-AB54</f>
        <v>-5921.89</v>
      </c>
      <c r="AC75" s="1508">
        <f>AC38-AC41-AC50-AC54</f>
        <v>-65930.833999999988</v>
      </c>
      <c r="AD75" s="1451"/>
      <c r="AE75" s="1660"/>
      <c r="AF75" s="646">
        <f>AF38-AF41-AF50-AF54</f>
        <v>0</v>
      </c>
      <c r="AG75" s="646">
        <f>AG38-AG41-AG50-AG54</f>
        <v>0</v>
      </c>
      <c r="AH75" s="670">
        <f>AH38-AH41-AH50-AH54</f>
        <v>0</v>
      </c>
      <c r="AI75" s="671"/>
      <c r="AJ75" s="672"/>
      <c r="AK75" s="646">
        <f>AK38-AK41-AK50-AK54</f>
        <v>0</v>
      </c>
      <c r="AL75" s="646">
        <f>AL38-AL41-AL50-AL54</f>
        <v>0</v>
      </c>
      <c r="AM75" s="670">
        <f>AM38-AM41-AM50-AM54</f>
        <v>0</v>
      </c>
      <c r="AN75" s="671"/>
      <c r="AO75" s="672"/>
      <c r="AP75" s="646">
        <f>AP38-AP41-AP50-AP54</f>
        <v>0</v>
      </c>
      <c r="AQ75" s="646">
        <f>AQ38-AQ41-AQ50-AQ54</f>
        <v>0</v>
      </c>
      <c r="AR75" s="670">
        <f>AR38-AR41-AR50-AR54</f>
        <v>0</v>
      </c>
      <c r="AS75" s="671"/>
      <c r="AT75" s="672"/>
      <c r="AU75" s="646">
        <f>AU38-AU41-AU50-AU54</f>
        <v>0</v>
      </c>
      <c r="AV75" s="646">
        <f>AV38-AV41-AV50-AV54</f>
        <v>0</v>
      </c>
      <c r="AW75" s="670">
        <f>AW38-AW41-AW50-AW54</f>
        <v>0</v>
      </c>
      <c r="AX75" s="671"/>
      <c r="AY75" s="672"/>
      <c r="AZ75" s="646">
        <f>AZ38-AZ41-AZ50-AZ54</f>
        <v>1257677.2840000002</v>
      </c>
      <c r="BA75" s="646">
        <f>BA38-BA41-BA50-BA54</f>
        <v>-415505.85999999993</v>
      </c>
      <c r="BB75" s="670">
        <f>BB38-BB41-BB50-BB54</f>
        <v>842171.42400000046</v>
      </c>
      <c r="BC75" s="671"/>
      <c r="BD75" s="671"/>
    </row>
    <row r="76" spans="1:56" s="2" customFormat="1" ht="14.4" customHeight="1">
      <c r="A76" s="294"/>
      <c r="B76" s="972" t="s">
        <v>49</v>
      </c>
      <c r="C76" s="873" t="e">
        <f>C75/C5</f>
        <v>#DIV/0!</v>
      </c>
      <c r="D76" s="873" t="e">
        <f>D75/D5</f>
        <v>#DIV/0!</v>
      </c>
      <c r="E76" s="874" t="e">
        <f>E75/E5</f>
        <v>#DIV/0!</v>
      </c>
      <c r="F76" s="875"/>
      <c r="G76" s="639" t="e">
        <f>G75/G5</f>
        <v>#DIV/0!</v>
      </c>
      <c r="H76" s="660" t="e">
        <f>H75/H5</f>
        <v>#DIV/0!</v>
      </c>
      <c r="I76" s="639" t="e">
        <f>I75/I5</f>
        <v>#DIV/0!</v>
      </c>
      <c r="J76" s="660"/>
      <c r="K76" s="673"/>
      <c r="L76" s="1441" t="e">
        <f>L75/L5</f>
        <v>#DIV/0!</v>
      </c>
      <c r="M76" s="1441" t="e">
        <f>M75/M5</f>
        <v>#DIV/0!</v>
      </c>
      <c r="N76" s="1442" t="e">
        <f>N75/N5</f>
        <v>#DIV/0!</v>
      </c>
      <c r="O76" s="1442"/>
      <c r="P76" s="1661"/>
      <c r="Q76" s="1441">
        <f>Q75/Q5</f>
        <v>0.48760719633305222</v>
      </c>
      <c r="R76" s="1441" t="e">
        <f>R75/R5</f>
        <v>#DIV/0!</v>
      </c>
      <c r="S76" s="1442">
        <f>S75/S5</f>
        <v>0.42849544726727223</v>
      </c>
      <c r="T76" s="1442"/>
      <c r="U76" s="1661"/>
      <c r="V76" s="1787">
        <f>V75/V5</f>
        <v>0.35330064245840287</v>
      </c>
      <c r="W76" s="1787" t="e">
        <f>W75/W5</f>
        <v>#DIV/0!</v>
      </c>
      <c r="X76" s="1788">
        <f>X75/X5</f>
        <v>0.17724837088593956</v>
      </c>
      <c r="Y76" s="1788"/>
      <c r="Z76" s="1808"/>
      <c r="AA76" s="1441" t="e">
        <f>AA75/AA5</f>
        <v>#DIV/0!</v>
      </c>
      <c r="AB76" s="1441" t="e">
        <f>AB75/AB5</f>
        <v>#DIV/0!</v>
      </c>
      <c r="AC76" s="1442" t="e">
        <f>AC75/AC5</f>
        <v>#DIV/0!</v>
      </c>
      <c r="AD76" s="1442"/>
      <c r="AE76" s="1661"/>
      <c r="AF76" s="639" t="e">
        <f>AF75/AF5</f>
        <v>#DIV/0!</v>
      </c>
      <c r="AG76" s="639" t="e">
        <f>AG75/AG5</f>
        <v>#DIV/0!</v>
      </c>
      <c r="AH76" s="660" t="e">
        <f>AH75/AH5</f>
        <v>#DIV/0!</v>
      </c>
      <c r="AI76" s="660"/>
      <c r="AJ76" s="673"/>
      <c r="AK76" s="639" t="e">
        <f>AK75/AK5</f>
        <v>#DIV/0!</v>
      </c>
      <c r="AL76" s="639" t="e">
        <f>AL75/AL5</f>
        <v>#DIV/0!</v>
      </c>
      <c r="AM76" s="660" t="e">
        <f>AM75/AM5</f>
        <v>#DIV/0!</v>
      </c>
      <c r="AN76" s="660"/>
      <c r="AO76" s="673"/>
      <c r="AP76" s="639" t="e">
        <f>AP75/AP5</f>
        <v>#DIV/0!</v>
      </c>
      <c r="AQ76" s="639" t="e">
        <f>AQ75/AQ5</f>
        <v>#DIV/0!</v>
      </c>
      <c r="AR76" s="660" t="e">
        <f>AR75/AR5</f>
        <v>#DIV/0!</v>
      </c>
      <c r="AS76" s="660"/>
      <c r="AT76" s="673"/>
      <c r="AU76" s="639" t="e">
        <f>AU75/AU5</f>
        <v>#DIV/0!</v>
      </c>
      <c r="AV76" s="639" t="e">
        <f>AV75/AV5</f>
        <v>#DIV/0!</v>
      </c>
      <c r="AW76" s="660" t="e">
        <f>AW75/AW5</f>
        <v>#DIV/0!</v>
      </c>
      <c r="AX76" s="660"/>
      <c r="AY76" s="673"/>
      <c r="AZ76" s="639">
        <f>AZ75/AZ5</f>
        <v>0.33180548197723381</v>
      </c>
      <c r="BA76" s="639" t="e">
        <f>BA75/BA5</f>
        <v>#DIV/0!</v>
      </c>
      <c r="BB76" s="660">
        <f>BB75/BB5</f>
        <v>0.22218505399018834</v>
      </c>
      <c r="BC76" s="660"/>
      <c r="BD76" s="660"/>
    </row>
    <row r="77" spans="1:56" s="2" customFormat="1" ht="14.4" customHeight="1" outlineLevel="1" thickBot="1">
      <c r="A77" s="294"/>
      <c r="B77" s="1087" t="s">
        <v>9</v>
      </c>
      <c r="C77" s="1170">
        <f>C78-C79</f>
        <v>0</v>
      </c>
      <c r="D77" s="1170">
        <f>D78-D79</f>
        <v>0</v>
      </c>
      <c r="E77" s="1033">
        <f>E78-E79</f>
        <v>0</v>
      </c>
      <c r="F77" s="1088"/>
      <c r="G77" s="1170">
        <f>G78-G79</f>
        <v>0</v>
      </c>
      <c r="H77" s="1033">
        <f>H78-H79</f>
        <v>0</v>
      </c>
      <c r="I77" s="1170">
        <f>I78-I79</f>
        <v>0</v>
      </c>
      <c r="J77" s="1046"/>
      <c r="K77" s="1071"/>
      <c r="L77" s="1170">
        <f>L78-L79</f>
        <v>0</v>
      </c>
      <c r="M77" s="1170">
        <f>M78-M79</f>
        <v>0</v>
      </c>
      <c r="N77" s="1369">
        <f>N78-N79</f>
        <v>-13652.055823541114</v>
      </c>
      <c r="O77" s="1364"/>
      <c r="P77" s="1380"/>
      <c r="Q77" s="1170">
        <f>Q78-Q79</f>
        <v>0</v>
      </c>
      <c r="R77" s="1170">
        <f>R78-R79</f>
        <v>0</v>
      </c>
      <c r="S77" s="1369">
        <f>S78-S79</f>
        <v>-25768.918201318167</v>
      </c>
      <c r="T77" s="1364"/>
      <c r="U77" s="1380"/>
      <c r="V77" s="1188">
        <f>V78-V79</f>
        <v>0</v>
      </c>
      <c r="W77" s="1188">
        <f>W78-W79</f>
        <v>0</v>
      </c>
      <c r="X77" s="1385">
        <f>X78-X79</f>
        <v>-19899.232149328665</v>
      </c>
      <c r="Y77" s="1386"/>
      <c r="Z77" s="1387"/>
      <c r="AA77" s="1170">
        <f>AA78-AA79</f>
        <v>0</v>
      </c>
      <c r="AB77" s="1170">
        <f>AB78-AB79</f>
        <v>0</v>
      </c>
      <c r="AC77" s="1369">
        <f>AC78-AC79</f>
        <v>-769.51112994350297</v>
      </c>
      <c r="AD77" s="1364"/>
      <c r="AE77" s="1380"/>
      <c r="AF77" s="1170">
        <f>AF78-AF79</f>
        <v>0</v>
      </c>
      <c r="AG77" s="1170">
        <f>AG78-AG79</f>
        <v>0</v>
      </c>
      <c r="AH77" s="1033" t="e">
        <f>AH78-AH79</f>
        <v>#DIV/0!</v>
      </c>
      <c r="AI77" s="1046"/>
      <c r="AJ77" s="1071"/>
      <c r="AK77" s="1170">
        <f>AK78-AK79</f>
        <v>0</v>
      </c>
      <c r="AL77" s="1170">
        <f>AL78-AL79</f>
        <v>0</v>
      </c>
      <c r="AM77" s="1033" t="e">
        <f>AM78-AM79</f>
        <v>#DIV/0!</v>
      </c>
      <c r="AN77" s="1046"/>
      <c r="AO77" s="1071"/>
      <c r="AP77" s="1170">
        <f>AP78-AP79</f>
        <v>0</v>
      </c>
      <c r="AQ77" s="1170">
        <f>AQ78-AQ79</f>
        <v>0</v>
      </c>
      <c r="AR77" s="1033" t="e">
        <f>AR78-AR79</f>
        <v>#DIV/0!</v>
      </c>
      <c r="AS77" s="1046"/>
      <c r="AT77" s="1071"/>
      <c r="AU77" s="1170">
        <f>AU78-AU79</f>
        <v>0</v>
      </c>
      <c r="AV77" s="1170">
        <f>AV78-AV79</f>
        <v>0</v>
      </c>
      <c r="AW77" s="1033" t="e">
        <f>AW78-AW79</f>
        <v>#DIV/0!</v>
      </c>
      <c r="AX77" s="1046" t="e">
        <f>AW77/$AW$89</f>
        <v>#DIV/0!</v>
      </c>
      <c r="AY77" s="1071"/>
      <c r="AZ77" s="1170">
        <f>AZ78-AZ79</f>
        <v>0</v>
      </c>
      <c r="BA77" s="1170">
        <f>BA79</f>
        <v>0</v>
      </c>
      <c r="BB77" s="1033">
        <f>BB78-BB79</f>
        <v>-60089.717304131445</v>
      </c>
      <c r="BC77" s="1046"/>
      <c r="BD77" s="1046"/>
    </row>
    <row r="78" spans="1:56" s="2" customFormat="1" ht="14.4" customHeight="1" outlineLevel="2">
      <c r="A78" s="11"/>
      <c r="B78" s="481" t="s">
        <v>43</v>
      </c>
      <c r="C78" s="483"/>
      <c r="D78" s="564"/>
      <c r="E78" s="1231">
        <f>C78+D78*1.15</f>
        <v>0</v>
      </c>
      <c r="F78" s="984"/>
      <c r="G78" s="1025"/>
      <c r="H78" s="1024"/>
      <c r="I78" s="551">
        <f>G78+H78*1.15</f>
        <v>0</v>
      </c>
      <c r="J78" s="710"/>
      <c r="K78" s="677"/>
      <c r="L78" s="1644"/>
      <c r="M78" s="1432"/>
      <c r="N78" s="1452">
        <f>L78+M78*1.15</f>
        <v>0</v>
      </c>
      <c r="O78" s="1877">
        <f>N78/$N$89</f>
        <v>0</v>
      </c>
      <c r="P78" s="1662"/>
      <c r="Q78" s="1644"/>
      <c r="R78" s="1432"/>
      <c r="S78" s="1452">
        <f>Q78+R78*1.15</f>
        <v>0</v>
      </c>
      <c r="T78" s="1877">
        <f>S78/$N$89</f>
        <v>0</v>
      </c>
      <c r="U78" s="1662"/>
      <c r="V78" s="1772"/>
      <c r="W78" s="1625"/>
      <c r="X78" s="1810">
        <f>V78+W78*1.15</f>
        <v>0</v>
      </c>
      <c r="Y78" s="1878">
        <f>X78/$N$89</f>
        <v>0</v>
      </c>
      <c r="Z78" s="1811"/>
      <c r="AA78" s="1644"/>
      <c r="AB78" s="1432"/>
      <c r="AC78" s="1452">
        <f>AA78+AB78*1.15</f>
        <v>0</v>
      </c>
      <c r="AD78" s="1877">
        <f>AC78/$AC$89</f>
        <v>0</v>
      </c>
      <c r="AE78" s="1662"/>
      <c r="AF78" s="1024"/>
      <c r="AG78" s="1176"/>
      <c r="AH78" s="676">
        <f>AF78+AG78*1.15</f>
        <v>0</v>
      </c>
      <c r="AI78" s="1233">
        <f>AH78/$N$89</f>
        <v>0</v>
      </c>
      <c r="AJ78" s="677"/>
      <c r="AK78" s="1024"/>
      <c r="AL78" s="1176"/>
      <c r="AM78" s="676">
        <f>AK78+AL78*1.15</f>
        <v>0</v>
      </c>
      <c r="AN78" s="1233">
        <f>AM78/$N$89</f>
        <v>0</v>
      </c>
      <c r="AO78" s="677"/>
      <c r="AP78" s="1024"/>
      <c r="AQ78" s="1176"/>
      <c r="AR78" s="676">
        <f>AP78+AQ78*1.15</f>
        <v>0</v>
      </c>
      <c r="AS78" s="1233">
        <f>AR78/$N$89</f>
        <v>0</v>
      </c>
      <c r="AT78" s="677"/>
      <c r="AU78" s="1024"/>
      <c r="AV78" s="1176"/>
      <c r="AW78" s="676">
        <f>AU78+AV78*1.15</f>
        <v>0</v>
      </c>
      <c r="AX78" s="1233" t="e">
        <f>AW78/$AW$89</f>
        <v>#DIV/0!</v>
      </c>
      <c r="AY78" s="677"/>
      <c r="AZ78" s="2051">
        <f>G78+L78+Q78+V78+AA78</f>
        <v>0</v>
      </c>
      <c r="BA78" s="2051">
        <f>H78+M78+R78+W78+AB78</f>
        <v>0</v>
      </c>
      <c r="BB78" s="1178">
        <f>AZ78+BA78*1.15</f>
        <v>0</v>
      </c>
      <c r="BC78" s="676"/>
      <c r="BD78" s="676"/>
    </row>
    <row r="79" spans="1:56" s="2" customFormat="1" ht="14.4" customHeight="1" outlineLevel="2">
      <c r="A79" s="11"/>
      <c r="B79" s="1258" t="s">
        <v>79</v>
      </c>
      <c r="C79" s="1230"/>
      <c r="D79" s="1231"/>
      <c r="E79" s="1231">
        <f>C79+D79*1.15</f>
        <v>0</v>
      </c>
      <c r="F79" s="1236" t="e">
        <f>E79/$E$89</f>
        <v>#DIV/0!</v>
      </c>
      <c r="G79" s="1025"/>
      <c r="H79" s="1024"/>
      <c r="I79" s="1062">
        <v>0</v>
      </c>
      <c r="J79" s="1267"/>
      <c r="K79" s="1277"/>
      <c r="L79" s="1644"/>
      <c r="M79" s="1432"/>
      <c r="N79" s="1480">
        <f>(M8+M41+M50+M54)/(1-'расчет 2024'!E8)*'расчет 2024'!E8</f>
        <v>13652.055823541114</v>
      </c>
      <c r="O79" s="1877">
        <f>N79/$N$89</f>
        <v>2.5582893266809494E-2</v>
      </c>
      <c r="P79" s="1914"/>
      <c r="Q79" s="1644"/>
      <c r="R79" s="1432"/>
      <c r="S79" s="1480">
        <f>(R8+R41+R50+R54)/(1-'расчет 2024'!E8)*'расчет 2024'!E8</f>
        <v>25768.918201318167</v>
      </c>
      <c r="T79" s="1877">
        <f>S79/$S$89</f>
        <v>1.4758978561870344E-2</v>
      </c>
      <c r="U79" s="1914"/>
      <c r="V79" s="1772"/>
      <c r="W79" s="1625">
        <v>0</v>
      </c>
      <c r="X79" s="1765">
        <f>(W8+W41+W50+W54)/(1-'расчет 2024'!E8)*'расчет 2024'!E8</f>
        <v>19899.232149328665</v>
      </c>
      <c r="Y79" s="1878">
        <f>X79/$S$89</f>
        <v>1.1397154447663215E-2</v>
      </c>
      <c r="Z79" s="1915"/>
      <c r="AA79" s="1644"/>
      <c r="AB79" s="1432">
        <v>0</v>
      </c>
      <c r="AC79" s="2033">
        <f>(AB8+AB41+AB50+AB54)/(1-'расчет 2024'!E11)*'расчет 2024'!E11</f>
        <v>769.51112994350297</v>
      </c>
      <c r="AD79" s="1877">
        <f>AC79/$AC$89</f>
        <v>1.1536838804122615E-2</v>
      </c>
      <c r="AE79" s="1914"/>
      <c r="AF79" s="1024"/>
      <c r="AG79" s="1176">
        <v>0</v>
      </c>
      <c r="AH79" s="1178" t="e">
        <v>#DIV/0!</v>
      </c>
      <c r="AI79" s="1233" t="e">
        <f>AH79/$AH$89</f>
        <v>#DIV/0!</v>
      </c>
      <c r="AJ79" s="1277"/>
      <c r="AK79" s="1024"/>
      <c r="AL79" s="1176">
        <v>0</v>
      </c>
      <c r="AM79" s="1178" t="e">
        <v>#DIV/0!</v>
      </c>
      <c r="AN79" s="1233" t="e">
        <f>AM79/$AH$89</f>
        <v>#DIV/0!</v>
      </c>
      <c r="AO79" s="1277"/>
      <c r="AP79" s="1024"/>
      <c r="AQ79" s="1176">
        <v>0</v>
      </c>
      <c r="AR79" s="1178" t="e">
        <v>#DIV/0!</v>
      </c>
      <c r="AS79" s="1233" t="e">
        <f>AR79/$AR$89</f>
        <v>#DIV/0!</v>
      </c>
      <c r="AT79" s="1277"/>
      <c r="AU79" s="1024"/>
      <c r="AV79" s="1176">
        <v>0</v>
      </c>
      <c r="AW79" s="1178" t="e">
        <v>#DIV/0!</v>
      </c>
      <c r="AX79" s="1233" t="e">
        <f>AW79/$AW$89</f>
        <v>#DIV/0!</v>
      </c>
      <c r="AY79" s="1277"/>
      <c r="AZ79" s="2051">
        <f>G79+L79+Q79+V79+AA79</f>
        <v>0</v>
      </c>
      <c r="BA79" s="2051">
        <f>H79+M79+R79+W79+AB79</f>
        <v>0</v>
      </c>
      <c r="BB79" s="1178">
        <f>N79+S79+X79+AC79</f>
        <v>60089.717304131445</v>
      </c>
      <c r="BC79" s="1237"/>
      <c r="BD79" s="1237"/>
    </row>
    <row r="80" spans="1:56" ht="14.4" customHeight="1" outlineLevel="2">
      <c r="A80" s="3"/>
      <c r="B80" s="1281"/>
      <c r="C80" s="1243"/>
      <c r="D80" s="1244"/>
      <c r="E80" s="1245"/>
      <c r="F80" s="1246"/>
      <c r="G80" s="1025"/>
      <c r="H80" s="1024"/>
      <c r="I80" s="1217"/>
      <c r="J80" s="1282"/>
      <c r="K80" s="1283"/>
      <c r="L80" s="1644"/>
      <c r="M80" s="1432"/>
      <c r="N80" s="1894"/>
      <c r="O80" s="1894"/>
      <c r="P80" s="1920"/>
      <c r="Q80" s="1644"/>
      <c r="R80" s="1432"/>
      <c r="S80" s="1894"/>
      <c r="T80" s="1894"/>
      <c r="U80" s="1920"/>
      <c r="V80" s="1772"/>
      <c r="W80" s="1625"/>
      <c r="X80" s="1895"/>
      <c r="Y80" s="1895"/>
      <c r="Z80" s="1921"/>
      <c r="AA80" s="1644"/>
      <c r="AB80" s="1432"/>
      <c r="AC80" s="1894"/>
      <c r="AD80" s="1894">
        <f>AC80/$AC$89</f>
        <v>0</v>
      </c>
      <c r="AE80" s="1920"/>
      <c r="AF80" s="1024"/>
      <c r="AG80" s="1176"/>
      <c r="AH80" s="1247"/>
      <c r="AI80" s="1247"/>
      <c r="AJ80" s="1283"/>
      <c r="AK80" s="1024"/>
      <c r="AL80" s="1176"/>
      <c r="AM80" s="1247"/>
      <c r="AN80" s="1247"/>
      <c r="AO80" s="1283"/>
      <c r="AP80" s="1024"/>
      <c r="AQ80" s="1176"/>
      <c r="AR80" s="1247"/>
      <c r="AS80" s="1247"/>
      <c r="AT80" s="1283"/>
      <c r="AU80" s="1024"/>
      <c r="AV80" s="1176"/>
      <c r="AW80" s="1247"/>
      <c r="AX80" s="1247"/>
      <c r="AY80" s="1283"/>
      <c r="AZ80" s="1176">
        <f>G80+L80+Q80+V80</f>
        <v>0</v>
      </c>
      <c r="BA80" s="1176">
        <f>H80+M80+R80+W80</f>
        <v>0</v>
      </c>
      <c r="BB80" s="1247"/>
      <c r="BC80" s="1247"/>
      <c r="BD80" s="1247"/>
    </row>
    <row r="81" spans="1:56" s="2" customFormat="1" ht="14.4" customHeight="1" outlineLevel="1" thickBot="1">
      <c r="A81" s="26"/>
      <c r="B81" s="1087" t="s">
        <v>12</v>
      </c>
      <c r="C81" s="1170">
        <f>(C75+C78)-C79</f>
        <v>0</v>
      </c>
      <c r="D81" s="1170">
        <f>(D75+D78)-D79</f>
        <v>0</v>
      </c>
      <c r="E81" s="1033">
        <f>(E75+E78)-E79</f>
        <v>0</v>
      </c>
      <c r="F81" s="1088"/>
      <c r="G81" s="1170">
        <f>(G75+G78)-G79</f>
        <v>0</v>
      </c>
      <c r="H81" s="1033">
        <f>(H75+H78)-H79</f>
        <v>0</v>
      </c>
      <c r="I81" s="1170">
        <f>(I75+I78)-I79</f>
        <v>0</v>
      </c>
      <c r="J81" s="1046"/>
      <c r="K81" s="1071"/>
      <c r="L81" s="1170">
        <f>(L75+L78)-L79</f>
        <v>-425725.6</v>
      </c>
      <c r="M81" s="1170">
        <f>(M75+M78)-M79</f>
        <v>-94262.37</v>
      </c>
      <c r="N81" s="1369">
        <f>(N75+N78)-N79</f>
        <v>-533640.0258235411</v>
      </c>
      <c r="O81" s="1364"/>
      <c r="P81" s="1380"/>
      <c r="Q81" s="1170">
        <f>(Q75+Q78)-Q79</f>
        <v>1467684.7540000004</v>
      </c>
      <c r="R81" s="1170">
        <f>(R75+R78)-R79</f>
        <v>-177924.8</v>
      </c>
      <c r="S81" s="1369">
        <f>(S75+S78)-S79</f>
        <v>1263991.0357986821</v>
      </c>
      <c r="T81" s="1364"/>
      <c r="U81" s="1380"/>
      <c r="V81" s="1188">
        <f>(V75+V78)-V79</f>
        <v>275727.07399999991</v>
      </c>
      <c r="W81" s="1188">
        <f>(W75+W78)-W79</f>
        <v>-137396.80000000002</v>
      </c>
      <c r="X81" s="1385">
        <f>(X75+X78)-X79</f>
        <v>118431.04185067129</v>
      </c>
      <c r="Y81" s="1386"/>
      <c r="Z81" s="1387"/>
      <c r="AA81" s="1170">
        <f>(AA75+AA78)-AA79</f>
        <v>-60008.943999999996</v>
      </c>
      <c r="AB81" s="1170">
        <f>(AB75+AB78)-AB79</f>
        <v>-5921.89</v>
      </c>
      <c r="AC81" s="1369">
        <f>(AC75+AC78)-AC79</f>
        <v>-66700.345129943496</v>
      </c>
      <c r="AD81" s="1364">
        <f>AC81/$AC$89</f>
        <v>-1</v>
      </c>
      <c r="AE81" s="1380"/>
      <c r="AF81" s="1170">
        <f>(AF75+AF78)-AF79</f>
        <v>0</v>
      </c>
      <c r="AG81" s="1170">
        <f>(AG75+AG78)-AG79</f>
        <v>0</v>
      </c>
      <c r="AH81" s="1033" t="e">
        <f>(AH75+AH78)-AH79</f>
        <v>#DIV/0!</v>
      </c>
      <c r="AI81" s="1046"/>
      <c r="AJ81" s="1071"/>
      <c r="AK81" s="1170">
        <f>(AK75+AK78)-AK79</f>
        <v>0</v>
      </c>
      <c r="AL81" s="1170">
        <f>(AL75+AL78)-AL79</f>
        <v>0</v>
      </c>
      <c r="AM81" s="1033" t="e">
        <f>(AM75+AM78)-AM79</f>
        <v>#DIV/0!</v>
      </c>
      <c r="AN81" s="1046"/>
      <c r="AO81" s="1071"/>
      <c r="AP81" s="1170">
        <f>(AP75+AP78)-AP79</f>
        <v>0</v>
      </c>
      <c r="AQ81" s="1170">
        <f>(AQ75+AQ78)-AQ79</f>
        <v>0</v>
      </c>
      <c r="AR81" s="1033" t="e">
        <f>(AR75+AR78)-AR79</f>
        <v>#DIV/0!</v>
      </c>
      <c r="AS81" s="1046"/>
      <c r="AT81" s="1071"/>
      <c r="AU81" s="1170">
        <f>(AU75+AU78)-AU79</f>
        <v>0</v>
      </c>
      <c r="AV81" s="1170">
        <f>(AV75+AV78)-AV79</f>
        <v>0</v>
      </c>
      <c r="AW81" s="1033" t="e">
        <f>(AW75+AW78)-AW79</f>
        <v>#DIV/0!</v>
      </c>
      <c r="AX81" s="1046"/>
      <c r="AY81" s="1071"/>
      <c r="AZ81" s="1170">
        <f>(AZ75+AZ78)-AZ79</f>
        <v>1257677.2840000002</v>
      </c>
      <c r="BA81" s="1170">
        <f>(BA75+BA78)-BA79</f>
        <v>-415505.85999999993</v>
      </c>
      <c r="BB81" s="1033">
        <f>(BB75+BB78)-BB79</f>
        <v>782081.70669586898</v>
      </c>
      <c r="BC81" s="1046"/>
      <c r="BD81" s="1046"/>
    </row>
    <row r="82" spans="1:56" s="2" customFormat="1" ht="14.4" customHeight="1" outlineLevel="2">
      <c r="A82" s="293"/>
      <c r="B82" s="481" t="s">
        <v>38</v>
      </c>
      <c r="C82" s="483"/>
      <c r="D82" s="564"/>
      <c r="E82" s="565">
        <f>C82+D82</f>
        <v>0</v>
      </c>
      <c r="F82" s="1236" t="e">
        <f>E82/$E$89</f>
        <v>#DIV/0!</v>
      </c>
      <c r="G82" s="1025"/>
      <c r="H82" s="1024"/>
      <c r="I82" s="482">
        <f>G82+H82</f>
        <v>0</v>
      </c>
      <c r="J82" s="1063"/>
      <c r="K82" s="1072"/>
      <c r="L82" s="1644"/>
      <c r="M82" s="1432"/>
      <c r="N82" s="1515">
        <f>L82+M82</f>
        <v>0</v>
      </c>
      <c r="O82" s="1476"/>
      <c r="P82" s="1590"/>
      <c r="Q82" s="1644"/>
      <c r="R82" s="1432"/>
      <c r="S82" s="1515">
        <f>Q82+R82</f>
        <v>0</v>
      </c>
      <c r="T82" s="1476"/>
      <c r="U82" s="1748"/>
      <c r="V82" s="1772"/>
      <c r="W82" s="1625"/>
      <c r="X82" s="1761">
        <f>V82+W82</f>
        <v>0</v>
      </c>
      <c r="Y82" s="1812"/>
      <c r="Z82" s="1813"/>
      <c r="AA82" s="1644"/>
      <c r="AB82" s="1432"/>
      <c r="AC82" s="1515">
        <f>AA82+AB82</f>
        <v>0</v>
      </c>
      <c r="AD82" s="1476"/>
      <c r="AE82" s="1590"/>
      <c r="AF82" s="1024"/>
      <c r="AG82" s="1176"/>
      <c r="AH82" s="565">
        <f>AF82+AG82</f>
        <v>0</v>
      </c>
      <c r="AI82" s="1047"/>
      <c r="AJ82" s="1021"/>
      <c r="AK82" s="1024"/>
      <c r="AL82" s="1176"/>
      <c r="AM82" s="565">
        <f>AK82+AL82</f>
        <v>0</v>
      </c>
      <c r="AN82" s="1047"/>
      <c r="AO82" s="1021"/>
      <c r="AP82" s="1024"/>
      <c r="AQ82" s="1176"/>
      <c r="AR82" s="565">
        <f>AP82+AQ82</f>
        <v>0</v>
      </c>
      <c r="AS82" s="1047"/>
      <c r="AT82" s="1021"/>
      <c r="AU82" s="1024"/>
      <c r="AV82" s="1176"/>
      <c r="AW82" s="565">
        <f>AU82+AV82</f>
        <v>0</v>
      </c>
      <c r="AX82" s="1047"/>
      <c r="AY82" s="1021"/>
      <c r="AZ82" s="2051">
        <f>G82+L82+Q82+V82+AA82</f>
        <v>0</v>
      </c>
      <c r="BA82" s="2051">
        <f>H82+M82+R82+W82+AB82</f>
        <v>0</v>
      </c>
      <c r="BB82" s="1178">
        <f>I82</f>
        <v>0</v>
      </c>
      <c r="BC82" s="1047"/>
      <c r="BD82" s="1047"/>
    </row>
    <row r="83" spans="1:56" s="2" customFormat="1" ht="14.4" customHeight="1" outlineLevel="1">
      <c r="A83" s="11"/>
      <c r="B83" s="1284" t="s">
        <v>13</v>
      </c>
      <c r="C83" s="1249">
        <f>(C81+C7)-C36</f>
        <v>0</v>
      </c>
      <c r="D83" s="1249">
        <f>(D81+D7)-D36</f>
        <v>0</v>
      </c>
      <c r="E83" s="1249">
        <f>(E81+E7)-E36</f>
        <v>0</v>
      </c>
      <c r="F83" s="1250"/>
      <c r="G83" s="1249">
        <f>(G81+G7)-G36</f>
        <v>0</v>
      </c>
      <c r="H83" s="1251">
        <f>(H81+H7)-H36</f>
        <v>0</v>
      </c>
      <c r="I83" s="1249">
        <f>(I81+I7)-I36</f>
        <v>0</v>
      </c>
      <c r="J83" s="1252"/>
      <c r="K83" s="1285"/>
      <c r="L83" s="1896">
        <f>(L81+L7)-L36</f>
        <v>-425725.6</v>
      </c>
      <c r="M83" s="1896">
        <f>(M81+M7)-M36</f>
        <v>-94262.37</v>
      </c>
      <c r="N83" s="1897">
        <f>(N81+N7)-N36</f>
        <v>-533640.0258235411</v>
      </c>
      <c r="O83" s="1898"/>
      <c r="P83" s="1922"/>
      <c r="Q83" s="1896">
        <f>(Q81+Q7)-Q36</f>
        <v>1467684.7540000004</v>
      </c>
      <c r="R83" s="1896">
        <f>(R81+R7)-R36</f>
        <v>-177924.8</v>
      </c>
      <c r="S83" s="1897">
        <f>(S81+S7)-S36</f>
        <v>1263991.0357986821</v>
      </c>
      <c r="T83" s="1898"/>
      <c r="U83" s="1922"/>
      <c r="V83" s="1900">
        <f>(V81+V7)-V36</f>
        <v>275727.07399999991</v>
      </c>
      <c r="W83" s="1900">
        <f>(W81+W7)-W36</f>
        <v>-137396.80000000002</v>
      </c>
      <c r="X83" s="1901">
        <f>(X81+X7)-X36</f>
        <v>118431.04185067129</v>
      </c>
      <c r="Y83" s="1902"/>
      <c r="Z83" s="1923"/>
      <c r="AA83" s="1896">
        <f>(AA81+AA7)-AA36</f>
        <v>-60008.943999999996</v>
      </c>
      <c r="AB83" s="1896">
        <f>(AB81+AB7)-AB36</f>
        <v>-5921.89</v>
      </c>
      <c r="AC83" s="1897">
        <f>(AC81+AC7)-AC36</f>
        <v>-66700.345129943496</v>
      </c>
      <c r="AD83" s="1898"/>
      <c r="AE83" s="1922"/>
      <c r="AF83" s="1249">
        <f>(AF81+AF7)-AF36</f>
        <v>0</v>
      </c>
      <c r="AG83" s="1249">
        <f>(AG81+AG7)-AG36</f>
        <v>0</v>
      </c>
      <c r="AH83" s="1251" t="e">
        <f>(AH81+AH7)-AH36</f>
        <v>#DIV/0!</v>
      </c>
      <c r="AI83" s="1252"/>
      <c r="AJ83" s="1285"/>
      <c r="AK83" s="1249">
        <f>(AK81+AK7)-AK36</f>
        <v>0</v>
      </c>
      <c r="AL83" s="1249">
        <f>(AL81+AL7)-AL36</f>
        <v>0</v>
      </c>
      <c r="AM83" s="1251" t="e">
        <f>(AM81+AM7)-AM36</f>
        <v>#DIV/0!</v>
      </c>
      <c r="AN83" s="1252"/>
      <c r="AO83" s="1285"/>
      <c r="AP83" s="1249">
        <f>(AP81+AP7)-AP36</f>
        <v>0</v>
      </c>
      <c r="AQ83" s="1249">
        <f>(AQ81+AQ7)-AQ36</f>
        <v>0</v>
      </c>
      <c r="AR83" s="1251" t="e">
        <f>(AR81+AR7)-AR36</f>
        <v>#DIV/0!</v>
      </c>
      <c r="AS83" s="1252"/>
      <c r="AT83" s="1285"/>
      <c r="AU83" s="1249">
        <f>(AU81+AU7)-AU36</f>
        <v>0</v>
      </c>
      <c r="AV83" s="1249">
        <f>(AV81+AV7)-AV36</f>
        <v>0</v>
      </c>
      <c r="AW83" s="1251" t="e">
        <f>(AW81+AW7)-AW36</f>
        <v>#DIV/0!</v>
      </c>
      <c r="AX83" s="1252"/>
      <c r="AY83" s="1285"/>
      <c r="AZ83" s="1249">
        <f>(AZ81)-AZ36</f>
        <v>1257677.2840000002</v>
      </c>
      <c r="BA83" s="1249">
        <f>(BA81)-BA36</f>
        <v>-415505.85999999993</v>
      </c>
      <c r="BB83" s="1251">
        <f>(BB81)-BB36</f>
        <v>782081.70669586898</v>
      </c>
      <c r="BC83" s="1252"/>
      <c r="BD83" s="1252"/>
    </row>
    <row r="84" spans="1:56" s="2" customFormat="1" ht="14.4" customHeight="1" outlineLevel="1" thickBot="1">
      <c r="A84" s="11"/>
      <c r="B84" s="1089" t="s">
        <v>14</v>
      </c>
      <c r="C84" s="1190">
        <f>C83-C73-C82</f>
        <v>0</v>
      </c>
      <c r="D84" s="1190">
        <f>D83-D73-D82</f>
        <v>0</v>
      </c>
      <c r="E84" s="1190">
        <f>E83-E73-E82</f>
        <v>0</v>
      </c>
      <c r="F84" s="1090"/>
      <c r="G84" s="1190">
        <f>G83-G73-G82</f>
        <v>0</v>
      </c>
      <c r="H84" s="1034">
        <f>H83-H73-H82</f>
        <v>0</v>
      </c>
      <c r="I84" s="1190">
        <f>I83-I73-I82</f>
        <v>0</v>
      </c>
      <c r="J84" s="1073"/>
      <c r="K84" s="1074"/>
      <c r="L84" s="1377">
        <f>L83-L73-L82</f>
        <v>-425725.6</v>
      </c>
      <c r="M84" s="1377">
        <f>M83-M73-M82</f>
        <v>-94262.37</v>
      </c>
      <c r="N84" s="1377">
        <f>N83-N73-N82</f>
        <v>-533640.0258235411</v>
      </c>
      <c r="O84" s="1381"/>
      <c r="P84" s="1382"/>
      <c r="Q84" s="1377">
        <f>Q83-Q73-Q82</f>
        <v>1467684.7540000004</v>
      </c>
      <c r="R84" s="1377">
        <f>R83-R73-R82</f>
        <v>-177924.8</v>
      </c>
      <c r="S84" s="1377">
        <f>S83-S73-S82</f>
        <v>1263991.0357986821</v>
      </c>
      <c r="T84" s="1381"/>
      <c r="U84" s="1382"/>
      <c r="V84" s="1388">
        <f>V83-V73-V82</f>
        <v>275727.07399999991</v>
      </c>
      <c r="W84" s="1388">
        <f>W83-W73-W82</f>
        <v>-137396.80000000002</v>
      </c>
      <c r="X84" s="1388">
        <f>X83-X73-X82</f>
        <v>118431.04185067129</v>
      </c>
      <c r="Y84" s="1389"/>
      <c r="Z84" s="1390"/>
      <c r="AA84" s="1377">
        <f>AA83-AA73-AA82</f>
        <v>-60008.943999999996</v>
      </c>
      <c r="AB84" s="1377">
        <f>AB83-AB73-AB82</f>
        <v>-5921.89</v>
      </c>
      <c r="AC84" s="1377">
        <f>AC83-AC73-AC82</f>
        <v>-66700.345129943496</v>
      </c>
      <c r="AD84" s="1381"/>
      <c r="AE84" s="1382"/>
      <c r="AF84" s="1034">
        <f>AF83-AF73-AF82</f>
        <v>0</v>
      </c>
      <c r="AG84" s="1034">
        <f>AG83-AG73-AG82</f>
        <v>0</v>
      </c>
      <c r="AH84" s="1034" t="e">
        <f>AH83-AH73-AH82</f>
        <v>#DIV/0!</v>
      </c>
      <c r="AI84" s="1073"/>
      <c r="AJ84" s="1074"/>
      <c r="AK84" s="1034">
        <f>AK83-AK73-AK82</f>
        <v>0</v>
      </c>
      <c r="AL84" s="1034">
        <f>AL83-AL73-AL82</f>
        <v>0</v>
      </c>
      <c r="AM84" s="1034" t="e">
        <f>AM83-AM73-AM82</f>
        <v>#DIV/0!</v>
      </c>
      <c r="AN84" s="1073"/>
      <c r="AO84" s="1074"/>
      <c r="AP84" s="1034">
        <f>AP83-AP73-AP82</f>
        <v>0</v>
      </c>
      <c r="AQ84" s="1034">
        <f>AQ83-AQ73-AQ82</f>
        <v>0</v>
      </c>
      <c r="AR84" s="1034" t="e">
        <f>AR83-AR73-AR82</f>
        <v>#DIV/0!</v>
      </c>
      <c r="AS84" s="1073"/>
      <c r="AT84" s="1074"/>
      <c r="AU84" s="1034">
        <f>AU83-AU73-AU82</f>
        <v>0</v>
      </c>
      <c r="AV84" s="1034">
        <f>AV83-AV73-AV82</f>
        <v>0</v>
      </c>
      <c r="AW84" s="1034" t="e">
        <f>AW83-AW73-AW82</f>
        <v>#DIV/0!</v>
      </c>
      <c r="AX84" s="1073"/>
      <c r="AY84" s="1074"/>
      <c r="AZ84" s="1034">
        <f>AZ83-AZ73-AZ82</f>
        <v>1257677.2840000002</v>
      </c>
      <c r="BA84" s="1034">
        <f>BA83-BA73-BA82</f>
        <v>-415505.85999999993</v>
      </c>
      <c r="BB84" s="1034">
        <f>BB83-BB73-BB82</f>
        <v>782081.70669586898</v>
      </c>
      <c r="BC84" s="1073"/>
      <c r="BD84" s="1073"/>
    </row>
    <row r="85" spans="1:56" s="2" customFormat="1" ht="14.4" customHeight="1" outlineLevel="3">
      <c r="A85" s="293"/>
      <c r="B85" s="1067" t="s">
        <v>44</v>
      </c>
      <c r="C85" s="1038"/>
      <c r="D85" s="1091"/>
      <c r="E85" s="1092">
        <f>C85+D85</f>
        <v>0</v>
      </c>
      <c r="F85" s="1093" t="e">
        <f>E85/$E$89</f>
        <v>#DIV/0!</v>
      </c>
      <c r="G85" s="1025"/>
      <c r="H85" s="1024"/>
      <c r="I85" s="1062">
        <f>G85+H85*1</f>
        <v>0</v>
      </c>
      <c r="J85" s="1063"/>
      <c r="K85" s="1072"/>
      <c r="L85" s="1644"/>
      <c r="M85" s="1432"/>
      <c r="N85" s="1480">
        <f>L85+M85*1</f>
        <v>0</v>
      </c>
      <c r="O85" s="1476"/>
      <c r="P85" s="1748"/>
      <c r="Q85" s="1644"/>
      <c r="R85" s="1432"/>
      <c r="S85" s="1480">
        <f>Q85+R85*1</f>
        <v>0</v>
      </c>
      <c r="T85" s="1476"/>
      <c r="U85" s="1748"/>
      <c r="V85" s="1772"/>
      <c r="W85" s="1625"/>
      <c r="X85" s="1765">
        <f>V85+W85*1</f>
        <v>0</v>
      </c>
      <c r="Y85" s="1812"/>
      <c r="Z85" s="1813"/>
      <c r="AA85" s="1644"/>
      <c r="AB85" s="1432"/>
      <c r="AC85" s="1480">
        <f>AA85+AB85*1</f>
        <v>0</v>
      </c>
      <c r="AD85" s="1476"/>
      <c r="AE85" s="1748"/>
      <c r="AF85" s="1024"/>
      <c r="AG85" s="1176"/>
      <c r="AH85" s="1178">
        <f>AF85+AG85*1</f>
        <v>0</v>
      </c>
      <c r="AI85" s="1047"/>
      <c r="AJ85" s="1072"/>
      <c r="AK85" s="1024"/>
      <c r="AL85" s="1176"/>
      <c r="AM85" s="1178">
        <f>AK85+AL85*1</f>
        <v>0</v>
      </c>
      <c r="AN85" s="1047"/>
      <c r="AO85" s="1072"/>
      <c r="AP85" s="1024"/>
      <c r="AQ85" s="1176"/>
      <c r="AR85" s="1178">
        <f>AP85+AQ85*1</f>
        <v>0</v>
      </c>
      <c r="AS85" s="1047"/>
      <c r="AT85" s="1072"/>
      <c r="AU85" s="1024"/>
      <c r="AV85" s="1176"/>
      <c r="AW85" s="1178">
        <f>AU85+AV85*1</f>
        <v>0</v>
      </c>
      <c r="AX85" s="1047"/>
      <c r="AY85" s="1072"/>
      <c r="AZ85" s="2051">
        <f>G85+L85+Q85+V85+AA85</f>
        <v>0</v>
      </c>
      <c r="BA85" s="2051">
        <f>H85+M85+R85+W85+AB85</f>
        <v>0</v>
      </c>
      <c r="BB85" s="1178">
        <f>AZ85+BA85*1.15</f>
        <v>0</v>
      </c>
      <c r="BC85" s="1047"/>
      <c r="BD85" s="1047"/>
    </row>
    <row r="86" spans="1:56" s="2" customFormat="1" ht="14.4" customHeight="1">
      <c r="A86" s="11"/>
      <c r="B86" s="1286" t="s">
        <v>50</v>
      </c>
      <c r="C86" s="1254">
        <f>C84-C85</f>
        <v>0</v>
      </c>
      <c r="D86" s="1254">
        <f>D84-D85</f>
        <v>0</v>
      </c>
      <c r="E86" s="1255">
        <f>E84-E85</f>
        <v>0</v>
      </c>
      <c r="F86" s="1256"/>
      <c r="G86" s="1254">
        <f>G84-G85</f>
        <v>0</v>
      </c>
      <c r="H86" s="1255">
        <f>H84-H85</f>
        <v>0</v>
      </c>
      <c r="I86" s="1254">
        <f>I84-I85</f>
        <v>0</v>
      </c>
      <c r="J86" s="1257"/>
      <c r="K86" s="1285"/>
      <c r="L86" s="1903">
        <f>L84-L85</f>
        <v>-425725.6</v>
      </c>
      <c r="M86" s="1903">
        <f>M84-M85</f>
        <v>-94262.37</v>
      </c>
      <c r="N86" s="1903">
        <f>N84-N85</f>
        <v>-533640.0258235411</v>
      </c>
      <c r="O86" s="1904"/>
      <c r="P86" s="1922"/>
      <c r="Q86" s="1903">
        <f>Q84-Q85</f>
        <v>1467684.7540000004</v>
      </c>
      <c r="R86" s="1903">
        <f>R84-R85</f>
        <v>-177924.8</v>
      </c>
      <c r="S86" s="1903">
        <f>S84-S85</f>
        <v>1263991.0357986821</v>
      </c>
      <c r="T86" s="1904"/>
      <c r="U86" s="1922"/>
      <c r="V86" s="1901">
        <f>V84-V85</f>
        <v>275727.07399999991</v>
      </c>
      <c r="W86" s="1901">
        <f>W84-W85</f>
        <v>-137396.80000000002</v>
      </c>
      <c r="X86" s="1901">
        <f>X84-X85</f>
        <v>118431.04185067129</v>
      </c>
      <c r="Y86" s="1902"/>
      <c r="Z86" s="1923"/>
      <c r="AA86" s="1903">
        <f>AA84-AA85</f>
        <v>-60008.943999999996</v>
      </c>
      <c r="AB86" s="1903">
        <f>AB84-AB85</f>
        <v>-5921.89</v>
      </c>
      <c r="AC86" s="1903">
        <f>AC84-AC85</f>
        <v>-66700.345129943496</v>
      </c>
      <c r="AD86" s="1904"/>
      <c r="AE86" s="1922"/>
      <c r="AF86" s="1255">
        <f>AF84-AF85</f>
        <v>0</v>
      </c>
      <c r="AG86" s="1255">
        <f>AG84-AG85</f>
        <v>0</v>
      </c>
      <c r="AH86" s="1255" t="e">
        <f>AH84-AH85</f>
        <v>#DIV/0!</v>
      </c>
      <c r="AI86" s="1257"/>
      <c r="AJ86" s="1285"/>
      <c r="AK86" s="1255">
        <f>AK84-AK85</f>
        <v>0</v>
      </c>
      <c r="AL86" s="1255">
        <f>AL84-AL85</f>
        <v>0</v>
      </c>
      <c r="AM86" s="1255" t="e">
        <f>AM84-AM85</f>
        <v>#DIV/0!</v>
      </c>
      <c r="AN86" s="1257"/>
      <c r="AO86" s="1285"/>
      <c r="AP86" s="1255">
        <f>AP84-AP85</f>
        <v>0</v>
      </c>
      <c r="AQ86" s="1255">
        <f>AQ84-AQ85</f>
        <v>0</v>
      </c>
      <c r="AR86" s="1255" t="e">
        <f>AR84-AR85</f>
        <v>#DIV/0!</v>
      </c>
      <c r="AS86" s="1257"/>
      <c r="AT86" s="1285"/>
      <c r="AU86" s="1255">
        <f>AU84-AU85</f>
        <v>0</v>
      </c>
      <c r="AV86" s="1255">
        <f>AV84-AV85</f>
        <v>0</v>
      </c>
      <c r="AW86" s="1255" t="e">
        <f>AW84-AW85</f>
        <v>#DIV/0!</v>
      </c>
      <c r="AX86" s="1257"/>
      <c r="AY86" s="1285"/>
      <c r="AZ86" s="1255">
        <f>AZ84-AZ85</f>
        <v>1257677.2840000002</v>
      </c>
      <c r="BA86" s="1255">
        <f>BA84-BA85</f>
        <v>-415505.85999999993</v>
      </c>
      <c r="BB86" s="1255">
        <f>BB84-BB85</f>
        <v>782081.70669586898</v>
      </c>
      <c r="BC86" s="1257"/>
      <c r="BD86" s="1257"/>
    </row>
    <row r="87" spans="1:56" s="2" customFormat="1" ht="14.4" customHeight="1" thickBot="1">
      <c r="A87" s="295"/>
      <c r="B87" s="1094" t="s">
        <v>51</v>
      </c>
      <c r="C87" s="1171" t="e">
        <f>C86/C5</f>
        <v>#DIV/0!</v>
      </c>
      <c r="D87" s="1172" t="e">
        <f>D86/D5</f>
        <v>#DIV/0!</v>
      </c>
      <c r="E87" s="1035" t="e">
        <f>E86/E5</f>
        <v>#DIV/0!</v>
      </c>
      <c r="F87" s="1095"/>
      <c r="G87" s="1171" t="e">
        <f>G86/G5</f>
        <v>#DIV/0!</v>
      </c>
      <c r="H87" s="1096" t="e">
        <f>H86/H5</f>
        <v>#DIV/0!</v>
      </c>
      <c r="I87" s="1171" t="e">
        <f>I86/I5</f>
        <v>#DIV/0!</v>
      </c>
      <c r="J87" s="1048"/>
      <c r="K87" s="1075"/>
      <c r="L87" s="1171" t="e">
        <f>L86/L5</f>
        <v>#DIV/0!</v>
      </c>
      <c r="M87" s="1172" t="e">
        <f>M86/M5</f>
        <v>#DIV/0!</v>
      </c>
      <c r="N87" s="1370" t="e">
        <f>N86/N5</f>
        <v>#DIV/0!</v>
      </c>
      <c r="O87" s="1365"/>
      <c r="P87" s="1383"/>
      <c r="Q87" s="1171">
        <f>Q86/Q5</f>
        <v>0.48760719633305222</v>
      </c>
      <c r="R87" s="1172" t="e">
        <f>R86/R5</f>
        <v>#DIV/0!</v>
      </c>
      <c r="S87" s="1370">
        <f>S86/S5</f>
        <v>0.41993426958764052</v>
      </c>
      <c r="T87" s="1365"/>
      <c r="U87" s="1383"/>
      <c r="V87" s="1193">
        <f>V86/V5</f>
        <v>0.35330064245840287</v>
      </c>
      <c r="W87" s="1194" t="e">
        <f>W86/W5</f>
        <v>#DIV/0!</v>
      </c>
      <c r="X87" s="1391">
        <f>X86/X5</f>
        <v>0.15175065170734806</v>
      </c>
      <c r="Y87" s="1392"/>
      <c r="Z87" s="1393"/>
      <c r="AA87" s="1171" t="e">
        <f>AA86/AA5</f>
        <v>#DIV/0!</v>
      </c>
      <c r="AB87" s="1172" t="e">
        <f>AB86/AB5</f>
        <v>#DIV/0!</v>
      </c>
      <c r="AC87" s="1370" t="e">
        <f>AC86/AC5</f>
        <v>#DIV/0!</v>
      </c>
      <c r="AD87" s="1365"/>
      <c r="AE87" s="1383"/>
      <c r="AF87" s="1171" t="e">
        <f>AF86/AF5</f>
        <v>#DIV/0!</v>
      </c>
      <c r="AG87" s="1172" t="e">
        <f>AG86/AG5</f>
        <v>#DIV/0!</v>
      </c>
      <c r="AH87" s="1035" t="e">
        <f>AH86/AH5</f>
        <v>#DIV/0!</v>
      </c>
      <c r="AI87" s="1048"/>
      <c r="AJ87" s="1075"/>
      <c r="AK87" s="1171" t="e">
        <f>AK86/AK5</f>
        <v>#DIV/0!</v>
      </c>
      <c r="AL87" s="1172" t="e">
        <f>AL86/AL5</f>
        <v>#DIV/0!</v>
      </c>
      <c r="AM87" s="1035" t="e">
        <f>AM86/AM5</f>
        <v>#DIV/0!</v>
      </c>
      <c r="AN87" s="1048"/>
      <c r="AO87" s="1075"/>
      <c r="AP87" s="1171" t="e">
        <f>AP86/AP5</f>
        <v>#DIV/0!</v>
      </c>
      <c r="AQ87" s="1172" t="e">
        <f>AQ86/AQ5</f>
        <v>#DIV/0!</v>
      </c>
      <c r="AR87" s="1035" t="e">
        <f>AR86/AR5</f>
        <v>#DIV/0!</v>
      </c>
      <c r="AS87" s="1048"/>
      <c r="AT87" s="1075"/>
      <c r="AU87" s="1171" t="e">
        <f>AU86/AU5</f>
        <v>#DIV/0!</v>
      </c>
      <c r="AV87" s="1172" t="e">
        <f>AV86/AV5</f>
        <v>#DIV/0!</v>
      </c>
      <c r="AW87" s="1035" t="e">
        <f>AW86/AW5</f>
        <v>#DIV/0!</v>
      </c>
      <c r="AX87" s="1048"/>
      <c r="AY87" s="1075"/>
      <c r="AZ87" s="1171">
        <f>AZ86/AZ5</f>
        <v>0.33180548197723381</v>
      </c>
      <c r="BA87" s="1172" t="e">
        <f>BA86/BA5</f>
        <v>#DIV/0!</v>
      </c>
      <c r="BB87" s="1035">
        <f>BB86/BB5</f>
        <v>0.20633194296908394</v>
      </c>
      <c r="BC87" s="1048"/>
      <c r="BD87" s="1048"/>
    </row>
    <row r="88" spans="1:56" ht="13.8">
      <c r="A88" s="30"/>
      <c r="B88" s="30"/>
      <c r="C88" s="152"/>
      <c r="D88" s="152"/>
      <c r="E88" s="152"/>
      <c r="F88" s="188"/>
      <c r="G88" s="76"/>
      <c r="H88" s="76"/>
      <c r="I88" s="76"/>
      <c r="J88" s="76"/>
      <c r="K88" s="423"/>
      <c r="L88" s="1458"/>
      <c r="M88" s="1458"/>
      <c r="N88" s="1458"/>
      <c r="O88" s="1458"/>
      <c r="P88" s="1605"/>
      <c r="Q88" s="1458"/>
      <c r="R88" s="1458"/>
      <c r="S88" s="1458"/>
      <c r="T88" s="1458"/>
      <c r="U88" s="1605"/>
      <c r="V88" s="1458"/>
      <c r="W88" s="1458"/>
      <c r="X88" s="1458"/>
      <c r="Y88" s="1458"/>
      <c r="Z88" s="1611"/>
      <c r="AA88" s="1458"/>
      <c r="AB88" s="1458"/>
      <c r="AC88" s="1458"/>
      <c r="AD88" s="1458"/>
      <c r="AE88" s="1605"/>
      <c r="AF88" s="76"/>
      <c r="AG88" s="76"/>
      <c r="AH88" s="76"/>
      <c r="AI88" s="76"/>
      <c r="AJ88" s="423"/>
      <c r="AK88" s="76"/>
      <c r="AL88" s="76"/>
      <c r="AM88" s="76"/>
      <c r="AN88" s="76"/>
      <c r="AO88" s="423"/>
      <c r="AP88" s="76"/>
      <c r="AQ88" s="76"/>
      <c r="AR88" s="76"/>
      <c r="AS88" s="76"/>
      <c r="AT88" s="423"/>
      <c r="AU88" s="76"/>
      <c r="AV88" s="76"/>
      <c r="AW88" s="76"/>
      <c r="AX88" s="76"/>
      <c r="AY88" s="423"/>
      <c r="AZ88" s="76"/>
      <c r="BA88" s="76"/>
      <c r="BB88" s="76"/>
      <c r="BC88" s="76"/>
      <c r="BD88" s="76"/>
    </row>
    <row r="89" spans="1:56">
      <c r="B89" s="221" t="s">
        <v>56</v>
      </c>
      <c r="C89" s="153"/>
      <c r="D89" s="153"/>
      <c r="E89" s="154">
        <f>E8+E36+E41+E50+E54+E73+E79+E82+E85</f>
        <v>0</v>
      </c>
      <c r="F89" s="189"/>
      <c r="I89" s="154">
        <f>I8+I36+I41+I50+I54+I73+I79+I82+I85</f>
        <v>0</v>
      </c>
      <c r="K89" s="424"/>
      <c r="N89" s="1523">
        <f>N8+N36+N41+N50+N54+N73+N79+N82+N85</f>
        <v>533640.0258235411</v>
      </c>
      <c r="P89" s="1606"/>
      <c r="S89" s="1523">
        <f>S8+S36+S41+S50+S54+S73+S79+S82+S85</f>
        <v>1745982.4942013181</v>
      </c>
      <c r="U89" s="1606"/>
      <c r="X89" s="1819">
        <f>X8+X36+X41+X50+X54+X73+X79+X82+X85</f>
        <v>662000.80814932869</v>
      </c>
      <c r="Z89" s="1607"/>
      <c r="AC89" s="1523">
        <f>AC8+AC36+AC41+AC50+AC54+AC73+AC79+AC82+AC85</f>
        <v>66700.345129943496</v>
      </c>
      <c r="AE89" s="1606"/>
      <c r="AH89" s="154" t="e">
        <f>AH8+AH36+AH41+AH50+AH54+AH73+AH79+AH82+AH85</f>
        <v>#DIV/0!</v>
      </c>
      <c r="AJ89" s="424"/>
      <c r="AM89" s="154" t="e">
        <f>AM8+AM36+AM41+AM50+AM54+AM73+AM79+AM82+AM85</f>
        <v>#DIV/0!</v>
      </c>
      <c r="AO89" s="424"/>
      <c r="AR89" s="154" t="e">
        <f>AR8+AR36+AR41+AR50+AR54+AR73+AR79+AR82+AR85</f>
        <v>#DIV/0!</v>
      </c>
      <c r="AT89" s="424"/>
      <c r="AW89" s="154" t="e">
        <f>AW8+AW36+AW41+AW50+AW54+AW73+AW79+AW82+AW85</f>
        <v>#DIV/0!</v>
      </c>
      <c r="AY89" s="424"/>
      <c r="BB89" s="154">
        <f>BB8+BB36+BB41+BB50+BB54+BB73+BB79+BB82+BB85-BB78</f>
        <v>3008323.6733041313</v>
      </c>
    </row>
    <row r="90" spans="1:56" s="1340" customFormat="1">
      <c r="A90" s="1336"/>
      <c r="B90" s="1336"/>
      <c r="C90" s="1341"/>
      <c r="D90" s="1341"/>
      <c r="E90" s="1341"/>
      <c r="F90" s="1337"/>
      <c r="G90" s="1337"/>
      <c r="H90" s="1337"/>
      <c r="I90" s="1337"/>
      <c r="J90" s="1337"/>
      <c r="K90" s="1338"/>
      <c r="L90" s="1856"/>
      <c r="M90" s="1856"/>
      <c r="N90" s="1856"/>
      <c r="O90" s="1856"/>
      <c r="P90" s="1857"/>
      <c r="Q90" s="1856"/>
      <c r="R90" s="1856"/>
      <c r="S90" s="1856"/>
      <c r="T90" s="1856"/>
      <c r="U90" s="1857"/>
      <c r="V90" s="1856"/>
      <c r="W90" s="1856"/>
      <c r="X90" s="1856"/>
      <c r="Y90" s="1856"/>
      <c r="Z90" s="1857"/>
      <c r="AA90" s="1856"/>
      <c r="AB90" s="1856"/>
      <c r="AC90" s="1856"/>
      <c r="AD90" s="1856"/>
      <c r="AE90" s="1857"/>
      <c r="AF90" s="1337"/>
      <c r="AG90" s="1337"/>
      <c r="AH90" s="1337"/>
      <c r="AI90" s="1337"/>
      <c r="AJ90" s="1338"/>
      <c r="AK90" s="1337"/>
      <c r="AL90" s="1337"/>
      <c r="AM90" s="1337"/>
      <c r="AN90" s="1337"/>
      <c r="AO90" s="1338"/>
      <c r="AP90" s="1337"/>
      <c r="AQ90" s="1337"/>
      <c r="AR90" s="1337"/>
      <c r="AS90" s="1337"/>
      <c r="AT90" s="1338"/>
      <c r="AU90" s="1337"/>
      <c r="AV90" s="1337"/>
      <c r="AW90" s="1337"/>
      <c r="AX90" s="1337"/>
      <c r="AY90" s="1338"/>
      <c r="AZ90" s="1337"/>
      <c r="BA90" s="1337"/>
      <c r="BB90" s="1592" t="b">
        <f>(N89+S89+X89+AC89)=BB89</f>
        <v>1</v>
      </c>
      <c r="BC90" s="1337"/>
      <c r="BD90" s="1337"/>
    </row>
    <row r="91" spans="1:56" s="2" customFormat="1">
      <c r="A91" s="8"/>
      <c r="B91" s="8"/>
      <c r="C91" s="153"/>
      <c r="D91" s="153"/>
      <c r="E91" s="153"/>
      <c r="F91" s="38"/>
      <c r="G91" s="38"/>
      <c r="H91" s="38"/>
      <c r="I91" s="38"/>
      <c r="J91" s="38"/>
      <c r="K91" s="424"/>
      <c r="L91" s="1431"/>
      <c r="M91" s="1431"/>
      <c r="N91" s="1431">
        <f>N5-N89</f>
        <v>-533640.0258235411</v>
      </c>
      <c r="O91" s="1431"/>
      <c r="P91" s="1606"/>
      <c r="Q91" s="1431"/>
      <c r="R91" s="1431"/>
      <c r="S91" s="1431"/>
      <c r="T91" s="1431"/>
      <c r="U91" s="1606"/>
      <c r="V91" s="1586"/>
      <c r="W91" s="1586"/>
      <c r="X91" s="1586"/>
      <c r="Y91" s="1586"/>
      <c r="Z91" s="1607"/>
      <c r="AA91" s="1431"/>
      <c r="AB91" s="1431"/>
      <c r="AC91" s="1431"/>
      <c r="AD91" s="1431"/>
      <c r="AE91" s="1606"/>
      <c r="AF91" s="38"/>
      <c r="AG91" s="38"/>
      <c r="AH91" s="38"/>
      <c r="AI91" s="38"/>
      <c r="AJ91" s="424"/>
      <c r="AK91" s="38"/>
      <c r="AL91" s="38"/>
      <c r="AM91" s="38"/>
      <c r="AN91" s="38"/>
      <c r="AO91" s="424"/>
      <c r="AP91" s="38"/>
      <c r="AQ91" s="38"/>
      <c r="AR91" s="38"/>
      <c r="AS91" s="38"/>
      <c r="AT91" s="424"/>
      <c r="AU91" s="38"/>
      <c r="AV91" s="38"/>
      <c r="AW91" s="38"/>
      <c r="AX91" s="38"/>
      <c r="AY91" s="424"/>
      <c r="AZ91" s="38"/>
      <c r="BA91" s="38"/>
      <c r="BB91" s="38"/>
      <c r="BC91" s="38"/>
      <c r="BD91" s="38"/>
    </row>
    <row r="92" spans="1:56">
      <c r="C92" s="38"/>
      <c r="D92" s="38"/>
      <c r="G92" s="38">
        <f>(G9+G10+G11+G30+G58+G59+G60+G12+G13+G14+G68+G69+G29+G65+G55+G56+G57+G74)</f>
        <v>0</v>
      </c>
      <c r="K92" s="424"/>
      <c r="L92" s="1606"/>
      <c r="M92" s="1606"/>
      <c r="N92" s="1606"/>
      <c r="O92" s="1606"/>
      <c r="P92" s="1606"/>
      <c r="Q92" s="1606"/>
      <c r="R92" s="1606"/>
      <c r="S92" s="1606"/>
      <c r="T92" s="1606"/>
      <c r="U92" s="1606"/>
      <c r="V92" s="1607"/>
      <c r="W92" s="1607"/>
      <c r="X92" s="1607"/>
      <c r="Y92" s="1607"/>
      <c r="Z92" s="1607"/>
      <c r="AA92" s="1606"/>
      <c r="AB92" s="1606"/>
      <c r="AC92" s="1606"/>
      <c r="AD92" s="1606"/>
      <c r="AE92" s="1606"/>
      <c r="AF92" s="424"/>
      <c r="AG92" s="424"/>
      <c r="AH92" s="424"/>
      <c r="AI92" s="424"/>
      <c r="AJ92" s="424"/>
      <c r="AK92" s="424"/>
      <c r="AL92" s="424"/>
      <c r="AM92" s="424"/>
      <c r="AN92" s="424"/>
      <c r="AO92" s="424"/>
      <c r="AP92" s="424"/>
      <c r="AQ92" s="424"/>
      <c r="AR92" s="424"/>
      <c r="AS92" s="424"/>
      <c r="AT92" s="424"/>
      <c r="AU92" s="424"/>
      <c r="AV92" s="424"/>
      <c r="AW92" s="424"/>
      <c r="AX92" s="424"/>
      <c r="AY92" s="424"/>
    </row>
    <row r="93" spans="1:56" s="2" customFormat="1">
      <c r="A93" s="8"/>
      <c r="B93" s="8"/>
      <c r="C93" s="38"/>
      <c r="D93" s="38"/>
      <c r="E93" s="38"/>
      <c r="F93" s="38"/>
      <c r="G93" s="38">
        <f>G92/6</f>
        <v>0</v>
      </c>
      <c r="H93" s="38"/>
      <c r="I93" s="38"/>
      <c r="J93" s="38"/>
      <c r="K93" s="424"/>
      <c r="L93" s="1606"/>
      <c r="M93" s="1606"/>
      <c r="N93" s="1606"/>
      <c r="O93" s="1606"/>
      <c r="P93" s="1606"/>
      <c r="Q93" s="1606"/>
      <c r="R93" s="1606"/>
      <c r="S93" s="1606"/>
      <c r="T93" s="1606"/>
      <c r="U93" s="1606"/>
      <c r="V93" s="1607"/>
      <c r="W93" s="1607"/>
      <c r="X93" s="1607"/>
      <c r="Y93" s="1607"/>
      <c r="Z93" s="1607"/>
      <c r="AA93" s="1606"/>
      <c r="AB93" s="1606"/>
      <c r="AC93" s="1606"/>
      <c r="AD93" s="1606"/>
      <c r="AE93" s="1606"/>
      <c r="AF93" s="424"/>
      <c r="AG93" s="424"/>
      <c r="AH93" s="424"/>
      <c r="AI93" s="424"/>
      <c r="AJ93" s="424"/>
      <c r="AK93" s="424"/>
      <c r="AL93" s="424"/>
      <c r="AM93" s="424"/>
      <c r="AN93" s="424"/>
      <c r="AO93" s="424"/>
      <c r="AP93" s="424"/>
      <c r="AQ93" s="424"/>
      <c r="AR93" s="424"/>
      <c r="AS93" s="424"/>
      <c r="AT93" s="424"/>
      <c r="AU93" s="424"/>
      <c r="AV93" s="424"/>
      <c r="AW93" s="424"/>
      <c r="AX93" s="424"/>
      <c r="AY93" s="424"/>
      <c r="AZ93" s="38"/>
      <c r="BA93" s="38"/>
      <c r="BB93" s="38"/>
      <c r="BC93" s="38"/>
      <c r="BD93" s="38"/>
    </row>
    <row r="94" spans="1:56" s="2" customFormat="1">
      <c r="A94" s="8"/>
      <c r="B94" s="8"/>
      <c r="C94" s="38"/>
      <c r="D94" s="38"/>
      <c r="E94" s="38"/>
      <c r="F94" s="38"/>
      <c r="G94" s="626"/>
      <c r="H94" s="38"/>
      <c r="I94" s="38"/>
      <c r="J94" s="38"/>
      <c r="K94" s="425"/>
      <c r="L94" s="1607"/>
      <c r="M94" s="1607"/>
      <c r="N94" s="1607"/>
      <c r="O94" s="1607"/>
      <c r="P94" s="1607"/>
      <c r="Q94" s="1607"/>
      <c r="R94" s="1607"/>
      <c r="S94" s="1607"/>
      <c r="T94" s="1607"/>
      <c r="U94" s="1607"/>
      <c r="V94" s="1607"/>
      <c r="W94" s="1607"/>
      <c r="X94" s="1607"/>
      <c r="Y94" s="1607"/>
      <c r="Z94" s="1607"/>
      <c r="AA94" s="1607"/>
      <c r="AB94" s="1607"/>
      <c r="AC94" s="1607"/>
      <c r="AD94" s="1607"/>
      <c r="AE94" s="1607"/>
      <c r="AF94" s="425"/>
      <c r="AG94" s="425"/>
      <c r="AH94" s="425"/>
      <c r="AI94" s="425"/>
      <c r="AJ94" s="425"/>
      <c r="AK94" s="425"/>
      <c r="AL94" s="425"/>
      <c r="AM94" s="425"/>
      <c r="AN94" s="425"/>
      <c r="AO94" s="425"/>
      <c r="AP94" s="425"/>
      <c r="AQ94" s="425"/>
      <c r="AR94" s="425"/>
      <c r="AS94" s="425"/>
      <c r="AT94" s="425"/>
      <c r="AU94" s="425"/>
      <c r="AV94" s="425"/>
      <c r="AW94" s="425"/>
      <c r="AX94" s="425"/>
      <c r="AY94" s="425"/>
      <c r="AZ94" s="38"/>
      <c r="BA94" s="38"/>
      <c r="BB94" s="38"/>
      <c r="BC94" s="38"/>
      <c r="BD94" s="38"/>
    </row>
    <row r="95" spans="1:56" s="2" customFormat="1">
      <c r="A95" s="8"/>
      <c r="B95" s="8"/>
      <c r="C95" s="38"/>
      <c r="D95" s="38"/>
      <c r="E95" s="38"/>
      <c r="F95" s="38"/>
      <c r="G95" s="38"/>
      <c r="H95" s="425"/>
      <c r="I95" s="425"/>
      <c r="J95" s="425"/>
      <c r="K95" s="425"/>
      <c r="L95" s="1607"/>
      <c r="M95" s="1607"/>
      <c r="N95" s="1607"/>
      <c r="O95" s="1607"/>
      <c r="P95" s="1607"/>
      <c r="Q95" s="1607"/>
      <c r="R95" s="1607"/>
      <c r="S95" s="1607"/>
      <c r="T95" s="1607"/>
      <c r="U95" s="1607"/>
      <c r="V95" s="1607"/>
      <c r="W95" s="1607"/>
      <c r="X95" s="1607"/>
      <c r="Y95" s="1607"/>
      <c r="Z95" s="1607"/>
      <c r="AA95" s="1607"/>
      <c r="AB95" s="1607"/>
      <c r="AC95" s="1607"/>
      <c r="AD95" s="1607"/>
      <c r="AE95" s="1607"/>
      <c r="AF95" s="425"/>
      <c r="AG95" s="425"/>
      <c r="AH95" s="425"/>
      <c r="AI95" s="425"/>
      <c r="AJ95" s="425"/>
      <c r="AK95" s="425"/>
      <c r="AL95" s="425"/>
      <c r="AM95" s="425"/>
      <c r="AN95" s="425"/>
      <c r="AO95" s="425"/>
      <c r="AP95" s="425"/>
      <c r="AQ95" s="425"/>
      <c r="AR95" s="425"/>
      <c r="AS95" s="425"/>
      <c r="AT95" s="425"/>
      <c r="AU95" s="425"/>
      <c r="AV95" s="425"/>
      <c r="AW95" s="425"/>
      <c r="AX95" s="425"/>
      <c r="AY95" s="425"/>
      <c r="AZ95" s="38"/>
      <c r="BA95" s="38"/>
      <c r="BB95" s="38"/>
      <c r="BC95" s="38"/>
      <c r="BD95" s="38"/>
    </row>
    <row r="96" spans="1:56" s="2" customFormat="1">
      <c r="A96" s="8"/>
      <c r="B96" s="8"/>
      <c r="C96" s="38"/>
      <c r="D96" s="38"/>
      <c r="E96" s="38"/>
      <c r="F96" s="38"/>
      <c r="G96" s="38">
        <f>G6*3%</f>
        <v>0</v>
      </c>
      <c r="H96" s="425"/>
      <c r="I96" s="425"/>
      <c r="J96" s="425"/>
      <c r="K96" s="425"/>
      <c r="L96" s="1607"/>
      <c r="M96" s="1607"/>
      <c r="N96" s="1607"/>
      <c r="O96" s="1607"/>
      <c r="P96" s="1607"/>
      <c r="Q96" s="1607"/>
      <c r="R96" s="1607"/>
      <c r="S96" s="1607"/>
      <c r="T96" s="1607"/>
      <c r="U96" s="1607"/>
      <c r="V96" s="1607"/>
      <c r="W96" s="1607"/>
      <c r="X96" s="1607"/>
      <c r="Y96" s="1607"/>
      <c r="Z96" s="1607"/>
      <c r="AA96" s="1607"/>
      <c r="AB96" s="1607"/>
      <c r="AC96" s="1607"/>
      <c r="AD96" s="1607"/>
      <c r="AE96" s="1607"/>
      <c r="AF96" s="425"/>
      <c r="AG96" s="425"/>
      <c r="AH96" s="425"/>
      <c r="AI96" s="425"/>
      <c r="AJ96" s="425"/>
      <c r="AK96" s="425"/>
      <c r="AL96" s="425"/>
      <c r="AM96" s="425"/>
      <c r="AN96" s="425"/>
      <c r="AO96" s="425"/>
      <c r="AP96" s="425"/>
      <c r="AQ96" s="425"/>
      <c r="AR96" s="425"/>
      <c r="AS96" s="425"/>
      <c r="AT96" s="425"/>
      <c r="AU96" s="425"/>
      <c r="AV96" s="425"/>
      <c r="AW96" s="425"/>
      <c r="AX96" s="425"/>
      <c r="AY96" s="425"/>
      <c r="AZ96" s="38"/>
      <c r="BA96" s="38"/>
      <c r="BB96" s="38"/>
      <c r="BC96" s="38"/>
      <c r="BD96" s="38"/>
    </row>
    <row r="97" spans="1:56">
      <c r="C97" s="38"/>
      <c r="D97" s="38"/>
      <c r="G97" s="425"/>
      <c r="H97" s="425"/>
      <c r="I97" s="425"/>
      <c r="J97" s="425"/>
      <c r="K97" s="425"/>
      <c r="L97" s="1607"/>
      <c r="M97" s="1607"/>
      <c r="N97" s="1607"/>
      <c r="O97" s="1607"/>
      <c r="P97" s="1607"/>
      <c r="Q97" s="1607"/>
      <c r="R97" s="1607"/>
      <c r="S97" s="1607"/>
      <c r="T97" s="1607"/>
      <c r="U97" s="1607"/>
      <c r="V97" s="1607"/>
      <c r="W97" s="1607"/>
      <c r="X97" s="1607"/>
      <c r="Y97" s="1607"/>
      <c r="Z97" s="1607"/>
      <c r="AA97" s="1607"/>
      <c r="AB97" s="1607"/>
      <c r="AC97" s="1607"/>
      <c r="AD97" s="1607"/>
      <c r="AE97" s="1607"/>
      <c r="AF97" s="425"/>
      <c r="AG97" s="425"/>
      <c r="AH97" s="425"/>
      <c r="AI97" s="425"/>
      <c r="AJ97" s="425"/>
      <c r="AK97" s="425"/>
      <c r="AL97" s="425"/>
      <c r="AM97" s="425"/>
      <c r="AN97" s="425"/>
      <c r="AO97" s="425"/>
      <c r="AP97" s="425"/>
      <c r="AQ97" s="425"/>
      <c r="AR97" s="425"/>
      <c r="AS97" s="425"/>
      <c r="AT97" s="425"/>
      <c r="AU97" s="425"/>
      <c r="AV97" s="425"/>
      <c r="AW97" s="425"/>
      <c r="AX97" s="425"/>
      <c r="AY97" s="425"/>
    </row>
    <row r="98" spans="1:56" s="2" customFormat="1">
      <c r="A98" s="8"/>
      <c r="B98" s="8"/>
      <c r="C98" s="38"/>
      <c r="D98" s="38"/>
      <c r="E98" s="38"/>
      <c r="F98" s="38"/>
      <c r="G98" s="38"/>
      <c r="H98" s="38"/>
      <c r="I98" s="38"/>
      <c r="J98" s="38"/>
      <c r="K98" s="38"/>
      <c r="L98" s="1431"/>
      <c r="M98" s="1431"/>
      <c r="N98" s="1431"/>
      <c r="O98" s="1431"/>
      <c r="P98" s="1431"/>
      <c r="Q98" s="1431"/>
      <c r="R98" s="1431"/>
      <c r="S98" s="1431"/>
      <c r="T98" s="1431"/>
      <c r="U98" s="1431"/>
      <c r="V98" s="1586"/>
      <c r="W98" s="1586"/>
      <c r="X98" s="1586"/>
      <c r="Y98" s="1586"/>
      <c r="Z98" s="1586"/>
      <c r="AA98" s="1431"/>
      <c r="AB98" s="1431"/>
      <c r="AC98" s="1431"/>
      <c r="AD98" s="1431"/>
      <c r="AE98" s="1431"/>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row>
    <row r="99" spans="1:56">
      <c r="C99" s="38"/>
      <c r="D99" s="38"/>
    </row>
  </sheetData>
  <mergeCells count="13">
    <mergeCell ref="AK2:AO3"/>
    <mergeCell ref="AP2:AT3"/>
    <mergeCell ref="AU2:AY3"/>
    <mergeCell ref="AZ2:BD3"/>
    <mergeCell ref="A3:F3"/>
    <mergeCell ref="AA2:AE3"/>
    <mergeCell ref="AF2:AJ3"/>
    <mergeCell ref="A42:A48"/>
    <mergeCell ref="G2:J3"/>
    <mergeCell ref="L2:P3"/>
    <mergeCell ref="Q2:U3"/>
    <mergeCell ref="V2:Z3"/>
    <mergeCell ref="A2:F2"/>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177D7"/>
  </sheetPr>
  <dimension ref="A1:BN99"/>
  <sheetViews>
    <sheetView showZeros="0" zoomScale="70" zoomScaleNormal="70" zoomScaleSheetLayoutView="70" workbookViewId="0">
      <pane xSplit="6" ySplit="5" topLeftCell="BA30"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2"/>
  <cols>
    <col min="1" max="1" width="5.5546875" style="8" customWidth="1"/>
    <col min="2" max="2" width="55" style="8" customWidth="1"/>
    <col min="3" max="3" width="16.44140625" style="77" hidden="1" customWidth="1" outlineLevel="1"/>
    <col min="4" max="4" width="16.6640625" style="77" hidden="1" customWidth="1" outlineLevel="1"/>
    <col min="5" max="5" width="16.33203125" style="38" hidden="1" customWidth="1" outlineLevel="1"/>
    <col min="6" max="6" width="9.5546875" style="38" hidden="1" customWidth="1" outlineLevel="1"/>
    <col min="7" max="7" width="13.5546875" style="38" hidden="1" customWidth="1" outlineLevel="2"/>
    <col min="8" max="8" width="13.88671875" style="38" hidden="1" customWidth="1" outlineLevel="2"/>
    <col min="9" max="9" width="13.5546875" style="38" hidden="1" customWidth="1" outlineLevel="2"/>
    <col min="10" max="11" width="9.5546875" style="38" hidden="1" customWidth="1" outlineLevel="2"/>
    <col min="12" max="12" width="15.33203125" style="38" hidden="1" customWidth="1" outlineLevel="2"/>
    <col min="13" max="13" width="14.109375" style="38" hidden="1" customWidth="1" outlineLevel="2"/>
    <col min="14" max="14" width="18.109375" style="38" hidden="1" customWidth="1" outlineLevel="2"/>
    <col min="15" max="15" width="11.6640625" style="38" hidden="1" customWidth="1" outlineLevel="2"/>
    <col min="16" max="16" width="49.88671875" style="38" hidden="1" customWidth="1" outlineLevel="2"/>
    <col min="17" max="17" width="15.33203125" style="38" hidden="1" customWidth="1" outlineLevel="2"/>
    <col min="18" max="18" width="14.109375" style="38" hidden="1" customWidth="1" outlineLevel="2"/>
    <col min="19" max="19" width="18.109375" style="38" hidden="1" customWidth="1" outlineLevel="2"/>
    <col min="20" max="20" width="11.6640625" style="38" hidden="1" customWidth="1" outlineLevel="2"/>
    <col min="21" max="21" width="49.88671875" style="38" hidden="1" customWidth="1" outlineLevel="2"/>
    <col min="22" max="22" width="19.44140625" style="38" hidden="1" customWidth="1" outlineLevel="2"/>
    <col min="23" max="23" width="16.6640625" style="38" hidden="1" customWidth="1" outlineLevel="2"/>
    <col min="24" max="24" width="17.6640625" style="38" hidden="1" customWidth="1" outlineLevel="2"/>
    <col min="25" max="25" width="12.5546875" style="38" hidden="1" customWidth="1" outlineLevel="2"/>
    <col min="26" max="26" width="47.44140625" style="38" hidden="1" customWidth="1" outlineLevel="2"/>
    <col min="27" max="27" width="15.6640625" style="38" hidden="1" customWidth="1" outlineLevel="2" collapsed="1"/>
    <col min="28" max="30" width="15.6640625" style="38" hidden="1" customWidth="1" outlineLevel="2"/>
    <col min="31" max="31" width="23.44140625" style="38" hidden="1" customWidth="1" outlineLevel="2"/>
    <col min="32" max="32" width="15.6640625" style="1431" hidden="1" customWidth="1" outlineLevel="2" collapsed="1"/>
    <col min="33" max="35" width="15.6640625" style="1431" hidden="1" customWidth="1" outlineLevel="2"/>
    <col min="36" max="36" width="22.33203125" style="1431" hidden="1" customWidth="1" outlineLevel="2"/>
    <col min="37" max="37" width="15.6640625" style="1431" hidden="1" customWidth="1" outlineLevel="2" collapsed="1"/>
    <col min="38" max="40" width="15.6640625" style="1431" hidden="1" customWidth="1" outlineLevel="2"/>
    <col min="41" max="41" width="31.5546875" style="1431" hidden="1" customWidth="1" outlineLevel="2"/>
    <col min="42" max="45" width="15.6640625" style="1586" hidden="1" customWidth="1" outlineLevel="2"/>
    <col min="46" max="46" width="50.6640625" style="1586" hidden="1" customWidth="1" outlineLevel="2"/>
    <col min="47" max="51" width="15.6640625" style="1431" hidden="1" customWidth="1" outlineLevel="2"/>
    <col min="52" max="61" width="15.6640625" style="38" hidden="1" customWidth="1" outlineLevel="1"/>
    <col min="62" max="62" width="15.6640625" style="38" customWidth="1" collapsed="1"/>
    <col min="63" max="66" width="15.6640625" style="38" customWidth="1"/>
    <col min="67" max="16384" width="7.44140625" style="1"/>
  </cols>
  <sheetData>
    <row r="1" spans="1:66" ht="13.8" thickBot="1">
      <c r="C1" s="38"/>
      <c r="D1" s="38"/>
    </row>
    <row r="2" spans="1:66" ht="22.2" customHeight="1">
      <c r="A2" s="4834" t="s">
        <v>954</v>
      </c>
      <c r="B2" s="4835"/>
      <c r="C2" s="4835"/>
      <c r="D2" s="4835"/>
      <c r="E2" s="4835"/>
      <c r="F2" s="4836"/>
      <c r="G2" s="4967" t="s">
        <v>969</v>
      </c>
      <c r="H2" s="4968"/>
      <c r="I2" s="4968"/>
      <c r="J2" s="4968"/>
      <c r="K2" s="4969"/>
      <c r="L2" s="4973" t="s">
        <v>964</v>
      </c>
      <c r="M2" s="4974"/>
      <c r="N2" s="4974"/>
      <c r="O2" s="4974"/>
      <c r="P2" s="4975"/>
      <c r="Q2" s="4892" t="s">
        <v>1006</v>
      </c>
      <c r="R2" s="4893"/>
      <c r="S2" s="4893"/>
      <c r="T2" s="4893"/>
      <c r="U2" s="4894"/>
      <c r="V2" s="4892" t="s">
        <v>1062</v>
      </c>
      <c r="W2" s="4893"/>
      <c r="X2" s="4893"/>
      <c r="Y2" s="4893"/>
      <c r="Z2" s="4894"/>
      <c r="AA2" s="4910" t="s">
        <v>1066</v>
      </c>
      <c r="AB2" s="4911"/>
      <c r="AC2" s="4911"/>
      <c r="AD2" s="4911"/>
      <c r="AE2" s="4912"/>
      <c r="AF2" s="4955" t="s">
        <v>1107</v>
      </c>
      <c r="AG2" s="4956"/>
      <c r="AH2" s="4956"/>
      <c r="AI2" s="4956"/>
      <c r="AJ2" s="4957"/>
      <c r="AK2" s="4934" t="s">
        <v>1155</v>
      </c>
      <c r="AL2" s="4935"/>
      <c r="AM2" s="4935"/>
      <c r="AN2" s="4935"/>
      <c r="AO2" s="4936"/>
      <c r="AP2" s="4961" t="s">
        <v>1193</v>
      </c>
      <c r="AQ2" s="4962"/>
      <c r="AR2" s="4962"/>
      <c r="AS2" s="4962"/>
      <c r="AT2" s="4963"/>
      <c r="AU2" s="4910" t="s">
        <v>1232</v>
      </c>
      <c r="AV2" s="4911"/>
      <c r="AW2" s="4911"/>
      <c r="AX2" s="4911"/>
      <c r="AY2" s="4912"/>
      <c r="AZ2" s="4910"/>
      <c r="BA2" s="4911"/>
      <c r="BB2" s="4911"/>
      <c r="BC2" s="4911"/>
      <c r="BD2" s="4912"/>
      <c r="BE2" s="4910"/>
      <c r="BF2" s="4911"/>
      <c r="BG2" s="4911"/>
      <c r="BH2" s="4911"/>
      <c r="BI2" s="4912"/>
      <c r="BJ2" s="4874" t="s">
        <v>469</v>
      </c>
      <c r="BK2" s="4875"/>
      <c r="BL2" s="4875"/>
      <c r="BM2" s="4875"/>
      <c r="BN2" s="4876"/>
    </row>
    <row r="3" spans="1:66" ht="14.4" customHeight="1" thickBot="1">
      <c r="A3" s="4853" t="s">
        <v>54</v>
      </c>
      <c r="B3" s="4854"/>
      <c r="C3" s="4854"/>
      <c r="D3" s="4854"/>
      <c r="E3" s="4854"/>
      <c r="F3" s="4855"/>
      <c r="G3" s="4970"/>
      <c r="H3" s="4971"/>
      <c r="I3" s="4971"/>
      <c r="J3" s="4971"/>
      <c r="K3" s="4972"/>
      <c r="L3" s="4976"/>
      <c r="M3" s="4977"/>
      <c r="N3" s="4977"/>
      <c r="O3" s="4977"/>
      <c r="P3" s="4978"/>
      <c r="Q3" s="4895"/>
      <c r="R3" s="4896"/>
      <c r="S3" s="4896"/>
      <c r="T3" s="4896"/>
      <c r="U3" s="4897"/>
      <c r="V3" s="4895"/>
      <c r="W3" s="4896"/>
      <c r="X3" s="4896"/>
      <c r="Y3" s="4896"/>
      <c r="Z3" s="4897"/>
      <c r="AA3" s="4913"/>
      <c r="AB3" s="4914"/>
      <c r="AC3" s="4914"/>
      <c r="AD3" s="4914"/>
      <c r="AE3" s="4915"/>
      <c r="AF3" s="4958"/>
      <c r="AG3" s="4959"/>
      <c r="AH3" s="4959"/>
      <c r="AI3" s="4959"/>
      <c r="AJ3" s="4960"/>
      <c r="AK3" s="4937"/>
      <c r="AL3" s="4938"/>
      <c r="AM3" s="4938"/>
      <c r="AN3" s="4938"/>
      <c r="AO3" s="4939"/>
      <c r="AP3" s="4964"/>
      <c r="AQ3" s="4965"/>
      <c r="AR3" s="4965"/>
      <c r="AS3" s="4965"/>
      <c r="AT3" s="4966"/>
      <c r="AU3" s="4913"/>
      <c r="AV3" s="4914"/>
      <c r="AW3" s="4914"/>
      <c r="AX3" s="4914"/>
      <c r="AY3" s="4915"/>
      <c r="AZ3" s="4913"/>
      <c r="BA3" s="4914"/>
      <c r="BB3" s="4914"/>
      <c r="BC3" s="4914"/>
      <c r="BD3" s="4915"/>
      <c r="BE3" s="4913"/>
      <c r="BF3" s="4914"/>
      <c r="BG3" s="4914"/>
      <c r="BH3" s="4914"/>
      <c r="BI3" s="4915"/>
      <c r="BJ3" s="4877"/>
      <c r="BK3" s="4878"/>
      <c r="BL3" s="4878"/>
      <c r="BM3" s="4878"/>
      <c r="BN3" s="4879"/>
    </row>
    <row r="4" spans="1:66" ht="41.4" thickBot="1">
      <c r="A4" s="724"/>
      <c r="B4" s="93" t="s">
        <v>11</v>
      </c>
      <c r="C4" s="725" t="s">
        <v>55</v>
      </c>
      <c r="D4" s="725" t="s">
        <v>18</v>
      </c>
      <c r="E4" s="726" t="s">
        <v>39</v>
      </c>
      <c r="F4" s="654" t="s">
        <v>40</v>
      </c>
      <c r="G4" s="954" t="s">
        <v>968</v>
      </c>
      <c r="H4" s="954" t="s">
        <v>18</v>
      </c>
      <c r="I4" s="954" t="s">
        <v>39</v>
      </c>
      <c r="J4" s="954" t="s">
        <v>40</v>
      </c>
      <c r="K4" s="954" t="s">
        <v>19</v>
      </c>
      <c r="L4" s="632" t="s">
        <v>55</v>
      </c>
      <c r="M4" s="632" t="s">
        <v>18</v>
      </c>
      <c r="N4" s="653" t="s">
        <v>39</v>
      </c>
      <c r="O4" s="654" t="s">
        <v>40</v>
      </c>
      <c r="P4" s="653" t="s">
        <v>19</v>
      </c>
      <c r="Q4" s="632" t="s">
        <v>55</v>
      </c>
      <c r="R4" s="632" t="s">
        <v>18</v>
      </c>
      <c r="S4" s="653" t="s">
        <v>39</v>
      </c>
      <c r="T4" s="654" t="s">
        <v>40</v>
      </c>
      <c r="U4" s="653" t="s">
        <v>19</v>
      </c>
      <c r="V4" s="632" t="s">
        <v>55</v>
      </c>
      <c r="W4" s="632" t="s">
        <v>18</v>
      </c>
      <c r="X4" s="653" t="s">
        <v>39</v>
      </c>
      <c r="Y4" s="654" t="s">
        <v>40</v>
      </c>
      <c r="Z4" s="653" t="s">
        <v>19</v>
      </c>
      <c r="AA4" s="632" t="s">
        <v>55</v>
      </c>
      <c r="AB4" s="632" t="s">
        <v>18</v>
      </c>
      <c r="AC4" s="653" t="s">
        <v>39</v>
      </c>
      <c r="AD4" s="654" t="s">
        <v>40</v>
      </c>
      <c r="AE4" s="653" t="s">
        <v>19</v>
      </c>
      <c r="AF4" s="1473" t="s">
        <v>55</v>
      </c>
      <c r="AG4" s="1473" t="s">
        <v>18</v>
      </c>
      <c r="AH4" s="1474" t="s">
        <v>39</v>
      </c>
      <c r="AI4" s="1551" t="s">
        <v>40</v>
      </c>
      <c r="AJ4" s="1474" t="s">
        <v>19</v>
      </c>
      <c r="AK4" s="1473" t="s">
        <v>55</v>
      </c>
      <c r="AL4" s="1473" t="s">
        <v>18</v>
      </c>
      <c r="AM4" s="1474" t="s">
        <v>39</v>
      </c>
      <c r="AN4" s="1551" t="s">
        <v>40</v>
      </c>
      <c r="AO4" s="1474" t="s">
        <v>19</v>
      </c>
      <c r="AP4" s="1767" t="s">
        <v>1201</v>
      </c>
      <c r="AQ4" s="1767" t="s">
        <v>18</v>
      </c>
      <c r="AR4" s="1768" t="s">
        <v>39</v>
      </c>
      <c r="AS4" s="1769" t="s">
        <v>40</v>
      </c>
      <c r="AT4" s="1768" t="s">
        <v>19</v>
      </c>
      <c r="AU4" s="1473" t="s">
        <v>55</v>
      </c>
      <c r="AV4" s="1473" t="s">
        <v>18</v>
      </c>
      <c r="AW4" s="1474" t="s">
        <v>39</v>
      </c>
      <c r="AX4" s="1551" t="s">
        <v>40</v>
      </c>
      <c r="AY4" s="1474" t="s">
        <v>19</v>
      </c>
      <c r="AZ4" s="632" t="s">
        <v>55</v>
      </c>
      <c r="BA4" s="632" t="s">
        <v>18</v>
      </c>
      <c r="BB4" s="653" t="s">
        <v>39</v>
      </c>
      <c r="BC4" s="654" t="s">
        <v>40</v>
      </c>
      <c r="BD4" s="653" t="s">
        <v>19</v>
      </c>
      <c r="BE4" s="632" t="s">
        <v>55</v>
      </c>
      <c r="BF4" s="632" t="s">
        <v>18</v>
      </c>
      <c r="BG4" s="653" t="s">
        <v>39</v>
      </c>
      <c r="BH4" s="654" t="s">
        <v>40</v>
      </c>
      <c r="BI4" s="653" t="s">
        <v>19</v>
      </c>
      <c r="BJ4" s="632" t="s">
        <v>55</v>
      </c>
      <c r="BK4" s="632" t="s">
        <v>18</v>
      </c>
      <c r="BL4" s="653" t="s">
        <v>39</v>
      </c>
      <c r="BM4" s="654" t="s">
        <v>40</v>
      </c>
      <c r="BN4" s="653" t="s">
        <v>19</v>
      </c>
    </row>
    <row r="5" spans="1:66" s="88" customFormat="1" ht="15" customHeight="1" thickBot="1">
      <c r="A5" s="83"/>
      <c r="B5" s="617" t="s">
        <v>10</v>
      </c>
      <c r="C5" s="684">
        <f>C6</f>
        <v>15291768</v>
      </c>
      <c r="D5" s="684">
        <f>D6</f>
        <v>0</v>
      </c>
      <c r="E5" s="655">
        <f>E6</f>
        <v>15291768</v>
      </c>
      <c r="F5" s="620"/>
      <c r="G5" s="620">
        <v>12790071.829999998</v>
      </c>
      <c r="H5" s="620">
        <v>0</v>
      </c>
      <c r="I5" s="620">
        <v>12790071.829999998</v>
      </c>
      <c r="J5" s="620"/>
      <c r="K5" s="620"/>
      <c r="L5" s="620">
        <f>L6</f>
        <v>0</v>
      </c>
      <c r="M5" s="620">
        <f>M6</f>
        <v>0</v>
      </c>
      <c r="N5" s="620">
        <f>N6</f>
        <v>0</v>
      </c>
      <c r="O5" s="620"/>
      <c r="P5" s="620"/>
      <c r="Q5" s="620">
        <f>Q6</f>
        <v>899731.32000000007</v>
      </c>
      <c r="R5" s="620">
        <f>R6</f>
        <v>0</v>
      </c>
      <c r="S5" s="620">
        <f>S6</f>
        <v>899731.32000000007</v>
      </c>
      <c r="T5" s="620"/>
      <c r="U5" s="620"/>
      <c r="V5" s="620">
        <f>V6</f>
        <v>0</v>
      </c>
      <c r="W5" s="620">
        <f>W6</f>
        <v>0</v>
      </c>
      <c r="X5" s="620">
        <f>X6</f>
        <v>0</v>
      </c>
      <c r="Y5" s="620"/>
      <c r="Z5" s="620"/>
      <c r="AA5" s="620">
        <f>AA6+AA7</f>
        <v>249078.23</v>
      </c>
      <c r="AB5" s="620">
        <f>AB6+AB7</f>
        <v>0</v>
      </c>
      <c r="AC5" s="620">
        <f>AC6+AC7</f>
        <v>249078.23</v>
      </c>
      <c r="AD5" s="620"/>
      <c r="AE5" s="620"/>
      <c r="AF5" s="1466">
        <f>AF6+AF7</f>
        <v>0</v>
      </c>
      <c r="AG5" s="1466">
        <f>AG6+AG7</f>
        <v>0</v>
      </c>
      <c r="AH5" s="1466">
        <f>AH6+AH7</f>
        <v>0</v>
      </c>
      <c r="AI5" s="1466"/>
      <c r="AJ5" s="1466"/>
      <c r="AK5" s="1466">
        <f>AK6+AK7</f>
        <v>179429.66</v>
      </c>
      <c r="AL5" s="1466">
        <f>AL6+AL7</f>
        <v>0</v>
      </c>
      <c r="AM5" s="1466">
        <f>AM6+AM7</f>
        <v>179429.66</v>
      </c>
      <c r="AN5" s="1466"/>
      <c r="AO5" s="1466"/>
      <c r="AP5" s="1771">
        <f>AP6+AP7</f>
        <v>0</v>
      </c>
      <c r="AQ5" s="1771">
        <f>AQ6+AQ7</f>
        <v>0</v>
      </c>
      <c r="AR5" s="1771">
        <f>AR6+AR7</f>
        <v>0</v>
      </c>
      <c r="AS5" s="1771"/>
      <c r="AT5" s="1771"/>
      <c r="AU5" s="1466">
        <f>AU6+AU7</f>
        <v>0</v>
      </c>
      <c r="AV5" s="1466">
        <f>AV6+AV7</f>
        <v>0</v>
      </c>
      <c r="AW5" s="1466">
        <f>AW6+AW7</f>
        <v>0</v>
      </c>
      <c r="AX5" s="1466"/>
      <c r="AY5" s="1466"/>
      <c r="AZ5" s="620">
        <f>AZ6+AZ7</f>
        <v>0</v>
      </c>
      <c r="BA5" s="620">
        <f>BA6+BA7</f>
        <v>0</v>
      </c>
      <c r="BB5" s="620">
        <f>BB6+BB7</f>
        <v>0</v>
      </c>
      <c r="BC5" s="620"/>
      <c r="BD5" s="620"/>
      <c r="BE5" s="620">
        <f>BE6+BE7</f>
        <v>0</v>
      </c>
      <c r="BF5" s="620">
        <f>BF6+BF7</f>
        <v>0</v>
      </c>
      <c r="BG5" s="620">
        <f>BG6+BG7</f>
        <v>0</v>
      </c>
      <c r="BH5" s="620"/>
      <c r="BI5" s="620"/>
      <c r="BJ5" s="620">
        <f>BJ6+BJ7</f>
        <v>14118311.039999999</v>
      </c>
      <c r="BK5" s="620">
        <f>BK6+BK7</f>
        <v>0</v>
      </c>
      <c r="BL5" s="620">
        <f>BL6+BL7</f>
        <v>14118311.039999999</v>
      </c>
      <c r="BM5" s="620"/>
      <c r="BN5" s="620"/>
    </row>
    <row r="6" spans="1:66" s="2" customFormat="1" ht="39.6" customHeight="1" outlineLevel="1">
      <c r="A6" s="238"/>
      <c r="B6" s="1051" t="s">
        <v>17</v>
      </c>
      <c r="C6" s="1076">
        <v>15291768</v>
      </c>
      <c r="D6" s="1023"/>
      <c r="E6" s="1178">
        <f>C6+D6</f>
        <v>15291768</v>
      </c>
      <c r="F6" s="1176"/>
      <c r="G6" s="1176">
        <v>12780071.829999998</v>
      </c>
      <c r="H6" s="1176">
        <v>0</v>
      </c>
      <c r="I6" s="1176">
        <v>12780071.829999998</v>
      </c>
      <c r="J6" s="1176"/>
      <c r="K6" s="1176"/>
      <c r="L6" s="1176"/>
      <c r="M6" s="1176"/>
      <c r="N6" s="1178">
        <f>L6+M6</f>
        <v>0</v>
      </c>
      <c r="O6" s="1176"/>
      <c r="P6" s="1176"/>
      <c r="Q6" s="1176">
        <v>899731.32000000007</v>
      </c>
      <c r="R6" s="1176"/>
      <c r="S6" s="1178">
        <f>Q6+R6</f>
        <v>899731.32000000007</v>
      </c>
      <c r="T6" s="1176"/>
      <c r="U6" s="1176" t="s">
        <v>1036</v>
      </c>
      <c r="V6" s="1122"/>
      <c r="W6" s="1176"/>
      <c r="X6" s="1178">
        <f>V6+W6</f>
        <v>0</v>
      </c>
      <c r="Y6" s="1176"/>
      <c r="Z6" s="1176"/>
      <c r="AA6" s="1176">
        <f>249078.23</f>
        <v>249078.23</v>
      </c>
      <c r="AB6" s="1176"/>
      <c r="AC6" s="1178">
        <f>AA6+AB6</f>
        <v>249078.23</v>
      </c>
      <c r="AD6" s="1176"/>
      <c r="AE6" s="1176" t="s">
        <v>1097</v>
      </c>
      <c r="AF6" s="1432"/>
      <c r="AG6" s="1432"/>
      <c r="AH6" s="1480">
        <f>AF6+AG6</f>
        <v>0</v>
      </c>
      <c r="AI6" s="1432"/>
      <c r="AJ6" s="1432"/>
      <c r="AK6" s="1764">
        <v>179429.66</v>
      </c>
      <c r="AL6" s="1432"/>
      <c r="AM6" s="1480">
        <f>AK6+AL6</f>
        <v>179429.66</v>
      </c>
      <c r="AN6" s="1432"/>
      <c r="AO6" s="1762" t="s">
        <v>1190</v>
      </c>
      <c r="AP6" s="1625"/>
      <c r="AQ6" s="1625"/>
      <c r="AR6" s="1765">
        <f>AP6+AQ6</f>
        <v>0</v>
      </c>
      <c r="AS6" s="1625"/>
      <c r="AT6" s="1726" t="s">
        <v>1199</v>
      </c>
      <c r="AU6" s="1432"/>
      <c r="AV6" s="1432"/>
      <c r="AW6" s="1480">
        <f>AU6+AV6</f>
        <v>0</v>
      </c>
      <c r="AX6" s="1432"/>
      <c r="AY6" s="1432"/>
      <c r="AZ6" s="1176"/>
      <c r="BA6" s="1176"/>
      <c r="BB6" s="1178">
        <f>AZ6+BA6</f>
        <v>0</v>
      </c>
      <c r="BC6" s="1176"/>
      <c r="BD6" s="1176"/>
      <c r="BE6" s="1176"/>
      <c r="BF6" s="1176"/>
      <c r="BG6" s="1178">
        <f>BE6+BF6</f>
        <v>0</v>
      </c>
      <c r="BH6" s="1176"/>
      <c r="BI6" s="1176"/>
      <c r="BJ6" s="1176">
        <f>G6+L6+Q6+V6+AA6+AF6+AK6+AP6</f>
        <v>14108311.039999999</v>
      </c>
      <c r="BK6" s="1176">
        <f>H6+M6+R6+W6+AB6+AL6+AQ6</f>
        <v>0</v>
      </c>
      <c r="BL6" s="1178">
        <f>BJ6+BK6</f>
        <v>14108311.039999999</v>
      </c>
      <c r="BM6" s="1176"/>
      <c r="BN6" s="1176"/>
    </row>
    <row r="7" spans="1:66" s="2" customFormat="1" ht="15" customHeight="1" outlineLevel="1" collapsed="1" thickBot="1">
      <c r="A7" s="238"/>
      <c r="B7" s="1287" t="s">
        <v>41</v>
      </c>
      <c r="C7" s="1196"/>
      <c r="D7" s="1197"/>
      <c r="E7" s="622">
        <f>C7+D7</f>
        <v>0</v>
      </c>
      <c r="F7" s="1177"/>
      <c r="G7" s="535">
        <v>10000</v>
      </c>
      <c r="H7" s="535">
        <v>0</v>
      </c>
      <c r="I7" s="535">
        <v>10000</v>
      </c>
      <c r="J7" s="535"/>
      <c r="K7" s="535"/>
      <c r="L7" s="535"/>
      <c r="M7" s="535"/>
      <c r="N7" s="622">
        <f>L7+M7</f>
        <v>0</v>
      </c>
      <c r="O7" s="1177"/>
      <c r="P7" s="1177"/>
      <c r="Q7" s="535"/>
      <c r="R7" s="535"/>
      <c r="S7" s="622">
        <f>Q7+R7</f>
        <v>0</v>
      </c>
      <c r="T7" s="1177"/>
      <c r="U7" s="1177"/>
      <c r="V7" s="535"/>
      <c r="W7" s="535"/>
      <c r="X7" s="622">
        <f>V7+W7</f>
        <v>0</v>
      </c>
      <c r="Y7" s="1177"/>
      <c r="Z7" s="1177"/>
      <c r="AA7" s="535"/>
      <c r="AB7" s="535"/>
      <c r="AC7" s="622">
        <f>AA7+AB7</f>
        <v>0</v>
      </c>
      <c r="AD7" s="1177"/>
      <c r="AE7" s="1177"/>
      <c r="AF7" s="1636"/>
      <c r="AG7" s="1636"/>
      <c r="AH7" s="1653">
        <f>AF7+AG7</f>
        <v>0</v>
      </c>
      <c r="AI7" s="1433"/>
      <c r="AJ7" s="1433"/>
      <c r="AK7" s="1636"/>
      <c r="AL7" s="1636"/>
      <c r="AM7" s="1653">
        <f>AK7+AL7</f>
        <v>0</v>
      </c>
      <c r="AN7" s="1433"/>
      <c r="AO7" s="1433"/>
      <c r="AP7" s="1824"/>
      <c r="AQ7" s="1824"/>
      <c r="AR7" s="1825">
        <f>AP7+AQ7</f>
        <v>0</v>
      </c>
      <c r="AS7" s="1750"/>
      <c r="AT7" s="1750"/>
      <c r="AU7" s="1636"/>
      <c r="AV7" s="1636"/>
      <c r="AW7" s="1653">
        <f>AU7+AV7</f>
        <v>0</v>
      </c>
      <c r="AX7" s="1905"/>
      <c r="AY7" s="1905"/>
      <c r="AZ7" s="535"/>
      <c r="BA7" s="535"/>
      <c r="BB7" s="622">
        <f>AZ7+BA7</f>
        <v>0</v>
      </c>
      <c r="BC7" s="1177"/>
      <c r="BD7" s="1177"/>
      <c r="BE7" s="535"/>
      <c r="BF7" s="535"/>
      <c r="BG7" s="622">
        <f>BE7+BF7</f>
        <v>0</v>
      </c>
      <c r="BH7" s="1177"/>
      <c r="BI7" s="1177"/>
      <c r="BJ7" s="1176">
        <f>G7+L7+Q7+V7+AA7+AF7+AK7+AP7</f>
        <v>10000</v>
      </c>
      <c r="BK7" s="1176">
        <f>H7+M7+R7+W7+AB7+AL7+AQ7</f>
        <v>0</v>
      </c>
      <c r="BL7" s="622">
        <f>BJ7+BK7</f>
        <v>10000</v>
      </c>
      <c r="BM7" s="1177"/>
      <c r="BN7" s="1177"/>
    </row>
    <row r="8" spans="1:66" s="88" customFormat="1" ht="15" customHeight="1" outlineLevel="1" thickBot="1">
      <c r="A8" s="1004"/>
      <c r="B8" s="617" t="s">
        <v>16</v>
      </c>
      <c r="C8" s="618">
        <f>SUM(C9:C33)</f>
        <v>6771296</v>
      </c>
      <c r="D8" s="618">
        <f>SUM(D9:D33)</f>
        <v>3622581</v>
      </c>
      <c r="E8" s="619">
        <f>SUM(E9:E33)</f>
        <v>10393877</v>
      </c>
      <c r="F8" s="577">
        <f t="shared" ref="F8:F21" si="0">E8/$E$89</f>
        <v>0.88758690666581042</v>
      </c>
      <c r="G8" s="618">
        <v>7023542.8849999998</v>
      </c>
      <c r="H8" s="618">
        <v>4908248.1899999995</v>
      </c>
      <c r="I8" s="619">
        <v>11931791.075000001</v>
      </c>
      <c r="J8" s="242">
        <v>0.91821429637302976</v>
      </c>
      <c r="K8" s="242"/>
      <c r="L8" s="618">
        <f>SUM(L9:L33)</f>
        <v>150</v>
      </c>
      <c r="M8" s="618">
        <f>SUM(M9:M33)</f>
        <v>17000</v>
      </c>
      <c r="N8" s="619">
        <f>SUM(N9:N33)</f>
        <v>17150</v>
      </c>
      <c r="O8" s="577">
        <f>N8/$N$89</f>
        <v>0.86223236730330266</v>
      </c>
      <c r="P8" s="620"/>
      <c r="Q8" s="618">
        <f>SUM(Q9:Q33)</f>
        <v>373711.20600000001</v>
      </c>
      <c r="R8" s="618">
        <f>SUM(R9:R33)</f>
        <v>142961</v>
      </c>
      <c r="S8" s="619">
        <f>SUM(S9:S33)</f>
        <v>516672.20600000006</v>
      </c>
      <c r="T8" s="577">
        <f t="shared" ref="T8:T71" si="1">S8/$S$89</f>
        <v>0.9050499570218008</v>
      </c>
      <c r="U8" s="620"/>
      <c r="V8" s="618">
        <f>SUM(V9:V33)</f>
        <v>0</v>
      </c>
      <c r="W8" s="618">
        <f>SUM(W9:W33)</f>
        <v>0</v>
      </c>
      <c r="X8" s="619">
        <f>SUM(X9:X33)</f>
        <v>0</v>
      </c>
      <c r="Y8" s="577" t="e">
        <f>X8/$X$89</f>
        <v>#DIV/0!</v>
      </c>
      <c r="Z8" s="620"/>
      <c r="AA8" s="618">
        <f>SUM(AA9:AA33)</f>
        <v>100110.704</v>
      </c>
      <c r="AB8" s="618">
        <f>SUM(AB9:AB33)</f>
        <v>93954.536999999997</v>
      </c>
      <c r="AC8" s="619">
        <f>SUM(AC9:AC33)</f>
        <v>194065.24100000001</v>
      </c>
      <c r="AD8" s="577">
        <f>AC8/$AC$89</f>
        <v>0.94158429715529179</v>
      </c>
      <c r="AE8" s="620"/>
      <c r="AF8" s="1483">
        <f>SUM(AF9:AF33)</f>
        <v>15500.003999999999</v>
      </c>
      <c r="AG8" s="1483">
        <f>SUM(AG9:AG33)</f>
        <v>0</v>
      </c>
      <c r="AH8" s="1484">
        <f>SUM(AH9:AH33)</f>
        <v>15500.003999999999</v>
      </c>
      <c r="AI8" s="1528">
        <f>AH8/$AH$89</f>
        <v>1</v>
      </c>
      <c r="AJ8" s="1466"/>
      <c r="AK8" s="1483">
        <f>SUM(AK9:AK33)</f>
        <v>37563.467999999993</v>
      </c>
      <c r="AL8" s="1483">
        <f>SUM(AL9:AL33)</f>
        <v>41032.254000000001</v>
      </c>
      <c r="AM8" s="1484">
        <f>SUM(AM9:AM33)</f>
        <v>78595.721999999994</v>
      </c>
      <c r="AN8" s="1528">
        <f>AM8/$AM$89</f>
        <v>0.92970396187998283</v>
      </c>
      <c r="AO8" s="1466"/>
      <c r="AP8" s="1773">
        <f>SUM(AP9:AP33)</f>
        <v>64920</v>
      </c>
      <c r="AQ8" s="1773">
        <f>SUM(AQ9:AQ33)</f>
        <v>0</v>
      </c>
      <c r="AR8" s="1774">
        <f>SUM(AR9:AR33)</f>
        <v>64920</v>
      </c>
      <c r="AS8" s="1775">
        <f>AR8/$AR$89</f>
        <v>1</v>
      </c>
      <c r="AT8" s="1771"/>
      <c r="AU8" s="1483">
        <f>SUM(AU9:AU33)</f>
        <v>116297.364</v>
      </c>
      <c r="AV8" s="1483">
        <f>SUM(AV9:AV33)</f>
        <v>0</v>
      </c>
      <c r="AW8" s="1484">
        <f>SUM(AW9:AW33)</f>
        <v>116297.364</v>
      </c>
      <c r="AX8" s="1528">
        <f>AW8/$AW$89</f>
        <v>1</v>
      </c>
      <c r="AY8" s="1466"/>
      <c r="AZ8" s="618">
        <f>SUM(AZ9:AZ33)</f>
        <v>0</v>
      </c>
      <c r="BA8" s="618">
        <f>SUM(BA9:BA33)</f>
        <v>0</v>
      </c>
      <c r="BB8" s="619">
        <f>SUM(BB9:BB33)</f>
        <v>0</v>
      </c>
      <c r="BC8" s="577" t="e">
        <f>BB8/$BB$89</f>
        <v>#DIV/0!</v>
      </c>
      <c r="BD8" s="620"/>
      <c r="BE8" s="618">
        <f>SUM(BE9:BE33)</f>
        <v>0</v>
      </c>
      <c r="BF8" s="618">
        <f>SUM(BF9:BF33)</f>
        <v>0</v>
      </c>
      <c r="BG8" s="619">
        <f>SUM(BG9:BG33)</f>
        <v>0</v>
      </c>
      <c r="BH8" s="577" t="e">
        <f>BG8/$BG$89</f>
        <v>#DIV/0!</v>
      </c>
      <c r="BI8" s="620"/>
      <c r="BJ8" s="618">
        <f>SUM(BJ9:BJ33)</f>
        <v>7615498.2670000009</v>
      </c>
      <c r="BK8" s="618">
        <f>SUM(BK9:BK33)</f>
        <v>5203195.9810000006</v>
      </c>
      <c r="BL8" s="619">
        <f>SUM(BL9:BL33)</f>
        <v>12818694.248000003</v>
      </c>
      <c r="BM8" s="577">
        <f>BL8/$BL$89</f>
        <v>0.91848202226466502</v>
      </c>
      <c r="BN8" s="620"/>
    </row>
    <row r="9" spans="1:66" s="2" customFormat="1" ht="34.950000000000003" customHeight="1" outlineLevel="2">
      <c r="A9" s="238"/>
      <c r="B9" s="1067" t="s">
        <v>74</v>
      </c>
      <c r="C9" s="1037">
        <v>54288</v>
      </c>
      <c r="D9" s="1038"/>
      <c r="E9" s="1178">
        <f>C9+D9</f>
        <v>54288</v>
      </c>
      <c r="F9" s="1039">
        <f t="shared" si="0"/>
        <v>4.6359330583836539E-3</v>
      </c>
      <c r="G9" s="1176">
        <v>174063.09</v>
      </c>
      <c r="H9" s="1176">
        <v>0</v>
      </c>
      <c r="I9" s="1178">
        <v>174063.09</v>
      </c>
      <c r="J9" s="1039">
        <v>1.3395073439036505E-2</v>
      </c>
      <c r="K9" s="1039"/>
      <c r="L9" s="1176"/>
      <c r="M9" s="1176"/>
      <c r="N9" s="1022">
        <f>L9+M9*1</f>
        <v>0</v>
      </c>
      <c r="O9" s="1039">
        <f>N9/$N$89</f>
        <v>0</v>
      </c>
      <c r="P9" s="1021"/>
      <c r="Q9" s="1176">
        <v>19302.990000000002</v>
      </c>
      <c r="R9" s="1176"/>
      <c r="S9" s="1022">
        <f>Q9+R9*1</f>
        <v>19302.990000000002</v>
      </c>
      <c r="T9" s="1039">
        <f t="shared" si="1"/>
        <v>3.3812870262837885E-2</v>
      </c>
      <c r="U9" s="1021" t="s">
        <v>1087</v>
      </c>
      <c r="V9" s="1122"/>
      <c r="W9" s="1122"/>
      <c r="X9" s="1022">
        <f>V9+W9*1</f>
        <v>0</v>
      </c>
      <c r="Y9" s="1039" t="e">
        <f>X9/$X$89</f>
        <v>#DIV/0!</v>
      </c>
      <c r="Z9" s="1021"/>
      <c r="AA9" s="1122">
        <v>12355</v>
      </c>
      <c r="AB9" s="1176"/>
      <c r="AC9" s="1022">
        <f>AA9+AB9*1</f>
        <v>12355</v>
      </c>
      <c r="AD9" s="1039">
        <f>AC9/$AC$89</f>
        <v>5.9945170662239457E-2</v>
      </c>
      <c r="AE9" s="1021" t="s">
        <v>1086</v>
      </c>
      <c r="AF9" s="1432"/>
      <c r="AG9" s="1432"/>
      <c r="AH9" s="1552">
        <f>AF9+AG9*1</f>
        <v>0</v>
      </c>
      <c r="AI9" s="1539">
        <f t="shared" ref="AI9:AI33" si="2">AH9/$AH$89</f>
        <v>0</v>
      </c>
      <c r="AJ9" s="1590"/>
      <c r="AK9" s="1432"/>
      <c r="AL9" s="1432"/>
      <c r="AM9" s="1552">
        <f>AK9+AL9*1</f>
        <v>0</v>
      </c>
      <c r="AN9" s="1539">
        <f t="shared" ref="AN9:AN72" si="3">AM9/$AM$89</f>
        <v>0</v>
      </c>
      <c r="AO9" s="1590"/>
      <c r="AP9" s="1625"/>
      <c r="AQ9" s="1625"/>
      <c r="AR9" s="1776">
        <f>AP9+AQ9*1</f>
        <v>0</v>
      </c>
      <c r="AS9" s="1782">
        <f t="shared" ref="AS9:AS33" si="4">AR9/$AR$89</f>
        <v>0</v>
      </c>
      <c r="AT9" s="1726"/>
      <c r="AU9" s="1432"/>
      <c r="AV9" s="1432"/>
      <c r="AW9" s="1552">
        <f>AU9+AV9*1</f>
        <v>0</v>
      </c>
      <c r="AX9" s="1539">
        <f t="shared" ref="AX9:AX33" si="5">AW9/$AW$89</f>
        <v>0</v>
      </c>
      <c r="AY9" s="1590"/>
      <c r="AZ9" s="1176"/>
      <c r="BA9" s="1176"/>
      <c r="BB9" s="1022">
        <f>AZ9+BA9*1</f>
        <v>0</v>
      </c>
      <c r="BC9" s="1039" t="e">
        <f t="shared" ref="BC9:BC33" si="6">BB9/$BB$89</f>
        <v>#DIV/0!</v>
      </c>
      <c r="BD9" s="1021"/>
      <c r="BE9" s="1176"/>
      <c r="BF9" s="1176"/>
      <c r="BG9" s="1022">
        <f>BE9+BF9*1</f>
        <v>0</v>
      </c>
      <c r="BH9" s="1039" t="e">
        <f t="shared" ref="BH9:BH33" si="7">BG9/$BG$89</f>
        <v>#DIV/0!</v>
      </c>
      <c r="BI9" s="1021"/>
      <c r="BJ9" s="1176">
        <f t="shared" ref="BJ9:BJ37" si="8">G9+L9+Q9+V9+AA9+AF9+AK9+AP9</f>
        <v>205721.08</v>
      </c>
      <c r="BK9" s="1176">
        <f t="shared" ref="BK9:BK37" si="9">H9+M9+R9+W9+AB9+AL9+AQ9</f>
        <v>0</v>
      </c>
      <c r="BL9" s="1178">
        <f>BJ9+BK9</f>
        <v>205721.08</v>
      </c>
      <c r="BM9" s="1039">
        <f>BL9/$BL$89</f>
        <v>1.4740277747895535E-2</v>
      </c>
      <c r="BN9" s="1043"/>
    </row>
    <row r="10" spans="1:66" s="2" customFormat="1" ht="15" customHeight="1" outlineLevel="2">
      <c r="A10" s="238"/>
      <c r="B10" s="1067" t="s">
        <v>72</v>
      </c>
      <c r="C10" s="1037">
        <v>10586</v>
      </c>
      <c r="D10" s="1038"/>
      <c r="E10" s="1178">
        <f t="shared" ref="E10:E33" si="10">C10+D10</f>
        <v>10586</v>
      </c>
      <c r="F10" s="1039">
        <f t="shared" si="0"/>
        <v>9.0399328315740786E-4</v>
      </c>
      <c r="G10" s="1176">
        <v>47806.720000000001</v>
      </c>
      <c r="H10" s="1176">
        <v>0</v>
      </c>
      <c r="I10" s="1178">
        <v>47806.720000000001</v>
      </c>
      <c r="J10" s="1039">
        <v>3.6789794164831576E-3</v>
      </c>
      <c r="K10" s="1039"/>
      <c r="L10" s="1176"/>
      <c r="M10" s="1176"/>
      <c r="N10" s="1022">
        <f t="shared" ref="N10:N22" si="11">L10+M10*1</f>
        <v>0</v>
      </c>
      <c r="O10" s="1233">
        <f t="shared" ref="O10:O33" si="12">N10/$N$89</f>
        <v>0</v>
      </c>
      <c r="P10" s="1021"/>
      <c r="Q10" s="1176">
        <v>7381.92</v>
      </c>
      <c r="R10" s="1176"/>
      <c r="S10" s="1022">
        <f t="shared" ref="S10:S22" si="13">Q10+R10*1</f>
        <v>7381.92</v>
      </c>
      <c r="T10" s="1233">
        <f t="shared" si="1"/>
        <v>1.2930841452575391E-2</v>
      </c>
      <c r="U10" s="1021"/>
      <c r="V10" s="1122"/>
      <c r="W10" s="1122"/>
      <c r="X10" s="1022">
        <f t="shared" ref="X10:X22" si="14">V10+W10*1</f>
        <v>0</v>
      </c>
      <c r="Y10" s="1233" t="e">
        <f t="shared" ref="Y10:Y33" si="15">X10/$X$89</f>
        <v>#DIV/0!</v>
      </c>
      <c r="Z10" s="1021"/>
      <c r="AA10" s="1122">
        <v>2993</v>
      </c>
      <c r="AB10" s="1176"/>
      <c r="AC10" s="1022">
        <f t="shared" ref="AC10:AC22" si="16">AA10+AB10*1</f>
        <v>2993</v>
      </c>
      <c r="AD10" s="1233">
        <f t="shared" ref="AD10:AD33" si="17">AC10/$AC$89</f>
        <v>1.4521723657797062E-2</v>
      </c>
      <c r="AE10" s="1021"/>
      <c r="AF10" s="1432"/>
      <c r="AG10" s="1432"/>
      <c r="AH10" s="1552">
        <f t="shared" ref="AH10:AH22" si="18">AF10+AG10*1</f>
        <v>0</v>
      </c>
      <c r="AI10" s="1540">
        <f t="shared" si="2"/>
        <v>0</v>
      </c>
      <c r="AJ10" s="1590"/>
      <c r="AK10" s="1432"/>
      <c r="AL10" s="1432"/>
      <c r="AM10" s="1552">
        <f t="shared" ref="AM10:AM22" si="19">AK10+AL10*1</f>
        <v>0</v>
      </c>
      <c r="AN10" s="1540">
        <f t="shared" si="3"/>
        <v>0</v>
      </c>
      <c r="AO10" s="1590"/>
      <c r="AP10" s="1625"/>
      <c r="AQ10" s="1625"/>
      <c r="AR10" s="1776">
        <f t="shared" ref="AR10:AR22" si="20">AP10+AQ10*1</f>
        <v>0</v>
      </c>
      <c r="AS10" s="1777">
        <f t="shared" si="4"/>
        <v>0</v>
      </c>
      <c r="AT10" s="1726"/>
      <c r="AU10" s="1432"/>
      <c r="AV10" s="1432"/>
      <c r="AW10" s="1552">
        <f t="shared" ref="AW10:AW22" si="21">AU10+AV10*1</f>
        <v>0</v>
      </c>
      <c r="AX10" s="1877">
        <f t="shared" si="5"/>
        <v>0</v>
      </c>
      <c r="AY10" s="1590"/>
      <c r="AZ10" s="1176"/>
      <c r="BA10" s="1176"/>
      <c r="BB10" s="1022">
        <f t="shared" ref="BB10:BB22" si="22">AZ10+BA10*1</f>
        <v>0</v>
      </c>
      <c r="BC10" s="1233" t="e">
        <f t="shared" si="6"/>
        <v>#DIV/0!</v>
      </c>
      <c r="BD10" s="1021"/>
      <c r="BE10" s="1176"/>
      <c r="BF10" s="1176"/>
      <c r="BG10" s="1022">
        <f t="shared" ref="BG10:BG22" si="23">BE10+BF10*1</f>
        <v>0</v>
      </c>
      <c r="BH10" s="1233" t="e">
        <f t="shared" si="7"/>
        <v>#DIV/0!</v>
      </c>
      <c r="BI10" s="1021"/>
      <c r="BJ10" s="1176">
        <f t="shared" si="8"/>
        <v>58181.64</v>
      </c>
      <c r="BK10" s="1176">
        <f t="shared" si="9"/>
        <v>0</v>
      </c>
      <c r="BL10" s="1178">
        <f t="shared" ref="BL10:BL33" si="24">BJ10+BK10</f>
        <v>58181.64</v>
      </c>
      <c r="BM10" s="1233">
        <f t="shared" ref="BM10:BM33" si="25">BL10/$BL$89</f>
        <v>4.1688169896253163E-3</v>
      </c>
      <c r="BN10" s="1043"/>
    </row>
    <row r="11" spans="1:66" s="2" customFormat="1" ht="15" customHeight="1" outlineLevel="2">
      <c r="A11" s="238"/>
      <c r="B11" s="1067" t="s">
        <v>69</v>
      </c>
      <c r="C11" s="1037">
        <v>11943</v>
      </c>
      <c r="D11" s="1038"/>
      <c r="E11" s="1178">
        <f t="shared" si="10"/>
        <v>11943</v>
      </c>
      <c r="F11" s="1039">
        <f t="shared" si="0"/>
        <v>1.0198745305827436E-3</v>
      </c>
      <c r="G11" s="1176">
        <v>53935.049999999996</v>
      </c>
      <c r="H11" s="1176">
        <v>0</v>
      </c>
      <c r="I11" s="1178">
        <v>53935.049999999996</v>
      </c>
      <c r="J11" s="1039">
        <v>4.1505867538494572E-3</v>
      </c>
      <c r="K11" s="1039"/>
      <c r="L11" s="1176"/>
      <c r="M11" s="1176"/>
      <c r="N11" s="1022">
        <f t="shared" si="11"/>
        <v>0</v>
      </c>
      <c r="O11" s="1233">
        <f t="shared" si="12"/>
        <v>0</v>
      </c>
      <c r="P11" s="1021"/>
      <c r="Q11" s="1176">
        <v>8328.32</v>
      </c>
      <c r="R11" s="1176"/>
      <c r="S11" s="1022">
        <f t="shared" si="13"/>
        <v>8328.32</v>
      </c>
      <c r="T11" s="1233">
        <f t="shared" si="1"/>
        <v>1.4588641638803003E-2</v>
      </c>
      <c r="U11" s="1021"/>
      <c r="V11" s="1122"/>
      <c r="W11" s="1122"/>
      <c r="X11" s="1022">
        <f t="shared" si="14"/>
        <v>0</v>
      </c>
      <c r="Y11" s="1233" t="e">
        <f t="shared" si="15"/>
        <v>#DIV/0!</v>
      </c>
      <c r="Z11" s="1021"/>
      <c r="AA11" s="1122">
        <v>4062</v>
      </c>
      <c r="AB11" s="1176"/>
      <c r="AC11" s="1022">
        <f t="shared" si="16"/>
        <v>4062</v>
      </c>
      <c r="AD11" s="1233">
        <f t="shared" si="17"/>
        <v>1.9708400099556184E-2</v>
      </c>
      <c r="AE11" s="1021"/>
      <c r="AF11" s="1432"/>
      <c r="AG11" s="1432"/>
      <c r="AH11" s="1552">
        <f t="shared" si="18"/>
        <v>0</v>
      </c>
      <c r="AI11" s="1540">
        <f t="shared" si="2"/>
        <v>0</v>
      </c>
      <c r="AJ11" s="1590"/>
      <c r="AK11" s="1432"/>
      <c r="AL11" s="1432"/>
      <c r="AM11" s="1552">
        <f t="shared" si="19"/>
        <v>0</v>
      </c>
      <c r="AN11" s="1540">
        <f t="shared" si="3"/>
        <v>0</v>
      </c>
      <c r="AO11" s="1590"/>
      <c r="AP11" s="1625"/>
      <c r="AQ11" s="1625"/>
      <c r="AR11" s="1776">
        <f t="shared" si="20"/>
        <v>0</v>
      </c>
      <c r="AS11" s="1777">
        <f t="shared" si="4"/>
        <v>0</v>
      </c>
      <c r="AT11" s="1726"/>
      <c r="AU11" s="1432"/>
      <c r="AV11" s="1432"/>
      <c r="AW11" s="1552">
        <f t="shared" si="21"/>
        <v>0</v>
      </c>
      <c r="AX11" s="1877">
        <f t="shared" si="5"/>
        <v>0</v>
      </c>
      <c r="AY11" s="1590"/>
      <c r="AZ11" s="1176"/>
      <c r="BA11" s="1176"/>
      <c r="BB11" s="1022">
        <f t="shared" si="22"/>
        <v>0</v>
      </c>
      <c r="BC11" s="1233" t="e">
        <f t="shared" si="6"/>
        <v>#DIV/0!</v>
      </c>
      <c r="BD11" s="1021"/>
      <c r="BE11" s="1176"/>
      <c r="BF11" s="1176"/>
      <c r="BG11" s="1022">
        <f t="shared" si="23"/>
        <v>0</v>
      </c>
      <c r="BH11" s="1233" t="e">
        <f t="shared" si="7"/>
        <v>#DIV/0!</v>
      </c>
      <c r="BI11" s="1021"/>
      <c r="BJ11" s="1176">
        <f t="shared" si="8"/>
        <v>66325.37</v>
      </c>
      <c r="BK11" s="1176">
        <f t="shared" si="9"/>
        <v>0</v>
      </c>
      <c r="BL11" s="1178">
        <f t="shared" si="24"/>
        <v>66325.37</v>
      </c>
      <c r="BM11" s="1233">
        <f t="shared" si="25"/>
        <v>4.7523295888391116E-3</v>
      </c>
      <c r="BN11" s="1043"/>
    </row>
    <row r="12" spans="1:66" s="2" customFormat="1" ht="15" customHeight="1" outlineLevel="2">
      <c r="A12" s="238"/>
      <c r="B12" s="1067" t="s">
        <v>73</v>
      </c>
      <c r="C12" s="1037">
        <v>140473</v>
      </c>
      <c r="D12" s="1038">
        <v>222028</v>
      </c>
      <c r="E12" s="1178">
        <f t="shared" si="10"/>
        <v>362501</v>
      </c>
      <c r="F12" s="1039">
        <f t="shared" si="0"/>
        <v>3.0955834983737343E-2</v>
      </c>
      <c r="G12" s="1176">
        <v>192381.49</v>
      </c>
      <c r="H12" s="1176">
        <v>370226.55</v>
      </c>
      <c r="I12" s="1178">
        <v>562608.04</v>
      </c>
      <c r="J12" s="1039">
        <v>4.3295657989251994E-2</v>
      </c>
      <c r="K12" s="1039"/>
      <c r="L12" s="1176"/>
      <c r="M12" s="1176"/>
      <c r="N12" s="1022">
        <f t="shared" si="11"/>
        <v>0</v>
      </c>
      <c r="O12" s="1233">
        <f t="shared" si="12"/>
        <v>0</v>
      </c>
      <c r="P12" s="1021"/>
      <c r="Q12" s="1176"/>
      <c r="R12" s="1176"/>
      <c r="S12" s="1022">
        <f t="shared" si="13"/>
        <v>0</v>
      </c>
      <c r="T12" s="1233">
        <f t="shared" si="1"/>
        <v>0</v>
      </c>
      <c r="U12" s="1021"/>
      <c r="V12" s="1122"/>
      <c r="W12" s="1176"/>
      <c r="X12" s="1022">
        <f t="shared" si="14"/>
        <v>0</v>
      </c>
      <c r="Y12" s="1233" t="e">
        <f t="shared" si="15"/>
        <v>#DIV/0!</v>
      </c>
      <c r="Z12" s="1021"/>
      <c r="AA12" s="1122">
        <v>10208</v>
      </c>
      <c r="AB12" s="1176">
        <v>10792.116999999998</v>
      </c>
      <c r="AC12" s="1022">
        <f t="shared" si="16"/>
        <v>21000.116999999998</v>
      </c>
      <c r="AD12" s="1233">
        <f t="shared" si="17"/>
        <v>0.10189037616284873</v>
      </c>
      <c r="AE12" s="1021" t="s">
        <v>1085</v>
      </c>
      <c r="AF12" s="1432"/>
      <c r="AG12" s="1432"/>
      <c r="AH12" s="1552">
        <f t="shared" si="18"/>
        <v>0</v>
      </c>
      <c r="AI12" s="1540">
        <f t="shared" si="2"/>
        <v>0</v>
      </c>
      <c r="AJ12" s="1590"/>
      <c r="AK12" s="1432"/>
      <c r="AL12" s="1432"/>
      <c r="AM12" s="1552">
        <f t="shared" si="19"/>
        <v>0</v>
      </c>
      <c r="AN12" s="1540">
        <f t="shared" si="3"/>
        <v>0</v>
      </c>
      <c r="AO12" s="1590"/>
      <c r="AP12" s="1625"/>
      <c r="AQ12" s="1625"/>
      <c r="AR12" s="1776">
        <f t="shared" si="20"/>
        <v>0</v>
      </c>
      <c r="AS12" s="1777">
        <f t="shared" si="4"/>
        <v>0</v>
      </c>
      <c r="AT12" s="1726"/>
      <c r="AU12" s="1432"/>
      <c r="AV12" s="1432"/>
      <c r="AW12" s="1552">
        <f t="shared" si="21"/>
        <v>0</v>
      </c>
      <c r="AX12" s="1877">
        <f t="shared" si="5"/>
        <v>0</v>
      </c>
      <c r="AY12" s="1590"/>
      <c r="AZ12" s="1176"/>
      <c r="BA12" s="1176"/>
      <c r="BB12" s="1022">
        <f t="shared" si="22"/>
        <v>0</v>
      </c>
      <c r="BC12" s="1233" t="e">
        <f t="shared" si="6"/>
        <v>#DIV/0!</v>
      </c>
      <c r="BD12" s="1021"/>
      <c r="BE12" s="1176"/>
      <c r="BF12" s="1176"/>
      <c r="BG12" s="1022">
        <f t="shared" si="23"/>
        <v>0</v>
      </c>
      <c r="BH12" s="1233" t="e">
        <f t="shared" si="7"/>
        <v>#DIV/0!</v>
      </c>
      <c r="BI12" s="1021"/>
      <c r="BJ12" s="1176">
        <f t="shared" si="8"/>
        <v>202589.49</v>
      </c>
      <c r="BK12" s="1176">
        <f t="shared" si="9"/>
        <v>381018.66700000002</v>
      </c>
      <c r="BL12" s="1178">
        <f t="shared" si="24"/>
        <v>583608.15700000001</v>
      </c>
      <c r="BM12" s="1233">
        <f t="shared" si="25"/>
        <v>4.1816552441380453E-2</v>
      </c>
      <c r="BN12" s="1043"/>
    </row>
    <row r="13" spans="1:66" s="2" customFormat="1" ht="15" customHeight="1" outlineLevel="2">
      <c r="A13" s="238"/>
      <c r="B13" s="1067" t="s">
        <v>71</v>
      </c>
      <c r="C13" s="1037">
        <v>34028</v>
      </c>
      <c r="D13" s="1038"/>
      <c r="E13" s="1178">
        <f t="shared" si="10"/>
        <v>34028</v>
      </c>
      <c r="F13" s="1039">
        <f t="shared" si="0"/>
        <v>2.9058268882751065E-3</v>
      </c>
      <c r="G13" s="1176">
        <v>48194.52</v>
      </c>
      <c r="H13" s="1176">
        <v>0</v>
      </c>
      <c r="I13" s="1178">
        <v>48194.52</v>
      </c>
      <c r="J13" s="1039">
        <v>3.7088226731992039E-3</v>
      </c>
      <c r="K13" s="1039"/>
      <c r="L13" s="1176"/>
      <c r="M13" s="1176"/>
      <c r="N13" s="1022">
        <f t="shared" si="11"/>
        <v>0</v>
      </c>
      <c r="O13" s="1233">
        <f t="shared" si="12"/>
        <v>0</v>
      </c>
      <c r="P13" s="1021"/>
      <c r="Q13" s="1176"/>
      <c r="R13" s="1176"/>
      <c r="S13" s="1022">
        <f t="shared" si="13"/>
        <v>0</v>
      </c>
      <c r="T13" s="1233">
        <f t="shared" si="1"/>
        <v>0</v>
      </c>
      <c r="U13" s="1021"/>
      <c r="V13" s="1122"/>
      <c r="W13" s="1122"/>
      <c r="X13" s="1022">
        <f t="shared" si="14"/>
        <v>0</v>
      </c>
      <c r="Y13" s="1233" t="e">
        <f t="shared" si="15"/>
        <v>#DIV/0!</v>
      </c>
      <c r="Z13" s="1021"/>
      <c r="AA13" s="1122">
        <v>2473</v>
      </c>
      <c r="AB13" s="1176"/>
      <c r="AC13" s="1022">
        <f t="shared" si="16"/>
        <v>2473</v>
      </c>
      <c r="AD13" s="1233">
        <f t="shared" si="17"/>
        <v>1.1998737923732754E-2</v>
      </c>
      <c r="AE13" s="1021"/>
      <c r="AF13" s="1432"/>
      <c r="AG13" s="1432"/>
      <c r="AH13" s="1552">
        <f t="shared" si="18"/>
        <v>0</v>
      </c>
      <c r="AI13" s="1540">
        <f t="shared" si="2"/>
        <v>0</v>
      </c>
      <c r="AJ13" s="1590"/>
      <c r="AK13" s="1432"/>
      <c r="AL13" s="1432"/>
      <c r="AM13" s="1552">
        <f t="shared" si="19"/>
        <v>0</v>
      </c>
      <c r="AN13" s="1540">
        <f t="shared" si="3"/>
        <v>0</v>
      </c>
      <c r="AO13" s="1590"/>
      <c r="AP13" s="1625"/>
      <c r="AQ13" s="1625"/>
      <c r="AR13" s="1776">
        <f t="shared" si="20"/>
        <v>0</v>
      </c>
      <c r="AS13" s="1777">
        <f t="shared" si="4"/>
        <v>0</v>
      </c>
      <c r="AT13" s="1726"/>
      <c r="AU13" s="1432"/>
      <c r="AV13" s="1432"/>
      <c r="AW13" s="1552">
        <f t="shared" si="21"/>
        <v>0</v>
      </c>
      <c r="AX13" s="1877">
        <f t="shared" si="5"/>
        <v>0</v>
      </c>
      <c r="AY13" s="1590"/>
      <c r="AZ13" s="1176"/>
      <c r="BA13" s="1176"/>
      <c r="BB13" s="1022">
        <f t="shared" si="22"/>
        <v>0</v>
      </c>
      <c r="BC13" s="1233" t="e">
        <f t="shared" si="6"/>
        <v>#DIV/0!</v>
      </c>
      <c r="BD13" s="1021"/>
      <c r="BE13" s="1176"/>
      <c r="BF13" s="1176"/>
      <c r="BG13" s="1022">
        <f t="shared" si="23"/>
        <v>0</v>
      </c>
      <c r="BH13" s="1233" t="e">
        <f t="shared" si="7"/>
        <v>#DIV/0!</v>
      </c>
      <c r="BI13" s="1021"/>
      <c r="BJ13" s="1176">
        <f t="shared" si="8"/>
        <v>50667.519999999997</v>
      </c>
      <c r="BK13" s="1176">
        <f t="shared" si="9"/>
        <v>0</v>
      </c>
      <c r="BL13" s="1178">
        <f t="shared" si="24"/>
        <v>50667.519999999997</v>
      </c>
      <c r="BM13" s="1233">
        <f t="shared" si="25"/>
        <v>3.6304170559334609E-3</v>
      </c>
      <c r="BN13" s="1043"/>
    </row>
    <row r="14" spans="1:66" s="2" customFormat="1" ht="15" customHeight="1" outlineLevel="2">
      <c r="A14" s="238"/>
      <c r="B14" s="1067" t="s">
        <v>70</v>
      </c>
      <c r="C14" s="1037">
        <v>38390</v>
      </c>
      <c r="D14" s="1038"/>
      <c r="E14" s="1178">
        <f t="shared" si="10"/>
        <v>38390</v>
      </c>
      <c r="F14" s="1039">
        <f t="shared" si="0"/>
        <v>3.2783206253932449E-3</v>
      </c>
      <c r="G14" s="1176">
        <v>54373.310000000005</v>
      </c>
      <c r="H14" s="1176">
        <v>0</v>
      </c>
      <c r="I14" s="1178">
        <v>54373.310000000005</v>
      </c>
      <c r="J14" s="1039">
        <v>4.1843131738813679E-3</v>
      </c>
      <c r="K14" s="1039"/>
      <c r="L14" s="1176"/>
      <c r="M14" s="1176"/>
      <c r="N14" s="1022">
        <f t="shared" si="11"/>
        <v>0</v>
      </c>
      <c r="O14" s="1233">
        <f t="shared" si="12"/>
        <v>0</v>
      </c>
      <c r="P14" s="1021"/>
      <c r="Q14" s="1176"/>
      <c r="R14" s="1176"/>
      <c r="S14" s="1022">
        <f t="shared" si="13"/>
        <v>0</v>
      </c>
      <c r="T14" s="1233">
        <f t="shared" si="1"/>
        <v>0</v>
      </c>
      <c r="U14" s="1021"/>
      <c r="V14" s="1122"/>
      <c r="W14" s="1122"/>
      <c r="X14" s="1022">
        <f t="shared" si="14"/>
        <v>0</v>
      </c>
      <c r="Y14" s="1233" t="e">
        <f t="shared" si="15"/>
        <v>#DIV/0!</v>
      </c>
      <c r="Z14" s="1021"/>
      <c r="AA14" s="1122">
        <v>2790</v>
      </c>
      <c r="AB14" s="1176"/>
      <c r="AC14" s="1022">
        <f t="shared" si="16"/>
        <v>2790</v>
      </c>
      <c r="AD14" s="1233">
        <f t="shared" si="17"/>
        <v>1.3536788842383496E-2</v>
      </c>
      <c r="AE14" s="1021"/>
      <c r="AF14" s="1432"/>
      <c r="AG14" s="1432"/>
      <c r="AH14" s="1552">
        <f t="shared" si="18"/>
        <v>0</v>
      </c>
      <c r="AI14" s="1540">
        <f t="shared" si="2"/>
        <v>0</v>
      </c>
      <c r="AJ14" s="1590"/>
      <c r="AK14" s="1432"/>
      <c r="AL14" s="1432"/>
      <c r="AM14" s="1552">
        <f t="shared" si="19"/>
        <v>0</v>
      </c>
      <c r="AN14" s="1540">
        <f t="shared" si="3"/>
        <v>0</v>
      </c>
      <c r="AO14" s="1590"/>
      <c r="AP14" s="1625"/>
      <c r="AQ14" s="1625"/>
      <c r="AR14" s="1776">
        <f t="shared" si="20"/>
        <v>0</v>
      </c>
      <c r="AS14" s="1777">
        <f t="shared" si="4"/>
        <v>0</v>
      </c>
      <c r="AT14" s="1726"/>
      <c r="AU14" s="1432"/>
      <c r="AV14" s="1432"/>
      <c r="AW14" s="1552">
        <f t="shared" si="21"/>
        <v>0</v>
      </c>
      <c r="AX14" s="1877">
        <f t="shared" si="5"/>
        <v>0</v>
      </c>
      <c r="AY14" s="1590"/>
      <c r="AZ14" s="1176"/>
      <c r="BA14" s="1176"/>
      <c r="BB14" s="1022">
        <f t="shared" si="22"/>
        <v>0</v>
      </c>
      <c r="BC14" s="1233" t="e">
        <f t="shared" si="6"/>
        <v>#DIV/0!</v>
      </c>
      <c r="BD14" s="1021"/>
      <c r="BE14" s="1176"/>
      <c r="BF14" s="1176"/>
      <c r="BG14" s="1022">
        <f t="shared" si="23"/>
        <v>0</v>
      </c>
      <c r="BH14" s="1233" t="e">
        <f t="shared" si="7"/>
        <v>#DIV/0!</v>
      </c>
      <c r="BI14" s="1021"/>
      <c r="BJ14" s="1176">
        <f t="shared" si="8"/>
        <v>57163.310000000005</v>
      </c>
      <c r="BK14" s="1176">
        <f t="shared" si="9"/>
        <v>0</v>
      </c>
      <c r="BL14" s="1178">
        <f t="shared" si="24"/>
        <v>57163.310000000005</v>
      </c>
      <c r="BM14" s="1233">
        <f t="shared" si="25"/>
        <v>4.0958518513953667E-3</v>
      </c>
      <c r="BN14" s="1043"/>
    </row>
    <row r="15" spans="1:66" s="2" customFormat="1" ht="15" customHeight="1" outlineLevel="2">
      <c r="A15" s="238"/>
      <c r="B15" s="1258" t="s">
        <v>20</v>
      </c>
      <c r="C15" s="1037"/>
      <c r="D15" s="1230">
        <v>50000</v>
      </c>
      <c r="E15" s="1178">
        <f t="shared" si="10"/>
        <v>50000</v>
      </c>
      <c r="F15" s="1039">
        <f t="shared" si="0"/>
        <v>4.2697585639401466E-3</v>
      </c>
      <c r="G15" s="1176">
        <v>0</v>
      </c>
      <c r="H15" s="1176">
        <v>203895</v>
      </c>
      <c r="I15" s="1178">
        <v>203895</v>
      </c>
      <c r="J15" s="1039">
        <v>1.569079635925312E-2</v>
      </c>
      <c r="K15" s="1039"/>
      <c r="L15" s="1176"/>
      <c r="M15" s="1176"/>
      <c r="N15" s="1022">
        <f t="shared" si="11"/>
        <v>0</v>
      </c>
      <c r="O15" s="1233">
        <f t="shared" si="12"/>
        <v>0</v>
      </c>
      <c r="P15" s="1021"/>
      <c r="Q15" s="1176"/>
      <c r="R15" s="1176">
        <v>12000</v>
      </c>
      <c r="S15" s="1022">
        <f t="shared" si="13"/>
        <v>12000</v>
      </c>
      <c r="T15" s="1233">
        <f t="shared" si="1"/>
        <v>2.1020289766199671E-2</v>
      </c>
      <c r="U15" s="1021"/>
      <c r="V15" s="1122"/>
      <c r="W15" s="1122"/>
      <c r="X15" s="1022">
        <f t="shared" si="14"/>
        <v>0</v>
      </c>
      <c r="Y15" s="1233" t="e">
        <f t="shared" si="15"/>
        <v>#DIV/0!</v>
      </c>
      <c r="Z15" s="1021"/>
      <c r="AA15" s="1176"/>
      <c r="AB15" s="1176"/>
      <c r="AC15" s="1022">
        <f t="shared" si="16"/>
        <v>0</v>
      </c>
      <c r="AD15" s="1233">
        <f t="shared" si="17"/>
        <v>0</v>
      </c>
      <c r="AE15" s="1021"/>
      <c r="AF15" s="1432"/>
      <c r="AG15" s="1432"/>
      <c r="AH15" s="1552">
        <f t="shared" si="18"/>
        <v>0</v>
      </c>
      <c r="AI15" s="1540">
        <f t="shared" si="2"/>
        <v>0</v>
      </c>
      <c r="AJ15" s="1590"/>
      <c r="AK15" s="1432"/>
      <c r="AL15" s="1432"/>
      <c r="AM15" s="1552">
        <f t="shared" si="19"/>
        <v>0</v>
      </c>
      <c r="AN15" s="1540">
        <f t="shared" si="3"/>
        <v>0</v>
      </c>
      <c r="AO15" s="1590"/>
      <c r="AP15" s="1625"/>
      <c r="AQ15" s="1625"/>
      <c r="AR15" s="1776">
        <f t="shared" si="20"/>
        <v>0</v>
      </c>
      <c r="AS15" s="1777">
        <f t="shared" si="4"/>
        <v>0</v>
      </c>
      <c r="AT15" s="1726"/>
      <c r="AU15" s="1432"/>
      <c r="AV15" s="1432"/>
      <c r="AW15" s="1552">
        <f t="shared" si="21"/>
        <v>0</v>
      </c>
      <c r="AX15" s="1877">
        <f t="shared" si="5"/>
        <v>0</v>
      </c>
      <c r="AY15" s="1590"/>
      <c r="AZ15" s="1176"/>
      <c r="BA15" s="1176"/>
      <c r="BB15" s="1022">
        <f t="shared" si="22"/>
        <v>0</v>
      </c>
      <c r="BC15" s="1233" t="e">
        <f t="shared" si="6"/>
        <v>#DIV/0!</v>
      </c>
      <c r="BD15" s="1021"/>
      <c r="BE15" s="1176"/>
      <c r="BF15" s="1176"/>
      <c r="BG15" s="1022">
        <f t="shared" si="23"/>
        <v>0</v>
      </c>
      <c r="BH15" s="1233" t="e">
        <f t="shared" si="7"/>
        <v>#DIV/0!</v>
      </c>
      <c r="BI15" s="1021"/>
      <c r="BJ15" s="1176">
        <f t="shared" si="8"/>
        <v>0</v>
      </c>
      <c r="BK15" s="1176">
        <f t="shared" si="9"/>
        <v>215895</v>
      </c>
      <c r="BL15" s="1178">
        <f t="shared" si="24"/>
        <v>215895</v>
      </c>
      <c r="BM15" s="1233">
        <f t="shared" si="25"/>
        <v>1.5469257036672696E-2</v>
      </c>
      <c r="BN15" s="1043"/>
    </row>
    <row r="16" spans="1:66" s="953" customFormat="1" ht="49.2" customHeight="1" outlineLevel="2">
      <c r="A16" s="952"/>
      <c r="B16" s="1288" t="s">
        <v>21</v>
      </c>
      <c r="C16" s="1123"/>
      <c r="D16" s="1289">
        <v>2724573</v>
      </c>
      <c r="E16" s="1124">
        <f t="shared" si="10"/>
        <v>2724573</v>
      </c>
      <c r="F16" s="1125">
        <f t="shared" si="0"/>
        <v>0.23266537799660195</v>
      </c>
      <c r="G16" s="1176">
        <v>0</v>
      </c>
      <c r="H16" s="1176">
        <v>3235402.37</v>
      </c>
      <c r="I16" s="1178">
        <v>3235402.37</v>
      </c>
      <c r="J16" s="1125">
        <v>0.24898128805470915</v>
      </c>
      <c r="K16" s="1125"/>
      <c r="L16" s="1126"/>
      <c r="M16" s="1126"/>
      <c r="N16" s="1127">
        <f t="shared" si="11"/>
        <v>0</v>
      </c>
      <c r="O16" s="1290">
        <f t="shared" si="12"/>
        <v>0</v>
      </c>
      <c r="P16" s="1128"/>
      <c r="Q16" s="1126"/>
      <c r="R16" s="1126">
        <v>100000</v>
      </c>
      <c r="S16" s="1127">
        <f t="shared" si="13"/>
        <v>100000</v>
      </c>
      <c r="T16" s="1290">
        <f t="shared" si="1"/>
        <v>0.17516908138499726</v>
      </c>
      <c r="U16" s="1128" t="s">
        <v>1051</v>
      </c>
      <c r="V16" s="1126"/>
      <c r="W16" s="1126"/>
      <c r="X16" s="1127">
        <f t="shared" si="14"/>
        <v>0</v>
      </c>
      <c r="Y16" s="1290" t="e">
        <f t="shared" si="15"/>
        <v>#DIV/0!</v>
      </c>
      <c r="Z16" s="1128"/>
      <c r="AA16" s="1126"/>
      <c r="AB16" s="1126">
        <f>8333+28490.42+34000</f>
        <v>70823.42</v>
      </c>
      <c r="AC16" s="1127">
        <f t="shared" si="16"/>
        <v>70823.42</v>
      </c>
      <c r="AD16" s="1290">
        <f t="shared" si="17"/>
        <v>0.34362784288008602</v>
      </c>
      <c r="AE16" s="1128" t="s">
        <v>1106</v>
      </c>
      <c r="AF16" s="1752"/>
      <c r="AG16" s="1752"/>
      <c r="AH16" s="1753">
        <f t="shared" si="18"/>
        <v>0</v>
      </c>
      <c r="AI16" s="1830">
        <f>AH16/$AH$89</f>
        <v>0</v>
      </c>
      <c r="AJ16" s="1754"/>
      <c r="AK16" s="1752"/>
      <c r="AL16" s="1752"/>
      <c r="AM16" s="1753">
        <f t="shared" si="19"/>
        <v>0</v>
      </c>
      <c r="AN16" s="1830">
        <f t="shared" si="3"/>
        <v>0</v>
      </c>
      <c r="AO16" s="1754"/>
      <c r="AP16" s="1625"/>
      <c r="AQ16" s="1625"/>
      <c r="AR16" s="1776">
        <f t="shared" si="20"/>
        <v>0</v>
      </c>
      <c r="AS16" s="1777">
        <f t="shared" si="4"/>
        <v>0</v>
      </c>
      <c r="AT16" s="1726"/>
      <c r="AU16" s="1752"/>
      <c r="AV16" s="1752"/>
      <c r="AW16" s="1753">
        <f t="shared" si="21"/>
        <v>0</v>
      </c>
      <c r="AX16" s="1924">
        <f t="shared" si="5"/>
        <v>0</v>
      </c>
      <c r="AY16" s="1754"/>
      <c r="AZ16" s="1126"/>
      <c r="BA16" s="1126"/>
      <c r="BB16" s="1127">
        <f t="shared" si="22"/>
        <v>0</v>
      </c>
      <c r="BC16" s="1290" t="e">
        <f t="shared" si="6"/>
        <v>#DIV/0!</v>
      </c>
      <c r="BD16" s="1128"/>
      <c r="BE16" s="1126"/>
      <c r="BF16" s="1126"/>
      <c r="BG16" s="1127">
        <f t="shared" si="23"/>
        <v>0</v>
      </c>
      <c r="BH16" s="1290" t="e">
        <f t="shared" si="7"/>
        <v>#DIV/0!</v>
      </c>
      <c r="BI16" s="1128" t="s">
        <v>966</v>
      </c>
      <c r="BJ16" s="1126">
        <f t="shared" si="8"/>
        <v>0</v>
      </c>
      <c r="BK16" s="1126">
        <f t="shared" si="9"/>
        <v>3406225.79</v>
      </c>
      <c r="BL16" s="1124">
        <f t="shared" si="24"/>
        <v>3406225.79</v>
      </c>
      <c r="BM16" s="1290">
        <f t="shared" si="25"/>
        <v>0.2440620777250678</v>
      </c>
      <c r="BN16" s="1129"/>
    </row>
    <row r="17" spans="1:66" s="2" customFormat="1" ht="15" customHeight="1" outlineLevel="2">
      <c r="A17" s="238"/>
      <c r="B17" s="1258" t="s">
        <v>22</v>
      </c>
      <c r="C17" s="1037"/>
      <c r="D17" s="1230"/>
      <c r="E17" s="1178">
        <f t="shared" si="10"/>
        <v>0</v>
      </c>
      <c r="F17" s="1039">
        <f t="shared" si="0"/>
        <v>0</v>
      </c>
      <c r="G17" s="1176">
        <v>6447.53</v>
      </c>
      <c r="H17" s="1176">
        <v>0</v>
      </c>
      <c r="I17" s="1178">
        <v>6447.53</v>
      </c>
      <c r="J17" s="1039">
        <v>4.961714620278833E-4</v>
      </c>
      <c r="K17" s="1039"/>
      <c r="L17" s="1176"/>
      <c r="M17" s="1176"/>
      <c r="N17" s="1022">
        <f t="shared" si="11"/>
        <v>0</v>
      </c>
      <c r="O17" s="1233">
        <f t="shared" si="12"/>
        <v>0</v>
      </c>
      <c r="P17" s="1021"/>
      <c r="Q17" s="1176"/>
      <c r="R17" s="1176"/>
      <c r="S17" s="1022">
        <f t="shared" si="13"/>
        <v>0</v>
      </c>
      <c r="T17" s="1233">
        <f t="shared" si="1"/>
        <v>0</v>
      </c>
      <c r="U17" s="1021"/>
      <c r="V17" s="1122"/>
      <c r="W17" s="1122"/>
      <c r="X17" s="1022">
        <f t="shared" si="14"/>
        <v>0</v>
      </c>
      <c r="Y17" s="1233" t="e">
        <f t="shared" si="15"/>
        <v>#DIV/0!</v>
      </c>
      <c r="Z17" s="1021"/>
      <c r="AA17" s="1176"/>
      <c r="AB17" s="1176"/>
      <c r="AC17" s="1022">
        <f t="shared" si="16"/>
        <v>0</v>
      </c>
      <c r="AD17" s="1233">
        <f t="shared" si="17"/>
        <v>0</v>
      </c>
      <c r="AE17" s="1021"/>
      <c r="AF17" s="1432"/>
      <c r="AG17" s="1432"/>
      <c r="AH17" s="1552">
        <f t="shared" si="18"/>
        <v>0</v>
      </c>
      <c r="AI17" s="1540">
        <f t="shared" si="2"/>
        <v>0</v>
      </c>
      <c r="AJ17" s="1590"/>
      <c r="AK17" s="1432"/>
      <c r="AL17" s="1432"/>
      <c r="AM17" s="1552">
        <f t="shared" si="19"/>
        <v>0</v>
      </c>
      <c r="AN17" s="1540">
        <f t="shared" si="3"/>
        <v>0</v>
      </c>
      <c r="AO17" s="1590"/>
      <c r="AP17" s="1625"/>
      <c r="AQ17" s="1625"/>
      <c r="AR17" s="1776">
        <f t="shared" si="20"/>
        <v>0</v>
      </c>
      <c r="AS17" s="1777">
        <f t="shared" si="4"/>
        <v>0</v>
      </c>
      <c r="AT17" s="1726"/>
      <c r="AU17" s="1432"/>
      <c r="AV17" s="1432"/>
      <c r="AW17" s="1552">
        <f t="shared" si="21"/>
        <v>0</v>
      </c>
      <c r="AX17" s="1877">
        <f t="shared" si="5"/>
        <v>0</v>
      </c>
      <c r="AY17" s="1590"/>
      <c r="AZ17" s="1176"/>
      <c r="BA17" s="1176"/>
      <c r="BB17" s="1022">
        <f t="shared" si="22"/>
        <v>0</v>
      </c>
      <c r="BC17" s="1233" t="e">
        <f t="shared" si="6"/>
        <v>#DIV/0!</v>
      </c>
      <c r="BD17" s="1021"/>
      <c r="BE17" s="1176"/>
      <c r="BF17" s="1176"/>
      <c r="BG17" s="1022">
        <f t="shared" si="23"/>
        <v>0</v>
      </c>
      <c r="BH17" s="1233" t="e">
        <f t="shared" si="7"/>
        <v>#DIV/0!</v>
      </c>
      <c r="BI17" s="1021"/>
      <c r="BJ17" s="1176">
        <f t="shared" si="8"/>
        <v>6447.53</v>
      </c>
      <c r="BK17" s="1176">
        <f t="shared" si="9"/>
        <v>0</v>
      </c>
      <c r="BL17" s="1178">
        <f t="shared" si="24"/>
        <v>6447.53</v>
      </c>
      <c r="BM17" s="1233">
        <f t="shared" si="25"/>
        <v>4.6197688145468074E-4</v>
      </c>
      <c r="BN17" s="1043"/>
    </row>
    <row r="18" spans="1:66" s="2" customFormat="1" ht="37.950000000000003" customHeight="1" outlineLevel="2">
      <c r="A18" s="238"/>
      <c r="B18" s="1258" t="s">
        <v>0</v>
      </c>
      <c r="C18" s="1037">
        <v>149796</v>
      </c>
      <c r="D18" s="1230"/>
      <c r="E18" s="1178">
        <f t="shared" si="10"/>
        <v>149796</v>
      </c>
      <c r="F18" s="1039">
        <f t="shared" si="0"/>
        <v>1.2791855076879565E-2</v>
      </c>
      <c r="G18" s="1176">
        <v>168110</v>
      </c>
      <c r="H18" s="1176">
        <v>2070</v>
      </c>
      <c r="I18" s="1178">
        <v>170180</v>
      </c>
      <c r="J18" s="1039">
        <v>1.309624916951223E-2</v>
      </c>
      <c r="K18" s="1039"/>
      <c r="L18" s="1176"/>
      <c r="M18" s="1176"/>
      <c r="N18" s="1022">
        <f t="shared" si="11"/>
        <v>0</v>
      </c>
      <c r="O18" s="1233">
        <f t="shared" si="12"/>
        <v>0</v>
      </c>
      <c r="P18" s="1021"/>
      <c r="Q18" s="1176"/>
      <c r="R18" s="1176"/>
      <c r="S18" s="1022">
        <f t="shared" si="13"/>
        <v>0</v>
      </c>
      <c r="T18" s="1233">
        <f t="shared" si="1"/>
        <v>0</v>
      </c>
      <c r="U18" s="1021"/>
      <c r="V18" s="1176"/>
      <c r="W18" s="1122"/>
      <c r="X18" s="1022">
        <f t="shared" si="14"/>
        <v>0</v>
      </c>
      <c r="Y18" s="1233" t="e">
        <f t="shared" si="15"/>
        <v>#DIV/0!</v>
      </c>
      <c r="Z18" s="1021"/>
      <c r="AA18" s="1176">
        <f>4125*1.2</f>
        <v>4950</v>
      </c>
      <c r="AB18" s="1122"/>
      <c r="AC18" s="1022">
        <f t="shared" si="16"/>
        <v>4950</v>
      </c>
      <c r="AD18" s="1233">
        <f t="shared" si="17"/>
        <v>2.4016883430035232E-2</v>
      </c>
      <c r="AE18" s="1021" t="s">
        <v>1101</v>
      </c>
      <c r="AF18" s="1432"/>
      <c r="AG18" s="1432"/>
      <c r="AH18" s="1552"/>
      <c r="AI18" s="1540">
        <f t="shared" si="2"/>
        <v>0</v>
      </c>
      <c r="AJ18" s="1590"/>
      <c r="AK18" s="1625">
        <v>0</v>
      </c>
      <c r="AL18" s="1764">
        <v>0</v>
      </c>
      <c r="AM18" s="1552">
        <f t="shared" si="19"/>
        <v>0</v>
      </c>
      <c r="AN18" s="1540">
        <f t="shared" si="3"/>
        <v>0</v>
      </c>
      <c r="AO18" s="1762"/>
      <c r="AP18" s="1625">
        <f>9100*1.2</f>
        <v>10920</v>
      </c>
      <c r="AQ18" s="1625"/>
      <c r="AR18" s="1776">
        <f t="shared" si="20"/>
        <v>10920</v>
      </c>
      <c r="AS18" s="1777">
        <f t="shared" si="4"/>
        <v>0.16820702402957485</v>
      </c>
      <c r="AT18" s="1726" t="s">
        <v>1231</v>
      </c>
      <c r="AU18" s="1432"/>
      <c r="AV18" s="1432"/>
      <c r="AW18" s="1552">
        <f t="shared" si="21"/>
        <v>0</v>
      </c>
      <c r="AX18" s="1877">
        <f t="shared" si="5"/>
        <v>0</v>
      </c>
      <c r="AY18" s="1590"/>
      <c r="AZ18" s="1176"/>
      <c r="BA18" s="1176"/>
      <c r="BB18" s="1022">
        <f t="shared" si="22"/>
        <v>0</v>
      </c>
      <c r="BC18" s="1233" t="e">
        <f t="shared" si="6"/>
        <v>#DIV/0!</v>
      </c>
      <c r="BD18" s="1021"/>
      <c r="BE18" s="1176"/>
      <c r="BF18" s="1176"/>
      <c r="BG18" s="1022">
        <f t="shared" si="23"/>
        <v>0</v>
      </c>
      <c r="BH18" s="1233" t="e">
        <f t="shared" si="7"/>
        <v>#DIV/0!</v>
      </c>
      <c r="BI18" s="1021"/>
      <c r="BJ18" s="1176">
        <f t="shared" si="8"/>
        <v>183980</v>
      </c>
      <c r="BK18" s="1176">
        <f t="shared" si="9"/>
        <v>2070</v>
      </c>
      <c r="BL18" s="1178">
        <f t="shared" si="24"/>
        <v>186050</v>
      </c>
      <c r="BM18" s="1233">
        <f t="shared" si="25"/>
        <v>1.3330810216415179E-2</v>
      </c>
      <c r="BN18" s="1043"/>
    </row>
    <row r="19" spans="1:66" s="2" customFormat="1" ht="15" customHeight="1" outlineLevel="2">
      <c r="A19" s="238"/>
      <c r="B19" s="1258" t="s">
        <v>53</v>
      </c>
      <c r="C19" s="1101">
        <v>9900</v>
      </c>
      <c r="D19" s="1230"/>
      <c r="E19" s="1178">
        <f t="shared" si="10"/>
        <v>9900</v>
      </c>
      <c r="F19" s="1039">
        <f t="shared" si="0"/>
        <v>8.4541219566014903E-4</v>
      </c>
      <c r="G19" s="1176">
        <v>76795.995999999999</v>
      </c>
      <c r="H19" s="1176">
        <v>0</v>
      </c>
      <c r="I19" s="1178">
        <v>76795.995999999999</v>
      </c>
      <c r="J19" s="1039">
        <v>5.9098572031781914E-3</v>
      </c>
      <c r="K19" s="1039"/>
      <c r="L19" s="1176"/>
      <c r="M19" s="1176"/>
      <c r="N19" s="1022">
        <f t="shared" si="11"/>
        <v>0</v>
      </c>
      <c r="O19" s="1233">
        <f t="shared" si="12"/>
        <v>0</v>
      </c>
      <c r="P19" s="1021"/>
      <c r="Q19" s="1176"/>
      <c r="R19" s="1176"/>
      <c r="S19" s="1022">
        <f t="shared" si="13"/>
        <v>0</v>
      </c>
      <c r="T19" s="1233">
        <f t="shared" si="1"/>
        <v>0</v>
      </c>
      <c r="U19" s="1021"/>
      <c r="V19" s="1122"/>
      <c r="W19" s="1122"/>
      <c r="X19" s="1022">
        <f t="shared" si="14"/>
        <v>0</v>
      </c>
      <c r="Y19" s="1233" t="e">
        <f t="shared" si="15"/>
        <v>#DIV/0!</v>
      </c>
      <c r="Z19" s="1021"/>
      <c r="AA19" s="1122"/>
      <c r="AB19" s="1122"/>
      <c r="AC19" s="1022">
        <f t="shared" si="16"/>
        <v>0</v>
      </c>
      <c r="AD19" s="1233">
        <f t="shared" si="17"/>
        <v>0</v>
      </c>
      <c r="AE19" s="1021"/>
      <c r="AF19" s="1751"/>
      <c r="AG19" s="1432"/>
      <c r="AH19" s="1552">
        <f t="shared" si="18"/>
        <v>0</v>
      </c>
      <c r="AI19" s="1540">
        <f t="shared" si="2"/>
        <v>0</v>
      </c>
      <c r="AJ19" s="1590"/>
      <c r="AK19" s="1432"/>
      <c r="AL19" s="1432"/>
      <c r="AM19" s="1552">
        <f t="shared" si="19"/>
        <v>0</v>
      </c>
      <c r="AN19" s="1540">
        <f t="shared" si="3"/>
        <v>0</v>
      </c>
      <c r="AO19" s="1590"/>
      <c r="AP19" s="1831"/>
      <c r="AQ19" s="1625"/>
      <c r="AR19" s="1776">
        <f t="shared" si="20"/>
        <v>0</v>
      </c>
      <c r="AS19" s="1777">
        <f t="shared" si="4"/>
        <v>0</v>
      </c>
      <c r="AT19" s="1726"/>
      <c r="AU19" s="1751"/>
      <c r="AV19" s="1432"/>
      <c r="AW19" s="1552">
        <f t="shared" si="21"/>
        <v>0</v>
      </c>
      <c r="AX19" s="1877">
        <f t="shared" si="5"/>
        <v>0</v>
      </c>
      <c r="AY19" s="1754"/>
      <c r="AZ19" s="1122"/>
      <c r="BA19" s="1176"/>
      <c r="BB19" s="1022">
        <f t="shared" si="22"/>
        <v>0</v>
      </c>
      <c r="BC19" s="1233" t="e">
        <f t="shared" si="6"/>
        <v>#DIV/0!</v>
      </c>
      <c r="BD19" s="1128"/>
      <c r="BE19" s="1122"/>
      <c r="BF19" s="1176"/>
      <c r="BG19" s="1022">
        <f t="shared" si="23"/>
        <v>0</v>
      </c>
      <c r="BH19" s="1233" t="e">
        <f t="shared" si="7"/>
        <v>#DIV/0!</v>
      </c>
      <c r="BI19" s="1128"/>
      <c r="BJ19" s="1176">
        <f t="shared" si="8"/>
        <v>76795.995999999999</v>
      </c>
      <c r="BK19" s="1176">
        <f t="shared" si="9"/>
        <v>0</v>
      </c>
      <c r="BL19" s="1178">
        <f t="shared" si="24"/>
        <v>76795.995999999999</v>
      </c>
      <c r="BM19" s="1233">
        <f t="shared" si="25"/>
        <v>5.502568385146892E-3</v>
      </c>
      <c r="BN19" s="1043"/>
    </row>
    <row r="20" spans="1:66" s="2" customFormat="1" ht="15" customHeight="1" outlineLevel="2">
      <c r="A20" s="238"/>
      <c r="B20" s="1258" t="s">
        <v>57</v>
      </c>
      <c r="C20" s="1101">
        <v>1618394</v>
      </c>
      <c r="D20" s="1230"/>
      <c r="E20" s="1178">
        <f t="shared" si="10"/>
        <v>1618394</v>
      </c>
      <c r="F20" s="1039">
        <f t="shared" si="0"/>
        <v>0.138203032826587</v>
      </c>
      <c r="G20" s="1176">
        <v>1372613.348</v>
      </c>
      <c r="H20" s="1176">
        <v>0</v>
      </c>
      <c r="I20" s="1178">
        <v>1372613.348</v>
      </c>
      <c r="J20" s="1039">
        <v>0.10562984145496769</v>
      </c>
      <c r="K20" s="1039"/>
      <c r="L20" s="1176"/>
      <c r="M20" s="1176"/>
      <c r="N20" s="1022">
        <f t="shared" si="11"/>
        <v>0</v>
      </c>
      <c r="O20" s="1233">
        <f t="shared" si="12"/>
        <v>0</v>
      </c>
      <c r="P20" s="1021"/>
      <c r="Q20" s="1176"/>
      <c r="R20" s="1176"/>
      <c r="S20" s="1022">
        <f t="shared" si="13"/>
        <v>0</v>
      </c>
      <c r="T20" s="1233">
        <f t="shared" si="1"/>
        <v>0</v>
      </c>
      <c r="U20" s="1021"/>
      <c r="V20" s="1122"/>
      <c r="W20" s="1122"/>
      <c r="X20" s="1022">
        <f t="shared" si="14"/>
        <v>0</v>
      </c>
      <c r="Y20" s="1233" t="e">
        <f t="shared" si="15"/>
        <v>#DIV/0!</v>
      </c>
      <c r="Z20" s="1021"/>
      <c r="AA20" s="1176"/>
      <c r="AB20" s="1176"/>
      <c r="AC20" s="1022">
        <f t="shared" si="16"/>
        <v>0</v>
      </c>
      <c r="AD20" s="1233">
        <f t="shared" si="17"/>
        <v>0</v>
      </c>
      <c r="AE20" s="1021"/>
      <c r="AF20" s="1432"/>
      <c r="AG20" s="1432"/>
      <c r="AH20" s="1552">
        <f t="shared" si="18"/>
        <v>0</v>
      </c>
      <c r="AI20" s="1540">
        <f t="shared" si="2"/>
        <v>0</v>
      </c>
      <c r="AJ20" s="1590"/>
      <c r="AK20" s="1432"/>
      <c r="AL20" s="1432"/>
      <c r="AM20" s="1552">
        <f t="shared" si="19"/>
        <v>0</v>
      </c>
      <c r="AN20" s="1540">
        <f t="shared" si="3"/>
        <v>0</v>
      </c>
      <c r="AO20" s="1590"/>
      <c r="AP20" s="1625"/>
      <c r="AQ20" s="1625"/>
      <c r="AR20" s="1776">
        <f t="shared" si="20"/>
        <v>0</v>
      </c>
      <c r="AS20" s="1777">
        <f t="shared" si="4"/>
        <v>0</v>
      </c>
      <c r="AT20" s="1726"/>
      <c r="AU20" s="1432"/>
      <c r="AV20" s="1432"/>
      <c r="AW20" s="1552">
        <f t="shared" si="21"/>
        <v>0</v>
      </c>
      <c r="AX20" s="1877">
        <f t="shared" si="5"/>
        <v>0</v>
      </c>
      <c r="AY20" s="1754"/>
      <c r="AZ20" s="1176"/>
      <c r="BA20" s="1176"/>
      <c r="BB20" s="1022">
        <f t="shared" si="22"/>
        <v>0</v>
      </c>
      <c r="BC20" s="1233" t="e">
        <f t="shared" si="6"/>
        <v>#DIV/0!</v>
      </c>
      <c r="BD20" s="1128"/>
      <c r="BE20" s="1176"/>
      <c r="BF20" s="1176"/>
      <c r="BG20" s="1022">
        <f t="shared" si="23"/>
        <v>0</v>
      </c>
      <c r="BH20" s="1233" t="e">
        <f t="shared" si="7"/>
        <v>#DIV/0!</v>
      </c>
      <c r="BI20" s="1128"/>
      <c r="BJ20" s="1176">
        <f t="shared" si="8"/>
        <v>1372613.348</v>
      </c>
      <c r="BK20" s="1176">
        <f t="shared" si="9"/>
        <v>0</v>
      </c>
      <c r="BL20" s="1178">
        <f t="shared" si="24"/>
        <v>1372613.348</v>
      </c>
      <c r="BM20" s="1233">
        <f t="shared" si="25"/>
        <v>9.8350164163967982E-2</v>
      </c>
      <c r="BN20" s="1043"/>
    </row>
    <row r="21" spans="1:66" s="2" customFormat="1" ht="15" customHeight="1" outlineLevel="2">
      <c r="A21" s="238"/>
      <c r="B21" s="1258" t="s">
        <v>58</v>
      </c>
      <c r="C21" s="1101">
        <v>859071</v>
      </c>
      <c r="D21" s="1230"/>
      <c r="E21" s="1178">
        <f t="shared" si="10"/>
        <v>859071</v>
      </c>
      <c r="F21" s="1039">
        <f t="shared" si="0"/>
        <v>7.3360515185652522E-2</v>
      </c>
      <c r="G21" s="1176">
        <v>1029223.2850000001</v>
      </c>
      <c r="H21" s="1176">
        <v>0</v>
      </c>
      <c r="I21" s="1178">
        <v>1029223.2850000001</v>
      </c>
      <c r="J21" s="1039">
        <v>7.9204163776142325E-2</v>
      </c>
      <c r="K21" s="1039"/>
      <c r="L21" s="1176"/>
      <c r="M21" s="1176"/>
      <c r="N21" s="1022">
        <f t="shared" si="11"/>
        <v>0</v>
      </c>
      <c r="O21" s="1233">
        <f t="shared" si="12"/>
        <v>0</v>
      </c>
      <c r="P21" s="1021"/>
      <c r="Q21" s="1176"/>
      <c r="R21" s="1176"/>
      <c r="S21" s="1022">
        <f t="shared" si="13"/>
        <v>0</v>
      </c>
      <c r="T21" s="1233">
        <f t="shared" si="1"/>
        <v>0</v>
      </c>
      <c r="U21" s="1021"/>
      <c r="V21" s="1122"/>
      <c r="W21" s="1122"/>
      <c r="X21" s="1022">
        <f t="shared" si="14"/>
        <v>0</v>
      </c>
      <c r="Y21" s="1233" t="e">
        <f t="shared" si="15"/>
        <v>#DIV/0!</v>
      </c>
      <c r="Z21" s="1021"/>
      <c r="AA21" s="1176"/>
      <c r="AB21" s="1176"/>
      <c r="AC21" s="1022">
        <f t="shared" si="16"/>
        <v>0</v>
      </c>
      <c r="AD21" s="1233">
        <f t="shared" si="17"/>
        <v>0</v>
      </c>
      <c r="AE21" s="1021"/>
      <c r="AF21" s="1432"/>
      <c r="AG21" s="1432"/>
      <c r="AH21" s="1552">
        <f t="shared" si="18"/>
        <v>0</v>
      </c>
      <c r="AI21" s="1540">
        <f t="shared" si="2"/>
        <v>0</v>
      </c>
      <c r="AJ21" s="1590"/>
      <c r="AK21" s="1432"/>
      <c r="AL21" s="1764">
        <v>20000</v>
      </c>
      <c r="AM21" s="1552">
        <f t="shared" si="19"/>
        <v>20000</v>
      </c>
      <c r="AN21" s="1540">
        <f t="shared" si="3"/>
        <v>0.23657876999462718</v>
      </c>
      <c r="AO21" s="1590"/>
      <c r="AP21" s="1625"/>
      <c r="AQ21" s="1625"/>
      <c r="AR21" s="1776">
        <f t="shared" si="20"/>
        <v>0</v>
      </c>
      <c r="AS21" s="1777">
        <f t="shared" si="4"/>
        <v>0</v>
      </c>
      <c r="AT21" s="1726"/>
      <c r="AU21" s="1432"/>
      <c r="AV21" s="1432"/>
      <c r="AW21" s="1552">
        <f t="shared" si="21"/>
        <v>0</v>
      </c>
      <c r="AX21" s="1877">
        <f t="shared" si="5"/>
        <v>0</v>
      </c>
      <c r="AY21" s="1590"/>
      <c r="AZ21" s="1176"/>
      <c r="BA21" s="1176"/>
      <c r="BB21" s="1022">
        <f t="shared" si="22"/>
        <v>0</v>
      </c>
      <c r="BC21" s="1233" t="e">
        <f t="shared" si="6"/>
        <v>#DIV/0!</v>
      </c>
      <c r="BD21" s="1021"/>
      <c r="BE21" s="1176"/>
      <c r="BF21" s="1176"/>
      <c r="BG21" s="1022">
        <f t="shared" si="23"/>
        <v>0</v>
      </c>
      <c r="BH21" s="1233" t="e">
        <f t="shared" si="7"/>
        <v>#DIV/0!</v>
      </c>
      <c r="BI21" s="1021"/>
      <c r="BJ21" s="1176">
        <f t="shared" si="8"/>
        <v>1029223.2850000001</v>
      </c>
      <c r="BK21" s="1176">
        <f t="shared" si="9"/>
        <v>20000</v>
      </c>
      <c r="BL21" s="1178">
        <f t="shared" si="24"/>
        <v>1049223.2850000001</v>
      </c>
      <c r="BM21" s="1233">
        <f t="shared" si="25"/>
        <v>7.5178696516950805E-2</v>
      </c>
      <c r="BN21" s="1043"/>
    </row>
    <row r="22" spans="1:66" s="2" customFormat="1" ht="15" customHeight="1" outlineLevel="2">
      <c r="A22" s="238"/>
      <c r="B22" s="1258" t="s">
        <v>621</v>
      </c>
      <c r="C22" s="1101">
        <v>974989</v>
      </c>
      <c r="D22" s="1230"/>
      <c r="E22" s="1178">
        <f t="shared" si="10"/>
        <v>974989</v>
      </c>
      <c r="F22" s="1039"/>
      <c r="G22" s="1176">
        <v>1332549.7720000001</v>
      </c>
      <c r="H22" s="1176">
        <v>20700</v>
      </c>
      <c r="I22" s="1178">
        <v>1353249.7720000001</v>
      </c>
      <c r="J22" s="1039">
        <v>0.10413971208542494</v>
      </c>
      <c r="K22" s="1039"/>
      <c r="L22" s="1176"/>
      <c r="M22" s="1176">
        <v>2000</v>
      </c>
      <c r="N22" s="1022">
        <f t="shared" si="11"/>
        <v>2000</v>
      </c>
      <c r="O22" s="1233">
        <f t="shared" si="12"/>
        <v>0.10055187956889827</v>
      </c>
      <c r="P22" s="1021" t="s">
        <v>985</v>
      </c>
      <c r="Q22" s="1176"/>
      <c r="R22" s="1176"/>
      <c r="S22" s="1022">
        <f t="shared" si="13"/>
        <v>0</v>
      </c>
      <c r="T22" s="1233">
        <f t="shared" si="1"/>
        <v>0</v>
      </c>
      <c r="U22" s="1021"/>
      <c r="V22" s="1122"/>
      <c r="W22" s="1122"/>
      <c r="X22" s="1022">
        <f t="shared" si="14"/>
        <v>0</v>
      </c>
      <c r="Y22" s="1233" t="e">
        <f t="shared" si="15"/>
        <v>#DIV/0!</v>
      </c>
      <c r="Z22" s="1021"/>
      <c r="AA22" s="1176"/>
      <c r="AB22" s="1176"/>
      <c r="AC22" s="1022">
        <f t="shared" si="16"/>
        <v>0</v>
      </c>
      <c r="AD22" s="1233">
        <f t="shared" si="17"/>
        <v>0</v>
      </c>
      <c r="AE22" s="1021"/>
      <c r="AF22" s="1432"/>
      <c r="AG22" s="1432"/>
      <c r="AH22" s="1552">
        <f t="shared" si="18"/>
        <v>0</v>
      </c>
      <c r="AI22" s="1540">
        <f t="shared" si="2"/>
        <v>0</v>
      </c>
      <c r="AJ22" s="1590"/>
      <c r="AK22" s="1432"/>
      <c r="AL22" s="1432"/>
      <c r="AM22" s="1552">
        <f t="shared" si="19"/>
        <v>0</v>
      </c>
      <c r="AN22" s="1540">
        <f t="shared" si="3"/>
        <v>0</v>
      </c>
      <c r="AO22" s="1590"/>
      <c r="AP22" s="1625"/>
      <c r="AQ22" s="1625"/>
      <c r="AR22" s="1776">
        <f t="shared" si="20"/>
        <v>0</v>
      </c>
      <c r="AS22" s="1777">
        <f t="shared" si="4"/>
        <v>0</v>
      </c>
      <c r="AT22" s="1726"/>
      <c r="AU22" s="1432"/>
      <c r="AV22" s="1432"/>
      <c r="AW22" s="1552">
        <f t="shared" si="21"/>
        <v>0</v>
      </c>
      <c r="AX22" s="1877">
        <f t="shared" si="5"/>
        <v>0</v>
      </c>
      <c r="AY22" s="1754"/>
      <c r="AZ22" s="1176"/>
      <c r="BA22" s="1176"/>
      <c r="BB22" s="1022">
        <f t="shared" si="22"/>
        <v>0</v>
      </c>
      <c r="BC22" s="1233" t="e">
        <f t="shared" si="6"/>
        <v>#DIV/0!</v>
      </c>
      <c r="BD22" s="1128"/>
      <c r="BE22" s="1176"/>
      <c r="BF22" s="1176"/>
      <c r="BG22" s="1022">
        <f t="shared" si="23"/>
        <v>0</v>
      </c>
      <c r="BH22" s="1233" t="e">
        <f t="shared" si="7"/>
        <v>#DIV/0!</v>
      </c>
      <c r="BI22" s="1128"/>
      <c r="BJ22" s="1176">
        <f t="shared" si="8"/>
        <v>1332549.7720000001</v>
      </c>
      <c r="BK22" s="1176">
        <f t="shared" si="9"/>
        <v>22700</v>
      </c>
      <c r="BL22" s="1178">
        <f t="shared" si="24"/>
        <v>1355249.7720000001</v>
      </c>
      <c r="BM22" s="1233">
        <f t="shared" si="25"/>
        <v>9.7106033358623722E-2</v>
      </c>
      <c r="BN22" s="1043"/>
    </row>
    <row r="23" spans="1:66" s="2" customFormat="1" ht="15" customHeight="1" outlineLevel="2">
      <c r="A23" s="238"/>
      <c r="B23" s="1258" t="s">
        <v>630</v>
      </c>
      <c r="C23" s="1101"/>
      <c r="D23" s="1230"/>
      <c r="E23" s="1178">
        <f t="shared" si="10"/>
        <v>0</v>
      </c>
      <c r="F23" s="1039"/>
      <c r="G23" s="1176">
        <v>0</v>
      </c>
      <c r="H23" s="1176">
        <v>0</v>
      </c>
      <c r="I23" s="1178">
        <v>0</v>
      </c>
      <c r="J23" s="1039">
        <v>0</v>
      </c>
      <c r="K23" s="1039"/>
      <c r="L23" s="1176"/>
      <c r="M23" s="1176"/>
      <c r="N23" s="1022"/>
      <c r="O23" s="1233">
        <f t="shared" si="12"/>
        <v>0</v>
      </c>
      <c r="P23" s="1021"/>
      <c r="Q23" s="1176"/>
      <c r="R23" s="1176"/>
      <c r="S23" s="1022"/>
      <c r="T23" s="1233">
        <f t="shared" si="1"/>
        <v>0</v>
      </c>
      <c r="U23" s="1021"/>
      <c r="V23" s="1122"/>
      <c r="W23" s="1122"/>
      <c r="X23" s="1022"/>
      <c r="Y23" s="1233" t="e">
        <f t="shared" si="15"/>
        <v>#DIV/0!</v>
      </c>
      <c r="Z23" s="1021"/>
      <c r="AA23" s="1176"/>
      <c r="AB23" s="1176"/>
      <c r="AC23" s="1022"/>
      <c r="AD23" s="1233">
        <f t="shared" si="17"/>
        <v>0</v>
      </c>
      <c r="AE23" s="1021"/>
      <c r="AF23" s="1432"/>
      <c r="AG23" s="1432"/>
      <c r="AH23" s="1552"/>
      <c r="AI23" s="1540">
        <f t="shared" si="2"/>
        <v>0</v>
      </c>
      <c r="AJ23" s="1590"/>
      <c r="AK23" s="1432"/>
      <c r="AL23" s="1432"/>
      <c r="AM23" s="1552"/>
      <c r="AN23" s="1540">
        <f t="shared" si="3"/>
        <v>0</v>
      </c>
      <c r="AO23" s="1590"/>
      <c r="AP23" s="1625"/>
      <c r="AQ23" s="1625"/>
      <c r="AR23" s="1776"/>
      <c r="AS23" s="1777">
        <f t="shared" si="4"/>
        <v>0</v>
      </c>
      <c r="AT23" s="1726"/>
      <c r="AU23" s="1432"/>
      <c r="AV23" s="1432"/>
      <c r="AW23" s="1552"/>
      <c r="AX23" s="1877">
        <f t="shared" si="5"/>
        <v>0</v>
      </c>
      <c r="AY23" s="1590"/>
      <c r="AZ23" s="1176"/>
      <c r="BA23" s="1176"/>
      <c r="BB23" s="1022"/>
      <c r="BC23" s="1233" t="e">
        <f t="shared" si="6"/>
        <v>#DIV/0!</v>
      </c>
      <c r="BD23" s="1021"/>
      <c r="BE23" s="1176"/>
      <c r="BF23" s="1176"/>
      <c r="BG23" s="1022"/>
      <c r="BH23" s="1233" t="e">
        <f t="shared" si="7"/>
        <v>#DIV/0!</v>
      </c>
      <c r="BI23" s="1021"/>
      <c r="BJ23" s="1176">
        <f t="shared" si="8"/>
        <v>0</v>
      </c>
      <c r="BK23" s="1176">
        <f t="shared" si="9"/>
        <v>0</v>
      </c>
      <c r="BL23" s="1178">
        <f t="shared" si="24"/>
        <v>0</v>
      </c>
      <c r="BM23" s="1233">
        <f t="shared" si="25"/>
        <v>0</v>
      </c>
      <c r="BN23" s="1043"/>
    </row>
    <row r="24" spans="1:66" s="2" customFormat="1" ht="70.2" customHeight="1" outlineLevel="2">
      <c r="A24" s="238"/>
      <c r="B24" s="1258" t="s">
        <v>23</v>
      </c>
      <c r="C24" s="1101">
        <v>255000</v>
      </c>
      <c r="D24" s="1230"/>
      <c r="E24" s="1178">
        <f t="shared" si="10"/>
        <v>255000</v>
      </c>
      <c r="F24" s="1039">
        <f t="shared" ref="F24:F33" si="26">E24/$E$89</f>
        <v>2.1775768676094751E-2</v>
      </c>
      <c r="G24" s="1176">
        <v>710343.70799999998</v>
      </c>
      <c r="H24" s="1176">
        <v>2719</v>
      </c>
      <c r="I24" s="1178">
        <v>713062.70799999998</v>
      </c>
      <c r="J24" s="1039">
        <v>5.4873938755759445E-2</v>
      </c>
      <c r="K24" s="1039"/>
      <c r="L24" s="1176"/>
      <c r="M24" s="1176"/>
      <c r="N24" s="1022">
        <f t="shared" ref="N24:N33" si="27">L24+M24*1</f>
        <v>0</v>
      </c>
      <c r="O24" s="1233">
        <f t="shared" si="12"/>
        <v>0</v>
      </c>
      <c r="P24" s="1021"/>
      <c r="Q24" s="1176"/>
      <c r="R24" s="1176"/>
      <c r="S24" s="1022">
        <f t="shared" ref="S24:S33" si="28">Q24+R24*1</f>
        <v>0</v>
      </c>
      <c r="T24" s="1233">
        <f t="shared" si="1"/>
        <v>0</v>
      </c>
      <c r="U24" s="1021"/>
      <c r="V24" s="1122"/>
      <c r="W24" s="1122"/>
      <c r="X24" s="1022">
        <f t="shared" ref="X24:X33" si="29">V24+W24*1</f>
        <v>0</v>
      </c>
      <c r="Y24" s="1233" t="e">
        <f t="shared" si="15"/>
        <v>#DIV/0!</v>
      </c>
      <c r="Z24" s="1021"/>
      <c r="AA24" s="1176"/>
      <c r="AB24" s="1176"/>
      <c r="AC24" s="1022">
        <f t="shared" ref="AC24:AC33" si="30">AA24+AB24*1</f>
        <v>0</v>
      </c>
      <c r="AD24" s="1233">
        <f t="shared" si="17"/>
        <v>0</v>
      </c>
      <c r="AE24" s="1021"/>
      <c r="AF24" s="1432">
        <f>12916.67*1.2</f>
        <v>15500.003999999999</v>
      </c>
      <c r="AG24" s="1432"/>
      <c r="AH24" s="1552">
        <f t="shared" ref="AH24:AH33" si="31">AF24+AG24*1</f>
        <v>15500.003999999999</v>
      </c>
      <c r="AI24" s="1540">
        <f t="shared" si="2"/>
        <v>1</v>
      </c>
      <c r="AJ24" s="1590" t="s">
        <v>1137</v>
      </c>
      <c r="AK24" s="1432">
        <f>16666.67*1.2</f>
        <v>20000.003999999997</v>
      </c>
      <c r="AL24" s="1432"/>
      <c r="AM24" s="1552">
        <f t="shared" ref="AM24:AM33" si="32">AK24+AL24*1</f>
        <v>20000.003999999997</v>
      </c>
      <c r="AN24" s="1540">
        <f t="shared" si="3"/>
        <v>0.23657881731038113</v>
      </c>
      <c r="AO24" s="1590" t="s">
        <v>1208</v>
      </c>
      <c r="AP24" s="1625">
        <f>45000*1.2</f>
        <v>54000</v>
      </c>
      <c r="AQ24" s="1625"/>
      <c r="AR24" s="1776">
        <f t="shared" ref="AR24:AR33" si="33">AP24+AQ24*1</f>
        <v>54000</v>
      </c>
      <c r="AS24" s="1777">
        <f t="shared" si="4"/>
        <v>0.83179297597042512</v>
      </c>
      <c r="AT24" s="1726" t="s">
        <v>1230</v>
      </c>
      <c r="AU24" s="1432"/>
      <c r="AV24" s="1432"/>
      <c r="AW24" s="1552">
        <f t="shared" ref="AW24:AW33" si="34">AU24+AV24*1</f>
        <v>0</v>
      </c>
      <c r="AX24" s="1877">
        <f t="shared" si="5"/>
        <v>0</v>
      </c>
      <c r="AY24" s="1590"/>
      <c r="AZ24" s="1176"/>
      <c r="BA24" s="1176"/>
      <c r="BB24" s="1022">
        <f t="shared" ref="BB24:BB33" si="35">AZ24+BA24*1</f>
        <v>0</v>
      </c>
      <c r="BC24" s="1233" t="e">
        <f t="shared" si="6"/>
        <v>#DIV/0!</v>
      </c>
      <c r="BD24" s="1021"/>
      <c r="BE24" s="1176"/>
      <c r="BF24" s="1176"/>
      <c r="BG24" s="1022">
        <f t="shared" ref="BG24:BG33" si="36">BE24+BF24*1</f>
        <v>0</v>
      </c>
      <c r="BH24" s="1233" t="e">
        <f t="shared" si="7"/>
        <v>#DIV/0!</v>
      </c>
      <c r="BI24" s="1021"/>
      <c r="BJ24" s="1176">
        <f t="shared" si="8"/>
        <v>799843.7159999999</v>
      </c>
      <c r="BK24" s="1176">
        <f t="shared" si="9"/>
        <v>2719</v>
      </c>
      <c r="BL24" s="1178">
        <f t="shared" si="24"/>
        <v>802562.7159999999</v>
      </c>
      <c r="BM24" s="1233">
        <f t="shared" si="25"/>
        <v>5.7505032269641022E-2</v>
      </c>
      <c r="BN24" s="1043"/>
    </row>
    <row r="25" spans="1:66" s="2" customFormat="1" ht="15" customHeight="1" outlineLevel="2">
      <c r="A25" s="238"/>
      <c r="B25" s="1258" t="s">
        <v>24</v>
      </c>
      <c r="C25" s="1101">
        <v>705156</v>
      </c>
      <c r="D25" s="1230"/>
      <c r="E25" s="1178">
        <f t="shared" si="10"/>
        <v>705156</v>
      </c>
      <c r="F25" s="1039">
        <f t="shared" si="26"/>
        <v>6.0216917398275567E-2</v>
      </c>
      <c r="G25" s="1176">
        <v>302640.93599999999</v>
      </c>
      <c r="H25" s="1176">
        <v>7138.72</v>
      </c>
      <c r="I25" s="1178">
        <v>309779.65599999996</v>
      </c>
      <c r="J25" s="1039">
        <v>2.3839179472451427E-2</v>
      </c>
      <c r="K25" s="1039"/>
      <c r="L25" s="1176"/>
      <c r="M25" s="1176"/>
      <c r="N25" s="1022">
        <f t="shared" si="27"/>
        <v>0</v>
      </c>
      <c r="O25" s="1233">
        <f t="shared" si="12"/>
        <v>0</v>
      </c>
      <c r="P25" s="1021"/>
      <c r="Q25" s="1176">
        <f>5486*1.2</f>
        <v>6583.2</v>
      </c>
      <c r="R25" s="1176">
        <v>2283</v>
      </c>
      <c r="S25" s="1022">
        <f t="shared" si="28"/>
        <v>8866.2000000000007</v>
      </c>
      <c r="T25" s="1233">
        <f t="shared" si="1"/>
        <v>1.5530841093756629E-2</v>
      </c>
      <c r="U25" s="1021"/>
      <c r="V25" s="1122"/>
      <c r="W25" s="1122"/>
      <c r="X25" s="1022">
        <f t="shared" si="29"/>
        <v>0</v>
      </c>
      <c r="Y25" s="1233" t="e">
        <f t="shared" si="15"/>
        <v>#DIV/0!</v>
      </c>
      <c r="Z25" s="1021"/>
      <c r="AA25" s="1176">
        <f>2283.35*1.2</f>
        <v>2740.02</v>
      </c>
      <c r="AB25" s="1122">
        <v>179</v>
      </c>
      <c r="AC25" s="1022">
        <f t="shared" si="30"/>
        <v>2919.02</v>
      </c>
      <c r="AD25" s="1233">
        <f t="shared" si="17"/>
        <v>1.416278041816999E-2</v>
      </c>
      <c r="AE25" s="1130" t="s">
        <v>1067</v>
      </c>
      <c r="AF25" s="1432"/>
      <c r="AG25" s="1432"/>
      <c r="AH25" s="1552">
        <f t="shared" si="31"/>
        <v>0</v>
      </c>
      <c r="AI25" s="1540">
        <f t="shared" si="2"/>
        <v>0</v>
      </c>
      <c r="AJ25" s="1590"/>
      <c r="AK25" s="1432"/>
      <c r="AL25" s="1625">
        <v>1032.25</v>
      </c>
      <c r="AM25" s="1552">
        <f t="shared" si="32"/>
        <v>1032.25</v>
      </c>
      <c r="AN25" s="1540">
        <f t="shared" si="3"/>
        <v>1.2210421766347694E-2</v>
      </c>
      <c r="AO25" s="1590"/>
      <c r="AP25" s="1625"/>
      <c r="AQ25" s="1625"/>
      <c r="AR25" s="1776">
        <f t="shared" si="33"/>
        <v>0</v>
      </c>
      <c r="AS25" s="1777">
        <f t="shared" si="4"/>
        <v>0</v>
      </c>
      <c r="AT25" s="1726"/>
      <c r="AU25" s="1432"/>
      <c r="AV25" s="1432"/>
      <c r="AW25" s="1552">
        <f t="shared" si="34"/>
        <v>0</v>
      </c>
      <c r="AX25" s="1877">
        <f t="shared" si="5"/>
        <v>0</v>
      </c>
      <c r="AY25" s="1590"/>
      <c r="AZ25" s="1176"/>
      <c r="BA25" s="1176"/>
      <c r="BB25" s="1022">
        <f t="shared" si="35"/>
        <v>0</v>
      </c>
      <c r="BC25" s="1233" t="e">
        <f t="shared" si="6"/>
        <v>#DIV/0!</v>
      </c>
      <c r="BD25" s="1021"/>
      <c r="BE25" s="1176"/>
      <c r="BF25" s="1176"/>
      <c r="BG25" s="1022">
        <f t="shared" si="36"/>
        <v>0</v>
      </c>
      <c r="BH25" s="1233" t="e">
        <f t="shared" si="7"/>
        <v>#DIV/0!</v>
      </c>
      <c r="BI25" s="1021"/>
      <c r="BJ25" s="1176">
        <f t="shared" si="8"/>
        <v>311964.15600000002</v>
      </c>
      <c r="BK25" s="1176">
        <f t="shared" si="9"/>
        <v>10632.970000000001</v>
      </c>
      <c r="BL25" s="1178">
        <f t="shared" si="24"/>
        <v>322597.12600000005</v>
      </c>
      <c r="BM25" s="1233">
        <f t="shared" si="25"/>
        <v>2.3114652314254101E-2</v>
      </c>
      <c r="BN25" s="1043"/>
    </row>
    <row r="26" spans="1:66" s="226" customFormat="1" ht="51.6" customHeight="1" outlineLevel="2">
      <c r="A26" s="238"/>
      <c r="B26" s="1259" t="s">
        <v>45</v>
      </c>
      <c r="C26" s="1101">
        <v>1511680</v>
      </c>
      <c r="D26" s="1230"/>
      <c r="E26" s="1178">
        <f t="shared" si="10"/>
        <v>1511680</v>
      </c>
      <c r="F26" s="1039">
        <f t="shared" si="26"/>
        <v>0.12909017251874083</v>
      </c>
      <c r="G26" s="1176">
        <v>1240367.7240000002</v>
      </c>
      <c r="H26" s="1176">
        <v>0</v>
      </c>
      <c r="I26" s="1178">
        <v>1240367.7240000002</v>
      </c>
      <c r="J26" s="1039">
        <v>9.5452842727258069E-2</v>
      </c>
      <c r="K26" s="1039"/>
      <c r="L26" s="1176"/>
      <c r="M26" s="1176"/>
      <c r="N26" s="1022">
        <f t="shared" si="27"/>
        <v>0</v>
      </c>
      <c r="O26" s="1233">
        <f t="shared" si="12"/>
        <v>0</v>
      </c>
      <c r="P26" s="1021"/>
      <c r="Q26" s="1176">
        <f>276110.19*1.2</f>
        <v>331332.228</v>
      </c>
      <c r="R26" s="1176"/>
      <c r="S26" s="1022">
        <f t="shared" si="28"/>
        <v>331332.228</v>
      </c>
      <c r="T26" s="1233">
        <f t="shared" si="1"/>
        <v>0.58039162012004464</v>
      </c>
      <c r="U26" s="1021"/>
      <c r="V26" s="1122"/>
      <c r="W26" s="1122"/>
      <c r="X26" s="1022">
        <f t="shared" si="29"/>
        <v>0</v>
      </c>
      <c r="Y26" s="1233" t="e">
        <f t="shared" si="15"/>
        <v>#DIV/0!</v>
      </c>
      <c r="Z26" s="1021"/>
      <c r="AA26" s="1176">
        <f>(1694.05+45289)*1.2</f>
        <v>56379.66</v>
      </c>
      <c r="AB26" s="1176"/>
      <c r="AC26" s="1022">
        <f t="shared" si="30"/>
        <v>56379.66</v>
      </c>
      <c r="AD26" s="1233">
        <f t="shared" si="17"/>
        <v>0.27354822667576167</v>
      </c>
      <c r="AE26" s="1021" t="s">
        <v>1104</v>
      </c>
      <c r="AF26" s="1432"/>
      <c r="AG26" s="1432"/>
      <c r="AH26" s="1552">
        <f t="shared" si="31"/>
        <v>0</v>
      </c>
      <c r="AI26" s="1540">
        <f t="shared" si="2"/>
        <v>0</v>
      </c>
      <c r="AJ26" s="1590"/>
      <c r="AK26" s="1764">
        <f>14636.22*1.2</f>
        <v>17563.464</v>
      </c>
      <c r="AL26" s="1764">
        <f>16666.67 *1.2</f>
        <v>20000.003999999997</v>
      </c>
      <c r="AM26" s="1552">
        <f t="shared" si="32"/>
        <v>37563.467999999993</v>
      </c>
      <c r="AN26" s="1540">
        <f t="shared" si="3"/>
        <v>0.44433595280862681</v>
      </c>
      <c r="AO26" s="1762" t="s">
        <v>1191</v>
      </c>
      <c r="AP26" s="1625"/>
      <c r="AQ26" s="1625"/>
      <c r="AR26" s="1776">
        <f t="shared" si="33"/>
        <v>0</v>
      </c>
      <c r="AS26" s="1777">
        <f t="shared" si="4"/>
        <v>0</v>
      </c>
      <c r="AT26" s="1726" t="s">
        <v>1199</v>
      </c>
      <c r="AU26" s="1871">
        <f>96914.47*1.2</f>
        <v>116297.364</v>
      </c>
      <c r="AV26" s="1871"/>
      <c r="AW26" s="1872">
        <f t="shared" si="34"/>
        <v>116297.364</v>
      </c>
      <c r="AX26" s="1907">
        <f t="shared" si="5"/>
        <v>1</v>
      </c>
      <c r="AY26" s="1867" t="s">
        <v>1265</v>
      </c>
      <c r="AZ26" s="1176"/>
      <c r="BA26" s="1176"/>
      <c r="BB26" s="1022">
        <f t="shared" si="35"/>
        <v>0</v>
      </c>
      <c r="BC26" s="1233" t="e">
        <f t="shared" si="6"/>
        <v>#DIV/0!</v>
      </c>
      <c r="BD26" s="1021"/>
      <c r="BE26" s="1176"/>
      <c r="BF26" s="1176"/>
      <c r="BG26" s="1022">
        <f t="shared" si="36"/>
        <v>0</v>
      </c>
      <c r="BH26" s="1233" t="e">
        <f t="shared" si="7"/>
        <v>#DIV/0!</v>
      </c>
      <c r="BI26" s="1021"/>
      <c r="BJ26" s="1176">
        <f t="shared" si="8"/>
        <v>1645643.0759999999</v>
      </c>
      <c r="BK26" s="1176">
        <f t="shared" si="9"/>
        <v>20000.003999999997</v>
      </c>
      <c r="BL26" s="1178">
        <f t="shared" si="24"/>
        <v>1665643.0799999998</v>
      </c>
      <c r="BM26" s="1233">
        <f t="shared" si="25"/>
        <v>0.11934626061685162</v>
      </c>
      <c r="BN26" s="1043"/>
    </row>
    <row r="27" spans="1:66" s="2" customFormat="1" ht="15" customHeight="1" outlineLevel="2">
      <c r="A27" s="238"/>
      <c r="B27" s="1258" t="s">
        <v>25</v>
      </c>
      <c r="C27" s="1101">
        <v>15000</v>
      </c>
      <c r="D27" s="1230"/>
      <c r="E27" s="1178">
        <f t="shared" si="10"/>
        <v>15000</v>
      </c>
      <c r="F27" s="1039">
        <f t="shared" si="26"/>
        <v>1.280927569182044E-3</v>
      </c>
      <c r="G27" s="1176">
        <v>15109.08</v>
      </c>
      <c r="H27" s="1176">
        <v>0</v>
      </c>
      <c r="I27" s="1178">
        <v>15109.08</v>
      </c>
      <c r="J27" s="1039">
        <v>1.1627234481260656E-3</v>
      </c>
      <c r="K27" s="1039"/>
      <c r="L27" s="1176"/>
      <c r="M27" s="1176"/>
      <c r="N27" s="1022">
        <f t="shared" si="27"/>
        <v>0</v>
      </c>
      <c r="O27" s="1233">
        <f t="shared" si="12"/>
        <v>0</v>
      </c>
      <c r="P27" s="1021"/>
      <c r="Q27" s="1176"/>
      <c r="R27" s="1176"/>
      <c r="S27" s="1022">
        <f t="shared" si="28"/>
        <v>0</v>
      </c>
      <c r="T27" s="1233">
        <f t="shared" si="1"/>
        <v>0</v>
      </c>
      <c r="U27" s="1021"/>
      <c r="V27" s="1122"/>
      <c r="W27" s="1122"/>
      <c r="X27" s="1022">
        <f t="shared" si="29"/>
        <v>0</v>
      </c>
      <c r="Y27" s="1233" t="e">
        <f t="shared" si="15"/>
        <v>#DIV/0!</v>
      </c>
      <c r="Z27" s="1021"/>
      <c r="AA27" s="1176"/>
      <c r="AB27" s="1176">
        <v>260</v>
      </c>
      <c r="AC27" s="1022">
        <f t="shared" si="30"/>
        <v>260</v>
      </c>
      <c r="AD27" s="1233">
        <f t="shared" si="17"/>
        <v>1.2614928670321537E-3</v>
      </c>
      <c r="AE27" s="1021" t="s">
        <v>1103</v>
      </c>
      <c r="AF27" s="1432"/>
      <c r="AG27" s="1432"/>
      <c r="AH27" s="1552">
        <f t="shared" si="31"/>
        <v>0</v>
      </c>
      <c r="AI27" s="1540">
        <f t="shared" si="2"/>
        <v>0</v>
      </c>
      <c r="AJ27" s="1590"/>
      <c r="AK27" s="1432"/>
      <c r="AL27" s="1432"/>
      <c r="AM27" s="1552">
        <f t="shared" si="32"/>
        <v>0</v>
      </c>
      <c r="AN27" s="1540">
        <f t="shared" si="3"/>
        <v>0</v>
      </c>
      <c r="AO27" s="1590"/>
      <c r="AP27" s="1625"/>
      <c r="AQ27" s="1625"/>
      <c r="AR27" s="1776">
        <f t="shared" si="33"/>
        <v>0</v>
      </c>
      <c r="AS27" s="1777">
        <f t="shared" si="4"/>
        <v>0</v>
      </c>
      <c r="AT27" s="1726"/>
      <c r="AU27" s="1432"/>
      <c r="AV27" s="1432"/>
      <c r="AW27" s="1552">
        <f t="shared" si="34"/>
        <v>0</v>
      </c>
      <c r="AX27" s="1877">
        <f t="shared" si="5"/>
        <v>0</v>
      </c>
      <c r="AY27" s="1754"/>
      <c r="AZ27" s="1176"/>
      <c r="BA27" s="1176"/>
      <c r="BB27" s="1022">
        <f t="shared" si="35"/>
        <v>0</v>
      </c>
      <c r="BC27" s="1233" t="e">
        <f t="shared" si="6"/>
        <v>#DIV/0!</v>
      </c>
      <c r="BD27" s="1128"/>
      <c r="BE27" s="1176"/>
      <c r="BF27" s="1176"/>
      <c r="BG27" s="1022">
        <f t="shared" si="36"/>
        <v>0</v>
      </c>
      <c r="BH27" s="1233" t="e">
        <f t="shared" si="7"/>
        <v>#DIV/0!</v>
      </c>
      <c r="BI27" s="1128"/>
      <c r="BJ27" s="1176">
        <f t="shared" si="8"/>
        <v>15109.08</v>
      </c>
      <c r="BK27" s="1176">
        <f t="shared" si="9"/>
        <v>260</v>
      </c>
      <c r="BL27" s="1178">
        <f t="shared" si="24"/>
        <v>15369.08</v>
      </c>
      <c r="BM27" s="1233">
        <f t="shared" si="25"/>
        <v>1.1012216537538415E-3</v>
      </c>
      <c r="BN27" s="1043"/>
    </row>
    <row r="28" spans="1:66" s="226" customFormat="1" ht="15" customHeight="1" outlineLevel="2">
      <c r="A28" s="238"/>
      <c r="B28" s="1259" t="s">
        <v>52</v>
      </c>
      <c r="C28" s="1101">
        <f>206262+11900</f>
        <v>218162</v>
      </c>
      <c r="D28" s="1230"/>
      <c r="E28" s="1178">
        <f t="shared" si="10"/>
        <v>218162</v>
      </c>
      <c r="F28" s="1039">
        <f t="shared" si="26"/>
        <v>1.8629981356526205E-2</v>
      </c>
      <c r="G28" s="1176">
        <v>14671.936</v>
      </c>
      <c r="H28" s="1176">
        <v>1009.55</v>
      </c>
      <c r="I28" s="1178">
        <v>15681.485999999999</v>
      </c>
      <c r="J28" s="1039">
        <v>1.2067731108486171E-3</v>
      </c>
      <c r="K28" s="1039"/>
      <c r="L28" s="1176">
        <f>125*1.2</f>
        <v>150</v>
      </c>
      <c r="M28" s="1176"/>
      <c r="N28" s="1022">
        <f t="shared" si="27"/>
        <v>150</v>
      </c>
      <c r="O28" s="1233">
        <f t="shared" si="12"/>
        <v>7.5413909676673701E-3</v>
      </c>
      <c r="P28" s="1021" t="s">
        <v>997</v>
      </c>
      <c r="Q28" s="1176">
        <f>182.5+500.04*1.2</f>
        <v>782.548</v>
      </c>
      <c r="R28" s="1176"/>
      <c r="S28" s="1022">
        <f t="shared" si="28"/>
        <v>782.548</v>
      </c>
      <c r="T28" s="1233">
        <f t="shared" si="1"/>
        <v>1.3707821429966684E-3</v>
      </c>
      <c r="U28" s="1021" t="s">
        <v>1039</v>
      </c>
      <c r="V28" s="1122"/>
      <c r="W28" s="1122"/>
      <c r="X28" s="1022">
        <f t="shared" si="29"/>
        <v>0</v>
      </c>
      <c r="Y28" s="1233" t="e">
        <f t="shared" si="15"/>
        <v>#DIV/0!</v>
      </c>
      <c r="Z28" s="1021"/>
      <c r="AA28" s="1176">
        <f>250.02*1.2</f>
        <v>300.024</v>
      </c>
      <c r="AB28" s="1176"/>
      <c r="AC28" s="1022">
        <f t="shared" si="30"/>
        <v>300.024</v>
      </c>
      <c r="AD28" s="1233">
        <f t="shared" si="17"/>
        <v>1.4556851382248265E-3</v>
      </c>
      <c r="AE28" s="1021" t="s">
        <v>1065</v>
      </c>
      <c r="AF28" s="1432"/>
      <c r="AG28" s="1432"/>
      <c r="AH28" s="1552">
        <f t="shared" si="31"/>
        <v>0</v>
      </c>
      <c r="AI28" s="1540">
        <f t="shared" si="2"/>
        <v>0</v>
      </c>
      <c r="AJ28" s="1590"/>
      <c r="AK28" s="1432"/>
      <c r="AL28" s="1432"/>
      <c r="AM28" s="1552">
        <f t="shared" si="32"/>
        <v>0</v>
      </c>
      <c r="AN28" s="1540">
        <f t="shared" si="3"/>
        <v>0</v>
      </c>
      <c r="AO28" s="1590"/>
      <c r="AP28" s="1625"/>
      <c r="AQ28" s="1625"/>
      <c r="AR28" s="1776">
        <f t="shared" si="33"/>
        <v>0</v>
      </c>
      <c r="AS28" s="1777">
        <f t="shared" si="4"/>
        <v>0</v>
      </c>
      <c r="AT28" s="1726"/>
      <c r="AU28" s="1432"/>
      <c r="AV28" s="1432"/>
      <c r="AW28" s="1552">
        <f t="shared" si="34"/>
        <v>0</v>
      </c>
      <c r="AX28" s="1877">
        <f t="shared" si="5"/>
        <v>0</v>
      </c>
      <c r="AY28" s="1590"/>
      <c r="AZ28" s="1176"/>
      <c r="BA28" s="1176"/>
      <c r="BB28" s="1022">
        <f t="shared" si="35"/>
        <v>0</v>
      </c>
      <c r="BC28" s="1233" t="e">
        <f t="shared" si="6"/>
        <v>#DIV/0!</v>
      </c>
      <c r="BD28" s="1021"/>
      <c r="BE28" s="1176"/>
      <c r="BF28" s="1176"/>
      <c r="BG28" s="1022">
        <f t="shared" si="36"/>
        <v>0</v>
      </c>
      <c r="BH28" s="1233" t="e">
        <f t="shared" si="7"/>
        <v>#DIV/0!</v>
      </c>
      <c r="BI28" s="1021"/>
      <c r="BJ28" s="1176">
        <f t="shared" si="8"/>
        <v>15904.508</v>
      </c>
      <c r="BK28" s="1176">
        <f t="shared" si="9"/>
        <v>1009.55</v>
      </c>
      <c r="BL28" s="1178">
        <f t="shared" si="24"/>
        <v>16914.058000000001</v>
      </c>
      <c r="BM28" s="1233">
        <f t="shared" si="25"/>
        <v>1.2119220488440684E-3</v>
      </c>
      <c r="BN28" s="1043"/>
    </row>
    <row r="29" spans="1:66" s="2" customFormat="1" ht="15" customHeight="1" outlineLevel="2">
      <c r="A29" s="238"/>
      <c r="B29" s="1258" t="s">
        <v>31</v>
      </c>
      <c r="C29" s="1101">
        <v>123000</v>
      </c>
      <c r="D29" s="1230">
        <v>229100</v>
      </c>
      <c r="E29" s="1178">
        <f t="shared" si="10"/>
        <v>352100</v>
      </c>
      <c r="F29" s="1233">
        <f t="shared" si="26"/>
        <v>3.0067639807266514E-2</v>
      </c>
      <c r="G29" s="1176">
        <v>129790</v>
      </c>
      <c r="H29" s="1176">
        <v>407900</v>
      </c>
      <c r="I29" s="1178">
        <v>537690</v>
      </c>
      <c r="J29" s="1039">
        <v>4.1378083299771017E-2</v>
      </c>
      <c r="K29" s="1039"/>
      <c r="L29" s="1176"/>
      <c r="M29" s="1176">
        <v>6000</v>
      </c>
      <c r="N29" s="1022">
        <f t="shared" si="27"/>
        <v>6000</v>
      </c>
      <c r="O29" s="1233">
        <f t="shared" si="12"/>
        <v>0.30165563870669482</v>
      </c>
      <c r="P29" s="1021"/>
      <c r="Q29" s="1176"/>
      <c r="R29" s="1176">
        <v>5600</v>
      </c>
      <c r="S29" s="1022">
        <f t="shared" si="28"/>
        <v>5600</v>
      </c>
      <c r="T29" s="1233">
        <f t="shared" si="1"/>
        <v>9.8094685575598473E-3</v>
      </c>
      <c r="U29" s="1021" t="s">
        <v>1011</v>
      </c>
      <c r="V29" s="1122"/>
      <c r="W29" s="1122"/>
      <c r="X29" s="1022">
        <f t="shared" si="29"/>
        <v>0</v>
      </c>
      <c r="Y29" s="1233" t="e">
        <f t="shared" si="15"/>
        <v>#DIV/0!</v>
      </c>
      <c r="Z29" s="1021"/>
      <c r="AA29" s="1176">
        <v>860</v>
      </c>
      <c r="AB29" s="1176"/>
      <c r="AC29" s="1022">
        <f t="shared" si="30"/>
        <v>860</v>
      </c>
      <c r="AD29" s="1233">
        <f t="shared" si="17"/>
        <v>4.1726302524909701E-3</v>
      </c>
      <c r="AE29" s="1021"/>
      <c r="AF29" s="1432"/>
      <c r="AG29" s="1432"/>
      <c r="AH29" s="1552">
        <f t="shared" si="31"/>
        <v>0</v>
      </c>
      <c r="AI29" s="1540">
        <f t="shared" si="2"/>
        <v>0</v>
      </c>
      <c r="AJ29" s="1590"/>
      <c r="AK29" s="1432"/>
      <c r="AL29" s="1432"/>
      <c r="AM29" s="1552">
        <f t="shared" si="32"/>
        <v>0</v>
      </c>
      <c r="AN29" s="1540">
        <f t="shared" si="3"/>
        <v>0</v>
      </c>
      <c r="AO29" s="1590"/>
      <c r="AP29" s="1625"/>
      <c r="AQ29" s="1625"/>
      <c r="AR29" s="1776">
        <f t="shared" si="33"/>
        <v>0</v>
      </c>
      <c r="AS29" s="1777">
        <f t="shared" si="4"/>
        <v>0</v>
      </c>
      <c r="AT29" s="1726"/>
      <c r="AU29" s="1432"/>
      <c r="AV29" s="1432"/>
      <c r="AW29" s="1552">
        <f t="shared" si="34"/>
        <v>0</v>
      </c>
      <c r="AX29" s="1877">
        <f t="shared" si="5"/>
        <v>0</v>
      </c>
      <c r="AY29" s="1590"/>
      <c r="AZ29" s="1176"/>
      <c r="BA29" s="1176"/>
      <c r="BB29" s="1022">
        <f t="shared" si="35"/>
        <v>0</v>
      </c>
      <c r="BC29" s="1233" t="e">
        <f t="shared" si="6"/>
        <v>#DIV/0!</v>
      </c>
      <c r="BD29" s="1021"/>
      <c r="BE29" s="1176"/>
      <c r="BF29" s="1176"/>
      <c r="BG29" s="1022">
        <f t="shared" si="36"/>
        <v>0</v>
      </c>
      <c r="BH29" s="1233" t="e">
        <f t="shared" si="7"/>
        <v>#DIV/0!</v>
      </c>
      <c r="BI29" s="1021"/>
      <c r="BJ29" s="1176">
        <f t="shared" si="8"/>
        <v>130650</v>
      </c>
      <c r="BK29" s="1176">
        <f t="shared" si="9"/>
        <v>419500</v>
      </c>
      <c r="BL29" s="1178">
        <f t="shared" si="24"/>
        <v>550150</v>
      </c>
      <c r="BM29" s="1233">
        <f t="shared" si="25"/>
        <v>3.9419216557703904E-2</v>
      </c>
      <c r="BN29" s="1234"/>
    </row>
    <row r="30" spans="1:66" s="2" customFormat="1" ht="15" customHeight="1" outlineLevel="2">
      <c r="A30" s="238"/>
      <c r="B30" s="1258" t="s">
        <v>62</v>
      </c>
      <c r="C30" s="1101"/>
      <c r="D30" s="1230">
        <f>309000+9030</f>
        <v>318030</v>
      </c>
      <c r="E30" s="1178">
        <f t="shared" si="10"/>
        <v>318030</v>
      </c>
      <c r="F30" s="1233">
        <f t="shared" si="26"/>
        <v>2.7158226321797697E-2</v>
      </c>
      <c r="G30" s="1176">
        <v>0</v>
      </c>
      <c r="H30" s="1176">
        <v>556671</v>
      </c>
      <c r="I30" s="1178">
        <v>556671</v>
      </c>
      <c r="J30" s="1039">
        <v>4.2838771426968757E-2</v>
      </c>
      <c r="K30" s="1039"/>
      <c r="L30" s="1176"/>
      <c r="M30" s="1176">
        <v>5000</v>
      </c>
      <c r="N30" s="1022">
        <f t="shared" si="27"/>
        <v>5000</v>
      </c>
      <c r="O30" s="1233">
        <f t="shared" si="12"/>
        <v>0.25137969892224565</v>
      </c>
      <c r="P30" s="1021" t="s">
        <v>986</v>
      </c>
      <c r="Q30" s="1176"/>
      <c r="R30" s="1176">
        <f>17100+1000+350</f>
        <v>18450</v>
      </c>
      <c r="S30" s="1022">
        <f t="shared" si="28"/>
        <v>18450</v>
      </c>
      <c r="T30" s="1233">
        <f t="shared" si="1"/>
        <v>3.2318695515531994E-2</v>
      </c>
      <c r="U30" s="1021"/>
      <c r="V30" s="1122"/>
      <c r="W30" s="1122"/>
      <c r="X30" s="1022">
        <f t="shared" si="29"/>
        <v>0</v>
      </c>
      <c r="Y30" s="1233" t="e">
        <f t="shared" si="15"/>
        <v>#DIV/0!</v>
      </c>
      <c r="Z30" s="1021"/>
      <c r="AA30" s="1122"/>
      <c r="AB30" s="1122">
        <v>8050</v>
      </c>
      <c r="AC30" s="1022">
        <f t="shared" si="30"/>
        <v>8050</v>
      </c>
      <c r="AD30" s="1233">
        <f t="shared" si="17"/>
        <v>3.9057759921572448E-2</v>
      </c>
      <c r="AE30" s="1130" t="s">
        <v>1067</v>
      </c>
      <c r="AF30" s="1751"/>
      <c r="AG30" s="1432"/>
      <c r="AH30" s="1552">
        <f t="shared" si="31"/>
        <v>0</v>
      </c>
      <c r="AI30" s="1540">
        <f t="shared" si="2"/>
        <v>0</v>
      </c>
      <c r="AJ30" s="1590"/>
      <c r="AK30" s="1751"/>
      <c r="AL30" s="1432"/>
      <c r="AM30" s="1552">
        <f t="shared" si="32"/>
        <v>0</v>
      </c>
      <c r="AN30" s="1540">
        <f t="shared" si="3"/>
        <v>0</v>
      </c>
      <c r="AO30" s="1590"/>
      <c r="AP30" s="1831"/>
      <c r="AQ30" s="1625"/>
      <c r="AR30" s="1776">
        <f t="shared" si="33"/>
        <v>0</v>
      </c>
      <c r="AS30" s="1777">
        <f t="shared" si="4"/>
        <v>0</v>
      </c>
      <c r="AT30" s="1726"/>
      <c r="AU30" s="1751"/>
      <c r="AV30" s="1432"/>
      <c r="AW30" s="1552">
        <f t="shared" si="34"/>
        <v>0</v>
      </c>
      <c r="AX30" s="1877">
        <f t="shared" si="5"/>
        <v>0</v>
      </c>
      <c r="AY30" s="1590"/>
      <c r="AZ30" s="1122"/>
      <c r="BA30" s="1176"/>
      <c r="BB30" s="1022">
        <f t="shared" si="35"/>
        <v>0</v>
      </c>
      <c r="BC30" s="1233" t="e">
        <f t="shared" si="6"/>
        <v>#DIV/0!</v>
      </c>
      <c r="BD30" s="1021"/>
      <c r="BE30" s="1122"/>
      <c r="BF30" s="1176"/>
      <c r="BG30" s="1022">
        <f t="shared" si="36"/>
        <v>0</v>
      </c>
      <c r="BH30" s="1233" t="e">
        <f t="shared" si="7"/>
        <v>#DIV/0!</v>
      </c>
      <c r="BI30" s="1021"/>
      <c r="BJ30" s="1176">
        <f t="shared" si="8"/>
        <v>0</v>
      </c>
      <c r="BK30" s="1176">
        <f t="shared" si="9"/>
        <v>588171</v>
      </c>
      <c r="BL30" s="1178">
        <f t="shared" si="24"/>
        <v>588171</v>
      </c>
      <c r="BM30" s="1233">
        <f t="shared" si="25"/>
        <v>4.2143488179516971E-2</v>
      </c>
      <c r="BN30" s="1234"/>
    </row>
    <row r="31" spans="1:66" s="2" customFormat="1" ht="15" customHeight="1" outlineLevel="2">
      <c r="A31" s="238"/>
      <c r="B31" s="1258" t="s">
        <v>34</v>
      </c>
      <c r="C31" s="1101">
        <v>41440</v>
      </c>
      <c r="D31" s="1230">
        <f>48850+30000</f>
        <v>78850</v>
      </c>
      <c r="E31" s="1178">
        <f t="shared" si="10"/>
        <v>120290</v>
      </c>
      <c r="F31" s="1233">
        <f t="shared" si="26"/>
        <v>1.0272185153127205E-2</v>
      </c>
      <c r="G31" s="1176">
        <v>54125.39</v>
      </c>
      <c r="H31" s="1176">
        <v>97116</v>
      </c>
      <c r="I31" s="1178">
        <v>151241.39000000001</v>
      </c>
      <c r="J31" s="1039">
        <v>1.1638823176538814E-2</v>
      </c>
      <c r="K31" s="1039"/>
      <c r="L31" s="1176"/>
      <c r="M31" s="1176">
        <v>4000</v>
      </c>
      <c r="N31" s="1022">
        <f t="shared" si="27"/>
        <v>4000</v>
      </c>
      <c r="O31" s="1233">
        <f t="shared" si="12"/>
        <v>0.20110375913779654</v>
      </c>
      <c r="P31" s="1021"/>
      <c r="Q31" s="1176"/>
      <c r="R31" s="1176">
        <v>4628</v>
      </c>
      <c r="S31" s="1022">
        <f t="shared" si="28"/>
        <v>4628</v>
      </c>
      <c r="T31" s="1233">
        <f t="shared" si="1"/>
        <v>8.1068250864976734E-3</v>
      </c>
      <c r="U31" s="1021"/>
      <c r="V31" s="1122"/>
      <c r="W31" s="1122"/>
      <c r="X31" s="1022">
        <f t="shared" si="29"/>
        <v>0</v>
      </c>
      <c r="Y31" s="1233" t="e">
        <f t="shared" si="15"/>
        <v>#DIV/0!</v>
      </c>
      <c r="Z31" s="1021"/>
      <c r="AA31" s="1176"/>
      <c r="AB31" s="1122">
        <v>3850</v>
      </c>
      <c r="AC31" s="1022">
        <f t="shared" si="30"/>
        <v>3850</v>
      </c>
      <c r="AD31" s="1233">
        <f t="shared" si="17"/>
        <v>1.8679798223360737E-2</v>
      </c>
      <c r="AE31" s="1130" t="s">
        <v>1105</v>
      </c>
      <c r="AF31" s="1432"/>
      <c r="AG31" s="1432"/>
      <c r="AH31" s="1552">
        <f t="shared" si="31"/>
        <v>0</v>
      </c>
      <c r="AI31" s="1540">
        <f t="shared" si="2"/>
        <v>0</v>
      </c>
      <c r="AJ31" s="1590"/>
      <c r="AK31" s="1432"/>
      <c r="AL31" s="1432"/>
      <c r="AM31" s="1552">
        <f t="shared" si="32"/>
        <v>0</v>
      </c>
      <c r="AN31" s="1540">
        <f t="shared" si="3"/>
        <v>0</v>
      </c>
      <c r="AO31" s="1590"/>
      <c r="AP31" s="1625"/>
      <c r="AQ31" s="1625"/>
      <c r="AR31" s="1776">
        <f t="shared" si="33"/>
        <v>0</v>
      </c>
      <c r="AS31" s="1777">
        <f t="shared" si="4"/>
        <v>0</v>
      </c>
      <c r="AT31" s="1726"/>
      <c r="AU31" s="1432"/>
      <c r="AV31" s="1432"/>
      <c r="AW31" s="1552">
        <f t="shared" si="34"/>
        <v>0</v>
      </c>
      <c r="AX31" s="1877">
        <f t="shared" si="5"/>
        <v>0</v>
      </c>
      <c r="AY31" s="1590"/>
      <c r="AZ31" s="1176"/>
      <c r="BA31" s="1176"/>
      <c r="BB31" s="1022">
        <f t="shared" si="35"/>
        <v>0</v>
      </c>
      <c r="BC31" s="1233" t="e">
        <f t="shared" si="6"/>
        <v>#DIV/0!</v>
      </c>
      <c r="BD31" s="1021"/>
      <c r="BE31" s="1176"/>
      <c r="BF31" s="1176"/>
      <c r="BG31" s="1022">
        <f t="shared" si="36"/>
        <v>0</v>
      </c>
      <c r="BH31" s="1233" t="e">
        <f t="shared" si="7"/>
        <v>#DIV/0!</v>
      </c>
      <c r="BI31" s="1021"/>
      <c r="BJ31" s="1176">
        <f t="shared" si="8"/>
        <v>54125.39</v>
      </c>
      <c r="BK31" s="1176">
        <f t="shared" si="9"/>
        <v>109594</v>
      </c>
      <c r="BL31" s="1178">
        <f t="shared" si="24"/>
        <v>163719.39000000001</v>
      </c>
      <c r="BM31" s="1233">
        <f t="shared" si="25"/>
        <v>1.1730782675825108E-2</v>
      </c>
      <c r="BN31" s="1234"/>
    </row>
    <row r="32" spans="1:66" s="2" customFormat="1" ht="15" customHeight="1" outlineLevel="2">
      <c r="A32" s="238"/>
      <c r="B32" s="1102" t="s">
        <v>2</v>
      </c>
      <c r="C32" s="1116"/>
      <c r="D32" s="1103"/>
      <c r="E32" s="1178">
        <f t="shared" si="10"/>
        <v>0</v>
      </c>
      <c r="F32" s="1233">
        <f t="shared" si="26"/>
        <v>0</v>
      </c>
      <c r="G32" s="1176">
        <v>0</v>
      </c>
      <c r="H32" s="1176">
        <v>0</v>
      </c>
      <c r="I32" s="1178">
        <v>0</v>
      </c>
      <c r="J32" s="1039">
        <v>0</v>
      </c>
      <c r="K32" s="1039"/>
      <c r="L32" s="1176"/>
      <c r="M32" s="1176"/>
      <c r="N32" s="1022">
        <f t="shared" si="27"/>
        <v>0</v>
      </c>
      <c r="O32" s="1233">
        <f t="shared" si="12"/>
        <v>0</v>
      </c>
      <c r="P32" s="1275"/>
      <c r="Q32" s="1176"/>
      <c r="R32" s="1176"/>
      <c r="S32" s="1022">
        <f t="shared" si="28"/>
        <v>0</v>
      </c>
      <c r="T32" s="1233">
        <f t="shared" si="1"/>
        <v>0</v>
      </c>
      <c r="U32" s="1275"/>
      <c r="V32" s="1122"/>
      <c r="W32" s="1122"/>
      <c r="X32" s="1022">
        <f t="shared" si="29"/>
        <v>0</v>
      </c>
      <c r="Y32" s="1233" t="e">
        <f t="shared" si="15"/>
        <v>#DIV/0!</v>
      </c>
      <c r="Z32" s="1275"/>
      <c r="AA32" s="1122"/>
      <c r="AB32" s="1122"/>
      <c r="AC32" s="1022">
        <f t="shared" si="30"/>
        <v>0</v>
      </c>
      <c r="AD32" s="1233">
        <f t="shared" si="17"/>
        <v>0</v>
      </c>
      <c r="AE32" s="1275"/>
      <c r="AF32" s="1751"/>
      <c r="AG32" s="1751"/>
      <c r="AH32" s="1552">
        <f t="shared" si="31"/>
        <v>0</v>
      </c>
      <c r="AI32" s="1540">
        <f t="shared" si="2"/>
        <v>0</v>
      </c>
      <c r="AJ32" s="1603"/>
      <c r="AK32" s="1751"/>
      <c r="AL32" s="1751"/>
      <c r="AM32" s="1552">
        <f t="shared" si="32"/>
        <v>0</v>
      </c>
      <c r="AN32" s="1540">
        <f t="shared" si="3"/>
        <v>0</v>
      </c>
      <c r="AO32" s="1603"/>
      <c r="AP32" s="1831"/>
      <c r="AQ32" s="1831"/>
      <c r="AR32" s="1776">
        <f t="shared" si="33"/>
        <v>0</v>
      </c>
      <c r="AS32" s="1777">
        <f t="shared" si="4"/>
        <v>0</v>
      </c>
      <c r="AT32" s="1609"/>
      <c r="AU32" s="1751"/>
      <c r="AV32" s="1751"/>
      <c r="AW32" s="1552">
        <f t="shared" si="34"/>
        <v>0</v>
      </c>
      <c r="AX32" s="1877">
        <f t="shared" si="5"/>
        <v>0</v>
      </c>
      <c r="AY32" s="1912"/>
      <c r="AZ32" s="1122"/>
      <c r="BA32" s="1122"/>
      <c r="BB32" s="1022">
        <f t="shared" si="35"/>
        <v>0</v>
      </c>
      <c r="BC32" s="1233" t="e">
        <f t="shared" si="6"/>
        <v>#DIV/0!</v>
      </c>
      <c r="BD32" s="1275"/>
      <c r="BE32" s="1122"/>
      <c r="BF32" s="1122"/>
      <c r="BG32" s="1022">
        <f t="shared" si="36"/>
        <v>0</v>
      </c>
      <c r="BH32" s="1233" t="e">
        <f t="shared" si="7"/>
        <v>#DIV/0!</v>
      </c>
      <c r="BI32" s="1275"/>
      <c r="BJ32" s="1176">
        <f t="shared" si="8"/>
        <v>0</v>
      </c>
      <c r="BK32" s="1176">
        <f t="shared" si="9"/>
        <v>0</v>
      </c>
      <c r="BL32" s="1178">
        <f t="shared" si="24"/>
        <v>0</v>
      </c>
      <c r="BM32" s="1233">
        <f t="shared" si="25"/>
        <v>0</v>
      </c>
      <c r="BN32" s="1234"/>
    </row>
    <row r="33" spans="1:66" s="2" customFormat="1" ht="37.950000000000003" customHeight="1" outlineLevel="2" thickBot="1">
      <c r="A33" s="238"/>
      <c r="B33" s="1102" t="s">
        <v>75</v>
      </c>
      <c r="C33" s="1116"/>
      <c r="D33" s="1103"/>
      <c r="E33" s="622">
        <f t="shared" si="10"/>
        <v>0</v>
      </c>
      <c r="F33" s="1111">
        <f t="shared" si="26"/>
        <v>0</v>
      </c>
      <c r="G33" s="535">
        <v>0</v>
      </c>
      <c r="H33" s="535">
        <v>3400</v>
      </c>
      <c r="I33" s="622">
        <v>3400</v>
      </c>
      <c r="J33" s="851">
        <v>2.6164794439030196E-4</v>
      </c>
      <c r="K33" s="851"/>
      <c r="L33" s="535"/>
      <c r="M33" s="535"/>
      <c r="N33" s="914">
        <f t="shared" si="27"/>
        <v>0</v>
      </c>
      <c r="O33" s="1111">
        <f t="shared" si="12"/>
        <v>0</v>
      </c>
      <c r="P33" s="1131"/>
      <c r="Q33" s="535"/>
      <c r="R33" s="535"/>
      <c r="S33" s="914">
        <f t="shared" si="28"/>
        <v>0</v>
      </c>
      <c r="T33" s="1111">
        <f t="shared" si="1"/>
        <v>0</v>
      </c>
      <c r="U33" s="682"/>
      <c r="V33" s="1005"/>
      <c r="W33" s="1005"/>
      <c r="X33" s="914">
        <f t="shared" si="29"/>
        <v>0</v>
      </c>
      <c r="Y33" s="1111" t="e">
        <f t="shared" si="15"/>
        <v>#DIV/0!</v>
      </c>
      <c r="Z33" s="682"/>
      <c r="AA33" s="1005"/>
      <c r="AB33" s="1005"/>
      <c r="AC33" s="914">
        <f t="shared" si="30"/>
        <v>0</v>
      </c>
      <c r="AD33" s="1111">
        <f t="shared" si="17"/>
        <v>0</v>
      </c>
      <c r="AE33" s="682"/>
      <c r="AF33" s="1738"/>
      <c r="AG33" s="1738"/>
      <c r="AH33" s="1700">
        <f t="shared" si="31"/>
        <v>0</v>
      </c>
      <c r="AI33" s="1545">
        <f t="shared" si="2"/>
        <v>0</v>
      </c>
      <c r="AJ33" s="1663"/>
      <c r="AK33" s="1738"/>
      <c r="AL33" s="1738"/>
      <c r="AM33" s="1700">
        <f t="shared" si="32"/>
        <v>0</v>
      </c>
      <c r="AN33" s="1545">
        <f t="shared" si="3"/>
        <v>0</v>
      </c>
      <c r="AO33" s="1663"/>
      <c r="AP33" s="1832"/>
      <c r="AQ33" s="1824"/>
      <c r="AR33" s="1833">
        <f t="shared" si="33"/>
        <v>0</v>
      </c>
      <c r="AS33" s="1826">
        <f t="shared" si="4"/>
        <v>0</v>
      </c>
      <c r="AT33" s="1834"/>
      <c r="AU33" s="1738"/>
      <c r="AV33" s="1738"/>
      <c r="AW33" s="1700">
        <f t="shared" si="34"/>
        <v>0</v>
      </c>
      <c r="AX33" s="1891">
        <f t="shared" si="5"/>
        <v>0</v>
      </c>
      <c r="AY33" s="1663"/>
      <c r="AZ33" s="1005"/>
      <c r="BA33" s="1005"/>
      <c r="BB33" s="914">
        <f t="shared" si="35"/>
        <v>0</v>
      </c>
      <c r="BC33" s="1111" t="e">
        <f t="shared" si="6"/>
        <v>#DIV/0!</v>
      </c>
      <c r="BD33" s="682"/>
      <c r="BE33" s="1005"/>
      <c r="BF33" s="1005"/>
      <c r="BG33" s="914">
        <f t="shared" si="36"/>
        <v>0</v>
      </c>
      <c r="BH33" s="1111" t="e">
        <f t="shared" si="7"/>
        <v>#DIV/0!</v>
      </c>
      <c r="BI33" s="682"/>
      <c r="BJ33" s="535">
        <f t="shared" si="8"/>
        <v>0</v>
      </c>
      <c r="BK33" s="535">
        <f t="shared" si="9"/>
        <v>3400</v>
      </c>
      <c r="BL33" s="622">
        <f t="shared" si="24"/>
        <v>3400</v>
      </c>
      <c r="BM33" s="1111">
        <f t="shared" si="25"/>
        <v>2.4361598890519542E-4</v>
      </c>
      <c r="BN33" s="1114"/>
    </row>
    <row r="34" spans="1:66" s="2" customFormat="1" ht="15" customHeight="1" outlineLevel="2">
      <c r="A34" s="321"/>
      <c r="B34" s="12"/>
      <c r="C34" s="1006"/>
      <c r="D34" s="1007"/>
      <c r="E34" s="657"/>
      <c r="F34" s="1008"/>
      <c r="G34" s="1008"/>
      <c r="H34" s="1008"/>
      <c r="I34" s="1008"/>
      <c r="J34" s="1008"/>
      <c r="K34" s="1008"/>
      <c r="L34" s="488"/>
      <c r="M34" s="488"/>
      <c r="N34" s="657"/>
      <c r="O34" s="657"/>
      <c r="P34" s="657"/>
      <c r="Q34" s="488"/>
      <c r="R34" s="488"/>
      <c r="S34" s="657"/>
      <c r="T34" s="485">
        <f t="shared" si="1"/>
        <v>0</v>
      </c>
      <c r="U34" s="657"/>
      <c r="V34" s="488"/>
      <c r="W34" s="488"/>
      <c r="X34" s="657"/>
      <c r="Y34" s="485">
        <f t="shared" ref="Y34:Y53" si="37">X34/$S$89</f>
        <v>0</v>
      </c>
      <c r="Z34" s="657"/>
      <c r="AA34" s="488"/>
      <c r="AB34" s="488"/>
      <c r="AC34" s="657"/>
      <c r="AD34" s="485">
        <f t="shared" ref="AD34:AD40" si="38">AC34/$S$89</f>
        <v>0</v>
      </c>
      <c r="AE34" s="657"/>
      <c r="AF34" s="1624"/>
      <c r="AG34" s="1624"/>
      <c r="AH34" s="1436"/>
      <c r="AI34" s="1559">
        <f t="shared" ref="AI34:AI40" si="39">AH34/$S$89</f>
        <v>0</v>
      </c>
      <c r="AJ34" s="1436"/>
      <c r="AK34" s="1624"/>
      <c r="AL34" s="1624"/>
      <c r="AM34" s="1436"/>
      <c r="AN34" s="1559">
        <f t="shared" si="3"/>
        <v>0</v>
      </c>
      <c r="AO34" s="1436"/>
      <c r="AP34" s="1820"/>
      <c r="AQ34" s="1820"/>
      <c r="AR34" s="1810"/>
      <c r="AS34" s="1821">
        <f t="shared" ref="AS34:AS53" si="40">AR34/$AM$89</f>
        <v>0</v>
      </c>
      <c r="AT34" s="1810"/>
      <c r="AU34" s="1624"/>
      <c r="AV34" s="1624"/>
      <c r="AW34" s="1436"/>
      <c r="AX34" s="1559">
        <f t="shared" ref="AX34:AX40" si="41">AW34/$AM$89</f>
        <v>0</v>
      </c>
      <c r="AY34" s="1436"/>
      <c r="AZ34" s="488"/>
      <c r="BA34" s="488"/>
      <c r="BB34" s="657"/>
      <c r="BC34" s="485">
        <f t="shared" ref="BC34:BC40" si="42">BB34/$AM$89</f>
        <v>0</v>
      </c>
      <c r="BD34" s="657"/>
      <c r="BE34" s="488"/>
      <c r="BF34" s="488"/>
      <c r="BG34" s="657"/>
      <c r="BH34" s="485">
        <f t="shared" ref="BH34:BH40" si="43">BG34/$AM$89</f>
        <v>0</v>
      </c>
      <c r="BI34" s="657"/>
      <c r="BJ34" s="488">
        <f t="shared" si="8"/>
        <v>0</v>
      </c>
      <c r="BK34" s="488">
        <f t="shared" si="9"/>
        <v>0</v>
      </c>
      <c r="BL34" s="657"/>
      <c r="BM34" s="657"/>
      <c r="BN34" s="657"/>
    </row>
    <row r="35" spans="1:66" s="88" customFormat="1" ht="15" customHeight="1" outlineLevel="1">
      <c r="A35" s="238"/>
      <c r="B35" s="1105" t="s">
        <v>80</v>
      </c>
      <c r="C35" s="1260">
        <f>C36</f>
        <v>61253</v>
      </c>
      <c r="D35" s="1260">
        <f>D36</f>
        <v>0</v>
      </c>
      <c r="E35" s="1261">
        <f>E36</f>
        <v>61253</v>
      </c>
      <c r="F35" s="1262">
        <f>E35/$E$89</f>
        <v>5.2307104263405162E-3</v>
      </c>
      <c r="G35" s="1263">
        <v>0</v>
      </c>
      <c r="H35" s="1263">
        <v>0</v>
      </c>
      <c r="I35" s="1263">
        <v>0</v>
      </c>
      <c r="J35" s="1263"/>
      <c r="K35" s="1263"/>
      <c r="L35" s="1260">
        <f>L36</f>
        <v>0</v>
      </c>
      <c r="M35" s="1260">
        <f>M36</f>
        <v>0</v>
      </c>
      <c r="N35" s="1261">
        <f>N36</f>
        <v>0</v>
      </c>
      <c r="O35" s="1261"/>
      <c r="P35" s="1261"/>
      <c r="Q35" s="1260">
        <f>Q36</f>
        <v>0</v>
      </c>
      <c r="R35" s="1260">
        <f>R36</f>
        <v>0</v>
      </c>
      <c r="S35" s="1261">
        <f>S36</f>
        <v>0</v>
      </c>
      <c r="T35" s="1291">
        <f t="shared" si="1"/>
        <v>0</v>
      </c>
      <c r="U35" s="1261"/>
      <c r="V35" s="1260">
        <f>V36</f>
        <v>0</v>
      </c>
      <c r="W35" s="1260">
        <f>W36</f>
        <v>0</v>
      </c>
      <c r="X35" s="1261">
        <f>X36</f>
        <v>0</v>
      </c>
      <c r="Y35" s="1291">
        <f t="shared" si="37"/>
        <v>0</v>
      </c>
      <c r="Z35" s="1261"/>
      <c r="AA35" s="1260">
        <f>AA36</f>
        <v>0</v>
      </c>
      <c r="AB35" s="1260">
        <f>AB36</f>
        <v>0</v>
      </c>
      <c r="AC35" s="1261">
        <f>AC36</f>
        <v>0</v>
      </c>
      <c r="AD35" s="1291">
        <f t="shared" si="38"/>
        <v>0</v>
      </c>
      <c r="AE35" s="1261"/>
      <c r="AF35" s="1469">
        <f>AF36</f>
        <v>0</v>
      </c>
      <c r="AG35" s="1469">
        <f>AG36</f>
        <v>0</v>
      </c>
      <c r="AH35" s="1470">
        <f>AH36</f>
        <v>0</v>
      </c>
      <c r="AI35" s="1633">
        <f t="shared" si="39"/>
        <v>0</v>
      </c>
      <c r="AJ35" s="1470"/>
      <c r="AK35" s="1469">
        <f>AK36</f>
        <v>0</v>
      </c>
      <c r="AL35" s="1469">
        <f>AL36</f>
        <v>0</v>
      </c>
      <c r="AM35" s="1470">
        <f>AM36</f>
        <v>0</v>
      </c>
      <c r="AN35" s="1633">
        <f t="shared" si="3"/>
        <v>0</v>
      </c>
      <c r="AO35" s="1470"/>
      <c r="AP35" s="1783">
        <f>AP36</f>
        <v>0</v>
      </c>
      <c r="AQ35" s="1783">
        <f>AQ36</f>
        <v>0</v>
      </c>
      <c r="AR35" s="1784">
        <f>AR36</f>
        <v>0</v>
      </c>
      <c r="AS35" s="1835">
        <f t="shared" si="40"/>
        <v>0</v>
      </c>
      <c r="AT35" s="1784"/>
      <c r="AU35" s="1882">
        <f>AU36</f>
        <v>0</v>
      </c>
      <c r="AV35" s="1882">
        <f>AV36</f>
        <v>0</v>
      </c>
      <c r="AW35" s="1883">
        <f>AW36</f>
        <v>0</v>
      </c>
      <c r="AX35" s="1925">
        <f t="shared" si="41"/>
        <v>0</v>
      </c>
      <c r="AY35" s="1883"/>
      <c r="AZ35" s="1260">
        <f>AZ36</f>
        <v>0</v>
      </c>
      <c r="BA35" s="1260">
        <f>BA36</f>
        <v>0</v>
      </c>
      <c r="BB35" s="1261">
        <f>BB36</f>
        <v>0</v>
      </c>
      <c r="BC35" s="1291">
        <f t="shared" si="42"/>
        <v>0</v>
      </c>
      <c r="BD35" s="1261"/>
      <c r="BE35" s="1260">
        <f>BE36</f>
        <v>0</v>
      </c>
      <c r="BF35" s="1260">
        <f>BF36</f>
        <v>0</v>
      </c>
      <c r="BG35" s="1261">
        <f>BG36</f>
        <v>0</v>
      </c>
      <c r="BH35" s="1291">
        <f t="shared" si="43"/>
        <v>0</v>
      </c>
      <c r="BI35" s="1261"/>
      <c r="BJ35" s="1260">
        <f t="shared" si="8"/>
        <v>0</v>
      </c>
      <c r="BK35" s="1260">
        <f t="shared" si="9"/>
        <v>0</v>
      </c>
      <c r="BL35" s="1261">
        <f>BL36</f>
        <v>0</v>
      </c>
      <c r="BM35" s="1261"/>
      <c r="BN35" s="1261"/>
    </row>
    <row r="36" spans="1:66" s="226" customFormat="1" ht="15" customHeight="1" outlineLevel="3">
      <c r="A36" s="238"/>
      <c r="B36" s="1106" t="s">
        <v>81</v>
      </c>
      <c r="C36" s="1265">
        <v>61253</v>
      </c>
      <c r="D36" s="1266"/>
      <c r="E36" s="1178">
        <f>C36+D36</f>
        <v>61253</v>
      </c>
      <c r="F36" s="1233">
        <f>E36/$E$89</f>
        <v>5.2307104263405162E-3</v>
      </c>
      <c r="G36" s="1039">
        <v>0</v>
      </c>
      <c r="H36" s="1039">
        <v>0</v>
      </c>
      <c r="I36" s="1039">
        <v>0</v>
      </c>
      <c r="J36" s="1039">
        <v>0</v>
      </c>
      <c r="K36" s="1039"/>
      <c r="L36" s="1176"/>
      <c r="M36" s="1176"/>
      <c r="N36" s="1178">
        <f>L36+M36*1</f>
        <v>0</v>
      </c>
      <c r="O36" s="1233">
        <f>N36/$N$89</f>
        <v>0</v>
      </c>
      <c r="P36" s="1021"/>
      <c r="Q36" s="1176"/>
      <c r="R36" s="1176"/>
      <c r="S36" s="1178">
        <f>Q36+R36*1</f>
        <v>0</v>
      </c>
      <c r="T36" s="1233">
        <f t="shared" si="1"/>
        <v>0</v>
      </c>
      <c r="U36" s="1021"/>
      <c r="V36" s="1176"/>
      <c r="W36" s="1176"/>
      <c r="X36" s="1178">
        <f>V36+W36*1</f>
        <v>0</v>
      </c>
      <c r="Y36" s="1233">
        <f t="shared" si="37"/>
        <v>0</v>
      </c>
      <c r="Z36" s="1021"/>
      <c r="AA36" s="1176"/>
      <c r="AB36" s="1176"/>
      <c r="AC36" s="1178">
        <f>AA36+AB36*1</f>
        <v>0</v>
      </c>
      <c r="AD36" s="1233">
        <f t="shared" si="38"/>
        <v>0</v>
      </c>
      <c r="AE36" s="1021"/>
      <c r="AF36" s="1432"/>
      <c r="AG36" s="1432"/>
      <c r="AH36" s="1480">
        <f>AF36+AG36*1</f>
        <v>0</v>
      </c>
      <c r="AI36" s="1540">
        <f t="shared" si="39"/>
        <v>0</v>
      </c>
      <c r="AJ36" s="1590"/>
      <c r="AK36" s="1432"/>
      <c r="AL36" s="1432"/>
      <c r="AM36" s="1480">
        <f>AK36+AL36*1</f>
        <v>0</v>
      </c>
      <c r="AN36" s="1540">
        <f t="shared" si="3"/>
        <v>0</v>
      </c>
      <c r="AO36" s="1590"/>
      <c r="AP36" s="1625"/>
      <c r="AQ36" s="1625"/>
      <c r="AR36" s="1765">
        <f>AP36+AQ36*1</f>
        <v>0</v>
      </c>
      <c r="AS36" s="1777">
        <f t="shared" si="40"/>
        <v>0</v>
      </c>
      <c r="AT36" s="1726"/>
      <c r="AU36" s="1432"/>
      <c r="AV36" s="1432"/>
      <c r="AW36" s="1480">
        <f>AU36+AV36*1</f>
        <v>0</v>
      </c>
      <c r="AX36" s="1877">
        <f t="shared" si="41"/>
        <v>0</v>
      </c>
      <c r="AY36" s="1590"/>
      <c r="AZ36" s="1176"/>
      <c r="BA36" s="1176"/>
      <c r="BB36" s="1178">
        <f>AZ36+BA36*1</f>
        <v>0</v>
      </c>
      <c r="BC36" s="1233">
        <f t="shared" si="42"/>
        <v>0</v>
      </c>
      <c r="BD36" s="1021"/>
      <c r="BE36" s="1176"/>
      <c r="BF36" s="1176"/>
      <c r="BG36" s="1178">
        <f>BE36+BF36*1</f>
        <v>0</v>
      </c>
      <c r="BH36" s="1233">
        <f t="shared" si="43"/>
        <v>0</v>
      </c>
      <c r="BI36" s="1021"/>
      <c r="BJ36" s="1176">
        <f t="shared" si="8"/>
        <v>0</v>
      </c>
      <c r="BK36" s="1176">
        <f t="shared" si="9"/>
        <v>0</v>
      </c>
      <c r="BL36" s="1178">
        <f>BJ36+BK36</f>
        <v>0</v>
      </c>
      <c r="BM36" s="1233">
        <f>BL36/$BL$89</f>
        <v>0</v>
      </c>
      <c r="BN36" s="1237"/>
    </row>
    <row r="37" spans="1:66" s="2" customFormat="1" ht="15" customHeight="1" outlineLevel="1" thickBot="1">
      <c r="A37" s="4"/>
      <c r="B37" s="1115"/>
      <c r="C37" s="1292"/>
      <c r="D37" s="1293"/>
      <c r="E37" s="1132"/>
      <c r="F37" s="1110"/>
      <c r="G37" s="956"/>
      <c r="H37" s="956"/>
      <c r="I37" s="956"/>
      <c r="J37" s="956"/>
      <c r="K37" s="956"/>
      <c r="L37" s="535"/>
      <c r="M37" s="535"/>
      <c r="N37" s="1132"/>
      <c r="O37" s="1132"/>
      <c r="P37" s="1132"/>
      <c r="Q37" s="535"/>
      <c r="R37" s="535"/>
      <c r="S37" s="1132"/>
      <c r="T37" s="1111">
        <f t="shared" si="1"/>
        <v>0</v>
      </c>
      <c r="U37" s="1132"/>
      <c r="V37" s="535"/>
      <c r="W37" s="535"/>
      <c r="X37" s="1132"/>
      <c r="Y37" s="1111">
        <f t="shared" si="37"/>
        <v>0</v>
      </c>
      <c r="Z37" s="1132"/>
      <c r="AA37" s="535"/>
      <c r="AB37" s="535"/>
      <c r="AC37" s="1132"/>
      <c r="AD37" s="1111">
        <f t="shared" si="38"/>
        <v>0</v>
      </c>
      <c r="AE37" s="1132"/>
      <c r="AF37" s="1636"/>
      <c r="AG37" s="1636"/>
      <c r="AH37" s="1692"/>
      <c r="AI37" s="1545">
        <f t="shared" si="39"/>
        <v>0</v>
      </c>
      <c r="AJ37" s="1692"/>
      <c r="AK37" s="1636"/>
      <c r="AL37" s="1636"/>
      <c r="AM37" s="1692"/>
      <c r="AN37" s="1545">
        <f t="shared" si="3"/>
        <v>0</v>
      </c>
      <c r="AO37" s="1692"/>
      <c r="AP37" s="1824"/>
      <c r="AQ37" s="1824"/>
      <c r="AR37" s="1836"/>
      <c r="AS37" s="1826">
        <f t="shared" si="40"/>
        <v>0</v>
      </c>
      <c r="AT37" s="1836"/>
      <c r="AU37" s="1636"/>
      <c r="AV37" s="1636"/>
      <c r="AW37" s="1926"/>
      <c r="AX37" s="1891">
        <f t="shared" si="41"/>
        <v>0</v>
      </c>
      <c r="AY37" s="1926"/>
      <c r="AZ37" s="535"/>
      <c r="BA37" s="535"/>
      <c r="BB37" s="1132"/>
      <c r="BC37" s="1111">
        <f t="shared" si="42"/>
        <v>0</v>
      </c>
      <c r="BD37" s="1132"/>
      <c r="BE37" s="535"/>
      <c r="BF37" s="535"/>
      <c r="BG37" s="1132"/>
      <c r="BH37" s="1111">
        <f t="shared" si="43"/>
        <v>0</v>
      </c>
      <c r="BI37" s="1132"/>
      <c r="BJ37" s="1176">
        <f t="shared" si="8"/>
        <v>0</v>
      </c>
      <c r="BK37" s="1176">
        <f t="shared" si="9"/>
        <v>0</v>
      </c>
      <c r="BL37" s="1167"/>
      <c r="BM37" s="1167"/>
      <c r="BN37" s="1167"/>
    </row>
    <row r="38" spans="1:66" ht="15" customHeight="1" thickBot="1">
      <c r="A38" s="889"/>
      <c r="B38" s="870" t="s">
        <v>46</v>
      </c>
      <c r="C38" s="648">
        <f>(C5)-(C8)</f>
        <v>8520472</v>
      </c>
      <c r="D38" s="648">
        <f>(D5)-(D8)</f>
        <v>-3622581</v>
      </c>
      <c r="E38" s="648">
        <f>(E5)-(E8)</f>
        <v>4897891</v>
      </c>
      <c r="F38" s="871"/>
      <c r="G38" s="648">
        <v>5766528.9449999984</v>
      </c>
      <c r="H38" s="648">
        <v>-4908248.1899999995</v>
      </c>
      <c r="I38" s="648">
        <v>858280.75499999709</v>
      </c>
      <c r="J38" s="871"/>
      <c r="K38" s="871"/>
      <c r="L38" s="648">
        <f>(L5)-(L8)</f>
        <v>-150</v>
      </c>
      <c r="M38" s="648">
        <f>(M5)-(M8)</f>
        <v>-17000</v>
      </c>
      <c r="N38" s="648">
        <f>(N5)-(N8)</f>
        <v>-17150</v>
      </c>
      <c r="O38" s="648"/>
      <c r="P38" s="648"/>
      <c r="Q38" s="648">
        <f>(Q5)-(Q8)</f>
        <v>526020.11400000006</v>
      </c>
      <c r="R38" s="648">
        <f>(R5)-(R8)</f>
        <v>-142961</v>
      </c>
      <c r="S38" s="648">
        <f>(S5)-(S8)</f>
        <v>383059.114</v>
      </c>
      <c r="T38" s="939">
        <f t="shared" si="1"/>
        <v>0.67100113115530946</v>
      </c>
      <c r="U38" s="648"/>
      <c r="V38" s="648">
        <f>(V5)-(V8)</f>
        <v>0</v>
      </c>
      <c r="W38" s="648">
        <f>(W5)-(W8)</f>
        <v>0</v>
      </c>
      <c r="X38" s="648">
        <f>(X5)-(X8)</f>
        <v>0</v>
      </c>
      <c r="Y38" s="939">
        <f t="shared" si="37"/>
        <v>0</v>
      </c>
      <c r="Z38" s="648"/>
      <c r="AA38" s="648">
        <f>(AA5)-(AA8)</f>
        <v>148967.52600000001</v>
      </c>
      <c r="AB38" s="648">
        <f>(AB5)-(AB8)</f>
        <v>-93954.536999999997</v>
      </c>
      <c r="AC38" s="648">
        <f>(AC5)-(AC8)</f>
        <v>55012.989000000001</v>
      </c>
      <c r="AD38" s="939">
        <f t="shared" si="38"/>
        <v>9.6365747473729599E-2</v>
      </c>
      <c r="AE38" s="648"/>
      <c r="AF38" s="1440">
        <f>(AF5)-(AF8)</f>
        <v>-15500.003999999999</v>
      </c>
      <c r="AG38" s="1440">
        <f>(AG5)-(AG8)</f>
        <v>0</v>
      </c>
      <c r="AH38" s="1440">
        <f>(AH5)-(AH8)</f>
        <v>-15500.003999999999</v>
      </c>
      <c r="AI38" s="1705">
        <f t="shared" si="39"/>
        <v>-2.7151214621437828E-2</v>
      </c>
      <c r="AJ38" s="1440"/>
      <c r="AK38" s="1440">
        <f>(AK5)-(AK8)</f>
        <v>141866.19200000001</v>
      </c>
      <c r="AL38" s="1440">
        <f>(AL5)-(AL8)</f>
        <v>-41032.254000000001</v>
      </c>
      <c r="AM38" s="1440">
        <f>(AM5)-(AM8)</f>
        <v>100833.93800000001</v>
      </c>
      <c r="AN38" s="1705">
        <f t="shared" si="3"/>
        <v>1.192758451287725</v>
      </c>
      <c r="AO38" s="1440"/>
      <c r="AP38" s="1786">
        <f>(AP5)-(AP8)</f>
        <v>-64920</v>
      </c>
      <c r="AQ38" s="1786">
        <f>(AQ5)-(AQ8)</f>
        <v>0</v>
      </c>
      <c r="AR38" s="1786">
        <f>(AR5)-(AR8)</f>
        <v>-64920</v>
      </c>
      <c r="AS38" s="1837">
        <f t="shared" si="40"/>
        <v>-0.76793468740255977</v>
      </c>
      <c r="AT38" s="1786"/>
      <c r="AU38" s="1440">
        <f>(AU5)-(AU8)</f>
        <v>-116297.364</v>
      </c>
      <c r="AV38" s="1440">
        <f>(AV5)-(AV8)</f>
        <v>0</v>
      </c>
      <c r="AW38" s="1440">
        <f>(AW5)-(AW8)</f>
        <v>-116297.364</v>
      </c>
      <c r="AX38" s="1705">
        <f t="shared" si="41"/>
        <v>-1.3756743664368718</v>
      </c>
      <c r="AY38" s="1440"/>
      <c r="AZ38" s="648">
        <f>(AZ5)-(AZ8)</f>
        <v>0</v>
      </c>
      <c r="BA38" s="648">
        <f>(BA5)-(BA8)</f>
        <v>0</v>
      </c>
      <c r="BB38" s="648">
        <f>(BB5)-(BB8)</f>
        <v>0</v>
      </c>
      <c r="BC38" s="939">
        <f t="shared" si="42"/>
        <v>0</v>
      </c>
      <c r="BD38" s="648"/>
      <c r="BE38" s="648">
        <f>(BE5)-(BE8)</f>
        <v>0</v>
      </c>
      <c r="BF38" s="648">
        <f>(BF5)-(BF8)</f>
        <v>0</v>
      </c>
      <c r="BG38" s="648">
        <f>(BG5)-(BG8)</f>
        <v>0</v>
      </c>
      <c r="BH38" s="939">
        <f t="shared" si="43"/>
        <v>0</v>
      </c>
      <c r="BI38" s="648"/>
      <c r="BJ38" s="648">
        <f>(BJ5)-(BJ8)</f>
        <v>6502812.7729999982</v>
      </c>
      <c r="BK38" s="648">
        <f>(BK5)-(BK8)</f>
        <v>-5203195.9810000006</v>
      </c>
      <c r="BL38" s="648">
        <f>(BL5)-(BL8)</f>
        <v>1299616.7919999957</v>
      </c>
      <c r="BM38" s="648"/>
      <c r="BN38" s="648"/>
    </row>
    <row r="39" spans="1:66" ht="15" customHeight="1">
      <c r="A39" s="294"/>
      <c r="B39" s="1133" t="s">
        <v>47</v>
      </c>
      <c r="C39" s="1134">
        <f>C38/(C5)</f>
        <v>0.5571933866639881</v>
      </c>
      <c r="D39" s="1134" t="e">
        <f>D38/(D5)</f>
        <v>#DIV/0!</v>
      </c>
      <c r="E39" s="1135">
        <f>E38/(E5)</f>
        <v>0.32029592654034511</v>
      </c>
      <c r="F39" s="1136"/>
      <c r="G39" s="1137">
        <v>0.45085977793136439</v>
      </c>
      <c r="H39" s="1137" t="e">
        <v>#DIV/0!</v>
      </c>
      <c r="I39" s="1138">
        <v>6.7105233372250508E-2</v>
      </c>
      <c r="J39" s="1139"/>
      <c r="K39" s="1139"/>
      <c r="L39" s="1137" t="e">
        <f>L38/(L5)</f>
        <v>#DIV/0!</v>
      </c>
      <c r="M39" s="1137" t="e">
        <f>M38/(M5)</f>
        <v>#DIV/0!</v>
      </c>
      <c r="N39" s="1138" t="e">
        <f>N38/(N5)</f>
        <v>#DIV/0!</v>
      </c>
      <c r="O39" s="1138"/>
      <c r="P39" s="1138"/>
      <c r="Q39" s="1137">
        <f>Q38/(Q5)</f>
        <v>0.58464132825786264</v>
      </c>
      <c r="R39" s="1137" t="e">
        <f>R38/(R5)</f>
        <v>#DIV/0!</v>
      </c>
      <c r="S39" s="1138">
        <f>S38/(S5)</f>
        <v>0.42574833784823674</v>
      </c>
      <c r="T39" s="1140">
        <f t="shared" si="1"/>
        <v>7.4577945242065088E-7</v>
      </c>
      <c r="U39" s="1138"/>
      <c r="V39" s="1137" t="e">
        <f>V38/(V5)</f>
        <v>#DIV/0!</v>
      </c>
      <c r="W39" s="1137" t="e">
        <f>W38/(W5)</f>
        <v>#DIV/0!</v>
      </c>
      <c r="X39" s="1138" t="e">
        <f>X38/(X5)</f>
        <v>#DIV/0!</v>
      </c>
      <c r="Y39" s="1140" t="e">
        <f t="shared" si="37"/>
        <v>#DIV/0!</v>
      </c>
      <c r="Z39" s="1138"/>
      <c r="AA39" s="1137">
        <f>AA38/(AA5)</f>
        <v>0.59807525531235706</v>
      </c>
      <c r="AB39" s="1137" t="e">
        <f>AB38/(AB5)</f>
        <v>#DIV/0!</v>
      </c>
      <c r="AC39" s="1138">
        <f>AC38/(AC5)</f>
        <v>0.220866307745964</v>
      </c>
      <c r="AD39" s="1140">
        <f t="shared" si="38"/>
        <v>3.8688948236756621E-7</v>
      </c>
      <c r="AE39" s="1138"/>
      <c r="AF39" s="1755" t="e">
        <f>AF38/(AF5)</f>
        <v>#DIV/0!</v>
      </c>
      <c r="AG39" s="1755" t="e">
        <f>AG38/(AG5)</f>
        <v>#DIV/0!</v>
      </c>
      <c r="AH39" s="1756" t="e">
        <f>AH38/(AH5)</f>
        <v>#DIV/0!</v>
      </c>
      <c r="AI39" s="1757" t="e">
        <f t="shared" si="39"/>
        <v>#DIV/0!</v>
      </c>
      <c r="AJ39" s="1756"/>
      <c r="AK39" s="1755">
        <f>AK38/(AK5)</f>
        <v>0.79065073188011392</v>
      </c>
      <c r="AL39" s="1755" t="e">
        <f>AL38/(AL5)</f>
        <v>#DIV/0!</v>
      </c>
      <c r="AM39" s="1756">
        <f>AM38/(AM5)</f>
        <v>0.5619691749959288</v>
      </c>
      <c r="AN39" s="1757">
        <f t="shared" si="3"/>
        <v>6.6474988097716111E-6</v>
      </c>
      <c r="AO39" s="1756"/>
      <c r="AP39" s="1838" t="e">
        <f>AP38/(AP5)</f>
        <v>#DIV/0!</v>
      </c>
      <c r="AQ39" s="1838" t="e">
        <f>AQ38/(AQ5)</f>
        <v>#DIV/0!</v>
      </c>
      <c r="AR39" s="1839" t="e">
        <f>AR38/(AR5)</f>
        <v>#DIV/0!</v>
      </c>
      <c r="AS39" s="1840" t="e">
        <f t="shared" si="40"/>
        <v>#DIV/0!</v>
      </c>
      <c r="AT39" s="1839"/>
      <c r="AU39" s="1755" t="e">
        <f>AU38/(AU5)</f>
        <v>#DIV/0!</v>
      </c>
      <c r="AV39" s="1755" t="e">
        <f>AV38/(AV5)</f>
        <v>#DIV/0!</v>
      </c>
      <c r="AW39" s="1756" t="e">
        <f>AW38/(AW5)</f>
        <v>#DIV/0!</v>
      </c>
      <c r="AX39" s="1757" t="e">
        <f t="shared" si="41"/>
        <v>#DIV/0!</v>
      </c>
      <c r="AY39" s="1756"/>
      <c r="AZ39" s="1137" t="e">
        <f>AZ38/(AZ5)</f>
        <v>#DIV/0!</v>
      </c>
      <c r="BA39" s="1137" t="e">
        <f>BA38/(BA5)</f>
        <v>#DIV/0!</v>
      </c>
      <c r="BB39" s="1138" t="e">
        <f>BB38/(BB5)</f>
        <v>#DIV/0!</v>
      </c>
      <c r="BC39" s="1140" t="e">
        <f t="shared" si="42"/>
        <v>#DIV/0!</v>
      </c>
      <c r="BD39" s="1138"/>
      <c r="BE39" s="1137" t="e">
        <f>BE38/(BE5)</f>
        <v>#DIV/0!</v>
      </c>
      <c r="BF39" s="1137" t="e">
        <f>BF38/(BF5)</f>
        <v>#DIV/0!</v>
      </c>
      <c r="BG39" s="1138" t="e">
        <f>BG38/(BG5)</f>
        <v>#DIV/0!</v>
      </c>
      <c r="BH39" s="1140" t="e">
        <f t="shared" si="43"/>
        <v>#DIV/0!</v>
      </c>
      <c r="BI39" s="1138"/>
      <c r="BJ39" s="1137">
        <f>BJ38/(BJ5)</f>
        <v>0.46059424208577276</v>
      </c>
      <c r="BK39" s="1137" t="e">
        <f>BK38/(BK5)</f>
        <v>#DIV/0!</v>
      </c>
      <c r="BL39" s="1138">
        <f>BL38/(BL5)</f>
        <v>9.205186005025115E-2</v>
      </c>
      <c r="BM39" s="1138"/>
      <c r="BN39" s="1138"/>
    </row>
    <row r="40" spans="1:66" ht="15" customHeight="1" outlineLevel="1" thickBot="1">
      <c r="A40" s="295"/>
      <c r="B40" s="1294"/>
      <c r="C40" s="1223"/>
      <c r="D40" s="1029"/>
      <c r="E40" s="1168"/>
      <c r="F40" s="1224"/>
      <c r="G40" s="1224"/>
      <c r="H40" s="1224"/>
      <c r="I40" s="1224"/>
      <c r="J40" s="1224"/>
      <c r="K40" s="1224"/>
      <c r="L40" s="1168"/>
      <c r="M40" s="1168"/>
      <c r="N40" s="1168"/>
      <c r="O40" s="1168"/>
      <c r="P40" s="1168"/>
      <c r="Q40" s="1168"/>
      <c r="R40" s="1168"/>
      <c r="S40" s="1168"/>
      <c r="T40" s="1233">
        <f t="shared" si="1"/>
        <v>0</v>
      </c>
      <c r="U40" s="1168"/>
      <c r="V40" s="1168"/>
      <c r="W40" s="1168"/>
      <c r="X40" s="1168"/>
      <c r="Y40" s="1233">
        <f t="shared" si="37"/>
        <v>0</v>
      </c>
      <c r="Z40" s="1168"/>
      <c r="AA40" s="1168"/>
      <c r="AB40" s="1168"/>
      <c r="AC40" s="1168"/>
      <c r="AD40" s="1233">
        <f t="shared" si="38"/>
        <v>0</v>
      </c>
      <c r="AE40" s="1168"/>
      <c r="AF40" s="1444"/>
      <c r="AG40" s="1444"/>
      <c r="AH40" s="1444"/>
      <c r="AI40" s="1540">
        <f t="shared" si="39"/>
        <v>0</v>
      </c>
      <c r="AJ40" s="1444"/>
      <c r="AK40" s="1444"/>
      <c r="AL40" s="1444"/>
      <c r="AM40" s="1444"/>
      <c r="AN40" s="1540">
        <f t="shared" si="3"/>
        <v>0</v>
      </c>
      <c r="AO40" s="1444"/>
      <c r="AP40" s="1790"/>
      <c r="AQ40" s="1790"/>
      <c r="AR40" s="1790"/>
      <c r="AS40" s="1777">
        <f t="shared" si="40"/>
        <v>0</v>
      </c>
      <c r="AT40" s="1790"/>
      <c r="AU40" s="1444"/>
      <c r="AV40" s="1444"/>
      <c r="AW40" s="1444"/>
      <c r="AX40" s="1877">
        <f t="shared" si="41"/>
        <v>0</v>
      </c>
      <c r="AY40" s="1444"/>
      <c r="AZ40" s="1168"/>
      <c r="BA40" s="1168"/>
      <c r="BB40" s="1168"/>
      <c r="BC40" s="1233">
        <f t="shared" si="42"/>
        <v>0</v>
      </c>
      <c r="BD40" s="1168"/>
      <c r="BE40" s="1168"/>
      <c r="BF40" s="1168"/>
      <c r="BG40" s="1168"/>
      <c r="BH40" s="1233">
        <f t="shared" si="43"/>
        <v>0</v>
      </c>
      <c r="BI40" s="1168"/>
      <c r="BJ40" s="1168">
        <f>G40+L40+Q40+V40+AA40+AF40+AK40+AP40</f>
        <v>0</v>
      </c>
      <c r="BK40" s="1168">
        <f>H40+M40+R40+W40+AB40+AL40+AQ40</f>
        <v>0</v>
      </c>
      <c r="BL40" s="1168"/>
      <c r="BM40" s="1168"/>
      <c r="BN40" s="1168"/>
    </row>
    <row r="41" spans="1:66" ht="15" customHeight="1" outlineLevel="1">
      <c r="A41" s="11"/>
      <c r="B41" s="1141" t="s">
        <v>26</v>
      </c>
      <c r="C41" s="1030">
        <f>SUM(C42:C48)</f>
        <v>47500</v>
      </c>
      <c r="D41" s="1030">
        <f>SUM(D42:D48)</f>
        <v>500</v>
      </c>
      <c r="E41" s="1031">
        <f>SUM(E42:E48)</f>
        <v>48000</v>
      </c>
      <c r="F41" s="1229">
        <f t="shared" ref="F41:F48" si="44">E41/$E$89</f>
        <v>4.0989682213825413E-3</v>
      </c>
      <c r="G41" s="1030">
        <v>70519.939999999988</v>
      </c>
      <c r="H41" s="1030">
        <v>3901.25</v>
      </c>
      <c r="I41" s="1031">
        <v>74421.189999999988</v>
      </c>
      <c r="J41" s="1098">
        <v>5.7271033478176738E-3</v>
      </c>
      <c r="K41" s="1098"/>
      <c r="L41" s="1030">
        <f>SUM(L42:L48)</f>
        <v>0</v>
      </c>
      <c r="M41" s="1030">
        <f>SUM(M42:M48)</f>
        <v>0</v>
      </c>
      <c r="N41" s="1031">
        <f>SUM(N42:N48)</f>
        <v>0</v>
      </c>
      <c r="O41" s="1229" t="e">
        <f>N41/#REF!</f>
        <v>#REF!</v>
      </c>
      <c r="P41" s="581"/>
      <c r="Q41" s="1030">
        <f>SUM(Q42:Q48)</f>
        <v>1444.52</v>
      </c>
      <c r="R41" s="1030">
        <f>SUM(R42:R48)</f>
        <v>102</v>
      </c>
      <c r="S41" s="1031">
        <f>SUM(S42:S48)</f>
        <v>1546.52</v>
      </c>
      <c r="T41" s="1229">
        <f t="shared" si="1"/>
        <v>2.7090248774352594E-3</v>
      </c>
      <c r="U41" s="581"/>
      <c r="V41" s="1030">
        <f>SUM(V42:V48)</f>
        <v>0</v>
      </c>
      <c r="W41" s="1030">
        <f>SUM(W42:W48)</f>
        <v>0</v>
      </c>
      <c r="X41" s="1031">
        <f>SUM(X42:X48)</f>
        <v>0</v>
      </c>
      <c r="Y41" s="1229">
        <f t="shared" si="37"/>
        <v>0</v>
      </c>
      <c r="Z41" s="581"/>
      <c r="AA41" s="1030">
        <f>SUM(AA42:AA48)</f>
        <v>225.02</v>
      </c>
      <c r="AB41" s="1030">
        <f>SUM(AB42:AB48)</f>
        <v>0</v>
      </c>
      <c r="AC41" s="1031">
        <f>SUM(AC42:AC48)</f>
        <v>225.02</v>
      </c>
      <c r="AD41" s="1229">
        <f t="shared" ref="AD41:AD71" si="45">AC41/$AC$89</f>
        <v>1.0917735574599047E-3</v>
      </c>
      <c r="AE41" s="581"/>
      <c r="AF41" s="1491">
        <f>SUM(AF42:AF48)</f>
        <v>0</v>
      </c>
      <c r="AG41" s="1491">
        <f>SUM(AG42:AG48)</f>
        <v>0</v>
      </c>
      <c r="AH41" s="1492">
        <f>SUM(AH42:AH48)</f>
        <v>0</v>
      </c>
      <c r="AI41" s="1533">
        <f t="shared" ref="AI41:AI71" si="46">AH41/$AH$89</f>
        <v>0</v>
      </c>
      <c r="AJ41" s="1446"/>
      <c r="AK41" s="1491">
        <f>SUM(AK42:AK48)</f>
        <v>0</v>
      </c>
      <c r="AL41" s="1491">
        <f>SUM(AL42:AL48)</f>
        <v>0</v>
      </c>
      <c r="AM41" s="1492">
        <f>SUM(AM42:AM48)</f>
        <v>0</v>
      </c>
      <c r="AN41" s="1533">
        <f t="shared" si="3"/>
        <v>0</v>
      </c>
      <c r="AO41" s="1446"/>
      <c r="AP41" s="1791">
        <f>SUM(AP42:AP48)</f>
        <v>0</v>
      </c>
      <c r="AQ41" s="1791">
        <f>SUM(AQ42:AQ48)</f>
        <v>0</v>
      </c>
      <c r="AR41" s="1792">
        <f>SUM(AR42:AR48)</f>
        <v>0</v>
      </c>
      <c r="AS41" s="1793">
        <f t="shared" ref="AS41:AS47" si="47">AR41/$AR$89</f>
        <v>0</v>
      </c>
      <c r="AT41" s="1794"/>
      <c r="AU41" s="1491">
        <f>SUM(AU42:AU48)</f>
        <v>0</v>
      </c>
      <c r="AV41" s="1491">
        <f>SUM(AV42:AV48)</f>
        <v>0</v>
      </c>
      <c r="AW41" s="1492">
        <f>SUM(AW42:AW48)</f>
        <v>0</v>
      </c>
      <c r="AX41" s="1888">
        <f t="shared" ref="AX41:AX48" si="48">AW41/$AW$89</f>
        <v>0</v>
      </c>
      <c r="AY41" s="1446"/>
      <c r="AZ41" s="1030">
        <f>SUM(AZ42:AZ48)</f>
        <v>0</v>
      </c>
      <c r="BA41" s="1030">
        <f>SUM(BA42:BA48)</f>
        <v>0</v>
      </c>
      <c r="BB41" s="1031">
        <f>SUM(BB42:BB48)</f>
        <v>0</v>
      </c>
      <c r="BC41" s="1229">
        <f>BB41/$AR$89</f>
        <v>0</v>
      </c>
      <c r="BD41" s="581"/>
      <c r="BE41" s="1030">
        <f>SUM(BE42:BE48)</f>
        <v>0</v>
      </c>
      <c r="BF41" s="1030">
        <f>SUM(BF42:BF48)</f>
        <v>0</v>
      </c>
      <c r="BG41" s="1031">
        <f>SUM(BG42:BG48)</f>
        <v>0</v>
      </c>
      <c r="BH41" s="1229" t="e">
        <f t="shared" ref="BH41:BH48" si="49">BG41/$BG$89</f>
        <v>#DIV/0!</v>
      </c>
      <c r="BI41" s="581"/>
      <c r="BJ41" s="1030">
        <f>SUM(BJ42:BJ48)</f>
        <v>72189.479999999981</v>
      </c>
      <c r="BK41" s="1030">
        <f>SUM(BK42:BK48)</f>
        <v>4003.25</v>
      </c>
      <c r="BL41" s="1031">
        <f>SUM(BL42:BL48)</f>
        <v>76192.729999999981</v>
      </c>
      <c r="BM41" s="1229">
        <f t="shared" ref="BM41:BM49" si="50">BL41/$BL$89</f>
        <v>5.459343313628396E-3</v>
      </c>
      <c r="BN41" s="581"/>
    </row>
    <row r="42" spans="1:66" ht="15" customHeight="1" outlineLevel="2">
      <c r="A42" s="4833"/>
      <c r="B42" s="1295" t="s">
        <v>7</v>
      </c>
      <c r="C42" s="1230"/>
      <c r="D42" s="1231"/>
      <c r="E42" s="1232">
        <f t="shared" ref="E42:E49" si="51">C42+D42</f>
        <v>0</v>
      </c>
      <c r="F42" s="1233">
        <f t="shared" si="44"/>
        <v>0</v>
      </c>
      <c r="G42" s="1176">
        <v>0</v>
      </c>
      <c r="H42" s="1176">
        <v>0</v>
      </c>
      <c r="I42" s="1178">
        <v>0</v>
      </c>
      <c r="J42" s="1039">
        <v>0</v>
      </c>
      <c r="K42" s="1039"/>
      <c r="L42" s="1176"/>
      <c r="M42" s="1176"/>
      <c r="N42" s="1178">
        <f t="shared" ref="N42:N48" si="52">L42+M42*1</f>
        <v>0</v>
      </c>
      <c r="O42" s="1233">
        <f t="shared" ref="O42:O48" si="53">N42/$N$89</f>
        <v>0</v>
      </c>
      <c r="P42" s="1234"/>
      <c r="Q42" s="1176"/>
      <c r="R42" s="1176"/>
      <c r="S42" s="1178">
        <f t="shared" ref="S42:S48" si="54">Q42+R42*1</f>
        <v>0</v>
      </c>
      <c r="T42" s="1233">
        <f t="shared" si="1"/>
        <v>0</v>
      </c>
      <c r="U42" s="1234"/>
      <c r="V42" s="1176"/>
      <c r="W42" s="1176"/>
      <c r="X42" s="1178">
        <f t="shared" ref="X42:X48" si="55">V42+W42*1</f>
        <v>0</v>
      </c>
      <c r="Y42" s="1233" t="e">
        <f t="shared" ref="Y42:Y48" si="56">X42/$X$89</f>
        <v>#DIV/0!</v>
      </c>
      <c r="Z42" s="1234"/>
      <c r="AA42" s="1176"/>
      <c r="AB42" s="1176"/>
      <c r="AC42" s="1178">
        <f t="shared" ref="AC42:AC48" si="57">AA42+AB42*1</f>
        <v>0</v>
      </c>
      <c r="AD42" s="1233">
        <f t="shared" si="45"/>
        <v>0</v>
      </c>
      <c r="AE42" s="1234"/>
      <c r="AF42" s="1432"/>
      <c r="AG42" s="1432"/>
      <c r="AH42" s="1480">
        <f t="shared" ref="AH42:AH48" si="58">AF42+AG42*1</f>
        <v>0</v>
      </c>
      <c r="AI42" s="1540">
        <f t="shared" si="46"/>
        <v>0</v>
      </c>
      <c r="AJ42" s="1460"/>
      <c r="AK42" s="1432"/>
      <c r="AL42" s="1432"/>
      <c r="AM42" s="1480">
        <f t="shared" ref="AM42:AM48" si="59">AK42+AL42*1</f>
        <v>0</v>
      </c>
      <c r="AN42" s="1540">
        <f t="shared" si="3"/>
        <v>0</v>
      </c>
      <c r="AO42" s="1460"/>
      <c r="AP42" s="1625"/>
      <c r="AQ42" s="1625"/>
      <c r="AR42" s="1765">
        <f t="shared" ref="AR42:AR48" si="60">AP42+AQ42*1</f>
        <v>0</v>
      </c>
      <c r="AS42" s="1777">
        <f t="shared" si="47"/>
        <v>0</v>
      </c>
      <c r="AT42" s="1601"/>
      <c r="AU42" s="1432"/>
      <c r="AV42" s="1432"/>
      <c r="AW42" s="1480">
        <f t="shared" ref="AW42:AW48" si="61">AU42+AV42*1</f>
        <v>0</v>
      </c>
      <c r="AX42" s="1877">
        <f t="shared" si="48"/>
        <v>0</v>
      </c>
      <c r="AY42" s="1927"/>
      <c r="AZ42" s="1176"/>
      <c r="BA42" s="1176"/>
      <c r="BB42" s="1178">
        <f t="shared" ref="BB42:BB48" si="62">AZ42+BA42*1</f>
        <v>0</v>
      </c>
      <c r="BC42" s="1233" t="e">
        <f t="shared" ref="BC42:BC48" si="63">BB42/$BB$89</f>
        <v>#DIV/0!</v>
      </c>
      <c r="BD42" s="1234"/>
      <c r="BE42" s="1176"/>
      <c r="BF42" s="1176"/>
      <c r="BG42" s="1178">
        <f t="shared" ref="BG42:BG48" si="64">BE42+BF42*1</f>
        <v>0</v>
      </c>
      <c r="BH42" s="1233" t="e">
        <f t="shared" si="49"/>
        <v>#DIV/0!</v>
      </c>
      <c r="BI42" s="1234"/>
      <c r="BJ42" s="1176">
        <f t="shared" ref="BJ42:BJ49" si="65">G42+L42+Q42+V42+AA42+AF42+AK42+AP42</f>
        <v>0</v>
      </c>
      <c r="BK42" s="1176">
        <f t="shared" ref="BK42:BK49" si="66">H42+M42+R42+W42+AB42+AL42+AQ42</f>
        <v>0</v>
      </c>
      <c r="BL42" s="1178">
        <f t="shared" ref="BL42:BL48" si="67">BJ42+BK42</f>
        <v>0</v>
      </c>
      <c r="BM42" s="1233">
        <f t="shared" si="50"/>
        <v>0</v>
      </c>
      <c r="BN42" s="1234"/>
    </row>
    <row r="43" spans="1:66" ht="15" customHeight="1" outlineLevel="2">
      <c r="A43" s="4833"/>
      <c r="B43" s="1295" t="s">
        <v>27</v>
      </c>
      <c r="C43" s="1230"/>
      <c r="D43" s="1231">
        <v>500</v>
      </c>
      <c r="E43" s="1232">
        <f t="shared" si="51"/>
        <v>500</v>
      </c>
      <c r="F43" s="1233">
        <f t="shared" si="44"/>
        <v>4.269758563940147E-5</v>
      </c>
      <c r="G43" s="1176">
        <v>0</v>
      </c>
      <c r="H43" s="1176">
        <v>2801.25</v>
      </c>
      <c r="I43" s="1178">
        <v>2801.25</v>
      </c>
      <c r="J43" s="1039">
        <v>2.1557097183039215E-4</v>
      </c>
      <c r="K43" s="1039"/>
      <c r="L43" s="1176"/>
      <c r="M43" s="1176"/>
      <c r="N43" s="1178">
        <f t="shared" si="52"/>
        <v>0</v>
      </c>
      <c r="O43" s="1233">
        <f t="shared" si="53"/>
        <v>0</v>
      </c>
      <c r="P43" s="1234"/>
      <c r="Q43" s="1176"/>
      <c r="R43" s="1176">
        <v>102</v>
      </c>
      <c r="S43" s="1178">
        <f t="shared" si="54"/>
        <v>102</v>
      </c>
      <c r="T43" s="1233">
        <f t="shared" si="1"/>
        <v>1.7867246301269722E-4</v>
      </c>
      <c r="U43" s="1234"/>
      <c r="V43" s="1176"/>
      <c r="W43" s="1176"/>
      <c r="X43" s="1178">
        <f t="shared" si="55"/>
        <v>0</v>
      </c>
      <c r="Y43" s="1233" t="e">
        <f t="shared" si="56"/>
        <v>#DIV/0!</v>
      </c>
      <c r="Z43" s="1234"/>
      <c r="AA43" s="1176"/>
      <c r="AB43" s="1176"/>
      <c r="AC43" s="1178">
        <f t="shared" si="57"/>
        <v>0</v>
      </c>
      <c r="AD43" s="1233">
        <f t="shared" si="45"/>
        <v>0</v>
      </c>
      <c r="AE43" s="1234"/>
      <c r="AF43" s="1432"/>
      <c r="AG43" s="1432"/>
      <c r="AH43" s="1480">
        <f t="shared" si="58"/>
        <v>0</v>
      </c>
      <c r="AI43" s="1540">
        <f t="shared" si="46"/>
        <v>0</v>
      </c>
      <c r="AJ43" s="1460"/>
      <c r="AK43" s="1432"/>
      <c r="AL43" s="1432"/>
      <c r="AM43" s="1480">
        <f t="shared" si="59"/>
        <v>0</v>
      </c>
      <c r="AN43" s="1540">
        <f t="shared" si="3"/>
        <v>0</v>
      </c>
      <c r="AO43" s="1460"/>
      <c r="AP43" s="1625"/>
      <c r="AQ43" s="1625"/>
      <c r="AR43" s="1765">
        <f t="shared" si="60"/>
        <v>0</v>
      </c>
      <c r="AS43" s="1777">
        <f t="shared" si="47"/>
        <v>0</v>
      </c>
      <c r="AT43" s="1601"/>
      <c r="AU43" s="1432"/>
      <c r="AV43" s="1432"/>
      <c r="AW43" s="1480">
        <f t="shared" si="61"/>
        <v>0</v>
      </c>
      <c r="AX43" s="1877">
        <f t="shared" si="48"/>
        <v>0</v>
      </c>
      <c r="AY43" s="1927"/>
      <c r="AZ43" s="1176"/>
      <c r="BA43" s="1176"/>
      <c r="BB43" s="1178">
        <f t="shared" si="62"/>
        <v>0</v>
      </c>
      <c r="BC43" s="1233" t="e">
        <f t="shared" si="63"/>
        <v>#DIV/0!</v>
      </c>
      <c r="BD43" s="1234"/>
      <c r="BE43" s="1176"/>
      <c r="BF43" s="1176"/>
      <c r="BG43" s="1178">
        <f t="shared" si="64"/>
        <v>0</v>
      </c>
      <c r="BH43" s="1233" t="e">
        <f t="shared" si="49"/>
        <v>#DIV/0!</v>
      </c>
      <c r="BI43" s="1234"/>
      <c r="BJ43" s="1176">
        <f t="shared" si="65"/>
        <v>0</v>
      </c>
      <c r="BK43" s="1176">
        <f t="shared" si="66"/>
        <v>2903.25</v>
      </c>
      <c r="BL43" s="1178">
        <f t="shared" si="67"/>
        <v>2903.25</v>
      </c>
      <c r="BM43" s="1233">
        <f t="shared" si="50"/>
        <v>2.0802297640853194E-4</v>
      </c>
      <c r="BN43" s="1234"/>
    </row>
    <row r="44" spans="1:66" ht="15" customHeight="1" outlineLevel="2">
      <c r="A44" s="4833"/>
      <c r="B44" s="1296" t="s">
        <v>28</v>
      </c>
      <c r="C44" s="1230"/>
      <c r="D44" s="1231"/>
      <c r="E44" s="1232">
        <f t="shared" si="51"/>
        <v>0</v>
      </c>
      <c r="F44" s="1233">
        <f t="shared" si="44"/>
        <v>0</v>
      </c>
      <c r="G44" s="1176">
        <v>0</v>
      </c>
      <c r="H44" s="1176">
        <v>0</v>
      </c>
      <c r="I44" s="1178">
        <v>0</v>
      </c>
      <c r="J44" s="1039">
        <v>0</v>
      </c>
      <c r="K44" s="1039"/>
      <c r="L44" s="1176"/>
      <c r="M44" s="1176"/>
      <c r="N44" s="1178">
        <f t="shared" si="52"/>
        <v>0</v>
      </c>
      <c r="O44" s="1233">
        <f t="shared" si="53"/>
        <v>0</v>
      </c>
      <c r="P44" s="1235"/>
      <c r="Q44" s="1176"/>
      <c r="R44" s="1176"/>
      <c r="S44" s="1178">
        <f t="shared" si="54"/>
        <v>0</v>
      </c>
      <c r="T44" s="1233">
        <f t="shared" si="1"/>
        <v>0</v>
      </c>
      <c r="U44" s="1235"/>
      <c r="V44" s="1122"/>
      <c r="W44" s="1176"/>
      <c r="X44" s="1178">
        <f t="shared" si="55"/>
        <v>0</v>
      </c>
      <c r="Y44" s="1233" t="e">
        <f t="shared" si="56"/>
        <v>#DIV/0!</v>
      </c>
      <c r="Z44" s="1235"/>
      <c r="AA44" s="1176"/>
      <c r="AB44" s="1176"/>
      <c r="AC44" s="1178">
        <f t="shared" si="57"/>
        <v>0</v>
      </c>
      <c r="AD44" s="1233">
        <f t="shared" si="45"/>
        <v>0</v>
      </c>
      <c r="AE44" s="1235"/>
      <c r="AF44" s="1432"/>
      <c r="AG44" s="1432"/>
      <c r="AH44" s="1480">
        <f t="shared" si="58"/>
        <v>0</v>
      </c>
      <c r="AI44" s="1540">
        <f t="shared" si="46"/>
        <v>0</v>
      </c>
      <c r="AJ44" s="1579"/>
      <c r="AK44" s="1432"/>
      <c r="AL44" s="1432"/>
      <c r="AM44" s="1480">
        <f t="shared" si="59"/>
        <v>0</v>
      </c>
      <c r="AN44" s="1540">
        <f t="shared" si="3"/>
        <v>0</v>
      </c>
      <c r="AO44" s="1579"/>
      <c r="AP44" s="1625"/>
      <c r="AQ44" s="1625"/>
      <c r="AR44" s="1765">
        <f t="shared" si="60"/>
        <v>0</v>
      </c>
      <c r="AS44" s="1777">
        <f t="shared" si="47"/>
        <v>0</v>
      </c>
      <c r="AT44" s="1601"/>
      <c r="AU44" s="1432"/>
      <c r="AV44" s="1432"/>
      <c r="AW44" s="1480">
        <f t="shared" si="61"/>
        <v>0</v>
      </c>
      <c r="AX44" s="1877">
        <f t="shared" si="48"/>
        <v>0</v>
      </c>
      <c r="AY44" s="1880"/>
      <c r="AZ44" s="1176"/>
      <c r="BA44" s="1176"/>
      <c r="BB44" s="1178">
        <f t="shared" si="62"/>
        <v>0</v>
      </c>
      <c r="BC44" s="1233" t="e">
        <f t="shared" si="63"/>
        <v>#DIV/0!</v>
      </c>
      <c r="BD44" s="1235"/>
      <c r="BE44" s="1176"/>
      <c r="BF44" s="1176"/>
      <c r="BG44" s="1178">
        <f t="shared" si="64"/>
        <v>0</v>
      </c>
      <c r="BH44" s="1233" t="e">
        <f t="shared" si="49"/>
        <v>#DIV/0!</v>
      </c>
      <c r="BI44" s="1235"/>
      <c r="BJ44" s="1176">
        <f t="shared" si="65"/>
        <v>0</v>
      </c>
      <c r="BK44" s="1176">
        <f t="shared" si="66"/>
        <v>0</v>
      </c>
      <c r="BL44" s="1178">
        <f t="shared" si="67"/>
        <v>0</v>
      </c>
      <c r="BM44" s="1233">
        <f t="shared" si="50"/>
        <v>0</v>
      </c>
      <c r="BN44" s="1234"/>
    </row>
    <row r="45" spans="1:66" ht="15" customHeight="1" outlineLevel="2">
      <c r="A45" s="4833"/>
      <c r="B45" s="1295" t="s">
        <v>8</v>
      </c>
      <c r="C45" s="1230">
        <v>7500</v>
      </c>
      <c r="D45" s="1231"/>
      <c r="E45" s="1232">
        <f t="shared" si="51"/>
        <v>7500</v>
      </c>
      <c r="F45" s="1233">
        <f t="shared" si="44"/>
        <v>6.40463784591022E-4</v>
      </c>
      <c r="G45" s="1176">
        <v>7300</v>
      </c>
      <c r="H45" s="1176">
        <v>0</v>
      </c>
      <c r="I45" s="1178">
        <v>7300</v>
      </c>
      <c r="J45" s="1039">
        <v>5.6177352766153068E-4</v>
      </c>
      <c r="K45" s="1039"/>
      <c r="L45" s="1176"/>
      <c r="M45" s="1176"/>
      <c r="N45" s="1178">
        <f t="shared" si="52"/>
        <v>0</v>
      </c>
      <c r="O45" s="1233">
        <f t="shared" si="53"/>
        <v>0</v>
      </c>
      <c r="P45" s="1235"/>
      <c r="Q45" s="1176"/>
      <c r="R45" s="1176"/>
      <c r="S45" s="1178">
        <f t="shared" si="54"/>
        <v>0</v>
      </c>
      <c r="T45" s="1233">
        <f t="shared" si="1"/>
        <v>0</v>
      </c>
      <c r="U45" s="1235"/>
      <c r="V45" s="1122"/>
      <c r="W45" s="1176"/>
      <c r="X45" s="1178">
        <f t="shared" si="55"/>
        <v>0</v>
      </c>
      <c r="Y45" s="1233" t="e">
        <f t="shared" si="56"/>
        <v>#DIV/0!</v>
      </c>
      <c r="Z45" s="1235"/>
      <c r="AA45" s="1176"/>
      <c r="AB45" s="1176"/>
      <c r="AC45" s="1178">
        <f t="shared" si="57"/>
        <v>0</v>
      </c>
      <c r="AD45" s="1233">
        <f t="shared" si="45"/>
        <v>0</v>
      </c>
      <c r="AE45" s="1235"/>
      <c r="AF45" s="1432"/>
      <c r="AG45" s="1432"/>
      <c r="AH45" s="1480">
        <f t="shared" si="58"/>
        <v>0</v>
      </c>
      <c r="AI45" s="1540">
        <f t="shared" si="46"/>
        <v>0</v>
      </c>
      <c r="AJ45" s="1579"/>
      <c r="AK45" s="1432"/>
      <c r="AL45" s="1432"/>
      <c r="AM45" s="1480">
        <f t="shared" si="59"/>
        <v>0</v>
      </c>
      <c r="AN45" s="1540">
        <f t="shared" si="3"/>
        <v>0</v>
      </c>
      <c r="AO45" s="1579"/>
      <c r="AP45" s="1625"/>
      <c r="AQ45" s="1625"/>
      <c r="AR45" s="1765">
        <f t="shared" si="60"/>
        <v>0</v>
      </c>
      <c r="AS45" s="1777">
        <f t="shared" si="47"/>
        <v>0</v>
      </c>
      <c r="AT45" s="1601"/>
      <c r="AU45" s="1432"/>
      <c r="AV45" s="1432"/>
      <c r="AW45" s="1480">
        <f t="shared" si="61"/>
        <v>0</v>
      </c>
      <c r="AX45" s="1877">
        <f t="shared" si="48"/>
        <v>0</v>
      </c>
      <c r="AY45" s="1880"/>
      <c r="AZ45" s="1176"/>
      <c r="BA45" s="1176"/>
      <c r="BB45" s="1178">
        <f t="shared" si="62"/>
        <v>0</v>
      </c>
      <c r="BC45" s="1233" t="e">
        <f t="shared" si="63"/>
        <v>#DIV/0!</v>
      </c>
      <c r="BD45" s="1235"/>
      <c r="BE45" s="1176"/>
      <c r="BF45" s="1176"/>
      <c r="BG45" s="1178">
        <f t="shared" si="64"/>
        <v>0</v>
      </c>
      <c r="BH45" s="1233" t="e">
        <f t="shared" si="49"/>
        <v>#DIV/0!</v>
      </c>
      <c r="BI45" s="1235"/>
      <c r="BJ45" s="1176">
        <f t="shared" si="65"/>
        <v>7300</v>
      </c>
      <c r="BK45" s="1176">
        <f t="shared" si="66"/>
        <v>0</v>
      </c>
      <c r="BL45" s="1178">
        <f t="shared" si="67"/>
        <v>7300</v>
      </c>
      <c r="BM45" s="1233">
        <f t="shared" si="50"/>
        <v>5.2305785853174315E-4</v>
      </c>
      <c r="BN45" s="1234"/>
    </row>
    <row r="46" spans="1:66" ht="15" customHeight="1" outlineLevel="2">
      <c r="A46" s="4833"/>
      <c r="B46" s="1295" t="s">
        <v>29</v>
      </c>
      <c r="C46" s="1230"/>
      <c r="D46" s="1231"/>
      <c r="E46" s="1232">
        <f t="shared" si="51"/>
        <v>0</v>
      </c>
      <c r="F46" s="1233">
        <f t="shared" si="44"/>
        <v>0</v>
      </c>
      <c r="G46" s="1176">
        <v>0</v>
      </c>
      <c r="H46" s="1176">
        <v>0</v>
      </c>
      <c r="I46" s="1178">
        <v>0</v>
      </c>
      <c r="J46" s="1039">
        <v>0</v>
      </c>
      <c r="K46" s="1039"/>
      <c r="L46" s="1176"/>
      <c r="M46" s="1176"/>
      <c r="N46" s="1178">
        <f t="shared" si="52"/>
        <v>0</v>
      </c>
      <c r="O46" s="1233">
        <f t="shared" si="53"/>
        <v>0</v>
      </c>
      <c r="P46" s="1235"/>
      <c r="Q46" s="1176"/>
      <c r="R46" s="1176"/>
      <c r="S46" s="1178">
        <f t="shared" si="54"/>
        <v>0</v>
      </c>
      <c r="T46" s="1233">
        <f t="shared" si="1"/>
        <v>0</v>
      </c>
      <c r="U46" s="1235"/>
      <c r="V46" s="1122"/>
      <c r="W46" s="1176"/>
      <c r="X46" s="1178">
        <f t="shared" si="55"/>
        <v>0</v>
      </c>
      <c r="Y46" s="1233" t="e">
        <f t="shared" si="56"/>
        <v>#DIV/0!</v>
      </c>
      <c r="Z46" s="1235"/>
      <c r="AA46" s="1176"/>
      <c r="AB46" s="1176"/>
      <c r="AC46" s="1178">
        <f t="shared" si="57"/>
        <v>0</v>
      </c>
      <c r="AD46" s="1233">
        <f t="shared" si="45"/>
        <v>0</v>
      </c>
      <c r="AE46" s="1235"/>
      <c r="AF46" s="1432"/>
      <c r="AG46" s="1432"/>
      <c r="AH46" s="1480">
        <f t="shared" si="58"/>
        <v>0</v>
      </c>
      <c r="AI46" s="1540">
        <f t="shared" si="46"/>
        <v>0</v>
      </c>
      <c r="AJ46" s="1579"/>
      <c r="AK46" s="1432"/>
      <c r="AL46" s="1432"/>
      <c r="AM46" s="1480">
        <f t="shared" si="59"/>
        <v>0</v>
      </c>
      <c r="AN46" s="1540">
        <f t="shared" si="3"/>
        <v>0</v>
      </c>
      <c r="AO46" s="1579"/>
      <c r="AP46" s="1625"/>
      <c r="AQ46" s="1625"/>
      <c r="AR46" s="1765">
        <f t="shared" si="60"/>
        <v>0</v>
      </c>
      <c r="AS46" s="1777">
        <f t="shared" si="47"/>
        <v>0</v>
      </c>
      <c r="AT46" s="1601"/>
      <c r="AU46" s="1432"/>
      <c r="AV46" s="1432"/>
      <c r="AW46" s="1480">
        <f t="shared" si="61"/>
        <v>0</v>
      </c>
      <c r="AX46" s="1877">
        <f t="shared" si="48"/>
        <v>0</v>
      </c>
      <c r="AY46" s="1880"/>
      <c r="AZ46" s="1176"/>
      <c r="BA46" s="1176"/>
      <c r="BB46" s="1178">
        <f t="shared" si="62"/>
        <v>0</v>
      </c>
      <c r="BC46" s="1233" t="e">
        <f t="shared" si="63"/>
        <v>#DIV/0!</v>
      </c>
      <c r="BD46" s="1235"/>
      <c r="BE46" s="1176"/>
      <c r="BF46" s="1176"/>
      <c r="BG46" s="1178">
        <f t="shared" si="64"/>
        <v>0</v>
      </c>
      <c r="BH46" s="1233" t="e">
        <f t="shared" si="49"/>
        <v>#DIV/0!</v>
      </c>
      <c r="BI46" s="1235"/>
      <c r="BJ46" s="1176">
        <f t="shared" si="65"/>
        <v>0</v>
      </c>
      <c r="BK46" s="1176">
        <f t="shared" si="66"/>
        <v>0</v>
      </c>
      <c r="BL46" s="1178">
        <f t="shared" si="67"/>
        <v>0</v>
      </c>
      <c r="BM46" s="1233">
        <f t="shared" si="50"/>
        <v>0</v>
      </c>
      <c r="BN46" s="1234"/>
    </row>
    <row r="47" spans="1:66" ht="15" customHeight="1" outlineLevel="2">
      <c r="A47" s="4833"/>
      <c r="B47" s="1295" t="s">
        <v>30</v>
      </c>
      <c r="C47" s="1230">
        <v>30000</v>
      </c>
      <c r="D47" s="1231"/>
      <c r="E47" s="1232">
        <f t="shared" si="51"/>
        <v>30000</v>
      </c>
      <c r="F47" s="1233">
        <f t="shared" si="44"/>
        <v>2.561855138364088E-3</v>
      </c>
      <c r="G47" s="1176">
        <v>59616.329999999987</v>
      </c>
      <c r="H47" s="1176">
        <v>1100</v>
      </c>
      <c r="I47" s="1178">
        <v>60716.329999999987</v>
      </c>
      <c r="J47" s="1039">
        <v>4.6724420398303584E-3</v>
      </c>
      <c r="K47" s="1039"/>
      <c r="L47" s="1176"/>
      <c r="M47" s="1176"/>
      <c r="N47" s="1178">
        <f t="shared" si="52"/>
        <v>0</v>
      </c>
      <c r="O47" s="1233">
        <f>N47/$N$89</f>
        <v>0</v>
      </c>
      <c r="P47" s="1021"/>
      <c r="Q47" s="1176">
        <v>1444.52</v>
      </c>
      <c r="R47" s="1176"/>
      <c r="S47" s="1178">
        <f t="shared" si="54"/>
        <v>1444.52</v>
      </c>
      <c r="T47" s="1233">
        <f t="shared" si="1"/>
        <v>2.5303524144225623E-3</v>
      </c>
      <c r="U47" s="1021" t="s">
        <v>1030</v>
      </c>
      <c r="V47" s="1122"/>
      <c r="W47" s="1176"/>
      <c r="X47" s="1178">
        <f t="shared" si="55"/>
        <v>0</v>
      </c>
      <c r="Y47" s="1233" t="e">
        <f t="shared" si="56"/>
        <v>#DIV/0!</v>
      </c>
      <c r="Z47" s="1021"/>
      <c r="AA47" s="1176">
        <v>225.02</v>
      </c>
      <c r="AB47" s="1176"/>
      <c r="AC47" s="1178">
        <f t="shared" si="57"/>
        <v>225.02</v>
      </c>
      <c r="AD47" s="1233">
        <f t="shared" si="45"/>
        <v>1.0917735574599047E-3</v>
      </c>
      <c r="AE47" s="1021"/>
      <c r="AF47" s="1432"/>
      <c r="AG47" s="1432"/>
      <c r="AH47" s="1480">
        <f t="shared" si="58"/>
        <v>0</v>
      </c>
      <c r="AI47" s="1540">
        <f t="shared" si="46"/>
        <v>0</v>
      </c>
      <c r="AJ47" s="1590"/>
      <c r="AK47" s="1432"/>
      <c r="AL47" s="1432"/>
      <c r="AM47" s="1480">
        <f t="shared" si="59"/>
        <v>0</v>
      </c>
      <c r="AN47" s="1540">
        <f t="shared" si="3"/>
        <v>0</v>
      </c>
      <c r="AO47" s="1590"/>
      <c r="AP47" s="1625"/>
      <c r="AQ47" s="1625"/>
      <c r="AR47" s="1765">
        <f t="shared" si="60"/>
        <v>0</v>
      </c>
      <c r="AS47" s="1777">
        <f t="shared" si="47"/>
        <v>0</v>
      </c>
      <c r="AT47" s="1726"/>
      <c r="AU47" s="1432"/>
      <c r="AV47" s="1432"/>
      <c r="AW47" s="1480">
        <f t="shared" si="61"/>
        <v>0</v>
      </c>
      <c r="AX47" s="1877">
        <f t="shared" si="48"/>
        <v>0</v>
      </c>
      <c r="AY47" s="1590"/>
      <c r="AZ47" s="1176"/>
      <c r="BA47" s="1176"/>
      <c r="BB47" s="1178">
        <f t="shared" si="62"/>
        <v>0</v>
      </c>
      <c r="BC47" s="1233" t="e">
        <f t="shared" si="63"/>
        <v>#DIV/0!</v>
      </c>
      <c r="BD47" s="1021"/>
      <c r="BE47" s="1176"/>
      <c r="BF47" s="1176"/>
      <c r="BG47" s="1178">
        <f t="shared" si="64"/>
        <v>0</v>
      </c>
      <c r="BH47" s="1233" t="e">
        <f t="shared" si="49"/>
        <v>#DIV/0!</v>
      </c>
      <c r="BI47" s="1021"/>
      <c r="BJ47" s="1176">
        <f t="shared" si="65"/>
        <v>61285.869999999981</v>
      </c>
      <c r="BK47" s="1176">
        <f t="shared" si="66"/>
        <v>1100</v>
      </c>
      <c r="BL47" s="1178">
        <f t="shared" si="67"/>
        <v>62385.869999999981</v>
      </c>
      <c r="BM47" s="1233">
        <f t="shared" si="50"/>
        <v>4.470057474635576E-3</v>
      </c>
      <c r="BN47" s="1234"/>
    </row>
    <row r="48" spans="1:66" ht="15" customHeight="1" outlineLevel="2">
      <c r="A48" s="4833"/>
      <c r="B48" s="1295" t="s">
        <v>15</v>
      </c>
      <c r="C48" s="1230">
        <v>10000</v>
      </c>
      <c r="D48" s="1231"/>
      <c r="E48" s="1232">
        <f t="shared" si="51"/>
        <v>10000</v>
      </c>
      <c r="F48" s="1233">
        <f t="shared" si="44"/>
        <v>8.5395171278802938E-4</v>
      </c>
      <c r="G48" s="1176">
        <v>3603.6099999999997</v>
      </c>
      <c r="H48" s="1176">
        <v>0</v>
      </c>
      <c r="I48" s="1178">
        <v>3603.6099999999997</v>
      </c>
      <c r="J48" s="1039">
        <v>2.7731680849539292E-4</v>
      </c>
      <c r="K48" s="1039"/>
      <c r="L48" s="1176"/>
      <c r="M48" s="1176"/>
      <c r="N48" s="1178">
        <f t="shared" si="52"/>
        <v>0</v>
      </c>
      <c r="O48" s="1233">
        <f t="shared" si="53"/>
        <v>0</v>
      </c>
      <c r="P48" s="1235"/>
      <c r="Q48" s="1176"/>
      <c r="R48" s="1176"/>
      <c r="S48" s="1178">
        <f t="shared" si="54"/>
        <v>0</v>
      </c>
      <c r="T48" s="1233">
        <f t="shared" si="1"/>
        <v>0</v>
      </c>
      <c r="U48" s="1235"/>
      <c r="V48" s="1122"/>
      <c r="W48" s="1176"/>
      <c r="X48" s="1178">
        <f t="shared" si="55"/>
        <v>0</v>
      </c>
      <c r="Y48" s="1233" t="e">
        <f t="shared" si="56"/>
        <v>#DIV/0!</v>
      </c>
      <c r="Z48" s="1235"/>
      <c r="AA48" s="1176"/>
      <c r="AB48" s="1176"/>
      <c r="AC48" s="1178">
        <f t="shared" si="57"/>
        <v>0</v>
      </c>
      <c r="AD48" s="1233">
        <f t="shared" si="45"/>
        <v>0</v>
      </c>
      <c r="AE48" s="1235"/>
      <c r="AF48" s="1432"/>
      <c r="AG48" s="1432"/>
      <c r="AH48" s="1480">
        <f t="shared" si="58"/>
        <v>0</v>
      </c>
      <c r="AI48" s="1540">
        <f t="shared" si="46"/>
        <v>0</v>
      </c>
      <c r="AJ48" s="1579"/>
      <c r="AK48" s="1432"/>
      <c r="AL48" s="1432"/>
      <c r="AM48" s="1480">
        <f t="shared" si="59"/>
        <v>0</v>
      </c>
      <c r="AN48" s="1540">
        <f t="shared" si="3"/>
        <v>0</v>
      </c>
      <c r="AO48" s="1579"/>
      <c r="AP48" s="1625"/>
      <c r="AQ48" s="1625"/>
      <c r="AR48" s="1765">
        <f t="shared" si="60"/>
        <v>0</v>
      </c>
      <c r="AS48" s="1777">
        <f t="shared" si="40"/>
        <v>0</v>
      </c>
      <c r="AT48" s="1601"/>
      <c r="AU48" s="1432"/>
      <c r="AV48" s="1432"/>
      <c r="AW48" s="1480">
        <f t="shared" si="61"/>
        <v>0</v>
      </c>
      <c r="AX48" s="1877">
        <f t="shared" si="48"/>
        <v>0</v>
      </c>
      <c r="AY48" s="1880"/>
      <c r="AZ48" s="1176"/>
      <c r="BA48" s="1176"/>
      <c r="BB48" s="1178">
        <f t="shared" si="62"/>
        <v>0</v>
      </c>
      <c r="BC48" s="1233" t="e">
        <f t="shared" si="63"/>
        <v>#DIV/0!</v>
      </c>
      <c r="BD48" s="1235"/>
      <c r="BE48" s="1176"/>
      <c r="BF48" s="1176"/>
      <c r="BG48" s="1178">
        <f t="shared" si="64"/>
        <v>0</v>
      </c>
      <c r="BH48" s="1233" t="e">
        <f t="shared" si="49"/>
        <v>#DIV/0!</v>
      </c>
      <c r="BI48" s="1235"/>
      <c r="BJ48" s="1176">
        <f t="shared" si="65"/>
        <v>3603.6099999999997</v>
      </c>
      <c r="BK48" s="1176">
        <f t="shared" si="66"/>
        <v>0</v>
      </c>
      <c r="BL48" s="1178">
        <f t="shared" si="67"/>
        <v>3603.6099999999997</v>
      </c>
      <c r="BM48" s="1233">
        <f t="shared" si="50"/>
        <v>2.582050040525445E-4</v>
      </c>
      <c r="BN48" s="1234"/>
    </row>
    <row r="49" spans="1:66" s="2" customFormat="1" ht="15" customHeight="1" outlineLevel="2" thickBot="1">
      <c r="A49" s="11"/>
      <c r="B49" s="1297"/>
      <c r="C49" s="1199"/>
      <c r="D49" s="1142"/>
      <c r="E49" s="1298">
        <f t="shared" si="51"/>
        <v>0</v>
      </c>
      <c r="F49" s="1201"/>
      <c r="G49" s="968"/>
      <c r="H49" s="968"/>
      <c r="I49" s="968"/>
      <c r="J49" s="968">
        <v>0</v>
      </c>
      <c r="K49" s="968"/>
      <c r="L49" s="512"/>
      <c r="M49" s="512"/>
      <c r="N49" s="1167"/>
      <c r="O49" s="1165">
        <f>N49/$N$89</f>
        <v>0</v>
      </c>
      <c r="P49" s="1180"/>
      <c r="Q49" s="512"/>
      <c r="R49" s="512"/>
      <c r="S49" s="1167"/>
      <c r="T49" s="1165">
        <f t="shared" si="1"/>
        <v>0</v>
      </c>
      <c r="U49" s="1180"/>
      <c r="V49" s="868"/>
      <c r="W49" s="512"/>
      <c r="X49" s="1167"/>
      <c r="Y49" s="1165">
        <f t="shared" si="37"/>
        <v>0</v>
      </c>
      <c r="Z49" s="1180"/>
      <c r="AA49" s="868"/>
      <c r="AB49" s="512"/>
      <c r="AC49" s="1167"/>
      <c r="AD49" s="1165">
        <f t="shared" si="45"/>
        <v>0</v>
      </c>
      <c r="AE49" s="1180"/>
      <c r="AF49" s="1691"/>
      <c r="AG49" s="1629"/>
      <c r="AH49" s="1439"/>
      <c r="AI49" s="1550">
        <f t="shared" si="46"/>
        <v>0</v>
      </c>
      <c r="AJ49" s="1449"/>
      <c r="AK49" s="1691"/>
      <c r="AL49" s="1629"/>
      <c r="AM49" s="1439"/>
      <c r="AN49" s="1550">
        <f t="shared" si="3"/>
        <v>0</v>
      </c>
      <c r="AO49" s="1449"/>
      <c r="AP49" s="1841"/>
      <c r="AQ49" s="1701"/>
      <c r="AR49" s="1728"/>
      <c r="AS49" s="1780">
        <f t="shared" si="40"/>
        <v>0</v>
      </c>
      <c r="AT49" s="1728"/>
      <c r="AU49" s="1691"/>
      <c r="AV49" s="1629"/>
      <c r="AW49" s="1439"/>
      <c r="AX49" s="1550">
        <f>AW49/$AM$89</f>
        <v>0</v>
      </c>
      <c r="AY49" s="1449"/>
      <c r="AZ49" s="868"/>
      <c r="BA49" s="512"/>
      <c r="BB49" s="1167"/>
      <c r="BC49" s="1165">
        <f>BB49/$AM$89</f>
        <v>0</v>
      </c>
      <c r="BD49" s="1180"/>
      <c r="BE49" s="868"/>
      <c r="BF49" s="512"/>
      <c r="BG49" s="1167"/>
      <c r="BH49" s="1165">
        <f>BG49/$AM$89</f>
        <v>0</v>
      </c>
      <c r="BI49" s="1180"/>
      <c r="BJ49" s="1176">
        <f t="shared" si="65"/>
        <v>0</v>
      </c>
      <c r="BK49" s="1176">
        <f t="shared" si="66"/>
        <v>0</v>
      </c>
      <c r="BL49" s="1167"/>
      <c r="BM49" s="1233">
        <f t="shared" si="50"/>
        <v>0</v>
      </c>
      <c r="BN49" s="1167"/>
    </row>
    <row r="50" spans="1:66" s="2" customFormat="1" ht="15" customHeight="1" outlineLevel="1">
      <c r="A50" s="293"/>
      <c r="B50" s="1053" t="s">
        <v>59</v>
      </c>
      <c r="C50" s="1030">
        <f>SUM(C51:C52)</f>
        <v>0</v>
      </c>
      <c r="D50" s="1030">
        <f>SUM(D51:D52)</f>
        <v>0</v>
      </c>
      <c r="E50" s="1030">
        <f>SUM(E51:E52)</f>
        <v>0</v>
      </c>
      <c r="F50" s="1143">
        <f>E50/$E$89</f>
        <v>0</v>
      </c>
      <c r="G50" s="1098">
        <v>0</v>
      </c>
      <c r="H50" s="1098">
        <v>0</v>
      </c>
      <c r="I50" s="1098">
        <v>0</v>
      </c>
      <c r="J50" s="1098"/>
      <c r="K50" s="1098"/>
      <c r="L50" s="1030">
        <f>L52+L51</f>
        <v>0</v>
      </c>
      <c r="M50" s="1030">
        <f>M52+M51</f>
        <v>0</v>
      </c>
      <c r="N50" s="1030">
        <f>SUM(N51:N52)</f>
        <v>0</v>
      </c>
      <c r="O50" s="1061"/>
      <c r="P50" s="1144"/>
      <c r="Q50" s="1030">
        <f>Q52+Q51</f>
        <v>0</v>
      </c>
      <c r="R50" s="1030">
        <f>R52+R51</f>
        <v>0</v>
      </c>
      <c r="S50" s="1030">
        <f>SUM(S51:S52)</f>
        <v>0</v>
      </c>
      <c r="T50" s="1143">
        <f t="shared" si="1"/>
        <v>0</v>
      </c>
      <c r="U50" s="1144"/>
      <c r="V50" s="1030">
        <f>V52+V51</f>
        <v>0</v>
      </c>
      <c r="W50" s="1030">
        <f>W52+W51</f>
        <v>0</v>
      </c>
      <c r="X50" s="1030">
        <f>SUM(X51:X52)</f>
        <v>0</v>
      </c>
      <c r="Y50" s="1143" t="e">
        <f t="shared" ref="Y50:Y71" si="68">X50/$X$89</f>
        <v>#DIV/0!</v>
      </c>
      <c r="Z50" s="1144"/>
      <c r="AA50" s="1030">
        <f>AA52+AA51</f>
        <v>0</v>
      </c>
      <c r="AB50" s="1030">
        <f>AB52+AB51</f>
        <v>0</v>
      </c>
      <c r="AC50" s="1030">
        <f>SUM(AC51:AC52)</f>
        <v>0</v>
      </c>
      <c r="AD50" s="1143">
        <f t="shared" si="45"/>
        <v>0</v>
      </c>
      <c r="AE50" s="1144"/>
      <c r="AF50" s="1491">
        <f>AF52+AF51</f>
        <v>0</v>
      </c>
      <c r="AG50" s="1491">
        <f>AG52+AG51</f>
        <v>0</v>
      </c>
      <c r="AH50" s="1491">
        <f>SUM(AH51:AH52)</f>
        <v>0</v>
      </c>
      <c r="AI50" s="1535">
        <f t="shared" si="46"/>
        <v>0</v>
      </c>
      <c r="AJ50" s="1693"/>
      <c r="AK50" s="1491">
        <f>AK52+AK51</f>
        <v>0</v>
      </c>
      <c r="AL50" s="1491">
        <f>AL52+AL51</f>
        <v>0</v>
      </c>
      <c r="AM50" s="1491">
        <f>SUM(AM51:AM52)</f>
        <v>0</v>
      </c>
      <c r="AN50" s="1535">
        <f t="shared" si="3"/>
        <v>0</v>
      </c>
      <c r="AO50" s="1693"/>
      <c r="AP50" s="1791">
        <f>AP52+AP51</f>
        <v>0</v>
      </c>
      <c r="AQ50" s="1791">
        <f>AQ52+AQ51</f>
        <v>0</v>
      </c>
      <c r="AR50" s="1791">
        <f>SUM(AR51:AR52)</f>
        <v>0</v>
      </c>
      <c r="AS50" s="1842">
        <f t="shared" si="40"/>
        <v>0</v>
      </c>
      <c r="AT50" s="1843"/>
      <c r="AU50" s="1491">
        <f>AU52+AU51</f>
        <v>0</v>
      </c>
      <c r="AV50" s="1491">
        <f>AV52+AV51</f>
        <v>0</v>
      </c>
      <c r="AW50" s="1491">
        <f>SUM(AW51:AW52)</f>
        <v>0</v>
      </c>
      <c r="AX50" s="1535">
        <f>AW50/$AM$89</f>
        <v>0</v>
      </c>
      <c r="AY50" s="1693"/>
      <c r="AZ50" s="1030">
        <f>AZ52+AZ51</f>
        <v>0</v>
      </c>
      <c r="BA50" s="1030">
        <f>BA52+BA51</f>
        <v>0</v>
      </c>
      <c r="BB50" s="1030">
        <f>SUM(BB51:BB52)</f>
        <v>0</v>
      </c>
      <c r="BC50" s="1143">
        <f>BB50/$AM$89</f>
        <v>0</v>
      </c>
      <c r="BD50" s="1144"/>
      <c r="BE50" s="1030">
        <f>BE52+BE51</f>
        <v>0</v>
      </c>
      <c r="BF50" s="1030">
        <f>BF52+BF51</f>
        <v>0</v>
      </c>
      <c r="BG50" s="1030">
        <f>SUM(BG51:BG52)</f>
        <v>0</v>
      </c>
      <c r="BH50" s="1143">
        <f>BG50/$AM$89</f>
        <v>0</v>
      </c>
      <c r="BI50" s="1144"/>
      <c r="BJ50" s="578">
        <f>BJ52+BJ51</f>
        <v>0</v>
      </c>
      <c r="BK50" s="578">
        <f>BK52+BK51</f>
        <v>0</v>
      </c>
      <c r="BL50" s="578">
        <f>SUM(BL51:BL52)</f>
        <v>0</v>
      </c>
      <c r="BM50" s="581"/>
      <c r="BN50" s="581"/>
    </row>
    <row r="51" spans="1:66" s="226" customFormat="1" ht="15" customHeight="1" outlineLevel="1">
      <c r="A51" s="234"/>
      <c r="B51" s="1183" t="s">
        <v>60</v>
      </c>
      <c r="C51" s="1230"/>
      <c r="D51" s="1231"/>
      <c r="E51" s="1231">
        <f>C51+D51</f>
        <v>0</v>
      </c>
      <c r="F51" s="1236">
        <f>E51/$E$89</f>
        <v>0</v>
      </c>
      <c r="G51" s="1093">
        <v>0</v>
      </c>
      <c r="H51" s="1093">
        <v>0</v>
      </c>
      <c r="I51" s="1093">
        <v>0</v>
      </c>
      <c r="J51" s="1093">
        <v>0</v>
      </c>
      <c r="K51" s="1093"/>
      <c r="L51" s="1176"/>
      <c r="M51" s="1176"/>
      <c r="N51" s="1178">
        <f>L51+M51*1</f>
        <v>0</v>
      </c>
      <c r="O51" s="1233">
        <f>N51/$N$89</f>
        <v>0</v>
      </c>
      <c r="P51" s="1238"/>
      <c r="Q51" s="1176"/>
      <c r="R51" s="1176"/>
      <c r="S51" s="1178">
        <f>Q51+R51*1</f>
        <v>0</v>
      </c>
      <c r="T51" s="1233">
        <f t="shared" si="1"/>
        <v>0</v>
      </c>
      <c r="U51" s="1238"/>
      <c r="V51" s="1176"/>
      <c r="W51" s="1176"/>
      <c r="X51" s="1178">
        <f>V51+W51*1</f>
        <v>0</v>
      </c>
      <c r="Y51" s="1233" t="e">
        <f t="shared" si="68"/>
        <v>#DIV/0!</v>
      </c>
      <c r="Z51" s="1238"/>
      <c r="AA51" s="1176"/>
      <c r="AB51" s="1176"/>
      <c r="AC51" s="1178">
        <f>AA51+AB51*1</f>
        <v>0</v>
      </c>
      <c r="AD51" s="1233">
        <f t="shared" si="45"/>
        <v>0</v>
      </c>
      <c r="AE51" s="1238"/>
      <c r="AF51" s="1432"/>
      <c r="AG51" s="1432"/>
      <c r="AH51" s="1480">
        <f>AF51+AG51*1</f>
        <v>0</v>
      </c>
      <c r="AI51" s="1540">
        <f t="shared" si="46"/>
        <v>0</v>
      </c>
      <c r="AJ51" s="1594"/>
      <c r="AK51" s="1432"/>
      <c r="AL51" s="1432"/>
      <c r="AM51" s="1480">
        <f>AK51+AL51*1</f>
        <v>0</v>
      </c>
      <c r="AN51" s="1540">
        <f t="shared" si="3"/>
        <v>0</v>
      </c>
      <c r="AO51" s="1594"/>
      <c r="AP51" s="1625"/>
      <c r="AQ51" s="1625"/>
      <c r="AR51" s="1765">
        <f>AP51+AQ51*1</f>
        <v>0</v>
      </c>
      <c r="AS51" s="1777">
        <f t="shared" si="40"/>
        <v>0</v>
      </c>
      <c r="AT51" s="1785"/>
      <c r="AU51" s="1432"/>
      <c r="AV51" s="1432"/>
      <c r="AW51" s="1480">
        <f>AU51+AV51*1</f>
        <v>0</v>
      </c>
      <c r="AX51" s="1877">
        <f>AW51/$AM$89</f>
        <v>0</v>
      </c>
      <c r="AY51" s="1887"/>
      <c r="AZ51" s="1176"/>
      <c r="BA51" s="1176"/>
      <c r="BB51" s="1178">
        <f>AZ51+BA51*1</f>
        <v>0</v>
      </c>
      <c r="BC51" s="1233">
        <f>BB51/$AM$89</f>
        <v>0</v>
      </c>
      <c r="BD51" s="1238"/>
      <c r="BE51" s="1176"/>
      <c r="BF51" s="1176"/>
      <c r="BG51" s="1178">
        <f>BE51+BF51*1</f>
        <v>0</v>
      </c>
      <c r="BH51" s="1233">
        <f>BG51/$AM$89</f>
        <v>0</v>
      </c>
      <c r="BI51" s="1238"/>
      <c r="BJ51" s="1176">
        <f>G51+L51+Q51+V51+AA51+AF51+AK51+AP51</f>
        <v>0</v>
      </c>
      <c r="BK51" s="1176">
        <f>H51+M51+R51+W51+AB51+AL51+AQ51</f>
        <v>0</v>
      </c>
      <c r="BL51" s="1178">
        <f>BJ51+BK51</f>
        <v>0</v>
      </c>
      <c r="BM51" s="1233">
        <f>BL51/$BL$89</f>
        <v>0</v>
      </c>
      <c r="BN51" s="1237"/>
    </row>
    <row r="52" spans="1:66" s="235" customFormat="1" ht="15" customHeight="1" outlineLevel="2">
      <c r="A52" s="234"/>
      <c r="B52" s="1183" t="s">
        <v>61</v>
      </c>
      <c r="C52" s="1230"/>
      <c r="D52" s="1231"/>
      <c r="E52" s="1231">
        <f>C52+D52</f>
        <v>0</v>
      </c>
      <c r="F52" s="1236">
        <f>E52/$E$89</f>
        <v>0</v>
      </c>
      <c r="G52" s="1093">
        <v>0</v>
      </c>
      <c r="H52" s="1093">
        <v>0</v>
      </c>
      <c r="I52" s="1093">
        <v>0</v>
      </c>
      <c r="J52" s="1093">
        <v>0</v>
      </c>
      <c r="K52" s="1093"/>
      <c r="L52" s="1176"/>
      <c r="M52" s="1176"/>
      <c r="N52" s="1178">
        <f>L52+M52*1</f>
        <v>0</v>
      </c>
      <c r="O52" s="1233">
        <f>N52/$N$89</f>
        <v>0</v>
      </c>
      <c r="P52" s="1238"/>
      <c r="Q52" s="1176"/>
      <c r="R52" s="1176"/>
      <c r="S52" s="1178">
        <f>Q52+R52*1</f>
        <v>0</v>
      </c>
      <c r="T52" s="1233">
        <f t="shared" si="1"/>
        <v>0</v>
      </c>
      <c r="U52" s="1238"/>
      <c r="V52" s="1176"/>
      <c r="W52" s="1176"/>
      <c r="X52" s="1178">
        <f>V52+W52*1</f>
        <v>0</v>
      </c>
      <c r="Y52" s="1233" t="e">
        <f t="shared" si="68"/>
        <v>#DIV/0!</v>
      </c>
      <c r="Z52" s="1238"/>
      <c r="AA52" s="1176"/>
      <c r="AB52" s="1176"/>
      <c r="AC52" s="1178">
        <f>AA52+AB52*1</f>
        <v>0</v>
      </c>
      <c r="AD52" s="1233">
        <f t="shared" si="45"/>
        <v>0</v>
      </c>
      <c r="AE52" s="1238"/>
      <c r="AF52" s="1432"/>
      <c r="AG52" s="1432"/>
      <c r="AH52" s="1480">
        <f>AF52+AG52*1</f>
        <v>0</v>
      </c>
      <c r="AI52" s="1540">
        <f t="shared" si="46"/>
        <v>0</v>
      </c>
      <c r="AJ52" s="1594"/>
      <c r="AK52" s="1432"/>
      <c r="AL52" s="1432"/>
      <c r="AM52" s="1480">
        <f>AK52+AL52*1</f>
        <v>0</v>
      </c>
      <c r="AN52" s="1540">
        <f t="shared" si="3"/>
        <v>0</v>
      </c>
      <c r="AO52" s="1594"/>
      <c r="AP52" s="1625"/>
      <c r="AQ52" s="1625"/>
      <c r="AR52" s="1765">
        <f>AP52+AQ52*1</f>
        <v>0</v>
      </c>
      <c r="AS52" s="1777">
        <f t="shared" si="40"/>
        <v>0</v>
      </c>
      <c r="AT52" s="1785"/>
      <c r="AU52" s="1432"/>
      <c r="AV52" s="1432"/>
      <c r="AW52" s="1480">
        <f>AU52+AV52*1</f>
        <v>0</v>
      </c>
      <c r="AX52" s="1877">
        <f>AW52/$AM$89</f>
        <v>0</v>
      </c>
      <c r="AY52" s="1887"/>
      <c r="AZ52" s="1176"/>
      <c r="BA52" s="1176"/>
      <c r="BB52" s="1178">
        <f>AZ52+BA52*1</f>
        <v>0</v>
      </c>
      <c r="BC52" s="1233">
        <f>BB52/$AM$89</f>
        <v>0</v>
      </c>
      <c r="BD52" s="1238"/>
      <c r="BE52" s="1176"/>
      <c r="BF52" s="1176"/>
      <c r="BG52" s="1178">
        <f>BE52+BF52*1</f>
        <v>0</v>
      </c>
      <c r="BH52" s="1233">
        <f>BG52/$AM$89</f>
        <v>0</v>
      </c>
      <c r="BI52" s="1238"/>
      <c r="BJ52" s="1176">
        <f>G52+L52+Q52+V52+AA52+AF52+AK52+AP52</f>
        <v>0</v>
      </c>
      <c r="BK52" s="1176">
        <f>H52+M52+R52+W52+AB52+AL52+AQ52</f>
        <v>0</v>
      </c>
      <c r="BL52" s="1178">
        <f>BJ52+BK52</f>
        <v>0</v>
      </c>
      <c r="BM52" s="1233">
        <f>BL52/$BL$89</f>
        <v>0</v>
      </c>
      <c r="BN52" s="1237"/>
    </row>
    <row r="53" spans="1:66" ht="15" customHeight="1" outlineLevel="1" thickBot="1">
      <c r="A53" s="20"/>
      <c r="B53" s="1185"/>
      <c r="C53" s="1208"/>
      <c r="D53" s="1085"/>
      <c r="E53" s="1209"/>
      <c r="F53" s="1210"/>
      <c r="G53" s="959">
        <v>0</v>
      </c>
      <c r="H53" s="959">
        <v>0</v>
      </c>
      <c r="I53" s="959">
        <v>0</v>
      </c>
      <c r="J53" s="959"/>
      <c r="K53" s="959"/>
      <c r="L53" s="1176"/>
      <c r="M53" s="1176"/>
      <c r="N53" s="1169"/>
      <c r="O53" s="1169"/>
      <c r="P53" s="1169"/>
      <c r="Q53" s="1176"/>
      <c r="R53" s="1176"/>
      <c r="S53" s="1169"/>
      <c r="T53" s="1233">
        <f t="shared" si="1"/>
        <v>0</v>
      </c>
      <c r="U53" s="1169"/>
      <c r="V53" s="1176"/>
      <c r="W53" s="1176"/>
      <c r="X53" s="1169"/>
      <c r="Y53" s="1233">
        <f t="shared" si="37"/>
        <v>0</v>
      </c>
      <c r="Z53" s="1169"/>
      <c r="AA53" s="1176"/>
      <c r="AB53" s="1176"/>
      <c r="AC53" s="1169"/>
      <c r="AD53" s="1233">
        <f t="shared" si="45"/>
        <v>0</v>
      </c>
      <c r="AE53" s="1169"/>
      <c r="AF53" s="1432"/>
      <c r="AG53" s="1432"/>
      <c r="AH53" s="1447"/>
      <c r="AI53" s="1540">
        <f t="shared" si="46"/>
        <v>0</v>
      </c>
      <c r="AJ53" s="1447"/>
      <c r="AK53" s="1432"/>
      <c r="AL53" s="1432"/>
      <c r="AM53" s="1447"/>
      <c r="AN53" s="1447"/>
      <c r="AO53" s="1447"/>
      <c r="AP53" s="1625"/>
      <c r="AQ53" s="1625"/>
      <c r="AR53" s="1797"/>
      <c r="AS53" s="1777">
        <f t="shared" si="40"/>
        <v>0</v>
      </c>
      <c r="AT53" s="1797"/>
      <c r="AU53" s="1432"/>
      <c r="AV53" s="1432"/>
      <c r="AW53" s="1447"/>
      <c r="AX53" s="1877">
        <f>AW53/$AM$89</f>
        <v>0</v>
      </c>
      <c r="AY53" s="1447"/>
      <c r="AZ53" s="1176"/>
      <c r="BA53" s="1176"/>
      <c r="BB53" s="1169"/>
      <c r="BC53" s="1233">
        <f>BB53/$AM$89</f>
        <v>0</v>
      </c>
      <c r="BD53" s="1169"/>
      <c r="BE53" s="1176"/>
      <c r="BF53" s="1176"/>
      <c r="BG53" s="1169"/>
      <c r="BH53" s="1233">
        <f>BG53/$AM$89</f>
        <v>0</v>
      </c>
      <c r="BI53" s="1169"/>
      <c r="BJ53" s="1176">
        <f>G53+L53+Q53+V53+AA53+AF53+AK53+AP53</f>
        <v>0</v>
      </c>
      <c r="BK53" s="1176">
        <f>H53+M53+R53+W53+AB53+AL53+AQ53</f>
        <v>0</v>
      </c>
      <c r="BL53" s="1178">
        <f>BJ53+BK53</f>
        <v>0</v>
      </c>
      <c r="BM53" s="1169"/>
      <c r="BN53" s="1169"/>
    </row>
    <row r="54" spans="1:66" ht="15" customHeight="1" outlineLevel="1">
      <c r="A54" s="236"/>
      <c r="B54" s="17" t="s">
        <v>1</v>
      </c>
      <c r="C54" s="578">
        <f>SUM(C55:C71)</f>
        <v>107959</v>
      </c>
      <c r="D54" s="578">
        <f>SUM(D55:D71)</f>
        <v>84313</v>
      </c>
      <c r="E54" s="579">
        <f>SUM(E55:E71)</f>
        <v>192272</v>
      </c>
      <c r="F54" s="580">
        <f>E54/$E$89</f>
        <v>1.6419100372117999E-2</v>
      </c>
      <c r="G54" s="578">
        <v>175913.30607999998</v>
      </c>
      <c r="H54" s="578">
        <v>105851.68124999999</v>
      </c>
      <c r="I54" s="578">
        <v>281764.98733000003</v>
      </c>
      <c r="J54" s="246">
        <v>2.1683302863545289E-2</v>
      </c>
      <c r="K54" s="246"/>
      <c r="L54" s="578">
        <f>SUM(L55:L72)</f>
        <v>200</v>
      </c>
      <c r="M54" s="578">
        <f>SUM(M55:M72)</f>
        <v>0</v>
      </c>
      <c r="N54" s="578">
        <f>SUM(N55:N72)</f>
        <v>200</v>
      </c>
      <c r="O54" s="1229">
        <f>N54/$N$89</f>
        <v>1.0055187956889828E-2</v>
      </c>
      <c r="P54" s="665"/>
      <c r="Q54" s="578">
        <f>SUM(Q55:Q72)</f>
        <v>22100</v>
      </c>
      <c r="R54" s="578">
        <f>SUM(R55:R72)</f>
        <v>7987.51</v>
      </c>
      <c r="S54" s="578">
        <f>SUM(S55:S72)</f>
        <v>30087.51</v>
      </c>
      <c r="T54" s="1229">
        <f t="shared" si="1"/>
        <v>5.2704014878619185E-2</v>
      </c>
      <c r="U54" s="665"/>
      <c r="V54" s="578">
        <f>SUM(V55:V72)</f>
        <v>0</v>
      </c>
      <c r="W54" s="578">
        <f>SUM(W55:W72)</f>
        <v>0</v>
      </c>
      <c r="X54" s="578">
        <f>SUM(X55:X72)</f>
        <v>0</v>
      </c>
      <c r="Y54" s="1229" t="e">
        <f t="shared" si="68"/>
        <v>#DIV/0!</v>
      </c>
      <c r="Z54" s="665"/>
      <c r="AA54" s="578">
        <f>SUM(AA55:AA72)</f>
        <v>0</v>
      </c>
      <c r="AB54" s="578">
        <f>SUM(AB55:AB72)</f>
        <v>186</v>
      </c>
      <c r="AC54" s="578">
        <f>SUM(AC55:AC72)</f>
        <v>186</v>
      </c>
      <c r="AD54" s="1229">
        <f>AC54/$AC$89</f>
        <v>9.0245258949223301E-4</v>
      </c>
      <c r="AE54" s="665"/>
      <c r="AF54" s="1497">
        <f>SUM(AF55:AF72)</f>
        <v>0</v>
      </c>
      <c r="AG54" s="1497">
        <f>SUM(AG55:AG72)</f>
        <v>0</v>
      </c>
      <c r="AH54" s="1497">
        <f>SUM(AH55:AH72)</f>
        <v>0</v>
      </c>
      <c r="AI54" s="1533">
        <f t="shared" si="46"/>
        <v>0</v>
      </c>
      <c r="AJ54" s="1598"/>
      <c r="AK54" s="1497">
        <f>SUM(AK55:AK72)</f>
        <v>0</v>
      </c>
      <c r="AL54" s="1497">
        <f>SUM(AL55:AL72)</f>
        <v>0</v>
      </c>
      <c r="AM54" s="1497">
        <f>SUM(AM55:AM72)</f>
        <v>0</v>
      </c>
      <c r="AN54" s="1533">
        <f t="shared" si="3"/>
        <v>0</v>
      </c>
      <c r="AO54" s="1598"/>
      <c r="AP54" s="1795">
        <f>SUM(AP55:AP72)</f>
        <v>0</v>
      </c>
      <c r="AQ54" s="1795">
        <f>SUM(AQ55:AQ72)</f>
        <v>0</v>
      </c>
      <c r="AR54" s="1795">
        <f>SUM(AR55:AR72)</f>
        <v>0</v>
      </c>
      <c r="AS54" s="1793">
        <f t="shared" ref="AS54:AS72" si="69">AR54/$AR$89</f>
        <v>0</v>
      </c>
      <c r="AT54" s="1794"/>
      <c r="AU54" s="1497">
        <f>SUM(AU55:AU72)</f>
        <v>0</v>
      </c>
      <c r="AV54" s="1497">
        <f>SUM(AV55:AV72)</f>
        <v>0</v>
      </c>
      <c r="AW54" s="1497">
        <f>SUM(AW55:AW72)</f>
        <v>0</v>
      </c>
      <c r="AX54" s="1888">
        <f t="shared" ref="AX54:AX71" si="70">AW54/$AW$89</f>
        <v>0</v>
      </c>
      <c r="AY54" s="1598"/>
      <c r="AZ54" s="578">
        <f>SUM(AZ55:AZ72)</f>
        <v>0</v>
      </c>
      <c r="BA54" s="578">
        <f>SUM(BA55:BA72)</f>
        <v>0</v>
      </c>
      <c r="BB54" s="578">
        <f>SUM(BB55:BB72)</f>
        <v>0</v>
      </c>
      <c r="BC54" s="1229" t="e">
        <f t="shared" ref="BC54:BC71" si="71">BB54/$BB$89</f>
        <v>#DIV/0!</v>
      </c>
      <c r="BD54" s="665"/>
      <c r="BE54" s="578">
        <f>SUM(BE55:BE72)</f>
        <v>0</v>
      </c>
      <c r="BF54" s="578">
        <f>SUM(BF55:BF72)</f>
        <v>0</v>
      </c>
      <c r="BG54" s="578">
        <f>SUM(BG55:BG72)</f>
        <v>0</v>
      </c>
      <c r="BH54" s="1229" t="e">
        <f t="shared" ref="BH54:BH71" si="72">BG54/$BG$89</f>
        <v>#DIV/0!</v>
      </c>
      <c r="BI54" s="665"/>
      <c r="BJ54" s="578">
        <f>SUM(BJ55:BJ72)</f>
        <v>198213.30607999998</v>
      </c>
      <c r="BK54" s="578">
        <f>SUM(BK55:BK72)</f>
        <v>114025.19125</v>
      </c>
      <c r="BL54" s="578">
        <f>SUM(BL55:BL72)</f>
        <v>312238.49733000004</v>
      </c>
      <c r="BM54" s="1229">
        <f t="shared" ref="BM54:BM72" si="73">BL54/$BL$89</f>
        <v>2.23724383239177E-2</v>
      </c>
      <c r="BN54" s="581"/>
    </row>
    <row r="55" spans="1:66" ht="15" customHeight="1" outlineLevel="2">
      <c r="A55" s="237"/>
      <c r="B55" s="1106" t="s">
        <v>77</v>
      </c>
      <c r="C55" s="1230"/>
      <c r="D55" s="1239"/>
      <c r="E55" s="1232">
        <f t="shared" ref="E55:E72" si="74">C55+D55</f>
        <v>0</v>
      </c>
      <c r="F55" s="1233">
        <f>E55/$E$89</f>
        <v>0</v>
      </c>
      <c r="G55" s="1176">
        <v>0</v>
      </c>
      <c r="H55" s="1176">
        <v>0</v>
      </c>
      <c r="I55" s="1178">
        <v>0</v>
      </c>
      <c r="J55" s="1039">
        <v>0</v>
      </c>
      <c r="K55" s="1039"/>
      <c r="L55" s="1022"/>
      <c r="M55" s="1022"/>
      <c r="N55" s="1178">
        <f t="shared" ref="N55:N71" si="75">L55+M55*1</f>
        <v>0</v>
      </c>
      <c r="O55" s="1233">
        <f t="shared" ref="O55:O72" si="76">N55/$N$89</f>
        <v>0</v>
      </c>
      <c r="P55" s="1235"/>
      <c r="Q55" s="1022"/>
      <c r="R55" s="1022"/>
      <c r="S55" s="1178">
        <f t="shared" ref="S55:S71" si="77">Q55+R55*1</f>
        <v>0</v>
      </c>
      <c r="T55" s="1233">
        <f t="shared" si="1"/>
        <v>0</v>
      </c>
      <c r="U55" s="1235"/>
      <c r="V55" s="1022"/>
      <c r="W55" s="1022"/>
      <c r="X55" s="1178">
        <f t="shared" ref="X55:X71" si="78">V55+W55*1</f>
        <v>0</v>
      </c>
      <c r="Y55" s="1233" t="e">
        <f t="shared" si="68"/>
        <v>#DIV/0!</v>
      </c>
      <c r="Z55" s="1235"/>
      <c r="AA55" s="1022"/>
      <c r="AB55" s="1022"/>
      <c r="AC55" s="1178">
        <f t="shared" ref="AC55:AC71" si="79">AA55+AB55*1</f>
        <v>0</v>
      </c>
      <c r="AD55" s="1233">
        <f t="shared" si="45"/>
        <v>0</v>
      </c>
      <c r="AE55" s="1235"/>
      <c r="AF55" s="1552"/>
      <c r="AG55" s="1552"/>
      <c r="AH55" s="1480">
        <f t="shared" ref="AH55:AH71" si="80">AF55+AG55*1</f>
        <v>0</v>
      </c>
      <c r="AI55" s="1540">
        <f t="shared" si="46"/>
        <v>0</v>
      </c>
      <c r="AJ55" s="1579"/>
      <c r="AK55" s="1552"/>
      <c r="AL55" s="1552"/>
      <c r="AM55" s="1480">
        <f t="shared" ref="AM55:AM71" si="81">AK55+AL55*1</f>
        <v>0</v>
      </c>
      <c r="AN55" s="1540">
        <f t="shared" si="3"/>
        <v>0</v>
      </c>
      <c r="AO55" s="1579"/>
      <c r="AP55" s="1776"/>
      <c r="AQ55" s="1776"/>
      <c r="AR55" s="1765">
        <f t="shared" ref="AR55:AR71" si="82">AP55+AQ55*1</f>
        <v>0</v>
      </c>
      <c r="AS55" s="1777">
        <f t="shared" si="69"/>
        <v>0</v>
      </c>
      <c r="AT55" s="1601"/>
      <c r="AU55" s="1552"/>
      <c r="AV55" s="1552"/>
      <c r="AW55" s="1480">
        <f t="shared" ref="AW55:AW71" si="83">AU55+AV55*1</f>
        <v>0</v>
      </c>
      <c r="AX55" s="1877">
        <f t="shared" si="70"/>
        <v>0</v>
      </c>
      <c r="AY55" s="1880"/>
      <c r="AZ55" s="1022"/>
      <c r="BA55" s="1022"/>
      <c r="BB55" s="1178">
        <f t="shared" ref="BB55:BB71" si="84">AZ55+BA55*1</f>
        <v>0</v>
      </c>
      <c r="BC55" s="1233" t="e">
        <f t="shared" si="71"/>
        <v>#DIV/0!</v>
      </c>
      <c r="BD55" s="1235"/>
      <c r="BE55" s="1022"/>
      <c r="BF55" s="1022"/>
      <c r="BG55" s="1178">
        <f t="shared" ref="BG55:BG71" si="85">BE55+BF55*1</f>
        <v>0</v>
      </c>
      <c r="BH55" s="1233" t="e">
        <f t="shared" si="72"/>
        <v>#DIV/0!</v>
      </c>
      <c r="BI55" s="1235"/>
      <c r="BJ55" s="1176">
        <f t="shared" ref="BJ55:BJ72" si="86">G55+L55+Q55+V55+AA55+AF55+AK55+AP55</f>
        <v>0</v>
      </c>
      <c r="BK55" s="1176">
        <f t="shared" ref="BK55:BK72" si="87">H55+M55+R55+W55+AB55+AL55+AQ55</f>
        <v>0</v>
      </c>
      <c r="BL55" s="1178">
        <f t="shared" ref="BL55:BL72" si="88">BJ55+BK55</f>
        <v>0</v>
      </c>
      <c r="BM55" s="1233">
        <f t="shared" si="73"/>
        <v>0</v>
      </c>
      <c r="BN55" s="1234"/>
    </row>
    <row r="56" spans="1:66" ht="15" customHeight="1" outlineLevel="2">
      <c r="A56" s="237"/>
      <c r="B56" s="1106" t="s">
        <v>76</v>
      </c>
      <c r="C56" s="1230"/>
      <c r="D56" s="1231"/>
      <c r="E56" s="1232">
        <f t="shared" si="74"/>
        <v>0</v>
      </c>
      <c r="F56" s="1233">
        <f t="shared" ref="F56:F72" si="89">E56/$E$89</f>
        <v>0</v>
      </c>
      <c r="G56" s="1176">
        <v>0</v>
      </c>
      <c r="H56" s="1176">
        <v>0</v>
      </c>
      <c r="I56" s="1178">
        <v>0</v>
      </c>
      <c r="J56" s="1039">
        <v>0</v>
      </c>
      <c r="K56" s="1039"/>
      <c r="L56" s="1022"/>
      <c r="M56" s="1022"/>
      <c r="N56" s="1178">
        <f t="shared" si="75"/>
        <v>0</v>
      </c>
      <c r="O56" s="1233">
        <f t="shared" si="76"/>
        <v>0</v>
      </c>
      <c r="P56" s="1275"/>
      <c r="Q56" s="1022"/>
      <c r="R56" s="1022"/>
      <c r="S56" s="1178">
        <f t="shared" si="77"/>
        <v>0</v>
      </c>
      <c r="T56" s="1233">
        <f t="shared" si="1"/>
        <v>0</v>
      </c>
      <c r="U56" s="1275"/>
      <c r="V56" s="1022"/>
      <c r="W56" s="1022"/>
      <c r="X56" s="1178">
        <f t="shared" si="78"/>
        <v>0</v>
      </c>
      <c r="Y56" s="1233" t="e">
        <f t="shared" si="68"/>
        <v>#DIV/0!</v>
      </c>
      <c r="Z56" s="1275"/>
      <c r="AA56" s="1022"/>
      <c r="AB56" s="1022"/>
      <c r="AC56" s="1178">
        <f t="shared" si="79"/>
        <v>0</v>
      </c>
      <c r="AD56" s="1233">
        <f t="shared" si="45"/>
        <v>0</v>
      </c>
      <c r="AE56" s="1275"/>
      <c r="AF56" s="1552"/>
      <c r="AG56" s="1552"/>
      <c r="AH56" s="1480">
        <f t="shared" si="80"/>
        <v>0</v>
      </c>
      <c r="AI56" s="1540">
        <f t="shared" si="46"/>
        <v>0</v>
      </c>
      <c r="AJ56" s="1603"/>
      <c r="AK56" s="1552"/>
      <c r="AL56" s="1552"/>
      <c r="AM56" s="1480">
        <f t="shared" si="81"/>
        <v>0</v>
      </c>
      <c r="AN56" s="1540">
        <f t="shared" si="3"/>
        <v>0</v>
      </c>
      <c r="AO56" s="1603"/>
      <c r="AP56" s="1776"/>
      <c r="AQ56" s="1776"/>
      <c r="AR56" s="1765">
        <f t="shared" si="82"/>
        <v>0</v>
      </c>
      <c r="AS56" s="1777">
        <f t="shared" si="69"/>
        <v>0</v>
      </c>
      <c r="AT56" s="1609"/>
      <c r="AU56" s="1552"/>
      <c r="AV56" s="1552"/>
      <c r="AW56" s="1480">
        <f t="shared" si="83"/>
        <v>0</v>
      </c>
      <c r="AX56" s="1877">
        <f t="shared" si="70"/>
        <v>0</v>
      </c>
      <c r="AY56" s="1912"/>
      <c r="AZ56" s="1022"/>
      <c r="BA56" s="1022"/>
      <c r="BB56" s="1178">
        <f t="shared" si="84"/>
        <v>0</v>
      </c>
      <c r="BC56" s="1233" t="e">
        <f t="shared" si="71"/>
        <v>#DIV/0!</v>
      </c>
      <c r="BD56" s="1275"/>
      <c r="BE56" s="1022"/>
      <c r="BF56" s="1022"/>
      <c r="BG56" s="1178">
        <f t="shared" si="85"/>
        <v>0</v>
      </c>
      <c r="BH56" s="1233" t="e">
        <f t="shared" si="72"/>
        <v>#DIV/0!</v>
      </c>
      <c r="BI56" s="1275"/>
      <c r="BJ56" s="1176">
        <f t="shared" si="86"/>
        <v>0</v>
      </c>
      <c r="BK56" s="1176">
        <f t="shared" si="87"/>
        <v>0</v>
      </c>
      <c r="BL56" s="1178">
        <f t="shared" si="88"/>
        <v>0</v>
      </c>
      <c r="BM56" s="1233">
        <f t="shared" si="73"/>
        <v>0</v>
      </c>
      <c r="BN56" s="1234"/>
    </row>
    <row r="57" spans="1:66" ht="15" customHeight="1" outlineLevel="2">
      <c r="A57" s="237"/>
      <c r="B57" s="1106" t="s">
        <v>68</v>
      </c>
      <c r="C57" s="1230"/>
      <c r="D57" s="1231"/>
      <c r="E57" s="1232">
        <f t="shared" si="74"/>
        <v>0</v>
      </c>
      <c r="F57" s="1233">
        <f t="shared" si="89"/>
        <v>0</v>
      </c>
      <c r="G57" s="1176">
        <v>0</v>
      </c>
      <c r="H57" s="1176">
        <v>0</v>
      </c>
      <c r="I57" s="1178">
        <v>0</v>
      </c>
      <c r="J57" s="1039">
        <v>0</v>
      </c>
      <c r="K57" s="1039"/>
      <c r="L57" s="1022"/>
      <c r="M57" s="1022"/>
      <c r="N57" s="1178">
        <f t="shared" si="75"/>
        <v>0</v>
      </c>
      <c r="O57" s="1233">
        <f t="shared" si="76"/>
        <v>0</v>
      </c>
      <c r="P57" s="1275"/>
      <c r="Q57" s="1022"/>
      <c r="R57" s="1022"/>
      <c r="S57" s="1178">
        <f t="shared" si="77"/>
        <v>0</v>
      </c>
      <c r="T57" s="1233">
        <f t="shared" si="1"/>
        <v>0</v>
      </c>
      <c r="U57" s="1021"/>
      <c r="V57" s="1022"/>
      <c r="W57" s="1022"/>
      <c r="X57" s="1178">
        <f t="shared" si="78"/>
        <v>0</v>
      </c>
      <c r="Y57" s="1233" t="e">
        <f t="shared" si="68"/>
        <v>#DIV/0!</v>
      </c>
      <c r="Z57" s="1275"/>
      <c r="AA57" s="1022"/>
      <c r="AB57" s="1022"/>
      <c r="AC57" s="1178">
        <f t="shared" si="79"/>
        <v>0</v>
      </c>
      <c r="AD57" s="1233">
        <f t="shared" si="45"/>
        <v>0</v>
      </c>
      <c r="AE57" s="1275"/>
      <c r="AF57" s="1552"/>
      <c r="AG57" s="1552"/>
      <c r="AH57" s="1480">
        <f t="shared" si="80"/>
        <v>0</v>
      </c>
      <c r="AI57" s="1540">
        <f t="shared" si="46"/>
        <v>0</v>
      </c>
      <c r="AJ57" s="1603"/>
      <c r="AK57" s="1552"/>
      <c r="AL57" s="1552"/>
      <c r="AM57" s="1480">
        <f t="shared" si="81"/>
        <v>0</v>
      </c>
      <c r="AN57" s="1540">
        <f t="shared" si="3"/>
        <v>0</v>
      </c>
      <c r="AO57" s="1590"/>
      <c r="AP57" s="1776"/>
      <c r="AQ57" s="1776"/>
      <c r="AR57" s="1765">
        <f t="shared" si="82"/>
        <v>0</v>
      </c>
      <c r="AS57" s="1777">
        <f t="shared" si="69"/>
        <v>0</v>
      </c>
      <c r="AT57" s="1726"/>
      <c r="AU57" s="1552"/>
      <c r="AV57" s="1552"/>
      <c r="AW57" s="1480">
        <f t="shared" si="83"/>
        <v>0</v>
      </c>
      <c r="AX57" s="1877">
        <f t="shared" si="70"/>
        <v>0</v>
      </c>
      <c r="AY57" s="1590"/>
      <c r="AZ57" s="1022"/>
      <c r="BA57" s="1022"/>
      <c r="BB57" s="1178">
        <f t="shared" si="84"/>
        <v>0</v>
      </c>
      <c r="BC57" s="1233" t="e">
        <f t="shared" si="71"/>
        <v>#DIV/0!</v>
      </c>
      <c r="BD57" s="1021"/>
      <c r="BE57" s="1022"/>
      <c r="BF57" s="1022"/>
      <c r="BG57" s="1178">
        <f t="shared" si="85"/>
        <v>0</v>
      </c>
      <c r="BH57" s="1233" t="e">
        <f t="shared" si="72"/>
        <v>#DIV/0!</v>
      </c>
      <c r="BI57" s="1021"/>
      <c r="BJ57" s="1176">
        <f t="shared" si="86"/>
        <v>0</v>
      </c>
      <c r="BK57" s="1176">
        <f t="shared" si="87"/>
        <v>0</v>
      </c>
      <c r="BL57" s="1178">
        <f t="shared" si="88"/>
        <v>0</v>
      </c>
      <c r="BM57" s="1233">
        <f t="shared" si="73"/>
        <v>0</v>
      </c>
      <c r="BN57" s="1234"/>
    </row>
    <row r="58" spans="1:66" ht="15" customHeight="1" outlineLevel="2">
      <c r="A58" s="237"/>
      <c r="B58" s="1106" t="s">
        <v>67</v>
      </c>
      <c r="C58" s="1230">
        <v>34535</v>
      </c>
      <c r="D58" s="1231">
        <v>79216</v>
      </c>
      <c r="E58" s="1232">
        <f t="shared" si="74"/>
        <v>113751</v>
      </c>
      <c r="F58" s="1233">
        <f t="shared" si="89"/>
        <v>9.7137861281351122E-3</v>
      </c>
      <c r="G58" s="1176">
        <v>37742.29</v>
      </c>
      <c r="H58" s="1176">
        <v>97797.641250000001</v>
      </c>
      <c r="I58" s="1178">
        <v>135539.93124999999</v>
      </c>
      <c r="J58" s="1039">
        <v>1.0430513057166278E-2</v>
      </c>
      <c r="K58" s="1039"/>
      <c r="L58" s="1022"/>
      <c r="M58" s="1022"/>
      <c r="N58" s="1178">
        <f t="shared" si="75"/>
        <v>0</v>
      </c>
      <c r="O58" s="1233">
        <f t="shared" si="76"/>
        <v>0</v>
      </c>
      <c r="P58" s="1276"/>
      <c r="Q58" s="1022">
        <v>19100</v>
      </c>
      <c r="R58" s="1022"/>
      <c r="S58" s="1178">
        <f t="shared" si="77"/>
        <v>19100</v>
      </c>
      <c r="T58" s="1233">
        <f t="shared" si="1"/>
        <v>3.3457294544534479E-2</v>
      </c>
      <c r="U58" s="1021" t="s">
        <v>1010</v>
      </c>
      <c r="V58" s="1022"/>
      <c r="W58" s="1022"/>
      <c r="X58" s="1178">
        <f t="shared" si="78"/>
        <v>0</v>
      </c>
      <c r="Y58" s="1233" t="e">
        <f t="shared" si="68"/>
        <v>#DIV/0!</v>
      </c>
      <c r="Z58" s="1276"/>
      <c r="AA58" s="1022"/>
      <c r="AB58" s="1022"/>
      <c r="AC58" s="1178">
        <f t="shared" si="79"/>
        <v>0</v>
      </c>
      <c r="AD58" s="1233">
        <f t="shared" si="45"/>
        <v>0</v>
      </c>
      <c r="AE58" s="1276"/>
      <c r="AF58" s="1552"/>
      <c r="AG58" s="1552"/>
      <c r="AH58" s="1480">
        <f t="shared" si="80"/>
        <v>0</v>
      </c>
      <c r="AI58" s="1540">
        <f t="shared" si="46"/>
        <v>0</v>
      </c>
      <c r="AJ58" s="1609"/>
      <c r="AK58" s="1552"/>
      <c r="AL58" s="1552"/>
      <c r="AM58" s="1480">
        <f t="shared" si="81"/>
        <v>0</v>
      </c>
      <c r="AN58" s="1540">
        <f t="shared" si="3"/>
        <v>0</v>
      </c>
      <c r="AO58" s="1590"/>
      <c r="AP58" s="1776"/>
      <c r="AQ58" s="1776"/>
      <c r="AR58" s="1765">
        <f t="shared" si="82"/>
        <v>0</v>
      </c>
      <c r="AS58" s="1777">
        <f t="shared" si="69"/>
        <v>0</v>
      </c>
      <c r="AT58" s="1726"/>
      <c r="AU58" s="1552"/>
      <c r="AV58" s="1552"/>
      <c r="AW58" s="1480">
        <f t="shared" si="83"/>
        <v>0</v>
      </c>
      <c r="AX58" s="1877">
        <f t="shared" si="70"/>
        <v>0</v>
      </c>
      <c r="AY58" s="1590"/>
      <c r="AZ58" s="1022"/>
      <c r="BA58" s="1022"/>
      <c r="BB58" s="1178">
        <f t="shared" si="84"/>
        <v>0</v>
      </c>
      <c r="BC58" s="1233" t="e">
        <f t="shared" si="71"/>
        <v>#DIV/0!</v>
      </c>
      <c r="BD58" s="1021"/>
      <c r="BE58" s="1022"/>
      <c r="BF58" s="1022"/>
      <c r="BG58" s="1178">
        <f t="shared" si="85"/>
        <v>0</v>
      </c>
      <c r="BH58" s="1233" t="e">
        <f t="shared" si="72"/>
        <v>#DIV/0!</v>
      </c>
      <c r="BI58" s="1021"/>
      <c r="BJ58" s="1176">
        <f t="shared" si="86"/>
        <v>56842.29</v>
      </c>
      <c r="BK58" s="1176">
        <f t="shared" si="87"/>
        <v>97797.641250000001</v>
      </c>
      <c r="BL58" s="1178">
        <f t="shared" si="88"/>
        <v>154639.93124999999</v>
      </c>
      <c r="BM58" s="1233">
        <f t="shared" si="73"/>
        <v>1.108022346344123E-2</v>
      </c>
      <c r="BN58" s="1234"/>
    </row>
    <row r="59" spans="1:66" ht="15" customHeight="1" outlineLevel="2">
      <c r="A59" s="237"/>
      <c r="B59" s="1106" t="s">
        <v>66</v>
      </c>
      <c r="C59" s="1230">
        <v>8366</v>
      </c>
      <c r="D59" s="1231"/>
      <c r="E59" s="1232">
        <f t="shared" si="74"/>
        <v>8366</v>
      </c>
      <c r="F59" s="1233">
        <f t="shared" si="89"/>
        <v>7.1441600291846533E-4</v>
      </c>
      <c r="G59" s="1176">
        <v>9142.56</v>
      </c>
      <c r="H59" s="1176">
        <v>0</v>
      </c>
      <c r="I59" s="1178">
        <v>9142.56</v>
      </c>
      <c r="J59" s="1039">
        <v>7.0356824425441141E-4</v>
      </c>
      <c r="K59" s="1039"/>
      <c r="L59" s="1022"/>
      <c r="M59" s="1022"/>
      <c r="N59" s="1178">
        <f t="shared" si="75"/>
        <v>0</v>
      </c>
      <c r="O59" s="1233">
        <f t="shared" si="76"/>
        <v>0</v>
      </c>
      <c r="P59" s="1275"/>
      <c r="Q59" s="1022"/>
      <c r="R59" s="1022"/>
      <c r="S59" s="1178">
        <f t="shared" si="77"/>
        <v>0</v>
      </c>
      <c r="T59" s="1233">
        <f t="shared" si="1"/>
        <v>0</v>
      </c>
      <c r="U59" s="1021"/>
      <c r="V59" s="1022"/>
      <c r="W59" s="1022"/>
      <c r="X59" s="1178">
        <f t="shared" si="78"/>
        <v>0</v>
      </c>
      <c r="Y59" s="1233" t="e">
        <f t="shared" si="68"/>
        <v>#DIV/0!</v>
      </c>
      <c r="Z59" s="1275"/>
      <c r="AA59" s="1022"/>
      <c r="AB59" s="1022"/>
      <c r="AC59" s="1178">
        <f t="shared" si="79"/>
        <v>0</v>
      </c>
      <c r="AD59" s="1233">
        <f t="shared" si="45"/>
        <v>0</v>
      </c>
      <c r="AE59" s="1275"/>
      <c r="AF59" s="1552"/>
      <c r="AG59" s="1552"/>
      <c r="AH59" s="1480">
        <f t="shared" si="80"/>
        <v>0</v>
      </c>
      <c r="AI59" s="1540">
        <f t="shared" si="46"/>
        <v>0</v>
      </c>
      <c r="AJ59" s="1603"/>
      <c r="AK59" s="1552"/>
      <c r="AL59" s="1552"/>
      <c r="AM59" s="1480">
        <f t="shared" si="81"/>
        <v>0</v>
      </c>
      <c r="AN59" s="1540">
        <f t="shared" si="3"/>
        <v>0</v>
      </c>
      <c r="AO59" s="1590"/>
      <c r="AP59" s="1776"/>
      <c r="AQ59" s="1776"/>
      <c r="AR59" s="1765">
        <f t="shared" si="82"/>
        <v>0</v>
      </c>
      <c r="AS59" s="1777">
        <f t="shared" si="69"/>
        <v>0</v>
      </c>
      <c r="AT59" s="1726"/>
      <c r="AU59" s="1552"/>
      <c r="AV59" s="1552"/>
      <c r="AW59" s="1480">
        <f t="shared" si="83"/>
        <v>0</v>
      </c>
      <c r="AX59" s="1877">
        <f t="shared" si="70"/>
        <v>0</v>
      </c>
      <c r="AY59" s="1590"/>
      <c r="AZ59" s="1022"/>
      <c r="BA59" s="1022"/>
      <c r="BB59" s="1178">
        <f t="shared" si="84"/>
        <v>0</v>
      </c>
      <c r="BC59" s="1233" t="e">
        <f t="shared" si="71"/>
        <v>#DIV/0!</v>
      </c>
      <c r="BD59" s="1021"/>
      <c r="BE59" s="1022"/>
      <c r="BF59" s="1022"/>
      <c r="BG59" s="1178">
        <f t="shared" si="85"/>
        <v>0</v>
      </c>
      <c r="BH59" s="1233" t="e">
        <f t="shared" si="72"/>
        <v>#DIV/0!</v>
      </c>
      <c r="BI59" s="1021"/>
      <c r="BJ59" s="1176">
        <f t="shared" si="86"/>
        <v>9142.56</v>
      </c>
      <c r="BK59" s="1176">
        <f t="shared" si="87"/>
        <v>0</v>
      </c>
      <c r="BL59" s="1178">
        <f t="shared" si="88"/>
        <v>9142.56</v>
      </c>
      <c r="BM59" s="1233">
        <f t="shared" si="73"/>
        <v>6.5508052809561275E-4</v>
      </c>
      <c r="BN59" s="1234"/>
    </row>
    <row r="60" spans="1:66" ht="15" customHeight="1" outlineLevel="2">
      <c r="A60" s="237"/>
      <c r="B60" s="1106" t="s">
        <v>65</v>
      </c>
      <c r="C60" s="1230">
        <v>9438</v>
      </c>
      <c r="D60" s="1231"/>
      <c r="E60" s="1232">
        <f t="shared" si="74"/>
        <v>9438</v>
      </c>
      <c r="F60" s="1233">
        <f t="shared" si="89"/>
        <v>8.0595962652934216E-4</v>
      </c>
      <c r="G60" s="1176">
        <v>10314.67</v>
      </c>
      <c r="H60" s="1176">
        <v>0</v>
      </c>
      <c r="I60" s="1178">
        <v>10314.67</v>
      </c>
      <c r="J60" s="1039">
        <v>7.9376829487185754E-4</v>
      </c>
      <c r="K60" s="1039"/>
      <c r="L60" s="1022"/>
      <c r="M60" s="1022"/>
      <c r="N60" s="1178">
        <f t="shared" si="75"/>
        <v>0</v>
      </c>
      <c r="O60" s="1233">
        <f t="shared" si="76"/>
        <v>0</v>
      </c>
      <c r="P60" s="1275"/>
      <c r="Q60" s="1022"/>
      <c r="R60" s="1022"/>
      <c r="S60" s="1178">
        <f t="shared" si="77"/>
        <v>0</v>
      </c>
      <c r="T60" s="1233">
        <f t="shared" si="1"/>
        <v>0</v>
      </c>
      <c r="U60" s="1021"/>
      <c r="V60" s="1022"/>
      <c r="W60" s="1022"/>
      <c r="X60" s="1178">
        <f t="shared" si="78"/>
        <v>0</v>
      </c>
      <c r="Y60" s="1233" t="e">
        <f t="shared" si="68"/>
        <v>#DIV/0!</v>
      </c>
      <c r="Z60" s="1275"/>
      <c r="AA60" s="1022"/>
      <c r="AB60" s="1022"/>
      <c r="AC60" s="1178">
        <f t="shared" si="79"/>
        <v>0</v>
      </c>
      <c r="AD60" s="1233">
        <f t="shared" si="45"/>
        <v>0</v>
      </c>
      <c r="AE60" s="1275"/>
      <c r="AF60" s="1552"/>
      <c r="AG60" s="1552"/>
      <c r="AH60" s="1480">
        <f t="shared" si="80"/>
        <v>0</v>
      </c>
      <c r="AI60" s="1540">
        <f t="shared" si="46"/>
        <v>0</v>
      </c>
      <c r="AJ60" s="1603"/>
      <c r="AK60" s="1552"/>
      <c r="AL60" s="1552"/>
      <c r="AM60" s="1480">
        <f t="shared" si="81"/>
        <v>0</v>
      </c>
      <c r="AN60" s="1540">
        <f t="shared" si="3"/>
        <v>0</v>
      </c>
      <c r="AO60" s="1590"/>
      <c r="AP60" s="1776"/>
      <c r="AQ60" s="1776"/>
      <c r="AR60" s="1765">
        <f t="shared" si="82"/>
        <v>0</v>
      </c>
      <c r="AS60" s="1777">
        <f t="shared" si="69"/>
        <v>0</v>
      </c>
      <c r="AT60" s="1726"/>
      <c r="AU60" s="1552"/>
      <c r="AV60" s="1552"/>
      <c r="AW60" s="1480">
        <f t="shared" si="83"/>
        <v>0</v>
      </c>
      <c r="AX60" s="1877">
        <f t="shared" si="70"/>
        <v>0</v>
      </c>
      <c r="AY60" s="1590"/>
      <c r="AZ60" s="1022"/>
      <c r="BA60" s="1022"/>
      <c r="BB60" s="1178">
        <f t="shared" si="84"/>
        <v>0</v>
      </c>
      <c r="BC60" s="1233" t="e">
        <f t="shared" si="71"/>
        <v>#DIV/0!</v>
      </c>
      <c r="BD60" s="1021"/>
      <c r="BE60" s="1022"/>
      <c r="BF60" s="1022"/>
      <c r="BG60" s="1178">
        <f t="shared" si="85"/>
        <v>0</v>
      </c>
      <c r="BH60" s="1233" t="e">
        <f t="shared" si="72"/>
        <v>#DIV/0!</v>
      </c>
      <c r="BI60" s="1021"/>
      <c r="BJ60" s="1176">
        <f t="shared" si="86"/>
        <v>10314.67</v>
      </c>
      <c r="BK60" s="1176">
        <f t="shared" si="87"/>
        <v>0</v>
      </c>
      <c r="BL60" s="1178">
        <f t="shared" si="88"/>
        <v>10314.67</v>
      </c>
      <c r="BM60" s="1233">
        <f t="shared" si="73"/>
        <v>7.3906427420022123E-4</v>
      </c>
      <c r="BN60" s="1234"/>
    </row>
    <row r="61" spans="1:66" ht="15" customHeight="1" outlineLevel="2">
      <c r="A61" s="237"/>
      <c r="B61" s="1106" t="s">
        <v>32</v>
      </c>
      <c r="C61" s="1230"/>
      <c r="D61" s="1231"/>
      <c r="E61" s="1232">
        <f t="shared" si="74"/>
        <v>0</v>
      </c>
      <c r="F61" s="1233">
        <f t="shared" si="89"/>
        <v>0</v>
      </c>
      <c r="G61" s="1176">
        <v>0</v>
      </c>
      <c r="H61" s="1176">
        <v>0</v>
      </c>
      <c r="I61" s="1178">
        <v>0</v>
      </c>
      <c r="J61" s="1039">
        <v>0</v>
      </c>
      <c r="K61" s="1039"/>
      <c r="L61" s="1022"/>
      <c r="M61" s="1022"/>
      <c r="N61" s="1178">
        <f t="shared" si="75"/>
        <v>0</v>
      </c>
      <c r="O61" s="1233">
        <f t="shared" si="76"/>
        <v>0</v>
      </c>
      <c r="P61" s="1275"/>
      <c r="Q61" s="1022"/>
      <c r="R61" s="1022"/>
      <c r="S61" s="1178">
        <f t="shared" si="77"/>
        <v>0</v>
      </c>
      <c r="T61" s="1233">
        <f t="shared" si="1"/>
        <v>0</v>
      </c>
      <c r="U61" s="1021"/>
      <c r="V61" s="1022"/>
      <c r="W61" s="1022"/>
      <c r="X61" s="1178">
        <f t="shared" si="78"/>
        <v>0</v>
      </c>
      <c r="Y61" s="1233" t="e">
        <f t="shared" si="68"/>
        <v>#DIV/0!</v>
      </c>
      <c r="Z61" s="1275"/>
      <c r="AA61" s="1022"/>
      <c r="AB61" s="1022"/>
      <c r="AC61" s="1178">
        <f t="shared" si="79"/>
        <v>0</v>
      </c>
      <c r="AD61" s="1233">
        <f t="shared" si="45"/>
        <v>0</v>
      </c>
      <c r="AE61" s="1275"/>
      <c r="AF61" s="1552"/>
      <c r="AG61" s="1552"/>
      <c r="AH61" s="1480">
        <f t="shared" si="80"/>
        <v>0</v>
      </c>
      <c r="AI61" s="1540">
        <f t="shared" si="46"/>
        <v>0</v>
      </c>
      <c r="AJ61" s="1603"/>
      <c r="AK61" s="1552"/>
      <c r="AL61" s="1552"/>
      <c r="AM61" s="1480">
        <f t="shared" si="81"/>
        <v>0</v>
      </c>
      <c r="AN61" s="1540">
        <f t="shared" si="3"/>
        <v>0</v>
      </c>
      <c r="AO61" s="1590"/>
      <c r="AP61" s="1776"/>
      <c r="AQ61" s="1776"/>
      <c r="AR61" s="1765">
        <f t="shared" si="82"/>
        <v>0</v>
      </c>
      <c r="AS61" s="1777">
        <f t="shared" si="69"/>
        <v>0</v>
      </c>
      <c r="AT61" s="1726"/>
      <c r="AU61" s="1552"/>
      <c r="AV61" s="1552"/>
      <c r="AW61" s="1480">
        <f t="shared" si="83"/>
        <v>0</v>
      </c>
      <c r="AX61" s="1877">
        <f t="shared" si="70"/>
        <v>0</v>
      </c>
      <c r="AY61" s="1590"/>
      <c r="AZ61" s="1022"/>
      <c r="BA61" s="1022"/>
      <c r="BB61" s="1178">
        <f t="shared" si="84"/>
        <v>0</v>
      </c>
      <c r="BC61" s="1233" t="e">
        <f t="shared" si="71"/>
        <v>#DIV/0!</v>
      </c>
      <c r="BD61" s="1021"/>
      <c r="BE61" s="1022"/>
      <c r="BF61" s="1022"/>
      <c r="BG61" s="1178">
        <f t="shared" si="85"/>
        <v>0</v>
      </c>
      <c r="BH61" s="1233" t="e">
        <f t="shared" si="72"/>
        <v>#DIV/0!</v>
      </c>
      <c r="BI61" s="1021"/>
      <c r="BJ61" s="1176">
        <f t="shared" si="86"/>
        <v>0</v>
      </c>
      <c r="BK61" s="1176">
        <f t="shared" si="87"/>
        <v>0</v>
      </c>
      <c r="BL61" s="1178">
        <f t="shared" si="88"/>
        <v>0</v>
      </c>
      <c r="BM61" s="1233">
        <f t="shared" si="73"/>
        <v>0</v>
      </c>
      <c r="BN61" s="1234"/>
    </row>
    <row r="62" spans="1:66" ht="15" customHeight="1" outlineLevel="2">
      <c r="A62" s="237"/>
      <c r="B62" s="1106" t="s">
        <v>33</v>
      </c>
      <c r="C62" s="1230"/>
      <c r="D62" s="1231"/>
      <c r="E62" s="1232">
        <f t="shared" si="74"/>
        <v>0</v>
      </c>
      <c r="F62" s="1233">
        <f t="shared" si="89"/>
        <v>0</v>
      </c>
      <c r="G62" s="1176">
        <v>0</v>
      </c>
      <c r="H62" s="1176">
        <v>0</v>
      </c>
      <c r="I62" s="1178">
        <v>0</v>
      </c>
      <c r="J62" s="1039">
        <v>0</v>
      </c>
      <c r="K62" s="1039"/>
      <c r="L62" s="1022"/>
      <c r="M62" s="1022"/>
      <c r="N62" s="1178">
        <f t="shared" si="75"/>
        <v>0</v>
      </c>
      <c r="O62" s="1233">
        <f t="shared" si="76"/>
        <v>0</v>
      </c>
      <c r="P62" s="1275"/>
      <c r="Q62" s="1022"/>
      <c r="R62" s="1022"/>
      <c r="S62" s="1178">
        <f t="shared" si="77"/>
        <v>0</v>
      </c>
      <c r="T62" s="1233">
        <f t="shared" si="1"/>
        <v>0</v>
      </c>
      <c r="U62" s="1021"/>
      <c r="V62" s="1145"/>
      <c r="W62" s="1022"/>
      <c r="X62" s="1178">
        <f t="shared" si="78"/>
        <v>0</v>
      </c>
      <c r="Y62" s="1233" t="e">
        <f t="shared" si="68"/>
        <v>#DIV/0!</v>
      </c>
      <c r="Z62" s="1275"/>
      <c r="AA62" s="1022"/>
      <c r="AB62" s="1022"/>
      <c r="AC62" s="1178">
        <f t="shared" si="79"/>
        <v>0</v>
      </c>
      <c r="AD62" s="1233">
        <f t="shared" si="45"/>
        <v>0</v>
      </c>
      <c r="AE62" s="1275"/>
      <c r="AF62" s="1552"/>
      <c r="AG62" s="1552"/>
      <c r="AH62" s="1480">
        <f t="shared" si="80"/>
        <v>0</v>
      </c>
      <c r="AI62" s="1540">
        <f t="shared" si="46"/>
        <v>0</v>
      </c>
      <c r="AJ62" s="1603"/>
      <c r="AK62" s="1552"/>
      <c r="AL62" s="1552"/>
      <c r="AM62" s="1480">
        <f t="shared" si="81"/>
        <v>0</v>
      </c>
      <c r="AN62" s="1540">
        <f t="shared" si="3"/>
        <v>0</v>
      </c>
      <c r="AO62" s="1590"/>
      <c r="AP62" s="1776"/>
      <c r="AQ62" s="1776"/>
      <c r="AR62" s="1765">
        <f t="shared" si="82"/>
        <v>0</v>
      </c>
      <c r="AS62" s="1777">
        <f t="shared" si="69"/>
        <v>0</v>
      </c>
      <c r="AT62" s="1726"/>
      <c r="AU62" s="1552"/>
      <c r="AV62" s="1552"/>
      <c r="AW62" s="1480">
        <f t="shared" si="83"/>
        <v>0</v>
      </c>
      <c r="AX62" s="1877">
        <f t="shared" si="70"/>
        <v>0</v>
      </c>
      <c r="AY62" s="1590"/>
      <c r="AZ62" s="1022"/>
      <c r="BA62" s="1022"/>
      <c r="BB62" s="1178">
        <f t="shared" si="84"/>
        <v>0</v>
      </c>
      <c r="BC62" s="1233" t="e">
        <f t="shared" si="71"/>
        <v>#DIV/0!</v>
      </c>
      <c r="BD62" s="1021"/>
      <c r="BE62" s="1022"/>
      <c r="BF62" s="1022"/>
      <c r="BG62" s="1178">
        <f t="shared" si="85"/>
        <v>0</v>
      </c>
      <c r="BH62" s="1233" t="e">
        <f t="shared" si="72"/>
        <v>#DIV/0!</v>
      </c>
      <c r="BI62" s="1021"/>
      <c r="BJ62" s="1176">
        <f t="shared" si="86"/>
        <v>0</v>
      </c>
      <c r="BK62" s="1176">
        <f t="shared" si="87"/>
        <v>0</v>
      </c>
      <c r="BL62" s="1178">
        <f t="shared" si="88"/>
        <v>0</v>
      </c>
      <c r="BM62" s="1233">
        <f t="shared" si="73"/>
        <v>0</v>
      </c>
      <c r="BN62" s="1234"/>
    </row>
    <row r="63" spans="1:66" ht="15" customHeight="1" outlineLevel="2">
      <c r="A63" s="237"/>
      <c r="B63" s="1106" t="s">
        <v>35</v>
      </c>
      <c r="C63" s="1230"/>
      <c r="D63" s="1231"/>
      <c r="E63" s="1232">
        <f t="shared" si="74"/>
        <v>0</v>
      </c>
      <c r="F63" s="1233">
        <f t="shared" si="89"/>
        <v>0</v>
      </c>
      <c r="G63" s="1176">
        <v>30791.516080000001</v>
      </c>
      <c r="H63" s="1176">
        <v>0</v>
      </c>
      <c r="I63" s="1178">
        <v>30791.516080000001</v>
      </c>
      <c r="J63" s="1039">
        <v>2.369569672644979E-3</v>
      </c>
      <c r="K63" s="1039"/>
      <c r="L63" s="1022"/>
      <c r="M63" s="1022"/>
      <c r="N63" s="1178">
        <f t="shared" si="75"/>
        <v>0</v>
      </c>
      <c r="O63" s="1233">
        <f t="shared" si="76"/>
        <v>0</v>
      </c>
      <c r="P63" s="1299"/>
      <c r="Q63" s="1022"/>
      <c r="R63" s="1022">
        <v>2247</v>
      </c>
      <c r="S63" s="1178">
        <f t="shared" si="77"/>
        <v>2247</v>
      </c>
      <c r="T63" s="1233">
        <f t="shared" si="1"/>
        <v>3.9360492587208881E-3</v>
      </c>
      <c r="U63" s="1021" t="s">
        <v>1052</v>
      </c>
      <c r="V63" s="1145"/>
      <c r="W63" s="1022"/>
      <c r="X63" s="1178">
        <f t="shared" si="78"/>
        <v>0</v>
      </c>
      <c r="Y63" s="1233" t="e">
        <f t="shared" si="68"/>
        <v>#DIV/0!</v>
      </c>
      <c r="Z63" s="1299"/>
      <c r="AA63" s="1022"/>
      <c r="AB63" s="1022"/>
      <c r="AC63" s="1178">
        <f t="shared" si="79"/>
        <v>0</v>
      </c>
      <c r="AD63" s="1233">
        <f t="shared" si="45"/>
        <v>0</v>
      </c>
      <c r="AE63" s="1300"/>
      <c r="AF63" s="1552"/>
      <c r="AG63" s="1552"/>
      <c r="AH63" s="1480">
        <f t="shared" si="80"/>
        <v>0</v>
      </c>
      <c r="AI63" s="1540">
        <f t="shared" si="46"/>
        <v>0</v>
      </c>
      <c r="AJ63" s="1614"/>
      <c r="AK63" s="1552"/>
      <c r="AL63" s="1552"/>
      <c r="AM63" s="1480">
        <f t="shared" si="81"/>
        <v>0</v>
      </c>
      <c r="AN63" s="1540">
        <f t="shared" si="3"/>
        <v>0</v>
      </c>
      <c r="AO63" s="1590"/>
      <c r="AP63" s="1776"/>
      <c r="AQ63" s="1776"/>
      <c r="AR63" s="1765">
        <f t="shared" si="82"/>
        <v>0</v>
      </c>
      <c r="AS63" s="1777">
        <f t="shared" si="69"/>
        <v>0</v>
      </c>
      <c r="AT63" s="1726"/>
      <c r="AU63" s="1552"/>
      <c r="AV63" s="1552"/>
      <c r="AW63" s="1480">
        <f t="shared" si="83"/>
        <v>0</v>
      </c>
      <c r="AX63" s="1877">
        <f t="shared" si="70"/>
        <v>0</v>
      </c>
      <c r="AY63" s="1703"/>
      <c r="AZ63" s="1022"/>
      <c r="BA63" s="1022"/>
      <c r="BB63" s="1178">
        <f t="shared" si="84"/>
        <v>0</v>
      </c>
      <c r="BC63" s="1233" t="e">
        <f t="shared" si="71"/>
        <v>#DIV/0!</v>
      </c>
      <c r="BD63" s="1084"/>
      <c r="BE63" s="1022"/>
      <c r="BF63" s="1022"/>
      <c r="BG63" s="1178">
        <f t="shared" si="85"/>
        <v>0</v>
      </c>
      <c r="BH63" s="1233" t="e">
        <f t="shared" si="72"/>
        <v>#DIV/0!</v>
      </c>
      <c r="BI63" s="1084"/>
      <c r="BJ63" s="1176">
        <f t="shared" si="86"/>
        <v>30791.516080000001</v>
      </c>
      <c r="BK63" s="1176">
        <f t="shared" si="87"/>
        <v>2247</v>
      </c>
      <c r="BL63" s="1178">
        <f t="shared" si="88"/>
        <v>33038.516080000001</v>
      </c>
      <c r="BM63" s="1233">
        <f t="shared" si="73"/>
        <v>2.367267872585118E-3</v>
      </c>
      <c r="BN63" s="1234"/>
    </row>
    <row r="64" spans="1:66" ht="15" customHeight="1" outlineLevel="2">
      <c r="A64" s="237"/>
      <c r="B64" s="1106" t="s">
        <v>63</v>
      </c>
      <c r="C64" s="1230"/>
      <c r="D64" s="1231"/>
      <c r="E64" s="1232">
        <f t="shared" si="74"/>
        <v>0</v>
      </c>
      <c r="F64" s="1233">
        <f t="shared" si="89"/>
        <v>0</v>
      </c>
      <c r="G64" s="1176">
        <v>0</v>
      </c>
      <c r="H64" s="1176">
        <v>0</v>
      </c>
      <c r="I64" s="1178">
        <v>0</v>
      </c>
      <c r="J64" s="1039">
        <v>0</v>
      </c>
      <c r="K64" s="1039"/>
      <c r="L64" s="1022"/>
      <c r="M64" s="1022"/>
      <c r="N64" s="1178">
        <f t="shared" si="75"/>
        <v>0</v>
      </c>
      <c r="O64" s="1233">
        <f t="shared" si="76"/>
        <v>0</v>
      </c>
      <c r="P64" s="1299"/>
      <c r="Q64" s="1022"/>
      <c r="R64" s="1022"/>
      <c r="S64" s="1178">
        <f t="shared" si="77"/>
        <v>0</v>
      </c>
      <c r="T64" s="1233">
        <f t="shared" si="1"/>
        <v>0</v>
      </c>
      <c r="U64" s="1021"/>
      <c r="V64" s="1145"/>
      <c r="W64" s="1022"/>
      <c r="X64" s="1178">
        <f t="shared" si="78"/>
        <v>0</v>
      </c>
      <c r="Y64" s="1233" t="e">
        <f t="shared" si="68"/>
        <v>#DIV/0!</v>
      </c>
      <c r="Z64" s="1299"/>
      <c r="AA64" s="1022"/>
      <c r="AB64" s="1022"/>
      <c r="AC64" s="1178">
        <f t="shared" si="79"/>
        <v>0</v>
      </c>
      <c r="AD64" s="1233">
        <f t="shared" si="45"/>
        <v>0</v>
      </c>
      <c r="AE64" s="1299"/>
      <c r="AF64" s="1552"/>
      <c r="AG64" s="1552"/>
      <c r="AH64" s="1480">
        <f t="shared" si="80"/>
        <v>0</v>
      </c>
      <c r="AI64" s="1540">
        <f t="shared" si="46"/>
        <v>0</v>
      </c>
      <c r="AJ64" s="1610"/>
      <c r="AK64" s="1552"/>
      <c r="AL64" s="1552"/>
      <c r="AM64" s="1480">
        <f t="shared" si="81"/>
        <v>0</v>
      </c>
      <c r="AN64" s="1540">
        <f t="shared" si="3"/>
        <v>0</v>
      </c>
      <c r="AO64" s="1590"/>
      <c r="AP64" s="1776"/>
      <c r="AQ64" s="1776"/>
      <c r="AR64" s="1765">
        <f t="shared" si="82"/>
        <v>0</v>
      </c>
      <c r="AS64" s="1777">
        <f t="shared" si="69"/>
        <v>0</v>
      </c>
      <c r="AT64" s="1726"/>
      <c r="AU64" s="1552"/>
      <c r="AV64" s="1552"/>
      <c r="AW64" s="1480">
        <f t="shared" si="83"/>
        <v>0</v>
      </c>
      <c r="AX64" s="1877">
        <f t="shared" si="70"/>
        <v>0</v>
      </c>
      <c r="AY64" s="1590"/>
      <c r="AZ64" s="1022"/>
      <c r="BA64" s="1022"/>
      <c r="BB64" s="1178">
        <f t="shared" si="84"/>
        <v>0</v>
      </c>
      <c r="BC64" s="1233" t="e">
        <f t="shared" si="71"/>
        <v>#DIV/0!</v>
      </c>
      <c r="BD64" s="1021"/>
      <c r="BE64" s="1022"/>
      <c r="BF64" s="1022"/>
      <c r="BG64" s="1178">
        <f t="shared" si="85"/>
        <v>0</v>
      </c>
      <c r="BH64" s="1233" t="e">
        <f t="shared" si="72"/>
        <v>#DIV/0!</v>
      </c>
      <c r="BI64" s="1021"/>
      <c r="BJ64" s="1176">
        <f t="shared" si="86"/>
        <v>0</v>
      </c>
      <c r="BK64" s="1176">
        <f t="shared" si="87"/>
        <v>0</v>
      </c>
      <c r="BL64" s="1178">
        <f t="shared" si="88"/>
        <v>0</v>
      </c>
      <c r="BM64" s="1233">
        <f t="shared" si="73"/>
        <v>0</v>
      </c>
      <c r="BN64" s="1234"/>
    </row>
    <row r="65" spans="1:66" ht="15" customHeight="1" outlineLevel="2">
      <c r="A65" s="237"/>
      <c r="B65" s="1106" t="s">
        <v>36</v>
      </c>
      <c r="C65" s="1230"/>
      <c r="D65" s="1231"/>
      <c r="E65" s="1232">
        <f t="shared" si="74"/>
        <v>0</v>
      </c>
      <c r="F65" s="1233">
        <f t="shared" si="89"/>
        <v>0</v>
      </c>
      <c r="G65" s="1176">
        <v>5510</v>
      </c>
      <c r="H65" s="1176">
        <v>5860</v>
      </c>
      <c r="I65" s="1178">
        <v>11370</v>
      </c>
      <c r="J65" s="1039">
        <v>8.7498150815227443E-4</v>
      </c>
      <c r="K65" s="1039"/>
      <c r="L65" s="1176">
        <v>200</v>
      </c>
      <c r="M65" s="1176"/>
      <c r="N65" s="1178">
        <f t="shared" si="75"/>
        <v>200</v>
      </c>
      <c r="O65" s="1233">
        <f t="shared" si="76"/>
        <v>1.0055187956889828E-2</v>
      </c>
      <c r="P65" s="1021" t="s">
        <v>987</v>
      </c>
      <c r="Q65" s="1176">
        <v>3000</v>
      </c>
      <c r="R65" s="1176">
        <v>5400</v>
      </c>
      <c r="S65" s="1178">
        <f t="shared" si="77"/>
        <v>8400</v>
      </c>
      <c r="T65" s="1233">
        <f t="shared" si="1"/>
        <v>1.4714202836339771E-2</v>
      </c>
      <c r="U65" s="1021" t="s">
        <v>1012</v>
      </c>
      <c r="V65" s="1122"/>
      <c r="W65" s="1176"/>
      <c r="X65" s="1178">
        <f t="shared" si="78"/>
        <v>0</v>
      </c>
      <c r="Y65" s="1233" t="e">
        <f t="shared" si="68"/>
        <v>#DIV/0!</v>
      </c>
      <c r="Z65" s="1021"/>
      <c r="AA65" s="1122"/>
      <c r="AB65" s="1176"/>
      <c r="AC65" s="1178">
        <f t="shared" si="79"/>
        <v>0</v>
      </c>
      <c r="AD65" s="1233">
        <f t="shared" si="45"/>
        <v>0</v>
      </c>
      <c r="AE65" s="1021"/>
      <c r="AF65" s="1751"/>
      <c r="AG65" s="1432"/>
      <c r="AH65" s="1480">
        <f t="shared" si="80"/>
        <v>0</v>
      </c>
      <c r="AI65" s="1540">
        <f t="shared" si="46"/>
        <v>0</v>
      </c>
      <c r="AJ65" s="1590"/>
      <c r="AK65" s="1751"/>
      <c r="AL65" s="1432"/>
      <c r="AM65" s="1480">
        <f t="shared" si="81"/>
        <v>0</v>
      </c>
      <c r="AN65" s="1540">
        <f t="shared" si="3"/>
        <v>0</v>
      </c>
      <c r="AO65" s="1590"/>
      <c r="AP65" s="1831"/>
      <c r="AQ65" s="1625"/>
      <c r="AR65" s="1765">
        <f t="shared" si="82"/>
        <v>0</v>
      </c>
      <c r="AS65" s="1777">
        <f t="shared" si="69"/>
        <v>0</v>
      </c>
      <c r="AT65" s="1726"/>
      <c r="AU65" s="1751"/>
      <c r="AV65" s="1432"/>
      <c r="AW65" s="1480">
        <f t="shared" si="83"/>
        <v>0</v>
      </c>
      <c r="AX65" s="1877">
        <f t="shared" si="70"/>
        <v>0</v>
      </c>
      <c r="AY65" s="1590"/>
      <c r="AZ65" s="1122"/>
      <c r="BA65" s="1176"/>
      <c r="BB65" s="1178">
        <f t="shared" si="84"/>
        <v>0</v>
      </c>
      <c r="BC65" s="1233" t="e">
        <f t="shared" si="71"/>
        <v>#DIV/0!</v>
      </c>
      <c r="BD65" s="1021"/>
      <c r="BE65" s="1122"/>
      <c r="BF65" s="1176"/>
      <c r="BG65" s="1178">
        <f t="shared" si="85"/>
        <v>0</v>
      </c>
      <c r="BH65" s="1233" t="e">
        <f t="shared" si="72"/>
        <v>#DIV/0!</v>
      </c>
      <c r="BI65" s="1021"/>
      <c r="BJ65" s="1176">
        <f t="shared" si="86"/>
        <v>8710</v>
      </c>
      <c r="BK65" s="1176">
        <f t="shared" si="87"/>
        <v>11260</v>
      </c>
      <c r="BL65" s="1178">
        <f t="shared" si="88"/>
        <v>19970</v>
      </c>
      <c r="BM65" s="1233">
        <f t="shared" si="73"/>
        <v>1.4308856760108096E-3</v>
      </c>
      <c r="BN65" s="1234"/>
    </row>
    <row r="66" spans="1:66" s="2" customFormat="1" ht="15" customHeight="1" outlineLevel="2">
      <c r="A66" s="237"/>
      <c r="B66" s="1106" t="s">
        <v>37</v>
      </c>
      <c r="C66" s="1240"/>
      <c r="D66" s="1239"/>
      <c r="E66" s="1232">
        <f t="shared" si="74"/>
        <v>0</v>
      </c>
      <c r="F66" s="1233">
        <f t="shared" si="89"/>
        <v>0</v>
      </c>
      <c r="G66" s="1176">
        <v>0</v>
      </c>
      <c r="H66" s="1176">
        <v>0</v>
      </c>
      <c r="I66" s="1178">
        <v>0</v>
      </c>
      <c r="J66" s="1039">
        <v>0</v>
      </c>
      <c r="K66" s="1039"/>
      <c r="L66" s="1176"/>
      <c r="M66" s="1176"/>
      <c r="N66" s="1178">
        <f t="shared" si="75"/>
        <v>0</v>
      </c>
      <c r="O66" s="1233">
        <f t="shared" si="76"/>
        <v>0</v>
      </c>
      <c r="P66" s="1234"/>
      <c r="Q66" s="1176"/>
      <c r="R66" s="1176"/>
      <c r="S66" s="1178">
        <f t="shared" si="77"/>
        <v>0</v>
      </c>
      <c r="T66" s="1233">
        <f t="shared" si="1"/>
        <v>0</v>
      </c>
      <c r="U66" s="1234"/>
      <c r="V66" s="1122"/>
      <c r="W66" s="1176"/>
      <c r="X66" s="1178">
        <f t="shared" si="78"/>
        <v>0</v>
      </c>
      <c r="Y66" s="1233" t="e">
        <f t="shared" si="68"/>
        <v>#DIV/0!</v>
      </c>
      <c r="Z66" s="1234"/>
      <c r="AA66" s="1176"/>
      <c r="AB66" s="1176"/>
      <c r="AC66" s="1178">
        <f t="shared" si="79"/>
        <v>0</v>
      </c>
      <c r="AD66" s="1233">
        <f t="shared" si="45"/>
        <v>0</v>
      </c>
      <c r="AE66" s="1234"/>
      <c r="AF66" s="1432"/>
      <c r="AG66" s="1432"/>
      <c r="AH66" s="1480">
        <f t="shared" si="80"/>
        <v>0</v>
      </c>
      <c r="AI66" s="1540">
        <f t="shared" si="46"/>
        <v>0</v>
      </c>
      <c r="AJ66" s="1460"/>
      <c r="AK66" s="1432"/>
      <c r="AL66" s="1432"/>
      <c r="AM66" s="1480">
        <f t="shared" si="81"/>
        <v>0</v>
      </c>
      <c r="AN66" s="1540">
        <f t="shared" si="3"/>
        <v>0</v>
      </c>
      <c r="AO66" s="1460"/>
      <c r="AP66" s="1625"/>
      <c r="AQ66" s="1625"/>
      <c r="AR66" s="1765">
        <f t="shared" si="82"/>
        <v>0</v>
      </c>
      <c r="AS66" s="1777">
        <f t="shared" si="69"/>
        <v>0</v>
      </c>
      <c r="AT66" s="1601"/>
      <c r="AU66" s="1432"/>
      <c r="AV66" s="1432"/>
      <c r="AW66" s="1480">
        <f t="shared" si="83"/>
        <v>0</v>
      </c>
      <c r="AX66" s="1877">
        <f t="shared" si="70"/>
        <v>0</v>
      </c>
      <c r="AY66" s="1927"/>
      <c r="AZ66" s="1176"/>
      <c r="BA66" s="1176"/>
      <c r="BB66" s="1178">
        <f t="shared" si="84"/>
        <v>0</v>
      </c>
      <c r="BC66" s="1233" t="e">
        <f t="shared" si="71"/>
        <v>#DIV/0!</v>
      </c>
      <c r="BD66" s="1234"/>
      <c r="BE66" s="1176"/>
      <c r="BF66" s="1176"/>
      <c r="BG66" s="1178">
        <f t="shared" si="85"/>
        <v>0</v>
      </c>
      <c r="BH66" s="1233" t="e">
        <f t="shared" si="72"/>
        <v>#DIV/0!</v>
      </c>
      <c r="BI66" s="1234"/>
      <c r="BJ66" s="1176">
        <f t="shared" si="86"/>
        <v>0</v>
      </c>
      <c r="BK66" s="1176">
        <f t="shared" si="87"/>
        <v>0</v>
      </c>
      <c r="BL66" s="1178">
        <f t="shared" si="88"/>
        <v>0</v>
      </c>
      <c r="BM66" s="1233">
        <f t="shared" si="73"/>
        <v>0</v>
      </c>
      <c r="BN66" s="1234"/>
    </row>
    <row r="67" spans="1:66" s="2" customFormat="1" ht="15" customHeight="1" outlineLevel="2">
      <c r="A67" s="237"/>
      <c r="B67" s="1106" t="s">
        <v>3</v>
      </c>
      <c r="C67" s="1230"/>
      <c r="D67" s="1231"/>
      <c r="E67" s="1232">
        <f t="shared" si="74"/>
        <v>0</v>
      </c>
      <c r="F67" s="1233">
        <f t="shared" si="89"/>
        <v>0</v>
      </c>
      <c r="G67" s="1176">
        <v>700</v>
      </c>
      <c r="H67" s="1176">
        <v>0</v>
      </c>
      <c r="I67" s="1178">
        <v>700</v>
      </c>
      <c r="J67" s="1039">
        <v>5.386869443329746E-5</v>
      </c>
      <c r="K67" s="1039"/>
      <c r="L67" s="1176"/>
      <c r="M67" s="1176"/>
      <c r="N67" s="1178">
        <f t="shared" si="75"/>
        <v>0</v>
      </c>
      <c r="O67" s="1233">
        <f t="shared" si="76"/>
        <v>0</v>
      </c>
      <c r="P67" s="1234"/>
      <c r="Q67" s="1176"/>
      <c r="R67" s="1176"/>
      <c r="S67" s="1178">
        <f t="shared" si="77"/>
        <v>0</v>
      </c>
      <c r="T67" s="1233">
        <f t="shared" si="1"/>
        <v>0</v>
      </c>
      <c r="U67" s="1234"/>
      <c r="V67" s="1122"/>
      <c r="W67" s="1176"/>
      <c r="X67" s="1178">
        <f t="shared" si="78"/>
        <v>0</v>
      </c>
      <c r="Y67" s="1233" t="e">
        <f t="shared" si="68"/>
        <v>#DIV/0!</v>
      </c>
      <c r="Z67" s="1234"/>
      <c r="AA67" s="1176"/>
      <c r="AB67" s="1176"/>
      <c r="AC67" s="1178">
        <f t="shared" si="79"/>
        <v>0</v>
      </c>
      <c r="AD67" s="1233">
        <f t="shared" si="45"/>
        <v>0</v>
      </c>
      <c r="AE67" s="1234"/>
      <c r="AF67" s="1432"/>
      <c r="AG67" s="1432"/>
      <c r="AH67" s="1480">
        <f t="shared" si="80"/>
        <v>0</v>
      </c>
      <c r="AI67" s="1540">
        <f t="shared" si="46"/>
        <v>0</v>
      </c>
      <c r="AJ67" s="1460"/>
      <c r="AK67" s="1432"/>
      <c r="AL67" s="1432"/>
      <c r="AM67" s="1480">
        <f t="shared" si="81"/>
        <v>0</v>
      </c>
      <c r="AN67" s="1540">
        <f t="shared" si="3"/>
        <v>0</v>
      </c>
      <c r="AO67" s="1460"/>
      <c r="AP67" s="1625"/>
      <c r="AQ67" s="1625"/>
      <c r="AR67" s="1765">
        <f t="shared" si="82"/>
        <v>0</v>
      </c>
      <c r="AS67" s="1777">
        <f t="shared" si="69"/>
        <v>0</v>
      </c>
      <c r="AT67" s="1601"/>
      <c r="AU67" s="1432"/>
      <c r="AV67" s="1432"/>
      <c r="AW67" s="1480">
        <f t="shared" si="83"/>
        <v>0</v>
      </c>
      <c r="AX67" s="1877">
        <f t="shared" si="70"/>
        <v>0</v>
      </c>
      <c r="AY67" s="1927"/>
      <c r="AZ67" s="1176"/>
      <c r="BA67" s="1176"/>
      <c r="BB67" s="1178">
        <f t="shared" si="84"/>
        <v>0</v>
      </c>
      <c r="BC67" s="1233" t="e">
        <f t="shared" si="71"/>
        <v>#DIV/0!</v>
      </c>
      <c r="BD67" s="1234"/>
      <c r="BE67" s="1176"/>
      <c r="BF67" s="1176"/>
      <c r="BG67" s="1178">
        <f t="shared" si="85"/>
        <v>0</v>
      </c>
      <c r="BH67" s="1233" t="e">
        <f t="shared" si="72"/>
        <v>#DIV/0!</v>
      </c>
      <c r="BI67" s="1234"/>
      <c r="BJ67" s="1176">
        <f t="shared" si="86"/>
        <v>700</v>
      </c>
      <c r="BK67" s="1176">
        <f t="shared" si="87"/>
        <v>0</v>
      </c>
      <c r="BL67" s="1178">
        <f t="shared" si="88"/>
        <v>700</v>
      </c>
      <c r="BM67" s="1233">
        <f t="shared" si="73"/>
        <v>5.0156233009893178E-5</v>
      </c>
      <c r="BN67" s="1234"/>
    </row>
    <row r="68" spans="1:66" s="2" customFormat="1" ht="15" customHeight="1" outlineLevel="2">
      <c r="A68" s="237"/>
      <c r="B68" s="1106" t="s">
        <v>5</v>
      </c>
      <c r="C68" s="1230"/>
      <c r="D68" s="1231">
        <v>5097</v>
      </c>
      <c r="E68" s="1232">
        <f t="shared" si="74"/>
        <v>5097</v>
      </c>
      <c r="F68" s="1233">
        <f t="shared" si="89"/>
        <v>4.3525918800805857E-4</v>
      </c>
      <c r="G68" s="1176">
        <v>0</v>
      </c>
      <c r="H68" s="1176">
        <v>2194.04</v>
      </c>
      <c r="I68" s="1178">
        <v>2194.04</v>
      </c>
      <c r="J68" s="1039">
        <v>1.6884295762061707E-4</v>
      </c>
      <c r="K68" s="1039"/>
      <c r="L68" s="1176"/>
      <c r="M68" s="1176"/>
      <c r="N68" s="1178">
        <f t="shared" si="75"/>
        <v>0</v>
      </c>
      <c r="O68" s="1233">
        <f t="shared" si="76"/>
        <v>0</v>
      </c>
      <c r="P68" s="1234"/>
      <c r="Q68" s="1176"/>
      <c r="R68" s="1176">
        <v>340.51</v>
      </c>
      <c r="S68" s="1178">
        <f t="shared" si="77"/>
        <v>340.51</v>
      </c>
      <c r="T68" s="1233">
        <f t="shared" si="1"/>
        <v>5.9646823902405419E-4</v>
      </c>
      <c r="U68" s="1234"/>
      <c r="V68" s="1176"/>
      <c r="W68" s="1176"/>
      <c r="X68" s="1178">
        <f t="shared" si="78"/>
        <v>0</v>
      </c>
      <c r="Y68" s="1233" t="e">
        <f t="shared" si="68"/>
        <v>#DIV/0!</v>
      </c>
      <c r="Z68" s="1234"/>
      <c r="AA68" s="1176"/>
      <c r="AB68" s="1176">
        <v>186</v>
      </c>
      <c r="AC68" s="1178">
        <f t="shared" si="79"/>
        <v>186</v>
      </c>
      <c r="AD68" s="1233">
        <f>AC68/$AC$89</f>
        <v>9.0245258949223301E-4</v>
      </c>
      <c r="AE68" s="1301"/>
      <c r="AF68" s="1432"/>
      <c r="AG68" s="1432"/>
      <c r="AH68" s="1480">
        <f t="shared" si="80"/>
        <v>0</v>
      </c>
      <c r="AI68" s="1540">
        <f t="shared" si="46"/>
        <v>0</v>
      </c>
      <c r="AJ68" s="1460"/>
      <c r="AK68" s="1432"/>
      <c r="AL68" s="1432"/>
      <c r="AM68" s="1480">
        <f t="shared" si="81"/>
        <v>0</v>
      </c>
      <c r="AN68" s="1540">
        <f t="shared" si="3"/>
        <v>0</v>
      </c>
      <c r="AO68" s="1460"/>
      <c r="AP68" s="1625"/>
      <c r="AQ68" s="1625"/>
      <c r="AR68" s="1765">
        <f t="shared" si="82"/>
        <v>0</v>
      </c>
      <c r="AS68" s="1777">
        <f t="shared" si="69"/>
        <v>0</v>
      </c>
      <c r="AT68" s="1601"/>
      <c r="AU68" s="1432"/>
      <c r="AV68" s="1432"/>
      <c r="AW68" s="1480">
        <f t="shared" si="83"/>
        <v>0</v>
      </c>
      <c r="AX68" s="1877">
        <f t="shared" si="70"/>
        <v>0</v>
      </c>
      <c r="AY68" s="1927"/>
      <c r="AZ68" s="1176"/>
      <c r="BA68" s="1176"/>
      <c r="BB68" s="1178">
        <f t="shared" si="84"/>
        <v>0</v>
      </c>
      <c r="BC68" s="1233" t="e">
        <f t="shared" si="71"/>
        <v>#DIV/0!</v>
      </c>
      <c r="BD68" s="1234"/>
      <c r="BE68" s="1176"/>
      <c r="BF68" s="1176"/>
      <c r="BG68" s="1178">
        <f t="shared" si="85"/>
        <v>0</v>
      </c>
      <c r="BH68" s="1233" t="e">
        <f t="shared" si="72"/>
        <v>#DIV/0!</v>
      </c>
      <c r="BI68" s="1234"/>
      <c r="BJ68" s="1176">
        <f t="shared" si="86"/>
        <v>0</v>
      </c>
      <c r="BK68" s="1176">
        <f t="shared" si="87"/>
        <v>2720.55</v>
      </c>
      <c r="BL68" s="1178">
        <f t="shared" si="88"/>
        <v>2720.55</v>
      </c>
      <c r="BM68" s="1233">
        <f t="shared" si="73"/>
        <v>1.9493219959294984E-4</v>
      </c>
      <c r="BN68" s="1234"/>
    </row>
    <row r="69" spans="1:66" s="2" customFormat="1" ht="15" customHeight="1" outlineLevel="2">
      <c r="A69" s="237"/>
      <c r="B69" s="1106" t="s">
        <v>42</v>
      </c>
      <c r="C69" s="1230">
        <v>55620</v>
      </c>
      <c r="D69" s="1231"/>
      <c r="E69" s="1232">
        <f t="shared" si="74"/>
        <v>55620</v>
      </c>
      <c r="F69" s="1233">
        <f t="shared" si="89"/>
        <v>4.7496794265270191E-3</v>
      </c>
      <c r="G69" s="1176">
        <v>76880</v>
      </c>
      <c r="H69" s="1176">
        <v>0</v>
      </c>
      <c r="I69" s="1178">
        <v>76880</v>
      </c>
      <c r="J69" s="1039">
        <v>5.9163217543312975E-3</v>
      </c>
      <c r="K69" s="1039"/>
      <c r="L69" s="1176"/>
      <c r="M69" s="1176"/>
      <c r="N69" s="1178">
        <f t="shared" si="75"/>
        <v>0</v>
      </c>
      <c r="O69" s="1233">
        <f t="shared" si="76"/>
        <v>0</v>
      </c>
      <c r="P69" s="1021"/>
      <c r="Q69" s="1176"/>
      <c r="R69" s="1176"/>
      <c r="S69" s="1178">
        <f t="shared" si="77"/>
        <v>0</v>
      </c>
      <c r="T69" s="1233">
        <f t="shared" si="1"/>
        <v>0</v>
      </c>
      <c r="U69" s="1021"/>
      <c r="V69" s="1176"/>
      <c r="W69" s="1176"/>
      <c r="X69" s="1178">
        <f t="shared" si="78"/>
        <v>0</v>
      </c>
      <c r="Y69" s="1233" t="e">
        <f t="shared" si="68"/>
        <v>#DIV/0!</v>
      </c>
      <c r="Z69" s="1021"/>
      <c r="AA69" s="1176"/>
      <c r="AB69" s="1176"/>
      <c r="AC69" s="1178">
        <f t="shared" si="79"/>
        <v>0</v>
      </c>
      <c r="AD69" s="1233">
        <f t="shared" si="45"/>
        <v>0</v>
      </c>
      <c r="AE69" s="1021"/>
      <c r="AF69" s="1432"/>
      <c r="AG69" s="1432"/>
      <c r="AH69" s="1480">
        <f t="shared" si="80"/>
        <v>0</v>
      </c>
      <c r="AI69" s="1540">
        <f t="shared" si="46"/>
        <v>0</v>
      </c>
      <c r="AJ69" s="1590"/>
      <c r="AK69" s="1432"/>
      <c r="AL69" s="1432"/>
      <c r="AM69" s="1480">
        <f t="shared" si="81"/>
        <v>0</v>
      </c>
      <c r="AN69" s="1540">
        <f t="shared" si="3"/>
        <v>0</v>
      </c>
      <c r="AO69" s="1590"/>
      <c r="AP69" s="1625"/>
      <c r="AQ69" s="1625"/>
      <c r="AR69" s="1765">
        <f t="shared" si="82"/>
        <v>0</v>
      </c>
      <c r="AS69" s="1777">
        <f t="shared" si="69"/>
        <v>0</v>
      </c>
      <c r="AT69" s="1726"/>
      <c r="AU69" s="1432"/>
      <c r="AV69" s="1432"/>
      <c r="AW69" s="1480">
        <f t="shared" si="83"/>
        <v>0</v>
      </c>
      <c r="AX69" s="1877">
        <f t="shared" si="70"/>
        <v>0</v>
      </c>
      <c r="AY69" s="1590"/>
      <c r="AZ69" s="1176"/>
      <c r="BA69" s="1176"/>
      <c r="BB69" s="1178">
        <f t="shared" si="84"/>
        <v>0</v>
      </c>
      <c r="BC69" s="1233" t="e">
        <f t="shared" si="71"/>
        <v>#DIV/0!</v>
      </c>
      <c r="BD69" s="1021"/>
      <c r="BE69" s="1176"/>
      <c r="BF69" s="1176"/>
      <c r="BG69" s="1178">
        <f t="shared" si="85"/>
        <v>0</v>
      </c>
      <c r="BH69" s="1233" t="e">
        <f t="shared" si="72"/>
        <v>#DIV/0!</v>
      </c>
      <c r="BI69" s="1021"/>
      <c r="BJ69" s="1176">
        <f t="shared" si="86"/>
        <v>76880</v>
      </c>
      <c r="BK69" s="1176">
        <f t="shared" si="87"/>
        <v>0</v>
      </c>
      <c r="BL69" s="1178">
        <f t="shared" si="88"/>
        <v>76880</v>
      </c>
      <c r="BM69" s="1233">
        <f t="shared" si="73"/>
        <v>5.5085874197151252E-3</v>
      </c>
      <c r="BN69" s="1234"/>
    </row>
    <row r="70" spans="1:66" s="2" customFormat="1" ht="15" customHeight="1" outlineLevel="2">
      <c r="A70" s="237"/>
      <c r="B70" s="1106" t="s">
        <v>6</v>
      </c>
      <c r="C70" s="1230"/>
      <c r="D70" s="1231"/>
      <c r="E70" s="1232">
        <f t="shared" si="74"/>
        <v>0</v>
      </c>
      <c r="F70" s="1233">
        <f t="shared" si="89"/>
        <v>0</v>
      </c>
      <c r="G70" s="1176">
        <v>0</v>
      </c>
      <c r="H70" s="1176">
        <v>0</v>
      </c>
      <c r="I70" s="1178">
        <v>0</v>
      </c>
      <c r="J70" s="1039">
        <v>0</v>
      </c>
      <c r="K70" s="1039"/>
      <c r="L70" s="1176"/>
      <c r="M70" s="1176"/>
      <c r="N70" s="1178">
        <f t="shared" si="75"/>
        <v>0</v>
      </c>
      <c r="O70" s="1233">
        <f t="shared" si="76"/>
        <v>0</v>
      </c>
      <c r="P70" s="1234"/>
      <c r="Q70" s="1176"/>
      <c r="R70" s="1176"/>
      <c r="S70" s="1178">
        <f t="shared" si="77"/>
        <v>0</v>
      </c>
      <c r="T70" s="1233">
        <f t="shared" si="1"/>
        <v>0</v>
      </c>
      <c r="U70" s="1234"/>
      <c r="V70" s="1176"/>
      <c r="W70" s="1176"/>
      <c r="X70" s="1178">
        <f t="shared" si="78"/>
        <v>0</v>
      </c>
      <c r="Y70" s="1233" t="e">
        <f t="shared" si="68"/>
        <v>#DIV/0!</v>
      </c>
      <c r="Z70" s="1234"/>
      <c r="AA70" s="1176"/>
      <c r="AB70" s="1176"/>
      <c r="AC70" s="1178">
        <f t="shared" si="79"/>
        <v>0</v>
      </c>
      <c r="AD70" s="1233">
        <f t="shared" si="45"/>
        <v>0</v>
      </c>
      <c r="AE70" s="1234"/>
      <c r="AF70" s="1432"/>
      <c r="AG70" s="1432"/>
      <c r="AH70" s="1480">
        <f t="shared" si="80"/>
        <v>0</v>
      </c>
      <c r="AI70" s="1540">
        <f t="shared" si="46"/>
        <v>0</v>
      </c>
      <c r="AJ70" s="1460"/>
      <c r="AK70" s="1432"/>
      <c r="AL70" s="1432"/>
      <c r="AM70" s="1480">
        <f t="shared" si="81"/>
        <v>0</v>
      </c>
      <c r="AN70" s="1540">
        <f t="shared" si="3"/>
        <v>0</v>
      </c>
      <c r="AO70" s="1460"/>
      <c r="AP70" s="1625"/>
      <c r="AQ70" s="1625"/>
      <c r="AR70" s="1765">
        <f t="shared" si="82"/>
        <v>0</v>
      </c>
      <c r="AS70" s="1777">
        <f t="shared" si="69"/>
        <v>0</v>
      </c>
      <c r="AT70" s="1601"/>
      <c r="AU70" s="1432"/>
      <c r="AV70" s="1432"/>
      <c r="AW70" s="1480">
        <f t="shared" si="83"/>
        <v>0</v>
      </c>
      <c r="AX70" s="1877">
        <f t="shared" si="70"/>
        <v>0</v>
      </c>
      <c r="AY70" s="1927"/>
      <c r="AZ70" s="1176"/>
      <c r="BA70" s="1176"/>
      <c r="BB70" s="1178">
        <f t="shared" si="84"/>
        <v>0</v>
      </c>
      <c r="BC70" s="1233" t="e">
        <f t="shared" si="71"/>
        <v>#DIV/0!</v>
      </c>
      <c r="BD70" s="1234"/>
      <c r="BE70" s="1176"/>
      <c r="BF70" s="1176"/>
      <c r="BG70" s="1178">
        <f t="shared" si="85"/>
        <v>0</v>
      </c>
      <c r="BH70" s="1233" t="e">
        <f t="shared" si="72"/>
        <v>#DIV/0!</v>
      </c>
      <c r="BI70" s="1234"/>
      <c r="BJ70" s="1176">
        <f t="shared" si="86"/>
        <v>0</v>
      </c>
      <c r="BK70" s="1176">
        <f t="shared" si="87"/>
        <v>0</v>
      </c>
      <c r="BL70" s="1178">
        <f t="shared" si="88"/>
        <v>0</v>
      </c>
      <c r="BM70" s="1233">
        <f t="shared" si="73"/>
        <v>0</v>
      </c>
      <c r="BN70" s="1234"/>
    </row>
    <row r="71" spans="1:66" s="2" customFormat="1" ht="15" customHeight="1" outlineLevel="2">
      <c r="A71" s="237"/>
      <c r="B71" s="1106" t="s">
        <v>78</v>
      </c>
      <c r="C71" s="1230"/>
      <c r="D71" s="1231"/>
      <c r="E71" s="1232">
        <f t="shared" si="74"/>
        <v>0</v>
      </c>
      <c r="F71" s="1111">
        <f t="shared" si="89"/>
        <v>0</v>
      </c>
      <c r="G71" s="1176">
        <v>4832.2700000000004</v>
      </c>
      <c r="H71" s="1176">
        <v>0</v>
      </c>
      <c r="I71" s="1178">
        <v>4832.2700000000004</v>
      </c>
      <c r="J71" s="851">
        <v>3.7186868007027188E-4</v>
      </c>
      <c r="K71" s="851"/>
      <c r="L71" s="1176"/>
      <c r="M71" s="1176"/>
      <c r="N71" s="1178">
        <f t="shared" si="75"/>
        <v>0</v>
      </c>
      <c r="O71" s="1233">
        <f t="shared" si="76"/>
        <v>0</v>
      </c>
      <c r="P71" s="1234"/>
      <c r="Q71" s="1176"/>
      <c r="R71" s="1176"/>
      <c r="S71" s="1178">
        <f t="shared" si="77"/>
        <v>0</v>
      </c>
      <c r="T71" s="1233">
        <f t="shared" si="1"/>
        <v>0</v>
      </c>
      <c r="U71" s="1234"/>
      <c r="V71" s="1176"/>
      <c r="W71" s="1176"/>
      <c r="X71" s="1178">
        <f t="shared" si="78"/>
        <v>0</v>
      </c>
      <c r="Y71" s="1233" t="e">
        <f t="shared" si="68"/>
        <v>#DIV/0!</v>
      </c>
      <c r="Z71" s="1234"/>
      <c r="AA71" s="1176"/>
      <c r="AB71" s="1176"/>
      <c r="AC71" s="1178">
        <f t="shared" si="79"/>
        <v>0</v>
      </c>
      <c r="AD71" s="1233">
        <f t="shared" si="45"/>
        <v>0</v>
      </c>
      <c r="AE71" s="1234"/>
      <c r="AF71" s="1432"/>
      <c r="AG71" s="1432"/>
      <c r="AH71" s="1480">
        <f t="shared" si="80"/>
        <v>0</v>
      </c>
      <c r="AI71" s="1540">
        <f t="shared" si="46"/>
        <v>0</v>
      </c>
      <c r="AJ71" s="1460"/>
      <c r="AK71" s="1432"/>
      <c r="AL71" s="1432"/>
      <c r="AM71" s="1480">
        <f t="shared" si="81"/>
        <v>0</v>
      </c>
      <c r="AN71" s="1540">
        <f t="shared" si="3"/>
        <v>0</v>
      </c>
      <c r="AO71" s="1460"/>
      <c r="AP71" s="1625"/>
      <c r="AQ71" s="1625"/>
      <c r="AR71" s="1765">
        <f t="shared" si="82"/>
        <v>0</v>
      </c>
      <c r="AS71" s="1777">
        <f t="shared" si="69"/>
        <v>0</v>
      </c>
      <c r="AT71" s="1601"/>
      <c r="AU71" s="1432"/>
      <c r="AV71" s="1432"/>
      <c r="AW71" s="1480">
        <f t="shared" si="83"/>
        <v>0</v>
      </c>
      <c r="AX71" s="1877">
        <f t="shared" si="70"/>
        <v>0</v>
      </c>
      <c r="AY71" s="1927"/>
      <c r="AZ71" s="1176"/>
      <c r="BA71" s="1176"/>
      <c r="BB71" s="1178">
        <f t="shared" si="84"/>
        <v>0</v>
      </c>
      <c r="BC71" s="1233" t="e">
        <f t="shared" si="71"/>
        <v>#DIV/0!</v>
      </c>
      <c r="BD71" s="1234"/>
      <c r="BE71" s="1176"/>
      <c r="BF71" s="1176"/>
      <c r="BG71" s="1178">
        <f t="shared" si="85"/>
        <v>0</v>
      </c>
      <c r="BH71" s="1233" t="e">
        <f t="shared" si="72"/>
        <v>#DIV/0!</v>
      </c>
      <c r="BI71" s="1234"/>
      <c r="BJ71" s="1176">
        <f t="shared" si="86"/>
        <v>4832.2700000000004</v>
      </c>
      <c r="BK71" s="1176">
        <f t="shared" si="87"/>
        <v>0</v>
      </c>
      <c r="BL71" s="1178">
        <f t="shared" si="88"/>
        <v>4832.2700000000004</v>
      </c>
      <c r="BM71" s="1233">
        <f t="shared" si="73"/>
        <v>3.4624065726673788E-4</v>
      </c>
      <c r="BN71" s="1234"/>
    </row>
    <row r="72" spans="1:66" s="2" customFormat="1" ht="15" customHeight="1" outlineLevel="2" thickBot="1">
      <c r="A72" s="237"/>
      <c r="B72" s="1112"/>
      <c r="C72" s="1302"/>
      <c r="D72" s="1303"/>
      <c r="E72" s="1113">
        <f t="shared" si="74"/>
        <v>0</v>
      </c>
      <c r="F72" s="1111">
        <f t="shared" si="89"/>
        <v>0</v>
      </c>
      <c r="G72" s="851">
        <v>0</v>
      </c>
      <c r="H72" s="851">
        <v>0</v>
      </c>
      <c r="I72" s="851">
        <v>0</v>
      </c>
      <c r="J72" s="851">
        <v>0</v>
      </c>
      <c r="K72" s="851"/>
      <c r="L72" s="535"/>
      <c r="M72" s="535"/>
      <c r="N72" s="622"/>
      <c r="O72" s="1111">
        <f t="shared" si="76"/>
        <v>0</v>
      </c>
      <c r="P72" s="1114"/>
      <c r="Q72" s="535"/>
      <c r="R72" s="535"/>
      <c r="S72" s="622"/>
      <c r="T72" s="1111">
        <f>S72/$S$89</f>
        <v>0</v>
      </c>
      <c r="U72" s="1114"/>
      <c r="V72" s="535"/>
      <c r="W72" s="535"/>
      <c r="X72" s="622"/>
      <c r="Y72" s="1111">
        <f>X72/$S$89</f>
        <v>0</v>
      </c>
      <c r="Z72" s="1114"/>
      <c r="AA72" s="535"/>
      <c r="AB72" s="535"/>
      <c r="AC72" s="622"/>
      <c r="AD72" s="1111">
        <f>AC72/$S$89</f>
        <v>0</v>
      </c>
      <c r="AE72" s="1114"/>
      <c r="AF72" s="1636"/>
      <c r="AG72" s="1636"/>
      <c r="AH72" s="1653"/>
      <c r="AI72" s="1545">
        <f>AH72/$S$89</f>
        <v>0</v>
      </c>
      <c r="AJ72" s="1696"/>
      <c r="AK72" s="1636"/>
      <c r="AL72" s="1636"/>
      <c r="AM72" s="1653"/>
      <c r="AN72" s="1545">
        <f t="shared" si="3"/>
        <v>0</v>
      </c>
      <c r="AO72" s="1696"/>
      <c r="AP72" s="1824"/>
      <c r="AQ72" s="1824"/>
      <c r="AR72" s="1825"/>
      <c r="AS72" s="1826">
        <f t="shared" si="69"/>
        <v>0</v>
      </c>
      <c r="AT72" s="1829"/>
      <c r="AU72" s="1636"/>
      <c r="AV72" s="1636"/>
      <c r="AW72" s="1653"/>
      <c r="AX72" s="1891">
        <f>AW72/$AR$89</f>
        <v>0</v>
      </c>
      <c r="AY72" s="1928"/>
      <c r="AZ72" s="535"/>
      <c r="BA72" s="535"/>
      <c r="BB72" s="622"/>
      <c r="BC72" s="1111">
        <f>BB72/$AR$89</f>
        <v>0</v>
      </c>
      <c r="BD72" s="1114"/>
      <c r="BE72" s="535"/>
      <c r="BF72" s="535"/>
      <c r="BG72" s="622"/>
      <c r="BH72" s="1111">
        <f>BG72/$AR$89</f>
        <v>0</v>
      </c>
      <c r="BI72" s="1114"/>
      <c r="BJ72" s="535">
        <f t="shared" si="86"/>
        <v>0</v>
      </c>
      <c r="BK72" s="535">
        <f t="shared" si="87"/>
        <v>0</v>
      </c>
      <c r="BL72" s="622">
        <f t="shared" si="88"/>
        <v>0</v>
      </c>
      <c r="BM72" s="1111">
        <f t="shared" si="73"/>
        <v>0</v>
      </c>
      <c r="BN72" s="1114"/>
    </row>
    <row r="73" spans="1:66" s="2" customFormat="1" ht="15" customHeight="1" outlineLevel="1" thickBot="1">
      <c r="A73" s="980"/>
      <c r="B73" s="1003" t="s">
        <v>4</v>
      </c>
      <c r="C73" s="836">
        <f>C74</f>
        <v>458753</v>
      </c>
      <c r="D73" s="843">
        <f>D74</f>
        <v>0</v>
      </c>
      <c r="E73" s="836">
        <f>E74</f>
        <v>458753</v>
      </c>
      <c r="F73" s="838">
        <f>E73/$E$89</f>
        <v>3.9175291009664687E-2</v>
      </c>
      <c r="G73" s="969">
        <v>0</v>
      </c>
      <c r="H73" s="969">
        <v>0</v>
      </c>
      <c r="I73" s="969">
        <v>0</v>
      </c>
      <c r="J73" s="969"/>
      <c r="K73" s="969"/>
      <c r="L73" s="836">
        <f>L74</f>
        <v>0</v>
      </c>
      <c r="M73" s="840">
        <f>M74</f>
        <v>0</v>
      </c>
      <c r="N73" s="837">
        <f>N74</f>
        <v>0</v>
      </c>
      <c r="O73" s="840"/>
      <c r="P73" s="840"/>
      <c r="Q73" s="836">
        <f>Q74</f>
        <v>0</v>
      </c>
      <c r="R73" s="840">
        <f>R74</f>
        <v>0</v>
      </c>
      <c r="S73" s="837">
        <f>S74</f>
        <v>0</v>
      </c>
      <c r="T73" s="840"/>
      <c r="U73" s="840"/>
      <c r="V73" s="836">
        <f>V74</f>
        <v>0</v>
      </c>
      <c r="W73" s="840">
        <f>W74</f>
        <v>0</v>
      </c>
      <c r="X73" s="837">
        <f>X74</f>
        <v>0</v>
      </c>
      <c r="Y73" s="840"/>
      <c r="Z73" s="840"/>
      <c r="AA73" s="836">
        <f>AA74</f>
        <v>0</v>
      </c>
      <c r="AB73" s="840">
        <f>AB74</f>
        <v>0</v>
      </c>
      <c r="AC73" s="837">
        <f>AC74</f>
        <v>0</v>
      </c>
      <c r="AD73" s="840"/>
      <c r="AE73" s="840"/>
      <c r="AF73" s="1584">
        <f>AF74</f>
        <v>0</v>
      </c>
      <c r="AG73" s="1689">
        <f>AG74</f>
        <v>0</v>
      </c>
      <c r="AH73" s="1688">
        <f>AH74</f>
        <v>0</v>
      </c>
      <c r="AI73" s="1689"/>
      <c r="AJ73" s="1689"/>
      <c r="AK73" s="1584">
        <f>AK74</f>
        <v>0</v>
      </c>
      <c r="AL73" s="1689">
        <f>AL74</f>
        <v>0</v>
      </c>
      <c r="AM73" s="1688">
        <f>AM74</f>
        <v>0</v>
      </c>
      <c r="AN73" s="1689"/>
      <c r="AO73" s="1689"/>
      <c r="AP73" s="1800">
        <f>AP74</f>
        <v>0</v>
      </c>
      <c r="AQ73" s="1802">
        <f>AQ74</f>
        <v>0</v>
      </c>
      <c r="AR73" s="1801">
        <f>AR74</f>
        <v>0</v>
      </c>
      <c r="AS73" s="1802"/>
      <c r="AT73" s="1802"/>
      <c r="AU73" s="1584">
        <f>AU74</f>
        <v>0</v>
      </c>
      <c r="AV73" s="1689">
        <f>AV74</f>
        <v>0</v>
      </c>
      <c r="AW73" s="1688">
        <f>AW74</f>
        <v>0</v>
      </c>
      <c r="AX73" s="1689"/>
      <c r="AY73" s="1689"/>
      <c r="AZ73" s="836">
        <f>AZ74</f>
        <v>0</v>
      </c>
      <c r="BA73" s="840">
        <f>BA74</f>
        <v>0</v>
      </c>
      <c r="BB73" s="837">
        <f>BB74</f>
        <v>0</v>
      </c>
      <c r="BC73" s="840"/>
      <c r="BD73" s="840"/>
      <c r="BE73" s="836">
        <f>BE74</f>
        <v>0</v>
      </c>
      <c r="BF73" s="840">
        <f>BF74</f>
        <v>0</v>
      </c>
      <c r="BG73" s="837">
        <f>BG74</f>
        <v>0</v>
      </c>
      <c r="BH73" s="840"/>
      <c r="BI73" s="840"/>
      <c r="BJ73" s="836">
        <f>BJ74</f>
        <v>0</v>
      </c>
      <c r="BK73" s="840">
        <f>BK74</f>
        <v>0</v>
      </c>
      <c r="BL73" s="837">
        <f>BL74</f>
        <v>0</v>
      </c>
      <c r="BM73" s="840"/>
      <c r="BN73" s="840"/>
    </row>
    <row r="74" spans="1:66" s="226" customFormat="1" ht="15" customHeight="1" outlineLevel="1" thickBot="1">
      <c r="A74" s="320"/>
      <c r="B74" s="1070" t="s">
        <v>64</v>
      </c>
      <c r="C74" s="1038">
        <v>458753</v>
      </c>
      <c r="D74" s="305"/>
      <c r="E74" s="306">
        <f>C74+D74</f>
        <v>458753</v>
      </c>
      <c r="F74" s="307"/>
      <c r="G74" s="961">
        <v>0</v>
      </c>
      <c r="H74" s="961">
        <v>0</v>
      </c>
      <c r="I74" s="961">
        <v>0</v>
      </c>
      <c r="J74" s="961"/>
      <c r="K74" s="961"/>
      <c r="L74" s="1176">
        <f>L6*3%</f>
        <v>0</v>
      </c>
      <c r="M74" s="1176"/>
      <c r="N74" s="608">
        <f>L74+M74*1</f>
        <v>0</v>
      </c>
      <c r="O74" s="608"/>
      <c r="P74" s="608"/>
      <c r="Q74" s="1176"/>
      <c r="R74" s="1176"/>
      <c r="S74" s="982">
        <f>Q74+R74*1</f>
        <v>0</v>
      </c>
      <c r="T74" s="608"/>
      <c r="U74" s="608"/>
      <c r="V74" s="1176"/>
      <c r="W74" s="1176"/>
      <c r="X74" s="982">
        <f>V74+W74*1</f>
        <v>0</v>
      </c>
      <c r="Y74" s="608"/>
      <c r="Z74" s="608"/>
      <c r="AA74" s="1176"/>
      <c r="AB74" s="1176"/>
      <c r="AC74" s="982">
        <f>AA74+AB74*1</f>
        <v>0</v>
      </c>
      <c r="AD74" s="608"/>
      <c r="AE74" s="608"/>
      <c r="AF74" s="1432"/>
      <c r="AG74" s="1432"/>
      <c r="AH74" s="1734">
        <f>AF74+AG74*1</f>
        <v>0</v>
      </c>
      <c r="AI74" s="1648"/>
      <c r="AJ74" s="1648"/>
      <c r="AK74" s="1432"/>
      <c r="AL74" s="1432"/>
      <c r="AM74" s="1734">
        <f>AK74+AL74*1</f>
        <v>0</v>
      </c>
      <c r="AN74" s="1648"/>
      <c r="AO74" s="1648"/>
      <c r="AP74" s="1625"/>
      <c r="AQ74" s="1625"/>
      <c r="AR74" s="1701">
        <f>AP74+AQ74*1</f>
        <v>0</v>
      </c>
      <c r="AS74" s="1747"/>
      <c r="AT74" s="1747"/>
      <c r="AU74" s="1432"/>
      <c r="AV74" s="1432"/>
      <c r="AW74" s="1734">
        <f>AU74+AV74*1</f>
        <v>0</v>
      </c>
      <c r="AX74" s="1648"/>
      <c r="AY74" s="1648"/>
      <c r="AZ74" s="1176"/>
      <c r="BA74" s="1176"/>
      <c r="BB74" s="982">
        <f>AZ74+BA74*1</f>
        <v>0</v>
      </c>
      <c r="BC74" s="608"/>
      <c r="BD74" s="608"/>
      <c r="BE74" s="1176"/>
      <c r="BF74" s="1176"/>
      <c r="BG74" s="982">
        <f>BE74+BF74*1</f>
        <v>0</v>
      </c>
      <c r="BH74" s="608"/>
      <c r="BI74" s="608"/>
      <c r="BJ74" s="1176">
        <f>G74+L74+Q74+V74+AA74+AF74+AK74+AP74</f>
        <v>0</v>
      </c>
      <c r="BK74" s="1176">
        <f>H74+M74+R74+W74+AB74+AL74+AQ74</f>
        <v>0</v>
      </c>
      <c r="BL74" s="1178">
        <f>BJ74+BK74</f>
        <v>0</v>
      </c>
      <c r="BM74" s="608"/>
      <c r="BN74" s="608"/>
    </row>
    <row r="75" spans="1:66" s="2" customFormat="1" ht="15" customHeight="1" thickBot="1">
      <c r="A75" s="977"/>
      <c r="B75" s="870" t="s">
        <v>48</v>
      </c>
      <c r="C75" s="989">
        <f>C38-C41-C50-C54</f>
        <v>8365013</v>
      </c>
      <c r="D75" s="989">
        <f>D38-D41-D50-D54</f>
        <v>-3707394</v>
      </c>
      <c r="E75" s="670">
        <f>E38-E41-E50-E54</f>
        <v>4657619</v>
      </c>
      <c r="F75" s="967"/>
      <c r="G75" s="646">
        <v>5520095.6989199985</v>
      </c>
      <c r="H75" s="646">
        <v>-5018001.1212499999</v>
      </c>
      <c r="I75" s="670">
        <v>502094.57766999712</v>
      </c>
      <c r="J75" s="962"/>
      <c r="K75" s="962"/>
      <c r="L75" s="646">
        <f>L38-L41-L50-L54</f>
        <v>-350</v>
      </c>
      <c r="M75" s="646">
        <f>M38-M41-M50-M54</f>
        <v>-17000</v>
      </c>
      <c r="N75" s="670">
        <f>N38-N41-N50-N54</f>
        <v>-17350</v>
      </c>
      <c r="O75" s="671"/>
      <c r="P75" s="671"/>
      <c r="Q75" s="646">
        <f>Q38-Q41-Q50-Q54</f>
        <v>502475.59400000004</v>
      </c>
      <c r="R75" s="646">
        <f>R38-R41-R50-R54</f>
        <v>-151050.51</v>
      </c>
      <c r="S75" s="670">
        <f>S38-S41-S50-S54</f>
        <v>351425.08399999997</v>
      </c>
      <c r="T75" s="671"/>
      <c r="U75" s="671"/>
      <c r="V75" s="646">
        <f>V38-V41-V50-V54</f>
        <v>0</v>
      </c>
      <c r="W75" s="646">
        <f>W38-W41-W50-W54</f>
        <v>0</v>
      </c>
      <c r="X75" s="670">
        <f>X38-X41-X50-X54</f>
        <v>0</v>
      </c>
      <c r="Y75" s="671"/>
      <c r="Z75" s="671"/>
      <c r="AA75" s="646">
        <f>AA38-AA41-AA50-AA54</f>
        <v>148742.50600000002</v>
      </c>
      <c r="AB75" s="646">
        <f>AB38-AB41-AB50-AB54</f>
        <v>-94140.536999999997</v>
      </c>
      <c r="AC75" s="670">
        <f>AC38-AC41-AC50-AC54</f>
        <v>54601.969000000005</v>
      </c>
      <c r="AD75" s="671"/>
      <c r="AE75" s="671"/>
      <c r="AF75" s="1450">
        <f>AF38-AF41-AF50-AF54</f>
        <v>-15500.003999999999</v>
      </c>
      <c r="AG75" s="1450">
        <f>AG38-AG41-AG50-AG54</f>
        <v>0</v>
      </c>
      <c r="AH75" s="1508">
        <f>AH38-AH41-AH50-AH54</f>
        <v>-15500.003999999999</v>
      </c>
      <c r="AI75" s="1451"/>
      <c r="AJ75" s="1451"/>
      <c r="AK75" s="1450">
        <f>AK38-AK41-AK50-AK54</f>
        <v>141866.19200000001</v>
      </c>
      <c r="AL75" s="1450">
        <f>AL38-AL41-AL50-AL54</f>
        <v>-41032.254000000001</v>
      </c>
      <c r="AM75" s="1508">
        <f>AM38-AM41-AM50-AM54</f>
        <v>100833.93800000001</v>
      </c>
      <c r="AN75" s="1451"/>
      <c r="AO75" s="1451"/>
      <c r="AP75" s="1804">
        <f>AP38-AP41-AP50-AP54</f>
        <v>-64920</v>
      </c>
      <c r="AQ75" s="1804">
        <f>AQ38-AQ41-AQ50-AQ54</f>
        <v>0</v>
      </c>
      <c r="AR75" s="1805">
        <f>AR38-AR41-AR50-AR54</f>
        <v>-64920</v>
      </c>
      <c r="AS75" s="1806"/>
      <c r="AT75" s="1806"/>
      <c r="AU75" s="1450">
        <f>AU38-AU41-AU50-AU54</f>
        <v>-116297.364</v>
      </c>
      <c r="AV75" s="1450">
        <f>AV38-AV41-AV50-AV54</f>
        <v>0</v>
      </c>
      <c r="AW75" s="1508">
        <f>AW38-AW41-AW50-AW54</f>
        <v>-116297.364</v>
      </c>
      <c r="AX75" s="1451"/>
      <c r="AY75" s="1451"/>
      <c r="AZ75" s="646">
        <f>AZ38-AZ41-AZ50-AZ54</f>
        <v>0</v>
      </c>
      <c r="BA75" s="646">
        <f>BA38-BA41-BA50-BA54</f>
        <v>0</v>
      </c>
      <c r="BB75" s="670">
        <f>BB38-BB41-BB50-BB54</f>
        <v>0</v>
      </c>
      <c r="BC75" s="671"/>
      <c r="BD75" s="671"/>
      <c r="BE75" s="646">
        <f>BE38-BE41-BE50-BE54</f>
        <v>0</v>
      </c>
      <c r="BF75" s="646">
        <f>BF38-BF41-BF50-BF54</f>
        <v>0</v>
      </c>
      <c r="BG75" s="670">
        <f>BG38-BG41-BG50-BG54</f>
        <v>0</v>
      </c>
      <c r="BH75" s="671"/>
      <c r="BI75" s="671"/>
      <c r="BJ75" s="646">
        <f>BJ38-BJ41-BJ50-BJ54</f>
        <v>6232409.9869199982</v>
      </c>
      <c r="BK75" s="646">
        <f>BK38-BK41-BK50-BK54</f>
        <v>-5321224.4222500008</v>
      </c>
      <c r="BL75" s="670">
        <f>BL38-BL41-BL50-BL54</f>
        <v>911185.56466999569</v>
      </c>
      <c r="BM75" s="671"/>
      <c r="BN75" s="671"/>
    </row>
    <row r="76" spans="1:66" s="2" customFormat="1" ht="15" customHeight="1">
      <c r="A76" s="294"/>
      <c r="B76" s="872" t="s">
        <v>49</v>
      </c>
      <c r="C76" s="873">
        <f>C75/C5</f>
        <v>0.54702719790151144</v>
      </c>
      <c r="D76" s="873" t="e">
        <f>D75/D5</f>
        <v>#DIV/0!</v>
      </c>
      <c r="E76" s="874">
        <f>E75/E5</f>
        <v>0.30458342030823382</v>
      </c>
      <c r="F76" s="875"/>
      <c r="G76" s="639">
        <v>0.43159223593820889</v>
      </c>
      <c r="H76" s="639" t="e">
        <v>#DIV/0!</v>
      </c>
      <c r="I76" s="660">
        <v>3.9256587792751839E-2</v>
      </c>
      <c r="J76" s="957"/>
      <c r="K76" s="957"/>
      <c r="L76" s="639" t="e">
        <f>L75/L5</f>
        <v>#DIV/0!</v>
      </c>
      <c r="M76" s="639" t="e">
        <f>M75/M5</f>
        <v>#DIV/0!</v>
      </c>
      <c r="N76" s="660" t="e">
        <f>N75/N5</f>
        <v>#DIV/0!</v>
      </c>
      <c r="O76" s="660"/>
      <c r="P76" s="660"/>
      <c r="Q76" s="639">
        <f>Q75/Q5</f>
        <v>0.55847293834341571</v>
      </c>
      <c r="R76" s="639" t="e">
        <f>R75/R5</f>
        <v>#DIV/0!</v>
      </c>
      <c r="S76" s="660">
        <f>S75/S5</f>
        <v>0.39058891936761736</v>
      </c>
      <c r="T76" s="660"/>
      <c r="U76" s="660"/>
      <c r="V76" s="639" t="e">
        <f>V75/V5</f>
        <v>#DIV/0!</v>
      </c>
      <c r="W76" s="639" t="e">
        <f>W75/W5</f>
        <v>#DIV/0!</v>
      </c>
      <c r="X76" s="660" t="e">
        <f>X75/X5</f>
        <v>#DIV/0!</v>
      </c>
      <c r="Y76" s="660"/>
      <c r="Z76" s="660"/>
      <c r="AA76" s="639">
        <f>AA75/AA5</f>
        <v>0.59717184436391735</v>
      </c>
      <c r="AB76" s="639" t="e">
        <f>AB75/AB5</f>
        <v>#DIV/0!</v>
      </c>
      <c r="AC76" s="660">
        <f>AC75/AC5</f>
        <v>0.21921614345822196</v>
      </c>
      <c r="AD76" s="660"/>
      <c r="AE76" s="660"/>
      <c r="AF76" s="1441" t="e">
        <f>AF75/AF5</f>
        <v>#DIV/0!</v>
      </c>
      <c r="AG76" s="1441" t="e">
        <f>AG75/AG5</f>
        <v>#DIV/0!</v>
      </c>
      <c r="AH76" s="1442" t="e">
        <f>AH75/AH5</f>
        <v>#DIV/0!</v>
      </c>
      <c r="AI76" s="1442"/>
      <c r="AJ76" s="1442"/>
      <c r="AK76" s="1441">
        <f>AK75/AK5</f>
        <v>0.79065073188011392</v>
      </c>
      <c r="AL76" s="1441" t="e">
        <f>AL75/AL5</f>
        <v>#DIV/0!</v>
      </c>
      <c r="AM76" s="1442">
        <f>AM75/AM5</f>
        <v>0.5619691749959288</v>
      </c>
      <c r="AN76" s="1442"/>
      <c r="AO76" s="1442"/>
      <c r="AP76" s="1787" t="e">
        <f>AP75/AP5</f>
        <v>#DIV/0!</v>
      </c>
      <c r="AQ76" s="1787" t="e">
        <f>AQ75/AQ5</f>
        <v>#DIV/0!</v>
      </c>
      <c r="AR76" s="1788" t="e">
        <f>AR75/AR5</f>
        <v>#DIV/0!</v>
      </c>
      <c r="AS76" s="1788"/>
      <c r="AT76" s="1788"/>
      <c r="AU76" s="1441" t="e">
        <f>AU75/AU5</f>
        <v>#DIV/0!</v>
      </c>
      <c r="AV76" s="1441" t="e">
        <f>AV75/AV5</f>
        <v>#DIV/0!</v>
      </c>
      <c r="AW76" s="1442" t="e">
        <f>AW75/AW5</f>
        <v>#DIV/0!</v>
      </c>
      <c r="AX76" s="1442"/>
      <c r="AY76" s="1442"/>
      <c r="AZ76" s="639" t="e">
        <f>AZ75/AZ5</f>
        <v>#DIV/0!</v>
      </c>
      <c r="BA76" s="639" t="e">
        <f>BA75/BA5</f>
        <v>#DIV/0!</v>
      </c>
      <c r="BB76" s="660" t="e">
        <f>BB75/BB5</f>
        <v>#DIV/0!</v>
      </c>
      <c r="BC76" s="660"/>
      <c r="BD76" s="660"/>
      <c r="BE76" s="639" t="e">
        <f>BE75/BE5</f>
        <v>#DIV/0!</v>
      </c>
      <c r="BF76" s="639" t="e">
        <f>BF75/BF5</f>
        <v>#DIV/0!</v>
      </c>
      <c r="BG76" s="660" t="e">
        <f>BG75/BG5</f>
        <v>#DIV/0!</v>
      </c>
      <c r="BH76" s="660"/>
      <c r="BI76" s="660"/>
      <c r="BJ76" s="639">
        <f>BJ75/BJ5</f>
        <v>0.44144161219159528</v>
      </c>
      <c r="BK76" s="639" t="e">
        <f>BK75/BK5</f>
        <v>#DIV/0!</v>
      </c>
      <c r="BL76" s="660">
        <f>BL75/BL5</f>
        <v>6.4539275419589828E-2</v>
      </c>
      <c r="BM76" s="660"/>
      <c r="BN76" s="660"/>
    </row>
    <row r="77" spans="1:66" s="2" customFormat="1" ht="15" customHeight="1" outlineLevel="1" thickBot="1">
      <c r="A77" s="294"/>
      <c r="B77" s="1187" t="s">
        <v>9</v>
      </c>
      <c r="C77" s="1170">
        <f>C78-C79</f>
        <v>-556109</v>
      </c>
      <c r="D77" s="1170">
        <f>D78-D79</f>
        <v>0</v>
      </c>
      <c r="E77" s="1033">
        <f>E78-E79</f>
        <v>-556109</v>
      </c>
      <c r="F77" s="1088"/>
      <c r="G77" s="1170">
        <v>0</v>
      </c>
      <c r="H77" s="1170">
        <v>0</v>
      </c>
      <c r="I77" s="1033">
        <v>-706583.08301969245</v>
      </c>
      <c r="J77" s="1226"/>
      <c r="K77" s="1226"/>
      <c r="L77" s="1170">
        <f>L78-L79</f>
        <v>0</v>
      </c>
      <c r="M77" s="1170">
        <f>M78-M79</f>
        <v>0</v>
      </c>
      <c r="N77" s="1033">
        <f>N78-N79</f>
        <v>-2540.2298850574712</v>
      </c>
      <c r="O77" s="1046"/>
      <c r="P77" s="1046"/>
      <c r="Q77" s="1170">
        <f>Q78-Q79</f>
        <v>0</v>
      </c>
      <c r="R77" s="1170">
        <f>R78-R79</f>
        <v>0</v>
      </c>
      <c r="S77" s="1033">
        <f>S78-S79</f>
        <v>-22570.765862068969</v>
      </c>
      <c r="T77" s="1046"/>
      <c r="U77" s="1046"/>
      <c r="V77" s="1170">
        <f>V78-V79</f>
        <v>0</v>
      </c>
      <c r="W77" s="1170">
        <f>W78-W79</f>
        <v>0</v>
      </c>
      <c r="X77" s="1033">
        <f>X78-X79</f>
        <v>0</v>
      </c>
      <c r="Y77" s="1046"/>
      <c r="Z77" s="1046"/>
      <c r="AA77" s="1170">
        <f>AA78-AA79</f>
        <v>0</v>
      </c>
      <c r="AB77" s="1170">
        <f>AB78-AB79</f>
        <v>0</v>
      </c>
      <c r="AC77" s="1033">
        <f>AC78-AC79</f>
        <v>-11628.749020142233</v>
      </c>
      <c r="AD77" s="1046"/>
      <c r="AE77" s="1046"/>
      <c r="AF77" s="1509">
        <f>AF78-AF79</f>
        <v>0</v>
      </c>
      <c r="AG77" s="1509">
        <f>AG78-AG79</f>
        <v>0</v>
      </c>
      <c r="AH77" s="1369">
        <f>AH78-AH79</f>
        <v>0</v>
      </c>
      <c r="AI77" s="1364">
        <f t="shared" ref="AI77:AI85" si="90">AH77/$AH$89</f>
        <v>0</v>
      </c>
      <c r="AJ77" s="1364"/>
      <c r="AK77" s="1509">
        <f>AK78-AK79</f>
        <v>0</v>
      </c>
      <c r="AL77" s="1509">
        <f>AL78-AL79</f>
        <v>0</v>
      </c>
      <c r="AM77" s="1369">
        <f>AM78-AM79</f>
        <v>-5942.717355544085</v>
      </c>
      <c r="AN77" s="1364">
        <f t="shared" ref="AN77:AN85" si="91">AM77/$AH$89</f>
        <v>-0.38340102077032273</v>
      </c>
      <c r="AO77" s="1364"/>
      <c r="AP77" s="1809">
        <f>AP78-AP79</f>
        <v>0</v>
      </c>
      <c r="AQ77" s="1809">
        <f>AQ78-AQ79</f>
        <v>0</v>
      </c>
      <c r="AR77" s="1385">
        <f>AR78-AR79</f>
        <v>0</v>
      </c>
      <c r="AS77" s="1386">
        <f>AR77/$AH$89</f>
        <v>0</v>
      </c>
      <c r="AT77" s="1386"/>
      <c r="AU77" s="1170">
        <f>AU78-AU79</f>
        <v>0</v>
      </c>
      <c r="AV77" s="1170">
        <f>AV78-AV79</f>
        <v>0</v>
      </c>
      <c r="AW77" s="1369">
        <f>AW78-AW79</f>
        <v>0</v>
      </c>
      <c r="AX77" s="1364">
        <f>AW77/$AW$89</f>
        <v>0</v>
      </c>
      <c r="AY77" s="1364"/>
      <c r="AZ77" s="1170">
        <f>AZ78-AZ79</f>
        <v>0</v>
      </c>
      <c r="BA77" s="1170">
        <f>BA78-BA79</f>
        <v>0</v>
      </c>
      <c r="BB77" s="1033" t="e">
        <f>BB78-BB79</f>
        <v>#DIV/0!</v>
      </c>
      <c r="BC77" s="1046" t="e">
        <f>BB77/$AH$89</f>
        <v>#DIV/0!</v>
      </c>
      <c r="BD77" s="1046"/>
      <c r="BE77" s="1170">
        <f>BE78-BE79</f>
        <v>0</v>
      </c>
      <c r="BF77" s="1170">
        <f>BF78-BF79</f>
        <v>0</v>
      </c>
      <c r="BG77" s="1033" t="e">
        <f>BG78-BG79</f>
        <v>#DIV/0!</v>
      </c>
      <c r="BH77" s="1046" t="e">
        <f>BG77/$BG$89</f>
        <v>#DIV/0!</v>
      </c>
      <c r="BI77" s="1046"/>
      <c r="BJ77" s="1170">
        <f>BJ78-BJ79</f>
        <v>0</v>
      </c>
      <c r="BK77" s="1170">
        <f>BK78-BK79</f>
        <v>0</v>
      </c>
      <c r="BL77" s="1033">
        <f>BL78-BL79</f>
        <v>-749265.5451425052</v>
      </c>
      <c r="BM77" s="1046"/>
      <c r="BN77" s="1046"/>
    </row>
    <row r="78" spans="1:66" s="2" customFormat="1" ht="15" customHeight="1" outlineLevel="2">
      <c r="A78" s="11"/>
      <c r="B78" s="946" t="s">
        <v>43</v>
      </c>
      <c r="C78" s="483"/>
      <c r="D78" s="564"/>
      <c r="E78" s="1231">
        <f>C78+D78*1.15</f>
        <v>0</v>
      </c>
      <c r="F78" s="984"/>
      <c r="G78" s="1176">
        <v>0</v>
      </c>
      <c r="H78" s="1176">
        <v>0</v>
      </c>
      <c r="I78" s="676">
        <v>0</v>
      </c>
      <c r="J78" s="1100"/>
      <c r="K78" s="1100"/>
      <c r="L78" s="1176"/>
      <c r="M78" s="1176"/>
      <c r="N78" s="676">
        <f>L78+M78*1.15</f>
        <v>0</v>
      </c>
      <c r="O78" s="676"/>
      <c r="P78" s="676"/>
      <c r="Q78" s="1176"/>
      <c r="R78" s="1176"/>
      <c r="S78" s="676">
        <f>Q78+R78*1.15</f>
        <v>0</v>
      </c>
      <c r="T78" s="676"/>
      <c r="U78" s="676"/>
      <c r="V78" s="1176"/>
      <c r="W78" s="1176"/>
      <c r="X78" s="676">
        <f>V78+W78*1.15</f>
        <v>0</v>
      </c>
      <c r="Y78" s="1233" t="e">
        <f>X78/$X$89</f>
        <v>#DIV/0!</v>
      </c>
      <c r="Z78" s="676"/>
      <c r="AA78" s="1176"/>
      <c r="AB78" s="1176"/>
      <c r="AC78" s="676">
        <f>AA78+AB78*1.15</f>
        <v>0</v>
      </c>
      <c r="AD78" s="1233"/>
      <c r="AE78" s="676"/>
      <c r="AF78" s="1432"/>
      <c r="AG78" s="1432"/>
      <c r="AH78" s="1452">
        <f>AF78+AG78*1.15</f>
        <v>0</v>
      </c>
      <c r="AI78" s="1540">
        <f t="shared" si="90"/>
        <v>0</v>
      </c>
      <c r="AJ78" s="1452"/>
      <c r="AK78" s="1432"/>
      <c r="AL78" s="1432"/>
      <c r="AM78" s="1452">
        <f>AK78+AL78*1.15</f>
        <v>0</v>
      </c>
      <c r="AN78" s="1540">
        <f t="shared" si="91"/>
        <v>0</v>
      </c>
      <c r="AO78" s="1452"/>
      <c r="AP78" s="1625"/>
      <c r="AQ78" s="1625"/>
      <c r="AR78" s="1810">
        <f>AP78+AQ78*1.15</f>
        <v>0</v>
      </c>
      <c r="AS78" s="1777">
        <f>AR78/$AH$89</f>
        <v>0</v>
      </c>
      <c r="AT78" s="1810"/>
      <c r="AU78" s="1432"/>
      <c r="AV78" s="1432"/>
      <c r="AW78" s="1452">
        <f>AU78+AV78*1.15</f>
        <v>0</v>
      </c>
      <c r="AX78" s="1877">
        <f>AW78/$AW$89</f>
        <v>0</v>
      </c>
      <c r="AY78" s="1452"/>
      <c r="AZ78" s="1176"/>
      <c r="BA78" s="1176"/>
      <c r="BB78" s="676">
        <f>AZ78+BA78*1.15</f>
        <v>0</v>
      </c>
      <c r="BC78" s="1233">
        <f>BB78/$AH$89</f>
        <v>0</v>
      </c>
      <c r="BD78" s="676"/>
      <c r="BE78" s="1176"/>
      <c r="BF78" s="1176"/>
      <c r="BG78" s="676">
        <f>BE78+BF78*1.15</f>
        <v>0</v>
      </c>
      <c r="BH78" s="1233" t="e">
        <f>BG78/$BG$89</f>
        <v>#DIV/0!</v>
      </c>
      <c r="BI78" s="676"/>
      <c r="BJ78" s="1176">
        <f>G78+L78+Q78+V78+AA78+AF78+AK78+AP78</f>
        <v>0</v>
      </c>
      <c r="BK78" s="1176">
        <f>H78+M78+R78+W78+AB78+AL78+AQ78</f>
        <v>0</v>
      </c>
      <c r="BL78" s="1178">
        <f>BJ78+BK78</f>
        <v>0</v>
      </c>
      <c r="BM78" s="676"/>
      <c r="BN78" s="676"/>
    </row>
    <row r="79" spans="1:66" s="2" customFormat="1" ht="15" customHeight="1" outlineLevel="2">
      <c r="A79" s="11"/>
      <c r="B79" s="1241" t="s">
        <v>79</v>
      </c>
      <c r="C79" s="1230">
        <v>556109</v>
      </c>
      <c r="D79" s="1231"/>
      <c r="E79" s="1231">
        <f>C79+D79*1.15</f>
        <v>556109</v>
      </c>
      <c r="F79" s="1236">
        <f>E79/$E$89</f>
        <v>4.7489023304683825E-2</v>
      </c>
      <c r="G79" s="1176">
        <v>0</v>
      </c>
      <c r="H79" s="1176">
        <v>0</v>
      </c>
      <c r="I79" s="1178">
        <v>706583.08301969245</v>
      </c>
      <c r="J79" s="1093"/>
      <c r="K79" s="1093"/>
      <c r="L79" s="1176"/>
      <c r="M79" s="1176"/>
      <c r="N79" s="1178">
        <v>2540.2298850574712</v>
      </c>
      <c r="O79" s="1237"/>
      <c r="P79" s="1237"/>
      <c r="Q79" s="1176"/>
      <c r="R79" s="1176"/>
      <c r="S79" s="1178">
        <v>22570.765862068969</v>
      </c>
      <c r="T79" s="1237"/>
      <c r="U79" s="1237"/>
      <c r="V79" s="1176"/>
      <c r="W79" s="1176"/>
      <c r="X79" s="1178">
        <v>0</v>
      </c>
      <c r="Y79" s="1233" t="e">
        <f>X79/$X$89</f>
        <v>#DIV/0!</v>
      </c>
      <c r="Z79" s="1237"/>
      <c r="AA79" s="1176"/>
      <c r="AB79" s="1176"/>
      <c r="AC79" s="1178">
        <v>11628.749020142233</v>
      </c>
      <c r="AD79" s="1233">
        <f>AC79/$AC$89</f>
        <v>5.6421476697756053E-2</v>
      </c>
      <c r="AE79" s="1237"/>
      <c r="AF79" s="1432"/>
      <c r="AG79" s="1432"/>
      <c r="AH79" s="1480">
        <v>0</v>
      </c>
      <c r="AI79" s="1540">
        <f t="shared" si="90"/>
        <v>0</v>
      </c>
      <c r="AJ79" s="1435"/>
      <c r="AK79" s="1432"/>
      <c r="AL79" s="1432"/>
      <c r="AM79" s="1480">
        <f>(AL8+AL41+AL50+AL54)/(1-'расчет 2024'!E8)*'расчет 2024'!E8</f>
        <v>5942.717355544085</v>
      </c>
      <c r="AN79" s="1540">
        <f>AM79/$AM$89</f>
        <v>7.0296038120017154E-2</v>
      </c>
      <c r="AO79" s="1435"/>
      <c r="AP79" s="1625"/>
      <c r="AQ79" s="1625"/>
      <c r="AR79" s="1858">
        <f>(AQ8+AQ41+AQ50+AQ54)/(1-'расчет 2024'!E8)*'расчет 2024'!E8</f>
        <v>0</v>
      </c>
      <c r="AS79" s="1777">
        <f>AR79/$AR$89</f>
        <v>0</v>
      </c>
      <c r="AT79" s="1785"/>
      <c r="AU79" s="1432"/>
      <c r="AV79" s="1432"/>
      <c r="AW79" s="2033">
        <v>0</v>
      </c>
      <c r="AX79" s="1877">
        <f>AW79/$AW$89</f>
        <v>0</v>
      </c>
      <c r="AY79" s="1893"/>
      <c r="AZ79" s="1176"/>
      <c r="BA79" s="1176"/>
      <c r="BB79" s="1178" t="e">
        <v>#DIV/0!</v>
      </c>
      <c r="BC79" s="1233" t="e">
        <f>BB79/$BB$89</f>
        <v>#DIV/0!</v>
      </c>
      <c r="BD79" s="1237"/>
      <c r="BE79" s="1176"/>
      <c r="BF79" s="1176"/>
      <c r="BG79" s="1178" t="e">
        <v>#DIV/0!</v>
      </c>
      <c r="BH79" s="1233" t="e">
        <f>BG79/$BG$89</f>
        <v>#DIV/0!</v>
      </c>
      <c r="BI79" s="1237"/>
      <c r="BJ79" s="1176">
        <f>G79+L79+Q79+V79+AA79+AF79+AK79+AP79</f>
        <v>0</v>
      </c>
      <c r="BK79" s="1176">
        <f>H79+M79+R79+W79+AB79+AL79+AQ79</f>
        <v>0</v>
      </c>
      <c r="BL79" s="1178">
        <f>I79+N79+S79+X79+AC79+AH79+AM79+AR79</f>
        <v>749265.5451425052</v>
      </c>
      <c r="BM79" s="1237"/>
      <c r="BN79" s="1237"/>
    </row>
    <row r="80" spans="1:66" ht="15" customHeight="1" outlineLevel="2">
      <c r="A80" s="3"/>
      <c r="B80" s="1242"/>
      <c r="C80" s="1243"/>
      <c r="D80" s="1244"/>
      <c r="E80" s="1245"/>
      <c r="F80" s="1246"/>
      <c r="G80" s="1176"/>
      <c r="H80" s="1176"/>
      <c r="I80" s="1247"/>
      <c r="J80" s="1080"/>
      <c r="K80" s="1080"/>
      <c r="L80" s="1176"/>
      <c r="M80" s="1176"/>
      <c r="N80" s="1247"/>
      <c r="O80" s="1247"/>
      <c r="P80" s="1247"/>
      <c r="Q80" s="1176"/>
      <c r="R80" s="1176"/>
      <c r="S80" s="1247"/>
      <c r="T80" s="1247"/>
      <c r="U80" s="1247"/>
      <c r="V80" s="1176"/>
      <c r="W80" s="1176"/>
      <c r="X80" s="1247"/>
      <c r="Y80" s="1247"/>
      <c r="Z80" s="1247"/>
      <c r="AA80" s="1176"/>
      <c r="AB80" s="1176"/>
      <c r="AC80" s="1247"/>
      <c r="AD80" s="1247"/>
      <c r="AE80" s="1247"/>
      <c r="AF80" s="1432"/>
      <c r="AG80" s="1432"/>
      <c r="AH80" s="1453"/>
      <c r="AI80" s="1453">
        <f t="shared" si="90"/>
        <v>0</v>
      </c>
      <c r="AJ80" s="1453"/>
      <c r="AK80" s="1432"/>
      <c r="AL80" s="1432"/>
      <c r="AM80" s="1453"/>
      <c r="AN80" s="1453">
        <f t="shared" si="91"/>
        <v>0</v>
      </c>
      <c r="AO80" s="1453"/>
      <c r="AP80" s="1625"/>
      <c r="AQ80" s="1625"/>
      <c r="AR80" s="1766"/>
      <c r="AS80" s="1766">
        <f t="shared" ref="AS80:AS85" si="92">AR80/$AH$89</f>
        <v>0</v>
      </c>
      <c r="AT80" s="1766"/>
      <c r="AU80" s="1432"/>
      <c r="AV80" s="1432"/>
      <c r="AW80" s="1894"/>
      <c r="AX80" s="1894">
        <f t="shared" ref="AX80:AX85" si="93">AW80/$AH$89</f>
        <v>0</v>
      </c>
      <c r="AY80" s="1894"/>
      <c r="AZ80" s="1176"/>
      <c r="BA80" s="1176"/>
      <c r="BB80" s="1247"/>
      <c r="BC80" s="1247">
        <f t="shared" ref="BC80:BC85" si="94">BB80/$AH$89</f>
        <v>0</v>
      </c>
      <c r="BD80" s="1247"/>
      <c r="BE80" s="1176"/>
      <c r="BF80" s="1176"/>
      <c r="BG80" s="1247"/>
      <c r="BH80" s="1247">
        <f t="shared" ref="BH80:BH85" si="95">BG80/$AH$89</f>
        <v>0</v>
      </c>
      <c r="BI80" s="1247"/>
      <c r="BJ80" s="1176">
        <f>G80+L80+Q80+V80+AA80+AF80+AK80+AP80</f>
        <v>0</v>
      </c>
      <c r="BK80" s="1176">
        <f>H80+M80+R80+W80+AB80+AL80+AQ80</f>
        <v>0</v>
      </c>
      <c r="BL80" s="1247"/>
      <c r="BM80" s="1247"/>
      <c r="BN80" s="1247"/>
    </row>
    <row r="81" spans="1:66" s="2" customFormat="1" ht="15" customHeight="1" outlineLevel="1" thickBot="1">
      <c r="A81" s="26"/>
      <c r="B81" s="1187" t="s">
        <v>12</v>
      </c>
      <c r="C81" s="1170">
        <f>(C75+C78)-C79</f>
        <v>7808904</v>
      </c>
      <c r="D81" s="1170">
        <f>(D75+D78)-D79</f>
        <v>-3707394</v>
      </c>
      <c r="E81" s="1033">
        <f>(E75+E78)-E79</f>
        <v>4101510</v>
      </c>
      <c r="F81" s="1088"/>
      <c r="G81" s="1170">
        <v>5520095.6989199985</v>
      </c>
      <c r="H81" s="1170">
        <v>-5018001.1212499999</v>
      </c>
      <c r="I81" s="1033">
        <v>-204488.50534969533</v>
      </c>
      <c r="J81" s="1226"/>
      <c r="K81" s="1226"/>
      <c r="L81" s="1170">
        <f>(L75+L78)-L79</f>
        <v>-350</v>
      </c>
      <c r="M81" s="1170">
        <f>(M75+M78)-M79</f>
        <v>-17000</v>
      </c>
      <c r="N81" s="1033">
        <f>(N75+N78)-N79</f>
        <v>-19890.22988505747</v>
      </c>
      <c r="O81" s="1046"/>
      <c r="P81" s="1046"/>
      <c r="Q81" s="1170">
        <f>(Q75+Q78)-Q79</f>
        <v>502475.59400000004</v>
      </c>
      <c r="R81" s="1170">
        <f>(R75+R78)-R79</f>
        <v>-151050.51</v>
      </c>
      <c r="S81" s="1033">
        <f>(S75+S78)-S79</f>
        <v>328854.318137931</v>
      </c>
      <c r="T81" s="1046"/>
      <c r="U81" s="1046"/>
      <c r="V81" s="1170">
        <f>(V75+V78)-V79</f>
        <v>0</v>
      </c>
      <c r="W81" s="1170">
        <f>(W75+W78)-W79</f>
        <v>0</v>
      </c>
      <c r="X81" s="1033">
        <f>(X75+X78)-X79</f>
        <v>0</v>
      </c>
      <c r="Y81" s="1046"/>
      <c r="Z81" s="1046"/>
      <c r="AA81" s="1170">
        <f>(AA75+AA78)-AA79</f>
        <v>148742.50600000002</v>
      </c>
      <c r="AB81" s="1170">
        <f>(AB75+AB78)-AB79</f>
        <v>-94140.536999999997</v>
      </c>
      <c r="AC81" s="1033">
        <f>(AC75+AC78)-AC79</f>
        <v>42973.219979857771</v>
      </c>
      <c r="AD81" s="1046"/>
      <c r="AE81" s="1046"/>
      <c r="AF81" s="1509">
        <f>(AF75+AF78)-AF79</f>
        <v>-15500.003999999999</v>
      </c>
      <c r="AG81" s="1509">
        <f>(AG75+AG78)-AG79</f>
        <v>0</v>
      </c>
      <c r="AH81" s="1369">
        <f>(AH75+AH78)-AH79</f>
        <v>-15500.003999999999</v>
      </c>
      <c r="AI81" s="1364">
        <f t="shared" si="90"/>
        <v>-1</v>
      </c>
      <c r="AJ81" s="1364"/>
      <c r="AK81" s="1509">
        <f>(AK75+AK78)-AK79</f>
        <v>141866.19200000001</v>
      </c>
      <c r="AL81" s="1509">
        <f>(AL75+AL78)-AL79</f>
        <v>-41032.254000000001</v>
      </c>
      <c r="AM81" s="1369">
        <f>(AM75+AM78)-AM79</f>
        <v>94891.220644455927</v>
      </c>
      <c r="AN81" s="1364">
        <f t="shared" si="91"/>
        <v>6.1220126552519556</v>
      </c>
      <c r="AO81" s="1364"/>
      <c r="AP81" s="1809">
        <f>(AP75+AP78)-AP79</f>
        <v>-64920</v>
      </c>
      <c r="AQ81" s="1809">
        <f>(AQ75+AQ78)-AQ79</f>
        <v>0</v>
      </c>
      <c r="AR81" s="1385">
        <f>(AR75+AR78)-AR79</f>
        <v>-64920</v>
      </c>
      <c r="AS81" s="1386">
        <f t="shared" si="92"/>
        <v>-4.1883860159003836</v>
      </c>
      <c r="AT81" s="1386"/>
      <c r="AU81" s="1170">
        <f>(AU75+AU78)-AU79</f>
        <v>-116297.364</v>
      </c>
      <c r="AV81" s="1170">
        <f>(AV75+AV78)-AV79</f>
        <v>0</v>
      </c>
      <c r="AW81" s="1369">
        <f>(AW75+AW78)-AW79</f>
        <v>-116297.364</v>
      </c>
      <c r="AX81" s="1364">
        <f t="shared" si="93"/>
        <v>-7.5030538056635345</v>
      </c>
      <c r="AY81" s="1364"/>
      <c r="AZ81" s="1170">
        <f>(AZ75+AZ78)-AZ79</f>
        <v>0</v>
      </c>
      <c r="BA81" s="1170">
        <f>(BA75+BA78)-BA79</f>
        <v>0</v>
      </c>
      <c r="BB81" s="1033" t="e">
        <f>(BB75+BB78)-BB79</f>
        <v>#DIV/0!</v>
      </c>
      <c r="BC81" s="1046" t="e">
        <f t="shared" si="94"/>
        <v>#DIV/0!</v>
      </c>
      <c r="BD81" s="1046"/>
      <c r="BE81" s="1170">
        <f>(BE75+BE78)-BE79</f>
        <v>0</v>
      </c>
      <c r="BF81" s="1170">
        <f>(BF75+BF78)-BF79</f>
        <v>0</v>
      </c>
      <c r="BG81" s="1033" t="e">
        <f>(BG75+BG78)-BG79</f>
        <v>#DIV/0!</v>
      </c>
      <c r="BH81" s="1046" t="e">
        <f t="shared" si="95"/>
        <v>#DIV/0!</v>
      </c>
      <c r="BI81" s="1046"/>
      <c r="BJ81" s="1170">
        <f>(BJ75+BJ78)-BJ79</f>
        <v>6232409.9869199982</v>
      </c>
      <c r="BK81" s="1170">
        <f>(BK75+BK78)-BK79</f>
        <v>-5321224.4222500008</v>
      </c>
      <c r="BL81" s="1033">
        <f>(BL75+BL78)-BL79</f>
        <v>161920.01952749048</v>
      </c>
      <c r="BM81" s="1046"/>
      <c r="BN81" s="1046"/>
    </row>
    <row r="82" spans="1:66" s="2" customFormat="1" ht="15" customHeight="1" outlineLevel="2">
      <c r="A82" s="293"/>
      <c r="B82" s="946" t="s">
        <v>38</v>
      </c>
      <c r="C82" s="483"/>
      <c r="D82" s="564"/>
      <c r="E82" s="565">
        <f>C82+D82</f>
        <v>0</v>
      </c>
      <c r="F82" s="1009">
        <f>E82/$E$89</f>
        <v>0</v>
      </c>
      <c r="G82" s="488">
        <v>0</v>
      </c>
      <c r="H82" s="488">
        <v>0</v>
      </c>
      <c r="I82" s="565">
        <v>0</v>
      </c>
      <c r="J82" s="1009"/>
      <c r="K82" s="1009"/>
      <c r="L82" s="488"/>
      <c r="M82" s="488"/>
      <c r="N82" s="565">
        <f>L82+M82</f>
        <v>0</v>
      </c>
      <c r="O82" s="566"/>
      <c r="P82" s="566"/>
      <c r="Q82" s="488"/>
      <c r="R82" s="488"/>
      <c r="S82" s="565">
        <f>Q82+R82</f>
        <v>0</v>
      </c>
      <c r="T82" s="566"/>
      <c r="U82" s="566"/>
      <c r="V82" s="488"/>
      <c r="W82" s="488"/>
      <c r="X82" s="565">
        <f>V82+W82</f>
        <v>0</v>
      </c>
      <c r="Y82" s="566"/>
      <c r="Z82" s="566"/>
      <c r="AA82" s="488"/>
      <c r="AB82" s="488"/>
      <c r="AC82" s="565">
        <f>AA82+AB82</f>
        <v>0</v>
      </c>
      <c r="AD82" s="566"/>
      <c r="AE82" s="566"/>
      <c r="AF82" s="1624"/>
      <c r="AG82" s="1624"/>
      <c r="AH82" s="1515">
        <f>AF82+AG82</f>
        <v>0</v>
      </c>
      <c r="AI82" s="1477">
        <f t="shared" si="90"/>
        <v>0</v>
      </c>
      <c r="AJ82" s="1477"/>
      <c r="AK82" s="1624"/>
      <c r="AL82" s="1624"/>
      <c r="AM82" s="1515">
        <f>AK82+AL82</f>
        <v>0</v>
      </c>
      <c r="AN82" s="1477">
        <f t="shared" si="91"/>
        <v>0</v>
      </c>
      <c r="AO82" s="1477"/>
      <c r="AP82" s="1820"/>
      <c r="AQ82" s="1820"/>
      <c r="AR82" s="1761">
        <f>AP82+AQ82</f>
        <v>0</v>
      </c>
      <c r="AS82" s="1844">
        <f t="shared" si="92"/>
        <v>0</v>
      </c>
      <c r="AT82" s="1844"/>
      <c r="AU82" s="1624"/>
      <c r="AV82" s="1624"/>
      <c r="AW82" s="1515">
        <f>AU82+AV82</f>
        <v>0</v>
      </c>
      <c r="AX82" s="1477">
        <f t="shared" si="93"/>
        <v>0</v>
      </c>
      <c r="AY82" s="1477"/>
      <c r="AZ82" s="488"/>
      <c r="BA82" s="488"/>
      <c r="BB82" s="565">
        <f>AZ82+BA82</f>
        <v>0</v>
      </c>
      <c r="BC82" s="566">
        <f t="shared" si="94"/>
        <v>0</v>
      </c>
      <c r="BD82" s="566"/>
      <c r="BE82" s="488"/>
      <c r="BF82" s="488"/>
      <c r="BG82" s="565">
        <f>BE82+BF82</f>
        <v>0</v>
      </c>
      <c r="BH82" s="566">
        <f t="shared" si="95"/>
        <v>0</v>
      </c>
      <c r="BI82" s="566"/>
      <c r="BJ82" s="488">
        <f>G82+L82+Q82+V82+AA82+AF82+AK82+AP82</f>
        <v>0</v>
      </c>
      <c r="BK82" s="488">
        <f>H82+M82+R82+W82+AB82+AL82+AQ82</f>
        <v>0</v>
      </c>
      <c r="BL82" s="484">
        <f>BJ82+BK82</f>
        <v>0</v>
      </c>
      <c r="BM82" s="566"/>
      <c r="BN82" s="566"/>
    </row>
    <row r="83" spans="1:66" s="2" customFormat="1" ht="15" customHeight="1" outlineLevel="1">
      <c r="A83" s="11"/>
      <c r="B83" s="1248" t="s">
        <v>13</v>
      </c>
      <c r="C83" s="1249">
        <f>(C81+C7)-C36</f>
        <v>7747651</v>
      </c>
      <c r="D83" s="1249">
        <f>(D81+D7)-D36</f>
        <v>-3707394</v>
      </c>
      <c r="E83" s="1249">
        <f>(E81+E7)-E36</f>
        <v>4040257</v>
      </c>
      <c r="F83" s="1250"/>
      <c r="G83" s="1249">
        <v>5520095.6989199985</v>
      </c>
      <c r="H83" s="1249">
        <v>-5018001.1212499999</v>
      </c>
      <c r="I83" s="1251">
        <v>-204488.50534969533</v>
      </c>
      <c r="J83" s="1253"/>
      <c r="K83" s="1253"/>
      <c r="L83" s="1249">
        <f>(L81)-L36</f>
        <v>-350</v>
      </c>
      <c r="M83" s="1249">
        <f>(M81)-M36</f>
        <v>-17000</v>
      </c>
      <c r="N83" s="1251">
        <f>(N81)-N36</f>
        <v>-19890.22988505747</v>
      </c>
      <c r="O83" s="1252"/>
      <c r="P83" s="1252"/>
      <c r="Q83" s="1249">
        <f>(Q81+Q7)-Q36</f>
        <v>502475.59400000004</v>
      </c>
      <c r="R83" s="1249">
        <f>(R81+R7)-R36</f>
        <v>-151050.51</v>
      </c>
      <c r="S83" s="1251">
        <f>(S81+S7)-S36</f>
        <v>328854.318137931</v>
      </c>
      <c r="T83" s="1252"/>
      <c r="U83" s="1252"/>
      <c r="V83" s="1249">
        <f>(V81)-V36</f>
        <v>0</v>
      </c>
      <c r="W83" s="1249">
        <f>(W81)-W36</f>
        <v>0</v>
      </c>
      <c r="X83" s="1251">
        <f>(X81)-X36</f>
        <v>0</v>
      </c>
      <c r="Y83" s="1252"/>
      <c r="Z83" s="1252"/>
      <c r="AA83" s="1249">
        <f>(AA81)-AA36</f>
        <v>148742.50600000002</v>
      </c>
      <c r="AB83" s="1249">
        <f>(AB81)-AB36</f>
        <v>-94140.536999999997</v>
      </c>
      <c r="AC83" s="1251">
        <f>(AC81)-AC36</f>
        <v>42973.219979857771</v>
      </c>
      <c r="AD83" s="1252"/>
      <c r="AE83" s="1252"/>
      <c r="AF83" s="1516">
        <f>(AF81)-AF36</f>
        <v>-15500.003999999999</v>
      </c>
      <c r="AG83" s="1516">
        <f>(AG81)-AG36</f>
        <v>0</v>
      </c>
      <c r="AH83" s="1516">
        <f>(AH81)-AH36</f>
        <v>-15500.003999999999</v>
      </c>
      <c r="AI83" s="1454">
        <f t="shared" si="90"/>
        <v>-1</v>
      </c>
      <c r="AJ83" s="1454"/>
      <c r="AK83" s="1516">
        <f>(AK81)-AK36</f>
        <v>141866.19200000001</v>
      </c>
      <c r="AL83" s="1516">
        <f>(AL81)-AL36</f>
        <v>-41032.254000000001</v>
      </c>
      <c r="AM83" s="1516">
        <f>(AM81)-AM36</f>
        <v>94891.220644455927</v>
      </c>
      <c r="AN83" s="1454">
        <f t="shared" si="91"/>
        <v>6.1220126552519556</v>
      </c>
      <c r="AO83" s="1454"/>
      <c r="AP83" s="1814">
        <f>(AP81)-AP36</f>
        <v>-64920</v>
      </c>
      <c r="AQ83" s="1814">
        <f>(AQ81)-AQ36</f>
        <v>0</v>
      </c>
      <c r="AR83" s="1814">
        <f>(AR81)-AR36</f>
        <v>-64920</v>
      </c>
      <c r="AS83" s="1816">
        <f t="shared" si="92"/>
        <v>-4.1883860159003836</v>
      </c>
      <c r="AT83" s="1816"/>
      <c r="AU83" s="1896">
        <f>(AU81)-AU36</f>
        <v>-116297.364</v>
      </c>
      <c r="AV83" s="1896">
        <f>(AV81)-AV36</f>
        <v>0</v>
      </c>
      <c r="AW83" s="1896">
        <f>(AW81)-AW36</f>
        <v>-116297.364</v>
      </c>
      <c r="AX83" s="1898">
        <f t="shared" si="93"/>
        <v>-7.5030538056635345</v>
      </c>
      <c r="AY83" s="1898"/>
      <c r="AZ83" s="1249">
        <f>(AZ81)-AZ36</f>
        <v>0</v>
      </c>
      <c r="BA83" s="1249">
        <f>(BA81)-BA36</f>
        <v>0</v>
      </c>
      <c r="BB83" s="1249" t="e">
        <f>(BB81)-BB36</f>
        <v>#DIV/0!</v>
      </c>
      <c r="BC83" s="1252" t="e">
        <f t="shared" si="94"/>
        <v>#DIV/0!</v>
      </c>
      <c r="BD83" s="1252"/>
      <c r="BE83" s="1249">
        <f>(BE81)-BE36</f>
        <v>0</v>
      </c>
      <c r="BF83" s="1249">
        <f>(BF81)-BF36</f>
        <v>0</v>
      </c>
      <c r="BG83" s="1249" t="e">
        <f>(BG81)-BG36</f>
        <v>#DIV/0!</v>
      </c>
      <c r="BH83" s="1252" t="e">
        <f t="shared" si="95"/>
        <v>#DIV/0!</v>
      </c>
      <c r="BI83" s="1252"/>
      <c r="BJ83" s="1249">
        <f>(BJ81)-BJ36</f>
        <v>6232409.9869199982</v>
      </c>
      <c r="BK83" s="1249">
        <f>(BK81)-BK36</f>
        <v>-5321224.4222500008</v>
      </c>
      <c r="BL83" s="1249">
        <f>(BL81)-BL36</f>
        <v>161920.01952749048</v>
      </c>
      <c r="BM83" s="1252"/>
      <c r="BN83" s="1252"/>
    </row>
    <row r="84" spans="1:66" s="2" customFormat="1" ht="15" customHeight="1" outlineLevel="1" thickBot="1">
      <c r="A84" s="822"/>
      <c r="B84" s="1189" t="s">
        <v>14</v>
      </c>
      <c r="C84" s="1190">
        <f>C83-C73-C82</f>
        <v>7288898</v>
      </c>
      <c r="D84" s="1190">
        <f>D83-D73-D82</f>
        <v>-3707394</v>
      </c>
      <c r="E84" s="1190">
        <f>E83-E73-E82</f>
        <v>3581504</v>
      </c>
      <c r="F84" s="1090"/>
      <c r="G84" s="1034">
        <v>589835.03300000005</v>
      </c>
      <c r="H84" s="1034">
        <v>-1544083.8499999999</v>
      </c>
      <c r="I84" s="1034">
        <v>-204488.50534969533</v>
      </c>
      <c r="J84" s="1090"/>
      <c r="K84" s="1090"/>
      <c r="L84" s="1034">
        <f>L83-L73-L82</f>
        <v>-350</v>
      </c>
      <c r="M84" s="1034">
        <f>M83-M73-M82</f>
        <v>-17000</v>
      </c>
      <c r="N84" s="1034">
        <f>N83-N73-N82</f>
        <v>-19890.22988505747</v>
      </c>
      <c r="O84" s="1073"/>
      <c r="P84" s="1073"/>
      <c r="Q84" s="1034">
        <f>Q83-Q73-Q82</f>
        <v>502475.59400000004</v>
      </c>
      <c r="R84" s="1034">
        <f>R83-R73-R82</f>
        <v>-151050.51</v>
      </c>
      <c r="S84" s="1034">
        <f>S83-S73-S82</f>
        <v>328854.318137931</v>
      </c>
      <c r="T84" s="1073"/>
      <c r="U84" s="1073"/>
      <c r="V84" s="1034">
        <f>V83-V73-V82</f>
        <v>0</v>
      </c>
      <c r="W84" s="1034">
        <f>W83-W73-W82</f>
        <v>0</v>
      </c>
      <c r="X84" s="1034">
        <f>X83-X73-X82</f>
        <v>0</v>
      </c>
      <c r="Y84" s="1073"/>
      <c r="Z84" s="1073"/>
      <c r="AA84" s="1034">
        <f>AA83-AA73-AA82</f>
        <v>148742.50600000002</v>
      </c>
      <c r="AB84" s="1034">
        <f>AB83-AB73-AB82</f>
        <v>-94140.536999999997</v>
      </c>
      <c r="AC84" s="1034">
        <f>AC83-AC73-AC82</f>
        <v>42973.219979857771</v>
      </c>
      <c r="AD84" s="1073"/>
      <c r="AE84" s="1073"/>
      <c r="AF84" s="1733">
        <f>AF83-AF73-AF82</f>
        <v>-15500.003999999999</v>
      </c>
      <c r="AG84" s="1733">
        <f>AG83-AG73-AG82</f>
        <v>0</v>
      </c>
      <c r="AH84" s="1733">
        <f>AH83-AH73-AH82</f>
        <v>-15500.003999999999</v>
      </c>
      <c r="AI84" s="1381">
        <f t="shared" si="90"/>
        <v>-1</v>
      </c>
      <c r="AJ84" s="1381"/>
      <c r="AK84" s="1733">
        <f>AK83-AK73-AK82</f>
        <v>141866.19200000001</v>
      </c>
      <c r="AL84" s="1733">
        <f>AL83-AL73-AL82</f>
        <v>-41032.254000000001</v>
      </c>
      <c r="AM84" s="1733">
        <f>AM83-AM73-AM82</f>
        <v>94891.220644455927</v>
      </c>
      <c r="AN84" s="1381">
        <f t="shared" si="91"/>
        <v>6.1220126552519556</v>
      </c>
      <c r="AO84" s="1381"/>
      <c r="AP84" s="1845">
        <f>AP83-AP73-AP82</f>
        <v>-64920</v>
      </c>
      <c r="AQ84" s="1845">
        <f>AQ83-AQ73-AQ82</f>
        <v>0</v>
      </c>
      <c r="AR84" s="1845">
        <f>AR83-AR73-AR82</f>
        <v>-64920</v>
      </c>
      <c r="AS84" s="1389">
        <f t="shared" si="92"/>
        <v>-4.1883860159003836</v>
      </c>
      <c r="AT84" s="1389"/>
      <c r="AU84" s="1190">
        <f>AU83-AU73-AU82</f>
        <v>-116297.364</v>
      </c>
      <c r="AV84" s="1190">
        <f>AV83-AV73-AV82</f>
        <v>0</v>
      </c>
      <c r="AW84" s="1190">
        <f>AW83-AW73-AW82</f>
        <v>-116297.364</v>
      </c>
      <c r="AX84" s="1381">
        <f t="shared" si="93"/>
        <v>-7.5030538056635345</v>
      </c>
      <c r="AY84" s="1381"/>
      <c r="AZ84" s="1190">
        <f>AZ83-AZ73-AZ82</f>
        <v>0</v>
      </c>
      <c r="BA84" s="1190">
        <f>BA83-BA73-BA82</f>
        <v>0</v>
      </c>
      <c r="BB84" s="1190" t="e">
        <f>BB83-BB73-BB82</f>
        <v>#DIV/0!</v>
      </c>
      <c r="BC84" s="1073" t="e">
        <f t="shared" si="94"/>
        <v>#DIV/0!</v>
      </c>
      <c r="BD84" s="1073"/>
      <c r="BE84" s="1190">
        <f>BE83-BE73-BE82</f>
        <v>0</v>
      </c>
      <c r="BF84" s="1190">
        <f>BF83-BF73-BF82</f>
        <v>0</v>
      </c>
      <c r="BG84" s="1190" t="e">
        <f>BG83-BG73-BG82</f>
        <v>#DIV/0!</v>
      </c>
      <c r="BH84" s="1073" t="e">
        <f t="shared" si="95"/>
        <v>#DIV/0!</v>
      </c>
      <c r="BI84" s="1073"/>
      <c r="BJ84" s="1190">
        <f>BJ83-BJ73-BJ82</f>
        <v>6232409.9869199982</v>
      </c>
      <c r="BK84" s="1190">
        <f>BK83-BK73-BK82</f>
        <v>-5321224.4222500008</v>
      </c>
      <c r="BL84" s="1190">
        <f>BL83-BL73-BL82</f>
        <v>161920.01952749048</v>
      </c>
      <c r="BM84" s="1073"/>
      <c r="BN84" s="1073"/>
    </row>
    <row r="85" spans="1:66" s="2" customFormat="1" ht="15" customHeight="1" outlineLevel="3">
      <c r="A85" s="294"/>
      <c r="B85" s="1050" t="s">
        <v>44</v>
      </c>
      <c r="C85" s="1038"/>
      <c r="D85" s="1091"/>
      <c r="E85" s="1092">
        <f>C85+D85</f>
        <v>0</v>
      </c>
      <c r="F85" s="1093">
        <f>E85/$E$89</f>
        <v>0</v>
      </c>
      <c r="G85" s="1176">
        <v>0</v>
      </c>
      <c r="H85" s="1176">
        <v>0</v>
      </c>
      <c r="I85" s="1178">
        <v>0</v>
      </c>
      <c r="J85" s="1093"/>
      <c r="K85" s="1093"/>
      <c r="L85" s="1176"/>
      <c r="M85" s="1176"/>
      <c r="N85" s="1178">
        <f>L85+M85*1.15</f>
        <v>0</v>
      </c>
      <c r="O85" s="1047"/>
      <c r="P85" s="1047"/>
      <c r="Q85" s="1176"/>
      <c r="R85" s="1176"/>
      <c r="S85" s="1178">
        <f>Q85+R85*1.15</f>
        <v>0</v>
      </c>
      <c r="T85" s="1047"/>
      <c r="U85" s="1047"/>
      <c r="V85" s="1176"/>
      <c r="W85" s="1176"/>
      <c r="X85" s="1178">
        <f>V85+W85*1.15</f>
        <v>0</v>
      </c>
      <c r="Y85" s="1047"/>
      <c r="Z85" s="1047"/>
      <c r="AA85" s="1176"/>
      <c r="AB85" s="1176"/>
      <c r="AC85" s="1178">
        <f>AA85+AB85*1.15</f>
        <v>0</v>
      </c>
      <c r="AD85" s="1047"/>
      <c r="AE85" s="1047"/>
      <c r="AF85" s="1432"/>
      <c r="AG85" s="1432"/>
      <c r="AH85" s="1480">
        <f>AF85+AG85*1.15</f>
        <v>0</v>
      </c>
      <c r="AI85" s="1476">
        <f t="shared" si="90"/>
        <v>0</v>
      </c>
      <c r="AJ85" s="1476"/>
      <c r="AK85" s="1432"/>
      <c r="AL85" s="1432"/>
      <c r="AM85" s="1480">
        <f>AK85+AL85*1.15</f>
        <v>0</v>
      </c>
      <c r="AN85" s="1476">
        <f t="shared" si="91"/>
        <v>0</v>
      </c>
      <c r="AO85" s="1476"/>
      <c r="AP85" s="1625"/>
      <c r="AQ85" s="1625"/>
      <c r="AR85" s="1765">
        <f>AP85+AQ85*1.15</f>
        <v>0</v>
      </c>
      <c r="AS85" s="1812">
        <f t="shared" si="92"/>
        <v>0</v>
      </c>
      <c r="AT85" s="1812"/>
      <c r="AU85" s="1432"/>
      <c r="AV85" s="1432"/>
      <c r="AW85" s="1480">
        <f>AU85+AV85*1.15</f>
        <v>0</v>
      </c>
      <c r="AX85" s="1476">
        <f t="shared" si="93"/>
        <v>0</v>
      </c>
      <c r="AY85" s="1476"/>
      <c r="AZ85" s="1176"/>
      <c r="BA85" s="1176"/>
      <c r="BB85" s="1178">
        <f>AZ85+BA85*1.15</f>
        <v>0</v>
      </c>
      <c r="BC85" s="1047">
        <f t="shared" si="94"/>
        <v>0</v>
      </c>
      <c r="BD85" s="1047"/>
      <c r="BE85" s="1176"/>
      <c r="BF85" s="1176"/>
      <c r="BG85" s="1178">
        <f>BE85+BF85*1.15</f>
        <v>0</v>
      </c>
      <c r="BH85" s="1047">
        <f t="shared" si="95"/>
        <v>0</v>
      </c>
      <c r="BI85" s="1047"/>
      <c r="BJ85" s="1176">
        <f>G85+L85+Q85+V85+AA85+AF85+AK85</f>
        <v>0</v>
      </c>
      <c r="BK85" s="1176">
        <f>H85+M85+R85+W85+AB85+AL85</f>
        <v>0</v>
      </c>
      <c r="BL85" s="1178">
        <f>BJ85+BK85*1.15</f>
        <v>0</v>
      </c>
      <c r="BM85" s="1047"/>
      <c r="BN85" s="1047"/>
    </row>
    <row r="86" spans="1:66" s="2" customFormat="1" ht="22.95" customHeight="1">
      <c r="A86" s="11"/>
      <c r="B86" s="1191" t="s">
        <v>50</v>
      </c>
      <c r="C86" s="1254">
        <f>C84-C85</f>
        <v>7288898</v>
      </c>
      <c r="D86" s="1254">
        <f>D84-D85</f>
        <v>-3707394</v>
      </c>
      <c r="E86" s="1255">
        <f>E84-E85</f>
        <v>3581504</v>
      </c>
      <c r="F86" s="1256"/>
      <c r="G86" s="1255">
        <v>589835.03300000005</v>
      </c>
      <c r="H86" s="1255">
        <v>-1544083.8499999999</v>
      </c>
      <c r="I86" s="1255">
        <v>-204488.50534969533</v>
      </c>
      <c r="J86" s="1256"/>
      <c r="K86" s="1256"/>
      <c r="L86" s="1255">
        <f>L84-L85</f>
        <v>-350</v>
      </c>
      <c r="M86" s="1255">
        <f>M84-M85</f>
        <v>-17000</v>
      </c>
      <c r="N86" s="1255">
        <f>N84-N85</f>
        <v>-19890.22988505747</v>
      </c>
      <c r="O86" s="1257"/>
      <c r="P86" s="1257"/>
      <c r="Q86" s="1255">
        <f>Q84-Q85</f>
        <v>502475.59400000004</v>
      </c>
      <c r="R86" s="1255">
        <f>R84-R85</f>
        <v>-151050.51</v>
      </c>
      <c r="S86" s="1255">
        <f>S84-S85</f>
        <v>328854.318137931</v>
      </c>
      <c r="T86" s="1257"/>
      <c r="U86" s="1257"/>
      <c r="V86" s="1255">
        <f>V84-V85</f>
        <v>0</v>
      </c>
      <c r="W86" s="1255">
        <f>W84-W85</f>
        <v>0</v>
      </c>
      <c r="X86" s="1255">
        <f>X84-X85</f>
        <v>0</v>
      </c>
      <c r="Y86" s="1257"/>
      <c r="Z86" s="1257"/>
      <c r="AA86" s="1255">
        <f>AA84-AA85</f>
        <v>148742.50600000002</v>
      </c>
      <c r="AB86" s="1255">
        <f>AB84-AB85</f>
        <v>-94140.536999999997</v>
      </c>
      <c r="AC86" s="1255">
        <f>AC84-AC85</f>
        <v>42973.219979857771</v>
      </c>
      <c r="AD86" s="1257"/>
      <c r="AE86" s="1257"/>
      <c r="AF86" s="1519">
        <f>AF84-AF85</f>
        <v>-15500.003999999999</v>
      </c>
      <c r="AG86" s="1519">
        <f>AG84-AG85</f>
        <v>0</v>
      </c>
      <c r="AH86" s="1519">
        <f>AH84-AH85</f>
        <v>-15500.003999999999</v>
      </c>
      <c r="AI86" s="1456"/>
      <c r="AJ86" s="1456"/>
      <c r="AK86" s="1519">
        <f>AK84-AK85</f>
        <v>141866.19200000001</v>
      </c>
      <c r="AL86" s="1519">
        <f>AL84-AL85</f>
        <v>-41032.254000000001</v>
      </c>
      <c r="AM86" s="1519">
        <f>AM84-AM85</f>
        <v>94891.220644455927</v>
      </c>
      <c r="AN86" s="1456"/>
      <c r="AO86" s="1456"/>
      <c r="AP86" s="1815">
        <f>AP84-AP85</f>
        <v>-64920</v>
      </c>
      <c r="AQ86" s="1815">
        <f>AQ84-AQ85</f>
        <v>0</v>
      </c>
      <c r="AR86" s="1815">
        <f>AR84-AR85</f>
        <v>-64920</v>
      </c>
      <c r="AS86" s="1816"/>
      <c r="AT86" s="1816"/>
      <c r="AU86" s="1903">
        <f>AU84-AU85</f>
        <v>-116297.364</v>
      </c>
      <c r="AV86" s="1903">
        <f>AV84-AV85</f>
        <v>0</v>
      </c>
      <c r="AW86" s="1903">
        <f>AW84-AW85</f>
        <v>-116297.364</v>
      </c>
      <c r="AX86" s="1904"/>
      <c r="AY86" s="1904"/>
      <c r="AZ86" s="1255">
        <f>AZ84-AZ85</f>
        <v>0</v>
      </c>
      <c r="BA86" s="1255">
        <f>BA84-BA85</f>
        <v>0</v>
      </c>
      <c r="BB86" s="1255" t="e">
        <f>BB84-BB85</f>
        <v>#DIV/0!</v>
      </c>
      <c r="BC86" s="1257"/>
      <c r="BD86" s="1257"/>
      <c r="BE86" s="1255">
        <f>BE84-BE85</f>
        <v>0</v>
      </c>
      <c r="BF86" s="1255">
        <f>BF84-BF85</f>
        <v>0</v>
      </c>
      <c r="BG86" s="1255" t="e">
        <f>BG84-BG85</f>
        <v>#DIV/0!</v>
      </c>
      <c r="BH86" s="1257"/>
      <c r="BI86" s="1257"/>
      <c r="BJ86" s="1255">
        <f>BJ84-BJ85</f>
        <v>6232409.9869199982</v>
      </c>
      <c r="BK86" s="1255">
        <f>BK84-BK85</f>
        <v>-5321224.4222500008</v>
      </c>
      <c r="BL86" s="1255">
        <f>BL84-BL85</f>
        <v>161920.01952749048</v>
      </c>
      <c r="BM86" s="1257"/>
      <c r="BN86" s="1257"/>
    </row>
    <row r="87" spans="1:66" s="2" customFormat="1" ht="15" customHeight="1" thickBot="1">
      <c r="A87" s="295"/>
      <c r="B87" s="1192" t="s">
        <v>51</v>
      </c>
      <c r="C87" s="1171">
        <f>C86/C5</f>
        <v>0.47665502118525471</v>
      </c>
      <c r="D87" s="1172" t="e">
        <f>D86/D5</f>
        <v>#DIV/0!</v>
      </c>
      <c r="E87" s="1035">
        <f>E86/E5</f>
        <v>0.23421124359197706</v>
      </c>
      <c r="F87" s="1095"/>
      <c r="G87" s="1171">
        <v>4.6116631778134444E-2</v>
      </c>
      <c r="H87" s="1172" t="e">
        <v>#DIV/0!</v>
      </c>
      <c r="I87" s="1035">
        <v>-1.5988065436040273E-2</v>
      </c>
      <c r="J87" s="1227"/>
      <c r="K87" s="1227"/>
      <c r="L87" s="1171" t="e">
        <f>L86/L5</f>
        <v>#DIV/0!</v>
      </c>
      <c r="M87" s="1172" t="e">
        <f>M86/M5</f>
        <v>#DIV/0!</v>
      </c>
      <c r="N87" s="1035" t="e">
        <f>N86/N5</f>
        <v>#DIV/0!</v>
      </c>
      <c r="O87" s="1048"/>
      <c r="P87" s="1048"/>
      <c r="Q87" s="1171">
        <f>Q86/Q5</f>
        <v>0.55847293834341571</v>
      </c>
      <c r="R87" s="1172" t="e">
        <f>R86/R5</f>
        <v>#DIV/0!</v>
      </c>
      <c r="S87" s="1035">
        <f>S86/S5</f>
        <v>0.3655028015896245</v>
      </c>
      <c r="T87" s="1048"/>
      <c r="U87" s="1048"/>
      <c r="V87" s="1171" t="e">
        <f>V86/V5</f>
        <v>#DIV/0!</v>
      </c>
      <c r="W87" s="1172" t="e">
        <f>W86/W5</f>
        <v>#DIV/0!</v>
      </c>
      <c r="X87" s="1035" t="e">
        <f>X86/X5</f>
        <v>#DIV/0!</v>
      </c>
      <c r="Y87" s="1048"/>
      <c r="Z87" s="1048"/>
      <c r="AA87" s="1171">
        <f>AA86/AA5</f>
        <v>0.59717184436391735</v>
      </c>
      <c r="AB87" s="1172" t="e">
        <f>AB86/AB5</f>
        <v>#DIV/0!</v>
      </c>
      <c r="AC87" s="1035">
        <f>AC86/AC5</f>
        <v>0.17252900817489256</v>
      </c>
      <c r="AD87" s="1048"/>
      <c r="AE87" s="1048"/>
      <c r="AF87" s="1524" t="e">
        <f>AF86/AF5</f>
        <v>#DIV/0!</v>
      </c>
      <c r="AG87" s="1520" t="e">
        <f>AG86/AG5</f>
        <v>#DIV/0!</v>
      </c>
      <c r="AH87" s="1370" t="e">
        <f>AH86/AH5</f>
        <v>#DIV/0!</v>
      </c>
      <c r="AI87" s="1365"/>
      <c r="AJ87" s="1365"/>
      <c r="AK87" s="1524">
        <f>AK86/AK5</f>
        <v>0.79065073188011392</v>
      </c>
      <c r="AL87" s="1520" t="e">
        <f>AL86/AL5</f>
        <v>#DIV/0!</v>
      </c>
      <c r="AM87" s="1370">
        <f>AM86/AM5</f>
        <v>0.52884913589233751</v>
      </c>
      <c r="AN87" s="1365"/>
      <c r="AO87" s="1365"/>
      <c r="AP87" s="1817" t="e">
        <f>AP86/AP5</f>
        <v>#DIV/0!</v>
      </c>
      <c r="AQ87" s="1818" t="e">
        <f>AQ86/AQ5</f>
        <v>#DIV/0!</v>
      </c>
      <c r="AR87" s="1391" t="e">
        <f>AR86/AR5</f>
        <v>#DIV/0!</v>
      </c>
      <c r="AS87" s="1392"/>
      <c r="AT87" s="1392"/>
      <c r="AU87" s="1171" t="e">
        <f>AU86/AU5</f>
        <v>#DIV/0!</v>
      </c>
      <c r="AV87" s="1172" t="e">
        <f>AV86/AV5</f>
        <v>#DIV/0!</v>
      </c>
      <c r="AW87" s="1370" t="e">
        <f>AW86/AW5</f>
        <v>#DIV/0!</v>
      </c>
      <c r="AX87" s="1365"/>
      <c r="AY87" s="1365"/>
      <c r="AZ87" s="1171" t="e">
        <f>AZ86/AZ5</f>
        <v>#DIV/0!</v>
      </c>
      <c r="BA87" s="1172" t="e">
        <f>BA86/BA5</f>
        <v>#DIV/0!</v>
      </c>
      <c r="BB87" s="1035" t="e">
        <f>BB86/BB5</f>
        <v>#DIV/0!</v>
      </c>
      <c r="BC87" s="1048"/>
      <c r="BD87" s="1048"/>
      <c r="BE87" s="1171" t="e">
        <f>BE86/BE5</f>
        <v>#DIV/0!</v>
      </c>
      <c r="BF87" s="1172" t="e">
        <f>BF86/BF5</f>
        <v>#DIV/0!</v>
      </c>
      <c r="BG87" s="1035" t="e">
        <f>BG86/BG5</f>
        <v>#DIV/0!</v>
      </c>
      <c r="BH87" s="1048"/>
      <c r="BI87" s="1048"/>
      <c r="BJ87" s="1171">
        <f>BJ86/BJ5</f>
        <v>0.44144161219159528</v>
      </c>
      <c r="BK87" s="1172" t="e">
        <f>BK86/BK5</f>
        <v>#DIV/0!</v>
      </c>
      <c r="BL87" s="1035">
        <f>BL86/BL5</f>
        <v>1.1468795316149267E-2</v>
      </c>
      <c r="BM87" s="1048"/>
      <c r="BN87" s="1048"/>
    </row>
    <row r="88" spans="1:66" ht="13.8">
      <c r="A88" s="30"/>
      <c r="B88" s="30"/>
      <c r="C88" s="152"/>
      <c r="D88" s="152"/>
      <c r="E88" s="152"/>
      <c r="F88" s="188"/>
      <c r="G88" s="188"/>
      <c r="H88" s="188"/>
      <c r="I88" s="188"/>
      <c r="J88" s="188"/>
      <c r="K88" s="188"/>
      <c r="L88" s="76"/>
      <c r="M88" s="76"/>
      <c r="N88" s="76"/>
      <c r="O88" s="76"/>
      <c r="P88" s="76"/>
      <c r="Q88" s="76"/>
      <c r="R88" s="76"/>
      <c r="S88" s="76"/>
      <c r="T88" s="76"/>
      <c r="U88" s="76"/>
      <c r="V88" s="76"/>
      <c r="W88" s="76"/>
      <c r="X88" s="76"/>
      <c r="Y88" s="76"/>
      <c r="Z88" s="76"/>
      <c r="AA88" s="76"/>
      <c r="AB88" s="76"/>
      <c r="AC88" s="76"/>
      <c r="AD88" s="76"/>
      <c r="AE88" s="76"/>
      <c r="AF88" s="1458"/>
      <c r="AG88" s="1458"/>
      <c r="AH88" s="1458"/>
      <c r="AI88" s="1458"/>
      <c r="AJ88" s="1458"/>
      <c r="AK88" s="1458"/>
      <c r="AL88" s="1458"/>
      <c r="AM88" s="1458"/>
      <c r="AN88" s="1458"/>
      <c r="AO88" s="1458"/>
      <c r="AP88" s="1458"/>
      <c r="AQ88" s="1458"/>
      <c r="AR88" s="1458"/>
      <c r="AS88" s="1458"/>
      <c r="AT88" s="1458"/>
      <c r="AU88" s="1458"/>
      <c r="AV88" s="1458"/>
      <c r="AW88" s="1458"/>
      <c r="AX88" s="1458"/>
      <c r="AY88" s="1458"/>
      <c r="AZ88" s="76"/>
      <c r="BA88" s="76"/>
      <c r="BB88" s="76"/>
      <c r="BC88" s="76"/>
      <c r="BD88" s="76"/>
      <c r="BE88" s="76"/>
      <c r="BF88" s="76"/>
      <c r="BG88" s="76"/>
      <c r="BH88" s="76"/>
      <c r="BI88" s="76"/>
      <c r="BJ88" s="76"/>
      <c r="BK88" s="76"/>
      <c r="BL88" s="76"/>
      <c r="BM88" s="76"/>
      <c r="BN88" s="76"/>
    </row>
    <row r="89" spans="1:66">
      <c r="B89" s="221" t="s">
        <v>56</v>
      </c>
      <c r="C89" s="153"/>
      <c r="D89" s="153"/>
      <c r="E89" s="154">
        <f>E8+E36+E41+E50+E54+E73+E79+E82+E85</f>
        <v>11710264</v>
      </c>
      <c r="F89" s="154"/>
      <c r="G89" s="154"/>
      <c r="H89" s="154"/>
      <c r="I89" s="154">
        <v>12994560.335349694</v>
      </c>
      <c r="J89" s="154"/>
      <c r="K89" s="154"/>
      <c r="L89" s="154"/>
      <c r="M89" s="154"/>
      <c r="N89" s="154">
        <f>N8+N36+N41+N50+N54+N73+N79+N82+N85</f>
        <v>19890.22988505747</v>
      </c>
      <c r="O89" s="154"/>
      <c r="P89" s="154"/>
      <c r="Q89" s="154"/>
      <c r="R89" s="154"/>
      <c r="S89" s="154">
        <f>S8+S36+S41+S50+S54+S73+S79+S82+S85</f>
        <v>570877.00186206901</v>
      </c>
      <c r="X89" s="154">
        <f>X8+X36+X41+X50+X54+X73+X79+X82+X85</f>
        <v>0</v>
      </c>
      <c r="AC89" s="154">
        <f>AC8+AC36+AC41+AC50+AC54+AC73+AC79+AC82+AC85</f>
        <v>206105.01002014225</v>
      </c>
      <c r="AH89" s="1523">
        <f>AH8+AH36+AH41+AH50+AH54+AH73+AH79+AH82+AH85</f>
        <v>15500.003999999999</v>
      </c>
      <c r="AM89" s="1523">
        <f>AM8+AM36+AM41+AM50+AM54+AM73+AM79+AM82+AM85</f>
        <v>84538.439355544077</v>
      </c>
      <c r="AR89" s="1819">
        <f>AR8+AR36+AR41+AR50+AR54+AR73+AR79+AR82+AR85</f>
        <v>64920</v>
      </c>
      <c r="AW89" s="1523">
        <f>AW8+AW36+AW41+AW50+AW54+AW73+AW79+AW82+AW85</f>
        <v>116297.364</v>
      </c>
      <c r="BB89" s="154" t="e">
        <f>BB8+BB36+BB41+BB50+BB54+BB73+BB79+BB82+BB85</f>
        <v>#DIV/0!</v>
      </c>
      <c r="BG89" s="154" t="e">
        <f>BG8+BG36+BG41+BG50+BG54+BG73+BG79+BG82+BG85</f>
        <v>#DIV/0!</v>
      </c>
      <c r="BL89" s="154">
        <f>BL8+BL36+BL41+BL50+BL54+BL73+BL79+BL82+BL85</f>
        <v>13956391.02047251</v>
      </c>
    </row>
    <row r="90" spans="1:66" s="1340" customFormat="1">
      <c r="A90" s="1336"/>
      <c r="B90" s="1336"/>
      <c r="C90" s="1341"/>
      <c r="D90" s="1341"/>
      <c r="E90" s="1341"/>
      <c r="F90" s="1337"/>
      <c r="G90" s="1337"/>
      <c r="H90" s="1337"/>
      <c r="I90" s="1337" t="b">
        <v>1</v>
      </c>
      <c r="J90" s="1337"/>
      <c r="K90" s="1337"/>
      <c r="L90" s="1337"/>
      <c r="M90" s="1337"/>
      <c r="N90" s="1337"/>
      <c r="O90" s="1337"/>
      <c r="P90" s="1337"/>
      <c r="Q90" s="1337"/>
      <c r="R90" s="1337"/>
      <c r="S90" s="1337"/>
      <c r="T90" s="1337"/>
      <c r="U90" s="1337"/>
      <c r="V90" s="1337"/>
      <c r="W90" s="1337"/>
      <c r="X90" s="1337"/>
      <c r="Y90" s="1337"/>
      <c r="Z90" s="1337"/>
      <c r="AA90" s="1337"/>
      <c r="AB90" s="1337"/>
      <c r="AC90" s="1337"/>
      <c r="AD90" s="1337"/>
      <c r="AE90" s="1337"/>
      <c r="AF90" s="1856"/>
      <c r="AG90" s="1856"/>
      <c r="AH90" s="1856"/>
      <c r="AI90" s="1856"/>
      <c r="AJ90" s="1856"/>
      <c r="AK90" s="1856"/>
      <c r="AL90" s="1856"/>
      <c r="AM90" s="1856"/>
      <c r="AN90" s="1856"/>
      <c r="AO90" s="1856"/>
      <c r="AP90" s="1856"/>
      <c r="AQ90" s="1856"/>
      <c r="AR90" s="1856"/>
      <c r="AS90" s="1856"/>
      <c r="AT90" s="1856"/>
      <c r="AU90" s="1856"/>
      <c r="AV90" s="1856"/>
      <c r="AW90" s="1856"/>
      <c r="AX90" s="1856"/>
      <c r="AY90" s="1856"/>
      <c r="AZ90" s="1337"/>
      <c r="BA90" s="1337"/>
      <c r="BB90" s="1337"/>
      <c r="BC90" s="1337"/>
      <c r="BD90" s="1337"/>
      <c r="BE90" s="1337"/>
      <c r="BF90" s="1337"/>
      <c r="BG90" s="1337"/>
      <c r="BH90" s="1337"/>
      <c r="BI90" s="1337"/>
      <c r="BJ90" s="1337"/>
      <c r="BK90" s="1337"/>
      <c r="BL90" s="1592" t="b">
        <f>(N89+I89+S89+X89+AC89+AH89+AM89+AR89)=BL89</f>
        <v>1</v>
      </c>
      <c r="BM90" s="1337"/>
      <c r="BN90" s="1337"/>
    </row>
    <row r="91" spans="1:66"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1431"/>
      <c r="AG91" s="1431"/>
      <c r="AH91" s="1431"/>
      <c r="AI91" s="1431"/>
      <c r="AJ91" s="1431"/>
      <c r="AK91" s="1431"/>
      <c r="AL91" s="1431"/>
      <c r="AM91" s="1431"/>
      <c r="AN91" s="1431"/>
      <c r="AO91" s="1431"/>
      <c r="AP91" s="1586"/>
      <c r="AQ91" s="1586"/>
      <c r="AR91" s="1586"/>
      <c r="AS91" s="1586"/>
      <c r="AT91" s="1586"/>
      <c r="AU91" s="1431"/>
      <c r="AV91" s="1431"/>
      <c r="AW91" s="1431"/>
      <c r="AX91" s="1431"/>
      <c r="AY91" s="1431"/>
      <c r="AZ91" s="38"/>
      <c r="BA91" s="38"/>
      <c r="BB91" s="38"/>
      <c r="BC91" s="38"/>
      <c r="BD91" s="38"/>
      <c r="BE91" s="38"/>
      <c r="BF91" s="38"/>
      <c r="BG91" s="38"/>
      <c r="BH91" s="38"/>
      <c r="BI91" s="38"/>
      <c r="BJ91" s="38"/>
      <c r="BK91" s="38"/>
      <c r="BL91" s="38"/>
      <c r="BM91" s="38"/>
      <c r="BN91" s="38"/>
    </row>
    <row r="92" spans="1:66">
      <c r="C92" s="38"/>
      <c r="D92" s="38"/>
    </row>
    <row r="93" spans="1:66"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1431"/>
      <c r="AG93" s="1431"/>
      <c r="AH93" s="1431"/>
      <c r="AI93" s="1431"/>
      <c r="AJ93" s="1431"/>
      <c r="AK93" s="1431"/>
      <c r="AL93" s="1431"/>
      <c r="AM93" s="1431"/>
      <c r="AN93" s="1431"/>
      <c r="AO93" s="1431"/>
      <c r="AP93" s="1586"/>
      <c r="AQ93" s="1586"/>
      <c r="AR93" s="1586"/>
      <c r="AS93" s="1586"/>
      <c r="AT93" s="1586"/>
      <c r="AU93" s="1431"/>
      <c r="AV93" s="1431"/>
      <c r="AW93" s="1431"/>
      <c r="AX93" s="1431"/>
      <c r="AY93" s="1431"/>
      <c r="AZ93" s="38"/>
      <c r="BA93" s="38"/>
      <c r="BB93" s="38"/>
      <c r="BC93" s="38"/>
      <c r="BD93" s="38"/>
      <c r="BE93" s="38"/>
      <c r="BF93" s="38"/>
      <c r="BG93" s="38"/>
      <c r="BH93" s="38"/>
      <c r="BI93" s="38"/>
      <c r="BJ93" s="38"/>
      <c r="BK93" s="38"/>
      <c r="BL93" s="38"/>
      <c r="BM93" s="38"/>
      <c r="BN93" s="38"/>
    </row>
    <row r="94" spans="1:66" s="2" customFormat="1">
      <c r="A94" s="8"/>
      <c r="B94" s="8"/>
      <c r="C94" s="38"/>
      <c r="D94" s="38"/>
      <c r="E94" s="38"/>
      <c r="F94" s="38"/>
      <c r="G94" s="38"/>
      <c r="H94" s="38"/>
      <c r="I94" s="38"/>
      <c r="J94" s="38"/>
      <c r="K94" s="38"/>
      <c r="L94" s="38"/>
      <c r="M94" s="38"/>
      <c r="N94" s="38"/>
      <c r="O94" s="38"/>
      <c r="P94" s="38"/>
      <c r="Q94" s="626"/>
      <c r="R94" s="38"/>
      <c r="S94" s="38"/>
      <c r="T94" s="38"/>
      <c r="U94" s="38"/>
      <c r="V94" s="38"/>
      <c r="W94" s="38"/>
      <c r="X94" s="686">
        <f>X5-X89</f>
        <v>0</v>
      </c>
      <c r="Y94" s="38"/>
      <c r="Z94" s="38"/>
      <c r="AA94" s="38"/>
      <c r="AB94" s="38"/>
      <c r="AC94" s="686">
        <f>AC5-AC89</f>
        <v>42973.219979857764</v>
      </c>
      <c r="AD94" s="38"/>
      <c r="AE94" s="38"/>
      <c r="AF94" s="1431"/>
      <c r="AG94" s="1431"/>
      <c r="AH94" s="1666">
        <f>AH5-AH89</f>
        <v>-15500.003999999999</v>
      </c>
      <c r="AI94" s="1431"/>
      <c r="AJ94" s="1431"/>
      <c r="AK94" s="1431"/>
      <c r="AL94" s="1431"/>
      <c r="AM94" s="1431"/>
      <c r="AN94" s="1431"/>
      <c r="AO94" s="1431"/>
      <c r="AP94" s="1586"/>
      <c r="AQ94" s="1586"/>
      <c r="AR94" s="1586"/>
      <c r="AS94" s="1586"/>
      <c r="AT94" s="1586"/>
      <c r="AU94" s="1431"/>
      <c r="AV94" s="1431"/>
      <c r="AW94" s="1431"/>
      <c r="AX94" s="1431"/>
      <c r="AY94" s="1431"/>
      <c r="AZ94" s="38"/>
      <c r="BA94" s="38"/>
      <c r="BB94" s="38"/>
      <c r="BC94" s="38"/>
      <c r="BD94" s="38"/>
      <c r="BE94" s="38"/>
      <c r="BF94" s="38"/>
      <c r="BG94" s="38"/>
      <c r="BH94" s="38"/>
      <c r="BI94" s="38"/>
      <c r="BJ94" s="626"/>
      <c r="BK94" s="38"/>
      <c r="BL94" s="686">
        <f>BL5-BL89</f>
        <v>161920.01952748932</v>
      </c>
      <c r="BM94" s="38"/>
      <c r="BN94" s="38"/>
    </row>
    <row r="95" spans="1:66" s="2" customFormat="1">
      <c r="A95" s="8"/>
      <c r="B95" s="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722"/>
      <c r="AE95" s="38"/>
      <c r="AF95" s="1431"/>
      <c r="AG95" s="1431"/>
      <c r="AH95" s="1431"/>
      <c r="AI95" s="1431"/>
      <c r="AJ95" s="1431"/>
      <c r="AK95" s="1431"/>
      <c r="AL95" s="1431"/>
      <c r="AM95" s="1431"/>
      <c r="AN95" s="1431"/>
      <c r="AO95" s="1431"/>
      <c r="AP95" s="1586"/>
      <c r="AQ95" s="1586"/>
      <c r="AR95" s="1586"/>
      <c r="AS95" s="1586"/>
      <c r="AT95" s="1586"/>
      <c r="AU95" s="1431"/>
      <c r="AV95" s="1431"/>
      <c r="AW95" s="1431"/>
      <c r="AX95" s="1431"/>
      <c r="AY95" s="1431"/>
      <c r="AZ95" s="38"/>
      <c r="BA95" s="38"/>
      <c r="BB95" s="38"/>
      <c r="BC95" s="38"/>
      <c r="BD95" s="38"/>
      <c r="BE95" s="38"/>
      <c r="BF95" s="38"/>
      <c r="BG95" s="38"/>
      <c r="BH95" s="38"/>
      <c r="BI95" s="38"/>
      <c r="BJ95" s="38"/>
      <c r="BK95" s="38"/>
      <c r="BL95" s="38"/>
      <c r="BM95" s="38"/>
      <c r="BN95" s="38"/>
    </row>
    <row r="96" spans="1:66"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722"/>
      <c r="AE96" s="38"/>
      <c r="AF96" s="1431"/>
      <c r="AG96" s="1431"/>
      <c r="AH96" s="1431"/>
      <c r="AI96" s="1431"/>
      <c r="AJ96" s="1431"/>
      <c r="AK96" s="1431"/>
      <c r="AL96" s="1431"/>
      <c r="AM96" s="1431"/>
      <c r="AN96" s="1431"/>
      <c r="AO96" s="1431"/>
      <c r="AP96" s="1586"/>
      <c r="AQ96" s="1586"/>
      <c r="AR96" s="1586"/>
      <c r="AS96" s="1586"/>
      <c r="AT96" s="1586"/>
      <c r="AU96" s="1431"/>
      <c r="AV96" s="1431"/>
      <c r="AW96" s="1431"/>
      <c r="AX96" s="1431"/>
      <c r="AY96" s="1431"/>
      <c r="AZ96" s="38"/>
      <c r="BA96" s="38"/>
      <c r="BB96" s="38"/>
      <c r="BC96" s="38"/>
      <c r="BD96" s="38"/>
      <c r="BE96" s="38"/>
      <c r="BF96" s="38"/>
      <c r="BG96" s="38"/>
      <c r="BH96" s="38"/>
      <c r="BI96" s="38"/>
      <c r="BJ96" s="38"/>
      <c r="BK96" s="38"/>
      <c r="BL96" s="38"/>
      <c r="BM96" s="38"/>
      <c r="BN96" s="38"/>
    </row>
    <row r="97" spans="1:66">
      <c r="C97" s="38"/>
      <c r="D97" s="38"/>
      <c r="AD97" s="722"/>
    </row>
    <row r="98" spans="1:66"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1431"/>
      <c r="AG98" s="1431"/>
      <c r="AH98" s="1431"/>
      <c r="AI98" s="1431"/>
      <c r="AJ98" s="1431"/>
      <c r="AK98" s="1431"/>
      <c r="AL98" s="1431"/>
      <c r="AM98" s="1431"/>
      <c r="AN98" s="1431"/>
      <c r="AO98" s="1431"/>
      <c r="AP98" s="1586"/>
      <c r="AQ98" s="1586"/>
      <c r="AR98" s="1586"/>
      <c r="AS98" s="1586"/>
      <c r="AT98" s="1586"/>
      <c r="AU98" s="1431"/>
      <c r="AV98" s="1431"/>
      <c r="AW98" s="1431"/>
      <c r="AX98" s="1431"/>
      <c r="AY98" s="1431"/>
      <c r="AZ98" s="38"/>
      <c r="BA98" s="38"/>
      <c r="BB98" s="38"/>
      <c r="BC98" s="38"/>
      <c r="BD98" s="38"/>
      <c r="BE98" s="38"/>
      <c r="BF98" s="38"/>
      <c r="BG98" s="38"/>
      <c r="BH98" s="38"/>
      <c r="BI98" s="38"/>
      <c r="BJ98" s="38"/>
      <c r="BK98" s="38"/>
      <c r="BL98" s="38"/>
      <c r="BM98" s="38"/>
      <c r="BN98" s="38"/>
    </row>
    <row r="99" spans="1:66">
      <c r="C99" s="38"/>
      <c r="D99" s="38"/>
    </row>
  </sheetData>
  <mergeCells count="15">
    <mergeCell ref="AF2:AJ3"/>
    <mergeCell ref="A3:F3"/>
    <mergeCell ref="A42:A48"/>
    <mergeCell ref="A2:F2"/>
    <mergeCell ref="V2:Z3"/>
    <mergeCell ref="G2:K3"/>
    <mergeCell ref="L2:P3"/>
    <mergeCell ref="Q2:U3"/>
    <mergeCell ref="AA2:AE3"/>
    <mergeCell ref="BJ2:BN3"/>
    <mergeCell ref="AK2:AO3"/>
    <mergeCell ref="AP2:AT3"/>
    <mergeCell ref="AU2:AY3"/>
    <mergeCell ref="AZ2:BD3"/>
    <mergeCell ref="BE2:BI3"/>
  </mergeCells>
  <pageMargins left="0.39370078740157483" right="0.19685039370078741" top="0.19685039370078741" bottom="0.19685039370078741" header="0.11811023622047245" footer="0.11811023622047245"/>
  <pageSetup paperSize="9" scale="10" orientation="portrait" horizontalDpi="4294967295" verticalDpi="4294967295"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177D7"/>
  </sheetPr>
  <dimension ref="A1:CB99"/>
  <sheetViews>
    <sheetView zoomScale="85" zoomScaleNormal="85" workbookViewId="0">
      <pane xSplit="2" ySplit="5" topLeftCell="BE51"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1" outlineLevelCol="1"/>
  <cols>
    <col min="1" max="1" width="5.5546875" style="8" customWidth="1"/>
    <col min="2" max="2" width="52.33203125" style="8" customWidth="1"/>
    <col min="3" max="3" width="14.6640625" style="77" hidden="1" customWidth="1"/>
    <col min="4" max="4" width="15.44140625" style="77" hidden="1" customWidth="1"/>
    <col min="5" max="5" width="15.33203125" style="38" hidden="1" customWidth="1"/>
    <col min="6" max="6" width="9.5546875" style="38" hidden="1" customWidth="1"/>
    <col min="7" max="7" width="15.6640625" style="38" customWidth="1"/>
    <col min="8" max="8" width="15.33203125" style="38" customWidth="1"/>
    <col min="9" max="9" width="14.33203125" style="38" customWidth="1"/>
    <col min="10" max="11" width="9.5546875" style="38" customWidth="1"/>
    <col min="12" max="14" width="16.33203125" style="38" hidden="1" customWidth="1" outlineLevel="1"/>
    <col min="15" max="15" width="9" style="38" hidden="1" customWidth="1" outlineLevel="1"/>
    <col min="16" max="16" width="37.5546875" style="38" hidden="1" customWidth="1" outlineLevel="1"/>
    <col min="17" max="18" width="16.44140625" style="38" hidden="1" customWidth="1" outlineLevel="1"/>
    <col min="19" max="19" width="15.88671875" style="38" hidden="1" customWidth="1" outlineLevel="1"/>
    <col min="20" max="20" width="12" style="38" hidden="1" customWidth="1" outlineLevel="1"/>
    <col min="21" max="21" width="37.44140625" style="38" hidden="1" customWidth="1" outlineLevel="1"/>
    <col min="22" max="22" width="21.6640625" style="38" hidden="1" customWidth="1" outlineLevel="1" collapsed="1"/>
    <col min="23" max="23" width="18.6640625" style="38" hidden="1" customWidth="1" outlineLevel="1"/>
    <col min="24" max="24" width="16.88671875" style="38" hidden="1" customWidth="1" outlineLevel="1"/>
    <col min="25" max="25" width="18" style="38" hidden="1" customWidth="1" outlineLevel="1"/>
    <col min="26" max="26" width="59.44140625" style="38" hidden="1" customWidth="1" outlineLevel="1"/>
    <col min="27" max="27" width="15.33203125" style="38" hidden="1" customWidth="1" outlineLevel="1" collapsed="1"/>
    <col min="28" max="31" width="15.33203125" style="38" hidden="1" customWidth="1" outlineLevel="1"/>
    <col min="32" max="32" width="15.33203125" style="1431" hidden="1" customWidth="1" outlineLevel="1" collapsed="1"/>
    <col min="33" max="35" width="15.33203125" style="1431" hidden="1" customWidth="1" outlineLevel="1"/>
    <col min="36" max="36" width="39.33203125" style="1431" hidden="1" customWidth="1" outlineLevel="1"/>
    <col min="37" max="37" width="15.33203125" style="1431" hidden="1" customWidth="1" outlineLevel="1" collapsed="1"/>
    <col min="38" max="44" width="15.33203125" style="1431" hidden="1" customWidth="1" outlineLevel="1"/>
    <col min="45" max="45" width="19.33203125" style="1431" hidden="1" customWidth="1" outlineLevel="1"/>
    <col min="46" max="46" width="15.33203125" style="1431" hidden="1" customWidth="1" outlineLevel="1"/>
    <col min="47" max="56" width="15.33203125" style="1952" hidden="1" customWidth="1" outlineLevel="1"/>
    <col min="57" max="57" width="15.33203125" style="1952" customWidth="1" collapsed="1"/>
    <col min="58" max="61" width="15.33203125" style="1952" customWidth="1"/>
    <col min="62" max="71" width="15.33203125" style="1952" hidden="1" customWidth="1" outlineLevel="1"/>
    <col min="72" max="72" width="17" style="1952" bestFit="1" customWidth="1" collapsed="1"/>
    <col min="73" max="73" width="17" style="1952" bestFit="1" customWidth="1"/>
    <col min="74" max="76" width="15.33203125" style="1952" customWidth="1"/>
    <col min="77" max="78" width="15.33203125" style="1" bestFit="1" customWidth="1"/>
    <col min="79" max="79" width="12.44140625" style="1" bestFit="1" customWidth="1"/>
    <col min="80" max="80" width="15.88671875" style="1" customWidth="1"/>
    <col min="81" max="16384" width="7.44140625" style="1"/>
  </cols>
  <sheetData>
    <row r="1" spans="1:80" ht="13.8" thickBot="1">
      <c r="C1" s="38"/>
      <c r="D1" s="38"/>
    </row>
    <row r="2" spans="1:80" ht="14.4" customHeight="1">
      <c r="A2" s="4834" t="s">
        <v>467</v>
      </c>
      <c r="B2" s="4835"/>
      <c r="C2" s="4835"/>
      <c r="D2" s="4835"/>
      <c r="E2" s="4835"/>
      <c r="F2" s="4836"/>
      <c r="G2" s="4834" t="s">
        <v>969</v>
      </c>
      <c r="H2" s="4835"/>
      <c r="I2" s="4835"/>
      <c r="J2" s="4835"/>
      <c r="K2" s="4836"/>
      <c r="L2" s="4973" t="s">
        <v>970</v>
      </c>
      <c r="M2" s="4974"/>
      <c r="N2" s="4974"/>
      <c r="O2" s="4974"/>
      <c r="P2" s="4975"/>
      <c r="Q2" s="4837" t="s">
        <v>1007</v>
      </c>
      <c r="R2" s="4838"/>
      <c r="S2" s="4838"/>
      <c r="T2" s="4838"/>
      <c r="U2" s="4953"/>
      <c r="V2" s="4837" t="s">
        <v>1062</v>
      </c>
      <c r="W2" s="4838"/>
      <c r="X2" s="4838"/>
      <c r="Y2" s="4838"/>
      <c r="Z2" s="4953"/>
      <c r="AA2" s="4892" t="s">
        <v>1066</v>
      </c>
      <c r="AB2" s="4893"/>
      <c r="AC2" s="4893"/>
      <c r="AD2" s="4893"/>
      <c r="AE2" s="1174"/>
      <c r="AF2" s="4886" t="s">
        <v>1107</v>
      </c>
      <c r="AG2" s="4887"/>
      <c r="AH2" s="4887"/>
      <c r="AI2" s="4887"/>
      <c r="AJ2" s="4888"/>
      <c r="AK2" s="4922" t="s">
        <v>1155</v>
      </c>
      <c r="AL2" s="4923"/>
      <c r="AM2" s="4923"/>
      <c r="AN2" s="4923"/>
      <c r="AO2" s="4924"/>
      <c r="AP2" s="4955" t="s">
        <v>1193</v>
      </c>
      <c r="AQ2" s="4956"/>
      <c r="AR2" s="4956"/>
      <c r="AS2" s="4956"/>
      <c r="AT2" s="4957"/>
      <c r="AU2" s="4934" t="s">
        <v>1232</v>
      </c>
      <c r="AV2" s="4935"/>
      <c r="AW2" s="4935"/>
      <c r="AX2" s="4935"/>
      <c r="AY2" s="4936"/>
      <c r="AZ2" s="4898" t="s">
        <v>1270</v>
      </c>
      <c r="BA2" s="4899"/>
      <c r="BB2" s="4899"/>
      <c r="BC2" s="4899"/>
      <c r="BD2" s="4900"/>
      <c r="BE2" s="4904" t="s">
        <v>1293</v>
      </c>
      <c r="BF2" s="4905"/>
      <c r="BG2" s="4905"/>
      <c r="BH2" s="4905"/>
      <c r="BI2" s="4906"/>
      <c r="BJ2" s="4910"/>
      <c r="BK2" s="4911"/>
      <c r="BL2" s="4911"/>
      <c r="BM2" s="4911"/>
      <c r="BN2" s="4912"/>
      <c r="BO2" s="4910"/>
      <c r="BP2" s="4911"/>
      <c r="BQ2" s="4911"/>
      <c r="BR2" s="4911"/>
      <c r="BS2" s="4912"/>
      <c r="BT2" s="4982" t="s">
        <v>469</v>
      </c>
      <c r="BU2" s="4983"/>
      <c r="BV2" s="4983"/>
      <c r="BW2" s="4983"/>
      <c r="BX2" s="4984"/>
    </row>
    <row r="3" spans="1:80" ht="15" customHeight="1" thickBot="1">
      <c r="A3" s="4853" t="s">
        <v>54</v>
      </c>
      <c r="B3" s="4854"/>
      <c r="C3" s="4854"/>
      <c r="D3" s="4854"/>
      <c r="E3" s="4854"/>
      <c r="F3" s="4855"/>
      <c r="G3" s="4979"/>
      <c r="H3" s="4980"/>
      <c r="I3" s="4980"/>
      <c r="J3" s="4980"/>
      <c r="K3" s="4981"/>
      <c r="L3" s="4976"/>
      <c r="M3" s="4977"/>
      <c r="N3" s="4977"/>
      <c r="O3" s="4977"/>
      <c r="P3" s="4978"/>
      <c r="Q3" s="4839"/>
      <c r="R3" s="4840"/>
      <c r="S3" s="4840"/>
      <c r="T3" s="4840"/>
      <c r="U3" s="4954"/>
      <c r="V3" s="4839"/>
      <c r="W3" s="4840"/>
      <c r="X3" s="4840"/>
      <c r="Y3" s="4840"/>
      <c r="Z3" s="4954"/>
      <c r="AA3" s="4895"/>
      <c r="AB3" s="4896"/>
      <c r="AC3" s="4896"/>
      <c r="AD3" s="4896"/>
      <c r="AE3" s="1175"/>
      <c r="AF3" s="4889"/>
      <c r="AG3" s="4890"/>
      <c r="AH3" s="4890"/>
      <c r="AI3" s="4890"/>
      <c r="AJ3" s="4891"/>
      <c r="AK3" s="4925"/>
      <c r="AL3" s="4926"/>
      <c r="AM3" s="4926"/>
      <c r="AN3" s="4926"/>
      <c r="AO3" s="4927"/>
      <c r="AP3" s="4958"/>
      <c r="AQ3" s="4959"/>
      <c r="AR3" s="4959"/>
      <c r="AS3" s="4959"/>
      <c r="AT3" s="4960"/>
      <c r="AU3" s="4937"/>
      <c r="AV3" s="4938"/>
      <c r="AW3" s="4938"/>
      <c r="AX3" s="4938"/>
      <c r="AY3" s="4939"/>
      <c r="AZ3" s="4901"/>
      <c r="BA3" s="4902"/>
      <c r="BB3" s="4902"/>
      <c r="BC3" s="4902"/>
      <c r="BD3" s="4903"/>
      <c r="BE3" s="4907"/>
      <c r="BF3" s="4908"/>
      <c r="BG3" s="4908"/>
      <c r="BH3" s="4908"/>
      <c r="BI3" s="4909"/>
      <c r="BJ3" s="4913"/>
      <c r="BK3" s="4914"/>
      <c r="BL3" s="4914"/>
      <c r="BM3" s="4914"/>
      <c r="BN3" s="4915"/>
      <c r="BO3" s="4913"/>
      <c r="BP3" s="4914"/>
      <c r="BQ3" s="4914"/>
      <c r="BR3" s="4914"/>
      <c r="BS3" s="4915"/>
      <c r="BT3" s="4985"/>
      <c r="BU3" s="4986"/>
      <c r="BV3" s="4986"/>
      <c r="BW3" s="4986"/>
      <c r="BX3" s="4987"/>
    </row>
    <row r="4" spans="1:80" ht="41.4" thickBot="1">
      <c r="A4" s="724"/>
      <c r="B4" s="93" t="s">
        <v>11</v>
      </c>
      <c r="C4" s="725" t="s">
        <v>55</v>
      </c>
      <c r="D4" s="725" t="s">
        <v>18</v>
      </c>
      <c r="E4" s="726" t="s">
        <v>39</v>
      </c>
      <c r="F4" s="654" t="s">
        <v>40</v>
      </c>
      <c r="G4" s="954" t="s">
        <v>968</v>
      </c>
      <c r="H4" s="954" t="s">
        <v>18</v>
      </c>
      <c r="I4" s="954" t="s">
        <v>39</v>
      </c>
      <c r="J4" s="954" t="s">
        <v>40</v>
      </c>
      <c r="K4" s="954"/>
      <c r="L4" s="632" t="s">
        <v>55</v>
      </c>
      <c r="M4" s="632" t="s">
        <v>18</v>
      </c>
      <c r="N4" s="653" t="s">
        <v>39</v>
      </c>
      <c r="O4" s="654" t="s">
        <v>40</v>
      </c>
      <c r="P4" s="653" t="s">
        <v>19</v>
      </c>
      <c r="Q4" s="632" t="s">
        <v>55</v>
      </c>
      <c r="R4" s="632" t="s">
        <v>18</v>
      </c>
      <c r="S4" s="653" t="s">
        <v>39</v>
      </c>
      <c r="T4" s="654" t="s">
        <v>40</v>
      </c>
      <c r="U4" s="653" t="s">
        <v>19</v>
      </c>
      <c r="V4" s="632" t="s">
        <v>55</v>
      </c>
      <c r="W4" s="632" t="s">
        <v>18</v>
      </c>
      <c r="X4" s="653" t="s">
        <v>39</v>
      </c>
      <c r="Y4" s="654" t="s">
        <v>40</v>
      </c>
      <c r="Z4" s="653" t="s">
        <v>19</v>
      </c>
      <c r="AA4" s="632" t="s">
        <v>55</v>
      </c>
      <c r="AB4" s="632" t="s">
        <v>18</v>
      </c>
      <c r="AC4" s="653" t="s">
        <v>39</v>
      </c>
      <c r="AD4" s="654" t="s">
        <v>40</v>
      </c>
      <c r="AE4" s="653" t="s">
        <v>19</v>
      </c>
      <c r="AF4" s="1473" t="s">
        <v>55</v>
      </c>
      <c r="AG4" s="1473" t="s">
        <v>18</v>
      </c>
      <c r="AH4" s="1474" t="s">
        <v>39</v>
      </c>
      <c r="AI4" s="1745" t="s">
        <v>40</v>
      </c>
      <c r="AJ4" s="1474" t="s">
        <v>19</v>
      </c>
      <c r="AK4" s="1473" t="s">
        <v>55</v>
      </c>
      <c r="AL4" s="1473" t="s">
        <v>18</v>
      </c>
      <c r="AM4" s="1474" t="s">
        <v>39</v>
      </c>
      <c r="AN4" s="1551" t="s">
        <v>40</v>
      </c>
      <c r="AO4" s="1474" t="s">
        <v>19</v>
      </c>
      <c r="AP4" s="1473" t="s">
        <v>55</v>
      </c>
      <c r="AQ4" s="1473" t="s">
        <v>18</v>
      </c>
      <c r="AR4" s="1474" t="s">
        <v>39</v>
      </c>
      <c r="AS4" s="1575" t="s">
        <v>40</v>
      </c>
      <c r="AT4" s="1474" t="s">
        <v>19</v>
      </c>
      <c r="AU4" s="1956" t="s">
        <v>55</v>
      </c>
      <c r="AV4" s="1956" t="s">
        <v>18</v>
      </c>
      <c r="AW4" s="1474" t="s">
        <v>39</v>
      </c>
      <c r="AX4" s="1962" t="s">
        <v>40</v>
      </c>
      <c r="AY4" s="1474" t="s">
        <v>19</v>
      </c>
      <c r="AZ4" s="1956" t="s">
        <v>55</v>
      </c>
      <c r="BA4" s="1956" t="s">
        <v>18</v>
      </c>
      <c r="BB4" s="1474" t="s">
        <v>39</v>
      </c>
      <c r="BC4" s="1962" t="s">
        <v>40</v>
      </c>
      <c r="BD4" s="1474" t="s">
        <v>19</v>
      </c>
      <c r="BE4" s="1956" t="s">
        <v>55</v>
      </c>
      <c r="BF4" s="1956" t="s">
        <v>18</v>
      </c>
      <c r="BG4" s="1474" t="s">
        <v>39</v>
      </c>
      <c r="BH4" s="1962" t="s">
        <v>40</v>
      </c>
      <c r="BI4" s="1474" t="s">
        <v>19</v>
      </c>
      <c r="BJ4" s="1956" t="s">
        <v>55</v>
      </c>
      <c r="BK4" s="1956" t="s">
        <v>18</v>
      </c>
      <c r="BL4" s="1474" t="s">
        <v>39</v>
      </c>
      <c r="BM4" s="1962" t="s">
        <v>40</v>
      </c>
      <c r="BN4" s="1474" t="s">
        <v>19</v>
      </c>
      <c r="BO4" s="1956" t="s">
        <v>55</v>
      </c>
      <c r="BP4" s="1956" t="s">
        <v>18</v>
      </c>
      <c r="BQ4" s="1474" t="s">
        <v>39</v>
      </c>
      <c r="BR4" s="1962" t="s">
        <v>40</v>
      </c>
      <c r="BS4" s="1474" t="s">
        <v>19</v>
      </c>
      <c r="BT4" s="1956" t="s">
        <v>55</v>
      </c>
      <c r="BU4" s="1956" t="s">
        <v>18</v>
      </c>
      <c r="BV4" s="1474" t="s">
        <v>39</v>
      </c>
      <c r="BW4" s="1962" t="s">
        <v>40</v>
      </c>
      <c r="BX4" s="1474" t="s">
        <v>19</v>
      </c>
    </row>
    <row r="5" spans="1:80" s="88" customFormat="1" ht="14.4" customHeight="1" thickBot="1">
      <c r="A5" s="83"/>
      <c r="B5" s="617" t="s">
        <v>10</v>
      </c>
      <c r="C5" s="684">
        <f>C6</f>
        <v>27580895.899999999</v>
      </c>
      <c r="D5" s="684">
        <f>D6</f>
        <v>0</v>
      </c>
      <c r="E5" s="655">
        <f>E6</f>
        <v>27580895.899999999</v>
      </c>
      <c r="F5" s="620"/>
      <c r="G5" s="620">
        <v>29246800.590000004</v>
      </c>
      <c r="H5" s="620">
        <v>0</v>
      </c>
      <c r="I5" s="620">
        <v>29246800.590000004</v>
      </c>
      <c r="J5" s="620"/>
      <c r="K5" s="620"/>
      <c r="L5" s="620">
        <f>L6</f>
        <v>0</v>
      </c>
      <c r="M5" s="620">
        <f>M6</f>
        <v>0</v>
      </c>
      <c r="N5" s="620">
        <f>N6</f>
        <v>0</v>
      </c>
      <c r="O5" s="620"/>
      <c r="P5" s="620"/>
      <c r="Q5" s="620">
        <f>Q6</f>
        <v>4893571.91</v>
      </c>
      <c r="R5" s="620">
        <f>R6</f>
        <v>0</v>
      </c>
      <c r="S5" s="620">
        <f>S6</f>
        <v>4893571.91</v>
      </c>
      <c r="T5" s="620"/>
      <c r="U5" s="620"/>
      <c r="V5" s="620">
        <f>V6</f>
        <v>1455038.01</v>
      </c>
      <c r="W5" s="620">
        <f>W6</f>
        <v>0</v>
      </c>
      <c r="X5" s="620">
        <f>X6</f>
        <v>1455038.01</v>
      </c>
      <c r="Y5" s="620"/>
      <c r="Z5" s="620"/>
      <c r="AA5" s="620">
        <f>AA6</f>
        <v>0</v>
      </c>
      <c r="AB5" s="620">
        <f>AB6</f>
        <v>0</v>
      </c>
      <c r="AC5" s="620">
        <f>AC6</f>
        <v>0</v>
      </c>
      <c r="AD5" s="620"/>
      <c r="AE5" s="620"/>
      <c r="AF5" s="1466">
        <f>AF6</f>
        <v>59678</v>
      </c>
      <c r="AG5" s="1466">
        <f>AG6</f>
        <v>0</v>
      </c>
      <c r="AH5" s="1465">
        <f>AH6</f>
        <v>59678</v>
      </c>
      <c r="AI5" s="1656"/>
      <c r="AJ5" s="1465"/>
      <c r="AK5" s="1466">
        <f>AK6</f>
        <v>0</v>
      </c>
      <c r="AL5" s="1466">
        <f>AL6</f>
        <v>0</v>
      </c>
      <c r="AM5" s="1466">
        <f>AM6</f>
        <v>0</v>
      </c>
      <c r="AN5" s="1466"/>
      <c r="AO5" s="1466"/>
      <c r="AP5" s="1466">
        <f>AP6+AP7</f>
        <v>0</v>
      </c>
      <c r="AQ5" s="1466">
        <f>AQ6+AQ7</f>
        <v>0</v>
      </c>
      <c r="AR5" s="1466">
        <f>AR6+AR7</f>
        <v>0</v>
      </c>
      <c r="AS5" s="1656"/>
      <c r="AT5" s="1465"/>
      <c r="AU5" s="1466">
        <f>AU6+AU7</f>
        <v>0</v>
      </c>
      <c r="AV5" s="1466">
        <f>AV6+AV7</f>
        <v>0</v>
      </c>
      <c r="AW5" s="1466">
        <f>AW6+AW7</f>
        <v>0</v>
      </c>
      <c r="AX5" s="1466"/>
      <c r="AY5" s="1466"/>
      <c r="AZ5" s="1466">
        <f>AZ6+AZ7</f>
        <v>0</v>
      </c>
      <c r="BA5" s="1466">
        <f>BA6+BA7</f>
        <v>0</v>
      </c>
      <c r="BB5" s="1466">
        <f>BB6+BB7</f>
        <v>0</v>
      </c>
      <c r="BC5" s="1466"/>
      <c r="BD5" s="1466"/>
      <c r="BE5" s="1466">
        <f>BE6+BE7</f>
        <v>0</v>
      </c>
      <c r="BF5" s="1466">
        <f>BF6+BF7</f>
        <v>0</v>
      </c>
      <c r="BG5" s="1466">
        <f>BG6+BG7</f>
        <v>0</v>
      </c>
      <c r="BH5" s="1466"/>
      <c r="BI5" s="1466"/>
      <c r="BJ5" s="1466">
        <f>BJ6+BJ7</f>
        <v>0</v>
      </c>
      <c r="BK5" s="1466">
        <f>BK6+BK7</f>
        <v>0</v>
      </c>
      <c r="BL5" s="1466">
        <f>BL6+BL7</f>
        <v>0</v>
      </c>
      <c r="BM5" s="1466"/>
      <c r="BN5" s="1466"/>
      <c r="BO5" s="1466">
        <f>BO6+BO7</f>
        <v>0</v>
      </c>
      <c r="BP5" s="1466">
        <f>BP6+BP7</f>
        <v>0</v>
      </c>
      <c r="BQ5" s="1466">
        <f>BQ6+BQ7</f>
        <v>0</v>
      </c>
      <c r="BR5" s="1466"/>
      <c r="BS5" s="1466"/>
      <c r="BT5" s="1466">
        <f>BT6+BT7</f>
        <v>35655088.510000005</v>
      </c>
      <c r="BU5" s="1466">
        <f>BU6+BU7</f>
        <v>0</v>
      </c>
      <c r="BV5" s="1466">
        <f>BV6+BV7</f>
        <v>35655088.510000005</v>
      </c>
      <c r="BW5" s="1466"/>
      <c r="BX5" s="1466"/>
    </row>
    <row r="6" spans="1:80" s="2" customFormat="1" ht="54" customHeight="1">
      <c r="A6" s="330">
        <v>0</v>
      </c>
      <c r="B6" s="1050" t="s">
        <v>17</v>
      </c>
      <c r="C6" s="1076">
        <v>27580895.899999999</v>
      </c>
      <c r="D6" s="1023"/>
      <c r="E6" s="1178">
        <f>C6+D6</f>
        <v>27580895.899999999</v>
      </c>
      <c r="F6" s="1176"/>
      <c r="G6" s="1176">
        <v>29206216.020000003</v>
      </c>
      <c r="H6" s="1176">
        <v>0</v>
      </c>
      <c r="I6" s="1178">
        <v>29206216.020000003</v>
      </c>
      <c r="J6" s="1176"/>
      <c r="K6" s="1176"/>
      <c r="L6" s="1176"/>
      <c r="M6" s="1176"/>
      <c r="N6" s="1178">
        <f>L6+M6</f>
        <v>0</v>
      </c>
      <c r="O6" s="1176"/>
      <c r="P6" s="1176"/>
      <c r="Q6" s="1176">
        <v>4893571.91</v>
      </c>
      <c r="R6" s="1176"/>
      <c r="S6" s="1178">
        <f>Q6+R6</f>
        <v>4893571.91</v>
      </c>
      <c r="T6" s="1176"/>
      <c r="U6" s="1021" t="s">
        <v>1035</v>
      </c>
      <c r="V6" s="1176">
        <f>670337+784701.01</f>
        <v>1455038.01</v>
      </c>
      <c r="W6" s="1176"/>
      <c r="X6" s="1178">
        <f>V6+W6</f>
        <v>1455038.01</v>
      </c>
      <c r="Y6" s="1176"/>
      <c r="Z6" s="1176" t="s">
        <v>1088</v>
      </c>
      <c r="AA6" s="1176"/>
      <c r="AB6" s="1176"/>
      <c r="AC6" s="1178">
        <f>AA6+AB6</f>
        <v>0</v>
      </c>
      <c r="AD6" s="1176"/>
      <c r="AE6" s="1176"/>
      <c r="AF6" s="1432">
        <f>59678</f>
        <v>59678</v>
      </c>
      <c r="AG6" s="1432"/>
      <c r="AH6" s="1480">
        <f>AF6+AG6</f>
        <v>59678</v>
      </c>
      <c r="AI6" s="1637"/>
      <c r="AJ6" s="1683" t="s">
        <v>1129</v>
      </c>
      <c r="AK6" s="1650"/>
      <c r="AL6" s="1432"/>
      <c r="AM6" s="1480">
        <f>AK6+AL6</f>
        <v>0</v>
      </c>
      <c r="AN6" s="1432"/>
      <c r="AO6" s="1432"/>
      <c r="AP6" s="1650"/>
      <c r="AQ6" s="1432"/>
      <c r="AR6" s="1480">
        <f>AP6+AQ6</f>
        <v>0</v>
      </c>
      <c r="AS6" s="1637"/>
      <c r="AT6" s="1683"/>
      <c r="AU6" s="1650"/>
      <c r="AV6" s="2043"/>
      <c r="AW6" s="2012">
        <f>AU6+AV6</f>
        <v>0</v>
      </c>
      <c r="AX6" s="2043"/>
      <c r="AY6" s="2043"/>
      <c r="AZ6" s="2043"/>
      <c r="BA6" s="2043"/>
      <c r="BB6" s="2012">
        <f>AZ6+BA6</f>
        <v>0</v>
      </c>
      <c r="BC6" s="2043"/>
      <c r="BD6" s="2043"/>
      <c r="BE6" s="1146"/>
      <c r="BF6" s="2043"/>
      <c r="BG6" s="2012">
        <f>BE6+BF6</f>
        <v>0</v>
      </c>
      <c r="BH6" s="2043"/>
      <c r="BI6" s="2043"/>
      <c r="BJ6" s="1146"/>
      <c r="BK6" s="2043"/>
      <c r="BL6" s="2012">
        <f>BJ6+BK6</f>
        <v>0</v>
      </c>
      <c r="BM6" s="2043"/>
      <c r="BN6" s="2046"/>
      <c r="BO6" s="2043"/>
      <c r="BP6" s="2043"/>
      <c r="BQ6" s="2012">
        <f>BO6+BP6</f>
        <v>0</v>
      </c>
      <c r="BR6" s="2043"/>
      <c r="BS6" s="2046"/>
      <c r="BT6" s="2043">
        <f>G6+L6+Q6+V6+AA6+AF6+AK6+AP6+AU6+AZ6+BE6</f>
        <v>35614503.940000005</v>
      </c>
      <c r="BU6" s="2043">
        <f>H6+M6+R6+W6+AB6+AG6+AL6+AQ6+AV6+BA6+BF6</f>
        <v>0</v>
      </c>
      <c r="BV6" s="2012">
        <f>BT6+BU6</f>
        <v>35614503.940000005</v>
      </c>
      <c r="BW6" s="2043"/>
      <c r="BX6" s="2043"/>
      <c r="BY6" s="1"/>
      <c r="BZ6" s="1"/>
      <c r="CA6" s="1"/>
      <c r="CB6" s="1"/>
    </row>
    <row r="7" spans="1:80" s="2" customFormat="1" ht="54" customHeight="1" thickBot="1">
      <c r="A7" s="238"/>
      <c r="B7" s="1115" t="s">
        <v>41</v>
      </c>
      <c r="C7" s="1196"/>
      <c r="D7" s="1197"/>
      <c r="E7" s="1178">
        <f>C7+D7</f>
        <v>0</v>
      </c>
      <c r="F7" s="1177"/>
      <c r="G7" s="1176">
        <v>40584.57</v>
      </c>
      <c r="H7" s="1176">
        <v>0</v>
      </c>
      <c r="I7" s="1178">
        <v>40584.57</v>
      </c>
      <c r="J7" s="535"/>
      <c r="K7" s="535"/>
      <c r="L7" s="1176"/>
      <c r="M7" s="1176"/>
      <c r="N7" s="1178">
        <f>L7+M7</f>
        <v>0</v>
      </c>
      <c r="O7" s="1177"/>
      <c r="P7" s="1177"/>
      <c r="Q7" s="1176"/>
      <c r="R7" s="1176"/>
      <c r="S7" s="1178">
        <f>Q7+R7</f>
        <v>0</v>
      </c>
      <c r="T7" s="1177"/>
      <c r="U7" s="1177"/>
      <c r="V7" s="1176"/>
      <c r="W7" s="1176"/>
      <c r="X7" s="1178">
        <f>V7+W7</f>
        <v>0</v>
      </c>
      <c r="Y7" s="1177"/>
      <c r="Z7" s="1177"/>
      <c r="AA7" s="1176"/>
      <c r="AB7" s="1176"/>
      <c r="AC7" s="1178">
        <f>AA7+AB7</f>
        <v>0</v>
      </c>
      <c r="AD7" s="1177"/>
      <c r="AE7" s="1177"/>
      <c r="AF7" s="1432"/>
      <c r="AG7" s="1432"/>
      <c r="AH7" s="1480">
        <f>AF7+AG7</f>
        <v>0</v>
      </c>
      <c r="AI7" s="1676"/>
      <c r="AJ7" s="1729"/>
      <c r="AK7" s="1432"/>
      <c r="AL7" s="1432"/>
      <c r="AM7" s="1480">
        <f>AK7+AL7</f>
        <v>0</v>
      </c>
      <c r="AN7" s="1433"/>
      <c r="AO7" s="1433"/>
      <c r="AP7" s="1432"/>
      <c r="AQ7" s="1432"/>
      <c r="AR7" s="1480">
        <f>AP7+AQ7</f>
        <v>0</v>
      </c>
      <c r="AS7" s="1676"/>
      <c r="AT7" s="1729"/>
      <c r="AU7" s="1650"/>
      <c r="AV7" s="2043"/>
      <c r="AW7" s="2012">
        <f>AU7+AV7</f>
        <v>0</v>
      </c>
      <c r="AX7" s="1905"/>
      <c r="AY7" s="1905"/>
      <c r="AZ7" s="2043"/>
      <c r="BA7" s="2043"/>
      <c r="BB7" s="2012">
        <f>AZ7+BA7</f>
        <v>0</v>
      </c>
      <c r="BC7" s="1905"/>
      <c r="BD7" s="1905"/>
      <c r="BE7" s="2043"/>
      <c r="BF7" s="2043"/>
      <c r="BG7" s="2012">
        <f>BE7+BF7</f>
        <v>0</v>
      </c>
      <c r="BH7" s="1905"/>
      <c r="BI7" s="1905"/>
      <c r="BJ7" s="2043"/>
      <c r="BK7" s="2043"/>
      <c r="BL7" s="2012">
        <f>BJ7+BK7</f>
        <v>0</v>
      </c>
      <c r="BM7" s="1905"/>
      <c r="BN7" s="1905"/>
      <c r="BO7" s="2043"/>
      <c r="BP7" s="2043"/>
      <c r="BQ7" s="2012">
        <f>BO7+BP7</f>
        <v>0</v>
      </c>
      <c r="BR7" s="1905"/>
      <c r="BS7" s="1905"/>
      <c r="BT7" s="2043">
        <f>G7+L7+Q7+V7+AA7+AF7+AK7+AP7+AU7+AZ7+BE7</f>
        <v>40584.57</v>
      </c>
      <c r="BU7" s="2043">
        <f>H7+M7+R7+W7+AB7+AG7+AL7+AQ7+AV7+BA7+BF7</f>
        <v>0</v>
      </c>
      <c r="BV7" s="2012">
        <f>BT7+BU7</f>
        <v>40584.57</v>
      </c>
      <c r="BW7" s="1905"/>
      <c r="BX7" s="1905"/>
      <c r="BY7" s="1"/>
      <c r="BZ7" s="1"/>
      <c r="CA7" s="1"/>
      <c r="CB7" s="1"/>
    </row>
    <row r="8" spans="1:80" s="88" customFormat="1" ht="54" customHeight="1" thickBot="1">
      <c r="A8" s="238"/>
      <c r="B8" s="617" t="s">
        <v>16</v>
      </c>
      <c r="C8" s="618">
        <f>SUM(C9:C33)</f>
        <v>18334485.82</v>
      </c>
      <c r="D8" s="618">
        <f>SUM(D9:D33)</f>
        <v>4160778.7300000004</v>
      </c>
      <c r="E8" s="619">
        <f>SUM(E9:E33)</f>
        <v>22495264.550000001</v>
      </c>
      <c r="F8" s="577">
        <f t="shared" ref="F8:F33" si="0">E8/$E$89</f>
        <v>0.91837139140213475</v>
      </c>
      <c r="G8" s="618">
        <v>18763313.399999999</v>
      </c>
      <c r="H8" s="618">
        <v>7123266.9500000002</v>
      </c>
      <c r="I8" s="619">
        <v>25886580.349999998</v>
      </c>
      <c r="J8" s="242">
        <v>0.93531041946636928</v>
      </c>
      <c r="K8" s="242"/>
      <c r="L8" s="618">
        <f>SUM(L9:L33)</f>
        <v>143432.39000000001</v>
      </c>
      <c r="M8" s="618">
        <f>SUM(M9:M33)</f>
        <v>349479.03120000003</v>
      </c>
      <c r="N8" s="619">
        <f>SUM(N9:N33)</f>
        <v>492911.42120000004</v>
      </c>
      <c r="O8" s="577">
        <f t="shared" ref="O8:O21" si="1">N8/$N$89</f>
        <v>0.80312600345805973</v>
      </c>
      <c r="P8" s="620"/>
      <c r="Q8" s="618">
        <f>SUM(Q9:Q33)</f>
        <v>1552453.8120000002</v>
      </c>
      <c r="R8" s="618">
        <f>SUM(R9:R33)</f>
        <v>1436766.2899999998</v>
      </c>
      <c r="S8" s="619">
        <f>SUM(S9:S33)</f>
        <v>2989220.1019999995</v>
      </c>
      <c r="T8" s="577">
        <f t="shared" ref="T8:T33" si="2">S8/$S$89</f>
        <v>0.90669284157578156</v>
      </c>
      <c r="U8" s="620"/>
      <c r="V8" s="618">
        <f>SUM(V9:V33)</f>
        <v>17095</v>
      </c>
      <c r="W8" s="618">
        <f>SUM(W9:W33)</f>
        <v>90032</v>
      </c>
      <c r="X8" s="619">
        <f>SUM(X9:X33)</f>
        <v>107127</v>
      </c>
      <c r="Y8" s="577">
        <f>X8/$X$89</f>
        <v>0.88183674713661597</v>
      </c>
      <c r="Z8" s="620"/>
      <c r="AA8" s="618">
        <f>SUM(AA9:AA33)</f>
        <v>0</v>
      </c>
      <c r="AB8" s="618">
        <f>SUM(AB9:AB33)</f>
        <v>0</v>
      </c>
      <c r="AC8" s="619">
        <f>SUM(AC9:AC33)</f>
        <v>0</v>
      </c>
      <c r="AD8" s="577" t="e">
        <f>AC8/$AC$89</f>
        <v>#DIV/0!</v>
      </c>
      <c r="AE8" s="620"/>
      <c r="AF8" s="1483">
        <f>SUM(AF9:AF33)</f>
        <v>2928.8159999999998</v>
      </c>
      <c r="AG8" s="1483">
        <f>SUM(AG9:AG33)</f>
        <v>0</v>
      </c>
      <c r="AH8" s="1484">
        <f>SUM(AH9:AH33)</f>
        <v>2928.8159999999998</v>
      </c>
      <c r="AI8" s="1576">
        <f>AH8/$AH$89</f>
        <v>1</v>
      </c>
      <c r="AJ8" s="1465"/>
      <c r="AK8" s="1483">
        <f>SUM(AK9:AK33)</f>
        <v>0</v>
      </c>
      <c r="AL8" s="1483">
        <f>SUM(AL9:AL33)</f>
        <v>0</v>
      </c>
      <c r="AM8" s="1484">
        <f>SUM(AM9:AM33)</f>
        <v>0</v>
      </c>
      <c r="AN8" s="1528">
        <f t="shared" ref="AN8:AN33" si="3">AM8/$AM$89</f>
        <v>0</v>
      </c>
      <c r="AO8" s="1466"/>
      <c r="AP8" s="1483">
        <f>SUM(AP9:AP33)</f>
        <v>0</v>
      </c>
      <c r="AQ8" s="1483">
        <f>SUM(AQ9:AQ33)</f>
        <v>0</v>
      </c>
      <c r="AR8" s="1484">
        <f>SUM(AR9:AR33)</f>
        <v>0</v>
      </c>
      <c r="AS8" s="1576" t="e">
        <f>AR8/$AR$89</f>
        <v>#DIV/0!</v>
      </c>
      <c r="AT8" s="1465"/>
      <c r="AU8" s="1957">
        <f>SUM(AU9:AU33)</f>
        <v>1055225.648</v>
      </c>
      <c r="AV8" s="1957">
        <f>SUM(AV9:AV33)</f>
        <v>0</v>
      </c>
      <c r="AW8" s="1484">
        <f>SUM(AW9:AW33)</f>
        <v>1055225.648</v>
      </c>
      <c r="AX8" s="1528">
        <f>AW8/$AW$89</f>
        <v>0.99957373270771899</v>
      </c>
      <c r="AY8" s="1466"/>
      <c r="AZ8" s="1957">
        <f>SUM(AZ9:AZ33)</f>
        <v>0</v>
      </c>
      <c r="BA8" s="1957">
        <f>SUM(BA9:BA33)</f>
        <v>0</v>
      </c>
      <c r="BB8" s="1484">
        <f>SUM(BB9:BB33)</f>
        <v>0</v>
      </c>
      <c r="BC8" s="1528" t="e">
        <f>BB8/$BB$89</f>
        <v>#DIV/0!</v>
      </c>
      <c r="BD8" s="1466"/>
      <c r="BE8" s="1957">
        <f>SUM(BE9:BE33)</f>
        <v>0</v>
      </c>
      <c r="BF8" s="1957">
        <f>SUM(BF9:BF33)</f>
        <v>0</v>
      </c>
      <c r="BG8" s="1484">
        <f>SUM(BG9:BG33)</f>
        <v>0</v>
      </c>
      <c r="BH8" s="1528" t="e">
        <f t="shared" ref="BH8:BH36" si="4">BG8/$BG$89</f>
        <v>#DIV/0!</v>
      </c>
      <c r="BI8" s="1466"/>
      <c r="BJ8" s="1957">
        <f>SUM(BJ9:BJ33)</f>
        <v>0</v>
      </c>
      <c r="BK8" s="1957">
        <f>SUM(BK9:BK33)</f>
        <v>0</v>
      </c>
      <c r="BL8" s="1484">
        <f>SUM(BL9:BL33)</f>
        <v>0</v>
      </c>
      <c r="BM8" s="1528" t="e">
        <f>BL8/$BL$89</f>
        <v>#DIV/0!</v>
      </c>
      <c r="BN8" s="1466"/>
      <c r="BO8" s="1957">
        <f>SUM(BO9:BO33)</f>
        <v>0</v>
      </c>
      <c r="BP8" s="1957">
        <f>SUM(BP9:BP33)</f>
        <v>0</v>
      </c>
      <c r="BQ8" s="1484">
        <f>SUM(BQ9:BQ33)</f>
        <v>0</v>
      </c>
      <c r="BR8" s="1528" t="e">
        <f>BQ8/$BL$89</f>
        <v>#DIV/0!</v>
      </c>
      <c r="BS8" s="1466"/>
      <c r="BT8" s="1957">
        <f>SUM(BT9:BT33)</f>
        <v>21534449.066000003</v>
      </c>
      <c r="BU8" s="1957">
        <f>SUM(BU9:BU33)</f>
        <v>8999544.2712000012</v>
      </c>
      <c r="BV8" s="1484">
        <f>SUM(BV9:BV33)</f>
        <v>30533993.337199997</v>
      </c>
      <c r="BW8" s="1528">
        <f t="shared" ref="BW8:BW33" si="5">BV8/$BV$89</f>
        <v>0.92948856798317026</v>
      </c>
      <c r="BX8" s="1466"/>
    </row>
    <row r="9" spans="1:80" s="2" customFormat="1" ht="14.4" customHeight="1">
      <c r="A9" s="238"/>
      <c r="B9" s="481" t="s">
        <v>74</v>
      </c>
      <c r="C9" s="482"/>
      <c r="D9" s="483"/>
      <c r="E9" s="484">
        <f t="shared" ref="E9:E33" si="6">C9+D9</f>
        <v>0</v>
      </c>
      <c r="F9" s="485">
        <f t="shared" si="0"/>
        <v>0</v>
      </c>
      <c r="G9" s="488">
        <v>359881.86</v>
      </c>
      <c r="H9" s="488">
        <v>3000</v>
      </c>
      <c r="I9" s="489">
        <v>362881.86</v>
      </c>
      <c r="J9" s="485">
        <v>1.311131791470233E-2</v>
      </c>
      <c r="K9" s="485"/>
      <c r="L9" s="488">
        <v>45627.4</v>
      </c>
      <c r="M9" s="488"/>
      <c r="N9" s="489">
        <f>L9+M9*1</f>
        <v>45627.4</v>
      </c>
      <c r="O9" s="485">
        <f t="shared" si="1"/>
        <v>7.4343076329963259E-2</v>
      </c>
      <c r="P9" s="490"/>
      <c r="Q9" s="488">
        <v>64603</v>
      </c>
      <c r="R9" s="488"/>
      <c r="S9" s="489">
        <f>Q9+R9*1</f>
        <v>64603</v>
      </c>
      <c r="T9" s="485">
        <f t="shared" si="2"/>
        <v>1.9595438156303494E-2</v>
      </c>
      <c r="U9" s="975"/>
      <c r="V9" s="488">
        <v>6846</v>
      </c>
      <c r="W9" s="488"/>
      <c r="X9" s="489">
        <f>V9+W9*1</f>
        <v>6846</v>
      </c>
      <c r="Y9" s="485">
        <f>X9/$X$89</f>
        <v>5.6354181213860863E-2</v>
      </c>
      <c r="Z9" s="1176" t="s">
        <v>1064</v>
      </c>
      <c r="AA9" s="488"/>
      <c r="AB9" s="488"/>
      <c r="AC9" s="489">
        <f>AA9+AB9*1</f>
        <v>0</v>
      </c>
      <c r="AD9" s="485" t="e">
        <f>AC9/$AC$89</f>
        <v>#DIV/0!</v>
      </c>
      <c r="AE9" s="976"/>
      <c r="AF9" s="1624"/>
      <c r="AG9" s="1624"/>
      <c r="AH9" s="1667">
        <f>AF9+AG9*1</f>
        <v>0</v>
      </c>
      <c r="AI9" s="1742">
        <f>AH9/$AH$89</f>
        <v>0</v>
      </c>
      <c r="AJ9" s="1743"/>
      <c r="AK9" s="1624"/>
      <c r="AL9" s="1624"/>
      <c r="AM9" s="1561">
        <f>AK9+AL9*1</f>
        <v>0</v>
      </c>
      <c r="AN9" s="1559">
        <f>AM9/$AM$89</f>
        <v>0</v>
      </c>
      <c r="AO9" s="1727"/>
      <c r="AP9" s="1624"/>
      <c r="AQ9" s="1624"/>
      <c r="AR9" s="1561">
        <f>AP9+AQ9*1</f>
        <v>0</v>
      </c>
      <c r="AS9" s="1742" t="e">
        <f t="shared" ref="AS9:AS33" si="7">AR9/$AR$89</f>
        <v>#DIV/0!</v>
      </c>
      <c r="AT9" s="1743"/>
      <c r="AU9" s="1624"/>
      <c r="AV9" s="1624"/>
      <c r="AW9" s="1561">
        <f>AU9+AV9*1</f>
        <v>0</v>
      </c>
      <c r="AX9" s="1559">
        <f t="shared" ref="AX9:AX72" si="8">AW9/$AW$89</f>
        <v>0</v>
      </c>
      <c r="AY9" s="1727"/>
      <c r="AZ9" s="1624"/>
      <c r="BA9" s="1624"/>
      <c r="BB9" s="1561">
        <f>AZ9+BA9*1</f>
        <v>0</v>
      </c>
      <c r="BC9" s="1559" t="e">
        <f t="shared" ref="BC9:BC33" si="9">BB9/$BB$89</f>
        <v>#DIV/0!</v>
      </c>
      <c r="BD9" s="1727"/>
      <c r="BE9" s="1624"/>
      <c r="BF9" s="1624"/>
      <c r="BG9" s="1561">
        <f>BE9+BF9*1</f>
        <v>0</v>
      </c>
      <c r="BH9" s="1559" t="e">
        <f t="shared" si="4"/>
        <v>#DIV/0!</v>
      </c>
      <c r="BI9" s="1727"/>
      <c r="BJ9" s="1624"/>
      <c r="BK9" s="1624"/>
      <c r="BL9" s="1561">
        <f>BJ9+BK9*1</f>
        <v>0</v>
      </c>
      <c r="BM9" s="1559" t="e">
        <f t="shared" ref="BM9:BM33" si="10">BL9/$BL$89</f>
        <v>#DIV/0!</v>
      </c>
      <c r="BN9" s="1727"/>
      <c r="BO9" s="1624"/>
      <c r="BP9" s="1624"/>
      <c r="BQ9" s="1561">
        <f>BO9+BP9*1</f>
        <v>0</v>
      </c>
      <c r="BR9" s="1559" t="e">
        <f t="shared" ref="BR9:BR33" si="11">BQ9/$BL$89</f>
        <v>#DIV/0!</v>
      </c>
      <c r="BS9" s="1727"/>
      <c r="BT9" s="2043">
        <f t="shared" ref="BT9:BU33" si="12">G9+L9+Q9+V9+AA9+AF9+AK9+AP9+AU9+AZ9+BE9</f>
        <v>476958.26</v>
      </c>
      <c r="BU9" s="2043">
        <f t="shared" si="12"/>
        <v>3000</v>
      </c>
      <c r="BV9" s="1561">
        <f>BT9+BU9*1</f>
        <v>479958.26</v>
      </c>
      <c r="BW9" s="1559">
        <f t="shared" si="5"/>
        <v>1.4610460900166143E-2</v>
      </c>
      <c r="BX9" s="1580"/>
    </row>
    <row r="10" spans="1:80" s="2" customFormat="1" ht="14.4" customHeight="1">
      <c r="A10" s="238"/>
      <c r="B10" s="1067" t="s">
        <v>72</v>
      </c>
      <c r="C10" s="1037"/>
      <c r="D10" s="1038"/>
      <c r="E10" s="1178">
        <f t="shared" si="6"/>
        <v>0</v>
      </c>
      <c r="F10" s="1039">
        <f t="shared" si="0"/>
        <v>0</v>
      </c>
      <c r="G10" s="1176">
        <v>98595.900000000009</v>
      </c>
      <c r="H10" s="1176">
        <v>0</v>
      </c>
      <c r="I10" s="1022">
        <v>98595.900000000009</v>
      </c>
      <c r="J10" s="1039">
        <v>3.5623775461969898E-3</v>
      </c>
      <c r="K10" s="1039"/>
      <c r="L10" s="1176">
        <v>11052.6</v>
      </c>
      <c r="M10" s="1176"/>
      <c r="N10" s="1022">
        <f t="shared" ref="N10:N33" si="13">L10+M10*1</f>
        <v>11052.6</v>
      </c>
      <c r="O10" s="1233">
        <f t="shared" si="1"/>
        <v>1.8008571284897933E-2</v>
      </c>
      <c r="P10" s="1043"/>
      <c r="Q10" s="1176">
        <v>20038.36</v>
      </c>
      <c r="R10" s="1176"/>
      <c r="S10" s="1022">
        <f t="shared" ref="S10:S33" si="14">Q10+R10*1</f>
        <v>20038.36</v>
      </c>
      <c r="T10" s="1233">
        <f t="shared" si="2"/>
        <v>6.0780527859967143E-3</v>
      </c>
      <c r="U10" s="1045"/>
      <c r="V10" s="1176">
        <v>1658</v>
      </c>
      <c r="W10" s="1176"/>
      <c r="X10" s="1022">
        <f t="shared" ref="X10:X33" si="15">V10+W10*1</f>
        <v>1658</v>
      </c>
      <c r="Y10" s="1233">
        <f>X10/$X$89</f>
        <v>1.3648149642503844E-2</v>
      </c>
      <c r="Z10" s="1147"/>
      <c r="AA10" s="1176"/>
      <c r="AB10" s="1176"/>
      <c r="AC10" s="1022">
        <f t="shared" ref="AC10:AC21" si="16">AA10+AB10*1</f>
        <v>0</v>
      </c>
      <c r="AD10" s="1233" t="e">
        <f t="shared" ref="AD10:AD33" si="17">AC10/$AC$89</f>
        <v>#DIV/0!</v>
      </c>
      <c r="AE10" s="1147"/>
      <c r="AF10" s="1432"/>
      <c r="AG10" s="1432"/>
      <c r="AH10" s="1479">
        <f t="shared" ref="AH10:AH33" si="18">AF10+AG10*1</f>
        <v>0</v>
      </c>
      <c r="AI10" s="1651">
        <f>AH10/$AH$89</f>
        <v>0</v>
      </c>
      <c r="AJ10" s="1846"/>
      <c r="AK10" s="1432"/>
      <c r="AL10" s="1432"/>
      <c r="AM10" s="1645">
        <f t="shared" ref="AM10:AM33" si="19">AK10+AL10*1</f>
        <v>0</v>
      </c>
      <c r="AN10" s="1540">
        <f t="shared" si="3"/>
        <v>0</v>
      </c>
      <c r="AO10" s="1632"/>
      <c r="AP10" s="1432"/>
      <c r="AQ10" s="1432"/>
      <c r="AR10" s="1645">
        <f t="shared" ref="AR10:AR33" si="20">AP10+AQ10*1</f>
        <v>0</v>
      </c>
      <c r="AS10" s="1651" t="e">
        <f t="shared" si="7"/>
        <v>#DIV/0!</v>
      </c>
      <c r="AT10" s="1846"/>
      <c r="AU10" s="2043"/>
      <c r="AV10" s="2043"/>
      <c r="AW10" s="1982">
        <f t="shared" ref="AW10:AW33" si="21">AU10+AV10*1</f>
        <v>0</v>
      </c>
      <c r="AX10" s="2044">
        <f t="shared" si="8"/>
        <v>0</v>
      </c>
      <c r="AY10" s="1929"/>
      <c r="AZ10" s="2043"/>
      <c r="BA10" s="2043"/>
      <c r="BB10" s="1982">
        <f t="shared" ref="BB10:BB33" si="22">AZ10+BA10*1</f>
        <v>0</v>
      </c>
      <c r="BC10" s="2044" t="e">
        <f t="shared" si="9"/>
        <v>#DIV/0!</v>
      </c>
      <c r="BD10" s="1929"/>
      <c r="BE10" s="2043"/>
      <c r="BF10" s="2043"/>
      <c r="BG10" s="1982">
        <f t="shared" ref="BG10:BG33" si="23">BE10+BF10*1</f>
        <v>0</v>
      </c>
      <c r="BH10" s="2044" t="e">
        <f t="shared" si="4"/>
        <v>#DIV/0!</v>
      </c>
      <c r="BI10" s="1929"/>
      <c r="BJ10" s="2043"/>
      <c r="BK10" s="2043"/>
      <c r="BL10" s="1982">
        <f t="shared" ref="BL10:BL33" si="24">BJ10+BK10*1</f>
        <v>0</v>
      </c>
      <c r="BM10" s="2044" t="e">
        <f t="shared" si="10"/>
        <v>#DIV/0!</v>
      </c>
      <c r="BN10" s="1929"/>
      <c r="BO10" s="2043"/>
      <c r="BP10" s="2043"/>
      <c r="BQ10" s="1982">
        <f t="shared" ref="BQ10:BQ33" si="25">BO10+BP10*1</f>
        <v>0</v>
      </c>
      <c r="BR10" s="2044" t="e">
        <f t="shared" si="11"/>
        <v>#DIV/0!</v>
      </c>
      <c r="BS10" s="1929"/>
      <c r="BT10" s="2043">
        <f t="shared" si="12"/>
        <v>131344.86000000002</v>
      </c>
      <c r="BU10" s="2043">
        <f t="shared" si="12"/>
        <v>0</v>
      </c>
      <c r="BV10" s="2045">
        <f t="shared" ref="BV10:BV33" si="26">BT10+BU10*1</f>
        <v>131344.86000000002</v>
      </c>
      <c r="BW10" s="2044">
        <f t="shared" si="5"/>
        <v>3.9982829787486027E-3</v>
      </c>
      <c r="BX10" s="1434"/>
    </row>
    <row r="11" spans="1:80" s="2" customFormat="1" ht="14.4" customHeight="1">
      <c r="A11" s="238"/>
      <c r="B11" s="1067" t="s">
        <v>69</v>
      </c>
      <c r="C11" s="1037"/>
      <c r="D11" s="1038"/>
      <c r="E11" s="1178">
        <f t="shared" si="6"/>
        <v>0</v>
      </c>
      <c r="F11" s="1039">
        <f t="shared" si="0"/>
        <v>0</v>
      </c>
      <c r="G11" s="1176">
        <v>111236.68</v>
      </c>
      <c r="H11" s="1176">
        <v>0</v>
      </c>
      <c r="I11" s="1022">
        <v>111236.68</v>
      </c>
      <c r="J11" s="1039">
        <v>4.0191027329280395E-3</v>
      </c>
      <c r="K11" s="1039"/>
      <c r="L11" s="1176">
        <v>12469.6</v>
      </c>
      <c r="M11" s="1176"/>
      <c r="N11" s="1022">
        <f t="shared" si="13"/>
        <v>12469.6</v>
      </c>
      <c r="O11" s="1233">
        <f t="shared" si="1"/>
        <v>2.0317362475269465E-2</v>
      </c>
      <c r="P11" s="1043"/>
      <c r="Q11" s="1176">
        <v>22607.38</v>
      </c>
      <c r="R11" s="1176"/>
      <c r="S11" s="1022">
        <f t="shared" si="14"/>
        <v>22607.38</v>
      </c>
      <c r="T11" s="1233">
        <f t="shared" si="2"/>
        <v>6.8572901671137953E-3</v>
      </c>
      <c r="U11" s="1045"/>
      <c r="V11" s="1176">
        <v>1871</v>
      </c>
      <c r="W11" s="1176"/>
      <c r="X11" s="1022">
        <f t="shared" si="15"/>
        <v>1871</v>
      </c>
      <c r="Y11" s="1233">
        <f t="shared" ref="Y11:Y33" si="27">X11/$X$89</f>
        <v>1.5401500591751924E-2</v>
      </c>
      <c r="Z11" s="1147"/>
      <c r="AA11" s="1176"/>
      <c r="AB11" s="1176"/>
      <c r="AC11" s="1022">
        <f t="shared" si="16"/>
        <v>0</v>
      </c>
      <c r="AD11" s="1233" t="e">
        <f t="shared" si="17"/>
        <v>#DIV/0!</v>
      </c>
      <c r="AE11" s="1147"/>
      <c r="AF11" s="1432"/>
      <c r="AG11" s="1432"/>
      <c r="AH11" s="1479">
        <f t="shared" si="18"/>
        <v>0</v>
      </c>
      <c r="AI11" s="1651">
        <f t="shared" ref="AI11:AI33" si="28">AH11/$AH$89</f>
        <v>0</v>
      </c>
      <c r="AJ11" s="1846"/>
      <c r="AK11" s="1432"/>
      <c r="AL11" s="1432"/>
      <c r="AM11" s="1552">
        <f t="shared" si="19"/>
        <v>0</v>
      </c>
      <c r="AN11" s="1540">
        <f t="shared" si="3"/>
        <v>0</v>
      </c>
      <c r="AO11" s="1632"/>
      <c r="AP11" s="1432"/>
      <c r="AQ11" s="1432"/>
      <c r="AR11" s="1552">
        <f t="shared" si="20"/>
        <v>0</v>
      </c>
      <c r="AS11" s="1651" t="e">
        <f t="shared" si="7"/>
        <v>#DIV/0!</v>
      </c>
      <c r="AT11" s="1846"/>
      <c r="AU11" s="2043"/>
      <c r="AV11" s="2043"/>
      <c r="AW11" s="2045">
        <f t="shared" si="21"/>
        <v>0</v>
      </c>
      <c r="AX11" s="2044">
        <f t="shared" si="8"/>
        <v>0</v>
      </c>
      <c r="AY11" s="1929"/>
      <c r="AZ11" s="2043"/>
      <c r="BA11" s="2043"/>
      <c r="BB11" s="2045">
        <f t="shared" si="22"/>
        <v>0</v>
      </c>
      <c r="BC11" s="2044" t="e">
        <f t="shared" si="9"/>
        <v>#DIV/0!</v>
      </c>
      <c r="BD11" s="1929"/>
      <c r="BE11" s="2043"/>
      <c r="BF11" s="2043"/>
      <c r="BG11" s="2045">
        <f t="shared" si="23"/>
        <v>0</v>
      </c>
      <c r="BH11" s="2044" t="e">
        <f t="shared" si="4"/>
        <v>#DIV/0!</v>
      </c>
      <c r="BI11" s="1929"/>
      <c r="BJ11" s="2043"/>
      <c r="BK11" s="2043"/>
      <c r="BL11" s="2045">
        <f t="shared" si="24"/>
        <v>0</v>
      </c>
      <c r="BM11" s="2044" t="e">
        <f t="shared" si="10"/>
        <v>#DIV/0!</v>
      </c>
      <c r="BN11" s="1929"/>
      <c r="BO11" s="2043"/>
      <c r="BP11" s="2043"/>
      <c r="BQ11" s="2045">
        <f t="shared" si="25"/>
        <v>0</v>
      </c>
      <c r="BR11" s="2044" t="e">
        <f t="shared" si="11"/>
        <v>#DIV/0!</v>
      </c>
      <c r="BS11" s="1929"/>
      <c r="BT11" s="2043">
        <f t="shared" si="12"/>
        <v>148184.66</v>
      </c>
      <c r="BU11" s="2043">
        <f t="shared" si="12"/>
        <v>0</v>
      </c>
      <c r="BV11" s="2045">
        <f t="shared" si="26"/>
        <v>148184.66</v>
      </c>
      <c r="BW11" s="2044">
        <f t="shared" si="5"/>
        <v>4.5109051377392982E-3</v>
      </c>
      <c r="BX11" s="1434"/>
    </row>
    <row r="12" spans="1:80" s="2" customFormat="1" ht="14.4" customHeight="1">
      <c r="A12" s="238"/>
      <c r="B12" s="1067" t="s">
        <v>73</v>
      </c>
      <c r="C12" s="1037">
        <v>196420</v>
      </c>
      <c r="D12" s="1038">
        <v>363580</v>
      </c>
      <c r="E12" s="1178">
        <f t="shared" si="6"/>
        <v>560000</v>
      </c>
      <c r="F12" s="1039">
        <f t="shared" si="0"/>
        <v>2.2862055169082039E-2</v>
      </c>
      <c r="G12" s="1176">
        <v>239237.04</v>
      </c>
      <c r="H12" s="1176">
        <v>380462.49</v>
      </c>
      <c r="I12" s="1022">
        <v>619699.53</v>
      </c>
      <c r="J12" s="1039">
        <v>2.2390420809190115E-2</v>
      </c>
      <c r="K12" s="1039"/>
      <c r="L12" s="1176">
        <v>28957.119999999999</v>
      </c>
      <c r="M12" s="1176">
        <f>18594.2512+14257.66+17557.55+3000</f>
        <v>53409.461200000005</v>
      </c>
      <c r="N12" s="1022">
        <f t="shared" si="13"/>
        <v>82366.581200000001</v>
      </c>
      <c r="O12" s="1233">
        <f t="shared" si="1"/>
        <v>0.13420411930527965</v>
      </c>
      <c r="P12" s="1043" t="s">
        <v>977</v>
      </c>
      <c r="Q12" s="1176">
        <f>17900+18000+31827</f>
        <v>67727</v>
      </c>
      <c r="R12" s="1176">
        <f>4330+23000</f>
        <v>27330</v>
      </c>
      <c r="S12" s="1022">
        <f t="shared" si="14"/>
        <v>95057</v>
      </c>
      <c r="T12" s="1233">
        <f t="shared" si="2"/>
        <v>2.883277192736779E-2</v>
      </c>
      <c r="U12" s="1049" t="s">
        <v>1016</v>
      </c>
      <c r="V12" s="1176"/>
      <c r="W12" s="1176"/>
      <c r="X12" s="1022">
        <f t="shared" si="15"/>
        <v>0</v>
      </c>
      <c r="Y12" s="1233">
        <f t="shared" si="27"/>
        <v>0</v>
      </c>
      <c r="Z12" s="1147"/>
      <c r="AA12" s="1176"/>
      <c r="AB12" s="1176"/>
      <c r="AC12" s="1022">
        <f t="shared" si="16"/>
        <v>0</v>
      </c>
      <c r="AD12" s="1233" t="e">
        <f t="shared" si="17"/>
        <v>#DIV/0!</v>
      </c>
      <c r="AE12" s="1147"/>
      <c r="AF12" s="1432"/>
      <c r="AG12" s="1432"/>
      <c r="AH12" s="1479">
        <f t="shared" si="18"/>
        <v>0</v>
      </c>
      <c r="AI12" s="1651">
        <f t="shared" si="28"/>
        <v>0</v>
      </c>
      <c r="AJ12" s="1846"/>
      <c r="AK12" s="1432"/>
      <c r="AL12" s="1432"/>
      <c r="AM12" s="1552">
        <f t="shared" si="19"/>
        <v>0</v>
      </c>
      <c r="AN12" s="1638">
        <f t="shared" si="3"/>
        <v>0</v>
      </c>
      <c r="AO12" s="1632"/>
      <c r="AP12" s="1432"/>
      <c r="AQ12" s="1432"/>
      <c r="AR12" s="1552">
        <f t="shared" si="20"/>
        <v>0</v>
      </c>
      <c r="AS12" s="1847" t="e">
        <f t="shared" si="7"/>
        <v>#DIV/0!</v>
      </c>
      <c r="AT12" s="1846"/>
      <c r="AU12" s="2043"/>
      <c r="AV12" s="2043"/>
      <c r="AW12" s="2045">
        <f t="shared" si="21"/>
        <v>0</v>
      </c>
      <c r="AX12" s="1930">
        <f t="shared" si="8"/>
        <v>0</v>
      </c>
      <c r="AY12" s="1929"/>
      <c r="AZ12" s="2043"/>
      <c r="BA12" s="2043"/>
      <c r="BB12" s="2045">
        <f t="shared" si="22"/>
        <v>0</v>
      </c>
      <c r="BC12" s="1930" t="e">
        <f t="shared" si="9"/>
        <v>#DIV/0!</v>
      </c>
      <c r="BD12" s="1929"/>
      <c r="BE12" s="2043"/>
      <c r="BF12" s="2043"/>
      <c r="BG12" s="2045">
        <f t="shared" si="23"/>
        <v>0</v>
      </c>
      <c r="BH12" s="1930" t="e">
        <f t="shared" si="4"/>
        <v>#DIV/0!</v>
      </c>
      <c r="BI12" s="1929"/>
      <c r="BJ12" s="2043"/>
      <c r="BK12" s="2043"/>
      <c r="BL12" s="2045">
        <f t="shared" si="24"/>
        <v>0</v>
      </c>
      <c r="BM12" s="1930" t="e">
        <f t="shared" si="10"/>
        <v>#DIV/0!</v>
      </c>
      <c r="BN12" s="1929"/>
      <c r="BO12" s="2043"/>
      <c r="BP12" s="2043"/>
      <c r="BQ12" s="2045">
        <f t="shared" si="25"/>
        <v>0</v>
      </c>
      <c r="BR12" s="1930" t="e">
        <f t="shared" si="11"/>
        <v>#DIV/0!</v>
      </c>
      <c r="BS12" s="1929"/>
      <c r="BT12" s="2043">
        <f t="shared" si="12"/>
        <v>335921.16000000003</v>
      </c>
      <c r="BU12" s="2043">
        <f t="shared" si="12"/>
        <v>461201.95120000001</v>
      </c>
      <c r="BV12" s="2045">
        <f t="shared" si="26"/>
        <v>797123.11120000004</v>
      </c>
      <c r="BW12" s="2044">
        <f t="shared" si="5"/>
        <v>2.4265310172610403E-2</v>
      </c>
      <c r="BX12" s="1434"/>
    </row>
    <row r="13" spans="1:80" s="2" customFormat="1" ht="14.4" customHeight="1">
      <c r="A13" s="238"/>
      <c r="B13" s="1067" t="s">
        <v>71</v>
      </c>
      <c r="C13" s="1037">
        <v>47580</v>
      </c>
      <c r="D13" s="1038"/>
      <c r="E13" s="1178">
        <f t="shared" si="6"/>
        <v>47580</v>
      </c>
      <c r="F13" s="1039">
        <f t="shared" si="0"/>
        <v>1.9424581874016491E-3</v>
      </c>
      <c r="G13" s="1176">
        <v>57951.83</v>
      </c>
      <c r="H13" s="1176">
        <v>0</v>
      </c>
      <c r="I13" s="1022">
        <v>57951.83</v>
      </c>
      <c r="J13" s="1039">
        <v>2.0938629086303296E-3</v>
      </c>
      <c r="K13" s="1039"/>
      <c r="L13" s="1176">
        <v>7506.92</v>
      </c>
      <c r="M13" s="1176"/>
      <c r="N13" s="1022">
        <f t="shared" si="13"/>
        <v>7506.92</v>
      </c>
      <c r="O13" s="1233">
        <f t="shared" si="1"/>
        <v>1.2231411970941316E-2</v>
      </c>
      <c r="P13" s="1043"/>
      <c r="Q13" s="1176">
        <v>7966.61</v>
      </c>
      <c r="R13" s="1176"/>
      <c r="S13" s="1022">
        <f t="shared" si="14"/>
        <v>7966.61</v>
      </c>
      <c r="T13" s="1233">
        <f t="shared" si="2"/>
        <v>2.4164390751263715E-3</v>
      </c>
      <c r="U13" s="1045"/>
      <c r="V13" s="1176"/>
      <c r="W13" s="1176"/>
      <c r="X13" s="1022">
        <f t="shared" si="15"/>
        <v>0</v>
      </c>
      <c r="Y13" s="1233">
        <f t="shared" si="27"/>
        <v>0</v>
      </c>
      <c r="Z13" s="1147"/>
      <c r="AA13" s="1176"/>
      <c r="AB13" s="1176"/>
      <c r="AC13" s="1022">
        <f t="shared" si="16"/>
        <v>0</v>
      </c>
      <c r="AD13" s="1233" t="e">
        <f t="shared" si="17"/>
        <v>#DIV/0!</v>
      </c>
      <c r="AE13" s="1147"/>
      <c r="AF13" s="1432"/>
      <c r="AG13" s="1432"/>
      <c r="AH13" s="1479">
        <f t="shared" si="18"/>
        <v>0</v>
      </c>
      <c r="AI13" s="1651">
        <f t="shared" si="28"/>
        <v>0</v>
      </c>
      <c r="AJ13" s="1846"/>
      <c r="AK13" s="1432"/>
      <c r="AL13" s="1432"/>
      <c r="AM13" s="1552">
        <f t="shared" si="19"/>
        <v>0</v>
      </c>
      <c r="AN13" s="1638">
        <f t="shared" si="3"/>
        <v>0</v>
      </c>
      <c r="AO13" s="1632"/>
      <c r="AP13" s="1432"/>
      <c r="AQ13" s="1432"/>
      <c r="AR13" s="1552">
        <f t="shared" si="20"/>
        <v>0</v>
      </c>
      <c r="AS13" s="1847" t="e">
        <f t="shared" si="7"/>
        <v>#DIV/0!</v>
      </c>
      <c r="AT13" s="1846"/>
      <c r="AU13" s="2043"/>
      <c r="AV13" s="2043"/>
      <c r="AW13" s="2045">
        <f t="shared" si="21"/>
        <v>0</v>
      </c>
      <c r="AX13" s="1930">
        <f t="shared" si="8"/>
        <v>0</v>
      </c>
      <c r="AY13" s="1929"/>
      <c r="AZ13" s="2043"/>
      <c r="BA13" s="2043"/>
      <c r="BB13" s="2045">
        <f t="shared" si="22"/>
        <v>0</v>
      </c>
      <c r="BC13" s="1930" t="e">
        <f t="shared" si="9"/>
        <v>#DIV/0!</v>
      </c>
      <c r="BD13" s="1929"/>
      <c r="BE13" s="2043"/>
      <c r="BF13" s="2043"/>
      <c r="BG13" s="2045">
        <f t="shared" si="23"/>
        <v>0</v>
      </c>
      <c r="BH13" s="1930" t="e">
        <f t="shared" si="4"/>
        <v>#DIV/0!</v>
      </c>
      <c r="BI13" s="1929"/>
      <c r="BJ13" s="2043"/>
      <c r="BK13" s="2043"/>
      <c r="BL13" s="2045">
        <f t="shared" si="24"/>
        <v>0</v>
      </c>
      <c r="BM13" s="1930" t="e">
        <f t="shared" si="10"/>
        <v>#DIV/0!</v>
      </c>
      <c r="BN13" s="1929"/>
      <c r="BO13" s="2043"/>
      <c r="BP13" s="2043"/>
      <c r="BQ13" s="2045">
        <f t="shared" si="25"/>
        <v>0</v>
      </c>
      <c r="BR13" s="1930" t="e">
        <f t="shared" si="11"/>
        <v>#DIV/0!</v>
      </c>
      <c r="BS13" s="1929"/>
      <c r="BT13" s="2043">
        <f t="shared" si="12"/>
        <v>73425.36</v>
      </c>
      <c r="BU13" s="2043">
        <f t="shared" si="12"/>
        <v>0</v>
      </c>
      <c r="BV13" s="2045">
        <f t="shared" si="26"/>
        <v>73425.36</v>
      </c>
      <c r="BW13" s="2044">
        <f t="shared" si="5"/>
        <v>2.2351492635226721E-3</v>
      </c>
      <c r="BX13" s="1434"/>
    </row>
    <row r="14" spans="1:80" s="2" customFormat="1" ht="14.4" customHeight="1">
      <c r="A14" s="238"/>
      <c r="B14" s="1067" t="s">
        <v>70</v>
      </c>
      <c r="C14" s="1037">
        <v>53680</v>
      </c>
      <c r="D14" s="1038"/>
      <c r="E14" s="1178">
        <f t="shared" si="6"/>
        <v>53680</v>
      </c>
      <c r="F14" s="1039">
        <f t="shared" si="0"/>
        <v>2.1914912883505785E-3</v>
      </c>
      <c r="G14" s="1176">
        <v>65381.549999999996</v>
      </c>
      <c r="H14" s="1176">
        <v>0</v>
      </c>
      <c r="I14" s="1022">
        <v>65381.549999999996</v>
      </c>
      <c r="J14" s="1039">
        <v>2.3623068064245649E-3</v>
      </c>
      <c r="K14" s="1039"/>
      <c r="L14" s="1176">
        <v>8469.36</v>
      </c>
      <c r="M14" s="1176"/>
      <c r="N14" s="1022">
        <f t="shared" si="13"/>
        <v>8469.36</v>
      </c>
      <c r="O14" s="1233">
        <f t="shared" si="1"/>
        <v>1.3799565106623163E-2</v>
      </c>
      <c r="P14" s="1043"/>
      <c r="Q14" s="1176">
        <v>8987.98</v>
      </c>
      <c r="R14" s="1176"/>
      <c r="S14" s="1022">
        <f t="shared" si="14"/>
        <v>8987.98</v>
      </c>
      <c r="T14" s="1233">
        <f t="shared" si="2"/>
        <v>2.7262419119869459E-3</v>
      </c>
      <c r="U14" s="1045"/>
      <c r="V14" s="1176"/>
      <c r="W14" s="1176"/>
      <c r="X14" s="1022">
        <f t="shared" si="15"/>
        <v>0</v>
      </c>
      <c r="Y14" s="1233">
        <f t="shared" si="27"/>
        <v>0</v>
      </c>
      <c r="Z14" s="1147"/>
      <c r="AA14" s="1176"/>
      <c r="AB14" s="1176"/>
      <c r="AC14" s="1022">
        <f t="shared" si="16"/>
        <v>0</v>
      </c>
      <c r="AD14" s="1233" t="e">
        <f t="shared" si="17"/>
        <v>#DIV/0!</v>
      </c>
      <c r="AE14" s="1147"/>
      <c r="AF14" s="1432"/>
      <c r="AG14" s="1432"/>
      <c r="AH14" s="1479">
        <f t="shared" si="18"/>
        <v>0</v>
      </c>
      <c r="AI14" s="1651">
        <f t="shared" si="28"/>
        <v>0</v>
      </c>
      <c r="AJ14" s="1846"/>
      <c r="AK14" s="1432"/>
      <c r="AL14" s="1432"/>
      <c r="AM14" s="1552">
        <f t="shared" si="19"/>
        <v>0</v>
      </c>
      <c r="AN14" s="1638">
        <f t="shared" si="3"/>
        <v>0</v>
      </c>
      <c r="AO14" s="1632"/>
      <c r="AP14" s="1432"/>
      <c r="AQ14" s="1432"/>
      <c r="AR14" s="1552">
        <f t="shared" si="20"/>
        <v>0</v>
      </c>
      <c r="AS14" s="1847" t="e">
        <f t="shared" si="7"/>
        <v>#DIV/0!</v>
      </c>
      <c r="AT14" s="1846"/>
      <c r="AU14" s="2043"/>
      <c r="AV14" s="2043"/>
      <c r="AW14" s="2045">
        <f t="shared" si="21"/>
        <v>0</v>
      </c>
      <c r="AX14" s="1930">
        <f t="shared" si="8"/>
        <v>0</v>
      </c>
      <c r="AY14" s="1929"/>
      <c r="AZ14" s="2043"/>
      <c r="BA14" s="2043"/>
      <c r="BB14" s="2045">
        <f t="shared" si="22"/>
        <v>0</v>
      </c>
      <c r="BC14" s="1930" t="e">
        <f t="shared" si="9"/>
        <v>#DIV/0!</v>
      </c>
      <c r="BD14" s="1929"/>
      <c r="BE14" s="2043"/>
      <c r="BF14" s="2043"/>
      <c r="BG14" s="2045">
        <f t="shared" si="23"/>
        <v>0</v>
      </c>
      <c r="BH14" s="1930" t="e">
        <f t="shared" si="4"/>
        <v>#DIV/0!</v>
      </c>
      <c r="BI14" s="1929"/>
      <c r="BJ14" s="2043"/>
      <c r="BK14" s="2043"/>
      <c r="BL14" s="2045">
        <f t="shared" si="24"/>
        <v>0</v>
      </c>
      <c r="BM14" s="1930" t="e">
        <f t="shared" si="10"/>
        <v>#DIV/0!</v>
      </c>
      <c r="BN14" s="1929"/>
      <c r="BO14" s="2043"/>
      <c r="BP14" s="2043"/>
      <c r="BQ14" s="2045">
        <f t="shared" si="25"/>
        <v>0</v>
      </c>
      <c r="BR14" s="1930" t="e">
        <f t="shared" si="11"/>
        <v>#DIV/0!</v>
      </c>
      <c r="BS14" s="1929"/>
      <c r="BT14" s="2043">
        <f t="shared" si="12"/>
        <v>82838.89</v>
      </c>
      <c r="BU14" s="2043">
        <f t="shared" si="12"/>
        <v>0</v>
      </c>
      <c r="BV14" s="2045">
        <f t="shared" si="26"/>
        <v>82838.89</v>
      </c>
      <c r="BW14" s="2044">
        <f t="shared" si="5"/>
        <v>2.5217075404810494E-3</v>
      </c>
      <c r="BX14" s="1434"/>
    </row>
    <row r="15" spans="1:80" s="2" customFormat="1" ht="14.4" customHeight="1">
      <c r="A15" s="238"/>
      <c r="B15" s="1258" t="s">
        <v>20</v>
      </c>
      <c r="C15" s="1037"/>
      <c r="D15" s="1230">
        <v>64000</v>
      </c>
      <c r="E15" s="1178">
        <f t="shared" si="6"/>
        <v>64000</v>
      </c>
      <c r="F15" s="1039">
        <f t="shared" si="0"/>
        <v>2.6128063050379472E-3</v>
      </c>
      <c r="G15" s="1176">
        <v>0</v>
      </c>
      <c r="H15" s="1176">
        <v>143000</v>
      </c>
      <c r="I15" s="1022">
        <v>143000</v>
      </c>
      <c r="J15" s="1039">
        <v>5.1667461740921225E-3</v>
      </c>
      <c r="K15" s="1039"/>
      <c r="L15" s="1176"/>
      <c r="M15" s="1176">
        <v>51900</v>
      </c>
      <c r="N15" s="1022">
        <f t="shared" si="13"/>
        <v>51900</v>
      </c>
      <c r="O15" s="1233">
        <f t="shared" si="1"/>
        <v>8.456334705736232E-2</v>
      </c>
      <c r="P15" s="1043"/>
      <c r="Q15" s="1176"/>
      <c r="R15" s="1176">
        <v>24150</v>
      </c>
      <c r="S15" s="1022">
        <f t="shared" si="14"/>
        <v>24150</v>
      </c>
      <c r="T15" s="1233">
        <f t="shared" si="2"/>
        <v>7.3251990073948487E-3</v>
      </c>
      <c r="U15" s="1045"/>
      <c r="V15" s="1176"/>
      <c r="W15" s="1176"/>
      <c r="X15" s="1022">
        <f t="shared" si="15"/>
        <v>0</v>
      </c>
      <c r="Y15" s="1233">
        <f t="shared" si="27"/>
        <v>0</v>
      </c>
      <c r="Z15" s="1147"/>
      <c r="AA15" s="1176"/>
      <c r="AB15" s="1176"/>
      <c r="AC15" s="1022">
        <f t="shared" si="16"/>
        <v>0</v>
      </c>
      <c r="AD15" s="1233" t="e">
        <f t="shared" si="17"/>
        <v>#DIV/0!</v>
      </c>
      <c r="AE15" s="1147"/>
      <c r="AF15" s="1432"/>
      <c r="AG15" s="1432"/>
      <c r="AH15" s="1479">
        <f t="shared" si="18"/>
        <v>0</v>
      </c>
      <c r="AI15" s="1651">
        <f t="shared" si="28"/>
        <v>0</v>
      </c>
      <c r="AJ15" s="1846"/>
      <c r="AK15" s="1432"/>
      <c r="AL15" s="1432"/>
      <c r="AM15" s="1552">
        <f t="shared" si="19"/>
        <v>0</v>
      </c>
      <c r="AN15" s="1638">
        <f t="shared" si="3"/>
        <v>0</v>
      </c>
      <c r="AO15" s="1632"/>
      <c r="AP15" s="1432"/>
      <c r="AQ15" s="1432"/>
      <c r="AR15" s="1552">
        <f t="shared" si="20"/>
        <v>0</v>
      </c>
      <c r="AS15" s="1847" t="e">
        <f t="shared" si="7"/>
        <v>#DIV/0!</v>
      </c>
      <c r="AT15" s="1846"/>
      <c r="AU15" s="2043"/>
      <c r="AV15" s="2043"/>
      <c r="AW15" s="2045">
        <f t="shared" si="21"/>
        <v>0</v>
      </c>
      <c r="AX15" s="1930">
        <f t="shared" si="8"/>
        <v>0</v>
      </c>
      <c r="AY15" s="1929"/>
      <c r="AZ15" s="2043"/>
      <c r="BA15" s="2043"/>
      <c r="BB15" s="2045">
        <f t="shared" si="22"/>
        <v>0</v>
      </c>
      <c r="BC15" s="1930" t="e">
        <f t="shared" si="9"/>
        <v>#DIV/0!</v>
      </c>
      <c r="BD15" s="1929"/>
      <c r="BE15" s="2043"/>
      <c r="BF15" s="2043"/>
      <c r="BG15" s="2045">
        <f t="shared" si="23"/>
        <v>0</v>
      </c>
      <c r="BH15" s="1930" t="e">
        <f t="shared" si="4"/>
        <v>#DIV/0!</v>
      </c>
      <c r="BI15" s="1929"/>
      <c r="BJ15" s="2043"/>
      <c r="BK15" s="2043"/>
      <c r="BL15" s="2045">
        <f t="shared" si="24"/>
        <v>0</v>
      </c>
      <c r="BM15" s="1930" t="e">
        <f t="shared" si="10"/>
        <v>#DIV/0!</v>
      </c>
      <c r="BN15" s="1929"/>
      <c r="BO15" s="2043"/>
      <c r="BP15" s="2043"/>
      <c r="BQ15" s="2045">
        <f t="shared" si="25"/>
        <v>0</v>
      </c>
      <c r="BR15" s="1930" t="e">
        <f t="shared" si="11"/>
        <v>#DIV/0!</v>
      </c>
      <c r="BS15" s="1929"/>
      <c r="BT15" s="2043">
        <f t="shared" si="12"/>
        <v>0</v>
      </c>
      <c r="BU15" s="2043">
        <f t="shared" si="12"/>
        <v>219050</v>
      </c>
      <c r="BV15" s="2045">
        <f t="shared" si="26"/>
        <v>219050</v>
      </c>
      <c r="BW15" s="2044">
        <f t="shared" si="5"/>
        <v>6.6681245577092339E-3</v>
      </c>
      <c r="BX15" s="1434"/>
    </row>
    <row r="16" spans="1:80" s="953" customFormat="1" ht="15.6" customHeight="1">
      <c r="A16" s="952"/>
      <c r="B16" s="1288" t="s">
        <v>21</v>
      </c>
      <c r="C16" s="1123"/>
      <c r="D16" s="1289">
        <v>2603238.8200000003</v>
      </c>
      <c r="E16" s="1124">
        <f t="shared" si="6"/>
        <v>2603238.8200000003</v>
      </c>
      <c r="F16" s="1125">
        <f t="shared" si="0"/>
        <v>0.10627748128774292</v>
      </c>
      <c r="G16" s="1126">
        <v>0</v>
      </c>
      <c r="H16" s="1126">
        <v>4699653.9200000009</v>
      </c>
      <c r="I16" s="1127">
        <v>4699653.9200000009</v>
      </c>
      <c r="J16" s="1125">
        <v>0.16980362874627308</v>
      </c>
      <c r="K16" s="1125"/>
      <c r="L16" s="1126"/>
      <c r="M16" s="1126"/>
      <c r="N16" s="1127">
        <f t="shared" si="13"/>
        <v>0</v>
      </c>
      <c r="O16" s="1290">
        <f t="shared" si="1"/>
        <v>0</v>
      </c>
      <c r="P16" s="1148"/>
      <c r="Q16" s="1126"/>
      <c r="R16" s="1126">
        <f>36219.9+49960.65+116760+100400+209817.68+62155+73559.71+172365.92+313004</f>
        <v>1134242.8599999999</v>
      </c>
      <c r="S16" s="1127">
        <f t="shared" si="14"/>
        <v>1134242.8599999999</v>
      </c>
      <c r="T16" s="1290">
        <f t="shared" si="2"/>
        <v>0.34403953094064982</v>
      </c>
      <c r="U16" s="1097" t="s">
        <v>1054</v>
      </c>
      <c r="V16" s="1126"/>
      <c r="W16" s="1126">
        <f>35070+34800</f>
        <v>69870</v>
      </c>
      <c r="X16" s="1127">
        <f t="shared" si="15"/>
        <v>69870</v>
      </c>
      <c r="Y16" s="1290">
        <f t="shared" si="27"/>
        <v>0.57514850152095509</v>
      </c>
      <c r="Z16" s="1147" t="s">
        <v>1089</v>
      </c>
      <c r="AA16" s="1126"/>
      <c r="AB16" s="1126"/>
      <c r="AC16" s="1127">
        <f t="shared" si="16"/>
        <v>0</v>
      </c>
      <c r="AD16" s="1290" t="e">
        <f t="shared" si="17"/>
        <v>#DIV/0!</v>
      </c>
      <c r="AE16" s="1149"/>
      <c r="AF16" s="1752"/>
      <c r="AG16" s="1432"/>
      <c r="AH16" s="1759">
        <f t="shared" si="18"/>
        <v>0</v>
      </c>
      <c r="AI16" s="1848">
        <f t="shared" si="28"/>
        <v>0</v>
      </c>
      <c r="AJ16" s="1849"/>
      <c r="AK16" s="1752"/>
      <c r="AL16" s="1752"/>
      <c r="AM16" s="1753">
        <f t="shared" si="19"/>
        <v>0</v>
      </c>
      <c r="AN16" s="1850">
        <f t="shared" si="3"/>
        <v>0</v>
      </c>
      <c r="AO16" s="1758"/>
      <c r="AP16" s="1752"/>
      <c r="AQ16" s="1752"/>
      <c r="AR16" s="1753">
        <f t="shared" si="20"/>
        <v>0</v>
      </c>
      <c r="AS16" s="1851" t="e">
        <f t="shared" si="7"/>
        <v>#DIV/0!</v>
      </c>
      <c r="AT16" s="1849"/>
      <c r="AU16" s="1752"/>
      <c r="AV16" s="1752"/>
      <c r="AW16" s="1753">
        <f t="shared" si="21"/>
        <v>0</v>
      </c>
      <c r="AX16" s="1931">
        <f t="shared" si="8"/>
        <v>0</v>
      </c>
      <c r="AY16" s="1932"/>
      <c r="AZ16" s="1752"/>
      <c r="BA16" s="1752"/>
      <c r="BB16" s="1753">
        <f t="shared" si="22"/>
        <v>0</v>
      </c>
      <c r="BC16" s="1931" t="e">
        <f t="shared" si="9"/>
        <v>#DIV/0!</v>
      </c>
      <c r="BD16" s="1932"/>
      <c r="BE16" s="1752"/>
      <c r="BF16" s="1752"/>
      <c r="BG16" s="1753">
        <f t="shared" si="23"/>
        <v>0</v>
      </c>
      <c r="BH16" s="1931" t="e">
        <f t="shared" si="4"/>
        <v>#DIV/0!</v>
      </c>
      <c r="BI16" s="1932"/>
      <c r="BJ16" s="1752"/>
      <c r="BK16" s="1752"/>
      <c r="BL16" s="1753">
        <f t="shared" si="24"/>
        <v>0</v>
      </c>
      <c r="BM16" s="1931" t="e">
        <f t="shared" si="10"/>
        <v>#DIV/0!</v>
      </c>
      <c r="BN16" s="1932"/>
      <c r="BO16" s="1752"/>
      <c r="BP16" s="1752"/>
      <c r="BQ16" s="1753">
        <f t="shared" si="25"/>
        <v>0</v>
      </c>
      <c r="BR16" s="1931" t="e">
        <f t="shared" si="11"/>
        <v>#DIV/0!</v>
      </c>
      <c r="BS16" s="1932"/>
      <c r="BT16" s="2043">
        <f t="shared" si="12"/>
        <v>0</v>
      </c>
      <c r="BU16" s="2043">
        <f t="shared" si="12"/>
        <v>5903766.7800000012</v>
      </c>
      <c r="BV16" s="1753">
        <f t="shared" si="26"/>
        <v>5903766.7800000012</v>
      </c>
      <c r="BW16" s="1924">
        <f t="shared" si="5"/>
        <v>0.1797171981223738</v>
      </c>
      <c r="BX16" s="1148"/>
    </row>
    <row r="17" spans="1:76" s="2" customFormat="1" ht="14.4" customHeight="1">
      <c r="A17" s="238"/>
      <c r="B17" s="1258" t="s">
        <v>22</v>
      </c>
      <c r="C17" s="1037"/>
      <c r="D17" s="1230"/>
      <c r="E17" s="1178">
        <f t="shared" si="6"/>
        <v>0</v>
      </c>
      <c r="F17" s="1039">
        <f t="shared" si="0"/>
        <v>0</v>
      </c>
      <c r="G17" s="1176">
        <v>0</v>
      </c>
      <c r="H17" s="1176">
        <v>0</v>
      </c>
      <c r="I17" s="1022">
        <v>0</v>
      </c>
      <c r="J17" s="1039">
        <v>0</v>
      </c>
      <c r="K17" s="1039"/>
      <c r="L17" s="1176"/>
      <c r="M17" s="1176"/>
      <c r="N17" s="1022">
        <f t="shared" si="13"/>
        <v>0</v>
      </c>
      <c r="O17" s="1233">
        <f t="shared" si="1"/>
        <v>0</v>
      </c>
      <c r="P17" s="1043"/>
      <c r="Q17" s="1176"/>
      <c r="R17" s="1176"/>
      <c r="S17" s="1022">
        <f t="shared" si="14"/>
        <v>0</v>
      </c>
      <c r="T17" s="1233">
        <f t="shared" si="2"/>
        <v>0</v>
      </c>
      <c r="U17" s="1045"/>
      <c r="V17" s="1176"/>
      <c r="W17" s="1176"/>
      <c r="X17" s="1022">
        <f t="shared" si="15"/>
        <v>0</v>
      </c>
      <c r="Y17" s="1233">
        <f t="shared" si="27"/>
        <v>0</v>
      </c>
      <c r="Z17" s="1147"/>
      <c r="AA17" s="1126"/>
      <c r="AB17" s="1126"/>
      <c r="AC17" s="1022">
        <f t="shared" si="16"/>
        <v>0</v>
      </c>
      <c r="AD17" s="1233" t="e">
        <f t="shared" si="17"/>
        <v>#DIV/0!</v>
      </c>
      <c r="AE17" s="1147"/>
      <c r="AF17" s="1432"/>
      <c r="AG17" s="1432"/>
      <c r="AH17" s="1479">
        <f t="shared" si="18"/>
        <v>0</v>
      </c>
      <c r="AI17" s="1651">
        <f t="shared" si="28"/>
        <v>0</v>
      </c>
      <c r="AJ17" s="1846"/>
      <c r="AK17" s="1432"/>
      <c r="AL17" s="1432"/>
      <c r="AM17" s="1552">
        <f t="shared" si="19"/>
        <v>0</v>
      </c>
      <c r="AN17" s="1638">
        <f t="shared" si="3"/>
        <v>0</v>
      </c>
      <c r="AO17" s="1632"/>
      <c r="AP17" s="1432"/>
      <c r="AQ17" s="1432"/>
      <c r="AR17" s="1552">
        <f t="shared" si="20"/>
        <v>0</v>
      </c>
      <c r="AS17" s="1847" t="e">
        <f t="shared" si="7"/>
        <v>#DIV/0!</v>
      </c>
      <c r="AT17" s="1846"/>
      <c r="AU17" s="2043"/>
      <c r="AV17" s="2043"/>
      <c r="AW17" s="2045">
        <f t="shared" si="21"/>
        <v>0</v>
      </c>
      <c r="AX17" s="1930">
        <f t="shared" si="8"/>
        <v>0</v>
      </c>
      <c r="AY17" s="1929"/>
      <c r="AZ17" s="2043"/>
      <c r="BA17" s="2043"/>
      <c r="BB17" s="2045">
        <f t="shared" si="22"/>
        <v>0</v>
      </c>
      <c r="BC17" s="1930" t="e">
        <f t="shared" si="9"/>
        <v>#DIV/0!</v>
      </c>
      <c r="BD17" s="1929"/>
      <c r="BE17" s="2043"/>
      <c r="BF17" s="2043"/>
      <c r="BG17" s="2045">
        <f t="shared" si="23"/>
        <v>0</v>
      </c>
      <c r="BH17" s="1930" t="e">
        <f t="shared" si="4"/>
        <v>#DIV/0!</v>
      </c>
      <c r="BI17" s="1929"/>
      <c r="BJ17" s="2043"/>
      <c r="BK17" s="2043"/>
      <c r="BL17" s="2045">
        <f t="shared" si="24"/>
        <v>0</v>
      </c>
      <c r="BM17" s="1930" t="e">
        <f t="shared" si="10"/>
        <v>#DIV/0!</v>
      </c>
      <c r="BN17" s="1929"/>
      <c r="BO17" s="2043"/>
      <c r="BP17" s="2043"/>
      <c r="BQ17" s="2045">
        <f t="shared" si="25"/>
        <v>0</v>
      </c>
      <c r="BR17" s="1930" t="e">
        <f t="shared" si="11"/>
        <v>#DIV/0!</v>
      </c>
      <c r="BS17" s="1929"/>
      <c r="BT17" s="2043">
        <f t="shared" si="12"/>
        <v>0</v>
      </c>
      <c r="BU17" s="2043">
        <f t="shared" si="12"/>
        <v>0</v>
      </c>
      <c r="BV17" s="2045">
        <f t="shared" si="26"/>
        <v>0</v>
      </c>
      <c r="BW17" s="2044">
        <f t="shared" si="5"/>
        <v>0</v>
      </c>
      <c r="BX17" s="1434"/>
    </row>
    <row r="18" spans="1:76" s="2" customFormat="1" ht="14.4" customHeight="1">
      <c r="A18" s="238"/>
      <c r="B18" s="1258" t="s">
        <v>0</v>
      </c>
      <c r="C18" s="1037">
        <v>13821971.449999999</v>
      </c>
      <c r="D18" s="1230">
        <v>349506</v>
      </c>
      <c r="E18" s="1178">
        <f t="shared" si="6"/>
        <v>14171477.449999999</v>
      </c>
      <c r="F18" s="1039">
        <f t="shared" si="0"/>
        <v>0.57855196301661083</v>
      </c>
      <c r="G18" s="1176">
        <v>9478290.4700000007</v>
      </c>
      <c r="H18" s="1176">
        <v>15050</v>
      </c>
      <c r="I18" s="1022">
        <v>9493340.4700000007</v>
      </c>
      <c r="J18" s="1039">
        <v>0.34300475910997497</v>
      </c>
      <c r="K18" s="1039"/>
      <c r="L18" s="1176"/>
      <c r="M18" s="1176">
        <v>6000</v>
      </c>
      <c r="N18" s="1022">
        <f t="shared" si="13"/>
        <v>6000</v>
      </c>
      <c r="O18" s="1233">
        <f t="shared" si="1"/>
        <v>9.7761094864002671E-3</v>
      </c>
      <c r="P18" s="1043" t="s">
        <v>1002</v>
      </c>
      <c r="Q18" s="1176">
        <f>10573.33*1.2</f>
        <v>12687.995999999999</v>
      </c>
      <c r="R18" s="1176">
        <v>20000</v>
      </c>
      <c r="S18" s="1022">
        <f t="shared" si="14"/>
        <v>32687.995999999999</v>
      </c>
      <c r="T18" s="1233">
        <f t="shared" si="2"/>
        <v>9.914951381073572E-3</v>
      </c>
      <c r="U18" s="1059" t="s">
        <v>1042</v>
      </c>
      <c r="V18" s="1176"/>
      <c r="W18" s="1176"/>
      <c r="X18" s="1022">
        <f t="shared" si="15"/>
        <v>0</v>
      </c>
      <c r="Y18" s="1233">
        <f t="shared" si="27"/>
        <v>0</v>
      </c>
      <c r="Z18" s="1147"/>
      <c r="AA18" s="1126"/>
      <c r="AB18" s="1126"/>
      <c r="AC18" s="1022">
        <f t="shared" si="16"/>
        <v>0</v>
      </c>
      <c r="AD18" s="1233" t="e">
        <f t="shared" si="17"/>
        <v>#DIV/0!</v>
      </c>
      <c r="AE18" s="1147"/>
      <c r="AF18" s="1432"/>
      <c r="AG18" s="1432"/>
      <c r="AH18" s="1479">
        <f t="shared" si="18"/>
        <v>0</v>
      </c>
      <c r="AI18" s="1651">
        <f t="shared" si="28"/>
        <v>0</v>
      </c>
      <c r="AJ18" s="1846"/>
      <c r="AK18" s="1432"/>
      <c r="AL18" s="1432"/>
      <c r="AM18" s="1552">
        <f t="shared" si="19"/>
        <v>0</v>
      </c>
      <c r="AN18" s="1638">
        <f t="shared" si="3"/>
        <v>0</v>
      </c>
      <c r="AO18" s="1632"/>
      <c r="AP18" s="1432"/>
      <c r="AQ18" s="1432"/>
      <c r="AR18" s="1552">
        <f t="shared" si="20"/>
        <v>0</v>
      </c>
      <c r="AS18" s="1847" t="e">
        <f t="shared" si="7"/>
        <v>#DIV/0!</v>
      </c>
      <c r="AT18" s="1846"/>
      <c r="AU18" s="1871">
        <f>242750</f>
        <v>242750</v>
      </c>
      <c r="AV18" s="1871"/>
      <c r="AW18" s="1872">
        <f t="shared" si="21"/>
        <v>242750</v>
      </c>
      <c r="AX18" s="1933">
        <f t="shared" si="8"/>
        <v>0.22994752266938717</v>
      </c>
      <c r="AY18" s="1934" t="s">
        <v>1266</v>
      </c>
      <c r="AZ18" s="2043"/>
      <c r="BA18" s="2043"/>
      <c r="BB18" s="2045">
        <f t="shared" si="22"/>
        <v>0</v>
      </c>
      <c r="BC18" s="1930" t="e">
        <f t="shared" si="9"/>
        <v>#DIV/0!</v>
      </c>
      <c r="BD18" s="1929"/>
      <c r="BE18" s="2043"/>
      <c r="BF18" s="2043"/>
      <c r="BG18" s="2045">
        <f t="shared" si="23"/>
        <v>0</v>
      </c>
      <c r="BH18" s="1930" t="e">
        <f t="shared" si="4"/>
        <v>#DIV/0!</v>
      </c>
      <c r="BI18" s="1929"/>
      <c r="BJ18" s="2043"/>
      <c r="BK18" s="2043"/>
      <c r="BL18" s="2045">
        <f t="shared" si="24"/>
        <v>0</v>
      </c>
      <c r="BM18" s="1930" t="e">
        <f t="shared" si="10"/>
        <v>#DIV/0!</v>
      </c>
      <c r="BN18" s="1929"/>
      <c r="BO18" s="2043"/>
      <c r="BP18" s="2043"/>
      <c r="BQ18" s="2045">
        <f t="shared" si="25"/>
        <v>0</v>
      </c>
      <c r="BR18" s="1930" t="e">
        <f t="shared" si="11"/>
        <v>#DIV/0!</v>
      </c>
      <c r="BS18" s="1929"/>
      <c r="BT18" s="2043">
        <f t="shared" si="12"/>
        <v>9733728.466</v>
      </c>
      <c r="BU18" s="2043">
        <f t="shared" si="12"/>
        <v>41050</v>
      </c>
      <c r="BV18" s="2045">
        <f t="shared" si="26"/>
        <v>9774778.466</v>
      </c>
      <c r="BW18" s="2044">
        <f t="shared" si="5"/>
        <v>0.29755508027985389</v>
      </c>
      <c r="BX18" s="1434"/>
    </row>
    <row r="19" spans="1:76" s="2" customFormat="1" ht="14.4" customHeight="1">
      <c r="A19" s="238"/>
      <c r="B19" s="1258" t="s">
        <v>53</v>
      </c>
      <c r="C19" s="1101">
        <v>32400</v>
      </c>
      <c r="D19" s="1230"/>
      <c r="E19" s="1178">
        <f t="shared" si="6"/>
        <v>32400</v>
      </c>
      <c r="F19" s="1039">
        <f t="shared" si="0"/>
        <v>1.322733191925461E-3</v>
      </c>
      <c r="G19" s="1176">
        <v>86249.995999999999</v>
      </c>
      <c r="H19" s="1176">
        <v>52000</v>
      </c>
      <c r="I19" s="1022">
        <v>138249.99599999998</v>
      </c>
      <c r="J19" s="1039">
        <v>4.9951233419667914E-3</v>
      </c>
      <c r="K19" s="1039"/>
      <c r="L19" s="1176"/>
      <c r="M19" s="1176"/>
      <c r="N19" s="1022">
        <f t="shared" si="13"/>
        <v>0</v>
      </c>
      <c r="O19" s="1233">
        <f t="shared" si="1"/>
        <v>0</v>
      </c>
      <c r="P19" s="1045"/>
      <c r="Q19" s="1176"/>
      <c r="R19" s="1176"/>
      <c r="S19" s="1022">
        <f t="shared" si="14"/>
        <v>0</v>
      </c>
      <c r="T19" s="1233">
        <f t="shared" si="2"/>
        <v>0</v>
      </c>
      <c r="U19" s="1045"/>
      <c r="V19" s="1176"/>
      <c r="W19" s="1176"/>
      <c r="X19" s="1022">
        <f t="shared" si="15"/>
        <v>0</v>
      </c>
      <c r="Y19" s="1233">
        <f t="shared" si="27"/>
        <v>0</v>
      </c>
      <c r="Z19" s="1147"/>
      <c r="AA19" s="1126"/>
      <c r="AB19" s="1126"/>
      <c r="AC19" s="1022">
        <f t="shared" si="16"/>
        <v>0</v>
      </c>
      <c r="AD19" s="1233" t="e">
        <f t="shared" si="17"/>
        <v>#DIV/0!</v>
      </c>
      <c r="AE19" s="1147"/>
      <c r="AF19" s="1432"/>
      <c r="AG19" s="1432"/>
      <c r="AH19" s="1479">
        <f t="shared" si="18"/>
        <v>0</v>
      </c>
      <c r="AI19" s="1651">
        <f t="shared" si="28"/>
        <v>0</v>
      </c>
      <c r="AJ19" s="1846"/>
      <c r="AK19" s="1432"/>
      <c r="AL19" s="1432"/>
      <c r="AM19" s="1552">
        <f t="shared" si="19"/>
        <v>0</v>
      </c>
      <c r="AN19" s="1638">
        <f t="shared" si="3"/>
        <v>0</v>
      </c>
      <c r="AO19" s="1632"/>
      <c r="AP19" s="1432"/>
      <c r="AQ19" s="1432"/>
      <c r="AR19" s="1552">
        <f t="shared" si="20"/>
        <v>0</v>
      </c>
      <c r="AS19" s="1847" t="e">
        <f t="shared" si="7"/>
        <v>#DIV/0!</v>
      </c>
      <c r="AT19" s="1846"/>
      <c r="AU19" s="2043"/>
      <c r="AV19" s="2043"/>
      <c r="AW19" s="2045">
        <f t="shared" si="21"/>
        <v>0</v>
      </c>
      <c r="AX19" s="1930">
        <f t="shared" si="8"/>
        <v>0</v>
      </c>
      <c r="AY19" s="1929"/>
      <c r="AZ19" s="2043"/>
      <c r="BA19" s="2043"/>
      <c r="BB19" s="2045">
        <f t="shared" si="22"/>
        <v>0</v>
      </c>
      <c r="BC19" s="1930" t="e">
        <f t="shared" si="9"/>
        <v>#DIV/0!</v>
      </c>
      <c r="BD19" s="1929"/>
      <c r="BE19" s="2043"/>
      <c r="BF19" s="2043"/>
      <c r="BG19" s="2045">
        <f t="shared" si="23"/>
        <v>0</v>
      </c>
      <c r="BH19" s="1930" t="e">
        <f t="shared" si="4"/>
        <v>#DIV/0!</v>
      </c>
      <c r="BI19" s="1929"/>
      <c r="BJ19" s="2043"/>
      <c r="BK19" s="2043"/>
      <c r="BL19" s="2045">
        <f t="shared" si="24"/>
        <v>0</v>
      </c>
      <c r="BM19" s="1930" t="e">
        <f t="shared" si="10"/>
        <v>#DIV/0!</v>
      </c>
      <c r="BN19" s="1929"/>
      <c r="BO19" s="2043"/>
      <c r="BP19" s="2043"/>
      <c r="BQ19" s="2045">
        <f t="shared" si="25"/>
        <v>0</v>
      </c>
      <c r="BR19" s="1930" t="e">
        <f t="shared" si="11"/>
        <v>#DIV/0!</v>
      </c>
      <c r="BS19" s="1929"/>
      <c r="BT19" s="2043">
        <f t="shared" si="12"/>
        <v>86249.995999999999</v>
      </c>
      <c r="BU19" s="2043">
        <f t="shared" si="12"/>
        <v>52000</v>
      </c>
      <c r="BV19" s="2045">
        <f t="shared" si="26"/>
        <v>138249.99599999998</v>
      </c>
      <c r="BW19" s="2044">
        <f t="shared" si="5"/>
        <v>4.2084829647605721E-3</v>
      </c>
      <c r="BX19" s="1434"/>
    </row>
    <row r="20" spans="1:76" s="2" customFormat="1" ht="14.4" customHeight="1">
      <c r="A20" s="238"/>
      <c r="B20" s="1258" t="s">
        <v>57</v>
      </c>
      <c r="C20" s="1101"/>
      <c r="D20" s="1230"/>
      <c r="E20" s="1178">
        <f t="shared" si="6"/>
        <v>0</v>
      </c>
      <c r="F20" s="1039">
        <f t="shared" si="0"/>
        <v>0</v>
      </c>
      <c r="G20" s="1176">
        <v>0</v>
      </c>
      <c r="H20" s="1176">
        <v>0</v>
      </c>
      <c r="I20" s="1022">
        <v>0</v>
      </c>
      <c r="J20" s="1039">
        <v>0</v>
      </c>
      <c r="K20" s="1039"/>
      <c r="L20" s="1176"/>
      <c r="M20" s="1176"/>
      <c r="N20" s="1022">
        <f t="shared" si="13"/>
        <v>0</v>
      </c>
      <c r="O20" s="1233">
        <f t="shared" si="1"/>
        <v>0</v>
      </c>
      <c r="P20" s="1043"/>
      <c r="Q20" s="1176"/>
      <c r="R20" s="1176"/>
      <c r="S20" s="1022">
        <f t="shared" si="14"/>
        <v>0</v>
      </c>
      <c r="T20" s="1233">
        <f t="shared" si="2"/>
        <v>0</v>
      </c>
      <c r="U20" s="1045"/>
      <c r="V20" s="1176"/>
      <c r="W20" s="1176"/>
      <c r="X20" s="1022">
        <f t="shared" si="15"/>
        <v>0</v>
      </c>
      <c r="Y20" s="1233">
        <f t="shared" si="27"/>
        <v>0</v>
      </c>
      <c r="Z20" s="1147"/>
      <c r="AA20" s="1126"/>
      <c r="AB20" s="1126"/>
      <c r="AC20" s="1022">
        <f t="shared" si="16"/>
        <v>0</v>
      </c>
      <c r="AD20" s="1233" t="e">
        <f t="shared" si="17"/>
        <v>#DIV/0!</v>
      </c>
      <c r="AE20" s="1147"/>
      <c r="AF20" s="1432"/>
      <c r="AG20" s="1432"/>
      <c r="AH20" s="1479">
        <f t="shared" si="18"/>
        <v>0</v>
      </c>
      <c r="AI20" s="1651">
        <f t="shared" si="28"/>
        <v>0</v>
      </c>
      <c r="AJ20" s="1846"/>
      <c r="AK20" s="1432"/>
      <c r="AL20" s="1432"/>
      <c r="AM20" s="1552">
        <f t="shared" si="19"/>
        <v>0</v>
      </c>
      <c r="AN20" s="1638">
        <f t="shared" si="3"/>
        <v>0</v>
      </c>
      <c r="AO20" s="1632"/>
      <c r="AP20" s="1432"/>
      <c r="AQ20" s="1432"/>
      <c r="AR20" s="1552">
        <f t="shared" si="20"/>
        <v>0</v>
      </c>
      <c r="AS20" s="1847" t="e">
        <f t="shared" si="7"/>
        <v>#DIV/0!</v>
      </c>
      <c r="AT20" s="1846"/>
      <c r="AU20" s="2043"/>
      <c r="AV20" s="2043"/>
      <c r="AW20" s="2045">
        <f t="shared" si="21"/>
        <v>0</v>
      </c>
      <c r="AX20" s="1930">
        <f t="shared" si="8"/>
        <v>0</v>
      </c>
      <c r="AY20" s="1929"/>
      <c r="AZ20" s="2043"/>
      <c r="BA20" s="2043"/>
      <c r="BB20" s="2045">
        <f t="shared" si="22"/>
        <v>0</v>
      </c>
      <c r="BC20" s="1930" t="e">
        <f t="shared" si="9"/>
        <v>#DIV/0!</v>
      </c>
      <c r="BD20" s="1929"/>
      <c r="BE20" s="2043"/>
      <c r="BF20" s="2043"/>
      <c r="BG20" s="2045">
        <f t="shared" si="23"/>
        <v>0</v>
      </c>
      <c r="BH20" s="1930" t="e">
        <f t="shared" si="4"/>
        <v>#DIV/0!</v>
      </c>
      <c r="BI20" s="1929"/>
      <c r="BJ20" s="2043"/>
      <c r="BK20" s="2043"/>
      <c r="BL20" s="2045">
        <f t="shared" si="24"/>
        <v>0</v>
      </c>
      <c r="BM20" s="1930" t="e">
        <f t="shared" si="10"/>
        <v>#DIV/0!</v>
      </c>
      <c r="BN20" s="1929"/>
      <c r="BO20" s="2043"/>
      <c r="BP20" s="2043"/>
      <c r="BQ20" s="2045">
        <f t="shared" si="25"/>
        <v>0</v>
      </c>
      <c r="BR20" s="1930" t="e">
        <f t="shared" si="11"/>
        <v>#DIV/0!</v>
      </c>
      <c r="BS20" s="1929"/>
      <c r="BT20" s="2043">
        <f t="shared" si="12"/>
        <v>0</v>
      </c>
      <c r="BU20" s="2043">
        <f t="shared" si="12"/>
        <v>0</v>
      </c>
      <c r="BV20" s="2045">
        <f t="shared" si="26"/>
        <v>0</v>
      </c>
      <c r="BW20" s="2044">
        <f t="shared" si="5"/>
        <v>0</v>
      </c>
      <c r="BX20" s="1434"/>
    </row>
    <row r="21" spans="1:76" s="2" customFormat="1" ht="14.4" customHeight="1">
      <c r="A21" s="238"/>
      <c r="B21" s="1258" t="s">
        <v>58</v>
      </c>
      <c r="C21" s="1101">
        <v>2086419.26</v>
      </c>
      <c r="D21" s="1230"/>
      <c r="E21" s="1178">
        <f t="shared" si="6"/>
        <v>2086419.26</v>
      </c>
      <c r="F21" s="1039">
        <f t="shared" si="0"/>
        <v>8.5178271835634506E-2</v>
      </c>
      <c r="G21" s="1176">
        <v>1865623.77</v>
      </c>
      <c r="H21" s="1176">
        <v>0</v>
      </c>
      <c r="I21" s="1022">
        <v>1865623.77</v>
      </c>
      <c r="J21" s="1039">
        <v>6.7407024307292465E-2</v>
      </c>
      <c r="K21" s="1039"/>
      <c r="L21" s="1176"/>
      <c r="M21" s="1176"/>
      <c r="N21" s="1022">
        <f t="shared" si="13"/>
        <v>0</v>
      </c>
      <c r="O21" s="1233">
        <f t="shared" si="1"/>
        <v>0</v>
      </c>
      <c r="P21" s="1059"/>
      <c r="Q21" s="1176">
        <f>195025.37+240329</f>
        <v>435354.37</v>
      </c>
      <c r="R21" s="1176"/>
      <c r="S21" s="1022">
        <f t="shared" si="14"/>
        <v>435354.37</v>
      </c>
      <c r="T21" s="1233">
        <f t="shared" si="2"/>
        <v>0.13205206621072504</v>
      </c>
      <c r="U21" s="1059" t="s">
        <v>1057</v>
      </c>
      <c r="V21" s="1176"/>
      <c r="W21" s="1176"/>
      <c r="X21" s="1022">
        <f t="shared" si="15"/>
        <v>0</v>
      </c>
      <c r="Y21" s="1233">
        <f t="shared" si="27"/>
        <v>0</v>
      </c>
      <c r="Z21" s="1147"/>
      <c r="AA21" s="1126"/>
      <c r="AB21" s="1126"/>
      <c r="AC21" s="1022">
        <f t="shared" si="16"/>
        <v>0</v>
      </c>
      <c r="AD21" s="1233" t="e">
        <f t="shared" si="17"/>
        <v>#DIV/0!</v>
      </c>
      <c r="AE21" s="1147"/>
      <c r="AF21" s="1432"/>
      <c r="AG21" s="1432"/>
      <c r="AH21" s="1479">
        <f t="shared" si="18"/>
        <v>0</v>
      </c>
      <c r="AI21" s="1651">
        <f t="shared" si="28"/>
        <v>0</v>
      </c>
      <c r="AJ21" s="1846"/>
      <c r="AK21" s="1432"/>
      <c r="AL21" s="1432"/>
      <c r="AM21" s="1552">
        <f t="shared" si="19"/>
        <v>0</v>
      </c>
      <c r="AN21" s="1638">
        <f t="shared" si="3"/>
        <v>0</v>
      </c>
      <c r="AO21" s="1632"/>
      <c r="AP21" s="1432"/>
      <c r="AQ21" s="1432"/>
      <c r="AR21" s="1552">
        <f t="shared" si="20"/>
        <v>0</v>
      </c>
      <c r="AS21" s="1847" t="e">
        <f t="shared" si="7"/>
        <v>#DIV/0!</v>
      </c>
      <c r="AT21" s="1846"/>
      <c r="AU21" s="2043"/>
      <c r="AV21" s="2043"/>
      <c r="AW21" s="2045">
        <f t="shared" si="21"/>
        <v>0</v>
      </c>
      <c r="AX21" s="1930">
        <f t="shared" si="8"/>
        <v>0</v>
      </c>
      <c r="AY21" s="1929"/>
      <c r="AZ21" s="2043"/>
      <c r="BA21" s="2043"/>
      <c r="BB21" s="2045">
        <f t="shared" si="22"/>
        <v>0</v>
      </c>
      <c r="BC21" s="1930" t="e">
        <f t="shared" si="9"/>
        <v>#DIV/0!</v>
      </c>
      <c r="BD21" s="1929"/>
      <c r="BE21" s="2043"/>
      <c r="BF21" s="2043"/>
      <c r="BG21" s="2045">
        <f t="shared" si="23"/>
        <v>0</v>
      </c>
      <c r="BH21" s="1930" t="e">
        <f t="shared" si="4"/>
        <v>#DIV/0!</v>
      </c>
      <c r="BI21" s="1929"/>
      <c r="BJ21" s="2043"/>
      <c r="BK21" s="2043"/>
      <c r="BL21" s="2045">
        <f t="shared" si="24"/>
        <v>0</v>
      </c>
      <c r="BM21" s="1930" t="e">
        <f t="shared" si="10"/>
        <v>#DIV/0!</v>
      </c>
      <c r="BN21" s="1929"/>
      <c r="BO21" s="2043"/>
      <c r="BP21" s="2043"/>
      <c r="BQ21" s="2045">
        <f t="shared" si="25"/>
        <v>0</v>
      </c>
      <c r="BR21" s="1930" t="e">
        <f t="shared" si="11"/>
        <v>#DIV/0!</v>
      </c>
      <c r="BS21" s="1929"/>
      <c r="BT21" s="2043">
        <f t="shared" si="12"/>
        <v>2300978.14</v>
      </c>
      <c r="BU21" s="2043">
        <f t="shared" si="12"/>
        <v>0</v>
      </c>
      <c r="BV21" s="2045">
        <f t="shared" si="26"/>
        <v>2300978.14</v>
      </c>
      <c r="BW21" s="2044">
        <f t="shared" si="5"/>
        <v>7.004432249297475E-2</v>
      </c>
      <c r="BX21" s="1434"/>
    </row>
    <row r="22" spans="1:76" s="2" customFormat="1" ht="14.4" customHeight="1">
      <c r="A22" s="238"/>
      <c r="B22" s="1258" t="s">
        <v>621</v>
      </c>
      <c r="C22" s="1101">
        <v>48000</v>
      </c>
      <c r="D22" s="1230"/>
      <c r="E22" s="1178">
        <f t="shared" si="6"/>
        <v>48000</v>
      </c>
      <c r="F22" s="1039">
        <f t="shared" si="0"/>
        <v>1.9596047287784605E-3</v>
      </c>
      <c r="G22" s="1176">
        <v>1392104.996</v>
      </c>
      <c r="H22" s="1176">
        <v>2500</v>
      </c>
      <c r="I22" s="1022">
        <v>1394604.996</v>
      </c>
      <c r="J22" s="1039">
        <v>5.0388601590578744E-2</v>
      </c>
      <c r="K22" s="1039"/>
      <c r="L22" s="1176"/>
      <c r="M22" s="1176"/>
      <c r="N22" s="1022"/>
      <c r="O22" s="1233"/>
      <c r="P22" s="1043"/>
      <c r="Q22" s="1176">
        <f>87500*1.2</f>
        <v>105000</v>
      </c>
      <c r="R22" s="1176"/>
      <c r="S22" s="1022">
        <f t="shared" si="14"/>
        <v>105000</v>
      </c>
      <c r="T22" s="1233">
        <f t="shared" si="2"/>
        <v>3.1848691336499341E-2</v>
      </c>
      <c r="U22" s="1049" t="s">
        <v>1037</v>
      </c>
      <c r="V22" s="1176"/>
      <c r="W22" s="1176"/>
      <c r="X22" s="1022">
        <f t="shared" si="15"/>
        <v>0</v>
      </c>
      <c r="Y22" s="1233">
        <f t="shared" si="27"/>
        <v>0</v>
      </c>
      <c r="Z22" s="1147"/>
      <c r="AA22" s="1126"/>
      <c r="AB22" s="1126"/>
      <c r="AC22" s="1022"/>
      <c r="AD22" s="1233" t="e">
        <f t="shared" si="17"/>
        <v>#DIV/0!</v>
      </c>
      <c r="AE22" s="1147"/>
      <c r="AF22" s="1432"/>
      <c r="AG22" s="1432"/>
      <c r="AH22" s="1479">
        <f t="shared" si="18"/>
        <v>0</v>
      </c>
      <c r="AI22" s="1651">
        <f t="shared" si="28"/>
        <v>0</v>
      </c>
      <c r="AJ22" s="1846"/>
      <c r="AK22" s="1432"/>
      <c r="AL22" s="1432"/>
      <c r="AM22" s="1552">
        <f t="shared" si="19"/>
        <v>0</v>
      </c>
      <c r="AN22" s="1638">
        <f t="shared" si="3"/>
        <v>0</v>
      </c>
      <c r="AO22" s="1632"/>
      <c r="AP22" s="1432"/>
      <c r="AQ22" s="1432"/>
      <c r="AR22" s="1552">
        <f t="shared" si="20"/>
        <v>0</v>
      </c>
      <c r="AS22" s="1847" t="e">
        <f t="shared" si="7"/>
        <v>#DIV/0!</v>
      </c>
      <c r="AT22" s="1846"/>
      <c r="AU22" s="2043"/>
      <c r="AV22" s="2043"/>
      <c r="AW22" s="2045">
        <f t="shared" si="21"/>
        <v>0</v>
      </c>
      <c r="AX22" s="1930">
        <f t="shared" si="8"/>
        <v>0</v>
      </c>
      <c r="AY22" s="1929"/>
      <c r="AZ22" s="2043"/>
      <c r="BA22" s="2043"/>
      <c r="BB22" s="2045">
        <f t="shared" si="22"/>
        <v>0</v>
      </c>
      <c r="BC22" s="1930" t="e">
        <f t="shared" si="9"/>
        <v>#DIV/0!</v>
      </c>
      <c r="BD22" s="1929"/>
      <c r="BE22" s="2043"/>
      <c r="BF22" s="2043"/>
      <c r="BG22" s="2045">
        <f t="shared" si="23"/>
        <v>0</v>
      </c>
      <c r="BH22" s="1930" t="e">
        <f t="shared" si="4"/>
        <v>#DIV/0!</v>
      </c>
      <c r="BI22" s="1929"/>
      <c r="BJ22" s="2043"/>
      <c r="BK22" s="2043"/>
      <c r="BL22" s="2045">
        <f t="shared" si="24"/>
        <v>0</v>
      </c>
      <c r="BM22" s="1930" t="e">
        <f t="shared" si="10"/>
        <v>#DIV/0!</v>
      </c>
      <c r="BN22" s="1929"/>
      <c r="BO22" s="2043"/>
      <c r="BP22" s="2043"/>
      <c r="BQ22" s="2045">
        <f t="shared" si="25"/>
        <v>0</v>
      </c>
      <c r="BR22" s="1930" t="e">
        <f t="shared" si="11"/>
        <v>#DIV/0!</v>
      </c>
      <c r="BS22" s="1929"/>
      <c r="BT22" s="2043">
        <f t="shared" si="12"/>
        <v>1497104.996</v>
      </c>
      <c r="BU22" s="2043">
        <f t="shared" si="12"/>
        <v>2500</v>
      </c>
      <c r="BV22" s="2045">
        <f t="shared" si="26"/>
        <v>1499604.996</v>
      </c>
      <c r="BW22" s="2044">
        <f t="shared" si="5"/>
        <v>4.5649636615800314E-2</v>
      </c>
      <c r="BX22" s="1434"/>
    </row>
    <row r="23" spans="1:76" s="2" customFormat="1" ht="48" customHeight="1">
      <c r="A23" s="238"/>
      <c r="B23" s="1258" t="s">
        <v>630</v>
      </c>
      <c r="C23" s="1101"/>
      <c r="D23" s="1230"/>
      <c r="E23" s="1178">
        <f t="shared" si="6"/>
        <v>0</v>
      </c>
      <c r="F23" s="1039">
        <f t="shared" si="0"/>
        <v>0</v>
      </c>
      <c r="G23" s="1176">
        <v>88368.42</v>
      </c>
      <c r="H23" s="1176">
        <v>0</v>
      </c>
      <c r="I23" s="1022">
        <v>88368.42</v>
      </c>
      <c r="J23" s="1039">
        <v>3.1928475240948656E-3</v>
      </c>
      <c r="K23" s="1039"/>
      <c r="L23" s="1176"/>
      <c r="M23" s="1176"/>
      <c r="N23" s="1022"/>
      <c r="O23" s="1233"/>
      <c r="P23" s="1043"/>
      <c r="Q23" s="1176">
        <f>4243.4</f>
        <v>4243.3999999999996</v>
      </c>
      <c r="R23" s="1176"/>
      <c r="S23" s="1022">
        <f t="shared" si="14"/>
        <v>4243.3999999999996</v>
      </c>
      <c r="T23" s="1233">
        <f t="shared" si="2"/>
        <v>1.2871117792123932E-3</v>
      </c>
      <c r="U23" s="1049"/>
      <c r="V23" s="1176">
        <f>5600*1.2</f>
        <v>6720</v>
      </c>
      <c r="W23" s="1176"/>
      <c r="X23" s="1022">
        <f t="shared" si="15"/>
        <v>6720</v>
      </c>
      <c r="Y23" s="1233">
        <f t="shared" si="27"/>
        <v>5.5316987694587351E-2</v>
      </c>
      <c r="Z23" s="1147"/>
      <c r="AA23" s="1126"/>
      <c r="AB23" s="1126"/>
      <c r="AC23" s="1022"/>
      <c r="AD23" s="1233" t="e">
        <f t="shared" si="17"/>
        <v>#DIV/0!</v>
      </c>
      <c r="AE23" s="1147"/>
      <c r="AF23" s="1432">
        <f>2440.68*1.2</f>
        <v>2928.8159999999998</v>
      </c>
      <c r="AG23" s="1432"/>
      <c r="AH23" s="1479">
        <f t="shared" si="18"/>
        <v>2928.8159999999998</v>
      </c>
      <c r="AI23" s="1651">
        <f t="shared" si="28"/>
        <v>1</v>
      </c>
      <c r="AJ23" s="1846" t="s">
        <v>1136</v>
      </c>
      <c r="AK23" s="1432"/>
      <c r="AL23" s="1432"/>
      <c r="AM23" s="1552">
        <f t="shared" si="19"/>
        <v>0</v>
      </c>
      <c r="AN23" s="1638">
        <f t="shared" si="3"/>
        <v>0</v>
      </c>
      <c r="AO23" s="1632"/>
      <c r="AP23" s="1432"/>
      <c r="AQ23" s="1432"/>
      <c r="AR23" s="1552">
        <f t="shared" si="20"/>
        <v>0</v>
      </c>
      <c r="AS23" s="1847" t="e">
        <f t="shared" si="7"/>
        <v>#DIV/0!</v>
      </c>
      <c r="AT23" s="1846"/>
      <c r="AU23" s="2043"/>
      <c r="AV23" s="2043"/>
      <c r="AW23" s="2045">
        <f t="shared" si="21"/>
        <v>0</v>
      </c>
      <c r="AX23" s="1930">
        <f t="shared" si="8"/>
        <v>0</v>
      </c>
      <c r="AY23" s="1929"/>
      <c r="AZ23" s="2043"/>
      <c r="BA23" s="2043"/>
      <c r="BB23" s="2045">
        <f t="shared" si="22"/>
        <v>0</v>
      </c>
      <c r="BC23" s="1930" t="e">
        <f t="shared" si="9"/>
        <v>#DIV/0!</v>
      </c>
      <c r="BD23" s="1929"/>
      <c r="BE23" s="2043"/>
      <c r="BF23" s="2043"/>
      <c r="BG23" s="2045">
        <f t="shared" si="23"/>
        <v>0</v>
      </c>
      <c r="BH23" s="1930" t="e">
        <f t="shared" si="4"/>
        <v>#DIV/0!</v>
      </c>
      <c r="BI23" s="1929"/>
      <c r="BJ23" s="2043"/>
      <c r="BK23" s="2043"/>
      <c r="BL23" s="2045">
        <f t="shared" si="24"/>
        <v>0</v>
      </c>
      <c r="BM23" s="1930" t="e">
        <f t="shared" si="10"/>
        <v>#DIV/0!</v>
      </c>
      <c r="BN23" s="1929"/>
      <c r="BO23" s="2043"/>
      <c r="BP23" s="2043"/>
      <c r="BQ23" s="2045">
        <f t="shared" si="25"/>
        <v>0</v>
      </c>
      <c r="BR23" s="1930" t="e">
        <f t="shared" si="11"/>
        <v>#DIV/0!</v>
      </c>
      <c r="BS23" s="1929"/>
      <c r="BT23" s="2043">
        <f t="shared" si="12"/>
        <v>102260.636</v>
      </c>
      <c r="BU23" s="2043">
        <f t="shared" si="12"/>
        <v>0</v>
      </c>
      <c r="BV23" s="2045">
        <f>BT23+BU23*1</f>
        <v>102260.636</v>
      </c>
      <c r="BW23" s="2044">
        <f t="shared" si="5"/>
        <v>3.1129269947435061E-3</v>
      </c>
      <c r="BX23" s="1434"/>
    </row>
    <row r="24" spans="1:76" s="2" customFormat="1" ht="14.4" customHeight="1">
      <c r="A24" s="238"/>
      <c r="B24" s="1258" t="s">
        <v>23</v>
      </c>
      <c r="C24" s="1101">
        <v>175000</v>
      </c>
      <c r="D24" s="1230"/>
      <c r="E24" s="1178">
        <f t="shared" si="6"/>
        <v>175000</v>
      </c>
      <c r="F24" s="1039">
        <f t="shared" si="0"/>
        <v>7.1443922403381377E-3</v>
      </c>
      <c r="G24" s="1176">
        <v>612582.88800000004</v>
      </c>
      <c r="H24" s="1176">
        <v>1200</v>
      </c>
      <c r="I24" s="1022">
        <v>613782.88800000004</v>
      </c>
      <c r="J24" s="1039">
        <v>2.2176646072008491E-2</v>
      </c>
      <c r="K24" s="1039"/>
      <c r="L24" s="1176"/>
      <c r="M24" s="1176"/>
      <c r="N24" s="1022">
        <f t="shared" si="13"/>
        <v>0</v>
      </c>
      <c r="O24" s="1233">
        <f t="shared" ref="O24:O33" si="29">N24/$N$89</f>
        <v>0</v>
      </c>
      <c r="P24" s="1059"/>
      <c r="Q24" s="1176">
        <f>666.67*1.2+1000*1.2</f>
        <v>2000.0039999999999</v>
      </c>
      <c r="R24" s="1176"/>
      <c r="S24" s="1022">
        <f t="shared" si="14"/>
        <v>2000.0039999999999</v>
      </c>
      <c r="T24" s="1233">
        <f t="shared" si="2"/>
        <v>6.066429530263241E-4</v>
      </c>
      <c r="U24" s="1059" t="s">
        <v>1041</v>
      </c>
      <c r="V24" s="1176"/>
      <c r="W24" s="1176"/>
      <c r="X24" s="1022">
        <f t="shared" si="15"/>
        <v>0</v>
      </c>
      <c r="Y24" s="1233">
        <f t="shared" si="27"/>
        <v>0</v>
      </c>
      <c r="Z24" s="1147"/>
      <c r="AA24" s="1126"/>
      <c r="AB24" s="1126"/>
      <c r="AC24" s="1022">
        <f t="shared" ref="AC24:AC33" si="30">AA24+AB24*1</f>
        <v>0</v>
      </c>
      <c r="AD24" s="1233" t="e">
        <f>AC24/$AC$89</f>
        <v>#DIV/0!</v>
      </c>
      <c r="AE24" s="1147"/>
      <c r="AF24" s="1432"/>
      <c r="AG24" s="1432"/>
      <c r="AH24" s="1479">
        <f t="shared" si="18"/>
        <v>0</v>
      </c>
      <c r="AI24" s="1651">
        <f t="shared" si="28"/>
        <v>0</v>
      </c>
      <c r="AJ24" s="1846"/>
      <c r="AK24" s="1432"/>
      <c r="AL24" s="1432"/>
      <c r="AM24" s="1552">
        <f t="shared" si="19"/>
        <v>0</v>
      </c>
      <c r="AN24" s="1638">
        <f t="shared" si="3"/>
        <v>0</v>
      </c>
      <c r="AO24" s="1632"/>
      <c r="AP24" s="1432"/>
      <c r="AQ24" s="1432"/>
      <c r="AR24" s="1552">
        <f t="shared" si="20"/>
        <v>0</v>
      </c>
      <c r="AS24" s="1847" t="e">
        <f t="shared" si="7"/>
        <v>#DIV/0!</v>
      </c>
      <c r="AT24" s="1846"/>
      <c r="AU24" s="2043"/>
      <c r="AV24" s="2043"/>
      <c r="AW24" s="2045">
        <f t="shared" si="21"/>
        <v>0</v>
      </c>
      <c r="AX24" s="1930">
        <f t="shared" si="8"/>
        <v>0</v>
      </c>
      <c r="AY24" s="1929"/>
      <c r="AZ24" s="2043"/>
      <c r="BA24" s="2043"/>
      <c r="BB24" s="2045">
        <f t="shared" si="22"/>
        <v>0</v>
      </c>
      <c r="BC24" s="1930" t="e">
        <f t="shared" si="9"/>
        <v>#DIV/0!</v>
      </c>
      <c r="BD24" s="1929"/>
      <c r="BE24" s="2043"/>
      <c r="BF24" s="2043"/>
      <c r="BG24" s="2045">
        <f t="shared" si="23"/>
        <v>0</v>
      </c>
      <c r="BH24" s="1930" t="e">
        <f t="shared" si="4"/>
        <v>#DIV/0!</v>
      </c>
      <c r="BI24" s="1929"/>
      <c r="BJ24" s="2043"/>
      <c r="BK24" s="2043"/>
      <c r="BL24" s="2045">
        <f t="shared" si="24"/>
        <v>0</v>
      </c>
      <c r="BM24" s="1930" t="e">
        <f t="shared" si="10"/>
        <v>#DIV/0!</v>
      </c>
      <c r="BN24" s="1929"/>
      <c r="BO24" s="2043"/>
      <c r="BP24" s="2043"/>
      <c r="BQ24" s="2045">
        <f t="shared" si="25"/>
        <v>0</v>
      </c>
      <c r="BR24" s="1930" t="e">
        <f t="shared" si="11"/>
        <v>#DIV/0!</v>
      </c>
      <c r="BS24" s="1929"/>
      <c r="BT24" s="2043">
        <f t="shared" si="12"/>
        <v>614582.89199999999</v>
      </c>
      <c r="BU24" s="2043">
        <f t="shared" si="12"/>
        <v>1200</v>
      </c>
      <c r="BV24" s="2045">
        <f t="shared" si="26"/>
        <v>615782.89199999999</v>
      </c>
      <c r="BW24" s="2044">
        <f t="shared" si="5"/>
        <v>1.874511309912081E-2</v>
      </c>
      <c r="BX24" s="1434"/>
    </row>
    <row r="25" spans="1:76" s="2" customFormat="1" ht="14.4" customHeight="1">
      <c r="A25" s="238"/>
      <c r="B25" s="1258" t="s">
        <v>24</v>
      </c>
      <c r="C25" s="1101">
        <v>123506</v>
      </c>
      <c r="D25" s="1230"/>
      <c r="E25" s="1178">
        <f t="shared" si="6"/>
        <v>123506</v>
      </c>
      <c r="F25" s="1039">
        <f t="shared" si="0"/>
        <v>5.0421446173440111E-3</v>
      </c>
      <c r="G25" s="1176">
        <v>355987.19199999992</v>
      </c>
      <c r="H25" s="1176">
        <v>33670.020000000004</v>
      </c>
      <c r="I25" s="1022">
        <v>389657.21199999994</v>
      </c>
      <c r="J25" s="1039">
        <v>1.4078740624534286E-2</v>
      </c>
      <c r="K25" s="1039"/>
      <c r="L25" s="1176"/>
      <c r="M25" s="1176">
        <v>756</v>
      </c>
      <c r="N25" s="1022">
        <f t="shared" si="13"/>
        <v>756</v>
      </c>
      <c r="O25" s="1233">
        <f t="shared" si="29"/>
        <v>1.2317897952864338E-3</v>
      </c>
      <c r="P25" s="1043"/>
      <c r="Q25" s="1176">
        <f>65462.56*1.2</f>
        <v>78555.072</v>
      </c>
      <c r="R25" s="1176">
        <v>3944</v>
      </c>
      <c r="S25" s="1022">
        <f t="shared" si="14"/>
        <v>82499.072</v>
      </c>
      <c r="T25" s="1233">
        <f t="shared" si="2"/>
        <v>2.5023690282625098E-2</v>
      </c>
      <c r="U25" s="1054"/>
      <c r="V25" s="1176"/>
      <c r="W25" s="1176">
        <v>312</v>
      </c>
      <c r="X25" s="1022">
        <f t="shared" si="15"/>
        <v>312</v>
      </c>
      <c r="Y25" s="1233">
        <f t="shared" si="27"/>
        <v>2.5682887143915556E-3</v>
      </c>
      <c r="Z25" s="1147"/>
      <c r="AA25" s="1126"/>
      <c r="AB25" s="1126"/>
      <c r="AC25" s="1022">
        <f t="shared" si="30"/>
        <v>0</v>
      </c>
      <c r="AD25" s="1233" t="e">
        <f t="shared" si="17"/>
        <v>#DIV/0!</v>
      </c>
      <c r="AE25" s="1147"/>
      <c r="AF25" s="1432"/>
      <c r="AG25" s="1432"/>
      <c r="AH25" s="1479">
        <f t="shared" si="18"/>
        <v>0</v>
      </c>
      <c r="AI25" s="1651">
        <f t="shared" si="28"/>
        <v>0</v>
      </c>
      <c r="AJ25" s="1846"/>
      <c r="AK25" s="1432"/>
      <c r="AL25" s="1432"/>
      <c r="AM25" s="1552">
        <f t="shared" si="19"/>
        <v>0</v>
      </c>
      <c r="AN25" s="1638">
        <f t="shared" si="3"/>
        <v>0</v>
      </c>
      <c r="AO25" s="1632"/>
      <c r="AP25" s="1432"/>
      <c r="AQ25" s="1432"/>
      <c r="AR25" s="1552">
        <f t="shared" si="20"/>
        <v>0</v>
      </c>
      <c r="AS25" s="1847" t="e">
        <f t="shared" si="7"/>
        <v>#DIV/0!</v>
      </c>
      <c r="AT25" s="1846"/>
      <c r="AU25" s="1871">
        <f>55231.24*1.2</f>
        <v>66277.487999999998</v>
      </c>
      <c r="AV25" s="1871"/>
      <c r="AW25" s="1872">
        <f t="shared" si="21"/>
        <v>66277.487999999998</v>
      </c>
      <c r="AX25" s="1933">
        <f t="shared" si="8"/>
        <v>6.278205633099912E-2</v>
      </c>
      <c r="AY25" s="1934" t="s">
        <v>1265</v>
      </c>
      <c r="AZ25" s="2043"/>
      <c r="BA25" s="2043"/>
      <c r="BB25" s="2045">
        <f t="shared" si="22"/>
        <v>0</v>
      </c>
      <c r="BC25" s="1930" t="e">
        <f t="shared" si="9"/>
        <v>#DIV/0!</v>
      </c>
      <c r="BD25" s="1929"/>
      <c r="BE25" s="2043"/>
      <c r="BF25" s="2043"/>
      <c r="BG25" s="2045">
        <f t="shared" si="23"/>
        <v>0</v>
      </c>
      <c r="BH25" s="1930" t="e">
        <f t="shared" si="4"/>
        <v>#DIV/0!</v>
      </c>
      <c r="BI25" s="1929"/>
      <c r="BJ25" s="2043"/>
      <c r="BK25" s="2043"/>
      <c r="BL25" s="2045">
        <f t="shared" si="24"/>
        <v>0</v>
      </c>
      <c r="BM25" s="1930" t="e">
        <f t="shared" si="10"/>
        <v>#DIV/0!</v>
      </c>
      <c r="BN25" s="1929"/>
      <c r="BO25" s="2043"/>
      <c r="BP25" s="2043"/>
      <c r="BQ25" s="2045">
        <f t="shared" si="25"/>
        <v>0</v>
      </c>
      <c r="BR25" s="1930" t="e">
        <f t="shared" si="11"/>
        <v>#DIV/0!</v>
      </c>
      <c r="BS25" s="1929"/>
      <c r="BT25" s="2043">
        <f t="shared" si="12"/>
        <v>500819.75199999992</v>
      </c>
      <c r="BU25" s="2043">
        <f t="shared" si="12"/>
        <v>38682.020000000004</v>
      </c>
      <c r="BV25" s="2045">
        <f t="shared" si="26"/>
        <v>539501.77199999988</v>
      </c>
      <c r="BW25" s="2044">
        <f t="shared" si="5"/>
        <v>1.6423031338967574E-2</v>
      </c>
      <c r="BX25" s="1434"/>
    </row>
    <row r="26" spans="1:76" s="2" customFormat="1" ht="14.4" customHeight="1">
      <c r="A26" s="238"/>
      <c r="B26" s="1259" t="s">
        <v>45</v>
      </c>
      <c r="C26" s="1101">
        <v>1088881.33</v>
      </c>
      <c r="D26" s="1230"/>
      <c r="E26" s="1178">
        <f t="shared" si="6"/>
        <v>1088881.33</v>
      </c>
      <c r="F26" s="1039">
        <f t="shared" si="0"/>
        <v>4.4453687569720408E-2</v>
      </c>
      <c r="G26" s="1176">
        <v>3662681.5079999994</v>
      </c>
      <c r="H26" s="1176">
        <v>4148.5200000000004</v>
      </c>
      <c r="I26" s="1022">
        <v>3666830.0279999995</v>
      </c>
      <c r="J26" s="1039">
        <v>0.1324865735539518</v>
      </c>
      <c r="K26" s="1039"/>
      <c r="L26" s="1176"/>
      <c r="M26" s="1176"/>
      <c r="N26" s="1022">
        <f t="shared" si="13"/>
        <v>0</v>
      </c>
      <c r="O26" s="1233">
        <f t="shared" si="29"/>
        <v>0</v>
      </c>
      <c r="P26" s="1043"/>
      <c r="Q26" s="1176">
        <f>41398.54*1.2+486132*1.2+(48618.22+14840.61+2404.2+1736.43)*1.2</f>
        <v>714156</v>
      </c>
      <c r="R26" s="1176"/>
      <c r="S26" s="1022">
        <f t="shared" si="14"/>
        <v>714156</v>
      </c>
      <c r="T26" s="1233">
        <f t="shared" si="2"/>
        <v>0.21661841914389546</v>
      </c>
      <c r="U26" s="1150" t="s">
        <v>1090</v>
      </c>
      <c r="V26" s="1176">
        <v>0</v>
      </c>
      <c r="W26" s="1176"/>
      <c r="X26" s="1022">
        <f t="shared" si="15"/>
        <v>0</v>
      </c>
      <c r="Y26" s="1233">
        <f t="shared" si="27"/>
        <v>0</v>
      </c>
      <c r="Z26" s="1147" t="s">
        <v>1091</v>
      </c>
      <c r="AA26" s="1126"/>
      <c r="AB26" s="1126"/>
      <c r="AC26" s="1022">
        <f t="shared" si="30"/>
        <v>0</v>
      </c>
      <c r="AD26" s="1233" t="e">
        <f t="shared" si="17"/>
        <v>#DIV/0!</v>
      </c>
      <c r="AE26" s="1147"/>
      <c r="AF26" s="1650"/>
      <c r="AG26" s="1432"/>
      <c r="AH26" s="1479">
        <f t="shared" si="18"/>
        <v>0</v>
      </c>
      <c r="AI26" s="1651">
        <f t="shared" si="28"/>
        <v>0</v>
      </c>
      <c r="AJ26" s="1846"/>
      <c r="AK26" s="1650"/>
      <c r="AL26" s="1432"/>
      <c r="AM26" s="1552">
        <f t="shared" si="19"/>
        <v>0</v>
      </c>
      <c r="AN26" s="1638">
        <f t="shared" si="3"/>
        <v>0</v>
      </c>
      <c r="AO26" s="1632"/>
      <c r="AP26" s="1650"/>
      <c r="AQ26" s="1432"/>
      <c r="AR26" s="1552">
        <f t="shared" si="20"/>
        <v>0</v>
      </c>
      <c r="AS26" s="1847" t="e">
        <f t="shared" si="7"/>
        <v>#DIV/0!</v>
      </c>
      <c r="AT26" s="1846"/>
      <c r="AU26" s="1871">
        <f>621831.8*1.2</f>
        <v>746198.16</v>
      </c>
      <c r="AV26" s="1871"/>
      <c r="AW26" s="1872">
        <f t="shared" si="21"/>
        <v>746198.16</v>
      </c>
      <c r="AX26" s="1933">
        <f t="shared" si="8"/>
        <v>0.70684415370733267</v>
      </c>
      <c r="AY26" s="1934" t="s">
        <v>1265</v>
      </c>
      <c r="AZ26" s="1650"/>
      <c r="BA26" s="2043"/>
      <c r="BB26" s="2045">
        <f t="shared" si="22"/>
        <v>0</v>
      </c>
      <c r="BC26" s="1930" t="e">
        <f t="shared" si="9"/>
        <v>#DIV/0!</v>
      </c>
      <c r="BD26" s="1929"/>
      <c r="BE26" s="1650"/>
      <c r="BF26" s="2043"/>
      <c r="BG26" s="2045">
        <f t="shared" si="23"/>
        <v>0</v>
      </c>
      <c r="BH26" s="1930" t="e">
        <f t="shared" si="4"/>
        <v>#DIV/0!</v>
      </c>
      <c r="BI26" s="1929"/>
      <c r="BJ26" s="1650"/>
      <c r="BK26" s="2043"/>
      <c r="BL26" s="2045">
        <f t="shared" si="24"/>
        <v>0</v>
      </c>
      <c r="BM26" s="1930" t="e">
        <f t="shared" si="10"/>
        <v>#DIV/0!</v>
      </c>
      <c r="BN26" s="1929"/>
      <c r="BO26" s="2043"/>
      <c r="BP26" s="2043"/>
      <c r="BQ26" s="2045">
        <f t="shared" si="25"/>
        <v>0</v>
      </c>
      <c r="BR26" s="1930" t="e">
        <f t="shared" si="11"/>
        <v>#DIV/0!</v>
      </c>
      <c r="BS26" s="1929"/>
      <c r="BT26" s="2043">
        <f t="shared" si="12"/>
        <v>5123035.6679999996</v>
      </c>
      <c r="BU26" s="2043">
        <f t="shared" si="12"/>
        <v>4148.5200000000004</v>
      </c>
      <c r="BV26" s="2045">
        <f t="shared" si="26"/>
        <v>5127184.1879999992</v>
      </c>
      <c r="BW26" s="2044">
        <f t="shared" si="5"/>
        <v>0.15607716409906996</v>
      </c>
      <c r="BX26" s="1434"/>
    </row>
    <row r="27" spans="1:76" s="2" customFormat="1" ht="14.4" customHeight="1">
      <c r="A27" s="238"/>
      <c r="B27" s="1258" t="s">
        <v>25</v>
      </c>
      <c r="C27" s="1101"/>
      <c r="D27" s="1230"/>
      <c r="E27" s="1178">
        <f t="shared" si="6"/>
        <v>0</v>
      </c>
      <c r="F27" s="1039">
        <f t="shared" si="0"/>
        <v>0</v>
      </c>
      <c r="G27" s="1176">
        <v>19241.833999999999</v>
      </c>
      <c r="H27" s="1176">
        <v>0</v>
      </c>
      <c r="I27" s="1022">
        <v>19241.833999999999</v>
      </c>
      <c r="J27" s="1039">
        <v>6.9522847693717291E-4</v>
      </c>
      <c r="K27" s="1039"/>
      <c r="L27" s="1176"/>
      <c r="M27" s="1176"/>
      <c r="N27" s="1022">
        <f t="shared" si="13"/>
        <v>0</v>
      </c>
      <c r="O27" s="1233">
        <f t="shared" si="29"/>
        <v>0</v>
      </c>
      <c r="P27" s="1043"/>
      <c r="Q27" s="1176"/>
      <c r="R27" s="1176"/>
      <c r="S27" s="1022">
        <f t="shared" si="14"/>
        <v>0</v>
      </c>
      <c r="T27" s="1233">
        <f t="shared" si="2"/>
        <v>0</v>
      </c>
      <c r="U27" s="1054"/>
      <c r="V27" s="1176"/>
      <c r="W27" s="1176"/>
      <c r="X27" s="1022">
        <f t="shared" si="15"/>
        <v>0</v>
      </c>
      <c r="Y27" s="1233">
        <f t="shared" si="27"/>
        <v>0</v>
      </c>
      <c r="Z27" s="1147"/>
      <c r="AA27" s="1176"/>
      <c r="AB27" s="1176"/>
      <c r="AC27" s="1022">
        <f t="shared" si="30"/>
        <v>0</v>
      </c>
      <c r="AD27" s="1233" t="e">
        <f t="shared" si="17"/>
        <v>#DIV/0!</v>
      </c>
      <c r="AE27" s="1304"/>
      <c r="AF27" s="1432"/>
      <c r="AG27" s="1432"/>
      <c r="AH27" s="1479">
        <f t="shared" si="18"/>
        <v>0</v>
      </c>
      <c r="AI27" s="1651">
        <f t="shared" si="28"/>
        <v>0</v>
      </c>
      <c r="AJ27" s="1852"/>
      <c r="AK27" s="1432"/>
      <c r="AL27" s="1432"/>
      <c r="AM27" s="1552">
        <f t="shared" si="19"/>
        <v>0</v>
      </c>
      <c r="AN27" s="1638">
        <f t="shared" si="3"/>
        <v>0</v>
      </c>
      <c r="AO27" s="1852"/>
      <c r="AP27" s="1432"/>
      <c r="AQ27" s="1432"/>
      <c r="AR27" s="1552">
        <f t="shared" si="20"/>
        <v>0</v>
      </c>
      <c r="AS27" s="1847" t="e">
        <f t="shared" si="7"/>
        <v>#DIV/0!</v>
      </c>
      <c r="AT27" s="1852"/>
      <c r="AU27" s="2043"/>
      <c r="AV27" s="2043"/>
      <c r="AW27" s="2045">
        <f t="shared" si="21"/>
        <v>0</v>
      </c>
      <c r="AX27" s="1930">
        <f t="shared" si="8"/>
        <v>0</v>
      </c>
      <c r="AY27" s="1935"/>
      <c r="AZ27" s="2043"/>
      <c r="BA27" s="2043"/>
      <c r="BB27" s="2045">
        <f t="shared" si="22"/>
        <v>0</v>
      </c>
      <c r="BC27" s="1930" t="e">
        <f t="shared" si="9"/>
        <v>#DIV/0!</v>
      </c>
      <c r="BD27" s="1935"/>
      <c r="BE27" s="2043"/>
      <c r="BF27" s="2043"/>
      <c r="BG27" s="2045">
        <f t="shared" si="23"/>
        <v>0</v>
      </c>
      <c r="BH27" s="1930" t="e">
        <f t="shared" si="4"/>
        <v>#DIV/0!</v>
      </c>
      <c r="BI27" s="1935"/>
      <c r="BJ27" s="2043"/>
      <c r="BK27" s="2043"/>
      <c r="BL27" s="2045">
        <f t="shared" si="24"/>
        <v>0</v>
      </c>
      <c r="BM27" s="1930" t="e">
        <f t="shared" si="10"/>
        <v>#DIV/0!</v>
      </c>
      <c r="BN27" s="1935"/>
      <c r="BO27" s="2043"/>
      <c r="BP27" s="2043"/>
      <c r="BQ27" s="2045">
        <f t="shared" si="25"/>
        <v>0</v>
      </c>
      <c r="BR27" s="1930" t="e">
        <f t="shared" si="11"/>
        <v>#DIV/0!</v>
      </c>
      <c r="BS27" s="1935"/>
      <c r="BT27" s="2043">
        <f t="shared" si="12"/>
        <v>19241.833999999999</v>
      </c>
      <c r="BU27" s="2043">
        <f t="shared" si="12"/>
        <v>0</v>
      </c>
      <c r="BV27" s="2045">
        <f t="shared" si="26"/>
        <v>19241.833999999999</v>
      </c>
      <c r="BW27" s="2044">
        <f t="shared" si="5"/>
        <v>5.8574273376290568E-4</v>
      </c>
      <c r="BX27" s="1434"/>
    </row>
    <row r="28" spans="1:76" s="226" customFormat="1" ht="14.4" customHeight="1">
      <c r="A28" s="238"/>
      <c r="B28" s="1259" t="s">
        <v>52</v>
      </c>
      <c r="C28" s="1101">
        <f>22418+638209.78</f>
        <v>660627.78</v>
      </c>
      <c r="D28" s="1230">
        <f>3500+40000</f>
        <v>43500</v>
      </c>
      <c r="E28" s="1178">
        <f t="shared" si="6"/>
        <v>704127.78</v>
      </c>
      <c r="F28" s="1039">
        <f t="shared" si="0"/>
        <v>2.8746085986505826E-2</v>
      </c>
      <c r="G28" s="1176">
        <v>16009.866</v>
      </c>
      <c r="H28" s="1176">
        <v>36542.51</v>
      </c>
      <c r="I28" s="1022">
        <v>52552.376000000004</v>
      </c>
      <c r="J28" s="1039">
        <v>1.8987747387234316E-3</v>
      </c>
      <c r="K28" s="1039"/>
      <c r="L28" s="1176">
        <f>2427.39+660*1.2</f>
        <v>3219.39</v>
      </c>
      <c r="M28" s="1176"/>
      <c r="N28" s="1022">
        <f t="shared" si="13"/>
        <v>3219.39</v>
      </c>
      <c r="O28" s="1233">
        <f t="shared" si="29"/>
        <v>5.2455181865703592E-3</v>
      </c>
      <c r="P28" s="1059" t="s">
        <v>999</v>
      </c>
      <c r="Q28" s="1176">
        <f>843.05+2640*1.2</f>
        <v>4011.05</v>
      </c>
      <c r="R28" s="1176">
        <f>1130.72+1076</f>
        <v>2206.7200000000003</v>
      </c>
      <c r="S28" s="1022">
        <f t="shared" si="14"/>
        <v>6217.77</v>
      </c>
      <c r="T28" s="1233">
        <f t="shared" si="2"/>
        <v>1.8859794050604336E-3</v>
      </c>
      <c r="U28" s="1059" t="s">
        <v>1040</v>
      </c>
      <c r="V28" s="1176"/>
      <c r="W28" s="1176"/>
      <c r="X28" s="1022">
        <f t="shared" si="15"/>
        <v>0</v>
      </c>
      <c r="Y28" s="1233">
        <f t="shared" si="27"/>
        <v>0</v>
      </c>
      <c r="Z28" s="1021"/>
      <c r="AA28" s="1176"/>
      <c r="AB28" s="1176"/>
      <c r="AC28" s="1022">
        <f t="shared" si="30"/>
        <v>0</v>
      </c>
      <c r="AD28" s="1233" t="e">
        <f t="shared" si="17"/>
        <v>#DIV/0!</v>
      </c>
      <c r="AE28" s="1021"/>
      <c r="AF28" s="1432"/>
      <c r="AG28" s="1432"/>
      <c r="AH28" s="1479">
        <f t="shared" si="18"/>
        <v>0</v>
      </c>
      <c r="AI28" s="1651">
        <f t="shared" si="28"/>
        <v>0</v>
      </c>
      <c r="AJ28" s="1683"/>
      <c r="AK28" s="1432"/>
      <c r="AL28" s="1432"/>
      <c r="AM28" s="1552">
        <f t="shared" si="19"/>
        <v>0</v>
      </c>
      <c r="AN28" s="1638">
        <f t="shared" si="3"/>
        <v>0</v>
      </c>
      <c r="AO28" s="1590"/>
      <c r="AP28" s="1432"/>
      <c r="AQ28" s="1432"/>
      <c r="AR28" s="1552">
        <f t="shared" si="20"/>
        <v>0</v>
      </c>
      <c r="AS28" s="1847" t="e">
        <f t="shared" si="7"/>
        <v>#DIV/0!</v>
      </c>
      <c r="AT28" s="1683"/>
      <c r="AU28" s="2043"/>
      <c r="AV28" s="2043"/>
      <c r="AW28" s="2045">
        <f t="shared" si="21"/>
        <v>0</v>
      </c>
      <c r="AX28" s="1930">
        <f t="shared" si="8"/>
        <v>0</v>
      </c>
      <c r="AY28" s="2046"/>
      <c r="AZ28" s="2043"/>
      <c r="BA28" s="2043"/>
      <c r="BB28" s="2045">
        <f t="shared" si="22"/>
        <v>0</v>
      </c>
      <c r="BC28" s="1930" t="e">
        <f t="shared" si="9"/>
        <v>#DIV/0!</v>
      </c>
      <c r="BD28" s="2046"/>
      <c r="BE28" s="2043"/>
      <c r="BF28" s="2043"/>
      <c r="BG28" s="2045">
        <f t="shared" si="23"/>
        <v>0</v>
      </c>
      <c r="BH28" s="1930" t="e">
        <f t="shared" si="4"/>
        <v>#DIV/0!</v>
      </c>
      <c r="BI28" s="2046"/>
      <c r="BJ28" s="2043"/>
      <c r="BK28" s="2043"/>
      <c r="BL28" s="2045">
        <f t="shared" si="24"/>
        <v>0</v>
      </c>
      <c r="BM28" s="1930" t="e">
        <f t="shared" si="10"/>
        <v>#DIV/0!</v>
      </c>
      <c r="BN28" s="2046"/>
      <c r="BO28" s="2043"/>
      <c r="BP28" s="2043"/>
      <c r="BQ28" s="2045">
        <f t="shared" si="25"/>
        <v>0</v>
      </c>
      <c r="BR28" s="1930" t="e">
        <f t="shared" si="11"/>
        <v>#DIV/0!</v>
      </c>
      <c r="BS28" s="2046"/>
      <c r="BT28" s="2043">
        <f t="shared" si="12"/>
        <v>23240.306</v>
      </c>
      <c r="BU28" s="2043">
        <f t="shared" si="12"/>
        <v>38749.230000000003</v>
      </c>
      <c r="BV28" s="2045">
        <f t="shared" si="26"/>
        <v>61989.536000000007</v>
      </c>
      <c r="BW28" s="2044">
        <f t="shared" si="5"/>
        <v>1.8870301178845045E-3</v>
      </c>
      <c r="BX28" s="1434"/>
    </row>
    <row r="29" spans="1:76" s="2" customFormat="1" ht="14.4" customHeight="1">
      <c r="A29" s="238"/>
      <c r="B29" s="1258" t="s">
        <v>31</v>
      </c>
      <c r="C29" s="1101"/>
      <c r="D29" s="1230">
        <v>264000</v>
      </c>
      <c r="E29" s="1178">
        <f t="shared" si="6"/>
        <v>264000</v>
      </c>
      <c r="F29" s="1233">
        <f t="shared" si="0"/>
        <v>1.0777826008281532E-2</v>
      </c>
      <c r="G29" s="1176">
        <v>220450</v>
      </c>
      <c r="H29" s="1176">
        <v>507506.24</v>
      </c>
      <c r="I29" s="1022">
        <v>727956.24</v>
      </c>
      <c r="J29" s="1039">
        <v>2.6301853971513894E-2</v>
      </c>
      <c r="K29" s="1039"/>
      <c r="L29" s="1176">
        <f>26930-800</f>
        <v>26130</v>
      </c>
      <c r="M29" s="1176">
        <v>77700</v>
      </c>
      <c r="N29" s="1022">
        <f t="shared" si="13"/>
        <v>103830</v>
      </c>
      <c r="O29" s="1233">
        <f t="shared" si="29"/>
        <v>0.16917557466215663</v>
      </c>
      <c r="P29" s="1059"/>
      <c r="Q29" s="1176"/>
      <c r="R29" s="1176">
        <v>41100</v>
      </c>
      <c r="S29" s="1022">
        <f t="shared" si="14"/>
        <v>41100</v>
      </c>
      <c r="T29" s="1233">
        <f t="shared" si="2"/>
        <v>1.2466487751715457E-2</v>
      </c>
      <c r="U29" s="1054"/>
      <c r="V29" s="1176"/>
      <c r="W29" s="1176"/>
      <c r="X29" s="1022">
        <f t="shared" si="15"/>
        <v>0</v>
      </c>
      <c r="Y29" s="1233">
        <f t="shared" si="27"/>
        <v>0</v>
      </c>
      <c r="Z29" s="1147"/>
      <c r="AA29" s="1176"/>
      <c r="AB29" s="1176"/>
      <c r="AC29" s="1022">
        <f t="shared" si="30"/>
        <v>0</v>
      </c>
      <c r="AD29" s="1233" t="e">
        <f t="shared" si="17"/>
        <v>#DIV/0!</v>
      </c>
      <c r="AE29" s="1147"/>
      <c r="AF29" s="1432"/>
      <c r="AG29" s="1432"/>
      <c r="AH29" s="1479">
        <f t="shared" si="18"/>
        <v>0</v>
      </c>
      <c r="AI29" s="1651">
        <f t="shared" si="28"/>
        <v>0</v>
      </c>
      <c r="AJ29" s="1846"/>
      <c r="AK29" s="1432"/>
      <c r="AL29" s="1432"/>
      <c r="AM29" s="1552">
        <f t="shared" si="19"/>
        <v>0</v>
      </c>
      <c r="AN29" s="1638">
        <f t="shared" si="3"/>
        <v>0</v>
      </c>
      <c r="AO29" s="1632"/>
      <c r="AP29" s="1432"/>
      <c r="AQ29" s="1432"/>
      <c r="AR29" s="1552">
        <f t="shared" si="20"/>
        <v>0</v>
      </c>
      <c r="AS29" s="1847" t="e">
        <f t="shared" si="7"/>
        <v>#DIV/0!</v>
      </c>
      <c r="AT29" s="1846"/>
      <c r="AU29" s="2043"/>
      <c r="AV29" s="2043"/>
      <c r="AW29" s="2045">
        <f t="shared" si="21"/>
        <v>0</v>
      </c>
      <c r="AX29" s="1930">
        <f t="shared" si="8"/>
        <v>0</v>
      </c>
      <c r="AY29" s="1929"/>
      <c r="AZ29" s="2043"/>
      <c r="BA29" s="2043"/>
      <c r="BB29" s="2045">
        <f t="shared" si="22"/>
        <v>0</v>
      </c>
      <c r="BC29" s="1930" t="e">
        <f t="shared" si="9"/>
        <v>#DIV/0!</v>
      </c>
      <c r="BD29" s="1929"/>
      <c r="BE29" s="2043"/>
      <c r="BF29" s="2043"/>
      <c r="BG29" s="2045">
        <f t="shared" si="23"/>
        <v>0</v>
      </c>
      <c r="BH29" s="1930" t="e">
        <f t="shared" si="4"/>
        <v>#DIV/0!</v>
      </c>
      <c r="BI29" s="1929"/>
      <c r="BJ29" s="2043"/>
      <c r="BK29" s="2043"/>
      <c r="BL29" s="2045">
        <f t="shared" si="24"/>
        <v>0</v>
      </c>
      <c r="BM29" s="1930" t="e">
        <f t="shared" si="10"/>
        <v>#DIV/0!</v>
      </c>
      <c r="BN29" s="1929"/>
      <c r="BO29" s="2043"/>
      <c r="BP29" s="2043"/>
      <c r="BQ29" s="2045">
        <f t="shared" si="25"/>
        <v>0</v>
      </c>
      <c r="BR29" s="1930" t="e">
        <f t="shared" si="11"/>
        <v>#DIV/0!</v>
      </c>
      <c r="BS29" s="1929"/>
      <c r="BT29" s="2043">
        <f t="shared" si="12"/>
        <v>246580</v>
      </c>
      <c r="BU29" s="2043">
        <f t="shared" si="12"/>
        <v>626306.24</v>
      </c>
      <c r="BV29" s="2045">
        <f t="shared" si="26"/>
        <v>872886.24</v>
      </c>
      <c r="BW29" s="2044">
        <f t="shared" si="5"/>
        <v>2.6571623707055361E-2</v>
      </c>
      <c r="BX29" s="1992"/>
    </row>
    <row r="30" spans="1:76" s="2" customFormat="1" ht="14.4" customHeight="1">
      <c r="A30" s="238"/>
      <c r="B30" s="1258" t="s">
        <v>62</v>
      </c>
      <c r="C30" s="1101"/>
      <c r="D30" s="1230">
        <v>288300</v>
      </c>
      <c r="E30" s="1178">
        <f t="shared" si="6"/>
        <v>288300</v>
      </c>
      <c r="F30" s="1233">
        <f t="shared" si="0"/>
        <v>1.1769875902225628E-2</v>
      </c>
      <c r="G30" s="1176">
        <v>0</v>
      </c>
      <c r="H30" s="1176">
        <v>948023.86</v>
      </c>
      <c r="I30" s="1022">
        <v>948023.86</v>
      </c>
      <c r="J30" s="1039">
        <v>3.4253137423797528E-2</v>
      </c>
      <c r="K30" s="1039"/>
      <c r="L30" s="1176"/>
      <c r="M30" s="1176">
        <v>98787</v>
      </c>
      <c r="N30" s="1022">
        <f t="shared" si="13"/>
        <v>98787</v>
      </c>
      <c r="O30" s="1233">
        <f t="shared" si="29"/>
        <v>0.16095875463883721</v>
      </c>
      <c r="P30" s="1059"/>
      <c r="Q30" s="1176"/>
      <c r="R30" s="1176">
        <f>32500+32961+87950</f>
        <v>153411</v>
      </c>
      <c r="S30" s="1022">
        <f t="shared" si="14"/>
        <v>153411</v>
      </c>
      <c r="T30" s="1233">
        <f t="shared" si="2"/>
        <v>4.6532757967844771E-2</v>
      </c>
      <c r="U30" s="1054"/>
      <c r="V30" s="1176"/>
      <c r="W30" s="1176">
        <v>18850</v>
      </c>
      <c r="X30" s="1022">
        <f t="shared" si="15"/>
        <v>18850</v>
      </c>
      <c r="Y30" s="1233">
        <f t="shared" si="27"/>
        <v>0.15516744316115649</v>
      </c>
      <c r="Z30" s="1147" t="s">
        <v>1063</v>
      </c>
      <c r="AA30" s="1176"/>
      <c r="AB30" s="1176"/>
      <c r="AC30" s="1022">
        <f t="shared" si="30"/>
        <v>0</v>
      </c>
      <c r="AD30" s="1233" t="e">
        <f t="shared" si="17"/>
        <v>#DIV/0!</v>
      </c>
      <c r="AE30" s="1147"/>
      <c r="AF30" s="1432"/>
      <c r="AG30" s="1432"/>
      <c r="AH30" s="1479">
        <f t="shared" si="18"/>
        <v>0</v>
      </c>
      <c r="AI30" s="1651">
        <f t="shared" si="28"/>
        <v>0</v>
      </c>
      <c r="AJ30" s="1846"/>
      <c r="AK30" s="1432"/>
      <c r="AL30" s="1432"/>
      <c r="AM30" s="1552">
        <f t="shared" si="19"/>
        <v>0</v>
      </c>
      <c r="AN30" s="1638">
        <f t="shared" si="3"/>
        <v>0</v>
      </c>
      <c r="AO30" s="1632"/>
      <c r="AP30" s="1432"/>
      <c r="AQ30" s="1432"/>
      <c r="AR30" s="1552">
        <f t="shared" si="20"/>
        <v>0</v>
      </c>
      <c r="AS30" s="1847" t="e">
        <f t="shared" si="7"/>
        <v>#DIV/0!</v>
      </c>
      <c r="AT30" s="1846"/>
      <c r="AU30" s="2043"/>
      <c r="AV30" s="2043"/>
      <c r="AW30" s="2045">
        <f t="shared" si="21"/>
        <v>0</v>
      </c>
      <c r="AX30" s="1930">
        <f t="shared" si="8"/>
        <v>0</v>
      </c>
      <c r="AY30" s="1929"/>
      <c r="AZ30" s="2043"/>
      <c r="BA30" s="2043"/>
      <c r="BB30" s="2045">
        <f t="shared" si="22"/>
        <v>0</v>
      </c>
      <c r="BC30" s="1930" t="e">
        <f t="shared" si="9"/>
        <v>#DIV/0!</v>
      </c>
      <c r="BD30" s="1929"/>
      <c r="BE30" s="2043"/>
      <c r="BF30" s="2043"/>
      <c r="BG30" s="2045">
        <f t="shared" si="23"/>
        <v>0</v>
      </c>
      <c r="BH30" s="1930" t="e">
        <f t="shared" si="4"/>
        <v>#DIV/0!</v>
      </c>
      <c r="BI30" s="1929"/>
      <c r="BJ30" s="2043"/>
      <c r="BK30" s="2043"/>
      <c r="BL30" s="2045">
        <f t="shared" si="24"/>
        <v>0</v>
      </c>
      <c r="BM30" s="1930" t="e">
        <f t="shared" si="10"/>
        <v>#DIV/0!</v>
      </c>
      <c r="BN30" s="1929"/>
      <c r="BO30" s="2043"/>
      <c r="BP30" s="2043"/>
      <c r="BQ30" s="2045">
        <f t="shared" si="25"/>
        <v>0</v>
      </c>
      <c r="BR30" s="1930" t="e">
        <f t="shared" si="11"/>
        <v>#DIV/0!</v>
      </c>
      <c r="BS30" s="1929"/>
      <c r="BT30" s="2043">
        <f t="shared" si="12"/>
        <v>0</v>
      </c>
      <c r="BU30" s="2043">
        <f t="shared" si="12"/>
        <v>1219071.8599999999</v>
      </c>
      <c r="BV30" s="2045">
        <f t="shared" si="26"/>
        <v>1219071.8599999999</v>
      </c>
      <c r="BW30" s="2044">
        <f t="shared" si="5"/>
        <v>3.7109897316951711E-2</v>
      </c>
      <c r="BX30" s="1992"/>
    </row>
    <row r="31" spans="1:76" s="2" customFormat="1" ht="14.4" customHeight="1">
      <c r="A31" s="238"/>
      <c r="B31" s="1305" t="s">
        <v>34</v>
      </c>
      <c r="C31" s="1101"/>
      <c r="D31" s="1231">
        <f>84653.91</f>
        <v>84653.91</v>
      </c>
      <c r="E31" s="1178">
        <f t="shared" si="6"/>
        <v>84653.91</v>
      </c>
      <c r="F31" s="1233">
        <f t="shared" si="0"/>
        <v>3.4560042155330462E-3</v>
      </c>
      <c r="G31" s="1176">
        <v>33437.599999999999</v>
      </c>
      <c r="H31" s="1176">
        <v>274309.39</v>
      </c>
      <c r="I31" s="1022">
        <v>307746.99</v>
      </c>
      <c r="J31" s="1039">
        <v>1.1119234847348718E-2</v>
      </c>
      <c r="K31" s="1039"/>
      <c r="L31" s="1176"/>
      <c r="M31" s="1176">
        <v>60926.57</v>
      </c>
      <c r="N31" s="1022">
        <f t="shared" si="13"/>
        <v>60926.57</v>
      </c>
      <c r="O31" s="1233">
        <f t="shared" si="29"/>
        <v>9.9270803158471657E-2</v>
      </c>
      <c r="P31" s="1059"/>
      <c r="Q31" s="1176">
        <v>4515.59</v>
      </c>
      <c r="R31" s="1176">
        <v>30381.71</v>
      </c>
      <c r="S31" s="1022">
        <f t="shared" si="14"/>
        <v>34897.300000000003</v>
      </c>
      <c r="T31" s="1233">
        <f t="shared" si="2"/>
        <v>1.0585079392163986E-2</v>
      </c>
      <c r="U31" s="1059" t="s">
        <v>1046</v>
      </c>
      <c r="V31" s="1176"/>
      <c r="W31" s="1176">
        <v>1000</v>
      </c>
      <c r="X31" s="1022">
        <f t="shared" si="15"/>
        <v>1000</v>
      </c>
      <c r="Y31" s="1233">
        <f t="shared" si="27"/>
        <v>8.2316945974088319E-3</v>
      </c>
      <c r="Z31" s="1147"/>
      <c r="AA31" s="1176"/>
      <c r="AB31" s="1176"/>
      <c r="AC31" s="1022">
        <f t="shared" si="30"/>
        <v>0</v>
      </c>
      <c r="AD31" s="1233" t="e">
        <f>AC31/$AC$89</f>
        <v>#DIV/0!</v>
      </c>
      <c r="AE31" s="1147"/>
      <c r="AF31" s="1432"/>
      <c r="AG31" s="1432"/>
      <c r="AH31" s="1479">
        <f t="shared" si="18"/>
        <v>0</v>
      </c>
      <c r="AI31" s="1651">
        <f t="shared" si="28"/>
        <v>0</v>
      </c>
      <c r="AJ31" s="1846"/>
      <c r="AK31" s="1432"/>
      <c r="AL31" s="1432"/>
      <c r="AM31" s="1552">
        <f t="shared" si="19"/>
        <v>0</v>
      </c>
      <c r="AN31" s="1638">
        <f t="shared" si="3"/>
        <v>0</v>
      </c>
      <c r="AO31" s="1632"/>
      <c r="AP31" s="1432"/>
      <c r="AQ31" s="1432"/>
      <c r="AR31" s="1552">
        <f t="shared" si="20"/>
        <v>0</v>
      </c>
      <c r="AS31" s="1847" t="e">
        <f t="shared" si="7"/>
        <v>#DIV/0!</v>
      </c>
      <c r="AT31" s="1846"/>
      <c r="AU31" s="2043"/>
      <c r="AV31" s="2043"/>
      <c r="AW31" s="2045">
        <f t="shared" si="21"/>
        <v>0</v>
      </c>
      <c r="AX31" s="1930">
        <f t="shared" si="8"/>
        <v>0</v>
      </c>
      <c r="AY31" s="1929"/>
      <c r="AZ31" s="2043"/>
      <c r="BA31" s="2043"/>
      <c r="BB31" s="2045">
        <f t="shared" si="22"/>
        <v>0</v>
      </c>
      <c r="BC31" s="1930" t="e">
        <f t="shared" si="9"/>
        <v>#DIV/0!</v>
      </c>
      <c r="BD31" s="1929"/>
      <c r="BE31" s="2043"/>
      <c r="BF31" s="2043"/>
      <c r="BG31" s="2045">
        <f t="shared" si="23"/>
        <v>0</v>
      </c>
      <c r="BH31" s="1930" t="e">
        <f t="shared" si="4"/>
        <v>#DIV/0!</v>
      </c>
      <c r="BI31" s="2046"/>
      <c r="BJ31" s="2043"/>
      <c r="BK31" s="2043"/>
      <c r="BL31" s="2045">
        <f t="shared" si="24"/>
        <v>0</v>
      </c>
      <c r="BM31" s="1930" t="e">
        <f t="shared" si="10"/>
        <v>#DIV/0!</v>
      </c>
      <c r="BN31" s="2046"/>
      <c r="BO31" s="2043"/>
      <c r="BP31" s="2043"/>
      <c r="BQ31" s="2045">
        <f t="shared" si="25"/>
        <v>0</v>
      </c>
      <c r="BR31" s="1930" t="e">
        <f t="shared" si="11"/>
        <v>#DIV/0!</v>
      </c>
      <c r="BS31" s="2046"/>
      <c r="BT31" s="2043">
        <f t="shared" si="12"/>
        <v>37953.19</v>
      </c>
      <c r="BU31" s="2043">
        <f t="shared" si="12"/>
        <v>366617.67000000004</v>
      </c>
      <c r="BV31" s="2045">
        <f t="shared" si="26"/>
        <v>404570.86000000004</v>
      </c>
      <c r="BW31" s="2044">
        <f t="shared" si="5"/>
        <v>1.231558496644394E-2</v>
      </c>
      <c r="BX31" s="1992"/>
    </row>
    <row r="32" spans="1:76" s="2" customFormat="1" ht="14.4" customHeight="1">
      <c r="A32" s="238"/>
      <c r="B32" s="1102" t="s">
        <v>2</v>
      </c>
      <c r="C32" s="1116"/>
      <c r="D32" s="1103"/>
      <c r="E32" s="1178">
        <f t="shared" si="6"/>
        <v>0</v>
      </c>
      <c r="F32" s="1233">
        <f t="shared" si="0"/>
        <v>0</v>
      </c>
      <c r="G32" s="1176">
        <v>0</v>
      </c>
      <c r="H32" s="1176">
        <v>0</v>
      </c>
      <c r="I32" s="1022">
        <v>0</v>
      </c>
      <c r="J32" s="1039">
        <v>0</v>
      </c>
      <c r="K32" s="1039"/>
      <c r="L32" s="1176"/>
      <c r="M32" s="1176"/>
      <c r="N32" s="1022">
        <f t="shared" si="13"/>
        <v>0</v>
      </c>
      <c r="O32" s="1233">
        <f t="shared" si="29"/>
        <v>0</v>
      </c>
      <c r="P32" s="1234"/>
      <c r="Q32" s="1176"/>
      <c r="R32" s="1176"/>
      <c r="S32" s="1022">
        <f t="shared" si="14"/>
        <v>0</v>
      </c>
      <c r="T32" s="1233">
        <f t="shared" si="2"/>
        <v>0</v>
      </c>
      <c r="U32" s="1275"/>
      <c r="V32" s="1176"/>
      <c r="W32" s="1176"/>
      <c r="X32" s="1022">
        <f t="shared" si="15"/>
        <v>0</v>
      </c>
      <c r="Y32" s="1233">
        <f t="shared" si="27"/>
        <v>0</v>
      </c>
      <c r="Z32" s="1147"/>
      <c r="AA32" s="1176"/>
      <c r="AB32" s="1176"/>
      <c r="AC32" s="1022">
        <f t="shared" si="30"/>
        <v>0</v>
      </c>
      <c r="AD32" s="1233" t="e">
        <f t="shared" si="17"/>
        <v>#DIV/0!</v>
      </c>
      <c r="AE32" s="1147"/>
      <c r="AF32" s="1432"/>
      <c r="AG32" s="1432"/>
      <c r="AH32" s="1479">
        <f t="shared" si="18"/>
        <v>0</v>
      </c>
      <c r="AI32" s="1651">
        <f t="shared" si="28"/>
        <v>0</v>
      </c>
      <c r="AJ32" s="1846"/>
      <c r="AK32" s="1432"/>
      <c r="AL32" s="1432"/>
      <c r="AM32" s="1552">
        <f t="shared" si="19"/>
        <v>0</v>
      </c>
      <c r="AN32" s="1638">
        <f t="shared" si="3"/>
        <v>0</v>
      </c>
      <c r="AO32" s="1632"/>
      <c r="AP32" s="1432"/>
      <c r="AQ32" s="1432"/>
      <c r="AR32" s="1552">
        <f t="shared" si="20"/>
        <v>0</v>
      </c>
      <c r="AS32" s="1847" t="e">
        <f t="shared" si="7"/>
        <v>#DIV/0!</v>
      </c>
      <c r="AT32" s="1846"/>
      <c r="AU32" s="2043"/>
      <c r="AV32" s="2043"/>
      <c r="AW32" s="2045">
        <f t="shared" si="21"/>
        <v>0</v>
      </c>
      <c r="AX32" s="1930">
        <f t="shared" si="8"/>
        <v>0</v>
      </c>
      <c r="AY32" s="1929"/>
      <c r="AZ32" s="2043"/>
      <c r="BA32" s="2043"/>
      <c r="BB32" s="2045">
        <f t="shared" si="22"/>
        <v>0</v>
      </c>
      <c r="BC32" s="1930" t="e">
        <f t="shared" si="9"/>
        <v>#DIV/0!</v>
      </c>
      <c r="BD32" s="1929"/>
      <c r="BE32" s="2043"/>
      <c r="BF32" s="2043"/>
      <c r="BG32" s="2045">
        <f t="shared" si="23"/>
        <v>0</v>
      </c>
      <c r="BH32" s="1930" t="e">
        <f t="shared" si="4"/>
        <v>#DIV/0!</v>
      </c>
      <c r="BI32" s="1929"/>
      <c r="BJ32" s="2043"/>
      <c r="BK32" s="2043"/>
      <c r="BL32" s="2045">
        <f t="shared" si="24"/>
        <v>0</v>
      </c>
      <c r="BM32" s="1930" t="e">
        <f t="shared" si="10"/>
        <v>#DIV/0!</v>
      </c>
      <c r="BN32" s="1929"/>
      <c r="BO32" s="2043"/>
      <c r="BP32" s="2043"/>
      <c r="BQ32" s="2045">
        <f t="shared" si="25"/>
        <v>0</v>
      </c>
      <c r="BR32" s="1930" t="e">
        <f t="shared" si="11"/>
        <v>#DIV/0!</v>
      </c>
      <c r="BS32" s="1929"/>
      <c r="BT32" s="2043">
        <f t="shared" si="12"/>
        <v>0</v>
      </c>
      <c r="BU32" s="2043">
        <f t="shared" si="12"/>
        <v>0</v>
      </c>
      <c r="BV32" s="2045">
        <f t="shared" si="26"/>
        <v>0</v>
      </c>
      <c r="BW32" s="2044">
        <f t="shared" si="5"/>
        <v>0</v>
      </c>
      <c r="BX32" s="1992"/>
    </row>
    <row r="33" spans="1:76" s="2" customFormat="1" ht="14.4" customHeight="1" thickBot="1">
      <c r="A33" s="238"/>
      <c r="B33" s="1068" t="s">
        <v>75</v>
      </c>
      <c r="C33" s="1104"/>
      <c r="D33" s="1199">
        <v>100000</v>
      </c>
      <c r="E33" s="507">
        <f t="shared" si="6"/>
        <v>100000</v>
      </c>
      <c r="F33" s="1165">
        <f t="shared" si="0"/>
        <v>4.0825098516217928E-3</v>
      </c>
      <c r="G33" s="512">
        <v>0</v>
      </c>
      <c r="H33" s="512">
        <v>22200</v>
      </c>
      <c r="I33" s="513">
        <v>22200</v>
      </c>
      <c r="J33" s="683">
        <v>8.0211024520870716E-4</v>
      </c>
      <c r="K33" s="683"/>
      <c r="L33" s="512"/>
      <c r="M33" s="512"/>
      <c r="N33" s="513">
        <f t="shared" si="13"/>
        <v>0</v>
      </c>
      <c r="O33" s="1165">
        <f t="shared" si="29"/>
        <v>0</v>
      </c>
      <c r="P33" s="1166"/>
      <c r="Q33" s="512"/>
      <c r="R33" s="512"/>
      <c r="S33" s="513">
        <f t="shared" si="14"/>
        <v>0</v>
      </c>
      <c r="T33" s="1165">
        <f t="shared" si="2"/>
        <v>0</v>
      </c>
      <c r="U33" s="1306"/>
      <c r="V33" s="512"/>
      <c r="W33" s="512"/>
      <c r="X33" s="513">
        <f t="shared" si="15"/>
        <v>0</v>
      </c>
      <c r="Y33" s="1165">
        <f t="shared" si="27"/>
        <v>0</v>
      </c>
      <c r="Z33" s="1163"/>
      <c r="AA33" s="1027"/>
      <c r="AB33" s="1163"/>
      <c r="AC33" s="513">
        <f t="shared" si="30"/>
        <v>0</v>
      </c>
      <c r="AD33" s="1165" t="e">
        <f t="shared" si="17"/>
        <v>#DIV/0!</v>
      </c>
      <c r="AE33" s="1163"/>
      <c r="AF33" s="1376"/>
      <c r="AG33" s="1643"/>
      <c r="AH33" s="1668">
        <f t="shared" si="18"/>
        <v>0</v>
      </c>
      <c r="AI33" s="1730">
        <f t="shared" si="28"/>
        <v>0</v>
      </c>
      <c r="AJ33" s="1376"/>
      <c r="AK33" s="1376"/>
      <c r="AL33" s="1643"/>
      <c r="AM33" s="1630">
        <f t="shared" si="19"/>
        <v>0</v>
      </c>
      <c r="AN33" s="1639">
        <f t="shared" si="3"/>
        <v>0</v>
      </c>
      <c r="AO33" s="1643"/>
      <c r="AP33" s="1376"/>
      <c r="AQ33" s="1643"/>
      <c r="AR33" s="1630">
        <f t="shared" si="20"/>
        <v>0</v>
      </c>
      <c r="AS33" s="1853" t="e">
        <f t="shared" si="7"/>
        <v>#DIV/0!</v>
      </c>
      <c r="AT33" s="1376"/>
      <c r="AU33" s="2081"/>
      <c r="AV33" s="2082"/>
      <c r="AW33" s="2026">
        <f t="shared" si="21"/>
        <v>0</v>
      </c>
      <c r="AX33" s="1639">
        <f t="shared" si="8"/>
        <v>0</v>
      </c>
      <c r="AY33" s="2082"/>
      <c r="AZ33" s="2081"/>
      <c r="BA33" s="2082"/>
      <c r="BB33" s="2026">
        <f t="shared" si="22"/>
        <v>0</v>
      </c>
      <c r="BC33" s="1639" t="e">
        <f t="shared" si="9"/>
        <v>#DIV/0!</v>
      </c>
      <c r="BD33" s="2082"/>
      <c r="BE33" s="2100"/>
      <c r="BF33" s="2082"/>
      <c r="BG33" s="2026">
        <f t="shared" si="23"/>
        <v>0</v>
      </c>
      <c r="BH33" s="2112" t="e">
        <f t="shared" si="4"/>
        <v>#DIV/0!</v>
      </c>
      <c r="BI33" s="2082"/>
      <c r="BJ33" s="2100"/>
      <c r="BK33" s="2082"/>
      <c r="BL33" s="2026">
        <f t="shared" si="24"/>
        <v>0</v>
      </c>
      <c r="BM33" s="2112" t="e">
        <f t="shared" si="10"/>
        <v>#DIV/0!</v>
      </c>
      <c r="BN33" s="2082"/>
      <c r="BO33" s="2100"/>
      <c r="BP33" s="2082"/>
      <c r="BQ33" s="2026">
        <f t="shared" si="25"/>
        <v>0</v>
      </c>
      <c r="BR33" s="2112" t="e">
        <f t="shared" si="11"/>
        <v>#DIV/0!</v>
      </c>
      <c r="BS33" s="2082"/>
      <c r="BT33" s="2100">
        <f t="shared" si="12"/>
        <v>0</v>
      </c>
      <c r="BU33" s="2082">
        <f t="shared" si="12"/>
        <v>22200</v>
      </c>
      <c r="BV33" s="2026">
        <f t="shared" si="26"/>
        <v>22200</v>
      </c>
      <c r="BW33" s="2018">
        <f t="shared" si="5"/>
        <v>6.7579258242933126E-4</v>
      </c>
      <c r="BX33" s="2085"/>
    </row>
    <row r="34" spans="1:76" s="2" customFormat="1" ht="14.4" customHeight="1">
      <c r="A34" s="238"/>
      <c r="B34" s="1052"/>
      <c r="C34" s="1078"/>
      <c r="D34" s="1079"/>
      <c r="E34" s="1028"/>
      <c r="F34" s="1080"/>
      <c r="G34" s="1176"/>
      <c r="H34" s="1176"/>
      <c r="I34" s="1028"/>
      <c r="J34" s="1080"/>
      <c r="K34" s="1080"/>
      <c r="L34" s="1176"/>
      <c r="M34" s="1176"/>
      <c r="N34" s="1028"/>
      <c r="O34" s="1028"/>
      <c r="P34" s="1028"/>
      <c r="Q34" s="1176"/>
      <c r="R34" s="1176"/>
      <c r="S34" s="1028"/>
      <c r="T34" s="1028"/>
      <c r="U34" s="1028"/>
      <c r="V34" s="1176"/>
      <c r="W34" s="1176"/>
      <c r="X34" s="1028"/>
      <c r="Y34" s="1028"/>
      <c r="Z34" s="1028"/>
      <c r="AA34" s="1176"/>
      <c r="AB34" s="1176"/>
      <c r="AC34" s="1028"/>
      <c r="AD34" s="1028"/>
      <c r="AE34" s="1028"/>
      <c r="AF34" s="1432"/>
      <c r="AG34" s="1432"/>
      <c r="AH34" s="1619"/>
      <c r="AI34" s="1680"/>
      <c r="AJ34" s="1621"/>
      <c r="AK34" s="1432"/>
      <c r="AL34" s="1432"/>
      <c r="AM34" s="1619"/>
      <c r="AN34" s="1619"/>
      <c r="AO34" s="1619"/>
      <c r="AP34" s="1432"/>
      <c r="AQ34" s="1432"/>
      <c r="AR34" s="1619"/>
      <c r="AS34" s="1680"/>
      <c r="AT34" s="1621"/>
      <c r="AU34" s="2043"/>
      <c r="AV34" s="2043"/>
      <c r="AW34" s="2024"/>
      <c r="AX34" s="2024"/>
      <c r="AY34" s="2024"/>
      <c r="AZ34" s="2043"/>
      <c r="BA34" s="2043"/>
      <c r="BB34" s="2024"/>
      <c r="BC34" s="2024"/>
      <c r="BD34" s="2024"/>
      <c r="BE34" s="2043"/>
      <c r="BF34" s="2043"/>
      <c r="BG34" s="2024"/>
      <c r="BH34" s="2024"/>
      <c r="BI34" s="2024"/>
      <c r="BJ34" s="2043"/>
      <c r="BK34" s="2043"/>
      <c r="BL34" s="2024"/>
      <c r="BM34" s="2024"/>
      <c r="BN34" s="2024"/>
      <c r="BO34" s="2043"/>
      <c r="BP34" s="2043"/>
      <c r="BQ34" s="2024"/>
      <c r="BR34" s="2024"/>
      <c r="BS34" s="2024"/>
      <c r="BT34" s="2043"/>
      <c r="BU34" s="2043"/>
      <c r="BV34" s="2024"/>
      <c r="BW34" s="2024"/>
      <c r="BX34" s="2024"/>
    </row>
    <row r="35" spans="1:76" s="88" customFormat="1" ht="14.4" customHeight="1">
      <c r="A35" s="238"/>
      <c r="B35" s="1105" t="s">
        <v>80</v>
      </c>
      <c r="C35" s="1260">
        <f>C36</f>
        <v>0</v>
      </c>
      <c r="D35" s="1260">
        <f>D36</f>
        <v>0</v>
      </c>
      <c r="E35" s="1261">
        <f>E36</f>
        <v>0</v>
      </c>
      <c r="F35" s="1262">
        <f>E35/$E$89</f>
        <v>0</v>
      </c>
      <c r="G35" s="1260">
        <v>0</v>
      </c>
      <c r="H35" s="1260">
        <v>0</v>
      </c>
      <c r="I35" s="1261">
        <v>0</v>
      </c>
      <c r="J35" s="1263"/>
      <c r="K35" s="1263"/>
      <c r="L35" s="1260">
        <f>L36</f>
        <v>0</v>
      </c>
      <c r="M35" s="1260">
        <f>M36</f>
        <v>0</v>
      </c>
      <c r="N35" s="1261">
        <f>N36</f>
        <v>0</v>
      </c>
      <c r="O35" s="1261"/>
      <c r="P35" s="1261"/>
      <c r="Q35" s="1260">
        <f>Q36</f>
        <v>0</v>
      </c>
      <c r="R35" s="1260">
        <f>R36</f>
        <v>0</v>
      </c>
      <c r="S35" s="1261">
        <f>S36</f>
        <v>0</v>
      </c>
      <c r="T35" s="1261"/>
      <c r="U35" s="1261"/>
      <c r="V35" s="1260">
        <f>V36</f>
        <v>0</v>
      </c>
      <c r="W35" s="1260">
        <f>W36</f>
        <v>0</v>
      </c>
      <c r="X35" s="1261">
        <f>X36</f>
        <v>0</v>
      </c>
      <c r="Y35" s="1261"/>
      <c r="Z35" s="1261"/>
      <c r="AA35" s="1260">
        <f>AA36</f>
        <v>0</v>
      </c>
      <c r="AB35" s="1260">
        <f>AB36</f>
        <v>0</v>
      </c>
      <c r="AC35" s="1261">
        <f>AC36</f>
        <v>0</v>
      </c>
      <c r="AD35" s="1261"/>
      <c r="AE35" s="1261"/>
      <c r="AF35" s="1469">
        <f>AF36</f>
        <v>0</v>
      </c>
      <c r="AG35" s="1469">
        <f>AG36</f>
        <v>0</v>
      </c>
      <c r="AH35" s="1470">
        <f>AH36</f>
        <v>0</v>
      </c>
      <c r="AI35" s="1469"/>
      <c r="AJ35" s="1470"/>
      <c r="AK35" s="1469">
        <f>AK36</f>
        <v>0</v>
      </c>
      <c r="AL35" s="1469">
        <f>AL36</f>
        <v>0</v>
      </c>
      <c r="AM35" s="1470">
        <f>AM36</f>
        <v>0</v>
      </c>
      <c r="AN35" s="1470"/>
      <c r="AO35" s="1470"/>
      <c r="AP35" s="1469">
        <f>AP36</f>
        <v>0</v>
      </c>
      <c r="AQ35" s="1469">
        <f>AQ36</f>
        <v>0</v>
      </c>
      <c r="AR35" s="1470">
        <f>AR36</f>
        <v>0</v>
      </c>
      <c r="AS35" s="1469"/>
      <c r="AT35" s="1470"/>
      <c r="AU35" s="2009">
        <f>AU36</f>
        <v>0</v>
      </c>
      <c r="AV35" s="2009">
        <f>AV36</f>
        <v>0</v>
      </c>
      <c r="AW35" s="2010">
        <f>AW36</f>
        <v>0</v>
      </c>
      <c r="AX35" s="2010">
        <f t="shared" si="8"/>
        <v>0</v>
      </c>
      <c r="AY35" s="2010"/>
      <c r="AZ35" s="2009">
        <f>AZ36</f>
        <v>0</v>
      </c>
      <c r="BA35" s="2009">
        <f>BA36</f>
        <v>0</v>
      </c>
      <c r="BB35" s="2010">
        <f>BB36</f>
        <v>0</v>
      </c>
      <c r="BC35" s="2010">
        <f>BB35/$AW$89</f>
        <v>0</v>
      </c>
      <c r="BD35" s="2010"/>
      <c r="BE35" s="2009">
        <f>BE36</f>
        <v>0</v>
      </c>
      <c r="BF35" s="2009">
        <f>BF36</f>
        <v>0</v>
      </c>
      <c r="BG35" s="2010">
        <f>BG36</f>
        <v>0</v>
      </c>
      <c r="BH35" s="2010" t="e">
        <f t="shared" si="4"/>
        <v>#DIV/0!</v>
      </c>
      <c r="BI35" s="2010"/>
      <c r="BJ35" s="2009">
        <f>BJ36</f>
        <v>0</v>
      </c>
      <c r="BK35" s="2009">
        <f>BK36</f>
        <v>0</v>
      </c>
      <c r="BL35" s="2010">
        <f>BL36</f>
        <v>0</v>
      </c>
      <c r="BM35" s="2010" t="e">
        <f>BL35/$BG$89</f>
        <v>#DIV/0!</v>
      </c>
      <c r="BN35" s="2010"/>
      <c r="BO35" s="2009">
        <f>BO36</f>
        <v>0</v>
      </c>
      <c r="BP35" s="2009">
        <f>BP36</f>
        <v>0</v>
      </c>
      <c r="BQ35" s="2010">
        <f>BQ36</f>
        <v>0</v>
      </c>
      <c r="BR35" s="2010" t="e">
        <f>BQ35/$BG$89</f>
        <v>#DIV/0!</v>
      </c>
      <c r="BS35" s="2010"/>
      <c r="BT35" s="2009">
        <f>BT36</f>
        <v>0</v>
      </c>
      <c r="BU35" s="2009">
        <f>BU36</f>
        <v>0</v>
      </c>
      <c r="BV35" s="2010">
        <f>BV36</f>
        <v>0</v>
      </c>
      <c r="BW35" s="2010"/>
      <c r="BX35" s="2010"/>
    </row>
    <row r="36" spans="1:76" s="226" customFormat="1" ht="14.4" customHeight="1">
      <c r="A36" s="238"/>
      <c r="B36" s="1106" t="s">
        <v>81</v>
      </c>
      <c r="C36" s="1265"/>
      <c r="D36" s="1266"/>
      <c r="E36" s="1178">
        <f>C36+D36</f>
        <v>0</v>
      </c>
      <c r="F36" s="1233">
        <f>E36/$E$89</f>
        <v>0</v>
      </c>
      <c r="G36" s="1176">
        <v>0</v>
      </c>
      <c r="H36" s="1176">
        <v>0</v>
      </c>
      <c r="I36" s="1178">
        <v>0</v>
      </c>
      <c r="J36" s="1039">
        <v>0</v>
      </c>
      <c r="K36" s="1039"/>
      <c r="L36" s="1176"/>
      <c r="M36" s="1176"/>
      <c r="N36" s="1178">
        <f>L36+M36*1</f>
        <v>0</v>
      </c>
      <c r="O36" s="1233">
        <f>N36/$N$89</f>
        <v>0</v>
      </c>
      <c r="P36" s="1237"/>
      <c r="Q36" s="1176"/>
      <c r="R36" s="1176"/>
      <c r="S36" s="1178">
        <f>Q36+R36*1</f>
        <v>0</v>
      </c>
      <c r="T36" s="1233">
        <f>S36/$S$89</f>
        <v>0</v>
      </c>
      <c r="U36" s="1237"/>
      <c r="V36" s="1176"/>
      <c r="W36" s="1176"/>
      <c r="X36" s="1178">
        <f>V36+W36*1</f>
        <v>0</v>
      </c>
      <c r="Y36" s="1233">
        <f>X36/$S$89</f>
        <v>0</v>
      </c>
      <c r="Z36" s="1237"/>
      <c r="AA36" s="1176"/>
      <c r="AB36" s="1176"/>
      <c r="AC36" s="1178">
        <f>AA36+AB36*1</f>
        <v>0</v>
      </c>
      <c r="AD36" s="1233" t="e">
        <f>AC36/$AC$89</f>
        <v>#DIV/0!</v>
      </c>
      <c r="AE36" s="1237"/>
      <c r="AF36" s="1432"/>
      <c r="AG36" s="1432"/>
      <c r="AH36" s="1480">
        <f>AF36+AG36*1</f>
        <v>0</v>
      </c>
      <c r="AI36" s="1651">
        <f>AH36/$AH$89</f>
        <v>0</v>
      </c>
      <c r="AJ36" s="1475"/>
      <c r="AK36" s="1432"/>
      <c r="AL36" s="1432"/>
      <c r="AM36" s="1480">
        <f>AK36+AL36*1</f>
        <v>0</v>
      </c>
      <c r="AN36" s="1540">
        <f>AM36/$AM$89</f>
        <v>0</v>
      </c>
      <c r="AO36" s="1435"/>
      <c r="AP36" s="1432"/>
      <c r="AQ36" s="1432"/>
      <c r="AR36" s="1480">
        <f>AP36+AQ36*1</f>
        <v>0</v>
      </c>
      <c r="AS36" s="1651" t="e">
        <f>AR36/$AR$89</f>
        <v>#DIV/0!</v>
      </c>
      <c r="AT36" s="1475"/>
      <c r="AU36" s="2043"/>
      <c r="AV36" s="2043"/>
      <c r="AW36" s="2012">
        <f>AU36+AV36*1</f>
        <v>0</v>
      </c>
      <c r="AX36" s="2044">
        <f t="shared" si="8"/>
        <v>0</v>
      </c>
      <c r="AY36" s="1893"/>
      <c r="AZ36" s="2043"/>
      <c r="BA36" s="2043"/>
      <c r="BB36" s="2012">
        <f>AZ36+BA36*1</f>
        <v>0</v>
      </c>
      <c r="BC36" s="2044" t="e">
        <f>BB36/$BB$89</f>
        <v>#DIV/0!</v>
      </c>
      <c r="BD36" s="1893"/>
      <c r="BE36" s="2043"/>
      <c r="BF36" s="2043"/>
      <c r="BG36" s="2012">
        <f>BE36+BF36*1</f>
        <v>0</v>
      </c>
      <c r="BH36" s="2044" t="e">
        <f t="shared" si="4"/>
        <v>#DIV/0!</v>
      </c>
      <c r="BI36" s="1893"/>
      <c r="BJ36" s="2043"/>
      <c r="BK36" s="2043"/>
      <c r="BL36" s="2012">
        <f>BJ36+BK36*1</f>
        <v>0</v>
      </c>
      <c r="BM36" s="2044" t="e">
        <f>BL36/$BG$89</f>
        <v>#DIV/0!</v>
      </c>
      <c r="BN36" s="1893"/>
      <c r="BO36" s="2043"/>
      <c r="BP36" s="2043"/>
      <c r="BQ36" s="2012">
        <f>BO36+BP36*1</f>
        <v>0</v>
      </c>
      <c r="BR36" s="2044" t="e">
        <f>BQ36/$BG$89</f>
        <v>#DIV/0!</v>
      </c>
      <c r="BS36" s="1893"/>
      <c r="BT36" s="2043">
        <f>G36+L36+Q36+V36+AA36+AF36+AK36+AP36+AU36+AZ36+BE36</f>
        <v>0</v>
      </c>
      <c r="BU36" s="2043">
        <f>H36+M36+R36+W36+AB36+AG36+AL36+AQ36+AV36+BA36+BF36</f>
        <v>0</v>
      </c>
      <c r="BV36" s="2012">
        <f>BT36+BU36*1</f>
        <v>0</v>
      </c>
      <c r="BW36" s="2044">
        <f>BV36/$BV$89</f>
        <v>0</v>
      </c>
      <c r="BX36" s="1893"/>
    </row>
    <row r="37" spans="1:76" s="2" customFormat="1" ht="14.4" customHeight="1" thickBot="1">
      <c r="A37" s="4"/>
      <c r="B37" s="1107"/>
      <c r="C37" s="1200"/>
      <c r="D37" s="1083"/>
      <c r="E37" s="1167"/>
      <c r="F37" s="1201"/>
      <c r="G37" s="956"/>
      <c r="H37" s="956"/>
      <c r="I37" s="956"/>
      <c r="J37" s="956"/>
      <c r="K37" s="956"/>
      <c r="L37" s="1176"/>
      <c r="M37" s="1176"/>
      <c r="N37" s="1167"/>
      <c r="O37" s="1167"/>
      <c r="P37" s="1167"/>
      <c r="Q37" s="1176"/>
      <c r="R37" s="1176"/>
      <c r="S37" s="1167"/>
      <c r="T37" s="1167"/>
      <c r="U37" s="1167"/>
      <c r="V37" s="1176"/>
      <c r="W37" s="1176"/>
      <c r="X37" s="1167"/>
      <c r="Y37" s="1167"/>
      <c r="Z37" s="1167"/>
      <c r="AA37" s="1176"/>
      <c r="AB37" s="1176"/>
      <c r="AC37" s="1167"/>
      <c r="AD37" s="1167"/>
      <c r="AE37" s="1167"/>
      <c r="AF37" s="1432"/>
      <c r="AG37" s="1432"/>
      <c r="AH37" s="1439"/>
      <c r="AI37" s="1822"/>
      <c r="AJ37" s="1366"/>
      <c r="AK37" s="1432"/>
      <c r="AL37" s="1432"/>
      <c r="AM37" s="1439"/>
      <c r="AN37" s="1439"/>
      <c r="AO37" s="1439"/>
      <c r="AP37" s="1432"/>
      <c r="AQ37" s="1432"/>
      <c r="AR37" s="1439"/>
      <c r="AS37" s="1822"/>
      <c r="AT37" s="1366"/>
      <c r="AU37" s="2043"/>
      <c r="AV37" s="2043"/>
      <c r="AW37" s="2001"/>
      <c r="AX37" s="2001"/>
      <c r="AY37" s="2001"/>
      <c r="AZ37" s="2043"/>
      <c r="BA37" s="2043"/>
      <c r="BB37" s="2001"/>
      <c r="BC37" s="2001"/>
      <c r="BD37" s="2001"/>
      <c r="BE37" s="2043"/>
      <c r="BF37" s="2043"/>
      <c r="BG37" s="2001"/>
      <c r="BH37" s="2001"/>
      <c r="BI37" s="2001"/>
      <c r="BJ37" s="2043"/>
      <c r="BK37" s="2043"/>
      <c r="BL37" s="2001"/>
      <c r="BM37" s="2001"/>
      <c r="BN37" s="2001"/>
      <c r="BO37" s="2043"/>
      <c r="BP37" s="2043"/>
      <c r="BQ37" s="2001"/>
      <c r="BR37" s="2001"/>
      <c r="BS37" s="2001"/>
      <c r="BT37" s="2043"/>
      <c r="BU37" s="2043"/>
      <c r="BV37" s="2001"/>
      <c r="BW37" s="2001"/>
      <c r="BX37" s="2001"/>
    </row>
    <row r="38" spans="1:76" ht="14.4" customHeight="1" thickBot="1">
      <c r="A38" s="889"/>
      <c r="B38" s="34" t="s">
        <v>46</v>
      </c>
      <c r="C38" s="648">
        <f>(C5)-(C8)</f>
        <v>9246410.0799999982</v>
      </c>
      <c r="D38" s="648">
        <f>(D5)-(D8)</f>
        <v>-4160778.7300000004</v>
      </c>
      <c r="E38" s="648">
        <f>(E5)-(E8)</f>
        <v>5085631.3499999978</v>
      </c>
      <c r="F38" s="871"/>
      <c r="G38" s="648">
        <v>10483487.190000005</v>
      </c>
      <c r="H38" s="648">
        <v>-7123266.9500000002</v>
      </c>
      <c r="I38" s="648">
        <v>3360220.2400000058</v>
      </c>
      <c r="J38" s="871"/>
      <c r="K38" s="871"/>
      <c r="L38" s="648">
        <f>(L5)-(L8)</f>
        <v>-143432.39000000001</v>
      </c>
      <c r="M38" s="648">
        <f>(M5)-(M8)</f>
        <v>-349479.03120000003</v>
      </c>
      <c r="N38" s="648">
        <f>(N5)-(N8)</f>
        <v>-492911.42120000004</v>
      </c>
      <c r="O38" s="648"/>
      <c r="P38" s="648"/>
      <c r="Q38" s="648">
        <f>(Q5)-(Q8)</f>
        <v>3341118.0980000002</v>
      </c>
      <c r="R38" s="648">
        <f>(R5)-(R8)</f>
        <v>-1436766.2899999998</v>
      </c>
      <c r="S38" s="648">
        <f>(S5)-(S8)</f>
        <v>1904351.8080000007</v>
      </c>
      <c r="T38" s="648"/>
      <c r="U38" s="648"/>
      <c r="V38" s="648">
        <f>(V5)-(V8)</f>
        <v>1437943.01</v>
      </c>
      <c r="W38" s="648">
        <f>(W5)-(W8)</f>
        <v>-90032</v>
      </c>
      <c r="X38" s="648">
        <f>(X5)-(X8)</f>
        <v>1347911.01</v>
      </c>
      <c r="Y38" s="648"/>
      <c r="Z38" s="648"/>
      <c r="AA38" s="648">
        <f>(AA5)-(AA8)</f>
        <v>0</v>
      </c>
      <c r="AB38" s="648">
        <f>(AB5)-(AB8)</f>
        <v>0</v>
      </c>
      <c r="AC38" s="648">
        <f>(AC5)-(AC8)</f>
        <v>0</v>
      </c>
      <c r="AD38" s="648"/>
      <c r="AE38" s="648"/>
      <c r="AF38" s="1440">
        <f>(AF5)-(AF8)</f>
        <v>56749.184000000001</v>
      </c>
      <c r="AG38" s="1440">
        <f>(AG5)-(AG8)</f>
        <v>0</v>
      </c>
      <c r="AH38" s="1440">
        <f>(AH5)-(AH8)</f>
        <v>56749.184000000001</v>
      </c>
      <c r="AI38" s="1706"/>
      <c r="AJ38" s="1440"/>
      <c r="AK38" s="1440">
        <f>(AK5)-(AK8)</f>
        <v>0</v>
      </c>
      <c r="AL38" s="1440">
        <f>(AL5)-(AL8)</f>
        <v>0</v>
      </c>
      <c r="AM38" s="1440">
        <f>(AM5)-(AM8)</f>
        <v>0</v>
      </c>
      <c r="AN38" s="1440"/>
      <c r="AO38" s="1440"/>
      <c r="AP38" s="1440">
        <f>(AP5)-(AP8)</f>
        <v>0</v>
      </c>
      <c r="AQ38" s="1440">
        <f>(AQ5)-(AQ8)</f>
        <v>0</v>
      </c>
      <c r="AR38" s="1440">
        <f>(AR5)-(AR8)</f>
        <v>0</v>
      </c>
      <c r="AS38" s="1440"/>
      <c r="AT38" s="1440"/>
      <c r="AU38" s="2002">
        <f>(AU5)-(AU8)</f>
        <v>-1055225.648</v>
      </c>
      <c r="AV38" s="2002">
        <f>(AV5)-(AV8)</f>
        <v>0</v>
      </c>
      <c r="AW38" s="2002">
        <f>(AW5)-(AW8)</f>
        <v>-1055225.648</v>
      </c>
      <c r="AX38" s="2002">
        <f t="shared" si="8"/>
        <v>-0.99957373270771899</v>
      </c>
      <c r="AY38" s="2002"/>
      <c r="AZ38" s="2002">
        <f>(AZ5)-(AZ8)</f>
        <v>0</v>
      </c>
      <c r="BA38" s="2002">
        <f>(BA5)-(BA8)</f>
        <v>0</v>
      </c>
      <c r="BB38" s="2002">
        <f>(BB5)-(BB8)</f>
        <v>0</v>
      </c>
      <c r="BC38" s="2002">
        <f>BB38/$AW$89</f>
        <v>0</v>
      </c>
      <c r="BD38" s="2002"/>
      <c r="BE38" s="2002">
        <f>(BE5)-(BE8)</f>
        <v>0</v>
      </c>
      <c r="BF38" s="2002">
        <f>(BF5)-(BF8)</f>
        <v>0</v>
      </c>
      <c r="BG38" s="2002">
        <f>(BG5)-(BG8)</f>
        <v>0</v>
      </c>
      <c r="BH38" s="2002">
        <f>BG38/$AW$89</f>
        <v>0</v>
      </c>
      <c r="BI38" s="2002"/>
      <c r="BJ38" s="2002">
        <f>(BJ5)-(BJ8)</f>
        <v>0</v>
      </c>
      <c r="BK38" s="2002">
        <f>(BK5)-(BK8)</f>
        <v>0</v>
      </c>
      <c r="BL38" s="2002">
        <f>(BL5)-(BL8)</f>
        <v>0</v>
      </c>
      <c r="BM38" s="2002">
        <f>BL38/$AW$89</f>
        <v>0</v>
      </c>
      <c r="BN38" s="2002"/>
      <c r="BO38" s="2002">
        <f>(BO5)-(BO8)</f>
        <v>0</v>
      </c>
      <c r="BP38" s="2002">
        <f>(BP5)-(BP8)</f>
        <v>0</v>
      </c>
      <c r="BQ38" s="2002">
        <f>(BQ5)-(BQ8)</f>
        <v>0</v>
      </c>
      <c r="BR38" s="2002">
        <f>BQ38/$AW$89</f>
        <v>0</v>
      </c>
      <c r="BS38" s="2002"/>
      <c r="BT38" s="2002">
        <f>(BT5)-(BT8)</f>
        <v>14120639.444000002</v>
      </c>
      <c r="BU38" s="2002">
        <f>(BU5)-(BU8)</f>
        <v>-8999544.2712000012</v>
      </c>
      <c r="BV38" s="2002">
        <f>(BV5)-(BV8)</f>
        <v>5121095.1728000082</v>
      </c>
      <c r="BW38" s="2002"/>
      <c r="BX38" s="2002"/>
    </row>
    <row r="39" spans="1:76" ht="14.4" customHeight="1">
      <c r="A39" s="293"/>
      <c r="B39" s="15" t="s">
        <v>47</v>
      </c>
      <c r="C39" s="873">
        <f>C38/(C5)</f>
        <v>0.33524690835006554</v>
      </c>
      <c r="D39" s="873" t="e">
        <f>D38/(D5)</f>
        <v>#DIV/0!</v>
      </c>
      <c r="E39" s="874">
        <f>E38/(E5)</f>
        <v>0.1843896357985963</v>
      </c>
      <c r="F39" s="875"/>
      <c r="G39" s="639">
        <v>0.35844902616748081</v>
      </c>
      <c r="H39" s="639" t="e">
        <v>#DIV/0!</v>
      </c>
      <c r="I39" s="660">
        <v>0.11489189149629325</v>
      </c>
      <c r="J39" s="957"/>
      <c r="K39" s="957"/>
      <c r="L39" s="639" t="e">
        <f>L38/(L5)</f>
        <v>#DIV/0!</v>
      </c>
      <c r="M39" s="639" t="e">
        <f>M38/(M5)</f>
        <v>#DIV/0!</v>
      </c>
      <c r="N39" s="660" t="e">
        <f>N38/(N5)</f>
        <v>#DIV/0!</v>
      </c>
      <c r="O39" s="660"/>
      <c r="P39" s="660"/>
      <c r="Q39" s="639">
        <f>Q38/(Q5)</f>
        <v>0.68275651394279813</v>
      </c>
      <c r="R39" s="639" t="e">
        <f>R38/(R5)</f>
        <v>#DIV/0!</v>
      </c>
      <c r="S39" s="660">
        <f>S38/(S5)</f>
        <v>0.38915373944101306</v>
      </c>
      <c r="T39" s="660"/>
      <c r="U39" s="660"/>
      <c r="V39" s="639">
        <f>V38/(V5)</f>
        <v>0.98825116602967644</v>
      </c>
      <c r="W39" s="639" t="e">
        <f>W38/(W5)</f>
        <v>#DIV/0!</v>
      </c>
      <c r="X39" s="660">
        <f>X38/(X5)</f>
        <v>0.92637511923142135</v>
      </c>
      <c r="Y39" s="660"/>
      <c r="Z39" s="660"/>
      <c r="AA39" s="639" t="e">
        <f>AA38/(AA5)</f>
        <v>#DIV/0!</v>
      </c>
      <c r="AB39" s="639" t="e">
        <f>AB38/(AB5)</f>
        <v>#DIV/0!</v>
      </c>
      <c r="AC39" s="660" t="e">
        <f>AC38/(AC5)</f>
        <v>#DIV/0!</v>
      </c>
      <c r="AD39" s="660"/>
      <c r="AE39" s="660"/>
      <c r="AF39" s="1441">
        <f>AF38/(AF5)</f>
        <v>0.9509230202084521</v>
      </c>
      <c r="AG39" s="1441" t="e">
        <f>AG38/(AG5)</f>
        <v>#DIV/0!</v>
      </c>
      <c r="AH39" s="1442">
        <f>AH38/(AH5)</f>
        <v>0.9509230202084521</v>
      </c>
      <c r="AI39" s="1441"/>
      <c r="AJ39" s="1442"/>
      <c r="AK39" s="1441" t="e">
        <f>AK38/(AK5)</f>
        <v>#DIV/0!</v>
      </c>
      <c r="AL39" s="1441" t="e">
        <f>AL38/(AL5)</f>
        <v>#DIV/0!</v>
      </c>
      <c r="AM39" s="1442" t="e">
        <f>AM38/(AM5)</f>
        <v>#DIV/0!</v>
      </c>
      <c r="AN39" s="1442"/>
      <c r="AO39" s="1442"/>
      <c r="AP39" s="1441" t="e">
        <f>AP38/(AP5)</f>
        <v>#DIV/0!</v>
      </c>
      <c r="AQ39" s="1441" t="e">
        <f>AQ38/(AQ5)</f>
        <v>#DIV/0!</v>
      </c>
      <c r="AR39" s="1442" t="e">
        <f>AR38/(AR5)</f>
        <v>#DIV/0!</v>
      </c>
      <c r="AS39" s="1442"/>
      <c r="AT39" s="1442"/>
      <c r="AU39" s="2003" t="e">
        <f>AU38/(AU5)</f>
        <v>#DIV/0!</v>
      </c>
      <c r="AV39" s="2003" t="e">
        <f>AV38/(AV5)</f>
        <v>#DIV/0!</v>
      </c>
      <c r="AW39" s="2004" t="e">
        <f>AW38/(AW5)</f>
        <v>#DIV/0!</v>
      </c>
      <c r="AX39" s="2004" t="e">
        <f t="shared" si="8"/>
        <v>#DIV/0!</v>
      </c>
      <c r="AY39" s="2004"/>
      <c r="AZ39" s="2003" t="e">
        <f>AZ38/(AZ5)</f>
        <v>#DIV/0!</v>
      </c>
      <c r="BA39" s="2003" t="e">
        <f>BA38/(BA5)</f>
        <v>#DIV/0!</v>
      </c>
      <c r="BB39" s="2004" t="e">
        <f>BB38/(BB5)</f>
        <v>#DIV/0!</v>
      </c>
      <c r="BC39" s="2004" t="e">
        <f>BB39/$AW$89</f>
        <v>#DIV/0!</v>
      </c>
      <c r="BD39" s="2004"/>
      <c r="BE39" s="2003" t="e">
        <f>BE38/(BE5)</f>
        <v>#DIV/0!</v>
      </c>
      <c r="BF39" s="2003" t="e">
        <f>BF38/(BF5)</f>
        <v>#DIV/0!</v>
      </c>
      <c r="BG39" s="2004" t="e">
        <f>BG38/(BG5)</f>
        <v>#DIV/0!</v>
      </c>
      <c r="BH39" s="2004" t="e">
        <f>BG39/$AW$89</f>
        <v>#DIV/0!</v>
      </c>
      <c r="BI39" s="2004"/>
      <c r="BJ39" s="2003" t="e">
        <f>BJ38/(BJ5)</f>
        <v>#DIV/0!</v>
      </c>
      <c r="BK39" s="2003" t="e">
        <f>BK38/(BK5)</f>
        <v>#DIV/0!</v>
      </c>
      <c r="BL39" s="2004" t="e">
        <f>BL38/(BL5)</f>
        <v>#DIV/0!</v>
      </c>
      <c r="BM39" s="2004" t="e">
        <f>BL39/$AW$89</f>
        <v>#DIV/0!</v>
      </c>
      <c r="BN39" s="2004"/>
      <c r="BO39" s="2003" t="e">
        <f>BO38/(BO5)</f>
        <v>#DIV/0!</v>
      </c>
      <c r="BP39" s="2003" t="e">
        <f>BP38/(BP5)</f>
        <v>#DIV/0!</v>
      </c>
      <c r="BQ39" s="2004" t="e">
        <f>BQ38/(BQ5)</f>
        <v>#DIV/0!</v>
      </c>
      <c r="BR39" s="2004" t="e">
        <f>BQ39/$AW$89</f>
        <v>#DIV/0!</v>
      </c>
      <c r="BS39" s="2004"/>
      <c r="BT39" s="2003">
        <f>BT38/(BT5)</f>
        <v>0.39603433995233683</v>
      </c>
      <c r="BU39" s="2003" t="e">
        <f>BU38/(BU5)</f>
        <v>#DIV/0!</v>
      </c>
      <c r="BV39" s="2004">
        <f>BV38/(BV5)</f>
        <v>0.14362873258227141</v>
      </c>
      <c r="BW39" s="2004"/>
      <c r="BX39" s="2004"/>
    </row>
    <row r="40" spans="1:76" ht="14.4" customHeight="1" thickBot="1">
      <c r="A40" s="295"/>
      <c r="B40" s="1222"/>
      <c r="C40" s="1223"/>
      <c r="D40" s="1029"/>
      <c r="E40" s="1168"/>
      <c r="F40" s="1224"/>
      <c r="G40" s="1224"/>
      <c r="H40" s="1224"/>
      <c r="I40" s="1224"/>
      <c r="J40" s="1224"/>
      <c r="K40" s="1224"/>
      <c r="L40" s="1168"/>
      <c r="M40" s="1168"/>
      <c r="N40" s="1168"/>
      <c r="O40" s="1168"/>
      <c r="P40" s="1168"/>
      <c r="Q40" s="1168"/>
      <c r="R40" s="1168"/>
      <c r="S40" s="1168"/>
      <c r="T40" s="1168"/>
      <c r="U40" s="1168"/>
      <c r="V40" s="1168"/>
      <c r="W40" s="1168"/>
      <c r="X40" s="1168"/>
      <c r="Y40" s="1168"/>
      <c r="Z40" s="1168"/>
      <c r="AA40" s="1168"/>
      <c r="AB40" s="1168"/>
      <c r="AC40" s="1168"/>
      <c r="AD40" s="1168"/>
      <c r="AE40" s="1168"/>
      <c r="AF40" s="1444"/>
      <c r="AG40" s="1444"/>
      <c r="AH40" s="1444"/>
      <c r="AI40" s="1789"/>
      <c r="AJ40" s="1363"/>
      <c r="AK40" s="1444"/>
      <c r="AL40" s="1444"/>
      <c r="AM40" s="1444"/>
      <c r="AN40" s="1444"/>
      <c r="AO40" s="1444"/>
      <c r="AP40" s="1444"/>
      <c r="AQ40" s="1444"/>
      <c r="AR40" s="1444"/>
      <c r="AS40" s="1444"/>
      <c r="AT40" s="1444"/>
      <c r="AU40" s="2005"/>
      <c r="AV40" s="2005"/>
      <c r="AW40" s="2005"/>
      <c r="AX40" s="2005"/>
      <c r="AY40" s="2005"/>
      <c r="AZ40" s="2005"/>
      <c r="BA40" s="2005"/>
      <c r="BB40" s="2005"/>
      <c r="BC40" s="2005"/>
      <c r="BD40" s="2005"/>
      <c r="BE40" s="2005"/>
      <c r="BF40" s="2005"/>
      <c r="BG40" s="2005"/>
      <c r="BH40" s="2005"/>
      <c r="BI40" s="2005"/>
      <c r="BJ40" s="2005"/>
      <c r="BK40" s="2005"/>
      <c r="BL40" s="2005"/>
      <c r="BM40" s="2005"/>
      <c r="BN40" s="2005"/>
      <c r="BO40" s="2005"/>
      <c r="BP40" s="2005"/>
      <c r="BQ40" s="2005"/>
      <c r="BR40" s="2005"/>
      <c r="BS40" s="2005"/>
      <c r="BT40" s="2005"/>
      <c r="BU40" s="2005"/>
      <c r="BV40" s="2005"/>
      <c r="BW40" s="2005"/>
      <c r="BX40" s="2005"/>
    </row>
    <row r="41" spans="1:76" ht="14.4" customHeight="1">
      <c r="A41" s="11"/>
      <c r="B41" s="1053" t="s">
        <v>26</v>
      </c>
      <c r="C41" s="1030">
        <f>SUM(C42:C48)</f>
        <v>55674</v>
      </c>
      <c r="D41" s="1030">
        <f>SUM(D42:D48)</f>
        <v>27899.48</v>
      </c>
      <c r="E41" s="1031">
        <f>SUM(E42:E48)</f>
        <v>83573.48</v>
      </c>
      <c r="F41" s="1229">
        <f t="shared" ref="F41:F48" si="31">E41/$E$89</f>
        <v>3.4118955543431684E-3</v>
      </c>
      <c r="G41" s="1030">
        <v>91410.276000000013</v>
      </c>
      <c r="H41" s="1030">
        <v>9892.7899999999991</v>
      </c>
      <c r="I41" s="1031">
        <v>101303.06600000001</v>
      </c>
      <c r="J41" s="1098">
        <v>3.6601904103447679E-3</v>
      </c>
      <c r="K41" s="1098"/>
      <c r="L41" s="1030">
        <f>SUM(L42:L48)</f>
        <v>1933.06</v>
      </c>
      <c r="M41" s="1030">
        <f>SUM(M42:M48)</f>
        <v>770</v>
      </c>
      <c r="N41" s="1031">
        <f>SUM(N42:N48)</f>
        <v>2703.06</v>
      </c>
      <c r="O41" s="1229">
        <f t="shared" ref="O41:O49" si="32">N41/$N$89</f>
        <v>4.4042350847181841E-3</v>
      </c>
      <c r="P41" s="581"/>
      <c r="Q41" s="1030">
        <f>SUM(Q42:Q48)</f>
        <v>4232.68</v>
      </c>
      <c r="R41" s="1030">
        <f>SUM(R42:R48)</f>
        <v>1247</v>
      </c>
      <c r="S41" s="1031">
        <f>SUM(S42:S48)</f>
        <v>5479.68</v>
      </c>
      <c r="T41" s="1229">
        <f>S41/$S$89</f>
        <v>1.6621013042170355E-3</v>
      </c>
      <c r="U41" s="581"/>
      <c r="V41" s="1030">
        <f>SUM(V42:V48)</f>
        <v>405.06</v>
      </c>
      <c r="W41" s="1030">
        <f>SUM(W42:W48)</f>
        <v>0</v>
      </c>
      <c r="X41" s="1031">
        <f>SUM(X42:X48)</f>
        <v>405.06</v>
      </c>
      <c r="Y41" s="1229">
        <f>X41/$X$89</f>
        <v>3.3343302136264216E-3</v>
      </c>
      <c r="Z41" s="581"/>
      <c r="AA41" s="1030">
        <f>SUM(AA42:AA48)</f>
        <v>0</v>
      </c>
      <c r="AB41" s="1030">
        <f>SUM(AB42:AB48)</f>
        <v>0</v>
      </c>
      <c r="AC41" s="1031">
        <f>SUM(AC42:AC48)</f>
        <v>0</v>
      </c>
      <c r="AD41" s="1229" t="e">
        <f>AC41/$AC$89</f>
        <v>#DIV/0!</v>
      </c>
      <c r="AE41" s="581"/>
      <c r="AF41" s="1491">
        <f>SUM(AF42:AF48)</f>
        <v>0</v>
      </c>
      <c r="AG41" s="1491">
        <f>SUM(AG42:AG48)</f>
        <v>0</v>
      </c>
      <c r="AH41" s="1492">
        <f>SUM(AH42:AH48)</f>
        <v>0</v>
      </c>
      <c r="AI41" s="1854" t="e">
        <f>AH41/$AC$89</f>
        <v>#DIV/0!</v>
      </c>
      <c r="AJ41" s="1446"/>
      <c r="AK41" s="1491">
        <f>SUM(AK42:AK48)</f>
        <v>0</v>
      </c>
      <c r="AL41" s="1491">
        <f>SUM(AL42:AL48)</f>
        <v>0</v>
      </c>
      <c r="AM41" s="1492">
        <f>SUM(AM42:AM48)</f>
        <v>0</v>
      </c>
      <c r="AN41" s="1533">
        <f t="shared" ref="AN41:AN52" si="33">AM41/$AM$89</f>
        <v>0</v>
      </c>
      <c r="AO41" s="1446"/>
      <c r="AP41" s="1491">
        <f>SUM(AP42:AP48)</f>
        <v>0</v>
      </c>
      <c r="AQ41" s="1491">
        <f>SUM(AQ42:AQ48)</f>
        <v>0</v>
      </c>
      <c r="AR41" s="1492">
        <f>SUM(AR42:AR48)</f>
        <v>0</v>
      </c>
      <c r="AS41" s="1533" t="e">
        <f t="shared" ref="AS41:AS52" si="34">AR41/$AR$89</f>
        <v>#DIV/0!</v>
      </c>
      <c r="AT41" s="1446"/>
      <c r="AU41" s="2013">
        <f>SUM(AU42:AU48)</f>
        <v>450</v>
      </c>
      <c r="AV41" s="2013">
        <f>SUM(AV42:AV48)</f>
        <v>0</v>
      </c>
      <c r="AW41" s="2014">
        <f>SUM(AW42:AW48)</f>
        <v>450</v>
      </c>
      <c r="AX41" s="2016">
        <f t="shared" si="8"/>
        <v>4.2626729228104727E-4</v>
      </c>
      <c r="AY41" s="2006"/>
      <c r="AZ41" s="2013">
        <f>SUM(AZ42:AZ48)</f>
        <v>0</v>
      </c>
      <c r="BA41" s="2013">
        <f>SUM(BA42:BA48)</f>
        <v>0</v>
      </c>
      <c r="BB41" s="2014">
        <f>SUM(BB42:BB48)</f>
        <v>0</v>
      </c>
      <c r="BC41" s="2016" t="e">
        <f t="shared" ref="BC41:BC52" si="35">BB41/$BB$89</f>
        <v>#DIV/0!</v>
      </c>
      <c r="BD41" s="2006"/>
      <c r="BE41" s="2013">
        <f>SUM(BE42:BE48)</f>
        <v>0</v>
      </c>
      <c r="BF41" s="2013">
        <f>SUM(BF42:BF48)</f>
        <v>0</v>
      </c>
      <c r="BG41" s="2014">
        <f>SUM(BG42:BG48)</f>
        <v>0</v>
      </c>
      <c r="BH41" s="2016" t="e">
        <f t="shared" ref="BH41:BH52" si="36">BG41/$BG$89</f>
        <v>#DIV/0!</v>
      </c>
      <c r="BI41" s="2006"/>
      <c r="BJ41" s="2013">
        <f>SUM(BJ42:BJ48)</f>
        <v>0</v>
      </c>
      <c r="BK41" s="2013">
        <f>SUM(BK42:BK48)</f>
        <v>0</v>
      </c>
      <c r="BL41" s="2014">
        <f>SUM(BL42:BL48)</f>
        <v>0</v>
      </c>
      <c r="BM41" s="2016" t="e">
        <f t="shared" ref="BM41:BM52" si="37">BL41/$BL$89</f>
        <v>#DIV/0!</v>
      </c>
      <c r="BN41" s="2006"/>
      <c r="BO41" s="2013">
        <f>SUM(BO42:BO48)</f>
        <v>0</v>
      </c>
      <c r="BP41" s="2013">
        <f>SUM(BP42:BP48)</f>
        <v>0</v>
      </c>
      <c r="BQ41" s="2014">
        <f>SUM(BQ42:BQ48)</f>
        <v>0</v>
      </c>
      <c r="BR41" s="2016" t="e">
        <f t="shared" ref="BR41:BR52" si="38">BQ41/$BL$89</f>
        <v>#DIV/0!</v>
      </c>
      <c r="BS41" s="2006"/>
      <c r="BT41" s="2013">
        <f>SUM(BT42:BT48)</f>
        <v>98431.076000000015</v>
      </c>
      <c r="BU41" s="2013">
        <f>SUM(BU42:BU48)</f>
        <v>11909.789999999999</v>
      </c>
      <c r="BV41" s="2014">
        <f>SUM(BV42:BV48)</f>
        <v>110340.86600000001</v>
      </c>
      <c r="BW41" s="2016">
        <f t="shared" ref="BW41:BW52" si="39">BV41/$BV$89</f>
        <v>3.3588981433166124E-3</v>
      </c>
      <c r="BX41" s="2006"/>
    </row>
    <row r="42" spans="1:76" ht="14.4" customHeight="1">
      <c r="A42" s="4833"/>
      <c r="B42" s="1183" t="s">
        <v>7</v>
      </c>
      <c r="C42" s="1231"/>
      <c r="D42" s="1231"/>
      <c r="E42" s="1232">
        <f t="shared" ref="E42:E48" si="40">C42+D42</f>
        <v>0</v>
      </c>
      <c r="F42" s="1233">
        <f t="shared" si="31"/>
        <v>0</v>
      </c>
      <c r="G42" s="1176">
        <v>0</v>
      </c>
      <c r="H42" s="1176">
        <v>0</v>
      </c>
      <c r="I42" s="1178">
        <v>0</v>
      </c>
      <c r="J42" s="1039">
        <v>0</v>
      </c>
      <c r="K42" s="1039"/>
      <c r="L42" s="1176"/>
      <c r="M42" s="1176"/>
      <c r="N42" s="1178">
        <f t="shared" ref="N42:N48" si="41">L42+M42*1</f>
        <v>0</v>
      </c>
      <c r="O42" s="1233">
        <f t="shared" si="32"/>
        <v>0</v>
      </c>
      <c r="P42" s="1234"/>
      <c r="Q42" s="1176"/>
      <c r="R42" s="1176"/>
      <c r="S42" s="1178">
        <f t="shared" ref="S42:S48" si="42">Q42+R42*1</f>
        <v>0</v>
      </c>
      <c r="T42" s="1233">
        <f t="shared" ref="T42:T49" si="43">S42/$S$89</f>
        <v>0</v>
      </c>
      <c r="U42" s="1234"/>
      <c r="V42" s="1176"/>
      <c r="W42" s="1176"/>
      <c r="X42" s="1178">
        <f t="shared" ref="X42:X48" si="44">V42+W42*1</f>
        <v>0</v>
      </c>
      <c r="Y42" s="1233">
        <f t="shared" ref="Y42:Y52" si="45">X42/$X$89</f>
        <v>0</v>
      </c>
      <c r="Z42" s="1234"/>
      <c r="AA42" s="1176"/>
      <c r="AB42" s="1176"/>
      <c r="AC42" s="1178">
        <f t="shared" ref="AC42:AC48" si="46">AA42+AB42*1</f>
        <v>0</v>
      </c>
      <c r="AD42" s="1233" t="e">
        <f>AC42/$AC$89</f>
        <v>#DIV/0!</v>
      </c>
      <c r="AE42" s="1234"/>
      <c r="AF42" s="1432"/>
      <c r="AG42" s="1432"/>
      <c r="AH42" s="1480">
        <f t="shared" ref="AH42:AH48" si="47">AF42+AG42*1</f>
        <v>0</v>
      </c>
      <c r="AI42" s="1651">
        <f t="shared" ref="AI42:AI49" si="48">AH42/$AH$89</f>
        <v>0</v>
      </c>
      <c r="AJ42" s="1731"/>
      <c r="AK42" s="1432"/>
      <c r="AL42" s="1432"/>
      <c r="AM42" s="1480">
        <f t="shared" ref="AM42:AM48" si="49">AK42+AL42*1</f>
        <v>0</v>
      </c>
      <c r="AN42" s="1540">
        <f t="shared" si="33"/>
        <v>0</v>
      </c>
      <c r="AO42" s="1460"/>
      <c r="AP42" s="1432"/>
      <c r="AQ42" s="1432"/>
      <c r="AR42" s="1480">
        <f t="shared" ref="AR42:AR48" si="50">AP42+AQ42*1</f>
        <v>0</v>
      </c>
      <c r="AS42" s="1540" t="e">
        <f t="shared" si="34"/>
        <v>#DIV/0!</v>
      </c>
      <c r="AT42" s="1460"/>
      <c r="AU42" s="2043"/>
      <c r="AV42" s="2043"/>
      <c r="AW42" s="2012">
        <f t="shared" ref="AW42:AW48" si="51">AU42+AV42*1</f>
        <v>0</v>
      </c>
      <c r="AX42" s="2044">
        <f t="shared" si="8"/>
        <v>0</v>
      </c>
      <c r="AY42" s="1992"/>
      <c r="AZ42" s="2043"/>
      <c r="BA42" s="2043"/>
      <c r="BB42" s="2012">
        <f t="shared" ref="BB42:BB48" si="52">AZ42+BA42*1</f>
        <v>0</v>
      </c>
      <c r="BC42" s="2044" t="e">
        <f t="shared" si="35"/>
        <v>#DIV/0!</v>
      </c>
      <c r="BD42" s="1992"/>
      <c r="BE42" s="2043"/>
      <c r="BF42" s="2043"/>
      <c r="BG42" s="2012">
        <f t="shared" ref="BG42:BG48" si="53">BE42+BF42*1</f>
        <v>0</v>
      </c>
      <c r="BH42" s="2044" t="e">
        <f t="shared" si="36"/>
        <v>#DIV/0!</v>
      </c>
      <c r="BI42" s="1992"/>
      <c r="BJ42" s="2043"/>
      <c r="BK42" s="2043"/>
      <c r="BL42" s="2012">
        <f t="shared" ref="BL42:BL48" si="54">BJ42+BK42*1</f>
        <v>0</v>
      </c>
      <c r="BM42" s="2044" t="e">
        <f t="shared" si="37"/>
        <v>#DIV/0!</v>
      </c>
      <c r="BN42" s="1992"/>
      <c r="BO42" s="2043"/>
      <c r="BP42" s="2043"/>
      <c r="BQ42" s="2012">
        <f t="shared" ref="BQ42:BQ48" si="55">BO42+BP42*1</f>
        <v>0</v>
      </c>
      <c r="BR42" s="2044" t="e">
        <f t="shared" si="38"/>
        <v>#DIV/0!</v>
      </c>
      <c r="BS42" s="1992"/>
      <c r="BT42" s="2043">
        <f t="shared" ref="BT42:BU48" si="56">G42+L42+Q42+V42+AA42+AF42+AK42+AP42+AU42+AZ42+BE42</f>
        <v>0</v>
      </c>
      <c r="BU42" s="2043">
        <f t="shared" si="56"/>
        <v>0</v>
      </c>
      <c r="BV42" s="2012">
        <f t="shared" ref="BV42:BV48" si="57">BT42+BU42*1</f>
        <v>0</v>
      </c>
      <c r="BW42" s="2044">
        <f t="shared" si="39"/>
        <v>0</v>
      </c>
      <c r="BX42" s="1992"/>
    </row>
    <row r="43" spans="1:76" ht="14.4" customHeight="1">
      <c r="A43" s="4833"/>
      <c r="B43" s="1183" t="s">
        <v>27</v>
      </c>
      <c r="C43" s="1230"/>
      <c r="D43" s="1231">
        <v>10006</v>
      </c>
      <c r="E43" s="1232">
        <f t="shared" si="40"/>
        <v>10006</v>
      </c>
      <c r="F43" s="1233">
        <f t="shared" si="31"/>
        <v>4.0849593575327661E-4</v>
      </c>
      <c r="G43" s="1176">
        <v>0</v>
      </c>
      <c r="H43" s="1176">
        <v>3944.98</v>
      </c>
      <c r="I43" s="1178">
        <v>3944.98</v>
      </c>
      <c r="J43" s="1039">
        <v>1.4253643581727232E-4</v>
      </c>
      <c r="K43" s="1039"/>
      <c r="L43" s="1176"/>
      <c r="M43" s="1176"/>
      <c r="N43" s="1178">
        <f t="shared" si="41"/>
        <v>0</v>
      </c>
      <c r="O43" s="1233">
        <f t="shared" si="32"/>
        <v>0</v>
      </c>
      <c r="P43" s="1234"/>
      <c r="Q43" s="1176"/>
      <c r="R43" s="1176">
        <v>220</v>
      </c>
      <c r="S43" s="1178">
        <f t="shared" si="42"/>
        <v>220</v>
      </c>
      <c r="T43" s="1233">
        <f t="shared" si="43"/>
        <v>6.6730591371712904E-5</v>
      </c>
      <c r="U43" s="1234"/>
      <c r="V43" s="1176"/>
      <c r="W43" s="1176"/>
      <c r="X43" s="1178">
        <f t="shared" si="44"/>
        <v>0</v>
      </c>
      <c r="Y43" s="1233">
        <f t="shared" si="45"/>
        <v>0</v>
      </c>
      <c r="Z43" s="1234"/>
      <c r="AA43" s="1176"/>
      <c r="AB43" s="1176"/>
      <c r="AC43" s="1178">
        <f>AA43+AB43*1</f>
        <v>0</v>
      </c>
      <c r="AD43" s="1233" t="e">
        <f t="shared" ref="AD43:AD49" si="58">AC43/$AC$89</f>
        <v>#DIV/0!</v>
      </c>
      <c r="AE43" s="1234"/>
      <c r="AF43" s="1432"/>
      <c r="AG43" s="1432"/>
      <c r="AH43" s="1480">
        <f t="shared" si="47"/>
        <v>0</v>
      </c>
      <c r="AI43" s="1651">
        <f t="shared" si="48"/>
        <v>0</v>
      </c>
      <c r="AJ43" s="1731"/>
      <c r="AK43" s="1432"/>
      <c r="AL43" s="1432"/>
      <c r="AM43" s="1480">
        <f t="shared" si="49"/>
        <v>0</v>
      </c>
      <c r="AN43" s="1540">
        <f t="shared" si="33"/>
        <v>0</v>
      </c>
      <c r="AO43" s="1460"/>
      <c r="AP43" s="1432"/>
      <c r="AQ43" s="1432"/>
      <c r="AR43" s="1480">
        <f t="shared" si="50"/>
        <v>0</v>
      </c>
      <c r="AS43" s="1540" t="e">
        <f t="shared" si="34"/>
        <v>#DIV/0!</v>
      </c>
      <c r="AT43" s="1460"/>
      <c r="AU43" s="2043"/>
      <c r="AV43" s="2043"/>
      <c r="AW43" s="2012">
        <f t="shared" si="51"/>
        <v>0</v>
      </c>
      <c r="AX43" s="2044">
        <f t="shared" si="8"/>
        <v>0</v>
      </c>
      <c r="AY43" s="1992"/>
      <c r="AZ43" s="2043"/>
      <c r="BA43" s="2043"/>
      <c r="BB43" s="2012">
        <f t="shared" si="52"/>
        <v>0</v>
      </c>
      <c r="BC43" s="2044" t="e">
        <f t="shared" si="35"/>
        <v>#DIV/0!</v>
      </c>
      <c r="BD43" s="1992"/>
      <c r="BE43" s="2043"/>
      <c r="BF43" s="2043"/>
      <c r="BG43" s="2012">
        <f t="shared" si="53"/>
        <v>0</v>
      </c>
      <c r="BH43" s="2044" t="e">
        <f t="shared" si="36"/>
        <v>#DIV/0!</v>
      </c>
      <c r="BI43" s="1992"/>
      <c r="BJ43" s="2043"/>
      <c r="BK43" s="2043"/>
      <c r="BL43" s="2012">
        <f t="shared" si="54"/>
        <v>0</v>
      </c>
      <c r="BM43" s="2044" t="e">
        <f t="shared" si="37"/>
        <v>#DIV/0!</v>
      </c>
      <c r="BN43" s="1992"/>
      <c r="BO43" s="2043"/>
      <c r="BP43" s="2043"/>
      <c r="BQ43" s="2012">
        <f t="shared" si="55"/>
        <v>0</v>
      </c>
      <c r="BR43" s="2044" t="e">
        <f t="shared" si="38"/>
        <v>#DIV/0!</v>
      </c>
      <c r="BS43" s="1992"/>
      <c r="BT43" s="2043">
        <f t="shared" si="56"/>
        <v>0</v>
      </c>
      <c r="BU43" s="2043">
        <f t="shared" si="56"/>
        <v>4164.9799999999996</v>
      </c>
      <c r="BV43" s="2012">
        <f t="shared" si="57"/>
        <v>4164.9799999999996</v>
      </c>
      <c r="BW43" s="2044">
        <f t="shared" si="39"/>
        <v>1.2678660315164486E-4</v>
      </c>
      <c r="BX43" s="1992"/>
    </row>
    <row r="44" spans="1:76" ht="14.4" customHeight="1">
      <c r="A44" s="4833"/>
      <c r="B44" s="1106" t="s">
        <v>28</v>
      </c>
      <c r="C44" s="1230"/>
      <c r="D44" s="1231"/>
      <c r="E44" s="1232">
        <f t="shared" si="40"/>
        <v>0</v>
      </c>
      <c r="F44" s="1233">
        <f t="shared" si="31"/>
        <v>0</v>
      </c>
      <c r="G44" s="1176">
        <v>0</v>
      </c>
      <c r="H44" s="1176">
        <v>440</v>
      </c>
      <c r="I44" s="1178">
        <v>440</v>
      </c>
      <c r="J44" s="1039">
        <v>1.5897680535668068E-5</v>
      </c>
      <c r="K44" s="1039"/>
      <c r="L44" s="1176"/>
      <c r="M44" s="1176">
        <v>370</v>
      </c>
      <c r="N44" s="1178">
        <f t="shared" si="41"/>
        <v>370</v>
      </c>
      <c r="O44" s="1233">
        <f t="shared" si="32"/>
        <v>6.0286008499468315E-4</v>
      </c>
      <c r="P44" s="1234" t="s">
        <v>750</v>
      </c>
      <c r="Q44" s="1176"/>
      <c r="R44" s="1176">
        <v>650</v>
      </c>
      <c r="S44" s="1178">
        <f t="shared" si="42"/>
        <v>650</v>
      </c>
      <c r="T44" s="1233">
        <f t="shared" si="43"/>
        <v>1.9715856541642449E-4</v>
      </c>
      <c r="U44" s="1234" t="s">
        <v>750</v>
      </c>
      <c r="V44" s="1176"/>
      <c r="W44" s="1176"/>
      <c r="X44" s="1178">
        <f t="shared" si="44"/>
        <v>0</v>
      </c>
      <c r="Y44" s="1233">
        <f t="shared" si="45"/>
        <v>0</v>
      </c>
      <c r="Z44" s="1234"/>
      <c r="AA44" s="1176"/>
      <c r="AB44" s="1176"/>
      <c r="AC44" s="1178">
        <f t="shared" si="46"/>
        <v>0</v>
      </c>
      <c r="AD44" s="1233" t="e">
        <f t="shared" si="58"/>
        <v>#DIV/0!</v>
      </c>
      <c r="AE44" s="1234"/>
      <c r="AF44" s="1432"/>
      <c r="AG44" s="1432"/>
      <c r="AH44" s="1480">
        <f t="shared" si="47"/>
        <v>0</v>
      </c>
      <c r="AI44" s="1651">
        <f t="shared" si="48"/>
        <v>0</v>
      </c>
      <c r="AJ44" s="1731"/>
      <c r="AK44" s="1432"/>
      <c r="AL44" s="1432"/>
      <c r="AM44" s="1480">
        <f t="shared" si="49"/>
        <v>0</v>
      </c>
      <c r="AN44" s="1540">
        <f t="shared" si="33"/>
        <v>0</v>
      </c>
      <c r="AO44" s="1460"/>
      <c r="AP44" s="1432"/>
      <c r="AQ44" s="1432"/>
      <c r="AR44" s="1480">
        <f t="shared" si="50"/>
        <v>0</v>
      </c>
      <c r="AS44" s="1540" t="e">
        <f t="shared" si="34"/>
        <v>#DIV/0!</v>
      </c>
      <c r="AT44" s="1460"/>
      <c r="AU44" s="2043"/>
      <c r="AV44" s="2043"/>
      <c r="AW44" s="2012">
        <f t="shared" si="51"/>
        <v>0</v>
      </c>
      <c r="AX44" s="2044">
        <f t="shared" si="8"/>
        <v>0</v>
      </c>
      <c r="AY44" s="1992"/>
      <c r="AZ44" s="2043"/>
      <c r="BA44" s="2043"/>
      <c r="BB44" s="2012">
        <f t="shared" si="52"/>
        <v>0</v>
      </c>
      <c r="BC44" s="2044" t="e">
        <f t="shared" si="35"/>
        <v>#DIV/0!</v>
      </c>
      <c r="BD44" s="1992"/>
      <c r="BE44" s="2043"/>
      <c r="BF44" s="2043"/>
      <c r="BG44" s="2012">
        <f t="shared" si="53"/>
        <v>0</v>
      </c>
      <c r="BH44" s="2044" t="e">
        <f t="shared" si="36"/>
        <v>#DIV/0!</v>
      </c>
      <c r="BI44" s="1992"/>
      <c r="BJ44" s="2043"/>
      <c r="BK44" s="2043"/>
      <c r="BL44" s="2012">
        <f t="shared" si="54"/>
        <v>0</v>
      </c>
      <c r="BM44" s="2044" t="e">
        <f t="shared" si="37"/>
        <v>#DIV/0!</v>
      </c>
      <c r="BN44" s="1992"/>
      <c r="BO44" s="2043"/>
      <c r="BP44" s="2043"/>
      <c r="BQ44" s="2012">
        <f t="shared" si="55"/>
        <v>0</v>
      </c>
      <c r="BR44" s="2044" t="e">
        <f t="shared" si="38"/>
        <v>#DIV/0!</v>
      </c>
      <c r="BS44" s="1992"/>
      <c r="BT44" s="2043">
        <f t="shared" si="56"/>
        <v>0</v>
      </c>
      <c r="BU44" s="2043">
        <f t="shared" si="56"/>
        <v>1460</v>
      </c>
      <c r="BV44" s="2012">
        <f t="shared" si="57"/>
        <v>1460</v>
      </c>
      <c r="BW44" s="2044">
        <f t="shared" si="39"/>
        <v>4.4444016682289349E-5</v>
      </c>
      <c r="BX44" s="1992"/>
    </row>
    <row r="45" spans="1:76" ht="14.4" customHeight="1">
      <c r="A45" s="4833"/>
      <c r="B45" s="1183" t="s">
        <v>8</v>
      </c>
      <c r="C45" s="1230"/>
      <c r="D45" s="1231">
        <v>16000</v>
      </c>
      <c r="E45" s="1232">
        <f t="shared" si="40"/>
        <v>16000</v>
      </c>
      <c r="F45" s="1233">
        <f t="shared" si="31"/>
        <v>6.5320157625948681E-4</v>
      </c>
      <c r="G45" s="1176">
        <v>0</v>
      </c>
      <c r="H45" s="1176">
        <v>3700</v>
      </c>
      <c r="I45" s="1178">
        <v>3700</v>
      </c>
      <c r="J45" s="1039">
        <v>1.3368504086811787E-4</v>
      </c>
      <c r="K45" s="1039"/>
      <c r="L45" s="1176"/>
      <c r="M45" s="1176">
        <v>400</v>
      </c>
      <c r="N45" s="1178">
        <f t="shared" si="41"/>
        <v>400</v>
      </c>
      <c r="O45" s="1233">
        <f t="shared" si="32"/>
        <v>6.5174063242668453E-4</v>
      </c>
      <c r="P45" s="1234"/>
      <c r="Q45" s="1176"/>
      <c r="R45" s="1176">
        <v>300</v>
      </c>
      <c r="S45" s="1178">
        <f t="shared" si="42"/>
        <v>300</v>
      </c>
      <c r="T45" s="1233">
        <f t="shared" si="43"/>
        <v>9.0996260961426697E-5</v>
      </c>
      <c r="U45" s="1234"/>
      <c r="V45" s="1176"/>
      <c r="W45" s="1176"/>
      <c r="X45" s="1178">
        <f t="shared" si="44"/>
        <v>0</v>
      </c>
      <c r="Y45" s="1233">
        <f t="shared" si="45"/>
        <v>0</v>
      </c>
      <c r="Z45" s="1234"/>
      <c r="AA45" s="1176"/>
      <c r="AB45" s="1176"/>
      <c r="AC45" s="1178">
        <f t="shared" si="46"/>
        <v>0</v>
      </c>
      <c r="AD45" s="1233" t="e">
        <f t="shared" si="58"/>
        <v>#DIV/0!</v>
      </c>
      <c r="AE45" s="1234"/>
      <c r="AF45" s="1432"/>
      <c r="AG45" s="1432"/>
      <c r="AH45" s="1480">
        <f t="shared" si="47"/>
        <v>0</v>
      </c>
      <c r="AI45" s="1651">
        <f t="shared" si="48"/>
        <v>0</v>
      </c>
      <c r="AJ45" s="1731"/>
      <c r="AK45" s="1432"/>
      <c r="AL45" s="1432"/>
      <c r="AM45" s="1480">
        <f t="shared" si="49"/>
        <v>0</v>
      </c>
      <c r="AN45" s="1540">
        <f t="shared" si="33"/>
        <v>0</v>
      </c>
      <c r="AO45" s="1460"/>
      <c r="AP45" s="1432"/>
      <c r="AQ45" s="1432"/>
      <c r="AR45" s="1480">
        <f t="shared" si="50"/>
        <v>0</v>
      </c>
      <c r="AS45" s="1540" t="e">
        <f t="shared" si="34"/>
        <v>#DIV/0!</v>
      </c>
      <c r="AT45" s="1460"/>
      <c r="AU45" s="2043"/>
      <c r="AV45" s="2043"/>
      <c r="AW45" s="2012">
        <f t="shared" si="51"/>
        <v>0</v>
      </c>
      <c r="AX45" s="2044">
        <f t="shared" si="8"/>
        <v>0</v>
      </c>
      <c r="AY45" s="1992"/>
      <c r="AZ45" s="2043"/>
      <c r="BA45" s="2043"/>
      <c r="BB45" s="2012">
        <f t="shared" si="52"/>
        <v>0</v>
      </c>
      <c r="BC45" s="2044" t="e">
        <f t="shared" si="35"/>
        <v>#DIV/0!</v>
      </c>
      <c r="BD45" s="1992"/>
      <c r="BE45" s="2043"/>
      <c r="BF45" s="2043"/>
      <c r="BG45" s="2012">
        <f t="shared" si="53"/>
        <v>0</v>
      </c>
      <c r="BH45" s="2044" t="e">
        <f t="shared" si="36"/>
        <v>#DIV/0!</v>
      </c>
      <c r="BI45" s="1992"/>
      <c r="BJ45" s="2043"/>
      <c r="BK45" s="2043"/>
      <c r="BL45" s="2012">
        <f t="shared" si="54"/>
        <v>0</v>
      </c>
      <c r="BM45" s="2044" t="e">
        <f t="shared" si="37"/>
        <v>#DIV/0!</v>
      </c>
      <c r="BN45" s="1992"/>
      <c r="BO45" s="2043"/>
      <c r="BP45" s="2043"/>
      <c r="BQ45" s="2012">
        <f t="shared" si="55"/>
        <v>0</v>
      </c>
      <c r="BR45" s="2044" t="e">
        <f t="shared" si="38"/>
        <v>#DIV/0!</v>
      </c>
      <c r="BS45" s="1992"/>
      <c r="BT45" s="2043">
        <f t="shared" si="56"/>
        <v>0</v>
      </c>
      <c r="BU45" s="2043">
        <f t="shared" si="56"/>
        <v>4400</v>
      </c>
      <c r="BV45" s="2012">
        <f t="shared" si="57"/>
        <v>4400</v>
      </c>
      <c r="BW45" s="2044">
        <f t="shared" si="39"/>
        <v>1.3394087219320078E-4</v>
      </c>
      <c r="BX45" s="1992"/>
    </row>
    <row r="46" spans="1:76" ht="14.4" customHeight="1">
      <c r="A46" s="4833"/>
      <c r="B46" s="1183" t="s">
        <v>29</v>
      </c>
      <c r="C46" s="1230"/>
      <c r="D46" s="1231"/>
      <c r="E46" s="1232">
        <f t="shared" si="40"/>
        <v>0</v>
      </c>
      <c r="F46" s="1233">
        <f t="shared" si="31"/>
        <v>0</v>
      </c>
      <c r="G46" s="1176">
        <v>0</v>
      </c>
      <c r="H46" s="1176">
        <v>0</v>
      </c>
      <c r="I46" s="1178">
        <v>0</v>
      </c>
      <c r="J46" s="1039">
        <v>0</v>
      </c>
      <c r="K46" s="1039"/>
      <c r="L46" s="1176"/>
      <c r="M46" s="1176"/>
      <c r="N46" s="1178">
        <f t="shared" si="41"/>
        <v>0</v>
      </c>
      <c r="O46" s="1233">
        <f t="shared" si="32"/>
        <v>0</v>
      </c>
      <c r="P46" s="1234"/>
      <c r="Q46" s="1176"/>
      <c r="R46" s="1176"/>
      <c r="S46" s="1178">
        <f t="shared" si="42"/>
        <v>0</v>
      </c>
      <c r="T46" s="1233">
        <f t="shared" si="43"/>
        <v>0</v>
      </c>
      <c r="U46" s="1234"/>
      <c r="V46" s="1176"/>
      <c r="W46" s="1176"/>
      <c r="X46" s="1178">
        <f t="shared" si="44"/>
        <v>0</v>
      </c>
      <c r="Y46" s="1233">
        <f t="shared" si="45"/>
        <v>0</v>
      </c>
      <c r="Z46" s="1234"/>
      <c r="AA46" s="1176"/>
      <c r="AB46" s="1176"/>
      <c r="AC46" s="1178">
        <f t="shared" si="46"/>
        <v>0</v>
      </c>
      <c r="AD46" s="1233" t="e">
        <f t="shared" si="58"/>
        <v>#DIV/0!</v>
      </c>
      <c r="AE46" s="1234"/>
      <c r="AF46" s="1432"/>
      <c r="AG46" s="1432"/>
      <c r="AH46" s="1480">
        <f t="shared" si="47"/>
        <v>0</v>
      </c>
      <c r="AI46" s="1651">
        <f t="shared" si="48"/>
        <v>0</v>
      </c>
      <c r="AJ46" s="1731"/>
      <c r="AK46" s="1432"/>
      <c r="AL46" s="1432"/>
      <c r="AM46" s="1480">
        <f t="shared" si="49"/>
        <v>0</v>
      </c>
      <c r="AN46" s="1540">
        <f t="shared" si="33"/>
        <v>0</v>
      </c>
      <c r="AO46" s="1460"/>
      <c r="AP46" s="1432"/>
      <c r="AQ46" s="1432"/>
      <c r="AR46" s="1480">
        <f t="shared" si="50"/>
        <v>0</v>
      </c>
      <c r="AS46" s="1540" t="e">
        <f t="shared" si="34"/>
        <v>#DIV/0!</v>
      </c>
      <c r="AT46" s="1460"/>
      <c r="AU46" s="2043"/>
      <c r="AV46" s="2043"/>
      <c r="AW46" s="2012">
        <f t="shared" si="51"/>
        <v>0</v>
      </c>
      <c r="AX46" s="2044">
        <f t="shared" si="8"/>
        <v>0</v>
      </c>
      <c r="AY46" s="1992"/>
      <c r="AZ46" s="2043"/>
      <c r="BA46" s="2043"/>
      <c r="BB46" s="2012">
        <f t="shared" si="52"/>
        <v>0</v>
      </c>
      <c r="BC46" s="2044" t="e">
        <f t="shared" si="35"/>
        <v>#DIV/0!</v>
      </c>
      <c r="BD46" s="1992"/>
      <c r="BE46" s="2043"/>
      <c r="BF46" s="2043"/>
      <c r="BG46" s="2012">
        <f t="shared" si="53"/>
        <v>0</v>
      </c>
      <c r="BH46" s="2044" t="e">
        <f t="shared" si="36"/>
        <v>#DIV/0!</v>
      </c>
      <c r="BI46" s="1992"/>
      <c r="BJ46" s="2043"/>
      <c r="BK46" s="2043"/>
      <c r="BL46" s="2012">
        <f t="shared" si="54"/>
        <v>0</v>
      </c>
      <c r="BM46" s="2044" t="e">
        <f t="shared" si="37"/>
        <v>#DIV/0!</v>
      </c>
      <c r="BN46" s="1992"/>
      <c r="BO46" s="2043"/>
      <c r="BP46" s="2043"/>
      <c r="BQ46" s="2012">
        <f t="shared" si="55"/>
        <v>0</v>
      </c>
      <c r="BR46" s="2044" t="e">
        <f t="shared" si="38"/>
        <v>#DIV/0!</v>
      </c>
      <c r="BS46" s="1992"/>
      <c r="BT46" s="2043">
        <f t="shared" si="56"/>
        <v>0</v>
      </c>
      <c r="BU46" s="2043">
        <f t="shared" si="56"/>
        <v>0</v>
      </c>
      <c r="BV46" s="2012">
        <f t="shared" si="57"/>
        <v>0</v>
      </c>
      <c r="BW46" s="2044">
        <f t="shared" si="39"/>
        <v>0</v>
      </c>
      <c r="BX46" s="1992"/>
    </row>
    <row r="47" spans="1:76" ht="14.4" customHeight="1">
      <c r="A47" s="4833"/>
      <c r="B47" s="1183" t="s">
        <v>30</v>
      </c>
      <c r="C47" s="1230">
        <v>49274</v>
      </c>
      <c r="D47" s="1231">
        <v>1500</v>
      </c>
      <c r="E47" s="1232">
        <f t="shared" si="40"/>
        <v>50774</v>
      </c>
      <c r="F47" s="1233">
        <f t="shared" si="31"/>
        <v>2.0728535520624491E-3</v>
      </c>
      <c r="G47" s="1176">
        <v>88749.500000000015</v>
      </c>
      <c r="H47" s="1176">
        <v>1414.33</v>
      </c>
      <c r="I47" s="1178">
        <v>90163.830000000016</v>
      </c>
      <c r="J47" s="1039">
        <v>3.2577176482097387E-3</v>
      </c>
      <c r="K47" s="1039"/>
      <c r="L47" s="1176">
        <v>1933.06</v>
      </c>
      <c r="M47" s="1176"/>
      <c r="N47" s="1178">
        <f t="shared" si="41"/>
        <v>1933.06</v>
      </c>
      <c r="O47" s="1233">
        <f t="shared" si="32"/>
        <v>3.1496343672968168E-3</v>
      </c>
      <c r="P47" s="1234"/>
      <c r="Q47" s="1176">
        <f>3829.65+168+235.03</f>
        <v>4232.68</v>
      </c>
      <c r="R47" s="1176">
        <v>51</v>
      </c>
      <c r="S47" s="1178">
        <f t="shared" si="42"/>
        <v>4283.68</v>
      </c>
      <c r="T47" s="1233">
        <f t="shared" si="43"/>
        <v>1.2993295438508143E-3</v>
      </c>
      <c r="U47" s="1280" t="s">
        <v>1032</v>
      </c>
      <c r="V47" s="1176">
        <v>405.06</v>
      </c>
      <c r="W47" s="1176"/>
      <c r="X47" s="1178">
        <f t="shared" si="44"/>
        <v>405.06</v>
      </c>
      <c r="Y47" s="1233">
        <f t="shared" si="45"/>
        <v>3.3343302136264216E-3</v>
      </c>
      <c r="Z47" s="1234"/>
      <c r="AA47" s="1176"/>
      <c r="AB47" s="1176"/>
      <c r="AC47" s="1178">
        <f t="shared" si="46"/>
        <v>0</v>
      </c>
      <c r="AD47" s="1233" t="e">
        <f t="shared" si="58"/>
        <v>#DIV/0!</v>
      </c>
      <c r="AE47" s="1234"/>
      <c r="AF47" s="1432"/>
      <c r="AG47" s="1432"/>
      <c r="AH47" s="1480">
        <f t="shared" si="47"/>
        <v>0</v>
      </c>
      <c r="AI47" s="1651">
        <f t="shared" si="48"/>
        <v>0</v>
      </c>
      <c r="AJ47" s="1731"/>
      <c r="AK47" s="1432"/>
      <c r="AL47" s="1432"/>
      <c r="AM47" s="1480">
        <f t="shared" si="49"/>
        <v>0</v>
      </c>
      <c r="AN47" s="1540">
        <f t="shared" si="33"/>
        <v>0</v>
      </c>
      <c r="AO47" s="1460"/>
      <c r="AP47" s="1432"/>
      <c r="AQ47" s="1432"/>
      <c r="AR47" s="1480">
        <f t="shared" si="50"/>
        <v>0</v>
      </c>
      <c r="AS47" s="1540" t="e">
        <f t="shared" si="34"/>
        <v>#DIV/0!</v>
      </c>
      <c r="AT47" s="1460"/>
      <c r="AU47" s="2043"/>
      <c r="AV47" s="2043"/>
      <c r="AW47" s="2012">
        <f t="shared" si="51"/>
        <v>0</v>
      </c>
      <c r="AX47" s="2044">
        <f t="shared" si="8"/>
        <v>0</v>
      </c>
      <c r="AY47" s="1992"/>
      <c r="AZ47" s="2043"/>
      <c r="BA47" s="2043"/>
      <c r="BB47" s="2012">
        <f t="shared" si="52"/>
        <v>0</v>
      </c>
      <c r="BC47" s="2044" t="e">
        <f t="shared" si="35"/>
        <v>#DIV/0!</v>
      </c>
      <c r="BD47" s="1992"/>
      <c r="BE47" s="2043"/>
      <c r="BF47" s="2043"/>
      <c r="BG47" s="2012">
        <f t="shared" si="53"/>
        <v>0</v>
      </c>
      <c r="BH47" s="2044" t="e">
        <f t="shared" si="36"/>
        <v>#DIV/0!</v>
      </c>
      <c r="BI47" s="1992"/>
      <c r="BJ47" s="2043"/>
      <c r="BK47" s="2043"/>
      <c r="BL47" s="2012">
        <f t="shared" si="54"/>
        <v>0</v>
      </c>
      <c r="BM47" s="2044" t="e">
        <f t="shared" si="37"/>
        <v>#DIV/0!</v>
      </c>
      <c r="BN47" s="1992"/>
      <c r="BO47" s="2043"/>
      <c r="BP47" s="2043"/>
      <c r="BQ47" s="2012">
        <f t="shared" si="55"/>
        <v>0</v>
      </c>
      <c r="BR47" s="2044" t="e">
        <f t="shared" si="38"/>
        <v>#DIV/0!</v>
      </c>
      <c r="BS47" s="1992"/>
      <c r="BT47" s="2043">
        <f t="shared" si="56"/>
        <v>95320.300000000017</v>
      </c>
      <c r="BU47" s="2043">
        <f t="shared" si="56"/>
        <v>1465.33</v>
      </c>
      <c r="BV47" s="2012">
        <f t="shared" si="57"/>
        <v>96785.630000000019</v>
      </c>
      <c r="BW47" s="2044">
        <f t="shared" si="39"/>
        <v>2.9462617495382777E-3</v>
      </c>
      <c r="BX47" s="1992"/>
    </row>
    <row r="48" spans="1:76" ht="14.4" customHeight="1">
      <c r="A48" s="4833"/>
      <c r="B48" s="1183" t="s">
        <v>15</v>
      </c>
      <c r="C48" s="1230">
        <v>6400</v>
      </c>
      <c r="D48" s="1231">
        <v>393.48</v>
      </c>
      <c r="E48" s="1232">
        <f t="shared" si="40"/>
        <v>6793.48</v>
      </c>
      <c r="F48" s="1233">
        <f t="shared" si="31"/>
        <v>2.7734449026795618E-4</v>
      </c>
      <c r="G48" s="1176">
        <v>2660.7759999999998</v>
      </c>
      <c r="H48" s="1176">
        <v>393.48</v>
      </c>
      <c r="I48" s="1178">
        <v>3054.2559999999999</v>
      </c>
      <c r="J48" s="1039">
        <v>1.1035360491397139E-4</v>
      </c>
      <c r="K48" s="1039"/>
      <c r="L48" s="1176"/>
      <c r="M48" s="1176"/>
      <c r="N48" s="1178">
        <f t="shared" si="41"/>
        <v>0</v>
      </c>
      <c r="O48" s="1233">
        <f t="shared" si="32"/>
        <v>0</v>
      </c>
      <c r="P48" s="1234"/>
      <c r="Q48" s="1176"/>
      <c r="R48" s="1176">
        <v>26</v>
      </c>
      <c r="S48" s="1178">
        <f t="shared" si="42"/>
        <v>26</v>
      </c>
      <c r="T48" s="1233">
        <f t="shared" si="43"/>
        <v>7.8863426166569797E-6</v>
      </c>
      <c r="U48" s="1234"/>
      <c r="V48" s="1176"/>
      <c r="W48" s="1176"/>
      <c r="X48" s="1178">
        <f t="shared" si="44"/>
        <v>0</v>
      </c>
      <c r="Y48" s="1233">
        <f t="shared" si="45"/>
        <v>0</v>
      </c>
      <c r="Z48" s="1234"/>
      <c r="AA48" s="1176"/>
      <c r="AB48" s="1176"/>
      <c r="AC48" s="1178">
        <f t="shared" si="46"/>
        <v>0</v>
      </c>
      <c r="AD48" s="1233" t="e">
        <f t="shared" si="58"/>
        <v>#DIV/0!</v>
      </c>
      <c r="AE48" s="1234"/>
      <c r="AF48" s="1432"/>
      <c r="AG48" s="1432"/>
      <c r="AH48" s="1480">
        <f t="shared" si="47"/>
        <v>0</v>
      </c>
      <c r="AI48" s="1651">
        <f t="shared" si="48"/>
        <v>0</v>
      </c>
      <c r="AJ48" s="1731"/>
      <c r="AK48" s="1432"/>
      <c r="AL48" s="1432"/>
      <c r="AM48" s="1480">
        <f t="shared" si="49"/>
        <v>0</v>
      </c>
      <c r="AN48" s="1540">
        <f t="shared" si="33"/>
        <v>0</v>
      </c>
      <c r="AO48" s="1460"/>
      <c r="AP48" s="1432"/>
      <c r="AQ48" s="1432"/>
      <c r="AR48" s="1480">
        <f t="shared" si="50"/>
        <v>0</v>
      </c>
      <c r="AS48" s="1540" t="e">
        <f t="shared" si="34"/>
        <v>#DIV/0!</v>
      </c>
      <c r="AT48" s="1460"/>
      <c r="AU48" s="1871">
        <f>375*1.2</f>
        <v>450</v>
      </c>
      <c r="AV48" s="1871"/>
      <c r="AW48" s="1869">
        <f t="shared" si="51"/>
        <v>450</v>
      </c>
      <c r="AX48" s="1907">
        <f t="shared" si="8"/>
        <v>4.2626729228104727E-4</v>
      </c>
      <c r="AY48" s="1936" t="s">
        <v>1267</v>
      </c>
      <c r="AZ48" s="2043"/>
      <c r="BA48" s="2043"/>
      <c r="BB48" s="2012">
        <f t="shared" si="52"/>
        <v>0</v>
      </c>
      <c r="BC48" s="2044" t="e">
        <f t="shared" si="35"/>
        <v>#DIV/0!</v>
      </c>
      <c r="BD48" s="1992"/>
      <c r="BE48" s="2043"/>
      <c r="BF48" s="2043"/>
      <c r="BG48" s="2012">
        <f t="shared" si="53"/>
        <v>0</v>
      </c>
      <c r="BH48" s="2044" t="e">
        <f t="shared" si="36"/>
        <v>#DIV/0!</v>
      </c>
      <c r="BI48" s="1992"/>
      <c r="BJ48" s="2043"/>
      <c r="BK48" s="2043"/>
      <c r="BL48" s="2012">
        <f t="shared" si="54"/>
        <v>0</v>
      </c>
      <c r="BM48" s="2044" t="e">
        <f t="shared" si="37"/>
        <v>#DIV/0!</v>
      </c>
      <c r="BN48" s="1992"/>
      <c r="BO48" s="2043"/>
      <c r="BP48" s="2043"/>
      <c r="BQ48" s="2012">
        <f t="shared" si="55"/>
        <v>0</v>
      </c>
      <c r="BR48" s="2044" t="e">
        <f t="shared" si="38"/>
        <v>#DIV/0!</v>
      </c>
      <c r="BS48" s="1929"/>
      <c r="BT48" s="2043">
        <f t="shared" si="56"/>
        <v>3110.7759999999998</v>
      </c>
      <c r="BU48" s="2043">
        <f t="shared" si="56"/>
        <v>419.48</v>
      </c>
      <c r="BV48" s="2012">
        <f t="shared" si="57"/>
        <v>3530.2559999999999</v>
      </c>
      <c r="BW48" s="2044">
        <f t="shared" si="39"/>
        <v>1.0746490175120005E-4</v>
      </c>
      <c r="BX48" s="1992"/>
    </row>
    <row r="49" spans="1:76" s="2" customFormat="1" ht="14.4" customHeight="1" thickBot="1">
      <c r="A49" s="11"/>
      <c r="B49" s="1108"/>
      <c r="C49" s="1103"/>
      <c r="D49" s="1207"/>
      <c r="E49" s="1109"/>
      <c r="F49" s="1110"/>
      <c r="G49" s="1176"/>
      <c r="H49" s="1176"/>
      <c r="I49" s="1167"/>
      <c r="J49" s="956">
        <v>0</v>
      </c>
      <c r="K49" s="956"/>
      <c r="L49" s="1176"/>
      <c r="M49" s="1176"/>
      <c r="N49" s="1167"/>
      <c r="O49" s="1233">
        <f t="shared" si="32"/>
        <v>0</v>
      </c>
      <c r="P49" s="1167"/>
      <c r="Q49" s="1176"/>
      <c r="R49" s="1176"/>
      <c r="S49" s="1167"/>
      <c r="T49" s="1233">
        <f t="shared" si="43"/>
        <v>0</v>
      </c>
      <c r="U49" s="1167"/>
      <c r="V49" s="1176"/>
      <c r="W49" s="1176"/>
      <c r="X49" s="1167"/>
      <c r="Y49" s="1233">
        <f t="shared" si="45"/>
        <v>0</v>
      </c>
      <c r="Z49" s="1167"/>
      <c r="AA49" s="1176"/>
      <c r="AB49" s="1176"/>
      <c r="AC49" s="1167"/>
      <c r="AD49" s="1233" t="e">
        <f t="shared" si="58"/>
        <v>#DIV/0!</v>
      </c>
      <c r="AE49" s="1167"/>
      <c r="AF49" s="1432"/>
      <c r="AG49" s="1432"/>
      <c r="AH49" s="1439"/>
      <c r="AI49" s="1651">
        <f t="shared" si="48"/>
        <v>0</v>
      </c>
      <c r="AJ49" s="1366"/>
      <c r="AK49" s="1432"/>
      <c r="AL49" s="1432"/>
      <c r="AM49" s="1439"/>
      <c r="AN49" s="1540">
        <f t="shared" si="33"/>
        <v>0</v>
      </c>
      <c r="AO49" s="1439"/>
      <c r="AP49" s="1432"/>
      <c r="AQ49" s="1432"/>
      <c r="AR49" s="1439"/>
      <c r="AS49" s="1540" t="e">
        <f t="shared" si="34"/>
        <v>#DIV/0!</v>
      </c>
      <c r="AT49" s="1439"/>
      <c r="AU49" s="2043"/>
      <c r="AV49" s="2043"/>
      <c r="AW49" s="2001"/>
      <c r="AX49" s="2044">
        <f t="shared" si="8"/>
        <v>0</v>
      </c>
      <c r="AY49" s="2001"/>
      <c r="AZ49" s="2043"/>
      <c r="BA49" s="2043"/>
      <c r="BB49" s="2001"/>
      <c r="BC49" s="2044" t="e">
        <f t="shared" si="35"/>
        <v>#DIV/0!</v>
      </c>
      <c r="BD49" s="2001"/>
      <c r="BE49" s="2043"/>
      <c r="BF49" s="2043"/>
      <c r="BG49" s="2001"/>
      <c r="BH49" s="2044" t="e">
        <f t="shared" si="36"/>
        <v>#DIV/0!</v>
      </c>
      <c r="BI49" s="2001"/>
      <c r="BJ49" s="2043"/>
      <c r="BK49" s="2043"/>
      <c r="BL49" s="2001"/>
      <c r="BM49" s="2044" t="e">
        <f t="shared" si="37"/>
        <v>#DIV/0!</v>
      </c>
      <c r="BN49" s="2001"/>
      <c r="BO49" s="2043"/>
      <c r="BP49" s="2043"/>
      <c r="BQ49" s="2001"/>
      <c r="BR49" s="2044" t="e">
        <f t="shared" si="38"/>
        <v>#DIV/0!</v>
      </c>
      <c r="BS49" s="2001"/>
      <c r="BT49" s="2043"/>
      <c r="BU49" s="2043"/>
      <c r="BV49" s="2001"/>
      <c r="BW49" s="2044">
        <f t="shared" si="39"/>
        <v>0</v>
      </c>
      <c r="BX49" s="2001"/>
    </row>
    <row r="50" spans="1:76" s="2" customFormat="1" ht="14.4" customHeight="1">
      <c r="A50" s="293"/>
      <c r="B50" s="17" t="s">
        <v>59</v>
      </c>
      <c r="C50" s="578"/>
      <c r="D50" s="578"/>
      <c r="E50" s="578">
        <f>SUM(E51:E52)</f>
        <v>0</v>
      </c>
      <c r="F50" s="580">
        <f>E50/$E$89</f>
        <v>0</v>
      </c>
      <c r="G50" s="578">
        <v>0</v>
      </c>
      <c r="H50" s="578">
        <v>0</v>
      </c>
      <c r="I50" s="578">
        <v>0</v>
      </c>
      <c r="J50" s="246">
        <v>0</v>
      </c>
      <c r="K50" s="246"/>
      <c r="L50" s="578">
        <f>L52+L51</f>
        <v>0</v>
      </c>
      <c r="M50" s="578">
        <f>M52+M51</f>
        <v>0</v>
      </c>
      <c r="N50" s="578">
        <f>SUM(N51:N52)</f>
        <v>0</v>
      </c>
      <c r="O50" s="581"/>
      <c r="P50" s="581"/>
      <c r="Q50" s="578">
        <f>Q52+Q51</f>
        <v>0</v>
      </c>
      <c r="R50" s="578">
        <f>R52+R51</f>
        <v>0</v>
      </c>
      <c r="S50" s="578">
        <f>SUM(S51:S52)</f>
        <v>0</v>
      </c>
      <c r="T50" s="581"/>
      <c r="U50" s="581"/>
      <c r="V50" s="578">
        <f>V52+V51</f>
        <v>0</v>
      </c>
      <c r="W50" s="578">
        <f>W52+W51</f>
        <v>0</v>
      </c>
      <c r="X50" s="578">
        <f>SUM(X51:X52)</f>
        <v>0</v>
      </c>
      <c r="Y50" s="581"/>
      <c r="Z50" s="581"/>
      <c r="AA50" s="578">
        <f>AA52+AA51</f>
        <v>0</v>
      </c>
      <c r="AB50" s="578">
        <f>AB52+AB51</f>
        <v>0</v>
      </c>
      <c r="AC50" s="578">
        <f>SUM(AC51:AC52)</f>
        <v>0</v>
      </c>
      <c r="AD50" s="581"/>
      <c r="AE50" s="581"/>
      <c r="AF50" s="1497">
        <f>AF52+AF51</f>
        <v>0</v>
      </c>
      <c r="AG50" s="1497">
        <f>AG52+AG51</f>
        <v>0</v>
      </c>
      <c r="AH50" s="1497">
        <f>SUM(AH51:AH52)</f>
        <v>0</v>
      </c>
      <c r="AI50" s="1445"/>
      <c r="AJ50" s="1446"/>
      <c r="AK50" s="1497">
        <f>AK52+AK51</f>
        <v>0</v>
      </c>
      <c r="AL50" s="1497">
        <f>AL52+AL51</f>
        <v>0</v>
      </c>
      <c r="AM50" s="1497">
        <f>SUM(AM51:AM52)</f>
        <v>0</v>
      </c>
      <c r="AN50" s="1446">
        <f t="shared" si="33"/>
        <v>0</v>
      </c>
      <c r="AO50" s="1446"/>
      <c r="AP50" s="1497">
        <f>AP52+AP51</f>
        <v>0</v>
      </c>
      <c r="AQ50" s="1497">
        <f>AQ52+AQ51</f>
        <v>0</v>
      </c>
      <c r="AR50" s="1497">
        <f>SUM(AR51:AR52)</f>
        <v>0</v>
      </c>
      <c r="AS50" s="1446" t="e">
        <f t="shared" si="34"/>
        <v>#DIV/0!</v>
      </c>
      <c r="AT50" s="1446"/>
      <c r="AU50" s="2015">
        <f>AU52+AU51</f>
        <v>0</v>
      </c>
      <c r="AV50" s="2015">
        <f>AV52+AV51</f>
        <v>0</v>
      </c>
      <c r="AW50" s="2015">
        <f>SUM(AW51:AW52)</f>
        <v>0</v>
      </c>
      <c r="AX50" s="2006">
        <f t="shared" si="8"/>
        <v>0</v>
      </c>
      <c r="AY50" s="2006"/>
      <c r="AZ50" s="2015">
        <f>AZ52+AZ51</f>
        <v>0</v>
      </c>
      <c r="BA50" s="2015">
        <f>BA52+BA51</f>
        <v>0</v>
      </c>
      <c r="BB50" s="2015">
        <f>SUM(BB51:BB52)</f>
        <v>0</v>
      </c>
      <c r="BC50" s="2006" t="e">
        <f t="shared" si="35"/>
        <v>#DIV/0!</v>
      </c>
      <c r="BD50" s="2006"/>
      <c r="BE50" s="2015">
        <f>BE52+BE51</f>
        <v>0</v>
      </c>
      <c r="BF50" s="2015">
        <f>BF52+BF51</f>
        <v>0</v>
      </c>
      <c r="BG50" s="2015">
        <f>SUM(BG51:BG52)</f>
        <v>0</v>
      </c>
      <c r="BH50" s="2006" t="e">
        <f t="shared" si="36"/>
        <v>#DIV/0!</v>
      </c>
      <c r="BI50" s="2006"/>
      <c r="BJ50" s="2015">
        <f>BJ52+BJ51</f>
        <v>0</v>
      </c>
      <c r="BK50" s="2015">
        <f>BK52+BK51</f>
        <v>0</v>
      </c>
      <c r="BL50" s="2015">
        <f>SUM(BL51:BL52)</f>
        <v>0</v>
      </c>
      <c r="BM50" s="2006" t="e">
        <f t="shared" si="37"/>
        <v>#DIV/0!</v>
      </c>
      <c r="BN50" s="2006"/>
      <c r="BO50" s="2015">
        <f>BO52+BO51</f>
        <v>0</v>
      </c>
      <c r="BP50" s="2015">
        <f>BP52+BP51</f>
        <v>0</v>
      </c>
      <c r="BQ50" s="2015">
        <f>SUM(BQ51:BQ52)</f>
        <v>0</v>
      </c>
      <c r="BR50" s="2006" t="e">
        <f t="shared" si="38"/>
        <v>#DIV/0!</v>
      </c>
      <c r="BS50" s="2006"/>
      <c r="BT50" s="2015">
        <f>BT52+BT51</f>
        <v>0</v>
      </c>
      <c r="BU50" s="2015">
        <f>BU52+BU51</f>
        <v>0</v>
      </c>
      <c r="BV50" s="2015">
        <f>SUM(BV51:BV52)</f>
        <v>0</v>
      </c>
      <c r="BW50" s="2006">
        <f t="shared" si="39"/>
        <v>0</v>
      </c>
      <c r="BX50" s="2006"/>
    </row>
    <row r="51" spans="1:76" s="226" customFormat="1" ht="14.4" customHeight="1" outlineLevel="1">
      <c r="A51" s="234"/>
      <c r="B51" s="1183" t="s">
        <v>60</v>
      </c>
      <c r="C51" s="1230"/>
      <c r="D51" s="1231"/>
      <c r="E51" s="1231">
        <f>C51+D51</f>
        <v>0</v>
      </c>
      <c r="F51" s="1236">
        <f>E51/$E$89</f>
        <v>0</v>
      </c>
      <c r="G51" s="1176">
        <v>0</v>
      </c>
      <c r="H51" s="1176">
        <v>0</v>
      </c>
      <c r="I51" s="1178">
        <v>0</v>
      </c>
      <c r="J51" s="1093">
        <v>0</v>
      </c>
      <c r="K51" s="1093"/>
      <c r="L51" s="1176"/>
      <c r="M51" s="1176"/>
      <c r="N51" s="1178">
        <f>L51+M51*1</f>
        <v>0</v>
      </c>
      <c r="O51" s="1233">
        <f>N51/$N$89</f>
        <v>0</v>
      </c>
      <c r="P51" s="1237"/>
      <c r="Q51" s="1176"/>
      <c r="R51" s="1176"/>
      <c r="S51" s="1178">
        <f>Q51+R51*1</f>
        <v>0</v>
      </c>
      <c r="T51" s="1233">
        <f>S51/$S$89</f>
        <v>0</v>
      </c>
      <c r="U51" s="1237"/>
      <c r="V51" s="1176"/>
      <c r="W51" s="1176"/>
      <c r="X51" s="1178">
        <f>V51+W51*1</f>
        <v>0</v>
      </c>
      <c r="Y51" s="1233">
        <f t="shared" si="45"/>
        <v>0</v>
      </c>
      <c r="Z51" s="1237"/>
      <c r="AA51" s="1176"/>
      <c r="AB51" s="1176"/>
      <c r="AC51" s="1178">
        <f>AA51+AB51*1</f>
        <v>0</v>
      </c>
      <c r="AD51" s="1233" t="e">
        <f>AC51/$AC$89</f>
        <v>#DIV/0!</v>
      </c>
      <c r="AE51" s="1237"/>
      <c r="AF51" s="1432"/>
      <c r="AG51" s="1432"/>
      <c r="AH51" s="1480">
        <f>AF51+AG51*1</f>
        <v>0</v>
      </c>
      <c r="AI51" s="1651">
        <f>AH51/$AH$89</f>
        <v>0</v>
      </c>
      <c r="AJ51" s="1475"/>
      <c r="AK51" s="1432"/>
      <c r="AL51" s="1432"/>
      <c r="AM51" s="1480">
        <f>AK51+AL51*1</f>
        <v>0</v>
      </c>
      <c r="AN51" s="1540">
        <f t="shared" si="33"/>
        <v>0</v>
      </c>
      <c r="AO51" s="1435"/>
      <c r="AP51" s="1432"/>
      <c r="AQ51" s="1432"/>
      <c r="AR51" s="1480">
        <f>AP51+AQ51*1</f>
        <v>0</v>
      </c>
      <c r="AS51" s="1540" t="e">
        <f t="shared" si="34"/>
        <v>#DIV/0!</v>
      </c>
      <c r="AT51" s="1435"/>
      <c r="AU51" s="2043"/>
      <c r="AV51" s="2043"/>
      <c r="AW51" s="2012">
        <f>AU51+AV51*1</f>
        <v>0</v>
      </c>
      <c r="AX51" s="2044">
        <f t="shared" si="8"/>
        <v>0</v>
      </c>
      <c r="AY51" s="1893"/>
      <c r="AZ51" s="2043"/>
      <c r="BA51" s="2043"/>
      <c r="BB51" s="2012">
        <f>AZ51+BA51*1</f>
        <v>0</v>
      </c>
      <c r="BC51" s="2044" t="e">
        <f t="shared" si="35"/>
        <v>#DIV/0!</v>
      </c>
      <c r="BD51" s="1893"/>
      <c r="BE51" s="2043"/>
      <c r="BF51" s="2043"/>
      <c r="BG51" s="2012">
        <f>BE51+BF51*1</f>
        <v>0</v>
      </c>
      <c r="BH51" s="2044" t="e">
        <f t="shared" si="36"/>
        <v>#DIV/0!</v>
      </c>
      <c r="BI51" s="1893"/>
      <c r="BJ51" s="2043"/>
      <c r="BK51" s="2043"/>
      <c r="BL51" s="2012">
        <f>BJ51+BK51*1</f>
        <v>0</v>
      </c>
      <c r="BM51" s="2044" t="e">
        <f t="shared" si="37"/>
        <v>#DIV/0!</v>
      </c>
      <c r="BN51" s="1893"/>
      <c r="BO51" s="2043"/>
      <c r="BP51" s="2043"/>
      <c r="BQ51" s="2012">
        <f>BO51+BP51*1</f>
        <v>0</v>
      </c>
      <c r="BR51" s="2044" t="e">
        <f t="shared" si="38"/>
        <v>#DIV/0!</v>
      </c>
      <c r="BS51" s="1893"/>
      <c r="BT51" s="2043">
        <f>G51+L51+Q51+V51+AA51+AF51+AK51+AP51+AU51+AZ51+BE51</f>
        <v>0</v>
      </c>
      <c r="BU51" s="2043">
        <f>H51+M51+R51+W51+AB51+AG51+AL51+AQ51+AV51+BA51+BF51</f>
        <v>0</v>
      </c>
      <c r="BV51" s="2012">
        <f>BT51+BU51*1</f>
        <v>0</v>
      </c>
      <c r="BW51" s="2044">
        <f t="shared" si="39"/>
        <v>0</v>
      </c>
      <c r="BX51" s="1893"/>
    </row>
    <row r="52" spans="1:76" s="235" customFormat="1" ht="14.4" customHeight="1" outlineLevel="1">
      <c r="A52" s="234"/>
      <c r="B52" s="1183" t="s">
        <v>61</v>
      </c>
      <c r="C52" s="1230"/>
      <c r="D52" s="1231"/>
      <c r="E52" s="1231">
        <f>C52+D52</f>
        <v>0</v>
      </c>
      <c r="F52" s="1236">
        <f>E52/$E$89</f>
        <v>0</v>
      </c>
      <c r="G52" s="1176">
        <v>0</v>
      </c>
      <c r="H52" s="1176">
        <v>0</v>
      </c>
      <c r="I52" s="1178">
        <v>0</v>
      </c>
      <c r="J52" s="1093">
        <v>0</v>
      </c>
      <c r="K52" s="1093"/>
      <c r="L52" s="1176"/>
      <c r="M52" s="1176"/>
      <c r="N52" s="1178">
        <f>L52+M52*1</f>
        <v>0</v>
      </c>
      <c r="O52" s="1233">
        <f>N52/$N$89</f>
        <v>0</v>
      </c>
      <c r="P52" s="1237"/>
      <c r="Q52" s="1176"/>
      <c r="R52" s="1176"/>
      <c r="S52" s="1178">
        <f>Q52+R52*1</f>
        <v>0</v>
      </c>
      <c r="T52" s="1233">
        <f>S52/$S$89</f>
        <v>0</v>
      </c>
      <c r="U52" s="1237"/>
      <c r="V52" s="1176"/>
      <c r="W52" s="1176"/>
      <c r="X52" s="1178">
        <f>V52+W52*1</f>
        <v>0</v>
      </c>
      <c r="Y52" s="1233">
        <f t="shared" si="45"/>
        <v>0</v>
      </c>
      <c r="Z52" s="1237"/>
      <c r="AA52" s="1176"/>
      <c r="AB52" s="1176"/>
      <c r="AC52" s="1178">
        <f>AA52+AB52*1</f>
        <v>0</v>
      </c>
      <c r="AD52" s="1233" t="e">
        <f>AC52/$AC$89</f>
        <v>#DIV/0!</v>
      </c>
      <c r="AE52" s="1237"/>
      <c r="AF52" s="1432"/>
      <c r="AG52" s="1432"/>
      <c r="AH52" s="1480">
        <f>AF52+AG52*1</f>
        <v>0</v>
      </c>
      <c r="AI52" s="1651">
        <f>AH52/$AH$89</f>
        <v>0</v>
      </c>
      <c r="AJ52" s="1475"/>
      <c r="AK52" s="1432"/>
      <c r="AL52" s="1432"/>
      <c r="AM52" s="1480">
        <f>AK52+AL52*1</f>
        <v>0</v>
      </c>
      <c r="AN52" s="1540">
        <f t="shared" si="33"/>
        <v>0</v>
      </c>
      <c r="AO52" s="1435"/>
      <c r="AP52" s="1432"/>
      <c r="AQ52" s="1432"/>
      <c r="AR52" s="1480">
        <f>AP52+AQ52*1</f>
        <v>0</v>
      </c>
      <c r="AS52" s="1540" t="e">
        <f t="shared" si="34"/>
        <v>#DIV/0!</v>
      </c>
      <c r="AT52" s="1435"/>
      <c r="AU52" s="2043"/>
      <c r="AV52" s="2043"/>
      <c r="AW52" s="2012">
        <f>AU52+AV52*1</f>
        <v>0</v>
      </c>
      <c r="AX52" s="2044">
        <f t="shared" si="8"/>
        <v>0</v>
      </c>
      <c r="AY52" s="1893"/>
      <c r="AZ52" s="2043"/>
      <c r="BA52" s="2043"/>
      <c r="BB52" s="2012">
        <f>AZ52+BA52*1</f>
        <v>0</v>
      </c>
      <c r="BC52" s="2044" t="e">
        <f t="shared" si="35"/>
        <v>#DIV/0!</v>
      </c>
      <c r="BD52" s="1893"/>
      <c r="BE52" s="2043"/>
      <c r="BF52" s="2043"/>
      <c r="BG52" s="2012">
        <f>BE52+BF52*1</f>
        <v>0</v>
      </c>
      <c r="BH52" s="2044" t="e">
        <f t="shared" si="36"/>
        <v>#DIV/0!</v>
      </c>
      <c r="BI52" s="1893"/>
      <c r="BJ52" s="2043"/>
      <c r="BK52" s="2043"/>
      <c r="BL52" s="2012">
        <f>BJ52+BK52*1</f>
        <v>0</v>
      </c>
      <c r="BM52" s="2044" t="e">
        <f t="shared" si="37"/>
        <v>#DIV/0!</v>
      </c>
      <c r="BN52" s="1893"/>
      <c r="BO52" s="2043"/>
      <c r="BP52" s="2043"/>
      <c r="BQ52" s="2012">
        <f>BO52+BP52*1</f>
        <v>0</v>
      </c>
      <c r="BR52" s="2044" t="e">
        <f t="shared" si="38"/>
        <v>#DIV/0!</v>
      </c>
      <c r="BS52" s="1893"/>
      <c r="BT52" s="2043">
        <f>G52+L52+Q52+V52+AA52+AF52+AK52+AP52+AU52+AZ52+BE52</f>
        <v>0</v>
      </c>
      <c r="BU52" s="2043">
        <f>H52+M52+R52+W52+AB52+AG52+AL52+AQ52+AV52+BA52+BF52</f>
        <v>0</v>
      </c>
      <c r="BV52" s="2012">
        <f>BT52+BU52*1</f>
        <v>0</v>
      </c>
      <c r="BW52" s="2044">
        <f t="shared" si="39"/>
        <v>0</v>
      </c>
      <c r="BX52" s="1893"/>
    </row>
    <row r="53" spans="1:76" ht="14.4" customHeight="1" thickBot="1">
      <c r="A53" s="20"/>
      <c r="B53" s="1185"/>
      <c r="C53" s="1208"/>
      <c r="D53" s="1085"/>
      <c r="E53" s="1209"/>
      <c r="F53" s="1210"/>
      <c r="G53" s="1176"/>
      <c r="H53" s="1176"/>
      <c r="I53" s="1169"/>
      <c r="J53" s="959"/>
      <c r="K53" s="959"/>
      <c r="L53" s="1176"/>
      <c r="M53" s="1176"/>
      <c r="N53" s="1169"/>
      <c r="O53" s="1169"/>
      <c r="P53" s="1169"/>
      <c r="Q53" s="1176"/>
      <c r="R53" s="1176"/>
      <c r="S53" s="1169"/>
      <c r="T53" s="1169"/>
      <c r="U53" s="1169"/>
      <c r="V53" s="1176"/>
      <c r="W53" s="1176"/>
      <c r="X53" s="1169"/>
      <c r="Y53" s="1169"/>
      <c r="Z53" s="1169"/>
      <c r="AA53" s="1176"/>
      <c r="AB53" s="1176"/>
      <c r="AC53" s="1169"/>
      <c r="AD53" s="1169"/>
      <c r="AE53" s="1169"/>
      <c r="AF53" s="1432"/>
      <c r="AG53" s="1432"/>
      <c r="AH53" s="1447"/>
      <c r="AI53" s="1677"/>
      <c r="AJ53" s="1378"/>
      <c r="AK53" s="1432"/>
      <c r="AL53" s="1432"/>
      <c r="AM53" s="1447"/>
      <c r="AN53" s="1447"/>
      <c r="AO53" s="1447"/>
      <c r="AP53" s="1432"/>
      <c r="AQ53" s="1432"/>
      <c r="AR53" s="1447"/>
      <c r="AS53" s="1447"/>
      <c r="AT53" s="1447"/>
      <c r="AU53" s="2043"/>
      <c r="AV53" s="2043"/>
      <c r="AW53" s="2007"/>
      <c r="AX53" s="2007"/>
      <c r="AY53" s="2007"/>
      <c r="AZ53" s="2043"/>
      <c r="BA53" s="2043"/>
      <c r="BB53" s="2007"/>
      <c r="BC53" s="2007"/>
      <c r="BD53" s="2007"/>
      <c r="BE53" s="2043"/>
      <c r="BF53" s="2043"/>
      <c r="BG53" s="2007"/>
      <c r="BH53" s="2007"/>
      <c r="BI53" s="2007"/>
      <c r="BJ53" s="2043"/>
      <c r="BK53" s="2043"/>
      <c r="BL53" s="2007"/>
      <c r="BM53" s="2007"/>
      <c r="BN53" s="2007"/>
      <c r="BO53" s="2043"/>
      <c r="BP53" s="2043"/>
      <c r="BQ53" s="2007"/>
      <c r="BR53" s="2007"/>
      <c r="BS53" s="2007"/>
      <c r="BT53" s="2043"/>
      <c r="BU53" s="2043"/>
      <c r="BV53" s="2007"/>
      <c r="BW53" s="2007"/>
      <c r="BX53" s="2007"/>
    </row>
    <row r="54" spans="1:76" ht="14.4" customHeight="1">
      <c r="A54" s="236"/>
      <c r="B54" s="17" t="s">
        <v>1</v>
      </c>
      <c r="C54" s="578">
        <f>SUM(C55:C71)</f>
        <v>196726</v>
      </c>
      <c r="D54" s="578">
        <f>SUM(D55:D71)</f>
        <v>229080.95999999999</v>
      </c>
      <c r="E54" s="579">
        <f>SUM(E55:E71)</f>
        <v>425806.96</v>
      </c>
      <c r="F54" s="580">
        <f>E54/$E$89</f>
        <v>1.7383611090891267E-2</v>
      </c>
      <c r="G54" s="578">
        <v>288211.55000000005</v>
      </c>
      <c r="H54" s="578">
        <v>328542.58689545456</v>
      </c>
      <c r="I54" s="578">
        <v>616754.13689545449</v>
      </c>
      <c r="J54" s="246">
        <v>2.2284000539580972E-2</v>
      </c>
      <c r="K54" s="246"/>
      <c r="L54" s="578">
        <f>SUM(L55:L72)</f>
        <v>26168.21</v>
      </c>
      <c r="M54" s="578">
        <f>SUM(M55:M72)</f>
        <v>34471.424700000003</v>
      </c>
      <c r="N54" s="578">
        <f>SUM(N55:N72)</f>
        <v>60639.634700000002</v>
      </c>
      <c r="O54" s="1229">
        <f t="shared" ref="O54:O72" si="59">N54/$N$89</f>
        <v>9.8803284673752809E-2</v>
      </c>
      <c r="P54" s="581"/>
      <c r="Q54" s="578">
        <f>SUM(Q55:Q72)</f>
        <v>71893.91</v>
      </c>
      <c r="R54" s="578">
        <f>SUM(R55:R72)</f>
        <v>13371.48</v>
      </c>
      <c r="S54" s="578">
        <f>SUM(S55:S72)</f>
        <v>85265.39</v>
      </c>
      <c r="T54" s="1229">
        <f>S54/$S$89</f>
        <v>2.5862772264726074E-2</v>
      </c>
      <c r="U54" s="581"/>
      <c r="V54" s="578">
        <f>SUM(V55:V72)</f>
        <v>0</v>
      </c>
      <c r="W54" s="578">
        <f>SUM(W55:W72)</f>
        <v>432</v>
      </c>
      <c r="X54" s="578">
        <f>SUM(X55:X72)</f>
        <v>432</v>
      </c>
      <c r="Y54" s="1229">
        <f>X54/$X$89</f>
        <v>3.5560920660806152E-3</v>
      </c>
      <c r="Z54" s="581"/>
      <c r="AA54" s="578">
        <f>SUM(AA55:AA72)</f>
        <v>0</v>
      </c>
      <c r="AB54" s="578">
        <f>SUM(AB55:AB72)</f>
        <v>0</v>
      </c>
      <c r="AC54" s="578">
        <f>SUM(AC55:AC72)</f>
        <v>0</v>
      </c>
      <c r="AD54" s="1229" t="e">
        <f>AC54/$AC$89</f>
        <v>#DIV/0!</v>
      </c>
      <c r="AE54" s="581"/>
      <c r="AF54" s="1497">
        <f>SUM(AF55:AF72)</f>
        <v>0</v>
      </c>
      <c r="AG54" s="1497">
        <f>SUM(AG55:AG72)</f>
        <v>0</v>
      </c>
      <c r="AH54" s="1497">
        <f>SUM(AH55:AH72)</f>
        <v>0</v>
      </c>
      <c r="AI54" s="1854" t="e">
        <f>AH54/$AC$89</f>
        <v>#DIV/0!</v>
      </c>
      <c r="AJ54" s="1446"/>
      <c r="AK54" s="1497">
        <f>SUM(AK55:AK72)</f>
        <v>0</v>
      </c>
      <c r="AL54" s="1497">
        <f>SUM(AL55:AL72)</f>
        <v>72200</v>
      </c>
      <c r="AM54" s="1497">
        <f>SUM(AM55:AM72)</f>
        <v>72200</v>
      </c>
      <c r="AN54" s="1533">
        <f t="shared" ref="AN54:AN72" si="60">AM54/$AM$89</f>
        <v>0.87349183652364881</v>
      </c>
      <c r="AO54" s="1446"/>
      <c r="AP54" s="1497">
        <f>SUM(AP55:AP72)</f>
        <v>0</v>
      </c>
      <c r="AQ54" s="1497">
        <f>SUM(AQ55:AQ72)</f>
        <v>0</v>
      </c>
      <c r="AR54" s="1497">
        <f>SUM(AR55:AR72)</f>
        <v>0</v>
      </c>
      <c r="AS54" s="1533" t="e">
        <f t="shared" ref="AS54:AS72" si="61">AR54/$AR$89</f>
        <v>#DIV/0!</v>
      </c>
      <c r="AT54" s="1446"/>
      <c r="AU54" s="2015">
        <f>SUM(AU55:AU72)</f>
        <v>0</v>
      </c>
      <c r="AV54" s="2015">
        <f>SUM(AV55:AV72)</f>
        <v>0</v>
      </c>
      <c r="AW54" s="2015">
        <f>SUM(AW55:AW72)</f>
        <v>0</v>
      </c>
      <c r="AX54" s="2016">
        <f t="shared" si="8"/>
        <v>0</v>
      </c>
      <c r="AY54" s="2006"/>
      <c r="AZ54" s="2015">
        <f>SUM(AZ55:AZ72)</f>
        <v>0</v>
      </c>
      <c r="BA54" s="2015">
        <f>SUM(BA55:BA72)</f>
        <v>0</v>
      </c>
      <c r="BB54" s="2015">
        <f>SUM(BB55:BB72)</f>
        <v>0</v>
      </c>
      <c r="BC54" s="2016" t="e">
        <f t="shared" ref="BC54:BC72" si="62">BB54/$BB$89</f>
        <v>#DIV/0!</v>
      </c>
      <c r="BD54" s="2006"/>
      <c r="BE54" s="2015">
        <f>SUM(BE55:BE72)</f>
        <v>0</v>
      </c>
      <c r="BF54" s="2015">
        <f>SUM(BF55:BF72)</f>
        <v>0</v>
      </c>
      <c r="BG54" s="2015">
        <f>SUM(BG55:BG72)</f>
        <v>0</v>
      </c>
      <c r="BH54" s="2016" t="e">
        <f t="shared" ref="BH54:BH72" si="63">BG54/$BG$89</f>
        <v>#DIV/0!</v>
      </c>
      <c r="BI54" s="2006"/>
      <c r="BJ54" s="2015">
        <f>SUM(BJ55:BJ72)</f>
        <v>0</v>
      </c>
      <c r="BK54" s="2015">
        <f>SUM(BK55:BK72)</f>
        <v>0</v>
      </c>
      <c r="BL54" s="2015">
        <f>SUM(BL55:BL72)</f>
        <v>0</v>
      </c>
      <c r="BM54" s="2016" t="e">
        <f t="shared" ref="BM54:BM72" si="64">BL54/$BL$89</f>
        <v>#DIV/0!</v>
      </c>
      <c r="BN54" s="2006"/>
      <c r="BO54" s="2015">
        <f>SUM(BO55:BO72)</f>
        <v>0</v>
      </c>
      <c r="BP54" s="2015">
        <f>SUM(BP55:BP72)</f>
        <v>0</v>
      </c>
      <c r="BQ54" s="2015">
        <f>SUM(BQ55:BQ72)</f>
        <v>0</v>
      </c>
      <c r="BR54" s="2016" t="e">
        <f t="shared" ref="BR54:BR72" si="65">BQ54/$BL$89</f>
        <v>#DIV/0!</v>
      </c>
      <c r="BS54" s="2006"/>
      <c r="BT54" s="2015">
        <f>SUM(BT55:BT72)</f>
        <v>386273.67000000004</v>
      </c>
      <c r="BU54" s="2015">
        <f>SUM(BU55:BU72)</f>
        <v>449017.49159545451</v>
      </c>
      <c r="BV54" s="2015">
        <f>SUM(BV55:BV72)</f>
        <v>835291.16159545444</v>
      </c>
      <c r="BW54" s="2016">
        <f t="shared" ref="BW54:BW72" si="66">BV54/$BV$89</f>
        <v>2.5427187890765222E-2</v>
      </c>
      <c r="BX54" s="2006"/>
    </row>
    <row r="55" spans="1:76" ht="14.4" customHeight="1">
      <c r="A55" s="237"/>
      <c r="B55" s="1106" t="s">
        <v>77</v>
      </c>
      <c r="C55" s="1230"/>
      <c r="D55" s="1239"/>
      <c r="E55" s="1232">
        <f t="shared" ref="E55:E71" si="67">C55+D55</f>
        <v>0</v>
      </c>
      <c r="F55" s="1233">
        <f>E55/$E$89</f>
        <v>0</v>
      </c>
      <c r="G55" s="1022">
        <v>0</v>
      </c>
      <c r="H55" s="1022">
        <v>0</v>
      </c>
      <c r="I55" s="1178">
        <v>0</v>
      </c>
      <c r="J55" s="1039">
        <v>0</v>
      </c>
      <c r="K55" s="1039"/>
      <c r="L55" s="1022"/>
      <c r="M55" s="1022"/>
      <c r="N55" s="1178">
        <f t="shared" ref="N55:N71" si="68">L55+M55*1</f>
        <v>0</v>
      </c>
      <c r="O55" s="1233">
        <f t="shared" si="59"/>
        <v>0</v>
      </c>
      <c r="P55" s="1234"/>
      <c r="Q55" s="1022"/>
      <c r="R55" s="1022"/>
      <c r="S55" s="1178">
        <f t="shared" ref="S55:S71" si="69">Q55+R55*1</f>
        <v>0</v>
      </c>
      <c r="T55" s="1233">
        <f t="shared" ref="T55:T72" si="70">S55/$S$89</f>
        <v>0</v>
      </c>
      <c r="U55" s="1234"/>
      <c r="V55" s="1022"/>
      <c r="W55" s="1022"/>
      <c r="X55" s="1178">
        <f t="shared" ref="X55:X71" si="71">V55+W55*1</f>
        <v>0</v>
      </c>
      <c r="Y55" s="1233">
        <f t="shared" ref="Y55:Y72" si="72">X55/$X$89</f>
        <v>0</v>
      </c>
      <c r="Z55" s="1234"/>
      <c r="AA55" s="1022"/>
      <c r="AB55" s="1022"/>
      <c r="AC55" s="1178">
        <f t="shared" ref="AC55:AC71" si="73">AA55+AB55*1</f>
        <v>0</v>
      </c>
      <c r="AD55" s="1233" t="e">
        <f>AC55/$AC$89</f>
        <v>#DIV/0!</v>
      </c>
      <c r="AE55" s="1234"/>
      <c r="AF55" s="1552"/>
      <c r="AG55" s="1552"/>
      <c r="AH55" s="1480">
        <f t="shared" ref="AH55:AH71" si="74">AF55+AG55*1</f>
        <v>0</v>
      </c>
      <c r="AI55" s="1651">
        <f t="shared" ref="AI55:AI72" si="75">AH55/$AH$89</f>
        <v>0</v>
      </c>
      <c r="AJ55" s="1731"/>
      <c r="AK55" s="1552"/>
      <c r="AL55" s="1552"/>
      <c r="AM55" s="1480">
        <f t="shared" ref="AM55:AM71" si="76">AK55+AL55*1</f>
        <v>0</v>
      </c>
      <c r="AN55" s="1540">
        <f t="shared" si="60"/>
        <v>0</v>
      </c>
      <c r="AO55" s="1460"/>
      <c r="AP55" s="1552"/>
      <c r="AQ55" s="1552"/>
      <c r="AR55" s="1480">
        <f t="shared" ref="AR55:AR71" si="77">AP55+AQ55*1</f>
        <v>0</v>
      </c>
      <c r="AS55" s="1540" t="e">
        <f t="shared" si="61"/>
        <v>#DIV/0!</v>
      </c>
      <c r="AT55" s="1460"/>
      <c r="AU55" s="2045"/>
      <c r="AV55" s="2045"/>
      <c r="AW55" s="2012">
        <f t="shared" ref="AW55:AW71" si="78">AU55+AV55*1</f>
        <v>0</v>
      </c>
      <c r="AX55" s="2044">
        <f t="shared" si="8"/>
        <v>0</v>
      </c>
      <c r="AY55" s="1992"/>
      <c r="AZ55" s="2045"/>
      <c r="BA55" s="2045"/>
      <c r="BB55" s="2012">
        <f t="shared" ref="BB55:BB71" si="79">AZ55+BA55*1</f>
        <v>0</v>
      </c>
      <c r="BC55" s="2044" t="e">
        <f t="shared" si="62"/>
        <v>#DIV/0!</v>
      </c>
      <c r="BD55" s="1992"/>
      <c r="BE55" s="2045"/>
      <c r="BF55" s="2045"/>
      <c r="BG55" s="2012">
        <f t="shared" ref="BG55:BG71" si="80">BE55+BF55*1</f>
        <v>0</v>
      </c>
      <c r="BH55" s="2044" t="e">
        <f t="shared" si="63"/>
        <v>#DIV/0!</v>
      </c>
      <c r="BI55" s="1992"/>
      <c r="BJ55" s="2045"/>
      <c r="BK55" s="2045"/>
      <c r="BL55" s="2012">
        <f t="shared" ref="BL55:BL71" si="81">BJ55+BK55*1</f>
        <v>0</v>
      </c>
      <c r="BM55" s="2044" t="e">
        <f t="shared" si="64"/>
        <v>#DIV/0!</v>
      </c>
      <c r="BN55" s="1992"/>
      <c r="BO55" s="2045"/>
      <c r="BP55" s="2045"/>
      <c r="BQ55" s="2012">
        <f t="shared" ref="BQ55:BQ71" si="82">BO55+BP55*1</f>
        <v>0</v>
      </c>
      <c r="BR55" s="2044" t="e">
        <f t="shared" si="65"/>
        <v>#DIV/0!</v>
      </c>
      <c r="BS55" s="1992"/>
      <c r="BT55" s="2043">
        <f t="shared" ref="BT55:BU71" si="83">G55+L55+Q55+V55+AA55+AF55+AK55+AP55+AU55+AZ55+BE55</f>
        <v>0</v>
      </c>
      <c r="BU55" s="2043">
        <f t="shared" si="83"/>
        <v>0</v>
      </c>
      <c r="BV55" s="2012">
        <f t="shared" ref="BV55:BV71" si="84">BT55+BU55*1</f>
        <v>0</v>
      </c>
      <c r="BW55" s="2044">
        <f t="shared" si="66"/>
        <v>0</v>
      </c>
      <c r="BX55" s="1992"/>
    </row>
    <row r="56" spans="1:76" ht="14.4" customHeight="1">
      <c r="A56" s="237"/>
      <c r="B56" s="1106" t="s">
        <v>76</v>
      </c>
      <c r="C56" s="1230"/>
      <c r="D56" s="1231"/>
      <c r="E56" s="1232">
        <f t="shared" si="67"/>
        <v>0</v>
      </c>
      <c r="F56" s="1233">
        <f t="shared" ref="F56:F72" si="85">E56/$E$89</f>
        <v>0</v>
      </c>
      <c r="G56" s="1022">
        <v>0</v>
      </c>
      <c r="H56" s="1022">
        <v>0</v>
      </c>
      <c r="I56" s="1178">
        <v>0</v>
      </c>
      <c r="J56" s="1039">
        <v>0</v>
      </c>
      <c r="K56" s="1039"/>
      <c r="L56" s="1022"/>
      <c r="M56" s="1022"/>
      <c r="N56" s="1178">
        <f t="shared" si="68"/>
        <v>0</v>
      </c>
      <c r="O56" s="1233">
        <f t="shared" si="59"/>
        <v>0</v>
      </c>
      <c r="P56" s="1234"/>
      <c r="Q56" s="1022"/>
      <c r="R56" s="1022"/>
      <c r="S56" s="1178">
        <f t="shared" si="69"/>
        <v>0</v>
      </c>
      <c r="T56" s="1233">
        <f t="shared" si="70"/>
        <v>0</v>
      </c>
      <c r="U56" s="1234"/>
      <c r="V56" s="1022"/>
      <c r="W56" s="1022"/>
      <c r="X56" s="1178">
        <f t="shared" si="71"/>
        <v>0</v>
      </c>
      <c r="Y56" s="1233">
        <f t="shared" si="72"/>
        <v>0</v>
      </c>
      <c r="Z56" s="1234"/>
      <c r="AA56" s="1022"/>
      <c r="AB56" s="1022"/>
      <c r="AC56" s="1178">
        <f t="shared" si="73"/>
        <v>0</v>
      </c>
      <c r="AD56" s="1233" t="e">
        <f t="shared" ref="AD56:AD72" si="86">AC56/$AC$89</f>
        <v>#DIV/0!</v>
      </c>
      <c r="AE56" s="1234"/>
      <c r="AF56" s="1552"/>
      <c r="AG56" s="1552"/>
      <c r="AH56" s="1480">
        <f t="shared" si="74"/>
        <v>0</v>
      </c>
      <c r="AI56" s="1651">
        <f t="shared" si="75"/>
        <v>0</v>
      </c>
      <c r="AJ56" s="1731"/>
      <c r="AK56" s="1552"/>
      <c r="AL56" s="1552"/>
      <c r="AM56" s="1480">
        <f t="shared" si="76"/>
        <v>0</v>
      </c>
      <c r="AN56" s="1540">
        <f t="shared" si="60"/>
        <v>0</v>
      </c>
      <c r="AO56" s="1460"/>
      <c r="AP56" s="1552"/>
      <c r="AQ56" s="1552"/>
      <c r="AR56" s="1480">
        <f t="shared" si="77"/>
        <v>0</v>
      </c>
      <c r="AS56" s="1540" t="e">
        <f t="shared" si="61"/>
        <v>#DIV/0!</v>
      </c>
      <c r="AT56" s="1460"/>
      <c r="AU56" s="2045"/>
      <c r="AV56" s="2045"/>
      <c r="AW56" s="2012">
        <f t="shared" si="78"/>
        <v>0</v>
      </c>
      <c r="AX56" s="2044">
        <f t="shared" si="8"/>
        <v>0</v>
      </c>
      <c r="AY56" s="1992"/>
      <c r="AZ56" s="2045"/>
      <c r="BA56" s="2045"/>
      <c r="BB56" s="2012">
        <f t="shared" si="79"/>
        <v>0</v>
      </c>
      <c r="BC56" s="2044" t="e">
        <f t="shared" si="62"/>
        <v>#DIV/0!</v>
      </c>
      <c r="BD56" s="1992"/>
      <c r="BE56" s="2045"/>
      <c r="BF56" s="2045"/>
      <c r="BG56" s="2012">
        <f t="shared" si="80"/>
        <v>0</v>
      </c>
      <c r="BH56" s="2044" t="e">
        <f t="shared" si="63"/>
        <v>#DIV/0!</v>
      </c>
      <c r="BI56" s="1992"/>
      <c r="BJ56" s="2045"/>
      <c r="BK56" s="2045"/>
      <c r="BL56" s="2012">
        <f t="shared" si="81"/>
        <v>0</v>
      </c>
      <c r="BM56" s="2044" t="e">
        <f t="shared" si="64"/>
        <v>#DIV/0!</v>
      </c>
      <c r="BN56" s="1992"/>
      <c r="BO56" s="2045"/>
      <c r="BP56" s="2045"/>
      <c r="BQ56" s="2012">
        <f t="shared" si="82"/>
        <v>0</v>
      </c>
      <c r="BR56" s="2044" t="e">
        <f t="shared" si="65"/>
        <v>#DIV/0!</v>
      </c>
      <c r="BS56" s="1992"/>
      <c r="BT56" s="2043">
        <f t="shared" si="83"/>
        <v>0</v>
      </c>
      <c r="BU56" s="2043">
        <f t="shared" si="83"/>
        <v>0</v>
      </c>
      <c r="BV56" s="2012">
        <f t="shared" si="84"/>
        <v>0</v>
      </c>
      <c r="BW56" s="2044">
        <f t="shared" si="66"/>
        <v>0</v>
      </c>
      <c r="BX56" s="1992"/>
    </row>
    <row r="57" spans="1:76" ht="14.4" customHeight="1">
      <c r="A57" s="237"/>
      <c r="B57" s="1106" t="s">
        <v>68</v>
      </c>
      <c r="C57" s="1230"/>
      <c r="D57" s="1231"/>
      <c r="E57" s="1232">
        <f t="shared" si="67"/>
        <v>0</v>
      </c>
      <c r="F57" s="1233">
        <f t="shared" si="85"/>
        <v>0</v>
      </c>
      <c r="G57" s="1022">
        <v>0</v>
      </c>
      <c r="H57" s="1022">
        <v>0</v>
      </c>
      <c r="I57" s="1178">
        <v>0</v>
      </c>
      <c r="J57" s="1039">
        <v>0</v>
      </c>
      <c r="K57" s="1039"/>
      <c r="L57" s="1022"/>
      <c r="M57" s="1022"/>
      <c r="N57" s="1178">
        <f t="shared" si="68"/>
        <v>0</v>
      </c>
      <c r="O57" s="1233">
        <f t="shared" si="59"/>
        <v>0</v>
      </c>
      <c r="P57" s="1234"/>
      <c r="Q57" s="1022"/>
      <c r="R57" s="1022"/>
      <c r="S57" s="1178">
        <f t="shared" si="69"/>
        <v>0</v>
      </c>
      <c r="T57" s="1233">
        <f t="shared" si="70"/>
        <v>0</v>
      </c>
      <c r="U57" s="1234"/>
      <c r="V57" s="1022"/>
      <c r="W57" s="1022"/>
      <c r="X57" s="1178">
        <f t="shared" si="71"/>
        <v>0</v>
      </c>
      <c r="Y57" s="1233">
        <f t="shared" si="72"/>
        <v>0</v>
      </c>
      <c r="Z57" s="1234"/>
      <c r="AA57" s="1022"/>
      <c r="AB57" s="1022"/>
      <c r="AC57" s="1178">
        <f t="shared" si="73"/>
        <v>0</v>
      </c>
      <c r="AD57" s="1233" t="e">
        <f t="shared" si="86"/>
        <v>#DIV/0!</v>
      </c>
      <c r="AE57" s="1147"/>
      <c r="AF57" s="1552"/>
      <c r="AG57" s="1552"/>
      <c r="AH57" s="1480">
        <f t="shared" si="74"/>
        <v>0</v>
      </c>
      <c r="AI57" s="1651">
        <f t="shared" si="75"/>
        <v>0</v>
      </c>
      <c r="AJ57" s="1846"/>
      <c r="AK57" s="1552"/>
      <c r="AL57" s="1552"/>
      <c r="AM57" s="1480">
        <f t="shared" si="76"/>
        <v>0</v>
      </c>
      <c r="AN57" s="1540">
        <f t="shared" si="60"/>
        <v>0</v>
      </c>
      <c r="AO57" s="1632"/>
      <c r="AP57" s="1552"/>
      <c r="AQ57" s="1552"/>
      <c r="AR57" s="1480">
        <f t="shared" si="77"/>
        <v>0</v>
      </c>
      <c r="AS57" s="1540" t="e">
        <f t="shared" si="61"/>
        <v>#DIV/0!</v>
      </c>
      <c r="AT57" s="1632"/>
      <c r="AU57" s="2045"/>
      <c r="AV57" s="2045"/>
      <c r="AW57" s="2012">
        <f t="shared" si="78"/>
        <v>0</v>
      </c>
      <c r="AX57" s="2044">
        <f t="shared" si="8"/>
        <v>0</v>
      </c>
      <c r="AY57" s="1929"/>
      <c r="AZ57" s="2045"/>
      <c r="BA57" s="2045"/>
      <c r="BB57" s="2012">
        <f t="shared" si="79"/>
        <v>0</v>
      </c>
      <c r="BC57" s="2044" t="e">
        <f t="shared" si="62"/>
        <v>#DIV/0!</v>
      </c>
      <c r="BD57" s="1929"/>
      <c r="BE57" s="2045"/>
      <c r="BF57" s="2045"/>
      <c r="BG57" s="2012">
        <f t="shared" si="80"/>
        <v>0</v>
      </c>
      <c r="BH57" s="2044" t="e">
        <f t="shared" si="63"/>
        <v>#DIV/0!</v>
      </c>
      <c r="BI57" s="1929"/>
      <c r="BJ57" s="2045"/>
      <c r="BK57" s="2045"/>
      <c r="BL57" s="2012">
        <f t="shared" si="81"/>
        <v>0</v>
      </c>
      <c r="BM57" s="2044" t="e">
        <f t="shared" si="64"/>
        <v>#DIV/0!</v>
      </c>
      <c r="BN57" s="1929"/>
      <c r="BO57" s="2045"/>
      <c r="BP57" s="2045"/>
      <c r="BQ57" s="2012">
        <f t="shared" si="82"/>
        <v>0</v>
      </c>
      <c r="BR57" s="2044" t="e">
        <f t="shared" si="65"/>
        <v>#DIV/0!</v>
      </c>
      <c r="BS57" s="1929"/>
      <c r="BT57" s="2043">
        <f t="shared" si="83"/>
        <v>0</v>
      </c>
      <c r="BU57" s="2043">
        <f t="shared" si="83"/>
        <v>0</v>
      </c>
      <c r="BV57" s="2012">
        <f t="shared" si="84"/>
        <v>0</v>
      </c>
      <c r="BW57" s="2044">
        <f t="shared" si="66"/>
        <v>0</v>
      </c>
      <c r="BX57" s="1992"/>
    </row>
    <row r="58" spans="1:76" ht="14.4" customHeight="1">
      <c r="A58" s="237"/>
      <c r="B58" s="1106" t="s">
        <v>67</v>
      </c>
      <c r="C58" s="1230">
        <v>85008</v>
      </c>
      <c r="D58" s="1231">
        <v>225831.5</v>
      </c>
      <c r="E58" s="1232">
        <f t="shared" si="67"/>
        <v>310839.5</v>
      </c>
      <c r="F58" s="1233">
        <f t="shared" si="85"/>
        <v>1.2690053210231922E-2</v>
      </c>
      <c r="G58" s="1022">
        <v>107526.05</v>
      </c>
      <c r="H58" s="1022">
        <v>251223.90689545454</v>
      </c>
      <c r="I58" s="1178">
        <v>358749.95689545455</v>
      </c>
      <c r="J58" s="1039">
        <v>1.2962027742974152E-2</v>
      </c>
      <c r="K58" s="1039"/>
      <c r="L58" s="1022">
        <v>10145.790000000001</v>
      </c>
      <c r="M58" s="1022">
        <v>29854.2147</v>
      </c>
      <c r="N58" s="1178">
        <f t="shared" si="68"/>
        <v>40000.004700000005</v>
      </c>
      <c r="O58" s="1233">
        <f t="shared" si="59"/>
        <v>6.5174070900620884E-2</v>
      </c>
      <c r="P58" s="1234" t="s">
        <v>973</v>
      </c>
      <c r="Q58" s="1022">
        <v>31650</v>
      </c>
      <c r="R58" s="1022">
        <v>8400</v>
      </c>
      <c r="S58" s="1178">
        <f t="shared" si="69"/>
        <v>40050</v>
      </c>
      <c r="T58" s="1233">
        <f t="shared" si="70"/>
        <v>1.2148000838350463E-2</v>
      </c>
      <c r="U58" s="1234" t="s">
        <v>1013</v>
      </c>
      <c r="V58" s="1022"/>
      <c r="W58" s="1022"/>
      <c r="X58" s="1178">
        <f t="shared" si="71"/>
        <v>0</v>
      </c>
      <c r="Y58" s="1233">
        <f t="shared" si="72"/>
        <v>0</v>
      </c>
      <c r="Z58" s="1234"/>
      <c r="AA58" s="1022"/>
      <c r="AB58" s="1022"/>
      <c r="AC58" s="1178">
        <f t="shared" si="73"/>
        <v>0</v>
      </c>
      <c r="AD58" s="1233" t="e">
        <f t="shared" si="86"/>
        <v>#DIV/0!</v>
      </c>
      <c r="AE58" s="1147"/>
      <c r="AF58" s="1552"/>
      <c r="AG58" s="1552"/>
      <c r="AH58" s="1480">
        <f t="shared" si="74"/>
        <v>0</v>
      </c>
      <c r="AI58" s="1651">
        <f t="shared" si="75"/>
        <v>0</v>
      </c>
      <c r="AJ58" s="1846"/>
      <c r="AK58" s="1552"/>
      <c r="AL58" s="1552">
        <v>72200</v>
      </c>
      <c r="AM58" s="1480">
        <f t="shared" si="76"/>
        <v>72200</v>
      </c>
      <c r="AN58" s="1540">
        <f t="shared" si="60"/>
        <v>0.87349183652364881</v>
      </c>
      <c r="AO58" s="1632" t="s">
        <v>1192</v>
      </c>
      <c r="AP58" s="1552"/>
      <c r="AQ58" s="1552"/>
      <c r="AR58" s="1480">
        <f t="shared" si="77"/>
        <v>0</v>
      </c>
      <c r="AS58" s="1540" t="e">
        <f t="shared" si="61"/>
        <v>#DIV/0!</v>
      </c>
      <c r="AT58" s="1632"/>
      <c r="AU58" s="2045"/>
      <c r="AV58" s="2045"/>
      <c r="AW58" s="2012">
        <f t="shared" si="78"/>
        <v>0</v>
      </c>
      <c r="AX58" s="2044">
        <f t="shared" si="8"/>
        <v>0</v>
      </c>
      <c r="AY58" s="1929"/>
      <c r="AZ58" s="2045"/>
      <c r="BA58" s="2045"/>
      <c r="BB58" s="2012">
        <f t="shared" si="79"/>
        <v>0</v>
      </c>
      <c r="BC58" s="2044" t="e">
        <f t="shared" si="62"/>
        <v>#DIV/0!</v>
      </c>
      <c r="BD58" s="1929"/>
      <c r="BE58" s="2045"/>
      <c r="BF58" s="2045"/>
      <c r="BG58" s="2012">
        <f t="shared" si="80"/>
        <v>0</v>
      </c>
      <c r="BH58" s="2044" t="e">
        <f t="shared" si="63"/>
        <v>#DIV/0!</v>
      </c>
      <c r="BI58" s="1929"/>
      <c r="BJ58" s="2045"/>
      <c r="BK58" s="2045"/>
      <c r="BL58" s="2012">
        <f t="shared" si="81"/>
        <v>0</v>
      </c>
      <c r="BM58" s="2044" t="e">
        <f t="shared" si="64"/>
        <v>#DIV/0!</v>
      </c>
      <c r="BN58" s="1929"/>
      <c r="BO58" s="2045"/>
      <c r="BP58" s="2045"/>
      <c r="BQ58" s="2012">
        <f t="shared" si="82"/>
        <v>0</v>
      </c>
      <c r="BR58" s="2044" t="e">
        <f t="shared" si="65"/>
        <v>#DIV/0!</v>
      </c>
      <c r="BS58" s="1929"/>
      <c r="BT58" s="2043">
        <f t="shared" si="83"/>
        <v>149321.84</v>
      </c>
      <c r="BU58" s="2043">
        <f t="shared" si="83"/>
        <v>361678.12159545452</v>
      </c>
      <c r="BV58" s="2012">
        <f t="shared" si="84"/>
        <v>510999.96159545449</v>
      </c>
      <c r="BW58" s="2044">
        <f t="shared" si="66"/>
        <v>1.5555404669724382E-2</v>
      </c>
      <c r="BX58" s="1992"/>
    </row>
    <row r="59" spans="1:76" ht="14.4" customHeight="1">
      <c r="A59" s="237"/>
      <c r="B59" s="1106" t="s">
        <v>66</v>
      </c>
      <c r="C59" s="1230">
        <v>20592</v>
      </c>
      <c r="D59" s="1231"/>
      <c r="E59" s="1232">
        <f t="shared" si="67"/>
        <v>20592</v>
      </c>
      <c r="F59" s="1233">
        <f t="shared" si="85"/>
        <v>8.4067042864595961E-4</v>
      </c>
      <c r="G59" s="1022">
        <v>26236.68</v>
      </c>
      <c r="H59" s="1022">
        <v>0</v>
      </c>
      <c r="I59" s="1178">
        <v>26236.68</v>
      </c>
      <c r="J59" s="1039">
        <v>9.479599021739812E-4</v>
      </c>
      <c r="K59" s="1039"/>
      <c r="L59" s="1022">
        <v>2457.67</v>
      </c>
      <c r="M59" s="1022"/>
      <c r="N59" s="1178">
        <f t="shared" si="68"/>
        <v>2457.67</v>
      </c>
      <c r="O59" s="1233">
        <f t="shared" si="59"/>
        <v>4.0044085002402243E-3</v>
      </c>
      <c r="P59" s="1234"/>
      <c r="Q59" s="1022">
        <v>2870</v>
      </c>
      <c r="R59" s="1022"/>
      <c r="S59" s="1178">
        <f t="shared" si="69"/>
        <v>2870</v>
      </c>
      <c r="T59" s="1233">
        <f t="shared" si="70"/>
        <v>8.7053089653098205E-4</v>
      </c>
      <c r="U59" s="1234"/>
      <c r="V59" s="1022"/>
      <c r="W59" s="1022"/>
      <c r="X59" s="1178">
        <f t="shared" si="71"/>
        <v>0</v>
      </c>
      <c r="Y59" s="1233">
        <f t="shared" si="72"/>
        <v>0</v>
      </c>
      <c r="Z59" s="1234"/>
      <c r="AA59" s="1022"/>
      <c r="AB59" s="1022"/>
      <c r="AC59" s="1178">
        <f t="shared" si="73"/>
        <v>0</v>
      </c>
      <c r="AD59" s="1233" t="e">
        <f t="shared" si="86"/>
        <v>#DIV/0!</v>
      </c>
      <c r="AE59" s="1147"/>
      <c r="AF59" s="1552"/>
      <c r="AG59" s="1552"/>
      <c r="AH59" s="1480">
        <f t="shared" si="74"/>
        <v>0</v>
      </c>
      <c r="AI59" s="1651">
        <f>AH59/$AH$89</f>
        <v>0</v>
      </c>
      <c r="AJ59" s="1846"/>
      <c r="AK59" s="1552"/>
      <c r="AL59" s="1552"/>
      <c r="AM59" s="1480">
        <f t="shared" si="76"/>
        <v>0</v>
      </c>
      <c r="AN59" s="1540">
        <f t="shared" si="60"/>
        <v>0</v>
      </c>
      <c r="AO59" s="1632"/>
      <c r="AP59" s="1552"/>
      <c r="AQ59" s="1552"/>
      <c r="AR59" s="1480">
        <f t="shared" si="77"/>
        <v>0</v>
      </c>
      <c r="AS59" s="1540" t="e">
        <f t="shared" si="61"/>
        <v>#DIV/0!</v>
      </c>
      <c r="AT59" s="1632"/>
      <c r="AU59" s="2045"/>
      <c r="AV59" s="2045"/>
      <c r="AW59" s="2012">
        <f t="shared" si="78"/>
        <v>0</v>
      </c>
      <c r="AX59" s="2044">
        <f t="shared" si="8"/>
        <v>0</v>
      </c>
      <c r="AY59" s="1929"/>
      <c r="AZ59" s="2045"/>
      <c r="BA59" s="2045"/>
      <c r="BB59" s="2012">
        <f t="shared" si="79"/>
        <v>0</v>
      </c>
      <c r="BC59" s="2044" t="e">
        <f t="shared" si="62"/>
        <v>#DIV/0!</v>
      </c>
      <c r="BD59" s="1929"/>
      <c r="BE59" s="2045"/>
      <c r="BF59" s="2045"/>
      <c r="BG59" s="2012">
        <f t="shared" si="80"/>
        <v>0</v>
      </c>
      <c r="BH59" s="2044" t="e">
        <f t="shared" si="63"/>
        <v>#DIV/0!</v>
      </c>
      <c r="BI59" s="1929"/>
      <c r="BJ59" s="2045"/>
      <c r="BK59" s="2045"/>
      <c r="BL59" s="2012">
        <f t="shared" si="81"/>
        <v>0</v>
      </c>
      <c r="BM59" s="2044" t="e">
        <f t="shared" si="64"/>
        <v>#DIV/0!</v>
      </c>
      <c r="BN59" s="1929"/>
      <c r="BO59" s="2045"/>
      <c r="BP59" s="2045"/>
      <c r="BQ59" s="2012">
        <f t="shared" si="82"/>
        <v>0</v>
      </c>
      <c r="BR59" s="2044" t="e">
        <f t="shared" si="65"/>
        <v>#DIV/0!</v>
      </c>
      <c r="BS59" s="1929"/>
      <c r="BT59" s="2043">
        <f t="shared" si="83"/>
        <v>31564.35</v>
      </c>
      <c r="BU59" s="2043">
        <f t="shared" si="83"/>
        <v>0</v>
      </c>
      <c r="BV59" s="2012">
        <f t="shared" si="84"/>
        <v>31564.35</v>
      </c>
      <c r="BW59" s="2044">
        <f t="shared" si="66"/>
        <v>9.6085376572987654E-4</v>
      </c>
      <c r="BX59" s="1992"/>
    </row>
    <row r="60" spans="1:76" ht="14.4" customHeight="1">
      <c r="A60" s="237"/>
      <c r="B60" s="1106" t="s">
        <v>65</v>
      </c>
      <c r="C60" s="1230">
        <v>23232</v>
      </c>
      <c r="D60" s="1231"/>
      <c r="E60" s="1232">
        <f t="shared" si="67"/>
        <v>23232</v>
      </c>
      <c r="F60" s="1233">
        <f t="shared" si="85"/>
        <v>9.4844868872877492E-4</v>
      </c>
      <c r="G60" s="1022">
        <v>29196</v>
      </c>
      <c r="H60" s="1022">
        <v>0</v>
      </c>
      <c r="I60" s="1178">
        <v>29196</v>
      </c>
      <c r="J60" s="1039">
        <v>1.0548833657258296E-3</v>
      </c>
      <c r="K60" s="1039"/>
      <c r="L60" s="1022">
        <v>2772.76</v>
      </c>
      <c r="M60" s="1022"/>
      <c r="N60" s="1178">
        <f t="shared" si="68"/>
        <v>2772.76</v>
      </c>
      <c r="O60" s="1233">
        <f t="shared" si="59"/>
        <v>4.5178008899185345E-3</v>
      </c>
      <c r="P60" s="1234"/>
      <c r="Q60" s="1022">
        <v>3238.52</v>
      </c>
      <c r="R60" s="1022"/>
      <c r="S60" s="1178">
        <f t="shared" si="69"/>
        <v>3238.52</v>
      </c>
      <c r="T60" s="1233">
        <f t="shared" si="70"/>
        <v>9.8231070349599856E-4</v>
      </c>
      <c r="U60" s="1234"/>
      <c r="V60" s="1022"/>
      <c r="W60" s="1022"/>
      <c r="X60" s="1178">
        <f t="shared" si="71"/>
        <v>0</v>
      </c>
      <c r="Y60" s="1233">
        <f t="shared" si="72"/>
        <v>0</v>
      </c>
      <c r="Z60" s="1234"/>
      <c r="AA60" s="1022"/>
      <c r="AB60" s="1022"/>
      <c r="AC60" s="1178">
        <f t="shared" si="73"/>
        <v>0</v>
      </c>
      <c r="AD60" s="1233" t="e">
        <f t="shared" si="86"/>
        <v>#DIV/0!</v>
      </c>
      <c r="AE60" s="1147"/>
      <c r="AF60" s="1552"/>
      <c r="AG60" s="1552"/>
      <c r="AH60" s="1480">
        <f t="shared" si="74"/>
        <v>0</v>
      </c>
      <c r="AI60" s="1651">
        <f t="shared" si="75"/>
        <v>0</v>
      </c>
      <c r="AJ60" s="1846"/>
      <c r="AK60" s="1552"/>
      <c r="AL60" s="1552"/>
      <c r="AM60" s="1480">
        <f t="shared" si="76"/>
        <v>0</v>
      </c>
      <c r="AN60" s="1540">
        <f t="shared" si="60"/>
        <v>0</v>
      </c>
      <c r="AO60" s="1632"/>
      <c r="AP60" s="1552"/>
      <c r="AQ60" s="1552"/>
      <c r="AR60" s="1480">
        <f t="shared" si="77"/>
        <v>0</v>
      </c>
      <c r="AS60" s="1540" t="e">
        <f t="shared" si="61"/>
        <v>#DIV/0!</v>
      </c>
      <c r="AT60" s="1632"/>
      <c r="AU60" s="2045"/>
      <c r="AV60" s="2045"/>
      <c r="AW60" s="2012">
        <f t="shared" si="78"/>
        <v>0</v>
      </c>
      <c r="AX60" s="2044">
        <f t="shared" si="8"/>
        <v>0</v>
      </c>
      <c r="AY60" s="1929"/>
      <c r="AZ60" s="2045"/>
      <c r="BA60" s="2045"/>
      <c r="BB60" s="2012">
        <f t="shared" si="79"/>
        <v>0</v>
      </c>
      <c r="BC60" s="2044" t="e">
        <f t="shared" si="62"/>
        <v>#DIV/0!</v>
      </c>
      <c r="BD60" s="1929"/>
      <c r="BE60" s="2045"/>
      <c r="BF60" s="2045"/>
      <c r="BG60" s="2012">
        <f t="shared" si="80"/>
        <v>0</v>
      </c>
      <c r="BH60" s="2044" t="e">
        <f t="shared" si="63"/>
        <v>#DIV/0!</v>
      </c>
      <c r="BI60" s="1929"/>
      <c r="BJ60" s="2045"/>
      <c r="BK60" s="2045"/>
      <c r="BL60" s="2012">
        <f t="shared" si="81"/>
        <v>0</v>
      </c>
      <c r="BM60" s="2044" t="e">
        <f t="shared" si="64"/>
        <v>#DIV/0!</v>
      </c>
      <c r="BN60" s="1929"/>
      <c r="BO60" s="2045"/>
      <c r="BP60" s="2045"/>
      <c r="BQ60" s="2012">
        <f t="shared" si="82"/>
        <v>0</v>
      </c>
      <c r="BR60" s="2044" t="e">
        <f t="shared" si="65"/>
        <v>#DIV/0!</v>
      </c>
      <c r="BS60" s="1929"/>
      <c r="BT60" s="2043">
        <f t="shared" si="83"/>
        <v>35207.279999999999</v>
      </c>
      <c r="BU60" s="2043">
        <f t="shared" si="83"/>
        <v>0</v>
      </c>
      <c r="BV60" s="2012">
        <f t="shared" si="84"/>
        <v>35207.279999999999</v>
      </c>
      <c r="BW60" s="2044">
        <f t="shared" si="66"/>
        <v>1.0717485888068713E-3</v>
      </c>
      <c r="BX60" s="1992"/>
    </row>
    <row r="61" spans="1:76" ht="14.4" customHeight="1">
      <c r="A61" s="237"/>
      <c r="B61" s="1106" t="s">
        <v>32</v>
      </c>
      <c r="C61" s="1230"/>
      <c r="D61" s="1231"/>
      <c r="E61" s="1232">
        <f t="shared" si="67"/>
        <v>0</v>
      </c>
      <c r="F61" s="1233">
        <f t="shared" si="85"/>
        <v>0</v>
      </c>
      <c r="G61" s="1022">
        <v>0</v>
      </c>
      <c r="H61" s="1022">
        <v>0</v>
      </c>
      <c r="I61" s="1178">
        <v>0</v>
      </c>
      <c r="J61" s="1039">
        <v>0</v>
      </c>
      <c r="K61" s="1039"/>
      <c r="L61" s="1022"/>
      <c r="M61" s="1022"/>
      <c r="N61" s="1178">
        <f t="shared" si="68"/>
        <v>0</v>
      </c>
      <c r="O61" s="1233">
        <f t="shared" si="59"/>
        <v>0</v>
      </c>
      <c r="P61" s="1234"/>
      <c r="Q61" s="1022"/>
      <c r="R61" s="1022"/>
      <c r="S61" s="1178">
        <f t="shared" si="69"/>
        <v>0</v>
      </c>
      <c r="T61" s="1233">
        <f t="shared" si="70"/>
        <v>0</v>
      </c>
      <c r="U61" s="1234"/>
      <c r="V61" s="1022"/>
      <c r="W61" s="1022"/>
      <c r="X61" s="1178">
        <f t="shared" si="71"/>
        <v>0</v>
      </c>
      <c r="Y61" s="1233">
        <f t="shared" si="72"/>
        <v>0</v>
      </c>
      <c r="Z61" s="1234"/>
      <c r="AA61" s="1022"/>
      <c r="AB61" s="1022"/>
      <c r="AC61" s="1178">
        <f t="shared" si="73"/>
        <v>0</v>
      </c>
      <c r="AD61" s="1233" t="e">
        <f t="shared" si="86"/>
        <v>#DIV/0!</v>
      </c>
      <c r="AE61" s="1147"/>
      <c r="AF61" s="1552"/>
      <c r="AG61" s="1552"/>
      <c r="AH61" s="1480">
        <f t="shared" si="74"/>
        <v>0</v>
      </c>
      <c r="AI61" s="1651">
        <f t="shared" si="75"/>
        <v>0</v>
      </c>
      <c r="AJ61" s="1846"/>
      <c r="AK61" s="1552"/>
      <c r="AL61" s="1552"/>
      <c r="AM61" s="1480">
        <f t="shared" si="76"/>
        <v>0</v>
      </c>
      <c r="AN61" s="1540">
        <f t="shared" si="60"/>
        <v>0</v>
      </c>
      <c r="AO61" s="1632"/>
      <c r="AP61" s="1552"/>
      <c r="AQ61" s="1552"/>
      <c r="AR61" s="1480">
        <f t="shared" si="77"/>
        <v>0</v>
      </c>
      <c r="AS61" s="1540" t="e">
        <f t="shared" si="61"/>
        <v>#DIV/0!</v>
      </c>
      <c r="AT61" s="1632"/>
      <c r="AU61" s="2045"/>
      <c r="AV61" s="2045"/>
      <c r="AW61" s="2012">
        <f t="shared" si="78"/>
        <v>0</v>
      </c>
      <c r="AX61" s="2044">
        <f t="shared" si="8"/>
        <v>0</v>
      </c>
      <c r="AY61" s="1929"/>
      <c r="AZ61" s="2045"/>
      <c r="BA61" s="2045"/>
      <c r="BB61" s="2012">
        <f t="shared" si="79"/>
        <v>0</v>
      </c>
      <c r="BC61" s="2044" t="e">
        <f t="shared" si="62"/>
        <v>#DIV/0!</v>
      </c>
      <c r="BD61" s="1929"/>
      <c r="BE61" s="2045"/>
      <c r="BF61" s="2045"/>
      <c r="BG61" s="2012">
        <f t="shared" si="80"/>
        <v>0</v>
      </c>
      <c r="BH61" s="2044" t="e">
        <f t="shared" si="63"/>
        <v>#DIV/0!</v>
      </c>
      <c r="BI61" s="1929"/>
      <c r="BJ61" s="2045"/>
      <c r="BK61" s="2045"/>
      <c r="BL61" s="2012">
        <f t="shared" si="81"/>
        <v>0</v>
      </c>
      <c r="BM61" s="2044" t="e">
        <f t="shared" si="64"/>
        <v>#DIV/0!</v>
      </c>
      <c r="BN61" s="1929"/>
      <c r="BO61" s="2045"/>
      <c r="BP61" s="2045"/>
      <c r="BQ61" s="2012">
        <f t="shared" si="82"/>
        <v>0</v>
      </c>
      <c r="BR61" s="2044" t="e">
        <f t="shared" si="65"/>
        <v>#DIV/0!</v>
      </c>
      <c r="BS61" s="1929"/>
      <c r="BT61" s="2043">
        <f t="shared" si="83"/>
        <v>0</v>
      </c>
      <c r="BU61" s="2043">
        <f t="shared" si="83"/>
        <v>0</v>
      </c>
      <c r="BV61" s="2012">
        <f t="shared" si="84"/>
        <v>0</v>
      </c>
      <c r="BW61" s="2044">
        <f t="shared" si="66"/>
        <v>0</v>
      </c>
      <c r="BX61" s="1992"/>
    </row>
    <row r="62" spans="1:76" ht="14.4" customHeight="1">
      <c r="A62" s="237"/>
      <c r="B62" s="1225" t="s">
        <v>33</v>
      </c>
      <c r="C62" s="1230"/>
      <c r="D62" s="1231"/>
      <c r="E62" s="1232">
        <f t="shared" si="67"/>
        <v>0</v>
      </c>
      <c r="F62" s="1233">
        <f t="shared" si="85"/>
        <v>0</v>
      </c>
      <c r="G62" s="1022">
        <v>0</v>
      </c>
      <c r="H62" s="1022">
        <v>0</v>
      </c>
      <c r="I62" s="1178">
        <v>0</v>
      </c>
      <c r="J62" s="1039">
        <v>0</v>
      </c>
      <c r="K62" s="1039"/>
      <c r="L62" s="1022"/>
      <c r="M62" s="1022"/>
      <c r="N62" s="1178">
        <f t="shared" si="68"/>
        <v>0</v>
      </c>
      <c r="O62" s="1233">
        <f t="shared" si="59"/>
        <v>0</v>
      </c>
      <c r="P62" s="1234"/>
      <c r="Q62" s="1022"/>
      <c r="R62" s="1022"/>
      <c r="S62" s="1178">
        <f t="shared" si="69"/>
        <v>0</v>
      </c>
      <c r="T62" s="1233">
        <f t="shared" si="70"/>
        <v>0</v>
      </c>
      <c r="U62" s="1234"/>
      <c r="V62" s="1022"/>
      <c r="W62" s="1022"/>
      <c r="X62" s="1178">
        <f t="shared" si="71"/>
        <v>0</v>
      </c>
      <c r="Y62" s="1233">
        <f t="shared" si="72"/>
        <v>0</v>
      </c>
      <c r="Z62" s="1234"/>
      <c r="AA62" s="1022"/>
      <c r="AB62" s="1022"/>
      <c r="AC62" s="1178">
        <f t="shared" si="73"/>
        <v>0</v>
      </c>
      <c r="AD62" s="1233" t="e">
        <f t="shared" si="86"/>
        <v>#DIV/0!</v>
      </c>
      <c r="AE62" s="1147"/>
      <c r="AF62" s="1552"/>
      <c r="AG62" s="1552"/>
      <c r="AH62" s="1480">
        <f t="shared" si="74"/>
        <v>0</v>
      </c>
      <c r="AI62" s="1651">
        <f t="shared" si="75"/>
        <v>0</v>
      </c>
      <c r="AJ62" s="1846"/>
      <c r="AK62" s="1552"/>
      <c r="AL62" s="1552"/>
      <c r="AM62" s="1480">
        <f t="shared" si="76"/>
        <v>0</v>
      </c>
      <c r="AN62" s="1540">
        <f t="shared" si="60"/>
        <v>0</v>
      </c>
      <c r="AO62" s="1632"/>
      <c r="AP62" s="1552"/>
      <c r="AQ62" s="1552"/>
      <c r="AR62" s="1480">
        <f t="shared" si="77"/>
        <v>0</v>
      </c>
      <c r="AS62" s="1540" t="e">
        <f t="shared" si="61"/>
        <v>#DIV/0!</v>
      </c>
      <c r="AT62" s="1632"/>
      <c r="AU62" s="2045"/>
      <c r="AV62" s="2045"/>
      <c r="AW62" s="2012">
        <f t="shared" si="78"/>
        <v>0</v>
      </c>
      <c r="AX62" s="2044">
        <f t="shared" si="8"/>
        <v>0</v>
      </c>
      <c r="AY62" s="1929"/>
      <c r="AZ62" s="2045"/>
      <c r="BA62" s="2045"/>
      <c r="BB62" s="2012">
        <f t="shared" si="79"/>
        <v>0</v>
      </c>
      <c r="BC62" s="2044" t="e">
        <f t="shared" si="62"/>
        <v>#DIV/0!</v>
      </c>
      <c r="BD62" s="1929"/>
      <c r="BE62" s="2045"/>
      <c r="BF62" s="2045"/>
      <c r="BG62" s="2012">
        <f t="shared" si="80"/>
        <v>0</v>
      </c>
      <c r="BH62" s="2044" t="e">
        <f t="shared" si="63"/>
        <v>#DIV/0!</v>
      </c>
      <c r="BI62" s="1929"/>
      <c r="BJ62" s="2045"/>
      <c r="BK62" s="2045"/>
      <c r="BL62" s="2012">
        <f t="shared" si="81"/>
        <v>0</v>
      </c>
      <c r="BM62" s="2044" t="e">
        <f t="shared" si="64"/>
        <v>#DIV/0!</v>
      </c>
      <c r="BN62" s="1929"/>
      <c r="BO62" s="2045"/>
      <c r="BP62" s="2045"/>
      <c r="BQ62" s="2012">
        <f t="shared" si="82"/>
        <v>0</v>
      </c>
      <c r="BR62" s="2044" t="e">
        <f t="shared" si="65"/>
        <v>#DIV/0!</v>
      </c>
      <c r="BS62" s="1929"/>
      <c r="BT62" s="2043">
        <f t="shared" si="83"/>
        <v>0</v>
      </c>
      <c r="BU62" s="2043">
        <f t="shared" si="83"/>
        <v>0</v>
      </c>
      <c r="BV62" s="2012">
        <f t="shared" si="84"/>
        <v>0</v>
      </c>
      <c r="BW62" s="2044">
        <f t="shared" si="66"/>
        <v>0</v>
      </c>
      <c r="BX62" s="1992"/>
    </row>
    <row r="63" spans="1:76" ht="14.4" customHeight="1">
      <c r="A63" s="237"/>
      <c r="B63" s="1225" t="s">
        <v>35</v>
      </c>
      <c r="C63" s="1230">
        <v>53294</v>
      </c>
      <c r="D63" s="1231"/>
      <c r="E63" s="1232">
        <f t="shared" si="67"/>
        <v>53294</v>
      </c>
      <c r="F63" s="1233">
        <f t="shared" si="85"/>
        <v>2.1757328003233181E-3</v>
      </c>
      <c r="G63" s="1022">
        <v>67264.3</v>
      </c>
      <c r="H63" s="1022">
        <v>10007.189999999999</v>
      </c>
      <c r="I63" s="1178">
        <v>77271.490000000005</v>
      </c>
      <c r="J63" s="1039">
        <v>2.791903323943341E-3</v>
      </c>
      <c r="K63" s="1039"/>
      <c r="L63" s="1176">
        <f>4061.81+930.18</f>
        <v>4991.99</v>
      </c>
      <c r="M63" s="1022"/>
      <c r="N63" s="1178">
        <f t="shared" si="68"/>
        <v>4991.99</v>
      </c>
      <c r="O63" s="1233">
        <f t="shared" si="59"/>
        <v>8.1337067991692109E-3</v>
      </c>
      <c r="P63" s="1059" t="s">
        <v>989</v>
      </c>
      <c r="Q63" s="1176">
        <f>8020.89+19417</f>
        <v>27437.89</v>
      </c>
      <c r="R63" s="1022"/>
      <c r="S63" s="1178">
        <f t="shared" si="69"/>
        <v>27437.89</v>
      </c>
      <c r="T63" s="1233">
        <f t="shared" si="70"/>
        <v>8.3224846622363992E-3</v>
      </c>
      <c r="U63" s="1280" t="s">
        <v>1047</v>
      </c>
      <c r="V63" s="1176"/>
      <c r="W63" s="1022"/>
      <c r="X63" s="1178">
        <f t="shared" si="71"/>
        <v>0</v>
      </c>
      <c r="Y63" s="1233">
        <f t="shared" si="72"/>
        <v>0</v>
      </c>
      <c r="Z63" s="1234"/>
      <c r="AA63" s="1176"/>
      <c r="AB63" s="1022"/>
      <c r="AC63" s="1178">
        <f t="shared" si="73"/>
        <v>0</v>
      </c>
      <c r="AD63" s="1233" t="e">
        <f t="shared" si="86"/>
        <v>#DIV/0!</v>
      </c>
      <c r="AE63" s="1147"/>
      <c r="AF63" s="1432"/>
      <c r="AG63" s="1552"/>
      <c r="AH63" s="1480">
        <f t="shared" si="74"/>
        <v>0</v>
      </c>
      <c r="AI63" s="1651">
        <f t="shared" si="75"/>
        <v>0</v>
      </c>
      <c r="AJ63" s="1846"/>
      <c r="AK63" s="1432"/>
      <c r="AL63" s="1552"/>
      <c r="AM63" s="1480">
        <f t="shared" si="76"/>
        <v>0</v>
      </c>
      <c r="AN63" s="1540">
        <f t="shared" si="60"/>
        <v>0</v>
      </c>
      <c r="AO63" s="1632"/>
      <c r="AP63" s="1432"/>
      <c r="AQ63" s="1552"/>
      <c r="AR63" s="1480">
        <f t="shared" si="77"/>
        <v>0</v>
      </c>
      <c r="AS63" s="1540" t="e">
        <f t="shared" si="61"/>
        <v>#DIV/0!</v>
      </c>
      <c r="AT63" s="1632"/>
      <c r="AU63" s="2043"/>
      <c r="AV63" s="2045"/>
      <c r="AW63" s="2012">
        <f t="shared" si="78"/>
        <v>0</v>
      </c>
      <c r="AX63" s="2044">
        <f t="shared" si="8"/>
        <v>0</v>
      </c>
      <c r="AY63" s="1929"/>
      <c r="AZ63" s="2043"/>
      <c r="BA63" s="2045"/>
      <c r="BB63" s="2012">
        <f t="shared" si="79"/>
        <v>0</v>
      </c>
      <c r="BC63" s="2044" t="e">
        <f t="shared" si="62"/>
        <v>#DIV/0!</v>
      </c>
      <c r="BD63" s="1929"/>
      <c r="BE63" s="2043"/>
      <c r="BF63" s="2045"/>
      <c r="BG63" s="2012">
        <f t="shared" si="80"/>
        <v>0</v>
      </c>
      <c r="BH63" s="2044" t="e">
        <f t="shared" si="63"/>
        <v>#DIV/0!</v>
      </c>
      <c r="BI63" s="1929"/>
      <c r="BJ63" s="2043"/>
      <c r="BK63" s="2045"/>
      <c r="BL63" s="2012">
        <f t="shared" si="81"/>
        <v>0</v>
      </c>
      <c r="BM63" s="2044" t="e">
        <f t="shared" si="64"/>
        <v>#DIV/0!</v>
      </c>
      <c r="BN63" s="1929"/>
      <c r="BO63" s="2043"/>
      <c r="BP63" s="2045"/>
      <c r="BQ63" s="2012">
        <f t="shared" si="82"/>
        <v>0</v>
      </c>
      <c r="BR63" s="2044" t="e">
        <f t="shared" si="65"/>
        <v>#DIV/0!</v>
      </c>
      <c r="BS63" s="1929"/>
      <c r="BT63" s="2043">
        <f t="shared" si="83"/>
        <v>99694.180000000008</v>
      </c>
      <c r="BU63" s="2043">
        <f t="shared" si="83"/>
        <v>10007.189999999999</v>
      </c>
      <c r="BV63" s="2012">
        <f t="shared" si="84"/>
        <v>109701.37000000001</v>
      </c>
      <c r="BW63" s="2044">
        <f t="shared" si="66"/>
        <v>3.3394311769520527E-3</v>
      </c>
      <c r="BX63" s="1992"/>
    </row>
    <row r="64" spans="1:76" ht="14.4" customHeight="1">
      <c r="A64" s="237"/>
      <c r="B64" s="1225" t="s">
        <v>63</v>
      </c>
      <c r="C64" s="1230"/>
      <c r="D64" s="1231"/>
      <c r="E64" s="1232">
        <f t="shared" si="67"/>
        <v>0</v>
      </c>
      <c r="F64" s="1233">
        <f t="shared" si="85"/>
        <v>0</v>
      </c>
      <c r="G64" s="1022">
        <v>0</v>
      </c>
      <c r="H64" s="1022">
        <v>0</v>
      </c>
      <c r="I64" s="1178">
        <v>0</v>
      </c>
      <c r="J64" s="1039">
        <v>0</v>
      </c>
      <c r="K64" s="1039"/>
      <c r="L64" s="1022"/>
      <c r="M64" s="1022"/>
      <c r="N64" s="1178">
        <f t="shared" si="68"/>
        <v>0</v>
      </c>
      <c r="O64" s="1233">
        <f t="shared" si="59"/>
        <v>0</v>
      </c>
      <c r="P64" s="1234"/>
      <c r="Q64" s="1022"/>
      <c r="R64" s="1022"/>
      <c r="S64" s="1178">
        <f t="shared" si="69"/>
        <v>0</v>
      </c>
      <c r="T64" s="1233">
        <f t="shared" si="70"/>
        <v>0</v>
      </c>
      <c r="U64" s="1234"/>
      <c r="V64" s="1022"/>
      <c r="W64" s="1022"/>
      <c r="X64" s="1178">
        <f t="shared" si="71"/>
        <v>0</v>
      </c>
      <c r="Y64" s="1233">
        <f t="shared" si="72"/>
        <v>0</v>
      </c>
      <c r="Z64" s="1234"/>
      <c r="AA64" s="1022"/>
      <c r="AB64" s="1022"/>
      <c r="AC64" s="1178">
        <f t="shared" si="73"/>
        <v>0</v>
      </c>
      <c r="AD64" s="1233" t="e">
        <f t="shared" si="86"/>
        <v>#DIV/0!</v>
      </c>
      <c r="AE64" s="1147"/>
      <c r="AF64" s="1552"/>
      <c r="AG64" s="1552"/>
      <c r="AH64" s="1480">
        <f t="shared" si="74"/>
        <v>0</v>
      </c>
      <c r="AI64" s="1651">
        <f t="shared" si="75"/>
        <v>0</v>
      </c>
      <c r="AJ64" s="1846"/>
      <c r="AK64" s="1552"/>
      <c r="AL64" s="1552"/>
      <c r="AM64" s="1480">
        <f t="shared" si="76"/>
        <v>0</v>
      </c>
      <c r="AN64" s="1540">
        <f t="shared" si="60"/>
        <v>0</v>
      </c>
      <c r="AO64" s="1632"/>
      <c r="AP64" s="1552"/>
      <c r="AQ64" s="1552"/>
      <c r="AR64" s="1480">
        <f t="shared" si="77"/>
        <v>0</v>
      </c>
      <c r="AS64" s="1540" t="e">
        <f t="shared" si="61"/>
        <v>#DIV/0!</v>
      </c>
      <c r="AT64" s="1632"/>
      <c r="AU64" s="2045"/>
      <c r="AV64" s="2045"/>
      <c r="AW64" s="2012">
        <f t="shared" si="78"/>
        <v>0</v>
      </c>
      <c r="AX64" s="2044">
        <f t="shared" si="8"/>
        <v>0</v>
      </c>
      <c r="AY64" s="1929"/>
      <c r="AZ64" s="2045"/>
      <c r="BA64" s="2045"/>
      <c r="BB64" s="2012">
        <f t="shared" si="79"/>
        <v>0</v>
      </c>
      <c r="BC64" s="2044" t="e">
        <f t="shared" si="62"/>
        <v>#DIV/0!</v>
      </c>
      <c r="BD64" s="1929"/>
      <c r="BE64" s="2045"/>
      <c r="BF64" s="2045"/>
      <c r="BG64" s="2012">
        <f t="shared" si="80"/>
        <v>0</v>
      </c>
      <c r="BH64" s="2044" t="e">
        <f t="shared" si="63"/>
        <v>#DIV/0!</v>
      </c>
      <c r="BI64" s="1929"/>
      <c r="BJ64" s="2045"/>
      <c r="BK64" s="2045"/>
      <c r="BL64" s="2012">
        <f t="shared" si="81"/>
        <v>0</v>
      </c>
      <c r="BM64" s="2044" t="e">
        <f t="shared" si="64"/>
        <v>#DIV/0!</v>
      </c>
      <c r="BN64" s="1929"/>
      <c r="BO64" s="2045"/>
      <c r="BP64" s="2045"/>
      <c r="BQ64" s="2012">
        <f t="shared" si="82"/>
        <v>0</v>
      </c>
      <c r="BR64" s="2044" t="e">
        <f t="shared" si="65"/>
        <v>#DIV/0!</v>
      </c>
      <c r="BS64" s="1929"/>
      <c r="BT64" s="2043">
        <f t="shared" si="83"/>
        <v>0</v>
      </c>
      <c r="BU64" s="2043">
        <f t="shared" si="83"/>
        <v>0</v>
      </c>
      <c r="BV64" s="2012">
        <f t="shared" si="84"/>
        <v>0</v>
      </c>
      <c r="BW64" s="2044">
        <f t="shared" si="66"/>
        <v>0</v>
      </c>
      <c r="BX64" s="1992"/>
    </row>
    <row r="65" spans="1:76" ht="14.4" customHeight="1">
      <c r="A65" s="237"/>
      <c r="B65" s="1225" t="s">
        <v>36</v>
      </c>
      <c r="C65" s="1230"/>
      <c r="D65" s="1231"/>
      <c r="E65" s="1232">
        <f t="shared" si="67"/>
        <v>0</v>
      </c>
      <c r="F65" s="1233">
        <f t="shared" si="85"/>
        <v>0</v>
      </c>
      <c r="G65" s="1176">
        <v>31028.52</v>
      </c>
      <c r="H65" s="1176">
        <v>13903</v>
      </c>
      <c r="I65" s="1178">
        <v>44931.520000000004</v>
      </c>
      <c r="J65" s="1039">
        <v>1.6234248885045016E-3</v>
      </c>
      <c r="K65" s="1039"/>
      <c r="L65" s="1176">
        <f>2400+800</f>
        <v>3200</v>
      </c>
      <c r="M65" s="1176"/>
      <c r="N65" s="1178">
        <f t="shared" si="68"/>
        <v>3200</v>
      </c>
      <c r="O65" s="1233">
        <f>N65/$N$89</f>
        <v>5.2139250594134762E-3</v>
      </c>
      <c r="P65" s="1280" t="s">
        <v>990</v>
      </c>
      <c r="Q65" s="1176">
        <f>5697.5+1000</f>
        <v>6697.5</v>
      </c>
      <c r="R65" s="1176"/>
      <c r="S65" s="1178">
        <f t="shared" si="69"/>
        <v>6697.5</v>
      </c>
      <c r="T65" s="1233">
        <f t="shared" si="70"/>
        <v>2.0314915259638509E-3</v>
      </c>
      <c r="U65" s="1280" t="s">
        <v>1014</v>
      </c>
      <c r="V65" s="1176"/>
      <c r="W65" s="1176"/>
      <c r="X65" s="1178">
        <f t="shared" si="71"/>
        <v>0</v>
      </c>
      <c r="Y65" s="1233">
        <f t="shared" si="72"/>
        <v>0</v>
      </c>
      <c r="Z65" s="1300"/>
      <c r="AA65" s="1176"/>
      <c r="AB65" s="1176"/>
      <c r="AC65" s="1178">
        <f t="shared" si="73"/>
        <v>0</v>
      </c>
      <c r="AD65" s="1233" t="e">
        <f t="shared" si="86"/>
        <v>#DIV/0!</v>
      </c>
      <c r="AE65" s="1147"/>
      <c r="AF65" s="1432"/>
      <c r="AG65" s="1432"/>
      <c r="AH65" s="1480">
        <f t="shared" si="74"/>
        <v>0</v>
      </c>
      <c r="AI65" s="1651">
        <f t="shared" si="75"/>
        <v>0</v>
      </c>
      <c r="AJ65" s="1846"/>
      <c r="AK65" s="1432"/>
      <c r="AL65" s="1432"/>
      <c r="AM65" s="1480">
        <f t="shared" si="76"/>
        <v>0</v>
      </c>
      <c r="AN65" s="1540">
        <f t="shared" si="60"/>
        <v>0</v>
      </c>
      <c r="AO65" s="1632"/>
      <c r="AP65" s="1432"/>
      <c r="AQ65" s="1432"/>
      <c r="AR65" s="1480">
        <f t="shared" si="77"/>
        <v>0</v>
      </c>
      <c r="AS65" s="1540" t="e">
        <f t="shared" si="61"/>
        <v>#DIV/0!</v>
      </c>
      <c r="AT65" s="1632"/>
      <c r="AU65" s="2043"/>
      <c r="AV65" s="2043"/>
      <c r="AW65" s="2012">
        <f t="shared" si="78"/>
        <v>0</v>
      </c>
      <c r="AX65" s="2044">
        <f t="shared" si="8"/>
        <v>0</v>
      </c>
      <c r="AY65" s="1929"/>
      <c r="AZ65" s="2043"/>
      <c r="BA65" s="2043"/>
      <c r="BB65" s="2012">
        <f t="shared" si="79"/>
        <v>0</v>
      </c>
      <c r="BC65" s="2044" t="e">
        <f t="shared" si="62"/>
        <v>#DIV/0!</v>
      </c>
      <c r="BD65" s="1929" t="s">
        <v>1285</v>
      </c>
      <c r="BE65" s="2043"/>
      <c r="BF65" s="2045"/>
      <c r="BG65" s="2012">
        <f t="shared" si="80"/>
        <v>0</v>
      </c>
      <c r="BH65" s="2044" t="e">
        <f t="shared" si="63"/>
        <v>#DIV/0!</v>
      </c>
      <c r="BI65" s="1929"/>
      <c r="BJ65" s="2043"/>
      <c r="BK65" s="2045"/>
      <c r="BL65" s="2012">
        <f t="shared" si="81"/>
        <v>0</v>
      </c>
      <c r="BM65" s="2044" t="e">
        <f t="shared" si="64"/>
        <v>#DIV/0!</v>
      </c>
      <c r="BN65" s="1929"/>
      <c r="BO65" s="2043"/>
      <c r="BP65" s="2045"/>
      <c r="BQ65" s="2012">
        <f t="shared" si="82"/>
        <v>0</v>
      </c>
      <c r="BR65" s="2044" t="e">
        <f t="shared" si="65"/>
        <v>#DIV/0!</v>
      </c>
      <c r="BS65" s="1929"/>
      <c r="BT65" s="2043">
        <f t="shared" si="83"/>
        <v>40926.020000000004</v>
      </c>
      <c r="BU65" s="2043">
        <f t="shared" si="83"/>
        <v>13903</v>
      </c>
      <c r="BV65" s="2012">
        <f t="shared" si="84"/>
        <v>54829.020000000004</v>
      </c>
      <c r="BW65" s="2044">
        <f t="shared" si="66"/>
        <v>1.6690560818860114E-3</v>
      </c>
      <c r="BX65" s="1992"/>
    </row>
    <row r="66" spans="1:76" s="2" customFormat="1" ht="14.4" customHeight="1">
      <c r="A66" s="237"/>
      <c r="B66" s="1225" t="s">
        <v>37</v>
      </c>
      <c r="C66" s="1230"/>
      <c r="D66" s="1231"/>
      <c r="E66" s="1232">
        <f t="shared" si="67"/>
        <v>0</v>
      </c>
      <c r="F66" s="1233">
        <f t="shared" si="85"/>
        <v>0</v>
      </c>
      <c r="G66" s="1176">
        <v>0</v>
      </c>
      <c r="H66" s="1176">
        <v>0</v>
      </c>
      <c r="I66" s="1178">
        <v>0</v>
      </c>
      <c r="J66" s="1039">
        <v>0</v>
      </c>
      <c r="K66" s="1039"/>
      <c r="L66" s="1176"/>
      <c r="M66" s="1176"/>
      <c r="N66" s="1178">
        <f t="shared" si="68"/>
        <v>0</v>
      </c>
      <c r="O66" s="1233">
        <f t="shared" si="59"/>
        <v>0</v>
      </c>
      <c r="P66" s="1234"/>
      <c r="Q66" s="1176"/>
      <c r="R66" s="1176"/>
      <c r="S66" s="1178">
        <f t="shared" si="69"/>
        <v>0</v>
      </c>
      <c r="T66" s="1233">
        <f t="shared" si="70"/>
        <v>0</v>
      </c>
      <c r="U66" s="1234"/>
      <c r="V66" s="1176"/>
      <c r="W66" s="1176"/>
      <c r="X66" s="1178">
        <f t="shared" si="71"/>
        <v>0</v>
      </c>
      <c r="Y66" s="1233">
        <f t="shared" si="72"/>
        <v>0</v>
      </c>
      <c r="Z66" s="1234"/>
      <c r="AA66" s="1176"/>
      <c r="AB66" s="1176"/>
      <c r="AC66" s="1178">
        <f t="shared" si="73"/>
        <v>0</v>
      </c>
      <c r="AD66" s="1233" t="e">
        <f t="shared" si="86"/>
        <v>#DIV/0!</v>
      </c>
      <c r="AE66" s="1147"/>
      <c r="AF66" s="1432"/>
      <c r="AG66" s="1432"/>
      <c r="AH66" s="1480">
        <f t="shared" si="74"/>
        <v>0</v>
      </c>
      <c r="AI66" s="1651">
        <f t="shared" si="75"/>
        <v>0</v>
      </c>
      <c r="AJ66" s="1846"/>
      <c r="AK66" s="1432"/>
      <c r="AL66" s="1432"/>
      <c r="AM66" s="1480">
        <f t="shared" si="76"/>
        <v>0</v>
      </c>
      <c r="AN66" s="1540">
        <f t="shared" si="60"/>
        <v>0</v>
      </c>
      <c r="AO66" s="1632"/>
      <c r="AP66" s="1432"/>
      <c r="AQ66" s="1432"/>
      <c r="AR66" s="1480">
        <f t="shared" si="77"/>
        <v>0</v>
      </c>
      <c r="AS66" s="1540" t="e">
        <f t="shared" si="61"/>
        <v>#DIV/0!</v>
      </c>
      <c r="AT66" s="1632"/>
      <c r="AU66" s="2043"/>
      <c r="AV66" s="2043"/>
      <c r="AW66" s="2012">
        <f t="shared" si="78"/>
        <v>0</v>
      </c>
      <c r="AX66" s="2044">
        <f t="shared" si="8"/>
        <v>0</v>
      </c>
      <c r="AY66" s="1929"/>
      <c r="AZ66" s="2043"/>
      <c r="BA66" s="2043"/>
      <c r="BB66" s="2012">
        <f t="shared" si="79"/>
        <v>0</v>
      </c>
      <c r="BC66" s="2044" t="e">
        <f t="shared" si="62"/>
        <v>#DIV/0!</v>
      </c>
      <c r="BD66" s="1929"/>
      <c r="BE66" s="2043"/>
      <c r="BF66" s="2043"/>
      <c r="BG66" s="2012">
        <f t="shared" si="80"/>
        <v>0</v>
      </c>
      <c r="BH66" s="2044" t="e">
        <f t="shared" si="63"/>
        <v>#DIV/0!</v>
      </c>
      <c r="BI66" s="1929"/>
      <c r="BJ66" s="2043"/>
      <c r="BK66" s="2043"/>
      <c r="BL66" s="2012">
        <f t="shared" si="81"/>
        <v>0</v>
      </c>
      <c r="BM66" s="2044" t="e">
        <f t="shared" si="64"/>
        <v>#DIV/0!</v>
      </c>
      <c r="BN66" s="1929"/>
      <c r="BO66" s="2043"/>
      <c r="BP66" s="2043"/>
      <c r="BQ66" s="2012">
        <f t="shared" si="82"/>
        <v>0</v>
      </c>
      <c r="BR66" s="2044" t="e">
        <f t="shared" si="65"/>
        <v>#DIV/0!</v>
      </c>
      <c r="BS66" s="1929"/>
      <c r="BT66" s="2043">
        <f t="shared" si="83"/>
        <v>0</v>
      </c>
      <c r="BU66" s="2043">
        <f t="shared" si="83"/>
        <v>0</v>
      </c>
      <c r="BV66" s="2012">
        <f t="shared" si="84"/>
        <v>0</v>
      </c>
      <c r="BW66" s="2044">
        <f t="shared" si="66"/>
        <v>0</v>
      </c>
      <c r="BX66" s="1992"/>
    </row>
    <row r="67" spans="1:76" s="2" customFormat="1" ht="14.4" customHeight="1">
      <c r="A67" s="237"/>
      <c r="B67" s="1225" t="s">
        <v>3</v>
      </c>
      <c r="C67" s="1230"/>
      <c r="D67" s="1231"/>
      <c r="E67" s="1232">
        <f t="shared" si="67"/>
        <v>0</v>
      </c>
      <c r="F67" s="1233">
        <f t="shared" si="85"/>
        <v>0</v>
      </c>
      <c r="G67" s="1176">
        <v>0</v>
      </c>
      <c r="H67" s="1176">
        <v>2100</v>
      </c>
      <c r="I67" s="1178">
        <v>2100</v>
      </c>
      <c r="J67" s="1039">
        <v>7.5875293465688519E-5</v>
      </c>
      <c r="K67" s="1039"/>
      <c r="L67" s="1176"/>
      <c r="M67" s="1176">
        <v>300</v>
      </c>
      <c r="N67" s="1178">
        <f t="shared" si="68"/>
        <v>300</v>
      </c>
      <c r="O67" s="1233">
        <f t="shared" si="59"/>
        <v>4.8880547432001342E-4</v>
      </c>
      <c r="P67" s="1234" t="s">
        <v>988</v>
      </c>
      <c r="Q67" s="1176"/>
      <c r="R67" s="1176">
        <v>400</v>
      </c>
      <c r="S67" s="1178">
        <f t="shared" si="69"/>
        <v>400</v>
      </c>
      <c r="T67" s="1233">
        <f t="shared" si="70"/>
        <v>1.2132834794856892E-4</v>
      </c>
      <c r="U67" s="1234" t="s">
        <v>1015</v>
      </c>
      <c r="V67" s="1176"/>
      <c r="W67" s="1176"/>
      <c r="X67" s="1178">
        <f t="shared" si="71"/>
        <v>0</v>
      </c>
      <c r="Y67" s="1233">
        <f t="shared" si="72"/>
        <v>0</v>
      </c>
      <c r="Z67" s="1234"/>
      <c r="AA67" s="1176"/>
      <c r="AB67" s="1176"/>
      <c r="AC67" s="1178">
        <f t="shared" si="73"/>
        <v>0</v>
      </c>
      <c r="AD67" s="1233" t="e">
        <f t="shared" si="86"/>
        <v>#DIV/0!</v>
      </c>
      <c r="AE67" s="1147"/>
      <c r="AF67" s="1432"/>
      <c r="AG67" s="1432"/>
      <c r="AH67" s="1480">
        <f t="shared" si="74"/>
        <v>0</v>
      </c>
      <c r="AI67" s="1651">
        <f t="shared" si="75"/>
        <v>0</v>
      </c>
      <c r="AJ67" s="1846"/>
      <c r="AK67" s="1432"/>
      <c r="AL67" s="1432"/>
      <c r="AM67" s="1480">
        <f t="shared" si="76"/>
        <v>0</v>
      </c>
      <c r="AN67" s="1540">
        <f t="shared" si="60"/>
        <v>0</v>
      </c>
      <c r="AO67" s="1632"/>
      <c r="AP67" s="1432"/>
      <c r="AQ67" s="1432"/>
      <c r="AR67" s="1480">
        <f t="shared" si="77"/>
        <v>0</v>
      </c>
      <c r="AS67" s="1540" t="e">
        <f t="shared" si="61"/>
        <v>#DIV/0!</v>
      </c>
      <c r="AT67" s="1632"/>
      <c r="AU67" s="2043"/>
      <c r="AV67" s="2043"/>
      <c r="AW67" s="2012">
        <f t="shared" si="78"/>
        <v>0</v>
      </c>
      <c r="AX67" s="2044">
        <f t="shared" si="8"/>
        <v>0</v>
      </c>
      <c r="AY67" s="1929"/>
      <c r="AZ67" s="2043"/>
      <c r="BA67" s="2043"/>
      <c r="BB67" s="2012">
        <f t="shared" si="79"/>
        <v>0</v>
      </c>
      <c r="BC67" s="2044" t="e">
        <f t="shared" si="62"/>
        <v>#DIV/0!</v>
      </c>
      <c r="BD67" s="1929"/>
      <c r="BE67" s="2043"/>
      <c r="BF67" s="2043"/>
      <c r="BG67" s="2012">
        <f t="shared" si="80"/>
        <v>0</v>
      </c>
      <c r="BH67" s="2044" t="e">
        <f t="shared" si="63"/>
        <v>#DIV/0!</v>
      </c>
      <c r="BI67" s="1929"/>
      <c r="BJ67" s="2043"/>
      <c r="BK67" s="2043"/>
      <c r="BL67" s="2012">
        <f t="shared" si="81"/>
        <v>0</v>
      </c>
      <c r="BM67" s="2044" t="e">
        <f t="shared" si="64"/>
        <v>#DIV/0!</v>
      </c>
      <c r="BN67" s="1929"/>
      <c r="BO67" s="2043"/>
      <c r="BP67" s="2043"/>
      <c r="BQ67" s="2012">
        <f t="shared" si="82"/>
        <v>0</v>
      </c>
      <c r="BR67" s="2044" t="e">
        <f t="shared" si="65"/>
        <v>#DIV/0!</v>
      </c>
      <c r="BS67" s="1929"/>
      <c r="BT67" s="2043">
        <f t="shared" si="83"/>
        <v>0</v>
      </c>
      <c r="BU67" s="2043">
        <f t="shared" si="83"/>
        <v>2800</v>
      </c>
      <c r="BV67" s="2012">
        <f t="shared" si="84"/>
        <v>2800</v>
      </c>
      <c r="BW67" s="2044">
        <f t="shared" si="66"/>
        <v>8.5235100486582318E-5</v>
      </c>
      <c r="BX67" s="1992"/>
    </row>
    <row r="68" spans="1:76" s="2" customFormat="1" ht="14.4" customHeight="1">
      <c r="A68" s="237"/>
      <c r="B68" s="1106" t="s">
        <v>5</v>
      </c>
      <c r="C68" s="1230"/>
      <c r="D68" s="1231">
        <v>3249.46</v>
      </c>
      <c r="E68" s="1232">
        <f t="shared" si="67"/>
        <v>3249.46</v>
      </c>
      <c r="F68" s="1233">
        <f t="shared" si="85"/>
        <v>1.326595246245095E-4</v>
      </c>
      <c r="G68" s="1176">
        <v>0</v>
      </c>
      <c r="H68" s="1176">
        <v>27308.489999999998</v>
      </c>
      <c r="I68" s="1178">
        <v>27308.489999999998</v>
      </c>
      <c r="J68" s="1039">
        <v>9.8668556802610483E-4</v>
      </c>
      <c r="K68" s="1039"/>
      <c r="L68" s="1176"/>
      <c r="M68" s="1176">
        <v>4317.21</v>
      </c>
      <c r="N68" s="1178">
        <f t="shared" si="68"/>
        <v>4317.21</v>
      </c>
      <c r="O68" s="1233">
        <f t="shared" si="59"/>
        <v>7.0342529392970164E-3</v>
      </c>
      <c r="P68" s="1234"/>
      <c r="Q68" s="1176"/>
      <c r="R68" s="1176">
        <v>4571.4799999999996</v>
      </c>
      <c r="S68" s="1178">
        <f t="shared" si="69"/>
        <v>4571.4799999999996</v>
      </c>
      <c r="T68" s="1233">
        <f t="shared" si="70"/>
        <v>1.3866252901998095E-3</v>
      </c>
      <c r="U68" s="1234"/>
      <c r="V68" s="1176"/>
      <c r="W68" s="1176">
        <v>432</v>
      </c>
      <c r="X68" s="1178">
        <f t="shared" si="71"/>
        <v>432</v>
      </c>
      <c r="Y68" s="1233">
        <f t="shared" si="72"/>
        <v>3.5560920660806152E-3</v>
      </c>
      <c r="Z68" s="1234"/>
      <c r="AA68" s="1176"/>
      <c r="AB68" s="1176"/>
      <c r="AC68" s="1178">
        <f t="shared" si="73"/>
        <v>0</v>
      </c>
      <c r="AD68" s="1233" t="e">
        <f t="shared" si="86"/>
        <v>#DIV/0!</v>
      </c>
      <c r="AE68" s="1147"/>
      <c r="AF68" s="1432"/>
      <c r="AG68" s="1432"/>
      <c r="AH68" s="1480">
        <f t="shared" si="74"/>
        <v>0</v>
      </c>
      <c r="AI68" s="1651">
        <f t="shared" si="75"/>
        <v>0</v>
      </c>
      <c r="AJ68" s="1846"/>
      <c r="AK68" s="1432"/>
      <c r="AL68" s="1432"/>
      <c r="AM68" s="1480">
        <f t="shared" si="76"/>
        <v>0</v>
      </c>
      <c r="AN68" s="1540">
        <f t="shared" si="60"/>
        <v>0</v>
      </c>
      <c r="AO68" s="1632"/>
      <c r="AP68" s="1432"/>
      <c r="AQ68" s="1432"/>
      <c r="AR68" s="1480">
        <f t="shared" si="77"/>
        <v>0</v>
      </c>
      <c r="AS68" s="1540" t="e">
        <f t="shared" si="61"/>
        <v>#DIV/0!</v>
      </c>
      <c r="AT68" s="1632"/>
      <c r="AU68" s="2043"/>
      <c r="AV68" s="2043"/>
      <c r="AW68" s="2012">
        <f t="shared" si="78"/>
        <v>0</v>
      </c>
      <c r="AX68" s="2044">
        <f t="shared" si="8"/>
        <v>0</v>
      </c>
      <c r="AY68" s="1929"/>
      <c r="AZ68" s="2043"/>
      <c r="BA68" s="2043"/>
      <c r="BB68" s="2012">
        <f t="shared" si="79"/>
        <v>0</v>
      </c>
      <c r="BC68" s="2044" t="e">
        <f t="shared" si="62"/>
        <v>#DIV/0!</v>
      </c>
      <c r="BD68" s="1929"/>
      <c r="BE68" s="2043"/>
      <c r="BF68" s="2043"/>
      <c r="BG68" s="2012">
        <f t="shared" si="80"/>
        <v>0</v>
      </c>
      <c r="BH68" s="2044" t="e">
        <f t="shared" si="63"/>
        <v>#DIV/0!</v>
      </c>
      <c r="BI68" s="1929"/>
      <c r="BJ68" s="2043"/>
      <c r="BK68" s="2043"/>
      <c r="BL68" s="2012">
        <f t="shared" si="81"/>
        <v>0</v>
      </c>
      <c r="BM68" s="2044" t="e">
        <f t="shared" si="64"/>
        <v>#DIV/0!</v>
      </c>
      <c r="BN68" s="1929"/>
      <c r="BO68" s="2043"/>
      <c r="BP68" s="2043"/>
      <c r="BQ68" s="2012">
        <f t="shared" si="82"/>
        <v>0</v>
      </c>
      <c r="BR68" s="2044" t="e">
        <f t="shared" si="65"/>
        <v>#DIV/0!</v>
      </c>
      <c r="BS68" s="1929"/>
      <c r="BT68" s="2043">
        <f t="shared" si="83"/>
        <v>0</v>
      </c>
      <c r="BU68" s="2043">
        <f t="shared" si="83"/>
        <v>36629.179999999993</v>
      </c>
      <c r="BV68" s="2012">
        <f t="shared" si="84"/>
        <v>36629.179999999993</v>
      </c>
      <c r="BW68" s="2044">
        <f t="shared" si="66"/>
        <v>1.1150327993003967E-3</v>
      </c>
      <c r="BX68" s="1992"/>
    </row>
    <row r="69" spans="1:76" s="2" customFormat="1" ht="14.4" customHeight="1">
      <c r="A69" s="237"/>
      <c r="B69" s="1106" t="s">
        <v>42</v>
      </c>
      <c r="C69" s="1230">
        <f>11100+3500</f>
        <v>14600</v>
      </c>
      <c r="D69" s="1231"/>
      <c r="E69" s="1232">
        <f t="shared" si="67"/>
        <v>14600</v>
      </c>
      <c r="F69" s="1233">
        <f t="shared" si="85"/>
        <v>5.9604643833678173E-4</v>
      </c>
      <c r="G69" s="1176">
        <v>26660</v>
      </c>
      <c r="H69" s="1176">
        <v>0</v>
      </c>
      <c r="I69" s="1178">
        <v>26660</v>
      </c>
      <c r="J69" s="1039">
        <v>9.632549160929789E-4</v>
      </c>
      <c r="K69" s="1039"/>
      <c r="L69" s="1176">
        <v>2600</v>
      </c>
      <c r="M69" s="1176"/>
      <c r="N69" s="1178">
        <f t="shared" si="68"/>
        <v>2600</v>
      </c>
      <c r="O69" s="1233">
        <f t="shared" si="59"/>
        <v>4.2363141107734491E-3</v>
      </c>
      <c r="P69" s="1234" t="s">
        <v>992</v>
      </c>
      <c r="Q69" s="1176"/>
      <c r="R69" s="1176"/>
      <c r="S69" s="1178">
        <f t="shared" si="69"/>
        <v>0</v>
      </c>
      <c r="T69" s="1233">
        <f t="shared" si="70"/>
        <v>0</v>
      </c>
      <c r="U69" s="1300"/>
      <c r="V69" s="1176"/>
      <c r="W69" s="1176"/>
      <c r="X69" s="1178">
        <f t="shared" si="71"/>
        <v>0</v>
      </c>
      <c r="Y69" s="1233">
        <f t="shared" si="72"/>
        <v>0</v>
      </c>
      <c r="Z69" s="1300"/>
      <c r="AA69" s="1176"/>
      <c r="AB69" s="1176"/>
      <c r="AC69" s="1178">
        <f t="shared" si="73"/>
        <v>0</v>
      </c>
      <c r="AD69" s="1233" t="e">
        <f t="shared" si="86"/>
        <v>#DIV/0!</v>
      </c>
      <c r="AE69" s="1147"/>
      <c r="AF69" s="1432"/>
      <c r="AG69" s="1432"/>
      <c r="AH69" s="1480">
        <f t="shared" si="74"/>
        <v>0</v>
      </c>
      <c r="AI69" s="1651">
        <f t="shared" si="75"/>
        <v>0</v>
      </c>
      <c r="AJ69" s="1846"/>
      <c r="AK69" s="1432"/>
      <c r="AL69" s="1432"/>
      <c r="AM69" s="1480">
        <f t="shared" si="76"/>
        <v>0</v>
      </c>
      <c r="AN69" s="1540">
        <f t="shared" si="60"/>
        <v>0</v>
      </c>
      <c r="AO69" s="1632"/>
      <c r="AP69" s="1432"/>
      <c r="AQ69" s="1432"/>
      <c r="AR69" s="1480">
        <f t="shared" si="77"/>
        <v>0</v>
      </c>
      <c r="AS69" s="1540" t="e">
        <f t="shared" si="61"/>
        <v>#DIV/0!</v>
      </c>
      <c r="AT69" s="1632"/>
      <c r="AU69" s="2043"/>
      <c r="AV69" s="2043"/>
      <c r="AW69" s="2012">
        <f t="shared" si="78"/>
        <v>0</v>
      </c>
      <c r="AX69" s="2044">
        <f t="shared" si="8"/>
        <v>0</v>
      </c>
      <c r="AY69" s="1929"/>
      <c r="AZ69" s="2043"/>
      <c r="BA69" s="2043"/>
      <c r="BB69" s="2012">
        <f t="shared" si="79"/>
        <v>0</v>
      </c>
      <c r="BC69" s="2044" t="e">
        <f t="shared" si="62"/>
        <v>#DIV/0!</v>
      </c>
      <c r="BD69" s="1929"/>
      <c r="BE69" s="2043"/>
      <c r="BF69" s="2043"/>
      <c r="BG69" s="2012">
        <f t="shared" si="80"/>
        <v>0</v>
      </c>
      <c r="BH69" s="2044" t="e">
        <f t="shared" si="63"/>
        <v>#DIV/0!</v>
      </c>
      <c r="BI69" s="1929"/>
      <c r="BJ69" s="2043"/>
      <c r="BK69" s="2043"/>
      <c r="BL69" s="2012">
        <f t="shared" si="81"/>
        <v>0</v>
      </c>
      <c r="BM69" s="2044" t="e">
        <f t="shared" si="64"/>
        <v>#DIV/0!</v>
      </c>
      <c r="BN69" s="1929"/>
      <c r="BO69" s="2043"/>
      <c r="BP69" s="2043"/>
      <c r="BQ69" s="2012">
        <f t="shared" si="82"/>
        <v>0</v>
      </c>
      <c r="BR69" s="2044" t="e">
        <f t="shared" si="65"/>
        <v>#DIV/0!</v>
      </c>
      <c r="BS69" s="1929"/>
      <c r="BT69" s="2043">
        <f t="shared" si="83"/>
        <v>29260</v>
      </c>
      <c r="BU69" s="2043">
        <f t="shared" si="83"/>
        <v>0</v>
      </c>
      <c r="BV69" s="2012">
        <f t="shared" si="84"/>
        <v>29260</v>
      </c>
      <c r="BW69" s="2044">
        <f t="shared" si="66"/>
        <v>8.9070680008478521E-4</v>
      </c>
      <c r="BX69" s="1992"/>
    </row>
    <row r="70" spans="1:76" s="2" customFormat="1" ht="14.4" customHeight="1">
      <c r="A70" s="237"/>
      <c r="B70" s="1106" t="s">
        <v>6</v>
      </c>
      <c r="C70" s="1230"/>
      <c r="D70" s="1231"/>
      <c r="E70" s="1232">
        <f t="shared" si="67"/>
        <v>0</v>
      </c>
      <c r="F70" s="1233">
        <f t="shared" si="85"/>
        <v>0</v>
      </c>
      <c r="G70" s="1176">
        <v>0</v>
      </c>
      <c r="H70" s="1176">
        <v>0</v>
      </c>
      <c r="I70" s="1178">
        <v>0</v>
      </c>
      <c r="J70" s="1039">
        <v>0</v>
      </c>
      <c r="K70" s="1039"/>
      <c r="L70" s="1176"/>
      <c r="M70" s="1176"/>
      <c r="N70" s="1178">
        <f t="shared" si="68"/>
        <v>0</v>
      </c>
      <c r="O70" s="1233">
        <f t="shared" si="59"/>
        <v>0</v>
      </c>
      <c r="P70" s="1234"/>
      <c r="Q70" s="1176"/>
      <c r="R70" s="1176"/>
      <c r="S70" s="1178">
        <f t="shared" si="69"/>
        <v>0</v>
      </c>
      <c r="T70" s="1233">
        <f t="shared" si="70"/>
        <v>0</v>
      </c>
      <c r="U70" s="1234"/>
      <c r="V70" s="1176"/>
      <c r="W70" s="1176"/>
      <c r="X70" s="1178">
        <f t="shared" si="71"/>
        <v>0</v>
      </c>
      <c r="Y70" s="1233">
        <f t="shared" si="72"/>
        <v>0</v>
      </c>
      <c r="Z70" s="1234"/>
      <c r="AA70" s="1176"/>
      <c r="AB70" s="1176"/>
      <c r="AC70" s="1178">
        <f t="shared" si="73"/>
        <v>0</v>
      </c>
      <c r="AD70" s="1233" t="e">
        <f t="shared" si="86"/>
        <v>#DIV/0!</v>
      </c>
      <c r="AE70" s="1147"/>
      <c r="AF70" s="1432"/>
      <c r="AG70" s="1432"/>
      <c r="AH70" s="1480">
        <f t="shared" si="74"/>
        <v>0</v>
      </c>
      <c r="AI70" s="1651">
        <f t="shared" si="75"/>
        <v>0</v>
      </c>
      <c r="AJ70" s="1846"/>
      <c r="AK70" s="1432"/>
      <c r="AL70" s="1432"/>
      <c r="AM70" s="1480">
        <f t="shared" si="76"/>
        <v>0</v>
      </c>
      <c r="AN70" s="1540">
        <f t="shared" si="60"/>
        <v>0</v>
      </c>
      <c r="AO70" s="1632"/>
      <c r="AP70" s="1432"/>
      <c r="AQ70" s="1432"/>
      <c r="AR70" s="1480">
        <f t="shared" si="77"/>
        <v>0</v>
      </c>
      <c r="AS70" s="1540" t="e">
        <f t="shared" si="61"/>
        <v>#DIV/0!</v>
      </c>
      <c r="AT70" s="1632"/>
      <c r="AU70" s="2043"/>
      <c r="AV70" s="2043"/>
      <c r="AW70" s="2012">
        <f t="shared" si="78"/>
        <v>0</v>
      </c>
      <c r="AX70" s="2044">
        <f t="shared" si="8"/>
        <v>0</v>
      </c>
      <c r="AY70" s="1929"/>
      <c r="AZ70" s="2043"/>
      <c r="BA70" s="2043"/>
      <c r="BB70" s="2012">
        <f t="shared" si="79"/>
        <v>0</v>
      </c>
      <c r="BC70" s="2044" t="e">
        <f t="shared" si="62"/>
        <v>#DIV/0!</v>
      </c>
      <c r="BD70" s="1929"/>
      <c r="BE70" s="2043"/>
      <c r="BF70" s="2043"/>
      <c r="BG70" s="2012">
        <f t="shared" si="80"/>
        <v>0</v>
      </c>
      <c r="BH70" s="2044" t="e">
        <f t="shared" si="63"/>
        <v>#DIV/0!</v>
      </c>
      <c r="BI70" s="1929"/>
      <c r="BJ70" s="2043"/>
      <c r="BK70" s="2043"/>
      <c r="BL70" s="2012">
        <f t="shared" si="81"/>
        <v>0</v>
      </c>
      <c r="BM70" s="2044" t="e">
        <f t="shared" si="64"/>
        <v>#DIV/0!</v>
      </c>
      <c r="BN70" s="1929"/>
      <c r="BO70" s="2043"/>
      <c r="BP70" s="2043"/>
      <c r="BQ70" s="2012">
        <f t="shared" si="82"/>
        <v>0</v>
      </c>
      <c r="BR70" s="2044" t="e">
        <f t="shared" si="65"/>
        <v>#DIV/0!</v>
      </c>
      <c r="BS70" s="1929"/>
      <c r="BT70" s="2043">
        <f t="shared" si="83"/>
        <v>0</v>
      </c>
      <c r="BU70" s="2043">
        <f t="shared" si="83"/>
        <v>0</v>
      </c>
      <c r="BV70" s="2012">
        <f t="shared" si="84"/>
        <v>0</v>
      </c>
      <c r="BW70" s="2044">
        <f t="shared" si="66"/>
        <v>0</v>
      </c>
      <c r="BX70" s="1992"/>
    </row>
    <row r="71" spans="1:76" s="2" customFormat="1" ht="14.4" customHeight="1">
      <c r="A71" s="237"/>
      <c r="B71" s="1106" t="s">
        <v>884</v>
      </c>
      <c r="C71" s="1240"/>
      <c r="D71" s="1239"/>
      <c r="E71" s="1232">
        <f t="shared" si="67"/>
        <v>0</v>
      </c>
      <c r="F71" s="1111">
        <f t="shared" si="85"/>
        <v>0</v>
      </c>
      <c r="G71" s="1176">
        <v>300</v>
      </c>
      <c r="H71" s="1176">
        <v>24000</v>
      </c>
      <c r="I71" s="1178">
        <v>24300</v>
      </c>
      <c r="J71" s="851">
        <v>8.7798553867439563E-4</v>
      </c>
      <c r="K71" s="851"/>
      <c r="L71" s="1176"/>
      <c r="M71" s="1176"/>
      <c r="N71" s="1178">
        <f t="shared" si="68"/>
        <v>0</v>
      </c>
      <c r="O71" s="1233">
        <f t="shared" si="59"/>
        <v>0</v>
      </c>
      <c r="P71" s="1234"/>
      <c r="Q71" s="1176"/>
      <c r="R71" s="1176"/>
      <c r="S71" s="1178">
        <f t="shared" si="69"/>
        <v>0</v>
      </c>
      <c r="T71" s="1233">
        <f t="shared" si="70"/>
        <v>0</v>
      </c>
      <c r="U71" s="1234"/>
      <c r="V71" s="1176"/>
      <c r="W71" s="1176"/>
      <c r="X71" s="1178">
        <f t="shared" si="71"/>
        <v>0</v>
      </c>
      <c r="Y71" s="1233">
        <f t="shared" si="72"/>
        <v>0</v>
      </c>
      <c r="Z71" s="1234"/>
      <c r="AA71" s="1176"/>
      <c r="AB71" s="1176"/>
      <c r="AC71" s="1178">
        <f t="shared" si="73"/>
        <v>0</v>
      </c>
      <c r="AD71" s="1233" t="e">
        <f t="shared" si="86"/>
        <v>#DIV/0!</v>
      </c>
      <c r="AE71" s="1234"/>
      <c r="AF71" s="1432"/>
      <c r="AG71" s="1432"/>
      <c r="AH71" s="1480">
        <f t="shared" si="74"/>
        <v>0</v>
      </c>
      <c r="AI71" s="1651">
        <f t="shared" si="75"/>
        <v>0</v>
      </c>
      <c r="AJ71" s="1731"/>
      <c r="AK71" s="1432"/>
      <c r="AL71" s="1432"/>
      <c r="AM71" s="1480">
        <f t="shared" si="76"/>
        <v>0</v>
      </c>
      <c r="AN71" s="1540">
        <f t="shared" si="60"/>
        <v>0</v>
      </c>
      <c r="AO71" s="1460"/>
      <c r="AP71" s="1432"/>
      <c r="AQ71" s="1432"/>
      <c r="AR71" s="1480">
        <f t="shared" si="77"/>
        <v>0</v>
      </c>
      <c r="AS71" s="1540" t="e">
        <f t="shared" si="61"/>
        <v>#DIV/0!</v>
      </c>
      <c r="AT71" s="1460"/>
      <c r="AU71" s="2043"/>
      <c r="AV71" s="2043"/>
      <c r="AW71" s="2012">
        <f t="shared" si="78"/>
        <v>0</v>
      </c>
      <c r="AX71" s="2044">
        <f t="shared" si="8"/>
        <v>0</v>
      </c>
      <c r="AY71" s="1929"/>
      <c r="AZ71" s="2043"/>
      <c r="BA71" s="2043"/>
      <c r="BB71" s="2012">
        <f t="shared" si="79"/>
        <v>0</v>
      </c>
      <c r="BC71" s="2044" t="e">
        <f t="shared" si="62"/>
        <v>#DIV/0!</v>
      </c>
      <c r="BD71" s="1929"/>
      <c r="BE71" s="2043"/>
      <c r="BF71" s="2043"/>
      <c r="BG71" s="2012">
        <f t="shared" si="80"/>
        <v>0</v>
      </c>
      <c r="BH71" s="2044" t="e">
        <f t="shared" si="63"/>
        <v>#DIV/0!</v>
      </c>
      <c r="BI71" s="1929"/>
      <c r="BJ71" s="2043"/>
      <c r="BK71" s="2043"/>
      <c r="BL71" s="2012">
        <f t="shared" si="81"/>
        <v>0</v>
      </c>
      <c r="BM71" s="2044" t="e">
        <f t="shared" si="64"/>
        <v>#DIV/0!</v>
      </c>
      <c r="BN71" s="1929"/>
      <c r="BO71" s="2043"/>
      <c r="BP71" s="2043"/>
      <c r="BQ71" s="2012">
        <f t="shared" si="82"/>
        <v>0</v>
      </c>
      <c r="BR71" s="2044" t="e">
        <f t="shared" si="65"/>
        <v>#DIV/0!</v>
      </c>
      <c r="BS71" s="1929"/>
      <c r="BT71" s="2043">
        <f t="shared" si="83"/>
        <v>300</v>
      </c>
      <c r="BU71" s="2043">
        <f t="shared" si="83"/>
        <v>24000</v>
      </c>
      <c r="BV71" s="2012">
        <f t="shared" si="84"/>
        <v>24300</v>
      </c>
      <c r="BW71" s="2044">
        <f t="shared" si="66"/>
        <v>7.3971890779426792E-4</v>
      </c>
      <c r="BX71" s="1992"/>
    </row>
    <row r="72" spans="1:76" s="2" customFormat="1" ht="14.4" customHeight="1" thickBot="1">
      <c r="A72" s="237"/>
      <c r="B72" s="1112"/>
      <c r="C72" s="1213"/>
      <c r="D72" s="1214"/>
      <c r="E72" s="1113"/>
      <c r="F72" s="1111">
        <f t="shared" si="85"/>
        <v>0</v>
      </c>
      <c r="G72" s="535"/>
      <c r="H72" s="535"/>
      <c r="I72" s="622"/>
      <c r="J72" s="851">
        <v>0</v>
      </c>
      <c r="K72" s="851"/>
      <c r="L72" s="535"/>
      <c r="M72" s="535"/>
      <c r="N72" s="622"/>
      <c r="O72" s="1111">
        <f t="shared" si="59"/>
        <v>0</v>
      </c>
      <c r="P72" s="1114"/>
      <c r="Q72" s="535"/>
      <c r="R72" s="535"/>
      <c r="S72" s="622"/>
      <c r="T72" s="1111">
        <f t="shared" si="70"/>
        <v>0</v>
      </c>
      <c r="U72" s="1114"/>
      <c r="V72" s="535"/>
      <c r="W72" s="535"/>
      <c r="X72" s="622"/>
      <c r="Y72" s="1111">
        <f t="shared" si="72"/>
        <v>0</v>
      </c>
      <c r="Z72" s="1114"/>
      <c r="AA72" s="535"/>
      <c r="AB72" s="535"/>
      <c r="AC72" s="622"/>
      <c r="AD72" s="1111" t="e">
        <f t="shared" si="86"/>
        <v>#DIV/0!</v>
      </c>
      <c r="AE72" s="1114"/>
      <c r="AF72" s="1636"/>
      <c r="AG72" s="1636"/>
      <c r="AH72" s="1653"/>
      <c r="AI72" s="1760">
        <f t="shared" si="75"/>
        <v>0</v>
      </c>
      <c r="AJ72" s="1855"/>
      <c r="AK72" s="1636"/>
      <c r="AL72" s="1636"/>
      <c r="AM72" s="1653"/>
      <c r="AN72" s="1545">
        <f t="shared" si="60"/>
        <v>0</v>
      </c>
      <c r="AO72" s="1696"/>
      <c r="AP72" s="1636"/>
      <c r="AQ72" s="1636"/>
      <c r="AR72" s="1653"/>
      <c r="AS72" s="1545" t="e">
        <f t="shared" si="61"/>
        <v>#DIV/0!</v>
      </c>
      <c r="AT72" s="1696"/>
      <c r="AU72" s="2027"/>
      <c r="AV72" s="2027"/>
      <c r="AW72" s="2030"/>
      <c r="AX72" s="2017">
        <f t="shared" si="8"/>
        <v>0</v>
      </c>
      <c r="AY72" s="1928"/>
      <c r="AZ72" s="2027"/>
      <c r="BA72" s="2027"/>
      <c r="BB72" s="2030"/>
      <c r="BC72" s="2017" t="e">
        <f t="shared" si="62"/>
        <v>#DIV/0!</v>
      </c>
      <c r="BD72" s="1928"/>
      <c r="BE72" s="2027"/>
      <c r="BF72" s="2027"/>
      <c r="BG72" s="2030"/>
      <c r="BH72" s="2017" t="e">
        <f t="shared" si="63"/>
        <v>#DIV/0!</v>
      </c>
      <c r="BI72" s="1928"/>
      <c r="BJ72" s="2027"/>
      <c r="BK72" s="2027"/>
      <c r="BL72" s="2030"/>
      <c r="BM72" s="2017" t="e">
        <f t="shared" si="64"/>
        <v>#DIV/0!</v>
      </c>
      <c r="BN72" s="1928"/>
      <c r="BO72" s="2027"/>
      <c r="BP72" s="2027"/>
      <c r="BQ72" s="2030"/>
      <c r="BR72" s="2017" t="e">
        <f t="shared" si="65"/>
        <v>#DIV/0!</v>
      </c>
      <c r="BS72" s="1928"/>
      <c r="BT72" s="2027"/>
      <c r="BU72" s="2027"/>
      <c r="BV72" s="2030"/>
      <c r="BW72" s="2017">
        <f t="shared" si="66"/>
        <v>0</v>
      </c>
      <c r="BX72" s="1928"/>
    </row>
    <row r="73" spans="1:76" s="2" customFormat="1" ht="14.4" customHeight="1" thickBot="1">
      <c r="A73" s="980"/>
      <c r="B73" s="1003" t="s">
        <v>4</v>
      </c>
      <c r="C73" s="836">
        <f>C74</f>
        <v>827426.87699999998</v>
      </c>
      <c r="D73" s="843">
        <f>D74</f>
        <v>0</v>
      </c>
      <c r="E73" s="836">
        <f>E74</f>
        <v>827426.87699999998</v>
      </c>
      <c r="F73" s="838">
        <f>E73/$E$89</f>
        <v>3.3779783768491535E-2</v>
      </c>
      <c r="G73" s="836">
        <v>0</v>
      </c>
      <c r="H73" s="840">
        <v>0</v>
      </c>
      <c r="I73" s="837">
        <v>0</v>
      </c>
      <c r="J73" s="969"/>
      <c r="K73" s="969"/>
      <c r="L73" s="836">
        <f>L74</f>
        <v>0</v>
      </c>
      <c r="M73" s="840">
        <f>M74</f>
        <v>0</v>
      </c>
      <c r="N73" s="837">
        <f>N74</f>
        <v>0</v>
      </c>
      <c r="O73" s="840"/>
      <c r="P73" s="840"/>
      <c r="Q73" s="836">
        <f>Q74</f>
        <v>0</v>
      </c>
      <c r="R73" s="840">
        <f>R74</f>
        <v>0</v>
      </c>
      <c r="S73" s="837">
        <f>S74</f>
        <v>0</v>
      </c>
      <c r="T73" s="840"/>
      <c r="U73" s="840"/>
      <c r="V73" s="836">
        <f>V74</f>
        <v>0</v>
      </c>
      <c r="W73" s="840">
        <f>W74</f>
        <v>0</v>
      </c>
      <c r="X73" s="837">
        <f>X74</f>
        <v>0</v>
      </c>
      <c r="Y73" s="840"/>
      <c r="Z73" s="840"/>
      <c r="AA73" s="836">
        <f>AA74</f>
        <v>0</v>
      </c>
      <c r="AB73" s="840">
        <f>AB74</f>
        <v>0</v>
      </c>
      <c r="AC73" s="837">
        <f>AC74</f>
        <v>0</v>
      </c>
      <c r="AD73" s="840"/>
      <c r="AE73" s="840"/>
      <c r="AF73" s="1584">
        <f>AF74</f>
        <v>0</v>
      </c>
      <c r="AG73" s="1689">
        <f>AG74</f>
        <v>0</v>
      </c>
      <c r="AH73" s="1688">
        <f>AH74</f>
        <v>0</v>
      </c>
      <c r="AI73" s="1704"/>
      <c r="AJ73" s="1702"/>
      <c r="AK73" s="1584">
        <f>AK74</f>
        <v>0</v>
      </c>
      <c r="AL73" s="1689">
        <f>AL74</f>
        <v>0</v>
      </c>
      <c r="AM73" s="1688">
        <f>AM74</f>
        <v>0</v>
      </c>
      <c r="AN73" s="1689"/>
      <c r="AO73" s="1689"/>
      <c r="AP73" s="1584">
        <f>AP74</f>
        <v>0</v>
      </c>
      <c r="AQ73" s="1689">
        <f>AQ74</f>
        <v>0</v>
      </c>
      <c r="AR73" s="1688">
        <f>AR74</f>
        <v>0</v>
      </c>
      <c r="AS73" s="1689"/>
      <c r="AT73" s="1689"/>
      <c r="AU73" s="1584">
        <f>AU74</f>
        <v>0</v>
      </c>
      <c r="AV73" s="1584">
        <f>AV74</f>
        <v>0</v>
      </c>
      <c r="AW73" s="1688">
        <f>AW74</f>
        <v>0</v>
      </c>
      <c r="AX73" s="1689"/>
      <c r="AY73" s="1689"/>
      <c r="AZ73" s="1584">
        <f>AZ74</f>
        <v>0</v>
      </c>
      <c r="BA73" s="1689">
        <f>BA74</f>
        <v>0</v>
      </c>
      <c r="BB73" s="1688">
        <f>BB74</f>
        <v>0</v>
      </c>
      <c r="BC73" s="1689"/>
      <c r="BD73" s="1689"/>
      <c r="BE73" s="1584">
        <f>BE74</f>
        <v>0</v>
      </c>
      <c r="BF73" s="1689">
        <f>BF74</f>
        <v>0</v>
      </c>
      <c r="BG73" s="1688">
        <f>BG74</f>
        <v>0</v>
      </c>
      <c r="BH73" s="1689"/>
      <c r="BI73" s="1689"/>
      <c r="BJ73" s="1584">
        <f>BJ74</f>
        <v>0</v>
      </c>
      <c r="BK73" s="1689">
        <f>BK74</f>
        <v>0</v>
      </c>
      <c r="BL73" s="1688">
        <f>BL74</f>
        <v>0</v>
      </c>
      <c r="BM73" s="1689"/>
      <c r="BN73" s="1689"/>
      <c r="BO73" s="1584">
        <f>BO74</f>
        <v>0</v>
      </c>
      <c r="BP73" s="1689">
        <f>BP74</f>
        <v>0</v>
      </c>
      <c r="BQ73" s="1688">
        <f>BQ74</f>
        <v>0</v>
      </c>
      <c r="BR73" s="1689"/>
      <c r="BS73" s="1689"/>
      <c r="BT73" s="1584">
        <f>BT74</f>
        <v>0</v>
      </c>
      <c r="BU73" s="1689">
        <f>BU74</f>
        <v>0</v>
      </c>
      <c r="BV73" s="1688">
        <f>BV74</f>
        <v>0</v>
      </c>
      <c r="BW73" s="1689"/>
      <c r="BX73" s="1689"/>
    </row>
    <row r="74" spans="1:76" s="2" customFormat="1" ht="14.4" customHeight="1" thickBot="1">
      <c r="A74" s="20"/>
      <c r="B74" s="1070" t="s">
        <v>64</v>
      </c>
      <c r="C74" s="1099">
        <f>C6*3%</f>
        <v>827426.87699999998</v>
      </c>
      <c r="D74" s="305"/>
      <c r="E74" s="306">
        <f>C74+D74</f>
        <v>827426.87699999998</v>
      </c>
      <c r="F74" s="307"/>
      <c r="G74" s="1176">
        <v>0</v>
      </c>
      <c r="H74" s="1176">
        <v>0</v>
      </c>
      <c r="I74" s="608">
        <v>0</v>
      </c>
      <c r="J74" s="961"/>
      <c r="K74" s="961"/>
      <c r="L74" s="1176"/>
      <c r="M74" s="1176"/>
      <c r="N74" s="608"/>
      <c r="O74" s="608"/>
      <c r="P74" s="608"/>
      <c r="Q74" s="1176"/>
      <c r="R74" s="1176"/>
      <c r="S74" s="608"/>
      <c r="T74" s="608"/>
      <c r="U74" s="608"/>
      <c r="V74" s="1176"/>
      <c r="W74" s="1176"/>
      <c r="X74" s="1010">
        <f>V74+W74*1</f>
        <v>0</v>
      </c>
      <c r="Y74" s="608"/>
      <c r="Z74" s="608"/>
      <c r="AA74" s="1176"/>
      <c r="AB74" s="1176"/>
      <c r="AC74" s="1010">
        <f>AA74+AB74*1</f>
        <v>0</v>
      </c>
      <c r="AD74" s="608"/>
      <c r="AE74" s="608"/>
      <c r="AF74" s="1432"/>
      <c r="AG74" s="1432"/>
      <c r="AH74" s="1739">
        <f>AF74+AG74*1</f>
        <v>0</v>
      </c>
      <c r="AI74" s="1671"/>
      <c r="AJ74" s="1684"/>
      <c r="AK74" s="1432"/>
      <c r="AL74" s="1432"/>
      <c r="AM74" s="1739">
        <f>AK74+AL74*1</f>
        <v>0</v>
      </c>
      <c r="AN74" s="1648"/>
      <c r="AO74" s="1648"/>
      <c r="AP74" s="1432"/>
      <c r="AQ74" s="1432"/>
      <c r="AR74" s="1739">
        <f>AP74+AQ74*1</f>
        <v>0</v>
      </c>
      <c r="AS74" s="1648"/>
      <c r="AT74" s="1648"/>
      <c r="AU74" s="2043"/>
      <c r="AV74" s="2043"/>
      <c r="AW74" s="1739">
        <f>AU74+AV74*1</f>
        <v>0</v>
      </c>
      <c r="AX74" s="1648"/>
      <c r="AY74" s="1648"/>
      <c r="AZ74" s="2043"/>
      <c r="BA74" s="2043"/>
      <c r="BB74" s="1739">
        <f>AZ74+BA74*1</f>
        <v>0</v>
      </c>
      <c r="BC74" s="1648"/>
      <c r="BD74" s="1648"/>
      <c r="BE74" s="2043"/>
      <c r="BF74" s="2043"/>
      <c r="BG74" s="1739">
        <f>BE74+BF74*1</f>
        <v>0</v>
      </c>
      <c r="BH74" s="1648"/>
      <c r="BI74" s="1648"/>
      <c r="BJ74" s="2043"/>
      <c r="BK74" s="2043"/>
      <c r="BL74" s="1739">
        <f>BJ74+BK74*1</f>
        <v>0</v>
      </c>
      <c r="BM74" s="1648"/>
      <c r="BN74" s="1648"/>
      <c r="BO74" s="2043"/>
      <c r="BP74" s="2043"/>
      <c r="BQ74" s="1739">
        <f>BO74+BP74*1</f>
        <v>0</v>
      </c>
      <c r="BR74" s="1648"/>
      <c r="BS74" s="1648"/>
      <c r="BT74" s="2043">
        <f>G74+L74+Q74+V74+AA74+AF74+AK74+AP74+AU74+AZ74+BE74</f>
        <v>0</v>
      </c>
      <c r="BU74" s="2043">
        <f>H74+M74+R74+W74+AB74+AG74+AL74+AQ74+AV74+BA74+BF74</f>
        <v>0</v>
      </c>
      <c r="BV74" s="841">
        <f>BT74+BU74*1</f>
        <v>0</v>
      </c>
      <c r="BW74" s="1648"/>
      <c r="BX74" s="1648"/>
    </row>
    <row r="75" spans="1:76" s="2" customFormat="1" ht="14.4" customHeight="1" thickBot="1">
      <c r="A75" s="977"/>
      <c r="B75" s="870" t="s">
        <v>48</v>
      </c>
      <c r="C75" s="989">
        <f>C38-C41-C50-C54</f>
        <v>8994010.0799999982</v>
      </c>
      <c r="D75" s="989">
        <f>D38-D41-D50-D54</f>
        <v>-4417759.1700000009</v>
      </c>
      <c r="E75" s="670">
        <f>E38-E41-E50-E54</f>
        <v>4576250.9099999974</v>
      </c>
      <c r="F75" s="967"/>
      <c r="G75" s="646">
        <v>10103865.364000004</v>
      </c>
      <c r="H75" s="646">
        <v>-7461702.3268954549</v>
      </c>
      <c r="I75" s="670">
        <v>2642163.0371045512</v>
      </c>
      <c r="J75" s="962"/>
      <c r="K75" s="962"/>
      <c r="L75" s="646">
        <f>L38-L41-L50-L54</f>
        <v>-171533.66</v>
      </c>
      <c r="M75" s="646">
        <f>M38-M41-M50-M54</f>
        <v>-384720.45590000006</v>
      </c>
      <c r="N75" s="670">
        <f>N38-N41-N50-N54</f>
        <v>-556254.11590000009</v>
      </c>
      <c r="O75" s="671"/>
      <c r="P75" s="671"/>
      <c r="Q75" s="646">
        <f>Q38-Q41-Q50-Q54</f>
        <v>3264991.5079999999</v>
      </c>
      <c r="R75" s="646">
        <f>R38-R41-R50-R54</f>
        <v>-1451384.7699999998</v>
      </c>
      <c r="S75" s="670">
        <f>S38-S41-S50-S54</f>
        <v>1813606.7380000008</v>
      </c>
      <c r="T75" s="671"/>
      <c r="U75" s="671"/>
      <c r="V75" s="646">
        <f>V38-V41-V50-V54</f>
        <v>1437537.95</v>
      </c>
      <c r="W75" s="646">
        <f>W38-W41-W50-W54</f>
        <v>-90464</v>
      </c>
      <c r="X75" s="670">
        <f>X38-X41-X50-X54</f>
        <v>1347073.95</v>
      </c>
      <c r="Y75" s="671"/>
      <c r="Z75" s="671"/>
      <c r="AA75" s="646">
        <f>AA38-AA41-AA50-AA54</f>
        <v>0</v>
      </c>
      <c r="AB75" s="646">
        <f>AB38-AB41-AB50-AB54</f>
        <v>0</v>
      </c>
      <c r="AC75" s="670">
        <f>AC38-AC41-AC50-AC54</f>
        <v>0</v>
      </c>
      <c r="AD75" s="671"/>
      <c r="AE75" s="671"/>
      <c r="AF75" s="1450">
        <f>AF38-AF41-AF50-AF54</f>
        <v>56749.184000000001</v>
      </c>
      <c r="AG75" s="1450">
        <f>AG38-AG41-AG50-AG54</f>
        <v>0</v>
      </c>
      <c r="AH75" s="1508">
        <f>AH38-AH41-AH50-AH54</f>
        <v>56749.184000000001</v>
      </c>
      <c r="AI75" s="1450"/>
      <c r="AJ75" s="1451"/>
      <c r="AK75" s="1450">
        <f>AK38-AK41-AK50-AK54</f>
        <v>0</v>
      </c>
      <c r="AL75" s="1450">
        <f>AL38-AL41-AL50-AL54</f>
        <v>-72200</v>
      </c>
      <c r="AM75" s="1508">
        <f>AM38-AM41-AM50-AM54</f>
        <v>-72200</v>
      </c>
      <c r="AN75" s="1451"/>
      <c r="AO75" s="1451"/>
      <c r="AP75" s="1450">
        <f>AP38-AP41-AP50-AP54</f>
        <v>0</v>
      </c>
      <c r="AQ75" s="1450">
        <f>AQ38-AQ41-AQ50-AQ54</f>
        <v>0</v>
      </c>
      <c r="AR75" s="1508">
        <f>AR38-AR41-AR50-AR54</f>
        <v>0</v>
      </c>
      <c r="AS75" s="1451"/>
      <c r="AT75" s="1451"/>
      <c r="AU75" s="1450">
        <f>AU38-AU41-AU50-AU54</f>
        <v>-1055675.648</v>
      </c>
      <c r="AV75" s="1450">
        <f>AV38-AV41-AV50-AV54</f>
        <v>0</v>
      </c>
      <c r="AW75" s="1508">
        <f>AW38-AW41-AW50-AW54</f>
        <v>-1055675.648</v>
      </c>
      <c r="AX75" s="1953"/>
      <c r="AY75" s="1953"/>
      <c r="AZ75" s="1450">
        <f>AZ38-AZ41-AZ50-AZ54</f>
        <v>0</v>
      </c>
      <c r="BA75" s="1450">
        <f>BA38-BA41-BA50-BA54</f>
        <v>0</v>
      </c>
      <c r="BB75" s="1508">
        <f>BB38-BB41-BB50-BB54</f>
        <v>0</v>
      </c>
      <c r="BC75" s="1953"/>
      <c r="BD75" s="1953"/>
      <c r="BE75" s="1450">
        <f>BE38-BE41-BE50-BE54</f>
        <v>0</v>
      </c>
      <c r="BF75" s="1450">
        <f>BF38-BF41-BF50-BF54</f>
        <v>0</v>
      </c>
      <c r="BG75" s="1508">
        <f>BG38-BG41-BG50-BG54</f>
        <v>0</v>
      </c>
      <c r="BH75" s="1953"/>
      <c r="BI75" s="1953"/>
      <c r="BJ75" s="1450">
        <f>BJ38-BJ41-BJ50-BJ54</f>
        <v>0</v>
      </c>
      <c r="BK75" s="1450">
        <f>BK38-BK41-BK50-BK54</f>
        <v>0</v>
      </c>
      <c r="BL75" s="1508">
        <f>BL38-BL41-BL50-BL54</f>
        <v>0</v>
      </c>
      <c r="BM75" s="1953"/>
      <c r="BN75" s="1953"/>
      <c r="BO75" s="1450">
        <f>BO38-BO41-BO50-BO54</f>
        <v>0</v>
      </c>
      <c r="BP75" s="1450">
        <f>BP38-BP41-BP50-BP54</f>
        <v>0</v>
      </c>
      <c r="BQ75" s="1508">
        <f>BQ38-BQ41-BQ50-BQ54</f>
        <v>0</v>
      </c>
      <c r="BR75" s="1953"/>
      <c r="BS75" s="1953"/>
      <c r="BT75" s="1450">
        <f>BT38-BT41-BT50-BT54</f>
        <v>13635934.698000003</v>
      </c>
      <c r="BU75" s="1450">
        <f>BU38-BU41-BU50-BU54</f>
        <v>-9460471.5527954549</v>
      </c>
      <c r="BV75" s="1508">
        <f>BV38-BV41-BV50-BV54</f>
        <v>4175463.1452045534</v>
      </c>
      <c r="BW75" s="1953"/>
      <c r="BX75" s="1953"/>
    </row>
    <row r="76" spans="1:76" s="2" customFormat="1" ht="14.4" customHeight="1">
      <c r="A76" s="294"/>
      <c r="B76" s="872" t="s">
        <v>49</v>
      </c>
      <c r="C76" s="873">
        <f>C75/C5</f>
        <v>0.3260956465159639</v>
      </c>
      <c r="D76" s="873" t="e">
        <f>D75/D5</f>
        <v>#DIV/0!</v>
      </c>
      <c r="E76" s="874">
        <f>E75/E5</f>
        <v>0.1659210392074319</v>
      </c>
      <c r="F76" s="875"/>
      <c r="G76" s="639">
        <v>0.34546908243545427</v>
      </c>
      <c r="H76" s="639" t="e">
        <v>#DIV/0!</v>
      </c>
      <c r="I76" s="660">
        <v>9.0340241797523424E-2</v>
      </c>
      <c r="J76" s="957"/>
      <c r="K76" s="957"/>
      <c r="L76" s="639" t="e">
        <f>L75/L5</f>
        <v>#DIV/0!</v>
      </c>
      <c r="M76" s="639" t="e">
        <f>M75/M5</f>
        <v>#DIV/0!</v>
      </c>
      <c r="N76" s="660" t="e">
        <f>N75/N5</f>
        <v>#DIV/0!</v>
      </c>
      <c r="O76" s="660"/>
      <c r="P76" s="660"/>
      <c r="Q76" s="639">
        <f>Q75/Q5</f>
        <v>0.66720006736347315</v>
      </c>
      <c r="R76" s="639" t="e">
        <f>R75/R5</f>
        <v>#DIV/0!</v>
      </c>
      <c r="S76" s="660">
        <f>S75/S5</f>
        <v>0.37061001071505678</v>
      </c>
      <c r="T76" s="660"/>
      <c r="U76" s="660"/>
      <c r="V76" s="639">
        <f>V75/V5</f>
        <v>0.98797278154953483</v>
      </c>
      <c r="W76" s="639" t="e">
        <f>W75/W5</f>
        <v>#DIV/0!</v>
      </c>
      <c r="X76" s="660">
        <f>X75/X5</f>
        <v>0.92579983529090071</v>
      </c>
      <c r="Y76" s="660"/>
      <c r="Z76" s="660"/>
      <c r="AA76" s="639" t="e">
        <f>AA75/AA5</f>
        <v>#DIV/0!</v>
      </c>
      <c r="AB76" s="639" t="e">
        <f>AB75/AB5</f>
        <v>#DIV/0!</v>
      </c>
      <c r="AC76" s="660" t="e">
        <f>AC75/AC5</f>
        <v>#DIV/0!</v>
      </c>
      <c r="AD76" s="660"/>
      <c r="AE76" s="660"/>
      <c r="AF76" s="1441">
        <f>AF75/AF5</f>
        <v>0.9509230202084521</v>
      </c>
      <c r="AG76" s="1441" t="e">
        <f>AG75/AG5</f>
        <v>#DIV/0!</v>
      </c>
      <c r="AH76" s="1442">
        <f>AH75/AH5</f>
        <v>0.9509230202084521</v>
      </c>
      <c r="AI76" s="1441"/>
      <c r="AJ76" s="1442"/>
      <c r="AK76" s="1441" t="e">
        <f>AK75/AK5</f>
        <v>#DIV/0!</v>
      </c>
      <c r="AL76" s="1441" t="e">
        <f>AL75/AL5</f>
        <v>#DIV/0!</v>
      </c>
      <c r="AM76" s="1442" t="e">
        <f>AM75/AM5</f>
        <v>#DIV/0!</v>
      </c>
      <c r="AN76" s="1442"/>
      <c r="AO76" s="1442"/>
      <c r="AP76" s="1441" t="e">
        <f>AP75/AP5</f>
        <v>#DIV/0!</v>
      </c>
      <c r="AQ76" s="1441" t="e">
        <f>AQ75/AQ5</f>
        <v>#DIV/0!</v>
      </c>
      <c r="AR76" s="1442" t="e">
        <f>AR75/AR5</f>
        <v>#DIV/0!</v>
      </c>
      <c r="AS76" s="1442"/>
      <c r="AT76" s="1442"/>
      <c r="AU76" s="2003" t="e">
        <f>AU75/AU5</f>
        <v>#DIV/0!</v>
      </c>
      <c r="AV76" s="2003" t="e">
        <f>AV75/AV5</f>
        <v>#DIV/0!</v>
      </c>
      <c r="AW76" s="2004" t="e">
        <f>AW75/AW5</f>
        <v>#DIV/0!</v>
      </c>
      <c r="AX76" s="2004"/>
      <c r="AY76" s="2004"/>
      <c r="AZ76" s="2003" t="e">
        <f>AZ75/AZ5</f>
        <v>#DIV/0!</v>
      </c>
      <c r="BA76" s="2003" t="e">
        <f>BA75/BA5</f>
        <v>#DIV/0!</v>
      </c>
      <c r="BB76" s="2004" t="e">
        <f>BB75/BB5</f>
        <v>#DIV/0!</v>
      </c>
      <c r="BC76" s="2004"/>
      <c r="BD76" s="2004"/>
      <c r="BE76" s="2003" t="e">
        <f>BE75/BE5</f>
        <v>#DIV/0!</v>
      </c>
      <c r="BF76" s="2003" t="e">
        <f>BF75/BF5</f>
        <v>#DIV/0!</v>
      </c>
      <c r="BG76" s="2004" t="e">
        <f>BG75/BG5</f>
        <v>#DIV/0!</v>
      </c>
      <c r="BH76" s="2004"/>
      <c r="BI76" s="2004"/>
      <c r="BJ76" s="2003" t="e">
        <f>BJ75/BJ5</f>
        <v>#DIV/0!</v>
      </c>
      <c r="BK76" s="2003" t="e">
        <f>BK75/BK5</f>
        <v>#DIV/0!</v>
      </c>
      <c r="BL76" s="2004" t="e">
        <f>BL75/BL5</f>
        <v>#DIV/0!</v>
      </c>
      <c r="BM76" s="2004"/>
      <c r="BN76" s="2004"/>
      <c r="BO76" s="2003" t="e">
        <f>BO75/BO5</f>
        <v>#DIV/0!</v>
      </c>
      <c r="BP76" s="2003" t="e">
        <f>BP75/BP5</f>
        <v>#DIV/0!</v>
      </c>
      <c r="BQ76" s="2004" t="e">
        <f>BQ75/BQ5</f>
        <v>#DIV/0!</v>
      </c>
      <c r="BR76" s="2004"/>
      <c r="BS76" s="2004"/>
      <c r="BT76" s="2003">
        <f>BT75/BT5</f>
        <v>0.38244007427370708</v>
      </c>
      <c r="BU76" s="2003" t="e">
        <f>BU75/BU5</f>
        <v>#DIV/0!</v>
      </c>
      <c r="BV76" s="2004">
        <f>BV75/BV5</f>
        <v>0.11710707558707874</v>
      </c>
      <c r="BW76" s="2004"/>
      <c r="BX76" s="2004"/>
    </row>
    <row r="77" spans="1:76" s="2" customFormat="1" ht="14.4" customHeight="1" thickBot="1">
      <c r="A77" s="294"/>
      <c r="B77" s="1187" t="s">
        <v>9</v>
      </c>
      <c r="C77" s="1170">
        <f>C78-C79</f>
        <v>-662663.88</v>
      </c>
      <c r="D77" s="1170">
        <f>D78-D79</f>
        <v>0</v>
      </c>
      <c r="E77" s="1033">
        <f>E78-E79</f>
        <v>-662663.88</v>
      </c>
      <c r="F77" s="1088"/>
      <c r="G77" s="1170">
        <v>0</v>
      </c>
      <c r="H77" s="1170">
        <v>0</v>
      </c>
      <c r="I77" s="1033">
        <v>-1072355.8935897164</v>
      </c>
      <c r="J77" s="1226"/>
      <c r="K77" s="1226"/>
      <c r="L77" s="1170">
        <f>L78-L79</f>
        <v>0</v>
      </c>
      <c r="M77" s="1170">
        <f>M78-M79</f>
        <v>0</v>
      </c>
      <c r="N77" s="1033">
        <f>N78-N79</f>
        <v>-57486.964674712661</v>
      </c>
      <c r="O77" s="1046"/>
      <c r="P77" s="1046"/>
      <c r="Q77" s="1170">
        <f>Q78-Q79</f>
        <v>0</v>
      </c>
      <c r="R77" s="1170">
        <f>R78-R79</f>
        <v>0</v>
      </c>
      <c r="S77" s="1033">
        <f>S78-S79</f>
        <v>-216873.58632183907</v>
      </c>
      <c r="T77" s="1046"/>
      <c r="U77" s="1046"/>
      <c r="V77" s="1170">
        <f>V78-V79</f>
        <v>0</v>
      </c>
      <c r="W77" s="1170">
        <f>W78-W79</f>
        <v>0</v>
      </c>
      <c r="X77" s="1033">
        <f>X78-X79</f>
        <v>-13517.6091954023</v>
      </c>
      <c r="Y77" s="1046"/>
      <c r="Z77" s="1046"/>
      <c r="AA77" s="1170">
        <f>AA78-AA79</f>
        <v>0</v>
      </c>
      <c r="AB77" s="1170">
        <f>AB78-AB79</f>
        <v>0</v>
      </c>
      <c r="AC77" s="1033">
        <f>AC78-AC79</f>
        <v>0</v>
      </c>
      <c r="AD77" s="1046"/>
      <c r="AE77" s="1046"/>
      <c r="AF77" s="1509">
        <f>AF78-AF79</f>
        <v>0</v>
      </c>
      <c r="AG77" s="1509">
        <f>AG78-AG79</f>
        <v>0</v>
      </c>
      <c r="AH77" s="1369">
        <f>AH78-AH79</f>
        <v>0</v>
      </c>
      <c r="AI77" s="1657"/>
      <c r="AJ77" s="1364"/>
      <c r="AK77" s="1509">
        <f>AK78-AK79</f>
        <v>0</v>
      </c>
      <c r="AL77" s="1509">
        <f>AL78-AL79</f>
        <v>0</v>
      </c>
      <c r="AM77" s="1369">
        <f>AM78-AM79</f>
        <v>-10456.754168812735</v>
      </c>
      <c r="AN77" s="1364"/>
      <c r="AO77" s="1364"/>
      <c r="AP77" s="1509">
        <f>AP78-AP79</f>
        <v>0</v>
      </c>
      <c r="AQ77" s="1509">
        <f>AQ78-AQ79</f>
        <v>0</v>
      </c>
      <c r="AR77" s="1369">
        <f>AR78-AR79</f>
        <v>0</v>
      </c>
      <c r="AS77" s="1364"/>
      <c r="AT77" s="1364"/>
      <c r="AU77" s="1959">
        <f>AU78-AU79</f>
        <v>0</v>
      </c>
      <c r="AV77" s="1959">
        <f>AV78-AV79</f>
        <v>0</v>
      </c>
      <c r="AW77" s="2075">
        <f>AW78-AW79</f>
        <v>0</v>
      </c>
      <c r="AX77" s="2076"/>
      <c r="AY77" s="2076"/>
      <c r="AZ77" s="1959">
        <f>AZ78-AZ79</f>
        <v>0</v>
      </c>
      <c r="BA77" s="1959">
        <f>BA78-BA79</f>
        <v>0</v>
      </c>
      <c r="BB77" s="2075">
        <f>BB78-BB79</f>
        <v>0</v>
      </c>
      <c r="BC77" s="2076"/>
      <c r="BD77" s="2076"/>
      <c r="BE77" s="2093">
        <f>BE78-BE79</f>
        <v>0</v>
      </c>
      <c r="BF77" s="2093">
        <f>BF78-BF79</f>
        <v>0</v>
      </c>
      <c r="BG77" s="2092">
        <f>BG78-BG79</f>
        <v>0</v>
      </c>
      <c r="BH77" s="2094"/>
      <c r="BI77" s="2094"/>
      <c r="BJ77" s="2093">
        <f>BJ78-BJ79</f>
        <v>0</v>
      </c>
      <c r="BK77" s="2093">
        <f>BK78-BK79</f>
        <v>0</v>
      </c>
      <c r="BL77" s="2092" t="e">
        <f>BL78-BL79</f>
        <v>#DIV/0!</v>
      </c>
      <c r="BM77" s="2094"/>
      <c r="BN77" s="2094"/>
      <c r="BO77" s="2093">
        <f>BO78-BO79</f>
        <v>0</v>
      </c>
      <c r="BP77" s="2093">
        <f>BP78-BP79</f>
        <v>0</v>
      </c>
      <c r="BQ77" s="2092" t="e">
        <f>BQ78-BQ79</f>
        <v>#DIV/0!</v>
      </c>
      <c r="BR77" s="2094"/>
      <c r="BS77" s="2094"/>
      <c r="BT77" s="2093">
        <f>BT78-BT79</f>
        <v>0</v>
      </c>
      <c r="BU77" s="2093">
        <f>BU78-BU79</f>
        <v>0</v>
      </c>
      <c r="BV77" s="2092">
        <f>BV78-BV79</f>
        <v>-1370690.8079504832</v>
      </c>
      <c r="BW77" s="2094"/>
      <c r="BX77" s="2094"/>
    </row>
    <row r="78" spans="1:76" s="2" customFormat="1" ht="14.4" customHeight="1">
      <c r="A78" s="11"/>
      <c r="B78" s="946" t="s">
        <v>43</v>
      </c>
      <c r="C78" s="483"/>
      <c r="D78" s="564"/>
      <c r="E78" s="1231">
        <f>C78+D78*1.15</f>
        <v>0</v>
      </c>
      <c r="F78" s="1151"/>
      <c r="G78" s="1176">
        <v>0</v>
      </c>
      <c r="H78" s="1176">
        <v>0</v>
      </c>
      <c r="I78" s="676">
        <v>0</v>
      </c>
      <c r="J78" s="1152"/>
      <c r="K78" s="1152"/>
      <c r="L78" s="1176"/>
      <c r="M78" s="1176"/>
      <c r="N78" s="676">
        <f>L78+M78*1.15</f>
        <v>0</v>
      </c>
      <c r="O78" s="676"/>
      <c r="P78" s="676"/>
      <c r="Q78" s="1176"/>
      <c r="R78" s="1176"/>
      <c r="S78" s="676">
        <f>Q78+R78*1.15</f>
        <v>0</v>
      </c>
      <c r="T78" s="676"/>
      <c r="U78" s="676"/>
      <c r="V78" s="1176"/>
      <c r="W78" s="1176"/>
      <c r="X78" s="676">
        <f>V78+W78*1.15</f>
        <v>0</v>
      </c>
      <c r="Y78" s="676"/>
      <c r="Z78" s="676"/>
      <c r="AA78" s="1176"/>
      <c r="AB78" s="1176"/>
      <c r="AC78" s="676">
        <f>AA78+AB78*1.15</f>
        <v>0</v>
      </c>
      <c r="AD78" s="676"/>
      <c r="AE78" s="676"/>
      <c r="AF78" s="1432"/>
      <c r="AG78" s="1432"/>
      <c r="AH78" s="1452">
        <f>AF78+AG78*1.15</f>
        <v>0</v>
      </c>
      <c r="AI78" s="1641"/>
      <c r="AJ78" s="1669"/>
      <c r="AK78" s="1432"/>
      <c r="AL78" s="1432"/>
      <c r="AM78" s="1452">
        <f>AK78+AL78*1.15</f>
        <v>0</v>
      </c>
      <c r="AN78" s="1452"/>
      <c r="AO78" s="1452"/>
      <c r="AP78" s="1432"/>
      <c r="AQ78" s="1432"/>
      <c r="AR78" s="1452">
        <f>AP78+AQ78*1.15</f>
        <v>0</v>
      </c>
      <c r="AS78" s="1452"/>
      <c r="AT78" s="1452"/>
      <c r="AU78" s="2043"/>
      <c r="AV78" s="2043"/>
      <c r="AW78" s="1452">
        <f>AU78+AV78*1.15</f>
        <v>0</v>
      </c>
      <c r="AX78" s="1452"/>
      <c r="AY78" s="1452"/>
      <c r="AZ78" s="2043"/>
      <c r="BA78" s="2043"/>
      <c r="BB78" s="1452">
        <f>AZ78+BA78*1.15</f>
        <v>0</v>
      </c>
      <c r="BC78" s="1452"/>
      <c r="BD78" s="1452"/>
      <c r="BE78" s="2043"/>
      <c r="BF78" s="2043"/>
      <c r="BG78" s="2113">
        <f>BE78+BF78*1.15</f>
        <v>0</v>
      </c>
      <c r="BH78" s="2114"/>
      <c r="BI78" s="1452"/>
      <c r="BJ78" s="2043"/>
      <c r="BK78" s="2043"/>
      <c r="BL78" s="1452">
        <f>BJ78+BK78*1.15</f>
        <v>0</v>
      </c>
      <c r="BM78" s="1452"/>
      <c r="BN78" s="1452"/>
      <c r="BO78" s="2043"/>
      <c r="BP78" s="2043"/>
      <c r="BQ78" s="1452">
        <f>BO78+BP78*1.15</f>
        <v>0</v>
      </c>
      <c r="BR78" s="1452"/>
      <c r="BS78" s="1452"/>
      <c r="BT78" s="2043">
        <f>G78+L78+Q78+V78+AA78+AF78+AK78+AP78+AU78+AZ78+BE78</f>
        <v>0</v>
      </c>
      <c r="BU78" s="2043">
        <f>H78+M78+R78+W78+AB78+AG78+AL78+AQ78+AV78+BA78+BF78</f>
        <v>0</v>
      </c>
      <c r="BV78" s="2012">
        <f>BT78+BU78*1.15</f>
        <v>0</v>
      </c>
      <c r="BW78" s="1452"/>
      <c r="BX78" s="1452"/>
    </row>
    <row r="79" spans="1:76" s="2" customFormat="1" ht="14.4" customHeight="1">
      <c r="A79" s="11"/>
      <c r="B79" s="1241" t="s">
        <v>79</v>
      </c>
      <c r="C79" s="1231">
        <v>662663.88</v>
      </c>
      <c r="D79" s="1231"/>
      <c r="E79" s="1231">
        <f>C79</f>
        <v>662663.88</v>
      </c>
      <c r="F79" s="1307">
        <f>E79/$E$89</f>
        <v>2.7053318184139214E-2</v>
      </c>
      <c r="G79" s="1176">
        <v>0</v>
      </c>
      <c r="H79" s="1176">
        <v>0</v>
      </c>
      <c r="I79" s="1178">
        <v>1072355.8935897164</v>
      </c>
      <c r="J79" s="1152"/>
      <c r="K79" s="1152"/>
      <c r="L79" s="1176"/>
      <c r="M79" s="1176"/>
      <c r="N79" s="1178">
        <v>57486.964674712661</v>
      </c>
      <c r="O79" s="1237"/>
      <c r="P79" s="1237"/>
      <c r="Q79" s="1176"/>
      <c r="R79" s="1176"/>
      <c r="S79" s="1178">
        <v>216873.58632183907</v>
      </c>
      <c r="T79" s="1237"/>
      <c r="U79" s="1237"/>
      <c r="V79" s="1176"/>
      <c r="W79" s="1176"/>
      <c r="X79" s="1178">
        <v>13517.6091954023</v>
      </c>
      <c r="Y79" s="1237"/>
      <c r="Z79" s="1237"/>
      <c r="AA79" s="1176"/>
      <c r="AB79" s="1176"/>
      <c r="AC79" s="1178">
        <v>0</v>
      </c>
      <c r="AD79" s="1237"/>
      <c r="AE79" s="1237"/>
      <c r="AF79" s="1432"/>
      <c r="AG79" s="1432"/>
      <c r="AH79" s="1480">
        <v>0</v>
      </c>
      <c r="AI79" s="1686"/>
      <c r="AJ79" s="1475"/>
      <c r="AK79" s="1432"/>
      <c r="AL79" s="1432"/>
      <c r="AM79" s="1480">
        <v>10456.754168812735</v>
      </c>
      <c r="AN79" s="1435"/>
      <c r="AO79" s="1435"/>
      <c r="AP79" s="1432"/>
      <c r="AQ79" s="1432"/>
      <c r="AR79" s="1480">
        <v>0</v>
      </c>
      <c r="AS79" s="1435"/>
      <c r="AT79" s="1435"/>
      <c r="AU79" s="2043"/>
      <c r="AV79" s="2043"/>
      <c r="AW79" s="2012"/>
      <c r="AX79" s="1992">
        <f>AW79/$AW$89</f>
        <v>0</v>
      </c>
      <c r="AY79" s="1893"/>
      <c r="AZ79" s="2043"/>
      <c r="BA79" s="2043"/>
      <c r="BB79" s="2012"/>
      <c r="BC79" s="1992" t="e">
        <f>BB79/$BB$89</f>
        <v>#DIV/0!</v>
      </c>
      <c r="BD79" s="1893"/>
      <c r="BE79" s="2043"/>
      <c r="BF79" s="2043"/>
      <c r="BG79" s="2115">
        <f>(BF8+BF41+BF50+BF54)/(1-'расчет 2024'!E13)*'расчет 2024'!E13</f>
        <v>0</v>
      </c>
      <c r="BH79" s="2116" t="e">
        <f>BG79/$BG$89</f>
        <v>#DIV/0!</v>
      </c>
      <c r="BI79" s="1893"/>
      <c r="BJ79" s="2043"/>
      <c r="BK79" s="2043"/>
      <c r="BL79" s="2012" t="e">
        <v>#DIV/0!</v>
      </c>
      <c r="BM79" s="1992" t="e">
        <f>BL79/$BL$89</f>
        <v>#DIV/0!</v>
      </c>
      <c r="BN79" s="1893"/>
      <c r="BO79" s="2043"/>
      <c r="BP79" s="2043"/>
      <c r="BQ79" s="2012" t="e">
        <v>#DIV/0!</v>
      </c>
      <c r="BR79" s="1992" t="e">
        <f>BQ79/$BL$89</f>
        <v>#DIV/0!</v>
      </c>
      <c r="BS79" s="1893"/>
      <c r="BT79" s="2043">
        <f>G79+L79+Q79+V79+AA79+AF79+AK79+AP79+AU79+AZ79+BE79</f>
        <v>0</v>
      </c>
      <c r="BU79" s="2043">
        <f>H79+M79+R79+W79+AB79+AG79+AL79+AQ79+AV79+BA79+BF79</f>
        <v>0</v>
      </c>
      <c r="BV79" s="2012">
        <f>I79+N79+S79+X79+AC79+AH79+AM79+AR79</f>
        <v>1370690.8079504832</v>
      </c>
      <c r="BW79" s="1893"/>
      <c r="BX79" s="1893"/>
    </row>
    <row r="80" spans="1:76" ht="14.4" customHeight="1">
      <c r="A80" s="3"/>
      <c r="B80" s="1242"/>
      <c r="C80" s="1243"/>
      <c r="D80" s="1244"/>
      <c r="E80" s="1245"/>
      <c r="F80" s="1246"/>
      <c r="G80" s="1176"/>
      <c r="H80" s="1176"/>
      <c r="I80" s="1247"/>
      <c r="J80" s="1080"/>
      <c r="K80" s="1080"/>
      <c r="L80" s="1176"/>
      <c r="M80" s="1176"/>
      <c r="N80" s="1247"/>
      <c r="O80" s="1247"/>
      <c r="P80" s="1247"/>
      <c r="Q80" s="1176"/>
      <c r="R80" s="1176"/>
      <c r="S80" s="1247"/>
      <c r="T80" s="1247"/>
      <c r="U80" s="1247"/>
      <c r="V80" s="1176"/>
      <c r="W80" s="1176"/>
      <c r="X80" s="1247"/>
      <c r="Y80" s="1247"/>
      <c r="Z80" s="1247"/>
      <c r="AA80" s="1176"/>
      <c r="AB80" s="1176"/>
      <c r="AC80" s="1247"/>
      <c r="AD80" s="1247"/>
      <c r="AE80" s="1247"/>
      <c r="AF80" s="1432"/>
      <c r="AG80" s="1432"/>
      <c r="AH80" s="1453"/>
      <c r="AI80" s="1642"/>
      <c r="AJ80" s="1670"/>
      <c r="AK80" s="1432"/>
      <c r="AL80" s="1432"/>
      <c r="AM80" s="1453"/>
      <c r="AN80" s="1453"/>
      <c r="AO80" s="1453"/>
      <c r="AP80" s="1432"/>
      <c r="AQ80" s="1432"/>
      <c r="AR80" s="1453"/>
      <c r="AS80" s="1453"/>
      <c r="AT80" s="1453"/>
      <c r="AU80" s="2043"/>
      <c r="AV80" s="2043"/>
      <c r="AW80" s="1894"/>
      <c r="AX80" s="1894"/>
      <c r="AY80" s="1894"/>
      <c r="AZ80" s="2043"/>
      <c r="BA80" s="2043"/>
      <c r="BB80" s="1894"/>
      <c r="BC80" s="1894"/>
      <c r="BD80" s="1894"/>
      <c r="BE80" s="2043"/>
      <c r="BF80" s="2043"/>
      <c r="BG80" s="1894"/>
      <c r="BH80" s="1894"/>
      <c r="BI80" s="1894"/>
      <c r="BJ80" s="2043"/>
      <c r="BK80" s="2043"/>
      <c r="BL80" s="1894"/>
      <c r="BM80" s="1894"/>
      <c r="BN80" s="1894"/>
      <c r="BO80" s="2043"/>
      <c r="BP80" s="2043"/>
      <c r="BQ80" s="1894"/>
      <c r="BR80" s="1894"/>
      <c r="BS80" s="1894"/>
      <c r="BT80" s="2043"/>
      <c r="BU80" s="2043"/>
      <c r="BV80" s="1894"/>
      <c r="BW80" s="1894"/>
      <c r="BX80" s="1894"/>
    </row>
    <row r="81" spans="1:76" s="2" customFormat="1" ht="14.4" customHeight="1" thickBot="1">
      <c r="A81" s="26"/>
      <c r="B81" s="1187" t="s">
        <v>12</v>
      </c>
      <c r="C81" s="1170">
        <f>(C75+C78)-C79</f>
        <v>8331346.1999999983</v>
      </c>
      <c r="D81" s="1170">
        <f>(D75+D78)-D79</f>
        <v>-4417759.1700000009</v>
      </c>
      <c r="E81" s="1033">
        <f>(E75+E78)-E79</f>
        <v>3913587.0299999975</v>
      </c>
      <c r="F81" s="1088"/>
      <c r="G81" s="1170">
        <v>10103865.364000004</v>
      </c>
      <c r="H81" s="1170">
        <v>-7461702.3268954549</v>
      </c>
      <c r="I81" s="1033">
        <v>1569807.1435148348</v>
      </c>
      <c r="J81" s="1226"/>
      <c r="K81" s="1226"/>
      <c r="L81" s="1170">
        <f>(L75+L78)-L79</f>
        <v>-171533.66</v>
      </c>
      <c r="M81" s="1170">
        <f>(M75+M78)-M79</f>
        <v>-384720.45590000006</v>
      </c>
      <c r="N81" s="1033">
        <f>(N75+N78)-N79</f>
        <v>-613741.08057471272</v>
      </c>
      <c r="O81" s="1046"/>
      <c r="P81" s="1046"/>
      <c r="Q81" s="1170">
        <f>(Q75+Q78)-Q79</f>
        <v>3264991.5079999999</v>
      </c>
      <c r="R81" s="1170">
        <f>(R75+R78)-R79</f>
        <v>-1451384.7699999998</v>
      </c>
      <c r="S81" s="1033">
        <f>(S75+S78)-S79</f>
        <v>1596733.1516781617</v>
      </c>
      <c r="T81" s="1046"/>
      <c r="U81" s="1046"/>
      <c r="V81" s="1170">
        <f>(V75+V78)-V79</f>
        <v>1437537.95</v>
      </c>
      <c r="W81" s="1170">
        <f>(W75+W78)-W79</f>
        <v>-90464</v>
      </c>
      <c r="X81" s="1033">
        <f>(X75+X78)-X79</f>
        <v>1333556.3408045976</v>
      </c>
      <c r="Y81" s="1046"/>
      <c r="Z81" s="1046"/>
      <c r="AA81" s="1170">
        <f>(AA75+AA78)-AA79</f>
        <v>0</v>
      </c>
      <c r="AB81" s="1170">
        <f>(AB75+AB78)-AB79</f>
        <v>0</v>
      </c>
      <c r="AC81" s="1033">
        <f>(AC75+AC78)-AC79</f>
        <v>0</v>
      </c>
      <c r="AD81" s="1046"/>
      <c r="AE81" s="1046"/>
      <c r="AF81" s="1509">
        <f>(AF75+AF78)-AF79</f>
        <v>56749.184000000001</v>
      </c>
      <c r="AG81" s="1509">
        <f>(AG75+AG78)-AG79</f>
        <v>0</v>
      </c>
      <c r="AH81" s="1369">
        <f>(AH75+AH78)-AH79</f>
        <v>56749.184000000001</v>
      </c>
      <c r="AI81" s="1657"/>
      <c r="AJ81" s="1364"/>
      <c r="AK81" s="1509">
        <f>(AK75+AK78)-AK79</f>
        <v>0</v>
      </c>
      <c r="AL81" s="1509">
        <f>(AL75+AL78)-AL79</f>
        <v>-72200</v>
      </c>
      <c r="AM81" s="1369">
        <f>(AM75+AM78)-AM79</f>
        <v>-82656.754168812738</v>
      </c>
      <c r="AN81" s="1364"/>
      <c r="AO81" s="1364"/>
      <c r="AP81" s="1509">
        <f>(AP75+AP78)-AP79</f>
        <v>0</v>
      </c>
      <c r="AQ81" s="1509">
        <f>(AQ75+AQ78)-AQ79</f>
        <v>0</v>
      </c>
      <c r="AR81" s="1369">
        <f>(AR75+AR78)-AR79</f>
        <v>0</v>
      </c>
      <c r="AS81" s="1364"/>
      <c r="AT81" s="1364"/>
      <c r="AU81" s="1959">
        <f>(AU75+AU78)-AU79</f>
        <v>-1055675.648</v>
      </c>
      <c r="AV81" s="1959">
        <f>(AV75+AV78)-AV79</f>
        <v>0</v>
      </c>
      <c r="AW81" s="2075">
        <f>(AW75+AW78)-AW79</f>
        <v>-1055675.648</v>
      </c>
      <c r="AX81" s="2076"/>
      <c r="AY81" s="2076"/>
      <c r="AZ81" s="1959">
        <f>(AZ75+AZ78)-AZ79</f>
        <v>0</v>
      </c>
      <c r="BA81" s="1959">
        <f>(BA75+BA78)-BA79</f>
        <v>0</v>
      </c>
      <c r="BB81" s="2075">
        <f>(BB75+BB78)-BB79</f>
        <v>0</v>
      </c>
      <c r="BC81" s="2076"/>
      <c r="BD81" s="2076"/>
      <c r="BE81" s="2093">
        <f>(BE75+BE78)-BE79</f>
        <v>0</v>
      </c>
      <c r="BF81" s="2093">
        <f>(BF75+BF78)-BF79</f>
        <v>0</v>
      </c>
      <c r="BG81" s="2092">
        <f>(BG75+BG78)-BG79</f>
        <v>0</v>
      </c>
      <c r="BH81" s="2094"/>
      <c r="BI81" s="2094"/>
      <c r="BJ81" s="2093">
        <f>(BJ75+BJ78)-BJ79</f>
        <v>0</v>
      </c>
      <c r="BK81" s="2093">
        <f>(BK75+BK78)-BK79</f>
        <v>0</v>
      </c>
      <c r="BL81" s="2092" t="e">
        <f>(BL75+BL78)-BL79</f>
        <v>#DIV/0!</v>
      </c>
      <c r="BM81" s="2094"/>
      <c r="BN81" s="2094"/>
      <c r="BO81" s="2093">
        <f>(BO75+BO78)-BO79</f>
        <v>0</v>
      </c>
      <c r="BP81" s="2093">
        <f>(BP75+BP78)-BP79</f>
        <v>0</v>
      </c>
      <c r="BQ81" s="2092" t="e">
        <f>(BQ75+BQ78)-BQ79</f>
        <v>#DIV/0!</v>
      </c>
      <c r="BR81" s="2094"/>
      <c r="BS81" s="2094"/>
      <c r="BT81" s="2093">
        <f>(BT75+BT78)-BT79</f>
        <v>13635934.698000003</v>
      </c>
      <c r="BU81" s="2093">
        <f>(BU75+BU78)-BU79</f>
        <v>-9460471.5527954549</v>
      </c>
      <c r="BV81" s="2092">
        <f>(BV75+BV78)-BV79</f>
        <v>2804772.3372540702</v>
      </c>
      <c r="BW81" s="2094"/>
      <c r="BX81" s="2094"/>
    </row>
    <row r="82" spans="1:76" s="2" customFormat="1" ht="14.4" customHeight="1">
      <c r="A82" s="293"/>
      <c r="B82" s="946" t="s">
        <v>38</v>
      </c>
      <c r="C82" s="483"/>
      <c r="D82" s="564"/>
      <c r="E82" s="565">
        <f>C82+D82</f>
        <v>0</v>
      </c>
      <c r="F82" s="1236">
        <f>E82/$E$89</f>
        <v>0</v>
      </c>
      <c r="G82" s="1176">
        <v>0</v>
      </c>
      <c r="H82" s="1176">
        <v>0</v>
      </c>
      <c r="I82" s="565">
        <v>0</v>
      </c>
      <c r="J82" s="1093"/>
      <c r="K82" s="1093"/>
      <c r="L82" s="1176"/>
      <c r="M82" s="1176"/>
      <c r="N82" s="565">
        <f>L82+M82</f>
        <v>0</v>
      </c>
      <c r="O82" s="1047"/>
      <c r="P82" s="1047"/>
      <c r="Q82" s="1176"/>
      <c r="R82" s="1176"/>
      <c r="S82" s="565">
        <f>Q82+R82</f>
        <v>0</v>
      </c>
      <c r="T82" s="1047"/>
      <c r="U82" s="1047"/>
      <c r="V82" s="1176"/>
      <c r="W82" s="1176"/>
      <c r="X82" s="565">
        <f>V82+W82</f>
        <v>0</v>
      </c>
      <c r="Y82" s="1047"/>
      <c r="Z82" s="1047"/>
      <c r="AA82" s="1176"/>
      <c r="AB82" s="1176"/>
      <c r="AC82" s="565">
        <f>AA82+AB82</f>
        <v>0</v>
      </c>
      <c r="AD82" s="1047"/>
      <c r="AE82" s="1047"/>
      <c r="AF82" s="1432"/>
      <c r="AG82" s="1432"/>
      <c r="AH82" s="1515">
        <f>AF82+AG82</f>
        <v>0</v>
      </c>
      <c r="AI82" s="1681"/>
      <c r="AJ82" s="1685"/>
      <c r="AK82" s="1432"/>
      <c r="AL82" s="1432"/>
      <c r="AM82" s="1515">
        <f>AK82+AL82</f>
        <v>0</v>
      </c>
      <c r="AN82" s="1476"/>
      <c r="AO82" s="1476"/>
      <c r="AP82" s="1432"/>
      <c r="AQ82" s="1432"/>
      <c r="AR82" s="1515">
        <f>AP82+AQ82</f>
        <v>0</v>
      </c>
      <c r="AS82" s="1476"/>
      <c r="AT82" s="1476"/>
      <c r="AU82" s="2043"/>
      <c r="AV82" s="2043"/>
      <c r="AW82" s="1515">
        <f>AU82+AV82</f>
        <v>0</v>
      </c>
      <c r="AX82" s="1476"/>
      <c r="AY82" s="1476"/>
      <c r="AZ82" s="2043"/>
      <c r="BA82" s="2043"/>
      <c r="BB82" s="1515">
        <f>AZ82+BA82</f>
        <v>0</v>
      </c>
      <c r="BC82" s="1476"/>
      <c r="BD82" s="1476"/>
      <c r="BE82" s="2043"/>
      <c r="BF82" s="2043"/>
      <c r="BG82" s="1515">
        <f>BE82+BF82</f>
        <v>0</v>
      </c>
      <c r="BH82" s="1476"/>
      <c r="BI82" s="1476"/>
      <c r="BJ82" s="2043"/>
      <c r="BK82" s="2043"/>
      <c r="BL82" s="1515">
        <f>BJ82+BK82</f>
        <v>0</v>
      </c>
      <c r="BM82" s="1476"/>
      <c r="BN82" s="1476"/>
      <c r="BO82" s="2043"/>
      <c r="BP82" s="2043"/>
      <c r="BQ82" s="1515">
        <f>BO82+BP82</f>
        <v>0</v>
      </c>
      <c r="BR82" s="1476"/>
      <c r="BS82" s="1476"/>
      <c r="BT82" s="2043">
        <f>G82+L82+Q82+V82+AA82+AF82+AK82+AP82+AU82+AZ82+BE82</f>
        <v>0</v>
      </c>
      <c r="BU82" s="2043">
        <f>H82+M82+R82+W82+AB82+AG82+AL82+AQ82+AV82+BA82+BF82</f>
        <v>0</v>
      </c>
      <c r="BV82" s="1515">
        <f>BT82+BU82</f>
        <v>0</v>
      </c>
      <c r="BW82" s="1476"/>
      <c r="BX82" s="1476"/>
    </row>
    <row r="83" spans="1:76" s="2" customFormat="1" ht="14.4" customHeight="1">
      <c r="A83" s="11"/>
      <c r="B83" s="1248" t="s">
        <v>13</v>
      </c>
      <c r="C83" s="1249">
        <f>(C81+C7)-C36</f>
        <v>8331346.1999999983</v>
      </c>
      <c r="D83" s="1249">
        <f>(D81+D7)-D36</f>
        <v>-4417759.1700000009</v>
      </c>
      <c r="E83" s="1249">
        <f>(E81+E7)-E36</f>
        <v>3913587.0299999975</v>
      </c>
      <c r="F83" s="1250"/>
      <c r="G83" s="1249">
        <v>10103865.364000004</v>
      </c>
      <c r="H83" s="1249">
        <v>-7461702.3268954549</v>
      </c>
      <c r="I83" s="1251">
        <v>1569807.1435148348</v>
      </c>
      <c r="J83" s="1253"/>
      <c r="K83" s="1253"/>
      <c r="L83" s="1249">
        <f>(L81)-L36</f>
        <v>-171533.66</v>
      </c>
      <c r="M83" s="1249">
        <f>(M81)-M36</f>
        <v>-384720.45590000006</v>
      </c>
      <c r="N83" s="1251">
        <f>(N81)-N36</f>
        <v>-613741.08057471272</v>
      </c>
      <c r="O83" s="1252"/>
      <c r="P83" s="1252"/>
      <c r="Q83" s="1249">
        <f>(Q81+Q7)-Q36</f>
        <v>3264991.5079999999</v>
      </c>
      <c r="R83" s="1249">
        <f>(R81+R7)-R36</f>
        <v>-1451384.7699999998</v>
      </c>
      <c r="S83" s="1251">
        <f>(S81+S7)-S36</f>
        <v>1596733.1516781617</v>
      </c>
      <c r="T83" s="1252"/>
      <c r="U83" s="1252"/>
      <c r="V83" s="1249">
        <f>(V81+V7)-V36</f>
        <v>1437537.95</v>
      </c>
      <c r="W83" s="1249">
        <f>(W81+W7)-W36</f>
        <v>-90464</v>
      </c>
      <c r="X83" s="1251">
        <f>(X81+X7)-X36</f>
        <v>1333556.3408045976</v>
      </c>
      <c r="Y83" s="1252"/>
      <c r="Z83" s="1252"/>
      <c r="AA83" s="1249">
        <f>(AA81+AA7)-AA36</f>
        <v>0</v>
      </c>
      <c r="AB83" s="1249">
        <f>(AB81+AB7)-AB36</f>
        <v>0</v>
      </c>
      <c r="AC83" s="1251">
        <f>(AC81+AC7)-AC36</f>
        <v>0</v>
      </c>
      <c r="AD83" s="1252"/>
      <c r="AE83" s="1252"/>
      <c r="AF83" s="1516">
        <f>(AF81)-AF36</f>
        <v>56749.184000000001</v>
      </c>
      <c r="AG83" s="1516">
        <f>(AG81)-AG36</f>
        <v>0</v>
      </c>
      <c r="AH83" s="1517">
        <f>(AH81)-AH36</f>
        <v>56749.184000000001</v>
      </c>
      <c r="AI83" s="1658"/>
      <c r="AJ83" s="1454"/>
      <c r="AK83" s="1516">
        <f>(AK81)-AK36</f>
        <v>0</v>
      </c>
      <c r="AL83" s="1516">
        <f>(AL81)-AL36</f>
        <v>-72200</v>
      </c>
      <c r="AM83" s="1517">
        <f>(AM81)-AM36</f>
        <v>-82656.754168812738</v>
      </c>
      <c r="AN83" s="1454"/>
      <c r="AO83" s="1454"/>
      <c r="AP83" s="1516">
        <f>(AP81)-AP36</f>
        <v>0</v>
      </c>
      <c r="AQ83" s="1516">
        <f>(AQ81)-AQ36</f>
        <v>0</v>
      </c>
      <c r="AR83" s="1517">
        <f>(AR81)-AR36</f>
        <v>0</v>
      </c>
      <c r="AS83" s="1454"/>
      <c r="AT83" s="1454"/>
      <c r="AU83" s="1896">
        <f>(AU81)-AU36</f>
        <v>-1055675.648</v>
      </c>
      <c r="AV83" s="1896">
        <f>(AV81)-AV36</f>
        <v>0</v>
      </c>
      <c r="AW83" s="1897">
        <f>(AW81)-AW36</f>
        <v>-1055675.648</v>
      </c>
      <c r="AX83" s="1898"/>
      <c r="AY83" s="1898"/>
      <c r="AZ83" s="1896">
        <f>(AZ81)-AZ36</f>
        <v>0</v>
      </c>
      <c r="BA83" s="1896">
        <f>(BA81)-BA36</f>
        <v>0</v>
      </c>
      <c r="BB83" s="1897">
        <f>(BB81)-BB36</f>
        <v>0</v>
      </c>
      <c r="BC83" s="1898"/>
      <c r="BD83" s="1898"/>
      <c r="BE83" s="1896">
        <f>(BE81)-BE36</f>
        <v>0</v>
      </c>
      <c r="BF83" s="1896">
        <f>(BF81)-BF36</f>
        <v>0</v>
      </c>
      <c r="BG83" s="1897">
        <f>(BG81)-BG36</f>
        <v>0</v>
      </c>
      <c r="BH83" s="1898"/>
      <c r="BI83" s="1898"/>
      <c r="BJ83" s="1896">
        <f>(BJ81)-BJ36</f>
        <v>0</v>
      </c>
      <c r="BK83" s="1896">
        <f>(BK81)-BK36</f>
        <v>0</v>
      </c>
      <c r="BL83" s="1897" t="e">
        <f>(BL81)-BL36</f>
        <v>#DIV/0!</v>
      </c>
      <c r="BM83" s="1898"/>
      <c r="BN83" s="1898"/>
      <c r="BO83" s="1896">
        <f>(BO81)-BO36</f>
        <v>0</v>
      </c>
      <c r="BP83" s="1896">
        <f>(BP81)-BP36</f>
        <v>0</v>
      </c>
      <c r="BQ83" s="1897" t="e">
        <f>(BQ81)-BQ36</f>
        <v>#DIV/0!</v>
      </c>
      <c r="BR83" s="1898"/>
      <c r="BS83" s="1898"/>
      <c r="BT83" s="1896">
        <f>(BT81)-BT36</f>
        <v>13635934.698000003</v>
      </c>
      <c r="BU83" s="1897">
        <f>(BU81)-BU36</f>
        <v>-9460471.5527954549</v>
      </c>
      <c r="BV83" s="1897">
        <f>(BV81)-BV36</f>
        <v>2804772.3372540702</v>
      </c>
      <c r="BW83" s="1898"/>
      <c r="BX83" s="1898"/>
    </row>
    <row r="84" spans="1:76" s="2" customFormat="1" ht="14.4" customHeight="1" thickBot="1">
      <c r="A84" s="11"/>
      <c r="B84" s="1308" t="s">
        <v>14</v>
      </c>
      <c r="C84" s="1309">
        <f>C83-C73-C82</f>
        <v>7503919.322999998</v>
      </c>
      <c r="D84" s="1309">
        <f>D83-D73-D82</f>
        <v>-4417759.1700000009</v>
      </c>
      <c r="E84" s="1309">
        <f>E83-E73-E82</f>
        <v>3086160.1529999976</v>
      </c>
      <c r="F84" s="1310"/>
      <c r="G84" s="1216">
        <v>10103865.364000004</v>
      </c>
      <c r="H84" s="1216">
        <v>-7461702.3268954549</v>
      </c>
      <c r="I84" s="1216">
        <v>1569807.1435148348</v>
      </c>
      <c r="J84" s="1310"/>
      <c r="K84" s="1310"/>
      <c r="L84" s="1216">
        <f>L83-L73-L82</f>
        <v>-171533.66</v>
      </c>
      <c r="M84" s="1216">
        <f>M83-M73-M82</f>
        <v>-384720.45590000006</v>
      </c>
      <c r="N84" s="1216">
        <f>N83-N73-N82</f>
        <v>-613741.08057471272</v>
      </c>
      <c r="O84" s="1311"/>
      <c r="P84" s="1311"/>
      <c r="Q84" s="1216">
        <f>Q83-Q73-Q82</f>
        <v>3264991.5079999999</v>
      </c>
      <c r="R84" s="1216">
        <f>R83-R73-R82</f>
        <v>-1451384.7699999998</v>
      </c>
      <c r="S84" s="1216">
        <f>S83-S73-S82</f>
        <v>1596733.1516781617</v>
      </c>
      <c r="T84" s="1311"/>
      <c r="U84" s="1311"/>
      <c r="V84" s="1216">
        <f>V83-V73-V82</f>
        <v>1437537.95</v>
      </c>
      <c r="W84" s="1216">
        <f>W83-W73-W82</f>
        <v>-90464</v>
      </c>
      <c r="X84" s="1216">
        <f>X83-X73-X82</f>
        <v>1333556.3408045976</v>
      </c>
      <c r="Y84" s="1311"/>
      <c r="Z84" s="1311"/>
      <c r="AA84" s="1034">
        <f>AA83-AA73-AA82</f>
        <v>0</v>
      </c>
      <c r="AB84" s="1034">
        <f>AB83-AB73-AB82</f>
        <v>0</v>
      </c>
      <c r="AC84" s="1216">
        <f>AC83-AC73-AC82</f>
        <v>0</v>
      </c>
      <c r="AD84" s="1311"/>
      <c r="AE84" s="1311"/>
      <c r="AF84" s="1377">
        <f>AF83-AF73-AF82</f>
        <v>56749.184000000001</v>
      </c>
      <c r="AG84" s="1377">
        <f>AG83-AG73-AG82</f>
        <v>0</v>
      </c>
      <c r="AH84" s="1555">
        <f>AH83-AH73-AH82</f>
        <v>56749.184000000001</v>
      </c>
      <c r="AI84" s="1682"/>
      <c r="AJ84" s="1461"/>
      <c r="AK84" s="1377">
        <f>AK83-AK73-AK82</f>
        <v>0</v>
      </c>
      <c r="AL84" s="1377">
        <f>AL83-AL73-AL82</f>
        <v>-72200</v>
      </c>
      <c r="AM84" s="1555">
        <f>AM83-AM73-AM82</f>
        <v>-82656.754168812738</v>
      </c>
      <c r="AN84" s="1461"/>
      <c r="AO84" s="1461"/>
      <c r="AP84" s="1377">
        <f>AP83-AP73-AP82</f>
        <v>0</v>
      </c>
      <c r="AQ84" s="1377">
        <f>AQ83-AQ73-AQ82</f>
        <v>0</v>
      </c>
      <c r="AR84" s="1555">
        <f>AR83-AR73-AR82</f>
        <v>0</v>
      </c>
      <c r="AS84" s="1461"/>
      <c r="AT84" s="1461"/>
      <c r="AU84" s="2077">
        <f>AU83-AU73-AU82</f>
        <v>-1055675.648</v>
      </c>
      <c r="AV84" s="2077">
        <f>AV83-AV73-AV82</f>
        <v>0</v>
      </c>
      <c r="AW84" s="1937">
        <f>AW83-AW73-AW82</f>
        <v>-1055675.648</v>
      </c>
      <c r="AX84" s="1938"/>
      <c r="AY84" s="1938"/>
      <c r="AZ84" s="2077">
        <f>AZ83-AZ73-AZ82</f>
        <v>0</v>
      </c>
      <c r="BA84" s="2077">
        <f>BA83-BA73-BA82</f>
        <v>0</v>
      </c>
      <c r="BB84" s="2077">
        <f>BB83-BB73-BB82</f>
        <v>0</v>
      </c>
      <c r="BC84" s="2078"/>
      <c r="BD84" s="2078"/>
      <c r="BE84" s="1937">
        <f>BE83-BE73-BE82</f>
        <v>0</v>
      </c>
      <c r="BF84" s="1937">
        <f>BF83-BF73-BF82</f>
        <v>0</v>
      </c>
      <c r="BG84" s="1937">
        <f>BG83-BG73-BG82</f>
        <v>0</v>
      </c>
      <c r="BH84" s="1938"/>
      <c r="BI84" s="1938"/>
      <c r="BJ84" s="1937">
        <f>BJ83-BJ73-BJ82</f>
        <v>0</v>
      </c>
      <c r="BK84" s="1937">
        <f>BK83-BK73-BK82</f>
        <v>0</v>
      </c>
      <c r="BL84" s="1937" t="e">
        <f>BL83-BL73-BL82</f>
        <v>#DIV/0!</v>
      </c>
      <c r="BM84" s="1938"/>
      <c r="BN84" s="1938"/>
      <c r="BO84" s="1937">
        <f>BO83-BO73-BO82</f>
        <v>0</v>
      </c>
      <c r="BP84" s="1937">
        <f>BP83-BP73-BP82</f>
        <v>0</v>
      </c>
      <c r="BQ84" s="1937" t="e">
        <f>BQ83-BQ73-BQ82</f>
        <v>#DIV/0!</v>
      </c>
      <c r="BR84" s="1938"/>
      <c r="BS84" s="1938"/>
      <c r="BT84" s="2089">
        <f>BT83-BT73-BT82</f>
        <v>13635934.698000003</v>
      </c>
      <c r="BU84" s="2089">
        <f>BU83-BU73-BU82</f>
        <v>-9460471.5527954549</v>
      </c>
      <c r="BV84" s="1937">
        <f>BV83-BV73-BV82</f>
        <v>2804772.3372540702</v>
      </c>
      <c r="BW84" s="1938"/>
      <c r="BX84" s="1938"/>
    </row>
    <row r="85" spans="1:76" s="2" customFormat="1" ht="14.4" customHeight="1">
      <c r="A85" s="293"/>
      <c r="B85" s="216" t="s">
        <v>44</v>
      </c>
      <c r="C85" s="483"/>
      <c r="D85" s="564"/>
      <c r="E85" s="565">
        <f>C85+D85</f>
        <v>0</v>
      </c>
      <c r="F85" s="1009">
        <f>E85/$E$89</f>
        <v>0</v>
      </c>
      <c r="G85" s="1176">
        <v>0</v>
      </c>
      <c r="H85" s="1176">
        <v>0</v>
      </c>
      <c r="I85" s="484">
        <v>0</v>
      </c>
      <c r="J85" s="1093"/>
      <c r="K85" s="1093"/>
      <c r="L85" s="1176"/>
      <c r="M85" s="1176"/>
      <c r="N85" s="484">
        <f>L85+M85*1.15</f>
        <v>0</v>
      </c>
      <c r="O85" s="566"/>
      <c r="P85" s="566"/>
      <c r="Q85" s="1176"/>
      <c r="R85" s="1176"/>
      <c r="S85" s="484">
        <f>Q85+R85*1.15</f>
        <v>0</v>
      </c>
      <c r="T85" s="566"/>
      <c r="U85" s="566"/>
      <c r="V85" s="1176"/>
      <c r="W85" s="1176"/>
      <c r="X85" s="484">
        <f>V85+W85*1.15</f>
        <v>0</v>
      </c>
      <c r="Y85" s="566"/>
      <c r="Z85" s="566"/>
      <c r="AA85" s="1176"/>
      <c r="AB85" s="1176"/>
      <c r="AC85" s="484">
        <f>AA85+AB85*1.15</f>
        <v>0</v>
      </c>
      <c r="AD85" s="566"/>
      <c r="AE85" s="566"/>
      <c r="AF85" s="1432"/>
      <c r="AG85" s="1432"/>
      <c r="AH85" s="1560">
        <f>AF85+AG85*1.15</f>
        <v>0</v>
      </c>
      <c r="AI85" s="1687"/>
      <c r="AJ85" s="1744"/>
      <c r="AK85" s="1432"/>
      <c r="AL85" s="1432"/>
      <c r="AM85" s="1560">
        <f>AK85+AL85*1.15</f>
        <v>0</v>
      </c>
      <c r="AN85" s="1477"/>
      <c r="AO85" s="1477"/>
      <c r="AP85" s="1432"/>
      <c r="AQ85" s="1432"/>
      <c r="AR85" s="1560">
        <f>AP85+AQ85*1.15</f>
        <v>0</v>
      </c>
      <c r="AS85" s="1477"/>
      <c r="AT85" s="1477"/>
      <c r="AU85" s="2043"/>
      <c r="AV85" s="2043"/>
      <c r="AW85" s="1560">
        <f>AU85+AV85*1.15</f>
        <v>0</v>
      </c>
      <c r="AX85" s="1477"/>
      <c r="AY85" s="1477"/>
      <c r="AZ85" s="2043"/>
      <c r="BA85" s="2043"/>
      <c r="BB85" s="2012">
        <f>AZ85+BA85*1.15</f>
        <v>0</v>
      </c>
      <c r="BC85" s="1476"/>
      <c r="BD85" s="1476"/>
      <c r="BE85" s="2043"/>
      <c r="BF85" s="2043"/>
      <c r="BG85" s="1560">
        <f>BE85+BF85*1.15</f>
        <v>0</v>
      </c>
      <c r="BH85" s="1477"/>
      <c r="BI85" s="1477"/>
      <c r="BJ85" s="2043"/>
      <c r="BK85" s="2043"/>
      <c r="BL85" s="1560">
        <f>BJ85+BK85*1.15</f>
        <v>0</v>
      </c>
      <c r="BM85" s="1477"/>
      <c r="BN85" s="1477"/>
      <c r="BO85" s="2043"/>
      <c r="BP85" s="2043"/>
      <c r="BQ85" s="1560">
        <f>BO85+BP85*1.15</f>
        <v>0</v>
      </c>
      <c r="BR85" s="1477"/>
      <c r="BS85" s="1477"/>
      <c r="BT85" s="2043">
        <f>G85+L85+Q85+V85+AA85+AF85+AK85+AP85+AU85+AZ85+BE85</f>
        <v>0</v>
      </c>
      <c r="BU85" s="2043">
        <f>H85+M85+R85+W85+AB85+AG85+AL85+AQ85+AV85+BA85+BF85</f>
        <v>0</v>
      </c>
      <c r="BV85" s="1560">
        <f>BT85+BU85*1.15</f>
        <v>0</v>
      </c>
      <c r="BW85" s="1477"/>
      <c r="BX85" s="1477"/>
    </row>
    <row r="86" spans="1:76" s="2" customFormat="1" ht="14.4" customHeight="1">
      <c r="A86" s="11"/>
      <c r="B86" s="1191" t="s">
        <v>50</v>
      </c>
      <c r="C86" s="1254">
        <f>C84-C85</f>
        <v>7503919.322999998</v>
      </c>
      <c r="D86" s="1254">
        <f>D84-D85</f>
        <v>-4417759.1700000009</v>
      </c>
      <c r="E86" s="1255">
        <f>E84-E85</f>
        <v>3086160.1529999976</v>
      </c>
      <c r="F86" s="1256"/>
      <c r="G86" s="1255">
        <v>10103865.364000004</v>
      </c>
      <c r="H86" s="1255">
        <v>-7461702.3268954549</v>
      </c>
      <c r="I86" s="1255">
        <v>1569807.1435148348</v>
      </c>
      <c r="J86" s="1256"/>
      <c r="K86" s="1256"/>
      <c r="L86" s="1255">
        <f>L84-L85</f>
        <v>-171533.66</v>
      </c>
      <c r="M86" s="1255">
        <f>M84-M85</f>
        <v>-384720.45590000006</v>
      </c>
      <c r="N86" s="1255">
        <f>N84-N85</f>
        <v>-613741.08057471272</v>
      </c>
      <c r="O86" s="1257"/>
      <c r="P86" s="1257"/>
      <c r="Q86" s="1255">
        <f>Q84-Q85</f>
        <v>3264991.5079999999</v>
      </c>
      <c r="R86" s="1255">
        <f>R84-R85</f>
        <v>-1451384.7699999998</v>
      </c>
      <c r="S86" s="1255">
        <f>S84-S85</f>
        <v>1596733.1516781617</v>
      </c>
      <c r="T86" s="1257"/>
      <c r="U86" s="1257"/>
      <c r="V86" s="1255">
        <f>V84-V85</f>
        <v>1437537.95</v>
      </c>
      <c r="W86" s="1255">
        <f>W84-W85</f>
        <v>-90464</v>
      </c>
      <c r="X86" s="1255">
        <f>X84-X85</f>
        <v>1333556.3408045976</v>
      </c>
      <c r="Y86" s="1257"/>
      <c r="Z86" s="1257"/>
      <c r="AA86" s="1255">
        <f>AA84-AA85</f>
        <v>0</v>
      </c>
      <c r="AB86" s="1255">
        <f>AB84-AB85</f>
        <v>0</v>
      </c>
      <c r="AC86" s="1255">
        <f>AC84-AC85</f>
        <v>0</v>
      </c>
      <c r="AD86" s="1257"/>
      <c r="AE86" s="1257"/>
      <c r="AF86" s="1519">
        <f>AF84-AF85</f>
        <v>56749.184000000001</v>
      </c>
      <c r="AG86" s="1519">
        <f>AG84-AG85</f>
        <v>0</v>
      </c>
      <c r="AH86" s="1519">
        <f>AH84-AH85</f>
        <v>56749.184000000001</v>
      </c>
      <c r="AI86" s="1455"/>
      <c r="AJ86" s="1456"/>
      <c r="AK86" s="1519">
        <f>AK84-AK85</f>
        <v>0</v>
      </c>
      <c r="AL86" s="1519">
        <f>AL84-AL85</f>
        <v>-72200</v>
      </c>
      <c r="AM86" s="1519">
        <f>AM84-AM85</f>
        <v>-82656.754168812738</v>
      </c>
      <c r="AN86" s="1456"/>
      <c r="AO86" s="1456"/>
      <c r="AP86" s="1519">
        <f>AP84-AP85</f>
        <v>0</v>
      </c>
      <c r="AQ86" s="1519">
        <f>AQ84-AQ85</f>
        <v>0</v>
      </c>
      <c r="AR86" s="1519">
        <f>AR84-AR85</f>
        <v>0</v>
      </c>
      <c r="AS86" s="1456"/>
      <c r="AT86" s="1456"/>
      <c r="AU86" s="1903">
        <f>AU84-AU85</f>
        <v>-1055675.648</v>
      </c>
      <c r="AV86" s="1903">
        <f>AV84-AV85</f>
        <v>0</v>
      </c>
      <c r="AW86" s="1903">
        <f>AW84-AW85</f>
        <v>-1055675.648</v>
      </c>
      <c r="AX86" s="1904"/>
      <c r="AY86" s="1904"/>
      <c r="AZ86" s="1903">
        <f>AZ84-AZ85</f>
        <v>0</v>
      </c>
      <c r="BA86" s="1903">
        <f>BA84-BA85</f>
        <v>0</v>
      </c>
      <c r="BB86" s="1903">
        <f>BB84-BB85</f>
        <v>0</v>
      </c>
      <c r="BC86" s="1904"/>
      <c r="BD86" s="1904"/>
      <c r="BE86" s="1903">
        <f>BE84-BE85</f>
        <v>0</v>
      </c>
      <c r="BF86" s="1903">
        <f>BF84-BF85</f>
        <v>0</v>
      </c>
      <c r="BG86" s="1903">
        <f>BG84-BG85</f>
        <v>0</v>
      </c>
      <c r="BH86" s="1904"/>
      <c r="BI86" s="1904"/>
      <c r="BJ86" s="1903">
        <f>BJ84-BJ85</f>
        <v>0</v>
      </c>
      <c r="BK86" s="1903">
        <f>BK84-BK85</f>
        <v>0</v>
      </c>
      <c r="BL86" s="1903" t="e">
        <f>BL84-BL85</f>
        <v>#DIV/0!</v>
      </c>
      <c r="BM86" s="1904"/>
      <c r="BN86" s="1904"/>
      <c r="BO86" s="1903">
        <f>BO84-BO85</f>
        <v>0</v>
      </c>
      <c r="BP86" s="1903">
        <f>BP84-BP85</f>
        <v>0</v>
      </c>
      <c r="BQ86" s="1903" t="e">
        <f>BQ84-BQ85</f>
        <v>#DIV/0!</v>
      </c>
      <c r="BR86" s="1904"/>
      <c r="BS86" s="1904"/>
      <c r="BT86" s="1903">
        <f>BT84-BT85</f>
        <v>13635934.698000003</v>
      </c>
      <c r="BU86" s="1903">
        <f>BU84-BU85</f>
        <v>-9460471.5527954549</v>
      </c>
      <c r="BV86" s="1903">
        <f>BV84-BV85</f>
        <v>2804772.3372540702</v>
      </c>
      <c r="BW86" s="1904"/>
      <c r="BX86" s="1904"/>
    </row>
    <row r="87" spans="1:76" s="2" customFormat="1" ht="14.4" customHeight="1" thickBot="1">
      <c r="A87" s="295"/>
      <c r="B87" s="1192" t="s">
        <v>51</v>
      </c>
      <c r="C87" s="1171">
        <f>C86/C5</f>
        <v>0.2720694552565277</v>
      </c>
      <c r="D87" s="1172" t="e">
        <f>D86/D5</f>
        <v>#DIV/0!</v>
      </c>
      <c r="E87" s="1035">
        <f>E86/E5</f>
        <v>0.11189484794799569</v>
      </c>
      <c r="F87" s="1095"/>
      <c r="G87" s="1171">
        <v>0.34546908243545427</v>
      </c>
      <c r="H87" s="1172" t="e">
        <v>#DIV/0!</v>
      </c>
      <c r="I87" s="1035">
        <v>5.3674491289538849E-2</v>
      </c>
      <c r="J87" s="1227"/>
      <c r="K87" s="1227"/>
      <c r="L87" s="1171" t="e">
        <f>L86/L5</f>
        <v>#DIV/0!</v>
      </c>
      <c r="M87" s="1172" t="e">
        <f>M86/M5</f>
        <v>#DIV/0!</v>
      </c>
      <c r="N87" s="1035" t="e">
        <f>N86/N5</f>
        <v>#DIV/0!</v>
      </c>
      <c r="O87" s="1048"/>
      <c r="P87" s="1048"/>
      <c r="Q87" s="1171">
        <f>Q86/Q5</f>
        <v>0.66720006736347315</v>
      </c>
      <c r="R87" s="1172" t="e">
        <f>R86/R5</f>
        <v>#DIV/0!</v>
      </c>
      <c r="S87" s="1035">
        <f>S86/S5</f>
        <v>0.32629195627333935</v>
      </c>
      <c r="T87" s="1048"/>
      <c r="U87" s="1048"/>
      <c r="V87" s="1171">
        <f>V86/V5</f>
        <v>0.98797278154953483</v>
      </c>
      <c r="W87" s="1172" t="e">
        <f>W86/W5</f>
        <v>#DIV/0!</v>
      </c>
      <c r="X87" s="1035">
        <f>X86/X5</f>
        <v>0.9165096249304151</v>
      </c>
      <c r="Y87" s="1048"/>
      <c r="Z87" s="1048"/>
      <c r="AA87" s="1171" t="e">
        <f>AA86/AA5</f>
        <v>#DIV/0!</v>
      </c>
      <c r="AB87" s="1172" t="e">
        <f>AB86/AB5</f>
        <v>#DIV/0!</v>
      </c>
      <c r="AC87" s="1035" t="e">
        <f>AC86/AC5</f>
        <v>#DIV/0!</v>
      </c>
      <c r="AD87" s="1048"/>
      <c r="AE87" s="1048"/>
      <c r="AF87" s="1524">
        <f>AF86/AF5</f>
        <v>0.9509230202084521</v>
      </c>
      <c r="AG87" s="1520" t="e">
        <f>AG86/AG5</f>
        <v>#DIV/0!</v>
      </c>
      <c r="AH87" s="1370">
        <f>AH86/AH5</f>
        <v>0.9509230202084521</v>
      </c>
      <c r="AI87" s="1457"/>
      <c r="AJ87" s="1365"/>
      <c r="AK87" s="1524" t="e">
        <f>AK86/AK5</f>
        <v>#DIV/0!</v>
      </c>
      <c r="AL87" s="1520" t="e">
        <f>AL86/AL5</f>
        <v>#DIV/0!</v>
      </c>
      <c r="AM87" s="1370" t="e">
        <f>AM86/AM5</f>
        <v>#DIV/0!</v>
      </c>
      <c r="AN87" s="1365"/>
      <c r="AO87" s="1365"/>
      <c r="AP87" s="1524" t="e">
        <f>AP86/AP5</f>
        <v>#DIV/0!</v>
      </c>
      <c r="AQ87" s="1520" t="e">
        <f>AQ86/AQ5</f>
        <v>#DIV/0!</v>
      </c>
      <c r="AR87" s="1370" t="e">
        <f>AR86/AR5</f>
        <v>#DIV/0!</v>
      </c>
      <c r="AS87" s="1365"/>
      <c r="AT87" s="1365"/>
      <c r="AU87" s="1961" t="e">
        <f>AU86/AU5</f>
        <v>#DIV/0!</v>
      </c>
      <c r="AV87" s="1520" t="e">
        <f>AV86/AV5</f>
        <v>#DIV/0!</v>
      </c>
      <c r="AW87" s="2079" t="e">
        <f>AW86/AW5</f>
        <v>#DIV/0!</v>
      </c>
      <c r="AX87" s="2080"/>
      <c r="AY87" s="2080"/>
      <c r="AZ87" s="1961" t="e">
        <f>AZ86/AZ5</f>
        <v>#DIV/0!</v>
      </c>
      <c r="BA87" s="1520" t="e">
        <f>BA86/BA5</f>
        <v>#DIV/0!</v>
      </c>
      <c r="BB87" s="2079" t="e">
        <f>BB86/BB5</f>
        <v>#DIV/0!</v>
      </c>
      <c r="BC87" s="2080"/>
      <c r="BD87" s="2080"/>
      <c r="BE87" s="2096" t="e">
        <f>BE86/BE5</f>
        <v>#DIV/0!</v>
      </c>
      <c r="BF87" s="2101" t="e">
        <f>BF86/BF5</f>
        <v>#DIV/0!</v>
      </c>
      <c r="BG87" s="2095" t="e">
        <f>BG86/BG5</f>
        <v>#DIV/0!</v>
      </c>
      <c r="BH87" s="2097"/>
      <c r="BI87" s="2097"/>
      <c r="BJ87" s="2096" t="e">
        <f>BJ86/BJ5</f>
        <v>#DIV/0!</v>
      </c>
      <c r="BK87" s="2101" t="e">
        <f>BK86/BK5</f>
        <v>#DIV/0!</v>
      </c>
      <c r="BL87" s="2095" t="e">
        <f>BL86/BL5</f>
        <v>#DIV/0!</v>
      </c>
      <c r="BM87" s="2097"/>
      <c r="BN87" s="2097"/>
      <c r="BO87" s="2096" t="e">
        <f>BO86/BO5</f>
        <v>#DIV/0!</v>
      </c>
      <c r="BP87" s="2101" t="e">
        <f>BP86/BP5</f>
        <v>#DIV/0!</v>
      </c>
      <c r="BQ87" s="2095" t="e">
        <f>BQ86/BQ5</f>
        <v>#DIV/0!</v>
      </c>
      <c r="BR87" s="2097"/>
      <c r="BS87" s="2097"/>
      <c r="BT87" s="2096">
        <f>BT86/BT5</f>
        <v>0.38244007427370708</v>
      </c>
      <c r="BU87" s="2101" t="e">
        <f>BU86/BU5</f>
        <v>#DIV/0!</v>
      </c>
      <c r="BV87" s="2095">
        <f>BV86/BV5</f>
        <v>7.8664012752834134E-2</v>
      </c>
      <c r="BW87" s="2097"/>
      <c r="BX87" s="2097"/>
    </row>
    <row r="88" spans="1:76" ht="13.8">
      <c r="A88" s="30"/>
      <c r="B88" s="30"/>
      <c r="C88" s="152"/>
      <c r="D88" s="152"/>
      <c r="E88" s="152"/>
      <c r="F88" s="188"/>
      <c r="G88" s="76"/>
      <c r="H88" s="76"/>
      <c r="I88" s="76"/>
      <c r="J88" s="188"/>
      <c r="K88" s="188"/>
      <c r="L88" s="76"/>
      <c r="M88" s="76"/>
      <c r="N88" s="76"/>
      <c r="O88" s="76"/>
      <c r="P88" s="76"/>
      <c r="Q88" s="76"/>
      <c r="R88" s="76"/>
      <c r="S88" s="76"/>
      <c r="T88" s="76"/>
      <c r="U88" s="76"/>
      <c r="V88" s="76"/>
      <c r="W88" s="76"/>
      <c r="X88" s="76"/>
      <c r="Y88" s="76"/>
      <c r="Z88" s="76"/>
      <c r="AA88" s="76"/>
      <c r="AB88" s="76"/>
      <c r="AC88" s="76"/>
      <c r="AD88" s="76"/>
      <c r="AE88" s="76"/>
      <c r="AF88" s="1458"/>
      <c r="AG88" s="1458"/>
      <c r="AH88" s="1458"/>
      <c r="AI88" s="1458"/>
      <c r="AJ88" s="1458"/>
      <c r="AK88" s="1458"/>
      <c r="AL88" s="1458"/>
      <c r="AM88" s="1458"/>
      <c r="AN88" s="1458"/>
      <c r="AO88" s="1458"/>
      <c r="AP88" s="1458"/>
      <c r="AQ88" s="1458"/>
      <c r="AR88" s="1458"/>
      <c r="AS88" s="1458"/>
      <c r="AT88" s="1458"/>
      <c r="AU88" s="1954"/>
      <c r="AV88" s="1954"/>
      <c r="AW88" s="1954"/>
      <c r="AX88" s="1954"/>
      <c r="AY88" s="1954"/>
      <c r="AZ88" s="1954"/>
      <c r="BA88" s="1954"/>
      <c r="BB88" s="1954"/>
      <c r="BC88" s="1954"/>
      <c r="BD88" s="1954"/>
      <c r="BE88" s="1954"/>
      <c r="BF88" s="1954"/>
      <c r="BG88" s="1954"/>
      <c r="BH88" s="1954"/>
      <c r="BI88" s="1954"/>
      <c r="BJ88" s="1954"/>
      <c r="BK88" s="1954"/>
      <c r="BL88" s="1954"/>
      <c r="BM88" s="1954"/>
      <c r="BN88" s="1954"/>
      <c r="BO88" s="1954"/>
      <c r="BP88" s="1954"/>
      <c r="BQ88" s="1954"/>
      <c r="BR88" s="1954"/>
      <c r="BS88" s="1954"/>
      <c r="BT88" s="1954"/>
      <c r="BU88" s="1954"/>
      <c r="BV88" s="1954"/>
      <c r="BW88" s="1954"/>
      <c r="BX88" s="1954"/>
    </row>
    <row r="89" spans="1:76">
      <c r="B89" s="221" t="s">
        <v>56</v>
      </c>
      <c r="C89" s="153"/>
      <c r="D89" s="153"/>
      <c r="E89" s="154">
        <f>E8+E36+E41+E50+E54+E73+E79+E82+E85</f>
        <v>24494735.747000001</v>
      </c>
      <c r="F89" s="189"/>
      <c r="I89" s="154">
        <v>27676993.446485169</v>
      </c>
      <c r="J89" s="189"/>
      <c r="K89" s="189"/>
      <c r="N89" s="154">
        <f>N8+N36+N41+N50+N54+N73+N79+N82+N85</f>
        <v>613741.08057471272</v>
      </c>
      <c r="S89" s="154">
        <f>S8+S36+S41+S50+S54+S73+S79+S82+S85</f>
        <v>3296838.7583218389</v>
      </c>
      <c r="X89" s="154">
        <f>X8+X36+X41+X50+X54+X73+X79+X82+X85</f>
        <v>121481.6691954023</v>
      </c>
      <c r="AC89" s="154">
        <f>AC8+AC36+AC41+AC50+AC54+AC73+AC79+AC82+AC85</f>
        <v>0</v>
      </c>
      <c r="AH89" s="1523">
        <f>AH8+AH36+AH41+AH50+AH54+AH73+AH79+AH82+AH85</f>
        <v>2928.8159999999998</v>
      </c>
      <c r="AM89" s="1523">
        <f>AM8+AM36+AM41+AM50+AM54+AM73+AM79+AM82+AM85</f>
        <v>82656.754168812738</v>
      </c>
      <c r="AR89" s="1523">
        <f>AR8+AR36+AR41+AR50+AR54+AR73+AR79+AR82+AR85</f>
        <v>0</v>
      </c>
      <c r="AW89" s="1960">
        <f>AW8+AW36+AW41+AW50+AW54+AW73+AW79+AW82+AW85</f>
        <v>1055675.648</v>
      </c>
      <c r="BB89" s="1960">
        <f>BB8+BB36+BB41+BB50+BB54+BB73+BB79+BB82+BB85</f>
        <v>0</v>
      </c>
      <c r="BG89" s="1960">
        <f>BG8+BG36+BG41+BG50+BG54+BG73+BG79+BG82+BG85</f>
        <v>0</v>
      </c>
      <c r="BL89" s="1960" t="e">
        <f>BL8+BL36+BL41+BL50+BL54+BL73+BL79+BL82+BL85</f>
        <v>#DIV/0!</v>
      </c>
      <c r="BQ89" s="1960" t="e">
        <f>BQ8+BQ36+BQ41+BQ50+BQ54+BQ73+BQ79+BQ82+BQ85</f>
        <v>#DIV/0!</v>
      </c>
      <c r="BV89" s="1960">
        <f>BV8+BV36+BV41+BV50+BV54+BV73+BV79+BV82+BV85</f>
        <v>32850316.172745936</v>
      </c>
    </row>
    <row r="90" spans="1:76" s="1340" customFormat="1">
      <c r="A90" s="1336"/>
      <c r="B90" s="1336"/>
      <c r="C90" s="1341"/>
      <c r="D90" s="1341"/>
      <c r="E90" s="1341"/>
      <c r="F90" s="1337"/>
      <c r="G90" s="1337"/>
      <c r="H90" s="1337"/>
      <c r="I90" s="1337" t="b">
        <v>1</v>
      </c>
      <c r="J90" s="1337"/>
      <c r="K90" s="1337"/>
      <c r="L90" s="1337"/>
      <c r="M90" s="1337"/>
      <c r="N90" s="1337"/>
      <c r="O90" s="1337"/>
      <c r="P90" s="1337"/>
      <c r="Q90" s="1337"/>
      <c r="R90" s="1337"/>
      <c r="S90" s="1337"/>
      <c r="T90" s="1337"/>
      <c r="U90" s="1337"/>
      <c r="V90" s="1337"/>
      <c r="W90" s="1337"/>
      <c r="X90" s="1337"/>
      <c r="Y90" s="1337"/>
      <c r="Z90" s="1337"/>
      <c r="AA90" s="1337"/>
      <c r="AB90" s="1337"/>
      <c r="AC90" s="1337"/>
      <c r="AD90" s="1337"/>
      <c r="AE90" s="1337"/>
      <c r="AF90" s="1856"/>
      <c r="AG90" s="1856"/>
      <c r="AH90" s="1856"/>
      <c r="AI90" s="1856"/>
      <c r="AJ90" s="1856"/>
      <c r="AK90" s="1856"/>
      <c r="AL90" s="1856"/>
      <c r="AM90" s="1856"/>
      <c r="AN90" s="1856"/>
      <c r="AO90" s="1856"/>
      <c r="AP90" s="1856"/>
      <c r="AQ90" s="1856"/>
      <c r="AR90" s="1856"/>
      <c r="AS90" s="1856"/>
      <c r="AT90" s="1856"/>
      <c r="AU90" s="1973"/>
      <c r="AV90" s="1973"/>
      <c r="AW90" s="1973"/>
      <c r="AX90" s="1973"/>
      <c r="AY90" s="1973"/>
      <c r="AZ90" s="1973"/>
      <c r="BA90" s="1973"/>
      <c r="BB90" s="1973"/>
      <c r="BC90" s="1973"/>
      <c r="BD90" s="1973"/>
      <c r="BE90" s="1973"/>
      <c r="BF90" s="1973"/>
      <c r="BG90" s="1973"/>
      <c r="BH90" s="1973"/>
      <c r="BI90" s="1973"/>
      <c r="BJ90" s="1973"/>
      <c r="BK90" s="1973"/>
      <c r="BL90" s="1973"/>
      <c r="BM90" s="1973"/>
      <c r="BN90" s="1973"/>
      <c r="BO90" s="1973"/>
      <c r="BP90" s="1973"/>
      <c r="BQ90" s="1973"/>
      <c r="BR90" s="1973"/>
      <c r="BS90" s="1973"/>
      <c r="BT90" s="1973"/>
      <c r="BU90" s="1973"/>
      <c r="BV90" s="1606" t="b">
        <f>(I89+N89+S89+X89+AC89+AH89+AR89+AM89+AW89+BB89+BG89)=BV89</f>
        <v>1</v>
      </c>
      <c r="BW90" s="1973"/>
      <c r="BX90" s="1973"/>
    </row>
    <row r="91" spans="1:76" s="1339" customFormat="1">
      <c r="A91" s="1336"/>
      <c r="B91" s="1336"/>
      <c r="C91" s="1341"/>
      <c r="D91" s="1341"/>
      <c r="E91" s="1341"/>
      <c r="F91" s="1337"/>
      <c r="G91" s="1337"/>
      <c r="H91" s="1337"/>
      <c r="I91" s="1337"/>
      <c r="J91" s="1337"/>
      <c r="K91" s="1337"/>
      <c r="L91" s="1337"/>
      <c r="M91" s="1337"/>
      <c r="N91" s="1337"/>
      <c r="O91" s="1337"/>
      <c r="P91" s="1337"/>
      <c r="Q91" s="1337"/>
      <c r="R91" s="1337"/>
      <c r="S91" s="1337"/>
      <c r="T91" s="1337"/>
      <c r="U91" s="1337"/>
      <c r="V91" s="1337"/>
      <c r="W91" s="1337"/>
      <c r="X91" s="1337"/>
      <c r="Y91" s="1337"/>
      <c r="Z91" s="1337"/>
      <c r="AA91" s="1337"/>
      <c r="AB91" s="1337"/>
      <c r="AC91" s="1337"/>
      <c r="AD91" s="1337"/>
      <c r="AE91" s="1337"/>
      <c r="AF91" s="1856"/>
      <c r="AG91" s="1856"/>
      <c r="AH91" s="1856"/>
      <c r="AI91" s="1856"/>
      <c r="AJ91" s="1856"/>
      <c r="AK91" s="1856"/>
      <c r="AL91" s="1856"/>
      <c r="AM91" s="1856"/>
      <c r="AN91" s="1856"/>
      <c r="AO91" s="1856"/>
      <c r="AP91" s="1856"/>
      <c r="AQ91" s="1856"/>
      <c r="AR91" s="1856"/>
      <c r="AS91" s="1856"/>
      <c r="AT91" s="1856"/>
      <c r="AU91" s="1973"/>
      <c r="AV91" s="1973"/>
      <c r="AW91" s="1973"/>
      <c r="AX91" s="1973"/>
      <c r="AY91" s="1973"/>
      <c r="AZ91" s="1973"/>
      <c r="BA91" s="1973"/>
      <c r="BB91" s="1973"/>
      <c r="BC91" s="1973"/>
      <c r="BD91" s="1973"/>
      <c r="BE91" s="1973"/>
      <c r="BF91" s="1973"/>
      <c r="BG91" s="1973"/>
      <c r="BH91" s="1973"/>
      <c r="BI91" s="1973"/>
      <c r="BJ91" s="1973"/>
      <c r="BK91" s="1973"/>
      <c r="BL91" s="1973"/>
      <c r="BM91" s="1973"/>
      <c r="BN91" s="1973"/>
      <c r="BO91" s="1973"/>
      <c r="BP91" s="1973"/>
      <c r="BQ91" s="1973"/>
      <c r="BR91" s="1973"/>
      <c r="BS91" s="1973"/>
      <c r="BT91" s="1973"/>
      <c r="BU91" s="1973"/>
      <c r="BV91" s="1973"/>
      <c r="BW91" s="1973"/>
      <c r="BX91" s="1973"/>
    </row>
    <row r="92" spans="1:76" s="1340" customFormat="1">
      <c r="A92" s="1336"/>
      <c r="B92" s="1336"/>
      <c r="C92" s="1337"/>
      <c r="D92" s="1337"/>
      <c r="E92" s="1337"/>
      <c r="F92" s="1337"/>
      <c r="G92" s="1337"/>
      <c r="H92" s="1337"/>
      <c r="I92" s="1337"/>
      <c r="J92" s="1337"/>
      <c r="K92" s="1337"/>
      <c r="L92" s="1337"/>
      <c r="M92" s="1337"/>
      <c r="N92" s="1337"/>
      <c r="O92" s="1337"/>
      <c r="P92" s="1337"/>
      <c r="Q92" s="1337"/>
      <c r="R92" s="1337"/>
      <c r="S92" s="1337"/>
      <c r="T92" s="1337"/>
      <c r="U92" s="1337"/>
      <c r="V92" s="1337"/>
      <c r="W92" s="1337"/>
      <c r="X92" s="1337"/>
      <c r="Y92" s="1337"/>
      <c r="Z92" s="1337"/>
      <c r="AA92" s="1337"/>
      <c r="AB92" s="1337"/>
      <c r="AC92" s="1337">
        <f>AC5-AC89</f>
        <v>0</v>
      </c>
      <c r="AD92" s="1337"/>
      <c r="AE92" s="1337"/>
      <c r="AF92" s="1856"/>
      <c r="AG92" s="1856"/>
      <c r="AH92" s="1856">
        <f>AH5-AH89</f>
        <v>56749.184000000001</v>
      </c>
      <c r="AI92" s="1856"/>
      <c r="AJ92" s="1856"/>
      <c r="AK92" s="1856"/>
      <c r="AL92" s="1856"/>
      <c r="AM92" s="1856">
        <f>AM5-AM89</f>
        <v>-82656.754168812738</v>
      </c>
      <c r="AN92" s="1856"/>
      <c r="AO92" s="1856"/>
      <c r="AP92" s="1856"/>
      <c r="AQ92" s="1856"/>
      <c r="AR92" s="1856">
        <f>AR5-AR89</f>
        <v>0</v>
      </c>
      <c r="AS92" s="1856"/>
      <c r="AT92" s="1856"/>
      <c r="AU92" s="1973"/>
      <c r="AV92" s="1973"/>
      <c r="AW92" s="1973">
        <f>AW5-AW89</f>
        <v>-1055675.648</v>
      </c>
      <c r="AX92" s="1973"/>
      <c r="AY92" s="1973"/>
      <c r="AZ92" s="1973"/>
      <c r="BA92" s="1973"/>
      <c r="BB92" s="1973">
        <f>BB5-BB89</f>
        <v>0</v>
      </c>
      <c r="BC92" s="1973"/>
      <c r="BD92" s="1973"/>
      <c r="BE92" s="1973"/>
      <c r="BF92" s="1973"/>
      <c r="BG92" s="1973">
        <f>BG5-BG89</f>
        <v>0</v>
      </c>
      <c r="BH92" s="1973"/>
      <c r="BI92" s="1973"/>
      <c r="BJ92" s="1973"/>
      <c r="BK92" s="1973"/>
      <c r="BL92" s="1973" t="e">
        <f>BL5-BL89</f>
        <v>#DIV/0!</v>
      </c>
      <c r="BM92" s="1973"/>
      <c r="BN92" s="1973"/>
      <c r="BO92" s="1973"/>
      <c r="BP92" s="1973"/>
      <c r="BQ92" s="1973"/>
      <c r="BR92" s="1973"/>
      <c r="BS92" s="1973"/>
      <c r="BT92" s="1973"/>
      <c r="BU92" s="1973"/>
      <c r="BV92" s="1973">
        <f>BV5-BV89</f>
        <v>2804772.3372540697</v>
      </c>
      <c r="BW92" s="1973"/>
      <c r="BX92" s="1973"/>
    </row>
    <row r="93" spans="1:76" s="2" customFormat="1">
      <c r="A93" s="8"/>
      <c r="B93" s="629"/>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1431"/>
      <c r="AG93" s="1431"/>
      <c r="AH93" s="1431"/>
      <c r="AI93" s="1431"/>
      <c r="AJ93" s="1431"/>
      <c r="AK93" s="1431"/>
      <c r="AL93" s="1431"/>
      <c r="AM93" s="1431"/>
      <c r="AN93" s="1431"/>
      <c r="AO93" s="1431"/>
      <c r="AP93" s="1431"/>
      <c r="AQ93" s="1431"/>
      <c r="AR93" s="1431"/>
      <c r="AS93" s="1431"/>
      <c r="AT93" s="1431"/>
      <c r="AU93" s="1952"/>
      <c r="AV93" s="1952"/>
      <c r="AW93" s="1952"/>
      <c r="AX93" s="1952"/>
      <c r="AY93" s="1952"/>
      <c r="AZ93" s="1952"/>
      <c r="BA93" s="1952"/>
      <c r="BB93" s="1952"/>
      <c r="BC93" s="1952"/>
      <c r="BD93" s="1952"/>
      <c r="BE93" s="1952"/>
      <c r="BF93" s="1952"/>
      <c r="BG93" s="1952"/>
      <c r="BH93" s="1952"/>
      <c r="BI93" s="1952"/>
      <c r="BJ93" s="1952"/>
      <c r="BK93" s="1952"/>
      <c r="BL93" s="1952"/>
      <c r="BM93" s="1952"/>
      <c r="BN93" s="1952"/>
      <c r="BO93" s="1952"/>
      <c r="BP93" s="1952"/>
      <c r="BQ93" s="1952"/>
      <c r="BR93" s="1952"/>
      <c r="BS93" s="1952"/>
      <c r="BT93" s="1952"/>
      <c r="BU93" s="1952"/>
      <c r="BV93" s="1952"/>
      <c r="BW93" s="1952"/>
      <c r="BX93" s="1952"/>
    </row>
    <row r="94" spans="1:76" s="2" customFormat="1">
      <c r="A94" s="8"/>
      <c r="B94" s="629"/>
      <c r="C94" s="38"/>
      <c r="D94" s="38"/>
      <c r="E94" s="38"/>
      <c r="F94" s="38"/>
      <c r="G94" s="38"/>
      <c r="H94" s="38"/>
      <c r="I94" s="38"/>
      <c r="J94" s="38"/>
      <c r="K94" s="38"/>
      <c r="L94" s="38"/>
      <c r="M94" s="38"/>
      <c r="N94" s="38"/>
      <c r="O94" s="38"/>
      <c r="P94" s="38"/>
      <c r="Q94" s="38"/>
      <c r="R94" s="38"/>
      <c r="S94" s="38"/>
      <c r="T94" s="38"/>
      <c r="U94" s="38"/>
      <c r="V94" s="38"/>
      <c r="W94" s="38"/>
      <c r="X94" s="38"/>
      <c r="Y94" s="38"/>
      <c r="Z94" s="38"/>
      <c r="AA94" s="626"/>
      <c r="AB94" s="38"/>
      <c r="AC94" s="38"/>
      <c r="AD94" s="38"/>
      <c r="AE94" s="38"/>
      <c r="AF94" s="1431"/>
      <c r="AG94" s="1431"/>
      <c r="AH94" s="1431"/>
      <c r="AI94" s="1431"/>
      <c r="AJ94" s="1431"/>
      <c r="AK94" s="1431"/>
      <c r="AL94" s="1431"/>
      <c r="AM94" s="1431"/>
      <c r="AN94" s="1431"/>
      <c r="AO94" s="1431"/>
      <c r="AP94" s="1431"/>
      <c r="AQ94" s="1431"/>
      <c r="AR94" s="1431"/>
      <c r="AS94" s="1431"/>
      <c r="AT94" s="1431"/>
      <c r="AU94" s="1952"/>
      <c r="AV94" s="1952"/>
      <c r="AW94" s="1952"/>
      <c r="AX94" s="1952"/>
      <c r="AY94" s="1952"/>
      <c r="AZ94" s="1952"/>
      <c r="BA94" s="1952"/>
      <c r="BB94" s="1952"/>
      <c r="BC94" s="1952"/>
      <c r="BD94" s="1952"/>
      <c r="BE94" s="1952"/>
      <c r="BF94" s="1952"/>
      <c r="BG94" s="1952"/>
      <c r="BH94" s="1952"/>
      <c r="BI94" s="1952"/>
      <c r="BJ94" s="1952"/>
      <c r="BK94" s="1952"/>
      <c r="BL94" s="1952"/>
      <c r="BM94" s="1952"/>
      <c r="BN94" s="1952"/>
      <c r="BO94" s="1952"/>
      <c r="BP94" s="1952"/>
      <c r="BQ94" s="1952"/>
      <c r="BR94" s="1952"/>
      <c r="BS94" s="1952"/>
      <c r="BT94" s="1654"/>
      <c r="BU94" s="1952"/>
      <c r="BV94" s="1952"/>
      <c r="BW94" s="1952"/>
      <c r="BX94" s="1952"/>
    </row>
    <row r="95" spans="1:76" s="2" customFormat="1">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1431"/>
      <c r="AG95" s="1431"/>
      <c r="AH95" s="1431"/>
      <c r="AI95" s="1431"/>
      <c r="AJ95" s="1431"/>
      <c r="AK95" s="1431"/>
      <c r="AL95" s="1431"/>
      <c r="AM95" s="1431"/>
      <c r="AN95" s="1431"/>
      <c r="AO95" s="1431"/>
      <c r="AP95" s="1431"/>
      <c r="AQ95" s="1431"/>
      <c r="AR95" s="1431"/>
      <c r="AS95" s="1431"/>
      <c r="AT95" s="1431"/>
      <c r="AU95" s="1952"/>
      <c r="AV95" s="1952"/>
      <c r="AW95" s="1952"/>
      <c r="AX95" s="1952"/>
      <c r="AY95" s="1952"/>
      <c r="AZ95" s="1952"/>
      <c r="BA95" s="1952"/>
      <c r="BB95" s="1952"/>
      <c r="BC95" s="1952"/>
      <c r="BD95" s="1952"/>
      <c r="BE95" s="1952"/>
      <c r="BF95" s="1952"/>
      <c r="BG95" s="1952"/>
      <c r="BH95" s="1952"/>
      <c r="BI95" s="1952"/>
      <c r="BJ95" s="1952"/>
      <c r="BK95" s="1952"/>
      <c r="BL95" s="1952"/>
      <c r="BM95" s="1952"/>
      <c r="BN95" s="1952"/>
      <c r="BO95" s="1952"/>
      <c r="BP95" s="1952"/>
      <c r="BQ95" s="1952"/>
      <c r="BR95" s="1952"/>
      <c r="BS95" s="1952"/>
      <c r="BT95" s="1952"/>
      <c r="BU95" s="1952"/>
      <c r="BV95" s="1592"/>
      <c r="BW95" s="1952"/>
      <c r="BX95" s="1952"/>
    </row>
    <row r="96" spans="1:76" s="2" customFormat="1">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1431"/>
      <c r="AG96" s="1431"/>
      <c r="AH96" s="1431"/>
      <c r="AI96" s="1431"/>
      <c r="AJ96" s="1431"/>
      <c r="AK96" s="1431"/>
      <c r="AL96" s="1431"/>
      <c r="AM96" s="1431"/>
      <c r="AN96" s="1431"/>
      <c r="AO96" s="1431"/>
      <c r="AP96" s="1431"/>
      <c r="AQ96" s="1431"/>
      <c r="AR96" s="1431"/>
      <c r="AS96" s="1431"/>
      <c r="AT96" s="1431"/>
      <c r="AU96" s="1952"/>
      <c r="AV96" s="1952"/>
      <c r="AW96" s="1952"/>
      <c r="AX96" s="1952"/>
      <c r="AY96" s="1952"/>
      <c r="AZ96" s="1952"/>
      <c r="BA96" s="1952"/>
      <c r="BB96" s="1952"/>
      <c r="BC96" s="1952"/>
      <c r="BD96" s="1952"/>
      <c r="BE96" s="1952"/>
      <c r="BF96" s="1952"/>
      <c r="BG96" s="1952"/>
      <c r="BH96" s="1952"/>
      <c r="BI96" s="1952"/>
      <c r="BJ96" s="1952"/>
      <c r="BK96" s="1952"/>
      <c r="BL96" s="1952"/>
      <c r="BM96" s="1952"/>
      <c r="BN96" s="1952"/>
      <c r="BO96" s="1952"/>
      <c r="BP96" s="1952"/>
      <c r="BQ96" s="1952"/>
      <c r="BR96" s="1952"/>
      <c r="BS96" s="1952"/>
      <c r="BT96" s="1952"/>
      <c r="BU96" s="1952"/>
      <c r="BV96" s="1952"/>
      <c r="BW96" s="1952"/>
      <c r="BX96" s="1952"/>
    </row>
    <row r="97" spans="1:76">
      <c r="C97" s="38"/>
      <c r="D97" s="38"/>
    </row>
    <row r="98" spans="1:76"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1431"/>
      <c r="AG98" s="1431"/>
      <c r="AH98" s="1431"/>
      <c r="AI98" s="1431"/>
      <c r="AJ98" s="1431"/>
      <c r="AK98" s="1431"/>
      <c r="AL98" s="1431"/>
      <c r="AM98" s="1431"/>
      <c r="AN98" s="1431"/>
      <c r="AO98" s="1431"/>
      <c r="AP98" s="1431"/>
      <c r="AQ98" s="1431"/>
      <c r="AR98" s="1431"/>
      <c r="AS98" s="1431"/>
      <c r="AT98" s="1431"/>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row>
    <row r="99" spans="1:76">
      <c r="C99" s="38"/>
      <c r="D99" s="38"/>
    </row>
  </sheetData>
  <mergeCells count="17">
    <mergeCell ref="BT2:BX3"/>
    <mergeCell ref="A2:F2"/>
    <mergeCell ref="A3:F3"/>
    <mergeCell ref="AK2:AO3"/>
    <mergeCell ref="AP2:AT3"/>
    <mergeCell ref="AU2:AY3"/>
    <mergeCell ref="AZ2:BD3"/>
    <mergeCell ref="BE2:BI3"/>
    <mergeCell ref="BJ2:BN3"/>
    <mergeCell ref="BO2:BS3"/>
    <mergeCell ref="Q2:U3"/>
    <mergeCell ref="V2:Z3"/>
    <mergeCell ref="A42:A48"/>
    <mergeCell ref="AA2:AD3"/>
    <mergeCell ref="AF2:AJ3"/>
    <mergeCell ref="G2:K3"/>
    <mergeCell ref="L2:P3"/>
  </mergeCells>
  <pageMargins left="0.7" right="0.7" top="0.75" bottom="0.75" header="0.3" footer="0.3"/>
  <pageSetup paperSize="9" orientation="portrait" verticalDpi="3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U103"/>
  <sheetViews>
    <sheetView zoomScale="70" zoomScaleNormal="70" workbookViewId="0">
      <pane xSplit="2" ySplit="5" topLeftCell="BJ6" activePane="bottomRight" state="frozen"/>
      <selection activeCell="AS17" sqref="AS17"/>
      <selection pane="topRight" activeCell="AS17" sqref="AS17"/>
      <selection pane="bottomLeft" activeCell="AS17" sqref="AS17"/>
      <selection pane="bottomRight" activeCell="A26" sqref="A26:XFD26"/>
    </sheetView>
  </sheetViews>
  <sheetFormatPr defaultColWidth="7.44140625" defaultRowHeight="13.2" outlineLevelCol="1"/>
  <cols>
    <col min="1" max="1" width="5.5546875" style="8" customWidth="1"/>
    <col min="2" max="2" width="50" style="8" customWidth="1"/>
    <col min="3" max="3" width="14.6640625" style="77" hidden="1" customWidth="1"/>
    <col min="4" max="4" width="15.44140625" style="77" hidden="1" customWidth="1"/>
    <col min="5" max="5" width="15.33203125" style="38" hidden="1" customWidth="1"/>
    <col min="6" max="6" width="9.5546875" style="38" hidden="1" customWidth="1"/>
    <col min="7" max="9" width="16.33203125" style="38" hidden="1" customWidth="1" outlineLevel="1"/>
    <col min="10" max="10" width="13.6640625" style="38" hidden="1" customWidth="1" outlineLevel="1"/>
    <col min="11" max="11" width="34.44140625" style="38" hidden="1" customWidth="1" outlineLevel="1"/>
    <col min="12" max="14" width="16.33203125" style="38" hidden="1" customWidth="1" outlineLevel="1"/>
    <col min="15" max="15" width="9" style="38" hidden="1" customWidth="1" outlineLevel="1"/>
    <col min="16" max="16" width="47.109375" style="38" hidden="1" customWidth="1" outlineLevel="1"/>
    <col min="17" max="17" width="15.6640625" style="38" hidden="1" customWidth="1" outlineLevel="1"/>
    <col min="18" max="18" width="18.44140625" style="38" hidden="1" customWidth="1" outlineLevel="1"/>
    <col min="19" max="19" width="18.6640625" style="38" hidden="1" customWidth="1" outlineLevel="1"/>
    <col min="20" max="20" width="17.6640625" style="38" hidden="1" customWidth="1" outlineLevel="1"/>
    <col min="21" max="21" width="43.6640625" style="38" hidden="1" customWidth="1" outlineLevel="1"/>
    <col min="22" max="22" width="16.6640625" style="38" hidden="1" customWidth="1" outlineLevel="1"/>
    <col min="23" max="23" width="21.6640625" style="38" hidden="1" customWidth="1" outlineLevel="1"/>
    <col min="24" max="24" width="19.33203125" style="38" hidden="1" customWidth="1" outlineLevel="1"/>
    <col min="25" max="25" width="21.5546875" style="38" hidden="1" customWidth="1" outlineLevel="1"/>
    <col min="26" max="26" width="29.6640625" style="38" hidden="1" customWidth="1" outlineLevel="1"/>
    <col min="27" max="27" width="16.6640625" style="38" hidden="1" customWidth="1" outlineLevel="1"/>
    <col min="28" max="28" width="21.6640625" style="38" hidden="1" customWidth="1" outlineLevel="1"/>
    <col min="29" max="29" width="19.33203125" style="38" hidden="1" customWidth="1" outlineLevel="1"/>
    <col min="30" max="30" width="21.5546875" style="38" hidden="1" customWidth="1" outlineLevel="1"/>
    <col min="31" max="31" width="31.88671875" style="38" hidden="1" customWidth="1" outlineLevel="1"/>
    <col min="32" max="33" width="16.44140625" style="38" hidden="1" customWidth="1" outlineLevel="1"/>
    <col min="34" max="34" width="16.109375" style="38" hidden="1" customWidth="1" outlineLevel="1"/>
    <col min="35" max="35" width="13.109375" style="38" hidden="1" customWidth="1" outlineLevel="1"/>
    <col min="36" max="36" width="31.88671875" style="38" hidden="1" customWidth="1" outlineLevel="1"/>
    <col min="37" max="37" width="17" style="38" hidden="1" customWidth="1" outlineLevel="1"/>
    <col min="38" max="38" width="18.44140625" style="38" hidden="1" customWidth="1" outlineLevel="1"/>
    <col min="39" max="39" width="16.33203125" style="38" hidden="1" customWidth="1" outlineLevel="1"/>
    <col min="40" max="40" width="13.33203125" style="38" hidden="1" customWidth="1" outlineLevel="1"/>
    <col min="41" max="41" width="36.6640625" style="38" hidden="1" customWidth="1" outlineLevel="1"/>
    <col min="42" max="42" width="18.5546875" style="38" hidden="1" customWidth="1" outlineLevel="1"/>
    <col min="43" max="43" width="16.6640625" style="38" hidden="1" customWidth="1" outlineLevel="1"/>
    <col min="44" max="44" width="27" style="38" hidden="1" customWidth="1" outlineLevel="1"/>
    <col min="45" max="45" width="11.5546875" style="38" hidden="1" customWidth="1" outlineLevel="1"/>
    <col min="46" max="46" width="36.6640625" style="38" hidden="1" customWidth="1" outlineLevel="1"/>
    <col min="47" max="48" width="16.33203125" style="38" hidden="1" customWidth="1" outlineLevel="1"/>
    <col min="49" max="49" width="16.109375" style="38" hidden="1" customWidth="1" outlineLevel="1"/>
    <col min="50" max="50" width="14.6640625" style="38" hidden="1" customWidth="1" outlineLevel="1"/>
    <col min="51" max="54" width="26.109375" style="38" hidden="1" customWidth="1" outlineLevel="1"/>
    <col min="55" max="55" width="13.109375" style="38" hidden="1" customWidth="1" outlineLevel="1"/>
    <col min="56" max="61" width="26.109375" style="38" hidden="1" customWidth="1" outlineLevel="1"/>
    <col min="62" max="62" width="17.5546875" style="38" customWidth="1" collapsed="1"/>
    <col min="63" max="66" width="17.5546875" style="38" customWidth="1"/>
    <col min="67" max="67" width="16.33203125" style="38" customWidth="1"/>
    <col min="68" max="68" width="22.33203125" style="38" customWidth="1"/>
    <col min="69" max="69" width="16.33203125" style="38" customWidth="1"/>
    <col min="70" max="70" width="28.6640625" style="38" customWidth="1"/>
    <col min="71" max="71" width="16.33203125" style="38" customWidth="1"/>
    <col min="72" max="72" width="16.6640625" style="77" hidden="1" customWidth="1"/>
    <col min="73" max="73" width="15.6640625" style="77" hidden="1" customWidth="1"/>
    <col min="74" max="16384" width="7.44140625" style="1"/>
  </cols>
  <sheetData>
    <row r="1" spans="1:73" ht="13.8" thickBot="1">
      <c r="C1" s="38"/>
      <c r="D1" s="38"/>
    </row>
    <row r="2" spans="1:73" ht="14.4" customHeight="1">
      <c r="A2" s="4834" t="s">
        <v>366</v>
      </c>
      <c r="B2" s="4835"/>
      <c r="C2" s="4835"/>
      <c r="D2" s="4835"/>
      <c r="E2" s="4835"/>
      <c r="F2" s="4836"/>
      <c r="G2" s="4837" t="s">
        <v>465</v>
      </c>
      <c r="H2" s="4838"/>
      <c r="I2" s="4838"/>
      <c r="J2" s="4838"/>
      <c r="K2" s="382"/>
      <c r="L2" s="4837" t="s">
        <v>466</v>
      </c>
      <c r="M2" s="4838"/>
      <c r="N2" s="4838"/>
      <c r="O2" s="4838"/>
      <c r="P2" s="376"/>
      <c r="Q2" s="4837" t="s">
        <v>545</v>
      </c>
      <c r="R2" s="4838"/>
      <c r="S2" s="4838"/>
      <c r="T2" s="4838"/>
      <c r="U2" s="399"/>
      <c r="V2" s="4837" t="s">
        <v>624</v>
      </c>
      <c r="W2" s="4838"/>
      <c r="X2" s="4838"/>
      <c r="Y2" s="4838"/>
      <c r="Z2" s="468"/>
      <c r="AA2" s="4892" t="s">
        <v>714</v>
      </c>
      <c r="AB2" s="4893"/>
      <c r="AC2" s="4893"/>
      <c r="AD2" s="4893"/>
      <c r="AE2" s="533"/>
      <c r="AF2" s="4892" t="s">
        <v>770</v>
      </c>
      <c r="AG2" s="4893"/>
      <c r="AH2" s="4893"/>
      <c r="AI2" s="4893"/>
      <c r="AJ2" s="627"/>
      <c r="AK2" s="4910" t="s">
        <v>820</v>
      </c>
      <c r="AL2" s="4911"/>
      <c r="AM2" s="4911"/>
      <c r="AN2" s="4911"/>
      <c r="AO2" s="689"/>
      <c r="AP2" s="4955" t="s">
        <v>836</v>
      </c>
      <c r="AQ2" s="4956"/>
      <c r="AR2" s="4956"/>
      <c r="AS2" s="4956"/>
      <c r="AT2" s="757"/>
      <c r="AU2" s="4934" t="s">
        <v>883</v>
      </c>
      <c r="AV2" s="4935"/>
      <c r="AW2" s="4935"/>
      <c r="AX2" s="4935"/>
      <c r="AY2" s="4936"/>
      <c r="AZ2" s="4898" t="s">
        <v>910</v>
      </c>
      <c r="BA2" s="4899"/>
      <c r="BB2" s="4899"/>
      <c r="BC2" s="4899"/>
      <c r="BD2" s="4900"/>
      <c r="BE2" s="4904" t="s">
        <v>937</v>
      </c>
      <c r="BF2" s="4905"/>
      <c r="BG2" s="4905"/>
      <c r="BH2" s="4905"/>
      <c r="BI2" s="4906"/>
      <c r="BJ2" s="4910" t="s">
        <v>942</v>
      </c>
      <c r="BK2" s="4911"/>
      <c r="BL2" s="4911"/>
      <c r="BM2" s="4911"/>
      <c r="BN2" s="4912"/>
      <c r="BO2" s="4988" t="s">
        <v>469</v>
      </c>
      <c r="BP2" s="4989"/>
      <c r="BQ2" s="4989"/>
      <c r="BR2" s="4989"/>
      <c r="BS2" s="384"/>
    </row>
    <row r="3" spans="1:73" ht="15" customHeight="1" thickBot="1">
      <c r="A3" s="4853" t="s">
        <v>54</v>
      </c>
      <c r="B3" s="4854"/>
      <c r="C3" s="4854"/>
      <c r="D3" s="4854"/>
      <c r="E3" s="4854"/>
      <c r="F3" s="4855"/>
      <c r="G3" s="4839"/>
      <c r="H3" s="4840"/>
      <c r="I3" s="4840"/>
      <c r="J3" s="4840"/>
      <c r="K3" s="383"/>
      <c r="L3" s="4839"/>
      <c r="M3" s="4840"/>
      <c r="N3" s="4840"/>
      <c r="O3" s="4840"/>
      <c r="P3" s="377"/>
      <c r="Q3" s="4839"/>
      <c r="R3" s="4840"/>
      <c r="S3" s="4840"/>
      <c r="T3" s="4840"/>
      <c r="U3" s="400"/>
      <c r="V3" s="4839"/>
      <c r="W3" s="4840"/>
      <c r="X3" s="4840"/>
      <c r="Y3" s="4840"/>
      <c r="Z3" s="469"/>
      <c r="AA3" s="4895"/>
      <c r="AB3" s="4896"/>
      <c r="AC3" s="4896"/>
      <c r="AD3" s="4896"/>
      <c r="AE3" s="534"/>
      <c r="AF3" s="4895"/>
      <c r="AG3" s="4896"/>
      <c r="AH3" s="4896"/>
      <c r="AI3" s="4896"/>
      <c r="AJ3" s="628"/>
      <c r="AK3" s="4913"/>
      <c r="AL3" s="4914"/>
      <c r="AM3" s="4914"/>
      <c r="AN3" s="4914"/>
      <c r="AO3" s="690"/>
      <c r="AP3" s="4958"/>
      <c r="AQ3" s="4959"/>
      <c r="AR3" s="4959"/>
      <c r="AS3" s="4959"/>
      <c r="AT3" s="758"/>
      <c r="AU3" s="4937"/>
      <c r="AV3" s="4938"/>
      <c r="AW3" s="4938"/>
      <c r="AX3" s="4938"/>
      <c r="AY3" s="4939"/>
      <c r="AZ3" s="4901"/>
      <c r="BA3" s="4902"/>
      <c r="BB3" s="4902"/>
      <c r="BC3" s="4902"/>
      <c r="BD3" s="4903"/>
      <c r="BE3" s="4907"/>
      <c r="BF3" s="4908"/>
      <c r="BG3" s="4908"/>
      <c r="BH3" s="4908"/>
      <c r="BI3" s="4909"/>
      <c r="BJ3" s="4913"/>
      <c r="BK3" s="4914"/>
      <c r="BL3" s="4914"/>
      <c r="BM3" s="4914"/>
      <c r="BN3" s="4915"/>
      <c r="BO3" s="4990"/>
      <c r="BP3" s="4991"/>
      <c r="BQ3" s="4991"/>
      <c r="BR3" s="4991"/>
      <c r="BS3" s="385"/>
    </row>
    <row r="4" spans="1:73" ht="41.4" thickBot="1">
      <c r="A4" s="92"/>
      <c r="B4" s="93" t="s">
        <v>11</v>
      </c>
      <c r="C4" s="239" t="s">
        <v>55</v>
      </c>
      <c r="D4" s="239" t="s">
        <v>18</v>
      </c>
      <c r="E4" s="240" t="s">
        <v>39</v>
      </c>
      <c r="F4" s="209" t="s">
        <v>40</v>
      </c>
      <c r="G4" s="94" t="s">
        <v>55</v>
      </c>
      <c r="H4" s="94" t="s">
        <v>18</v>
      </c>
      <c r="I4" s="95" t="s">
        <v>39</v>
      </c>
      <c r="J4" s="209" t="s">
        <v>40</v>
      </c>
      <c r="K4" s="241" t="s">
        <v>87</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653" t="s">
        <v>39</v>
      </c>
      <c r="AN4" s="694" t="s">
        <v>40</v>
      </c>
      <c r="AO4" s="95" t="s">
        <v>19</v>
      </c>
      <c r="AP4" s="94" t="s">
        <v>55</v>
      </c>
      <c r="AQ4" s="94" t="s">
        <v>18</v>
      </c>
      <c r="AR4" s="653" t="s">
        <v>39</v>
      </c>
      <c r="AS4" s="694" t="s">
        <v>40</v>
      </c>
      <c r="AT4" s="95" t="s">
        <v>19</v>
      </c>
      <c r="AU4" s="94" t="s">
        <v>55</v>
      </c>
      <c r="AV4" s="94" t="s">
        <v>18</v>
      </c>
      <c r="AW4" s="653" t="s">
        <v>39</v>
      </c>
      <c r="AX4" s="694" t="s">
        <v>40</v>
      </c>
      <c r="AY4" s="95" t="s">
        <v>19</v>
      </c>
      <c r="AZ4" s="94" t="s">
        <v>55</v>
      </c>
      <c r="BA4" s="94" t="s">
        <v>18</v>
      </c>
      <c r="BB4" s="653" t="s">
        <v>39</v>
      </c>
      <c r="BC4" s="694" t="s">
        <v>40</v>
      </c>
      <c r="BD4" s="95" t="s">
        <v>19</v>
      </c>
      <c r="BE4" s="94" t="s">
        <v>55</v>
      </c>
      <c r="BF4" s="94" t="s">
        <v>18</v>
      </c>
      <c r="BG4" s="653" t="s">
        <v>39</v>
      </c>
      <c r="BH4" s="694" t="s">
        <v>40</v>
      </c>
      <c r="BI4" s="95" t="s">
        <v>19</v>
      </c>
      <c r="BJ4" s="94" t="s">
        <v>55</v>
      </c>
      <c r="BK4" s="94" t="s">
        <v>18</v>
      </c>
      <c r="BL4" s="653" t="s">
        <v>39</v>
      </c>
      <c r="BM4" s="694" t="s">
        <v>40</v>
      </c>
      <c r="BN4" s="95" t="s">
        <v>19</v>
      </c>
      <c r="BO4" s="94" t="s">
        <v>55</v>
      </c>
      <c r="BP4" s="94" t="s">
        <v>18</v>
      </c>
      <c r="BQ4" s="95" t="s">
        <v>39</v>
      </c>
      <c r="BR4" s="209" t="s">
        <v>40</v>
      </c>
      <c r="BS4" s="95" t="s">
        <v>19</v>
      </c>
    </row>
    <row r="5" spans="1:73" s="88" customFormat="1" ht="14.4" thickBot="1">
      <c r="A5" s="83"/>
      <c r="B5" s="84" t="s">
        <v>10</v>
      </c>
      <c r="C5" s="85">
        <f>C6</f>
        <v>19252427</v>
      </c>
      <c r="D5" s="85">
        <f>D6</f>
        <v>0</v>
      </c>
      <c r="E5" s="86">
        <f>E6</f>
        <v>19252427</v>
      </c>
      <c r="F5" s="87"/>
      <c r="G5" s="85">
        <f>G6</f>
        <v>0</v>
      </c>
      <c r="H5" s="85">
        <f>H6</f>
        <v>0</v>
      </c>
      <c r="I5" s="86">
        <f>I6</f>
        <v>0</v>
      </c>
      <c r="J5" s="87"/>
      <c r="K5" s="263"/>
      <c r="L5" s="87">
        <f>L6</f>
        <v>0</v>
      </c>
      <c r="M5" s="87">
        <f>M6</f>
        <v>0</v>
      </c>
      <c r="N5" s="87">
        <f>N6</f>
        <v>0</v>
      </c>
      <c r="O5" s="87"/>
      <c r="P5" s="87"/>
      <c r="Q5" s="87">
        <f>Q6</f>
        <v>5075407.32</v>
      </c>
      <c r="R5" s="87">
        <f>R6</f>
        <v>0</v>
      </c>
      <c r="S5" s="87">
        <f>S6</f>
        <v>5075407.32</v>
      </c>
      <c r="T5" s="87"/>
      <c r="U5" s="87"/>
      <c r="V5" s="87">
        <f>V6</f>
        <v>8351202.96</v>
      </c>
      <c r="W5" s="87">
        <f>W6</f>
        <v>0</v>
      </c>
      <c r="X5" s="87">
        <f>X6</f>
        <v>8351202.96</v>
      </c>
      <c r="Y5" s="87"/>
      <c r="Z5" s="87"/>
      <c r="AA5" s="87">
        <f>AA6</f>
        <v>3388005.08</v>
      </c>
      <c r="AB5" s="87">
        <f>AB6</f>
        <v>0</v>
      </c>
      <c r="AC5" s="87">
        <f>AC6</f>
        <v>3388005.08</v>
      </c>
      <c r="AD5" s="87"/>
      <c r="AE5" s="87"/>
      <c r="AF5" s="87">
        <f>AF6+AF7</f>
        <v>1326027.58</v>
      </c>
      <c r="AG5" s="87">
        <f>AG6</f>
        <v>0</v>
      </c>
      <c r="AH5" s="87">
        <f>AH6+AH7</f>
        <v>1326027.58</v>
      </c>
      <c r="AI5" s="87"/>
      <c r="AJ5" s="87"/>
      <c r="AK5" s="87">
        <f>AK6+AK7</f>
        <v>1062234.6499999999</v>
      </c>
      <c r="AL5" s="87">
        <f>AL6</f>
        <v>0</v>
      </c>
      <c r="AM5" s="655">
        <f>AM6+AM7</f>
        <v>1062234.6499999999</v>
      </c>
      <c r="AN5" s="620"/>
      <c r="AO5" s="87"/>
      <c r="AP5" s="87">
        <f>AP6+AP7</f>
        <v>0</v>
      </c>
      <c r="AQ5" s="87">
        <f>AQ6</f>
        <v>0</v>
      </c>
      <c r="AR5" s="655">
        <f>AR6+AR7</f>
        <v>0</v>
      </c>
      <c r="AS5" s="620"/>
      <c r="AT5" s="87"/>
      <c r="AU5" s="87">
        <f>AU6+AU7</f>
        <v>0</v>
      </c>
      <c r="AV5" s="87">
        <f>AV6</f>
        <v>0</v>
      </c>
      <c r="AW5" s="655">
        <f>AW6+AW7</f>
        <v>0</v>
      </c>
      <c r="AX5" s="620"/>
      <c r="AY5" s="87"/>
      <c r="AZ5" s="87">
        <f>AZ6+AZ7</f>
        <v>582703.87</v>
      </c>
      <c r="BA5" s="87">
        <f>BA6</f>
        <v>0</v>
      </c>
      <c r="BB5" s="655">
        <f>BB6+BB7</f>
        <v>582703.87</v>
      </c>
      <c r="BC5" s="620"/>
      <c r="BD5" s="87"/>
      <c r="BE5" s="87">
        <f>BE6+BE7</f>
        <v>0</v>
      </c>
      <c r="BF5" s="87">
        <f>BF6</f>
        <v>0</v>
      </c>
      <c r="BG5" s="655">
        <f>BG6+BG7</f>
        <v>0</v>
      </c>
      <c r="BH5" s="620"/>
      <c r="BI5" s="87"/>
      <c r="BJ5" s="87">
        <f>BJ6+BJ7</f>
        <v>0</v>
      </c>
      <c r="BK5" s="87">
        <f>BK6</f>
        <v>0</v>
      </c>
      <c r="BL5" s="655">
        <f>BL6+BL7</f>
        <v>0</v>
      </c>
      <c r="BM5" s="620"/>
      <c r="BN5" s="87"/>
      <c r="BO5" s="87">
        <f>BO6+BO7</f>
        <v>19785581.459999997</v>
      </c>
      <c r="BP5" s="87">
        <f>BP6+BP7</f>
        <v>0</v>
      </c>
      <c r="BQ5" s="87">
        <f>BQ6+BQ7</f>
        <v>19785581.459999997</v>
      </c>
      <c r="BR5" s="87"/>
      <c r="BS5" s="87"/>
      <c r="BT5" s="918"/>
      <c r="BU5" s="918"/>
    </row>
    <row r="6" spans="1:73" s="2" customFormat="1" ht="13.8">
      <c r="A6" s="330">
        <f>'PL_Сватово очередь 2'!I6</f>
        <v>0</v>
      </c>
      <c r="B6" s="9" t="s">
        <v>17</v>
      </c>
      <c r="C6" s="104">
        <v>19252427</v>
      </c>
      <c r="D6" s="105"/>
      <c r="E6" s="106">
        <f>C6+D6</f>
        <v>19252427</v>
      </c>
      <c r="F6" s="39"/>
      <c r="G6" s="39"/>
      <c r="H6" s="39"/>
      <c r="I6" s="39">
        <f>G6+H6</f>
        <v>0</v>
      </c>
      <c r="J6" s="39"/>
      <c r="K6" s="291"/>
      <c r="L6" s="39"/>
      <c r="M6" s="39"/>
      <c r="N6" s="106">
        <f>L6+M6</f>
        <v>0</v>
      </c>
      <c r="O6" s="39"/>
      <c r="P6" s="39"/>
      <c r="Q6" s="39">
        <v>5075407.32</v>
      </c>
      <c r="R6" s="39"/>
      <c r="S6" s="106">
        <f>Q6+R6</f>
        <v>5075407.32</v>
      </c>
      <c r="T6" s="39"/>
      <c r="U6" s="39"/>
      <c r="V6" s="39">
        <v>8351202.96</v>
      </c>
      <c r="W6" s="39"/>
      <c r="X6" s="106">
        <f>V6+W6</f>
        <v>8351202.96</v>
      </c>
      <c r="Y6" s="39"/>
      <c r="Z6" s="39"/>
      <c r="AA6" s="39">
        <v>3388005.08</v>
      </c>
      <c r="AB6" s="39"/>
      <c r="AC6" s="106">
        <f>AA6+AB6</f>
        <v>3388005.08</v>
      </c>
      <c r="AD6" s="39"/>
      <c r="AE6" s="39"/>
      <c r="AF6" s="39">
        <v>1303827.58</v>
      </c>
      <c r="AG6" s="39"/>
      <c r="AH6" s="106">
        <f>AF6+AG6</f>
        <v>1303827.58</v>
      </c>
      <c r="AI6" s="39"/>
      <c r="AJ6" s="39"/>
      <c r="AK6" s="39">
        <v>1062234.6499999999</v>
      </c>
      <c r="AL6" s="39"/>
      <c r="AM6" s="446">
        <f>AK6+AL6</f>
        <v>1062234.6499999999</v>
      </c>
      <c r="AN6" s="452"/>
      <c r="AO6" s="39" t="s">
        <v>858</v>
      </c>
      <c r="AP6" s="39"/>
      <c r="AQ6" s="39"/>
      <c r="AR6" s="446">
        <f>AP6+AQ6</f>
        <v>0</v>
      </c>
      <c r="AS6" s="452"/>
      <c r="AT6" s="39"/>
      <c r="AU6" s="39"/>
      <c r="AV6" s="39"/>
      <c r="AW6" s="446">
        <f>AU6+AV6</f>
        <v>0</v>
      </c>
      <c r="AX6" s="452"/>
      <c r="AY6" s="39"/>
      <c r="AZ6" s="39">
        <v>582703.87</v>
      </c>
      <c r="BA6" s="39"/>
      <c r="BB6" s="446">
        <f>AZ6+BA6</f>
        <v>582703.87</v>
      </c>
      <c r="BC6" s="452"/>
      <c r="BD6" s="39" t="s">
        <v>913</v>
      </c>
      <c r="BE6" s="39"/>
      <c r="BF6" s="39"/>
      <c r="BG6" s="446">
        <f>BE6+BF6</f>
        <v>0</v>
      </c>
      <c r="BH6" s="452"/>
      <c r="BI6" s="39"/>
      <c r="BJ6" s="39"/>
      <c r="BK6" s="39"/>
      <c r="BL6" s="446">
        <f>BJ6+BK6</f>
        <v>0</v>
      </c>
      <c r="BM6" s="452"/>
      <c r="BN6" s="39"/>
      <c r="BO6" s="39">
        <f>G6+L6+Q6+V6+AA6+AF6+AK6+AP6+AU6+AZ6+BE6+BJ6</f>
        <v>19763381.459999997</v>
      </c>
      <c r="BP6" s="39">
        <f>H6+M6+R6+W6+AB6+AG6+AL6+AQ6+AV6+BA6+BF6+BK6</f>
        <v>0</v>
      </c>
      <c r="BQ6" s="106">
        <f>BO6+BP6</f>
        <v>19763381.459999997</v>
      </c>
      <c r="BR6" s="39"/>
      <c r="BS6" s="39"/>
      <c r="BT6" s="919"/>
      <c r="BU6" s="919"/>
    </row>
    <row r="7" spans="1:73" s="2" customFormat="1" ht="14.4" thickBot="1">
      <c r="A7" s="238"/>
      <c r="B7" s="10" t="s">
        <v>41</v>
      </c>
      <c r="C7" s="107"/>
      <c r="D7" s="108"/>
      <c r="E7" s="106">
        <f>C7+D7</f>
        <v>0</v>
      </c>
      <c r="F7" s="40"/>
      <c r="G7" s="40"/>
      <c r="H7" s="40"/>
      <c r="I7" s="40">
        <f>G7+H7</f>
        <v>0</v>
      </c>
      <c r="J7" s="40"/>
      <c r="K7" s="40"/>
      <c r="L7" s="39"/>
      <c r="M7" s="39"/>
      <c r="N7" s="106">
        <f>L7+M7</f>
        <v>0</v>
      </c>
      <c r="O7" s="40"/>
      <c r="P7" s="40"/>
      <c r="Q7" s="39"/>
      <c r="R7" s="39"/>
      <c r="S7" s="106">
        <f>Q7+R7</f>
        <v>0</v>
      </c>
      <c r="T7" s="40"/>
      <c r="U7" s="412"/>
      <c r="V7" s="39"/>
      <c r="W7" s="39"/>
      <c r="X7" s="106">
        <f>V7+W7</f>
        <v>0</v>
      </c>
      <c r="Y7" s="40"/>
      <c r="Z7" s="412"/>
      <c r="AA7" s="39"/>
      <c r="AB7" s="39"/>
      <c r="AC7" s="106">
        <f>AA7+AB7</f>
        <v>0</v>
      </c>
      <c r="AD7" s="40"/>
      <c r="AE7" s="412"/>
      <c r="AF7" s="39">
        <f>9000+13200</f>
        <v>22200</v>
      </c>
      <c r="AG7" s="39"/>
      <c r="AH7" s="106">
        <f>AF7+AG7</f>
        <v>22200</v>
      </c>
      <c r="AI7" s="40"/>
      <c r="AJ7" s="388" t="s">
        <v>788</v>
      </c>
      <c r="AK7" s="39"/>
      <c r="AL7" s="39"/>
      <c r="AM7" s="446">
        <f>AK7+AL7</f>
        <v>0</v>
      </c>
      <c r="AN7" s="612"/>
      <c r="AO7" s="388"/>
      <c r="AP7" s="39"/>
      <c r="AQ7" s="39"/>
      <c r="AR7" s="446">
        <f>AP7+AQ7</f>
        <v>0</v>
      </c>
      <c r="AS7" s="612"/>
      <c r="AT7" s="388"/>
      <c r="AU7" s="39"/>
      <c r="AV7" s="39"/>
      <c r="AW7" s="446">
        <f>AU7+AV7</f>
        <v>0</v>
      </c>
      <c r="AX7" s="612"/>
      <c r="AY7" s="388"/>
      <c r="AZ7" s="39"/>
      <c r="BA7" s="39"/>
      <c r="BB7" s="446">
        <f>AZ7+BA7</f>
        <v>0</v>
      </c>
      <c r="BC7" s="612"/>
      <c r="BD7" s="388"/>
      <c r="BE7" s="39"/>
      <c r="BF7" s="39"/>
      <c r="BG7" s="446">
        <f>BE7+BF7</f>
        <v>0</v>
      </c>
      <c r="BH7" s="612"/>
      <c r="BI7" s="388"/>
      <c r="BJ7" s="39"/>
      <c r="BK7" s="39"/>
      <c r="BL7" s="446">
        <f>BJ7+BK7</f>
        <v>0</v>
      </c>
      <c r="BM7" s="612"/>
      <c r="BN7" s="388"/>
      <c r="BO7" s="39">
        <f>G7+L7+Q7+V7+AA7+AF7+AK7+AP7+AU7+AZ7+BE7</f>
        <v>22200</v>
      </c>
      <c r="BP7" s="39">
        <f>H7+M7+R7+W7+AB7+AG7+AL7+AQ7+AV7+BA7+BF7</f>
        <v>0</v>
      </c>
      <c r="BQ7" s="106">
        <f>BO7+BP7</f>
        <v>22200</v>
      </c>
      <c r="BR7" s="40"/>
      <c r="BS7" s="40"/>
      <c r="BT7" s="919"/>
      <c r="BU7" s="919"/>
    </row>
    <row r="8" spans="1:73" s="88" customFormat="1" ht="14.4" thickBot="1">
      <c r="A8" s="238"/>
      <c r="B8" s="84" t="s">
        <v>16</v>
      </c>
      <c r="C8" s="109">
        <f>SUM(C9:C33)</f>
        <v>14541337.25</v>
      </c>
      <c r="D8" s="109">
        <f>SUM(D9:D33)</f>
        <v>1909639</v>
      </c>
      <c r="E8" s="110">
        <f>SUM(E9:E33)</f>
        <v>16450976.25</v>
      </c>
      <c r="F8" s="164">
        <f t="shared" ref="F8:F22" si="0">E8/$E$89</f>
        <v>0.93768093139986519</v>
      </c>
      <c r="G8" s="109">
        <f>SUM(G9:G33)</f>
        <v>564602.42500000005</v>
      </c>
      <c r="H8" s="109">
        <f>SUM(H9:H33)</f>
        <v>86035</v>
      </c>
      <c r="I8" s="110">
        <f>SUM(I9:I33)</f>
        <v>650637.42500000005</v>
      </c>
      <c r="J8" s="164">
        <f t="shared" ref="J8:J21" si="1">I8/$I$89</f>
        <v>0.90697876163320235</v>
      </c>
      <c r="K8" s="264"/>
      <c r="L8" s="109">
        <f>SUM(L9:L33)</f>
        <v>520872.49</v>
      </c>
      <c r="M8" s="109">
        <f>SUM(M9:M33)</f>
        <v>170422.34</v>
      </c>
      <c r="N8" s="110">
        <f>SUM(N9:N33)</f>
        <v>691294.83</v>
      </c>
      <c r="O8" s="164">
        <f t="shared" ref="O8:O21" si="2">N8/$N$89</f>
        <v>0.93350957990539396</v>
      </c>
      <c r="P8" s="87"/>
      <c r="Q8" s="109">
        <f>SUM(Q9:Q33)</f>
        <v>3931662.4099999997</v>
      </c>
      <c r="R8" s="109">
        <f>SUM(R9:R33)</f>
        <v>123684</v>
      </c>
      <c r="S8" s="110">
        <f>SUM(S9:S33)</f>
        <v>4055346.4099999997</v>
      </c>
      <c r="T8" s="164">
        <f t="shared" ref="T8:T22" si="3">S8/$S$89</f>
        <v>0.9873919262586468</v>
      </c>
      <c r="U8" s="413"/>
      <c r="V8" s="109">
        <f>SUM(V9:V33)</f>
        <v>5029554.5579999993</v>
      </c>
      <c r="W8" s="109">
        <f>SUM(W9:W33)</f>
        <v>921091.91</v>
      </c>
      <c r="X8" s="110">
        <f>SUM(X9:X33)</f>
        <v>5950646.4679999994</v>
      </c>
      <c r="Y8" s="164">
        <f>X8/$X$89</f>
        <v>0.97192560136767259</v>
      </c>
      <c r="Z8" s="413"/>
      <c r="AA8" s="109">
        <f>SUM(AA9:AA33)</f>
        <v>3258302.6079999995</v>
      </c>
      <c r="AB8" s="109">
        <f>SUM(AB9:AB33)</f>
        <v>417166.5</v>
      </c>
      <c r="AC8" s="110">
        <f>SUM(AC9:AC33)</f>
        <v>3675469.1079999995</v>
      </c>
      <c r="AD8" s="164">
        <f>AC8/$AC$89</f>
        <v>0.97624297789276471</v>
      </c>
      <c r="AE8" s="413"/>
      <c r="AF8" s="109">
        <f>SUM(AF9:AF33)</f>
        <v>1241457.3159999999</v>
      </c>
      <c r="AG8" s="109">
        <f>SUM(AG9:AG33)</f>
        <v>197544.03999999998</v>
      </c>
      <c r="AH8" s="110">
        <f>SUM(AH9:AH33)</f>
        <v>1439001.3559999999</v>
      </c>
      <c r="AI8" s="651">
        <f t="shared" ref="AI8:AI35" si="4">AH8/$AH$89</f>
        <v>0.95756475134728647</v>
      </c>
      <c r="AJ8" s="413"/>
      <c r="AK8" s="109">
        <f>SUM(AK9:AK33)</f>
        <v>887510.80799999996</v>
      </c>
      <c r="AL8" s="109">
        <f>SUM(AL9:AL33)</f>
        <v>187128.5</v>
      </c>
      <c r="AM8" s="619">
        <f>SUM(AM9:AM33)</f>
        <v>1074639.308</v>
      </c>
      <c r="AN8" s="651" t="e">
        <f>AM8/$AM$89</f>
        <v>#DIV/0!</v>
      </c>
      <c r="AO8" s="413"/>
      <c r="AP8" s="109">
        <f>SUM(AP9:AP33)</f>
        <v>129.45599999999999</v>
      </c>
      <c r="AQ8" s="109">
        <f>SUM(AQ9:AQ33)</f>
        <v>68836</v>
      </c>
      <c r="AR8" s="619">
        <f>SUM(AR9:AR33)</f>
        <v>68965.456000000006</v>
      </c>
      <c r="AS8" s="651" t="e">
        <f>AR8/$AR$89</f>
        <v>#DIV/0!</v>
      </c>
      <c r="AT8" s="413"/>
      <c r="AU8" s="109">
        <f>SUM(AU9:AU33)</f>
        <v>2420.067</v>
      </c>
      <c r="AV8" s="109">
        <f>SUM(AV9:AV33)</f>
        <v>1600</v>
      </c>
      <c r="AW8" s="619">
        <f>SUM(AW9:AW33)</f>
        <v>4020.067</v>
      </c>
      <c r="AX8" s="651">
        <f>AW8/$AW$89</f>
        <v>0.95082527081689261</v>
      </c>
      <c r="AY8" s="413"/>
      <c r="AZ8" s="109">
        <f>SUM(AZ9:AZ33)</f>
        <v>292583.86800000002</v>
      </c>
      <c r="BA8" s="109">
        <f>SUM(BA9:BA33)</f>
        <v>17652.8</v>
      </c>
      <c r="BB8" s="619">
        <f>SUM(BB9:BB33)</f>
        <v>310236.66800000001</v>
      </c>
      <c r="BC8" s="651" t="e">
        <f>BB8/$BB$89</f>
        <v>#DIV/0!</v>
      </c>
      <c r="BD8" s="413"/>
      <c r="BE8" s="109">
        <f>SUM(BE9:BE33)</f>
        <v>0</v>
      </c>
      <c r="BF8" s="109">
        <f>SUM(BF9:BF33)</f>
        <v>0</v>
      </c>
      <c r="BG8" s="619">
        <f>SUM(BG9:BG33)</f>
        <v>0</v>
      </c>
      <c r="BH8" s="651" t="e">
        <f>BG8/$BB$89</f>
        <v>#DIV/0!</v>
      </c>
      <c r="BI8" s="413"/>
      <c r="BJ8" s="109">
        <f>SUM(BJ9:BJ33)</f>
        <v>0</v>
      </c>
      <c r="BK8" s="109">
        <f>SUM(BK9:BK33)</f>
        <v>0</v>
      </c>
      <c r="BL8" s="619">
        <f>SUM(BL9:BL33)</f>
        <v>0</v>
      </c>
      <c r="BM8" s="651" t="e">
        <f>BL8/$BB$89</f>
        <v>#DIV/0!</v>
      </c>
      <c r="BN8" s="413"/>
      <c r="BO8" s="109">
        <f>SUM(BO9:BO33)</f>
        <v>15729096.006000001</v>
      </c>
      <c r="BP8" s="109">
        <f>SUM(BP9:BP33)</f>
        <v>2191161.0900000003</v>
      </c>
      <c r="BQ8" s="110">
        <f>SUM(BQ9:BQ33)</f>
        <v>17920257.095999997</v>
      </c>
      <c r="BR8" s="164" t="e">
        <f t="shared" ref="BR8:BR19" si="5">BQ8/$BQ$89</f>
        <v>#DIV/0!</v>
      </c>
      <c r="BS8" s="87"/>
      <c r="BT8" s="918"/>
      <c r="BU8" s="918"/>
    </row>
    <row r="9" spans="1:73" s="2" customFormat="1" ht="69">
      <c r="A9" s="238"/>
      <c r="B9" s="799" t="s">
        <v>74</v>
      </c>
      <c r="C9" s="482">
        <v>509855</v>
      </c>
      <c r="D9" s="483">
        <v>0</v>
      </c>
      <c r="E9" s="484">
        <f t="shared" ref="E9:E33" si="6">C9+D9</f>
        <v>509855</v>
      </c>
      <c r="F9" s="485">
        <f t="shared" si="0"/>
        <v>2.9060969027833727E-2</v>
      </c>
      <c r="G9" s="486">
        <v>47897.5</v>
      </c>
      <c r="H9" s="486"/>
      <c r="I9" s="486">
        <f>G9+H9*1</f>
        <v>47897.5</v>
      </c>
      <c r="J9" s="485">
        <f t="shared" si="1"/>
        <v>6.6768392911499538E-2</v>
      </c>
      <c r="K9" s="487"/>
      <c r="L9" s="488">
        <v>54229.279999999999</v>
      </c>
      <c r="M9" s="488"/>
      <c r="N9" s="489">
        <f>L9+M9*1</f>
        <v>54229.279999999999</v>
      </c>
      <c r="O9" s="485">
        <f t="shared" si="2"/>
        <v>7.3230046276162641E-2</v>
      </c>
      <c r="P9" s="490" t="s">
        <v>477</v>
      </c>
      <c r="Q9" s="488">
        <v>123821.88</v>
      </c>
      <c r="R9" s="488"/>
      <c r="S9" s="489">
        <f>Q9+R9*1</f>
        <v>123821.88</v>
      </c>
      <c r="T9" s="485">
        <f t="shared" si="3"/>
        <v>3.0148034778160176E-2</v>
      </c>
      <c r="U9" s="491" t="s">
        <v>477</v>
      </c>
      <c r="V9" s="488">
        <v>105555.12</v>
      </c>
      <c r="W9" s="488"/>
      <c r="X9" s="489">
        <f>V9+W9*1</f>
        <v>105555.12</v>
      </c>
      <c r="Y9" s="485">
        <f>X9/$X$89</f>
        <v>1.7240433293278422E-2</v>
      </c>
      <c r="Z9" s="388" t="s">
        <v>641</v>
      </c>
      <c r="AA9" s="488">
        <v>105555.12</v>
      </c>
      <c r="AB9" s="488"/>
      <c r="AC9" s="489">
        <f>AA9+AB9*1</f>
        <v>105555.12</v>
      </c>
      <c r="AD9" s="485">
        <f>AC9/$AC$89</f>
        <v>2.8036542180788784E-2</v>
      </c>
      <c r="AE9" s="388" t="s">
        <v>723</v>
      </c>
      <c r="AF9" s="488">
        <v>43422</v>
      </c>
      <c r="AG9" s="488"/>
      <c r="AH9" s="593">
        <f>AF9+AG9*1</f>
        <v>43422</v>
      </c>
      <c r="AI9" s="450">
        <f>AH9/$AH$89</f>
        <v>2.8894605595494571E-2</v>
      </c>
      <c r="AJ9" s="388" t="s">
        <v>776</v>
      </c>
      <c r="AK9" s="488">
        <v>49109</v>
      </c>
      <c r="AL9" s="488"/>
      <c r="AM9" s="705">
        <f>AK9+AL9*1</f>
        <v>49109</v>
      </c>
      <c r="AN9" s="450" t="e">
        <f>AM9/$AM$89</f>
        <v>#DIV/0!</v>
      </c>
      <c r="AO9" s="388" t="s">
        <v>825</v>
      </c>
      <c r="AP9" s="488"/>
      <c r="AQ9" s="488"/>
      <c r="AR9" s="705">
        <f>AP9+AQ9*1</f>
        <v>0</v>
      </c>
      <c r="AS9" s="450" t="e">
        <f t="shared" ref="AS9:AS72" si="7">AR9/$AR$89</f>
        <v>#DIV/0!</v>
      </c>
      <c r="AT9" s="388"/>
      <c r="AU9" s="488"/>
      <c r="AV9" s="488"/>
      <c r="AW9" s="705">
        <f>AU9+AV9*1</f>
        <v>0</v>
      </c>
      <c r="AX9" s="450">
        <f t="shared" ref="AX9:AX72" si="8">AW9/$AW$89</f>
        <v>0</v>
      </c>
      <c r="AY9" s="388"/>
      <c r="AZ9" s="488"/>
      <c r="BA9" s="488"/>
      <c r="BB9" s="705">
        <f>AZ9+BA9*1</f>
        <v>0</v>
      </c>
      <c r="BC9" s="450" t="e">
        <f t="shared" ref="BC9:BC33" si="9">BB9/$BB$89</f>
        <v>#DIV/0!</v>
      </c>
      <c r="BD9" s="388"/>
      <c r="BE9" s="488"/>
      <c r="BF9" s="488"/>
      <c r="BG9" s="705">
        <f>BE9+BF9*1</f>
        <v>0</v>
      </c>
      <c r="BH9" s="450" t="e">
        <f t="shared" ref="BH9:BH33" si="10">BG9/$BB$89</f>
        <v>#DIV/0!</v>
      </c>
      <c r="BI9" s="388"/>
      <c r="BJ9" s="39"/>
      <c r="BK9" s="39"/>
      <c r="BL9" s="705">
        <f>BJ9+BK9*1</f>
        <v>0</v>
      </c>
      <c r="BM9" s="450" t="e">
        <f t="shared" ref="BM9:BM33" si="11">BL9/$BB$89</f>
        <v>#DIV/0!</v>
      </c>
      <c r="BN9" s="388"/>
      <c r="BO9" s="39">
        <f t="shared" ref="BO9:BO33" si="12">G9+L9+Q9+V9+AA9+AF9+AK9+AP9+AU9+AZ9+BE9+BJ9</f>
        <v>529589.9</v>
      </c>
      <c r="BP9" s="39">
        <f t="shared" ref="BP9:BP33" si="13">H9+M9+R9+W9+AB9+AG9+AL9+AQ9+AV9+BA9+BF9+BK9</f>
        <v>0</v>
      </c>
      <c r="BQ9" s="489">
        <f>BO9+BP9*1</f>
        <v>529589.9</v>
      </c>
      <c r="BR9" s="485" t="e">
        <f t="shared" si="5"/>
        <v>#DIV/0!</v>
      </c>
      <c r="BS9" s="490"/>
      <c r="BT9" s="920">
        <v>511916</v>
      </c>
      <c r="BU9" s="921">
        <f>BQ9-BT9</f>
        <v>17673.900000000023</v>
      </c>
    </row>
    <row r="10" spans="1:73" s="2" customFormat="1" ht="13.8">
      <c r="A10" s="238"/>
      <c r="B10" s="800" t="s">
        <v>72</v>
      </c>
      <c r="C10" s="111">
        <v>137982</v>
      </c>
      <c r="D10" s="493">
        <v>0</v>
      </c>
      <c r="E10" s="446">
        <f t="shared" si="6"/>
        <v>137982</v>
      </c>
      <c r="F10" s="447">
        <f t="shared" si="0"/>
        <v>7.8647667050407537E-3</v>
      </c>
      <c r="G10" s="449">
        <v>12944.28</v>
      </c>
      <c r="H10" s="449"/>
      <c r="I10" s="449">
        <f t="shared" ref="I10:I33" si="14">G10+H10*1</f>
        <v>12944.28</v>
      </c>
      <c r="J10" s="450">
        <f t="shared" si="1"/>
        <v>1.804413117587484E-2</v>
      </c>
      <c r="K10" s="494"/>
      <c r="L10" s="452">
        <v>26465.4</v>
      </c>
      <c r="M10" s="452"/>
      <c r="N10" s="453">
        <f t="shared" ref="N10:N33" si="15">L10+M10*1</f>
        <v>26465.4</v>
      </c>
      <c r="O10" s="450">
        <f t="shared" si="2"/>
        <v>3.5738303490607928E-2</v>
      </c>
      <c r="P10" s="456"/>
      <c r="Q10" s="452">
        <f>29994.12</f>
        <v>29994.12</v>
      </c>
      <c r="R10" s="452"/>
      <c r="S10" s="453">
        <f t="shared" ref="S10:S33" si="16">Q10+R10*1</f>
        <v>29994.12</v>
      </c>
      <c r="T10" s="450">
        <f t="shared" si="3"/>
        <v>7.3029401015419059E-3</v>
      </c>
      <c r="U10" s="465"/>
      <c r="V10" s="452">
        <v>26465.4</v>
      </c>
      <c r="W10" s="452"/>
      <c r="X10" s="453">
        <f t="shared" ref="X10:X23" si="17">V10+W10*1</f>
        <v>26465.4</v>
      </c>
      <c r="Y10" s="450">
        <f t="shared" ref="Y10:Y33" si="18">X10/$X$89</f>
        <v>4.3226227517900676E-3</v>
      </c>
      <c r="Z10" s="388"/>
      <c r="AA10" s="452">
        <v>26465.4</v>
      </c>
      <c r="AB10" s="452"/>
      <c r="AC10" s="453">
        <f t="shared" ref="AC10:AC21" si="19">AA10+AB10*1</f>
        <v>26465.4</v>
      </c>
      <c r="AD10" s="450">
        <f>AC10/$AC$89</f>
        <v>7.0294866173374404E-3</v>
      </c>
      <c r="AE10" s="388"/>
      <c r="AF10" s="452">
        <v>10518</v>
      </c>
      <c r="AG10" s="452"/>
      <c r="AH10" s="592">
        <f t="shared" ref="AH10:AH23" si="20">AF10+AG10*1</f>
        <v>10518</v>
      </c>
      <c r="AI10" s="450">
        <f t="shared" si="4"/>
        <v>6.9990664099629655E-3</v>
      </c>
      <c r="AJ10" s="388"/>
      <c r="AK10" s="452">
        <v>9025</v>
      </c>
      <c r="AL10" s="452"/>
      <c r="AM10" s="669">
        <f t="shared" ref="AM10:AM33" si="21">AK10+AL10*1</f>
        <v>9025</v>
      </c>
      <c r="AN10" s="450" t="e">
        <f t="shared" ref="AN10:AN33" si="22">AM10/$AM$89</f>
        <v>#DIV/0!</v>
      </c>
      <c r="AO10" s="388"/>
      <c r="AP10" s="452"/>
      <c r="AQ10" s="452"/>
      <c r="AR10" s="669">
        <f t="shared" ref="AR10:AR33" si="23">AP10+AQ10*1</f>
        <v>0</v>
      </c>
      <c r="AS10" s="450" t="e">
        <f t="shared" si="7"/>
        <v>#DIV/0!</v>
      </c>
      <c r="AT10" s="388"/>
      <c r="AU10" s="452"/>
      <c r="AV10" s="452"/>
      <c r="AW10" s="669">
        <f t="shared" ref="AW10:AW33" si="24">AU10+AV10*1</f>
        <v>0</v>
      </c>
      <c r="AX10" s="450">
        <f t="shared" si="8"/>
        <v>0</v>
      </c>
      <c r="AY10" s="388"/>
      <c r="AZ10" s="452"/>
      <c r="BA10" s="452"/>
      <c r="BB10" s="669">
        <f t="shared" ref="BB10:BB33" si="25">AZ10+BA10*1</f>
        <v>0</v>
      </c>
      <c r="BC10" s="450" t="e">
        <f t="shared" si="9"/>
        <v>#DIV/0!</v>
      </c>
      <c r="BD10" s="388"/>
      <c r="BE10" s="452"/>
      <c r="BF10" s="452"/>
      <c r="BG10" s="669">
        <f t="shared" ref="BG10:BG33" si="26">BE10+BF10*1</f>
        <v>0</v>
      </c>
      <c r="BH10" s="450" t="e">
        <f t="shared" si="10"/>
        <v>#DIV/0!</v>
      </c>
      <c r="BI10" s="388"/>
      <c r="BJ10" s="39"/>
      <c r="BK10" s="39"/>
      <c r="BL10" s="669">
        <f t="shared" ref="BL10:BL33" si="27">BJ10+BK10*1</f>
        <v>0</v>
      </c>
      <c r="BM10" s="450" t="e">
        <f t="shared" si="11"/>
        <v>#DIV/0!</v>
      </c>
      <c r="BN10" s="388"/>
      <c r="BO10" s="39">
        <f t="shared" si="12"/>
        <v>141877.6</v>
      </c>
      <c r="BP10" s="39">
        <f t="shared" si="13"/>
        <v>0</v>
      </c>
      <c r="BQ10" s="453">
        <f t="shared" ref="BQ10:BQ33" si="28">BO10+BP10*1</f>
        <v>141877.6</v>
      </c>
      <c r="BR10" s="450" t="e">
        <f t="shared" si="5"/>
        <v>#DIV/0!</v>
      </c>
      <c r="BS10" s="456"/>
      <c r="BT10" s="920">
        <v>138339</v>
      </c>
      <c r="BU10" s="921">
        <f>BQ10-BT10</f>
        <v>3538.6000000000058</v>
      </c>
    </row>
    <row r="11" spans="1:73" s="2" customFormat="1" ht="13.8">
      <c r="A11" s="238"/>
      <c r="B11" s="800" t="s">
        <v>69</v>
      </c>
      <c r="C11" s="111">
        <v>124862</v>
      </c>
      <c r="D11" s="493">
        <v>0</v>
      </c>
      <c r="E11" s="446">
        <f t="shared" si="6"/>
        <v>124862</v>
      </c>
      <c r="F11" s="447">
        <f t="shared" si="0"/>
        <v>7.1169464156542054E-3</v>
      </c>
      <c r="G11" s="449">
        <v>14603.8</v>
      </c>
      <c r="H11" s="449"/>
      <c r="I11" s="449">
        <f t="shared" si="14"/>
        <v>14603.8</v>
      </c>
      <c r="J11" s="450">
        <f t="shared" si="1"/>
        <v>2.0357477037443641E-2</v>
      </c>
      <c r="K11" s="451"/>
      <c r="L11" s="452">
        <v>29858.400000000001</v>
      </c>
      <c r="M11" s="452"/>
      <c r="N11" s="453">
        <f t="shared" si="15"/>
        <v>29858.400000000001</v>
      </c>
      <c r="O11" s="450">
        <f t="shared" si="2"/>
        <v>4.03201372714551E-2</v>
      </c>
      <c r="P11" s="456"/>
      <c r="Q11" s="452">
        <v>33839.519999999997</v>
      </c>
      <c r="R11" s="452"/>
      <c r="S11" s="453">
        <f t="shared" si="16"/>
        <v>33839.519999999997</v>
      </c>
      <c r="T11" s="450">
        <f t="shared" si="3"/>
        <v>8.2392144735344581E-3</v>
      </c>
      <c r="U11" s="465"/>
      <c r="V11" s="452">
        <v>29858.400000000001</v>
      </c>
      <c r="W11" s="452"/>
      <c r="X11" s="453">
        <f t="shared" si="17"/>
        <v>29858.400000000001</v>
      </c>
      <c r="Y11" s="450">
        <f t="shared" si="18"/>
        <v>4.8768051558657176E-3</v>
      </c>
      <c r="Z11" s="388"/>
      <c r="AA11" s="452">
        <v>29858.400000000001</v>
      </c>
      <c r="AB11" s="452"/>
      <c r="AC11" s="453">
        <f t="shared" si="19"/>
        <v>29858.400000000001</v>
      </c>
      <c r="AD11" s="450">
        <f t="shared" ref="AD11:AD33" si="29">AC11/$AC$89</f>
        <v>7.9307028503294193E-3</v>
      </c>
      <c r="AE11" s="388"/>
      <c r="AF11" s="452">
        <v>11867</v>
      </c>
      <c r="AG11" s="452"/>
      <c r="AH11" s="592">
        <f t="shared" si="20"/>
        <v>11867</v>
      </c>
      <c r="AI11" s="450">
        <f t="shared" si="4"/>
        <v>7.8967409286014936E-3</v>
      </c>
      <c r="AJ11" s="388"/>
      <c r="AK11" s="452">
        <v>10182</v>
      </c>
      <c r="AL11" s="452"/>
      <c r="AM11" s="669">
        <f t="shared" si="21"/>
        <v>10182</v>
      </c>
      <c r="AN11" s="450" t="e">
        <f t="shared" si="22"/>
        <v>#DIV/0!</v>
      </c>
      <c r="AO11" s="388"/>
      <c r="AP11" s="452"/>
      <c r="AQ11" s="452"/>
      <c r="AR11" s="669">
        <f t="shared" si="23"/>
        <v>0</v>
      </c>
      <c r="AS11" s="450" t="e">
        <f t="shared" si="7"/>
        <v>#DIV/0!</v>
      </c>
      <c r="AT11" s="388"/>
      <c r="AU11" s="452"/>
      <c r="AV11" s="452"/>
      <c r="AW11" s="669">
        <f t="shared" si="24"/>
        <v>0</v>
      </c>
      <c r="AX11" s="450">
        <f t="shared" si="8"/>
        <v>0</v>
      </c>
      <c r="AY11" s="388"/>
      <c r="AZ11" s="452"/>
      <c r="BA11" s="452"/>
      <c r="BB11" s="669">
        <f t="shared" si="25"/>
        <v>0</v>
      </c>
      <c r="BC11" s="450" t="e">
        <f t="shared" si="9"/>
        <v>#DIV/0!</v>
      </c>
      <c r="BD11" s="388"/>
      <c r="BE11" s="452"/>
      <c r="BF11" s="452"/>
      <c r="BG11" s="669">
        <f t="shared" si="26"/>
        <v>0</v>
      </c>
      <c r="BH11" s="450" t="e">
        <f t="shared" si="10"/>
        <v>#DIV/0!</v>
      </c>
      <c r="BI11" s="388"/>
      <c r="BJ11" s="39"/>
      <c r="BK11" s="39"/>
      <c r="BL11" s="669">
        <f t="shared" si="27"/>
        <v>0</v>
      </c>
      <c r="BM11" s="450" t="e">
        <f t="shared" si="11"/>
        <v>#DIV/0!</v>
      </c>
      <c r="BN11" s="388"/>
      <c r="BO11" s="39">
        <f t="shared" si="12"/>
        <v>160067.51999999999</v>
      </c>
      <c r="BP11" s="39">
        <f t="shared" si="13"/>
        <v>0</v>
      </c>
      <c r="BQ11" s="453">
        <f t="shared" si="28"/>
        <v>160067.51999999999</v>
      </c>
      <c r="BR11" s="450" t="e">
        <f t="shared" si="5"/>
        <v>#DIV/0!</v>
      </c>
      <c r="BS11" s="456"/>
      <c r="BT11" s="920">
        <v>156086</v>
      </c>
      <c r="BU11" s="921">
        <f>BQ11-BT11</f>
        <v>3981.5199999999895</v>
      </c>
    </row>
    <row r="12" spans="1:73" s="2" customFormat="1" ht="52.2" customHeight="1">
      <c r="A12" s="238"/>
      <c r="B12" s="800" t="s">
        <v>73</v>
      </c>
      <c r="C12" s="111">
        <v>48300</v>
      </c>
      <c r="D12" s="493">
        <v>251700</v>
      </c>
      <c r="E12" s="446">
        <f t="shared" si="6"/>
        <v>300000</v>
      </c>
      <c r="F12" s="447">
        <f t="shared" si="0"/>
        <v>1.709954929999729E-2</v>
      </c>
      <c r="G12" s="449">
        <v>9660</v>
      </c>
      <c r="H12" s="449">
        <v>10340</v>
      </c>
      <c r="I12" s="449">
        <f t="shared" si="14"/>
        <v>20000</v>
      </c>
      <c r="J12" s="450">
        <f t="shared" si="1"/>
        <v>2.7879698485933309E-2</v>
      </c>
      <c r="K12" s="451" t="s">
        <v>399</v>
      </c>
      <c r="L12" s="452">
        <v>9821</v>
      </c>
      <c r="M12" s="452">
        <f>10179+25000</f>
        <v>35179</v>
      </c>
      <c r="N12" s="453">
        <f t="shared" si="15"/>
        <v>45000</v>
      </c>
      <c r="O12" s="450">
        <f t="shared" si="2"/>
        <v>6.0767026271182634E-2</v>
      </c>
      <c r="P12" s="454" t="s">
        <v>476</v>
      </c>
      <c r="Q12" s="452">
        <f>8348.38+3437.35+8838.9</f>
        <v>20624.629999999997</v>
      </c>
      <c r="R12" s="452">
        <f>25000+5312.65+13661.1</f>
        <v>43973.75</v>
      </c>
      <c r="S12" s="453">
        <f t="shared" si="16"/>
        <v>64598.38</v>
      </c>
      <c r="T12" s="450">
        <f t="shared" si="3"/>
        <v>1.572835275036049E-2</v>
      </c>
      <c r="U12" s="462" t="s">
        <v>608</v>
      </c>
      <c r="V12" s="452">
        <f>4679.86</f>
        <v>4679.8599999999997</v>
      </c>
      <c r="W12" s="452">
        <f>25000+19210.14</f>
        <v>44210.14</v>
      </c>
      <c r="X12" s="453">
        <f t="shared" si="17"/>
        <v>48890</v>
      </c>
      <c r="Y12" s="450">
        <f t="shared" si="18"/>
        <v>7.9852572164039234E-3</v>
      </c>
      <c r="Z12" s="388" t="s">
        <v>640</v>
      </c>
      <c r="AA12" s="713">
        <v>1964.2</v>
      </c>
      <c r="AB12" s="452">
        <f>28000-10000</f>
        <v>18000</v>
      </c>
      <c r="AC12" s="453">
        <f t="shared" si="19"/>
        <v>19964.2</v>
      </c>
      <c r="AD12" s="450">
        <f t="shared" si="29"/>
        <v>5.3027000055108978E-3</v>
      </c>
      <c r="AE12" s="388" t="s">
        <v>718</v>
      </c>
      <c r="AF12" s="713">
        <v>1964.2</v>
      </c>
      <c r="AG12" s="452">
        <f>28000+12000</f>
        <v>40000</v>
      </c>
      <c r="AH12" s="592">
        <f t="shared" si="20"/>
        <v>41964.2</v>
      </c>
      <c r="AI12" s="450">
        <f t="shared" si="4"/>
        <v>2.792453153080128E-2</v>
      </c>
      <c r="AJ12" s="388" t="s">
        <v>783</v>
      </c>
      <c r="AK12" s="452">
        <v>966</v>
      </c>
      <c r="AL12" s="452">
        <f>22075+18000</f>
        <v>40075</v>
      </c>
      <c r="AM12" s="669">
        <f t="shared" si="21"/>
        <v>41041</v>
      </c>
      <c r="AN12" s="450" t="e">
        <f t="shared" si="22"/>
        <v>#DIV/0!</v>
      </c>
      <c r="AO12" s="388" t="s">
        <v>853</v>
      </c>
      <c r="AP12" s="452"/>
      <c r="AQ12" s="452"/>
      <c r="AR12" s="669">
        <f t="shared" si="23"/>
        <v>0</v>
      </c>
      <c r="AS12" s="450" t="e">
        <f t="shared" si="7"/>
        <v>#DIV/0!</v>
      </c>
      <c r="AT12" s="388"/>
      <c r="AU12" s="452">
        <f>517.58</f>
        <v>517.58000000000004</v>
      </c>
      <c r="AV12" s="452"/>
      <c r="AW12" s="669">
        <f t="shared" si="24"/>
        <v>517.58000000000004</v>
      </c>
      <c r="AX12" s="450">
        <f t="shared" si="8"/>
        <v>0.12241789593790534</v>
      </c>
      <c r="AY12" s="388" t="s">
        <v>892</v>
      </c>
      <c r="AZ12" s="452"/>
      <c r="BA12" s="452"/>
      <c r="BB12" s="669">
        <f t="shared" si="25"/>
        <v>0</v>
      </c>
      <c r="BC12" s="450" t="e">
        <f t="shared" si="9"/>
        <v>#DIV/0!</v>
      </c>
      <c r="BD12" s="388"/>
      <c r="BE12" s="452"/>
      <c r="BF12" s="452"/>
      <c r="BG12" s="669">
        <f t="shared" si="26"/>
        <v>0</v>
      </c>
      <c r="BH12" s="450" t="e">
        <f t="shared" si="10"/>
        <v>#DIV/0!</v>
      </c>
      <c r="BI12" s="388"/>
      <c r="BJ12" s="39"/>
      <c r="BK12" s="39"/>
      <c r="BL12" s="669">
        <f t="shared" si="27"/>
        <v>0</v>
      </c>
      <c r="BM12" s="450" t="e">
        <f t="shared" si="11"/>
        <v>#DIV/0!</v>
      </c>
      <c r="BN12" s="388"/>
      <c r="BO12" s="39">
        <f t="shared" si="12"/>
        <v>50197.469999999994</v>
      </c>
      <c r="BP12" s="39">
        <f t="shared" si="13"/>
        <v>231777.89</v>
      </c>
      <c r="BQ12" s="453">
        <f t="shared" si="28"/>
        <v>281975.36</v>
      </c>
      <c r="BR12" s="450" t="e">
        <f t="shared" si="5"/>
        <v>#DIV/0!</v>
      </c>
      <c r="BS12" s="456"/>
      <c r="BT12" s="920">
        <v>299930</v>
      </c>
      <c r="BU12" s="921">
        <f>BQ12-BT12</f>
        <v>-17954.640000000014</v>
      </c>
    </row>
    <row r="13" spans="1:73" s="2" customFormat="1" ht="13.8">
      <c r="A13" s="238"/>
      <c r="B13" s="800" t="s">
        <v>71</v>
      </c>
      <c r="C13" s="111">
        <v>23499</v>
      </c>
      <c r="D13" s="493">
        <v>0</v>
      </c>
      <c r="E13" s="446">
        <f t="shared" si="6"/>
        <v>23499</v>
      </c>
      <c r="F13" s="447">
        <f t="shared" si="0"/>
        <v>1.3394076966687877E-3</v>
      </c>
      <c r="G13" s="449">
        <v>2340</v>
      </c>
      <c r="H13" s="449"/>
      <c r="I13" s="449">
        <f t="shared" si="14"/>
        <v>2340</v>
      </c>
      <c r="J13" s="450">
        <f t="shared" si="1"/>
        <v>3.2619247228541969E-3</v>
      </c>
      <c r="K13" s="451"/>
      <c r="L13" s="452">
        <v>4758</v>
      </c>
      <c r="M13" s="452"/>
      <c r="N13" s="453">
        <f t="shared" si="15"/>
        <v>4758</v>
      </c>
      <c r="O13" s="450">
        <f t="shared" si="2"/>
        <v>6.4251002444063766E-3</v>
      </c>
      <c r="P13" s="456"/>
      <c r="Q13" s="452">
        <f>2022.28+2379+832.65+2141.1</f>
        <v>7375.0299999999988</v>
      </c>
      <c r="R13" s="452"/>
      <c r="S13" s="453">
        <f t="shared" si="16"/>
        <v>7375.0299999999988</v>
      </c>
      <c r="T13" s="450">
        <f t="shared" si="3"/>
        <v>1.7956653616467025E-3</v>
      </c>
      <c r="U13" s="465"/>
      <c r="V13" s="452">
        <f>2379+2214.99</f>
        <v>4593.99</v>
      </c>
      <c r="W13" s="452"/>
      <c r="X13" s="453">
        <f t="shared" si="17"/>
        <v>4593.99</v>
      </c>
      <c r="Y13" s="450">
        <f t="shared" si="18"/>
        <v>7.5034141541393856E-4</v>
      </c>
      <c r="Z13" s="388"/>
      <c r="AA13" s="452">
        <v>2379</v>
      </c>
      <c r="AB13" s="452"/>
      <c r="AC13" s="453">
        <f t="shared" si="19"/>
        <v>2379</v>
      </c>
      <c r="AD13" s="450">
        <f t="shared" si="29"/>
        <v>6.3188724382196265E-4</v>
      </c>
      <c r="AE13" s="388"/>
      <c r="AF13" s="452">
        <v>2379</v>
      </c>
      <c r="AG13" s="452"/>
      <c r="AH13" s="592">
        <f t="shared" si="20"/>
        <v>2379</v>
      </c>
      <c r="AI13" s="450">
        <f t="shared" si="4"/>
        <v>1.5830746329437055E-3</v>
      </c>
      <c r="AJ13" s="388"/>
      <c r="AK13" s="452">
        <v>1170</v>
      </c>
      <c r="AL13" s="452"/>
      <c r="AM13" s="669">
        <f t="shared" si="21"/>
        <v>1170</v>
      </c>
      <c r="AN13" s="450" t="e">
        <f t="shared" si="22"/>
        <v>#DIV/0!</v>
      </c>
      <c r="AO13" s="388"/>
      <c r="AP13" s="452"/>
      <c r="AQ13" s="452"/>
      <c r="AR13" s="669">
        <f t="shared" si="23"/>
        <v>0</v>
      </c>
      <c r="AS13" s="450" t="e">
        <f t="shared" si="7"/>
        <v>#DIV/0!</v>
      </c>
      <c r="AT13" s="388"/>
      <c r="AU13" s="452">
        <v>626.89</v>
      </c>
      <c r="AV13" s="452"/>
      <c r="AW13" s="669">
        <f t="shared" si="24"/>
        <v>626.89</v>
      </c>
      <c r="AX13" s="450">
        <f t="shared" si="8"/>
        <v>0.14827187059877406</v>
      </c>
      <c r="AY13" s="388"/>
      <c r="AZ13" s="452"/>
      <c r="BA13" s="452"/>
      <c r="BB13" s="669">
        <f t="shared" si="25"/>
        <v>0</v>
      </c>
      <c r="BC13" s="450" t="e">
        <f t="shared" si="9"/>
        <v>#DIV/0!</v>
      </c>
      <c r="BD13" s="388"/>
      <c r="BE13" s="452"/>
      <c r="BF13" s="452"/>
      <c r="BG13" s="669">
        <f t="shared" si="26"/>
        <v>0</v>
      </c>
      <c r="BH13" s="450" t="e">
        <f t="shared" si="10"/>
        <v>#DIV/0!</v>
      </c>
      <c r="BI13" s="388"/>
      <c r="BJ13" s="39"/>
      <c r="BK13" s="39"/>
      <c r="BL13" s="669">
        <f t="shared" si="27"/>
        <v>0</v>
      </c>
      <c r="BM13" s="450" t="e">
        <f t="shared" si="11"/>
        <v>#DIV/0!</v>
      </c>
      <c r="BN13" s="388"/>
      <c r="BO13" s="39">
        <f t="shared" si="12"/>
        <v>25621.909999999996</v>
      </c>
      <c r="BP13" s="39">
        <f t="shared" si="13"/>
        <v>0</v>
      </c>
      <c r="BQ13" s="453">
        <f t="shared" si="28"/>
        <v>25621.909999999996</v>
      </c>
      <c r="BR13" s="450" t="e">
        <f t="shared" si="5"/>
        <v>#DIV/0!</v>
      </c>
      <c r="BS13" s="456"/>
      <c r="BT13" s="920">
        <v>23719</v>
      </c>
      <c r="BU13" s="921">
        <f t="shared" ref="BU13:BU76" si="30">BQ13-BT13</f>
        <v>1902.9099999999962</v>
      </c>
    </row>
    <row r="14" spans="1:73" s="2" customFormat="1" ht="13.8">
      <c r="A14" s="238"/>
      <c r="B14" s="800" t="s">
        <v>70</v>
      </c>
      <c r="C14" s="111">
        <v>21404</v>
      </c>
      <c r="D14" s="493">
        <v>0</v>
      </c>
      <c r="E14" s="446">
        <f t="shared" si="6"/>
        <v>21404</v>
      </c>
      <c r="F14" s="447">
        <f t="shared" si="0"/>
        <v>1.2199958440571401E-3</v>
      </c>
      <c r="G14" s="449">
        <v>2640</v>
      </c>
      <c r="H14" s="449"/>
      <c r="I14" s="449">
        <f t="shared" si="14"/>
        <v>2640</v>
      </c>
      <c r="J14" s="450">
        <f t="shared" si="1"/>
        <v>3.6801202001431966E-3</v>
      </c>
      <c r="K14" s="451"/>
      <c r="L14" s="452">
        <v>5368</v>
      </c>
      <c r="M14" s="452"/>
      <c r="N14" s="453">
        <f t="shared" si="15"/>
        <v>5368</v>
      </c>
      <c r="O14" s="450">
        <f t="shared" si="2"/>
        <v>7.2488310449712965E-3</v>
      </c>
      <c r="P14" s="456"/>
      <c r="Q14" s="452">
        <f>2281.55+2684+939.4+2415.6</f>
        <v>8320.5499999999993</v>
      </c>
      <c r="R14" s="452"/>
      <c r="S14" s="453">
        <f t="shared" si="16"/>
        <v>8320.5499999999993</v>
      </c>
      <c r="T14" s="450">
        <f t="shared" si="3"/>
        <v>2.0258796811469882E-3</v>
      </c>
      <c r="U14" s="465"/>
      <c r="V14" s="452">
        <f>2684+2498.97</f>
        <v>5182.9699999999993</v>
      </c>
      <c r="W14" s="452"/>
      <c r="X14" s="453">
        <f t="shared" si="17"/>
        <v>5182.9699999999993</v>
      </c>
      <c r="Y14" s="450">
        <f t="shared" si="18"/>
        <v>8.4654016352843191E-4</v>
      </c>
      <c r="Z14" s="388"/>
      <c r="AA14" s="452">
        <v>2684</v>
      </c>
      <c r="AB14" s="452"/>
      <c r="AC14" s="453">
        <f t="shared" si="19"/>
        <v>2684</v>
      </c>
      <c r="AD14" s="450">
        <f t="shared" si="29"/>
        <v>7.1289842892734243E-4</v>
      </c>
      <c r="AE14" s="388"/>
      <c r="AF14" s="452">
        <v>2684</v>
      </c>
      <c r="AG14" s="452"/>
      <c r="AH14" s="592">
        <f t="shared" si="20"/>
        <v>2684</v>
      </c>
      <c r="AI14" s="450">
        <f t="shared" si="4"/>
        <v>1.7860329192185395E-3</v>
      </c>
      <c r="AJ14" s="388"/>
      <c r="AK14" s="452">
        <v>1320</v>
      </c>
      <c r="AL14" s="452"/>
      <c r="AM14" s="669">
        <f t="shared" si="21"/>
        <v>1320</v>
      </c>
      <c r="AN14" s="450" t="e">
        <f t="shared" si="22"/>
        <v>#DIV/0!</v>
      </c>
      <c r="AO14" s="388"/>
      <c r="AP14" s="452"/>
      <c r="AQ14" s="452"/>
      <c r="AR14" s="669">
        <f t="shared" si="23"/>
        <v>0</v>
      </c>
      <c r="AS14" s="450" t="e">
        <f t="shared" si="7"/>
        <v>#DIV/0!</v>
      </c>
      <c r="AT14" s="388"/>
      <c r="AU14" s="452">
        <v>707.26</v>
      </c>
      <c r="AV14" s="452"/>
      <c r="AW14" s="669">
        <f t="shared" si="24"/>
        <v>707.26</v>
      </c>
      <c r="AX14" s="450">
        <f t="shared" si="8"/>
        <v>0.16728096348592086</v>
      </c>
      <c r="AY14" s="388"/>
      <c r="AZ14" s="452"/>
      <c r="BA14" s="452"/>
      <c r="BB14" s="669">
        <f t="shared" si="25"/>
        <v>0</v>
      </c>
      <c r="BC14" s="450" t="e">
        <f t="shared" si="9"/>
        <v>#DIV/0!</v>
      </c>
      <c r="BD14" s="388"/>
      <c r="BE14" s="452"/>
      <c r="BF14" s="452"/>
      <c r="BG14" s="669">
        <f t="shared" si="26"/>
        <v>0</v>
      </c>
      <c r="BH14" s="450" t="e">
        <f t="shared" si="10"/>
        <v>#DIV/0!</v>
      </c>
      <c r="BI14" s="388"/>
      <c r="BJ14" s="39"/>
      <c r="BK14" s="39"/>
      <c r="BL14" s="669">
        <f t="shared" si="27"/>
        <v>0</v>
      </c>
      <c r="BM14" s="450" t="e">
        <f t="shared" si="11"/>
        <v>#DIV/0!</v>
      </c>
      <c r="BN14" s="388"/>
      <c r="BO14" s="39">
        <f t="shared" si="12"/>
        <v>28906.779999999995</v>
      </c>
      <c r="BP14" s="39">
        <f t="shared" si="13"/>
        <v>0</v>
      </c>
      <c r="BQ14" s="453">
        <f t="shared" si="28"/>
        <v>28906.779999999995</v>
      </c>
      <c r="BR14" s="450" t="e">
        <f t="shared" si="5"/>
        <v>#DIV/0!</v>
      </c>
      <c r="BS14" s="456"/>
      <c r="BT14" s="920">
        <v>26760</v>
      </c>
      <c r="BU14" s="921">
        <f t="shared" si="30"/>
        <v>2146.7799999999952</v>
      </c>
    </row>
    <row r="15" spans="1:73" s="2" customFormat="1" ht="13.8">
      <c r="A15" s="238"/>
      <c r="B15" s="499" t="s">
        <v>20</v>
      </c>
      <c r="C15" s="111"/>
      <c r="D15" s="445"/>
      <c r="E15" s="446">
        <f t="shared" si="6"/>
        <v>0</v>
      </c>
      <c r="F15" s="447">
        <f t="shared" si="0"/>
        <v>0</v>
      </c>
      <c r="G15" s="449"/>
      <c r="H15" s="449"/>
      <c r="I15" s="449">
        <f t="shared" si="14"/>
        <v>0</v>
      </c>
      <c r="J15" s="450">
        <f t="shared" si="1"/>
        <v>0</v>
      </c>
      <c r="K15" s="451"/>
      <c r="L15" s="452"/>
      <c r="M15" s="452"/>
      <c r="N15" s="453">
        <f t="shared" si="15"/>
        <v>0</v>
      </c>
      <c r="O15" s="450">
        <f t="shared" si="2"/>
        <v>0</v>
      </c>
      <c r="P15" s="456"/>
      <c r="Q15" s="452"/>
      <c r="R15" s="452"/>
      <c r="S15" s="453">
        <f t="shared" si="16"/>
        <v>0</v>
      </c>
      <c r="T15" s="450">
        <f t="shared" si="3"/>
        <v>0</v>
      </c>
      <c r="U15" s="465"/>
      <c r="V15" s="452"/>
      <c r="W15" s="452"/>
      <c r="X15" s="453">
        <f t="shared" si="17"/>
        <v>0</v>
      </c>
      <c r="Y15" s="450">
        <f t="shared" si="18"/>
        <v>0</v>
      </c>
      <c r="Z15" s="388"/>
      <c r="AA15" s="452"/>
      <c r="AB15" s="452"/>
      <c r="AC15" s="453">
        <f t="shared" si="19"/>
        <v>0</v>
      </c>
      <c r="AD15" s="450">
        <f t="shared" si="29"/>
        <v>0</v>
      </c>
      <c r="AE15" s="388"/>
      <c r="AF15" s="452"/>
      <c r="AG15" s="452"/>
      <c r="AH15" s="592">
        <f t="shared" si="20"/>
        <v>0</v>
      </c>
      <c r="AI15" s="450">
        <f t="shared" si="4"/>
        <v>0</v>
      </c>
      <c r="AJ15" s="388"/>
      <c r="AK15" s="452"/>
      <c r="AL15" s="452">
        <v>34856</v>
      </c>
      <c r="AM15" s="669">
        <f t="shared" si="21"/>
        <v>34856</v>
      </c>
      <c r="AN15" s="450" t="e">
        <f t="shared" si="22"/>
        <v>#DIV/0!</v>
      </c>
      <c r="AO15" s="388"/>
      <c r="AP15" s="452"/>
      <c r="AQ15" s="452">
        <v>45300</v>
      </c>
      <c r="AR15" s="669">
        <f t="shared" si="23"/>
        <v>45300</v>
      </c>
      <c r="AS15" s="450" t="e">
        <f t="shared" si="7"/>
        <v>#DIV/0!</v>
      </c>
      <c r="AT15" s="388"/>
      <c r="AU15" s="452"/>
      <c r="AV15" s="452">
        <v>700</v>
      </c>
      <c r="AW15" s="669">
        <f t="shared" si="24"/>
        <v>700</v>
      </c>
      <c r="AX15" s="450">
        <f t="shared" si="8"/>
        <v>0.1655638300485601</v>
      </c>
      <c r="AY15" s="388"/>
      <c r="AZ15" s="452"/>
      <c r="BA15" s="452"/>
      <c r="BB15" s="669">
        <f t="shared" si="25"/>
        <v>0</v>
      </c>
      <c r="BC15" s="450" t="e">
        <f t="shared" si="9"/>
        <v>#DIV/0!</v>
      </c>
      <c r="BD15" s="388"/>
      <c r="BE15" s="452"/>
      <c r="BF15" s="452"/>
      <c r="BG15" s="669">
        <f t="shared" si="26"/>
        <v>0</v>
      </c>
      <c r="BH15" s="450" t="e">
        <f t="shared" si="10"/>
        <v>#DIV/0!</v>
      </c>
      <c r="BI15" s="388"/>
      <c r="BJ15" s="39"/>
      <c r="BK15" s="39"/>
      <c r="BL15" s="669">
        <f t="shared" si="27"/>
        <v>0</v>
      </c>
      <c r="BM15" s="450" t="e">
        <f t="shared" si="11"/>
        <v>#DIV/0!</v>
      </c>
      <c r="BN15" s="388"/>
      <c r="BO15" s="39">
        <f t="shared" si="12"/>
        <v>0</v>
      </c>
      <c r="BP15" s="39">
        <f t="shared" si="13"/>
        <v>80856</v>
      </c>
      <c r="BQ15" s="453">
        <f t="shared" si="28"/>
        <v>80856</v>
      </c>
      <c r="BR15" s="450" t="e">
        <f t="shared" si="5"/>
        <v>#DIV/0!</v>
      </c>
      <c r="BS15" s="456"/>
      <c r="BT15" s="920">
        <v>80856</v>
      </c>
      <c r="BU15" s="921">
        <f t="shared" si="30"/>
        <v>0</v>
      </c>
    </row>
    <row r="16" spans="1:73" s="2" customFormat="1" ht="27.6">
      <c r="A16" s="292"/>
      <c r="B16" s="499" t="s">
        <v>21</v>
      </c>
      <c r="C16" s="111">
        <v>2785</v>
      </c>
      <c r="D16" s="445">
        <v>1379029</v>
      </c>
      <c r="E16" s="446">
        <f t="shared" si="6"/>
        <v>1381814</v>
      </c>
      <c r="F16" s="447">
        <f t="shared" si="0"/>
        <v>7.8761322054754848E-2</v>
      </c>
      <c r="G16" s="449"/>
      <c r="H16" s="449"/>
      <c r="I16" s="449">
        <f t="shared" si="14"/>
        <v>0</v>
      </c>
      <c r="J16" s="450">
        <f t="shared" si="1"/>
        <v>0</v>
      </c>
      <c r="K16" s="451"/>
      <c r="L16" s="452"/>
      <c r="M16" s="452"/>
      <c r="N16" s="453">
        <f t="shared" si="15"/>
        <v>0</v>
      </c>
      <c r="O16" s="450">
        <f t="shared" si="2"/>
        <v>0</v>
      </c>
      <c r="P16" s="456"/>
      <c r="Q16" s="452"/>
      <c r="R16" s="452"/>
      <c r="S16" s="453">
        <f t="shared" si="16"/>
        <v>0</v>
      </c>
      <c r="T16" s="450">
        <f t="shared" si="3"/>
        <v>0</v>
      </c>
      <c r="U16" s="465"/>
      <c r="V16" s="452"/>
      <c r="W16" s="452">
        <f>500856.2+176256.8+135971.35+7001</f>
        <v>820085.35</v>
      </c>
      <c r="X16" s="453">
        <f t="shared" si="17"/>
        <v>820085.35</v>
      </c>
      <c r="Y16" s="450">
        <f t="shared" si="18"/>
        <v>0.13394543790457428</v>
      </c>
      <c r="Z16" s="388" t="s">
        <v>652</v>
      </c>
      <c r="AA16" s="452"/>
      <c r="AB16" s="452">
        <f>298782.5</f>
        <v>298782.5</v>
      </c>
      <c r="AC16" s="453">
        <f t="shared" si="19"/>
        <v>298782.5</v>
      </c>
      <c r="AD16" s="450">
        <f t="shared" si="29"/>
        <v>7.935975217622343E-2</v>
      </c>
      <c r="AE16" s="388" t="s">
        <v>723</v>
      </c>
      <c r="AF16" s="452"/>
      <c r="AG16" s="452">
        <v>113547.04</v>
      </c>
      <c r="AH16" s="592">
        <f t="shared" si="20"/>
        <v>113547.04</v>
      </c>
      <c r="AI16" s="450">
        <f t="shared" si="4"/>
        <v>7.5558402131082072E-2</v>
      </c>
      <c r="AJ16" s="388" t="s">
        <v>790</v>
      </c>
      <c r="AK16" s="452"/>
      <c r="AL16" s="452">
        <v>47787.5</v>
      </c>
      <c r="AM16" s="669">
        <f t="shared" si="21"/>
        <v>47787.5</v>
      </c>
      <c r="AN16" s="450" t="e">
        <f t="shared" si="22"/>
        <v>#DIV/0!</v>
      </c>
      <c r="AO16" s="388" t="s">
        <v>641</v>
      </c>
      <c r="AP16" s="452"/>
      <c r="AQ16" s="452"/>
      <c r="AR16" s="669">
        <f t="shared" si="23"/>
        <v>0</v>
      </c>
      <c r="AS16" s="450" t="e">
        <f t="shared" si="7"/>
        <v>#DIV/0!</v>
      </c>
      <c r="AT16" s="388"/>
      <c r="AU16" s="452"/>
      <c r="AV16" s="452"/>
      <c r="AW16" s="669">
        <f t="shared" si="24"/>
        <v>0</v>
      </c>
      <c r="AX16" s="450">
        <f t="shared" si="8"/>
        <v>0</v>
      </c>
      <c r="AY16" s="388"/>
      <c r="AZ16" s="452"/>
      <c r="BA16" s="452"/>
      <c r="BB16" s="669">
        <f t="shared" si="25"/>
        <v>0</v>
      </c>
      <c r="BC16" s="450" t="e">
        <f t="shared" si="9"/>
        <v>#DIV/0!</v>
      </c>
      <c r="BD16" s="388"/>
      <c r="BE16" s="452"/>
      <c r="BF16" s="452"/>
      <c r="BG16" s="669">
        <f t="shared" si="26"/>
        <v>0</v>
      </c>
      <c r="BH16" s="450" t="e">
        <f t="shared" si="10"/>
        <v>#DIV/0!</v>
      </c>
      <c r="BI16" s="388"/>
      <c r="BJ16" s="39"/>
      <c r="BK16" s="39"/>
      <c r="BL16" s="669">
        <f t="shared" si="27"/>
        <v>0</v>
      </c>
      <c r="BM16" s="450" t="e">
        <f t="shared" si="11"/>
        <v>#DIV/0!</v>
      </c>
      <c r="BN16" s="388"/>
      <c r="BO16" s="39">
        <f t="shared" si="12"/>
        <v>0</v>
      </c>
      <c r="BP16" s="39">
        <f t="shared" si="13"/>
        <v>1280202.3900000001</v>
      </c>
      <c r="BQ16" s="453">
        <f t="shared" si="28"/>
        <v>1280202.3900000001</v>
      </c>
      <c r="BR16" s="450" t="e">
        <f t="shared" si="5"/>
        <v>#DIV/0!</v>
      </c>
      <c r="BS16" s="456"/>
      <c r="BT16" s="920">
        <v>1452818</v>
      </c>
      <c r="BU16" s="926">
        <f t="shared" si="30"/>
        <v>-172615.60999999987</v>
      </c>
    </row>
    <row r="17" spans="1:73" s="2" customFormat="1" ht="13.8">
      <c r="A17" s="238"/>
      <c r="B17" s="499" t="s">
        <v>22</v>
      </c>
      <c r="C17" s="111"/>
      <c r="D17" s="445"/>
      <c r="E17" s="446">
        <f t="shared" si="6"/>
        <v>0</v>
      </c>
      <c r="F17" s="447">
        <f t="shared" si="0"/>
        <v>0</v>
      </c>
      <c r="G17" s="448"/>
      <c r="H17" s="445"/>
      <c r="I17" s="449">
        <f t="shared" si="14"/>
        <v>0</v>
      </c>
      <c r="J17" s="450">
        <f t="shared" si="1"/>
        <v>0</v>
      </c>
      <c r="K17" s="451"/>
      <c r="L17" s="452"/>
      <c r="M17" s="452"/>
      <c r="N17" s="453">
        <f t="shared" si="15"/>
        <v>0</v>
      </c>
      <c r="O17" s="450">
        <f t="shared" si="2"/>
        <v>0</v>
      </c>
      <c r="P17" s="456"/>
      <c r="Q17" s="452"/>
      <c r="R17" s="452"/>
      <c r="S17" s="453">
        <f t="shared" si="16"/>
        <v>0</v>
      </c>
      <c r="T17" s="450">
        <f t="shared" si="3"/>
        <v>0</v>
      </c>
      <c r="U17" s="465"/>
      <c r="V17" s="452"/>
      <c r="W17" s="452"/>
      <c r="X17" s="453">
        <f t="shared" si="17"/>
        <v>0</v>
      </c>
      <c r="Y17" s="450">
        <f t="shared" si="18"/>
        <v>0</v>
      </c>
      <c r="Z17" s="388"/>
      <c r="AA17" s="452"/>
      <c r="AB17" s="452"/>
      <c r="AC17" s="453">
        <f t="shared" si="19"/>
        <v>0</v>
      </c>
      <c r="AD17" s="450">
        <f t="shared" si="29"/>
        <v>0</v>
      </c>
      <c r="AE17" s="388"/>
      <c r="AF17" s="452"/>
      <c r="AG17" s="452"/>
      <c r="AH17" s="592">
        <f t="shared" si="20"/>
        <v>0</v>
      </c>
      <c r="AI17" s="450">
        <f t="shared" si="4"/>
        <v>0</v>
      </c>
      <c r="AJ17" s="388"/>
      <c r="AK17" s="452"/>
      <c r="AL17" s="452"/>
      <c r="AM17" s="669">
        <f t="shared" si="21"/>
        <v>0</v>
      </c>
      <c r="AN17" s="450" t="e">
        <f t="shared" si="22"/>
        <v>#DIV/0!</v>
      </c>
      <c r="AO17" s="388"/>
      <c r="AP17" s="452"/>
      <c r="AQ17" s="452"/>
      <c r="AR17" s="669">
        <f t="shared" si="23"/>
        <v>0</v>
      </c>
      <c r="AS17" s="450" t="e">
        <f t="shared" si="7"/>
        <v>#DIV/0!</v>
      </c>
      <c r="AT17" s="388"/>
      <c r="AU17" s="452"/>
      <c r="AV17" s="452"/>
      <c r="AW17" s="669">
        <f t="shared" si="24"/>
        <v>0</v>
      </c>
      <c r="AX17" s="450">
        <f t="shared" si="8"/>
        <v>0</v>
      </c>
      <c r="AY17" s="388"/>
      <c r="AZ17" s="452"/>
      <c r="BA17" s="452"/>
      <c r="BB17" s="669">
        <f t="shared" si="25"/>
        <v>0</v>
      </c>
      <c r="BC17" s="450" t="e">
        <f t="shared" si="9"/>
        <v>#DIV/0!</v>
      </c>
      <c r="BD17" s="388"/>
      <c r="BE17" s="452"/>
      <c r="BF17" s="452"/>
      <c r="BG17" s="669">
        <f t="shared" si="26"/>
        <v>0</v>
      </c>
      <c r="BH17" s="450" t="e">
        <f t="shared" si="10"/>
        <v>#DIV/0!</v>
      </c>
      <c r="BI17" s="388"/>
      <c r="BJ17" s="39"/>
      <c r="BK17" s="39"/>
      <c r="BL17" s="669">
        <f t="shared" si="27"/>
        <v>0</v>
      </c>
      <c r="BM17" s="450" t="e">
        <f t="shared" si="11"/>
        <v>#DIV/0!</v>
      </c>
      <c r="BN17" s="388"/>
      <c r="BO17" s="39">
        <f t="shared" si="12"/>
        <v>0</v>
      </c>
      <c r="BP17" s="39">
        <f t="shared" si="13"/>
        <v>0</v>
      </c>
      <c r="BQ17" s="453">
        <f t="shared" si="28"/>
        <v>0</v>
      </c>
      <c r="BR17" s="450" t="e">
        <f t="shared" si="5"/>
        <v>#DIV/0!</v>
      </c>
      <c r="BS17" s="456"/>
      <c r="BT17" s="920"/>
      <c r="BU17" s="921">
        <f t="shared" si="30"/>
        <v>0</v>
      </c>
    </row>
    <row r="18" spans="1:73" s="2" customFormat="1" ht="55.2">
      <c r="A18" s="238"/>
      <c r="B18" s="499" t="s">
        <v>0</v>
      </c>
      <c r="C18" s="111">
        <v>838076</v>
      </c>
      <c r="D18" s="445"/>
      <c r="E18" s="446">
        <f t="shared" si="6"/>
        <v>838076</v>
      </c>
      <c r="F18" s="447">
        <f t="shared" si="0"/>
        <v>4.7769072930481764E-2</v>
      </c>
      <c r="G18" s="448"/>
      <c r="H18" s="449"/>
      <c r="I18" s="449">
        <f t="shared" si="14"/>
        <v>0</v>
      </c>
      <c r="J18" s="450">
        <f t="shared" si="1"/>
        <v>0</v>
      </c>
      <c r="K18" s="451"/>
      <c r="L18" s="452"/>
      <c r="M18" s="452">
        <v>58675.34</v>
      </c>
      <c r="N18" s="453">
        <f t="shared" si="15"/>
        <v>58675.34</v>
      </c>
      <c r="O18" s="450">
        <f t="shared" si="2"/>
        <v>7.9233909494457175E-2</v>
      </c>
      <c r="P18" s="454" t="s">
        <v>488</v>
      </c>
      <c r="Q18" s="495">
        <f>5090</f>
        <v>5090</v>
      </c>
      <c r="R18" s="452">
        <v>400</v>
      </c>
      <c r="S18" s="453">
        <f t="shared" si="16"/>
        <v>5490</v>
      </c>
      <c r="T18" s="450">
        <f t="shared" si="3"/>
        <v>1.3367000317883993E-3</v>
      </c>
      <c r="U18" s="455" t="s">
        <v>605</v>
      </c>
      <c r="V18" s="495">
        <f>75450*1.2</f>
        <v>90540</v>
      </c>
      <c r="W18" s="452"/>
      <c r="X18" s="453">
        <f t="shared" si="17"/>
        <v>90540</v>
      </c>
      <c r="Y18" s="450">
        <f t="shared" si="18"/>
        <v>1.4787997307695054E-2</v>
      </c>
      <c r="Z18" s="388" t="s">
        <v>664</v>
      </c>
      <c r="AA18" s="495">
        <f>13625*1.2+17315*1.2</f>
        <v>37128</v>
      </c>
      <c r="AB18" s="452">
        <v>35000</v>
      </c>
      <c r="AC18" s="453">
        <f t="shared" si="19"/>
        <v>72128</v>
      </c>
      <c r="AD18" s="450">
        <f t="shared" si="29"/>
        <v>1.9157950030428972E-2</v>
      </c>
      <c r="AE18" s="388" t="s">
        <v>746</v>
      </c>
      <c r="AF18" s="495"/>
      <c r="AG18" s="452"/>
      <c r="AH18" s="592">
        <f t="shared" si="20"/>
        <v>0</v>
      </c>
      <c r="AI18" s="450">
        <f t="shared" si="4"/>
        <v>0</v>
      </c>
      <c r="AJ18" s="388"/>
      <c r="AK18" s="495">
        <f>205254+45087</f>
        <v>250341</v>
      </c>
      <c r="AL18" s="452"/>
      <c r="AM18" s="669">
        <f t="shared" si="21"/>
        <v>250341</v>
      </c>
      <c r="AN18" s="450" t="e">
        <f t="shared" si="22"/>
        <v>#DIV/0!</v>
      </c>
      <c r="AO18" s="388" t="s">
        <v>859</v>
      </c>
      <c r="AP18" s="495"/>
      <c r="AQ18" s="452"/>
      <c r="AR18" s="669">
        <f t="shared" si="23"/>
        <v>0</v>
      </c>
      <c r="AS18" s="450" t="e">
        <f t="shared" si="7"/>
        <v>#DIV/0!</v>
      </c>
      <c r="AT18" s="388"/>
      <c r="AU18" s="495"/>
      <c r="AV18" s="452"/>
      <c r="AW18" s="669">
        <f t="shared" si="24"/>
        <v>0</v>
      </c>
      <c r="AX18" s="450">
        <f t="shared" si="8"/>
        <v>0</v>
      </c>
      <c r="AY18" s="388"/>
      <c r="AZ18" s="495">
        <f>81485*1.2</f>
        <v>97782</v>
      </c>
      <c r="BA18" s="452">
        <v>11000</v>
      </c>
      <c r="BB18" s="669">
        <f t="shared" si="25"/>
        <v>108782</v>
      </c>
      <c r="BC18" s="450" t="e">
        <f t="shared" si="9"/>
        <v>#DIV/0!</v>
      </c>
      <c r="BD18" s="388" t="s">
        <v>915</v>
      </c>
      <c r="BE18" s="495"/>
      <c r="BF18" s="452"/>
      <c r="BG18" s="669">
        <f t="shared" si="26"/>
        <v>0</v>
      </c>
      <c r="BH18" s="450" t="e">
        <f t="shared" si="10"/>
        <v>#DIV/0!</v>
      </c>
      <c r="BI18" s="388"/>
      <c r="BJ18" s="39"/>
      <c r="BK18" s="39"/>
      <c r="BL18" s="669">
        <f t="shared" si="27"/>
        <v>0</v>
      </c>
      <c r="BM18" s="450" t="e">
        <f t="shared" si="11"/>
        <v>#DIV/0!</v>
      </c>
      <c r="BN18" s="388"/>
      <c r="BO18" s="39">
        <f t="shared" si="12"/>
        <v>480881</v>
      </c>
      <c r="BP18" s="39">
        <f t="shared" si="13"/>
        <v>105075.34</v>
      </c>
      <c r="BQ18" s="453">
        <f t="shared" si="28"/>
        <v>585956.34</v>
      </c>
      <c r="BR18" s="450" t="e">
        <f t="shared" si="5"/>
        <v>#DIV/0!</v>
      </c>
      <c r="BS18" s="456"/>
      <c r="BT18" s="919">
        <v>667140</v>
      </c>
      <c r="BU18" s="921">
        <f t="shared" si="30"/>
        <v>-81183.660000000033</v>
      </c>
    </row>
    <row r="19" spans="1:73" s="2" customFormat="1" ht="27.6">
      <c r="A19" s="238"/>
      <c r="B19" s="471" t="s">
        <v>53</v>
      </c>
      <c r="C19" s="114"/>
      <c r="D19" s="445"/>
      <c r="E19" s="446">
        <f t="shared" si="6"/>
        <v>0</v>
      </c>
      <c r="F19" s="447">
        <f t="shared" si="0"/>
        <v>0</v>
      </c>
      <c r="G19" s="448"/>
      <c r="H19" s="445"/>
      <c r="I19" s="449">
        <f t="shared" si="14"/>
        <v>0</v>
      </c>
      <c r="J19" s="450">
        <f t="shared" si="1"/>
        <v>0</v>
      </c>
      <c r="K19" s="451"/>
      <c r="L19" s="452"/>
      <c r="M19" s="452"/>
      <c r="N19" s="453">
        <f t="shared" si="15"/>
        <v>0</v>
      </c>
      <c r="O19" s="450">
        <f t="shared" si="2"/>
        <v>0</v>
      </c>
      <c r="P19" s="454"/>
      <c r="Q19" s="452"/>
      <c r="R19" s="452"/>
      <c r="S19" s="453">
        <f t="shared" si="16"/>
        <v>0</v>
      </c>
      <c r="T19" s="450">
        <f t="shared" si="3"/>
        <v>0</v>
      </c>
      <c r="U19" s="462"/>
      <c r="V19" s="452">
        <v>1300</v>
      </c>
      <c r="W19" s="452"/>
      <c r="X19" s="453">
        <f t="shared" si="17"/>
        <v>1300</v>
      </c>
      <c r="Y19" s="450">
        <f t="shared" si="18"/>
        <v>2.1233042301749028E-4</v>
      </c>
      <c r="Z19" s="388" t="s">
        <v>660</v>
      </c>
      <c r="AA19" s="452"/>
      <c r="AB19" s="452"/>
      <c r="AC19" s="453">
        <f t="shared" si="19"/>
        <v>0</v>
      </c>
      <c r="AD19" s="450">
        <f t="shared" si="29"/>
        <v>0</v>
      </c>
      <c r="AE19" s="388"/>
      <c r="AF19" s="452"/>
      <c r="AG19" s="452"/>
      <c r="AH19" s="592">
        <f t="shared" si="20"/>
        <v>0</v>
      </c>
      <c r="AI19" s="450">
        <f t="shared" si="4"/>
        <v>0</v>
      </c>
      <c r="AJ19" s="388"/>
      <c r="AK19" s="452"/>
      <c r="AL19" s="452"/>
      <c r="AM19" s="669">
        <f t="shared" si="21"/>
        <v>0</v>
      </c>
      <c r="AN19" s="450" t="e">
        <f t="shared" si="22"/>
        <v>#DIV/0!</v>
      </c>
      <c r="AO19" s="388"/>
      <c r="AP19" s="452"/>
      <c r="AQ19" s="452"/>
      <c r="AR19" s="669">
        <f t="shared" si="23"/>
        <v>0</v>
      </c>
      <c r="AS19" s="450" t="e">
        <f t="shared" si="7"/>
        <v>#DIV/0!</v>
      </c>
      <c r="AT19" s="388"/>
      <c r="AU19" s="452"/>
      <c r="AV19" s="452"/>
      <c r="AW19" s="669">
        <f t="shared" si="24"/>
        <v>0</v>
      </c>
      <c r="AX19" s="450">
        <f t="shared" si="8"/>
        <v>0</v>
      </c>
      <c r="AY19" s="388"/>
      <c r="AZ19" s="452"/>
      <c r="BA19" s="452"/>
      <c r="BB19" s="669">
        <f t="shared" si="25"/>
        <v>0</v>
      </c>
      <c r="BC19" s="450" t="e">
        <f t="shared" si="9"/>
        <v>#DIV/0!</v>
      </c>
      <c r="BD19" s="388"/>
      <c r="BE19" s="452"/>
      <c r="BF19" s="452"/>
      <c r="BG19" s="669">
        <f t="shared" si="26"/>
        <v>0</v>
      </c>
      <c r="BH19" s="450" t="e">
        <f t="shared" si="10"/>
        <v>#DIV/0!</v>
      </c>
      <c r="BI19" s="388"/>
      <c r="BJ19" s="39"/>
      <c r="BK19" s="39"/>
      <c r="BL19" s="669">
        <f t="shared" si="27"/>
        <v>0</v>
      </c>
      <c r="BM19" s="450" t="e">
        <f t="shared" si="11"/>
        <v>#DIV/0!</v>
      </c>
      <c r="BN19" s="388"/>
      <c r="BO19" s="39">
        <f t="shared" si="12"/>
        <v>1300</v>
      </c>
      <c r="BP19" s="39">
        <f t="shared" si="13"/>
        <v>0</v>
      </c>
      <c r="BQ19" s="453">
        <f t="shared" si="28"/>
        <v>1300</v>
      </c>
      <c r="BR19" s="450" t="e">
        <f t="shared" si="5"/>
        <v>#DIV/0!</v>
      </c>
      <c r="BS19" s="456"/>
      <c r="BT19" s="919">
        <v>1300</v>
      </c>
      <c r="BU19" s="921">
        <f t="shared" si="30"/>
        <v>0</v>
      </c>
    </row>
    <row r="20" spans="1:73" s="2" customFormat="1" ht="13.8">
      <c r="A20" s="238"/>
      <c r="B20" s="471" t="s">
        <v>57</v>
      </c>
      <c r="C20" s="114">
        <v>73946.25</v>
      </c>
      <c r="D20" s="445"/>
      <c r="E20" s="446">
        <f t="shared" si="6"/>
        <v>73946.25</v>
      </c>
      <c r="F20" s="447">
        <f t="shared" si="0"/>
        <v>4.2148251580830824E-3</v>
      </c>
      <c r="G20" s="448"/>
      <c r="H20" s="445"/>
      <c r="I20" s="449">
        <f t="shared" si="14"/>
        <v>0</v>
      </c>
      <c r="J20" s="450">
        <f t="shared" si="1"/>
        <v>0</v>
      </c>
      <c r="K20" s="451"/>
      <c r="L20" s="452">
        <v>47552</v>
      </c>
      <c r="M20" s="452"/>
      <c r="N20" s="453">
        <f t="shared" si="15"/>
        <v>47552</v>
      </c>
      <c r="O20" s="450">
        <f t="shared" si="2"/>
        <v>6.4213191849939483E-2</v>
      </c>
      <c r="P20" s="456" t="s">
        <v>528</v>
      </c>
      <c r="Q20" s="452">
        <f>129862.6</f>
        <v>129862.6</v>
      </c>
      <c r="R20" s="452"/>
      <c r="S20" s="453">
        <f t="shared" si="16"/>
        <v>129862.6</v>
      </c>
      <c r="T20" s="450">
        <f t="shared" si="3"/>
        <v>3.1618823597108235E-2</v>
      </c>
      <c r="U20" s="460" t="s">
        <v>598</v>
      </c>
      <c r="V20" s="452">
        <f>(46371.15)*1.2</f>
        <v>55645.38</v>
      </c>
      <c r="W20" s="452"/>
      <c r="X20" s="453">
        <f t="shared" si="17"/>
        <v>55645.38</v>
      </c>
      <c r="Y20" s="450">
        <f t="shared" si="18"/>
        <v>9.0886208264376878E-3</v>
      </c>
      <c r="Z20" s="388" t="s">
        <v>710</v>
      </c>
      <c r="AA20" s="452">
        <f>16892.89*1.2</f>
        <v>20271.467999999997</v>
      </c>
      <c r="AB20" s="452"/>
      <c r="AC20" s="453">
        <f t="shared" si="19"/>
        <v>20271.467999999997</v>
      </c>
      <c r="AD20" s="450">
        <f t="shared" si="29"/>
        <v>5.3843135951009294E-3</v>
      </c>
      <c r="AE20" s="388" t="s">
        <v>745</v>
      </c>
      <c r="AF20" s="452">
        <v>168.14</v>
      </c>
      <c r="AG20" s="452"/>
      <c r="AH20" s="592">
        <f t="shared" si="20"/>
        <v>168.14</v>
      </c>
      <c r="AI20" s="450">
        <f t="shared" si="4"/>
        <v>1.1188657788278883E-4</v>
      </c>
      <c r="AJ20" s="388" t="s">
        <v>758</v>
      </c>
      <c r="AK20" s="452">
        <v>162.72</v>
      </c>
      <c r="AL20" s="452"/>
      <c r="AM20" s="669">
        <f t="shared" si="21"/>
        <v>162.72</v>
      </c>
      <c r="AN20" s="450" t="e">
        <f t="shared" si="22"/>
        <v>#DIV/0!</v>
      </c>
      <c r="AO20" s="388" t="s">
        <v>758</v>
      </c>
      <c r="AP20" s="452">
        <f>107.88*1.2</f>
        <v>129.45599999999999</v>
      </c>
      <c r="AQ20" s="452"/>
      <c r="AR20" s="669">
        <f t="shared" si="23"/>
        <v>129.45599999999999</v>
      </c>
      <c r="AS20" s="450" t="e">
        <f t="shared" si="7"/>
        <v>#DIV/0!</v>
      </c>
      <c r="AT20" s="388" t="s">
        <v>758</v>
      </c>
      <c r="AU20" s="452"/>
      <c r="AV20" s="452"/>
      <c r="AW20" s="669">
        <f t="shared" si="24"/>
        <v>0</v>
      </c>
      <c r="AX20" s="450">
        <f t="shared" si="8"/>
        <v>0</v>
      </c>
      <c r="AY20" s="388" t="s">
        <v>758</v>
      </c>
      <c r="AZ20" s="452"/>
      <c r="BA20" s="452"/>
      <c r="BB20" s="669">
        <f t="shared" si="25"/>
        <v>0</v>
      </c>
      <c r="BC20" s="450" t="e">
        <f t="shared" si="9"/>
        <v>#DIV/0!</v>
      </c>
      <c r="BD20" s="388"/>
      <c r="BE20" s="452"/>
      <c r="BF20" s="452"/>
      <c r="BG20" s="669">
        <f t="shared" si="26"/>
        <v>0</v>
      </c>
      <c r="BH20" s="450" t="e">
        <f t="shared" si="10"/>
        <v>#DIV/0!</v>
      </c>
      <c r="BI20" s="388"/>
      <c r="BJ20" s="39"/>
      <c r="BK20" s="39"/>
      <c r="BL20" s="669">
        <f t="shared" si="27"/>
        <v>0</v>
      </c>
      <c r="BM20" s="450" t="e">
        <f t="shared" si="11"/>
        <v>#DIV/0!</v>
      </c>
      <c r="BN20" s="388"/>
      <c r="BO20" s="39">
        <f t="shared" si="12"/>
        <v>253791.76400000002</v>
      </c>
      <c r="BP20" s="39">
        <f t="shared" si="13"/>
        <v>0</v>
      </c>
      <c r="BQ20" s="453">
        <f>BO20+BP20*1</f>
        <v>253791.76400000002</v>
      </c>
      <c r="BR20" s="450" t="e">
        <f>BQ20/$BQ$89</f>
        <v>#DIV/0!</v>
      </c>
      <c r="BS20" s="456"/>
      <c r="BT20" s="920">
        <v>253695</v>
      </c>
      <c r="BU20" s="921">
        <f t="shared" si="30"/>
        <v>96.76400000002468</v>
      </c>
    </row>
    <row r="21" spans="1:73" s="2" customFormat="1" ht="40.950000000000003" customHeight="1">
      <c r="A21" s="238"/>
      <c r="B21" s="471" t="s">
        <v>58</v>
      </c>
      <c r="C21" s="114">
        <v>1219254</v>
      </c>
      <c r="D21" s="445"/>
      <c r="E21" s="446">
        <f t="shared" si="6"/>
        <v>1219254</v>
      </c>
      <c r="F21" s="447">
        <f t="shared" si="0"/>
        <v>6.9495646274062989E-2</v>
      </c>
      <c r="G21" s="448">
        <f>(182*393.7+141.5*728.43+193*243.17+1*437.17+11*2000+125*251.16)+7700*1.2</f>
        <v>284730.22499999998</v>
      </c>
      <c r="H21" s="445">
        <v>1800</v>
      </c>
      <c r="I21" s="449">
        <f t="shared" si="14"/>
        <v>286530.22499999998</v>
      </c>
      <c r="J21" s="450">
        <f t="shared" si="1"/>
        <v>0.39941881400533147</v>
      </c>
      <c r="K21" s="451" t="s">
        <v>398</v>
      </c>
      <c r="L21" s="452">
        <f>(145*393.7+69*728.43+127*243.17+93*243.17+78*251.16+23*437.17+12*2000)+570*16.08+15840</f>
        <v>239496.56000000003</v>
      </c>
      <c r="M21" s="452"/>
      <c r="N21" s="453">
        <f t="shared" si="15"/>
        <v>239496.56000000003</v>
      </c>
      <c r="O21" s="450">
        <f t="shared" si="2"/>
        <v>0.32341097229728599</v>
      </c>
      <c r="P21" s="454" t="s">
        <v>526</v>
      </c>
      <c r="Q21" s="452">
        <f>(85464+45891+52749+47399+9293+27554+34492)</f>
        <v>302842</v>
      </c>
      <c r="R21" s="452"/>
      <c r="S21" s="453">
        <f t="shared" si="16"/>
        <v>302842</v>
      </c>
      <c r="T21" s="450">
        <f t="shared" si="3"/>
        <v>7.3735685068645251E-2</v>
      </c>
      <c r="U21" s="455" t="s">
        <v>600</v>
      </c>
      <c r="V21" s="452">
        <v>191536</v>
      </c>
      <c r="W21" s="452"/>
      <c r="X21" s="453">
        <f t="shared" si="17"/>
        <v>191536</v>
      </c>
      <c r="Y21" s="450">
        <f t="shared" si="18"/>
        <v>3.1283784540829244E-2</v>
      </c>
      <c r="Z21" s="388" t="s">
        <v>659</v>
      </c>
      <c r="AA21" s="452">
        <v>230001.12</v>
      </c>
      <c r="AB21" s="452"/>
      <c r="AC21" s="453">
        <f t="shared" si="19"/>
        <v>230001.12</v>
      </c>
      <c r="AD21" s="450">
        <f t="shared" si="29"/>
        <v>6.1090699366441563E-2</v>
      </c>
      <c r="AE21" s="388" t="s">
        <v>741</v>
      </c>
      <c r="AF21" s="452">
        <v>146237.96</v>
      </c>
      <c r="AG21" s="452"/>
      <c r="AH21" s="592">
        <f t="shared" si="20"/>
        <v>146237.96</v>
      </c>
      <c r="AI21" s="450">
        <f t="shared" si="4"/>
        <v>9.7312149999763051E-2</v>
      </c>
      <c r="AJ21" s="388" t="s">
        <v>804</v>
      </c>
      <c r="AK21" s="452">
        <v>102721.82</v>
      </c>
      <c r="AL21" s="452"/>
      <c r="AM21" s="669">
        <f t="shared" si="21"/>
        <v>102721.82</v>
      </c>
      <c r="AN21" s="450" t="e">
        <f t="shared" si="22"/>
        <v>#DIV/0!</v>
      </c>
      <c r="AO21" s="388" t="s">
        <v>829</v>
      </c>
      <c r="AP21" s="452"/>
      <c r="AQ21" s="452"/>
      <c r="AR21" s="669">
        <f t="shared" si="23"/>
        <v>0</v>
      </c>
      <c r="AS21" s="450" t="e">
        <f t="shared" si="7"/>
        <v>#DIV/0!</v>
      </c>
      <c r="AT21" s="388"/>
      <c r="AU21" s="452"/>
      <c r="AV21" s="452"/>
      <c r="AW21" s="669">
        <f t="shared" si="24"/>
        <v>0</v>
      </c>
      <c r="AX21" s="450">
        <f t="shared" si="8"/>
        <v>0</v>
      </c>
      <c r="AY21" s="388"/>
      <c r="AZ21" s="452"/>
      <c r="BA21" s="452"/>
      <c r="BB21" s="669">
        <f t="shared" si="25"/>
        <v>0</v>
      </c>
      <c r="BC21" s="450" t="e">
        <f t="shared" si="9"/>
        <v>#DIV/0!</v>
      </c>
      <c r="BD21" s="388"/>
      <c r="BE21" s="452"/>
      <c r="BF21" s="452"/>
      <c r="BG21" s="669">
        <f t="shared" si="26"/>
        <v>0</v>
      </c>
      <c r="BH21" s="450" t="e">
        <f t="shared" si="10"/>
        <v>#DIV/0!</v>
      </c>
      <c r="BI21" s="388"/>
      <c r="BJ21" s="39"/>
      <c r="BK21" s="39"/>
      <c r="BL21" s="669">
        <f t="shared" si="27"/>
        <v>0</v>
      </c>
      <c r="BM21" s="450" t="e">
        <f t="shared" si="11"/>
        <v>#DIV/0!</v>
      </c>
      <c r="BN21" s="388"/>
      <c r="BO21" s="39">
        <f t="shared" si="12"/>
        <v>1497565.6850000001</v>
      </c>
      <c r="BP21" s="39">
        <f t="shared" si="13"/>
        <v>1800</v>
      </c>
      <c r="BQ21" s="453">
        <f>BO21+BP21*1</f>
        <v>1499365.6850000001</v>
      </c>
      <c r="BR21" s="450" t="e">
        <f>BQ21/$BQ$89</f>
        <v>#DIV/0!</v>
      </c>
      <c r="BS21" s="456"/>
      <c r="BT21" s="920">
        <v>1510066</v>
      </c>
      <c r="BU21" s="921">
        <f t="shared" si="30"/>
        <v>-10700.314999999944</v>
      </c>
    </row>
    <row r="22" spans="1:73" s="2" customFormat="1" ht="27.6">
      <c r="A22" s="238"/>
      <c r="B22" s="471" t="s">
        <v>621</v>
      </c>
      <c r="C22" s="114"/>
      <c r="D22" s="445"/>
      <c r="E22" s="446">
        <f>C22+D22</f>
        <v>0</v>
      </c>
      <c r="F22" s="447">
        <f t="shared" si="0"/>
        <v>0</v>
      </c>
      <c r="G22" s="448"/>
      <c r="H22" s="445"/>
      <c r="I22" s="449"/>
      <c r="J22" s="450"/>
      <c r="K22" s="451"/>
      <c r="L22" s="452"/>
      <c r="M22" s="452"/>
      <c r="N22" s="453"/>
      <c r="O22" s="450"/>
      <c r="P22" s="454"/>
      <c r="Q22" s="452"/>
      <c r="R22" s="452"/>
      <c r="S22" s="453"/>
      <c r="T22" s="450">
        <f t="shared" si="3"/>
        <v>0</v>
      </c>
      <c r="U22" s="455"/>
      <c r="V22" s="452">
        <f>5416.67*1.2</f>
        <v>6500.0039999999999</v>
      </c>
      <c r="W22" s="452"/>
      <c r="X22" s="453">
        <f t="shared" si="17"/>
        <v>6500.0039999999999</v>
      </c>
      <c r="Y22" s="450">
        <f t="shared" si="18"/>
        <v>1.06165276841183E-3</v>
      </c>
      <c r="Z22" s="388" t="s">
        <v>662</v>
      </c>
      <c r="AA22" s="452"/>
      <c r="AB22" s="452"/>
      <c r="AC22" s="453"/>
      <c r="AD22" s="450">
        <f t="shared" si="29"/>
        <v>0</v>
      </c>
      <c r="AE22" s="388"/>
      <c r="AF22" s="452"/>
      <c r="AG22" s="452">
        <v>3300</v>
      </c>
      <c r="AH22" s="592">
        <f t="shared" si="20"/>
        <v>3300</v>
      </c>
      <c r="AI22" s="450">
        <f t="shared" si="4"/>
        <v>2.1959421137932862E-3</v>
      </c>
      <c r="AJ22" s="388" t="s">
        <v>803</v>
      </c>
      <c r="AK22" s="452"/>
      <c r="AL22" s="452">
        <f>4800+2000</f>
        <v>6800</v>
      </c>
      <c r="AM22" s="669">
        <f t="shared" si="21"/>
        <v>6800</v>
      </c>
      <c r="AN22" s="450" t="e">
        <f t="shared" si="22"/>
        <v>#DIV/0!</v>
      </c>
      <c r="AO22" s="388" t="s">
        <v>823</v>
      </c>
      <c r="AP22" s="452"/>
      <c r="AQ22" s="452">
        <v>12000</v>
      </c>
      <c r="AR22" s="669">
        <f t="shared" si="23"/>
        <v>12000</v>
      </c>
      <c r="AS22" s="450" t="e">
        <f t="shared" si="7"/>
        <v>#DIV/0!</v>
      </c>
      <c r="AT22" s="388" t="s">
        <v>871</v>
      </c>
      <c r="AU22" s="452"/>
      <c r="AV22" s="452"/>
      <c r="AW22" s="669">
        <f t="shared" si="24"/>
        <v>0</v>
      </c>
      <c r="AX22" s="450">
        <f t="shared" si="8"/>
        <v>0</v>
      </c>
      <c r="AY22" s="388" t="s">
        <v>871</v>
      </c>
      <c r="AZ22" s="452"/>
      <c r="BA22" s="452"/>
      <c r="BB22" s="669">
        <f t="shared" si="25"/>
        <v>0</v>
      </c>
      <c r="BC22" s="450" t="e">
        <f t="shared" si="9"/>
        <v>#DIV/0!</v>
      </c>
      <c r="BD22" s="388"/>
      <c r="BE22" s="452"/>
      <c r="BF22" s="452"/>
      <c r="BG22" s="669">
        <f t="shared" si="26"/>
        <v>0</v>
      </c>
      <c r="BH22" s="450" t="e">
        <f t="shared" si="10"/>
        <v>#DIV/0!</v>
      </c>
      <c r="BI22" s="388"/>
      <c r="BJ22" s="39"/>
      <c r="BK22" s="39"/>
      <c r="BL22" s="669">
        <f t="shared" si="27"/>
        <v>0</v>
      </c>
      <c r="BM22" s="450" t="e">
        <f t="shared" si="11"/>
        <v>#DIV/0!</v>
      </c>
      <c r="BN22" s="388"/>
      <c r="BO22" s="39">
        <f t="shared" si="12"/>
        <v>6500.0039999999999</v>
      </c>
      <c r="BP22" s="39">
        <f t="shared" si="13"/>
        <v>22100</v>
      </c>
      <c r="BQ22" s="453">
        <f>BO22+BP22*1</f>
        <v>28600.004000000001</v>
      </c>
      <c r="BR22" s="450" t="e">
        <f>BQ22/$BQ$89</f>
        <v>#DIV/0!</v>
      </c>
      <c r="BS22" s="456"/>
      <c r="BT22" s="920">
        <v>22100</v>
      </c>
      <c r="BU22" s="921">
        <f t="shared" si="30"/>
        <v>6500.0040000000008</v>
      </c>
    </row>
    <row r="23" spans="1:73" s="2" customFormat="1" ht="13.8">
      <c r="A23" s="238"/>
      <c r="B23" s="471" t="s">
        <v>630</v>
      </c>
      <c r="C23" s="114"/>
      <c r="D23" s="445"/>
      <c r="E23" s="446"/>
      <c r="F23" s="447"/>
      <c r="G23" s="448"/>
      <c r="H23" s="445"/>
      <c r="I23" s="449"/>
      <c r="J23" s="450"/>
      <c r="K23" s="451"/>
      <c r="L23" s="452"/>
      <c r="M23" s="452"/>
      <c r="N23" s="453"/>
      <c r="O23" s="450"/>
      <c r="P23" s="454"/>
      <c r="Q23" s="452"/>
      <c r="R23" s="452"/>
      <c r="S23" s="453"/>
      <c r="T23" s="450"/>
      <c r="U23" s="455"/>
      <c r="V23" s="452"/>
      <c r="W23" s="452"/>
      <c r="X23" s="453">
        <f t="shared" si="17"/>
        <v>0</v>
      </c>
      <c r="Y23" s="450">
        <f t="shared" si="18"/>
        <v>0</v>
      </c>
      <c r="Z23" s="388"/>
      <c r="AA23" s="452"/>
      <c r="AB23" s="452"/>
      <c r="AC23" s="453"/>
      <c r="AD23" s="450">
        <f t="shared" si="29"/>
        <v>0</v>
      </c>
      <c r="AE23" s="388"/>
      <c r="AF23" s="452"/>
      <c r="AG23" s="452"/>
      <c r="AH23" s="592">
        <f t="shared" si="20"/>
        <v>0</v>
      </c>
      <c r="AI23" s="450">
        <f t="shared" si="4"/>
        <v>0</v>
      </c>
      <c r="AJ23" s="388"/>
      <c r="AK23" s="452"/>
      <c r="AL23" s="452"/>
      <c r="AM23" s="669">
        <f t="shared" si="21"/>
        <v>0</v>
      </c>
      <c r="AN23" s="450" t="e">
        <f t="shared" si="22"/>
        <v>#DIV/0!</v>
      </c>
      <c r="AO23" s="388"/>
      <c r="AP23" s="452"/>
      <c r="AQ23" s="452"/>
      <c r="AR23" s="669">
        <f t="shared" si="23"/>
        <v>0</v>
      </c>
      <c r="AS23" s="450" t="e">
        <f t="shared" si="7"/>
        <v>#DIV/0!</v>
      </c>
      <c r="AT23" s="388"/>
      <c r="AU23" s="452"/>
      <c r="AV23" s="452"/>
      <c r="AW23" s="669">
        <f t="shared" si="24"/>
        <v>0</v>
      </c>
      <c r="AX23" s="450">
        <f t="shared" si="8"/>
        <v>0</v>
      </c>
      <c r="AY23" s="388"/>
      <c r="AZ23" s="452"/>
      <c r="BA23" s="452"/>
      <c r="BB23" s="669">
        <f t="shared" si="25"/>
        <v>0</v>
      </c>
      <c r="BC23" s="450" t="e">
        <f t="shared" si="9"/>
        <v>#DIV/0!</v>
      </c>
      <c r="BD23" s="388"/>
      <c r="BE23" s="452"/>
      <c r="BF23" s="452"/>
      <c r="BG23" s="669">
        <f t="shared" si="26"/>
        <v>0</v>
      </c>
      <c r="BH23" s="450" t="e">
        <f t="shared" si="10"/>
        <v>#DIV/0!</v>
      </c>
      <c r="BI23" s="388"/>
      <c r="BJ23" s="39"/>
      <c r="BK23" s="39"/>
      <c r="BL23" s="669">
        <f t="shared" si="27"/>
        <v>0</v>
      </c>
      <c r="BM23" s="450" t="e">
        <f t="shared" si="11"/>
        <v>#DIV/0!</v>
      </c>
      <c r="BN23" s="388"/>
      <c r="BO23" s="39">
        <f t="shared" si="12"/>
        <v>0</v>
      </c>
      <c r="BP23" s="39">
        <f t="shared" si="13"/>
        <v>0</v>
      </c>
      <c r="BQ23" s="453">
        <f>BO23+BP23*1</f>
        <v>0</v>
      </c>
      <c r="BR23" s="450" t="e">
        <f>BQ23/$BQ$89</f>
        <v>#DIV/0!</v>
      </c>
      <c r="BS23" s="456"/>
      <c r="BT23" s="920"/>
      <c r="BU23" s="921">
        <f t="shared" si="30"/>
        <v>0</v>
      </c>
    </row>
    <row r="24" spans="1:73" s="2" customFormat="1" ht="41.4">
      <c r="A24" s="238"/>
      <c r="B24" s="471" t="s">
        <v>23</v>
      </c>
      <c r="C24" s="114">
        <v>184000</v>
      </c>
      <c r="D24" s="445"/>
      <c r="E24" s="446">
        <f t="shared" si="6"/>
        <v>184000</v>
      </c>
      <c r="F24" s="447">
        <f t="shared" ref="F24:F33" si="31">E24/$E$89</f>
        <v>1.0487723570665006E-2</v>
      </c>
      <c r="G24" s="448">
        <f>87700+27000</f>
        <v>114700</v>
      </c>
      <c r="H24" s="445"/>
      <c r="I24" s="449">
        <f t="shared" si="14"/>
        <v>114700</v>
      </c>
      <c r="J24" s="450">
        <f t="shared" ref="J24:J55" si="32">I24/$I$89</f>
        <v>0.15989007081682752</v>
      </c>
      <c r="K24" s="451" t="s">
        <v>385</v>
      </c>
      <c r="L24" s="452">
        <f>34100+200+36500</f>
        <v>70800</v>
      </c>
      <c r="M24" s="452"/>
      <c r="N24" s="453">
        <f t="shared" si="15"/>
        <v>70800</v>
      </c>
      <c r="O24" s="450">
        <f t="shared" ref="O24:O33" si="33">N24/$N$89</f>
        <v>9.5606787999994003E-2</v>
      </c>
      <c r="P24" s="454" t="s">
        <v>527</v>
      </c>
      <c r="Q24" s="452">
        <f>47000+2790+200</f>
        <v>49990</v>
      </c>
      <c r="R24" s="452"/>
      <c r="S24" s="453">
        <f t="shared" si="16"/>
        <v>49990</v>
      </c>
      <c r="T24" s="450">
        <f t="shared" ref="T24:T33" si="34">S24/$S$89</f>
        <v>1.2171518140091453E-2</v>
      </c>
      <c r="U24" s="455" t="s">
        <v>597</v>
      </c>
      <c r="V24" s="452">
        <f>(166.67+14583.33+2325)*1.2</f>
        <v>20490</v>
      </c>
      <c r="W24" s="452"/>
      <c r="X24" s="453">
        <f t="shared" ref="X24:X33" si="35">V24+W24*1</f>
        <v>20490</v>
      </c>
      <c r="Y24" s="450">
        <f t="shared" si="18"/>
        <v>3.3466541289449048E-3</v>
      </c>
      <c r="Z24" s="388" t="s">
        <v>661</v>
      </c>
      <c r="AA24" s="452">
        <f>25662.5*1.2</f>
        <v>30795</v>
      </c>
      <c r="AB24" s="452"/>
      <c r="AC24" s="453">
        <f t="shared" ref="AC24:AC33" si="36">AA24+AB24*1</f>
        <v>30795</v>
      </c>
      <c r="AD24" s="450">
        <f t="shared" si="29"/>
        <v>8.1794735912136783E-3</v>
      </c>
      <c r="AE24" s="388" t="s">
        <v>744</v>
      </c>
      <c r="AF24" s="452">
        <v>9000</v>
      </c>
      <c r="AG24" s="452"/>
      <c r="AH24" s="592">
        <f t="shared" ref="AH24:AH33" si="37">AF24+AG24*1</f>
        <v>9000</v>
      </c>
      <c r="AI24" s="450">
        <f t="shared" si="4"/>
        <v>5.9889330376180537E-3</v>
      </c>
      <c r="AJ24" s="388" t="s">
        <v>805</v>
      </c>
      <c r="AK24" s="452"/>
      <c r="AL24" s="452"/>
      <c r="AM24" s="669">
        <f t="shared" si="21"/>
        <v>0</v>
      </c>
      <c r="AN24" s="450" t="e">
        <f t="shared" si="22"/>
        <v>#DIV/0!</v>
      </c>
      <c r="AO24" s="388"/>
      <c r="AP24" s="452"/>
      <c r="AQ24" s="452"/>
      <c r="AR24" s="669">
        <f t="shared" si="23"/>
        <v>0</v>
      </c>
      <c r="AS24" s="450" t="e">
        <f t="shared" si="7"/>
        <v>#DIV/0!</v>
      </c>
      <c r="AT24" s="388"/>
      <c r="AU24" s="452"/>
      <c r="AV24" s="452"/>
      <c r="AW24" s="669">
        <f t="shared" si="24"/>
        <v>0</v>
      </c>
      <c r="AX24" s="450">
        <f t="shared" si="8"/>
        <v>0</v>
      </c>
      <c r="AY24" s="388"/>
      <c r="AZ24" s="452"/>
      <c r="BA24" s="452"/>
      <c r="BB24" s="669">
        <f t="shared" si="25"/>
        <v>0</v>
      </c>
      <c r="BC24" s="450" t="e">
        <f t="shared" si="9"/>
        <v>#DIV/0!</v>
      </c>
      <c r="BD24" s="388"/>
      <c r="BE24" s="452"/>
      <c r="BF24" s="452"/>
      <c r="BG24" s="669">
        <f t="shared" si="26"/>
        <v>0</v>
      </c>
      <c r="BH24" s="450" t="e">
        <f t="shared" si="10"/>
        <v>#DIV/0!</v>
      </c>
      <c r="BI24" s="388"/>
      <c r="BJ24" s="39"/>
      <c r="BK24" s="39"/>
      <c r="BL24" s="669">
        <f t="shared" si="27"/>
        <v>0</v>
      </c>
      <c r="BM24" s="450" t="e">
        <f t="shared" si="11"/>
        <v>#DIV/0!</v>
      </c>
      <c r="BN24" s="388"/>
      <c r="BO24" s="39">
        <f t="shared" si="12"/>
        <v>295775</v>
      </c>
      <c r="BP24" s="39">
        <f t="shared" si="13"/>
        <v>0</v>
      </c>
      <c r="BQ24" s="453">
        <f>BO24+BP24*1</f>
        <v>295775</v>
      </c>
      <c r="BR24" s="450" t="e">
        <f>BQ24/$BQ$89</f>
        <v>#DIV/0!</v>
      </c>
      <c r="BS24" s="456"/>
      <c r="BT24" s="920">
        <v>287058</v>
      </c>
      <c r="BU24" s="921">
        <f t="shared" si="30"/>
        <v>8717</v>
      </c>
    </row>
    <row r="25" spans="1:73" s="2" customFormat="1" ht="55.2">
      <c r="A25" s="238"/>
      <c r="B25" s="471" t="s">
        <v>24</v>
      </c>
      <c r="C25" s="114">
        <v>187582</v>
      </c>
      <c r="D25" s="445"/>
      <c r="E25" s="446">
        <f t="shared" si="6"/>
        <v>187582</v>
      </c>
      <c r="F25" s="447">
        <f t="shared" si="31"/>
        <v>1.0691892189306973E-2</v>
      </c>
      <c r="G25" s="448"/>
      <c r="H25" s="445">
        <v>1570</v>
      </c>
      <c r="I25" s="449">
        <f t="shared" si="14"/>
        <v>1570</v>
      </c>
      <c r="J25" s="450">
        <f t="shared" si="32"/>
        <v>2.1885563311457648E-3</v>
      </c>
      <c r="K25" s="451" t="s">
        <v>395</v>
      </c>
      <c r="L25" s="452"/>
      <c r="M25" s="452">
        <v>3500</v>
      </c>
      <c r="N25" s="453">
        <f t="shared" si="15"/>
        <v>3500</v>
      </c>
      <c r="O25" s="450">
        <f t="shared" si="33"/>
        <v>4.7263242655364267E-3</v>
      </c>
      <c r="P25" s="456" t="s">
        <v>487</v>
      </c>
      <c r="Q25" s="452">
        <f>92774.96*1.2</f>
        <v>111329.952</v>
      </c>
      <c r="R25" s="452">
        <v>628.25</v>
      </c>
      <c r="S25" s="453">
        <f t="shared" si="16"/>
        <v>111958.202</v>
      </c>
      <c r="T25" s="450">
        <f t="shared" si="34"/>
        <v>2.7259477627025873E-2</v>
      </c>
      <c r="U25" s="465"/>
      <c r="V25" s="452">
        <f>4220*1.2</f>
        <v>5064</v>
      </c>
      <c r="W25" s="452">
        <v>1117.42</v>
      </c>
      <c r="X25" s="453">
        <f t="shared" si="35"/>
        <v>6181.42</v>
      </c>
      <c r="Y25" s="450">
        <f t="shared" si="18"/>
        <v>1.0096180949605961E-3</v>
      </c>
      <c r="Z25" s="388" t="s">
        <v>657</v>
      </c>
      <c r="AA25" s="452">
        <f>7982.62*1.2</f>
        <v>9579.1440000000002</v>
      </c>
      <c r="AB25" s="452"/>
      <c r="AC25" s="453">
        <f t="shared" si="36"/>
        <v>9579.1440000000002</v>
      </c>
      <c r="AD25" s="450">
        <f t="shared" si="29"/>
        <v>2.5443206810986511E-3</v>
      </c>
      <c r="AE25" s="388"/>
      <c r="AF25" s="452">
        <f>1371.34*1.2</f>
        <v>1645.6079999999999</v>
      </c>
      <c r="AG25" s="452">
        <v>1223</v>
      </c>
      <c r="AH25" s="592">
        <f t="shared" si="37"/>
        <v>2868.6080000000002</v>
      </c>
      <c r="AI25" s="450">
        <f t="shared" si="4"/>
        <v>1.9088779136861612E-3</v>
      </c>
      <c r="AJ25" s="388"/>
      <c r="AK25" s="452">
        <f>6601.2*1.2</f>
        <v>7921.44</v>
      </c>
      <c r="AL25" s="452">
        <v>1195</v>
      </c>
      <c r="AM25" s="669">
        <f t="shared" si="21"/>
        <v>9116.4399999999987</v>
      </c>
      <c r="AN25" s="450" t="e">
        <f t="shared" si="22"/>
        <v>#DIV/0!</v>
      </c>
      <c r="AO25" s="388"/>
      <c r="AP25" s="452"/>
      <c r="AQ25" s="452">
        <v>836</v>
      </c>
      <c r="AR25" s="669">
        <f t="shared" si="23"/>
        <v>836</v>
      </c>
      <c r="AS25" s="450" t="e">
        <f t="shared" si="7"/>
        <v>#DIV/0!</v>
      </c>
      <c r="AT25" s="388"/>
      <c r="AU25" s="452"/>
      <c r="AV25" s="452"/>
      <c r="AW25" s="669">
        <f t="shared" si="24"/>
        <v>0</v>
      </c>
      <c r="AX25" s="450">
        <f t="shared" si="8"/>
        <v>0</v>
      </c>
      <c r="AY25" s="388"/>
      <c r="AZ25" s="452">
        <f>2124.58*1.2</f>
        <v>2549.4959999999996</v>
      </c>
      <c r="BA25" s="452"/>
      <c r="BB25" s="669">
        <f t="shared" si="25"/>
        <v>2549.4959999999996</v>
      </c>
      <c r="BC25" s="450" t="e">
        <f t="shared" si="9"/>
        <v>#DIV/0!</v>
      </c>
      <c r="BD25" s="388"/>
      <c r="BE25" s="452"/>
      <c r="BF25" s="452"/>
      <c r="BG25" s="669">
        <f t="shared" si="26"/>
        <v>0</v>
      </c>
      <c r="BH25" s="450" t="e">
        <f t="shared" si="10"/>
        <v>#DIV/0!</v>
      </c>
      <c r="BI25" s="388"/>
      <c r="BJ25" s="39"/>
      <c r="BK25" s="39"/>
      <c r="BL25" s="669">
        <f t="shared" si="27"/>
        <v>0</v>
      </c>
      <c r="BM25" s="450" t="e">
        <f t="shared" si="11"/>
        <v>#DIV/0!</v>
      </c>
      <c r="BN25" s="388"/>
      <c r="BO25" s="39">
        <f t="shared" si="12"/>
        <v>138089.64000000001</v>
      </c>
      <c r="BP25" s="39">
        <f t="shared" si="13"/>
        <v>10069.67</v>
      </c>
      <c r="BQ25" s="453">
        <f t="shared" si="28"/>
        <v>148159.31000000003</v>
      </c>
      <c r="BR25" s="450" t="e">
        <f t="shared" ref="BR25:BR33" si="38">BQ25/$BQ$89</f>
        <v>#DIV/0!</v>
      </c>
      <c r="BS25" s="456"/>
      <c r="BT25" s="920">
        <v>372314</v>
      </c>
      <c r="BU25" s="921">
        <f t="shared" si="30"/>
        <v>-224154.68999999997</v>
      </c>
    </row>
    <row r="26" spans="1:73" s="2" customFormat="1" ht="27.6">
      <c r="A26" s="238"/>
      <c r="B26" s="471" t="s">
        <v>45</v>
      </c>
      <c r="C26" s="114">
        <v>10771855</v>
      </c>
      <c r="D26" s="445"/>
      <c r="E26" s="446">
        <f t="shared" si="6"/>
        <v>10771855</v>
      </c>
      <c r="F26" s="447">
        <f t="shared" si="31"/>
        <v>0.61397955208307442</v>
      </c>
      <c r="G26" s="448"/>
      <c r="H26" s="445">
        <v>4500</v>
      </c>
      <c r="I26" s="449">
        <f t="shared" si="14"/>
        <v>4500</v>
      </c>
      <c r="J26" s="450">
        <f t="shared" si="32"/>
        <v>6.2729321593349941E-3</v>
      </c>
      <c r="K26" s="451" t="s">
        <v>396</v>
      </c>
      <c r="L26" s="452"/>
      <c r="M26" s="452"/>
      <c r="N26" s="453">
        <f t="shared" si="15"/>
        <v>0</v>
      </c>
      <c r="O26" s="450">
        <f t="shared" si="33"/>
        <v>0</v>
      </c>
      <c r="P26" s="456"/>
      <c r="Q26" s="452">
        <f>2535773.29*1.2</f>
        <v>3042927.9479999999</v>
      </c>
      <c r="R26" s="452"/>
      <c r="S26" s="453">
        <f t="shared" si="16"/>
        <v>3042927.9479999999</v>
      </c>
      <c r="T26" s="450">
        <f t="shared" si="34"/>
        <v>0.74088923220790681</v>
      </c>
      <c r="U26" s="465"/>
      <c r="V26" s="452">
        <f>(2502967.57+1061433.49+870208.02-151568.91-118018.46-177752.63-304095.44)*1.2</f>
        <v>4419808.3679999998</v>
      </c>
      <c r="W26" s="452">
        <v>457</v>
      </c>
      <c r="X26" s="453">
        <f t="shared" si="35"/>
        <v>4420265.3679999998</v>
      </c>
      <c r="Y26" s="450">
        <f t="shared" si="18"/>
        <v>0.72196678110538637</v>
      </c>
      <c r="Z26" s="388" t="s">
        <v>658</v>
      </c>
      <c r="AA26" s="452">
        <f>(1867931.51+174186.1+866522.31)*1.2-(635914.22*1.2)</f>
        <v>2727270.84</v>
      </c>
      <c r="AB26" s="452"/>
      <c r="AC26" s="453">
        <f t="shared" si="36"/>
        <v>2727270.84</v>
      </c>
      <c r="AD26" s="450">
        <f t="shared" si="29"/>
        <v>0.72439161590735968</v>
      </c>
      <c r="AE26" s="388"/>
      <c r="AF26" s="452">
        <f>(519603+14781.3+28141.25+35921.24+231882.69)*1.2</f>
        <v>996395.37599999993</v>
      </c>
      <c r="AG26" s="452"/>
      <c r="AH26" s="592">
        <f t="shared" si="37"/>
        <v>996395.37599999993</v>
      </c>
      <c r="AI26" s="450">
        <f t="shared" si="4"/>
        <v>0.66303835398402911</v>
      </c>
      <c r="AJ26" s="388"/>
      <c r="AK26" s="452">
        <f>367662.19*1.2</f>
        <v>441194.62799999997</v>
      </c>
      <c r="AL26" s="452">
        <v>10000</v>
      </c>
      <c r="AM26" s="669">
        <f t="shared" si="21"/>
        <v>451194.62799999997</v>
      </c>
      <c r="AN26" s="450" t="e">
        <f t="shared" si="22"/>
        <v>#DIV/0!</v>
      </c>
      <c r="AO26" s="388"/>
      <c r="AP26" s="452"/>
      <c r="AQ26" s="452"/>
      <c r="AR26" s="669">
        <f t="shared" si="23"/>
        <v>0</v>
      </c>
      <c r="AS26" s="450" t="e">
        <f t="shared" si="7"/>
        <v>#DIV/0!</v>
      </c>
      <c r="AT26" s="388"/>
      <c r="AU26" s="452"/>
      <c r="AV26" s="452"/>
      <c r="AW26" s="669">
        <f t="shared" si="24"/>
        <v>0</v>
      </c>
      <c r="AX26" s="450">
        <f t="shared" si="8"/>
        <v>0</v>
      </c>
      <c r="AY26" s="388"/>
      <c r="AZ26" s="452">
        <f>160210.31*1.2</f>
        <v>192252.372</v>
      </c>
      <c r="BA26" s="452"/>
      <c r="BB26" s="669">
        <f t="shared" si="25"/>
        <v>192252.372</v>
      </c>
      <c r="BC26" s="450" t="e">
        <f t="shared" si="9"/>
        <v>#DIV/0!</v>
      </c>
      <c r="BD26" s="388"/>
      <c r="BE26" s="452"/>
      <c r="BF26" s="452"/>
      <c r="BG26" s="669">
        <f t="shared" si="26"/>
        <v>0</v>
      </c>
      <c r="BH26" s="450" t="e">
        <f t="shared" si="10"/>
        <v>#DIV/0!</v>
      </c>
      <c r="BI26" s="388"/>
      <c r="BJ26" s="39"/>
      <c r="BK26" s="39"/>
      <c r="BL26" s="669">
        <f t="shared" si="27"/>
        <v>0</v>
      </c>
      <c r="BM26" s="450" t="e">
        <f t="shared" si="11"/>
        <v>#DIV/0!</v>
      </c>
      <c r="BN26" s="388"/>
      <c r="BO26" s="39">
        <f t="shared" si="12"/>
        <v>11819849.532</v>
      </c>
      <c r="BP26" s="39">
        <f t="shared" si="13"/>
        <v>14957</v>
      </c>
      <c r="BQ26" s="453">
        <f t="shared" si="28"/>
        <v>11834806.532</v>
      </c>
      <c r="BR26" s="450" t="e">
        <f t="shared" si="38"/>
        <v>#DIV/0!</v>
      </c>
      <c r="BS26" s="456"/>
      <c r="BT26" s="920">
        <v>11518048</v>
      </c>
      <c r="BU26" s="921">
        <f t="shared" si="30"/>
        <v>316758.53199999966</v>
      </c>
    </row>
    <row r="27" spans="1:73" s="2" customFormat="1" ht="82.8">
      <c r="A27" s="238"/>
      <c r="B27" s="471" t="s">
        <v>25</v>
      </c>
      <c r="C27" s="114"/>
      <c r="D27" s="445"/>
      <c r="E27" s="446">
        <f t="shared" si="6"/>
        <v>0</v>
      </c>
      <c r="F27" s="447">
        <f t="shared" si="31"/>
        <v>0</v>
      </c>
      <c r="G27" s="448"/>
      <c r="H27" s="445"/>
      <c r="I27" s="449">
        <f t="shared" si="14"/>
        <v>0</v>
      </c>
      <c r="J27" s="450">
        <f t="shared" si="32"/>
        <v>0</v>
      </c>
      <c r="K27" s="451"/>
      <c r="L27" s="452"/>
      <c r="M27" s="452"/>
      <c r="N27" s="453">
        <f t="shared" si="15"/>
        <v>0</v>
      </c>
      <c r="O27" s="450">
        <f t="shared" si="33"/>
        <v>0</v>
      </c>
      <c r="P27" s="456"/>
      <c r="Q27" s="452">
        <f>6700+627.98+1480</f>
        <v>8807.98</v>
      </c>
      <c r="R27" s="452"/>
      <c r="S27" s="453">
        <f t="shared" si="16"/>
        <v>8807.98</v>
      </c>
      <c r="T27" s="450">
        <f t="shared" si="34"/>
        <v>2.144558678686992E-3</v>
      </c>
      <c r="U27" s="455" t="s">
        <v>599</v>
      </c>
      <c r="V27" s="452">
        <f>(685.33+983.33+739.17)*1.2</f>
        <v>2889.3959999999997</v>
      </c>
      <c r="W27" s="452"/>
      <c r="X27" s="453">
        <f t="shared" si="35"/>
        <v>2889.3959999999997</v>
      </c>
      <c r="Y27" s="450">
        <f t="shared" si="18"/>
        <v>4.7192821149618795E-4</v>
      </c>
      <c r="Z27" s="388" t="s">
        <v>663</v>
      </c>
      <c r="AA27" s="452">
        <f>1502.7*1.2+776.7*1.2</f>
        <v>2735.2799999999997</v>
      </c>
      <c r="AB27" s="452"/>
      <c r="AC27" s="453">
        <f t="shared" si="36"/>
        <v>2735.2799999999997</v>
      </c>
      <c r="AD27" s="450">
        <f t="shared" si="29"/>
        <v>7.2651893244276493E-4</v>
      </c>
      <c r="AE27" s="388" t="s">
        <v>747</v>
      </c>
      <c r="AF27" s="452"/>
      <c r="AG27" s="452"/>
      <c r="AH27" s="592">
        <f t="shared" si="37"/>
        <v>0</v>
      </c>
      <c r="AI27" s="450">
        <f t="shared" si="4"/>
        <v>0</v>
      </c>
      <c r="AJ27" s="388"/>
      <c r="AK27" s="452">
        <f>2365*1.2</f>
        <v>2838</v>
      </c>
      <c r="AL27" s="452"/>
      <c r="AM27" s="669">
        <f t="shared" si="21"/>
        <v>2838</v>
      </c>
      <c r="AN27" s="450" t="e">
        <f t="shared" si="22"/>
        <v>#DIV/0!</v>
      </c>
      <c r="AO27" s="388" t="s">
        <v>826</v>
      </c>
      <c r="AP27" s="452"/>
      <c r="AQ27" s="452"/>
      <c r="AR27" s="669">
        <f t="shared" si="23"/>
        <v>0</v>
      </c>
      <c r="AS27" s="450" t="e">
        <f t="shared" si="7"/>
        <v>#DIV/0!</v>
      </c>
      <c r="AT27" s="388"/>
      <c r="AU27" s="452">
        <f>516.67*1.1</f>
        <v>568.33699999999999</v>
      </c>
      <c r="AV27" s="452"/>
      <c r="AW27" s="669">
        <f t="shared" si="24"/>
        <v>568.33699999999999</v>
      </c>
      <c r="AX27" s="450">
        <f t="shared" si="8"/>
        <v>0.13442292925472643</v>
      </c>
      <c r="AY27" s="388" t="s">
        <v>903</v>
      </c>
      <c r="AZ27" s="452"/>
      <c r="BA27" s="452"/>
      <c r="BB27" s="669">
        <f t="shared" si="25"/>
        <v>0</v>
      </c>
      <c r="BC27" s="450" t="e">
        <f t="shared" si="9"/>
        <v>#DIV/0!</v>
      </c>
      <c r="BD27" s="388"/>
      <c r="BE27" s="452"/>
      <c r="BF27" s="452"/>
      <c r="BG27" s="669">
        <f t="shared" si="26"/>
        <v>0</v>
      </c>
      <c r="BH27" s="450" t="e">
        <f t="shared" si="10"/>
        <v>#DIV/0!</v>
      </c>
      <c r="BI27" s="388"/>
      <c r="BJ27" s="39"/>
      <c r="BK27" s="39"/>
      <c r="BL27" s="669">
        <f t="shared" si="27"/>
        <v>0</v>
      </c>
      <c r="BM27" s="450" t="e">
        <f t="shared" si="11"/>
        <v>#DIV/0!</v>
      </c>
      <c r="BN27" s="388"/>
      <c r="BO27" s="39">
        <f t="shared" si="12"/>
        <v>17838.992999999999</v>
      </c>
      <c r="BP27" s="39">
        <f t="shared" si="13"/>
        <v>0</v>
      </c>
      <c r="BQ27" s="453">
        <f t="shared" si="28"/>
        <v>17838.992999999999</v>
      </c>
      <c r="BR27" s="450" t="e">
        <f t="shared" si="38"/>
        <v>#DIV/0!</v>
      </c>
      <c r="BS27" s="456"/>
      <c r="BT27" s="920">
        <v>16351</v>
      </c>
      <c r="BU27" s="921">
        <f t="shared" si="30"/>
        <v>1487.9929999999986</v>
      </c>
    </row>
    <row r="28" spans="1:73" s="226" customFormat="1" ht="44.4" customHeight="1">
      <c r="A28" s="238"/>
      <c r="B28" s="496" t="s">
        <v>52</v>
      </c>
      <c r="C28" s="114">
        <v>198937</v>
      </c>
      <c r="D28" s="445"/>
      <c r="E28" s="446">
        <f t="shared" si="6"/>
        <v>198937</v>
      </c>
      <c r="F28" s="447">
        <f t="shared" si="31"/>
        <v>1.133911013031187E-2</v>
      </c>
      <c r="G28" s="448">
        <f>1400+48796.62</f>
        <v>50196.62</v>
      </c>
      <c r="H28" s="445">
        <f>725+3821</f>
        <v>4546</v>
      </c>
      <c r="I28" s="449">
        <f t="shared" si="14"/>
        <v>54742.62</v>
      </c>
      <c r="J28" s="450">
        <f t="shared" si="32"/>
        <v>7.6310386996501126E-2</v>
      </c>
      <c r="K28" s="451" t="s">
        <v>397</v>
      </c>
      <c r="L28" s="452">
        <v>57</v>
      </c>
      <c r="M28" s="452"/>
      <c r="N28" s="453">
        <f t="shared" si="15"/>
        <v>57</v>
      </c>
      <c r="O28" s="450">
        <f t="shared" si="33"/>
        <v>7.6971566610164663E-5</v>
      </c>
      <c r="P28" s="451" t="s">
        <v>529</v>
      </c>
      <c r="Q28" s="452">
        <f>700+7000+746.4+1900</f>
        <v>10346.4</v>
      </c>
      <c r="R28" s="452">
        <f>1040+910+2436</f>
        <v>4386</v>
      </c>
      <c r="S28" s="453">
        <f t="shared" si="16"/>
        <v>14732.4</v>
      </c>
      <c r="T28" s="450">
        <f t="shared" si="34"/>
        <v>3.5870308831182905E-3</v>
      </c>
      <c r="U28" s="497" t="s">
        <v>606</v>
      </c>
      <c r="V28" s="452">
        <f>900+2454+941.67</f>
        <v>4295.67</v>
      </c>
      <c r="W28" s="452">
        <v>1723</v>
      </c>
      <c r="X28" s="453">
        <f t="shared" si="35"/>
        <v>6018.67</v>
      </c>
      <c r="Y28" s="450">
        <f t="shared" si="18"/>
        <v>9.8303595930975245E-4</v>
      </c>
      <c r="Z28" s="388" t="s">
        <v>665</v>
      </c>
      <c r="AA28" s="452">
        <f>(446.54+1066.49)*1.2</f>
        <v>1815.636</v>
      </c>
      <c r="AB28" s="452"/>
      <c r="AC28" s="453">
        <f t="shared" si="36"/>
        <v>1815.636</v>
      </c>
      <c r="AD28" s="450">
        <f t="shared" si="29"/>
        <v>4.8225188222948001E-4</v>
      </c>
      <c r="AE28" s="388" t="s">
        <v>743</v>
      </c>
      <c r="AF28" s="452">
        <f>1813.36*1.2</f>
        <v>2176.0319999999997</v>
      </c>
      <c r="AG28" s="452"/>
      <c r="AH28" s="592">
        <f t="shared" si="37"/>
        <v>2176.0319999999997</v>
      </c>
      <c r="AI28" s="450">
        <f t="shared" si="4"/>
        <v>1.448012215079343E-3</v>
      </c>
      <c r="AJ28" s="388" t="s">
        <v>806</v>
      </c>
      <c r="AK28" s="452">
        <f>142.99+916.21</f>
        <v>1059.2</v>
      </c>
      <c r="AL28" s="452">
        <v>12600</v>
      </c>
      <c r="AM28" s="669">
        <f t="shared" si="21"/>
        <v>13659.2</v>
      </c>
      <c r="AN28" s="450" t="e">
        <f t="shared" si="22"/>
        <v>#DIV/0!</v>
      </c>
      <c r="AO28" s="388" t="s">
        <v>827</v>
      </c>
      <c r="AP28" s="452"/>
      <c r="AQ28" s="452"/>
      <c r="AR28" s="669">
        <f t="shared" si="23"/>
        <v>0</v>
      </c>
      <c r="AS28" s="450" t="e">
        <f t="shared" si="7"/>
        <v>#DIV/0!</v>
      </c>
      <c r="AT28" s="388"/>
      <c r="AU28" s="452"/>
      <c r="AV28" s="452"/>
      <c r="AW28" s="669">
        <f t="shared" si="24"/>
        <v>0</v>
      </c>
      <c r="AX28" s="450">
        <f t="shared" si="8"/>
        <v>0</v>
      </c>
      <c r="AY28" s="388"/>
      <c r="AZ28" s="452"/>
      <c r="BA28" s="452"/>
      <c r="BB28" s="669">
        <f t="shared" si="25"/>
        <v>0</v>
      </c>
      <c r="BC28" s="450" t="e">
        <f t="shared" si="9"/>
        <v>#DIV/0!</v>
      </c>
      <c r="BD28" s="388"/>
      <c r="BE28" s="452"/>
      <c r="BF28" s="452"/>
      <c r="BG28" s="669">
        <f t="shared" si="26"/>
        <v>0</v>
      </c>
      <c r="BH28" s="450" t="e">
        <f t="shared" si="10"/>
        <v>#DIV/0!</v>
      </c>
      <c r="BI28" s="388"/>
      <c r="BJ28" s="39"/>
      <c r="BK28" s="39"/>
      <c r="BL28" s="669">
        <f t="shared" si="27"/>
        <v>0</v>
      </c>
      <c r="BM28" s="450" t="e">
        <f t="shared" si="11"/>
        <v>#DIV/0!</v>
      </c>
      <c r="BN28" s="388"/>
      <c r="BO28" s="39">
        <f t="shared" si="12"/>
        <v>69946.558000000005</v>
      </c>
      <c r="BP28" s="39">
        <f t="shared" si="13"/>
        <v>23255</v>
      </c>
      <c r="BQ28" s="453">
        <f t="shared" si="28"/>
        <v>93201.558000000005</v>
      </c>
      <c r="BR28" s="450" t="e">
        <f t="shared" si="38"/>
        <v>#DIV/0!</v>
      </c>
      <c r="BS28" s="456"/>
      <c r="BT28" s="925">
        <f>54359+63837</f>
        <v>118196</v>
      </c>
      <c r="BU28" s="921">
        <f t="shared" si="30"/>
        <v>-24994.441999999995</v>
      </c>
    </row>
    <row r="29" spans="1:73" s="2" customFormat="1" ht="47.4" customHeight="1">
      <c r="A29" s="238"/>
      <c r="B29" s="471" t="s">
        <v>31</v>
      </c>
      <c r="C29" s="114">
        <v>199000</v>
      </c>
      <c r="D29" s="445">
        <v>58000</v>
      </c>
      <c r="E29" s="446">
        <f t="shared" si="6"/>
        <v>257000</v>
      </c>
      <c r="F29" s="450">
        <f t="shared" si="31"/>
        <v>1.4648613900331012E-2</v>
      </c>
      <c r="G29" s="448">
        <v>24890</v>
      </c>
      <c r="H29" s="445">
        <v>2100</v>
      </c>
      <c r="I29" s="449">
        <f t="shared" si="14"/>
        <v>26990</v>
      </c>
      <c r="J29" s="450">
        <f t="shared" si="32"/>
        <v>3.7623653106766998E-2</v>
      </c>
      <c r="K29" s="451" t="s">
        <v>390</v>
      </c>
      <c r="L29" s="452">
        <v>29130</v>
      </c>
      <c r="M29" s="452">
        <v>4830</v>
      </c>
      <c r="N29" s="453">
        <f t="shared" si="15"/>
        <v>33960</v>
      </c>
      <c r="O29" s="450">
        <f t="shared" si="33"/>
        <v>4.5858849159319155E-2</v>
      </c>
      <c r="P29" s="451" t="s">
        <v>483</v>
      </c>
      <c r="Q29" s="452">
        <v>45980</v>
      </c>
      <c r="R29" s="452">
        <f>9940</f>
        <v>9940</v>
      </c>
      <c r="S29" s="453">
        <f t="shared" si="16"/>
        <v>55920</v>
      </c>
      <c r="T29" s="450">
        <f t="shared" si="34"/>
        <v>1.3615348957669816E-2</v>
      </c>
      <c r="U29" s="497" t="s">
        <v>586</v>
      </c>
      <c r="V29" s="452">
        <v>55150</v>
      </c>
      <c r="W29" s="452">
        <v>12550</v>
      </c>
      <c r="X29" s="453">
        <f t="shared" si="35"/>
        <v>67700</v>
      </c>
      <c r="Y29" s="450">
        <f t="shared" si="18"/>
        <v>1.1057515106372378E-2</v>
      </c>
      <c r="Z29" s="497"/>
      <c r="AA29" s="452">
        <v>29800</v>
      </c>
      <c r="AB29" s="452">
        <v>7380</v>
      </c>
      <c r="AC29" s="453">
        <f t="shared" si="36"/>
        <v>37180</v>
      </c>
      <c r="AD29" s="450">
        <f t="shared" si="29"/>
        <v>9.875396269567285E-3</v>
      </c>
      <c r="AE29" s="497"/>
      <c r="AF29" s="452">
        <v>13000</v>
      </c>
      <c r="AG29" s="452">
        <v>12484</v>
      </c>
      <c r="AH29" s="592">
        <f t="shared" si="37"/>
        <v>25484</v>
      </c>
      <c r="AI29" s="450">
        <f t="shared" si="4"/>
        <v>1.695799661451761E-2</v>
      </c>
      <c r="AJ29" s="497"/>
      <c r="AK29" s="452">
        <v>9500</v>
      </c>
      <c r="AL29" s="452">
        <v>4250</v>
      </c>
      <c r="AM29" s="669">
        <f t="shared" si="21"/>
        <v>13750</v>
      </c>
      <c r="AN29" s="450" t="e">
        <f t="shared" si="22"/>
        <v>#DIV/0!</v>
      </c>
      <c r="AO29" s="497"/>
      <c r="AP29" s="452"/>
      <c r="AQ29" s="452"/>
      <c r="AR29" s="669">
        <f t="shared" si="23"/>
        <v>0</v>
      </c>
      <c r="AS29" s="450" t="e">
        <f t="shared" si="7"/>
        <v>#DIV/0!</v>
      </c>
      <c r="AT29" s="497"/>
      <c r="AU29" s="452"/>
      <c r="AV29" s="452">
        <v>390</v>
      </c>
      <c r="AW29" s="669">
        <f t="shared" si="24"/>
        <v>390</v>
      </c>
      <c r="AX29" s="450">
        <f t="shared" si="8"/>
        <v>9.2242705312769194E-2</v>
      </c>
      <c r="AY29" s="497"/>
      <c r="AZ29" s="452"/>
      <c r="BA29" s="452"/>
      <c r="BB29" s="669">
        <f t="shared" si="25"/>
        <v>0</v>
      </c>
      <c r="BC29" s="450" t="e">
        <f t="shared" si="9"/>
        <v>#DIV/0!</v>
      </c>
      <c r="BD29" s="497"/>
      <c r="BE29" s="452"/>
      <c r="BF29" s="452"/>
      <c r="BG29" s="669">
        <f t="shared" si="26"/>
        <v>0</v>
      </c>
      <c r="BH29" s="450" t="e">
        <f t="shared" si="10"/>
        <v>#DIV/0!</v>
      </c>
      <c r="BI29" s="497"/>
      <c r="BJ29" s="39"/>
      <c r="BK29" s="39"/>
      <c r="BL29" s="669">
        <f t="shared" si="27"/>
        <v>0</v>
      </c>
      <c r="BM29" s="450" t="e">
        <f t="shared" si="11"/>
        <v>#DIV/0!</v>
      </c>
      <c r="BN29" s="497"/>
      <c r="BO29" s="39">
        <f t="shared" si="12"/>
        <v>207450</v>
      </c>
      <c r="BP29" s="39">
        <f t="shared" si="13"/>
        <v>53924</v>
      </c>
      <c r="BQ29" s="453">
        <f t="shared" si="28"/>
        <v>261374</v>
      </c>
      <c r="BR29" s="450" t="e">
        <f t="shared" si="38"/>
        <v>#DIV/0!</v>
      </c>
      <c r="BS29" s="498"/>
      <c r="BT29" s="920">
        <v>258730</v>
      </c>
      <c r="BU29" s="921">
        <f t="shared" si="30"/>
        <v>2644</v>
      </c>
    </row>
    <row r="30" spans="1:73" s="2" customFormat="1" ht="62.4" customHeight="1">
      <c r="A30" s="238"/>
      <c r="B30" s="471" t="s">
        <v>62</v>
      </c>
      <c r="C30" s="114"/>
      <c r="D30" s="445">
        <f>157000+14910</f>
        <v>171910</v>
      </c>
      <c r="E30" s="446">
        <f t="shared" si="6"/>
        <v>171910</v>
      </c>
      <c r="F30" s="450">
        <f t="shared" si="31"/>
        <v>9.7986117338751139E-3</v>
      </c>
      <c r="G30" s="448"/>
      <c r="H30" s="445">
        <v>52639</v>
      </c>
      <c r="I30" s="449">
        <f t="shared" si="14"/>
        <v>52639</v>
      </c>
      <c r="J30" s="450">
        <f t="shared" si="32"/>
        <v>7.3377972430052174E-2</v>
      </c>
      <c r="K30" s="451" t="s">
        <v>387</v>
      </c>
      <c r="L30" s="452"/>
      <c r="M30" s="452">
        <v>58860</v>
      </c>
      <c r="N30" s="453">
        <f t="shared" si="15"/>
        <v>58860</v>
      </c>
      <c r="O30" s="450">
        <f t="shared" si="33"/>
        <v>7.9483270362706887E-2</v>
      </c>
      <c r="P30" s="451" t="s">
        <v>482</v>
      </c>
      <c r="Q30" s="452"/>
      <c r="R30" s="452">
        <v>54852</v>
      </c>
      <c r="S30" s="453">
        <f t="shared" si="16"/>
        <v>54852</v>
      </c>
      <c r="T30" s="450">
        <f t="shared" si="34"/>
        <v>1.3355313323070543E-2</v>
      </c>
      <c r="U30" s="497" t="s">
        <v>584</v>
      </c>
      <c r="V30" s="452"/>
      <c r="W30" s="452">
        <v>32819</v>
      </c>
      <c r="X30" s="453">
        <f t="shared" si="35"/>
        <v>32819</v>
      </c>
      <c r="Y30" s="450">
        <f t="shared" si="18"/>
        <v>5.3603631946238569E-3</v>
      </c>
      <c r="Z30" s="388" t="s">
        <v>653</v>
      </c>
      <c r="AA30" s="452"/>
      <c r="AB30" s="452">
        <v>47782</v>
      </c>
      <c r="AC30" s="453">
        <f t="shared" si="36"/>
        <v>47782</v>
      </c>
      <c r="AD30" s="450">
        <f t="shared" si="29"/>
        <v>1.2691398185918881E-2</v>
      </c>
      <c r="AE30" s="388"/>
      <c r="AF30" s="452"/>
      <c r="AG30" s="452">
        <v>26990</v>
      </c>
      <c r="AH30" s="592">
        <f t="shared" si="37"/>
        <v>26990</v>
      </c>
      <c r="AI30" s="450">
        <f t="shared" si="4"/>
        <v>1.7960144742812365E-2</v>
      </c>
      <c r="AJ30" s="388"/>
      <c r="AK30" s="452"/>
      <c r="AL30" s="452">
        <v>24500</v>
      </c>
      <c r="AM30" s="669">
        <f t="shared" si="21"/>
        <v>24500</v>
      </c>
      <c r="AN30" s="450" t="e">
        <f t="shared" si="22"/>
        <v>#DIV/0!</v>
      </c>
      <c r="AO30" s="388"/>
      <c r="AP30" s="452"/>
      <c r="AQ30" s="452">
        <v>10700</v>
      </c>
      <c r="AR30" s="669">
        <f t="shared" si="23"/>
        <v>10700</v>
      </c>
      <c r="AS30" s="450" t="e">
        <f t="shared" si="7"/>
        <v>#DIV/0!</v>
      </c>
      <c r="AT30" s="388"/>
      <c r="AU30" s="452"/>
      <c r="AV30" s="452"/>
      <c r="AW30" s="669">
        <f t="shared" si="24"/>
        <v>0</v>
      </c>
      <c r="AX30" s="450">
        <f t="shared" si="8"/>
        <v>0</v>
      </c>
      <c r="AY30" s="388"/>
      <c r="AZ30" s="452"/>
      <c r="BA30" s="452">
        <f>6652.8</f>
        <v>6652.8</v>
      </c>
      <c r="BB30" s="669">
        <f t="shared" si="25"/>
        <v>6652.8</v>
      </c>
      <c r="BC30" s="450" t="e">
        <f t="shared" si="9"/>
        <v>#DIV/0!</v>
      </c>
      <c r="BD30" s="388"/>
      <c r="BE30" s="452"/>
      <c r="BF30" s="452"/>
      <c r="BG30" s="669">
        <f t="shared" si="26"/>
        <v>0</v>
      </c>
      <c r="BH30" s="450" t="e">
        <f t="shared" si="10"/>
        <v>#DIV/0!</v>
      </c>
      <c r="BI30" s="388"/>
      <c r="BJ30" s="39"/>
      <c r="BK30" s="39"/>
      <c r="BL30" s="669">
        <f t="shared" si="27"/>
        <v>0</v>
      </c>
      <c r="BM30" s="450" t="e">
        <f t="shared" si="11"/>
        <v>#DIV/0!</v>
      </c>
      <c r="BN30" s="388"/>
      <c r="BO30" s="39">
        <f t="shared" si="12"/>
        <v>0</v>
      </c>
      <c r="BP30" s="39">
        <f t="shared" si="13"/>
        <v>315794.8</v>
      </c>
      <c r="BQ30" s="453">
        <f t="shared" si="28"/>
        <v>315794.8</v>
      </c>
      <c r="BR30" s="450" t="e">
        <f t="shared" si="38"/>
        <v>#DIV/0!</v>
      </c>
      <c r="BS30" s="498"/>
      <c r="BT30" s="920">
        <f>305095+10700</f>
        <v>315795</v>
      </c>
      <c r="BU30" s="921">
        <f t="shared" si="30"/>
        <v>-0.20000000001164153</v>
      </c>
    </row>
    <row r="31" spans="1:73" s="2" customFormat="1" ht="138" customHeight="1">
      <c r="A31" s="238"/>
      <c r="B31" s="499" t="s">
        <v>34</v>
      </c>
      <c r="C31" s="114"/>
      <c r="D31" s="500">
        <v>44000</v>
      </c>
      <c r="E31" s="446">
        <f t="shared" si="6"/>
        <v>44000</v>
      </c>
      <c r="F31" s="450">
        <f t="shared" si="31"/>
        <v>2.5079338973329358E-3</v>
      </c>
      <c r="G31" s="448"/>
      <c r="H31" s="445">
        <v>8540</v>
      </c>
      <c r="I31" s="449">
        <f t="shared" si="14"/>
        <v>8540</v>
      </c>
      <c r="J31" s="450">
        <f t="shared" si="32"/>
        <v>1.1904631253493522E-2</v>
      </c>
      <c r="K31" s="451" t="s">
        <v>389</v>
      </c>
      <c r="L31" s="452">
        <v>3336.8500000000004</v>
      </c>
      <c r="M31" s="452">
        <f>7878+1500</f>
        <v>9378</v>
      </c>
      <c r="N31" s="453">
        <f t="shared" si="15"/>
        <v>12714.85</v>
      </c>
      <c r="O31" s="450">
        <f t="shared" si="33"/>
        <v>1.7169858310758811E-2</v>
      </c>
      <c r="P31" s="451" t="s">
        <v>485</v>
      </c>
      <c r="Q31" s="452">
        <f>509.8</f>
        <v>509.8</v>
      </c>
      <c r="R31" s="452">
        <v>9504</v>
      </c>
      <c r="S31" s="453">
        <f t="shared" si="16"/>
        <v>10013.799999999999</v>
      </c>
      <c r="T31" s="450">
        <f t="shared" si="34"/>
        <v>2.4381505971443848E-3</v>
      </c>
      <c r="U31" s="497" t="s">
        <v>607</v>
      </c>
      <c r="V31" s="452"/>
      <c r="W31" s="452">
        <v>8130</v>
      </c>
      <c r="X31" s="453">
        <f t="shared" si="35"/>
        <v>8130</v>
      </c>
      <c r="Y31" s="450">
        <f t="shared" si="18"/>
        <v>1.3278817993324585E-3</v>
      </c>
      <c r="Z31" s="388" t="s">
        <v>654</v>
      </c>
      <c r="AA31" s="452"/>
      <c r="AB31" s="452">
        <v>8404</v>
      </c>
      <c r="AC31" s="453">
        <f t="shared" si="36"/>
        <v>8404</v>
      </c>
      <c r="AD31" s="450">
        <f t="shared" si="29"/>
        <v>2.2321901627069245E-3</v>
      </c>
      <c r="AE31" s="388"/>
      <c r="AF31" s="452"/>
      <c r="AG31" s="452"/>
      <c r="AH31" s="592">
        <f t="shared" si="37"/>
        <v>0</v>
      </c>
      <c r="AI31" s="450">
        <f t="shared" si="4"/>
        <v>0</v>
      </c>
      <c r="AJ31" s="388"/>
      <c r="AK31" s="452"/>
      <c r="AL31" s="452">
        <f>4000+1065</f>
        <v>5065</v>
      </c>
      <c r="AM31" s="669">
        <f t="shared" si="21"/>
        <v>5065</v>
      </c>
      <c r="AN31" s="450" t="e">
        <f t="shared" si="22"/>
        <v>#DIV/0!</v>
      </c>
      <c r="AO31" s="388"/>
      <c r="AP31" s="452"/>
      <c r="AQ31" s="452"/>
      <c r="AR31" s="669">
        <f t="shared" si="23"/>
        <v>0</v>
      </c>
      <c r="AS31" s="450" t="e">
        <f t="shared" si="7"/>
        <v>#DIV/0!</v>
      </c>
      <c r="AT31" s="388"/>
      <c r="AU31" s="452"/>
      <c r="AV31" s="452">
        <v>510</v>
      </c>
      <c r="AW31" s="669">
        <f t="shared" si="24"/>
        <v>510</v>
      </c>
      <c r="AX31" s="450">
        <f t="shared" si="8"/>
        <v>0.12062507617823663</v>
      </c>
      <c r="AY31" s="388" t="s">
        <v>895</v>
      </c>
      <c r="AZ31" s="452"/>
      <c r="BA31" s="452"/>
      <c r="BB31" s="669">
        <f t="shared" si="25"/>
        <v>0</v>
      </c>
      <c r="BC31" s="450" t="e">
        <f t="shared" si="9"/>
        <v>#DIV/0!</v>
      </c>
      <c r="BD31" s="388"/>
      <c r="BE31" s="452"/>
      <c r="BF31" s="452"/>
      <c r="BG31" s="669">
        <f t="shared" si="26"/>
        <v>0</v>
      </c>
      <c r="BH31" s="450" t="e">
        <f t="shared" si="10"/>
        <v>#DIV/0!</v>
      </c>
      <c r="BI31" s="388"/>
      <c r="BJ31" s="39"/>
      <c r="BK31" s="39"/>
      <c r="BL31" s="669">
        <f t="shared" si="27"/>
        <v>0</v>
      </c>
      <c r="BM31" s="450" t="e">
        <f t="shared" si="11"/>
        <v>#DIV/0!</v>
      </c>
      <c r="BN31" s="388"/>
      <c r="BO31" s="39">
        <f t="shared" si="12"/>
        <v>3846.6500000000005</v>
      </c>
      <c r="BP31" s="39">
        <f t="shared" si="13"/>
        <v>49531</v>
      </c>
      <c r="BQ31" s="453">
        <f t="shared" si="28"/>
        <v>53377.65</v>
      </c>
      <c r="BR31" s="450" t="e">
        <f t="shared" si="38"/>
        <v>#DIV/0!</v>
      </c>
      <c r="BS31" s="498"/>
      <c r="BT31" s="920">
        <v>54050</v>
      </c>
      <c r="BU31" s="921">
        <f t="shared" si="30"/>
        <v>-672.34999999999854</v>
      </c>
    </row>
    <row r="32" spans="1:73" s="2" customFormat="1" ht="13.8">
      <c r="A32" s="238"/>
      <c r="B32" s="501" t="s">
        <v>2</v>
      </c>
      <c r="C32" s="115"/>
      <c r="D32" s="116"/>
      <c r="E32" s="446">
        <f t="shared" si="6"/>
        <v>0</v>
      </c>
      <c r="F32" s="450">
        <f t="shared" si="31"/>
        <v>0</v>
      </c>
      <c r="G32" s="448"/>
      <c r="H32" s="116"/>
      <c r="I32" s="449">
        <f t="shared" si="14"/>
        <v>0</v>
      </c>
      <c r="J32" s="450">
        <f t="shared" si="32"/>
        <v>0</v>
      </c>
      <c r="K32" s="502"/>
      <c r="L32" s="452"/>
      <c r="M32" s="452"/>
      <c r="N32" s="453">
        <f t="shared" si="15"/>
        <v>0</v>
      </c>
      <c r="O32" s="450">
        <f t="shared" si="33"/>
        <v>0</v>
      </c>
      <c r="P32" s="498"/>
      <c r="Q32" s="452"/>
      <c r="R32" s="452"/>
      <c r="S32" s="453">
        <f t="shared" si="16"/>
        <v>0</v>
      </c>
      <c r="T32" s="450">
        <f t="shared" si="34"/>
        <v>0</v>
      </c>
      <c r="U32" s="503"/>
      <c r="V32" s="452"/>
      <c r="W32" s="452"/>
      <c r="X32" s="453">
        <f t="shared" si="35"/>
        <v>0</v>
      </c>
      <c r="Y32" s="450">
        <f t="shared" si="18"/>
        <v>0</v>
      </c>
      <c r="Z32" s="503"/>
      <c r="AA32" s="452"/>
      <c r="AB32" s="452"/>
      <c r="AC32" s="453">
        <f t="shared" si="36"/>
        <v>0</v>
      </c>
      <c r="AD32" s="450">
        <f t="shared" si="29"/>
        <v>0</v>
      </c>
      <c r="AE32" s="503"/>
      <c r="AF32" s="452"/>
      <c r="AG32" s="452"/>
      <c r="AH32" s="592">
        <f t="shared" si="37"/>
        <v>0</v>
      </c>
      <c r="AI32" s="450">
        <f t="shared" si="4"/>
        <v>0</v>
      </c>
      <c r="AJ32" s="503"/>
      <c r="AK32" s="452"/>
      <c r="AL32" s="452"/>
      <c r="AM32" s="669">
        <f t="shared" si="21"/>
        <v>0</v>
      </c>
      <c r="AN32" s="450" t="e">
        <f t="shared" si="22"/>
        <v>#DIV/0!</v>
      </c>
      <c r="AO32" s="503"/>
      <c r="AP32" s="452"/>
      <c r="AQ32" s="452"/>
      <c r="AR32" s="669">
        <f t="shared" si="23"/>
        <v>0</v>
      </c>
      <c r="AS32" s="450" t="e">
        <f t="shared" si="7"/>
        <v>#DIV/0!</v>
      </c>
      <c r="AT32" s="503"/>
      <c r="AU32" s="452"/>
      <c r="AV32" s="452"/>
      <c r="AW32" s="669">
        <f t="shared" si="24"/>
        <v>0</v>
      </c>
      <c r="AX32" s="450">
        <f t="shared" si="8"/>
        <v>0</v>
      </c>
      <c r="AY32" s="503"/>
      <c r="AZ32" s="452"/>
      <c r="BA32" s="452"/>
      <c r="BB32" s="669">
        <f t="shared" si="25"/>
        <v>0</v>
      </c>
      <c r="BC32" s="450" t="e">
        <f t="shared" si="9"/>
        <v>#DIV/0!</v>
      </c>
      <c r="BD32" s="503"/>
      <c r="BE32" s="452"/>
      <c r="BF32" s="452"/>
      <c r="BG32" s="669">
        <f t="shared" si="26"/>
        <v>0</v>
      </c>
      <c r="BH32" s="450" t="e">
        <f t="shared" si="10"/>
        <v>#DIV/0!</v>
      </c>
      <c r="BI32" s="503"/>
      <c r="BJ32" s="39"/>
      <c r="BK32" s="39"/>
      <c r="BL32" s="669">
        <f t="shared" si="27"/>
        <v>0</v>
      </c>
      <c r="BM32" s="450" t="e">
        <f t="shared" si="11"/>
        <v>#DIV/0!</v>
      </c>
      <c r="BN32" s="503"/>
      <c r="BO32" s="39">
        <f t="shared" si="12"/>
        <v>0</v>
      </c>
      <c r="BP32" s="39">
        <f t="shared" si="13"/>
        <v>0</v>
      </c>
      <c r="BQ32" s="453">
        <f t="shared" si="28"/>
        <v>0</v>
      </c>
      <c r="BR32" s="450" t="e">
        <f t="shared" si="38"/>
        <v>#DIV/0!</v>
      </c>
      <c r="BS32" s="498"/>
      <c r="BT32" s="920"/>
      <c r="BU32" s="921">
        <f t="shared" si="30"/>
        <v>0</v>
      </c>
    </row>
    <row r="33" spans="1:73" s="2" customFormat="1" ht="14.4" thickBot="1">
      <c r="A33" s="238"/>
      <c r="B33" s="504" t="s">
        <v>75</v>
      </c>
      <c r="C33" s="505"/>
      <c r="D33" s="506">
        <v>5000</v>
      </c>
      <c r="E33" s="507">
        <f t="shared" si="6"/>
        <v>5000</v>
      </c>
      <c r="F33" s="508">
        <f t="shared" si="31"/>
        <v>2.8499248833328817E-4</v>
      </c>
      <c r="G33" s="509"/>
      <c r="H33" s="506"/>
      <c r="I33" s="510">
        <f t="shared" si="14"/>
        <v>0</v>
      </c>
      <c r="J33" s="508">
        <f t="shared" si="32"/>
        <v>0</v>
      </c>
      <c r="K33" s="511"/>
      <c r="L33" s="512"/>
      <c r="M33" s="512"/>
      <c r="N33" s="513">
        <f t="shared" si="15"/>
        <v>0</v>
      </c>
      <c r="O33" s="508">
        <f t="shared" si="33"/>
        <v>0</v>
      </c>
      <c r="P33" s="514"/>
      <c r="Q33" s="512"/>
      <c r="R33" s="512"/>
      <c r="S33" s="513">
        <f t="shared" si="16"/>
        <v>0</v>
      </c>
      <c r="T33" s="508">
        <f t="shared" si="34"/>
        <v>0</v>
      </c>
      <c r="U33" s="515"/>
      <c r="V33" s="512"/>
      <c r="W33" s="512"/>
      <c r="X33" s="513">
        <f t="shared" si="35"/>
        <v>0</v>
      </c>
      <c r="Y33" s="508">
        <f t="shared" si="18"/>
        <v>0</v>
      </c>
      <c r="Z33" s="515"/>
      <c r="AA33" s="512"/>
      <c r="AB33" s="512">
        <v>1818</v>
      </c>
      <c r="AC33" s="513">
        <f t="shared" si="36"/>
        <v>1818</v>
      </c>
      <c r="AD33" s="596">
        <f t="shared" si="29"/>
        <v>4.8287978531665743E-4</v>
      </c>
      <c r="AE33" s="388" t="s">
        <v>740</v>
      </c>
      <c r="AF33" s="512"/>
      <c r="AG33" s="512"/>
      <c r="AH33" s="594">
        <f t="shared" si="37"/>
        <v>0</v>
      </c>
      <c r="AI33" s="450">
        <f t="shared" si="4"/>
        <v>0</v>
      </c>
      <c r="AJ33" s="388"/>
      <c r="AK33" s="512"/>
      <c r="AL33" s="512"/>
      <c r="AM33" s="706">
        <f t="shared" si="21"/>
        <v>0</v>
      </c>
      <c r="AN33" s="450" t="e">
        <f t="shared" si="22"/>
        <v>#DIV/0!</v>
      </c>
      <c r="AO33" s="388"/>
      <c r="AP33" s="512"/>
      <c r="AQ33" s="512"/>
      <c r="AR33" s="706">
        <f t="shared" si="23"/>
        <v>0</v>
      </c>
      <c r="AS33" s="450" t="e">
        <f t="shared" si="7"/>
        <v>#DIV/0!</v>
      </c>
      <c r="AT33" s="388"/>
      <c r="AU33" s="512"/>
      <c r="AV33" s="512"/>
      <c r="AW33" s="706">
        <f t="shared" si="24"/>
        <v>0</v>
      </c>
      <c r="AX33" s="450">
        <f t="shared" si="8"/>
        <v>0</v>
      </c>
      <c r="AY33" s="388"/>
      <c r="AZ33" s="512"/>
      <c r="BA33" s="512"/>
      <c r="BB33" s="706">
        <f t="shared" si="25"/>
        <v>0</v>
      </c>
      <c r="BC33" s="450" t="e">
        <f t="shared" si="9"/>
        <v>#DIV/0!</v>
      </c>
      <c r="BD33" s="388"/>
      <c r="BE33" s="512"/>
      <c r="BF33" s="512"/>
      <c r="BG33" s="706">
        <f t="shared" si="26"/>
        <v>0</v>
      </c>
      <c r="BH33" s="450" t="e">
        <f t="shared" si="10"/>
        <v>#DIV/0!</v>
      </c>
      <c r="BI33" s="388"/>
      <c r="BJ33" s="39"/>
      <c r="BK33" s="39"/>
      <c r="BL33" s="706">
        <f t="shared" si="27"/>
        <v>0</v>
      </c>
      <c r="BM33" s="450" t="e">
        <f t="shared" si="11"/>
        <v>#DIV/0!</v>
      </c>
      <c r="BN33" s="388"/>
      <c r="BO33" s="39">
        <f t="shared" si="12"/>
        <v>0</v>
      </c>
      <c r="BP33" s="39">
        <f t="shared" si="13"/>
        <v>1818</v>
      </c>
      <c r="BQ33" s="513">
        <f t="shared" si="28"/>
        <v>1818</v>
      </c>
      <c r="BR33" s="508" t="e">
        <f t="shared" si="38"/>
        <v>#DIV/0!</v>
      </c>
      <c r="BS33" s="514"/>
      <c r="BT33" s="920">
        <v>1818</v>
      </c>
      <c r="BU33" s="921">
        <f t="shared" si="30"/>
        <v>0</v>
      </c>
    </row>
    <row r="34" spans="1:73" s="2" customFormat="1" ht="13.8">
      <c r="A34" s="238"/>
      <c r="B34" s="473"/>
      <c r="C34" s="474"/>
      <c r="D34" s="475"/>
      <c r="E34" s="476"/>
      <c r="F34" s="477"/>
      <c r="G34" s="478"/>
      <c r="H34" s="476"/>
      <c r="I34" s="476"/>
      <c r="J34" s="479">
        <f t="shared" si="32"/>
        <v>0</v>
      </c>
      <c r="K34" s="480"/>
      <c r="L34" s="452"/>
      <c r="M34" s="452"/>
      <c r="N34" s="476"/>
      <c r="O34" s="476"/>
      <c r="P34" s="476"/>
      <c r="Q34" s="452"/>
      <c r="R34" s="452"/>
      <c r="S34" s="476"/>
      <c r="T34" s="476"/>
      <c r="U34" s="476"/>
      <c r="V34" s="452"/>
      <c r="W34" s="452"/>
      <c r="X34" s="476"/>
      <c r="Y34" s="476"/>
      <c r="Z34" s="476"/>
      <c r="AA34" s="452"/>
      <c r="AB34" s="452"/>
      <c r="AC34" s="476"/>
      <c r="AD34" s="476"/>
      <c r="AE34" s="476"/>
      <c r="AF34" s="452"/>
      <c r="AG34" s="452"/>
      <c r="AH34" s="476"/>
      <c r="AI34" s="476"/>
      <c r="AJ34" s="476"/>
      <c r="AK34" s="452"/>
      <c r="AL34" s="452"/>
      <c r="AM34" s="478"/>
      <c r="AN34" s="476"/>
      <c r="AO34" s="476"/>
      <c r="AP34" s="452"/>
      <c r="AQ34" s="452"/>
      <c r="AR34" s="478"/>
      <c r="AS34" s="476" t="e">
        <f t="shared" si="7"/>
        <v>#DIV/0!</v>
      </c>
      <c r="AT34" s="476"/>
      <c r="AU34" s="452"/>
      <c r="AV34" s="452"/>
      <c r="AW34" s="478"/>
      <c r="AX34" s="450"/>
      <c r="AY34" s="476"/>
      <c r="AZ34" s="452"/>
      <c r="BA34" s="452"/>
      <c r="BB34" s="478"/>
      <c r="BC34" s="450"/>
      <c r="BD34" s="476"/>
      <c r="BE34" s="452"/>
      <c r="BF34" s="452"/>
      <c r="BG34" s="478"/>
      <c r="BH34" s="450"/>
      <c r="BI34" s="476"/>
      <c r="BJ34" s="452"/>
      <c r="BK34" s="452"/>
      <c r="BL34" s="478"/>
      <c r="BM34" s="450"/>
      <c r="BN34" s="476"/>
      <c r="BO34" s="452"/>
      <c r="BP34" s="452"/>
      <c r="BQ34" s="476"/>
      <c r="BR34" s="476"/>
      <c r="BS34" s="476"/>
      <c r="BT34" s="919"/>
      <c r="BU34" s="921">
        <f t="shared" si="30"/>
        <v>0</v>
      </c>
    </row>
    <row r="35" spans="1:73" s="88" customFormat="1" ht="13.8">
      <c r="A35" s="238"/>
      <c r="B35" s="89" t="s">
        <v>80</v>
      </c>
      <c r="C35" s="90">
        <f>C36</f>
        <v>2000</v>
      </c>
      <c r="D35" s="90">
        <f>D36</f>
        <v>0</v>
      </c>
      <c r="E35" s="91">
        <f>E36</f>
        <v>2000</v>
      </c>
      <c r="F35" s="165">
        <f>E35/$E$89</f>
        <v>1.1399699533331528E-4</v>
      </c>
      <c r="G35" s="90">
        <f>G36</f>
        <v>0</v>
      </c>
      <c r="H35" s="90">
        <f>H36</f>
        <v>0</v>
      </c>
      <c r="I35" s="91">
        <f>I36</f>
        <v>0</v>
      </c>
      <c r="J35" s="190">
        <f t="shared" si="32"/>
        <v>0</v>
      </c>
      <c r="K35" s="267"/>
      <c r="L35" s="90">
        <f>L36</f>
        <v>0</v>
      </c>
      <c r="M35" s="90">
        <f>M36</f>
        <v>0</v>
      </c>
      <c r="N35" s="91">
        <f>N36</f>
        <v>0</v>
      </c>
      <c r="O35" s="91"/>
      <c r="P35" s="91"/>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404"/>
      <c r="AF35" s="90">
        <f>AF36</f>
        <v>0</v>
      </c>
      <c r="AG35" s="90">
        <f>AG36</f>
        <v>0</v>
      </c>
      <c r="AH35" s="91">
        <f>AH36</f>
        <v>0</v>
      </c>
      <c r="AI35" s="91">
        <f t="shared" si="4"/>
        <v>0</v>
      </c>
      <c r="AJ35" s="404"/>
      <c r="AK35" s="90">
        <f>AK36</f>
        <v>0</v>
      </c>
      <c r="AL35" s="90">
        <f>AL36</f>
        <v>0</v>
      </c>
      <c r="AM35" s="658">
        <f>AM36</f>
        <v>0</v>
      </c>
      <c r="AN35" s="695">
        <f>AM35/$AH$89</f>
        <v>0</v>
      </c>
      <c r="AO35" s="404"/>
      <c r="AP35" s="90">
        <f>AP36</f>
        <v>0</v>
      </c>
      <c r="AQ35" s="90">
        <f>AQ36</f>
        <v>0</v>
      </c>
      <c r="AR35" s="658">
        <f>AR36</f>
        <v>0</v>
      </c>
      <c r="AS35" s="695" t="e">
        <f t="shared" si="7"/>
        <v>#DIV/0!</v>
      </c>
      <c r="AT35" s="404"/>
      <c r="AU35" s="90">
        <f>AU36</f>
        <v>0</v>
      </c>
      <c r="AV35" s="90">
        <f>AV36</f>
        <v>0</v>
      </c>
      <c r="AW35" s="658">
        <f>AW36</f>
        <v>0</v>
      </c>
      <c r="AX35" s="695">
        <f t="shared" si="8"/>
        <v>0</v>
      </c>
      <c r="AY35" s="404"/>
      <c r="AZ35" s="90">
        <f>AZ36</f>
        <v>0</v>
      </c>
      <c r="BA35" s="90">
        <f>BA36</f>
        <v>0</v>
      </c>
      <c r="BB35" s="658">
        <f>BB36</f>
        <v>0</v>
      </c>
      <c r="BC35" s="695">
        <f t="shared" ref="BC35:BC40" si="39">BB35/$AW$89</f>
        <v>0</v>
      </c>
      <c r="BD35" s="404"/>
      <c r="BE35" s="90">
        <f>BE36</f>
        <v>0</v>
      </c>
      <c r="BF35" s="90">
        <f>BF36</f>
        <v>0</v>
      </c>
      <c r="BG35" s="658">
        <f>BG36</f>
        <v>0</v>
      </c>
      <c r="BH35" s="695">
        <f>BG35/$AW$89</f>
        <v>0</v>
      </c>
      <c r="BI35" s="404"/>
      <c r="BJ35" s="90">
        <f>BJ36</f>
        <v>0</v>
      </c>
      <c r="BK35" s="90">
        <f>BK36</f>
        <v>0</v>
      </c>
      <c r="BL35" s="658">
        <f>BL36</f>
        <v>0</v>
      </c>
      <c r="BM35" s="695">
        <f>BL35/$AW$89</f>
        <v>0</v>
      </c>
      <c r="BN35" s="404"/>
      <c r="BO35" s="90">
        <f>BO36</f>
        <v>0</v>
      </c>
      <c r="BP35" s="90">
        <f>BP36</f>
        <v>0</v>
      </c>
      <c r="BQ35" s="91">
        <f>BQ36</f>
        <v>0</v>
      </c>
      <c r="BR35" s="91"/>
      <c r="BS35" s="91"/>
      <c r="BT35" s="918"/>
      <c r="BU35" s="921">
        <f t="shared" si="30"/>
        <v>0</v>
      </c>
    </row>
    <row r="36" spans="1:73" s="226" customFormat="1" ht="13.8">
      <c r="A36" s="238"/>
      <c r="B36" s="19" t="s">
        <v>81</v>
      </c>
      <c r="C36" s="43">
        <v>2000</v>
      </c>
      <c r="D36" s="49"/>
      <c r="E36" s="106">
        <f>C36+D36</f>
        <v>2000</v>
      </c>
      <c r="F36" s="178">
        <f>E36/$E$89</f>
        <v>1.1399699533331528E-4</v>
      </c>
      <c r="G36" s="97"/>
      <c r="H36" s="45"/>
      <c r="I36" s="41">
        <f>G36+H36*1</f>
        <v>0</v>
      </c>
      <c r="J36" s="178">
        <f t="shared" si="32"/>
        <v>0</v>
      </c>
      <c r="K36" s="265"/>
      <c r="L36" s="39"/>
      <c r="M36" s="39"/>
      <c r="N36" s="106">
        <f>L36+M36*1</f>
        <v>0</v>
      </c>
      <c r="O36" s="178">
        <f>N36/$N$89</f>
        <v>0</v>
      </c>
      <c r="P36" s="45"/>
      <c r="Q36" s="39"/>
      <c r="R36" s="39"/>
      <c r="S36" s="106">
        <f>Q36+R36*1</f>
        <v>0</v>
      </c>
      <c r="T36" s="178">
        <f>S36/$S$89</f>
        <v>0</v>
      </c>
      <c r="U36" s="405"/>
      <c r="V36" s="39"/>
      <c r="W36" s="39"/>
      <c r="X36" s="106">
        <f>V36+W36*1</f>
        <v>0</v>
      </c>
      <c r="Y36" s="178">
        <f>X36/$S$89</f>
        <v>0</v>
      </c>
      <c r="Z36" s="388"/>
      <c r="AA36" s="39"/>
      <c r="AB36" s="39"/>
      <c r="AC36" s="106">
        <f>AA36+AB36*1</f>
        <v>0</v>
      </c>
      <c r="AD36" s="450">
        <f>AC36/$AC$89</f>
        <v>0</v>
      </c>
      <c r="AE36" s="388"/>
      <c r="AF36" s="39"/>
      <c r="AG36" s="39"/>
      <c r="AH36" s="106">
        <f>AF36+AG36*1</f>
        <v>0</v>
      </c>
      <c r="AI36" s="450">
        <f>AH36/$AC$89</f>
        <v>0</v>
      </c>
      <c r="AJ36" s="388"/>
      <c r="AK36" s="39"/>
      <c r="AL36" s="39"/>
      <c r="AM36" s="446">
        <f>AK36+AL36*1</f>
        <v>0</v>
      </c>
      <c r="AN36" s="450" t="e">
        <f>AM36/$AM$89</f>
        <v>#DIV/0!</v>
      </c>
      <c r="AO36" s="388"/>
      <c r="AP36" s="39"/>
      <c r="AQ36" s="39"/>
      <c r="AR36" s="446">
        <f>AP36+AQ36*1</f>
        <v>0</v>
      </c>
      <c r="AS36" s="450" t="e">
        <f t="shared" si="7"/>
        <v>#DIV/0!</v>
      </c>
      <c r="AT36" s="388"/>
      <c r="AU36" s="39"/>
      <c r="AV36" s="39"/>
      <c r="AW36" s="446">
        <f>AU36+AV36*1</f>
        <v>0</v>
      </c>
      <c r="AX36" s="450">
        <f t="shared" si="8"/>
        <v>0</v>
      </c>
      <c r="AY36" s="388"/>
      <c r="AZ36" s="39"/>
      <c r="BA36" s="39"/>
      <c r="BB36" s="446">
        <f>AZ36+BA36*1</f>
        <v>0</v>
      </c>
      <c r="BC36" s="450">
        <f t="shared" si="39"/>
        <v>0</v>
      </c>
      <c r="BD36" s="388"/>
      <c r="BE36" s="39"/>
      <c r="BF36" s="39"/>
      <c r="BG36" s="446">
        <f>BE36+BF36*1</f>
        <v>0</v>
      </c>
      <c r="BH36" s="450">
        <f>BG36/$AW$89</f>
        <v>0</v>
      </c>
      <c r="BI36" s="388"/>
      <c r="BJ36" s="39"/>
      <c r="BK36" s="39"/>
      <c r="BL36" s="446">
        <f>BJ36+BK36*1</f>
        <v>0</v>
      </c>
      <c r="BM36" s="450">
        <f>BL36/$AW$89</f>
        <v>0</v>
      </c>
      <c r="BN36" s="388"/>
      <c r="BO36" s="39">
        <f>G36+L36+Q36+V36+AA36+AF36+AK36+AP36+AU36+AZ36+BE36</f>
        <v>0</v>
      </c>
      <c r="BP36" s="39">
        <f>H36+M36+R36+W36+AB36+AG36+AL36+AQ36+AV36+BA36+BF36</f>
        <v>0</v>
      </c>
      <c r="BQ36" s="106">
        <f>BO36+BP36*1</f>
        <v>0</v>
      </c>
      <c r="BR36" s="178" t="e">
        <f>BQ36/$BQ$89</f>
        <v>#DIV/0!</v>
      </c>
      <c r="BS36" s="45"/>
      <c r="BT36" s="922"/>
      <c r="BU36" s="921">
        <f t="shared" si="30"/>
        <v>0</v>
      </c>
    </row>
    <row r="37" spans="1:73" s="2" customFormat="1" ht="14.4" thickBot="1">
      <c r="A37" s="4"/>
      <c r="B37" s="14"/>
      <c r="C37" s="50"/>
      <c r="D37" s="51"/>
      <c r="E37" s="52"/>
      <c r="F37" s="181"/>
      <c r="G37" s="98"/>
      <c r="H37" s="52"/>
      <c r="I37" s="52"/>
      <c r="J37" s="203">
        <f t="shared" si="32"/>
        <v>0</v>
      </c>
      <c r="K37" s="268"/>
      <c r="L37" s="39"/>
      <c r="M37" s="39"/>
      <c r="N37" s="52"/>
      <c r="O37" s="52"/>
      <c r="P37" s="52"/>
      <c r="Q37" s="39"/>
      <c r="R37" s="39"/>
      <c r="S37" s="52"/>
      <c r="T37" s="52"/>
      <c r="U37" s="64"/>
      <c r="V37" s="39"/>
      <c r="W37" s="39"/>
      <c r="X37" s="52"/>
      <c r="Y37" s="52"/>
      <c r="Z37" s="64"/>
      <c r="AA37" s="39"/>
      <c r="AB37" s="39"/>
      <c r="AC37" s="52"/>
      <c r="AD37" s="52"/>
      <c r="AE37" s="64"/>
      <c r="AF37" s="39"/>
      <c r="AG37" s="39"/>
      <c r="AH37" s="52"/>
      <c r="AI37" s="52"/>
      <c r="AJ37" s="64"/>
      <c r="AK37" s="39"/>
      <c r="AL37" s="39"/>
      <c r="AM37" s="707"/>
      <c r="AN37" s="606"/>
      <c r="AO37" s="64"/>
      <c r="AP37" s="39"/>
      <c r="AQ37" s="39"/>
      <c r="AR37" s="707"/>
      <c r="AS37" s="606" t="e">
        <f t="shared" si="7"/>
        <v>#DIV/0!</v>
      </c>
      <c r="AT37" s="64"/>
      <c r="AU37" s="39"/>
      <c r="AV37" s="39"/>
      <c r="AW37" s="707"/>
      <c r="AX37" s="606">
        <f t="shared" si="8"/>
        <v>0</v>
      </c>
      <c r="AY37" s="64"/>
      <c r="AZ37" s="39"/>
      <c r="BA37" s="39"/>
      <c r="BB37" s="707"/>
      <c r="BC37" s="606"/>
      <c r="BD37" s="64"/>
      <c r="BE37" s="39"/>
      <c r="BF37" s="39"/>
      <c r="BG37" s="707"/>
      <c r="BH37" s="606"/>
      <c r="BI37" s="64"/>
      <c r="BJ37" s="39"/>
      <c r="BK37" s="39"/>
      <c r="BL37" s="707"/>
      <c r="BM37" s="606"/>
      <c r="BN37" s="64"/>
      <c r="BO37" s="39"/>
      <c r="BP37" s="39"/>
      <c r="BQ37" s="52"/>
      <c r="BR37" s="52"/>
      <c r="BS37" s="52"/>
      <c r="BT37" s="919"/>
      <c r="BU37" s="921">
        <f t="shared" si="30"/>
        <v>0</v>
      </c>
    </row>
    <row r="38" spans="1:73" ht="14.4" thickBot="1">
      <c r="A38" s="33"/>
      <c r="B38" s="34" t="s">
        <v>46</v>
      </c>
      <c r="C38" s="53">
        <f>(C5)-(C8)</f>
        <v>4711089.75</v>
      </c>
      <c r="D38" s="53">
        <f>(D5)-(D8)</f>
        <v>-1909639</v>
      </c>
      <c r="E38" s="53">
        <f>(E5)-(E8)</f>
        <v>2801450.75</v>
      </c>
      <c r="F38" s="166"/>
      <c r="G38" s="53">
        <f>(G5)-(G8)</f>
        <v>-564602.42500000005</v>
      </c>
      <c r="H38" s="53">
        <f>(H5)-(H8)</f>
        <v>-86035</v>
      </c>
      <c r="I38" s="53">
        <f>(I5)-(I8)</f>
        <v>-650637.42500000005</v>
      </c>
      <c r="J38" s="191">
        <f t="shared" si="32"/>
        <v>-0.90697876163320235</v>
      </c>
      <c r="K38" s="269"/>
      <c r="L38" s="53">
        <f>(L5)-(L8)</f>
        <v>-520872.49</v>
      </c>
      <c r="M38" s="53">
        <f>(M5)-(M8)</f>
        <v>-170422.34</v>
      </c>
      <c r="N38" s="53">
        <f>(N5)-(N8)</f>
        <v>-691294.83</v>
      </c>
      <c r="O38" s="53"/>
      <c r="P38" s="53"/>
      <c r="Q38" s="53">
        <f>(Q5)-(Q8)</f>
        <v>1143744.9100000006</v>
      </c>
      <c r="R38" s="53">
        <f>(R5)-(R8)</f>
        <v>-123684</v>
      </c>
      <c r="S38" s="53">
        <f>(S5)-(S8)</f>
        <v>1020060.9100000006</v>
      </c>
      <c r="T38" s="53"/>
      <c r="U38" s="406"/>
      <c r="V38" s="53">
        <f>(V5)-(V8)</f>
        <v>3321648.4020000007</v>
      </c>
      <c r="W38" s="53">
        <f>(W5)-(W8)</f>
        <v>-921091.91</v>
      </c>
      <c r="X38" s="53">
        <f>(X5)-(X8)</f>
        <v>2400556.4920000006</v>
      </c>
      <c r="Y38" s="53"/>
      <c r="Z38" s="406"/>
      <c r="AA38" s="53">
        <f>(AA5)-(AA8)</f>
        <v>129702.47200000053</v>
      </c>
      <c r="AB38" s="53">
        <f>(AB5)-(AB8)</f>
        <v>-417166.5</v>
      </c>
      <c r="AC38" s="53">
        <f>(AC5)-(AC8)</f>
        <v>-287464.02799999947</v>
      </c>
      <c r="AD38" s="53"/>
      <c r="AE38" s="406"/>
      <c r="AF38" s="53">
        <f>(AF5)-(AF8)</f>
        <v>84570.264000000199</v>
      </c>
      <c r="AG38" s="53">
        <f>(AG5)-(AG8)</f>
        <v>-197544.03999999998</v>
      </c>
      <c r="AH38" s="53">
        <f>(AH5)-(AH8)</f>
        <v>-112973.77599999984</v>
      </c>
      <c r="AI38" s="53"/>
      <c r="AJ38" s="406"/>
      <c r="AK38" s="53">
        <f>(AK5)-(AK8)</f>
        <v>174723.84199999995</v>
      </c>
      <c r="AL38" s="53">
        <f>(AL5)-(AL8)</f>
        <v>-187128.5</v>
      </c>
      <c r="AM38" s="648">
        <f>(AM5)-(AM8)</f>
        <v>-12404.658000000054</v>
      </c>
      <c r="AN38" s="696"/>
      <c r="AO38" s="406"/>
      <c r="AP38" s="53">
        <f>(AP5)-(AP8)</f>
        <v>-129.45599999999999</v>
      </c>
      <c r="AQ38" s="53">
        <f>(AQ5)-(AQ8)</f>
        <v>-68836</v>
      </c>
      <c r="AR38" s="648">
        <f>(AR5)-(AR8)</f>
        <v>-68965.456000000006</v>
      </c>
      <c r="AS38" s="696" t="e">
        <f t="shared" si="7"/>
        <v>#DIV/0!</v>
      </c>
      <c r="AT38" s="406"/>
      <c r="AU38" s="53">
        <f>(AU5)-(AU8)</f>
        <v>-2420.067</v>
      </c>
      <c r="AV38" s="53">
        <f>(AV5)-(AV8)</f>
        <v>-1600</v>
      </c>
      <c r="AW38" s="648">
        <f>(AW5)-(AW8)</f>
        <v>-4020.067</v>
      </c>
      <c r="AX38" s="696">
        <f t="shared" si="8"/>
        <v>-0.95082527081689261</v>
      </c>
      <c r="AY38" s="406"/>
      <c r="AZ38" s="53">
        <f>(AZ5)-(AZ8)</f>
        <v>290120.00199999998</v>
      </c>
      <c r="BA38" s="53">
        <f>(BA5)-(BA8)</f>
        <v>-17652.8</v>
      </c>
      <c r="BB38" s="648">
        <f>(BB5)-(BB8)</f>
        <v>272467.20199999999</v>
      </c>
      <c r="BC38" s="696">
        <f t="shared" si="39"/>
        <v>64.443876465335265</v>
      </c>
      <c r="BD38" s="406"/>
      <c r="BE38" s="53">
        <f>(BE5)-(BE8)</f>
        <v>0</v>
      </c>
      <c r="BF38" s="53">
        <f>(BF5)-(BF8)</f>
        <v>0</v>
      </c>
      <c r="BG38" s="648">
        <f>(BG5)-(BG8)</f>
        <v>0</v>
      </c>
      <c r="BH38" s="696">
        <f>BG38/$AW$89</f>
        <v>0</v>
      </c>
      <c r="BI38" s="406"/>
      <c r="BJ38" s="53">
        <f>(BJ5)-(BJ8)</f>
        <v>0</v>
      </c>
      <c r="BK38" s="53">
        <f>(BK5)-(BK8)</f>
        <v>0</v>
      </c>
      <c r="BL38" s="648">
        <f>(BL5)-(BL8)</f>
        <v>0</v>
      </c>
      <c r="BM38" s="696">
        <f>BL38/$AW$89</f>
        <v>0</v>
      </c>
      <c r="BN38" s="406"/>
      <c r="BO38" s="53">
        <f>(BO5)-(BO8)</f>
        <v>4056485.4539999962</v>
      </c>
      <c r="BP38" s="53">
        <f>(BP5)-(BP8)</f>
        <v>-2191161.0900000003</v>
      </c>
      <c r="BQ38" s="53">
        <f>(BQ5)-(BQ8)</f>
        <v>1865324.3640000001</v>
      </c>
      <c r="BR38" s="53"/>
      <c r="BS38" s="53"/>
      <c r="BU38" s="921">
        <f t="shared" si="30"/>
        <v>1865324.3640000001</v>
      </c>
    </row>
    <row r="39" spans="1:73" ht="13.8">
      <c r="A39" s="293"/>
      <c r="B39" s="15" t="s">
        <v>47</v>
      </c>
      <c r="C39" s="157">
        <f>C38/(C5)</f>
        <v>0.24470108366077689</v>
      </c>
      <c r="D39" s="157" t="e">
        <f>D38/(D5)</f>
        <v>#DIV/0!</v>
      </c>
      <c r="E39" s="158">
        <f>E38/(E5)</f>
        <v>0.14551156329537049</v>
      </c>
      <c r="F39" s="167"/>
      <c r="G39" s="157" t="e">
        <f>G38/(G5)</f>
        <v>#DIV/0!</v>
      </c>
      <c r="H39" s="157" t="e">
        <f>H38/(H5)</f>
        <v>#DIV/0!</v>
      </c>
      <c r="I39" s="158" t="e">
        <f>I38/(I5)</f>
        <v>#DIV/0!</v>
      </c>
      <c r="J39" s="192" t="e">
        <f t="shared" si="32"/>
        <v>#DIV/0!</v>
      </c>
      <c r="K39" s="270"/>
      <c r="L39" s="54" t="e">
        <f>L38/(L5)</f>
        <v>#DIV/0!</v>
      </c>
      <c r="M39" s="54" t="e">
        <f>M38/(M5)</f>
        <v>#DIV/0!</v>
      </c>
      <c r="N39" s="55" t="e">
        <f>N38/(N5)</f>
        <v>#DIV/0!</v>
      </c>
      <c r="O39" s="55"/>
      <c r="P39" s="55"/>
      <c r="Q39" s="54">
        <f>Q38/(Q5)</f>
        <v>0.22535036852963369</v>
      </c>
      <c r="R39" s="54" t="e">
        <f>R38/(R5)</f>
        <v>#DIV/0!</v>
      </c>
      <c r="S39" s="55">
        <f>S38/(S5)</f>
        <v>0.20098109288300442</v>
      </c>
      <c r="T39" s="55"/>
      <c r="U39" s="407"/>
      <c r="V39" s="54">
        <f>V38/(V5)</f>
        <v>0.39774490189135586</v>
      </c>
      <c r="W39" s="54" t="e">
        <f>W38/(W5)</f>
        <v>#DIV/0!</v>
      </c>
      <c r="X39" s="55">
        <f>X38/(X5)</f>
        <v>0.28745038331579487</v>
      </c>
      <c r="Y39" s="55"/>
      <c r="Z39" s="407"/>
      <c r="AA39" s="54">
        <f>AA38/(AA5)</f>
        <v>3.8282844605416158E-2</v>
      </c>
      <c r="AB39" s="54" t="e">
        <f>AB38/(AB5)</f>
        <v>#DIV/0!</v>
      </c>
      <c r="AC39" s="55">
        <f>AC38/(AC5)</f>
        <v>-8.4847578799970236E-2</v>
      </c>
      <c r="AD39" s="55"/>
      <c r="AE39" s="407"/>
      <c r="AF39" s="54">
        <f>AF38/(AF5)</f>
        <v>6.37771531117024E-2</v>
      </c>
      <c r="AG39" s="54" t="e">
        <f>AG38/(AG5)</f>
        <v>#DIV/0!</v>
      </c>
      <c r="AH39" s="55">
        <f>AH38/(AH5)</f>
        <v>-8.5197154044111087E-2</v>
      </c>
      <c r="AI39" s="55"/>
      <c r="AJ39" s="407"/>
      <c r="AK39" s="54">
        <f>AK38/(AK5)</f>
        <v>0.16448704813009063</v>
      </c>
      <c r="AL39" s="54" t="e">
        <f>AL38/(AL5)</f>
        <v>#DIV/0!</v>
      </c>
      <c r="AM39" s="660">
        <f>AM38/(AM5)</f>
        <v>-1.1677888684953043E-2</v>
      </c>
      <c r="AN39" s="697"/>
      <c r="AO39" s="407"/>
      <c r="AP39" s="54" t="e">
        <f>AP38/(AP5)</f>
        <v>#DIV/0!</v>
      </c>
      <c r="AQ39" s="54" t="e">
        <f>AQ38/(AQ5)</f>
        <v>#DIV/0!</v>
      </c>
      <c r="AR39" s="660" t="e">
        <f>AR38/(AR5)</f>
        <v>#DIV/0!</v>
      </c>
      <c r="AS39" s="697" t="e">
        <f t="shared" si="7"/>
        <v>#DIV/0!</v>
      </c>
      <c r="AT39" s="407"/>
      <c r="AU39" s="54" t="e">
        <f>AU38/(AU5)</f>
        <v>#DIV/0!</v>
      </c>
      <c r="AV39" s="54" t="e">
        <f>AV38/(AV5)</f>
        <v>#DIV/0!</v>
      </c>
      <c r="AW39" s="660" t="e">
        <f>AW38/(AW5)</f>
        <v>#DIV/0!</v>
      </c>
      <c r="AX39" s="697" t="e">
        <f t="shared" si="8"/>
        <v>#DIV/0!</v>
      </c>
      <c r="AY39" s="407"/>
      <c r="AZ39" s="54">
        <f>AZ38/(AZ5)</f>
        <v>0.49788583350235854</v>
      </c>
      <c r="BA39" s="54" t="e">
        <f>BA38/(BA5)</f>
        <v>#DIV/0!</v>
      </c>
      <c r="BB39" s="660">
        <f>BB38/(BB5)</f>
        <v>0.46759120031243312</v>
      </c>
      <c r="BC39" s="697">
        <f t="shared" si="39"/>
        <v>1.1059455717247128E-4</v>
      </c>
      <c r="BD39" s="407"/>
      <c r="BE39" s="54" t="e">
        <f>BE38/(BE5)</f>
        <v>#DIV/0!</v>
      </c>
      <c r="BF39" s="54" t="e">
        <f>BF38/(BF5)</f>
        <v>#DIV/0!</v>
      </c>
      <c r="BG39" s="660" t="e">
        <f>BG38/(BG5)</f>
        <v>#DIV/0!</v>
      </c>
      <c r="BH39" s="697" t="e">
        <f>BG39/$AW$89</f>
        <v>#DIV/0!</v>
      </c>
      <c r="BI39" s="407"/>
      <c r="BJ39" s="54" t="e">
        <f>BJ38/(BJ5)</f>
        <v>#DIV/0!</v>
      </c>
      <c r="BK39" s="54" t="e">
        <f>BK38/(BK5)</f>
        <v>#DIV/0!</v>
      </c>
      <c r="BL39" s="660" t="e">
        <f>BL38/(BL5)</f>
        <v>#DIV/0!</v>
      </c>
      <c r="BM39" s="697" t="e">
        <f>BL39/$AW$89</f>
        <v>#DIV/0!</v>
      </c>
      <c r="BN39" s="407"/>
      <c r="BO39" s="54">
        <f>BO38/(BO5)</f>
        <v>0.20502230183130524</v>
      </c>
      <c r="BP39" s="54" t="e">
        <f>BP38/(BP5)</f>
        <v>#DIV/0!</v>
      </c>
      <c r="BQ39" s="55">
        <f>BQ38/(BQ5)</f>
        <v>9.4276954547485928E-2</v>
      </c>
      <c r="BR39" s="55"/>
      <c r="BS39" s="55"/>
      <c r="BU39" s="921">
        <f t="shared" si="30"/>
        <v>9.4276954547485928E-2</v>
      </c>
    </row>
    <row r="40" spans="1:73" ht="14.4" thickBot="1">
      <c r="A40" s="295"/>
      <c r="B40" s="16"/>
      <c r="C40" s="56"/>
      <c r="D40" s="57"/>
      <c r="E40" s="58"/>
      <c r="F40" s="168"/>
      <c r="G40" s="80"/>
      <c r="H40" s="80"/>
      <c r="I40" s="80"/>
      <c r="J40" s="193">
        <f t="shared" si="32"/>
        <v>0</v>
      </c>
      <c r="K40" s="271"/>
      <c r="L40" s="58"/>
      <c r="M40" s="58"/>
      <c r="N40" s="58"/>
      <c r="O40" s="58"/>
      <c r="P40" s="58"/>
      <c r="Q40" s="58"/>
      <c r="R40" s="58"/>
      <c r="S40" s="58"/>
      <c r="T40" s="58"/>
      <c r="U40" s="408"/>
      <c r="V40" s="58"/>
      <c r="W40" s="58"/>
      <c r="X40" s="58"/>
      <c r="Y40" s="58"/>
      <c r="Z40" s="408"/>
      <c r="AA40" s="58"/>
      <c r="AB40" s="58"/>
      <c r="AC40" s="58"/>
      <c r="AD40" s="58"/>
      <c r="AE40" s="408"/>
      <c r="AF40" s="58"/>
      <c r="AG40" s="58"/>
      <c r="AH40" s="58"/>
      <c r="AI40" s="58"/>
      <c r="AJ40" s="408"/>
      <c r="AK40" s="58"/>
      <c r="AL40" s="58"/>
      <c r="AM40" s="662"/>
      <c r="AN40" s="649"/>
      <c r="AO40" s="408"/>
      <c r="AP40" s="58"/>
      <c r="AQ40" s="58"/>
      <c r="AR40" s="662"/>
      <c r="AS40" s="649" t="e">
        <f t="shared" si="7"/>
        <v>#DIV/0!</v>
      </c>
      <c r="AT40" s="408"/>
      <c r="AU40" s="58"/>
      <c r="AV40" s="58"/>
      <c r="AW40" s="662"/>
      <c r="AX40" s="649">
        <f t="shared" si="8"/>
        <v>0</v>
      </c>
      <c r="AY40" s="408"/>
      <c r="AZ40" s="58"/>
      <c r="BA40" s="58"/>
      <c r="BB40" s="662"/>
      <c r="BC40" s="649">
        <f t="shared" si="39"/>
        <v>0</v>
      </c>
      <c r="BD40" s="408"/>
      <c r="BE40" s="58"/>
      <c r="BF40" s="58"/>
      <c r="BG40" s="662"/>
      <c r="BH40" s="649">
        <f>BG40/$AW$89</f>
        <v>0</v>
      </c>
      <c r="BI40" s="408"/>
      <c r="BJ40" s="58"/>
      <c r="BK40" s="58"/>
      <c r="BL40" s="662"/>
      <c r="BM40" s="649">
        <f>BL40/$AW$89</f>
        <v>0</v>
      </c>
      <c r="BN40" s="408"/>
      <c r="BO40" s="58"/>
      <c r="BP40" s="58"/>
      <c r="BQ40" s="58"/>
      <c r="BR40" s="58"/>
      <c r="BS40" s="58"/>
      <c r="BU40" s="921">
        <f t="shared" si="30"/>
        <v>0</v>
      </c>
    </row>
    <row r="41" spans="1:73" ht="13.8">
      <c r="A41" s="11"/>
      <c r="B41" s="22" t="s">
        <v>26</v>
      </c>
      <c r="C41" s="117">
        <f>SUM(C42:C48)</f>
        <v>38200</v>
      </c>
      <c r="D41" s="117">
        <f>SUM(D42:D48)</f>
        <v>4600</v>
      </c>
      <c r="E41" s="118">
        <f>SUM(E42:E48)</f>
        <v>42800</v>
      </c>
      <c r="F41" s="169">
        <f t="shared" ref="F41:F48" si="40">E41/$E$89</f>
        <v>2.4395357001329469E-3</v>
      </c>
      <c r="G41" s="117">
        <f>SUM(G42:G48)</f>
        <v>4330.0200000000004</v>
      </c>
      <c r="H41" s="117">
        <f>SUM(H42:H48)</f>
        <v>300</v>
      </c>
      <c r="I41" s="118">
        <f>SUM(I42:I48)</f>
        <v>4630.0200000000004</v>
      </c>
      <c r="J41" s="169">
        <f t="shared" si="32"/>
        <v>6.4541780791920475E-3</v>
      </c>
      <c r="K41" s="272"/>
      <c r="L41" s="117">
        <f>SUM(L42:L48)</f>
        <v>1712.91</v>
      </c>
      <c r="M41" s="117">
        <f>SUM(M42:M48)</f>
        <v>0</v>
      </c>
      <c r="N41" s="118">
        <f>SUM(N42:N48)</f>
        <v>1712.91</v>
      </c>
      <c r="O41" s="169">
        <f t="shared" ref="O41:O49" si="41">N41/$N$89</f>
        <v>2.3130765993371431E-3</v>
      </c>
      <c r="P41" s="60"/>
      <c r="Q41" s="117">
        <f>SUM(Q42:Q48)</f>
        <v>5180.33</v>
      </c>
      <c r="R41" s="117">
        <f>SUM(R42:R48)</f>
        <v>702</v>
      </c>
      <c r="S41" s="118">
        <f>SUM(S42:S48)</f>
        <v>5882.33</v>
      </c>
      <c r="T41" s="169">
        <f>S41/$S$89</f>
        <v>1.4322241708542541E-3</v>
      </c>
      <c r="U41" s="409"/>
      <c r="V41" s="117">
        <f>SUM(V42:V48)</f>
        <v>3328.38</v>
      </c>
      <c r="W41" s="117">
        <f>SUM(W42:W48)</f>
        <v>0</v>
      </c>
      <c r="X41" s="118">
        <f>SUM(X42:X48)</f>
        <v>3328.38</v>
      </c>
      <c r="Y41" s="169">
        <f>X41/$X$89</f>
        <v>5.4362794874073406E-4</v>
      </c>
      <c r="Z41" s="409"/>
      <c r="AA41" s="117">
        <f>SUM(AA42:AA48)</f>
        <v>8859.0239999999994</v>
      </c>
      <c r="AB41" s="117">
        <f>SUM(AB42:AB48)</f>
        <v>740</v>
      </c>
      <c r="AC41" s="118">
        <f>SUM(AC42:AC48)</f>
        <v>9599.0239999999994</v>
      </c>
      <c r="AD41" s="169">
        <f>AC41/$AC$89</f>
        <v>2.5496010167048635E-3</v>
      </c>
      <c r="AE41" s="409"/>
      <c r="AF41" s="117">
        <f>SUM(AF42:AF48)</f>
        <v>4054.4</v>
      </c>
      <c r="AG41" s="117">
        <f>SUM(AG42:AG48)</f>
        <v>300</v>
      </c>
      <c r="AH41" s="118">
        <f>SUM(AH42:AH48)</f>
        <v>4354.3999999999996</v>
      </c>
      <c r="AI41" s="169">
        <f t="shared" ref="AI41:AI52" si="42">AH41/$AH$89</f>
        <v>2.8975788910004501E-3</v>
      </c>
      <c r="AJ41" s="409"/>
      <c r="AK41" s="117">
        <f>SUM(AK42:AK48)</f>
        <v>10473.25</v>
      </c>
      <c r="AL41" s="117">
        <f>SUM(AL42:AL48)</f>
        <v>0</v>
      </c>
      <c r="AM41" s="663">
        <f>SUM(AM42:AM48)</f>
        <v>10473.25</v>
      </c>
      <c r="AN41" s="664" t="e">
        <f t="shared" ref="AN41:AN52" si="43">AM41/$AM$89</f>
        <v>#DIV/0!</v>
      </c>
      <c r="AO41" s="409"/>
      <c r="AP41" s="117">
        <f>SUM(AP42:AP48)</f>
        <v>205.5</v>
      </c>
      <c r="AQ41" s="117">
        <f>SUM(AQ42:AQ48)</f>
        <v>0</v>
      </c>
      <c r="AR41" s="663">
        <f>SUM(AR42:AR48)</f>
        <v>205.5</v>
      </c>
      <c r="AS41" s="664" t="e">
        <f t="shared" si="7"/>
        <v>#DIV/0!</v>
      </c>
      <c r="AT41" s="409"/>
      <c r="AU41" s="117">
        <f>SUM(AU42:AU48)</f>
        <v>0</v>
      </c>
      <c r="AV41" s="117">
        <f>SUM(AV42:AV48)</f>
        <v>0</v>
      </c>
      <c r="AW41" s="663">
        <f>SUM(AW42:AW48)</f>
        <v>0</v>
      </c>
      <c r="AX41" s="664">
        <f t="shared" si="8"/>
        <v>0</v>
      </c>
      <c r="AY41" s="409"/>
      <c r="AZ41" s="117">
        <f>SUM(AZ42:AZ48)</f>
        <v>75</v>
      </c>
      <c r="BA41" s="117">
        <f>SUM(BA42:BA48)</f>
        <v>0</v>
      </c>
      <c r="BB41" s="663">
        <f>SUM(BB42:BB48)</f>
        <v>75</v>
      </c>
      <c r="BC41" s="664" t="e">
        <f t="shared" ref="BC41:BC72" si="44">BB41/$BB$89</f>
        <v>#DIV/0!</v>
      </c>
      <c r="BD41" s="409"/>
      <c r="BE41" s="117">
        <f>SUM(BE42:BE48)</f>
        <v>0</v>
      </c>
      <c r="BF41" s="117">
        <f>SUM(BF42:BF48)</f>
        <v>0</v>
      </c>
      <c r="BG41" s="663">
        <f>SUM(BG42:BG48)</f>
        <v>0</v>
      </c>
      <c r="BH41" s="664" t="e">
        <f t="shared" ref="BH41:BH72" si="45">BG41/$BB$89</f>
        <v>#DIV/0!</v>
      </c>
      <c r="BI41" s="409"/>
      <c r="BJ41" s="117">
        <f>SUM(BJ42:BJ48)</f>
        <v>0</v>
      </c>
      <c r="BK41" s="117">
        <f>SUM(BK42:BK48)</f>
        <v>0</v>
      </c>
      <c r="BL41" s="663">
        <f>SUM(BL42:BL48)</f>
        <v>0</v>
      </c>
      <c r="BM41" s="664" t="e">
        <f t="shared" ref="BM41:BM72" si="46">BL41/$BB$89</f>
        <v>#DIV/0!</v>
      </c>
      <c r="BN41" s="409"/>
      <c r="BO41" s="117">
        <f>SUM(BO42:BO48)</f>
        <v>38218.813999999998</v>
      </c>
      <c r="BP41" s="117">
        <f>SUM(BP42:BP48)</f>
        <v>2042</v>
      </c>
      <c r="BQ41" s="118">
        <f>SUM(BQ42:BQ48)</f>
        <v>40260.813999999998</v>
      </c>
      <c r="BR41" s="169" t="e">
        <f t="shared" ref="BR41:BR49" si="47">BQ41/$BQ$89</f>
        <v>#DIV/0!</v>
      </c>
      <c r="BS41" s="60"/>
      <c r="BU41" s="921">
        <f t="shared" si="30"/>
        <v>40260.813999999998</v>
      </c>
    </row>
    <row r="42" spans="1:73" ht="13.8">
      <c r="A42" s="4833"/>
      <c r="B42" s="18" t="s">
        <v>7</v>
      </c>
      <c r="C42" s="113"/>
      <c r="D42" s="119"/>
      <c r="E42" s="120">
        <f t="shared" ref="E42:E48" si="48">C42+D42</f>
        <v>0</v>
      </c>
      <c r="F42" s="178">
        <f t="shared" si="40"/>
        <v>0</v>
      </c>
      <c r="G42" s="78"/>
      <c r="H42" s="103"/>
      <c r="I42" s="41">
        <f t="shared" ref="I42:I48" si="49">G42+H42*1</f>
        <v>0</v>
      </c>
      <c r="J42" s="178">
        <f t="shared" si="32"/>
        <v>0</v>
      </c>
      <c r="K42" s="265"/>
      <c r="L42" s="39"/>
      <c r="M42" s="39"/>
      <c r="N42" s="106">
        <f t="shared" ref="N42:N48" si="50">L42+M42*1</f>
        <v>0</v>
      </c>
      <c r="O42" s="178">
        <f t="shared" si="41"/>
        <v>0</v>
      </c>
      <c r="P42" s="79"/>
      <c r="Q42" s="39"/>
      <c r="R42" s="39"/>
      <c r="S42" s="106">
        <f t="shared" ref="S42:S48" si="51">Q42+R42*1</f>
        <v>0</v>
      </c>
      <c r="T42" s="178">
        <f t="shared" ref="T42:T49" si="52">S42/$S$89</f>
        <v>0</v>
      </c>
      <c r="U42" s="259"/>
      <c r="V42" s="39"/>
      <c r="W42" s="39"/>
      <c r="X42" s="106">
        <f t="shared" ref="X42:X48" si="53">V42+W42*1</f>
        <v>0</v>
      </c>
      <c r="Y42" s="178">
        <f t="shared" ref="Y42:Y52" si="54">X42/$X$89</f>
        <v>0</v>
      </c>
      <c r="Z42" s="388"/>
      <c r="AA42" s="39"/>
      <c r="AB42" s="39"/>
      <c r="AC42" s="106">
        <f t="shared" ref="AC42:AC48" si="55">AA42+AB42*1</f>
        <v>0</v>
      </c>
      <c r="AD42" s="450">
        <f t="shared" ref="AD42:AD49" si="56">AC42/$AC$89</f>
        <v>0</v>
      </c>
      <c r="AE42" s="388"/>
      <c r="AF42" s="39"/>
      <c r="AG42" s="39"/>
      <c r="AH42" s="106">
        <f t="shared" ref="AH42:AH48" si="57">AF42+AG42*1</f>
        <v>0</v>
      </c>
      <c r="AI42" s="450">
        <f t="shared" si="42"/>
        <v>0</v>
      </c>
      <c r="AJ42" s="388"/>
      <c r="AK42" s="39"/>
      <c r="AL42" s="39"/>
      <c r="AM42" s="446">
        <f t="shared" ref="AM42:AM48" si="58">AK42+AL42*1</f>
        <v>0</v>
      </c>
      <c r="AN42" s="450" t="e">
        <f t="shared" si="43"/>
        <v>#DIV/0!</v>
      </c>
      <c r="AO42" s="388"/>
      <c r="AP42" s="39"/>
      <c r="AQ42" s="39"/>
      <c r="AR42" s="446">
        <f t="shared" ref="AR42:AR48" si="59">AP42+AQ42*1</f>
        <v>0</v>
      </c>
      <c r="AS42" s="450" t="e">
        <f t="shared" si="7"/>
        <v>#DIV/0!</v>
      </c>
      <c r="AT42" s="388"/>
      <c r="AU42" s="39"/>
      <c r="AV42" s="39"/>
      <c r="AW42" s="446">
        <f t="shared" ref="AW42:AW48" si="60">AU42+AV42*1</f>
        <v>0</v>
      </c>
      <c r="AX42" s="450">
        <f t="shared" si="8"/>
        <v>0</v>
      </c>
      <c r="AY42" s="388"/>
      <c r="AZ42" s="39"/>
      <c r="BA42" s="39"/>
      <c r="BB42" s="446">
        <f t="shared" ref="BB42:BB48" si="61">AZ42+BA42*1</f>
        <v>0</v>
      </c>
      <c r="BC42" s="450" t="e">
        <f t="shared" si="44"/>
        <v>#DIV/0!</v>
      </c>
      <c r="BD42" s="388"/>
      <c r="BE42" s="39"/>
      <c r="BF42" s="39"/>
      <c r="BG42" s="446">
        <f t="shared" ref="BG42:BG48" si="62">BE42+BF42*1</f>
        <v>0</v>
      </c>
      <c r="BH42" s="450" t="e">
        <f t="shared" si="45"/>
        <v>#DIV/0!</v>
      </c>
      <c r="BI42" s="388"/>
      <c r="BJ42" s="39"/>
      <c r="BK42" s="39"/>
      <c r="BL42" s="446">
        <f t="shared" ref="BL42:BL48" si="63">BJ42+BK42*1</f>
        <v>0</v>
      </c>
      <c r="BM42" s="450" t="e">
        <f t="shared" si="46"/>
        <v>#DIV/0!</v>
      </c>
      <c r="BN42" s="388"/>
      <c r="BO42" s="39">
        <f t="shared" ref="BO42:BO48" si="64">G42+L42+Q42+V42+AA42+AF42+AK42+AP42+AU42+AZ42+BE42+BJ42</f>
        <v>0</v>
      </c>
      <c r="BP42" s="39">
        <f t="shared" ref="BP42:BP48" si="65">H42+M42+R42+W42+AB42+AG42+AL42+AQ42+AV42+BA42+BF42+BK42</f>
        <v>0</v>
      </c>
      <c r="BQ42" s="106">
        <f t="shared" ref="BQ42:BQ48" si="66">BO42+BP42*1</f>
        <v>0</v>
      </c>
      <c r="BR42" s="178" t="e">
        <f t="shared" si="47"/>
        <v>#DIV/0!</v>
      </c>
      <c r="BS42" s="79"/>
      <c r="BU42" s="921">
        <f t="shared" si="30"/>
        <v>0</v>
      </c>
    </row>
    <row r="43" spans="1:73" ht="13.8">
      <c r="A43" s="4833"/>
      <c r="B43" s="18" t="s">
        <v>27</v>
      </c>
      <c r="C43" s="113">
        <v>0</v>
      </c>
      <c r="D43" s="119">
        <v>4000</v>
      </c>
      <c r="E43" s="120">
        <f t="shared" si="48"/>
        <v>4000</v>
      </c>
      <c r="F43" s="178">
        <f t="shared" si="40"/>
        <v>2.2799399066663055E-4</v>
      </c>
      <c r="G43" s="78"/>
      <c r="H43" s="103">
        <v>300</v>
      </c>
      <c r="I43" s="41">
        <f t="shared" si="49"/>
        <v>300</v>
      </c>
      <c r="J43" s="178">
        <f t="shared" si="32"/>
        <v>4.1819547728899961E-4</v>
      </c>
      <c r="K43" s="368" t="s">
        <v>394</v>
      </c>
      <c r="L43" s="39"/>
      <c r="M43" s="39"/>
      <c r="N43" s="106">
        <f t="shared" si="50"/>
        <v>0</v>
      </c>
      <c r="O43" s="178">
        <f t="shared" si="41"/>
        <v>0</v>
      </c>
      <c r="P43" s="79"/>
      <c r="Q43" s="39"/>
      <c r="R43" s="39">
        <v>702</v>
      </c>
      <c r="S43" s="106">
        <f t="shared" si="51"/>
        <v>702</v>
      </c>
      <c r="T43" s="178">
        <f t="shared" si="52"/>
        <v>1.7092229914671337E-4</v>
      </c>
      <c r="U43" s="415" t="s">
        <v>604</v>
      </c>
      <c r="V43" s="39"/>
      <c r="W43" s="39"/>
      <c r="X43" s="106">
        <f t="shared" si="53"/>
        <v>0</v>
      </c>
      <c r="Y43" s="178">
        <f t="shared" si="54"/>
        <v>0</v>
      </c>
      <c r="Z43" s="388" t="s">
        <v>604</v>
      </c>
      <c r="AA43" s="39"/>
      <c r="AB43" s="39">
        <v>740</v>
      </c>
      <c r="AC43" s="106">
        <f t="shared" si="55"/>
        <v>740</v>
      </c>
      <c r="AD43" s="450">
        <f t="shared" si="56"/>
        <v>1.9655172779665925E-4</v>
      </c>
      <c r="AE43" s="388"/>
      <c r="AF43" s="39"/>
      <c r="AG43" s="39"/>
      <c r="AH43" s="106">
        <f t="shared" si="57"/>
        <v>0</v>
      </c>
      <c r="AI43" s="450">
        <f t="shared" si="42"/>
        <v>0</v>
      </c>
      <c r="AJ43" s="388"/>
      <c r="AK43" s="39"/>
      <c r="AL43" s="39"/>
      <c r="AM43" s="446">
        <f t="shared" si="58"/>
        <v>0</v>
      </c>
      <c r="AN43" s="450" t="e">
        <f t="shared" si="43"/>
        <v>#DIV/0!</v>
      </c>
      <c r="AO43" s="388"/>
      <c r="AP43" s="39"/>
      <c r="AQ43" s="39"/>
      <c r="AR43" s="446">
        <f t="shared" si="59"/>
        <v>0</v>
      </c>
      <c r="AS43" s="450" t="e">
        <f t="shared" si="7"/>
        <v>#DIV/0!</v>
      </c>
      <c r="AT43" s="388"/>
      <c r="AU43" s="39"/>
      <c r="AV43" s="39"/>
      <c r="AW43" s="446">
        <f t="shared" si="60"/>
        <v>0</v>
      </c>
      <c r="AX43" s="450">
        <f t="shared" si="8"/>
        <v>0</v>
      </c>
      <c r="AY43" s="388"/>
      <c r="AZ43" s="39"/>
      <c r="BA43" s="39"/>
      <c r="BB43" s="446">
        <f t="shared" si="61"/>
        <v>0</v>
      </c>
      <c r="BC43" s="450" t="e">
        <f t="shared" si="44"/>
        <v>#DIV/0!</v>
      </c>
      <c r="BD43" s="388"/>
      <c r="BE43" s="39"/>
      <c r="BF43" s="39"/>
      <c r="BG43" s="446">
        <f t="shared" si="62"/>
        <v>0</v>
      </c>
      <c r="BH43" s="450" t="e">
        <f t="shared" si="45"/>
        <v>#DIV/0!</v>
      </c>
      <c r="BI43" s="388"/>
      <c r="BJ43" s="39"/>
      <c r="BK43" s="39"/>
      <c r="BL43" s="446">
        <f t="shared" si="63"/>
        <v>0</v>
      </c>
      <c r="BM43" s="450" t="e">
        <f t="shared" si="46"/>
        <v>#DIV/0!</v>
      </c>
      <c r="BN43" s="388"/>
      <c r="BO43" s="39">
        <f t="shared" si="64"/>
        <v>0</v>
      </c>
      <c r="BP43" s="39">
        <f t="shared" si="65"/>
        <v>1742</v>
      </c>
      <c r="BQ43" s="106">
        <f t="shared" si="66"/>
        <v>1742</v>
      </c>
      <c r="BR43" s="178" t="e">
        <f t="shared" si="47"/>
        <v>#DIV/0!</v>
      </c>
      <c r="BS43" s="79"/>
      <c r="BT43" s="77">
        <v>1742</v>
      </c>
      <c r="BU43" s="921">
        <f t="shared" si="30"/>
        <v>0</v>
      </c>
    </row>
    <row r="44" spans="1:73" ht="13.8">
      <c r="A44" s="4833"/>
      <c r="B44" s="19" t="s">
        <v>28</v>
      </c>
      <c r="C44" s="113"/>
      <c r="D44" s="119">
        <v>600</v>
      </c>
      <c r="E44" s="120">
        <f t="shared" si="48"/>
        <v>600</v>
      </c>
      <c r="F44" s="178">
        <f t="shared" si="40"/>
        <v>3.4199098599994579E-5</v>
      </c>
      <c r="G44" s="78"/>
      <c r="H44" s="103"/>
      <c r="I44" s="41">
        <f t="shared" si="49"/>
        <v>0</v>
      </c>
      <c r="J44" s="178">
        <f t="shared" si="32"/>
        <v>0</v>
      </c>
      <c r="K44" s="291"/>
      <c r="L44" s="39"/>
      <c r="M44" s="39"/>
      <c r="N44" s="106">
        <f t="shared" si="50"/>
        <v>0</v>
      </c>
      <c r="O44" s="178">
        <f t="shared" si="41"/>
        <v>0</v>
      </c>
      <c r="P44" s="79"/>
      <c r="Q44" s="39"/>
      <c r="R44" s="39"/>
      <c r="S44" s="106">
        <f t="shared" si="51"/>
        <v>0</v>
      </c>
      <c r="T44" s="178">
        <f t="shared" si="52"/>
        <v>0</v>
      </c>
      <c r="U44" s="259"/>
      <c r="V44" s="39"/>
      <c r="W44" s="39"/>
      <c r="X44" s="106">
        <f t="shared" si="53"/>
        <v>0</v>
      </c>
      <c r="Y44" s="178">
        <f t="shared" si="54"/>
        <v>0</v>
      </c>
      <c r="Z44" s="388"/>
      <c r="AA44" s="39"/>
      <c r="AB44" s="39"/>
      <c r="AC44" s="106">
        <f t="shared" si="55"/>
        <v>0</v>
      </c>
      <c r="AD44" s="450">
        <f t="shared" si="56"/>
        <v>0</v>
      </c>
      <c r="AE44" s="388"/>
      <c r="AF44" s="39"/>
      <c r="AG44" s="39">
        <v>300</v>
      </c>
      <c r="AH44" s="106">
        <f t="shared" si="57"/>
        <v>300</v>
      </c>
      <c r="AI44" s="450">
        <f t="shared" si="42"/>
        <v>1.9963110125393511E-4</v>
      </c>
      <c r="AJ44" s="388" t="s">
        <v>750</v>
      </c>
      <c r="AK44" s="39"/>
      <c r="AL44" s="39"/>
      <c r="AM44" s="446">
        <f t="shared" si="58"/>
        <v>0</v>
      </c>
      <c r="AN44" s="450" t="e">
        <f t="shared" si="43"/>
        <v>#DIV/0!</v>
      </c>
      <c r="AO44" s="388"/>
      <c r="AP44" s="39"/>
      <c r="AQ44" s="39"/>
      <c r="AR44" s="446">
        <f t="shared" si="59"/>
        <v>0</v>
      </c>
      <c r="AS44" s="450" t="e">
        <f t="shared" si="7"/>
        <v>#DIV/0!</v>
      </c>
      <c r="AT44" s="388"/>
      <c r="AU44" s="39"/>
      <c r="AV44" s="39"/>
      <c r="AW44" s="446">
        <f t="shared" si="60"/>
        <v>0</v>
      </c>
      <c r="AX44" s="450">
        <f t="shared" si="8"/>
        <v>0</v>
      </c>
      <c r="AY44" s="388"/>
      <c r="AZ44" s="39"/>
      <c r="BA44" s="39"/>
      <c r="BB44" s="446">
        <f t="shared" si="61"/>
        <v>0</v>
      </c>
      <c r="BC44" s="450" t="e">
        <f t="shared" si="44"/>
        <v>#DIV/0!</v>
      </c>
      <c r="BD44" s="388"/>
      <c r="BE44" s="39"/>
      <c r="BF44" s="39"/>
      <c r="BG44" s="446">
        <f t="shared" si="62"/>
        <v>0</v>
      </c>
      <c r="BH44" s="450" t="e">
        <f t="shared" si="45"/>
        <v>#DIV/0!</v>
      </c>
      <c r="BI44" s="388"/>
      <c r="BJ44" s="39"/>
      <c r="BK44" s="39"/>
      <c r="BL44" s="446">
        <f t="shared" si="63"/>
        <v>0</v>
      </c>
      <c r="BM44" s="450" t="e">
        <f t="shared" si="46"/>
        <v>#DIV/0!</v>
      </c>
      <c r="BN44" s="388"/>
      <c r="BO44" s="39">
        <f t="shared" si="64"/>
        <v>0</v>
      </c>
      <c r="BP44" s="39">
        <f t="shared" si="65"/>
        <v>300</v>
      </c>
      <c r="BQ44" s="106">
        <f t="shared" si="66"/>
        <v>300</v>
      </c>
      <c r="BR44" s="178" t="e">
        <f t="shared" si="47"/>
        <v>#DIV/0!</v>
      </c>
      <c r="BS44" s="79"/>
      <c r="BT44" s="77">
        <v>300</v>
      </c>
      <c r="BU44" s="921">
        <f t="shared" si="30"/>
        <v>0</v>
      </c>
    </row>
    <row r="45" spans="1:73" ht="13.8">
      <c r="A45" s="4833"/>
      <c r="B45" s="18" t="s">
        <v>8</v>
      </c>
      <c r="C45" s="113">
        <v>15400</v>
      </c>
      <c r="D45" s="119"/>
      <c r="E45" s="120">
        <f t="shared" si="48"/>
        <v>15400</v>
      </c>
      <c r="F45" s="178">
        <f t="shared" si="40"/>
        <v>8.7777686406652756E-4</v>
      </c>
      <c r="G45" s="78">
        <v>2520</v>
      </c>
      <c r="H45" s="103"/>
      <c r="I45" s="41">
        <f t="shared" si="49"/>
        <v>2520</v>
      </c>
      <c r="J45" s="178">
        <f t="shared" si="32"/>
        <v>3.5128420092275969E-3</v>
      </c>
      <c r="K45" s="366" t="s">
        <v>393</v>
      </c>
      <c r="L45" s="39"/>
      <c r="M45" s="39"/>
      <c r="N45" s="106">
        <f t="shared" si="50"/>
        <v>0</v>
      </c>
      <c r="O45" s="178">
        <f t="shared" si="41"/>
        <v>0</v>
      </c>
      <c r="P45" s="79"/>
      <c r="Q45" s="39">
        <f>1350*1.2</f>
        <v>1620</v>
      </c>
      <c r="R45" s="39"/>
      <c r="S45" s="106">
        <f t="shared" si="51"/>
        <v>1620</v>
      </c>
      <c r="T45" s="178">
        <f t="shared" si="52"/>
        <v>3.9443607495395392E-4</v>
      </c>
      <c r="U45" s="259"/>
      <c r="V45" s="39">
        <v>1350</v>
      </c>
      <c r="W45" s="39"/>
      <c r="X45" s="106">
        <f t="shared" si="53"/>
        <v>1350</v>
      </c>
      <c r="Y45" s="178">
        <f t="shared" si="54"/>
        <v>2.2049697774893223E-4</v>
      </c>
      <c r="Z45" s="388"/>
      <c r="AA45" s="39">
        <v>3100</v>
      </c>
      <c r="AB45" s="39"/>
      <c r="AC45" s="106">
        <f t="shared" si="55"/>
        <v>3100</v>
      </c>
      <c r="AD45" s="450">
        <f t="shared" si="56"/>
        <v>8.2339237320222113E-4</v>
      </c>
      <c r="AE45" s="388"/>
      <c r="AF45" s="39">
        <v>1350</v>
      </c>
      <c r="AG45" s="39"/>
      <c r="AH45" s="106">
        <f t="shared" si="57"/>
        <v>1350</v>
      </c>
      <c r="AI45" s="450">
        <f t="shared" si="42"/>
        <v>8.9833995564270804E-4</v>
      </c>
      <c r="AJ45" s="388"/>
      <c r="AK45" s="39">
        <v>900</v>
      </c>
      <c r="AL45" s="39"/>
      <c r="AM45" s="446">
        <f t="shared" si="58"/>
        <v>900</v>
      </c>
      <c r="AN45" s="450" t="e">
        <f t="shared" si="43"/>
        <v>#DIV/0!</v>
      </c>
      <c r="AO45" s="388"/>
      <c r="AP45" s="39"/>
      <c r="AQ45" s="39"/>
      <c r="AR45" s="446">
        <f t="shared" si="59"/>
        <v>0</v>
      </c>
      <c r="AS45" s="450" t="e">
        <f t="shared" si="7"/>
        <v>#DIV/0!</v>
      </c>
      <c r="AT45" s="388"/>
      <c r="AU45" s="39"/>
      <c r="AV45" s="39"/>
      <c r="AW45" s="446">
        <f t="shared" si="60"/>
        <v>0</v>
      </c>
      <c r="AX45" s="450">
        <f t="shared" si="8"/>
        <v>0</v>
      </c>
      <c r="AY45" s="388"/>
      <c r="AZ45" s="39"/>
      <c r="BA45" s="39"/>
      <c r="BB45" s="446">
        <f t="shared" si="61"/>
        <v>0</v>
      </c>
      <c r="BC45" s="450" t="e">
        <f t="shared" si="44"/>
        <v>#DIV/0!</v>
      </c>
      <c r="BD45" s="388"/>
      <c r="BE45" s="39"/>
      <c r="BF45" s="39"/>
      <c r="BG45" s="446">
        <f t="shared" si="62"/>
        <v>0</v>
      </c>
      <c r="BH45" s="450" t="e">
        <f t="shared" si="45"/>
        <v>#DIV/0!</v>
      </c>
      <c r="BI45" s="388"/>
      <c r="BJ45" s="39"/>
      <c r="BK45" s="39"/>
      <c r="BL45" s="446">
        <f t="shared" si="63"/>
        <v>0</v>
      </c>
      <c r="BM45" s="450" t="e">
        <f t="shared" si="46"/>
        <v>#DIV/0!</v>
      </c>
      <c r="BN45" s="388"/>
      <c r="BO45" s="39">
        <f t="shared" si="64"/>
        <v>10840</v>
      </c>
      <c r="BP45" s="39">
        <f t="shared" si="65"/>
        <v>0</v>
      </c>
      <c r="BQ45" s="106">
        <f t="shared" si="66"/>
        <v>10840</v>
      </c>
      <c r="BR45" s="178" t="e">
        <f t="shared" si="47"/>
        <v>#DIV/0!</v>
      </c>
      <c r="BS45" s="79"/>
      <c r="BT45" s="77">
        <v>7870</v>
      </c>
      <c r="BU45" s="921">
        <f t="shared" si="30"/>
        <v>2970</v>
      </c>
    </row>
    <row r="46" spans="1:73" ht="13.8">
      <c r="A46" s="4833"/>
      <c r="B46" s="18" t="s">
        <v>29</v>
      </c>
      <c r="C46" s="113"/>
      <c r="D46" s="119"/>
      <c r="E46" s="120">
        <f t="shared" si="48"/>
        <v>0</v>
      </c>
      <c r="F46" s="178">
        <f t="shared" si="40"/>
        <v>0</v>
      </c>
      <c r="G46" s="78"/>
      <c r="H46" s="103"/>
      <c r="I46" s="41">
        <f t="shared" si="49"/>
        <v>0</v>
      </c>
      <c r="J46" s="178">
        <f t="shared" si="32"/>
        <v>0</v>
      </c>
      <c r="K46" s="265"/>
      <c r="L46" s="39"/>
      <c r="M46" s="39"/>
      <c r="N46" s="106">
        <f t="shared" si="50"/>
        <v>0</v>
      </c>
      <c r="O46" s="178">
        <f t="shared" si="41"/>
        <v>0</v>
      </c>
      <c r="P46" s="79"/>
      <c r="Q46" s="39"/>
      <c r="R46" s="39"/>
      <c r="S46" s="106">
        <f t="shared" si="51"/>
        <v>0</v>
      </c>
      <c r="T46" s="178">
        <f t="shared" si="52"/>
        <v>0</v>
      </c>
      <c r="U46" s="259"/>
      <c r="V46" s="39"/>
      <c r="W46" s="39"/>
      <c r="X46" s="106">
        <f t="shared" si="53"/>
        <v>0</v>
      </c>
      <c r="Y46" s="178">
        <f t="shared" si="54"/>
        <v>0</v>
      </c>
      <c r="Z46" s="388"/>
      <c r="AA46" s="39"/>
      <c r="AB46" s="39"/>
      <c r="AC46" s="106">
        <f t="shared" si="55"/>
        <v>0</v>
      </c>
      <c r="AD46" s="450">
        <f t="shared" si="56"/>
        <v>0</v>
      </c>
      <c r="AE46" s="388"/>
      <c r="AF46" s="39"/>
      <c r="AG46" s="39"/>
      <c r="AH46" s="106">
        <f t="shared" si="57"/>
        <v>0</v>
      </c>
      <c r="AI46" s="450">
        <f t="shared" si="42"/>
        <v>0</v>
      </c>
      <c r="AJ46" s="388"/>
      <c r="AK46" s="39"/>
      <c r="AL46" s="39"/>
      <c r="AM46" s="446">
        <f t="shared" si="58"/>
        <v>0</v>
      </c>
      <c r="AN46" s="450" t="e">
        <f t="shared" si="43"/>
        <v>#DIV/0!</v>
      </c>
      <c r="AO46" s="388"/>
      <c r="AP46" s="39"/>
      <c r="AQ46" s="39"/>
      <c r="AR46" s="446">
        <f t="shared" si="59"/>
        <v>0</v>
      </c>
      <c r="AS46" s="450" t="e">
        <f t="shared" si="7"/>
        <v>#DIV/0!</v>
      </c>
      <c r="AT46" s="388"/>
      <c r="AU46" s="39"/>
      <c r="AV46" s="39"/>
      <c r="AW46" s="446">
        <f t="shared" si="60"/>
        <v>0</v>
      </c>
      <c r="AX46" s="450">
        <f t="shared" si="8"/>
        <v>0</v>
      </c>
      <c r="AY46" s="388"/>
      <c r="AZ46" s="39"/>
      <c r="BA46" s="39"/>
      <c r="BB46" s="446">
        <f t="shared" si="61"/>
        <v>0</v>
      </c>
      <c r="BC46" s="450" t="e">
        <f t="shared" si="44"/>
        <v>#DIV/0!</v>
      </c>
      <c r="BD46" s="388"/>
      <c r="BE46" s="39"/>
      <c r="BF46" s="39"/>
      <c r="BG46" s="446">
        <f t="shared" si="62"/>
        <v>0</v>
      </c>
      <c r="BH46" s="450" t="e">
        <f t="shared" si="45"/>
        <v>#DIV/0!</v>
      </c>
      <c r="BI46" s="388"/>
      <c r="BJ46" s="39"/>
      <c r="BK46" s="39"/>
      <c r="BL46" s="446">
        <f t="shared" si="63"/>
        <v>0</v>
      </c>
      <c r="BM46" s="450" t="e">
        <f t="shared" si="46"/>
        <v>#DIV/0!</v>
      </c>
      <c r="BN46" s="388"/>
      <c r="BO46" s="39">
        <f t="shared" si="64"/>
        <v>0</v>
      </c>
      <c r="BP46" s="39">
        <f t="shared" si="65"/>
        <v>0</v>
      </c>
      <c r="BQ46" s="106">
        <f t="shared" si="66"/>
        <v>0</v>
      </c>
      <c r="BR46" s="178" t="e">
        <f t="shared" si="47"/>
        <v>#DIV/0!</v>
      </c>
      <c r="BS46" s="79"/>
      <c r="BU46" s="921">
        <f t="shared" si="30"/>
        <v>0</v>
      </c>
    </row>
    <row r="47" spans="1:73" ht="13.8">
      <c r="A47" s="4833"/>
      <c r="B47" s="18" t="s">
        <v>30</v>
      </c>
      <c r="C47" s="113">
        <v>16800</v>
      </c>
      <c r="D47" s="119"/>
      <c r="E47" s="120">
        <f t="shared" si="48"/>
        <v>16800</v>
      </c>
      <c r="F47" s="178">
        <f t="shared" si="40"/>
        <v>9.5757476079984824E-4</v>
      </c>
      <c r="G47" s="78"/>
      <c r="H47" s="103"/>
      <c r="I47" s="41">
        <f t="shared" si="49"/>
        <v>0</v>
      </c>
      <c r="J47" s="178">
        <f t="shared" si="32"/>
        <v>0</v>
      </c>
      <c r="K47" s="291"/>
      <c r="L47" s="39">
        <v>1712.91</v>
      </c>
      <c r="M47" s="39"/>
      <c r="N47" s="106">
        <f t="shared" si="50"/>
        <v>1712.91</v>
      </c>
      <c r="O47" s="178">
        <f t="shared" si="41"/>
        <v>2.3130765993371431E-3</v>
      </c>
      <c r="P47" s="79" t="s">
        <v>486</v>
      </c>
      <c r="Q47" s="39">
        <v>2405.5100000000002</v>
      </c>
      <c r="R47" s="39"/>
      <c r="S47" s="106">
        <f t="shared" si="51"/>
        <v>2405.5100000000002</v>
      </c>
      <c r="T47" s="178">
        <f t="shared" si="52"/>
        <v>5.8569131028548497E-4</v>
      </c>
      <c r="U47" s="415" t="s">
        <v>486</v>
      </c>
      <c r="V47" s="39">
        <v>1978.38</v>
      </c>
      <c r="W47" s="39"/>
      <c r="X47" s="106">
        <f t="shared" si="53"/>
        <v>1978.38</v>
      </c>
      <c r="Y47" s="178">
        <f t="shared" si="54"/>
        <v>3.2313097099180191E-4</v>
      </c>
      <c r="Z47" s="388" t="s">
        <v>486</v>
      </c>
      <c r="AA47" s="39">
        <v>3264.2</v>
      </c>
      <c r="AB47" s="39"/>
      <c r="AC47" s="106">
        <f t="shared" si="55"/>
        <v>3264.2</v>
      </c>
      <c r="AD47" s="450">
        <f t="shared" si="56"/>
        <v>8.6700560793764197E-4</v>
      </c>
      <c r="AE47" s="388" t="s">
        <v>726</v>
      </c>
      <c r="AF47" s="39">
        <v>2704.4</v>
      </c>
      <c r="AG47" s="39"/>
      <c r="AH47" s="106">
        <f t="shared" si="57"/>
        <v>2704.4</v>
      </c>
      <c r="AI47" s="450">
        <f t="shared" si="42"/>
        <v>1.7996078341038072E-3</v>
      </c>
      <c r="AJ47" s="388" t="s">
        <v>726</v>
      </c>
      <c r="AK47" s="39">
        <v>9573.25</v>
      </c>
      <c r="AL47" s="39"/>
      <c r="AM47" s="446">
        <f t="shared" si="58"/>
        <v>9573.25</v>
      </c>
      <c r="AN47" s="450" t="e">
        <f t="shared" si="43"/>
        <v>#DIV/0!</v>
      </c>
      <c r="AO47" s="388"/>
      <c r="AP47" s="39">
        <v>205.5</v>
      </c>
      <c r="AQ47" s="39"/>
      <c r="AR47" s="446">
        <f t="shared" si="59"/>
        <v>205.5</v>
      </c>
      <c r="AS47" s="450" t="e">
        <f t="shared" si="7"/>
        <v>#DIV/0!</v>
      </c>
      <c r="AT47" s="388"/>
      <c r="AU47" s="39"/>
      <c r="AV47" s="39"/>
      <c r="AW47" s="446">
        <f t="shared" si="60"/>
        <v>0</v>
      </c>
      <c r="AX47" s="450">
        <f t="shared" si="8"/>
        <v>0</v>
      </c>
      <c r="AY47" s="388"/>
      <c r="AZ47" s="39">
        <v>75</v>
      </c>
      <c r="BA47" s="39"/>
      <c r="BB47" s="446">
        <f t="shared" si="61"/>
        <v>75</v>
      </c>
      <c r="BC47" s="450" t="e">
        <f t="shared" si="44"/>
        <v>#DIV/0!</v>
      </c>
      <c r="BD47" s="388"/>
      <c r="BE47" s="39"/>
      <c r="BF47" s="39"/>
      <c r="BG47" s="446">
        <f t="shared" si="62"/>
        <v>0</v>
      </c>
      <c r="BH47" s="450" t="e">
        <f t="shared" si="45"/>
        <v>#DIV/0!</v>
      </c>
      <c r="BI47" s="388"/>
      <c r="BJ47" s="39"/>
      <c r="BK47" s="39"/>
      <c r="BL47" s="446">
        <f t="shared" si="63"/>
        <v>0</v>
      </c>
      <c r="BM47" s="450" t="e">
        <f t="shared" si="46"/>
        <v>#DIV/0!</v>
      </c>
      <c r="BN47" s="388"/>
      <c r="BO47" s="39">
        <f t="shared" si="64"/>
        <v>21919.15</v>
      </c>
      <c r="BP47" s="39">
        <f t="shared" si="65"/>
        <v>0</v>
      </c>
      <c r="BQ47" s="106">
        <f t="shared" si="66"/>
        <v>21919.15</v>
      </c>
      <c r="BR47" s="178" t="e">
        <f t="shared" si="47"/>
        <v>#DIV/0!</v>
      </c>
      <c r="BS47" s="79"/>
      <c r="BT47" s="77">
        <v>24456</v>
      </c>
      <c r="BU47" s="921">
        <f t="shared" si="30"/>
        <v>-2536.8499999999985</v>
      </c>
    </row>
    <row r="48" spans="1:73" ht="13.8">
      <c r="A48" s="4833"/>
      <c r="B48" s="18" t="s">
        <v>15</v>
      </c>
      <c r="C48" s="113">
        <v>6000</v>
      </c>
      <c r="D48" s="119"/>
      <c r="E48" s="120">
        <f t="shared" si="48"/>
        <v>6000</v>
      </c>
      <c r="F48" s="178">
        <f t="shared" si="40"/>
        <v>3.4199098599994583E-4</v>
      </c>
      <c r="G48" s="78">
        <v>1810.02</v>
      </c>
      <c r="H48" s="103"/>
      <c r="I48" s="41">
        <f t="shared" si="49"/>
        <v>1810.02</v>
      </c>
      <c r="J48" s="178">
        <f t="shared" si="32"/>
        <v>2.5231405926754505E-3</v>
      </c>
      <c r="K48" s="366" t="s">
        <v>392</v>
      </c>
      <c r="L48" s="39"/>
      <c r="M48" s="39"/>
      <c r="N48" s="106">
        <f t="shared" si="50"/>
        <v>0</v>
      </c>
      <c r="O48" s="178">
        <f t="shared" si="41"/>
        <v>0</v>
      </c>
      <c r="P48" s="79"/>
      <c r="Q48" s="39">
        <v>1154.82</v>
      </c>
      <c r="R48" s="39"/>
      <c r="S48" s="106">
        <f t="shared" si="51"/>
        <v>1154.82</v>
      </c>
      <c r="T48" s="178">
        <f t="shared" si="52"/>
        <v>2.8117448646810189E-4</v>
      </c>
      <c r="U48" s="259"/>
      <c r="V48" s="39"/>
      <c r="W48" s="39"/>
      <c r="X48" s="106">
        <f t="shared" si="53"/>
        <v>0</v>
      </c>
      <c r="Y48" s="178">
        <f t="shared" si="54"/>
        <v>0</v>
      </c>
      <c r="Z48" s="259"/>
      <c r="AA48" s="39">
        <f>962.35*1.2+1116.67*1.2</f>
        <v>2494.8240000000001</v>
      </c>
      <c r="AB48" s="39"/>
      <c r="AC48" s="106">
        <f t="shared" si="55"/>
        <v>2494.8240000000001</v>
      </c>
      <c r="AD48" s="450">
        <f t="shared" si="56"/>
        <v>6.6265130776834141E-4</v>
      </c>
      <c r="AE48" s="259"/>
      <c r="AF48" s="39"/>
      <c r="AG48" s="39"/>
      <c r="AH48" s="106">
        <f t="shared" si="57"/>
        <v>0</v>
      </c>
      <c r="AI48" s="450">
        <f t="shared" si="42"/>
        <v>0</v>
      </c>
      <c r="AJ48" s="259"/>
      <c r="AK48" s="39"/>
      <c r="AL48" s="39"/>
      <c r="AM48" s="446">
        <f t="shared" si="58"/>
        <v>0</v>
      </c>
      <c r="AN48" s="450" t="e">
        <f t="shared" si="43"/>
        <v>#DIV/0!</v>
      </c>
      <c r="AO48" s="259"/>
      <c r="AP48" s="39"/>
      <c r="AQ48" s="39"/>
      <c r="AR48" s="446">
        <f t="shared" si="59"/>
        <v>0</v>
      </c>
      <c r="AS48" s="450" t="e">
        <f t="shared" si="7"/>
        <v>#DIV/0!</v>
      </c>
      <c r="AT48" s="259"/>
      <c r="AU48" s="39"/>
      <c r="AV48" s="39"/>
      <c r="AW48" s="446">
        <f t="shared" si="60"/>
        <v>0</v>
      </c>
      <c r="AX48" s="450">
        <f t="shared" si="8"/>
        <v>0</v>
      </c>
      <c r="AY48" s="259"/>
      <c r="AZ48" s="39"/>
      <c r="BA48" s="39"/>
      <c r="BB48" s="446">
        <f t="shared" si="61"/>
        <v>0</v>
      </c>
      <c r="BC48" s="450" t="e">
        <f t="shared" si="44"/>
        <v>#DIV/0!</v>
      </c>
      <c r="BD48" s="259"/>
      <c r="BE48" s="39"/>
      <c r="BF48" s="39"/>
      <c r="BG48" s="446">
        <f t="shared" si="62"/>
        <v>0</v>
      </c>
      <c r="BH48" s="450" t="e">
        <f t="shared" si="45"/>
        <v>#DIV/0!</v>
      </c>
      <c r="BI48" s="259"/>
      <c r="BJ48" s="39"/>
      <c r="BK48" s="39"/>
      <c r="BL48" s="446">
        <f t="shared" si="63"/>
        <v>0</v>
      </c>
      <c r="BM48" s="450" t="e">
        <f t="shared" si="46"/>
        <v>#DIV/0!</v>
      </c>
      <c r="BN48" s="259"/>
      <c r="BO48" s="39">
        <f t="shared" si="64"/>
        <v>5459.6640000000007</v>
      </c>
      <c r="BP48" s="39">
        <f t="shared" si="65"/>
        <v>0</v>
      </c>
      <c r="BQ48" s="106">
        <f t="shared" si="66"/>
        <v>5459.6640000000007</v>
      </c>
      <c r="BR48" s="178" t="e">
        <f t="shared" si="47"/>
        <v>#DIV/0!</v>
      </c>
      <c r="BS48" s="79"/>
      <c r="BT48" s="77">
        <v>2965</v>
      </c>
      <c r="BU48" s="921">
        <f t="shared" si="30"/>
        <v>2494.6640000000007</v>
      </c>
    </row>
    <row r="49" spans="1:73" s="2" customFormat="1" ht="14.4" thickBot="1">
      <c r="A49" s="11"/>
      <c r="B49" s="35"/>
      <c r="C49" s="116"/>
      <c r="D49" s="121"/>
      <c r="E49" s="122"/>
      <c r="F49" s="182"/>
      <c r="G49" s="222"/>
      <c r="H49" s="223"/>
      <c r="I49" s="52"/>
      <c r="J49" s="203">
        <f t="shared" si="32"/>
        <v>0</v>
      </c>
      <c r="K49" s="273"/>
      <c r="L49" s="39"/>
      <c r="M49" s="39"/>
      <c r="N49" s="52"/>
      <c r="O49" s="178">
        <f t="shared" si="41"/>
        <v>0</v>
      </c>
      <c r="P49" s="52"/>
      <c r="Q49" s="39"/>
      <c r="R49" s="39"/>
      <c r="S49" s="52"/>
      <c r="T49" s="178">
        <f t="shared" si="52"/>
        <v>0</v>
      </c>
      <c r="U49" s="64"/>
      <c r="V49" s="39"/>
      <c r="W49" s="39"/>
      <c r="X49" s="52"/>
      <c r="Y49" s="178">
        <f t="shared" si="54"/>
        <v>0</v>
      </c>
      <c r="Z49" s="64"/>
      <c r="AA49" s="39"/>
      <c r="AB49" s="39"/>
      <c r="AC49" s="52"/>
      <c r="AD49" s="450">
        <f t="shared" si="56"/>
        <v>0</v>
      </c>
      <c r="AE49" s="64"/>
      <c r="AF49" s="39"/>
      <c r="AG49" s="39"/>
      <c r="AH49" s="52"/>
      <c r="AI49" s="450">
        <f t="shared" si="42"/>
        <v>0</v>
      </c>
      <c r="AJ49" s="64"/>
      <c r="AK49" s="39"/>
      <c r="AL49" s="39"/>
      <c r="AM49" s="707"/>
      <c r="AN49" s="450" t="e">
        <f t="shared" si="43"/>
        <v>#DIV/0!</v>
      </c>
      <c r="AO49" s="64"/>
      <c r="AP49" s="39"/>
      <c r="AQ49" s="39"/>
      <c r="AR49" s="707"/>
      <c r="AS49" s="450" t="e">
        <f t="shared" si="7"/>
        <v>#DIV/0!</v>
      </c>
      <c r="AT49" s="64"/>
      <c r="AU49" s="39"/>
      <c r="AV49" s="39"/>
      <c r="AW49" s="707"/>
      <c r="AX49" s="450">
        <f t="shared" si="8"/>
        <v>0</v>
      </c>
      <c r="AY49" s="64"/>
      <c r="AZ49" s="39"/>
      <c r="BA49" s="39"/>
      <c r="BB49" s="707"/>
      <c r="BC49" s="450" t="e">
        <f t="shared" si="44"/>
        <v>#DIV/0!</v>
      </c>
      <c r="BD49" s="64"/>
      <c r="BE49" s="39"/>
      <c r="BF49" s="39"/>
      <c r="BG49" s="707"/>
      <c r="BH49" s="450" t="e">
        <f t="shared" si="45"/>
        <v>#DIV/0!</v>
      </c>
      <c r="BI49" s="64"/>
      <c r="BJ49" s="39"/>
      <c r="BK49" s="39"/>
      <c r="BL49" s="707"/>
      <c r="BM49" s="450" t="e">
        <f t="shared" si="46"/>
        <v>#DIV/0!</v>
      </c>
      <c r="BN49" s="64"/>
      <c r="BO49" s="39"/>
      <c r="BP49" s="39"/>
      <c r="BQ49" s="52"/>
      <c r="BR49" s="178" t="e">
        <f t="shared" si="47"/>
        <v>#DIV/0!</v>
      </c>
      <c r="BS49" s="52"/>
      <c r="BT49" s="919"/>
      <c r="BU49" s="921">
        <f t="shared" si="30"/>
        <v>0</v>
      </c>
    </row>
    <row r="50" spans="1:73" s="2" customFormat="1" ht="13.8">
      <c r="A50" s="293"/>
      <c r="B50" s="17" t="s">
        <v>59</v>
      </c>
      <c r="C50" s="123"/>
      <c r="D50" s="123"/>
      <c r="E50" s="123">
        <f>SUM(E51:E52)</f>
        <v>0</v>
      </c>
      <c r="F50" s="170">
        <f>E50/$E$89</f>
        <v>0</v>
      </c>
      <c r="G50" s="123">
        <f>SUM(G51:G52)</f>
        <v>5669.8</v>
      </c>
      <c r="H50" s="123">
        <f>SUM(H51:H52)</f>
        <v>0</v>
      </c>
      <c r="I50" s="123">
        <f>SUM(I51:I52)</f>
        <v>5669.8</v>
      </c>
      <c r="J50" s="170">
        <f t="shared" si="32"/>
        <v>7.9036157237772336E-3</v>
      </c>
      <c r="K50" s="274"/>
      <c r="L50" s="123">
        <f>L52+L51</f>
        <v>0</v>
      </c>
      <c r="M50" s="123">
        <f>M52+M51</f>
        <v>0</v>
      </c>
      <c r="N50" s="123">
        <f>SUM(N51:N52)</f>
        <v>0</v>
      </c>
      <c r="O50" s="60"/>
      <c r="P50" s="60"/>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c r="AE50" s="409"/>
      <c r="AF50" s="123">
        <f>AF52+AF51</f>
        <v>0</v>
      </c>
      <c r="AG50" s="123">
        <f>AG52+AG51</f>
        <v>0</v>
      </c>
      <c r="AH50" s="123">
        <f>SUM(AH51:AH52)</f>
        <v>0</v>
      </c>
      <c r="AI50" s="60">
        <f t="shared" si="42"/>
        <v>0</v>
      </c>
      <c r="AJ50" s="409"/>
      <c r="AK50" s="123">
        <f>AK52+AK51</f>
        <v>0</v>
      </c>
      <c r="AL50" s="123">
        <f>AL52+AL51</f>
        <v>0</v>
      </c>
      <c r="AM50" s="579">
        <f>SUM(AM51:AM52)</f>
        <v>0</v>
      </c>
      <c r="AN50" s="698" t="e">
        <f t="shared" si="43"/>
        <v>#DIV/0!</v>
      </c>
      <c r="AO50" s="409"/>
      <c r="AP50" s="123">
        <f>AP52+AP51</f>
        <v>0</v>
      </c>
      <c r="AQ50" s="123">
        <f>AQ52+AQ51</f>
        <v>1400</v>
      </c>
      <c r="AR50" s="579">
        <f>SUM(AR51:AR52)</f>
        <v>1400</v>
      </c>
      <c r="AS50" s="698" t="e">
        <f t="shared" si="7"/>
        <v>#DIV/0!</v>
      </c>
      <c r="AT50" s="409"/>
      <c r="AU50" s="123">
        <f>AU52+AU51</f>
        <v>0</v>
      </c>
      <c r="AV50" s="123">
        <f>AV52+AV51</f>
        <v>0</v>
      </c>
      <c r="AW50" s="579">
        <f>SUM(AW51:AW52)</f>
        <v>0</v>
      </c>
      <c r="AX50" s="698">
        <f t="shared" si="8"/>
        <v>0</v>
      </c>
      <c r="AY50" s="409"/>
      <c r="AZ50" s="123">
        <f>AZ52+AZ51</f>
        <v>0</v>
      </c>
      <c r="BA50" s="123">
        <f>BA52+BA51</f>
        <v>0</v>
      </c>
      <c r="BB50" s="579">
        <f>SUM(BB51:BB52)</f>
        <v>0</v>
      </c>
      <c r="BC50" s="698" t="e">
        <f t="shared" si="44"/>
        <v>#DIV/0!</v>
      </c>
      <c r="BD50" s="409"/>
      <c r="BE50" s="123">
        <f>BE52+BE51</f>
        <v>0</v>
      </c>
      <c r="BF50" s="123">
        <f>BF52+BF51</f>
        <v>0</v>
      </c>
      <c r="BG50" s="579">
        <f>SUM(BG51:BG52)</f>
        <v>0</v>
      </c>
      <c r="BH50" s="698" t="e">
        <f t="shared" si="45"/>
        <v>#DIV/0!</v>
      </c>
      <c r="BI50" s="409"/>
      <c r="BJ50" s="123">
        <f>BJ52+BJ51</f>
        <v>0</v>
      </c>
      <c r="BK50" s="123">
        <f>BK52+BK51</f>
        <v>0</v>
      </c>
      <c r="BL50" s="579">
        <f>SUM(BL51:BL52)</f>
        <v>0</v>
      </c>
      <c r="BM50" s="698" t="e">
        <f t="shared" si="46"/>
        <v>#DIV/0!</v>
      </c>
      <c r="BN50" s="409"/>
      <c r="BO50" s="123">
        <f>BO52+BO51</f>
        <v>5669.8</v>
      </c>
      <c r="BP50" s="123">
        <f>BP52+BP51</f>
        <v>1400</v>
      </c>
      <c r="BQ50" s="123">
        <f>SUM(BQ51:BQ52)</f>
        <v>7069.8</v>
      </c>
      <c r="BR50" s="60"/>
      <c r="BS50" s="60"/>
      <c r="BT50" s="919"/>
      <c r="BU50" s="921">
        <f t="shared" si="30"/>
        <v>7069.8</v>
      </c>
    </row>
    <row r="51" spans="1:73" s="226" customFormat="1" ht="13.8">
      <c r="A51" s="234"/>
      <c r="B51" s="18" t="s">
        <v>60</v>
      </c>
      <c r="C51" s="113"/>
      <c r="D51" s="119"/>
      <c r="E51" s="119">
        <f>C51+D51</f>
        <v>0</v>
      </c>
      <c r="F51" s="180">
        <f>E51/$E$89</f>
        <v>0</v>
      </c>
      <c r="G51" s="45"/>
      <c r="H51" s="45"/>
      <c r="I51" s="41">
        <f>G51+H51*1</f>
        <v>0</v>
      </c>
      <c r="J51" s="178">
        <f t="shared" si="32"/>
        <v>0</v>
      </c>
      <c r="K51" s="265"/>
      <c r="L51" s="39"/>
      <c r="M51" s="39"/>
      <c r="N51" s="106">
        <f>L51+M51*1</f>
        <v>0</v>
      </c>
      <c r="O51" s="178">
        <f>N51/$N$89</f>
        <v>0</v>
      </c>
      <c r="P51" s="45"/>
      <c r="Q51" s="39"/>
      <c r="R51" s="39"/>
      <c r="S51" s="106">
        <f>Q51+R51*1</f>
        <v>0</v>
      </c>
      <c r="T51" s="178">
        <f>S51/$S$89</f>
        <v>0</v>
      </c>
      <c r="U51" s="405"/>
      <c r="V51" s="39"/>
      <c r="W51" s="39"/>
      <c r="X51" s="106">
        <f>V51+W51*1</f>
        <v>0</v>
      </c>
      <c r="Y51" s="178">
        <f t="shared" si="54"/>
        <v>0</v>
      </c>
      <c r="Z51" s="405"/>
      <c r="AA51" s="39"/>
      <c r="AB51" s="39"/>
      <c r="AC51" s="106">
        <f>AA51+AB51*1</f>
        <v>0</v>
      </c>
      <c r="AD51" s="450">
        <f>AC51/$AC$89</f>
        <v>0</v>
      </c>
      <c r="AE51" s="405"/>
      <c r="AF51" s="39"/>
      <c r="AG51" s="39"/>
      <c r="AH51" s="106">
        <f>AF51+AG51*1</f>
        <v>0</v>
      </c>
      <c r="AI51" s="450">
        <f t="shared" si="42"/>
        <v>0</v>
      </c>
      <c r="AJ51" s="405"/>
      <c r="AK51" s="39"/>
      <c r="AL51" s="39"/>
      <c r="AM51" s="446">
        <f>AK51+AL51*1</f>
        <v>0</v>
      </c>
      <c r="AN51" s="450" t="e">
        <f t="shared" si="43"/>
        <v>#DIV/0!</v>
      </c>
      <c r="AO51" s="405"/>
      <c r="AP51" s="39"/>
      <c r="AQ51" s="39"/>
      <c r="AR51" s="446">
        <f>AP51+AQ51*1</f>
        <v>0</v>
      </c>
      <c r="AS51" s="450" t="e">
        <f t="shared" si="7"/>
        <v>#DIV/0!</v>
      </c>
      <c r="AT51" s="388"/>
      <c r="AU51" s="39"/>
      <c r="AV51" s="39"/>
      <c r="AW51" s="446">
        <f>AU51+AV51*1</f>
        <v>0</v>
      </c>
      <c r="AX51" s="450">
        <f t="shared" si="8"/>
        <v>0</v>
      </c>
      <c r="AY51" s="388"/>
      <c r="AZ51" s="39"/>
      <c r="BA51" s="39"/>
      <c r="BB51" s="446">
        <f>AZ51+BA51*1</f>
        <v>0</v>
      </c>
      <c r="BC51" s="450" t="e">
        <f t="shared" si="44"/>
        <v>#DIV/0!</v>
      </c>
      <c r="BD51" s="388"/>
      <c r="BE51" s="39"/>
      <c r="BF51" s="39"/>
      <c r="BG51" s="446">
        <f>BE51+BF51*1</f>
        <v>0</v>
      </c>
      <c r="BH51" s="450" t="e">
        <f t="shared" si="45"/>
        <v>#DIV/0!</v>
      </c>
      <c r="BI51" s="388"/>
      <c r="BJ51" s="39"/>
      <c r="BK51" s="39"/>
      <c r="BL51" s="446">
        <f>BJ51+BK51*1</f>
        <v>0</v>
      </c>
      <c r="BM51" s="450" t="e">
        <f t="shared" si="46"/>
        <v>#DIV/0!</v>
      </c>
      <c r="BN51" s="388"/>
      <c r="BO51" s="39">
        <f>G51+L51+Q51+V51+AA51+AF51+AK51+AP51+AU51+AZ51+BE51+BJ51</f>
        <v>0</v>
      </c>
      <c r="BP51" s="39">
        <f>H51+M51+R51+W51+AB51+AG51+AL51+AQ51+AV51+BA51+BF51+BK51</f>
        <v>0</v>
      </c>
      <c r="BQ51" s="106">
        <f>BO51+BP51*1</f>
        <v>0</v>
      </c>
      <c r="BR51" s="178" t="e">
        <f>BQ51/$BQ$89</f>
        <v>#DIV/0!</v>
      </c>
      <c r="BS51" s="45"/>
      <c r="BT51" s="922"/>
      <c r="BU51" s="921">
        <f t="shared" si="30"/>
        <v>0</v>
      </c>
    </row>
    <row r="52" spans="1:73" s="235" customFormat="1" ht="27.6">
      <c r="A52" s="234"/>
      <c r="B52" s="18" t="s">
        <v>61</v>
      </c>
      <c r="C52" s="113"/>
      <c r="D52" s="119"/>
      <c r="E52" s="119">
        <f>C52+D52</f>
        <v>0</v>
      </c>
      <c r="F52" s="180">
        <f>E52/$E$89</f>
        <v>0</v>
      </c>
      <c r="G52" s="45">
        <v>5669.8</v>
      </c>
      <c r="H52" s="224"/>
      <c r="I52" s="41">
        <f>G52+H52*1</f>
        <v>5669.8</v>
      </c>
      <c r="J52" s="178">
        <f t="shared" si="32"/>
        <v>7.9036157237772336E-3</v>
      </c>
      <c r="K52" s="367" t="s">
        <v>367</v>
      </c>
      <c r="L52" s="39"/>
      <c r="M52" s="39"/>
      <c r="N52" s="106">
        <f>L52+M52*1</f>
        <v>0</v>
      </c>
      <c r="O52" s="178">
        <f>N52/$N$89</f>
        <v>0</v>
      </c>
      <c r="P52" s="45"/>
      <c r="Q52" s="39"/>
      <c r="R52" s="39"/>
      <c r="S52" s="106">
        <f>Q52+R52*1</f>
        <v>0</v>
      </c>
      <c r="T52" s="178">
        <f>S52/$S$89</f>
        <v>0</v>
      </c>
      <c r="U52" s="405"/>
      <c r="V52" s="39"/>
      <c r="W52" s="39"/>
      <c r="X52" s="106">
        <f>V52+W52*1</f>
        <v>0</v>
      </c>
      <c r="Y52" s="178">
        <f t="shared" si="54"/>
        <v>0</v>
      </c>
      <c r="Z52" s="405"/>
      <c r="AA52" s="39"/>
      <c r="AB52" s="39"/>
      <c r="AC52" s="106">
        <f>AA52+AB52*1</f>
        <v>0</v>
      </c>
      <c r="AD52" s="450">
        <f>AC52/$AC$89</f>
        <v>0</v>
      </c>
      <c r="AE52" s="405"/>
      <c r="AF52" s="39"/>
      <c r="AG52" s="39"/>
      <c r="AH52" s="106">
        <f>AF52+AG52*1</f>
        <v>0</v>
      </c>
      <c r="AI52" s="450">
        <f t="shared" si="42"/>
        <v>0</v>
      </c>
      <c r="AJ52" s="405"/>
      <c r="AK52" s="39"/>
      <c r="AL52" s="39"/>
      <c r="AM52" s="446">
        <f>AK52+AL52*1</f>
        <v>0</v>
      </c>
      <c r="AN52" s="450" t="e">
        <f t="shared" si="43"/>
        <v>#DIV/0!</v>
      </c>
      <c r="AO52" s="405"/>
      <c r="AP52" s="39"/>
      <c r="AQ52" s="39">
        <v>1400</v>
      </c>
      <c r="AR52" s="446">
        <f>AP52+AQ52*1</f>
        <v>1400</v>
      </c>
      <c r="AS52" s="450" t="e">
        <f t="shared" si="7"/>
        <v>#DIV/0!</v>
      </c>
      <c r="AT52" s="388" t="s">
        <v>872</v>
      </c>
      <c r="AU52" s="39"/>
      <c r="AV52" s="39"/>
      <c r="AW52" s="446">
        <f>AU52+AV52*1</f>
        <v>0</v>
      </c>
      <c r="AX52" s="450">
        <f t="shared" si="8"/>
        <v>0</v>
      </c>
      <c r="AY52" s="388"/>
      <c r="AZ52" s="39"/>
      <c r="BA52" s="39"/>
      <c r="BB52" s="446">
        <f>AZ52+BA52*1</f>
        <v>0</v>
      </c>
      <c r="BC52" s="450" t="e">
        <f t="shared" si="44"/>
        <v>#DIV/0!</v>
      </c>
      <c r="BD52" s="388"/>
      <c r="BE52" s="39"/>
      <c r="BF52" s="39"/>
      <c r="BG52" s="446">
        <f>BE52+BF52*1</f>
        <v>0</v>
      </c>
      <c r="BH52" s="450" t="e">
        <f t="shared" si="45"/>
        <v>#DIV/0!</v>
      </c>
      <c r="BI52" s="388"/>
      <c r="BJ52" s="39"/>
      <c r="BK52" s="39"/>
      <c r="BL52" s="446">
        <f>BJ52+BK52*1</f>
        <v>0</v>
      </c>
      <c r="BM52" s="450" t="e">
        <f t="shared" si="46"/>
        <v>#DIV/0!</v>
      </c>
      <c r="BN52" s="388"/>
      <c r="BO52" s="39">
        <f>G52+L52+Q52+V52+AA52+AF52+AK52+AP52+AU52+AZ52+BE52+BJ52</f>
        <v>5669.8</v>
      </c>
      <c r="BP52" s="39">
        <f>H52+M52+R52+W52+AB52+AG52+AL52+AQ52+AV52+BA52+BF52+BK52</f>
        <v>1400</v>
      </c>
      <c r="BQ52" s="106">
        <f>BO52+BP52*1</f>
        <v>7069.8</v>
      </c>
      <c r="BR52" s="178" t="e">
        <f>BQ52/$BQ$89</f>
        <v>#DIV/0!</v>
      </c>
      <c r="BS52" s="45"/>
      <c r="BT52" s="923">
        <v>7069</v>
      </c>
      <c r="BU52" s="921">
        <f t="shared" si="30"/>
        <v>0.8000000000001819</v>
      </c>
    </row>
    <row r="53" spans="1:73" ht="14.4" thickBot="1">
      <c r="A53" s="20"/>
      <c r="B53" s="21"/>
      <c r="C53" s="124"/>
      <c r="D53" s="125"/>
      <c r="E53" s="126"/>
      <c r="F53" s="183"/>
      <c r="G53" s="81"/>
      <c r="H53" s="81"/>
      <c r="I53" s="81"/>
      <c r="J53" s="204">
        <f t="shared" si="32"/>
        <v>0</v>
      </c>
      <c r="K53" s="275"/>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708"/>
      <c r="AN53" s="668"/>
      <c r="AO53" s="61"/>
      <c r="AP53" s="39"/>
      <c r="AQ53" s="39"/>
      <c r="AR53" s="708"/>
      <c r="AS53" s="450" t="e">
        <f t="shared" si="7"/>
        <v>#DIV/0!</v>
      </c>
      <c r="AT53" s="61"/>
      <c r="AU53" s="39"/>
      <c r="AV53" s="39"/>
      <c r="AW53" s="708"/>
      <c r="AX53" s="450">
        <f t="shared" si="8"/>
        <v>0</v>
      </c>
      <c r="AY53" s="61"/>
      <c r="AZ53" s="39"/>
      <c r="BA53" s="39"/>
      <c r="BB53" s="708"/>
      <c r="BC53" s="450" t="e">
        <f t="shared" si="44"/>
        <v>#DIV/0!</v>
      </c>
      <c r="BD53" s="61"/>
      <c r="BE53" s="39"/>
      <c r="BF53" s="39"/>
      <c r="BG53" s="708"/>
      <c r="BH53" s="450" t="e">
        <f t="shared" si="45"/>
        <v>#DIV/0!</v>
      </c>
      <c r="BI53" s="61"/>
      <c r="BJ53" s="39"/>
      <c r="BK53" s="39"/>
      <c r="BL53" s="708"/>
      <c r="BM53" s="450" t="e">
        <f t="shared" si="46"/>
        <v>#DIV/0!</v>
      </c>
      <c r="BN53" s="61"/>
      <c r="BO53" s="39"/>
      <c r="BP53" s="39"/>
      <c r="BQ53" s="61"/>
      <c r="BR53" s="61"/>
      <c r="BS53" s="61"/>
      <c r="BU53" s="921">
        <f t="shared" si="30"/>
        <v>0</v>
      </c>
    </row>
    <row r="54" spans="1:73" ht="13.8">
      <c r="A54" s="236"/>
      <c r="B54" s="17" t="s">
        <v>1</v>
      </c>
      <c r="C54" s="123">
        <f>SUM(C55:C71)</f>
        <v>74033</v>
      </c>
      <c r="D54" s="123">
        <f>SUM(D55:D71)</f>
        <v>65735</v>
      </c>
      <c r="E54" s="127">
        <f>SUM(E55:E71)</f>
        <v>139768</v>
      </c>
      <c r="F54" s="170">
        <f>E54/$E$89</f>
        <v>7.9665660218734037E-3</v>
      </c>
      <c r="G54" s="123">
        <f>SUM(G55:G71)</f>
        <v>27979.75</v>
      </c>
      <c r="H54" s="123">
        <f>SUM(H55:H71)</f>
        <v>14567.5</v>
      </c>
      <c r="I54" s="127">
        <f>SUM(I55:I71)</f>
        <v>42547.25</v>
      </c>
      <c r="J54" s="170">
        <f t="shared" si="32"/>
        <v>5.9310225070281296E-2</v>
      </c>
      <c r="K54" s="274"/>
      <c r="L54" s="123">
        <f>SUM(L55:L72)</f>
        <v>8052</v>
      </c>
      <c r="M54" s="123">
        <f>SUM(M55:M72)</f>
        <v>12187</v>
      </c>
      <c r="N54" s="123">
        <f>SUM(N55:N72)</f>
        <v>20239</v>
      </c>
      <c r="O54" s="169">
        <f t="shared" ref="O54:O72" si="67">N54/$N$89</f>
        <v>2.7330307660054783E-2</v>
      </c>
      <c r="P54" s="60"/>
      <c r="Q54" s="123">
        <f>SUM(Q55:Q72)</f>
        <v>13275.35</v>
      </c>
      <c r="R54" s="123">
        <f>SUM(R55:R72)</f>
        <v>12213.84</v>
      </c>
      <c r="S54" s="123">
        <f>SUM(S55:S72)</f>
        <v>25489.19</v>
      </c>
      <c r="T54" s="169">
        <f>S54/$S$89</f>
        <v>6.2060839860219579E-3</v>
      </c>
      <c r="U54" s="409"/>
      <c r="V54" s="123">
        <f>SUM(V55:V72)</f>
        <v>13975.35</v>
      </c>
      <c r="W54" s="123">
        <f>SUM(W55:W72)</f>
        <v>14745</v>
      </c>
      <c r="X54" s="123">
        <f>SUM(X55:X72)</f>
        <v>28720.35</v>
      </c>
      <c r="Y54" s="169">
        <f>X54/$X$89</f>
        <v>4.6909262036233671E-3</v>
      </c>
      <c r="Z54" s="409"/>
      <c r="AA54" s="123">
        <f>SUM(AA55:AA72)</f>
        <v>14529.6</v>
      </c>
      <c r="AB54" s="123">
        <f>SUM(AB55:AB72)</f>
        <v>12187</v>
      </c>
      <c r="AC54" s="123">
        <f>SUM(AC55:AC72)</f>
        <v>26716.6</v>
      </c>
      <c r="AD54" s="169">
        <f>AC54/$AC$89</f>
        <v>7.096207960611116E-3</v>
      </c>
      <c r="AE54" s="409"/>
      <c r="AF54" s="123">
        <f>SUM(AF55:AF72)</f>
        <v>11544</v>
      </c>
      <c r="AG54" s="123">
        <f>SUM(AG55:AG72)</f>
        <v>16787</v>
      </c>
      <c r="AH54" s="123">
        <f>SUM(AH55:AH72)</f>
        <v>28331</v>
      </c>
      <c r="AI54" s="169">
        <f t="shared" ref="AI54:AI72" si="68">AH54/$AH$89</f>
        <v>1.8852495765417452E-2</v>
      </c>
      <c r="AJ54" s="409"/>
      <c r="AK54" s="123">
        <f>SUM(AK55:AK72)</f>
        <v>12653.810000000001</v>
      </c>
      <c r="AL54" s="123">
        <f>SUM(AL55:AL72)</f>
        <v>14422.8</v>
      </c>
      <c r="AM54" s="579">
        <f>SUM(AM55:AM72)</f>
        <v>27076.61</v>
      </c>
      <c r="AN54" s="664" t="e">
        <f t="shared" ref="AN54:AN72" si="69">AM54/$AM$89</f>
        <v>#DIV/0!</v>
      </c>
      <c r="AO54" s="409"/>
      <c r="AP54" s="123">
        <f>SUM(AP55:AP72)</f>
        <v>0</v>
      </c>
      <c r="AQ54" s="123">
        <f>SUM(AQ55:AQ72)</f>
        <v>1409.46</v>
      </c>
      <c r="AR54" s="579">
        <f>SUM(AR55:AR72)</f>
        <v>1409.46</v>
      </c>
      <c r="AS54" s="664" t="e">
        <f t="shared" si="7"/>
        <v>#DIV/0!</v>
      </c>
      <c r="AT54" s="409"/>
      <c r="AU54" s="123">
        <f>SUM(AU55:AU72)</f>
        <v>0</v>
      </c>
      <c r="AV54" s="123">
        <f>SUM(AV55:AV72)</f>
        <v>0</v>
      </c>
      <c r="AW54" s="579">
        <f>SUM(AW55:AW72)</f>
        <v>0</v>
      </c>
      <c r="AX54" s="664">
        <f t="shared" si="8"/>
        <v>0</v>
      </c>
      <c r="AY54" s="409"/>
      <c r="AZ54" s="123">
        <f>SUM(AZ55:AZ72)</f>
        <v>0</v>
      </c>
      <c r="BA54" s="123">
        <f>SUM(BA55:BA72)</f>
        <v>300</v>
      </c>
      <c r="BB54" s="579">
        <f>SUM(BB55:BB72)</f>
        <v>300</v>
      </c>
      <c r="BC54" s="664" t="e">
        <f t="shared" si="44"/>
        <v>#DIV/0!</v>
      </c>
      <c r="BD54" s="409"/>
      <c r="BE54" s="123">
        <f>SUM(BE55:BE72)</f>
        <v>0</v>
      </c>
      <c r="BF54" s="123">
        <f>SUM(BF55:BF72)</f>
        <v>0</v>
      </c>
      <c r="BG54" s="579">
        <f>SUM(BG55:BG72)</f>
        <v>0</v>
      </c>
      <c r="BH54" s="664" t="e">
        <f t="shared" si="45"/>
        <v>#DIV/0!</v>
      </c>
      <c r="BI54" s="409"/>
      <c r="BJ54" s="123">
        <f>SUM(BJ55:BJ72)</f>
        <v>0</v>
      </c>
      <c r="BK54" s="123">
        <f>SUM(BK55:BK72)</f>
        <v>0</v>
      </c>
      <c r="BL54" s="579">
        <f>SUM(BL55:BL72)</f>
        <v>0</v>
      </c>
      <c r="BM54" s="664" t="e">
        <f t="shared" si="46"/>
        <v>#DIV/0!</v>
      </c>
      <c r="BN54" s="409"/>
      <c r="BO54" s="123">
        <f>SUM(BO55:BO72)</f>
        <v>102009.86</v>
      </c>
      <c r="BP54" s="123">
        <f>SUM(BP55:BP72)</f>
        <v>98819.6</v>
      </c>
      <c r="BQ54" s="123">
        <f>SUM(BQ55:BQ72)</f>
        <v>200829.46</v>
      </c>
      <c r="BR54" s="169" t="e">
        <f>BQ54/$BQ$89</f>
        <v>#DIV/0!</v>
      </c>
      <c r="BS54" s="60"/>
      <c r="BU54" s="921">
        <f t="shared" si="30"/>
        <v>200829.46</v>
      </c>
    </row>
    <row r="55" spans="1:73" ht="13.8">
      <c r="A55" s="237"/>
      <c r="B55" s="19" t="s">
        <v>77</v>
      </c>
      <c r="C55" s="113"/>
      <c r="D55" s="119"/>
      <c r="E55" s="120">
        <f t="shared" ref="E55:E71" si="70">C55+D55</f>
        <v>0</v>
      </c>
      <c r="F55" s="178">
        <f>E55/$E$89</f>
        <v>0</v>
      </c>
      <c r="G55" s="78"/>
      <c r="H55" s="161"/>
      <c r="I55" s="41">
        <f t="shared" ref="I55:I71" si="71">G55+H55*1</f>
        <v>0</v>
      </c>
      <c r="J55" s="178">
        <f t="shared" si="32"/>
        <v>0</v>
      </c>
      <c r="K55" s="291"/>
      <c r="L55" s="210"/>
      <c r="M55" s="210"/>
      <c r="N55" s="106">
        <f t="shared" ref="N55:N71" si="72">L55+M55*1</f>
        <v>0</v>
      </c>
      <c r="O55" s="178">
        <f t="shared" si="67"/>
        <v>0</v>
      </c>
      <c r="P55" s="79"/>
      <c r="Q55" s="210"/>
      <c r="R55" s="210"/>
      <c r="S55" s="106">
        <f t="shared" ref="S55:S71" si="73">Q55+R55*1</f>
        <v>0</v>
      </c>
      <c r="T55" s="178">
        <f t="shared" ref="T55:T72" si="74">S55/$S$89</f>
        <v>0</v>
      </c>
      <c r="U55" s="259"/>
      <c r="V55" s="210"/>
      <c r="W55" s="210"/>
      <c r="X55" s="106">
        <f t="shared" ref="X55:X71" si="75">V55+W55*1</f>
        <v>0</v>
      </c>
      <c r="Y55" s="178">
        <f t="shared" ref="Y55:Y72" si="76">X55/$X$89</f>
        <v>0</v>
      </c>
      <c r="Z55" s="259"/>
      <c r="AA55" s="210"/>
      <c r="AB55" s="210"/>
      <c r="AC55" s="106">
        <f t="shared" ref="AC55:AC71" si="77">AA55+AB55*1</f>
        <v>0</v>
      </c>
      <c r="AD55" s="178">
        <f>AC55/$AC$89</f>
        <v>0</v>
      </c>
      <c r="AE55" s="259"/>
      <c r="AF55" s="210"/>
      <c r="AG55" s="210"/>
      <c r="AH55" s="106">
        <f t="shared" ref="AH55:AH71" si="78">AF55+AG55*1</f>
        <v>0</v>
      </c>
      <c r="AI55" s="450">
        <f t="shared" si="68"/>
        <v>0</v>
      </c>
      <c r="AJ55" s="259"/>
      <c r="AK55" s="210"/>
      <c r="AL55" s="210"/>
      <c r="AM55" s="446">
        <f t="shared" ref="AM55:AM71" si="79">AK55+AL55*1</f>
        <v>0</v>
      </c>
      <c r="AN55" s="450" t="e">
        <f t="shared" si="69"/>
        <v>#DIV/0!</v>
      </c>
      <c r="AO55" s="259"/>
      <c r="AP55" s="210"/>
      <c r="AQ55" s="210"/>
      <c r="AR55" s="446">
        <f t="shared" ref="AR55:AR71" si="80">AP55+AQ55*1</f>
        <v>0</v>
      </c>
      <c r="AS55" s="450" t="e">
        <f t="shared" si="7"/>
        <v>#DIV/0!</v>
      </c>
      <c r="AT55" s="259"/>
      <c r="AU55" s="210"/>
      <c r="AV55" s="210"/>
      <c r="AW55" s="446">
        <f t="shared" ref="AW55:AW71" si="81">AU55+AV55*1</f>
        <v>0</v>
      </c>
      <c r="AX55" s="450">
        <f t="shared" si="8"/>
        <v>0</v>
      </c>
      <c r="AY55" s="259"/>
      <c r="AZ55" s="210"/>
      <c r="BA55" s="210"/>
      <c r="BB55" s="446">
        <f t="shared" ref="BB55:BB71" si="82">AZ55+BA55*1</f>
        <v>0</v>
      </c>
      <c r="BC55" s="450" t="e">
        <f t="shared" si="44"/>
        <v>#DIV/0!</v>
      </c>
      <c r="BD55" s="259"/>
      <c r="BE55" s="210"/>
      <c r="BF55" s="210"/>
      <c r="BG55" s="446">
        <f t="shared" ref="BG55:BG71" si="83">BE55+BF55*1</f>
        <v>0</v>
      </c>
      <c r="BH55" s="450" t="e">
        <f t="shared" si="45"/>
        <v>#DIV/0!</v>
      </c>
      <c r="BI55" s="259"/>
      <c r="BJ55" s="39"/>
      <c r="BK55" s="39"/>
      <c r="BL55" s="446">
        <f t="shared" ref="BL55:BL71" si="84">BJ55+BK55*1</f>
        <v>0</v>
      </c>
      <c r="BM55" s="450" t="e">
        <f t="shared" si="46"/>
        <v>#DIV/0!</v>
      </c>
      <c r="BN55" s="259"/>
      <c r="BO55" s="39">
        <f t="shared" ref="BO55:BO71" si="85">G55+L55+Q55+V55+AA55+AF55+AK55+AP55+AU55+AZ55+BE55+BJ55</f>
        <v>0</v>
      </c>
      <c r="BP55" s="39">
        <f t="shared" ref="BP55:BP71" si="86">H55+M55+R55+W55+AB55+AG55+AL55+AQ55+AV55+BA55+BF55+BK55</f>
        <v>0</v>
      </c>
      <c r="BQ55" s="106">
        <f t="shared" ref="BQ55:BQ71" si="87">BO55+BP55*1</f>
        <v>0</v>
      </c>
      <c r="BR55" s="178" t="e">
        <f t="shared" ref="BR55:BR72" si="88">BQ55/$BQ$89</f>
        <v>#DIV/0!</v>
      </c>
      <c r="BS55" s="79"/>
      <c r="BU55" s="921">
        <f t="shared" si="30"/>
        <v>0</v>
      </c>
    </row>
    <row r="56" spans="1:73" ht="13.8">
      <c r="A56" s="237"/>
      <c r="B56" s="19" t="s">
        <v>76</v>
      </c>
      <c r="C56" s="113"/>
      <c r="D56" s="119"/>
      <c r="E56" s="120">
        <f t="shared" si="70"/>
        <v>0</v>
      </c>
      <c r="F56" s="178">
        <f t="shared" ref="F56:F72" si="89">E56/$E$89</f>
        <v>0</v>
      </c>
      <c r="G56" s="163"/>
      <c r="H56" s="111"/>
      <c r="I56" s="41">
        <f t="shared" si="71"/>
        <v>0</v>
      </c>
      <c r="J56" s="178">
        <f t="shared" ref="J56:J74" si="90">I56/$I$89</f>
        <v>0</v>
      </c>
      <c r="K56" s="291"/>
      <c r="L56" s="210"/>
      <c r="M56" s="210"/>
      <c r="N56" s="106">
        <f t="shared" si="72"/>
        <v>0</v>
      </c>
      <c r="O56" s="178">
        <f t="shared" si="67"/>
        <v>0</v>
      </c>
      <c r="P56" s="79"/>
      <c r="Q56" s="210"/>
      <c r="R56" s="210"/>
      <c r="S56" s="106">
        <f t="shared" si="73"/>
        <v>0</v>
      </c>
      <c r="T56" s="178">
        <f t="shared" si="74"/>
        <v>0</v>
      </c>
      <c r="U56" s="259"/>
      <c r="V56" s="210"/>
      <c r="W56" s="210"/>
      <c r="X56" s="106">
        <f t="shared" si="75"/>
        <v>0</v>
      </c>
      <c r="Y56" s="178">
        <f t="shared" si="76"/>
        <v>0</v>
      </c>
      <c r="Z56" s="388"/>
      <c r="AA56" s="210"/>
      <c r="AB56" s="210"/>
      <c r="AC56" s="106">
        <f t="shared" si="77"/>
        <v>0</v>
      </c>
      <c r="AD56" s="178">
        <f t="shared" ref="AD56:AD72" si="91">AC56/$AC$89</f>
        <v>0</v>
      </c>
      <c r="AE56" s="388"/>
      <c r="AF56" s="210"/>
      <c r="AG56" s="210"/>
      <c r="AH56" s="106">
        <f t="shared" si="78"/>
        <v>0</v>
      </c>
      <c r="AI56" s="450">
        <f t="shared" si="68"/>
        <v>0</v>
      </c>
      <c r="AJ56" s="388"/>
      <c r="AK56" s="210"/>
      <c r="AL56" s="210"/>
      <c r="AM56" s="446">
        <f t="shared" si="79"/>
        <v>0</v>
      </c>
      <c r="AN56" s="450" t="e">
        <f t="shared" si="69"/>
        <v>#DIV/0!</v>
      </c>
      <c r="AO56" s="388"/>
      <c r="AP56" s="210"/>
      <c r="AQ56" s="210"/>
      <c r="AR56" s="446">
        <f t="shared" si="80"/>
        <v>0</v>
      </c>
      <c r="AS56" s="450" t="e">
        <f t="shared" si="7"/>
        <v>#DIV/0!</v>
      </c>
      <c r="AT56" s="388"/>
      <c r="AU56" s="210"/>
      <c r="AV56" s="210"/>
      <c r="AW56" s="446">
        <f t="shared" si="81"/>
        <v>0</v>
      </c>
      <c r="AX56" s="450">
        <f t="shared" si="8"/>
        <v>0</v>
      </c>
      <c r="AY56" s="388"/>
      <c r="AZ56" s="210"/>
      <c r="BA56" s="210"/>
      <c r="BB56" s="446">
        <f t="shared" si="82"/>
        <v>0</v>
      </c>
      <c r="BC56" s="450" t="e">
        <f t="shared" si="44"/>
        <v>#DIV/0!</v>
      </c>
      <c r="BD56" s="388"/>
      <c r="BE56" s="210"/>
      <c r="BF56" s="210"/>
      <c r="BG56" s="446">
        <f t="shared" si="83"/>
        <v>0</v>
      </c>
      <c r="BH56" s="450" t="e">
        <f t="shared" si="45"/>
        <v>#DIV/0!</v>
      </c>
      <c r="BI56" s="388"/>
      <c r="BJ56" s="39"/>
      <c r="BK56" s="39"/>
      <c r="BL56" s="446">
        <f t="shared" si="84"/>
        <v>0</v>
      </c>
      <c r="BM56" s="450" t="e">
        <f t="shared" si="46"/>
        <v>#DIV/0!</v>
      </c>
      <c r="BN56" s="388"/>
      <c r="BO56" s="39">
        <f t="shared" si="85"/>
        <v>0</v>
      </c>
      <c r="BP56" s="39">
        <f t="shared" si="86"/>
        <v>0</v>
      </c>
      <c r="BQ56" s="106">
        <f t="shared" si="87"/>
        <v>0</v>
      </c>
      <c r="BR56" s="178" t="e">
        <f t="shared" si="88"/>
        <v>#DIV/0!</v>
      </c>
      <c r="BS56" s="79"/>
      <c r="BU56" s="921">
        <f t="shared" si="30"/>
        <v>0</v>
      </c>
    </row>
    <row r="57" spans="1:73" ht="13.8">
      <c r="A57" s="237"/>
      <c r="B57" s="19" t="s">
        <v>68</v>
      </c>
      <c r="C57" s="113"/>
      <c r="D57" s="119"/>
      <c r="E57" s="120">
        <f t="shared" si="70"/>
        <v>0</v>
      </c>
      <c r="F57" s="178">
        <f t="shared" si="89"/>
        <v>0</v>
      </c>
      <c r="G57" s="163"/>
      <c r="H57" s="111"/>
      <c r="I57" s="41">
        <f t="shared" si="71"/>
        <v>0</v>
      </c>
      <c r="J57" s="178">
        <f t="shared" si="90"/>
        <v>0</v>
      </c>
      <c r="K57" s="291"/>
      <c r="L57" s="210"/>
      <c r="M57" s="210"/>
      <c r="N57" s="106">
        <f t="shared" si="72"/>
        <v>0</v>
      </c>
      <c r="O57" s="178">
        <f t="shared" si="67"/>
        <v>0</v>
      </c>
      <c r="P57" s="79"/>
      <c r="Q57" s="210"/>
      <c r="R57" s="210"/>
      <c r="S57" s="106">
        <f t="shared" si="73"/>
        <v>0</v>
      </c>
      <c r="T57" s="178">
        <f t="shared" si="74"/>
        <v>0</v>
      </c>
      <c r="U57" s="259"/>
      <c r="V57" s="210"/>
      <c r="W57" s="210"/>
      <c r="X57" s="106">
        <f t="shared" si="75"/>
        <v>0</v>
      </c>
      <c r="Y57" s="178">
        <f t="shared" si="76"/>
        <v>0</v>
      </c>
      <c r="Z57" s="388"/>
      <c r="AA57" s="210"/>
      <c r="AB57" s="210"/>
      <c r="AC57" s="106">
        <f t="shared" si="77"/>
        <v>0</v>
      </c>
      <c r="AD57" s="178">
        <f t="shared" si="91"/>
        <v>0</v>
      </c>
      <c r="AE57" s="388"/>
      <c r="AF57" s="210"/>
      <c r="AG57" s="210"/>
      <c r="AH57" s="106">
        <f t="shared" si="78"/>
        <v>0</v>
      </c>
      <c r="AI57" s="450">
        <f t="shared" si="68"/>
        <v>0</v>
      </c>
      <c r="AJ57" s="388"/>
      <c r="AK57" s="210"/>
      <c r="AL57" s="210"/>
      <c r="AM57" s="446">
        <f t="shared" si="79"/>
        <v>0</v>
      </c>
      <c r="AN57" s="450" t="e">
        <f t="shared" si="69"/>
        <v>#DIV/0!</v>
      </c>
      <c r="AO57" s="388"/>
      <c r="AP57" s="210"/>
      <c r="AQ57" s="210"/>
      <c r="AR57" s="446">
        <f t="shared" si="80"/>
        <v>0</v>
      </c>
      <c r="AS57" s="450" t="e">
        <f t="shared" si="7"/>
        <v>#DIV/0!</v>
      </c>
      <c r="AT57" s="388"/>
      <c r="AU57" s="210"/>
      <c r="AV57" s="210"/>
      <c r="AW57" s="446">
        <f t="shared" si="81"/>
        <v>0</v>
      </c>
      <c r="AX57" s="450">
        <f t="shared" si="8"/>
        <v>0</v>
      </c>
      <c r="AY57" s="388"/>
      <c r="AZ57" s="210"/>
      <c r="BA57" s="210"/>
      <c r="BB57" s="446">
        <f t="shared" si="82"/>
        <v>0</v>
      </c>
      <c r="BC57" s="450" t="e">
        <f t="shared" si="44"/>
        <v>#DIV/0!</v>
      </c>
      <c r="BD57" s="388"/>
      <c r="BE57" s="210"/>
      <c r="BF57" s="210"/>
      <c r="BG57" s="446">
        <f t="shared" si="83"/>
        <v>0</v>
      </c>
      <c r="BH57" s="450" t="e">
        <f t="shared" si="45"/>
        <v>#DIV/0!</v>
      </c>
      <c r="BI57" s="388"/>
      <c r="BJ57" s="39"/>
      <c r="BK57" s="39"/>
      <c r="BL57" s="446">
        <f t="shared" si="84"/>
        <v>0</v>
      </c>
      <c r="BM57" s="450" t="e">
        <f t="shared" si="46"/>
        <v>#DIV/0!</v>
      </c>
      <c r="BN57" s="388"/>
      <c r="BO57" s="39">
        <f t="shared" si="85"/>
        <v>0</v>
      </c>
      <c r="BP57" s="39">
        <f t="shared" si="86"/>
        <v>0</v>
      </c>
      <c r="BQ57" s="106">
        <f t="shared" si="87"/>
        <v>0</v>
      </c>
      <c r="BR57" s="178" t="e">
        <f t="shared" si="88"/>
        <v>#DIV/0!</v>
      </c>
      <c r="BS57" s="79"/>
      <c r="BU57" s="921">
        <f t="shared" si="30"/>
        <v>0</v>
      </c>
    </row>
    <row r="58" spans="1:73" ht="13.8">
      <c r="A58" s="237"/>
      <c r="B58" s="19" t="s">
        <v>67</v>
      </c>
      <c r="C58" s="113">
        <v>26565</v>
      </c>
      <c r="D58" s="119">
        <v>60935</v>
      </c>
      <c r="E58" s="120">
        <f t="shared" si="70"/>
        <v>87500</v>
      </c>
      <c r="F58" s="178">
        <f t="shared" si="89"/>
        <v>4.9873685458325431E-3</v>
      </c>
      <c r="G58" s="78">
        <v>5232.5</v>
      </c>
      <c r="H58" s="161">
        <v>11267.5</v>
      </c>
      <c r="I58" s="41">
        <f t="shared" si="71"/>
        <v>16500</v>
      </c>
      <c r="J58" s="178">
        <f t="shared" si="90"/>
        <v>2.3000751250894978E-2</v>
      </c>
      <c r="K58" s="291" t="s">
        <v>247</v>
      </c>
      <c r="L58" s="210">
        <v>5313</v>
      </c>
      <c r="M58" s="210">
        <v>12187</v>
      </c>
      <c r="N58" s="106">
        <f t="shared" si="72"/>
        <v>17500</v>
      </c>
      <c r="O58" s="178">
        <f t="shared" si="67"/>
        <v>2.3631621327682133E-2</v>
      </c>
      <c r="P58" s="79" t="s">
        <v>472</v>
      </c>
      <c r="Q58" s="210">
        <f>10626/2</f>
        <v>5313</v>
      </c>
      <c r="R58" s="210">
        <f>24374/2</f>
        <v>12187</v>
      </c>
      <c r="S58" s="106">
        <f t="shared" si="73"/>
        <v>17500</v>
      </c>
      <c r="T58" s="178">
        <f t="shared" si="74"/>
        <v>4.2608835257371561E-3</v>
      </c>
      <c r="U58" s="415" t="s">
        <v>472</v>
      </c>
      <c r="V58" s="210">
        <v>5313</v>
      </c>
      <c r="W58" s="210">
        <v>12187</v>
      </c>
      <c r="X58" s="106">
        <f t="shared" si="75"/>
        <v>17500</v>
      </c>
      <c r="Y58" s="178">
        <f t="shared" si="76"/>
        <v>2.858294156004677E-3</v>
      </c>
      <c r="Z58" s="388" t="s">
        <v>472</v>
      </c>
      <c r="AA58" s="210">
        <v>5313</v>
      </c>
      <c r="AB58" s="210">
        <v>12187</v>
      </c>
      <c r="AC58" s="106">
        <f t="shared" si="77"/>
        <v>17500</v>
      </c>
      <c r="AD58" s="178">
        <f t="shared" si="91"/>
        <v>4.6481827519480228E-3</v>
      </c>
      <c r="AE58" s="388" t="s">
        <v>716</v>
      </c>
      <c r="AF58" s="210">
        <v>5313</v>
      </c>
      <c r="AG58" s="210">
        <v>11687</v>
      </c>
      <c r="AH58" s="106">
        <f t="shared" si="78"/>
        <v>17000</v>
      </c>
      <c r="AI58" s="450">
        <f t="shared" si="68"/>
        <v>1.1312429071056325E-2</v>
      </c>
      <c r="AJ58" s="388" t="s">
        <v>716</v>
      </c>
      <c r="AK58" s="210">
        <v>4835.5600000000004</v>
      </c>
      <c r="AL58" s="210">
        <f>24213/2-500</f>
        <v>11606.5</v>
      </c>
      <c r="AM58" s="446">
        <f t="shared" si="79"/>
        <v>16442.060000000001</v>
      </c>
      <c r="AN58" s="450" t="e">
        <f t="shared" si="69"/>
        <v>#DIV/0!</v>
      </c>
      <c r="AO58" s="388" t="s">
        <v>824</v>
      </c>
      <c r="AP58" s="210"/>
      <c r="AQ58" s="210"/>
      <c r="AR58" s="446">
        <f t="shared" si="80"/>
        <v>0</v>
      </c>
      <c r="AS58" s="450" t="e">
        <f t="shared" si="7"/>
        <v>#DIV/0!</v>
      </c>
      <c r="AT58" s="388"/>
      <c r="AU58" s="210"/>
      <c r="AV58" s="210"/>
      <c r="AW58" s="446">
        <f t="shared" si="81"/>
        <v>0</v>
      </c>
      <c r="AX58" s="450">
        <f t="shared" si="8"/>
        <v>0</v>
      </c>
      <c r="AY58" s="388"/>
      <c r="AZ58" s="210"/>
      <c r="BA58" s="210"/>
      <c r="BB58" s="446">
        <f t="shared" si="82"/>
        <v>0</v>
      </c>
      <c r="BC58" s="450" t="e">
        <f t="shared" si="44"/>
        <v>#DIV/0!</v>
      </c>
      <c r="BD58" s="388"/>
      <c r="BE58" s="210"/>
      <c r="BF58" s="210"/>
      <c r="BG58" s="446">
        <f t="shared" si="83"/>
        <v>0</v>
      </c>
      <c r="BH58" s="450" t="e">
        <f t="shared" si="45"/>
        <v>#DIV/0!</v>
      </c>
      <c r="BI58" s="388"/>
      <c r="BJ58" s="39"/>
      <c r="BK58" s="39"/>
      <c r="BL58" s="446">
        <f t="shared" si="84"/>
        <v>0</v>
      </c>
      <c r="BM58" s="450" t="e">
        <f t="shared" si="46"/>
        <v>#DIV/0!</v>
      </c>
      <c r="BN58" s="388"/>
      <c r="BO58" s="39">
        <f t="shared" si="85"/>
        <v>36633.06</v>
      </c>
      <c r="BP58" s="39">
        <f t="shared" si="86"/>
        <v>83309</v>
      </c>
      <c r="BQ58" s="106">
        <f t="shared" si="87"/>
        <v>119942.06</v>
      </c>
      <c r="BR58" s="178" t="e">
        <f t="shared" si="88"/>
        <v>#DIV/0!</v>
      </c>
      <c r="BS58" s="79"/>
      <c r="BT58" s="77">
        <v>119942</v>
      </c>
      <c r="BU58" s="921">
        <f t="shared" si="30"/>
        <v>5.9999999997671694E-2</v>
      </c>
    </row>
    <row r="59" spans="1:73" ht="13.8">
      <c r="A59" s="237"/>
      <c r="B59" s="19" t="s">
        <v>66</v>
      </c>
      <c r="C59" s="113">
        <v>7150</v>
      </c>
      <c r="D59" s="119">
        <v>0</v>
      </c>
      <c r="E59" s="120">
        <f t="shared" si="70"/>
        <v>7150</v>
      </c>
      <c r="F59" s="178">
        <f t="shared" si="89"/>
        <v>4.0753925831660211E-4</v>
      </c>
      <c r="G59" s="163">
        <v>1267.5</v>
      </c>
      <c r="H59" s="111"/>
      <c r="I59" s="41">
        <f t="shared" si="71"/>
        <v>1267.5</v>
      </c>
      <c r="J59" s="178">
        <f t="shared" si="90"/>
        <v>1.7668758915460234E-3</v>
      </c>
      <c r="K59" s="291"/>
      <c r="L59" s="210">
        <v>1287</v>
      </c>
      <c r="M59" s="210"/>
      <c r="N59" s="106">
        <f t="shared" si="72"/>
        <v>1287</v>
      </c>
      <c r="O59" s="178">
        <f t="shared" si="67"/>
        <v>1.7379369513558232E-3</v>
      </c>
      <c r="P59" s="79"/>
      <c r="Q59" s="210">
        <f>2904/2</f>
        <v>1452</v>
      </c>
      <c r="R59" s="210"/>
      <c r="S59" s="106">
        <f t="shared" si="73"/>
        <v>1452</v>
      </c>
      <c r="T59" s="178">
        <f t="shared" si="74"/>
        <v>3.5353159310687722E-4</v>
      </c>
      <c r="U59" s="259"/>
      <c r="V59" s="210">
        <v>1287</v>
      </c>
      <c r="W59" s="210"/>
      <c r="X59" s="106">
        <f t="shared" si="75"/>
        <v>1287</v>
      </c>
      <c r="Y59" s="178">
        <f t="shared" si="76"/>
        <v>2.1020711878731539E-4</v>
      </c>
      <c r="Z59" s="388"/>
      <c r="AA59" s="210">
        <v>1287</v>
      </c>
      <c r="AB59" s="210"/>
      <c r="AC59" s="106">
        <f t="shared" si="77"/>
        <v>1287</v>
      </c>
      <c r="AD59" s="178">
        <f t="shared" si="91"/>
        <v>3.41840640100406E-4</v>
      </c>
      <c r="AE59" s="388"/>
      <c r="AF59" s="210">
        <v>1287</v>
      </c>
      <c r="AG59" s="210"/>
      <c r="AH59" s="106">
        <f t="shared" si="78"/>
        <v>1287</v>
      </c>
      <c r="AI59" s="450">
        <f t="shared" si="68"/>
        <v>8.5641742437938173E-4</v>
      </c>
      <c r="AJ59" s="388"/>
      <c r="AK59" s="210">
        <v>1171.3399999999999</v>
      </c>
      <c r="AL59" s="210"/>
      <c r="AM59" s="446">
        <f t="shared" si="79"/>
        <v>1171.3399999999999</v>
      </c>
      <c r="AN59" s="450" t="e">
        <f t="shared" si="69"/>
        <v>#DIV/0!</v>
      </c>
      <c r="AO59" s="388"/>
      <c r="AP59" s="210"/>
      <c r="AQ59" s="210"/>
      <c r="AR59" s="446">
        <f t="shared" si="80"/>
        <v>0</v>
      </c>
      <c r="AS59" s="450" t="e">
        <f t="shared" si="7"/>
        <v>#DIV/0!</v>
      </c>
      <c r="AT59" s="388"/>
      <c r="AU59" s="210"/>
      <c r="AV59" s="210"/>
      <c r="AW59" s="446">
        <f t="shared" si="81"/>
        <v>0</v>
      </c>
      <c r="AX59" s="450">
        <f t="shared" si="8"/>
        <v>0</v>
      </c>
      <c r="AY59" s="388"/>
      <c r="AZ59" s="210"/>
      <c r="BA59" s="210"/>
      <c r="BB59" s="446">
        <f t="shared" si="82"/>
        <v>0</v>
      </c>
      <c r="BC59" s="450" t="e">
        <f t="shared" si="44"/>
        <v>#DIV/0!</v>
      </c>
      <c r="BD59" s="388"/>
      <c r="BE59" s="210"/>
      <c r="BF59" s="210"/>
      <c r="BG59" s="446">
        <f t="shared" si="83"/>
        <v>0</v>
      </c>
      <c r="BH59" s="450" t="e">
        <f t="shared" si="45"/>
        <v>#DIV/0!</v>
      </c>
      <c r="BI59" s="388"/>
      <c r="BJ59" s="39"/>
      <c r="BK59" s="39"/>
      <c r="BL59" s="446">
        <f t="shared" si="84"/>
        <v>0</v>
      </c>
      <c r="BM59" s="450" t="e">
        <f t="shared" si="46"/>
        <v>#DIV/0!</v>
      </c>
      <c r="BN59" s="388"/>
      <c r="BO59" s="39">
        <f t="shared" si="85"/>
        <v>9038.84</v>
      </c>
      <c r="BP59" s="39">
        <f t="shared" si="86"/>
        <v>0</v>
      </c>
      <c r="BQ59" s="106">
        <f t="shared" si="87"/>
        <v>9038.84</v>
      </c>
      <c r="BR59" s="178" t="e">
        <f t="shared" si="88"/>
        <v>#DIV/0!</v>
      </c>
      <c r="BS59" s="79"/>
      <c r="BT59" s="77">
        <v>10161</v>
      </c>
      <c r="BU59" s="921">
        <f t="shared" si="30"/>
        <v>-1122.1599999999999</v>
      </c>
    </row>
    <row r="60" spans="1:73" ht="13.8">
      <c r="A60" s="237"/>
      <c r="B60" s="19" t="s">
        <v>65</v>
      </c>
      <c r="C60" s="113">
        <v>6338</v>
      </c>
      <c r="D60" s="119">
        <v>0</v>
      </c>
      <c r="E60" s="120">
        <f t="shared" si="70"/>
        <v>6338</v>
      </c>
      <c r="F60" s="178">
        <f t="shared" si="89"/>
        <v>3.6125647821127609E-4</v>
      </c>
      <c r="G60" s="163">
        <v>1430</v>
      </c>
      <c r="H60" s="111"/>
      <c r="I60" s="41">
        <f t="shared" si="71"/>
        <v>1430</v>
      </c>
      <c r="J60" s="178">
        <f t="shared" si="90"/>
        <v>1.9933984417442314E-3</v>
      </c>
      <c r="K60" s="291"/>
      <c r="L60" s="210">
        <v>1452</v>
      </c>
      <c r="M60" s="210"/>
      <c r="N60" s="106">
        <f t="shared" si="72"/>
        <v>1452</v>
      </c>
      <c r="O60" s="178">
        <f t="shared" si="67"/>
        <v>1.9607493810168261E-3</v>
      </c>
      <c r="P60" s="79"/>
      <c r="Q60" s="210">
        <f>2574/2</f>
        <v>1287</v>
      </c>
      <c r="R60" s="210"/>
      <c r="S60" s="106">
        <f t="shared" si="73"/>
        <v>1287</v>
      </c>
      <c r="T60" s="178">
        <f t="shared" si="74"/>
        <v>3.1335754843564114E-4</v>
      </c>
      <c r="U60" s="259"/>
      <c r="V60" s="210">
        <v>1452</v>
      </c>
      <c r="W60" s="210"/>
      <c r="X60" s="106">
        <f t="shared" si="75"/>
        <v>1452</v>
      </c>
      <c r="Y60" s="178">
        <f t="shared" si="76"/>
        <v>2.3715674940107378E-4</v>
      </c>
      <c r="Z60" s="388"/>
      <c r="AA60" s="210">
        <v>1452</v>
      </c>
      <c r="AB60" s="210"/>
      <c r="AC60" s="106">
        <f t="shared" si="77"/>
        <v>1452</v>
      </c>
      <c r="AD60" s="178">
        <f t="shared" si="91"/>
        <v>3.8566636319020166E-4</v>
      </c>
      <c r="AE60" s="388"/>
      <c r="AF60" s="210">
        <v>1452</v>
      </c>
      <c r="AG60" s="210"/>
      <c r="AH60" s="106">
        <f t="shared" si="78"/>
        <v>1452</v>
      </c>
      <c r="AI60" s="450">
        <f t="shared" si="68"/>
        <v>9.6621453006904602E-4</v>
      </c>
      <c r="AJ60" s="388"/>
      <c r="AK60" s="210">
        <v>1321.52</v>
      </c>
      <c r="AL60" s="210"/>
      <c r="AM60" s="446">
        <f t="shared" si="79"/>
        <v>1321.52</v>
      </c>
      <c r="AN60" s="450" t="e">
        <f t="shared" si="69"/>
        <v>#DIV/0!</v>
      </c>
      <c r="AO60" s="388"/>
      <c r="AP60" s="210"/>
      <c r="AQ60" s="210"/>
      <c r="AR60" s="446">
        <f t="shared" si="80"/>
        <v>0</v>
      </c>
      <c r="AS60" s="450" t="e">
        <f t="shared" si="7"/>
        <v>#DIV/0!</v>
      </c>
      <c r="AT60" s="388"/>
      <c r="AU60" s="210"/>
      <c r="AV60" s="210"/>
      <c r="AW60" s="446">
        <f t="shared" si="81"/>
        <v>0</v>
      </c>
      <c r="AX60" s="450">
        <f t="shared" si="8"/>
        <v>0</v>
      </c>
      <c r="AY60" s="388"/>
      <c r="AZ60" s="210"/>
      <c r="BA60" s="210"/>
      <c r="BB60" s="446">
        <f t="shared" si="82"/>
        <v>0</v>
      </c>
      <c r="BC60" s="450" t="e">
        <f t="shared" si="44"/>
        <v>#DIV/0!</v>
      </c>
      <c r="BD60" s="388"/>
      <c r="BE60" s="210"/>
      <c r="BF60" s="210"/>
      <c r="BG60" s="446">
        <f t="shared" si="83"/>
        <v>0</v>
      </c>
      <c r="BH60" s="450" t="e">
        <f t="shared" si="45"/>
        <v>#DIV/0!</v>
      </c>
      <c r="BI60" s="388"/>
      <c r="BJ60" s="39"/>
      <c r="BK60" s="39"/>
      <c r="BL60" s="446">
        <f t="shared" si="84"/>
        <v>0</v>
      </c>
      <c r="BM60" s="450" t="e">
        <f t="shared" si="46"/>
        <v>#DIV/0!</v>
      </c>
      <c r="BN60" s="388"/>
      <c r="BO60" s="39">
        <f t="shared" si="85"/>
        <v>9846.52</v>
      </c>
      <c r="BP60" s="39">
        <f t="shared" si="86"/>
        <v>0</v>
      </c>
      <c r="BQ60" s="106">
        <f t="shared" si="87"/>
        <v>9846.52</v>
      </c>
      <c r="BR60" s="178" t="e">
        <f t="shared" si="88"/>
        <v>#DIV/0!</v>
      </c>
      <c r="BS60" s="79"/>
      <c r="BT60" s="77">
        <v>11464</v>
      </c>
      <c r="BU60" s="921">
        <f t="shared" si="30"/>
        <v>-1617.4799999999996</v>
      </c>
    </row>
    <row r="61" spans="1:73" ht="13.8">
      <c r="A61" s="237"/>
      <c r="B61" s="19" t="s">
        <v>32</v>
      </c>
      <c r="C61" s="113"/>
      <c r="D61" s="119"/>
      <c r="E61" s="120">
        <f t="shared" si="70"/>
        <v>0</v>
      </c>
      <c r="F61" s="178">
        <f t="shared" si="89"/>
        <v>0</v>
      </c>
      <c r="G61" s="78"/>
      <c r="H61" s="161"/>
      <c r="I61" s="41">
        <f t="shared" si="71"/>
        <v>0</v>
      </c>
      <c r="J61" s="178">
        <f t="shared" si="90"/>
        <v>0</v>
      </c>
      <c r="K61" s="291"/>
      <c r="L61" s="210"/>
      <c r="M61" s="210"/>
      <c r="N61" s="106">
        <f t="shared" si="72"/>
        <v>0</v>
      </c>
      <c r="O61" s="178">
        <f t="shared" si="67"/>
        <v>0</v>
      </c>
      <c r="P61" s="79"/>
      <c r="Q61" s="210"/>
      <c r="R61" s="210"/>
      <c r="S61" s="106">
        <f t="shared" si="73"/>
        <v>0</v>
      </c>
      <c r="T61" s="178">
        <f t="shared" si="74"/>
        <v>0</v>
      </c>
      <c r="U61" s="259"/>
      <c r="V61" s="210"/>
      <c r="W61" s="210"/>
      <c r="X61" s="106">
        <f t="shared" si="75"/>
        <v>0</v>
      </c>
      <c r="Y61" s="178">
        <f t="shared" si="76"/>
        <v>0</v>
      </c>
      <c r="Z61" s="259"/>
      <c r="AA61" s="210"/>
      <c r="AB61" s="210"/>
      <c r="AC61" s="106">
        <f t="shared" si="77"/>
        <v>0</v>
      </c>
      <c r="AD61" s="178">
        <f t="shared" si="91"/>
        <v>0</v>
      </c>
      <c r="AE61" s="259"/>
      <c r="AF61" s="210"/>
      <c r="AG61" s="210"/>
      <c r="AH61" s="106">
        <f t="shared" si="78"/>
        <v>0</v>
      </c>
      <c r="AI61" s="450">
        <f t="shared" si="68"/>
        <v>0</v>
      </c>
      <c r="AJ61" s="259"/>
      <c r="AK61" s="210"/>
      <c r="AL61" s="210"/>
      <c r="AM61" s="446">
        <f t="shared" si="79"/>
        <v>0</v>
      </c>
      <c r="AN61" s="450" t="e">
        <f t="shared" si="69"/>
        <v>#DIV/0!</v>
      </c>
      <c r="AO61" s="259"/>
      <c r="AP61" s="210"/>
      <c r="AQ61" s="210"/>
      <c r="AR61" s="446">
        <f t="shared" si="80"/>
        <v>0</v>
      </c>
      <c r="AS61" s="450" t="e">
        <f t="shared" si="7"/>
        <v>#DIV/0!</v>
      </c>
      <c r="AT61" s="259"/>
      <c r="AU61" s="210"/>
      <c r="AV61" s="210"/>
      <c r="AW61" s="446">
        <f t="shared" si="81"/>
        <v>0</v>
      </c>
      <c r="AX61" s="450">
        <f t="shared" si="8"/>
        <v>0</v>
      </c>
      <c r="AY61" s="259"/>
      <c r="AZ61" s="210"/>
      <c r="BA61" s="210"/>
      <c r="BB61" s="446">
        <f t="shared" si="82"/>
        <v>0</v>
      </c>
      <c r="BC61" s="450" t="e">
        <f t="shared" si="44"/>
        <v>#DIV/0!</v>
      </c>
      <c r="BD61" s="259"/>
      <c r="BE61" s="210"/>
      <c r="BF61" s="210"/>
      <c r="BG61" s="446">
        <f t="shared" si="83"/>
        <v>0</v>
      </c>
      <c r="BH61" s="450" t="e">
        <f t="shared" si="45"/>
        <v>#DIV/0!</v>
      </c>
      <c r="BI61" s="259"/>
      <c r="BJ61" s="39"/>
      <c r="BK61" s="39"/>
      <c r="BL61" s="446">
        <f t="shared" si="84"/>
        <v>0</v>
      </c>
      <c r="BM61" s="450" t="e">
        <f t="shared" si="46"/>
        <v>#DIV/0!</v>
      </c>
      <c r="BN61" s="259"/>
      <c r="BO61" s="39">
        <f t="shared" si="85"/>
        <v>0</v>
      </c>
      <c r="BP61" s="39">
        <f t="shared" si="86"/>
        <v>0</v>
      </c>
      <c r="BQ61" s="106">
        <f t="shared" si="87"/>
        <v>0</v>
      </c>
      <c r="BR61" s="178" t="e">
        <f t="shared" si="88"/>
        <v>#DIV/0!</v>
      </c>
      <c r="BS61" s="79"/>
      <c r="BU61" s="921">
        <f t="shared" si="30"/>
        <v>0</v>
      </c>
    </row>
    <row r="62" spans="1:73" ht="13.8">
      <c r="A62" s="237"/>
      <c r="B62" s="19" t="s">
        <v>33</v>
      </c>
      <c r="C62" s="113"/>
      <c r="D62" s="119"/>
      <c r="E62" s="120">
        <f t="shared" si="70"/>
        <v>0</v>
      </c>
      <c r="F62" s="178">
        <f t="shared" si="89"/>
        <v>0</v>
      </c>
      <c r="G62" s="78"/>
      <c r="H62" s="161"/>
      <c r="I62" s="41">
        <f t="shared" si="71"/>
        <v>0</v>
      </c>
      <c r="J62" s="178">
        <f t="shared" si="90"/>
        <v>0</v>
      </c>
      <c r="K62" s="291"/>
      <c r="L62" s="210"/>
      <c r="M62" s="210"/>
      <c r="N62" s="106">
        <f t="shared" si="72"/>
        <v>0</v>
      </c>
      <c r="O62" s="178">
        <f t="shared" si="67"/>
        <v>0</v>
      </c>
      <c r="P62" s="79"/>
      <c r="Q62" s="210"/>
      <c r="R62" s="210"/>
      <c r="S62" s="106">
        <f t="shared" si="73"/>
        <v>0</v>
      </c>
      <c r="T62" s="178">
        <f t="shared" si="74"/>
        <v>0</v>
      </c>
      <c r="U62" s="259"/>
      <c r="V62" s="210"/>
      <c r="W62" s="210"/>
      <c r="X62" s="106">
        <f t="shared" si="75"/>
        <v>0</v>
      </c>
      <c r="Y62" s="178">
        <f t="shared" si="76"/>
        <v>0</v>
      </c>
      <c r="Z62" s="259"/>
      <c r="AA62" s="210"/>
      <c r="AB62" s="210"/>
      <c r="AC62" s="106">
        <f t="shared" si="77"/>
        <v>0</v>
      </c>
      <c r="AD62" s="178">
        <f t="shared" si="91"/>
        <v>0</v>
      </c>
      <c r="AE62" s="259"/>
      <c r="AF62" s="210"/>
      <c r="AG62" s="210"/>
      <c r="AH62" s="106">
        <f t="shared" si="78"/>
        <v>0</v>
      </c>
      <c r="AI62" s="450">
        <f t="shared" si="68"/>
        <v>0</v>
      </c>
      <c r="AJ62" s="259"/>
      <c r="AK62" s="210"/>
      <c r="AL62" s="210"/>
      <c r="AM62" s="446">
        <f t="shared" si="79"/>
        <v>0</v>
      </c>
      <c r="AN62" s="450" t="e">
        <f t="shared" si="69"/>
        <v>#DIV/0!</v>
      </c>
      <c r="AO62" s="259"/>
      <c r="AP62" s="210"/>
      <c r="AQ62" s="210"/>
      <c r="AR62" s="446">
        <f t="shared" si="80"/>
        <v>0</v>
      </c>
      <c r="AS62" s="450" t="e">
        <f t="shared" si="7"/>
        <v>#DIV/0!</v>
      </c>
      <c r="AT62" s="259"/>
      <c r="AU62" s="210"/>
      <c r="AV62" s="210"/>
      <c r="AW62" s="446">
        <f t="shared" si="81"/>
        <v>0</v>
      </c>
      <c r="AX62" s="450">
        <f t="shared" si="8"/>
        <v>0</v>
      </c>
      <c r="AY62" s="259"/>
      <c r="AZ62" s="210"/>
      <c r="BA62" s="210"/>
      <c r="BB62" s="446">
        <f t="shared" si="82"/>
        <v>0</v>
      </c>
      <c r="BC62" s="450" t="e">
        <f t="shared" si="44"/>
        <v>#DIV/0!</v>
      </c>
      <c r="BD62" s="259"/>
      <c r="BE62" s="210"/>
      <c r="BF62" s="210"/>
      <c r="BG62" s="446">
        <f t="shared" si="83"/>
        <v>0</v>
      </c>
      <c r="BH62" s="450" t="e">
        <f t="shared" si="45"/>
        <v>#DIV/0!</v>
      </c>
      <c r="BI62" s="259"/>
      <c r="BJ62" s="39"/>
      <c r="BK62" s="39"/>
      <c r="BL62" s="446">
        <f t="shared" si="84"/>
        <v>0</v>
      </c>
      <c r="BM62" s="450" t="e">
        <f t="shared" si="46"/>
        <v>#DIV/0!</v>
      </c>
      <c r="BN62" s="259"/>
      <c r="BO62" s="39">
        <f t="shared" si="85"/>
        <v>0</v>
      </c>
      <c r="BP62" s="39">
        <f t="shared" si="86"/>
        <v>0</v>
      </c>
      <c r="BQ62" s="106">
        <f t="shared" si="87"/>
        <v>0</v>
      </c>
      <c r="BR62" s="178" t="e">
        <f t="shared" si="88"/>
        <v>#DIV/0!</v>
      </c>
      <c r="BS62" s="79"/>
      <c r="BU62" s="921">
        <f t="shared" si="30"/>
        <v>0</v>
      </c>
    </row>
    <row r="63" spans="1:73" ht="82.8">
      <c r="A63" s="237"/>
      <c r="B63" s="615" t="s">
        <v>35</v>
      </c>
      <c r="C63" s="113">
        <v>17280</v>
      </c>
      <c r="D63" s="119"/>
      <c r="E63" s="120">
        <f t="shared" si="70"/>
        <v>17280</v>
      </c>
      <c r="F63" s="178">
        <f t="shared" si="89"/>
        <v>9.8493403967984386E-4</v>
      </c>
      <c r="G63" s="78">
        <v>2329.75</v>
      </c>
      <c r="H63" s="161">
        <v>1500</v>
      </c>
      <c r="I63" s="41">
        <f t="shared" si="71"/>
        <v>3829.75</v>
      </c>
      <c r="J63" s="178">
        <f t="shared" si="90"/>
        <v>5.338613763825154E-3</v>
      </c>
      <c r="K63" s="291" t="s">
        <v>391</v>
      </c>
      <c r="L63" s="210"/>
      <c r="M63" s="210"/>
      <c r="N63" s="106">
        <f t="shared" si="72"/>
        <v>0</v>
      </c>
      <c r="O63" s="178">
        <f t="shared" si="67"/>
        <v>0</v>
      </c>
      <c r="P63" s="79"/>
      <c r="Q63" s="470">
        <v>2483.35</v>
      </c>
      <c r="R63" s="210"/>
      <c r="S63" s="106">
        <f t="shared" si="73"/>
        <v>2483.35</v>
      </c>
      <c r="T63" s="178">
        <f t="shared" si="74"/>
        <v>6.0464372020796377E-4</v>
      </c>
      <c r="U63" s="415" t="s">
        <v>580</v>
      </c>
      <c r="V63" s="210">
        <v>2483.35</v>
      </c>
      <c r="W63" s="210">
        <v>2300</v>
      </c>
      <c r="X63" s="106">
        <f t="shared" si="75"/>
        <v>4783.3500000000004</v>
      </c>
      <c r="Y63" s="178">
        <f t="shared" si="76"/>
        <v>7.8126979149285554E-4</v>
      </c>
      <c r="Z63" s="388" t="s">
        <v>655</v>
      </c>
      <c r="AA63" s="210">
        <f>12955.2/2</f>
        <v>6477.6</v>
      </c>
      <c r="AB63" s="210"/>
      <c r="AC63" s="106">
        <f t="shared" si="77"/>
        <v>6477.6</v>
      </c>
      <c r="AD63" s="178">
        <f t="shared" si="91"/>
        <v>1.7205182053724865E-3</v>
      </c>
      <c r="AE63" s="388" t="s">
        <v>728</v>
      </c>
      <c r="AF63" s="210">
        <v>3492</v>
      </c>
      <c r="AG63" s="210"/>
      <c r="AH63" s="106">
        <f t="shared" si="78"/>
        <v>3492</v>
      </c>
      <c r="AI63" s="450">
        <f t="shared" si="68"/>
        <v>2.3237060185958051E-3</v>
      </c>
      <c r="AJ63" s="388" t="s">
        <v>778</v>
      </c>
      <c r="AK63" s="210">
        <v>4325.3900000000003</v>
      </c>
      <c r="AL63" s="210">
        <f>280+936</f>
        <v>1216</v>
      </c>
      <c r="AM63" s="446">
        <f t="shared" si="79"/>
        <v>5541.39</v>
      </c>
      <c r="AN63" s="450" t="e">
        <f t="shared" si="69"/>
        <v>#DIV/0!</v>
      </c>
      <c r="AO63" s="388" t="s">
        <v>850</v>
      </c>
      <c r="AP63" s="210"/>
      <c r="AQ63" s="210"/>
      <c r="AR63" s="446">
        <f t="shared" si="80"/>
        <v>0</v>
      </c>
      <c r="AS63" s="450" t="e">
        <f t="shared" si="7"/>
        <v>#DIV/0!</v>
      </c>
      <c r="AT63" s="388"/>
      <c r="AU63" s="210"/>
      <c r="AV63" s="210"/>
      <c r="AW63" s="446">
        <f t="shared" si="81"/>
        <v>0</v>
      </c>
      <c r="AX63" s="450">
        <f t="shared" si="8"/>
        <v>0</v>
      </c>
      <c r="AY63" s="388"/>
      <c r="AZ63" s="210"/>
      <c r="BA63" s="210">
        <v>300</v>
      </c>
      <c r="BB63" s="446">
        <f t="shared" si="82"/>
        <v>300</v>
      </c>
      <c r="BC63" s="450" t="e">
        <f t="shared" si="44"/>
        <v>#DIV/0!</v>
      </c>
      <c r="BD63" s="388" t="s">
        <v>914</v>
      </c>
      <c r="BE63" s="210"/>
      <c r="BF63" s="210"/>
      <c r="BG63" s="446">
        <f t="shared" si="83"/>
        <v>0</v>
      </c>
      <c r="BH63" s="450" t="e">
        <f t="shared" si="45"/>
        <v>#DIV/0!</v>
      </c>
      <c r="BI63" s="388"/>
      <c r="BJ63" s="39"/>
      <c r="BK63" s="39"/>
      <c r="BL63" s="446">
        <f t="shared" si="84"/>
        <v>0</v>
      </c>
      <c r="BM63" s="450" t="e">
        <f t="shared" si="46"/>
        <v>#DIV/0!</v>
      </c>
      <c r="BN63" s="388"/>
      <c r="BO63" s="39">
        <f t="shared" si="85"/>
        <v>21591.440000000002</v>
      </c>
      <c r="BP63" s="39">
        <f t="shared" si="86"/>
        <v>5316</v>
      </c>
      <c r="BQ63" s="106">
        <f t="shared" si="87"/>
        <v>26907.440000000002</v>
      </c>
      <c r="BR63" s="178" t="e">
        <f t="shared" si="88"/>
        <v>#DIV/0!</v>
      </c>
      <c r="BS63" s="79"/>
      <c r="BT63" s="77">
        <v>37004</v>
      </c>
      <c r="BU63" s="921">
        <f t="shared" si="30"/>
        <v>-10096.559999999998</v>
      </c>
    </row>
    <row r="64" spans="1:73" ht="13.8">
      <c r="A64" s="237"/>
      <c r="B64" s="615" t="s">
        <v>63</v>
      </c>
      <c r="C64" s="113"/>
      <c r="D64" s="119"/>
      <c r="E64" s="120">
        <f t="shared" si="70"/>
        <v>0</v>
      </c>
      <c r="F64" s="178">
        <f t="shared" si="89"/>
        <v>0</v>
      </c>
      <c r="G64" s="78"/>
      <c r="H64" s="161"/>
      <c r="I64" s="41">
        <f t="shared" si="71"/>
        <v>0</v>
      </c>
      <c r="J64" s="178">
        <f t="shared" si="90"/>
        <v>0</v>
      </c>
      <c r="K64" s="291"/>
      <c r="L64" s="210"/>
      <c r="M64" s="210"/>
      <c r="N64" s="106">
        <f t="shared" si="72"/>
        <v>0</v>
      </c>
      <c r="O64" s="178">
        <f t="shared" si="67"/>
        <v>0</v>
      </c>
      <c r="P64" s="79"/>
      <c r="Q64" s="210"/>
      <c r="R64" s="210"/>
      <c r="S64" s="106">
        <f t="shared" si="73"/>
        <v>0</v>
      </c>
      <c r="T64" s="178">
        <f t="shared" si="74"/>
        <v>0</v>
      </c>
      <c r="U64" s="259"/>
      <c r="V64" s="210"/>
      <c r="W64" s="210"/>
      <c r="X64" s="106">
        <f t="shared" si="75"/>
        <v>0</v>
      </c>
      <c r="Y64" s="178">
        <f t="shared" si="76"/>
        <v>0</v>
      </c>
      <c r="Z64" s="259"/>
      <c r="AA64" s="210"/>
      <c r="AB64" s="210"/>
      <c r="AC64" s="106">
        <f t="shared" si="77"/>
        <v>0</v>
      </c>
      <c r="AD64" s="178">
        <f t="shared" si="91"/>
        <v>0</v>
      </c>
      <c r="AE64" s="259"/>
      <c r="AF64" s="210"/>
      <c r="AG64" s="210"/>
      <c r="AH64" s="106">
        <f t="shared" si="78"/>
        <v>0</v>
      </c>
      <c r="AI64" s="450">
        <f t="shared" si="68"/>
        <v>0</v>
      </c>
      <c r="AJ64" s="259"/>
      <c r="AK64" s="210"/>
      <c r="AL64" s="210"/>
      <c r="AM64" s="446">
        <f t="shared" si="79"/>
        <v>0</v>
      </c>
      <c r="AN64" s="450" t="e">
        <f t="shared" si="69"/>
        <v>#DIV/0!</v>
      </c>
      <c r="AO64" s="259"/>
      <c r="AP64" s="210"/>
      <c r="AQ64" s="210"/>
      <c r="AR64" s="446">
        <f t="shared" si="80"/>
        <v>0</v>
      </c>
      <c r="AS64" s="450" t="e">
        <f t="shared" si="7"/>
        <v>#DIV/0!</v>
      </c>
      <c r="AT64" s="259"/>
      <c r="AU64" s="210"/>
      <c r="AV64" s="210"/>
      <c r="AW64" s="446">
        <f t="shared" si="81"/>
        <v>0</v>
      </c>
      <c r="AX64" s="450">
        <f t="shared" si="8"/>
        <v>0</v>
      </c>
      <c r="AY64" s="259"/>
      <c r="AZ64" s="210"/>
      <c r="BA64" s="210"/>
      <c r="BB64" s="446">
        <f t="shared" si="82"/>
        <v>0</v>
      </c>
      <c r="BC64" s="450" t="e">
        <f t="shared" si="44"/>
        <v>#DIV/0!</v>
      </c>
      <c r="BD64" s="259"/>
      <c r="BE64" s="210"/>
      <c r="BF64" s="210"/>
      <c r="BG64" s="446">
        <f t="shared" si="83"/>
        <v>0</v>
      </c>
      <c r="BH64" s="450" t="e">
        <f t="shared" si="45"/>
        <v>#DIV/0!</v>
      </c>
      <c r="BI64" s="259"/>
      <c r="BJ64" s="39"/>
      <c r="BK64" s="39"/>
      <c r="BL64" s="446">
        <f t="shared" si="84"/>
        <v>0</v>
      </c>
      <c r="BM64" s="450" t="e">
        <f t="shared" si="46"/>
        <v>#DIV/0!</v>
      </c>
      <c r="BN64" s="259"/>
      <c r="BO64" s="39">
        <f t="shared" si="85"/>
        <v>0</v>
      </c>
      <c r="BP64" s="39">
        <f t="shared" si="86"/>
        <v>0</v>
      </c>
      <c r="BQ64" s="106">
        <f t="shared" si="87"/>
        <v>0</v>
      </c>
      <c r="BR64" s="178" t="e">
        <f t="shared" si="88"/>
        <v>#DIV/0!</v>
      </c>
      <c r="BS64" s="79"/>
      <c r="BU64" s="921">
        <f t="shared" si="30"/>
        <v>0</v>
      </c>
    </row>
    <row r="65" spans="1:73" ht="27.6">
      <c r="A65" s="237"/>
      <c r="B65" s="615" t="s">
        <v>36</v>
      </c>
      <c r="C65" s="113"/>
      <c r="D65" s="119"/>
      <c r="E65" s="120">
        <f t="shared" si="70"/>
        <v>0</v>
      </c>
      <c r="F65" s="178">
        <f t="shared" si="89"/>
        <v>0</v>
      </c>
      <c r="G65" s="78"/>
      <c r="H65" s="161"/>
      <c r="I65" s="41">
        <f t="shared" si="71"/>
        <v>0</v>
      </c>
      <c r="J65" s="342">
        <f t="shared" si="90"/>
        <v>0</v>
      </c>
      <c r="K65" s="291"/>
      <c r="L65" s="39"/>
      <c r="M65" s="39"/>
      <c r="N65" s="106">
        <f t="shared" si="72"/>
        <v>0</v>
      </c>
      <c r="O65" s="178">
        <f>N65/$N$89</f>
        <v>0</v>
      </c>
      <c r="P65" s="79"/>
      <c r="Q65" s="39"/>
      <c r="R65" s="39"/>
      <c r="S65" s="106">
        <f t="shared" si="73"/>
        <v>0</v>
      </c>
      <c r="T65" s="178">
        <f t="shared" si="74"/>
        <v>0</v>
      </c>
      <c r="U65" s="259"/>
      <c r="V65" s="39"/>
      <c r="W65" s="39"/>
      <c r="X65" s="106">
        <f t="shared" si="75"/>
        <v>0</v>
      </c>
      <c r="Y65" s="178">
        <f t="shared" si="76"/>
        <v>0</v>
      </c>
      <c r="Z65" s="259"/>
      <c r="AA65" s="39"/>
      <c r="AB65" s="39"/>
      <c r="AC65" s="106">
        <f t="shared" si="77"/>
        <v>0</v>
      </c>
      <c r="AD65" s="178">
        <f t="shared" si="91"/>
        <v>0</v>
      </c>
      <c r="AE65" s="259"/>
      <c r="AF65" s="39"/>
      <c r="AG65" s="39"/>
      <c r="AH65" s="106">
        <f t="shared" si="78"/>
        <v>0</v>
      </c>
      <c r="AI65" s="450">
        <f t="shared" si="68"/>
        <v>0</v>
      </c>
      <c r="AJ65" s="259"/>
      <c r="AK65" s="210">
        <v>1000</v>
      </c>
      <c r="AL65" s="39"/>
      <c r="AM65" s="446">
        <f t="shared" si="79"/>
        <v>1000</v>
      </c>
      <c r="AN65" s="450" t="e">
        <f t="shared" si="69"/>
        <v>#DIV/0!</v>
      </c>
      <c r="AO65" s="388" t="s">
        <v>828</v>
      </c>
      <c r="AP65" s="210"/>
      <c r="AQ65" s="39">
        <v>1400</v>
      </c>
      <c r="AR65" s="446">
        <f t="shared" si="80"/>
        <v>1400</v>
      </c>
      <c r="AS65" s="450" t="e">
        <f t="shared" si="7"/>
        <v>#DIV/0!</v>
      </c>
      <c r="AT65" s="388" t="s">
        <v>873</v>
      </c>
      <c r="AU65" s="210"/>
      <c r="AV65" s="39"/>
      <c r="AW65" s="446">
        <f t="shared" si="81"/>
        <v>0</v>
      </c>
      <c r="AX65" s="450">
        <f t="shared" si="8"/>
        <v>0</v>
      </c>
      <c r="AY65" s="388"/>
      <c r="AZ65" s="210"/>
      <c r="BA65" s="39"/>
      <c r="BB65" s="446">
        <f t="shared" si="82"/>
        <v>0</v>
      </c>
      <c r="BC65" s="450" t="e">
        <f t="shared" si="44"/>
        <v>#DIV/0!</v>
      </c>
      <c r="BD65" s="388"/>
      <c r="BE65" s="210"/>
      <c r="BF65" s="39"/>
      <c r="BG65" s="446">
        <f t="shared" si="83"/>
        <v>0</v>
      </c>
      <c r="BH65" s="450" t="e">
        <f t="shared" si="45"/>
        <v>#DIV/0!</v>
      </c>
      <c r="BI65" s="388"/>
      <c r="BJ65" s="39"/>
      <c r="BK65" s="39"/>
      <c r="BL65" s="446">
        <f t="shared" si="84"/>
        <v>0</v>
      </c>
      <c r="BM65" s="450" t="e">
        <f t="shared" si="46"/>
        <v>#DIV/0!</v>
      </c>
      <c r="BN65" s="388"/>
      <c r="BO65" s="39">
        <f t="shared" si="85"/>
        <v>1000</v>
      </c>
      <c r="BP65" s="39">
        <f t="shared" si="86"/>
        <v>1400</v>
      </c>
      <c r="BQ65" s="106">
        <f t="shared" si="87"/>
        <v>2400</v>
      </c>
      <c r="BR65" s="178" t="e">
        <f t="shared" si="88"/>
        <v>#DIV/0!</v>
      </c>
      <c r="BS65" s="79"/>
      <c r="BU65" s="921">
        <f t="shared" si="30"/>
        <v>2400</v>
      </c>
    </row>
    <row r="66" spans="1:73" s="2" customFormat="1" ht="13.8">
      <c r="A66" s="237"/>
      <c r="B66" s="615" t="s">
        <v>37</v>
      </c>
      <c r="C66" s="113"/>
      <c r="D66" s="119"/>
      <c r="E66" s="120">
        <f t="shared" si="70"/>
        <v>0</v>
      </c>
      <c r="F66" s="178">
        <f t="shared" si="89"/>
        <v>0</v>
      </c>
      <c r="G66" s="78"/>
      <c r="H66" s="161"/>
      <c r="I66" s="41">
        <f t="shared" si="71"/>
        <v>0</v>
      </c>
      <c r="J66" s="178">
        <f t="shared" si="90"/>
        <v>0</v>
      </c>
      <c r="K66" s="291"/>
      <c r="L66" s="39"/>
      <c r="M66" s="39"/>
      <c r="N66" s="106">
        <f t="shared" si="72"/>
        <v>0</v>
      </c>
      <c r="O66" s="178">
        <f t="shared" si="67"/>
        <v>0</v>
      </c>
      <c r="P66" s="79"/>
      <c r="Q66" s="39"/>
      <c r="R66" s="39"/>
      <c r="S66" s="106">
        <f t="shared" si="73"/>
        <v>0</v>
      </c>
      <c r="T66" s="178">
        <f t="shared" si="74"/>
        <v>0</v>
      </c>
      <c r="U66" s="259"/>
      <c r="V66" s="39"/>
      <c r="W66" s="39"/>
      <c r="X66" s="106">
        <f t="shared" si="75"/>
        <v>0</v>
      </c>
      <c r="Y66" s="178">
        <f t="shared" si="76"/>
        <v>0</v>
      </c>
      <c r="Z66" s="259"/>
      <c r="AA66" s="39"/>
      <c r="AB66" s="39"/>
      <c r="AC66" s="106">
        <f t="shared" si="77"/>
        <v>0</v>
      </c>
      <c r="AD66" s="178">
        <f t="shared" si="91"/>
        <v>0</v>
      </c>
      <c r="AE66" s="259"/>
      <c r="AF66" s="39"/>
      <c r="AG66" s="39"/>
      <c r="AH66" s="106">
        <f t="shared" si="78"/>
        <v>0</v>
      </c>
      <c r="AI66" s="450">
        <f t="shared" si="68"/>
        <v>0</v>
      </c>
      <c r="AJ66" s="259"/>
      <c r="AK66" s="39"/>
      <c r="AL66" s="39"/>
      <c r="AM66" s="446">
        <f t="shared" si="79"/>
        <v>0</v>
      </c>
      <c r="AN66" s="450" t="e">
        <f t="shared" si="69"/>
        <v>#DIV/0!</v>
      </c>
      <c r="AO66" s="259"/>
      <c r="AP66" s="39"/>
      <c r="AQ66" s="39"/>
      <c r="AR66" s="446">
        <f t="shared" si="80"/>
        <v>0</v>
      </c>
      <c r="AS66" s="450" t="e">
        <f t="shared" si="7"/>
        <v>#DIV/0!</v>
      </c>
      <c r="AT66" s="259"/>
      <c r="AU66" s="39"/>
      <c r="AV66" s="39"/>
      <c r="AW66" s="446">
        <f t="shared" si="81"/>
        <v>0</v>
      </c>
      <c r="AX66" s="450">
        <f t="shared" si="8"/>
        <v>0</v>
      </c>
      <c r="AY66" s="259"/>
      <c r="AZ66" s="39"/>
      <c r="BA66" s="39"/>
      <c r="BB66" s="446">
        <f t="shared" si="82"/>
        <v>0</v>
      </c>
      <c r="BC66" s="450" t="e">
        <f t="shared" si="44"/>
        <v>#DIV/0!</v>
      </c>
      <c r="BD66" s="259"/>
      <c r="BE66" s="39"/>
      <c r="BF66" s="39"/>
      <c r="BG66" s="446">
        <f t="shared" si="83"/>
        <v>0</v>
      </c>
      <c r="BH66" s="450" t="e">
        <f t="shared" si="45"/>
        <v>#DIV/0!</v>
      </c>
      <c r="BI66" s="259"/>
      <c r="BJ66" s="39"/>
      <c r="BK66" s="39"/>
      <c r="BL66" s="446">
        <f t="shared" si="84"/>
        <v>0</v>
      </c>
      <c r="BM66" s="450" t="e">
        <f t="shared" si="46"/>
        <v>#DIV/0!</v>
      </c>
      <c r="BN66" s="259"/>
      <c r="BO66" s="39">
        <f t="shared" si="85"/>
        <v>0</v>
      </c>
      <c r="BP66" s="39">
        <f t="shared" si="86"/>
        <v>0</v>
      </c>
      <c r="BQ66" s="106">
        <f t="shared" si="87"/>
        <v>0</v>
      </c>
      <c r="BR66" s="178" t="e">
        <f t="shared" si="88"/>
        <v>#DIV/0!</v>
      </c>
      <c r="BS66" s="79"/>
      <c r="BT66" s="919"/>
      <c r="BU66" s="921">
        <f t="shared" si="30"/>
        <v>0</v>
      </c>
    </row>
    <row r="67" spans="1:73" s="2" customFormat="1" ht="27.6">
      <c r="A67" s="237"/>
      <c r="B67" s="615" t="s">
        <v>3</v>
      </c>
      <c r="C67" s="113"/>
      <c r="D67" s="119"/>
      <c r="E67" s="120">
        <f t="shared" si="70"/>
        <v>0</v>
      </c>
      <c r="F67" s="178">
        <f t="shared" si="89"/>
        <v>0</v>
      </c>
      <c r="G67" s="78"/>
      <c r="H67" s="161"/>
      <c r="I67" s="41">
        <f t="shared" si="71"/>
        <v>0</v>
      </c>
      <c r="J67" s="178">
        <f t="shared" si="90"/>
        <v>0</v>
      </c>
      <c r="K67" s="291"/>
      <c r="L67" s="39"/>
      <c r="M67" s="39"/>
      <c r="N67" s="106">
        <f t="shared" si="72"/>
        <v>0</v>
      </c>
      <c r="O67" s="178">
        <f t="shared" si="67"/>
        <v>0</v>
      </c>
      <c r="P67" s="79"/>
      <c r="Q67" s="39"/>
      <c r="R67" s="39"/>
      <c r="S67" s="106">
        <f t="shared" si="73"/>
        <v>0</v>
      </c>
      <c r="T67" s="178">
        <f t="shared" si="74"/>
        <v>0</v>
      </c>
      <c r="U67" s="259"/>
      <c r="V67" s="39"/>
      <c r="W67" s="39"/>
      <c r="X67" s="106">
        <f t="shared" si="75"/>
        <v>0</v>
      </c>
      <c r="Y67" s="178">
        <f t="shared" si="76"/>
        <v>0</v>
      </c>
      <c r="Z67" s="259"/>
      <c r="AA67" s="39"/>
      <c r="AB67" s="39"/>
      <c r="AC67" s="106">
        <f t="shared" si="77"/>
        <v>0</v>
      </c>
      <c r="AD67" s="178">
        <f t="shared" si="91"/>
        <v>0</v>
      </c>
      <c r="AE67" s="259"/>
      <c r="AF67" s="39"/>
      <c r="AG67" s="39"/>
      <c r="AH67" s="106">
        <f t="shared" si="78"/>
        <v>0</v>
      </c>
      <c r="AI67" s="450">
        <f t="shared" si="68"/>
        <v>0</v>
      </c>
      <c r="AJ67" s="259"/>
      <c r="AK67" s="39"/>
      <c r="AL67" s="39">
        <v>1500</v>
      </c>
      <c r="AM67" s="446">
        <f t="shared" si="79"/>
        <v>1500</v>
      </c>
      <c r="AN67" s="450" t="e">
        <f t="shared" si="69"/>
        <v>#DIV/0!</v>
      </c>
      <c r="AO67" s="388" t="s">
        <v>822</v>
      </c>
      <c r="AP67" s="39"/>
      <c r="AQ67" s="39"/>
      <c r="AR67" s="446">
        <f t="shared" si="80"/>
        <v>0</v>
      </c>
      <c r="AS67" s="450" t="e">
        <f t="shared" si="7"/>
        <v>#DIV/0!</v>
      </c>
      <c r="AT67" s="388"/>
      <c r="AU67" s="39"/>
      <c r="AV67" s="39"/>
      <c r="AW67" s="446">
        <f t="shared" si="81"/>
        <v>0</v>
      </c>
      <c r="AX67" s="450">
        <f t="shared" si="8"/>
        <v>0</v>
      </c>
      <c r="AY67" s="388"/>
      <c r="AZ67" s="39"/>
      <c r="BA67" s="39"/>
      <c r="BB67" s="446">
        <f t="shared" si="82"/>
        <v>0</v>
      </c>
      <c r="BC67" s="450" t="e">
        <f t="shared" si="44"/>
        <v>#DIV/0!</v>
      </c>
      <c r="BD67" s="388"/>
      <c r="BE67" s="39"/>
      <c r="BF67" s="39"/>
      <c r="BG67" s="446">
        <f t="shared" si="83"/>
        <v>0</v>
      </c>
      <c r="BH67" s="450" t="e">
        <f t="shared" si="45"/>
        <v>#DIV/0!</v>
      </c>
      <c r="BI67" s="388"/>
      <c r="BJ67" s="39"/>
      <c r="BK67" s="39"/>
      <c r="BL67" s="446">
        <f t="shared" si="84"/>
        <v>0</v>
      </c>
      <c r="BM67" s="450" t="e">
        <f t="shared" si="46"/>
        <v>#DIV/0!</v>
      </c>
      <c r="BN67" s="388"/>
      <c r="BO67" s="39">
        <f t="shared" si="85"/>
        <v>0</v>
      </c>
      <c r="BP67" s="39">
        <f t="shared" si="86"/>
        <v>1500</v>
      </c>
      <c r="BQ67" s="106">
        <f t="shared" si="87"/>
        <v>1500</v>
      </c>
      <c r="BR67" s="178" t="e">
        <f t="shared" si="88"/>
        <v>#DIV/0!</v>
      </c>
      <c r="BS67" s="79"/>
      <c r="BT67" s="919"/>
      <c r="BU67" s="921">
        <f t="shared" si="30"/>
        <v>1500</v>
      </c>
    </row>
    <row r="68" spans="1:73" s="2" customFormat="1" ht="13.8">
      <c r="A68" s="237"/>
      <c r="B68" s="615" t="s">
        <v>5</v>
      </c>
      <c r="C68" s="113"/>
      <c r="D68" s="119"/>
      <c r="E68" s="120">
        <f t="shared" si="70"/>
        <v>0</v>
      </c>
      <c r="F68" s="178">
        <f t="shared" si="89"/>
        <v>0</v>
      </c>
      <c r="G68" s="78"/>
      <c r="H68" s="362"/>
      <c r="I68" s="41">
        <f t="shared" si="71"/>
        <v>0</v>
      </c>
      <c r="J68" s="178">
        <f t="shared" si="90"/>
        <v>0</v>
      </c>
      <c r="K68" s="291"/>
      <c r="L68" s="39"/>
      <c r="M68" s="39"/>
      <c r="N68" s="106">
        <f t="shared" si="72"/>
        <v>0</v>
      </c>
      <c r="O68" s="178">
        <f t="shared" si="67"/>
        <v>0</v>
      </c>
      <c r="P68" s="79"/>
      <c r="Q68" s="39"/>
      <c r="R68" s="39">
        <v>26.84</v>
      </c>
      <c r="S68" s="106">
        <f t="shared" si="73"/>
        <v>26.84</v>
      </c>
      <c r="T68" s="178">
        <f t="shared" si="74"/>
        <v>6.53497793318773E-6</v>
      </c>
      <c r="U68" s="39" t="s">
        <v>603</v>
      </c>
      <c r="V68" s="39"/>
      <c r="W68" s="39">
        <v>258</v>
      </c>
      <c r="X68" s="106">
        <f t="shared" si="75"/>
        <v>258</v>
      </c>
      <c r="Y68" s="178">
        <f t="shared" si="76"/>
        <v>4.2139422414240377E-5</v>
      </c>
      <c r="Z68" s="39" t="s">
        <v>656</v>
      </c>
      <c r="AA68" s="39"/>
      <c r="AB68" s="39"/>
      <c r="AC68" s="106">
        <f t="shared" si="77"/>
        <v>0</v>
      </c>
      <c r="AD68" s="178">
        <f t="shared" si="91"/>
        <v>0</v>
      </c>
      <c r="AE68" s="39"/>
      <c r="AF68" s="39"/>
      <c r="AG68" s="39">
        <v>100</v>
      </c>
      <c r="AH68" s="106">
        <f t="shared" si="78"/>
        <v>100</v>
      </c>
      <c r="AI68" s="450">
        <f t="shared" si="68"/>
        <v>6.654370041797838E-5</v>
      </c>
      <c r="AJ68" s="39"/>
      <c r="AK68" s="39"/>
      <c r="AL68" s="39">
        <v>100.3</v>
      </c>
      <c r="AM68" s="446">
        <f t="shared" si="79"/>
        <v>100.3</v>
      </c>
      <c r="AN68" s="450" t="e">
        <f t="shared" si="69"/>
        <v>#DIV/0!</v>
      </c>
      <c r="AO68" s="39"/>
      <c r="AP68" s="39"/>
      <c r="AQ68" s="39">
        <v>9.4600000000000009</v>
      </c>
      <c r="AR68" s="446">
        <f t="shared" si="80"/>
        <v>9.4600000000000009</v>
      </c>
      <c r="AS68" s="450" t="e">
        <f t="shared" si="7"/>
        <v>#DIV/0!</v>
      </c>
      <c r="AT68" s="39"/>
      <c r="AU68" s="39"/>
      <c r="AV68" s="39"/>
      <c r="AW68" s="446">
        <f t="shared" si="81"/>
        <v>0</v>
      </c>
      <c r="AX68" s="450">
        <f t="shared" si="8"/>
        <v>0</v>
      </c>
      <c r="AY68" s="39"/>
      <c r="AZ68" s="39"/>
      <c r="BA68" s="39"/>
      <c r="BB68" s="446">
        <f t="shared" si="82"/>
        <v>0</v>
      </c>
      <c r="BC68" s="450" t="e">
        <f t="shared" si="44"/>
        <v>#DIV/0!</v>
      </c>
      <c r="BD68" s="39"/>
      <c r="BE68" s="39"/>
      <c r="BF68" s="39"/>
      <c r="BG68" s="446">
        <f t="shared" si="83"/>
        <v>0</v>
      </c>
      <c r="BH68" s="450" t="e">
        <f t="shared" si="45"/>
        <v>#DIV/0!</v>
      </c>
      <c r="BI68" s="39"/>
      <c r="BJ68" s="39"/>
      <c r="BK68" s="39"/>
      <c r="BL68" s="446">
        <f t="shared" si="84"/>
        <v>0</v>
      </c>
      <c r="BM68" s="450" t="e">
        <f t="shared" si="46"/>
        <v>#DIV/0!</v>
      </c>
      <c r="BN68" s="39"/>
      <c r="BO68" s="39">
        <f t="shared" si="85"/>
        <v>0</v>
      </c>
      <c r="BP68" s="39">
        <f t="shared" si="86"/>
        <v>494.59999999999997</v>
      </c>
      <c r="BQ68" s="106">
        <f t="shared" si="87"/>
        <v>494.59999999999997</v>
      </c>
      <c r="BR68" s="178" t="e">
        <f t="shared" si="88"/>
        <v>#DIV/0!</v>
      </c>
      <c r="BS68" s="79"/>
      <c r="BT68" s="919">
        <v>495</v>
      </c>
      <c r="BU68" s="921">
        <f t="shared" si="30"/>
        <v>-0.40000000000003411</v>
      </c>
    </row>
    <row r="69" spans="1:73" s="2" customFormat="1" ht="96.6">
      <c r="A69" s="237"/>
      <c r="B69" s="615" t="s">
        <v>42</v>
      </c>
      <c r="C69" s="113">
        <v>16700</v>
      </c>
      <c r="D69" s="119">
        <v>4800</v>
      </c>
      <c r="E69" s="120">
        <f t="shared" si="70"/>
        <v>21500</v>
      </c>
      <c r="F69" s="178">
        <f t="shared" si="89"/>
        <v>1.2254676998331392E-3</v>
      </c>
      <c r="G69" s="78">
        <v>17720</v>
      </c>
      <c r="H69" s="161"/>
      <c r="I69" s="41">
        <f t="shared" si="71"/>
        <v>17720</v>
      </c>
      <c r="J69" s="178">
        <f t="shared" si="90"/>
        <v>2.4701412858536911E-2</v>
      </c>
      <c r="K69" s="291" t="s">
        <v>388</v>
      </c>
      <c r="L69" s="39"/>
      <c r="M69" s="39"/>
      <c r="N69" s="106">
        <f t="shared" si="72"/>
        <v>0</v>
      </c>
      <c r="O69" s="178">
        <f t="shared" si="67"/>
        <v>0</v>
      </c>
      <c r="P69" s="79"/>
      <c r="Q69" s="39">
        <v>2740</v>
      </c>
      <c r="R69" s="39"/>
      <c r="S69" s="106">
        <f t="shared" si="73"/>
        <v>2740</v>
      </c>
      <c r="T69" s="178">
        <f t="shared" si="74"/>
        <v>6.6713262060113187E-4</v>
      </c>
      <c r="U69" s="418" t="s">
        <v>585</v>
      </c>
      <c r="V69" s="39">
        <f>1700*1.2+1400</f>
        <v>3440</v>
      </c>
      <c r="W69" s="39"/>
      <c r="X69" s="106">
        <f t="shared" si="75"/>
        <v>3440</v>
      </c>
      <c r="Y69" s="178">
        <f t="shared" si="76"/>
        <v>5.6185896552320505E-4</v>
      </c>
      <c r="Z69" s="388" t="s">
        <v>666</v>
      </c>
      <c r="AA69" s="39"/>
      <c r="AB69" s="39"/>
      <c r="AC69" s="106">
        <f t="shared" si="77"/>
        <v>0</v>
      </c>
      <c r="AD69" s="178">
        <f t="shared" si="91"/>
        <v>0</v>
      </c>
      <c r="AE69" s="388"/>
      <c r="AF69" s="39"/>
      <c r="AG69" s="39"/>
      <c r="AH69" s="106">
        <f t="shared" si="78"/>
        <v>0</v>
      </c>
      <c r="AI69" s="450">
        <f t="shared" si="68"/>
        <v>0</v>
      </c>
      <c r="AJ69" s="388"/>
      <c r="AK69" s="39"/>
      <c r="AL69" s="39"/>
      <c r="AM69" s="446">
        <f t="shared" si="79"/>
        <v>0</v>
      </c>
      <c r="AN69" s="450" t="e">
        <f t="shared" si="69"/>
        <v>#DIV/0!</v>
      </c>
      <c r="AO69" s="388"/>
      <c r="AP69" s="39"/>
      <c r="AQ69" s="39"/>
      <c r="AR69" s="446">
        <f t="shared" si="80"/>
        <v>0</v>
      </c>
      <c r="AS69" s="450" t="e">
        <f t="shared" si="7"/>
        <v>#DIV/0!</v>
      </c>
      <c r="AT69" s="388"/>
      <c r="AU69" s="39"/>
      <c r="AV69" s="39"/>
      <c r="AW69" s="446">
        <f t="shared" si="81"/>
        <v>0</v>
      </c>
      <c r="AX69" s="450">
        <f t="shared" si="8"/>
        <v>0</v>
      </c>
      <c r="AY69" s="388"/>
      <c r="AZ69" s="39"/>
      <c r="BA69" s="39"/>
      <c r="BB69" s="446">
        <f t="shared" si="82"/>
        <v>0</v>
      </c>
      <c r="BC69" s="450" t="e">
        <f t="shared" si="44"/>
        <v>#DIV/0!</v>
      </c>
      <c r="BD69" s="388"/>
      <c r="BE69" s="39"/>
      <c r="BF69" s="39"/>
      <c r="BG69" s="446">
        <f t="shared" si="83"/>
        <v>0</v>
      </c>
      <c r="BH69" s="450" t="e">
        <f t="shared" si="45"/>
        <v>#DIV/0!</v>
      </c>
      <c r="BI69" s="388"/>
      <c r="BJ69" s="39"/>
      <c r="BK69" s="39"/>
      <c r="BL69" s="446">
        <f t="shared" si="84"/>
        <v>0</v>
      </c>
      <c r="BM69" s="450" t="e">
        <f t="shared" si="46"/>
        <v>#DIV/0!</v>
      </c>
      <c r="BN69" s="388"/>
      <c r="BO69" s="39">
        <f t="shared" si="85"/>
        <v>23900</v>
      </c>
      <c r="BP69" s="39">
        <f t="shared" si="86"/>
        <v>0</v>
      </c>
      <c r="BQ69" s="106">
        <f t="shared" si="87"/>
        <v>23900</v>
      </c>
      <c r="BR69" s="178" t="e">
        <f t="shared" si="88"/>
        <v>#DIV/0!</v>
      </c>
      <c r="BS69" s="79"/>
      <c r="BT69" s="919">
        <f>23360</f>
        <v>23360</v>
      </c>
      <c r="BU69" s="921">
        <f t="shared" si="30"/>
        <v>540</v>
      </c>
    </row>
    <row r="70" spans="1:73" s="2" customFormat="1" ht="13.8">
      <c r="A70" s="237"/>
      <c r="B70" s="615" t="s">
        <v>6</v>
      </c>
      <c r="C70" s="129"/>
      <c r="D70" s="128"/>
      <c r="E70" s="120">
        <f t="shared" si="70"/>
        <v>0</v>
      </c>
      <c r="F70" s="178">
        <f t="shared" si="89"/>
        <v>0</v>
      </c>
      <c r="G70" s="78"/>
      <c r="H70" s="161">
        <v>1800</v>
      </c>
      <c r="I70" s="41">
        <f t="shared" si="71"/>
        <v>1800</v>
      </c>
      <c r="J70" s="178">
        <f t="shared" si="90"/>
        <v>2.5091728637339976E-3</v>
      </c>
      <c r="K70" s="291" t="s">
        <v>386</v>
      </c>
      <c r="L70" s="39"/>
      <c r="M70" s="39"/>
      <c r="N70" s="106">
        <f t="shared" si="72"/>
        <v>0</v>
      </c>
      <c r="O70" s="178">
        <f t="shared" si="67"/>
        <v>0</v>
      </c>
      <c r="P70" s="79"/>
      <c r="Q70" s="39"/>
      <c r="R70" s="39"/>
      <c r="S70" s="106">
        <f t="shared" si="73"/>
        <v>0</v>
      </c>
      <c r="T70" s="178">
        <f t="shared" si="74"/>
        <v>0</v>
      </c>
      <c r="U70" s="259"/>
      <c r="V70" s="39"/>
      <c r="W70" s="39"/>
      <c r="X70" s="106">
        <f t="shared" si="75"/>
        <v>0</v>
      </c>
      <c r="Y70" s="178">
        <f t="shared" si="76"/>
        <v>0</v>
      </c>
      <c r="Z70" s="259"/>
      <c r="AA70" s="39"/>
      <c r="AB70" s="39"/>
      <c r="AC70" s="106">
        <f t="shared" si="77"/>
        <v>0</v>
      </c>
      <c r="AD70" s="178">
        <f t="shared" si="91"/>
        <v>0</v>
      </c>
      <c r="AE70" s="259"/>
      <c r="AF70" s="39"/>
      <c r="AG70" s="39"/>
      <c r="AH70" s="106">
        <f t="shared" si="78"/>
        <v>0</v>
      </c>
      <c r="AI70" s="450">
        <f t="shared" si="68"/>
        <v>0</v>
      </c>
      <c r="AJ70" s="259"/>
      <c r="AK70" s="39"/>
      <c r="AL70" s="39"/>
      <c r="AM70" s="446">
        <f t="shared" si="79"/>
        <v>0</v>
      </c>
      <c r="AN70" s="450" t="e">
        <f t="shared" si="69"/>
        <v>#DIV/0!</v>
      </c>
      <c r="AO70" s="259"/>
      <c r="AP70" s="39"/>
      <c r="AQ70" s="39"/>
      <c r="AR70" s="446">
        <f t="shared" si="80"/>
        <v>0</v>
      </c>
      <c r="AS70" s="450" t="e">
        <f t="shared" si="7"/>
        <v>#DIV/0!</v>
      </c>
      <c r="AT70" s="259"/>
      <c r="AU70" s="39"/>
      <c r="AV70" s="39"/>
      <c r="AW70" s="446">
        <f t="shared" si="81"/>
        <v>0</v>
      </c>
      <c r="AX70" s="450">
        <f t="shared" si="8"/>
        <v>0</v>
      </c>
      <c r="AY70" s="259"/>
      <c r="AZ70" s="39"/>
      <c r="BA70" s="39"/>
      <c r="BB70" s="446">
        <f t="shared" si="82"/>
        <v>0</v>
      </c>
      <c r="BC70" s="450" t="e">
        <f t="shared" si="44"/>
        <v>#DIV/0!</v>
      </c>
      <c r="BD70" s="259"/>
      <c r="BE70" s="39"/>
      <c r="BF70" s="39"/>
      <c r="BG70" s="446">
        <f t="shared" si="83"/>
        <v>0</v>
      </c>
      <c r="BH70" s="450" t="e">
        <f t="shared" si="45"/>
        <v>#DIV/0!</v>
      </c>
      <c r="BI70" s="259"/>
      <c r="BJ70" s="39"/>
      <c r="BK70" s="39"/>
      <c r="BL70" s="446">
        <f t="shared" si="84"/>
        <v>0</v>
      </c>
      <c r="BM70" s="450" t="e">
        <f t="shared" si="46"/>
        <v>#DIV/0!</v>
      </c>
      <c r="BN70" s="259"/>
      <c r="BO70" s="39">
        <f t="shared" si="85"/>
        <v>0</v>
      </c>
      <c r="BP70" s="39">
        <f t="shared" si="86"/>
        <v>1800</v>
      </c>
      <c r="BQ70" s="106">
        <f t="shared" si="87"/>
        <v>1800</v>
      </c>
      <c r="BR70" s="178" t="e">
        <f t="shared" si="88"/>
        <v>#DIV/0!</v>
      </c>
      <c r="BS70" s="79"/>
      <c r="BT70" s="919">
        <v>1800</v>
      </c>
      <c r="BU70" s="921">
        <f t="shared" si="30"/>
        <v>0</v>
      </c>
    </row>
    <row r="71" spans="1:73" s="2" customFormat="1" ht="27.6">
      <c r="A71" s="237"/>
      <c r="B71" s="19" t="s">
        <v>801</v>
      </c>
      <c r="C71" s="129"/>
      <c r="D71" s="128"/>
      <c r="E71" s="120">
        <f t="shared" si="70"/>
        <v>0</v>
      </c>
      <c r="F71" s="184">
        <f t="shared" si="89"/>
        <v>0</v>
      </c>
      <c r="G71" s="78"/>
      <c r="H71" s="161"/>
      <c r="I71" s="41">
        <f t="shared" si="71"/>
        <v>0</v>
      </c>
      <c r="J71" s="178">
        <f t="shared" si="90"/>
        <v>0</v>
      </c>
      <c r="K71" s="291"/>
      <c r="L71" s="39"/>
      <c r="M71" s="39"/>
      <c r="N71" s="106">
        <f t="shared" si="72"/>
        <v>0</v>
      </c>
      <c r="O71" s="178">
        <f t="shared" si="67"/>
        <v>0</v>
      </c>
      <c r="P71" s="79"/>
      <c r="Q71" s="39"/>
      <c r="R71" s="39"/>
      <c r="S71" s="106">
        <f t="shared" si="73"/>
        <v>0</v>
      </c>
      <c r="T71" s="178">
        <f t="shared" si="74"/>
        <v>0</v>
      </c>
      <c r="U71" s="259"/>
      <c r="V71" s="39"/>
      <c r="W71" s="39"/>
      <c r="X71" s="106">
        <f t="shared" si="75"/>
        <v>0</v>
      </c>
      <c r="Y71" s="178">
        <f t="shared" si="76"/>
        <v>0</v>
      </c>
      <c r="Z71" s="259"/>
      <c r="AA71" s="39"/>
      <c r="AB71" s="39"/>
      <c r="AC71" s="106">
        <f t="shared" si="77"/>
        <v>0</v>
      </c>
      <c r="AD71" s="178">
        <f t="shared" si="91"/>
        <v>0</v>
      </c>
      <c r="AE71" s="259"/>
      <c r="AF71" s="39"/>
      <c r="AG71" s="39">
        <v>5000</v>
      </c>
      <c r="AH71" s="106">
        <f t="shared" si="78"/>
        <v>5000</v>
      </c>
      <c r="AI71" s="450">
        <f t="shared" si="68"/>
        <v>3.3271850208989187E-3</v>
      </c>
      <c r="AJ71" s="388" t="s">
        <v>802</v>
      </c>
      <c r="AK71" s="39"/>
      <c r="AL71" s="39"/>
      <c r="AM71" s="446">
        <f t="shared" si="79"/>
        <v>0</v>
      </c>
      <c r="AN71" s="450" t="e">
        <f t="shared" si="69"/>
        <v>#DIV/0!</v>
      </c>
      <c r="AO71" s="388"/>
      <c r="AP71" s="39"/>
      <c r="AQ71" s="39"/>
      <c r="AR71" s="446">
        <f t="shared" si="80"/>
        <v>0</v>
      </c>
      <c r="AS71" s="450" t="e">
        <f t="shared" si="7"/>
        <v>#DIV/0!</v>
      </c>
      <c r="AT71" s="388"/>
      <c r="AU71" s="39"/>
      <c r="AV71" s="39"/>
      <c r="AW71" s="446">
        <f t="shared" si="81"/>
        <v>0</v>
      </c>
      <c r="AX71" s="450">
        <f t="shared" si="8"/>
        <v>0</v>
      </c>
      <c r="AY71" s="388"/>
      <c r="AZ71" s="39"/>
      <c r="BA71" s="39"/>
      <c r="BB71" s="446">
        <f t="shared" si="82"/>
        <v>0</v>
      </c>
      <c r="BC71" s="450" t="e">
        <f t="shared" si="44"/>
        <v>#DIV/0!</v>
      </c>
      <c r="BD71" s="388"/>
      <c r="BE71" s="39"/>
      <c r="BF71" s="39"/>
      <c r="BG71" s="446">
        <f t="shared" si="83"/>
        <v>0</v>
      </c>
      <c r="BH71" s="450" t="e">
        <f t="shared" si="45"/>
        <v>#DIV/0!</v>
      </c>
      <c r="BI71" s="388"/>
      <c r="BJ71" s="39"/>
      <c r="BK71" s="39"/>
      <c r="BL71" s="446">
        <f t="shared" si="84"/>
        <v>0</v>
      </c>
      <c r="BM71" s="450" t="e">
        <f t="shared" si="46"/>
        <v>#DIV/0!</v>
      </c>
      <c r="BN71" s="388"/>
      <c r="BO71" s="39">
        <f t="shared" si="85"/>
        <v>0</v>
      </c>
      <c r="BP71" s="39">
        <f t="shared" si="86"/>
        <v>5000</v>
      </c>
      <c r="BQ71" s="106">
        <f t="shared" si="87"/>
        <v>5000</v>
      </c>
      <c r="BR71" s="178" t="e">
        <f t="shared" si="88"/>
        <v>#DIV/0!</v>
      </c>
      <c r="BS71" s="79"/>
      <c r="BT71" s="919">
        <v>5000</v>
      </c>
      <c r="BU71" s="921">
        <f t="shared" si="30"/>
        <v>0</v>
      </c>
    </row>
    <row r="72" spans="1:73" s="2" customFormat="1" ht="14.4" thickBot="1">
      <c r="A72" s="237"/>
      <c r="B72" s="19"/>
      <c r="C72" s="130"/>
      <c r="D72" s="131"/>
      <c r="E72" s="159"/>
      <c r="F72" s="184">
        <f t="shared" si="89"/>
        <v>0</v>
      </c>
      <c r="G72" s="160"/>
      <c r="H72" s="162"/>
      <c r="I72" s="62"/>
      <c r="J72" s="178">
        <f t="shared" si="90"/>
        <v>0</v>
      </c>
      <c r="K72" s="276"/>
      <c r="L72" s="39"/>
      <c r="M72" s="39"/>
      <c r="N72" s="106"/>
      <c r="O72" s="178">
        <f t="shared" si="67"/>
        <v>0</v>
      </c>
      <c r="P72" s="79"/>
      <c r="Q72" s="39"/>
      <c r="R72" s="39"/>
      <c r="S72" s="106"/>
      <c r="T72" s="178">
        <f t="shared" si="74"/>
        <v>0</v>
      </c>
      <c r="U72" s="259"/>
      <c r="V72" s="39"/>
      <c r="W72" s="39"/>
      <c r="X72" s="106"/>
      <c r="Y72" s="178">
        <f t="shared" si="76"/>
        <v>0</v>
      </c>
      <c r="Z72" s="259"/>
      <c r="AA72" s="39"/>
      <c r="AB72" s="39"/>
      <c r="AC72" s="106"/>
      <c r="AD72" s="178">
        <f t="shared" si="91"/>
        <v>0</v>
      </c>
      <c r="AE72" s="259"/>
      <c r="AF72" s="39"/>
      <c r="AG72" s="39"/>
      <c r="AH72" s="106"/>
      <c r="AI72" s="450">
        <f t="shared" si="68"/>
        <v>0</v>
      </c>
      <c r="AJ72" s="259"/>
      <c r="AK72" s="39"/>
      <c r="AL72" s="39"/>
      <c r="AM72" s="446"/>
      <c r="AN72" s="450" t="e">
        <f t="shared" si="69"/>
        <v>#DIV/0!</v>
      </c>
      <c r="AO72" s="259"/>
      <c r="AP72" s="39"/>
      <c r="AQ72" s="39"/>
      <c r="AR72" s="446"/>
      <c r="AS72" s="450" t="e">
        <f t="shared" si="7"/>
        <v>#DIV/0!</v>
      </c>
      <c r="AT72" s="259"/>
      <c r="AU72" s="39"/>
      <c r="AV72" s="39"/>
      <c r="AW72" s="446"/>
      <c r="AX72" s="450">
        <f t="shared" si="8"/>
        <v>0</v>
      </c>
      <c r="AY72" s="259"/>
      <c r="AZ72" s="39"/>
      <c r="BA72" s="39"/>
      <c r="BB72" s="446"/>
      <c r="BC72" s="450" t="e">
        <f t="shared" si="44"/>
        <v>#DIV/0!</v>
      </c>
      <c r="BD72" s="259"/>
      <c r="BE72" s="39"/>
      <c r="BF72" s="39"/>
      <c r="BG72" s="446"/>
      <c r="BH72" s="450" t="e">
        <f t="shared" si="45"/>
        <v>#DIV/0!</v>
      </c>
      <c r="BI72" s="259"/>
      <c r="BJ72" s="39"/>
      <c r="BK72" s="39"/>
      <c r="BL72" s="446"/>
      <c r="BM72" s="450" t="e">
        <f t="shared" si="46"/>
        <v>#DIV/0!</v>
      </c>
      <c r="BN72" s="259"/>
      <c r="BO72" s="39"/>
      <c r="BP72" s="39"/>
      <c r="BQ72" s="106"/>
      <c r="BR72" s="178" t="e">
        <f t="shared" si="88"/>
        <v>#DIV/0!</v>
      </c>
      <c r="BS72" s="79"/>
      <c r="BT72" s="919"/>
      <c r="BU72" s="921">
        <f t="shared" si="30"/>
        <v>0</v>
      </c>
    </row>
    <row r="73" spans="1:73" s="2" customFormat="1" ht="14.4" thickBot="1">
      <c r="A73" s="237"/>
      <c r="B73" s="13" t="s">
        <v>4</v>
      </c>
      <c r="C73" s="132">
        <f>C74</f>
        <v>611781.80999999994</v>
      </c>
      <c r="D73" s="133">
        <f>D74</f>
        <v>0</v>
      </c>
      <c r="E73" s="132">
        <f>E74</f>
        <v>611781.80999999994</v>
      </c>
      <c r="F73" s="171">
        <f>E73/$E$89</f>
        <v>3.4870644069788584E-2</v>
      </c>
      <c r="G73" s="99">
        <f>G74</f>
        <v>0</v>
      </c>
      <c r="H73" s="63">
        <f>H74</f>
        <v>0</v>
      </c>
      <c r="I73" s="63">
        <f>I74</f>
        <v>0</v>
      </c>
      <c r="J73" s="178">
        <f t="shared" si="90"/>
        <v>0</v>
      </c>
      <c r="K73" s="277"/>
      <c r="L73" s="139">
        <f>L74</f>
        <v>0</v>
      </c>
      <c r="M73" s="63">
        <f>M74</f>
        <v>0</v>
      </c>
      <c r="N73" s="60">
        <f>N74</f>
        <v>0</v>
      </c>
      <c r="O73" s="63"/>
      <c r="P73" s="63"/>
      <c r="Q73" s="139">
        <f>Q74</f>
        <v>0</v>
      </c>
      <c r="R73" s="63">
        <f>R74</f>
        <v>0</v>
      </c>
      <c r="S73" s="60">
        <f>S74</f>
        <v>0</v>
      </c>
      <c r="T73" s="63"/>
      <c r="U73" s="410"/>
      <c r="V73" s="139">
        <f>V74</f>
        <v>0</v>
      </c>
      <c r="W73" s="63">
        <f>W74</f>
        <v>0</v>
      </c>
      <c r="X73" s="60">
        <f>X74</f>
        <v>0</v>
      </c>
      <c r="Y73" s="63"/>
      <c r="Z73" s="410"/>
      <c r="AA73" s="139">
        <f>AA74</f>
        <v>0</v>
      </c>
      <c r="AB73" s="63">
        <f>AB74</f>
        <v>0</v>
      </c>
      <c r="AC73" s="60">
        <f>AC74</f>
        <v>0</v>
      </c>
      <c r="AD73" s="63"/>
      <c r="AE73" s="410"/>
      <c r="AF73" s="139">
        <f>AF74</f>
        <v>0</v>
      </c>
      <c r="AG73" s="63">
        <f>AG74</f>
        <v>0</v>
      </c>
      <c r="AH73" s="60">
        <f>AH74</f>
        <v>0</v>
      </c>
      <c r="AI73" s="63"/>
      <c r="AJ73" s="410"/>
      <c r="AK73" s="139">
        <f>AK74</f>
        <v>0</v>
      </c>
      <c r="AL73" s="63">
        <f>AL74</f>
        <v>0</v>
      </c>
      <c r="AM73" s="581">
        <f>AM74</f>
        <v>0</v>
      </c>
      <c r="AN73" s="586"/>
      <c r="AO73" s="410"/>
      <c r="AP73" s="139">
        <f>AP74</f>
        <v>0</v>
      </c>
      <c r="AQ73" s="63">
        <f>AQ74</f>
        <v>0</v>
      </c>
      <c r="AR73" s="581">
        <f>AR74</f>
        <v>0</v>
      </c>
      <c r="AS73" s="586"/>
      <c r="AT73" s="410"/>
      <c r="AU73" s="139">
        <f>AU74</f>
        <v>0</v>
      </c>
      <c r="AV73" s="63">
        <f>AV74</f>
        <v>0</v>
      </c>
      <c r="AW73" s="581">
        <f>AW74</f>
        <v>0</v>
      </c>
      <c r="AX73" s="586"/>
      <c r="AY73" s="410"/>
      <c r="AZ73" s="139">
        <f>AZ74</f>
        <v>0</v>
      </c>
      <c r="BA73" s="63">
        <f>BA74</f>
        <v>0</v>
      </c>
      <c r="BB73" s="581">
        <f>BB74</f>
        <v>0</v>
      </c>
      <c r="BC73" s="586"/>
      <c r="BD73" s="410"/>
      <c r="BE73" s="139">
        <f>BE74</f>
        <v>0</v>
      </c>
      <c r="BF73" s="63">
        <f>BF74</f>
        <v>0</v>
      </c>
      <c r="BG73" s="581">
        <f>BG74</f>
        <v>0</v>
      </c>
      <c r="BH73" s="586"/>
      <c r="BI73" s="410"/>
      <c r="BJ73" s="139">
        <f>BJ74</f>
        <v>0</v>
      </c>
      <c r="BK73" s="63">
        <f>BK74</f>
        <v>0</v>
      </c>
      <c r="BL73" s="581">
        <f>BL74</f>
        <v>0</v>
      </c>
      <c r="BM73" s="586"/>
      <c r="BN73" s="410"/>
      <c r="BO73" s="139">
        <f>BO74</f>
        <v>0</v>
      </c>
      <c r="BP73" s="63">
        <f>BP74</f>
        <v>0</v>
      </c>
      <c r="BQ73" s="60">
        <f>BQ74</f>
        <v>0</v>
      </c>
      <c r="BR73" s="63"/>
      <c r="BS73" s="63"/>
      <c r="BT73" s="919"/>
      <c r="BU73" s="921">
        <f t="shared" si="30"/>
        <v>0</v>
      </c>
    </row>
    <row r="74" spans="1:73" s="2" customFormat="1" ht="14.4" thickBot="1">
      <c r="A74" s="20"/>
      <c r="B74" s="225" t="s">
        <v>64</v>
      </c>
      <c r="C74" s="113">
        <f>C6*3%+34209</f>
        <v>611781.80999999994</v>
      </c>
      <c r="D74" s="135"/>
      <c r="E74" s="136">
        <f>C74+D74</f>
        <v>611781.80999999994</v>
      </c>
      <c r="F74" s="185"/>
      <c r="G74" s="163"/>
      <c r="H74" s="112"/>
      <c r="I74" s="41">
        <f>G74+H74*1</f>
        <v>0</v>
      </c>
      <c r="J74" s="178">
        <f t="shared" si="90"/>
        <v>0</v>
      </c>
      <c r="K74" s="278"/>
      <c r="L74" s="39"/>
      <c r="M74" s="39"/>
      <c r="N74" s="64">
        <f>L74+M74*1</f>
        <v>0</v>
      </c>
      <c r="O74" s="64"/>
      <c r="P74" s="64"/>
      <c r="Q74" s="39"/>
      <c r="R74" s="39"/>
      <c r="S74" s="523">
        <f>Q74+R74*1</f>
        <v>0</v>
      </c>
      <c r="T74" s="64"/>
      <c r="U74" s="64"/>
      <c r="V74" s="39"/>
      <c r="W74" s="39"/>
      <c r="X74" s="523">
        <f>V74+W74*1</f>
        <v>0</v>
      </c>
      <c r="Y74" s="64"/>
      <c r="Z74" s="64"/>
      <c r="AA74" s="39"/>
      <c r="AB74" s="39"/>
      <c r="AC74" s="523">
        <f>AA74+AB74*1</f>
        <v>0</v>
      </c>
      <c r="AD74" s="64"/>
      <c r="AE74" s="64"/>
      <c r="AF74" s="39"/>
      <c r="AG74" s="39"/>
      <c r="AH74" s="523">
        <f>AF74+AG74*1</f>
        <v>0</v>
      </c>
      <c r="AI74" s="64"/>
      <c r="AJ74" s="64"/>
      <c r="AK74" s="39"/>
      <c r="AL74" s="39"/>
      <c r="AM74" s="709">
        <f>AK74+AL74*1</f>
        <v>0</v>
      </c>
      <c r="AN74" s="588"/>
      <c r="AO74" s="64"/>
      <c r="AP74" s="39"/>
      <c r="AQ74" s="39"/>
      <c r="AR74" s="709">
        <f>AP74+AQ74*1</f>
        <v>0</v>
      </c>
      <c r="AS74" s="588"/>
      <c r="AT74" s="64"/>
      <c r="AU74" s="39"/>
      <c r="AV74" s="39"/>
      <c r="AW74" s="709">
        <f>AU74+AV74*1</f>
        <v>0</v>
      </c>
      <c r="AX74" s="588"/>
      <c r="AY74" s="64"/>
      <c r="AZ74" s="39"/>
      <c r="BA74" s="39"/>
      <c r="BB74" s="709">
        <f>AZ74+BA74*1</f>
        <v>0</v>
      </c>
      <c r="BC74" s="588"/>
      <c r="BD74" s="64"/>
      <c r="BE74" s="39"/>
      <c r="BF74" s="39"/>
      <c r="BG74" s="709">
        <f>BE74+BF74*1</f>
        <v>0</v>
      </c>
      <c r="BH74" s="588"/>
      <c r="BI74" s="64"/>
      <c r="BJ74" s="39"/>
      <c r="BK74" s="39"/>
      <c r="BL74" s="709">
        <f>BJ74+BK74*1</f>
        <v>0</v>
      </c>
      <c r="BM74" s="588"/>
      <c r="BN74" s="64"/>
      <c r="BO74" s="39">
        <f>G74+L74+Q74+V74+AA74+AF74+AK74+AP74+AU74+AZ74</f>
        <v>0</v>
      </c>
      <c r="BP74" s="39">
        <f>H74+M74+R74+W74+AB74+AG74+AL74+AQ74+AV74+BA74</f>
        <v>0</v>
      </c>
      <c r="BQ74" s="523">
        <f>BO74+BP74*1</f>
        <v>0</v>
      </c>
      <c r="BR74" s="64"/>
      <c r="BS74" s="64"/>
      <c r="BT74" s="924"/>
      <c r="BU74" s="921">
        <f t="shared" si="30"/>
        <v>0</v>
      </c>
    </row>
    <row r="75" spans="1:73" s="2" customFormat="1" ht="14.4" thickBot="1">
      <c r="A75" s="5"/>
      <c r="B75" s="23" t="s">
        <v>48</v>
      </c>
      <c r="C75" s="137">
        <f>C38-C41-C50-C54</f>
        <v>4598856.75</v>
      </c>
      <c r="D75" s="137">
        <f>D38-D41-D50-D54</f>
        <v>-1979974</v>
      </c>
      <c r="E75" s="138">
        <f>E38-E41-E50-E54</f>
        <v>2618882.75</v>
      </c>
      <c r="F75" s="172"/>
      <c r="G75" s="65">
        <f>G38-G41-G50-G54</f>
        <v>-602581.99500000011</v>
      </c>
      <c r="H75" s="65">
        <f>H38-H41-H50-H54</f>
        <v>-100902.5</v>
      </c>
      <c r="I75" s="66">
        <f>I38-I41-I50-I54</f>
        <v>-703484.49500000011</v>
      </c>
      <c r="J75" s="195"/>
      <c r="K75" s="279"/>
      <c r="L75" s="65">
        <f>L38-L41-L50-L54</f>
        <v>-530637.39999999991</v>
      </c>
      <c r="M75" s="65">
        <f>M38-M41-M50-M54</f>
        <v>-182609.34</v>
      </c>
      <c r="N75" s="138">
        <f>N38-N41-N50-N54</f>
        <v>-713246.74</v>
      </c>
      <c r="O75" s="66"/>
      <c r="P75" s="66"/>
      <c r="Q75" s="65">
        <f>Q38-Q41-Q50-Q54</f>
        <v>1125289.2300000004</v>
      </c>
      <c r="R75" s="65">
        <f>R38-R41-R50-R54</f>
        <v>-136599.84</v>
      </c>
      <c r="S75" s="138">
        <f>S38-S41-S50-S54</f>
        <v>988689.39000000071</v>
      </c>
      <c r="T75" s="66"/>
      <c r="U75" s="411"/>
      <c r="V75" s="65">
        <f>V38-V41-V50-V54</f>
        <v>3304344.6720000007</v>
      </c>
      <c r="W75" s="65">
        <f>W38-W41-W50-W54</f>
        <v>-935836.91</v>
      </c>
      <c r="X75" s="138">
        <f>X38-X41-X50-X54</f>
        <v>2368507.7620000006</v>
      </c>
      <c r="Y75" s="66"/>
      <c r="Z75" s="411"/>
      <c r="AA75" s="65">
        <f>AA38-AA41-AA50-AA54</f>
        <v>106313.84800000052</v>
      </c>
      <c r="AB75" s="65">
        <f>AB38-AB41-AB50-AB54</f>
        <v>-430093.5</v>
      </c>
      <c r="AC75" s="138">
        <f>AC38-AC41-AC50-AC54</f>
        <v>-323779.65199999942</v>
      </c>
      <c r="AD75" s="66"/>
      <c r="AE75" s="411"/>
      <c r="AF75" s="65">
        <f>AF38-AF41-AF50-AF54</f>
        <v>68971.864000000205</v>
      </c>
      <c r="AG75" s="65">
        <f>AG38-AG41-AG50-AG54</f>
        <v>-214631.03999999998</v>
      </c>
      <c r="AH75" s="138">
        <f>AH38-AH41-AH50-AH54</f>
        <v>-145659.17599999983</v>
      </c>
      <c r="AI75" s="66"/>
      <c r="AJ75" s="411"/>
      <c r="AK75" s="65">
        <f>AK38-AK41-AK50-AK54</f>
        <v>151596.78199999995</v>
      </c>
      <c r="AL75" s="65">
        <f>AL38-AL41-AL50-AL54</f>
        <v>-201551.3</v>
      </c>
      <c r="AM75" s="670">
        <f>AM38-AM41-AM50-AM54</f>
        <v>-49954.518000000055</v>
      </c>
      <c r="AN75" s="699"/>
      <c r="AO75" s="411"/>
      <c r="AP75" s="65">
        <f>AP38-AP41-AP50-AP54</f>
        <v>-334.95600000000002</v>
      </c>
      <c r="AQ75" s="65">
        <f>AQ38-AQ41-AQ50-AQ54</f>
        <v>-71645.460000000006</v>
      </c>
      <c r="AR75" s="670">
        <f>AR38-AR41-AR50-AR54</f>
        <v>-71980.416000000012</v>
      </c>
      <c r="AS75" s="699"/>
      <c r="AT75" s="411"/>
      <c r="AU75" s="65">
        <f>AU38-AU41-AU50-AU54</f>
        <v>-2420.067</v>
      </c>
      <c r="AV75" s="65">
        <f>AV38-AV41-AV50-AV54</f>
        <v>-1600</v>
      </c>
      <c r="AW75" s="670">
        <f>AW38-AW41-AW50-AW54</f>
        <v>-4020.067</v>
      </c>
      <c r="AX75" s="699"/>
      <c r="AY75" s="411"/>
      <c r="AZ75" s="65">
        <f>AZ38-AZ41-AZ50-AZ54</f>
        <v>290045.00199999998</v>
      </c>
      <c r="BA75" s="65">
        <f>BA38-BA41-BA50-BA54</f>
        <v>-17952.8</v>
      </c>
      <c r="BB75" s="670">
        <f>BB38-BB41-BB50-BB54</f>
        <v>272092.20199999999</v>
      </c>
      <c r="BC75" s="699"/>
      <c r="BD75" s="411"/>
      <c r="BE75" s="65">
        <f>BE38-BE41-BE50-BE54</f>
        <v>0</v>
      </c>
      <c r="BF75" s="65">
        <f>BF38-BF41-BF50-BF54</f>
        <v>0</v>
      </c>
      <c r="BG75" s="670">
        <f>BG38-BG41-BG50-BG54</f>
        <v>0</v>
      </c>
      <c r="BH75" s="699"/>
      <c r="BI75" s="411"/>
      <c r="BJ75" s="65">
        <f>BJ38-BJ41-BJ50-BJ54</f>
        <v>0</v>
      </c>
      <c r="BK75" s="65">
        <f>BK38-BK41-BK50-BK54</f>
        <v>0</v>
      </c>
      <c r="BL75" s="670">
        <f>BL38-BL41-BL50-BL54</f>
        <v>0</v>
      </c>
      <c r="BM75" s="699"/>
      <c r="BN75" s="411"/>
      <c r="BO75" s="65">
        <f>BO38-BO41-BO50-BO54</f>
        <v>3910586.9799999967</v>
      </c>
      <c r="BP75" s="65">
        <f>BP38-BP41-BP50-BP54</f>
        <v>-2293422.6900000004</v>
      </c>
      <c r="BQ75" s="138">
        <f>BQ38-BQ41-BQ50-BQ54</f>
        <v>1617164.29</v>
      </c>
      <c r="BR75" s="66"/>
      <c r="BS75" s="66"/>
      <c r="BT75" s="919"/>
      <c r="BU75" s="921">
        <f t="shared" si="30"/>
        <v>1617164.29</v>
      </c>
    </row>
    <row r="76" spans="1:73" s="2" customFormat="1" ht="13.8">
      <c r="A76" s="294"/>
      <c r="B76" s="36" t="s">
        <v>49</v>
      </c>
      <c r="C76" s="157">
        <f>C75/C5</f>
        <v>0.23887153292413471</v>
      </c>
      <c r="D76" s="157" t="e">
        <f>D75/D5</f>
        <v>#DIV/0!</v>
      </c>
      <c r="E76" s="158">
        <f>E75/E5</f>
        <v>0.13602870692614494</v>
      </c>
      <c r="F76" s="167"/>
      <c r="G76" s="54" t="e">
        <f>G75/G5</f>
        <v>#DIV/0!</v>
      </c>
      <c r="H76" s="54" t="e">
        <f>H75/H5</f>
        <v>#DIV/0!</v>
      </c>
      <c r="I76" s="55" t="e">
        <f>I75/I5</f>
        <v>#DIV/0!</v>
      </c>
      <c r="J76" s="196"/>
      <c r="K76" s="280"/>
      <c r="L76" s="54" t="e">
        <f>L75/L5</f>
        <v>#DIV/0!</v>
      </c>
      <c r="M76" s="54" t="e">
        <f>M75/M5</f>
        <v>#DIV/0!</v>
      </c>
      <c r="N76" s="55" t="e">
        <f>N75/N5</f>
        <v>#DIV/0!</v>
      </c>
      <c r="O76" s="55"/>
      <c r="P76" s="55"/>
      <c r="Q76" s="54">
        <f>Q75/Q5</f>
        <v>0.22171407318693789</v>
      </c>
      <c r="R76" s="54" t="e">
        <f>R75/R5</f>
        <v>#DIV/0!</v>
      </c>
      <c r="S76" s="55">
        <f>S75/S5</f>
        <v>0.19480000868186489</v>
      </c>
      <c r="T76" s="55"/>
      <c r="U76" s="407"/>
      <c r="V76" s="54">
        <f>V75/V5</f>
        <v>0.39567289740495071</v>
      </c>
      <c r="W76" s="54" t="e">
        <f>W75/W5</f>
        <v>#DIV/0!</v>
      </c>
      <c r="X76" s="55">
        <f>X75/X5</f>
        <v>0.28361276493273019</v>
      </c>
      <c r="Y76" s="55"/>
      <c r="Z76" s="407"/>
      <c r="AA76" s="54">
        <f>AA75/AA5</f>
        <v>3.1379483055556844E-2</v>
      </c>
      <c r="AB76" s="54" t="e">
        <f>AB75/AB5</f>
        <v>#DIV/0!</v>
      </c>
      <c r="AC76" s="55">
        <f>AC75/AC5</f>
        <v>-9.556646001250961E-2</v>
      </c>
      <c r="AD76" s="55"/>
      <c r="AE76" s="407"/>
      <c r="AF76" s="54">
        <f>AF75/AF5</f>
        <v>5.2013898534448433E-2</v>
      </c>
      <c r="AG76" s="54" t="e">
        <f>AG75/AG5</f>
        <v>#DIV/0!</v>
      </c>
      <c r="AH76" s="55">
        <f>AH75/AH5</f>
        <v>-0.10984626428358286</v>
      </c>
      <c r="AI76" s="55"/>
      <c r="AJ76" s="407"/>
      <c r="AK76" s="54">
        <f>AK75/AK5</f>
        <v>0.14271496603881256</v>
      </c>
      <c r="AL76" s="54" t="e">
        <f>AL75/AL5</f>
        <v>#DIV/0!</v>
      </c>
      <c r="AM76" s="660">
        <f>AM75/AM5</f>
        <v>-4.7027761709712686E-2</v>
      </c>
      <c r="AN76" s="697"/>
      <c r="AO76" s="407"/>
      <c r="AP76" s="54" t="e">
        <f>AP75/AP5</f>
        <v>#DIV/0!</v>
      </c>
      <c r="AQ76" s="54" t="e">
        <f>AQ75/AQ5</f>
        <v>#DIV/0!</v>
      </c>
      <c r="AR76" s="660" t="e">
        <f>AR75/AR5</f>
        <v>#DIV/0!</v>
      </c>
      <c r="AS76" s="697"/>
      <c r="AT76" s="407"/>
      <c r="AU76" s="54" t="e">
        <f>AU75/AU5</f>
        <v>#DIV/0!</v>
      </c>
      <c r="AV76" s="54" t="e">
        <f>AV75/AV5</f>
        <v>#DIV/0!</v>
      </c>
      <c r="AW76" s="660" t="e">
        <f>AW75/AW5</f>
        <v>#DIV/0!</v>
      </c>
      <c r="AX76" s="697"/>
      <c r="AY76" s="407"/>
      <c r="AZ76" s="54">
        <f>AZ75/AZ5</f>
        <v>0.49775712318505794</v>
      </c>
      <c r="BA76" s="54" t="e">
        <f>BA75/BA5</f>
        <v>#DIV/0!</v>
      </c>
      <c r="BB76" s="660">
        <f>BB75/BB5</f>
        <v>0.46694764872593003</v>
      </c>
      <c r="BC76" s="697"/>
      <c r="BD76" s="407"/>
      <c r="BE76" s="54" t="e">
        <f>BE75/BE5</f>
        <v>#DIV/0!</v>
      </c>
      <c r="BF76" s="54" t="e">
        <f>BF75/BF5</f>
        <v>#DIV/0!</v>
      </c>
      <c r="BG76" s="660" t="e">
        <f>BG75/BG5</f>
        <v>#DIV/0!</v>
      </c>
      <c r="BH76" s="697"/>
      <c r="BI76" s="407"/>
      <c r="BJ76" s="54" t="e">
        <f>BJ75/BJ5</f>
        <v>#DIV/0!</v>
      </c>
      <c r="BK76" s="54" t="e">
        <f>BK75/BK5</f>
        <v>#DIV/0!</v>
      </c>
      <c r="BL76" s="660" t="e">
        <f>BL75/BL5</f>
        <v>#DIV/0!</v>
      </c>
      <c r="BM76" s="697"/>
      <c r="BN76" s="407"/>
      <c r="BO76" s="54">
        <f>BO75/BO5</f>
        <v>0.19764832223434678</v>
      </c>
      <c r="BP76" s="54" t="e">
        <f>BP75/BP5</f>
        <v>#DIV/0!</v>
      </c>
      <c r="BQ76" s="55">
        <f>BQ75/BQ5</f>
        <v>8.1734483935656868E-2</v>
      </c>
      <c r="BR76" s="55"/>
      <c r="BS76" s="55"/>
      <c r="BT76" s="919"/>
      <c r="BU76" s="921">
        <f t="shared" si="30"/>
        <v>8.1734483935656868E-2</v>
      </c>
    </row>
    <row r="77" spans="1:73" s="2" customFormat="1" ht="14.4" thickBot="1">
      <c r="A77" s="294"/>
      <c r="B77" s="27" t="s">
        <v>9</v>
      </c>
      <c r="C77" s="139">
        <f>C78-C79</f>
        <v>-296996</v>
      </c>
      <c r="D77" s="139">
        <f>D78-D79</f>
        <v>0</v>
      </c>
      <c r="E77" s="140">
        <f>E78-E79</f>
        <v>-296996</v>
      </c>
      <c r="F77" s="173"/>
      <c r="G77" s="67">
        <f>G78-G79</f>
        <v>0</v>
      </c>
      <c r="H77" s="67">
        <f>H78-H79</f>
        <v>0</v>
      </c>
      <c r="I77" s="67">
        <f>I78-I79</f>
        <v>-13883.377901889122</v>
      </c>
      <c r="J77" s="197"/>
      <c r="K77" s="281"/>
      <c r="L77" s="139">
        <f>L78-L79</f>
        <v>0</v>
      </c>
      <c r="M77" s="139">
        <f>M78-M79</f>
        <v>0</v>
      </c>
      <c r="N77" s="140">
        <f>N78-N79</f>
        <v>-27286.453103448275</v>
      </c>
      <c r="O77" s="67"/>
      <c r="P77" s="67"/>
      <c r="Q77" s="139">
        <f>Q78-Q79</f>
        <v>0</v>
      </c>
      <c r="R77" s="139">
        <f>R78-R79</f>
        <v>0</v>
      </c>
      <c r="S77" s="140">
        <f>S78-S79</f>
        <v>-20411.470344827587</v>
      </c>
      <c r="T77" s="67"/>
      <c r="U77" s="414"/>
      <c r="V77" s="139">
        <f>V78-V79</f>
        <v>0</v>
      </c>
      <c r="W77" s="139">
        <f>W78-W79</f>
        <v>0</v>
      </c>
      <c r="X77" s="140">
        <f>X78-X79</f>
        <v>-139837.69919540233</v>
      </c>
      <c r="Y77" s="67"/>
      <c r="Z77" s="414"/>
      <c r="AA77" s="139">
        <f>AA78-AA79</f>
        <v>0</v>
      </c>
      <c r="AB77" s="139">
        <f>AB78-AB79</f>
        <v>0</v>
      </c>
      <c r="AC77" s="140">
        <f>AC78-AC79</f>
        <v>-53127.478619487199</v>
      </c>
      <c r="AD77" s="67"/>
      <c r="AE77" s="414"/>
      <c r="AF77" s="139">
        <f>AF78-AF79</f>
        <v>0</v>
      </c>
      <c r="AG77" s="139">
        <f>AG78-AG79</f>
        <v>0</v>
      </c>
      <c r="AH77" s="140">
        <f>AH78-AH79</f>
        <v>-31085.097261448926</v>
      </c>
      <c r="AI77" s="67"/>
      <c r="AJ77" s="414"/>
      <c r="AK77" s="139">
        <f>AK78-AK79</f>
        <v>0</v>
      </c>
      <c r="AL77" s="139">
        <f>AL78-AL79</f>
        <v>0</v>
      </c>
      <c r="AM77" s="674" t="e">
        <f>AM78-AM79</f>
        <v>#DIV/0!</v>
      </c>
      <c r="AN77" s="700"/>
      <c r="AO77" s="414"/>
      <c r="AP77" s="139">
        <f>AP78-AP79</f>
        <v>0</v>
      </c>
      <c r="AQ77" s="139">
        <f>AQ78-AQ79</f>
        <v>0</v>
      </c>
      <c r="AR77" s="674" t="e">
        <f>AR78-AR79</f>
        <v>#DIV/0!</v>
      </c>
      <c r="AS77" s="700"/>
      <c r="AT77" s="414"/>
      <c r="AU77" s="139">
        <f>AU78-AU79</f>
        <v>0</v>
      </c>
      <c r="AV77" s="139">
        <f>AV78-AV79</f>
        <v>0</v>
      </c>
      <c r="AW77" s="674">
        <f>AW78-AW79</f>
        <v>-207.90960451977401</v>
      </c>
      <c r="AX77" s="700"/>
      <c r="AY77" s="414"/>
      <c r="AZ77" s="139">
        <f>AZ78-AZ79</f>
        <v>0</v>
      </c>
      <c r="BA77" s="139">
        <f>BA78-BA79</f>
        <v>0</v>
      </c>
      <c r="BB77" s="674" t="e">
        <f>BB78-BB79</f>
        <v>#DIV/0!</v>
      </c>
      <c r="BC77" s="700"/>
      <c r="BD77" s="414"/>
      <c r="BE77" s="139">
        <f>BE78-BE79</f>
        <v>0</v>
      </c>
      <c r="BF77" s="139">
        <f>BF78-BF79</f>
        <v>0</v>
      </c>
      <c r="BG77" s="674">
        <f>BG78-BG79</f>
        <v>0</v>
      </c>
      <c r="BH77" s="700"/>
      <c r="BI77" s="414"/>
      <c r="BJ77" s="139">
        <f>BJ78-BJ79</f>
        <v>0</v>
      </c>
      <c r="BK77" s="139">
        <f>BK78-BK79</f>
        <v>0</v>
      </c>
      <c r="BL77" s="674">
        <f>BL78-BL79</f>
        <v>0</v>
      </c>
      <c r="BM77" s="700"/>
      <c r="BN77" s="414"/>
      <c r="BO77" s="139">
        <f>BO78-BO79</f>
        <v>0</v>
      </c>
      <c r="BP77" s="139">
        <f>BP78-BP79</f>
        <v>0</v>
      </c>
      <c r="BQ77" s="140" t="e">
        <f>BQ78-BQ79</f>
        <v>#DIV/0!</v>
      </c>
      <c r="BR77" s="67"/>
      <c r="BS77" s="67"/>
      <c r="BT77" s="919"/>
      <c r="BU77" s="921" t="e">
        <f>BQ77-BT77</f>
        <v>#DIV/0!</v>
      </c>
    </row>
    <row r="78" spans="1:73" s="2" customFormat="1" ht="13.8">
      <c r="A78" s="11"/>
      <c r="B78" s="6" t="s">
        <v>43</v>
      </c>
      <c r="C78" s="141"/>
      <c r="D78" s="142"/>
      <c r="E78" s="119">
        <f>C78+D78*1.15</f>
        <v>0</v>
      </c>
      <c r="F78" s="186"/>
      <c r="G78" s="71"/>
      <c r="H78" s="71"/>
      <c r="I78" s="71">
        <f>G78+H78*1.15</f>
        <v>0</v>
      </c>
      <c r="J78" s="178">
        <f>I78/$I$89</f>
        <v>0</v>
      </c>
      <c r="K78" s="265"/>
      <c r="L78" s="39"/>
      <c r="M78" s="39"/>
      <c r="N78" s="68">
        <f>L78+M78*1.15</f>
        <v>0</v>
      </c>
      <c r="O78" s="68"/>
      <c r="P78" s="68"/>
      <c r="Q78" s="39"/>
      <c r="R78" s="39"/>
      <c r="S78" s="68">
        <f>Q78+R78*1.15</f>
        <v>0</v>
      </c>
      <c r="T78" s="68"/>
      <c r="U78" s="48"/>
      <c r="V78" s="39"/>
      <c r="W78" s="39"/>
      <c r="X78" s="68">
        <f>V78+W78*1.15</f>
        <v>0</v>
      </c>
      <c r="Y78" s="68"/>
      <c r="Z78" s="48"/>
      <c r="AA78" s="39"/>
      <c r="AB78" s="39"/>
      <c r="AC78" s="68">
        <f>AA78+AB78*1.15</f>
        <v>0</v>
      </c>
      <c r="AD78" s="68"/>
      <c r="AE78" s="48"/>
      <c r="AF78" s="39"/>
      <c r="AG78" s="39"/>
      <c r="AH78" s="68">
        <f>AF78+AG78*1.15</f>
        <v>0</v>
      </c>
      <c r="AI78" s="68"/>
      <c r="AJ78" s="48"/>
      <c r="AK78" s="39"/>
      <c r="AL78" s="39"/>
      <c r="AM78" s="710">
        <f>AK78+AL78*1.15</f>
        <v>0</v>
      </c>
      <c r="AN78" s="676"/>
      <c r="AO78" s="48"/>
      <c r="AP78" s="39"/>
      <c r="AQ78" s="39"/>
      <c r="AR78" s="710">
        <f>AP78+AQ78*1.15</f>
        <v>0</v>
      </c>
      <c r="AS78" s="676"/>
      <c r="AT78" s="48"/>
      <c r="AU78" s="39"/>
      <c r="AV78" s="39"/>
      <c r="AW78" s="710">
        <f>AU78+AV78*1.15</f>
        <v>0</v>
      </c>
      <c r="AX78" s="676"/>
      <c r="AY78" s="48"/>
      <c r="AZ78" s="39"/>
      <c r="BA78" s="39"/>
      <c r="BB78" s="710">
        <f>AZ78+BA78*1.15</f>
        <v>0</v>
      </c>
      <c r="BC78" s="676"/>
      <c r="BD78" s="48"/>
      <c r="BE78" s="39"/>
      <c r="BF78" s="39"/>
      <c r="BG78" s="710">
        <f>BE78+BF78*1.15</f>
        <v>0</v>
      </c>
      <c r="BH78" s="676"/>
      <c r="BI78" s="48"/>
      <c r="BJ78" s="39"/>
      <c r="BK78" s="39"/>
      <c r="BL78" s="710">
        <f>BJ78+BK78*1.15</f>
        <v>0</v>
      </c>
      <c r="BM78" s="676"/>
      <c r="BN78" s="48"/>
      <c r="BO78" s="39">
        <f>G78+L78+Q78+V78+AA78+AF78+AK78+AP78+AU78+AZ78+BE78+BJ78</f>
        <v>0</v>
      </c>
      <c r="BP78" s="39">
        <f>H78+M78+R78+W78+AB78+AG78+AL78+AQ78+AV78+BA78+BF78+BK78</f>
        <v>0</v>
      </c>
      <c r="BQ78" s="68">
        <f>BO78+BP78*1.15</f>
        <v>0</v>
      </c>
      <c r="BR78" s="68"/>
      <c r="BS78" s="68"/>
      <c r="BT78" s="919"/>
      <c r="BU78" s="921">
        <f>BQ78-BT78</f>
        <v>0</v>
      </c>
    </row>
    <row r="79" spans="1:73" s="2" customFormat="1" ht="13.8">
      <c r="A79" s="11"/>
      <c r="B79" s="24" t="s">
        <v>79</v>
      </c>
      <c r="C79" s="113">
        <v>296996</v>
      </c>
      <c r="D79" s="119"/>
      <c r="E79" s="119">
        <f>C79+D79*1.15</f>
        <v>296996</v>
      </c>
      <c r="F79" s="184">
        <f>E79/$E$89</f>
        <v>1.6928325813006653E-2</v>
      </c>
      <c r="G79" s="45"/>
      <c r="H79" s="45"/>
      <c r="I79" s="346">
        <f>(H8+H41+H50+H54)/(1-'расчет 2020'!E15)*'расчет 2020'!E15</f>
        <v>13883.377901889122</v>
      </c>
      <c r="J79" s="178">
        <f>I79/$I$89</f>
        <v>1.9353219493546906E-2</v>
      </c>
      <c r="K79" s="265"/>
      <c r="L79" s="39"/>
      <c r="M79" s="39"/>
      <c r="N79" s="106">
        <f>(M8+M41+M50+M54)/(1-'расчет 2024'!E5)*'расчет 2024'!E5</f>
        <v>27286.453103448275</v>
      </c>
      <c r="O79" s="45"/>
      <c r="P79" s="45"/>
      <c r="Q79" s="39"/>
      <c r="R79" s="39"/>
      <c r="S79" s="106">
        <f>(R8+R41+R50+R54)/(1-'расчет 2024'!E5)*'расчет 2024'!E5</f>
        <v>20411.470344827587</v>
      </c>
      <c r="T79" s="45"/>
      <c r="U79" s="405"/>
      <c r="V79" s="39"/>
      <c r="W79" s="39"/>
      <c r="X79" s="106">
        <f>(W8+W41+W50+W54)/(1-'расчет 2024'!E6)*'расчет 2024'!E6</f>
        <v>139837.69919540233</v>
      </c>
      <c r="Y79" s="45"/>
      <c r="Z79" s="405"/>
      <c r="AA79" s="39"/>
      <c r="AB79" s="39"/>
      <c r="AC79" s="106">
        <f>(AB8+AB41+AB50+AB54)/(1-'расчет 2024'!E7)*'расчет 2024'!E7</f>
        <v>53127.478619487199</v>
      </c>
      <c r="AD79" s="45"/>
      <c r="AE79" s="405"/>
      <c r="AF79" s="39"/>
      <c r="AG79" s="39"/>
      <c r="AH79" s="106">
        <f>(AG8+AG41+AG50+AG54)/(1-'расчет 2024'!E8)*'расчет 2024'!E8</f>
        <v>31085.097261448926</v>
      </c>
      <c r="AI79" s="45"/>
      <c r="AJ79" s="405"/>
      <c r="AK79" s="39"/>
      <c r="AL79" s="39"/>
      <c r="AM79" s="446" t="e">
        <f>(AL8+AL41+AL50+AL54)/(1-'расчет 2024'!E9)*'расчет 2024'!E9</f>
        <v>#DIV/0!</v>
      </c>
      <c r="AN79" s="693"/>
      <c r="AO79" s="405"/>
      <c r="AP79" s="39"/>
      <c r="AQ79" s="39"/>
      <c r="AR79" s="446" t="e">
        <f>(AQ8+AQ41+AQ50+AQ54)/(1-'расчет 2024'!E10)*'расчет 2024'!E10</f>
        <v>#DIV/0!</v>
      </c>
      <c r="AS79" s="693"/>
      <c r="AT79" s="405"/>
      <c r="AU79" s="39"/>
      <c r="AV79" s="39"/>
      <c r="AW79" s="446">
        <f>(AV8+AV41+AV50+AV54)/(1-'расчет 2024'!E11)*'расчет 2024'!E11</f>
        <v>207.90960451977401</v>
      </c>
      <c r="AX79" s="450">
        <f>AW79/$AW$89</f>
        <v>4.9174729183107432E-2</v>
      </c>
      <c r="AY79" s="405"/>
      <c r="AZ79" s="39"/>
      <c r="BA79" s="39"/>
      <c r="BB79" s="446" t="e">
        <f>(BA8+BA41+BA50+BA54)/(1-'расчет 2024'!E12)*'расчет 2024'!E12</f>
        <v>#DIV/0!</v>
      </c>
      <c r="BC79" s="450" t="e">
        <f>BB79/$BB$89</f>
        <v>#DIV/0!</v>
      </c>
      <c r="BD79" s="405"/>
      <c r="BE79" s="39"/>
      <c r="BF79" s="39"/>
      <c r="BG79" s="446">
        <f>(BF8+BF41+BF50+BF54)/(1-'расчет 2024'!J12)*'расчет 2024'!J12</f>
        <v>0</v>
      </c>
      <c r="BH79" s="450" t="e">
        <f>BG79/$BB$89</f>
        <v>#DIV/0!</v>
      </c>
      <c r="BI79" s="405"/>
      <c r="BJ79" s="39"/>
      <c r="BK79" s="39"/>
      <c r="BL79" s="446">
        <f>(BK8+BK41+BK50+BK54)/(1-'расчет 2024'!O12)*'расчет 2024'!O12</f>
        <v>0</v>
      </c>
      <c r="BM79" s="450" t="e">
        <f>BL79/$BB$89</f>
        <v>#DIV/0!</v>
      </c>
      <c r="BN79" s="405"/>
      <c r="BO79" s="39">
        <f>G79+L79+Q79+V79+AA79+AF79+AK79+AP79+AU79+AZ79+BE79+BJ79</f>
        <v>0</v>
      </c>
      <c r="BP79" s="39">
        <f>H79+M79+R79+W79+AB79+AG79+AL79+AQ79+AV79+BA79+BF79+BK79</f>
        <v>0</v>
      </c>
      <c r="BQ79" s="106" t="e">
        <f>I79+N79+S79+X79+AC79+AH79+AM79+AR79+AW79+BB79</f>
        <v>#DIV/0!</v>
      </c>
      <c r="BR79" s="45"/>
      <c r="BS79" s="45"/>
      <c r="BT79" s="920">
        <v>356064</v>
      </c>
      <c r="BU79" s="921" t="e">
        <f>BQ79-BT79</f>
        <v>#DIV/0!</v>
      </c>
    </row>
    <row r="80" spans="1:73" ht="13.8">
      <c r="A80" s="3"/>
      <c r="B80" s="25"/>
      <c r="C80" s="143"/>
      <c r="D80" s="144"/>
      <c r="E80" s="145"/>
      <c r="F80" s="187"/>
      <c r="G80" s="69"/>
      <c r="H80" s="69"/>
      <c r="I80" s="69"/>
      <c r="J80" s="177"/>
      <c r="K80" s="282"/>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39"/>
      <c r="AL80" s="39"/>
      <c r="AM80" s="711"/>
      <c r="AN80" s="678"/>
      <c r="AO80" s="69"/>
      <c r="AP80" s="39"/>
      <c r="AQ80" s="39"/>
      <c r="AR80" s="711"/>
      <c r="AS80" s="678"/>
      <c r="AT80" s="69"/>
      <c r="AU80" s="39"/>
      <c r="AV80" s="39"/>
      <c r="AW80" s="711"/>
      <c r="AX80" s="678"/>
      <c r="AY80" s="69"/>
      <c r="AZ80" s="39"/>
      <c r="BA80" s="39"/>
      <c r="BB80" s="711"/>
      <c r="BC80" s="678"/>
      <c r="BD80" s="69"/>
      <c r="BE80" s="39"/>
      <c r="BF80" s="39"/>
      <c r="BG80" s="711"/>
      <c r="BH80" s="678"/>
      <c r="BI80" s="69"/>
      <c r="BJ80" s="39"/>
      <c r="BK80" s="39"/>
      <c r="BL80" s="711"/>
      <c r="BM80" s="678"/>
      <c r="BN80" s="69"/>
      <c r="BO80" s="39"/>
      <c r="BP80" s="39"/>
      <c r="BQ80" s="69"/>
      <c r="BR80" s="69"/>
      <c r="BS80" s="69"/>
      <c r="BU80" s="921">
        <f>BQ80-BT80</f>
        <v>0</v>
      </c>
    </row>
    <row r="81" spans="1:73" s="2" customFormat="1" ht="14.4" thickBot="1">
      <c r="A81" s="26"/>
      <c r="B81" s="27" t="s">
        <v>12</v>
      </c>
      <c r="C81" s="139">
        <f>(C75+C78)-C79</f>
        <v>4301860.75</v>
      </c>
      <c r="D81" s="139">
        <f>(D75+D78)-D79</f>
        <v>-1979974</v>
      </c>
      <c r="E81" s="140">
        <f>(E75+E78)-E79</f>
        <v>2321886.75</v>
      </c>
      <c r="F81" s="173"/>
      <c r="G81" s="139">
        <f>(G75+G78)-G79</f>
        <v>-602581.99500000011</v>
      </c>
      <c r="H81" s="139">
        <f>(H75+H78)-H79</f>
        <v>-100902.5</v>
      </c>
      <c r="I81" s="140">
        <f>(I75+I78)-I79</f>
        <v>-717367.87290188926</v>
      </c>
      <c r="J81" s="198"/>
      <c r="K81" s="283"/>
      <c r="L81" s="139">
        <f>(L75+L78)-L79</f>
        <v>-530637.39999999991</v>
      </c>
      <c r="M81" s="139">
        <f>(M75+M78)-M79</f>
        <v>-182609.34</v>
      </c>
      <c r="N81" s="140">
        <f>(N75+N78)-N79</f>
        <v>-740533.19310344825</v>
      </c>
      <c r="O81" s="67"/>
      <c r="P81" s="67"/>
      <c r="Q81" s="139">
        <f>(Q75+Q78)-Q79</f>
        <v>1125289.2300000004</v>
      </c>
      <c r="R81" s="139">
        <f>(R75+R78)-R79</f>
        <v>-136599.84</v>
      </c>
      <c r="S81" s="140">
        <f>(S75+S78)-S79</f>
        <v>968277.91965517309</v>
      </c>
      <c r="T81" s="67"/>
      <c r="U81" s="67"/>
      <c r="V81" s="139">
        <f>(V75+V78)-V79</f>
        <v>3304344.6720000007</v>
      </c>
      <c r="W81" s="139">
        <f>(W75+W78)-W79</f>
        <v>-935836.91</v>
      </c>
      <c r="X81" s="140">
        <f>(X75+X78)-X79</f>
        <v>2228670.0628045984</v>
      </c>
      <c r="Y81" s="67"/>
      <c r="Z81" s="67"/>
      <c r="AA81" s="139">
        <f>(AA75+AA78)-AA79</f>
        <v>106313.84800000052</v>
      </c>
      <c r="AB81" s="139">
        <f>(AB75+AB78)-AB79</f>
        <v>-430093.5</v>
      </c>
      <c r="AC81" s="140">
        <f>(AC75+AC78)-AC79</f>
        <v>-376907.13061948662</v>
      </c>
      <c r="AD81" s="67"/>
      <c r="AE81" s="67"/>
      <c r="AF81" s="139">
        <f>(AF75+AF78)-AF79</f>
        <v>68971.864000000205</v>
      </c>
      <c r="AG81" s="139">
        <f>(AG75+AG78)-AG79</f>
        <v>-214631.03999999998</v>
      </c>
      <c r="AH81" s="140">
        <f>(AH75+AH78)-AH79</f>
        <v>-176744.27326144875</v>
      </c>
      <c r="AI81" s="67"/>
      <c r="AJ81" s="67"/>
      <c r="AK81" s="139">
        <f>(AK75+AK78)-AK79</f>
        <v>151596.78199999995</v>
      </c>
      <c r="AL81" s="139">
        <f>(AL75+AL78)-AL79</f>
        <v>-201551.3</v>
      </c>
      <c r="AM81" s="674" t="e">
        <f>(AM75+AM78)-AM79</f>
        <v>#DIV/0!</v>
      </c>
      <c r="AN81" s="700"/>
      <c r="AO81" s="67"/>
      <c r="AP81" s="139">
        <f>(AP75+AP78)-AP79</f>
        <v>-334.95600000000002</v>
      </c>
      <c r="AQ81" s="139">
        <f>(AQ75+AQ78)-AQ79</f>
        <v>-71645.460000000006</v>
      </c>
      <c r="AR81" s="674" t="e">
        <f>(AR75+AR78)-AR79</f>
        <v>#DIV/0!</v>
      </c>
      <c r="AS81" s="700"/>
      <c r="AT81" s="67"/>
      <c r="AU81" s="139">
        <f>(AU75+AU78)-AU79</f>
        <v>-2420.067</v>
      </c>
      <c r="AV81" s="139">
        <f>(AV75+AV78)-AV79</f>
        <v>-1600</v>
      </c>
      <c r="AW81" s="674">
        <f>(AW75+AW78)-AW79</f>
        <v>-4227.9766045197739</v>
      </c>
      <c r="AX81" s="700"/>
      <c r="AY81" s="67"/>
      <c r="AZ81" s="139">
        <f>(AZ75+AZ78)-AZ79</f>
        <v>290045.00199999998</v>
      </c>
      <c r="BA81" s="139">
        <f>(BA75+BA78)-BA79</f>
        <v>-17952.8</v>
      </c>
      <c r="BB81" s="674" t="e">
        <f>(BB75+BB78)-BB79</f>
        <v>#DIV/0!</v>
      </c>
      <c r="BC81" s="700"/>
      <c r="BD81" s="67"/>
      <c r="BE81" s="139">
        <f>(BE75+BE78)-BE79</f>
        <v>0</v>
      </c>
      <c r="BF81" s="139">
        <f>(BF75+BF78)-BF79</f>
        <v>0</v>
      </c>
      <c r="BG81" s="674">
        <f>(BG75+BG78)-BG79</f>
        <v>0</v>
      </c>
      <c r="BH81" s="700"/>
      <c r="BI81" s="67"/>
      <c r="BJ81" s="139">
        <f>(BJ75+BJ78)-BJ79</f>
        <v>0</v>
      </c>
      <c r="BK81" s="139">
        <f>(BK75+BK78)-BK79</f>
        <v>0</v>
      </c>
      <c r="BL81" s="674">
        <f>(BL75+BL78)-BL79</f>
        <v>0</v>
      </c>
      <c r="BM81" s="700"/>
      <c r="BN81" s="67"/>
      <c r="BO81" s="139">
        <f>(BO75+BO78)-BO79</f>
        <v>3910586.9799999967</v>
      </c>
      <c r="BP81" s="139">
        <f>(BP75+BP78)-BP79</f>
        <v>-2293422.6900000004</v>
      </c>
      <c r="BQ81" s="140" t="e">
        <f>(BQ75+BQ78)-BQ79</f>
        <v>#DIV/0!</v>
      </c>
      <c r="BR81" s="67"/>
      <c r="BS81" s="67"/>
      <c r="BT81" s="919"/>
      <c r="BU81" s="921"/>
    </row>
    <row r="82" spans="1:73" s="2" customFormat="1" ht="13.8">
      <c r="A82" s="293"/>
      <c r="B82" s="6" t="s">
        <v>38</v>
      </c>
      <c r="C82" s="141"/>
      <c r="D82" s="142"/>
      <c r="E82" s="146">
        <f>C82+D82</f>
        <v>0</v>
      </c>
      <c r="F82" s="180">
        <f>E82/$E$89</f>
        <v>0</v>
      </c>
      <c r="G82" s="141"/>
      <c r="H82" s="142"/>
      <c r="I82" s="146">
        <f>G82+H82</f>
        <v>0</v>
      </c>
      <c r="J82" s="178">
        <f>I82/$I$89</f>
        <v>0</v>
      </c>
      <c r="K82" s="284"/>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564">
        <f>AK82+AL82</f>
        <v>0</v>
      </c>
      <c r="AN82" s="642"/>
      <c r="AO82" s="101"/>
      <c r="AP82" s="39"/>
      <c r="AQ82" s="39"/>
      <c r="AR82" s="564">
        <f>AP82+AQ82</f>
        <v>0</v>
      </c>
      <c r="AS82" s="642"/>
      <c r="AT82" s="101"/>
      <c r="AU82" s="39"/>
      <c r="AV82" s="39"/>
      <c r="AW82" s="564">
        <f>AU82+AV82</f>
        <v>0</v>
      </c>
      <c r="AX82" s="642"/>
      <c r="AY82" s="101"/>
      <c r="AZ82" s="39"/>
      <c r="BA82" s="39"/>
      <c r="BB82" s="564">
        <f>AZ82+BA82</f>
        <v>0</v>
      </c>
      <c r="BC82" s="642"/>
      <c r="BD82" s="101"/>
      <c r="BE82" s="39"/>
      <c r="BF82" s="39"/>
      <c r="BG82" s="564">
        <f>BE82+BF82</f>
        <v>0</v>
      </c>
      <c r="BH82" s="642"/>
      <c r="BI82" s="101"/>
      <c r="BJ82" s="39"/>
      <c r="BK82" s="39"/>
      <c r="BL82" s="564">
        <f>BJ82+BK82</f>
        <v>0</v>
      </c>
      <c r="BM82" s="642"/>
      <c r="BN82" s="101"/>
      <c r="BO82" s="39">
        <f>G82+L82+Q82+V82+AA82+AF82+AK82+AP82+AU82</f>
        <v>0</v>
      </c>
      <c r="BP82" s="39">
        <f>H82+M82+R82+W82+AB82+AG82+AL82+AQ82+AV82</f>
        <v>0</v>
      </c>
      <c r="BQ82" s="146">
        <f>BO82+BP82*1</f>
        <v>0</v>
      </c>
      <c r="BR82" s="101"/>
      <c r="BS82" s="101"/>
      <c r="BT82" s="919"/>
      <c r="BU82" s="921"/>
    </row>
    <row r="83" spans="1:73" s="2" customFormat="1" ht="13.8">
      <c r="A83" s="11"/>
      <c r="B83" s="28" t="s">
        <v>13</v>
      </c>
      <c r="C83" s="147">
        <f>(C81+C7)-C36</f>
        <v>4299860.75</v>
      </c>
      <c r="D83" s="147">
        <f>(D81+D7)-D36</f>
        <v>-1979974</v>
      </c>
      <c r="E83" s="147">
        <f>(E81+E7)-E36</f>
        <v>2319886.75</v>
      </c>
      <c r="F83" s="174"/>
      <c r="G83" s="147">
        <f>(G81+G7)-G36</f>
        <v>-602581.99500000011</v>
      </c>
      <c r="H83" s="147">
        <f>(H81+H7)-H36</f>
        <v>-100902.5</v>
      </c>
      <c r="I83" s="148">
        <f>(I81+I7)-I36</f>
        <v>-717367.87290188926</v>
      </c>
      <c r="J83" s="199"/>
      <c r="K83" s="285"/>
      <c r="L83" s="147">
        <f>(L81+L7)-L36</f>
        <v>-530637.39999999991</v>
      </c>
      <c r="M83" s="147">
        <f>(M81+M7)-M36</f>
        <v>-182609.34</v>
      </c>
      <c r="N83" s="148">
        <f>(N81+N7)-N36</f>
        <v>-740533.19310344825</v>
      </c>
      <c r="O83" s="70"/>
      <c r="P83" s="70"/>
      <c r="Q83" s="147">
        <f>(Q81+Q7)-Q36</f>
        <v>1125289.2300000004</v>
      </c>
      <c r="R83" s="147">
        <f>(R81+R7)-R36</f>
        <v>-136599.84</v>
      </c>
      <c r="S83" s="148">
        <f>(S81+S7)-S36</f>
        <v>968277.91965517309</v>
      </c>
      <c r="T83" s="70"/>
      <c r="U83" s="70"/>
      <c r="V83" s="147">
        <f>(V81+V7)-V36</f>
        <v>3304344.6720000007</v>
      </c>
      <c r="W83" s="147">
        <f>(W81+W7)-W36</f>
        <v>-935836.91</v>
      </c>
      <c r="X83" s="148">
        <f>(X81+X7)-X36</f>
        <v>2228670.0628045984</v>
      </c>
      <c r="Y83" s="70"/>
      <c r="Z83" s="70"/>
      <c r="AA83" s="147">
        <f>(AA81+AA7)-AA36</f>
        <v>106313.84800000052</v>
      </c>
      <c r="AB83" s="147">
        <f>(AB81+AB7)-AB36</f>
        <v>-430093.5</v>
      </c>
      <c r="AC83" s="148">
        <f>(AC81+AC7)-AC36</f>
        <v>-376907.13061948662</v>
      </c>
      <c r="AD83" s="70"/>
      <c r="AE83" s="70"/>
      <c r="AF83" s="147">
        <f>(AF81)-AF36</f>
        <v>68971.864000000205</v>
      </c>
      <c r="AG83" s="147">
        <f>(AG81)-AG36</f>
        <v>-214631.03999999998</v>
      </c>
      <c r="AH83" s="147">
        <f>(AH81)-AH36</f>
        <v>-176744.27326144875</v>
      </c>
      <c r="AI83" s="70"/>
      <c r="AJ83" s="70"/>
      <c r="AK83" s="147">
        <f>(AK81)-AK36</f>
        <v>151596.78199999995</v>
      </c>
      <c r="AL83" s="147">
        <f>(AL81)-AL36</f>
        <v>-201551.3</v>
      </c>
      <c r="AM83" s="680" t="e">
        <f>(AM81)-AM36</f>
        <v>#DIV/0!</v>
      </c>
      <c r="AN83" s="701"/>
      <c r="AO83" s="70"/>
      <c r="AP83" s="147">
        <f>(AP81)-AP36</f>
        <v>-334.95600000000002</v>
      </c>
      <c r="AQ83" s="147">
        <f>(AQ81)-AQ36</f>
        <v>-71645.460000000006</v>
      </c>
      <c r="AR83" s="680" t="e">
        <f>(AR81)-AR36</f>
        <v>#DIV/0!</v>
      </c>
      <c r="AS83" s="701"/>
      <c r="AT83" s="70"/>
      <c r="AU83" s="147">
        <f>(AU81)-AU36</f>
        <v>-2420.067</v>
      </c>
      <c r="AV83" s="147">
        <f>(AV81)-AV36</f>
        <v>-1600</v>
      </c>
      <c r="AW83" s="680">
        <f>(AW81)-AW36</f>
        <v>-4227.9766045197739</v>
      </c>
      <c r="AX83" s="701"/>
      <c r="AY83" s="70"/>
      <c r="AZ83" s="147">
        <f>(AZ81)-AZ36</f>
        <v>290045.00199999998</v>
      </c>
      <c r="BA83" s="147">
        <f>(BA81)-BA36</f>
        <v>-17952.8</v>
      </c>
      <c r="BB83" s="680" t="e">
        <f>(BB81)-BB36</f>
        <v>#DIV/0!</v>
      </c>
      <c r="BC83" s="701"/>
      <c r="BD83" s="70"/>
      <c r="BE83" s="147">
        <f>(BE81)-BE36</f>
        <v>0</v>
      </c>
      <c r="BF83" s="147">
        <f>(BF81)-BF36</f>
        <v>0</v>
      </c>
      <c r="BG83" s="680">
        <f>(BG81)-BG36</f>
        <v>0</v>
      </c>
      <c r="BH83" s="701"/>
      <c r="BI83" s="70"/>
      <c r="BJ83" s="147">
        <f>(BJ81)-BJ36</f>
        <v>0</v>
      </c>
      <c r="BK83" s="147">
        <f>(BK81)-BK36</f>
        <v>0</v>
      </c>
      <c r="BL83" s="680">
        <f>(BL81)-BL36</f>
        <v>0</v>
      </c>
      <c r="BM83" s="701"/>
      <c r="BN83" s="70"/>
      <c r="BO83" s="147">
        <f>(BO81)-BO36</f>
        <v>3910586.9799999967</v>
      </c>
      <c r="BP83" s="147">
        <f>(BP81)-BP36</f>
        <v>-2293422.6900000004</v>
      </c>
      <c r="BQ83" s="147" t="e">
        <f>(BQ81)-BQ36</f>
        <v>#DIV/0!</v>
      </c>
      <c r="BR83" s="70"/>
      <c r="BS83" s="70"/>
      <c r="BT83" s="919"/>
      <c r="BU83" s="921"/>
    </row>
    <row r="84" spans="1:73" s="2" customFormat="1" ht="14.4" thickBot="1">
      <c r="A84" s="11"/>
      <c r="B84" s="211" t="s">
        <v>14</v>
      </c>
      <c r="C84" s="212">
        <f>C83-C73-C82</f>
        <v>3688078.94</v>
      </c>
      <c r="D84" s="212">
        <f>D83-D73-D82</f>
        <v>-1979974</v>
      </c>
      <c r="E84" s="212">
        <f>E83-E73-E82</f>
        <v>1708104.94</v>
      </c>
      <c r="F84" s="214"/>
      <c r="G84" s="212">
        <f>G83-G73-G82</f>
        <v>-602581.99500000011</v>
      </c>
      <c r="H84" s="212">
        <f>H83-H73-H82</f>
        <v>-100902.5</v>
      </c>
      <c r="I84" s="213">
        <f>I83-I73-I82</f>
        <v>-717367.87290188926</v>
      </c>
      <c r="J84" s="215"/>
      <c r="K84" s="286"/>
      <c r="L84" s="213">
        <f>L83-L73-L82</f>
        <v>-530637.39999999991</v>
      </c>
      <c r="M84" s="213">
        <f>M83-M73-M82</f>
        <v>-182609.34</v>
      </c>
      <c r="N84" s="213">
        <f>N83-N73-N82</f>
        <v>-740533.19310344825</v>
      </c>
      <c r="O84" s="82"/>
      <c r="P84" s="82"/>
      <c r="Q84" s="213">
        <f>Q83-Q73-Q82</f>
        <v>1125289.2300000004</v>
      </c>
      <c r="R84" s="213">
        <f>R83-R73-R82</f>
        <v>-136599.84</v>
      </c>
      <c r="S84" s="213">
        <f>S83-S73-S82</f>
        <v>968277.91965517309</v>
      </c>
      <c r="T84" s="82"/>
      <c r="U84" s="82"/>
      <c r="V84" s="213">
        <f>V83-V73-V82</f>
        <v>3304344.6720000007</v>
      </c>
      <c r="W84" s="213">
        <f>W83-W73-W82</f>
        <v>-935836.91</v>
      </c>
      <c r="X84" s="213">
        <f>X83-X73-X82</f>
        <v>2228670.0628045984</v>
      </c>
      <c r="Y84" s="82"/>
      <c r="Z84" s="82"/>
      <c r="AA84" s="213">
        <f>AA83-AA73-AA82</f>
        <v>106313.84800000052</v>
      </c>
      <c r="AB84" s="213">
        <f>AB83-AB73-AB82</f>
        <v>-430093.5</v>
      </c>
      <c r="AC84" s="213">
        <f>AC83-AC73-AC82</f>
        <v>-376907.13061948662</v>
      </c>
      <c r="AD84" s="82"/>
      <c r="AE84" s="82"/>
      <c r="AF84" s="213">
        <f>AF83-AF73-AF82</f>
        <v>68971.864000000205</v>
      </c>
      <c r="AG84" s="213">
        <f>AG83-AG73-AG82</f>
        <v>-214631.03999999998</v>
      </c>
      <c r="AH84" s="213">
        <f>AH83-AH73-AH82</f>
        <v>-176744.27326144875</v>
      </c>
      <c r="AI84" s="82"/>
      <c r="AJ84" s="82"/>
      <c r="AK84" s="213">
        <f>AK83-AK73-AK82</f>
        <v>151596.78199999995</v>
      </c>
      <c r="AL84" s="213">
        <f>AL83-AL73-AL82</f>
        <v>-201551.3</v>
      </c>
      <c r="AM84" s="562" t="e">
        <f>AM83-AM73-AM82</f>
        <v>#DIV/0!</v>
      </c>
      <c r="AN84" s="702"/>
      <c r="AO84" s="82"/>
      <c r="AP84" s="213">
        <f>AP83-AP73-AP82</f>
        <v>-334.95600000000002</v>
      </c>
      <c r="AQ84" s="213">
        <f>AQ83-AQ73-AQ82</f>
        <v>-71645.460000000006</v>
      </c>
      <c r="AR84" s="562" t="e">
        <f>AR83-AR73-AR82</f>
        <v>#DIV/0!</v>
      </c>
      <c r="AS84" s="702"/>
      <c r="AT84" s="82"/>
      <c r="AU84" s="213">
        <f>AU83-AU73-AU82</f>
        <v>-2420.067</v>
      </c>
      <c r="AV84" s="213">
        <f>AV83-AV73-AV82</f>
        <v>-1600</v>
      </c>
      <c r="AW84" s="562">
        <f>AW83-AW73-AW82</f>
        <v>-4227.9766045197739</v>
      </c>
      <c r="AX84" s="702"/>
      <c r="AY84" s="82"/>
      <c r="AZ84" s="213">
        <f>AZ83-AZ73-AZ82</f>
        <v>290045.00199999998</v>
      </c>
      <c r="BA84" s="213">
        <f>BA83-BA73-BA82</f>
        <v>-17952.8</v>
      </c>
      <c r="BB84" s="562" t="e">
        <f>BB83-BB73-BB82</f>
        <v>#DIV/0!</v>
      </c>
      <c r="BC84" s="702"/>
      <c r="BD84" s="82"/>
      <c r="BE84" s="213">
        <f>BE83-BE73-BE82</f>
        <v>0</v>
      </c>
      <c r="BF84" s="213">
        <f>BF83-BF73-BF82</f>
        <v>0</v>
      </c>
      <c r="BG84" s="562">
        <f>BG83-BG73-BG82</f>
        <v>0</v>
      </c>
      <c r="BH84" s="702"/>
      <c r="BI84" s="82"/>
      <c r="BJ84" s="213">
        <f>BJ83-BJ73-BJ82</f>
        <v>0</v>
      </c>
      <c r="BK84" s="213">
        <f>BK83-BK73-BK82</f>
        <v>0</v>
      </c>
      <c r="BL84" s="562">
        <f>BL83-BL73-BL82</f>
        <v>0</v>
      </c>
      <c r="BM84" s="702"/>
      <c r="BN84" s="82"/>
      <c r="BO84" s="213">
        <f>BO83-BO73-BO82</f>
        <v>3910586.9799999967</v>
      </c>
      <c r="BP84" s="213">
        <f>BP83-BP73-BP82</f>
        <v>-2293422.6900000004</v>
      </c>
      <c r="BQ84" s="213" t="e">
        <f>BQ83-BQ73-BQ82</f>
        <v>#DIV/0!</v>
      </c>
      <c r="BR84" s="82"/>
      <c r="BS84" s="82"/>
      <c r="BT84" s="919"/>
      <c r="BU84" s="921"/>
    </row>
    <row r="85" spans="1:73" s="2" customFormat="1" ht="13.8">
      <c r="A85" s="293"/>
      <c r="B85" s="216" t="s">
        <v>44</v>
      </c>
      <c r="C85" s="141"/>
      <c r="D85" s="142"/>
      <c r="E85" s="146">
        <f>C85+D85</f>
        <v>0</v>
      </c>
      <c r="F85" s="217">
        <f>E85/$E$89</f>
        <v>0</v>
      </c>
      <c r="G85" s="102"/>
      <c r="H85" s="102"/>
      <c r="I85" s="146">
        <f>G85+H85</f>
        <v>0</v>
      </c>
      <c r="J85" s="178">
        <f>I85/$I$89</f>
        <v>0</v>
      </c>
      <c r="K85" s="287"/>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484">
        <f>AK85+AL85*1.15</f>
        <v>0</v>
      </c>
      <c r="AN85" s="566"/>
      <c r="AO85" s="102"/>
      <c r="AP85" s="39"/>
      <c r="AQ85" s="39"/>
      <c r="AR85" s="484">
        <f>AP85+AQ85*1.15</f>
        <v>0</v>
      </c>
      <c r="AS85" s="566"/>
      <c r="AT85" s="102"/>
      <c r="AU85" s="39"/>
      <c r="AV85" s="39"/>
      <c r="AW85" s="484">
        <f>AU85+AV85*1.15</f>
        <v>0</v>
      </c>
      <c r="AX85" s="566"/>
      <c r="AY85" s="102"/>
      <c r="AZ85" s="39"/>
      <c r="BA85" s="39"/>
      <c r="BB85" s="484">
        <f>AZ85+BA85*1.15</f>
        <v>0</v>
      </c>
      <c r="BC85" s="566"/>
      <c r="BD85" s="102"/>
      <c r="BE85" s="39"/>
      <c r="BF85" s="39"/>
      <c r="BG85" s="484">
        <f>BE85+BF85*1.15</f>
        <v>0</v>
      </c>
      <c r="BH85" s="566"/>
      <c r="BI85" s="102"/>
      <c r="BJ85" s="39"/>
      <c r="BK85" s="39"/>
      <c r="BL85" s="484">
        <f>BJ85+BK85*1.15</f>
        <v>0</v>
      </c>
      <c r="BM85" s="566"/>
      <c r="BN85" s="102"/>
      <c r="BO85" s="39">
        <f>G85+L85+Q85+V85+AA85+AF85+AK85+AP85+AU85</f>
        <v>0</v>
      </c>
      <c r="BP85" s="39">
        <f>H85+M85+R85+W85+AB85+AG85+AL85+AQ85+AV85</f>
        <v>0</v>
      </c>
      <c r="BQ85" s="219">
        <f>BO85+BP85*1</f>
        <v>0</v>
      </c>
      <c r="BR85" s="102"/>
      <c r="BS85" s="102"/>
      <c r="BT85" s="919"/>
      <c r="BU85" s="921"/>
    </row>
    <row r="86" spans="1:73" s="2" customFormat="1" ht="28.2" thickBot="1">
      <c r="A86" s="11"/>
      <c r="B86" s="37" t="s">
        <v>50</v>
      </c>
      <c r="C86" s="149">
        <f>C84-C85</f>
        <v>3688078.94</v>
      </c>
      <c r="D86" s="149">
        <f>D84-D85</f>
        <v>-1979974</v>
      </c>
      <c r="E86" s="150">
        <f>E84-E85</f>
        <v>1708104.94</v>
      </c>
      <c r="F86" s="175"/>
      <c r="G86" s="72">
        <f>G84-G85</f>
        <v>-602581.99500000011</v>
      </c>
      <c r="H86" s="72">
        <f>H84-H85</f>
        <v>-100902.5</v>
      </c>
      <c r="I86" s="73">
        <f>I84-I85</f>
        <v>-717367.87290188926</v>
      </c>
      <c r="J86" s="200"/>
      <c r="K86" s="288"/>
      <c r="L86" s="150">
        <f>L84-L85</f>
        <v>-530637.39999999991</v>
      </c>
      <c r="M86" s="150">
        <f>M84-M85</f>
        <v>-182609.34</v>
      </c>
      <c r="N86" s="150">
        <f>N84-N85</f>
        <v>-740533.19310344825</v>
      </c>
      <c r="O86" s="73"/>
      <c r="P86" s="73"/>
      <c r="Q86" s="150">
        <f>Q84-Q85</f>
        <v>1125289.2300000004</v>
      </c>
      <c r="R86" s="150">
        <f>R84-R85</f>
        <v>-136599.84</v>
      </c>
      <c r="S86" s="150">
        <f>S84-S85</f>
        <v>968277.91965517309</v>
      </c>
      <c r="T86" s="73"/>
      <c r="U86" s="73"/>
      <c r="V86" s="150">
        <f>V84-V85</f>
        <v>3304344.6720000007</v>
      </c>
      <c r="W86" s="150">
        <f>W84-W85</f>
        <v>-935836.91</v>
      </c>
      <c r="X86" s="150">
        <f>X84-X85</f>
        <v>2228670.0628045984</v>
      </c>
      <c r="Y86" s="73"/>
      <c r="Z86" s="73"/>
      <c r="AA86" s="150">
        <f>AA84-AA85</f>
        <v>106313.84800000052</v>
      </c>
      <c r="AB86" s="150">
        <f>AB84-AB85</f>
        <v>-430093.5</v>
      </c>
      <c r="AC86" s="150">
        <f>AC84-AC85</f>
        <v>-376907.13061948662</v>
      </c>
      <c r="AD86" s="73"/>
      <c r="AE86" s="73"/>
      <c r="AF86" s="150">
        <f>AF84-AF85</f>
        <v>68971.864000000205</v>
      </c>
      <c r="AG86" s="150">
        <f>AG84-AG85</f>
        <v>-214631.03999999998</v>
      </c>
      <c r="AH86" s="150">
        <f>AH84-AH85</f>
        <v>-176744.27326144875</v>
      </c>
      <c r="AI86" s="73"/>
      <c r="AJ86" s="73"/>
      <c r="AK86" s="150">
        <f>AK84-AK85</f>
        <v>151596.78199999995</v>
      </c>
      <c r="AL86" s="150">
        <f>AL84-AL85</f>
        <v>-201551.3</v>
      </c>
      <c r="AM86" s="712" t="e">
        <f>AM84-AM85</f>
        <v>#DIV/0!</v>
      </c>
      <c r="AN86" s="703"/>
      <c r="AO86" s="73"/>
      <c r="AP86" s="150">
        <f>AP84-AP85</f>
        <v>-334.95600000000002</v>
      </c>
      <c r="AQ86" s="150">
        <f>AQ84-AQ85</f>
        <v>-71645.460000000006</v>
      </c>
      <c r="AR86" s="712" t="e">
        <f>AR84-AR85</f>
        <v>#DIV/0!</v>
      </c>
      <c r="AS86" s="703"/>
      <c r="AT86" s="73"/>
      <c r="AU86" s="150">
        <f>AU84-AU85</f>
        <v>-2420.067</v>
      </c>
      <c r="AV86" s="150">
        <f>AV84-AV85</f>
        <v>-1600</v>
      </c>
      <c r="AW86" s="712">
        <f>AW84-AW85</f>
        <v>-4227.9766045197739</v>
      </c>
      <c r="AX86" s="703"/>
      <c r="AY86" s="73"/>
      <c r="AZ86" s="150">
        <f>AZ84-AZ85</f>
        <v>290045.00199999998</v>
      </c>
      <c r="BA86" s="150">
        <f>BA84-BA85</f>
        <v>-17952.8</v>
      </c>
      <c r="BB86" s="712" t="e">
        <f>BB84-BB85</f>
        <v>#DIV/0!</v>
      </c>
      <c r="BC86" s="703"/>
      <c r="BD86" s="73"/>
      <c r="BE86" s="150">
        <f>BE84-BE85</f>
        <v>0</v>
      </c>
      <c r="BF86" s="150">
        <f>BF84-BF85</f>
        <v>0</v>
      </c>
      <c r="BG86" s="712">
        <f>BG84-BG85</f>
        <v>0</v>
      </c>
      <c r="BH86" s="703"/>
      <c r="BI86" s="73"/>
      <c r="BJ86" s="150">
        <f>BJ84-BJ85</f>
        <v>0</v>
      </c>
      <c r="BK86" s="150">
        <f>BK84-BK85</f>
        <v>0</v>
      </c>
      <c r="BL86" s="712">
        <f>BL84-BL85</f>
        <v>0</v>
      </c>
      <c r="BM86" s="703"/>
      <c r="BN86" s="73"/>
      <c r="BO86" s="150">
        <f>BO84-BO85</f>
        <v>3910586.9799999967</v>
      </c>
      <c r="BP86" s="150">
        <f>BP84-BP85</f>
        <v>-2293422.6900000004</v>
      </c>
      <c r="BQ86" s="150" t="e">
        <f>BQ84-BQ85</f>
        <v>#DIV/0!</v>
      </c>
      <c r="BR86" s="73"/>
      <c r="BS86" s="73"/>
      <c r="BT86" s="919"/>
      <c r="BU86" s="921"/>
    </row>
    <row r="87" spans="1:73" s="2" customFormat="1" ht="14.4" thickBot="1">
      <c r="A87" s="295"/>
      <c r="B87" s="29" t="s">
        <v>51</v>
      </c>
      <c r="C87" s="155">
        <f>C86/C5</f>
        <v>0.19156436432663787</v>
      </c>
      <c r="D87" s="151" t="e">
        <f>D86/D5</f>
        <v>#DIV/0!</v>
      </c>
      <c r="E87" s="156">
        <f>E86/E5</f>
        <v>8.8721538328648125E-2</v>
      </c>
      <c r="F87" s="176"/>
      <c r="G87" s="74" t="e">
        <f>G86/G5</f>
        <v>#DIV/0!</v>
      </c>
      <c r="H87" s="74" t="e">
        <f>H86/H5</f>
        <v>#DIV/0!</v>
      </c>
      <c r="I87" s="75" t="e">
        <f>I86/I5</f>
        <v>#DIV/0!</v>
      </c>
      <c r="J87" s="201"/>
      <c r="K87" s="289"/>
      <c r="L87" s="155" t="e">
        <f>L86/L5</f>
        <v>#DIV/0!</v>
      </c>
      <c r="M87" s="151" t="e">
        <f>M86/M5</f>
        <v>#DIV/0!</v>
      </c>
      <c r="N87" s="156" t="e">
        <f>N86/N5</f>
        <v>#DIV/0!</v>
      </c>
      <c r="O87" s="75"/>
      <c r="P87" s="75"/>
      <c r="Q87" s="155">
        <f>Q86/Q5</f>
        <v>0.22171407318693789</v>
      </c>
      <c r="R87" s="151" t="e">
        <f>R86/R5</f>
        <v>#DIV/0!</v>
      </c>
      <c r="S87" s="156">
        <f>S86/S5</f>
        <v>0.19077836685926777</v>
      </c>
      <c r="T87" s="75"/>
      <c r="U87" s="75"/>
      <c r="V87" s="155">
        <f>V86/V5</f>
        <v>0.39567289740495071</v>
      </c>
      <c r="W87" s="151" t="e">
        <f>W86/W5</f>
        <v>#DIV/0!</v>
      </c>
      <c r="X87" s="156">
        <f>X86/X5</f>
        <v>0.26686814743688114</v>
      </c>
      <c r="Y87" s="75"/>
      <c r="Z87" s="75"/>
      <c r="AA87" s="155">
        <f>AA86/AA5</f>
        <v>3.1379483055556844E-2</v>
      </c>
      <c r="AB87" s="151" t="e">
        <f>AB86/AB5</f>
        <v>#DIV/0!</v>
      </c>
      <c r="AC87" s="156">
        <f>AC86/AC5</f>
        <v>-0.11124751047288471</v>
      </c>
      <c r="AD87" s="75"/>
      <c r="AE87" s="75"/>
      <c r="AF87" s="155">
        <f>AF86/AF5</f>
        <v>5.2013898534448433E-2</v>
      </c>
      <c r="AG87" s="151" t="e">
        <f>AG86/AG5</f>
        <v>#DIV/0!</v>
      </c>
      <c r="AH87" s="156">
        <f>AH86/AH5</f>
        <v>-0.13328853481422215</v>
      </c>
      <c r="AI87" s="75"/>
      <c r="AJ87" s="75"/>
      <c r="AK87" s="155">
        <f>AK86/AK5</f>
        <v>0.14271496603881256</v>
      </c>
      <c r="AL87" s="151" t="e">
        <f>AL86/AL5</f>
        <v>#DIV/0!</v>
      </c>
      <c r="AM87" s="704" t="e">
        <f>AM86/AM5</f>
        <v>#DIV/0!</v>
      </c>
      <c r="AN87" s="75"/>
      <c r="AO87" s="75"/>
      <c r="AP87" s="155" t="e">
        <f>AP86/AP5</f>
        <v>#DIV/0!</v>
      </c>
      <c r="AQ87" s="151" t="e">
        <f>AQ86/AQ5</f>
        <v>#DIV/0!</v>
      </c>
      <c r="AR87" s="704" t="e">
        <f>AR86/AR5</f>
        <v>#DIV/0!</v>
      </c>
      <c r="AS87" s="75"/>
      <c r="AT87" s="75"/>
      <c r="AU87" s="155" t="e">
        <f>AU86/AU5</f>
        <v>#DIV/0!</v>
      </c>
      <c r="AV87" s="151" t="e">
        <f>AV86/AV5</f>
        <v>#DIV/0!</v>
      </c>
      <c r="AW87" s="704" t="e">
        <f>AW86/AW5</f>
        <v>#DIV/0!</v>
      </c>
      <c r="AX87" s="75"/>
      <c r="AY87" s="75"/>
      <c r="AZ87" s="155">
        <f>AZ86/AZ5</f>
        <v>0.49775712318505794</v>
      </c>
      <c r="BA87" s="151" t="e">
        <f>BA86/BA5</f>
        <v>#DIV/0!</v>
      </c>
      <c r="BB87" s="704" t="e">
        <f>BB86/BB5</f>
        <v>#DIV/0!</v>
      </c>
      <c r="BC87" s="75"/>
      <c r="BD87" s="75"/>
      <c r="BE87" s="155" t="e">
        <f>BE86/BE5</f>
        <v>#DIV/0!</v>
      </c>
      <c r="BF87" s="151" t="e">
        <f>BF86/BF5</f>
        <v>#DIV/0!</v>
      </c>
      <c r="BG87" s="704" t="e">
        <f>BG86/BG5</f>
        <v>#DIV/0!</v>
      </c>
      <c r="BH87" s="75"/>
      <c r="BI87" s="75"/>
      <c r="BJ87" s="155" t="e">
        <f>BJ86/BJ5</f>
        <v>#DIV/0!</v>
      </c>
      <c r="BK87" s="151" t="e">
        <f>BK86/BK5</f>
        <v>#DIV/0!</v>
      </c>
      <c r="BL87" s="704" t="e">
        <f>BL86/BL5</f>
        <v>#DIV/0!</v>
      </c>
      <c r="BM87" s="75"/>
      <c r="BN87" s="75"/>
      <c r="BO87" s="155">
        <f>BO86/BO5</f>
        <v>0.19764832223434678</v>
      </c>
      <c r="BP87" s="151" t="e">
        <f>BP86/BP5</f>
        <v>#DIV/0!</v>
      </c>
      <c r="BQ87" s="156" t="e">
        <f>BQ86/BQ5</f>
        <v>#DIV/0!</v>
      </c>
      <c r="BR87" s="75"/>
      <c r="BS87" s="75"/>
      <c r="BT87" s="919"/>
      <c r="BU87" s="921"/>
    </row>
    <row r="88" spans="1:73" ht="13.8">
      <c r="A88" s="30"/>
      <c r="B88" s="30"/>
      <c r="C88" s="152"/>
      <c r="D88" s="152"/>
      <c r="E88" s="152"/>
      <c r="F88" s="188"/>
      <c r="G88" s="76"/>
      <c r="H88" s="76"/>
      <c r="I88" s="76"/>
      <c r="J88" s="208"/>
      <c r="K88" s="208"/>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U88" s="921"/>
    </row>
    <row r="89" spans="1:73">
      <c r="B89" s="221" t="s">
        <v>56</v>
      </c>
      <c r="C89" s="153"/>
      <c r="D89" s="153"/>
      <c r="E89" s="154">
        <f>E8+E36+E41+E50+E54+E73+E79+E82+E85</f>
        <v>17544322.059999999</v>
      </c>
      <c r="F89" s="189"/>
      <c r="I89" s="154">
        <f>I8+I36+I41+I50+I54+I73+I79+I82+I85</f>
        <v>717367.87290188926</v>
      </c>
      <c r="N89" s="154">
        <f>N8+N36+N41+N50+N54+N73+N79+N82+N85</f>
        <v>740533.19310344825</v>
      </c>
      <c r="S89" s="154">
        <f>S8+S36+S41+S50+S54+S73+S79+S82+S85</f>
        <v>4107129.4003448272</v>
      </c>
      <c r="X89" s="154">
        <f>X8+X36+X41+X50+X54+X73+X79+X82+X85</f>
        <v>6122532.8971954016</v>
      </c>
      <c r="AC89" s="154">
        <f>AC8+AC36+AC41+AC50+AC54+AC73+AC79+AC82+AC85</f>
        <v>3764912.2106194869</v>
      </c>
      <c r="AH89" s="154">
        <f>AH8+AH36+AH41+AH50+AH54+AH73+AH79+AH82+AH85</f>
        <v>1502771.8532614487</v>
      </c>
      <c r="AM89" s="154" t="e">
        <f>AM8+AM36+AM41+AM50+AM54+AM73+AM79+AM82+AM85</f>
        <v>#DIV/0!</v>
      </c>
      <c r="AR89" s="154" t="e">
        <f>AR8+AR36+AR41+AR50+AR54+AR73+AR79+AR82+AR85</f>
        <v>#DIV/0!</v>
      </c>
      <c r="AW89" s="154">
        <f>AW8+AW36+AW41+AW50+AW54+AW73+AW79+AW82+AW85</f>
        <v>4227.9766045197739</v>
      </c>
      <c r="BB89" s="154" t="e">
        <f>BB8+BB36+BB41+BB50+BB54+BB73+BB79+BB82+BB85</f>
        <v>#DIV/0!</v>
      </c>
      <c r="BG89" s="154">
        <f>BG8+BG36+BG41+BG50+BG54+BG73+BG79+BG82+BG85</f>
        <v>0</v>
      </c>
      <c r="BL89" s="154">
        <f>BL8+BL36+BL41+BL50+BL54+BL73+BL79+BL82+BL85</f>
        <v>0</v>
      </c>
      <c r="BQ89" s="154" t="e">
        <f>BQ8+BQ36+BQ41+BQ50+BQ54+BQ73+BQ79+BQ82+BQ85</f>
        <v>#DIV/0!</v>
      </c>
      <c r="BT89" s="38"/>
    </row>
    <row r="90" spans="1:73">
      <c r="C90" s="153"/>
      <c r="D90" s="153"/>
      <c r="E90" s="153"/>
      <c r="BQ90" s="395" t="e">
        <f>(N89+I89+S89+X89+AC89+AH89+AM89+AR89+AW89+BB89+BG89)=BQ89</f>
        <v>#DIV/0!</v>
      </c>
    </row>
    <row r="91" spans="1:73"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c r="BT91" s="920"/>
      <c r="BU91" s="919"/>
    </row>
    <row r="92" spans="1:73">
      <c r="B92" s="629"/>
      <c r="C92" s="38"/>
      <c r="D92" s="38"/>
    </row>
    <row r="93" spans="1:73" s="2" customFormat="1">
      <c r="A93" s="8"/>
      <c r="B93" s="629"/>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687">
        <f>AH5-AH89</f>
        <v>-176744.2732614486</v>
      </c>
      <c r="AI93" s="687"/>
      <c r="AJ93" s="687"/>
      <c r="AK93" s="38"/>
      <c r="AL93" s="38"/>
      <c r="AM93" s="687" t="e">
        <f>AM5-AM89</f>
        <v>#DIV/0!</v>
      </c>
      <c r="AN93" s="687"/>
      <c r="AO93" s="687"/>
      <c r="AP93" s="38"/>
      <c r="AQ93" s="38"/>
      <c r="AR93" s="687" t="e">
        <f>AR5-AR89</f>
        <v>#DIV/0!</v>
      </c>
      <c r="AS93" s="687"/>
      <c r="AT93" s="687"/>
      <c r="AU93" s="38"/>
      <c r="AV93" s="38"/>
      <c r="AW93" s="687">
        <f>AW5-AW89</f>
        <v>-4227.9766045197739</v>
      </c>
      <c r="AX93" s="687"/>
      <c r="AY93" s="687"/>
      <c r="AZ93" s="38"/>
      <c r="BA93" s="38"/>
      <c r="BB93" s="687" t="e">
        <f>BB5-BB89</f>
        <v>#DIV/0!</v>
      </c>
      <c r="BC93" s="687"/>
      <c r="BD93" s="687"/>
      <c r="BE93" s="38"/>
      <c r="BF93" s="38"/>
      <c r="BG93" s="687">
        <f>BG5-BG89</f>
        <v>0</v>
      </c>
      <c r="BH93" s="687"/>
      <c r="BI93" s="687"/>
      <c r="BJ93" s="687"/>
      <c r="BK93" s="687"/>
      <c r="BL93" s="687"/>
      <c r="BM93" s="687"/>
      <c r="BN93" s="687"/>
      <c r="BO93" s="687"/>
      <c r="BP93" s="687"/>
      <c r="BQ93" s="687" t="e">
        <f>BQ5-BQ89</f>
        <v>#DIV/0!</v>
      </c>
      <c r="BR93" s="38"/>
      <c r="BS93" s="38"/>
      <c r="BT93" s="919"/>
      <c r="BU93" s="919"/>
    </row>
    <row r="94" spans="1:73" s="2" customFormat="1">
      <c r="A94" s="8"/>
      <c r="B94" s="629"/>
      <c r="C94" s="38"/>
      <c r="D94" s="38"/>
      <c r="E94" s="38"/>
      <c r="F94" s="38"/>
      <c r="G94" s="38"/>
      <c r="H94" s="38"/>
      <c r="I94" s="38"/>
      <c r="J94" s="38"/>
      <c r="K94" s="38"/>
      <c r="L94" s="38"/>
      <c r="M94" s="38"/>
      <c r="N94" s="38"/>
      <c r="O94" s="38"/>
      <c r="P94" s="38"/>
      <c r="Q94" s="38"/>
      <c r="R94" s="38"/>
      <c r="S94" s="38"/>
      <c r="T94" s="38"/>
      <c r="U94" s="38"/>
      <c r="V94" s="38"/>
      <c r="W94" s="38"/>
      <c r="X94" s="38"/>
      <c r="Y94" s="38"/>
      <c r="Z94" s="38"/>
      <c r="AA94" s="626"/>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c r="BM94" s="38"/>
      <c r="BN94" s="38"/>
      <c r="BO94" s="626"/>
      <c r="BP94" s="38"/>
      <c r="BQ94" s="38"/>
      <c r="BR94" s="38"/>
      <c r="BS94" s="38"/>
      <c r="BT94" s="919"/>
      <c r="BU94" s="919"/>
    </row>
    <row r="95" spans="1:73" s="2" customFormat="1">
      <c r="A95" s="8"/>
      <c r="B95" s="721"/>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v>45087</v>
      </c>
      <c r="AN95" s="722" t="s">
        <v>860</v>
      </c>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c r="BT95" s="919"/>
      <c r="BU95" s="919"/>
    </row>
    <row r="96" spans="1:73" s="2" customFormat="1">
      <c r="A96" s="8"/>
      <c r="B96" s="721"/>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v>61098</v>
      </c>
      <c r="AN96" s="722" t="s">
        <v>861</v>
      </c>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c r="BO96" s="38"/>
      <c r="BP96" s="38"/>
      <c r="BQ96" s="38">
        <v>19468544.969999999</v>
      </c>
      <c r="BR96" s="38"/>
      <c r="BS96" s="38"/>
      <c r="BT96" s="919"/>
      <c r="BU96" s="919"/>
    </row>
    <row r="97" spans="1:73">
      <c r="C97" s="38"/>
      <c r="D97" s="38"/>
      <c r="AM97" s="756">
        <f>AM95+AM96</f>
        <v>106185</v>
      </c>
      <c r="BQ97" s="38" t="e">
        <f>BQ89-BQ96</f>
        <v>#DIV/0!</v>
      </c>
    </row>
    <row r="98" spans="1:73"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927"/>
      <c r="BS98" s="38"/>
      <c r="BT98" s="919"/>
      <c r="BU98" s="919"/>
    </row>
    <row r="99" spans="1:73">
      <c r="B99" s="723"/>
      <c r="C99" s="38"/>
      <c r="D99" s="38"/>
      <c r="AM99" s="38" t="e">
        <f>AM97+AM86</f>
        <v>#DIV/0!</v>
      </c>
      <c r="BP99" s="38" t="s">
        <v>927</v>
      </c>
      <c r="BQ99" s="38">
        <f>3%*BO6</f>
        <v>592901.44379999989</v>
      </c>
      <c r="BR99" s="927" t="s">
        <v>932</v>
      </c>
    </row>
    <row r="100" spans="1:73">
      <c r="BP100" s="38" t="s">
        <v>928</v>
      </c>
      <c r="BQ100" s="38">
        <f>-BU16</f>
        <v>172615.60999999987</v>
      </c>
      <c r="BR100" s="927" t="s">
        <v>933</v>
      </c>
    </row>
    <row r="101" spans="1:73" ht="39.6">
      <c r="BP101" s="927" t="s">
        <v>929</v>
      </c>
      <c r="BQ101" s="38">
        <f>SUM(BU25:BU26)</f>
        <v>92603.841999999684</v>
      </c>
      <c r="BR101" s="927" t="s">
        <v>934</v>
      </c>
    </row>
    <row r="102" spans="1:73" ht="26.4">
      <c r="BP102" s="927" t="s">
        <v>930</v>
      </c>
      <c r="BQ102" s="38">
        <f>-BU18</f>
        <v>81183.660000000033</v>
      </c>
      <c r="BR102" s="927" t="s">
        <v>934</v>
      </c>
    </row>
    <row r="103" spans="1:73" ht="52.8">
      <c r="BP103" s="38" t="s">
        <v>931</v>
      </c>
      <c r="BQ103" s="38" t="e">
        <f>-BU79</f>
        <v>#DIV/0!</v>
      </c>
      <c r="BR103" s="927" t="s">
        <v>935</v>
      </c>
    </row>
  </sheetData>
  <mergeCells count="16">
    <mergeCell ref="BO2:BR3"/>
    <mergeCell ref="G2:J3"/>
    <mergeCell ref="A42:A48"/>
    <mergeCell ref="A2:F2"/>
    <mergeCell ref="A3:F3"/>
    <mergeCell ref="L2:O3"/>
    <mergeCell ref="Q2:T3"/>
    <mergeCell ref="V2:Y3"/>
    <mergeCell ref="AA2:AD3"/>
    <mergeCell ref="AF2:AI3"/>
    <mergeCell ref="AK2:AN3"/>
    <mergeCell ref="AP2:AS3"/>
    <mergeCell ref="AU2:AY3"/>
    <mergeCell ref="AZ2:BD3"/>
    <mergeCell ref="BE2:BI3"/>
    <mergeCell ref="BJ2:BN3"/>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AY99"/>
  <sheetViews>
    <sheetView zoomScale="70" zoomScaleNormal="70" workbookViewId="0">
      <pane xSplit="2" ySplit="5" topLeftCell="C69" activePane="bottomRight" state="frozen"/>
      <selection activeCell="AW86" sqref="AW86"/>
      <selection pane="topRight" activeCell="AW86" sqref="AW86"/>
      <selection pane="bottomLeft" activeCell="AW86" sqref="AW86"/>
      <selection pane="bottomRight" activeCell="AW86" sqref="AW86"/>
    </sheetView>
  </sheetViews>
  <sheetFormatPr defaultColWidth="7.44140625" defaultRowHeight="13.2" outlineLevelCol="1"/>
  <cols>
    <col min="1" max="1" width="5.5546875" style="8" customWidth="1"/>
    <col min="2" max="2" width="47.44140625" style="8" customWidth="1"/>
    <col min="3" max="3" width="14.6640625" style="77" hidden="1" customWidth="1"/>
    <col min="4" max="4" width="15.44140625" style="77" hidden="1" customWidth="1"/>
    <col min="5" max="5" width="15.33203125" style="38" hidden="1" customWidth="1"/>
    <col min="6" max="6" width="9.5546875" style="38" hidden="1" customWidth="1"/>
    <col min="7" max="9" width="16.33203125" style="38" hidden="1" customWidth="1"/>
    <col min="10" max="10" width="9" style="38" hidden="1" customWidth="1"/>
    <col min="11" max="11" width="41.88671875" style="38" hidden="1" customWidth="1"/>
    <col min="12" max="12" width="17.6640625" style="38" customWidth="1"/>
    <col min="13" max="13" width="20.44140625" style="38" customWidth="1"/>
    <col min="14" max="14" width="18.6640625" style="38" customWidth="1"/>
    <col min="15" max="15" width="15.6640625" style="38" customWidth="1"/>
    <col min="16" max="16" width="29.6640625" style="38" customWidth="1"/>
    <col min="17" max="17" width="18.33203125" style="38" hidden="1" customWidth="1" outlineLevel="1"/>
    <col min="18" max="18" width="18.6640625" style="38" hidden="1" customWidth="1" outlineLevel="1"/>
    <col min="19" max="19" width="19.6640625" style="38" hidden="1" customWidth="1" outlineLevel="1"/>
    <col min="20" max="20" width="9.6640625" style="38" hidden="1" customWidth="1" outlineLevel="1"/>
    <col min="21" max="21" width="29.6640625" style="38" hidden="1" customWidth="1" outlineLevel="1"/>
    <col min="22" max="22" width="18.6640625" style="38" hidden="1" customWidth="1" outlineLevel="1"/>
    <col min="23" max="23" width="18.33203125" style="38" hidden="1" customWidth="1" outlineLevel="1"/>
    <col min="24" max="24" width="23.88671875" style="38" hidden="1" customWidth="1" outlineLevel="1"/>
    <col min="25" max="25" width="12.6640625" style="38" hidden="1" customWidth="1" outlineLevel="1"/>
    <col min="26" max="26" width="29.6640625" style="38" hidden="1" customWidth="1" outlineLevel="1"/>
    <col min="27" max="28" width="16.44140625" style="38" hidden="1" customWidth="1" outlineLevel="1"/>
    <col min="29" max="29" width="10.5546875" style="38" hidden="1" customWidth="1" outlineLevel="1"/>
    <col min="30" max="30" width="11.109375" style="38" hidden="1" customWidth="1" outlineLevel="1"/>
    <col min="31" max="40" width="16.44140625" style="38" hidden="1" customWidth="1" outlineLevel="1"/>
    <col min="41" max="46" width="19" style="38" hidden="1" customWidth="1" outlineLevel="1"/>
    <col min="47" max="47" width="16.33203125" style="38" customWidth="1" collapsed="1"/>
    <col min="48" max="49" width="16.33203125" style="38" customWidth="1"/>
    <col min="50" max="50" width="9" style="38" customWidth="1"/>
    <col min="51" max="51" width="16.33203125" style="38" customWidth="1"/>
    <col min="52" max="16384" width="7.44140625" style="1"/>
  </cols>
  <sheetData>
    <row r="1" spans="1:51" ht="13.8" thickBot="1">
      <c r="C1" s="38"/>
      <c r="D1" s="38"/>
    </row>
    <row r="2" spans="1:51" ht="14.4" customHeight="1">
      <c r="A2" s="4834" t="s">
        <v>922</v>
      </c>
      <c r="B2" s="4835"/>
      <c r="C2" s="4835"/>
      <c r="D2" s="4835"/>
      <c r="E2" s="4835"/>
      <c r="F2" s="4836"/>
      <c r="G2" s="4898" t="s">
        <v>910</v>
      </c>
      <c r="H2" s="4899"/>
      <c r="I2" s="4899"/>
      <c r="J2" s="4899"/>
      <c r="K2" s="4900"/>
      <c r="L2" s="4904" t="s">
        <v>937</v>
      </c>
      <c r="M2" s="4905"/>
      <c r="N2" s="4905"/>
      <c r="O2" s="4905"/>
      <c r="P2" s="4906"/>
      <c r="Q2" s="4837"/>
      <c r="R2" s="4838"/>
      <c r="S2" s="4838"/>
      <c r="T2" s="4838"/>
      <c r="U2" s="852"/>
      <c r="V2" s="4837"/>
      <c r="W2" s="4838"/>
      <c r="X2" s="4838"/>
      <c r="Y2" s="4838"/>
      <c r="Z2" s="852"/>
      <c r="AA2" s="4837"/>
      <c r="AB2" s="4838"/>
      <c r="AC2" s="4838"/>
      <c r="AD2" s="4838"/>
      <c r="AE2" s="4838"/>
      <c r="AF2" s="4922"/>
      <c r="AG2" s="4923"/>
      <c r="AH2" s="4923"/>
      <c r="AI2" s="4923"/>
      <c r="AJ2" s="4924"/>
      <c r="AK2" s="4955"/>
      <c r="AL2" s="4956"/>
      <c r="AM2" s="4956"/>
      <c r="AN2" s="4956"/>
      <c r="AO2" s="4957"/>
      <c r="AP2" s="4934"/>
      <c r="AQ2" s="4935"/>
      <c r="AR2" s="4935"/>
      <c r="AS2" s="4935"/>
      <c r="AT2" s="4936"/>
      <c r="AU2" s="4988" t="s">
        <v>469</v>
      </c>
      <c r="AV2" s="4989"/>
      <c r="AW2" s="4989"/>
      <c r="AX2" s="4989"/>
      <c r="AY2" s="854"/>
    </row>
    <row r="3" spans="1:51" ht="15" customHeight="1" thickBot="1">
      <c r="A3" s="4853" t="s">
        <v>54</v>
      </c>
      <c r="B3" s="4854"/>
      <c r="C3" s="4854"/>
      <c r="D3" s="4854"/>
      <c r="E3" s="4854"/>
      <c r="F3" s="4855"/>
      <c r="G3" s="4901"/>
      <c r="H3" s="4902"/>
      <c r="I3" s="4902"/>
      <c r="J3" s="4902"/>
      <c r="K3" s="4903"/>
      <c r="L3" s="4907"/>
      <c r="M3" s="4908"/>
      <c r="N3" s="4908"/>
      <c r="O3" s="4908"/>
      <c r="P3" s="4909"/>
      <c r="Q3" s="4839"/>
      <c r="R3" s="4840"/>
      <c r="S3" s="4840"/>
      <c r="T3" s="4840"/>
      <c r="U3" s="853"/>
      <c r="V3" s="4839"/>
      <c r="W3" s="4840"/>
      <c r="X3" s="4840"/>
      <c r="Y3" s="4840"/>
      <c r="Z3" s="853"/>
      <c r="AA3" s="4839"/>
      <c r="AB3" s="4840"/>
      <c r="AC3" s="4840"/>
      <c r="AD3" s="4840"/>
      <c r="AE3" s="4840"/>
      <c r="AF3" s="4925"/>
      <c r="AG3" s="4926"/>
      <c r="AH3" s="4926"/>
      <c r="AI3" s="4926"/>
      <c r="AJ3" s="4927"/>
      <c r="AK3" s="4958"/>
      <c r="AL3" s="4959"/>
      <c r="AM3" s="4959"/>
      <c r="AN3" s="4959"/>
      <c r="AO3" s="4960"/>
      <c r="AP3" s="4937"/>
      <c r="AQ3" s="4938"/>
      <c r="AR3" s="4938"/>
      <c r="AS3" s="4938"/>
      <c r="AT3" s="4939"/>
      <c r="AU3" s="4990"/>
      <c r="AV3" s="4991"/>
      <c r="AW3" s="4991"/>
      <c r="AX3" s="4991"/>
      <c r="AY3" s="855"/>
    </row>
    <row r="4" spans="1:51"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632" t="s">
        <v>19</v>
      </c>
      <c r="AF4" s="632" t="s">
        <v>55</v>
      </c>
      <c r="AG4" s="632" t="s">
        <v>18</v>
      </c>
      <c r="AH4" s="653" t="s">
        <v>39</v>
      </c>
      <c r="AI4" s="654" t="s">
        <v>40</v>
      </c>
      <c r="AJ4" s="653" t="s">
        <v>19</v>
      </c>
      <c r="AK4" s="632" t="s">
        <v>55</v>
      </c>
      <c r="AL4" s="632" t="s">
        <v>18</v>
      </c>
      <c r="AM4" s="653" t="s">
        <v>39</v>
      </c>
      <c r="AN4" s="654" t="s">
        <v>40</v>
      </c>
      <c r="AO4" s="653" t="s">
        <v>19</v>
      </c>
      <c r="AP4" s="632" t="s">
        <v>55</v>
      </c>
      <c r="AQ4" s="632" t="s">
        <v>18</v>
      </c>
      <c r="AR4" s="653" t="s">
        <v>39</v>
      </c>
      <c r="AS4" s="654" t="s">
        <v>40</v>
      </c>
      <c r="AT4" s="653" t="s">
        <v>19</v>
      </c>
      <c r="AU4" s="94" t="s">
        <v>55</v>
      </c>
      <c r="AV4" s="94" t="s">
        <v>18</v>
      </c>
      <c r="AW4" s="95" t="s">
        <v>39</v>
      </c>
      <c r="AX4" s="209" t="s">
        <v>40</v>
      </c>
      <c r="AY4" s="95" t="s">
        <v>19</v>
      </c>
    </row>
    <row r="5" spans="1:51" s="88" customFormat="1" ht="14.4" thickBot="1">
      <c r="A5" s="83"/>
      <c r="B5" s="84" t="s">
        <v>10</v>
      </c>
      <c r="C5" s="85">
        <f>C6</f>
        <v>0</v>
      </c>
      <c r="D5" s="85">
        <f>D6</f>
        <v>0</v>
      </c>
      <c r="E5" s="86">
        <f>E6</f>
        <v>0</v>
      </c>
      <c r="F5" s="87"/>
      <c r="G5" s="87">
        <f>G6</f>
        <v>0</v>
      </c>
      <c r="H5" s="87">
        <f>H6</f>
        <v>0</v>
      </c>
      <c r="I5" s="87">
        <f>I6</f>
        <v>0</v>
      </c>
      <c r="J5" s="87"/>
      <c r="K5" s="87"/>
      <c r="L5" s="87">
        <f>L6</f>
        <v>370000</v>
      </c>
      <c r="M5" s="87">
        <f>M6</f>
        <v>0</v>
      </c>
      <c r="N5" s="87">
        <f>N6</f>
        <v>370000</v>
      </c>
      <c r="O5" s="87"/>
      <c r="P5" s="87"/>
      <c r="Q5" s="87">
        <f>Q6</f>
        <v>0</v>
      </c>
      <c r="R5" s="87">
        <f>R6</f>
        <v>0</v>
      </c>
      <c r="S5" s="87">
        <f>S6</f>
        <v>0</v>
      </c>
      <c r="T5" s="87"/>
      <c r="U5" s="87"/>
      <c r="V5" s="87">
        <f>V6</f>
        <v>0</v>
      </c>
      <c r="W5" s="87">
        <f>W6</f>
        <v>0</v>
      </c>
      <c r="X5" s="87">
        <f>X6</f>
        <v>0</v>
      </c>
      <c r="Y5" s="87"/>
      <c r="Z5" s="87"/>
      <c r="AA5" s="87">
        <f>AA6</f>
        <v>0</v>
      </c>
      <c r="AB5" s="87">
        <f>AB6</f>
        <v>0</v>
      </c>
      <c r="AC5" s="87">
        <f>AC6</f>
        <v>0</v>
      </c>
      <c r="AD5" s="87"/>
      <c r="AE5" s="633"/>
      <c r="AF5" s="655">
        <f>AF6</f>
        <v>0</v>
      </c>
      <c r="AG5" s="620">
        <f>AG6</f>
        <v>0</v>
      </c>
      <c r="AH5" s="620">
        <f>AH6</f>
        <v>0</v>
      </c>
      <c r="AI5" s="620"/>
      <c r="AJ5" s="620"/>
      <c r="AK5" s="655">
        <f>AK6</f>
        <v>0</v>
      </c>
      <c r="AL5" s="620">
        <f>AL6</f>
        <v>0</v>
      </c>
      <c r="AM5" s="620">
        <f>AM6</f>
        <v>0</v>
      </c>
      <c r="AN5" s="620"/>
      <c r="AO5" s="620"/>
      <c r="AP5" s="655">
        <f>AP6</f>
        <v>0</v>
      </c>
      <c r="AQ5" s="620">
        <f>AQ6</f>
        <v>0</v>
      </c>
      <c r="AR5" s="620">
        <f>AR6</f>
        <v>0</v>
      </c>
      <c r="AS5" s="620"/>
      <c r="AT5" s="620"/>
      <c r="AU5" s="87">
        <f>AU6</f>
        <v>370000</v>
      </c>
      <c r="AV5" s="87">
        <f>AV6</f>
        <v>0</v>
      </c>
      <c r="AW5" s="87">
        <f>AW6</f>
        <v>370000</v>
      </c>
      <c r="AX5" s="87"/>
      <c r="AY5" s="87"/>
    </row>
    <row r="6" spans="1:51" s="2" customFormat="1" ht="13.8">
      <c r="A6" s="330">
        <f>'PL_Сватово очередь 2'!I6</f>
        <v>0</v>
      </c>
      <c r="B6" s="9" t="s">
        <v>17</v>
      </c>
      <c r="C6" s="104"/>
      <c r="D6" s="105"/>
      <c r="E6" s="106">
        <f>C6+D6</f>
        <v>0</v>
      </c>
      <c r="F6" s="39"/>
      <c r="G6" s="39"/>
      <c r="H6" s="39"/>
      <c r="I6" s="106">
        <f>G6+H6</f>
        <v>0</v>
      </c>
      <c r="J6" s="39"/>
      <c r="K6" s="39"/>
      <c r="L6" s="39">
        <v>370000</v>
      </c>
      <c r="M6" s="39"/>
      <c r="N6" s="106">
        <f>L6+M6</f>
        <v>370000</v>
      </c>
      <c r="O6" s="39"/>
      <c r="P6" s="39"/>
      <c r="Q6" s="39"/>
      <c r="R6" s="39"/>
      <c r="S6" s="106">
        <f>Q6+R6</f>
        <v>0</v>
      </c>
      <c r="T6" s="39"/>
      <c r="U6" s="39"/>
      <c r="V6" s="39"/>
      <c r="W6" s="39"/>
      <c r="X6" s="106">
        <f>V6+W6</f>
        <v>0</v>
      </c>
      <c r="Y6" s="39"/>
      <c r="Z6" s="39"/>
      <c r="AA6" s="39"/>
      <c r="AB6" s="39"/>
      <c r="AC6" s="106">
        <f>AA6+AB6</f>
        <v>0</v>
      </c>
      <c r="AD6" s="39"/>
      <c r="AE6" s="540"/>
      <c r="AF6" s="560"/>
      <c r="AG6" s="452"/>
      <c r="AH6" s="446">
        <f>AF6+AG6</f>
        <v>0</v>
      </c>
      <c r="AI6" s="452"/>
      <c r="AJ6" s="452"/>
      <c r="AK6" s="560"/>
      <c r="AL6" s="452"/>
      <c r="AM6" s="446">
        <f>AK6+AL6</f>
        <v>0</v>
      </c>
      <c r="AN6" s="452"/>
      <c r="AO6" s="452"/>
      <c r="AP6" s="560"/>
      <c r="AQ6" s="452"/>
      <c r="AR6" s="446">
        <f>AP6+AQ6</f>
        <v>0</v>
      </c>
      <c r="AS6" s="452"/>
      <c r="AT6" s="452"/>
      <c r="AU6" s="39">
        <f>G6+L6+Q6+V6+AA6+AF6+AK6+AP6</f>
        <v>370000</v>
      </c>
      <c r="AV6" s="39">
        <f>H6+M6+R6+W6+AB6+AG6+AL6+AQ6</f>
        <v>0</v>
      </c>
      <c r="AW6" s="106">
        <f>AU6+AV6</f>
        <v>370000</v>
      </c>
      <c r="AX6" s="39"/>
      <c r="AY6" s="39"/>
    </row>
    <row r="7" spans="1:51" s="2" customFormat="1" ht="14.4" thickBot="1">
      <c r="A7" s="238"/>
      <c r="B7" s="10" t="s">
        <v>41</v>
      </c>
      <c r="C7" s="107"/>
      <c r="D7" s="108"/>
      <c r="E7" s="106">
        <f>C7+D7</f>
        <v>0</v>
      </c>
      <c r="F7" s="40"/>
      <c r="G7" s="39"/>
      <c r="H7" s="39"/>
      <c r="I7" s="106">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729"/>
      <c r="AF7" s="560"/>
      <c r="AG7" s="452"/>
      <c r="AH7" s="446">
        <f>AF7+AG7</f>
        <v>0</v>
      </c>
      <c r="AI7" s="612"/>
      <c r="AJ7" s="612"/>
      <c r="AK7" s="560"/>
      <c r="AL7" s="452"/>
      <c r="AM7" s="446">
        <f>AK7+AL7</f>
        <v>0</v>
      </c>
      <c r="AN7" s="612"/>
      <c r="AO7" s="612"/>
      <c r="AP7" s="560"/>
      <c r="AQ7" s="452"/>
      <c r="AR7" s="446">
        <f>AP7+AQ7</f>
        <v>0</v>
      </c>
      <c r="AS7" s="612"/>
      <c r="AT7" s="612"/>
      <c r="AU7" s="39">
        <f>G7+L7+Q7+V7+AA7+AF7+AK7+AP7</f>
        <v>0</v>
      </c>
      <c r="AV7" s="39">
        <f>H7+M7+R7+W7+AB7+AG7+AL7+AQ7</f>
        <v>0</v>
      </c>
      <c r="AW7" s="106">
        <f>AU7+AV7</f>
        <v>0</v>
      </c>
      <c r="AX7" s="40"/>
      <c r="AY7" s="40"/>
    </row>
    <row r="8" spans="1:51" s="88" customFormat="1" ht="14.4" thickBot="1">
      <c r="A8" s="238"/>
      <c r="B8" s="84" t="s">
        <v>16</v>
      </c>
      <c r="C8" s="109">
        <f>SUM(C9:C33)</f>
        <v>0</v>
      </c>
      <c r="D8" s="109">
        <f>SUM(D9:D33)</f>
        <v>0</v>
      </c>
      <c r="E8" s="110">
        <f>SUM(E9:E33)</f>
        <v>0</v>
      </c>
      <c r="F8" s="164" t="e">
        <f t="shared" ref="F8:F21" si="0">E8/$E$89</f>
        <v>#DIV/0!</v>
      </c>
      <c r="G8" s="109">
        <f>SUM(G9:G33)</f>
        <v>0</v>
      </c>
      <c r="H8" s="109">
        <f>SUM(H9:H33)</f>
        <v>0</v>
      </c>
      <c r="I8" s="110">
        <f>SUM(I9:I33)</f>
        <v>0</v>
      </c>
      <c r="J8" s="164" t="e">
        <f>I8/$I$89</f>
        <v>#DIV/0!</v>
      </c>
      <c r="K8" s="87"/>
      <c r="L8" s="109">
        <f>SUM(L9:L33)</f>
        <v>0</v>
      </c>
      <c r="M8" s="109">
        <f>SUM(M9:M33)</f>
        <v>49400</v>
      </c>
      <c r="N8" s="110">
        <f>SUM(N9:N33)</f>
        <v>49400</v>
      </c>
      <c r="O8" s="164">
        <f>N8/$N$89</f>
        <v>0.88500000087501896</v>
      </c>
      <c r="P8" s="87"/>
      <c r="Q8" s="109">
        <f>SUM(Q9:Q33)</f>
        <v>0</v>
      </c>
      <c r="R8" s="109">
        <f>SUM(R9:R33)</f>
        <v>0</v>
      </c>
      <c r="S8" s="110">
        <f>SUM(S9:S33)</f>
        <v>0</v>
      </c>
      <c r="T8" s="164" t="e">
        <f>S8/$S$89</f>
        <v>#DIV/0!</v>
      </c>
      <c r="U8" s="87"/>
      <c r="V8" s="109">
        <f>SUM(V9:V33)</f>
        <v>0</v>
      </c>
      <c r="W8" s="109">
        <f>SUM(W9:W33)</f>
        <v>0</v>
      </c>
      <c r="X8" s="110">
        <f>SUM(X9:X33)</f>
        <v>0</v>
      </c>
      <c r="Y8" s="164" t="e">
        <f>X8/$X$89</f>
        <v>#DIV/0!</v>
      </c>
      <c r="Z8" s="87"/>
      <c r="AA8" s="109">
        <f>SUM(AA9:AA33)</f>
        <v>0</v>
      </c>
      <c r="AB8" s="109">
        <f>SUM(AB9:AB33)</f>
        <v>0</v>
      </c>
      <c r="AC8" s="110">
        <f>SUM(AC9:AC33)</f>
        <v>0</v>
      </c>
      <c r="AD8" s="164" t="e">
        <f>AC8/$AC$89</f>
        <v>#DIV/0!</v>
      </c>
      <c r="AE8" s="633"/>
      <c r="AF8" s="618">
        <f>SUM(AF9:AF33)</f>
        <v>0</v>
      </c>
      <c r="AG8" s="618">
        <f>SUM(AG9:AG33)</f>
        <v>0</v>
      </c>
      <c r="AH8" s="619">
        <f>SUM(AH9:AH33)</f>
        <v>0</v>
      </c>
      <c r="AI8" s="577" t="e">
        <f>AH8/$AC$89</f>
        <v>#DIV/0!</v>
      </c>
      <c r="AJ8" s="620"/>
      <c r="AK8" s="618">
        <f>SUM(AK9:AK33)</f>
        <v>0</v>
      </c>
      <c r="AL8" s="618">
        <f>SUM(AL9:AL33)</f>
        <v>0</v>
      </c>
      <c r="AM8" s="619">
        <f>SUM(AM9:AM33)</f>
        <v>0</v>
      </c>
      <c r="AN8" s="577" t="e">
        <f>AM8/$AC$89</f>
        <v>#DIV/0!</v>
      </c>
      <c r="AO8" s="620"/>
      <c r="AP8" s="618">
        <f>SUM(AP9:AP33)</f>
        <v>120000</v>
      </c>
      <c r="AQ8" s="618">
        <f>SUM(AQ9:AQ33)</f>
        <v>0</v>
      </c>
      <c r="AR8" s="619">
        <f>SUM(AR9:AR33)</f>
        <v>120000</v>
      </c>
      <c r="AS8" s="577" t="e">
        <f>AR8/$AC$89</f>
        <v>#DIV/0!</v>
      </c>
      <c r="AT8" s="620"/>
      <c r="AU8" s="109">
        <f>SUM(AU9:AU33)</f>
        <v>120000</v>
      </c>
      <c r="AV8" s="109">
        <f>SUM(AV9:AV33)</f>
        <v>49400</v>
      </c>
      <c r="AW8" s="110">
        <f>SUM(AW9:AW33)</f>
        <v>169400</v>
      </c>
      <c r="AX8" s="164" t="e">
        <f t="shared" ref="AX8:AX33" si="1">AW8/$AW$89</f>
        <v>#DIV/0!</v>
      </c>
      <c r="AY8" s="87"/>
    </row>
    <row r="9" spans="1:51" s="2" customFormat="1" ht="13.8">
      <c r="A9" s="238"/>
      <c r="B9" s="481" t="s">
        <v>74</v>
      </c>
      <c r="C9" s="482"/>
      <c r="D9" s="483"/>
      <c r="E9" s="484">
        <f t="shared" ref="E9:E33" si="2">C9+D9</f>
        <v>0</v>
      </c>
      <c r="F9" s="485" t="e">
        <f t="shared" si="0"/>
        <v>#DIV/0!</v>
      </c>
      <c r="G9" s="488"/>
      <c r="H9" s="488"/>
      <c r="I9" s="489">
        <f>G9+H9*1</f>
        <v>0</v>
      </c>
      <c r="J9" s="485" t="e">
        <f t="shared" ref="J9:J72" si="3">I9/$I$89</f>
        <v>#DIV/0!</v>
      </c>
      <c r="K9" s="516"/>
      <c r="L9" s="488"/>
      <c r="M9" s="488"/>
      <c r="N9" s="489">
        <f>L9+M9*1</f>
        <v>0</v>
      </c>
      <c r="O9" s="485">
        <f t="shared" ref="O9:O33" si="4">N9/$N$89</f>
        <v>0</v>
      </c>
      <c r="P9" s="517"/>
      <c r="Q9" s="488"/>
      <c r="R9" s="488"/>
      <c r="S9" s="489">
        <f>Q9+R9*1</f>
        <v>0</v>
      </c>
      <c r="T9" s="485" t="e">
        <f>S9/$S$89</f>
        <v>#DIV/0!</v>
      </c>
      <c r="U9" s="879"/>
      <c r="V9" s="488"/>
      <c r="W9" s="488"/>
      <c r="X9" s="489">
        <f>V9+W9*1</f>
        <v>0</v>
      </c>
      <c r="Y9" s="485" t="e">
        <f>X9/$X$89</f>
        <v>#DIV/0!</v>
      </c>
      <c r="Z9" s="879"/>
      <c r="AA9" s="488"/>
      <c r="AB9" s="488"/>
      <c r="AC9" s="489">
        <f>AA9+AB9*1</f>
        <v>0</v>
      </c>
      <c r="AD9" s="485" t="e">
        <f>AC9/$AC$89</f>
        <v>#DIV/0!</v>
      </c>
      <c r="AE9" s="891"/>
      <c r="AF9" s="892"/>
      <c r="AG9" s="488"/>
      <c r="AH9" s="489">
        <f>AF9+AG9*1</f>
        <v>0</v>
      </c>
      <c r="AI9" s="485" t="e">
        <f>AH9/$AH$89</f>
        <v>#DIV/0!</v>
      </c>
      <c r="AJ9" s="879"/>
      <c r="AK9" s="892"/>
      <c r="AL9" s="488"/>
      <c r="AM9" s="489">
        <f>AK9+AL9*1</f>
        <v>0</v>
      </c>
      <c r="AN9" s="485" t="e">
        <f>AM9/$AH$89</f>
        <v>#DIV/0!</v>
      </c>
      <c r="AO9" s="879"/>
      <c r="AP9" s="892"/>
      <c r="AQ9" s="488"/>
      <c r="AR9" s="489">
        <f>AP9+AQ9*1</f>
        <v>0</v>
      </c>
      <c r="AS9" s="485" t="e">
        <f>AR9/$AH$89</f>
        <v>#DIV/0!</v>
      </c>
      <c r="AT9" s="879"/>
      <c r="AU9" s="488">
        <f t="shared" ref="AU9:AV33" si="5">G9+L9+Q9+V9+AA9+AF9+AK9+AP9</f>
        <v>0</v>
      </c>
      <c r="AV9" s="488">
        <f t="shared" si="5"/>
        <v>0</v>
      </c>
      <c r="AW9" s="489">
        <f>AU9+AV9*1</f>
        <v>0</v>
      </c>
      <c r="AX9" s="485" t="e">
        <f t="shared" si="1"/>
        <v>#DIV/0!</v>
      </c>
      <c r="AY9" s="490"/>
    </row>
    <row r="10" spans="1:51" s="2" customFormat="1" ht="13.8">
      <c r="A10" s="238"/>
      <c r="B10" s="492" t="s">
        <v>72</v>
      </c>
      <c r="C10" s="111"/>
      <c r="D10" s="493"/>
      <c r="E10" s="446">
        <f t="shared" si="2"/>
        <v>0</v>
      </c>
      <c r="F10" s="447" t="e">
        <f t="shared" si="0"/>
        <v>#DIV/0!</v>
      </c>
      <c r="G10" s="452"/>
      <c r="H10" s="452"/>
      <c r="I10" s="453">
        <f t="shared" ref="I10:I33" si="6">G10+H10*1</f>
        <v>0</v>
      </c>
      <c r="J10" s="450" t="e">
        <f t="shared" si="3"/>
        <v>#DIV/0!</v>
      </c>
      <c r="K10" s="456"/>
      <c r="L10" s="452"/>
      <c r="M10" s="452"/>
      <c r="N10" s="453">
        <f t="shared" ref="N10:N33" si="7">L10+M10*1</f>
        <v>0</v>
      </c>
      <c r="O10" s="450">
        <f t="shared" si="4"/>
        <v>0</v>
      </c>
      <c r="P10" s="465"/>
      <c r="Q10" s="452"/>
      <c r="R10" s="452"/>
      <c r="S10" s="453">
        <f t="shared" ref="S10:S33" si="8">Q10+R10*1</f>
        <v>0</v>
      </c>
      <c r="T10" s="450" t="e">
        <f>S10/$S$89</f>
        <v>#DIV/0!</v>
      </c>
      <c r="U10" s="458"/>
      <c r="V10" s="452"/>
      <c r="W10" s="452"/>
      <c r="X10" s="453">
        <f t="shared" ref="X10:X33" si="9">V10+W10*1</f>
        <v>0</v>
      </c>
      <c r="Y10" s="450" t="e">
        <f t="shared" ref="Y10:Y33" si="10">X10/$X$89</f>
        <v>#DIV/0!</v>
      </c>
      <c r="Z10" s="458"/>
      <c r="AA10" s="452"/>
      <c r="AB10" s="452"/>
      <c r="AC10" s="453">
        <f t="shared" ref="AC10:AC33" si="11">AA10+AB10*1</f>
        <v>0</v>
      </c>
      <c r="AD10" s="450" t="e">
        <f t="shared" ref="AD10:AD33" si="12">AC10/$AC$89</f>
        <v>#DIV/0!</v>
      </c>
      <c r="AE10" s="730"/>
      <c r="AF10" s="560"/>
      <c r="AG10" s="452"/>
      <c r="AH10" s="453">
        <f t="shared" ref="AH10:AH33" si="13">AF10+AG10*1</f>
        <v>0</v>
      </c>
      <c r="AI10" s="450" t="e">
        <f t="shared" ref="AI10:AI33" si="14">AH10/$AH$89</f>
        <v>#DIV/0!</v>
      </c>
      <c r="AJ10" s="458"/>
      <c r="AK10" s="560"/>
      <c r="AL10" s="452"/>
      <c r="AM10" s="453">
        <f t="shared" ref="AM10:AM33" si="15">AK10+AL10*1</f>
        <v>0</v>
      </c>
      <c r="AN10" s="450" t="e">
        <f t="shared" ref="AN10:AN33" si="16">AM10/$AH$89</f>
        <v>#DIV/0!</v>
      </c>
      <c r="AO10" s="458"/>
      <c r="AP10" s="560"/>
      <c r="AQ10" s="452"/>
      <c r="AR10" s="453">
        <f t="shared" ref="AR10:AR33" si="17">AP10+AQ10*1</f>
        <v>0</v>
      </c>
      <c r="AS10" s="450" t="e">
        <f t="shared" ref="AS10:AS33" si="18">AR10/$AH$89</f>
        <v>#DIV/0!</v>
      </c>
      <c r="AT10" s="458"/>
      <c r="AU10" s="452">
        <f t="shared" si="5"/>
        <v>0</v>
      </c>
      <c r="AV10" s="452">
        <f t="shared" si="5"/>
        <v>0</v>
      </c>
      <c r="AW10" s="453">
        <f t="shared" ref="AW10:AW33" si="19">AU10+AV10*1</f>
        <v>0</v>
      </c>
      <c r="AX10" s="450" t="e">
        <f t="shared" si="1"/>
        <v>#DIV/0!</v>
      </c>
      <c r="AY10" s="456"/>
    </row>
    <row r="11" spans="1:51" s="2" customFormat="1" ht="13.8">
      <c r="A11" s="238"/>
      <c r="B11" s="492" t="s">
        <v>69</v>
      </c>
      <c r="C11" s="111"/>
      <c r="D11" s="493"/>
      <c r="E11" s="446">
        <f t="shared" si="2"/>
        <v>0</v>
      </c>
      <c r="F11" s="447" t="e">
        <f t="shared" si="0"/>
        <v>#DIV/0!</v>
      </c>
      <c r="G11" s="452"/>
      <c r="H11" s="452"/>
      <c r="I11" s="453">
        <f t="shared" si="6"/>
        <v>0</v>
      </c>
      <c r="J11" s="450" t="e">
        <f t="shared" si="3"/>
        <v>#DIV/0!</v>
      </c>
      <c r="K11" s="456"/>
      <c r="L11" s="452"/>
      <c r="M11" s="452"/>
      <c r="N11" s="453">
        <f t="shared" si="7"/>
        <v>0</v>
      </c>
      <c r="O11" s="450">
        <f t="shared" si="4"/>
        <v>0</v>
      </c>
      <c r="P11" s="465"/>
      <c r="Q11" s="452"/>
      <c r="R11" s="452"/>
      <c r="S11" s="453">
        <f t="shared" si="8"/>
        <v>0</v>
      </c>
      <c r="T11" s="450" t="e">
        <f t="shared" ref="T11:T33" si="20">S11/$S$89</f>
        <v>#DIV/0!</v>
      </c>
      <c r="U11" s="458"/>
      <c r="V11" s="452"/>
      <c r="W11" s="452"/>
      <c r="X11" s="453">
        <f t="shared" si="9"/>
        <v>0</v>
      </c>
      <c r="Y11" s="450" t="e">
        <f t="shared" si="10"/>
        <v>#DIV/0!</v>
      </c>
      <c r="Z11" s="458"/>
      <c r="AA11" s="452"/>
      <c r="AB11" s="452"/>
      <c r="AC11" s="453">
        <f t="shared" si="11"/>
        <v>0</v>
      </c>
      <c r="AD11" s="450" t="e">
        <f t="shared" si="12"/>
        <v>#DIV/0!</v>
      </c>
      <c r="AE11" s="730"/>
      <c r="AF11" s="560"/>
      <c r="AG11" s="452"/>
      <c r="AH11" s="453">
        <f t="shared" si="13"/>
        <v>0</v>
      </c>
      <c r="AI11" s="450" t="e">
        <f t="shared" si="14"/>
        <v>#DIV/0!</v>
      </c>
      <c r="AJ11" s="458"/>
      <c r="AK11" s="560"/>
      <c r="AL11" s="452"/>
      <c r="AM11" s="453">
        <f t="shared" si="15"/>
        <v>0</v>
      </c>
      <c r="AN11" s="450" t="e">
        <f t="shared" si="16"/>
        <v>#DIV/0!</v>
      </c>
      <c r="AO11" s="458"/>
      <c r="AP11" s="560"/>
      <c r="AQ11" s="452"/>
      <c r="AR11" s="453">
        <f t="shared" si="17"/>
        <v>0</v>
      </c>
      <c r="AS11" s="450" t="e">
        <f t="shared" si="18"/>
        <v>#DIV/0!</v>
      </c>
      <c r="AT11" s="458"/>
      <c r="AU11" s="452">
        <f t="shared" si="5"/>
        <v>0</v>
      </c>
      <c r="AV11" s="452">
        <f t="shared" si="5"/>
        <v>0</v>
      </c>
      <c r="AW11" s="453">
        <f t="shared" si="19"/>
        <v>0</v>
      </c>
      <c r="AX11" s="450" t="e">
        <f t="shared" si="1"/>
        <v>#DIV/0!</v>
      </c>
      <c r="AY11" s="456"/>
    </row>
    <row r="12" spans="1:51" s="2" customFormat="1" ht="13.8">
      <c r="A12" s="238"/>
      <c r="B12" s="492" t="s">
        <v>73</v>
      </c>
      <c r="C12" s="111"/>
      <c r="D12" s="493"/>
      <c r="E12" s="446">
        <f t="shared" si="2"/>
        <v>0</v>
      </c>
      <c r="F12" s="447" t="e">
        <f t="shared" si="0"/>
        <v>#DIV/0!</v>
      </c>
      <c r="G12" s="452"/>
      <c r="H12" s="452"/>
      <c r="I12" s="453">
        <f t="shared" si="6"/>
        <v>0</v>
      </c>
      <c r="J12" s="450" t="e">
        <f t="shared" si="3"/>
        <v>#DIV/0!</v>
      </c>
      <c r="K12" s="456"/>
      <c r="L12" s="452"/>
      <c r="M12" s="452"/>
      <c r="N12" s="453">
        <f t="shared" si="7"/>
        <v>0</v>
      </c>
      <c r="O12" s="450">
        <f t="shared" si="4"/>
        <v>0</v>
      </c>
      <c r="P12" s="460"/>
      <c r="Q12" s="452"/>
      <c r="R12" s="452"/>
      <c r="S12" s="453">
        <f t="shared" si="8"/>
        <v>0</v>
      </c>
      <c r="T12" s="450" t="e">
        <f t="shared" si="20"/>
        <v>#DIV/0!</v>
      </c>
      <c r="U12" s="458"/>
      <c r="V12" s="452"/>
      <c r="W12" s="452"/>
      <c r="X12" s="453">
        <f t="shared" si="9"/>
        <v>0</v>
      </c>
      <c r="Y12" s="450" t="e">
        <f t="shared" si="10"/>
        <v>#DIV/0!</v>
      </c>
      <c r="Z12" s="458"/>
      <c r="AA12" s="452"/>
      <c r="AB12" s="452"/>
      <c r="AC12" s="453">
        <f t="shared" si="11"/>
        <v>0</v>
      </c>
      <c r="AD12" s="450" t="e">
        <f t="shared" si="12"/>
        <v>#DIV/0!</v>
      </c>
      <c r="AE12" s="730"/>
      <c r="AF12" s="560"/>
      <c r="AG12" s="452"/>
      <c r="AH12" s="453">
        <f t="shared" si="13"/>
        <v>0</v>
      </c>
      <c r="AI12" s="450" t="e">
        <f t="shared" si="14"/>
        <v>#DIV/0!</v>
      </c>
      <c r="AJ12" s="458"/>
      <c r="AK12" s="560"/>
      <c r="AL12" s="452"/>
      <c r="AM12" s="453">
        <f t="shared" si="15"/>
        <v>0</v>
      </c>
      <c r="AN12" s="450" t="e">
        <f t="shared" si="16"/>
        <v>#DIV/0!</v>
      </c>
      <c r="AO12" s="458"/>
      <c r="AP12" s="560"/>
      <c r="AQ12" s="452"/>
      <c r="AR12" s="453">
        <f t="shared" si="17"/>
        <v>0</v>
      </c>
      <c r="AS12" s="450" t="e">
        <f t="shared" si="18"/>
        <v>#DIV/0!</v>
      </c>
      <c r="AT12" s="458"/>
      <c r="AU12" s="452">
        <f t="shared" si="5"/>
        <v>0</v>
      </c>
      <c r="AV12" s="452">
        <f t="shared" si="5"/>
        <v>0</v>
      </c>
      <c r="AW12" s="453">
        <f t="shared" si="19"/>
        <v>0</v>
      </c>
      <c r="AX12" s="450" t="e">
        <f t="shared" si="1"/>
        <v>#DIV/0!</v>
      </c>
      <c r="AY12" s="456"/>
    </row>
    <row r="13" spans="1:51" s="2" customFormat="1" ht="13.8">
      <c r="A13" s="238"/>
      <c r="B13" s="492" t="s">
        <v>71</v>
      </c>
      <c r="C13" s="111"/>
      <c r="D13" s="493"/>
      <c r="E13" s="446">
        <f t="shared" si="2"/>
        <v>0</v>
      </c>
      <c r="F13" s="447" t="e">
        <f t="shared" si="0"/>
        <v>#DIV/0!</v>
      </c>
      <c r="G13" s="452"/>
      <c r="H13" s="452"/>
      <c r="I13" s="453">
        <f t="shared" si="6"/>
        <v>0</v>
      </c>
      <c r="J13" s="450" t="e">
        <f t="shared" si="3"/>
        <v>#DIV/0!</v>
      </c>
      <c r="K13" s="456"/>
      <c r="L13" s="452"/>
      <c r="M13" s="452"/>
      <c r="N13" s="453">
        <f t="shared" si="7"/>
        <v>0</v>
      </c>
      <c r="O13" s="450">
        <f t="shared" si="4"/>
        <v>0</v>
      </c>
      <c r="P13" s="465"/>
      <c r="Q13" s="452"/>
      <c r="R13" s="452"/>
      <c r="S13" s="453">
        <f t="shared" si="8"/>
        <v>0</v>
      </c>
      <c r="T13" s="450" t="e">
        <f t="shared" si="20"/>
        <v>#DIV/0!</v>
      </c>
      <c r="U13" s="458"/>
      <c r="V13" s="452"/>
      <c r="W13" s="452"/>
      <c r="X13" s="453">
        <f t="shared" si="9"/>
        <v>0</v>
      </c>
      <c r="Y13" s="450" t="e">
        <f t="shared" si="10"/>
        <v>#DIV/0!</v>
      </c>
      <c r="Z13" s="458"/>
      <c r="AA13" s="452"/>
      <c r="AB13" s="452"/>
      <c r="AC13" s="453">
        <f t="shared" si="11"/>
        <v>0</v>
      </c>
      <c r="AD13" s="450" t="e">
        <f t="shared" si="12"/>
        <v>#DIV/0!</v>
      </c>
      <c r="AE13" s="730"/>
      <c r="AF13" s="560"/>
      <c r="AG13" s="452"/>
      <c r="AH13" s="453">
        <f t="shared" si="13"/>
        <v>0</v>
      </c>
      <c r="AI13" s="450" t="e">
        <f t="shared" si="14"/>
        <v>#DIV/0!</v>
      </c>
      <c r="AJ13" s="458"/>
      <c r="AK13" s="560"/>
      <c r="AL13" s="452"/>
      <c r="AM13" s="453">
        <f t="shared" si="15"/>
        <v>0</v>
      </c>
      <c r="AN13" s="450" t="e">
        <f t="shared" si="16"/>
        <v>#DIV/0!</v>
      </c>
      <c r="AO13" s="458"/>
      <c r="AP13" s="560"/>
      <c r="AQ13" s="452"/>
      <c r="AR13" s="453">
        <f t="shared" si="17"/>
        <v>0</v>
      </c>
      <c r="AS13" s="450" t="e">
        <f t="shared" si="18"/>
        <v>#DIV/0!</v>
      </c>
      <c r="AT13" s="458"/>
      <c r="AU13" s="452">
        <f>G13+L13+Q13+V13+AA13+AF13+AK13+AP13</f>
        <v>0</v>
      </c>
      <c r="AV13" s="452">
        <f t="shared" si="5"/>
        <v>0</v>
      </c>
      <c r="AW13" s="453">
        <f t="shared" si="19"/>
        <v>0</v>
      </c>
      <c r="AX13" s="450" t="e">
        <f t="shared" si="1"/>
        <v>#DIV/0!</v>
      </c>
      <c r="AY13" s="456"/>
    </row>
    <row r="14" spans="1:51" s="2" customFormat="1" ht="13.8">
      <c r="A14" s="238"/>
      <c r="B14" s="492" t="s">
        <v>70</v>
      </c>
      <c r="C14" s="111"/>
      <c r="D14" s="493"/>
      <c r="E14" s="446">
        <f t="shared" si="2"/>
        <v>0</v>
      </c>
      <c r="F14" s="447" t="e">
        <f t="shared" si="0"/>
        <v>#DIV/0!</v>
      </c>
      <c r="G14" s="452"/>
      <c r="H14" s="452"/>
      <c r="I14" s="453">
        <f t="shared" si="6"/>
        <v>0</v>
      </c>
      <c r="J14" s="450" t="e">
        <f t="shared" si="3"/>
        <v>#DIV/0!</v>
      </c>
      <c r="K14" s="456"/>
      <c r="L14" s="452"/>
      <c r="M14" s="452"/>
      <c r="N14" s="453">
        <f t="shared" si="7"/>
        <v>0</v>
      </c>
      <c r="O14" s="450">
        <f t="shared" si="4"/>
        <v>0</v>
      </c>
      <c r="P14" s="465"/>
      <c r="Q14" s="452"/>
      <c r="R14" s="452"/>
      <c r="S14" s="453">
        <f t="shared" si="8"/>
        <v>0</v>
      </c>
      <c r="T14" s="450" t="e">
        <f t="shared" si="20"/>
        <v>#DIV/0!</v>
      </c>
      <c r="U14" s="458"/>
      <c r="V14" s="452"/>
      <c r="W14" s="452"/>
      <c r="X14" s="453">
        <f t="shared" si="9"/>
        <v>0</v>
      </c>
      <c r="Y14" s="450" t="e">
        <f t="shared" si="10"/>
        <v>#DIV/0!</v>
      </c>
      <c r="Z14" s="458"/>
      <c r="AA14" s="452"/>
      <c r="AB14" s="452"/>
      <c r="AC14" s="453">
        <f t="shared" si="11"/>
        <v>0</v>
      </c>
      <c r="AD14" s="450" t="e">
        <f t="shared" si="12"/>
        <v>#DIV/0!</v>
      </c>
      <c r="AE14" s="730"/>
      <c r="AF14" s="560"/>
      <c r="AG14" s="452"/>
      <c r="AH14" s="453">
        <f t="shared" si="13"/>
        <v>0</v>
      </c>
      <c r="AI14" s="450" t="e">
        <f t="shared" si="14"/>
        <v>#DIV/0!</v>
      </c>
      <c r="AJ14" s="458"/>
      <c r="AK14" s="560"/>
      <c r="AL14" s="452"/>
      <c r="AM14" s="453">
        <f t="shared" si="15"/>
        <v>0</v>
      </c>
      <c r="AN14" s="450" t="e">
        <f t="shared" si="16"/>
        <v>#DIV/0!</v>
      </c>
      <c r="AO14" s="458"/>
      <c r="AP14" s="560"/>
      <c r="AQ14" s="452"/>
      <c r="AR14" s="453">
        <f t="shared" si="17"/>
        <v>0</v>
      </c>
      <c r="AS14" s="450" t="e">
        <f t="shared" si="18"/>
        <v>#DIV/0!</v>
      </c>
      <c r="AT14" s="458"/>
      <c r="AU14" s="452">
        <f t="shared" si="5"/>
        <v>0</v>
      </c>
      <c r="AV14" s="452">
        <f t="shared" si="5"/>
        <v>0</v>
      </c>
      <c r="AW14" s="453">
        <f t="shared" si="19"/>
        <v>0</v>
      </c>
      <c r="AX14" s="450" t="e">
        <f t="shared" si="1"/>
        <v>#DIV/0!</v>
      </c>
      <c r="AY14" s="456"/>
    </row>
    <row r="15" spans="1:51" s="2" customFormat="1" ht="13.8">
      <c r="A15" s="238"/>
      <c r="B15" s="471" t="s">
        <v>20</v>
      </c>
      <c r="C15" s="111"/>
      <c r="D15" s="445"/>
      <c r="E15" s="446">
        <f t="shared" si="2"/>
        <v>0</v>
      </c>
      <c r="F15" s="447" t="e">
        <f t="shared" si="0"/>
        <v>#DIV/0!</v>
      </c>
      <c r="G15" s="452"/>
      <c r="H15" s="452"/>
      <c r="I15" s="453">
        <f t="shared" si="6"/>
        <v>0</v>
      </c>
      <c r="J15" s="450" t="e">
        <f t="shared" si="3"/>
        <v>#DIV/0!</v>
      </c>
      <c r="K15" s="456"/>
      <c r="L15" s="452"/>
      <c r="M15" s="452"/>
      <c r="N15" s="453">
        <f t="shared" si="7"/>
        <v>0</v>
      </c>
      <c r="O15" s="450">
        <f t="shared" si="4"/>
        <v>0</v>
      </c>
      <c r="P15" s="465"/>
      <c r="Q15" s="452"/>
      <c r="R15" s="452"/>
      <c r="S15" s="453">
        <f t="shared" si="8"/>
        <v>0</v>
      </c>
      <c r="T15" s="450" t="e">
        <f t="shared" si="20"/>
        <v>#DIV/0!</v>
      </c>
      <c r="U15" s="458"/>
      <c r="V15" s="452"/>
      <c r="W15" s="452"/>
      <c r="X15" s="453">
        <f t="shared" si="9"/>
        <v>0</v>
      </c>
      <c r="Y15" s="450" t="e">
        <f t="shared" si="10"/>
        <v>#DIV/0!</v>
      </c>
      <c r="Z15" s="458"/>
      <c r="AA15" s="452"/>
      <c r="AB15" s="452"/>
      <c r="AC15" s="453">
        <f t="shared" si="11"/>
        <v>0</v>
      </c>
      <c r="AD15" s="450" t="e">
        <f t="shared" si="12"/>
        <v>#DIV/0!</v>
      </c>
      <c r="AE15" s="730"/>
      <c r="AF15" s="560"/>
      <c r="AG15" s="452"/>
      <c r="AH15" s="453">
        <f t="shared" si="13"/>
        <v>0</v>
      </c>
      <c r="AI15" s="450" t="e">
        <f t="shared" si="14"/>
        <v>#DIV/0!</v>
      </c>
      <c r="AJ15" s="458"/>
      <c r="AK15" s="560"/>
      <c r="AL15" s="452"/>
      <c r="AM15" s="453">
        <f t="shared" si="15"/>
        <v>0</v>
      </c>
      <c r="AN15" s="450" t="e">
        <f t="shared" si="16"/>
        <v>#DIV/0!</v>
      </c>
      <c r="AO15" s="458"/>
      <c r="AP15" s="560"/>
      <c r="AQ15" s="452"/>
      <c r="AR15" s="453">
        <f t="shared" si="17"/>
        <v>0</v>
      </c>
      <c r="AS15" s="450" t="e">
        <f t="shared" si="18"/>
        <v>#DIV/0!</v>
      </c>
      <c r="AT15" s="458"/>
      <c r="AU15" s="452">
        <f t="shared" si="5"/>
        <v>0</v>
      </c>
      <c r="AV15" s="452">
        <f t="shared" si="5"/>
        <v>0</v>
      </c>
      <c r="AW15" s="453">
        <f t="shared" si="19"/>
        <v>0</v>
      </c>
      <c r="AX15" s="450" t="e">
        <f t="shared" si="1"/>
        <v>#DIV/0!</v>
      </c>
      <c r="AY15" s="456"/>
    </row>
    <row r="16" spans="1:51" s="2" customFormat="1" ht="13.8">
      <c r="A16" s="292"/>
      <c r="B16" s="471" t="s">
        <v>21</v>
      </c>
      <c r="C16" s="111"/>
      <c r="D16" s="445"/>
      <c r="E16" s="446">
        <f t="shared" si="2"/>
        <v>0</v>
      </c>
      <c r="F16" s="447" t="e">
        <f t="shared" si="0"/>
        <v>#DIV/0!</v>
      </c>
      <c r="G16" s="452"/>
      <c r="H16" s="452"/>
      <c r="I16" s="453">
        <f t="shared" si="6"/>
        <v>0</v>
      </c>
      <c r="J16" s="450" t="e">
        <f t="shared" si="3"/>
        <v>#DIV/0!</v>
      </c>
      <c r="K16" s="456"/>
      <c r="L16" s="452"/>
      <c r="M16" s="452"/>
      <c r="N16" s="453">
        <f t="shared" si="7"/>
        <v>0</v>
      </c>
      <c r="O16" s="450">
        <f t="shared" si="4"/>
        <v>0</v>
      </c>
      <c r="P16" s="460"/>
      <c r="Q16" s="452"/>
      <c r="R16" s="452"/>
      <c r="S16" s="453">
        <f t="shared" si="8"/>
        <v>0</v>
      </c>
      <c r="T16" s="450" t="e">
        <f t="shared" si="20"/>
        <v>#DIV/0!</v>
      </c>
      <c r="U16" s="458"/>
      <c r="V16" s="452"/>
      <c r="W16" s="452"/>
      <c r="X16" s="453">
        <f t="shared" si="9"/>
        <v>0</v>
      </c>
      <c r="Y16" s="450" t="e">
        <f t="shared" si="10"/>
        <v>#DIV/0!</v>
      </c>
      <c r="Z16" s="458"/>
      <c r="AA16" s="452"/>
      <c r="AB16" s="452"/>
      <c r="AC16" s="453">
        <f t="shared" si="11"/>
        <v>0</v>
      </c>
      <c r="AD16" s="450" t="e">
        <f t="shared" si="12"/>
        <v>#DIV/0!</v>
      </c>
      <c r="AE16" s="730"/>
      <c r="AF16" s="560"/>
      <c r="AG16" s="452"/>
      <c r="AH16" s="453">
        <f t="shared" si="13"/>
        <v>0</v>
      </c>
      <c r="AI16" s="450" t="e">
        <f t="shared" si="14"/>
        <v>#DIV/0!</v>
      </c>
      <c r="AJ16" s="458"/>
      <c r="AK16" s="560"/>
      <c r="AL16" s="452"/>
      <c r="AM16" s="453">
        <f t="shared" si="15"/>
        <v>0</v>
      </c>
      <c r="AN16" s="450" t="e">
        <f t="shared" si="16"/>
        <v>#DIV/0!</v>
      </c>
      <c r="AO16" s="458"/>
      <c r="AP16" s="560"/>
      <c r="AQ16" s="452"/>
      <c r="AR16" s="453">
        <f t="shared" si="17"/>
        <v>0</v>
      </c>
      <c r="AS16" s="450" t="e">
        <f t="shared" si="18"/>
        <v>#DIV/0!</v>
      </c>
      <c r="AT16" s="458"/>
      <c r="AU16" s="452">
        <f t="shared" si="5"/>
        <v>0</v>
      </c>
      <c r="AV16" s="452">
        <f t="shared" si="5"/>
        <v>0</v>
      </c>
      <c r="AW16" s="453">
        <f t="shared" si="19"/>
        <v>0</v>
      </c>
      <c r="AX16" s="450" t="e">
        <f t="shared" si="1"/>
        <v>#DIV/0!</v>
      </c>
      <c r="AY16" s="456"/>
    </row>
    <row r="17" spans="1:51" s="2" customFormat="1" ht="13.8">
      <c r="A17" s="238"/>
      <c r="B17" s="471" t="s">
        <v>22</v>
      </c>
      <c r="C17" s="111"/>
      <c r="D17" s="445"/>
      <c r="E17" s="446">
        <f t="shared" si="2"/>
        <v>0</v>
      </c>
      <c r="F17" s="447" t="e">
        <f t="shared" si="0"/>
        <v>#DIV/0!</v>
      </c>
      <c r="G17" s="452"/>
      <c r="H17" s="452"/>
      <c r="I17" s="453">
        <f t="shared" si="6"/>
        <v>0</v>
      </c>
      <c r="J17" s="450" t="e">
        <f t="shared" si="3"/>
        <v>#DIV/0!</v>
      </c>
      <c r="K17" s="456"/>
      <c r="L17" s="452"/>
      <c r="M17" s="452"/>
      <c r="N17" s="453">
        <f t="shared" si="7"/>
        <v>0</v>
      </c>
      <c r="O17" s="450">
        <f t="shared" si="4"/>
        <v>0</v>
      </c>
      <c r="P17" s="893"/>
      <c r="Q17" s="452"/>
      <c r="R17" s="452"/>
      <c r="S17" s="453">
        <f t="shared" si="8"/>
        <v>0</v>
      </c>
      <c r="T17" s="450" t="e">
        <f t="shared" si="20"/>
        <v>#DIV/0!</v>
      </c>
      <c r="U17" s="458"/>
      <c r="V17" s="452"/>
      <c r="W17" s="452"/>
      <c r="X17" s="453">
        <f t="shared" si="9"/>
        <v>0</v>
      </c>
      <c r="Y17" s="450" t="e">
        <f t="shared" si="10"/>
        <v>#DIV/0!</v>
      </c>
      <c r="Z17" s="458"/>
      <c r="AA17" s="452"/>
      <c r="AB17" s="452"/>
      <c r="AC17" s="453">
        <f t="shared" si="11"/>
        <v>0</v>
      </c>
      <c r="AD17" s="450" t="e">
        <f t="shared" si="12"/>
        <v>#DIV/0!</v>
      </c>
      <c r="AE17" s="730"/>
      <c r="AF17" s="560"/>
      <c r="AG17" s="452"/>
      <c r="AH17" s="453">
        <f t="shared" si="13"/>
        <v>0</v>
      </c>
      <c r="AI17" s="450" t="e">
        <f t="shared" si="14"/>
        <v>#DIV/0!</v>
      </c>
      <c r="AJ17" s="458"/>
      <c r="AK17" s="560"/>
      <c r="AL17" s="452"/>
      <c r="AM17" s="453">
        <f t="shared" si="15"/>
        <v>0</v>
      </c>
      <c r="AN17" s="450" t="e">
        <f t="shared" si="16"/>
        <v>#DIV/0!</v>
      </c>
      <c r="AO17" s="458"/>
      <c r="AP17" s="560"/>
      <c r="AQ17" s="452"/>
      <c r="AR17" s="453">
        <f t="shared" si="17"/>
        <v>0</v>
      </c>
      <c r="AS17" s="450" t="e">
        <f t="shared" si="18"/>
        <v>#DIV/0!</v>
      </c>
      <c r="AT17" s="458"/>
      <c r="AU17" s="452">
        <f t="shared" si="5"/>
        <v>0</v>
      </c>
      <c r="AV17" s="452">
        <f t="shared" si="5"/>
        <v>0</v>
      </c>
      <c r="AW17" s="453">
        <f t="shared" si="19"/>
        <v>0</v>
      </c>
      <c r="AX17" s="450" t="e">
        <f t="shared" si="1"/>
        <v>#DIV/0!</v>
      </c>
      <c r="AY17" s="456"/>
    </row>
    <row r="18" spans="1:51" s="2" customFormat="1" ht="69">
      <c r="A18" s="238"/>
      <c r="B18" s="471" t="s">
        <v>0</v>
      </c>
      <c r="C18" s="111"/>
      <c r="D18" s="445"/>
      <c r="E18" s="446">
        <f t="shared" si="2"/>
        <v>0</v>
      </c>
      <c r="F18" s="447" t="e">
        <f t="shared" si="0"/>
        <v>#DIV/0!</v>
      </c>
      <c r="G18" s="452"/>
      <c r="H18" s="452"/>
      <c r="I18" s="453">
        <f t="shared" si="6"/>
        <v>0</v>
      </c>
      <c r="J18" s="450" t="e">
        <f t="shared" si="3"/>
        <v>#DIV/0!</v>
      </c>
      <c r="K18" s="454"/>
      <c r="L18" s="452"/>
      <c r="M18" s="452"/>
      <c r="N18" s="453">
        <f t="shared" si="7"/>
        <v>0</v>
      </c>
      <c r="O18" s="450">
        <f t="shared" si="4"/>
        <v>0</v>
      </c>
      <c r="P18" s="894"/>
      <c r="Q18" s="452"/>
      <c r="R18" s="452"/>
      <c r="S18" s="453">
        <f t="shared" si="8"/>
        <v>0</v>
      </c>
      <c r="T18" s="450" t="e">
        <f t="shared" si="20"/>
        <v>#DIV/0!</v>
      </c>
      <c r="U18" s="458"/>
      <c r="V18" s="452"/>
      <c r="W18" s="452"/>
      <c r="X18" s="453">
        <f t="shared" si="9"/>
        <v>0</v>
      </c>
      <c r="Y18" s="450" t="e">
        <f t="shared" si="10"/>
        <v>#DIV/0!</v>
      </c>
      <c r="Z18" s="458"/>
      <c r="AA18" s="452"/>
      <c r="AB18" s="452"/>
      <c r="AC18" s="453">
        <f t="shared" si="11"/>
        <v>0</v>
      </c>
      <c r="AD18" s="450" t="e">
        <f t="shared" si="12"/>
        <v>#DIV/0!</v>
      </c>
      <c r="AE18" s="730"/>
      <c r="AF18" s="560"/>
      <c r="AG18" s="452"/>
      <c r="AH18" s="453">
        <f t="shared" si="13"/>
        <v>0</v>
      </c>
      <c r="AI18" s="450" t="e">
        <f t="shared" si="14"/>
        <v>#DIV/0!</v>
      </c>
      <c r="AJ18" s="458"/>
      <c r="AK18" s="560"/>
      <c r="AL18" s="452"/>
      <c r="AM18" s="453">
        <f t="shared" si="15"/>
        <v>0</v>
      </c>
      <c r="AN18" s="450" t="e">
        <f t="shared" si="16"/>
        <v>#DIV/0!</v>
      </c>
      <c r="AO18" s="458"/>
      <c r="AP18" s="560">
        <v>120000</v>
      </c>
      <c r="AQ18" s="452"/>
      <c r="AR18" s="453">
        <f t="shared" si="17"/>
        <v>120000</v>
      </c>
      <c r="AS18" s="450" t="e">
        <f t="shared" si="18"/>
        <v>#DIV/0!</v>
      </c>
      <c r="AT18" s="458" t="s">
        <v>923</v>
      </c>
      <c r="AU18" s="452">
        <f t="shared" si="5"/>
        <v>120000</v>
      </c>
      <c r="AV18" s="452">
        <f t="shared" si="5"/>
        <v>0</v>
      </c>
      <c r="AW18" s="453">
        <f t="shared" si="19"/>
        <v>120000</v>
      </c>
      <c r="AX18" s="450" t="e">
        <f t="shared" si="1"/>
        <v>#DIV/0!</v>
      </c>
      <c r="AY18" s="456"/>
    </row>
    <row r="19" spans="1:51" s="2" customFormat="1" ht="13.8">
      <c r="A19" s="238"/>
      <c r="B19" s="471" t="s">
        <v>53</v>
      </c>
      <c r="C19" s="114"/>
      <c r="D19" s="445"/>
      <c r="E19" s="446">
        <f t="shared" si="2"/>
        <v>0</v>
      </c>
      <c r="F19" s="447" t="e">
        <f t="shared" si="0"/>
        <v>#DIV/0!</v>
      </c>
      <c r="G19" s="452"/>
      <c r="H19" s="452"/>
      <c r="I19" s="453">
        <f t="shared" si="6"/>
        <v>0</v>
      </c>
      <c r="J19" s="450" t="e">
        <f t="shared" si="3"/>
        <v>#DIV/0!</v>
      </c>
      <c r="K19" s="456"/>
      <c r="L19" s="452"/>
      <c r="M19" s="452"/>
      <c r="N19" s="453">
        <f t="shared" si="7"/>
        <v>0</v>
      </c>
      <c r="O19" s="450">
        <f t="shared" si="4"/>
        <v>0</v>
      </c>
      <c r="P19" s="895"/>
      <c r="Q19" s="452"/>
      <c r="R19" s="452"/>
      <c r="S19" s="453">
        <f t="shared" si="8"/>
        <v>0</v>
      </c>
      <c r="T19" s="450" t="e">
        <f t="shared" si="20"/>
        <v>#DIV/0!</v>
      </c>
      <c r="U19" s="458"/>
      <c r="V19" s="452"/>
      <c r="W19" s="452"/>
      <c r="X19" s="453">
        <f t="shared" si="9"/>
        <v>0</v>
      </c>
      <c r="Y19" s="450" t="e">
        <f t="shared" si="10"/>
        <v>#DIV/0!</v>
      </c>
      <c r="Z19" s="458"/>
      <c r="AA19" s="452"/>
      <c r="AB19" s="452"/>
      <c r="AC19" s="453">
        <f t="shared" si="11"/>
        <v>0</v>
      </c>
      <c r="AD19" s="450" t="e">
        <f t="shared" si="12"/>
        <v>#DIV/0!</v>
      </c>
      <c r="AE19" s="730"/>
      <c r="AF19" s="560"/>
      <c r="AG19" s="452"/>
      <c r="AH19" s="453">
        <f t="shared" si="13"/>
        <v>0</v>
      </c>
      <c r="AI19" s="450" t="e">
        <f t="shared" si="14"/>
        <v>#DIV/0!</v>
      </c>
      <c r="AJ19" s="458"/>
      <c r="AK19" s="560"/>
      <c r="AL19" s="452"/>
      <c r="AM19" s="453">
        <f t="shared" si="15"/>
        <v>0</v>
      </c>
      <c r="AN19" s="450" t="e">
        <f t="shared" si="16"/>
        <v>#DIV/0!</v>
      </c>
      <c r="AO19" s="458"/>
      <c r="AP19" s="560"/>
      <c r="AQ19" s="452"/>
      <c r="AR19" s="453">
        <f t="shared" si="17"/>
        <v>0</v>
      </c>
      <c r="AS19" s="450" t="e">
        <f t="shared" si="18"/>
        <v>#DIV/0!</v>
      </c>
      <c r="AT19" s="458"/>
      <c r="AU19" s="452">
        <f t="shared" si="5"/>
        <v>0</v>
      </c>
      <c r="AV19" s="452">
        <f t="shared" si="5"/>
        <v>0</v>
      </c>
      <c r="AW19" s="453">
        <f t="shared" si="19"/>
        <v>0</v>
      </c>
      <c r="AX19" s="450" t="e">
        <f t="shared" si="1"/>
        <v>#DIV/0!</v>
      </c>
      <c r="AY19" s="456"/>
    </row>
    <row r="20" spans="1:51" s="2" customFormat="1" ht="13.8">
      <c r="A20" s="238"/>
      <c r="B20" s="471" t="s">
        <v>57</v>
      </c>
      <c r="C20" s="114"/>
      <c r="D20" s="445"/>
      <c r="E20" s="446">
        <f t="shared" si="2"/>
        <v>0</v>
      </c>
      <c r="F20" s="447" t="e">
        <f t="shared" si="0"/>
        <v>#DIV/0!</v>
      </c>
      <c r="G20" s="452"/>
      <c r="H20" s="452"/>
      <c r="I20" s="453">
        <f t="shared" si="6"/>
        <v>0</v>
      </c>
      <c r="J20" s="450" t="e">
        <f t="shared" si="3"/>
        <v>#DIV/0!</v>
      </c>
      <c r="K20" s="456"/>
      <c r="L20" s="452"/>
      <c r="M20" s="452"/>
      <c r="N20" s="453">
        <f t="shared" si="7"/>
        <v>0</v>
      </c>
      <c r="O20" s="450">
        <f t="shared" si="4"/>
        <v>0</v>
      </c>
      <c r="P20" s="895"/>
      <c r="Q20" s="452"/>
      <c r="R20" s="452"/>
      <c r="S20" s="453">
        <f t="shared" si="8"/>
        <v>0</v>
      </c>
      <c r="T20" s="450" t="e">
        <f t="shared" si="20"/>
        <v>#DIV/0!</v>
      </c>
      <c r="U20" s="458"/>
      <c r="V20" s="452"/>
      <c r="W20" s="452"/>
      <c r="X20" s="453">
        <f t="shared" si="9"/>
        <v>0</v>
      </c>
      <c r="Y20" s="450" t="e">
        <f t="shared" si="10"/>
        <v>#DIV/0!</v>
      </c>
      <c r="Z20" s="458"/>
      <c r="AA20" s="452"/>
      <c r="AB20" s="452"/>
      <c r="AC20" s="453">
        <f t="shared" si="11"/>
        <v>0</v>
      </c>
      <c r="AD20" s="450" t="e">
        <f t="shared" si="12"/>
        <v>#DIV/0!</v>
      </c>
      <c r="AE20" s="730"/>
      <c r="AF20" s="560"/>
      <c r="AG20" s="452"/>
      <c r="AH20" s="453">
        <f t="shared" si="13"/>
        <v>0</v>
      </c>
      <c r="AI20" s="450" t="e">
        <f t="shared" si="14"/>
        <v>#DIV/0!</v>
      </c>
      <c r="AJ20" s="458"/>
      <c r="AK20" s="560"/>
      <c r="AL20" s="452"/>
      <c r="AM20" s="453">
        <f t="shared" si="15"/>
        <v>0</v>
      </c>
      <c r="AN20" s="450" t="e">
        <f t="shared" si="16"/>
        <v>#DIV/0!</v>
      </c>
      <c r="AO20" s="458"/>
      <c r="AP20" s="560"/>
      <c r="AQ20" s="452"/>
      <c r="AR20" s="453">
        <f t="shared" si="17"/>
        <v>0</v>
      </c>
      <c r="AS20" s="450" t="e">
        <f t="shared" si="18"/>
        <v>#DIV/0!</v>
      </c>
      <c r="AT20" s="458"/>
      <c r="AU20" s="452">
        <f t="shared" si="5"/>
        <v>0</v>
      </c>
      <c r="AV20" s="452">
        <f t="shared" si="5"/>
        <v>0</v>
      </c>
      <c r="AW20" s="453">
        <f t="shared" si="19"/>
        <v>0</v>
      </c>
      <c r="AX20" s="450" t="e">
        <f t="shared" si="1"/>
        <v>#DIV/0!</v>
      </c>
      <c r="AY20" s="456"/>
    </row>
    <row r="21" spans="1:51" s="2" customFormat="1" ht="13.8">
      <c r="A21" s="238"/>
      <c r="B21" s="471" t="s">
        <v>58</v>
      </c>
      <c r="C21" s="114"/>
      <c r="D21" s="445"/>
      <c r="E21" s="446">
        <f t="shared" si="2"/>
        <v>0</v>
      </c>
      <c r="F21" s="447" t="e">
        <f t="shared" si="0"/>
        <v>#DIV/0!</v>
      </c>
      <c r="G21" s="452"/>
      <c r="H21" s="452"/>
      <c r="I21" s="453">
        <f t="shared" si="6"/>
        <v>0</v>
      </c>
      <c r="J21" s="450" t="e">
        <f t="shared" si="3"/>
        <v>#DIV/0!</v>
      </c>
      <c r="K21" s="456"/>
      <c r="L21" s="452"/>
      <c r="M21" s="452"/>
      <c r="N21" s="453">
        <f t="shared" si="7"/>
        <v>0</v>
      </c>
      <c r="O21" s="450">
        <f t="shared" si="4"/>
        <v>0</v>
      </c>
      <c r="P21" s="861"/>
      <c r="Q21" s="452"/>
      <c r="R21" s="452"/>
      <c r="S21" s="453">
        <f t="shared" si="8"/>
        <v>0</v>
      </c>
      <c r="T21" s="450" t="e">
        <f t="shared" si="20"/>
        <v>#DIV/0!</v>
      </c>
      <c r="U21" s="458"/>
      <c r="V21" s="452"/>
      <c r="W21" s="452"/>
      <c r="X21" s="453">
        <f t="shared" si="9"/>
        <v>0</v>
      </c>
      <c r="Y21" s="450" t="e">
        <f t="shared" si="10"/>
        <v>#DIV/0!</v>
      </c>
      <c r="Z21" s="458"/>
      <c r="AA21" s="452"/>
      <c r="AB21" s="452"/>
      <c r="AC21" s="453">
        <f t="shared" si="11"/>
        <v>0</v>
      </c>
      <c r="AD21" s="450" t="e">
        <f t="shared" si="12"/>
        <v>#DIV/0!</v>
      </c>
      <c r="AE21" s="730"/>
      <c r="AF21" s="560"/>
      <c r="AG21" s="452"/>
      <c r="AH21" s="453">
        <f t="shared" si="13"/>
        <v>0</v>
      </c>
      <c r="AI21" s="450" t="e">
        <f t="shared" si="14"/>
        <v>#DIV/0!</v>
      </c>
      <c r="AJ21" s="458"/>
      <c r="AK21" s="560"/>
      <c r="AL21" s="452"/>
      <c r="AM21" s="453">
        <f t="shared" si="15"/>
        <v>0</v>
      </c>
      <c r="AN21" s="450" t="e">
        <f t="shared" si="16"/>
        <v>#DIV/0!</v>
      </c>
      <c r="AO21" s="458"/>
      <c r="AP21" s="560"/>
      <c r="AQ21" s="452"/>
      <c r="AR21" s="453">
        <f t="shared" si="17"/>
        <v>0</v>
      </c>
      <c r="AS21" s="450" t="e">
        <f t="shared" si="18"/>
        <v>#DIV/0!</v>
      </c>
      <c r="AT21" s="458"/>
      <c r="AU21" s="452">
        <f t="shared" si="5"/>
        <v>0</v>
      </c>
      <c r="AV21" s="452">
        <f t="shared" si="5"/>
        <v>0</v>
      </c>
      <c r="AW21" s="453">
        <f t="shared" si="19"/>
        <v>0</v>
      </c>
      <c r="AX21" s="450" t="e">
        <f t="shared" si="1"/>
        <v>#DIV/0!</v>
      </c>
      <c r="AY21" s="456"/>
    </row>
    <row r="22" spans="1:51" s="2" customFormat="1" ht="31.2" customHeight="1">
      <c r="A22" s="238"/>
      <c r="B22" s="471" t="s">
        <v>621</v>
      </c>
      <c r="C22" s="114"/>
      <c r="D22" s="445"/>
      <c r="E22" s="446"/>
      <c r="F22" s="447"/>
      <c r="G22" s="452"/>
      <c r="H22" s="452"/>
      <c r="I22" s="453"/>
      <c r="J22" s="450" t="e">
        <f t="shared" si="3"/>
        <v>#DIV/0!</v>
      </c>
      <c r="K22" s="456"/>
      <c r="L22" s="452"/>
      <c r="M22" s="452"/>
      <c r="N22" s="453"/>
      <c r="O22" s="450">
        <f t="shared" si="4"/>
        <v>0</v>
      </c>
      <c r="P22" s="861"/>
      <c r="Q22" s="452"/>
      <c r="R22" s="452"/>
      <c r="S22" s="453">
        <f t="shared" si="8"/>
        <v>0</v>
      </c>
      <c r="T22" s="450" t="e">
        <f t="shared" si="20"/>
        <v>#DIV/0!</v>
      </c>
      <c r="U22" s="458"/>
      <c r="V22" s="452"/>
      <c r="W22" s="452"/>
      <c r="X22" s="453">
        <f t="shared" si="9"/>
        <v>0</v>
      </c>
      <c r="Y22" s="450" t="e">
        <f t="shared" si="10"/>
        <v>#DIV/0!</v>
      </c>
      <c r="Z22" s="458"/>
      <c r="AA22" s="452"/>
      <c r="AB22" s="452"/>
      <c r="AC22" s="453">
        <f t="shared" si="11"/>
        <v>0</v>
      </c>
      <c r="AD22" s="450" t="e">
        <f t="shared" si="12"/>
        <v>#DIV/0!</v>
      </c>
      <c r="AE22" s="730"/>
      <c r="AF22" s="560"/>
      <c r="AG22" s="452"/>
      <c r="AH22" s="453">
        <f t="shared" si="13"/>
        <v>0</v>
      </c>
      <c r="AI22" s="450" t="e">
        <f t="shared" si="14"/>
        <v>#DIV/0!</v>
      </c>
      <c r="AJ22" s="458"/>
      <c r="AK22" s="560"/>
      <c r="AL22" s="452"/>
      <c r="AM22" s="453">
        <f t="shared" si="15"/>
        <v>0</v>
      </c>
      <c r="AN22" s="450" t="e">
        <f t="shared" si="16"/>
        <v>#DIV/0!</v>
      </c>
      <c r="AO22" s="458"/>
      <c r="AP22" s="560"/>
      <c r="AQ22" s="452"/>
      <c r="AR22" s="453">
        <f t="shared" si="17"/>
        <v>0</v>
      </c>
      <c r="AS22" s="450" t="e">
        <f t="shared" si="18"/>
        <v>#DIV/0!</v>
      </c>
      <c r="AT22" s="458"/>
      <c r="AU22" s="452">
        <f t="shared" si="5"/>
        <v>0</v>
      </c>
      <c r="AV22" s="452">
        <f t="shared" si="5"/>
        <v>0</v>
      </c>
      <c r="AW22" s="453">
        <f t="shared" si="19"/>
        <v>0</v>
      </c>
      <c r="AX22" s="450" t="e">
        <f t="shared" si="1"/>
        <v>#DIV/0!</v>
      </c>
      <c r="AY22" s="456"/>
    </row>
    <row r="23" spans="1:51" s="2" customFormat="1" ht="13.8">
      <c r="A23" s="238"/>
      <c r="B23" s="471" t="s">
        <v>630</v>
      </c>
      <c r="C23" s="114"/>
      <c r="D23" s="445"/>
      <c r="E23" s="446"/>
      <c r="F23" s="447"/>
      <c r="G23" s="452"/>
      <c r="H23" s="452"/>
      <c r="I23" s="453"/>
      <c r="J23" s="450" t="e">
        <f t="shared" si="3"/>
        <v>#DIV/0!</v>
      </c>
      <c r="K23" s="456"/>
      <c r="L23" s="452"/>
      <c r="M23" s="452"/>
      <c r="N23" s="453"/>
      <c r="O23" s="450">
        <f t="shared" si="4"/>
        <v>0</v>
      </c>
      <c r="P23" s="861"/>
      <c r="Q23" s="452"/>
      <c r="R23" s="452"/>
      <c r="S23" s="453">
        <f t="shared" si="8"/>
        <v>0</v>
      </c>
      <c r="T23" s="450" t="e">
        <f t="shared" si="20"/>
        <v>#DIV/0!</v>
      </c>
      <c r="U23" s="458"/>
      <c r="V23" s="452"/>
      <c r="W23" s="452"/>
      <c r="X23" s="453">
        <f t="shared" si="9"/>
        <v>0</v>
      </c>
      <c r="Y23" s="450" t="e">
        <f t="shared" si="10"/>
        <v>#DIV/0!</v>
      </c>
      <c r="Z23" s="458"/>
      <c r="AA23" s="452"/>
      <c r="AB23" s="452"/>
      <c r="AC23" s="453">
        <f t="shared" si="11"/>
        <v>0</v>
      </c>
      <c r="AD23" s="450" t="e">
        <f t="shared" si="12"/>
        <v>#DIV/0!</v>
      </c>
      <c r="AE23" s="730"/>
      <c r="AF23" s="560"/>
      <c r="AG23" s="452"/>
      <c r="AH23" s="453">
        <f t="shared" si="13"/>
        <v>0</v>
      </c>
      <c r="AI23" s="450" t="e">
        <f t="shared" si="14"/>
        <v>#DIV/0!</v>
      </c>
      <c r="AJ23" s="458"/>
      <c r="AK23" s="560"/>
      <c r="AL23" s="452"/>
      <c r="AM23" s="453">
        <f t="shared" si="15"/>
        <v>0</v>
      </c>
      <c r="AN23" s="450" t="e">
        <f t="shared" si="16"/>
        <v>#DIV/0!</v>
      </c>
      <c r="AO23" s="458"/>
      <c r="AP23" s="560"/>
      <c r="AQ23" s="452"/>
      <c r="AR23" s="453">
        <f t="shared" si="17"/>
        <v>0</v>
      </c>
      <c r="AS23" s="450" t="e">
        <f t="shared" si="18"/>
        <v>#DIV/0!</v>
      </c>
      <c r="AT23" s="458"/>
      <c r="AU23" s="452">
        <f t="shared" si="5"/>
        <v>0</v>
      </c>
      <c r="AV23" s="452">
        <f t="shared" si="5"/>
        <v>0</v>
      </c>
      <c r="AW23" s="453">
        <f t="shared" si="19"/>
        <v>0</v>
      </c>
      <c r="AX23" s="450" t="e">
        <f t="shared" si="1"/>
        <v>#DIV/0!</v>
      </c>
      <c r="AY23" s="456"/>
    </row>
    <row r="24" spans="1:51" s="2" customFormat="1" ht="13.8">
      <c r="A24" s="238"/>
      <c r="B24" s="471" t="s">
        <v>23</v>
      </c>
      <c r="C24" s="114"/>
      <c r="D24" s="445"/>
      <c r="E24" s="446">
        <f t="shared" si="2"/>
        <v>0</v>
      </c>
      <c r="F24" s="447" t="e">
        <f t="shared" ref="F24:F33" si="21">E24/$E$89</f>
        <v>#DIV/0!</v>
      </c>
      <c r="G24" s="452"/>
      <c r="H24" s="452"/>
      <c r="I24" s="453">
        <f t="shared" si="6"/>
        <v>0</v>
      </c>
      <c r="J24" s="450" t="e">
        <f t="shared" si="3"/>
        <v>#DIV/0!</v>
      </c>
      <c r="K24" s="456"/>
      <c r="L24" s="452"/>
      <c r="M24" s="452"/>
      <c r="N24" s="453">
        <f t="shared" si="7"/>
        <v>0</v>
      </c>
      <c r="O24" s="450">
        <f t="shared" si="4"/>
        <v>0</v>
      </c>
      <c r="P24" s="895"/>
      <c r="Q24" s="452"/>
      <c r="R24" s="452"/>
      <c r="S24" s="453">
        <f t="shared" si="8"/>
        <v>0</v>
      </c>
      <c r="T24" s="450" t="e">
        <f t="shared" si="20"/>
        <v>#DIV/0!</v>
      </c>
      <c r="U24" s="458"/>
      <c r="V24" s="452"/>
      <c r="W24" s="452"/>
      <c r="X24" s="453">
        <f t="shared" si="9"/>
        <v>0</v>
      </c>
      <c r="Y24" s="450" t="e">
        <f t="shared" si="10"/>
        <v>#DIV/0!</v>
      </c>
      <c r="Z24" s="458"/>
      <c r="AA24" s="452"/>
      <c r="AB24" s="452"/>
      <c r="AC24" s="453">
        <f t="shared" si="11"/>
        <v>0</v>
      </c>
      <c r="AD24" s="450" t="e">
        <f t="shared" si="12"/>
        <v>#DIV/0!</v>
      </c>
      <c r="AE24" s="730"/>
      <c r="AF24" s="560"/>
      <c r="AG24" s="452"/>
      <c r="AH24" s="453">
        <f t="shared" si="13"/>
        <v>0</v>
      </c>
      <c r="AI24" s="450" t="e">
        <f t="shared" si="14"/>
        <v>#DIV/0!</v>
      </c>
      <c r="AJ24" s="458"/>
      <c r="AK24" s="560"/>
      <c r="AL24" s="452"/>
      <c r="AM24" s="453">
        <f t="shared" si="15"/>
        <v>0</v>
      </c>
      <c r="AN24" s="450" t="e">
        <f t="shared" si="16"/>
        <v>#DIV/0!</v>
      </c>
      <c r="AO24" s="452"/>
      <c r="AP24" s="560"/>
      <c r="AQ24" s="452"/>
      <c r="AR24" s="453">
        <f t="shared" si="17"/>
        <v>0</v>
      </c>
      <c r="AS24" s="450" t="e">
        <f t="shared" si="18"/>
        <v>#DIV/0!</v>
      </c>
      <c r="AT24" s="452"/>
      <c r="AU24" s="452">
        <f t="shared" si="5"/>
        <v>0</v>
      </c>
      <c r="AV24" s="452">
        <f t="shared" si="5"/>
        <v>0</v>
      </c>
      <c r="AW24" s="453">
        <f t="shared" si="19"/>
        <v>0</v>
      </c>
      <c r="AX24" s="450" t="e">
        <f t="shared" si="1"/>
        <v>#DIV/0!</v>
      </c>
      <c r="AY24" s="456"/>
    </row>
    <row r="25" spans="1:51" s="2" customFormat="1" ht="13.8">
      <c r="A25" s="238"/>
      <c r="B25" s="471" t="s">
        <v>24</v>
      </c>
      <c r="C25" s="114"/>
      <c r="D25" s="445"/>
      <c r="E25" s="446">
        <f t="shared" si="2"/>
        <v>0</v>
      </c>
      <c r="F25" s="447" t="e">
        <f t="shared" si="21"/>
        <v>#DIV/0!</v>
      </c>
      <c r="G25" s="452"/>
      <c r="H25" s="452"/>
      <c r="I25" s="453">
        <f t="shared" si="6"/>
        <v>0</v>
      </c>
      <c r="J25" s="450" t="e">
        <f t="shared" si="3"/>
        <v>#DIV/0!</v>
      </c>
      <c r="K25" s="456"/>
      <c r="L25" s="452"/>
      <c r="M25" s="452"/>
      <c r="N25" s="453">
        <f t="shared" si="7"/>
        <v>0</v>
      </c>
      <c r="O25" s="450">
        <f t="shared" si="4"/>
        <v>0</v>
      </c>
      <c r="P25" s="895"/>
      <c r="Q25" s="452"/>
      <c r="R25" s="452"/>
      <c r="S25" s="453">
        <f t="shared" si="8"/>
        <v>0</v>
      </c>
      <c r="T25" s="450" t="e">
        <f t="shared" si="20"/>
        <v>#DIV/0!</v>
      </c>
      <c r="U25" s="458"/>
      <c r="V25" s="452"/>
      <c r="W25" s="452"/>
      <c r="X25" s="453">
        <f t="shared" si="9"/>
        <v>0</v>
      </c>
      <c r="Y25" s="450" t="e">
        <f t="shared" si="10"/>
        <v>#DIV/0!</v>
      </c>
      <c r="Z25" s="458"/>
      <c r="AA25" s="452"/>
      <c r="AB25" s="452"/>
      <c r="AC25" s="453">
        <f t="shared" si="11"/>
        <v>0</v>
      </c>
      <c r="AD25" s="450" t="e">
        <f t="shared" si="12"/>
        <v>#DIV/0!</v>
      </c>
      <c r="AE25" s="730"/>
      <c r="AF25" s="560"/>
      <c r="AG25" s="452"/>
      <c r="AH25" s="453">
        <f t="shared" si="13"/>
        <v>0</v>
      </c>
      <c r="AI25" s="450" t="e">
        <f t="shared" si="14"/>
        <v>#DIV/0!</v>
      </c>
      <c r="AJ25" s="458"/>
      <c r="AK25" s="560"/>
      <c r="AL25" s="452"/>
      <c r="AM25" s="453">
        <f t="shared" si="15"/>
        <v>0</v>
      </c>
      <c r="AN25" s="450" t="e">
        <f t="shared" si="16"/>
        <v>#DIV/0!</v>
      </c>
      <c r="AO25" s="458"/>
      <c r="AP25" s="560"/>
      <c r="AQ25" s="452"/>
      <c r="AR25" s="453">
        <f t="shared" si="17"/>
        <v>0</v>
      </c>
      <c r="AS25" s="450" t="e">
        <f t="shared" si="18"/>
        <v>#DIV/0!</v>
      </c>
      <c r="AT25" s="458"/>
      <c r="AU25" s="452">
        <f t="shared" si="5"/>
        <v>0</v>
      </c>
      <c r="AV25" s="452">
        <f t="shared" si="5"/>
        <v>0</v>
      </c>
      <c r="AW25" s="453">
        <f t="shared" si="19"/>
        <v>0</v>
      </c>
      <c r="AX25" s="450" t="e">
        <f t="shared" si="1"/>
        <v>#DIV/0!</v>
      </c>
      <c r="AY25" s="456"/>
    </row>
    <row r="26" spans="1:51" s="2" customFormat="1" ht="13.8">
      <c r="A26" s="238"/>
      <c r="B26" s="471" t="s">
        <v>45</v>
      </c>
      <c r="C26" s="114"/>
      <c r="D26" s="445"/>
      <c r="E26" s="446">
        <f t="shared" si="2"/>
        <v>0</v>
      </c>
      <c r="F26" s="447" t="e">
        <f t="shared" si="21"/>
        <v>#DIV/0!</v>
      </c>
      <c r="G26" s="452"/>
      <c r="H26" s="452"/>
      <c r="I26" s="453">
        <f t="shared" si="6"/>
        <v>0</v>
      </c>
      <c r="J26" s="450" t="e">
        <f t="shared" si="3"/>
        <v>#DIV/0!</v>
      </c>
      <c r="K26" s="456"/>
      <c r="L26" s="452"/>
      <c r="M26" s="452"/>
      <c r="N26" s="453">
        <f t="shared" si="7"/>
        <v>0</v>
      </c>
      <c r="O26" s="450">
        <f t="shared" si="4"/>
        <v>0</v>
      </c>
      <c r="P26" s="895"/>
      <c r="Q26" s="452"/>
      <c r="R26" s="452"/>
      <c r="S26" s="453">
        <f t="shared" si="8"/>
        <v>0</v>
      </c>
      <c r="T26" s="450" t="e">
        <f t="shared" si="20"/>
        <v>#DIV/0!</v>
      </c>
      <c r="U26" s="458"/>
      <c r="V26" s="452"/>
      <c r="W26" s="452"/>
      <c r="X26" s="453">
        <f t="shared" si="9"/>
        <v>0</v>
      </c>
      <c r="Y26" s="450" t="e">
        <f t="shared" si="10"/>
        <v>#DIV/0!</v>
      </c>
      <c r="Z26" s="458"/>
      <c r="AA26" s="452"/>
      <c r="AB26" s="452"/>
      <c r="AC26" s="453">
        <f t="shared" si="11"/>
        <v>0</v>
      </c>
      <c r="AD26" s="450" t="e">
        <f t="shared" si="12"/>
        <v>#DIV/0!</v>
      </c>
      <c r="AE26" s="730"/>
      <c r="AF26" s="560"/>
      <c r="AG26" s="452"/>
      <c r="AH26" s="453">
        <f t="shared" si="13"/>
        <v>0</v>
      </c>
      <c r="AI26" s="450" t="e">
        <f t="shared" si="14"/>
        <v>#DIV/0!</v>
      </c>
      <c r="AJ26" s="458"/>
      <c r="AK26" s="560"/>
      <c r="AL26" s="452"/>
      <c r="AM26" s="453">
        <f t="shared" si="15"/>
        <v>0</v>
      </c>
      <c r="AN26" s="450" t="e">
        <f t="shared" si="16"/>
        <v>#DIV/0!</v>
      </c>
      <c r="AO26" s="458"/>
      <c r="AP26" s="560"/>
      <c r="AQ26" s="452"/>
      <c r="AR26" s="453">
        <f t="shared" si="17"/>
        <v>0</v>
      </c>
      <c r="AS26" s="450" t="e">
        <f t="shared" si="18"/>
        <v>#DIV/0!</v>
      </c>
      <c r="AT26" s="458"/>
      <c r="AU26" s="452">
        <f t="shared" si="5"/>
        <v>0</v>
      </c>
      <c r="AV26" s="452">
        <f t="shared" si="5"/>
        <v>0</v>
      </c>
      <c r="AW26" s="453">
        <f t="shared" si="19"/>
        <v>0</v>
      </c>
      <c r="AX26" s="450" t="e">
        <f t="shared" si="1"/>
        <v>#DIV/0!</v>
      </c>
      <c r="AY26" s="456"/>
    </row>
    <row r="27" spans="1:51" s="2" customFormat="1" ht="13.8">
      <c r="A27" s="238"/>
      <c r="B27" s="471" t="s">
        <v>25</v>
      </c>
      <c r="C27" s="114"/>
      <c r="D27" s="445"/>
      <c r="E27" s="446">
        <f t="shared" si="2"/>
        <v>0</v>
      </c>
      <c r="F27" s="447" t="e">
        <f t="shared" si="21"/>
        <v>#DIV/0!</v>
      </c>
      <c r="G27" s="452"/>
      <c r="H27" s="452"/>
      <c r="I27" s="453">
        <f t="shared" si="6"/>
        <v>0</v>
      </c>
      <c r="J27" s="450" t="e">
        <f t="shared" si="3"/>
        <v>#DIV/0!</v>
      </c>
      <c r="K27" s="456"/>
      <c r="L27" s="452"/>
      <c r="M27" s="452"/>
      <c r="N27" s="453">
        <f t="shared" si="7"/>
        <v>0</v>
      </c>
      <c r="O27" s="450">
        <f t="shared" si="4"/>
        <v>0</v>
      </c>
      <c r="P27" s="895"/>
      <c r="Q27" s="452"/>
      <c r="R27" s="452"/>
      <c r="S27" s="453">
        <f t="shared" si="8"/>
        <v>0</v>
      </c>
      <c r="T27" s="450" t="e">
        <f t="shared" si="20"/>
        <v>#DIV/0!</v>
      </c>
      <c r="U27" s="458"/>
      <c r="V27" s="452"/>
      <c r="W27" s="452"/>
      <c r="X27" s="453">
        <f t="shared" si="9"/>
        <v>0</v>
      </c>
      <c r="Y27" s="450" t="e">
        <f t="shared" si="10"/>
        <v>#DIV/0!</v>
      </c>
      <c r="Z27" s="458"/>
      <c r="AA27" s="452"/>
      <c r="AB27" s="452"/>
      <c r="AC27" s="453">
        <f t="shared" si="11"/>
        <v>0</v>
      </c>
      <c r="AD27" s="450" t="e">
        <f t="shared" si="12"/>
        <v>#DIV/0!</v>
      </c>
      <c r="AE27" s="730"/>
      <c r="AF27" s="560"/>
      <c r="AG27" s="452"/>
      <c r="AH27" s="453">
        <f t="shared" si="13"/>
        <v>0</v>
      </c>
      <c r="AI27" s="450" t="e">
        <f t="shared" si="14"/>
        <v>#DIV/0!</v>
      </c>
      <c r="AJ27" s="458"/>
      <c r="AK27" s="560"/>
      <c r="AL27" s="452"/>
      <c r="AM27" s="453">
        <f t="shared" si="15"/>
        <v>0</v>
      </c>
      <c r="AN27" s="450" t="e">
        <f t="shared" si="16"/>
        <v>#DIV/0!</v>
      </c>
      <c r="AO27" s="458"/>
      <c r="AP27" s="560"/>
      <c r="AQ27" s="452"/>
      <c r="AR27" s="453">
        <f t="shared" si="17"/>
        <v>0</v>
      </c>
      <c r="AS27" s="450" t="e">
        <f t="shared" si="18"/>
        <v>#DIV/0!</v>
      </c>
      <c r="AT27" s="458"/>
      <c r="AU27" s="452">
        <f t="shared" si="5"/>
        <v>0</v>
      </c>
      <c r="AV27" s="452">
        <f t="shared" si="5"/>
        <v>0</v>
      </c>
      <c r="AW27" s="453">
        <f t="shared" si="19"/>
        <v>0</v>
      </c>
      <c r="AX27" s="450" t="e">
        <f t="shared" si="1"/>
        <v>#DIV/0!</v>
      </c>
      <c r="AY27" s="456"/>
    </row>
    <row r="28" spans="1:51" s="226" customFormat="1" ht="13.8">
      <c r="A28" s="238"/>
      <c r="B28" s="496" t="s">
        <v>52</v>
      </c>
      <c r="C28" s="114"/>
      <c r="D28" s="445"/>
      <c r="E28" s="446">
        <f t="shared" si="2"/>
        <v>0</v>
      </c>
      <c r="F28" s="447" t="e">
        <f t="shared" si="21"/>
        <v>#DIV/0!</v>
      </c>
      <c r="G28" s="452"/>
      <c r="H28" s="452"/>
      <c r="I28" s="453">
        <f t="shared" si="6"/>
        <v>0</v>
      </c>
      <c r="J28" s="450" t="e">
        <f t="shared" si="3"/>
        <v>#DIV/0!</v>
      </c>
      <c r="K28" s="456"/>
      <c r="L28" s="452"/>
      <c r="M28" s="452"/>
      <c r="N28" s="453">
        <f t="shared" si="7"/>
        <v>0</v>
      </c>
      <c r="O28" s="450">
        <f t="shared" si="4"/>
        <v>0</v>
      </c>
      <c r="P28" s="895"/>
      <c r="Q28" s="452"/>
      <c r="R28" s="452"/>
      <c r="S28" s="453">
        <f t="shared" si="8"/>
        <v>0</v>
      </c>
      <c r="T28" s="450" t="e">
        <f t="shared" si="20"/>
        <v>#DIV/0!</v>
      </c>
      <c r="U28" s="458"/>
      <c r="V28" s="452"/>
      <c r="W28" s="452"/>
      <c r="X28" s="453">
        <f t="shared" si="9"/>
        <v>0</v>
      </c>
      <c r="Y28" s="450" t="e">
        <f t="shared" si="10"/>
        <v>#DIV/0!</v>
      </c>
      <c r="Z28" s="458"/>
      <c r="AA28" s="452"/>
      <c r="AB28" s="452"/>
      <c r="AC28" s="453">
        <f t="shared" si="11"/>
        <v>0</v>
      </c>
      <c r="AD28" s="450" t="e">
        <f t="shared" si="12"/>
        <v>#DIV/0!</v>
      </c>
      <c r="AE28" s="730"/>
      <c r="AF28" s="560"/>
      <c r="AG28" s="452"/>
      <c r="AH28" s="453">
        <f t="shared" si="13"/>
        <v>0</v>
      </c>
      <c r="AI28" s="450" t="e">
        <f t="shared" si="14"/>
        <v>#DIV/0!</v>
      </c>
      <c r="AJ28" s="458"/>
      <c r="AK28" s="560"/>
      <c r="AL28" s="452"/>
      <c r="AM28" s="453">
        <f t="shared" si="15"/>
        <v>0</v>
      </c>
      <c r="AN28" s="450" t="e">
        <f t="shared" si="16"/>
        <v>#DIV/0!</v>
      </c>
      <c r="AO28" s="458"/>
      <c r="AP28" s="560"/>
      <c r="AQ28" s="452"/>
      <c r="AR28" s="453">
        <f t="shared" si="17"/>
        <v>0</v>
      </c>
      <c r="AS28" s="450" t="e">
        <f t="shared" si="18"/>
        <v>#DIV/0!</v>
      </c>
      <c r="AT28" s="458"/>
      <c r="AU28" s="452">
        <f t="shared" si="5"/>
        <v>0</v>
      </c>
      <c r="AV28" s="452">
        <f t="shared" si="5"/>
        <v>0</v>
      </c>
      <c r="AW28" s="453">
        <f t="shared" si="19"/>
        <v>0</v>
      </c>
      <c r="AX28" s="450" t="e">
        <f t="shared" si="1"/>
        <v>#DIV/0!</v>
      </c>
      <c r="AY28" s="456"/>
    </row>
    <row r="29" spans="1:51" s="2" customFormat="1" ht="13.8">
      <c r="A29" s="238"/>
      <c r="B29" s="471" t="s">
        <v>31</v>
      </c>
      <c r="C29" s="114"/>
      <c r="D29" s="445"/>
      <c r="E29" s="446">
        <f t="shared" si="2"/>
        <v>0</v>
      </c>
      <c r="F29" s="450" t="e">
        <f t="shared" si="21"/>
        <v>#DIV/0!</v>
      </c>
      <c r="G29" s="452"/>
      <c r="H29" s="452"/>
      <c r="I29" s="453">
        <f t="shared" si="6"/>
        <v>0</v>
      </c>
      <c r="J29" s="450" t="e">
        <f t="shared" si="3"/>
        <v>#DIV/0!</v>
      </c>
      <c r="K29" s="454"/>
      <c r="L29" s="452"/>
      <c r="M29" s="452"/>
      <c r="N29" s="453">
        <f t="shared" si="7"/>
        <v>0</v>
      </c>
      <c r="O29" s="450">
        <f t="shared" si="4"/>
        <v>0</v>
      </c>
      <c r="P29" s="894"/>
      <c r="Q29" s="452"/>
      <c r="R29" s="452"/>
      <c r="S29" s="453">
        <f t="shared" si="8"/>
        <v>0</v>
      </c>
      <c r="T29" s="450" t="e">
        <f t="shared" si="20"/>
        <v>#DIV/0!</v>
      </c>
      <c r="U29" s="458"/>
      <c r="V29" s="452"/>
      <c r="W29" s="452"/>
      <c r="X29" s="453">
        <f t="shared" si="9"/>
        <v>0</v>
      </c>
      <c r="Y29" s="450" t="e">
        <f t="shared" si="10"/>
        <v>#DIV/0!</v>
      </c>
      <c r="Z29" s="458"/>
      <c r="AA29" s="452"/>
      <c r="AB29" s="452"/>
      <c r="AC29" s="453">
        <f t="shared" si="11"/>
        <v>0</v>
      </c>
      <c r="AD29" s="450" t="e">
        <f t="shared" si="12"/>
        <v>#DIV/0!</v>
      </c>
      <c r="AE29" s="730"/>
      <c r="AF29" s="560"/>
      <c r="AG29" s="452"/>
      <c r="AH29" s="453">
        <f t="shared" si="13"/>
        <v>0</v>
      </c>
      <c r="AI29" s="450" t="e">
        <f t="shared" si="14"/>
        <v>#DIV/0!</v>
      </c>
      <c r="AJ29" s="458"/>
      <c r="AK29" s="560"/>
      <c r="AL29" s="452"/>
      <c r="AM29" s="453">
        <f t="shared" si="15"/>
        <v>0</v>
      </c>
      <c r="AN29" s="450" t="e">
        <f t="shared" si="16"/>
        <v>#DIV/0!</v>
      </c>
      <c r="AO29" s="458"/>
      <c r="AP29" s="560"/>
      <c r="AQ29" s="452"/>
      <c r="AR29" s="453">
        <f t="shared" si="17"/>
        <v>0</v>
      </c>
      <c r="AS29" s="450" t="e">
        <f t="shared" si="18"/>
        <v>#DIV/0!</v>
      </c>
      <c r="AT29" s="458"/>
      <c r="AU29" s="452">
        <f t="shared" si="5"/>
        <v>0</v>
      </c>
      <c r="AV29" s="452">
        <f t="shared" si="5"/>
        <v>0</v>
      </c>
      <c r="AW29" s="453">
        <f t="shared" si="19"/>
        <v>0</v>
      </c>
      <c r="AX29" s="450" t="e">
        <f t="shared" si="1"/>
        <v>#DIV/0!</v>
      </c>
      <c r="AY29" s="498"/>
    </row>
    <row r="30" spans="1:51" s="2" customFormat="1" ht="13.8">
      <c r="A30" s="238"/>
      <c r="B30" s="471" t="s">
        <v>62</v>
      </c>
      <c r="C30" s="114"/>
      <c r="D30" s="445"/>
      <c r="E30" s="446">
        <f t="shared" si="2"/>
        <v>0</v>
      </c>
      <c r="F30" s="450" t="e">
        <f t="shared" si="21"/>
        <v>#DIV/0!</v>
      </c>
      <c r="G30" s="452"/>
      <c r="H30" s="452"/>
      <c r="I30" s="453">
        <f t="shared" si="6"/>
        <v>0</v>
      </c>
      <c r="J30" s="450" t="e">
        <f t="shared" si="3"/>
        <v>#DIV/0!</v>
      </c>
      <c r="K30" s="498"/>
      <c r="L30" s="452"/>
      <c r="M30" s="452"/>
      <c r="N30" s="453">
        <f t="shared" si="7"/>
        <v>0</v>
      </c>
      <c r="O30" s="450">
        <f t="shared" si="4"/>
        <v>0</v>
      </c>
      <c r="P30" s="896"/>
      <c r="Q30" s="452"/>
      <c r="R30" s="452"/>
      <c r="S30" s="453">
        <f t="shared" si="8"/>
        <v>0</v>
      </c>
      <c r="T30" s="450" t="e">
        <f t="shared" si="20"/>
        <v>#DIV/0!</v>
      </c>
      <c r="U30" s="458"/>
      <c r="V30" s="452"/>
      <c r="W30" s="452"/>
      <c r="X30" s="453">
        <f t="shared" si="9"/>
        <v>0</v>
      </c>
      <c r="Y30" s="450" t="e">
        <f t="shared" si="10"/>
        <v>#DIV/0!</v>
      </c>
      <c r="Z30" s="458"/>
      <c r="AA30" s="452"/>
      <c r="AB30" s="452"/>
      <c r="AC30" s="453">
        <f t="shared" si="11"/>
        <v>0</v>
      </c>
      <c r="AD30" s="450" t="e">
        <f t="shared" si="12"/>
        <v>#DIV/0!</v>
      </c>
      <c r="AE30" s="730"/>
      <c r="AF30" s="560"/>
      <c r="AG30" s="452"/>
      <c r="AH30" s="453">
        <f t="shared" si="13"/>
        <v>0</v>
      </c>
      <c r="AI30" s="450" t="e">
        <f t="shared" si="14"/>
        <v>#DIV/0!</v>
      </c>
      <c r="AJ30" s="458"/>
      <c r="AK30" s="560"/>
      <c r="AL30" s="452"/>
      <c r="AM30" s="453">
        <f t="shared" si="15"/>
        <v>0</v>
      </c>
      <c r="AN30" s="450" t="e">
        <f t="shared" si="16"/>
        <v>#DIV/0!</v>
      </c>
      <c r="AO30" s="458"/>
      <c r="AP30" s="560"/>
      <c r="AQ30" s="452"/>
      <c r="AR30" s="453">
        <f t="shared" si="17"/>
        <v>0</v>
      </c>
      <c r="AS30" s="450" t="e">
        <f t="shared" si="18"/>
        <v>#DIV/0!</v>
      </c>
      <c r="AT30" s="458"/>
      <c r="AU30" s="452">
        <f t="shared" si="5"/>
        <v>0</v>
      </c>
      <c r="AV30" s="452">
        <f t="shared" si="5"/>
        <v>0</v>
      </c>
      <c r="AW30" s="453">
        <f t="shared" si="19"/>
        <v>0</v>
      </c>
      <c r="AX30" s="450" t="e">
        <f t="shared" si="1"/>
        <v>#DIV/0!</v>
      </c>
      <c r="AY30" s="498"/>
    </row>
    <row r="31" spans="1:51" s="2" customFormat="1" ht="13.8">
      <c r="A31" s="238"/>
      <c r="B31" s="471" t="s">
        <v>34</v>
      </c>
      <c r="C31" s="114"/>
      <c r="D31" s="582"/>
      <c r="E31" s="446">
        <f t="shared" si="2"/>
        <v>0</v>
      </c>
      <c r="F31" s="450" t="e">
        <f t="shared" si="21"/>
        <v>#DIV/0!</v>
      </c>
      <c r="G31" s="452"/>
      <c r="H31" s="452"/>
      <c r="I31" s="453">
        <f t="shared" si="6"/>
        <v>0</v>
      </c>
      <c r="J31" s="450" t="e">
        <f t="shared" si="3"/>
        <v>#DIV/0!</v>
      </c>
      <c r="K31" s="498"/>
      <c r="L31" s="452"/>
      <c r="M31" s="452"/>
      <c r="N31" s="453">
        <f t="shared" si="7"/>
        <v>0</v>
      </c>
      <c r="O31" s="450">
        <f t="shared" si="4"/>
        <v>0</v>
      </c>
      <c r="P31" s="897"/>
      <c r="Q31" s="452"/>
      <c r="R31" s="452"/>
      <c r="S31" s="453">
        <f t="shared" si="8"/>
        <v>0</v>
      </c>
      <c r="T31" s="450" t="e">
        <f t="shared" si="20"/>
        <v>#DIV/0!</v>
      </c>
      <c r="U31" s="458"/>
      <c r="V31" s="452"/>
      <c r="W31" s="452"/>
      <c r="X31" s="453">
        <f t="shared" si="9"/>
        <v>0</v>
      </c>
      <c r="Y31" s="450" t="e">
        <f t="shared" si="10"/>
        <v>#DIV/0!</v>
      </c>
      <c r="Z31" s="458"/>
      <c r="AA31" s="452"/>
      <c r="AB31" s="452"/>
      <c r="AC31" s="453">
        <f t="shared" si="11"/>
        <v>0</v>
      </c>
      <c r="AD31" s="450" t="e">
        <f t="shared" si="12"/>
        <v>#DIV/0!</v>
      </c>
      <c r="AE31" s="730"/>
      <c r="AF31" s="560"/>
      <c r="AG31" s="452"/>
      <c r="AH31" s="453">
        <f t="shared" si="13"/>
        <v>0</v>
      </c>
      <c r="AI31" s="450" t="e">
        <f t="shared" si="14"/>
        <v>#DIV/0!</v>
      </c>
      <c r="AJ31" s="458"/>
      <c r="AK31" s="560"/>
      <c r="AL31" s="452"/>
      <c r="AM31" s="453">
        <f t="shared" si="15"/>
        <v>0</v>
      </c>
      <c r="AN31" s="450" t="e">
        <f t="shared" si="16"/>
        <v>#DIV/0!</v>
      </c>
      <c r="AO31" s="458"/>
      <c r="AP31" s="560"/>
      <c r="AQ31" s="452"/>
      <c r="AR31" s="453">
        <f t="shared" si="17"/>
        <v>0</v>
      </c>
      <c r="AS31" s="450" t="e">
        <f t="shared" si="18"/>
        <v>#DIV/0!</v>
      </c>
      <c r="AT31" s="458"/>
      <c r="AU31" s="452">
        <f t="shared" si="5"/>
        <v>0</v>
      </c>
      <c r="AV31" s="452">
        <f t="shared" si="5"/>
        <v>0</v>
      </c>
      <c r="AW31" s="453">
        <f t="shared" si="19"/>
        <v>0</v>
      </c>
      <c r="AX31" s="450" t="e">
        <f t="shared" si="1"/>
        <v>#DIV/0!</v>
      </c>
      <c r="AY31" s="498"/>
    </row>
    <row r="32" spans="1:51" s="2" customFormat="1" ht="13.8">
      <c r="A32" s="238"/>
      <c r="B32" s="501" t="s">
        <v>2</v>
      </c>
      <c r="C32" s="115"/>
      <c r="D32" s="116"/>
      <c r="E32" s="446">
        <f t="shared" si="2"/>
        <v>0</v>
      </c>
      <c r="F32" s="450" t="e">
        <f t="shared" si="21"/>
        <v>#DIV/0!</v>
      </c>
      <c r="G32" s="452"/>
      <c r="H32" s="452"/>
      <c r="I32" s="453">
        <f t="shared" si="6"/>
        <v>0</v>
      </c>
      <c r="J32" s="450" t="e">
        <f t="shared" si="3"/>
        <v>#DIV/0!</v>
      </c>
      <c r="K32" s="498"/>
      <c r="L32" s="452"/>
      <c r="M32" s="452"/>
      <c r="N32" s="453">
        <f t="shared" si="7"/>
        <v>0</v>
      </c>
      <c r="O32" s="450">
        <f t="shared" si="4"/>
        <v>0</v>
      </c>
      <c r="P32" s="896"/>
      <c r="Q32" s="452"/>
      <c r="R32" s="452"/>
      <c r="S32" s="453">
        <f t="shared" si="8"/>
        <v>0</v>
      </c>
      <c r="T32" s="450" t="e">
        <f t="shared" si="20"/>
        <v>#DIV/0!</v>
      </c>
      <c r="U32" s="503"/>
      <c r="V32" s="452"/>
      <c r="W32" s="452"/>
      <c r="X32" s="453">
        <f t="shared" si="9"/>
        <v>0</v>
      </c>
      <c r="Y32" s="450" t="e">
        <f t="shared" si="10"/>
        <v>#DIV/0!</v>
      </c>
      <c r="Z32" s="503"/>
      <c r="AA32" s="452"/>
      <c r="AB32" s="452"/>
      <c r="AC32" s="453">
        <f t="shared" si="11"/>
        <v>0</v>
      </c>
      <c r="AD32" s="450" t="e">
        <f t="shared" si="12"/>
        <v>#DIV/0!</v>
      </c>
      <c r="AE32" s="731"/>
      <c r="AF32" s="560"/>
      <c r="AG32" s="452"/>
      <c r="AH32" s="453">
        <f t="shared" si="13"/>
        <v>0</v>
      </c>
      <c r="AI32" s="450" t="e">
        <f t="shared" si="14"/>
        <v>#DIV/0!</v>
      </c>
      <c r="AJ32" s="503"/>
      <c r="AK32" s="560"/>
      <c r="AL32" s="452"/>
      <c r="AM32" s="453">
        <f t="shared" si="15"/>
        <v>0</v>
      </c>
      <c r="AN32" s="450" t="e">
        <f t="shared" si="16"/>
        <v>#DIV/0!</v>
      </c>
      <c r="AO32" s="503"/>
      <c r="AP32" s="560"/>
      <c r="AQ32" s="452"/>
      <c r="AR32" s="453">
        <f t="shared" si="17"/>
        <v>0</v>
      </c>
      <c r="AS32" s="450" t="e">
        <f t="shared" si="18"/>
        <v>#DIV/0!</v>
      </c>
      <c r="AT32" s="503"/>
      <c r="AU32" s="452">
        <f t="shared" si="5"/>
        <v>0</v>
      </c>
      <c r="AV32" s="452">
        <f t="shared" si="5"/>
        <v>0</v>
      </c>
      <c r="AW32" s="453">
        <f t="shared" si="19"/>
        <v>0</v>
      </c>
      <c r="AX32" s="450" t="e">
        <f t="shared" si="1"/>
        <v>#DIV/0!</v>
      </c>
      <c r="AY32" s="498"/>
    </row>
    <row r="33" spans="1:51" s="2" customFormat="1" ht="14.4" thickBot="1">
      <c r="A33" s="238"/>
      <c r="B33" s="504" t="s">
        <v>75</v>
      </c>
      <c r="C33" s="505"/>
      <c r="D33" s="506"/>
      <c r="E33" s="507">
        <f t="shared" si="2"/>
        <v>0</v>
      </c>
      <c r="F33" s="508" t="e">
        <f t="shared" si="21"/>
        <v>#DIV/0!</v>
      </c>
      <c r="G33" s="512"/>
      <c r="H33" s="512"/>
      <c r="I33" s="513">
        <f t="shared" si="6"/>
        <v>0</v>
      </c>
      <c r="J33" s="508" t="e">
        <f t="shared" si="3"/>
        <v>#DIV/0!</v>
      </c>
      <c r="K33" s="514"/>
      <c r="L33" s="512"/>
      <c r="M33" s="512">
        <v>49400</v>
      </c>
      <c r="N33" s="513">
        <f t="shared" si="7"/>
        <v>49400</v>
      </c>
      <c r="O33" s="508">
        <f t="shared" si="4"/>
        <v>0.88500000087501896</v>
      </c>
      <c r="P33" s="898" t="s">
        <v>941</v>
      </c>
      <c r="Q33" s="512"/>
      <c r="R33" s="512"/>
      <c r="S33" s="513">
        <f t="shared" si="8"/>
        <v>0</v>
      </c>
      <c r="T33" s="508" t="e">
        <f t="shared" si="20"/>
        <v>#DIV/0!</v>
      </c>
      <c r="U33" s="515"/>
      <c r="V33" s="512"/>
      <c r="W33" s="512"/>
      <c r="X33" s="513">
        <f t="shared" si="9"/>
        <v>0</v>
      </c>
      <c r="Y33" s="508" t="e">
        <f t="shared" si="10"/>
        <v>#DIV/0!</v>
      </c>
      <c r="Z33" s="515"/>
      <c r="AA33" s="512"/>
      <c r="AB33" s="512"/>
      <c r="AC33" s="513">
        <f t="shared" si="11"/>
        <v>0</v>
      </c>
      <c r="AD33" s="508" t="e">
        <f t="shared" si="12"/>
        <v>#DIV/0!</v>
      </c>
      <c r="AE33" s="804"/>
      <c r="AF33" s="600"/>
      <c r="AG33" s="512"/>
      <c r="AH33" s="513">
        <f t="shared" si="13"/>
        <v>0</v>
      </c>
      <c r="AI33" s="508" t="e">
        <f t="shared" si="14"/>
        <v>#DIV/0!</v>
      </c>
      <c r="AJ33" s="515"/>
      <c r="AK33" s="600"/>
      <c r="AL33" s="512"/>
      <c r="AM33" s="513">
        <f t="shared" si="15"/>
        <v>0</v>
      </c>
      <c r="AN33" s="508" t="e">
        <f t="shared" si="16"/>
        <v>#DIV/0!</v>
      </c>
      <c r="AO33" s="515"/>
      <c r="AP33" s="600"/>
      <c r="AQ33" s="512"/>
      <c r="AR33" s="513">
        <f t="shared" si="17"/>
        <v>0</v>
      </c>
      <c r="AS33" s="508" t="e">
        <f t="shared" si="18"/>
        <v>#DIV/0!</v>
      </c>
      <c r="AT33" s="515"/>
      <c r="AU33" s="512">
        <f t="shared" si="5"/>
        <v>0</v>
      </c>
      <c r="AV33" s="512">
        <f t="shared" si="5"/>
        <v>49400</v>
      </c>
      <c r="AW33" s="513">
        <f t="shared" si="19"/>
        <v>49400</v>
      </c>
      <c r="AX33" s="508" t="e">
        <f t="shared" si="1"/>
        <v>#DIV/0!</v>
      </c>
      <c r="AY33" s="514"/>
    </row>
    <row r="34" spans="1:51" s="2" customFormat="1" ht="13.8">
      <c r="A34" s="238"/>
      <c r="B34" s="473"/>
      <c r="C34" s="474"/>
      <c r="D34" s="475"/>
      <c r="E34" s="476"/>
      <c r="F34" s="477"/>
      <c r="G34" s="452"/>
      <c r="H34" s="452"/>
      <c r="I34" s="476"/>
      <c r="J34" s="476"/>
      <c r="K34" s="476"/>
      <c r="L34" s="452"/>
      <c r="M34" s="452"/>
      <c r="N34" s="476"/>
      <c r="O34" s="476"/>
      <c r="P34" s="476"/>
      <c r="Q34" s="452"/>
      <c r="R34" s="452"/>
      <c r="S34" s="476"/>
      <c r="T34" s="476"/>
      <c r="U34" s="476"/>
      <c r="V34" s="452"/>
      <c r="W34" s="452"/>
      <c r="X34" s="476"/>
      <c r="Y34" s="476"/>
      <c r="Z34" s="476"/>
      <c r="AA34" s="452"/>
      <c r="AB34" s="452"/>
      <c r="AC34" s="476"/>
      <c r="AD34" s="476"/>
      <c r="AE34" s="764"/>
      <c r="AF34" s="560"/>
      <c r="AG34" s="452"/>
      <c r="AH34" s="476"/>
      <c r="AI34" s="476"/>
      <c r="AJ34" s="476"/>
      <c r="AK34" s="560"/>
      <c r="AL34" s="452"/>
      <c r="AM34" s="476"/>
      <c r="AN34" s="476"/>
      <c r="AO34" s="476"/>
      <c r="AP34" s="560"/>
      <c r="AQ34" s="452"/>
      <c r="AR34" s="476"/>
      <c r="AS34" s="476"/>
      <c r="AT34" s="476"/>
      <c r="AU34" s="452"/>
      <c r="AV34" s="452"/>
      <c r="AW34" s="476"/>
      <c r="AX34" s="476"/>
      <c r="AY34" s="476"/>
    </row>
    <row r="35" spans="1:51" s="88" customFormat="1" ht="13.8">
      <c r="A35" s="238"/>
      <c r="B35" s="89" t="s">
        <v>80</v>
      </c>
      <c r="C35" s="90">
        <f>C36</f>
        <v>0</v>
      </c>
      <c r="D35" s="90">
        <f>D36</f>
        <v>0</v>
      </c>
      <c r="E35" s="91">
        <f>E36</f>
        <v>0</v>
      </c>
      <c r="F35" s="165" t="e">
        <f>E35/$E$89</f>
        <v>#DIV/0!</v>
      </c>
      <c r="G35" s="90">
        <f>G36</f>
        <v>0</v>
      </c>
      <c r="H35" s="90">
        <f>H36</f>
        <v>0</v>
      </c>
      <c r="I35" s="91">
        <f>I36</f>
        <v>0</v>
      </c>
      <c r="J35" s="91" t="e">
        <f t="shared" si="3"/>
        <v>#DIV/0!</v>
      </c>
      <c r="K35" s="91"/>
      <c r="L35" s="90">
        <f>L36</f>
        <v>0</v>
      </c>
      <c r="M35" s="90">
        <f>M36</f>
        <v>0</v>
      </c>
      <c r="N35" s="91">
        <f>N36</f>
        <v>0</v>
      </c>
      <c r="O35" s="91"/>
      <c r="P35" s="404"/>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634"/>
      <c r="AF35" s="536">
        <f>AF36</f>
        <v>0</v>
      </c>
      <c r="AG35" s="536">
        <f>AG36</f>
        <v>0</v>
      </c>
      <c r="AH35" s="658">
        <f>AH36</f>
        <v>0</v>
      </c>
      <c r="AI35" s="658"/>
      <c r="AJ35" s="659"/>
      <c r="AK35" s="536">
        <f>AK36</f>
        <v>0</v>
      </c>
      <c r="AL35" s="536">
        <f>AL36</f>
        <v>0</v>
      </c>
      <c r="AM35" s="658">
        <f>AM36</f>
        <v>0</v>
      </c>
      <c r="AN35" s="658"/>
      <c r="AO35" s="659"/>
      <c r="AP35" s="536">
        <f>AP36</f>
        <v>0</v>
      </c>
      <c r="AQ35" s="536">
        <f>AQ36</f>
        <v>0</v>
      </c>
      <c r="AR35" s="658">
        <f>AR36</f>
        <v>0</v>
      </c>
      <c r="AS35" s="658"/>
      <c r="AT35" s="659"/>
      <c r="AU35" s="90">
        <f>AU36</f>
        <v>0</v>
      </c>
      <c r="AV35" s="90">
        <f>AV36</f>
        <v>0</v>
      </c>
      <c r="AW35" s="91">
        <f>AW36</f>
        <v>0</v>
      </c>
      <c r="AX35" s="91"/>
      <c r="AY35" s="91"/>
    </row>
    <row r="36" spans="1:51" s="226" customFormat="1" ht="13.8">
      <c r="A36" s="238"/>
      <c r="B36" s="19" t="s">
        <v>81</v>
      </c>
      <c r="C36" s="43"/>
      <c r="D36" s="49"/>
      <c r="E36" s="106">
        <f>C36+D36</f>
        <v>0</v>
      </c>
      <c r="F36" s="178" t="e">
        <f>E36/$E$89</f>
        <v>#DIV/0!</v>
      </c>
      <c r="G36" s="39"/>
      <c r="H36" s="39"/>
      <c r="I36" s="106">
        <f>G36+H36*1</f>
        <v>0</v>
      </c>
      <c r="J36" s="178" t="e">
        <f t="shared" si="3"/>
        <v>#DIV/0!</v>
      </c>
      <c r="K36" s="45"/>
      <c r="L36" s="39"/>
      <c r="M36" s="39"/>
      <c r="N36" s="106">
        <f>L36+M36*1</f>
        <v>0</v>
      </c>
      <c r="O36" s="178">
        <f>N36/$N$89</f>
        <v>0</v>
      </c>
      <c r="P36" s="405"/>
      <c r="Q36" s="39"/>
      <c r="R36" s="39"/>
      <c r="S36" s="106">
        <f>Q36+R36*1</f>
        <v>0</v>
      </c>
      <c r="T36" s="178" t="e">
        <f>S36/$S$89</f>
        <v>#DIV/0!</v>
      </c>
      <c r="U36" s="405"/>
      <c r="V36" s="39"/>
      <c r="W36" s="39"/>
      <c r="X36" s="106">
        <f>V36+W36*1</f>
        <v>0</v>
      </c>
      <c r="Y36" s="178" t="e">
        <f>X36/$S$89</f>
        <v>#DIV/0!</v>
      </c>
      <c r="Z36" s="405"/>
      <c r="AA36" s="39"/>
      <c r="AB36" s="39"/>
      <c r="AC36" s="106">
        <f>AA36+AB36*1</f>
        <v>0</v>
      </c>
      <c r="AD36" s="178" t="e">
        <f>AC36/$S$89</f>
        <v>#DIV/0!</v>
      </c>
      <c r="AE36" s="732"/>
      <c r="AF36" s="560"/>
      <c r="AG36" s="452"/>
      <c r="AH36" s="446">
        <f>AF36+AG36*1</f>
        <v>0</v>
      </c>
      <c r="AI36" s="450" t="e">
        <f>AH36/$AH$89</f>
        <v>#DIV/0!</v>
      </c>
      <c r="AJ36" s="745"/>
      <c r="AK36" s="560"/>
      <c r="AL36" s="452"/>
      <c r="AM36" s="446">
        <f>AK36+AL36*1</f>
        <v>0</v>
      </c>
      <c r="AN36" s="450" t="e">
        <f>AM36/$AH$89</f>
        <v>#DIV/0!</v>
      </c>
      <c r="AO36" s="745"/>
      <c r="AP36" s="560"/>
      <c r="AQ36" s="452"/>
      <c r="AR36" s="446">
        <f>AP36+AQ36*1</f>
        <v>0</v>
      </c>
      <c r="AS36" s="450" t="e">
        <f>AR36/$AH$89</f>
        <v>#DIV/0!</v>
      </c>
      <c r="AT36" s="745"/>
      <c r="AU36" s="39">
        <f>G36+L36+Q36+V36+AA36+AF36+AK36+AP36</f>
        <v>0</v>
      </c>
      <c r="AV36" s="39">
        <f>H36+M36+R36+W36+AB36+AG36+AL36+AQ36</f>
        <v>0</v>
      </c>
      <c r="AW36" s="106">
        <f>AU36+AV36*1</f>
        <v>0</v>
      </c>
      <c r="AX36" s="178" t="e">
        <f>AW36/$AW$89</f>
        <v>#DIV/0!</v>
      </c>
      <c r="AY36" s="45"/>
    </row>
    <row r="37" spans="1:51" s="2" customFormat="1" ht="14.4" thickBot="1">
      <c r="A37" s="4"/>
      <c r="B37" s="14"/>
      <c r="C37" s="50"/>
      <c r="D37" s="51"/>
      <c r="E37" s="52"/>
      <c r="F37" s="181"/>
      <c r="G37" s="39"/>
      <c r="H37" s="39"/>
      <c r="I37" s="52"/>
      <c r="J37" s="52"/>
      <c r="K37" s="52"/>
      <c r="L37" s="39"/>
      <c r="M37" s="39"/>
      <c r="N37" s="52"/>
      <c r="O37" s="52"/>
      <c r="P37" s="64"/>
      <c r="Q37" s="39"/>
      <c r="R37" s="39"/>
      <c r="S37" s="52"/>
      <c r="T37" s="52"/>
      <c r="U37" s="64"/>
      <c r="V37" s="39"/>
      <c r="W37" s="39"/>
      <c r="X37" s="52"/>
      <c r="Y37" s="52"/>
      <c r="Z37" s="64"/>
      <c r="AA37" s="39"/>
      <c r="AB37" s="39"/>
      <c r="AC37" s="52"/>
      <c r="AD37" s="52"/>
      <c r="AE37" s="603"/>
      <c r="AF37" s="560"/>
      <c r="AG37" s="452"/>
      <c r="AH37" s="606"/>
      <c r="AI37" s="606"/>
      <c r="AJ37" s="588"/>
      <c r="AK37" s="560"/>
      <c r="AL37" s="452"/>
      <c r="AM37" s="606"/>
      <c r="AN37" s="606"/>
      <c r="AO37" s="588"/>
      <c r="AP37" s="560"/>
      <c r="AQ37" s="452"/>
      <c r="AR37" s="606"/>
      <c r="AS37" s="606"/>
      <c r="AT37" s="588"/>
      <c r="AU37" s="39"/>
      <c r="AV37" s="39"/>
      <c r="AW37" s="52"/>
      <c r="AX37" s="52"/>
      <c r="AY37" s="52"/>
    </row>
    <row r="38" spans="1:51" ht="14.4" thickBot="1">
      <c r="A38" s="33"/>
      <c r="B38" s="34" t="s">
        <v>46</v>
      </c>
      <c r="C38" s="53">
        <f>(C5)-(C8)</f>
        <v>0</v>
      </c>
      <c r="D38" s="53">
        <f>(D5)-(D8)</f>
        <v>0</v>
      </c>
      <c r="E38" s="53">
        <f>(E5)-(E8)</f>
        <v>0</v>
      </c>
      <c r="F38" s="166"/>
      <c r="G38" s="53">
        <f>(G5)-(G8)</f>
        <v>0</v>
      </c>
      <c r="H38" s="53">
        <f>(H5)-(H8)</f>
        <v>0</v>
      </c>
      <c r="I38" s="53">
        <f>(I5)-(I8)</f>
        <v>0</v>
      </c>
      <c r="J38" s="53" t="e">
        <f t="shared" si="3"/>
        <v>#DIV/0!</v>
      </c>
      <c r="K38" s="53"/>
      <c r="L38" s="53">
        <f>(L5)-(L8)</f>
        <v>370000</v>
      </c>
      <c r="M38" s="53">
        <f>(M5)-(M8)</f>
        <v>-49400</v>
      </c>
      <c r="N38" s="53">
        <f>(N5)-(N8)</f>
        <v>320600</v>
      </c>
      <c r="O38" s="53"/>
      <c r="P38" s="406"/>
      <c r="Q38" s="53">
        <f>(Q5)-(Q8)</f>
        <v>0</v>
      </c>
      <c r="R38" s="53">
        <f>(R5)-(R8)</f>
        <v>0</v>
      </c>
      <c r="S38" s="53">
        <f>(S5)-(S8)</f>
        <v>0</v>
      </c>
      <c r="T38" s="53"/>
      <c r="U38" s="406"/>
      <c r="V38" s="53">
        <f>(V5)-(V8)</f>
        <v>0</v>
      </c>
      <c r="W38" s="53">
        <f>(W5)-(W8)</f>
        <v>0</v>
      </c>
      <c r="X38" s="53">
        <f>(X5)-(X8)</f>
        <v>0</v>
      </c>
      <c r="Y38" s="53"/>
      <c r="Z38" s="406"/>
      <c r="AA38" s="53">
        <f>(AA5)-(AA8)</f>
        <v>0</v>
      </c>
      <c r="AB38" s="53">
        <f>(AB5)-(AB8)</f>
        <v>0</v>
      </c>
      <c r="AC38" s="53">
        <f>(AC5)-(AC8)</f>
        <v>0</v>
      </c>
      <c r="AD38" s="53"/>
      <c r="AE38" s="733"/>
      <c r="AF38" s="648">
        <f>(AF5)-(AF8)</f>
        <v>0</v>
      </c>
      <c r="AG38" s="648">
        <f>(AG5)-(AG8)</f>
        <v>0</v>
      </c>
      <c r="AH38" s="648">
        <f>(AH5)-(AH8)</f>
        <v>0</v>
      </c>
      <c r="AI38" s="648"/>
      <c r="AJ38" s="636"/>
      <c r="AK38" s="648">
        <f>(AK5)-(AK8)</f>
        <v>0</v>
      </c>
      <c r="AL38" s="648">
        <f>(AL5)-(AL8)</f>
        <v>0</v>
      </c>
      <c r="AM38" s="648">
        <f>(AM5)-(AM8)</f>
        <v>0</v>
      </c>
      <c r="AN38" s="648"/>
      <c r="AO38" s="636"/>
      <c r="AP38" s="648">
        <f>(AP5)-(AP8)</f>
        <v>-120000</v>
      </c>
      <c r="AQ38" s="648">
        <f>(AQ5)-(AQ8)</f>
        <v>0</v>
      </c>
      <c r="AR38" s="648">
        <f>(AR5)-(AR8)</f>
        <v>-120000</v>
      </c>
      <c r="AS38" s="648"/>
      <c r="AT38" s="636"/>
      <c r="AU38" s="53">
        <f>(AU5)-(AU8)</f>
        <v>250000</v>
      </c>
      <c r="AV38" s="53">
        <f>(AV5)-(AV8)</f>
        <v>-49400</v>
      </c>
      <c r="AW38" s="53">
        <f>(AW5)-(AW8)</f>
        <v>200600</v>
      </c>
      <c r="AX38" s="53"/>
      <c r="AY38" s="53"/>
    </row>
    <row r="39" spans="1:51" ht="13.8">
      <c r="A39" s="293"/>
      <c r="B39" s="15" t="s">
        <v>47</v>
      </c>
      <c r="C39" s="157" t="e">
        <f>C38/(C5)</f>
        <v>#DIV/0!</v>
      </c>
      <c r="D39" s="157" t="e">
        <f>D38/(D5)</f>
        <v>#DIV/0!</v>
      </c>
      <c r="E39" s="158" t="e">
        <f>E38/(E5)</f>
        <v>#DIV/0!</v>
      </c>
      <c r="F39" s="167"/>
      <c r="G39" s="54" t="e">
        <f>G38/(G5)</f>
        <v>#DIV/0!</v>
      </c>
      <c r="H39" s="54" t="e">
        <f>H38/(H5)</f>
        <v>#DIV/0!</v>
      </c>
      <c r="I39" s="55" t="e">
        <f>I38/(I5)</f>
        <v>#DIV/0!</v>
      </c>
      <c r="J39" s="55" t="e">
        <f t="shared" si="3"/>
        <v>#DIV/0!</v>
      </c>
      <c r="K39" s="55"/>
      <c r="L39" s="54">
        <f>L38/(L5)</f>
        <v>1</v>
      </c>
      <c r="M39" s="54" t="e">
        <f>M38/(M5)</f>
        <v>#DIV/0!</v>
      </c>
      <c r="N39" s="55">
        <f>N38/(N5)</f>
        <v>0.86648648648648652</v>
      </c>
      <c r="O39" s="55"/>
      <c r="P39" s="407"/>
      <c r="Q39" s="54" t="e">
        <f>Q38/(Q5)</f>
        <v>#DIV/0!</v>
      </c>
      <c r="R39" s="54" t="e">
        <f>R38/(R5)</f>
        <v>#DIV/0!</v>
      </c>
      <c r="S39" s="55" t="e">
        <f>S38/(S5)</f>
        <v>#DIV/0!</v>
      </c>
      <c r="T39" s="55"/>
      <c r="U39" s="407"/>
      <c r="V39" s="54" t="e">
        <f>V38/(V5)</f>
        <v>#DIV/0!</v>
      </c>
      <c r="W39" s="54" t="e">
        <f>W38/(W5)</f>
        <v>#DIV/0!</v>
      </c>
      <c r="X39" s="55" t="e">
        <f>X38/(X5)</f>
        <v>#DIV/0!</v>
      </c>
      <c r="Y39" s="55"/>
      <c r="Z39" s="407"/>
      <c r="AA39" s="54" t="e">
        <f>AA38/(AA5)</f>
        <v>#DIV/0!</v>
      </c>
      <c r="AB39" s="54" t="e">
        <f>AB38/(AB5)</f>
        <v>#DIV/0!</v>
      </c>
      <c r="AC39" s="55" t="e">
        <f>AC38/(AC5)</f>
        <v>#DIV/0!</v>
      </c>
      <c r="AD39" s="55"/>
      <c r="AE39" s="716"/>
      <c r="AF39" s="639" t="e">
        <f>AF38/(AF5)</f>
        <v>#DIV/0!</v>
      </c>
      <c r="AG39" s="639" t="e">
        <f>AG38/(AG5)</f>
        <v>#DIV/0!</v>
      </c>
      <c r="AH39" s="660" t="e">
        <f>AH38/(AH5)</f>
        <v>#DIV/0!</v>
      </c>
      <c r="AI39" s="660"/>
      <c r="AJ39" s="661"/>
      <c r="AK39" s="639" t="e">
        <f>AK38/(AK5)</f>
        <v>#DIV/0!</v>
      </c>
      <c r="AL39" s="639" t="e">
        <f>AL38/(AL5)</f>
        <v>#DIV/0!</v>
      </c>
      <c r="AM39" s="660" t="e">
        <f>AM38/(AM5)</f>
        <v>#DIV/0!</v>
      </c>
      <c r="AN39" s="660"/>
      <c r="AO39" s="661"/>
      <c r="AP39" s="639" t="e">
        <f>AP38/(AP5)</f>
        <v>#DIV/0!</v>
      </c>
      <c r="AQ39" s="639" t="e">
        <f>AQ38/(AQ5)</f>
        <v>#DIV/0!</v>
      </c>
      <c r="AR39" s="660" t="e">
        <f>AR38/(AR5)</f>
        <v>#DIV/0!</v>
      </c>
      <c r="AS39" s="660"/>
      <c r="AT39" s="661"/>
      <c r="AU39" s="54">
        <f>AU38/(AU5)</f>
        <v>0.67567567567567566</v>
      </c>
      <c r="AV39" s="54" t="e">
        <f>AV38/(AV5)</f>
        <v>#DIV/0!</v>
      </c>
      <c r="AW39" s="55">
        <f>AW38/(AW5)</f>
        <v>0.54216216216216218</v>
      </c>
      <c r="AX39" s="55"/>
      <c r="AY39" s="55"/>
    </row>
    <row r="40" spans="1:51" ht="14.4" thickBot="1">
      <c r="A40" s="295"/>
      <c r="B40" s="16"/>
      <c r="C40" s="56"/>
      <c r="D40" s="57"/>
      <c r="E40" s="58"/>
      <c r="F40" s="168"/>
      <c r="G40" s="58"/>
      <c r="H40" s="58"/>
      <c r="I40" s="58"/>
      <c r="J40" s="58" t="e">
        <f t="shared" si="3"/>
        <v>#DIV/0!</v>
      </c>
      <c r="K40" s="58"/>
      <c r="L40" s="58"/>
      <c r="M40" s="58"/>
      <c r="N40" s="58"/>
      <c r="O40" s="58"/>
      <c r="P40" s="408"/>
      <c r="Q40" s="58"/>
      <c r="R40" s="58"/>
      <c r="S40" s="58"/>
      <c r="T40" s="58"/>
      <c r="U40" s="408"/>
      <c r="V40" s="58"/>
      <c r="W40" s="58"/>
      <c r="X40" s="58"/>
      <c r="Y40" s="58"/>
      <c r="Z40" s="408"/>
      <c r="AA40" s="58"/>
      <c r="AB40" s="58"/>
      <c r="AC40" s="58"/>
      <c r="AD40" s="58"/>
      <c r="AE40" s="734"/>
      <c r="AF40" s="662"/>
      <c r="AG40" s="649"/>
      <c r="AH40" s="649"/>
      <c r="AI40" s="649"/>
      <c r="AJ40" s="637"/>
      <c r="AK40" s="662"/>
      <c r="AL40" s="649"/>
      <c r="AM40" s="649"/>
      <c r="AN40" s="649"/>
      <c r="AO40" s="637"/>
      <c r="AP40" s="662"/>
      <c r="AQ40" s="649"/>
      <c r="AR40" s="649"/>
      <c r="AS40" s="649"/>
      <c r="AT40" s="637"/>
      <c r="AU40" s="58"/>
      <c r="AV40" s="58"/>
      <c r="AW40" s="58"/>
      <c r="AX40" s="58"/>
      <c r="AY40" s="58"/>
    </row>
    <row r="41" spans="1:51" ht="13.8">
      <c r="A41" s="11"/>
      <c r="B41" s="22" t="s">
        <v>26</v>
      </c>
      <c r="C41" s="117">
        <f>SUM(C42:C48)</f>
        <v>0</v>
      </c>
      <c r="D41" s="117">
        <f>SUM(D42:D48)</f>
        <v>0</v>
      </c>
      <c r="E41" s="118">
        <f>SUM(E42:E48)</f>
        <v>0</v>
      </c>
      <c r="F41" s="169" t="e">
        <f t="shared" ref="F41:F48" si="22">E41/$E$89</f>
        <v>#DIV/0!</v>
      </c>
      <c r="G41" s="117">
        <f>SUM(G42:G48)</f>
        <v>0</v>
      </c>
      <c r="H41" s="117">
        <f>SUM(H42:H48)</f>
        <v>0</v>
      </c>
      <c r="I41" s="118">
        <f>SUM(I42:I48)</f>
        <v>0</v>
      </c>
      <c r="J41" s="169" t="e">
        <f t="shared" si="3"/>
        <v>#DIV/0!</v>
      </c>
      <c r="K41" s="60"/>
      <c r="L41" s="117">
        <f>SUM(L42:L48)</f>
        <v>0</v>
      </c>
      <c r="M41" s="117">
        <f>SUM(M42:M48)</f>
        <v>0</v>
      </c>
      <c r="N41" s="118">
        <f>SUM(N42:N48)</f>
        <v>0</v>
      </c>
      <c r="O41" s="169">
        <f t="shared" ref="O41:O49" si="23">N41/$N$89</f>
        <v>0</v>
      </c>
      <c r="P41" s="409"/>
      <c r="Q41" s="117">
        <f>SUM(Q42:Q48)</f>
        <v>0</v>
      </c>
      <c r="R41" s="117">
        <f>SUM(R42:R48)</f>
        <v>0</v>
      </c>
      <c r="S41" s="118">
        <f>SUM(S42:S48)</f>
        <v>0</v>
      </c>
      <c r="T41" s="169" t="e">
        <f>S41/$S$89</f>
        <v>#DIV/0!</v>
      </c>
      <c r="U41" s="409"/>
      <c r="V41" s="117">
        <f>SUM(V42:V48)</f>
        <v>0</v>
      </c>
      <c r="W41" s="117">
        <f>SUM(W42:W48)</f>
        <v>0</v>
      </c>
      <c r="X41" s="118">
        <f>SUM(X42:X48)</f>
        <v>0</v>
      </c>
      <c r="Y41" s="169" t="e">
        <f>X41/$S$89</f>
        <v>#DIV/0!</v>
      </c>
      <c r="Z41" s="409"/>
      <c r="AA41" s="117">
        <f>SUM(AA42:AA48)</f>
        <v>0</v>
      </c>
      <c r="AB41" s="117">
        <f>SUM(AB42:AB48)</f>
        <v>0</v>
      </c>
      <c r="AC41" s="118">
        <f>SUM(AC42:AC48)</f>
        <v>0</v>
      </c>
      <c r="AD41" s="169" t="e">
        <f t="shared" ref="AD41:AD52" si="24">AC41/$AC$89</f>
        <v>#DIV/0!</v>
      </c>
      <c r="AE41" s="591"/>
      <c r="AF41" s="547">
        <f>SUM(AF42:AF48)</f>
        <v>0</v>
      </c>
      <c r="AG41" s="547">
        <f>SUM(AG42:AG48)</f>
        <v>0</v>
      </c>
      <c r="AH41" s="663">
        <f>SUM(AH42:AH48)</f>
        <v>0</v>
      </c>
      <c r="AI41" s="664" t="e">
        <f t="shared" ref="AI41:AI52" si="25">AH41/$AH$89</f>
        <v>#DIV/0!</v>
      </c>
      <c r="AJ41" s="665"/>
      <c r="AK41" s="547">
        <f>SUM(AK42:AK48)</f>
        <v>0</v>
      </c>
      <c r="AL41" s="547">
        <f>SUM(AL42:AL48)</f>
        <v>0</v>
      </c>
      <c r="AM41" s="663">
        <f>SUM(AM42:AM48)</f>
        <v>0</v>
      </c>
      <c r="AN41" s="664" t="e">
        <f t="shared" ref="AN41:AN52" si="26">AM41/$AH$89</f>
        <v>#DIV/0!</v>
      </c>
      <c r="AO41" s="665"/>
      <c r="AP41" s="547">
        <f>SUM(AP42:AP48)</f>
        <v>0</v>
      </c>
      <c r="AQ41" s="547">
        <f>SUM(AQ42:AQ48)</f>
        <v>0</v>
      </c>
      <c r="AR41" s="663">
        <f>SUM(AR42:AR48)</f>
        <v>0</v>
      </c>
      <c r="AS41" s="664" t="e">
        <f t="shared" ref="AS41:AS52" si="27">AR41/$AH$89</f>
        <v>#DIV/0!</v>
      </c>
      <c r="AT41" s="665"/>
      <c r="AU41" s="117">
        <f>SUM(AU42:AU48)</f>
        <v>0</v>
      </c>
      <c r="AV41" s="117">
        <f>SUM(AV42:AV48)</f>
        <v>0</v>
      </c>
      <c r="AW41" s="118">
        <f>SUM(AW42:AW48)</f>
        <v>0</v>
      </c>
      <c r="AX41" s="169" t="e">
        <f>AW41/$AW$89</f>
        <v>#DIV/0!</v>
      </c>
      <c r="AY41" s="60"/>
    </row>
    <row r="42" spans="1:51" ht="13.8">
      <c r="A42" s="4833"/>
      <c r="B42" s="18" t="s">
        <v>7</v>
      </c>
      <c r="C42" s="113"/>
      <c r="D42" s="119"/>
      <c r="E42" s="120">
        <f t="shared" ref="E42:E48" si="28">C42+D42</f>
        <v>0</v>
      </c>
      <c r="F42" s="178" t="e">
        <f t="shared" si="22"/>
        <v>#DIV/0!</v>
      </c>
      <c r="G42" s="39"/>
      <c r="H42" s="39"/>
      <c r="I42" s="106">
        <f t="shared" ref="I42:I48" si="29">G42+H42*1</f>
        <v>0</v>
      </c>
      <c r="J42" s="178" t="e">
        <f t="shared" si="3"/>
        <v>#DIV/0!</v>
      </c>
      <c r="K42" s="79"/>
      <c r="L42" s="39"/>
      <c r="M42" s="39"/>
      <c r="N42" s="106">
        <f t="shared" ref="N42:N48" si="30">L42+M42*1</f>
        <v>0</v>
      </c>
      <c r="O42" s="178">
        <f t="shared" si="23"/>
        <v>0</v>
      </c>
      <c r="P42" s="259"/>
      <c r="Q42" s="39"/>
      <c r="R42" s="39"/>
      <c r="S42" s="106">
        <f t="shared" ref="S42:S48" si="31">Q42+R42*1</f>
        <v>0</v>
      </c>
      <c r="T42" s="178" t="e">
        <f t="shared" ref="T42:T52" si="32">S42/$S$89</f>
        <v>#DIV/0!</v>
      </c>
      <c r="U42" s="259"/>
      <c r="V42" s="39"/>
      <c r="W42" s="39"/>
      <c r="X42" s="106">
        <f t="shared" ref="X42:X48" si="33">V42+W42*1</f>
        <v>0</v>
      </c>
      <c r="Y42" s="178" t="e">
        <f t="shared" ref="Y42:Y49" si="34">X42/$S$89</f>
        <v>#DIV/0!</v>
      </c>
      <c r="Z42" s="259"/>
      <c r="AA42" s="39"/>
      <c r="AB42" s="39"/>
      <c r="AC42" s="106">
        <f t="shared" ref="AC42:AC48" si="35">AA42+AB42*1</f>
        <v>0</v>
      </c>
      <c r="AD42" s="178" t="e">
        <f t="shared" si="24"/>
        <v>#DIV/0!</v>
      </c>
      <c r="AE42" s="731"/>
      <c r="AF42" s="560"/>
      <c r="AG42" s="452"/>
      <c r="AH42" s="446">
        <f t="shared" ref="AH42:AH48" si="36">AF42+AG42*1</f>
        <v>0</v>
      </c>
      <c r="AI42" s="450" t="e">
        <f t="shared" si="25"/>
        <v>#DIV/0!</v>
      </c>
      <c r="AJ42" s="503"/>
      <c r="AK42" s="560"/>
      <c r="AL42" s="452"/>
      <c r="AM42" s="446">
        <f t="shared" ref="AM42:AM48" si="37">AK42+AL42*1</f>
        <v>0</v>
      </c>
      <c r="AN42" s="450" t="e">
        <f t="shared" si="26"/>
        <v>#DIV/0!</v>
      </c>
      <c r="AO42" s="503"/>
      <c r="AP42" s="560"/>
      <c r="AQ42" s="452"/>
      <c r="AR42" s="446">
        <f t="shared" ref="AR42:AR48" si="38">AP42+AQ42*1</f>
        <v>0</v>
      </c>
      <c r="AS42" s="450" t="e">
        <f t="shared" si="27"/>
        <v>#DIV/0!</v>
      </c>
      <c r="AT42" s="503"/>
      <c r="AU42" s="39">
        <f t="shared" ref="AU42:AV48" si="39">G42+L42+Q42+V42+AA42+AF42+AK42+AP42</f>
        <v>0</v>
      </c>
      <c r="AV42" s="39">
        <f t="shared" si="39"/>
        <v>0</v>
      </c>
      <c r="AW42" s="106">
        <f t="shared" ref="AW42:AW48" si="40">AU42+AV42*1</f>
        <v>0</v>
      </c>
      <c r="AX42" s="178" t="e">
        <f t="shared" ref="AX42:AX72" si="41">AW42/$AW$89</f>
        <v>#DIV/0!</v>
      </c>
      <c r="AY42" s="79"/>
    </row>
    <row r="43" spans="1:51" ht="13.8">
      <c r="A43" s="4833"/>
      <c r="B43" s="18" t="s">
        <v>27</v>
      </c>
      <c r="C43" s="113"/>
      <c r="D43" s="119"/>
      <c r="E43" s="120">
        <f t="shared" si="28"/>
        <v>0</v>
      </c>
      <c r="F43" s="178" t="e">
        <f t="shared" si="22"/>
        <v>#DIV/0!</v>
      </c>
      <c r="G43" s="39"/>
      <c r="H43" s="39"/>
      <c r="I43" s="106">
        <f t="shared" si="29"/>
        <v>0</v>
      </c>
      <c r="J43" s="178" t="e">
        <f t="shared" si="3"/>
        <v>#DIV/0!</v>
      </c>
      <c r="K43" s="79"/>
      <c r="L43" s="39"/>
      <c r="M43" s="39"/>
      <c r="N43" s="106">
        <f t="shared" si="30"/>
        <v>0</v>
      </c>
      <c r="O43" s="178">
        <f t="shared" si="23"/>
        <v>0</v>
      </c>
      <c r="P43" s="857"/>
      <c r="Q43" s="39"/>
      <c r="R43" s="39"/>
      <c r="S43" s="106">
        <f t="shared" si="31"/>
        <v>0</v>
      </c>
      <c r="T43" s="178" t="e">
        <f t="shared" si="32"/>
        <v>#DIV/0!</v>
      </c>
      <c r="U43" s="259"/>
      <c r="V43" s="39"/>
      <c r="W43" s="39"/>
      <c r="X43" s="106">
        <f t="shared" si="33"/>
        <v>0</v>
      </c>
      <c r="Y43" s="178" t="e">
        <f t="shared" si="34"/>
        <v>#DIV/0!</v>
      </c>
      <c r="Z43" s="259"/>
      <c r="AA43" s="39"/>
      <c r="AB43" s="39"/>
      <c r="AC43" s="106">
        <f t="shared" si="35"/>
        <v>0</v>
      </c>
      <c r="AD43" s="178" t="e">
        <f t="shared" si="24"/>
        <v>#DIV/0!</v>
      </c>
      <c r="AE43" s="731"/>
      <c r="AF43" s="560"/>
      <c r="AG43" s="452"/>
      <c r="AH43" s="446">
        <f t="shared" si="36"/>
        <v>0</v>
      </c>
      <c r="AI43" s="450" t="e">
        <f t="shared" si="25"/>
        <v>#DIV/0!</v>
      </c>
      <c r="AJ43" s="503"/>
      <c r="AK43" s="560"/>
      <c r="AL43" s="452"/>
      <c r="AM43" s="446">
        <f t="shared" si="37"/>
        <v>0</v>
      </c>
      <c r="AN43" s="450" t="e">
        <f t="shared" si="26"/>
        <v>#DIV/0!</v>
      </c>
      <c r="AO43" s="503"/>
      <c r="AP43" s="560"/>
      <c r="AQ43" s="452"/>
      <c r="AR43" s="446">
        <f t="shared" si="38"/>
        <v>0</v>
      </c>
      <c r="AS43" s="450" t="e">
        <f t="shared" si="27"/>
        <v>#DIV/0!</v>
      </c>
      <c r="AT43" s="503"/>
      <c r="AU43" s="39">
        <f t="shared" si="39"/>
        <v>0</v>
      </c>
      <c r="AV43" s="39">
        <f t="shared" si="39"/>
        <v>0</v>
      </c>
      <c r="AW43" s="106">
        <f t="shared" si="40"/>
        <v>0</v>
      </c>
      <c r="AX43" s="178" t="e">
        <f t="shared" si="41"/>
        <v>#DIV/0!</v>
      </c>
      <c r="AY43" s="79"/>
    </row>
    <row r="44" spans="1:51" ht="13.8">
      <c r="A44" s="4833"/>
      <c r="B44" s="19" t="s">
        <v>28</v>
      </c>
      <c r="C44" s="113"/>
      <c r="D44" s="119"/>
      <c r="E44" s="120">
        <f t="shared" si="28"/>
        <v>0</v>
      </c>
      <c r="F44" s="178" t="e">
        <f t="shared" si="22"/>
        <v>#DIV/0!</v>
      </c>
      <c r="G44" s="39"/>
      <c r="H44" s="39"/>
      <c r="I44" s="106">
        <f t="shared" si="29"/>
        <v>0</v>
      </c>
      <c r="J44" s="178" t="e">
        <f t="shared" si="3"/>
        <v>#DIV/0!</v>
      </c>
      <c r="K44" s="79"/>
      <c r="L44" s="39"/>
      <c r="M44" s="39"/>
      <c r="N44" s="106">
        <f t="shared" si="30"/>
        <v>0</v>
      </c>
      <c r="O44" s="178">
        <f t="shared" si="23"/>
        <v>0</v>
      </c>
      <c r="P44" s="259"/>
      <c r="Q44" s="39"/>
      <c r="R44" s="39"/>
      <c r="S44" s="106">
        <f t="shared" si="31"/>
        <v>0</v>
      </c>
      <c r="T44" s="178" t="e">
        <f t="shared" si="32"/>
        <v>#DIV/0!</v>
      </c>
      <c r="U44" s="259"/>
      <c r="V44" s="39"/>
      <c r="W44" s="39"/>
      <c r="X44" s="106">
        <f t="shared" si="33"/>
        <v>0</v>
      </c>
      <c r="Y44" s="178" t="e">
        <f t="shared" si="34"/>
        <v>#DIV/0!</v>
      </c>
      <c r="Z44" s="259"/>
      <c r="AA44" s="39"/>
      <c r="AB44" s="39"/>
      <c r="AC44" s="106">
        <f t="shared" si="35"/>
        <v>0</v>
      </c>
      <c r="AD44" s="178" t="e">
        <f t="shared" si="24"/>
        <v>#DIV/0!</v>
      </c>
      <c r="AE44" s="731"/>
      <c r="AF44" s="560"/>
      <c r="AG44" s="452"/>
      <c r="AH44" s="446">
        <f t="shared" si="36"/>
        <v>0</v>
      </c>
      <c r="AI44" s="450" t="e">
        <f t="shared" si="25"/>
        <v>#DIV/0!</v>
      </c>
      <c r="AJ44" s="503"/>
      <c r="AK44" s="560"/>
      <c r="AL44" s="452"/>
      <c r="AM44" s="446">
        <f t="shared" si="37"/>
        <v>0</v>
      </c>
      <c r="AN44" s="450" t="e">
        <f t="shared" si="26"/>
        <v>#DIV/0!</v>
      </c>
      <c r="AO44" s="503"/>
      <c r="AP44" s="560"/>
      <c r="AQ44" s="452"/>
      <c r="AR44" s="446">
        <f t="shared" si="38"/>
        <v>0</v>
      </c>
      <c r="AS44" s="450" t="e">
        <f t="shared" si="27"/>
        <v>#DIV/0!</v>
      </c>
      <c r="AT44" s="503"/>
      <c r="AU44" s="39">
        <f t="shared" si="39"/>
        <v>0</v>
      </c>
      <c r="AV44" s="39">
        <f t="shared" si="39"/>
        <v>0</v>
      </c>
      <c r="AW44" s="106">
        <f t="shared" si="40"/>
        <v>0</v>
      </c>
      <c r="AX44" s="178" t="e">
        <f t="shared" si="41"/>
        <v>#DIV/0!</v>
      </c>
      <c r="AY44" s="79"/>
    </row>
    <row r="45" spans="1:51" ht="13.8">
      <c r="A45" s="4833"/>
      <c r="B45" s="18" t="s">
        <v>8</v>
      </c>
      <c r="C45" s="113"/>
      <c r="D45" s="119"/>
      <c r="E45" s="120">
        <f t="shared" si="28"/>
        <v>0</v>
      </c>
      <c r="F45" s="178" t="e">
        <f t="shared" si="22"/>
        <v>#DIV/0!</v>
      </c>
      <c r="G45" s="39"/>
      <c r="H45" s="39"/>
      <c r="I45" s="106">
        <f t="shared" si="29"/>
        <v>0</v>
      </c>
      <c r="J45" s="178" t="e">
        <f t="shared" si="3"/>
        <v>#DIV/0!</v>
      </c>
      <c r="K45" s="79"/>
      <c r="L45" s="39"/>
      <c r="M45" s="39"/>
      <c r="N45" s="106">
        <f t="shared" si="30"/>
        <v>0</v>
      </c>
      <c r="O45" s="178">
        <f t="shared" si="23"/>
        <v>0</v>
      </c>
      <c r="P45" s="259"/>
      <c r="Q45" s="39"/>
      <c r="R45" s="39"/>
      <c r="S45" s="106">
        <f t="shared" si="31"/>
        <v>0</v>
      </c>
      <c r="T45" s="178" t="e">
        <f t="shared" si="32"/>
        <v>#DIV/0!</v>
      </c>
      <c r="U45" s="259"/>
      <c r="V45" s="39"/>
      <c r="W45" s="39"/>
      <c r="X45" s="106">
        <f t="shared" si="33"/>
        <v>0</v>
      </c>
      <c r="Y45" s="178" t="e">
        <f t="shared" si="34"/>
        <v>#DIV/0!</v>
      </c>
      <c r="Z45" s="259"/>
      <c r="AA45" s="39"/>
      <c r="AB45" s="39"/>
      <c r="AC45" s="106">
        <f t="shared" si="35"/>
        <v>0</v>
      </c>
      <c r="AD45" s="178" t="e">
        <f t="shared" si="24"/>
        <v>#DIV/0!</v>
      </c>
      <c r="AE45" s="731"/>
      <c r="AF45" s="560"/>
      <c r="AG45" s="452"/>
      <c r="AH45" s="446">
        <f t="shared" si="36"/>
        <v>0</v>
      </c>
      <c r="AI45" s="450" t="e">
        <f t="shared" si="25"/>
        <v>#DIV/0!</v>
      </c>
      <c r="AJ45" s="503"/>
      <c r="AK45" s="560"/>
      <c r="AL45" s="452"/>
      <c r="AM45" s="446">
        <f t="shared" si="37"/>
        <v>0</v>
      </c>
      <c r="AN45" s="450" t="e">
        <f t="shared" si="26"/>
        <v>#DIV/0!</v>
      </c>
      <c r="AO45" s="503"/>
      <c r="AP45" s="560"/>
      <c r="AQ45" s="452"/>
      <c r="AR45" s="446">
        <f t="shared" si="38"/>
        <v>0</v>
      </c>
      <c r="AS45" s="450" t="e">
        <f t="shared" si="27"/>
        <v>#DIV/0!</v>
      </c>
      <c r="AT45" s="503"/>
      <c r="AU45" s="39">
        <f t="shared" si="39"/>
        <v>0</v>
      </c>
      <c r="AV45" s="39">
        <f t="shared" si="39"/>
        <v>0</v>
      </c>
      <c r="AW45" s="106">
        <f t="shared" si="40"/>
        <v>0</v>
      </c>
      <c r="AX45" s="178" t="e">
        <f t="shared" si="41"/>
        <v>#DIV/0!</v>
      </c>
      <c r="AY45" s="79"/>
    </row>
    <row r="46" spans="1:51" ht="13.8">
      <c r="A46" s="4833"/>
      <c r="B46" s="18" t="s">
        <v>29</v>
      </c>
      <c r="C46" s="113"/>
      <c r="D46" s="119"/>
      <c r="E46" s="120">
        <f t="shared" si="28"/>
        <v>0</v>
      </c>
      <c r="F46" s="178" t="e">
        <f t="shared" si="22"/>
        <v>#DIV/0!</v>
      </c>
      <c r="G46" s="39"/>
      <c r="H46" s="39"/>
      <c r="I46" s="106">
        <f t="shared" si="29"/>
        <v>0</v>
      </c>
      <c r="J46" s="178" t="e">
        <f t="shared" si="3"/>
        <v>#DIV/0!</v>
      </c>
      <c r="K46" s="79"/>
      <c r="L46" s="39"/>
      <c r="M46" s="39"/>
      <c r="N46" s="106">
        <f t="shared" si="30"/>
        <v>0</v>
      </c>
      <c r="O46" s="178">
        <f t="shared" si="23"/>
        <v>0</v>
      </c>
      <c r="P46" s="259"/>
      <c r="Q46" s="39"/>
      <c r="R46" s="39"/>
      <c r="S46" s="106">
        <f t="shared" si="31"/>
        <v>0</v>
      </c>
      <c r="T46" s="178" t="e">
        <f t="shared" si="32"/>
        <v>#DIV/0!</v>
      </c>
      <c r="U46" s="259"/>
      <c r="V46" s="39"/>
      <c r="W46" s="39"/>
      <c r="X46" s="106">
        <f t="shared" si="33"/>
        <v>0</v>
      </c>
      <c r="Y46" s="178" t="e">
        <f t="shared" si="34"/>
        <v>#DIV/0!</v>
      </c>
      <c r="Z46" s="259"/>
      <c r="AA46" s="39"/>
      <c r="AB46" s="39"/>
      <c r="AC46" s="106">
        <f t="shared" si="35"/>
        <v>0</v>
      </c>
      <c r="AD46" s="178" t="e">
        <f t="shared" si="24"/>
        <v>#DIV/0!</v>
      </c>
      <c r="AE46" s="731"/>
      <c r="AF46" s="560"/>
      <c r="AG46" s="452"/>
      <c r="AH46" s="446">
        <f t="shared" si="36"/>
        <v>0</v>
      </c>
      <c r="AI46" s="450" t="e">
        <f t="shared" si="25"/>
        <v>#DIV/0!</v>
      </c>
      <c r="AJ46" s="503"/>
      <c r="AK46" s="560"/>
      <c r="AL46" s="452"/>
      <c r="AM46" s="446">
        <f t="shared" si="37"/>
        <v>0</v>
      </c>
      <c r="AN46" s="450" t="e">
        <f t="shared" si="26"/>
        <v>#DIV/0!</v>
      </c>
      <c r="AO46" s="503"/>
      <c r="AP46" s="560"/>
      <c r="AQ46" s="452"/>
      <c r="AR46" s="446">
        <f t="shared" si="38"/>
        <v>0</v>
      </c>
      <c r="AS46" s="450" t="e">
        <f t="shared" si="27"/>
        <v>#DIV/0!</v>
      </c>
      <c r="AT46" s="503"/>
      <c r="AU46" s="39">
        <f t="shared" si="39"/>
        <v>0</v>
      </c>
      <c r="AV46" s="39">
        <f t="shared" si="39"/>
        <v>0</v>
      </c>
      <c r="AW46" s="106">
        <f t="shared" si="40"/>
        <v>0</v>
      </c>
      <c r="AX46" s="178" t="e">
        <f t="shared" si="41"/>
        <v>#DIV/0!</v>
      </c>
      <c r="AY46" s="79"/>
    </row>
    <row r="47" spans="1:51" ht="13.8">
      <c r="A47" s="4833"/>
      <c r="B47" s="18" t="s">
        <v>30</v>
      </c>
      <c r="C47" s="113"/>
      <c r="D47" s="119"/>
      <c r="E47" s="120">
        <f t="shared" si="28"/>
        <v>0</v>
      </c>
      <c r="F47" s="178" t="e">
        <f t="shared" si="22"/>
        <v>#DIV/0!</v>
      </c>
      <c r="G47" s="39"/>
      <c r="H47" s="39"/>
      <c r="I47" s="106">
        <f t="shared" si="29"/>
        <v>0</v>
      </c>
      <c r="J47" s="178" t="e">
        <f t="shared" si="3"/>
        <v>#DIV/0!</v>
      </c>
      <c r="K47" s="79"/>
      <c r="L47" s="39"/>
      <c r="M47" s="39"/>
      <c r="N47" s="106">
        <f t="shared" si="30"/>
        <v>0</v>
      </c>
      <c r="O47" s="178">
        <f t="shared" si="23"/>
        <v>0</v>
      </c>
      <c r="P47" s="259"/>
      <c r="Q47" s="39"/>
      <c r="R47" s="39"/>
      <c r="S47" s="106">
        <f t="shared" si="31"/>
        <v>0</v>
      </c>
      <c r="T47" s="178" t="e">
        <f t="shared" si="32"/>
        <v>#DIV/0!</v>
      </c>
      <c r="U47" s="259"/>
      <c r="V47" s="39"/>
      <c r="W47" s="39"/>
      <c r="X47" s="106">
        <f t="shared" si="33"/>
        <v>0</v>
      </c>
      <c r="Y47" s="178" t="e">
        <f t="shared" si="34"/>
        <v>#DIV/0!</v>
      </c>
      <c r="Z47" s="259"/>
      <c r="AA47" s="39"/>
      <c r="AB47" s="39"/>
      <c r="AC47" s="106">
        <f t="shared" si="35"/>
        <v>0</v>
      </c>
      <c r="AD47" s="178" t="e">
        <f t="shared" si="24"/>
        <v>#DIV/0!</v>
      </c>
      <c r="AE47" s="731"/>
      <c r="AF47" s="560"/>
      <c r="AG47" s="452"/>
      <c r="AH47" s="446">
        <f t="shared" si="36"/>
        <v>0</v>
      </c>
      <c r="AI47" s="450" t="e">
        <f t="shared" si="25"/>
        <v>#DIV/0!</v>
      </c>
      <c r="AJ47" s="503"/>
      <c r="AK47" s="560"/>
      <c r="AL47" s="452"/>
      <c r="AM47" s="446">
        <f t="shared" si="37"/>
        <v>0</v>
      </c>
      <c r="AN47" s="450" t="e">
        <f t="shared" si="26"/>
        <v>#DIV/0!</v>
      </c>
      <c r="AO47" s="503"/>
      <c r="AP47" s="560"/>
      <c r="AQ47" s="452"/>
      <c r="AR47" s="446">
        <f t="shared" si="38"/>
        <v>0</v>
      </c>
      <c r="AS47" s="450" t="e">
        <f t="shared" si="27"/>
        <v>#DIV/0!</v>
      </c>
      <c r="AT47" s="503"/>
      <c r="AU47" s="39">
        <f t="shared" si="39"/>
        <v>0</v>
      </c>
      <c r="AV47" s="39">
        <f t="shared" si="39"/>
        <v>0</v>
      </c>
      <c r="AW47" s="106">
        <f t="shared" si="40"/>
        <v>0</v>
      </c>
      <c r="AX47" s="178" t="e">
        <f t="shared" si="41"/>
        <v>#DIV/0!</v>
      </c>
      <c r="AY47" s="79"/>
    </row>
    <row r="48" spans="1:51" ht="13.8">
      <c r="A48" s="4833"/>
      <c r="B48" s="18" t="s">
        <v>15</v>
      </c>
      <c r="C48" s="113"/>
      <c r="D48" s="119"/>
      <c r="E48" s="120">
        <f t="shared" si="28"/>
        <v>0</v>
      </c>
      <c r="F48" s="178" t="e">
        <f t="shared" si="22"/>
        <v>#DIV/0!</v>
      </c>
      <c r="G48" s="39"/>
      <c r="H48" s="39"/>
      <c r="I48" s="106">
        <f t="shared" si="29"/>
        <v>0</v>
      </c>
      <c r="J48" s="178" t="e">
        <f t="shared" si="3"/>
        <v>#DIV/0!</v>
      </c>
      <c r="K48" s="79"/>
      <c r="L48" s="39"/>
      <c r="M48" s="39"/>
      <c r="N48" s="106">
        <f t="shared" si="30"/>
        <v>0</v>
      </c>
      <c r="O48" s="178">
        <f t="shared" si="23"/>
        <v>0</v>
      </c>
      <c r="P48" s="259"/>
      <c r="Q48" s="39"/>
      <c r="R48" s="39"/>
      <c r="S48" s="106">
        <f t="shared" si="31"/>
        <v>0</v>
      </c>
      <c r="T48" s="178" t="e">
        <f t="shared" si="32"/>
        <v>#DIV/0!</v>
      </c>
      <c r="U48" s="259"/>
      <c r="V48" s="39"/>
      <c r="W48" s="39"/>
      <c r="X48" s="106">
        <f t="shared" si="33"/>
        <v>0</v>
      </c>
      <c r="Y48" s="178" t="e">
        <f t="shared" si="34"/>
        <v>#DIV/0!</v>
      </c>
      <c r="Z48" s="259"/>
      <c r="AA48" s="39"/>
      <c r="AB48" s="39"/>
      <c r="AC48" s="106">
        <f t="shared" si="35"/>
        <v>0</v>
      </c>
      <c r="AD48" s="178" t="e">
        <f t="shared" si="24"/>
        <v>#DIV/0!</v>
      </c>
      <c r="AE48" s="731"/>
      <c r="AF48" s="560"/>
      <c r="AG48" s="452"/>
      <c r="AH48" s="446">
        <f t="shared" si="36"/>
        <v>0</v>
      </c>
      <c r="AI48" s="450" t="e">
        <f t="shared" si="25"/>
        <v>#DIV/0!</v>
      </c>
      <c r="AJ48" s="503"/>
      <c r="AK48" s="560"/>
      <c r="AL48" s="452"/>
      <c r="AM48" s="446">
        <f t="shared" si="37"/>
        <v>0</v>
      </c>
      <c r="AN48" s="450" t="e">
        <f t="shared" si="26"/>
        <v>#DIV/0!</v>
      </c>
      <c r="AO48" s="503"/>
      <c r="AP48" s="560"/>
      <c r="AQ48" s="452"/>
      <c r="AR48" s="446">
        <f t="shared" si="38"/>
        <v>0</v>
      </c>
      <c r="AS48" s="450" t="e">
        <f t="shared" si="27"/>
        <v>#DIV/0!</v>
      </c>
      <c r="AT48" s="503"/>
      <c r="AU48" s="39">
        <f t="shared" si="39"/>
        <v>0</v>
      </c>
      <c r="AV48" s="39">
        <f t="shared" si="39"/>
        <v>0</v>
      </c>
      <c r="AW48" s="106">
        <f t="shared" si="40"/>
        <v>0</v>
      </c>
      <c r="AX48" s="178" t="e">
        <f t="shared" si="41"/>
        <v>#DIV/0!</v>
      </c>
      <c r="AY48" s="79"/>
    </row>
    <row r="49" spans="1:51" s="2" customFormat="1" ht="14.4" thickBot="1">
      <c r="A49" s="11"/>
      <c r="B49" s="35"/>
      <c r="C49" s="116"/>
      <c r="D49" s="121"/>
      <c r="E49" s="122"/>
      <c r="F49" s="182"/>
      <c r="G49" s="39"/>
      <c r="H49" s="39"/>
      <c r="I49" s="52"/>
      <c r="J49" s="178" t="e">
        <f t="shared" si="3"/>
        <v>#DIV/0!</v>
      </c>
      <c r="K49" s="52"/>
      <c r="L49" s="39"/>
      <c r="M49" s="39"/>
      <c r="N49" s="52"/>
      <c r="O49" s="178">
        <f t="shared" si="23"/>
        <v>0</v>
      </c>
      <c r="P49" s="64"/>
      <c r="Q49" s="39"/>
      <c r="R49" s="39"/>
      <c r="S49" s="52"/>
      <c r="T49" s="178" t="e">
        <f t="shared" si="32"/>
        <v>#DIV/0!</v>
      </c>
      <c r="U49" s="64"/>
      <c r="V49" s="39"/>
      <c r="W49" s="39"/>
      <c r="X49" s="52"/>
      <c r="Y49" s="178" t="e">
        <f t="shared" si="34"/>
        <v>#DIV/0!</v>
      </c>
      <c r="Z49" s="64"/>
      <c r="AA49" s="39"/>
      <c r="AB49" s="39"/>
      <c r="AC49" s="52"/>
      <c r="AD49" s="178" t="e">
        <f t="shared" si="24"/>
        <v>#DIV/0!</v>
      </c>
      <c r="AE49" s="603"/>
      <c r="AF49" s="560"/>
      <c r="AG49" s="452"/>
      <c r="AH49" s="606"/>
      <c r="AI49" s="450" t="e">
        <f t="shared" si="25"/>
        <v>#DIV/0!</v>
      </c>
      <c r="AJ49" s="588"/>
      <c r="AK49" s="560"/>
      <c r="AL49" s="452"/>
      <c r="AM49" s="606"/>
      <c r="AN49" s="450" t="e">
        <f t="shared" si="26"/>
        <v>#DIV/0!</v>
      </c>
      <c r="AO49" s="588"/>
      <c r="AP49" s="560"/>
      <c r="AQ49" s="452"/>
      <c r="AR49" s="606"/>
      <c r="AS49" s="450" t="e">
        <f t="shared" si="27"/>
        <v>#DIV/0!</v>
      </c>
      <c r="AT49" s="588"/>
      <c r="AU49" s="39"/>
      <c r="AV49" s="39"/>
      <c r="AW49" s="52"/>
      <c r="AX49" s="178" t="e">
        <f t="shared" si="41"/>
        <v>#DIV/0!</v>
      </c>
      <c r="AY49" s="52"/>
    </row>
    <row r="50" spans="1:51" s="2" customFormat="1" ht="13.8">
      <c r="A50" s="293"/>
      <c r="B50" s="17" t="s">
        <v>59</v>
      </c>
      <c r="C50" s="123"/>
      <c r="D50" s="123"/>
      <c r="E50" s="123">
        <f>SUM(E51:E52)</f>
        <v>0</v>
      </c>
      <c r="F50" s="170" t="e">
        <f>E50/$E$89</f>
        <v>#DIV/0!</v>
      </c>
      <c r="G50" s="123">
        <f>G52+G51</f>
        <v>0</v>
      </c>
      <c r="H50" s="123">
        <f>H52+H51</f>
        <v>0</v>
      </c>
      <c r="I50" s="123">
        <f>SUM(I51:I52)</f>
        <v>0</v>
      </c>
      <c r="J50" s="60" t="e">
        <f t="shared" si="3"/>
        <v>#DIV/0!</v>
      </c>
      <c r="K50" s="60"/>
      <c r="L50" s="123">
        <f>L52+L51</f>
        <v>0</v>
      </c>
      <c r="M50" s="123">
        <f>M52+M51</f>
        <v>0</v>
      </c>
      <c r="N50" s="123">
        <f>SUM(N51:N52)</f>
        <v>0</v>
      </c>
      <c r="O50" s="60"/>
      <c r="P50" s="409"/>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t="e">
        <v>#DIV/0!</v>
      </c>
      <c r="AE50" s="591"/>
      <c r="AF50" s="578">
        <f>AF52+AF51</f>
        <v>0</v>
      </c>
      <c r="AG50" s="578">
        <f>AG52+AG51</f>
        <v>0</v>
      </c>
      <c r="AH50" s="578">
        <f>SUM(AH51:AH52)</f>
        <v>0</v>
      </c>
      <c r="AI50" s="581" t="e">
        <f t="shared" si="25"/>
        <v>#DIV/0!</v>
      </c>
      <c r="AJ50" s="665"/>
      <c r="AK50" s="578">
        <f>AK52+AK51</f>
        <v>0</v>
      </c>
      <c r="AL50" s="578">
        <f>AL52+AL51</f>
        <v>0</v>
      </c>
      <c r="AM50" s="578">
        <f>SUM(AM51:AM52)</f>
        <v>0</v>
      </c>
      <c r="AN50" s="581" t="e">
        <f t="shared" si="26"/>
        <v>#DIV/0!</v>
      </c>
      <c r="AO50" s="665"/>
      <c r="AP50" s="578">
        <f>AP52+AP51</f>
        <v>0</v>
      </c>
      <c r="AQ50" s="578">
        <f>AQ52+AQ51</f>
        <v>0</v>
      </c>
      <c r="AR50" s="578">
        <f>SUM(AR51:AR52)</f>
        <v>0</v>
      </c>
      <c r="AS50" s="581" t="e">
        <f t="shared" si="27"/>
        <v>#DIV/0!</v>
      </c>
      <c r="AT50" s="665"/>
      <c r="AU50" s="123">
        <f>AU52+AU51</f>
        <v>0</v>
      </c>
      <c r="AV50" s="123">
        <f>AV52+AV51</f>
        <v>0</v>
      </c>
      <c r="AW50" s="123">
        <f>SUM(AW51:AW52)</f>
        <v>0</v>
      </c>
      <c r="AX50" s="60"/>
      <c r="AY50" s="60"/>
    </row>
    <row r="51" spans="1:51" s="226" customFormat="1" ht="13.8">
      <c r="A51" s="234"/>
      <c r="B51" s="18" t="s">
        <v>60</v>
      </c>
      <c r="C51" s="113"/>
      <c r="D51" s="119"/>
      <c r="E51" s="119">
        <f>C51+D51</f>
        <v>0</v>
      </c>
      <c r="F51" s="180" t="e">
        <f>E51/$E$89</f>
        <v>#DIV/0!</v>
      </c>
      <c r="G51" s="39"/>
      <c r="H51" s="39"/>
      <c r="I51" s="106">
        <f>G51+H51*1</f>
        <v>0</v>
      </c>
      <c r="J51" s="178" t="e">
        <f t="shared" si="3"/>
        <v>#DIV/0!</v>
      </c>
      <c r="K51" s="45"/>
      <c r="L51" s="39"/>
      <c r="M51" s="39"/>
      <c r="N51" s="106">
        <f>L51+M51*1</f>
        <v>0</v>
      </c>
      <c r="O51" s="178">
        <f>N51/$N$89</f>
        <v>0</v>
      </c>
      <c r="P51" s="405"/>
      <c r="Q51" s="39"/>
      <c r="R51" s="39"/>
      <c r="S51" s="106">
        <f>Q51+R51*1</f>
        <v>0</v>
      </c>
      <c r="T51" s="178" t="e">
        <f t="shared" si="32"/>
        <v>#DIV/0!</v>
      </c>
      <c r="U51" s="405"/>
      <c r="V51" s="39"/>
      <c r="W51" s="39"/>
      <c r="X51" s="106">
        <f>V51+W51*1</f>
        <v>0</v>
      </c>
      <c r="Y51" s="178" t="e">
        <f>X51/$S$89</f>
        <v>#DIV/0!</v>
      </c>
      <c r="Z51" s="405"/>
      <c r="AA51" s="39"/>
      <c r="AB51" s="39"/>
      <c r="AC51" s="106">
        <f>AA51+AB51*1</f>
        <v>0</v>
      </c>
      <c r="AD51" s="178" t="e">
        <f t="shared" si="24"/>
        <v>#DIV/0!</v>
      </c>
      <c r="AE51" s="732"/>
      <c r="AF51" s="560"/>
      <c r="AG51" s="452"/>
      <c r="AH51" s="446">
        <f>AF51+AG51*1</f>
        <v>0</v>
      </c>
      <c r="AI51" s="450" t="e">
        <f t="shared" si="25"/>
        <v>#DIV/0!</v>
      </c>
      <c r="AJ51" s="745"/>
      <c r="AK51" s="560"/>
      <c r="AL51" s="452"/>
      <c r="AM51" s="446">
        <f>AK51+AL51*1</f>
        <v>0</v>
      </c>
      <c r="AN51" s="450" t="e">
        <f t="shared" si="26"/>
        <v>#DIV/0!</v>
      </c>
      <c r="AO51" s="745"/>
      <c r="AP51" s="560"/>
      <c r="AQ51" s="452"/>
      <c r="AR51" s="446">
        <f>AP51+AQ51*1</f>
        <v>0</v>
      </c>
      <c r="AS51" s="450" t="e">
        <f t="shared" si="27"/>
        <v>#DIV/0!</v>
      </c>
      <c r="AT51" s="745"/>
      <c r="AU51" s="39">
        <f>G51+L51+Q51+V51+AA51+AF51+AK51+AP51</f>
        <v>0</v>
      </c>
      <c r="AV51" s="39">
        <f>H51+M51+R51+W51+AB51+AG51+AL51+AQ51</f>
        <v>0</v>
      </c>
      <c r="AW51" s="106">
        <f>AU51+AV51*1</f>
        <v>0</v>
      </c>
      <c r="AX51" s="178" t="e">
        <f t="shared" si="41"/>
        <v>#DIV/0!</v>
      </c>
      <c r="AY51" s="45"/>
    </row>
    <row r="52" spans="1:51" s="235" customFormat="1" ht="13.8">
      <c r="A52" s="234"/>
      <c r="B52" s="18" t="s">
        <v>61</v>
      </c>
      <c r="C52" s="113"/>
      <c r="D52" s="119"/>
      <c r="E52" s="119">
        <f>C52+D52</f>
        <v>0</v>
      </c>
      <c r="F52" s="180" t="e">
        <f>E52/$E$89</f>
        <v>#DIV/0!</v>
      </c>
      <c r="G52" s="39"/>
      <c r="H52" s="39"/>
      <c r="I52" s="106">
        <f>G52+H52*1</f>
        <v>0</v>
      </c>
      <c r="J52" s="178" t="e">
        <f t="shared" si="3"/>
        <v>#DIV/0!</v>
      </c>
      <c r="K52" s="45"/>
      <c r="L52" s="39"/>
      <c r="M52" s="39"/>
      <c r="N52" s="106">
        <f>L52+M52*1</f>
        <v>0</v>
      </c>
      <c r="O52" s="178">
        <f>N52/$N$89</f>
        <v>0</v>
      </c>
      <c r="P52" s="405"/>
      <c r="Q52" s="39"/>
      <c r="R52" s="39"/>
      <c r="S52" s="106">
        <f>Q52+R52*1</f>
        <v>0</v>
      </c>
      <c r="T52" s="178" t="e">
        <f t="shared" si="32"/>
        <v>#DIV/0!</v>
      </c>
      <c r="U52" s="405"/>
      <c r="V52" s="39"/>
      <c r="W52" s="39"/>
      <c r="X52" s="106">
        <f>V52+W52*1</f>
        <v>0</v>
      </c>
      <c r="Y52" s="178" t="e">
        <f>X52/$S$89</f>
        <v>#DIV/0!</v>
      </c>
      <c r="Z52" s="405"/>
      <c r="AA52" s="39"/>
      <c r="AB52" s="39"/>
      <c r="AC52" s="106">
        <f>AA52+AB52*1</f>
        <v>0</v>
      </c>
      <c r="AD52" s="178" t="e">
        <f t="shared" si="24"/>
        <v>#DIV/0!</v>
      </c>
      <c r="AE52" s="732"/>
      <c r="AF52" s="560"/>
      <c r="AG52" s="452"/>
      <c r="AH52" s="446">
        <f>AF52+AG52*1</f>
        <v>0</v>
      </c>
      <c r="AI52" s="450" t="e">
        <f t="shared" si="25"/>
        <v>#DIV/0!</v>
      </c>
      <c r="AJ52" s="745"/>
      <c r="AK52" s="560"/>
      <c r="AL52" s="452"/>
      <c r="AM52" s="446">
        <f>AK52+AL52*1</f>
        <v>0</v>
      </c>
      <c r="AN52" s="450" t="e">
        <f t="shared" si="26"/>
        <v>#DIV/0!</v>
      </c>
      <c r="AO52" s="745"/>
      <c r="AP52" s="560"/>
      <c r="AQ52" s="452"/>
      <c r="AR52" s="446">
        <f>AP52+AQ52*1</f>
        <v>0</v>
      </c>
      <c r="AS52" s="450" t="e">
        <f t="shared" si="27"/>
        <v>#DIV/0!</v>
      </c>
      <c r="AT52" s="745"/>
      <c r="AU52" s="39">
        <f>G52+L52+Q52+V52+AA52+AF52+AK52+AP52</f>
        <v>0</v>
      </c>
      <c r="AV52" s="39">
        <f>H52+M52+R52+W52+AB52+AG52+AL52+AQ52</f>
        <v>0</v>
      </c>
      <c r="AW52" s="106">
        <f>AU52+AV52*1</f>
        <v>0</v>
      </c>
      <c r="AX52" s="178" t="e">
        <f t="shared" si="41"/>
        <v>#DIV/0!</v>
      </c>
      <c r="AY52" s="45"/>
    </row>
    <row r="53" spans="1:51" ht="14.4" thickBot="1">
      <c r="A53" s="20"/>
      <c r="B53" s="21"/>
      <c r="C53" s="124"/>
      <c r="D53" s="125"/>
      <c r="E53" s="126"/>
      <c r="F53" s="183"/>
      <c r="G53" s="39"/>
      <c r="H53" s="39"/>
      <c r="I53" s="61"/>
      <c r="J53" s="61"/>
      <c r="K53" s="61"/>
      <c r="L53" s="39"/>
      <c r="M53" s="39"/>
      <c r="N53" s="61"/>
      <c r="O53" s="61"/>
      <c r="P53" s="61"/>
      <c r="Q53" s="39"/>
      <c r="R53" s="39"/>
      <c r="S53" s="61"/>
      <c r="T53" s="61"/>
      <c r="U53" s="61"/>
      <c r="V53" s="39"/>
      <c r="W53" s="39"/>
      <c r="X53" s="61"/>
      <c r="Y53" s="61"/>
      <c r="Z53" s="61"/>
      <c r="AA53" s="39"/>
      <c r="AB53" s="39"/>
      <c r="AC53" s="61"/>
      <c r="AD53" s="61"/>
      <c r="AE53" s="735"/>
      <c r="AF53" s="560"/>
      <c r="AG53" s="452"/>
      <c r="AH53" s="668"/>
      <c r="AI53" s="668"/>
      <c r="AJ53" s="668"/>
      <c r="AK53" s="560"/>
      <c r="AL53" s="452"/>
      <c r="AM53" s="668"/>
      <c r="AN53" s="668"/>
      <c r="AO53" s="668"/>
      <c r="AP53" s="560"/>
      <c r="AQ53" s="452"/>
      <c r="AR53" s="668"/>
      <c r="AS53" s="668"/>
      <c r="AT53" s="668"/>
      <c r="AU53" s="39"/>
      <c r="AV53" s="39"/>
      <c r="AW53" s="61"/>
      <c r="AX53" s="61"/>
      <c r="AY53" s="61"/>
    </row>
    <row r="54" spans="1:51" ht="13.8">
      <c r="A54" s="236"/>
      <c r="B54" s="17" t="s">
        <v>1</v>
      </c>
      <c r="C54" s="123">
        <f>SUM(C55:C71)</f>
        <v>0</v>
      </c>
      <c r="D54" s="123">
        <f>SUM(D55:D71)</f>
        <v>0</v>
      </c>
      <c r="E54" s="127">
        <f>SUM(E55:E71)</f>
        <v>0</v>
      </c>
      <c r="F54" s="170" t="e">
        <f>E54/$E$89</f>
        <v>#DIV/0!</v>
      </c>
      <c r="G54" s="123">
        <f>SUM(G55:G72)</f>
        <v>0</v>
      </c>
      <c r="H54" s="123">
        <f>SUM(H55:H72)</f>
        <v>0</v>
      </c>
      <c r="I54" s="123">
        <f>SUM(I55:I72)</f>
        <v>0</v>
      </c>
      <c r="J54" s="169" t="e">
        <f t="shared" si="3"/>
        <v>#DIV/0!</v>
      </c>
      <c r="K54" s="60"/>
      <c r="L54" s="123">
        <f>SUM(L55:L72)</f>
        <v>0</v>
      </c>
      <c r="M54" s="123">
        <f>SUM(M55:M72)</f>
        <v>0</v>
      </c>
      <c r="N54" s="123">
        <f>SUM(N55:N72)</f>
        <v>0</v>
      </c>
      <c r="O54" s="169">
        <f t="shared" ref="O54:O72" si="42">N54/$N$89</f>
        <v>0</v>
      </c>
      <c r="P54" s="409"/>
      <c r="Q54" s="123">
        <f>SUM(Q55:Q72)</f>
        <v>0</v>
      </c>
      <c r="R54" s="123">
        <f>SUM(R55:R72)</f>
        <v>0</v>
      </c>
      <c r="S54" s="123">
        <f>SUM(S55:S72)</f>
        <v>0</v>
      </c>
      <c r="T54" s="169" t="e">
        <f>S54/$S$89</f>
        <v>#DIV/0!</v>
      </c>
      <c r="U54" s="409"/>
      <c r="V54" s="123">
        <f>SUM(V55:V72)</f>
        <v>0</v>
      </c>
      <c r="W54" s="123">
        <f>SUM(W55:W72)</f>
        <v>0</v>
      </c>
      <c r="X54" s="123">
        <f>SUM(X55:X72)</f>
        <v>0</v>
      </c>
      <c r="Y54" s="169" t="e">
        <f>X54/$S$89</f>
        <v>#DIV/0!</v>
      </c>
      <c r="Z54" s="409"/>
      <c r="AA54" s="123">
        <f>SUM(AA55:AA72)</f>
        <v>0</v>
      </c>
      <c r="AB54" s="123">
        <f>SUM(AB55:AB72)</f>
        <v>0</v>
      </c>
      <c r="AC54" s="123">
        <f>SUM(AC55:AC72)</f>
        <v>0</v>
      </c>
      <c r="AD54" s="169" t="e">
        <f t="shared" ref="AD54:AD71" si="43">AC54/$AC$89</f>
        <v>#DIV/0!</v>
      </c>
      <c r="AE54" s="591"/>
      <c r="AF54" s="578">
        <f>SUM(AF55:AF72)</f>
        <v>0</v>
      </c>
      <c r="AG54" s="578">
        <f>SUM(AG55:AG72)</f>
        <v>0</v>
      </c>
      <c r="AH54" s="578">
        <f>SUM(AH55:AH72)</f>
        <v>0</v>
      </c>
      <c r="AI54" s="664" t="e">
        <f t="shared" ref="AI54:AI71" si="44">AH54/$AH$89</f>
        <v>#DIV/0!</v>
      </c>
      <c r="AJ54" s="665"/>
      <c r="AK54" s="578">
        <f>SUM(AK55:AK72)</f>
        <v>0</v>
      </c>
      <c r="AL54" s="578">
        <f>SUM(AL55:AL72)</f>
        <v>0</v>
      </c>
      <c r="AM54" s="578">
        <f>SUM(AM55:AM72)</f>
        <v>0</v>
      </c>
      <c r="AN54" s="664" t="e">
        <f t="shared" ref="AN54:AN71" si="45">AM54/$AH$89</f>
        <v>#DIV/0!</v>
      </c>
      <c r="AO54" s="665"/>
      <c r="AP54" s="578">
        <f>SUM(AP55:AP72)</f>
        <v>0</v>
      </c>
      <c r="AQ54" s="578">
        <f>SUM(AQ55:AQ72)</f>
        <v>0</v>
      </c>
      <c r="AR54" s="578">
        <f>SUM(AR55:AR72)</f>
        <v>0</v>
      </c>
      <c r="AS54" s="664" t="e">
        <f t="shared" ref="AS54:AS71" si="46">AR54/$AH$89</f>
        <v>#DIV/0!</v>
      </c>
      <c r="AT54" s="665"/>
      <c r="AU54" s="123">
        <f>SUM(AU55:AU72)</f>
        <v>0</v>
      </c>
      <c r="AV54" s="123">
        <f>SUM(AV55:AV72)</f>
        <v>0</v>
      </c>
      <c r="AW54" s="123">
        <f>SUM(AW55:AW72)</f>
        <v>0</v>
      </c>
      <c r="AX54" s="169" t="e">
        <f t="shared" si="41"/>
        <v>#DIV/0!</v>
      </c>
      <c r="AY54" s="60"/>
    </row>
    <row r="55" spans="1:51" ht="13.8">
      <c r="A55" s="237"/>
      <c r="B55" s="19" t="s">
        <v>77</v>
      </c>
      <c r="C55" s="113"/>
      <c r="D55" s="128"/>
      <c r="E55" s="120">
        <f t="shared" ref="E55:E71" si="47">C55+D55</f>
        <v>0</v>
      </c>
      <c r="F55" s="178" t="e">
        <f>E55/$E$89</f>
        <v>#DIV/0!</v>
      </c>
      <c r="G55" s="210"/>
      <c r="H55" s="210"/>
      <c r="I55" s="106">
        <f t="shared" ref="I55:I71" si="48">G55+H55*1</f>
        <v>0</v>
      </c>
      <c r="J55" s="178" t="e">
        <f t="shared" si="3"/>
        <v>#DIV/0!</v>
      </c>
      <c r="K55" s="79"/>
      <c r="L55" s="210"/>
      <c r="M55" s="210"/>
      <c r="N55" s="106">
        <f t="shared" ref="N55:N71" si="49">L55+M55*1</f>
        <v>0</v>
      </c>
      <c r="O55" s="178">
        <f t="shared" si="42"/>
        <v>0</v>
      </c>
      <c r="P55" s="259"/>
      <c r="Q55" s="210"/>
      <c r="R55" s="210"/>
      <c r="S55" s="106">
        <f t="shared" ref="S55:S71" si="50">Q55+R55*1</f>
        <v>0</v>
      </c>
      <c r="T55" s="178" t="e">
        <f t="shared" ref="T55:T72" si="51">S55/$S$89</f>
        <v>#DIV/0!</v>
      </c>
      <c r="U55" s="259"/>
      <c r="V55" s="210"/>
      <c r="W55" s="210"/>
      <c r="X55" s="106">
        <f t="shared" ref="X55:X71" si="52">V55+W55*1</f>
        <v>0</v>
      </c>
      <c r="Y55" s="178" t="e">
        <f t="shared" ref="Y55:Y72" si="53">X55/$S$89</f>
        <v>#DIV/0!</v>
      </c>
      <c r="Z55" s="259"/>
      <c r="AA55" s="210"/>
      <c r="AB55" s="210"/>
      <c r="AC55" s="106">
        <f t="shared" ref="AC55:AC71" si="54">AA55+AB55*1</f>
        <v>0</v>
      </c>
      <c r="AD55" s="178" t="e">
        <f t="shared" si="43"/>
        <v>#DIV/0!</v>
      </c>
      <c r="AE55" s="731"/>
      <c r="AF55" s="669"/>
      <c r="AG55" s="453"/>
      <c r="AH55" s="446">
        <f t="shared" ref="AH55:AH71" si="55">AF55+AG55*1</f>
        <v>0</v>
      </c>
      <c r="AI55" s="450" t="e">
        <f t="shared" si="44"/>
        <v>#DIV/0!</v>
      </c>
      <c r="AJ55" s="503"/>
      <c r="AK55" s="669"/>
      <c r="AL55" s="453"/>
      <c r="AM55" s="446">
        <f t="shared" ref="AM55:AM71" si="56">AK55+AL55*1</f>
        <v>0</v>
      </c>
      <c r="AN55" s="450" t="e">
        <f t="shared" si="45"/>
        <v>#DIV/0!</v>
      </c>
      <c r="AO55" s="503"/>
      <c r="AP55" s="669"/>
      <c r="AQ55" s="453"/>
      <c r="AR55" s="446">
        <f t="shared" ref="AR55:AR71" si="57">AP55+AQ55*1</f>
        <v>0</v>
      </c>
      <c r="AS55" s="450" t="e">
        <f t="shared" si="46"/>
        <v>#DIV/0!</v>
      </c>
      <c r="AT55" s="503"/>
      <c r="AU55" s="39">
        <f t="shared" ref="AU55:AV71" si="58">G55+L55+Q55+V55+AA55+AF55+AK55+AP55</f>
        <v>0</v>
      </c>
      <c r="AV55" s="39">
        <f t="shared" si="58"/>
        <v>0</v>
      </c>
      <c r="AW55" s="106">
        <f t="shared" ref="AW55:AW71" si="59">AU55+AV55*1</f>
        <v>0</v>
      </c>
      <c r="AX55" s="178" t="e">
        <f t="shared" si="41"/>
        <v>#DIV/0!</v>
      </c>
      <c r="AY55" s="79"/>
    </row>
    <row r="56" spans="1:51" ht="13.8">
      <c r="A56" s="237"/>
      <c r="B56" s="19" t="s">
        <v>76</v>
      </c>
      <c r="C56" s="113"/>
      <c r="D56" s="128"/>
      <c r="E56" s="120">
        <f t="shared" si="47"/>
        <v>0</v>
      </c>
      <c r="F56" s="178" t="e">
        <f t="shared" ref="F56:F72" si="60">E56/$E$89</f>
        <v>#DIV/0!</v>
      </c>
      <c r="G56" s="210"/>
      <c r="H56" s="210"/>
      <c r="I56" s="106">
        <f t="shared" si="48"/>
        <v>0</v>
      </c>
      <c r="J56" s="178" t="e">
        <f t="shared" si="3"/>
        <v>#DIV/0!</v>
      </c>
      <c r="K56" s="79"/>
      <c r="L56" s="210"/>
      <c r="M56" s="210"/>
      <c r="N56" s="106">
        <f t="shared" si="49"/>
        <v>0</v>
      </c>
      <c r="O56" s="178">
        <f t="shared" si="42"/>
        <v>0</v>
      </c>
      <c r="P56" s="259"/>
      <c r="Q56" s="210"/>
      <c r="R56" s="210"/>
      <c r="S56" s="106">
        <f t="shared" si="50"/>
        <v>0</v>
      </c>
      <c r="T56" s="178" t="e">
        <f t="shared" si="51"/>
        <v>#DIV/0!</v>
      </c>
      <c r="U56" s="259"/>
      <c r="V56" s="210"/>
      <c r="W56" s="210"/>
      <c r="X56" s="106">
        <f t="shared" si="52"/>
        <v>0</v>
      </c>
      <c r="Y56" s="178" t="e">
        <f t="shared" si="53"/>
        <v>#DIV/0!</v>
      </c>
      <c r="Z56" s="259"/>
      <c r="AA56" s="210"/>
      <c r="AB56" s="210"/>
      <c r="AC56" s="106">
        <f t="shared" si="54"/>
        <v>0</v>
      </c>
      <c r="AD56" s="178" t="e">
        <f t="shared" si="43"/>
        <v>#DIV/0!</v>
      </c>
      <c r="AE56" s="731"/>
      <c r="AF56" s="669"/>
      <c r="AG56" s="453"/>
      <c r="AH56" s="446">
        <f t="shared" si="55"/>
        <v>0</v>
      </c>
      <c r="AI56" s="450" t="e">
        <f t="shared" si="44"/>
        <v>#DIV/0!</v>
      </c>
      <c r="AJ56" s="503"/>
      <c r="AK56" s="669"/>
      <c r="AL56" s="453"/>
      <c r="AM56" s="446">
        <f t="shared" si="56"/>
        <v>0</v>
      </c>
      <c r="AN56" s="450" t="e">
        <f t="shared" si="45"/>
        <v>#DIV/0!</v>
      </c>
      <c r="AO56" s="503"/>
      <c r="AP56" s="669"/>
      <c r="AQ56" s="453"/>
      <c r="AR56" s="446">
        <f t="shared" si="57"/>
        <v>0</v>
      </c>
      <c r="AS56" s="450" t="e">
        <f t="shared" si="46"/>
        <v>#DIV/0!</v>
      </c>
      <c r="AT56" s="503"/>
      <c r="AU56" s="39">
        <f t="shared" si="58"/>
        <v>0</v>
      </c>
      <c r="AV56" s="39">
        <f t="shared" si="58"/>
        <v>0</v>
      </c>
      <c r="AW56" s="106">
        <f t="shared" si="59"/>
        <v>0</v>
      </c>
      <c r="AX56" s="178" t="e">
        <f t="shared" si="41"/>
        <v>#DIV/0!</v>
      </c>
      <c r="AY56" s="79"/>
    </row>
    <row r="57" spans="1:51" ht="13.8">
      <c r="A57" s="237"/>
      <c r="B57" s="615" t="s">
        <v>68</v>
      </c>
      <c r="C57" s="113"/>
      <c r="D57" s="128"/>
      <c r="E57" s="120">
        <f t="shared" si="47"/>
        <v>0</v>
      </c>
      <c r="F57" s="178" t="e">
        <f t="shared" si="60"/>
        <v>#DIV/0!</v>
      </c>
      <c r="G57" s="210"/>
      <c r="H57" s="210"/>
      <c r="I57" s="106">
        <f t="shared" si="48"/>
        <v>0</v>
      </c>
      <c r="J57" s="178" t="e">
        <f t="shared" si="3"/>
        <v>#DIV/0!</v>
      </c>
      <c r="K57" s="79"/>
      <c r="L57" s="210"/>
      <c r="M57" s="210"/>
      <c r="N57" s="106">
        <f t="shared" si="49"/>
        <v>0</v>
      </c>
      <c r="O57" s="178">
        <f t="shared" si="42"/>
        <v>0</v>
      </c>
      <c r="P57" s="259"/>
      <c r="Q57" s="210"/>
      <c r="R57" s="210"/>
      <c r="S57" s="106">
        <f t="shared" si="50"/>
        <v>0</v>
      </c>
      <c r="T57" s="178" t="e">
        <f t="shared" si="51"/>
        <v>#DIV/0!</v>
      </c>
      <c r="U57" s="259"/>
      <c r="V57" s="210"/>
      <c r="W57" s="210"/>
      <c r="X57" s="106">
        <f t="shared" si="52"/>
        <v>0</v>
      </c>
      <c r="Y57" s="178" t="e">
        <f t="shared" si="53"/>
        <v>#DIV/0!</v>
      </c>
      <c r="Z57" s="259"/>
      <c r="AA57" s="210"/>
      <c r="AB57" s="210"/>
      <c r="AC57" s="106">
        <f t="shared" si="54"/>
        <v>0</v>
      </c>
      <c r="AD57" s="178" t="e">
        <f t="shared" si="43"/>
        <v>#DIV/0!</v>
      </c>
      <c r="AE57" s="731"/>
      <c r="AF57" s="669"/>
      <c r="AG57" s="453"/>
      <c r="AH57" s="446">
        <f t="shared" si="55"/>
        <v>0</v>
      </c>
      <c r="AI57" s="450" t="e">
        <f t="shared" si="44"/>
        <v>#DIV/0!</v>
      </c>
      <c r="AJ57" s="503"/>
      <c r="AK57" s="669"/>
      <c r="AL57" s="453"/>
      <c r="AM57" s="446">
        <f t="shared" si="56"/>
        <v>0</v>
      </c>
      <c r="AN57" s="450" t="e">
        <f t="shared" si="45"/>
        <v>#DIV/0!</v>
      </c>
      <c r="AO57" s="503"/>
      <c r="AP57" s="669"/>
      <c r="AQ57" s="453"/>
      <c r="AR57" s="446">
        <f t="shared" si="57"/>
        <v>0</v>
      </c>
      <c r="AS57" s="450" t="e">
        <f t="shared" si="46"/>
        <v>#DIV/0!</v>
      </c>
      <c r="AT57" s="503"/>
      <c r="AU57" s="39">
        <f t="shared" si="58"/>
        <v>0</v>
      </c>
      <c r="AV57" s="39">
        <f t="shared" si="58"/>
        <v>0</v>
      </c>
      <c r="AW57" s="106">
        <f t="shared" si="59"/>
        <v>0</v>
      </c>
      <c r="AX57" s="178" t="e">
        <f t="shared" si="41"/>
        <v>#DIV/0!</v>
      </c>
      <c r="AY57" s="79"/>
    </row>
    <row r="58" spans="1:51" ht="13.8">
      <c r="A58" s="237"/>
      <c r="B58" s="615" t="s">
        <v>67</v>
      </c>
      <c r="C58" s="113"/>
      <c r="D58" s="128"/>
      <c r="E58" s="120">
        <f t="shared" si="47"/>
        <v>0</v>
      </c>
      <c r="F58" s="178" t="e">
        <f t="shared" si="60"/>
        <v>#DIV/0!</v>
      </c>
      <c r="G58" s="210"/>
      <c r="H58" s="210"/>
      <c r="I58" s="106">
        <f t="shared" si="48"/>
        <v>0</v>
      </c>
      <c r="J58" s="178" t="e">
        <f t="shared" si="3"/>
        <v>#DIV/0!</v>
      </c>
      <c r="K58" s="79"/>
      <c r="L58" s="210"/>
      <c r="M58" s="210"/>
      <c r="N58" s="106">
        <f t="shared" si="49"/>
        <v>0</v>
      </c>
      <c r="O58" s="178">
        <f t="shared" si="42"/>
        <v>0</v>
      </c>
      <c r="P58" s="857"/>
      <c r="Q58" s="210"/>
      <c r="R58" s="210"/>
      <c r="S58" s="106">
        <f t="shared" si="50"/>
        <v>0</v>
      </c>
      <c r="T58" s="178" t="e">
        <f t="shared" si="51"/>
        <v>#DIV/0!</v>
      </c>
      <c r="U58" s="415"/>
      <c r="V58" s="210"/>
      <c r="W58" s="210"/>
      <c r="X58" s="106">
        <f t="shared" si="52"/>
        <v>0</v>
      </c>
      <c r="Y58" s="178" t="e">
        <f t="shared" si="53"/>
        <v>#DIV/0!</v>
      </c>
      <c r="Z58" s="415"/>
      <c r="AA58" s="210"/>
      <c r="AB58" s="210"/>
      <c r="AC58" s="106">
        <f t="shared" si="54"/>
        <v>0</v>
      </c>
      <c r="AD58" s="178" t="e">
        <f t="shared" si="43"/>
        <v>#DIV/0!</v>
      </c>
      <c r="AE58" s="736"/>
      <c r="AF58" s="669"/>
      <c r="AG58" s="453"/>
      <c r="AH58" s="446">
        <f t="shared" si="55"/>
        <v>0</v>
      </c>
      <c r="AI58" s="450" t="e">
        <f t="shared" si="44"/>
        <v>#DIV/0!</v>
      </c>
      <c r="AJ58" s="518"/>
      <c r="AK58" s="669"/>
      <c r="AL58" s="453"/>
      <c r="AM58" s="446">
        <f t="shared" si="56"/>
        <v>0</v>
      </c>
      <c r="AN58" s="450" t="e">
        <f t="shared" si="45"/>
        <v>#DIV/0!</v>
      </c>
      <c r="AO58" s="518"/>
      <c r="AP58" s="669"/>
      <c r="AQ58" s="453"/>
      <c r="AR58" s="446">
        <f t="shared" si="57"/>
        <v>0</v>
      </c>
      <c r="AS58" s="450" t="e">
        <f t="shared" si="46"/>
        <v>#DIV/0!</v>
      </c>
      <c r="AT58" s="518"/>
      <c r="AU58" s="39">
        <f t="shared" si="58"/>
        <v>0</v>
      </c>
      <c r="AV58" s="39">
        <f t="shared" si="58"/>
        <v>0</v>
      </c>
      <c r="AW58" s="106">
        <f t="shared" si="59"/>
        <v>0</v>
      </c>
      <c r="AX58" s="178" t="e">
        <f t="shared" si="41"/>
        <v>#DIV/0!</v>
      </c>
      <c r="AY58" s="79"/>
    </row>
    <row r="59" spans="1:51" ht="13.8">
      <c r="A59" s="237"/>
      <c r="B59" s="615" t="s">
        <v>66</v>
      </c>
      <c r="C59" s="113"/>
      <c r="D59" s="128"/>
      <c r="E59" s="120">
        <f t="shared" si="47"/>
        <v>0</v>
      </c>
      <c r="F59" s="178" t="e">
        <f t="shared" si="60"/>
        <v>#DIV/0!</v>
      </c>
      <c r="G59" s="210"/>
      <c r="H59" s="210"/>
      <c r="I59" s="106">
        <f t="shared" si="48"/>
        <v>0</v>
      </c>
      <c r="J59" s="178" t="e">
        <f t="shared" si="3"/>
        <v>#DIV/0!</v>
      </c>
      <c r="K59" s="79"/>
      <c r="L59" s="210"/>
      <c r="M59" s="210"/>
      <c r="N59" s="106">
        <f t="shared" si="49"/>
        <v>0</v>
      </c>
      <c r="O59" s="178">
        <f t="shared" si="42"/>
        <v>0</v>
      </c>
      <c r="P59" s="857"/>
      <c r="Q59" s="210"/>
      <c r="R59" s="210"/>
      <c r="S59" s="106">
        <f t="shared" si="50"/>
        <v>0</v>
      </c>
      <c r="T59" s="178" t="e">
        <f t="shared" si="51"/>
        <v>#DIV/0!</v>
      </c>
      <c r="U59" s="259"/>
      <c r="V59" s="210"/>
      <c r="W59" s="210"/>
      <c r="X59" s="106">
        <f t="shared" si="52"/>
        <v>0</v>
      </c>
      <c r="Y59" s="178" t="e">
        <f t="shared" si="53"/>
        <v>#DIV/0!</v>
      </c>
      <c r="Z59" s="259"/>
      <c r="AA59" s="210"/>
      <c r="AB59" s="210"/>
      <c r="AC59" s="106">
        <f t="shared" si="54"/>
        <v>0</v>
      </c>
      <c r="AD59" s="178" t="e">
        <f t="shared" si="43"/>
        <v>#DIV/0!</v>
      </c>
      <c r="AE59" s="731"/>
      <c r="AF59" s="669"/>
      <c r="AG59" s="453"/>
      <c r="AH59" s="446">
        <f t="shared" si="55"/>
        <v>0</v>
      </c>
      <c r="AI59" s="450" t="e">
        <f t="shared" si="44"/>
        <v>#DIV/0!</v>
      </c>
      <c r="AJ59" s="503"/>
      <c r="AK59" s="669"/>
      <c r="AL59" s="453"/>
      <c r="AM59" s="446">
        <f t="shared" si="56"/>
        <v>0</v>
      </c>
      <c r="AN59" s="450" t="e">
        <f t="shared" si="45"/>
        <v>#DIV/0!</v>
      </c>
      <c r="AO59" s="503"/>
      <c r="AP59" s="669"/>
      <c r="AQ59" s="453"/>
      <c r="AR59" s="446">
        <f t="shared" si="57"/>
        <v>0</v>
      </c>
      <c r="AS59" s="450" t="e">
        <f t="shared" si="46"/>
        <v>#DIV/0!</v>
      </c>
      <c r="AT59" s="503"/>
      <c r="AU59" s="39">
        <f t="shared" si="58"/>
        <v>0</v>
      </c>
      <c r="AV59" s="39">
        <f t="shared" si="58"/>
        <v>0</v>
      </c>
      <c r="AW59" s="106">
        <f t="shared" si="59"/>
        <v>0</v>
      </c>
      <c r="AX59" s="178" t="e">
        <f t="shared" si="41"/>
        <v>#DIV/0!</v>
      </c>
      <c r="AY59" s="79"/>
    </row>
    <row r="60" spans="1:51" ht="13.8">
      <c r="A60" s="237"/>
      <c r="B60" s="615" t="s">
        <v>65</v>
      </c>
      <c r="C60" s="113"/>
      <c r="D60" s="128"/>
      <c r="E60" s="120">
        <f t="shared" si="47"/>
        <v>0</v>
      </c>
      <c r="F60" s="178" t="e">
        <f t="shared" si="60"/>
        <v>#DIV/0!</v>
      </c>
      <c r="G60" s="210"/>
      <c r="H60" s="210"/>
      <c r="I60" s="106">
        <f t="shared" si="48"/>
        <v>0</v>
      </c>
      <c r="J60" s="178" t="e">
        <f t="shared" si="3"/>
        <v>#DIV/0!</v>
      </c>
      <c r="K60" s="79"/>
      <c r="L60" s="210"/>
      <c r="M60" s="210"/>
      <c r="N60" s="106">
        <f t="shared" si="49"/>
        <v>0</v>
      </c>
      <c r="O60" s="178">
        <f t="shared" si="42"/>
        <v>0</v>
      </c>
      <c r="P60" s="857"/>
      <c r="Q60" s="210"/>
      <c r="R60" s="210"/>
      <c r="S60" s="106">
        <f t="shared" si="50"/>
        <v>0</v>
      </c>
      <c r="T60" s="178" t="e">
        <f t="shared" si="51"/>
        <v>#DIV/0!</v>
      </c>
      <c r="U60" s="259"/>
      <c r="V60" s="210"/>
      <c r="W60" s="210"/>
      <c r="X60" s="106">
        <f t="shared" si="52"/>
        <v>0</v>
      </c>
      <c r="Y60" s="178" t="e">
        <f t="shared" si="53"/>
        <v>#DIV/0!</v>
      </c>
      <c r="Z60" s="259"/>
      <c r="AA60" s="210"/>
      <c r="AB60" s="210"/>
      <c r="AC60" s="106">
        <f t="shared" si="54"/>
        <v>0</v>
      </c>
      <c r="AD60" s="178" t="e">
        <f t="shared" si="43"/>
        <v>#DIV/0!</v>
      </c>
      <c r="AE60" s="731"/>
      <c r="AF60" s="669"/>
      <c r="AG60" s="453"/>
      <c r="AH60" s="446">
        <f t="shared" si="55"/>
        <v>0</v>
      </c>
      <c r="AI60" s="450" t="e">
        <f t="shared" si="44"/>
        <v>#DIV/0!</v>
      </c>
      <c r="AJ60" s="503"/>
      <c r="AK60" s="669"/>
      <c r="AL60" s="453"/>
      <c r="AM60" s="446">
        <f t="shared" si="56"/>
        <v>0</v>
      </c>
      <c r="AN60" s="450" t="e">
        <f t="shared" si="45"/>
        <v>#DIV/0!</v>
      </c>
      <c r="AO60" s="503"/>
      <c r="AP60" s="669"/>
      <c r="AQ60" s="453"/>
      <c r="AR60" s="446">
        <f t="shared" si="57"/>
        <v>0</v>
      </c>
      <c r="AS60" s="450" t="e">
        <f t="shared" si="46"/>
        <v>#DIV/0!</v>
      </c>
      <c r="AT60" s="503"/>
      <c r="AU60" s="39">
        <f t="shared" si="58"/>
        <v>0</v>
      </c>
      <c r="AV60" s="39">
        <f t="shared" si="58"/>
        <v>0</v>
      </c>
      <c r="AW60" s="106">
        <f t="shared" si="59"/>
        <v>0</v>
      </c>
      <c r="AX60" s="178" t="e">
        <f t="shared" si="41"/>
        <v>#DIV/0!</v>
      </c>
      <c r="AY60" s="79"/>
    </row>
    <row r="61" spans="1:51" ht="13.8">
      <c r="A61" s="237"/>
      <c r="B61" s="615" t="s">
        <v>32</v>
      </c>
      <c r="C61" s="113"/>
      <c r="D61" s="128"/>
      <c r="E61" s="120">
        <f t="shared" si="47"/>
        <v>0</v>
      </c>
      <c r="F61" s="178" t="e">
        <f t="shared" si="60"/>
        <v>#DIV/0!</v>
      </c>
      <c r="G61" s="210"/>
      <c r="H61" s="210"/>
      <c r="I61" s="106">
        <f t="shared" si="48"/>
        <v>0</v>
      </c>
      <c r="J61" s="178" t="e">
        <f t="shared" si="3"/>
        <v>#DIV/0!</v>
      </c>
      <c r="K61" s="79"/>
      <c r="L61" s="210"/>
      <c r="M61" s="210"/>
      <c r="N61" s="106">
        <f t="shared" si="49"/>
        <v>0</v>
      </c>
      <c r="O61" s="178">
        <f t="shared" si="42"/>
        <v>0</v>
      </c>
      <c r="P61" s="857"/>
      <c r="Q61" s="210"/>
      <c r="R61" s="210"/>
      <c r="S61" s="106">
        <f t="shared" si="50"/>
        <v>0</v>
      </c>
      <c r="T61" s="178" t="e">
        <f t="shared" si="51"/>
        <v>#DIV/0!</v>
      </c>
      <c r="U61" s="259"/>
      <c r="V61" s="210"/>
      <c r="W61" s="210"/>
      <c r="X61" s="106">
        <f t="shared" si="52"/>
        <v>0</v>
      </c>
      <c r="Y61" s="178" t="e">
        <f t="shared" si="53"/>
        <v>#DIV/0!</v>
      </c>
      <c r="Z61" s="259"/>
      <c r="AA61" s="210"/>
      <c r="AB61" s="210"/>
      <c r="AC61" s="106">
        <f t="shared" si="54"/>
        <v>0</v>
      </c>
      <c r="AD61" s="178" t="e">
        <f t="shared" si="43"/>
        <v>#DIV/0!</v>
      </c>
      <c r="AE61" s="731"/>
      <c r="AF61" s="669"/>
      <c r="AG61" s="453"/>
      <c r="AH61" s="446">
        <f t="shared" si="55"/>
        <v>0</v>
      </c>
      <c r="AI61" s="450" t="e">
        <f t="shared" si="44"/>
        <v>#DIV/0!</v>
      </c>
      <c r="AJ61" s="503"/>
      <c r="AK61" s="669"/>
      <c r="AL61" s="453"/>
      <c r="AM61" s="446">
        <f t="shared" si="56"/>
        <v>0</v>
      </c>
      <c r="AN61" s="450" t="e">
        <f t="shared" si="45"/>
        <v>#DIV/0!</v>
      </c>
      <c r="AO61" s="503"/>
      <c r="AP61" s="669"/>
      <c r="AQ61" s="453"/>
      <c r="AR61" s="446">
        <f t="shared" si="57"/>
        <v>0</v>
      </c>
      <c r="AS61" s="450" t="e">
        <f t="shared" si="46"/>
        <v>#DIV/0!</v>
      </c>
      <c r="AT61" s="503"/>
      <c r="AU61" s="39">
        <f t="shared" si="58"/>
        <v>0</v>
      </c>
      <c r="AV61" s="39">
        <f t="shared" si="58"/>
        <v>0</v>
      </c>
      <c r="AW61" s="106">
        <f t="shared" si="59"/>
        <v>0</v>
      </c>
      <c r="AX61" s="178" t="e">
        <f t="shared" si="41"/>
        <v>#DIV/0!</v>
      </c>
      <c r="AY61" s="79"/>
    </row>
    <row r="62" spans="1:51" ht="13.8">
      <c r="A62" s="237"/>
      <c r="B62" s="615" t="s">
        <v>33</v>
      </c>
      <c r="C62" s="129"/>
      <c r="D62" s="128"/>
      <c r="E62" s="120">
        <f t="shared" si="47"/>
        <v>0</v>
      </c>
      <c r="F62" s="178" t="e">
        <f t="shared" si="60"/>
        <v>#DIV/0!</v>
      </c>
      <c r="G62" s="210"/>
      <c r="H62" s="210"/>
      <c r="I62" s="106">
        <f t="shared" si="48"/>
        <v>0</v>
      </c>
      <c r="J62" s="178" t="e">
        <f t="shared" si="3"/>
        <v>#DIV/0!</v>
      </c>
      <c r="K62" s="79"/>
      <c r="L62" s="210"/>
      <c r="M62" s="210"/>
      <c r="N62" s="106">
        <f t="shared" si="49"/>
        <v>0</v>
      </c>
      <c r="O62" s="178">
        <f t="shared" si="42"/>
        <v>0</v>
      </c>
      <c r="P62" s="857"/>
      <c r="Q62" s="210"/>
      <c r="R62" s="210"/>
      <c r="S62" s="106">
        <f t="shared" si="50"/>
        <v>0</v>
      </c>
      <c r="T62" s="178" t="e">
        <f t="shared" si="51"/>
        <v>#DIV/0!</v>
      </c>
      <c r="U62" s="259"/>
      <c r="V62" s="210"/>
      <c r="W62" s="210"/>
      <c r="X62" s="106">
        <f t="shared" si="52"/>
        <v>0</v>
      </c>
      <c r="Y62" s="178" t="e">
        <f t="shared" si="53"/>
        <v>#DIV/0!</v>
      </c>
      <c r="Z62" s="259"/>
      <c r="AA62" s="210"/>
      <c r="AB62" s="210"/>
      <c r="AC62" s="106">
        <f t="shared" si="54"/>
        <v>0</v>
      </c>
      <c r="AD62" s="178" t="e">
        <f t="shared" si="43"/>
        <v>#DIV/0!</v>
      </c>
      <c r="AE62" s="731"/>
      <c r="AF62" s="669"/>
      <c r="AG62" s="453"/>
      <c r="AH62" s="446">
        <f t="shared" si="55"/>
        <v>0</v>
      </c>
      <c r="AI62" s="450" t="e">
        <f t="shared" si="44"/>
        <v>#DIV/0!</v>
      </c>
      <c r="AJ62" s="503"/>
      <c r="AK62" s="669"/>
      <c r="AL62" s="453"/>
      <c r="AM62" s="446">
        <f t="shared" si="56"/>
        <v>0</v>
      </c>
      <c r="AN62" s="450" t="e">
        <f t="shared" si="45"/>
        <v>#DIV/0!</v>
      </c>
      <c r="AO62" s="503"/>
      <c r="AP62" s="669"/>
      <c r="AQ62" s="453"/>
      <c r="AR62" s="446">
        <f t="shared" si="57"/>
        <v>0</v>
      </c>
      <c r="AS62" s="450" t="e">
        <f t="shared" si="46"/>
        <v>#DIV/0!</v>
      </c>
      <c r="AT62" s="503"/>
      <c r="AU62" s="39">
        <f t="shared" si="58"/>
        <v>0</v>
      </c>
      <c r="AV62" s="39">
        <f t="shared" si="58"/>
        <v>0</v>
      </c>
      <c r="AW62" s="106">
        <f t="shared" si="59"/>
        <v>0</v>
      </c>
      <c r="AX62" s="178" t="e">
        <f t="shared" si="41"/>
        <v>#DIV/0!</v>
      </c>
      <c r="AY62" s="79"/>
    </row>
    <row r="63" spans="1:51" ht="13.8">
      <c r="A63" s="237"/>
      <c r="B63" s="615" t="s">
        <v>35</v>
      </c>
      <c r="C63" s="129"/>
      <c r="D63" s="128"/>
      <c r="E63" s="120">
        <f t="shared" si="47"/>
        <v>0</v>
      </c>
      <c r="F63" s="178" t="e">
        <f t="shared" si="60"/>
        <v>#DIV/0!</v>
      </c>
      <c r="G63" s="210"/>
      <c r="H63" s="210"/>
      <c r="I63" s="106">
        <f t="shared" si="48"/>
        <v>0</v>
      </c>
      <c r="J63" s="178" t="e">
        <f t="shared" si="3"/>
        <v>#DIV/0!</v>
      </c>
      <c r="K63" s="210"/>
      <c r="L63" s="39"/>
      <c r="M63" s="210"/>
      <c r="N63" s="106">
        <f t="shared" si="49"/>
        <v>0</v>
      </c>
      <c r="O63" s="178">
        <f t="shared" si="42"/>
        <v>0</v>
      </c>
      <c r="P63" s="860"/>
      <c r="Q63" s="39"/>
      <c r="R63" s="210"/>
      <c r="S63" s="106">
        <f t="shared" si="50"/>
        <v>0</v>
      </c>
      <c r="T63" s="178" t="e">
        <f t="shared" si="51"/>
        <v>#DIV/0!</v>
      </c>
      <c r="U63" s="415"/>
      <c r="V63" s="39"/>
      <c r="W63" s="210"/>
      <c r="X63" s="106">
        <f t="shared" si="52"/>
        <v>0</v>
      </c>
      <c r="Y63" s="178" t="e">
        <f t="shared" si="53"/>
        <v>#DIV/0!</v>
      </c>
      <c r="Z63" s="415"/>
      <c r="AA63" s="39"/>
      <c r="AB63" s="210"/>
      <c r="AC63" s="106">
        <f t="shared" si="54"/>
        <v>0</v>
      </c>
      <c r="AD63" s="178" t="e">
        <f t="shared" si="43"/>
        <v>#DIV/0!</v>
      </c>
      <c r="AE63" s="736"/>
      <c r="AF63" s="560"/>
      <c r="AG63" s="453"/>
      <c r="AH63" s="446">
        <f t="shared" si="55"/>
        <v>0</v>
      </c>
      <c r="AI63" s="450" t="e">
        <f t="shared" si="44"/>
        <v>#DIV/0!</v>
      </c>
      <c r="AJ63" s="518"/>
      <c r="AK63" s="560"/>
      <c r="AL63" s="453"/>
      <c r="AM63" s="446">
        <f t="shared" si="56"/>
        <v>0</v>
      </c>
      <c r="AN63" s="450" t="e">
        <f t="shared" si="45"/>
        <v>#DIV/0!</v>
      </c>
      <c r="AO63" s="518"/>
      <c r="AP63" s="560"/>
      <c r="AQ63" s="453"/>
      <c r="AR63" s="446">
        <f t="shared" si="57"/>
        <v>0</v>
      </c>
      <c r="AS63" s="450" t="e">
        <f t="shared" si="46"/>
        <v>#DIV/0!</v>
      </c>
      <c r="AT63" s="518"/>
      <c r="AU63" s="39">
        <f t="shared" si="58"/>
        <v>0</v>
      </c>
      <c r="AV63" s="39">
        <f t="shared" si="58"/>
        <v>0</v>
      </c>
      <c r="AW63" s="106">
        <f t="shared" si="59"/>
        <v>0</v>
      </c>
      <c r="AX63" s="178" t="e">
        <f t="shared" si="41"/>
        <v>#DIV/0!</v>
      </c>
      <c r="AY63" s="79"/>
    </row>
    <row r="64" spans="1:51" ht="13.8">
      <c r="A64" s="237"/>
      <c r="B64" s="615" t="s">
        <v>63</v>
      </c>
      <c r="C64" s="129"/>
      <c r="D64" s="128"/>
      <c r="E64" s="120">
        <f t="shared" si="47"/>
        <v>0</v>
      </c>
      <c r="F64" s="178" t="e">
        <f t="shared" si="60"/>
        <v>#DIV/0!</v>
      </c>
      <c r="G64" s="210"/>
      <c r="H64" s="210"/>
      <c r="I64" s="106">
        <f t="shared" si="48"/>
        <v>0</v>
      </c>
      <c r="J64" s="178" t="e">
        <f t="shared" si="3"/>
        <v>#DIV/0!</v>
      </c>
      <c r="K64" s="79"/>
      <c r="L64" s="210"/>
      <c r="M64" s="210"/>
      <c r="N64" s="106">
        <f t="shared" si="49"/>
        <v>0</v>
      </c>
      <c r="O64" s="178">
        <f t="shared" si="42"/>
        <v>0</v>
      </c>
      <c r="P64" s="857"/>
      <c r="Q64" s="210"/>
      <c r="R64" s="210"/>
      <c r="S64" s="106">
        <f t="shared" si="50"/>
        <v>0</v>
      </c>
      <c r="T64" s="178" t="e">
        <f t="shared" si="51"/>
        <v>#DIV/0!</v>
      </c>
      <c r="U64" s="259"/>
      <c r="V64" s="210"/>
      <c r="W64" s="210"/>
      <c r="X64" s="106">
        <f t="shared" si="52"/>
        <v>0</v>
      </c>
      <c r="Y64" s="178" t="e">
        <f t="shared" si="53"/>
        <v>#DIV/0!</v>
      </c>
      <c r="Z64" s="259"/>
      <c r="AA64" s="210"/>
      <c r="AB64" s="210"/>
      <c r="AC64" s="106">
        <f t="shared" si="54"/>
        <v>0</v>
      </c>
      <c r="AD64" s="178" t="e">
        <f t="shared" si="43"/>
        <v>#DIV/0!</v>
      </c>
      <c r="AE64" s="731"/>
      <c r="AF64" s="669"/>
      <c r="AG64" s="453"/>
      <c r="AH64" s="446">
        <f t="shared" si="55"/>
        <v>0</v>
      </c>
      <c r="AI64" s="450" t="e">
        <f t="shared" si="44"/>
        <v>#DIV/0!</v>
      </c>
      <c r="AJ64" s="503"/>
      <c r="AK64" s="669"/>
      <c r="AL64" s="453"/>
      <c r="AM64" s="446">
        <f t="shared" si="56"/>
        <v>0</v>
      </c>
      <c r="AN64" s="450" t="e">
        <f t="shared" si="45"/>
        <v>#DIV/0!</v>
      </c>
      <c r="AO64" s="503"/>
      <c r="AP64" s="669"/>
      <c r="AQ64" s="453"/>
      <c r="AR64" s="446">
        <f t="shared" si="57"/>
        <v>0</v>
      </c>
      <c r="AS64" s="450" t="e">
        <f t="shared" si="46"/>
        <v>#DIV/0!</v>
      </c>
      <c r="AT64" s="503"/>
      <c r="AU64" s="39">
        <f t="shared" si="58"/>
        <v>0</v>
      </c>
      <c r="AV64" s="39">
        <f t="shared" si="58"/>
        <v>0</v>
      </c>
      <c r="AW64" s="106">
        <f t="shared" si="59"/>
        <v>0</v>
      </c>
      <c r="AX64" s="178" t="e">
        <f t="shared" si="41"/>
        <v>#DIV/0!</v>
      </c>
      <c r="AY64" s="79"/>
    </row>
    <row r="65" spans="1:51" ht="27.6">
      <c r="A65" s="237"/>
      <c r="B65" s="615" t="s">
        <v>36</v>
      </c>
      <c r="C65" s="129"/>
      <c r="D65" s="128"/>
      <c r="E65" s="120">
        <f t="shared" si="47"/>
        <v>0</v>
      </c>
      <c r="F65" s="178" t="e">
        <f t="shared" si="60"/>
        <v>#DIV/0!</v>
      </c>
      <c r="G65" s="39"/>
      <c r="H65" s="39"/>
      <c r="I65" s="106">
        <f t="shared" si="48"/>
        <v>0</v>
      </c>
      <c r="J65" s="178" t="e">
        <f t="shared" si="3"/>
        <v>#DIV/0!</v>
      </c>
      <c r="K65" s="389"/>
      <c r="L65" s="39"/>
      <c r="M65" s="39"/>
      <c r="N65" s="106">
        <f t="shared" si="49"/>
        <v>0</v>
      </c>
      <c r="O65" s="178">
        <f t="shared" si="42"/>
        <v>0</v>
      </c>
      <c r="P65" s="860"/>
      <c r="Q65" s="39"/>
      <c r="R65" s="39"/>
      <c r="S65" s="106">
        <f t="shared" si="50"/>
        <v>0</v>
      </c>
      <c r="T65" s="178" t="e">
        <f t="shared" si="51"/>
        <v>#DIV/0!</v>
      </c>
      <c r="U65" s="259"/>
      <c r="V65" s="39"/>
      <c r="W65" s="39"/>
      <c r="X65" s="106">
        <f t="shared" si="52"/>
        <v>0</v>
      </c>
      <c r="Y65" s="178" t="e">
        <f t="shared" si="53"/>
        <v>#DIV/0!</v>
      </c>
      <c r="Z65" s="259"/>
      <c r="AA65" s="39"/>
      <c r="AB65" s="39"/>
      <c r="AC65" s="106">
        <f t="shared" si="54"/>
        <v>0</v>
      </c>
      <c r="AD65" s="178" t="e">
        <f t="shared" si="43"/>
        <v>#DIV/0!</v>
      </c>
      <c r="AE65" s="731"/>
      <c r="AF65" s="560"/>
      <c r="AG65" s="452"/>
      <c r="AH65" s="446">
        <f t="shared" si="55"/>
        <v>0</v>
      </c>
      <c r="AI65" s="450" t="e">
        <f t="shared" si="44"/>
        <v>#DIV/0!</v>
      </c>
      <c r="AJ65" s="503"/>
      <c r="AK65" s="560"/>
      <c r="AL65" s="452"/>
      <c r="AM65" s="446">
        <f t="shared" si="56"/>
        <v>0</v>
      </c>
      <c r="AN65" s="450" t="e">
        <f t="shared" si="45"/>
        <v>#DIV/0!</v>
      </c>
      <c r="AO65" s="503"/>
      <c r="AP65" s="560"/>
      <c r="AQ65" s="452"/>
      <c r="AR65" s="446">
        <f t="shared" si="57"/>
        <v>0</v>
      </c>
      <c r="AS65" s="450" t="e">
        <f t="shared" si="46"/>
        <v>#DIV/0!</v>
      </c>
      <c r="AT65" s="503"/>
      <c r="AU65" s="39">
        <f t="shared" si="58"/>
        <v>0</v>
      </c>
      <c r="AV65" s="39">
        <f t="shared" si="58"/>
        <v>0</v>
      </c>
      <c r="AW65" s="106">
        <f t="shared" si="59"/>
        <v>0</v>
      </c>
      <c r="AX65" s="178" t="e">
        <f t="shared" si="41"/>
        <v>#DIV/0!</v>
      </c>
      <c r="AY65" s="79"/>
    </row>
    <row r="66" spans="1:51" s="2" customFormat="1" ht="13.8">
      <c r="A66" s="237"/>
      <c r="B66" s="615" t="s">
        <v>37</v>
      </c>
      <c r="C66" s="129"/>
      <c r="D66" s="128"/>
      <c r="E66" s="120">
        <f t="shared" si="47"/>
        <v>0</v>
      </c>
      <c r="F66" s="178" t="e">
        <f t="shared" si="60"/>
        <v>#DIV/0!</v>
      </c>
      <c r="G66" s="39"/>
      <c r="H66" s="39"/>
      <c r="I66" s="106">
        <f t="shared" si="48"/>
        <v>0</v>
      </c>
      <c r="J66" s="178" t="e">
        <f t="shared" si="3"/>
        <v>#DIV/0!</v>
      </c>
      <c r="K66" s="79"/>
      <c r="L66" s="39"/>
      <c r="M66" s="39"/>
      <c r="N66" s="106">
        <f t="shared" si="49"/>
        <v>0</v>
      </c>
      <c r="O66" s="178">
        <f t="shared" si="42"/>
        <v>0</v>
      </c>
      <c r="P66" s="259"/>
      <c r="Q66" s="39"/>
      <c r="R66" s="39"/>
      <c r="S66" s="106">
        <f t="shared" si="50"/>
        <v>0</v>
      </c>
      <c r="T66" s="178" t="e">
        <f t="shared" si="51"/>
        <v>#DIV/0!</v>
      </c>
      <c r="U66" s="259"/>
      <c r="V66" s="39"/>
      <c r="W66" s="39"/>
      <c r="X66" s="106">
        <f t="shared" si="52"/>
        <v>0</v>
      </c>
      <c r="Y66" s="178" t="e">
        <f t="shared" si="53"/>
        <v>#DIV/0!</v>
      </c>
      <c r="Z66" s="259"/>
      <c r="AA66" s="39"/>
      <c r="AB66" s="39"/>
      <c r="AC66" s="106">
        <f t="shared" si="54"/>
        <v>0</v>
      </c>
      <c r="AD66" s="178" t="e">
        <f t="shared" si="43"/>
        <v>#DIV/0!</v>
      </c>
      <c r="AE66" s="731"/>
      <c r="AF66" s="560"/>
      <c r="AG66" s="452"/>
      <c r="AH66" s="446">
        <f t="shared" si="55"/>
        <v>0</v>
      </c>
      <c r="AI66" s="450" t="e">
        <f t="shared" si="44"/>
        <v>#DIV/0!</v>
      </c>
      <c r="AJ66" s="503"/>
      <c r="AK66" s="560"/>
      <c r="AL66" s="452"/>
      <c r="AM66" s="446">
        <f t="shared" si="56"/>
        <v>0</v>
      </c>
      <c r="AN66" s="450" t="e">
        <f t="shared" si="45"/>
        <v>#DIV/0!</v>
      </c>
      <c r="AO66" s="503"/>
      <c r="AP66" s="560"/>
      <c r="AQ66" s="452"/>
      <c r="AR66" s="446">
        <f t="shared" si="57"/>
        <v>0</v>
      </c>
      <c r="AS66" s="450" t="e">
        <f t="shared" si="46"/>
        <v>#DIV/0!</v>
      </c>
      <c r="AT66" s="503"/>
      <c r="AU66" s="39">
        <f t="shared" si="58"/>
        <v>0</v>
      </c>
      <c r="AV66" s="39">
        <f t="shared" si="58"/>
        <v>0</v>
      </c>
      <c r="AW66" s="106">
        <f t="shared" si="59"/>
        <v>0</v>
      </c>
      <c r="AX66" s="178" t="e">
        <f t="shared" si="41"/>
        <v>#DIV/0!</v>
      </c>
      <c r="AY66" s="79"/>
    </row>
    <row r="67" spans="1:51" s="2" customFormat="1" ht="13.8">
      <c r="A67" s="237"/>
      <c r="B67" s="615" t="s">
        <v>3</v>
      </c>
      <c r="C67" s="129"/>
      <c r="D67" s="128"/>
      <c r="E67" s="120">
        <f t="shared" si="47"/>
        <v>0</v>
      </c>
      <c r="F67" s="178" t="e">
        <f t="shared" si="60"/>
        <v>#DIV/0!</v>
      </c>
      <c r="G67" s="39"/>
      <c r="H67" s="39"/>
      <c r="I67" s="106">
        <f t="shared" si="48"/>
        <v>0</v>
      </c>
      <c r="J67" s="178" t="e">
        <f t="shared" si="3"/>
        <v>#DIV/0!</v>
      </c>
      <c r="K67" s="79"/>
      <c r="L67" s="39"/>
      <c r="M67" s="39"/>
      <c r="N67" s="106">
        <f t="shared" si="49"/>
        <v>0</v>
      </c>
      <c r="O67" s="178">
        <f t="shared" si="42"/>
        <v>0</v>
      </c>
      <c r="P67" s="860"/>
      <c r="Q67" s="39"/>
      <c r="R67" s="39"/>
      <c r="S67" s="106">
        <f t="shared" si="50"/>
        <v>0</v>
      </c>
      <c r="T67" s="178" t="e">
        <f t="shared" si="51"/>
        <v>#DIV/0!</v>
      </c>
      <c r="U67" s="259"/>
      <c r="V67" s="39"/>
      <c r="W67" s="39"/>
      <c r="X67" s="106">
        <f t="shared" si="52"/>
        <v>0</v>
      </c>
      <c r="Y67" s="178" t="e">
        <f t="shared" si="53"/>
        <v>#DIV/0!</v>
      </c>
      <c r="Z67" s="259"/>
      <c r="AA67" s="39"/>
      <c r="AB67" s="39"/>
      <c r="AC67" s="106">
        <f t="shared" si="54"/>
        <v>0</v>
      </c>
      <c r="AD67" s="178" t="e">
        <f t="shared" si="43"/>
        <v>#DIV/0!</v>
      </c>
      <c r="AE67" s="731"/>
      <c r="AF67" s="560"/>
      <c r="AG67" s="452"/>
      <c r="AH67" s="446">
        <f t="shared" si="55"/>
        <v>0</v>
      </c>
      <c r="AI67" s="450" t="e">
        <f t="shared" si="44"/>
        <v>#DIV/0!</v>
      </c>
      <c r="AJ67" s="503"/>
      <c r="AK67" s="560"/>
      <c r="AL67" s="452"/>
      <c r="AM67" s="446">
        <f t="shared" si="56"/>
        <v>0</v>
      </c>
      <c r="AN67" s="450" t="e">
        <f t="shared" si="45"/>
        <v>#DIV/0!</v>
      </c>
      <c r="AO67" s="503"/>
      <c r="AP67" s="560"/>
      <c r="AQ67" s="452"/>
      <c r="AR67" s="446">
        <f t="shared" si="57"/>
        <v>0</v>
      </c>
      <c r="AS67" s="450" t="e">
        <f t="shared" si="46"/>
        <v>#DIV/0!</v>
      </c>
      <c r="AT67" s="503"/>
      <c r="AU67" s="39">
        <f t="shared" si="58"/>
        <v>0</v>
      </c>
      <c r="AV67" s="39">
        <f t="shared" si="58"/>
        <v>0</v>
      </c>
      <c r="AW67" s="106">
        <f t="shared" si="59"/>
        <v>0</v>
      </c>
      <c r="AX67" s="178" t="e">
        <f t="shared" si="41"/>
        <v>#DIV/0!</v>
      </c>
      <c r="AY67" s="79"/>
    </row>
    <row r="68" spans="1:51" s="2" customFormat="1" ht="13.8">
      <c r="A68" s="237"/>
      <c r="B68" s="615" t="s">
        <v>5</v>
      </c>
      <c r="C68" s="129"/>
      <c r="D68" s="128"/>
      <c r="E68" s="120">
        <f t="shared" si="47"/>
        <v>0</v>
      </c>
      <c r="F68" s="178" t="e">
        <f t="shared" si="60"/>
        <v>#DIV/0!</v>
      </c>
      <c r="G68" s="39"/>
      <c r="H68" s="39"/>
      <c r="I68" s="106">
        <f t="shared" si="48"/>
        <v>0</v>
      </c>
      <c r="J68" s="178" t="e">
        <f t="shared" si="3"/>
        <v>#DIV/0!</v>
      </c>
      <c r="K68" s="79"/>
      <c r="L68" s="39"/>
      <c r="M68" s="39"/>
      <c r="N68" s="106">
        <f t="shared" si="49"/>
        <v>0</v>
      </c>
      <c r="O68" s="178">
        <f t="shared" si="42"/>
        <v>0</v>
      </c>
      <c r="P68" s="259"/>
      <c r="Q68" s="39"/>
      <c r="R68" s="39"/>
      <c r="S68" s="106">
        <f t="shared" si="50"/>
        <v>0</v>
      </c>
      <c r="T68" s="178" t="e">
        <f t="shared" si="51"/>
        <v>#DIV/0!</v>
      </c>
      <c r="U68" s="259"/>
      <c r="V68" s="39"/>
      <c r="W68" s="39"/>
      <c r="X68" s="106">
        <f t="shared" si="52"/>
        <v>0</v>
      </c>
      <c r="Y68" s="178" t="e">
        <f t="shared" si="53"/>
        <v>#DIV/0!</v>
      </c>
      <c r="Z68" s="259"/>
      <c r="AA68" s="39"/>
      <c r="AB68" s="39"/>
      <c r="AC68" s="106">
        <f t="shared" si="54"/>
        <v>0</v>
      </c>
      <c r="AD68" s="178" t="e">
        <f t="shared" si="43"/>
        <v>#DIV/0!</v>
      </c>
      <c r="AE68" s="731"/>
      <c r="AF68" s="560"/>
      <c r="AG68" s="452"/>
      <c r="AH68" s="446">
        <f t="shared" si="55"/>
        <v>0</v>
      </c>
      <c r="AI68" s="450" t="e">
        <f t="shared" si="44"/>
        <v>#DIV/0!</v>
      </c>
      <c r="AJ68" s="503"/>
      <c r="AK68" s="560"/>
      <c r="AL68" s="452"/>
      <c r="AM68" s="446">
        <f t="shared" si="56"/>
        <v>0</v>
      </c>
      <c r="AN68" s="450" t="e">
        <f t="shared" si="45"/>
        <v>#DIV/0!</v>
      </c>
      <c r="AO68" s="503"/>
      <c r="AP68" s="560"/>
      <c r="AQ68" s="452"/>
      <c r="AR68" s="446">
        <f t="shared" si="57"/>
        <v>0</v>
      </c>
      <c r="AS68" s="450" t="e">
        <f t="shared" si="46"/>
        <v>#DIV/0!</v>
      </c>
      <c r="AT68" s="503"/>
      <c r="AU68" s="39">
        <f t="shared" si="58"/>
        <v>0</v>
      </c>
      <c r="AV68" s="39">
        <f t="shared" si="58"/>
        <v>0</v>
      </c>
      <c r="AW68" s="106">
        <f t="shared" si="59"/>
        <v>0</v>
      </c>
      <c r="AX68" s="178" t="e">
        <f t="shared" si="41"/>
        <v>#DIV/0!</v>
      </c>
      <c r="AY68" s="79"/>
    </row>
    <row r="69" spans="1:51" s="2" customFormat="1" ht="13.8">
      <c r="A69" s="237"/>
      <c r="B69" s="615" t="s">
        <v>42</v>
      </c>
      <c r="C69" s="129"/>
      <c r="D69" s="128"/>
      <c r="E69" s="120">
        <f t="shared" si="47"/>
        <v>0</v>
      </c>
      <c r="F69" s="178" t="e">
        <f t="shared" si="60"/>
        <v>#DIV/0!</v>
      </c>
      <c r="G69" s="39"/>
      <c r="H69" s="39"/>
      <c r="I69" s="106">
        <f t="shared" si="48"/>
        <v>0</v>
      </c>
      <c r="J69" s="178" t="e">
        <f t="shared" si="3"/>
        <v>#DIV/0!</v>
      </c>
      <c r="K69" s="79"/>
      <c r="L69" s="39"/>
      <c r="M69" s="39"/>
      <c r="N69" s="106">
        <f t="shared" si="49"/>
        <v>0</v>
      </c>
      <c r="O69" s="178">
        <f t="shared" si="42"/>
        <v>0</v>
      </c>
      <c r="P69" s="415"/>
      <c r="Q69" s="39"/>
      <c r="R69" s="39"/>
      <c r="S69" s="106">
        <f t="shared" si="50"/>
        <v>0</v>
      </c>
      <c r="T69" s="178" t="e">
        <f t="shared" si="51"/>
        <v>#DIV/0!</v>
      </c>
      <c r="U69" s="415"/>
      <c r="V69" s="39"/>
      <c r="W69" s="39"/>
      <c r="X69" s="106">
        <f t="shared" si="52"/>
        <v>0</v>
      </c>
      <c r="Y69" s="178" t="e">
        <f t="shared" si="53"/>
        <v>#DIV/0!</v>
      </c>
      <c r="Z69" s="415"/>
      <c r="AA69" s="39"/>
      <c r="AB69" s="39"/>
      <c r="AC69" s="106">
        <f t="shared" si="54"/>
        <v>0</v>
      </c>
      <c r="AD69" s="178" t="e">
        <f t="shared" si="43"/>
        <v>#DIV/0!</v>
      </c>
      <c r="AE69" s="736"/>
      <c r="AF69" s="560"/>
      <c r="AG69" s="452"/>
      <c r="AH69" s="446">
        <f t="shared" si="55"/>
        <v>0</v>
      </c>
      <c r="AI69" s="450" t="e">
        <f t="shared" si="44"/>
        <v>#DIV/0!</v>
      </c>
      <c r="AJ69" s="518"/>
      <c r="AK69" s="560"/>
      <c r="AL69" s="452"/>
      <c r="AM69" s="446">
        <f t="shared" si="56"/>
        <v>0</v>
      </c>
      <c r="AN69" s="450" t="e">
        <f t="shared" si="45"/>
        <v>#DIV/0!</v>
      </c>
      <c r="AO69" s="518"/>
      <c r="AP69" s="560"/>
      <c r="AQ69" s="452"/>
      <c r="AR69" s="446">
        <f t="shared" si="57"/>
        <v>0</v>
      </c>
      <c r="AS69" s="450" t="e">
        <f t="shared" si="46"/>
        <v>#DIV/0!</v>
      </c>
      <c r="AT69" s="518"/>
      <c r="AU69" s="39">
        <f t="shared" si="58"/>
        <v>0</v>
      </c>
      <c r="AV69" s="39">
        <f t="shared" si="58"/>
        <v>0</v>
      </c>
      <c r="AW69" s="106">
        <f t="shared" si="59"/>
        <v>0</v>
      </c>
      <c r="AX69" s="178" t="e">
        <f t="shared" si="41"/>
        <v>#DIV/0!</v>
      </c>
      <c r="AY69" s="79"/>
    </row>
    <row r="70" spans="1:51" s="2" customFormat="1" ht="13.8">
      <c r="A70" s="237"/>
      <c r="B70" s="615" t="s">
        <v>6</v>
      </c>
      <c r="C70" s="129"/>
      <c r="D70" s="128"/>
      <c r="E70" s="120">
        <f t="shared" si="47"/>
        <v>0</v>
      </c>
      <c r="F70" s="178" t="e">
        <f t="shared" si="60"/>
        <v>#DIV/0!</v>
      </c>
      <c r="G70" s="39"/>
      <c r="H70" s="39"/>
      <c r="I70" s="106">
        <f t="shared" si="48"/>
        <v>0</v>
      </c>
      <c r="J70" s="178" t="e">
        <f t="shared" si="3"/>
        <v>#DIV/0!</v>
      </c>
      <c r="K70" s="79"/>
      <c r="L70" s="39"/>
      <c r="M70" s="39"/>
      <c r="N70" s="106">
        <f t="shared" si="49"/>
        <v>0</v>
      </c>
      <c r="O70" s="178">
        <f t="shared" si="42"/>
        <v>0</v>
      </c>
      <c r="P70" s="259"/>
      <c r="Q70" s="39"/>
      <c r="R70" s="39"/>
      <c r="S70" s="106">
        <f t="shared" si="50"/>
        <v>0</v>
      </c>
      <c r="T70" s="178" t="e">
        <f t="shared" si="51"/>
        <v>#DIV/0!</v>
      </c>
      <c r="U70" s="259"/>
      <c r="V70" s="39"/>
      <c r="W70" s="39"/>
      <c r="X70" s="106">
        <f t="shared" si="52"/>
        <v>0</v>
      </c>
      <c r="Y70" s="178" t="e">
        <f t="shared" si="53"/>
        <v>#DIV/0!</v>
      </c>
      <c r="Z70" s="259"/>
      <c r="AA70" s="39"/>
      <c r="AB70" s="39"/>
      <c r="AC70" s="106">
        <f t="shared" si="54"/>
        <v>0</v>
      </c>
      <c r="AD70" s="178" t="e">
        <f t="shared" si="43"/>
        <v>#DIV/0!</v>
      </c>
      <c r="AE70" s="731"/>
      <c r="AF70" s="560"/>
      <c r="AG70" s="452"/>
      <c r="AH70" s="446">
        <f t="shared" si="55"/>
        <v>0</v>
      </c>
      <c r="AI70" s="450" t="e">
        <f t="shared" si="44"/>
        <v>#DIV/0!</v>
      </c>
      <c r="AJ70" s="503"/>
      <c r="AK70" s="560"/>
      <c r="AL70" s="452"/>
      <c r="AM70" s="446">
        <f t="shared" si="56"/>
        <v>0</v>
      </c>
      <c r="AN70" s="450" t="e">
        <f t="shared" si="45"/>
        <v>#DIV/0!</v>
      </c>
      <c r="AO70" s="503"/>
      <c r="AP70" s="560"/>
      <c r="AQ70" s="452"/>
      <c r="AR70" s="446">
        <f t="shared" si="57"/>
        <v>0</v>
      </c>
      <c r="AS70" s="450" t="e">
        <f t="shared" si="46"/>
        <v>#DIV/0!</v>
      </c>
      <c r="AT70" s="503"/>
      <c r="AU70" s="39">
        <f t="shared" si="58"/>
        <v>0</v>
      </c>
      <c r="AV70" s="39">
        <f t="shared" si="58"/>
        <v>0</v>
      </c>
      <c r="AW70" s="106">
        <f t="shared" si="59"/>
        <v>0</v>
      </c>
      <c r="AX70" s="178" t="e">
        <f t="shared" si="41"/>
        <v>#DIV/0!</v>
      </c>
      <c r="AY70" s="79"/>
    </row>
    <row r="71" spans="1:51" s="2" customFormat="1" ht="13.8">
      <c r="A71" s="237"/>
      <c r="B71" s="615" t="s">
        <v>78</v>
      </c>
      <c r="C71" s="129"/>
      <c r="D71" s="128"/>
      <c r="E71" s="120">
        <f t="shared" si="47"/>
        <v>0</v>
      </c>
      <c r="F71" s="184" t="e">
        <f t="shared" si="60"/>
        <v>#DIV/0!</v>
      </c>
      <c r="G71" s="39"/>
      <c r="H71" s="39"/>
      <c r="I71" s="106">
        <f t="shared" si="48"/>
        <v>0</v>
      </c>
      <c r="J71" s="178" t="e">
        <f t="shared" si="3"/>
        <v>#DIV/0!</v>
      </c>
      <c r="K71" s="79"/>
      <c r="L71" s="39"/>
      <c r="M71" s="39"/>
      <c r="N71" s="106">
        <f t="shared" si="49"/>
        <v>0</v>
      </c>
      <c r="O71" s="178">
        <f t="shared" si="42"/>
        <v>0</v>
      </c>
      <c r="P71" s="259"/>
      <c r="Q71" s="39"/>
      <c r="R71" s="39"/>
      <c r="S71" s="106">
        <f t="shared" si="50"/>
        <v>0</v>
      </c>
      <c r="T71" s="178" t="e">
        <f t="shared" si="51"/>
        <v>#DIV/0!</v>
      </c>
      <c r="U71" s="259"/>
      <c r="V71" s="39"/>
      <c r="W71" s="39"/>
      <c r="X71" s="106">
        <f t="shared" si="52"/>
        <v>0</v>
      </c>
      <c r="Y71" s="178" t="e">
        <f t="shared" si="53"/>
        <v>#DIV/0!</v>
      </c>
      <c r="Z71" s="259"/>
      <c r="AA71" s="39"/>
      <c r="AB71" s="39"/>
      <c r="AC71" s="106">
        <f t="shared" si="54"/>
        <v>0</v>
      </c>
      <c r="AD71" s="178" t="e">
        <f t="shared" si="43"/>
        <v>#DIV/0!</v>
      </c>
      <c r="AE71" s="731"/>
      <c r="AF71" s="560"/>
      <c r="AG71" s="452"/>
      <c r="AH71" s="446">
        <f t="shared" si="55"/>
        <v>0</v>
      </c>
      <c r="AI71" s="450" t="e">
        <f t="shared" si="44"/>
        <v>#DIV/0!</v>
      </c>
      <c r="AJ71" s="503"/>
      <c r="AK71" s="560"/>
      <c r="AL71" s="452"/>
      <c r="AM71" s="446">
        <f t="shared" si="56"/>
        <v>0</v>
      </c>
      <c r="AN71" s="450" t="e">
        <f t="shared" si="45"/>
        <v>#DIV/0!</v>
      </c>
      <c r="AO71" s="503"/>
      <c r="AP71" s="560"/>
      <c r="AQ71" s="452"/>
      <c r="AR71" s="446">
        <f t="shared" si="57"/>
        <v>0</v>
      </c>
      <c r="AS71" s="450" t="e">
        <f t="shared" si="46"/>
        <v>#DIV/0!</v>
      </c>
      <c r="AT71" s="503"/>
      <c r="AU71" s="39">
        <f t="shared" si="58"/>
        <v>0</v>
      </c>
      <c r="AV71" s="39">
        <f t="shared" si="58"/>
        <v>0</v>
      </c>
      <c r="AW71" s="106">
        <f t="shared" si="59"/>
        <v>0</v>
      </c>
      <c r="AX71" s="178" t="e">
        <f t="shared" si="41"/>
        <v>#DIV/0!</v>
      </c>
      <c r="AY71" s="79"/>
    </row>
    <row r="72" spans="1:51" s="2" customFormat="1" ht="14.4" thickBot="1">
      <c r="A72" s="237"/>
      <c r="B72" s="19"/>
      <c r="C72" s="130"/>
      <c r="D72" s="131"/>
      <c r="E72" s="159"/>
      <c r="F72" s="184" t="e">
        <f t="shared" si="60"/>
        <v>#DIV/0!</v>
      </c>
      <c r="G72" s="39"/>
      <c r="H72" s="39"/>
      <c r="I72" s="106"/>
      <c r="J72" s="178" t="e">
        <f t="shared" si="3"/>
        <v>#DIV/0!</v>
      </c>
      <c r="K72" s="79"/>
      <c r="L72" s="39"/>
      <c r="M72" s="39"/>
      <c r="N72" s="106"/>
      <c r="O72" s="178">
        <f t="shared" si="42"/>
        <v>0</v>
      </c>
      <c r="P72" s="259"/>
      <c r="Q72" s="39"/>
      <c r="R72" s="39"/>
      <c r="S72" s="106"/>
      <c r="T72" s="178" t="e">
        <f t="shared" si="51"/>
        <v>#DIV/0!</v>
      </c>
      <c r="U72" s="259"/>
      <c r="V72" s="39"/>
      <c r="W72" s="39"/>
      <c r="X72" s="106"/>
      <c r="Y72" s="178" t="e">
        <f t="shared" si="53"/>
        <v>#DIV/0!</v>
      </c>
      <c r="Z72" s="259"/>
      <c r="AA72" s="39"/>
      <c r="AB72" s="39"/>
      <c r="AC72" s="106"/>
      <c r="AD72" s="178"/>
      <c r="AE72" s="731"/>
      <c r="AF72" s="560"/>
      <c r="AG72" s="452"/>
      <c r="AH72" s="446"/>
      <c r="AI72" s="450"/>
      <c r="AJ72" s="503"/>
      <c r="AK72" s="560"/>
      <c r="AL72" s="452"/>
      <c r="AM72" s="446"/>
      <c r="AN72" s="450"/>
      <c r="AO72" s="503"/>
      <c r="AP72" s="560"/>
      <c r="AQ72" s="452"/>
      <c r="AR72" s="446"/>
      <c r="AS72" s="450"/>
      <c r="AT72" s="503"/>
      <c r="AU72" s="39"/>
      <c r="AV72" s="39"/>
      <c r="AW72" s="106"/>
      <c r="AX72" s="178" t="e">
        <f t="shared" si="41"/>
        <v>#DIV/0!</v>
      </c>
      <c r="AY72" s="79"/>
    </row>
    <row r="73" spans="1:51" s="2" customFormat="1" ht="14.4" thickBot="1">
      <c r="A73" s="237"/>
      <c r="B73" s="13" t="s">
        <v>4</v>
      </c>
      <c r="C73" s="132">
        <f>C74</f>
        <v>0</v>
      </c>
      <c r="D73" s="133">
        <f>D74</f>
        <v>0</v>
      </c>
      <c r="E73" s="132">
        <f>E74</f>
        <v>0</v>
      </c>
      <c r="F73" s="171" t="e">
        <f>E73/$E$89</f>
        <v>#DIV/0!</v>
      </c>
      <c r="G73" s="139">
        <f>G74</f>
        <v>0</v>
      </c>
      <c r="H73" s="63">
        <f>H74</f>
        <v>0</v>
      </c>
      <c r="I73" s="60">
        <f>I74</f>
        <v>0</v>
      </c>
      <c r="J73" s="63"/>
      <c r="K73" s="63"/>
      <c r="L73" s="139">
        <f>L74</f>
        <v>0</v>
      </c>
      <c r="M73" s="63">
        <f>M74</f>
        <v>0</v>
      </c>
      <c r="N73" s="60">
        <f>N74</f>
        <v>0</v>
      </c>
      <c r="O73" s="63"/>
      <c r="P73" s="410"/>
      <c r="Q73" s="139">
        <f>Q74</f>
        <v>0</v>
      </c>
      <c r="R73" s="63">
        <f>R74</f>
        <v>0</v>
      </c>
      <c r="S73" s="60">
        <f>S74</f>
        <v>0</v>
      </c>
      <c r="T73" s="63"/>
      <c r="U73" s="410"/>
      <c r="V73" s="139">
        <f>V74</f>
        <v>0</v>
      </c>
      <c r="W73" s="63">
        <f>W74</f>
        <v>0</v>
      </c>
      <c r="X73" s="60">
        <f>X74</f>
        <v>0</v>
      </c>
      <c r="Y73" s="63"/>
      <c r="Z73" s="410"/>
      <c r="AA73" s="139">
        <f>AA74</f>
        <v>0</v>
      </c>
      <c r="AB73" s="63">
        <f>AB74</f>
        <v>0</v>
      </c>
      <c r="AC73" s="60">
        <f>AC74</f>
        <v>0</v>
      </c>
      <c r="AD73" s="63"/>
      <c r="AE73" s="737"/>
      <c r="AF73" s="587">
        <f>AF74</f>
        <v>0</v>
      </c>
      <c r="AG73" s="586">
        <f>AG74</f>
        <v>0</v>
      </c>
      <c r="AH73" s="581">
        <f>AH74</f>
        <v>0</v>
      </c>
      <c r="AI73" s="586"/>
      <c r="AJ73" s="746"/>
      <c r="AK73" s="587">
        <f>AK74</f>
        <v>0</v>
      </c>
      <c r="AL73" s="586">
        <f>AL74</f>
        <v>0</v>
      </c>
      <c r="AM73" s="581">
        <f>AM74</f>
        <v>0</v>
      </c>
      <c r="AN73" s="586"/>
      <c r="AO73" s="746"/>
      <c r="AP73" s="587">
        <f>AP74</f>
        <v>0</v>
      </c>
      <c r="AQ73" s="586">
        <f>AQ74</f>
        <v>0</v>
      </c>
      <c r="AR73" s="581">
        <f>AR74</f>
        <v>0</v>
      </c>
      <c r="AS73" s="586"/>
      <c r="AT73" s="746"/>
      <c r="AU73" s="139">
        <f>AU74</f>
        <v>0</v>
      </c>
      <c r="AV73" s="63">
        <f>AV74</f>
        <v>0</v>
      </c>
      <c r="AW73" s="60">
        <f>AW74</f>
        <v>0</v>
      </c>
      <c r="AX73" s="63"/>
      <c r="AY73" s="63"/>
    </row>
    <row r="74" spans="1:51" s="2" customFormat="1" ht="14.4" thickBot="1">
      <c r="A74" s="20"/>
      <c r="B74" s="225" t="s">
        <v>64</v>
      </c>
      <c r="C74" s="129">
        <f>C6*3%</f>
        <v>0</v>
      </c>
      <c r="D74" s="135"/>
      <c r="E74" s="136">
        <f>C74+D74</f>
        <v>0</v>
      </c>
      <c r="F74" s="185"/>
      <c r="G74" s="39"/>
      <c r="H74" s="39"/>
      <c r="I74" s="64"/>
      <c r="J74" s="64"/>
      <c r="K74" s="64"/>
      <c r="L74" s="39"/>
      <c r="M74" s="39"/>
      <c r="N74" s="527">
        <f>L74+M74*1</f>
        <v>0</v>
      </c>
      <c r="O74" s="64"/>
      <c r="P74" s="64"/>
      <c r="Q74" s="39"/>
      <c r="R74" s="39"/>
      <c r="S74" s="527">
        <f>Q74+R74*1</f>
        <v>0</v>
      </c>
      <c r="T74" s="64"/>
      <c r="U74" s="64"/>
      <c r="V74" s="39"/>
      <c r="W74" s="39"/>
      <c r="X74" s="527">
        <f>V74+W74*1</f>
        <v>0</v>
      </c>
      <c r="Y74" s="64"/>
      <c r="Z74" s="64"/>
      <c r="AA74" s="39"/>
      <c r="AB74" s="39"/>
      <c r="AC74" s="527">
        <f>AA74+AB74*1</f>
        <v>0</v>
      </c>
      <c r="AD74" s="64"/>
      <c r="AE74" s="603"/>
      <c r="AF74" s="560"/>
      <c r="AG74" s="452"/>
      <c r="AH74" s="747">
        <f>AF74+AG74*1</f>
        <v>0</v>
      </c>
      <c r="AI74" s="588"/>
      <c r="AJ74" s="588"/>
      <c r="AK74" s="560"/>
      <c r="AL74" s="452"/>
      <c r="AM74" s="747">
        <f>AK74+AL74*1</f>
        <v>0</v>
      </c>
      <c r="AN74" s="588"/>
      <c r="AO74" s="588"/>
      <c r="AP74" s="560"/>
      <c r="AQ74" s="452"/>
      <c r="AR74" s="747">
        <f>AP74+AQ74*1</f>
        <v>0</v>
      </c>
      <c r="AS74" s="588"/>
      <c r="AT74" s="588"/>
      <c r="AU74" s="39">
        <f>G74+L74+Q74+V74+AA74+AF74+AK74</f>
        <v>0</v>
      </c>
      <c r="AV74" s="39">
        <f>H74+M74+R74+W74+AB74+AG74+AL74</f>
        <v>0</v>
      </c>
      <c r="AW74" s="527">
        <f>AU74+AV74*1</f>
        <v>0</v>
      </c>
      <c r="AX74" s="64"/>
      <c r="AY74" s="64"/>
    </row>
    <row r="75" spans="1:51" s="2" customFormat="1" ht="14.4" thickBot="1">
      <c r="A75" s="5"/>
      <c r="B75" s="23" t="s">
        <v>48</v>
      </c>
      <c r="C75" s="137">
        <f>C38-C41-C50-C54</f>
        <v>0</v>
      </c>
      <c r="D75" s="137">
        <f>D38-D41-D50-D54</f>
        <v>0</v>
      </c>
      <c r="E75" s="138">
        <f>E38-E41-E50-E54</f>
        <v>0</v>
      </c>
      <c r="F75" s="172"/>
      <c r="G75" s="65">
        <f>G38-G41-G50-G54</f>
        <v>0</v>
      </c>
      <c r="H75" s="65">
        <f>H38-H41-H50-H54</f>
        <v>0</v>
      </c>
      <c r="I75" s="138">
        <f>I38-I41-I50-I54</f>
        <v>0</v>
      </c>
      <c r="J75" s="66"/>
      <c r="K75" s="66"/>
      <c r="L75" s="65">
        <f>L38-L41-L50-L54</f>
        <v>370000</v>
      </c>
      <c r="M75" s="65">
        <f>M38-M41-M50-M54</f>
        <v>-49400</v>
      </c>
      <c r="N75" s="138">
        <f>N38-N41-N50-N54</f>
        <v>320600</v>
      </c>
      <c r="O75" s="66"/>
      <c r="P75" s="411"/>
      <c r="Q75" s="65">
        <f>Q38-Q41-Q50-Q54</f>
        <v>0</v>
      </c>
      <c r="R75" s="65">
        <f>R38-R41-R50-R54</f>
        <v>0</v>
      </c>
      <c r="S75" s="138">
        <f>S38-S41-S50-S54</f>
        <v>0</v>
      </c>
      <c r="T75" s="66"/>
      <c r="U75" s="411"/>
      <c r="V75" s="65">
        <f>V38-V41-V50-V54</f>
        <v>0</v>
      </c>
      <c r="W75" s="65">
        <f>W38-W41-W50-W54</f>
        <v>0</v>
      </c>
      <c r="X75" s="138">
        <f>X38-X41-X50-X54</f>
        <v>0</v>
      </c>
      <c r="Y75" s="66"/>
      <c r="Z75" s="411"/>
      <c r="AA75" s="65">
        <f>AA38-AA41-AA50-AA54</f>
        <v>0</v>
      </c>
      <c r="AB75" s="65">
        <f>AB38-AB41-AB50-AB54</f>
        <v>0</v>
      </c>
      <c r="AC75" s="138">
        <f>AC38-AC41-AC50-AC54</f>
        <v>0</v>
      </c>
      <c r="AD75" s="66"/>
      <c r="AE75" s="738"/>
      <c r="AF75" s="646">
        <f>AF38-AF41-AF50-AF54</f>
        <v>0</v>
      </c>
      <c r="AG75" s="646">
        <f>AG38-AG41-AG50-AG54</f>
        <v>0</v>
      </c>
      <c r="AH75" s="670">
        <f>AH38-AH41-AH50-AH54</f>
        <v>0</v>
      </c>
      <c r="AI75" s="671"/>
      <c r="AJ75" s="748"/>
      <c r="AK75" s="646">
        <f>AK38-AK41-AK50-AK54</f>
        <v>0</v>
      </c>
      <c r="AL75" s="646">
        <f>AL38-AL41-AL50-AL54</f>
        <v>0</v>
      </c>
      <c r="AM75" s="670">
        <f>AM38-AM41-AM50-AM54</f>
        <v>0</v>
      </c>
      <c r="AN75" s="671"/>
      <c r="AO75" s="748"/>
      <c r="AP75" s="646">
        <f>AP38-AP41-AP50-AP54</f>
        <v>-120000</v>
      </c>
      <c r="AQ75" s="646">
        <f>AQ38-AQ41-AQ50-AQ54</f>
        <v>0</v>
      </c>
      <c r="AR75" s="670">
        <f>AR38-AR41-AR50-AR54</f>
        <v>-120000</v>
      </c>
      <c r="AS75" s="671"/>
      <c r="AT75" s="748"/>
      <c r="AU75" s="65">
        <f>AU38-AU41-AU50-AU54</f>
        <v>250000</v>
      </c>
      <c r="AV75" s="65">
        <f>AV38-AV41-AV50-AV54</f>
        <v>-49400</v>
      </c>
      <c r="AW75" s="138">
        <f>AW38-AW41-AW50-AW54</f>
        <v>200600</v>
      </c>
      <c r="AX75" s="66"/>
      <c r="AY75" s="66"/>
    </row>
    <row r="76" spans="1:51" s="2" customFormat="1" ht="13.8">
      <c r="A76" s="294"/>
      <c r="B76" s="36" t="s">
        <v>49</v>
      </c>
      <c r="C76" s="157" t="e">
        <f>C75/C5</f>
        <v>#DIV/0!</v>
      </c>
      <c r="D76" s="157" t="e">
        <f>D75/D5</f>
        <v>#DIV/0!</v>
      </c>
      <c r="E76" s="158" t="e">
        <f>E75/E5</f>
        <v>#DIV/0!</v>
      </c>
      <c r="F76" s="167"/>
      <c r="G76" s="54" t="e">
        <f>G75/G5</f>
        <v>#DIV/0!</v>
      </c>
      <c r="H76" s="54" t="e">
        <f>H75/H5</f>
        <v>#DIV/0!</v>
      </c>
      <c r="I76" s="55" t="e">
        <f>I75/I5</f>
        <v>#DIV/0!</v>
      </c>
      <c r="J76" s="55"/>
      <c r="K76" s="55"/>
      <c r="L76" s="54">
        <f>L75/L5</f>
        <v>1</v>
      </c>
      <c r="M76" s="54" t="e">
        <f>M75/M5</f>
        <v>#DIV/0!</v>
      </c>
      <c r="N76" s="55">
        <f>N75/N5</f>
        <v>0.86648648648648652</v>
      </c>
      <c r="O76" s="55"/>
      <c r="P76" s="407"/>
      <c r="Q76" s="54" t="e">
        <f>Q75/Q5</f>
        <v>#DIV/0!</v>
      </c>
      <c r="R76" s="54" t="e">
        <f>R75/R5</f>
        <v>#DIV/0!</v>
      </c>
      <c r="S76" s="55" t="e">
        <f>S75/S5</f>
        <v>#DIV/0!</v>
      </c>
      <c r="T76" s="55"/>
      <c r="U76" s="407"/>
      <c r="V76" s="54" t="e">
        <f>V75/V5</f>
        <v>#DIV/0!</v>
      </c>
      <c r="W76" s="54" t="e">
        <f>W75/W5</f>
        <v>#DIV/0!</v>
      </c>
      <c r="X76" s="55" t="e">
        <f>X75/X5</f>
        <v>#DIV/0!</v>
      </c>
      <c r="Y76" s="55"/>
      <c r="Z76" s="407"/>
      <c r="AA76" s="54" t="e">
        <f>AA75/AA5</f>
        <v>#DIV/0!</v>
      </c>
      <c r="AB76" s="54" t="e">
        <f>AB75/AB5</f>
        <v>#DIV/0!</v>
      </c>
      <c r="AC76" s="55" t="e">
        <f>AC75/AC5</f>
        <v>#DIV/0!</v>
      </c>
      <c r="AD76" s="55"/>
      <c r="AE76" s="716"/>
      <c r="AF76" s="639" t="e">
        <f>AF75/AF5</f>
        <v>#DIV/0!</v>
      </c>
      <c r="AG76" s="639" t="e">
        <f>AG75/AG5</f>
        <v>#DIV/0!</v>
      </c>
      <c r="AH76" s="660" t="e">
        <f>AH75/AH5</f>
        <v>#DIV/0!</v>
      </c>
      <c r="AI76" s="660"/>
      <c r="AJ76" s="661"/>
      <c r="AK76" s="639" t="e">
        <f>AK75/AK5</f>
        <v>#DIV/0!</v>
      </c>
      <c r="AL76" s="639" t="e">
        <f>AL75/AL5</f>
        <v>#DIV/0!</v>
      </c>
      <c r="AM76" s="660" t="e">
        <f>AM75/AM5</f>
        <v>#DIV/0!</v>
      </c>
      <c r="AN76" s="660"/>
      <c r="AO76" s="661"/>
      <c r="AP76" s="639" t="e">
        <f>AP75/AP5</f>
        <v>#DIV/0!</v>
      </c>
      <c r="AQ76" s="639" t="e">
        <f>AQ75/AQ5</f>
        <v>#DIV/0!</v>
      </c>
      <c r="AR76" s="660" t="e">
        <f>AR75/AR5</f>
        <v>#DIV/0!</v>
      </c>
      <c r="AS76" s="660"/>
      <c r="AT76" s="661"/>
      <c r="AU76" s="54">
        <f>AU75/AU5</f>
        <v>0.67567567567567566</v>
      </c>
      <c r="AV76" s="54" t="e">
        <f>AV75/AV5</f>
        <v>#DIV/0!</v>
      </c>
      <c r="AW76" s="55">
        <f>AW75/AW5</f>
        <v>0.54216216216216218</v>
      </c>
      <c r="AX76" s="55"/>
      <c r="AY76" s="55"/>
    </row>
    <row r="77" spans="1:51" s="2" customFormat="1" ht="14.4" thickBot="1">
      <c r="A77" s="294"/>
      <c r="B77" s="27" t="s">
        <v>9</v>
      </c>
      <c r="C77" s="139">
        <f>C78-C79</f>
        <v>0</v>
      </c>
      <c r="D77" s="139">
        <f>D78-D79</f>
        <v>0</v>
      </c>
      <c r="E77" s="140">
        <f>E78-E79</f>
        <v>0</v>
      </c>
      <c r="F77" s="173"/>
      <c r="G77" s="139">
        <f>G78-G79</f>
        <v>0</v>
      </c>
      <c r="H77" s="139">
        <f>H78-H79</f>
        <v>0</v>
      </c>
      <c r="I77" s="140">
        <f>I78-I79</f>
        <v>0</v>
      </c>
      <c r="J77" s="67"/>
      <c r="K77" s="67"/>
      <c r="L77" s="139">
        <f>L78-L79</f>
        <v>0</v>
      </c>
      <c r="M77" s="139">
        <f>M78-M79</f>
        <v>0</v>
      </c>
      <c r="N77" s="140">
        <f>N78-N79</f>
        <v>-6419.2089843583453</v>
      </c>
      <c r="O77" s="67"/>
      <c r="P77" s="414"/>
      <c r="Q77" s="139">
        <f>Q78-Q79</f>
        <v>0</v>
      </c>
      <c r="R77" s="139">
        <f>R78-R79</f>
        <v>0</v>
      </c>
      <c r="S77" s="140">
        <f>S78-S79</f>
        <v>0</v>
      </c>
      <c r="T77" s="67"/>
      <c r="U77" s="414"/>
      <c r="V77" s="139">
        <f>V78-V79</f>
        <v>0</v>
      </c>
      <c r="W77" s="139">
        <f>W78-W79</f>
        <v>0</v>
      </c>
      <c r="X77" s="140">
        <f>X78-X79</f>
        <v>0</v>
      </c>
      <c r="Y77" s="67"/>
      <c r="Z77" s="414"/>
      <c r="AA77" s="139">
        <f>AA78-AA79</f>
        <v>0</v>
      </c>
      <c r="AB77" s="139">
        <f>AB78-AB79</f>
        <v>0</v>
      </c>
      <c r="AC77" s="140">
        <f>AC78-AC79</f>
        <v>0</v>
      </c>
      <c r="AD77" s="67"/>
      <c r="AE77" s="739"/>
      <c r="AF77" s="587">
        <f>AF78-AF79</f>
        <v>0</v>
      </c>
      <c r="AG77" s="587">
        <f>AG78-AG79</f>
        <v>0</v>
      </c>
      <c r="AH77" s="674">
        <f>AH78-AH79</f>
        <v>0</v>
      </c>
      <c r="AI77" s="675"/>
      <c r="AJ77" s="749"/>
      <c r="AK77" s="587">
        <f>AK78-AK79</f>
        <v>0</v>
      </c>
      <c r="AL77" s="587">
        <f>AL78-AL79</f>
        <v>0</v>
      </c>
      <c r="AM77" s="674" t="e">
        <f>AM78-AM79</f>
        <v>#DIV/0!</v>
      </c>
      <c r="AN77" s="675"/>
      <c r="AO77" s="749"/>
      <c r="AP77" s="587">
        <f>AP78-AP79</f>
        <v>0</v>
      </c>
      <c r="AQ77" s="587">
        <f>AQ78-AQ79</f>
        <v>0</v>
      </c>
      <c r="AR77" s="674">
        <f>AR78-AR79</f>
        <v>0</v>
      </c>
      <c r="AS77" s="675"/>
      <c r="AT77" s="749"/>
      <c r="AU77" s="139">
        <f>AU78-AU79</f>
        <v>0</v>
      </c>
      <c r="AV77" s="139">
        <f>AV78-AV79</f>
        <v>0</v>
      </c>
      <c r="AW77" s="140" t="e">
        <f>AW78-AW79</f>
        <v>#DIV/0!</v>
      </c>
      <c r="AX77" s="67"/>
      <c r="AY77" s="67"/>
    </row>
    <row r="78" spans="1:51" s="2" customFormat="1" ht="13.8">
      <c r="A78" s="11"/>
      <c r="B78" s="6" t="s">
        <v>43</v>
      </c>
      <c r="C78" s="141"/>
      <c r="D78" s="142"/>
      <c r="E78" s="119">
        <f>C78+D78*1.15</f>
        <v>0</v>
      </c>
      <c r="F78" s="186"/>
      <c r="G78" s="39"/>
      <c r="H78" s="39"/>
      <c r="I78" s="68">
        <f>G78+H78*1.15</f>
        <v>0</v>
      </c>
      <c r="J78" s="68"/>
      <c r="K78" s="68"/>
      <c r="L78" s="39"/>
      <c r="M78" s="39"/>
      <c r="N78" s="68">
        <f>L78+M78*1.15</f>
        <v>0</v>
      </c>
      <c r="O78" s="68"/>
      <c r="P78" s="48"/>
      <c r="Q78" s="39"/>
      <c r="R78" s="39"/>
      <c r="S78" s="68">
        <f>Q78+R78*1.15</f>
        <v>0</v>
      </c>
      <c r="T78" s="68"/>
      <c r="U78" s="48"/>
      <c r="V78" s="39"/>
      <c r="W78" s="39"/>
      <c r="X78" s="68">
        <f>V78+W78*1.15</f>
        <v>0</v>
      </c>
      <c r="Y78" s="68"/>
      <c r="Z78" s="48"/>
      <c r="AA78" s="39"/>
      <c r="AB78" s="39"/>
      <c r="AC78" s="68">
        <f>AA78+AB78*1.15</f>
        <v>0</v>
      </c>
      <c r="AD78" s="68"/>
      <c r="AE78" s="543"/>
      <c r="AF78" s="560"/>
      <c r="AG78" s="452"/>
      <c r="AH78" s="676">
        <f>AF78+AG78*1.15</f>
        <v>0</v>
      </c>
      <c r="AI78" s="676"/>
      <c r="AJ78" s="657"/>
      <c r="AK78" s="560"/>
      <c r="AL78" s="452"/>
      <c r="AM78" s="676">
        <f>AK78+AL78*1.15</f>
        <v>0</v>
      </c>
      <c r="AN78" s="676"/>
      <c r="AO78" s="657"/>
      <c r="AP78" s="560"/>
      <c r="AQ78" s="452"/>
      <c r="AR78" s="676">
        <f>AP78+AQ78*1.15</f>
        <v>0</v>
      </c>
      <c r="AS78" s="676"/>
      <c r="AT78" s="657"/>
      <c r="AU78" s="39">
        <f>G78+L78+Q78+V78+AA78+AF78+AK78+AP78</f>
        <v>0</v>
      </c>
      <c r="AV78" s="39">
        <f>H78+M78+R78+W78+AB78+AG78+AL78+AQ78</f>
        <v>0</v>
      </c>
      <c r="AW78" s="68">
        <f>AU78+AV78*1.15</f>
        <v>0</v>
      </c>
      <c r="AX78" s="68"/>
      <c r="AY78" s="68"/>
    </row>
    <row r="79" spans="1:51" s="2" customFormat="1" ht="13.8">
      <c r="A79" s="11"/>
      <c r="B79" s="24" t="s">
        <v>79</v>
      </c>
      <c r="C79" s="113"/>
      <c r="D79" s="119"/>
      <c r="E79" s="119">
        <f>C79+D79*1.15</f>
        <v>0</v>
      </c>
      <c r="F79" s="180" t="e">
        <f>E79/$E$89</f>
        <v>#DIV/0!</v>
      </c>
      <c r="G79" s="39"/>
      <c r="H79" s="39"/>
      <c r="I79" s="106">
        <f>(H8+H41+H50+H54)/(1-'расчет 2024'!E4)*'расчет 2024'!E4</f>
        <v>0</v>
      </c>
      <c r="J79" s="79" t="e">
        <f>I79/$I$89</f>
        <v>#DIV/0!</v>
      </c>
      <c r="K79" s="45"/>
      <c r="L79" s="39"/>
      <c r="M79" s="39"/>
      <c r="N79" s="106">
        <f>(M8+M41+M50+M54)/(1-'расчет 2024'!E13)*'расчет 2024'!E13</f>
        <v>6419.2089843583453</v>
      </c>
      <c r="O79" s="79">
        <f>N79/$N$89</f>
        <v>0.11499999912498107</v>
      </c>
      <c r="P79" s="405"/>
      <c r="Q79" s="39"/>
      <c r="R79" s="39"/>
      <c r="S79" s="106">
        <f>(R8+R41+R50+R54)/(1-'расчет 2024'!E6)*'расчет 2024'!E6</f>
        <v>0</v>
      </c>
      <c r="T79" s="45"/>
      <c r="U79" s="405"/>
      <c r="V79" s="39"/>
      <c r="W79" s="39"/>
      <c r="X79" s="106">
        <f>(W8+W41+W50+W54)/(1-'расчет 2024'!E7)*'расчет 2024'!E7</f>
        <v>0</v>
      </c>
      <c r="Y79" s="45"/>
      <c r="Z79" s="405"/>
      <c r="AA79" s="39"/>
      <c r="AB79" s="39"/>
      <c r="AC79" s="106">
        <f>(AB8+AB41+AB50+AB54)/(1-'расчет 2024'!J7)*'расчет 2024'!J7</f>
        <v>0</v>
      </c>
      <c r="AD79" s="45"/>
      <c r="AE79" s="732"/>
      <c r="AF79" s="560"/>
      <c r="AG79" s="452"/>
      <c r="AH79" s="446">
        <f>(AG8+AG41+AG50+AG54)/(1-'расчет 2024'!O7)*'расчет 2024'!O7</f>
        <v>0</v>
      </c>
      <c r="AI79" s="693"/>
      <c r="AJ79" s="745"/>
      <c r="AK79" s="560"/>
      <c r="AL79" s="452"/>
      <c r="AM79" s="446" t="e">
        <f>(AL8+AL41+AL50+AL54)/(1-'расчет 2024'!E10)*'расчет 2024'!E10</f>
        <v>#DIV/0!</v>
      </c>
      <c r="AN79" s="693"/>
      <c r="AO79" s="745"/>
      <c r="AP79" s="560"/>
      <c r="AQ79" s="452"/>
      <c r="AR79" s="446">
        <f>(AQ8+AQ41+AQ50+AQ54)/(1-'расчет 2024'!J10)*'расчет 2024'!J10</f>
        <v>0</v>
      </c>
      <c r="AS79" s="693"/>
      <c r="AT79" s="745"/>
      <c r="AU79" s="39">
        <f>G79+L79+Q79+V79+AA79+AF79+AK79+AP79</f>
        <v>0</v>
      </c>
      <c r="AV79" s="39">
        <f>H79+M79+R79+W79+AB79+AG79+AL79+AQ79</f>
        <v>0</v>
      </c>
      <c r="AW79" s="106" t="e">
        <f>I79+N79+S79+AM79</f>
        <v>#DIV/0!</v>
      </c>
      <c r="AX79" s="45"/>
      <c r="AY79" s="45"/>
    </row>
    <row r="80" spans="1:51" ht="13.8">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552"/>
      <c r="AF80" s="560"/>
      <c r="AG80" s="452"/>
      <c r="AH80" s="678"/>
      <c r="AI80" s="678"/>
      <c r="AJ80" s="678"/>
      <c r="AK80" s="560"/>
      <c r="AL80" s="452"/>
      <c r="AM80" s="678"/>
      <c r="AN80" s="678"/>
      <c r="AO80" s="678"/>
      <c r="AP80" s="560"/>
      <c r="AQ80" s="452"/>
      <c r="AR80" s="678"/>
      <c r="AS80" s="678"/>
      <c r="AT80" s="678"/>
      <c r="AU80" s="39"/>
      <c r="AV80" s="39"/>
      <c r="AW80" s="69"/>
      <c r="AX80" s="69"/>
      <c r="AY80" s="69"/>
    </row>
    <row r="81" spans="1:51" s="2" customFormat="1" ht="14.4" thickBot="1">
      <c r="A81" s="26"/>
      <c r="B81" s="27" t="s">
        <v>12</v>
      </c>
      <c r="C81" s="139">
        <f>(C75+C78)-C79</f>
        <v>0</v>
      </c>
      <c r="D81" s="139">
        <f>(D75+D78)-D79</f>
        <v>0</v>
      </c>
      <c r="E81" s="140">
        <f>(E75+E78)-E79</f>
        <v>0</v>
      </c>
      <c r="F81" s="173"/>
      <c r="G81" s="139">
        <f>(G75+G78)-G79</f>
        <v>0</v>
      </c>
      <c r="H81" s="139">
        <f>(H75+H78)-H79</f>
        <v>0</v>
      </c>
      <c r="I81" s="140">
        <f>(I75+I78)-I79</f>
        <v>0</v>
      </c>
      <c r="J81" s="67"/>
      <c r="K81" s="67"/>
      <c r="L81" s="139">
        <f>(L75+L78)-L79</f>
        <v>370000</v>
      </c>
      <c r="M81" s="139">
        <f>(M75+M78)-M79</f>
        <v>-49400</v>
      </c>
      <c r="N81" s="140">
        <f>(N75+N78)-N79</f>
        <v>314180.79101564165</v>
      </c>
      <c r="O81" s="67"/>
      <c r="P81" s="414"/>
      <c r="Q81" s="139">
        <f>(Q75+Q78)-Q79</f>
        <v>0</v>
      </c>
      <c r="R81" s="139">
        <f>(R75+R78)-R79</f>
        <v>0</v>
      </c>
      <c r="S81" s="140">
        <f>(S75+S78)-S79</f>
        <v>0</v>
      </c>
      <c r="T81" s="67"/>
      <c r="U81" s="414"/>
      <c r="V81" s="139">
        <f>(V75+V78)-V79</f>
        <v>0</v>
      </c>
      <c r="W81" s="139">
        <f>(W75+W78)-W79</f>
        <v>0</v>
      </c>
      <c r="X81" s="140">
        <f>(X75+X78)-X79</f>
        <v>0</v>
      </c>
      <c r="Y81" s="67"/>
      <c r="Z81" s="414"/>
      <c r="AA81" s="139">
        <f>(AA75+AA78)-AA79</f>
        <v>0</v>
      </c>
      <c r="AB81" s="139">
        <f>(AB75+AB78)-AB79</f>
        <v>0</v>
      </c>
      <c r="AC81" s="140">
        <f>(AC75+AC78)-AC79</f>
        <v>0</v>
      </c>
      <c r="AD81" s="67"/>
      <c r="AE81" s="739"/>
      <c r="AF81" s="587">
        <f>(AF75+AF78)-AF79</f>
        <v>0</v>
      </c>
      <c r="AG81" s="587">
        <f>(AG75+AG78)-AG79</f>
        <v>0</v>
      </c>
      <c r="AH81" s="674">
        <f>(AH75+AH78)-AH79</f>
        <v>0</v>
      </c>
      <c r="AI81" s="675"/>
      <c r="AJ81" s="749"/>
      <c r="AK81" s="587">
        <f>(AK75+AK78)-AK79</f>
        <v>0</v>
      </c>
      <c r="AL81" s="587">
        <f>(AL75+AL78)-AL79</f>
        <v>0</v>
      </c>
      <c r="AM81" s="674" t="e">
        <f>(AM75+AM78)-AM79</f>
        <v>#DIV/0!</v>
      </c>
      <c r="AN81" s="675"/>
      <c r="AO81" s="749"/>
      <c r="AP81" s="587">
        <f>(AP75+AP78)-AP79</f>
        <v>-120000</v>
      </c>
      <c r="AQ81" s="587">
        <f>(AQ75+AQ78)-AQ79</f>
        <v>0</v>
      </c>
      <c r="AR81" s="674">
        <f>(AR75+AR78)-AR79</f>
        <v>-120000</v>
      </c>
      <c r="AS81" s="675"/>
      <c r="AT81" s="749"/>
      <c r="AU81" s="139">
        <f>(AU75+AU78)-AU79</f>
        <v>250000</v>
      </c>
      <c r="AV81" s="139">
        <f>(AV75+AV78)-AV79</f>
        <v>-49400</v>
      </c>
      <c r="AW81" s="140" t="e">
        <f>(AW75+AW78)-AW79</f>
        <v>#DIV/0!</v>
      </c>
      <c r="AX81" s="67"/>
      <c r="AY81" s="67"/>
    </row>
    <row r="82" spans="1:51" s="2" customFormat="1" ht="13.8">
      <c r="A82" s="293"/>
      <c r="B82" s="6" t="s">
        <v>38</v>
      </c>
      <c r="C82" s="141"/>
      <c r="D82" s="142"/>
      <c r="E82" s="146">
        <f>C82+D82</f>
        <v>0</v>
      </c>
      <c r="F82" s="180" t="e">
        <f>E82/$E$89</f>
        <v>#DIV/0!</v>
      </c>
      <c r="G82" s="39"/>
      <c r="H82" s="39"/>
      <c r="I82" s="146">
        <f>G82+H82</f>
        <v>0</v>
      </c>
      <c r="J82" s="101"/>
      <c r="K82" s="101"/>
      <c r="L82" s="39"/>
      <c r="M82" s="39"/>
      <c r="N82" s="146">
        <f>L82+M82</f>
        <v>0</v>
      </c>
      <c r="O82" s="101"/>
      <c r="P82" s="433"/>
      <c r="Q82" s="39"/>
      <c r="R82" s="39"/>
      <c r="S82" s="146">
        <f>Q82+R82</f>
        <v>0</v>
      </c>
      <c r="T82" s="101"/>
      <c r="U82" s="433"/>
      <c r="V82" s="39"/>
      <c r="W82" s="39"/>
      <c r="X82" s="146">
        <f>V82+W82</f>
        <v>0</v>
      </c>
      <c r="Y82" s="101"/>
      <c r="Z82" s="433"/>
      <c r="AA82" s="39"/>
      <c r="AB82" s="39"/>
      <c r="AC82" s="146">
        <f>AA82+AB82</f>
        <v>0</v>
      </c>
      <c r="AD82" s="101"/>
      <c r="AE82" s="740"/>
      <c r="AF82" s="560"/>
      <c r="AG82" s="452"/>
      <c r="AH82" s="565">
        <f>AF82+AG82</f>
        <v>0</v>
      </c>
      <c r="AI82" s="642"/>
      <c r="AJ82" s="719"/>
      <c r="AK82" s="560"/>
      <c r="AL82" s="452"/>
      <c r="AM82" s="565">
        <f>AK82+AL82</f>
        <v>0</v>
      </c>
      <c r="AN82" s="642"/>
      <c r="AO82" s="719"/>
      <c r="AP82" s="560"/>
      <c r="AQ82" s="452"/>
      <c r="AR82" s="565">
        <f>AP82+AQ82</f>
        <v>0</v>
      </c>
      <c r="AS82" s="642"/>
      <c r="AT82" s="719"/>
      <c r="AU82" s="39">
        <f>G82</f>
        <v>0</v>
      </c>
      <c r="AV82" s="39">
        <f>H82</f>
        <v>0</v>
      </c>
      <c r="AW82" s="146">
        <f>AU82+AV82</f>
        <v>0</v>
      </c>
      <c r="AX82" s="101"/>
      <c r="AY82" s="101"/>
    </row>
    <row r="83" spans="1:51" s="2" customFormat="1" ht="13.8">
      <c r="A83" s="11"/>
      <c r="B83" s="28" t="s">
        <v>13</v>
      </c>
      <c r="C83" s="147">
        <f>(C81+C7)-C36</f>
        <v>0</v>
      </c>
      <c r="D83" s="147">
        <f>(D81+D7)-D36</f>
        <v>0</v>
      </c>
      <c r="E83" s="147">
        <f>(E81+E7)-E36</f>
        <v>0</v>
      </c>
      <c r="F83" s="174"/>
      <c r="G83" s="147">
        <f>(G81+G7)-G36</f>
        <v>0</v>
      </c>
      <c r="H83" s="147">
        <f>(H81+H7)-H36</f>
        <v>0</v>
      </c>
      <c r="I83" s="148">
        <f>(I81+I7)-I36</f>
        <v>0</v>
      </c>
      <c r="J83" s="70"/>
      <c r="K83" s="70"/>
      <c r="L83" s="147">
        <f>(L81+L7)-L36</f>
        <v>370000</v>
      </c>
      <c r="M83" s="147">
        <f>(M81+M7)-M36</f>
        <v>-49400</v>
      </c>
      <c r="N83" s="148">
        <f>(N81+N7)-N36</f>
        <v>314180.79101564165</v>
      </c>
      <c r="O83" s="70"/>
      <c r="P83" s="434"/>
      <c r="Q83" s="147">
        <f>(Q81+Q7)-Q36</f>
        <v>0</v>
      </c>
      <c r="R83" s="147">
        <f>(R81+R7)-R36</f>
        <v>0</v>
      </c>
      <c r="S83" s="148">
        <f>(S81+S7)-S36</f>
        <v>0</v>
      </c>
      <c r="T83" s="70"/>
      <c r="U83" s="434"/>
      <c r="V83" s="147">
        <f>(V81+V7)-V36</f>
        <v>0</v>
      </c>
      <c r="W83" s="147">
        <f>(W81+W7)-W36</f>
        <v>0</v>
      </c>
      <c r="X83" s="148">
        <f>(X81+X7)-X36</f>
        <v>0</v>
      </c>
      <c r="Y83" s="70"/>
      <c r="Z83" s="434"/>
      <c r="AA83" s="147">
        <f>(AA81+AA7)-AA36</f>
        <v>0</v>
      </c>
      <c r="AB83" s="147">
        <f>(AB81+AB7)-AB36</f>
        <v>0</v>
      </c>
      <c r="AC83" s="148">
        <f>(AC81+AC7)-AC36</f>
        <v>0</v>
      </c>
      <c r="AD83" s="70"/>
      <c r="AE83" s="741"/>
      <c r="AF83" s="679">
        <f>(AF81+AF7)-AF36</f>
        <v>0</v>
      </c>
      <c r="AG83" s="679">
        <f>(AG81+AG7)-AG36</f>
        <v>0</v>
      </c>
      <c r="AH83" s="680">
        <f>(AH81+AH7)-AH36</f>
        <v>0</v>
      </c>
      <c r="AI83" s="681"/>
      <c r="AJ83" s="750"/>
      <c r="AK83" s="679">
        <f>(AK81+AK7)-AK36</f>
        <v>0</v>
      </c>
      <c r="AL83" s="679">
        <f>(AL81+AL7)-AL36</f>
        <v>0</v>
      </c>
      <c r="AM83" s="680" t="e">
        <f>(AM81+AM7)-AM36</f>
        <v>#DIV/0!</v>
      </c>
      <c r="AN83" s="681"/>
      <c r="AO83" s="750"/>
      <c r="AP83" s="679">
        <f>(AP81+AP7)-AP36</f>
        <v>-120000</v>
      </c>
      <c r="AQ83" s="679">
        <f>(AQ81+AQ7)-AQ36</f>
        <v>0</v>
      </c>
      <c r="AR83" s="680">
        <f>(AR81+AR7)-AR36</f>
        <v>-120000</v>
      </c>
      <c r="AS83" s="681"/>
      <c r="AT83" s="750"/>
      <c r="AU83" s="147">
        <f>(AU81+AU7)-AU36</f>
        <v>250000</v>
      </c>
      <c r="AV83" s="147">
        <f>(AV81+AV7)-AV36</f>
        <v>-49400</v>
      </c>
      <c r="AW83" s="148" t="e">
        <f>(AW81+AW7)-AW36</f>
        <v>#DIV/0!</v>
      </c>
      <c r="AX83" s="70"/>
      <c r="AY83" s="70"/>
    </row>
    <row r="84" spans="1:51" s="2" customFormat="1" ht="14.4" thickBot="1">
      <c r="A84" s="11"/>
      <c r="B84" s="211" t="s">
        <v>14</v>
      </c>
      <c r="C84" s="212">
        <f>C83-C73-C82</f>
        <v>0</v>
      </c>
      <c r="D84" s="212">
        <f>D83-D73-D82</f>
        <v>0</v>
      </c>
      <c r="E84" s="212">
        <f>E83-E73-E82</f>
        <v>0</v>
      </c>
      <c r="F84" s="214"/>
      <c r="G84" s="213">
        <f>G83-G73-G82</f>
        <v>0</v>
      </c>
      <c r="H84" s="213">
        <f>H83-H73-H82</f>
        <v>0</v>
      </c>
      <c r="I84" s="213">
        <f>I83-I73-I82</f>
        <v>0</v>
      </c>
      <c r="J84" s="82"/>
      <c r="K84" s="82"/>
      <c r="L84" s="213">
        <f>L83-L73-L82</f>
        <v>370000</v>
      </c>
      <c r="M84" s="213">
        <f>M83-M73-M82</f>
        <v>-49400</v>
      </c>
      <c r="N84" s="213">
        <f>N83-N73-N82</f>
        <v>314180.79101564165</v>
      </c>
      <c r="O84" s="82"/>
      <c r="P84" s="435"/>
      <c r="Q84" s="213">
        <f>Q83-Q73-Q82</f>
        <v>0</v>
      </c>
      <c r="R84" s="213">
        <f>R83-R73-R82</f>
        <v>0</v>
      </c>
      <c r="S84" s="213">
        <f>S83-S73-S82</f>
        <v>0</v>
      </c>
      <c r="T84" s="82"/>
      <c r="U84" s="435"/>
      <c r="V84" s="213">
        <f>V83-V73-V82</f>
        <v>0</v>
      </c>
      <c r="W84" s="213">
        <f>W83-W73-W82</f>
        <v>0</v>
      </c>
      <c r="X84" s="213">
        <f>X83-X73-X82</f>
        <v>0</v>
      </c>
      <c r="Y84" s="82"/>
      <c r="Z84" s="435"/>
      <c r="AA84" s="213">
        <f>AA83-AA73-AA82</f>
        <v>0</v>
      </c>
      <c r="AB84" s="213">
        <f>AB83-AB73-AB82</f>
        <v>0</v>
      </c>
      <c r="AC84" s="213">
        <f>AC83-AC73-AC82</f>
        <v>0</v>
      </c>
      <c r="AD84" s="82"/>
      <c r="AE84" s="742"/>
      <c r="AF84" s="562">
        <f>AF83-AF73-AF82</f>
        <v>0</v>
      </c>
      <c r="AG84" s="562">
        <f>AG83-AG73-AG82</f>
        <v>0</v>
      </c>
      <c r="AH84" s="562">
        <f>AH83-AH73-AH82</f>
        <v>0</v>
      </c>
      <c r="AI84" s="537"/>
      <c r="AJ84" s="751"/>
      <c r="AK84" s="562">
        <f>AK83-AK73-AK82</f>
        <v>0</v>
      </c>
      <c r="AL84" s="562">
        <f>AL83-AL73-AL82</f>
        <v>0</v>
      </c>
      <c r="AM84" s="562" t="e">
        <f>AM83-AM73-AM82</f>
        <v>#DIV/0!</v>
      </c>
      <c r="AN84" s="537"/>
      <c r="AO84" s="751"/>
      <c r="AP84" s="562">
        <f>AP83-AP73-AP82</f>
        <v>-120000</v>
      </c>
      <c r="AQ84" s="562">
        <f>AQ83-AQ73-AQ82</f>
        <v>0</v>
      </c>
      <c r="AR84" s="562">
        <f>AR83-AR73-AR82</f>
        <v>-120000</v>
      </c>
      <c r="AS84" s="537"/>
      <c r="AT84" s="751"/>
      <c r="AU84" s="213">
        <f>AU83-AU73-AU82</f>
        <v>250000</v>
      </c>
      <c r="AV84" s="213">
        <f>AV83-AV73-AV82</f>
        <v>-49400</v>
      </c>
      <c r="AW84" s="213" t="e">
        <f>AW83-AW73-AW82</f>
        <v>#DIV/0!</v>
      </c>
      <c r="AX84" s="82"/>
      <c r="AY84" s="82"/>
    </row>
    <row r="85" spans="1:51" s="2" customFormat="1" ht="13.8">
      <c r="A85" s="293"/>
      <c r="B85" s="216" t="s">
        <v>44</v>
      </c>
      <c r="C85" s="141"/>
      <c r="D85" s="142"/>
      <c r="E85" s="146">
        <f>C85+D85</f>
        <v>0</v>
      </c>
      <c r="F85" s="217" t="e">
        <f>E85/$E$89</f>
        <v>#DIV/0!</v>
      </c>
      <c r="G85" s="39"/>
      <c r="H85" s="39"/>
      <c r="I85" s="219">
        <f>G85+H85*1.15</f>
        <v>0</v>
      </c>
      <c r="J85" s="102"/>
      <c r="K85" s="102"/>
      <c r="L85" s="39"/>
      <c r="M85" s="39"/>
      <c r="N85" s="219">
        <f>L85+M85*1.15</f>
        <v>0</v>
      </c>
      <c r="O85" s="102"/>
      <c r="P85" s="436"/>
      <c r="Q85" s="39"/>
      <c r="R85" s="39"/>
      <c r="S85" s="219">
        <f>Q85+R85*1.15</f>
        <v>0</v>
      </c>
      <c r="T85" s="102"/>
      <c r="U85" s="436"/>
      <c r="V85" s="39"/>
      <c r="W85" s="39"/>
      <c r="X85" s="219">
        <f>V85+W85*1.15</f>
        <v>0</v>
      </c>
      <c r="Y85" s="102"/>
      <c r="Z85" s="436"/>
      <c r="AA85" s="39"/>
      <c r="AB85" s="39"/>
      <c r="AC85" s="219">
        <f>AA85+AB85*1.15</f>
        <v>0</v>
      </c>
      <c r="AD85" s="102"/>
      <c r="AE85" s="743"/>
      <c r="AF85" s="560"/>
      <c r="AG85" s="452"/>
      <c r="AH85" s="484">
        <f>AF85+AG85*1.15</f>
        <v>0</v>
      </c>
      <c r="AI85" s="566"/>
      <c r="AJ85" s="752"/>
      <c r="AK85" s="560"/>
      <c r="AL85" s="452"/>
      <c r="AM85" s="484">
        <f>AK85+AL85*1.15</f>
        <v>0</v>
      </c>
      <c r="AN85" s="566"/>
      <c r="AO85" s="752"/>
      <c r="AP85" s="560"/>
      <c r="AQ85" s="452"/>
      <c r="AR85" s="484">
        <f>AP85+AQ85*1.15</f>
        <v>0</v>
      </c>
      <c r="AS85" s="566"/>
      <c r="AT85" s="752"/>
      <c r="AU85" s="39">
        <f>G85</f>
        <v>0</v>
      </c>
      <c r="AV85" s="39">
        <f>H85</f>
        <v>0</v>
      </c>
      <c r="AW85" s="219">
        <f>AU85+AV85*1.15</f>
        <v>0</v>
      </c>
      <c r="AX85" s="102"/>
      <c r="AY85" s="102"/>
    </row>
    <row r="86" spans="1:51" s="2" customFormat="1" ht="27.6">
      <c r="A86" s="11"/>
      <c r="B86" s="37" t="s">
        <v>50</v>
      </c>
      <c r="C86" s="149">
        <f>C84-C85</f>
        <v>0</v>
      </c>
      <c r="D86" s="149">
        <f>D84-D85</f>
        <v>0</v>
      </c>
      <c r="E86" s="150">
        <f>E84-E85</f>
        <v>0</v>
      </c>
      <c r="F86" s="175"/>
      <c r="G86" s="150">
        <f>G84-G85</f>
        <v>0</v>
      </c>
      <c r="H86" s="150">
        <f>H84-H85</f>
        <v>0</v>
      </c>
      <c r="I86" s="150">
        <f>I84-I85</f>
        <v>0</v>
      </c>
      <c r="J86" s="73"/>
      <c r="K86" s="73"/>
      <c r="L86" s="150">
        <f>L84-L85</f>
        <v>370000</v>
      </c>
      <c r="M86" s="150">
        <f>M84-M85</f>
        <v>-49400</v>
      </c>
      <c r="N86" s="150">
        <f>N84-N85</f>
        <v>314180.79101564165</v>
      </c>
      <c r="O86" s="73"/>
      <c r="P86" s="434"/>
      <c r="Q86" s="150">
        <f>Q84-Q85</f>
        <v>0</v>
      </c>
      <c r="R86" s="150">
        <f>R84-R85</f>
        <v>0</v>
      </c>
      <c r="S86" s="150">
        <f>S84-S85</f>
        <v>0</v>
      </c>
      <c r="T86" s="73"/>
      <c r="U86" s="434"/>
      <c r="V86" s="150">
        <f>V84-V85</f>
        <v>0</v>
      </c>
      <c r="W86" s="150">
        <f>W84-W85</f>
        <v>0</v>
      </c>
      <c r="X86" s="150">
        <f>X84-X85</f>
        <v>0</v>
      </c>
      <c r="Y86" s="73"/>
      <c r="Z86" s="434"/>
      <c r="AA86" s="150">
        <f>AA84-AA85</f>
        <v>0</v>
      </c>
      <c r="AB86" s="150">
        <f>AB84-AB85</f>
        <v>0</v>
      </c>
      <c r="AC86" s="150">
        <f>AC84-AC85</f>
        <v>0</v>
      </c>
      <c r="AD86" s="73"/>
      <c r="AE86" s="741"/>
      <c r="AF86" s="569">
        <f>AF84-AF85</f>
        <v>0</v>
      </c>
      <c r="AG86" s="569">
        <f>AG84-AG85</f>
        <v>0</v>
      </c>
      <c r="AH86" s="569">
        <f>AH84-AH85</f>
        <v>0</v>
      </c>
      <c r="AI86" s="538"/>
      <c r="AJ86" s="750"/>
      <c r="AK86" s="569">
        <f>AK84-AK85</f>
        <v>0</v>
      </c>
      <c r="AL86" s="569">
        <f>AL84-AL85</f>
        <v>0</v>
      </c>
      <c r="AM86" s="569" t="e">
        <f>AM84-AM85</f>
        <v>#DIV/0!</v>
      </c>
      <c r="AN86" s="538"/>
      <c r="AO86" s="750"/>
      <c r="AP86" s="569">
        <f>AP84-AP85</f>
        <v>-120000</v>
      </c>
      <c r="AQ86" s="569">
        <f>AQ84-AQ85</f>
        <v>0</v>
      </c>
      <c r="AR86" s="569">
        <f>AR84-AR85</f>
        <v>-120000</v>
      </c>
      <c r="AS86" s="538"/>
      <c r="AT86" s="750"/>
      <c r="AU86" s="150">
        <f>AU84-AU85</f>
        <v>250000</v>
      </c>
      <c r="AV86" s="150">
        <f>AV84-AV85</f>
        <v>-49400</v>
      </c>
      <c r="AW86" s="150" t="e">
        <f>AW84-AW85</f>
        <v>#DIV/0!</v>
      </c>
      <c r="AX86" s="73"/>
      <c r="AY86" s="73"/>
    </row>
    <row r="87" spans="1:51" s="2" customFormat="1" ht="14.4" thickBot="1">
      <c r="A87" s="295"/>
      <c r="B87" s="29" t="s">
        <v>51</v>
      </c>
      <c r="C87" s="155" t="e">
        <f>C86/C5</f>
        <v>#DIV/0!</v>
      </c>
      <c r="D87" s="151" t="e">
        <f>D86/D5</f>
        <v>#DIV/0!</v>
      </c>
      <c r="E87" s="156" t="e">
        <f>E86/E5</f>
        <v>#DIV/0!</v>
      </c>
      <c r="F87" s="176"/>
      <c r="G87" s="155" t="e">
        <f>G86/G5</f>
        <v>#DIV/0!</v>
      </c>
      <c r="H87" s="151" t="e">
        <f>H86/H5</f>
        <v>#DIV/0!</v>
      </c>
      <c r="I87" s="156" t="e">
        <f>I86/I5</f>
        <v>#DIV/0!</v>
      </c>
      <c r="J87" s="75"/>
      <c r="K87" s="75"/>
      <c r="L87" s="155">
        <f>L86/L5</f>
        <v>1</v>
      </c>
      <c r="M87" s="151" t="e">
        <f>M86/M5</f>
        <v>#DIV/0!</v>
      </c>
      <c r="N87" s="156">
        <f>N86/N5</f>
        <v>0.84913727301524766</v>
      </c>
      <c r="O87" s="75"/>
      <c r="P87" s="437"/>
      <c r="Q87" s="155" t="e">
        <f>Q86/Q5</f>
        <v>#DIV/0!</v>
      </c>
      <c r="R87" s="151" t="e">
        <f>R86/R5</f>
        <v>#DIV/0!</v>
      </c>
      <c r="S87" s="156" t="e">
        <f>S86/S5</f>
        <v>#DIV/0!</v>
      </c>
      <c r="T87" s="75"/>
      <c r="U87" s="437"/>
      <c r="V87" s="155" t="e">
        <f>V86/V5</f>
        <v>#DIV/0!</v>
      </c>
      <c r="W87" s="151" t="e">
        <f>W86/W5</f>
        <v>#DIV/0!</v>
      </c>
      <c r="X87" s="156" t="e">
        <f>X86/X5</f>
        <v>#DIV/0!</v>
      </c>
      <c r="Y87" s="75"/>
      <c r="Z87" s="437"/>
      <c r="AA87" s="155" t="e">
        <f>AA86/AA5</f>
        <v>#DIV/0!</v>
      </c>
      <c r="AB87" s="151" t="e">
        <f>AB86/AB5</f>
        <v>#DIV/0!</v>
      </c>
      <c r="AC87" s="156" t="e">
        <f>AC86/AC5</f>
        <v>#DIV/0!</v>
      </c>
      <c r="AD87" s="75"/>
      <c r="AE87" s="744"/>
      <c r="AF87" s="573" t="e">
        <f>AF86/AF5</f>
        <v>#DIV/0!</v>
      </c>
      <c r="AG87" s="574" t="e">
        <f>AG86/AG5</f>
        <v>#DIV/0!</v>
      </c>
      <c r="AH87" s="575" t="e">
        <f>AH86/AH5</f>
        <v>#DIV/0!</v>
      </c>
      <c r="AI87" s="576"/>
      <c r="AJ87" s="753"/>
      <c r="AK87" s="573" t="e">
        <f>AK86/AK5</f>
        <v>#DIV/0!</v>
      </c>
      <c r="AL87" s="574" t="e">
        <f>AL86/AL5</f>
        <v>#DIV/0!</v>
      </c>
      <c r="AM87" s="575" t="e">
        <f>AM86/AM5</f>
        <v>#DIV/0!</v>
      </c>
      <c r="AN87" s="576"/>
      <c r="AO87" s="753"/>
      <c r="AP87" s="573" t="e">
        <f>AP86/AP5</f>
        <v>#DIV/0!</v>
      </c>
      <c r="AQ87" s="574" t="e">
        <f>AQ86/AQ5</f>
        <v>#DIV/0!</v>
      </c>
      <c r="AR87" s="575" t="e">
        <f>AR86/AR5</f>
        <v>#DIV/0!</v>
      </c>
      <c r="AS87" s="576"/>
      <c r="AT87" s="753"/>
      <c r="AU87" s="155">
        <f>AU86/AU5</f>
        <v>0.67567567567567566</v>
      </c>
      <c r="AV87" s="151" t="e">
        <f>AV86/AV5</f>
        <v>#DIV/0!</v>
      </c>
      <c r="AW87" s="156" t="e">
        <f>AW86/AW5</f>
        <v>#DIV/0!</v>
      </c>
      <c r="AX87" s="75"/>
      <c r="AY87" s="75"/>
    </row>
    <row r="88" spans="1:51" ht="13.8">
      <c r="A88" s="30"/>
      <c r="B88" s="30"/>
      <c r="C88" s="152"/>
      <c r="D88" s="152"/>
      <c r="E88" s="152"/>
      <c r="F88" s="188"/>
      <c r="G88" s="76"/>
      <c r="H88" s="76"/>
      <c r="I88" s="76"/>
      <c r="J88" s="76"/>
      <c r="K88" s="76"/>
      <c r="L88" s="76"/>
      <c r="M88" s="76"/>
      <c r="N88" s="76"/>
      <c r="O88" s="76"/>
      <c r="P88" s="438"/>
      <c r="Q88" s="76"/>
      <c r="R88" s="76"/>
      <c r="S88" s="76"/>
      <c r="T88" s="76"/>
      <c r="U88" s="438"/>
      <c r="V88" s="76"/>
      <c r="W88" s="76"/>
      <c r="X88" s="76"/>
      <c r="Y88" s="76"/>
      <c r="Z88" s="438"/>
      <c r="AA88" s="76"/>
      <c r="AB88" s="76"/>
      <c r="AC88" s="76"/>
      <c r="AD88" s="76"/>
      <c r="AE88" s="438"/>
      <c r="AF88" s="76"/>
      <c r="AG88" s="76"/>
      <c r="AH88" s="76"/>
      <c r="AI88" s="76"/>
      <c r="AJ88" s="438"/>
      <c r="AK88" s="76"/>
      <c r="AL88" s="76"/>
      <c r="AM88" s="76"/>
      <c r="AN88" s="76"/>
      <c r="AO88" s="438"/>
      <c r="AP88" s="76"/>
      <c r="AQ88" s="76"/>
      <c r="AR88" s="76"/>
      <c r="AS88" s="76"/>
      <c r="AT88" s="438"/>
      <c r="AU88" s="76"/>
      <c r="AV88" s="76"/>
      <c r="AW88" s="76"/>
      <c r="AX88" s="76"/>
      <c r="AY88" s="76"/>
    </row>
    <row r="89" spans="1:51">
      <c r="B89" s="221" t="s">
        <v>56</v>
      </c>
      <c r="C89" s="153"/>
      <c r="D89" s="153"/>
      <c r="E89" s="154">
        <f>E8+E36+E41+E50+E54+E73+E79+E82+E85</f>
        <v>0</v>
      </c>
      <c r="F89" s="189"/>
      <c r="I89" s="154">
        <f>I8+I36+I41+I50+I54+I73+I79+I82+I85</f>
        <v>0</v>
      </c>
      <c r="N89" s="154">
        <f>N8+N36+N41+N50+N54+N73+N79+N82+N85</f>
        <v>55819.208984358345</v>
      </c>
      <c r="P89" s="395"/>
      <c r="S89" s="154">
        <f>S8+S36+S41+S50+S54+S73+S79+S82+S85</f>
        <v>0</v>
      </c>
      <c r="U89" s="395"/>
      <c r="X89" s="154">
        <f>X8+X36+X41+X50+X54+X73+X79+X82+X85</f>
        <v>0</v>
      </c>
      <c r="Z89" s="395"/>
      <c r="AC89" s="154">
        <f>AC8+AC36+AC41+AC50+AC54+AC73+AC79+AC82+AC85</f>
        <v>0</v>
      </c>
      <c r="AE89" s="395"/>
      <c r="AH89" s="154">
        <f>AH8+AH36+AH41+AH50+AH54+AH73+AH79+AH82+AH85</f>
        <v>0</v>
      </c>
      <c r="AJ89" s="395"/>
      <c r="AM89" s="154" t="e">
        <f>AM8+AM36+AM41+AM50+AM54+AM73+AM79+AM82+AM85</f>
        <v>#DIV/0!</v>
      </c>
      <c r="AO89" s="395"/>
      <c r="AR89" s="154">
        <f>AR8+AR36+AR41+AR50+AR54+AR73+AR79+AR82+AR85</f>
        <v>120000</v>
      </c>
      <c r="AT89" s="395"/>
      <c r="AW89" s="154" t="e">
        <f>AW8+AW36+AW41+AW50+AW54+AW73+AW79+AW82+AW85</f>
        <v>#DIV/0!</v>
      </c>
    </row>
    <row r="90" spans="1:51">
      <c r="C90" s="153"/>
      <c r="D90" s="153"/>
      <c r="E90" s="153"/>
      <c r="P90" s="395"/>
      <c r="U90" s="395"/>
      <c r="Z90" s="395"/>
      <c r="AA90" s="395"/>
      <c r="AB90" s="395"/>
      <c r="AC90" s="395"/>
      <c r="AD90" s="395"/>
      <c r="AE90" s="395"/>
      <c r="AF90" s="395"/>
      <c r="AG90" s="395"/>
      <c r="AH90" s="395"/>
      <c r="AI90" s="395"/>
      <c r="AJ90" s="395"/>
      <c r="AK90" s="395"/>
      <c r="AL90" s="395"/>
      <c r="AM90" s="395"/>
      <c r="AN90" s="395"/>
      <c r="AO90" s="395"/>
      <c r="AP90" s="395"/>
      <c r="AQ90" s="395"/>
      <c r="AR90" s="395"/>
      <c r="AS90" s="395"/>
      <c r="AT90" s="395"/>
      <c r="AW90" s="424" t="e">
        <f>(N89+I89+S89+X89+AC89+AH89+AM89+AR89)=AW89</f>
        <v>#DIV/0!</v>
      </c>
    </row>
    <row r="91" spans="1:51" s="2" customFormat="1">
      <c r="A91" s="8"/>
      <c r="B91" s="8"/>
      <c r="C91" s="153"/>
      <c r="D91" s="153"/>
      <c r="E91" s="153"/>
      <c r="F91" s="38"/>
      <c r="G91" s="38"/>
      <c r="H91" s="38"/>
      <c r="I91" s="38"/>
      <c r="J91" s="38"/>
      <c r="K91" s="38"/>
      <c r="L91" s="38"/>
      <c r="M91" s="38"/>
      <c r="N91" s="38"/>
      <c r="O91" s="38"/>
      <c r="P91" s="395"/>
      <c r="Q91" s="38"/>
      <c r="R91" s="38"/>
      <c r="S91" s="38"/>
      <c r="T91" s="38"/>
      <c r="U91" s="395"/>
      <c r="V91" s="395"/>
      <c r="W91" s="395"/>
      <c r="X91" s="395"/>
      <c r="Y91" s="395"/>
      <c r="Z91" s="395"/>
      <c r="AA91" s="395"/>
      <c r="AB91" s="395"/>
      <c r="AC91" s="395"/>
      <c r="AD91" s="395"/>
      <c r="AE91" s="395"/>
      <c r="AF91" s="395"/>
      <c r="AG91" s="395"/>
      <c r="AH91" s="395"/>
      <c r="AI91" s="395"/>
      <c r="AJ91" s="395"/>
      <c r="AK91" s="395"/>
      <c r="AL91" s="395"/>
      <c r="AM91" s="395"/>
      <c r="AN91" s="395"/>
      <c r="AO91" s="395"/>
      <c r="AP91" s="395"/>
      <c r="AQ91" s="395"/>
      <c r="AR91" s="395"/>
      <c r="AS91" s="395"/>
      <c r="AT91" s="395"/>
      <c r="AU91" s="38"/>
      <c r="AV91" s="38"/>
      <c r="AW91" s="38"/>
      <c r="AX91" s="38"/>
      <c r="AY91" s="38"/>
    </row>
    <row r="92" spans="1:51">
      <c r="C92" s="38"/>
      <c r="D92" s="38"/>
      <c r="P92" s="395"/>
      <c r="U92" s="395"/>
      <c r="W92" s="395"/>
      <c r="X92" s="395"/>
      <c r="Y92" s="395"/>
      <c r="Z92" s="395"/>
      <c r="AA92" s="395"/>
      <c r="AB92" s="395"/>
      <c r="AC92" s="395"/>
      <c r="AD92" s="395"/>
      <c r="AE92" s="395"/>
      <c r="AF92" s="395"/>
      <c r="AG92" s="395"/>
      <c r="AH92" s="395"/>
      <c r="AI92" s="395"/>
      <c r="AJ92" s="395"/>
      <c r="AK92" s="395"/>
      <c r="AL92" s="395"/>
      <c r="AM92" s="395"/>
      <c r="AN92" s="395"/>
      <c r="AO92" s="395"/>
      <c r="AP92" s="395"/>
      <c r="AQ92" s="395"/>
      <c r="AR92" s="395"/>
      <c r="AS92" s="395"/>
      <c r="AT92" s="395"/>
    </row>
    <row r="93" spans="1:51" s="2" customFormat="1">
      <c r="A93" s="8"/>
      <c r="B93" s="629"/>
      <c r="C93" s="38"/>
      <c r="D93" s="38"/>
      <c r="E93" s="38"/>
      <c r="F93" s="38"/>
      <c r="G93" s="38"/>
      <c r="H93" s="38"/>
      <c r="I93" s="38"/>
      <c r="J93" s="38"/>
      <c r="K93" s="38"/>
      <c r="L93" s="38"/>
      <c r="M93" s="38"/>
      <c r="N93" s="38"/>
      <c r="O93" s="38"/>
      <c r="P93" s="395"/>
      <c r="Q93" s="38"/>
      <c r="R93" s="38"/>
      <c r="S93" s="38"/>
      <c r="T93" s="38"/>
      <c r="U93" s="395"/>
      <c r="V93" s="38"/>
      <c r="W93" s="395"/>
      <c r="X93" s="395"/>
      <c r="Y93" s="395"/>
      <c r="Z93" s="395"/>
      <c r="AA93" s="395"/>
      <c r="AB93" s="395"/>
      <c r="AC93" s="687">
        <f>AC5-AC89</f>
        <v>0</v>
      </c>
      <c r="AD93" s="395"/>
      <c r="AE93" s="395"/>
      <c r="AF93" s="395"/>
      <c r="AG93" s="395"/>
      <c r="AH93" s="687">
        <f>AH5-AH89</f>
        <v>0</v>
      </c>
      <c r="AI93" s="395"/>
      <c r="AJ93" s="395"/>
      <c r="AK93" s="395"/>
      <c r="AL93" s="395"/>
      <c r="AM93" s="687" t="e">
        <f>AM5-AM89</f>
        <v>#DIV/0!</v>
      </c>
      <c r="AN93" s="395"/>
      <c r="AO93" s="395"/>
      <c r="AP93" s="395"/>
      <c r="AQ93" s="395"/>
      <c r="AR93" s="687">
        <f>AR5-AR89</f>
        <v>-120000</v>
      </c>
      <c r="AS93" s="395"/>
      <c r="AT93" s="395"/>
      <c r="AU93" s="38"/>
      <c r="AV93" s="38"/>
      <c r="AW93" s="687" t="e">
        <f>AW5-AW89</f>
        <v>#DIV/0!</v>
      </c>
      <c r="AX93" s="38"/>
      <c r="AY93" s="38"/>
    </row>
    <row r="94" spans="1:51" s="2" customFormat="1">
      <c r="A94" s="8"/>
      <c r="B94" s="629"/>
      <c r="C94" s="38"/>
      <c r="D94" s="38"/>
      <c r="E94" s="38"/>
      <c r="F94" s="38"/>
      <c r="G94" s="38"/>
      <c r="H94" s="38"/>
      <c r="I94" s="38"/>
      <c r="J94" s="38"/>
      <c r="K94" s="38"/>
      <c r="L94" s="38"/>
      <c r="M94" s="38"/>
      <c r="N94" s="38"/>
      <c r="O94" s="38"/>
      <c r="P94" s="395"/>
      <c r="Q94" s="38"/>
      <c r="R94" s="38"/>
      <c r="S94" s="38"/>
      <c r="T94" s="38"/>
      <c r="U94" s="395"/>
      <c r="V94" s="626"/>
      <c r="W94" s="395"/>
      <c r="X94" s="395"/>
      <c r="Y94" s="395"/>
      <c r="Z94" s="395"/>
      <c r="AA94" s="395"/>
      <c r="AB94" s="395"/>
      <c r="AC94" s="395"/>
      <c r="AD94" s="395"/>
      <c r="AE94" s="395"/>
      <c r="AF94" s="395"/>
      <c r="AG94" s="395"/>
      <c r="AH94" s="395"/>
      <c r="AI94" s="395"/>
      <c r="AJ94" s="395"/>
      <c r="AK94" s="395"/>
      <c r="AL94" s="395"/>
      <c r="AM94" s="395"/>
      <c r="AN94" s="395"/>
      <c r="AO94" s="395"/>
      <c r="AP94" s="395"/>
      <c r="AQ94" s="395"/>
      <c r="AR94" s="395"/>
      <c r="AS94" s="395"/>
      <c r="AT94" s="395"/>
      <c r="AU94" s="626"/>
      <c r="AV94" s="38"/>
      <c r="AW94" s="38"/>
      <c r="AX94" s="38"/>
      <c r="AY94" s="38"/>
    </row>
    <row r="95" spans="1:51" s="2" customFormat="1">
      <c r="A95" s="8"/>
      <c r="B95" s="629"/>
      <c r="C95" s="38"/>
      <c r="D95" s="38"/>
      <c r="E95" s="38"/>
      <c r="F95" s="38"/>
      <c r="G95" s="38"/>
      <c r="H95" s="38"/>
      <c r="I95" s="38"/>
      <c r="J95" s="38"/>
      <c r="K95" s="38"/>
      <c r="L95" s="38"/>
      <c r="M95" s="38"/>
      <c r="N95" s="38"/>
      <c r="O95" s="38"/>
      <c r="P95" s="395"/>
      <c r="Q95" s="38"/>
      <c r="R95" s="38"/>
      <c r="S95" s="38"/>
      <c r="T95" s="38"/>
      <c r="U95" s="395"/>
      <c r="V95" s="38"/>
      <c r="W95" s="395"/>
      <c r="X95" s="395"/>
      <c r="Y95" s="395"/>
      <c r="Z95" s="395"/>
      <c r="AA95" s="395"/>
      <c r="AB95" s="395"/>
      <c r="AC95" s="395"/>
      <c r="AD95" s="395"/>
      <c r="AE95" s="395"/>
      <c r="AF95" s="395"/>
      <c r="AG95" s="395"/>
      <c r="AH95" s="395"/>
      <c r="AI95" s="395"/>
      <c r="AJ95" s="395"/>
      <c r="AK95" s="395"/>
      <c r="AL95" s="395"/>
      <c r="AM95" s="395"/>
      <c r="AN95" s="395"/>
      <c r="AO95" s="395"/>
      <c r="AP95" s="395"/>
      <c r="AQ95" s="395"/>
      <c r="AR95" s="395"/>
      <c r="AS95" s="395"/>
      <c r="AT95" s="395"/>
      <c r="AU95" s="38"/>
      <c r="AV95" s="38"/>
      <c r="AW95" s="38"/>
      <c r="AX95" s="38"/>
      <c r="AY95" s="38"/>
    </row>
    <row r="96" spans="1:51" s="2" customFormat="1">
      <c r="A96" s="8"/>
      <c r="B96" s="629"/>
      <c r="C96" s="38"/>
      <c r="D96" s="38"/>
      <c r="E96" s="38"/>
      <c r="F96" s="38"/>
      <c r="G96" s="38"/>
      <c r="H96" s="38"/>
      <c r="I96" s="38"/>
      <c r="J96" s="38"/>
      <c r="K96" s="38"/>
      <c r="L96" s="38"/>
      <c r="M96" s="38"/>
      <c r="N96" s="38"/>
      <c r="O96" s="38"/>
      <c r="P96" s="395"/>
      <c r="Q96" s="38"/>
      <c r="R96" s="38"/>
      <c r="S96" s="38"/>
      <c r="T96" s="38"/>
      <c r="U96" s="395"/>
      <c r="V96" s="38"/>
      <c r="W96" s="395"/>
      <c r="X96" s="395"/>
      <c r="Y96" s="395"/>
      <c r="Z96" s="395"/>
      <c r="AA96" s="395"/>
      <c r="AB96" s="395"/>
      <c r="AC96" s="395"/>
      <c r="AD96" s="395"/>
      <c r="AE96" s="395"/>
      <c r="AF96" s="395"/>
      <c r="AG96" s="395"/>
      <c r="AH96" s="395"/>
      <c r="AI96" s="395"/>
      <c r="AJ96" s="395"/>
      <c r="AK96" s="395"/>
      <c r="AL96" s="395"/>
      <c r="AM96" s="395"/>
      <c r="AN96" s="395"/>
      <c r="AO96" s="395"/>
      <c r="AP96" s="395"/>
      <c r="AQ96" s="395"/>
      <c r="AR96" s="395"/>
      <c r="AS96" s="395"/>
      <c r="AT96" s="395"/>
      <c r="AU96" s="38"/>
      <c r="AV96" s="38"/>
      <c r="AW96" s="38"/>
      <c r="AX96" s="38"/>
      <c r="AY96" s="38"/>
    </row>
    <row r="97" spans="1:51">
      <c r="C97" s="38"/>
      <c r="D97" s="38"/>
      <c r="P97" s="395"/>
      <c r="U97" s="395"/>
      <c r="W97" s="395"/>
      <c r="X97" s="395"/>
      <c r="Y97" s="395"/>
      <c r="Z97" s="395"/>
      <c r="AA97" s="395"/>
      <c r="AB97" s="395"/>
      <c r="AC97" s="395"/>
      <c r="AD97" s="395"/>
      <c r="AE97" s="395"/>
      <c r="AF97" s="395"/>
      <c r="AG97" s="395"/>
      <c r="AH97" s="395"/>
      <c r="AI97" s="395"/>
      <c r="AJ97" s="395"/>
      <c r="AK97" s="395"/>
      <c r="AL97" s="395"/>
      <c r="AM97" s="395"/>
      <c r="AN97" s="395"/>
      <c r="AO97" s="395"/>
      <c r="AP97" s="395"/>
      <c r="AQ97" s="395"/>
      <c r="AR97" s="395"/>
      <c r="AS97" s="395"/>
      <c r="AT97" s="395"/>
    </row>
    <row r="98" spans="1:51" s="2" customFormat="1">
      <c r="A98" s="8"/>
      <c r="B98" s="8"/>
      <c r="C98" s="38"/>
      <c r="D98" s="38"/>
      <c r="E98" s="38"/>
      <c r="F98" s="38"/>
      <c r="G98" s="38"/>
      <c r="H98" s="38"/>
      <c r="I98" s="38"/>
      <c r="J98" s="38"/>
      <c r="K98" s="38"/>
      <c r="L98" s="38"/>
      <c r="M98" s="38"/>
      <c r="N98" s="38"/>
      <c r="O98" s="38"/>
      <c r="P98" s="395"/>
      <c r="Q98" s="38"/>
      <c r="R98" s="38"/>
      <c r="S98" s="38"/>
      <c r="T98" s="38"/>
      <c r="U98" s="395"/>
      <c r="V98" s="38"/>
      <c r="W98" s="395"/>
      <c r="X98" s="395"/>
      <c r="Y98" s="395"/>
      <c r="Z98" s="395"/>
      <c r="AA98" s="395"/>
      <c r="AB98" s="395"/>
      <c r="AC98" s="395"/>
      <c r="AD98" s="395"/>
      <c r="AE98" s="395"/>
      <c r="AF98" s="395"/>
      <c r="AG98" s="395"/>
      <c r="AH98" s="395"/>
      <c r="AI98" s="395"/>
      <c r="AJ98" s="395"/>
      <c r="AK98" s="395"/>
      <c r="AL98" s="395"/>
      <c r="AM98" s="395"/>
      <c r="AN98" s="395"/>
      <c r="AO98" s="395"/>
      <c r="AP98" s="395"/>
      <c r="AQ98" s="395"/>
      <c r="AR98" s="395"/>
      <c r="AS98" s="395"/>
      <c r="AT98" s="395"/>
      <c r="AU98" s="38"/>
      <c r="AV98" s="38"/>
      <c r="AW98" s="38"/>
      <c r="AX98" s="38"/>
      <c r="AY98" s="38"/>
    </row>
    <row r="99" spans="1:51">
      <c r="C99" s="38"/>
      <c r="D99" s="38"/>
    </row>
  </sheetData>
  <mergeCells count="12">
    <mergeCell ref="AF2:AJ3"/>
    <mergeCell ref="AK2:AO3"/>
    <mergeCell ref="AP2:AT3"/>
    <mergeCell ref="AU2:AX3"/>
    <mergeCell ref="A3:F3"/>
    <mergeCell ref="V2:Y3"/>
    <mergeCell ref="AA2:AE3"/>
    <mergeCell ref="A42:A48"/>
    <mergeCell ref="A2:F2"/>
    <mergeCell ref="G2:K3"/>
    <mergeCell ref="L2:P3"/>
    <mergeCell ref="Q2:T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AT99"/>
  <sheetViews>
    <sheetView showZeros="0" zoomScale="55" zoomScaleNormal="55" workbookViewId="0">
      <pane xSplit="6" ySplit="5" topLeftCell="AH54"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1"/>
  <cols>
    <col min="1" max="1" width="5.5546875" style="8" customWidth="1"/>
    <col min="2" max="2" width="55" style="8" customWidth="1"/>
    <col min="3" max="3" width="16.44140625" style="77" customWidth="1"/>
    <col min="4" max="4" width="16.6640625" style="77" customWidth="1"/>
    <col min="5" max="5" width="16.33203125" style="38" customWidth="1"/>
    <col min="6" max="6" width="9.5546875" style="38" customWidth="1"/>
    <col min="7" max="7" width="15.33203125" style="38" hidden="1" customWidth="1" outlineLevel="1"/>
    <col min="8" max="8" width="14.109375" style="38" hidden="1" customWidth="1" outlineLevel="1"/>
    <col min="9" max="9" width="18.109375" style="38" hidden="1" customWidth="1" outlineLevel="1"/>
    <col min="10" max="10" width="11.6640625" style="38" hidden="1" customWidth="1" outlineLevel="1"/>
    <col min="11" max="11" width="49.88671875" style="38" hidden="1" customWidth="1" outlineLevel="1"/>
    <col min="12" max="12" width="15.33203125" style="38" hidden="1" customWidth="1" outlineLevel="1"/>
    <col min="13" max="13" width="14.109375" style="38" hidden="1" customWidth="1" outlineLevel="1"/>
    <col min="14" max="14" width="18.109375" style="38" hidden="1" customWidth="1" outlineLevel="1"/>
    <col min="15" max="15" width="11.6640625" style="38" hidden="1" customWidth="1" outlineLevel="1"/>
    <col min="16" max="16" width="49.88671875" style="38" hidden="1" customWidth="1" outlineLevel="1"/>
    <col min="17" max="17" width="19.44140625" style="38" hidden="1" customWidth="1" outlineLevel="1"/>
    <col min="18" max="18" width="16.6640625" style="38" hidden="1" customWidth="1" outlineLevel="1"/>
    <col min="19" max="19" width="17.6640625" style="38" hidden="1" customWidth="1" outlineLevel="1"/>
    <col min="20" max="20" width="12.5546875" style="38" hidden="1" customWidth="1" outlineLevel="1"/>
    <col min="21" max="24" width="20.33203125" style="38" hidden="1" customWidth="1" outlineLevel="1"/>
    <col min="25" max="25" width="11" style="38" hidden="1" customWidth="1" outlineLevel="1"/>
    <col min="26" max="36" width="20.33203125" style="38" hidden="1" customWidth="1" outlineLevel="1"/>
    <col min="37" max="41" width="20.33203125" style="1952" hidden="1" customWidth="1" outlineLevel="1"/>
    <col min="42" max="42" width="18" style="1952" customWidth="1" collapsed="1"/>
    <col min="43" max="43" width="17.88671875" style="1952" customWidth="1"/>
    <col min="44" max="44" width="15.33203125" style="1952" customWidth="1"/>
    <col min="45" max="45" width="17.109375" style="1952" customWidth="1"/>
    <col min="46" max="46" width="37.44140625" style="1952" customWidth="1"/>
    <col min="47" max="16384" width="7.44140625" style="1"/>
  </cols>
  <sheetData>
    <row r="1" spans="1:46" ht="13.8" thickBot="1">
      <c r="C1" s="38"/>
      <c r="D1" s="38"/>
    </row>
    <row r="2" spans="1:46" ht="22.2" customHeight="1">
      <c r="A2" s="4834" t="s">
        <v>939</v>
      </c>
      <c r="B2" s="4835"/>
      <c r="C2" s="4835"/>
      <c r="D2" s="4835"/>
      <c r="E2" s="4835"/>
      <c r="F2" s="4836"/>
      <c r="G2" s="4837" t="s">
        <v>770</v>
      </c>
      <c r="H2" s="4838"/>
      <c r="I2" s="4838"/>
      <c r="J2" s="4838"/>
      <c r="K2" s="4953"/>
      <c r="L2" s="4892" t="s">
        <v>820</v>
      </c>
      <c r="M2" s="4893"/>
      <c r="N2" s="4893"/>
      <c r="O2" s="4893"/>
      <c r="P2" s="630"/>
      <c r="Q2" s="4955" t="s">
        <v>836</v>
      </c>
      <c r="R2" s="4956"/>
      <c r="S2" s="4956"/>
      <c r="T2" s="4956"/>
      <c r="U2" s="757"/>
      <c r="V2" s="4934" t="s">
        <v>883</v>
      </c>
      <c r="W2" s="4935"/>
      <c r="X2" s="4935"/>
      <c r="Y2" s="4935"/>
      <c r="Z2" s="4936"/>
      <c r="AA2" s="4898" t="s">
        <v>910</v>
      </c>
      <c r="AB2" s="4899"/>
      <c r="AC2" s="4899"/>
      <c r="AD2" s="4899"/>
      <c r="AE2" s="4900"/>
      <c r="AF2" s="4904" t="s">
        <v>937</v>
      </c>
      <c r="AG2" s="4905"/>
      <c r="AH2" s="4905"/>
      <c r="AI2" s="4905"/>
      <c r="AJ2" s="4906"/>
      <c r="AK2" s="4841" t="s">
        <v>1232</v>
      </c>
      <c r="AL2" s="4842"/>
      <c r="AM2" s="4842"/>
      <c r="AN2" s="4842"/>
      <c r="AO2" s="4843"/>
      <c r="AP2" s="4988" t="s">
        <v>469</v>
      </c>
      <c r="AQ2" s="4989"/>
      <c r="AR2" s="4989"/>
      <c r="AS2" s="4989"/>
      <c r="AT2" s="1588"/>
    </row>
    <row r="3" spans="1:46" ht="14.4" customHeight="1" thickBot="1">
      <c r="A3" s="4853" t="s">
        <v>54</v>
      </c>
      <c r="B3" s="4854"/>
      <c r="C3" s="4854"/>
      <c r="D3" s="4854"/>
      <c r="E3" s="4854"/>
      <c r="F3" s="4855"/>
      <c r="G3" s="4839"/>
      <c r="H3" s="4840"/>
      <c r="I3" s="4840"/>
      <c r="J3" s="4840"/>
      <c r="K3" s="4954"/>
      <c r="L3" s="4895"/>
      <c r="M3" s="4896"/>
      <c r="N3" s="4896"/>
      <c r="O3" s="4896"/>
      <c r="P3" s="631"/>
      <c r="Q3" s="4958"/>
      <c r="R3" s="4959"/>
      <c r="S3" s="4959"/>
      <c r="T3" s="4959"/>
      <c r="U3" s="758"/>
      <c r="V3" s="4937"/>
      <c r="W3" s="4938"/>
      <c r="X3" s="4938"/>
      <c r="Y3" s="4938"/>
      <c r="Z3" s="4939"/>
      <c r="AA3" s="4901"/>
      <c r="AB3" s="4902"/>
      <c r="AC3" s="4902"/>
      <c r="AD3" s="4902"/>
      <c r="AE3" s="4903"/>
      <c r="AF3" s="4907"/>
      <c r="AG3" s="4908"/>
      <c r="AH3" s="4908"/>
      <c r="AI3" s="4908"/>
      <c r="AJ3" s="4909"/>
      <c r="AK3" s="4844"/>
      <c r="AL3" s="4845"/>
      <c r="AM3" s="4845"/>
      <c r="AN3" s="4845"/>
      <c r="AO3" s="4846"/>
      <c r="AP3" s="4990"/>
      <c r="AQ3" s="4991"/>
      <c r="AR3" s="4991"/>
      <c r="AS3" s="4991"/>
      <c r="AT3" s="1589"/>
    </row>
    <row r="4" spans="1:46"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1956" t="s">
        <v>55</v>
      </c>
      <c r="AL4" s="1956" t="s">
        <v>18</v>
      </c>
      <c r="AM4" s="1474" t="s">
        <v>39</v>
      </c>
      <c r="AN4" s="1962" t="s">
        <v>40</v>
      </c>
      <c r="AO4" s="1474" t="s">
        <v>19</v>
      </c>
      <c r="AP4" s="1956" t="s">
        <v>55</v>
      </c>
      <c r="AQ4" s="1956" t="s">
        <v>18</v>
      </c>
      <c r="AR4" s="1474" t="s">
        <v>39</v>
      </c>
      <c r="AS4" s="1962" t="s">
        <v>40</v>
      </c>
      <c r="AT4" s="1474" t="s">
        <v>19</v>
      </c>
    </row>
    <row r="5" spans="1:46" s="88" customFormat="1" ht="14.4" thickBot="1">
      <c r="A5" s="83"/>
      <c r="B5" s="84" t="s">
        <v>10</v>
      </c>
      <c r="C5" s="85">
        <f>C6</f>
        <v>2648220</v>
      </c>
      <c r="D5" s="85">
        <f>D6</f>
        <v>0</v>
      </c>
      <c r="E5" s="86">
        <f>E6</f>
        <v>2648220</v>
      </c>
      <c r="F5" s="87"/>
      <c r="G5" s="87">
        <f>G6</f>
        <v>0</v>
      </c>
      <c r="H5" s="87">
        <f>H6</f>
        <v>0</v>
      </c>
      <c r="I5" s="87">
        <f>I6</f>
        <v>0</v>
      </c>
      <c r="J5" s="87"/>
      <c r="K5" s="87"/>
      <c r="L5" s="87">
        <f>L6</f>
        <v>403280</v>
      </c>
      <c r="M5" s="87">
        <f>M6</f>
        <v>0</v>
      </c>
      <c r="N5" s="87">
        <f>N6</f>
        <v>403280</v>
      </c>
      <c r="O5" s="87"/>
      <c r="P5" s="87"/>
      <c r="Q5" s="87">
        <f>Q6+Q7</f>
        <v>652190</v>
      </c>
      <c r="R5" s="87">
        <f>R6+R7</f>
        <v>0</v>
      </c>
      <c r="S5" s="87">
        <f>S6+S7</f>
        <v>652190</v>
      </c>
      <c r="T5" s="87"/>
      <c r="U5" s="87"/>
      <c r="V5" s="87">
        <f>V6+V7</f>
        <v>503834</v>
      </c>
      <c r="W5" s="87">
        <f>W6+W7</f>
        <v>0</v>
      </c>
      <c r="X5" s="87">
        <f>X6+X7</f>
        <v>503834</v>
      </c>
      <c r="Y5" s="87"/>
      <c r="Z5" s="87"/>
      <c r="AA5" s="87">
        <f>AA6+AA7</f>
        <v>1688454.79</v>
      </c>
      <c r="AB5" s="87">
        <f>AB6+AB7</f>
        <v>0</v>
      </c>
      <c r="AC5" s="87">
        <f>AC6+AC7</f>
        <v>1688454.79</v>
      </c>
      <c r="AD5" s="87"/>
      <c r="AE5" s="87"/>
      <c r="AF5" s="87">
        <f>AF6+AF7</f>
        <v>0</v>
      </c>
      <c r="AG5" s="87">
        <f>AG6+AG7</f>
        <v>0</v>
      </c>
      <c r="AH5" s="87">
        <f>AH6+AH7</f>
        <v>0</v>
      </c>
      <c r="AI5" s="87"/>
      <c r="AJ5" s="87"/>
      <c r="AK5" s="1466">
        <f>AK6+AK7</f>
        <v>0</v>
      </c>
      <c r="AL5" s="1466">
        <f>AL6+AL7</f>
        <v>0</v>
      </c>
      <c r="AM5" s="1466">
        <f>AM6+AM7</f>
        <v>0</v>
      </c>
      <c r="AN5" s="1466"/>
      <c r="AO5" s="1466"/>
      <c r="AP5" s="1466">
        <f>AP6+AP7</f>
        <v>3247758.79</v>
      </c>
      <c r="AQ5" s="1466">
        <f>AQ6+AQ7</f>
        <v>0</v>
      </c>
      <c r="AR5" s="1466">
        <f>AR6+AR7</f>
        <v>3247758.79</v>
      </c>
      <c r="AS5" s="1466"/>
      <c r="AT5" s="1466"/>
    </row>
    <row r="6" spans="1:46" s="2" customFormat="1" ht="27.6" outlineLevel="1">
      <c r="A6" s="238"/>
      <c r="B6" s="9" t="s">
        <v>17</v>
      </c>
      <c r="C6" s="104">
        <v>2648220</v>
      </c>
      <c r="D6" s="105"/>
      <c r="E6" s="106">
        <f>C6+D6</f>
        <v>2648220</v>
      </c>
      <c r="F6" s="39"/>
      <c r="G6" s="39"/>
      <c r="H6" s="39"/>
      <c r="I6" s="106">
        <f>G6+H6</f>
        <v>0</v>
      </c>
      <c r="J6" s="39"/>
      <c r="K6" s="39"/>
      <c r="L6" s="39">
        <v>403280</v>
      </c>
      <c r="M6" s="39"/>
      <c r="N6" s="106">
        <f>L6+M6</f>
        <v>403280</v>
      </c>
      <c r="O6" s="39"/>
      <c r="P6" s="39"/>
      <c r="Q6" s="39">
        <f>269770+382420</f>
        <v>652190</v>
      </c>
      <c r="R6" s="39"/>
      <c r="S6" s="106">
        <f>Q6+R6</f>
        <v>652190</v>
      </c>
      <c r="T6" s="39"/>
      <c r="U6" s="39"/>
      <c r="V6" s="39">
        <v>503834</v>
      </c>
      <c r="W6" s="39"/>
      <c r="X6" s="106">
        <f>V6+W6</f>
        <v>503834</v>
      </c>
      <c r="Y6" s="39"/>
      <c r="Z6" s="39"/>
      <c r="AA6" s="39">
        <f>488536+66679.31+340939.48+792300</f>
        <v>1688454.79</v>
      </c>
      <c r="AB6" s="39"/>
      <c r="AC6" s="106">
        <f>AA6+AB6</f>
        <v>1688454.79</v>
      </c>
      <c r="AD6" s="39"/>
      <c r="AE6" s="388" t="s">
        <v>912</v>
      </c>
      <c r="AF6" s="39"/>
      <c r="AG6" s="39"/>
      <c r="AH6" s="106">
        <f>AF6+AG6</f>
        <v>0</v>
      </c>
      <c r="AI6" s="39"/>
      <c r="AJ6" s="388" t="s">
        <v>912</v>
      </c>
      <c r="AK6" s="2043"/>
      <c r="AL6" s="2043"/>
      <c r="AM6" s="2012">
        <f>AK6+AL6</f>
        <v>0</v>
      </c>
      <c r="AN6" s="2043"/>
      <c r="AO6" s="2046"/>
      <c r="AP6" s="2043">
        <f>G6+L6+Q6+V6+AA6+AF6+AK6</f>
        <v>3247758.79</v>
      </c>
      <c r="AQ6" s="2043">
        <f>H6+M6+R6+W6+AB6+AG6+AL6</f>
        <v>0</v>
      </c>
      <c r="AR6" s="2012">
        <f>AP6+AQ6</f>
        <v>3247758.79</v>
      </c>
      <c r="AS6" s="2043"/>
      <c r="AT6" s="2043"/>
    </row>
    <row r="7" spans="1:46" s="2" customFormat="1" ht="33.6" customHeight="1" outlineLevel="1" collapsed="1" thickBot="1">
      <c r="A7" s="238"/>
      <c r="B7" s="10" t="s">
        <v>41</v>
      </c>
      <c r="C7" s="107"/>
      <c r="D7" s="621"/>
      <c r="E7" s="622">
        <f>C7+D7</f>
        <v>0</v>
      </c>
      <c r="F7" s="612"/>
      <c r="G7" s="535"/>
      <c r="H7" s="535"/>
      <c r="I7" s="622">
        <f>G7+H7</f>
        <v>0</v>
      </c>
      <c r="J7" s="612"/>
      <c r="K7" s="612"/>
      <c r="L7" s="535"/>
      <c r="M7" s="535"/>
      <c r="N7" s="622">
        <f>L7+M7</f>
        <v>0</v>
      </c>
      <c r="O7" s="612"/>
      <c r="P7" s="612"/>
      <c r="Q7" s="535"/>
      <c r="R7" s="535"/>
      <c r="S7" s="622">
        <f>Q7+R7</f>
        <v>0</v>
      </c>
      <c r="T7" s="612"/>
      <c r="U7" s="612"/>
      <c r="V7" s="535"/>
      <c r="W7" s="535"/>
      <c r="X7" s="622">
        <f>V7+W7</f>
        <v>0</v>
      </c>
      <c r="Y7" s="612"/>
      <c r="Z7" s="612"/>
      <c r="AA7" s="535"/>
      <c r="AB7" s="535"/>
      <c r="AC7" s="622">
        <f>AA7+AB7</f>
        <v>0</v>
      </c>
      <c r="AD7" s="612"/>
      <c r="AE7" s="612"/>
      <c r="AF7" s="535"/>
      <c r="AG7" s="535"/>
      <c r="AH7" s="622">
        <f>AF7+AG7</f>
        <v>0</v>
      </c>
      <c r="AI7" s="612"/>
      <c r="AJ7" s="612"/>
      <c r="AK7" s="2027"/>
      <c r="AL7" s="2027"/>
      <c r="AM7" s="2030">
        <f>AK7+AL7</f>
        <v>0</v>
      </c>
      <c r="AN7" s="1905"/>
      <c r="AO7" s="1905"/>
      <c r="AP7" s="2043">
        <f>G7+L7+Q7+V7+AA7+AF7+AK7</f>
        <v>0</v>
      </c>
      <c r="AQ7" s="2043">
        <f>H7+M7+R7+W7+AB7+AG7+AL7</f>
        <v>0</v>
      </c>
      <c r="AR7" s="2030">
        <f>AP7+AQ7</f>
        <v>0</v>
      </c>
      <c r="AS7" s="1905"/>
      <c r="AT7" s="1905"/>
    </row>
    <row r="8" spans="1:46" s="88" customFormat="1" ht="15" customHeight="1" outlineLevel="1" thickBot="1">
      <c r="A8" s="238"/>
      <c r="B8" s="617" t="s">
        <v>16</v>
      </c>
      <c r="C8" s="618">
        <f>SUM(C9:C33)</f>
        <v>1843827</v>
      </c>
      <c r="D8" s="618">
        <f>SUM(D9:D33)</f>
        <v>89863</v>
      </c>
      <c r="E8" s="619">
        <f>SUM(E9:E33)</f>
        <v>1933690</v>
      </c>
      <c r="F8" s="577">
        <f t="shared" ref="F8:F21" si="0">E8/$E$89</f>
        <v>0.9022253638758051</v>
      </c>
      <c r="G8" s="618">
        <f>SUM(G9:G33)</f>
        <v>1828.3074000000001</v>
      </c>
      <c r="H8" s="618">
        <f>SUM(H9:H33)</f>
        <v>0</v>
      </c>
      <c r="I8" s="619">
        <f>SUM(I9:I33)</f>
        <v>1828.3074000000001</v>
      </c>
      <c r="J8" s="577">
        <f>I8/$I$89</f>
        <v>7.59914942720952E-2</v>
      </c>
      <c r="K8" s="620"/>
      <c r="L8" s="618">
        <f>SUM(L9:L33)</f>
        <v>208153.00400000002</v>
      </c>
      <c r="M8" s="618">
        <f>SUM(M9:M33)</f>
        <v>0</v>
      </c>
      <c r="N8" s="619">
        <f>SUM(N9:N33)</f>
        <v>208153.00400000002</v>
      </c>
      <c r="O8" s="577">
        <f t="shared" ref="O8:O71" si="1">N8/$N$89</f>
        <v>0.99975504793846326</v>
      </c>
      <c r="P8" s="620"/>
      <c r="Q8" s="618">
        <f>SUM(Q9:Q33)</f>
        <v>538514.52800000005</v>
      </c>
      <c r="R8" s="618">
        <f>SUM(R9:R33)</f>
        <v>0</v>
      </c>
      <c r="S8" s="619">
        <f>SUM(S9:S33)</f>
        <v>538514.52800000005</v>
      </c>
      <c r="T8" s="577">
        <f>S8/$S$89</f>
        <v>0.99991458713067805</v>
      </c>
      <c r="U8" s="620"/>
      <c r="V8" s="618">
        <f>SUM(V9:V33)</f>
        <v>357812</v>
      </c>
      <c r="W8" s="618">
        <f>SUM(W9:W33)</f>
        <v>0</v>
      </c>
      <c r="X8" s="619">
        <f>SUM(X9:X33)</f>
        <v>357812</v>
      </c>
      <c r="Y8" s="577">
        <f>X8/$X$89</f>
        <v>0.99346995328931231</v>
      </c>
      <c r="Z8" s="620"/>
      <c r="AA8" s="618">
        <f>SUM(AA9:AA33)</f>
        <v>248567</v>
      </c>
      <c r="AB8" s="618">
        <f>SUM(AB9:AB33)</f>
        <v>112506.04000000001</v>
      </c>
      <c r="AC8" s="619">
        <f>SUM(AC9:AC33)</f>
        <v>361073.04000000004</v>
      </c>
      <c r="AD8" s="577">
        <f>AC8/$AC$89</f>
        <v>0.99926108382563972</v>
      </c>
      <c r="AE8" s="620"/>
      <c r="AF8" s="618">
        <f>SUM(AF9:AF33)</f>
        <v>803539.23</v>
      </c>
      <c r="AG8" s="618">
        <f>SUM(AG9:AG33)</f>
        <v>40000</v>
      </c>
      <c r="AH8" s="619">
        <f>SUM(AH9:AH33)</f>
        <v>843539.23</v>
      </c>
      <c r="AI8" s="577">
        <f>AH8/$AC$89</f>
        <v>2.334474834286286</v>
      </c>
      <c r="AJ8" s="620"/>
      <c r="AK8" s="1957">
        <f>SUM(AK9:AK33)</f>
        <v>1299.9599999999998</v>
      </c>
      <c r="AL8" s="1957">
        <f>SUM(AL9:AL33)</f>
        <v>0</v>
      </c>
      <c r="AM8" s="1484">
        <f>SUM(AM9:AM33)</f>
        <v>1299.9599999999998</v>
      </c>
      <c r="AN8" s="1528">
        <f>AM8/$AM$89</f>
        <v>1</v>
      </c>
      <c r="AO8" s="1466"/>
      <c r="AP8" s="1957">
        <f>SUM(AP9:AP33)</f>
        <v>2159714.0293999999</v>
      </c>
      <c r="AQ8" s="1957">
        <f>SUM(AQ9:AQ33)</f>
        <v>152506.04</v>
      </c>
      <c r="AR8" s="1484">
        <f>SUM(AR9:AR33)</f>
        <v>2312220.0693999999</v>
      </c>
      <c r="AS8" s="1528">
        <f>AR8/$AR$89</f>
        <v>0.98924133506132883</v>
      </c>
      <c r="AT8" s="1466"/>
    </row>
    <row r="9" spans="1:46" s="2" customFormat="1" ht="92.4" customHeight="1" outlineLevel="2">
      <c r="A9" s="238"/>
      <c r="B9" s="492" t="s">
        <v>74</v>
      </c>
      <c r="C9" s="111"/>
      <c r="D9" s="493"/>
      <c r="E9" s="446">
        <f>C9+D9</f>
        <v>0</v>
      </c>
      <c r="F9" s="447">
        <f t="shared" si="0"/>
        <v>0</v>
      </c>
      <c r="G9" s="452"/>
      <c r="H9" s="452"/>
      <c r="I9" s="453">
        <f>G9+H9*1</f>
        <v>0</v>
      </c>
      <c r="J9" s="447">
        <f>I9/$I$89</f>
        <v>0</v>
      </c>
      <c r="K9" s="458"/>
      <c r="L9" s="452"/>
      <c r="M9" s="452"/>
      <c r="N9" s="453">
        <f>L9+M9*1</f>
        <v>0</v>
      </c>
      <c r="O9" s="447">
        <f>N9/$N$89</f>
        <v>0</v>
      </c>
      <c r="P9" s="458"/>
      <c r="Q9" s="452"/>
      <c r="R9" s="452"/>
      <c r="S9" s="453">
        <f>Q9+R9*1</f>
        <v>0</v>
      </c>
      <c r="T9" s="447">
        <f>S9/$S$89</f>
        <v>0</v>
      </c>
      <c r="U9" s="458"/>
      <c r="V9" s="452"/>
      <c r="W9" s="452"/>
      <c r="X9" s="453">
        <f>V9+W9*1</f>
        <v>0</v>
      </c>
      <c r="Y9" s="447">
        <f t="shared" ref="Y9:Y72" si="2">X9/$X$89</f>
        <v>0</v>
      </c>
      <c r="Z9" s="458"/>
      <c r="AA9" s="452"/>
      <c r="AB9" s="452"/>
      <c r="AC9" s="453">
        <f>AA9+AB9*1</f>
        <v>0</v>
      </c>
      <c r="AD9" s="447">
        <f>AC9/$AC$89</f>
        <v>0</v>
      </c>
      <c r="AE9" s="458"/>
      <c r="AF9" s="452"/>
      <c r="AG9" s="452"/>
      <c r="AH9" s="453">
        <f>AF9+AG9*1</f>
        <v>0</v>
      </c>
      <c r="AI9" s="447">
        <f>AH9/$AC$89</f>
        <v>0</v>
      </c>
      <c r="AJ9" s="458"/>
      <c r="AK9" s="2043"/>
      <c r="AL9" s="2043"/>
      <c r="AM9" s="2045">
        <f>AK9+AL9*1</f>
        <v>0</v>
      </c>
      <c r="AN9" s="1976">
        <f t="shared" ref="AN9:AN72" si="3">AM9/$AM$89</f>
        <v>0</v>
      </c>
      <c r="AO9" s="2046"/>
      <c r="AP9" s="2043">
        <f t="shared" ref="AP9:AQ33" si="4">G9+L9+Q9+V9+AA9+AF9+AK9</f>
        <v>0</v>
      </c>
      <c r="AQ9" s="2043">
        <f t="shared" si="4"/>
        <v>0</v>
      </c>
      <c r="AR9" s="2012">
        <f t="shared" ref="AR9:AR33" si="5">AP9+AQ9</f>
        <v>0</v>
      </c>
      <c r="AS9" s="1976">
        <f>AR9/$AR$89</f>
        <v>0</v>
      </c>
      <c r="AT9" s="1434"/>
    </row>
    <row r="10" spans="1:46" s="2" customFormat="1" ht="37.200000000000003" customHeight="1" outlineLevel="2">
      <c r="A10" s="238"/>
      <c r="B10" s="31" t="s">
        <v>72</v>
      </c>
      <c r="C10" s="111"/>
      <c r="D10" s="112"/>
      <c r="E10" s="106">
        <f t="shared" ref="E10:E33" si="6">C10+D10</f>
        <v>0</v>
      </c>
      <c r="F10" s="177">
        <f t="shared" si="0"/>
        <v>0</v>
      </c>
      <c r="G10" s="39"/>
      <c r="H10" s="39"/>
      <c r="I10" s="210">
        <f t="shared" ref="I10:I22" si="7">G10+H10*1</f>
        <v>0</v>
      </c>
      <c r="J10" s="178">
        <f t="shared" ref="J10:J33" si="8">I10/$I$89</f>
        <v>0</v>
      </c>
      <c r="K10" s="388"/>
      <c r="L10" s="39"/>
      <c r="M10" s="39"/>
      <c r="N10" s="210">
        <f t="shared" ref="N10:N22" si="9">L10+M10*1</f>
        <v>0</v>
      </c>
      <c r="O10" s="178">
        <f t="shared" si="1"/>
        <v>0</v>
      </c>
      <c r="P10" s="388"/>
      <c r="Q10" s="39"/>
      <c r="R10" s="39"/>
      <c r="S10" s="210">
        <f t="shared" ref="S10:S22" si="10">Q10+R10*1</f>
        <v>0</v>
      </c>
      <c r="T10" s="178">
        <f t="shared" ref="T10:T33" si="11">S10/$S$89</f>
        <v>0</v>
      </c>
      <c r="U10" s="388"/>
      <c r="V10" s="39"/>
      <c r="W10" s="39"/>
      <c r="X10" s="210">
        <f t="shared" ref="X10:X22" si="12">V10+W10*1</f>
        <v>0</v>
      </c>
      <c r="Y10" s="178">
        <f t="shared" si="2"/>
        <v>0</v>
      </c>
      <c r="Z10" s="388"/>
      <c r="AA10" s="39"/>
      <c r="AB10" s="39"/>
      <c r="AC10" s="210">
        <f t="shared" ref="AC10:AC22" si="13">AA10+AB10*1</f>
        <v>0</v>
      </c>
      <c r="AD10" s="178">
        <f t="shared" ref="AD10:AD33" si="14">AC10/$AC$89</f>
        <v>0</v>
      </c>
      <c r="AE10" s="388"/>
      <c r="AF10" s="39"/>
      <c r="AG10" s="39"/>
      <c r="AH10" s="210">
        <f t="shared" ref="AH10:AH22" si="15">AF10+AG10*1</f>
        <v>0</v>
      </c>
      <c r="AI10" s="178">
        <f t="shared" ref="AI10:AI33" si="16">AH10/$AC$89</f>
        <v>0</v>
      </c>
      <c r="AJ10" s="388"/>
      <c r="AK10" s="2043"/>
      <c r="AL10" s="2043"/>
      <c r="AM10" s="2045">
        <f t="shared" ref="AM10:AM17" si="17">AK10+AL10*1</f>
        <v>0</v>
      </c>
      <c r="AN10" s="2044">
        <f t="shared" si="3"/>
        <v>0</v>
      </c>
      <c r="AO10" s="2046"/>
      <c r="AP10" s="2043">
        <f t="shared" si="4"/>
        <v>0</v>
      </c>
      <c r="AQ10" s="2043">
        <f t="shared" si="4"/>
        <v>0</v>
      </c>
      <c r="AR10" s="2012">
        <f t="shared" si="5"/>
        <v>0</v>
      </c>
      <c r="AS10" s="2044">
        <f t="shared" ref="AS10:AS21" si="18">AR10/$AR$89</f>
        <v>0</v>
      </c>
      <c r="AT10" s="1434"/>
    </row>
    <row r="11" spans="1:46" s="2" customFormat="1" ht="30.6" customHeight="1" outlineLevel="2">
      <c r="A11" s="238"/>
      <c r="B11" s="31" t="s">
        <v>69</v>
      </c>
      <c r="C11" s="111"/>
      <c r="D11" s="112"/>
      <c r="E11" s="106">
        <f t="shared" si="6"/>
        <v>0</v>
      </c>
      <c r="F11" s="177">
        <f t="shared" si="0"/>
        <v>0</v>
      </c>
      <c r="G11" s="39"/>
      <c r="H11" s="39"/>
      <c r="I11" s="210">
        <f t="shared" si="7"/>
        <v>0</v>
      </c>
      <c r="J11" s="178">
        <f t="shared" si="8"/>
        <v>0</v>
      </c>
      <c r="K11" s="388"/>
      <c r="L11" s="39"/>
      <c r="M11" s="39"/>
      <c r="N11" s="210">
        <f t="shared" si="9"/>
        <v>0</v>
      </c>
      <c r="O11" s="178">
        <f t="shared" si="1"/>
        <v>0</v>
      </c>
      <c r="P11" s="388"/>
      <c r="Q11" s="39"/>
      <c r="R11" s="39"/>
      <c r="S11" s="210">
        <f t="shared" si="10"/>
        <v>0</v>
      </c>
      <c r="T11" s="178">
        <f t="shared" si="11"/>
        <v>0</v>
      </c>
      <c r="U11" s="388"/>
      <c r="V11" s="39"/>
      <c r="W11" s="39"/>
      <c r="X11" s="210">
        <f t="shared" si="12"/>
        <v>0</v>
      </c>
      <c r="Y11" s="178">
        <f t="shared" si="2"/>
        <v>0</v>
      </c>
      <c r="Z11" s="388"/>
      <c r="AA11" s="39"/>
      <c r="AB11" s="39"/>
      <c r="AC11" s="210">
        <f t="shared" si="13"/>
        <v>0</v>
      </c>
      <c r="AD11" s="178">
        <f t="shared" si="14"/>
        <v>0</v>
      </c>
      <c r="AE11" s="388"/>
      <c r="AF11" s="39"/>
      <c r="AG11" s="39"/>
      <c r="AH11" s="210">
        <f t="shared" si="15"/>
        <v>0</v>
      </c>
      <c r="AI11" s="178">
        <f t="shared" si="16"/>
        <v>0</v>
      </c>
      <c r="AJ11" s="388"/>
      <c r="AK11" s="2043"/>
      <c r="AL11" s="2043"/>
      <c r="AM11" s="2045">
        <f t="shared" si="17"/>
        <v>0</v>
      </c>
      <c r="AN11" s="2044">
        <f t="shared" si="3"/>
        <v>0</v>
      </c>
      <c r="AO11" s="2046"/>
      <c r="AP11" s="2043">
        <f t="shared" si="4"/>
        <v>0</v>
      </c>
      <c r="AQ11" s="2043">
        <f t="shared" si="4"/>
        <v>0</v>
      </c>
      <c r="AR11" s="2012">
        <f t="shared" si="5"/>
        <v>0</v>
      </c>
      <c r="AS11" s="2044">
        <f t="shared" si="18"/>
        <v>0</v>
      </c>
      <c r="AT11" s="1434"/>
    </row>
    <row r="12" spans="1:46" s="2" customFormat="1" ht="36" customHeight="1" outlineLevel="2">
      <c r="A12" s="238"/>
      <c r="B12" s="31" t="s">
        <v>73</v>
      </c>
      <c r="C12" s="111">
        <v>17187</v>
      </c>
      <c r="D12" s="112"/>
      <c r="E12" s="106">
        <f t="shared" si="6"/>
        <v>17187</v>
      </c>
      <c r="F12" s="177">
        <f t="shared" si="0"/>
        <v>8.0191485341153251E-3</v>
      </c>
      <c r="G12" s="39"/>
      <c r="H12" s="39"/>
      <c r="I12" s="210">
        <f t="shared" si="7"/>
        <v>0</v>
      </c>
      <c r="J12" s="178">
        <f t="shared" si="8"/>
        <v>0</v>
      </c>
      <c r="K12" s="388"/>
      <c r="L12" s="39"/>
      <c r="M12" s="39"/>
      <c r="N12" s="210">
        <f t="shared" si="9"/>
        <v>0</v>
      </c>
      <c r="O12" s="178">
        <f t="shared" si="1"/>
        <v>0</v>
      </c>
      <c r="P12" s="388"/>
      <c r="Q12" s="39"/>
      <c r="R12" s="39"/>
      <c r="S12" s="210">
        <f t="shared" si="10"/>
        <v>0</v>
      </c>
      <c r="T12" s="178">
        <f t="shared" si="11"/>
        <v>0</v>
      </c>
      <c r="U12" s="388"/>
      <c r="V12" s="39"/>
      <c r="W12" s="39"/>
      <c r="X12" s="210">
        <f t="shared" si="12"/>
        <v>0</v>
      </c>
      <c r="Y12" s="178">
        <f t="shared" si="2"/>
        <v>0</v>
      </c>
      <c r="Z12" s="388"/>
      <c r="AA12" s="39"/>
      <c r="AB12" s="39"/>
      <c r="AC12" s="210">
        <f t="shared" si="13"/>
        <v>0</v>
      </c>
      <c r="AD12" s="178">
        <f t="shared" si="14"/>
        <v>0</v>
      </c>
      <c r="AE12" s="388"/>
      <c r="AF12" s="39"/>
      <c r="AG12" s="39"/>
      <c r="AH12" s="210">
        <f t="shared" si="15"/>
        <v>0</v>
      </c>
      <c r="AI12" s="178">
        <f t="shared" si="16"/>
        <v>0</v>
      </c>
      <c r="AJ12" s="388"/>
      <c r="AK12" s="2043"/>
      <c r="AL12" s="2043"/>
      <c r="AM12" s="2045">
        <f t="shared" si="17"/>
        <v>0</v>
      </c>
      <c r="AN12" s="2044">
        <f t="shared" si="3"/>
        <v>0</v>
      </c>
      <c r="AO12" s="2046"/>
      <c r="AP12" s="2043">
        <f t="shared" si="4"/>
        <v>0</v>
      </c>
      <c r="AQ12" s="2043">
        <f t="shared" si="4"/>
        <v>0</v>
      </c>
      <c r="AR12" s="2012">
        <f t="shared" si="5"/>
        <v>0</v>
      </c>
      <c r="AS12" s="2044">
        <f t="shared" si="18"/>
        <v>0</v>
      </c>
      <c r="AT12" s="1434"/>
    </row>
    <row r="13" spans="1:46" s="2" customFormat="1" ht="54" customHeight="1" outlineLevel="2">
      <c r="A13" s="238"/>
      <c r="B13" s="31" t="s">
        <v>71</v>
      </c>
      <c r="C13" s="111">
        <v>4163</v>
      </c>
      <c r="D13" s="112"/>
      <c r="E13" s="106">
        <f t="shared" si="6"/>
        <v>4163</v>
      </c>
      <c r="F13" s="177">
        <f t="shared" si="0"/>
        <v>1.9423817622343689E-3</v>
      </c>
      <c r="G13" s="39">
        <v>859.08420000000001</v>
      </c>
      <c r="H13" s="39"/>
      <c r="I13" s="210">
        <f t="shared" si="7"/>
        <v>859.08420000000001</v>
      </c>
      <c r="J13" s="178">
        <f t="shared" si="8"/>
        <v>3.5706846706165217E-2</v>
      </c>
      <c r="K13" s="388" t="s">
        <v>785</v>
      </c>
      <c r="L13" s="39">
        <v>1364</v>
      </c>
      <c r="M13" s="39"/>
      <c r="N13" s="210">
        <f t="shared" si="9"/>
        <v>1364</v>
      </c>
      <c r="O13" s="178">
        <f t="shared" si="1"/>
        <v>6.5512669007076344E-3</v>
      </c>
      <c r="P13" s="388" t="s">
        <v>785</v>
      </c>
      <c r="Q13" s="39">
        <v>1364</v>
      </c>
      <c r="R13" s="39"/>
      <c r="S13" s="210">
        <f t="shared" si="10"/>
        <v>1364</v>
      </c>
      <c r="T13" s="178">
        <f t="shared" si="11"/>
        <v>2.5326772555451741E-3</v>
      </c>
      <c r="U13" s="388" t="s">
        <v>785</v>
      </c>
      <c r="V13" s="39">
        <v>1209</v>
      </c>
      <c r="W13" s="39"/>
      <c r="X13" s="210">
        <f t="shared" si="12"/>
        <v>1209</v>
      </c>
      <c r="Y13" s="178">
        <f t="shared" si="2"/>
        <v>3.3568051756977927E-3</v>
      </c>
      <c r="Z13" s="388" t="s">
        <v>785</v>
      </c>
      <c r="AA13" s="39">
        <v>1269</v>
      </c>
      <c r="AB13" s="39"/>
      <c r="AC13" s="210">
        <f t="shared" si="13"/>
        <v>1269</v>
      </c>
      <c r="AD13" s="178">
        <f t="shared" si="14"/>
        <v>3.5119274354428031E-3</v>
      </c>
      <c r="AE13" s="388" t="s">
        <v>785</v>
      </c>
      <c r="AF13" s="39">
        <f>708.64-370</f>
        <v>338.64</v>
      </c>
      <c r="AG13" s="39"/>
      <c r="AH13" s="210">
        <f t="shared" si="15"/>
        <v>338.64</v>
      </c>
      <c r="AI13" s="178">
        <f t="shared" si="16"/>
        <v>9.3717817709877921E-4</v>
      </c>
      <c r="AJ13" s="388" t="s">
        <v>785</v>
      </c>
      <c r="AK13" s="2043"/>
      <c r="AL13" s="2043"/>
      <c r="AM13" s="2045">
        <f t="shared" si="17"/>
        <v>0</v>
      </c>
      <c r="AN13" s="2044">
        <f t="shared" si="3"/>
        <v>0</v>
      </c>
      <c r="AO13" s="2046"/>
      <c r="AP13" s="2043">
        <f t="shared" si="4"/>
        <v>6403.7242000000006</v>
      </c>
      <c r="AQ13" s="2043">
        <f t="shared" si="4"/>
        <v>0</v>
      </c>
      <c r="AR13" s="2012">
        <f t="shared" si="5"/>
        <v>6403.7242000000006</v>
      </c>
      <c r="AS13" s="2044">
        <f t="shared" si="18"/>
        <v>2.7397170195034119E-3</v>
      </c>
      <c r="AT13" s="1434"/>
    </row>
    <row r="14" spans="1:46" s="2" customFormat="1" ht="14.4" customHeight="1" outlineLevel="2">
      <c r="A14" s="238"/>
      <c r="B14" s="31" t="s">
        <v>70</v>
      </c>
      <c r="C14" s="111">
        <v>4697</v>
      </c>
      <c r="D14" s="112"/>
      <c r="E14" s="106">
        <f t="shared" si="6"/>
        <v>4697</v>
      </c>
      <c r="F14" s="177">
        <f t="shared" si="0"/>
        <v>2.1915366651969327E-3</v>
      </c>
      <c r="G14" s="39">
        <v>969.22320000000013</v>
      </c>
      <c r="H14" s="39"/>
      <c r="I14" s="210">
        <f t="shared" si="7"/>
        <v>969.22320000000013</v>
      </c>
      <c r="J14" s="178">
        <f t="shared" si="8"/>
        <v>4.028464756592999E-2</v>
      </c>
      <c r="K14" s="388"/>
      <c r="L14" s="39">
        <v>1209</v>
      </c>
      <c r="M14" s="39"/>
      <c r="N14" s="210">
        <f t="shared" si="9"/>
        <v>1209</v>
      </c>
      <c r="O14" s="178">
        <f t="shared" si="1"/>
        <v>5.8068047528999486E-3</v>
      </c>
      <c r="P14" s="388"/>
      <c r="Q14" s="39">
        <v>1209</v>
      </c>
      <c r="R14" s="39"/>
      <c r="S14" s="210">
        <f t="shared" si="10"/>
        <v>1209</v>
      </c>
      <c r="T14" s="178">
        <f t="shared" si="11"/>
        <v>2.2448730219604951E-3</v>
      </c>
      <c r="U14" s="388"/>
      <c r="V14" s="39">
        <v>1364</v>
      </c>
      <c r="W14" s="39"/>
      <c r="X14" s="210">
        <f t="shared" si="12"/>
        <v>1364</v>
      </c>
      <c r="Y14" s="178">
        <f t="shared" si="2"/>
        <v>3.7871648136077662E-3</v>
      </c>
      <c r="Z14" s="388"/>
      <c r="AA14" s="39">
        <v>1364</v>
      </c>
      <c r="AB14" s="39"/>
      <c r="AC14" s="210">
        <f t="shared" si="13"/>
        <v>1364</v>
      </c>
      <c r="AD14" s="178">
        <f t="shared" si="14"/>
        <v>3.7748376847470317E-3</v>
      </c>
      <c r="AE14" s="388"/>
      <c r="AF14" s="39">
        <f>799.49+310</f>
        <v>1109.49</v>
      </c>
      <c r="AG14" s="39"/>
      <c r="AH14" s="210">
        <f t="shared" si="15"/>
        <v>1109.49</v>
      </c>
      <c r="AI14" s="178">
        <f t="shared" si="16"/>
        <v>3.0704872894794606E-3</v>
      </c>
      <c r="AJ14" s="388"/>
      <c r="AK14" s="2043"/>
      <c r="AL14" s="2043"/>
      <c r="AM14" s="2045">
        <f t="shared" si="17"/>
        <v>0</v>
      </c>
      <c r="AN14" s="2044">
        <f t="shared" si="3"/>
        <v>0</v>
      </c>
      <c r="AO14" s="2046"/>
      <c r="AP14" s="2043">
        <f t="shared" si="4"/>
        <v>7224.7132000000001</v>
      </c>
      <c r="AQ14" s="2043">
        <f t="shared" si="4"/>
        <v>0</v>
      </c>
      <c r="AR14" s="2012">
        <f t="shared" si="5"/>
        <v>7224.7132000000001</v>
      </c>
      <c r="AS14" s="2044">
        <f t="shared" si="18"/>
        <v>3.090962242732277E-3</v>
      </c>
      <c r="AT14" s="1434"/>
    </row>
    <row r="15" spans="1:46" s="2" customFormat="1" ht="14.4" customHeight="1" outlineLevel="2">
      <c r="A15" s="238"/>
      <c r="B15" s="7" t="s">
        <v>20</v>
      </c>
      <c r="C15" s="111"/>
      <c r="D15" s="113"/>
      <c r="E15" s="106">
        <f t="shared" si="6"/>
        <v>0</v>
      </c>
      <c r="F15" s="177">
        <f t="shared" si="0"/>
        <v>0</v>
      </c>
      <c r="G15" s="39"/>
      <c r="H15" s="39"/>
      <c r="I15" s="210">
        <f t="shared" si="7"/>
        <v>0</v>
      </c>
      <c r="J15" s="178">
        <f t="shared" si="8"/>
        <v>0</v>
      </c>
      <c r="K15" s="388"/>
      <c r="L15" s="39"/>
      <c r="M15" s="39"/>
      <c r="N15" s="210">
        <f t="shared" si="9"/>
        <v>0</v>
      </c>
      <c r="O15" s="178">
        <f t="shared" si="1"/>
        <v>0</v>
      </c>
      <c r="P15" s="388"/>
      <c r="Q15" s="39"/>
      <c r="R15" s="39"/>
      <c r="S15" s="210">
        <f t="shared" si="10"/>
        <v>0</v>
      </c>
      <c r="T15" s="178">
        <f t="shared" si="11"/>
        <v>0</v>
      </c>
      <c r="U15" s="388"/>
      <c r="V15" s="39"/>
      <c r="W15" s="39"/>
      <c r="X15" s="210">
        <f t="shared" si="12"/>
        <v>0</v>
      </c>
      <c r="Y15" s="178">
        <f t="shared" si="2"/>
        <v>0</v>
      </c>
      <c r="Z15" s="388"/>
      <c r="AA15" s="39"/>
      <c r="AB15" s="39"/>
      <c r="AC15" s="210">
        <f t="shared" si="13"/>
        <v>0</v>
      </c>
      <c r="AD15" s="178">
        <f t="shared" si="14"/>
        <v>0</v>
      </c>
      <c r="AE15" s="388"/>
      <c r="AF15" s="39"/>
      <c r="AG15" s="39"/>
      <c r="AH15" s="210">
        <f t="shared" si="15"/>
        <v>0</v>
      </c>
      <c r="AI15" s="178">
        <f t="shared" si="16"/>
        <v>0</v>
      </c>
      <c r="AJ15" s="388"/>
      <c r="AK15" s="2043"/>
      <c r="AL15" s="2043"/>
      <c r="AM15" s="2045">
        <f t="shared" si="17"/>
        <v>0</v>
      </c>
      <c r="AN15" s="2044">
        <f t="shared" si="3"/>
        <v>0</v>
      </c>
      <c r="AO15" s="2046"/>
      <c r="AP15" s="2043">
        <f t="shared" si="4"/>
        <v>0</v>
      </c>
      <c r="AQ15" s="2043">
        <f t="shared" si="4"/>
        <v>0</v>
      </c>
      <c r="AR15" s="2012">
        <f t="shared" si="5"/>
        <v>0</v>
      </c>
      <c r="AS15" s="2044">
        <f t="shared" si="18"/>
        <v>0</v>
      </c>
      <c r="AT15" s="1434"/>
    </row>
    <row r="16" spans="1:46" s="2" customFormat="1" ht="103.95" customHeight="1" outlineLevel="2">
      <c r="A16" s="292"/>
      <c r="B16" s="7" t="s">
        <v>21</v>
      </c>
      <c r="C16" s="111"/>
      <c r="D16" s="113"/>
      <c r="E16" s="106">
        <f t="shared" si="6"/>
        <v>0</v>
      </c>
      <c r="F16" s="177">
        <f t="shared" si="0"/>
        <v>0</v>
      </c>
      <c r="G16" s="39"/>
      <c r="H16" s="39"/>
      <c r="I16" s="210">
        <f t="shared" si="7"/>
        <v>0</v>
      </c>
      <c r="J16" s="178">
        <f t="shared" si="8"/>
        <v>0</v>
      </c>
      <c r="K16" s="388"/>
      <c r="L16" s="39"/>
      <c r="M16" s="39"/>
      <c r="N16" s="210">
        <f t="shared" si="9"/>
        <v>0</v>
      </c>
      <c r="O16" s="178">
        <f t="shared" si="1"/>
        <v>0</v>
      </c>
      <c r="P16" s="388"/>
      <c r="Q16" s="39"/>
      <c r="R16" s="39"/>
      <c r="S16" s="210">
        <f t="shared" si="10"/>
        <v>0</v>
      </c>
      <c r="T16" s="178">
        <f t="shared" si="11"/>
        <v>0</v>
      </c>
      <c r="U16" s="388"/>
      <c r="V16" s="39"/>
      <c r="W16" s="39"/>
      <c r="X16" s="210">
        <f t="shared" si="12"/>
        <v>0</v>
      </c>
      <c r="Y16" s="178">
        <f t="shared" si="2"/>
        <v>0</v>
      </c>
      <c r="Z16" s="388"/>
      <c r="AA16" s="39"/>
      <c r="AB16" s="39">
        <f>45892.04+62914</f>
        <v>108806.04000000001</v>
      </c>
      <c r="AC16" s="210">
        <f t="shared" si="13"/>
        <v>108806.04000000001</v>
      </c>
      <c r="AD16" s="178">
        <f t="shared" si="14"/>
        <v>0.30111813791795672</v>
      </c>
      <c r="AE16" s="388" t="s">
        <v>921</v>
      </c>
      <c r="AF16" s="39"/>
      <c r="AG16" s="39"/>
      <c r="AH16" s="210">
        <f t="shared" si="15"/>
        <v>0</v>
      </c>
      <c r="AI16" s="178">
        <f t="shared" si="16"/>
        <v>0</v>
      </c>
      <c r="AJ16" s="388" t="s">
        <v>921</v>
      </c>
      <c r="AK16" s="2043"/>
      <c r="AL16" s="2043"/>
      <c r="AM16" s="2045">
        <f t="shared" si="17"/>
        <v>0</v>
      </c>
      <c r="AN16" s="2044">
        <f t="shared" si="3"/>
        <v>0</v>
      </c>
      <c r="AO16" s="2046"/>
      <c r="AP16" s="2043">
        <f t="shared" si="4"/>
        <v>0</v>
      </c>
      <c r="AQ16" s="2043">
        <f t="shared" si="4"/>
        <v>108806.04000000001</v>
      </c>
      <c r="AR16" s="2012">
        <f t="shared" si="5"/>
        <v>108806.04000000001</v>
      </c>
      <c r="AS16" s="2044">
        <f t="shared" si="18"/>
        <v>4.6550686803902175E-2</v>
      </c>
      <c r="AT16" s="1434"/>
    </row>
    <row r="17" spans="1:46" s="2" customFormat="1" ht="58.2" customHeight="1" outlineLevel="2">
      <c r="A17" s="238"/>
      <c r="B17" s="7" t="s">
        <v>22</v>
      </c>
      <c r="C17" s="111"/>
      <c r="D17" s="113"/>
      <c r="E17" s="106">
        <f t="shared" si="6"/>
        <v>0</v>
      </c>
      <c r="F17" s="177">
        <f t="shared" si="0"/>
        <v>0</v>
      </c>
      <c r="G17" s="39"/>
      <c r="H17" s="39"/>
      <c r="I17" s="210">
        <f t="shared" si="7"/>
        <v>0</v>
      </c>
      <c r="J17" s="178">
        <f t="shared" si="8"/>
        <v>0</v>
      </c>
      <c r="K17" s="388"/>
      <c r="L17" s="39"/>
      <c r="M17" s="39"/>
      <c r="N17" s="210">
        <f t="shared" si="9"/>
        <v>0</v>
      </c>
      <c r="O17" s="178">
        <f t="shared" si="1"/>
        <v>0</v>
      </c>
      <c r="P17" s="388"/>
      <c r="Q17" s="39"/>
      <c r="R17" s="39"/>
      <c r="S17" s="210">
        <f t="shared" si="10"/>
        <v>0</v>
      </c>
      <c r="T17" s="178">
        <f t="shared" si="11"/>
        <v>0</v>
      </c>
      <c r="U17" s="388"/>
      <c r="V17" s="39"/>
      <c r="W17" s="39"/>
      <c r="X17" s="210">
        <f t="shared" si="12"/>
        <v>0</v>
      </c>
      <c r="Y17" s="178">
        <f t="shared" si="2"/>
        <v>0</v>
      </c>
      <c r="Z17" s="388"/>
      <c r="AA17" s="39"/>
      <c r="AB17" s="39"/>
      <c r="AC17" s="210">
        <f t="shared" si="13"/>
        <v>0</v>
      </c>
      <c r="AD17" s="178">
        <f t="shared" si="14"/>
        <v>0</v>
      </c>
      <c r="AE17" s="388"/>
      <c r="AF17" s="39"/>
      <c r="AG17" s="39"/>
      <c r="AH17" s="210">
        <f t="shared" si="15"/>
        <v>0</v>
      </c>
      <c r="AI17" s="178">
        <f t="shared" si="16"/>
        <v>0</v>
      </c>
      <c r="AJ17" s="388"/>
      <c r="AK17" s="2043"/>
      <c r="AL17" s="2043"/>
      <c r="AM17" s="2045">
        <f t="shared" si="17"/>
        <v>0</v>
      </c>
      <c r="AN17" s="2044">
        <f t="shared" si="3"/>
        <v>0</v>
      </c>
      <c r="AO17" s="2046"/>
      <c r="AP17" s="2043">
        <f t="shared" si="4"/>
        <v>0</v>
      </c>
      <c r="AQ17" s="2043">
        <f t="shared" si="4"/>
        <v>0</v>
      </c>
      <c r="AR17" s="2012">
        <f t="shared" si="5"/>
        <v>0</v>
      </c>
      <c r="AS17" s="2044">
        <f t="shared" si="18"/>
        <v>0</v>
      </c>
      <c r="AT17" s="1434"/>
    </row>
    <row r="18" spans="1:46" s="2" customFormat="1" ht="58.2" customHeight="1" outlineLevel="2">
      <c r="A18" s="238"/>
      <c r="B18" s="7" t="s">
        <v>0</v>
      </c>
      <c r="C18" s="111">
        <v>1813130</v>
      </c>
      <c r="D18" s="113"/>
      <c r="E18" s="106">
        <f t="shared" si="6"/>
        <v>1813130</v>
      </c>
      <c r="F18" s="177">
        <f t="shared" si="0"/>
        <v>0.84597421200096112</v>
      </c>
      <c r="G18" s="39"/>
      <c r="H18" s="39"/>
      <c r="I18" s="210">
        <f t="shared" si="7"/>
        <v>0</v>
      </c>
      <c r="J18" s="178">
        <f t="shared" si="8"/>
        <v>0</v>
      </c>
      <c r="K18" s="388"/>
      <c r="L18" s="39">
        <f>171316.67*1.2</f>
        <v>205580.00400000002</v>
      </c>
      <c r="M18" s="39"/>
      <c r="N18" s="210">
        <f t="shared" si="9"/>
        <v>205580.00400000002</v>
      </c>
      <c r="O18" s="178">
        <f t="shared" si="1"/>
        <v>0.98739697628485568</v>
      </c>
      <c r="P18" s="388" t="s">
        <v>848</v>
      </c>
      <c r="Q18" s="39">
        <f>377615*1.2</f>
        <v>453138</v>
      </c>
      <c r="R18" s="39"/>
      <c r="S18" s="210">
        <f t="shared" si="10"/>
        <v>453138</v>
      </c>
      <c r="T18" s="178">
        <f t="shared" si="11"/>
        <v>0.84138732127802718</v>
      </c>
      <c r="U18" s="388" t="s">
        <v>889</v>
      </c>
      <c r="V18" s="39">
        <v>283000</v>
      </c>
      <c r="W18" s="39"/>
      <c r="X18" s="210">
        <f t="shared" si="12"/>
        <v>283000</v>
      </c>
      <c r="Y18" s="178">
        <f t="shared" si="2"/>
        <v>0.78575340340982247</v>
      </c>
      <c r="Z18" s="388" t="s">
        <v>904</v>
      </c>
      <c r="AA18" s="39">
        <f>204945*1.2</f>
        <v>245934</v>
      </c>
      <c r="AB18" s="39"/>
      <c r="AC18" s="210">
        <f t="shared" si="13"/>
        <v>245934</v>
      </c>
      <c r="AD18" s="178">
        <f t="shared" si="14"/>
        <v>0.68061651844617044</v>
      </c>
      <c r="AE18" s="388" t="s">
        <v>889</v>
      </c>
      <c r="AF18" s="39">
        <f>634826.25*1.2</f>
        <v>761791.5</v>
      </c>
      <c r="AG18" s="39">
        <v>10000</v>
      </c>
      <c r="AH18" s="210">
        <f>AF18+AG18*1</f>
        <v>771791.5</v>
      </c>
      <c r="AI18" s="178">
        <f t="shared" si="16"/>
        <v>2.1359146913251017</v>
      </c>
      <c r="AJ18" s="388" t="s">
        <v>889</v>
      </c>
      <c r="AK18" s="2043"/>
      <c r="AL18" s="2043"/>
      <c r="AM18" s="2045">
        <f>AK18+AL18*1</f>
        <v>0</v>
      </c>
      <c r="AN18" s="2044">
        <f t="shared" si="3"/>
        <v>0</v>
      </c>
      <c r="AO18" s="2046"/>
      <c r="AP18" s="2043">
        <f t="shared" si="4"/>
        <v>1949443.504</v>
      </c>
      <c r="AQ18" s="2043">
        <f t="shared" si="4"/>
        <v>10000</v>
      </c>
      <c r="AR18" s="2012">
        <f t="shared" si="5"/>
        <v>1959443.504</v>
      </c>
      <c r="AS18" s="2044">
        <f t="shared" si="18"/>
        <v>0.83831229281613995</v>
      </c>
      <c r="AT18" s="1434"/>
    </row>
    <row r="19" spans="1:46" s="2" customFormat="1" ht="40.950000000000003" customHeight="1" outlineLevel="2">
      <c r="A19" s="238"/>
      <c r="B19" s="7" t="s">
        <v>53</v>
      </c>
      <c r="C19" s="114"/>
      <c r="D19" s="113"/>
      <c r="E19" s="106">
        <f t="shared" si="6"/>
        <v>0</v>
      </c>
      <c r="F19" s="177">
        <f t="shared" si="0"/>
        <v>0</v>
      </c>
      <c r="G19" s="39"/>
      <c r="H19" s="39"/>
      <c r="I19" s="210">
        <f t="shared" si="7"/>
        <v>0</v>
      </c>
      <c r="J19" s="178">
        <f t="shared" si="8"/>
        <v>0</v>
      </c>
      <c r="K19" s="388"/>
      <c r="L19" s="39"/>
      <c r="M19" s="39"/>
      <c r="N19" s="210">
        <f t="shared" si="9"/>
        <v>0</v>
      </c>
      <c r="O19" s="178">
        <f t="shared" si="1"/>
        <v>0</v>
      </c>
      <c r="P19" s="388"/>
      <c r="Q19" s="39"/>
      <c r="R19" s="39"/>
      <c r="S19" s="210">
        <f t="shared" si="10"/>
        <v>0</v>
      </c>
      <c r="T19" s="178">
        <f t="shared" si="11"/>
        <v>0</v>
      </c>
      <c r="U19" s="388"/>
      <c r="V19" s="39"/>
      <c r="W19" s="39"/>
      <c r="X19" s="210">
        <f t="shared" si="12"/>
        <v>0</v>
      </c>
      <c r="Y19" s="178">
        <f t="shared" si="2"/>
        <v>0</v>
      </c>
      <c r="Z19" s="388"/>
      <c r="AA19" s="39"/>
      <c r="AB19" s="39"/>
      <c r="AC19" s="210">
        <f t="shared" si="13"/>
        <v>0</v>
      </c>
      <c r="AD19" s="178">
        <f t="shared" si="14"/>
        <v>0</v>
      </c>
      <c r="AE19" s="388"/>
      <c r="AF19" s="39"/>
      <c r="AG19" s="39"/>
      <c r="AH19" s="210">
        <f t="shared" si="15"/>
        <v>0</v>
      </c>
      <c r="AI19" s="178">
        <f t="shared" si="16"/>
        <v>0</v>
      </c>
      <c r="AJ19" s="388"/>
      <c r="AK19" s="2043"/>
      <c r="AL19" s="2043"/>
      <c r="AM19" s="2045">
        <f>AK19+AL19*1</f>
        <v>0</v>
      </c>
      <c r="AN19" s="2044">
        <f t="shared" si="3"/>
        <v>0</v>
      </c>
      <c r="AO19" s="2046"/>
      <c r="AP19" s="2043">
        <f t="shared" si="4"/>
        <v>0</v>
      </c>
      <c r="AQ19" s="2043">
        <f t="shared" si="4"/>
        <v>0</v>
      </c>
      <c r="AR19" s="2012">
        <f t="shared" si="5"/>
        <v>0</v>
      </c>
      <c r="AS19" s="2044">
        <f t="shared" si="18"/>
        <v>0</v>
      </c>
      <c r="AT19" s="1434"/>
    </row>
    <row r="20" spans="1:46" s="2" customFormat="1" ht="28.95" customHeight="1" outlineLevel="2">
      <c r="A20" s="238"/>
      <c r="B20" s="7" t="s">
        <v>57</v>
      </c>
      <c r="C20" s="114"/>
      <c r="D20" s="113"/>
      <c r="E20" s="106">
        <f t="shared" si="6"/>
        <v>0</v>
      </c>
      <c r="F20" s="177">
        <f t="shared" si="0"/>
        <v>0</v>
      </c>
      <c r="G20" s="39"/>
      <c r="H20" s="39"/>
      <c r="I20" s="210">
        <f t="shared" si="7"/>
        <v>0</v>
      </c>
      <c r="J20" s="178">
        <f t="shared" si="8"/>
        <v>0</v>
      </c>
      <c r="K20" s="388"/>
      <c r="L20" s="39"/>
      <c r="M20" s="39"/>
      <c r="N20" s="210">
        <f t="shared" si="9"/>
        <v>0</v>
      </c>
      <c r="O20" s="178">
        <f t="shared" si="1"/>
        <v>0</v>
      </c>
      <c r="P20" s="388"/>
      <c r="Q20" s="39"/>
      <c r="R20" s="39"/>
      <c r="S20" s="210">
        <f t="shared" si="10"/>
        <v>0</v>
      </c>
      <c r="T20" s="178">
        <f t="shared" si="11"/>
        <v>0</v>
      </c>
      <c r="U20" s="388"/>
      <c r="V20" s="39"/>
      <c r="W20" s="39"/>
      <c r="X20" s="210">
        <f t="shared" si="12"/>
        <v>0</v>
      </c>
      <c r="Y20" s="178">
        <f t="shared" si="2"/>
        <v>0</v>
      </c>
      <c r="Z20" s="388"/>
      <c r="AA20" s="39"/>
      <c r="AB20" s="39"/>
      <c r="AC20" s="210">
        <f t="shared" si="13"/>
        <v>0</v>
      </c>
      <c r="AD20" s="178">
        <f t="shared" si="14"/>
        <v>0</v>
      </c>
      <c r="AE20" s="388"/>
      <c r="AF20" s="39"/>
      <c r="AG20" s="39"/>
      <c r="AH20" s="210">
        <f t="shared" si="15"/>
        <v>0</v>
      </c>
      <c r="AI20" s="178">
        <f t="shared" si="16"/>
        <v>0</v>
      </c>
      <c r="AJ20" s="388"/>
      <c r="AK20" s="2043"/>
      <c r="AL20" s="2043"/>
      <c r="AM20" s="2045">
        <f>AK20+AL20*1</f>
        <v>0</v>
      </c>
      <c r="AN20" s="2044">
        <f t="shared" si="3"/>
        <v>0</v>
      </c>
      <c r="AO20" s="2046"/>
      <c r="AP20" s="2043">
        <f t="shared" si="4"/>
        <v>0</v>
      </c>
      <c r="AQ20" s="2043">
        <f t="shared" si="4"/>
        <v>0</v>
      </c>
      <c r="AR20" s="2012">
        <f t="shared" si="5"/>
        <v>0</v>
      </c>
      <c r="AS20" s="2044">
        <f t="shared" si="18"/>
        <v>0</v>
      </c>
      <c r="AT20" s="1434"/>
    </row>
    <row r="21" spans="1:46" s="2" customFormat="1" ht="13.8" outlineLevel="2">
      <c r="A21" s="238"/>
      <c r="B21" s="7" t="s">
        <v>58</v>
      </c>
      <c r="C21" s="114"/>
      <c r="D21" s="113"/>
      <c r="E21" s="106">
        <f t="shared" si="6"/>
        <v>0</v>
      </c>
      <c r="F21" s="177">
        <f t="shared" si="0"/>
        <v>0</v>
      </c>
      <c r="G21" s="39"/>
      <c r="H21" s="39"/>
      <c r="I21" s="210">
        <f t="shared" si="7"/>
        <v>0</v>
      </c>
      <c r="J21" s="178">
        <f t="shared" si="8"/>
        <v>0</v>
      </c>
      <c r="K21" s="388"/>
      <c r="L21" s="39"/>
      <c r="M21" s="39"/>
      <c r="N21" s="210">
        <f t="shared" si="9"/>
        <v>0</v>
      </c>
      <c r="O21" s="178">
        <f t="shared" si="1"/>
        <v>0</v>
      </c>
      <c r="P21" s="388"/>
      <c r="Q21" s="39"/>
      <c r="R21" s="39"/>
      <c r="S21" s="210">
        <f t="shared" si="10"/>
        <v>0</v>
      </c>
      <c r="T21" s="178">
        <f t="shared" si="11"/>
        <v>0</v>
      </c>
      <c r="U21" s="388"/>
      <c r="V21" s="39">
        <v>72239</v>
      </c>
      <c r="W21" s="39"/>
      <c r="X21" s="210">
        <f t="shared" si="12"/>
        <v>72239</v>
      </c>
      <c r="Y21" s="178">
        <f t="shared" si="2"/>
        <v>0.20057257989018432</v>
      </c>
      <c r="Z21" s="388" t="s">
        <v>900</v>
      </c>
      <c r="AA21" s="39"/>
      <c r="AB21" s="39"/>
      <c r="AC21" s="210">
        <f t="shared" si="13"/>
        <v>0</v>
      </c>
      <c r="AD21" s="178">
        <f t="shared" si="14"/>
        <v>0</v>
      </c>
      <c r="AE21" s="388"/>
      <c r="AF21" s="39"/>
      <c r="AG21" s="39"/>
      <c r="AH21" s="210">
        <f t="shared" si="15"/>
        <v>0</v>
      </c>
      <c r="AI21" s="178">
        <f t="shared" si="16"/>
        <v>0</v>
      </c>
      <c r="AJ21" s="388"/>
      <c r="AK21" s="2043"/>
      <c r="AL21" s="2043"/>
      <c r="AM21" s="2045">
        <f>AK21+AL21*1</f>
        <v>0</v>
      </c>
      <c r="AN21" s="2044">
        <f t="shared" si="3"/>
        <v>0</v>
      </c>
      <c r="AO21" s="2046"/>
      <c r="AP21" s="2043">
        <f t="shared" si="4"/>
        <v>72239</v>
      </c>
      <c r="AQ21" s="2043">
        <f t="shared" si="4"/>
        <v>0</v>
      </c>
      <c r="AR21" s="2012">
        <f t="shared" si="5"/>
        <v>72239</v>
      </c>
      <c r="AS21" s="2044">
        <f t="shared" si="18"/>
        <v>3.0906143298911431E-2</v>
      </c>
      <c r="AT21" s="1434"/>
    </row>
    <row r="22" spans="1:46" s="2" customFormat="1" ht="13.8" outlineLevel="2">
      <c r="A22" s="238"/>
      <c r="B22" s="7" t="s">
        <v>621</v>
      </c>
      <c r="C22" s="114"/>
      <c r="D22" s="445"/>
      <c r="E22" s="106">
        <f t="shared" si="6"/>
        <v>0</v>
      </c>
      <c r="F22" s="447"/>
      <c r="G22" s="452"/>
      <c r="H22" s="452"/>
      <c r="I22" s="210">
        <f t="shared" si="7"/>
        <v>0</v>
      </c>
      <c r="J22" s="178">
        <f t="shared" si="8"/>
        <v>0</v>
      </c>
      <c r="K22" s="388"/>
      <c r="L22" s="39"/>
      <c r="M22" s="452"/>
      <c r="N22" s="210">
        <f t="shared" si="9"/>
        <v>0</v>
      </c>
      <c r="O22" s="178">
        <f t="shared" si="1"/>
        <v>0</v>
      </c>
      <c r="P22" s="388"/>
      <c r="Q22" s="39"/>
      <c r="R22" s="452"/>
      <c r="S22" s="210">
        <f t="shared" si="10"/>
        <v>0</v>
      </c>
      <c r="T22" s="178">
        <f t="shared" si="11"/>
        <v>0</v>
      </c>
      <c r="U22" s="388"/>
      <c r="V22" s="39"/>
      <c r="W22" s="452"/>
      <c r="X22" s="210">
        <f t="shared" si="12"/>
        <v>0</v>
      </c>
      <c r="Y22" s="178">
        <f t="shared" si="2"/>
        <v>0</v>
      </c>
      <c r="Z22" s="388"/>
      <c r="AA22" s="39"/>
      <c r="AB22" s="452"/>
      <c r="AC22" s="210">
        <f t="shared" si="13"/>
        <v>0</v>
      </c>
      <c r="AD22" s="178">
        <f t="shared" si="14"/>
        <v>0</v>
      </c>
      <c r="AE22" s="388"/>
      <c r="AF22" s="39"/>
      <c r="AG22" s="452"/>
      <c r="AH22" s="210">
        <f t="shared" si="15"/>
        <v>0</v>
      </c>
      <c r="AI22" s="178">
        <f t="shared" si="16"/>
        <v>0</v>
      </c>
      <c r="AJ22" s="388"/>
      <c r="AK22" s="2043"/>
      <c r="AL22" s="2043"/>
      <c r="AM22" s="2045">
        <f>AK22+AL22*1</f>
        <v>0</v>
      </c>
      <c r="AN22" s="2044">
        <f t="shared" si="3"/>
        <v>0</v>
      </c>
      <c r="AO22" s="2046"/>
      <c r="AP22" s="2043">
        <f t="shared" si="4"/>
        <v>0</v>
      </c>
      <c r="AQ22" s="2043">
        <f t="shared" si="4"/>
        <v>0</v>
      </c>
      <c r="AR22" s="2012">
        <f t="shared" si="5"/>
        <v>0</v>
      </c>
      <c r="AS22" s="2044"/>
      <c r="AT22" s="1434"/>
    </row>
    <row r="23" spans="1:46" s="2" customFormat="1" ht="13.8" outlineLevel="2">
      <c r="A23" s="238"/>
      <c r="B23" s="471" t="s">
        <v>630</v>
      </c>
      <c r="C23" s="114"/>
      <c r="D23" s="445"/>
      <c r="E23" s="106">
        <f t="shared" si="6"/>
        <v>0</v>
      </c>
      <c r="F23" s="447"/>
      <c r="G23" s="452"/>
      <c r="H23" s="452"/>
      <c r="I23" s="453"/>
      <c r="J23" s="178">
        <f t="shared" si="8"/>
        <v>0</v>
      </c>
      <c r="K23" s="388"/>
      <c r="L23" s="452"/>
      <c r="M23" s="452"/>
      <c r="N23" s="453"/>
      <c r="O23" s="178">
        <f t="shared" si="1"/>
        <v>0</v>
      </c>
      <c r="P23" s="388"/>
      <c r="Q23" s="452"/>
      <c r="R23" s="452"/>
      <c r="S23" s="453"/>
      <c r="T23" s="178">
        <f t="shared" si="11"/>
        <v>0</v>
      </c>
      <c r="U23" s="388"/>
      <c r="V23" s="452"/>
      <c r="W23" s="452"/>
      <c r="X23" s="453"/>
      <c r="Y23" s="178">
        <f t="shared" si="2"/>
        <v>0</v>
      </c>
      <c r="Z23" s="388"/>
      <c r="AA23" s="452"/>
      <c r="AB23" s="452"/>
      <c r="AC23" s="453"/>
      <c r="AD23" s="178">
        <f t="shared" si="14"/>
        <v>0</v>
      </c>
      <c r="AE23" s="388"/>
      <c r="AF23" s="452"/>
      <c r="AG23" s="452"/>
      <c r="AH23" s="453"/>
      <c r="AI23" s="178">
        <f t="shared" si="16"/>
        <v>0</v>
      </c>
      <c r="AJ23" s="388"/>
      <c r="AK23" s="2043"/>
      <c r="AL23" s="2043"/>
      <c r="AM23" s="2045"/>
      <c r="AN23" s="2044">
        <f t="shared" si="3"/>
        <v>0</v>
      </c>
      <c r="AO23" s="2046"/>
      <c r="AP23" s="2043">
        <f t="shared" si="4"/>
        <v>0</v>
      </c>
      <c r="AQ23" s="2043">
        <f t="shared" si="4"/>
        <v>0</v>
      </c>
      <c r="AR23" s="2012">
        <f t="shared" si="5"/>
        <v>0</v>
      </c>
      <c r="AS23" s="2044"/>
      <c r="AT23" s="1434"/>
    </row>
    <row r="24" spans="1:46" s="2" customFormat="1" ht="109.95" customHeight="1" outlineLevel="2">
      <c r="A24" s="238"/>
      <c r="B24" s="7" t="s">
        <v>23</v>
      </c>
      <c r="C24" s="114"/>
      <c r="D24" s="113"/>
      <c r="E24" s="106">
        <f t="shared" si="6"/>
        <v>0</v>
      </c>
      <c r="F24" s="177">
        <f t="shared" ref="F24:F33" si="19">E24/$E$89</f>
        <v>0</v>
      </c>
      <c r="G24" s="39"/>
      <c r="H24" s="39"/>
      <c r="I24" s="210">
        <f t="shared" ref="I24:I33" si="20">G24+H24*1</f>
        <v>0</v>
      </c>
      <c r="J24" s="178">
        <f t="shared" si="8"/>
        <v>0</v>
      </c>
      <c r="K24" s="388"/>
      <c r="L24" s="39"/>
      <c r="M24" s="39"/>
      <c r="N24" s="210">
        <f t="shared" ref="N24:N33" si="21">L24+M24*1</f>
        <v>0</v>
      </c>
      <c r="O24" s="178">
        <f t="shared" si="1"/>
        <v>0</v>
      </c>
      <c r="P24" s="388"/>
      <c r="Q24" s="39"/>
      <c r="R24" s="39"/>
      <c r="S24" s="210">
        <f t="shared" ref="S24:S33" si="22">Q24+R24*1</f>
        <v>0</v>
      </c>
      <c r="T24" s="178">
        <f t="shared" si="11"/>
        <v>0</v>
      </c>
      <c r="U24" s="388"/>
      <c r="V24" s="39"/>
      <c r="W24" s="39"/>
      <c r="X24" s="210">
        <f t="shared" ref="X24:X33" si="23">V24+W24*1</f>
        <v>0</v>
      </c>
      <c r="Y24" s="178">
        <f t="shared" si="2"/>
        <v>0</v>
      </c>
      <c r="Z24" s="388"/>
      <c r="AA24" s="39"/>
      <c r="AB24" s="39"/>
      <c r="AC24" s="210">
        <f t="shared" ref="AC24:AC33" si="24">AA24+AB24*1</f>
        <v>0</v>
      </c>
      <c r="AD24" s="178">
        <f t="shared" si="14"/>
        <v>0</v>
      </c>
      <c r="AE24" s="388"/>
      <c r="AF24" s="39">
        <v>39000</v>
      </c>
      <c r="AG24" s="39"/>
      <c r="AH24" s="210">
        <f t="shared" ref="AH24:AH33" si="25">AF24+AG24*1</f>
        <v>39000</v>
      </c>
      <c r="AI24" s="178">
        <f t="shared" si="16"/>
        <v>0.10793157603015707</v>
      </c>
      <c r="AJ24" s="388"/>
      <c r="AK24" s="2043"/>
      <c r="AL24" s="2043"/>
      <c r="AM24" s="2045">
        <f t="shared" ref="AM24:AM33" si="26">AK24+AL24*1</f>
        <v>0</v>
      </c>
      <c r="AN24" s="2044">
        <f t="shared" si="3"/>
        <v>0</v>
      </c>
      <c r="AO24" s="2046"/>
      <c r="AP24" s="2043">
        <f t="shared" si="4"/>
        <v>39000</v>
      </c>
      <c r="AQ24" s="2043">
        <f t="shared" si="4"/>
        <v>0</v>
      </c>
      <c r="AR24" s="2012">
        <f t="shared" si="5"/>
        <v>39000</v>
      </c>
      <c r="AS24" s="2044">
        <f t="shared" ref="AS24:AS33" si="27">AR24/$AR$89</f>
        <v>1.6685441225066041E-2</v>
      </c>
      <c r="AT24" s="1434"/>
    </row>
    <row r="25" spans="1:46" s="2" customFormat="1" ht="39" customHeight="1" outlineLevel="2">
      <c r="A25" s="238"/>
      <c r="B25" s="7" t="s">
        <v>24</v>
      </c>
      <c r="C25" s="114"/>
      <c r="D25" s="113"/>
      <c r="E25" s="106">
        <f t="shared" si="6"/>
        <v>0</v>
      </c>
      <c r="F25" s="177">
        <f t="shared" si="19"/>
        <v>0</v>
      </c>
      <c r="G25" s="39"/>
      <c r="H25" s="39"/>
      <c r="I25" s="210">
        <f t="shared" si="20"/>
        <v>0</v>
      </c>
      <c r="J25" s="178">
        <f t="shared" si="8"/>
        <v>0</v>
      </c>
      <c r="K25" s="388"/>
      <c r="L25" s="39"/>
      <c r="M25" s="39"/>
      <c r="N25" s="210">
        <f t="shared" si="21"/>
        <v>0</v>
      </c>
      <c r="O25" s="178">
        <f t="shared" si="1"/>
        <v>0</v>
      </c>
      <c r="P25" s="388"/>
      <c r="Q25" s="39"/>
      <c r="R25" s="39"/>
      <c r="S25" s="210">
        <f t="shared" si="22"/>
        <v>0</v>
      </c>
      <c r="T25" s="178">
        <f t="shared" si="11"/>
        <v>0</v>
      </c>
      <c r="U25" s="388"/>
      <c r="V25" s="39"/>
      <c r="W25" s="39"/>
      <c r="X25" s="210">
        <f t="shared" si="23"/>
        <v>0</v>
      </c>
      <c r="Y25" s="178">
        <f t="shared" si="2"/>
        <v>0</v>
      </c>
      <c r="Z25" s="388"/>
      <c r="AA25" s="39"/>
      <c r="AB25" s="39"/>
      <c r="AC25" s="210">
        <f t="shared" si="24"/>
        <v>0</v>
      </c>
      <c r="AD25" s="178">
        <f t="shared" si="14"/>
        <v>0</v>
      </c>
      <c r="AE25" s="388"/>
      <c r="AF25" s="39"/>
      <c r="AG25" s="39"/>
      <c r="AH25" s="210">
        <f t="shared" si="25"/>
        <v>0</v>
      </c>
      <c r="AI25" s="178">
        <f t="shared" si="16"/>
        <v>0</v>
      </c>
      <c r="AJ25" s="388"/>
      <c r="AK25" s="1871">
        <f>1083.3*1.2</f>
        <v>1299.9599999999998</v>
      </c>
      <c r="AL25" s="1871"/>
      <c r="AM25" s="1872">
        <f>AK25+AL25*1</f>
        <v>1299.9599999999998</v>
      </c>
      <c r="AN25" s="1907">
        <f t="shared" si="3"/>
        <v>1</v>
      </c>
      <c r="AO25" s="1870"/>
      <c r="AP25" s="2043">
        <f t="shared" si="4"/>
        <v>1299.9599999999998</v>
      </c>
      <c r="AQ25" s="2043">
        <f t="shared" si="4"/>
        <v>0</v>
      </c>
      <c r="AR25" s="2012">
        <f t="shared" si="5"/>
        <v>1299.9599999999998</v>
      </c>
      <c r="AS25" s="2044">
        <f t="shared" si="27"/>
        <v>5.5616426089581661E-4</v>
      </c>
      <c r="AT25" s="1434"/>
    </row>
    <row r="26" spans="1:46" s="226" customFormat="1" ht="51" customHeight="1" outlineLevel="2">
      <c r="A26" s="238"/>
      <c r="B26" s="262" t="s">
        <v>45</v>
      </c>
      <c r="C26" s="114"/>
      <c r="D26" s="113"/>
      <c r="E26" s="106">
        <f t="shared" si="6"/>
        <v>0</v>
      </c>
      <c r="F26" s="177">
        <f t="shared" si="19"/>
        <v>0</v>
      </c>
      <c r="G26" s="39"/>
      <c r="H26" s="39"/>
      <c r="I26" s="210">
        <f t="shared" si="20"/>
        <v>0</v>
      </c>
      <c r="J26" s="178">
        <f t="shared" si="8"/>
        <v>0</v>
      </c>
      <c r="K26" s="388"/>
      <c r="L26" s="39"/>
      <c r="M26" s="39"/>
      <c r="N26" s="210">
        <f t="shared" si="21"/>
        <v>0</v>
      </c>
      <c r="O26" s="178">
        <f t="shared" si="1"/>
        <v>0</v>
      </c>
      <c r="P26" s="388"/>
      <c r="Q26" s="39">
        <f>69002.94*1.2</f>
        <v>82803.528000000006</v>
      </c>
      <c r="R26" s="39"/>
      <c r="S26" s="210">
        <f t="shared" si="22"/>
        <v>82803.528000000006</v>
      </c>
      <c r="T26" s="178">
        <f t="shared" si="11"/>
        <v>0.15374971557514516</v>
      </c>
      <c r="U26" s="388" t="s">
        <v>949</v>
      </c>
      <c r="V26" s="39"/>
      <c r="W26" s="39"/>
      <c r="X26" s="210">
        <f t="shared" si="23"/>
        <v>0</v>
      </c>
      <c r="Y26" s="178">
        <f t="shared" si="2"/>
        <v>0</v>
      </c>
      <c r="Z26" s="388"/>
      <c r="AA26" s="39"/>
      <c r="AB26" s="39"/>
      <c r="AC26" s="210">
        <f t="shared" si="24"/>
        <v>0</v>
      </c>
      <c r="AD26" s="178">
        <f t="shared" si="14"/>
        <v>0</v>
      </c>
      <c r="AE26" s="388"/>
      <c r="AF26" s="39"/>
      <c r="AG26" s="39"/>
      <c r="AH26" s="210">
        <f t="shared" si="25"/>
        <v>0</v>
      </c>
      <c r="AI26" s="178">
        <f t="shared" si="16"/>
        <v>0</v>
      </c>
      <c r="AJ26" s="388"/>
      <c r="AK26" s="2043"/>
      <c r="AL26" s="2043"/>
      <c r="AM26" s="2045">
        <f t="shared" si="26"/>
        <v>0</v>
      </c>
      <c r="AN26" s="2044">
        <f t="shared" si="3"/>
        <v>0</v>
      </c>
      <c r="AO26" s="2046"/>
      <c r="AP26" s="2043">
        <f t="shared" si="4"/>
        <v>82803.528000000006</v>
      </c>
      <c r="AQ26" s="2043">
        <f t="shared" si="4"/>
        <v>0</v>
      </c>
      <c r="AR26" s="2012">
        <f t="shared" si="5"/>
        <v>82803.528000000006</v>
      </c>
      <c r="AS26" s="2044">
        <f t="shared" si="27"/>
        <v>3.5425984606977191E-2</v>
      </c>
      <c r="AT26" s="1434"/>
    </row>
    <row r="27" spans="1:46" s="2" customFormat="1" ht="32.4" customHeight="1" outlineLevel="2">
      <c r="A27" s="238"/>
      <c r="B27" s="7" t="s">
        <v>25</v>
      </c>
      <c r="C27" s="114"/>
      <c r="D27" s="113"/>
      <c r="E27" s="106">
        <f t="shared" si="6"/>
        <v>0</v>
      </c>
      <c r="F27" s="177">
        <f t="shared" si="19"/>
        <v>0</v>
      </c>
      <c r="G27" s="39"/>
      <c r="H27" s="39"/>
      <c r="I27" s="210">
        <f t="shared" si="20"/>
        <v>0</v>
      </c>
      <c r="J27" s="178">
        <f t="shared" si="8"/>
        <v>0</v>
      </c>
      <c r="K27" s="388"/>
      <c r="L27" s="39"/>
      <c r="M27" s="39"/>
      <c r="N27" s="210">
        <f t="shared" si="21"/>
        <v>0</v>
      </c>
      <c r="O27" s="178">
        <f t="shared" si="1"/>
        <v>0</v>
      </c>
      <c r="P27" s="388"/>
      <c r="Q27" s="39"/>
      <c r="R27" s="39"/>
      <c r="S27" s="210">
        <f t="shared" si="22"/>
        <v>0</v>
      </c>
      <c r="T27" s="178">
        <f t="shared" si="11"/>
        <v>0</v>
      </c>
      <c r="U27" s="388"/>
      <c r="V27" s="39"/>
      <c r="W27" s="39"/>
      <c r="X27" s="210">
        <f t="shared" si="23"/>
        <v>0</v>
      </c>
      <c r="Y27" s="178">
        <f t="shared" si="2"/>
        <v>0</v>
      </c>
      <c r="Z27" s="388"/>
      <c r="AA27" s="39"/>
      <c r="AB27" s="39"/>
      <c r="AC27" s="210">
        <f t="shared" si="24"/>
        <v>0</v>
      </c>
      <c r="AD27" s="178">
        <f t="shared" si="14"/>
        <v>0</v>
      </c>
      <c r="AE27" s="388"/>
      <c r="AF27" s="39"/>
      <c r="AG27" s="39"/>
      <c r="AH27" s="210">
        <f t="shared" si="25"/>
        <v>0</v>
      </c>
      <c r="AI27" s="178">
        <f t="shared" si="16"/>
        <v>0</v>
      </c>
      <c r="AJ27" s="388"/>
      <c r="AK27" s="2043"/>
      <c r="AL27" s="2043"/>
      <c r="AM27" s="2045">
        <f t="shared" si="26"/>
        <v>0</v>
      </c>
      <c r="AN27" s="2044">
        <f t="shared" si="3"/>
        <v>0</v>
      </c>
      <c r="AO27" s="2046"/>
      <c r="AP27" s="2043">
        <f t="shared" si="4"/>
        <v>0</v>
      </c>
      <c r="AQ27" s="2043">
        <f t="shared" si="4"/>
        <v>0</v>
      </c>
      <c r="AR27" s="2012">
        <f t="shared" si="5"/>
        <v>0</v>
      </c>
      <c r="AS27" s="2044">
        <f t="shared" si="27"/>
        <v>0</v>
      </c>
      <c r="AT27" s="1434"/>
    </row>
    <row r="28" spans="1:46" s="226" customFormat="1" ht="109.2" customHeight="1" outlineLevel="2">
      <c r="A28" s="238"/>
      <c r="B28" s="262" t="s">
        <v>52</v>
      </c>
      <c r="C28" s="114">
        <f>3250+1400</f>
        <v>4650</v>
      </c>
      <c r="D28" s="113">
        <v>36263</v>
      </c>
      <c r="E28" s="106">
        <f t="shared" si="6"/>
        <v>40913</v>
      </c>
      <c r="F28" s="177">
        <f t="shared" si="19"/>
        <v>1.9089278173983842E-2</v>
      </c>
      <c r="G28" s="39"/>
      <c r="H28" s="39"/>
      <c r="I28" s="210">
        <f t="shared" si="20"/>
        <v>0</v>
      </c>
      <c r="J28" s="178">
        <f t="shared" si="8"/>
        <v>0</v>
      </c>
      <c r="K28" s="388"/>
      <c r="L28" s="39"/>
      <c r="M28" s="39"/>
      <c r="N28" s="210">
        <f t="shared" si="21"/>
        <v>0</v>
      </c>
      <c r="O28" s="178">
        <f t="shared" si="1"/>
        <v>0</v>
      </c>
      <c r="P28" s="388"/>
      <c r="Q28" s="39"/>
      <c r="R28" s="39"/>
      <c r="S28" s="210">
        <f t="shared" si="22"/>
        <v>0</v>
      </c>
      <c r="T28" s="178">
        <f t="shared" si="11"/>
        <v>0</v>
      </c>
      <c r="U28" s="388"/>
      <c r="V28" s="39"/>
      <c r="W28" s="39"/>
      <c r="X28" s="210">
        <f t="shared" si="23"/>
        <v>0</v>
      </c>
      <c r="Y28" s="178">
        <f t="shared" si="2"/>
        <v>0</v>
      </c>
      <c r="Z28" s="388"/>
      <c r="AA28" s="39"/>
      <c r="AB28" s="39"/>
      <c r="AC28" s="210">
        <f t="shared" si="24"/>
        <v>0</v>
      </c>
      <c r="AD28" s="178">
        <f t="shared" si="14"/>
        <v>0</v>
      </c>
      <c r="AE28" s="388"/>
      <c r="AF28" s="39">
        <v>1299.5999999999999</v>
      </c>
      <c r="AG28" s="39"/>
      <c r="AH28" s="210">
        <f t="shared" si="25"/>
        <v>1299.5999999999999</v>
      </c>
      <c r="AI28" s="178">
        <f t="shared" si="16"/>
        <v>3.5966122104818493E-3</v>
      </c>
      <c r="AJ28" s="388"/>
      <c r="AK28" s="2043"/>
      <c r="AL28" s="2043"/>
      <c r="AM28" s="2045">
        <f t="shared" si="26"/>
        <v>0</v>
      </c>
      <c r="AN28" s="2044">
        <f t="shared" si="3"/>
        <v>0</v>
      </c>
      <c r="AO28" s="2046"/>
      <c r="AP28" s="2043">
        <f t="shared" si="4"/>
        <v>1299.5999999999999</v>
      </c>
      <c r="AQ28" s="2043">
        <f t="shared" si="4"/>
        <v>0</v>
      </c>
      <c r="AR28" s="2012">
        <f t="shared" si="5"/>
        <v>1299.5999999999999</v>
      </c>
      <c r="AS28" s="2044">
        <f t="shared" si="27"/>
        <v>5.5601024143835456E-4</v>
      </c>
      <c r="AT28" s="1434"/>
    </row>
    <row r="29" spans="1:46" s="2" customFormat="1" ht="124.95" customHeight="1" outlineLevel="2">
      <c r="A29" s="238"/>
      <c r="B29" s="7" t="s">
        <v>31</v>
      </c>
      <c r="C29" s="114"/>
      <c r="D29" s="113">
        <v>3600</v>
      </c>
      <c r="E29" s="106">
        <f t="shared" si="6"/>
        <v>3600</v>
      </c>
      <c r="F29" s="178">
        <f t="shared" si="19"/>
        <v>1.6796959750285199E-3</v>
      </c>
      <c r="G29" s="39"/>
      <c r="H29" s="39"/>
      <c r="I29" s="210">
        <f t="shared" si="20"/>
        <v>0</v>
      </c>
      <c r="J29" s="178">
        <f t="shared" si="8"/>
        <v>0</v>
      </c>
      <c r="K29" s="388"/>
      <c r="L29" s="39"/>
      <c r="M29" s="39"/>
      <c r="N29" s="210">
        <f t="shared" si="21"/>
        <v>0</v>
      </c>
      <c r="O29" s="178">
        <f t="shared" si="1"/>
        <v>0</v>
      </c>
      <c r="P29" s="388"/>
      <c r="Q29" s="39"/>
      <c r="R29" s="39"/>
      <c r="S29" s="210">
        <f t="shared" si="22"/>
        <v>0</v>
      </c>
      <c r="T29" s="178">
        <f t="shared" si="11"/>
        <v>0</v>
      </c>
      <c r="U29" s="388"/>
      <c r="V29" s="39"/>
      <c r="W29" s="39"/>
      <c r="X29" s="210">
        <f t="shared" si="23"/>
        <v>0</v>
      </c>
      <c r="Y29" s="178">
        <f t="shared" si="2"/>
        <v>0</v>
      </c>
      <c r="Z29" s="388"/>
      <c r="AA29" s="39"/>
      <c r="AB29" s="39"/>
      <c r="AC29" s="210">
        <f t="shared" si="24"/>
        <v>0</v>
      </c>
      <c r="AD29" s="178">
        <f t="shared" si="14"/>
        <v>0</v>
      </c>
      <c r="AE29" s="388"/>
      <c r="AF29" s="39"/>
      <c r="AG29" s="39"/>
      <c r="AH29" s="210">
        <f t="shared" si="25"/>
        <v>0</v>
      </c>
      <c r="AI29" s="178">
        <f t="shared" si="16"/>
        <v>0</v>
      </c>
      <c r="AJ29" s="388"/>
      <c r="AK29" s="2043"/>
      <c r="AL29" s="2043"/>
      <c r="AM29" s="2045">
        <f t="shared" si="26"/>
        <v>0</v>
      </c>
      <c r="AN29" s="2044">
        <f t="shared" si="3"/>
        <v>0</v>
      </c>
      <c r="AO29" s="2046"/>
      <c r="AP29" s="2043">
        <f t="shared" si="4"/>
        <v>0</v>
      </c>
      <c r="AQ29" s="2043">
        <f t="shared" si="4"/>
        <v>0</v>
      </c>
      <c r="AR29" s="2012">
        <f t="shared" si="5"/>
        <v>0</v>
      </c>
      <c r="AS29" s="2044">
        <f t="shared" si="27"/>
        <v>0</v>
      </c>
      <c r="AT29" s="1992"/>
    </row>
    <row r="30" spans="1:46" s="2" customFormat="1" ht="79.95" customHeight="1" outlineLevel="2">
      <c r="A30" s="238"/>
      <c r="B30" s="7" t="s">
        <v>62</v>
      </c>
      <c r="C30" s="114"/>
      <c r="D30" s="113"/>
      <c r="E30" s="106">
        <f t="shared" si="6"/>
        <v>0</v>
      </c>
      <c r="F30" s="178">
        <f t="shared" si="19"/>
        <v>0</v>
      </c>
      <c r="G30" s="39"/>
      <c r="H30" s="39"/>
      <c r="I30" s="210">
        <f t="shared" si="20"/>
        <v>0</v>
      </c>
      <c r="J30" s="178">
        <f t="shared" si="8"/>
        <v>0</v>
      </c>
      <c r="K30" s="388"/>
      <c r="L30" s="39"/>
      <c r="M30" s="39"/>
      <c r="N30" s="210">
        <f t="shared" si="21"/>
        <v>0</v>
      </c>
      <c r="O30" s="178">
        <f t="shared" si="1"/>
        <v>0</v>
      </c>
      <c r="P30" s="388"/>
      <c r="Q30" s="39"/>
      <c r="R30" s="39"/>
      <c r="S30" s="210">
        <f t="shared" si="22"/>
        <v>0</v>
      </c>
      <c r="T30" s="178">
        <f t="shared" si="11"/>
        <v>0</v>
      </c>
      <c r="U30" s="388"/>
      <c r="V30" s="39"/>
      <c r="W30" s="39"/>
      <c r="X30" s="210">
        <f t="shared" si="23"/>
        <v>0</v>
      </c>
      <c r="Y30" s="178">
        <f t="shared" si="2"/>
        <v>0</v>
      </c>
      <c r="Z30" s="388"/>
      <c r="AA30" s="39"/>
      <c r="AB30" s="39">
        <v>3700</v>
      </c>
      <c r="AC30" s="210">
        <f t="shared" si="24"/>
        <v>3700</v>
      </c>
      <c r="AD30" s="178">
        <f t="shared" si="14"/>
        <v>1.0239662341322594E-2</v>
      </c>
      <c r="AE30" s="388"/>
      <c r="AF30" s="39"/>
      <c r="AG30" s="39"/>
      <c r="AH30" s="210">
        <f t="shared" si="25"/>
        <v>0</v>
      </c>
      <c r="AI30" s="178">
        <f t="shared" si="16"/>
        <v>0</v>
      </c>
      <c r="AJ30" s="388"/>
      <c r="AK30" s="2043"/>
      <c r="AL30" s="2043"/>
      <c r="AM30" s="2045">
        <f t="shared" si="26"/>
        <v>0</v>
      </c>
      <c r="AN30" s="2044">
        <f t="shared" si="3"/>
        <v>0</v>
      </c>
      <c r="AO30" s="2046"/>
      <c r="AP30" s="2043">
        <f t="shared" si="4"/>
        <v>0</v>
      </c>
      <c r="AQ30" s="2043">
        <f t="shared" si="4"/>
        <v>3700</v>
      </c>
      <c r="AR30" s="2012">
        <f t="shared" si="5"/>
        <v>3700</v>
      </c>
      <c r="AS30" s="2044">
        <f t="shared" si="27"/>
        <v>1.5829777572498552E-3</v>
      </c>
      <c r="AT30" s="1992"/>
    </row>
    <row r="31" spans="1:46" s="2" customFormat="1" ht="105.6" customHeight="1" outlineLevel="2">
      <c r="A31" s="238"/>
      <c r="B31" s="7" t="s">
        <v>34</v>
      </c>
      <c r="C31" s="114"/>
      <c r="D31" s="113"/>
      <c r="E31" s="106">
        <f t="shared" si="6"/>
        <v>0</v>
      </c>
      <c r="F31" s="178">
        <f t="shared" si="19"/>
        <v>0</v>
      </c>
      <c r="G31" s="39"/>
      <c r="H31" s="39"/>
      <c r="I31" s="210">
        <f t="shared" si="20"/>
        <v>0</v>
      </c>
      <c r="J31" s="178">
        <f t="shared" si="8"/>
        <v>0</v>
      </c>
      <c r="K31" s="388"/>
      <c r="L31" s="39"/>
      <c r="M31" s="39"/>
      <c r="N31" s="210">
        <f t="shared" si="21"/>
        <v>0</v>
      </c>
      <c r="O31" s="178">
        <f t="shared" si="1"/>
        <v>0</v>
      </c>
      <c r="P31" s="388"/>
      <c r="Q31" s="39"/>
      <c r="R31" s="39"/>
      <c r="S31" s="210">
        <f t="shared" si="22"/>
        <v>0</v>
      </c>
      <c r="T31" s="178">
        <f t="shared" si="11"/>
        <v>0</v>
      </c>
      <c r="U31" s="388"/>
      <c r="V31" s="39"/>
      <c r="W31" s="39"/>
      <c r="X31" s="210">
        <f t="shared" si="23"/>
        <v>0</v>
      </c>
      <c r="Y31" s="178">
        <f t="shared" si="2"/>
        <v>0</v>
      </c>
      <c r="Z31" s="388"/>
      <c r="AA31" s="39"/>
      <c r="AB31" s="39"/>
      <c r="AC31" s="210">
        <f t="shared" si="24"/>
        <v>0</v>
      </c>
      <c r="AD31" s="178">
        <f t="shared" si="14"/>
        <v>0</v>
      </c>
      <c r="AE31" s="388"/>
      <c r="AF31" s="39"/>
      <c r="AG31" s="39"/>
      <c r="AH31" s="210">
        <f t="shared" si="25"/>
        <v>0</v>
      </c>
      <c r="AI31" s="178">
        <f t="shared" si="16"/>
        <v>0</v>
      </c>
      <c r="AJ31" s="388"/>
      <c r="AK31" s="2043"/>
      <c r="AL31" s="2043"/>
      <c r="AM31" s="2045">
        <f t="shared" si="26"/>
        <v>0</v>
      </c>
      <c r="AN31" s="2044">
        <f t="shared" si="3"/>
        <v>0</v>
      </c>
      <c r="AO31" s="2046"/>
      <c r="AP31" s="2043">
        <f t="shared" si="4"/>
        <v>0</v>
      </c>
      <c r="AQ31" s="2043">
        <f t="shared" si="4"/>
        <v>0</v>
      </c>
      <c r="AR31" s="2012">
        <f t="shared" si="5"/>
        <v>0</v>
      </c>
      <c r="AS31" s="2044">
        <f t="shared" si="27"/>
        <v>0</v>
      </c>
      <c r="AT31" s="1992"/>
    </row>
    <row r="32" spans="1:46" s="2" customFormat="1" ht="14.4" customHeight="1" outlineLevel="2">
      <c r="A32" s="238"/>
      <c r="B32" s="32" t="s">
        <v>2</v>
      </c>
      <c r="C32" s="115"/>
      <c r="D32" s="116"/>
      <c r="E32" s="106">
        <f t="shared" si="6"/>
        <v>0</v>
      </c>
      <c r="F32" s="178">
        <f t="shared" si="19"/>
        <v>0</v>
      </c>
      <c r="G32" s="39"/>
      <c r="H32" s="39"/>
      <c r="I32" s="210">
        <f t="shared" si="20"/>
        <v>0</v>
      </c>
      <c r="J32" s="178">
        <f t="shared" si="8"/>
        <v>0</v>
      </c>
      <c r="K32" s="421"/>
      <c r="L32" s="39"/>
      <c r="M32" s="39"/>
      <c r="N32" s="210">
        <f t="shared" si="21"/>
        <v>0</v>
      </c>
      <c r="O32" s="178">
        <f t="shared" si="1"/>
        <v>0</v>
      </c>
      <c r="P32" s="421"/>
      <c r="Q32" s="39"/>
      <c r="R32" s="39"/>
      <c r="S32" s="210">
        <f t="shared" si="22"/>
        <v>0</v>
      </c>
      <c r="T32" s="178">
        <f t="shared" si="11"/>
        <v>0</v>
      </c>
      <c r="U32" s="421"/>
      <c r="V32" s="39"/>
      <c r="W32" s="39"/>
      <c r="X32" s="210">
        <f t="shared" si="23"/>
        <v>0</v>
      </c>
      <c r="Y32" s="178">
        <f t="shared" si="2"/>
        <v>0</v>
      </c>
      <c r="Z32" s="421"/>
      <c r="AA32" s="39"/>
      <c r="AB32" s="39"/>
      <c r="AC32" s="210">
        <f t="shared" si="24"/>
        <v>0</v>
      </c>
      <c r="AD32" s="178">
        <f t="shared" si="14"/>
        <v>0</v>
      </c>
      <c r="AE32" s="421"/>
      <c r="AF32" s="39"/>
      <c r="AG32" s="39"/>
      <c r="AH32" s="210">
        <f t="shared" si="25"/>
        <v>0</v>
      </c>
      <c r="AI32" s="178">
        <f t="shared" si="16"/>
        <v>0</v>
      </c>
      <c r="AJ32" s="421"/>
      <c r="AK32" s="2043"/>
      <c r="AL32" s="2043"/>
      <c r="AM32" s="2045">
        <f t="shared" si="26"/>
        <v>0</v>
      </c>
      <c r="AN32" s="2044">
        <f t="shared" si="3"/>
        <v>0</v>
      </c>
      <c r="AO32" s="1977"/>
      <c r="AP32" s="2043">
        <f t="shared" si="4"/>
        <v>0</v>
      </c>
      <c r="AQ32" s="2043">
        <f t="shared" si="4"/>
        <v>0</v>
      </c>
      <c r="AR32" s="2012">
        <f t="shared" si="5"/>
        <v>0</v>
      </c>
      <c r="AS32" s="2044">
        <f t="shared" si="27"/>
        <v>0</v>
      </c>
      <c r="AT32" s="1992"/>
    </row>
    <row r="33" spans="1:46" s="2" customFormat="1" ht="33.6" customHeight="1" outlineLevel="2" thickBot="1">
      <c r="A33" s="238"/>
      <c r="B33" s="32" t="s">
        <v>75</v>
      </c>
      <c r="C33" s="115"/>
      <c r="D33" s="116">
        <v>50000</v>
      </c>
      <c r="E33" s="106">
        <f t="shared" si="6"/>
        <v>50000</v>
      </c>
      <c r="F33" s="178">
        <f t="shared" si="19"/>
        <v>2.3329110764284997E-2</v>
      </c>
      <c r="G33" s="39"/>
      <c r="H33" s="39"/>
      <c r="I33" s="210">
        <f t="shared" si="20"/>
        <v>0</v>
      </c>
      <c r="J33" s="178">
        <f t="shared" si="8"/>
        <v>0</v>
      </c>
      <c r="K33" s="418"/>
      <c r="L33" s="39"/>
      <c r="M33" s="39"/>
      <c r="N33" s="210">
        <f t="shared" si="21"/>
        <v>0</v>
      </c>
      <c r="O33" s="178">
        <f t="shared" si="1"/>
        <v>0</v>
      </c>
      <c r="P33" s="388"/>
      <c r="Q33" s="39"/>
      <c r="R33" s="39"/>
      <c r="S33" s="210">
        <f t="shared" si="22"/>
        <v>0</v>
      </c>
      <c r="T33" s="178">
        <f t="shared" si="11"/>
        <v>0</v>
      </c>
      <c r="U33" s="388"/>
      <c r="V33" s="39"/>
      <c r="W33" s="39"/>
      <c r="X33" s="210">
        <f t="shared" si="23"/>
        <v>0</v>
      </c>
      <c r="Y33" s="178">
        <f t="shared" si="2"/>
        <v>0</v>
      </c>
      <c r="Z33" s="388"/>
      <c r="AA33" s="39"/>
      <c r="AB33" s="39"/>
      <c r="AC33" s="210">
        <f t="shared" si="24"/>
        <v>0</v>
      </c>
      <c r="AD33" s="178">
        <f t="shared" si="14"/>
        <v>0</v>
      </c>
      <c r="AE33" s="388"/>
      <c r="AF33" s="39"/>
      <c r="AG33" s="39">
        <v>30000</v>
      </c>
      <c r="AH33" s="210">
        <f t="shared" si="25"/>
        <v>30000</v>
      </c>
      <c r="AI33" s="178">
        <f t="shared" si="16"/>
        <v>8.3024289253966974E-2</v>
      </c>
      <c r="AJ33" s="388"/>
      <c r="AK33" s="2081"/>
      <c r="AL33" s="2082"/>
      <c r="AM33" s="2084">
        <f t="shared" si="26"/>
        <v>0</v>
      </c>
      <c r="AN33" s="2018">
        <f t="shared" si="3"/>
        <v>0</v>
      </c>
      <c r="AO33" s="2086"/>
      <c r="AP33" s="2082">
        <f t="shared" si="4"/>
        <v>0</v>
      </c>
      <c r="AQ33" s="2082">
        <f t="shared" si="4"/>
        <v>30000</v>
      </c>
      <c r="AR33" s="2012">
        <f t="shared" si="5"/>
        <v>30000</v>
      </c>
      <c r="AS33" s="2044">
        <f t="shared" si="27"/>
        <v>1.283495478851234E-2</v>
      </c>
      <c r="AT33" s="1992"/>
    </row>
    <row r="34" spans="1:46" s="2" customFormat="1" ht="13.8" outlineLevel="2">
      <c r="A34" s="238"/>
      <c r="B34" s="12"/>
      <c r="C34" s="46"/>
      <c r="D34" s="47"/>
      <c r="E34" s="48"/>
      <c r="F34" s="179"/>
      <c r="G34" s="39"/>
      <c r="H34" s="39"/>
      <c r="I34" s="48"/>
      <c r="J34" s="48"/>
      <c r="K34" s="48"/>
      <c r="L34" s="39"/>
      <c r="M34" s="39"/>
      <c r="N34" s="48"/>
      <c r="O34" s="178">
        <f t="shared" si="1"/>
        <v>0</v>
      </c>
      <c r="P34" s="48"/>
      <c r="Q34" s="39"/>
      <c r="R34" s="39"/>
      <c r="S34" s="48"/>
      <c r="T34" s="178">
        <f t="shared" ref="T34:T53" si="28">S34/$N$89</f>
        <v>0</v>
      </c>
      <c r="U34" s="48"/>
      <c r="V34" s="39"/>
      <c r="W34" s="39"/>
      <c r="X34" s="48"/>
      <c r="Y34" s="178">
        <f t="shared" si="2"/>
        <v>0</v>
      </c>
      <c r="Z34" s="48"/>
      <c r="AA34" s="39"/>
      <c r="AB34" s="39"/>
      <c r="AC34" s="48"/>
      <c r="AD34" s="178">
        <f>AC34/$X$89</f>
        <v>0</v>
      </c>
      <c r="AE34" s="48"/>
      <c r="AF34" s="39"/>
      <c r="AG34" s="39"/>
      <c r="AH34" s="48"/>
      <c r="AI34" s="178">
        <f>AH34/$X$89</f>
        <v>0</v>
      </c>
      <c r="AJ34" s="48"/>
      <c r="AK34" s="2043"/>
      <c r="AL34" s="2043"/>
      <c r="AM34" s="2024"/>
      <c r="AN34" s="1976">
        <f t="shared" si="3"/>
        <v>0</v>
      </c>
      <c r="AO34" s="2024"/>
      <c r="AP34" s="2043"/>
      <c r="AQ34" s="2043"/>
      <c r="AR34" s="1436"/>
      <c r="AS34" s="1436"/>
      <c r="AT34" s="1436"/>
    </row>
    <row r="35" spans="1:46" s="88" customFormat="1" ht="13.8" outlineLevel="1">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530">
        <f t="shared" si="1"/>
        <v>0</v>
      </c>
      <c r="P35" s="91"/>
      <c r="Q35" s="90">
        <f>Q36</f>
        <v>0</v>
      </c>
      <c r="R35" s="90">
        <f>R36</f>
        <v>0</v>
      </c>
      <c r="S35" s="91">
        <f>S36</f>
        <v>0</v>
      </c>
      <c r="T35" s="530">
        <f t="shared" si="28"/>
        <v>0</v>
      </c>
      <c r="U35" s="91"/>
      <c r="V35" s="90">
        <f>V36</f>
        <v>0</v>
      </c>
      <c r="W35" s="90">
        <f>W36</f>
        <v>0</v>
      </c>
      <c r="X35" s="91">
        <f>X36</f>
        <v>0</v>
      </c>
      <c r="Y35" s="530">
        <f t="shared" si="2"/>
        <v>0</v>
      </c>
      <c r="Z35" s="91"/>
      <c r="AA35" s="90">
        <f>AA36</f>
        <v>0</v>
      </c>
      <c r="AB35" s="90">
        <f>AB36</f>
        <v>0</v>
      </c>
      <c r="AC35" s="91">
        <f>AC36</f>
        <v>0</v>
      </c>
      <c r="AD35" s="530">
        <f>AC35/$X$89</f>
        <v>0</v>
      </c>
      <c r="AE35" s="91"/>
      <c r="AF35" s="90">
        <f>AF36</f>
        <v>0</v>
      </c>
      <c r="AG35" s="90">
        <f>AG36</f>
        <v>0</v>
      </c>
      <c r="AH35" s="91">
        <f>AH36</f>
        <v>0</v>
      </c>
      <c r="AI35" s="530">
        <f>AH35/$X$89</f>
        <v>0</v>
      </c>
      <c r="AJ35" s="91"/>
      <c r="AK35" s="2009">
        <f>AK36</f>
        <v>0</v>
      </c>
      <c r="AL35" s="2009">
        <f>AL36</f>
        <v>0</v>
      </c>
      <c r="AM35" s="2010">
        <f>AM36</f>
        <v>0</v>
      </c>
      <c r="AN35" s="1925">
        <f t="shared" si="3"/>
        <v>0</v>
      </c>
      <c r="AO35" s="2010"/>
      <c r="AP35" s="2009">
        <f>AP36</f>
        <v>0</v>
      </c>
      <c r="AQ35" s="2009">
        <f>AQ36</f>
        <v>0</v>
      </c>
      <c r="AR35" s="2010">
        <f>AR36</f>
        <v>0</v>
      </c>
      <c r="AS35" s="2010"/>
      <c r="AT35" s="2010"/>
    </row>
    <row r="36" spans="1:46" s="226" customFormat="1" ht="13.8" outlineLevel="3">
      <c r="A36" s="238"/>
      <c r="B36" s="19" t="s">
        <v>81</v>
      </c>
      <c r="C36" s="609"/>
      <c r="D36" s="49"/>
      <c r="E36" s="106">
        <f>C36+D36</f>
        <v>0</v>
      </c>
      <c r="F36" s="178">
        <f>E36/$E$89</f>
        <v>0</v>
      </c>
      <c r="G36" s="39"/>
      <c r="H36" s="39"/>
      <c r="I36" s="106">
        <f>G36+H36*1</f>
        <v>0</v>
      </c>
      <c r="J36" s="178">
        <f>I36/$I$89</f>
        <v>0</v>
      </c>
      <c r="K36" s="388"/>
      <c r="L36" s="39"/>
      <c r="M36" s="39"/>
      <c r="N36" s="106">
        <f>L36+M36*1</f>
        <v>0</v>
      </c>
      <c r="O36" s="178">
        <f t="shared" si="1"/>
        <v>0</v>
      </c>
      <c r="P36" s="388"/>
      <c r="Q36" s="39"/>
      <c r="R36" s="39"/>
      <c r="S36" s="106">
        <f>Q36+R36*1</f>
        <v>0</v>
      </c>
      <c r="T36" s="178">
        <f t="shared" si="28"/>
        <v>0</v>
      </c>
      <c r="U36" s="388"/>
      <c r="V36" s="39"/>
      <c r="W36" s="39"/>
      <c r="X36" s="106">
        <f>V36+W36*1</f>
        <v>0</v>
      </c>
      <c r="Y36" s="178">
        <f t="shared" si="2"/>
        <v>0</v>
      </c>
      <c r="Z36" s="388"/>
      <c r="AA36" s="39"/>
      <c r="AB36" s="39"/>
      <c r="AC36" s="106">
        <f>AA36+AB36*1</f>
        <v>0</v>
      </c>
      <c r="AD36" s="178">
        <f>AC36/$X$89</f>
        <v>0</v>
      </c>
      <c r="AE36" s="388"/>
      <c r="AF36" s="39"/>
      <c r="AG36" s="39"/>
      <c r="AH36" s="106">
        <f>AF36+AG36*1</f>
        <v>0</v>
      </c>
      <c r="AI36" s="178">
        <f>AH36/$X$89</f>
        <v>0</v>
      </c>
      <c r="AJ36" s="388"/>
      <c r="AK36" s="2043"/>
      <c r="AL36" s="2043"/>
      <c r="AM36" s="2012">
        <f>AK36+AL36*1</f>
        <v>0</v>
      </c>
      <c r="AN36" s="2044">
        <f t="shared" si="3"/>
        <v>0</v>
      </c>
      <c r="AO36" s="2046"/>
      <c r="AP36" s="2043">
        <f>G36+L36+Q36+V36+AA36+AF36+AK36</f>
        <v>0</v>
      </c>
      <c r="AQ36" s="2043">
        <f>H36+M36+R36+W36+AB36+AG36+AL36</f>
        <v>0</v>
      </c>
      <c r="AR36" s="2012">
        <f>AP36+AQ36</f>
        <v>0</v>
      </c>
      <c r="AS36" s="2044">
        <f>AR36/$AR$89</f>
        <v>0</v>
      </c>
      <c r="AT36" s="1893"/>
    </row>
    <row r="37" spans="1:46" s="2" customFormat="1" ht="14.4" outlineLevel="1" thickBot="1">
      <c r="A37" s="4"/>
      <c r="B37" s="14"/>
      <c r="C37" s="50"/>
      <c r="D37" s="51"/>
      <c r="E37" s="52"/>
      <c r="F37" s="181"/>
      <c r="G37" s="39"/>
      <c r="H37" s="39"/>
      <c r="I37" s="52"/>
      <c r="J37" s="52"/>
      <c r="K37" s="52"/>
      <c r="L37" s="39"/>
      <c r="M37" s="39"/>
      <c r="N37" s="52"/>
      <c r="O37" s="178">
        <f t="shared" si="1"/>
        <v>0</v>
      </c>
      <c r="P37" s="52"/>
      <c r="Q37" s="39"/>
      <c r="R37" s="39"/>
      <c r="S37" s="52"/>
      <c r="T37" s="178">
        <f t="shared" si="28"/>
        <v>0</v>
      </c>
      <c r="U37" s="52"/>
      <c r="V37" s="39"/>
      <c r="W37" s="39"/>
      <c r="X37" s="52"/>
      <c r="Y37" s="178">
        <f t="shared" si="2"/>
        <v>0</v>
      </c>
      <c r="Z37" s="52"/>
      <c r="AA37" s="39"/>
      <c r="AB37" s="39"/>
      <c r="AC37" s="52"/>
      <c r="AD37" s="178">
        <f>AC37/$X$89</f>
        <v>0</v>
      </c>
      <c r="AE37" s="52"/>
      <c r="AF37" s="39"/>
      <c r="AG37" s="39"/>
      <c r="AH37" s="52"/>
      <c r="AI37" s="178">
        <f>AH37/$X$89</f>
        <v>0</v>
      </c>
      <c r="AJ37" s="52"/>
      <c r="AK37" s="2043"/>
      <c r="AL37" s="2043"/>
      <c r="AM37" s="2001"/>
      <c r="AN37" s="2044">
        <f t="shared" si="3"/>
        <v>0</v>
      </c>
      <c r="AO37" s="2001"/>
      <c r="AP37" s="2043"/>
      <c r="AQ37" s="2043"/>
      <c r="AR37" s="2001"/>
      <c r="AS37" s="2001"/>
      <c r="AT37" s="2001"/>
    </row>
    <row r="38" spans="1:46" ht="14.4" thickBot="1">
      <c r="A38" s="33"/>
      <c r="B38" s="34" t="s">
        <v>46</v>
      </c>
      <c r="C38" s="53">
        <f>(C5)-(C8)</f>
        <v>804393</v>
      </c>
      <c r="D38" s="53">
        <f>(D5)-(D8)</f>
        <v>-89863</v>
      </c>
      <c r="E38" s="53">
        <f>(E5)-(E8)</f>
        <v>714530</v>
      </c>
      <c r="F38" s="166"/>
      <c r="G38" s="53">
        <f>(G5)-(G8)</f>
        <v>-1828.3074000000001</v>
      </c>
      <c r="H38" s="53">
        <f>(H5)-(H8)</f>
        <v>0</v>
      </c>
      <c r="I38" s="53">
        <f>(I5)-(I8)</f>
        <v>-1828.3074000000001</v>
      </c>
      <c r="J38" s="53"/>
      <c r="K38" s="53"/>
      <c r="L38" s="53">
        <f>(L5)-(L8)</f>
        <v>195126.99599999998</v>
      </c>
      <c r="M38" s="53">
        <f>(M5)-(M8)</f>
        <v>0</v>
      </c>
      <c r="N38" s="53">
        <f>(N5)-(N8)</f>
        <v>195126.99599999998</v>
      </c>
      <c r="O38" s="531">
        <f t="shared" si="1"/>
        <v>0.93719137120917217</v>
      </c>
      <c r="P38" s="53"/>
      <c r="Q38" s="53">
        <f>(Q5)-(Q8)</f>
        <v>113675.47199999995</v>
      </c>
      <c r="R38" s="53">
        <f>(R5)-(R8)</f>
        <v>0</v>
      </c>
      <c r="S38" s="53">
        <f>(S5)-(S8)</f>
        <v>113675.47199999995</v>
      </c>
      <c r="T38" s="531">
        <f t="shared" si="28"/>
        <v>0.54598120024627361</v>
      </c>
      <c r="U38" s="53"/>
      <c r="V38" s="53">
        <f>(V5)-(V8)</f>
        <v>146022</v>
      </c>
      <c r="W38" s="53">
        <f>(W5)-(W8)</f>
        <v>0</v>
      </c>
      <c r="X38" s="53">
        <f>(X5)-(X8)</f>
        <v>146022</v>
      </c>
      <c r="Y38" s="531">
        <f t="shared" si="2"/>
        <v>0.40543209707671057</v>
      </c>
      <c r="Z38" s="53"/>
      <c r="AA38" s="53">
        <f>(AA5)-(AA8)</f>
        <v>1439887.79</v>
      </c>
      <c r="AB38" s="53">
        <f>(AB5)-(AB8)</f>
        <v>-112506.04000000001</v>
      </c>
      <c r="AC38" s="53">
        <f>(AC5)-(AC8)</f>
        <v>1327381.75</v>
      </c>
      <c r="AD38" s="531"/>
      <c r="AE38" s="53"/>
      <c r="AF38" s="53">
        <f>(AF5)-(AF8)</f>
        <v>-803539.23</v>
      </c>
      <c r="AG38" s="53">
        <f>(AG5)-(AG8)</f>
        <v>-40000</v>
      </c>
      <c r="AH38" s="53">
        <f>(AH5)-(AH8)</f>
        <v>-843539.23</v>
      </c>
      <c r="AI38" s="531"/>
      <c r="AJ38" s="53"/>
      <c r="AK38" s="2002">
        <f>(AK5)-(AK8)</f>
        <v>-1299.9599999999998</v>
      </c>
      <c r="AL38" s="2002">
        <f>(AL5)-(AL8)</f>
        <v>0</v>
      </c>
      <c r="AM38" s="2002">
        <f>(AM5)-(AM8)</f>
        <v>-1299.9599999999998</v>
      </c>
      <c r="AN38" s="1939">
        <f t="shared" si="3"/>
        <v>-1</v>
      </c>
      <c r="AO38" s="2002"/>
      <c r="AP38" s="2002">
        <f>(AP5)-(AP8)</f>
        <v>1088044.7606000002</v>
      </c>
      <c r="AQ38" s="2002">
        <f>(AQ5)-(AQ8)</f>
        <v>-152506.04</v>
      </c>
      <c r="AR38" s="2002">
        <f>(AR5)-(AR8)</f>
        <v>935538.72060000012</v>
      </c>
      <c r="AS38" s="2002"/>
      <c r="AT38" s="2002"/>
    </row>
    <row r="39" spans="1:46" ht="13.8">
      <c r="A39" s="293"/>
      <c r="B39" s="15" t="s">
        <v>47</v>
      </c>
      <c r="C39" s="157">
        <f>C38/(C5)</f>
        <v>0.30374855563359537</v>
      </c>
      <c r="D39" s="157" t="e">
        <f>D38/(D5)</f>
        <v>#DIV/0!</v>
      </c>
      <c r="E39" s="158">
        <f>E38/(E5)</f>
        <v>0.26981519662263709</v>
      </c>
      <c r="F39" s="167"/>
      <c r="G39" s="54" t="e">
        <f>G38/(G5)</f>
        <v>#DIV/0!</v>
      </c>
      <c r="H39" s="54" t="e">
        <f>H38/(H5)</f>
        <v>#DIV/0!</v>
      </c>
      <c r="I39" s="55" t="e">
        <f>I38/(I5)</f>
        <v>#DIV/0!</v>
      </c>
      <c r="J39" s="55"/>
      <c r="K39" s="55"/>
      <c r="L39" s="54">
        <f>L38/(L5)</f>
        <v>0.48384992065066451</v>
      </c>
      <c r="M39" s="54" t="e">
        <f>M38/(M5)</f>
        <v>#DIV/0!</v>
      </c>
      <c r="N39" s="55">
        <f>N38/(N5)</f>
        <v>0.48384992065066451</v>
      </c>
      <c r="O39" s="532">
        <f t="shared" si="1"/>
        <v>2.3239222654462708E-6</v>
      </c>
      <c r="P39" s="55"/>
      <c r="Q39" s="54">
        <f>Q38/(Q5)</f>
        <v>0.17429809104708743</v>
      </c>
      <c r="R39" s="54" t="e">
        <f>R38/(R5)</f>
        <v>#DIV/0!</v>
      </c>
      <c r="S39" s="55">
        <f>S38/(S5)</f>
        <v>0.17429809104708743</v>
      </c>
      <c r="T39" s="532">
        <f t="shared" si="28"/>
        <v>8.3715052399802757E-7</v>
      </c>
      <c r="U39" s="55"/>
      <c r="V39" s="54">
        <f>V38/(V5)</f>
        <v>0.28982164760615597</v>
      </c>
      <c r="W39" s="54" t="e">
        <f>W38/(W5)</f>
        <v>#DIV/0!</v>
      </c>
      <c r="X39" s="55">
        <f>X38/(X5)</f>
        <v>0.28982164760615597</v>
      </c>
      <c r="Y39" s="532">
        <f t="shared" si="2"/>
        <v>8.0469380207907864E-7</v>
      </c>
      <c r="Z39" s="55"/>
      <c r="AA39" s="54">
        <f>AA38/(AA5)</f>
        <v>0.85278433188015657</v>
      </c>
      <c r="AB39" s="54" t="e">
        <f>AB38/(AB5)</f>
        <v>#DIV/0!</v>
      </c>
      <c r="AC39" s="55">
        <f>AC38/(AC5)</f>
        <v>0.78615178674698183</v>
      </c>
      <c r="AD39" s="532"/>
      <c r="AE39" s="55"/>
      <c r="AF39" s="54" t="e">
        <f>AF38/(AF5)</f>
        <v>#DIV/0!</v>
      </c>
      <c r="AG39" s="54" t="e">
        <f>AG38/(AG5)</f>
        <v>#DIV/0!</v>
      </c>
      <c r="AH39" s="55" t="e">
        <f>AH38/(AH5)</f>
        <v>#DIV/0!</v>
      </c>
      <c r="AI39" s="532"/>
      <c r="AJ39" s="55"/>
      <c r="AK39" s="2003" t="e">
        <f>AK38/(AK5)</f>
        <v>#DIV/0!</v>
      </c>
      <c r="AL39" s="2003" t="e">
        <f>AL38/(AL5)</f>
        <v>#DIV/0!</v>
      </c>
      <c r="AM39" s="2004" t="e">
        <f>AM38/(AM5)</f>
        <v>#DIV/0!</v>
      </c>
      <c r="AN39" s="1940" t="e">
        <f t="shared" si="3"/>
        <v>#DIV/0!</v>
      </c>
      <c r="AO39" s="2004"/>
      <c r="AP39" s="2003">
        <f>AP38/(AP5)</f>
        <v>0.33501402996741642</v>
      </c>
      <c r="AQ39" s="2003" t="e">
        <f>AQ38/(AQ5)</f>
        <v>#DIV/0!</v>
      </c>
      <c r="AR39" s="2004">
        <f>AR38/(AR5)</f>
        <v>0.28805671267231026</v>
      </c>
      <c r="AS39" s="2004"/>
      <c r="AT39" s="2004"/>
    </row>
    <row r="40" spans="1:46" ht="14.4" outlineLevel="1" thickBot="1">
      <c r="A40" s="295"/>
      <c r="B40" s="16"/>
      <c r="C40" s="56"/>
      <c r="D40" s="57"/>
      <c r="E40" s="58"/>
      <c r="F40" s="168"/>
      <c r="G40" s="58"/>
      <c r="H40" s="58"/>
      <c r="I40" s="58"/>
      <c r="J40" s="58"/>
      <c r="K40" s="58"/>
      <c r="L40" s="58"/>
      <c r="M40" s="58"/>
      <c r="N40" s="58"/>
      <c r="O40" s="178">
        <f t="shared" si="1"/>
        <v>0</v>
      </c>
      <c r="P40" s="58"/>
      <c r="Q40" s="58"/>
      <c r="R40" s="58"/>
      <c r="S40" s="58"/>
      <c r="T40" s="178">
        <f t="shared" si="28"/>
        <v>0</v>
      </c>
      <c r="U40" s="58"/>
      <c r="V40" s="58"/>
      <c r="W40" s="58"/>
      <c r="X40" s="58"/>
      <c r="Y40" s="178">
        <f t="shared" si="2"/>
        <v>0</v>
      </c>
      <c r="Z40" s="58"/>
      <c r="AA40" s="58"/>
      <c r="AB40" s="58"/>
      <c r="AC40" s="58"/>
      <c r="AD40" s="178">
        <f>AC40/$X$89</f>
        <v>0</v>
      </c>
      <c r="AE40" s="58"/>
      <c r="AF40" s="58"/>
      <c r="AG40" s="58"/>
      <c r="AH40" s="58"/>
      <c r="AI40" s="178">
        <f>AH40/$X$89</f>
        <v>0</v>
      </c>
      <c r="AJ40" s="58"/>
      <c r="AK40" s="2005"/>
      <c r="AL40" s="2005"/>
      <c r="AM40" s="2005"/>
      <c r="AN40" s="2044">
        <f t="shared" si="3"/>
        <v>0</v>
      </c>
      <c r="AO40" s="2005"/>
      <c r="AP40" s="2005"/>
      <c r="AQ40" s="2005"/>
      <c r="AR40" s="2005"/>
      <c r="AS40" s="2005"/>
      <c r="AT40" s="2005"/>
    </row>
    <row r="41" spans="1:46" ht="13.8" outlineLevel="1">
      <c r="A41" s="11"/>
      <c r="B41" s="22" t="s">
        <v>26</v>
      </c>
      <c r="C41" s="117">
        <f>SUM(C42:C48)</f>
        <v>0</v>
      </c>
      <c r="D41" s="117">
        <f>SUM(D42:D48)</f>
        <v>0</v>
      </c>
      <c r="E41" s="118">
        <f>SUM(E42:E48)</f>
        <v>0</v>
      </c>
      <c r="F41" s="169">
        <f t="shared" ref="F41:F48" si="29">E41/$E$89</f>
        <v>0</v>
      </c>
      <c r="G41" s="117">
        <f>SUM(G42:G48)</f>
        <v>98</v>
      </c>
      <c r="H41" s="117">
        <f>SUM(H42:H48)</f>
        <v>0</v>
      </c>
      <c r="I41" s="118">
        <f>SUM(I42:I48)</f>
        <v>98</v>
      </c>
      <c r="J41" s="169" t="e">
        <f>I41/#REF!</f>
        <v>#REF!</v>
      </c>
      <c r="K41" s="60"/>
      <c r="L41" s="117">
        <f>SUM(L42:L48)</f>
        <v>51</v>
      </c>
      <c r="M41" s="117">
        <f>SUM(M42:M48)</f>
        <v>0</v>
      </c>
      <c r="N41" s="118">
        <f>SUM(N42:N48)</f>
        <v>51</v>
      </c>
      <c r="O41" s="169">
        <f t="shared" si="1"/>
        <v>2.4495206153672238E-4</v>
      </c>
      <c r="P41" s="60"/>
      <c r="Q41" s="117">
        <f>SUM(Q42:Q48)</f>
        <v>46</v>
      </c>
      <c r="R41" s="117">
        <f>SUM(R42:R48)</f>
        <v>0</v>
      </c>
      <c r="S41" s="118">
        <f>SUM(S42:S48)</f>
        <v>46</v>
      </c>
      <c r="T41" s="169">
        <f t="shared" si="28"/>
        <v>2.2093715354292608E-4</v>
      </c>
      <c r="U41" s="60"/>
      <c r="V41" s="117">
        <f>SUM(V42:V48)</f>
        <v>92</v>
      </c>
      <c r="W41" s="117">
        <f>SUM(W42:W48)</f>
        <v>0</v>
      </c>
      <c r="X41" s="118">
        <f>SUM(X42:X48)</f>
        <v>92</v>
      </c>
      <c r="Y41" s="169">
        <f t="shared" si="2"/>
        <v>2.5543926895301648E-4</v>
      </c>
      <c r="Z41" s="60"/>
      <c r="AA41" s="117">
        <f>SUM(AA42:AA48)</f>
        <v>210</v>
      </c>
      <c r="AB41" s="117">
        <f>SUM(AB42:AB48)</f>
        <v>0</v>
      </c>
      <c r="AC41" s="118">
        <f>SUM(AC42:AC48)</f>
        <v>210</v>
      </c>
      <c r="AD41" s="169">
        <f t="shared" ref="AD41:AD48" si="30">AC41/$AC$89</f>
        <v>5.8117002477776881E-4</v>
      </c>
      <c r="AE41" s="60"/>
      <c r="AF41" s="117">
        <f>SUM(AF42:AF48)</f>
        <v>0</v>
      </c>
      <c r="AG41" s="117">
        <f>SUM(AG42:AG48)</f>
        <v>0</v>
      </c>
      <c r="AH41" s="118">
        <f>SUM(AH42:AH48)</f>
        <v>0</v>
      </c>
      <c r="AI41" s="169">
        <f t="shared" ref="AI41:AI48" si="31">AH41/$AC$89</f>
        <v>0</v>
      </c>
      <c r="AJ41" s="60"/>
      <c r="AK41" s="2013">
        <f>SUM(AK42:AK48)</f>
        <v>0</v>
      </c>
      <c r="AL41" s="2013">
        <f>SUM(AL42:AL48)</f>
        <v>0</v>
      </c>
      <c r="AM41" s="2014">
        <f>SUM(AM42:AM48)</f>
        <v>0</v>
      </c>
      <c r="AN41" s="2016">
        <f t="shared" si="3"/>
        <v>0</v>
      </c>
      <c r="AO41" s="2006"/>
      <c r="AP41" s="2013">
        <f>SUM(AP42:AP48)</f>
        <v>497</v>
      </c>
      <c r="AQ41" s="2013">
        <f>SUM(AQ42:AQ48)</f>
        <v>0</v>
      </c>
      <c r="AR41" s="2014">
        <f>SUM(AR42:AR48)</f>
        <v>497</v>
      </c>
      <c r="AS41" s="2016">
        <f t="shared" ref="AS41:AS49" si="32">AR41/$AR$89</f>
        <v>2.1263241766302109E-4</v>
      </c>
      <c r="AT41" s="2006"/>
    </row>
    <row r="42" spans="1:46" ht="43.2" customHeight="1" outlineLevel="2">
      <c r="A42" s="4833"/>
      <c r="B42" s="18" t="s">
        <v>7</v>
      </c>
      <c r="C42" s="113"/>
      <c r="D42" s="119"/>
      <c r="E42" s="120">
        <f t="shared" ref="E42:E49" si="33">C42+D42</f>
        <v>0</v>
      </c>
      <c r="F42" s="178">
        <f t="shared" si="29"/>
        <v>0</v>
      </c>
      <c r="G42" s="39"/>
      <c r="H42" s="39"/>
      <c r="I42" s="106">
        <f t="shared" ref="I42:I48" si="34">G42+H42*1</f>
        <v>0</v>
      </c>
      <c r="J42" s="178">
        <f t="shared" ref="J42:J48" si="35">I42/$I$89</f>
        <v>0</v>
      </c>
      <c r="K42" s="79"/>
      <c r="L42" s="39"/>
      <c r="M42" s="39"/>
      <c r="N42" s="106">
        <f t="shared" ref="N42:N48" si="36">L42+M42*1</f>
        <v>0</v>
      </c>
      <c r="O42" s="178">
        <f t="shared" si="1"/>
        <v>0</v>
      </c>
      <c r="P42" s="79"/>
      <c r="Q42" s="39"/>
      <c r="R42" s="39"/>
      <c r="S42" s="106">
        <f t="shared" ref="S42:S48" si="37">Q42+R42*1</f>
        <v>0</v>
      </c>
      <c r="T42" s="178">
        <f t="shared" ref="T42:T48" si="38">S42/$S$89</f>
        <v>0</v>
      </c>
      <c r="U42" s="79"/>
      <c r="V42" s="39"/>
      <c r="W42" s="39"/>
      <c r="X42" s="106">
        <f t="shared" ref="X42:X48" si="39">V42+W42*1</f>
        <v>0</v>
      </c>
      <c r="Y42" s="178">
        <f t="shared" si="2"/>
        <v>0</v>
      </c>
      <c r="Z42" s="79"/>
      <c r="AA42" s="39"/>
      <c r="AB42" s="39"/>
      <c r="AC42" s="106">
        <f t="shared" ref="AC42:AC48" si="40">AA42+AB42*1</f>
        <v>0</v>
      </c>
      <c r="AD42" s="178">
        <f t="shared" si="30"/>
        <v>0</v>
      </c>
      <c r="AE42" s="79"/>
      <c r="AF42" s="39"/>
      <c r="AG42" s="39"/>
      <c r="AH42" s="106">
        <f t="shared" ref="AH42:AH48" si="41">AF42+AG42*1</f>
        <v>0</v>
      </c>
      <c r="AI42" s="178">
        <f t="shared" si="31"/>
        <v>0</v>
      </c>
      <c r="AJ42" s="79"/>
      <c r="AK42" s="2043"/>
      <c r="AL42" s="2043"/>
      <c r="AM42" s="2012">
        <f t="shared" ref="AM42:AM48" si="42">AK42+AL42*1</f>
        <v>0</v>
      </c>
      <c r="AN42" s="2044">
        <f t="shared" si="3"/>
        <v>0</v>
      </c>
      <c r="AO42" s="1992"/>
      <c r="AP42" s="2043">
        <f t="shared" ref="AP42:AQ49" si="43">G42+L42+Q42+V42+AA42+AF42+AK42</f>
        <v>0</v>
      </c>
      <c r="AQ42" s="2043">
        <f t="shared" si="43"/>
        <v>0</v>
      </c>
      <c r="AR42" s="2012">
        <f t="shared" ref="AR42:AR48" si="44">AP42+AQ42</f>
        <v>0</v>
      </c>
      <c r="AS42" s="2044">
        <f t="shared" si="32"/>
        <v>0</v>
      </c>
      <c r="AT42" s="1992"/>
    </row>
    <row r="43" spans="1:46" ht="13.8" outlineLevel="2">
      <c r="A43" s="4833"/>
      <c r="B43" s="18" t="s">
        <v>27</v>
      </c>
      <c r="C43" s="113"/>
      <c r="D43" s="119"/>
      <c r="E43" s="120">
        <f t="shared" si="33"/>
        <v>0</v>
      </c>
      <c r="F43" s="178">
        <f t="shared" si="29"/>
        <v>0</v>
      </c>
      <c r="G43" s="39"/>
      <c r="H43" s="39"/>
      <c r="I43" s="106">
        <f t="shared" si="34"/>
        <v>0</v>
      </c>
      <c r="J43" s="178">
        <f t="shared" si="35"/>
        <v>0</v>
      </c>
      <c r="K43" s="79"/>
      <c r="L43" s="39"/>
      <c r="M43" s="39"/>
      <c r="N43" s="106">
        <f t="shared" si="36"/>
        <v>0</v>
      </c>
      <c r="O43" s="178">
        <f t="shared" si="1"/>
        <v>0</v>
      </c>
      <c r="P43" s="79"/>
      <c r="Q43" s="39"/>
      <c r="R43" s="39"/>
      <c r="S43" s="106">
        <f t="shared" si="37"/>
        <v>0</v>
      </c>
      <c r="T43" s="178">
        <f t="shared" si="38"/>
        <v>0</v>
      </c>
      <c r="U43" s="79"/>
      <c r="V43" s="39"/>
      <c r="W43" s="39"/>
      <c r="X43" s="106">
        <f t="shared" si="39"/>
        <v>0</v>
      </c>
      <c r="Y43" s="178">
        <f t="shared" si="2"/>
        <v>0</v>
      </c>
      <c r="Z43" s="79"/>
      <c r="AA43" s="39"/>
      <c r="AB43" s="39"/>
      <c r="AC43" s="106">
        <f t="shared" si="40"/>
        <v>0</v>
      </c>
      <c r="AD43" s="178">
        <f t="shared" si="30"/>
        <v>0</v>
      </c>
      <c r="AE43" s="79"/>
      <c r="AF43" s="39"/>
      <c r="AG43" s="39"/>
      <c r="AH43" s="106">
        <f t="shared" si="41"/>
        <v>0</v>
      </c>
      <c r="AI43" s="178">
        <f t="shared" si="31"/>
        <v>0</v>
      </c>
      <c r="AJ43" s="79"/>
      <c r="AK43" s="2043"/>
      <c r="AL43" s="2043"/>
      <c r="AM43" s="2012">
        <f t="shared" si="42"/>
        <v>0</v>
      </c>
      <c r="AN43" s="2044">
        <f t="shared" si="3"/>
        <v>0</v>
      </c>
      <c r="AO43" s="1992"/>
      <c r="AP43" s="2043">
        <f t="shared" si="43"/>
        <v>0</v>
      </c>
      <c r="AQ43" s="2043">
        <f t="shared" si="43"/>
        <v>0</v>
      </c>
      <c r="AR43" s="2012">
        <f t="shared" si="44"/>
        <v>0</v>
      </c>
      <c r="AS43" s="2044">
        <f t="shared" si="32"/>
        <v>0</v>
      </c>
      <c r="AT43" s="1992"/>
    </row>
    <row r="44" spans="1:46" ht="67.2" customHeight="1" outlineLevel="2">
      <c r="A44" s="4833"/>
      <c r="B44" s="19" t="s">
        <v>28</v>
      </c>
      <c r="C44" s="113"/>
      <c r="D44" s="119"/>
      <c r="E44" s="120">
        <f t="shared" si="33"/>
        <v>0</v>
      </c>
      <c r="F44" s="178">
        <f t="shared" si="29"/>
        <v>0</v>
      </c>
      <c r="G44" s="39"/>
      <c r="H44" s="39"/>
      <c r="I44" s="106">
        <f t="shared" si="34"/>
        <v>0</v>
      </c>
      <c r="J44" s="178">
        <f t="shared" si="35"/>
        <v>0</v>
      </c>
      <c r="K44" s="259"/>
      <c r="L44" s="39"/>
      <c r="M44" s="39"/>
      <c r="N44" s="106">
        <f t="shared" si="36"/>
        <v>0</v>
      </c>
      <c r="O44" s="178">
        <f t="shared" si="1"/>
        <v>0</v>
      </c>
      <c r="P44" s="259"/>
      <c r="Q44" s="39"/>
      <c r="R44" s="39"/>
      <c r="S44" s="106">
        <f t="shared" si="37"/>
        <v>0</v>
      </c>
      <c r="T44" s="178">
        <f t="shared" si="38"/>
        <v>0</v>
      </c>
      <c r="U44" s="259"/>
      <c r="V44" s="39"/>
      <c r="W44" s="39"/>
      <c r="X44" s="106">
        <f t="shared" si="39"/>
        <v>0</v>
      </c>
      <c r="Y44" s="178">
        <f t="shared" si="2"/>
        <v>0</v>
      </c>
      <c r="Z44" s="259"/>
      <c r="AA44" s="39"/>
      <c r="AB44" s="39"/>
      <c r="AC44" s="106">
        <f t="shared" si="40"/>
        <v>0</v>
      </c>
      <c r="AD44" s="178">
        <f t="shared" si="30"/>
        <v>0</v>
      </c>
      <c r="AE44" s="259"/>
      <c r="AF44" s="39"/>
      <c r="AG44" s="39"/>
      <c r="AH44" s="106">
        <f t="shared" si="41"/>
        <v>0</v>
      </c>
      <c r="AI44" s="178">
        <f t="shared" si="31"/>
        <v>0</v>
      </c>
      <c r="AJ44" s="259"/>
      <c r="AK44" s="2043"/>
      <c r="AL44" s="2043"/>
      <c r="AM44" s="2012">
        <f t="shared" si="42"/>
        <v>0</v>
      </c>
      <c r="AN44" s="2044">
        <f t="shared" si="3"/>
        <v>0</v>
      </c>
      <c r="AO44" s="2019"/>
      <c r="AP44" s="2043">
        <f t="shared" si="43"/>
        <v>0</v>
      </c>
      <c r="AQ44" s="2043">
        <f t="shared" si="43"/>
        <v>0</v>
      </c>
      <c r="AR44" s="2012">
        <f t="shared" si="44"/>
        <v>0</v>
      </c>
      <c r="AS44" s="2044">
        <f t="shared" si="32"/>
        <v>0</v>
      </c>
      <c r="AT44" s="1992"/>
    </row>
    <row r="45" spans="1:46" ht="13.8" outlineLevel="2">
      <c r="A45" s="4833"/>
      <c r="B45" s="18" t="s">
        <v>8</v>
      </c>
      <c r="C45" s="113"/>
      <c r="D45" s="119"/>
      <c r="E45" s="120">
        <f t="shared" si="33"/>
        <v>0</v>
      </c>
      <c r="F45" s="178">
        <f t="shared" si="29"/>
        <v>0</v>
      </c>
      <c r="G45" s="39"/>
      <c r="H45" s="39"/>
      <c r="I45" s="106">
        <f t="shared" si="34"/>
        <v>0</v>
      </c>
      <c r="J45" s="178">
        <f t="shared" si="35"/>
        <v>0</v>
      </c>
      <c r="K45" s="259"/>
      <c r="L45" s="39"/>
      <c r="M45" s="39"/>
      <c r="N45" s="106">
        <f t="shared" si="36"/>
        <v>0</v>
      </c>
      <c r="O45" s="178">
        <f t="shared" si="1"/>
        <v>0</v>
      </c>
      <c r="P45" s="259"/>
      <c r="Q45" s="39"/>
      <c r="R45" s="39"/>
      <c r="S45" s="106">
        <f t="shared" si="37"/>
        <v>0</v>
      </c>
      <c r="T45" s="178">
        <f t="shared" si="38"/>
        <v>0</v>
      </c>
      <c r="U45" s="259"/>
      <c r="V45" s="39"/>
      <c r="W45" s="39"/>
      <c r="X45" s="106">
        <f t="shared" si="39"/>
        <v>0</v>
      </c>
      <c r="Y45" s="178">
        <f t="shared" si="2"/>
        <v>0</v>
      </c>
      <c r="Z45" s="259"/>
      <c r="AA45" s="39"/>
      <c r="AB45" s="39"/>
      <c r="AC45" s="106">
        <f t="shared" si="40"/>
        <v>0</v>
      </c>
      <c r="AD45" s="178">
        <f t="shared" si="30"/>
        <v>0</v>
      </c>
      <c r="AE45" s="259"/>
      <c r="AF45" s="39"/>
      <c r="AG45" s="39"/>
      <c r="AH45" s="106">
        <f t="shared" si="41"/>
        <v>0</v>
      </c>
      <c r="AI45" s="178">
        <f t="shared" si="31"/>
        <v>0</v>
      </c>
      <c r="AJ45" s="259"/>
      <c r="AK45" s="2043"/>
      <c r="AL45" s="2043"/>
      <c r="AM45" s="2012">
        <f t="shared" si="42"/>
        <v>0</v>
      </c>
      <c r="AN45" s="2044">
        <f t="shared" si="3"/>
        <v>0</v>
      </c>
      <c r="AO45" s="2019"/>
      <c r="AP45" s="2043">
        <f t="shared" si="43"/>
        <v>0</v>
      </c>
      <c r="AQ45" s="2043">
        <f t="shared" si="43"/>
        <v>0</v>
      </c>
      <c r="AR45" s="2012">
        <f t="shared" si="44"/>
        <v>0</v>
      </c>
      <c r="AS45" s="2044">
        <f t="shared" si="32"/>
        <v>0</v>
      </c>
      <c r="AT45" s="1992"/>
    </row>
    <row r="46" spans="1:46" ht="13.8" outlineLevel="2">
      <c r="A46" s="4833"/>
      <c r="B46" s="18" t="s">
        <v>29</v>
      </c>
      <c r="C46" s="113"/>
      <c r="D46" s="119"/>
      <c r="E46" s="120">
        <f t="shared" si="33"/>
        <v>0</v>
      </c>
      <c r="F46" s="178">
        <f t="shared" si="29"/>
        <v>0</v>
      </c>
      <c r="G46" s="39"/>
      <c r="H46" s="39"/>
      <c r="I46" s="106">
        <f t="shared" si="34"/>
        <v>0</v>
      </c>
      <c r="J46" s="178">
        <f t="shared" si="35"/>
        <v>0</v>
      </c>
      <c r="K46" s="259"/>
      <c r="L46" s="39"/>
      <c r="M46" s="39"/>
      <c r="N46" s="106">
        <f t="shared" si="36"/>
        <v>0</v>
      </c>
      <c r="O46" s="178">
        <f t="shared" si="1"/>
        <v>0</v>
      </c>
      <c r="P46" s="259"/>
      <c r="Q46" s="39"/>
      <c r="R46" s="39"/>
      <c r="S46" s="106">
        <f t="shared" si="37"/>
        <v>0</v>
      </c>
      <c r="T46" s="178">
        <f t="shared" si="38"/>
        <v>0</v>
      </c>
      <c r="U46" s="259"/>
      <c r="V46" s="39"/>
      <c r="W46" s="39"/>
      <c r="X46" s="106">
        <f t="shared" si="39"/>
        <v>0</v>
      </c>
      <c r="Y46" s="178">
        <f t="shared" si="2"/>
        <v>0</v>
      </c>
      <c r="Z46" s="259"/>
      <c r="AA46" s="39"/>
      <c r="AB46" s="39"/>
      <c r="AC46" s="106">
        <f t="shared" si="40"/>
        <v>0</v>
      </c>
      <c r="AD46" s="178">
        <f t="shared" si="30"/>
        <v>0</v>
      </c>
      <c r="AE46" s="259"/>
      <c r="AF46" s="39"/>
      <c r="AG46" s="39"/>
      <c r="AH46" s="106">
        <f t="shared" si="41"/>
        <v>0</v>
      </c>
      <c r="AI46" s="178">
        <f t="shared" si="31"/>
        <v>0</v>
      </c>
      <c r="AJ46" s="259"/>
      <c r="AK46" s="2043"/>
      <c r="AL46" s="2043"/>
      <c r="AM46" s="2012">
        <f t="shared" si="42"/>
        <v>0</v>
      </c>
      <c r="AN46" s="2044">
        <f t="shared" si="3"/>
        <v>0</v>
      </c>
      <c r="AO46" s="2019"/>
      <c r="AP46" s="2043">
        <f t="shared" si="43"/>
        <v>0</v>
      </c>
      <c r="AQ46" s="2043">
        <f t="shared" si="43"/>
        <v>0</v>
      </c>
      <c r="AR46" s="2012">
        <f t="shared" si="44"/>
        <v>0</v>
      </c>
      <c r="AS46" s="2044">
        <f t="shared" si="32"/>
        <v>0</v>
      </c>
      <c r="AT46" s="1992"/>
    </row>
    <row r="47" spans="1:46" ht="13.8" outlineLevel="2">
      <c r="A47" s="4833"/>
      <c r="B47" s="18" t="s">
        <v>30</v>
      </c>
      <c r="C47" s="113"/>
      <c r="D47" s="119"/>
      <c r="E47" s="120">
        <f t="shared" si="33"/>
        <v>0</v>
      </c>
      <c r="F47" s="178">
        <f t="shared" si="29"/>
        <v>0</v>
      </c>
      <c r="G47" s="39">
        <v>98</v>
      </c>
      <c r="H47" s="39"/>
      <c r="I47" s="106">
        <f t="shared" si="34"/>
        <v>98</v>
      </c>
      <c r="J47" s="178">
        <f>I47/$I$89</f>
        <v>4.0732572863104582E-3</v>
      </c>
      <c r="K47" s="388"/>
      <c r="L47" s="39">
        <v>51</v>
      </c>
      <c r="M47" s="39"/>
      <c r="N47" s="106">
        <f t="shared" si="36"/>
        <v>51</v>
      </c>
      <c r="O47" s="178">
        <f t="shared" si="1"/>
        <v>2.4495206153672238E-4</v>
      </c>
      <c r="P47" s="388"/>
      <c r="Q47" s="39">
        <v>46</v>
      </c>
      <c r="R47" s="39"/>
      <c r="S47" s="106">
        <f t="shared" si="37"/>
        <v>46</v>
      </c>
      <c r="T47" s="178">
        <f t="shared" si="38"/>
        <v>8.5412869321904692E-5</v>
      </c>
      <c r="U47" s="388"/>
      <c r="V47" s="39">
        <v>92</v>
      </c>
      <c r="W47" s="39"/>
      <c r="X47" s="106">
        <f t="shared" si="39"/>
        <v>92</v>
      </c>
      <c r="Y47" s="178">
        <f t="shared" si="2"/>
        <v>2.5543926895301648E-4</v>
      </c>
      <c r="Z47" s="388"/>
      <c r="AA47" s="39">
        <v>210</v>
      </c>
      <c r="AB47" s="39"/>
      <c r="AC47" s="106">
        <f t="shared" si="40"/>
        <v>210</v>
      </c>
      <c r="AD47" s="178">
        <f t="shared" si="30"/>
        <v>5.8117002477776881E-4</v>
      </c>
      <c r="AE47" s="388"/>
      <c r="AF47" s="39"/>
      <c r="AG47" s="39"/>
      <c r="AH47" s="106">
        <f t="shared" si="41"/>
        <v>0</v>
      </c>
      <c r="AI47" s="178">
        <f t="shared" si="31"/>
        <v>0</v>
      </c>
      <c r="AJ47" s="388"/>
      <c r="AK47" s="2043"/>
      <c r="AL47" s="2043"/>
      <c r="AM47" s="2012">
        <f t="shared" si="42"/>
        <v>0</v>
      </c>
      <c r="AN47" s="2044">
        <f t="shared" si="3"/>
        <v>0</v>
      </c>
      <c r="AO47" s="2046"/>
      <c r="AP47" s="2043">
        <f t="shared" si="43"/>
        <v>497</v>
      </c>
      <c r="AQ47" s="2043">
        <f t="shared" si="43"/>
        <v>0</v>
      </c>
      <c r="AR47" s="2012">
        <f t="shared" si="44"/>
        <v>497</v>
      </c>
      <c r="AS47" s="2044">
        <f t="shared" si="32"/>
        <v>2.1263241766302109E-4</v>
      </c>
      <c r="AT47" s="1992"/>
    </row>
    <row r="48" spans="1:46" ht="13.8" outlineLevel="2">
      <c r="A48" s="4833"/>
      <c r="B48" s="18" t="s">
        <v>15</v>
      </c>
      <c r="C48" s="113"/>
      <c r="D48" s="119"/>
      <c r="E48" s="120">
        <f t="shared" si="33"/>
        <v>0</v>
      </c>
      <c r="F48" s="178">
        <f t="shared" si="29"/>
        <v>0</v>
      </c>
      <c r="G48" s="39"/>
      <c r="H48" s="39"/>
      <c r="I48" s="106">
        <f t="shared" si="34"/>
        <v>0</v>
      </c>
      <c r="J48" s="178">
        <f t="shared" si="35"/>
        <v>0</v>
      </c>
      <c r="K48" s="259"/>
      <c r="L48" s="39"/>
      <c r="M48" s="39"/>
      <c r="N48" s="106">
        <f t="shared" si="36"/>
        <v>0</v>
      </c>
      <c r="O48" s="178">
        <f t="shared" si="1"/>
        <v>0</v>
      </c>
      <c r="P48" s="259"/>
      <c r="Q48" s="39"/>
      <c r="R48" s="39"/>
      <c r="S48" s="106">
        <f t="shared" si="37"/>
        <v>0</v>
      </c>
      <c r="T48" s="178">
        <f t="shared" si="38"/>
        <v>0</v>
      </c>
      <c r="U48" s="259"/>
      <c r="V48" s="39"/>
      <c r="W48" s="39"/>
      <c r="X48" s="106">
        <f t="shared" si="39"/>
        <v>0</v>
      </c>
      <c r="Y48" s="178">
        <f t="shared" si="2"/>
        <v>0</v>
      </c>
      <c r="Z48" s="259"/>
      <c r="AA48" s="39"/>
      <c r="AB48" s="39"/>
      <c r="AC48" s="106">
        <f t="shared" si="40"/>
        <v>0</v>
      </c>
      <c r="AD48" s="178">
        <f t="shared" si="30"/>
        <v>0</v>
      </c>
      <c r="AE48" s="259"/>
      <c r="AF48" s="39"/>
      <c r="AG48" s="39"/>
      <c r="AH48" s="106">
        <f t="shared" si="41"/>
        <v>0</v>
      </c>
      <c r="AI48" s="178">
        <f t="shared" si="31"/>
        <v>0</v>
      </c>
      <c r="AJ48" s="259"/>
      <c r="AK48" s="2043"/>
      <c r="AL48" s="2043"/>
      <c r="AM48" s="2012">
        <f t="shared" si="42"/>
        <v>0</v>
      </c>
      <c r="AN48" s="2044">
        <f t="shared" si="3"/>
        <v>0</v>
      </c>
      <c r="AO48" s="2019"/>
      <c r="AP48" s="2043">
        <f t="shared" si="43"/>
        <v>0</v>
      </c>
      <c r="AQ48" s="2043">
        <f t="shared" si="43"/>
        <v>0</v>
      </c>
      <c r="AR48" s="2012">
        <f t="shared" si="44"/>
        <v>0</v>
      </c>
      <c r="AS48" s="2044">
        <f t="shared" si="32"/>
        <v>0</v>
      </c>
      <c r="AT48" s="1992"/>
    </row>
    <row r="49" spans="1:46" s="2" customFormat="1" ht="14.4" outlineLevel="2" thickBot="1">
      <c r="A49" s="11"/>
      <c r="B49" s="35"/>
      <c r="C49" s="116"/>
      <c r="D49" s="121"/>
      <c r="E49" s="122">
        <f t="shared" si="33"/>
        <v>0</v>
      </c>
      <c r="F49" s="182"/>
      <c r="G49" s="39"/>
      <c r="H49" s="39"/>
      <c r="I49" s="52"/>
      <c r="J49" s="178">
        <f>I49/$I$89</f>
        <v>0</v>
      </c>
      <c r="K49" s="64"/>
      <c r="L49" s="39"/>
      <c r="M49" s="39"/>
      <c r="N49" s="52"/>
      <c r="O49" s="178">
        <f t="shared" si="1"/>
        <v>0</v>
      </c>
      <c r="P49" s="64"/>
      <c r="Q49" s="39"/>
      <c r="R49" s="39"/>
      <c r="S49" s="52"/>
      <c r="T49" s="178">
        <f t="shared" si="28"/>
        <v>0</v>
      </c>
      <c r="U49" s="64"/>
      <c r="V49" s="39"/>
      <c r="W49" s="39"/>
      <c r="X49" s="52"/>
      <c r="Y49" s="178">
        <f t="shared" si="2"/>
        <v>0</v>
      </c>
      <c r="Z49" s="64"/>
      <c r="AA49" s="39"/>
      <c r="AB49" s="39"/>
      <c r="AC49" s="52"/>
      <c r="AD49" s="178">
        <f>AC49/$X$89</f>
        <v>0</v>
      </c>
      <c r="AE49" s="64"/>
      <c r="AF49" s="39"/>
      <c r="AG49" s="39"/>
      <c r="AH49" s="52"/>
      <c r="AI49" s="178">
        <f>AH49/$X$89</f>
        <v>0</v>
      </c>
      <c r="AJ49" s="64"/>
      <c r="AK49" s="2043"/>
      <c r="AL49" s="2043"/>
      <c r="AM49" s="2001"/>
      <c r="AN49" s="2044">
        <f t="shared" si="3"/>
        <v>0</v>
      </c>
      <c r="AO49" s="2008"/>
      <c r="AP49" s="2043">
        <f t="shared" si="43"/>
        <v>0</v>
      </c>
      <c r="AQ49" s="2043">
        <f t="shared" si="43"/>
        <v>0</v>
      </c>
      <c r="AR49" s="2001"/>
      <c r="AS49" s="2044">
        <f t="shared" si="32"/>
        <v>0</v>
      </c>
      <c r="AT49" s="2001"/>
    </row>
    <row r="50" spans="1:46" s="2" customFormat="1" ht="13.8" outlineLevel="1">
      <c r="A50" s="293"/>
      <c r="B50" s="17" t="s">
        <v>59</v>
      </c>
      <c r="C50" s="123">
        <f>SUM(C51:C52)</f>
        <v>0</v>
      </c>
      <c r="D50" s="123">
        <f>SUM(D51:D52)</f>
        <v>0</v>
      </c>
      <c r="E50" s="123">
        <f>SUM(E51:E52)</f>
        <v>0</v>
      </c>
      <c r="F50" s="170">
        <f>E50/$E$89</f>
        <v>0</v>
      </c>
      <c r="G50" s="123">
        <f>G52+G51</f>
        <v>0</v>
      </c>
      <c r="H50" s="123">
        <f>H52+H51</f>
        <v>0</v>
      </c>
      <c r="I50" s="123">
        <f>SUM(I51:I52)</f>
        <v>0</v>
      </c>
      <c r="J50" s="60"/>
      <c r="K50" s="409"/>
      <c r="L50" s="123">
        <f>L52+L51</f>
        <v>0</v>
      </c>
      <c r="M50" s="123">
        <f>M52+M51</f>
        <v>0</v>
      </c>
      <c r="N50" s="123">
        <f>SUM(N51:N52)</f>
        <v>0</v>
      </c>
      <c r="O50" s="169">
        <f t="shared" si="1"/>
        <v>0</v>
      </c>
      <c r="P50" s="409"/>
      <c r="Q50" s="123">
        <f>Q52+Q51</f>
        <v>0</v>
      </c>
      <c r="R50" s="123">
        <f>R52+R51</f>
        <v>0</v>
      </c>
      <c r="S50" s="123">
        <f>SUM(S51:S52)</f>
        <v>0</v>
      </c>
      <c r="T50" s="169">
        <f t="shared" ref="T50:T71" si="45">S50/$S$89</f>
        <v>0</v>
      </c>
      <c r="U50" s="409"/>
      <c r="V50" s="123">
        <f>V52+V51</f>
        <v>0</v>
      </c>
      <c r="W50" s="123">
        <f>W52+W51</f>
        <v>0</v>
      </c>
      <c r="X50" s="123">
        <f>SUM(X51:X52)</f>
        <v>0</v>
      </c>
      <c r="Y50" s="169">
        <f t="shared" si="2"/>
        <v>0</v>
      </c>
      <c r="Z50" s="409"/>
      <c r="AA50" s="123">
        <f>AA52+AA51</f>
        <v>0</v>
      </c>
      <c r="AB50" s="123">
        <f>AB52+AB51</f>
        <v>0</v>
      </c>
      <c r="AC50" s="123">
        <f>SUM(AC51:AC52)</f>
        <v>0</v>
      </c>
      <c r="AD50" s="169">
        <f>AC50/$X$89</f>
        <v>0</v>
      </c>
      <c r="AE50" s="409"/>
      <c r="AF50" s="123">
        <f>AF52+AF51</f>
        <v>0</v>
      </c>
      <c r="AG50" s="123">
        <f>AG52+AG51</f>
        <v>0</v>
      </c>
      <c r="AH50" s="123">
        <f>SUM(AH51:AH52)</f>
        <v>0</v>
      </c>
      <c r="AI50" s="169">
        <f>AH50/$X$89</f>
        <v>0</v>
      </c>
      <c r="AJ50" s="409"/>
      <c r="AK50" s="2015">
        <f>AK52+AK51</f>
        <v>0</v>
      </c>
      <c r="AL50" s="2015">
        <f>AL52+AL51</f>
        <v>0</v>
      </c>
      <c r="AM50" s="2015">
        <f>SUM(AM51:AM52)</f>
        <v>0</v>
      </c>
      <c r="AN50" s="2016">
        <f t="shared" si="3"/>
        <v>0</v>
      </c>
      <c r="AO50" s="2023"/>
      <c r="AP50" s="2015">
        <f>AP52+AP51</f>
        <v>0</v>
      </c>
      <c r="AQ50" s="2015">
        <f>AQ52+AQ51</f>
        <v>0</v>
      </c>
      <c r="AR50" s="2015">
        <f>SUM(AR51:AR52)</f>
        <v>0</v>
      </c>
      <c r="AS50" s="2006"/>
      <c r="AT50" s="2006"/>
    </row>
    <row r="51" spans="1:46" s="226" customFormat="1" ht="13.8" outlineLevel="1">
      <c r="A51" s="234"/>
      <c r="B51" s="18" t="s">
        <v>60</v>
      </c>
      <c r="C51" s="113"/>
      <c r="D51" s="119"/>
      <c r="E51" s="119">
        <f>C51+D51</f>
        <v>0</v>
      </c>
      <c r="F51" s="180">
        <f>E51/$E$89</f>
        <v>0</v>
      </c>
      <c r="G51" s="39"/>
      <c r="H51" s="39"/>
      <c r="I51" s="106">
        <f>G51+H51*1</f>
        <v>0</v>
      </c>
      <c r="J51" s="178">
        <f>I51/$I$89</f>
        <v>0</v>
      </c>
      <c r="K51" s="405"/>
      <c r="L51" s="39"/>
      <c r="M51" s="39"/>
      <c r="N51" s="106">
        <f>L51+M51*1</f>
        <v>0</v>
      </c>
      <c r="O51" s="178">
        <f t="shared" si="1"/>
        <v>0</v>
      </c>
      <c r="P51" s="405"/>
      <c r="Q51" s="39"/>
      <c r="R51" s="39"/>
      <c r="S51" s="106">
        <f>Q51+R51*1</f>
        <v>0</v>
      </c>
      <c r="T51" s="178">
        <f t="shared" si="45"/>
        <v>0</v>
      </c>
      <c r="U51" s="405"/>
      <c r="V51" s="39"/>
      <c r="W51" s="39"/>
      <c r="X51" s="106">
        <f>V51+W51*1</f>
        <v>0</v>
      </c>
      <c r="Y51" s="178">
        <f t="shared" si="2"/>
        <v>0</v>
      </c>
      <c r="Z51" s="405"/>
      <c r="AA51" s="39"/>
      <c r="AB51" s="39"/>
      <c r="AC51" s="106">
        <f>AA51+AB51*1</f>
        <v>0</v>
      </c>
      <c r="AD51" s="178">
        <f>AC51/$X$89</f>
        <v>0</v>
      </c>
      <c r="AE51" s="405"/>
      <c r="AF51" s="39"/>
      <c r="AG51" s="39"/>
      <c r="AH51" s="106">
        <f>AF51+AG51*1</f>
        <v>0</v>
      </c>
      <c r="AI51" s="178">
        <f>AH51/$X$89</f>
        <v>0</v>
      </c>
      <c r="AJ51" s="405"/>
      <c r="AK51" s="2043"/>
      <c r="AL51" s="2043"/>
      <c r="AM51" s="2012">
        <f>AK51+AL51*1</f>
        <v>0</v>
      </c>
      <c r="AN51" s="2044">
        <f t="shared" si="3"/>
        <v>0</v>
      </c>
      <c r="AO51" s="2020"/>
      <c r="AP51" s="2043">
        <f>G51+L51+Q51+V51+AA51+AF51+AK51</f>
        <v>0</v>
      </c>
      <c r="AQ51" s="2043">
        <f>H51+M51+R51+W51+AB51+AG51+AL51</f>
        <v>0</v>
      </c>
      <c r="AR51" s="2012">
        <f>AP51+AQ51</f>
        <v>0</v>
      </c>
      <c r="AS51" s="2044">
        <f>AR51/$AR$89</f>
        <v>0</v>
      </c>
      <c r="AT51" s="1893"/>
    </row>
    <row r="52" spans="1:46" s="235" customFormat="1" ht="13.8" outlineLevel="2">
      <c r="A52" s="234"/>
      <c r="B52" s="18" t="s">
        <v>61</v>
      </c>
      <c r="C52" s="113"/>
      <c r="D52" s="119"/>
      <c r="E52" s="119">
        <f>C52+D52</f>
        <v>0</v>
      </c>
      <c r="F52" s="180">
        <f>E52/$E$89</f>
        <v>0</v>
      </c>
      <c r="G52" s="39"/>
      <c r="H52" s="39"/>
      <c r="I52" s="106">
        <f>G52+H52*1</f>
        <v>0</v>
      </c>
      <c r="J52" s="178">
        <f>I52/$I$89</f>
        <v>0</v>
      </c>
      <c r="K52" s="405"/>
      <c r="L52" s="39"/>
      <c r="M52" s="39"/>
      <c r="N52" s="106">
        <f>L52+M52*1</f>
        <v>0</v>
      </c>
      <c r="O52" s="178">
        <f t="shared" si="1"/>
        <v>0</v>
      </c>
      <c r="P52" s="405"/>
      <c r="Q52" s="39"/>
      <c r="R52" s="39"/>
      <c r="S52" s="106">
        <f>Q52+R52*1</f>
        <v>0</v>
      </c>
      <c r="T52" s="178">
        <f t="shared" si="45"/>
        <v>0</v>
      </c>
      <c r="U52" s="405"/>
      <c r="V52" s="39"/>
      <c r="W52" s="39"/>
      <c r="X52" s="106">
        <f>V52+W52*1</f>
        <v>0</v>
      </c>
      <c r="Y52" s="178">
        <f t="shared" si="2"/>
        <v>0</v>
      </c>
      <c r="Z52" s="405"/>
      <c r="AA52" s="39"/>
      <c r="AB52" s="39"/>
      <c r="AC52" s="106">
        <f>AA52+AB52*1</f>
        <v>0</v>
      </c>
      <c r="AD52" s="178">
        <f>AC52/$X$89</f>
        <v>0</v>
      </c>
      <c r="AE52" s="405"/>
      <c r="AF52" s="39"/>
      <c r="AG52" s="39"/>
      <c r="AH52" s="106">
        <f>AF52+AG52*1</f>
        <v>0</v>
      </c>
      <c r="AI52" s="178">
        <f>AH52/$X$89</f>
        <v>0</v>
      </c>
      <c r="AJ52" s="405"/>
      <c r="AK52" s="2043"/>
      <c r="AL52" s="2043"/>
      <c r="AM52" s="2012">
        <f>AK52+AL52*1</f>
        <v>0</v>
      </c>
      <c r="AN52" s="2044">
        <f t="shared" si="3"/>
        <v>0</v>
      </c>
      <c r="AO52" s="2020"/>
      <c r="AP52" s="2043">
        <f>G52+L52+Q52+V52+AA52+AF52+AK52</f>
        <v>0</v>
      </c>
      <c r="AQ52" s="2043">
        <f>H52+M52+R52+W52+AB52+AG52+AL52</f>
        <v>0</v>
      </c>
      <c r="AR52" s="2012">
        <f>AP52+AQ52</f>
        <v>0</v>
      </c>
      <c r="AS52" s="2044">
        <f>AR52/$AR$89</f>
        <v>0</v>
      </c>
      <c r="AT52" s="1893"/>
    </row>
    <row r="53" spans="1:46" ht="14.4" outlineLevel="1" thickBot="1">
      <c r="A53" s="20"/>
      <c r="B53" s="21"/>
      <c r="C53" s="124"/>
      <c r="D53" s="125"/>
      <c r="E53" s="126"/>
      <c r="F53" s="183"/>
      <c r="G53" s="39"/>
      <c r="H53" s="39"/>
      <c r="I53" s="61"/>
      <c r="J53" s="61"/>
      <c r="K53" s="61"/>
      <c r="L53" s="39"/>
      <c r="M53" s="39"/>
      <c r="N53" s="61"/>
      <c r="O53" s="178">
        <f t="shared" si="1"/>
        <v>0</v>
      </c>
      <c r="P53" s="61"/>
      <c r="Q53" s="39"/>
      <c r="R53" s="39"/>
      <c r="S53" s="61"/>
      <c r="T53" s="178">
        <f t="shared" si="28"/>
        <v>0</v>
      </c>
      <c r="U53" s="61"/>
      <c r="V53" s="39"/>
      <c r="W53" s="39"/>
      <c r="X53" s="61"/>
      <c r="Y53" s="178">
        <f t="shared" si="2"/>
        <v>0</v>
      </c>
      <c r="Z53" s="61"/>
      <c r="AA53" s="39"/>
      <c r="AB53" s="39"/>
      <c r="AC53" s="61"/>
      <c r="AD53" s="178">
        <f>AC53/$X$89</f>
        <v>0</v>
      </c>
      <c r="AE53" s="61"/>
      <c r="AF53" s="39"/>
      <c r="AG53" s="39"/>
      <c r="AH53" s="61"/>
      <c r="AI53" s="178">
        <f>AH53/$X$89</f>
        <v>0</v>
      </c>
      <c r="AJ53" s="61"/>
      <c r="AK53" s="2043"/>
      <c r="AL53" s="2043"/>
      <c r="AM53" s="2007"/>
      <c r="AN53" s="2044">
        <f t="shared" si="3"/>
        <v>0</v>
      </c>
      <c r="AO53" s="2007"/>
      <c r="AP53" s="2043">
        <f>G53</f>
        <v>0</v>
      </c>
      <c r="AQ53" s="2043">
        <f>H53</f>
        <v>0</v>
      </c>
      <c r="AR53" s="2012">
        <f>AP53+AQ53</f>
        <v>0</v>
      </c>
      <c r="AS53" s="2007"/>
      <c r="AT53" s="2007"/>
    </row>
    <row r="54" spans="1:46" ht="13.8" outlineLevel="1">
      <c r="A54" s="236"/>
      <c r="B54" s="17" t="s">
        <v>1</v>
      </c>
      <c r="C54" s="123">
        <f>SUM(C55:C71)</f>
        <v>85008</v>
      </c>
      <c r="D54" s="123">
        <f>SUM(D55:D71)</f>
        <v>27496</v>
      </c>
      <c r="E54" s="127">
        <f>SUM(E55:E71)</f>
        <v>112504</v>
      </c>
      <c r="F54" s="170">
        <f>E54/$E$89</f>
        <v>5.2492365548502389E-2</v>
      </c>
      <c r="G54" s="123">
        <f>SUM(G55:G72)</f>
        <v>5438</v>
      </c>
      <c r="H54" s="123">
        <f>SUM(H55:H72)</f>
        <v>14583</v>
      </c>
      <c r="I54" s="123">
        <f>SUM(I55:I72)</f>
        <v>20021</v>
      </c>
      <c r="J54" s="169">
        <f>I54/$I$89</f>
        <v>0.83214983805328246</v>
      </c>
      <c r="K54" s="409"/>
      <c r="L54" s="123">
        <f>SUM(L55:L72)</f>
        <v>0</v>
      </c>
      <c r="M54" s="123">
        <f>SUM(M55:M72)</f>
        <v>0</v>
      </c>
      <c r="N54" s="123">
        <f>SUM(N55:N72)</f>
        <v>0</v>
      </c>
      <c r="O54" s="169">
        <f t="shared" si="1"/>
        <v>0</v>
      </c>
      <c r="P54" s="409"/>
      <c r="Q54" s="123">
        <f>SUM(Q55:Q72)</f>
        <v>0</v>
      </c>
      <c r="R54" s="123">
        <f>SUM(R55:R72)</f>
        <v>0</v>
      </c>
      <c r="S54" s="123">
        <f>SUM(S55:S72)</f>
        <v>0</v>
      </c>
      <c r="T54" s="169">
        <f t="shared" si="45"/>
        <v>0</v>
      </c>
      <c r="U54" s="409"/>
      <c r="V54" s="123">
        <f>SUM(V55:V72)</f>
        <v>0</v>
      </c>
      <c r="W54" s="123">
        <f>SUM(W55:W72)</f>
        <v>2000</v>
      </c>
      <c r="X54" s="123">
        <f>SUM(X55:X72)</f>
        <v>2000</v>
      </c>
      <c r="Y54" s="169">
        <f t="shared" si="2"/>
        <v>5.553027585935141E-3</v>
      </c>
      <c r="Z54" s="409"/>
      <c r="AA54" s="123">
        <f>SUM(AA55:AA72)</f>
        <v>0</v>
      </c>
      <c r="AB54" s="123">
        <f>SUM(AB55:AB72)</f>
        <v>57</v>
      </c>
      <c r="AC54" s="123">
        <f>SUM(AC55:AC72)</f>
        <v>57</v>
      </c>
      <c r="AD54" s="169">
        <f t="shared" ref="AD54:AD71" si="46">AC54/$AC$89</f>
        <v>1.5774614958253725E-4</v>
      </c>
      <c r="AE54" s="409"/>
      <c r="AF54" s="123">
        <f>SUM(AF55:AF72)</f>
        <v>200</v>
      </c>
      <c r="AG54" s="123">
        <f>SUM(AG55:AG72)</f>
        <v>0</v>
      </c>
      <c r="AH54" s="123">
        <f>SUM(AH55:AH72)</f>
        <v>200</v>
      </c>
      <c r="AI54" s="169">
        <f t="shared" ref="AI54:AI71" si="47">AH54/$AC$89</f>
        <v>5.5349526169311313E-4</v>
      </c>
      <c r="AJ54" s="409"/>
      <c r="AK54" s="2015">
        <f>SUM(AK55:AK72)</f>
        <v>0</v>
      </c>
      <c r="AL54" s="2015">
        <f>SUM(AL55:AL72)</f>
        <v>0</v>
      </c>
      <c r="AM54" s="2015">
        <f>SUM(AM55:AM72)</f>
        <v>0</v>
      </c>
      <c r="AN54" s="2016">
        <f t="shared" si="3"/>
        <v>0</v>
      </c>
      <c r="AO54" s="2023"/>
      <c r="AP54" s="2015">
        <f>SUM(AP55:AP72)</f>
        <v>5638</v>
      </c>
      <c r="AQ54" s="2015">
        <f>SUM(AQ55:AQ72)</f>
        <v>16640</v>
      </c>
      <c r="AR54" s="2015">
        <f>SUM(AR55:AR72)</f>
        <v>22278</v>
      </c>
      <c r="AS54" s="2016">
        <f t="shared" ref="AS54:AS72" si="48">AR54/$AR$89</f>
        <v>9.5312374259492634E-3</v>
      </c>
      <c r="AT54" s="2006"/>
    </row>
    <row r="55" spans="1:46" ht="13.95" customHeight="1" outlineLevel="2">
      <c r="A55" s="237"/>
      <c r="B55" s="19" t="s">
        <v>77</v>
      </c>
      <c r="C55" s="113"/>
      <c r="D55" s="128"/>
      <c r="E55" s="120">
        <f t="shared" ref="E55:E72" si="49">C55+D55</f>
        <v>0</v>
      </c>
      <c r="F55" s="178">
        <f>E55/$E$89</f>
        <v>0</v>
      </c>
      <c r="G55" s="210"/>
      <c r="H55" s="210"/>
      <c r="I55" s="106">
        <f t="shared" ref="I55:I71" si="50">G55+H55*1</f>
        <v>0</v>
      </c>
      <c r="J55" s="178">
        <f t="shared" ref="J55:J72" si="51">I55/$I$89</f>
        <v>0</v>
      </c>
      <c r="K55" s="259"/>
      <c r="L55" s="210"/>
      <c r="M55" s="210"/>
      <c r="N55" s="106">
        <f t="shared" ref="N55:N71" si="52">L55+M55*1</f>
        <v>0</v>
      </c>
      <c r="O55" s="178">
        <f t="shared" si="1"/>
        <v>0</v>
      </c>
      <c r="P55" s="259"/>
      <c r="Q55" s="210"/>
      <c r="R55" s="210"/>
      <c r="S55" s="106">
        <f t="shared" ref="S55:S71" si="53">Q55+R55*1</f>
        <v>0</v>
      </c>
      <c r="T55" s="178">
        <f t="shared" si="45"/>
        <v>0</v>
      </c>
      <c r="U55" s="259"/>
      <c r="V55" s="210"/>
      <c r="W55" s="210"/>
      <c r="X55" s="106">
        <f t="shared" ref="X55:X71" si="54">V55+W55*1</f>
        <v>0</v>
      </c>
      <c r="Y55" s="178">
        <f t="shared" si="2"/>
        <v>0</v>
      </c>
      <c r="Z55" s="259"/>
      <c r="AA55" s="210"/>
      <c r="AB55" s="210"/>
      <c r="AC55" s="106">
        <f t="shared" ref="AC55:AC71" si="55">AA55+AB55*1</f>
        <v>0</v>
      </c>
      <c r="AD55" s="178">
        <f t="shared" si="46"/>
        <v>0</v>
      </c>
      <c r="AE55" s="259"/>
      <c r="AF55" s="210"/>
      <c r="AG55" s="210"/>
      <c r="AH55" s="106">
        <f t="shared" ref="AH55:AH71" si="56">AF55+AG55*1</f>
        <v>0</v>
      </c>
      <c r="AI55" s="178">
        <f t="shared" si="47"/>
        <v>0</v>
      </c>
      <c r="AJ55" s="259"/>
      <c r="AK55" s="2045"/>
      <c r="AL55" s="2045"/>
      <c r="AM55" s="2012">
        <f t="shared" ref="AM55:AM71" si="57">AK55+AL55*1</f>
        <v>0</v>
      </c>
      <c r="AN55" s="2044">
        <f t="shared" si="3"/>
        <v>0</v>
      </c>
      <c r="AO55" s="2019"/>
      <c r="AP55" s="2043">
        <f t="shared" ref="AP55:AQ71" si="58">G55+L55+Q55+V55+AA55+AF55+AK55</f>
        <v>0</v>
      </c>
      <c r="AQ55" s="2043">
        <f t="shared" si="58"/>
        <v>0</v>
      </c>
      <c r="AR55" s="2012">
        <f t="shared" ref="AR55:AR72" si="59">AP55+AQ55</f>
        <v>0</v>
      </c>
      <c r="AS55" s="2044">
        <f t="shared" si="48"/>
        <v>0</v>
      </c>
      <c r="AT55" s="1992"/>
    </row>
    <row r="56" spans="1:46" ht="13.95" customHeight="1" outlineLevel="2">
      <c r="A56" s="237"/>
      <c r="B56" s="19" t="s">
        <v>76</v>
      </c>
      <c r="C56" s="113"/>
      <c r="D56" s="128"/>
      <c r="E56" s="120">
        <f t="shared" si="49"/>
        <v>0</v>
      </c>
      <c r="F56" s="178">
        <f t="shared" ref="F56:F72" si="60">E56/$E$89</f>
        <v>0</v>
      </c>
      <c r="G56" s="210"/>
      <c r="H56" s="210"/>
      <c r="I56" s="106">
        <f t="shared" si="50"/>
        <v>0</v>
      </c>
      <c r="J56" s="178">
        <f t="shared" si="51"/>
        <v>0</v>
      </c>
      <c r="K56" s="421"/>
      <c r="L56" s="210"/>
      <c r="M56" s="210"/>
      <c r="N56" s="106">
        <f t="shared" si="52"/>
        <v>0</v>
      </c>
      <c r="O56" s="178">
        <f t="shared" si="1"/>
        <v>0</v>
      </c>
      <c r="P56" s="421"/>
      <c r="Q56" s="210"/>
      <c r="R56" s="210"/>
      <c r="S56" s="106">
        <f t="shared" si="53"/>
        <v>0</v>
      </c>
      <c r="T56" s="178">
        <f t="shared" si="45"/>
        <v>0</v>
      </c>
      <c r="U56" s="421"/>
      <c r="V56" s="210"/>
      <c r="W56" s="210"/>
      <c r="X56" s="106">
        <f t="shared" si="54"/>
        <v>0</v>
      </c>
      <c r="Y56" s="178">
        <f t="shared" si="2"/>
        <v>0</v>
      </c>
      <c r="Z56" s="421"/>
      <c r="AA56" s="210"/>
      <c r="AB56" s="210"/>
      <c r="AC56" s="106">
        <f t="shared" si="55"/>
        <v>0</v>
      </c>
      <c r="AD56" s="178">
        <f t="shared" si="46"/>
        <v>0</v>
      </c>
      <c r="AE56" s="421"/>
      <c r="AF56" s="210"/>
      <c r="AG56" s="210"/>
      <c r="AH56" s="106">
        <f t="shared" si="56"/>
        <v>0</v>
      </c>
      <c r="AI56" s="178">
        <f t="shared" si="47"/>
        <v>0</v>
      </c>
      <c r="AJ56" s="421"/>
      <c r="AK56" s="2045"/>
      <c r="AL56" s="2045"/>
      <c r="AM56" s="2012">
        <f t="shared" si="57"/>
        <v>0</v>
      </c>
      <c r="AN56" s="2044">
        <f t="shared" si="3"/>
        <v>0</v>
      </c>
      <c r="AO56" s="1977"/>
      <c r="AP56" s="2043">
        <f t="shared" si="58"/>
        <v>0</v>
      </c>
      <c r="AQ56" s="2043">
        <f t="shared" si="58"/>
        <v>0</v>
      </c>
      <c r="AR56" s="2012">
        <f t="shared" si="59"/>
        <v>0</v>
      </c>
      <c r="AS56" s="2044">
        <f t="shared" si="48"/>
        <v>0</v>
      </c>
      <c r="AT56" s="1992"/>
    </row>
    <row r="57" spans="1:46" ht="13.95" customHeight="1" outlineLevel="2">
      <c r="A57" s="237"/>
      <c r="B57" s="19" t="s">
        <v>68</v>
      </c>
      <c r="C57" s="113"/>
      <c r="D57" s="119"/>
      <c r="E57" s="120">
        <f t="shared" si="49"/>
        <v>0</v>
      </c>
      <c r="F57" s="178">
        <f t="shared" si="60"/>
        <v>0</v>
      </c>
      <c r="G57" s="210"/>
      <c r="H57" s="210"/>
      <c r="I57" s="106">
        <f t="shared" si="50"/>
        <v>0</v>
      </c>
      <c r="J57" s="178">
        <f t="shared" si="51"/>
        <v>0</v>
      </c>
      <c r="K57" s="421"/>
      <c r="L57" s="210"/>
      <c r="M57" s="210"/>
      <c r="N57" s="106">
        <f t="shared" si="52"/>
        <v>0</v>
      </c>
      <c r="O57" s="178">
        <f t="shared" si="1"/>
        <v>0</v>
      </c>
      <c r="P57" s="421"/>
      <c r="Q57" s="210"/>
      <c r="R57" s="210"/>
      <c r="S57" s="106">
        <f t="shared" si="53"/>
        <v>0</v>
      </c>
      <c r="T57" s="178">
        <f t="shared" si="45"/>
        <v>0</v>
      </c>
      <c r="U57" s="421"/>
      <c r="V57" s="210"/>
      <c r="W57" s="210"/>
      <c r="X57" s="106">
        <f t="shared" si="54"/>
        <v>0</v>
      </c>
      <c r="Y57" s="178">
        <f t="shared" si="2"/>
        <v>0</v>
      </c>
      <c r="Z57" s="421"/>
      <c r="AA57" s="210"/>
      <c r="AB57" s="210"/>
      <c r="AC57" s="106">
        <f t="shared" si="55"/>
        <v>0</v>
      </c>
      <c r="AD57" s="178">
        <f t="shared" si="46"/>
        <v>0</v>
      </c>
      <c r="AE57" s="421"/>
      <c r="AF57" s="210"/>
      <c r="AG57" s="210"/>
      <c r="AH57" s="106">
        <f t="shared" si="56"/>
        <v>0</v>
      </c>
      <c r="AI57" s="178">
        <f t="shared" si="47"/>
        <v>0</v>
      </c>
      <c r="AJ57" s="421"/>
      <c r="AK57" s="2045"/>
      <c r="AL57" s="2045"/>
      <c r="AM57" s="2012">
        <f t="shared" si="57"/>
        <v>0</v>
      </c>
      <c r="AN57" s="2044">
        <f t="shared" si="3"/>
        <v>0</v>
      </c>
      <c r="AO57" s="1977"/>
      <c r="AP57" s="2043">
        <f t="shared" si="58"/>
        <v>0</v>
      </c>
      <c r="AQ57" s="2043">
        <f t="shared" si="58"/>
        <v>0</v>
      </c>
      <c r="AR57" s="2012">
        <f t="shared" si="59"/>
        <v>0</v>
      </c>
      <c r="AS57" s="2044">
        <f t="shared" si="48"/>
        <v>0</v>
      </c>
      <c r="AT57" s="1992"/>
    </row>
    <row r="58" spans="1:46" ht="14.4" customHeight="1" outlineLevel="2">
      <c r="A58" s="237"/>
      <c r="B58" s="19" t="s">
        <v>67</v>
      </c>
      <c r="C58" s="113">
        <v>42504</v>
      </c>
      <c r="D58" s="119">
        <v>27496</v>
      </c>
      <c r="E58" s="120">
        <f t="shared" si="49"/>
        <v>70000</v>
      </c>
      <c r="F58" s="178">
        <f t="shared" si="60"/>
        <v>3.2660755069998999E-2</v>
      </c>
      <c r="G58" s="210"/>
      <c r="H58" s="210">
        <v>14583</v>
      </c>
      <c r="I58" s="106">
        <f t="shared" si="50"/>
        <v>14583</v>
      </c>
      <c r="J58" s="178">
        <f t="shared" si="51"/>
        <v>0.60612562251291235</v>
      </c>
      <c r="K58" s="430"/>
      <c r="L58" s="210"/>
      <c r="M58" s="210"/>
      <c r="N58" s="106">
        <f t="shared" si="52"/>
        <v>0</v>
      </c>
      <c r="O58" s="178">
        <f t="shared" si="1"/>
        <v>0</v>
      </c>
      <c r="P58" s="430"/>
      <c r="Q58" s="210"/>
      <c r="R58" s="210"/>
      <c r="S58" s="106">
        <f t="shared" si="53"/>
        <v>0</v>
      </c>
      <c r="T58" s="178">
        <f t="shared" si="45"/>
        <v>0</v>
      </c>
      <c r="U58" s="430"/>
      <c r="V58" s="210"/>
      <c r="W58" s="210"/>
      <c r="X58" s="106">
        <f t="shared" si="54"/>
        <v>0</v>
      </c>
      <c r="Y58" s="178">
        <f t="shared" si="2"/>
        <v>0</v>
      </c>
      <c r="Z58" s="430"/>
      <c r="AA58" s="210"/>
      <c r="AB58" s="210"/>
      <c r="AC58" s="106">
        <f t="shared" si="55"/>
        <v>0</v>
      </c>
      <c r="AD58" s="178">
        <f t="shared" si="46"/>
        <v>0</v>
      </c>
      <c r="AE58" s="430"/>
      <c r="AF58" s="210"/>
      <c r="AG58" s="210"/>
      <c r="AH58" s="106">
        <f t="shared" si="56"/>
        <v>0</v>
      </c>
      <c r="AI58" s="178">
        <f t="shared" si="47"/>
        <v>0</v>
      </c>
      <c r="AJ58" s="430"/>
      <c r="AK58" s="2045"/>
      <c r="AL58" s="2045"/>
      <c r="AM58" s="2012">
        <f t="shared" si="57"/>
        <v>0</v>
      </c>
      <c r="AN58" s="2044">
        <f t="shared" si="3"/>
        <v>0</v>
      </c>
      <c r="AO58" s="1978"/>
      <c r="AP58" s="2043">
        <f t="shared" si="58"/>
        <v>0</v>
      </c>
      <c r="AQ58" s="2043">
        <f t="shared" si="58"/>
        <v>14583</v>
      </c>
      <c r="AR58" s="2012">
        <f t="shared" si="59"/>
        <v>14583</v>
      </c>
      <c r="AS58" s="2044">
        <f t="shared" si="48"/>
        <v>6.2390715226958481E-3</v>
      </c>
      <c r="AT58" s="1992"/>
    </row>
    <row r="59" spans="1:46" ht="14.4" customHeight="1" outlineLevel="2">
      <c r="A59" s="237"/>
      <c r="B59" s="19" t="s">
        <v>66</v>
      </c>
      <c r="C59" s="113">
        <v>10296</v>
      </c>
      <c r="D59" s="119"/>
      <c r="E59" s="120">
        <f t="shared" si="49"/>
        <v>10296</v>
      </c>
      <c r="F59" s="178">
        <f t="shared" si="60"/>
        <v>4.8039304885815664E-3</v>
      </c>
      <c r="G59" s="210">
        <v>1287</v>
      </c>
      <c r="H59" s="210"/>
      <c r="I59" s="106">
        <f t="shared" si="50"/>
        <v>1287</v>
      </c>
      <c r="J59" s="178">
        <f t="shared" si="51"/>
        <v>5.3492674770219996E-2</v>
      </c>
      <c r="K59" s="431" t="s">
        <v>779</v>
      </c>
      <c r="L59" s="210"/>
      <c r="M59" s="210"/>
      <c r="N59" s="106">
        <f t="shared" si="52"/>
        <v>0</v>
      </c>
      <c r="O59" s="178">
        <f t="shared" si="1"/>
        <v>0</v>
      </c>
      <c r="P59" s="421"/>
      <c r="Q59" s="210"/>
      <c r="R59" s="210"/>
      <c r="S59" s="106">
        <f t="shared" si="53"/>
        <v>0</v>
      </c>
      <c r="T59" s="178">
        <f t="shared" si="45"/>
        <v>0</v>
      </c>
      <c r="U59" s="421"/>
      <c r="V59" s="210"/>
      <c r="W59" s="210"/>
      <c r="X59" s="106">
        <f t="shared" si="54"/>
        <v>0</v>
      </c>
      <c r="Y59" s="178">
        <f t="shared" si="2"/>
        <v>0</v>
      </c>
      <c r="Z59" s="421"/>
      <c r="AA59" s="210"/>
      <c r="AB59" s="210"/>
      <c r="AC59" s="106">
        <f t="shared" si="55"/>
        <v>0</v>
      </c>
      <c r="AD59" s="178">
        <f t="shared" si="46"/>
        <v>0</v>
      </c>
      <c r="AE59" s="421"/>
      <c r="AF59" s="210"/>
      <c r="AG59" s="210"/>
      <c r="AH59" s="106">
        <f t="shared" si="56"/>
        <v>0</v>
      </c>
      <c r="AI59" s="178">
        <f t="shared" si="47"/>
        <v>0</v>
      </c>
      <c r="AJ59" s="421"/>
      <c r="AK59" s="2045"/>
      <c r="AL59" s="2045"/>
      <c r="AM59" s="2012">
        <f t="shared" si="57"/>
        <v>0</v>
      </c>
      <c r="AN59" s="2044">
        <f t="shared" si="3"/>
        <v>0</v>
      </c>
      <c r="AO59" s="1977"/>
      <c r="AP59" s="2043">
        <f t="shared" si="58"/>
        <v>1287</v>
      </c>
      <c r="AQ59" s="2043">
        <f t="shared" si="58"/>
        <v>0</v>
      </c>
      <c r="AR59" s="2012">
        <f t="shared" si="59"/>
        <v>1287</v>
      </c>
      <c r="AS59" s="2044">
        <f t="shared" si="48"/>
        <v>5.506195604271794E-4</v>
      </c>
      <c r="AT59" s="1992"/>
    </row>
    <row r="60" spans="1:46" ht="14.4" customHeight="1" outlineLevel="2">
      <c r="A60" s="237"/>
      <c r="B60" s="19" t="s">
        <v>65</v>
      </c>
      <c r="C60" s="113">
        <v>11616</v>
      </c>
      <c r="D60" s="119"/>
      <c r="E60" s="120">
        <f t="shared" si="49"/>
        <v>11616</v>
      </c>
      <c r="F60" s="178">
        <f t="shared" si="60"/>
        <v>5.419819012758691E-3</v>
      </c>
      <c r="G60" s="210">
        <v>1452</v>
      </c>
      <c r="H60" s="210"/>
      <c r="I60" s="106">
        <f t="shared" si="50"/>
        <v>1452</v>
      </c>
      <c r="J60" s="178">
        <f t="shared" si="51"/>
        <v>6.0350709997171278E-2</v>
      </c>
      <c r="K60" s="421"/>
      <c r="L60" s="210"/>
      <c r="M60" s="210"/>
      <c r="N60" s="106">
        <f t="shared" si="52"/>
        <v>0</v>
      </c>
      <c r="O60" s="178">
        <f t="shared" si="1"/>
        <v>0</v>
      </c>
      <c r="P60" s="421"/>
      <c r="Q60" s="210"/>
      <c r="R60" s="210"/>
      <c r="S60" s="106">
        <f t="shared" si="53"/>
        <v>0</v>
      </c>
      <c r="T60" s="178">
        <f t="shared" si="45"/>
        <v>0</v>
      </c>
      <c r="U60" s="421"/>
      <c r="V60" s="210"/>
      <c r="W60" s="210"/>
      <c r="X60" s="106">
        <f t="shared" si="54"/>
        <v>0</v>
      </c>
      <c r="Y60" s="178">
        <f t="shared" si="2"/>
        <v>0</v>
      </c>
      <c r="Z60" s="421"/>
      <c r="AA60" s="210"/>
      <c r="AB60" s="210"/>
      <c r="AC60" s="106">
        <f t="shared" si="55"/>
        <v>0</v>
      </c>
      <c r="AD60" s="178">
        <f t="shared" si="46"/>
        <v>0</v>
      </c>
      <c r="AE60" s="421"/>
      <c r="AF60" s="210"/>
      <c r="AG60" s="210"/>
      <c r="AH60" s="106">
        <f t="shared" si="56"/>
        <v>0</v>
      </c>
      <c r="AI60" s="178">
        <f t="shared" si="47"/>
        <v>0</v>
      </c>
      <c r="AJ60" s="421"/>
      <c r="AK60" s="2045"/>
      <c r="AL60" s="2045"/>
      <c r="AM60" s="2012">
        <f t="shared" si="57"/>
        <v>0</v>
      </c>
      <c r="AN60" s="2044">
        <f t="shared" si="3"/>
        <v>0</v>
      </c>
      <c r="AO60" s="1977"/>
      <c r="AP60" s="2043">
        <f t="shared" si="58"/>
        <v>1452</v>
      </c>
      <c r="AQ60" s="2043">
        <f t="shared" si="58"/>
        <v>0</v>
      </c>
      <c r="AR60" s="2012">
        <f t="shared" si="59"/>
        <v>1452</v>
      </c>
      <c r="AS60" s="2044">
        <f t="shared" si="48"/>
        <v>6.2121181176399726E-4</v>
      </c>
      <c r="AT60" s="1992"/>
    </row>
    <row r="61" spans="1:46" ht="13.95" customHeight="1" outlineLevel="2">
      <c r="A61" s="237"/>
      <c r="B61" s="19" t="s">
        <v>32</v>
      </c>
      <c r="C61" s="113"/>
      <c r="D61" s="119"/>
      <c r="E61" s="120">
        <f t="shared" si="49"/>
        <v>0</v>
      </c>
      <c r="F61" s="178">
        <f t="shared" si="60"/>
        <v>0</v>
      </c>
      <c r="G61" s="210"/>
      <c r="H61" s="210"/>
      <c r="I61" s="106">
        <f t="shared" si="50"/>
        <v>0</v>
      </c>
      <c r="J61" s="178">
        <f t="shared" si="51"/>
        <v>0</v>
      </c>
      <c r="K61" s="421"/>
      <c r="L61" s="210"/>
      <c r="M61" s="210"/>
      <c r="N61" s="106">
        <f t="shared" si="52"/>
        <v>0</v>
      </c>
      <c r="O61" s="178">
        <f t="shared" si="1"/>
        <v>0</v>
      </c>
      <c r="P61" s="421"/>
      <c r="Q61" s="210"/>
      <c r="R61" s="210"/>
      <c r="S61" s="106">
        <f t="shared" si="53"/>
        <v>0</v>
      </c>
      <c r="T61" s="178">
        <f t="shared" si="45"/>
        <v>0</v>
      </c>
      <c r="U61" s="421"/>
      <c r="V61" s="210"/>
      <c r="W61" s="210"/>
      <c r="X61" s="106">
        <f t="shared" si="54"/>
        <v>0</v>
      </c>
      <c r="Y61" s="178">
        <f t="shared" si="2"/>
        <v>0</v>
      </c>
      <c r="Z61" s="421"/>
      <c r="AA61" s="210"/>
      <c r="AB61" s="210"/>
      <c r="AC61" s="106">
        <f t="shared" si="55"/>
        <v>0</v>
      </c>
      <c r="AD61" s="178">
        <f t="shared" si="46"/>
        <v>0</v>
      </c>
      <c r="AE61" s="421"/>
      <c r="AF61" s="210"/>
      <c r="AG61" s="210"/>
      <c r="AH61" s="106">
        <f t="shared" si="56"/>
        <v>0</v>
      </c>
      <c r="AI61" s="178">
        <f t="shared" si="47"/>
        <v>0</v>
      </c>
      <c r="AJ61" s="421"/>
      <c r="AK61" s="2045"/>
      <c r="AL61" s="2045"/>
      <c r="AM61" s="2012">
        <f t="shared" si="57"/>
        <v>0</v>
      </c>
      <c r="AN61" s="2044">
        <f t="shared" si="3"/>
        <v>0</v>
      </c>
      <c r="AO61" s="1977"/>
      <c r="AP61" s="2043">
        <f t="shared" si="58"/>
        <v>0</v>
      </c>
      <c r="AQ61" s="2043">
        <f t="shared" si="58"/>
        <v>0</v>
      </c>
      <c r="AR61" s="2012">
        <f t="shared" si="59"/>
        <v>0</v>
      </c>
      <c r="AS61" s="2044">
        <f t="shared" si="48"/>
        <v>0</v>
      </c>
      <c r="AT61" s="1992"/>
    </row>
    <row r="62" spans="1:46" ht="30.6" customHeight="1" outlineLevel="2">
      <c r="A62" s="237"/>
      <c r="B62" s="19" t="s">
        <v>33</v>
      </c>
      <c r="C62" s="113"/>
      <c r="D62" s="119"/>
      <c r="E62" s="120">
        <f t="shared" si="49"/>
        <v>0</v>
      </c>
      <c r="F62" s="178">
        <f t="shared" si="60"/>
        <v>0</v>
      </c>
      <c r="G62" s="210"/>
      <c r="H62" s="210"/>
      <c r="I62" s="106">
        <f t="shared" si="50"/>
        <v>0</v>
      </c>
      <c r="J62" s="178">
        <f t="shared" si="51"/>
        <v>0</v>
      </c>
      <c r="K62" s="421"/>
      <c r="L62" s="210"/>
      <c r="M62" s="210"/>
      <c r="N62" s="106">
        <f t="shared" si="52"/>
        <v>0</v>
      </c>
      <c r="O62" s="178">
        <f t="shared" si="1"/>
        <v>0</v>
      </c>
      <c r="P62" s="421"/>
      <c r="Q62" s="210"/>
      <c r="R62" s="210"/>
      <c r="S62" s="106">
        <f t="shared" si="53"/>
        <v>0</v>
      </c>
      <c r="T62" s="178">
        <f t="shared" si="45"/>
        <v>0</v>
      </c>
      <c r="U62" s="421"/>
      <c r="V62" s="210"/>
      <c r="W62" s="210"/>
      <c r="X62" s="106">
        <f t="shared" si="54"/>
        <v>0</v>
      </c>
      <c r="Y62" s="178">
        <f t="shared" si="2"/>
        <v>0</v>
      </c>
      <c r="Z62" s="421"/>
      <c r="AA62" s="210"/>
      <c r="AB62" s="210"/>
      <c r="AC62" s="106">
        <f t="shared" si="55"/>
        <v>0</v>
      </c>
      <c r="AD62" s="178">
        <f t="shared" si="46"/>
        <v>0</v>
      </c>
      <c r="AE62" s="421"/>
      <c r="AF62" s="210"/>
      <c r="AG62" s="210"/>
      <c r="AH62" s="106">
        <f t="shared" si="56"/>
        <v>0</v>
      </c>
      <c r="AI62" s="178">
        <f t="shared" si="47"/>
        <v>0</v>
      </c>
      <c r="AJ62" s="421"/>
      <c r="AK62" s="2045"/>
      <c r="AL62" s="2045"/>
      <c r="AM62" s="2012">
        <f t="shared" si="57"/>
        <v>0</v>
      </c>
      <c r="AN62" s="2044">
        <f t="shared" si="3"/>
        <v>0</v>
      </c>
      <c r="AO62" s="1977"/>
      <c r="AP62" s="2043">
        <f t="shared" si="58"/>
        <v>0</v>
      </c>
      <c r="AQ62" s="2043">
        <f t="shared" si="58"/>
        <v>0</v>
      </c>
      <c r="AR62" s="2012">
        <f t="shared" si="59"/>
        <v>0</v>
      </c>
      <c r="AS62" s="2044">
        <f t="shared" si="48"/>
        <v>0</v>
      </c>
      <c r="AT62" s="1992"/>
    </row>
    <row r="63" spans="1:46" ht="13.8" outlineLevel="2">
      <c r="A63" s="237"/>
      <c r="B63" s="19" t="s">
        <v>35</v>
      </c>
      <c r="C63" s="113">
        <v>20592</v>
      </c>
      <c r="D63" s="119"/>
      <c r="E63" s="120">
        <f t="shared" si="49"/>
        <v>20592</v>
      </c>
      <c r="F63" s="178">
        <f t="shared" si="60"/>
        <v>9.6078609771631327E-3</v>
      </c>
      <c r="G63" s="210">
        <v>2699</v>
      </c>
      <c r="H63" s="210"/>
      <c r="I63" s="106">
        <f t="shared" si="50"/>
        <v>2699</v>
      </c>
      <c r="J63" s="178">
        <f t="shared" si="51"/>
        <v>0.11218083077297884</v>
      </c>
      <c r="K63" s="431" t="s">
        <v>780</v>
      </c>
      <c r="L63" s="210"/>
      <c r="M63" s="210"/>
      <c r="N63" s="106">
        <f t="shared" si="52"/>
        <v>0</v>
      </c>
      <c r="O63" s="178">
        <f t="shared" si="1"/>
        <v>0</v>
      </c>
      <c r="P63" s="431"/>
      <c r="Q63" s="210"/>
      <c r="R63" s="210"/>
      <c r="S63" s="106">
        <f t="shared" si="53"/>
        <v>0</v>
      </c>
      <c r="T63" s="178">
        <f t="shared" si="45"/>
        <v>0</v>
      </c>
      <c r="U63" s="431"/>
      <c r="V63" s="210"/>
      <c r="W63" s="210"/>
      <c r="X63" s="106">
        <f t="shared" si="54"/>
        <v>0</v>
      </c>
      <c r="Y63" s="178">
        <f t="shared" si="2"/>
        <v>0</v>
      </c>
      <c r="Z63" s="441"/>
      <c r="AA63" s="210"/>
      <c r="AB63" s="210"/>
      <c r="AC63" s="106">
        <f t="shared" si="55"/>
        <v>0</v>
      </c>
      <c r="AD63" s="178">
        <f t="shared" si="46"/>
        <v>0</v>
      </c>
      <c r="AE63" s="441"/>
      <c r="AF63" s="210"/>
      <c r="AG63" s="210"/>
      <c r="AH63" s="106">
        <f t="shared" si="56"/>
        <v>0</v>
      </c>
      <c r="AI63" s="178">
        <f t="shared" si="47"/>
        <v>0</v>
      </c>
      <c r="AJ63" s="441"/>
      <c r="AK63" s="2045"/>
      <c r="AL63" s="2045"/>
      <c r="AM63" s="2012">
        <f t="shared" si="57"/>
        <v>0</v>
      </c>
      <c r="AN63" s="2044">
        <f t="shared" si="3"/>
        <v>0</v>
      </c>
      <c r="AO63" s="1941"/>
      <c r="AP63" s="2043">
        <f t="shared" si="58"/>
        <v>2699</v>
      </c>
      <c r="AQ63" s="2043">
        <f t="shared" si="58"/>
        <v>0</v>
      </c>
      <c r="AR63" s="2012">
        <f t="shared" si="59"/>
        <v>2699</v>
      </c>
      <c r="AS63" s="2044">
        <f t="shared" si="48"/>
        <v>1.1547180991398269E-3</v>
      </c>
      <c r="AT63" s="1992"/>
    </row>
    <row r="64" spans="1:46" ht="31.2" customHeight="1" outlineLevel="2">
      <c r="A64" s="237"/>
      <c r="B64" s="19" t="s">
        <v>63</v>
      </c>
      <c r="C64" s="113"/>
      <c r="D64" s="119"/>
      <c r="E64" s="120">
        <f t="shared" si="49"/>
        <v>0</v>
      </c>
      <c r="F64" s="178">
        <f t="shared" si="60"/>
        <v>0</v>
      </c>
      <c r="G64" s="210"/>
      <c r="H64" s="210"/>
      <c r="I64" s="106">
        <f t="shared" si="50"/>
        <v>0</v>
      </c>
      <c r="J64" s="178">
        <f t="shared" si="51"/>
        <v>0</v>
      </c>
      <c r="K64" s="431"/>
      <c r="L64" s="210"/>
      <c r="M64" s="210"/>
      <c r="N64" s="106">
        <f t="shared" si="52"/>
        <v>0</v>
      </c>
      <c r="O64" s="178">
        <f t="shared" si="1"/>
        <v>0</v>
      </c>
      <c r="P64" s="431"/>
      <c r="Q64" s="210"/>
      <c r="R64" s="210"/>
      <c r="S64" s="106">
        <f t="shared" si="53"/>
        <v>0</v>
      </c>
      <c r="T64" s="178">
        <f t="shared" si="45"/>
        <v>0</v>
      </c>
      <c r="U64" s="431"/>
      <c r="V64" s="210"/>
      <c r="W64" s="210"/>
      <c r="X64" s="106">
        <f t="shared" si="54"/>
        <v>0</v>
      </c>
      <c r="Y64" s="178">
        <f t="shared" si="2"/>
        <v>0</v>
      </c>
      <c r="Z64" s="441"/>
      <c r="AA64" s="210"/>
      <c r="AB64" s="210"/>
      <c r="AC64" s="106">
        <f t="shared" si="55"/>
        <v>0</v>
      </c>
      <c r="AD64" s="178">
        <f t="shared" si="46"/>
        <v>0</v>
      </c>
      <c r="AE64" s="441"/>
      <c r="AF64" s="210"/>
      <c r="AG64" s="210"/>
      <c r="AH64" s="106">
        <f t="shared" si="56"/>
        <v>0</v>
      </c>
      <c r="AI64" s="178">
        <f t="shared" si="47"/>
        <v>0</v>
      </c>
      <c r="AJ64" s="441"/>
      <c r="AK64" s="2045"/>
      <c r="AL64" s="2045"/>
      <c r="AM64" s="2012">
        <f t="shared" si="57"/>
        <v>0</v>
      </c>
      <c r="AN64" s="2044">
        <f t="shared" si="3"/>
        <v>0</v>
      </c>
      <c r="AO64" s="1941"/>
      <c r="AP64" s="2043">
        <f t="shared" si="58"/>
        <v>0</v>
      </c>
      <c r="AQ64" s="2043">
        <f t="shared" si="58"/>
        <v>0</v>
      </c>
      <c r="AR64" s="2012">
        <f t="shared" si="59"/>
        <v>0</v>
      </c>
      <c r="AS64" s="2044">
        <f t="shared" si="48"/>
        <v>0</v>
      </c>
      <c r="AT64" s="1992"/>
    </row>
    <row r="65" spans="1:46" ht="13.8" outlineLevel="2">
      <c r="A65" s="237"/>
      <c r="B65" s="19" t="s">
        <v>36</v>
      </c>
      <c r="C65" s="113"/>
      <c r="D65" s="119"/>
      <c r="E65" s="120">
        <f t="shared" si="49"/>
        <v>0</v>
      </c>
      <c r="F65" s="178">
        <f t="shared" si="60"/>
        <v>0</v>
      </c>
      <c r="G65" s="39"/>
      <c r="H65" s="39"/>
      <c r="I65" s="106">
        <f t="shared" si="50"/>
        <v>0</v>
      </c>
      <c r="J65" s="178">
        <f t="shared" si="51"/>
        <v>0</v>
      </c>
      <c r="K65" s="388"/>
      <c r="L65" s="39"/>
      <c r="M65" s="39"/>
      <c r="N65" s="106">
        <f t="shared" si="52"/>
        <v>0</v>
      </c>
      <c r="O65" s="178">
        <f t="shared" si="1"/>
        <v>0</v>
      </c>
      <c r="P65" s="388"/>
      <c r="Q65" s="39"/>
      <c r="R65" s="39"/>
      <c r="S65" s="106">
        <f t="shared" si="53"/>
        <v>0</v>
      </c>
      <c r="T65" s="178">
        <f t="shared" si="45"/>
        <v>0</v>
      </c>
      <c r="U65" s="388"/>
      <c r="V65" s="39"/>
      <c r="W65" s="39">
        <v>2000</v>
      </c>
      <c r="X65" s="106">
        <f t="shared" si="54"/>
        <v>2000</v>
      </c>
      <c r="Y65" s="178">
        <f t="shared" si="2"/>
        <v>5.553027585935141E-3</v>
      </c>
      <c r="Z65" s="388" t="s">
        <v>849</v>
      </c>
      <c r="AA65" s="39"/>
      <c r="AB65" s="39"/>
      <c r="AC65" s="106">
        <f t="shared" si="55"/>
        <v>0</v>
      </c>
      <c r="AD65" s="178">
        <f t="shared" si="46"/>
        <v>0</v>
      </c>
      <c r="AE65" s="388"/>
      <c r="AF65" s="39">
        <v>200</v>
      </c>
      <c r="AG65" s="39"/>
      <c r="AH65" s="106">
        <f t="shared" si="56"/>
        <v>200</v>
      </c>
      <c r="AI65" s="178">
        <f t="shared" si="47"/>
        <v>5.5349526169311313E-4</v>
      </c>
      <c r="AJ65" s="388"/>
      <c r="AK65" s="2043"/>
      <c r="AL65" s="2043"/>
      <c r="AM65" s="2012">
        <f t="shared" si="57"/>
        <v>0</v>
      </c>
      <c r="AN65" s="2044">
        <f t="shared" si="3"/>
        <v>0</v>
      </c>
      <c r="AO65" s="2046"/>
      <c r="AP65" s="2043">
        <f t="shared" si="58"/>
        <v>200</v>
      </c>
      <c r="AQ65" s="2043">
        <f t="shared" si="58"/>
        <v>2000</v>
      </c>
      <c r="AR65" s="2012">
        <f t="shared" si="59"/>
        <v>2200</v>
      </c>
      <c r="AS65" s="2044">
        <f t="shared" si="48"/>
        <v>9.4123001782423822E-4</v>
      </c>
      <c r="AT65" s="1992"/>
    </row>
    <row r="66" spans="1:46" s="2" customFormat="1" ht="13.95" customHeight="1" outlineLevel="2">
      <c r="A66" s="237"/>
      <c r="B66" s="19" t="s">
        <v>37</v>
      </c>
      <c r="C66" s="113"/>
      <c r="D66" s="119"/>
      <c r="E66" s="120">
        <f t="shared" si="49"/>
        <v>0</v>
      </c>
      <c r="F66" s="178">
        <f t="shared" si="60"/>
        <v>0</v>
      </c>
      <c r="G66" s="39"/>
      <c r="H66" s="39"/>
      <c r="I66" s="106">
        <f t="shared" si="50"/>
        <v>0</v>
      </c>
      <c r="J66" s="178">
        <f t="shared" si="51"/>
        <v>0</v>
      </c>
      <c r="K66" s="79"/>
      <c r="L66" s="39"/>
      <c r="M66" s="39"/>
      <c r="N66" s="106">
        <f t="shared" si="52"/>
        <v>0</v>
      </c>
      <c r="O66" s="178">
        <f t="shared" si="1"/>
        <v>0</v>
      </c>
      <c r="P66" s="79"/>
      <c r="Q66" s="39"/>
      <c r="R66" s="39"/>
      <c r="S66" s="106">
        <f t="shared" si="53"/>
        <v>0</v>
      </c>
      <c r="T66" s="178">
        <f t="shared" si="45"/>
        <v>0</v>
      </c>
      <c r="U66" s="79"/>
      <c r="V66" s="39"/>
      <c r="W66" s="39"/>
      <c r="X66" s="106">
        <f t="shared" si="54"/>
        <v>0</v>
      </c>
      <c r="Y66" s="178">
        <f t="shared" si="2"/>
        <v>0</v>
      </c>
      <c r="Z66" s="389"/>
      <c r="AA66" s="39"/>
      <c r="AB66" s="39"/>
      <c r="AC66" s="106">
        <f t="shared" si="55"/>
        <v>0</v>
      </c>
      <c r="AD66" s="178">
        <f t="shared" si="46"/>
        <v>0</v>
      </c>
      <c r="AE66" s="389"/>
      <c r="AF66" s="39"/>
      <c r="AG66" s="39"/>
      <c r="AH66" s="106">
        <f t="shared" si="56"/>
        <v>0</v>
      </c>
      <c r="AI66" s="178">
        <f t="shared" si="47"/>
        <v>0</v>
      </c>
      <c r="AJ66" s="389"/>
      <c r="AK66" s="2043"/>
      <c r="AL66" s="2043"/>
      <c r="AM66" s="2012">
        <f t="shared" si="57"/>
        <v>0</v>
      </c>
      <c r="AN66" s="2044">
        <f t="shared" si="3"/>
        <v>0</v>
      </c>
      <c r="AO66" s="1942"/>
      <c r="AP66" s="2043">
        <f t="shared" si="58"/>
        <v>0</v>
      </c>
      <c r="AQ66" s="2043">
        <f t="shared" si="58"/>
        <v>0</v>
      </c>
      <c r="AR66" s="2012">
        <f t="shared" si="59"/>
        <v>0</v>
      </c>
      <c r="AS66" s="2044">
        <f t="shared" si="48"/>
        <v>0</v>
      </c>
      <c r="AT66" s="1992"/>
    </row>
    <row r="67" spans="1:46" s="2" customFormat="1" ht="102" customHeight="1" outlineLevel="2">
      <c r="A67" s="237"/>
      <c r="B67" s="19" t="s">
        <v>3</v>
      </c>
      <c r="C67" s="113"/>
      <c r="D67" s="128"/>
      <c r="E67" s="120">
        <f t="shared" si="49"/>
        <v>0</v>
      </c>
      <c r="F67" s="178">
        <f t="shared" si="60"/>
        <v>0</v>
      </c>
      <c r="G67" s="39"/>
      <c r="H67" s="39"/>
      <c r="I67" s="106">
        <f t="shared" si="50"/>
        <v>0</v>
      </c>
      <c r="J67" s="178">
        <f t="shared" si="51"/>
        <v>0</v>
      </c>
      <c r="K67" s="79"/>
      <c r="L67" s="39"/>
      <c r="M67" s="39"/>
      <c r="N67" s="106">
        <f t="shared" si="52"/>
        <v>0</v>
      </c>
      <c r="O67" s="178">
        <f t="shared" si="1"/>
        <v>0</v>
      </c>
      <c r="P67" s="79"/>
      <c r="Q67" s="39"/>
      <c r="R67" s="39"/>
      <c r="S67" s="106">
        <f t="shared" si="53"/>
        <v>0</v>
      </c>
      <c r="T67" s="178">
        <f t="shared" si="45"/>
        <v>0</v>
      </c>
      <c r="U67" s="79"/>
      <c r="V67" s="39"/>
      <c r="W67" s="39"/>
      <c r="X67" s="106">
        <f t="shared" si="54"/>
        <v>0</v>
      </c>
      <c r="Y67" s="178">
        <f t="shared" si="2"/>
        <v>0</v>
      </c>
      <c r="Z67" s="389"/>
      <c r="AA67" s="39"/>
      <c r="AB67" s="39"/>
      <c r="AC67" s="106">
        <f t="shared" si="55"/>
        <v>0</v>
      </c>
      <c r="AD67" s="178">
        <f t="shared" si="46"/>
        <v>0</v>
      </c>
      <c r="AE67" s="389"/>
      <c r="AF67" s="39"/>
      <c r="AG67" s="39"/>
      <c r="AH67" s="106">
        <f t="shared" si="56"/>
        <v>0</v>
      </c>
      <c r="AI67" s="178">
        <f t="shared" si="47"/>
        <v>0</v>
      </c>
      <c r="AJ67" s="389"/>
      <c r="AK67" s="2043"/>
      <c r="AL67" s="2043"/>
      <c r="AM67" s="2012">
        <f t="shared" si="57"/>
        <v>0</v>
      </c>
      <c r="AN67" s="2044">
        <f t="shared" si="3"/>
        <v>0</v>
      </c>
      <c r="AO67" s="1942"/>
      <c r="AP67" s="2043">
        <f t="shared" si="58"/>
        <v>0</v>
      </c>
      <c r="AQ67" s="2043">
        <f t="shared" si="58"/>
        <v>0</v>
      </c>
      <c r="AR67" s="2012">
        <f t="shared" si="59"/>
        <v>0</v>
      </c>
      <c r="AS67" s="2044">
        <f t="shared" si="48"/>
        <v>0</v>
      </c>
      <c r="AT67" s="1992"/>
    </row>
    <row r="68" spans="1:46" s="2" customFormat="1" ht="13.95" customHeight="1" outlineLevel="2">
      <c r="A68" s="237"/>
      <c r="B68" s="19" t="s">
        <v>5</v>
      </c>
      <c r="C68" s="113"/>
      <c r="D68" s="128"/>
      <c r="E68" s="120">
        <f t="shared" si="49"/>
        <v>0</v>
      </c>
      <c r="F68" s="178">
        <f t="shared" si="60"/>
        <v>0</v>
      </c>
      <c r="G68" s="39"/>
      <c r="H68" s="39"/>
      <c r="I68" s="106">
        <f t="shared" si="50"/>
        <v>0</v>
      </c>
      <c r="J68" s="178">
        <f t="shared" si="51"/>
        <v>0</v>
      </c>
      <c r="K68" s="79"/>
      <c r="L68" s="39"/>
      <c r="M68" s="39"/>
      <c r="N68" s="106">
        <f t="shared" si="52"/>
        <v>0</v>
      </c>
      <c r="O68" s="178">
        <f t="shared" si="1"/>
        <v>0</v>
      </c>
      <c r="P68" s="79"/>
      <c r="Q68" s="39"/>
      <c r="R68" s="39"/>
      <c r="S68" s="106">
        <f t="shared" si="53"/>
        <v>0</v>
      </c>
      <c r="T68" s="178">
        <f t="shared" si="45"/>
        <v>0</v>
      </c>
      <c r="U68" s="79"/>
      <c r="V68" s="39"/>
      <c r="W68" s="39"/>
      <c r="X68" s="106">
        <f t="shared" si="54"/>
        <v>0</v>
      </c>
      <c r="Y68" s="178">
        <f t="shared" si="2"/>
        <v>0</v>
      </c>
      <c r="Z68" s="79"/>
      <c r="AA68" s="39"/>
      <c r="AB68" s="39">
        <v>57</v>
      </c>
      <c r="AC68" s="106">
        <f t="shared" si="55"/>
        <v>57</v>
      </c>
      <c r="AD68" s="178">
        <f t="shared" si="46"/>
        <v>1.5774614958253725E-4</v>
      </c>
      <c r="AE68" s="79"/>
      <c r="AF68" s="39"/>
      <c r="AG68" s="39"/>
      <c r="AH68" s="106">
        <f t="shared" si="56"/>
        <v>0</v>
      </c>
      <c r="AI68" s="178">
        <f t="shared" si="47"/>
        <v>0</v>
      </c>
      <c r="AJ68" s="79"/>
      <c r="AK68" s="2043"/>
      <c r="AL68" s="2043"/>
      <c r="AM68" s="2012">
        <f t="shared" si="57"/>
        <v>0</v>
      </c>
      <c r="AN68" s="2044">
        <f t="shared" si="3"/>
        <v>0</v>
      </c>
      <c r="AO68" s="1992"/>
      <c r="AP68" s="2043">
        <f t="shared" si="58"/>
        <v>0</v>
      </c>
      <c r="AQ68" s="2043">
        <f t="shared" si="58"/>
        <v>57</v>
      </c>
      <c r="AR68" s="2012">
        <f t="shared" si="59"/>
        <v>57</v>
      </c>
      <c r="AS68" s="2044">
        <f t="shared" si="48"/>
        <v>2.4386414098173445E-5</v>
      </c>
      <c r="AT68" s="1992"/>
    </row>
    <row r="69" spans="1:46" s="2" customFormat="1" ht="13.8" outlineLevel="2">
      <c r="A69" s="237"/>
      <c r="B69" s="19" t="s">
        <v>42</v>
      </c>
      <c r="C69" s="113"/>
      <c r="D69" s="128"/>
      <c r="E69" s="120">
        <f t="shared" si="49"/>
        <v>0</v>
      </c>
      <c r="F69" s="178">
        <f t="shared" si="60"/>
        <v>0</v>
      </c>
      <c r="G69" s="39"/>
      <c r="H69" s="39"/>
      <c r="I69" s="106">
        <f t="shared" si="50"/>
        <v>0</v>
      </c>
      <c r="J69" s="178">
        <f t="shared" si="51"/>
        <v>0</v>
      </c>
      <c r="K69" s="388"/>
      <c r="L69" s="39"/>
      <c r="M69" s="39"/>
      <c r="N69" s="106">
        <f t="shared" si="52"/>
        <v>0</v>
      </c>
      <c r="O69" s="178">
        <f t="shared" si="1"/>
        <v>0</v>
      </c>
      <c r="P69" s="388"/>
      <c r="Q69" s="39"/>
      <c r="R69" s="39"/>
      <c r="S69" s="106">
        <f t="shared" si="53"/>
        <v>0</v>
      </c>
      <c r="T69" s="178">
        <f t="shared" si="45"/>
        <v>0</v>
      </c>
      <c r="U69" s="388"/>
      <c r="V69" s="39"/>
      <c r="W69" s="39"/>
      <c r="X69" s="106">
        <f t="shared" si="54"/>
        <v>0</v>
      </c>
      <c r="Y69" s="178">
        <f t="shared" si="2"/>
        <v>0</v>
      </c>
      <c r="Z69" s="388"/>
      <c r="AA69" s="39"/>
      <c r="AB69" s="39"/>
      <c r="AC69" s="106">
        <f t="shared" si="55"/>
        <v>0</v>
      </c>
      <c r="AD69" s="178">
        <f t="shared" si="46"/>
        <v>0</v>
      </c>
      <c r="AE69" s="388"/>
      <c r="AF69" s="39"/>
      <c r="AG69" s="39"/>
      <c r="AH69" s="106">
        <f t="shared" si="56"/>
        <v>0</v>
      </c>
      <c r="AI69" s="178">
        <f t="shared" si="47"/>
        <v>0</v>
      </c>
      <c r="AJ69" s="388"/>
      <c r="AK69" s="2043"/>
      <c r="AL69" s="2043"/>
      <c r="AM69" s="2012">
        <f t="shared" si="57"/>
        <v>0</v>
      </c>
      <c r="AN69" s="2044">
        <f t="shared" si="3"/>
        <v>0</v>
      </c>
      <c r="AO69" s="2046"/>
      <c r="AP69" s="2043">
        <f t="shared" si="58"/>
        <v>0</v>
      </c>
      <c r="AQ69" s="2043">
        <f t="shared" si="58"/>
        <v>0</v>
      </c>
      <c r="AR69" s="2012">
        <f t="shared" si="59"/>
        <v>0</v>
      </c>
      <c r="AS69" s="2044">
        <f t="shared" si="48"/>
        <v>0</v>
      </c>
      <c r="AT69" s="1992"/>
    </row>
    <row r="70" spans="1:46" s="2" customFormat="1" ht="22.95" customHeight="1" outlineLevel="2">
      <c r="A70" s="237"/>
      <c r="B70" s="19" t="s">
        <v>6</v>
      </c>
      <c r="C70" s="113"/>
      <c r="D70" s="128"/>
      <c r="E70" s="120">
        <f t="shared" si="49"/>
        <v>0</v>
      </c>
      <c r="F70" s="178">
        <f t="shared" si="60"/>
        <v>0</v>
      </c>
      <c r="G70" s="39"/>
      <c r="H70" s="39"/>
      <c r="I70" s="106">
        <f t="shared" si="50"/>
        <v>0</v>
      </c>
      <c r="J70" s="178">
        <f t="shared" si="51"/>
        <v>0</v>
      </c>
      <c r="K70" s="79"/>
      <c r="L70" s="39"/>
      <c r="M70" s="39"/>
      <c r="N70" s="106">
        <f t="shared" si="52"/>
        <v>0</v>
      </c>
      <c r="O70" s="178">
        <f t="shared" si="1"/>
        <v>0</v>
      </c>
      <c r="P70" s="79"/>
      <c r="Q70" s="39"/>
      <c r="R70" s="39"/>
      <c r="S70" s="106">
        <f t="shared" si="53"/>
        <v>0</v>
      </c>
      <c r="T70" s="178">
        <f t="shared" si="45"/>
        <v>0</v>
      </c>
      <c r="U70" s="79"/>
      <c r="V70" s="39"/>
      <c r="W70" s="39"/>
      <c r="X70" s="106">
        <f t="shared" si="54"/>
        <v>0</v>
      </c>
      <c r="Y70" s="178">
        <f t="shared" si="2"/>
        <v>0</v>
      </c>
      <c r="Z70" s="79"/>
      <c r="AA70" s="39"/>
      <c r="AB70" s="39"/>
      <c r="AC70" s="106">
        <f t="shared" si="55"/>
        <v>0</v>
      </c>
      <c r="AD70" s="178">
        <f t="shared" si="46"/>
        <v>0</v>
      </c>
      <c r="AE70" s="79"/>
      <c r="AF70" s="39"/>
      <c r="AG70" s="39"/>
      <c r="AH70" s="106">
        <f t="shared" si="56"/>
        <v>0</v>
      </c>
      <c r="AI70" s="178">
        <f t="shared" si="47"/>
        <v>0</v>
      </c>
      <c r="AJ70" s="79"/>
      <c r="AK70" s="2043"/>
      <c r="AL70" s="2043"/>
      <c r="AM70" s="2012">
        <f t="shared" si="57"/>
        <v>0</v>
      </c>
      <c r="AN70" s="2044">
        <f t="shared" si="3"/>
        <v>0</v>
      </c>
      <c r="AO70" s="1992"/>
      <c r="AP70" s="2043">
        <f t="shared" si="58"/>
        <v>0</v>
      </c>
      <c r="AQ70" s="2043">
        <f t="shared" si="58"/>
        <v>0</v>
      </c>
      <c r="AR70" s="2012">
        <f t="shared" si="59"/>
        <v>0</v>
      </c>
      <c r="AS70" s="2044">
        <f t="shared" si="48"/>
        <v>0</v>
      </c>
      <c r="AT70" s="1992"/>
    </row>
    <row r="71" spans="1:46" s="2" customFormat="1" ht="22.2" customHeight="1" outlineLevel="2">
      <c r="A71" s="237"/>
      <c r="B71" s="19" t="s">
        <v>78</v>
      </c>
      <c r="C71" s="113"/>
      <c r="D71" s="128"/>
      <c r="E71" s="120">
        <f t="shared" si="49"/>
        <v>0</v>
      </c>
      <c r="F71" s="184">
        <f t="shared" si="60"/>
        <v>0</v>
      </c>
      <c r="G71" s="39"/>
      <c r="H71" s="39"/>
      <c r="I71" s="106">
        <f t="shared" si="50"/>
        <v>0</v>
      </c>
      <c r="J71" s="178">
        <f t="shared" si="51"/>
        <v>0</v>
      </c>
      <c r="K71" s="79"/>
      <c r="L71" s="39"/>
      <c r="M71" s="39"/>
      <c r="N71" s="106">
        <f t="shared" si="52"/>
        <v>0</v>
      </c>
      <c r="O71" s="178">
        <f t="shared" si="1"/>
        <v>0</v>
      </c>
      <c r="P71" s="79"/>
      <c r="Q71" s="39"/>
      <c r="R71" s="39"/>
      <c r="S71" s="106">
        <f t="shared" si="53"/>
        <v>0</v>
      </c>
      <c r="T71" s="178">
        <f t="shared" si="45"/>
        <v>0</v>
      </c>
      <c r="U71" s="79"/>
      <c r="V71" s="39"/>
      <c r="W71" s="39"/>
      <c r="X71" s="106">
        <f t="shared" si="54"/>
        <v>0</v>
      </c>
      <c r="Y71" s="178">
        <f t="shared" si="2"/>
        <v>0</v>
      </c>
      <c r="Z71" s="79"/>
      <c r="AA71" s="39"/>
      <c r="AB71" s="39"/>
      <c r="AC71" s="106">
        <f t="shared" si="55"/>
        <v>0</v>
      </c>
      <c r="AD71" s="178">
        <f t="shared" si="46"/>
        <v>0</v>
      </c>
      <c r="AE71" s="79"/>
      <c r="AF71" s="39"/>
      <c r="AG71" s="39"/>
      <c r="AH71" s="106">
        <f t="shared" si="56"/>
        <v>0</v>
      </c>
      <c r="AI71" s="178">
        <f t="shared" si="47"/>
        <v>0</v>
      </c>
      <c r="AJ71" s="79"/>
      <c r="AK71" s="2043"/>
      <c r="AL71" s="2043"/>
      <c r="AM71" s="2012">
        <f t="shared" si="57"/>
        <v>0</v>
      </c>
      <c r="AN71" s="2044">
        <f t="shared" si="3"/>
        <v>0</v>
      </c>
      <c r="AO71" s="1992"/>
      <c r="AP71" s="2043">
        <f t="shared" si="58"/>
        <v>0</v>
      </c>
      <c r="AQ71" s="2043">
        <f t="shared" si="58"/>
        <v>0</v>
      </c>
      <c r="AR71" s="2012">
        <f t="shared" si="59"/>
        <v>0</v>
      </c>
      <c r="AS71" s="2044">
        <f t="shared" si="48"/>
        <v>0</v>
      </c>
      <c r="AT71" s="1992"/>
    </row>
    <row r="72" spans="1:46" s="2" customFormat="1" ht="14.4" outlineLevel="2" thickBot="1">
      <c r="A72" s="237"/>
      <c r="B72" s="19"/>
      <c r="C72" s="130"/>
      <c r="D72" s="131"/>
      <c r="E72" s="159">
        <f t="shared" si="49"/>
        <v>0</v>
      </c>
      <c r="F72" s="184">
        <f t="shared" si="60"/>
        <v>0</v>
      </c>
      <c r="G72" s="39"/>
      <c r="H72" s="39"/>
      <c r="I72" s="106"/>
      <c r="J72" s="178">
        <f t="shared" si="51"/>
        <v>0</v>
      </c>
      <c r="K72" s="79"/>
      <c r="L72" s="39"/>
      <c r="M72" s="39"/>
      <c r="N72" s="106"/>
      <c r="O72" s="178">
        <f>N72/$N$89</f>
        <v>0</v>
      </c>
      <c r="P72" s="79"/>
      <c r="Q72" s="39"/>
      <c r="R72" s="39"/>
      <c r="S72" s="106"/>
      <c r="T72" s="178">
        <f>S72/$N$89</f>
        <v>0</v>
      </c>
      <c r="U72" s="79"/>
      <c r="V72" s="39"/>
      <c r="W72" s="39"/>
      <c r="X72" s="106"/>
      <c r="Y72" s="178">
        <f t="shared" si="2"/>
        <v>0</v>
      </c>
      <c r="Z72" s="79"/>
      <c r="AA72" s="39"/>
      <c r="AB72" s="39"/>
      <c r="AC72" s="106"/>
      <c r="AD72" s="178">
        <f>AC72/$X$89</f>
        <v>0</v>
      </c>
      <c r="AE72" s="79"/>
      <c r="AF72" s="39"/>
      <c r="AG72" s="39"/>
      <c r="AH72" s="106"/>
      <c r="AI72" s="178">
        <f>AH72/$X$89</f>
        <v>0</v>
      </c>
      <c r="AJ72" s="79"/>
      <c r="AK72" s="2081"/>
      <c r="AL72" s="2082"/>
      <c r="AM72" s="2087"/>
      <c r="AN72" s="2018">
        <f t="shared" si="3"/>
        <v>0</v>
      </c>
      <c r="AO72" s="2085"/>
      <c r="AP72" s="2082">
        <f>G72+L72+Q72+V72</f>
        <v>0</v>
      </c>
      <c r="AQ72" s="2082">
        <f>H72+M72+R72+W72</f>
        <v>0</v>
      </c>
      <c r="AR72" s="2087">
        <f t="shared" si="59"/>
        <v>0</v>
      </c>
      <c r="AS72" s="2044">
        <f t="shared" si="48"/>
        <v>0</v>
      </c>
      <c r="AT72" s="1992"/>
    </row>
    <row r="73" spans="1:46" s="2" customFormat="1" ht="14.4" outlineLevel="1" thickBot="1">
      <c r="A73" s="237"/>
      <c r="B73" s="13" t="s">
        <v>4</v>
      </c>
      <c r="C73" s="132">
        <f>C74</f>
        <v>79447</v>
      </c>
      <c r="D73" s="133">
        <f>D74</f>
        <v>0</v>
      </c>
      <c r="E73" s="132">
        <f>E74</f>
        <v>79447</v>
      </c>
      <c r="F73" s="171">
        <f>E73/$E$89</f>
        <v>3.7068557257803003E-2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139">
        <f>AF74</f>
        <v>0</v>
      </c>
      <c r="AG73" s="63">
        <f>AG74</f>
        <v>0</v>
      </c>
      <c r="AH73" s="60">
        <f>AH74</f>
        <v>0</v>
      </c>
      <c r="AI73" s="63"/>
      <c r="AJ73" s="63"/>
      <c r="AK73" s="1584">
        <f>AK74</f>
        <v>0</v>
      </c>
      <c r="AL73" s="1689">
        <f>AL74</f>
        <v>0</v>
      </c>
      <c r="AM73" s="1688">
        <f>AM74</f>
        <v>0</v>
      </c>
      <c r="AN73" s="1689"/>
      <c r="AO73" s="1689"/>
      <c r="AP73" s="1584">
        <f>AP74</f>
        <v>0</v>
      </c>
      <c r="AQ73" s="1689">
        <f>AQ74</f>
        <v>0</v>
      </c>
      <c r="AR73" s="1688">
        <f>AR74</f>
        <v>0</v>
      </c>
      <c r="AS73" s="1943"/>
      <c r="AT73" s="1943"/>
    </row>
    <row r="74" spans="1:46" s="226" customFormat="1" ht="14.4" outlineLevel="1" thickBot="1">
      <c r="A74" s="320"/>
      <c r="B74" s="225" t="s">
        <v>64</v>
      </c>
      <c r="C74" s="113">
        <v>79447</v>
      </c>
      <c r="D74" s="135"/>
      <c r="E74" s="136">
        <f>C74+D74</f>
        <v>79447</v>
      </c>
      <c r="F74" s="185"/>
      <c r="G74" s="39">
        <f>G6*3%</f>
        <v>0</v>
      </c>
      <c r="H74" s="39"/>
      <c r="I74" s="64">
        <f>G74+H74*1</f>
        <v>0</v>
      </c>
      <c r="J74" s="64"/>
      <c r="K74" s="64"/>
      <c r="L74" s="39"/>
      <c r="M74" s="39"/>
      <c r="N74" s="616">
        <f>L74+M74*1</f>
        <v>0</v>
      </c>
      <c r="O74" s="64"/>
      <c r="P74" s="64"/>
      <c r="Q74" s="39"/>
      <c r="R74" s="39"/>
      <c r="S74" s="616">
        <f>Q74+R74*1</f>
        <v>0</v>
      </c>
      <c r="T74" s="64"/>
      <c r="U74" s="64"/>
      <c r="V74" s="39"/>
      <c r="W74" s="39"/>
      <c r="X74" s="616">
        <f>V74+W74*1</f>
        <v>0</v>
      </c>
      <c r="Y74" s="64"/>
      <c r="Z74" s="64"/>
      <c r="AA74" s="39"/>
      <c r="AB74" s="39"/>
      <c r="AC74" s="616">
        <f>AA74+AB74*1</f>
        <v>0</v>
      </c>
      <c r="AD74" s="64"/>
      <c r="AE74" s="64"/>
      <c r="AF74" s="39"/>
      <c r="AG74" s="39"/>
      <c r="AH74" s="616">
        <f>AF74+AG74*1</f>
        <v>0</v>
      </c>
      <c r="AI74" s="64"/>
      <c r="AJ74" s="64"/>
      <c r="AK74" s="2043"/>
      <c r="AL74" s="2043"/>
      <c r="AM74" s="1734">
        <f>AK74+AL74*1</f>
        <v>0</v>
      </c>
      <c r="AN74" s="1648"/>
      <c r="AO74" s="1648"/>
      <c r="AP74" s="2043">
        <f>G74+L74+Q74+V74+AA74+AF74+AK74</f>
        <v>0</v>
      </c>
      <c r="AQ74" s="2043">
        <f>H74+M74+R74+W74+AB74+AG74+AL74</f>
        <v>0</v>
      </c>
      <c r="AR74" s="2012">
        <f>AP74+AQ74</f>
        <v>0</v>
      </c>
      <c r="AS74" s="2008"/>
      <c r="AT74" s="2008"/>
    </row>
    <row r="75" spans="1:46" s="2" customFormat="1" ht="14.4" thickBot="1">
      <c r="A75" s="5"/>
      <c r="B75" s="23" t="s">
        <v>48</v>
      </c>
      <c r="C75" s="137">
        <f>C38-C41-C50-C54</f>
        <v>719385</v>
      </c>
      <c r="D75" s="137">
        <f>D38-D41-D50-D54</f>
        <v>-117359</v>
      </c>
      <c r="E75" s="138">
        <f>E38-E41-E50-E54</f>
        <v>602026</v>
      </c>
      <c r="F75" s="172"/>
      <c r="G75" s="65">
        <f>G38-G41-G50-G54</f>
        <v>-7364.3073999999997</v>
      </c>
      <c r="H75" s="65">
        <f>H38-H41-H50-H54</f>
        <v>-14583</v>
      </c>
      <c r="I75" s="138">
        <f>I38-I41-I50-I54</f>
        <v>-21947.307400000002</v>
      </c>
      <c r="J75" s="66"/>
      <c r="K75" s="66"/>
      <c r="L75" s="65">
        <f>L38-L41-L50-L54</f>
        <v>195075.99599999998</v>
      </c>
      <c r="M75" s="65">
        <f>M38-M41-M50-M54</f>
        <v>0</v>
      </c>
      <c r="N75" s="138">
        <f>N38-N41-N50-N54</f>
        <v>195075.99599999998</v>
      </c>
      <c r="O75" s="66"/>
      <c r="P75" s="66"/>
      <c r="Q75" s="65">
        <f>Q38-Q41-Q50-Q54</f>
        <v>113629.47199999995</v>
      </c>
      <c r="R75" s="65">
        <f>R38-R41-R50-R54</f>
        <v>0</v>
      </c>
      <c r="S75" s="138">
        <f>S38-S41-S50-S54</f>
        <v>113629.47199999995</v>
      </c>
      <c r="T75" s="66"/>
      <c r="U75" s="66"/>
      <c r="V75" s="65">
        <f>V38-V41-V50-V54</f>
        <v>145930</v>
      </c>
      <c r="W75" s="65">
        <f>W38-W41-W50-W54</f>
        <v>-2000</v>
      </c>
      <c r="X75" s="138">
        <f>X38-X41-X50-X54</f>
        <v>143930</v>
      </c>
      <c r="Y75" s="66"/>
      <c r="Z75" s="66"/>
      <c r="AA75" s="65">
        <f>AA38-AA41-AA50-AA54</f>
        <v>1439677.79</v>
      </c>
      <c r="AB75" s="65">
        <f>AB38-AB41-AB50-AB54</f>
        <v>-112563.04000000001</v>
      </c>
      <c r="AC75" s="138">
        <f>AC38-AC41-AC50-AC54</f>
        <v>1327114.75</v>
      </c>
      <c r="AD75" s="66"/>
      <c r="AE75" s="66"/>
      <c r="AF75" s="65">
        <f>AF38-AF41-AF50-AF54</f>
        <v>-803739.23</v>
      </c>
      <c r="AG75" s="65">
        <f>AG38-AG41-AG50-AG54</f>
        <v>-40000</v>
      </c>
      <c r="AH75" s="138">
        <f>AH38-AH41-AH50-AH54</f>
        <v>-843739.23</v>
      </c>
      <c r="AI75" s="66"/>
      <c r="AJ75" s="66"/>
      <c r="AK75" s="1450">
        <f>AK38-AK41-AK50-AK54</f>
        <v>-1299.9599999999998</v>
      </c>
      <c r="AL75" s="1450">
        <f>AL38-AL41-AL50-AL54</f>
        <v>0</v>
      </c>
      <c r="AM75" s="1508">
        <f>AM38-AM41-AM50-AM54</f>
        <v>-1299.9599999999998</v>
      </c>
      <c r="AN75" s="1953"/>
      <c r="AO75" s="1953"/>
      <c r="AP75" s="1450">
        <f>AP38-AP41-AP50-AP54</f>
        <v>1081909.7606000002</v>
      </c>
      <c r="AQ75" s="1450">
        <f>AQ38-AQ41-AQ50-AQ54</f>
        <v>-169146.04</v>
      </c>
      <c r="AR75" s="1508">
        <f>AR38-AR41-AR50-AR54</f>
        <v>912763.72060000012</v>
      </c>
      <c r="AS75" s="1953"/>
      <c r="AT75" s="1953"/>
    </row>
    <row r="76" spans="1:46" s="2" customFormat="1" ht="13.8">
      <c r="A76" s="294"/>
      <c r="B76" s="36" t="s">
        <v>49</v>
      </c>
      <c r="C76" s="157">
        <f>C75/C5</f>
        <v>0.2716485035231212</v>
      </c>
      <c r="D76" s="157" t="e">
        <f>D75/D5</f>
        <v>#DIV/0!</v>
      </c>
      <c r="E76" s="158">
        <f>E75/E5</f>
        <v>0.22733232133281978</v>
      </c>
      <c r="F76" s="167"/>
      <c r="G76" s="54" t="e">
        <f>G75/G5</f>
        <v>#DIV/0!</v>
      </c>
      <c r="H76" s="54" t="e">
        <f>H75/H5</f>
        <v>#DIV/0!</v>
      </c>
      <c r="I76" s="55" t="e">
        <f>I75/I5</f>
        <v>#DIV/0!</v>
      </c>
      <c r="J76" s="55"/>
      <c r="K76" s="55"/>
      <c r="L76" s="54">
        <f>L75/L5</f>
        <v>0.48372345764729219</v>
      </c>
      <c r="M76" s="54" t="e">
        <f>M75/M5</f>
        <v>#DIV/0!</v>
      </c>
      <c r="N76" s="55">
        <f>N75/N5</f>
        <v>0.48372345764729219</v>
      </c>
      <c r="O76" s="55"/>
      <c r="P76" s="55"/>
      <c r="Q76" s="54">
        <f>Q75/Q5</f>
        <v>0.17422755945353341</v>
      </c>
      <c r="R76" s="54" t="e">
        <f>R75/R5</f>
        <v>#DIV/0!</v>
      </c>
      <c r="S76" s="55">
        <f>S75/S5</f>
        <v>0.17422755945353341</v>
      </c>
      <c r="T76" s="55"/>
      <c r="U76" s="55"/>
      <c r="V76" s="54">
        <f>V75/V5</f>
        <v>0.28963904778161059</v>
      </c>
      <c r="W76" s="54" t="e">
        <f>W75/W5</f>
        <v>#DIV/0!</v>
      </c>
      <c r="X76" s="55">
        <f>X75/X5</f>
        <v>0.28566948637845002</v>
      </c>
      <c r="Y76" s="55"/>
      <c r="Z76" s="55"/>
      <c r="AA76" s="54">
        <f>AA75/AA5</f>
        <v>0.85265995780674708</v>
      </c>
      <c r="AB76" s="54" t="e">
        <f>AB75/AB5</f>
        <v>#DIV/0!</v>
      </c>
      <c r="AC76" s="55">
        <f>AC75/AC5</f>
        <v>0.78599365399650412</v>
      </c>
      <c r="AD76" s="55"/>
      <c r="AE76" s="55"/>
      <c r="AF76" s="54" t="e">
        <f>AF75/AF5</f>
        <v>#DIV/0!</v>
      </c>
      <c r="AG76" s="54" t="e">
        <f>AG75/AG5</f>
        <v>#DIV/0!</v>
      </c>
      <c r="AH76" s="55" t="e">
        <f>AH75/AH5</f>
        <v>#DIV/0!</v>
      </c>
      <c r="AI76" s="55"/>
      <c r="AJ76" s="55"/>
      <c r="AK76" s="2003" t="e">
        <f>AK75/AK5</f>
        <v>#DIV/0!</v>
      </c>
      <c r="AL76" s="2003" t="e">
        <f>AL75/AL5</f>
        <v>#DIV/0!</v>
      </c>
      <c r="AM76" s="2004" t="e">
        <f>AM75/AM5</f>
        <v>#DIV/0!</v>
      </c>
      <c r="AN76" s="2004"/>
      <c r="AO76" s="2004"/>
      <c r="AP76" s="2003">
        <f>AP75/AP5</f>
        <v>0.33312503500298435</v>
      </c>
      <c r="AQ76" s="2003" t="e">
        <f>AQ75/AQ5</f>
        <v>#DIV/0!</v>
      </c>
      <c r="AR76" s="2004">
        <f>AR75/AR5</f>
        <v>0.28104418450361585</v>
      </c>
      <c r="AS76" s="2004"/>
      <c r="AT76" s="2004"/>
    </row>
    <row r="77" spans="1:46" s="2" customFormat="1" ht="14.4" outlineLevel="1" thickBot="1">
      <c r="A77" s="294"/>
      <c r="B77" s="27" t="s">
        <v>9</v>
      </c>
      <c r="C77" s="139">
        <f>C78-C79</f>
        <v>-17604</v>
      </c>
      <c r="D77" s="139">
        <f>D78-D79</f>
        <v>0</v>
      </c>
      <c r="E77" s="140">
        <f>E78-E79</f>
        <v>-17604</v>
      </c>
      <c r="F77" s="173"/>
      <c r="G77" s="139">
        <f>G78-G79</f>
        <v>0</v>
      </c>
      <c r="H77" s="139">
        <f>H78-H79</f>
        <v>0</v>
      </c>
      <c r="I77" s="140">
        <f>I78-I79</f>
        <v>-2112.0615795539625</v>
      </c>
      <c r="J77" s="67"/>
      <c r="K77" s="67"/>
      <c r="L77" s="139">
        <f>L78-L79</f>
        <v>0</v>
      </c>
      <c r="M77" s="139">
        <f>M78-M79</f>
        <v>0</v>
      </c>
      <c r="N77" s="140">
        <f>N78-N79</f>
        <v>0</v>
      </c>
      <c r="O77" s="67"/>
      <c r="P77" s="67"/>
      <c r="Q77" s="139">
        <f>Q78-Q79</f>
        <v>0</v>
      </c>
      <c r="R77" s="139">
        <f>R78-R79</f>
        <v>0</v>
      </c>
      <c r="S77" s="140">
        <f>S78-S79</f>
        <v>0</v>
      </c>
      <c r="T77" s="67"/>
      <c r="U77" s="67"/>
      <c r="V77" s="139">
        <f>V78-V79</f>
        <v>0</v>
      </c>
      <c r="W77" s="139">
        <f>W78-W79</f>
        <v>0</v>
      </c>
      <c r="X77" s="140">
        <f>X78-X79</f>
        <v>-259.88700564971754</v>
      </c>
      <c r="Y77" s="67"/>
      <c r="Z77" s="67"/>
      <c r="AA77" s="139">
        <f>AA78-AA79</f>
        <v>0</v>
      </c>
      <c r="AB77" s="139">
        <f>AB78-AB79</f>
        <v>0</v>
      </c>
      <c r="AC77" s="140">
        <f>AC78-AC79</f>
        <v>0</v>
      </c>
      <c r="AD77" s="67"/>
      <c r="AE77" s="67"/>
      <c r="AF77" s="139">
        <f>AF78-AF79</f>
        <v>0</v>
      </c>
      <c r="AG77" s="139">
        <f>AG78-AG79</f>
        <v>-17572</v>
      </c>
      <c r="AH77" s="140">
        <f>AH78-AH79</f>
        <v>0</v>
      </c>
      <c r="AI77" s="67"/>
      <c r="AJ77" s="67"/>
      <c r="AK77" s="1959">
        <f>AK78-AK79</f>
        <v>0</v>
      </c>
      <c r="AL77" s="1959">
        <f>AL78-AL79</f>
        <v>0</v>
      </c>
      <c r="AM77" s="2075">
        <f>AM78-AM79</f>
        <v>0</v>
      </c>
      <c r="AN77" s="2076"/>
      <c r="AO77" s="2076"/>
      <c r="AP77" s="1959">
        <f>AP78-AP79</f>
        <v>0</v>
      </c>
      <c r="AQ77" s="1959">
        <f>AQ78-AQ79</f>
        <v>-17572</v>
      </c>
      <c r="AR77" s="2075">
        <f>AR78-AR79</f>
        <v>-2371.9485852036801</v>
      </c>
      <c r="AS77" s="2076"/>
      <c r="AT77" s="2076"/>
    </row>
    <row r="78" spans="1:46" s="2" customFormat="1" ht="13.8" outlineLevel="2">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178">
        <f>S78/$S$89</f>
        <v>0</v>
      </c>
      <c r="U78" s="68"/>
      <c r="V78" s="39"/>
      <c r="W78" s="39"/>
      <c r="X78" s="68">
        <f>V78+W78*1.15</f>
        <v>0</v>
      </c>
      <c r="Y78" s="178">
        <f>X78/$S$89</f>
        <v>0</v>
      </c>
      <c r="Z78" s="68"/>
      <c r="AA78" s="39"/>
      <c r="AB78" s="39"/>
      <c r="AC78" s="68">
        <f>AA78+AB78*1.15</f>
        <v>0</v>
      </c>
      <c r="AD78" s="178">
        <f>AC78/$S$89</f>
        <v>0</v>
      </c>
      <c r="AE78" s="68"/>
      <c r="AF78" s="39"/>
      <c r="AG78" s="39"/>
      <c r="AH78" s="68">
        <f>AF78+AG78*1.15</f>
        <v>0</v>
      </c>
      <c r="AI78" s="178">
        <f>AH78/$S$89</f>
        <v>0</v>
      </c>
      <c r="AJ78" s="68"/>
      <c r="AK78" s="2043"/>
      <c r="AL78" s="2043"/>
      <c r="AM78" s="1452">
        <f>AK78+AL78*1.15</f>
        <v>0</v>
      </c>
      <c r="AN78" s="2044">
        <f>AM78/$AM$89</f>
        <v>0</v>
      </c>
      <c r="AO78" s="1452"/>
      <c r="AP78" s="2043">
        <f>G78+L78+Q78+V78+AA78+AF78+AK78</f>
        <v>0</v>
      </c>
      <c r="AQ78" s="2043">
        <f>H78+M78+R78+W78+AB78+AG78+AL78</f>
        <v>0</v>
      </c>
      <c r="AR78" s="2012">
        <f>AP78+AQ78</f>
        <v>0</v>
      </c>
      <c r="AS78" s="1452"/>
      <c r="AT78" s="1452"/>
    </row>
    <row r="79" spans="1:46" s="2" customFormat="1" ht="13.8" outlineLevel="2">
      <c r="A79" s="11"/>
      <c r="B79" s="24" t="s">
        <v>79</v>
      </c>
      <c r="C79" s="113">
        <v>17604</v>
      </c>
      <c r="D79" s="119"/>
      <c r="E79" s="119">
        <f>C79+D79*1.15</f>
        <v>17604</v>
      </c>
      <c r="F79" s="180">
        <f>E79/$E$89</f>
        <v>8.2137133178894622E-3</v>
      </c>
      <c r="G79" s="39"/>
      <c r="H79" s="39"/>
      <c r="I79" s="106">
        <f>(H8+H41+H50+H54)/(1-'расчет 2024'!E8)*'расчет 2024'!E8</f>
        <v>2112.0615795539625</v>
      </c>
      <c r="J79" s="45"/>
      <c r="K79" s="45"/>
      <c r="L79" s="39"/>
      <c r="M79" s="39"/>
      <c r="N79" s="106"/>
      <c r="O79" s="45"/>
      <c r="P79" s="45"/>
      <c r="Q79" s="39"/>
      <c r="R79" s="39"/>
      <c r="S79" s="106"/>
      <c r="T79" s="178">
        <f>S79/$S$89</f>
        <v>0</v>
      </c>
      <c r="U79" s="45"/>
      <c r="V79" s="39"/>
      <c r="W79" s="39"/>
      <c r="X79" s="106">
        <f>(W8+W41+W50+W54)/(1-'расчет 2024'!E11)*'расчет 2024'!E11</f>
        <v>259.88700564971754</v>
      </c>
      <c r="Y79" s="178">
        <f>X79/$X$89</f>
        <v>7.215798557994816E-4</v>
      </c>
      <c r="Z79" s="45"/>
      <c r="AA79" s="39"/>
      <c r="AB79" s="39"/>
      <c r="AC79" s="106"/>
      <c r="AD79" s="178">
        <f>AC79/$X$89</f>
        <v>0</v>
      </c>
      <c r="AE79" s="45"/>
      <c r="AF79" s="39"/>
      <c r="AG79" s="39">
        <v>17572</v>
      </c>
      <c r="AH79" s="106"/>
      <c r="AI79" s="178">
        <f>AH79/$X$89</f>
        <v>0</v>
      </c>
      <c r="AJ79" s="45"/>
      <c r="AK79" s="2043"/>
      <c r="AL79" s="2043"/>
      <c r="AM79" s="2012">
        <v>0</v>
      </c>
      <c r="AN79" s="2044">
        <f>AM79/$AM$89</f>
        <v>0</v>
      </c>
      <c r="AO79" s="1893"/>
      <c r="AP79" s="2043">
        <f>G79+L79+Q79+V79+AA79+AF79+AK79</f>
        <v>0</v>
      </c>
      <c r="AQ79" s="2043">
        <f>H79+M79+R79+W79+AB79+AG79+AL79</f>
        <v>17572</v>
      </c>
      <c r="AR79" s="2043">
        <f>I79+N79+S79+X79+AC79+AH79+AM79</f>
        <v>2371.9485852036801</v>
      </c>
      <c r="AS79" s="1893"/>
      <c r="AT79" s="1893"/>
    </row>
    <row r="80" spans="1:46" ht="13.8" outlineLevel="2">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2043"/>
      <c r="AL80" s="2043"/>
      <c r="AM80" s="1894"/>
      <c r="AN80" s="1894"/>
      <c r="AO80" s="1894"/>
      <c r="AP80" s="2043"/>
      <c r="AQ80" s="2043"/>
      <c r="AR80" s="1894"/>
      <c r="AS80" s="1894"/>
      <c r="AT80" s="1894"/>
    </row>
    <row r="81" spans="1:46" s="2" customFormat="1" ht="14.4" outlineLevel="1" thickBot="1">
      <c r="A81" s="26"/>
      <c r="B81" s="27" t="s">
        <v>12</v>
      </c>
      <c r="C81" s="139">
        <f>(C75+C78)-C79</f>
        <v>701781</v>
      </c>
      <c r="D81" s="139">
        <f>(D75+D78)-D79</f>
        <v>-117359</v>
      </c>
      <c r="E81" s="140">
        <f>(E75+E78)-E79</f>
        <v>584422</v>
      </c>
      <c r="F81" s="173"/>
      <c r="G81" s="139">
        <f>(G75+G78)-G79</f>
        <v>-7364.3073999999997</v>
      </c>
      <c r="H81" s="139">
        <f>(H75+H78)-H79</f>
        <v>-14583</v>
      </c>
      <c r="I81" s="140">
        <f>(I75+I78)-I79</f>
        <v>-24059.368979553965</v>
      </c>
      <c r="J81" s="67"/>
      <c r="K81" s="67"/>
      <c r="L81" s="139">
        <f>(L75+L78)-L79</f>
        <v>195075.99599999998</v>
      </c>
      <c r="M81" s="139">
        <f>(M75+M78)-M79</f>
        <v>0</v>
      </c>
      <c r="N81" s="140">
        <f>(N75+N78)-N79</f>
        <v>195075.99599999998</v>
      </c>
      <c r="O81" s="67"/>
      <c r="P81" s="67"/>
      <c r="Q81" s="139">
        <f>(Q75+Q78)-Q79</f>
        <v>113629.47199999995</v>
      </c>
      <c r="R81" s="139">
        <f>(R75+R78)-R79</f>
        <v>0</v>
      </c>
      <c r="S81" s="140">
        <f>(S75+S78)-S79</f>
        <v>113629.47199999995</v>
      </c>
      <c r="T81" s="67"/>
      <c r="U81" s="67"/>
      <c r="V81" s="139">
        <f>(V75+V78)-V79</f>
        <v>145930</v>
      </c>
      <c r="W81" s="139">
        <f>(W75+W78)-W79</f>
        <v>-2000</v>
      </c>
      <c r="X81" s="140">
        <f>(X75+X78)-X79</f>
        <v>143670.11299435029</v>
      </c>
      <c r="Y81" s="67"/>
      <c r="Z81" s="67"/>
      <c r="AA81" s="139">
        <f>(AA75+AA78)-AA79</f>
        <v>1439677.79</v>
      </c>
      <c r="AB81" s="139">
        <f>(AB75+AB78)-AB79</f>
        <v>-112563.04000000001</v>
      </c>
      <c r="AC81" s="140">
        <f>(AC75+AC78)-AC79</f>
        <v>1327114.75</v>
      </c>
      <c r="AD81" s="67"/>
      <c r="AE81" s="67"/>
      <c r="AF81" s="139">
        <f>(AF75+AF78)-AF79</f>
        <v>-803739.23</v>
      </c>
      <c r="AG81" s="139">
        <f>(AG75+AG78)-AG79</f>
        <v>-57572</v>
      </c>
      <c r="AH81" s="140">
        <f>(AH75+AH78)-AH79</f>
        <v>-843739.23</v>
      </c>
      <c r="AI81" s="67"/>
      <c r="AJ81" s="67"/>
      <c r="AK81" s="1959">
        <f>(AK75+AK78)-AK79</f>
        <v>-1299.9599999999998</v>
      </c>
      <c r="AL81" s="1959">
        <f>(AL75+AL78)-AL79</f>
        <v>0</v>
      </c>
      <c r="AM81" s="2075">
        <f>(AM75+AM78)-AM79</f>
        <v>-1299.9599999999998</v>
      </c>
      <c r="AN81" s="2076"/>
      <c r="AO81" s="2076"/>
      <c r="AP81" s="1959">
        <f>(AP75+AP78)-AP79</f>
        <v>1081909.7606000002</v>
      </c>
      <c r="AQ81" s="1959">
        <f>(AQ75+AQ78)-AQ79</f>
        <v>-186718.04</v>
      </c>
      <c r="AR81" s="2075">
        <f>(AR75+AR78)-AR79</f>
        <v>910391.77201479638</v>
      </c>
      <c r="AS81" s="2076"/>
      <c r="AT81" s="2076"/>
    </row>
    <row r="82" spans="1:46" s="2" customFormat="1" ht="13.8" outlineLevel="2">
      <c r="A82" s="293"/>
      <c r="B82" s="6" t="s">
        <v>38</v>
      </c>
      <c r="C82" s="141"/>
      <c r="D82" s="142"/>
      <c r="E82" s="146">
        <f>C82+D82</f>
        <v>0</v>
      </c>
      <c r="F82" s="180">
        <f>E82/$E$89</f>
        <v>0</v>
      </c>
      <c r="G82" s="39"/>
      <c r="H82" s="39"/>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2043"/>
      <c r="AL82" s="2043"/>
      <c r="AM82" s="1515">
        <f>AK82+AL82</f>
        <v>0</v>
      </c>
      <c r="AN82" s="1476"/>
      <c r="AO82" s="1476"/>
      <c r="AP82" s="2043">
        <f>G82+L82</f>
        <v>0</v>
      </c>
      <c r="AQ82" s="2043">
        <f>H82+M82</f>
        <v>0</v>
      </c>
      <c r="AR82" s="2012">
        <f>AP82+AQ82</f>
        <v>0</v>
      </c>
      <c r="AS82" s="1476"/>
      <c r="AT82" s="1476"/>
    </row>
    <row r="83" spans="1:46" s="2" customFormat="1" ht="13.8" outlineLevel="1">
      <c r="A83" s="11"/>
      <c r="B83" s="28" t="s">
        <v>13</v>
      </c>
      <c r="C83" s="147">
        <f>(C81+C7)-C36</f>
        <v>701781</v>
      </c>
      <c r="D83" s="147">
        <f>(D81+D7)-D36</f>
        <v>-117359</v>
      </c>
      <c r="E83" s="147">
        <f>(E81+E7)-E36</f>
        <v>584422</v>
      </c>
      <c r="F83" s="174"/>
      <c r="G83" s="147">
        <f>(G81)-G36</f>
        <v>-7364.3073999999997</v>
      </c>
      <c r="H83" s="147">
        <f>(H81)-H36</f>
        <v>-14583</v>
      </c>
      <c r="I83" s="148">
        <f>(I81)-I36</f>
        <v>-24059.368979553965</v>
      </c>
      <c r="J83" s="70"/>
      <c r="K83" s="70"/>
      <c r="L83" s="147">
        <f>(L81+L7)-L36</f>
        <v>195075.99599999998</v>
      </c>
      <c r="M83" s="147">
        <f>(M81+M7)-M36</f>
        <v>0</v>
      </c>
      <c r="N83" s="148">
        <f>(N81+N7)-N36</f>
        <v>195075.99599999998</v>
      </c>
      <c r="O83" s="70"/>
      <c r="P83" s="70"/>
      <c r="Q83" s="147">
        <f>(Q81+Q7)-Q36</f>
        <v>113629.47199999995</v>
      </c>
      <c r="R83" s="147">
        <f>(R81+R7)-R36</f>
        <v>0</v>
      </c>
      <c r="S83" s="148">
        <f>(S81+S7)-S36</f>
        <v>113629.47199999995</v>
      </c>
      <c r="T83" s="70"/>
      <c r="U83" s="70"/>
      <c r="V83" s="147">
        <f>(V81+V7)-V36</f>
        <v>145930</v>
      </c>
      <c r="W83" s="147">
        <f>(W81+W7)-W36</f>
        <v>-2000</v>
      </c>
      <c r="X83" s="148">
        <f>(X81+X7)-X36</f>
        <v>143670.11299435029</v>
      </c>
      <c r="Y83" s="70"/>
      <c r="Z83" s="70"/>
      <c r="AA83" s="147">
        <f>(AA81+AA7)-AA36</f>
        <v>1439677.79</v>
      </c>
      <c r="AB83" s="147">
        <f>(AB81+AB7)-AB36</f>
        <v>-112563.04000000001</v>
      </c>
      <c r="AC83" s="148">
        <f>(AC81+AC7)-AC36</f>
        <v>1327114.75</v>
      </c>
      <c r="AD83" s="70"/>
      <c r="AE83" s="70"/>
      <c r="AF83" s="147">
        <f>(AF81+AF7)-AF36</f>
        <v>-803739.23</v>
      </c>
      <c r="AG83" s="147">
        <f>(AG81+AG7)-AG36</f>
        <v>-57572</v>
      </c>
      <c r="AH83" s="148">
        <f>(AH81+AH7)-AH36</f>
        <v>-843739.23</v>
      </c>
      <c r="AI83" s="70"/>
      <c r="AJ83" s="70"/>
      <c r="AK83" s="1896">
        <f>(AK81+AK7)-AK36</f>
        <v>-1299.9599999999998</v>
      </c>
      <c r="AL83" s="1897">
        <f>(AL81+AL7)-AL36</f>
        <v>0</v>
      </c>
      <c r="AM83" s="1897">
        <f>(AM81+AM7)-AM36</f>
        <v>-1299.9599999999998</v>
      </c>
      <c r="AN83" s="1898"/>
      <c r="AO83" s="1898"/>
      <c r="AP83" s="1896">
        <f>(AP81)-AP36</f>
        <v>1081909.7606000002</v>
      </c>
      <c r="AQ83" s="1896">
        <f>(AQ81)-AQ36</f>
        <v>-186718.04</v>
      </c>
      <c r="AR83" s="1897">
        <f>(AR81)-AR36</f>
        <v>910391.77201479638</v>
      </c>
      <c r="AS83" s="1898"/>
      <c r="AT83" s="1898"/>
    </row>
    <row r="84" spans="1:46" s="2" customFormat="1" ht="14.4" outlineLevel="1" thickBot="1">
      <c r="A84" s="11"/>
      <c r="B84" s="211" t="s">
        <v>14</v>
      </c>
      <c r="C84" s="212">
        <f>C83-C73-C82</f>
        <v>622334</v>
      </c>
      <c r="D84" s="212">
        <f>D83-D73-D82</f>
        <v>-117359</v>
      </c>
      <c r="E84" s="212">
        <f>E83-E73-E82</f>
        <v>504975</v>
      </c>
      <c r="F84" s="214"/>
      <c r="G84" s="213">
        <f>G83-G73-G82</f>
        <v>-7364.3073999999997</v>
      </c>
      <c r="H84" s="213">
        <f>H83-H73-H82</f>
        <v>-14583</v>
      </c>
      <c r="I84" s="213">
        <f>I83-I73-I82</f>
        <v>-24059.368979553965</v>
      </c>
      <c r="J84" s="82"/>
      <c r="K84" s="82"/>
      <c r="L84" s="213">
        <f>L83-L73-L82</f>
        <v>195075.99599999998</v>
      </c>
      <c r="M84" s="213">
        <f>M83-M73-M82</f>
        <v>0</v>
      </c>
      <c r="N84" s="213">
        <f>N83-N73-N82</f>
        <v>195075.99599999998</v>
      </c>
      <c r="O84" s="82"/>
      <c r="P84" s="82"/>
      <c r="Q84" s="213">
        <f>Q83-Q73-Q82</f>
        <v>113629.47199999995</v>
      </c>
      <c r="R84" s="213">
        <f>R83-R73-R82</f>
        <v>0</v>
      </c>
      <c r="S84" s="213">
        <f>S83-S73-S82</f>
        <v>113629.47199999995</v>
      </c>
      <c r="T84" s="82"/>
      <c r="U84" s="82"/>
      <c r="V84" s="213">
        <f>V83-V73-V82</f>
        <v>145930</v>
      </c>
      <c r="W84" s="213">
        <f>W83-W73-W82</f>
        <v>-2000</v>
      </c>
      <c r="X84" s="213">
        <f>X83-X73-X82</f>
        <v>143670.11299435029</v>
      </c>
      <c r="Y84" s="82"/>
      <c r="Z84" s="82"/>
      <c r="AA84" s="213">
        <f>AA83-AA73-AA82</f>
        <v>1439677.79</v>
      </c>
      <c r="AB84" s="213">
        <f>AB83-AB73-AB82</f>
        <v>-112563.04000000001</v>
      </c>
      <c r="AC84" s="213">
        <f>AC83-AC73-AC82</f>
        <v>1327114.75</v>
      </c>
      <c r="AD84" s="82"/>
      <c r="AE84" s="82"/>
      <c r="AF84" s="213">
        <f>AF83-AF73-AF82</f>
        <v>-803739.23</v>
      </c>
      <c r="AG84" s="213">
        <f>AG83-AG73-AG82</f>
        <v>-57572</v>
      </c>
      <c r="AH84" s="213">
        <f>AH83-AH73-AH82</f>
        <v>-843739.23</v>
      </c>
      <c r="AI84" s="82"/>
      <c r="AJ84" s="82"/>
      <c r="AK84" s="2077">
        <f>AK83-AK73-AK82</f>
        <v>-1299.9599999999998</v>
      </c>
      <c r="AL84" s="2077">
        <f>AL83-AL73-AL82</f>
        <v>0</v>
      </c>
      <c r="AM84" s="1937">
        <f>AM83-AM73-AM82</f>
        <v>-1299.9599999999998</v>
      </c>
      <c r="AN84" s="1938"/>
      <c r="AO84" s="1938"/>
      <c r="AP84" s="2043">
        <f>AP83-AP73-AP82</f>
        <v>1081909.7606000002</v>
      </c>
      <c r="AQ84" s="2043">
        <f>AQ83-AQ73-AQ82</f>
        <v>-186718.04</v>
      </c>
      <c r="AR84" s="2012">
        <f>AR83-AR73-AR82</f>
        <v>910391.77201479638</v>
      </c>
      <c r="AS84" s="1938"/>
      <c r="AT84" s="1938"/>
    </row>
    <row r="85" spans="1:46" s="2" customFormat="1" ht="13.8" outlineLevel="3">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2043"/>
      <c r="AL85" s="2043"/>
      <c r="AM85" s="1560">
        <f>AK85+AL85*1.15</f>
        <v>0</v>
      </c>
      <c r="AN85" s="1477"/>
      <c r="AO85" s="1477"/>
      <c r="AP85" s="2043">
        <f>G85</f>
        <v>0</v>
      </c>
      <c r="AQ85" s="2043">
        <f>H85</f>
        <v>0</v>
      </c>
      <c r="AR85" s="2012">
        <f>AP85+AQ85</f>
        <v>0</v>
      </c>
      <c r="AS85" s="1477"/>
      <c r="AT85" s="1477"/>
    </row>
    <row r="86" spans="1:46" s="2" customFormat="1" ht="27.6">
      <c r="A86" s="11"/>
      <c r="B86" s="37" t="s">
        <v>50</v>
      </c>
      <c r="C86" s="149">
        <f>C84-C85</f>
        <v>622334</v>
      </c>
      <c r="D86" s="149">
        <f>D84-D85</f>
        <v>-117359</v>
      </c>
      <c r="E86" s="150">
        <f>E84-E85</f>
        <v>504975</v>
      </c>
      <c r="F86" s="175"/>
      <c r="G86" s="150">
        <f>G84-G85</f>
        <v>-7364.3073999999997</v>
      </c>
      <c r="H86" s="150">
        <f>H84-H85</f>
        <v>-14583</v>
      </c>
      <c r="I86" s="150">
        <f>I84-I85</f>
        <v>-24059.368979553965</v>
      </c>
      <c r="J86" s="73"/>
      <c r="K86" s="73"/>
      <c r="L86" s="150">
        <f>L84-L85</f>
        <v>195075.99599999998</v>
      </c>
      <c r="M86" s="150">
        <f>M84-M85</f>
        <v>0</v>
      </c>
      <c r="N86" s="150">
        <f>N84-N85</f>
        <v>195075.99599999998</v>
      </c>
      <c r="O86" s="73"/>
      <c r="P86" s="73"/>
      <c r="Q86" s="150">
        <f>Q84-Q85</f>
        <v>113629.47199999995</v>
      </c>
      <c r="R86" s="150">
        <f>R84-R85</f>
        <v>0</v>
      </c>
      <c r="S86" s="150">
        <f>S84-S85</f>
        <v>113629.47199999995</v>
      </c>
      <c r="T86" s="73"/>
      <c r="U86" s="73"/>
      <c r="V86" s="150">
        <f>V84-V85</f>
        <v>145930</v>
      </c>
      <c r="W86" s="150">
        <f>W84-W85</f>
        <v>-2000</v>
      </c>
      <c r="X86" s="150">
        <f>X84-X85</f>
        <v>143670.11299435029</v>
      </c>
      <c r="Y86" s="73"/>
      <c r="Z86" s="73"/>
      <c r="AA86" s="150">
        <f>AA84-AA85</f>
        <v>1439677.79</v>
      </c>
      <c r="AB86" s="150">
        <f>AB84-AB85</f>
        <v>-112563.04000000001</v>
      </c>
      <c r="AC86" s="150">
        <f>AC84-AC85</f>
        <v>1327114.75</v>
      </c>
      <c r="AD86" s="73"/>
      <c r="AE86" s="73"/>
      <c r="AF86" s="150">
        <f>AF84-AF85</f>
        <v>-803739.23</v>
      </c>
      <c r="AG86" s="150">
        <f>AG84-AG85</f>
        <v>-57572</v>
      </c>
      <c r="AH86" s="150">
        <f>AH84-AH85</f>
        <v>-843739.23</v>
      </c>
      <c r="AI86" s="73"/>
      <c r="AJ86" s="73"/>
      <c r="AK86" s="1903">
        <f>AK84-AK85</f>
        <v>-1299.9599999999998</v>
      </c>
      <c r="AL86" s="1903">
        <f>AL84-AL85</f>
        <v>0</v>
      </c>
      <c r="AM86" s="1903">
        <f>AM84-AM85</f>
        <v>-1299.9599999999998</v>
      </c>
      <c r="AN86" s="1904"/>
      <c r="AO86" s="1904"/>
      <c r="AP86" s="1903">
        <f>AP84-AP85</f>
        <v>1081909.7606000002</v>
      </c>
      <c r="AQ86" s="1903">
        <f>AQ84-AQ85</f>
        <v>-186718.04</v>
      </c>
      <c r="AR86" s="1903">
        <f>AR84-AR85</f>
        <v>910391.77201479638</v>
      </c>
      <c r="AS86" s="1904"/>
      <c r="AT86" s="1904"/>
    </row>
    <row r="87" spans="1:46" s="2" customFormat="1" ht="14.4" thickBot="1">
      <c r="A87" s="295"/>
      <c r="B87" s="29" t="s">
        <v>51</v>
      </c>
      <c r="C87" s="155">
        <f>C86/C5</f>
        <v>0.23500086850790342</v>
      </c>
      <c r="D87" s="151" t="e">
        <f>D86/D5</f>
        <v>#DIV/0!</v>
      </c>
      <c r="E87" s="156">
        <f>E86/E5</f>
        <v>0.19068468631760202</v>
      </c>
      <c r="F87" s="176"/>
      <c r="G87" s="155" t="e">
        <f>G86/G5</f>
        <v>#DIV/0!</v>
      </c>
      <c r="H87" s="151" t="e">
        <f>H86/H5</f>
        <v>#DIV/0!</v>
      </c>
      <c r="I87" s="156" t="e">
        <f>I86/I5</f>
        <v>#DIV/0!</v>
      </c>
      <c r="J87" s="75"/>
      <c r="K87" s="75"/>
      <c r="L87" s="155">
        <f>L86/L5</f>
        <v>0.48372345764729219</v>
      </c>
      <c r="M87" s="151" t="e">
        <f>M86/M5</f>
        <v>#DIV/0!</v>
      </c>
      <c r="N87" s="156">
        <f>N86/N5</f>
        <v>0.48372345764729219</v>
      </c>
      <c r="O87" s="75"/>
      <c r="P87" s="75"/>
      <c r="Q87" s="155">
        <f>Q86/Q5</f>
        <v>0.17422755945353341</v>
      </c>
      <c r="R87" s="151" t="e">
        <f>R86/R5</f>
        <v>#DIV/0!</v>
      </c>
      <c r="S87" s="156">
        <f>S86/S5</f>
        <v>0.17422755945353341</v>
      </c>
      <c r="T87" s="75"/>
      <c r="U87" s="75"/>
      <c r="V87" s="155">
        <f>V86/V5</f>
        <v>0.28963904778161059</v>
      </c>
      <c r="W87" s="151" t="e">
        <f>W86/W5</f>
        <v>#DIV/0!</v>
      </c>
      <c r="X87" s="156">
        <f>X86/X5</f>
        <v>0.28515366766504502</v>
      </c>
      <c r="Y87" s="75"/>
      <c r="Z87" s="75"/>
      <c r="AA87" s="155">
        <f>AA86/AA5</f>
        <v>0.85265995780674708</v>
      </c>
      <c r="AB87" s="151" t="e">
        <f>AB86/AB5</f>
        <v>#DIV/0!</v>
      </c>
      <c r="AC87" s="156">
        <f>AC86/AC5</f>
        <v>0.78599365399650412</v>
      </c>
      <c r="AD87" s="75"/>
      <c r="AE87" s="75"/>
      <c r="AF87" s="155" t="e">
        <f>AF86/AF5</f>
        <v>#DIV/0!</v>
      </c>
      <c r="AG87" s="151" t="e">
        <f>AG86/AG5</f>
        <v>#DIV/0!</v>
      </c>
      <c r="AH87" s="156" t="e">
        <f>AH86/AH5</f>
        <v>#DIV/0!</v>
      </c>
      <c r="AI87" s="75"/>
      <c r="AJ87" s="75"/>
      <c r="AK87" s="1961" t="e">
        <f>AK86/AK5</f>
        <v>#DIV/0!</v>
      </c>
      <c r="AL87" s="1520" t="e">
        <f>AL86/AL5</f>
        <v>#DIV/0!</v>
      </c>
      <c r="AM87" s="2079" t="e">
        <f>AM86/AM5</f>
        <v>#DIV/0!</v>
      </c>
      <c r="AN87" s="2080"/>
      <c r="AO87" s="2080"/>
      <c r="AP87" s="1961">
        <f>AP86/AP5</f>
        <v>0.33312503500298435</v>
      </c>
      <c r="AQ87" s="1520" t="e">
        <f>AQ86/AQ5</f>
        <v>#DIV/0!</v>
      </c>
      <c r="AR87" s="2079">
        <f>AR86/AR5</f>
        <v>0.28031385052915103</v>
      </c>
      <c r="AS87" s="2080"/>
      <c r="AT87" s="2080"/>
    </row>
    <row r="88" spans="1:46"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1954"/>
      <c r="AL88" s="1954"/>
      <c r="AM88" s="1954"/>
      <c r="AN88" s="1954"/>
      <c r="AO88" s="1954"/>
      <c r="AP88" s="1954"/>
      <c r="AQ88" s="1954"/>
      <c r="AR88" s="1954"/>
      <c r="AS88" s="1954"/>
      <c r="AT88" s="1954"/>
    </row>
    <row r="89" spans="1:46">
      <c r="B89" s="221" t="s">
        <v>56</v>
      </c>
      <c r="C89" s="153"/>
      <c r="D89" s="153"/>
      <c r="E89" s="154">
        <f>E8+E36+E41+E50+E54+E73+E79+E82+E85</f>
        <v>2143245</v>
      </c>
      <c r="F89" s="154"/>
      <c r="G89" s="154"/>
      <c r="H89" s="154"/>
      <c r="I89" s="154">
        <f>I8+I36+I41+I50+I54+I73+I79+I82+I85</f>
        <v>24059.368979553965</v>
      </c>
      <c r="J89" s="154"/>
      <c r="K89" s="154"/>
      <c r="L89" s="154"/>
      <c r="M89" s="154"/>
      <c r="N89" s="154">
        <f>N8+N36+N41+N50+N54+N73+N79+N82+N85</f>
        <v>208204.00400000002</v>
      </c>
      <c r="S89" s="154">
        <f>S8+S36+S41+S50+S54+S73+S79+S82+S85</f>
        <v>538560.52800000005</v>
      </c>
      <c r="X89" s="154">
        <f>X8+X36+X41+X50+X54+X73+X79+X82+X85</f>
        <v>360163.88700564974</v>
      </c>
      <c r="AC89" s="154">
        <f>AC8+AC36+AC41+AC50+AC54+AC73+AC79+AC82+AC85</f>
        <v>361340.04000000004</v>
      </c>
      <c r="AH89" s="154">
        <f>AH8+AH36+AH41+AH50+AH54+AH73+AH79+AH82+AH85</f>
        <v>843739.23</v>
      </c>
      <c r="AM89" s="1960">
        <f>AM8+AM36+AM41+AM50+AM54+AM73+AM79+AM82+AM85</f>
        <v>1299.9599999999998</v>
      </c>
      <c r="AR89" s="1960">
        <f>AR8+AR36+AR41+AR50+AR54+AR73+AR79+AR82+AR85</f>
        <v>2337367.0179852038</v>
      </c>
    </row>
    <row r="90" spans="1:46">
      <c r="C90" s="153"/>
      <c r="D90" s="153"/>
      <c r="E90" s="153"/>
      <c r="AR90" s="1592" t="b">
        <f>(I89+N89+S89+X89+AC89+AH89+AM89)=AR89</f>
        <v>1</v>
      </c>
    </row>
    <row r="91" spans="1:46"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1952"/>
      <c r="AL91" s="1952"/>
      <c r="AM91" s="1952"/>
      <c r="AN91" s="1952"/>
      <c r="AO91" s="1952"/>
      <c r="AP91" s="1952"/>
      <c r="AQ91" s="1952"/>
      <c r="AR91" s="1952"/>
      <c r="AS91" s="1952"/>
      <c r="AT91" s="1952"/>
    </row>
    <row r="92" spans="1:46">
      <c r="C92" s="38"/>
      <c r="D92" s="38"/>
    </row>
    <row r="93" spans="1:46" s="2" customFormat="1">
      <c r="A93" s="8"/>
      <c r="B93" s="629"/>
      <c r="C93" s="38"/>
      <c r="D93" s="38"/>
      <c r="E93" s="38"/>
      <c r="F93" s="38"/>
      <c r="G93" s="38"/>
      <c r="H93" s="38"/>
      <c r="I93" s="686">
        <f>I5-I89</f>
        <v>-24059.368979553965</v>
      </c>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1952"/>
      <c r="AL93" s="1952"/>
      <c r="AM93" s="1952"/>
      <c r="AN93" s="1952"/>
      <c r="AO93" s="1952"/>
      <c r="AP93" s="1952"/>
      <c r="AQ93" s="1952"/>
      <c r="AR93" s="1666"/>
      <c r="AS93" s="1952"/>
      <c r="AT93" s="1952"/>
    </row>
    <row r="94" spans="1:46" s="2" customFormat="1">
      <c r="A94" s="8"/>
      <c r="B94" s="629"/>
      <c r="C94" s="38"/>
      <c r="D94" s="38"/>
      <c r="E94" s="38"/>
      <c r="F94" s="38"/>
      <c r="G94" s="38"/>
      <c r="H94" s="38"/>
      <c r="I94" s="38"/>
      <c r="J94" s="38"/>
      <c r="K94" s="38"/>
      <c r="L94" s="626"/>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1952"/>
      <c r="AL94" s="1952"/>
      <c r="AM94" s="1952"/>
      <c r="AN94" s="1952"/>
      <c r="AO94" s="1952"/>
      <c r="AP94" s="1654"/>
      <c r="AQ94" s="1952"/>
      <c r="AR94" s="1952"/>
      <c r="AS94" s="1952"/>
      <c r="AT94" s="1952"/>
    </row>
    <row r="95" spans="1:46" s="2" customFormat="1">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1952"/>
      <c r="AL95" s="1952"/>
      <c r="AM95" s="1952"/>
      <c r="AN95" s="1952"/>
      <c r="AO95" s="1952"/>
      <c r="AP95" s="1952"/>
      <c r="AQ95" s="1952"/>
      <c r="AR95" s="1952"/>
      <c r="AS95" s="1952"/>
      <c r="AT95" s="1952"/>
    </row>
    <row r="96" spans="1:46" s="2" customFormat="1">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1952"/>
      <c r="AL96" s="1952"/>
      <c r="AM96" s="1952"/>
      <c r="AN96" s="1952"/>
      <c r="AO96" s="1952"/>
      <c r="AP96" s="1952"/>
      <c r="AQ96" s="1952"/>
      <c r="AR96" s="1952"/>
      <c r="AS96" s="1952"/>
      <c r="AT96" s="1952"/>
    </row>
    <row r="97" spans="1:46">
      <c r="C97" s="38"/>
      <c r="D97" s="38"/>
    </row>
    <row r="98" spans="1:46"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1952"/>
      <c r="AL98" s="1952"/>
      <c r="AM98" s="1952"/>
      <c r="AN98" s="1952"/>
      <c r="AO98" s="1952"/>
      <c r="AP98" s="1952"/>
      <c r="AQ98" s="1952"/>
      <c r="AR98" s="1952"/>
      <c r="AS98" s="1952"/>
      <c r="AT98" s="1952"/>
    </row>
    <row r="99" spans="1:46">
      <c r="C99" s="38"/>
      <c r="D99" s="38"/>
    </row>
  </sheetData>
  <mergeCells count="11">
    <mergeCell ref="AP2:AS3"/>
    <mergeCell ref="A3:F3"/>
    <mergeCell ref="A42:A48"/>
    <mergeCell ref="A2:F2"/>
    <mergeCell ref="G2:K3"/>
    <mergeCell ref="L2:O3"/>
    <mergeCell ref="Q2:T3"/>
    <mergeCell ref="V2:Z3"/>
    <mergeCell ref="AA2:AE3"/>
    <mergeCell ref="AF2:AJ3"/>
    <mergeCell ref="AK2:AO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BD99"/>
  <sheetViews>
    <sheetView showZeros="0" zoomScale="70" zoomScaleNormal="70" workbookViewId="0">
      <pane xSplit="6" ySplit="5" topLeftCell="AT12"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1"/>
  <cols>
    <col min="1" max="1" width="5.5546875" style="8" customWidth="1"/>
    <col min="2" max="2" width="55" style="8" customWidth="1"/>
    <col min="3" max="3" width="16.44140625" style="77" hidden="1" customWidth="1"/>
    <col min="4" max="4" width="16.6640625" style="77" hidden="1" customWidth="1"/>
    <col min="5" max="5" width="16.33203125" style="38" hidden="1" customWidth="1"/>
    <col min="6" max="6" width="9.5546875" style="38" hidden="1" customWidth="1"/>
    <col min="7" max="9" width="16.33203125" style="38" hidden="1" customWidth="1" outlineLevel="1"/>
    <col min="10" max="10" width="11.88671875" style="38" hidden="1" customWidth="1" outlineLevel="1"/>
    <col min="11" max="14" width="16.33203125" style="38" hidden="1" customWidth="1" outlineLevel="1"/>
    <col min="15" max="15" width="9" style="38" hidden="1" customWidth="1" outlineLevel="1"/>
    <col min="16" max="16" width="34.5546875" style="38" hidden="1" customWidth="1" outlineLevel="1"/>
    <col min="17" max="17" width="17.109375" style="38" hidden="1" customWidth="1" outlineLevel="1"/>
    <col min="18" max="18" width="16.44140625" style="38" hidden="1" customWidth="1" outlineLevel="1"/>
    <col min="19" max="19" width="13.44140625" style="38" hidden="1" customWidth="1" outlineLevel="1"/>
    <col min="20" max="20" width="15.88671875" style="38" hidden="1" customWidth="1" outlineLevel="1"/>
    <col min="21" max="24" width="20.33203125" style="38" hidden="1" customWidth="1" outlineLevel="1"/>
    <col min="25" max="25" width="10.33203125" style="38" hidden="1" customWidth="1" outlineLevel="1"/>
    <col min="26" max="26" width="33.33203125" style="38" hidden="1" customWidth="1" outlineLevel="1"/>
    <col min="27" max="29" width="20.33203125" style="38" hidden="1" customWidth="1" outlineLevel="1"/>
    <col min="30" max="30" width="10.33203125" style="38" hidden="1" customWidth="1" outlineLevel="1"/>
    <col min="31" max="31" width="33.33203125" style="38" hidden="1" customWidth="1" outlineLevel="1"/>
    <col min="32" max="32" width="21.109375" style="38" hidden="1" customWidth="1" outlineLevel="1"/>
    <col min="33" max="33" width="22.33203125" style="38" hidden="1" customWidth="1" outlineLevel="1"/>
    <col min="34" max="34" width="21.88671875" style="38" hidden="1" customWidth="1" outlineLevel="1"/>
    <col min="35" max="35" width="20.44140625" style="38" hidden="1" customWidth="1" outlineLevel="1"/>
    <col min="36" max="36" width="33.33203125" style="38" hidden="1" customWidth="1" outlineLevel="1"/>
    <col min="37" max="37" width="15.33203125" style="38" hidden="1" customWidth="1" outlineLevel="1"/>
    <col min="38" max="38" width="19.88671875" style="38" hidden="1" customWidth="1" outlineLevel="1"/>
    <col min="39" max="39" width="21.109375" style="38" hidden="1" customWidth="1" outlineLevel="1"/>
    <col min="40" max="40" width="17.44140625" style="38" hidden="1" customWidth="1" outlineLevel="1"/>
    <col min="41" max="41" width="33.33203125" style="38" hidden="1" customWidth="1" outlineLevel="1"/>
    <col min="42" max="42" width="18.5546875" style="38" hidden="1" customWidth="1" outlineLevel="1"/>
    <col min="43" max="43" width="18.33203125" style="38" hidden="1" customWidth="1" outlineLevel="1"/>
    <col min="44" max="44" width="18.6640625" style="38" hidden="1" customWidth="1" outlineLevel="1"/>
    <col min="45" max="45" width="13.6640625" style="38" hidden="1" customWidth="1" outlineLevel="1"/>
    <col min="46" max="46" width="33.33203125" style="38" hidden="1" customWidth="1" outlineLevel="1"/>
    <col min="47" max="47" width="18.5546875" style="1431" hidden="1" customWidth="1" outlineLevel="1"/>
    <col min="48" max="48" width="18.33203125" style="1431" hidden="1" customWidth="1" outlineLevel="1"/>
    <col min="49" max="49" width="18.6640625" style="1431" hidden="1" customWidth="1" outlineLevel="1"/>
    <col min="50" max="50" width="13.6640625" style="1431" hidden="1" customWidth="1" outlineLevel="1"/>
    <col min="51" max="51" width="33.33203125" style="1431" hidden="1" customWidth="1" outlineLevel="1"/>
    <col min="52" max="52" width="16.33203125" style="38" customWidth="1" collapsed="1"/>
    <col min="53" max="54" width="16.33203125" style="38" customWidth="1"/>
    <col min="55" max="55" width="9" style="38" customWidth="1"/>
    <col min="56" max="56" width="16.33203125" style="38" customWidth="1"/>
    <col min="57" max="16384" width="7.44140625" style="1"/>
  </cols>
  <sheetData>
    <row r="1" spans="1:56" ht="13.8" thickBot="1">
      <c r="C1" s="38"/>
      <c r="D1" s="38"/>
    </row>
    <row r="2" spans="1:56" ht="22.2" customHeight="1">
      <c r="A2" s="4834" t="s">
        <v>134</v>
      </c>
      <c r="B2" s="4835"/>
      <c r="C2" s="4835"/>
      <c r="D2" s="4835"/>
      <c r="E2" s="4835"/>
      <c r="F2" s="4836"/>
      <c r="G2" s="4837" t="s">
        <v>465</v>
      </c>
      <c r="H2" s="4838"/>
      <c r="I2" s="4838"/>
      <c r="J2" s="4838"/>
      <c r="K2" s="382"/>
      <c r="L2" s="4837" t="s">
        <v>466</v>
      </c>
      <c r="M2" s="4838"/>
      <c r="N2" s="4838"/>
      <c r="O2" s="4838"/>
      <c r="P2" s="382"/>
      <c r="Q2" s="4837" t="s">
        <v>545</v>
      </c>
      <c r="R2" s="4838"/>
      <c r="S2" s="4838"/>
      <c r="T2" s="4838"/>
      <c r="U2" s="427"/>
      <c r="V2" s="4837" t="s">
        <v>624</v>
      </c>
      <c r="W2" s="4838"/>
      <c r="X2" s="4838"/>
      <c r="Y2" s="4838"/>
      <c r="Z2" s="468"/>
      <c r="AA2" s="4892" t="s">
        <v>714</v>
      </c>
      <c r="AB2" s="4893"/>
      <c r="AC2" s="4893"/>
      <c r="AD2" s="4893"/>
      <c r="AE2" s="533"/>
      <c r="AF2" s="4892" t="s">
        <v>770</v>
      </c>
      <c r="AG2" s="4893"/>
      <c r="AH2" s="4893"/>
      <c r="AI2" s="4893"/>
      <c r="AJ2" s="627"/>
      <c r="AK2" s="4922" t="s">
        <v>820</v>
      </c>
      <c r="AL2" s="4923"/>
      <c r="AM2" s="4923"/>
      <c r="AN2" s="4923"/>
      <c r="AO2" s="4924"/>
      <c r="AP2" s="4955" t="s">
        <v>836</v>
      </c>
      <c r="AQ2" s="4956"/>
      <c r="AR2" s="4956"/>
      <c r="AS2" s="4956"/>
      <c r="AT2" s="4957"/>
      <c r="AU2" s="4992" t="s">
        <v>1232</v>
      </c>
      <c r="AV2" s="4993"/>
      <c r="AW2" s="4993"/>
      <c r="AX2" s="4993"/>
      <c r="AY2" s="4994"/>
      <c r="AZ2" s="4988" t="s">
        <v>469</v>
      </c>
      <c r="BA2" s="4989"/>
      <c r="BB2" s="4989"/>
      <c r="BC2" s="4989"/>
      <c r="BD2" s="384"/>
    </row>
    <row r="3" spans="1:56" ht="14.4" customHeight="1" thickBot="1">
      <c r="A3" s="4853" t="s">
        <v>54</v>
      </c>
      <c r="B3" s="4854"/>
      <c r="C3" s="4854"/>
      <c r="D3" s="4854"/>
      <c r="E3" s="4854"/>
      <c r="F3" s="4855"/>
      <c r="G3" s="4839"/>
      <c r="H3" s="4840"/>
      <c r="I3" s="4840"/>
      <c r="J3" s="4840"/>
      <c r="K3" s="383"/>
      <c r="L3" s="4839"/>
      <c r="M3" s="4840"/>
      <c r="N3" s="4840"/>
      <c r="O3" s="4840"/>
      <c r="P3" s="383"/>
      <c r="Q3" s="4839"/>
      <c r="R3" s="4840"/>
      <c r="S3" s="4840"/>
      <c r="T3" s="4840"/>
      <c r="U3" s="428"/>
      <c r="V3" s="4839"/>
      <c r="W3" s="4840"/>
      <c r="X3" s="4840"/>
      <c r="Y3" s="4840"/>
      <c r="Z3" s="469"/>
      <c r="AA3" s="4895"/>
      <c r="AB3" s="4896"/>
      <c r="AC3" s="4896"/>
      <c r="AD3" s="4896"/>
      <c r="AE3" s="534"/>
      <c r="AF3" s="4895"/>
      <c r="AG3" s="4896"/>
      <c r="AH3" s="4896"/>
      <c r="AI3" s="4896"/>
      <c r="AJ3" s="628"/>
      <c r="AK3" s="4925"/>
      <c r="AL3" s="4926"/>
      <c r="AM3" s="4926"/>
      <c r="AN3" s="4926"/>
      <c r="AO3" s="4927"/>
      <c r="AP3" s="4958"/>
      <c r="AQ3" s="4959"/>
      <c r="AR3" s="4959"/>
      <c r="AS3" s="4959"/>
      <c r="AT3" s="4960"/>
      <c r="AU3" s="4995"/>
      <c r="AV3" s="4996"/>
      <c r="AW3" s="4996"/>
      <c r="AX3" s="4996"/>
      <c r="AY3" s="4997"/>
      <c r="AZ3" s="4990"/>
      <c r="BA3" s="4991"/>
      <c r="BB3" s="4991"/>
      <c r="BC3" s="4991"/>
      <c r="BD3" s="385"/>
    </row>
    <row r="4" spans="1:56"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1473" t="s">
        <v>55</v>
      </c>
      <c r="AV4" s="1473" t="s">
        <v>18</v>
      </c>
      <c r="AW4" s="1474" t="s">
        <v>39</v>
      </c>
      <c r="AX4" s="1551" t="s">
        <v>40</v>
      </c>
      <c r="AY4" s="1474" t="s">
        <v>19</v>
      </c>
      <c r="AZ4" s="94" t="s">
        <v>55</v>
      </c>
      <c r="BA4" s="94" t="s">
        <v>18</v>
      </c>
      <c r="BB4" s="95" t="s">
        <v>39</v>
      </c>
      <c r="BC4" s="209" t="s">
        <v>40</v>
      </c>
      <c r="BD4" s="95" t="s">
        <v>19</v>
      </c>
    </row>
    <row r="5" spans="1:56" s="88" customFormat="1" ht="14.4" thickBot="1">
      <c r="A5" s="83"/>
      <c r="B5" s="84" t="s">
        <v>10</v>
      </c>
      <c r="C5" s="85">
        <f>C6</f>
        <v>52779835.800894544</v>
      </c>
      <c r="D5" s="85">
        <f>D6</f>
        <v>0</v>
      </c>
      <c r="E5" s="86">
        <f>E6</f>
        <v>52779835.800894544</v>
      </c>
      <c r="F5" s="87"/>
      <c r="G5" s="87">
        <f>G6</f>
        <v>52249477.170000002</v>
      </c>
      <c r="H5" s="87">
        <f>H6</f>
        <v>0</v>
      </c>
      <c r="I5" s="87">
        <f>I6</f>
        <v>52249477.170000002</v>
      </c>
      <c r="J5" s="87"/>
      <c r="K5" s="87"/>
      <c r="L5" s="87">
        <f>L6</f>
        <v>52001.1</v>
      </c>
      <c r="M5" s="87">
        <f>M6</f>
        <v>0</v>
      </c>
      <c r="N5" s="87">
        <f>N6</f>
        <v>52001.1</v>
      </c>
      <c r="O5" s="87"/>
      <c r="P5" s="87"/>
      <c r="Q5" s="87">
        <f>Q6</f>
        <v>308330.86</v>
      </c>
      <c r="R5" s="87">
        <f>R6</f>
        <v>0</v>
      </c>
      <c r="S5" s="87">
        <f>S6</f>
        <v>308330.86</v>
      </c>
      <c r="T5" s="87"/>
      <c r="U5" s="87"/>
      <c r="V5" s="87">
        <f>V6</f>
        <v>96039.34</v>
      </c>
      <c r="W5" s="87">
        <f>W6</f>
        <v>0</v>
      </c>
      <c r="X5" s="87">
        <f>X6</f>
        <v>96039.34</v>
      </c>
      <c r="Y5" s="87"/>
      <c r="Z5" s="87"/>
      <c r="AA5" s="87">
        <f>AA6</f>
        <v>0</v>
      </c>
      <c r="AB5" s="87">
        <f>AB6</f>
        <v>0</v>
      </c>
      <c r="AC5" s="87">
        <f>AC6</f>
        <v>0</v>
      </c>
      <c r="AD5" s="87"/>
      <c r="AE5" s="87"/>
      <c r="AF5" s="87">
        <f>AF6</f>
        <v>0</v>
      </c>
      <c r="AG5" s="87">
        <f>AG6</f>
        <v>0</v>
      </c>
      <c r="AH5" s="87">
        <f>AH6</f>
        <v>0</v>
      </c>
      <c r="AI5" s="87"/>
      <c r="AJ5" s="87"/>
      <c r="AK5" s="87">
        <f>AK6</f>
        <v>111982.78</v>
      </c>
      <c r="AL5" s="87">
        <f>AL6</f>
        <v>0</v>
      </c>
      <c r="AM5" s="87">
        <f>AM6</f>
        <v>111982.78</v>
      </c>
      <c r="AN5" s="87"/>
      <c r="AO5" s="87"/>
      <c r="AP5" s="87">
        <f>AP6</f>
        <v>0</v>
      </c>
      <c r="AQ5" s="87">
        <f>AQ6</f>
        <v>0</v>
      </c>
      <c r="AR5" s="87">
        <f>AR6</f>
        <v>0</v>
      </c>
      <c r="AS5" s="87"/>
      <c r="AT5" s="87"/>
      <c r="AU5" s="1466">
        <f>AU6</f>
        <v>0</v>
      </c>
      <c r="AV5" s="1466">
        <f>AV6</f>
        <v>0</v>
      </c>
      <c r="AW5" s="1466">
        <f>AW6</f>
        <v>0</v>
      </c>
      <c r="AX5" s="1466"/>
      <c r="AY5" s="1466"/>
      <c r="AZ5" s="87">
        <f>AZ6+AZ7</f>
        <v>52976355.480000004</v>
      </c>
      <c r="BA5" s="87">
        <f>BA6+BA7</f>
        <v>11000</v>
      </c>
      <c r="BB5" s="87">
        <f>BB6+BB7</f>
        <v>52987355.480000004</v>
      </c>
      <c r="BC5" s="87"/>
      <c r="BD5" s="87"/>
    </row>
    <row r="6" spans="1:56" s="2" customFormat="1" ht="13.8" outlineLevel="1">
      <c r="A6" s="238"/>
      <c r="B6" s="9" t="s">
        <v>17</v>
      </c>
      <c r="C6" s="104">
        <v>52779835.800894544</v>
      </c>
      <c r="D6" s="105"/>
      <c r="E6" s="106">
        <f>C6+D6</f>
        <v>52779835.800894544</v>
      </c>
      <c r="F6" s="39"/>
      <c r="G6" s="39">
        <v>52249477.170000002</v>
      </c>
      <c r="H6" s="39">
        <v>0</v>
      </c>
      <c r="I6" s="106">
        <f>G6+H6</f>
        <v>52249477.170000002</v>
      </c>
      <c r="J6" s="39"/>
      <c r="K6" s="39"/>
      <c r="L6" s="39">
        <v>52001.1</v>
      </c>
      <c r="M6" s="39"/>
      <c r="N6" s="106">
        <f>L6+M6</f>
        <v>52001.1</v>
      </c>
      <c r="O6" s="39"/>
      <c r="P6" s="39"/>
      <c r="Q6" s="39">
        <f>76389.36+57981.46+95015.8+78944.24</f>
        <v>308330.86</v>
      </c>
      <c r="R6" s="39"/>
      <c r="S6" s="106">
        <f>Q6+R6</f>
        <v>308330.86</v>
      </c>
      <c r="T6" s="39"/>
      <c r="U6" s="39"/>
      <c r="V6" s="39">
        <v>96039.34</v>
      </c>
      <c r="W6" s="39"/>
      <c r="X6" s="106">
        <f>V6+W6</f>
        <v>96039.34</v>
      </c>
      <c r="Y6" s="39"/>
      <c r="Z6" s="39"/>
      <c r="AA6" s="39"/>
      <c r="AB6" s="39"/>
      <c r="AC6" s="106">
        <f>AA6+AB6</f>
        <v>0</v>
      </c>
      <c r="AD6" s="39"/>
      <c r="AE6" s="39"/>
      <c r="AF6" s="39"/>
      <c r="AG6" s="39"/>
      <c r="AH6" s="106">
        <f>AF6+AG6</f>
        <v>0</v>
      </c>
      <c r="AI6" s="39"/>
      <c r="AJ6" s="39"/>
      <c r="AK6" s="39">
        <v>111982.78</v>
      </c>
      <c r="AL6" s="39"/>
      <c r="AM6" s="106">
        <f>AK6+AL6</f>
        <v>111982.78</v>
      </c>
      <c r="AN6" s="39"/>
      <c r="AO6" s="39"/>
      <c r="AP6" s="39"/>
      <c r="AQ6" s="39"/>
      <c r="AR6" s="106">
        <f>AP6+AQ6</f>
        <v>0</v>
      </c>
      <c r="AS6" s="39"/>
      <c r="AT6" s="39"/>
      <c r="AU6" s="1432"/>
      <c r="AV6" s="1432"/>
      <c r="AW6" s="1480">
        <f>AU6+AV6</f>
        <v>0</v>
      </c>
      <c r="AX6" s="1432"/>
      <c r="AY6" s="1432"/>
      <c r="AZ6" s="39">
        <f>G6+L6+Q6+V6+AA6+AF6+AK6+AP6+AU6</f>
        <v>52817831.250000007</v>
      </c>
      <c r="BA6" s="39">
        <f>H6+M6+R6+W6+AB6+AG6+AL6+AQ6+AV6</f>
        <v>0</v>
      </c>
      <c r="BB6" s="106">
        <f>AZ6+BA6</f>
        <v>52817831.250000007</v>
      </c>
      <c r="BC6" s="39"/>
      <c r="BD6" s="39"/>
    </row>
    <row r="7" spans="1:56" s="2" customFormat="1" ht="33.6" customHeight="1" outlineLevel="1" collapsed="1" thickBot="1">
      <c r="A7" s="238"/>
      <c r="B7" s="10" t="s">
        <v>41</v>
      </c>
      <c r="C7" s="107"/>
      <c r="D7" s="108"/>
      <c r="E7" s="106">
        <f>C7+D7</f>
        <v>0</v>
      </c>
      <c r="F7" s="40"/>
      <c r="G7" s="39">
        <v>158524.23000000001</v>
      </c>
      <c r="H7" s="39">
        <v>11000</v>
      </c>
      <c r="I7" s="106">
        <f>G7+H7</f>
        <v>169524.23</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40"/>
      <c r="AF7" s="39"/>
      <c r="AG7" s="39"/>
      <c r="AH7" s="106">
        <f>AF7+AG7</f>
        <v>0</v>
      </c>
      <c r="AI7" s="40"/>
      <c r="AJ7" s="40"/>
      <c r="AK7" s="39"/>
      <c r="AL7" s="39"/>
      <c r="AM7" s="106">
        <f>AK7+AL7</f>
        <v>0</v>
      </c>
      <c r="AN7" s="40"/>
      <c r="AO7" s="40"/>
      <c r="AP7" s="39"/>
      <c r="AQ7" s="39"/>
      <c r="AR7" s="106">
        <f>AP7+AQ7</f>
        <v>0</v>
      </c>
      <c r="AS7" s="40"/>
      <c r="AT7" s="40"/>
      <c r="AU7" s="1432"/>
      <c r="AV7" s="1432"/>
      <c r="AW7" s="1480">
        <f>AU7+AV7</f>
        <v>0</v>
      </c>
      <c r="AX7" s="1905"/>
      <c r="AY7" s="1905"/>
      <c r="AZ7" s="39">
        <f>G7+L7+Q7+V7+AA7+AF7+AK7+AP7+AU7</f>
        <v>158524.23000000001</v>
      </c>
      <c r="BA7" s="39">
        <f>H7+M7+R7+W7+AB7+AG7+AL7+AQ7+AV7</f>
        <v>11000</v>
      </c>
      <c r="BB7" s="106">
        <f>AZ7+BA7</f>
        <v>169524.23</v>
      </c>
      <c r="BC7" s="40"/>
      <c r="BD7" s="40"/>
    </row>
    <row r="8" spans="1:56" s="88" customFormat="1" ht="15" customHeight="1" outlineLevel="1" thickBot="1">
      <c r="A8" s="238"/>
      <c r="B8" s="84" t="s">
        <v>16</v>
      </c>
      <c r="C8" s="109">
        <f>SUM(C9:C33)</f>
        <v>27892457.553900793</v>
      </c>
      <c r="D8" s="109">
        <f>SUM(D9:D33)</f>
        <v>11005297.78441545</v>
      </c>
      <c r="E8" s="110">
        <f>SUM(E9:E33)</f>
        <v>38897755.338316232</v>
      </c>
      <c r="F8" s="164">
        <f t="shared" ref="F8:F21" si="0">E8/$E$89</f>
        <v>0.93842874105007323</v>
      </c>
      <c r="G8" s="109">
        <f>SUM(G9:G33)</f>
        <v>30890448.521300003</v>
      </c>
      <c r="H8" s="109">
        <f>SUM(H9:H33)</f>
        <v>9530330.9900000021</v>
      </c>
      <c r="I8" s="110">
        <f>SUM(I9:I33)</f>
        <v>40420779.511299998</v>
      </c>
      <c r="J8" s="164">
        <f t="shared" ref="J8:J21" si="1">I8/$I$89</f>
        <v>0.94332831583253018</v>
      </c>
      <c r="K8" s="87"/>
      <c r="L8" s="109">
        <f>SUM(L9:L33)</f>
        <v>88552.962</v>
      </c>
      <c r="M8" s="109">
        <f>SUM(M9:M33)</f>
        <v>72515</v>
      </c>
      <c r="N8" s="110">
        <f>SUM(N9:N33)</f>
        <v>161067.96199999997</v>
      </c>
      <c r="O8" s="164">
        <f t="shared" ref="O8:O21" si="2">N8/$N$89</f>
        <v>0.75131744350617935</v>
      </c>
      <c r="P8" s="87"/>
      <c r="Q8" s="109">
        <f>SUM(Q9:Q33)</f>
        <v>121344.11199999999</v>
      </c>
      <c r="R8" s="109">
        <f>SUM(R9:R33)</f>
        <v>104858.5</v>
      </c>
      <c r="S8" s="110">
        <f>SUM(S9:S33)</f>
        <v>226202.61199999999</v>
      </c>
      <c r="T8" s="164">
        <f>S8/$S$89</f>
        <v>0.93297077706893239</v>
      </c>
      <c r="U8" s="87"/>
      <c r="V8" s="109">
        <f>SUM(V9:V33)</f>
        <v>44673.446799999998</v>
      </c>
      <c r="W8" s="109">
        <f>SUM(W9:W33)</f>
        <v>23039.239999999998</v>
      </c>
      <c r="X8" s="110">
        <f>SUM(X9:X33)</f>
        <v>67712.686799999996</v>
      </c>
      <c r="Y8" s="164">
        <f>X8/$X$89</f>
        <v>0.85918540379272357</v>
      </c>
      <c r="Z8" s="87"/>
      <c r="AA8" s="109">
        <f>SUM(AA9:AA33)</f>
        <v>4032.9959999999996</v>
      </c>
      <c r="AB8" s="109">
        <f>SUM(AB9:AB33)</f>
        <v>0</v>
      </c>
      <c r="AC8" s="110">
        <f>SUM(AC9:AC33)</f>
        <v>4032.9959999999996</v>
      </c>
      <c r="AD8" s="164">
        <f>AC8/$AC$89</f>
        <v>1</v>
      </c>
      <c r="AE8" s="87"/>
      <c r="AF8" s="109">
        <f>SUM(AF9:AF33)</f>
        <v>0</v>
      </c>
      <c r="AG8" s="109">
        <f>SUM(AG9:AG33)</f>
        <v>2861</v>
      </c>
      <c r="AH8" s="110">
        <f>SUM(AH9:AH33)</f>
        <v>2861</v>
      </c>
      <c r="AI8" s="164">
        <f>AH8/$AC$89</f>
        <v>0.70939817445888864</v>
      </c>
      <c r="AJ8" s="87"/>
      <c r="AK8" s="109">
        <f>SUM(AK9:AK33)</f>
        <v>0</v>
      </c>
      <c r="AL8" s="109">
        <f>SUM(AL9:AL33)</f>
        <v>0</v>
      </c>
      <c r="AM8" s="110">
        <f>SUM(AM9:AM33)</f>
        <v>0</v>
      </c>
      <c r="AN8" s="164" t="e">
        <f t="shared" ref="AN8:AN33" si="3">AM8/$AM$89</f>
        <v>#DIV/0!</v>
      </c>
      <c r="AO8" s="87"/>
      <c r="AP8" s="109">
        <f>SUM(AP9:AP33)</f>
        <v>0</v>
      </c>
      <c r="AQ8" s="109">
        <f>SUM(AQ9:AQ33)</f>
        <v>0</v>
      </c>
      <c r="AR8" s="110">
        <f>SUM(AR9:AR33)</f>
        <v>0</v>
      </c>
      <c r="AS8" s="164" t="e">
        <f>AR8/$AM$89</f>
        <v>#DIV/0!</v>
      </c>
      <c r="AT8" s="87"/>
      <c r="AU8" s="1483">
        <f>SUM(AU9:AU33)</f>
        <v>1416</v>
      </c>
      <c r="AV8" s="1483">
        <f>SUM(AV9:AV33)</f>
        <v>0</v>
      </c>
      <c r="AW8" s="1484">
        <f>SUM(AW9:AW33)</f>
        <v>1416</v>
      </c>
      <c r="AX8" s="1528" t="e">
        <f>AW8/$AM$89</f>
        <v>#DIV/0!</v>
      </c>
      <c r="AY8" s="1466"/>
      <c r="AZ8" s="109">
        <f>SUM(AZ9:AZ33)</f>
        <v>31150468.038100008</v>
      </c>
      <c r="BA8" s="109">
        <f>SUM(BA9:BA33)</f>
        <v>9733604.7300000004</v>
      </c>
      <c r="BB8" s="110">
        <f>SUM(BB9:BB33)</f>
        <v>40884072.768100001</v>
      </c>
      <c r="BC8" s="164">
        <f t="shared" ref="BC8:BC21" si="4">BB8/$BB$89</f>
        <v>0.94217086268204986</v>
      </c>
      <c r="BD8" s="87"/>
    </row>
    <row r="9" spans="1:56" s="2" customFormat="1" ht="92.4" customHeight="1" outlineLevel="2">
      <c r="A9" s="238"/>
      <c r="B9" s="31" t="s">
        <v>74</v>
      </c>
      <c r="C9" s="111">
        <v>472132.5</v>
      </c>
      <c r="D9" s="112"/>
      <c r="E9" s="106">
        <f t="shared" ref="E9:E33" si="5">C9+D9</f>
        <v>472132.5</v>
      </c>
      <c r="F9" s="177">
        <f t="shared" si="0"/>
        <v>1.1390444094530688E-2</v>
      </c>
      <c r="G9" s="39">
        <v>875371.71000000008</v>
      </c>
      <c r="H9" s="39">
        <v>0</v>
      </c>
      <c r="I9" s="210">
        <f>G9+H9*1</f>
        <v>875371.71000000008</v>
      </c>
      <c r="J9" s="178">
        <f t="shared" si="1"/>
        <v>2.0429168633199973E-2</v>
      </c>
      <c r="K9" s="42"/>
      <c r="L9" s="39"/>
      <c r="M9" s="39"/>
      <c r="N9" s="210">
        <f>L9+M9*1</f>
        <v>0</v>
      </c>
      <c r="O9" s="178">
        <f t="shared" si="2"/>
        <v>0</v>
      </c>
      <c r="P9" s="42"/>
      <c r="Q9" s="39"/>
      <c r="R9" s="39"/>
      <c r="S9" s="210">
        <f>Q9+R9*1</f>
        <v>0</v>
      </c>
      <c r="T9" s="178">
        <f t="shared" ref="T9:T15" si="6">S9/$N$89</f>
        <v>0</v>
      </c>
      <c r="U9" s="42"/>
      <c r="V9" s="39"/>
      <c r="W9" s="39"/>
      <c r="X9" s="210">
        <f>V9+W9*1</f>
        <v>0</v>
      </c>
      <c r="Y9" s="178">
        <f>X9/$X$89</f>
        <v>0</v>
      </c>
      <c r="Z9" s="42"/>
      <c r="AA9" s="39"/>
      <c r="AB9" s="39"/>
      <c r="AC9" s="210">
        <f>AA9+AB9*1</f>
        <v>0</v>
      </c>
      <c r="AD9" s="178">
        <f>AC9/$AC$89</f>
        <v>0</v>
      </c>
      <c r="AE9" s="42"/>
      <c r="AF9" s="39"/>
      <c r="AG9" s="39"/>
      <c r="AH9" s="210">
        <f>AF9+AG9*1</f>
        <v>0</v>
      </c>
      <c r="AI9" s="178">
        <f>AH9/$AC$89</f>
        <v>0</v>
      </c>
      <c r="AJ9" s="42"/>
      <c r="AK9" s="39"/>
      <c r="AL9" s="39"/>
      <c r="AM9" s="210">
        <f>AK9+AL9*1</f>
        <v>0</v>
      </c>
      <c r="AN9" s="178" t="e">
        <f>AM9/$AM$89</f>
        <v>#DIV/0!</v>
      </c>
      <c r="AO9" s="42"/>
      <c r="AP9" s="39"/>
      <c r="AQ9" s="39"/>
      <c r="AR9" s="210">
        <f>AP9+AQ9*1</f>
        <v>0</v>
      </c>
      <c r="AS9" s="178" t="e">
        <f>AR9/$AM$89</f>
        <v>#DIV/0!</v>
      </c>
      <c r="AT9" s="42"/>
      <c r="AU9" s="1432"/>
      <c r="AV9" s="1432"/>
      <c r="AW9" s="1552">
        <f>AU9+AV9*1</f>
        <v>0</v>
      </c>
      <c r="AX9" s="1877" t="e">
        <f>AW9/$AM$89</f>
        <v>#DIV/0!</v>
      </c>
      <c r="AY9" s="1434"/>
      <c r="AZ9" s="39">
        <f t="shared" ref="AZ9:AZ33" si="7">G9+L9+Q9+V9+AA9+AF9+AK9+AP9+AU9</f>
        <v>875371.71000000008</v>
      </c>
      <c r="BA9" s="39">
        <f t="shared" ref="BA9:BA33" si="8">H9+M9+R9+W9+AB9+AG9+AL9+AQ9+AV9</f>
        <v>0</v>
      </c>
      <c r="BB9" s="210">
        <f>AZ9+BA9*1</f>
        <v>875371.71000000008</v>
      </c>
      <c r="BC9" s="178">
        <f t="shared" si="4"/>
        <v>2.0172885511095074E-2</v>
      </c>
      <c r="BD9" s="42"/>
    </row>
    <row r="10" spans="1:56" s="2" customFormat="1" ht="37.200000000000003" customHeight="1" outlineLevel="2">
      <c r="A10" s="238"/>
      <c r="B10" s="31" t="s">
        <v>72</v>
      </c>
      <c r="C10" s="111">
        <v>114367.5</v>
      </c>
      <c r="D10" s="112"/>
      <c r="E10" s="106">
        <f t="shared" si="5"/>
        <v>114367.5</v>
      </c>
      <c r="F10" s="177">
        <f t="shared" si="0"/>
        <v>2.7591758986751356E-3</v>
      </c>
      <c r="G10" s="39">
        <v>217393.26080000002</v>
      </c>
      <c r="H10" s="39">
        <v>0</v>
      </c>
      <c r="I10" s="210">
        <f t="shared" ref="I10:I33" si="9">G10+H10*1</f>
        <v>217393.26080000002</v>
      </c>
      <c r="J10" s="178">
        <f t="shared" si="1"/>
        <v>5.0734602613607665E-3</v>
      </c>
      <c r="K10" s="42"/>
      <c r="L10" s="39"/>
      <c r="M10" s="39"/>
      <c r="N10" s="210">
        <f t="shared" ref="N10:N33" si="10">L10+M10*1</f>
        <v>0</v>
      </c>
      <c r="O10" s="178">
        <f t="shared" si="2"/>
        <v>0</v>
      </c>
      <c r="P10" s="42"/>
      <c r="Q10" s="39"/>
      <c r="R10" s="39"/>
      <c r="S10" s="210">
        <f t="shared" ref="S10:S33" si="11">Q10+R10*1</f>
        <v>0</v>
      </c>
      <c r="T10" s="178">
        <f t="shared" si="6"/>
        <v>0</v>
      </c>
      <c r="U10" s="42"/>
      <c r="V10" s="39"/>
      <c r="W10" s="39"/>
      <c r="X10" s="210">
        <f t="shared" ref="X10:X21" si="12">V10+W10*1</f>
        <v>0</v>
      </c>
      <c r="Y10" s="178">
        <f>X10/$X$89</f>
        <v>0</v>
      </c>
      <c r="Z10" s="42"/>
      <c r="AA10" s="39"/>
      <c r="AB10" s="39"/>
      <c r="AC10" s="210">
        <f t="shared" ref="AC10:AC21" si="13">AA10+AB10*1</f>
        <v>0</v>
      </c>
      <c r="AD10" s="178">
        <f t="shared" ref="AD10:AD33" si="14">AC10/$AC$89</f>
        <v>0</v>
      </c>
      <c r="AE10" s="42"/>
      <c r="AF10" s="39"/>
      <c r="AG10" s="39"/>
      <c r="AH10" s="210">
        <f t="shared" ref="AH10:AH21" si="15">AF10+AG10*1</f>
        <v>0</v>
      </c>
      <c r="AI10" s="178">
        <f t="shared" ref="AI10:AI15" si="16">AH10/$AC$89</f>
        <v>0</v>
      </c>
      <c r="AJ10" s="42"/>
      <c r="AK10" s="39"/>
      <c r="AL10" s="39"/>
      <c r="AM10" s="210">
        <f t="shared" ref="AM10:AM21" si="17">AK10+AL10*1</f>
        <v>0</v>
      </c>
      <c r="AN10" s="178" t="e">
        <f t="shared" si="3"/>
        <v>#DIV/0!</v>
      </c>
      <c r="AO10" s="42"/>
      <c r="AP10" s="39"/>
      <c r="AQ10" s="39"/>
      <c r="AR10" s="210">
        <f t="shared" ref="AR10:AR21" si="18">AP10+AQ10*1</f>
        <v>0</v>
      </c>
      <c r="AS10" s="178" t="e">
        <f t="shared" ref="AS10:AS33" si="19">AR10/$AM$89</f>
        <v>#DIV/0!</v>
      </c>
      <c r="AT10" s="42"/>
      <c r="AU10" s="1432"/>
      <c r="AV10" s="1432"/>
      <c r="AW10" s="1552">
        <f t="shared" ref="AW10:AW21" si="20">AU10+AV10*1</f>
        <v>0</v>
      </c>
      <c r="AX10" s="1877" t="e">
        <f t="shared" ref="AX10:AX33" si="21">AW10/$AM$89</f>
        <v>#DIV/0!</v>
      </c>
      <c r="AY10" s="1434"/>
      <c r="AZ10" s="39">
        <f t="shared" si="7"/>
        <v>217393.26080000002</v>
      </c>
      <c r="BA10" s="39">
        <f t="shared" si="8"/>
        <v>0</v>
      </c>
      <c r="BB10" s="210">
        <f t="shared" ref="BB10:BB33" si="22">AZ10+BA10*1</f>
        <v>217393.26080000002</v>
      </c>
      <c r="BC10" s="178">
        <f t="shared" si="4"/>
        <v>5.0098139006594499E-3</v>
      </c>
      <c r="BD10" s="42"/>
    </row>
    <row r="11" spans="1:56" s="2" customFormat="1" ht="30.6" customHeight="1" outlineLevel="2">
      <c r="A11" s="238"/>
      <c r="B11" s="31" t="s">
        <v>69</v>
      </c>
      <c r="C11" s="111">
        <v>129030</v>
      </c>
      <c r="D11" s="112"/>
      <c r="E11" s="106">
        <f t="shared" si="5"/>
        <v>129030</v>
      </c>
      <c r="F11" s="177">
        <f t="shared" si="0"/>
        <v>3.1129163985052812E-3</v>
      </c>
      <c r="G11" s="39">
        <v>238029.0723</v>
      </c>
      <c r="H11" s="39">
        <v>0</v>
      </c>
      <c r="I11" s="210">
        <f t="shared" si="9"/>
        <v>238029.0723</v>
      </c>
      <c r="J11" s="178">
        <f t="shared" si="1"/>
        <v>5.5550527873705772E-3</v>
      </c>
      <c r="K11" s="42"/>
      <c r="L11" s="39"/>
      <c r="M11" s="39"/>
      <c r="N11" s="210">
        <f t="shared" si="10"/>
        <v>0</v>
      </c>
      <c r="O11" s="178">
        <f t="shared" si="2"/>
        <v>0</v>
      </c>
      <c r="P11" s="42"/>
      <c r="Q11" s="39"/>
      <c r="R11" s="39"/>
      <c r="S11" s="210">
        <f t="shared" si="11"/>
        <v>0</v>
      </c>
      <c r="T11" s="178">
        <f t="shared" si="6"/>
        <v>0</v>
      </c>
      <c r="U11" s="42"/>
      <c r="V11" s="39"/>
      <c r="W11" s="39"/>
      <c r="X11" s="210">
        <f t="shared" si="12"/>
        <v>0</v>
      </c>
      <c r="Y11" s="178">
        <f t="shared" ref="Y11:Y33" si="23">X11/$X$89</f>
        <v>0</v>
      </c>
      <c r="Z11" s="42"/>
      <c r="AA11" s="39"/>
      <c r="AB11" s="39"/>
      <c r="AC11" s="210">
        <f t="shared" si="13"/>
        <v>0</v>
      </c>
      <c r="AD11" s="178">
        <f t="shared" si="14"/>
        <v>0</v>
      </c>
      <c r="AE11" s="42"/>
      <c r="AF11" s="39"/>
      <c r="AG11" s="39"/>
      <c r="AH11" s="210">
        <f t="shared" si="15"/>
        <v>0</v>
      </c>
      <c r="AI11" s="178">
        <f t="shared" si="16"/>
        <v>0</v>
      </c>
      <c r="AJ11" s="42"/>
      <c r="AK11" s="39"/>
      <c r="AL11" s="39"/>
      <c r="AM11" s="210">
        <f t="shared" si="17"/>
        <v>0</v>
      </c>
      <c r="AN11" s="178" t="e">
        <f t="shared" si="3"/>
        <v>#DIV/0!</v>
      </c>
      <c r="AO11" s="42"/>
      <c r="AP11" s="39"/>
      <c r="AQ11" s="39"/>
      <c r="AR11" s="210">
        <f t="shared" si="18"/>
        <v>0</v>
      </c>
      <c r="AS11" s="178" t="e">
        <f t="shared" si="19"/>
        <v>#DIV/0!</v>
      </c>
      <c r="AT11" s="42"/>
      <c r="AU11" s="1432"/>
      <c r="AV11" s="1432"/>
      <c r="AW11" s="1552">
        <f t="shared" si="20"/>
        <v>0</v>
      </c>
      <c r="AX11" s="1877" t="e">
        <f t="shared" si="21"/>
        <v>#DIV/0!</v>
      </c>
      <c r="AY11" s="1434"/>
      <c r="AZ11" s="39">
        <f t="shared" si="7"/>
        <v>238029.0723</v>
      </c>
      <c r="BA11" s="39">
        <f t="shared" si="8"/>
        <v>0</v>
      </c>
      <c r="BB11" s="210">
        <f t="shared" si="22"/>
        <v>238029.0723</v>
      </c>
      <c r="BC11" s="178">
        <f t="shared" si="4"/>
        <v>5.4853648672517318E-3</v>
      </c>
      <c r="BD11" s="42"/>
    </row>
    <row r="12" spans="1:56" s="2" customFormat="1" ht="36" customHeight="1" outlineLevel="2">
      <c r="A12" s="238"/>
      <c r="B12" s="31" t="s">
        <v>73</v>
      </c>
      <c r="C12" s="111">
        <v>231840</v>
      </c>
      <c r="D12" s="112">
        <v>503884</v>
      </c>
      <c r="E12" s="106">
        <f t="shared" si="5"/>
        <v>735724</v>
      </c>
      <c r="F12" s="177">
        <f t="shared" si="0"/>
        <v>1.774972722912423E-2</v>
      </c>
      <c r="G12" s="39">
        <v>201942.44</v>
      </c>
      <c r="H12" s="39">
        <v>448041</v>
      </c>
      <c r="I12" s="210">
        <f t="shared" si="9"/>
        <v>649983.43999999994</v>
      </c>
      <c r="J12" s="178">
        <f t="shared" si="1"/>
        <v>1.5169123188305246E-2</v>
      </c>
      <c r="K12" s="42"/>
      <c r="L12" s="39"/>
      <c r="M12" s="39"/>
      <c r="N12" s="210">
        <f t="shared" si="10"/>
        <v>0</v>
      </c>
      <c r="O12" s="178">
        <f t="shared" si="2"/>
        <v>0</v>
      </c>
      <c r="P12" s="42"/>
      <c r="Q12" s="39"/>
      <c r="R12" s="39"/>
      <c r="S12" s="210">
        <f t="shared" si="11"/>
        <v>0</v>
      </c>
      <c r="T12" s="178">
        <f t="shared" si="6"/>
        <v>0</v>
      </c>
      <c r="U12" s="42"/>
      <c r="V12" s="39"/>
      <c r="W12" s="39"/>
      <c r="X12" s="210">
        <f t="shared" si="12"/>
        <v>0</v>
      </c>
      <c r="Y12" s="178">
        <f t="shared" si="23"/>
        <v>0</v>
      </c>
      <c r="Z12" s="42"/>
      <c r="AA12" s="39"/>
      <c r="AB12" s="39"/>
      <c r="AC12" s="210">
        <f t="shared" si="13"/>
        <v>0</v>
      </c>
      <c r="AD12" s="178">
        <f t="shared" si="14"/>
        <v>0</v>
      </c>
      <c r="AE12" s="42"/>
      <c r="AF12" s="39"/>
      <c r="AG12" s="39"/>
      <c r="AH12" s="210">
        <f t="shared" si="15"/>
        <v>0</v>
      </c>
      <c r="AI12" s="178">
        <f t="shared" si="16"/>
        <v>0</v>
      </c>
      <c r="AJ12" s="42"/>
      <c r="AK12" s="39"/>
      <c r="AL12" s="39"/>
      <c r="AM12" s="210">
        <f t="shared" si="17"/>
        <v>0</v>
      </c>
      <c r="AN12" s="178" t="e">
        <f t="shared" si="3"/>
        <v>#DIV/0!</v>
      </c>
      <c r="AO12" s="42"/>
      <c r="AP12" s="39"/>
      <c r="AQ12" s="39"/>
      <c r="AR12" s="210">
        <f t="shared" si="18"/>
        <v>0</v>
      </c>
      <c r="AS12" s="178" t="e">
        <f t="shared" si="19"/>
        <v>#DIV/0!</v>
      </c>
      <c r="AT12" s="42"/>
      <c r="AU12" s="1432"/>
      <c r="AV12" s="1432"/>
      <c r="AW12" s="1552">
        <f t="shared" si="20"/>
        <v>0</v>
      </c>
      <c r="AX12" s="1877" t="e">
        <f t="shared" si="21"/>
        <v>#DIV/0!</v>
      </c>
      <c r="AY12" s="1434"/>
      <c r="AZ12" s="39">
        <f t="shared" si="7"/>
        <v>201942.44</v>
      </c>
      <c r="BA12" s="39">
        <f t="shared" si="8"/>
        <v>448041</v>
      </c>
      <c r="BB12" s="210">
        <f t="shared" si="22"/>
        <v>649983.43999999994</v>
      </c>
      <c r="BC12" s="178">
        <f t="shared" si="4"/>
        <v>1.4978827130737104E-2</v>
      </c>
      <c r="BD12" s="42"/>
    </row>
    <row r="13" spans="1:56" s="2" customFormat="1" ht="54" customHeight="1" outlineLevel="2">
      <c r="A13" s="238"/>
      <c r="B13" s="31" t="s">
        <v>71</v>
      </c>
      <c r="C13" s="111">
        <v>63360</v>
      </c>
      <c r="D13" s="112"/>
      <c r="E13" s="106">
        <f t="shared" si="5"/>
        <v>63360</v>
      </c>
      <c r="F13" s="177">
        <f t="shared" si="0"/>
        <v>1.5285932187033607E-3</v>
      </c>
      <c r="G13" s="39">
        <v>55543.507599999997</v>
      </c>
      <c r="H13" s="39">
        <v>0</v>
      </c>
      <c r="I13" s="210">
        <f t="shared" si="9"/>
        <v>55543.507599999997</v>
      </c>
      <c r="J13" s="178">
        <f t="shared" si="1"/>
        <v>1.2962581155836349E-3</v>
      </c>
      <c r="K13" s="42"/>
      <c r="L13" s="39"/>
      <c r="M13" s="39"/>
      <c r="N13" s="210">
        <f t="shared" si="10"/>
        <v>0</v>
      </c>
      <c r="O13" s="178">
        <f t="shared" si="2"/>
        <v>0</v>
      </c>
      <c r="P13" s="42"/>
      <c r="Q13" s="39"/>
      <c r="R13" s="39"/>
      <c r="S13" s="210">
        <f t="shared" si="11"/>
        <v>0</v>
      </c>
      <c r="T13" s="178">
        <f t="shared" si="6"/>
        <v>0</v>
      </c>
      <c r="U13" s="42"/>
      <c r="V13" s="39"/>
      <c r="W13" s="39"/>
      <c r="X13" s="210">
        <f t="shared" si="12"/>
        <v>0</v>
      </c>
      <c r="Y13" s="178">
        <f t="shared" si="23"/>
        <v>0</v>
      </c>
      <c r="Z13" s="42"/>
      <c r="AA13" s="39"/>
      <c r="AB13" s="39"/>
      <c r="AC13" s="210">
        <f t="shared" si="13"/>
        <v>0</v>
      </c>
      <c r="AD13" s="178">
        <f t="shared" si="14"/>
        <v>0</v>
      </c>
      <c r="AE13" s="42"/>
      <c r="AF13" s="39"/>
      <c r="AG13" s="39"/>
      <c r="AH13" s="210">
        <f t="shared" si="15"/>
        <v>0</v>
      </c>
      <c r="AI13" s="178">
        <f t="shared" si="16"/>
        <v>0</v>
      </c>
      <c r="AJ13" s="42"/>
      <c r="AK13" s="39"/>
      <c r="AL13" s="39"/>
      <c r="AM13" s="210">
        <f t="shared" si="17"/>
        <v>0</v>
      </c>
      <c r="AN13" s="178" t="e">
        <f t="shared" si="3"/>
        <v>#DIV/0!</v>
      </c>
      <c r="AO13" s="42"/>
      <c r="AP13" s="39"/>
      <c r="AQ13" s="39"/>
      <c r="AR13" s="210">
        <f t="shared" si="18"/>
        <v>0</v>
      </c>
      <c r="AS13" s="178" t="e">
        <f t="shared" si="19"/>
        <v>#DIV/0!</v>
      </c>
      <c r="AT13" s="42"/>
      <c r="AU13" s="1432"/>
      <c r="AV13" s="1432"/>
      <c r="AW13" s="1552">
        <f t="shared" si="20"/>
        <v>0</v>
      </c>
      <c r="AX13" s="1877" t="e">
        <f t="shared" si="21"/>
        <v>#DIV/0!</v>
      </c>
      <c r="AY13" s="1434"/>
      <c r="AZ13" s="39">
        <f t="shared" si="7"/>
        <v>55543.507599999997</v>
      </c>
      <c r="BA13" s="39">
        <f t="shared" si="8"/>
        <v>0</v>
      </c>
      <c r="BB13" s="210">
        <f t="shared" si="22"/>
        <v>55543.507599999997</v>
      </c>
      <c r="BC13" s="178">
        <f t="shared" si="4"/>
        <v>1.2799966081830985E-3</v>
      </c>
      <c r="BD13" s="42"/>
    </row>
    <row r="14" spans="1:56" s="2" customFormat="1" ht="14.4" customHeight="1" outlineLevel="2">
      <c r="A14" s="238"/>
      <c r="B14" s="31" t="s">
        <v>70</v>
      </c>
      <c r="C14" s="111">
        <v>56160</v>
      </c>
      <c r="D14" s="112"/>
      <c r="E14" s="106">
        <f t="shared" si="5"/>
        <v>56160</v>
      </c>
      <c r="F14" s="177">
        <f t="shared" si="0"/>
        <v>1.3548894438507059E-3</v>
      </c>
      <c r="G14" s="39">
        <v>62664.469599999997</v>
      </c>
      <c r="H14" s="39">
        <v>0</v>
      </c>
      <c r="I14" s="210">
        <f t="shared" si="9"/>
        <v>62664.469599999997</v>
      </c>
      <c r="J14" s="178">
        <f t="shared" si="1"/>
        <v>1.4624450415109179E-3</v>
      </c>
      <c r="K14" s="42"/>
      <c r="L14" s="39"/>
      <c r="M14" s="39"/>
      <c r="N14" s="210">
        <f t="shared" si="10"/>
        <v>0</v>
      </c>
      <c r="O14" s="178">
        <f t="shared" si="2"/>
        <v>0</v>
      </c>
      <c r="P14" s="42"/>
      <c r="Q14" s="39"/>
      <c r="R14" s="39"/>
      <c r="S14" s="210">
        <f t="shared" si="11"/>
        <v>0</v>
      </c>
      <c r="T14" s="178">
        <f t="shared" si="6"/>
        <v>0</v>
      </c>
      <c r="U14" s="42"/>
      <c r="V14" s="39"/>
      <c r="W14" s="39"/>
      <c r="X14" s="210">
        <f t="shared" si="12"/>
        <v>0</v>
      </c>
      <c r="Y14" s="178">
        <f t="shared" si="23"/>
        <v>0</v>
      </c>
      <c r="Z14" s="42"/>
      <c r="AA14" s="39"/>
      <c r="AB14" s="39"/>
      <c r="AC14" s="210">
        <f t="shared" si="13"/>
        <v>0</v>
      </c>
      <c r="AD14" s="178">
        <f t="shared" si="14"/>
        <v>0</v>
      </c>
      <c r="AE14" s="42"/>
      <c r="AF14" s="39"/>
      <c r="AG14" s="39"/>
      <c r="AH14" s="210">
        <f t="shared" si="15"/>
        <v>0</v>
      </c>
      <c r="AI14" s="178">
        <f t="shared" si="16"/>
        <v>0</v>
      </c>
      <c r="AJ14" s="42"/>
      <c r="AK14" s="39"/>
      <c r="AL14" s="39"/>
      <c r="AM14" s="210">
        <f t="shared" si="17"/>
        <v>0</v>
      </c>
      <c r="AN14" s="178" t="e">
        <f t="shared" si="3"/>
        <v>#DIV/0!</v>
      </c>
      <c r="AO14" s="42"/>
      <c r="AP14" s="39"/>
      <c r="AQ14" s="39"/>
      <c r="AR14" s="210">
        <f t="shared" si="18"/>
        <v>0</v>
      </c>
      <c r="AS14" s="178" t="e">
        <f t="shared" si="19"/>
        <v>#DIV/0!</v>
      </c>
      <c r="AT14" s="42"/>
      <c r="AU14" s="1432"/>
      <c r="AV14" s="1432"/>
      <c r="AW14" s="1552">
        <f t="shared" si="20"/>
        <v>0</v>
      </c>
      <c r="AX14" s="1877" t="e">
        <f t="shared" si="21"/>
        <v>#DIV/0!</v>
      </c>
      <c r="AY14" s="1434"/>
      <c r="AZ14" s="39">
        <f t="shared" si="7"/>
        <v>62664.469599999997</v>
      </c>
      <c r="BA14" s="39">
        <f t="shared" si="8"/>
        <v>0</v>
      </c>
      <c r="BB14" s="210">
        <f t="shared" si="22"/>
        <v>62664.469599999997</v>
      </c>
      <c r="BC14" s="178">
        <f t="shared" si="4"/>
        <v>1.4440987256194259E-3</v>
      </c>
      <c r="BD14" s="42"/>
    </row>
    <row r="15" spans="1:56" s="2" customFormat="1" ht="14.4" customHeight="1" outlineLevel="2">
      <c r="A15" s="238"/>
      <c r="B15" s="7" t="s">
        <v>20</v>
      </c>
      <c r="C15" s="111"/>
      <c r="D15" s="113">
        <v>100000</v>
      </c>
      <c r="E15" s="106">
        <f t="shared" si="5"/>
        <v>100000</v>
      </c>
      <c r="F15" s="177">
        <f t="shared" si="0"/>
        <v>2.412552428509092E-3</v>
      </c>
      <c r="G15" s="39">
        <v>0</v>
      </c>
      <c r="H15" s="39">
        <v>194336.3</v>
      </c>
      <c r="I15" s="210">
        <f t="shared" si="9"/>
        <v>194336.3</v>
      </c>
      <c r="J15" s="178">
        <f t="shared" si="1"/>
        <v>4.535363661971826E-3</v>
      </c>
      <c r="K15" s="42"/>
      <c r="L15" s="39"/>
      <c r="M15" s="39">
        <v>24400</v>
      </c>
      <c r="N15" s="210">
        <f t="shared" si="10"/>
        <v>24400</v>
      </c>
      <c r="O15" s="178">
        <f t="shared" si="2"/>
        <v>0.11381621393800699</v>
      </c>
      <c r="P15" s="42"/>
      <c r="Q15" s="39"/>
      <c r="R15" s="39"/>
      <c r="S15" s="210">
        <f t="shared" si="11"/>
        <v>0</v>
      </c>
      <c r="T15" s="178">
        <f t="shared" si="6"/>
        <v>0</v>
      </c>
      <c r="U15" s="42"/>
      <c r="V15" s="39"/>
      <c r="W15" s="39"/>
      <c r="X15" s="210">
        <f t="shared" si="12"/>
        <v>0</v>
      </c>
      <c r="Y15" s="178">
        <f t="shared" si="23"/>
        <v>0</v>
      </c>
      <c r="Z15" s="42"/>
      <c r="AA15" s="39"/>
      <c r="AB15" s="39"/>
      <c r="AC15" s="210">
        <f t="shared" si="13"/>
        <v>0</v>
      </c>
      <c r="AD15" s="178">
        <f t="shared" si="14"/>
        <v>0</v>
      </c>
      <c r="AE15" s="42"/>
      <c r="AF15" s="39"/>
      <c r="AG15" s="39"/>
      <c r="AH15" s="210">
        <f t="shared" si="15"/>
        <v>0</v>
      </c>
      <c r="AI15" s="178">
        <f t="shared" si="16"/>
        <v>0</v>
      </c>
      <c r="AJ15" s="42"/>
      <c r="AK15" s="39"/>
      <c r="AL15" s="39"/>
      <c r="AM15" s="210">
        <f t="shared" si="17"/>
        <v>0</v>
      </c>
      <c r="AN15" s="178" t="e">
        <f t="shared" si="3"/>
        <v>#DIV/0!</v>
      </c>
      <c r="AO15" s="42"/>
      <c r="AP15" s="39"/>
      <c r="AQ15" s="39"/>
      <c r="AR15" s="210">
        <f t="shared" si="18"/>
        <v>0</v>
      </c>
      <c r="AS15" s="178" t="e">
        <f t="shared" si="19"/>
        <v>#DIV/0!</v>
      </c>
      <c r="AT15" s="42"/>
      <c r="AU15" s="1432"/>
      <c r="AV15" s="1432"/>
      <c r="AW15" s="1552">
        <f t="shared" si="20"/>
        <v>0</v>
      </c>
      <c r="AX15" s="1877" t="e">
        <f t="shared" si="21"/>
        <v>#DIV/0!</v>
      </c>
      <c r="AY15" s="1434"/>
      <c r="AZ15" s="39">
        <f t="shared" si="7"/>
        <v>0</v>
      </c>
      <c r="BA15" s="39">
        <f t="shared" si="8"/>
        <v>218736.3</v>
      </c>
      <c r="BB15" s="210">
        <f t="shared" si="22"/>
        <v>218736.3</v>
      </c>
      <c r="BC15" s="178">
        <f t="shared" si="4"/>
        <v>5.0407641538022111E-3</v>
      </c>
      <c r="BD15" s="42"/>
    </row>
    <row r="16" spans="1:56" s="2" customFormat="1" ht="103.95" customHeight="1" outlineLevel="2">
      <c r="A16" s="292"/>
      <c r="B16" s="7" t="s">
        <v>21</v>
      </c>
      <c r="C16" s="111"/>
      <c r="D16" s="113">
        <v>8701368.4344154485</v>
      </c>
      <c r="E16" s="106">
        <f t="shared" si="5"/>
        <v>8701368.4344154485</v>
      </c>
      <c r="F16" s="177">
        <f t="shared" si="0"/>
        <v>0.20992507547801345</v>
      </c>
      <c r="G16" s="39">
        <v>0</v>
      </c>
      <c r="H16" s="39">
        <v>7434875.4199999999</v>
      </c>
      <c r="I16" s="210">
        <f t="shared" si="9"/>
        <v>7434875.4199999999</v>
      </c>
      <c r="J16" s="178">
        <f t="shared" si="1"/>
        <v>0.17351294540009005</v>
      </c>
      <c r="K16" s="42"/>
      <c r="L16" s="39"/>
      <c r="M16" s="39"/>
      <c r="N16" s="210">
        <f t="shared" si="10"/>
        <v>0</v>
      </c>
      <c r="O16" s="178">
        <f t="shared" si="2"/>
        <v>0</v>
      </c>
      <c r="P16" s="42"/>
      <c r="Q16" s="39"/>
      <c r="R16" s="39">
        <f>91258.5</f>
        <v>91258.5</v>
      </c>
      <c r="S16" s="210">
        <f t="shared" si="11"/>
        <v>91258.5</v>
      </c>
      <c r="T16" s="178">
        <f t="shared" ref="T16:T22" si="24">S16/$S$89</f>
        <v>0.37639491828301774</v>
      </c>
      <c r="U16" s="472" t="s">
        <v>547</v>
      </c>
      <c r="V16" s="39"/>
      <c r="W16" s="39">
        <v>11275</v>
      </c>
      <c r="X16" s="210">
        <f t="shared" si="12"/>
        <v>11275</v>
      </c>
      <c r="Y16" s="178">
        <f t="shared" si="23"/>
        <v>0.1430649983861364</v>
      </c>
      <c r="Z16" s="472" t="s">
        <v>547</v>
      </c>
      <c r="AA16" s="39"/>
      <c r="AB16" s="39"/>
      <c r="AC16" s="210">
        <f t="shared" si="13"/>
        <v>0</v>
      </c>
      <c r="AD16" s="178">
        <f>AC16/$AC$89</f>
        <v>0</v>
      </c>
      <c r="AE16" s="472"/>
      <c r="AF16" s="39"/>
      <c r="AG16" s="39"/>
      <c r="AH16" s="210">
        <f t="shared" si="15"/>
        <v>0</v>
      </c>
      <c r="AI16" s="178">
        <f>AH16/$AC$89</f>
        <v>0</v>
      </c>
      <c r="AJ16" s="472"/>
      <c r="AK16" s="39"/>
      <c r="AL16" s="39"/>
      <c r="AM16" s="210">
        <f t="shared" si="17"/>
        <v>0</v>
      </c>
      <c r="AN16" s="178" t="e">
        <f t="shared" si="3"/>
        <v>#DIV/0!</v>
      </c>
      <c r="AO16" s="472"/>
      <c r="AP16" s="39"/>
      <c r="AQ16" s="39"/>
      <c r="AR16" s="210">
        <f t="shared" si="18"/>
        <v>0</v>
      </c>
      <c r="AS16" s="178" t="e">
        <f t="shared" si="19"/>
        <v>#DIV/0!</v>
      </c>
      <c r="AT16" s="472"/>
      <c r="AU16" s="1432"/>
      <c r="AV16" s="1432"/>
      <c r="AW16" s="1552">
        <f t="shared" si="20"/>
        <v>0</v>
      </c>
      <c r="AX16" s="1877" t="e">
        <f t="shared" si="21"/>
        <v>#DIV/0!</v>
      </c>
      <c r="AY16" s="1615"/>
      <c r="AZ16" s="39">
        <f t="shared" si="7"/>
        <v>0</v>
      </c>
      <c r="BA16" s="39">
        <f t="shared" si="8"/>
        <v>7537408.9199999999</v>
      </c>
      <c r="BB16" s="210">
        <f t="shared" si="22"/>
        <v>7537408.9199999999</v>
      </c>
      <c r="BC16" s="178">
        <f t="shared" si="4"/>
        <v>0.1736991102824956</v>
      </c>
      <c r="BD16" s="42"/>
    </row>
    <row r="17" spans="1:56" s="2" customFormat="1" ht="58.2" customHeight="1" outlineLevel="2">
      <c r="A17" s="238"/>
      <c r="B17" s="7" t="s">
        <v>22</v>
      </c>
      <c r="C17" s="111"/>
      <c r="D17" s="113">
        <v>3000</v>
      </c>
      <c r="E17" s="106">
        <f t="shared" si="5"/>
        <v>3000</v>
      </c>
      <c r="F17" s="177">
        <f t="shared" si="0"/>
        <v>7.2376572855272753E-5</v>
      </c>
      <c r="G17" s="39">
        <v>0</v>
      </c>
      <c r="H17" s="39">
        <v>92800</v>
      </c>
      <c r="I17" s="210">
        <f t="shared" si="9"/>
        <v>92800</v>
      </c>
      <c r="J17" s="178">
        <f t="shared" si="1"/>
        <v>2.1657392254096916E-3</v>
      </c>
      <c r="K17" s="42"/>
      <c r="L17" s="39"/>
      <c r="M17" s="39"/>
      <c r="N17" s="210">
        <f t="shared" si="10"/>
        <v>0</v>
      </c>
      <c r="O17" s="178">
        <f t="shared" si="2"/>
        <v>0</v>
      </c>
      <c r="P17" s="42"/>
      <c r="Q17" s="39"/>
      <c r="R17" s="39"/>
      <c r="S17" s="210">
        <f t="shared" si="11"/>
        <v>0</v>
      </c>
      <c r="T17" s="178">
        <f t="shared" si="24"/>
        <v>0</v>
      </c>
      <c r="U17" s="42"/>
      <c r="V17" s="39"/>
      <c r="W17" s="39"/>
      <c r="X17" s="210">
        <f t="shared" si="12"/>
        <v>0</v>
      </c>
      <c r="Y17" s="178">
        <f t="shared" si="23"/>
        <v>0</v>
      </c>
      <c r="Z17" s="42"/>
      <c r="AA17" s="39"/>
      <c r="AB17" s="39"/>
      <c r="AC17" s="210">
        <f t="shared" si="13"/>
        <v>0</v>
      </c>
      <c r="AD17" s="178">
        <f t="shared" si="14"/>
        <v>0</v>
      </c>
      <c r="AE17" s="42"/>
      <c r="AF17" s="39"/>
      <c r="AG17" s="39"/>
      <c r="AH17" s="210">
        <f t="shared" si="15"/>
        <v>0</v>
      </c>
      <c r="AI17" s="178">
        <f t="shared" ref="AI17:AI22" si="25">AH17/$AC$89</f>
        <v>0</v>
      </c>
      <c r="AJ17" s="42"/>
      <c r="AK17" s="39"/>
      <c r="AL17" s="39"/>
      <c r="AM17" s="210">
        <f t="shared" si="17"/>
        <v>0</v>
      </c>
      <c r="AN17" s="178" t="e">
        <f t="shared" si="3"/>
        <v>#DIV/0!</v>
      </c>
      <c r="AO17" s="42"/>
      <c r="AP17" s="39"/>
      <c r="AQ17" s="39"/>
      <c r="AR17" s="210">
        <f t="shared" si="18"/>
        <v>0</v>
      </c>
      <c r="AS17" s="178" t="e">
        <f t="shared" si="19"/>
        <v>#DIV/0!</v>
      </c>
      <c r="AT17" s="42"/>
      <c r="AU17" s="1432"/>
      <c r="AV17" s="1432"/>
      <c r="AW17" s="1552">
        <f t="shared" si="20"/>
        <v>0</v>
      </c>
      <c r="AX17" s="1877" t="e">
        <f t="shared" si="21"/>
        <v>#DIV/0!</v>
      </c>
      <c r="AY17" s="1434"/>
      <c r="AZ17" s="39">
        <f t="shared" si="7"/>
        <v>0</v>
      </c>
      <c r="BA17" s="39">
        <f t="shared" si="8"/>
        <v>92800</v>
      </c>
      <c r="BB17" s="210">
        <f t="shared" si="22"/>
        <v>92800</v>
      </c>
      <c r="BC17" s="178">
        <f t="shared" si="4"/>
        <v>2.1385701114668451E-3</v>
      </c>
      <c r="BD17" s="42"/>
    </row>
    <row r="18" spans="1:56" s="2" customFormat="1" ht="58.2" customHeight="1" outlineLevel="2">
      <c r="A18" s="238"/>
      <c r="B18" s="7" t="s">
        <v>0</v>
      </c>
      <c r="C18" s="111">
        <v>9001971.7270342205</v>
      </c>
      <c r="D18" s="113">
        <v>25412</v>
      </c>
      <c r="E18" s="106">
        <f t="shared" si="5"/>
        <v>9027383.7270342205</v>
      </c>
      <c r="F18" s="177">
        <f t="shared" si="0"/>
        <v>0.21779036533739865</v>
      </c>
      <c r="G18" s="39">
        <v>9499426.568</v>
      </c>
      <c r="H18" s="39">
        <v>29278.03</v>
      </c>
      <c r="I18" s="210">
        <f t="shared" si="9"/>
        <v>9528704.5979999993</v>
      </c>
      <c r="J18" s="178">
        <f t="shared" si="1"/>
        <v>0.22237811762101603</v>
      </c>
      <c r="K18" s="42"/>
      <c r="L18" s="39"/>
      <c r="M18" s="39"/>
      <c r="N18" s="210">
        <f t="shared" si="10"/>
        <v>0</v>
      </c>
      <c r="O18" s="178">
        <f t="shared" si="2"/>
        <v>0</v>
      </c>
      <c r="P18" s="42"/>
      <c r="Q18" s="39">
        <f>760.83*1.2</f>
        <v>912.99599999999998</v>
      </c>
      <c r="R18" s="39"/>
      <c r="S18" s="210">
        <f t="shared" si="11"/>
        <v>912.99599999999998</v>
      </c>
      <c r="T18" s="178">
        <f t="shared" si="24"/>
        <v>3.7656443488850032E-3</v>
      </c>
      <c r="U18" s="422" t="s">
        <v>594</v>
      </c>
      <c r="V18" s="39"/>
      <c r="W18" s="39"/>
      <c r="X18" s="210">
        <f t="shared" si="12"/>
        <v>0</v>
      </c>
      <c r="Y18" s="178">
        <f t="shared" si="23"/>
        <v>0</v>
      </c>
      <c r="Z18" s="422"/>
      <c r="AA18" s="39"/>
      <c r="AB18" s="39"/>
      <c r="AC18" s="210">
        <f t="shared" si="13"/>
        <v>0</v>
      </c>
      <c r="AD18" s="178">
        <f t="shared" si="14"/>
        <v>0</v>
      </c>
      <c r="AE18" s="422"/>
      <c r="AF18" s="39"/>
      <c r="AG18" s="39">
        <v>500</v>
      </c>
      <c r="AH18" s="210">
        <f t="shared" si="15"/>
        <v>500</v>
      </c>
      <c r="AI18" s="178">
        <f t="shared" si="25"/>
        <v>0.1239773111602392</v>
      </c>
      <c r="AJ18" s="422" t="s">
        <v>814</v>
      </c>
      <c r="AK18" s="39"/>
      <c r="AL18" s="39"/>
      <c r="AM18" s="210">
        <f t="shared" si="17"/>
        <v>0</v>
      </c>
      <c r="AN18" s="178" t="e">
        <f t="shared" si="3"/>
        <v>#DIV/0!</v>
      </c>
      <c r="AO18" s="422"/>
      <c r="AP18" s="39"/>
      <c r="AQ18" s="39"/>
      <c r="AR18" s="210">
        <f t="shared" si="18"/>
        <v>0</v>
      </c>
      <c r="AS18" s="178" t="e">
        <f t="shared" si="19"/>
        <v>#DIV/0!</v>
      </c>
      <c r="AT18" s="422"/>
      <c r="AU18" s="1432"/>
      <c r="AV18" s="1432"/>
      <c r="AW18" s="1552">
        <f t="shared" si="20"/>
        <v>0</v>
      </c>
      <c r="AX18" s="1877" t="e">
        <f t="shared" si="21"/>
        <v>#DIV/0!</v>
      </c>
      <c r="AY18" s="1604"/>
      <c r="AZ18" s="39">
        <f t="shared" si="7"/>
        <v>9500339.5639999993</v>
      </c>
      <c r="BA18" s="39">
        <f t="shared" si="8"/>
        <v>29778.03</v>
      </c>
      <c r="BB18" s="210">
        <f t="shared" si="22"/>
        <v>9530117.5939999986</v>
      </c>
      <c r="BC18" s="178">
        <f t="shared" si="4"/>
        <v>0.21962095522944738</v>
      </c>
      <c r="BD18" s="42"/>
    </row>
    <row r="19" spans="1:56" s="2" customFormat="1" ht="40.950000000000003" customHeight="1" outlineLevel="2">
      <c r="A19" s="238"/>
      <c r="B19" s="7" t="s">
        <v>53</v>
      </c>
      <c r="C19" s="114">
        <v>74800</v>
      </c>
      <c r="D19" s="113"/>
      <c r="E19" s="106">
        <f t="shared" si="5"/>
        <v>74800</v>
      </c>
      <c r="F19" s="177">
        <f t="shared" si="0"/>
        <v>1.8045892165248008E-3</v>
      </c>
      <c r="G19" s="39">
        <v>37130.004000000001</v>
      </c>
      <c r="H19" s="39">
        <v>0</v>
      </c>
      <c r="I19" s="210">
        <f t="shared" si="9"/>
        <v>37130.004000000001</v>
      </c>
      <c r="J19" s="178">
        <f t="shared" si="1"/>
        <v>8.6652916058640908E-4</v>
      </c>
      <c r="K19" s="42"/>
      <c r="L19" s="39"/>
      <c r="M19" s="39"/>
      <c r="N19" s="210">
        <f t="shared" si="10"/>
        <v>0</v>
      </c>
      <c r="O19" s="178">
        <f t="shared" si="2"/>
        <v>0</v>
      </c>
      <c r="P19" s="42"/>
      <c r="Q19" s="39"/>
      <c r="R19" s="39"/>
      <c r="S19" s="210">
        <f t="shared" si="11"/>
        <v>0</v>
      </c>
      <c r="T19" s="178">
        <f t="shared" si="24"/>
        <v>0</v>
      </c>
      <c r="U19" s="426"/>
      <c r="V19" s="39"/>
      <c r="W19" s="39"/>
      <c r="X19" s="210">
        <f t="shared" si="12"/>
        <v>0</v>
      </c>
      <c r="Y19" s="178">
        <f t="shared" si="23"/>
        <v>0</v>
      </c>
      <c r="Z19" s="426"/>
      <c r="AA19" s="39"/>
      <c r="AB19" s="39"/>
      <c r="AC19" s="210">
        <f t="shared" si="13"/>
        <v>0</v>
      </c>
      <c r="AD19" s="178">
        <f t="shared" si="14"/>
        <v>0</v>
      </c>
      <c r="AE19" s="426"/>
      <c r="AF19" s="39"/>
      <c r="AG19" s="39"/>
      <c r="AH19" s="210">
        <f t="shared" si="15"/>
        <v>0</v>
      </c>
      <c r="AI19" s="178">
        <f t="shared" si="25"/>
        <v>0</v>
      </c>
      <c r="AJ19" s="426"/>
      <c r="AK19" s="39"/>
      <c r="AL19" s="39"/>
      <c r="AM19" s="210">
        <f t="shared" si="17"/>
        <v>0</v>
      </c>
      <c r="AN19" s="178" t="e">
        <f t="shared" si="3"/>
        <v>#DIV/0!</v>
      </c>
      <c r="AO19" s="426"/>
      <c r="AP19" s="39"/>
      <c r="AQ19" s="39"/>
      <c r="AR19" s="210">
        <f t="shared" si="18"/>
        <v>0</v>
      </c>
      <c r="AS19" s="178" t="e">
        <f t="shared" si="19"/>
        <v>#DIV/0!</v>
      </c>
      <c r="AT19" s="426"/>
      <c r="AU19" s="1432"/>
      <c r="AV19" s="1432"/>
      <c r="AW19" s="1552">
        <f t="shared" si="20"/>
        <v>0</v>
      </c>
      <c r="AX19" s="1877" t="e">
        <f t="shared" si="21"/>
        <v>#DIV/0!</v>
      </c>
      <c r="AY19" s="1608"/>
      <c r="AZ19" s="39">
        <f t="shared" si="7"/>
        <v>37130.004000000001</v>
      </c>
      <c r="BA19" s="39">
        <f t="shared" si="8"/>
        <v>0</v>
      </c>
      <c r="BB19" s="210">
        <f t="shared" si="22"/>
        <v>37130.004000000001</v>
      </c>
      <c r="BC19" s="178">
        <f t="shared" si="4"/>
        <v>8.55658586131944E-4</v>
      </c>
      <c r="BD19" s="42"/>
    </row>
    <row r="20" spans="1:56" s="2" customFormat="1" ht="14.4" customHeight="1" outlineLevel="2">
      <c r="A20" s="238"/>
      <c r="B20" s="7" t="s">
        <v>57</v>
      </c>
      <c r="C20" s="114">
        <v>503471</v>
      </c>
      <c r="D20" s="113"/>
      <c r="E20" s="106">
        <f t="shared" si="5"/>
        <v>503471</v>
      </c>
      <c r="F20" s="177">
        <f t="shared" si="0"/>
        <v>1.2146501837339009E-2</v>
      </c>
      <c r="G20" s="39">
        <v>237575.11799999999</v>
      </c>
      <c r="H20" s="39">
        <v>0</v>
      </c>
      <c r="I20" s="210">
        <f t="shared" si="9"/>
        <v>237575.11799999999</v>
      </c>
      <c r="J20" s="178">
        <f t="shared" si="1"/>
        <v>5.5444585348484498E-3</v>
      </c>
      <c r="K20" s="42"/>
      <c r="L20" s="39"/>
      <c r="M20" s="39"/>
      <c r="N20" s="210">
        <f t="shared" si="10"/>
        <v>0</v>
      </c>
      <c r="O20" s="178">
        <f t="shared" si="2"/>
        <v>0</v>
      </c>
      <c r="P20" s="42"/>
      <c r="Q20" s="39"/>
      <c r="R20" s="39"/>
      <c r="S20" s="210">
        <f t="shared" si="11"/>
        <v>0</v>
      </c>
      <c r="T20" s="178">
        <f t="shared" si="24"/>
        <v>0</v>
      </c>
      <c r="U20" s="426"/>
      <c r="V20" s="39"/>
      <c r="W20" s="39"/>
      <c r="X20" s="210">
        <f t="shared" si="12"/>
        <v>0</v>
      </c>
      <c r="Y20" s="178">
        <f t="shared" si="23"/>
        <v>0</v>
      </c>
      <c r="Z20" s="426"/>
      <c r="AA20" s="39"/>
      <c r="AB20" s="39"/>
      <c r="AC20" s="210">
        <f t="shared" si="13"/>
        <v>0</v>
      </c>
      <c r="AD20" s="178">
        <f t="shared" si="14"/>
        <v>0</v>
      </c>
      <c r="AE20" s="426"/>
      <c r="AF20" s="39"/>
      <c r="AG20" s="39"/>
      <c r="AH20" s="210">
        <f t="shared" si="15"/>
        <v>0</v>
      </c>
      <c r="AI20" s="178">
        <f t="shared" si="25"/>
        <v>0</v>
      </c>
      <c r="AJ20" s="426"/>
      <c r="AK20" s="39"/>
      <c r="AL20" s="39"/>
      <c r="AM20" s="210">
        <f t="shared" si="17"/>
        <v>0</v>
      </c>
      <c r="AN20" s="178" t="e">
        <f t="shared" si="3"/>
        <v>#DIV/0!</v>
      </c>
      <c r="AO20" s="426"/>
      <c r="AP20" s="39"/>
      <c r="AQ20" s="39"/>
      <c r="AR20" s="210">
        <f t="shared" si="18"/>
        <v>0</v>
      </c>
      <c r="AS20" s="178" t="e">
        <f t="shared" si="19"/>
        <v>#DIV/0!</v>
      </c>
      <c r="AT20" s="426"/>
      <c r="AU20" s="1432"/>
      <c r="AV20" s="1432"/>
      <c r="AW20" s="1552">
        <f t="shared" si="20"/>
        <v>0</v>
      </c>
      <c r="AX20" s="1877" t="e">
        <f t="shared" si="21"/>
        <v>#DIV/0!</v>
      </c>
      <c r="AY20" s="1608"/>
      <c r="AZ20" s="39">
        <f t="shared" si="7"/>
        <v>237575.11799999999</v>
      </c>
      <c r="BA20" s="39">
        <f t="shared" si="8"/>
        <v>0</v>
      </c>
      <c r="BB20" s="210">
        <f t="shared" si="22"/>
        <v>237575.11799999999</v>
      </c>
      <c r="BC20" s="178">
        <f t="shared" si="4"/>
        <v>5.4749035192134575E-3</v>
      </c>
      <c r="BD20" s="42"/>
    </row>
    <row r="21" spans="1:56" s="2" customFormat="1" ht="27.6" outlineLevel="2">
      <c r="A21" s="238"/>
      <c r="B21" s="7" t="s">
        <v>58</v>
      </c>
      <c r="C21" s="114">
        <v>4176496.88</v>
      </c>
      <c r="D21" s="113"/>
      <c r="E21" s="106">
        <f t="shared" si="5"/>
        <v>4176496.88</v>
      </c>
      <c r="F21" s="177">
        <f t="shared" si="0"/>
        <v>0.10076017690504645</v>
      </c>
      <c r="G21" s="39">
        <v>4940471.023000001</v>
      </c>
      <c r="H21" s="39">
        <v>27566</v>
      </c>
      <c r="I21" s="210">
        <f t="shared" si="9"/>
        <v>4968037.023000001</v>
      </c>
      <c r="J21" s="178">
        <f t="shared" si="1"/>
        <v>0.11594259325429626</v>
      </c>
      <c r="K21" s="42"/>
      <c r="L21" s="39">
        <f>94*409.71</f>
        <v>38512.74</v>
      </c>
      <c r="M21" s="39"/>
      <c r="N21" s="210">
        <f t="shared" si="10"/>
        <v>38512.74</v>
      </c>
      <c r="O21" s="178">
        <f t="shared" si="2"/>
        <v>0.17964648586798521</v>
      </c>
      <c r="P21" s="261" t="s">
        <v>493</v>
      </c>
      <c r="Q21" s="39"/>
      <c r="R21" s="39"/>
      <c r="S21" s="210">
        <f t="shared" si="11"/>
        <v>0</v>
      </c>
      <c r="T21" s="178">
        <f t="shared" si="24"/>
        <v>0</v>
      </c>
      <c r="U21" s="422"/>
      <c r="V21" s="39"/>
      <c r="W21" s="39"/>
      <c r="X21" s="210">
        <f t="shared" si="12"/>
        <v>0</v>
      </c>
      <c r="Y21" s="178">
        <f t="shared" si="23"/>
        <v>0</v>
      </c>
      <c r="Z21" s="422"/>
      <c r="AA21" s="39"/>
      <c r="AB21" s="39"/>
      <c r="AC21" s="210">
        <f t="shared" si="13"/>
        <v>0</v>
      </c>
      <c r="AD21" s="178">
        <f t="shared" si="14"/>
        <v>0</v>
      </c>
      <c r="AE21" s="422"/>
      <c r="AF21" s="39"/>
      <c r="AG21" s="39"/>
      <c r="AH21" s="210">
        <f t="shared" si="15"/>
        <v>0</v>
      </c>
      <c r="AI21" s="178">
        <f t="shared" si="25"/>
        <v>0</v>
      </c>
      <c r="AJ21" s="422"/>
      <c r="AK21" s="39"/>
      <c r="AL21" s="39"/>
      <c r="AM21" s="210">
        <f t="shared" si="17"/>
        <v>0</v>
      </c>
      <c r="AN21" s="178" t="e">
        <f t="shared" si="3"/>
        <v>#DIV/0!</v>
      </c>
      <c r="AO21" s="422"/>
      <c r="AP21" s="39"/>
      <c r="AQ21" s="39"/>
      <c r="AR21" s="210">
        <f t="shared" si="18"/>
        <v>0</v>
      </c>
      <c r="AS21" s="178" t="e">
        <f t="shared" si="19"/>
        <v>#DIV/0!</v>
      </c>
      <c r="AT21" s="422"/>
      <c r="AU21" s="1432"/>
      <c r="AV21" s="1432"/>
      <c r="AW21" s="1552">
        <f t="shared" si="20"/>
        <v>0</v>
      </c>
      <c r="AX21" s="1877" t="e">
        <f t="shared" si="21"/>
        <v>#DIV/0!</v>
      </c>
      <c r="AY21" s="1604"/>
      <c r="AZ21" s="39">
        <f t="shared" si="7"/>
        <v>4978983.7630000012</v>
      </c>
      <c r="BA21" s="39">
        <f t="shared" si="8"/>
        <v>27566</v>
      </c>
      <c r="BB21" s="210">
        <f t="shared" si="22"/>
        <v>5006549.7630000012</v>
      </c>
      <c r="BC21" s="178">
        <f t="shared" si="4"/>
        <v>0.1153756216026209</v>
      </c>
      <c r="BD21" s="42"/>
    </row>
    <row r="22" spans="1:56" s="2" customFormat="1" ht="13.8" outlineLevel="2">
      <c r="A22" s="238"/>
      <c r="B22" s="7" t="s">
        <v>621</v>
      </c>
      <c r="C22" s="114"/>
      <c r="D22" s="445"/>
      <c r="E22" s="446"/>
      <c r="F22" s="447"/>
      <c r="G22" s="452"/>
      <c r="H22" s="452"/>
      <c r="I22" s="453"/>
      <c r="J22" s="450"/>
      <c r="K22" s="456"/>
      <c r="L22" s="452"/>
      <c r="M22" s="452"/>
      <c r="N22" s="453"/>
      <c r="O22" s="450"/>
      <c r="P22" s="454"/>
      <c r="Q22" s="452"/>
      <c r="R22" s="452"/>
      <c r="S22" s="453"/>
      <c r="T22" s="178">
        <f t="shared" si="24"/>
        <v>0</v>
      </c>
      <c r="U22" s="461"/>
      <c r="V22" s="452"/>
      <c r="W22" s="452"/>
      <c r="X22" s="453"/>
      <c r="Y22" s="178">
        <f t="shared" si="23"/>
        <v>0</v>
      </c>
      <c r="Z22" s="461"/>
      <c r="AA22" s="452"/>
      <c r="AB22" s="452"/>
      <c r="AC22" s="453"/>
      <c r="AD22" s="178">
        <f t="shared" si="14"/>
        <v>0</v>
      </c>
      <c r="AE22" s="461"/>
      <c r="AF22" s="452"/>
      <c r="AG22" s="452"/>
      <c r="AH22" s="453"/>
      <c r="AI22" s="178">
        <f t="shared" si="25"/>
        <v>0</v>
      </c>
      <c r="AJ22" s="461"/>
      <c r="AK22" s="452"/>
      <c r="AL22" s="452"/>
      <c r="AM22" s="453"/>
      <c r="AN22" s="178" t="e">
        <f t="shared" si="3"/>
        <v>#DIV/0!</v>
      </c>
      <c r="AO22" s="461"/>
      <c r="AP22" s="452"/>
      <c r="AQ22" s="452"/>
      <c r="AR22" s="453"/>
      <c r="AS22" s="178" t="e">
        <f t="shared" si="19"/>
        <v>#DIV/0!</v>
      </c>
      <c r="AT22" s="461"/>
      <c r="AU22" s="1432"/>
      <c r="AV22" s="1432"/>
      <c r="AW22" s="1552"/>
      <c r="AX22" s="1877" t="e">
        <f t="shared" si="21"/>
        <v>#DIV/0!</v>
      </c>
      <c r="AY22" s="1604"/>
      <c r="AZ22" s="39">
        <f t="shared" si="7"/>
        <v>0</v>
      </c>
      <c r="BA22" s="39">
        <f t="shared" si="8"/>
        <v>0</v>
      </c>
      <c r="BB22" s="453"/>
      <c r="BC22" s="450"/>
      <c r="BD22" s="456"/>
    </row>
    <row r="23" spans="1:56" s="2" customFormat="1" ht="13.8" outlineLevel="2">
      <c r="A23" s="238"/>
      <c r="B23" s="471" t="s">
        <v>630</v>
      </c>
      <c r="C23" s="114"/>
      <c r="D23" s="445"/>
      <c r="E23" s="446"/>
      <c r="F23" s="447"/>
      <c r="G23" s="452"/>
      <c r="H23" s="452"/>
      <c r="I23" s="453"/>
      <c r="J23" s="450"/>
      <c r="K23" s="456"/>
      <c r="L23" s="452"/>
      <c r="M23" s="452"/>
      <c r="N23" s="453"/>
      <c r="O23" s="450"/>
      <c r="P23" s="454"/>
      <c r="Q23" s="452"/>
      <c r="R23" s="452"/>
      <c r="S23" s="453"/>
      <c r="T23" s="450"/>
      <c r="U23" s="461"/>
      <c r="V23" s="452"/>
      <c r="W23" s="452"/>
      <c r="X23" s="453"/>
      <c r="Y23" s="178">
        <f t="shared" si="23"/>
        <v>0</v>
      </c>
      <c r="Z23" s="461"/>
      <c r="AA23" s="452"/>
      <c r="AB23" s="452"/>
      <c r="AC23" s="453"/>
      <c r="AD23" s="178">
        <f>AC23/$AC$89</f>
        <v>0</v>
      </c>
      <c r="AE23" s="461"/>
      <c r="AF23" s="452"/>
      <c r="AG23" s="452"/>
      <c r="AH23" s="453"/>
      <c r="AI23" s="178">
        <f t="shared" ref="AI23:AI33" si="26">AH23/$AC$89</f>
        <v>0</v>
      </c>
      <c r="AJ23" s="461"/>
      <c r="AK23" s="452"/>
      <c r="AL23" s="452"/>
      <c r="AM23" s="453"/>
      <c r="AN23" s="178" t="e">
        <f t="shared" si="3"/>
        <v>#DIV/0!</v>
      </c>
      <c r="AO23" s="461"/>
      <c r="AP23" s="452"/>
      <c r="AQ23" s="452"/>
      <c r="AR23" s="453"/>
      <c r="AS23" s="178" t="e">
        <f t="shared" si="19"/>
        <v>#DIV/0!</v>
      </c>
      <c r="AT23" s="461"/>
      <c r="AU23" s="1432"/>
      <c r="AV23" s="1432"/>
      <c r="AW23" s="1552"/>
      <c r="AX23" s="1877" t="e">
        <f t="shared" si="21"/>
        <v>#DIV/0!</v>
      </c>
      <c r="AY23" s="1604"/>
      <c r="AZ23" s="39">
        <f t="shared" si="7"/>
        <v>0</v>
      </c>
      <c r="BA23" s="39">
        <f t="shared" si="8"/>
        <v>0</v>
      </c>
      <c r="BB23" s="453"/>
      <c r="BC23" s="450"/>
      <c r="BD23" s="456"/>
    </row>
    <row r="24" spans="1:56" s="2" customFormat="1" ht="84" customHeight="1" outlineLevel="2">
      <c r="A24" s="238"/>
      <c r="B24" s="7" t="s">
        <v>23</v>
      </c>
      <c r="C24" s="114">
        <v>528000</v>
      </c>
      <c r="D24" s="113"/>
      <c r="E24" s="106">
        <f t="shared" si="5"/>
        <v>528000</v>
      </c>
      <c r="F24" s="177">
        <f t="shared" ref="F24:F33" si="27">E24/$E$89</f>
        <v>1.2738276822528006E-2</v>
      </c>
      <c r="G24" s="39">
        <v>596404.06799999997</v>
      </c>
      <c r="H24" s="39">
        <v>6700</v>
      </c>
      <c r="I24" s="210">
        <f t="shared" si="9"/>
        <v>603104.06799999997</v>
      </c>
      <c r="J24" s="178">
        <f t="shared" ref="J24:J33" si="28">I24/$I$89</f>
        <v>1.4075066132238729E-2</v>
      </c>
      <c r="K24" s="42"/>
      <c r="L24" s="39">
        <v>4200</v>
      </c>
      <c r="M24" s="39"/>
      <c r="N24" s="210">
        <f t="shared" si="10"/>
        <v>4200</v>
      </c>
      <c r="O24" s="178">
        <f t="shared" ref="O24:O33" si="29">N24/$N$89</f>
        <v>1.9591315513919235E-2</v>
      </c>
      <c r="P24" s="42" t="s">
        <v>534</v>
      </c>
      <c r="Q24" s="39">
        <f>(19383.33+15.83)*1.2</f>
        <v>23278.992000000002</v>
      </c>
      <c r="R24" s="39"/>
      <c r="S24" s="210">
        <f t="shared" si="11"/>
        <v>23278.992000000002</v>
      </c>
      <c r="T24" s="178">
        <f t="shared" ref="T24:T29" si="30">S24/$S$89</f>
        <v>9.6014007369735699E-2</v>
      </c>
      <c r="U24" s="432" t="s">
        <v>552</v>
      </c>
      <c r="V24" s="39"/>
      <c r="W24" s="39"/>
      <c r="X24" s="210">
        <f t="shared" ref="X24:X33" si="31">V24+W24*1</f>
        <v>0</v>
      </c>
      <c r="Y24" s="178">
        <f t="shared" si="23"/>
        <v>0</v>
      </c>
      <c r="Z24" s="418"/>
      <c r="AA24" s="39"/>
      <c r="AB24" s="39"/>
      <c r="AC24" s="210">
        <f t="shared" ref="AC24:AC33" si="32">AA24+AB24*1</f>
        <v>0</v>
      </c>
      <c r="AD24" s="178">
        <f t="shared" si="14"/>
        <v>0</v>
      </c>
      <c r="AE24" s="418"/>
      <c r="AF24" s="39"/>
      <c r="AG24" s="39"/>
      <c r="AH24" s="210">
        <f t="shared" ref="AH24:AH33" si="33">AF24+AG24*1</f>
        <v>0</v>
      </c>
      <c r="AI24" s="178">
        <f t="shared" si="26"/>
        <v>0</v>
      </c>
      <c r="AJ24" s="418"/>
      <c r="AK24" s="39"/>
      <c r="AL24" s="39"/>
      <c r="AM24" s="210">
        <f t="shared" ref="AM24:AM33" si="34">AK24+AL24*1</f>
        <v>0</v>
      </c>
      <c r="AN24" s="178" t="e">
        <f t="shared" si="3"/>
        <v>#DIV/0!</v>
      </c>
      <c r="AO24" s="418"/>
      <c r="AP24" s="39"/>
      <c r="AQ24" s="39"/>
      <c r="AR24" s="210">
        <f t="shared" ref="AR24:AR33" si="35">AP24+AQ24*1</f>
        <v>0</v>
      </c>
      <c r="AS24" s="178" t="e">
        <f t="shared" si="19"/>
        <v>#DIV/0!</v>
      </c>
      <c r="AT24" s="418"/>
      <c r="AU24" s="1432"/>
      <c r="AV24" s="1432"/>
      <c r="AW24" s="1552">
        <f t="shared" ref="AW24:AW33" si="36">AU24+AV24*1</f>
        <v>0</v>
      </c>
      <c r="AX24" s="1877" t="e">
        <f t="shared" si="21"/>
        <v>#DIV/0!</v>
      </c>
      <c r="AY24" s="1944"/>
      <c r="AZ24" s="39">
        <f t="shared" si="7"/>
        <v>623883.05999999994</v>
      </c>
      <c r="BA24" s="39">
        <f t="shared" si="8"/>
        <v>6700</v>
      </c>
      <c r="BB24" s="210">
        <f t="shared" si="22"/>
        <v>630583.05999999994</v>
      </c>
      <c r="BC24" s="178">
        <f t="shared" ref="BC24:BC33" si="37">BB24/$BB$89</f>
        <v>1.4531746604669224E-2</v>
      </c>
      <c r="BD24" s="42"/>
    </row>
    <row r="25" spans="1:56" s="2" customFormat="1" ht="39" customHeight="1" outlineLevel="2">
      <c r="A25" s="238"/>
      <c r="B25" s="7" t="s">
        <v>24</v>
      </c>
      <c r="C25" s="114">
        <v>641059.26819890004</v>
      </c>
      <c r="D25" s="113"/>
      <c r="E25" s="106">
        <f t="shared" si="5"/>
        <v>641059.26819890004</v>
      </c>
      <c r="F25" s="177">
        <f t="shared" si="27"/>
        <v>1.5465890943115176E-2</v>
      </c>
      <c r="G25" s="39">
        <v>316027.908</v>
      </c>
      <c r="H25" s="39">
        <v>41009.040000000001</v>
      </c>
      <c r="I25" s="210">
        <f t="shared" si="9"/>
        <v>357036.94799999997</v>
      </c>
      <c r="J25" s="178">
        <f t="shared" si="28"/>
        <v>8.3324237414241411E-3</v>
      </c>
      <c r="K25" s="42"/>
      <c r="L25" s="39"/>
      <c r="M25" s="39">
        <v>2580</v>
      </c>
      <c r="N25" s="210">
        <f t="shared" si="10"/>
        <v>2580</v>
      </c>
      <c r="O25" s="178">
        <f t="shared" si="29"/>
        <v>1.2034665244264673E-2</v>
      </c>
      <c r="P25" s="261" t="s">
        <v>491</v>
      </c>
      <c r="Q25" s="39"/>
      <c r="R25" s="39"/>
      <c r="S25" s="210">
        <f t="shared" si="11"/>
        <v>0</v>
      </c>
      <c r="T25" s="178">
        <f t="shared" si="30"/>
        <v>0</v>
      </c>
      <c r="U25" s="401"/>
      <c r="V25" s="39">
        <f>5528.76*1.23</f>
        <v>6800.3748000000005</v>
      </c>
      <c r="W25" s="39">
        <v>834.24</v>
      </c>
      <c r="X25" s="210">
        <f t="shared" si="31"/>
        <v>7634.6148000000003</v>
      </c>
      <c r="Y25" s="178">
        <f t="shared" si="23"/>
        <v>9.6873273085656145E-2</v>
      </c>
      <c r="Z25" s="418" t="s">
        <v>701</v>
      </c>
      <c r="AA25" s="39">
        <f>27.5*1.2</f>
        <v>33</v>
      </c>
      <c r="AB25" s="39"/>
      <c r="AC25" s="210">
        <f t="shared" si="32"/>
        <v>33</v>
      </c>
      <c r="AD25" s="178">
        <f t="shared" si="14"/>
        <v>8.1825025365757868E-3</v>
      </c>
      <c r="AE25" s="418" t="s">
        <v>757</v>
      </c>
      <c r="AF25" s="39"/>
      <c r="AG25" s="39">
        <v>1561</v>
      </c>
      <c r="AH25" s="210">
        <f t="shared" si="33"/>
        <v>1561</v>
      </c>
      <c r="AI25" s="178">
        <f t="shared" si="26"/>
        <v>0.38705716544226676</v>
      </c>
      <c r="AJ25" s="418"/>
      <c r="AK25" s="39"/>
      <c r="AL25" s="39"/>
      <c r="AM25" s="210">
        <f t="shared" si="34"/>
        <v>0</v>
      </c>
      <c r="AN25" s="178" t="e">
        <f t="shared" si="3"/>
        <v>#DIV/0!</v>
      </c>
      <c r="AO25" s="418"/>
      <c r="AP25" s="39"/>
      <c r="AQ25" s="39"/>
      <c r="AR25" s="210">
        <f t="shared" si="35"/>
        <v>0</v>
      </c>
      <c r="AS25" s="178" t="e">
        <f t="shared" si="19"/>
        <v>#DIV/0!</v>
      </c>
      <c r="AT25" s="418"/>
      <c r="AU25" s="1871">
        <f>1180*1.2</f>
        <v>1416</v>
      </c>
      <c r="AV25" s="1871"/>
      <c r="AW25" s="1872">
        <f t="shared" si="36"/>
        <v>1416</v>
      </c>
      <c r="AX25" s="1907" t="e">
        <f t="shared" si="21"/>
        <v>#DIV/0!</v>
      </c>
      <c r="AY25" s="1945"/>
      <c r="AZ25" s="39">
        <f t="shared" si="7"/>
        <v>324277.28279999999</v>
      </c>
      <c r="BA25" s="39">
        <f t="shared" si="8"/>
        <v>45984.28</v>
      </c>
      <c r="BB25" s="210">
        <f t="shared" si="22"/>
        <v>370261.56279999996</v>
      </c>
      <c r="BC25" s="178">
        <f t="shared" si="37"/>
        <v>8.5326542201409929E-3</v>
      </c>
      <c r="BD25" s="42"/>
    </row>
    <row r="26" spans="1:56" s="226" customFormat="1" ht="51" customHeight="1" outlineLevel="2">
      <c r="A26" s="238"/>
      <c r="B26" s="262" t="s">
        <v>45</v>
      </c>
      <c r="C26" s="114">
        <v>10987454.678667672</v>
      </c>
      <c r="D26" s="113"/>
      <c r="E26" s="106">
        <f t="shared" si="5"/>
        <v>10987454.678667672</v>
      </c>
      <c r="F26" s="177">
        <f t="shared" si="27"/>
        <v>0.26507810468153276</v>
      </c>
      <c r="G26" s="39">
        <v>12954116.616</v>
      </c>
      <c r="H26" s="39">
        <v>3142</v>
      </c>
      <c r="I26" s="210">
        <f t="shared" si="9"/>
        <v>12957258.616</v>
      </c>
      <c r="J26" s="178">
        <f t="shared" si="28"/>
        <v>0.30239270731087176</v>
      </c>
      <c r="K26" s="42"/>
      <c r="L26" s="39">
        <f>35386.36*1.2</f>
        <v>42463.631999999998</v>
      </c>
      <c r="M26" s="39"/>
      <c r="N26" s="210">
        <f t="shared" si="10"/>
        <v>42463.631999999998</v>
      </c>
      <c r="O26" s="178">
        <f t="shared" si="29"/>
        <v>0.19807581247118028</v>
      </c>
      <c r="P26" s="42"/>
      <c r="Q26" s="39">
        <f>74661.77*1.2</f>
        <v>89594.123999999996</v>
      </c>
      <c r="R26" s="39"/>
      <c r="S26" s="210">
        <f t="shared" si="11"/>
        <v>89594.123999999996</v>
      </c>
      <c r="T26" s="178">
        <f t="shared" si="30"/>
        <v>0.36953021342251474</v>
      </c>
      <c r="U26" s="402"/>
      <c r="V26" s="39">
        <f>28452.56*1.2</f>
        <v>34143.072</v>
      </c>
      <c r="W26" s="39">
        <v>7230</v>
      </c>
      <c r="X26" s="210">
        <f t="shared" si="31"/>
        <v>41373.072</v>
      </c>
      <c r="Y26" s="178">
        <f t="shared" si="23"/>
        <v>0.52497015334008912</v>
      </c>
      <c r="Z26" s="418" t="s">
        <v>702</v>
      </c>
      <c r="AA26" s="39"/>
      <c r="AB26" s="39"/>
      <c r="AC26" s="210">
        <f t="shared" si="32"/>
        <v>0</v>
      </c>
      <c r="AD26" s="178">
        <f t="shared" si="14"/>
        <v>0</v>
      </c>
      <c r="AE26" s="418"/>
      <c r="AF26" s="39"/>
      <c r="AG26" s="39"/>
      <c r="AH26" s="210">
        <f t="shared" si="33"/>
        <v>0</v>
      </c>
      <c r="AI26" s="178">
        <f t="shared" si="26"/>
        <v>0</v>
      </c>
      <c r="AJ26" s="418"/>
      <c r="AK26" s="39"/>
      <c r="AL26" s="39"/>
      <c r="AM26" s="210">
        <f t="shared" si="34"/>
        <v>0</v>
      </c>
      <c r="AN26" s="178" t="e">
        <f t="shared" si="3"/>
        <v>#DIV/0!</v>
      </c>
      <c r="AO26" s="418"/>
      <c r="AP26" s="39"/>
      <c r="AQ26" s="39"/>
      <c r="AR26" s="210">
        <f t="shared" si="35"/>
        <v>0</v>
      </c>
      <c r="AS26" s="178" t="e">
        <f t="shared" si="19"/>
        <v>#DIV/0!</v>
      </c>
      <c r="AT26" s="418"/>
      <c r="AU26" s="1432"/>
      <c r="AV26" s="1432"/>
      <c r="AW26" s="1552">
        <f t="shared" si="36"/>
        <v>0</v>
      </c>
      <c r="AX26" s="1877" t="e">
        <f t="shared" si="21"/>
        <v>#DIV/0!</v>
      </c>
      <c r="AY26" s="1944"/>
      <c r="AZ26" s="39">
        <f t="shared" si="7"/>
        <v>13120317.444</v>
      </c>
      <c r="BA26" s="39">
        <f t="shared" si="8"/>
        <v>10372</v>
      </c>
      <c r="BB26" s="210">
        <f t="shared" si="22"/>
        <v>13130689.444</v>
      </c>
      <c r="BC26" s="178">
        <f t="shared" si="37"/>
        <v>0.3025959050419354</v>
      </c>
      <c r="BD26" s="42"/>
    </row>
    <row r="27" spans="1:56" s="2" customFormat="1" ht="32.4" customHeight="1" outlineLevel="2">
      <c r="A27" s="238"/>
      <c r="B27" s="7" t="s">
        <v>25</v>
      </c>
      <c r="C27" s="114">
        <v>24000</v>
      </c>
      <c r="D27" s="113"/>
      <c r="E27" s="106">
        <f t="shared" si="5"/>
        <v>24000</v>
      </c>
      <c r="F27" s="177">
        <f t="shared" si="27"/>
        <v>5.7901258284218202E-4</v>
      </c>
      <c r="G27" s="39">
        <v>36616.644</v>
      </c>
      <c r="H27" s="39">
        <v>1460</v>
      </c>
      <c r="I27" s="210">
        <f t="shared" si="9"/>
        <v>38076.644</v>
      </c>
      <c r="J27" s="178">
        <f t="shared" si="28"/>
        <v>8.8862156770216157E-4</v>
      </c>
      <c r="K27" s="42"/>
      <c r="L27" s="39"/>
      <c r="M27" s="39"/>
      <c r="N27" s="210">
        <f t="shared" si="10"/>
        <v>0</v>
      </c>
      <c r="O27" s="178">
        <f t="shared" si="29"/>
        <v>0</v>
      </c>
      <c r="P27" s="42"/>
      <c r="Q27" s="39"/>
      <c r="R27" s="39"/>
      <c r="S27" s="210">
        <f t="shared" si="11"/>
        <v>0</v>
      </c>
      <c r="T27" s="178">
        <f t="shared" si="30"/>
        <v>0</v>
      </c>
      <c r="U27" s="426"/>
      <c r="V27" s="39"/>
      <c r="W27" s="39"/>
      <c r="X27" s="210">
        <f t="shared" si="31"/>
        <v>0</v>
      </c>
      <c r="Y27" s="178">
        <f t="shared" si="23"/>
        <v>0</v>
      </c>
      <c r="Z27" s="418"/>
      <c r="AA27" s="39"/>
      <c r="AB27" s="39"/>
      <c r="AC27" s="210">
        <f t="shared" si="32"/>
        <v>0</v>
      </c>
      <c r="AD27" s="178">
        <f t="shared" si="14"/>
        <v>0</v>
      </c>
      <c r="AE27" s="418"/>
      <c r="AF27" s="39"/>
      <c r="AG27" s="39"/>
      <c r="AH27" s="210">
        <f t="shared" si="33"/>
        <v>0</v>
      </c>
      <c r="AI27" s="178">
        <f t="shared" si="26"/>
        <v>0</v>
      </c>
      <c r="AJ27" s="418"/>
      <c r="AK27" s="39"/>
      <c r="AL27" s="39"/>
      <c r="AM27" s="210">
        <f t="shared" si="34"/>
        <v>0</v>
      </c>
      <c r="AN27" s="178" t="e">
        <f t="shared" si="3"/>
        <v>#DIV/0!</v>
      </c>
      <c r="AO27" s="418"/>
      <c r="AP27" s="39"/>
      <c r="AQ27" s="39"/>
      <c r="AR27" s="210">
        <f t="shared" si="35"/>
        <v>0</v>
      </c>
      <c r="AS27" s="178" t="e">
        <f t="shared" si="19"/>
        <v>#DIV/0!</v>
      </c>
      <c r="AT27" s="418"/>
      <c r="AU27" s="1432"/>
      <c r="AV27" s="1432"/>
      <c r="AW27" s="1552">
        <f t="shared" si="36"/>
        <v>0</v>
      </c>
      <c r="AX27" s="1877" t="e">
        <f t="shared" si="21"/>
        <v>#DIV/0!</v>
      </c>
      <c r="AY27" s="1944"/>
      <c r="AZ27" s="39">
        <f t="shared" si="7"/>
        <v>36616.644</v>
      </c>
      <c r="BA27" s="39">
        <f t="shared" si="8"/>
        <v>1460</v>
      </c>
      <c r="BB27" s="210">
        <f t="shared" si="22"/>
        <v>38076.644</v>
      </c>
      <c r="BC27" s="178">
        <f t="shared" si="37"/>
        <v>8.7747384486382943E-4</v>
      </c>
      <c r="BD27" s="42"/>
    </row>
    <row r="28" spans="1:56" s="226" customFormat="1" ht="109.2" customHeight="1" outlineLevel="2">
      <c r="A28" s="238"/>
      <c r="B28" s="262" t="s">
        <v>52</v>
      </c>
      <c r="C28" s="114">
        <f>66193+535641</f>
        <v>601834</v>
      </c>
      <c r="D28" s="113"/>
      <c r="E28" s="106">
        <f t="shared" si="5"/>
        <v>601834</v>
      </c>
      <c r="F28" s="177">
        <f t="shared" si="27"/>
        <v>1.4519560782593408E-2</v>
      </c>
      <c r="G28" s="39">
        <v>11713.621999999999</v>
      </c>
      <c r="H28" s="39">
        <v>69022.399999999994</v>
      </c>
      <c r="I28" s="210">
        <f t="shared" si="9"/>
        <v>80736.021999999997</v>
      </c>
      <c r="J28" s="178">
        <f t="shared" si="28"/>
        <v>1.8841936395359896E-3</v>
      </c>
      <c r="K28" s="42"/>
      <c r="L28" s="39"/>
      <c r="M28" s="39">
        <v>31905</v>
      </c>
      <c r="N28" s="210">
        <f t="shared" si="10"/>
        <v>31905</v>
      </c>
      <c r="O28" s="178">
        <f t="shared" si="29"/>
        <v>0.1488240289218079</v>
      </c>
      <c r="P28" s="261" t="s">
        <v>492</v>
      </c>
      <c r="Q28" s="39"/>
      <c r="R28" s="39"/>
      <c r="S28" s="210">
        <f t="shared" si="11"/>
        <v>0</v>
      </c>
      <c r="T28" s="178">
        <f t="shared" si="30"/>
        <v>0</v>
      </c>
      <c r="U28" s="429"/>
      <c r="V28" s="39"/>
      <c r="W28" s="39"/>
      <c r="X28" s="210">
        <f t="shared" si="31"/>
        <v>0</v>
      </c>
      <c r="Y28" s="178">
        <f t="shared" si="23"/>
        <v>0</v>
      </c>
      <c r="Z28" s="429"/>
      <c r="AA28" s="39"/>
      <c r="AB28" s="39"/>
      <c r="AC28" s="210">
        <f t="shared" si="32"/>
        <v>0</v>
      </c>
      <c r="AD28" s="178">
        <f t="shared" si="14"/>
        <v>0</v>
      </c>
      <c r="AE28" s="429"/>
      <c r="AF28" s="39"/>
      <c r="AG28" s="39"/>
      <c r="AH28" s="210">
        <f t="shared" si="33"/>
        <v>0</v>
      </c>
      <c r="AI28" s="178">
        <f t="shared" si="26"/>
        <v>0</v>
      </c>
      <c r="AJ28" s="429"/>
      <c r="AK28" s="39"/>
      <c r="AL28" s="39"/>
      <c r="AM28" s="210">
        <f t="shared" si="34"/>
        <v>0</v>
      </c>
      <c r="AN28" s="178" t="e">
        <f t="shared" si="3"/>
        <v>#DIV/0!</v>
      </c>
      <c r="AO28" s="429"/>
      <c r="AP28" s="39"/>
      <c r="AQ28" s="39"/>
      <c r="AR28" s="210">
        <f t="shared" si="35"/>
        <v>0</v>
      </c>
      <c r="AS28" s="178" t="e">
        <f t="shared" si="19"/>
        <v>#DIV/0!</v>
      </c>
      <c r="AT28" s="429"/>
      <c r="AU28" s="1432"/>
      <c r="AV28" s="1432"/>
      <c r="AW28" s="1552">
        <f t="shared" si="36"/>
        <v>0</v>
      </c>
      <c r="AX28" s="1877" t="e">
        <f t="shared" si="21"/>
        <v>#DIV/0!</v>
      </c>
      <c r="AY28" s="1055"/>
      <c r="AZ28" s="39">
        <f t="shared" si="7"/>
        <v>11713.621999999999</v>
      </c>
      <c r="BA28" s="39">
        <f t="shared" si="8"/>
        <v>100927.4</v>
      </c>
      <c r="BB28" s="210">
        <f t="shared" si="22"/>
        <v>112641.022</v>
      </c>
      <c r="BC28" s="178">
        <f t="shared" si="37"/>
        <v>2.5958052044642169E-3</v>
      </c>
      <c r="BD28" s="42"/>
    </row>
    <row r="29" spans="1:56" s="2" customFormat="1" ht="124.95" customHeight="1" outlineLevel="2">
      <c r="A29" s="238"/>
      <c r="B29" s="7" t="s">
        <v>31</v>
      </c>
      <c r="C29" s="114">
        <v>253200</v>
      </c>
      <c r="D29" s="113">
        <v>639031.29999999993</v>
      </c>
      <c r="E29" s="106">
        <f t="shared" si="5"/>
        <v>892231.29999999993</v>
      </c>
      <c r="F29" s="178">
        <f t="shared" si="27"/>
        <v>2.1525547896068239E-2</v>
      </c>
      <c r="G29" s="39">
        <v>392370</v>
      </c>
      <c r="H29" s="39">
        <v>420760</v>
      </c>
      <c r="I29" s="210">
        <f t="shared" si="9"/>
        <v>813130</v>
      </c>
      <c r="J29" s="178">
        <f t="shared" si="28"/>
        <v>1.8976589831437313E-2</v>
      </c>
      <c r="K29" s="79"/>
      <c r="L29" s="39">
        <v>1200</v>
      </c>
      <c r="M29" s="39">
        <v>11000</v>
      </c>
      <c r="N29" s="210">
        <f t="shared" si="10"/>
        <v>12200</v>
      </c>
      <c r="O29" s="178">
        <f t="shared" si="29"/>
        <v>5.6908106969003495E-2</v>
      </c>
      <c r="P29" s="261" t="s">
        <v>489</v>
      </c>
      <c r="Q29" s="39"/>
      <c r="R29" s="39">
        <v>9600</v>
      </c>
      <c r="S29" s="210">
        <f t="shared" si="11"/>
        <v>9600</v>
      </c>
      <c r="T29" s="178">
        <f t="shared" si="30"/>
        <v>3.9595119528777818E-2</v>
      </c>
      <c r="U29" s="422" t="s">
        <v>550</v>
      </c>
      <c r="V29" s="39">
        <v>3730</v>
      </c>
      <c r="W29" s="39">
        <v>1400</v>
      </c>
      <c r="X29" s="210">
        <f t="shared" si="31"/>
        <v>5130</v>
      </c>
      <c r="Y29" s="178">
        <f t="shared" si="23"/>
        <v>6.509298817923545E-2</v>
      </c>
      <c r="Z29" s="422" t="s">
        <v>700</v>
      </c>
      <c r="AA29" s="39"/>
      <c r="AB29" s="39"/>
      <c r="AC29" s="210">
        <f t="shared" si="32"/>
        <v>0</v>
      </c>
      <c r="AD29" s="178">
        <f>AC29/$AC$89</f>
        <v>0</v>
      </c>
      <c r="AE29" s="422"/>
      <c r="AF29" s="39"/>
      <c r="AG29" s="39"/>
      <c r="AH29" s="210">
        <f t="shared" si="33"/>
        <v>0</v>
      </c>
      <c r="AI29" s="178">
        <f t="shared" si="26"/>
        <v>0</v>
      </c>
      <c r="AJ29" s="422"/>
      <c r="AK29" s="39"/>
      <c r="AL29" s="39"/>
      <c r="AM29" s="210">
        <f t="shared" si="34"/>
        <v>0</v>
      </c>
      <c r="AN29" s="178" t="e">
        <f t="shared" si="3"/>
        <v>#DIV/0!</v>
      </c>
      <c r="AO29" s="422"/>
      <c r="AP29" s="39"/>
      <c r="AQ29" s="39"/>
      <c r="AR29" s="210">
        <f t="shared" si="35"/>
        <v>0</v>
      </c>
      <c r="AS29" s="178" t="e">
        <f t="shared" si="19"/>
        <v>#DIV/0!</v>
      </c>
      <c r="AT29" s="422"/>
      <c r="AU29" s="1432"/>
      <c r="AV29" s="1432"/>
      <c r="AW29" s="1552">
        <f t="shared" si="36"/>
        <v>0</v>
      </c>
      <c r="AX29" s="1877" t="e">
        <f t="shared" si="21"/>
        <v>#DIV/0!</v>
      </c>
      <c r="AY29" s="1604"/>
      <c r="AZ29" s="39">
        <f t="shared" si="7"/>
        <v>397300</v>
      </c>
      <c r="BA29" s="39">
        <f t="shared" si="8"/>
        <v>442760</v>
      </c>
      <c r="BB29" s="210">
        <f t="shared" si="22"/>
        <v>840060</v>
      </c>
      <c r="BC29" s="178">
        <f t="shared" si="37"/>
        <v>1.9359129394815062E-2</v>
      </c>
      <c r="BD29" s="79"/>
    </row>
    <row r="30" spans="1:56" s="2" customFormat="1" ht="79.95" customHeight="1" outlineLevel="2">
      <c r="A30" s="238"/>
      <c r="B30" s="7" t="s">
        <v>62</v>
      </c>
      <c r="C30" s="114"/>
      <c r="D30" s="113">
        <v>655431.4</v>
      </c>
      <c r="E30" s="106">
        <f t="shared" si="5"/>
        <v>655431.4</v>
      </c>
      <c r="F30" s="178">
        <f t="shared" si="27"/>
        <v>1.5812626157911142E-2</v>
      </c>
      <c r="G30" s="39">
        <v>177240</v>
      </c>
      <c r="H30" s="39">
        <v>596704</v>
      </c>
      <c r="I30" s="210">
        <f t="shared" si="9"/>
        <v>773944</v>
      </c>
      <c r="J30" s="178">
        <f t="shared" si="28"/>
        <v>1.8062078438259466E-2</v>
      </c>
      <c r="K30" s="79"/>
      <c r="L30" s="39"/>
      <c r="M30" s="39"/>
      <c r="N30" s="210">
        <f t="shared" si="10"/>
        <v>0</v>
      </c>
      <c r="O30" s="178">
        <f t="shared" si="29"/>
        <v>0</v>
      </c>
      <c r="P30" s="79"/>
      <c r="Q30" s="39"/>
      <c r="R30" s="39">
        <v>4000</v>
      </c>
      <c r="S30" s="210">
        <f t="shared" si="11"/>
        <v>4000</v>
      </c>
      <c r="T30" s="178">
        <f>S30/$S$89</f>
        <v>1.6497966470324091E-2</v>
      </c>
      <c r="U30" s="418" t="s">
        <v>548</v>
      </c>
      <c r="V30" s="39"/>
      <c r="W30" s="39">
        <v>2300</v>
      </c>
      <c r="X30" s="210">
        <f t="shared" si="31"/>
        <v>2300</v>
      </c>
      <c r="Y30" s="178">
        <f t="shared" si="23"/>
        <v>2.9183990801606538E-2</v>
      </c>
      <c r="Z30" s="418" t="s">
        <v>699</v>
      </c>
      <c r="AA30" s="39"/>
      <c r="AB30" s="39"/>
      <c r="AC30" s="210">
        <f t="shared" si="32"/>
        <v>0</v>
      </c>
      <c r="AD30" s="178">
        <f t="shared" si="14"/>
        <v>0</v>
      </c>
      <c r="AE30" s="418"/>
      <c r="AF30" s="39"/>
      <c r="AG30" s="39">
        <v>800</v>
      </c>
      <c r="AH30" s="210">
        <f t="shared" si="33"/>
        <v>800</v>
      </c>
      <c r="AI30" s="178">
        <f t="shared" si="26"/>
        <v>0.19836369785638272</v>
      </c>
      <c r="AJ30" s="418"/>
      <c r="AK30" s="39"/>
      <c r="AL30" s="39"/>
      <c r="AM30" s="210">
        <f t="shared" si="34"/>
        <v>0</v>
      </c>
      <c r="AN30" s="178" t="e">
        <f t="shared" si="3"/>
        <v>#DIV/0!</v>
      </c>
      <c r="AO30" s="418"/>
      <c r="AP30" s="39"/>
      <c r="AQ30" s="39"/>
      <c r="AR30" s="210">
        <f t="shared" si="35"/>
        <v>0</v>
      </c>
      <c r="AS30" s="178" t="e">
        <f t="shared" si="19"/>
        <v>#DIV/0!</v>
      </c>
      <c r="AT30" s="418"/>
      <c r="AU30" s="1432"/>
      <c r="AV30" s="1432"/>
      <c r="AW30" s="1552">
        <f t="shared" si="36"/>
        <v>0</v>
      </c>
      <c r="AX30" s="1877" t="e">
        <f t="shared" si="21"/>
        <v>#DIV/0!</v>
      </c>
      <c r="AY30" s="1944"/>
      <c r="AZ30" s="39">
        <f t="shared" si="7"/>
        <v>177240</v>
      </c>
      <c r="BA30" s="39">
        <f t="shared" si="8"/>
        <v>603804</v>
      </c>
      <c r="BB30" s="210">
        <f t="shared" si="22"/>
        <v>781044</v>
      </c>
      <c r="BC30" s="178">
        <f t="shared" si="37"/>
        <v>1.7999109419617569E-2</v>
      </c>
      <c r="BD30" s="79"/>
    </row>
    <row r="31" spans="1:56" s="2" customFormat="1" ht="74.400000000000006" customHeight="1" outlineLevel="2">
      <c r="A31" s="238"/>
      <c r="B31" s="7" t="s">
        <v>34</v>
      </c>
      <c r="C31" s="114">
        <f>70880-C63</f>
        <v>33280</v>
      </c>
      <c r="D31" s="113">
        <f>224653.65+2517</f>
        <v>227170.65</v>
      </c>
      <c r="E31" s="106">
        <f t="shared" si="5"/>
        <v>260450.65</v>
      </c>
      <c r="F31" s="178">
        <f t="shared" si="27"/>
        <v>6.2835084816427154E-3</v>
      </c>
      <c r="G31" s="39">
        <v>40412.49</v>
      </c>
      <c r="H31" s="39">
        <v>113316.8</v>
      </c>
      <c r="I31" s="210">
        <f t="shared" si="9"/>
        <v>153729.29</v>
      </c>
      <c r="J31" s="178">
        <f t="shared" si="28"/>
        <v>3.5876891535278222E-3</v>
      </c>
      <c r="K31" s="79"/>
      <c r="L31" s="39">
        <v>2176.59</v>
      </c>
      <c r="M31" s="39">
        <v>2630</v>
      </c>
      <c r="N31" s="210">
        <f t="shared" si="10"/>
        <v>4806.59</v>
      </c>
      <c r="O31" s="178">
        <f t="shared" si="29"/>
        <v>2.2420814580011682E-2</v>
      </c>
      <c r="P31" s="261" t="s">
        <v>490</v>
      </c>
      <c r="Q31" s="39"/>
      <c r="R31" s="39"/>
      <c r="S31" s="210">
        <f t="shared" si="11"/>
        <v>0</v>
      </c>
      <c r="T31" s="178">
        <f>S31/$S$89</f>
        <v>0</v>
      </c>
      <c r="U31" s="422"/>
      <c r="V31" s="39"/>
      <c r="W31" s="39"/>
      <c r="X31" s="210">
        <f t="shared" si="31"/>
        <v>0</v>
      </c>
      <c r="Y31" s="178">
        <f t="shared" si="23"/>
        <v>0</v>
      </c>
      <c r="Z31" s="422"/>
      <c r="AA31" s="39">
        <f>3333.33*1.2</f>
        <v>3999.9959999999996</v>
      </c>
      <c r="AB31" s="39"/>
      <c r="AC31" s="210">
        <f t="shared" si="32"/>
        <v>3999.9959999999996</v>
      </c>
      <c r="AD31" s="178">
        <f>AC31/$AC$89</f>
        <v>0.99181749746342418</v>
      </c>
      <c r="AE31" s="422" t="s">
        <v>744</v>
      </c>
      <c r="AF31" s="39"/>
      <c r="AG31" s="39"/>
      <c r="AH31" s="210">
        <f t="shared" si="33"/>
        <v>0</v>
      </c>
      <c r="AI31" s="178">
        <f t="shared" si="26"/>
        <v>0</v>
      </c>
      <c r="AJ31" s="422"/>
      <c r="AK31" s="39"/>
      <c r="AL31" s="39"/>
      <c r="AM31" s="210">
        <f t="shared" si="34"/>
        <v>0</v>
      </c>
      <c r="AN31" s="178" t="e">
        <f t="shared" si="3"/>
        <v>#DIV/0!</v>
      </c>
      <c r="AO31" s="422"/>
      <c r="AP31" s="39"/>
      <c r="AQ31" s="39"/>
      <c r="AR31" s="210">
        <f t="shared" si="35"/>
        <v>0</v>
      </c>
      <c r="AS31" s="178" t="e">
        <f t="shared" si="19"/>
        <v>#DIV/0!</v>
      </c>
      <c r="AT31" s="422"/>
      <c r="AU31" s="1432"/>
      <c r="AV31" s="1432"/>
      <c r="AW31" s="1552">
        <f t="shared" si="36"/>
        <v>0</v>
      </c>
      <c r="AX31" s="1877" t="e">
        <f t="shared" si="21"/>
        <v>#DIV/0!</v>
      </c>
      <c r="AY31" s="1604"/>
      <c r="AZ31" s="39">
        <f t="shared" si="7"/>
        <v>46589.076000000001</v>
      </c>
      <c r="BA31" s="39">
        <f t="shared" si="8"/>
        <v>115946.8</v>
      </c>
      <c r="BB31" s="210">
        <f t="shared" si="22"/>
        <v>162535.87599999999</v>
      </c>
      <c r="BC31" s="178">
        <f t="shared" si="37"/>
        <v>3.7456289488650998E-3</v>
      </c>
      <c r="BD31" s="79"/>
    </row>
    <row r="32" spans="1:56" s="2" customFormat="1" ht="14.4" customHeight="1" outlineLevel="2">
      <c r="A32" s="238"/>
      <c r="B32" s="32" t="s">
        <v>2</v>
      </c>
      <c r="C32" s="115"/>
      <c r="D32" s="116"/>
      <c r="E32" s="106">
        <f t="shared" si="5"/>
        <v>0</v>
      </c>
      <c r="F32" s="178">
        <f t="shared" si="27"/>
        <v>0</v>
      </c>
      <c r="G32" s="39">
        <v>0</v>
      </c>
      <c r="H32" s="39">
        <v>0</v>
      </c>
      <c r="I32" s="210">
        <f t="shared" si="9"/>
        <v>0</v>
      </c>
      <c r="J32" s="178">
        <f t="shared" si="28"/>
        <v>0</v>
      </c>
      <c r="K32" s="79"/>
      <c r="L32" s="39"/>
      <c r="M32" s="39"/>
      <c r="N32" s="210">
        <f t="shared" si="10"/>
        <v>0</v>
      </c>
      <c r="O32" s="178">
        <f t="shared" si="29"/>
        <v>0</v>
      </c>
      <c r="P32" s="79"/>
      <c r="Q32" s="39"/>
      <c r="R32" s="39"/>
      <c r="S32" s="210">
        <f t="shared" si="11"/>
        <v>0</v>
      </c>
      <c r="T32" s="178">
        <f>S32/$S$89</f>
        <v>0</v>
      </c>
      <c r="U32" s="421"/>
      <c r="V32" s="39"/>
      <c r="W32" s="39"/>
      <c r="X32" s="210">
        <f t="shared" si="31"/>
        <v>0</v>
      </c>
      <c r="Y32" s="178">
        <f t="shared" si="23"/>
        <v>0</v>
      </c>
      <c r="Z32" s="421"/>
      <c r="AA32" s="39"/>
      <c r="AB32" s="39"/>
      <c r="AC32" s="210">
        <f t="shared" si="32"/>
        <v>0</v>
      </c>
      <c r="AD32" s="178">
        <f t="shared" si="14"/>
        <v>0</v>
      </c>
      <c r="AE32" s="421"/>
      <c r="AF32" s="39"/>
      <c r="AG32" s="39"/>
      <c r="AH32" s="210">
        <f t="shared" si="33"/>
        <v>0</v>
      </c>
      <c r="AI32" s="178">
        <f t="shared" si="26"/>
        <v>0</v>
      </c>
      <c r="AJ32" s="421"/>
      <c r="AK32" s="39"/>
      <c r="AL32" s="39"/>
      <c r="AM32" s="210">
        <f t="shared" si="34"/>
        <v>0</v>
      </c>
      <c r="AN32" s="178" t="e">
        <f t="shared" si="3"/>
        <v>#DIV/0!</v>
      </c>
      <c r="AO32" s="421"/>
      <c r="AP32" s="39"/>
      <c r="AQ32" s="39"/>
      <c r="AR32" s="210">
        <f t="shared" si="35"/>
        <v>0</v>
      </c>
      <c r="AS32" s="178" t="e">
        <f t="shared" si="19"/>
        <v>#DIV/0!</v>
      </c>
      <c r="AT32" s="421"/>
      <c r="AU32" s="1432"/>
      <c r="AV32" s="1432"/>
      <c r="AW32" s="1552">
        <f t="shared" si="36"/>
        <v>0</v>
      </c>
      <c r="AX32" s="1877" t="e">
        <f t="shared" si="21"/>
        <v>#DIV/0!</v>
      </c>
      <c r="AY32" s="1912"/>
      <c r="AZ32" s="39">
        <f t="shared" si="7"/>
        <v>0</v>
      </c>
      <c r="BA32" s="39">
        <f t="shared" si="8"/>
        <v>0</v>
      </c>
      <c r="BB32" s="210">
        <f t="shared" si="22"/>
        <v>0</v>
      </c>
      <c r="BC32" s="178">
        <f t="shared" si="37"/>
        <v>0</v>
      </c>
      <c r="BD32" s="79"/>
    </row>
    <row r="33" spans="1:56" s="2" customFormat="1" ht="33.6" customHeight="1" outlineLevel="2" thickBot="1">
      <c r="A33" s="238"/>
      <c r="B33" s="32" t="s">
        <v>75</v>
      </c>
      <c r="C33" s="115"/>
      <c r="D33" s="116">
        <v>150000</v>
      </c>
      <c r="E33" s="106">
        <f t="shared" si="5"/>
        <v>150000</v>
      </c>
      <c r="F33" s="178">
        <f t="shared" si="27"/>
        <v>3.618828642763638E-3</v>
      </c>
      <c r="G33" s="39">
        <v>0</v>
      </c>
      <c r="H33" s="39">
        <v>51320</v>
      </c>
      <c r="I33" s="210">
        <f t="shared" si="9"/>
        <v>51320</v>
      </c>
      <c r="J33" s="178">
        <f t="shared" si="28"/>
        <v>1.1976911319830322E-3</v>
      </c>
      <c r="K33" s="79"/>
      <c r="L33" s="39"/>
      <c r="M33" s="39"/>
      <c r="N33" s="210">
        <f t="shared" si="10"/>
        <v>0</v>
      </c>
      <c r="O33" s="178">
        <f t="shared" si="29"/>
        <v>0</v>
      </c>
      <c r="P33" s="79"/>
      <c r="Q33" s="39">
        <v>7558</v>
      </c>
      <c r="R33" s="39"/>
      <c r="S33" s="210">
        <f t="shared" si="11"/>
        <v>7558</v>
      </c>
      <c r="T33" s="178">
        <f>S33/$S$89</f>
        <v>3.1172907645677369E-2</v>
      </c>
      <c r="U33" s="418" t="s">
        <v>551</v>
      </c>
      <c r="V33" s="39"/>
      <c r="W33" s="39"/>
      <c r="X33" s="210">
        <f t="shared" si="31"/>
        <v>0</v>
      </c>
      <c r="Y33" s="178">
        <f t="shared" si="23"/>
        <v>0</v>
      </c>
      <c r="Z33" s="418" t="s">
        <v>551</v>
      </c>
      <c r="AA33" s="39"/>
      <c r="AB33" s="39"/>
      <c r="AC33" s="210">
        <f t="shared" si="32"/>
        <v>0</v>
      </c>
      <c r="AD33" s="178">
        <f t="shared" si="14"/>
        <v>0</v>
      </c>
      <c r="AE33" s="418"/>
      <c r="AF33" s="39"/>
      <c r="AG33" s="39"/>
      <c r="AH33" s="210">
        <f t="shared" si="33"/>
        <v>0</v>
      </c>
      <c r="AI33" s="178">
        <f t="shared" si="26"/>
        <v>0</v>
      </c>
      <c r="AJ33" s="418"/>
      <c r="AK33" s="39"/>
      <c r="AL33" s="39"/>
      <c r="AM33" s="210">
        <f t="shared" si="34"/>
        <v>0</v>
      </c>
      <c r="AN33" s="178" t="e">
        <f t="shared" si="3"/>
        <v>#DIV/0!</v>
      </c>
      <c r="AO33" s="418"/>
      <c r="AP33" s="39"/>
      <c r="AQ33" s="39"/>
      <c r="AR33" s="210">
        <f t="shared" si="35"/>
        <v>0</v>
      </c>
      <c r="AS33" s="178" t="e">
        <f t="shared" si="19"/>
        <v>#DIV/0!</v>
      </c>
      <c r="AT33" s="418"/>
      <c r="AU33" s="1432"/>
      <c r="AV33" s="1432"/>
      <c r="AW33" s="1552">
        <f t="shared" si="36"/>
        <v>0</v>
      </c>
      <c r="AX33" s="1877" t="e">
        <f t="shared" si="21"/>
        <v>#DIV/0!</v>
      </c>
      <c r="AY33" s="1944"/>
      <c r="AZ33" s="39">
        <f t="shared" si="7"/>
        <v>7558</v>
      </c>
      <c r="BA33" s="39">
        <f t="shared" si="8"/>
        <v>51320</v>
      </c>
      <c r="BB33" s="210">
        <f t="shared" si="22"/>
        <v>58878</v>
      </c>
      <c r="BC33" s="178">
        <f t="shared" si="37"/>
        <v>1.3568397739541476E-3</v>
      </c>
      <c r="BD33" s="79"/>
    </row>
    <row r="34" spans="1:56" s="2" customFormat="1" ht="13.8" outlineLevel="2">
      <c r="A34" s="238"/>
      <c r="B34" s="12"/>
      <c r="C34" s="46"/>
      <c r="D34" s="47"/>
      <c r="E34" s="48"/>
      <c r="F34" s="179"/>
      <c r="G34" s="48"/>
      <c r="H34" s="48"/>
      <c r="I34" s="48"/>
      <c r="J34" s="48"/>
      <c r="K34" s="48"/>
      <c r="L34" s="39"/>
      <c r="M34" s="39"/>
      <c r="N34" s="48"/>
      <c r="O34" s="48"/>
      <c r="P34" s="48"/>
      <c r="Q34" s="39"/>
      <c r="R34" s="39"/>
      <c r="S34" s="48"/>
      <c r="T34" s="48"/>
      <c r="U34" s="48"/>
      <c r="V34" s="39"/>
      <c r="W34" s="39"/>
      <c r="X34" s="48"/>
      <c r="Y34" s="48"/>
      <c r="Z34" s="48"/>
      <c r="AA34" s="39"/>
      <c r="AB34" s="39"/>
      <c r="AC34" s="48"/>
      <c r="AD34" s="48"/>
      <c r="AE34" s="48"/>
      <c r="AF34" s="39"/>
      <c r="AG34" s="39"/>
      <c r="AH34" s="48"/>
      <c r="AI34" s="48"/>
      <c r="AJ34" s="48"/>
      <c r="AK34" s="39"/>
      <c r="AL34" s="39"/>
      <c r="AM34" s="48"/>
      <c r="AN34" s="48"/>
      <c r="AO34" s="48"/>
      <c r="AP34" s="39"/>
      <c r="AQ34" s="39"/>
      <c r="AR34" s="48"/>
      <c r="AS34" s="48"/>
      <c r="AT34" s="48"/>
      <c r="AU34" s="1432"/>
      <c r="AV34" s="1432"/>
      <c r="AW34" s="1436"/>
      <c r="AX34" s="1436"/>
      <c r="AY34" s="1436"/>
      <c r="AZ34" s="39"/>
      <c r="BA34" s="39"/>
      <c r="BB34" s="48"/>
      <c r="BC34" s="48"/>
      <c r="BD34" s="48"/>
    </row>
    <row r="35" spans="1:56" s="88" customFormat="1" ht="13.8" outlineLevel="1">
      <c r="A35" s="238"/>
      <c r="B35" s="89" t="s">
        <v>80</v>
      </c>
      <c r="C35" s="90">
        <f>C36</f>
        <v>483248</v>
      </c>
      <c r="D35" s="90">
        <f>D36</f>
        <v>0</v>
      </c>
      <c r="E35" s="91">
        <f>E36</f>
        <v>483248</v>
      </c>
      <c r="F35" s="165">
        <f>E35/$E$89</f>
        <v>1.1658611359721616E-2</v>
      </c>
      <c r="G35" s="90">
        <f>G36</f>
        <v>0</v>
      </c>
      <c r="H35" s="90">
        <f>H36</f>
        <v>0</v>
      </c>
      <c r="I35" s="91">
        <f>I36</f>
        <v>0</v>
      </c>
      <c r="J35" s="91"/>
      <c r="K35" s="91"/>
      <c r="L35" s="90">
        <f>L36</f>
        <v>0</v>
      </c>
      <c r="M35" s="90">
        <f>M36</f>
        <v>0</v>
      </c>
      <c r="N35" s="91">
        <f>N36</f>
        <v>0</v>
      </c>
      <c r="O35" s="91"/>
      <c r="P35" s="91"/>
      <c r="Q35" s="90">
        <f>Q36</f>
        <v>0</v>
      </c>
      <c r="R35" s="90">
        <f>R36</f>
        <v>0</v>
      </c>
      <c r="S35" s="91">
        <f>S36</f>
        <v>0</v>
      </c>
      <c r="T35" s="91"/>
      <c r="U35" s="91"/>
      <c r="V35" s="90">
        <f>V36</f>
        <v>0</v>
      </c>
      <c r="W35" s="90">
        <f>W36</f>
        <v>0</v>
      </c>
      <c r="X35" s="91">
        <f>X36</f>
        <v>0</v>
      </c>
      <c r="Y35" s="91"/>
      <c r="Z35" s="91"/>
      <c r="AA35" s="90">
        <f>AA36</f>
        <v>0</v>
      </c>
      <c r="AB35" s="90">
        <f>AB36</f>
        <v>0</v>
      </c>
      <c r="AC35" s="91">
        <f>AC36</f>
        <v>0</v>
      </c>
      <c r="AD35" s="91"/>
      <c r="AE35" s="91"/>
      <c r="AF35" s="90">
        <f>AF36</f>
        <v>0</v>
      </c>
      <c r="AG35" s="90">
        <f>AG36</f>
        <v>0</v>
      </c>
      <c r="AH35" s="91">
        <f>AH36</f>
        <v>0</v>
      </c>
      <c r="AI35" s="91"/>
      <c r="AJ35" s="91"/>
      <c r="AK35" s="90">
        <f>AK36</f>
        <v>0</v>
      </c>
      <c r="AL35" s="90">
        <f>AL36</f>
        <v>0</v>
      </c>
      <c r="AM35" s="91">
        <f>AM36</f>
        <v>0</v>
      </c>
      <c r="AN35" s="91"/>
      <c r="AO35" s="91"/>
      <c r="AP35" s="90">
        <f>AP36</f>
        <v>0</v>
      </c>
      <c r="AQ35" s="90">
        <f>AQ36</f>
        <v>0</v>
      </c>
      <c r="AR35" s="91">
        <f>AR36</f>
        <v>0</v>
      </c>
      <c r="AS35" s="91"/>
      <c r="AT35" s="91"/>
      <c r="AU35" s="1882">
        <f>AU36</f>
        <v>0</v>
      </c>
      <c r="AV35" s="1882">
        <f>AV36</f>
        <v>0</v>
      </c>
      <c r="AW35" s="1883">
        <f>AW36</f>
        <v>0</v>
      </c>
      <c r="AX35" s="1883"/>
      <c r="AY35" s="1883"/>
      <c r="AZ35" s="90">
        <f>AZ36</f>
        <v>0</v>
      </c>
      <c r="BA35" s="90">
        <f>BA36</f>
        <v>0</v>
      </c>
      <c r="BB35" s="91">
        <f>BB36</f>
        <v>0</v>
      </c>
      <c r="BC35" s="91"/>
      <c r="BD35" s="91"/>
    </row>
    <row r="36" spans="1:56" s="226" customFormat="1" ht="13.8" outlineLevel="3">
      <c r="A36" s="238"/>
      <c r="B36" s="19" t="s">
        <v>81</v>
      </c>
      <c r="C36" s="43">
        <v>483248</v>
      </c>
      <c r="D36" s="49"/>
      <c r="E36" s="106">
        <f>C36+D36</f>
        <v>483248</v>
      </c>
      <c r="F36" s="178">
        <f>E36/$E$89</f>
        <v>1.1658611359721616E-2</v>
      </c>
      <c r="G36" s="39"/>
      <c r="H36" s="39"/>
      <c r="I36" s="106">
        <f>G36+H36*1</f>
        <v>0</v>
      </c>
      <c r="J36" s="178">
        <f>I36/$I$89</f>
        <v>0</v>
      </c>
      <c r="K36" s="45"/>
      <c r="L36" s="39"/>
      <c r="M36" s="39"/>
      <c r="N36" s="106">
        <f>L36+M36*1</f>
        <v>0</v>
      </c>
      <c r="O36" s="178">
        <f>N36/$N$89</f>
        <v>0</v>
      </c>
      <c r="P36" s="45"/>
      <c r="Q36" s="39"/>
      <c r="R36" s="39"/>
      <c r="S36" s="106">
        <f>Q36+R36*1</f>
        <v>0</v>
      </c>
      <c r="T36" s="178">
        <f>S36/$N$89</f>
        <v>0</v>
      </c>
      <c r="U36" s="45"/>
      <c r="V36" s="39"/>
      <c r="W36" s="39"/>
      <c r="X36" s="106">
        <f>V36+W36*1</f>
        <v>0</v>
      </c>
      <c r="Y36" s="178">
        <f>X36/$N$89</f>
        <v>0</v>
      </c>
      <c r="Z36" s="45"/>
      <c r="AA36" s="39"/>
      <c r="AB36" s="39"/>
      <c r="AC36" s="106">
        <f>AA36+AB36*1</f>
        <v>0</v>
      </c>
      <c r="AD36" s="178">
        <f>AC36/$AC$89</f>
        <v>0</v>
      </c>
      <c r="AE36" s="45"/>
      <c r="AF36" s="39"/>
      <c r="AG36" s="39"/>
      <c r="AH36" s="106">
        <f>AF36+AG36*1</f>
        <v>0</v>
      </c>
      <c r="AI36" s="178">
        <f>AH36/$AC$89</f>
        <v>0</v>
      </c>
      <c r="AJ36" s="45"/>
      <c r="AK36" s="39"/>
      <c r="AL36" s="39"/>
      <c r="AM36" s="106">
        <f>AK36+AL36*1</f>
        <v>0</v>
      </c>
      <c r="AN36" s="178">
        <f>AM36/$AC$89</f>
        <v>0</v>
      </c>
      <c r="AO36" s="45"/>
      <c r="AP36" s="39"/>
      <c r="AQ36" s="39"/>
      <c r="AR36" s="106">
        <f>AP36+AQ36*1</f>
        <v>0</v>
      </c>
      <c r="AS36" s="178">
        <f>AR36/$AC$89</f>
        <v>0</v>
      </c>
      <c r="AT36" s="45"/>
      <c r="AU36" s="1432"/>
      <c r="AV36" s="1432"/>
      <c r="AW36" s="1480">
        <f>AU36+AV36*1</f>
        <v>0</v>
      </c>
      <c r="AX36" s="1877">
        <f>AW36/$AC$89</f>
        <v>0</v>
      </c>
      <c r="AY36" s="1893"/>
      <c r="AZ36" s="39">
        <f>G36+L36+Q36+V36+AA36+AF36+AK36+AP36+AU36</f>
        <v>0</v>
      </c>
      <c r="BA36" s="39">
        <f>H36+M36+R36+W36+AB36+AG36+AL36+AQ36+AV36</f>
        <v>0</v>
      </c>
      <c r="BB36" s="106">
        <f>AZ36+BA36*1</f>
        <v>0</v>
      </c>
      <c r="BC36" s="178">
        <f>BB36/$BB$89</f>
        <v>0</v>
      </c>
      <c r="BD36" s="45"/>
    </row>
    <row r="37" spans="1:56" s="2" customFormat="1" ht="14.4" outlineLevel="1" thickBot="1">
      <c r="A37" s="4"/>
      <c r="B37" s="14"/>
      <c r="C37" s="50"/>
      <c r="D37" s="51"/>
      <c r="E37" s="52"/>
      <c r="F37" s="181"/>
      <c r="G37" s="39"/>
      <c r="H37" s="39"/>
      <c r="I37" s="52"/>
      <c r="J37" s="52"/>
      <c r="K37" s="52"/>
      <c r="L37" s="39"/>
      <c r="M37" s="39"/>
      <c r="N37" s="52"/>
      <c r="O37" s="52"/>
      <c r="P37" s="52"/>
      <c r="Q37" s="39"/>
      <c r="R37" s="39"/>
      <c r="S37" s="52"/>
      <c r="T37" s="52"/>
      <c r="U37" s="52"/>
      <c r="V37" s="39"/>
      <c r="W37" s="39"/>
      <c r="X37" s="52"/>
      <c r="Y37" s="52"/>
      <c r="Z37" s="52"/>
      <c r="AA37" s="39"/>
      <c r="AB37" s="39"/>
      <c r="AC37" s="52"/>
      <c r="AD37" s="52"/>
      <c r="AE37" s="52"/>
      <c r="AF37" s="39"/>
      <c r="AG37" s="39"/>
      <c r="AH37" s="52"/>
      <c r="AI37" s="52"/>
      <c r="AJ37" s="52"/>
      <c r="AK37" s="39"/>
      <c r="AL37" s="39"/>
      <c r="AM37" s="52"/>
      <c r="AN37" s="52"/>
      <c r="AO37" s="52"/>
      <c r="AP37" s="39"/>
      <c r="AQ37" s="39"/>
      <c r="AR37" s="52"/>
      <c r="AS37" s="52"/>
      <c r="AT37" s="52"/>
      <c r="AU37" s="1432"/>
      <c r="AV37" s="1432"/>
      <c r="AW37" s="1439"/>
      <c r="AX37" s="1439"/>
      <c r="AY37" s="1439"/>
      <c r="AZ37" s="39"/>
      <c r="BA37" s="39"/>
      <c r="BB37" s="52"/>
      <c r="BC37" s="52"/>
      <c r="BD37" s="52"/>
    </row>
    <row r="38" spans="1:56" ht="14.4" thickBot="1">
      <c r="A38" s="33"/>
      <c r="B38" s="34" t="s">
        <v>46</v>
      </c>
      <c r="C38" s="53">
        <f>(C5)-(C8)</f>
        <v>24887378.24699375</v>
      </c>
      <c r="D38" s="53">
        <f>(D5)-(D8)</f>
        <v>-11005297.78441545</v>
      </c>
      <c r="E38" s="53">
        <f>(E5)-(E8)</f>
        <v>13882080.462578312</v>
      </c>
      <c r="F38" s="166"/>
      <c r="G38" s="53">
        <f>(G5)-(G8)</f>
        <v>21359028.648699999</v>
      </c>
      <c r="H38" s="53">
        <f>(H5)-(H8)</f>
        <v>-9530330.9900000021</v>
      </c>
      <c r="I38" s="53">
        <f>(I5)-(I8)</f>
        <v>11828697.658700004</v>
      </c>
      <c r="J38" s="53"/>
      <c r="K38" s="53"/>
      <c r="L38" s="53">
        <f>(L5)-(L8)</f>
        <v>-36551.862000000001</v>
      </c>
      <c r="M38" s="53">
        <f>(M5)-(M8)</f>
        <v>-72515</v>
      </c>
      <c r="N38" s="53">
        <f>(N5)-(N8)</f>
        <v>-109066.86199999996</v>
      </c>
      <c r="O38" s="53"/>
      <c r="P38" s="53"/>
      <c r="Q38" s="53">
        <f>(Q5)-(Q8)</f>
        <v>186986.74799999999</v>
      </c>
      <c r="R38" s="53">
        <f>(R5)-(R8)</f>
        <v>-104858.5</v>
      </c>
      <c r="S38" s="53">
        <f>(S5)-(S8)</f>
        <v>82128.247999999992</v>
      </c>
      <c r="T38" s="53"/>
      <c r="U38" s="53"/>
      <c r="V38" s="53">
        <f>(V5)-(V8)</f>
        <v>51365.893199999999</v>
      </c>
      <c r="W38" s="53">
        <f>(W5)-(W8)</f>
        <v>-23039.239999999998</v>
      </c>
      <c r="X38" s="53">
        <f>(X5)-(X8)</f>
        <v>28326.653200000001</v>
      </c>
      <c r="Y38" s="53"/>
      <c r="Z38" s="53"/>
      <c r="AA38" s="53">
        <f>(AA5)-(AA8)</f>
        <v>-4032.9959999999996</v>
      </c>
      <c r="AB38" s="53">
        <f>(AB5)-(AB8)</f>
        <v>0</v>
      </c>
      <c r="AC38" s="53">
        <f>(AC5)-(AC8)</f>
        <v>-4032.9959999999996</v>
      </c>
      <c r="AD38" s="53"/>
      <c r="AE38" s="53"/>
      <c r="AF38" s="53">
        <f>(AF5)-(AF8)</f>
        <v>0</v>
      </c>
      <c r="AG38" s="53">
        <f>(AG5)-(AG8)</f>
        <v>-2861</v>
      </c>
      <c r="AH38" s="53">
        <f>(AH5)-(AH8)</f>
        <v>-2861</v>
      </c>
      <c r="AI38" s="53"/>
      <c r="AJ38" s="53"/>
      <c r="AK38" s="53">
        <f>(AK5)-(AK8)</f>
        <v>111982.78</v>
      </c>
      <c r="AL38" s="53">
        <f>(AL5)-(AL8)</f>
        <v>0</v>
      </c>
      <c r="AM38" s="53">
        <f>(AM5)-(AM8)</f>
        <v>111982.78</v>
      </c>
      <c r="AN38" s="53"/>
      <c r="AO38" s="53"/>
      <c r="AP38" s="53">
        <f>(AP5)-(AP8)</f>
        <v>0</v>
      </c>
      <c r="AQ38" s="53">
        <f>(AQ5)-(AQ8)</f>
        <v>0</v>
      </c>
      <c r="AR38" s="53">
        <f>(AR5)-(AR8)</f>
        <v>0</v>
      </c>
      <c r="AS38" s="53"/>
      <c r="AT38" s="53"/>
      <c r="AU38" s="1440">
        <f>(AU5)-(AU8)</f>
        <v>-1416</v>
      </c>
      <c r="AV38" s="1440">
        <f>(AV5)-(AV8)</f>
        <v>0</v>
      </c>
      <c r="AW38" s="1440">
        <f>(AW5)-(AW8)</f>
        <v>-1416</v>
      </c>
      <c r="AX38" s="1440"/>
      <c r="AY38" s="1440"/>
      <c r="AZ38" s="53">
        <f>(AZ5)-(AZ8)</f>
        <v>21825887.441899996</v>
      </c>
      <c r="BA38" s="53">
        <f>(BA5)-(BA8)</f>
        <v>-9722604.7300000004</v>
      </c>
      <c r="BB38" s="53">
        <f>(BB5)-(BB8)</f>
        <v>12103282.711900003</v>
      </c>
      <c r="BC38" s="53"/>
      <c r="BD38" s="53"/>
    </row>
    <row r="39" spans="1:56" ht="13.8">
      <c r="A39" s="293"/>
      <c r="B39" s="15" t="s">
        <v>47</v>
      </c>
      <c r="C39" s="157">
        <f>C38/(C5)</f>
        <v>0.47153193770587565</v>
      </c>
      <c r="D39" s="157" t="e">
        <f>D38/(D5)</f>
        <v>#DIV/0!</v>
      </c>
      <c r="E39" s="158">
        <f>E38/(E5)</f>
        <v>0.26301863679430071</v>
      </c>
      <c r="F39" s="167"/>
      <c r="G39" s="54">
        <f>G38/(G5)</f>
        <v>0.40878932777079879</v>
      </c>
      <c r="H39" s="54" t="e">
        <f>H38/(H5)</f>
        <v>#DIV/0!</v>
      </c>
      <c r="I39" s="55">
        <f>I38/(I5)</f>
        <v>0.22638882337930202</v>
      </c>
      <c r="J39" s="55"/>
      <c r="K39" s="55"/>
      <c r="L39" s="54">
        <f>L38/(L5)</f>
        <v>-0.70290555392097476</v>
      </c>
      <c r="M39" s="54" t="e">
        <f>M38/(M5)</f>
        <v>#DIV/0!</v>
      </c>
      <c r="N39" s="55">
        <f>N38/(N5)</f>
        <v>-2.0973952858689522</v>
      </c>
      <c r="O39" s="55"/>
      <c r="P39" s="55"/>
      <c r="Q39" s="54">
        <f>Q38/(Q5)</f>
        <v>0.60644837172639809</v>
      </c>
      <c r="R39" s="54" t="e">
        <f>R38/(R5)</f>
        <v>#DIV/0!</v>
      </c>
      <c r="S39" s="55">
        <f>S38/(S5)</f>
        <v>0.2663640220768041</v>
      </c>
      <c r="T39" s="55"/>
      <c r="U39" s="55"/>
      <c r="V39" s="54">
        <f>V38/(V5)</f>
        <v>0.53484221361787787</v>
      </c>
      <c r="W39" s="54" t="e">
        <f>W38/(W5)</f>
        <v>#DIV/0!</v>
      </c>
      <c r="X39" s="55">
        <f>X38/(X5)</f>
        <v>0.29494843675518806</v>
      </c>
      <c r="Y39" s="55"/>
      <c r="Z39" s="55"/>
      <c r="AA39" s="54" t="e">
        <f>AA38/(AA5)</f>
        <v>#DIV/0!</v>
      </c>
      <c r="AB39" s="54" t="e">
        <f>AB38/(AB5)</f>
        <v>#DIV/0!</v>
      </c>
      <c r="AC39" s="55" t="e">
        <f>AC38/(AC5)</f>
        <v>#DIV/0!</v>
      </c>
      <c r="AD39" s="55"/>
      <c r="AE39" s="55"/>
      <c r="AF39" s="54" t="e">
        <f>AF38/(AF5)</f>
        <v>#DIV/0!</v>
      </c>
      <c r="AG39" s="54" t="e">
        <f>AG38/(AG5)</f>
        <v>#DIV/0!</v>
      </c>
      <c r="AH39" s="55" t="e">
        <f>AH38/(AH5)</f>
        <v>#DIV/0!</v>
      </c>
      <c r="AI39" s="55"/>
      <c r="AJ39" s="55"/>
      <c r="AK39" s="54">
        <f>AK38/(AK5)</f>
        <v>1</v>
      </c>
      <c r="AL39" s="54" t="e">
        <f>AL38/(AL5)</f>
        <v>#DIV/0!</v>
      </c>
      <c r="AM39" s="55">
        <f>AM38/(AM5)</f>
        <v>1</v>
      </c>
      <c r="AN39" s="55"/>
      <c r="AO39" s="55"/>
      <c r="AP39" s="54" t="e">
        <f>AP38/(AP5)</f>
        <v>#DIV/0!</v>
      </c>
      <c r="AQ39" s="54" t="e">
        <f>AQ38/(AQ5)</f>
        <v>#DIV/0!</v>
      </c>
      <c r="AR39" s="55" t="e">
        <f>AR38/(AR5)</f>
        <v>#DIV/0!</v>
      </c>
      <c r="AS39" s="55"/>
      <c r="AT39" s="55"/>
      <c r="AU39" s="1441" t="e">
        <f>AU38/(AU5)</f>
        <v>#DIV/0!</v>
      </c>
      <c r="AV39" s="1441" t="e">
        <f>AV38/(AV5)</f>
        <v>#DIV/0!</v>
      </c>
      <c r="AW39" s="1442" t="e">
        <f>AW38/(AW5)</f>
        <v>#DIV/0!</v>
      </c>
      <c r="AX39" s="1442"/>
      <c r="AY39" s="1442"/>
      <c r="AZ39" s="54">
        <f>AZ38/(AZ5)</f>
        <v>0.41199299657636612</v>
      </c>
      <c r="BA39" s="54">
        <f>BA38/(BA5)</f>
        <v>-883.87315727272733</v>
      </c>
      <c r="BB39" s="55">
        <f>BB38/(BB5)</f>
        <v>0.22841831984742791</v>
      </c>
      <c r="BC39" s="55"/>
      <c r="BD39" s="55"/>
    </row>
    <row r="40" spans="1:56" ht="14.4" outlineLevel="1" thickBot="1">
      <c r="A40" s="295"/>
      <c r="B40" s="16"/>
      <c r="C40" s="56"/>
      <c r="D40" s="57"/>
      <c r="E40" s="58"/>
      <c r="F40" s="16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1444"/>
      <c r="AV40" s="1444"/>
      <c r="AW40" s="1444"/>
      <c r="AX40" s="1444"/>
      <c r="AY40" s="1444"/>
      <c r="AZ40" s="58"/>
      <c r="BA40" s="58"/>
      <c r="BB40" s="58"/>
      <c r="BC40" s="58"/>
      <c r="BD40" s="58"/>
    </row>
    <row r="41" spans="1:56" ht="13.8" outlineLevel="1">
      <c r="A41" s="11"/>
      <c r="B41" s="22" t="s">
        <v>26</v>
      </c>
      <c r="C41" s="117">
        <f>SUM(C42:C48)</f>
        <v>40000</v>
      </c>
      <c r="D41" s="117">
        <f>SUM(D42:D48)</f>
        <v>11200</v>
      </c>
      <c r="E41" s="118">
        <f>SUM(E42:E48)</f>
        <v>51200</v>
      </c>
      <c r="F41" s="169">
        <f t="shared" ref="F41:F48" si="38">E41/$E$89</f>
        <v>1.2352268433966551E-3</v>
      </c>
      <c r="G41" s="117">
        <f>SUM(G42:G48)</f>
        <v>56394.13</v>
      </c>
      <c r="H41" s="117">
        <f>SUM(H42:H48)</f>
        <v>12831.95</v>
      </c>
      <c r="I41" s="118">
        <f>SUM(I42:I48)</f>
        <v>69226.080000000002</v>
      </c>
      <c r="J41" s="169">
        <f t="shared" ref="J41:J49" si="39">I41/$I$89</f>
        <v>1.6155779835921268E-3</v>
      </c>
      <c r="K41" s="60"/>
      <c r="L41" s="117">
        <f>SUM(L42:L48)</f>
        <v>66.5</v>
      </c>
      <c r="M41" s="117">
        <f>SUM(M42:M48)</f>
        <v>0</v>
      </c>
      <c r="N41" s="118">
        <f>SUM(N42:N48)</f>
        <v>66.5</v>
      </c>
      <c r="O41" s="169">
        <f t="shared" ref="O41:O49" si="40">N41/$N$89</f>
        <v>3.1019582897038787E-4</v>
      </c>
      <c r="P41" s="60"/>
      <c r="Q41" s="117">
        <f>SUM(Q42:Q48)</f>
        <v>383</v>
      </c>
      <c r="R41" s="117">
        <f>SUM(R42:R48)</f>
        <v>0</v>
      </c>
      <c r="S41" s="118">
        <f>SUM(S42:S48)</f>
        <v>383</v>
      </c>
      <c r="T41" s="169">
        <f t="shared" ref="T41:T49" si="41">S41/$N$89</f>
        <v>1.7865413909121588E-3</v>
      </c>
      <c r="U41" s="60"/>
      <c r="V41" s="117">
        <f>SUM(V42:V48)</f>
        <v>0</v>
      </c>
      <c r="W41" s="117">
        <f>SUM(W42:W48)</f>
        <v>0</v>
      </c>
      <c r="X41" s="118">
        <f>SUM(X42:X48)</f>
        <v>0</v>
      </c>
      <c r="Y41" s="169">
        <f>X41/$X$89</f>
        <v>0</v>
      </c>
      <c r="Z41" s="60"/>
      <c r="AA41" s="117">
        <f>SUM(AA42:AA48)</f>
        <v>0</v>
      </c>
      <c r="AB41" s="117">
        <f>SUM(AB42:AB48)</f>
        <v>0</v>
      </c>
      <c r="AC41" s="118">
        <f>SUM(AC42:AC48)</f>
        <v>0</v>
      </c>
      <c r="AD41" s="169">
        <f t="shared" ref="AD41:AD48" si="42">AC41/$AC$89</f>
        <v>0</v>
      </c>
      <c r="AE41" s="60"/>
      <c r="AF41" s="117">
        <f>SUM(AF42:AF48)</f>
        <v>0</v>
      </c>
      <c r="AG41" s="117">
        <f>SUM(AG42:AG48)</f>
        <v>0</v>
      </c>
      <c r="AH41" s="118">
        <f>SUM(AH42:AH48)</f>
        <v>0</v>
      </c>
      <c r="AI41" s="169">
        <f t="shared" ref="AI41:AI48" si="43">AH41/$AC$89</f>
        <v>0</v>
      </c>
      <c r="AJ41" s="60"/>
      <c r="AK41" s="117">
        <f>SUM(AK42:AK48)</f>
        <v>0</v>
      </c>
      <c r="AL41" s="117">
        <f>SUM(AL42:AL48)</f>
        <v>0</v>
      </c>
      <c r="AM41" s="118">
        <f>SUM(AM42:AM48)</f>
        <v>0</v>
      </c>
      <c r="AN41" s="169" t="e">
        <f t="shared" ref="AN41:AN48" si="44">AM41/$AM$89</f>
        <v>#DIV/0!</v>
      </c>
      <c r="AO41" s="60"/>
      <c r="AP41" s="117">
        <f>SUM(AP42:AP48)</f>
        <v>0</v>
      </c>
      <c r="AQ41" s="117">
        <f>SUM(AQ42:AQ48)</f>
        <v>0</v>
      </c>
      <c r="AR41" s="118">
        <f>SUM(AR42:AR48)</f>
        <v>0</v>
      </c>
      <c r="AS41" s="169" t="e">
        <f t="shared" ref="AS41:AS48" si="45">AR41/$AM$89</f>
        <v>#DIV/0!</v>
      </c>
      <c r="AT41" s="60"/>
      <c r="AU41" s="1491">
        <f>SUM(AU42:AU48)</f>
        <v>0</v>
      </c>
      <c r="AV41" s="1491">
        <f>SUM(AV42:AV48)</f>
        <v>0</v>
      </c>
      <c r="AW41" s="1492">
        <f>SUM(AW42:AW48)</f>
        <v>0</v>
      </c>
      <c r="AX41" s="1888" t="e">
        <f t="shared" ref="AX41:AX48" si="46">AW41/$AM$89</f>
        <v>#DIV/0!</v>
      </c>
      <c r="AY41" s="1446"/>
      <c r="AZ41" s="117">
        <f>SUM(AZ42:AZ48)</f>
        <v>56843.63</v>
      </c>
      <c r="BA41" s="117">
        <f>SUM(BA42:BA48)</f>
        <v>12831.95</v>
      </c>
      <c r="BB41" s="118">
        <f>SUM(BB42:BB48)</f>
        <v>69675.58</v>
      </c>
      <c r="BC41" s="169">
        <f t="shared" ref="BC41:BC49" si="47">BB41/$BB$89</f>
        <v>1.605669319904279E-3</v>
      </c>
      <c r="BD41" s="60"/>
    </row>
    <row r="42" spans="1:56" ht="43.2" customHeight="1" outlineLevel="2">
      <c r="A42" s="4833"/>
      <c r="B42" s="18" t="s">
        <v>7</v>
      </c>
      <c r="C42" s="113"/>
      <c r="D42" s="119"/>
      <c r="E42" s="120">
        <f t="shared" ref="E42:E49" si="48">C42+D42</f>
        <v>0</v>
      </c>
      <c r="F42" s="178">
        <f t="shared" si="38"/>
        <v>0</v>
      </c>
      <c r="G42" s="39"/>
      <c r="H42" s="39"/>
      <c r="I42" s="106">
        <f t="shared" ref="I42:I48" si="49">G42+H42*1</f>
        <v>0</v>
      </c>
      <c r="J42" s="178">
        <f t="shared" si="39"/>
        <v>0</v>
      </c>
      <c r="K42" s="79"/>
      <c r="L42" s="39"/>
      <c r="M42" s="39"/>
      <c r="N42" s="106">
        <f t="shared" ref="N42:N48" si="50">L42+M42*1</f>
        <v>0</v>
      </c>
      <c r="O42" s="178">
        <f t="shared" si="40"/>
        <v>0</v>
      </c>
      <c r="P42" s="79"/>
      <c r="Q42" s="39"/>
      <c r="R42" s="39"/>
      <c r="S42" s="106">
        <f t="shared" ref="S42:S48" si="51">Q42+R42*1</f>
        <v>0</v>
      </c>
      <c r="T42" s="178">
        <f t="shared" si="41"/>
        <v>0</v>
      </c>
      <c r="U42" s="79"/>
      <c r="V42" s="39"/>
      <c r="W42" s="39"/>
      <c r="X42" s="106">
        <f t="shared" ref="X42:X48" si="52">V42+W42*1</f>
        <v>0</v>
      </c>
      <c r="Y42" s="178">
        <f t="shared" ref="Y42:Y49" si="53">X42/$X$89</f>
        <v>0</v>
      </c>
      <c r="Z42" s="79"/>
      <c r="AA42" s="39"/>
      <c r="AB42" s="39"/>
      <c r="AC42" s="106">
        <f t="shared" ref="AC42:AC48" si="54">AA42+AB42*1</f>
        <v>0</v>
      </c>
      <c r="AD42" s="178">
        <f t="shared" si="42"/>
        <v>0</v>
      </c>
      <c r="AE42" s="79"/>
      <c r="AF42" s="39"/>
      <c r="AG42" s="39"/>
      <c r="AH42" s="106">
        <f t="shared" ref="AH42:AH48" si="55">AF42+AG42*1</f>
        <v>0</v>
      </c>
      <c r="AI42" s="178">
        <f t="shared" si="43"/>
        <v>0</v>
      </c>
      <c r="AJ42" s="79"/>
      <c r="AK42" s="39"/>
      <c r="AL42" s="39"/>
      <c r="AM42" s="106">
        <f t="shared" ref="AM42:AM48" si="56">AK42+AL42*1</f>
        <v>0</v>
      </c>
      <c r="AN42" s="178" t="e">
        <f t="shared" si="44"/>
        <v>#DIV/0!</v>
      </c>
      <c r="AO42" s="79"/>
      <c r="AP42" s="39"/>
      <c r="AQ42" s="39"/>
      <c r="AR42" s="106">
        <f t="shared" ref="AR42:AR48" si="57">AP42+AQ42*1</f>
        <v>0</v>
      </c>
      <c r="AS42" s="178" t="e">
        <f t="shared" si="45"/>
        <v>#DIV/0!</v>
      </c>
      <c r="AT42" s="79"/>
      <c r="AU42" s="1432"/>
      <c r="AV42" s="1432"/>
      <c r="AW42" s="1480">
        <f t="shared" ref="AW42:AW48" si="58">AU42+AV42*1</f>
        <v>0</v>
      </c>
      <c r="AX42" s="1877" t="e">
        <f t="shared" si="46"/>
        <v>#DIV/0!</v>
      </c>
      <c r="AY42" s="1927"/>
      <c r="AZ42" s="39">
        <f t="shared" ref="AZ42:AZ48" si="59">G42+L42+Q42+V42+AA42+AF42+AK42+AP42+AU42</f>
        <v>0</v>
      </c>
      <c r="BA42" s="39">
        <f t="shared" ref="BA42:BA48" si="60">H42+M42+R42+W42+AB42+AG42+AL42+AQ42+AV42</f>
        <v>0</v>
      </c>
      <c r="BB42" s="106">
        <f t="shared" ref="BB42:BB48" si="61">AZ42+BA42*1</f>
        <v>0</v>
      </c>
      <c r="BC42" s="178">
        <f t="shared" si="47"/>
        <v>0</v>
      </c>
      <c r="BD42" s="79"/>
    </row>
    <row r="43" spans="1:56" ht="13.8" outlineLevel="2">
      <c r="A43" s="4833"/>
      <c r="B43" s="18" t="s">
        <v>27</v>
      </c>
      <c r="C43" s="113"/>
      <c r="D43" s="119">
        <v>9600</v>
      </c>
      <c r="E43" s="120">
        <f t="shared" si="48"/>
        <v>9600</v>
      </c>
      <c r="F43" s="178">
        <f t="shared" si="38"/>
        <v>2.3160503313687282E-4</v>
      </c>
      <c r="G43" s="39">
        <v>2450.1999999999998</v>
      </c>
      <c r="H43" s="39">
        <v>8178.95</v>
      </c>
      <c r="I43" s="106">
        <f t="shared" si="49"/>
        <v>10629.15</v>
      </c>
      <c r="J43" s="178">
        <f t="shared" si="39"/>
        <v>2.4805999016986452E-4</v>
      </c>
      <c r="K43" s="79"/>
      <c r="L43" s="39"/>
      <c r="M43" s="39"/>
      <c r="N43" s="106">
        <f t="shared" si="50"/>
        <v>0</v>
      </c>
      <c r="O43" s="178">
        <f t="shared" si="40"/>
        <v>0</v>
      </c>
      <c r="P43" s="79"/>
      <c r="Q43" s="39"/>
      <c r="R43" s="39"/>
      <c r="S43" s="106">
        <f t="shared" si="51"/>
        <v>0</v>
      </c>
      <c r="T43" s="178">
        <f t="shared" si="41"/>
        <v>0</v>
      </c>
      <c r="U43" s="79"/>
      <c r="V43" s="39"/>
      <c r="W43" s="39"/>
      <c r="X43" s="106">
        <f t="shared" si="52"/>
        <v>0</v>
      </c>
      <c r="Y43" s="178">
        <f t="shared" si="53"/>
        <v>0</v>
      </c>
      <c r="Z43" s="79"/>
      <c r="AA43" s="39"/>
      <c r="AB43" s="39"/>
      <c r="AC43" s="106">
        <f t="shared" si="54"/>
        <v>0</v>
      </c>
      <c r="AD43" s="178">
        <f t="shared" si="42"/>
        <v>0</v>
      </c>
      <c r="AE43" s="79"/>
      <c r="AF43" s="39"/>
      <c r="AG43" s="39"/>
      <c r="AH43" s="106">
        <f t="shared" si="55"/>
        <v>0</v>
      </c>
      <c r="AI43" s="178">
        <f t="shared" si="43"/>
        <v>0</v>
      </c>
      <c r="AJ43" s="79"/>
      <c r="AK43" s="39"/>
      <c r="AL43" s="39"/>
      <c r="AM43" s="106">
        <f t="shared" si="56"/>
        <v>0</v>
      </c>
      <c r="AN43" s="178" t="e">
        <f t="shared" si="44"/>
        <v>#DIV/0!</v>
      </c>
      <c r="AO43" s="79"/>
      <c r="AP43" s="39"/>
      <c r="AQ43" s="39"/>
      <c r="AR43" s="106">
        <f t="shared" si="57"/>
        <v>0</v>
      </c>
      <c r="AS43" s="178" t="e">
        <f t="shared" si="45"/>
        <v>#DIV/0!</v>
      </c>
      <c r="AT43" s="79"/>
      <c r="AU43" s="1432"/>
      <c r="AV43" s="1432"/>
      <c r="AW43" s="1480">
        <f t="shared" si="58"/>
        <v>0</v>
      </c>
      <c r="AX43" s="1877" t="e">
        <f t="shared" si="46"/>
        <v>#DIV/0!</v>
      </c>
      <c r="AY43" s="1927"/>
      <c r="AZ43" s="39">
        <f t="shared" si="59"/>
        <v>2450.1999999999998</v>
      </c>
      <c r="BA43" s="39">
        <f t="shared" si="60"/>
        <v>8178.95</v>
      </c>
      <c r="BB43" s="106">
        <f t="shared" si="61"/>
        <v>10629.15</v>
      </c>
      <c r="BC43" s="178">
        <f t="shared" si="47"/>
        <v>2.4494808728769198E-4</v>
      </c>
      <c r="BD43" s="79"/>
    </row>
    <row r="44" spans="1:56" ht="67.2" customHeight="1" outlineLevel="2">
      <c r="A44" s="4833"/>
      <c r="B44" s="19" t="s">
        <v>28</v>
      </c>
      <c r="C44" s="113">
        <v>4000</v>
      </c>
      <c r="D44" s="119"/>
      <c r="E44" s="120">
        <f t="shared" si="48"/>
        <v>4000</v>
      </c>
      <c r="F44" s="178">
        <f t="shared" si="38"/>
        <v>9.6502097140363684E-5</v>
      </c>
      <c r="G44" s="39">
        <v>1720</v>
      </c>
      <c r="H44" s="39">
        <v>350</v>
      </c>
      <c r="I44" s="106">
        <f t="shared" si="49"/>
        <v>2070</v>
      </c>
      <c r="J44" s="178">
        <f t="shared" si="39"/>
        <v>4.830905384265153E-5</v>
      </c>
      <c r="K44" s="79"/>
      <c r="L44" s="39"/>
      <c r="M44" s="39"/>
      <c r="N44" s="106">
        <f t="shared" si="50"/>
        <v>0</v>
      </c>
      <c r="O44" s="178">
        <f t="shared" si="40"/>
        <v>0</v>
      </c>
      <c r="P44" s="79"/>
      <c r="Q44" s="39"/>
      <c r="R44" s="39"/>
      <c r="S44" s="106">
        <f t="shared" si="51"/>
        <v>0</v>
      </c>
      <c r="T44" s="178">
        <f t="shared" si="41"/>
        <v>0</v>
      </c>
      <c r="U44" s="259"/>
      <c r="V44" s="39"/>
      <c r="W44" s="39"/>
      <c r="X44" s="106">
        <f t="shared" si="52"/>
        <v>0</v>
      </c>
      <c r="Y44" s="178">
        <f t="shared" si="53"/>
        <v>0</v>
      </c>
      <c r="Z44" s="259"/>
      <c r="AA44" s="39"/>
      <c r="AB44" s="39"/>
      <c r="AC44" s="106">
        <f t="shared" si="54"/>
        <v>0</v>
      </c>
      <c r="AD44" s="178">
        <f t="shared" si="42"/>
        <v>0</v>
      </c>
      <c r="AE44" s="259"/>
      <c r="AF44" s="39"/>
      <c r="AG44" s="39"/>
      <c r="AH44" s="106">
        <f t="shared" si="55"/>
        <v>0</v>
      </c>
      <c r="AI44" s="178">
        <f t="shared" si="43"/>
        <v>0</v>
      </c>
      <c r="AJ44" s="259"/>
      <c r="AK44" s="39"/>
      <c r="AL44" s="39"/>
      <c r="AM44" s="106">
        <f t="shared" si="56"/>
        <v>0</v>
      </c>
      <c r="AN44" s="178" t="e">
        <f t="shared" si="44"/>
        <v>#DIV/0!</v>
      </c>
      <c r="AO44" s="259"/>
      <c r="AP44" s="39"/>
      <c r="AQ44" s="39"/>
      <c r="AR44" s="106">
        <f t="shared" si="57"/>
        <v>0</v>
      </c>
      <c r="AS44" s="178" t="e">
        <f t="shared" si="45"/>
        <v>#DIV/0!</v>
      </c>
      <c r="AT44" s="259"/>
      <c r="AU44" s="1432"/>
      <c r="AV44" s="1432"/>
      <c r="AW44" s="1480">
        <f t="shared" si="58"/>
        <v>0</v>
      </c>
      <c r="AX44" s="1877" t="e">
        <f t="shared" si="46"/>
        <v>#DIV/0!</v>
      </c>
      <c r="AY44" s="1880"/>
      <c r="AZ44" s="39">
        <f t="shared" si="59"/>
        <v>1720</v>
      </c>
      <c r="BA44" s="39">
        <f t="shared" si="60"/>
        <v>350</v>
      </c>
      <c r="BB44" s="106">
        <f t="shared" si="61"/>
        <v>2070</v>
      </c>
      <c r="BC44" s="178">
        <f t="shared" si="47"/>
        <v>4.7703018650176395E-5</v>
      </c>
      <c r="BD44" s="79"/>
    </row>
    <row r="45" spans="1:56" ht="13.8" outlineLevel="2">
      <c r="A45" s="4833"/>
      <c r="B45" s="18" t="s">
        <v>8</v>
      </c>
      <c r="C45" s="113">
        <v>32000</v>
      </c>
      <c r="D45" s="119"/>
      <c r="E45" s="120">
        <f t="shared" si="48"/>
        <v>32000</v>
      </c>
      <c r="F45" s="178">
        <f t="shared" si="38"/>
        <v>7.7201677712290947E-4</v>
      </c>
      <c r="G45" s="39">
        <v>26009</v>
      </c>
      <c r="H45" s="39">
        <v>0</v>
      </c>
      <c r="I45" s="106">
        <f t="shared" si="49"/>
        <v>26009</v>
      </c>
      <c r="J45" s="178">
        <f t="shared" si="39"/>
        <v>6.0699042579397274E-4</v>
      </c>
      <c r="K45" s="79"/>
      <c r="L45" s="39"/>
      <c r="M45" s="39"/>
      <c r="N45" s="106">
        <f t="shared" si="50"/>
        <v>0</v>
      </c>
      <c r="O45" s="178">
        <f t="shared" si="40"/>
        <v>0</v>
      </c>
      <c r="P45" s="79"/>
      <c r="Q45" s="39"/>
      <c r="R45" s="39"/>
      <c r="S45" s="106">
        <f t="shared" si="51"/>
        <v>0</v>
      </c>
      <c r="T45" s="178">
        <f t="shared" si="41"/>
        <v>0</v>
      </c>
      <c r="U45" s="259"/>
      <c r="V45" s="39"/>
      <c r="W45" s="39"/>
      <c r="X45" s="106">
        <f t="shared" si="52"/>
        <v>0</v>
      </c>
      <c r="Y45" s="178">
        <f t="shared" si="53"/>
        <v>0</v>
      </c>
      <c r="Z45" s="259"/>
      <c r="AA45" s="39"/>
      <c r="AB45" s="39"/>
      <c r="AC45" s="106">
        <f t="shared" si="54"/>
        <v>0</v>
      </c>
      <c r="AD45" s="178">
        <f t="shared" si="42"/>
        <v>0</v>
      </c>
      <c r="AE45" s="259"/>
      <c r="AF45" s="39"/>
      <c r="AG45" s="39"/>
      <c r="AH45" s="106">
        <f t="shared" si="55"/>
        <v>0</v>
      </c>
      <c r="AI45" s="178">
        <f t="shared" si="43"/>
        <v>0</v>
      </c>
      <c r="AJ45" s="259"/>
      <c r="AK45" s="39"/>
      <c r="AL45" s="39"/>
      <c r="AM45" s="106">
        <f t="shared" si="56"/>
        <v>0</v>
      </c>
      <c r="AN45" s="178" t="e">
        <f t="shared" si="44"/>
        <v>#DIV/0!</v>
      </c>
      <c r="AO45" s="259"/>
      <c r="AP45" s="39"/>
      <c r="AQ45" s="39"/>
      <c r="AR45" s="106">
        <f t="shared" si="57"/>
        <v>0</v>
      </c>
      <c r="AS45" s="178" t="e">
        <f t="shared" si="45"/>
        <v>#DIV/0!</v>
      </c>
      <c r="AT45" s="259"/>
      <c r="AU45" s="1432"/>
      <c r="AV45" s="1432"/>
      <c r="AW45" s="1480">
        <f t="shared" si="58"/>
        <v>0</v>
      </c>
      <c r="AX45" s="1877" t="e">
        <f t="shared" si="46"/>
        <v>#DIV/0!</v>
      </c>
      <c r="AY45" s="1880"/>
      <c r="AZ45" s="39">
        <f t="shared" si="59"/>
        <v>26009</v>
      </c>
      <c r="BA45" s="39">
        <f t="shared" si="60"/>
        <v>0</v>
      </c>
      <c r="BB45" s="106">
        <f t="shared" si="61"/>
        <v>26009</v>
      </c>
      <c r="BC45" s="178">
        <f t="shared" si="47"/>
        <v>5.9937575462436611E-4</v>
      </c>
      <c r="BD45" s="79"/>
    </row>
    <row r="46" spans="1:56" ht="13.8" outlineLevel="2">
      <c r="A46" s="4833"/>
      <c r="B46" s="18" t="s">
        <v>29</v>
      </c>
      <c r="C46" s="113"/>
      <c r="D46" s="119"/>
      <c r="E46" s="120">
        <f t="shared" si="48"/>
        <v>0</v>
      </c>
      <c r="F46" s="178">
        <f t="shared" si="38"/>
        <v>0</v>
      </c>
      <c r="G46" s="39">
        <v>0</v>
      </c>
      <c r="H46" s="39">
        <v>0</v>
      </c>
      <c r="I46" s="106">
        <f t="shared" si="49"/>
        <v>0</v>
      </c>
      <c r="J46" s="178">
        <f t="shared" si="39"/>
        <v>0</v>
      </c>
      <c r="K46" s="79"/>
      <c r="L46" s="39"/>
      <c r="M46" s="39"/>
      <c r="N46" s="106">
        <f t="shared" si="50"/>
        <v>0</v>
      </c>
      <c r="O46" s="178">
        <f t="shared" si="40"/>
        <v>0</v>
      </c>
      <c r="P46" s="79"/>
      <c r="Q46" s="39"/>
      <c r="R46" s="39"/>
      <c r="S46" s="106">
        <f t="shared" si="51"/>
        <v>0</v>
      </c>
      <c r="T46" s="178">
        <f t="shared" si="41"/>
        <v>0</v>
      </c>
      <c r="U46" s="259"/>
      <c r="V46" s="39"/>
      <c r="W46" s="39"/>
      <c r="X46" s="106">
        <f t="shared" si="52"/>
        <v>0</v>
      </c>
      <c r="Y46" s="178">
        <f t="shared" si="53"/>
        <v>0</v>
      </c>
      <c r="Z46" s="259"/>
      <c r="AA46" s="39"/>
      <c r="AB46" s="39"/>
      <c r="AC46" s="106">
        <f t="shared" si="54"/>
        <v>0</v>
      </c>
      <c r="AD46" s="178">
        <f t="shared" si="42"/>
        <v>0</v>
      </c>
      <c r="AE46" s="259"/>
      <c r="AF46" s="39"/>
      <c r="AG46" s="39"/>
      <c r="AH46" s="106">
        <f t="shared" si="55"/>
        <v>0</v>
      </c>
      <c r="AI46" s="178">
        <f t="shared" si="43"/>
        <v>0</v>
      </c>
      <c r="AJ46" s="259"/>
      <c r="AK46" s="39"/>
      <c r="AL46" s="39"/>
      <c r="AM46" s="106">
        <f t="shared" si="56"/>
        <v>0</v>
      </c>
      <c r="AN46" s="178" t="e">
        <f t="shared" si="44"/>
        <v>#DIV/0!</v>
      </c>
      <c r="AO46" s="259"/>
      <c r="AP46" s="39"/>
      <c r="AQ46" s="39"/>
      <c r="AR46" s="106">
        <f t="shared" si="57"/>
        <v>0</v>
      </c>
      <c r="AS46" s="178" t="e">
        <f t="shared" si="45"/>
        <v>#DIV/0!</v>
      </c>
      <c r="AT46" s="259"/>
      <c r="AU46" s="1432"/>
      <c r="AV46" s="1432"/>
      <c r="AW46" s="1480">
        <f t="shared" si="58"/>
        <v>0</v>
      </c>
      <c r="AX46" s="1877" t="e">
        <f t="shared" si="46"/>
        <v>#DIV/0!</v>
      </c>
      <c r="AY46" s="1880"/>
      <c r="AZ46" s="39">
        <f t="shared" si="59"/>
        <v>0</v>
      </c>
      <c r="BA46" s="39">
        <f t="shared" si="60"/>
        <v>0</v>
      </c>
      <c r="BB46" s="106">
        <f t="shared" si="61"/>
        <v>0</v>
      </c>
      <c r="BC46" s="178">
        <f t="shared" si="47"/>
        <v>0</v>
      </c>
      <c r="BD46" s="79"/>
    </row>
    <row r="47" spans="1:56" ht="13.8" outlineLevel="2">
      <c r="A47" s="4833"/>
      <c r="B47" s="18" t="s">
        <v>30</v>
      </c>
      <c r="C47" s="113"/>
      <c r="D47" s="119">
        <v>1600</v>
      </c>
      <c r="E47" s="120">
        <f t="shared" si="48"/>
        <v>1600</v>
      </c>
      <c r="F47" s="178">
        <f t="shared" si="38"/>
        <v>3.8600838856145472E-5</v>
      </c>
      <c r="G47" s="39">
        <v>24202.469999999998</v>
      </c>
      <c r="H47" s="39">
        <v>520</v>
      </c>
      <c r="I47" s="106">
        <f t="shared" si="49"/>
        <v>24722.469999999998</v>
      </c>
      <c r="J47" s="178">
        <f t="shared" si="39"/>
        <v>5.7696576538808551E-4</v>
      </c>
      <c r="K47" s="79"/>
      <c r="L47" s="39">
        <v>66.5</v>
      </c>
      <c r="M47" s="39"/>
      <c r="N47" s="106">
        <f t="shared" si="50"/>
        <v>66.5</v>
      </c>
      <c r="O47" s="178">
        <f t="shared" si="40"/>
        <v>3.1019582897038787E-4</v>
      </c>
      <c r="P47" s="79" t="s">
        <v>486</v>
      </c>
      <c r="Q47" s="39">
        <v>383</v>
      </c>
      <c r="R47" s="39"/>
      <c r="S47" s="106">
        <f t="shared" si="51"/>
        <v>383</v>
      </c>
      <c r="T47" s="178">
        <f>S47/$S$89</f>
        <v>1.5796802895335317E-3</v>
      </c>
      <c r="U47" s="415" t="s">
        <v>486</v>
      </c>
      <c r="V47" s="39"/>
      <c r="W47" s="39"/>
      <c r="X47" s="106">
        <f t="shared" si="52"/>
        <v>0</v>
      </c>
      <c r="Y47" s="178">
        <f t="shared" si="53"/>
        <v>0</v>
      </c>
      <c r="Z47" s="415" t="s">
        <v>486</v>
      </c>
      <c r="AA47" s="39"/>
      <c r="AB47" s="39"/>
      <c r="AC47" s="106">
        <f t="shared" si="54"/>
        <v>0</v>
      </c>
      <c r="AD47" s="178">
        <f t="shared" si="42"/>
        <v>0</v>
      </c>
      <c r="AE47" s="415"/>
      <c r="AF47" s="39"/>
      <c r="AG47" s="39"/>
      <c r="AH47" s="106">
        <f t="shared" si="55"/>
        <v>0</v>
      </c>
      <c r="AI47" s="178">
        <f t="shared" si="43"/>
        <v>0</v>
      </c>
      <c r="AJ47" s="415"/>
      <c r="AK47" s="39"/>
      <c r="AL47" s="39"/>
      <c r="AM47" s="106">
        <f t="shared" si="56"/>
        <v>0</v>
      </c>
      <c r="AN47" s="178" t="e">
        <f t="shared" si="44"/>
        <v>#DIV/0!</v>
      </c>
      <c r="AO47" s="415"/>
      <c r="AP47" s="39"/>
      <c r="AQ47" s="39"/>
      <c r="AR47" s="106">
        <f t="shared" si="57"/>
        <v>0</v>
      </c>
      <c r="AS47" s="178" t="e">
        <f t="shared" si="45"/>
        <v>#DIV/0!</v>
      </c>
      <c r="AT47" s="415"/>
      <c r="AU47" s="1432"/>
      <c r="AV47" s="1432"/>
      <c r="AW47" s="1480">
        <f t="shared" si="58"/>
        <v>0</v>
      </c>
      <c r="AX47" s="1877" t="e">
        <f t="shared" si="46"/>
        <v>#DIV/0!</v>
      </c>
      <c r="AY47" s="1881"/>
      <c r="AZ47" s="39">
        <f t="shared" si="59"/>
        <v>24651.969999999998</v>
      </c>
      <c r="BA47" s="39">
        <f t="shared" si="60"/>
        <v>520</v>
      </c>
      <c r="BB47" s="106">
        <f t="shared" si="61"/>
        <v>25171.969999999998</v>
      </c>
      <c r="BC47" s="178">
        <f t="shared" si="47"/>
        <v>5.8008645138728525E-4</v>
      </c>
      <c r="BD47" s="79"/>
    </row>
    <row r="48" spans="1:56" ht="13.8" outlineLevel="2">
      <c r="A48" s="4833"/>
      <c r="B48" s="18" t="s">
        <v>15</v>
      </c>
      <c r="C48" s="113">
        <v>4000</v>
      </c>
      <c r="D48" s="119"/>
      <c r="E48" s="120">
        <f t="shared" si="48"/>
        <v>4000</v>
      </c>
      <c r="F48" s="178">
        <f t="shared" si="38"/>
        <v>9.6502097140363684E-5</v>
      </c>
      <c r="G48" s="39">
        <v>2012.4599999999998</v>
      </c>
      <c r="H48" s="39">
        <v>3783</v>
      </c>
      <c r="I48" s="106">
        <f t="shared" si="49"/>
        <v>5795.46</v>
      </c>
      <c r="J48" s="178">
        <f t="shared" si="39"/>
        <v>1.352527483975523E-4</v>
      </c>
      <c r="K48" s="79"/>
      <c r="L48" s="39"/>
      <c r="M48" s="39"/>
      <c r="N48" s="106">
        <f t="shared" si="50"/>
        <v>0</v>
      </c>
      <c r="O48" s="178">
        <f t="shared" si="40"/>
        <v>0</v>
      </c>
      <c r="P48" s="79"/>
      <c r="Q48" s="39"/>
      <c r="R48" s="39"/>
      <c r="S48" s="106">
        <f t="shared" si="51"/>
        <v>0</v>
      </c>
      <c r="T48" s="178">
        <f t="shared" si="41"/>
        <v>0</v>
      </c>
      <c r="U48" s="259"/>
      <c r="V48" s="39"/>
      <c r="W48" s="39"/>
      <c r="X48" s="106">
        <f t="shared" si="52"/>
        <v>0</v>
      </c>
      <c r="Y48" s="178">
        <f t="shared" si="53"/>
        <v>0</v>
      </c>
      <c r="Z48" s="259"/>
      <c r="AA48" s="39"/>
      <c r="AB48" s="39"/>
      <c r="AC48" s="106">
        <f t="shared" si="54"/>
        <v>0</v>
      </c>
      <c r="AD48" s="178">
        <f t="shared" si="42"/>
        <v>0</v>
      </c>
      <c r="AE48" s="259"/>
      <c r="AF48" s="39"/>
      <c r="AG48" s="39"/>
      <c r="AH48" s="106">
        <f t="shared" si="55"/>
        <v>0</v>
      </c>
      <c r="AI48" s="178">
        <f t="shared" si="43"/>
        <v>0</v>
      </c>
      <c r="AJ48" s="259"/>
      <c r="AK48" s="39"/>
      <c r="AL48" s="39"/>
      <c r="AM48" s="106">
        <f t="shared" si="56"/>
        <v>0</v>
      </c>
      <c r="AN48" s="178" t="e">
        <f t="shared" si="44"/>
        <v>#DIV/0!</v>
      </c>
      <c r="AO48" s="259"/>
      <c r="AP48" s="39"/>
      <c r="AQ48" s="39"/>
      <c r="AR48" s="106">
        <f t="shared" si="57"/>
        <v>0</v>
      </c>
      <c r="AS48" s="178" t="e">
        <f t="shared" si="45"/>
        <v>#DIV/0!</v>
      </c>
      <c r="AT48" s="259"/>
      <c r="AU48" s="1432"/>
      <c r="AV48" s="1432"/>
      <c r="AW48" s="1480">
        <f t="shared" si="58"/>
        <v>0</v>
      </c>
      <c r="AX48" s="1877" t="e">
        <f t="shared" si="46"/>
        <v>#DIV/0!</v>
      </c>
      <c r="AY48" s="1880"/>
      <c r="AZ48" s="39">
        <f t="shared" si="59"/>
        <v>2012.4599999999998</v>
      </c>
      <c r="BA48" s="39">
        <f t="shared" si="60"/>
        <v>3783</v>
      </c>
      <c r="BB48" s="106">
        <f t="shared" si="61"/>
        <v>5795.46</v>
      </c>
      <c r="BC48" s="178">
        <f t="shared" si="47"/>
        <v>1.3355600795475906E-4</v>
      </c>
      <c r="BD48" s="79"/>
    </row>
    <row r="49" spans="1:56" s="2" customFormat="1" ht="14.4" outlineLevel="2" thickBot="1">
      <c r="A49" s="11"/>
      <c r="B49" s="35"/>
      <c r="C49" s="116"/>
      <c r="D49" s="121"/>
      <c r="E49" s="122">
        <f t="shared" si="48"/>
        <v>0</v>
      </c>
      <c r="F49" s="182"/>
      <c r="G49" s="39">
        <v>0</v>
      </c>
      <c r="H49" s="39">
        <v>0</v>
      </c>
      <c r="I49" s="52"/>
      <c r="J49" s="178">
        <f t="shared" si="39"/>
        <v>0</v>
      </c>
      <c r="K49" s="52"/>
      <c r="L49" s="39"/>
      <c r="M49" s="39"/>
      <c r="N49" s="52"/>
      <c r="O49" s="178">
        <f t="shared" si="40"/>
        <v>0</v>
      </c>
      <c r="P49" s="52"/>
      <c r="Q49" s="39"/>
      <c r="R49" s="39"/>
      <c r="S49" s="52"/>
      <c r="T49" s="178">
        <f t="shared" si="41"/>
        <v>0</v>
      </c>
      <c r="U49" s="64"/>
      <c r="V49" s="39"/>
      <c r="W49" s="39"/>
      <c r="X49" s="52"/>
      <c r="Y49" s="178">
        <f t="shared" si="53"/>
        <v>0</v>
      </c>
      <c r="Z49" s="64"/>
      <c r="AA49" s="39"/>
      <c r="AB49" s="39"/>
      <c r="AC49" s="52"/>
      <c r="AD49" s="178">
        <f>AC49/$X$89</f>
        <v>0</v>
      </c>
      <c r="AE49" s="64"/>
      <c r="AF49" s="39"/>
      <c r="AG49" s="39"/>
      <c r="AH49" s="52"/>
      <c r="AI49" s="178">
        <f>AH49/$X$89</f>
        <v>0</v>
      </c>
      <c r="AJ49" s="64"/>
      <c r="AK49" s="39"/>
      <c r="AL49" s="39"/>
      <c r="AM49" s="52"/>
      <c r="AN49" s="178">
        <f>AM49/$X$89</f>
        <v>0</v>
      </c>
      <c r="AO49" s="64"/>
      <c r="AP49" s="39"/>
      <c r="AQ49" s="39"/>
      <c r="AR49" s="52"/>
      <c r="AS49" s="178">
        <f>AR49/$X$89</f>
        <v>0</v>
      </c>
      <c r="AT49" s="64"/>
      <c r="AU49" s="1432"/>
      <c r="AV49" s="1432"/>
      <c r="AW49" s="1439"/>
      <c r="AX49" s="1877">
        <f>AW49/$X$89</f>
        <v>0</v>
      </c>
      <c r="AY49" s="1449"/>
      <c r="AZ49" s="39"/>
      <c r="BA49" s="39"/>
      <c r="BB49" s="52"/>
      <c r="BC49" s="178">
        <f t="shared" si="47"/>
        <v>0</v>
      </c>
      <c r="BD49" s="52"/>
    </row>
    <row r="50" spans="1:56" s="2" customFormat="1" ht="13.8" outlineLevel="1">
      <c r="A50" s="293"/>
      <c r="B50" s="17" t="s">
        <v>59</v>
      </c>
      <c r="C50" s="123">
        <f>SUM(C51:C52)</f>
        <v>0</v>
      </c>
      <c r="D50" s="123">
        <f>SUM(D51:D52)</f>
        <v>0</v>
      </c>
      <c r="E50" s="123">
        <f>SUM(E51:E52)</f>
        <v>0</v>
      </c>
      <c r="F50" s="170">
        <f>E50/$E$89</f>
        <v>0</v>
      </c>
      <c r="G50" s="123">
        <f>G52+G51</f>
        <v>15277.8</v>
      </c>
      <c r="H50" s="123">
        <f>H52+H51</f>
        <v>3560</v>
      </c>
      <c r="I50" s="123">
        <f>SUM(I51:I52)</f>
        <v>18837.8</v>
      </c>
      <c r="J50" s="60"/>
      <c r="K50" s="60"/>
      <c r="L50" s="123">
        <f>L52+L51</f>
        <v>0</v>
      </c>
      <c r="M50" s="123">
        <f>M52+M51</f>
        <v>0</v>
      </c>
      <c r="N50" s="123">
        <f>SUM(N51:N52)</f>
        <v>0</v>
      </c>
      <c r="O50" s="60"/>
      <c r="P50" s="60"/>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c r="AE50" s="409"/>
      <c r="AF50" s="123">
        <f>AF52+AF51</f>
        <v>0</v>
      </c>
      <c r="AG50" s="123">
        <f>AG52+AG51</f>
        <v>0</v>
      </c>
      <c r="AH50" s="123">
        <f>SUM(AH51:AH52)</f>
        <v>0</v>
      </c>
      <c r="AI50" s="60"/>
      <c r="AJ50" s="409"/>
      <c r="AK50" s="123">
        <f>AK52+AK51</f>
        <v>0</v>
      </c>
      <c r="AL50" s="123">
        <f>AL52+AL51</f>
        <v>0</v>
      </c>
      <c r="AM50" s="123">
        <f>SUM(AM51:AM52)</f>
        <v>0</v>
      </c>
      <c r="AN50" s="60"/>
      <c r="AO50" s="409"/>
      <c r="AP50" s="123">
        <f>AP52+AP51</f>
        <v>0</v>
      </c>
      <c r="AQ50" s="123">
        <f>AQ52+AQ51</f>
        <v>0</v>
      </c>
      <c r="AR50" s="123">
        <f>SUM(AR51:AR52)</f>
        <v>0</v>
      </c>
      <c r="AS50" s="60"/>
      <c r="AT50" s="409"/>
      <c r="AU50" s="1497">
        <f>AU52+AU51</f>
        <v>0</v>
      </c>
      <c r="AV50" s="1497">
        <f>AV52+AV51</f>
        <v>0</v>
      </c>
      <c r="AW50" s="1497">
        <f>SUM(AW51:AW52)</f>
        <v>0</v>
      </c>
      <c r="AX50" s="1446"/>
      <c r="AY50" s="1598"/>
      <c r="AZ50" s="123">
        <f>AZ52+AZ51</f>
        <v>15277.8</v>
      </c>
      <c r="BA50" s="123">
        <f>BA52+BA51</f>
        <v>3560</v>
      </c>
      <c r="BB50" s="123">
        <f>SUM(BB51:BB52)</f>
        <v>18837.8</v>
      </c>
      <c r="BC50" s="60"/>
      <c r="BD50" s="60"/>
    </row>
    <row r="51" spans="1:56" s="226" customFormat="1" ht="13.8" outlineLevel="1">
      <c r="A51" s="234"/>
      <c r="B51" s="18" t="s">
        <v>60</v>
      </c>
      <c r="C51" s="113"/>
      <c r="D51" s="119"/>
      <c r="E51" s="119">
        <f>C51+D51</f>
        <v>0</v>
      </c>
      <c r="F51" s="180">
        <f>E51/$E$89</f>
        <v>0</v>
      </c>
      <c r="G51" s="39">
        <v>0</v>
      </c>
      <c r="H51" s="39">
        <v>0</v>
      </c>
      <c r="I51" s="106">
        <f>G51+H51*1</f>
        <v>0</v>
      </c>
      <c r="J51" s="178">
        <f>I51/$I$89</f>
        <v>0</v>
      </c>
      <c r="K51" s="45"/>
      <c r="L51" s="39"/>
      <c r="M51" s="39"/>
      <c r="N51" s="106">
        <f>L51+M51*1</f>
        <v>0</v>
      </c>
      <c r="O51" s="178">
        <f>N51/$N$89</f>
        <v>0</v>
      </c>
      <c r="P51" s="45"/>
      <c r="Q51" s="39"/>
      <c r="R51" s="39"/>
      <c r="S51" s="106">
        <f>Q51+R51*1</f>
        <v>0</v>
      </c>
      <c r="T51" s="178">
        <f>S51/$N$89</f>
        <v>0</v>
      </c>
      <c r="U51" s="405"/>
      <c r="V51" s="39"/>
      <c r="W51" s="39"/>
      <c r="X51" s="106">
        <f>V51+W51*1</f>
        <v>0</v>
      </c>
      <c r="Y51" s="178">
        <f>X51/$N$89</f>
        <v>0</v>
      </c>
      <c r="Z51" s="405"/>
      <c r="AA51" s="39"/>
      <c r="AB51" s="39"/>
      <c r="AC51" s="106">
        <f>AA51+AB51*1</f>
        <v>0</v>
      </c>
      <c r="AD51" s="178">
        <f>AC51/$AC$89</f>
        <v>0</v>
      </c>
      <c r="AE51" s="405"/>
      <c r="AF51" s="39"/>
      <c r="AG51" s="39"/>
      <c r="AH51" s="106">
        <f>AF51+AG51*1</f>
        <v>0</v>
      </c>
      <c r="AI51" s="178">
        <f>AH51/$AC$89</f>
        <v>0</v>
      </c>
      <c r="AJ51" s="405"/>
      <c r="AK51" s="39"/>
      <c r="AL51" s="39"/>
      <c r="AM51" s="106">
        <f>AK51+AL51*1</f>
        <v>0</v>
      </c>
      <c r="AN51" s="178">
        <f>AM51/$AC$89</f>
        <v>0</v>
      </c>
      <c r="AO51" s="405"/>
      <c r="AP51" s="39"/>
      <c r="AQ51" s="39"/>
      <c r="AR51" s="106">
        <f>AP51+AQ51*1</f>
        <v>0</v>
      </c>
      <c r="AS51" s="178">
        <f>AR51/$AC$89</f>
        <v>0</v>
      </c>
      <c r="AT51" s="405"/>
      <c r="AU51" s="1432"/>
      <c r="AV51" s="1432"/>
      <c r="AW51" s="1480">
        <f>AU51+AV51*1</f>
        <v>0</v>
      </c>
      <c r="AX51" s="1877">
        <f>AW51/$AC$89</f>
        <v>0</v>
      </c>
      <c r="AY51" s="1887"/>
      <c r="AZ51" s="39">
        <f>G51+L51+Q51+V51+AA51+AF51+AK51+AP51+AU51</f>
        <v>0</v>
      </c>
      <c r="BA51" s="39">
        <f>H51+M51+R51+W51+AB51+AG51+AL51+AQ51+AV51</f>
        <v>0</v>
      </c>
      <c r="BB51" s="106">
        <f>AZ51+BA51*1</f>
        <v>0</v>
      </c>
      <c r="BC51" s="178">
        <f>BB51/$BB$89</f>
        <v>0</v>
      </c>
      <c r="BD51" s="45"/>
    </row>
    <row r="52" spans="1:56" s="235" customFormat="1" ht="13.8" outlineLevel="2">
      <c r="A52" s="234"/>
      <c r="B52" s="18" t="s">
        <v>61</v>
      </c>
      <c r="C52" s="113"/>
      <c r="D52" s="119"/>
      <c r="E52" s="119">
        <f>C52+D52</f>
        <v>0</v>
      </c>
      <c r="F52" s="180">
        <f>E52/$E$89</f>
        <v>0</v>
      </c>
      <c r="G52" s="39">
        <v>15277.8</v>
      </c>
      <c r="H52" s="39">
        <v>3560</v>
      </c>
      <c r="I52" s="106">
        <f>G52+H52*1</f>
        <v>18837.8</v>
      </c>
      <c r="J52" s="178">
        <f>I52/$I$89</f>
        <v>4.3963106013386523E-4</v>
      </c>
      <c r="K52" s="45"/>
      <c r="L52" s="39"/>
      <c r="M52" s="39"/>
      <c r="N52" s="106">
        <f>L52+M52*1</f>
        <v>0</v>
      </c>
      <c r="O52" s="178">
        <f>N52/$N$89</f>
        <v>0</v>
      </c>
      <c r="P52" s="45"/>
      <c r="Q52" s="39"/>
      <c r="R52" s="39"/>
      <c r="S52" s="106">
        <f>Q52+R52*1</f>
        <v>0</v>
      </c>
      <c r="T52" s="178">
        <f>S52/$N$89</f>
        <v>0</v>
      </c>
      <c r="U52" s="405"/>
      <c r="V52" s="39"/>
      <c r="W52" s="39"/>
      <c r="X52" s="106">
        <f>V52+W52*1</f>
        <v>0</v>
      </c>
      <c r="Y52" s="178">
        <f>X52/$N$89</f>
        <v>0</v>
      </c>
      <c r="Z52" s="405"/>
      <c r="AA52" s="39"/>
      <c r="AB52" s="39"/>
      <c r="AC52" s="106">
        <f>AA52+AB52*1</f>
        <v>0</v>
      </c>
      <c r="AD52" s="178">
        <f>AC52/$AC$89</f>
        <v>0</v>
      </c>
      <c r="AE52" s="405"/>
      <c r="AF52" s="39"/>
      <c r="AG52" s="39"/>
      <c r="AH52" s="106">
        <f>AF52+AG52*1</f>
        <v>0</v>
      </c>
      <c r="AI52" s="178">
        <f>AH52/$AC$89</f>
        <v>0</v>
      </c>
      <c r="AJ52" s="405"/>
      <c r="AK52" s="39"/>
      <c r="AL52" s="39"/>
      <c r="AM52" s="106">
        <f>AK52+AL52*1</f>
        <v>0</v>
      </c>
      <c r="AN52" s="178">
        <f>AM52/$AC$89</f>
        <v>0</v>
      </c>
      <c r="AO52" s="405"/>
      <c r="AP52" s="39"/>
      <c r="AQ52" s="39"/>
      <c r="AR52" s="106">
        <f>AP52+AQ52*1</f>
        <v>0</v>
      </c>
      <c r="AS52" s="178">
        <f>AR52/$AC$89</f>
        <v>0</v>
      </c>
      <c r="AT52" s="405"/>
      <c r="AU52" s="1432"/>
      <c r="AV52" s="1432"/>
      <c r="AW52" s="1480">
        <f>AU52+AV52*1</f>
        <v>0</v>
      </c>
      <c r="AX52" s="1877">
        <f>AW52/$AC$89</f>
        <v>0</v>
      </c>
      <c r="AY52" s="1887"/>
      <c r="AZ52" s="39">
        <f>G52+L52+Q52+V52+AA52+AF52+AK52+AP52+AU52</f>
        <v>15277.8</v>
      </c>
      <c r="BA52" s="39">
        <f>H52+M52+R52+W52+AB52+AG52+AL52+AQ52+AV52</f>
        <v>3560</v>
      </c>
      <c r="BB52" s="106">
        <f>AZ52+BA52*1</f>
        <v>18837.8</v>
      </c>
      <c r="BC52" s="178">
        <f>BB52/$BB$89</f>
        <v>4.3411590566584191E-4</v>
      </c>
      <c r="BD52" s="45"/>
    </row>
    <row r="53" spans="1:56" ht="14.4" outlineLevel="1" thickBot="1">
      <c r="A53" s="20"/>
      <c r="B53" s="21"/>
      <c r="C53" s="124"/>
      <c r="D53" s="125"/>
      <c r="E53" s="126"/>
      <c r="F53" s="183"/>
      <c r="G53" s="39">
        <v>0</v>
      </c>
      <c r="H53" s="39">
        <v>0</v>
      </c>
      <c r="I53" s="61"/>
      <c r="J53" s="61"/>
      <c r="K53" s="61"/>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61"/>
      <c r="AN53" s="61"/>
      <c r="AO53" s="61"/>
      <c r="AP53" s="39"/>
      <c r="AQ53" s="39"/>
      <c r="AR53" s="61"/>
      <c r="AS53" s="61"/>
      <c r="AT53" s="61"/>
      <c r="AU53" s="1432"/>
      <c r="AV53" s="1432"/>
      <c r="AW53" s="1447"/>
      <c r="AX53" s="1447"/>
      <c r="AY53" s="1447"/>
      <c r="AZ53" s="39">
        <f>G53+L53+Q53</f>
        <v>0</v>
      </c>
      <c r="BA53" s="39">
        <f>H53+M53+R53</f>
        <v>0</v>
      </c>
      <c r="BB53" s="61"/>
      <c r="BC53" s="61"/>
      <c r="BD53" s="61"/>
    </row>
    <row r="54" spans="1:56" ht="13.8" outlineLevel="1">
      <c r="A54" s="236"/>
      <c r="B54" s="17" t="s">
        <v>1</v>
      </c>
      <c r="C54" s="123">
        <f>SUM(C55:C71)</f>
        <v>199360</v>
      </c>
      <c r="D54" s="123">
        <f>SUM(D55:D71)</f>
        <v>234918</v>
      </c>
      <c r="E54" s="127">
        <f>SUM(E55:E71)</f>
        <v>434278</v>
      </c>
      <c r="F54" s="170">
        <f>E54/$E$89</f>
        <v>1.0477184435480714E-2</v>
      </c>
      <c r="G54" s="123">
        <f>SUM(G55:G71)</f>
        <v>425605.86732919252</v>
      </c>
      <c r="H54" s="123">
        <f>SUM(H55:H71)</f>
        <v>539295.39</v>
      </c>
      <c r="I54" s="127">
        <f>SUM(I55:I71)</f>
        <v>964901.25732919248</v>
      </c>
      <c r="J54" s="169">
        <f t="shared" ref="J54:J72" si="62">I54/$I$89</f>
        <v>2.2518582991863826E-2</v>
      </c>
      <c r="K54" s="60"/>
      <c r="L54" s="123">
        <f>SUM(L55:L72)</f>
        <v>18544</v>
      </c>
      <c r="M54" s="123">
        <f>SUM(M55:M72)</f>
        <v>20764</v>
      </c>
      <c r="N54" s="123">
        <f>SUM(N55:N72)</f>
        <v>39308</v>
      </c>
      <c r="O54" s="169">
        <f t="shared" ref="O54:O72" si="63">N54/$N$89</f>
        <v>0.1833560548145565</v>
      </c>
      <c r="P54" s="60"/>
      <c r="Q54" s="123">
        <f>SUM(Q55:Q72)</f>
        <v>200</v>
      </c>
      <c r="R54" s="123">
        <f>SUM(R55:R72)</f>
        <v>0</v>
      </c>
      <c r="S54" s="123">
        <f>SUM(S55:S72)</f>
        <v>200</v>
      </c>
      <c r="T54" s="169">
        <f>S54/$S$89</f>
        <v>8.2489832351620451E-4</v>
      </c>
      <c r="U54" s="409"/>
      <c r="V54" s="123">
        <f>SUM(V55:V72)</f>
        <v>7655</v>
      </c>
      <c r="W54" s="123">
        <f>SUM(W55:W72)</f>
        <v>0</v>
      </c>
      <c r="X54" s="123">
        <f>SUM(X55:X72)</f>
        <v>7655</v>
      </c>
      <c r="Y54" s="169">
        <f>X54/$X$89</f>
        <v>9.7131934602738279E-2</v>
      </c>
      <c r="Z54" s="409"/>
      <c r="AA54" s="123">
        <f>SUM(AA55:AA72)</f>
        <v>0</v>
      </c>
      <c r="AB54" s="123">
        <f>SUM(AB55:AB72)</f>
        <v>0</v>
      </c>
      <c r="AC54" s="123">
        <f>SUM(AC55:AC72)</f>
        <v>0</v>
      </c>
      <c r="AD54" s="169">
        <f>AC54/$AC$89</f>
        <v>0</v>
      </c>
      <c r="AE54" s="409"/>
      <c r="AF54" s="123">
        <f>SUM(AF55:AF72)</f>
        <v>0</v>
      </c>
      <c r="AG54" s="123">
        <f>SUM(AG55:AG72)</f>
        <v>0</v>
      </c>
      <c r="AH54" s="123">
        <f>SUM(AH55:AH72)</f>
        <v>0</v>
      </c>
      <c r="AI54" s="169">
        <f>AH54/$AC$89</f>
        <v>0</v>
      </c>
      <c r="AJ54" s="409"/>
      <c r="AK54" s="123">
        <f>SUM(AK55:AK72)</f>
        <v>0</v>
      </c>
      <c r="AL54" s="123">
        <f>SUM(AL55:AL72)</f>
        <v>0</v>
      </c>
      <c r="AM54" s="123">
        <f>SUM(AM55:AM72)</f>
        <v>0</v>
      </c>
      <c r="AN54" s="169" t="e">
        <f t="shared" ref="AN54:AN71" si="64">AM54/$AM$89</f>
        <v>#DIV/0!</v>
      </c>
      <c r="AO54" s="409"/>
      <c r="AP54" s="123">
        <f>SUM(AP55:AP72)</f>
        <v>0</v>
      </c>
      <c r="AQ54" s="123">
        <f>SUM(AQ55:AQ72)</f>
        <v>0</v>
      </c>
      <c r="AR54" s="123">
        <f>SUM(AR55:AR72)</f>
        <v>0</v>
      </c>
      <c r="AS54" s="169" t="e">
        <f t="shared" ref="AS54:AS71" si="65">AR54/$AM$89</f>
        <v>#DIV/0!</v>
      </c>
      <c r="AT54" s="409"/>
      <c r="AU54" s="1497">
        <f>SUM(AU55:AU72)</f>
        <v>0</v>
      </c>
      <c r="AV54" s="1497">
        <f>SUM(AV55:AV72)</f>
        <v>0</v>
      </c>
      <c r="AW54" s="1497">
        <f>SUM(AW55:AW72)</f>
        <v>0</v>
      </c>
      <c r="AX54" s="1888" t="e">
        <f t="shared" ref="AX54:AX71" si="66">AW54/$AM$89</f>
        <v>#DIV/0!</v>
      </c>
      <c r="AY54" s="1598"/>
      <c r="AZ54" s="123">
        <f>SUM(AZ55:AZ72)</f>
        <v>452004.86732919258</v>
      </c>
      <c r="BA54" s="123">
        <f>SUM(BA55:BA72)</f>
        <v>560059.39</v>
      </c>
      <c r="BB54" s="123">
        <f>SUM(BB55:BB72)</f>
        <v>1012064.2573291925</v>
      </c>
      <c r="BC54" s="169">
        <f t="shared" ref="BC54:BC72" si="67">BB54/$BB$89</f>
        <v>2.3322956590604536E-2</v>
      </c>
      <c r="BD54" s="60"/>
    </row>
    <row r="55" spans="1:56" ht="13.95" customHeight="1" outlineLevel="2">
      <c r="A55" s="237"/>
      <c r="B55" s="19" t="s">
        <v>77</v>
      </c>
      <c r="C55" s="113"/>
      <c r="D55" s="128"/>
      <c r="E55" s="120">
        <f t="shared" ref="E55:E72" si="68">C55+D55</f>
        <v>0</v>
      </c>
      <c r="F55" s="178">
        <f>E55/$E$89</f>
        <v>0</v>
      </c>
      <c r="G55" s="39">
        <v>57960</v>
      </c>
      <c r="H55" s="39">
        <v>121880</v>
      </c>
      <c r="I55" s="106">
        <f t="shared" ref="I55:I71" si="69">G55+H55*1</f>
        <v>179840</v>
      </c>
      <c r="J55" s="178">
        <f t="shared" si="62"/>
        <v>4.1970532575180929E-3</v>
      </c>
      <c r="K55" s="79"/>
      <c r="L55" s="210"/>
      <c r="M55" s="210"/>
      <c r="N55" s="106">
        <f t="shared" ref="N55:N71" si="70">L55+M55*1</f>
        <v>0</v>
      </c>
      <c r="O55" s="178">
        <f t="shared" si="63"/>
        <v>0</v>
      </c>
      <c r="P55" s="79"/>
      <c r="Q55" s="210"/>
      <c r="R55" s="210"/>
      <c r="S55" s="106">
        <f t="shared" ref="S55:S71" si="71">Q55+R55*1</f>
        <v>0</v>
      </c>
      <c r="T55" s="178">
        <f t="shared" ref="T55:T64" si="72">S55/$N$89</f>
        <v>0</v>
      </c>
      <c r="U55" s="259"/>
      <c r="V55" s="210"/>
      <c r="W55" s="210"/>
      <c r="X55" s="106">
        <f t="shared" ref="X55:X71" si="73">V55+W55*1</f>
        <v>0</v>
      </c>
      <c r="Y55" s="178">
        <f t="shared" ref="Y55:Y71" si="74">X55/$X$89</f>
        <v>0</v>
      </c>
      <c r="Z55" s="259"/>
      <c r="AA55" s="210"/>
      <c r="AB55" s="210"/>
      <c r="AC55" s="106">
        <f t="shared" ref="AC55:AC71" si="75">AA55+AB55*1</f>
        <v>0</v>
      </c>
      <c r="AD55" s="178">
        <f>AC55/$AC$89</f>
        <v>0</v>
      </c>
      <c r="AE55" s="259"/>
      <c r="AF55" s="210"/>
      <c r="AG55" s="210"/>
      <c r="AH55" s="106">
        <f t="shared" ref="AH55:AH71" si="76">AF55+AG55*1</f>
        <v>0</v>
      </c>
      <c r="AI55" s="178">
        <f>AH55/$AC$89</f>
        <v>0</v>
      </c>
      <c r="AJ55" s="259"/>
      <c r="AK55" s="210"/>
      <c r="AL55" s="210"/>
      <c r="AM55" s="106">
        <f t="shared" ref="AM55:AM71" si="77">AK55+AL55*1</f>
        <v>0</v>
      </c>
      <c r="AN55" s="178" t="e">
        <f t="shared" si="64"/>
        <v>#DIV/0!</v>
      </c>
      <c r="AO55" s="259"/>
      <c r="AP55" s="210"/>
      <c r="AQ55" s="210"/>
      <c r="AR55" s="106">
        <f t="shared" ref="AR55:AR71" si="78">AP55+AQ55*1</f>
        <v>0</v>
      </c>
      <c r="AS55" s="178" t="e">
        <f t="shared" si="65"/>
        <v>#DIV/0!</v>
      </c>
      <c r="AT55" s="259"/>
      <c r="AU55" s="1552"/>
      <c r="AV55" s="1552"/>
      <c r="AW55" s="1480">
        <f t="shared" ref="AW55:AW71" si="79">AU55+AV55*1</f>
        <v>0</v>
      </c>
      <c r="AX55" s="1877" t="e">
        <f t="shared" si="66"/>
        <v>#DIV/0!</v>
      </c>
      <c r="AY55" s="1880"/>
      <c r="AZ55" s="39">
        <f t="shared" ref="AZ55:AZ71" si="80">G55+L55+Q55+V55+AA55+AF55+AK55+AP55+AU55</f>
        <v>57960</v>
      </c>
      <c r="BA55" s="39">
        <f t="shared" ref="BA55:BA71" si="81">H55+M55+R55+W55+AB55+AG55+AL55+AQ55+AV55</f>
        <v>121880</v>
      </c>
      <c r="BB55" s="106">
        <f t="shared" ref="BB55:BB71" si="82">AZ55+BA55*1</f>
        <v>179840</v>
      </c>
      <c r="BC55" s="178">
        <f t="shared" si="67"/>
        <v>4.1444013884288514E-3</v>
      </c>
      <c r="BD55" s="79"/>
    </row>
    <row r="56" spans="1:56" ht="13.95" customHeight="1" outlineLevel="2">
      <c r="A56" s="237"/>
      <c r="B56" s="19" t="s">
        <v>76</v>
      </c>
      <c r="C56" s="113"/>
      <c r="D56" s="128"/>
      <c r="E56" s="120">
        <f t="shared" si="68"/>
        <v>0</v>
      </c>
      <c r="F56" s="178">
        <f t="shared" ref="F56:F72" si="83">E56/$E$89</f>
        <v>0</v>
      </c>
      <c r="G56" s="39">
        <v>15540</v>
      </c>
      <c r="H56" s="39">
        <v>0</v>
      </c>
      <c r="I56" s="106">
        <f t="shared" si="69"/>
        <v>15540</v>
      </c>
      <c r="J56" s="178">
        <f t="shared" si="62"/>
        <v>3.6266796942744192E-4</v>
      </c>
      <c r="K56" s="79"/>
      <c r="L56" s="210"/>
      <c r="M56" s="210"/>
      <c r="N56" s="106">
        <f t="shared" si="70"/>
        <v>0</v>
      </c>
      <c r="O56" s="178">
        <f t="shared" si="63"/>
        <v>0</v>
      </c>
      <c r="P56" s="79"/>
      <c r="Q56" s="210"/>
      <c r="R56" s="210"/>
      <c r="S56" s="106">
        <f t="shared" si="71"/>
        <v>0</v>
      </c>
      <c r="T56" s="178">
        <f t="shared" si="72"/>
        <v>0</v>
      </c>
      <c r="U56" s="421"/>
      <c r="V56" s="210"/>
      <c r="W56" s="210"/>
      <c r="X56" s="106">
        <f t="shared" si="73"/>
        <v>0</v>
      </c>
      <c r="Y56" s="178">
        <f t="shared" si="74"/>
        <v>0</v>
      </c>
      <c r="Z56" s="421"/>
      <c r="AA56" s="210"/>
      <c r="AB56" s="210"/>
      <c r="AC56" s="106">
        <f t="shared" si="75"/>
        <v>0</v>
      </c>
      <c r="AD56" s="178">
        <f t="shared" ref="AD56:AD71" si="84">AC56/$AC$89</f>
        <v>0</v>
      </c>
      <c r="AE56" s="421"/>
      <c r="AF56" s="210"/>
      <c r="AG56" s="210"/>
      <c r="AH56" s="106">
        <f t="shared" si="76"/>
        <v>0</v>
      </c>
      <c r="AI56" s="178">
        <f t="shared" ref="AI56:AI71" si="85">AH56/$AC$89</f>
        <v>0</v>
      </c>
      <c r="AJ56" s="421"/>
      <c r="AK56" s="210"/>
      <c r="AL56" s="210"/>
      <c r="AM56" s="106">
        <f t="shared" si="77"/>
        <v>0</v>
      </c>
      <c r="AN56" s="178" t="e">
        <f t="shared" si="64"/>
        <v>#DIV/0!</v>
      </c>
      <c r="AO56" s="421"/>
      <c r="AP56" s="210"/>
      <c r="AQ56" s="210"/>
      <c r="AR56" s="106">
        <f t="shared" si="78"/>
        <v>0</v>
      </c>
      <c r="AS56" s="178" t="e">
        <f t="shared" si="65"/>
        <v>#DIV/0!</v>
      </c>
      <c r="AT56" s="421"/>
      <c r="AU56" s="1552"/>
      <c r="AV56" s="1552"/>
      <c r="AW56" s="1480">
        <f t="shared" si="79"/>
        <v>0</v>
      </c>
      <c r="AX56" s="1877" t="e">
        <f t="shared" si="66"/>
        <v>#DIV/0!</v>
      </c>
      <c r="AY56" s="1912"/>
      <c r="AZ56" s="39">
        <f t="shared" si="80"/>
        <v>15540</v>
      </c>
      <c r="BA56" s="39">
        <f t="shared" si="81"/>
        <v>0</v>
      </c>
      <c r="BB56" s="106">
        <f t="shared" si="82"/>
        <v>15540</v>
      </c>
      <c r="BC56" s="178">
        <f t="shared" si="67"/>
        <v>3.5811831392451262E-4</v>
      </c>
      <c r="BD56" s="79"/>
    </row>
    <row r="57" spans="1:56" ht="13.95" customHeight="1" outlineLevel="2">
      <c r="A57" s="237"/>
      <c r="B57" s="19" t="s">
        <v>68</v>
      </c>
      <c r="C57" s="113"/>
      <c r="D57" s="128"/>
      <c r="E57" s="120">
        <f t="shared" si="68"/>
        <v>0</v>
      </c>
      <c r="F57" s="178">
        <f t="shared" si="83"/>
        <v>0</v>
      </c>
      <c r="G57" s="39">
        <v>14340</v>
      </c>
      <c r="H57" s="39">
        <v>0</v>
      </c>
      <c r="I57" s="106">
        <f t="shared" si="69"/>
        <v>14340</v>
      </c>
      <c r="J57" s="178">
        <f t="shared" si="62"/>
        <v>3.3466272082300627E-4</v>
      </c>
      <c r="K57" s="79"/>
      <c r="L57" s="210"/>
      <c r="M57" s="210"/>
      <c r="N57" s="106">
        <f t="shared" si="70"/>
        <v>0</v>
      </c>
      <c r="O57" s="178">
        <f t="shared" si="63"/>
        <v>0</v>
      </c>
      <c r="P57" s="79"/>
      <c r="Q57" s="210"/>
      <c r="R57" s="210"/>
      <c r="S57" s="106">
        <f t="shared" si="71"/>
        <v>0</v>
      </c>
      <c r="T57" s="178">
        <f t="shared" si="72"/>
        <v>0</v>
      </c>
      <c r="U57" s="421"/>
      <c r="V57" s="210"/>
      <c r="W57" s="210"/>
      <c r="X57" s="106">
        <f t="shared" si="73"/>
        <v>0</v>
      </c>
      <c r="Y57" s="178">
        <f t="shared" si="74"/>
        <v>0</v>
      </c>
      <c r="Z57" s="421"/>
      <c r="AA57" s="210"/>
      <c r="AB57" s="210"/>
      <c r="AC57" s="106">
        <f t="shared" si="75"/>
        <v>0</v>
      </c>
      <c r="AD57" s="178">
        <f t="shared" si="84"/>
        <v>0</v>
      </c>
      <c r="AE57" s="421"/>
      <c r="AF57" s="210"/>
      <c r="AG57" s="210"/>
      <c r="AH57" s="106">
        <f t="shared" si="76"/>
        <v>0</v>
      </c>
      <c r="AI57" s="178">
        <f t="shared" si="85"/>
        <v>0</v>
      </c>
      <c r="AJ57" s="421"/>
      <c r="AK57" s="210"/>
      <c r="AL57" s="210"/>
      <c r="AM57" s="106">
        <f t="shared" si="77"/>
        <v>0</v>
      </c>
      <c r="AN57" s="178" t="e">
        <f t="shared" si="64"/>
        <v>#DIV/0!</v>
      </c>
      <c r="AO57" s="421"/>
      <c r="AP57" s="210"/>
      <c r="AQ57" s="210"/>
      <c r="AR57" s="106">
        <f t="shared" si="78"/>
        <v>0</v>
      </c>
      <c r="AS57" s="178" t="e">
        <f t="shared" si="65"/>
        <v>#DIV/0!</v>
      </c>
      <c r="AT57" s="421"/>
      <c r="AU57" s="1552"/>
      <c r="AV57" s="1552"/>
      <c r="AW57" s="1480">
        <f t="shared" si="79"/>
        <v>0</v>
      </c>
      <c r="AX57" s="1877" t="e">
        <f t="shared" si="66"/>
        <v>#DIV/0!</v>
      </c>
      <c r="AY57" s="1912"/>
      <c r="AZ57" s="39">
        <f t="shared" si="80"/>
        <v>14340</v>
      </c>
      <c r="BA57" s="39">
        <f t="shared" si="81"/>
        <v>0</v>
      </c>
      <c r="BB57" s="106">
        <f t="shared" si="82"/>
        <v>14340</v>
      </c>
      <c r="BC57" s="178">
        <f t="shared" si="67"/>
        <v>3.3046439006933793E-4</v>
      </c>
      <c r="BD57" s="79"/>
    </row>
    <row r="58" spans="1:56" ht="14.4" customHeight="1" outlineLevel="2">
      <c r="A58" s="237"/>
      <c r="B58" s="19" t="s">
        <v>67</v>
      </c>
      <c r="C58" s="113">
        <v>83720</v>
      </c>
      <c r="D58" s="128">
        <v>225722</v>
      </c>
      <c r="E58" s="120">
        <f t="shared" si="68"/>
        <v>309442</v>
      </c>
      <c r="F58" s="178">
        <f t="shared" si="83"/>
        <v>7.4654504858271045E-3</v>
      </c>
      <c r="G58" s="39">
        <v>132960.39000000001</v>
      </c>
      <c r="H58" s="39">
        <v>251885.61</v>
      </c>
      <c r="I58" s="106">
        <f t="shared" si="69"/>
        <v>384846</v>
      </c>
      <c r="J58" s="178">
        <f t="shared" si="62"/>
        <v>8.9814232536855419E-3</v>
      </c>
      <c r="K58" s="79"/>
      <c r="L58" s="210">
        <v>12236</v>
      </c>
      <c r="M58" s="210">
        <v>20764</v>
      </c>
      <c r="N58" s="106">
        <f t="shared" si="70"/>
        <v>33000</v>
      </c>
      <c r="O58" s="178">
        <f t="shared" si="63"/>
        <v>0.15393176475222256</v>
      </c>
      <c r="P58" s="79" t="s">
        <v>470</v>
      </c>
      <c r="Q58" s="210"/>
      <c r="R58" s="210"/>
      <c r="S58" s="106">
        <f t="shared" si="71"/>
        <v>0</v>
      </c>
      <c r="T58" s="178">
        <f t="shared" si="72"/>
        <v>0</v>
      </c>
      <c r="U58" s="430"/>
      <c r="V58" s="210"/>
      <c r="W58" s="210"/>
      <c r="X58" s="106">
        <f t="shared" si="73"/>
        <v>0</v>
      </c>
      <c r="Y58" s="178">
        <f t="shared" si="74"/>
        <v>0</v>
      </c>
      <c r="Z58" s="430"/>
      <c r="AA58" s="210"/>
      <c r="AB58" s="210"/>
      <c r="AC58" s="106">
        <f t="shared" si="75"/>
        <v>0</v>
      </c>
      <c r="AD58" s="178">
        <f t="shared" si="84"/>
        <v>0</v>
      </c>
      <c r="AE58" s="430"/>
      <c r="AF58" s="210"/>
      <c r="AG58" s="210"/>
      <c r="AH58" s="106">
        <f t="shared" si="76"/>
        <v>0</v>
      </c>
      <c r="AI58" s="178">
        <f t="shared" si="85"/>
        <v>0</v>
      </c>
      <c r="AJ58" s="430"/>
      <c r="AK58" s="210"/>
      <c r="AL58" s="210"/>
      <c r="AM58" s="106">
        <f t="shared" si="77"/>
        <v>0</v>
      </c>
      <c r="AN58" s="178" t="e">
        <f t="shared" si="64"/>
        <v>#DIV/0!</v>
      </c>
      <c r="AO58" s="430"/>
      <c r="AP58" s="210"/>
      <c r="AQ58" s="210"/>
      <c r="AR58" s="106">
        <f t="shared" si="78"/>
        <v>0</v>
      </c>
      <c r="AS58" s="178" t="e">
        <f t="shared" si="65"/>
        <v>#DIV/0!</v>
      </c>
      <c r="AT58" s="430"/>
      <c r="AU58" s="1552"/>
      <c r="AV58" s="1552"/>
      <c r="AW58" s="1480">
        <f t="shared" si="79"/>
        <v>0</v>
      </c>
      <c r="AX58" s="1877" t="e">
        <f t="shared" si="66"/>
        <v>#DIV/0!</v>
      </c>
      <c r="AY58" s="1913"/>
      <c r="AZ58" s="39">
        <f t="shared" si="80"/>
        <v>145196.39000000001</v>
      </c>
      <c r="BA58" s="39">
        <f t="shared" si="81"/>
        <v>272649.61</v>
      </c>
      <c r="BB58" s="106">
        <f t="shared" si="82"/>
        <v>417846</v>
      </c>
      <c r="BC58" s="178">
        <f t="shared" si="67"/>
        <v>9.6292345559911129E-3</v>
      </c>
      <c r="BD58" s="79"/>
    </row>
    <row r="59" spans="1:56" ht="14.4" customHeight="1" outlineLevel="2">
      <c r="A59" s="237"/>
      <c r="B59" s="19" t="s">
        <v>66</v>
      </c>
      <c r="C59" s="113">
        <v>20280</v>
      </c>
      <c r="D59" s="128"/>
      <c r="E59" s="120">
        <f t="shared" si="68"/>
        <v>20280</v>
      </c>
      <c r="F59" s="178">
        <f t="shared" si="83"/>
        <v>4.8926563250164385E-4</v>
      </c>
      <c r="G59" s="39">
        <v>33657.796335403727</v>
      </c>
      <c r="H59" s="39">
        <v>0</v>
      </c>
      <c r="I59" s="106">
        <f t="shared" si="69"/>
        <v>33657.796335403727</v>
      </c>
      <c r="J59" s="178">
        <f t="shared" si="62"/>
        <v>7.8549579487537102E-4</v>
      </c>
      <c r="K59" s="79"/>
      <c r="L59" s="210">
        <v>2963.9999999999995</v>
      </c>
      <c r="M59" s="210"/>
      <c r="N59" s="106">
        <f t="shared" si="70"/>
        <v>2963.9999999999995</v>
      </c>
      <c r="O59" s="178">
        <f t="shared" si="63"/>
        <v>1.3825871234108715E-2</v>
      </c>
      <c r="P59" s="79"/>
      <c r="Q59" s="210"/>
      <c r="R59" s="210"/>
      <c r="S59" s="106">
        <f t="shared" si="71"/>
        <v>0</v>
      </c>
      <c r="T59" s="178">
        <f t="shared" si="72"/>
        <v>0</v>
      </c>
      <c r="U59" s="421"/>
      <c r="V59" s="210"/>
      <c r="W59" s="210"/>
      <c r="X59" s="106">
        <f t="shared" si="73"/>
        <v>0</v>
      </c>
      <c r="Y59" s="178">
        <f t="shared" si="74"/>
        <v>0</v>
      </c>
      <c r="Z59" s="421"/>
      <c r="AA59" s="210"/>
      <c r="AB59" s="210"/>
      <c r="AC59" s="106">
        <f t="shared" si="75"/>
        <v>0</v>
      </c>
      <c r="AD59" s="178">
        <f t="shared" si="84"/>
        <v>0</v>
      </c>
      <c r="AE59" s="421"/>
      <c r="AF59" s="210"/>
      <c r="AG59" s="210"/>
      <c r="AH59" s="106">
        <f t="shared" si="76"/>
        <v>0</v>
      </c>
      <c r="AI59" s="178">
        <f t="shared" si="85"/>
        <v>0</v>
      </c>
      <c r="AJ59" s="421"/>
      <c r="AK59" s="210"/>
      <c r="AL59" s="210"/>
      <c r="AM59" s="106">
        <f t="shared" si="77"/>
        <v>0</v>
      </c>
      <c r="AN59" s="178" t="e">
        <f t="shared" si="64"/>
        <v>#DIV/0!</v>
      </c>
      <c r="AO59" s="421"/>
      <c r="AP59" s="210"/>
      <c r="AQ59" s="210"/>
      <c r="AR59" s="106">
        <f t="shared" si="78"/>
        <v>0</v>
      </c>
      <c r="AS59" s="178" t="e">
        <f t="shared" si="65"/>
        <v>#DIV/0!</v>
      </c>
      <c r="AT59" s="421"/>
      <c r="AU59" s="1552"/>
      <c r="AV59" s="1552"/>
      <c r="AW59" s="1480">
        <f t="shared" si="79"/>
        <v>0</v>
      </c>
      <c r="AX59" s="1877" t="e">
        <f t="shared" si="66"/>
        <v>#DIV/0!</v>
      </c>
      <c r="AY59" s="1912"/>
      <c r="AZ59" s="39">
        <f t="shared" si="80"/>
        <v>36621.796335403727</v>
      </c>
      <c r="BA59" s="39">
        <f t="shared" si="81"/>
        <v>0</v>
      </c>
      <c r="BB59" s="106">
        <f t="shared" si="82"/>
        <v>36621.796335403727</v>
      </c>
      <c r="BC59" s="178">
        <f t="shared" si="67"/>
        <v>8.4394697274914278E-4</v>
      </c>
      <c r="BD59" s="79"/>
    </row>
    <row r="60" spans="1:56" ht="14.4" customHeight="1" outlineLevel="2">
      <c r="A60" s="237"/>
      <c r="B60" s="19" t="s">
        <v>65</v>
      </c>
      <c r="C60" s="113">
        <v>22880</v>
      </c>
      <c r="D60" s="128"/>
      <c r="E60" s="120">
        <f t="shared" si="68"/>
        <v>22880</v>
      </c>
      <c r="F60" s="178">
        <f t="shared" si="83"/>
        <v>5.5199199564288026E-4</v>
      </c>
      <c r="G60" s="39">
        <v>34887.000993788824</v>
      </c>
      <c r="H60" s="39">
        <v>0</v>
      </c>
      <c r="I60" s="106">
        <f t="shared" si="69"/>
        <v>34887.000993788824</v>
      </c>
      <c r="J60" s="178">
        <f t="shared" si="62"/>
        <v>8.1418261324520862E-4</v>
      </c>
      <c r="K60" s="79"/>
      <c r="L60" s="210">
        <v>3343.9999999999995</v>
      </c>
      <c r="M60" s="210"/>
      <c r="N60" s="106">
        <f t="shared" si="70"/>
        <v>3343.9999999999995</v>
      </c>
      <c r="O60" s="178">
        <f t="shared" si="63"/>
        <v>1.5598418828225217E-2</v>
      </c>
      <c r="P60" s="79"/>
      <c r="Q60" s="210"/>
      <c r="R60" s="210"/>
      <c r="S60" s="106">
        <f t="shared" si="71"/>
        <v>0</v>
      </c>
      <c r="T60" s="178">
        <f t="shared" si="72"/>
        <v>0</v>
      </c>
      <c r="U60" s="421"/>
      <c r="V60" s="210"/>
      <c r="W60" s="210"/>
      <c r="X60" s="106">
        <f t="shared" si="73"/>
        <v>0</v>
      </c>
      <c r="Y60" s="178">
        <f t="shared" si="74"/>
        <v>0</v>
      </c>
      <c r="Z60" s="421"/>
      <c r="AA60" s="210"/>
      <c r="AB60" s="210"/>
      <c r="AC60" s="106">
        <f t="shared" si="75"/>
        <v>0</v>
      </c>
      <c r="AD60" s="178">
        <f t="shared" si="84"/>
        <v>0</v>
      </c>
      <c r="AE60" s="421"/>
      <c r="AF60" s="210"/>
      <c r="AG60" s="210"/>
      <c r="AH60" s="106">
        <f t="shared" si="76"/>
        <v>0</v>
      </c>
      <c r="AI60" s="178">
        <f t="shared" si="85"/>
        <v>0</v>
      </c>
      <c r="AJ60" s="421"/>
      <c r="AK60" s="210"/>
      <c r="AL60" s="210"/>
      <c r="AM60" s="106">
        <f t="shared" si="77"/>
        <v>0</v>
      </c>
      <c r="AN60" s="178" t="e">
        <f t="shared" si="64"/>
        <v>#DIV/0!</v>
      </c>
      <c r="AO60" s="421"/>
      <c r="AP60" s="210"/>
      <c r="AQ60" s="210"/>
      <c r="AR60" s="106">
        <f t="shared" si="78"/>
        <v>0</v>
      </c>
      <c r="AS60" s="178" t="e">
        <f t="shared" si="65"/>
        <v>#DIV/0!</v>
      </c>
      <c r="AT60" s="421"/>
      <c r="AU60" s="1552"/>
      <c r="AV60" s="1552"/>
      <c r="AW60" s="1480">
        <f t="shared" si="79"/>
        <v>0</v>
      </c>
      <c r="AX60" s="1877" t="e">
        <f t="shared" si="66"/>
        <v>#DIV/0!</v>
      </c>
      <c r="AY60" s="1912"/>
      <c r="AZ60" s="39">
        <f t="shared" si="80"/>
        <v>38231.000993788824</v>
      </c>
      <c r="BA60" s="39">
        <f t="shared" si="81"/>
        <v>0</v>
      </c>
      <c r="BB60" s="106">
        <f t="shared" si="82"/>
        <v>38231.000993788824</v>
      </c>
      <c r="BC60" s="178">
        <f t="shared" si="67"/>
        <v>8.8103099199112096E-4</v>
      </c>
      <c r="BD60" s="79"/>
    </row>
    <row r="61" spans="1:56" ht="13.95" customHeight="1" outlineLevel="2">
      <c r="A61" s="237"/>
      <c r="B61" s="19" t="s">
        <v>32</v>
      </c>
      <c r="C61" s="113"/>
      <c r="D61" s="128"/>
      <c r="E61" s="120">
        <f t="shared" si="68"/>
        <v>0</v>
      </c>
      <c r="F61" s="178">
        <f t="shared" si="83"/>
        <v>0</v>
      </c>
      <c r="G61" s="39">
        <v>0</v>
      </c>
      <c r="H61" s="39">
        <v>0</v>
      </c>
      <c r="I61" s="106">
        <f t="shared" si="69"/>
        <v>0</v>
      </c>
      <c r="J61" s="178">
        <f t="shared" si="62"/>
        <v>0</v>
      </c>
      <c r="K61" s="79"/>
      <c r="L61" s="210"/>
      <c r="M61" s="210"/>
      <c r="N61" s="106">
        <f t="shared" si="70"/>
        <v>0</v>
      </c>
      <c r="O61" s="178">
        <f t="shared" si="63"/>
        <v>0</v>
      </c>
      <c r="P61" s="79"/>
      <c r="Q61" s="210"/>
      <c r="R61" s="210"/>
      <c r="S61" s="106">
        <f t="shared" si="71"/>
        <v>0</v>
      </c>
      <c r="T61" s="178">
        <f t="shared" si="72"/>
        <v>0</v>
      </c>
      <c r="U61" s="421"/>
      <c r="V61" s="210"/>
      <c r="W61" s="210"/>
      <c r="X61" s="106">
        <f t="shared" si="73"/>
        <v>0</v>
      </c>
      <c r="Y61" s="178">
        <f t="shared" si="74"/>
        <v>0</v>
      </c>
      <c r="Z61" s="421"/>
      <c r="AA61" s="210"/>
      <c r="AB61" s="210"/>
      <c r="AC61" s="106">
        <f t="shared" si="75"/>
        <v>0</v>
      </c>
      <c r="AD61" s="178">
        <f t="shared" si="84"/>
        <v>0</v>
      </c>
      <c r="AE61" s="421"/>
      <c r="AF61" s="210"/>
      <c r="AG61" s="210"/>
      <c r="AH61" s="106">
        <f t="shared" si="76"/>
        <v>0</v>
      </c>
      <c r="AI61" s="178">
        <f t="shared" si="85"/>
        <v>0</v>
      </c>
      <c r="AJ61" s="421"/>
      <c r="AK61" s="210"/>
      <c r="AL61" s="210"/>
      <c r="AM61" s="106">
        <f t="shared" si="77"/>
        <v>0</v>
      </c>
      <c r="AN61" s="178" t="e">
        <f t="shared" si="64"/>
        <v>#DIV/0!</v>
      </c>
      <c r="AO61" s="421"/>
      <c r="AP61" s="210"/>
      <c r="AQ61" s="210"/>
      <c r="AR61" s="106">
        <f t="shared" si="78"/>
        <v>0</v>
      </c>
      <c r="AS61" s="178" t="e">
        <f t="shared" si="65"/>
        <v>#DIV/0!</v>
      </c>
      <c r="AT61" s="421"/>
      <c r="AU61" s="1552"/>
      <c r="AV61" s="1552"/>
      <c r="AW61" s="1480">
        <f t="shared" si="79"/>
        <v>0</v>
      </c>
      <c r="AX61" s="1877" t="e">
        <f t="shared" si="66"/>
        <v>#DIV/0!</v>
      </c>
      <c r="AY61" s="1912"/>
      <c r="AZ61" s="39">
        <f t="shared" si="80"/>
        <v>0</v>
      </c>
      <c r="BA61" s="39">
        <f t="shared" si="81"/>
        <v>0</v>
      </c>
      <c r="BB61" s="106">
        <f t="shared" si="82"/>
        <v>0</v>
      </c>
      <c r="BC61" s="178">
        <f t="shared" si="67"/>
        <v>0</v>
      </c>
      <c r="BD61" s="79"/>
    </row>
    <row r="62" spans="1:56" ht="30.6" customHeight="1" outlineLevel="2">
      <c r="A62" s="237"/>
      <c r="B62" s="19" t="s">
        <v>33</v>
      </c>
      <c r="C62" s="129"/>
      <c r="D62" s="128">
        <v>1196</v>
      </c>
      <c r="E62" s="120">
        <f t="shared" si="68"/>
        <v>1196</v>
      </c>
      <c r="F62" s="178">
        <f t="shared" si="83"/>
        <v>2.8854127044968738E-5</v>
      </c>
      <c r="G62" s="39">
        <v>0</v>
      </c>
      <c r="H62" s="39">
        <v>0</v>
      </c>
      <c r="I62" s="106">
        <f t="shared" si="69"/>
        <v>0</v>
      </c>
      <c r="J62" s="178">
        <f t="shared" si="62"/>
        <v>0</v>
      </c>
      <c r="K62" s="79"/>
      <c r="L62" s="210"/>
      <c r="M62" s="210"/>
      <c r="N62" s="106">
        <f t="shared" si="70"/>
        <v>0</v>
      </c>
      <c r="O62" s="178">
        <f t="shared" si="63"/>
        <v>0</v>
      </c>
      <c r="P62" s="79"/>
      <c r="Q62" s="210"/>
      <c r="R62" s="210"/>
      <c r="S62" s="106">
        <f t="shared" si="71"/>
        <v>0</v>
      </c>
      <c r="T62" s="178">
        <f t="shared" si="72"/>
        <v>0</v>
      </c>
      <c r="U62" s="421"/>
      <c r="V62" s="210"/>
      <c r="W62" s="210"/>
      <c r="X62" s="106">
        <f t="shared" si="73"/>
        <v>0</v>
      </c>
      <c r="Y62" s="178">
        <f t="shared" si="74"/>
        <v>0</v>
      </c>
      <c r="Z62" s="421"/>
      <c r="AA62" s="210"/>
      <c r="AB62" s="210"/>
      <c r="AC62" s="106">
        <f t="shared" si="75"/>
        <v>0</v>
      </c>
      <c r="AD62" s="178">
        <f t="shared" si="84"/>
        <v>0</v>
      </c>
      <c r="AE62" s="421"/>
      <c r="AF62" s="210"/>
      <c r="AG62" s="210"/>
      <c r="AH62" s="106">
        <f t="shared" si="76"/>
        <v>0</v>
      </c>
      <c r="AI62" s="178">
        <f t="shared" si="85"/>
        <v>0</v>
      </c>
      <c r="AJ62" s="421"/>
      <c r="AK62" s="210"/>
      <c r="AL62" s="210"/>
      <c r="AM62" s="106">
        <f t="shared" si="77"/>
        <v>0</v>
      </c>
      <c r="AN62" s="178" t="e">
        <f t="shared" si="64"/>
        <v>#DIV/0!</v>
      </c>
      <c r="AO62" s="421"/>
      <c r="AP62" s="210"/>
      <c r="AQ62" s="210"/>
      <c r="AR62" s="106">
        <f t="shared" si="78"/>
        <v>0</v>
      </c>
      <c r="AS62" s="178" t="e">
        <f t="shared" si="65"/>
        <v>#DIV/0!</v>
      </c>
      <c r="AT62" s="421"/>
      <c r="AU62" s="1552"/>
      <c r="AV62" s="1552"/>
      <c r="AW62" s="1480">
        <f t="shared" si="79"/>
        <v>0</v>
      </c>
      <c r="AX62" s="1877" t="e">
        <f t="shared" si="66"/>
        <v>#DIV/0!</v>
      </c>
      <c r="AY62" s="1912"/>
      <c r="AZ62" s="39">
        <f t="shared" si="80"/>
        <v>0</v>
      </c>
      <c r="BA62" s="39">
        <f t="shared" si="81"/>
        <v>0</v>
      </c>
      <c r="BB62" s="106">
        <f t="shared" si="82"/>
        <v>0</v>
      </c>
      <c r="BC62" s="178">
        <f t="shared" si="67"/>
        <v>0</v>
      </c>
      <c r="BD62" s="79"/>
    </row>
    <row r="63" spans="1:56" ht="13.8" outlineLevel="2">
      <c r="A63" s="237"/>
      <c r="B63" s="19" t="s">
        <v>35</v>
      </c>
      <c r="C63" s="129">
        <v>37600</v>
      </c>
      <c r="D63" s="128"/>
      <c r="E63" s="120">
        <f t="shared" si="68"/>
        <v>37600</v>
      </c>
      <c r="F63" s="178">
        <f t="shared" si="83"/>
        <v>9.0711971311941862E-4</v>
      </c>
      <c r="G63" s="39">
        <v>42580.679999999993</v>
      </c>
      <c r="H63" s="39">
        <v>2041</v>
      </c>
      <c r="I63" s="106">
        <f t="shared" si="69"/>
        <v>44621.679999999993</v>
      </c>
      <c r="J63" s="178">
        <f t="shared" si="62"/>
        <v>1.0413677012896458E-3</v>
      </c>
      <c r="K63" s="79"/>
      <c r="L63" s="210"/>
      <c r="M63" s="210"/>
      <c r="N63" s="106">
        <f t="shared" si="70"/>
        <v>0</v>
      </c>
      <c r="O63" s="178">
        <f t="shared" si="63"/>
        <v>0</v>
      </c>
      <c r="P63" s="79"/>
      <c r="Q63" s="210"/>
      <c r="R63" s="210"/>
      <c r="S63" s="106">
        <f t="shared" si="71"/>
        <v>0</v>
      </c>
      <c r="T63" s="178">
        <f t="shared" si="72"/>
        <v>0</v>
      </c>
      <c r="U63" s="431"/>
      <c r="V63" s="210">
        <v>6855</v>
      </c>
      <c r="W63" s="210"/>
      <c r="X63" s="106">
        <f t="shared" si="73"/>
        <v>6855</v>
      </c>
      <c r="Y63" s="178">
        <f t="shared" si="74"/>
        <v>8.698098128044035E-2</v>
      </c>
      <c r="Z63" s="431" t="s">
        <v>634</v>
      </c>
      <c r="AA63" s="210"/>
      <c r="AB63" s="210"/>
      <c r="AC63" s="106">
        <f t="shared" si="75"/>
        <v>0</v>
      </c>
      <c r="AD63" s="178">
        <f t="shared" si="84"/>
        <v>0</v>
      </c>
      <c r="AE63" s="431"/>
      <c r="AF63" s="210"/>
      <c r="AG63" s="210"/>
      <c r="AH63" s="106">
        <f t="shared" si="76"/>
        <v>0</v>
      </c>
      <c r="AI63" s="178">
        <f t="shared" si="85"/>
        <v>0</v>
      </c>
      <c r="AJ63" s="431"/>
      <c r="AK63" s="210"/>
      <c r="AL63" s="210"/>
      <c r="AM63" s="106">
        <f t="shared" si="77"/>
        <v>0</v>
      </c>
      <c r="AN63" s="178" t="e">
        <f t="shared" si="64"/>
        <v>#DIV/0!</v>
      </c>
      <c r="AO63" s="431"/>
      <c r="AP63" s="210"/>
      <c r="AQ63" s="210"/>
      <c r="AR63" s="106">
        <f t="shared" si="78"/>
        <v>0</v>
      </c>
      <c r="AS63" s="178" t="e">
        <f t="shared" si="65"/>
        <v>#DIV/0!</v>
      </c>
      <c r="AT63" s="431"/>
      <c r="AU63" s="1552"/>
      <c r="AV63" s="1552"/>
      <c r="AW63" s="1480">
        <f t="shared" si="79"/>
        <v>0</v>
      </c>
      <c r="AX63" s="1877" t="e">
        <f t="shared" si="66"/>
        <v>#DIV/0!</v>
      </c>
      <c r="AY63" s="1946"/>
      <c r="AZ63" s="39">
        <f t="shared" si="80"/>
        <v>49435.679999999993</v>
      </c>
      <c r="BA63" s="39">
        <f t="shared" si="81"/>
        <v>2041</v>
      </c>
      <c r="BB63" s="106">
        <f t="shared" si="82"/>
        <v>51476.679999999993</v>
      </c>
      <c r="BC63" s="178">
        <f t="shared" si="67"/>
        <v>1.1862768241976626E-3</v>
      </c>
      <c r="BD63" s="79"/>
    </row>
    <row r="64" spans="1:56" ht="31.2" customHeight="1" outlineLevel="2">
      <c r="A64" s="237"/>
      <c r="B64" s="19" t="s">
        <v>63</v>
      </c>
      <c r="C64" s="129"/>
      <c r="D64" s="128"/>
      <c r="E64" s="120">
        <f t="shared" si="68"/>
        <v>0</v>
      </c>
      <c r="F64" s="178">
        <f t="shared" si="83"/>
        <v>0</v>
      </c>
      <c r="G64" s="39">
        <v>0</v>
      </c>
      <c r="H64" s="39">
        <v>0</v>
      </c>
      <c r="I64" s="106">
        <f t="shared" si="69"/>
        <v>0</v>
      </c>
      <c r="J64" s="178">
        <f t="shared" si="62"/>
        <v>0</v>
      </c>
      <c r="K64" s="79"/>
      <c r="L64" s="210"/>
      <c r="M64" s="210"/>
      <c r="N64" s="106">
        <f t="shared" si="70"/>
        <v>0</v>
      </c>
      <c r="O64" s="178">
        <f t="shared" si="63"/>
        <v>0</v>
      </c>
      <c r="P64" s="79"/>
      <c r="Q64" s="210"/>
      <c r="R64" s="210"/>
      <c r="S64" s="106">
        <f t="shared" si="71"/>
        <v>0</v>
      </c>
      <c r="T64" s="178">
        <f t="shared" si="72"/>
        <v>0</v>
      </c>
      <c r="U64" s="431"/>
      <c r="V64" s="210"/>
      <c r="W64" s="210"/>
      <c r="X64" s="106">
        <f t="shared" si="73"/>
        <v>0</v>
      </c>
      <c r="Y64" s="178">
        <f t="shared" si="74"/>
        <v>0</v>
      </c>
      <c r="Z64" s="431"/>
      <c r="AA64" s="210"/>
      <c r="AB64" s="210"/>
      <c r="AC64" s="106">
        <f t="shared" si="75"/>
        <v>0</v>
      </c>
      <c r="AD64" s="178">
        <f t="shared" si="84"/>
        <v>0</v>
      </c>
      <c r="AE64" s="431"/>
      <c r="AF64" s="210"/>
      <c r="AG64" s="210"/>
      <c r="AH64" s="106">
        <f t="shared" si="76"/>
        <v>0</v>
      </c>
      <c r="AI64" s="178">
        <f t="shared" si="85"/>
        <v>0</v>
      </c>
      <c r="AJ64" s="431"/>
      <c r="AK64" s="210"/>
      <c r="AL64" s="210"/>
      <c r="AM64" s="106">
        <f t="shared" si="77"/>
        <v>0</v>
      </c>
      <c r="AN64" s="178" t="e">
        <f t="shared" si="64"/>
        <v>#DIV/0!</v>
      </c>
      <c r="AO64" s="431"/>
      <c r="AP64" s="210"/>
      <c r="AQ64" s="210"/>
      <c r="AR64" s="106">
        <f t="shared" si="78"/>
        <v>0</v>
      </c>
      <c r="AS64" s="178" t="e">
        <f t="shared" si="65"/>
        <v>#DIV/0!</v>
      </c>
      <c r="AT64" s="431"/>
      <c r="AU64" s="1552"/>
      <c r="AV64" s="1552"/>
      <c r="AW64" s="1480">
        <f t="shared" si="79"/>
        <v>0</v>
      </c>
      <c r="AX64" s="1877" t="e">
        <f t="shared" si="66"/>
        <v>#DIV/0!</v>
      </c>
      <c r="AY64" s="1946"/>
      <c r="AZ64" s="39">
        <f t="shared" si="80"/>
        <v>0</v>
      </c>
      <c r="BA64" s="39">
        <f t="shared" si="81"/>
        <v>0</v>
      </c>
      <c r="BB64" s="106">
        <f t="shared" si="82"/>
        <v>0</v>
      </c>
      <c r="BC64" s="178">
        <f t="shared" si="67"/>
        <v>0</v>
      </c>
      <c r="BD64" s="79"/>
    </row>
    <row r="65" spans="1:56" ht="24" outlineLevel="2">
      <c r="A65" s="237"/>
      <c r="B65" s="19" t="s">
        <v>36</v>
      </c>
      <c r="C65" s="129"/>
      <c r="D65" s="128"/>
      <c r="E65" s="120">
        <f t="shared" si="68"/>
        <v>0</v>
      </c>
      <c r="F65" s="178">
        <f t="shared" si="83"/>
        <v>0</v>
      </c>
      <c r="G65" s="39">
        <v>5000</v>
      </c>
      <c r="H65" s="39">
        <v>450</v>
      </c>
      <c r="I65" s="106">
        <f t="shared" si="69"/>
        <v>5450</v>
      </c>
      <c r="J65" s="178">
        <f t="shared" si="62"/>
        <v>1.2719050407847867E-4</v>
      </c>
      <c r="K65" s="79"/>
      <c r="L65" s="39"/>
      <c r="M65" s="39"/>
      <c r="N65" s="106">
        <f t="shared" si="70"/>
        <v>0</v>
      </c>
      <c r="O65" s="178">
        <f>N65/$N$89</f>
        <v>0</v>
      </c>
      <c r="P65" s="79"/>
      <c r="Q65" s="39">
        <v>200</v>
      </c>
      <c r="R65" s="39"/>
      <c r="S65" s="106">
        <f t="shared" si="71"/>
        <v>200</v>
      </c>
      <c r="T65" s="178">
        <f>S65/$S$89</f>
        <v>8.2489832351620451E-4</v>
      </c>
      <c r="U65" s="431" t="s">
        <v>549</v>
      </c>
      <c r="V65" s="39">
        <v>800</v>
      </c>
      <c r="W65" s="39"/>
      <c r="X65" s="106">
        <f t="shared" si="73"/>
        <v>800</v>
      </c>
      <c r="Y65" s="178">
        <f t="shared" si="74"/>
        <v>1.0150953322297927E-2</v>
      </c>
      <c r="Z65" s="441" t="s">
        <v>667</v>
      </c>
      <c r="AA65" s="39"/>
      <c r="AB65" s="39"/>
      <c r="AC65" s="106">
        <f t="shared" si="75"/>
        <v>0</v>
      </c>
      <c r="AD65" s="178">
        <f t="shared" si="84"/>
        <v>0</v>
      </c>
      <c r="AE65" s="441"/>
      <c r="AF65" s="39"/>
      <c r="AG65" s="39"/>
      <c r="AH65" s="106">
        <f t="shared" si="76"/>
        <v>0</v>
      </c>
      <c r="AI65" s="178">
        <f t="shared" si="85"/>
        <v>0</v>
      </c>
      <c r="AJ65" s="441"/>
      <c r="AK65" s="39"/>
      <c r="AL65" s="39"/>
      <c r="AM65" s="106">
        <f t="shared" si="77"/>
        <v>0</v>
      </c>
      <c r="AN65" s="178" t="e">
        <f t="shared" si="64"/>
        <v>#DIV/0!</v>
      </c>
      <c r="AO65" s="441"/>
      <c r="AP65" s="39"/>
      <c r="AQ65" s="39"/>
      <c r="AR65" s="106">
        <f t="shared" si="78"/>
        <v>0</v>
      </c>
      <c r="AS65" s="178" t="e">
        <f t="shared" si="65"/>
        <v>#DIV/0!</v>
      </c>
      <c r="AT65" s="441"/>
      <c r="AU65" s="1432"/>
      <c r="AV65" s="1432"/>
      <c r="AW65" s="1480">
        <f t="shared" si="79"/>
        <v>0</v>
      </c>
      <c r="AX65" s="1877" t="e">
        <f t="shared" si="66"/>
        <v>#DIV/0!</v>
      </c>
      <c r="AY65" s="1941"/>
      <c r="AZ65" s="39">
        <f t="shared" si="80"/>
        <v>6000</v>
      </c>
      <c r="BA65" s="39">
        <f t="shared" si="81"/>
        <v>450</v>
      </c>
      <c r="BB65" s="106">
        <f t="shared" si="82"/>
        <v>6450</v>
      </c>
      <c r="BC65" s="178">
        <f t="shared" si="67"/>
        <v>1.4863984072156411E-4</v>
      </c>
      <c r="BD65" s="79"/>
    </row>
    <row r="66" spans="1:56" s="2" customFormat="1" ht="13.95" customHeight="1" outlineLevel="2">
      <c r="A66" s="237"/>
      <c r="B66" s="19" t="s">
        <v>37</v>
      </c>
      <c r="C66" s="129"/>
      <c r="D66" s="128"/>
      <c r="E66" s="120">
        <f t="shared" si="68"/>
        <v>0</v>
      </c>
      <c r="F66" s="178">
        <f t="shared" si="83"/>
        <v>0</v>
      </c>
      <c r="G66" s="39">
        <v>0</v>
      </c>
      <c r="H66" s="39">
        <v>600</v>
      </c>
      <c r="I66" s="106">
        <f t="shared" si="69"/>
        <v>600</v>
      </c>
      <c r="J66" s="178">
        <f t="shared" si="62"/>
        <v>1.4002624302217835E-5</v>
      </c>
      <c r="K66" s="79"/>
      <c r="L66" s="39"/>
      <c r="M66" s="39"/>
      <c r="N66" s="106">
        <f t="shared" si="70"/>
        <v>0</v>
      </c>
      <c r="O66" s="178">
        <f t="shared" si="63"/>
        <v>0</v>
      </c>
      <c r="P66" s="79"/>
      <c r="Q66" s="39"/>
      <c r="R66" s="39"/>
      <c r="S66" s="106">
        <f t="shared" si="71"/>
        <v>0</v>
      </c>
      <c r="T66" s="178">
        <f t="shared" ref="T66:T72" si="86">S66/$N$89</f>
        <v>0</v>
      </c>
      <c r="U66" s="79"/>
      <c r="V66" s="39"/>
      <c r="W66" s="39"/>
      <c r="X66" s="106">
        <f t="shared" si="73"/>
        <v>0</v>
      </c>
      <c r="Y66" s="178">
        <f t="shared" si="74"/>
        <v>0</v>
      </c>
      <c r="Z66" s="79"/>
      <c r="AA66" s="39"/>
      <c r="AB66" s="39"/>
      <c r="AC66" s="106">
        <f t="shared" si="75"/>
        <v>0</v>
      </c>
      <c r="AD66" s="178">
        <f t="shared" si="84"/>
        <v>0</v>
      </c>
      <c r="AE66" s="79"/>
      <c r="AF66" s="39"/>
      <c r="AG66" s="39"/>
      <c r="AH66" s="106">
        <f t="shared" si="76"/>
        <v>0</v>
      </c>
      <c r="AI66" s="178">
        <f t="shared" si="85"/>
        <v>0</v>
      </c>
      <c r="AJ66" s="79"/>
      <c r="AK66" s="39"/>
      <c r="AL66" s="39"/>
      <c r="AM66" s="106">
        <f t="shared" si="77"/>
        <v>0</v>
      </c>
      <c r="AN66" s="178" t="e">
        <f t="shared" si="64"/>
        <v>#DIV/0!</v>
      </c>
      <c r="AO66" s="79"/>
      <c r="AP66" s="39"/>
      <c r="AQ66" s="39"/>
      <c r="AR66" s="106">
        <f t="shared" si="78"/>
        <v>0</v>
      </c>
      <c r="AS66" s="178" t="e">
        <f t="shared" si="65"/>
        <v>#DIV/0!</v>
      </c>
      <c r="AT66" s="79"/>
      <c r="AU66" s="1432"/>
      <c r="AV66" s="1432"/>
      <c r="AW66" s="1480">
        <f t="shared" si="79"/>
        <v>0</v>
      </c>
      <c r="AX66" s="1877" t="e">
        <f t="shared" si="66"/>
        <v>#DIV/0!</v>
      </c>
      <c r="AY66" s="1927"/>
      <c r="AZ66" s="39">
        <f t="shared" si="80"/>
        <v>0</v>
      </c>
      <c r="BA66" s="39">
        <f t="shared" si="81"/>
        <v>600</v>
      </c>
      <c r="BB66" s="106">
        <f t="shared" si="82"/>
        <v>600</v>
      </c>
      <c r="BC66" s="178">
        <f t="shared" si="67"/>
        <v>1.3826961927587359E-5</v>
      </c>
      <c r="BD66" s="79"/>
    </row>
    <row r="67" spans="1:56" s="2" customFormat="1" ht="102" customHeight="1" outlineLevel="2">
      <c r="A67" s="237"/>
      <c r="B67" s="19" t="s">
        <v>3</v>
      </c>
      <c r="C67" s="129"/>
      <c r="D67" s="128"/>
      <c r="E67" s="120">
        <f t="shared" si="68"/>
        <v>0</v>
      </c>
      <c r="F67" s="178">
        <f t="shared" si="83"/>
        <v>0</v>
      </c>
      <c r="G67" s="39">
        <v>0</v>
      </c>
      <c r="H67" s="39">
        <v>0</v>
      </c>
      <c r="I67" s="106">
        <f t="shared" si="69"/>
        <v>0</v>
      </c>
      <c r="J67" s="178">
        <f t="shared" si="62"/>
        <v>0</v>
      </c>
      <c r="K67" s="79"/>
      <c r="L67" s="39"/>
      <c r="M67" s="39"/>
      <c r="N67" s="106">
        <f t="shared" si="70"/>
        <v>0</v>
      </c>
      <c r="O67" s="178">
        <f t="shared" si="63"/>
        <v>0</v>
      </c>
      <c r="P67" s="79"/>
      <c r="Q67" s="39"/>
      <c r="R67" s="39"/>
      <c r="S67" s="106">
        <f t="shared" si="71"/>
        <v>0</v>
      </c>
      <c r="T67" s="178">
        <f t="shared" si="86"/>
        <v>0</v>
      </c>
      <c r="U67" s="79"/>
      <c r="V67" s="39"/>
      <c r="W67" s="39"/>
      <c r="X67" s="106">
        <f t="shared" si="73"/>
        <v>0</v>
      </c>
      <c r="Y67" s="178">
        <f t="shared" si="74"/>
        <v>0</v>
      </c>
      <c r="Z67" s="79"/>
      <c r="AA67" s="39"/>
      <c r="AB67" s="39"/>
      <c r="AC67" s="106">
        <f t="shared" si="75"/>
        <v>0</v>
      </c>
      <c r="AD67" s="178">
        <f t="shared" si="84"/>
        <v>0</v>
      </c>
      <c r="AE67" s="79"/>
      <c r="AF67" s="39"/>
      <c r="AG67" s="39"/>
      <c r="AH67" s="106">
        <f t="shared" si="76"/>
        <v>0</v>
      </c>
      <c r="AI67" s="178">
        <f t="shared" si="85"/>
        <v>0</v>
      </c>
      <c r="AJ67" s="79"/>
      <c r="AK67" s="39"/>
      <c r="AL67" s="39"/>
      <c r="AM67" s="106">
        <f t="shared" si="77"/>
        <v>0</v>
      </c>
      <c r="AN67" s="178" t="e">
        <f t="shared" si="64"/>
        <v>#DIV/0!</v>
      </c>
      <c r="AO67" s="79"/>
      <c r="AP67" s="39"/>
      <c r="AQ67" s="39"/>
      <c r="AR67" s="106">
        <f t="shared" si="78"/>
        <v>0</v>
      </c>
      <c r="AS67" s="178" t="e">
        <f t="shared" si="65"/>
        <v>#DIV/0!</v>
      </c>
      <c r="AT67" s="79"/>
      <c r="AU67" s="1432"/>
      <c r="AV67" s="1432"/>
      <c r="AW67" s="1480">
        <f t="shared" si="79"/>
        <v>0</v>
      </c>
      <c r="AX67" s="1877" t="e">
        <f t="shared" si="66"/>
        <v>#DIV/0!</v>
      </c>
      <c r="AY67" s="1927"/>
      <c r="AZ67" s="39">
        <f t="shared" si="80"/>
        <v>0</v>
      </c>
      <c r="BA67" s="39">
        <f t="shared" si="81"/>
        <v>0</v>
      </c>
      <c r="BB67" s="106">
        <f t="shared" si="82"/>
        <v>0</v>
      </c>
      <c r="BC67" s="178">
        <f t="shared" si="67"/>
        <v>0</v>
      </c>
      <c r="BD67" s="79"/>
    </row>
    <row r="68" spans="1:56" s="2" customFormat="1" ht="13.95" customHeight="1" outlineLevel="2">
      <c r="A68" s="237"/>
      <c r="B68" s="19" t="s">
        <v>5</v>
      </c>
      <c r="C68" s="129"/>
      <c r="D68" s="128">
        <v>8000</v>
      </c>
      <c r="E68" s="120">
        <f t="shared" si="68"/>
        <v>8000</v>
      </c>
      <c r="F68" s="178">
        <f t="shared" si="83"/>
        <v>1.9300419428072737E-4</v>
      </c>
      <c r="G68" s="39">
        <v>20</v>
      </c>
      <c r="H68" s="39">
        <v>1988.78</v>
      </c>
      <c r="I68" s="106">
        <f t="shared" si="69"/>
        <v>2008.78</v>
      </c>
      <c r="J68" s="178">
        <f t="shared" si="62"/>
        <v>4.6880319409681902E-5</v>
      </c>
      <c r="K68" s="79"/>
      <c r="L68" s="39"/>
      <c r="M68" s="39"/>
      <c r="N68" s="106">
        <f t="shared" si="70"/>
        <v>0</v>
      </c>
      <c r="O68" s="178">
        <f t="shared" si="63"/>
        <v>0</v>
      </c>
      <c r="P68" s="79"/>
      <c r="Q68" s="39"/>
      <c r="R68" s="39"/>
      <c r="S68" s="106">
        <f t="shared" si="71"/>
        <v>0</v>
      </c>
      <c r="T68" s="178">
        <f t="shared" si="86"/>
        <v>0</v>
      </c>
      <c r="U68" s="79"/>
      <c r="V68" s="39"/>
      <c r="W68" s="39"/>
      <c r="X68" s="106">
        <f t="shared" si="73"/>
        <v>0</v>
      </c>
      <c r="Y68" s="178">
        <f t="shared" si="74"/>
        <v>0</v>
      </c>
      <c r="Z68" s="79"/>
      <c r="AA68" s="39"/>
      <c r="AB68" s="39"/>
      <c r="AC68" s="106">
        <f t="shared" si="75"/>
        <v>0</v>
      </c>
      <c r="AD68" s="178">
        <f t="shared" si="84"/>
        <v>0</v>
      </c>
      <c r="AE68" s="79"/>
      <c r="AF68" s="39"/>
      <c r="AG68" s="39"/>
      <c r="AH68" s="106">
        <f t="shared" si="76"/>
        <v>0</v>
      </c>
      <c r="AI68" s="178">
        <f t="shared" si="85"/>
        <v>0</v>
      </c>
      <c r="AJ68" s="79"/>
      <c r="AK68" s="39"/>
      <c r="AL68" s="39"/>
      <c r="AM68" s="106">
        <f t="shared" si="77"/>
        <v>0</v>
      </c>
      <c r="AN68" s="178" t="e">
        <f t="shared" si="64"/>
        <v>#DIV/0!</v>
      </c>
      <c r="AO68" s="79"/>
      <c r="AP68" s="39"/>
      <c r="AQ68" s="39"/>
      <c r="AR68" s="106">
        <f t="shared" si="78"/>
        <v>0</v>
      </c>
      <c r="AS68" s="178" t="e">
        <f t="shared" si="65"/>
        <v>#DIV/0!</v>
      </c>
      <c r="AT68" s="79"/>
      <c r="AU68" s="1432"/>
      <c r="AV68" s="1432"/>
      <c r="AW68" s="1480">
        <f t="shared" si="79"/>
        <v>0</v>
      </c>
      <c r="AX68" s="1877" t="e">
        <f t="shared" si="66"/>
        <v>#DIV/0!</v>
      </c>
      <c r="AY68" s="1927"/>
      <c r="AZ68" s="39">
        <f t="shared" si="80"/>
        <v>20</v>
      </c>
      <c r="BA68" s="39">
        <f t="shared" si="81"/>
        <v>1988.78</v>
      </c>
      <c r="BB68" s="106">
        <f t="shared" si="82"/>
        <v>2008.78</v>
      </c>
      <c r="BC68" s="178">
        <f t="shared" si="67"/>
        <v>4.6292207634831559E-5</v>
      </c>
      <c r="BD68" s="79"/>
    </row>
    <row r="69" spans="1:56" s="2" customFormat="1" ht="13.8" outlineLevel="2">
      <c r="A69" s="237"/>
      <c r="B69" s="19" t="s">
        <v>42</v>
      </c>
      <c r="C69" s="129">
        <v>34880</v>
      </c>
      <c r="D69" s="128"/>
      <c r="E69" s="120">
        <f t="shared" si="68"/>
        <v>34880</v>
      </c>
      <c r="F69" s="178">
        <f t="shared" si="83"/>
        <v>8.4149828706397121E-4</v>
      </c>
      <c r="G69" s="39">
        <v>48660</v>
      </c>
      <c r="H69" s="39">
        <v>500</v>
      </c>
      <c r="I69" s="106">
        <f t="shared" si="69"/>
        <v>49160</v>
      </c>
      <c r="J69" s="178">
        <f t="shared" si="62"/>
        <v>1.1472816844950479E-3</v>
      </c>
      <c r="K69" s="79"/>
      <c r="L69" s="39"/>
      <c r="M69" s="39"/>
      <c r="N69" s="106">
        <f t="shared" si="70"/>
        <v>0</v>
      </c>
      <c r="O69" s="178">
        <f t="shared" si="63"/>
        <v>0</v>
      </c>
      <c r="P69" s="79"/>
      <c r="Q69" s="39"/>
      <c r="R69" s="39"/>
      <c r="S69" s="106">
        <f t="shared" si="71"/>
        <v>0</v>
      </c>
      <c r="T69" s="178">
        <f t="shared" si="86"/>
        <v>0</v>
      </c>
      <c r="U69" s="79"/>
      <c r="V69" s="39"/>
      <c r="W69" s="39"/>
      <c r="X69" s="106">
        <f t="shared" si="73"/>
        <v>0</v>
      </c>
      <c r="Y69" s="178">
        <f t="shared" si="74"/>
        <v>0</v>
      </c>
      <c r="Z69" s="79"/>
      <c r="AA69" s="39"/>
      <c r="AB69" s="39"/>
      <c r="AC69" s="106">
        <f t="shared" si="75"/>
        <v>0</v>
      </c>
      <c r="AD69" s="178">
        <f t="shared" si="84"/>
        <v>0</v>
      </c>
      <c r="AE69" s="79"/>
      <c r="AF69" s="39"/>
      <c r="AG69" s="39"/>
      <c r="AH69" s="106">
        <f t="shared" si="76"/>
        <v>0</v>
      </c>
      <c r="AI69" s="178">
        <f t="shared" si="85"/>
        <v>0</v>
      </c>
      <c r="AJ69" s="79"/>
      <c r="AK69" s="39"/>
      <c r="AL69" s="39"/>
      <c r="AM69" s="106">
        <f t="shared" si="77"/>
        <v>0</v>
      </c>
      <c r="AN69" s="178" t="e">
        <f t="shared" si="64"/>
        <v>#DIV/0!</v>
      </c>
      <c r="AO69" s="79"/>
      <c r="AP69" s="39"/>
      <c r="AQ69" s="39"/>
      <c r="AR69" s="106">
        <f t="shared" si="78"/>
        <v>0</v>
      </c>
      <c r="AS69" s="178" t="e">
        <f t="shared" si="65"/>
        <v>#DIV/0!</v>
      </c>
      <c r="AT69" s="79"/>
      <c r="AU69" s="1432"/>
      <c r="AV69" s="1432"/>
      <c r="AW69" s="1480">
        <f t="shared" si="79"/>
        <v>0</v>
      </c>
      <c r="AX69" s="1877" t="e">
        <f t="shared" si="66"/>
        <v>#DIV/0!</v>
      </c>
      <c r="AY69" s="1927"/>
      <c r="AZ69" s="39">
        <f t="shared" si="80"/>
        <v>48660</v>
      </c>
      <c r="BA69" s="39">
        <f t="shared" si="81"/>
        <v>500</v>
      </c>
      <c r="BB69" s="106">
        <f t="shared" si="82"/>
        <v>49160</v>
      </c>
      <c r="BC69" s="178">
        <f t="shared" si="67"/>
        <v>1.1328890806003244E-3</v>
      </c>
      <c r="BD69" s="79"/>
    </row>
    <row r="70" spans="1:56" s="2" customFormat="1" ht="22.95" customHeight="1" outlineLevel="2">
      <c r="A70" s="237"/>
      <c r="B70" s="19" t="s">
        <v>6</v>
      </c>
      <c r="C70" s="129"/>
      <c r="D70" s="128"/>
      <c r="E70" s="120">
        <f t="shared" si="68"/>
        <v>0</v>
      </c>
      <c r="F70" s="178">
        <f t="shared" si="83"/>
        <v>0</v>
      </c>
      <c r="G70" s="39">
        <v>0</v>
      </c>
      <c r="H70" s="39">
        <v>18300</v>
      </c>
      <c r="I70" s="106">
        <f t="shared" si="69"/>
        <v>18300</v>
      </c>
      <c r="J70" s="178">
        <f t="shared" si="62"/>
        <v>4.2708004121764397E-4</v>
      </c>
      <c r="K70" s="79"/>
      <c r="L70" s="39"/>
      <c r="M70" s="39"/>
      <c r="N70" s="106">
        <f t="shared" si="70"/>
        <v>0</v>
      </c>
      <c r="O70" s="178">
        <f t="shared" si="63"/>
        <v>0</v>
      </c>
      <c r="P70" s="79"/>
      <c r="Q70" s="39"/>
      <c r="R70" s="39"/>
      <c r="S70" s="106">
        <f t="shared" si="71"/>
        <v>0</v>
      </c>
      <c r="T70" s="178">
        <f t="shared" si="86"/>
        <v>0</v>
      </c>
      <c r="U70" s="79"/>
      <c r="V70" s="39"/>
      <c r="W70" s="39"/>
      <c r="X70" s="106">
        <f t="shared" si="73"/>
        <v>0</v>
      </c>
      <c r="Y70" s="178">
        <f t="shared" si="74"/>
        <v>0</v>
      </c>
      <c r="Z70" s="79"/>
      <c r="AA70" s="39"/>
      <c r="AB70" s="39"/>
      <c r="AC70" s="106">
        <f t="shared" si="75"/>
        <v>0</v>
      </c>
      <c r="AD70" s="178">
        <f t="shared" si="84"/>
        <v>0</v>
      </c>
      <c r="AE70" s="79"/>
      <c r="AF70" s="39"/>
      <c r="AG70" s="39"/>
      <c r="AH70" s="106">
        <f t="shared" si="76"/>
        <v>0</v>
      </c>
      <c r="AI70" s="178">
        <f t="shared" si="85"/>
        <v>0</v>
      </c>
      <c r="AJ70" s="79"/>
      <c r="AK70" s="39"/>
      <c r="AL70" s="39"/>
      <c r="AM70" s="106">
        <f t="shared" si="77"/>
        <v>0</v>
      </c>
      <c r="AN70" s="178" t="e">
        <f t="shared" si="64"/>
        <v>#DIV/0!</v>
      </c>
      <c r="AO70" s="79"/>
      <c r="AP70" s="39"/>
      <c r="AQ70" s="39"/>
      <c r="AR70" s="106">
        <f t="shared" si="78"/>
        <v>0</v>
      </c>
      <c r="AS70" s="178" t="e">
        <f t="shared" si="65"/>
        <v>#DIV/0!</v>
      </c>
      <c r="AT70" s="79"/>
      <c r="AU70" s="1432"/>
      <c r="AV70" s="1432"/>
      <c r="AW70" s="1480">
        <f t="shared" si="79"/>
        <v>0</v>
      </c>
      <c r="AX70" s="1877" t="e">
        <f t="shared" si="66"/>
        <v>#DIV/0!</v>
      </c>
      <c r="AY70" s="1927"/>
      <c r="AZ70" s="39">
        <f t="shared" si="80"/>
        <v>0</v>
      </c>
      <c r="BA70" s="39">
        <f t="shared" si="81"/>
        <v>18300</v>
      </c>
      <c r="BB70" s="106">
        <f t="shared" si="82"/>
        <v>18300</v>
      </c>
      <c r="BC70" s="178">
        <f t="shared" si="67"/>
        <v>4.2172233879141449E-4</v>
      </c>
      <c r="BD70" s="79"/>
    </row>
    <row r="71" spans="1:56" s="2" customFormat="1" ht="22.2" customHeight="1" outlineLevel="2">
      <c r="A71" s="237"/>
      <c r="B71" s="19" t="s">
        <v>78</v>
      </c>
      <c r="C71" s="129"/>
      <c r="D71" s="128"/>
      <c r="E71" s="120">
        <f t="shared" si="68"/>
        <v>0</v>
      </c>
      <c r="F71" s="184">
        <f t="shared" si="83"/>
        <v>0</v>
      </c>
      <c r="G71" s="39">
        <v>40000</v>
      </c>
      <c r="H71" s="39">
        <v>141650</v>
      </c>
      <c r="I71" s="106">
        <f t="shared" si="69"/>
        <v>181650</v>
      </c>
      <c r="J71" s="178">
        <f t="shared" si="62"/>
        <v>4.2392945074964496E-3</v>
      </c>
      <c r="K71" s="79"/>
      <c r="L71" s="39"/>
      <c r="M71" s="39"/>
      <c r="N71" s="106">
        <f t="shared" si="70"/>
        <v>0</v>
      </c>
      <c r="O71" s="178">
        <f t="shared" si="63"/>
        <v>0</v>
      </c>
      <c r="P71" s="79"/>
      <c r="Q71" s="39"/>
      <c r="R71" s="39"/>
      <c r="S71" s="106">
        <f t="shared" si="71"/>
        <v>0</v>
      </c>
      <c r="T71" s="178">
        <f t="shared" si="86"/>
        <v>0</v>
      </c>
      <c r="U71" s="79"/>
      <c r="V71" s="39"/>
      <c r="W71" s="39"/>
      <c r="X71" s="106">
        <f t="shared" si="73"/>
        <v>0</v>
      </c>
      <c r="Y71" s="178">
        <f t="shared" si="74"/>
        <v>0</v>
      </c>
      <c r="Z71" s="79"/>
      <c r="AA71" s="39"/>
      <c r="AB71" s="39"/>
      <c r="AC71" s="106">
        <f t="shared" si="75"/>
        <v>0</v>
      </c>
      <c r="AD71" s="178">
        <f t="shared" si="84"/>
        <v>0</v>
      </c>
      <c r="AE71" s="79"/>
      <c r="AF71" s="39"/>
      <c r="AG71" s="39"/>
      <c r="AH71" s="106">
        <f t="shared" si="76"/>
        <v>0</v>
      </c>
      <c r="AI71" s="178">
        <f t="shared" si="85"/>
        <v>0</v>
      </c>
      <c r="AJ71" s="79"/>
      <c r="AK71" s="39"/>
      <c r="AL71" s="39"/>
      <c r="AM71" s="106">
        <f t="shared" si="77"/>
        <v>0</v>
      </c>
      <c r="AN71" s="178" t="e">
        <f t="shared" si="64"/>
        <v>#DIV/0!</v>
      </c>
      <c r="AO71" s="79"/>
      <c r="AP71" s="39"/>
      <c r="AQ71" s="39"/>
      <c r="AR71" s="106">
        <f t="shared" si="78"/>
        <v>0</v>
      </c>
      <c r="AS71" s="178" t="e">
        <f t="shared" si="65"/>
        <v>#DIV/0!</v>
      </c>
      <c r="AT71" s="79"/>
      <c r="AU71" s="1432"/>
      <c r="AV71" s="1432"/>
      <c r="AW71" s="1480">
        <f t="shared" si="79"/>
        <v>0</v>
      </c>
      <c r="AX71" s="1877" t="e">
        <f t="shared" si="66"/>
        <v>#DIV/0!</v>
      </c>
      <c r="AY71" s="1927"/>
      <c r="AZ71" s="39">
        <f t="shared" si="80"/>
        <v>40000</v>
      </c>
      <c r="BA71" s="39">
        <f t="shared" si="81"/>
        <v>141650</v>
      </c>
      <c r="BB71" s="106">
        <f t="shared" si="82"/>
        <v>181650</v>
      </c>
      <c r="BC71" s="178">
        <f t="shared" si="67"/>
        <v>4.1861127235770729E-3</v>
      </c>
      <c r="BD71" s="79"/>
    </row>
    <row r="72" spans="1:56" s="2" customFormat="1" ht="14.4" outlineLevel="2" thickBot="1">
      <c r="A72" s="237"/>
      <c r="B72" s="19"/>
      <c r="C72" s="130"/>
      <c r="D72" s="131"/>
      <c r="E72" s="159">
        <f t="shared" si="68"/>
        <v>0</v>
      </c>
      <c r="F72" s="184">
        <f t="shared" si="83"/>
        <v>0</v>
      </c>
      <c r="G72" s="210">
        <v>0</v>
      </c>
      <c r="H72" s="210">
        <v>0</v>
      </c>
      <c r="I72" s="106"/>
      <c r="J72" s="178">
        <f t="shared" si="62"/>
        <v>0</v>
      </c>
      <c r="K72" s="79"/>
      <c r="L72" s="39"/>
      <c r="M72" s="39"/>
      <c r="N72" s="106"/>
      <c r="O72" s="178">
        <f t="shared" si="63"/>
        <v>0</v>
      </c>
      <c r="P72" s="79"/>
      <c r="Q72" s="39"/>
      <c r="R72" s="39"/>
      <c r="S72" s="106"/>
      <c r="T72" s="178">
        <f t="shared" si="86"/>
        <v>0</v>
      </c>
      <c r="U72" s="79"/>
      <c r="V72" s="39"/>
      <c r="W72" s="39"/>
      <c r="X72" s="106"/>
      <c r="Y72" s="178">
        <f>X72/$N$89</f>
        <v>0</v>
      </c>
      <c r="Z72" s="79"/>
      <c r="AA72" s="39"/>
      <c r="AB72" s="39"/>
      <c r="AC72" s="106"/>
      <c r="AD72" s="178">
        <f>AC72/$N$89</f>
        <v>0</v>
      </c>
      <c r="AE72" s="79"/>
      <c r="AF72" s="39"/>
      <c r="AG72" s="39"/>
      <c r="AH72" s="106"/>
      <c r="AI72" s="178">
        <f>AH72/$N$89</f>
        <v>0</v>
      </c>
      <c r="AJ72" s="79"/>
      <c r="AK72" s="39"/>
      <c r="AL72" s="39"/>
      <c r="AM72" s="106"/>
      <c r="AN72" s="178">
        <f>AM72/$N$89</f>
        <v>0</v>
      </c>
      <c r="AO72" s="79"/>
      <c r="AP72" s="39"/>
      <c r="AQ72" s="39"/>
      <c r="AR72" s="106"/>
      <c r="AS72" s="178">
        <f>AR72/$N$89</f>
        <v>0</v>
      </c>
      <c r="AT72" s="79"/>
      <c r="AU72" s="1432"/>
      <c r="AV72" s="1432"/>
      <c r="AW72" s="1480"/>
      <c r="AX72" s="1877">
        <f>AW72/$N$89</f>
        <v>0</v>
      </c>
      <c r="AY72" s="1927"/>
      <c r="AZ72" s="39">
        <f>G72+L72</f>
        <v>0</v>
      </c>
      <c r="BA72" s="39">
        <f>H72+M72+R72</f>
        <v>0</v>
      </c>
      <c r="BB72" s="106"/>
      <c r="BC72" s="178">
        <f t="shared" si="67"/>
        <v>0</v>
      </c>
      <c r="BD72" s="79"/>
    </row>
    <row r="73" spans="1:56" s="2" customFormat="1" ht="14.4" outlineLevel="1" thickBot="1">
      <c r="A73" s="237"/>
      <c r="B73" s="13" t="s">
        <v>4</v>
      </c>
      <c r="C73" s="132">
        <f>C74</f>
        <v>1583395.0740268363</v>
      </c>
      <c r="D73" s="133">
        <f>D74</f>
        <v>0</v>
      </c>
      <c r="E73" s="132">
        <f>E74</f>
        <v>1583395.0740268363</v>
      </c>
      <c r="F73" s="171">
        <f>E73/$E$89</f>
        <v>3.8200236311327775E-2</v>
      </c>
      <c r="G73" s="139">
        <f>G74</f>
        <v>0</v>
      </c>
      <c r="H73" s="63"/>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139">
        <f>AF74</f>
        <v>0</v>
      </c>
      <c r="AG73" s="63">
        <f>AG74</f>
        <v>0</v>
      </c>
      <c r="AH73" s="60">
        <f>AH74</f>
        <v>0</v>
      </c>
      <c r="AI73" s="63"/>
      <c r="AJ73" s="63"/>
      <c r="AK73" s="139">
        <f>AK74</f>
        <v>0</v>
      </c>
      <c r="AL73" s="63">
        <f>AL74</f>
        <v>0</v>
      </c>
      <c r="AM73" s="60">
        <f>AM74</f>
        <v>0</v>
      </c>
      <c r="AN73" s="63"/>
      <c r="AO73" s="63"/>
      <c r="AP73" s="139">
        <f>AP74</f>
        <v>0</v>
      </c>
      <c r="AQ73" s="63">
        <f>AQ74</f>
        <v>0</v>
      </c>
      <c r="AR73" s="60">
        <f>AR74</f>
        <v>0</v>
      </c>
      <c r="AS73" s="63"/>
      <c r="AT73" s="63"/>
      <c r="AU73" s="1170">
        <f>AU74</f>
        <v>0</v>
      </c>
      <c r="AV73" s="1943">
        <f>AV74</f>
        <v>0</v>
      </c>
      <c r="AW73" s="1446">
        <f>AW74</f>
        <v>0</v>
      </c>
      <c r="AX73" s="1943"/>
      <c r="AY73" s="1943"/>
      <c r="AZ73" s="139">
        <f>AZ74</f>
        <v>0</v>
      </c>
      <c r="BA73" s="63">
        <f>BA74</f>
        <v>0</v>
      </c>
      <c r="BB73" s="60">
        <f>BB74</f>
        <v>0</v>
      </c>
      <c r="BC73" s="63"/>
      <c r="BD73" s="63"/>
    </row>
    <row r="74" spans="1:56" s="226" customFormat="1" ht="14.4" outlineLevel="1" thickBot="1">
      <c r="A74" s="320"/>
      <c r="B74" s="225" t="s">
        <v>64</v>
      </c>
      <c r="C74" s="113">
        <v>1583395.0740268363</v>
      </c>
      <c r="D74" s="135"/>
      <c r="E74" s="136">
        <f>C74+D74</f>
        <v>1583395.0740268363</v>
      </c>
      <c r="F74" s="185"/>
      <c r="G74" s="39"/>
      <c r="H74" s="39"/>
      <c r="I74" s="106">
        <f>G74+H74*1</f>
        <v>0</v>
      </c>
      <c r="J74" s="64"/>
      <c r="K74" s="64"/>
      <c r="L74" s="39"/>
      <c r="M74" s="39"/>
      <c r="N74" s="523">
        <f>L74+M74*1</f>
        <v>0</v>
      </c>
      <c r="O74" s="64"/>
      <c r="P74" s="64"/>
      <c r="Q74" s="39"/>
      <c r="R74" s="39"/>
      <c r="S74" s="527">
        <f>Q74+R74*1</f>
        <v>0</v>
      </c>
      <c r="T74" s="64"/>
      <c r="U74" s="64"/>
      <c r="V74" s="39"/>
      <c r="W74" s="39"/>
      <c r="X74" s="527">
        <f>V74+W74*1</f>
        <v>0</v>
      </c>
      <c r="Y74" s="64"/>
      <c r="Z74" s="64"/>
      <c r="AA74" s="39"/>
      <c r="AB74" s="39"/>
      <c r="AC74" s="527">
        <f>AA74+AB74*1</f>
        <v>0</v>
      </c>
      <c r="AD74" s="64"/>
      <c r="AE74" s="64"/>
      <c r="AF74" s="39"/>
      <c r="AG74" s="39"/>
      <c r="AH74" s="527">
        <f>AF74+AG74*1</f>
        <v>0</v>
      </c>
      <c r="AI74" s="64"/>
      <c r="AJ74" s="64"/>
      <c r="AK74" s="39"/>
      <c r="AL74" s="39"/>
      <c r="AM74" s="527">
        <f>AK74+AL74*1</f>
        <v>0</v>
      </c>
      <c r="AN74" s="64"/>
      <c r="AO74" s="64"/>
      <c r="AP74" s="39"/>
      <c r="AQ74" s="39"/>
      <c r="AR74" s="527">
        <f>AP74+AQ74*1</f>
        <v>0</v>
      </c>
      <c r="AS74" s="64"/>
      <c r="AT74" s="64"/>
      <c r="AU74" s="1432"/>
      <c r="AV74" s="1432"/>
      <c r="AW74" s="1947">
        <f>AU74+AV74*1</f>
        <v>0</v>
      </c>
      <c r="AX74" s="1449"/>
      <c r="AY74" s="1449"/>
      <c r="AZ74" s="39">
        <f>G74+L74+Q74+V74+AA74+AF74+AK74+AP74+AU74</f>
        <v>0</v>
      </c>
      <c r="BA74" s="39">
        <f>H74+M74+R74+W74+AB74+AG74+AL74+AQ74+AV74</f>
        <v>0</v>
      </c>
      <c r="BB74" s="527">
        <f>AZ74+BA74*1</f>
        <v>0</v>
      </c>
      <c r="BC74" s="64"/>
      <c r="BD74" s="64"/>
    </row>
    <row r="75" spans="1:56" s="2" customFormat="1" ht="14.4" thickBot="1">
      <c r="A75" s="5"/>
      <c r="B75" s="23" t="s">
        <v>48</v>
      </c>
      <c r="C75" s="137">
        <f>C38-C41-C50-C54</f>
        <v>24648018.24699375</v>
      </c>
      <c r="D75" s="137">
        <f>D38-D41-D50-D54</f>
        <v>-11251415.78441545</v>
      </c>
      <c r="E75" s="138">
        <f>E38-E41-E50-E54</f>
        <v>13396602.462578312</v>
      </c>
      <c r="F75" s="172"/>
      <c r="G75" s="65">
        <f>G38-G41-G50-G54</f>
        <v>20861750.851370808</v>
      </c>
      <c r="H75" s="65">
        <f>H38-H41-H50-H54</f>
        <v>-10086018.330000002</v>
      </c>
      <c r="I75" s="66">
        <f>I38-I41-I50-I54</f>
        <v>10775732.521370811</v>
      </c>
      <c r="J75" s="66"/>
      <c r="K75" s="66"/>
      <c r="L75" s="65">
        <f>L38-L41-L50-L54</f>
        <v>-55162.362000000001</v>
      </c>
      <c r="M75" s="65">
        <f>M38-M41-M50-M54</f>
        <v>-93279</v>
      </c>
      <c r="N75" s="138">
        <f>N38-N41-N50-N54</f>
        <v>-148441.36199999996</v>
      </c>
      <c r="O75" s="66"/>
      <c r="P75" s="66"/>
      <c r="Q75" s="65">
        <f>Q38-Q41-Q50-Q54</f>
        <v>186403.74799999999</v>
      </c>
      <c r="R75" s="65">
        <f>R38-R41-R50-R54</f>
        <v>-104858.5</v>
      </c>
      <c r="S75" s="138">
        <f>S38-S41-S50-S54</f>
        <v>81545.247999999992</v>
      </c>
      <c r="T75" s="66"/>
      <c r="U75" s="66"/>
      <c r="V75" s="65">
        <f>V38-V41-V50-V54</f>
        <v>43710.893199999999</v>
      </c>
      <c r="W75" s="65">
        <f>W38-W41-W50-W54</f>
        <v>-23039.239999999998</v>
      </c>
      <c r="X75" s="138">
        <f>X38-X41-X50-X54</f>
        <v>20671.653200000001</v>
      </c>
      <c r="Y75" s="66"/>
      <c r="Z75" s="66"/>
      <c r="AA75" s="65">
        <f>AA38-AA41-AA50-AA54</f>
        <v>-4032.9959999999996</v>
      </c>
      <c r="AB75" s="65">
        <f>AB38-AB41-AB50-AB54</f>
        <v>0</v>
      </c>
      <c r="AC75" s="138">
        <f>AC38-AC41-AC50-AC54</f>
        <v>-4032.9959999999996</v>
      </c>
      <c r="AD75" s="66"/>
      <c r="AE75" s="66"/>
      <c r="AF75" s="65">
        <f>AF38-AF41-AF50-AF54</f>
        <v>0</v>
      </c>
      <c r="AG75" s="65">
        <f>AG38-AG41-AG50-AG54</f>
        <v>-2861</v>
      </c>
      <c r="AH75" s="138">
        <f>AH38-AH41-AH50-AH54</f>
        <v>-2861</v>
      </c>
      <c r="AI75" s="66"/>
      <c r="AJ75" s="66"/>
      <c r="AK75" s="65">
        <f>AK38-AK41-AK50-AK54</f>
        <v>111982.78</v>
      </c>
      <c r="AL75" s="65">
        <f>AL38-AL41-AL50-AL54</f>
        <v>0</v>
      </c>
      <c r="AM75" s="138">
        <f>AM38-AM41-AM50-AM54</f>
        <v>111982.78</v>
      </c>
      <c r="AN75" s="66"/>
      <c r="AO75" s="66"/>
      <c r="AP75" s="65">
        <f>AP38-AP41-AP50-AP54</f>
        <v>0</v>
      </c>
      <c r="AQ75" s="65">
        <f>AQ38-AQ41-AQ50-AQ54</f>
        <v>0</v>
      </c>
      <c r="AR75" s="138">
        <f>AR38-AR41-AR50-AR54</f>
        <v>0</v>
      </c>
      <c r="AS75" s="66"/>
      <c r="AT75" s="66"/>
      <c r="AU75" s="1450">
        <f>AU38-AU41-AU50-AU54</f>
        <v>-1416</v>
      </c>
      <c r="AV75" s="1450">
        <f>AV38-AV41-AV50-AV54</f>
        <v>0</v>
      </c>
      <c r="AW75" s="1508">
        <f>AW38-AW41-AW50-AW54</f>
        <v>-1416</v>
      </c>
      <c r="AX75" s="1451"/>
      <c r="AY75" s="1451"/>
      <c r="AZ75" s="65">
        <f>AZ38-AZ41-AZ50-AZ54</f>
        <v>21301761.144570805</v>
      </c>
      <c r="BA75" s="65">
        <f>BA38-BA41-BA50-BA54</f>
        <v>-10299056.07</v>
      </c>
      <c r="BB75" s="138">
        <f>BB38-BB41-BB50-BB54</f>
        <v>11002705.07457081</v>
      </c>
      <c r="BC75" s="66"/>
      <c r="BD75" s="66"/>
    </row>
    <row r="76" spans="1:56" s="2" customFormat="1" ht="13.8">
      <c r="A76" s="294"/>
      <c r="B76" s="36" t="s">
        <v>49</v>
      </c>
      <c r="C76" s="157">
        <f>C75/C5</f>
        <v>0.46699687244150162</v>
      </c>
      <c r="D76" s="157" t="e">
        <f>D75/D5</f>
        <v>#DIV/0!</v>
      </c>
      <c r="E76" s="158">
        <f>E75/E5</f>
        <v>0.25382046494262223</v>
      </c>
      <c r="F76" s="167"/>
      <c r="G76" s="54">
        <f>G75/G5</f>
        <v>0.39927195411916899</v>
      </c>
      <c r="H76" s="54" t="e">
        <f>H75/H5</f>
        <v>#DIV/0!</v>
      </c>
      <c r="I76" s="55">
        <f>I75/I5</f>
        <v>0.20623617890587997</v>
      </c>
      <c r="J76" s="55"/>
      <c r="K76" s="55"/>
      <c r="L76" s="54">
        <f>L75/L5</f>
        <v>-1.0607922140108574</v>
      </c>
      <c r="M76" s="54" t="e">
        <f>M75/M5</f>
        <v>#DIV/0!</v>
      </c>
      <c r="N76" s="55">
        <f>N75/N5</f>
        <v>-2.8545811915517167</v>
      </c>
      <c r="O76" s="55"/>
      <c r="P76" s="55"/>
      <c r="Q76" s="54">
        <f>Q75/Q5</f>
        <v>0.60455754574809673</v>
      </c>
      <c r="R76" s="54" t="e">
        <f>R75/R5</f>
        <v>#DIV/0!</v>
      </c>
      <c r="S76" s="55">
        <f>S75/S5</f>
        <v>0.26447319609850273</v>
      </c>
      <c r="T76" s="55"/>
      <c r="U76" s="55"/>
      <c r="V76" s="54">
        <f>V75/V5</f>
        <v>0.45513529351617787</v>
      </c>
      <c r="W76" s="54" t="e">
        <f>W75/W5</f>
        <v>#DIV/0!</v>
      </c>
      <c r="X76" s="55">
        <f>X75/X5</f>
        <v>0.21524151665348806</v>
      </c>
      <c r="Y76" s="55"/>
      <c r="Z76" s="55"/>
      <c r="AA76" s="54" t="e">
        <f>AA75/AA5</f>
        <v>#DIV/0!</v>
      </c>
      <c r="AB76" s="54" t="e">
        <f>AB75/AB5</f>
        <v>#DIV/0!</v>
      </c>
      <c r="AC76" s="55" t="e">
        <f>AC75/AC5</f>
        <v>#DIV/0!</v>
      </c>
      <c r="AD76" s="55"/>
      <c r="AE76" s="55"/>
      <c r="AF76" s="54" t="e">
        <f>AF75/AF5</f>
        <v>#DIV/0!</v>
      </c>
      <c r="AG76" s="54" t="e">
        <f>AG75/AG5</f>
        <v>#DIV/0!</v>
      </c>
      <c r="AH76" s="55" t="e">
        <f>AH75/AH5</f>
        <v>#DIV/0!</v>
      </c>
      <c r="AI76" s="55"/>
      <c r="AJ76" s="55"/>
      <c r="AK76" s="54">
        <f>AK75/AK5</f>
        <v>1</v>
      </c>
      <c r="AL76" s="54" t="e">
        <f>AL75/AL5</f>
        <v>#DIV/0!</v>
      </c>
      <c r="AM76" s="55">
        <f>AM75/AM5</f>
        <v>1</v>
      </c>
      <c r="AN76" s="55"/>
      <c r="AO76" s="55"/>
      <c r="AP76" s="54" t="e">
        <f>AP75/AP5</f>
        <v>#DIV/0!</v>
      </c>
      <c r="AQ76" s="54" t="e">
        <f>AQ75/AQ5</f>
        <v>#DIV/0!</v>
      </c>
      <c r="AR76" s="55" t="e">
        <f>AR75/AR5</f>
        <v>#DIV/0!</v>
      </c>
      <c r="AS76" s="55"/>
      <c r="AT76" s="55"/>
      <c r="AU76" s="1441" t="e">
        <f>AU75/AU5</f>
        <v>#DIV/0!</v>
      </c>
      <c r="AV76" s="1441" t="e">
        <f>AV75/AV5</f>
        <v>#DIV/0!</v>
      </c>
      <c r="AW76" s="1442" t="e">
        <f>AW75/AW5</f>
        <v>#DIV/0!</v>
      </c>
      <c r="AX76" s="1442"/>
      <c r="AY76" s="1442"/>
      <c r="AZ76" s="54">
        <f>AZ75/AZ5</f>
        <v>0.40209940739718858</v>
      </c>
      <c r="BA76" s="54">
        <f>BA75/BA5</f>
        <v>-936.27782454545456</v>
      </c>
      <c r="BB76" s="55">
        <f>BB75/BB5</f>
        <v>0.20764774869211514</v>
      </c>
      <c r="BC76" s="55"/>
      <c r="BD76" s="55"/>
    </row>
    <row r="77" spans="1:56" s="2" customFormat="1" ht="14.4" outlineLevel="1" thickBot="1">
      <c r="A77" s="294"/>
      <c r="B77" s="27" t="s">
        <v>9</v>
      </c>
      <c r="C77" s="139">
        <f>C78-C79</f>
        <v>0</v>
      </c>
      <c r="D77" s="139">
        <f>D78-D79</f>
        <v>0</v>
      </c>
      <c r="E77" s="140">
        <f>E78-E79</f>
        <v>0</v>
      </c>
      <c r="F77" s="173"/>
      <c r="G77" s="139">
        <f>G78-G79</f>
        <v>0</v>
      </c>
      <c r="H77" s="139">
        <f>H78-H79</f>
        <v>0</v>
      </c>
      <c r="I77" s="140">
        <f>I78-I79</f>
        <v>-1375366.1359090912</v>
      </c>
      <c r="J77" s="67"/>
      <c r="K77" s="67"/>
      <c r="L77" s="139">
        <f>L78-L79</f>
        <v>0</v>
      </c>
      <c r="M77" s="139">
        <f>M78-M79</f>
        <v>0</v>
      </c>
      <c r="N77" s="140">
        <f>N78-N79</f>
        <v>-13938.241379310346</v>
      </c>
      <c r="O77" s="67"/>
      <c r="P77" s="67"/>
      <c r="Q77" s="139">
        <f>Q78-Q79</f>
        <v>0</v>
      </c>
      <c r="R77" s="139">
        <f>R78-R79</f>
        <v>0</v>
      </c>
      <c r="S77" s="140">
        <f>S78-S79</f>
        <v>-15668.511494252874</v>
      </c>
      <c r="T77" s="67"/>
      <c r="U77" s="67"/>
      <c r="V77" s="139">
        <f>V78-V79</f>
        <v>0</v>
      </c>
      <c r="W77" s="139">
        <f>W78-W79</f>
        <v>0</v>
      </c>
      <c r="X77" s="140">
        <f>X78-X79</f>
        <v>-3442.6450574712644</v>
      </c>
      <c r="Y77" s="67"/>
      <c r="Z77" s="67"/>
      <c r="AA77" s="139">
        <f>AA78-AA79</f>
        <v>0</v>
      </c>
      <c r="AB77" s="139">
        <f>AB78-AB79</f>
        <v>0</v>
      </c>
      <c r="AC77" s="140">
        <f>AC78-AC79</f>
        <v>0</v>
      </c>
      <c r="AD77" s="67"/>
      <c r="AE77" s="67"/>
      <c r="AF77" s="139">
        <f>AF78-AF79</f>
        <v>0</v>
      </c>
      <c r="AG77" s="139">
        <f>AG78-AG79</f>
        <v>0</v>
      </c>
      <c r="AH77" s="140">
        <f>AH78-AH79</f>
        <v>-414.35974621846577</v>
      </c>
      <c r="AI77" s="67"/>
      <c r="AJ77" s="67"/>
      <c r="AK77" s="139">
        <f>AK78-AK79</f>
        <v>0</v>
      </c>
      <c r="AL77" s="139">
        <f>AL78-AL79</f>
        <v>0</v>
      </c>
      <c r="AM77" s="140">
        <f>AM78-AM79</f>
        <v>0</v>
      </c>
      <c r="AN77" s="67" t="e">
        <f>AM77/$AM$89</f>
        <v>#DIV/0!</v>
      </c>
      <c r="AO77" s="67"/>
      <c r="AP77" s="139">
        <f>AP78-AP79</f>
        <v>0</v>
      </c>
      <c r="AQ77" s="139">
        <f>AQ78-AQ79</f>
        <v>0</v>
      </c>
      <c r="AR77" s="140">
        <f>AR78-AR79</f>
        <v>0</v>
      </c>
      <c r="AS77" s="67" t="e">
        <f>AR77/$AM$89</f>
        <v>#DIV/0!</v>
      </c>
      <c r="AT77" s="67"/>
      <c r="AU77" s="1170">
        <f>AU78-AU79</f>
        <v>0</v>
      </c>
      <c r="AV77" s="1170">
        <f>AV78-AV79</f>
        <v>0</v>
      </c>
      <c r="AW77" s="1369">
        <f>AW78-AW79</f>
        <v>0</v>
      </c>
      <c r="AX77" s="1364" t="e">
        <f>AW77/$AM$89</f>
        <v>#DIV/0!</v>
      </c>
      <c r="AY77" s="1364"/>
      <c r="AZ77" s="139">
        <f>AZ78-AZ79</f>
        <v>0</v>
      </c>
      <c r="BA77" s="139">
        <f>BA78-BA79</f>
        <v>0</v>
      </c>
      <c r="BB77" s="140">
        <f>BB78-BB79</f>
        <v>-1408829.8935863441</v>
      </c>
      <c r="BC77" s="67"/>
      <c r="BD77" s="67"/>
    </row>
    <row r="78" spans="1:56" s="2" customFormat="1" ht="13.8" outlineLevel="2">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68"/>
      <c r="U78" s="68"/>
      <c r="V78" s="39"/>
      <c r="W78" s="39"/>
      <c r="X78" s="68">
        <f>V78+W78*1.15</f>
        <v>0</v>
      </c>
      <c r="Y78" s="68"/>
      <c r="Z78" s="68"/>
      <c r="AA78" s="39"/>
      <c r="AB78" s="39"/>
      <c r="AC78" s="68">
        <f>AA78+AB78*1.15</f>
        <v>0</v>
      </c>
      <c r="AD78" s="68"/>
      <c r="AE78" s="68"/>
      <c r="AF78" s="39"/>
      <c r="AG78" s="39"/>
      <c r="AH78" s="68">
        <f>AF78+AG78*1.15</f>
        <v>0</v>
      </c>
      <c r="AI78" s="68"/>
      <c r="AJ78" s="68"/>
      <c r="AK78" s="39"/>
      <c r="AL78" s="39"/>
      <c r="AM78" s="68">
        <f>AK78+AL78*1.15</f>
        <v>0</v>
      </c>
      <c r="AN78" s="68" t="e">
        <f>AM78/$AM$89</f>
        <v>#DIV/0!</v>
      </c>
      <c r="AO78" s="68"/>
      <c r="AP78" s="39"/>
      <c r="AQ78" s="39"/>
      <c r="AR78" s="68">
        <f>AP78+AQ78*1.15</f>
        <v>0</v>
      </c>
      <c r="AS78" s="68" t="e">
        <f>AR78/$AM$89</f>
        <v>#DIV/0!</v>
      </c>
      <c r="AT78" s="68"/>
      <c r="AU78" s="1432"/>
      <c r="AV78" s="1432"/>
      <c r="AW78" s="1452">
        <f>AU78+AV78*1.15</f>
        <v>0</v>
      </c>
      <c r="AX78" s="1452" t="e">
        <f>AW78/$AM$89</f>
        <v>#DIV/0!</v>
      </c>
      <c r="AY78" s="1452"/>
      <c r="AZ78" s="39">
        <f>G78+L78+Q78+V78+AA78+AF78+AK78+AP78+AU78</f>
        <v>0</v>
      </c>
      <c r="BA78" s="39">
        <f>H78+M78+R78+W78+AB78+AG78+AL78+AQ78+AV78</f>
        <v>0</v>
      </c>
      <c r="BB78" s="68">
        <f>AZ78+BA78*1.15</f>
        <v>0</v>
      </c>
      <c r="BC78" s="68"/>
      <c r="BD78" s="68"/>
    </row>
    <row r="79" spans="1:56" s="2" customFormat="1" ht="13.8" outlineLevel="2">
      <c r="A79" s="11"/>
      <c r="B79" s="24" t="s">
        <v>79</v>
      </c>
      <c r="C79" s="113"/>
      <c r="D79" s="119"/>
      <c r="E79" s="119">
        <f>C79+D79*1.15</f>
        <v>0</v>
      </c>
      <c r="F79" s="180">
        <f>E79/$E$89</f>
        <v>0</v>
      </c>
      <c r="G79" s="39"/>
      <c r="H79" s="39"/>
      <c r="I79" s="106">
        <f>(H8+H41+H50+H54)/0.88*0.12</f>
        <v>1375366.1359090912</v>
      </c>
      <c r="J79" s="45"/>
      <c r="K79" s="45"/>
      <c r="L79" s="39"/>
      <c r="M79" s="39"/>
      <c r="N79" s="106">
        <f>(M8+M41+M50+M54)/(1-'расчет 2024'!E4)*'расчет 2024'!E4</f>
        <v>13938.241379310346</v>
      </c>
      <c r="O79" s="45"/>
      <c r="P79" s="45"/>
      <c r="Q79" s="39"/>
      <c r="R79" s="39"/>
      <c r="S79" s="106">
        <f>(R8+R41+R50+R54)/(1-'расчет 2024'!E5)*'расчет 2024'!E5</f>
        <v>15668.511494252874</v>
      </c>
      <c r="T79" s="45"/>
      <c r="U79" s="45"/>
      <c r="V79" s="39"/>
      <c r="W79" s="39"/>
      <c r="X79" s="106">
        <f>(W8+W41+W50+W54)/(1-'расчет 2024'!E6)*'расчет 2024'!E6</f>
        <v>3442.6450574712644</v>
      </c>
      <c r="Y79" s="45"/>
      <c r="Z79" s="45"/>
      <c r="AA79" s="39"/>
      <c r="AB79" s="39"/>
      <c r="AC79" s="106">
        <f>(AB8+AB41+AB50+AB54)/(1-'расчет 2024'!E7)*'расчет 2024'!E7</f>
        <v>0</v>
      </c>
      <c r="AD79" s="45"/>
      <c r="AE79" s="45"/>
      <c r="AF79" s="39"/>
      <c r="AG79" s="39"/>
      <c r="AH79" s="106">
        <f>(AG8+AG41+AG50+AG54)/(1-'расчет 2024'!E8)*'расчет 2024'!E8</f>
        <v>414.35974621846577</v>
      </c>
      <c r="AI79" s="45"/>
      <c r="AJ79" s="45"/>
      <c r="AK79" s="39"/>
      <c r="AL79" s="39"/>
      <c r="AM79" s="106">
        <f>(AL8+AL41+AL50+AL54)/(1-'расчет 2024'!J8)*'расчет 2024'!J8</f>
        <v>0</v>
      </c>
      <c r="AN79" s="45" t="e">
        <f>AM79/$AM$89</f>
        <v>#DIV/0!</v>
      </c>
      <c r="AO79" s="45"/>
      <c r="AP79" s="39"/>
      <c r="AQ79" s="39"/>
      <c r="AR79" s="106">
        <f>(AQ8+AQ41+AQ50+AQ54)/(1-'расчет 2024'!O8)*'расчет 2024'!O8</f>
        <v>0</v>
      </c>
      <c r="AS79" s="45" t="e">
        <f>AR79/$AM$89</f>
        <v>#DIV/0!</v>
      </c>
      <c r="AT79" s="45"/>
      <c r="AU79" s="1432"/>
      <c r="AV79" s="1432"/>
      <c r="AW79" s="1480">
        <v>0</v>
      </c>
      <c r="AX79" s="1893" t="e">
        <f>AW79/$AM$89</f>
        <v>#DIV/0!</v>
      </c>
      <c r="AY79" s="1893"/>
      <c r="AZ79" s="39">
        <f>G79+L79+Q79+V79+AA79+AF79+AK79+AP79+AU79</f>
        <v>0</v>
      </c>
      <c r="BA79" s="39">
        <f>H79+M79+R79+W79+AB79+AG79+AL79+AQ79+AV79</f>
        <v>0</v>
      </c>
      <c r="BB79" s="106">
        <f>I79+N79+S79+X79+AH79</f>
        <v>1408829.8935863441</v>
      </c>
      <c r="BC79" s="45"/>
      <c r="BD79" s="45"/>
    </row>
    <row r="80" spans="1:56" ht="13.8" outlineLevel="2">
      <c r="A80" s="3"/>
      <c r="B80" s="25"/>
      <c r="C80" s="143"/>
      <c r="D80" s="144"/>
      <c r="E80" s="145"/>
      <c r="F80" s="187"/>
      <c r="G80" s="69"/>
      <c r="H80" s="69"/>
      <c r="I80" s="69"/>
      <c r="J80" s="69"/>
      <c r="K80" s="69"/>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39"/>
      <c r="AL80" s="39"/>
      <c r="AM80" s="69"/>
      <c r="AN80" s="69"/>
      <c r="AO80" s="69"/>
      <c r="AP80" s="39"/>
      <c r="AQ80" s="39"/>
      <c r="AR80" s="69"/>
      <c r="AS80" s="69"/>
      <c r="AT80" s="69"/>
      <c r="AU80" s="1432"/>
      <c r="AV80" s="1432"/>
      <c r="AW80" s="1894"/>
      <c r="AX80" s="1894"/>
      <c r="AY80" s="1894"/>
      <c r="AZ80" s="39">
        <f>G80+L80+Q80+V80</f>
        <v>0</v>
      </c>
      <c r="BA80" s="39">
        <f>H80+M80+R80+W80</f>
        <v>0</v>
      </c>
      <c r="BB80" s="69"/>
      <c r="BC80" s="69"/>
      <c r="BD80" s="69"/>
    </row>
    <row r="81" spans="1:56" s="2" customFormat="1" ht="14.4" outlineLevel="1" thickBot="1">
      <c r="A81" s="26"/>
      <c r="B81" s="27" t="s">
        <v>12</v>
      </c>
      <c r="C81" s="139">
        <f>(C75+C78)-C79</f>
        <v>24648018.24699375</v>
      </c>
      <c r="D81" s="139">
        <f>(D75+D78)-D79</f>
        <v>-11251415.78441545</v>
      </c>
      <c r="E81" s="140">
        <f>(E75+E78)-E79</f>
        <v>13396602.462578312</v>
      </c>
      <c r="F81" s="173"/>
      <c r="G81" s="139">
        <f>(G75+G78)-G79</f>
        <v>20861750.851370808</v>
      </c>
      <c r="H81" s="139">
        <f>(H75+H78)-H79</f>
        <v>-10086018.330000002</v>
      </c>
      <c r="I81" s="139">
        <f>(I75+I78)-I79</f>
        <v>9400366.3854617197</v>
      </c>
      <c r="J81" s="67"/>
      <c r="K81" s="67"/>
      <c r="L81" s="139">
        <f>(L75+L78)-L79</f>
        <v>-55162.362000000001</v>
      </c>
      <c r="M81" s="139">
        <f>(M75+M78)-M79</f>
        <v>-93279</v>
      </c>
      <c r="N81" s="140">
        <f>(N75+N78)-N79</f>
        <v>-162379.60337931031</v>
      </c>
      <c r="O81" s="67"/>
      <c r="P81" s="67"/>
      <c r="Q81" s="139">
        <f>(Q75+Q78)-Q79</f>
        <v>186403.74799999999</v>
      </c>
      <c r="R81" s="139">
        <f>(R75+R78)-R79</f>
        <v>-104858.5</v>
      </c>
      <c r="S81" s="140">
        <f>(S75+S78)-S79</f>
        <v>65876.736505747118</v>
      </c>
      <c r="T81" s="67"/>
      <c r="U81" s="67"/>
      <c r="V81" s="139">
        <f>(V75+V78)-V79</f>
        <v>43710.893199999999</v>
      </c>
      <c r="W81" s="139">
        <f>(W75+W78)-W79</f>
        <v>-23039.239999999998</v>
      </c>
      <c r="X81" s="140">
        <f>(X75+X78)-X79</f>
        <v>17229.008142528735</v>
      </c>
      <c r="Y81" s="67"/>
      <c r="Z81" s="67"/>
      <c r="AA81" s="139">
        <f>(AA75+AA78)-AA79</f>
        <v>-4032.9959999999996</v>
      </c>
      <c r="AB81" s="139">
        <f>(AB75+AB78)-AB79</f>
        <v>0</v>
      </c>
      <c r="AC81" s="140">
        <f>(AC75+AC78)-AC79</f>
        <v>-4032.9959999999996</v>
      </c>
      <c r="AD81" s="67"/>
      <c r="AE81" s="67"/>
      <c r="AF81" s="139">
        <f>(AF75+AF78)-AF79</f>
        <v>0</v>
      </c>
      <c r="AG81" s="139">
        <f>(AG75+AG78)-AG79</f>
        <v>-2861</v>
      </c>
      <c r="AH81" s="140">
        <f>(AH75+AH78)-AH79</f>
        <v>-3275.3597462184657</v>
      </c>
      <c r="AI81" s="67"/>
      <c r="AJ81" s="67"/>
      <c r="AK81" s="139">
        <f>(AK75+AK78)-AK79</f>
        <v>111982.78</v>
      </c>
      <c r="AL81" s="139">
        <f>(AL75+AL78)-AL79</f>
        <v>0</v>
      </c>
      <c r="AM81" s="140">
        <f>(AM75+AM78)-AM79</f>
        <v>111982.78</v>
      </c>
      <c r="AN81" s="67"/>
      <c r="AO81" s="67"/>
      <c r="AP81" s="139">
        <f>(AP75+AP78)-AP79</f>
        <v>0</v>
      </c>
      <c r="AQ81" s="139">
        <f>(AQ75+AQ78)-AQ79</f>
        <v>0</v>
      </c>
      <c r="AR81" s="140">
        <f>(AR75+AR78)-AR79</f>
        <v>0</v>
      </c>
      <c r="AS81" s="67"/>
      <c r="AT81" s="67"/>
      <c r="AU81" s="1170">
        <f>(AU75+AU78)-AU79</f>
        <v>-1416</v>
      </c>
      <c r="AV81" s="1170">
        <f>(AV75+AV78)-AV79</f>
        <v>0</v>
      </c>
      <c r="AW81" s="1369">
        <f>(AW75+AW78)-AW79</f>
        <v>-1416</v>
      </c>
      <c r="AX81" s="1364"/>
      <c r="AY81" s="1364"/>
      <c r="AZ81" s="139">
        <f>(AZ75+AZ78)-AZ79</f>
        <v>21301761.144570805</v>
      </c>
      <c r="BA81" s="139">
        <f>(BA75+BA78)-BA79</f>
        <v>-10299056.07</v>
      </c>
      <c r="BB81" s="140">
        <f>(BB75+BB78)-BB79</f>
        <v>9593875.1809844673</v>
      </c>
      <c r="BC81" s="67"/>
      <c r="BD81" s="67"/>
    </row>
    <row r="82" spans="1:56" s="2" customFormat="1" ht="13.8" outlineLevel="2">
      <c r="A82" s="293"/>
      <c r="B82" s="6" t="s">
        <v>38</v>
      </c>
      <c r="C82" s="141"/>
      <c r="D82" s="142"/>
      <c r="E82" s="146">
        <f>C82+D82</f>
        <v>0</v>
      </c>
      <c r="F82" s="180">
        <f>E82/$E$89</f>
        <v>0</v>
      </c>
      <c r="G82" s="141"/>
      <c r="H82" s="142"/>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1432"/>
      <c r="AV82" s="1432"/>
      <c r="AW82" s="1515">
        <f>AU82+AV82</f>
        <v>0</v>
      </c>
      <c r="AX82" s="1476"/>
      <c r="AY82" s="1476"/>
      <c r="AZ82" s="39">
        <f>G82+L82</f>
        <v>0</v>
      </c>
      <c r="BA82" s="39">
        <f>H82+M82</f>
        <v>0</v>
      </c>
      <c r="BB82" s="146">
        <f>AZ82+BA82</f>
        <v>0</v>
      </c>
      <c r="BC82" s="101"/>
      <c r="BD82" s="101"/>
    </row>
    <row r="83" spans="1:56" s="2" customFormat="1" ht="13.8" outlineLevel="1">
      <c r="A83" s="11"/>
      <c r="B83" s="28" t="s">
        <v>13</v>
      </c>
      <c r="C83" s="147">
        <f>(C81+C7)-C36</f>
        <v>24164770.24699375</v>
      </c>
      <c r="D83" s="147">
        <f>(D81+D7)-D36</f>
        <v>-11251415.78441545</v>
      </c>
      <c r="E83" s="147">
        <f>(E81+E7)-E36</f>
        <v>12913354.462578312</v>
      </c>
      <c r="F83" s="174"/>
      <c r="G83" s="147">
        <f>(G81+G7)-G36</f>
        <v>21020275.081370808</v>
      </c>
      <c r="H83" s="147">
        <f>(H81+H7)-H36</f>
        <v>-10075018.330000002</v>
      </c>
      <c r="I83" s="147">
        <f>(I81+I7)-I36</f>
        <v>9569890.6154617202</v>
      </c>
      <c r="J83" s="70"/>
      <c r="K83" s="70"/>
      <c r="L83" s="147">
        <f>(L81+L7)-L36</f>
        <v>-55162.362000000001</v>
      </c>
      <c r="M83" s="147">
        <f>(M81+M7)-M36</f>
        <v>-93279</v>
      </c>
      <c r="N83" s="148">
        <f>(N81+N7)-N36</f>
        <v>-162379.60337931031</v>
      </c>
      <c r="O83" s="70"/>
      <c r="P83" s="70"/>
      <c r="Q83" s="147">
        <f>(Q81+Q7)-Q36</f>
        <v>186403.74799999999</v>
      </c>
      <c r="R83" s="147">
        <f>(R81+R7)-R36</f>
        <v>-104858.5</v>
      </c>
      <c r="S83" s="148">
        <f>(S81+S7)-S36</f>
        <v>65876.736505747118</v>
      </c>
      <c r="T83" s="70"/>
      <c r="U83" s="70"/>
      <c r="V83" s="147">
        <f>(V81+V7)-V36</f>
        <v>43710.893199999999</v>
      </c>
      <c r="W83" s="147">
        <f>(W81+W7)-W36</f>
        <v>-23039.239999999998</v>
      </c>
      <c r="X83" s="148">
        <f>(X81+X7)-X36</f>
        <v>17229.008142528735</v>
      </c>
      <c r="Y83" s="70"/>
      <c r="Z83" s="70"/>
      <c r="AA83" s="147">
        <f>(AA81+AA7)-AA36</f>
        <v>-4032.9959999999996</v>
      </c>
      <c r="AB83" s="147">
        <f>(AB81+AB7)-AB36</f>
        <v>0</v>
      </c>
      <c r="AC83" s="148">
        <f>(AC81+AC7)-AC36</f>
        <v>-4032.9959999999996</v>
      </c>
      <c r="AD83" s="70"/>
      <c r="AE83" s="70"/>
      <c r="AF83" s="147">
        <f>(AF81)-AF36</f>
        <v>0</v>
      </c>
      <c r="AG83" s="147">
        <f>(AG81)-AG36</f>
        <v>-2861</v>
      </c>
      <c r="AH83" s="148">
        <f>(AH81)-AH36</f>
        <v>-3275.3597462184657</v>
      </c>
      <c r="AI83" s="70"/>
      <c r="AJ83" s="70"/>
      <c r="AK83" s="147">
        <f>(AK81)-AK36</f>
        <v>111982.78</v>
      </c>
      <c r="AL83" s="147">
        <f>(AL81)-AL36</f>
        <v>0</v>
      </c>
      <c r="AM83" s="148">
        <f>(AM81)-AM36</f>
        <v>111982.78</v>
      </c>
      <c r="AN83" s="70"/>
      <c r="AO83" s="70"/>
      <c r="AP83" s="147">
        <f>(AP81)-AP36</f>
        <v>0</v>
      </c>
      <c r="AQ83" s="147">
        <f>(AQ81)-AQ36</f>
        <v>0</v>
      </c>
      <c r="AR83" s="148">
        <f>(AR81)-AR36</f>
        <v>0</v>
      </c>
      <c r="AS83" s="70"/>
      <c r="AT83" s="70"/>
      <c r="AU83" s="1896">
        <f>(AU81)-AU36</f>
        <v>-1416</v>
      </c>
      <c r="AV83" s="1896">
        <f>(AV81)-AV36</f>
        <v>0</v>
      </c>
      <c r="AW83" s="1897">
        <f>(AW81)-AW36</f>
        <v>-1416</v>
      </c>
      <c r="AX83" s="1898"/>
      <c r="AY83" s="1898"/>
      <c r="AZ83" s="147">
        <f>(AZ81)-AZ36</f>
        <v>21301761.144570805</v>
      </c>
      <c r="BA83" s="147">
        <f>(BA81)-BA36</f>
        <v>-10299056.07</v>
      </c>
      <c r="BB83" s="148">
        <f>(BB81)-BB36</f>
        <v>9593875.1809844673</v>
      </c>
      <c r="BC83" s="70"/>
      <c r="BD83" s="70"/>
    </row>
    <row r="84" spans="1:56" s="2" customFormat="1" ht="14.4" outlineLevel="1" thickBot="1">
      <c r="A84" s="11"/>
      <c r="B84" s="211" t="s">
        <v>14</v>
      </c>
      <c r="C84" s="212">
        <f>C83-C73-C82</f>
        <v>22581375.172966912</v>
      </c>
      <c r="D84" s="212">
        <f>D83-D73-D82</f>
        <v>-11251415.78441545</v>
      </c>
      <c r="E84" s="212">
        <f>E83-E73-E82</f>
        <v>11329959.388551475</v>
      </c>
      <c r="F84" s="214"/>
      <c r="G84" s="212">
        <f>G83-G73-G82</f>
        <v>21020275.081370808</v>
      </c>
      <c r="H84" s="212">
        <f>H83-H73-H82</f>
        <v>-10075018.330000002</v>
      </c>
      <c r="I84" s="212">
        <f>I83-I73-I82</f>
        <v>9569890.6154617202</v>
      </c>
      <c r="J84" s="82"/>
      <c r="K84" s="82"/>
      <c r="L84" s="213">
        <f>L83-L73-L82</f>
        <v>-55162.362000000001</v>
      </c>
      <c r="M84" s="213">
        <f>M83-M73-M82</f>
        <v>-93279</v>
      </c>
      <c r="N84" s="213">
        <f>N83-N73-N82</f>
        <v>-162379.60337931031</v>
      </c>
      <c r="O84" s="82"/>
      <c r="P84" s="82"/>
      <c r="Q84" s="213">
        <f>Q83-Q73-Q82</f>
        <v>186403.74799999999</v>
      </c>
      <c r="R84" s="213">
        <f>R83-R73-R82</f>
        <v>-104858.5</v>
      </c>
      <c r="S84" s="213">
        <f>S83-S73-S82</f>
        <v>65876.736505747118</v>
      </c>
      <c r="T84" s="82"/>
      <c r="U84" s="82"/>
      <c r="V84" s="213">
        <f>V83-V73-V82</f>
        <v>43710.893199999999</v>
      </c>
      <c r="W84" s="213">
        <f>W83-W73-W82</f>
        <v>-23039.239999999998</v>
      </c>
      <c r="X84" s="213">
        <f>X83-X73-X82</f>
        <v>17229.008142528735</v>
      </c>
      <c r="Y84" s="82"/>
      <c r="Z84" s="82"/>
      <c r="AA84" s="213">
        <f>AA83-AA73-AA82</f>
        <v>-4032.9959999999996</v>
      </c>
      <c r="AB84" s="213">
        <f>AB83-AB73-AB82</f>
        <v>0</v>
      </c>
      <c r="AC84" s="213">
        <f>AC83-AC73-AC82</f>
        <v>-4032.9959999999996</v>
      </c>
      <c r="AD84" s="82"/>
      <c r="AE84" s="82"/>
      <c r="AF84" s="213">
        <f>AF83-AF73-AF82</f>
        <v>0</v>
      </c>
      <c r="AG84" s="213">
        <f>AG83-AG73-AG82</f>
        <v>-2861</v>
      </c>
      <c r="AH84" s="213">
        <f>AH83-AH73-AH82</f>
        <v>-3275.3597462184657</v>
      </c>
      <c r="AI84" s="82"/>
      <c r="AJ84" s="82"/>
      <c r="AK84" s="213">
        <f>AK83-AK73-AK82</f>
        <v>111982.78</v>
      </c>
      <c r="AL84" s="213">
        <f>AL83-AL73-AL82</f>
        <v>0</v>
      </c>
      <c r="AM84" s="213">
        <f>AM83-AM73-AM82</f>
        <v>111982.78</v>
      </c>
      <c r="AN84" s="82"/>
      <c r="AO84" s="82"/>
      <c r="AP84" s="213">
        <f>AP83-AP73-AP82</f>
        <v>0</v>
      </c>
      <c r="AQ84" s="213">
        <f>AQ83-AQ73-AQ82</f>
        <v>0</v>
      </c>
      <c r="AR84" s="213">
        <f>AR83-AR73-AR82</f>
        <v>0</v>
      </c>
      <c r="AS84" s="82"/>
      <c r="AT84" s="82"/>
      <c r="AU84" s="2089">
        <f>AU83-AU73-AU82</f>
        <v>-1416</v>
      </c>
      <c r="AV84" s="2089">
        <f>AV83-AV73-AV82</f>
        <v>0</v>
      </c>
      <c r="AW84" s="1937">
        <f>AW83-AW73-AW82</f>
        <v>-1416</v>
      </c>
      <c r="AX84" s="1938"/>
      <c r="AY84" s="1938"/>
      <c r="AZ84" s="2089">
        <f>AZ83-AZ73-AZ82</f>
        <v>21301761.144570805</v>
      </c>
      <c r="BA84" s="2089">
        <f>BA83-BA73-BA82</f>
        <v>-10299056.07</v>
      </c>
      <c r="BB84" s="213">
        <f>BB83-BB73-BB82</f>
        <v>9593875.1809844673</v>
      </c>
      <c r="BC84" s="82"/>
      <c r="BD84" s="82"/>
    </row>
    <row r="85" spans="1:56" s="2" customFormat="1" ht="13.8" outlineLevel="3">
      <c r="A85" s="293"/>
      <c r="B85" s="216" t="s">
        <v>44</v>
      </c>
      <c r="C85" s="141"/>
      <c r="D85" s="142"/>
      <c r="E85" s="146">
        <f>C85+D85</f>
        <v>0</v>
      </c>
      <c r="F85" s="217">
        <f>E85/$E$89</f>
        <v>0</v>
      </c>
      <c r="G85" s="102"/>
      <c r="H85" s="102"/>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1432"/>
      <c r="AV85" s="1432"/>
      <c r="AW85" s="1560">
        <f>AU85+AV85*1.15</f>
        <v>0</v>
      </c>
      <c r="AX85" s="1477"/>
      <c r="AY85" s="1477"/>
      <c r="AZ85" s="39">
        <f>G85+L85+Q85+V85+AA85+AF85+AK85+AP85+AU85</f>
        <v>0</v>
      </c>
      <c r="BA85" s="39">
        <f>H85+M85+R85+W85+AB85+AG85+AL85+AQ85+AV85</f>
        <v>0</v>
      </c>
      <c r="BB85" s="219">
        <f>AZ85+BA85*1.15</f>
        <v>0</v>
      </c>
      <c r="BC85" s="102"/>
      <c r="BD85" s="102"/>
    </row>
    <row r="86" spans="1:56" s="2" customFormat="1" ht="27.6">
      <c r="A86" s="11"/>
      <c r="B86" s="37" t="s">
        <v>50</v>
      </c>
      <c r="C86" s="149">
        <f>C84-C85</f>
        <v>22581375.172966912</v>
      </c>
      <c r="D86" s="149">
        <f>D84-D85</f>
        <v>-11251415.78441545</v>
      </c>
      <c r="E86" s="150">
        <f>E84-E85</f>
        <v>11329959.388551475</v>
      </c>
      <c r="F86" s="175"/>
      <c r="G86" s="149">
        <f>G84-G85</f>
        <v>21020275.081370808</v>
      </c>
      <c r="H86" s="149">
        <f>H84-H85</f>
        <v>-10075018.330000002</v>
      </c>
      <c r="I86" s="150">
        <f>I84-I85</f>
        <v>9569890.6154617202</v>
      </c>
      <c r="J86" s="73"/>
      <c r="K86" s="73"/>
      <c r="L86" s="150">
        <f>L84-L85</f>
        <v>-55162.362000000001</v>
      </c>
      <c r="M86" s="150">
        <f>M84-M85</f>
        <v>-93279</v>
      </c>
      <c r="N86" s="150">
        <f>N84-N85</f>
        <v>-162379.60337931031</v>
      </c>
      <c r="O86" s="73"/>
      <c r="P86" s="73"/>
      <c r="Q86" s="150">
        <f>Q84-Q85</f>
        <v>186403.74799999999</v>
      </c>
      <c r="R86" s="150">
        <f>R84-R85</f>
        <v>-104858.5</v>
      </c>
      <c r="S86" s="150">
        <f>S84-S85</f>
        <v>65876.736505747118</v>
      </c>
      <c r="T86" s="73"/>
      <c r="U86" s="73"/>
      <c r="V86" s="150">
        <f>V84-V85</f>
        <v>43710.893199999999</v>
      </c>
      <c r="W86" s="150">
        <f>W84-W85</f>
        <v>-23039.239999999998</v>
      </c>
      <c r="X86" s="150">
        <f>X84-X85</f>
        <v>17229.008142528735</v>
      </c>
      <c r="Y86" s="73"/>
      <c r="Z86" s="73"/>
      <c r="AA86" s="150">
        <f>AA84-AA85</f>
        <v>-4032.9959999999996</v>
      </c>
      <c r="AB86" s="150">
        <f>AB84-AB85</f>
        <v>0</v>
      </c>
      <c r="AC86" s="150">
        <f>AC84-AC85</f>
        <v>-4032.9959999999996</v>
      </c>
      <c r="AD86" s="73"/>
      <c r="AE86" s="73"/>
      <c r="AF86" s="150">
        <f>AF84-AF85</f>
        <v>0</v>
      </c>
      <c r="AG86" s="150">
        <f>AG84-AG85</f>
        <v>-2861</v>
      </c>
      <c r="AH86" s="150">
        <f>AH84-AH85</f>
        <v>-3275.3597462184657</v>
      </c>
      <c r="AI86" s="73"/>
      <c r="AJ86" s="73"/>
      <c r="AK86" s="150">
        <f>AK84-AK85</f>
        <v>111982.78</v>
      </c>
      <c r="AL86" s="150">
        <f>AL84-AL85</f>
        <v>0</v>
      </c>
      <c r="AM86" s="150">
        <f>AM84-AM85</f>
        <v>111982.78</v>
      </c>
      <c r="AN86" s="73"/>
      <c r="AO86" s="73"/>
      <c r="AP86" s="150">
        <f>AP84-AP85</f>
        <v>0</v>
      </c>
      <c r="AQ86" s="150">
        <f>AQ84-AQ85</f>
        <v>0</v>
      </c>
      <c r="AR86" s="150">
        <f>AR84-AR85</f>
        <v>0</v>
      </c>
      <c r="AS86" s="73"/>
      <c r="AT86" s="73"/>
      <c r="AU86" s="1903">
        <f>AU84-AU85</f>
        <v>-1416</v>
      </c>
      <c r="AV86" s="1903">
        <f>AV84-AV85</f>
        <v>0</v>
      </c>
      <c r="AW86" s="1903">
        <f>AW84-AW85</f>
        <v>-1416</v>
      </c>
      <c r="AX86" s="1904"/>
      <c r="AY86" s="1904"/>
      <c r="AZ86" s="150">
        <f>AZ84-AZ85</f>
        <v>21301761.144570805</v>
      </c>
      <c r="BA86" s="150">
        <f>BA84-BA85</f>
        <v>-10299056.07</v>
      </c>
      <c r="BB86" s="150">
        <f>BB84-BB85</f>
        <v>9593875.1809844673</v>
      </c>
      <c r="BC86" s="73"/>
      <c r="BD86" s="73"/>
    </row>
    <row r="87" spans="1:56" s="2" customFormat="1" ht="14.4" thickBot="1">
      <c r="A87" s="295"/>
      <c r="B87" s="29" t="s">
        <v>51</v>
      </c>
      <c r="C87" s="155">
        <f>C86/C5</f>
        <v>0.42784095157386204</v>
      </c>
      <c r="D87" s="151" t="e">
        <f>D86/D5</f>
        <v>#DIV/0!</v>
      </c>
      <c r="E87" s="156">
        <f>E86/E5</f>
        <v>0.21466454407498267</v>
      </c>
      <c r="F87" s="176"/>
      <c r="G87" s="155">
        <f>G86/G5</f>
        <v>0.40230594103322409</v>
      </c>
      <c r="H87" s="151" t="e">
        <f>H86/H5</f>
        <v>#DIV/0!</v>
      </c>
      <c r="I87" s="156">
        <f>I86/I5</f>
        <v>0.18315763398598081</v>
      </c>
      <c r="J87" s="75"/>
      <c r="K87" s="75"/>
      <c r="L87" s="155">
        <f>L86/L5</f>
        <v>-1.0607922140108574</v>
      </c>
      <c r="M87" s="151" t="e">
        <f>M86/M5</f>
        <v>#DIV/0!</v>
      </c>
      <c r="N87" s="156">
        <f>N86/N5</f>
        <v>-3.1226186249773624</v>
      </c>
      <c r="O87" s="75"/>
      <c r="P87" s="75"/>
      <c r="Q87" s="155">
        <f>Q86/Q5</f>
        <v>0.60455754574809673</v>
      </c>
      <c r="R87" s="151" t="e">
        <f>R86/R5</f>
        <v>#DIV/0!</v>
      </c>
      <c r="S87" s="156">
        <f>S86/S5</f>
        <v>0.21365599442672434</v>
      </c>
      <c r="T87" s="75"/>
      <c r="U87" s="75"/>
      <c r="V87" s="155">
        <f>V86/V5</f>
        <v>0.45513529351617787</v>
      </c>
      <c r="W87" s="151" t="e">
        <f>W86/W5</f>
        <v>#DIV/0!</v>
      </c>
      <c r="X87" s="156">
        <f>X86/X5</f>
        <v>0.17939532011078727</v>
      </c>
      <c r="Y87" s="75"/>
      <c r="Z87" s="75"/>
      <c r="AA87" s="155" t="e">
        <f>AA86/AA5</f>
        <v>#DIV/0!</v>
      </c>
      <c r="AB87" s="151" t="e">
        <f>AB86/AB5</f>
        <v>#DIV/0!</v>
      </c>
      <c r="AC87" s="156" t="e">
        <f>AC86/AC5</f>
        <v>#DIV/0!</v>
      </c>
      <c r="AD87" s="75"/>
      <c r="AE87" s="75"/>
      <c r="AF87" s="155" t="e">
        <f>AF86/AF5</f>
        <v>#DIV/0!</v>
      </c>
      <c r="AG87" s="151" t="e">
        <f>AG86/AG5</f>
        <v>#DIV/0!</v>
      </c>
      <c r="AH87" s="156" t="e">
        <f>AH86/AH5</f>
        <v>#DIV/0!</v>
      </c>
      <c r="AI87" s="75"/>
      <c r="AJ87" s="75"/>
      <c r="AK87" s="155">
        <f>AK86/AK5</f>
        <v>1</v>
      </c>
      <c r="AL87" s="151" t="e">
        <f>AL86/AL5</f>
        <v>#DIV/0!</v>
      </c>
      <c r="AM87" s="156">
        <f>AM86/AM5</f>
        <v>1</v>
      </c>
      <c r="AN87" s="75"/>
      <c r="AO87" s="75"/>
      <c r="AP87" s="155" t="e">
        <f>AP86/AP5</f>
        <v>#DIV/0!</v>
      </c>
      <c r="AQ87" s="151" t="e">
        <f>AQ86/AQ5</f>
        <v>#DIV/0!</v>
      </c>
      <c r="AR87" s="156" t="e">
        <f>AR86/AR5</f>
        <v>#DIV/0!</v>
      </c>
      <c r="AS87" s="75"/>
      <c r="AT87" s="75"/>
      <c r="AU87" s="1171" t="e">
        <f>AU86/AU5</f>
        <v>#DIV/0!</v>
      </c>
      <c r="AV87" s="1172" t="e">
        <f>AV86/AV5</f>
        <v>#DIV/0!</v>
      </c>
      <c r="AW87" s="1370" t="e">
        <f>AW86/AW5</f>
        <v>#DIV/0!</v>
      </c>
      <c r="AX87" s="1365"/>
      <c r="AY87" s="1365"/>
      <c r="AZ87" s="155">
        <f>AZ86/AZ5</f>
        <v>0.40209940739718858</v>
      </c>
      <c r="BA87" s="151">
        <f>BA86/BA5</f>
        <v>-936.27782454545456</v>
      </c>
      <c r="BB87" s="156">
        <f>BB86/BB5</f>
        <v>0.18105970932264512</v>
      </c>
      <c r="BC87" s="75"/>
      <c r="BD87" s="75"/>
    </row>
    <row r="88" spans="1:56"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1458"/>
      <c r="AV88" s="1458"/>
      <c r="AW88" s="1458"/>
      <c r="AX88" s="1458"/>
      <c r="AY88" s="1458"/>
      <c r="AZ88" s="76"/>
      <c r="BA88" s="76"/>
      <c r="BB88" s="76"/>
      <c r="BC88" s="76"/>
      <c r="BD88" s="76"/>
    </row>
    <row r="89" spans="1:56">
      <c r="B89" s="221" t="s">
        <v>56</v>
      </c>
      <c r="C89" s="153"/>
      <c r="D89" s="153"/>
      <c r="E89" s="154">
        <f>E8+E36+E41+E50+E54+E73+E79+E82+E85</f>
        <v>41449876.41234307</v>
      </c>
      <c r="F89" s="189"/>
      <c r="I89" s="154">
        <f>I8+I36+I41+I50+I54+I73+I79+I82+I85</f>
        <v>42849110.784538276</v>
      </c>
      <c r="N89" s="154">
        <f>N8+N36+N41+N50+N54+N73+N79+N82+N85</f>
        <v>214380.70337931032</v>
      </c>
      <c r="S89" s="154">
        <f>S8+S36+S41+S50+S54+S73+S79+S82+S85</f>
        <v>242454.12349425285</v>
      </c>
      <c r="X89" s="154">
        <f>X8+X36+X41+X50+X54+X73+X79+X82+X85</f>
        <v>78810.331857471261</v>
      </c>
      <c r="AC89" s="154">
        <f>AC8+AC36+AC41+AC50+AC54+AC73+AC79+AC82+AC85</f>
        <v>4032.9959999999996</v>
      </c>
      <c r="AH89" s="154">
        <f>AH8+AH36+AH41+AH50+AH54+AH73+AH79+AH82+AH85</f>
        <v>3275.3597462184657</v>
      </c>
      <c r="AM89" s="154">
        <f>AM8+AM36+AM41+AM50+AM54+AM73+AM79+AM82+AM85</f>
        <v>0</v>
      </c>
      <c r="AR89" s="154">
        <f>AR8+AR36+AR41+AR50+AR54+AR73+AR79+AR82+AR85</f>
        <v>0</v>
      </c>
      <c r="AW89" s="1523">
        <f>AW8+AW36+AW41+AW50+AW54+AW73+AW79+AW82+AW85</f>
        <v>1416</v>
      </c>
      <c r="BB89" s="154">
        <f>BB8+BB36+BB41+BB50+BB54+BB73+BB79+BB82+BB85</f>
        <v>43393480.299015537</v>
      </c>
    </row>
    <row r="90" spans="1:56">
      <c r="C90" s="153"/>
      <c r="D90" s="153"/>
      <c r="E90" s="153"/>
      <c r="BB90" s="395" t="b">
        <f>BB89=(S89+N89+I89+X89+AC89+AH89+AM89+AR89+AW89)</f>
        <v>1</v>
      </c>
    </row>
    <row r="91" spans="1:56"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1431"/>
      <c r="AV91" s="1431"/>
      <c r="AW91" s="1431"/>
      <c r="AX91" s="1431"/>
      <c r="AY91" s="1431"/>
      <c r="AZ91" s="38"/>
      <c r="BA91" s="38"/>
      <c r="BB91" s="38"/>
      <c r="BC91" s="38"/>
      <c r="BD91" s="38"/>
    </row>
    <row r="92" spans="1:56">
      <c r="C92" s="38"/>
      <c r="D92" s="38"/>
    </row>
    <row r="93" spans="1:56" s="2" customFormat="1">
      <c r="A93" s="8"/>
      <c r="B93" s="629"/>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686">
        <f>AH5-AH89</f>
        <v>-3275.3597462184657</v>
      </c>
      <c r="AI93" s="38"/>
      <c r="AJ93" s="38"/>
      <c r="AK93" s="38"/>
      <c r="AL93" s="38"/>
      <c r="AM93" s="686">
        <f>AM5-AM89</f>
        <v>111982.78</v>
      </c>
      <c r="AN93" s="38"/>
      <c r="AO93" s="38"/>
      <c r="AP93" s="38"/>
      <c r="AQ93" s="38"/>
      <c r="AR93" s="686">
        <f>AR5-AR89</f>
        <v>0</v>
      </c>
      <c r="AS93" s="38"/>
      <c r="AT93" s="38"/>
      <c r="AU93" s="1431"/>
      <c r="AV93" s="1431"/>
      <c r="AW93" s="1666">
        <f>AW5-AW89</f>
        <v>-1416</v>
      </c>
      <c r="AX93" s="1431"/>
      <c r="AY93" s="1431"/>
      <c r="AZ93" s="38"/>
      <c r="BA93" s="38"/>
      <c r="BB93" s="686">
        <f>BB5-BB89</f>
        <v>9593875.1809844673</v>
      </c>
      <c r="BC93" s="38"/>
      <c r="BD93" s="38"/>
    </row>
    <row r="94" spans="1:56" s="2" customFormat="1">
      <c r="A94" s="8"/>
      <c r="B94" s="629"/>
      <c r="C94" s="38"/>
      <c r="D94" s="38"/>
      <c r="E94" s="38"/>
      <c r="F94" s="38"/>
      <c r="G94" s="38"/>
      <c r="H94" s="38"/>
      <c r="I94" s="38"/>
      <c r="J94" s="38"/>
      <c r="K94" s="38"/>
      <c r="L94" s="38"/>
      <c r="M94" s="38"/>
      <c r="N94" s="38"/>
      <c r="O94" s="38"/>
      <c r="P94" s="38"/>
      <c r="Q94" s="38"/>
      <c r="R94" s="38"/>
      <c r="S94" s="38"/>
      <c r="T94" s="38"/>
      <c r="U94" s="38"/>
      <c r="V94" s="38"/>
      <c r="W94" s="38"/>
      <c r="X94" s="38"/>
      <c r="Y94" s="38"/>
      <c r="Z94" s="38"/>
      <c r="AA94" s="626"/>
      <c r="AB94" s="38"/>
      <c r="AC94" s="38"/>
      <c r="AD94" s="38"/>
      <c r="AE94" s="38"/>
      <c r="AF94" s="626"/>
      <c r="AG94" s="38"/>
      <c r="AH94" s="38"/>
      <c r="AI94" s="38"/>
      <c r="AJ94" s="38"/>
      <c r="AK94" s="626"/>
      <c r="AL94" s="38"/>
      <c r="AM94" s="38"/>
      <c r="AN94" s="38"/>
      <c r="AO94" s="38"/>
      <c r="AP94" s="626"/>
      <c r="AQ94" s="38"/>
      <c r="AR94" s="38"/>
      <c r="AS94" s="38"/>
      <c r="AT94" s="38"/>
      <c r="AU94" s="1654"/>
      <c r="AV94" s="1431"/>
      <c r="AW94" s="1431"/>
      <c r="AX94" s="1431"/>
      <c r="AY94" s="1431"/>
      <c r="AZ94" s="626"/>
      <c r="BA94" s="38"/>
      <c r="BB94" s="38"/>
      <c r="BC94" s="38"/>
      <c r="BD94" s="38"/>
    </row>
    <row r="95" spans="1:56" s="2" customFormat="1">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1431"/>
      <c r="AV95" s="1431"/>
      <c r="AW95" s="1431"/>
      <c r="AX95" s="1431"/>
      <c r="AY95" s="1431"/>
      <c r="AZ95" s="38"/>
      <c r="BA95" s="38"/>
      <c r="BB95" s="38"/>
      <c r="BC95" s="38"/>
      <c r="BD95" s="38"/>
    </row>
    <row r="96" spans="1:56" s="2" customFormat="1">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1431"/>
      <c r="AV96" s="1431"/>
      <c r="AW96" s="1431"/>
      <c r="AX96" s="1431"/>
      <c r="AY96" s="1431"/>
      <c r="AZ96" s="38"/>
      <c r="BA96" s="38"/>
      <c r="BB96" s="38"/>
      <c r="BC96" s="38"/>
      <c r="BD96" s="38"/>
    </row>
    <row r="97" spans="1:56">
      <c r="C97" s="38"/>
      <c r="D97" s="38"/>
    </row>
    <row r="98" spans="1:56"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1431"/>
      <c r="AV98" s="1431"/>
      <c r="AW98" s="1431"/>
      <c r="AX98" s="1431"/>
      <c r="AY98" s="1431"/>
      <c r="AZ98" s="38"/>
      <c r="BA98" s="38"/>
      <c r="BB98" s="38"/>
      <c r="BC98" s="38"/>
      <c r="BD98" s="38"/>
    </row>
    <row r="99" spans="1:56">
      <c r="C99" s="38"/>
      <c r="D99" s="38"/>
    </row>
  </sheetData>
  <mergeCells count="13">
    <mergeCell ref="AZ2:BC3"/>
    <mergeCell ref="A42:A48"/>
    <mergeCell ref="A2:F2"/>
    <mergeCell ref="A3:F3"/>
    <mergeCell ref="L2:O3"/>
    <mergeCell ref="G2:J3"/>
    <mergeCell ref="Q2:T3"/>
    <mergeCell ref="V2:Y3"/>
    <mergeCell ref="AA2:AD3"/>
    <mergeCell ref="AF2:AI3"/>
    <mergeCell ref="AK2:AO3"/>
    <mergeCell ref="AP2:AT3"/>
    <mergeCell ref="AU2:AY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E99"/>
  <sheetViews>
    <sheetView showZeros="0" zoomScale="70" zoomScaleNormal="70" workbookViewId="0">
      <pane xSplit="6" ySplit="5" topLeftCell="G69" activePane="bottomRight" state="frozen"/>
      <selection activeCell="AF19" sqref="AF19"/>
      <selection pane="topRight" activeCell="AF19" sqref="AF19"/>
      <selection pane="bottomLeft" activeCell="AF19" sqref="AF19"/>
      <selection pane="bottomRight" activeCell="Y98" sqref="Y98"/>
    </sheetView>
  </sheetViews>
  <sheetFormatPr defaultColWidth="7.44140625" defaultRowHeight="13.2" outlineLevelRow="3"/>
  <cols>
    <col min="1" max="1" width="5.5546875" style="8" customWidth="1"/>
    <col min="2" max="2" width="55" style="8" customWidth="1"/>
    <col min="3" max="3" width="15" style="77" hidden="1" customWidth="1"/>
    <col min="4" max="4" width="15.5546875" style="77" hidden="1" customWidth="1"/>
    <col min="5" max="5" width="16.33203125" style="38" hidden="1" customWidth="1"/>
    <col min="6" max="6" width="9.5546875" style="38" hidden="1" customWidth="1"/>
    <col min="7" max="9" width="16.33203125" style="38" hidden="1" customWidth="1"/>
    <col min="10" max="10" width="9" style="38" hidden="1" customWidth="1"/>
    <col min="11" max="14" width="16.33203125" style="38" hidden="1" customWidth="1"/>
    <col min="15" max="15" width="9" style="38" hidden="1" customWidth="1"/>
    <col min="16" max="21" width="16.33203125" style="38" hidden="1" customWidth="1"/>
    <col min="22" max="29" width="16.33203125" style="38" customWidth="1"/>
    <col min="30" max="30" width="9" style="38" customWidth="1"/>
    <col min="31" max="31" width="16.33203125" style="38" customWidth="1"/>
    <col min="32" max="16384" width="7.44140625" style="1"/>
  </cols>
  <sheetData>
    <row r="1" spans="1:31" ht="13.95" customHeight="1" thickBot="1">
      <c r="C1" s="38"/>
      <c r="D1" s="38"/>
    </row>
    <row r="2" spans="1:31" ht="22.2" customHeight="1">
      <c r="A2" s="4834" t="s">
        <v>191</v>
      </c>
      <c r="B2" s="4835"/>
      <c r="C2" s="4835"/>
      <c r="D2" s="4835"/>
      <c r="E2" s="4835"/>
      <c r="F2" s="4836"/>
      <c r="G2" s="4837" t="s">
        <v>465</v>
      </c>
      <c r="H2" s="4838"/>
      <c r="I2" s="4838"/>
      <c r="J2" s="4838"/>
      <c r="K2" s="4998"/>
      <c r="L2" s="4837" t="s">
        <v>466</v>
      </c>
      <c r="M2" s="4838"/>
      <c r="N2" s="4838"/>
      <c r="O2" s="4838"/>
      <c r="P2" s="378"/>
      <c r="Q2" s="4868" t="s">
        <v>952</v>
      </c>
      <c r="R2" s="4869"/>
      <c r="S2" s="4869"/>
      <c r="T2" s="4869"/>
      <c r="U2" s="4870"/>
      <c r="V2" s="4898" t="s">
        <v>1066</v>
      </c>
      <c r="W2" s="4899"/>
      <c r="X2" s="4899"/>
      <c r="Y2" s="4899"/>
      <c r="Z2" s="4900"/>
      <c r="AA2" s="4988" t="s">
        <v>469</v>
      </c>
      <c r="AB2" s="4989"/>
      <c r="AC2" s="4989"/>
      <c r="AD2" s="4989"/>
      <c r="AE2" s="384"/>
    </row>
    <row r="3" spans="1:31" ht="14.4" customHeight="1" thickBot="1">
      <c r="A3" s="4853" t="s">
        <v>54</v>
      </c>
      <c r="B3" s="4854"/>
      <c r="C3" s="4854"/>
      <c r="D3" s="4854"/>
      <c r="E3" s="4854"/>
      <c r="F3" s="4855"/>
      <c r="G3" s="4839"/>
      <c r="H3" s="4840"/>
      <c r="I3" s="4840"/>
      <c r="J3" s="4840"/>
      <c r="K3" s="4999"/>
      <c r="L3" s="4839"/>
      <c r="M3" s="4840"/>
      <c r="N3" s="4840"/>
      <c r="O3" s="4840"/>
      <c r="P3" s="379"/>
      <c r="Q3" s="4871"/>
      <c r="R3" s="4872"/>
      <c r="S3" s="4872"/>
      <c r="T3" s="4872"/>
      <c r="U3" s="4873"/>
      <c r="V3" s="4901"/>
      <c r="W3" s="4902"/>
      <c r="X3" s="4902"/>
      <c r="Y3" s="4902"/>
      <c r="Z3" s="4903"/>
      <c r="AA3" s="4990"/>
      <c r="AB3" s="4991"/>
      <c r="AC3" s="4991"/>
      <c r="AD3" s="4991"/>
      <c r="AE3" s="385"/>
    </row>
    <row r="4" spans="1:31"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row>
    <row r="5" spans="1:31" s="88" customFormat="1" ht="14.4" thickBot="1">
      <c r="A5" s="83"/>
      <c r="B5" s="84" t="s">
        <v>10</v>
      </c>
      <c r="C5" s="85">
        <f>C6</f>
        <v>2372705</v>
      </c>
      <c r="D5" s="85">
        <f>D6</f>
        <v>565000</v>
      </c>
      <c r="E5" s="86">
        <f>E6</f>
        <v>2937705</v>
      </c>
      <c r="F5" s="87"/>
      <c r="G5" s="87">
        <f>G6</f>
        <v>2577144.7399999998</v>
      </c>
      <c r="H5" s="87">
        <f>H6</f>
        <v>0</v>
      </c>
      <c r="I5" s="87">
        <f>I6</f>
        <v>2577144.7399999998</v>
      </c>
      <c r="J5" s="87"/>
      <c r="K5" s="87"/>
      <c r="L5" s="87">
        <f>L6</f>
        <v>0</v>
      </c>
      <c r="M5" s="87">
        <f>M6</f>
        <v>0</v>
      </c>
      <c r="N5" s="87">
        <f>N6</f>
        <v>0</v>
      </c>
      <c r="O5" s="87"/>
      <c r="P5" s="87"/>
      <c r="Q5" s="87">
        <f>Q6</f>
        <v>0</v>
      </c>
      <c r="R5" s="87">
        <f>R6</f>
        <v>0</v>
      </c>
      <c r="S5" s="87">
        <f>S6</f>
        <v>0</v>
      </c>
      <c r="T5" s="87"/>
      <c r="U5" s="87"/>
      <c r="V5" s="87">
        <f>V6</f>
        <v>0</v>
      </c>
      <c r="W5" s="87">
        <f>W6</f>
        <v>0</v>
      </c>
      <c r="X5" s="87">
        <f>X6</f>
        <v>0</v>
      </c>
      <c r="Y5" s="87"/>
      <c r="Z5" s="87"/>
      <c r="AA5" s="87">
        <f>AA6</f>
        <v>2577144.7399999998</v>
      </c>
      <c r="AB5" s="87">
        <f>AB6</f>
        <v>0</v>
      </c>
      <c r="AC5" s="87">
        <f>AC6</f>
        <v>2577144.7399999998</v>
      </c>
      <c r="AD5" s="87"/>
      <c r="AE5" s="87"/>
    </row>
    <row r="6" spans="1:31" s="2" customFormat="1" ht="13.8" outlineLevel="1">
      <c r="A6" s="330"/>
      <c r="B6" s="9" t="s">
        <v>17</v>
      </c>
      <c r="C6" s="104">
        <v>2372705</v>
      </c>
      <c r="D6" s="105">
        <v>565000</v>
      </c>
      <c r="E6" s="106">
        <f>C6+D6</f>
        <v>2937705</v>
      </c>
      <c r="F6" s="39"/>
      <c r="G6" s="39">
        <v>2577144.7399999998</v>
      </c>
      <c r="H6" s="39">
        <v>0</v>
      </c>
      <c r="I6" s="106">
        <f>G6+H6</f>
        <v>2577144.7399999998</v>
      </c>
      <c r="J6" s="39"/>
      <c r="K6" s="39"/>
      <c r="L6" s="39"/>
      <c r="M6" s="39"/>
      <c r="N6" s="106">
        <f>L6+M6</f>
        <v>0</v>
      </c>
      <c r="O6" s="39"/>
      <c r="P6" s="39"/>
      <c r="Q6" s="39"/>
      <c r="R6" s="39"/>
      <c r="S6" s="106">
        <f>Q6+R6</f>
        <v>0</v>
      </c>
      <c r="T6" s="39"/>
      <c r="U6" s="39"/>
      <c r="V6" s="39"/>
      <c r="W6" s="39"/>
      <c r="X6" s="106">
        <f>V6+W6</f>
        <v>0</v>
      </c>
      <c r="Y6" s="39"/>
      <c r="Z6" s="39"/>
      <c r="AA6" s="39">
        <f>G6+L6+Q6+V6</f>
        <v>2577144.7399999998</v>
      </c>
      <c r="AB6" s="39">
        <f>H6+M6+R6+W6</f>
        <v>0</v>
      </c>
      <c r="AC6" s="106">
        <f>AA6+AB6</f>
        <v>2577144.7399999998</v>
      </c>
      <c r="AD6" s="39"/>
      <c r="AE6" s="39"/>
    </row>
    <row r="7" spans="1:31" s="2" customFormat="1" ht="15" customHeight="1" outlineLevel="1" collapsed="1" thickBot="1">
      <c r="A7" s="238"/>
      <c r="B7" s="10" t="s">
        <v>41</v>
      </c>
      <c r="C7" s="107"/>
      <c r="D7" s="108">
        <v>30000</v>
      </c>
      <c r="E7" s="106">
        <f>C7+D7</f>
        <v>30000</v>
      </c>
      <c r="F7" s="40"/>
      <c r="G7" s="39">
        <v>0</v>
      </c>
      <c r="H7" s="39">
        <v>0</v>
      </c>
      <c r="I7" s="106">
        <f>G7+H7</f>
        <v>0</v>
      </c>
      <c r="J7" s="40"/>
      <c r="K7" s="40"/>
      <c r="L7" s="39"/>
      <c r="M7" s="39"/>
      <c r="N7" s="106">
        <f>L7+M7</f>
        <v>0</v>
      </c>
      <c r="O7" s="40"/>
      <c r="P7" s="40"/>
      <c r="Q7" s="39"/>
      <c r="R7" s="39"/>
      <c r="S7" s="106">
        <f>Q7+R7</f>
        <v>0</v>
      </c>
      <c r="T7" s="40"/>
      <c r="U7" s="40"/>
      <c r="V7" s="39"/>
      <c r="W7" s="39"/>
      <c r="X7" s="106">
        <f>V7+W7</f>
        <v>0</v>
      </c>
      <c r="Y7" s="40"/>
      <c r="Z7" s="40"/>
      <c r="AA7" s="39">
        <f>G7+L7+Q7+V7</f>
        <v>0</v>
      </c>
      <c r="AB7" s="39">
        <f>H7+M7+R7+W7</f>
        <v>0</v>
      </c>
      <c r="AC7" s="106">
        <f>AA7+AB7</f>
        <v>0</v>
      </c>
      <c r="AD7" s="40"/>
      <c r="AE7" s="40"/>
    </row>
    <row r="8" spans="1:31" s="88" customFormat="1" ht="15" customHeight="1" outlineLevel="1" thickBot="1">
      <c r="A8" s="238"/>
      <c r="B8" s="84" t="s">
        <v>16</v>
      </c>
      <c r="C8" s="109">
        <f>SUM(C9:C33)</f>
        <v>1467513</v>
      </c>
      <c r="D8" s="109">
        <f>SUM(D9:D33)</f>
        <v>1049395</v>
      </c>
      <c r="E8" s="110">
        <f>SUM(E9:E33)</f>
        <v>2516908</v>
      </c>
      <c r="F8" s="164">
        <f t="shared" ref="F8:F21" si="0">E8/$E$89</f>
        <v>0.9741913084405518</v>
      </c>
      <c r="G8" s="109">
        <f>SUM(G16:G33)</f>
        <v>891583.53399999987</v>
      </c>
      <c r="H8" s="109">
        <f>SUM(H16:H33)</f>
        <v>31035.5</v>
      </c>
      <c r="I8" s="109">
        <f>SUM(I16:I33)</f>
        <v>922619.03399999987</v>
      </c>
      <c r="J8" s="164">
        <f t="shared" ref="J8:J21" si="1">I8/$I$89</f>
        <v>0.96310659140592447</v>
      </c>
      <c r="K8" s="87"/>
      <c r="L8" s="109">
        <f>SUM(L9:L33)</f>
        <v>0</v>
      </c>
      <c r="M8" s="109">
        <f>SUM(M9:M33)</f>
        <v>0</v>
      </c>
      <c r="N8" s="110">
        <f>SUM(N9:N33)</f>
        <v>0</v>
      </c>
      <c r="O8" s="164" t="e">
        <f t="shared" ref="O8:O21" si="2">N8/$N$89</f>
        <v>#DIV/0!</v>
      </c>
      <c r="P8" s="87"/>
      <c r="Q8" s="109">
        <f>SUM(Q9:Q33)</f>
        <v>0</v>
      </c>
      <c r="R8" s="109">
        <f>SUM(R9:R33)</f>
        <v>40800</v>
      </c>
      <c r="S8" s="110">
        <f>SUM(S9:S33)</f>
        <v>40800</v>
      </c>
      <c r="T8" s="164">
        <f t="shared" ref="T8:T33" si="3">S8/$S$89</f>
        <v>0.89099959701055098</v>
      </c>
      <c r="U8" s="87"/>
      <c r="V8" s="109">
        <f>SUM(V9:V33)</f>
        <v>0</v>
      </c>
      <c r="W8" s="109">
        <f>SUM(W9:W33)</f>
        <v>0</v>
      </c>
      <c r="X8" s="110">
        <f>SUM(X9:X33)</f>
        <v>0</v>
      </c>
      <c r="Y8" s="164">
        <f t="shared" ref="Y8:Y33" si="4">X8/$S$89</f>
        <v>0</v>
      </c>
      <c r="Z8" s="87"/>
      <c r="AA8" s="109">
        <f>SUM(AA9:AA33)</f>
        <v>891583.53399999987</v>
      </c>
      <c r="AB8" s="109">
        <f>SUM(AB9:AB33)</f>
        <v>71835.5</v>
      </c>
      <c r="AC8" s="110">
        <f>SUM(AC9:AC33)</f>
        <v>963419.03399999987</v>
      </c>
      <c r="AD8" s="164">
        <f t="shared" ref="AD8:AD21" si="5">AC8/$AC$89</f>
        <v>0.95981706562775715</v>
      </c>
      <c r="AE8" s="87"/>
    </row>
    <row r="9" spans="1:31" s="2" customFormat="1" ht="30" customHeight="1" outlineLevel="2">
      <c r="A9" s="238"/>
      <c r="B9" s="31" t="s">
        <v>74</v>
      </c>
      <c r="C9" s="111">
        <v>5555</v>
      </c>
      <c r="D9" s="112"/>
      <c r="E9" s="106">
        <f t="shared" ref="E9:E33" si="6">C9+D9</f>
        <v>5555</v>
      </c>
      <c r="F9" s="177">
        <f t="shared" si="0"/>
        <v>2.1501114535721075E-3</v>
      </c>
      <c r="G9" s="210"/>
      <c r="H9" s="210"/>
      <c r="I9" s="210"/>
      <c r="J9" s="178">
        <f t="shared" si="1"/>
        <v>0</v>
      </c>
      <c r="K9" s="42"/>
      <c r="L9" s="39"/>
      <c r="M9" s="39"/>
      <c r="N9" s="210">
        <f>L9+M9*1</f>
        <v>0</v>
      </c>
      <c r="O9" s="178" t="e">
        <f t="shared" si="2"/>
        <v>#DIV/0!</v>
      </c>
      <c r="P9" s="42"/>
      <c r="Q9" s="39"/>
      <c r="R9" s="39"/>
      <c r="S9" s="210">
        <f>Q9+R9*1</f>
        <v>0</v>
      </c>
      <c r="T9" s="178">
        <f t="shared" si="3"/>
        <v>0</v>
      </c>
      <c r="U9" s="42"/>
      <c r="V9" s="39"/>
      <c r="W9" s="39"/>
      <c r="X9" s="210">
        <f>V9+W9*1</f>
        <v>0</v>
      </c>
      <c r="Y9" s="178">
        <f t="shared" si="4"/>
        <v>0</v>
      </c>
      <c r="Z9" s="42"/>
      <c r="AA9" s="39">
        <f t="shared" ref="AA9:AA33" si="7">G9+L9+Q9+V9</f>
        <v>0</v>
      </c>
      <c r="AB9" s="39">
        <f t="shared" ref="AB9:AB33" si="8">H9+M9+R9+W9</f>
        <v>0</v>
      </c>
      <c r="AC9" s="210">
        <f>AA9+AB9*1</f>
        <v>0</v>
      </c>
      <c r="AD9" s="178">
        <f t="shared" si="5"/>
        <v>0</v>
      </c>
      <c r="AE9" s="42"/>
    </row>
    <row r="10" spans="1:31" s="2" customFormat="1" ht="14.4" customHeight="1" outlineLevel="2">
      <c r="A10" s="238"/>
      <c r="B10" s="31" t="s">
        <v>72</v>
      </c>
      <c r="C10" s="111">
        <v>1346</v>
      </c>
      <c r="D10" s="112"/>
      <c r="E10" s="106">
        <f t="shared" si="6"/>
        <v>1346</v>
      </c>
      <c r="F10" s="177">
        <f t="shared" si="0"/>
        <v>5.2098110108155828E-4</v>
      </c>
      <c r="G10" s="210"/>
      <c r="H10" s="210"/>
      <c r="I10" s="210"/>
      <c r="J10" s="178">
        <f t="shared" si="1"/>
        <v>0</v>
      </c>
      <c r="K10" s="42"/>
      <c r="L10" s="39"/>
      <c r="M10" s="39"/>
      <c r="N10" s="210">
        <f t="shared" ref="N10:N33" si="9">L10+M10*1</f>
        <v>0</v>
      </c>
      <c r="O10" s="178" t="e">
        <f t="shared" si="2"/>
        <v>#DIV/0!</v>
      </c>
      <c r="P10" s="42"/>
      <c r="Q10" s="39"/>
      <c r="R10" s="39"/>
      <c r="S10" s="210">
        <f t="shared" ref="S10:S21" si="10">Q10+R10*1</f>
        <v>0</v>
      </c>
      <c r="T10" s="178">
        <f t="shared" si="3"/>
        <v>0</v>
      </c>
      <c r="U10" s="42"/>
      <c r="V10" s="39"/>
      <c r="W10" s="39"/>
      <c r="X10" s="210">
        <f t="shared" ref="X10:X21" si="11">V10+W10*1</f>
        <v>0</v>
      </c>
      <c r="Y10" s="178">
        <f t="shared" si="4"/>
        <v>0</v>
      </c>
      <c r="Z10" s="42"/>
      <c r="AA10" s="39">
        <f t="shared" si="7"/>
        <v>0</v>
      </c>
      <c r="AB10" s="39">
        <f t="shared" si="8"/>
        <v>0</v>
      </c>
      <c r="AC10" s="210">
        <f t="shared" ref="AC10:AC33" si="12">AA10+AB10*1</f>
        <v>0</v>
      </c>
      <c r="AD10" s="178">
        <f t="shared" si="5"/>
        <v>0</v>
      </c>
      <c r="AE10" s="42"/>
    </row>
    <row r="11" spans="1:31" s="2" customFormat="1" ht="14.4" customHeight="1" outlineLevel="2">
      <c r="A11" s="238"/>
      <c r="B11" s="31" t="s">
        <v>69</v>
      </c>
      <c r="C11" s="111">
        <v>1518</v>
      </c>
      <c r="D11" s="112"/>
      <c r="E11" s="106">
        <f t="shared" si="6"/>
        <v>1518</v>
      </c>
      <c r="F11" s="177">
        <f t="shared" si="0"/>
        <v>5.8755520909495209E-4</v>
      </c>
      <c r="G11" s="210"/>
      <c r="H11" s="210"/>
      <c r="I11" s="210"/>
      <c r="J11" s="178">
        <f t="shared" si="1"/>
        <v>0</v>
      </c>
      <c r="K11" s="42"/>
      <c r="L11" s="39"/>
      <c r="M11" s="39"/>
      <c r="N11" s="210">
        <f t="shared" si="9"/>
        <v>0</v>
      </c>
      <c r="O11" s="178" t="e">
        <f t="shared" si="2"/>
        <v>#DIV/0!</v>
      </c>
      <c r="P11" s="42"/>
      <c r="Q11" s="39"/>
      <c r="R11" s="39"/>
      <c r="S11" s="210">
        <f t="shared" si="10"/>
        <v>0</v>
      </c>
      <c r="T11" s="178">
        <f t="shared" si="3"/>
        <v>0</v>
      </c>
      <c r="U11" s="42"/>
      <c r="V11" s="39"/>
      <c r="W11" s="39"/>
      <c r="X11" s="210">
        <f t="shared" si="11"/>
        <v>0</v>
      </c>
      <c r="Y11" s="178">
        <f t="shared" si="4"/>
        <v>0</v>
      </c>
      <c r="Z11" s="42"/>
      <c r="AA11" s="39">
        <f t="shared" si="7"/>
        <v>0</v>
      </c>
      <c r="AB11" s="39">
        <f t="shared" si="8"/>
        <v>0</v>
      </c>
      <c r="AC11" s="210">
        <f t="shared" si="12"/>
        <v>0</v>
      </c>
      <c r="AD11" s="178">
        <f t="shared" si="5"/>
        <v>0</v>
      </c>
      <c r="AE11" s="42"/>
    </row>
    <row r="12" spans="1:31" s="2" customFormat="1" ht="52.2" customHeight="1" outlineLevel="2">
      <c r="A12" s="238"/>
      <c r="B12" s="31" t="s">
        <v>73</v>
      </c>
      <c r="C12" s="111">
        <v>1852</v>
      </c>
      <c r="D12" s="112">
        <v>10649</v>
      </c>
      <c r="E12" s="106">
        <f t="shared" si="6"/>
        <v>12501</v>
      </c>
      <c r="F12" s="177">
        <f t="shared" si="0"/>
        <v>4.8386216527641608E-3</v>
      </c>
      <c r="G12" s="210"/>
      <c r="H12" s="210"/>
      <c r="I12" s="210"/>
      <c r="J12" s="178">
        <f t="shared" si="1"/>
        <v>0</v>
      </c>
      <c r="K12" s="42"/>
      <c r="L12" s="39"/>
      <c r="M12" s="39"/>
      <c r="N12" s="210">
        <f t="shared" si="9"/>
        <v>0</v>
      </c>
      <c r="O12" s="178" t="e">
        <f t="shared" si="2"/>
        <v>#DIV/0!</v>
      </c>
      <c r="P12" s="42"/>
      <c r="Q12" s="39"/>
      <c r="R12" s="39"/>
      <c r="S12" s="210">
        <f t="shared" si="10"/>
        <v>0</v>
      </c>
      <c r="T12" s="178">
        <f t="shared" si="3"/>
        <v>0</v>
      </c>
      <c r="U12" s="42"/>
      <c r="V12" s="39"/>
      <c r="W12" s="39"/>
      <c r="X12" s="210">
        <f t="shared" si="11"/>
        <v>0</v>
      </c>
      <c r="Y12" s="178">
        <f t="shared" si="4"/>
        <v>0</v>
      </c>
      <c r="Z12" s="42"/>
      <c r="AA12" s="39">
        <f t="shared" si="7"/>
        <v>0</v>
      </c>
      <c r="AB12" s="39">
        <f t="shared" si="8"/>
        <v>0</v>
      </c>
      <c r="AC12" s="210">
        <f t="shared" si="12"/>
        <v>0</v>
      </c>
      <c r="AD12" s="178">
        <f t="shared" si="5"/>
        <v>0</v>
      </c>
      <c r="AE12" s="42"/>
    </row>
    <row r="13" spans="1:31" s="2" customFormat="1" ht="14.4" customHeight="1" outlineLevel="2">
      <c r="A13" s="238"/>
      <c r="B13" s="31" t="s">
        <v>71</v>
      </c>
      <c r="C13" s="111">
        <v>449</v>
      </c>
      <c r="D13" s="112"/>
      <c r="E13" s="106">
        <f t="shared" si="6"/>
        <v>449</v>
      </c>
      <c r="F13" s="177">
        <f t="shared" si="0"/>
        <v>1.7378938661635936E-4</v>
      </c>
      <c r="G13" s="210"/>
      <c r="H13" s="210"/>
      <c r="I13" s="210"/>
      <c r="J13" s="178">
        <f t="shared" si="1"/>
        <v>0</v>
      </c>
      <c r="K13" s="42"/>
      <c r="L13" s="39"/>
      <c r="M13" s="39"/>
      <c r="N13" s="210">
        <f t="shared" si="9"/>
        <v>0</v>
      </c>
      <c r="O13" s="178" t="e">
        <f t="shared" si="2"/>
        <v>#DIV/0!</v>
      </c>
      <c r="P13" s="42"/>
      <c r="Q13" s="39"/>
      <c r="R13" s="39"/>
      <c r="S13" s="210">
        <f t="shared" si="10"/>
        <v>0</v>
      </c>
      <c r="T13" s="178">
        <f t="shared" si="3"/>
        <v>0</v>
      </c>
      <c r="U13" s="42"/>
      <c r="V13" s="39"/>
      <c r="W13" s="39"/>
      <c r="X13" s="210">
        <f t="shared" si="11"/>
        <v>0</v>
      </c>
      <c r="Y13" s="178">
        <f t="shared" si="4"/>
        <v>0</v>
      </c>
      <c r="Z13" s="42"/>
      <c r="AA13" s="39">
        <f t="shared" si="7"/>
        <v>0</v>
      </c>
      <c r="AB13" s="39">
        <f t="shared" si="8"/>
        <v>0</v>
      </c>
      <c r="AC13" s="210">
        <f t="shared" si="12"/>
        <v>0</v>
      </c>
      <c r="AD13" s="178">
        <f t="shared" si="5"/>
        <v>0</v>
      </c>
      <c r="AE13" s="42"/>
    </row>
    <row r="14" spans="1:31" s="2" customFormat="1" ht="14.4" customHeight="1" outlineLevel="2">
      <c r="A14" s="238"/>
      <c r="B14" s="31" t="s">
        <v>70</v>
      </c>
      <c r="C14" s="111">
        <v>506</v>
      </c>
      <c r="D14" s="112"/>
      <c r="E14" s="106">
        <f t="shared" si="6"/>
        <v>506</v>
      </c>
      <c r="F14" s="177">
        <f t="shared" si="0"/>
        <v>1.9585173636498402E-4</v>
      </c>
      <c r="G14" s="210"/>
      <c r="H14" s="210"/>
      <c r="I14" s="210"/>
      <c r="J14" s="178">
        <f t="shared" si="1"/>
        <v>0</v>
      </c>
      <c r="K14" s="42"/>
      <c r="L14" s="39"/>
      <c r="M14" s="39"/>
      <c r="N14" s="210">
        <f t="shared" si="9"/>
        <v>0</v>
      </c>
      <c r="O14" s="178" t="e">
        <f t="shared" si="2"/>
        <v>#DIV/0!</v>
      </c>
      <c r="P14" s="42"/>
      <c r="Q14" s="39"/>
      <c r="R14" s="39"/>
      <c r="S14" s="210">
        <f t="shared" si="10"/>
        <v>0</v>
      </c>
      <c r="T14" s="178">
        <f t="shared" si="3"/>
        <v>0</v>
      </c>
      <c r="U14" s="42"/>
      <c r="V14" s="39"/>
      <c r="W14" s="39"/>
      <c r="X14" s="210">
        <f t="shared" si="11"/>
        <v>0</v>
      </c>
      <c r="Y14" s="178">
        <f t="shared" si="4"/>
        <v>0</v>
      </c>
      <c r="Z14" s="42"/>
      <c r="AA14" s="39">
        <f t="shared" si="7"/>
        <v>0</v>
      </c>
      <c r="AB14" s="39">
        <f t="shared" si="8"/>
        <v>0</v>
      </c>
      <c r="AC14" s="210">
        <f t="shared" si="12"/>
        <v>0</v>
      </c>
      <c r="AD14" s="178">
        <f t="shared" si="5"/>
        <v>0</v>
      </c>
      <c r="AE14" s="42"/>
    </row>
    <row r="15" spans="1:31" s="2" customFormat="1" ht="14.4" customHeight="1" outlineLevel="2">
      <c r="A15" s="238"/>
      <c r="B15" s="7" t="s">
        <v>20</v>
      </c>
      <c r="C15" s="111"/>
      <c r="D15" s="113"/>
      <c r="E15" s="106">
        <f t="shared" si="6"/>
        <v>0</v>
      </c>
      <c r="F15" s="177">
        <f t="shared" si="0"/>
        <v>0</v>
      </c>
      <c r="G15" s="210"/>
      <c r="H15" s="210"/>
      <c r="I15" s="210"/>
      <c r="J15" s="178">
        <f t="shared" si="1"/>
        <v>0</v>
      </c>
      <c r="K15" s="42"/>
      <c r="L15" s="39"/>
      <c r="M15" s="39"/>
      <c r="N15" s="210">
        <f t="shared" si="9"/>
        <v>0</v>
      </c>
      <c r="O15" s="178" t="e">
        <f t="shared" si="2"/>
        <v>#DIV/0!</v>
      </c>
      <c r="P15" s="42"/>
      <c r="Q15" s="39"/>
      <c r="R15" s="39"/>
      <c r="S15" s="210">
        <f t="shared" si="10"/>
        <v>0</v>
      </c>
      <c r="T15" s="178">
        <f t="shared" si="3"/>
        <v>0</v>
      </c>
      <c r="U15" s="42"/>
      <c r="V15" s="39"/>
      <c r="W15" s="39"/>
      <c r="X15" s="210">
        <f t="shared" si="11"/>
        <v>0</v>
      </c>
      <c r="Y15" s="178">
        <f t="shared" si="4"/>
        <v>0</v>
      </c>
      <c r="Z15" s="42"/>
      <c r="AA15" s="39">
        <f t="shared" si="7"/>
        <v>0</v>
      </c>
      <c r="AB15" s="39">
        <f t="shared" si="8"/>
        <v>0</v>
      </c>
      <c r="AC15" s="210">
        <f t="shared" si="12"/>
        <v>0</v>
      </c>
      <c r="AD15" s="178">
        <f t="shared" si="5"/>
        <v>0</v>
      </c>
      <c r="AE15" s="42"/>
    </row>
    <row r="16" spans="1:31" s="2" customFormat="1" ht="31.95" customHeight="1" outlineLevel="2">
      <c r="A16" s="292"/>
      <c r="B16" s="7" t="s">
        <v>21</v>
      </c>
      <c r="C16" s="111"/>
      <c r="D16" s="113">
        <v>433946</v>
      </c>
      <c r="E16" s="106">
        <f t="shared" si="6"/>
        <v>433946</v>
      </c>
      <c r="F16" s="177">
        <f t="shared" si="0"/>
        <v>0.1679626039301173</v>
      </c>
      <c r="G16" s="39">
        <v>0</v>
      </c>
      <c r="H16" s="39">
        <v>10000</v>
      </c>
      <c r="I16" s="210">
        <f>G16+H16*1</f>
        <v>10000</v>
      </c>
      <c r="J16" s="178">
        <f t="shared" si="1"/>
        <v>1.0438832886748406E-2</v>
      </c>
      <c r="K16" s="42"/>
      <c r="L16" s="39"/>
      <c r="M16" s="39"/>
      <c r="N16" s="210">
        <f t="shared" si="9"/>
        <v>0</v>
      </c>
      <c r="O16" s="178" t="e">
        <f t="shared" si="2"/>
        <v>#DIV/0!</v>
      </c>
      <c r="P16" s="42"/>
      <c r="Q16" s="39"/>
      <c r="R16" s="39"/>
      <c r="S16" s="210">
        <f t="shared" si="10"/>
        <v>0</v>
      </c>
      <c r="T16" s="178">
        <f t="shared" si="3"/>
        <v>0</v>
      </c>
      <c r="U16" s="42"/>
      <c r="V16" s="39"/>
      <c r="W16" s="39"/>
      <c r="X16" s="210">
        <f t="shared" si="11"/>
        <v>0</v>
      </c>
      <c r="Y16" s="178">
        <f t="shared" si="4"/>
        <v>0</v>
      </c>
      <c r="Z16" s="42"/>
      <c r="AA16" s="39">
        <f t="shared" si="7"/>
        <v>0</v>
      </c>
      <c r="AB16" s="39">
        <f t="shared" si="8"/>
        <v>10000</v>
      </c>
      <c r="AC16" s="210">
        <f t="shared" si="12"/>
        <v>10000</v>
      </c>
      <c r="AD16" s="178">
        <f t="shared" si="5"/>
        <v>9.962612650932505E-3</v>
      </c>
      <c r="AE16" s="42"/>
    </row>
    <row r="17" spans="1:31" s="2" customFormat="1" ht="14.4" customHeight="1" outlineLevel="2">
      <c r="A17" s="238"/>
      <c r="B17" s="7" t="s">
        <v>22</v>
      </c>
      <c r="C17" s="111"/>
      <c r="D17" s="113"/>
      <c r="E17" s="106">
        <f t="shared" si="6"/>
        <v>0</v>
      </c>
      <c r="F17" s="177">
        <f t="shared" si="0"/>
        <v>0</v>
      </c>
      <c r="G17" s="39">
        <v>0</v>
      </c>
      <c r="H17" s="39">
        <v>0</v>
      </c>
      <c r="I17" s="210">
        <f t="shared" ref="I17:I33" si="13">G17+H17*1</f>
        <v>0</v>
      </c>
      <c r="J17" s="178">
        <f t="shared" si="1"/>
        <v>0</v>
      </c>
      <c r="K17" s="42"/>
      <c r="L17" s="39"/>
      <c r="M17" s="39"/>
      <c r="N17" s="210">
        <f t="shared" si="9"/>
        <v>0</v>
      </c>
      <c r="O17" s="178" t="e">
        <f t="shared" si="2"/>
        <v>#DIV/0!</v>
      </c>
      <c r="P17" s="42"/>
      <c r="Q17" s="39"/>
      <c r="R17" s="39"/>
      <c r="S17" s="210">
        <f t="shared" si="10"/>
        <v>0</v>
      </c>
      <c r="T17" s="178">
        <f t="shared" si="3"/>
        <v>0</v>
      </c>
      <c r="U17" s="42"/>
      <c r="V17" s="39"/>
      <c r="W17" s="39"/>
      <c r="X17" s="210">
        <f t="shared" si="11"/>
        <v>0</v>
      </c>
      <c r="Y17" s="178">
        <f t="shared" si="4"/>
        <v>0</v>
      </c>
      <c r="Z17" s="42"/>
      <c r="AA17" s="39">
        <f t="shared" si="7"/>
        <v>0</v>
      </c>
      <c r="AB17" s="39">
        <f t="shared" si="8"/>
        <v>0</v>
      </c>
      <c r="AC17" s="210">
        <f t="shared" si="12"/>
        <v>0</v>
      </c>
      <c r="AD17" s="178">
        <f t="shared" si="5"/>
        <v>0</v>
      </c>
      <c r="AE17" s="42"/>
    </row>
    <row r="18" spans="1:31" s="2" customFormat="1" ht="13.8" outlineLevel="2">
      <c r="A18" s="238"/>
      <c r="B18" s="7" t="s">
        <v>0</v>
      </c>
      <c r="C18" s="111">
        <v>744640</v>
      </c>
      <c r="D18" s="113">
        <v>216400</v>
      </c>
      <c r="E18" s="106">
        <f t="shared" si="6"/>
        <v>961040</v>
      </c>
      <c r="F18" s="177">
        <f t="shared" si="0"/>
        <v>0.37197895793716257</v>
      </c>
      <c r="G18" s="39">
        <v>530888.93999999994</v>
      </c>
      <c r="H18" s="39">
        <v>3323.5</v>
      </c>
      <c r="I18" s="210">
        <f t="shared" si="13"/>
        <v>534212.43999999994</v>
      </c>
      <c r="J18" s="178">
        <f t="shared" si="1"/>
        <v>0.55765543871821088</v>
      </c>
      <c r="K18" s="42"/>
      <c r="L18" s="39"/>
      <c r="M18" s="39"/>
      <c r="N18" s="210">
        <f t="shared" si="9"/>
        <v>0</v>
      </c>
      <c r="O18" s="178" t="e">
        <f t="shared" si="2"/>
        <v>#DIV/0!</v>
      </c>
      <c r="P18" s="42"/>
      <c r="Q18" s="39"/>
      <c r="R18" s="39"/>
      <c r="S18" s="210">
        <f t="shared" si="10"/>
        <v>0</v>
      </c>
      <c r="T18" s="178">
        <f t="shared" si="3"/>
        <v>0</v>
      </c>
      <c r="U18" s="42"/>
      <c r="V18" s="39"/>
      <c r="W18" s="39"/>
      <c r="X18" s="210">
        <f t="shared" si="11"/>
        <v>0</v>
      </c>
      <c r="Y18" s="178">
        <f t="shared" si="4"/>
        <v>0</v>
      </c>
      <c r="Z18" s="42"/>
      <c r="AA18" s="39">
        <f t="shared" si="7"/>
        <v>530888.93999999994</v>
      </c>
      <c r="AB18" s="39">
        <f t="shared" si="8"/>
        <v>3323.5</v>
      </c>
      <c r="AC18" s="210">
        <f t="shared" si="12"/>
        <v>534212.43999999994</v>
      </c>
      <c r="AD18" s="178">
        <f t="shared" si="5"/>
        <v>0.5322151613029521</v>
      </c>
      <c r="AE18" s="42"/>
    </row>
    <row r="19" spans="1:31" s="2" customFormat="1" ht="16.2" customHeight="1" outlineLevel="2">
      <c r="A19" s="238"/>
      <c r="B19" s="7" t="s">
        <v>53</v>
      </c>
      <c r="C19" s="114"/>
      <c r="D19" s="113"/>
      <c r="E19" s="106">
        <f t="shared" si="6"/>
        <v>0</v>
      </c>
      <c r="F19" s="177">
        <f t="shared" si="0"/>
        <v>0</v>
      </c>
      <c r="G19" s="39">
        <v>0</v>
      </c>
      <c r="H19" s="39">
        <v>0</v>
      </c>
      <c r="I19" s="210">
        <f t="shared" si="13"/>
        <v>0</v>
      </c>
      <c r="J19" s="178">
        <f t="shared" si="1"/>
        <v>0</v>
      </c>
      <c r="K19" s="42"/>
      <c r="L19" s="39"/>
      <c r="M19" s="39"/>
      <c r="N19" s="210">
        <f t="shared" si="9"/>
        <v>0</v>
      </c>
      <c r="O19" s="178" t="e">
        <f t="shared" si="2"/>
        <v>#DIV/0!</v>
      </c>
      <c r="P19" s="42"/>
      <c r="Q19" s="39"/>
      <c r="R19" s="39"/>
      <c r="S19" s="210">
        <f t="shared" si="10"/>
        <v>0</v>
      </c>
      <c r="T19" s="178">
        <f t="shared" si="3"/>
        <v>0</v>
      </c>
      <c r="U19" s="42"/>
      <c r="V19" s="39"/>
      <c r="W19" s="39"/>
      <c r="X19" s="210">
        <f t="shared" si="11"/>
        <v>0</v>
      </c>
      <c r="Y19" s="178">
        <f t="shared" si="4"/>
        <v>0</v>
      </c>
      <c r="Z19" s="42"/>
      <c r="AA19" s="39">
        <f t="shared" si="7"/>
        <v>0</v>
      </c>
      <c r="AB19" s="39">
        <f t="shared" si="8"/>
        <v>0</v>
      </c>
      <c r="AC19" s="210">
        <f t="shared" si="12"/>
        <v>0</v>
      </c>
      <c r="AD19" s="178">
        <f t="shared" si="5"/>
        <v>0</v>
      </c>
      <c r="AE19" s="42"/>
    </row>
    <row r="20" spans="1:31" s="2" customFormat="1" ht="14.4" customHeight="1" outlineLevel="2">
      <c r="A20" s="238"/>
      <c r="B20" s="7" t="s">
        <v>57</v>
      </c>
      <c r="C20" s="114"/>
      <c r="D20" s="113"/>
      <c r="E20" s="106">
        <f t="shared" si="6"/>
        <v>0</v>
      </c>
      <c r="F20" s="177">
        <f t="shared" si="0"/>
        <v>0</v>
      </c>
      <c r="G20" s="39">
        <v>0</v>
      </c>
      <c r="H20" s="39">
        <v>0</v>
      </c>
      <c r="I20" s="210">
        <f t="shared" si="13"/>
        <v>0</v>
      </c>
      <c r="J20" s="178">
        <f t="shared" si="1"/>
        <v>0</v>
      </c>
      <c r="K20" s="42"/>
      <c r="L20" s="39"/>
      <c r="M20" s="39"/>
      <c r="N20" s="210">
        <f t="shared" si="9"/>
        <v>0</v>
      </c>
      <c r="O20" s="178" t="e">
        <f t="shared" si="2"/>
        <v>#DIV/0!</v>
      </c>
      <c r="P20" s="42"/>
      <c r="Q20" s="39"/>
      <c r="R20" s="39"/>
      <c r="S20" s="210">
        <f t="shared" si="10"/>
        <v>0</v>
      </c>
      <c r="T20" s="178">
        <f t="shared" si="3"/>
        <v>0</v>
      </c>
      <c r="U20" s="42"/>
      <c r="V20" s="39"/>
      <c r="W20" s="39"/>
      <c r="X20" s="210">
        <f t="shared" si="11"/>
        <v>0</v>
      </c>
      <c r="Y20" s="178">
        <f t="shared" si="4"/>
        <v>0</v>
      </c>
      <c r="Z20" s="42"/>
      <c r="AA20" s="39">
        <f t="shared" si="7"/>
        <v>0</v>
      </c>
      <c r="AB20" s="39">
        <f t="shared" si="8"/>
        <v>0</v>
      </c>
      <c r="AC20" s="210">
        <f t="shared" si="12"/>
        <v>0</v>
      </c>
      <c r="AD20" s="178">
        <f t="shared" si="5"/>
        <v>0</v>
      </c>
      <c r="AE20" s="42"/>
    </row>
    <row r="21" spans="1:31" s="2" customFormat="1" ht="33" customHeight="1" outlineLevel="2">
      <c r="A21" s="238"/>
      <c r="B21" s="7" t="s">
        <v>622</v>
      </c>
      <c r="C21" s="114">
        <v>48712</v>
      </c>
      <c r="D21" s="113"/>
      <c r="E21" s="106">
        <f t="shared" si="6"/>
        <v>48712</v>
      </c>
      <c r="F21" s="177">
        <f t="shared" si="0"/>
        <v>1.885440668342115E-2</v>
      </c>
      <c r="G21" s="39">
        <v>0</v>
      </c>
      <c r="H21" s="39">
        <v>0</v>
      </c>
      <c r="I21" s="210">
        <f t="shared" si="13"/>
        <v>0</v>
      </c>
      <c r="J21" s="178">
        <f t="shared" si="1"/>
        <v>0</v>
      </c>
      <c r="K21" s="42"/>
      <c r="L21" s="39"/>
      <c r="M21" s="39"/>
      <c r="N21" s="210">
        <f t="shared" si="9"/>
        <v>0</v>
      </c>
      <c r="O21" s="178" t="e">
        <f t="shared" si="2"/>
        <v>#DIV/0!</v>
      </c>
      <c r="P21" s="42"/>
      <c r="Q21" s="39"/>
      <c r="R21" s="39"/>
      <c r="S21" s="210">
        <f t="shared" si="10"/>
        <v>0</v>
      </c>
      <c r="T21" s="178">
        <f t="shared" si="3"/>
        <v>0</v>
      </c>
      <c r="U21" s="42"/>
      <c r="V21" s="39"/>
      <c r="W21" s="39"/>
      <c r="X21" s="210">
        <f t="shared" si="11"/>
        <v>0</v>
      </c>
      <c r="Y21" s="178">
        <f t="shared" si="4"/>
        <v>0</v>
      </c>
      <c r="Z21" s="42"/>
      <c r="AA21" s="39">
        <f t="shared" si="7"/>
        <v>0</v>
      </c>
      <c r="AB21" s="39">
        <f t="shared" si="8"/>
        <v>0</v>
      </c>
      <c r="AC21" s="210">
        <f t="shared" si="12"/>
        <v>0</v>
      </c>
      <c r="AD21" s="178">
        <f t="shared" si="5"/>
        <v>0</v>
      </c>
      <c r="AE21" s="42"/>
    </row>
    <row r="22" spans="1:31" s="2" customFormat="1" ht="33" customHeight="1" outlineLevel="2">
      <c r="A22" s="238"/>
      <c r="B22" s="7" t="s">
        <v>621</v>
      </c>
      <c r="C22" s="114"/>
      <c r="D22" s="445"/>
      <c r="E22" s="446"/>
      <c r="F22" s="447"/>
      <c r="G22" s="452"/>
      <c r="H22" s="452"/>
      <c r="I22" s="453"/>
      <c r="J22" s="450"/>
      <c r="K22" s="456"/>
      <c r="L22" s="452"/>
      <c r="M22" s="452"/>
      <c r="N22" s="453"/>
      <c r="O22" s="450"/>
      <c r="P22" s="456"/>
      <c r="Q22" s="452"/>
      <c r="R22" s="452"/>
      <c r="S22" s="453"/>
      <c r="T22" s="450">
        <f t="shared" si="3"/>
        <v>0</v>
      </c>
      <c r="U22" s="456"/>
      <c r="V22" s="452"/>
      <c r="W22" s="452"/>
      <c r="X22" s="453"/>
      <c r="Y22" s="450">
        <f t="shared" si="4"/>
        <v>0</v>
      </c>
      <c r="Z22" s="456"/>
      <c r="AA22" s="452">
        <f t="shared" si="7"/>
        <v>0</v>
      </c>
      <c r="AB22" s="452">
        <f t="shared" si="8"/>
        <v>0</v>
      </c>
      <c r="AC22" s="453"/>
      <c r="AD22" s="450"/>
      <c r="AE22" s="456"/>
    </row>
    <row r="23" spans="1:31" s="2" customFormat="1" ht="33" customHeight="1" outlineLevel="2">
      <c r="A23" s="238"/>
      <c r="B23" s="471" t="s">
        <v>630</v>
      </c>
      <c r="C23" s="114"/>
      <c r="D23" s="445"/>
      <c r="E23" s="446"/>
      <c r="F23" s="447"/>
      <c r="G23" s="452"/>
      <c r="H23" s="452"/>
      <c r="I23" s="453"/>
      <c r="J23" s="450"/>
      <c r="K23" s="456"/>
      <c r="L23" s="452"/>
      <c r="M23" s="452"/>
      <c r="N23" s="453"/>
      <c r="O23" s="450"/>
      <c r="P23" s="456"/>
      <c r="Q23" s="452"/>
      <c r="R23" s="452"/>
      <c r="S23" s="453"/>
      <c r="T23" s="450">
        <f t="shared" si="3"/>
        <v>0</v>
      </c>
      <c r="U23" s="456"/>
      <c r="V23" s="452"/>
      <c r="W23" s="452"/>
      <c r="X23" s="453"/>
      <c r="Y23" s="450">
        <f t="shared" si="4"/>
        <v>0</v>
      </c>
      <c r="Z23" s="456"/>
      <c r="AA23" s="452">
        <f t="shared" si="7"/>
        <v>0</v>
      </c>
      <c r="AB23" s="452">
        <f t="shared" si="8"/>
        <v>0</v>
      </c>
      <c r="AC23" s="453"/>
      <c r="AD23" s="450"/>
      <c r="AE23" s="456"/>
    </row>
    <row r="24" spans="1:31" s="2" customFormat="1" ht="21.6" customHeight="1" outlineLevel="2">
      <c r="A24" s="238"/>
      <c r="B24" s="7" t="s">
        <v>23</v>
      </c>
      <c r="C24" s="114"/>
      <c r="D24" s="113"/>
      <c r="E24" s="106">
        <f t="shared" si="6"/>
        <v>0</v>
      </c>
      <c r="F24" s="177">
        <f t="shared" ref="F24:F33" si="14">E24/$E$89</f>
        <v>0</v>
      </c>
      <c r="G24" s="39">
        <v>0</v>
      </c>
      <c r="H24" s="39">
        <v>0</v>
      </c>
      <c r="I24" s="210">
        <f t="shared" si="13"/>
        <v>0</v>
      </c>
      <c r="J24" s="178">
        <f t="shared" ref="J24:J33" si="15">I24/$I$89</f>
        <v>0</v>
      </c>
      <c r="K24" s="42"/>
      <c r="L24" s="39"/>
      <c r="M24" s="39"/>
      <c r="N24" s="210">
        <f t="shared" si="9"/>
        <v>0</v>
      </c>
      <c r="O24" s="178" t="e">
        <f t="shared" ref="O24:O33" si="16">N24/$N$89</f>
        <v>#DIV/0!</v>
      </c>
      <c r="P24" s="42"/>
      <c r="Q24" s="39"/>
      <c r="R24" s="39"/>
      <c r="S24" s="210">
        <f t="shared" ref="S24:S33" si="17">Q24+R24*1</f>
        <v>0</v>
      </c>
      <c r="T24" s="178">
        <f t="shared" si="3"/>
        <v>0</v>
      </c>
      <c r="U24" s="42"/>
      <c r="V24" s="39"/>
      <c r="W24" s="39"/>
      <c r="X24" s="210">
        <f t="shared" ref="X24:X33" si="18">V24+W24*1</f>
        <v>0</v>
      </c>
      <c r="Y24" s="178">
        <f t="shared" si="4"/>
        <v>0</v>
      </c>
      <c r="Z24" s="42"/>
      <c r="AA24" s="39">
        <f t="shared" si="7"/>
        <v>0</v>
      </c>
      <c r="AB24" s="39">
        <f t="shared" si="8"/>
        <v>0</v>
      </c>
      <c r="AC24" s="210">
        <f t="shared" si="12"/>
        <v>0</v>
      </c>
      <c r="AD24" s="178">
        <f t="shared" ref="AD24:AD33" si="19">AC24/$AC$89</f>
        <v>0</v>
      </c>
      <c r="AE24" s="42"/>
    </row>
    <row r="25" spans="1:31" s="2" customFormat="1" ht="39" customHeight="1" outlineLevel="2">
      <c r="A25" s="238"/>
      <c r="B25" s="7" t="s">
        <v>24</v>
      </c>
      <c r="C25" s="114">
        <v>1000</v>
      </c>
      <c r="D25" s="113"/>
      <c r="E25" s="106">
        <f t="shared" si="6"/>
        <v>1000</v>
      </c>
      <c r="F25" s="177">
        <f t="shared" si="14"/>
        <v>3.8705876751973128E-4</v>
      </c>
      <c r="G25" s="39">
        <v>0</v>
      </c>
      <c r="H25" s="39">
        <v>1962</v>
      </c>
      <c r="I25" s="210">
        <f t="shared" si="13"/>
        <v>1962</v>
      </c>
      <c r="J25" s="178">
        <f t="shared" si="15"/>
        <v>2.0480990123800374E-3</v>
      </c>
      <c r="K25" s="42"/>
      <c r="L25" s="39"/>
      <c r="M25" s="39"/>
      <c r="N25" s="210">
        <f t="shared" si="9"/>
        <v>0</v>
      </c>
      <c r="O25" s="178" t="e">
        <f t="shared" si="16"/>
        <v>#DIV/0!</v>
      </c>
      <c r="P25" s="42"/>
      <c r="Q25" s="39"/>
      <c r="R25" s="39"/>
      <c r="S25" s="210">
        <f t="shared" si="17"/>
        <v>0</v>
      </c>
      <c r="T25" s="178">
        <f t="shared" si="3"/>
        <v>0</v>
      </c>
      <c r="U25" s="42"/>
      <c r="V25" s="39"/>
      <c r="W25" s="39"/>
      <c r="X25" s="210">
        <f t="shared" si="18"/>
        <v>0</v>
      </c>
      <c r="Y25" s="178">
        <f t="shared" si="4"/>
        <v>0</v>
      </c>
      <c r="Z25" s="42"/>
      <c r="AA25" s="39">
        <f t="shared" si="7"/>
        <v>0</v>
      </c>
      <c r="AB25" s="39">
        <f t="shared" si="8"/>
        <v>1962</v>
      </c>
      <c r="AC25" s="210">
        <f t="shared" si="12"/>
        <v>1962</v>
      </c>
      <c r="AD25" s="178">
        <f t="shared" si="19"/>
        <v>1.9546646021129572E-3</v>
      </c>
      <c r="AE25" s="42"/>
    </row>
    <row r="26" spans="1:31" s="2" customFormat="1" ht="39.6" customHeight="1" outlineLevel="2">
      <c r="A26" s="238"/>
      <c r="B26" s="7" t="s">
        <v>45</v>
      </c>
      <c r="C26" s="114">
        <v>548974</v>
      </c>
      <c r="D26" s="113"/>
      <c r="E26" s="106">
        <f t="shared" si="6"/>
        <v>548974</v>
      </c>
      <c r="F26" s="177">
        <f t="shared" si="14"/>
        <v>0.21248519984037698</v>
      </c>
      <c r="G26" s="39">
        <v>353786.36399999994</v>
      </c>
      <c r="H26" s="39">
        <v>7750</v>
      </c>
      <c r="I26" s="210">
        <f t="shared" si="13"/>
        <v>361536.36399999994</v>
      </c>
      <c r="J26" s="178">
        <f t="shared" si="15"/>
        <v>0.37740176862786418</v>
      </c>
      <c r="K26" s="42"/>
      <c r="L26" s="39"/>
      <c r="M26" s="39"/>
      <c r="N26" s="210">
        <f t="shared" si="9"/>
        <v>0</v>
      </c>
      <c r="O26" s="178" t="e">
        <f t="shared" si="16"/>
        <v>#DIV/0!</v>
      </c>
      <c r="P26" s="42"/>
      <c r="Q26" s="39"/>
      <c r="R26" s="39"/>
      <c r="S26" s="210">
        <f t="shared" si="17"/>
        <v>0</v>
      </c>
      <c r="T26" s="178">
        <f t="shared" si="3"/>
        <v>0</v>
      </c>
      <c r="U26" s="42"/>
      <c r="V26" s="39"/>
      <c r="W26" s="39"/>
      <c r="X26" s="210">
        <f t="shared" si="18"/>
        <v>0</v>
      </c>
      <c r="Y26" s="178">
        <f t="shared" si="4"/>
        <v>0</v>
      </c>
      <c r="Z26" s="42"/>
      <c r="AA26" s="39">
        <f t="shared" si="7"/>
        <v>353786.36399999994</v>
      </c>
      <c r="AB26" s="39">
        <f t="shared" si="8"/>
        <v>7750</v>
      </c>
      <c r="AC26" s="210">
        <f t="shared" si="12"/>
        <v>361536.36399999994</v>
      </c>
      <c r="AD26" s="178">
        <f t="shared" si="19"/>
        <v>0.3601846753758538</v>
      </c>
      <c r="AE26" s="42"/>
    </row>
    <row r="27" spans="1:31" s="2" customFormat="1" ht="32.4" customHeight="1" outlineLevel="2">
      <c r="A27" s="238"/>
      <c r="B27" s="7" t="s">
        <v>25</v>
      </c>
      <c r="C27" s="114"/>
      <c r="D27" s="113"/>
      <c r="E27" s="106">
        <f t="shared" si="6"/>
        <v>0</v>
      </c>
      <c r="F27" s="177">
        <f t="shared" si="14"/>
        <v>0</v>
      </c>
      <c r="G27" s="39">
        <v>0</v>
      </c>
      <c r="H27" s="39">
        <v>0</v>
      </c>
      <c r="I27" s="210">
        <f t="shared" si="13"/>
        <v>0</v>
      </c>
      <c r="J27" s="178">
        <f t="shared" si="15"/>
        <v>0</v>
      </c>
      <c r="K27" s="42"/>
      <c r="L27" s="39"/>
      <c r="M27" s="39"/>
      <c r="N27" s="210">
        <f t="shared" si="9"/>
        <v>0</v>
      </c>
      <c r="O27" s="178" t="e">
        <f t="shared" si="16"/>
        <v>#DIV/0!</v>
      </c>
      <c r="P27" s="42"/>
      <c r="Q27" s="39"/>
      <c r="R27" s="39"/>
      <c r="S27" s="210">
        <f t="shared" si="17"/>
        <v>0</v>
      </c>
      <c r="T27" s="178">
        <f t="shared" si="3"/>
        <v>0</v>
      </c>
      <c r="U27" s="42"/>
      <c r="V27" s="39"/>
      <c r="W27" s="39"/>
      <c r="X27" s="210">
        <f t="shared" si="18"/>
        <v>0</v>
      </c>
      <c r="Y27" s="178">
        <f t="shared" si="4"/>
        <v>0</v>
      </c>
      <c r="Z27" s="42"/>
      <c r="AA27" s="39">
        <f t="shared" si="7"/>
        <v>0</v>
      </c>
      <c r="AB27" s="39">
        <f t="shared" si="8"/>
        <v>0</v>
      </c>
      <c r="AC27" s="210">
        <f t="shared" si="12"/>
        <v>0</v>
      </c>
      <c r="AD27" s="178">
        <f t="shared" si="19"/>
        <v>0</v>
      </c>
      <c r="AE27" s="42"/>
    </row>
    <row r="28" spans="1:31" s="226" customFormat="1" ht="51" customHeight="1" outlineLevel="2">
      <c r="A28" s="238"/>
      <c r="B28" s="262" t="s">
        <v>52</v>
      </c>
      <c r="C28" s="114">
        <v>20000</v>
      </c>
      <c r="D28" s="113">
        <f>3000+60000</f>
        <v>63000</v>
      </c>
      <c r="E28" s="106">
        <f t="shared" si="6"/>
        <v>83000</v>
      </c>
      <c r="F28" s="177">
        <f t="shared" si="14"/>
        <v>3.2125877704137697E-2</v>
      </c>
      <c r="G28" s="39">
        <v>0</v>
      </c>
      <c r="H28" s="39">
        <v>0</v>
      </c>
      <c r="I28" s="210">
        <f t="shared" si="13"/>
        <v>0</v>
      </c>
      <c r="J28" s="178">
        <f t="shared" si="15"/>
        <v>0</v>
      </c>
      <c r="K28" s="42"/>
      <c r="L28" s="39"/>
      <c r="M28" s="39"/>
      <c r="N28" s="210">
        <f t="shared" si="9"/>
        <v>0</v>
      </c>
      <c r="O28" s="178" t="e">
        <f t="shared" si="16"/>
        <v>#DIV/0!</v>
      </c>
      <c r="P28" s="42"/>
      <c r="Q28" s="39"/>
      <c r="R28" s="39"/>
      <c r="S28" s="210">
        <f t="shared" si="17"/>
        <v>0</v>
      </c>
      <c r="T28" s="178">
        <f t="shared" si="3"/>
        <v>0</v>
      </c>
      <c r="U28" s="42"/>
      <c r="V28" s="39"/>
      <c r="W28" s="39"/>
      <c r="X28" s="210">
        <f t="shared" si="18"/>
        <v>0</v>
      </c>
      <c r="Y28" s="178">
        <f t="shared" si="4"/>
        <v>0</v>
      </c>
      <c r="Z28" s="42"/>
      <c r="AA28" s="39">
        <f t="shared" si="7"/>
        <v>0</v>
      </c>
      <c r="AB28" s="39">
        <f t="shared" si="8"/>
        <v>0</v>
      </c>
      <c r="AC28" s="210">
        <f t="shared" si="12"/>
        <v>0</v>
      </c>
      <c r="AD28" s="178">
        <f t="shared" si="19"/>
        <v>0</v>
      </c>
      <c r="AE28" s="42"/>
    </row>
    <row r="29" spans="1:31" s="2" customFormat="1" ht="61.2" customHeight="1" outlineLevel="2">
      <c r="A29" s="238"/>
      <c r="B29" s="7" t="s">
        <v>31</v>
      </c>
      <c r="C29" s="114"/>
      <c r="D29" s="113">
        <v>20400</v>
      </c>
      <c r="E29" s="106">
        <f t="shared" si="6"/>
        <v>20400</v>
      </c>
      <c r="F29" s="178">
        <f t="shared" si="14"/>
        <v>7.8959988574025183E-3</v>
      </c>
      <c r="G29" s="39">
        <v>0</v>
      </c>
      <c r="H29" s="39">
        <v>0</v>
      </c>
      <c r="I29" s="210">
        <f t="shared" si="13"/>
        <v>0</v>
      </c>
      <c r="J29" s="178">
        <f t="shared" si="15"/>
        <v>0</v>
      </c>
      <c r="K29" s="79"/>
      <c r="L29" s="39"/>
      <c r="M29" s="39"/>
      <c r="N29" s="210">
        <f t="shared" si="9"/>
        <v>0</v>
      </c>
      <c r="O29" s="178" t="e">
        <f t="shared" si="16"/>
        <v>#DIV/0!</v>
      </c>
      <c r="P29" s="79"/>
      <c r="Q29" s="39"/>
      <c r="R29" s="39"/>
      <c r="S29" s="210">
        <f t="shared" si="17"/>
        <v>0</v>
      </c>
      <c r="T29" s="178">
        <f t="shared" si="3"/>
        <v>0</v>
      </c>
      <c r="U29" s="79"/>
      <c r="V29" s="39"/>
      <c r="W29" s="39"/>
      <c r="X29" s="210">
        <f t="shared" si="18"/>
        <v>0</v>
      </c>
      <c r="Y29" s="178">
        <f t="shared" si="4"/>
        <v>0</v>
      </c>
      <c r="Z29" s="79"/>
      <c r="AA29" s="39">
        <f t="shared" si="7"/>
        <v>0</v>
      </c>
      <c r="AB29" s="39">
        <f t="shared" si="8"/>
        <v>0</v>
      </c>
      <c r="AC29" s="210">
        <f t="shared" si="12"/>
        <v>0</v>
      </c>
      <c r="AD29" s="178">
        <f t="shared" si="19"/>
        <v>0</v>
      </c>
      <c r="AE29" s="79"/>
    </row>
    <row r="30" spans="1:31" s="2" customFormat="1" ht="79.95" customHeight="1" outlineLevel="2">
      <c r="A30" s="238"/>
      <c r="B30" s="7" t="s">
        <v>62</v>
      </c>
      <c r="C30" s="114">
        <f>3000+24140</f>
        <v>27140</v>
      </c>
      <c r="D30" s="113">
        <v>3500</v>
      </c>
      <c r="E30" s="106">
        <f t="shared" si="6"/>
        <v>30640</v>
      </c>
      <c r="F30" s="178">
        <f t="shared" si="14"/>
        <v>1.1859480636804566E-2</v>
      </c>
      <c r="G30" s="39">
        <v>0</v>
      </c>
      <c r="H30" s="39">
        <v>8000</v>
      </c>
      <c r="I30" s="210">
        <f t="shared" si="13"/>
        <v>8000</v>
      </c>
      <c r="J30" s="178">
        <f t="shared" si="15"/>
        <v>8.3510663093987244E-3</v>
      </c>
      <c r="K30" s="79"/>
      <c r="L30" s="39"/>
      <c r="M30" s="39"/>
      <c r="N30" s="210">
        <f t="shared" si="9"/>
        <v>0</v>
      </c>
      <c r="O30" s="178" t="e">
        <f t="shared" si="16"/>
        <v>#DIV/0!</v>
      </c>
      <c r="P30" s="79"/>
      <c r="Q30" s="39"/>
      <c r="R30" s="39"/>
      <c r="S30" s="210">
        <f t="shared" si="17"/>
        <v>0</v>
      </c>
      <c r="T30" s="178">
        <f t="shared" si="3"/>
        <v>0</v>
      </c>
      <c r="U30" s="79"/>
      <c r="V30" s="39"/>
      <c r="W30" s="39"/>
      <c r="X30" s="210">
        <f t="shared" si="18"/>
        <v>0</v>
      </c>
      <c r="Y30" s="178">
        <f t="shared" si="4"/>
        <v>0</v>
      </c>
      <c r="Z30" s="79"/>
      <c r="AA30" s="39">
        <f t="shared" si="7"/>
        <v>0</v>
      </c>
      <c r="AB30" s="39">
        <f t="shared" si="8"/>
        <v>8000</v>
      </c>
      <c r="AC30" s="210">
        <f t="shared" si="12"/>
        <v>8000</v>
      </c>
      <c r="AD30" s="178">
        <f t="shared" si="19"/>
        <v>7.9700901207460043E-3</v>
      </c>
      <c r="AE30" s="79"/>
    </row>
    <row r="31" spans="1:31" s="2" customFormat="1" ht="45.6" customHeight="1" outlineLevel="2">
      <c r="A31" s="238"/>
      <c r="B31" s="7" t="s">
        <v>34</v>
      </c>
      <c r="C31" s="114">
        <f>42821+5000</f>
        <v>47821</v>
      </c>
      <c r="D31" s="113">
        <v>10000</v>
      </c>
      <c r="E31" s="106">
        <f t="shared" si="6"/>
        <v>57821</v>
      </c>
      <c r="F31" s="178">
        <f t="shared" si="14"/>
        <v>2.2380124996758382E-2</v>
      </c>
      <c r="G31" s="39">
        <v>6908.23</v>
      </c>
      <c r="H31" s="39">
        <v>0</v>
      </c>
      <c r="I31" s="210">
        <f t="shared" si="13"/>
        <v>6908.23</v>
      </c>
      <c r="J31" s="178">
        <f t="shared" si="15"/>
        <v>7.211385851322194E-3</v>
      </c>
      <c r="K31" s="79"/>
      <c r="L31" s="39"/>
      <c r="M31" s="39"/>
      <c r="N31" s="210">
        <f t="shared" si="9"/>
        <v>0</v>
      </c>
      <c r="O31" s="178" t="e">
        <f t="shared" si="16"/>
        <v>#DIV/0!</v>
      </c>
      <c r="P31" s="79"/>
      <c r="Q31" s="39"/>
      <c r="R31" s="39"/>
      <c r="S31" s="210">
        <f t="shared" si="17"/>
        <v>0</v>
      </c>
      <c r="T31" s="178">
        <f t="shared" si="3"/>
        <v>0</v>
      </c>
      <c r="U31" s="79"/>
      <c r="V31" s="39"/>
      <c r="W31" s="39"/>
      <c r="X31" s="210">
        <f t="shared" si="18"/>
        <v>0</v>
      </c>
      <c r="Y31" s="178">
        <f t="shared" si="4"/>
        <v>0</v>
      </c>
      <c r="Z31" s="79"/>
      <c r="AA31" s="39">
        <f t="shared" si="7"/>
        <v>6908.23</v>
      </c>
      <c r="AB31" s="39">
        <f t="shared" si="8"/>
        <v>0</v>
      </c>
      <c r="AC31" s="210">
        <f t="shared" si="12"/>
        <v>6908.23</v>
      </c>
      <c r="AD31" s="178">
        <f t="shared" si="19"/>
        <v>6.8824019593551455E-3</v>
      </c>
      <c r="AE31" s="79"/>
    </row>
    <row r="32" spans="1:31" s="2" customFormat="1" ht="14.4" customHeight="1" outlineLevel="2">
      <c r="A32" s="238"/>
      <c r="B32" s="32" t="s">
        <v>2</v>
      </c>
      <c r="C32" s="115">
        <v>18000</v>
      </c>
      <c r="D32" s="116">
        <v>291500</v>
      </c>
      <c r="E32" s="106">
        <f t="shared" si="6"/>
        <v>309500</v>
      </c>
      <c r="F32" s="178">
        <f t="shared" si="14"/>
        <v>0.11979468854735684</v>
      </c>
      <c r="G32" s="39">
        <v>0</v>
      </c>
      <c r="H32" s="39">
        <v>0</v>
      </c>
      <c r="I32" s="210">
        <f t="shared" si="13"/>
        <v>0</v>
      </c>
      <c r="J32" s="178">
        <f t="shared" si="15"/>
        <v>0</v>
      </c>
      <c r="K32" s="79"/>
      <c r="L32" s="39"/>
      <c r="M32" s="39"/>
      <c r="N32" s="210">
        <f t="shared" si="9"/>
        <v>0</v>
      </c>
      <c r="O32" s="178" t="e">
        <f t="shared" si="16"/>
        <v>#DIV/0!</v>
      </c>
      <c r="P32" s="79"/>
      <c r="Q32" s="39"/>
      <c r="R32" s="39">
        <v>40800</v>
      </c>
      <c r="S32" s="210">
        <f t="shared" si="17"/>
        <v>40800</v>
      </c>
      <c r="T32" s="178">
        <f t="shared" si="3"/>
        <v>0.89099959701055098</v>
      </c>
      <c r="U32" s="79"/>
      <c r="V32" s="39"/>
      <c r="W32" s="39"/>
      <c r="X32" s="210">
        <f t="shared" si="18"/>
        <v>0</v>
      </c>
      <c r="Y32" s="178">
        <f t="shared" si="4"/>
        <v>0</v>
      </c>
      <c r="Z32" s="79"/>
      <c r="AA32" s="39">
        <f t="shared" si="7"/>
        <v>0</v>
      </c>
      <c r="AB32" s="39">
        <f t="shared" si="8"/>
        <v>40800</v>
      </c>
      <c r="AC32" s="210">
        <f t="shared" si="12"/>
        <v>40800</v>
      </c>
      <c r="AD32" s="178">
        <f t="shared" si="19"/>
        <v>4.0647459615804619E-2</v>
      </c>
      <c r="AE32" s="79"/>
    </row>
    <row r="33" spans="1:31" s="2" customFormat="1" ht="31.95" customHeight="1" outlineLevel="2" thickBot="1">
      <c r="A33" s="238"/>
      <c r="B33" s="32" t="s">
        <v>75</v>
      </c>
      <c r="C33" s="115"/>
      <c r="D33" s="116"/>
      <c r="E33" s="106">
        <f t="shared" si="6"/>
        <v>0</v>
      </c>
      <c r="F33" s="178">
        <f t="shared" si="14"/>
        <v>0</v>
      </c>
      <c r="G33" s="39">
        <v>0</v>
      </c>
      <c r="H33" s="39">
        <v>0</v>
      </c>
      <c r="I33" s="210">
        <f t="shared" si="13"/>
        <v>0</v>
      </c>
      <c r="J33" s="178">
        <f t="shared" si="15"/>
        <v>0</v>
      </c>
      <c r="K33" s="79"/>
      <c r="L33" s="39"/>
      <c r="M33" s="39"/>
      <c r="N33" s="210">
        <f t="shared" si="9"/>
        <v>0</v>
      </c>
      <c r="O33" s="178" t="e">
        <f t="shared" si="16"/>
        <v>#DIV/0!</v>
      </c>
      <c r="P33" s="79"/>
      <c r="Q33" s="39"/>
      <c r="R33" s="39"/>
      <c r="S33" s="210">
        <f t="shared" si="17"/>
        <v>0</v>
      </c>
      <c r="T33" s="178">
        <f t="shared" si="3"/>
        <v>0</v>
      </c>
      <c r="U33" s="79"/>
      <c r="V33" s="39"/>
      <c r="W33" s="39"/>
      <c r="X33" s="210">
        <f t="shared" si="18"/>
        <v>0</v>
      </c>
      <c r="Y33" s="178">
        <f t="shared" si="4"/>
        <v>0</v>
      </c>
      <c r="Z33" s="79"/>
      <c r="AA33" s="39">
        <f t="shared" si="7"/>
        <v>0</v>
      </c>
      <c r="AB33" s="39">
        <f t="shared" si="8"/>
        <v>0</v>
      </c>
      <c r="AC33" s="210">
        <f t="shared" si="12"/>
        <v>0</v>
      </c>
      <c r="AD33" s="178">
        <f t="shared" si="19"/>
        <v>0</v>
      </c>
      <c r="AE33" s="79"/>
    </row>
    <row r="34" spans="1:31" s="2" customFormat="1" ht="13.8" outlineLevel="2">
      <c r="A34" s="238"/>
      <c r="B34" s="12"/>
      <c r="C34" s="46"/>
      <c r="D34" s="47"/>
      <c r="E34" s="48"/>
      <c r="F34" s="179"/>
      <c r="G34" s="48"/>
      <c r="H34" s="48"/>
      <c r="I34" s="48"/>
      <c r="J34" s="48"/>
      <c r="K34" s="48"/>
      <c r="L34" s="39"/>
      <c r="M34" s="39"/>
      <c r="N34" s="48"/>
      <c r="O34" s="48"/>
      <c r="P34" s="48"/>
      <c r="Q34" s="39"/>
      <c r="R34" s="39"/>
      <c r="S34" s="48"/>
      <c r="T34" s="48"/>
      <c r="U34" s="48"/>
      <c r="V34" s="39"/>
      <c r="W34" s="39"/>
      <c r="X34" s="48"/>
      <c r="Y34" s="48"/>
      <c r="Z34" s="48"/>
      <c r="AA34" s="39"/>
      <c r="AB34" s="39"/>
      <c r="AC34" s="48"/>
      <c r="AD34" s="48"/>
      <c r="AE34" s="48"/>
    </row>
    <row r="35" spans="1:31" s="88" customFormat="1" ht="13.8" outlineLevel="1">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91"/>
      <c r="P35" s="91"/>
      <c r="Q35" s="90">
        <f>Q36</f>
        <v>0</v>
      </c>
      <c r="R35" s="90">
        <f>R36</f>
        <v>0</v>
      </c>
      <c r="S35" s="91">
        <f>S36</f>
        <v>0</v>
      </c>
      <c r="T35" s="91"/>
      <c r="U35" s="91"/>
      <c r="V35" s="90">
        <f>V36</f>
        <v>0</v>
      </c>
      <c r="W35" s="90">
        <f>W36</f>
        <v>0</v>
      </c>
      <c r="X35" s="91">
        <f>X36</f>
        <v>0</v>
      </c>
      <c r="Y35" s="91"/>
      <c r="Z35" s="91"/>
      <c r="AA35" s="90">
        <f>AA36</f>
        <v>0</v>
      </c>
      <c r="AB35" s="90">
        <f>AB36</f>
        <v>0</v>
      </c>
      <c r="AC35" s="91">
        <f>AC36</f>
        <v>0</v>
      </c>
      <c r="AD35" s="91"/>
      <c r="AE35" s="91"/>
    </row>
    <row r="36" spans="1:31" s="226" customFormat="1" ht="13.8" outlineLevel="3">
      <c r="A36" s="238"/>
      <c r="B36" s="19" t="s">
        <v>81</v>
      </c>
      <c r="C36" s="43"/>
      <c r="D36" s="49"/>
      <c r="E36" s="106">
        <f>C36+D36</f>
        <v>0</v>
      </c>
      <c r="F36" s="178">
        <f>E36/$E$89</f>
        <v>0</v>
      </c>
      <c r="G36" s="39"/>
      <c r="H36" s="39"/>
      <c r="I36" s="106">
        <f>G36+H36*1</f>
        <v>0</v>
      </c>
      <c r="J36" s="178">
        <f>I36/$I$89</f>
        <v>0</v>
      </c>
      <c r="K36" s="45"/>
      <c r="L36" s="39"/>
      <c r="M36" s="39"/>
      <c r="N36" s="106">
        <f>L36+M36*1</f>
        <v>0</v>
      </c>
      <c r="O36" s="178" t="e">
        <f>N36/$N$89</f>
        <v>#DIV/0!</v>
      </c>
      <c r="P36" s="45"/>
      <c r="Q36" s="39"/>
      <c r="R36" s="39"/>
      <c r="S36" s="106">
        <f>Q36+R36*1</f>
        <v>0</v>
      </c>
      <c r="T36" s="178" t="e">
        <f>S36/$N$89</f>
        <v>#DIV/0!</v>
      </c>
      <c r="U36" s="45"/>
      <c r="V36" s="39"/>
      <c r="W36" s="39"/>
      <c r="X36" s="106">
        <f>V36+W36*1</f>
        <v>0</v>
      </c>
      <c r="Y36" s="178" t="e">
        <f>X36/$N$89</f>
        <v>#DIV/0!</v>
      </c>
      <c r="Z36" s="45"/>
      <c r="AA36" s="39">
        <f>G36+L36</f>
        <v>0</v>
      </c>
      <c r="AB36" s="39">
        <f>H36+M36</f>
        <v>0</v>
      </c>
      <c r="AC36" s="106">
        <f>AA36+AB36*1</f>
        <v>0</v>
      </c>
      <c r="AD36" s="178">
        <f>AC36/$AC$89</f>
        <v>0</v>
      </c>
      <c r="AE36" s="45"/>
    </row>
    <row r="37" spans="1:31" s="2" customFormat="1" ht="14.4" outlineLevel="1" thickBot="1">
      <c r="A37" s="4"/>
      <c r="B37" s="14"/>
      <c r="C37" s="50"/>
      <c r="D37" s="51"/>
      <c r="E37" s="52"/>
      <c r="F37" s="181"/>
      <c r="G37" s="52"/>
      <c r="H37" s="52"/>
      <c r="I37" s="52"/>
      <c r="J37" s="52"/>
      <c r="K37" s="52"/>
      <c r="L37" s="39"/>
      <c r="M37" s="39"/>
      <c r="N37" s="52"/>
      <c r="O37" s="52"/>
      <c r="P37" s="52"/>
      <c r="Q37" s="39"/>
      <c r="R37" s="39"/>
      <c r="S37" s="52"/>
      <c r="T37" s="52"/>
      <c r="U37" s="52"/>
      <c r="V37" s="39"/>
      <c r="W37" s="39"/>
      <c r="X37" s="52"/>
      <c r="Y37" s="52"/>
      <c r="Z37" s="52"/>
      <c r="AA37" s="39"/>
      <c r="AB37" s="39"/>
      <c r="AC37" s="52"/>
      <c r="AD37" s="52"/>
      <c r="AE37" s="52"/>
    </row>
    <row r="38" spans="1:31" ht="14.4" thickBot="1">
      <c r="A38" s="33"/>
      <c r="B38" s="34" t="s">
        <v>46</v>
      </c>
      <c r="C38" s="53">
        <f>(C5)-(C8)</f>
        <v>905192</v>
      </c>
      <c r="D38" s="53">
        <f>(D5)-(D8)</f>
        <v>-484395</v>
      </c>
      <c r="E38" s="53">
        <f>(E5)-(E8)</f>
        <v>420797</v>
      </c>
      <c r="F38" s="166"/>
      <c r="G38" s="53">
        <f>(G5)-(G8)</f>
        <v>1685561.2059999998</v>
      </c>
      <c r="H38" s="53">
        <f>(H5)-(H8)</f>
        <v>-31035.5</v>
      </c>
      <c r="I38" s="53">
        <f>(I5)-(I8)</f>
        <v>1654525.7059999998</v>
      </c>
      <c r="J38" s="53"/>
      <c r="K38" s="53"/>
      <c r="L38" s="53">
        <f>(L5)-(L8)</f>
        <v>0</v>
      </c>
      <c r="M38" s="53">
        <f>(M5)-(M8)</f>
        <v>0</v>
      </c>
      <c r="N38" s="53">
        <f>(N5)-(N8)</f>
        <v>0</v>
      </c>
      <c r="O38" s="53"/>
      <c r="P38" s="53"/>
      <c r="Q38" s="53">
        <f>(Q5)-(Q8)</f>
        <v>0</v>
      </c>
      <c r="R38" s="53">
        <f>(R5)-(R8)</f>
        <v>-40800</v>
      </c>
      <c r="S38" s="53">
        <f>(S5)-(S8)</f>
        <v>-40800</v>
      </c>
      <c r="T38" s="53"/>
      <c r="U38" s="53"/>
      <c r="V38" s="53">
        <f>(V5)-(V8)</f>
        <v>0</v>
      </c>
      <c r="W38" s="53">
        <f>(W5)-(W8)</f>
        <v>0</v>
      </c>
      <c r="X38" s="53">
        <f>(X5)-(X8)</f>
        <v>0</v>
      </c>
      <c r="Y38" s="53"/>
      <c r="Z38" s="53"/>
      <c r="AA38" s="53">
        <f>(AA5)-(AA8)</f>
        <v>1685561.2059999998</v>
      </c>
      <c r="AB38" s="53">
        <f>(AB5)-(AB8)</f>
        <v>-71835.5</v>
      </c>
      <c r="AC38" s="53">
        <f>(AC5)-(AC8)</f>
        <v>1613725.7059999998</v>
      </c>
      <c r="AD38" s="53"/>
      <c r="AE38" s="53"/>
    </row>
    <row r="39" spans="1:31" ht="13.8">
      <c r="A39" s="293"/>
      <c r="B39" s="15" t="s">
        <v>47</v>
      </c>
      <c r="C39" s="157">
        <f>C38/(C5)</f>
        <v>0.38150212521152016</v>
      </c>
      <c r="D39" s="157">
        <f>D38/(D5)</f>
        <v>-0.85733628318584065</v>
      </c>
      <c r="E39" s="158">
        <f>E38/(E5)</f>
        <v>0.14324004622656122</v>
      </c>
      <c r="F39" s="167"/>
      <c r="G39" s="54">
        <f>G38/(G5)</f>
        <v>0.65404211872089102</v>
      </c>
      <c r="H39" s="54" t="e">
        <f>H38/(H5)</f>
        <v>#DIV/0!</v>
      </c>
      <c r="I39" s="55">
        <f>I38/(I5)</f>
        <v>0.64199952774092151</v>
      </c>
      <c r="J39" s="55"/>
      <c r="K39" s="55"/>
      <c r="L39" s="54" t="e">
        <f>L38/(L5)</f>
        <v>#DIV/0!</v>
      </c>
      <c r="M39" s="54" t="e">
        <f>M38/(M5)</f>
        <v>#DIV/0!</v>
      </c>
      <c r="N39" s="55" t="e">
        <f>N38/(N5)</f>
        <v>#DIV/0!</v>
      </c>
      <c r="O39" s="55"/>
      <c r="P39" s="55"/>
      <c r="Q39" s="54" t="e">
        <f>Q38/(Q5)</f>
        <v>#DIV/0!</v>
      </c>
      <c r="R39" s="54" t="e">
        <f>R38/(R5)</f>
        <v>#DIV/0!</v>
      </c>
      <c r="S39" s="55" t="e">
        <f>S38/(S5)</f>
        <v>#DIV/0!</v>
      </c>
      <c r="T39" s="55"/>
      <c r="U39" s="55"/>
      <c r="V39" s="54" t="e">
        <f>V38/(V5)</f>
        <v>#DIV/0!</v>
      </c>
      <c r="W39" s="54" t="e">
        <f>W38/(W5)</f>
        <v>#DIV/0!</v>
      </c>
      <c r="X39" s="55" t="e">
        <f>X38/(X5)</f>
        <v>#DIV/0!</v>
      </c>
      <c r="Y39" s="55"/>
      <c r="Z39" s="55"/>
      <c r="AA39" s="54">
        <f>AA38/(AA5)</f>
        <v>0.65404211872089102</v>
      </c>
      <c r="AB39" s="54" t="e">
        <f>AB38/(AB5)</f>
        <v>#DIV/0!</v>
      </c>
      <c r="AC39" s="55">
        <f>AC38/(AC5)</f>
        <v>0.62616805371979223</v>
      </c>
      <c r="AD39" s="55"/>
      <c r="AE39" s="55"/>
    </row>
    <row r="40" spans="1:31" ht="14.4" outlineLevel="1" thickBot="1">
      <c r="A40" s="295"/>
      <c r="B40" s="16"/>
      <c r="C40" s="56"/>
      <c r="D40" s="57"/>
      <c r="E40" s="58"/>
      <c r="F40" s="16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row>
    <row r="41" spans="1:31" ht="13.8" outlineLevel="1">
      <c r="A41" s="11"/>
      <c r="B41" s="22" t="s">
        <v>26</v>
      </c>
      <c r="C41" s="117">
        <f>SUM(C42:C48)</f>
        <v>1105</v>
      </c>
      <c r="D41" s="117">
        <f>SUM(D42:D48)</f>
        <v>0</v>
      </c>
      <c r="E41" s="118">
        <f>SUM(E42:E48)</f>
        <v>1105</v>
      </c>
      <c r="F41" s="169">
        <f t="shared" ref="F41:F48" si="20">E41/$E$89</f>
        <v>4.2769993810930305E-4</v>
      </c>
      <c r="G41" s="117">
        <f>SUM(G42:G48)</f>
        <v>63</v>
      </c>
      <c r="H41" s="117">
        <f>SUM(H42:H48)</f>
        <v>0</v>
      </c>
      <c r="I41" s="118">
        <f>SUM(I42:I48)</f>
        <v>63</v>
      </c>
      <c r="J41" s="169">
        <f t="shared" ref="J41:J49" si="21">I41/$I$89</f>
        <v>6.5764647186514953E-5</v>
      </c>
      <c r="K41" s="60"/>
      <c r="L41" s="117">
        <f>SUM(L42:L48)</f>
        <v>0</v>
      </c>
      <c r="M41" s="117">
        <f>SUM(M42:M48)</f>
        <v>0</v>
      </c>
      <c r="N41" s="118">
        <f>SUM(N42:N48)</f>
        <v>0</v>
      </c>
      <c r="O41" s="169" t="e">
        <f t="shared" ref="O41:O49" si="22">N41/$N$89</f>
        <v>#DIV/0!</v>
      </c>
      <c r="P41" s="60"/>
      <c r="Q41" s="117">
        <f>SUM(Q42:Q48)</f>
        <v>0</v>
      </c>
      <c r="R41" s="117">
        <f>SUM(R42:R48)</f>
        <v>0</v>
      </c>
      <c r="S41" s="118">
        <f>SUM(S42:S48)</f>
        <v>0</v>
      </c>
      <c r="T41" s="169">
        <f t="shared" ref="T41:T52" si="23">S41/$S$89</f>
        <v>0</v>
      </c>
      <c r="U41" s="60"/>
      <c r="V41" s="117">
        <f>SUM(V42:V48)</f>
        <v>0</v>
      </c>
      <c r="W41" s="117">
        <f>SUM(W42:W48)</f>
        <v>0</v>
      </c>
      <c r="X41" s="118">
        <f>SUM(X42:X48)</f>
        <v>0</v>
      </c>
      <c r="Y41" s="169">
        <f t="shared" ref="Y41:Y52" si="24">X41/$S$89</f>
        <v>0</v>
      </c>
      <c r="Z41" s="60"/>
      <c r="AA41" s="117">
        <f>SUM(AA42:AA48)</f>
        <v>63</v>
      </c>
      <c r="AB41" s="117">
        <f>SUM(AB42:AB48)</f>
        <v>0</v>
      </c>
      <c r="AC41" s="118">
        <f>SUM(AC42:AC48)</f>
        <v>63</v>
      </c>
      <c r="AD41" s="169">
        <f>AC41/$AC$89</f>
        <v>6.2764459700874776E-5</v>
      </c>
      <c r="AE41" s="60"/>
    </row>
    <row r="42" spans="1:31" ht="43.2" customHeight="1" outlineLevel="2">
      <c r="A42" s="4833"/>
      <c r="B42" s="18" t="s">
        <v>7</v>
      </c>
      <c r="C42" s="113"/>
      <c r="D42" s="119"/>
      <c r="E42" s="120">
        <f t="shared" ref="E42:E48" si="25">C42+D42</f>
        <v>0</v>
      </c>
      <c r="F42" s="178">
        <f t="shared" si="20"/>
        <v>0</v>
      </c>
      <c r="G42" s="39"/>
      <c r="H42" s="39"/>
      <c r="I42" s="106">
        <f t="shared" ref="I42:I48" si="26">G42+H42*1</f>
        <v>0</v>
      </c>
      <c r="J42" s="178">
        <f t="shared" si="21"/>
        <v>0</v>
      </c>
      <c r="K42" s="79"/>
      <c r="L42" s="39"/>
      <c r="M42" s="39"/>
      <c r="N42" s="106">
        <f t="shared" ref="N42:N48" si="27">L42+M42*1</f>
        <v>0</v>
      </c>
      <c r="O42" s="178" t="e">
        <f t="shared" si="22"/>
        <v>#DIV/0!</v>
      </c>
      <c r="P42" s="79"/>
      <c r="Q42" s="39"/>
      <c r="R42" s="39"/>
      <c r="S42" s="106">
        <f t="shared" ref="S42:S48" si="28">Q42+R42*1</f>
        <v>0</v>
      </c>
      <c r="T42" s="178">
        <f t="shared" si="23"/>
        <v>0</v>
      </c>
      <c r="U42" s="79"/>
      <c r="V42" s="39"/>
      <c r="W42" s="39"/>
      <c r="X42" s="106">
        <f t="shared" ref="X42:X48" si="29">V42+W42*1</f>
        <v>0</v>
      </c>
      <c r="Y42" s="178">
        <f t="shared" si="24"/>
        <v>0</v>
      </c>
      <c r="Z42" s="79"/>
      <c r="AA42" s="39">
        <f t="shared" ref="AA42:AA48" si="30">G42+L42+Q42+V42</f>
        <v>0</v>
      </c>
      <c r="AB42" s="39">
        <f t="shared" ref="AB42:AB48" si="31">H42+M42+R42+W42</f>
        <v>0</v>
      </c>
      <c r="AC42" s="106">
        <f t="shared" ref="AC42:AC48" si="32">AA42+AB42*1</f>
        <v>0</v>
      </c>
      <c r="AD42" s="178">
        <f t="shared" ref="AD42:AD49" si="33">AC42/$AC$89</f>
        <v>0</v>
      </c>
      <c r="AE42" s="79"/>
    </row>
    <row r="43" spans="1:31" ht="13.8" outlineLevel="2">
      <c r="A43" s="4833"/>
      <c r="B43" s="18" t="s">
        <v>27</v>
      </c>
      <c r="C43" s="113"/>
      <c r="D43" s="119"/>
      <c r="E43" s="120">
        <f t="shared" si="25"/>
        <v>0</v>
      </c>
      <c r="F43" s="178">
        <f t="shared" si="20"/>
        <v>0</v>
      </c>
      <c r="G43" s="39"/>
      <c r="H43" s="39"/>
      <c r="I43" s="106">
        <f t="shared" si="26"/>
        <v>0</v>
      </c>
      <c r="J43" s="178">
        <f t="shared" si="21"/>
        <v>0</v>
      </c>
      <c r="K43" s="79"/>
      <c r="L43" s="39"/>
      <c r="M43" s="39"/>
      <c r="N43" s="106">
        <f t="shared" si="27"/>
        <v>0</v>
      </c>
      <c r="O43" s="178" t="e">
        <f t="shared" si="22"/>
        <v>#DIV/0!</v>
      </c>
      <c r="P43" s="79"/>
      <c r="Q43" s="39"/>
      <c r="R43" s="39"/>
      <c r="S43" s="106">
        <f t="shared" si="28"/>
        <v>0</v>
      </c>
      <c r="T43" s="178">
        <f t="shared" si="23"/>
        <v>0</v>
      </c>
      <c r="U43" s="79"/>
      <c r="V43" s="39"/>
      <c r="W43" s="39"/>
      <c r="X43" s="106">
        <f t="shared" si="29"/>
        <v>0</v>
      </c>
      <c r="Y43" s="178">
        <f t="shared" si="24"/>
        <v>0</v>
      </c>
      <c r="Z43" s="79"/>
      <c r="AA43" s="39">
        <f t="shared" si="30"/>
        <v>0</v>
      </c>
      <c r="AB43" s="39">
        <f t="shared" si="31"/>
        <v>0</v>
      </c>
      <c r="AC43" s="106">
        <f t="shared" si="32"/>
        <v>0</v>
      </c>
      <c r="AD43" s="178">
        <f t="shared" si="33"/>
        <v>0</v>
      </c>
      <c r="AE43" s="79"/>
    </row>
    <row r="44" spans="1:31" ht="67.2" customHeight="1" outlineLevel="2">
      <c r="A44" s="4833"/>
      <c r="B44" s="19" t="s">
        <v>28</v>
      </c>
      <c r="C44" s="113">
        <v>575</v>
      </c>
      <c r="D44" s="119"/>
      <c r="E44" s="120">
        <f t="shared" si="25"/>
        <v>575</v>
      </c>
      <c r="F44" s="178">
        <f t="shared" si="20"/>
        <v>2.2255879132384549E-4</v>
      </c>
      <c r="G44" s="39"/>
      <c r="H44" s="39"/>
      <c r="I44" s="106">
        <f t="shared" si="26"/>
        <v>0</v>
      </c>
      <c r="J44" s="178">
        <f t="shared" si="21"/>
        <v>0</v>
      </c>
      <c r="K44" s="79"/>
      <c r="L44" s="39"/>
      <c r="M44" s="39"/>
      <c r="N44" s="106">
        <f t="shared" si="27"/>
        <v>0</v>
      </c>
      <c r="O44" s="178" t="e">
        <f t="shared" si="22"/>
        <v>#DIV/0!</v>
      </c>
      <c r="P44" s="79"/>
      <c r="Q44" s="39"/>
      <c r="R44" s="39"/>
      <c r="S44" s="106">
        <f t="shared" si="28"/>
        <v>0</v>
      </c>
      <c r="T44" s="178">
        <f t="shared" si="23"/>
        <v>0</v>
      </c>
      <c r="U44" s="79"/>
      <c r="V44" s="39"/>
      <c r="W44" s="39"/>
      <c r="X44" s="106">
        <f t="shared" si="29"/>
        <v>0</v>
      </c>
      <c r="Y44" s="178">
        <f t="shared" si="24"/>
        <v>0</v>
      </c>
      <c r="Z44" s="79"/>
      <c r="AA44" s="39">
        <f t="shared" si="30"/>
        <v>0</v>
      </c>
      <c r="AB44" s="39">
        <f t="shared" si="31"/>
        <v>0</v>
      </c>
      <c r="AC44" s="106">
        <f t="shared" si="32"/>
        <v>0</v>
      </c>
      <c r="AD44" s="178">
        <f t="shared" si="33"/>
        <v>0</v>
      </c>
      <c r="AE44" s="79"/>
    </row>
    <row r="45" spans="1:31" ht="13.8" outlineLevel="2">
      <c r="A45" s="4833"/>
      <c r="B45" s="18" t="s">
        <v>8</v>
      </c>
      <c r="C45" s="113"/>
      <c r="D45" s="119"/>
      <c r="E45" s="120">
        <f t="shared" si="25"/>
        <v>0</v>
      </c>
      <c r="F45" s="178">
        <f t="shared" si="20"/>
        <v>0</v>
      </c>
      <c r="G45" s="39"/>
      <c r="H45" s="39"/>
      <c r="I45" s="106">
        <f t="shared" si="26"/>
        <v>0</v>
      </c>
      <c r="J45" s="178">
        <f t="shared" si="21"/>
        <v>0</v>
      </c>
      <c r="K45" s="79"/>
      <c r="L45" s="39"/>
      <c r="M45" s="39"/>
      <c r="N45" s="106">
        <f t="shared" si="27"/>
        <v>0</v>
      </c>
      <c r="O45" s="178" t="e">
        <f t="shared" si="22"/>
        <v>#DIV/0!</v>
      </c>
      <c r="P45" s="79"/>
      <c r="Q45" s="39"/>
      <c r="R45" s="39"/>
      <c r="S45" s="106">
        <f t="shared" si="28"/>
        <v>0</v>
      </c>
      <c r="T45" s="178">
        <f t="shared" si="23"/>
        <v>0</v>
      </c>
      <c r="U45" s="79"/>
      <c r="V45" s="39"/>
      <c r="W45" s="39"/>
      <c r="X45" s="106">
        <f t="shared" si="29"/>
        <v>0</v>
      </c>
      <c r="Y45" s="178">
        <f t="shared" si="24"/>
        <v>0</v>
      </c>
      <c r="Z45" s="79"/>
      <c r="AA45" s="39">
        <f t="shared" si="30"/>
        <v>0</v>
      </c>
      <c r="AB45" s="39">
        <f t="shared" si="31"/>
        <v>0</v>
      </c>
      <c r="AC45" s="106">
        <f t="shared" si="32"/>
        <v>0</v>
      </c>
      <c r="AD45" s="178">
        <f t="shared" si="33"/>
        <v>0</v>
      </c>
      <c r="AE45" s="79"/>
    </row>
    <row r="46" spans="1:31" ht="13.8" outlineLevel="2">
      <c r="A46" s="4833"/>
      <c r="B46" s="18" t="s">
        <v>29</v>
      </c>
      <c r="C46" s="113"/>
      <c r="D46" s="119"/>
      <c r="E46" s="120">
        <f t="shared" si="25"/>
        <v>0</v>
      </c>
      <c r="F46" s="178">
        <f t="shared" si="20"/>
        <v>0</v>
      </c>
      <c r="G46" s="39"/>
      <c r="H46" s="39"/>
      <c r="I46" s="106">
        <f t="shared" si="26"/>
        <v>0</v>
      </c>
      <c r="J46" s="178">
        <f t="shared" si="21"/>
        <v>0</v>
      </c>
      <c r="K46" s="79"/>
      <c r="L46" s="39"/>
      <c r="M46" s="39"/>
      <c r="N46" s="106">
        <f t="shared" si="27"/>
        <v>0</v>
      </c>
      <c r="O46" s="178" t="e">
        <f t="shared" si="22"/>
        <v>#DIV/0!</v>
      </c>
      <c r="P46" s="79"/>
      <c r="Q46" s="39"/>
      <c r="R46" s="39"/>
      <c r="S46" s="106">
        <f t="shared" si="28"/>
        <v>0</v>
      </c>
      <c r="T46" s="178">
        <f t="shared" si="23"/>
        <v>0</v>
      </c>
      <c r="U46" s="79"/>
      <c r="V46" s="39"/>
      <c r="W46" s="39"/>
      <c r="X46" s="106">
        <f t="shared" si="29"/>
        <v>0</v>
      </c>
      <c r="Y46" s="178">
        <f t="shared" si="24"/>
        <v>0</v>
      </c>
      <c r="Z46" s="79"/>
      <c r="AA46" s="39">
        <f t="shared" si="30"/>
        <v>0</v>
      </c>
      <c r="AB46" s="39">
        <f t="shared" si="31"/>
        <v>0</v>
      </c>
      <c r="AC46" s="106">
        <f t="shared" si="32"/>
        <v>0</v>
      </c>
      <c r="AD46" s="178">
        <f t="shared" si="33"/>
        <v>0</v>
      </c>
      <c r="AE46" s="79"/>
    </row>
    <row r="47" spans="1:31" ht="13.8" outlineLevel="2">
      <c r="A47" s="4833"/>
      <c r="B47" s="18" t="s">
        <v>30</v>
      </c>
      <c r="C47" s="113"/>
      <c r="D47" s="119"/>
      <c r="E47" s="120">
        <f t="shared" si="25"/>
        <v>0</v>
      </c>
      <c r="F47" s="178">
        <f t="shared" si="20"/>
        <v>0</v>
      </c>
      <c r="G47" s="39">
        <v>63</v>
      </c>
      <c r="H47" s="39"/>
      <c r="I47" s="106">
        <f t="shared" si="26"/>
        <v>63</v>
      </c>
      <c r="J47" s="178">
        <f t="shared" si="21"/>
        <v>6.5764647186514953E-5</v>
      </c>
      <c r="K47" s="79"/>
      <c r="L47" s="39"/>
      <c r="M47" s="39"/>
      <c r="N47" s="106">
        <f t="shared" si="27"/>
        <v>0</v>
      </c>
      <c r="O47" s="178" t="e">
        <f t="shared" si="22"/>
        <v>#DIV/0!</v>
      </c>
      <c r="P47" s="79"/>
      <c r="Q47" s="39"/>
      <c r="R47" s="39"/>
      <c r="S47" s="106">
        <f t="shared" si="28"/>
        <v>0</v>
      </c>
      <c r="T47" s="178">
        <f t="shared" si="23"/>
        <v>0</v>
      </c>
      <c r="U47" s="79"/>
      <c r="V47" s="39"/>
      <c r="W47" s="39"/>
      <c r="X47" s="106">
        <f t="shared" si="29"/>
        <v>0</v>
      </c>
      <c r="Y47" s="178">
        <f t="shared" si="24"/>
        <v>0</v>
      </c>
      <c r="Z47" s="79"/>
      <c r="AA47" s="39">
        <f t="shared" si="30"/>
        <v>63</v>
      </c>
      <c r="AB47" s="39">
        <f t="shared" si="31"/>
        <v>0</v>
      </c>
      <c r="AC47" s="106">
        <f t="shared" si="32"/>
        <v>63</v>
      </c>
      <c r="AD47" s="178">
        <f t="shared" si="33"/>
        <v>6.2764459700874776E-5</v>
      </c>
      <c r="AE47" s="79"/>
    </row>
    <row r="48" spans="1:31" ht="13.8" outlineLevel="2">
      <c r="A48" s="4833"/>
      <c r="B48" s="18" t="s">
        <v>15</v>
      </c>
      <c r="C48" s="113">
        <v>530</v>
      </c>
      <c r="D48" s="119"/>
      <c r="E48" s="120">
        <f t="shared" si="25"/>
        <v>530</v>
      </c>
      <c r="F48" s="178">
        <f t="shared" si="20"/>
        <v>2.0514114678545759E-4</v>
      </c>
      <c r="G48" s="39"/>
      <c r="H48" s="39"/>
      <c r="I48" s="106">
        <f t="shared" si="26"/>
        <v>0</v>
      </c>
      <c r="J48" s="178">
        <f t="shared" si="21"/>
        <v>0</v>
      </c>
      <c r="K48" s="79"/>
      <c r="L48" s="39"/>
      <c r="M48" s="39"/>
      <c r="N48" s="106">
        <f t="shared" si="27"/>
        <v>0</v>
      </c>
      <c r="O48" s="178" t="e">
        <f t="shared" si="22"/>
        <v>#DIV/0!</v>
      </c>
      <c r="P48" s="79"/>
      <c r="Q48" s="39"/>
      <c r="R48" s="39"/>
      <c r="S48" s="106">
        <f t="shared" si="28"/>
        <v>0</v>
      </c>
      <c r="T48" s="178">
        <f t="shared" si="23"/>
        <v>0</v>
      </c>
      <c r="U48" s="79"/>
      <c r="V48" s="39"/>
      <c r="W48" s="39"/>
      <c r="X48" s="106">
        <f t="shared" si="29"/>
        <v>0</v>
      </c>
      <c r="Y48" s="178">
        <f t="shared" si="24"/>
        <v>0</v>
      </c>
      <c r="Z48" s="79"/>
      <c r="AA48" s="39">
        <f t="shared" si="30"/>
        <v>0</v>
      </c>
      <c r="AB48" s="39">
        <f t="shared" si="31"/>
        <v>0</v>
      </c>
      <c r="AC48" s="106">
        <f t="shared" si="32"/>
        <v>0</v>
      </c>
      <c r="AD48" s="178">
        <f t="shared" si="33"/>
        <v>0</v>
      </c>
      <c r="AE48" s="79"/>
    </row>
    <row r="49" spans="1:31" s="2" customFormat="1" ht="14.4" outlineLevel="2" thickBot="1">
      <c r="A49" s="11"/>
      <c r="B49" s="35"/>
      <c r="C49" s="116"/>
      <c r="D49" s="121"/>
      <c r="E49" s="122"/>
      <c r="F49" s="182"/>
      <c r="G49" s="210"/>
      <c r="H49" s="210"/>
      <c r="I49" s="52"/>
      <c r="J49" s="178">
        <f t="shared" si="21"/>
        <v>0</v>
      </c>
      <c r="K49" s="52"/>
      <c r="L49" s="39"/>
      <c r="M49" s="39"/>
      <c r="N49" s="52"/>
      <c r="O49" s="178" t="e">
        <f t="shared" si="22"/>
        <v>#DIV/0!</v>
      </c>
      <c r="P49" s="52"/>
      <c r="Q49" s="39"/>
      <c r="R49" s="39"/>
      <c r="S49" s="52"/>
      <c r="T49" s="178">
        <f t="shared" si="23"/>
        <v>0</v>
      </c>
      <c r="U49" s="52"/>
      <c r="V49" s="39"/>
      <c r="W49" s="39"/>
      <c r="X49" s="52"/>
      <c r="Y49" s="178">
        <f t="shared" si="24"/>
        <v>0</v>
      </c>
      <c r="Z49" s="52"/>
      <c r="AA49" s="39">
        <f>G49+L49+Q49</f>
        <v>0</v>
      </c>
      <c r="AB49" s="39">
        <f>H49+M49+R49</f>
        <v>0</v>
      </c>
      <c r="AC49" s="52"/>
      <c r="AD49" s="178">
        <f t="shared" si="33"/>
        <v>0</v>
      </c>
      <c r="AE49" s="52"/>
    </row>
    <row r="50" spans="1:31" s="2" customFormat="1" ht="13.8" outlineLevel="1">
      <c r="A50" s="293"/>
      <c r="B50" s="17" t="s">
        <v>59</v>
      </c>
      <c r="C50" s="123"/>
      <c r="D50" s="123"/>
      <c r="E50" s="123">
        <f>SUM(E51:E52)</f>
        <v>0</v>
      </c>
      <c r="F50" s="170">
        <f>E50/$E$89</f>
        <v>0</v>
      </c>
      <c r="G50" s="123">
        <f>G52+G51</f>
        <v>0</v>
      </c>
      <c r="H50" s="123">
        <f>H52+H51</f>
        <v>0</v>
      </c>
      <c r="I50" s="123">
        <f>SUM(I51:I52)</f>
        <v>0</v>
      </c>
      <c r="J50" s="60"/>
      <c r="K50" s="60"/>
      <c r="L50" s="123">
        <f>L52+L51</f>
        <v>0</v>
      </c>
      <c r="M50" s="123">
        <f>M52+M51</f>
        <v>0</v>
      </c>
      <c r="N50" s="123">
        <f>SUM(N51:N52)</f>
        <v>0</v>
      </c>
      <c r="O50" s="60"/>
      <c r="P50" s="60"/>
      <c r="Q50" s="123">
        <f>Q52+Q51</f>
        <v>0</v>
      </c>
      <c r="R50" s="123">
        <f>R52+R51</f>
        <v>0</v>
      </c>
      <c r="S50" s="123">
        <f>SUM(S51:S52)</f>
        <v>0</v>
      </c>
      <c r="T50" s="60">
        <f t="shared" si="23"/>
        <v>0</v>
      </c>
      <c r="U50" s="60"/>
      <c r="V50" s="123">
        <f>V52+V51</f>
        <v>0</v>
      </c>
      <c r="W50" s="123">
        <f>W52+W51</f>
        <v>0</v>
      </c>
      <c r="X50" s="123">
        <f>SUM(X51:X52)</f>
        <v>0</v>
      </c>
      <c r="Y50" s="60">
        <f t="shared" si="24"/>
        <v>0</v>
      </c>
      <c r="Z50" s="60"/>
      <c r="AA50" s="123">
        <f>AA52+AA51</f>
        <v>0</v>
      </c>
      <c r="AB50" s="123">
        <f>AB52+AB51</f>
        <v>0</v>
      </c>
      <c r="AC50" s="123">
        <f>SUM(AC51:AC52)</f>
        <v>0</v>
      </c>
      <c r="AD50" s="60"/>
      <c r="AE50" s="60"/>
    </row>
    <row r="51" spans="1:31" s="226" customFormat="1" ht="13.8" outlineLevel="1">
      <c r="A51" s="234"/>
      <c r="B51" s="18" t="s">
        <v>60</v>
      </c>
      <c r="C51" s="113"/>
      <c r="D51" s="119"/>
      <c r="E51" s="119">
        <f>C51+D51</f>
        <v>0</v>
      </c>
      <c r="F51" s="180">
        <f>E51/$E$89</f>
        <v>0</v>
      </c>
      <c r="G51" s="39"/>
      <c r="H51" s="39"/>
      <c r="I51" s="106">
        <f>G51+H51*1</f>
        <v>0</v>
      </c>
      <c r="J51" s="178">
        <f>I51/$I$89</f>
        <v>0</v>
      </c>
      <c r="K51" s="45"/>
      <c r="L51" s="39"/>
      <c r="M51" s="39"/>
      <c r="N51" s="106">
        <f>L51+M51*1</f>
        <v>0</v>
      </c>
      <c r="O51" s="178" t="e">
        <f>N51/$N$89</f>
        <v>#DIV/0!</v>
      </c>
      <c r="P51" s="45"/>
      <c r="Q51" s="39"/>
      <c r="R51" s="39"/>
      <c r="S51" s="106">
        <f>Q51+R51*1</f>
        <v>0</v>
      </c>
      <c r="T51" s="178">
        <f t="shared" si="23"/>
        <v>0</v>
      </c>
      <c r="U51" s="45"/>
      <c r="V51" s="39"/>
      <c r="W51" s="39"/>
      <c r="X51" s="106">
        <f>V51+W51*1</f>
        <v>0</v>
      </c>
      <c r="Y51" s="178">
        <f t="shared" si="24"/>
        <v>0</v>
      </c>
      <c r="Z51" s="45"/>
      <c r="AA51" s="39">
        <f>G51+L51+Q51+V51</f>
        <v>0</v>
      </c>
      <c r="AB51" s="39">
        <f>H51+M51+R51+W51</f>
        <v>0</v>
      </c>
      <c r="AC51" s="106">
        <f>AA51+AB51*1</f>
        <v>0</v>
      </c>
      <c r="AD51" s="178">
        <f>AC51/$AC$89</f>
        <v>0</v>
      </c>
      <c r="AE51" s="45"/>
    </row>
    <row r="52" spans="1:31" s="235" customFormat="1" ht="13.8" outlineLevel="2">
      <c r="A52" s="234"/>
      <c r="B52" s="18" t="s">
        <v>61</v>
      </c>
      <c r="C52" s="113"/>
      <c r="D52" s="119"/>
      <c r="E52" s="119">
        <f>C52+D52</f>
        <v>0</v>
      </c>
      <c r="F52" s="180">
        <f>E52/$E$89</f>
        <v>0</v>
      </c>
      <c r="G52" s="39"/>
      <c r="H52" s="39"/>
      <c r="I52" s="106">
        <f>G52+H52*1</f>
        <v>0</v>
      </c>
      <c r="J52" s="178">
        <f>I52/$I$89</f>
        <v>0</v>
      </c>
      <c r="K52" s="45"/>
      <c r="L52" s="39"/>
      <c r="M52" s="39"/>
      <c r="N52" s="106">
        <f>L52+M52*1</f>
        <v>0</v>
      </c>
      <c r="O52" s="178" t="e">
        <f>N52/$N$89</f>
        <v>#DIV/0!</v>
      </c>
      <c r="P52" s="45"/>
      <c r="Q52" s="39"/>
      <c r="R52" s="39"/>
      <c r="S52" s="106">
        <f>Q52+R52*1</f>
        <v>0</v>
      </c>
      <c r="T52" s="178">
        <f t="shared" si="23"/>
        <v>0</v>
      </c>
      <c r="U52" s="45"/>
      <c r="V52" s="39"/>
      <c r="W52" s="39"/>
      <c r="X52" s="106">
        <f>V52+W52*1</f>
        <v>0</v>
      </c>
      <c r="Y52" s="178">
        <f t="shared" si="24"/>
        <v>0</v>
      </c>
      <c r="Z52" s="45"/>
      <c r="AA52" s="39">
        <f>G52+L52+Q52+V52</f>
        <v>0</v>
      </c>
      <c r="AB52" s="39">
        <f>H52+M52+R52+W52</f>
        <v>0</v>
      </c>
      <c r="AC52" s="106">
        <f>AA52+AB52*1</f>
        <v>0</v>
      </c>
      <c r="AD52" s="178">
        <f>AC52/$AC$89</f>
        <v>0</v>
      </c>
      <c r="AE52" s="45"/>
    </row>
    <row r="53" spans="1:31" ht="14.4" outlineLevel="1" thickBot="1">
      <c r="A53" s="20"/>
      <c r="B53" s="21"/>
      <c r="C53" s="124"/>
      <c r="D53" s="125"/>
      <c r="E53" s="126"/>
      <c r="F53" s="183"/>
      <c r="G53" s="210"/>
      <c r="H53" s="210"/>
      <c r="I53" s="61"/>
      <c r="J53" s="61"/>
      <c r="K53" s="61"/>
      <c r="L53" s="39"/>
      <c r="M53" s="39"/>
      <c r="N53" s="61"/>
      <c r="O53" s="61"/>
      <c r="P53" s="61"/>
      <c r="Q53" s="39"/>
      <c r="R53" s="39"/>
      <c r="S53" s="61"/>
      <c r="T53" s="61"/>
      <c r="U53" s="61"/>
      <c r="V53" s="39"/>
      <c r="W53" s="39"/>
      <c r="X53" s="61"/>
      <c r="Y53" s="61"/>
      <c r="Z53" s="61"/>
      <c r="AA53" s="39"/>
      <c r="AB53" s="39"/>
      <c r="AC53" s="61"/>
      <c r="AD53" s="61"/>
      <c r="AE53" s="61"/>
    </row>
    <row r="54" spans="1:31" ht="13.8" outlineLevel="1">
      <c r="A54" s="236"/>
      <c r="B54" s="17" t="s">
        <v>1</v>
      </c>
      <c r="C54" s="123">
        <f>SUM(C55:C71)</f>
        <v>21550</v>
      </c>
      <c r="D54" s="123">
        <f>SUM(D55:D71)</f>
        <v>44024</v>
      </c>
      <c r="E54" s="127">
        <f>SUM(E55:E71)</f>
        <v>65574</v>
      </c>
      <c r="F54" s="170">
        <f>E54/$E$89</f>
        <v>2.5380991621338861E-2</v>
      </c>
      <c r="G54" s="123">
        <f>SUM(G55:G71)</f>
        <v>10539.59</v>
      </c>
      <c r="H54" s="123">
        <f>SUM(H55:H71)</f>
        <v>18046.830000000002</v>
      </c>
      <c r="I54" s="127">
        <f>SUM(I55:I71)</f>
        <v>28586.42</v>
      </c>
      <c r="J54" s="169">
        <f t="shared" ref="J54:J72" si="34">I54/$I$89</f>
        <v>2.9840886121040237E-2</v>
      </c>
      <c r="K54" s="60"/>
      <c r="L54" s="123">
        <f>SUM(L55:L72)</f>
        <v>0</v>
      </c>
      <c r="M54" s="123">
        <f>SUM(M55:M72)</f>
        <v>0</v>
      </c>
      <c r="N54" s="123">
        <f>SUM(N55:N72)</f>
        <v>0</v>
      </c>
      <c r="O54" s="169" t="e">
        <f t="shared" ref="O54:O72" si="35">N54/$N$89</f>
        <v>#DIV/0!</v>
      </c>
      <c r="P54" s="60"/>
      <c r="Q54" s="123">
        <f>SUM(Q55:Q72)</f>
        <v>0</v>
      </c>
      <c r="R54" s="123">
        <f>SUM(R55:R72)</f>
        <v>0</v>
      </c>
      <c r="S54" s="123">
        <f>SUM(S55:S72)</f>
        <v>0</v>
      </c>
      <c r="T54" s="169">
        <f t="shared" ref="T54:T66" si="36">S54/$S$89</f>
        <v>0</v>
      </c>
      <c r="U54" s="60"/>
      <c r="V54" s="123">
        <f>SUM(V55:V72)</f>
        <v>0</v>
      </c>
      <c r="W54" s="123">
        <f>SUM(W55:W72)</f>
        <v>0</v>
      </c>
      <c r="X54" s="123">
        <f>SUM(X55:X72)</f>
        <v>0</v>
      </c>
      <c r="Y54" s="169">
        <f t="shared" ref="Y54:Y66" si="37">X54/$S$89</f>
        <v>0</v>
      </c>
      <c r="Z54" s="60"/>
      <c r="AA54" s="123">
        <f>SUM(AA55:AA72)</f>
        <v>10539.59</v>
      </c>
      <c r="AB54" s="123">
        <f>SUM(AB55:AB72)</f>
        <v>18046.830000000002</v>
      </c>
      <c r="AC54" s="123">
        <f>SUM(AC55:AC72)</f>
        <v>28586.42</v>
      </c>
      <c r="AD54" s="169">
        <f>AC54/$AC$89</f>
        <v>2.8479542953686994E-2</v>
      </c>
      <c r="AE54" s="60"/>
    </row>
    <row r="55" spans="1:31" ht="13.95" customHeight="1" outlineLevel="2">
      <c r="A55" s="237"/>
      <c r="B55" s="19" t="s">
        <v>77</v>
      </c>
      <c r="C55" s="113"/>
      <c r="D55" s="128"/>
      <c r="E55" s="120">
        <f t="shared" ref="E55:E71" si="38">C55+D55</f>
        <v>0</v>
      </c>
      <c r="F55" s="178">
        <f>E55/$E$89</f>
        <v>0</v>
      </c>
      <c r="G55" s="39">
        <v>0</v>
      </c>
      <c r="H55" s="39">
        <v>0</v>
      </c>
      <c r="I55" s="106">
        <f t="shared" ref="I55:I71" si="39">G55+H55*1</f>
        <v>0</v>
      </c>
      <c r="J55" s="178">
        <f t="shared" si="34"/>
        <v>0</v>
      </c>
      <c r="K55" s="79"/>
      <c r="L55" s="210"/>
      <c r="M55" s="210"/>
      <c r="N55" s="106">
        <f t="shared" ref="N55:N71" si="40">L55+M55*1</f>
        <v>0</v>
      </c>
      <c r="O55" s="178" t="e">
        <f t="shared" si="35"/>
        <v>#DIV/0!</v>
      </c>
      <c r="P55" s="79"/>
      <c r="Q55" s="210"/>
      <c r="R55" s="210"/>
      <c r="S55" s="106">
        <f t="shared" ref="S55:S71" si="41">Q55+R55*1</f>
        <v>0</v>
      </c>
      <c r="T55" s="178">
        <f t="shared" si="36"/>
        <v>0</v>
      </c>
      <c r="U55" s="79"/>
      <c r="V55" s="210"/>
      <c r="W55" s="210"/>
      <c r="X55" s="106">
        <f t="shared" ref="X55:X71" si="42">V55+W55*1</f>
        <v>0</v>
      </c>
      <c r="Y55" s="178">
        <f t="shared" si="37"/>
        <v>0</v>
      </c>
      <c r="Z55" s="79"/>
      <c r="AA55" s="39">
        <f t="shared" ref="AA55:AA71" si="43">G55+L55+Q55+V55</f>
        <v>0</v>
      </c>
      <c r="AB55" s="39">
        <f t="shared" ref="AB55:AB71" si="44">H55+M55+R55+W55</f>
        <v>0</v>
      </c>
      <c r="AC55" s="106">
        <f t="shared" ref="AC55:AC71" si="45">AA55+AB55*1</f>
        <v>0</v>
      </c>
      <c r="AD55" s="178">
        <f t="shared" ref="AD55:AD72" si="46">AC55/$AC$89</f>
        <v>0</v>
      </c>
      <c r="AE55" s="79"/>
    </row>
    <row r="56" spans="1:31" ht="13.95" customHeight="1" outlineLevel="2">
      <c r="A56" s="237"/>
      <c r="B56" s="19" t="s">
        <v>76</v>
      </c>
      <c r="C56" s="113"/>
      <c r="D56" s="128"/>
      <c r="E56" s="120">
        <f t="shared" si="38"/>
        <v>0</v>
      </c>
      <c r="F56" s="178">
        <f t="shared" ref="F56:F72" si="47">E56/$E$89</f>
        <v>0</v>
      </c>
      <c r="G56" s="39">
        <v>0</v>
      </c>
      <c r="H56" s="39">
        <v>0</v>
      </c>
      <c r="I56" s="106">
        <f t="shared" si="39"/>
        <v>0</v>
      </c>
      <c r="J56" s="178">
        <f t="shared" si="34"/>
        <v>0</v>
      </c>
      <c r="K56" s="79"/>
      <c r="L56" s="210"/>
      <c r="M56" s="210"/>
      <c r="N56" s="106">
        <f t="shared" si="40"/>
        <v>0</v>
      </c>
      <c r="O56" s="178" t="e">
        <f t="shared" si="35"/>
        <v>#DIV/0!</v>
      </c>
      <c r="P56" s="79"/>
      <c r="Q56" s="210"/>
      <c r="R56" s="210"/>
      <c r="S56" s="106">
        <f t="shared" si="41"/>
        <v>0</v>
      </c>
      <c r="T56" s="178">
        <f t="shared" si="36"/>
        <v>0</v>
      </c>
      <c r="U56" s="79"/>
      <c r="V56" s="210"/>
      <c r="W56" s="210"/>
      <c r="X56" s="106">
        <f t="shared" si="42"/>
        <v>0</v>
      </c>
      <c r="Y56" s="178">
        <f t="shared" si="37"/>
        <v>0</v>
      </c>
      <c r="Z56" s="79"/>
      <c r="AA56" s="39">
        <f t="shared" si="43"/>
        <v>0</v>
      </c>
      <c r="AB56" s="39">
        <f t="shared" si="44"/>
        <v>0</v>
      </c>
      <c r="AC56" s="106">
        <f t="shared" si="45"/>
        <v>0</v>
      </c>
      <c r="AD56" s="178">
        <f t="shared" si="46"/>
        <v>0</v>
      </c>
      <c r="AE56" s="79"/>
    </row>
    <row r="57" spans="1:31" ht="13.95" customHeight="1" outlineLevel="2">
      <c r="A57" s="237"/>
      <c r="B57" s="19" t="s">
        <v>68</v>
      </c>
      <c r="C57" s="113"/>
      <c r="D57" s="128"/>
      <c r="E57" s="120">
        <f t="shared" si="38"/>
        <v>0</v>
      </c>
      <c r="F57" s="178">
        <f t="shared" si="47"/>
        <v>0</v>
      </c>
      <c r="G57" s="39">
        <v>0</v>
      </c>
      <c r="H57" s="39">
        <v>0</v>
      </c>
      <c r="I57" s="106">
        <f t="shared" si="39"/>
        <v>0</v>
      </c>
      <c r="J57" s="178">
        <f t="shared" si="34"/>
        <v>0</v>
      </c>
      <c r="K57" s="79"/>
      <c r="L57" s="210"/>
      <c r="M57" s="210"/>
      <c r="N57" s="106">
        <f t="shared" si="40"/>
        <v>0</v>
      </c>
      <c r="O57" s="178" t="e">
        <f t="shared" si="35"/>
        <v>#DIV/0!</v>
      </c>
      <c r="P57" s="79"/>
      <c r="Q57" s="210"/>
      <c r="R57" s="210"/>
      <c r="S57" s="106">
        <f t="shared" si="41"/>
        <v>0</v>
      </c>
      <c r="T57" s="178">
        <f t="shared" si="36"/>
        <v>0</v>
      </c>
      <c r="U57" s="79"/>
      <c r="V57" s="210"/>
      <c r="W57" s="210"/>
      <c r="X57" s="106">
        <f t="shared" si="42"/>
        <v>0</v>
      </c>
      <c r="Y57" s="178">
        <f t="shared" si="37"/>
        <v>0</v>
      </c>
      <c r="Z57" s="79"/>
      <c r="AA57" s="39">
        <f t="shared" si="43"/>
        <v>0</v>
      </c>
      <c r="AB57" s="39">
        <f t="shared" si="44"/>
        <v>0</v>
      </c>
      <c r="AC57" s="106">
        <f t="shared" si="45"/>
        <v>0</v>
      </c>
      <c r="AD57" s="178">
        <f t="shared" si="46"/>
        <v>0</v>
      </c>
      <c r="AE57" s="79"/>
    </row>
    <row r="58" spans="1:31" ht="14.4" customHeight="1" outlineLevel="2">
      <c r="A58" s="237"/>
      <c r="B58" s="19" t="s">
        <v>67</v>
      </c>
      <c r="C58" s="113">
        <v>12502</v>
      </c>
      <c r="D58" s="128">
        <v>30924</v>
      </c>
      <c r="E58" s="120">
        <f t="shared" si="38"/>
        <v>43426</v>
      </c>
      <c r="F58" s="178">
        <f t="shared" si="47"/>
        <v>1.6808414038311851E-2</v>
      </c>
      <c r="G58" s="39">
        <v>5232.5</v>
      </c>
      <c r="H58" s="39">
        <v>8517.5</v>
      </c>
      <c r="I58" s="106">
        <f t="shared" si="39"/>
        <v>13750</v>
      </c>
      <c r="J58" s="178">
        <f t="shared" si="34"/>
        <v>1.4353395219279058E-2</v>
      </c>
      <c r="K58" s="79"/>
      <c r="L58" s="210"/>
      <c r="M58" s="210"/>
      <c r="N58" s="106">
        <f t="shared" si="40"/>
        <v>0</v>
      </c>
      <c r="O58" s="178" t="e">
        <f t="shared" si="35"/>
        <v>#DIV/0!</v>
      </c>
      <c r="P58" s="79"/>
      <c r="Q58" s="210"/>
      <c r="R58" s="210"/>
      <c r="S58" s="106">
        <f t="shared" si="41"/>
        <v>0</v>
      </c>
      <c r="T58" s="178">
        <f t="shared" si="36"/>
        <v>0</v>
      </c>
      <c r="U58" s="79"/>
      <c r="V58" s="210"/>
      <c r="W58" s="210"/>
      <c r="X58" s="106">
        <f t="shared" si="42"/>
        <v>0</v>
      </c>
      <c r="Y58" s="178">
        <f t="shared" si="37"/>
        <v>0</v>
      </c>
      <c r="Z58" s="79"/>
      <c r="AA58" s="39">
        <f t="shared" si="43"/>
        <v>5232.5</v>
      </c>
      <c r="AB58" s="39">
        <f t="shared" si="44"/>
        <v>8517.5</v>
      </c>
      <c r="AC58" s="106">
        <f t="shared" si="45"/>
        <v>13750</v>
      </c>
      <c r="AD58" s="178">
        <f t="shared" si="46"/>
        <v>1.3698592395032193E-2</v>
      </c>
      <c r="AE58" s="79"/>
    </row>
    <row r="59" spans="1:31" ht="14.4" customHeight="1" outlineLevel="2">
      <c r="A59" s="237"/>
      <c r="B59" s="19" t="s">
        <v>66</v>
      </c>
      <c r="C59" s="113">
        <v>4739</v>
      </c>
      <c r="D59" s="128"/>
      <c r="E59" s="120">
        <f t="shared" si="38"/>
        <v>4739</v>
      </c>
      <c r="F59" s="178">
        <f t="shared" si="47"/>
        <v>1.8342714992760066E-3</v>
      </c>
      <c r="G59" s="39">
        <v>1267.5</v>
      </c>
      <c r="H59" s="39">
        <v>0</v>
      </c>
      <c r="I59" s="106">
        <f t="shared" si="39"/>
        <v>1267.5</v>
      </c>
      <c r="J59" s="178">
        <f t="shared" si="34"/>
        <v>1.3231220683953605E-3</v>
      </c>
      <c r="K59" s="79"/>
      <c r="L59" s="210"/>
      <c r="M59" s="210"/>
      <c r="N59" s="106">
        <f t="shared" si="40"/>
        <v>0</v>
      </c>
      <c r="O59" s="178" t="e">
        <f t="shared" si="35"/>
        <v>#DIV/0!</v>
      </c>
      <c r="P59" s="79"/>
      <c r="Q59" s="210"/>
      <c r="R59" s="210"/>
      <c r="S59" s="106">
        <f t="shared" si="41"/>
        <v>0</v>
      </c>
      <c r="T59" s="178">
        <f t="shared" si="36"/>
        <v>0</v>
      </c>
      <c r="U59" s="79"/>
      <c r="V59" s="210"/>
      <c r="W59" s="210"/>
      <c r="X59" s="106">
        <f t="shared" si="42"/>
        <v>0</v>
      </c>
      <c r="Y59" s="178">
        <f t="shared" si="37"/>
        <v>0</v>
      </c>
      <c r="Z59" s="79"/>
      <c r="AA59" s="39">
        <f t="shared" si="43"/>
        <v>1267.5</v>
      </c>
      <c r="AB59" s="39">
        <f t="shared" si="44"/>
        <v>0</v>
      </c>
      <c r="AC59" s="106">
        <f t="shared" si="45"/>
        <v>1267.5</v>
      </c>
      <c r="AD59" s="178">
        <f t="shared" si="46"/>
        <v>1.262761153505695E-3</v>
      </c>
      <c r="AE59" s="79"/>
    </row>
    <row r="60" spans="1:31" ht="14.4" customHeight="1" outlineLevel="2">
      <c r="A60" s="237"/>
      <c r="B60" s="19" t="s">
        <v>65</v>
      </c>
      <c r="C60" s="113">
        <v>4309</v>
      </c>
      <c r="D60" s="128"/>
      <c r="E60" s="120">
        <f t="shared" si="38"/>
        <v>4309</v>
      </c>
      <c r="F60" s="178">
        <f t="shared" si="47"/>
        <v>1.6678362292425221E-3</v>
      </c>
      <c r="G60" s="39">
        <v>1430</v>
      </c>
      <c r="H60" s="39">
        <v>0</v>
      </c>
      <c r="I60" s="106">
        <f t="shared" si="39"/>
        <v>1430</v>
      </c>
      <c r="J60" s="178">
        <f t="shared" si="34"/>
        <v>1.4927531028050222E-3</v>
      </c>
      <c r="K60" s="79"/>
      <c r="L60" s="210"/>
      <c r="M60" s="210"/>
      <c r="N60" s="106">
        <f t="shared" si="40"/>
        <v>0</v>
      </c>
      <c r="O60" s="178" t="e">
        <f t="shared" si="35"/>
        <v>#DIV/0!</v>
      </c>
      <c r="P60" s="79"/>
      <c r="Q60" s="210"/>
      <c r="R60" s="210"/>
      <c r="S60" s="106">
        <f t="shared" si="41"/>
        <v>0</v>
      </c>
      <c r="T60" s="178">
        <f t="shared" si="36"/>
        <v>0</v>
      </c>
      <c r="U60" s="79"/>
      <c r="V60" s="210"/>
      <c r="W60" s="210"/>
      <c r="X60" s="106">
        <f t="shared" si="42"/>
        <v>0</v>
      </c>
      <c r="Y60" s="178">
        <f t="shared" si="37"/>
        <v>0</v>
      </c>
      <c r="Z60" s="79"/>
      <c r="AA60" s="39">
        <f t="shared" si="43"/>
        <v>1430</v>
      </c>
      <c r="AB60" s="39">
        <f t="shared" si="44"/>
        <v>0</v>
      </c>
      <c r="AC60" s="106">
        <f t="shared" si="45"/>
        <v>1430</v>
      </c>
      <c r="AD60" s="178">
        <f t="shared" si="46"/>
        <v>1.4246536090833481E-3</v>
      </c>
      <c r="AE60" s="79"/>
    </row>
    <row r="61" spans="1:31" ht="13.95" customHeight="1" outlineLevel="2">
      <c r="A61" s="237"/>
      <c r="B61" s="19" t="s">
        <v>32</v>
      </c>
      <c r="C61" s="113"/>
      <c r="D61" s="128"/>
      <c r="E61" s="120">
        <f t="shared" si="38"/>
        <v>0</v>
      </c>
      <c r="F61" s="178">
        <f t="shared" si="47"/>
        <v>0</v>
      </c>
      <c r="G61" s="39">
        <v>0</v>
      </c>
      <c r="H61" s="39">
        <v>0</v>
      </c>
      <c r="I61" s="106">
        <f t="shared" si="39"/>
        <v>0</v>
      </c>
      <c r="J61" s="178">
        <f t="shared" si="34"/>
        <v>0</v>
      </c>
      <c r="K61" s="79"/>
      <c r="L61" s="210"/>
      <c r="M61" s="210"/>
      <c r="N61" s="106">
        <f t="shared" si="40"/>
        <v>0</v>
      </c>
      <c r="O61" s="178" t="e">
        <f t="shared" si="35"/>
        <v>#DIV/0!</v>
      </c>
      <c r="P61" s="79"/>
      <c r="Q61" s="210"/>
      <c r="R61" s="210"/>
      <c r="S61" s="106">
        <f t="shared" si="41"/>
        <v>0</v>
      </c>
      <c r="T61" s="178">
        <f t="shared" si="36"/>
        <v>0</v>
      </c>
      <c r="U61" s="79"/>
      <c r="V61" s="210"/>
      <c r="W61" s="210"/>
      <c r="X61" s="106">
        <f t="shared" si="42"/>
        <v>0</v>
      </c>
      <c r="Y61" s="178">
        <f t="shared" si="37"/>
        <v>0</v>
      </c>
      <c r="Z61" s="79"/>
      <c r="AA61" s="39">
        <f t="shared" si="43"/>
        <v>0</v>
      </c>
      <c r="AB61" s="39">
        <f t="shared" si="44"/>
        <v>0</v>
      </c>
      <c r="AC61" s="106">
        <f t="shared" si="45"/>
        <v>0</v>
      </c>
      <c r="AD61" s="178">
        <f t="shared" si="46"/>
        <v>0</v>
      </c>
      <c r="AE61" s="79"/>
    </row>
    <row r="62" spans="1:31" ht="30.6" customHeight="1" outlineLevel="2">
      <c r="A62" s="237"/>
      <c r="B62" s="19" t="s">
        <v>33</v>
      </c>
      <c r="C62" s="129"/>
      <c r="D62" s="128"/>
      <c r="E62" s="120">
        <f t="shared" si="38"/>
        <v>0</v>
      </c>
      <c r="F62" s="178">
        <f t="shared" si="47"/>
        <v>0</v>
      </c>
      <c r="G62" s="39">
        <v>0</v>
      </c>
      <c r="H62" s="39">
        <v>0</v>
      </c>
      <c r="I62" s="106">
        <f t="shared" si="39"/>
        <v>0</v>
      </c>
      <c r="J62" s="178">
        <f t="shared" si="34"/>
        <v>0</v>
      </c>
      <c r="K62" s="79"/>
      <c r="L62" s="210"/>
      <c r="M62" s="210"/>
      <c r="N62" s="106">
        <f t="shared" si="40"/>
        <v>0</v>
      </c>
      <c r="O62" s="178" t="e">
        <f t="shared" si="35"/>
        <v>#DIV/0!</v>
      </c>
      <c r="P62" s="79"/>
      <c r="Q62" s="210"/>
      <c r="R62" s="210"/>
      <c r="S62" s="106">
        <f t="shared" si="41"/>
        <v>0</v>
      </c>
      <c r="T62" s="178">
        <f t="shared" si="36"/>
        <v>0</v>
      </c>
      <c r="U62" s="79"/>
      <c r="V62" s="210"/>
      <c r="W62" s="210"/>
      <c r="X62" s="106">
        <f t="shared" si="42"/>
        <v>0</v>
      </c>
      <c r="Y62" s="178">
        <f t="shared" si="37"/>
        <v>0</v>
      </c>
      <c r="Z62" s="79"/>
      <c r="AA62" s="39">
        <f t="shared" si="43"/>
        <v>0</v>
      </c>
      <c r="AB62" s="39">
        <f t="shared" si="44"/>
        <v>0</v>
      </c>
      <c r="AC62" s="106">
        <f t="shared" si="45"/>
        <v>0</v>
      </c>
      <c r="AD62" s="178">
        <f t="shared" si="46"/>
        <v>0</v>
      </c>
      <c r="AE62" s="79"/>
    </row>
    <row r="63" spans="1:31" ht="31.95" customHeight="1" outlineLevel="2">
      <c r="A63" s="237"/>
      <c r="B63" s="19" t="s">
        <v>35</v>
      </c>
      <c r="C63" s="129"/>
      <c r="D63" s="128"/>
      <c r="E63" s="120">
        <f t="shared" si="38"/>
        <v>0</v>
      </c>
      <c r="F63" s="178">
        <f t="shared" si="47"/>
        <v>0</v>
      </c>
      <c r="G63" s="39">
        <v>0</v>
      </c>
      <c r="H63" s="39">
        <v>0</v>
      </c>
      <c r="I63" s="106">
        <f t="shared" si="39"/>
        <v>0</v>
      </c>
      <c r="J63" s="178">
        <f t="shared" si="34"/>
        <v>0</v>
      </c>
      <c r="K63" s="79"/>
      <c r="L63" s="210"/>
      <c r="M63" s="210"/>
      <c r="N63" s="106">
        <f t="shared" si="40"/>
        <v>0</v>
      </c>
      <c r="O63" s="178" t="e">
        <f t="shared" si="35"/>
        <v>#DIV/0!</v>
      </c>
      <c r="P63" s="79"/>
      <c r="Q63" s="210"/>
      <c r="R63" s="210"/>
      <c r="S63" s="106">
        <f t="shared" si="41"/>
        <v>0</v>
      </c>
      <c r="T63" s="178">
        <f t="shared" si="36"/>
        <v>0</v>
      </c>
      <c r="U63" s="79"/>
      <c r="V63" s="210"/>
      <c r="W63" s="210"/>
      <c r="X63" s="106">
        <f t="shared" si="42"/>
        <v>0</v>
      </c>
      <c r="Y63" s="178">
        <f t="shared" si="37"/>
        <v>0</v>
      </c>
      <c r="Z63" s="79"/>
      <c r="AA63" s="39">
        <f t="shared" si="43"/>
        <v>0</v>
      </c>
      <c r="AB63" s="39">
        <f t="shared" si="44"/>
        <v>0</v>
      </c>
      <c r="AC63" s="106">
        <f t="shared" si="45"/>
        <v>0</v>
      </c>
      <c r="AD63" s="178">
        <f t="shared" si="46"/>
        <v>0</v>
      </c>
      <c r="AE63" s="79"/>
    </row>
    <row r="64" spans="1:31" ht="31.2" customHeight="1" outlineLevel="2">
      <c r="A64" s="237"/>
      <c r="B64" s="19" t="s">
        <v>63</v>
      </c>
      <c r="C64" s="129"/>
      <c r="D64" s="128"/>
      <c r="E64" s="120">
        <f t="shared" si="38"/>
        <v>0</v>
      </c>
      <c r="F64" s="178">
        <f t="shared" si="47"/>
        <v>0</v>
      </c>
      <c r="G64" s="39">
        <v>0</v>
      </c>
      <c r="H64" s="39">
        <v>0</v>
      </c>
      <c r="I64" s="106">
        <f t="shared" si="39"/>
        <v>0</v>
      </c>
      <c r="J64" s="178">
        <f t="shared" si="34"/>
        <v>0</v>
      </c>
      <c r="K64" s="79"/>
      <c r="L64" s="210"/>
      <c r="M64" s="210"/>
      <c r="N64" s="106">
        <f t="shared" si="40"/>
        <v>0</v>
      </c>
      <c r="O64" s="178" t="e">
        <f t="shared" si="35"/>
        <v>#DIV/0!</v>
      </c>
      <c r="P64" s="79"/>
      <c r="Q64" s="210"/>
      <c r="R64" s="210"/>
      <c r="S64" s="106">
        <f t="shared" si="41"/>
        <v>0</v>
      </c>
      <c r="T64" s="178">
        <f t="shared" si="36"/>
        <v>0</v>
      </c>
      <c r="U64" s="79"/>
      <c r="V64" s="210"/>
      <c r="W64" s="210"/>
      <c r="X64" s="106">
        <f t="shared" si="42"/>
        <v>0</v>
      </c>
      <c r="Y64" s="178">
        <f t="shared" si="37"/>
        <v>0</v>
      </c>
      <c r="Z64" s="79"/>
      <c r="AA64" s="39">
        <f t="shared" si="43"/>
        <v>0</v>
      </c>
      <c r="AB64" s="39">
        <f t="shared" si="44"/>
        <v>0</v>
      </c>
      <c r="AC64" s="106">
        <f t="shared" si="45"/>
        <v>0</v>
      </c>
      <c r="AD64" s="178">
        <f t="shared" si="46"/>
        <v>0</v>
      </c>
      <c r="AE64" s="79"/>
    </row>
    <row r="65" spans="1:31" ht="93" customHeight="1" outlineLevel="2">
      <c r="A65" s="237"/>
      <c r="B65" s="19" t="s">
        <v>36</v>
      </c>
      <c r="C65" s="129"/>
      <c r="D65" s="128"/>
      <c r="E65" s="120">
        <f t="shared" si="38"/>
        <v>0</v>
      </c>
      <c r="F65" s="178">
        <f t="shared" si="47"/>
        <v>0</v>
      </c>
      <c r="G65" s="39">
        <v>2609.59</v>
      </c>
      <c r="H65" s="39">
        <v>0</v>
      </c>
      <c r="I65" s="106">
        <f t="shared" si="39"/>
        <v>2609.59</v>
      </c>
      <c r="J65" s="178">
        <f t="shared" si="34"/>
        <v>2.7241073912929775E-3</v>
      </c>
      <c r="K65" s="79"/>
      <c r="L65" s="39"/>
      <c r="M65" s="39"/>
      <c r="N65" s="106">
        <f t="shared" si="40"/>
        <v>0</v>
      </c>
      <c r="O65" s="178" t="e">
        <f>N65/$N$89</f>
        <v>#DIV/0!</v>
      </c>
      <c r="P65" s="79"/>
      <c r="Q65" s="39"/>
      <c r="R65" s="39"/>
      <c r="S65" s="106">
        <f t="shared" si="41"/>
        <v>0</v>
      </c>
      <c r="T65" s="178">
        <f t="shared" si="36"/>
        <v>0</v>
      </c>
      <c r="U65" s="79"/>
      <c r="V65" s="39"/>
      <c r="W65" s="39"/>
      <c r="X65" s="106">
        <f t="shared" si="42"/>
        <v>0</v>
      </c>
      <c r="Y65" s="178">
        <f t="shared" si="37"/>
        <v>0</v>
      </c>
      <c r="Z65" s="79"/>
      <c r="AA65" s="39">
        <f t="shared" si="43"/>
        <v>2609.59</v>
      </c>
      <c r="AB65" s="39">
        <f t="shared" si="44"/>
        <v>0</v>
      </c>
      <c r="AC65" s="106">
        <f t="shared" si="45"/>
        <v>2609.59</v>
      </c>
      <c r="AD65" s="178">
        <f t="shared" si="46"/>
        <v>2.5998334347746956E-3</v>
      </c>
      <c r="AE65" s="79"/>
    </row>
    <row r="66" spans="1:31" s="2" customFormat="1" ht="13.95" customHeight="1" outlineLevel="2">
      <c r="A66" s="237"/>
      <c r="B66" s="19" t="s">
        <v>37</v>
      </c>
      <c r="C66" s="129"/>
      <c r="D66" s="128"/>
      <c r="E66" s="120">
        <f t="shared" si="38"/>
        <v>0</v>
      </c>
      <c r="F66" s="178">
        <f t="shared" si="47"/>
        <v>0</v>
      </c>
      <c r="G66" s="39">
        <v>0</v>
      </c>
      <c r="H66" s="39">
        <v>0</v>
      </c>
      <c r="I66" s="106">
        <f t="shared" si="39"/>
        <v>0</v>
      </c>
      <c r="J66" s="178">
        <f t="shared" si="34"/>
        <v>0</v>
      </c>
      <c r="K66" s="79"/>
      <c r="L66" s="39"/>
      <c r="M66" s="39"/>
      <c r="N66" s="106">
        <f t="shared" si="40"/>
        <v>0</v>
      </c>
      <c r="O66" s="178" t="e">
        <f t="shared" si="35"/>
        <v>#DIV/0!</v>
      </c>
      <c r="P66" s="79"/>
      <c r="Q66" s="39"/>
      <c r="R66" s="39"/>
      <c r="S66" s="106">
        <f t="shared" si="41"/>
        <v>0</v>
      </c>
      <c r="T66" s="178">
        <f t="shared" si="36"/>
        <v>0</v>
      </c>
      <c r="U66" s="79"/>
      <c r="V66" s="39"/>
      <c r="W66" s="39"/>
      <c r="X66" s="106">
        <f t="shared" si="42"/>
        <v>0</v>
      </c>
      <c r="Y66" s="178">
        <f t="shared" si="37"/>
        <v>0</v>
      </c>
      <c r="Z66" s="79"/>
      <c r="AA66" s="39">
        <f t="shared" si="43"/>
        <v>0</v>
      </c>
      <c r="AB66" s="39">
        <f t="shared" si="44"/>
        <v>0</v>
      </c>
      <c r="AC66" s="106">
        <f t="shared" si="45"/>
        <v>0</v>
      </c>
      <c r="AD66" s="178">
        <f t="shared" si="46"/>
        <v>0</v>
      </c>
      <c r="AE66" s="79"/>
    </row>
    <row r="67" spans="1:31" s="2" customFormat="1" ht="102" customHeight="1" outlineLevel="2">
      <c r="A67" s="237"/>
      <c r="B67" s="19" t="s">
        <v>3</v>
      </c>
      <c r="C67" s="129"/>
      <c r="D67" s="128"/>
      <c r="E67" s="120">
        <f t="shared" si="38"/>
        <v>0</v>
      </c>
      <c r="F67" s="178">
        <f t="shared" si="47"/>
        <v>0</v>
      </c>
      <c r="G67" s="39">
        <v>0</v>
      </c>
      <c r="H67" s="39">
        <v>0</v>
      </c>
      <c r="I67" s="106">
        <f t="shared" si="39"/>
        <v>0</v>
      </c>
      <c r="J67" s="178">
        <f t="shared" si="34"/>
        <v>0</v>
      </c>
      <c r="K67" s="79"/>
      <c r="L67" s="39"/>
      <c r="M67" s="39"/>
      <c r="N67" s="106">
        <f t="shared" si="40"/>
        <v>0</v>
      </c>
      <c r="O67" s="178" t="e">
        <f t="shared" si="35"/>
        <v>#DIV/0!</v>
      </c>
      <c r="P67" s="79"/>
      <c r="Q67" s="39"/>
      <c r="R67" s="39"/>
      <c r="S67" s="106">
        <f t="shared" si="41"/>
        <v>0</v>
      </c>
      <c r="T67" s="178">
        <f t="shared" ref="T67:T72" si="48">S67/$S$89</f>
        <v>0</v>
      </c>
      <c r="U67" s="79"/>
      <c r="V67" s="39"/>
      <c r="W67" s="39"/>
      <c r="X67" s="106">
        <f t="shared" si="42"/>
        <v>0</v>
      </c>
      <c r="Y67" s="178">
        <f t="shared" ref="Y67:Y72" si="49">X67/$S$89</f>
        <v>0</v>
      </c>
      <c r="Z67" s="79"/>
      <c r="AA67" s="39">
        <f t="shared" si="43"/>
        <v>0</v>
      </c>
      <c r="AB67" s="39">
        <f t="shared" si="44"/>
        <v>0</v>
      </c>
      <c r="AC67" s="106">
        <f t="shared" si="45"/>
        <v>0</v>
      </c>
      <c r="AD67" s="178">
        <f t="shared" si="46"/>
        <v>0</v>
      </c>
      <c r="AE67" s="79"/>
    </row>
    <row r="68" spans="1:31" s="2" customFormat="1" ht="79.95" customHeight="1" outlineLevel="2">
      <c r="A68" s="237"/>
      <c r="B68" s="19" t="s">
        <v>5</v>
      </c>
      <c r="C68" s="129"/>
      <c r="D68" s="128">
        <v>13100</v>
      </c>
      <c r="E68" s="120">
        <f t="shared" si="38"/>
        <v>13100</v>
      </c>
      <c r="F68" s="178">
        <f t="shared" si="47"/>
        <v>5.0704698545084798E-3</v>
      </c>
      <c r="G68" s="39">
        <v>0</v>
      </c>
      <c r="H68" s="39">
        <v>9529.33</v>
      </c>
      <c r="I68" s="106">
        <f t="shared" si="39"/>
        <v>9529.33</v>
      </c>
      <c r="J68" s="178">
        <f t="shared" si="34"/>
        <v>9.9475083392678194E-3</v>
      </c>
      <c r="K68" s="79"/>
      <c r="L68" s="39"/>
      <c r="M68" s="39"/>
      <c r="N68" s="106">
        <f t="shared" si="40"/>
        <v>0</v>
      </c>
      <c r="O68" s="178" t="e">
        <f t="shared" si="35"/>
        <v>#DIV/0!</v>
      </c>
      <c r="P68" s="79"/>
      <c r="Q68" s="39"/>
      <c r="R68" s="39"/>
      <c r="S68" s="106">
        <f t="shared" si="41"/>
        <v>0</v>
      </c>
      <c r="T68" s="178">
        <f t="shared" si="48"/>
        <v>0</v>
      </c>
      <c r="U68" s="79"/>
      <c r="V68" s="39"/>
      <c r="W68" s="39"/>
      <c r="X68" s="106">
        <f t="shared" si="42"/>
        <v>0</v>
      </c>
      <c r="Y68" s="178">
        <f t="shared" si="49"/>
        <v>0</v>
      </c>
      <c r="Z68" s="79"/>
      <c r="AA68" s="39">
        <f t="shared" si="43"/>
        <v>0</v>
      </c>
      <c r="AB68" s="39">
        <f t="shared" si="44"/>
        <v>9529.33</v>
      </c>
      <c r="AC68" s="106">
        <f t="shared" si="45"/>
        <v>9529.33</v>
      </c>
      <c r="AD68" s="178">
        <f t="shared" si="46"/>
        <v>9.4937023612910645E-3</v>
      </c>
      <c r="AE68" s="79"/>
    </row>
    <row r="69" spans="1:31" s="2" customFormat="1" ht="13.8" outlineLevel="2">
      <c r="A69" s="237"/>
      <c r="B69" s="19" t="s">
        <v>42</v>
      </c>
      <c r="C69" s="129"/>
      <c r="D69" s="128"/>
      <c r="E69" s="120">
        <f t="shared" si="38"/>
        <v>0</v>
      </c>
      <c r="F69" s="178">
        <f t="shared" si="47"/>
        <v>0</v>
      </c>
      <c r="G69" s="39">
        <v>0</v>
      </c>
      <c r="H69" s="39">
        <v>0</v>
      </c>
      <c r="I69" s="106">
        <f t="shared" si="39"/>
        <v>0</v>
      </c>
      <c r="J69" s="178">
        <f t="shared" si="34"/>
        <v>0</v>
      </c>
      <c r="K69" s="79"/>
      <c r="L69" s="39"/>
      <c r="M69" s="39"/>
      <c r="N69" s="106">
        <f t="shared" si="40"/>
        <v>0</v>
      </c>
      <c r="O69" s="178" t="e">
        <f t="shared" si="35"/>
        <v>#DIV/0!</v>
      </c>
      <c r="P69" s="79"/>
      <c r="Q69" s="39"/>
      <c r="R69" s="39"/>
      <c r="S69" s="106">
        <f t="shared" si="41"/>
        <v>0</v>
      </c>
      <c r="T69" s="178">
        <f t="shared" si="48"/>
        <v>0</v>
      </c>
      <c r="U69" s="79"/>
      <c r="V69" s="39"/>
      <c r="W69" s="39"/>
      <c r="X69" s="106">
        <f t="shared" si="42"/>
        <v>0</v>
      </c>
      <c r="Y69" s="178">
        <f t="shared" si="49"/>
        <v>0</v>
      </c>
      <c r="Z69" s="79"/>
      <c r="AA69" s="39">
        <f t="shared" si="43"/>
        <v>0</v>
      </c>
      <c r="AB69" s="39">
        <f t="shared" si="44"/>
        <v>0</v>
      </c>
      <c r="AC69" s="106">
        <f t="shared" si="45"/>
        <v>0</v>
      </c>
      <c r="AD69" s="178">
        <f t="shared" si="46"/>
        <v>0</v>
      </c>
      <c r="AE69" s="79"/>
    </row>
    <row r="70" spans="1:31" s="2" customFormat="1" ht="22.95" customHeight="1" outlineLevel="2">
      <c r="A70" s="237"/>
      <c r="B70" s="19" t="s">
        <v>6</v>
      </c>
      <c r="C70" s="129"/>
      <c r="D70" s="128"/>
      <c r="E70" s="120">
        <f t="shared" si="38"/>
        <v>0</v>
      </c>
      <c r="F70" s="178">
        <f t="shared" si="47"/>
        <v>0</v>
      </c>
      <c r="G70" s="39">
        <v>0</v>
      </c>
      <c r="H70" s="39">
        <v>0</v>
      </c>
      <c r="I70" s="106">
        <f t="shared" si="39"/>
        <v>0</v>
      </c>
      <c r="J70" s="178">
        <f t="shared" si="34"/>
        <v>0</v>
      </c>
      <c r="K70" s="79"/>
      <c r="L70" s="39"/>
      <c r="M70" s="39"/>
      <c r="N70" s="106">
        <f t="shared" si="40"/>
        <v>0</v>
      </c>
      <c r="O70" s="178" t="e">
        <f t="shared" si="35"/>
        <v>#DIV/0!</v>
      </c>
      <c r="P70" s="79"/>
      <c r="Q70" s="39"/>
      <c r="R70" s="39"/>
      <c r="S70" s="106">
        <f t="shared" si="41"/>
        <v>0</v>
      </c>
      <c r="T70" s="178">
        <f t="shared" si="48"/>
        <v>0</v>
      </c>
      <c r="U70" s="79"/>
      <c r="V70" s="39"/>
      <c r="W70" s="39"/>
      <c r="X70" s="106">
        <f t="shared" si="42"/>
        <v>0</v>
      </c>
      <c r="Y70" s="178">
        <f t="shared" si="49"/>
        <v>0</v>
      </c>
      <c r="Z70" s="79"/>
      <c r="AA70" s="39">
        <f t="shared" si="43"/>
        <v>0</v>
      </c>
      <c r="AB70" s="39">
        <f t="shared" si="44"/>
        <v>0</v>
      </c>
      <c r="AC70" s="106">
        <f t="shared" si="45"/>
        <v>0</v>
      </c>
      <c r="AD70" s="178">
        <f t="shared" si="46"/>
        <v>0</v>
      </c>
      <c r="AE70" s="79"/>
    </row>
    <row r="71" spans="1:31" s="2" customFormat="1" ht="13.95" customHeight="1" outlineLevel="2">
      <c r="A71" s="237"/>
      <c r="B71" s="19" t="s">
        <v>78</v>
      </c>
      <c r="C71" s="129"/>
      <c r="D71" s="128"/>
      <c r="E71" s="120">
        <f t="shared" si="38"/>
        <v>0</v>
      </c>
      <c r="F71" s="184">
        <f t="shared" si="47"/>
        <v>0</v>
      </c>
      <c r="G71" s="39">
        <v>0</v>
      </c>
      <c r="H71" s="39">
        <v>0</v>
      </c>
      <c r="I71" s="106">
        <f t="shared" si="39"/>
        <v>0</v>
      </c>
      <c r="J71" s="178">
        <f t="shared" si="34"/>
        <v>0</v>
      </c>
      <c r="K71" s="79"/>
      <c r="L71" s="39"/>
      <c r="M71" s="39"/>
      <c r="N71" s="106">
        <f t="shared" si="40"/>
        <v>0</v>
      </c>
      <c r="O71" s="178" t="e">
        <f t="shared" si="35"/>
        <v>#DIV/0!</v>
      </c>
      <c r="P71" s="79"/>
      <c r="Q71" s="39"/>
      <c r="R71" s="39"/>
      <c r="S71" s="106">
        <f t="shared" si="41"/>
        <v>0</v>
      </c>
      <c r="T71" s="178">
        <f t="shared" si="48"/>
        <v>0</v>
      </c>
      <c r="U71" s="79"/>
      <c r="V71" s="39"/>
      <c r="W71" s="39"/>
      <c r="X71" s="106">
        <f t="shared" si="42"/>
        <v>0</v>
      </c>
      <c r="Y71" s="178">
        <f t="shared" si="49"/>
        <v>0</v>
      </c>
      <c r="Z71" s="79"/>
      <c r="AA71" s="39">
        <f t="shared" si="43"/>
        <v>0</v>
      </c>
      <c r="AB71" s="39">
        <f t="shared" si="44"/>
        <v>0</v>
      </c>
      <c r="AC71" s="106">
        <f t="shared" si="45"/>
        <v>0</v>
      </c>
      <c r="AD71" s="178">
        <f t="shared" si="46"/>
        <v>0</v>
      </c>
      <c r="AE71" s="79"/>
    </row>
    <row r="72" spans="1:31" s="2" customFormat="1" ht="14.4" outlineLevel="2" thickBot="1">
      <c r="A72" s="237"/>
      <c r="B72" s="19"/>
      <c r="C72" s="130"/>
      <c r="D72" s="131"/>
      <c r="E72" s="159"/>
      <c r="F72" s="184">
        <f t="shared" si="47"/>
        <v>0</v>
      </c>
      <c r="G72" s="39">
        <v>0</v>
      </c>
      <c r="H72" s="39">
        <v>0</v>
      </c>
      <c r="I72" s="106"/>
      <c r="J72" s="178">
        <f t="shared" si="34"/>
        <v>0</v>
      </c>
      <c r="K72" s="79"/>
      <c r="L72" s="39"/>
      <c r="M72" s="39"/>
      <c r="N72" s="106"/>
      <c r="O72" s="178" t="e">
        <f t="shared" si="35"/>
        <v>#DIV/0!</v>
      </c>
      <c r="P72" s="79"/>
      <c r="Q72" s="39"/>
      <c r="R72" s="39"/>
      <c r="S72" s="106"/>
      <c r="T72" s="178">
        <f t="shared" si="48"/>
        <v>0</v>
      </c>
      <c r="U72" s="79"/>
      <c r="V72" s="39"/>
      <c r="W72" s="39"/>
      <c r="X72" s="106"/>
      <c r="Y72" s="178">
        <f t="shared" si="49"/>
        <v>0</v>
      </c>
      <c r="Z72" s="79"/>
      <c r="AA72" s="39"/>
      <c r="AB72" s="39"/>
      <c r="AC72" s="106"/>
      <c r="AD72" s="178">
        <f t="shared" si="46"/>
        <v>0</v>
      </c>
      <c r="AE72" s="79"/>
    </row>
    <row r="73" spans="1:31" s="2" customFormat="1" ht="14.4" outlineLevel="1" thickBot="1">
      <c r="A73" s="237"/>
      <c r="B73" s="13" t="s">
        <v>4</v>
      </c>
      <c r="C73" s="132">
        <f>C74</f>
        <v>0</v>
      </c>
      <c r="D73" s="133">
        <f>D74</f>
        <v>0</v>
      </c>
      <c r="E73" s="132">
        <f>E74</f>
        <v>0</v>
      </c>
      <c r="F73" s="171">
        <f>E73/$E$89</f>
        <v>0</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row>
    <row r="74" spans="1:31" s="2" customFormat="1" ht="14.4" outlineLevel="1" thickBot="1">
      <c r="A74" s="20"/>
      <c r="B74" s="225" t="s">
        <v>64</v>
      </c>
      <c r="C74" s="129">
        <f>C6*3%*0</f>
        <v>0</v>
      </c>
      <c r="D74" s="135"/>
      <c r="E74" s="136">
        <f>C74+D74</f>
        <v>0</v>
      </c>
      <c r="F74" s="185"/>
      <c r="G74" s="39"/>
      <c r="H74" s="39"/>
      <c r="I74" s="64">
        <f>G74+H74*1</f>
        <v>0</v>
      </c>
      <c r="J74" s="64"/>
      <c r="K74" s="64"/>
      <c r="L74" s="39"/>
      <c r="M74" s="39"/>
      <c r="N74" s="64">
        <f>L74+M74*1</f>
        <v>0</v>
      </c>
      <c r="O74" s="64"/>
      <c r="P74" s="64"/>
      <c r="Q74" s="39"/>
      <c r="R74" s="39"/>
      <c r="S74" s="64">
        <f>Q74+R74*1</f>
        <v>0</v>
      </c>
      <c r="T74" s="64"/>
      <c r="U74" s="64"/>
      <c r="V74" s="39"/>
      <c r="W74" s="39"/>
      <c r="X74" s="64">
        <f>V74+W74*1</f>
        <v>0</v>
      </c>
      <c r="Y74" s="64"/>
      <c r="Z74" s="64"/>
      <c r="AA74" s="39">
        <f>G74+L74</f>
        <v>0</v>
      </c>
      <c r="AB74" s="39">
        <f>H74+M74</f>
        <v>0</v>
      </c>
      <c r="AC74" s="64">
        <f>AA74+AB74*1</f>
        <v>0</v>
      </c>
      <c r="AD74" s="64"/>
      <c r="AE74" s="64"/>
    </row>
    <row r="75" spans="1:31" s="2" customFormat="1" ht="14.4" thickBot="1">
      <c r="A75" s="5"/>
      <c r="B75" s="23" t="s">
        <v>48</v>
      </c>
      <c r="C75" s="137">
        <f>C38-C41-C50-C54</f>
        <v>882537</v>
      </c>
      <c r="D75" s="137">
        <f>D38-D41-D50-D54</f>
        <v>-528419</v>
      </c>
      <c r="E75" s="138">
        <f>E38-E41-E50-E54</f>
        <v>354118</v>
      </c>
      <c r="F75" s="172"/>
      <c r="G75" s="65">
        <f>G38-G41-G50-G54</f>
        <v>1674958.6159999997</v>
      </c>
      <c r="H75" s="65">
        <f>H38-H41-H50-H54</f>
        <v>-49082.33</v>
      </c>
      <c r="I75" s="66">
        <f>I38-I41-I50-I54</f>
        <v>1625876.2859999998</v>
      </c>
      <c r="J75" s="66"/>
      <c r="K75" s="66"/>
      <c r="L75" s="65">
        <f>L38-L41-L50-L54</f>
        <v>0</v>
      </c>
      <c r="M75" s="65">
        <f>M38-M41-M50-M54</f>
        <v>0</v>
      </c>
      <c r="N75" s="138">
        <f>N38-N41-N50-N54</f>
        <v>0</v>
      </c>
      <c r="O75" s="66"/>
      <c r="P75" s="66"/>
      <c r="Q75" s="65">
        <f>Q38-Q41-Q50-Q54</f>
        <v>0</v>
      </c>
      <c r="R75" s="65">
        <f>R38-R41-R50-R54</f>
        <v>-40800</v>
      </c>
      <c r="S75" s="138">
        <f>S38-S41-S50-S54</f>
        <v>-40800</v>
      </c>
      <c r="T75" s="66"/>
      <c r="U75" s="66"/>
      <c r="V75" s="65">
        <f>V38-V41-V50-V54</f>
        <v>0</v>
      </c>
      <c r="W75" s="65">
        <f>W38-W41-W50-W54</f>
        <v>0</v>
      </c>
      <c r="X75" s="138">
        <f>X38-X41-X50-X54</f>
        <v>0</v>
      </c>
      <c r="Y75" s="66"/>
      <c r="Z75" s="66"/>
      <c r="AA75" s="65">
        <f>AA38-AA41-AA50-AA54</f>
        <v>1674958.6159999997</v>
      </c>
      <c r="AB75" s="65">
        <f>AB38-AB41-AB50-AB54</f>
        <v>-89882.33</v>
      </c>
      <c r="AC75" s="138">
        <f>AC38-AC41-AC50-AC54</f>
        <v>1585076.2859999998</v>
      </c>
      <c r="AD75" s="66"/>
      <c r="AE75" s="66"/>
    </row>
    <row r="76" spans="1:31" s="2" customFormat="1" ht="13.8">
      <c r="A76" s="294"/>
      <c r="B76" s="36" t="s">
        <v>49</v>
      </c>
      <c r="C76" s="157">
        <f>C75/C5</f>
        <v>0.37195395129187997</v>
      </c>
      <c r="D76" s="157">
        <f>D75/D5</f>
        <v>-0.9352548672566372</v>
      </c>
      <c r="E76" s="158">
        <f>E75/E5</f>
        <v>0.12054239619022332</v>
      </c>
      <c r="F76" s="167"/>
      <c r="G76" s="54">
        <f>G75/G5</f>
        <v>0.64992803469781046</v>
      </c>
      <c r="H76" s="54" t="e">
        <f>H75/H5</f>
        <v>#DIV/0!</v>
      </c>
      <c r="I76" s="55">
        <f>I75/I5</f>
        <v>0.63088279861223473</v>
      </c>
      <c r="J76" s="55"/>
      <c r="K76" s="55"/>
      <c r="L76" s="54" t="e">
        <f>L75/L5</f>
        <v>#DIV/0!</v>
      </c>
      <c r="M76" s="54" t="e">
        <f>M75/M5</f>
        <v>#DIV/0!</v>
      </c>
      <c r="N76" s="55" t="e">
        <f>N75/N5</f>
        <v>#DIV/0!</v>
      </c>
      <c r="O76" s="55"/>
      <c r="P76" s="55"/>
      <c r="Q76" s="54" t="e">
        <f>Q75/Q5</f>
        <v>#DIV/0!</v>
      </c>
      <c r="R76" s="54" t="e">
        <f>R75/R5</f>
        <v>#DIV/0!</v>
      </c>
      <c r="S76" s="55" t="e">
        <f>S75/S5</f>
        <v>#DIV/0!</v>
      </c>
      <c r="T76" s="55"/>
      <c r="U76" s="55"/>
      <c r="V76" s="54" t="e">
        <f>V75/V5</f>
        <v>#DIV/0!</v>
      </c>
      <c r="W76" s="54" t="e">
        <f>W75/W5</f>
        <v>#DIV/0!</v>
      </c>
      <c r="X76" s="55" t="e">
        <f>X75/X5</f>
        <v>#DIV/0!</v>
      </c>
      <c r="Y76" s="55"/>
      <c r="Z76" s="55"/>
      <c r="AA76" s="54">
        <f>AA75/AA5</f>
        <v>0.64992803469781046</v>
      </c>
      <c r="AB76" s="54" t="e">
        <f>AB75/AB5</f>
        <v>#DIV/0!</v>
      </c>
      <c r="AC76" s="55">
        <f>AC75/AC5</f>
        <v>0.61505132459110545</v>
      </c>
      <c r="AD76" s="55"/>
      <c r="AE76" s="55"/>
    </row>
    <row r="77" spans="1:31" s="2" customFormat="1" ht="14.4" outlineLevel="1" thickBot="1">
      <c r="A77" s="294"/>
      <c r="B77" s="27" t="s">
        <v>9</v>
      </c>
      <c r="C77" s="139">
        <f>C78-C79</f>
        <v>0</v>
      </c>
      <c r="D77" s="139">
        <f>D78-D79</f>
        <v>0</v>
      </c>
      <c r="E77" s="140">
        <f>E78-E79</f>
        <v>0</v>
      </c>
      <c r="F77" s="173"/>
      <c r="G77" s="139">
        <f>G78-G79</f>
        <v>0</v>
      </c>
      <c r="H77" s="139">
        <f>H78-H79</f>
        <v>0</v>
      </c>
      <c r="I77" s="140">
        <f>I78-I79</f>
        <v>-6693.0450000000001</v>
      </c>
      <c r="J77" s="67"/>
      <c r="K77" s="67"/>
      <c r="L77" s="139">
        <f>L78-L79</f>
        <v>0</v>
      </c>
      <c r="M77" s="139">
        <f>M78-M79</f>
        <v>0</v>
      </c>
      <c r="N77" s="140">
        <f>N78-N79</f>
        <v>0</v>
      </c>
      <c r="O77" s="67"/>
      <c r="P77" s="67"/>
      <c r="Q77" s="139">
        <f>Q78-Q79</f>
        <v>0</v>
      </c>
      <c r="R77" s="139">
        <f>R78-R79</f>
        <v>0</v>
      </c>
      <c r="S77" s="140">
        <f>S78-S79</f>
        <v>-4991.2665021293569</v>
      </c>
      <c r="T77" s="67"/>
      <c r="U77" s="67"/>
      <c r="V77" s="139">
        <f>V78-V79</f>
        <v>0</v>
      </c>
      <c r="W77" s="139">
        <f>W78-W79</f>
        <v>0</v>
      </c>
      <c r="X77" s="140">
        <f>X78-X79</f>
        <v>0</v>
      </c>
      <c r="Y77" s="67"/>
      <c r="Z77" s="67"/>
      <c r="AA77" s="139">
        <f>AA78-AA79</f>
        <v>0</v>
      </c>
      <c r="AB77" s="139">
        <f>AB78-AB79</f>
        <v>0</v>
      </c>
      <c r="AC77" s="140">
        <f>AC78-AC79</f>
        <v>-11684.311502129356</v>
      </c>
      <c r="AD77" s="67"/>
      <c r="AE77" s="67"/>
    </row>
    <row r="78" spans="1:31" s="2" customFormat="1" ht="13.8" outlineLevel="2">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68"/>
      <c r="U78" s="68"/>
      <c r="V78" s="39"/>
      <c r="W78" s="39"/>
      <c r="X78" s="68">
        <f>V78+W78*1.15</f>
        <v>0</v>
      </c>
      <c r="Y78" s="68"/>
      <c r="Z78" s="68"/>
      <c r="AA78" s="39">
        <f>G78+L78+Q78+V78</f>
        <v>0</v>
      </c>
      <c r="AB78" s="39">
        <f>H78+M78+R78+W78</f>
        <v>0</v>
      </c>
      <c r="AC78" s="68">
        <f>AA78+AB78*1.15</f>
        <v>0</v>
      </c>
      <c r="AD78" s="68"/>
      <c r="AE78" s="68"/>
    </row>
    <row r="79" spans="1:31" s="2" customFormat="1" ht="13.8" outlineLevel="2">
      <c r="A79" s="11"/>
      <c r="B79" s="24" t="s">
        <v>79</v>
      </c>
      <c r="C79" s="113"/>
      <c r="D79" s="119"/>
      <c r="E79" s="119">
        <f>C79+D79*1.15</f>
        <v>0</v>
      </c>
      <c r="F79" s="180">
        <f>E79/$E$89</f>
        <v>0</v>
      </c>
      <c r="G79" s="39"/>
      <c r="H79" s="39"/>
      <c r="I79" s="106">
        <f>(H8+H41+H50+H54)/0.88*0.12</f>
        <v>6693.0450000000001</v>
      </c>
      <c r="J79" s="45"/>
      <c r="K79" s="45"/>
      <c r="L79" s="39"/>
      <c r="M79" s="39"/>
      <c r="N79" s="106">
        <f>(M8+M41+M50+M54)/(1-'расчет 2024'!E4)*'расчет 2024'!E4</f>
        <v>0</v>
      </c>
      <c r="O79" s="45"/>
      <c r="P79" s="45"/>
      <c r="Q79" s="39"/>
      <c r="R79" s="39"/>
      <c r="S79" s="106">
        <f>(R8+R41+R50+R54)/(1-'расчет 2024'!E18)*'расчет 2024'!E18</f>
        <v>4991.2665021293569</v>
      </c>
      <c r="T79" s="45"/>
      <c r="U79" s="45"/>
      <c r="V79" s="39"/>
      <c r="W79" s="39"/>
      <c r="X79" s="106">
        <f>(W8+W41+W50+W54)/(1-'расчет 2024'!E7)*'расчет 2024'!E7</f>
        <v>0</v>
      </c>
      <c r="Y79" s="45"/>
      <c r="Z79" s="45"/>
      <c r="AA79" s="39">
        <f>G79+L79+Q79+V79</f>
        <v>0</v>
      </c>
      <c r="AB79" s="39">
        <f>H79+M79+R79+W79</f>
        <v>0</v>
      </c>
      <c r="AC79" s="106">
        <f>I79+N79+S79</f>
        <v>11684.311502129356</v>
      </c>
      <c r="AD79" s="45"/>
      <c r="AE79" s="45"/>
    </row>
    <row r="80" spans="1:31" ht="13.8" outlineLevel="2">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69"/>
    </row>
    <row r="81" spans="1:31" s="2" customFormat="1" ht="14.4" outlineLevel="1" thickBot="1">
      <c r="A81" s="26"/>
      <c r="B81" s="27" t="s">
        <v>12</v>
      </c>
      <c r="C81" s="139">
        <f>(C75+C78)-C79</f>
        <v>882537</v>
      </c>
      <c r="D81" s="139">
        <f>(D75+D78)-D79</f>
        <v>-528419</v>
      </c>
      <c r="E81" s="140">
        <f>(E75+E78)-E79</f>
        <v>354118</v>
      </c>
      <c r="F81" s="173"/>
      <c r="G81" s="139">
        <f>(G75+G78)-G79</f>
        <v>1674958.6159999997</v>
      </c>
      <c r="H81" s="139">
        <f>(H75+H78)-H79</f>
        <v>-49082.33</v>
      </c>
      <c r="I81" s="140">
        <f>(I75+I78)-I79</f>
        <v>1619183.2409999999</v>
      </c>
      <c r="J81" s="67"/>
      <c r="K81" s="67"/>
      <c r="L81" s="139">
        <f>(L75+L78)-L79</f>
        <v>0</v>
      </c>
      <c r="M81" s="139">
        <f>(M75+M78)-M79</f>
        <v>0</v>
      </c>
      <c r="N81" s="140">
        <f>(N75+N78)-N79</f>
        <v>0</v>
      </c>
      <c r="O81" s="67"/>
      <c r="P81" s="67"/>
      <c r="Q81" s="139">
        <f>(Q75+Q78)-Q79</f>
        <v>0</v>
      </c>
      <c r="R81" s="139">
        <f>(R75+R78)-R79</f>
        <v>-40800</v>
      </c>
      <c r="S81" s="140">
        <f>(S75+S78)-S79</f>
        <v>-45791.266502129358</v>
      </c>
      <c r="T81" s="67"/>
      <c r="U81" s="67"/>
      <c r="V81" s="139">
        <f>(V75+V78)-V79</f>
        <v>0</v>
      </c>
      <c r="W81" s="139">
        <f>(W75+W78)-W79</f>
        <v>0</v>
      </c>
      <c r="X81" s="140">
        <f>(X75+X78)-X79</f>
        <v>0</v>
      </c>
      <c r="Y81" s="67"/>
      <c r="Z81" s="67"/>
      <c r="AA81" s="139">
        <f>(AA75+AA78)-AA79</f>
        <v>1674958.6159999997</v>
      </c>
      <c r="AB81" s="139">
        <f>(AB75+AB78)-AB79</f>
        <v>-89882.33</v>
      </c>
      <c r="AC81" s="140">
        <f>(AC75+AC78)-AC79</f>
        <v>1573391.9744978705</v>
      </c>
      <c r="AD81" s="67"/>
      <c r="AE81" s="67"/>
    </row>
    <row r="82" spans="1:31" s="2" customFormat="1" ht="13.8" outlineLevel="2">
      <c r="A82" s="293"/>
      <c r="B82" s="6" t="s">
        <v>38</v>
      </c>
      <c r="C82" s="141"/>
      <c r="D82" s="142"/>
      <c r="E82" s="146">
        <f>C82+D82</f>
        <v>0</v>
      </c>
      <c r="F82" s="180">
        <f>E82/$E$89</f>
        <v>0</v>
      </c>
      <c r="G82" s="39"/>
      <c r="H82" s="39"/>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f>G82+L82</f>
        <v>0</v>
      </c>
      <c r="AB82" s="39">
        <f>H82+M82</f>
        <v>0</v>
      </c>
      <c r="AC82" s="146">
        <f>AA82+AB82</f>
        <v>0</v>
      </c>
      <c r="AD82" s="101"/>
      <c r="AE82" s="101"/>
    </row>
    <row r="83" spans="1:31" s="2" customFormat="1" ht="13.8" outlineLevel="1">
      <c r="A83" s="11"/>
      <c r="B83" s="28" t="s">
        <v>13</v>
      </c>
      <c r="C83" s="147">
        <f>(C81+C7)-C36</f>
        <v>882537</v>
      </c>
      <c r="D83" s="147">
        <f>(D81+D7)-D36</f>
        <v>-498419</v>
      </c>
      <c r="E83" s="147">
        <f>(E81+E7)-E36</f>
        <v>384118</v>
      </c>
      <c r="F83" s="174"/>
      <c r="G83" s="147">
        <f>(G81+G7)-G36</f>
        <v>1674958.6159999997</v>
      </c>
      <c r="H83" s="147">
        <f>(H81+H7)-H36</f>
        <v>-49082.33</v>
      </c>
      <c r="I83" s="148">
        <f>(I81+I7)-I36</f>
        <v>1619183.2409999999</v>
      </c>
      <c r="J83" s="70"/>
      <c r="K83" s="70"/>
      <c r="L83" s="147">
        <f>(L81+L7)-L36</f>
        <v>0</v>
      </c>
      <c r="M83" s="147">
        <f>(M81+M7)-M36</f>
        <v>0</v>
      </c>
      <c r="N83" s="148">
        <f>(N81+N7)-N36</f>
        <v>0</v>
      </c>
      <c r="O83" s="70"/>
      <c r="P83" s="70"/>
      <c r="Q83" s="147">
        <f>(Q81+Q7)-Q36</f>
        <v>0</v>
      </c>
      <c r="R83" s="147">
        <f>(R81+R7)-R36</f>
        <v>-40800</v>
      </c>
      <c r="S83" s="148">
        <f>(S81+S7)-S36</f>
        <v>-45791.266502129358</v>
      </c>
      <c r="T83" s="70"/>
      <c r="U83" s="70"/>
      <c r="V83" s="147">
        <f>(V81+V7)-V36</f>
        <v>0</v>
      </c>
      <c r="W83" s="147">
        <f>(W81+W7)-W36</f>
        <v>0</v>
      </c>
      <c r="X83" s="148">
        <f>(X81+X7)-X36</f>
        <v>0</v>
      </c>
      <c r="Y83" s="70"/>
      <c r="Z83" s="70"/>
      <c r="AA83" s="147">
        <f>(AA81+AA7)-AA36</f>
        <v>1674958.6159999997</v>
      </c>
      <c r="AB83" s="147">
        <f>(AB81+AB7)-AB36</f>
        <v>-89882.33</v>
      </c>
      <c r="AC83" s="148">
        <f>(AC81+AC7)-AC36</f>
        <v>1573391.9744978705</v>
      </c>
      <c r="AD83" s="70"/>
      <c r="AE83" s="70"/>
    </row>
    <row r="84" spans="1:31" s="2" customFormat="1" ht="14.4" outlineLevel="1" thickBot="1">
      <c r="A84" s="11"/>
      <c r="B84" s="211" t="s">
        <v>14</v>
      </c>
      <c r="C84" s="212">
        <f>C83-C73-C82</f>
        <v>882537</v>
      </c>
      <c r="D84" s="212">
        <f>D83-D73-D82</f>
        <v>-498419</v>
      </c>
      <c r="E84" s="212">
        <f>E83-E73-E82</f>
        <v>384118</v>
      </c>
      <c r="F84" s="214"/>
      <c r="G84" s="213">
        <f>G83-G73-G82</f>
        <v>1674958.6159999997</v>
      </c>
      <c r="H84" s="213">
        <f>H83-H73-H82</f>
        <v>-49082.33</v>
      </c>
      <c r="I84" s="213">
        <f>I83-I73-I82</f>
        <v>1619183.2409999999</v>
      </c>
      <c r="J84" s="82"/>
      <c r="K84" s="82"/>
      <c r="L84" s="213">
        <f>L83-L73-L82</f>
        <v>0</v>
      </c>
      <c r="M84" s="213">
        <f>M83-M73-M82</f>
        <v>0</v>
      </c>
      <c r="N84" s="213">
        <f>N83-N73-N82</f>
        <v>0</v>
      </c>
      <c r="O84" s="82"/>
      <c r="P84" s="82"/>
      <c r="Q84" s="213">
        <f>Q83-Q73-Q82</f>
        <v>0</v>
      </c>
      <c r="R84" s="213">
        <f>R83-R73-R82</f>
        <v>-40800</v>
      </c>
      <c r="S84" s="213">
        <f>S83-S73-S82</f>
        <v>-45791.266502129358</v>
      </c>
      <c r="T84" s="82"/>
      <c r="U84" s="82"/>
      <c r="V84" s="213">
        <f>V83-V73-V82</f>
        <v>0</v>
      </c>
      <c r="W84" s="213">
        <f>W83-W73-W82</f>
        <v>0</v>
      </c>
      <c r="X84" s="213">
        <f>X83-X73-X82</f>
        <v>0</v>
      </c>
      <c r="Y84" s="82"/>
      <c r="Z84" s="82"/>
      <c r="AA84" s="213">
        <f>AA83-AA73-AA82</f>
        <v>1674958.6159999997</v>
      </c>
      <c r="AB84" s="213">
        <f>AB83-AB73-AB82</f>
        <v>-89882.33</v>
      </c>
      <c r="AC84" s="213">
        <f>AC83-AC73-AC82</f>
        <v>1573391.9744978705</v>
      </c>
      <c r="AD84" s="82"/>
      <c r="AE84" s="82"/>
    </row>
    <row r="85" spans="1:31" s="2" customFormat="1" ht="13.8" outlineLevel="3">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f>G85+L85</f>
        <v>0</v>
      </c>
      <c r="AB85" s="39">
        <f>H85+M85</f>
        <v>0</v>
      </c>
      <c r="AC85" s="219">
        <f>AA85+AB85*1.15</f>
        <v>0</v>
      </c>
      <c r="AD85" s="102"/>
      <c r="AE85" s="102"/>
    </row>
    <row r="86" spans="1:31" s="2" customFormat="1" ht="27.6">
      <c r="A86" s="11"/>
      <c r="B86" s="37" t="s">
        <v>50</v>
      </c>
      <c r="C86" s="149">
        <f>C84-C85</f>
        <v>882537</v>
      </c>
      <c r="D86" s="149">
        <f>D84-D85</f>
        <v>-498419</v>
      </c>
      <c r="E86" s="150">
        <f>E84-E85</f>
        <v>384118</v>
      </c>
      <c r="F86" s="175"/>
      <c r="G86" s="149">
        <f>G84-G85</f>
        <v>1674958.6159999997</v>
      </c>
      <c r="H86" s="149">
        <f>H84-H85</f>
        <v>-49082.33</v>
      </c>
      <c r="I86" s="150">
        <f>I84-I85</f>
        <v>1619183.2409999999</v>
      </c>
      <c r="J86" s="73"/>
      <c r="K86" s="73"/>
      <c r="L86" s="150">
        <f>L84-L85</f>
        <v>0</v>
      </c>
      <c r="M86" s="150">
        <f>M84-M85</f>
        <v>0</v>
      </c>
      <c r="N86" s="150">
        <f>N84-N85</f>
        <v>0</v>
      </c>
      <c r="O86" s="73"/>
      <c r="P86" s="73"/>
      <c r="Q86" s="150">
        <f>Q84-Q85</f>
        <v>0</v>
      </c>
      <c r="R86" s="150">
        <f>R84-R85</f>
        <v>-40800</v>
      </c>
      <c r="S86" s="150">
        <f>S84-S85</f>
        <v>-45791.266502129358</v>
      </c>
      <c r="T86" s="73"/>
      <c r="U86" s="73"/>
      <c r="V86" s="150">
        <f>V84-V85</f>
        <v>0</v>
      </c>
      <c r="W86" s="150">
        <f>W84-W85</f>
        <v>0</v>
      </c>
      <c r="X86" s="150">
        <f>X84-X85</f>
        <v>0</v>
      </c>
      <c r="Y86" s="73"/>
      <c r="Z86" s="73"/>
      <c r="AA86" s="150">
        <f>AA84-AA85</f>
        <v>1674958.6159999997</v>
      </c>
      <c r="AB86" s="150">
        <f>AB84-AB85</f>
        <v>-89882.33</v>
      </c>
      <c r="AC86" s="150">
        <f>AC84-AC85</f>
        <v>1573391.9744978705</v>
      </c>
      <c r="AD86" s="73"/>
      <c r="AE86" s="73"/>
    </row>
    <row r="87" spans="1:31" s="2" customFormat="1" ht="14.4" thickBot="1">
      <c r="A87" s="295"/>
      <c r="B87" s="29" t="s">
        <v>51</v>
      </c>
      <c r="C87" s="155">
        <f>C86/C5</f>
        <v>0.37195395129187997</v>
      </c>
      <c r="D87" s="151">
        <f>D86/D5</f>
        <v>-0.88215752212389376</v>
      </c>
      <c r="E87" s="156">
        <f>E86/E5</f>
        <v>0.13075444947671738</v>
      </c>
      <c r="F87" s="176"/>
      <c r="G87" s="155">
        <f>G86/G5</f>
        <v>0.64992803469781046</v>
      </c>
      <c r="H87" s="151" t="e">
        <f>H86/H5</f>
        <v>#DIV/0!</v>
      </c>
      <c r="I87" s="156">
        <f>I86/I5</f>
        <v>0.62828572096420165</v>
      </c>
      <c r="J87" s="75"/>
      <c r="K87" s="75"/>
      <c r="L87" s="155" t="e">
        <f>L86/L5</f>
        <v>#DIV/0!</v>
      </c>
      <c r="M87" s="151" t="e">
        <f>M86/M5</f>
        <v>#DIV/0!</v>
      </c>
      <c r="N87" s="156" t="e">
        <f>N86/N5</f>
        <v>#DIV/0!</v>
      </c>
      <c r="O87" s="75"/>
      <c r="P87" s="75"/>
      <c r="Q87" s="155" t="e">
        <f>Q86/Q5</f>
        <v>#DIV/0!</v>
      </c>
      <c r="R87" s="151" t="e">
        <f>R86/R5</f>
        <v>#DIV/0!</v>
      </c>
      <c r="S87" s="156" t="e">
        <f>S86/S5</f>
        <v>#DIV/0!</v>
      </c>
      <c r="T87" s="75"/>
      <c r="U87" s="75"/>
      <c r="V87" s="155" t="e">
        <f>V86/V5</f>
        <v>#DIV/0!</v>
      </c>
      <c r="W87" s="151" t="e">
        <f>W86/W5</f>
        <v>#DIV/0!</v>
      </c>
      <c r="X87" s="156" t="e">
        <f>X86/X5</f>
        <v>#DIV/0!</v>
      </c>
      <c r="Y87" s="75"/>
      <c r="Z87" s="75"/>
      <c r="AA87" s="155">
        <f>AA86/AA5</f>
        <v>0.64992803469781046</v>
      </c>
      <c r="AB87" s="151" t="e">
        <f>AB86/AB5</f>
        <v>#DIV/0!</v>
      </c>
      <c r="AC87" s="156">
        <f>AC86/AC5</f>
        <v>0.61051750414991079</v>
      </c>
      <c r="AD87" s="75"/>
      <c r="AE87" s="75"/>
    </row>
    <row r="88" spans="1:31"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row>
    <row r="89" spans="1:31">
      <c r="B89" s="221" t="s">
        <v>56</v>
      </c>
      <c r="C89" s="153"/>
      <c r="D89" s="153"/>
      <c r="E89" s="154">
        <f>E8+E36+E41+E50+E54+E73+E79+E82+E85</f>
        <v>2583587</v>
      </c>
      <c r="F89" s="189"/>
      <c r="I89" s="154">
        <f>I8+I36+I41+I50+I54+I73+I79+I82+I85</f>
        <v>957961.49899999995</v>
      </c>
      <c r="N89" s="154">
        <f>N8+N36+N41+N50+N54+N73+N79+N82+N85</f>
        <v>0</v>
      </c>
      <c r="S89" s="154">
        <f>S8+S36+S41+S50+S54+S73+S79+S82+S85</f>
        <v>45791.266502129358</v>
      </c>
      <c r="X89" s="154">
        <f>X8+X36+X41+X50+X54+X73+X79+X82+X85</f>
        <v>0</v>
      </c>
      <c r="AC89" s="154">
        <f>AC8+AC36+AC41+AC50+AC54+AC73+AC79+AC82+AC85</f>
        <v>1003752.7655021292</v>
      </c>
    </row>
    <row r="90" spans="1:31">
      <c r="C90" s="153"/>
      <c r="D90" s="153"/>
      <c r="E90" s="153"/>
    </row>
    <row r="91" spans="1:31"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row>
    <row r="92" spans="1:31">
      <c r="C92" s="38"/>
      <c r="D92" s="38"/>
    </row>
    <row r="93" spans="1:31"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row>
    <row r="94" spans="1:31"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row>
    <row r="95" spans="1:31" s="2" customFormat="1">
      <c r="A95" s="8"/>
      <c r="B95" s="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row>
    <row r="96" spans="1:31"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row>
    <row r="97" spans="1:31">
      <c r="C97" s="38"/>
      <c r="D97" s="38"/>
    </row>
    <row r="98" spans="1:31"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row>
    <row r="99" spans="1:31">
      <c r="C99" s="38"/>
      <c r="D99" s="38"/>
    </row>
  </sheetData>
  <mergeCells count="8">
    <mergeCell ref="AA2:AD3"/>
    <mergeCell ref="A42:A48"/>
    <mergeCell ref="A2:F2"/>
    <mergeCell ref="G2:K3"/>
    <mergeCell ref="A3:F3"/>
    <mergeCell ref="L2:O3"/>
    <mergeCell ref="Q2:U3"/>
    <mergeCell ref="V2:Z3"/>
  </mergeCells>
  <pageMargins left="0.39370078740157483" right="0.19685039370078741" top="0.19685039370078741" bottom="0.19685039370078741" header="0.11811023622047245" footer="0.11811023622047245"/>
  <pageSetup paperSize="9" scale="38" orientation="portrait" horizontalDpi="4294967295" verticalDpi="4294967295"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N99"/>
  <sheetViews>
    <sheetView zoomScale="70" zoomScaleNormal="70" workbookViewId="0">
      <pane xSplit="2" ySplit="5" topLeftCell="AY68"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Col="1"/>
  <cols>
    <col min="1" max="1" width="5.5546875" style="8" customWidth="1"/>
    <col min="2" max="2" width="47.44140625" style="8" customWidth="1"/>
    <col min="3" max="3" width="14.6640625" style="77" hidden="1" customWidth="1"/>
    <col min="4" max="4" width="15.44140625" style="77" hidden="1" customWidth="1"/>
    <col min="5" max="5" width="15.33203125" style="38" hidden="1" customWidth="1"/>
    <col min="6" max="6" width="9.5546875" style="38" hidden="1" customWidth="1"/>
    <col min="7" max="9" width="16.33203125" style="38" hidden="1" customWidth="1" outlineLevel="1"/>
    <col min="10" max="10" width="9" style="38" hidden="1" customWidth="1" outlineLevel="1"/>
    <col min="11" max="11" width="29.6640625" style="38" hidden="1" customWidth="1" outlineLevel="1"/>
    <col min="12" max="12" width="17.6640625" style="38" hidden="1" customWidth="1" outlineLevel="1"/>
    <col min="13" max="13" width="20.44140625" style="38" hidden="1" customWidth="1" outlineLevel="1"/>
    <col min="14" max="14" width="18.6640625" style="38" hidden="1" customWidth="1" outlineLevel="1"/>
    <col min="15" max="15" width="15.6640625" style="38" hidden="1" customWidth="1" outlineLevel="1"/>
    <col min="16" max="16" width="29.6640625" style="38" hidden="1" customWidth="1" outlineLevel="1"/>
    <col min="17" max="17" width="18.33203125" style="38" hidden="1" customWidth="1" outlineLevel="1"/>
    <col min="18" max="18" width="18.6640625" style="38" hidden="1" customWidth="1" outlineLevel="1"/>
    <col min="19" max="19" width="19.6640625" style="38" hidden="1" customWidth="1" outlineLevel="1"/>
    <col min="20" max="20" width="9.6640625" style="38" hidden="1" customWidth="1" outlineLevel="1"/>
    <col min="21" max="21" width="29.6640625" style="38" hidden="1" customWidth="1" outlineLevel="1"/>
    <col min="22" max="22" width="18.6640625" style="38" hidden="1" customWidth="1" outlineLevel="1"/>
    <col min="23" max="23" width="18.33203125" style="38" hidden="1" customWidth="1" outlineLevel="1"/>
    <col min="24" max="24" width="23.88671875" style="38" hidden="1" customWidth="1" outlineLevel="1"/>
    <col min="25" max="25" width="12.6640625" style="38" hidden="1" customWidth="1" outlineLevel="1"/>
    <col min="26" max="26" width="29.6640625" style="38" hidden="1" customWidth="1" outlineLevel="1"/>
    <col min="27" max="28" width="16.44140625" style="38" hidden="1" customWidth="1" outlineLevel="1"/>
    <col min="29" max="29" width="10.5546875" style="38" hidden="1" customWidth="1" outlineLevel="1"/>
    <col min="30" max="30" width="11.109375" style="38" hidden="1" customWidth="1" outlineLevel="1"/>
    <col min="31" max="40" width="16.44140625" style="38" hidden="1" customWidth="1" outlineLevel="1"/>
    <col min="41" max="44" width="19" style="38" hidden="1" customWidth="1" outlineLevel="1"/>
    <col min="45" max="45" width="11.109375" style="38" hidden="1" customWidth="1" outlineLevel="1"/>
    <col min="46" max="51" width="19" style="38" hidden="1" customWidth="1" outlineLevel="1"/>
    <col min="52" max="52" width="19" style="38" hidden="1" customWidth="1" outlineLevel="1" collapsed="1"/>
    <col min="53" max="56" width="19" style="38" hidden="1" customWidth="1" outlineLevel="1"/>
    <col min="57" max="61" width="19" style="1431" hidden="1" customWidth="1" outlineLevel="1"/>
    <col min="62" max="62" width="16.33203125" style="38" customWidth="1" collapsed="1"/>
    <col min="63" max="64" width="16.33203125" style="38" customWidth="1"/>
    <col min="65" max="65" width="9" style="38" customWidth="1"/>
    <col min="66" max="66" width="16.33203125" style="38" customWidth="1"/>
    <col min="67" max="16384" width="7.44140625" style="1"/>
  </cols>
  <sheetData>
    <row r="1" spans="1:66" ht="13.8" thickBot="1">
      <c r="C1" s="38"/>
      <c r="D1" s="38"/>
    </row>
    <row r="2" spans="1:66" ht="14.4" customHeight="1">
      <c r="A2" s="4834" t="s">
        <v>468</v>
      </c>
      <c r="B2" s="4835"/>
      <c r="C2" s="4835"/>
      <c r="D2" s="4835"/>
      <c r="E2" s="4835"/>
      <c r="F2" s="4836"/>
      <c r="G2" s="4837" t="s">
        <v>466</v>
      </c>
      <c r="H2" s="4838"/>
      <c r="I2" s="4838"/>
      <c r="J2" s="4838"/>
      <c r="K2" s="380"/>
      <c r="L2" s="4837" t="s">
        <v>545</v>
      </c>
      <c r="M2" s="4838"/>
      <c r="N2" s="4838"/>
      <c r="O2" s="4838"/>
      <c r="P2" s="399"/>
      <c r="Q2" s="4837" t="s">
        <v>624</v>
      </c>
      <c r="R2" s="4838"/>
      <c r="S2" s="4838"/>
      <c r="T2" s="4838"/>
      <c r="U2" s="468"/>
      <c r="V2" s="4837" t="s">
        <v>714</v>
      </c>
      <c r="W2" s="4838"/>
      <c r="X2" s="4838"/>
      <c r="Y2" s="4838"/>
      <c r="Z2" s="613"/>
      <c r="AA2" s="4837" t="s">
        <v>770</v>
      </c>
      <c r="AB2" s="4838"/>
      <c r="AC2" s="4838"/>
      <c r="AD2" s="4838"/>
      <c r="AE2" s="4838"/>
      <c r="AF2" s="4922" t="s">
        <v>820</v>
      </c>
      <c r="AG2" s="4923"/>
      <c r="AH2" s="4923"/>
      <c r="AI2" s="4923"/>
      <c r="AJ2" s="4924"/>
      <c r="AK2" s="4955" t="s">
        <v>836</v>
      </c>
      <c r="AL2" s="4956"/>
      <c r="AM2" s="4956"/>
      <c r="AN2" s="4956"/>
      <c r="AO2" s="4957"/>
      <c r="AP2" s="4934" t="s">
        <v>883</v>
      </c>
      <c r="AQ2" s="4935"/>
      <c r="AR2" s="4935"/>
      <c r="AS2" s="4935"/>
      <c r="AT2" s="4936"/>
      <c r="AU2" s="4898" t="s">
        <v>910</v>
      </c>
      <c r="AV2" s="4899"/>
      <c r="AW2" s="4899"/>
      <c r="AX2" s="4899"/>
      <c r="AY2" s="4900"/>
      <c r="AZ2" s="4898" t="s">
        <v>1066</v>
      </c>
      <c r="BA2" s="4899"/>
      <c r="BB2" s="4899"/>
      <c r="BC2" s="4899"/>
      <c r="BD2" s="4900"/>
      <c r="BE2" s="4841" t="s">
        <v>1232</v>
      </c>
      <c r="BF2" s="4842"/>
      <c r="BG2" s="4842"/>
      <c r="BH2" s="4842"/>
      <c r="BI2" s="4843"/>
      <c r="BJ2" s="4988" t="s">
        <v>469</v>
      </c>
      <c r="BK2" s="4989"/>
      <c r="BL2" s="4989"/>
      <c r="BM2" s="4989"/>
      <c r="BN2" s="384"/>
    </row>
    <row r="3" spans="1:66" ht="15" customHeight="1" thickBot="1">
      <c r="A3" s="4853" t="s">
        <v>54</v>
      </c>
      <c r="B3" s="4854"/>
      <c r="C3" s="4854"/>
      <c r="D3" s="4854"/>
      <c r="E3" s="4854"/>
      <c r="F3" s="4855"/>
      <c r="G3" s="4839"/>
      <c r="H3" s="4840"/>
      <c r="I3" s="4840"/>
      <c r="J3" s="4840"/>
      <c r="K3" s="381"/>
      <c r="L3" s="4839"/>
      <c r="M3" s="4840"/>
      <c r="N3" s="4840"/>
      <c r="O3" s="4840"/>
      <c r="P3" s="400"/>
      <c r="Q3" s="4839"/>
      <c r="R3" s="4840"/>
      <c r="S3" s="4840"/>
      <c r="T3" s="4840"/>
      <c r="U3" s="469"/>
      <c r="V3" s="4839"/>
      <c r="W3" s="4840"/>
      <c r="X3" s="4840"/>
      <c r="Y3" s="4840"/>
      <c r="Z3" s="614"/>
      <c r="AA3" s="4839"/>
      <c r="AB3" s="4840"/>
      <c r="AC3" s="4840"/>
      <c r="AD3" s="4840"/>
      <c r="AE3" s="4840"/>
      <c r="AF3" s="4925"/>
      <c r="AG3" s="4926"/>
      <c r="AH3" s="4926"/>
      <c r="AI3" s="4926"/>
      <c r="AJ3" s="4927"/>
      <c r="AK3" s="4958"/>
      <c r="AL3" s="4959"/>
      <c r="AM3" s="4959"/>
      <c r="AN3" s="4959"/>
      <c r="AO3" s="4960"/>
      <c r="AP3" s="4937"/>
      <c r="AQ3" s="4938"/>
      <c r="AR3" s="4938"/>
      <c r="AS3" s="4938"/>
      <c r="AT3" s="4939"/>
      <c r="AU3" s="4901"/>
      <c r="AV3" s="4902"/>
      <c r="AW3" s="4902"/>
      <c r="AX3" s="4902"/>
      <c r="AY3" s="4903"/>
      <c r="AZ3" s="4901"/>
      <c r="BA3" s="4902"/>
      <c r="BB3" s="4902"/>
      <c r="BC3" s="4902"/>
      <c r="BD3" s="4903"/>
      <c r="BE3" s="4844"/>
      <c r="BF3" s="4845"/>
      <c r="BG3" s="4845"/>
      <c r="BH3" s="4845"/>
      <c r="BI3" s="4846"/>
      <c r="BJ3" s="4990"/>
      <c r="BK3" s="4991"/>
      <c r="BL3" s="4991"/>
      <c r="BM3" s="4991"/>
      <c r="BN3" s="385"/>
    </row>
    <row r="4" spans="1:66"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632" t="s">
        <v>19</v>
      </c>
      <c r="AF4" s="632" t="s">
        <v>55</v>
      </c>
      <c r="AG4" s="632" t="s">
        <v>18</v>
      </c>
      <c r="AH4" s="653" t="s">
        <v>39</v>
      </c>
      <c r="AI4" s="654" t="s">
        <v>40</v>
      </c>
      <c r="AJ4" s="653" t="s">
        <v>19</v>
      </c>
      <c r="AK4" s="632" t="s">
        <v>55</v>
      </c>
      <c r="AL4" s="632" t="s">
        <v>18</v>
      </c>
      <c r="AM4" s="653" t="s">
        <v>39</v>
      </c>
      <c r="AN4" s="654" t="s">
        <v>40</v>
      </c>
      <c r="AO4" s="653" t="s">
        <v>19</v>
      </c>
      <c r="AP4" s="632" t="s">
        <v>55</v>
      </c>
      <c r="AQ4" s="632" t="s">
        <v>18</v>
      </c>
      <c r="AR4" s="653" t="s">
        <v>39</v>
      </c>
      <c r="AS4" s="654" t="s">
        <v>40</v>
      </c>
      <c r="AT4" s="653" t="s">
        <v>19</v>
      </c>
      <c r="AU4" s="632" t="s">
        <v>55</v>
      </c>
      <c r="AV4" s="632" t="s">
        <v>18</v>
      </c>
      <c r="AW4" s="653" t="s">
        <v>39</v>
      </c>
      <c r="AX4" s="654" t="s">
        <v>40</v>
      </c>
      <c r="AY4" s="653" t="s">
        <v>19</v>
      </c>
      <c r="AZ4" s="632" t="s">
        <v>55</v>
      </c>
      <c r="BA4" s="632" t="s">
        <v>18</v>
      </c>
      <c r="BB4" s="653" t="s">
        <v>39</v>
      </c>
      <c r="BC4" s="654" t="s">
        <v>40</v>
      </c>
      <c r="BD4" s="653" t="s">
        <v>19</v>
      </c>
      <c r="BE4" s="1473" t="s">
        <v>55</v>
      </c>
      <c r="BF4" s="1473" t="s">
        <v>18</v>
      </c>
      <c r="BG4" s="1474" t="s">
        <v>39</v>
      </c>
      <c r="BH4" s="1551" t="s">
        <v>40</v>
      </c>
      <c r="BI4" s="1474" t="s">
        <v>19</v>
      </c>
      <c r="BJ4" s="94" t="s">
        <v>55</v>
      </c>
      <c r="BK4" s="94" t="s">
        <v>18</v>
      </c>
      <c r="BL4" s="95" t="s">
        <v>39</v>
      </c>
      <c r="BM4" s="209" t="s">
        <v>40</v>
      </c>
      <c r="BN4" s="95" t="s">
        <v>19</v>
      </c>
    </row>
    <row r="5" spans="1:66" s="88" customFormat="1" ht="14.4" thickBot="1">
      <c r="A5" s="83"/>
      <c r="B5" s="84" t="s">
        <v>10</v>
      </c>
      <c r="C5" s="85">
        <f>C6</f>
        <v>0</v>
      </c>
      <c r="D5" s="85">
        <f>D6</f>
        <v>0</v>
      </c>
      <c r="E5" s="86">
        <f>E6</f>
        <v>0</v>
      </c>
      <c r="F5" s="87"/>
      <c r="G5" s="87">
        <f>G6</f>
        <v>0</v>
      </c>
      <c r="H5" s="87">
        <f>H6</f>
        <v>0</v>
      </c>
      <c r="I5" s="87">
        <f>I6</f>
        <v>0</v>
      </c>
      <c r="J5" s="87"/>
      <c r="K5" s="87"/>
      <c r="L5" s="87">
        <f>L6</f>
        <v>119662</v>
      </c>
      <c r="M5" s="87">
        <f>M6</f>
        <v>0</v>
      </c>
      <c r="N5" s="87">
        <f>N6</f>
        <v>119662</v>
      </c>
      <c r="O5" s="87"/>
      <c r="P5" s="87"/>
      <c r="Q5" s="87">
        <f>Q6</f>
        <v>312499.53999999998</v>
      </c>
      <c r="R5" s="87">
        <f>R6</f>
        <v>0</v>
      </c>
      <c r="S5" s="87">
        <f>S6</f>
        <v>312499.53999999998</v>
      </c>
      <c r="T5" s="87"/>
      <c r="U5" s="87"/>
      <c r="V5" s="87">
        <f>V6</f>
        <v>0</v>
      </c>
      <c r="W5" s="87">
        <f>W6</f>
        <v>0</v>
      </c>
      <c r="X5" s="87">
        <f>X6</f>
        <v>0</v>
      </c>
      <c r="Y5" s="87"/>
      <c r="Z5" s="87"/>
      <c r="AA5" s="87">
        <f>AA6</f>
        <v>0</v>
      </c>
      <c r="AB5" s="87">
        <f>AB6</f>
        <v>0</v>
      </c>
      <c r="AC5" s="87">
        <f>AC6</f>
        <v>0</v>
      </c>
      <c r="AD5" s="87"/>
      <c r="AE5" s="633"/>
      <c r="AF5" s="655">
        <f>AF6</f>
        <v>0</v>
      </c>
      <c r="AG5" s="620">
        <f>AG6</f>
        <v>0</v>
      </c>
      <c r="AH5" s="620">
        <f>AH6</f>
        <v>0</v>
      </c>
      <c r="AI5" s="620"/>
      <c r="AJ5" s="620"/>
      <c r="AK5" s="655">
        <f>AK6</f>
        <v>765796.95</v>
      </c>
      <c r="AL5" s="620">
        <f>AL6</f>
        <v>0</v>
      </c>
      <c r="AM5" s="620">
        <f>AM6</f>
        <v>765796.95</v>
      </c>
      <c r="AN5" s="620"/>
      <c r="AO5" s="620"/>
      <c r="AP5" s="655">
        <f>AP6</f>
        <v>681443.25</v>
      </c>
      <c r="AQ5" s="620">
        <f>AQ6</f>
        <v>0</v>
      </c>
      <c r="AR5" s="620">
        <f>AR6</f>
        <v>681443.25</v>
      </c>
      <c r="AS5" s="620"/>
      <c r="AT5" s="620"/>
      <c r="AU5" s="655">
        <f>AU6</f>
        <v>340721.62</v>
      </c>
      <c r="AV5" s="620">
        <f>AV6</f>
        <v>0</v>
      </c>
      <c r="AW5" s="620">
        <f>AW6</f>
        <v>340721.62</v>
      </c>
      <c r="AX5" s="620"/>
      <c r="AY5" s="620"/>
      <c r="AZ5" s="655">
        <f>AZ6</f>
        <v>0</v>
      </c>
      <c r="BA5" s="620">
        <f>BA6</f>
        <v>0</v>
      </c>
      <c r="BB5" s="620">
        <f>BB6</f>
        <v>0</v>
      </c>
      <c r="BC5" s="620"/>
      <c r="BD5" s="620"/>
      <c r="BE5" s="1465">
        <f>BE6</f>
        <v>0</v>
      </c>
      <c r="BF5" s="1466">
        <f>BF6</f>
        <v>0</v>
      </c>
      <c r="BG5" s="1466">
        <f>BG6</f>
        <v>0</v>
      </c>
      <c r="BH5" s="1466"/>
      <c r="BI5" s="1466"/>
      <c r="BJ5" s="87">
        <f>BJ6</f>
        <v>2220123.36</v>
      </c>
      <c r="BK5" s="87">
        <f>BK6</f>
        <v>0</v>
      </c>
      <c r="BL5" s="87">
        <f>BL6</f>
        <v>2220123.36</v>
      </c>
      <c r="BM5" s="87"/>
      <c r="BN5" s="87"/>
    </row>
    <row r="6" spans="1:66" s="2" customFormat="1" ht="13.8">
      <c r="A6" s="330">
        <f>'PL_Сватово очередь 2'!I6</f>
        <v>0</v>
      </c>
      <c r="B6" s="9" t="s">
        <v>17</v>
      </c>
      <c r="C6" s="104"/>
      <c r="D6" s="105"/>
      <c r="E6" s="106">
        <f>C6+D6</f>
        <v>0</v>
      </c>
      <c r="F6" s="39"/>
      <c r="G6" s="39"/>
      <c r="H6" s="39"/>
      <c r="I6" s="106">
        <f>G6+H6</f>
        <v>0</v>
      </c>
      <c r="J6" s="39"/>
      <c r="K6" s="39"/>
      <c r="L6" s="39">
        <v>119662</v>
      </c>
      <c r="M6" s="39"/>
      <c r="N6" s="106">
        <f>L6+M6</f>
        <v>119662</v>
      </c>
      <c r="O6" s="39"/>
      <c r="P6" s="39"/>
      <c r="Q6" s="39">
        <f>195291.09+117208.45</f>
        <v>312499.53999999998</v>
      </c>
      <c r="R6" s="39"/>
      <c r="S6" s="106">
        <f>Q6+R6</f>
        <v>312499.53999999998</v>
      </c>
      <c r="T6" s="39"/>
      <c r="U6" s="39" t="s">
        <v>669</v>
      </c>
      <c r="V6" s="39"/>
      <c r="W6" s="39"/>
      <c r="X6" s="106">
        <f>V6+W6</f>
        <v>0</v>
      </c>
      <c r="Y6" s="39"/>
      <c r="Z6" s="39" t="s">
        <v>669</v>
      </c>
      <c r="AA6" s="39"/>
      <c r="AB6" s="39"/>
      <c r="AC6" s="106">
        <f>AA6+AB6</f>
        <v>0</v>
      </c>
      <c r="AD6" s="39"/>
      <c r="AE6" s="540"/>
      <c r="AF6" s="560"/>
      <c r="AG6" s="452"/>
      <c r="AH6" s="446">
        <f>AF6+AG6</f>
        <v>0</v>
      </c>
      <c r="AI6" s="452"/>
      <c r="AJ6" s="452"/>
      <c r="AK6" s="560">
        <v>765796.95</v>
      </c>
      <c r="AL6" s="452"/>
      <c r="AM6" s="446">
        <f>AK6+AL6</f>
        <v>765796.95</v>
      </c>
      <c r="AN6" s="452"/>
      <c r="AO6" s="452"/>
      <c r="AP6" s="560">
        <v>681443.25</v>
      </c>
      <c r="AQ6" s="452"/>
      <c r="AR6" s="446">
        <f>AP6+AQ6</f>
        <v>681443.25</v>
      </c>
      <c r="AS6" s="452"/>
      <c r="AT6" s="452"/>
      <c r="AU6" s="560">
        <v>340721.62</v>
      </c>
      <c r="AV6" s="452"/>
      <c r="AW6" s="446">
        <f>AU6+AV6</f>
        <v>340721.62</v>
      </c>
      <c r="AX6" s="452"/>
      <c r="AY6" s="452"/>
      <c r="AZ6" s="560"/>
      <c r="BA6" s="452"/>
      <c r="BB6" s="446">
        <f>AZ6+BA6</f>
        <v>0</v>
      </c>
      <c r="BC6" s="452"/>
      <c r="BD6" s="452"/>
      <c r="BE6" s="1644"/>
      <c r="BF6" s="1432"/>
      <c r="BG6" s="1480">
        <f>BE6+BF6</f>
        <v>0</v>
      </c>
      <c r="BH6" s="1432"/>
      <c r="BI6" s="1432"/>
      <c r="BJ6" s="39">
        <f>G6+L6+Q6+V6+AA6+AF6+AK6+AP6+AU6+AZ6+BE6</f>
        <v>2220123.36</v>
      </c>
      <c r="BK6" s="39">
        <f>H6+M6+R6+W6+AB6+AG6+AL6+AQ6+AV6+BA6+BF6</f>
        <v>0</v>
      </c>
      <c r="BL6" s="106">
        <f>BJ6+BK6</f>
        <v>2220123.36</v>
      </c>
      <c r="BM6" s="39"/>
      <c r="BN6" s="39"/>
    </row>
    <row r="7" spans="1:66" s="2" customFormat="1" ht="14.4" thickBot="1">
      <c r="A7" s="238"/>
      <c r="B7" s="10" t="s">
        <v>41</v>
      </c>
      <c r="C7" s="107"/>
      <c r="D7" s="108"/>
      <c r="E7" s="106">
        <f>C7+D7</f>
        <v>0</v>
      </c>
      <c r="F7" s="40"/>
      <c r="G7" s="39"/>
      <c r="H7" s="39"/>
      <c r="I7" s="106">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729"/>
      <c r="AF7" s="560"/>
      <c r="AG7" s="452"/>
      <c r="AH7" s="446">
        <f>AF7+AG7</f>
        <v>0</v>
      </c>
      <c r="AI7" s="612"/>
      <c r="AJ7" s="612"/>
      <c r="AK7" s="560"/>
      <c r="AL7" s="452"/>
      <c r="AM7" s="446">
        <f>AK7+AL7</f>
        <v>0</v>
      </c>
      <c r="AN7" s="612"/>
      <c r="AO7" s="612"/>
      <c r="AP7" s="560"/>
      <c r="AQ7" s="452"/>
      <c r="AR7" s="446">
        <f>AP7+AQ7</f>
        <v>0</v>
      </c>
      <c r="AS7" s="612"/>
      <c r="AT7" s="612"/>
      <c r="AU7" s="560"/>
      <c r="AV7" s="452"/>
      <c r="AW7" s="446">
        <f>AU7+AV7</f>
        <v>0</v>
      </c>
      <c r="AX7" s="612"/>
      <c r="AY7" s="612"/>
      <c r="AZ7" s="560"/>
      <c r="BA7" s="452"/>
      <c r="BB7" s="446">
        <f>AZ7+BA7</f>
        <v>0</v>
      </c>
      <c r="BC7" s="612"/>
      <c r="BD7" s="612"/>
      <c r="BE7" s="1644"/>
      <c r="BF7" s="1432"/>
      <c r="BG7" s="1480">
        <f>BE7+BF7</f>
        <v>0</v>
      </c>
      <c r="BH7" s="1905"/>
      <c r="BI7" s="1905"/>
      <c r="BJ7" s="39">
        <f>G7+L7+Q7+V7+AA7+AF7+AK7+AP7+AU7+AZ7+BE7</f>
        <v>0</v>
      </c>
      <c r="BK7" s="39">
        <f>H7+M7+R7+W7+AB7+AG7+AL7+AQ7+AV7+BA7+BF7</f>
        <v>0</v>
      </c>
      <c r="BL7" s="106">
        <f>BJ7+BK7</f>
        <v>0</v>
      </c>
      <c r="BM7" s="40"/>
      <c r="BN7" s="40"/>
    </row>
    <row r="8" spans="1:66" s="88" customFormat="1" ht="14.4" thickBot="1">
      <c r="A8" s="238"/>
      <c r="B8" s="84" t="s">
        <v>16</v>
      </c>
      <c r="C8" s="109">
        <f>SUM(C9:C33)</f>
        <v>0</v>
      </c>
      <c r="D8" s="109">
        <f>SUM(D9:D33)</f>
        <v>0</v>
      </c>
      <c r="E8" s="110">
        <f>SUM(E9:E33)</f>
        <v>0</v>
      </c>
      <c r="F8" s="164" t="e">
        <f t="shared" ref="F8:F21" si="0">E8/$E$89</f>
        <v>#DIV/0!</v>
      </c>
      <c r="G8" s="109">
        <f>SUM(G9:G33)</f>
        <v>40950.04</v>
      </c>
      <c r="H8" s="109">
        <f>SUM(H9:H33)</f>
        <v>3900</v>
      </c>
      <c r="I8" s="110">
        <f>SUM(I9:I33)</f>
        <v>44850.04</v>
      </c>
      <c r="J8" s="164">
        <f t="shared" ref="J8:J21" si="1">I8/$I$89</f>
        <v>0.97168338418636613</v>
      </c>
      <c r="K8" s="87"/>
      <c r="L8" s="109">
        <f>SUM(L9:L33)</f>
        <v>56773.802600000003</v>
      </c>
      <c r="M8" s="109">
        <f>SUM(M9:M33)</f>
        <v>54281.74</v>
      </c>
      <c r="N8" s="110">
        <f>SUM(N9:N33)</f>
        <v>111055.5426</v>
      </c>
      <c r="O8" s="164">
        <f t="shared" ref="O8:O22" si="2">N8/$N$89</f>
        <v>0.73891913931965503</v>
      </c>
      <c r="P8" s="87"/>
      <c r="Q8" s="109">
        <f>SUM(Q9:Q33)</f>
        <v>67627.497999999992</v>
      </c>
      <c r="R8" s="109">
        <f>SUM(R9:R33)</f>
        <v>79305.58</v>
      </c>
      <c r="S8" s="110">
        <f>SUM(S9:S33)</f>
        <v>146933.07800000001</v>
      </c>
      <c r="T8" s="164">
        <f>S8/$S$89</f>
        <v>0.81395077615569611</v>
      </c>
      <c r="U8" s="87"/>
      <c r="V8" s="109">
        <f>SUM(V9:V33)</f>
        <v>971.64</v>
      </c>
      <c r="W8" s="109">
        <f>SUM(W9:W33)</f>
        <v>0</v>
      </c>
      <c r="X8" s="110">
        <f>SUM(X9:X33)</f>
        <v>971.64</v>
      </c>
      <c r="Y8" s="164">
        <f>X8/$X$89</f>
        <v>1</v>
      </c>
      <c r="Z8" s="87"/>
      <c r="AA8" s="109">
        <f>SUM(AA9:AA33)</f>
        <v>125</v>
      </c>
      <c r="AB8" s="109">
        <f>SUM(AB9:AB33)</f>
        <v>0</v>
      </c>
      <c r="AC8" s="110">
        <f>SUM(AC9:AC33)</f>
        <v>125</v>
      </c>
      <c r="AD8" s="164">
        <f>AC8/$AC$89</f>
        <v>0.22279654219766512</v>
      </c>
      <c r="AE8" s="633"/>
      <c r="AF8" s="618">
        <f>SUM(AF9:AF33)</f>
        <v>971.64</v>
      </c>
      <c r="AG8" s="618">
        <f>SUM(AG9:AG33)</f>
        <v>0</v>
      </c>
      <c r="AH8" s="619">
        <f>SUM(AH9:AH33)</f>
        <v>971.64</v>
      </c>
      <c r="AI8" s="577">
        <f>AH8/$AC$89</f>
        <v>1.7318242580875145</v>
      </c>
      <c r="AJ8" s="620"/>
      <c r="AK8" s="618">
        <f>SUM(AK9:AK33)</f>
        <v>81.095999999999989</v>
      </c>
      <c r="AL8" s="618">
        <f>SUM(AL9:AL33)</f>
        <v>4500</v>
      </c>
      <c r="AM8" s="619">
        <f>SUM(AM9:AM33)</f>
        <v>4581.0959999999995</v>
      </c>
      <c r="AN8" s="577">
        <f>AM8/$AC$89</f>
        <v>8.1652187862044379</v>
      </c>
      <c r="AO8" s="620"/>
      <c r="AP8" s="618">
        <f>SUM(AP9:AP33)</f>
        <v>81.095999999999989</v>
      </c>
      <c r="AQ8" s="618">
        <f>SUM(AQ9:AQ33)</f>
        <v>0</v>
      </c>
      <c r="AR8" s="619">
        <f>SUM(AR9:AR33)</f>
        <v>81.095999999999989</v>
      </c>
      <c r="AS8" s="577">
        <f>AR8/$AR$89</f>
        <v>1</v>
      </c>
      <c r="AT8" s="620"/>
      <c r="AU8" s="618">
        <f>SUM(AU9:AU33)</f>
        <v>78.48</v>
      </c>
      <c r="AV8" s="618">
        <f>SUM(AV9:AV33)</f>
        <v>0</v>
      </c>
      <c r="AW8" s="619">
        <f>SUM(AW9:AW33)</f>
        <v>78.48</v>
      </c>
      <c r="AX8" s="577">
        <f>AW8/$AR$89</f>
        <v>0.96774193548387111</v>
      </c>
      <c r="AY8" s="620"/>
      <c r="AZ8" s="618">
        <f>SUM(AZ9:AZ33)</f>
        <v>27406.331999999999</v>
      </c>
      <c r="BA8" s="618">
        <f>SUM(BA9:BA33)</f>
        <v>0</v>
      </c>
      <c r="BB8" s="619">
        <f>SUM(BB9:BB33)</f>
        <v>27406.331999999999</v>
      </c>
      <c r="BC8" s="577">
        <f>BB8/$AR$89</f>
        <v>337.94924533885768</v>
      </c>
      <c r="BD8" s="620"/>
      <c r="BE8" s="1483">
        <f>SUM(BE9:BE33)</f>
        <v>48714.983999999997</v>
      </c>
      <c r="BF8" s="1483">
        <f>SUM(BF9:BF33)</f>
        <v>0</v>
      </c>
      <c r="BG8" s="1484">
        <f>SUM(BG9:BG33)</f>
        <v>48714.983999999997</v>
      </c>
      <c r="BH8" s="1528">
        <f>IF(BG89=0,0,BG8/$BG$89)</f>
        <v>1</v>
      </c>
      <c r="BI8" s="1466"/>
      <c r="BJ8" s="109">
        <f>SUM(BJ9:BJ33)</f>
        <v>243781.60859999998</v>
      </c>
      <c r="BK8" s="109">
        <f>SUM(BK9:BK33)</f>
        <v>141987.32</v>
      </c>
      <c r="BL8" s="110">
        <f>SUM(BL9:BL33)</f>
        <v>385768.92859999998</v>
      </c>
      <c r="BM8" s="164">
        <f t="shared" ref="BM8:BM25" si="3">BL8/$BL$89</f>
        <v>0.83801538201136372</v>
      </c>
      <c r="BN8" s="87"/>
    </row>
    <row r="9" spans="1:66" s="2" customFormat="1" ht="41.4">
      <c r="A9" s="238"/>
      <c r="B9" s="31" t="s">
        <v>74</v>
      </c>
      <c r="C9" s="111"/>
      <c r="D9" s="112"/>
      <c r="E9" s="106">
        <f t="shared" ref="E9:E33" si="4">C9+D9</f>
        <v>0</v>
      </c>
      <c r="F9" s="177" t="e">
        <f t="shared" si="0"/>
        <v>#DIV/0!</v>
      </c>
      <c r="G9" s="39">
        <f>14567.28</f>
        <v>14567.28</v>
      </c>
      <c r="H9" s="39"/>
      <c r="I9" s="210">
        <f>G9+H9*1</f>
        <v>14567.28</v>
      </c>
      <c r="J9" s="178">
        <f t="shared" si="1"/>
        <v>0.31560248170994648</v>
      </c>
      <c r="K9" s="261" t="s">
        <v>541</v>
      </c>
      <c r="L9" s="39">
        <f>7283.64*2</f>
        <v>14567.28</v>
      </c>
      <c r="M9" s="39"/>
      <c r="N9" s="210">
        <f>L9+M9*1</f>
        <v>14567.28</v>
      </c>
      <c r="O9" s="178">
        <f t="shared" si="2"/>
        <v>9.692485172575642E-2</v>
      </c>
      <c r="P9" s="417" t="s">
        <v>558</v>
      </c>
      <c r="Q9" s="39"/>
      <c r="R9" s="39"/>
      <c r="S9" s="210">
        <f>Q9+R9*1</f>
        <v>0</v>
      </c>
      <c r="T9" s="178">
        <f>S9/$S$89</f>
        <v>0</v>
      </c>
      <c r="U9" s="388"/>
      <c r="V9" s="39"/>
      <c r="W9" s="39"/>
      <c r="X9" s="210">
        <f>V9+W9*1</f>
        <v>0</v>
      </c>
      <c r="Y9" s="178">
        <f>X9/$X$89</f>
        <v>0</v>
      </c>
      <c r="Z9" s="388"/>
      <c r="AA9" s="39"/>
      <c r="AB9" s="39"/>
      <c r="AC9" s="210">
        <f>AA9+AB9*1</f>
        <v>0</v>
      </c>
      <c r="AD9" s="178">
        <f>AC9/$AC$89</f>
        <v>0</v>
      </c>
      <c r="AE9" s="730"/>
      <c r="AF9" s="560"/>
      <c r="AG9" s="452"/>
      <c r="AH9" s="453">
        <f>AF9+AG9*1</f>
        <v>0</v>
      </c>
      <c r="AI9" s="450">
        <f>AH9/$AH$89</f>
        <v>0</v>
      </c>
      <c r="AJ9" s="458"/>
      <c r="AK9" s="560"/>
      <c r="AL9" s="452"/>
      <c r="AM9" s="453">
        <f>AK9+AL9*1</f>
        <v>0</v>
      </c>
      <c r="AN9" s="450">
        <f>AM9/$AH$89</f>
        <v>0</v>
      </c>
      <c r="AO9" s="458"/>
      <c r="AP9" s="560"/>
      <c r="AQ9" s="452"/>
      <c r="AR9" s="453">
        <f>AP9+AQ9*1</f>
        <v>0</v>
      </c>
      <c r="AS9" s="450">
        <f t="shared" ref="AS9:AS71" si="5">AR9/$AR$89</f>
        <v>0</v>
      </c>
      <c r="AT9" s="458"/>
      <c r="AU9" s="560"/>
      <c r="AV9" s="452"/>
      <c r="AW9" s="453">
        <f>AU9+AV9*1</f>
        <v>0</v>
      </c>
      <c r="AX9" s="450">
        <f t="shared" ref="AX9:AX52" si="6">AW9/$AR$89</f>
        <v>0</v>
      </c>
      <c r="AY9" s="458"/>
      <c r="AZ9" s="560"/>
      <c r="BA9" s="452"/>
      <c r="BB9" s="453">
        <f>AZ9+BA9*1</f>
        <v>0</v>
      </c>
      <c r="BC9" s="450">
        <f t="shared" ref="BC9:BC52" si="7">BB9/$AR$89</f>
        <v>0</v>
      </c>
      <c r="BD9" s="458"/>
      <c r="BE9" s="1644"/>
      <c r="BF9" s="1432"/>
      <c r="BG9" s="1552">
        <f>BE9+BF9*1</f>
        <v>0</v>
      </c>
      <c r="BH9" s="1877">
        <f t="shared" ref="BH9:BH71" si="8">IF(BG90=0,0,BG9/$BG$89)</f>
        <v>0</v>
      </c>
      <c r="BI9" s="1590"/>
      <c r="BJ9" s="39">
        <f t="shared" ref="BJ9:BJ33" si="9">G9+L9+Q9+V9+AA9+AF9+AK9+AP9+AU9+AZ9+BE9</f>
        <v>29134.560000000001</v>
      </c>
      <c r="BK9" s="39">
        <f t="shared" ref="BK9:BK33" si="10">H9+M9+R9+W9+AB9+AG9+AL9+AQ9+AV9+BA9+BF9</f>
        <v>0</v>
      </c>
      <c r="BL9" s="210">
        <f>BJ9+BK9*1</f>
        <v>29134.560000000001</v>
      </c>
      <c r="BM9" s="178">
        <f t="shared" si="3"/>
        <v>6.3289725060902691E-2</v>
      </c>
      <c r="BN9" s="42"/>
    </row>
    <row r="10" spans="1:66" s="2" customFormat="1" ht="13.8">
      <c r="A10" s="238"/>
      <c r="B10" s="31" t="s">
        <v>72</v>
      </c>
      <c r="C10" s="111"/>
      <c r="D10" s="112"/>
      <c r="E10" s="106">
        <f t="shared" si="4"/>
        <v>0</v>
      </c>
      <c r="F10" s="177" t="e">
        <f t="shared" si="0"/>
        <v>#DIV/0!</v>
      </c>
      <c r="G10" s="39">
        <v>5293.08</v>
      </c>
      <c r="H10" s="39"/>
      <c r="I10" s="210">
        <f t="shared" ref="I10:I33" si="11">G10+H10*1</f>
        <v>5293.08</v>
      </c>
      <c r="J10" s="178">
        <f t="shared" si="1"/>
        <v>0.11467543590081905</v>
      </c>
      <c r="K10" s="42"/>
      <c r="L10" s="39">
        <f>1764.36*2</f>
        <v>3528.72</v>
      </c>
      <c r="M10" s="39"/>
      <c r="N10" s="210">
        <f t="shared" ref="N10:N33" si="12">L10+M10*1</f>
        <v>3528.72</v>
      </c>
      <c r="O10" s="178">
        <f t="shared" si="2"/>
        <v>2.3478690790711181E-2</v>
      </c>
      <c r="P10" s="402"/>
      <c r="Q10" s="39"/>
      <c r="R10" s="39"/>
      <c r="S10" s="210">
        <f t="shared" ref="S10:S25" si="13">Q10+R10*1</f>
        <v>0</v>
      </c>
      <c r="T10" s="178">
        <f>S10/$S$89</f>
        <v>0</v>
      </c>
      <c r="U10" s="388"/>
      <c r="V10" s="39"/>
      <c r="W10" s="39"/>
      <c r="X10" s="210">
        <f t="shared" ref="X10:X33" si="14">V10+W10*1</f>
        <v>0</v>
      </c>
      <c r="Y10" s="178">
        <f t="shared" ref="Y10:Y33" si="15">X10/$X$89</f>
        <v>0</v>
      </c>
      <c r="Z10" s="388"/>
      <c r="AA10" s="39"/>
      <c r="AB10" s="39"/>
      <c r="AC10" s="210">
        <f t="shared" ref="AC10:AC33" si="16">AA10+AB10*1</f>
        <v>0</v>
      </c>
      <c r="AD10" s="178">
        <f t="shared" ref="AD10:AD33" si="17">AC10/$AC$89</f>
        <v>0</v>
      </c>
      <c r="AE10" s="730"/>
      <c r="AF10" s="560"/>
      <c r="AG10" s="452"/>
      <c r="AH10" s="453">
        <f t="shared" ref="AH10:AH33" si="18">AF10+AG10*1</f>
        <v>0</v>
      </c>
      <c r="AI10" s="450">
        <f t="shared" ref="AI10:AI33" si="19">AH10/$AH$89</f>
        <v>0</v>
      </c>
      <c r="AJ10" s="458"/>
      <c r="AK10" s="560"/>
      <c r="AL10" s="452"/>
      <c r="AM10" s="453">
        <f t="shared" ref="AM10:AM33" si="20">AK10+AL10*1</f>
        <v>0</v>
      </c>
      <c r="AN10" s="450">
        <f t="shared" ref="AN10:AN33" si="21">AM10/$AH$89</f>
        <v>0</v>
      </c>
      <c r="AO10" s="458"/>
      <c r="AP10" s="560"/>
      <c r="AQ10" s="452"/>
      <c r="AR10" s="453">
        <f t="shared" ref="AR10:AR33" si="22">AP10+AQ10*1</f>
        <v>0</v>
      </c>
      <c r="AS10" s="450">
        <f t="shared" si="5"/>
        <v>0</v>
      </c>
      <c r="AT10" s="458"/>
      <c r="AU10" s="560"/>
      <c r="AV10" s="452"/>
      <c r="AW10" s="453">
        <f t="shared" ref="AW10:AW33" si="23">AU10+AV10*1</f>
        <v>0</v>
      </c>
      <c r="AX10" s="450">
        <f t="shared" si="6"/>
        <v>0</v>
      </c>
      <c r="AY10" s="458"/>
      <c r="AZ10" s="560"/>
      <c r="BA10" s="452"/>
      <c r="BB10" s="453">
        <f t="shared" ref="BB10:BB33" si="24">AZ10+BA10*1</f>
        <v>0</v>
      </c>
      <c r="BC10" s="450">
        <f t="shared" si="7"/>
        <v>0</v>
      </c>
      <c r="BD10" s="458"/>
      <c r="BE10" s="1644"/>
      <c r="BF10" s="1432"/>
      <c r="BG10" s="1552">
        <f t="shared" ref="BG10:BG33" si="25">BE10+BF10*1</f>
        <v>0</v>
      </c>
      <c r="BH10" s="1877">
        <f t="shared" si="8"/>
        <v>0</v>
      </c>
      <c r="BI10" s="1590"/>
      <c r="BJ10" s="39">
        <f t="shared" si="9"/>
        <v>8821.7999999999993</v>
      </c>
      <c r="BK10" s="39">
        <f t="shared" si="10"/>
        <v>0</v>
      </c>
      <c r="BL10" s="210">
        <f t="shared" ref="BL10:BL33" si="26">BJ10+BK10*1</f>
        <v>8821.7999999999993</v>
      </c>
      <c r="BM10" s="178">
        <f t="shared" si="3"/>
        <v>1.9163814265335439E-2</v>
      </c>
      <c r="BN10" s="42"/>
    </row>
    <row r="11" spans="1:66" s="2" customFormat="1" ht="13.8">
      <c r="A11" s="238"/>
      <c r="B11" s="31" t="s">
        <v>69</v>
      </c>
      <c r="C11" s="111"/>
      <c r="D11" s="112"/>
      <c r="E11" s="106">
        <f t="shared" si="4"/>
        <v>0</v>
      </c>
      <c r="F11" s="177" t="e">
        <f t="shared" si="0"/>
        <v>#DIV/0!</v>
      </c>
      <c r="G11" s="39">
        <v>5971.68</v>
      </c>
      <c r="H11" s="39"/>
      <c r="I11" s="210">
        <f t="shared" si="11"/>
        <v>5971.68</v>
      </c>
      <c r="J11" s="178">
        <f t="shared" si="1"/>
        <v>0.12937741486246254</v>
      </c>
      <c r="K11" s="42"/>
      <c r="L11" s="39">
        <f>760.9368*2</f>
        <v>1521.8735999999999</v>
      </c>
      <c r="M11" s="39"/>
      <c r="N11" s="210">
        <f t="shared" si="12"/>
        <v>1521.8735999999999</v>
      </c>
      <c r="O11" s="178">
        <f t="shared" si="2"/>
        <v>1.0125937925634924E-2</v>
      </c>
      <c r="P11" s="402"/>
      <c r="Q11" s="39"/>
      <c r="R11" s="39"/>
      <c r="S11" s="210">
        <f t="shared" si="13"/>
        <v>0</v>
      </c>
      <c r="T11" s="178">
        <f t="shared" ref="T11:T33" si="27">S11/$S$89</f>
        <v>0</v>
      </c>
      <c r="U11" s="388"/>
      <c r="V11" s="39"/>
      <c r="W11" s="39"/>
      <c r="X11" s="210">
        <f t="shared" si="14"/>
        <v>0</v>
      </c>
      <c r="Y11" s="178">
        <f t="shared" si="15"/>
        <v>0</v>
      </c>
      <c r="Z11" s="388"/>
      <c r="AA11" s="39"/>
      <c r="AB11" s="39"/>
      <c r="AC11" s="210">
        <f t="shared" si="16"/>
        <v>0</v>
      </c>
      <c r="AD11" s="178">
        <f t="shared" si="17"/>
        <v>0</v>
      </c>
      <c r="AE11" s="730"/>
      <c r="AF11" s="560"/>
      <c r="AG11" s="452"/>
      <c r="AH11" s="453">
        <f t="shared" si="18"/>
        <v>0</v>
      </c>
      <c r="AI11" s="450">
        <f t="shared" si="19"/>
        <v>0</v>
      </c>
      <c r="AJ11" s="458"/>
      <c r="AK11" s="560"/>
      <c r="AL11" s="452"/>
      <c r="AM11" s="453">
        <f t="shared" si="20"/>
        <v>0</v>
      </c>
      <c r="AN11" s="450">
        <f t="shared" si="21"/>
        <v>0</v>
      </c>
      <c r="AO11" s="458"/>
      <c r="AP11" s="560"/>
      <c r="AQ11" s="452"/>
      <c r="AR11" s="453">
        <f t="shared" si="22"/>
        <v>0</v>
      </c>
      <c r="AS11" s="450">
        <f t="shared" si="5"/>
        <v>0</v>
      </c>
      <c r="AT11" s="458"/>
      <c r="AU11" s="560"/>
      <c r="AV11" s="452"/>
      <c r="AW11" s="453">
        <f t="shared" si="23"/>
        <v>0</v>
      </c>
      <c r="AX11" s="450">
        <f t="shared" si="6"/>
        <v>0</v>
      </c>
      <c r="AY11" s="458"/>
      <c r="AZ11" s="560"/>
      <c r="BA11" s="452"/>
      <c r="BB11" s="453">
        <f t="shared" si="24"/>
        <v>0</v>
      </c>
      <c r="BC11" s="450">
        <f t="shared" si="7"/>
        <v>0</v>
      </c>
      <c r="BD11" s="458"/>
      <c r="BE11" s="1644"/>
      <c r="BF11" s="1432"/>
      <c r="BG11" s="1552">
        <f t="shared" si="25"/>
        <v>0</v>
      </c>
      <c r="BH11" s="1877">
        <f t="shared" si="8"/>
        <v>0</v>
      </c>
      <c r="BI11" s="1590"/>
      <c r="BJ11" s="39">
        <f t="shared" si="9"/>
        <v>7493.5536000000002</v>
      </c>
      <c r="BK11" s="39">
        <f t="shared" si="10"/>
        <v>0</v>
      </c>
      <c r="BL11" s="210">
        <f t="shared" si="26"/>
        <v>7493.5536000000002</v>
      </c>
      <c r="BM11" s="178">
        <f t="shared" si="3"/>
        <v>1.6278431768770064E-2</v>
      </c>
      <c r="BN11" s="42"/>
    </row>
    <row r="12" spans="1:66" s="2" customFormat="1" ht="13.8">
      <c r="A12" s="238"/>
      <c r="B12" s="31" t="s">
        <v>73</v>
      </c>
      <c r="C12" s="111"/>
      <c r="D12" s="112"/>
      <c r="E12" s="106">
        <f t="shared" si="4"/>
        <v>0</v>
      </c>
      <c r="F12" s="177" t="e">
        <f t="shared" si="0"/>
        <v>#DIV/0!</v>
      </c>
      <c r="G12" s="39"/>
      <c r="H12" s="39"/>
      <c r="I12" s="210">
        <f t="shared" si="11"/>
        <v>0</v>
      </c>
      <c r="J12" s="178">
        <f t="shared" si="1"/>
        <v>0</v>
      </c>
      <c r="K12" s="42"/>
      <c r="L12" s="39">
        <v>8347.85</v>
      </c>
      <c r="M12" s="39">
        <v>12902.15</v>
      </c>
      <c r="N12" s="210">
        <f t="shared" si="12"/>
        <v>21250</v>
      </c>
      <c r="O12" s="178">
        <f t="shared" si="2"/>
        <v>0.14138899637903052</v>
      </c>
      <c r="P12" s="416" t="s">
        <v>555</v>
      </c>
      <c r="Q12" s="39"/>
      <c r="R12" s="39"/>
      <c r="S12" s="210">
        <f t="shared" si="13"/>
        <v>0</v>
      </c>
      <c r="T12" s="178">
        <f t="shared" si="27"/>
        <v>0</v>
      </c>
      <c r="U12" s="388"/>
      <c r="V12" s="39"/>
      <c r="W12" s="39"/>
      <c r="X12" s="210">
        <f t="shared" si="14"/>
        <v>0</v>
      </c>
      <c r="Y12" s="178">
        <f t="shared" si="15"/>
        <v>0</v>
      </c>
      <c r="Z12" s="388"/>
      <c r="AA12" s="39"/>
      <c r="AB12" s="39"/>
      <c r="AC12" s="210">
        <f t="shared" si="16"/>
        <v>0</v>
      </c>
      <c r="AD12" s="178">
        <f t="shared" si="17"/>
        <v>0</v>
      </c>
      <c r="AE12" s="730"/>
      <c r="AF12" s="560"/>
      <c r="AG12" s="452"/>
      <c r="AH12" s="453">
        <f t="shared" si="18"/>
        <v>0</v>
      </c>
      <c r="AI12" s="450">
        <f t="shared" si="19"/>
        <v>0</v>
      </c>
      <c r="AJ12" s="458"/>
      <c r="AK12" s="560"/>
      <c r="AL12" s="452"/>
      <c r="AM12" s="453">
        <f t="shared" si="20"/>
        <v>0</v>
      </c>
      <c r="AN12" s="450">
        <f t="shared" si="21"/>
        <v>0</v>
      </c>
      <c r="AO12" s="458"/>
      <c r="AP12" s="560"/>
      <c r="AQ12" s="452"/>
      <c r="AR12" s="453">
        <f t="shared" si="22"/>
        <v>0</v>
      </c>
      <c r="AS12" s="450">
        <f t="shared" si="5"/>
        <v>0</v>
      </c>
      <c r="AT12" s="458"/>
      <c r="AU12" s="560"/>
      <c r="AV12" s="452"/>
      <c r="AW12" s="453">
        <f t="shared" si="23"/>
        <v>0</v>
      </c>
      <c r="AX12" s="450">
        <f t="shared" si="6"/>
        <v>0</v>
      </c>
      <c r="AY12" s="458"/>
      <c r="AZ12" s="560"/>
      <c r="BA12" s="452"/>
      <c r="BB12" s="453">
        <f t="shared" si="24"/>
        <v>0</v>
      </c>
      <c r="BC12" s="450">
        <f t="shared" si="7"/>
        <v>0</v>
      </c>
      <c r="BD12" s="458"/>
      <c r="BE12" s="1644"/>
      <c r="BF12" s="1432"/>
      <c r="BG12" s="1552">
        <f t="shared" si="25"/>
        <v>0</v>
      </c>
      <c r="BH12" s="1877">
        <f t="shared" si="8"/>
        <v>0</v>
      </c>
      <c r="BI12" s="1590"/>
      <c r="BJ12" s="39">
        <f t="shared" si="9"/>
        <v>8347.85</v>
      </c>
      <c r="BK12" s="39">
        <f t="shared" si="10"/>
        <v>12902.15</v>
      </c>
      <c r="BL12" s="210">
        <f t="shared" si="26"/>
        <v>21250</v>
      </c>
      <c r="BM12" s="178">
        <f t="shared" si="3"/>
        <v>4.61619004214988E-2</v>
      </c>
      <c r="BN12" s="42"/>
    </row>
    <row r="13" spans="1:66" s="2" customFormat="1" ht="13.8">
      <c r="A13" s="238"/>
      <c r="B13" s="31" t="s">
        <v>71</v>
      </c>
      <c r="C13" s="111"/>
      <c r="D13" s="112"/>
      <c r="E13" s="106">
        <f t="shared" si="4"/>
        <v>0</v>
      </c>
      <c r="F13" s="177" t="e">
        <f t="shared" si="0"/>
        <v>#DIV/0!</v>
      </c>
      <c r="G13" s="39"/>
      <c r="H13" s="39"/>
      <c r="I13" s="210">
        <f t="shared" si="11"/>
        <v>0</v>
      </c>
      <c r="J13" s="178">
        <f t="shared" si="1"/>
        <v>0</v>
      </c>
      <c r="K13" s="42"/>
      <c r="L13" s="39">
        <v>2022.15</v>
      </c>
      <c r="M13" s="39"/>
      <c r="N13" s="210">
        <f t="shared" si="12"/>
        <v>2022.15</v>
      </c>
      <c r="O13" s="178">
        <f t="shared" si="2"/>
        <v>1.3454576895428545E-2</v>
      </c>
      <c r="P13" s="402"/>
      <c r="Q13" s="39"/>
      <c r="R13" s="39"/>
      <c r="S13" s="210">
        <f t="shared" si="13"/>
        <v>0</v>
      </c>
      <c r="T13" s="178">
        <f t="shared" si="27"/>
        <v>0</v>
      </c>
      <c r="U13" s="388"/>
      <c r="V13" s="39"/>
      <c r="W13" s="39"/>
      <c r="X13" s="210">
        <f t="shared" si="14"/>
        <v>0</v>
      </c>
      <c r="Y13" s="178">
        <f t="shared" si="15"/>
        <v>0</v>
      </c>
      <c r="Z13" s="388"/>
      <c r="AA13" s="39"/>
      <c r="AB13" s="39"/>
      <c r="AC13" s="210">
        <f t="shared" si="16"/>
        <v>0</v>
      </c>
      <c r="AD13" s="178">
        <f t="shared" si="17"/>
        <v>0</v>
      </c>
      <c r="AE13" s="730"/>
      <c r="AF13" s="560"/>
      <c r="AG13" s="452"/>
      <c r="AH13" s="453">
        <f t="shared" si="18"/>
        <v>0</v>
      </c>
      <c r="AI13" s="450">
        <f t="shared" si="19"/>
        <v>0</v>
      </c>
      <c r="AJ13" s="458"/>
      <c r="AK13" s="560"/>
      <c r="AL13" s="452"/>
      <c r="AM13" s="453">
        <f t="shared" si="20"/>
        <v>0</v>
      </c>
      <c r="AN13" s="450">
        <f t="shared" si="21"/>
        <v>0</v>
      </c>
      <c r="AO13" s="458"/>
      <c r="AP13" s="560"/>
      <c r="AQ13" s="452"/>
      <c r="AR13" s="453">
        <f t="shared" si="22"/>
        <v>0</v>
      </c>
      <c r="AS13" s="450">
        <f t="shared" si="5"/>
        <v>0</v>
      </c>
      <c r="AT13" s="458"/>
      <c r="AU13" s="560"/>
      <c r="AV13" s="452"/>
      <c r="AW13" s="453">
        <f t="shared" si="23"/>
        <v>0</v>
      </c>
      <c r="AX13" s="450">
        <f t="shared" si="6"/>
        <v>0</v>
      </c>
      <c r="AY13" s="458"/>
      <c r="AZ13" s="560"/>
      <c r="BA13" s="452"/>
      <c r="BB13" s="453">
        <f t="shared" si="24"/>
        <v>0</v>
      </c>
      <c r="BC13" s="450">
        <f t="shared" si="7"/>
        <v>0</v>
      </c>
      <c r="BD13" s="458"/>
      <c r="BE13" s="1644"/>
      <c r="BF13" s="1432"/>
      <c r="BG13" s="1552">
        <f t="shared" si="25"/>
        <v>0</v>
      </c>
      <c r="BH13" s="1877">
        <f t="shared" si="8"/>
        <v>0</v>
      </c>
      <c r="BI13" s="1590"/>
      <c r="BJ13" s="39">
        <f t="shared" si="9"/>
        <v>2022.15</v>
      </c>
      <c r="BK13" s="39">
        <f t="shared" si="10"/>
        <v>0</v>
      </c>
      <c r="BL13" s="210">
        <f t="shared" si="26"/>
        <v>2022.15</v>
      </c>
      <c r="BM13" s="178">
        <f t="shared" si="3"/>
        <v>4.3927664441098264E-3</v>
      </c>
      <c r="BN13" s="42"/>
    </row>
    <row r="14" spans="1:66" s="2" customFormat="1" ht="13.8">
      <c r="A14" s="238"/>
      <c r="B14" s="31" t="s">
        <v>70</v>
      </c>
      <c r="C14" s="111"/>
      <c r="D14" s="112"/>
      <c r="E14" s="106">
        <f t="shared" si="4"/>
        <v>0</v>
      </c>
      <c r="F14" s="177" t="e">
        <f t="shared" si="0"/>
        <v>#DIV/0!</v>
      </c>
      <c r="G14" s="39"/>
      <c r="H14" s="39"/>
      <c r="I14" s="210">
        <f t="shared" si="11"/>
        <v>0</v>
      </c>
      <c r="J14" s="178">
        <f t="shared" si="1"/>
        <v>0</v>
      </c>
      <c r="K14" s="42"/>
      <c r="L14" s="39">
        <v>872.11699999999996</v>
      </c>
      <c r="M14" s="39"/>
      <c r="N14" s="210">
        <f t="shared" si="12"/>
        <v>872.11699999999996</v>
      </c>
      <c r="O14" s="178">
        <f t="shared" si="2"/>
        <v>5.8027175225925159E-3</v>
      </c>
      <c r="P14" s="402"/>
      <c r="Q14" s="39"/>
      <c r="R14" s="39"/>
      <c r="S14" s="210">
        <f t="shared" si="13"/>
        <v>0</v>
      </c>
      <c r="T14" s="178">
        <f t="shared" si="27"/>
        <v>0</v>
      </c>
      <c r="U14" s="388"/>
      <c r="V14" s="39"/>
      <c r="W14" s="39"/>
      <c r="X14" s="210">
        <f t="shared" si="14"/>
        <v>0</v>
      </c>
      <c r="Y14" s="178">
        <f t="shared" si="15"/>
        <v>0</v>
      </c>
      <c r="Z14" s="388"/>
      <c r="AA14" s="39"/>
      <c r="AB14" s="39"/>
      <c r="AC14" s="210">
        <f t="shared" si="16"/>
        <v>0</v>
      </c>
      <c r="AD14" s="178">
        <f t="shared" si="17"/>
        <v>0</v>
      </c>
      <c r="AE14" s="730"/>
      <c r="AF14" s="560"/>
      <c r="AG14" s="452"/>
      <c r="AH14" s="453">
        <f t="shared" si="18"/>
        <v>0</v>
      </c>
      <c r="AI14" s="450">
        <f t="shared" si="19"/>
        <v>0</v>
      </c>
      <c r="AJ14" s="458"/>
      <c r="AK14" s="560"/>
      <c r="AL14" s="452"/>
      <c r="AM14" s="453">
        <f t="shared" si="20"/>
        <v>0</v>
      </c>
      <c r="AN14" s="450">
        <f t="shared" si="21"/>
        <v>0</v>
      </c>
      <c r="AO14" s="458"/>
      <c r="AP14" s="560"/>
      <c r="AQ14" s="452"/>
      <c r="AR14" s="453">
        <f t="shared" si="22"/>
        <v>0</v>
      </c>
      <c r="AS14" s="450">
        <f t="shared" si="5"/>
        <v>0</v>
      </c>
      <c r="AT14" s="458"/>
      <c r="AU14" s="560"/>
      <c r="AV14" s="452"/>
      <c r="AW14" s="453">
        <f t="shared" si="23"/>
        <v>0</v>
      </c>
      <c r="AX14" s="450">
        <f t="shared" si="6"/>
        <v>0</v>
      </c>
      <c r="AY14" s="458"/>
      <c r="AZ14" s="560"/>
      <c r="BA14" s="452"/>
      <c r="BB14" s="453">
        <f t="shared" si="24"/>
        <v>0</v>
      </c>
      <c r="BC14" s="450">
        <f t="shared" si="7"/>
        <v>0</v>
      </c>
      <c r="BD14" s="458"/>
      <c r="BE14" s="1644"/>
      <c r="BF14" s="1432"/>
      <c r="BG14" s="1552">
        <f t="shared" si="25"/>
        <v>0</v>
      </c>
      <c r="BH14" s="1877">
        <f t="shared" si="8"/>
        <v>0</v>
      </c>
      <c r="BI14" s="1590"/>
      <c r="BJ14" s="39">
        <f t="shared" si="9"/>
        <v>872.11699999999996</v>
      </c>
      <c r="BK14" s="39">
        <f t="shared" si="10"/>
        <v>0</v>
      </c>
      <c r="BL14" s="210">
        <f t="shared" si="26"/>
        <v>872.11699999999996</v>
      </c>
      <c r="BM14" s="178">
        <f t="shared" si="3"/>
        <v>1.8945213228186478E-3</v>
      </c>
      <c r="BN14" s="42"/>
    </row>
    <row r="15" spans="1:66" s="2" customFormat="1" ht="13.8">
      <c r="A15" s="238"/>
      <c r="B15" s="7" t="s">
        <v>20</v>
      </c>
      <c r="C15" s="111"/>
      <c r="D15" s="113"/>
      <c r="E15" s="106">
        <f t="shared" si="4"/>
        <v>0</v>
      </c>
      <c r="F15" s="177" t="e">
        <f t="shared" si="0"/>
        <v>#DIV/0!</v>
      </c>
      <c r="G15" s="39"/>
      <c r="H15" s="39"/>
      <c r="I15" s="210">
        <f t="shared" si="11"/>
        <v>0</v>
      </c>
      <c r="J15" s="178">
        <f t="shared" si="1"/>
        <v>0</v>
      </c>
      <c r="K15" s="42"/>
      <c r="L15" s="39"/>
      <c r="M15" s="39"/>
      <c r="N15" s="210">
        <f t="shared" si="12"/>
        <v>0</v>
      </c>
      <c r="O15" s="178">
        <f t="shared" si="2"/>
        <v>0</v>
      </c>
      <c r="P15" s="402"/>
      <c r="Q15" s="39"/>
      <c r="R15" s="39"/>
      <c r="S15" s="210">
        <f t="shared" si="13"/>
        <v>0</v>
      </c>
      <c r="T15" s="178">
        <f t="shared" si="27"/>
        <v>0</v>
      </c>
      <c r="U15" s="388"/>
      <c r="V15" s="39"/>
      <c r="W15" s="39"/>
      <c r="X15" s="210">
        <f t="shared" si="14"/>
        <v>0</v>
      </c>
      <c r="Y15" s="178">
        <f t="shared" si="15"/>
        <v>0</v>
      </c>
      <c r="Z15" s="388"/>
      <c r="AA15" s="39"/>
      <c r="AB15" s="39"/>
      <c r="AC15" s="210">
        <f t="shared" si="16"/>
        <v>0</v>
      </c>
      <c r="AD15" s="178">
        <f t="shared" si="17"/>
        <v>0</v>
      </c>
      <c r="AE15" s="730"/>
      <c r="AF15" s="560"/>
      <c r="AG15" s="452"/>
      <c r="AH15" s="453">
        <f t="shared" si="18"/>
        <v>0</v>
      </c>
      <c r="AI15" s="450">
        <f t="shared" si="19"/>
        <v>0</v>
      </c>
      <c r="AJ15" s="458"/>
      <c r="AK15" s="560"/>
      <c r="AL15" s="452"/>
      <c r="AM15" s="453">
        <f t="shared" si="20"/>
        <v>0</v>
      </c>
      <c r="AN15" s="450">
        <f t="shared" si="21"/>
        <v>0</v>
      </c>
      <c r="AO15" s="458"/>
      <c r="AP15" s="560"/>
      <c r="AQ15" s="452"/>
      <c r="AR15" s="453">
        <f t="shared" si="22"/>
        <v>0</v>
      </c>
      <c r="AS15" s="450">
        <f t="shared" si="5"/>
        <v>0</v>
      </c>
      <c r="AT15" s="458"/>
      <c r="AU15" s="560"/>
      <c r="AV15" s="452"/>
      <c r="AW15" s="453">
        <f t="shared" si="23"/>
        <v>0</v>
      </c>
      <c r="AX15" s="450">
        <f t="shared" si="6"/>
        <v>0</v>
      </c>
      <c r="AY15" s="458"/>
      <c r="AZ15" s="560"/>
      <c r="BA15" s="452"/>
      <c r="BB15" s="453">
        <f t="shared" si="24"/>
        <v>0</v>
      </c>
      <c r="BC15" s="450">
        <f t="shared" si="7"/>
        <v>0</v>
      </c>
      <c r="BD15" s="458"/>
      <c r="BE15" s="1644"/>
      <c r="BF15" s="1432"/>
      <c r="BG15" s="1552">
        <f t="shared" si="25"/>
        <v>0</v>
      </c>
      <c r="BH15" s="1877">
        <f t="shared" si="8"/>
        <v>0</v>
      </c>
      <c r="BI15" s="1590"/>
      <c r="BJ15" s="39">
        <f t="shared" si="9"/>
        <v>0</v>
      </c>
      <c r="BK15" s="39">
        <f t="shared" si="10"/>
        <v>0</v>
      </c>
      <c r="BL15" s="210">
        <f t="shared" si="26"/>
        <v>0</v>
      </c>
      <c r="BM15" s="178">
        <f t="shared" si="3"/>
        <v>0</v>
      </c>
      <c r="BN15" s="42"/>
    </row>
    <row r="16" spans="1:66" s="2" customFormat="1" ht="13.8">
      <c r="A16" s="292"/>
      <c r="B16" s="7" t="s">
        <v>21</v>
      </c>
      <c r="C16" s="111"/>
      <c r="D16" s="113"/>
      <c r="E16" s="106">
        <f t="shared" si="4"/>
        <v>0</v>
      </c>
      <c r="F16" s="177" t="e">
        <f t="shared" si="0"/>
        <v>#DIV/0!</v>
      </c>
      <c r="G16" s="39"/>
      <c r="H16" s="39"/>
      <c r="I16" s="210">
        <f t="shared" si="11"/>
        <v>0</v>
      </c>
      <c r="J16" s="178">
        <f t="shared" si="1"/>
        <v>0</v>
      </c>
      <c r="K16" s="42"/>
      <c r="L16" s="39"/>
      <c r="M16" s="39">
        <v>38144.589999999997</v>
      </c>
      <c r="N16" s="210">
        <f t="shared" si="12"/>
        <v>38144.589999999997</v>
      </c>
      <c r="O16" s="178">
        <f t="shared" si="2"/>
        <v>0.25379883752421661</v>
      </c>
      <c r="P16" s="416" t="s">
        <v>553</v>
      </c>
      <c r="Q16" s="39"/>
      <c r="R16" s="39">
        <v>57905.58</v>
      </c>
      <c r="S16" s="210">
        <f t="shared" si="13"/>
        <v>57905.58</v>
      </c>
      <c r="T16" s="178">
        <f t="shared" si="27"/>
        <v>0.32077386811937442</v>
      </c>
      <c r="U16" s="388" t="s">
        <v>651</v>
      </c>
      <c r="V16" s="39"/>
      <c r="W16" s="39"/>
      <c r="X16" s="210">
        <f t="shared" si="14"/>
        <v>0</v>
      </c>
      <c r="Y16" s="178">
        <f t="shared" si="15"/>
        <v>0</v>
      </c>
      <c r="Z16" s="388"/>
      <c r="AA16" s="39"/>
      <c r="AB16" s="39"/>
      <c r="AC16" s="210">
        <f t="shared" si="16"/>
        <v>0</v>
      </c>
      <c r="AD16" s="178">
        <f t="shared" si="17"/>
        <v>0</v>
      </c>
      <c r="AE16" s="730"/>
      <c r="AF16" s="560"/>
      <c r="AG16" s="452"/>
      <c r="AH16" s="453">
        <f t="shared" si="18"/>
        <v>0</v>
      </c>
      <c r="AI16" s="450">
        <f t="shared" si="19"/>
        <v>0</v>
      </c>
      <c r="AJ16" s="458"/>
      <c r="AK16" s="560"/>
      <c r="AL16" s="452"/>
      <c r="AM16" s="453">
        <f t="shared" si="20"/>
        <v>0</v>
      </c>
      <c r="AN16" s="450">
        <f t="shared" si="21"/>
        <v>0</v>
      </c>
      <c r="AO16" s="458"/>
      <c r="AP16" s="560"/>
      <c r="AQ16" s="452"/>
      <c r="AR16" s="453">
        <f t="shared" si="22"/>
        <v>0</v>
      </c>
      <c r="AS16" s="450">
        <f t="shared" si="5"/>
        <v>0</v>
      </c>
      <c r="AT16" s="458"/>
      <c r="AU16" s="560"/>
      <c r="AV16" s="452"/>
      <c r="AW16" s="453">
        <f t="shared" si="23"/>
        <v>0</v>
      </c>
      <c r="AX16" s="450">
        <f t="shared" si="6"/>
        <v>0</v>
      </c>
      <c r="AY16" s="458"/>
      <c r="AZ16" s="560"/>
      <c r="BA16" s="452"/>
      <c r="BB16" s="453">
        <f t="shared" si="24"/>
        <v>0</v>
      </c>
      <c r="BC16" s="450">
        <f t="shared" si="7"/>
        <v>0</v>
      </c>
      <c r="BD16" s="458"/>
      <c r="BE16" s="1644"/>
      <c r="BF16" s="1432"/>
      <c r="BG16" s="1552">
        <f t="shared" si="25"/>
        <v>0</v>
      </c>
      <c r="BH16" s="1877">
        <f t="shared" si="8"/>
        <v>0</v>
      </c>
      <c r="BI16" s="1590"/>
      <c r="BJ16" s="39">
        <f t="shared" si="9"/>
        <v>0</v>
      </c>
      <c r="BK16" s="39">
        <f t="shared" si="10"/>
        <v>96050.17</v>
      </c>
      <c r="BL16" s="210">
        <f t="shared" si="26"/>
        <v>96050.17</v>
      </c>
      <c r="BM16" s="178">
        <f t="shared" si="3"/>
        <v>0.20865215920037794</v>
      </c>
      <c r="BN16" s="42"/>
    </row>
    <row r="17" spans="1:66" s="2" customFormat="1" ht="13.8">
      <c r="A17" s="238"/>
      <c r="B17" s="7" t="s">
        <v>22</v>
      </c>
      <c r="C17" s="111"/>
      <c r="D17" s="113"/>
      <c r="E17" s="106">
        <f t="shared" si="4"/>
        <v>0</v>
      </c>
      <c r="F17" s="177" t="e">
        <f t="shared" si="0"/>
        <v>#DIV/0!</v>
      </c>
      <c r="G17" s="39"/>
      <c r="H17" s="39"/>
      <c r="I17" s="210">
        <f t="shared" si="11"/>
        <v>0</v>
      </c>
      <c r="J17" s="178">
        <f t="shared" si="1"/>
        <v>0</v>
      </c>
      <c r="K17" s="42"/>
      <c r="L17" s="39"/>
      <c r="M17" s="39"/>
      <c r="N17" s="210">
        <f t="shared" si="12"/>
        <v>0</v>
      </c>
      <c r="O17" s="178">
        <f t="shared" si="2"/>
        <v>0</v>
      </c>
      <c r="P17" s="402"/>
      <c r="Q17" s="39"/>
      <c r="R17" s="39"/>
      <c r="S17" s="210">
        <f t="shared" si="13"/>
        <v>0</v>
      </c>
      <c r="T17" s="178">
        <f t="shared" si="27"/>
        <v>0</v>
      </c>
      <c r="U17" s="388"/>
      <c r="V17" s="39"/>
      <c r="W17" s="39"/>
      <c r="X17" s="210">
        <f t="shared" si="14"/>
        <v>0</v>
      </c>
      <c r="Y17" s="178">
        <f t="shared" si="15"/>
        <v>0</v>
      </c>
      <c r="Z17" s="388"/>
      <c r="AA17" s="39"/>
      <c r="AB17" s="39"/>
      <c r="AC17" s="210">
        <f t="shared" si="16"/>
        <v>0</v>
      </c>
      <c r="AD17" s="178">
        <f t="shared" si="17"/>
        <v>0</v>
      </c>
      <c r="AE17" s="730"/>
      <c r="AF17" s="560"/>
      <c r="AG17" s="452"/>
      <c r="AH17" s="453">
        <f t="shared" si="18"/>
        <v>0</v>
      </c>
      <c r="AI17" s="450">
        <f t="shared" si="19"/>
        <v>0</v>
      </c>
      <c r="AJ17" s="458"/>
      <c r="AK17" s="560"/>
      <c r="AL17" s="452"/>
      <c r="AM17" s="453">
        <f t="shared" si="20"/>
        <v>0</v>
      </c>
      <c r="AN17" s="450">
        <f t="shared" si="21"/>
        <v>0</v>
      </c>
      <c r="AO17" s="458"/>
      <c r="AP17" s="560"/>
      <c r="AQ17" s="452"/>
      <c r="AR17" s="453">
        <f t="shared" si="22"/>
        <v>0</v>
      </c>
      <c r="AS17" s="450">
        <f t="shared" si="5"/>
        <v>0</v>
      </c>
      <c r="AT17" s="458"/>
      <c r="AU17" s="560"/>
      <c r="AV17" s="452"/>
      <c r="AW17" s="453">
        <f t="shared" si="23"/>
        <v>0</v>
      </c>
      <c r="AX17" s="450">
        <f t="shared" si="6"/>
        <v>0</v>
      </c>
      <c r="AY17" s="458"/>
      <c r="AZ17" s="560"/>
      <c r="BA17" s="452"/>
      <c r="BB17" s="453">
        <f t="shared" si="24"/>
        <v>0</v>
      </c>
      <c r="BC17" s="450">
        <f t="shared" si="7"/>
        <v>0</v>
      </c>
      <c r="BD17" s="458"/>
      <c r="BE17" s="1644"/>
      <c r="BF17" s="1432"/>
      <c r="BG17" s="1552">
        <f t="shared" si="25"/>
        <v>0</v>
      </c>
      <c r="BH17" s="1877">
        <f t="shared" si="8"/>
        <v>0</v>
      </c>
      <c r="BI17" s="1590"/>
      <c r="BJ17" s="39">
        <f t="shared" si="9"/>
        <v>0</v>
      </c>
      <c r="BK17" s="39">
        <f t="shared" si="10"/>
        <v>0</v>
      </c>
      <c r="BL17" s="210">
        <f t="shared" si="26"/>
        <v>0</v>
      </c>
      <c r="BM17" s="178">
        <f t="shared" si="3"/>
        <v>0</v>
      </c>
      <c r="BN17" s="42"/>
    </row>
    <row r="18" spans="1:66" s="2" customFormat="1" ht="13.8">
      <c r="A18" s="238"/>
      <c r="B18" s="7" t="s">
        <v>0</v>
      </c>
      <c r="C18" s="111"/>
      <c r="D18" s="113"/>
      <c r="E18" s="106">
        <f t="shared" si="4"/>
        <v>0</v>
      </c>
      <c r="F18" s="177" t="e">
        <f t="shared" si="0"/>
        <v>#DIV/0!</v>
      </c>
      <c r="G18" s="39"/>
      <c r="H18" s="39"/>
      <c r="I18" s="210">
        <f t="shared" si="11"/>
        <v>0</v>
      </c>
      <c r="J18" s="178">
        <f t="shared" si="1"/>
        <v>0</v>
      </c>
      <c r="K18" s="42"/>
      <c r="L18" s="39">
        <f>933</f>
        <v>933</v>
      </c>
      <c r="M18" s="39"/>
      <c r="N18" s="210">
        <f t="shared" si="12"/>
        <v>933</v>
      </c>
      <c r="O18" s="178">
        <f t="shared" si="2"/>
        <v>6.20780864101814E-3</v>
      </c>
      <c r="P18" s="416" t="s">
        <v>593</v>
      </c>
      <c r="Q18" s="39"/>
      <c r="R18" s="39"/>
      <c r="S18" s="210">
        <f t="shared" si="13"/>
        <v>0</v>
      </c>
      <c r="T18" s="178">
        <f t="shared" si="27"/>
        <v>0</v>
      </c>
      <c r="U18" s="388"/>
      <c r="V18" s="39"/>
      <c r="W18" s="39"/>
      <c r="X18" s="210">
        <f t="shared" si="14"/>
        <v>0</v>
      </c>
      <c r="Y18" s="178">
        <f t="shared" si="15"/>
        <v>0</v>
      </c>
      <c r="Z18" s="388"/>
      <c r="AA18" s="39"/>
      <c r="AB18" s="39"/>
      <c r="AC18" s="210">
        <f t="shared" si="16"/>
        <v>0</v>
      </c>
      <c r="AD18" s="178">
        <f t="shared" si="17"/>
        <v>0</v>
      </c>
      <c r="AE18" s="730"/>
      <c r="AF18" s="560"/>
      <c r="AG18" s="452"/>
      <c r="AH18" s="453">
        <f t="shared" si="18"/>
        <v>0</v>
      </c>
      <c r="AI18" s="450">
        <f t="shared" si="19"/>
        <v>0</v>
      </c>
      <c r="AJ18" s="458"/>
      <c r="AK18" s="560"/>
      <c r="AL18" s="452"/>
      <c r="AM18" s="453">
        <f t="shared" si="20"/>
        <v>0</v>
      </c>
      <c r="AN18" s="450">
        <f t="shared" si="21"/>
        <v>0</v>
      </c>
      <c r="AO18" s="458"/>
      <c r="AP18" s="560"/>
      <c r="AQ18" s="452"/>
      <c r="AR18" s="453">
        <f t="shared" si="22"/>
        <v>0</v>
      </c>
      <c r="AS18" s="450">
        <f t="shared" si="5"/>
        <v>0</v>
      </c>
      <c r="AT18" s="458"/>
      <c r="AU18" s="560"/>
      <c r="AV18" s="452"/>
      <c r="AW18" s="453">
        <f t="shared" si="23"/>
        <v>0</v>
      </c>
      <c r="AX18" s="450">
        <f t="shared" si="6"/>
        <v>0</v>
      </c>
      <c r="AY18" s="458"/>
      <c r="AZ18" s="560"/>
      <c r="BA18" s="452"/>
      <c r="BB18" s="453">
        <f t="shared" si="24"/>
        <v>0</v>
      </c>
      <c r="BC18" s="450">
        <f t="shared" si="7"/>
        <v>0</v>
      </c>
      <c r="BD18" s="458"/>
      <c r="BE18" s="1644"/>
      <c r="BF18" s="1432"/>
      <c r="BG18" s="1552">
        <f t="shared" si="25"/>
        <v>0</v>
      </c>
      <c r="BH18" s="1877">
        <f t="shared" si="8"/>
        <v>0</v>
      </c>
      <c r="BI18" s="1590"/>
      <c r="BJ18" s="39">
        <f t="shared" si="9"/>
        <v>933</v>
      </c>
      <c r="BK18" s="39">
        <f t="shared" si="10"/>
        <v>0</v>
      </c>
      <c r="BL18" s="210">
        <f t="shared" si="26"/>
        <v>933</v>
      </c>
      <c r="BM18" s="178">
        <f t="shared" si="3"/>
        <v>2.026778969094512E-3</v>
      </c>
      <c r="BN18" s="42"/>
    </row>
    <row r="19" spans="1:66" s="2" customFormat="1" ht="13.8">
      <c r="A19" s="238"/>
      <c r="B19" s="7" t="s">
        <v>53</v>
      </c>
      <c r="C19" s="114"/>
      <c r="D19" s="113"/>
      <c r="E19" s="106">
        <f t="shared" si="4"/>
        <v>0</v>
      </c>
      <c r="F19" s="177" t="e">
        <f t="shared" si="0"/>
        <v>#DIV/0!</v>
      </c>
      <c r="G19" s="39"/>
      <c r="H19" s="39"/>
      <c r="I19" s="210">
        <f t="shared" si="11"/>
        <v>0</v>
      </c>
      <c r="J19" s="178">
        <f t="shared" si="1"/>
        <v>0</v>
      </c>
      <c r="K19" s="42"/>
      <c r="L19" s="39"/>
      <c r="M19" s="39"/>
      <c r="N19" s="210">
        <f t="shared" si="12"/>
        <v>0</v>
      </c>
      <c r="O19" s="178">
        <f t="shared" si="2"/>
        <v>0</v>
      </c>
      <c r="P19" s="426"/>
      <c r="Q19" s="39"/>
      <c r="R19" s="39"/>
      <c r="S19" s="210">
        <f t="shared" si="13"/>
        <v>0</v>
      </c>
      <c r="T19" s="178">
        <f t="shared" si="27"/>
        <v>0</v>
      </c>
      <c r="U19" s="388"/>
      <c r="V19" s="39"/>
      <c r="W19" s="39"/>
      <c r="X19" s="210">
        <f t="shared" si="14"/>
        <v>0</v>
      </c>
      <c r="Y19" s="178">
        <f t="shared" si="15"/>
        <v>0</v>
      </c>
      <c r="Z19" s="388"/>
      <c r="AA19" s="39"/>
      <c r="AB19" s="39"/>
      <c r="AC19" s="210">
        <f t="shared" si="16"/>
        <v>0</v>
      </c>
      <c r="AD19" s="178">
        <f t="shared" si="17"/>
        <v>0</v>
      </c>
      <c r="AE19" s="730"/>
      <c r="AF19" s="560"/>
      <c r="AG19" s="452"/>
      <c r="AH19" s="453">
        <f t="shared" si="18"/>
        <v>0</v>
      </c>
      <c r="AI19" s="450">
        <f t="shared" si="19"/>
        <v>0</v>
      </c>
      <c r="AJ19" s="458"/>
      <c r="AK19" s="560"/>
      <c r="AL19" s="452"/>
      <c r="AM19" s="453">
        <f t="shared" si="20"/>
        <v>0</v>
      </c>
      <c r="AN19" s="450">
        <f t="shared" si="21"/>
        <v>0</v>
      </c>
      <c r="AO19" s="458"/>
      <c r="AP19" s="560"/>
      <c r="AQ19" s="452"/>
      <c r="AR19" s="453">
        <f t="shared" si="22"/>
        <v>0</v>
      </c>
      <c r="AS19" s="450">
        <f t="shared" si="5"/>
        <v>0</v>
      </c>
      <c r="AT19" s="458"/>
      <c r="AU19" s="560"/>
      <c r="AV19" s="452"/>
      <c r="AW19" s="453">
        <f t="shared" si="23"/>
        <v>0</v>
      </c>
      <c r="AX19" s="450">
        <f t="shared" si="6"/>
        <v>0</v>
      </c>
      <c r="AY19" s="458"/>
      <c r="AZ19" s="560"/>
      <c r="BA19" s="452"/>
      <c r="BB19" s="453">
        <f t="shared" si="24"/>
        <v>0</v>
      </c>
      <c r="BC19" s="450">
        <f t="shared" si="7"/>
        <v>0</v>
      </c>
      <c r="BD19" s="458"/>
      <c r="BE19" s="1644"/>
      <c r="BF19" s="1432"/>
      <c r="BG19" s="1552">
        <f t="shared" si="25"/>
        <v>0</v>
      </c>
      <c r="BH19" s="1877">
        <f t="shared" si="8"/>
        <v>0</v>
      </c>
      <c r="BI19" s="1590"/>
      <c r="BJ19" s="39">
        <f t="shared" si="9"/>
        <v>0</v>
      </c>
      <c r="BK19" s="39">
        <f t="shared" si="10"/>
        <v>0</v>
      </c>
      <c r="BL19" s="210">
        <f t="shared" si="26"/>
        <v>0</v>
      </c>
      <c r="BM19" s="178">
        <f t="shared" si="3"/>
        <v>0</v>
      </c>
      <c r="BN19" s="42"/>
    </row>
    <row r="20" spans="1:66" s="2" customFormat="1" ht="13.8">
      <c r="A20" s="238"/>
      <c r="B20" s="7" t="s">
        <v>57</v>
      </c>
      <c r="C20" s="114"/>
      <c r="D20" s="113"/>
      <c r="E20" s="106">
        <f t="shared" si="4"/>
        <v>0</v>
      </c>
      <c r="F20" s="177" t="e">
        <f t="shared" si="0"/>
        <v>#DIV/0!</v>
      </c>
      <c r="G20" s="39"/>
      <c r="H20" s="39"/>
      <c r="I20" s="210">
        <f t="shared" si="11"/>
        <v>0</v>
      </c>
      <c r="J20" s="178">
        <f t="shared" si="1"/>
        <v>0</v>
      </c>
      <c r="K20" s="42"/>
      <c r="L20" s="39"/>
      <c r="M20" s="39"/>
      <c r="N20" s="210">
        <f t="shared" si="12"/>
        <v>0</v>
      </c>
      <c r="O20" s="178">
        <f t="shared" si="2"/>
        <v>0</v>
      </c>
      <c r="P20" s="426"/>
      <c r="Q20" s="39">
        <v>1004.03</v>
      </c>
      <c r="R20" s="39"/>
      <c r="S20" s="210">
        <f t="shared" si="13"/>
        <v>1004.03</v>
      </c>
      <c r="T20" s="178">
        <f t="shared" si="27"/>
        <v>5.5619266192980963E-3</v>
      </c>
      <c r="U20" s="388" t="s">
        <v>711</v>
      </c>
      <c r="V20" s="39">
        <f>809.7*1.2</f>
        <v>971.64</v>
      </c>
      <c r="W20" s="39"/>
      <c r="X20" s="210">
        <f t="shared" si="14"/>
        <v>971.64</v>
      </c>
      <c r="Y20" s="178">
        <f t="shared" si="15"/>
        <v>1</v>
      </c>
      <c r="Z20" s="388" t="s">
        <v>759</v>
      </c>
      <c r="AA20" s="39"/>
      <c r="AB20" s="39"/>
      <c r="AC20" s="210">
        <f t="shared" si="16"/>
        <v>0</v>
      </c>
      <c r="AD20" s="178">
        <f t="shared" si="17"/>
        <v>0</v>
      </c>
      <c r="AE20" s="730"/>
      <c r="AF20" s="560">
        <f>809.7*1.2</f>
        <v>971.64</v>
      </c>
      <c r="AG20" s="452"/>
      <c r="AH20" s="453">
        <f t="shared" si="18"/>
        <v>971.64</v>
      </c>
      <c r="AI20" s="450">
        <f t="shared" si="19"/>
        <v>1</v>
      </c>
      <c r="AJ20" s="458" t="s">
        <v>759</v>
      </c>
      <c r="AK20" s="560">
        <f>67.58*1.2</f>
        <v>81.095999999999989</v>
      </c>
      <c r="AL20" s="452"/>
      <c r="AM20" s="453">
        <f t="shared" si="20"/>
        <v>81.095999999999989</v>
      </c>
      <c r="AN20" s="450">
        <f t="shared" si="21"/>
        <v>8.3463010991725317E-2</v>
      </c>
      <c r="AO20" s="458"/>
      <c r="AP20" s="560">
        <f>67.58*1.2</f>
        <v>81.095999999999989</v>
      </c>
      <c r="AQ20" s="452"/>
      <c r="AR20" s="453">
        <f t="shared" si="22"/>
        <v>81.095999999999989</v>
      </c>
      <c r="AS20" s="450">
        <f t="shared" si="5"/>
        <v>1</v>
      </c>
      <c r="AT20" s="458" t="s">
        <v>759</v>
      </c>
      <c r="AU20" s="560">
        <f>65.4*1.2</f>
        <v>78.48</v>
      </c>
      <c r="AV20" s="452"/>
      <c r="AW20" s="453">
        <f t="shared" si="23"/>
        <v>78.48</v>
      </c>
      <c r="AX20" s="450">
        <f t="shared" si="6"/>
        <v>0.96774193548387111</v>
      </c>
      <c r="AY20" s="458"/>
      <c r="AZ20" s="560"/>
      <c r="BA20" s="452"/>
      <c r="BB20" s="453">
        <f t="shared" si="24"/>
        <v>0</v>
      </c>
      <c r="BC20" s="450">
        <f t="shared" si="7"/>
        <v>0</v>
      </c>
      <c r="BD20" s="458"/>
      <c r="BE20" s="1644"/>
      <c r="BF20" s="1432"/>
      <c r="BG20" s="1552">
        <f t="shared" si="25"/>
        <v>0</v>
      </c>
      <c r="BH20" s="1877">
        <f t="shared" si="8"/>
        <v>0</v>
      </c>
      <c r="BI20" s="1590"/>
      <c r="BJ20" s="39">
        <f t="shared" si="9"/>
        <v>3187.982</v>
      </c>
      <c r="BK20" s="39">
        <f t="shared" si="10"/>
        <v>0</v>
      </c>
      <c r="BL20" s="210">
        <f t="shared" si="26"/>
        <v>3187.982</v>
      </c>
      <c r="BM20" s="178">
        <f t="shared" si="3"/>
        <v>6.9253321237426162E-3</v>
      </c>
      <c r="BN20" s="42"/>
    </row>
    <row r="21" spans="1:66" s="2" customFormat="1" ht="24">
      <c r="A21" s="238"/>
      <c r="B21" s="7" t="s">
        <v>58</v>
      </c>
      <c r="C21" s="114"/>
      <c r="D21" s="113"/>
      <c r="E21" s="106">
        <f t="shared" si="4"/>
        <v>0</v>
      </c>
      <c r="F21" s="177" t="e">
        <f t="shared" si="0"/>
        <v>#DIV/0!</v>
      </c>
      <c r="G21" s="39"/>
      <c r="H21" s="39"/>
      <c r="I21" s="210">
        <f t="shared" si="11"/>
        <v>0</v>
      </c>
      <c r="J21" s="178">
        <f t="shared" si="1"/>
        <v>0</v>
      </c>
      <c r="K21" s="42"/>
      <c r="L21" s="39">
        <f>9316.67*1.2</f>
        <v>11180.003999999999</v>
      </c>
      <c r="M21" s="39"/>
      <c r="N21" s="210">
        <f t="shared" si="12"/>
        <v>11180.003999999999</v>
      </c>
      <c r="O21" s="178">
        <f t="shared" si="2"/>
        <v>7.4387272709343366E-2</v>
      </c>
      <c r="P21" s="422" t="s">
        <v>556</v>
      </c>
      <c r="Q21" s="39"/>
      <c r="R21" s="39"/>
      <c r="S21" s="210">
        <f t="shared" si="13"/>
        <v>0</v>
      </c>
      <c r="T21" s="178">
        <f t="shared" si="27"/>
        <v>0</v>
      </c>
      <c r="U21" s="388"/>
      <c r="V21" s="39"/>
      <c r="W21" s="39"/>
      <c r="X21" s="210">
        <f t="shared" si="14"/>
        <v>0</v>
      </c>
      <c r="Y21" s="178">
        <f t="shared" si="15"/>
        <v>0</v>
      </c>
      <c r="Z21" s="388"/>
      <c r="AA21" s="39"/>
      <c r="AB21" s="39"/>
      <c r="AC21" s="210">
        <f t="shared" si="16"/>
        <v>0</v>
      </c>
      <c r="AD21" s="178">
        <f t="shared" si="17"/>
        <v>0</v>
      </c>
      <c r="AE21" s="730"/>
      <c r="AF21" s="560"/>
      <c r="AG21" s="452"/>
      <c r="AH21" s="453">
        <f t="shared" si="18"/>
        <v>0</v>
      </c>
      <c r="AI21" s="450">
        <f t="shared" si="19"/>
        <v>0</v>
      </c>
      <c r="AJ21" s="458"/>
      <c r="AK21" s="560"/>
      <c r="AL21" s="452"/>
      <c r="AM21" s="453">
        <f t="shared" si="20"/>
        <v>0</v>
      </c>
      <c r="AN21" s="450">
        <f t="shared" si="21"/>
        <v>0</v>
      </c>
      <c r="AO21" s="458"/>
      <c r="AP21" s="560"/>
      <c r="AQ21" s="452"/>
      <c r="AR21" s="453">
        <f t="shared" si="22"/>
        <v>0</v>
      </c>
      <c r="AS21" s="450">
        <f t="shared" si="5"/>
        <v>0</v>
      </c>
      <c r="AT21" s="458"/>
      <c r="AU21" s="560"/>
      <c r="AV21" s="452"/>
      <c r="AW21" s="453">
        <f t="shared" si="23"/>
        <v>0</v>
      </c>
      <c r="AX21" s="450">
        <f t="shared" si="6"/>
        <v>0</v>
      </c>
      <c r="AY21" s="458"/>
      <c r="AZ21" s="560"/>
      <c r="BA21" s="452"/>
      <c r="BB21" s="453">
        <f t="shared" si="24"/>
        <v>0</v>
      </c>
      <c r="BC21" s="450">
        <f t="shared" si="7"/>
        <v>0</v>
      </c>
      <c r="BD21" s="458"/>
      <c r="BE21" s="1644"/>
      <c r="BF21" s="1432"/>
      <c r="BG21" s="1552">
        <f t="shared" si="25"/>
        <v>0</v>
      </c>
      <c r="BH21" s="1877">
        <f t="shared" si="8"/>
        <v>0</v>
      </c>
      <c r="BI21" s="1590"/>
      <c r="BJ21" s="39">
        <f t="shared" si="9"/>
        <v>11180.003999999999</v>
      </c>
      <c r="BK21" s="39">
        <f t="shared" si="10"/>
        <v>0</v>
      </c>
      <c r="BL21" s="210">
        <f t="shared" si="26"/>
        <v>11180.003999999999</v>
      </c>
      <c r="BM21" s="178">
        <f t="shared" si="3"/>
        <v>2.4286599122821564E-2</v>
      </c>
      <c r="BN21" s="42"/>
    </row>
    <row r="22" spans="1:66" s="2" customFormat="1" ht="31.2" customHeight="1">
      <c r="A22" s="238"/>
      <c r="B22" s="7" t="s">
        <v>621</v>
      </c>
      <c r="C22" s="114"/>
      <c r="D22" s="445"/>
      <c r="E22" s="446"/>
      <c r="F22" s="447"/>
      <c r="G22" s="452"/>
      <c r="H22" s="452"/>
      <c r="I22" s="453"/>
      <c r="J22" s="450"/>
      <c r="K22" s="456"/>
      <c r="L22" s="452"/>
      <c r="M22" s="452"/>
      <c r="N22" s="453"/>
      <c r="O22" s="178">
        <f t="shared" si="2"/>
        <v>0</v>
      </c>
      <c r="P22" s="461"/>
      <c r="Q22" s="452">
        <f>4366.67*1.2</f>
        <v>5240.0039999999999</v>
      </c>
      <c r="R22" s="452"/>
      <c r="S22" s="210">
        <f t="shared" si="13"/>
        <v>5240.0039999999999</v>
      </c>
      <c r="T22" s="178">
        <f t="shared" si="27"/>
        <v>2.9027536759686962E-2</v>
      </c>
      <c r="U22" s="388" t="s">
        <v>682</v>
      </c>
      <c r="V22" s="452"/>
      <c r="W22" s="452"/>
      <c r="X22" s="210">
        <f t="shared" si="14"/>
        <v>0</v>
      </c>
      <c r="Y22" s="178">
        <f t="shared" si="15"/>
        <v>0</v>
      </c>
      <c r="Z22" s="388"/>
      <c r="AA22" s="452"/>
      <c r="AB22" s="452"/>
      <c r="AC22" s="210">
        <f t="shared" si="16"/>
        <v>0</v>
      </c>
      <c r="AD22" s="178">
        <f t="shared" si="17"/>
        <v>0</v>
      </c>
      <c r="AE22" s="730"/>
      <c r="AF22" s="560"/>
      <c r="AG22" s="452"/>
      <c r="AH22" s="453">
        <f t="shared" si="18"/>
        <v>0</v>
      </c>
      <c r="AI22" s="450">
        <f t="shared" si="19"/>
        <v>0</v>
      </c>
      <c r="AJ22" s="458"/>
      <c r="AK22" s="560"/>
      <c r="AL22" s="452"/>
      <c r="AM22" s="453">
        <f t="shared" si="20"/>
        <v>0</v>
      </c>
      <c r="AN22" s="450">
        <f t="shared" si="21"/>
        <v>0</v>
      </c>
      <c r="AO22" s="458"/>
      <c r="AP22" s="560"/>
      <c r="AQ22" s="452"/>
      <c r="AR22" s="453">
        <f t="shared" si="22"/>
        <v>0</v>
      </c>
      <c r="AS22" s="450">
        <f t="shared" si="5"/>
        <v>0</v>
      </c>
      <c r="AT22" s="458"/>
      <c r="AU22" s="560"/>
      <c r="AV22" s="452"/>
      <c r="AW22" s="453">
        <f t="shared" si="23"/>
        <v>0</v>
      </c>
      <c r="AX22" s="450">
        <f t="shared" si="6"/>
        <v>0</v>
      </c>
      <c r="AY22" s="458"/>
      <c r="AZ22" s="560"/>
      <c r="BA22" s="452"/>
      <c r="BB22" s="453">
        <f t="shared" si="24"/>
        <v>0</v>
      </c>
      <c r="BC22" s="450">
        <f t="shared" si="7"/>
        <v>0</v>
      </c>
      <c r="BD22" s="458"/>
      <c r="BE22" s="1644"/>
      <c r="BF22" s="1432"/>
      <c r="BG22" s="1552">
        <f t="shared" si="25"/>
        <v>0</v>
      </c>
      <c r="BH22" s="1877">
        <f t="shared" si="8"/>
        <v>0</v>
      </c>
      <c r="BI22" s="1590"/>
      <c r="BJ22" s="39">
        <f t="shared" si="9"/>
        <v>5240.0039999999999</v>
      </c>
      <c r="BK22" s="39">
        <f t="shared" si="10"/>
        <v>0</v>
      </c>
      <c r="BL22" s="210">
        <f t="shared" si="26"/>
        <v>5240.0039999999999</v>
      </c>
      <c r="BM22" s="178">
        <f t="shared" si="3"/>
        <v>1.1382990252059078E-2</v>
      </c>
      <c r="BN22" s="456"/>
    </row>
    <row r="23" spans="1:66" s="2" customFormat="1" ht="13.8">
      <c r="A23" s="238"/>
      <c r="B23" s="471" t="s">
        <v>630</v>
      </c>
      <c r="C23" s="114"/>
      <c r="D23" s="445"/>
      <c r="E23" s="446"/>
      <c r="F23" s="447"/>
      <c r="G23" s="452"/>
      <c r="H23" s="452"/>
      <c r="I23" s="453"/>
      <c r="J23" s="450"/>
      <c r="K23" s="456"/>
      <c r="L23" s="452"/>
      <c r="M23" s="452"/>
      <c r="N23" s="453"/>
      <c r="O23" s="450"/>
      <c r="P23" s="461"/>
      <c r="Q23" s="452"/>
      <c r="R23" s="452"/>
      <c r="S23" s="210">
        <f t="shared" si="13"/>
        <v>0</v>
      </c>
      <c r="T23" s="178">
        <f t="shared" si="27"/>
        <v>0</v>
      </c>
      <c r="U23" s="388"/>
      <c r="V23" s="452"/>
      <c r="W23" s="452"/>
      <c r="X23" s="210">
        <f t="shared" si="14"/>
        <v>0</v>
      </c>
      <c r="Y23" s="178">
        <f t="shared" si="15"/>
        <v>0</v>
      </c>
      <c r="Z23" s="388"/>
      <c r="AA23" s="452"/>
      <c r="AB23" s="452"/>
      <c r="AC23" s="210">
        <f t="shared" si="16"/>
        <v>0</v>
      </c>
      <c r="AD23" s="178">
        <f t="shared" si="17"/>
        <v>0</v>
      </c>
      <c r="AE23" s="730"/>
      <c r="AF23" s="560"/>
      <c r="AG23" s="452"/>
      <c r="AH23" s="453">
        <f t="shared" si="18"/>
        <v>0</v>
      </c>
      <c r="AI23" s="450">
        <f t="shared" si="19"/>
        <v>0</v>
      </c>
      <c r="AJ23" s="458"/>
      <c r="AK23" s="560"/>
      <c r="AL23" s="452"/>
      <c r="AM23" s="453">
        <f t="shared" si="20"/>
        <v>0</v>
      </c>
      <c r="AN23" s="450">
        <f t="shared" si="21"/>
        <v>0</v>
      </c>
      <c r="AO23" s="458"/>
      <c r="AP23" s="560"/>
      <c r="AQ23" s="452"/>
      <c r="AR23" s="453">
        <f t="shared" si="22"/>
        <v>0</v>
      </c>
      <c r="AS23" s="450">
        <f t="shared" si="5"/>
        <v>0</v>
      </c>
      <c r="AT23" s="458"/>
      <c r="AU23" s="560"/>
      <c r="AV23" s="452"/>
      <c r="AW23" s="453">
        <f t="shared" si="23"/>
        <v>0</v>
      </c>
      <c r="AX23" s="450">
        <f t="shared" si="6"/>
        <v>0</v>
      </c>
      <c r="AY23" s="458"/>
      <c r="AZ23" s="560"/>
      <c r="BA23" s="452"/>
      <c r="BB23" s="453">
        <f t="shared" si="24"/>
        <v>0</v>
      </c>
      <c r="BC23" s="450">
        <f t="shared" si="7"/>
        <v>0</v>
      </c>
      <c r="BD23" s="458"/>
      <c r="BE23" s="1644"/>
      <c r="BF23" s="1432"/>
      <c r="BG23" s="1552">
        <f t="shared" si="25"/>
        <v>0</v>
      </c>
      <c r="BH23" s="1877">
        <f t="shared" si="8"/>
        <v>0</v>
      </c>
      <c r="BI23" s="1590"/>
      <c r="BJ23" s="39">
        <f t="shared" si="9"/>
        <v>0</v>
      </c>
      <c r="BK23" s="39">
        <f t="shared" si="10"/>
        <v>0</v>
      </c>
      <c r="BL23" s="210">
        <f t="shared" si="26"/>
        <v>0</v>
      </c>
      <c r="BM23" s="178">
        <f t="shared" si="3"/>
        <v>0</v>
      </c>
      <c r="BN23" s="456"/>
    </row>
    <row r="24" spans="1:66" s="2" customFormat="1" ht="13.8">
      <c r="A24" s="238"/>
      <c r="B24" s="7" t="s">
        <v>23</v>
      </c>
      <c r="C24" s="114"/>
      <c r="D24" s="113"/>
      <c r="E24" s="106">
        <f t="shared" si="4"/>
        <v>0</v>
      </c>
      <c r="F24" s="177" t="e">
        <f t="shared" ref="F24:F33" si="28">E24/$E$89</f>
        <v>#DIV/0!</v>
      </c>
      <c r="G24" s="39"/>
      <c r="H24" s="39"/>
      <c r="I24" s="210">
        <f t="shared" si="11"/>
        <v>0</v>
      </c>
      <c r="J24" s="178">
        <f t="shared" ref="J24:J33" si="29">I24/$I$89</f>
        <v>0</v>
      </c>
      <c r="K24" s="42"/>
      <c r="L24" s="39">
        <f>1858.34*1.2</f>
        <v>2230.0079999999998</v>
      </c>
      <c r="M24" s="39"/>
      <c r="N24" s="210">
        <f t="shared" si="12"/>
        <v>2230.0079999999998</v>
      </c>
      <c r="O24" s="178">
        <f t="shared" ref="O24:O33" si="30">N24/$N$89</f>
        <v>1.4837580848809838E-2</v>
      </c>
      <c r="P24" s="432" t="s">
        <v>557</v>
      </c>
      <c r="Q24" s="39">
        <f>550+2000</f>
        <v>2550</v>
      </c>
      <c r="R24" s="39"/>
      <c r="S24" s="210">
        <f t="shared" si="13"/>
        <v>2550</v>
      </c>
      <c r="T24" s="178">
        <f t="shared" si="27"/>
        <v>1.4125985159019298E-2</v>
      </c>
      <c r="U24" s="388" t="s">
        <v>684</v>
      </c>
      <c r="V24" s="39"/>
      <c r="W24" s="39"/>
      <c r="X24" s="210">
        <f t="shared" si="14"/>
        <v>0</v>
      </c>
      <c r="Y24" s="178">
        <f t="shared" si="15"/>
        <v>0</v>
      </c>
      <c r="Z24" s="388"/>
      <c r="AA24" s="39"/>
      <c r="AB24" s="39"/>
      <c r="AC24" s="210">
        <f t="shared" si="16"/>
        <v>0</v>
      </c>
      <c r="AD24" s="178">
        <f t="shared" si="17"/>
        <v>0</v>
      </c>
      <c r="AE24" s="730"/>
      <c r="AF24" s="560"/>
      <c r="AG24" s="452"/>
      <c r="AH24" s="453">
        <f t="shared" si="18"/>
        <v>0</v>
      </c>
      <c r="AI24" s="450">
        <f t="shared" si="19"/>
        <v>0</v>
      </c>
      <c r="AJ24" s="458"/>
      <c r="AK24" s="560"/>
      <c r="AL24" s="452">
        <v>4500</v>
      </c>
      <c r="AM24" s="453">
        <f t="shared" si="20"/>
        <v>4500</v>
      </c>
      <c r="AN24" s="450">
        <f t="shared" si="21"/>
        <v>4.6313449425713227</v>
      </c>
      <c r="AO24" s="452" t="s">
        <v>890</v>
      </c>
      <c r="AP24" s="560"/>
      <c r="AQ24" s="452"/>
      <c r="AR24" s="453">
        <f t="shared" si="22"/>
        <v>0</v>
      </c>
      <c r="AS24" s="450">
        <f t="shared" si="5"/>
        <v>0</v>
      </c>
      <c r="AT24" s="452"/>
      <c r="AU24" s="560"/>
      <c r="AV24" s="452"/>
      <c r="AW24" s="453">
        <f t="shared" si="23"/>
        <v>0</v>
      </c>
      <c r="AX24" s="450">
        <f t="shared" si="6"/>
        <v>0</v>
      </c>
      <c r="AY24" s="452"/>
      <c r="AZ24" s="560"/>
      <c r="BA24" s="452"/>
      <c r="BB24" s="453">
        <f t="shared" si="24"/>
        <v>0</v>
      </c>
      <c r="BC24" s="450">
        <f t="shared" si="7"/>
        <v>0</v>
      </c>
      <c r="BD24" s="452"/>
      <c r="BE24" s="1644"/>
      <c r="BF24" s="1432"/>
      <c r="BG24" s="1552">
        <f t="shared" si="25"/>
        <v>0</v>
      </c>
      <c r="BH24" s="1877">
        <f t="shared" si="8"/>
        <v>0</v>
      </c>
      <c r="BI24" s="1432"/>
      <c r="BJ24" s="39">
        <f t="shared" si="9"/>
        <v>4780.0079999999998</v>
      </c>
      <c r="BK24" s="39">
        <f t="shared" si="10"/>
        <v>4500</v>
      </c>
      <c r="BL24" s="210">
        <f t="shared" si="26"/>
        <v>9280.0079999999998</v>
      </c>
      <c r="BM24" s="178">
        <f t="shared" si="3"/>
        <v>2.0159190833257047E-2</v>
      </c>
      <c r="BN24" s="42"/>
    </row>
    <row r="25" spans="1:66" s="2" customFormat="1" ht="27.6">
      <c r="A25" s="238"/>
      <c r="B25" s="7" t="s">
        <v>24</v>
      </c>
      <c r="C25" s="114"/>
      <c r="D25" s="113"/>
      <c r="E25" s="106">
        <f t="shared" si="4"/>
        <v>0</v>
      </c>
      <c r="F25" s="177" t="e">
        <f t="shared" si="28"/>
        <v>#DIV/0!</v>
      </c>
      <c r="G25" s="39"/>
      <c r="H25" s="39"/>
      <c r="I25" s="210">
        <f t="shared" si="11"/>
        <v>0</v>
      </c>
      <c r="J25" s="178">
        <f t="shared" si="29"/>
        <v>0</v>
      </c>
      <c r="K25" s="42"/>
      <c r="L25" s="39">
        <f>820*1.2</f>
        <v>984</v>
      </c>
      <c r="M25" s="39"/>
      <c r="N25" s="210">
        <f t="shared" si="12"/>
        <v>984</v>
      </c>
      <c r="O25" s="178">
        <f t="shared" si="30"/>
        <v>6.547142232327813E-3</v>
      </c>
      <c r="P25" s="426"/>
      <c r="Q25" s="39">
        <f>1760.86*1.2</f>
        <v>2113.0319999999997</v>
      </c>
      <c r="R25" s="39"/>
      <c r="S25" s="210">
        <f t="shared" si="13"/>
        <v>2113.0319999999997</v>
      </c>
      <c r="T25" s="178">
        <f t="shared" si="27"/>
        <v>1.1705356342169749E-2</v>
      </c>
      <c r="U25" s="388" t="s">
        <v>648</v>
      </c>
      <c r="V25" s="39"/>
      <c r="W25" s="39"/>
      <c r="X25" s="210">
        <f t="shared" si="14"/>
        <v>0</v>
      </c>
      <c r="Y25" s="178">
        <f t="shared" si="15"/>
        <v>0</v>
      </c>
      <c r="Z25" s="388"/>
      <c r="AA25" s="39"/>
      <c r="AB25" s="39"/>
      <c r="AC25" s="210">
        <f t="shared" si="16"/>
        <v>0</v>
      </c>
      <c r="AD25" s="178">
        <f t="shared" si="17"/>
        <v>0</v>
      </c>
      <c r="AE25" s="730"/>
      <c r="AF25" s="560"/>
      <c r="AG25" s="452"/>
      <c r="AH25" s="453">
        <f t="shared" si="18"/>
        <v>0</v>
      </c>
      <c r="AI25" s="450">
        <f t="shared" si="19"/>
        <v>0</v>
      </c>
      <c r="AJ25" s="458"/>
      <c r="AK25" s="560"/>
      <c r="AL25" s="452"/>
      <c r="AM25" s="453">
        <f t="shared" si="20"/>
        <v>0</v>
      </c>
      <c r="AN25" s="450">
        <f t="shared" si="21"/>
        <v>0</v>
      </c>
      <c r="AO25" s="458"/>
      <c r="AP25" s="560"/>
      <c r="AQ25" s="452"/>
      <c r="AR25" s="453">
        <f t="shared" si="22"/>
        <v>0</v>
      </c>
      <c r="AS25" s="450">
        <f t="shared" si="5"/>
        <v>0</v>
      </c>
      <c r="AT25" s="458"/>
      <c r="AU25" s="560"/>
      <c r="AV25" s="452"/>
      <c r="AW25" s="453">
        <f t="shared" si="23"/>
        <v>0</v>
      </c>
      <c r="AX25" s="450">
        <f t="shared" si="6"/>
        <v>0</v>
      </c>
      <c r="AY25" s="458"/>
      <c r="AZ25" s="560"/>
      <c r="BA25" s="452"/>
      <c r="BB25" s="453">
        <f t="shared" si="24"/>
        <v>0</v>
      </c>
      <c r="BC25" s="450">
        <f t="shared" si="7"/>
        <v>0</v>
      </c>
      <c r="BD25" s="458"/>
      <c r="BE25" s="1868">
        <f>40595.82*1.2</f>
        <v>48714.983999999997</v>
      </c>
      <c r="BF25" s="1871"/>
      <c r="BG25" s="1872">
        <f t="shared" si="25"/>
        <v>48714.983999999997</v>
      </c>
      <c r="BH25" s="1907">
        <f t="shared" si="8"/>
        <v>0</v>
      </c>
      <c r="BI25" s="1870" t="s">
        <v>1268</v>
      </c>
      <c r="BJ25" s="39">
        <f t="shared" si="9"/>
        <v>51812.015999999996</v>
      </c>
      <c r="BK25" s="39">
        <f t="shared" si="10"/>
        <v>0</v>
      </c>
      <c r="BL25" s="210">
        <f t="shared" si="26"/>
        <v>51812.015999999996</v>
      </c>
      <c r="BM25" s="178">
        <f t="shared" si="3"/>
        <v>0.1125525234460754</v>
      </c>
      <c r="BN25" s="42"/>
    </row>
    <row r="26" spans="1:66" s="2" customFormat="1" ht="13.8">
      <c r="A26" s="238"/>
      <c r="B26" s="7" t="s">
        <v>45</v>
      </c>
      <c r="C26" s="114"/>
      <c r="D26" s="113"/>
      <c r="E26" s="106">
        <f t="shared" si="4"/>
        <v>0</v>
      </c>
      <c r="F26" s="177" t="e">
        <f t="shared" si="28"/>
        <v>#DIV/0!</v>
      </c>
      <c r="G26" s="39"/>
      <c r="H26" s="39"/>
      <c r="I26" s="210">
        <f t="shared" si="11"/>
        <v>0</v>
      </c>
      <c r="J26" s="178">
        <f t="shared" si="29"/>
        <v>0</v>
      </c>
      <c r="K26" s="42"/>
      <c r="L26" s="39">
        <f>5239*1.2</f>
        <v>6286.8</v>
      </c>
      <c r="M26" s="39"/>
      <c r="N26" s="210">
        <f t="shared" si="12"/>
        <v>6286.8</v>
      </c>
      <c r="O26" s="178">
        <f t="shared" si="30"/>
        <v>4.1829851408738308E-2</v>
      </c>
      <c r="P26" s="426"/>
      <c r="Q26" s="39">
        <f>23392*1.2</f>
        <v>28070.399999999998</v>
      </c>
      <c r="R26" s="39"/>
      <c r="S26" s="210">
        <f t="shared" ref="S26:S33" si="31">Q26+R26*1</f>
        <v>28070.399999999998</v>
      </c>
      <c r="T26" s="178">
        <f t="shared" si="27"/>
        <v>0.15549884463048441</v>
      </c>
      <c r="U26" s="388"/>
      <c r="V26" s="39"/>
      <c r="W26" s="39"/>
      <c r="X26" s="210">
        <f t="shared" si="14"/>
        <v>0</v>
      </c>
      <c r="Y26" s="178">
        <f t="shared" si="15"/>
        <v>0</v>
      </c>
      <c r="Z26" s="388"/>
      <c r="AA26" s="39"/>
      <c r="AB26" s="39"/>
      <c r="AC26" s="210">
        <f t="shared" si="16"/>
        <v>0</v>
      </c>
      <c r="AD26" s="178">
        <f t="shared" si="17"/>
        <v>0</v>
      </c>
      <c r="AE26" s="730"/>
      <c r="AF26" s="560"/>
      <c r="AG26" s="452"/>
      <c r="AH26" s="453">
        <f t="shared" si="18"/>
        <v>0</v>
      </c>
      <c r="AI26" s="450">
        <f t="shared" si="19"/>
        <v>0</v>
      </c>
      <c r="AJ26" s="458"/>
      <c r="AK26" s="560"/>
      <c r="AL26" s="452"/>
      <c r="AM26" s="453">
        <f t="shared" si="20"/>
        <v>0</v>
      </c>
      <c r="AN26" s="450">
        <f t="shared" si="21"/>
        <v>0</v>
      </c>
      <c r="AO26" s="458"/>
      <c r="AP26" s="560"/>
      <c r="AQ26" s="452"/>
      <c r="AR26" s="453">
        <f t="shared" si="22"/>
        <v>0</v>
      </c>
      <c r="AS26" s="450">
        <f t="shared" si="5"/>
        <v>0</v>
      </c>
      <c r="AT26" s="458"/>
      <c r="AU26" s="560"/>
      <c r="AV26" s="452"/>
      <c r="AW26" s="453">
        <f t="shared" si="23"/>
        <v>0</v>
      </c>
      <c r="AX26" s="450">
        <f t="shared" si="6"/>
        <v>0</v>
      </c>
      <c r="AY26" s="458"/>
      <c r="AZ26" s="560">
        <f>22838.61*1.2</f>
        <v>27406.331999999999</v>
      </c>
      <c r="BA26" s="452"/>
      <c r="BB26" s="453">
        <f t="shared" si="24"/>
        <v>27406.331999999999</v>
      </c>
      <c r="BC26" s="450">
        <f t="shared" si="7"/>
        <v>337.94924533885768</v>
      </c>
      <c r="BD26" s="458" t="s">
        <v>1100</v>
      </c>
      <c r="BE26" s="1644"/>
      <c r="BF26" s="1432"/>
      <c r="BG26" s="1552">
        <f t="shared" si="25"/>
        <v>0</v>
      </c>
      <c r="BH26" s="1877">
        <f t="shared" si="8"/>
        <v>0</v>
      </c>
      <c r="BI26" s="1590"/>
      <c r="BJ26" s="39">
        <f t="shared" si="9"/>
        <v>61763.531999999992</v>
      </c>
      <c r="BK26" s="39">
        <f t="shared" si="10"/>
        <v>0</v>
      </c>
      <c r="BL26" s="210">
        <f t="shared" si="26"/>
        <v>61763.531999999992</v>
      </c>
      <c r="BM26" s="178">
        <f t="shared" ref="BM26:BM33" si="32">BL26/$BL$89</f>
        <v>0.13417044771124961</v>
      </c>
      <c r="BN26" s="42"/>
    </row>
    <row r="27" spans="1:66" s="2" customFormat="1" ht="13.8">
      <c r="A27" s="238"/>
      <c r="B27" s="7" t="s">
        <v>25</v>
      </c>
      <c r="C27" s="114"/>
      <c r="D27" s="113"/>
      <c r="E27" s="106">
        <f t="shared" si="4"/>
        <v>0</v>
      </c>
      <c r="F27" s="177" t="e">
        <f t="shared" si="28"/>
        <v>#DIV/0!</v>
      </c>
      <c r="G27" s="39"/>
      <c r="H27" s="39"/>
      <c r="I27" s="210">
        <f t="shared" si="11"/>
        <v>0</v>
      </c>
      <c r="J27" s="178">
        <f t="shared" si="29"/>
        <v>0</v>
      </c>
      <c r="K27" s="42"/>
      <c r="L27" s="39"/>
      <c r="M27" s="39"/>
      <c r="N27" s="210">
        <f t="shared" si="12"/>
        <v>0</v>
      </c>
      <c r="O27" s="178">
        <f t="shared" si="30"/>
        <v>0</v>
      </c>
      <c r="P27" s="426"/>
      <c r="Q27" s="39"/>
      <c r="R27" s="39"/>
      <c r="S27" s="210">
        <f t="shared" si="31"/>
        <v>0</v>
      </c>
      <c r="T27" s="178">
        <f t="shared" si="27"/>
        <v>0</v>
      </c>
      <c r="U27" s="388"/>
      <c r="V27" s="39"/>
      <c r="W27" s="39"/>
      <c r="X27" s="210">
        <f t="shared" si="14"/>
        <v>0</v>
      </c>
      <c r="Y27" s="178">
        <f t="shared" si="15"/>
        <v>0</v>
      </c>
      <c r="Z27" s="388"/>
      <c r="AA27" s="39"/>
      <c r="AB27" s="39"/>
      <c r="AC27" s="210">
        <f t="shared" si="16"/>
        <v>0</v>
      </c>
      <c r="AD27" s="178">
        <f t="shared" si="17"/>
        <v>0</v>
      </c>
      <c r="AE27" s="730"/>
      <c r="AF27" s="560"/>
      <c r="AG27" s="452"/>
      <c r="AH27" s="453">
        <f t="shared" si="18"/>
        <v>0</v>
      </c>
      <c r="AI27" s="450">
        <f t="shared" si="19"/>
        <v>0</v>
      </c>
      <c r="AJ27" s="458"/>
      <c r="AK27" s="560"/>
      <c r="AL27" s="452"/>
      <c r="AM27" s="453">
        <f t="shared" si="20"/>
        <v>0</v>
      </c>
      <c r="AN27" s="450">
        <f t="shared" si="21"/>
        <v>0</v>
      </c>
      <c r="AO27" s="458"/>
      <c r="AP27" s="560"/>
      <c r="AQ27" s="452"/>
      <c r="AR27" s="453">
        <f t="shared" si="22"/>
        <v>0</v>
      </c>
      <c r="AS27" s="450">
        <f t="shared" si="5"/>
        <v>0</v>
      </c>
      <c r="AT27" s="458"/>
      <c r="AU27" s="560"/>
      <c r="AV27" s="452"/>
      <c r="AW27" s="453">
        <f t="shared" si="23"/>
        <v>0</v>
      </c>
      <c r="AX27" s="450">
        <f t="shared" si="6"/>
        <v>0</v>
      </c>
      <c r="AY27" s="458"/>
      <c r="AZ27" s="560"/>
      <c r="BA27" s="452"/>
      <c r="BB27" s="453">
        <f t="shared" si="24"/>
        <v>0</v>
      </c>
      <c r="BC27" s="450">
        <f t="shared" si="7"/>
        <v>0</v>
      </c>
      <c r="BD27" s="458"/>
      <c r="BE27" s="1644"/>
      <c r="BF27" s="1432"/>
      <c r="BG27" s="1552">
        <f t="shared" si="25"/>
        <v>0</v>
      </c>
      <c r="BH27" s="1877">
        <f t="shared" si="8"/>
        <v>0</v>
      </c>
      <c r="BI27" s="1590"/>
      <c r="BJ27" s="39">
        <f t="shared" si="9"/>
        <v>0</v>
      </c>
      <c r="BK27" s="39">
        <f t="shared" si="10"/>
        <v>0</v>
      </c>
      <c r="BL27" s="210">
        <f t="shared" si="26"/>
        <v>0</v>
      </c>
      <c r="BM27" s="178">
        <f t="shared" si="32"/>
        <v>0</v>
      </c>
      <c r="BN27" s="42"/>
    </row>
    <row r="28" spans="1:66" s="226" customFormat="1" ht="13.8">
      <c r="A28" s="238"/>
      <c r="B28" s="262" t="s">
        <v>52</v>
      </c>
      <c r="C28" s="114"/>
      <c r="D28" s="113"/>
      <c r="E28" s="106">
        <f t="shared" si="4"/>
        <v>0</v>
      </c>
      <c r="F28" s="177" t="e">
        <f t="shared" si="28"/>
        <v>#DIV/0!</v>
      </c>
      <c r="G28" s="39"/>
      <c r="H28" s="39"/>
      <c r="I28" s="210">
        <f t="shared" si="11"/>
        <v>0</v>
      </c>
      <c r="J28" s="178">
        <f t="shared" si="29"/>
        <v>0</v>
      </c>
      <c r="K28" s="42"/>
      <c r="L28" s="39"/>
      <c r="M28" s="39"/>
      <c r="N28" s="210">
        <f t="shared" si="12"/>
        <v>0</v>
      </c>
      <c r="O28" s="178">
        <f t="shared" si="30"/>
        <v>0</v>
      </c>
      <c r="P28" s="426"/>
      <c r="Q28" s="39">
        <f>7350+16333.36*1.2</f>
        <v>26950.031999999999</v>
      </c>
      <c r="R28" s="39"/>
      <c r="S28" s="210">
        <f t="shared" si="31"/>
        <v>26950.031999999999</v>
      </c>
      <c r="T28" s="178">
        <f t="shared" si="27"/>
        <v>0.14929245179101772</v>
      </c>
      <c r="U28" s="388" t="s">
        <v>683</v>
      </c>
      <c r="V28" s="39"/>
      <c r="W28" s="39"/>
      <c r="X28" s="210">
        <f t="shared" si="14"/>
        <v>0</v>
      </c>
      <c r="Y28" s="178">
        <f t="shared" si="15"/>
        <v>0</v>
      </c>
      <c r="Z28" s="388"/>
      <c r="AA28" s="39">
        <v>125</v>
      </c>
      <c r="AB28" s="39"/>
      <c r="AC28" s="210">
        <f t="shared" si="16"/>
        <v>125</v>
      </c>
      <c r="AD28" s="178">
        <f t="shared" si="17"/>
        <v>0.22279654219766512</v>
      </c>
      <c r="AE28" s="730" t="s">
        <v>795</v>
      </c>
      <c r="AF28" s="560"/>
      <c r="AG28" s="452"/>
      <c r="AH28" s="453">
        <f t="shared" si="18"/>
        <v>0</v>
      </c>
      <c r="AI28" s="450">
        <f t="shared" si="19"/>
        <v>0</v>
      </c>
      <c r="AJ28" s="458"/>
      <c r="AK28" s="560"/>
      <c r="AL28" s="452"/>
      <c r="AM28" s="453">
        <f t="shared" si="20"/>
        <v>0</v>
      </c>
      <c r="AN28" s="450">
        <f t="shared" si="21"/>
        <v>0</v>
      </c>
      <c r="AO28" s="458"/>
      <c r="AP28" s="560"/>
      <c r="AQ28" s="452"/>
      <c r="AR28" s="453">
        <f t="shared" si="22"/>
        <v>0</v>
      </c>
      <c r="AS28" s="450">
        <f t="shared" si="5"/>
        <v>0</v>
      </c>
      <c r="AT28" s="458"/>
      <c r="AU28" s="560"/>
      <c r="AV28" s="452"/>
      <c r="AW28" s="453">
        <f t="shared" si="23"/>
        <v>0</v>
      </c>
      <c r="AX28" s="450">
        <f t="shared" si="6"/>
        <v>0</v>
      </c>
      <c r="AY28" s="458"/>
      <c r="AZ28" s="560"/>
      <c r="BA28" s="452"/>
      <c r="BB28" s="453">
        <f t="shared" si="24"/>
        <v>0</v>
      </c>
      <c r="BC28" s="450">
        <f t="shared" si="7"/>
        <v>0</v>
      </c>
      <c r="BD28" s="458"/>
      <c r="BE28" s="1644"/>
      <c r="BF28" s="1432"/>
      <c r="BG28" s="1552">
        <f t="shared" si="25"/>
        <v>0</v>
      </c>
      <c r="BH28" s="1877">
        <f t="shared" si="8"/>
        <v>0</v>
      </c>
      <c r="BI28" s="1590"/>
      <c r="BJ28" s="39">
        <f t="shared" si="9"/>
        <v>27075.031999999999</v>
      </c>
      <c r="BK28" s="39">
        <f t="shared" si="10"/>
        <v>0</v>
      </c>
      <c r="BL28" s="210">
        <f t="shared" si="26"/>
        <v>27075.031999999999</v>
      </c>
      <c r="BM28" s="178">
        <f t="shared" si="32"/>
        <v>5.8815761463194983E-2</v>
      </c>
      <c r="BN28" s="42"/>
    </row>
    <row r="29" spans="1:66" s="2" customFormat="1" ht="96.6">
      <c r="A29" s="238"/>
      <c r="B29" s="7" t="s">
        <v>31</v>
      </c>
      <c r="C29" s="114"/>
      <c r="D29" s="113"/>
      <c r="E29" s="106">
        <f t="shared" si="4"/>
        <v>0</v>
      </c>
      <c r="F29" s="178" t="e">
        <f t="shared" si="28"/>
        <v>#DIV/0!</v>
      </c>
      <c r="G29" s="39">
        <f>3200+11918</f>
        <v>15118</v>
      </c>
      <c r="H29" s="39">
        <v>3900</v>
      </c>
      <c r="I29" s="210">
        <f t="shared" si="11"/>
        <v>19018</v>
      </c>
      <c r="J29" s="178">
        <f t="shared" si="29"/>
        <v>0.41202805171313805</v>
      </c>
      <c r="K29" s="261" t="s">
        <v>542</v>
      </c>
      <c r="L29" s="39">
        <v>4300</v>
      </c>
      <c r="M29" s="39">
        <f>2800</f>
        <v>2800</v>
      </c>
      <c r="N29" s="210">
        <f t="shared" si="12"/>
        <v>7100</v>
      </c>
      <c r="O29" s="178">
        <f t="shared" si="30"/>
        <v>4.7240558790170195E-2</v>
      </c>
      <c r="P29" s="417" t="s">
        <v>587</v>
      </c>
      <c r="Q29" s="39">
        <v>1700</v>
      </c>
      <c r="R29" s="39">
        <v>1300</v>
      </c>
      <c r="S29" s="210">
        <f t="shared" si="31"/>
        <v>3000</v>
      </c>
      <c r="T29" s="178">
        <f t="shared" si="27"/>
        <v>1.6618806069434468E-2</v>
      </c>
      <c r="U29" s="388" t="s">
        <v>703</v>
      </c>
      <c r="V29" s="39"/>
      <c r="W29" s="39"/>
      <c r="X29" s="210">
        <f t="shared" si="14"/>
        <v>0</v>
      </c>
      <c r="Y29" s="178">
        <f t="shared" si="15"/>
        <v>0</v>
      </c>
      <c r="Z29" s="388"/>
      <c r="AA29" s="39"/>
      <c r="AB29" s="39"/>
      <c r="AC29" s="210">
        <f t="shared" si="16"/>
        <v>0</v>
      </c>
      <c r="AD29" s="178">
        <f t="shared" si="17"/>
        <v>0</v>
      </c>
      <c r="AE29" s="730"/>
      <c r="AF29" s="560"/>
      <c r="AG29" s="452"/>
      <c r="AH29" s="453">
        <f t="shared" si="18"/>
        <v>0</v>
      </c>
      <c r="AI29" s="450">
        <f t="shared" si="19"/>
        <v>0</v>
      </c>
      <c r="AJ29" s="458"/>
      <c r="AK29" s="560"/>
      <c r="AL29" s="452"/>
      <c r="AM29" s="453">
        <f t="shared" si="20"/>
        <v>0</v>
      </c>
      <c r="AN29" s="450">
        <f t="shared" si="21"/>
        <v>0</v>
      </c>
      <c r="AO29" s="458"/>
      <c r="AP29" s="560"/>
      <c r="AQ29" s="452"/>
      <c r="AR29" s="453">
        <f t="shared" si="22"/>
        <v>0</v>
      </c>
      <c r="AS29" s="450">
        <f t="shared" si="5"/>
        <v>0</v>
      </c>
      <c r="AT29" s="458"/>
      <c r="AU29" s="560"/>
      <c r="AV29" s="452"/>
      <c r="AW29" s="453">
        <f t="shared" si="23"/>
        <v>0</v>
      </c>
      <c r="AX29" s="450">
        <f t="shared" si="6"/>
        <v>0</v>
      </c>
      <c r="AY29" s="458"/>
      <c r="AZ29" s="560"/>
      <c r="BA29" s="452"/>
      <c r="BB29" s="453">
        <f t="shared" si="24"/>
        <v>0</v>
      </c>
      <c r="BC29" s="450">
        <f t="shared" si="7"/>
        <v>0</v>
      </c>
      <c r="BD29" s="458"/>
      <c r="BE29" s="1644"/>
      <c r="BF29" s="1432"/>
      <c r="BG29" s="1552">
        <f t="shared" si="25"/>
        <v>0</v>
      </c>
      <c r="BH29" s="1877">
        <f t="shared" si="8"/>
        <v>0</v>
      </c>
      <c r="BI29" s="1590"/>
      <c r="BJ29" s="39">
        <f t="shared" si="9"/>
        <v>21118</v>
      </c>
      <c r="BK29" s="39">
        <f t="shared" si="10"/>
        <v>8000</v>
      </c>
      <c r="BL29" s="210">
        <f t="shared" si="26"/>
        <v>29118</v>
      </c>
      <c r="BM29" s="178">
        <f t="shared" si="32"/>
        <v>6.3253751363444799E-2</v>
      </c>
      <c r="BN29" s="79"/>
    </row>
    <row r="30" spans="1:66" s="2" customFormat="1" ht="55.2">
      <c r="A30" s="238"/>
      <c r="B30" s="7" t="s">
        <v>62</v>
      </c>
      <c r="C30" s="114"/>
      <c r="D30" s="113"/>
      <c r="E30" s="106">
        <f t="shared" si="4"/>
        <v>0</v>
      </c>
      <c r="F30" s="178" t="e">
        <f t="shared" si="28"/>
        <v>#DIV/0!</v>
      </c>
      <c r="G30" s="39"/>
      <c r="H30" s="39"/>
      <c r="I30" s="210">
        <f t="shared" si="11"/>
        <v>0</v>
      </c>
      <c r="J30" s="178">
        <f t="shared" si="29"/>
        <v>0</v>
      </c>
      <c r="K30" s="79"/>
      <c r="L30" s="39"/>
      <c r="M30" s="39"/>
      <c r="N30" s="210">
        <f t="shared" si="12"/>
        <v>0</v>
      </c>
      <c r="O30" s="178">
        <f t="shared" si="30"/>
        <v>0</v>
      </c>
      <c r="P30" s="259"/>
      <c r="Q30" s="39"/>
      <c r="R30" s="39">
        <f>17500+1600</f>
        <v>19100</v>
      </c>
      <c r="S30" s="210">
        <f t="shared" si="31"/>
        <v>19100</v>
      </c>
      <c r="T30" s="178">
        <f t="shared" si="27"/>
        <v>0.10580639864206612</v>
      </c>
      <c r="U30" s="388" t="s">
        <v>704</v>
      </c>
      <c r="V30" s="39"/>
      <c r="W30" s="39"/>
      <c r="X30" s="210">
        <f t="shared" si="14"/>
        <v>0</v>
      </c>
      <c r="Y30" s="178">
        <f t="shared" si="15"/>
        <v>0</v>
      </c>
      <c r="Z30" s="388"/>
      <c r="AA30" s="39"/>
      <c r="AB30" s="39"/>
      <c r="AC30" s="210">
        <f t="shared" si="16"/>
        <v>0</v>
      </c>
      <c r="AD30" s="178">
        <f t="shared" si="17"/>
        <v>0</v>
      </c>
      <c r="AE30" s="730"/>
      <c r="AF30" s="560"/>
      <c r="AG30" s="452"/>
      <c r="AH30" s="453">
        <f t="shared" si="18"/>
        <v>0</v>
      </c>
      <c r="AI30" s="450">
        <f t="shared" si="19"/>
        <v>0</v>
      </c>
      <c r="AJ30" s="458"/>
      <c r="AK30" s="560"/>
      <c r="AL30" s="452"/>
      <c r="AM30" s="453">
        <f t="shared" si="20"/>
        <v>0</v>
      </c>
      <c r="AN30" s="450">
        <f t="shared" si="21"/>
        <v>0</v>
      </c>
      <c r="AO30" s="458"/>
      <c r="AP30" s="560"/>
      <c r="AQ30" s="452"/>
      <c r="AR30" s="453">
        <f t="shared" si="22"/>
        <v>0</v>
      </c>
      <c r="AS30" s="450">
        <f t="shared" si="5"/>
        <v>0</v>
      </c>
      <c r="AT30" s="458"/>
      <c r="AU30" s="560"/>
      <c r="AV30" s="452"/>
      <c r="AW30" s="453">
        <f t="shared" si="23"/>
        <v>0</v>
      </c>
      <c r="AX30" s="450">
        <f t="shared" si="6"/>
        <v>0</v>
      </c>
      <c r="AY30" s="458"/>
      <c r="AZ30" s="560"/>
      <c r="BA30" s="452"/>
      <c r="BB30" s="453">
        <f t="shared" si="24"/>
        <v>0</v>
      </c>
      <c r="BC30" s="450">
        <f t="shared" si="7"/>
        <v>0</v>
      </c>
      <c r="BD30" s="458"/>
      <c r="BE30" s="1644"/>
      <c r="BF30" s="1432"/>
      <c r="BG30" s="1552">
        <f t="shared" si="25"/>
        <v>0</v>
      </c>
      <c r="BH30" s="1877">
        <f t="shared" si="8"/>
        <v>0</v>
      </c>
      <c r="BI30" s="1590"/>
      <c r="BJ30" s="39">
        <f t="shared" si="9"/>
        <v>0</v>
      </c>
      <c r="BK30" s="39">
        <f t="shared" si="10"/>
        <v>19100</v>
      </c>
      <c r="BL30" s="210">
        <f t="shared" si="26"/>
        <v>19100</v>
      </c>
      <c r="BM30" s="178">
        <f t="shared" si="32"/>
        <v>4.1491402261205977E-2</v>
      </c>
      <c r="BN30" s="79"/>
    </row>
    <row r="31" spans="1:66" s="2" customFormat="1" ht="27.6">
      <c r="A31" s="238"/>
      <c r="B31" s="7" t="s">
        <v>34</v>
      </c>
      <c r="C31" s="114"/>
      <c r="D31" s="128"/>
      <c r="E31" s="106">
        <f t="shared" si="4"/>
        <v>0</v>
      </c>
      <c r="F31" s="178" t="e">
        <f t="shared" si="28"/>
        <v>#DIV/0!</v>
      </c>
      <c r="G31" s="39"/>
      <c r="H31" s="39"/>
      <c r="I31" s="210">
        <f t="shared" si="11"/>
        <v>0</v>
      </c>
      <c r="J31" s="178">
        <f t="shared" si="29"/>
        <v>0</v>
      </c>
      <c r="K31" s="79"/>
      <c r="L31" s="39"/>
      <c r="M31" s="39">
        <v>435</v>
      </c>
      <c r="N31" s="210">
        <f t="shared" si="12"/>
        <v>435</v>
      </c>
      <c r="O31" s="178">
        <f t="shared" si="30"/>
        <v>2.8943159258766247E-3</v>
      </c>
      <c r="P31" s="439" t="s">
        <v>588</v>
      </c>
      <c r="Q31" s="39"/>
      <c r="R31" s="39">
        <v>1000</v>
      </c>
      <c r="S31" s="210">
        <f t="shared" si="31"/>
        <v>1000</v>
      </c>
      <c r="T31" s="178">
        <f t="shared" si="27"/>
        <v>5.5396020231448231E-3</v>
      </c>
      <c r="U31" s="388" t="s">
        <v>705</v>
      </c>
      <c r="V31" s="39"/>
      <c r="W31" s="39"/>
      <c r="X31" s="210">
        <f t="shared" si="14"/>
        <v>0</v>
      </c>
      <c r="Y31" s="178">
        <f t="shared" si="15"/>
        <v>0</v>
      </c>
      <c r="Z31" s="388"/>
      <c r="AA31" s="39"/>
      <c r="AB31" s="39"/>
      <c r="AC31" s="210">
        <f t="shared" si="16"/>
        <v>0</v>
      </c>
      <c r="AD31" s="178">
        <f t="shared" si="17"/>
        <v>0</v>
      </c>
      <c r="AE31" s="730"/>
      <c r="AF31" s="560"/>
      <c r="AG31" s="452"/>
      <c r="AH31" s="453">
        <f t="shared" si="18"/>
        <v>0</v>
      </c>
      <c r="AI31" s="450">
        <f t="shared" si="19"/>
        <v>0</v>
      </c>
      <c r="AJ31" s="458"/>
      <c r="AK31" s="560"/>
      <c r="AL31" s="452"/>
      <c r="AM31" s="453">
        <f t="shared" si="20"/>
        <v>0</v>
      </c>
      <c r="AN31" s="450">
        <f t="shared" si="21"/>
        <v>0</v>
      </c>
      <c r="AO31" s="458"/>
      <c r="AP31" s="560"/>
      <c r="AQ31" s="452"/>
      <c r="AR31" s="453">
        <f t="shared" si="22"/>
        <v>0</v>
      </c>
      <c r="AS31" s="450">
        <f t="shared" si="5"/>
        <v>0</v>
      </c>
      <c r="AT31" s="458"/>
      <c r="AU31" s="560"/>
      <c r="AV31" s="452"/>
      <c r="AW31" s="453">
        <f t="shared" si="23"/>
        <v>0</v>
      </c>
      <c r="AX31" s="450">
        <f t="shared" si="6"/>
        <v>0</v>
      </c>
      <c r="AY31" s="458"/>
      <c r="AZ31" s="560"/>
      <c r="BA31" s="452"/>
      <c r="BB31" s="453">
        <f t="shared" si="24"/>
        <v>0</v>
      </c>
      <c r="BC31" s="450">
        <f t="shared" si="7"/>
        <v>0</v>
      </c>
      <c r="BD31" s="458"/>
      <c r="BE31" s="1644"/>
      <c r="BF31" s="1432"/>
      <c r="BG31" s="1552">
        <f t="shared" si="25"/>
        <v>0</v>
      </c>
      <c r="BH31" s="1877">
        <f t="shared" si="8"/>
        <v>0</v>
      </c>
      <c r="BI31" s="1590"/>
      <c r="BJ31" s="39">
        <f t="shared" si="9"/>
        <v>0</v>
      </c>
      <c r="BK31" s="39">
        <f t="shared" si="10"/>
        <v>1435</v>
      </c>
      <c r="BL31" s="210">
        <f t="shared" si="26"/>
        <v>1435</v>
      </c>
      <c r="BM31" s="178">
        <f t="shared" si="32"/>
        <v>3.1172859814047427E-3</v>
      </c>
      <c r="BN31" s="79"/>
    </row>
    <row r="32" spans="1:66" s="2" customFormat="1" ht="13.8">
      <c r="A32" s="238"/>
      <c r="B32" s="32" t="s">
        <v>2</v>
      </c>
      <c r="C32" s="115"/>
      <c r="D32" s="116"/>
      <c r="E32" s="106">
        <f t="shared" si="4"/>
        <v>0</v>
      </c>
      <c r="F32" s="178" t="e">
        <f t="shared" si="28"/>
        <v>#DIV/0!</v>
      </c>
      <c r="G32" s="39"/>
      <c r="H32" s="39"/>
      <c r="I32" s="210">
        <f t="shared" si="11"/>
        <v>0</v>
      </c>
      <c r="J32" s="178">
        <f t="shared" si="29"/>
        <v>0</v>
      </c>
      <c r="K32" s="79"/>
      <c r="L32" s="39"/>
      <c r="M32" s="39"/>
      <c r="N32" s="210">
        <f t="shared" si="12"/>
        <v>0</v>
      </c>
      <c r="O32" s="178">
        <f t="shared" si="30"/>
        <v>0</v>
      </c>
      <c r="P32" s="259"/>
      <c r="Q32" s="39"/>
      <c r="R32" s="39"/>
      <c r="S32" s="210">
        <f t="shared" si="31"/>
        <v>0</v>
      </c>
      <c r="T32" s="178">
        <f t="shared" si="27"/>
        <v>0</v>
      </c>
      <c r="U32" s="259"/>
      <c r="V32" s="39"/>
      <c r="W32" s="39"/>
      <c r="X32" s="210">
        <f t="shared" si="14"/>
        <v>0</v>
      </c>
      <c r="Y32" s="178">
        <f t="shared" si="15"/>
        <v>0</v>
      </c>
      <c r="Z32" s="259"/>
      <c r="AA32" s="39"/>
      <c r="AB32" s="39"/>
      <c r="AC32" s="210">
        <f t="shared" si="16"/>
        <v>0</v>
      </c>
      <c r="AD32" s="178">
        <f t="shared" si="17"/>
        <v>0</v>
      </c>
      <c r="AE32" s="731"/>
      <c r="AF32" s="560"/>
      <c r="AG32" s="452"/>
      <c r="AH32" s="453">
        <f t="shared" si="18"/>
        <v>0</v>
      </c>
      <c r="AI32" s="450">
        <f t="shared" si="19"/>
        <v>0</v>
      </c>
      <c r="AJ32" s="503"/>
      <c r="AK32" s="560"/>
      <c r="AL32" s="452"/>
      <c r="AM32" s="453">
        <f t="shared" si="20"/>
        <v>0</v>
      </c>
      <c r="AN32" s="450">
        <f t="shared" si="21"/>
        <v>0</v>
      </c>
      <c r="AO32" s="503"/>
      <c r="AP32" s="560"/>
      <c r="AQ32" s="452"/>
      <c r="AR32" s="453">
        <f t="shared" si="22"/>
        <v>0</v>
      </c>
      <c r="AS32" s="450">
        <f t="shared" si="5"/>
        <v>0</v>
      </c>
      <c r="AT32" s="503"/>
      <c r="AU32" s="560"/>
      <c r="AV32" s="452"/>
      <c r="AW32" s="453">
        <f t="shared" si="23"/>
        <v>0</v>
      </c>
      <c r="AX32" s="450">
        <f t="shared" si="6"/>
        <v>0</v>
      </c>
      <c r="AY32" s="503"/>
      <c r="AZ32" s="560"/>
      <c r="BA32" s="452"/>
      <c r="BB32" s="453">
        <f t="shared" si="24"/>
        <v>0</v>
      </c>
      <c r="BC32" s="450">
        <f t="shared" si="7"/>
        <v>0</v>
      </c>
      <c r="BD32" s="503"/>
      <c r="BE32" s="1644"/>
      <c r="BF32" s="1432"/>
      <c r="BG32" s="1552">
        <f t="shared" si="25"/>
        <v>0</v>
      </c>
      <c r="BH32" s="1877">
        <f t="shared" si="8"/>
        <v>0</v>
      </c>
      <c r="BI32" s="1880"/>
      <c r="BJ32" s="39">
        <f t="shared" si="9"/>
        <v>0</v>
      </c>
      <c r="BK32" s="39">
        <f t="shared" si="10"/>
        <v>0</v>
      </c>
      <c r="BL32" s="210">
        <f t="shared" si="26"/>
        <v>0</v>
      </c>
      <c r="BM32" s="178">
        <f t="shared" si="32"/>
        <v>0</v>
      </c>
      <c r="BN32" s="79"/>
    </row>
    <row r="33" spans="1:66" s="2" customFormat="1" ht="14.4" thickBot="1">
      <c r="A33" s="238"/>
      <c r="B33" s="32" t="s">
        <v>75</v>
      </c>
      <c r="C33" s="115"/>
      <c r="D33" s="116"/>
      <c r="E33" s="106">
        <f t="shared" si="4"/>
        <v>0</v>
      </c>
      <c r="F33" s="178" t="e">
        <f t="shared" si="28"/>
        <v>#DIV/0!</v>
      </c>
      <c r="G33" s="39"/>
      <c r="H33" s="39"/>
      <c r="I33" s="210">
        <f t="shared" si="11"/>
        <v>0</v>
      </c>
      <c r="J33" s="178">
        <f t="shared" si="29"/>
        <v>0</v>
      </c>
      <c r="K33" s="79"/>
      <c r="L33" s="39"/>
      <c r="M33" s="39"/>
      <c r="N33" s="210">
        <f t="shared" si="12"/>
        <v>0</v>
      </c>
      <c r="O33" s="178">
        <f t="shared" si="30"/>
        <v>0</v>
      </c>
      <c r="P33" s="259"/>
      <c r="Q33" s="39"/>
      <c r="R33" s="39"/>
      <c r="S33" s="210">
        <f t="shared" si="31"/>
        <v>0</v>
      </c>
      <c r="T33" s="178">
        <f t="shared" si="27"/>
        <v>0</v>
      </c>
      <c r="U33" s="259"/>
      <c r="V33" s="39"/>
      <c r="W33" s="39"/>
      <c r="X33" s="210">
        <f t="shared" si="14"/>
        <v>0</v>
      </c>
      <c r="Y33" s="178">
        <f t="shared" si="15"/>
        <v>0</v>
      </c>
      <c r="Z33" s="259"/>
      <c r="AA33" s="39"/>
      <c r="AB33" s="39"/>
      <c r="AC33" s="210">
        <f t="shared" si="16"/>
        <v>0</v>
      </c>
      <c r="AD33" s="178">
        <f t="shared" si="17"/>
        <v>0</v>
      </c>
      <c r="AE33" s="731"/>
      <c r="AF33" s="560"/>
      <c r="AG33" s="452"/>
      <c r="AH33" s="453">
        <f t="shared" si="18"/>
        <v>0</v>
      </c>
      <c r="AI33" s="450">
        <f t="shared" si="19"/>
        <v>0</v>
      </c>
      <c r="AJ33" s="503"/>
      <c r="AK33" s="560"/>
      <c r="AL33" s="452"/>
      <c r="AM33" s="453">
        <f t="shared" si="20"/>
        <v>0</v>
      </c>
      <c r="AN33" s="450">
        <f t="shared" si="21"/>
        <v>0</v>
      </c>
      <c r="AO33" s="503"/>
      <c r="AP33" s="560"/>
      <c r="AQ33" s="452"/>
      <c r="AR33" s="453">
        <f t="shared" si="22"/>
        <v>0</v>
      </c>
      <c r="AS33" s="450">
        <f t="shared" si="5"/>
        <v>0</v>
      </c>
      <c r="AT33" s="503"/>
      <c r="AU33" s="560"/>
      <c r="AV33" s="452"/>
      <c r="AW33" s="453">
        <f t="shared" si="23"/>
        <v>0</v>
      </c>
      <c r="AX33" s="450">
        <f t="shared" si="6"/>
        <v>0</v>
      </c>
      <c r="AY33" s="503"/>
      <c r="AZ33" s="560"/>
      <c r="BA33" s="452"/>
      <c r="BB33" s="453">
        <f t="shared" si="24"/>
        <v>0</v>
      </c>
      <c r="BC33" s="450">
        <f t="shared" si="7"/>
        <v>0</v>
      </c>
      <c r="BD33" s="503"/>
      <c r="BE33" s="1644"/>
      <c r="BF33" s="1432"/>
      <c r="BG33" s="1552">
        <f t="shared" si="25"/>
        <v>0</v>
      </c>
      <c r="BH33" s="1877">
        <f t="shared" si="8"/>
        <v>0</v>
      </c>
      <c r="BI33" s="1880"/>
      <c r="BJ33" s="39">
        <f t="shared" si="9"/>
        <v>0</v>
      </c>
      <c r="BK33" s="39">
        <f t="shared" si="10"/>
        <v>0</v>
      </c>
      <c r="BL33" s="210">
        <f t="shared" si="26"/>
        <v>0</v>
      </c>
      <c r="BM33" s="178">
        <f t="shared" si="32"/>
        <v>0</v>
      </c>
      <c r="BN33" s="79"/>
    </row>
    <row r="34" spans="1:66" s="2" customFormat="1" ht="13.8">
      <c r="A34" s="238"/>
      <c r="B34" s="12"/>
      <c r="C34" s="46"/>
      <c r="D34" s="47"/>
      <c r="E34" s="48"/>
      <c r="F34" s="179"/>
      <c r="G34" s="39"/>
      <c r="H34" s="39"/>
      <c r="I34" s="48"/>
      <c r="J34" s="48"/>
      <c r="K34" s="48"/>
      <c r="L34" s="39"/>
      <c r="M34" s="39"/>
      <c r="N34" s="48"/>
      <c r="O34" s="48"/>
      <c r="P34" s="48"/>
      <c r="Q34" s="39"/>
      <c r="R34" s="39"/>
      <c r="S34" s="48"/>
      <c r="T34" s="48"/>
      <c r="U34" s="48"/>
      <c r="V34" s="39"/>
      <c r="W34" s="39"/>
      <c r="X34" s="48"/>
      <c r="Y34" s="48"/>
      <c r="Z34" s="48"/>
      <c r="AA34" s="39"/>
      <c r="AB34" s="39"/>
      <c r="AC34" s="48"/>
      <c r="AD34" s="48"/>
      <c r="AE34" s="543"/>
      <c r="AF34" s="560"/>
      <c r="AG34" s="452"/>
      <c r="AH34" s="657"/>
      <c r="AI34" s="657"/>
      <c r="AJ34" s="657"/>
      <c r="AK34" s="560"/>
      <c r="AL34" s="452"/>
      <c r="AM34" s="657"/>
      <c r="AN34" s="657"/>
      <c r="AO34" s="657"/>
      <c r="AP34" s="560"/>
      <c r="AQ34" s="452"/>
      <c r="AR34" s="657"/>
      <c r="AS34" s="657">
        <f t="shared" si="5"/>
        <v>0</v>
      </c>
      <c r="AT34" s="657"/>
      <c r="AU34" s="560"/>
      <c r="AV34" s="452"/>
      <c r="AW34" s="657"/>
      <c r="AX34" s="657">
        <f t="shared" si="6"/>
        <v>0</v>
      </c>
      <c r="AY34" s="657"/>
      <c r="AZ34" s="560"/>
      <c r="BA34" s="452"/>
      <c r="BB34" s="657"/>
      <c r="BC34" s="657">
        <f t="shared" si="7"/>
        <v>0</v>
      </c>
      <c r="BD34" s="657"/>
      <c r="BE34" s="1644"/>
      <c r="BF34" s="1432"/>
      <c r="BG34" s="1436"/>
      <c r="BH34" s="1436">
        <f t="shared" si="8"/>
        <v>0</v>
      </c>
      <c r="BI34" s="1436"/>
      <c r="BJ34" s="39"/>
      <c r="BK34" s="39"/>
      <c r="BL34" s="48"/>
      <c r="BM34" s="48"/>
      <c r="BN34" s="48"/>
    </row>
    <row r="35" spans="1:66" s="88" customFormat="1" ht="13.8">
      <c r="A35" s="238"/>
      <c r="B35" s="89" t="s">
        <v>80</v>
      </c>
      <c r="C35" s="90">
        <f>C36</f>
        <v>0</v>
      </c>
      <c r="D35" s="90">
        <f>D36</f>
        <v>0</v>
      </c>
      <c r="E35" s="91">
        <f>E36</f>
        <v>0</v>
      </c>
      <c r="F35" s="165" t="e">
        <f>E35/$E$89</f>
        <v>#DIV/0!</v>
      </c>
      <c r="G35" s="90">
        <f>G36</f>
        <v>0</v>
      </c>
      <c r="H35" s="90">
        <f>H36</f>
        <v>0</v>
      </c>
      <c r="I35" s="91">
        <f>I36</f>
        <v>0</v>
      </c>
      <c r="J35" s="91"/>
      <c r="K35" s="91"/>
      <c r="L35" s="90">
        <f>L36</f>
        <v>0</v>
      </c>
      <c r="M35" s="90">
        <f>M36</f>
        <v>0</v>
      </c>
      <c r="N35" s="91">
        <f>N36</f>
        <v>0</v>
      </c>
      <c r="O35" s="91"/>
      <c r="P35" s="404"/>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634"/>
      <c r="AF35" s="536">
        <f>AF36</f>
        <v>0</v>
      </c>
      <c r="AG35" s="536">
        <f>AG36</f>
        <v>0</v>
      </c>
      <c r="AH35" s="658">
        <f>AH36</f>
        <v>0</v>
      </c>
      <c r="AI35" s="658"/>
      <c r="AJ35" s="659"/>
      <c r="AK35" s="536">
        <f>AK36</f>
        <v>0</v>
      </c>
      <c r="AL35" s="536">
        <f>AL36</f>
        <v>0</v>
      </c>
      <c r="AM35" s="658">
        <f>AM36</f>
        <v>0</v>
      </c>
      <c r="AN35" s="658"/>
      <c r="AO35" s="659"/>
      <c r="AP35" s="536">
        <f>AP36</f>
        <v>0</v>
      </c>
      <c r="AQ35" s="536">
        <f>AQ36</f>
        <v>0</v>
      </c>
      <c r="AR35" s="658">
        <f>AR36</f>
        <v>0</v>
      </c>
      <c r="AS35" s="658">
        <f t="shared" si="5"/>
        <v>0</v>
      </c>
      <c r="AT35" s="659"/>
      <c r="AU35" s="536">
        <f>AU36</f>
        <v>0</v>
      </c>
      <c r="AV35" s="536">
        <f>AV36</f>
        <v>0</v>
      </c>
      <c r="AW35" s="658">
        <f>AW36</f>
        <v>0</v>
      </c>
      <c r="AX35" s="658">
        <f t="shared" si="6"/>
        <v>0</v>
      </c>
      <c r="AY35" s="659"/>
      <c r="AZ35" s="536">
        <f>AZ36</f>
        <v>0</v>
      </c>
      <c r="BA35" s="536">
        <f>BA36</f>
        <v>0</v>
      </c>
      <c r="BB35" s="658">
        <f>BB36</f>
        <v>0</v>
      </c>
      <c r="BC35" s="658">
        <f t="shared" si="7"/>
        <v>0</v>
      </c>
      <c r="BD35" s="659"/>
      <c r="BE35" s="1882">
        <f>BE36</f>
        <v>0</v>
      </c>
      <c r="BF35" s="1882">
        <f>BF36</f>
        <v>0</v>
      </c>
      <c r="BG35" s="1883">
        <f>BG36</f>
        <v>0</v>
      </c>
      <c r="BH35" s="1883">
        <f t="shared" si="8"/>
        <v>0</v>
      </c>
      <c r="BI35" s="1884"/>
      <c r="BJ35" s="90">
        <f>BJ36</f>
        <v>0</v>
      </c>
      <c r="BK35" s="90">
        <f>BK36</f>
        <v>0</v>
      </c>
      <c r="BL35" s="91">
        <f>BL36</f>
        <v>0</v>
      </c>
      <c r="BM35" s="91"/>
      <c r="BN35" s="91"/>
    </row>
    <row r="36" spans="1:66" s="226" customFormat="1" ht="13.8">
      <c r="A36" s="238"/>
      <c r="B36" s="19" t="s">
        <v>81</v>
      </c>
      <c r="C36" s="43"/>
      <c r="D36" s="49"/>
      <c r="E36" s="106">
        <f>C36+D36</f>
        <v>0</v>
      </c>
      <c r="F36" s="178" t="e">
        <f>E36/$E$89</f>
        <v>#DIV/0!</v>
      </c>
      <c r="G36" s="39"/>
      <c r="H36" s="39"/>
      <c r="I36" s="106">
        <f>G36+H36*1</f>
        <v>0</v>
      </c>
      <c r="J36" s="178">
        <f>I36/$I$89</f>
        <v>0</v>
      </c>
      <c r="K36" s="45"/>
      <c r="L36" s="39"/>
      <c r="M36" s="39"/>
      <c r="N36" s="106">
        <f>L36+M36*1</f>
        <v>0</v>
      </c>
      <c r="O36" s="178">
        <f>N36/$N$89</f>
        <v>0</v>
      </c>
      <c r="P36" s="405"/>
      <c r="Q36" s="39"/>
      <c r="R36" s="39"/>
      <c r="S36" s="106">
        <f>Q36+R36*1</f>
        <v>0</v>
      </c>
      <c r="T36" s="178">
        <f>S36/$S$89</f>
        <v>0</v>
      </c>
      <c r="U36" s="405"/>
      <c r="V36" s="39"/>
      <c r="W36" s="39"/>
      <c r="X36" s="106">
        <f>V36+W36*1</f>
        <v>0</v>
      </c>
      <c r="Y36" s="178">
        <f>X36/$S$89</f>
        <v>0</v>
      </c>
      <c r="Z36" s="405"/>
      <c r="AA36" s="39"/>
      <c r="AB36" s="39"/>
      <c r="AC36" s="106">
        <f>AA36+AB36*1</f>
        <v>0</v>
      </c>
      <c r="AD36" s="178">
        <f>AC36/$S$89</f>
        <v>0</v>
      </c>
      <c r="AE36" s="732"/>
      <c r="AF36" s="560"/>
      <c r="AG36" s="452"/>
      <c r="AH36" s="446">
        <f>AF36+AG36*1</f>
        <v>0</v>
      </c>
      <c r="AI36" s="450">
        <f>AH36/$AH$89</f>
        <v>0</v>
      </c>
      <c r="AJ36" s="745"/>
      <c r="AK36" s="560"/>
      <c r="AL36" s="452"/>
      <c r="AM36" s="446">
        <f>AK36+AL36*1</f>
        <v>0</v>
      </c>
      <c r="AN36" s="450">
        <f>AM36/$AH$89</f>
        <v>0</v>
      </c>
      <c r="AO36" s="745"/>
      <c r="AP36" s="560"/>
      <c r="AQ36" s="452"/>
      <c r="AR36" s="446">
        <f>AP36+AQ36*1</f>
        <v>0</v>
      </c>
      <c r="AS36" s="450">
        <f t="shared" si="5"/>
        <v>0</v>
      </c>
      <c r="AT36" s="745"/>
      <c r="AU36" s="560"/>
      <c r="AV36" s="452"/>
      <c r="AW36" s="446">
        <f>AU36+AV36*1</f>
        <v>0</v>
      </c>
      <c r="AX36" s="450">
        <f t="shared" si="6"/>
        <v>0</v>
      </c>
      <c r="AY36" s="745"/>
      <c r="AZ36" s="560"/>
      <c r="BA36" s="452"/>
      <c r="BB36" s="446">
        <f>AZ36+BA36*1</f>
        <v>0</v>
      </c>
      <c r="BC36" s="450">
        <f t="shared" si="7"/>
        <v>0</v>
      </c>
      <c r="BD36" s="745"/>
      <c r="BE36" s="1644"/>
      <c r="BF36" s="1432"/>
      <c r="BG36" s="1480">
        <f>BE36+BF36*1</f>
        <v>0</v>
      </c>
      <c r="BH36" s="1877">
        <f t="shared" si="8"/>
        <v>0</v>
      </c>
      <c r="BI36" s="1887"/>
      <c r="BJ36" s="39">
        <f>G36+L36+Q36+V36+AA36+AF36+AK36+AP36+AU36+AZ36+BE36</f>
        <v>0</v>
      </c>
      <c r="BK36" s="39">
        <f>H36+M36+R36+W36+AB36+AG36+AL36+AQ36+AV36+BA36+BF36</f>
        <v>0</v>
      </c>
      <c r="BL36" s="106">
        <f>BJ36+BK36*1</f>
        <v>0</v>
      </c>
      <c r="BM36" s="178">
        <f>BL36/$BL$89</f>
        <v>0</v>
      </c>
      <c r="BN36" s="45"/>
    </row>
    <row r="37" spans="1:66" s="2" customFormat="1" ht="14.4" thickBot="1">
      <c r="A37" s="4"/>
      <c r="B37" s="14"/>
      <c r="C37" s="50"/>
      <c r="D37" s="51"/>
      <c r="E37" s="52"/>
      <c r="F37" s="181"/>
      <c r="G37" s="39"/>
      <c r="H37" s="39"/>
      <c r="I37" s="52"/>
      <c r="J37" s="52"/>
      <c r="K37" s="52"/>
      <c r="L37" s="39"/>
      <c r="M37" s="39"/>
      <c r="N37" s="52"/>
      <c r="O37" s="52"/>
      <c r="P37" s="64"/>
      <c r="Q37" s="39"/>
      <c r="R37" s="39"/>
      <c r="S37" s="52"/>
      <c r="T37" s="52"/>
      <c r="U37" s="64"/>
      <c r="V37" s="39"/>
      <c r="W37" s="39"/>
      <c r="X37" s="52"/>
      <c r="Y37" s="52"/>
      <c r="Z37" s="64"/>
      <c r="AA37" s="39"/>
      <c r="AB37" s="39"/>
      <c r="AC37" s="52"/>
      <c r="AD37" s="52"/>
      <c r="AE37" s="603"/>
      <c r="AF37" s="560"/>
      <c r="AG37" s="452"/>
      <c r="AH37" s="606"/>
      <c r="AI37" s="606"/>
      <c r="AJ37" s="588"/>
      <c r="AK37" s="560"/>
      <c r="AL37" s="452"/>
      <c r="AM37" s="606"/>
      <c r="AN37" s="606"/>
      <c r="AO37" s="588"/>
      <c r="AP37" s="560"/>
      <c r="AQ37" s="452"/>
      <c r="AR37" s="606"/>
      <c r="AS37" s="606">
        <f t="shared" si="5"/>
        <v>0</v>
      </c>
      <c r="AT37" s="588"/>
      <c r="AU37" s="560"/>
      <c r="AV37" s="452"/>
      <c r="AW37" s="606"/>
      <c r="AX37" s="606">
        <f t="shared" si="6"/>
        <v>0</v>
      </c>
      <c r="AY37" s="588"/>
      <c r="AZ37" s="560"/>
      <c r="BA37" s="452"/>
      <c r="BB37" s="606"/>
      <c r="BC37" s="606">
        <f t="shared" si="7"/>
        <v>0</v>
      </c>
      <c r="BD37" s="588"/>
      <c r="BE37" s="1644"/>
      <c r="BF37" s="1432"/>
      <c r="BG37" s="1439"/>
      <c r="BH37" s="1439">
        <f t="shared" si="8"/>
        <v>0</v>
      </c>
      <c r="BI37" s="1449"/>
      <c r="BJ37" s="39">
        <f>G37+L37+Q37+V37+AA37+AF37+AK37+AP37+AU37+AZ37</f>
        <v>0</v>
      </c>
      <c r="BK37" s="39">
        <f>H37+M37+R37+W37+AB37+AG37+AL37+AQ37+AV37+BA37</f>
        <v>0</v>
      </c>
      <c r="BL37" s="52"/>
      <c r="BM37" s="52"/>
      <c r="BN37" s="52"/>
    </row>
    <row r="38" spans="1:66" ht="14.4" thickBot="1">
      <c r="A38" s="33"/>
      <c r="B38" s="34" t="s">
        <v>46</v>
      </c>
      <c r="C38" s="53">
        <f>(C5)-(C8)</f>
        <v>0</v>
      </c>
      <c r="D38" s="53">
        <f>(D5)-(D8)</f>
        <v>0</v>
      </c>
      <c r="E38" s="53">
        <f>(E5)-(E8)</f>
        <v>0</v>
      </c>
      <c r="F38" s="166"/>
      <c r="G38" s="53">
        <f>(G5)-(G8)</f>
        <v>-40950.04</v>
      </c>
      <c r="H38" s="53">
        <f>(H5)-(H8)</f>
        <v>-3900</v>
      </c>
      <c r="I38" s="53">
        <f>(I5)-(I8)</f>
        <v>-44850.04</v>
      </c>
      <c r="J38" s="53"/>
      <c r="K38" s="53"/>
      <c r="L38" s="53">
        <f>(L5)-(L8)</f>
        <v>62888.197399999997</v>
      </c>
      <c r="M38" s="53">
        <f>(M5)-(M8)</f>
        <v>-54281.74</v>
      </c>
      <c r="N38" s="53">
        <f>(N5)-(N8)</f>
        <v>8606.4573999999993</v>
      </c>
      <c r="O38" s="53"/>
      <c r="P38" s="406"/>
      <c r="Q38" s="53">
        <f>(Q5)-(Q8)</f>
        <v>244872.04199999999</v>
      </c>
      <c r="R38" s="53">
        <f>(R5)-(R8)</f>
        <v>-79305.58</v>
      </c>
      <c r="S38" s="53">
        <f>(S5)-(S8)</f>
        <v>165566.46199999997</v>
      </c>
      <c r="T38" s="53"/>
      <c r="U38" s="406"/>
      <c r="V38" s="53">
        <f>(V5)-(V8)</f>
        <v>-971.64</v>
      </c>
      <c r="W38" s="53">
        <f>(W5)-(W8)</f>
        <v>0</v>
      </c>
      <c r="X38" s="53">
        <f>(X5)-(X8)</f>
        <v>-971.64</v>
      </c>
      <c r="Y38" s="53"/>
      <c r="Z38" s="406"/>
      <c r="AA38" s="53">
        <f>(AA5)-(AA8)</f>
        <v>-125</v>
      </c>
      <c r="AB38" s="53">
        <f>(AB5)-(AB8)</f>
        <v>0</v>
      </c>
      <c r="AC38" s="53">
        <f>(AC5)-(AC8)</f>
        <v>-125</v>
      </c>
      <c r="AD38" s="53"/>
      <c r="AE38" s="733"/>
      <c r="AF38" s="648">
        <f>(AF5)-(AF8)</f>
        <v>-971.64</v>
      </c>
      <c r="AG38" s="648">
        <f>(AG5)-(AG8)</f>
        <v>0</v>
      </c>
      <c r="AH38" s="648">
        <f>(AH5)-(AH8)</f>
        <v>-971.64</v>
      </c>
      <c r="AI38" s="648"/>
      <c r="AJ38" s="636"/>
      <c r="AK38" s="648">
        <f>(AK5)-(AK8)</f>
        <v>765715.85399999993</v>
      </c>
      <c r="AL38" s="648">
        <f>(AL5)-(AL8)</f>
        <v>-4500</v>
      </c>
      <c r="AM38" s="648">
        <f>(AM5)-(AM8)</f>
        <v>761215.85399999993</v>
      </c>
      <c r="AN38" s="648"/>
      <c r="AO38" s="636"/>
      <c r="AP38" s="648">
        <f>(AP5)-(AP8)</f>
        <v>681362.15399999998</v>
      </c>
      <c r="AQ38" s="648">
        <f>(AQ5)-(AQ8)</f>
        <v>0</v>
      </c>
      <c r="AR38" s="648">
        <f>(AR5)-(AR8)</f>
        <v>681362.15399999998</v>
      </c>
      <c r="AS38" s="648">
        <f t="shared" si="5"/>
        <v>8401.9206126072804</v>
      </c>
      <c r="AT38" s="636"/>
      <c r="AU38" s="648">
        <f>(AU5)-(AU8)</f>
        <v>340643.14</v>
      </c>
      <c r="AV38" s="648">
        <f>(AV5)-(AV8)</f>
        <v>0</v>
      </c>
      <c r="AW38" s="648">
        <f>(AW5)-(AW8)</f>
        <v>340643.14</v>
      </c>
      <c r="AX38" s="648">
        <f t="shared" si="6"/>
        <v>4200.4925027128347</v>
      </c>
      <c r="AY38" s="636"/>
      <c r="AZ38" s="648">
        <f>(AZ5)-(AZ8)</f>
        <v>-27406.331999999999</v>
      </c>
      <c r="BA38" s="648">
        <f>(BA5)-(BA8)</f>
        <v>0</v>
      </c>
      <c r="BB38" s="648">
        <f>(BB5)-(BB8)</f>
        <v>-27406.331999999999</v>
      </c>
      <c r="BC38" s="648">
        <f t="shared" si="7"/>
        <v>-337.94924533885768</v>
      </c>
      <c r="BD38" s="636"/>
      <c r="BE38" s="1440">
        <f>(BE5)-(BE8)</f>
        <v>-48714.983999999997</v>
      </c>
      <c r="BF38" s="1440">
        <f>(BF5)-(BF8)</f>
        <v>0</v>
      </c>
      <c r="BG38" s="1440">
        <f>(BG5)-(BG8)</f>
        <v>-48714.983999999997</v>
      </c>
      <c r="BH38" s="1440">
        <f t="shared" si="8"/>
        <v>0</v>
      </c>
      <c r="BI38" s="1595"/>
      <c r="BJ38" s="53">
        <f>(BJ5)-(BJ8)</f>
        <v>1976341.7514</v>
      </c>
      <c r="BK38" s="53">
        <f>(BK5)-(BK8)</f>
        <v>-141987.32</v>
      </c>
      <c r="BL38" s="53">
        <f>(BL5)-(BL8)</f>
        <v>1834354.4313999999</v>
      </c>
      <c r="BM38" s="53"/>
      <c r="BN38" s="53"/>
    </row>
    <row r="39" spans="1:66" ht="13.8">
      <c r="A39" s="293"/>
      <c r="B39" s="15" t="s">
        <v>47</v>
      </c>
      <c r="C39" s="157" t="e">
        <f>C38/(C5)</f>
        <v>#DIV/0!</v>
      </c>
      <c r="D39" s="157" t="e">
        <f>D38/(D5)</f>
        <v>#DIV/0!</v>
      </c>
      <c r="E39" s="158" t="e">
        <f>E38/(E5)</f>
        <v>#DIV/0!</v>
      </c>
      <c r="F39" s="167"/>
      <c r="G39" s="54" t="e">
        <f>G38/(G5)</f>
        <v>#DIV/0!</v>
      </c>
      <c r="H39" s="54" t="e">
        <f>H38/(H5)</f>
        <v>#DIV/0!</v>
      </c>
      <c r="I39" s="55" t="e">
        <f>I38/(I5)</f>
        <v>#DIV/0!</v>
      </c>
      <c r="J39" s="55"/>
      <c r="K39" s="55"/>
      <c r="L39" s="54">
        <f>L38/(L5)</f>
        <v>0.52554860690946159</v>
      </c>
      <c r="M39" s="54" t="e">
        <f>M38/(M5)</f>
        <v>#DIV/0!</v>
      </c>
      <c r="N39" s="55">
        <f>N38/(N5)</f>
        <v>7.1923061623573065E-2</v>
      </c>
      <c r="O39" s="55"/>
      <c r="P39" s="407"/>
      <c r="Q39" s="54">
        <f>Q38/(Q5)</f>
        <v>0.78359168784696454</v>
      </c>
      <c r="R39" s="54" t="e">
        <f>R38/(R5)</f>
        <v>#DIV/0!</v>
      </c>
      <c r="S39" s="55">
        <f>S38/(S5)</f>
        <v>0.52981345828541049</v>
      </c>
      <c r="T39" s="55"/>
      <c r="U39" s="407"/>
      <c r="V39" s="54" t="e">
        <f>V38/(V5)</f>
        <v>#DIV/0!</v>
      </c>
      <c r="W39" s="54" t="e">
        <f>W38/(W5)</f>
        <v>#DIV/0!</v>
      </c>
      <c r="X39" s="55" t="e">
        <f>X38/(X5)</f>
        <v>#DIV/0!</v>
      </c>
      <c r="Y39" s="55"/>
      <c r="Z39" s="407"/>
      <c r="AA39" s="54" t="e">
        <f>AA38/(AA5)</f>
        <v>#DIV/0!</v>
      </c>
      <c r="AB39" s="54" t="e">
        <f>AB38/(AB5)</f>
        <v>#DIV/0!</v>
      </c>
      <c r="AC39" s="55" t="e">
        <f>AC38/(AC5)</f>
        <v>#DIV/0!</v>
      </c>
      <c r="AD39" s="55"/>
      <c r="AE39" s="716"/>
      <c r="AF39" s="639" t="e">
        <f>AF38/(AF5)</f>
        <v>#DIV/0!</v>
      </c>
      <c r="AG39" s="639" t="e">
        <f>AG38/(AG5)</f>
        <v>#DIV/0!</v>
      </c>
      <c r="AH39" s="660" t="e">
        <f>AH38/(AH5)</f>
        <v>#DIV/0!</v>
      </c>
      <c r="AI39" s="660"/>
      <c r="AJ39" s="661"/>
      <c r="AK39" s="639">
        <f>AK38/(AK5)</f>
        <v>0.99989410247716448</v>
      </c>
      <c r="AL39" s="639" t="e">
        <f>AL38/(AL5)</f>
        <v>#DIV/0!</v>
      </c>
      <c r="AM39" s="660">
        <f>AM38/(AM5)</f>
        <v>0.99401787118635032</v>
      </c>
      <c r="AN39" s="660"/>
      <c r="AO39" s="661"/>
      <c r="AP39" s="639">
        <f>AP38/(AP5)</f>
        <v>0.99988099375846773</v>
      </c>
      <c r="AQ39" s="639" t="e">
        <f>AQ38/(AQ5)</f>
        <v>#DIV/0!</v>
      </c>
      <c r="AR39" s="660">
        <f>AR38/(AR5)</f>
        <v>0.99988099375846773</v>
      </c>
      <c r="AS39" s="660">
        <f t="shared" si="5"/>
        <v>1.2329596943850102E-2</v>
      </c>
      <c r="AT39" s="661"/>
      <c r="AU39" s="639">
        <f>AU38/(AU5)</f>
        <v>0.99976966533558986</v>
      </c>
      <c r="AV39" s="639" t="e">
        <f>AV38/(AV5)</f>
        <v>#DIV/0!</v>
      </c>
      <c r="AW39" s="660">
        <f>AW38/(AW5)</f>
        <v>0.99976966533558986</v>
      </c>
      <c r="AX39" s="660">
        <f t="shared" si="6"/>
        <v>1.2328224145896098E-2</v>
      </c>
      <c r="AY39" s="661"/>
      <c r="AZ39" s="639" t="e">
        <f>AZ38/(AZ5)</f>
        <v>#DIV/0!</v>
      </c>
      <c r="BA39" s="639" t="e">
        <f>BA38/(BA5)</f>
        <v>#DIV/0!</v>
      </c>
      <c r="BB39" s="660" t="e">
        <f>BB38/(BB5)</f>
        <v>#DIV/0!</v>
      </c>
      <c r="BC39" s="660" t="e">
        <f t="shared" si="7"/>
        <v>#DIV/0!</v>
      </c>
      <c r="BD39" s="661"/>
      <c r="BE39" s="1441" t="e">
        <f>BE38/(BE5)</f>
        <v>#DIV/0!</v>
      </c>
      <c r="BF39" s="1441" t="e">
        <f>BF38/(BF5)</f>
        <v>#DIV/0!</v>
      </c>
      <c r="BG39" s="1442" t="e">
        <f>BG38/(BG5)</f>
        <v>#DIV/0!</v>
      </c>
      <c r="BH39" s="1442">
        <f t="shared" si="8"/>
        <v>0</v>
      </c>
      <c r="BI39" s="1596"/>
      <c r="BJ39" s="54">
        <f>BJ38/(BJ5)</f>
        <v>0.89019456621545578</v>
      </c>
      <c r="BK39" s="54" t="e">
        <f>BK38/(BK5)</f>
        <v>#DIV/0!</v>
      </c>
      <c r="BL39" s="55">
        <f>BL38/(BL5)</f>
        <v>0.82623986777023062</v>
      </c>
      <c r="BM39" s="55"/>
      <c r="BN39" s="55"/>
    </row>
    <row r="40" spans="1:66" ht="14.4" thickBot="1">
      <c r="A40" s="295"/>
      <c r="B40" s="16"/>
      <c r="C40" s="56"/>
      <c r="D40" s="57"/>
      <c r="E40" s="58"/>
      <c r="F40" s="168"/>
      <c r="G40" s="58"/>
      <c r="H40" s="58"/>
      <c r="I40" s="58"/>
      <c r="J40" s="58"/>
      <c r="K40" s="58"/>
      <c r="L40" s="58"/>
      <c r="M40" s="58"/>
      <c r="N40" s="58"/>
      <c r="O40" s="58"/>
      <c r="P40" s="408"/>
      <c r="Q40" s="58"/>
      <c r="R40" s="58"/>
      <c r="S40" s="58"/>
      <c r="T40" s="58"/>
      <c r="U40" s="408"/>
      <c r="V40" s="58"/>
      <c r="W40" s="58"/>
      <c r="X40" s="58"/>
      <c r="Y40" s="58"/>
      <c r="Z40" s="408"/>
      <c r="AA40" s="58"/>
      <c r="AB40" s="58"/>
      <c r="AC40" s="58"/>
      <c r="AD40" s="58"/>
      <c r="AE40" s="734"/>
      <c r="AF40" s="662"/>
      <c r="AG40" s="649"/>
      <c r="AH40" s="649"/>
      <c r="AI40" s="649"/>
      <c r="AJ40" s="637"/>
      <c r="AK40" s="662"/>
      <c r="AL40" s="649"/>
      <c r="AM40" s="649"/>
      <c r="AN40" s="649"/>
      <c r="AO40" s="637"/>
      <c r="AP40" s="662"/>
      <c r="AQ40" s="649"/>
      <c r="AR40" s="649"/>
      <c r="AS40" s="649">
        <f t="shared" si="5"/>
        <v>0</v>
      </c>
      <c r="AT40" s="637"/>
      <c r="AU40" s="662"/>
      <c r="AV40" s="649"/>
      <c r="AW40" s="649"/>
      <c r="AX40" s="649">
        <f t="shared" si="6"/>
        <v>0</v>
      </c>
      <c r="AY40" s="637"/>
      <c r="AZ40" s="662"/>
      <c r="BA40" s="649"/>
      <c r="BB40" s="649"/>
      <c r="BC40" s="649">
        <f t="shared" si="7"/>
        <v>0</v>
      </c>
      <c r="BD40" s="637"/>
      <c r="BE40" s="1363"/>
      <c r="BF40" s="1444"/>
      <c r="BG40" s="1444"/>
      <c r="BH40" s="1444">
        <f t="shared" si="8"/>
        <v>0</v>
      </c>
      <c r="BI40" s="1597"/>
      <c r="BJ40" s="58"/>
      <c r="BK40" s="58"/>
      <c r="BL40" s="58"/>
      <c r="BM40" s="58"/>
      <c r="BN40" s="58"/>
    </row>
    <row r="41" spans="1:66" ht="13.8">
      <c r="A41" s="11"/>
      <c r="B41" s="22" t="s">
        <v>26</v>
      </c>
      <c r="C41" s="117">
        <f>SUM(C42:C48)</f>
        <v>0</v>
      </c>
      <c r="D41" s="117">
        <f>SUM(D42:D48)</f>
        <v>0</v>
      </c>
      <c r="E41" s="118">
        <f>SUM(E42:E48)</f>
        <v>0</v>
      </c>
      <c r="F41" s="169" t="e">
        <f t="shared" ref="F41:F48" si="33">E41/$E$89</f>
        <v>#DIV/0!</v>
      </c>
      <c r="G41" s="117">
        <f>SUM(G42:G48)</f>
        <v>0</v>
      </c>
      <c r="H41" s="117">
        <f>SUM(H42:H48)</f>
        <v>0</v>
      </c>
      <c r="I41" s="118">
        <f>SUM(I42:I48)</f>
        <v>0</v>
      </c>
      <c r="J41" s="169">
        <f t="shared" ref="J41:J49" si="34">I41/$I$89</f>
        <v>0</v>
      </c>
      <c r="K41" s="60"/>
      <c r="L41" s="117">
        <f>SUM(L42:L48)</f>
        <v>523.26</v>
      </c>
      <c r="M41" s="117">
        <f>SUM(M42:M48)</f>
        <v>965</v>
      </c>
      <c r="N41" s="118">
        <f>SUM(N42:N48)</f>
        <v>1488.26</v>
      </c>
      <c r="O41" s="169">
        <f>N41/$N$89</f>
        <v>9.9022864824026332E-3</v>
      </c>
      <c r="P41" s="409"/>
      <c r="Q41" s="117">
        <f>SUM(Q42:Q48)</f>
        <v>0</v>
      </c>
      <c r="R41" s="117">
        <f>SUM(R42:R48)</f>
        <v>0</v>
      </c>
      <c r="S41" s="118">
        <f>SUM(S42:S48)</f>
        <v>0</v>
      </c>
      <c r="T41" s="169">
        <f>S41/$S$89</f>
        <v>0</v>
      </c>
      <c r="U41" s="409"/>
      <c r="V41" s="117">
        <f>SUM(V42:V48)</f>
        <v>0</v>
      </c>
      <c r="W41" s="117">
        <f>SUM(W42:W48)</f>
        <v>0</v>
      </c>
      <c r="X41" s="118">
        <f>SUM(X42:X48)</f>
        <v>0</v>
      </c>
      <c r="Y41" s="169">
        <f>X41/$S$89</f>
        <v>0</v>
      </c>
      <c r="Z41" s="409"/>
      <c r="AA41" s="117">
        <f>SUM(AA42:AA48)</f>
        <v>436.05</v>
      </c>
      <c r="AB41" s="117">
        <f>SUM(AB42:AB48)</f>
        <v>0</v>
      </c>
      <c r="AC41" s="118">
        <f>SUM(AC42:AC48)</f>
        <v>436.05</v>
      </c>
      <c r="AD41" s="169">
        <f>AC41/$AC$89</f>
        <v>0.77720345780233502</v>
      </c>
      <c r="AE41" s="591"/>
      <c r="AF41" s="547">
        <f>SUM(AF42:AF48)</f>
        <v>0</v>
      </c>
      <c r="AG41" s="547">
        <f>SUM(AG42:AG48)</f>
        <v>0</v>
      </c>
      <c r="AH41" s="663">
        <f>SUM(AH42:AH48)</f>
        <v>0</v>
      </c>
      <c r="AI41" s="664">
        <f t="shared" ref="AI41:AI52" si="35">AH41/$AH$89</f>
        <v>0</v>
      </c>
      <c r="AJ41" s="665"/>
      <c r="AK41" s="547">
        <f>SUM(AK42:AK48)</f>
        <v>0</v>
      </c>
      <c r="AL41" s="547">
        <f>SUM(AL42:AL48)</f>
        <v>0</v>
      </c>
      <c r="AM41" s="663">
        <f>SUM(AM42:AM48)</f>
        <v>0</v>
      </c>
      <c r="AN41" s="664">
        <f t="shared" ref="AN41:AN52" si="36">AM41/$AH$89</f>
        <v>0</v>
      </c>
      <c r="AO41" s="665"/>
      <c r="AP41" s="547">
        <f>SUM(AP42:AP48)</f>
        <v>0</v>
      </c>
      <c r="AQ41" s="547">
        <f>SUM(AQ42:AQ48)</f>
        <v>0</v>
      </c>
      <c r="AR41" s="663">
        <f>SUM(AR42:AR48)</f>
        <v>0</v>
      </c>
      <c r="AS41" s="664">
        <f t="shared" si="5"/>
        <v>0</v>
      </c>
      <c r="AT41" s="665"/>
      <c r="AU41" s="547">
        <f>SUM(AU42:AU48)</f>
        <v>0</v>
      </c>
      <c r="AV41" s="547">
        <f>SUM(AV42:AV48)</f>
        <v>0</v>
      </c>
      <c r="AW41" s="663">
        <f>SUM(AW42:AW48)</f>
        <v>0</v>
      </c>
      <c r="AX41" s="664">
        <f t="shared" si="6"/>
        <v>0</v>
      </c>
      <c r="AY41" s="665"/>
      <c r="AZ41" s="547">
        <f>SUM(AZ42:AZ48)</f>
        <v>0</v>
      </c>
      <c r="BA41" s="547">
        <f>SUM(BA42:BA48)</f>
        <v>0</v>
      </c>
      <c r="BB41" s="663">
        <f>SUM(BB42:BB48)</f>
        <v>0</v>
      </c>
      <c r="BC41" s="664">
        <f t="shared" si="7"/>
        <v>0</v>
      </c>
      <c r="BD41" s="665"/>
      <c r="BE41" s="1491">
        <f>SUM(BE42:BE48)</f>
        <v>0</v>
      </c>
      <c r="BF41" s="1491">
        <f>SUM(BF42:BF48)</f>
        <v>0</v>
      </c>
      <c r="BG41" s="1492">
        <f>SUM(BG42:BG48)</f>
        <v>0</v>
      </c>
      <c r="BH41" s="1888">
        <f t="shared" si="8"/>
        <v>0</v>
      </c>
      <c r="BI41" s="1598"/>
      <c r="BJ41" s="117">
        <f>SUM(BJ42:BJ48)</f>
        <v>959.31</v>
      </c>
      <c r="BK41" s="117">
        <f>SUM(BK42:BK48)</f>
        <v>965</v>
      </c>
      <c r="BL41" s="118">
        <f>SUM(BL42:BL48)</f>
        <v>1924.31</v>
      </c>
      <c r="BM41" s="169">
        <f>BL41/$BL$89</f>
        <v>4.1802261929456165E-3</v>
      </c>
      <c r="BN41" s="60"/>
    </row>
    <row r="42" spans="1:66" ht="13.8">
      <c r="A42" s="4833"/>
      <c r="B42" s="18" t="s">
        <v>7</v>
      </c>
      <c r="C42" s="113"/>
      <c r="D42" s="119"/>
      <c r="E42" s="120">
        <f t="shared" ref="E42:E48" si="37">C42+D42</f>
        <v>0</v>
      </c>
      <c r="F42" s="178" t="e">
        <f t="shared" si="33"/>
        <v>#DIV/0!</v>
      </c>
      <c r="G42" s="39"/>
      <c r="H42" s="39"/>
      <c r="I42" s="106">
        <f t="shared" ref="I42:I48" si="38">G42+H42*1</f>
        <v>0</v>
      </c>
      <c r="J42" s="178">
        <f t="shared" si="34"/>
        <v>0</v>
      </c>
      <c r="K42" s="79"/>
      <c r="L42" s="39"/>
      <c r="M42" s="39"/>
      <c r="N42" s="106">
        <f t="shared" ref="N42:N48" si="39">L42+M42*1</f>
        <v>0</v>
      </c>
      <c r="O42" s="178">
        <f t="shared" ref="O42:O52" si="40">N42/$N$89</f>
        <v>0</v>
      </c>
      <c r="P42" s="259"/>
      <c r="Q42" s="39"/>
      <c r="R42" s="39"/>
      <c r="S42" s="106">
        <f t="shared" ref="S42:S48" si="41">Q42+R42*1</f>
        <v>0</v>
      </c>
      <c r="T42" s="178">
        <f t="shared" ref="T42:T52" si="42">S42/$S$89</f>
        <v>0</v>
      </c>
      <c r="U42" s="259"/>
      <c r="V42" s="39"/>
      <c r="W42" s="39"/>
      <c r="X42" s="106">
        <f t="shared" ref="X42:X48" si="43">V42+W42*1</f>
        <v>0</v>
      </c>
      <c r="Y42" s="178">
        <f t="shared" ref="Y42:Y49" si="44">X42/$S$89</f>
        <v>0</v>
      </c>
      <c r="Z42" s="259"/>
      <c r="AA42" s="39"/>
      <c r="AB42" s="39"/>
      <c r="AC42" s="106">
        <f t="shared" ref="AC42:AC48" si="45">AA42+AB42*1</f>
        <v>0</v>
      </c>
      <c r="AD42" s="178">
        <f t="shared" ref="AD42:AD52" si="46">AC42/$AC$89</f>
        <v>0</v>
      </c>
      <c r="AE42" s="731"/>
      <c r="AF42" s="560"/>
      <c r="AG42" s="452"/>
      <c r="AH42" s="446">
        <f t="shared" ref="AH42:AH48" si="47">AF42+AG42*1</f>
        <v>0</v>
      </c>
      <c r="AI42" s="450">
        <f t="shared" si="35"/>
        <v>0</v>
      </c>
      <c r="AJ42" s="503"/>
      <c r="AK42" s="560"/>
      <c r="AL42" s="452"/>
      <c r="AM42" s="446">
        <f t="shared" ref="AM42:AM48" si="48">AK42+AL42*1</f>
        <v>0</v>
      </c>
      <c r="AN42" s="450">
        <f t="shared" si="36"/>
        <v>0</v>
      </c>
      <c r="AO42" s="503"/>
      <c r="AP42" s="560"/>
      <c r="AQ42" s="452"/>
      <c r="AR42" s="446">
        <f t="shared" ref="AR42:AR48" si="49">AP42+AQ42*1</f>
        <v>0</v>
      </c>
      <c r="AS42" s="450">
        <f t="shared" si="5"/>
        <v>0</v>
      </c>
      <c r="AT42" s="503"/>
      <c r="AU42" s="560"/>
      <c r="AV42" s="452"/>
      <c r="AW42" s="446">
        <f t="shared" ref="AW42:AW48" si="50">AU42+AV42*1</f>
        <v>0</v>
      </c>
      <c r="AX42" s="450">
        <f t="shared" si="6"/>
        <v>0</v>
      </c>
      <c r="AY42" s="503"/>
      <c r="AZ42" s="560"/>
      <c r="BA42" s="452"/>
      <c r="BB42" s="446">
        <f t="shared" ref="BB42:BB48" si="51">AZ42+BA42*1</f>
        <v>0</v>
      </c>
      <c r="BC42" s="450">
        <f t="shared" si="7"/>
        <v>0</v>
      </c>
      <c r="BD42" s="503"/>
      <c r="BE42" s="1644"/>
      <c r="BF42" s="1432"/>
      <c r="BG42" s="1480">
        <f t="shared" ref="BG42:BG48" si="52">BE42+BF42*1</f>
        <v>0</v>
      </c>
      <c r="BH42" s="1877">
        <f t="shared" si="8"/>
        <v>0</v>
      </c>
      <c r="BI42" s="1880"/>
      <c r="BJ42" s="39">
        <f t="shared" ref="BJ42:BJ48" si="53">G42+L42+Q42+V42+AA42+AF42+AK42+AP42+AU42+AZ42+BE42</f>
        <v>0</v>
      </c>
      <c r="BK42" s="39">
        <f t="shared" ref="BK42:BK48" si="54">H42+M42+R42+W42+AB42+AG42+AL42+AQ42+AV42+BA42+BF42</f>
        <v>0</v>
      </c>
      <c r="BL42" s="106">
        <f t="shared" ref="BL42:BL48" si="55">BJ42+BK42*1</f>
        <v>0</v>
      </c>
      <c r="BM42" s="178">
        <f t="shared" ref="BM42:BM72" si="56">BL42/$BL$89</f>
        <v>0</v>
      </c>
      <c r="BN42" s="79"/>
    </row>
    <row r="43" spans="1:66" ht="13.8">
      <c r="A43" s="4833"/>
      <c r="B43" s="18" t="s">
        <v>27</v>
      </c>
      <c r="C43" s="113"/>
      <c r="D43" s="119"/>
      <c r="E43" s="120">
        <f t="shared" si="37"/>
        <v>0</v>
      </c>
      <c r="F43" s="178" t="e">
        <f t="shared" si="33"/>
        <v>#DIV/0!</v>
      </c>
      <c r="G43" s="39"/>
      <c r="H43" s="39"/>
      <c r="I43" s="106">
        <f t="shared" si="38"/>
        <v>0</v>
      </c>
      <c r="J43" s="178">
        <f t="shared" si="34"/>
        <v>0</v>
      </c>
      <c r="K43" s="79"/>
      <c r="L43" s="39"/>
      <c r="M43" s="39">
        <v>965</v>
      </c>
      <c r="N43" s="106">
        <f t="shared" si="39"/>
        <v>965</v>
      </c>
      <c r="O43" s="178">
        <f t="shared" si="40"/>
        <v>6.4207238355653857E-3</v>
      </c>
      <c r="P43" s="259"/>
      <c r="Q43" s="39"/>
      <c r="R43" s="39"/>
      <c r="S43" s="106">
        <f t="shared" si="41"/>
        <v>0</v>
      </c>
      <c r="T43" s="178">
        <f t="shared" si="42"/>
        <v>0</v>
      </c>
      <c r="U43" s="259"/>
      <c r="V43" s="39"/>
      <c r="W43" s="39"/>
      <c r="X43" s="106">
        <f t="shared" si="43"/>
        <v>0</v>
      </c>
      <c r="Y43" s="178">
        <f t="shared" si="44"/>
        <v>0</v>
      </c>
      <c r="Z43" s="259"/>
      <c r="AA43" s="39"/>
      <c r="AB43" s="39"/>
      <c r="AC43" s="106">
        <f t="shared" si="45"/>
        <v>0</v>
      </c>
      <c r="AD43" s="178">
        <f t="shared" si="46"/>
        <v>0</v>
      </c>
      <c r="AE43" s="731"/>
      <c r="AF43" s="560"/>
      <c r="AG43" s="452"/>
      <c r="AH43" s="446">
        <f t="shared" si="47"/>
        <v>0</v>
      </c>
      <c r="AI43" s="450">
        <f t="shared" si="35"/>
        <v>0</v>
      </c>
      <c r="AJ43" s="503"/>
      <c r="AK43" s="560"/>
      <c r="AL43" s="452"/>
      <c r="AM43" s="446">
        <f t="shared" si="48"/>
        <v>0</v>
      </c>
      <c r="AN43" s="450">
        <f t="shared" si="36"/>
        <v>0</v>
      </c>
      <c r="AO43" s="503"/>
      <c r="AP43" s="560"/>
      <c r="AQ43" s="452"/>
      <c r="AR43" s="446">
        <f t="shared" si="49"/>
        <v>0</v>
      </c>
      <c r="AS43" s="450">
        <f t="shared" si="5"/>
        <v>0</v>
      </c>
      <c r="AT43" s="503"/>
      <c r="AU43" s="560"/>
      <c r="AV43" s="452"/>
      <c r="AW43" s="446">
        <f t="shared" si="50"/>
        <v>0</v>
      </c>
      <c r="AX43" s="450">
        <f t="shared" si="6"/>
        <v>0</v>
      </c>
      <c r="AY43" s="503"/>
      <c r="AZ43" s="560"/>
      <c r="BA43" s="452"/>
      <c r="BB43" s="446">
        <f t="shared" si="51"/>
        <v>0</v>
      </c>
      <c r="BC43" s="450">
        <f t="shared" si="7"/>
        <v>0</v>
      </c>
      <c r="BD43" s="503"/>
      <c r="BE43" s="1644"/>
      <c r="BF43" s="1432"/>
      <c r="BG43" s="1480">
        <f t="shared" si="52"/>
        <v>0</v>
      </c>
      <c r="BH43" s="1877">
        <f t="shared" si="8"/>
        <v>0</v>
      </c>
      <c r="BI43" s="1880"/>
      <c r="BJ43" s="39">
        <f t="shared" si="53"/>
        <v>0</v>
      </c>
      <c r="BK43" s="39">
        <f t="shared" si="54"/>
        <v>965</v>
      </c>
      <c r="BL43" s="106">
        <f t="shared" si="55"/>
        <v>965</v>
      </c>
      <c r="BM43" s="178">
        <f t="shared" si="56"/>
        <v>2.096293360317475E-3</v>
      </c>
      <c r="BN43" s="79"/>
    </row>
    <row r="44" spans="1:66" ht="13.8">
      <c r="A44" s="4833"/>
      <c r="B44" s="19" t="s">
        <v>28</v>
      </c>
      <c r="C44" s="113"/>
      <c r="D44" s="119"/>
      <c r="E44" s="120">
        <f t="shared" si="37"/>
        <v>0</v>
      </c>
      <c r="F44" s="178" t="e">
        <f t="shared" si="33"/>
        <v>#DIV/0!</v>
      </c>
      <c r="G44" s="39"/>
      <c r="H44" s="39"/>
      <c r="I44" s="106">
        <f t="shared" si="38"/>
        <v>0</v>
      </c>
      <c r="J44" s="178">
        <f t="shared" si="34"/>
        <v>0</v>
      </c>
      <c r="K44" s="79"/>
      <c r="L44" s="39"/>
      <c r="M44" s="39"/>
      <c r="N44" s="106">
        <f t="shared" si="39"/>
        <v>0</v>
      </c>
      <c r="O44" s="178">
        <f t="shared" si="40"/>
        <v>0</v>
      </c>
      <c r="P44" s="259"/>
      <c r="Q44" s="39"/>
      <c r="R44" s="39"/>
      <c r="S44" s="106">
        <f t="shared" si="41"/>
        <v>0</v>
      </c>
      <c r="T44" s="178">
        <f t="shared" si="42"/>
        <v>0</v>
      </c>
      <c r="U44" s="259"/>
      <c r="V44" s="39"/>
      <c r="W44" s="39"/>
      <c r="X44" s="106">
        <f t="shared" si="43"/>
        <v>0</v>
      </c>
      <c r="Y44" s="178">
        <f t="shared" si="44"/>
        <v>0</v>
      </c>
      <c r="Z44" s="259"/>
      <c r="AA44" s="39"/>
      <c r="AB44" s="39"/>
      <c r="AC44" s="106">
        <f t="shared" si="45"/>
        <v>0</v>
      </c>
      <c r="AD44" s="178">
        <f t="shared" si="46"/>
        <v>0</v>
      </c>
      <c r="AE44" s="731"/>
      <c r="AF44" s="560"/>
      <c r="AG44" s="452"/>
      <c r="AH44" s="446">
        <f t="shared" si="47"/>
        <v>0</v>
      </c>
      <c r="AI44" s="450">
        <f t="shared" si="35"/>
        <v>0</v>
      </c>
      <c r="AJ44" s="503"/>
      <c r="AK44" s="560"/>
      <c r="AL44" s="452"/>
      <c r="AM44" s="446">
        <f t="shared" si="48"/>
        <v>0</v>
      </c>
      <c r="AN44" s="450">
        <f t="shared" si="36"/>
        <v>0</v>
      </c>
      <c r="AO44" s="503"/>
      <c r="AP44" s="560"/>
      <c r="AQ44" s="452"/>
      <c r="AR44" s="446">
        <f t="shared" si="49"/>
        <v>0</v>
      </c>
      <c r="AS44" s="450">
        <f t="shared" si="5"/>
        <v>0</v>
      </c>
      <c r="AT44" s="503"/>
      <c r="AU44" s="560"/>
      <c r="AV44" s="452"/>
      <c r="AW44" s="446">
        <f t="shared" si="50"/>
        <v>0</v>
      </c>
      <c r="AX44" s="450">
        <f t="shared" si="6"/>
        <v>0</v>
      </c>
      <c r="AY44" s="503"/>
      <c r="AZ44" s="560"/>
      <c r="BA44" s="452"/>
      <c r="BB44" s="446">
        <f t="shared" si="51"/>
        <v>0</v>
      </c>
      <c r="BC44" s="450">
        <f t="shared" si="7"/>
        <v>0</v>
      </c>
      <c r="BD44" s="503"/>
      <c r="BE44" s="1644"/>
      <c r="BF44" s="1432"/>
      <c r="BG44" s="1480">
        <f t="shared" si="52"/>
        <v>0</v>
      </c>
      <c r="BH44" s="1877">
        <f t="shared" si="8"/>
        <v>0</v>
      </c>
      <c r="BI44" s="1880"/>
      <c r="BJ44" s="39">
        <f t="shared" si="53"/>
        <v>0</v>
      </c>
      <c r="BK44" s="39">
        <f t="shared" si="54"/>
        <v>0</v>
      </c>
      <c r="BL44" s="106">
        <f t="shared" si="55"/>
        <v>0</v>
      </c>
      <c r="BM44" s="178">
        <f t="shared" si="56"/>
        <v>0</v>
      </c>
      <c r="BN44" s="79"/>
    </row>
    <row r="45" spans="1:66" ht="13.8">
      <c r="A45" s="4833"/>
      <c r="B45" s="18" t="s">
        <v>8</v>
      </c>
      <c r="C45" s="113"/>
      <c r="D45" s="119"/>
      <c r="E45" s="120">
        <f t="shared" si="37"/>
        <v>0</v>
      </c>
      <c r="F45" s="178" t="e">
        <f t="shared" si="33"/>
        <v>#DIV/0!</v>
      </c>
      <c r="G45" s="39"/>
      <c r="H45" s="39"/>
      <c r="I45" s="106">
        <f t="shared" si="38"/>
        <v>0</v>
      </c>
      <c r="J45" s="178">
        <f t="shared" si="34"/>
        <v>0</v>
      </c>
      <c r="K45" s="79"/>
      <c r="L45" s="39"/>
      <c r="M45" s="39"/>
      <c r="N45" s="106">
        <f t="shared" si="39"/>
        <v>0</v>
      </c>
      <c r="O45" s="178">
        <f t="shared" si="40"/>
        <v>0</v>
      </c>
      <c r="P45" s="259"/>
      <c r="Q45" s="39"/>
      <c r="R45" s="39"/>
      <c r="S45" s="106">
        <f t="shared" si="41"/>
        <v>0</v>
      </c>
      <c r="T45" s="178">
        <f t="shared" si="42"/>
        <v>0</v>
      </c>
      <c r="U45" s="259"/>
      <c r="V45" s="39"/>
      <c r="W45" s="39"/>
      <c r="X45" s="106">
        <f t="shared" si="43"/>
        <v>0</v>
      </c>
      <c r="Y45" s="178">
        <f t="shared" si="44"/>
        <v>0</v>
      </c>
      <c r="Z45" s="259"/>
      <c r="AA45" s="39"/>
      <c r="AB45" s="39"/>
      <c r="AC45" s="106">
        <f t="shared" si="45"/>
        <v>0</v>
      </c>
      <c r="AD45" s="178">
        <f t="shared" si="46"/>
        <v>0</v>
      </c>
      <c r="AE45" s="731"/>
      <c r="AF45" s="560"/>
      <c r="AG45" s="452"/>
      <c r="AH45" s="446">
        <f t="shared" si="47"/>
        <v>0</v>
      </c>
      <c r="AI45" s="450">
        <f t="shared" si="35"/>
        <v>0</v>
      </c>
      <c r="AJ45" s="503"/>
      <c r="AK45" s="560"/>
      <c r="AL45" s="452"/>
      <c r="AM45" s="446">
        <f t="shared" si="48"/>
        <v>0</v>
      </c>
      <c r="AN45" s="450">
        <f t="shared" si="36"/>
        <v>0</v>
      </c>
      <c r="AO45" s="503"/>
      <c r="AP45" s="560"/>
      <c r="AQ45" s="452"/>
      <c r="AR45" s="446">
        <f t="shared" si="49"/>
        <v>0</v>
      </c>
      <c r="AS45" s="450">
        <f t="shared" si="5"/>
        <v>0</v>
      </c>
      <c r="AT45" s="503"/>
      <c r="AU45" s="560"/>
      <c r="AV45" s="452"/>
      <c r="AW45" s="446">
        <f t="shared" si="50"/>
        <v>0</v>
      </c>
      <c r="AX45" s="450">
        <f t="shared" si="6"/>
        <v>0</v>
      </c>
      <c r="AY45" s="503"/>
      <c r="AZ45" s="560"/>
      <c r="BA45" s="452"/>
      <c r="BB45" s="446">
        <f t="shared" si="51"/>
        <v>0</v>
      </c>
      <c r="BC45" s="450">
        <f t="shared" si="7"/>
        <v>0</v>
      </c>
      <c r="BD45" s="503"/>
      <c r="BE45" s="1644"/>
      <c r="BF45" s="1432"/>
      <c r="BG45" s="1480">
        <f t="shared" si="52"/>
        <v>0</v>
      </c>
      <c r="BH45" s="1877">
        <f t="shared" si="8"/>
        <v>0</v>
      </c>
      <c r="BI45" s="1880"/>
      <c r="BJ45" s="39">
        <f t="shared" si="53"/>
        <v>0</v>
      </c>
      <c r="BK45" s="39">
        <f t="shared" si="54"/>
        <v>0</v>
      </c>
      <c r="BL45" s="106">
        <f t="shared" si="55"/>
        <v>0</v>
      </c>
      <c r="BM45" s="178">
        <f t="shared" si="56"/>
        <v>0</v>
      </c>
      <c r="BN45" s="79"/>
    </row>
    <row r="46" spans="1:66" ht="13.8">
      <c r="A46" s="4833"/>
      <c r="B46" s="18" t="s">
        <v>29</v>
      </c>
      <c r="C46" s="113"/>
      <c r="D46" s="119"/>
      <c r="E46" s="120">
        <f t="shared" si="37"/>
        <v>0</v>
      </c>
      <c r="F46" s="178" t="e">
        <f t="shared" si="33"/>
        <v>#DIV/0!</v>
      </c>
      <c r="G46" s="39"/>
      <c r="H46" s="39"/>
      <c r="I46" s="106">
        <f t="shared" si="38"/>
        <v>0</v>
      </c>
      <c r="J46" s="178">
        <f t="shared" si="34"/>
        <v>0</v>
      </c>
      <c r="K46" s="79"/>
      <c r="L46" s="39"/>
      <c r="M46" s="39"/>
      <c r="N46" s="106">
        <f t="shared" si="39"/>
        <v>0</v>
      </c>
      <c r="O46" s="178">
        <f t="shared" si="40"/>
        <v>0</v>
      </c>
      <c r="P46" s="259"/>
      <c r="Q46" s="39"/>
      <c r="R46" s="39"/>
      <c r="S46" s="106">
        <f t="shared" si="41"/>
        <v>0</v>
      </c>
      <c r="T46" s="178">
        <f t="shared" si="42"/>
        <v>0</v>
      </c>
      <c r="U46" s="259"/>
      <c r="V46" s="39"/>
      <c r="W46" s="39"/>
      <c r="X46" s="106">
        <f t="shared" si="43"/>
        <v>0</v>
      </c>
      <c r="Y46" s="178">
        <f t="shared" si="44"/>
        <v>0</v>
      </c>
      <c r="Z46" s="259"/>
      <c r="AA46" s="39"/>
      <c r="AB46" s="39"/>
      <c r="AC46" s="106">
        <f t="shared" si="45"/>
        <v>0</v>
      </c>
      <c r="AD46" s="178">
        <f t="shared" si="46"/>
        <v>0</v>
      </c>
      <c r="AE46" s="731"/>
      <c r="AF46" s="560"/>
      <c r="AG46" s="452"/>
      <c r="AH46" s="446">
        <f t="shared" si="47"/>
        <v>0</v>
      </c>
      <c r="AI46" s="450">
        <f t="shared" si="35"/>
        <v>0</v>
      </c>
      <c r="AJ46" s="503"/>
      <c r="AK46" s="560"/>
      <c r="AL46" s="452"/>
      <c r="AM46" s="446">
        <f t="shared" si="48"/>
        <v>0</v>
      </c>
      <c r="AN46" s="450">
        <f t="shared" si="36"/>
        <v>0</v>
      </c>
      <c r="AO46" s="503"/>
      <c r="AP46" s="560"/>
      <c r="AQ46" s="452"/>
      <c r="AR46" s="446">
        <f t="shared" si="49"/>
        <v>0</v>
      </c>
      <c r="AS46" s="450">
        <f t="shared" si="5"/>
        <v>0</v>
      </c>
      <c r="AT46" s="503"/>
      <c r="AU46" s="560"/>
      <c r="AV46" s="452"/>
      <c r="AW46" s="446">
        <f t="shared" si="50"/>
        <v>0</v>
      </c>
      <c r="AX46" s="450">
        <f t="shared" si="6"/>
        <v>0</v>
      </c>
      <c r="AY46" s="503"/>
      <c r="AZ46" s="560"/>
      <c r="BA46" s="452"/>
      <c r="BB46" s="446">
        <f t="shared" si="51"/>
        <v>0</v>
      </c>
      <c r="BC46" s="450">
        <f t="shared" si="7"/>
        <v>0</v>
      </c>
      <c r="BD46" s="503"/>
      <c r="BE46" s="1644"/>
      <c r="BF46" s="1432"/>
      <c r="BG46" s="1480">
        <f t="shared" si="52"/>
        <v>0</v>
      </c>
      <c r="BH46" s="1877">
        <f t="shared" si="8"/>
        <v>0</v>
      </c>
      <c r="BI46" s="1880"/>
      <c r="BJ46" s="39">
        <f t="shared" si="53"/>
        <v>0</v>
      </c>
      <c r="BK46" s="39">
        <f t="shared" si="54"/>
        <v>0</v>
      </c>
      <c r="BL46" s="106">
        <f t="shared" si="55"/>
        <v>0</v>
      </c>
      <c r="BM46" s="178">
        <f t="shared" si="56"/>
        <v>0</v>
      </c>
      <c r="BN46" s="79"/>
    </row>
    <row r="47" spans="1:66" ht="13.8">
      <c r="A47" s="4833"/>
      <c r="B47" s="18" t="s">
        <v>30</v>
      </c>
      <c r="C47" s="113"/>
      <c r="D47" s="119"/>
      <c r="E47" s="120">
        <f t="shared" si="37"/>
        <v>0</v>
      </c>
      <c r="F47" s="178" t="e">
        <f t="shared" si="33"/>
        <v>#DIV/0!</v>
      </c>
      <c r="G47" s="39"/>
      <c r="H47" s="39"/>
      <c r="I47" s="106">
        <f t="shared" si="38"/>
        <v>0</v>
      </c>
      <c r="J47" s="178">
        <f t="shared" si="34"/>
        <v>0</v>
      </c>
      <c r="K47" s="79"/>
      <c r="L47" s="39"/>
      <c r="M47" s="39"/>
      <c r="N47" s="106">
        <f t="shared" si="39"/>
        <v>0</v>
      </c>
      <c r="O47" s="178">
        <f t="shared" si="40"/>
        <v>0</v>
      </c>
      <c r="P47" s="259"/>
      <c r="Q47" s="39"/>
      <c r="R47" s="39"/>
      <c r="S47" s="106">
        <f t="shared" si="41"/>
        <v>0</v>
      </c>
      <c r="T47" s="178">
        <f t="shared" si="42"/>
        <v>0</v>
      </c>
      <c r="U47" s="259"/>
      <c r="V47" s="39"/>
      <c r="W47" s="39"/>
      <c r="X47" s="106">
        <f t="shared" si="43"/>
        <v>0</v>
      </c>
      <c r="Y47" s="178">
        <f t="shared" si="44"/>
        <v>0</v>
      </c>
      <c r="Z47" s="259"/>
      <c r="AA47" s="39"/>
      <c r="AB47" s="39"/>
      <c r="AC47" s="106">
        <f t="shared" si="45"/>
        <v>0</v>
      </c>
      <c r="AD47" s="178">
        <f t="shared" si="46"/>
        <v>0</v>
      </c>
      <c r="AE47" s="731"/>
      <c r="AF47" s="560"/>
      <c r="AG47" s="452"/>
      <c r="AH47" s="446">
        <f t="shared" si="47"/>
        <v>0</v>
      </c>
      <c r="AI47" s="450">
        <f t="shared" si="35"/>
        <v>0</v>
      </c>
      <c r="AJ47" s="503"/>
      <c r="AK47" s="560"/>
      <c r="AL47" s="452"/>
      <c r="AM47" s="446">
        <f t="shared" si="48"/>
        <v>0</v>
      </c>
      <c r="AN47" s="450">
        <f t="shared" si="36"/>
        <v>0</v>
      </c>
      <c r="AO47" s="503"/>
      <c r="AP47" s="560"/>
      <c r="AQ47" s="452"/>
      <c r="AR47" s="446">
        <f t="shared" si="49"/>
        <v>0</v>
      </c>
      <c r="AS47" s="450">
        <f t="shared" si="5"/>
        <v>0</v>
      </c>
      <c r="AT47" s="503"/>
      <c r="AU47" s="560"/>
      <c r="AV47" s="452"/>
      <c r="AW47" s="446">
        <f t="shared" si="50"/>
        <v>0</v>
      </c>
      <c r="AX47" s="450">
        <f t="shared" si="6"/>
        <v>0</v>
      </c>
      <c r="AY47" s="503"/>
      <c r="AZ47" s="560"/>
      <c r="BA47" s="452"/>
      <c r="BB47" s="446">
        <f t="shared" si="51"/>
        <v>0</v>
      </c>
      <c r="BC47" s="450">
        <f t="shared" si="7"/>
        <v>0</v>
      </c>
      <c r="BD47" s="503"/>
      <c r="BE47" s="1644"/>
      <c r="BF47" s="1432"/>
      <c r="BG47" s="1480">
        <f t="shared" si="52"/>
        <v>0</v>
      </c>
      <c r="BH47" s="1877">
        <f t="shared" si="8"/>
        <v>0</v>
      </c>
      <c r="BI47" s="1880"/>
      <c r="BJ47" s="39">
        <f t="shared" si="53"/>
        <v>0</v>
      </c>
      <c r="BK47" s="39">
        <f t="shared" si="54"/>
        <v>0</v>
      </c>
      <c r="BL47" s="106">
        <f t="shared" si="55"/>
        <v>0</v>
      </c>
      <c r="BM47" s="178">
        <f t="shared" si="56"/>
        <v>0</v>
      </c>
      <c r="BN47" s="79"/>
    </row>
    <row r="48" spans="1:66" ht="13.8">
      <c r="A48" s="4833"/>
      <c r="B48" s="18" t="s">
        <v>15</v>
      </c>
      <c r="C48" s="113"/>
      <c r="D48" s="119"/>
      <c r="E48" s="120">
        <f t="shared" si="37"/>
        <v>0</v>
      </c>
      <c r="F48" s="178" t="e">
        <f t="shared" si="33"/>
        <v>#DIV/0!</v>
      </c>
      <c r="G48" s="39"/>
      <c r="H48" s="39"/>
      <c r="I48" s="106">
        <f t="shared" si="38"/>
        <v>0</v>
      </c>
      <c r="J48" s="178">
        <f t="shared" si="34"/>
        <v>0</v>
      </c>
      <c r="K48" s="79"/>
      <c r="L48" s="39">
        <v>523.26</v>
      </c>
      <c r="M48" s="39"/>
      <c r="N48" s="106">
        <f t="shared" si="39"/>
        <v>523.26</v>
      </c>
      <c r="O48" s="178">
        <f t="shared" si="40"/>
        <v>3.4815626468372475E-3</v>
      </c>
      <c r="P48" s="259"/>
      <c r="Q48" s="39"/>
      <c r="R48" s="39"/>
      <c r="S48" s="106">
        <f t="shared" si="41"/>
        <v>0</v>
      </c>
      <c r="T48" s="178">
        <f t="shared" si="42"/>
        <v>0</v>
      </c>
      <c r="U48" s="259"/>
      <c r="V48" s="39"/>
      <c r="W48" s="39"/>
      <c r="X48" s="106">
        <f t="shared" si="43"/>
        <v>0</v>
      </c>
      <c r="Y48" s="178">
        <f t="shared" si="44"/>
        <v>0</v>
      </c>
      <c r="Z48" s="259"/>
      <c r="AA48" s="39">
        <v>436.05</v>
      </c>
      <c r="AB48" s="39"/>
      <c r="AC48" s="106">
        <f t="shared" si="45"/>
        <v>436.05</v>
      </c>
      <c r="AD48" s="178">
        <f t="shared" si="46"/>
        <v>0.77720345780233502</v>
      </c>
      <c r="AE48" s="731"/>
      <c r="AF48" s="560"/>
      <c r="AG48" s="452"/>
      <c r="AH48" s="446">
        <f t="shared" si="47"/>
        <v>0</v>
      </c>
      <c r="AI48" s="450">
        <f t="shared" si="35"/>
        <v>0</v>
      </c>
      <c r="AJ48" s="503"/>
      <c r="AK48" s="560"/>
      <c r="AL48" s="452"/>
      <c r="AM48" s="446">
        <f t="shared" si="48"/>
        <v>0</v>
      </c>
      <c r="AN48" s="450">
        <f t="shared" si="36"/>
        <v>0</v>
      </c>
      <c r="AO48" s="503"/>
      <c r="AP48" s="560"/>
      <c r="AQ48" s="452"/>
      <c r="AR48" s="446">
        <f t="shared" si="49"/>
        <v>0</v>
      </c>
      <c r="AS48" s="450">
        <f t="shared" si="5"/>
        <v>0</v>
      </c>
      <c r="AT48" s="503"/>
      <c r="AU48" s="560"/>
      <c r="AV48" s="452"/>
      <c r="AW48" s="446">
        <f t="shared" si="50"/>
        <v>0</v>
      </c>
      <c r="AX48" s="450">
        <f t="shared" si="6"/>
        <v>0</v>
      </c>
      <c r="AY48" s="503"/>
      <c r="AZ48" s="560"/>
      <c r="BA48" s="452"/>
      <c r="BB48" s="446">
        <f t="shared" si="51"/>
        <v>0</v>
      </c>
      <c r="BC48" s="450">
        <f t="shared" si="7"/>
        <v>0</v>
      </c>
      <c r="BD48" s="503"/>
      <c r="BE48" s="1644"/>
      <c r="BF48" s="1432"/>
      <c r="BG48" s="1480">
        <f t="shared" si="52"/>
        <v>0</v>
      </c>
      <c r="BH48" s="1877">
        <f t="shared" si="8"/>
        <v>0</v>
      </c>
      <c r="BI48" s="1880"/>
      <c r="BJ48" s="39">
        <f t="shared" si="53"/>
        <v>959.31</v>
      </c>
      <c r="BK48" s="39">
        <f t="shared" si="54"/>
        <v>0</v>
      </c>
      <c r="BL48" s="106">
        <f t="shared" si="55"/>
        <v>959.31</v>
      </c>
      <c r="BM48" s="178">
        <f t="shared" si="56"/>
        <v>2.0839328326281415E-3</v>
      </c>
      <c r="BN48" s="79"/>
    </row>
    <row r="49" spans="1:66" s="2" customFormat="1" ht="14.4" thickBot="1">
      <c r="A49" s="11"/>
      <c r="B49" s="35"/>
      <c r="C49" s="116"/>
      <c r="D49" s="121"/>
      <c r="E49" s="122"/>
      <c r="F49" s="182"/>
      <c r="G49" s="39"/>
      <c r="H49" s="39"/>
      <c r="I49" s="52"/>
      <c r="J49" s="178">
        <f t="shared" si="34"/>
        <v>0</v>
      </c>
      <c r="K49" s="52"/>
      <c r="L49" s="39"/>
      <c r="M49" s="39"/>
      <c r="N49" s="52"/>
      <c r="O49" s="178">
        <f t="shared" si="40"/>
        <v>0</v>
      </c>
      <c r="P49" s="64"/>
      <c r="Q49" s="39"/>
      <c r="R49" s="39"/>
      <c r="S49" s="52"/>
      <c r="T49" s="178">
        <f t="shared" si="42"/>
        <v>0</v>
      </c>
      <c r="U49" s="64"/>
      <c r="V49" s="39"/>
      <c r="W49" s="39"/>
      <c r="X49" s="52"/>
      <c r="Y49" s="178">
        <f t="shared" si="44"/>
        <v>0</v>
      </c>
      <c r="Z49" s="64"/>
      <c r="AA49" s="39"/>
      <c r="AB49" s="39"/>
      <c r="AC49" s="52"/>
      <c r="AD49" s="178">
        <f t="shared" si="46"/>
        <v>0</v>
      </c>
      <c r="AE49" s="603"/>
      <c r="AF49" s="560"/>
      <c r="AG49" s="452"/>
      <c r="AH49" s="606"/>
      <c r="AI49" s="450">
        <f t="shared" si="35"/>
        <v>0</v>
      </c>
      <c r="AJ49" s="588"/>
      <c r="AK49" s="560"/>
      <c r="AL49" s="452"/>
      <c r="AM49" s="606"/>
      <c r="AN49" s="450">
        <f t="shared" si="36"/>
        <v>0</v>
      </c>
      <c r="AO49" s="588"/>
      <c r="AP49" s="560"/>
      <c r="AQ49" s="452"/>
      <c r="AR49" s="606"/>
      <c r="AS49" s="450">
        <f t="shared" si="5"/>
        <v>0</v>
      </c>
      <c r="AT49" s="588"/>
      <c r="AU49" s="560"/>
      <c r="AV49" s="452"/>
      <c r="AW49" s="606"/>
      <c r="AX49" s="450">
        <f t="shared" si="6"/>
        <v>0</v>
      </c>
      <c r="AY49" s="588"/>
      <c r="AZ49" s="560"/>
      <c r="BA49" s="452"/>
      <c r="BB49" s="606"/>
      <c r="BC49" s="450">
        <f t="shared" si="7"/>
        <v>0</v>
      </c>
      <c r="BD49" s="588"/>
      <c r="BE49" s="1644"/>
      <c r="BF49" s="1432"/>
      <c r="BG49" s="1439"/>
      <c r="BH49" s="1877">
        <f t="shared" si="8"/>
        <v>0</v>
      </c>
      <c r="BI49" s="1449"/>
      <c r="BJ49" s="39"/>
      <c r="BK49" s="39"/>
      <c r="BL49" s="52"/>
      <c r="BM49" s="178">
        <f t="shared" si="56"/>
        <v>0</v>
      </c>
      <c r="BN49" s="52"/>
    </row>
    <row r="50" spans="1:66" s="2" customFormat="1" ht="13.8">
      <c r="A50" s="293"/>
      <c r="B50" s="17" t="s">
        <v>59</v>
      </c>
      <c r="C50" s="123"/>
      <c r="D50" s="123"/>
      <c r="E50" s="123">
        <f>SUM(E51:E52)</f>
        <v>0</v>
      </c>
      <c r="F50" s="170" t="e">
        <f>E50/$E$89</f>
        <v>#DIV/0!</v>
      </c>
      <c r="G50" s="123">
        <f>G52+G51</f>
        <v>0</v>
      </c>
      <c r="H50" s="123">
        <f>H52+H51</f>
        <v>0</v>
      </c>
      <c r="I50" s="123">
        <f>SUM(I51:I52)</f>
        <v>0</v>
      </c>
      <c r="J50" s="60"/>
      <c r="K50" s="60"/>
      <c r="L50" s="123">
        <f>L52+L51</f>
        <v>0</v>
      </c>
      <c r="M50" s="123">
        <f>M52+M51</f>
        <v>0</v>
      </c>
      <c r="N50" s="123">
        <f>SUM(N51:N52)</f>
        <v>0</v>
      </c>
      <c r="O50" s="60"/>
      <c r="P50" s="409"/>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t="e">
        <v>#DIV/0!</v>
      </c>
      <c r="AE50" s="591"/>
      <c r="AF50" s="578">
        <f>AF52+AF51</f>
        <v>0</v>
      </c>
      <c r="AG50" s="578">
        <f>AG52+AG51</f>
        <v>0</v>
      </c>
      <c r="AH50" s="578">
        <f>SUM(AH51:AH52)</f>
        <v>0</v>
      </c>
      <c r="AI50" s="581">
        <f t="shared" si="35"/>
        <v>0</v>
      </c>
      <c r="AJ50" s="665"/>
      <c r="AK50" s="578">
        <f>AK52+AK51</f>
        <v>0</v>
      </c>
      <c r="AL50" s="578">
        <f>AL52+AL51</f>
        <v>0</v>
      </c>
      <c r="AM50" s="578">
        <f>SUM(AM51:AM52)</f>
        <v>0</v>
      </c>
      <c r="AN50" s="581">
        <f t="shared" si="36"/>
        <v>0</v>
      </c>
      <c r="AO50" s="665"/>
      <c r="AP50" s="578">
        <f>AP52+AP51</f>
        <v>0</v>
      </c>
      <c r="AQ50" s="578">
        <f>AQ52+AQ51</f>
        <v>0</v>
      </c>
      <c r="AR50" s="578">
        <f>SUM(AR51:AR52)</f>
        <v>0</v>
      </c>
      <c r="AS50" s="581">
        <f t="shared" si="5"/>
        <v>0</v>
      </c>
      <c r="AT50" s="665"/>
      <c r="AU50" s="578">
        <f>AU52+AU51</f>
        <v>0</v>
      </c>
      <c r="AV50" s="578">
        <f>AV52+AV51</f>
        <v>0</v>
      </c>
      <c r="AW50" s="578">
        <f>SUM(AW51:AW52)</f>
        <v>0</v>
      </c>
      <c r="AX50" s="581">
        <f t="shared" si="6"/>
        <v>0</v>
      </c>
      <c r="AY50" s="665"/>
      <c r="AZ50" s="578">
        <f>AZ52+AZ51</f>
        <v>0</v>
      </c>
      <c r="BA50" s="578">
        <f>BA52+BA51</f>
        <v>0</v>
      </c>
      <c r="BB50" s="578">
        <f>SUM(BB51:BB52)</f>
        <v>0</v>
      </c>
      <c r="BC50" s="581">
        <f t="shared" si="7"/>
        <v>0</v>
      </c>
      <c r="BD50" s="665"/>
      <c r="BE50" s="1497">
        <f>BE52+BE51</f>
        <v>0</v>
      </c>
      <c r="BF50" s="1497">
        <f>BF52+BF51</f>
        <v>0</v>
      </c>
      <c r="BG50" s="1497">
        <f>SUM(BG51:BG52)</f>
        <v>0</v>
      </c>
      <c r="BH50" s="1446">
        <f t="shared" si="8"/>
        <v>0</v>
      </c>
      <c r="BI50" s="1598"/>
      <c r="BJ50" s="123">
        <f>BJ52+BJ51</f>
        <v>0</v>
      </c>
      <c r="BK50" s="123">
        <f>BK52+BK51</f>
        <v>0</v>
      </c>
      <c r="BL50" s="123">
        <f>SUM(BL51:BL52)</f>
        <v>0</v>
      </c>
      <c r="BM50" s="60"/>
      <c r="BN50" s="60"/>
    </row>
    <row r="51" spans="1:66" s="226" customFormat="1" ht="13.8">
      <c r="A51" s="234"/>
      <c r="B51" s="18" t="s">
        <v>60</v>
      </c>
      <c r="C51" s="113"/>
      <c r="D51" s="119"/>
      <c r="E51" s="119">
        <f>C51+D51</f>
        <v>0</v>
      </c>
      <c r="F51" s="180" t="e">
        <f>E51/$E$89</f>
        <v>#DIV/0!</v>
      </c>
      <c r="G51" s="39"/>
      <c r="H51" s="39"/>
      <c r="I51" s="106">
        <f>G51+H51*1</f>
        <v>0</v>
      </c>
      <c r="J51" s="178">
        <f>I51/$I$89</f>
        <v>0</v>
      </c>
      <c r="K51" s="45"/>
      <c r="L51" s="39"/>
      <c r="M51" s="39"/>
      <c r="N51" s="106">
        <f>L51+M51*1</f>
        <v>0</v>
      </c>
      <c r="O51" s="178">
        <f t="shared" si="40"/>
        <v>0</v>
      </c>
      <c r="P51" s="405"/>
      <c r="Q51" s="39"/>
      <c r="R51" s="39"/>
      <c r="S51" s="106">
        <f>Q51+R51*1</f>
        <v>0</v>
      </c>
      <c r="T51" s="178">
        <f t="shared" si="42"/>
        <v>0</v>
      </c>
      <c r="U51" s="405"/>
      <c r="V51" s="39"/>
      <c r="W51" s="39"/>
      <c r="X51" s="106">
        <f>V51+W51*1</f>
        <v>0</v>
      </c>
      <c r="Y51" s="178">
        <f>X51/$S$89</f>
        <v>0</v>
      </c>
      <c r="Z51" s="405"/>
      <c r="AA51" s="39"/>
      <c r="AB51" s="39"/>
      <c r="AC51" s="106">
        <f>AA51+AB51*1</f>
        <v>0</v>
      </c>
      <c r="AD51" s="178">
        <f t="shared" si="46"/>
        <v>0</v>
      </c>
      <c r="AE51" s="732"/>
      <c r="AF51" s="560"/>
      <c r="AG51" s="452"/>
      <c r="AH51" s="446">
        <f>AF51+AG51*1</f>
        <v>0</v>
      </c>
      <c r="AI51" s="450">
        <f t="shared" si="35"/>
        <v>0</v>
      </c>
      <c r="AJ51" s="745"/>
      <c r="AK51" s="560"/>
      <c r="AL51" s="452"/>
      <c r="AM51" s="446">
        <f>AK51+AL51*1</f>
        <v>0</v>
      </c>
      <c r="AN51" s="450">
        <f t="shared" si="36"/>
        <v>0</v>
      </c>
      <c r="AO51" s="745"/>
      <c r="AP51" s="560"/>
      <c r="AQ51" s="452"/>
      <c r="AR51" s="446">
        <f>AP51+AQ51*1</f>
        <v>0</v>
      </c>
      <c r="AS51" s="450">
        <f t="shared" si="5"/>
        <v>0</v>
      </c>
      <c r="AT51" s="745"/>
      <c r="AU51" s="560"/>
      <c r="AV51" s="452"/>
      <c r="AW51" s="446">
        <f>AU51+AV51*1</f>
        <v>0</v>
      </c>
      <c r="AX51" s="450">
        <f t="shared" si="6"/>
        <v>0</v>
      </c>
      <c r="AY51" s="745"/>
      <c r="AZ51" s="560"/>
      <c r="BA51" s="452"/>
      <c r="BB51" s="446">
        <f>AZ51+BA51*1</f>
        <v>0</v>
      </c>
      <c r="BC51" s="450">
        <f t="shared" si="7"/>
        <v>0</v>
      </c>
      <c r="BD51" s="745"/>
      <c r="BE51" s="1644"/>
      <c r="BF51" s="1432"/>
      <c r="BG51" s="1480">
        <f>BE51+BF51*1</f>
        <v>0</v>
      </c>
      <c r="BH51" s="1877">
        <f t="shared" si="8"/>
        <v>0</v>
      </c>
      <c r="BI51" s="1887"/>
      <c r="BJ51" s="39">
        <f>G51+L51+Q51+V51+AA51+AF51+AK51+AP51+AU51+AZ51+BE51</f>
        <v>0</v>
      </c>
      <c r="BK51" s="39">
        <f>H51+M51+R51+W51+AB51+AG51+AL51+AQ51+AV51+BA51+BF51</f>
        <v>0</v>
      </c>
      <c r="BL51" s="106">
        <f>BJ51+BK51*1</f>
        <v>0</v>
      </c>
      <c r="BM51" s="178">
        <f t="shared" si="56"/>
        <v>0</v>
      </c>
      <c r="BN51" s="45"/>
    </row>
    <row r="52" spans="1:66" s="235" customFormat="1" ht="13.8">
      <c r="A52" s="234"/>
      <c r="B52" s="18" t="s">
        <v>61</v>
      </c>
      <c r="C52" s="113"/>
      <c r="D52" s="119"/>
      <c r="E52" s="119">
        <f>C52+D52</f>
        <v>0</v>
      </c>
      <c r="F52" s="180" t="e">
        <f>E52/$E$89</f>
        <v>#DIV/0!</v>
      </c>
      <c r="G52" s="39"/>
      <c r="H52" s="39"/>
      <c r="I52" s="106">
        <f>G52+H52*1</f>
        <v>0</v>
      </c>
      <c r="J52" s="178">
        <f>I52/$I$89</f>
        <v>0</v>
      </c>
      <c r="K52" s="45"/>
      <c r="L52" s="39"/>
      <c r="M52" s="39"/>
      <c r="N52" s="106">
        <f>L52+M52*1</f>
        <v>0</v>
      </c>
      <c r="O52" s="178">
        <f t="shared" si="40"/>
        <v>0</v>
      </c>
      <c r="P52" s="405"/>
      <c r="Q52" s="39"/>
      <c r="R52" s="39"/>
      <c r="S52" s="106">
        <f>Q52+R52*1</f>
        <v>0</v>
      </c>
      <c r="T52" s="178">
        <f t="shared" si="42"/>
        <v>0</v>
      </c>
      <c r="U52" s="405"/>
      <c r="V52" s="39"/>
      <c r="W52" s="39"/>
      <c r="X52" s="106">
        <f>V52+W52*1</f>
        <v>0</v>
      </c>
      <c r="Y52" s="178">
        <f>X52/$S$89</f>
        <v>0</v>
      </c>
      <c r="Z52" s="405"/>
      <c r="AA52" s="39"/>
      <c r="AB52" s="39"/>
      <c r="AC52" s="106">
        <f>AA52+AB52*1</f>
        <v>0</v>
      </c>
      <c r="AD52" s="178">
        <f t="shared" si="46"/>
        <v>0</v>
      </c>
      <c r="AE52" s="732"/>
      <c r="AF52" s="560"/>
      <c r="AG52" s="452"/>
      <c r="AH52" s="446">
        <f>AF52+AG52*1</f>
        <v>0</v>
      </c>
      <c r="AI52" s="450">
        <f t="shared" si="35"/>
        <v>0</v>
      </c>
      <c r="AJ52" s="745"/>
      <c r="AK52" s="560"/>
      <c r="AL52" s="452"/>
      <c r="AM52" s="446">
        <f>AK52+AL52*1</f>
        <v>0</v>
      </c>
      <c r="AN52" s="450">
        <f t="shared" si="36"/>
        <v>0</v>
      </c>
      <c r="AO52" s="745"/>
      <c r="AP52" s="560"/>
      <c r="AQ52" s="452"/>
      <c r="AR52" s="446">
        <f>AP52+AQ52*1</f>
        <v>0</v>
      </c>
      <c r="AS52" s="450">
        <f t="shared" si="5"/>
        <v>0</v>
      </c>
      <c r="AT52" s="745"/>
      <c r="AU52" s="560"/>
      <c r="AV52" s="452"/>
      <c r="AW52" s="446">
        <f>AU52+AV52*1</f>
        <v>0</v>
      </c>
      <c r="AX52" s="450">
        <f t="shared" si="6"/>
        <v>0</v>
      </c>
      <c r="AY52" s="745"/>
      <c r="AZ52" s="560"/>
      <c r="BA52" s="452"/>
      <c r="BB52" s="446">
        <f>AZ52+BA52*1</f>
        <v>0</v>
      </c>
      <c r="BC52" s="450">
        <f t="shared" si="7"/>
        <v>0</v>
      </c>
      <c r="BD52" s="745"/>
      <c r="BE52" s="1644"/>
      <c r="BF52" s="1432"/>
      <c r="BG52" s="1480">
        <f>BE52+BF52*1</f>
        <v>0</v>
      </c>
      <c r="BH52" s="1877">
        <f t="shared" si="8"/>
        <v>0</v>
      </c>
      <c r="BI52" s="1887"/>
      <c r="BJ52" s="39">
        <f>G52+L52+Q52+V52+AA52+AF52+AK52+AP52+AU52+AZ52+BE52</f>
        <v>0</v>
      </c>
      <c r="BK52" s="39">
        <f>H52+M52+R52+W52+AB52+AG52+AL52+AQ52+AV52+BA52+BF52</f>
        <v>0</v>
      </c>
      <c r="BL52" s="106">
        <f>BJ52+BK52*1</f>
        <v>0</v>
      </c>
      <c r="BM52" s="178">
        <f t="shared" si="56"/>
        <v>0</v>
      </c>
      <c r="BN52" s="45"/>
    </row>
    <row r="53" spans="1:66" ht="14.4" thickBot="1">
      <c r="A53" s="20"/>
      <c r="B53" s="21"/>
      <c r="C53" s="124"/>
      <c r="D53" s="125"/>
      <c r="E53" s="126"/>
      <c r="F53" s="183"/>
      <c r="G53" s="39"/>
      <c r="H53" s="39"/>
      <c r="I53" s="61"/>
      <c r="J53" s="61"/>
      <c r="K53" s="61"/>
      <c r="L53" s="39"/>
      <c r="M53" s="39"/>
      <c r="N53" s="61"/>
      <c r="O53" s="61"/>
      <c r="P53" s="61"/>
      <c r="Q53" s="39"/>
      <c r="R53" s="39"/>
      <c r="S53" s="61"/>
      <c r="T53" s="61"/>
      <c r="U53" s="61"/>
      <c r="V53" s="39"/>
      <c r="W53" s="39"/>
      <c r="X53" s="61"/>
      <c r="Y53" s="61"/>
      <c r="Z53" s="61"/>
      <c r="AA53" s="39"/>
      <c r="AB53" s="39"/>
      <c r="AC53" s="61"/>
      <c r="AD53" s="61"/>
      <c r="AE53" s="735"/>
      <c r="AF53" s="560"/>
      <c r="AG53" s="452"/>
      <c r="AH53" s="668"/>
      <c r="AI53" s="668"/>
      <c r="AJ53" s="668"/>
      <c r="AK53" s="560"/>
      <c r="AL53" s="452"/>
      <c r="AM53" s="668"/>
      <c r="AN53" s="668"/>
      <c r="AO53" s="668"/>
      <c r="AP53" s="560"/>
      <c r="AQ53" s="452"/>
      <c r="AR53" s="668"/>
      <c r="AS53" s="668"/>
      <c r="AT53" s="668"/>
      <c r="AU53" s="560"/>
      <c r="AV53" s="452"/>
      <c r="AW53" s="668"/>
      <c r="AX53" s="668"/>
      <c r="AY53" s="668"/>
      <c r="AZ53" s="560"/>
      <c r="BA53" s="452"/>
      <c r="BB53" s="668"/>
      <c r="BC53" s="668"/>
      <c r="BD53" s="668"/>
      <c r="BE53" s="1644"/>
      <c r="BF53" s="1432"/>
      <c r="BG53" s="1447"/>
      <c r="BH53" s="1447">
        <f t="shared" si="8"/>
        <v>0</v>
      </c>
      <c r="BI53" s="1447"/>
      <c r="BJ53" s="39"/>
      <c r="BK53" s="39"/>
      <c r="BL53" s="61"/>
      <c r="BM53" s="61"/>
      <c r="BN53" s="61"/>
    </row>
    <row r="54" spans="1:66" ht="13.8">
      <c r="A54" s="236"/>
      <c r="B54" s="17" t="s">
        <v>1</v>
      </c>
      <c r="C54" s="123">
        <f>SUM(C55:C71)</f>
        <v>0</v>
      </c>
      <c r="D54" s="123">
        <f>SUM(D55:D71)</f>
        <v>0</v>
      </c>
      <c r="E54" s="127">
        <f>SUM(E55:E71)</f>
        <v>0</v>
      </c>
      <c r="F54" s="170" t="e">
        <f>E54/$E$89</f>
        <v>#DIV/0!</v>
      </c>
      <c r="G54" s="123">
        <f>SUM(G55:G72)</f>
        <v>700</v>
      </c>
      <c r="H54" s="123">
        <f>SUM(H55:H72)</f>
        <v>21.1</v>
      </c>
      <c r="I54" s="123">
        <f>SUM(I55:I72)</f>
        <v>721.1</v>
      </c>
      <c r="J54" s="169">
        <f t="shared" ref="J54:J72" si="57">I54/$I$89</f>
        <v>1.5622748348424854E-2</v>
      </c>
      <c r="K54" s="60"/>
      <c r="L54" s="123">
        <f>SUM(L55:L72)</f>
        <v>16412.760000000002</v>
      </c>
      <c r="M54" s="123">
        <f>SUM(M55:M72)</f>
        <v>11382</v>
      </c>
      <c r="N54" s="123">
        <f>SUM(N55:N72)</f>
        <v>27794.760000000002</v>
      </c>
      <c r="O54" s="169">
        <f>N54/$N$89</f>
        <v>0.18493521039981284</v>
      </c>
      <c r="P54" s="409"/>
      <c r="Q54" s="123">
        <f>SUM(Q55:Q72)</f>
        <v>9272</v>
      </c>
      <c r="R54" s="123">
        <f>SUM(R55:R72)</f>
        <v>10842.85</v>
      </c>
      <c r="S54" s="123">
        <f>SUM(S55:S72)</f>
        <v>20114.849999999999</v>
      </c>
      <c r="T54" s="169">
        <f>S54/$S$89</f>
        <v>0.11142826375525464</v>
      </c>
      <c r="U54" s="409"/>
      <c r="V54" s="123">
        <f>SUM(V55:V72)</f>
        <v>0</v>
      </c>
      <c r="W54" s="123">
        <f>SUM(W55:W72)</f>
        <v>0</v>
      </c>
      <c r="X54" s="123">
        <f>SUM(X55:X72)</f>
        <v>0</v>
      </c>
      <c r="Y54" s="169">
        <f>X54/$S$89</f>
        <v>0</v>
      </c>
      <c r="Z54" s="409"/>
      <c r="AA54" s="123">
        <f>SUM(AA55:AA72)</f>
        <v>0</v>
      </c>
      <c r="AB54" s="123">
        <f>SUM(AB55:AB72)</f>
        <v>0</v>
      </c>
      <c r="AC54" s="123">
        <f>SUM(AC55:AC72)</f>
        <v>0</v>
      </c>
      <c r="AD54" s="169">
        <f t="shared" ref="AD54:AD71" si="58">AC54/$AC$89</f>
        <v>0</v>
      </c>
      <c r="AE54" s="591"/>
      <c r="AF54" s="578">
        <f>SUM(AF55:AF72)</f>
        <v>0</v>
      </c>
      <c r="AG54" s="578">
        <f>SUM(AG55:AG72)</f>
        <v>0</v>
      </c>
      <c r="AH54" s="578">
        <f>SUM(AH55:AH72)</f>
        <v>0</v>
      </c>
      <c r="AI54" s="664">
        <f t="shared" ref="AI54:AI71" si="59">AH54/$AH$89</f>
        <v>0</v>
      </c>
      <c r="AJ54" s="665"/>
      <c r="AK54" s="578">
        <f>SUM(AK55:AK72)</f>
        <v>0</v>
      </c>
      <c r="AL54" s="578">
        <f>SUM(AL55:AL72)</f>
        <v>0</v>
      </c>
      <c r="AM54" s="578">
        <f>SUM(AM55:AM72)</f>
        <v>0</v>
      </c>
      <c r="AN54" s="664">
        <f t="shared" ref="AN54:AN71" si="60">AM54/$AH$89</f>
        <v>0</v>
      </c>
      <c r="AO54" s="665"/>
      <c r="AP54" s="578">
        <f>SUM(AP55:AP72)</f>
        <v>0</v>
      </c>
      <c r="AQ54" s="578">
        <f>SUM(AQ55:AQ72)</f>
        <v>0</v>
      </c>
      <c r="AR54" s="578">
        <f>SUM(AR55:AR72)</f>
        <v>0</v>
      </c>
      <c r="AS54" s="664">
        <f t="shared" si="5"/>
        <v>0</v>
      </c>
      <c r="AT54" s="665"/>
      <c r="AU54" s="578">
        <f>SUM(AU55:AU72)</f>
        <v>0</v>
      </c>
      <c r="AV54" s="578">
        <f>SUM(AV55:AV72)</f>
        <v>0</v>
      </c>
      <c r="AW54" s="578">
        <f>SUM(AW55:AW72)</f>
        <v>0</v>
      </c>
      <c r="AX54" s="664">
        <f t="shared" ref="AX54:AX71" si="61">AW54/$AR$89</f>
        <v>0</v>
      </c>
      <c r="AY54" s="665"/>
      <c r="AZ54" s="578">
        <f>SUM(AZ55:AZ72)</f>
        <v>0</v>
      </c>
      <c r="BA54" s="578">
        <f>SUM(BA55:BA72)</f>
        <v>0</v>
      </c>
      <c r="BB54" s="578">
        <f>SUM(BB55:BB72)</f>
        <v>0</v>
      </c>
      <c r="BC54" s="664">
        <f t="shared" ref="BC54:BC71" si="62">BB54/$AR$89</f>
        <v>0</v>
      </c>
      <c r="BD54" s="665"/>
      <c r="BE54" s="1497">
        <f>SUM(BE55:BE72)</f>
        <v>0</v>
      </c>
      <c r="BF54" s="1497">
        <f>SUM(BF55:BF72)</f>
        <v>0</v>
      </c>
      <c r="BG54" s="1497">
        <f>SUM(BG55:BG72)</f>
        <v>0</v>
      </c>
      <c r="BH54" s="1888">
        <f t="shared" si="8"/>
        <v>0</v>
      </c>
      <c r="BI54" s="1598"/>
      <c r="BJ54" s="123">
        <f>SUM(BJ55:BJ72)</f>
        <v>26384.760000000002</v>
      </c>
      <c r="BK54" s="123">
        <f>SUM(BK55:BK72)</f>
        <v>22245.95</v>
      </c>
      <c r="BL54" s="123">
        <f>SUM(BL55:BL72)</f>
        <v>48630.71</v>
      </c>
      <c r="BM54" s="169">
        <f t="shared" si="56"/>
        <v>0.10564169376220169</v>
      </c>
      <c r="BN54" s="60"/>
    </row>
    <row r="55" spans="1:66" ht="13.8">
      <c r="A55" s="237"/>
      <c r="B55" s="19" t="s">
        <v>77</v>
      </c>
      <c r="C55" s="113"/>
      <c r="D55" s="128"/>
      <c r="E55" s="120">
        <f t="shared" ref="E55:E71" si="63">C55+D55</f>
        <v>0</v>
      </c>
      <c r="F55" s="178" t="e">
        <f>E55/$E$89</f>
        <v>#DIV/0!</v>
      </c>
      <c r="G55" s="210"/>
      <c r="H55" s="210"/>
      <c r="I55" s="106">
        <f t="shared" ref="I55:I71" si="64">G55+H55*1</f>
        <v>0</v>
      </c>
      <c r="J55" s="178">
        <f t="shared" si="57"/>
        <v>0</v>
      </c>
      <c r="K55" s="79"/>
      <c r="L55" s="210"/>
      <c r="M55" s="210"/>
      <c r="N55" s="106">
        <f t="shared" ref="N55:N71" si="65">L55+M55*1</f>
        <v>0</v>
      </c>
      <c r="O55" s="178">
        <f t="shared" ref="O55:O72" si="66">N55/$N$89</f>
        <v>0</v>
      </c>
      <c r="P55" s="259"/>
      <c r="Q55" s="210"/>
      <c r="R55" s="210"/>
      <c r="S55" s="106">
        <f t="shared" ref="S55:S71" si="67">Q55+R55*1</f>
        <v>0</v>
      </c>
      <c r="T55" s="178">
        <f t="shared" ref="T55:T72" si="68">S55/$S$89</f>
        <v>0</v>
      </c>
      <c r="U55" s="259"/>
      <c r="V55" s="210"/>
      <c r="W55" s="210"/>
      <c r="X55" s="106">
        <f t="shared" ref="X55:X71" si="69">V55+W55*1</f>
        <v>0</v>
      </c>
      <c r="Y55" s="178">
        <f t="shared" ref="Y55:Y72" si="70">X55/$S$89</f>
        <v>0</v>
      </c>
      <c r="Z55" s="259"/>
      <c r="AA55" s="210"/>
      <c r="AB55" s="210"/>
      <c r="AC55" s="106">
        <f t="shared" ref="AC55:AC71" si="71">AA55+AB55*1</f>
        <v>0</v>
      </c>
      <c r="AD55" s="178">
        <f t="shared" si="58"/>
        <v>0</v>
      </c>
      <c r="AE55" s="731"/>
      <c r="AF55" s="669"/>
      <c r="AG55" s="453"/>
      <c r="AH55" s="446">
        <f t="shared" ref="AH55:AH71" si="72">AF55+AG55*1</f>
        <v>0</v>
      </c>
      <c r="AI55" s="450">
        <f t="shared" si="59"/>
        <v>0</v>
      </c>
      <c r="AJ55" s="503"/>
      <c r="AK55" s="669"/>
      <c r="AL55" s="453"/>
      <c r="AM55" s="446">
        <f t="shared" ref="AM55:AM71" si="73">AK55+AL55*1</f>
        <v>0</v>
      </c>
      <c r="AN55" s="450">
        <f t="shared" si="60"/>
        <v>0</v>
      </c>
      <c r="AO55" s="503"/>
      <c r="AP55" s="669"/>
      <c r="AQ55" s="453"/>
      <c r="AR55" s="446">
        <f t="shared" ref="AR55:AR71" si="74">AP55+AQ55*1</f>
        <v>0</v>
      </c>
      <c r="AS55" s="450">
        <f t="shared" si="5"/>
        <v>0</v>
      </c>
      <c r="AT55" s="503"/>
      <c r="AU55" s="669"/>
      <c r="AV55" s="453"/>
      <c r="AW55" s="446">
        <f t="shared" ref="AW55:AW71" si="75">AU55+AV55*1</f>
        <v>0</v>
      </c>
      <c r="AX55" s="450">
        <f t="shared" si="61"/>
        <v>0</v>
      </c>
      <c r="AY55" s="503"/>
      <c r="AZ55" s="669"/>
      <c r="BA55" s="453"/>
      <c r="BB55" s="446">
        <f t="shared" ref="BB55:BB71" si="76">AZ55+BA55*1</f>
        <v>0</v>
      </c>
      <c r="BC55" s="450">
        <f t="shared" si="62"/>
        <v>0</v>
      </c>
      <c r="BD55" s="503"/>
      <c r="BE55" s="1479"/>
      <c r="BF55" s="1552"/>
      <c r="BG55" s="1480">
        <f t="shared" ref="BG55:BG71" si="77">BE55+BF55*1</f>
        <v>0</v>
      </c>
      <c r="BH55" s="1877">
        <f t="shared" si="8"/>
        <v>0</v>
      </c>
      <c r="BI55" s="1880"/>
      <c r="BJ55" s="39">
        <f t="shared" ref="BJ55:BJ71" si="78">G55+L55+Q55+V55+AA55+AF55+AK55+AP55+AU55+AZ55+BE55</f>
        <v>0</v>
      </c>
      <c r="BK55" s="39">
        <f t="shared" ref="BK55:BK71" si="79">H55+M55+R55+W55+AB55+AG55+AL55+AQ55+AV55+BA55+BF55</f>
        <v>0</v>
      </c>
      <c r="BL55" s="106">
        <f t="shared" ref="BL55:BL71" si="80">BJ55+BK55*1</f>
        <v>0</v>
      </c>
      <c r="BM55" s="178">
        <f t="shared" si="56"/>
        <v>0</v>
      </c>
      <c r="BN55" s="79"/>
    </row>
    <row r="56" spans="1:66" ht="13.8">
      <c r="A56" s="237"/>
      <c r="B56" s="19" t="s">
        <v>76</v>
      </c>
      <c r="C56" s="113"/>
      <c r="D56" s="128"/>
      <c r="E56" s="120">
        <f t="shared" si="63"/>
        <v>0</v>
      </c>
      <c r="F56" s="178" t="e">
        <f t="shared" ref="F56:F72" si="81">E56/$E$89</f>
        <v>#DIV/0!</v>
      </c>
      <c r="G56" s="210"/>
      <c r="H56" s="210"/>
      <c r="I56" s="106">
        <f t="shared" si="64"/>
        <v>0</v>
      </c>
      <c r="J56" s="178">
        <f t="shared" si="57"/>
        <v>0</v>
      </c>
      <c r="K56" s="79"/>
      <c r="L56" s="210"/>
      <c r="M56" s="210"/>
      <c r="N56" s="106">
        <f t="shared" si="65"/>
        <v>0</v>
      </c>
      <c r="O56" s="178">
        <f t="shared" si="66"/>
        <v>0</v>
      </c>
      <c r="P56" s="259"/>
      <c r="Q56" s="210"/>
      <c r="R56" s="210"/>
      <c r="S56" s="106">
        <f t="shared" si="67"/>
        <v>0</v>
      </c>
      <c r="T56" s="178">
        <f t="shared" si="68"/>
        <v>0</v>
      </c>
      <c r="U56" s="259"/>
      <c r="V56" s="210"/>
      <c r="W56" s="210"/>
      <c r="X56" s="106">
        <f t="shared" si="69"/>
        <v>0</v>
      </c>
      <c r="Y56" s="178">
        <f t="shared" si="70"/>
        <v>0</v>
      </c>
      <c r="Z56" s="259"/>
      <c r="AA56" s="210"/>
      <c r="AB56" s="210"/>
      <c r="AC56" s="106">
        <f t="shared" si="71"/>
        <v>0</v>
      </c>
      <c r="AD56" s="178">
        <f t="shared" si="58"/>
        <v>0</v>
      </c>
      <c r="AE56" s="731"/>
      <c r="AF56" s="669"/>
      <c r="AG56" s="453"/>
      <c r="AH56" s="446">
        <f t="shared" si="72"/>
        <v>0</v>
      </c>
      <c r="AI56" s="450">
        <f t="shared" si="59"/>
        <v>0</v>
      </c>
      <c r="AJ56" s="503"/>
      <c r="AK56" s="669"/>
      <c r="AL56" s="453"/>
      <c r="AM56" s="446">
        <f t="shared" si="73"/>
        <v>0</v>
      </c>
      <c r="AN56" s="450">
        <f t="shared" si="60"/>
        <v>0</v>
      </c>
      <c r="AO56" s="503"/>
      <c r="AP56" s="669"/>
      <c r="AQ56" s="453"/>
      <c r="AR56" s="446">
        <f t="shared" si="74"/>
        <v>0</v>
      </c>
      <c r="AS56" s="450">
        <f t="shared" si="5"/>
        <v>0</v>
      </c>
      <c r="AT56" s="503"/>
      <c r="AU56" s="669"/>
      <c r="AV56" s="453"/>
      <c r="AW56" s="446">
        <f t="shared" si="75"/>
        <v>0</v>
      </c>
      <c r="AX56" s="450">
        <f t="shared" si="61"/>
        <v>0</v>
      </c>
      <c r="AY56" s="503"/>
      <c r="AZ56" s="669"/>
      <c r="BA56" s="453"/>
      <c r="BB56" s="446">
        <f t="shared" si="76"/>
        <v>0</v>
      </c>
      <c r="BC56" s="450">
        <f t="shared" si="62"/>
        <v>0</v>
      </c>
      <c r="BD56" s="503"/>
      <c r="BE56" s="1479"/>
      <c r="BF56" s="1552"/>
      <c r="BG56" s="1480">
        <f t="shared" si="77"/>
        <v>0</v>
      </c>
      <c r="BH56" s="1877">
        <f t="shared" si="8"/>
        <v>0</v>
      </c>
      <c r="BI56" s="1880"/>
      <c r="BJ56" s="39">
        <f t="shared" si="78"/>
        <v>0</v>
      </c>
      <c r="BK56" s="39">
        <f t="shared" si="79"/>
        <v>0</v>
      </c>
      <c r="BL56" s="106">
        <f t="shared" si="80"/>
        <v>0</v>
      </c>
      <c r="BM56" s="178">
        <f t="shared" si="56"/>
        <v>0</v>
      </c>
      <c r="BN56" s="79"/>
    </row>
    <row r="57" spans="1:66" ht="13.8">
      <c r="A57" s="237"/>
      <c r="B57" s="615" t="s">
        <v>68</v>
      </c>
      <c r="C57" s="113"/>
      <c r="D57" s="128"/>
      <c r="E57" s="120">
        <f t="shared" si="63"/>
        <v>0</v>
      </c>
      <c r="F57" s="178" t="e">
        <f t="shared" si="81"/>
        <v>#DIV/0!</v>
      </c>
      <c r="G57" s="210"/>
      <c r="H57" s="210"/>
      <c r="I57" s="106">
        <f t="shared" si="64"/>
        <v>0</v>
      </c>
      <c r="J57" s="178">
        <f t="shared" si="57"/>
        <v>0</v>
      </c>
      <c r="K57" s="79"/>
      <c r="L57" s="210"/>
      <c r="M57" s="210"/>
      <c r="N57" s="106">
        <f t="shared" si="65"/>
        <v>0</v>
      </c>
      <c r="O57" s="178">
        <f t="shared" si="66"/>
        <v>0</v>
      </c>
      <c r="P57" s="259"/>
      <c r="Q57" s="210"/>
      <c r="R57" s="210"/>
      <c r="S57" s="106">
        <f t="shared" si="67"/>
        <v>0</v>
      </c>
      <c r="T57" s="178">
        <f t="shared" si="68"/>
        <v>0</v>
      </c>
      <c r="U57" s="259"/>
      <c r="V57" s="210"/>
      <c r="W57" s="210"/>
      <c r="X57" s="106">
        <f t="shared" si="69"/>
        <v>0</v>
      </c>
      <c r="Y57" s="178">
        <f t="shared" si="70"/>
        <v>0</v>
      </c>
      <c r="Z57" s="259"/>
      <c r="AA57" s="210"/>
      <c r="AB57" s="210"/>
      <c r="AC57" s="106">
        <f t="shared" si="71"/>
        <v>0</v>
      </c>
      <c r="AD57" s="178">
        <f t="shared" si="58"/>
        <v>0</v>
      </c>
      <c r="AE57" s="731"/>
      <c r="AF57" s="669"/>
      <c r="AG57" s="453"/>
      <c r="AH57" s="446">
        <f t="shared" si="72"/>
        <v>0</v>
      </c>
      <c r="AI57" s="450">
        <f t="shared" si="59"/>
        <v>0</v>
      </c>
      <c r="AJ57" s="503"/>
      <c r="AK57" s="669"/>
      <c r="AL57" s="453"/>
      <c r="AM57" s="446">
        <f t="shared" si="73"/>
        <v>0</v>
      </c>
      <c r="AN57" s="450">
        <f t="shared" si="60"/>
        <v>0</v>
      </c>
      <c r="AO57" s="503"/>
      <c r="AP57" s="669"/>
      <c r="AQ57" s="453"/>
      <c r="AR57" s="446">
        <f t="shared" si="74"/>
        <v>0</v>
      </c>
      <c r="AS57" s="450">
        <f t="shared" si="5"/>
        <v>0</v>
      </c>
      <c r="AT57" s="503"/>
      <c r="AU57" s="669"/>
      <c r="AV57" s="453"/>
      <c r="AW57" s="446">
        <f t="shared" si="75"/>
        <v>0</v>
      </c>
      <c r="AX57" s="450">
        <f t="shared" si="61"/>
        <v>0</v>
      </c>
      <c r="AY57" s="503"/>
      <c r="AZ57" s="669"/>
      <c r="BA57" s="453"/>
      <c r="BB57" s="446">
        <f t="shared" si="76"/>
        <v>0</v>
      </c>
      <c r="BC57" s="450">
        <f t="shared" si="62"/>
        <v>0</v>
      </c>
      <c r="BD57" s="503"/>
      <c r="BE57" s="1479"/>
      <c r="BF57" s="1552"/>
      <c r="BG57" s="1480">
        <f t="shared" si="77"/>
        <v>0</v>
      </c>
      <c r="BH57" s="1877">
        <f t="shared" si="8"/>
        <v>0</v>
      </c>
      <c r="BI57" s="1880"/>
      <c r="BJ57" s="39">
        <f t="shared" si="78"/>
        <v>0</v>
      </c>
      <c r="BK57" s="39">
        <f t="shared" si="79"/>
        <v>0</v>
      </c>
      <c r="BL57" s="106">
        <f t="shared" si="80"/>
        <v>0</v>
      </c>
      <c r="BM57" s="178">
        <f t="shared" si="56"/>
        <v>0</v>
      </c>
      <c r="BN57" s="79"/>
    </row>
    <row r="58" spans="1:66" ht="13.8">
      <c r="A58" s="237"/>
      <c r="B58" s="615" t="s">
        <v>67</v>
      </c>
      <c r="C58" s="113"/>
      <c r="D58" s="128"/>
      <c r="E58" s="120">
        <f t="shared" si="63"/>
        <v>0</v>
      </c>
      <c r="F58" s="178" t="e">
        <f t="shared" si="81"/>
        <v>#DIV/0!</v>
      </c>
      <c r="G58" s="210"/>
      <c r="H58" s="210"/>
      <c r="I58" s="106">
        <f t="shared" si="64"/>
        <v>0</v>
      </c>
      <c r="J58" s="178">
        <f t="shared" si="57"/>
        <v>0</v>
      </c>
      <c r="K58" s="79"/>
      <c r="L58" s="210">
        <f>12236/2</f>
        <v>6118</v>
      </c>
      <c r="M58" s="210">
        <f>22764/2</f>
        <v>11382</v>
      </c>
      <c r="N58" s="106">
        <f t="shared" si="65"/>
        <v>17500</v>
      </c>
      <c r="O58" s="178">
        <f t="shared" si="66"/>
        <v>0.11643799701802514</v>
      </c>
      <c r="P58" s="415" t="s">
        <v>576</v>
      </c>
      <c r="Q58" s="210">
        <v>6118</v>
      </c>
      <c r="R58" s="210">
        <v>10586.5</v>
      </c>
      <c r="S58" s="106">
        <f t="shared" si="67"/>
        <v>16704.5</v>
      </c>
      <c r="T58" s="178">
        <f t="shared" si="68"/>
        <v>9.2536281995622693E-2</v>
      </c>
      <c r="U58" s="415" t="s">
        <v>636</v>
      </c>
      <c r="V58" s="210"/>
      <c r="W58" s="210"/>
      <c r="X58" s="106">
        <f t="shared" si="69"/>
        <v>0</v>
      </c>
      <c r="Y58" s="178">
        <f t="shared" si="70"/>
        <v>0</v>
      </c>
      <c r="Z58" s="415"/>
      <c r="AA58" s="210"/>
      <c r="AB58" s="210"/>
      <c r="AC58" s="106">
        <f t="shared" si="71"/>
        <v>0</v>
      </c>
      <c r="AD58" s="178">
        <f t="shared" si="58"/>
        <v>0</v>
      </c>
      <c r="AE58" s="736"/>
      <c r="AF58" s="669"/>
      <c r="AG58" s="453"/>
      <c r="AH58" s="446">
        <f t="shared" si="72"/>
        <v>0</v>
      </c>
      <c r="AI58" s="450">
        <f t="shared" si="59"/>
        <v>0</v>
      </c>
      <c r="AJ58" s="518"/>
      <c r="AK58" s="669"/>
      <c r="AL58" s="453"/>
      <c r="AM58" s="446">
        <f t="shared" si="73"/>
        <v>0</v>
      </c>
      <c r="AN58" s="450">
        <f t="shared" si="60"/>
        <v>0</v>
      </c>
      <c r="AO58" s="518"/>
      <c r="AP58" s="669"/>
      <c r="AQ58" s="453"/>
      <c r="AR58" s="446">
        <f t="shared" si="74"/>
        <v>0</v>
      </c>
      <c r="AS58" s="450">
        <f t="shared" si="5"/>
        <v>0</v>
      </c>
      <c r="AT58" s="518"/>
      <c r="AU58" s="669"/>
      <c r="AV58" s="453"/>
      <c r="AW58" s="446">
        <f t="shared" si="75"/>
        <v>0</v>
      </c>
      <c r="AX58" s="450">
        <f t="shared" si="61"/>
        <v>0</v>
      </c>
      <c r="AY58" s="518"/>
      <c r="AZ58" s="669"/>
      <c r="BA58" s="453"/>
      <c r="BB58" s="446">
        <f t="shared" si="76"/>
        <v>0</v>
      </c>
      <c r="BC58" s="450">
        <f t="shared" si="62"/>
        <v>0</v>
      </c>
      <c r="BD58" s="518"/>
      <c r="BE58" s="1479"/>
      <c r="BF58" s="1552"/>
      <c r="BG58" s="1480">
        <f t="shared" si="77"/>
        <v>0</v>
      </c>
      <c r="BH58" s="1877">
        <f t="shared" si="8"/>
        <v>0</v>
      </c>
      <c r="BI58" s="1881"/>
      <c r="BJ58" s="39">
        <f t="shared" si="78"/>
        <v>12236</v>
      </c>
      <c r="BK58" s="39">
        <f t="shared" si="79"/>
        <v>21968.5</v>
      </c>
      <c r="BL58" s="106">
        <f t="shared" si="80"/>
        <v>34204.5</v>
      </c>
      <c r="BM58" s="178">
        <f t="shared" si="56"/>
        <v>7.4303281080807332E-2</v>
      </c>
      <c r="BN58" s="79"/>
    </row>
    <row r="59" spans="1:66" ht="13.8">
      <c r="A59" s="237"/>
      <c r="B59" s="615" t="s">
        <v>66</v>
      </c>
      <c r="C59" s="113"/>
      <c r="D59" s="128"/>
      <c r="E59" s="120">
        <f t="shared" si="63"/>
        <v>0</v>
      </c>
      <c r="F59" s="178" t="e">
        <f t="shared" si="81"/>
        <v>#DIV/0!</v>
      </c>
      <c r="G59" s="210"/>
      <c r="H59" s="210"/>
      <c r="I59" s="106">
        <f t="shared" si="64"/>
        <v>0</v>
      </c>
      <c r="J59" s="178">
        <f t="shared" si="57"/>
        <v>0</v>
      </c>
      <c r="K59" s="79"/>
      <c r="L59" s="210">
        <f>3344/2</f>
        <v>1672</v>
      </c>
      <c r="M59" s="210"/>
      <c r="N59" s="106">
        <f t="shared" si="65"/>
        <v>1672</v>
      </c>
      <c r="O59" s="178">
        <f t="shared" si="66"/>
        <v>1.1124818915093601E-2</v>
      </c>
      <c r="P59" s="259"/>
      <c r="Q59" s="210">
        <v>1482</v>
      </c>
      <c r="R59" s="210"/>
      <c r="S59" s="106">
        <f t="shared" si="67"/>
        <v>1482</v>
      </c>
      <c r="T59" s="178">
        <f t="shared" si="68"/>
        <v>8.209690198300628E-3</v>
      </c>
      <c r="U59" s="259"/>
      <c r="V59" s="210"/>
      <c r="W59" s="210"/>
      <c r="X59" s="106">
        <f t="shared" si="69"/>
        <v>0</v>
      </c>
      <c r="Y59" s="178">
        <f t="shared" si="70"/>
        <v>0</v>
      </c>
      <c r="Z59" s="259"/>
      <c r="AA59" s="210"/>
      <c r="AB59" s="210"/>
      <c r="AC59" s="106">
        <f t="shared" si="71"/>
        <v>0</v>
      </c>
      <c r="AD59" s="178">
        <f t="shared" si="58"/>
        <v>0</v>
      </c>
      <c r="AE59" s="731"/>
      <c r="AF59" s="669"/>
      <c r="AG59" s="453"/>
      <c r="AH59" s="446">
        <f t="shared" si="72"/>
        <v>0</v>
      </c>
      <c r="AI59" s="450">
        <f t="shared" si="59"/>
        <v>0</v>
      </c>
      <c r="AJ59" s="503"/>
      <c r="AK59" s="669"/>
      <c r="AL59" s="453"/>
      <c r="AM59" s="446">
        <f t="shared" si="73"/>
        <v>0</v>
      </c>
      <c r="AN59" s="450">
        <f t="shared" si="60"/>
        <v>0</v>
      </c>
      <c r="AO59" s="503"/>
      <c r="AP59" s="669"/>
      <c r="AQ59" s="453"/>
      <c r="AR59" s="446">
        <f t="shared" si="74"/>
        <v>0</v>
      </c>
      <c r="AS59" s="450">
        <f t="shared" si="5"/>
        <v>0</v>
      </c>
      <c r="AT59" s="503"/>
      <c r="AU59" s="669"/>
      <c r="AV59" s="453"/>
      <c r="AW59" s="446">
        <f t="shared" si="75"/>
        <v>0</v>
      </c>
      <c r="AX59" s="450">
        <f t="shared" si="61"/>
        <v>0</v>
      </c>
      <c r="AY59" s="503"/>
      <c r="AZ59" s="669"/>
      <c r="BA59" s="453"/>
      <c r="BB59" s="446">
        <f t="shared" si="76"/>
        <v>0</v>
      </c>
      <c r="BC59" s="450">
        <f t="shared" si="62"/>
        <v>0</v>
      </c>
      <c r="BD59" s="503"/>
      <c r="BE59" s="1479"/>
      <c r="BF59" s="1552"/>
      <c r="BG59" s="1480">
        <f t="shared" si="77"/>
        <v>0</v>
      </c>
      <c r="BH59" s="1877">
        <f t="shared" si="8"/>
        <v>0</v>
      </c>
      <c r="BI59" s="1880"/>
      <c r="BJ59" s="39">
        <f t="shared" si="78"/>
        <v>3154</v>
      </c>
      <c r="BK59" s="39">
        <f t="shared" si="79"/>
        <v>0</v>
      </c>
      <c r="BL59" s="106">
        <f t="shared" si="80"/>
        <v>3154</v>
      </c>
      <c r="BM59" s="178">
        <f t="shared" si="56"/>
        <v>6.8515121849132806E-3</v>
      </c>
      <c r="BN59" s="79"/>
    </row>
    <row r="60" spans="1:66" ht="13.8">
      <c r="A60" s="237"/>
      <c r="B60" s="615" t="s">
        <v>65</v>
      </c>
      <c r="C60" s="113"/>
      <c r="D60" s="128"/>
      <c r="E60" s="120">
        <f t="shared" si="63"/>
        <v>0</v>
      </c>
      <c r="F60" s="178" t="e">
        <f t="shared" si="81"/>
        <v>#DIV/0!</v>
      </c>
      <c r="G60" s="210"/>
      <c r="H60" s="210"/>
      <c r="I60" s="106">
        <f t="shared" si="64"/>
        <v>0</v>
      </c>
      <c r="J60" s="178">
        <f t="shared" si="57"/>
        <v>0</v>
      </c>
      <c r="K60" s="79"/>
      <c r="L60" s="210">
        <f>2964/2</f>
        <v>1482</v>
      </c>
      <c r="M60" s="210"/>
      <c r="N60" s="106">
        <f t="shared" si="65"/>
        <v>1482</v>
      </c>
      <c r="O60" s="178">
        <f t="shared" si="66"/>
        <v>9.8606349474693288E-3</v>
      </c>
      <c r="P60" s="259"/>
      <c r="Q60" s="210">
        <v>1672</v>
      </c>
      <c r="R60" s="210"/>
      <c r="S60" s="106">
        <f t="shared" si="67"/>
        <v>1672</v>
      </c>
      <c r="T60" s="178">
        <f t="shared" si="68"/>
        <v>9.2622145826981445E-3</v>
      </c>
      <c r="U60" s="259"/>
      <c r="V60" s="210"/>
      <c r="W60" s="210"/>
      <c r="X60" s="106">
        <f t="shared" si="69"/>
        <v>0</v>
      </c>
      <c r="Y60" s="178">
        <f t="shared" si="70"/>
        <v>0</v>
      </c>
      <c r="Z60" s="259"/>
      <c r="AA60" s="210"/>
      <c r="AB60" s="210"/>
      <c r="AC60" s="106">
        <f t="shared" si="71"/>
        <v>0</v>
      </c>
      <c r="AD60" s="178">
        <f t="shared" si="58"/>
        <v>0</v>
      </c>
      <c r="AE60" s="731"/>
      <c r="AF60" s="669"/>
      <c r="AG60" s="453"/>
      <c r="AH60" s="446">
        <f t="shared" si="72"/>
        <v>0</v>
      </c>
      <c r="AI60" s="450">
        <f t="shared" si="59"/>
        <v>0</v>
      </c>
      <c r="AJ60" s="503"/>
      <c r="AK60" s="669"/>
      <c r="AL60" s="453"/>
      <c r="AM60" s="446">
        <f t="shared" si="73"/>
        <v>0</v>
      </c>
      <c r="AN60" s="450">
        <f t="shared" si="60"/>
        <v>0</v>
      </c>
      <c r="AO60" s="503"/>
      <c r="AP60" s="669"/>
      <c r="AQ60" s="453"/>
      <c r="AR60" s="446">
        <f t="shared" si="74"/>
        <v>0</v>
      </c>
      <c r="AS60" s="450">
        <f t="shared" si="5"/>
        <v>0</v>
      </c>
      <c r="AT60" s="503"/>
      <c r="AU60" s="669"/>
      <c r="AV60" s="453"/>
      <c r="AW60" s="446">
        <f t="shared" si="75"/>
        <v>0</v>
      </c>
      <c r="AX60" s="450">
        <f t="shared" si="61"/>
        <v>0</v>
      </c>
      <c r="AY60" s="503"/>
      <c r="AZ60" s="669"/>
      <c r="BA60" s="453"/>
      <c r="BB60" s="446">
        <f t="shared" si="76"/>
        <v>0</v>
      </c>
      <c r="BC60" s="450">
        <f t="shared" si="62"/>
        <v>0</v>
      </c>
      <c r="BD60" s="503"/>
      <c r="BE60" s="1479"/>
      <c r="BF60" s="1552"/>
      <c r="BG60" s="1480">
        <f t="shared" si="77"/>
        <v>0</v>
      </c>
      <c r="BH60" s="1877">
        <f t="shared" si="8"/>
        <v>0</v>
      </c>
      <c r="BI60" s="1880"/>
      <c r="BJ60" s="39">
        <f t="shared" si="78"/>
        <v>3154</v>
      </c>
      <c r="BK60" s="39">
        <f t="shared" si="79"/>
        <v>0</v>
      </c>
      <c r="BL60" s="106">
        <f t="shared" si="80"/>
        <v>3154</v>
      </c>
      <c r="BM60" s="178">
        <f t="shared" si="56"/>
        <v>6.8515121849132806E-3</v>
      </c>
      <c r="BN60" s="79"/>
    </row>
    <row r="61" spans="1:66" ht="13.8">
      <c r="A61" s="237"/>
      <c r="B61" s="615" t="s">
        <v>32</v>
      </c>
      <c r="C61" s="113"/>
      <c r="D61" s="128"/>
      <c r="E61" s="120">
        <f t="shared" si="63"/>
        <v>0</v>
      </c>
      <c r="F61" s="178" t="e">
        <f t="shared" si="81"/>
        <v>#DIV/0!</v>
      </c>
      <c r="G61" s="210"/>
      <c r="H61" s="210"/>
      <c r="I61" s="106">
        <f t="shared" si="64"/>
        <v>0</v>
      </c>
      <c r="J61" s="178">
        <f t="shared" si="57"/>
        <v>0</v>
      </c>
      <c r="K61" s="79"/>
      <c r="L61" s="210"/>
      <c r="M61" s="210"/>
      <c r="N61" s="106">
        <f t="shared" si="65"/>
        <v>0</v>
      </c>
      <c r="O61" s="178">
        <f t="shared" si="66"/>
        <v>0</v>
      </c>
      <c r="P61" s="259"/>
      <c r="Q61" s="210"/>
      <c r="R61" s="210"/>
      <c r="S61" s="106">
        <f t="shared" si="67"/>
        <v>0</v>
      </c>
      <c r="T61" s="178">
        <f t="shared" si="68"/>
        <v>0</v>
      </c>
      <c r="U61" s="259"/>
      <c r="V61" s="210"/>
      <c r="W61" s="210"/>
      <c r="X61" s="106">
        <f t="shared" si="69"/>
        <v>0</v>
      </c>
      <c r="Y61" s="178">
        <f t="shared" si="70"/>
        <v>0</v>
      </c>
      <c r="Z61" s="259"/>
      <c r="AA61" s="210"/>
      <c r="AB61" s="210"/>
      <c r="AC61" s="106">
        <f t="shared" si="71"/>
        <v>0</v>
      </c>
      <c r="AD61" s="178">
        <f t="shared" si="58"/>
        <v>0</v>
      </c>
      <c r="AE61" s="731"/>
      <c r="AF61" s="669"/>
      <c r="AG61" s="453"/>
      <c r="AH61" s="446">
        <f t="shared" si="72"/>
        <v>0</v>
      </c>
      <c r="AI61" s="450">
        <f t="shared" si="59"/>
        <v>0</v>
      </c>
      <c r="AJ61" s="503"/>
      <c r="AK61" s="669"/>
      <c r="AL61" s="453"/>
      <c r="AM61" s="446">
        <f t="shared" si="73"/>
        <v>0</v>
      </c>
      <c r="AN61" s="450">
        <f t="shared" si="60"/>
        <v>0</v>
      </c>
      <c r="AO61" s="503"/>
      <c r="AP61" s="669"/>
      <c r="AQ61" s="453"/>
      <c r="AR61" s="446">
        <f t="shared" si="74"/>
        <v>0</v>
      </c>
      <c r="AS61" s="450">
        <f t="shared" si="5"/>
        <v>0</v>
      </c>
      <c r="AT61" s="503"/>
      <c r="AU61" s="669"/>
      <c r="AV61" s="453"/>
      <c r="AW61" s="446">
        <f t="shared" si="75"/>
        <v>0</v>
      </c>
      <c r="AX61" s="450">
        <f t="shared" si="61"/>
        <v>0</v>
      </c>
      <c r="AY61" s="503"/>
      <c r="AZ61" s="669"/>
      <c r="BA61" s="453"/>
      <c r="BB61" s="446">
        <f t="shared" si="76"/>
        <v>0</v>
      </c>
      <c r="BC61" s="450">
        <f t="shared" si="62"/>
        <v>0</v>
      </c>
      <c r="BD61" s="503"/>
      <c r="BE61" s="1479"/>
      <c r="BF61" s="1552"/>
      <c r="BG61" s="1480">
        <f t="shared" si="77"/>
        <v>0</v>
      </c>
      <c r="BH61" s="1877">
        <f t="shared" si="8"/>
        <v>0</v>
      </c>
      <c r="BI61" s="1880"/>
      <c r="BJ61" s="39">
        <f t="shared" si="78"/>
        <v>0</v>
      </c>
      <c r="BK61" s="39">
        <f t="shared" si="79"/>
        <v>0</v>
      </c>
      <c r="BL61" s="106">
        <f t="shared" si="80"/>
        <v>0</v>
      </c>
      <c r="BM61" s="178">
        <f t="shared" si="56"/>
        <v>0</v>
      </c>
      <c r="BN61" s="79"/>
    </row>
    <row r="62" spans="1:66" ht="13.8">
      <c r="A62" s="237"/>
      <c r="B62" s="615" t="s">
        <v>33</v>
      </c>
      <c r="C62" s="129"/>
      <c r="D62" s="128"/>
      <c r="E62" s="120">
        <f t="shared" si="63"/>
        <v>0</v>
      </c>
      <c r="F62" s="178" t="e">
        <f t="shared" si="81"/>
        <v>#DIV/0!</v>
      </c>
      <c r="G62" s="210"/>
      <c r="H62" s="210"/>
      <c r="I62" s="106">
        <f t="shared" si="64"/>
        <v>0</v>
      </c>
      <c r="J62" s="178">
        <f t="shared" si="57"/>
        <v>0</v>
      </c>
      <c r="K62" s="79"/>
      <c r="L62" s="210"/>
      <c r="M62" s="210"/>
      <c r="N62" s="106">
        <f t="shared" si="65"/>
        <v>0</v>
      </c>
      <c r="O62" s="178">
        <f t="shared" si="66"/>
        <v>0</v>
      </c>
      <c r="P62" s="259"/>
      <c r="Q62" s="210"/>
      <c r="R62" s="210"/>
      <c r="S62" s="106">
        <f t="shared" si="67"/>
        <v>0</v>
      </c>
      <c r="T62" s="178">
        <f t="shared" si="68"/>
        <v>0</v>
      </c>
      <c r="U62" s="259"/>
      <c r="V62" s="210"/>
      <c r="W62" s="210"/>
      <c r="X62" s="106">
        <f t="shared" si="69"/>
        <v>0</v>
      </c>
      <c r="Y62" s="178">
        <f t="shared" si="70"/>
        <v>0</v>
      </c>
      <c r="Z62" s="259"/>
      <c r="AA62" s="210"/>
      <c r="AB62" s="210"/>
      <c r="AC62" s="106">
        <f t="shared" si="71"/>
        <v>0</v>
      </c>
      <c r="AD62" s="178">
        <f t="shared" si="58"/>
        <v>0</v>
      </c>
      <c r="AE62" s="731"/>
      <c r="AF62" s="669"/>
      <c r="AG62" s="453"/>
      <c r="AH62" s="446">
        <f t="shared" si="72"/>
        <v>0</v>
      </c>
      <c r="AI62" s="450">
        <f t="shared" si="59"/>
        <v>0</v>
      </c>
      <c r="AJ62" s="503"/>
      <c r="AK62" s="669"/>
      <c r="AL62" s="453"/>
      <c r="AM62" s="446">
        <f t="shared" si="73"/>
        <v>0</v>
      </c>
      <c r="AN62" s="450">
        <f t="shared" si="60"/>
        <v>0</v>
      </c>
      <c r="AO62" s="503"/>
      <c r="AP62" s="669"/>
      <c r="AQ62" s="453"/>
      <c r="AR62" s="446">
        <f t="shared" si="74"/>
        <v>0</v>
      </c>
      <c r="AS62" s="450">
        <f t="shared" si="5"/>
        <v>0</v>
      </c>
      <c r="AT62" s="503"/>
      <c r="AU62" s="669"/>
      <c r="AV62" s="453"/>
      <c r="AW62" s="446">
        <f t="shared" si="75"/>
        <v>0</v>
      </c>
      <c r="AX62" s="450">
        <f t="shared" si="61"/>
        <v>0</v>
      </c>
      <c r="AY62" s="503"/>
      <c r="AZ62" s="669"/>
      <c r="BA62" s="453"/>
      <c r="BB62" s="446">
        <f t="shared" si="76"/>
        <v>0</v>
      </c>
      <c r="BC62" s="450">
        <f t="shared" si="62"/>
        <v>0</v>
      </c>
      <c r="BD62" s="503"/>
      <c r="BE62" s="1479"/>
      <c r="BF62" s="1552"/>
      <c r="BG62" s="1480">
        <f t="shared" si="77"/>
        <v>0</v>
      </c>
      <c r="BH62" s="1877">
        <f t="shared" si="8"/>
        <v>0</v>
      </c>
      <c r="BI62" s="1880"/>
      <c r="BJ62" s="39">
        <f t="shared" si="78"/>
        <v>0</v>
      </c>
      <c r="BK62" s="39">
        <f t="shared" si="79"/>
        <v>0</v>
      </c>
      <c r="BL62" s="106">
        <f t="shared" si="80"/>
        <v>0</v>
      </c>
      <c r="BM62" s="178">
        <f t="shared" si="56"/>
        <v>0</v>
      </c>
      <c r="BN62" s="79"/>
    </row>
    <row r="63" spans="1:66" ht="13.8">
      <c r="A63" s="237"/>
      <c r="B63" s="615" t="s">
        <v>35</v>
      </c>
      <c r="C63" s="129"/>
      <c r="D63" s="128"/>
      <c r="E63" s="120">
        <f t="shared" si="63"/>
        <v>0</v>
      </c>
      <c r="F63" s="178" t="e">
        <f t="shared" si="81"/>
        <v>#DIV/0!</v>
      </c>
      <c r="G63" s="210"/>
      <c r="H63" s="210"/>
      <c r="I63" s="106">
        <f t="shared" si="64"/>
        <v>0</v>
      </c>
      <c r="J63" s="178">
        <f t="shared" si="57"/>
        <v>0</v>
      </c>
      <c r="K63" s="79"/>
      <c r="L63" s="39">
        <f>4281.52/2</f>
        <v>2140.7600000000002</v>
      </c>
      <c r="M63" s="210"/>
      <c r="N63" s="106">
        <f t="shared" si="65"/>
        <v>2140.7600000000002</v>
      </c>
      <c r="O63" s="178">
        <f t="shared" si="66"/>
        <v>1.4243760371217572E-2</v>
      </c>
      <c r="P63" s="415" t="s">
        <v>576</v>
      </c>
      <c r="Q63" s="39"/>
      <c r="R63" s="210"/>
      <c r="S63" s="106">
        <f t="shared" si="67"/>
        <v>0</v>
      </c>
      <c r="T63" s="178">
        <f t="shared" si="68"/>
        <v>0</v>
      </c>
      <c r="U63" s="415"/>
      <c r="V63" s="39"/>
      <c r="W63" s="210"/>
      <c r="X63" s="106">
        <f t="shared" si="69"/>
        <v>0</v>
      </c>
      <c r="Y63" s="178">
        <f t="shared" si="70"/>
        <v>0</v>
      </c>
      <c r="Z63" s="415"/>
      <c r="AA63" s="39"/>
      <c r="AB63" s="210"/>
      <c r="AC63" s="106">
        <f t="shared" si="71"/>
        <v>0</v>
      </c>
      <c r="AD63" s="178">
        <f t="shared" si="58"/>
        <v>0</v>
      </c>
      <c r="AE63" s="736"/>
      <c r="AF63" s="560"/>
      <c r="AG63" s="453"/>
      <c r="AH63" s="446">
        <f t="shared" si="72"/>
        <v>0</v>
      </c>
      <c r="AI63" s="450">
        <f t="shared" si="59"/>
        <v>0</v>
      </c>
      <c r="AJ63" s="518"/>
      <c r="AK63" s="560"/>
      <c r="AL63" s="453"/>
      <c r="AM63" s="446">
        <f t="shared" si="73"/>
        <v>0</v>
      </c>
      <c r="AN63" s="450">
        <f t="shared" si="60"/>
        <v>0</v>
      </c>
      <c r="AO63" s="518"/>
      <c r="AP63" s="560"/>
      <c r="AQ63" s="453"/>
      <c r="AR63" s="446">
        <f t="shared" si="74"/>
        <v>0</v>
      </c>
      <c r="AS63" s="450">
        <f t="shared" si="5"/>
        <v>0</v>
      </c>
      <c r="AT63" s="518"/>
      <c r="AU63" s="560"/>
      <c r="AV63" s="453"/>
      <c r="AW63" s="446">
        <f t="shared" si="75"/>
        <v>0</v>
      </c>
      <c r="AX63" s="450">
        <f t="shared" si="61"/>
        <v>0</v>
      </c>
      <c r="AY63" s="518"/>
      <c r="AZ63" s="560"/>
      <c r="BA63" s="453"/>
      <c r="BB63" s="446">
        <f t="shared" si="76"/>
        <v>0</v>
      </c>
      <c r="BC63" s="450">
        <f t="shared" si="62"/>
        <v>0</v>
      </c>
      <c r="BD63" s="518"/>
      <c r="BE63" s="1644"/>
      <c r="BF63" s="1552"/>
      <c r="BG63" s="1480">
        <f t="shared" si="77"/>
        <v>0</v>
      </c>
      <c r="BH63" s="1877">
        <f t="shared" si="8"/>
        <v>0</v>
      </c>
      <c r="BI63" s="1881"/>
      <c r="BJ63" s="39">
        <f t="shared" si="78"/>
        <v>2140.7600000000002</v>
      </c>
      <c r="BK63" s="39">
        <f t="shared" si="79"/>
        <v>0</v>
      </c>
      <c r="BL63" s="106">
        <f t="shared" si="80"/>
        <v>2140.7600000000002</v>
      </c>
      <c r="BM63" s="178">
        <f t="shared" si="56"/>
        <v>4.65042587982719E-3</v>
      </c>
      <c r="BN63" s="79"/>
    </row>
    <row r="64" spans="1:66" ht="13.8">
      <c r="A64" s="237"/>
      <c r="B64" s="615" t="s">
        <v>63</v>
      </c>
      <c r="C64" s="129"/>
      <c r="D64" s="128"/>
      <c r="E64" s="120">
        <f t="shared" si="63"/>
        <v>0</v>
      </c>
      <c r="F64" s="178" t="e">
        <f t="shared" si="81"/>
        <v>#DIV/0!</v>
      </c>
      <c r="G64" s="210"/>
      <c r="H64" s="210"/>
      <c r="I64" s="106">
        <f t="shared" si="64"/>
        <v>0</v>
      </c>
      <c r="J64" s="178">
        <f t="shared" si="57"/>
        <v>0</v>
      </c>
      <c r="K64" s="79"/>
      <c r="L64" s="210"/>
      <c r="M64" s="210"/>
      <c r="N64" s="106">
        <f t="shared" si="65"/>
        <v>0</v>
      </c>
      <c r="O64" s="178">
        <f t="shared" si="66"/>
        <v>0</v>
      </c>
      <c r="P64" s="259"/>
      <c r="Q64" s="210"/>
      <c r="R64" s="210"/>
      <c r="S64" s="106">
        <f t="shared" si="67"/>
        <v>0</v>
      </c>
      <c r="T64" s="178">
        <f t="shared" si="68"/>
        <v>0</v>
      </c>
      <c r="U64" s="259"/>
      <c r="V64" s="210"/>
      <c r="W64" s="210"/>
      <c r="X64" s="106">
        <f t="shared" si="69"/>
        <v>0</v>
      </c>
      <c r="Y64" s="178">
        <f t="shared" si="70"/>
        <v>0</v>
      </c>
      <c r="Z64" s="259"/>
      <c r="AA64" s="210"/>
      <c r="AB64" s="210"/>
      <c r="AC64" s="106">
        <f t="shared" si="71"/>
        <v>0</v>
      </c>
      <c r="AD64" s="178">
        <f t="shared" si="58"/>
        <v>0</v>
      </c>
      <c r="AE64" s="731"/>
      <c r="AF64" s="669"/>
      <c r="AG64" s="453"/>
      <c r="AH64" s="446">
        <f t="shared" si="72"/>
        <v>0</v>
      </c>
      <c r="AI64" s="450">
        <f t="shared" si="59"/>
        <v>0</v>
      </c>
      <c r="AJ64" s="503"/>
      <c r="AK64" s="669"/>
      <c r="AL64" s="453"/>
      <c r="AM64" s="446">
        <f t="shared" si="73"/>
        <v>0</v>
      </c>
      <c r="AN64" s="450">
        <f t="shared" si="60"/>
        <v>0</v>
      </c>
      <c r="AO64" s="503"/>
      <c r="AP64" s="669"/>
      <c r="AQ64" s="453"/>
      <c r="AR64" s="446">
        <f t="shared" si="74"/>
        <v>0</v>
      </c>
      <c r="AS64" s="450">
        <f t="shared" si="5"/>
        <v>0</v>
      </c>
      <c r="AT64" s="503"/>
      <c r="AU64" s="669"/>
      <c r="AV64" s="453"/>
      <c r="AW64" s="446">
        <f t="shared" si="75"/>
        <v>0</v>
      </c>
      <c r="AX64" s="450">
        <f t="shared" si="61"/>
        <v>0</v>
      </c>
      <c r="AY64" s="503"/>
      <c r="AZ64" s="669"/>
      <c r="BA64" s="453"/>
      <c r="BB64" s="446">
        <f t="shared" si="76"/>
        <v>0</v>
      </c>
      <c r="BC64" s="450">
        <f t="shared" si="62"/>
        <v>0</v>
      </c>
      <c r="BD64" s="503"/>
      <c r="BE64" s="1479"/>
      <c r="BF64" s="1552"/>
      <c r="BG64" s="1480">
        <f t="shared" si="77"/>
        <v>0</v>
      </c>
      <c r="BH64" s="1877">
        <f t="shared" si="8"/>
        <v>0</v>
      </c>
      <c r="BI64" s="1880"/>
      <c r="BJ64" s="39">
        <f t="shared" si="78"/>
        <v>0</v>
      </c>
      <c r="BK64" s="39">
        <f t="shared" si="79"/>
        <v>0</v>
      </c>
      <c r="BL64" s="106">
        <f t="shared" si="80"/>
        <v>0</v>
      </c>
      <c r="BM64" s="178">
        <f t="shared" si="56"/>
        <v>0</v>
      </c>
      <c r="BN64" s="79"/>
    </row>
    <row r="65" spans="1:66" ht="27.6">
      <c r="A65" s="237"/>
      <c r="B65" s="615" t="s">
        <v>36</v>
      </c>
      <c r="C65" s="129"/>
      <c r="D65" s="128"/>
      <c r="E65" s="120">
        <f t="shared" si="63"/>
        <v>0</v>
      </c>
      <c r="F65" s="178" t="e">
        <f t="shared" si="81"/>
        <v>#DIV/0!</v>
      </c>
      <c r="G65" s="39"/>
      <c r="H65" s="39"/>
      <c r="I65" s="106">
        <f t="shared" si="64"/>
        <v>0</v>
      </c>
      <c r="J65" s="178">
        <f>I65/$I$89</f>
        <v>0</v>
      </c>
      <c r="K65" s="79"/>
      <c r="L65" s="39"/>
      <c r="M65" s="39"/>
      <c r="N65" s="106">
        <f t="shared" si="65"/>
        <v>0</v>
      </c>
      <c r="O65" s="178">
        <f t="shared" si="66"/>
        <v>0</v>
      </c>
      <c r="P65" s="259"/>
      <c r="Q65" s="39"/>
      <c r="R65" s="39"/>
      <c r="S65" s="106">
        <f t="shared" si="67"/>
        <v>0</v>
      </c>
      <c r="T65" s="178">
        <f t="shared" si="68"/>
        <v>0</v>
      </c>
      <c r="U65" s="259"/>
      <c r="V65" s="39"/>
      <c r="W65" s="39"/>
      <c r="X65" s="106">
        <f t="shared" si="69"/>
        <v>0</v>
      </c>
      <c r="Y65" s="178">
        <f t="shared" si="70"/>
        <v>0</v>
      </c>
      <c r="Z65" s="259"/>
      <c r="AA65" s="39"/>
      <c r="AB65" s="39"/>
      <c r="AC65" s="106">
        <f t="shared" si="71"/>
        <v>0</v>
      </c>
      <c r="AD65" s="178">
        <f t="shared" si="58"/>
        <v>0</v>
      </c>
      <c r="AE65" s="731"/>
      <c r="AF65" s="560"/>
      <c r="AG65" s="452"/>
      <c r="AH65" s="446">
        <f t="shared" si="72"/>
        <v>0</v>
      </c>
      <c r="AI65" s="450">
        <f t="shared" si="59"/>
        <v>0</v>
      </c>
      <c r="AJ65" s="503"/>
      <c r="AK65" s="560"/>
      <c r="AL65" s="452"/>
      <c r="AM65" s="446">
        <f t="shared" si="73"/>
        <v>0</v>
      </c>
      <c r="AN65" s="450">
        <f t="shared" si="60"/>
        <v>0</v>
      </c>
      <c r="AO65" s="503"/>
      <c r="AP65" s="560"/>
      <c r="AQ65" s="452"/>
      <c r="AR65" s="446">
        <f t="shared" si="74"/>
        <v>0</v>
      </c>
      <c r="AS65" s="450">
        <f t="shared" si="5"/>
        <v>0</v>
      </c>
      <c r="AT65" s="503"/>
      <c r="AU65" s="560"/>
      <c r="AV65" s="452"/>
      <c r="AW65" s="446">
        <f t="shared" si="75"/>
        <v>0</v>
      </c>
      <c r="AX65" s="450">
        <f t="shared" si="61"/>
        <v>0</v>
      </c>
      <c r="AY65" s="503"/>
      <c r="AZ65" s="560"/>
      <c r="BA65" s="452"/>
      <c r="BB65" s="446">
        <f t="shared" si="76"/>
        <v>0</v>
      </c>
      <c r="BC65" s="450">
        <f t="shared" si="62"/>
        <v>0</v>
      </c>
      <c r="BD65" s="503"/>
      <c r="BE65" s="1644"/>
      <c r="BF65" s="1432"/>
      <c r="BG65" s="1480">
        <f t="shared" si="77"/>
        <v>0</v>
      </c>
      <c r="BH65" s="1877">
        <f t="shared" si="8"/>
        <v>0</v>
      </c>
      <c r="BI65" s="1880"/>
      <c r="BJ65" s="39">
        <f t="shared" si="78"/>
        <v>0</v>
      </c>
      <c r="BK65" s="39">
        <f t="shared" si="79"/>
        <v>0</v>
      </c>
      <c r="BL65" s="106">
        <f t="shared" si="80"/>
        <v>0</v>
      </c>
      <c r="BM65" s="178">
        <f t="shared" si="56"/>
        <v>0</v>
      </c>
      <c r="BN65" s="79"/>
    </row>
    <row r="66" spans="1:66" s="2" customFormat="1" ht="13.8">
      <c r="A66" s="237"/>
      <c r="B66" s="615" t="s">
        <v>37</v>
      </c>
      <c r="C66" s="129"/>
      <c r="D66" s="128"/>
      <c r="E66" s="120">
        <f t="shared" si="63"/>
        <v>0</v>
      </c>
      <c r="F66" s="178" t="e">
        <f t="shared" si="81"/>
        <v>#DIV/0!</v>
      </c>
      <c r="G66" s="39"/>
      <c r="H66" s="39"/>
      <c r="I66" s="106">
        <f t="shared" si="64"/>
        <v>0</v>
      </c>
      <c r="J66" s="178">
        <f t="shared" si="57"/>
        <v>0</v>
      </c>
      <c r="K66" s="79"/>
      <c r="L66" s="39"/>
      <c r="M66" s="39"/>
      <c r="N66" s="106">
        <f t="shared" si="65"/>
        <v>0</v>
      </c>
      <c r="O66" s="178">
        <f t="shared" si="66"/>
        <v>0</v>
      </c>
      <c r="P66" s="259"/>
      <c r="Q66" s="39"/>
      <c r="R66" s="39"/>
      <c r="S66" s="106">
        <f t="shared" si="67"/>
        <v>0</v>
      </c>
      <c r="T66" s="178">
        <f t="shared" si="68"/>
        <v>0</v>
      </c>
      <c r="U66" s="259"/>
      <c r="V66" s="39"/>
      <c r="W66" s="39"/>
      <c r="X66" s="106">
        <f t="shared" si="69"/>
        <v>0</v>
      </c>
      <c r="Y66" s="178">
        <f t="shared" si="70"/>
        <v>0</v>
      </c>
      <c r="Z66" s="259"/>
      <c r="AA66" s="39"/>
      <c r="AB66" s="39"/>
      <c r="AC66" s="106">
        <f t="shared" si="71"/>
        <v>0</v>
      </c>
      <c r="AD66" s="178">
        <f t="shared" si="58"/>
        <v>0</v>
      </c>
      <c r="AE66" s="731"/>
      <c r="AF66" s="560"/>
      <c r="AG66" s="452"/>
      <c r="AH66" s="446">
        <f t="shared" si="72"/>
        <v>0</v>
      </c>
      <c r="AI66" s="450">
        <f t="shared" si="59"/>
        <v>0</v>
      </c>
      <c r="AJ66" s="503"/>
      <c r="AK66" s="560"/>
      <c r="AL66" s="452"/>
      <c r="AM66" s="446">
        <f t="shared" si="73"/>
        <v>0</v>
      </c>
      <c r="AN66" s="450">
        <f t="shared" si="60"/>
        <v>0</v>
      </c>
      <c r="AO66" s="503"/>
      <c r="AP66" s="560"/>
      <c r="AQ66" s="452"/>
      <c r="AR66" s="446">
        <f t="shared" si="74"/>
        <v>0</v>
      </c>
      <c r="AS66" s="450">
        <f t="shared" si="5"/>
        <v>0</v>
      </c>
      <c r="AT66" s="503"/>
      <c r="AU66" s="560"/>
      <c r="AV66" s="452"/>
      <c r="AW66" s="446">
        <f t="shared" si="75"/>
        <v>0</v>
      </c>
      <c r="AX66" s="450">
        <f t="shared" si="61"/>
        <v>0</v>
      </c>
      <c r="AY66" s="503"/>
      <c r="AZ66" s="560"/>
      <c r="BA66" s="452"/>
      <c r="BB66" s="446">
        <f t="shared" si="76"/>
        <v>0</v>
      </c>
      <c r="BC66" s="450">
        <f t="shared" si="62"/>
        <v>0</v>
      </c>
      <c r="BD66" s="503"/>
      <c r="BE66" s="1644"/>
      <c r="BF66" s="1432"/>
      <c r="BG66" s="1480">
        <f t="shared" si="77"/>
        <v>0</v>
      </c>
      <c r="BH66" s="1877">
        <f t="shared" si="8"/>
        <v>0</v>
      </c>
      <c r="BI66" s="1880"/>
      <c r="BJ66" s="39">
        <f t="shared" si="78"/>
        <v>0</v>
      </c>
      <c r="BK66" s="39">
        <f t="shared" si="79"/>
        <v>0</v>
      </c>
      <c r="BL66" s="106">
        <f t="shared" si="80"/>
        <v>0</v>
      </c>
      <c r="BM66" s="178">
        <f t="shared" si="56"/>
        <v>0</v>
      </c>
      <c r="BN66" s="79"/>
    </row>
    <row r="67" spans="1:66" s="2" customFormat="1" ht="13.8">
      <c r="A67" s="237"/>
      <c r="B67" s="615" t="s">
        <v>3</v>
      </c>
      <c r="C67" s="129"/>
      <c r="D67" s="128"/>
      <c r="E67" s="120">
        <f t="shared" si="63"/>
        <v>0</v>
      </c>
      <c r="F67" s="178" t="e">
        <f t="shared" si="81"/>
        <v>#DIV/0!</v>
      </c>
      <c r="G67" s="39">
        <v>700</v>
      </c>
      <c r="H67" s="39"/>
      <c r="I67" s="106">
        <f t="shared" si="64"/>
        <v>700</v>
      </c>
      <c r="J67" s="178">
        <f t="shared" si="57"/>
        <v>1.5165613429340448E-2</v>
      </c>
      <c r="K67" s="79" t="s">
        <v>535</v>
      </c>
      <c r="L67" s="39"/>
      <c r="M67" s="39"/>
      <c r="N67" s="106">
        <f t="shared" si="65"/>
        <v>0</v>
      </c>
      <c r="O67" s="178">
        <f t="shared" si="66"/>
        <v>0</v>
      </c>
      <c r="P67" s="259"/>
      <c r="Q67" s="39"/>
      <c r="R67" s="39"/>
      <c r="S67" s="106">
        <f t="shared" si="67"/>
        <v>0</v>
      </c>
      <c r="T67" s="178">
        <f t="shared" si="68"/>
        <v>0</v>
      </c>
      <c r="U67" s="259"/>
      <c r="V67" s="39"/>
      <c r="W67" s="39"/>
      <c r="X67" s="106">
        <f t="shared" si="69"/>
        <v>0</v>
      </c>
      <c r="Y67" s="178">
        <f t="shared" si="70"/>
        <v>0</v>
      </c>
      <c r="Z67" s="259"/>
      <c r="AA67" s="39"/>
      <c r="AB67" s="39"/>
      <c r="AC67" s="106">
        <f t="shared" si="71"/>
        <v>0</v>
      </c>
      <c r="AD67" s="178">
        <f t="shared" si="58"/>
        <v>0</v>
      </c>
      <c r="AE67" s="731"/>
      <c r="AF67" s="560"/>
      <c r="AG67" s="452"/>
      <c r="AH67" s="446">
        <f t="shared" si="72"/>
        <v>0</v>
      </c>
      <c r="AI67" s="450">
        <f t="shared" si="59"/>
        <v>0</v>
      </c>
      <c r="AJ67" s="503"/>
      <c r="AK67" s="560"/>
      <c r="AL67" s="452"/>
      <c r="AM67" s="446">
        <f t="shared" si="73"/>
        <v>0</v>
      </c>
      <c r="AN67" s="450">
        <f t="shared" si="60"/>
        <v>0</v>
      </c>
      <c r="AO67" s="503"/>
      <c r="AP67" s="560"/>
      <c r="AQ67" s="452"/>
      <c r="AR67" s="446">
        <f t="shared" si="74"/>
        <v>0</v>
      </c>
      <c r="AS67" s="450">
        <f t="shared" si="5"/>
        <v>0</v>
      </c>
      <c r="AT67" s="503"/>
      <c r="AU67" s="560"/>
      <c r="AV67" s="452"/>
      <c r="AW67" s="446">
        <f t="shared" si="75"/>
        <v>0</v>
      </c>
      <c r="AX67" s="450">
        <f t="shared" si="61"/>
        <v>0</v>
      </c>
      <c r="AY67" s="503"/>
      <c r="AZ67" s="560"/>
      <c r="BA67" s="452"/>
      <c r="BB67" s="446">
        <f t="shared" si="76"/>
        <v>0</v>
      </c>
      <c r="BC67" s="450">
        <f t="shared" si="62"/>
        <v>0</v>
      </c>
      <c r="BD67" s="503"/>
      <c r="BE67" s="1644"/>
      <c r="BF67" s="1432"/>
      <c r="BG67" s="1480">
        <f t="shared" si="77"/>
        <v>0</v>
      </c>
      <c r="BH67" s="1877">
        <f t="shared" si="8"/>
        <v>0</v>
      </c>
      <c r="BI67" s="1880"/>
      <c r="BJ67" s="39">
        <f t="shared" si="78"/>
        <v>700</v>
      </c>
      <c r="BK67" s="39">
        <f t="shared" si="79"/>
        <v>0</v>
      </c>
      <c r="BL67" s="106">
        <f t="shared" si="80"/>
        <v>700</v>
      </c>
      <c r="BM67" s="178">
        <f t="shared" si="56"/>
        <v>1.5206273080023134E-3</v>
      </c>
      <c r="BN67" s="79"/>
    </row>
    <row r="68" spans="1:66" s="2" customFormat="1" ht="13.8">
      <c r="A68" s="237"/>
      <c r="B68" s="615" t="s">
        <v>5</v>
      </c>
      <c r="C68" s="129"/>
      <c r="D68" s="128"/>
      <c r="E68" s="120">
        <f t="shared" si="63"/>
        <v>0</v>
      </c>
      <c r="F68" s="178" t="e">
        <f t="shared" si="81"/>
        <v>#DIV/0!</v>
      </c>
      <c r="G68" s="39"/>
      <c r="H68" s="39">
        <v>21.1</v>
      </c>
      <c r="I68" s="106">
        <f t="shared" si="64"/>
        <v>21.1</v>
      </c>
      <c r="J68" s="178">
        <f t="shared" si="57"/>
        <v>4.5713491908440498E-4</v>
      </c>
      <c r="K68" s="79"/>
      <c r="L68" s="39"/>
      <c r="M68" s="39"/>
      <c r="N68" s="106">
        <f t="shared" si="65"/>
        <v>0</v>
      </c>
      <c r="O68" s="178">
        <f t="shared" si="66"/>
        <v>0</v>
      </c>
      <c r="P68" s="259"/>
      <c r="Q68" s="39"/>
      <c r="R68" s="39">
        <v>256.35000000000002</v>
      </c>
      <c r="S68" s="106">
        <f t="shared" si="67"/>
        <v>256.35000000000002</v>
      </c>
      <c r="T68" s="178">
        <f t="shared" si="68"/>
        <v>1.4200769786331755E-3</v>
      </c>
      <c r="U68" s="259"/>
      <c r="V68" s="39"/>
      <c r="W68" s="39"/>
      <c r="X68" s="106">
        <f t="shared" si="69"/>
        <v>0</v>
      </c>
      <c r="Y68" s="178">
        <f t="shared" si="70"/>
        <v>0</v>
      </c>
      <c r="Z68" s="259"/>
      <c r="AA68" s="39"/>
      <c r="AB68" s="39"/>
      <c r="AC68" s="106">
        <f t="shared" si="71"/>
        <v>0</v>
      </c>
      <c r="AD68" s="178">
        <f t="shared" si="58"/>
        <v>0</v>
      </c>
      <c r="AE68" s="731"/>
      <c r="AF68" s="560"/>
      <c r="AG68" s="452"/>
      <c r="AH68" s="446">
        <f t="shared" si="72"/>
        <v>0</v>
      </c>
      <c r="AI68" s="450">
        <f t="shared" si="59"/>
        <v>0</v>
      </c>
      <c r="AJ68" s="503"/>
      <c r="AK68" s="560"/>
      <c r="AL68" s="452"/>
      <c r="AM68" s="446">
        <f t="shared" si="73"/>
        <v>0</v>
      </c>
      <c r="AN68" s="450">
        <f t="shared" si="60"/>
        <v>0</v>
      </c>
      <c r="AO68" s="503"/>
      <c r="AP68" s="560"/>
      <c r="AQ68" s="452"/>
      <c r="AR68" s="446">
        <f t="shared" si="74"/>
        <v>0</v>
      </c>
      <c r="AS68" s="450">
        <f t="shared" si="5"/>
        <v>0</v>
      </c>
      <c r="AT68" s="503"/>
      <c r="AU68" s="560"/>
      <c r="AV68" s="452"/>
      <c r="AW68" s="446">
        <f t="shared" si="75"/>
        <v>0</v>
      </c>
      <c r="AX68" s="450">
        <f t="shared" si="61"/>
        <v>0</v>
      </c>
      <c r="AY68" s="503"/>
      <c r="AZ68" s="560"/>
      <c r="BA68" s="452"/>
      <c r="BB68" s="446">
        <f t="shared" si="76"/>
        <v>0</v>
      </c>
      <c r="BC68" s="450">
        <f t="shared" si="62"/>
        <v>0</v>
      </c>
      <c r="BD68" s="503"/>
      <c r="BE68" s="1644"/>
      <c r="BF68" s="1432"/>
      <c r="BG68" s="1480">
        <f t="shared" si="77"/>
        <v>0</v>
      </c>
      <c r="BH68" s="1877">
        <f t="shared" si="8"/>
        <v>0</v>
      </c>
      <c r="BI68" s="1880"/>
      <c r="BJ68" s="39">
        <f t="shared" si="78"/>
        <v>0</v>
      </c>
      <c r="BK68" s="39">
        <f t="shared" si="79"/>
        <v>277.45000000000005</v>
      </c>
      <c r="BL68" s="106">
        <f t="shared" si="80"/>
        <v>277.45000000000005</v>
      </c>
      <c r="BM68" s="178">
        <f t="shared" si="56"/>
        <v>6.0271149515034555E-4</v>
      </c>
      <c r="BN68" s="79"/>
    </row>
    <row r="69" spans="1:66" s="2" customFormat="1" ht="13.8">
      <c r="A69" s="237"/>
      <c r="B69" s="615" t="s">
        <v>42</v>
      </c>
      <c r="C69" s="129"/>
      <c r="D69" s="128"/>
      <c r="E69" s="120">
        <f t="shared" si="63"/>
        <v>0</v>
      </c>
      <c r="F69" s="178" t="e">
        <f t="shared" si="81"/>
        <v>#DIV/0!</v>
      </c>
      <c r="G69" s="39"/>
      <c r="H69" s="39"/>
      <c r="I69" s="106">
        <f t="shared" si="64"/>
        <v>0</v>
      </c>
      <c r="J69" s="178">
        <f t="shared" si="57"/>
        <v>0</v>
      </c>
      <c r="K69" s="79"/>
      <c r="L69" s="39">
        <v>5000</v>
      </c>
      <c r="M69" s="39"/>
      <c r="N69" s="106">
        <f t="shared" si="65"/>
        <v>5000</v>
      </c>
      <c r="O69" s="178">
        <f t="shared" si="66"/>
        <v>3.3267999148007182E-2</v>
      </c>
      <c r="P69" s="415" t="s">
        <v>554</v>
      </c>
      <c r="Q69" s="39"/>
      <c r="R69" s="39"/>
      <c r="S69" s="106">
        <f t="shared" si="67"/>
        <v>0</v>
      </c>
      <c r="T69" s="178">
        <f t="shared" si="68"/>
        <v>0</v>
      </c>
      <c r="U69" s="415"/>
      <c r="V69" s="39"/>
      <c r="W69" s="39"/>
      <c r="X69" s="106">
        <f t="shared" si="69"/>
        <v>0</v>
      </c>
      <c r="Y69" s="178">
        <f t="shared" si="70"/>
        <v>0</v>
      </c>
      <c r="Z69" s="415"/>
      <c r="AA69" s="39"/>
      <c r="AB69" s="39"/>
      <c r="AC69" s="106">
        <f t="shared" si="71"/>
        <v>0</v>
      </c>
      <c r="AD69" s="178">
        <f t="shared" si="58"/>
        <v>0</v>
      </c>
      <c r="AE69" s="736"/>
      <c r="AF69" s="560"/>
      <c r="AG69" s="452"/>
      <c r="AH69" s="446">
        <f t="shared" si="72"/>
        <v>0</v>
      </c>
      <c r="AI69" s="450">
        <f t="shared" si="59"/>
        <v>0</v>
      </c>
      <c r="AJ69" s="518"/>
      <c r="AK69" s="560"/>
      <c r="AL69" s="452"/>
      <c r="AM69" s="446">
        <f t="shared" si="73"/>
        <v>0</v>
      </c>
      <c r="AN69" s="450">
        <f t="shared" si="60"/>
        <v>0</v>
      </c>
      <c r="AO69" s="518"/>
      <c r="AP69" s="560"/>
      <c r="AQ69" s="452"/>
      <c r="AR69" s="446">
        <f t="shared" si="74"/>
        <v>0</v>
      </c>
      <c r="AS69" s="450">
        <f t="shared" si="5"/>
        <v>0</v>
      </c>
      <c r="AT69" s="518"/>
      <c r="AU69" s="560"/>
      <c r="AV69" s="452"/>
      <c r="AW69" s="446">
        <f t="shared" si="75"/>
        <v>0</v>
      </c>
      <c r="AX69" s="450">
        <f t="shared" si="61"/>
        <v>0</v>
      </c>
      <c r="AY69" s="518"/>
      <c r="AZ69" s="560"/>
      <c r="BA69" s="452"/>
      <c r="BB69" s="446">
        <f t="shared" si="76"/>
        <v>0</v>
      </c>
      <c r="BC69" s="450">
        <f t="shared" si="62"/>
        <v>0</v>
      </c>
      <c r="BD69" s="518"/>
      <c r="BE69" s="1644"/>
      <c r="BF69" s="1432"/>
      <c r="BG69" s="1480">
        <f t="shared" si="77"/>
        <v>0</v>
      </c>
      <c r="BH69" s="1877">
        <f t="shared" si="8"/>
        <v>0</v>
      </c>
      <c r="BI69" s="1881"/>
      <c r="BJ69" s="39">
        <f t="shared" si="78"/>
        <v>5000</v>
      </c>
      <c r="BK69" s="39">
        <f t="shared" si="79"/>
        <v>0</v>
      </c>
      <c r="BL69" s="106">
        <f t="shared" si="80"/>
        <v>5000</v>
      </c>
      <c r="BM69" s="178">
        <f t="shared" si="56"/>
        <v>1.0861623628587953E-2</v>
      </c>
      <c r="BN69" s="79"/>
    </row>
    <row r="70" spans="1:66" s="2" customFormat="1" ht="13.8">
      <c r="A70" s="237"/>
      <c r="B70" s="615" t="s">
        <v>6</v>
      </c>
      <c r="C70" s="129"/>
      <c r="D70" s="128"/>
      <c r="E70" s="120">
        <f t="shared" si="63"/>
        <v>0</v>
      </c>
      <c r="F70" s="178" t="e">
        <f t="shared" si="81"/>
        <v>#DIV/0!</v>
      </c>
      <c r="G70" s="39"/>
      <c r="H70" s="39"/>
      <c r="I70" s="106">
        <f t="shared" si="64"/>
        <v>0</v>
      </c>
      <c r="J70" s="178">
        <f t="shared" si="57"/>
        <v>0</v>
      </c>
      <c r="K70" s="79"/>
      <c r="L70" s="39"/>
      <c r="M70" s="39"/>
      <c r="N70" s="106">
        <f t="shared" si="65"/>
        <v>0</v>
      </c>
      <c r="O70" s="178">
        <f t="shared" si="66"/>
        <v>0</v>
      </c>
      <c r="P70" s="259"/>
      <c r="Q70" s="39"/>
      <c r="R70" s="39"/>
      <c r="S70" s="106">
        <f t="shared" si="67"/>
        <v>0</v>
      </c>
      <c r="T70" s="178">
        <f t="shared" si="68"/>
        <v>0</v>
      </c>
      <c r="U70" s="259"/>
      <c r="V70" s="39"/>
      <c r="W70" s="39"/>
      <c r="X70" s="106">
        <f t="shared" si="69"/>
        <v>0</v>
      </c>
      <c r="Y70" s="178">
        <f t="shared" si="70"/>
        <v>0</v>
      </c>
      <c r="Z70" s="259"/>
      <c r="AA70" s="39"/>
      <c r="AB70" s="39"/>
      <c r="AC70" s="106">
        <f t="shared" si="71"/>
        <v>0</v>
      </c>
      <c r="AD70" s="178">
        <f t="shared" si="58"/>
        <v>0</v>
      </c>
      <c r="AE70" s="731"/>
      <c r="AF70" s="560"/>
      <c r="AG70" s="452"/>
      <c r="AH70" s="446">
        <f t="shared" si="72"/>
        <v>0</v>
      </c>
      <c r="AI70" s="450">
        <f t="shared" si="59"/>
        <v>0</v>
      </c>
      <c r="AJ70" s="503"/>
      <c r="AK70" s="560"/>
      <c r="AL70" s="452"/>
      <c r="AM70" s="446">
        <f t="shared" si="73"/>
        <v>0</v>
      </c>
      <c r="AN70" s="450">
        <f t="shared" si="60"/>
        <v>0</v>
      </c>
      <c r="AO70" s="503"/>
      <c r="AP70" s="560"/>
      <c r="AQ70" s="452"/>
      <c r="AR70" s="446">
        <f t="shared" si="74"/>
        <v>0</v>
      </c>
      <c r="AS70" s="450">
        <f t="shared" si="5"/>
        <v>0</v>
      </c>
      <c r="AT70" s="503"/>
      <c r="AU70" s="560"/>
      <c r="AV70" s="452"/>
      <c r="AW70" s="446">
        <f t="shared" si="75"/>
        <v>0</v>
      </c>
      <c r="AX70" s="450">
        <f t="shared" si="61"/>
        <v>0</v>
      </c>
      <c r="AY70" s="503"/>
      <c r="AZ70" s="560"/>
      <c r="BA70" s="452"/>
      <c r="BB70" s="446">
        <f t="shared" si="76"/>
        <v>0</v>
      </c>
      <c r="BC70" s="450">
        <f t="shared" si="62"/>
        <v>0</v>
      </c>
      <c r="BD70" s="503"/>
      <c r="BE70" s="1644"/>
      <c r="BF70" s="1432"/>
      <c r="BG70" s="1480">
        <f t="shared" si="77"/>
        <v>0</v>
      </c>
      <c r="BH70" s="1877">
        <f t="shared" si="8"/>
        <v>0</v>
      </c>
      <c r="BI70" s="1880"/>
      <c r="BJ70" s="39">
        <f t="shared" si="78"/>
        <v>0</v>
      </c>
      <c r="BK70" s="39">
        <f t="shared" si="79"/>
        <v>0</v>
      </c>
      <c r="BL70" s="106">
        <f t="shared" si="80"/>
        <v>0</v>
      </c>
      <c r="BM70" s="178">
        <f t="shared" si="56"/>
        <v>0</v>
      </c>
      <c r="BN70" s="79"/>
    </row>
    <row r="71" spans="1:66" s="2" customFormat="1" ht="13.8">
      <c r="A71" s="237"/>
      <c r="B71" s="615" t="s">
        <v>78</v>
      </c>
      <c r="C71" s="129"/>
      <c r="D71" s="128"/>
      <c r="E71" s="120">
        <f t="shared" si="63"/>
        <v>0</v>
      </c>
      <c r="F71" s="184" t="e">
        <f t="shared" si="81"/>
        <v>#DIV/0!</v>
      </c>
      <c r="G71" s="39"/>
      <c r="H71" s="39"/>
      <c r="I71" s="106">
        <f t="shared" si="64"/>
        <v>0</v>
      </c>
      <c r="J71" s="178">
        <f t="shared" si="57"/>
        <v>0</v>
      </c>
      <c r="K71" s="79"/>
      <c r="L71" s="39"/>
      <c r="M71" s="39"/>
      <c r="N71" s="106">
        <f t="shared" si="65"/>
        <v>0</v>
      </c>
      <c r="O71" s="178">
        <f t="shared" si="66"/>
        <v>0</v>
      </c>
      <c r="P71" s="259"/>
      <c r="Q71" s="39"/>
      <c r="R71" s="39"/>
      <c r="S71" s="106">
        <f t="shared" si="67"/>
        <v>0</v>
      </c>
      <c r="T71" s="178">
        <f t="shared" si="68"/>
        <v>0</v>
      </c>
      <c r="U71" s="259"/>
      <c r="V71" s="39"/>
      <c r="W71" s="39"/>
      <c r="X71" s="106">
        <f t="shared" si="69"/>
        <v>0</v>
      </c>
      <c r="Y71" s="178">
        <f t="shared" si="70"/>
        <v>0</v>
      </c>
      <c r="Z71" s="259"/>
      <c r="AA71" s="39"/>
      <c r="AB71" s="39"/>
      <c r="AC71" s="106">
        <f t="shared" si="71"/>
        <v>0</v>
      </c>
      <c r="AD71" s="178">
        <f t="shared" si="58"/>
        <v>0</v>
      </c>
      <c r="AE71" s="731"/>
      <c r="AF71" s="560"/>
      <c r="AG71" s="452"/>
      <c r="AH71" s="446">
        <f t="shared" si="72"/>
        <v>0</v>
      </c>
      <c r="AI71" s="450">
        <f t="shared" si="59"/>
        <v>0</v>
      </c>
      <c r="AJ71" s="503"/>
      <c r="AK71" s="560"/>
      <c r="AL71" s="452"/>
      <c r="AM71" s="446">
        <f t="shared" si="73"/>
        <v>0</v>
      </c>
      <c r="AN71" s="450">
        <f t="shared" si="60"/>
        <v>0</v>
      </c>
      <c r="AO71" s="503"/>
      <c r="AP71" s="560"/>
      <c r="AQ71" s="452"/>
      <c r="AR71" s="446">
        <f t="shared" si="74"/>
        <v>0</v>
      </c>
      <c r="AS71" s="450">
        <f t="shared" si="5"/>
        <v>0</v>
      </c>
      <c r="AT71" s="503"/>
      <c r="AU71" s="560"/>
      <c r="AV71" s="452"/>
      <c r="AW71" s="446">
        <f t="shared" si="75"/>
        <v>0</v>
      </c>
      <c r="AX71" s="450">
        <f t="shared" si="61"/>
        <v>0</v>
      </c>
      <c r="AY71" s="503"/>
      <c r="AZ71" s="560"/>
      <c r="BA71" s="452"/>
      <c r="BB71" s="446">
        <f t="shared" si="76"/>
        <v>0</v>
      </c>
      <c r="BC71" s="450">
        <f t="shared" si="62"/>
        <v>0</v>
      </c>
      <c r="BD71" s="503"/>
      <c r="BE71" s="1644"/>
      <c r="BF71" s="1432"/>
      <c r="BG71" s="1480">
        <f t="shared" si="77"/>
        <v>0</v>
      </c>
      <c r="BH71" s="1877">
        <f t="shared" si="8"/>
        <v>0</v>
      </c>
      <c r="BI71" s="1880"/>
      <c r="BJ71" s="39">
        <f t="shared" si="78"/>
        <v>0</v>
      </c>
      <c r="BK71" s="39">
        <f t="shared" si="79"/>
        <v>0</v>
      </c>
      <c r="BL71" s="106">
        <f t="shared" si="80"/>
        <v>0</v>
      </c>
      <c r="BM71" s="178">
        <f t="shared" si="56"/>
        <v>0</v>
      </c>
      <c r="BN71" s="79"/>
    </row>
    <row r="72" spans="1:66" s="2" customFormat="1" ht="14.4" thickBot="1">
      <c r="A72" s="237"/>
      <c r="B72" s="19"/>
      <c r="C72" s="130"/>
      <c r="D72" s="131"/>
      <c r="E72" s="159"/>
      <c r="F72" s="184" t="e">
        <f t="shared" si="81"/>
        <v>#DIV/0!</v>
      </c>
      <c r="G72" s="39"/>
      <c r="H72" s="39"/>
      <c r="I72" s="106"/>
      <c r="J72" s="178">
        <f t="shared" si="57"/>
        <v>0</v>
      </c>
      <c r="K72" s="79"/>
      <c r="L72" s="39"/>
      <c r="M72" s="39"/>
      <c r="N72" s="106"/>
      <c r="O72" s="178">
        <f t="shared" si="66"/>
        <v>0</v>
      </c>
      <c r="P72" s="259"/>
      <c r="Q72" s="39"/>
      <c r="R72" s="39"/>
      <c r="S72" s="106"/>
      <c r="T72" s="178">
        <f t="shared" si="68"/>
        <v>0</v>
      </c>
      <c r="U72" s="259"/>
      <c r="V72" s="39"/>
      <c r="W72" s="39"/>
      <c r="X72" s="106"/>
      <c r="Y72" s="178">
        <f t="shared" si="70"/>
        <v>0</v>
      </c>
      <c r="Z72" s="259"/>
      <c r="AA72" s="39"/>
      <c r="AB72" s="39"/>
      <c r="AC72" s="106"/>
      <c r="AD72" s="178"/>
      <c r="AE72" s="731"/>
      <c r="AF72" s="560"/>
      <c r="AG72" s="452"/>
      <c r="AH72" s="446"/>
      <c r="AI72" s="450"/>
      <c r="AJ72" s="503"/>
      <c r="AK72" s="560"/>
      <c r="AL72" s="452"/>
      <c r="AM72" s="446"/>
      <c r="AN72" s="450"/>
      <c r="AO72" s="503"/>
      <c r="AP72" s="560"/>
      <c r="AQ72" s="452"/>
      <c r="AR72" s="446"/>
      <c r="AS72" s="450"/>
      <c r="AT72" s="503"/>
      <c r="AU72" s="560"/>
      <c r="AV72" s="452"/>
      <c r="AW72" s="446"/>
      <c r="AX72" s="450"/>
      <c r="AY72" s="503"/>
      <c r="AZ72" s="560"/>
      <c r="BA72" s="452"/>
      <c r="BB72" s="446"/>
      <c r="BC72" s="450"/>
      <c r="BD72" s="503"/>
      <c r="BE72" s="2029"/>
      <c r="BF72" s="2027"/>
      <c r="BG72" s="2030"/>
      <c r="BH72" s="2017"/>
      <c r="BI72" s="2031"/>
      <c r="BJ72" s="2027"/>
      <c r="BK72" s="2027"/>
      <c r="BL72" s="2030"/>
      <c r="BM72" s="178">
        <f t="shared" si="56"/>
        <v>0</v>
      </c>
      <c r="BN72" s="79"/>
    </row>
    <row r="73" spans="1:66" s="2" customFormat="1" ht="14.4" thickBot="1">
      <c r="A73" s="237"/>
      <c r="B73" s="13" t="s">
        <v>4</v>
      </c>
      <c r="C73" s="132">
        <f>C74</f>
        <v>0</v>
      </c>
      <c r="D73" s="133">
        <f>D74</f>
        <v>0</v>
      </c>
      <c r="E73" s="132">
        <f>E74</f>
        <v>0</v>
      </c>
      <c r="F73" s="171" t="e">
        <f>E73/$E$89</f>
        <v>#DIV/0!</v>
      </c>
      <c r="G73" s="139">
        <f>G74</f>
        <v>0</v>
      </c>
      <c r="H73" s="63">
        <f>H74</f>
        <v>0</v>
      </c>
      <c r="I73" s="60">
        <f>I74</f>
        <v>0</v>
      </c>
      <c r="J73" s="63"/>
      <c r="K73" s="63"/>
      <c r="L73" s="139">
        <f>L74</f>
        <v>0</v>
      </c>
      <c r="M73" s="63">
        <f>M74</f>
        <v>0</v>
      </c>
      <c r="N73" s="60">
        <f>N74</f>
        <v>0</v>
      </c>
      <c r="O73" s="63"/>
      <c r="P73" s="410"/>
      <c r="Q73" s="139">
        <f>Q74</f>
        <v>0</v>
      </c>
      <c r="R73" s="63">
        <f>R74</f>
        <v>0</v>
      </c>
      <c r="S73" s="60">
        <f>S74</f>
        <v>0</v>
      </c>
      <c r="T73" s="63"/>
      <c r="U73" s="410"/>
      <c r="V73" s="139">
        <f>V74</f>
        <v>0</v>
      </c>
      <c r="W73" s="63">
        <f>W74</f>
        <v>0</v>
      </c>
      <c r="X73" s="60">
        <f>X74</f>
        <v>0</v>
      </c>
      <c r="Y73" s="63"/>
      <c r="Z73" s="410"/>
      <c r="AA73" s="139">
        <f>AA74</f>
        <v>0</v>
      </c>
      <c r="AB73" s="63">
        <f>AB74</f>
        <v>0</v>
      </c>
      <c r="AC73" s="60">
        <f>AC74</f>
        <v>0</v>
      </c>
      <c r="AD73" s="63"/>
      <c r="AE73" s="737"/>
      <c r="AF73" s="587">
        <f>AF74</f>
        <v>0</v>
      </c>
      <c r="AG73" s="586">
        <f>AG74</f>
        <v>0</v>
      </c>
      <c r="AH73" s="581">
        <f>AH74</f>
        <v>0</v>
      </c>
      <c r="AI73" s="586"/>
      <c r="AJ73" s="746"/>
      <c r="AK73" s="587">
        <f>AK74</f>
        <v>0</v>
      </c>
      <c r="AL73" s="586">
        <f>AL74</f>
        <v>0</v>
      </c>
      <c r="AM73" s="581">
        <f>AM74</f>
        <v>0</v>
      </c>
      <c r="AN73" s="586"/>
      <c r="AO73" s="746"/>
      <c r="AP73" s="587">
        <f>AP74</f>
        <v>0</v>
      </c>
      <c r="AQ73" s="586">
        <f>AQ74</f>
        <v>0</v>
      </c>
      <c r="AR73" s="581">
        <f>AR74</f>
        <v>0</v>
      </c>
      <c r="AS73" s="586"/>
      <c r="AT73" s="746"/>
      <c r="AU73" s="587">
        <f>AU74</f>
        <v>0</v>
      </c>
      <c r="AV73" s="586">
        <f>AV74</f>
        <v>0</v>
      </c>
      <c r="AW73" s="581">
        <f>AW74</f>
        <v>0</v>
      </c>
      <c r="AX73" s="586"/>
      <c r="AY73" s="746"/>
      <c r="AZ73" s="587">
        <f>AZ74</f>
        <v>0</v>
      </c>
      <c r="BA73" s="586">
        <f>BA74</f>
        <v>0</v>
      </c>
      <c r="BB73" s="581">
        <f>BB74</f>
        <v>0</v>
      </c>
      <c r="BC73" s="586"/>
      <c r="BD73" s="746"/>
      <c r="BE73" s="1584">
        <f>BE74</f>
        <v>0</v>
      </c>
      <c r="BF73" s="1689">
        <f>BF74</f>
        <v>0</v>
      </c>
      <c r="BG73" s="1688">
        <f>BG74</f>
        <v>0</v>
      </c>
      <c r="BH73" s="1689"/>
      <c r="BI73" s="1697"/>
      <c r="BJ73" s="1584">
        <f>BJ74</f>
        <v>0</v>
      </c>
      <c r="BK73" s="1689">
        <f>BK74</f>
        <v>0</v>
      </c>
      <c r="BL73" s="1688">
        <f>BL74</f>
        <v>0</v>
      </c>
      <c r="BM73" s="63"/>
      <c r="BN73" s="63"/>
    </row>
    <row r="74" spans="1:66" s="2" customFormat="1" ht="14.4" thickBot="1">
      <c r="A74" s="20"/>
      <c r="B74" s="225" t="s">
        <v>64</v>
      </c>
      <c r="C74" s="129">
        <f>C6*3%</f>
        <v>0</v>
      </c>
      <c r="D74" s="135"/>
      <c r="E74" s="136">
        <f>C74+D74</f>
        <v>0</v>
      </c>
      <c r="F74" s="185"/>
      <c r="G74" s="39"/>
      <c r="H74" s="39"/>
      <c r="I74" s="64">
        <f>G74+H74*1</f>
        <v>0</v>
      </c>
      <c r="J74" s="64"/>
      <c r="K74" s="64"/>
      <c r="L74" s="39"/>
      <c r="M74" s="39"/>
      <c r="N74" s="527">
        <f>L74+M74*1</f>
        <v>0</v>
      </c>
      <c r="O74" s="64"/>
      <c r="P74" s="64"/>
      <c r="Q74" s="39"/>
      <c r="R74" s="39"/>
      <c r="S74" s="527">
        <f>Q74+R74*1</f>
        <v>0</v>
      </c>
      <c r="T74" s="64"/>
      <c r="U74" s="64"/>
      <c r="V74" s="39"/>
      <c r="W74" s="39"/>
      <c r="X74" s="527">
        <f>V74+W74*1</f>
        <v>0</v>
      </c>
      <c r="Y74" s="64"/>
      <c r="Z74" s="64"/>
      <c r="AA74" s="39"/>
      <c r="AB74" s="39"/>
      <c r="AC74" s="527">
        <f>AA74+AB74*1</f>
        <v>0</v>
      </c>
      <c r="AD74" s="64"/>
      <c r="AE74" s="603"/>
      <c r="AF74" s="560"/>
      <c r="AG74" s="452"/>
      <c r="AH74" s="747">
        <f>AF74+AG74*1</f>
        <v>0</v>
      </c>
      <c r="AI74" s="588"/>
      <c r="AJ74" s="588"/>
      <c r="AK74" s="560"/>
      <c r="AL74" s="452"/>
      <c r="AM74" s="747">
        <f>AK74+AL74*1</f>
        <v>0</v>
      </c>
      <c r="AN74" s="588"/>
      <c r="AO74" s="588"/>
      <c r="AP74" s="560"/>
      <c r="AQ74" s="452"/>
      <c r="AR74" s="747">
        <f>AP74+AQ74*1</f>
        <v>0</v>
      </c>
      <c r="AS74" s="588"/>
      <c r="AT74" s="588"/>
      <c r="AU74" s="560"/>
      <c r="AV74" s="452"/>
      <c r="AW74" s="747">
        <f>AU74+AV74*1</f>
        <v>0</v>
      </c>
      <c r="AX74" s="588"/>
      <c r="AY74" s="588"/>
      <c r="AZ74" s="560"/>
      <c r="BA74" s="452"/>
      <c r="BB74" s="747">
        <f>AZ74+BA74*1</f>
        <v>0</v>
      </c>
      <c r="BC74" s="588"/>
      <c r="BD74" s="588"/>
      <c r="BE74" s="1644"/>
      <c r="BF74" s="1432"/>
      <c r="BG74" s="841">
        <f>BE74+BF74*1</f>
        <v>0</v>
      </c>
      <c r="BH74" s="1648"/>
      <c r="BI74" s="1648"/>
      <c r="BJ74" s="2043">
        <f>G74+L74+Q74+V74+AA74+AF74+AK74+AP74+AU74+AZ74+BE74</f>
        <v>0</v>
      </c>
      <c r="BK74" s="2043">
        <f>H74+M74+R74+W74+AB74+AG74+AL74+AQ74+AV74+BA74+BF74</f>
        <v>0</v>
      </c>
      <c r="BL74" s="841">
        <f>BJ74+BK74*1</f>
        <v>0</v>
      </c>
      <c r="BM74" s="64"/>
      <c r="BN74" s="64"/>
    </row>
    <row r="75" spans="1:66" s="2" customFormat="1" ht="14.4" thickBot="1">
      <c r="A75" s="5"/>
      <c r="B75" s="23" t="s">
        <v>48</v>
      </c>
      <c r="C75" s="137">
        <f>C38-C41-C50-C54</f>
        <v>0</v>
      </c>
      <c r="D75" s="137">
        <f>D38-D41-D50-D54</f>
        <v>0</v>
      </c>
      <c r="E75" s="138">
        <f>E38-E41-E50-E54</f>
        <v>0</v>
      </c>
      <c r="F75" s="172"/>
      <c r="G75" s="65">
        <f>G38-G41-G50-G54</f>
        <v>-41650.04</v>
      </c>
      <c r="H75" s="65">
        <f>H38-H41-H50-H54</f>
        <v>-3921.1</v>
      </c>
      <c r="I75" s="138">
        <f>I38-I41-I50-I54</f>
        <v>-45571.14</v>
      </c>
      <c r="J75" s="66"/>
      <c r="K75" s="66"/>
      <c r="L75" s="65">
        <f>L38-L41-L50-L54</f>
        <v>45952.177399999993</v>
      </c>
      <c r="M75" s="65">
        <f>M38-M41-M50-M54</f>
        <v>-66628.739999999991</v>
      </c>
      <c r="N75" s="138">
        <f>N38-N41-N50-N54</f>
        <v>-20676.562600000005</v>
      </c>
      <c r="O75" s="66"/>
      <c r="P75" s="411"/>
      <c r="Q75" s="65">
        <f>Q38-Q41-Q50-Q54</f>
        <v>235600.04199999999</v>
      </c>
      <c r="R75" s="65">
        <f>R38-R41-R50-R54</f>
        <v>-90148.430000000008</v>
      </c>
      <c r="S75" s="138">
        <f>S38-S41-S50-S54</f>
        <v>145451.61199999996</v>
      </c>
      <c r="T75" s="66"/>
      <c r="U75" s="411"/>
      <c r="V75" s="65">
        <f>V38-V41-V50-V54</f>
        <v>-971.64</v>
      </c>
      <c r="W75" s="65">
        <f>W38-W41-W50-W54</f>
        <v>0</v>
      </c>
      <c r="X75" s="138">
        <f>X38-X41-X50-X54</f>
        <v>-971.64</v>
      </c>
      <c r="Y75" s="66"/>
      <c r="Z75" s="411"/>
      <c r="AA75" s="65">
        <f>AA38-AA41-AA50-AA54</f>
        <v>-561.04999999999995</v>
      </c>
      <c r="AB75" s="65">
        <f>AB38-AB41-AB50-AB54</f>
        <v>0</v>
      </c>
      <c r="AC75" s="138">
        <f>AC38-AC41-AC50-AC54</f>
        <v>-561.04999999999995</v>
      </c>
      <c r="AD75" s="66"/>
      <c r="AE75" s="738"/>
      <c r="AF75" s="646">
        <f>AF38-AF41-AF50-AF54</f>
        <v>-971.64</v>
      </c>
      <c r="AG75" s="646">
        <f>AG38-AG41-AG50-AG54</f>
        <v>0</v>
      </c>
      <c r="AH75" s="670">
        <f>AH38-AH41-AH50-AH54</f>
        <v>-971.64</v>
      </c>
      <c r="AI75" s="671"/>
      <c r="AJ75" s="748"/>
      <c r="AK75" s="646">
        <f>AK38-AK41-AK50-AK54</f>
        <v>765715.85399999993</v>
      </c>
      <c r="AL75" s="646">
        <f>AL38-AL41-AL50-AL54</f>
        <v>-4500</v>
      </c>
      <c r="AM75" s="670">
        <f>AM38-AM41-AM50-AM54</f>
        <v>761215.85399999993</v>
      </c>
      <c r="AN75" s="671"/>
      <c r="AO75" s="748"/>
      <c r="AP75" s="646">
        <f>AP38-AP41-AP50-AP54</f>
        <v>681362.15399999998</v>
      </c>
      <c r="AQ75" s="646">
        <f>AQ38-AQ41-AQ50-AQ54</f>
        <v>0</v>
      </c>
      <c r="AR75" s="670">
        <f>AR38-AR41-AR50-AR54</f>
        <v>681362.15399999998</v>
      </c>
      <c r="AS75" s="671"/>
      <c r="AT75" s="748"/>
      <c r="AU75" s="646">
        <f>AU38-AU41-AU50-AU54</f>
        <v>340643.14</v>
      </c>
      <c r="AV75" s="646">
        <f>AV38-AV41-AV50-AV54</f>
        <v>0</v>
      </c>
      <c r="AW75" s="670">
        <f>AW38-AW41-AW50-AW54</f>
        <v>340643.14</v>
      </c>
      <c r="AX75" s="671"/>
      <c r="AY75" s="748"/>
      <c r="AZ75" s="646">
        <f>AZ38-AZ41-AZ50-AZ54</f>
        <v>-27406.331999999999</v>
      </c>
      <c r="BA75" s="646">
        <f>BA38-BA41-BA50-BA54</f>
        <v>0</v>
      </c>
      <c r="BB75" s="670">
        <f>BB38-BB41-BB50-BB54</f>
        <v>-27406.331999999999</v>
      </c>
      <c r="BC75" s="671"/>
      <c r="BD75" s="748"/>
      <c r="BE75" s="1450">
        <f>BE38-BE41-BE50-BE54</f>
        <v>-48714.983999999997</v>
      </c>
      <c r="BF75" s="1450">
        <f>BF38-BF41-BF50-BF54</f>
        <v>0</v>
      </c>
      <c r="BG75" s="1508">
        <f>BG38-BG41-BG50-BG54</f>
        <v>-48714.983999999997</v>
      </c>
      <c r="BH75" s="1451"/>
      <c r="BI75" s="1599"/>
      <c r="BJ75" s="65">
        <f>BJ38-BJ41-BJ50-BJ54</f>
        <v>1948997.6813999999</v>
      </c>
      <c r="BK75" s="65">
        <f>BK38-BK41-BK50-BK54</f>
        <v>-165198.27000000002</v>
      </c>
      <c r="BL75" s="138">
        <f>BL38-BL41-BL50-BL54</f>
        <v>1783799.4113999999</v>
      </c>
      <c r="BM75" s="66"/>
      <c r="BN75" s="66"/>
    </row>
    <row r="76" spans="1:66" s="2" customFormat="1" ht="13.8">
      <c r="A76" s="294"/>
      <c r="B76" s="36" t="s">
        <v>49</v>
      </c>
      <c r="C76" s="157" t="e">
        <f>C75/C5</f>
        <v>#DIV/0!</v>
      </c>
      <c r="D76" s="157" t="e">
        <f>D75/D5</f>
        <v>#DIV/0!</v>
      </c>
      <c r="E76" s="158" t="e">
        <f>E75/E5</f>
        <v>#DIV/0!</v>
      </c>
      <c r="F76" s="167"/>
      <c r="G76" s="54" t="e">
        <f>G75/G5</f>
        <v>#DIV/0!</v>
      </c>
      <c r="H76" s="54" t="e">
        <f>H75/H5</f>
        <v>#DIV/0!</v>
      </c>
      <c r="I76" s="55" t="e">
        <f>I75/I5</f>
        <v>#DIV/0!</v>
      </c>
      <c r="J76" s="55"/>
      <c r="K76" s="55"/>
      <c r="L76" s="54">
        <f>L75/L5</f>
        <v>0.38401645802343259</v>
      </c>
      <c r="M76" s="54" t="e">
        <f>M75/M5</f>
        <v>#DIV/0!</v>
      </c>
      <c r="N76" s="55">
        <f>N75/N5</f>
        <v>-0.17279138406511679</v>
      </c>
      <c r="O76" s="55"/>
      <c r="P76" s="407"/>
      <c r="Q76" s="54">
        <f>Q75/Q5</f>
        <v>0.7539212441720714</v>
      </c>
      <c r="R76" s="54" t="e">
        <f>R75/R5</f>
        <v>#DIV/0!</v>
      </c>
      <c r="S76" s="55">
        <f>S75/S5</f>
        <v>0.4654458435362816</v>
      </c>
      <c r="T76" s="55"/>
      <c r="U76" s="407"/>
      <c r="V76" s="54" t="e">
        <f>V75/V5</f>
        <v>#DIV/0!</v>
      </c>
      <c r="W76" s="54" t="e">
        <f>W75/W5</f>
        <v>#DIV/0!</v>
      </c>
      <c r="X76" s="55" t="e">
        <f>X75/X5</f>
        <v>#DIV/0!</v>
      </c>
      <c r="Y76" s="55"/>
      <c r="Z76" s="407"/>
      <c r="AA76" s="54" t="e">
        <f>AA75/AA5</f>
        <v>#DIV/0!</v>
      </c>
      <c r="AB76" s="54" t="e">
        <f>AB75/AB5</f>
        <v>#DIV/0!</v>
      </c>
      <c r="AC76" s="55" t="e">
        <f>AC75/AC5</f>
        <v>#DIV/0!</v>
      </c>
      <c r="AD76" s="55"/>
      <c r="AE76" s="716"/>
      <c r="AF76" s="639" t="e">
        <f>AF75/AF5</f>
        <v>#DIV/0!</v>
      </c>
      <c r="AG76" s="639" t="e">
        <f>AG75/AG5</f>
        <v>#DIV/0!</v>
      </c>
      <c r="AH76" s="660" t="e">
        <f>AH75/AH5</f>
        <v>#DIV/0!</v>
      </c>
      <c r="AI76" s="660"/>
      <c r="AJ76" s="661"/>
      <c r="AK76" s="639">
        <f>AK75/AK5</f>
        <v>0.99989410247716448</v>
      </c>
      <c r="AL76" s="639" t="e">
        <f>AL75/AL5</f>
        <v>#DIV/0!</v>
      </c>
      <c r="AM76" s="660">
        <f>AM75/AM5</f>
        <v>0.99401787118635032</v>
      </c>
      <c r="AN76" s="660"/>
      <c r="AO76" s="661"/>
      <c r="AP76" s="639">
        <f>AP75/AP5</f>
        <v>0.99988099375846773</v>
      </c>
      <c r="AQ76" s="639" t="e">
        <f>AQ75/AQ5</f>
        <v>#DIV/0!</v>
      </c>
      <c r="AR76" s="660">
        <f>AR75/AR5</f>
        <v>0.99988099375846773</v>
      </c>
      <c r="AS76" s="660"/>
      <c r="AT76" s="661"/>
      <c r="AU76" s="639">
        <f>AU75/AU5</f>
        <v>0.99976966533558986</v>
      </c>
      <c r="AV76" s="639" t="e">
        <f>AV75/AV5</f>
        <v>#DIV/0!</v>
      </c>
      <c r="AW76" s="660">
        <f>AW75/AW5</f>
        <v>0.99976966533558986</v>
      </c>
      <c r="AX76" s="660"/>
      <c r="AY76" s="661"/>
      <c r="AZ76" s="639" t="e">
        <f>AZ75/AZ5</f>
        <v>#DIV/0!</v>
      </c>
      <c r="BA76" s="639" t="e">
        <f>BA75/BA5</f>
        <v>#DIV/0!</v>
      </c>
      <c r="BB76" s="660" t="e">
        <f>BB75/BB5</f>
        <v>#DIV/0!</v>
      </c>
      <c r="BC76" s="660"/>
      <c r="BD76" s="661"/>
      <c r="BE76" s="1441" t="e">
        <f>BE75/BE5</f>
        <v>#DIV/0!</v>
      </c>
      <c r="BF76" s="1441" t="e">
        <f>BF75/BF5</f>
        <v>#DIV/0!</v>
      </c>
      <c r="BG76" s="1442" t="e">
        <f>BG75/BG5</f>
        <v>#DIV/0!</v>
      </c>
      <c r="BH76" s="1442"/>
      <c r="BI76" s="1596"/>
      <c r="BJ76" s="54">
        <f>BJ75/BJ5</f>
        <v>0.87787810196276661</v>
      </c>
      <c r="BK76" s="54" t="e">
        <f>BK75/BK5</f>
        <v>#DIV/0!</v>
      </c>
      <c r="BL76" s="55">
        <f>BL75/BL5</f>
        <v>0.8034686015825715</v>
      </c>
      <c r="BM76" s="55"/>
      <c r="BN76" s="55"/>
    </row>
    <row r="77" spans="1:66" s="2" customFormat="1" ht="14.4" thickBot="1">
      <c r="A77" s="294"/>
      <c r="B77" s="27" t="s">
        <v>9</v>
      </c>
      <c r="C77" s="139">
        <f>C78-C79</f>
        <v>0</v>
      </c>
      <c r="D77" s="139">
        <f>D78-D79</f>
        <v>0</v>
      </c>
      <c r="E77" s="140">
        <f>E78-E79</f>
        <v>0</v>
      </c>
      <c r="F77" s="173"/>
      <c r="G77" s="139">
        <f>G78-G79</f>
        <v>0</v>
      </c>
      <c r="H77" s="139">
        <f>H78-H79</f>
        <v>0</v>
      </c>
      <c r="I77" s="140">
        <f>I78-I79</f>
        <v>-585.91149425287358</v>
      </c>
      <c r="J77" s="67"/>
      <c r="K77" s="67"/>
      <c r="L77" s="139">
        <f>L78-L79</f>
        <v>0</v>
      </c>
      <c r="M77" s="139">
        <f>M78-M79</f>
        <v>0</v>
      </c>
      <c r="N77" s="140">
        <f>N78-N79</f>
        <v>-9956.0186206896524</v>
      </c>
      <c r="O77" s="67"/>
      <c r="P77" s="414"/>
      <c r="Q77" s="139">
        <f>Q78-Q79</f>
        <v>0</v>
      </c>
      <c r="R77" s="139">
        <f>R78-R79</f>
        <v>0</v>
      </c>
      <c r="S77" s="140">
        <f>S78-S79</f>
        <v>-13470.455057471265</v>
      </c>
      <c r="T77" s="67"/>
      <c r="U77" s="414"/>
      <c r="V77" s="139">
        <f>V78-V79</f>
        <v>0</v>
      </c>
      <c r="W77" s="139">
        <f>W78-W79</f>
        <v>0</v>
      </c>
      <c r="X77" s="140">
        <f>X78-X79</f>
        <v>0</v>
      </c>
      <c r="Y77" s="67"/>
      <c r="Z77" s="414"/>
      <c r="AA77" s="139">
        <f>AA78-AA79</f>
        <v>0</v>
      </c>
      <c r="AB77" s="139">
        <f>AB78-AB79</f>
        <v>0</v>
      </c>
      <c r="AC77" s="140">
        <f>AC78-AC79</f>
        <v>0</v>
      </c>
      <c r="AD77" s="67"/>
      <c r="AE77" s="739"/>
      <c r="AF77" s="587">
        <f>AF78-AF79</f>
        <v>0</v>
      </c>
      <c r="AG77" s="587">
        <f>AG78-AG79</f>
        <v>0</v>
      </c>
      <c r="AH77" s="674">
        <f>AH78-AH79</f>
        <v>0</v>
      </c>
      <c r="AI77" s="675"/>
      <c r="AJ77" s="749"/>
      <c r="AK77" s="587">
        <f>AK78-AK79</f>
        <v>0</v>
      </c>
      <c r="AL77" s="587">
        <f>AL78-AL79</f>
        <v>0</v>
      </c>
      <c r="AM77" s="674">
        <f>AM78-AM79</f>
        <v>0</v>
      </c>
      <c r="AN77" s="675"/>
      <c r="AO77" s="749"/>
      <c r="AP77" s="587">
        <f>AP78-AP79</f>
        <v>0</v>
      </c>
      <c r="AQ77" s="587">
        <f>AQ78-AQ79</f>
        <v>0</v>
      </c>
      <c r="AR77" s="674">
        <f>AR78-AR79</f>
        <v>0</v>
      </c>
      <c r="AS77" s="675"/>
      <c r="AT77" s="749"/>
      <c r="AU77" s="587">
        <f>AU78-AU79</f>
        <v>0</v>
      </c>
      <c r="AV77" s="587">
        <f>AV78-AV79</f>
        <v>0</v>
      </c>
      <c r="AW77" s="674">
        <f>AW78-AW79</f>
        <v>0</v>
      </c>
      <c r="AX77" s="675"/>
      <c r="AY77" s="749"/>
      <c r="AZ77" s="587">
        <f>AZ78-AZ79</f>
        <v>0</v>
      </c>
      <c r="BA77" s="587">
        <f>BA78-BA79</f>
        <v>0</v>
      </c>
      <c r="BB77" s="674">
        <f>BB78-BB79</f>
        <v>0</v>
      </c>
      <c r="BC77" s="675"/>
      <c r="BD77" s="749"/>
      <c r="BE77" s="1170">
        <f>BE78-BE79</f>
        <v>0</v>
      </c>
      <c r="BF77" s="1170">
        <f>BF78-BF79</f>
        <v>0</v>
      </c>
      <c r="BG77" s="1369">
        <f>BG78-BG79</f>
        <v>0</v>
      </c>
      <c r="BH77" s="1364"/>
      <c r="BI77" s="1373"/>
      <c r="BJ77" s="139">
        <f>BJ78-BJ79</f>
        <v>0</v>
      </c>
      <c r="BK77" s="139">
        <f>BK78-BK79</f>
        <v>0</v>
      </c>
      <c r="BL77" s="140">
        <f>BL78-BL79</f>
        <v>-24012.385172413793</v>
      </c>
      <c r="BM77" s="67"/>
      <c r="BN77" s="67"/>
    </row>
    <row r="78" spans="1:66" s="2" customFormat="1" ht="13.8">
      <c r="A78" s="11"/>
      <c r="B78" s="6" t="s">
        <v>43</v>
      </c>
      <c r="C78" s="141"/>
      <c r="D78" s="142"/>
      <c r="E78" s="119">
        <f>C78+D78*1.15</f>
        <v>0</v>
      </c>
      <c r="F78" s="186"/>
      <c r="G78" s="39"/>
      <c r="H78" s="39"/>
      <c r="I78" s="68">
        <f>G78+H78*1.15</f>
        <v>0</v>
      </c>
      <c r="J78" s="68"/>
      <c r="K78" s="68"/>
      <c r="L78" s="39"/>
      <c r="M78" s="39"/>
      <c r="N78" s="68">
        <f>L78+M78*1.15</f>
        <v>0</v>
      </c>
      <c r="O78" s="68"/>
      <c r="P78" s="48"/>
      <c r="Q78" s="39"/>
      <c r="R78" s="39"/>
      <c r="S78" s="68">
        <f>Q78+R78*1.15</f>
        <v>0</v>
      </c>
      <c r="T78" s="68"/>
      <c r="U78" s="48"/>
      <c r="V78" s="39"/>
      <c r="W78" s="39"/>
      <c r="X78" s="68">
        <f>V78+W78*1.15</f>
        <v>0</v>
      </c>
      <c r="Y78" s="68"/>
      <c r="Z78" s="48"/>
      <c r="AA78" s="39"/>
      <c r="AB78" s="39"/>
      <c r="AC78" s="68">
        <f>AA78+AB78*1.15</f>
        <v>0</v>
      </c>
      <c r="AD78" s="68"/>
      <c r="AE78" s="543"/>
      <c r="AF78" s="560"/>
      <c r="AG78" s="452"/>
      <c r="AH78" s="676">
        <f>AF78+AG78*1.15</f>
        <v>0</v>
      </c>
      <c r="AI78" s="676"/>
      <c r="AJ78" s="657"/>
      <c r="AK78" s="560"/>
      <c r="AL78" s="452"/>
      <c r="AM78" s="676">
        <f>AK78+AL78*1.15</f>
        <v>0</v>
      </c>
      <c r="AN78" s="676"/>
      <c r="AO78" s="657"/>
      <c r="AP78" s="560"/>
      <c r="AQ78" s="452"/>
      <c r="AR78" s="676">
        <f>AP78+AQ78*1.15</f>
        <v>0</v>
      </c>
      <c r="AS78" s="676"/>
      <c r="AT78" s="657"/>
      <c r="AU78" s="560"/>
      <c r="AV78" s="452"/>
      <c r="AW78" s="676">
        <f>AU78+AV78*1.15</f>
        <v>0</v>
      </c>
      <c r="AX78" s="676"/>
      <c r="AY78" s="657"/>
      <c r="AZ78" s="560"/>
      <c r="BA78" s="452"/>
      <c r="BB78" s="676">
        <f>AZ78+BA78*1.15</f>
        <v>0</v>
      </c>
      <c r="BC78" s="676"/>
      <c r="BD78" s="657"/>
      <c r="BE78" s="1644"/>
      <c r="BF78" s="1432"/>
      <c r="BG78" s="1452">
        <f>BE78+BF78*1.15</f>
        <v>0</v>
      </c>
      <c r="BH78" s="1452"/>
      <c r="BI78" s="1436"/>
      <c r="BJ78" s="39">
        <f>G78+L78+Q78+V78+AA78+AF78+AK78+AP78+AU78+AZ78+BE78</f>
        <v>0</v>
      </c>
      <c r="BK78" s="39">
        <f>H78+M78+R78+W78+AB78+AG78+AL78+AQ78+AV78+BA78+BF78</f>
        <v>0</v>
      </c>
      <c r="BL78" s="68">
        <f>BJ78+BK78*1.15</f>
        <v>0</v>
      </c>
      <c r="BM78" s="68"/>
      <c r="BN78" s="68"/>
    </row>
    <row r="79" spans="1:66" s="2" customFormat="1" ht="13.8">
      <c r="A79" s="11"/>
      <c r="B79" s="24" t="s">
        <v>79</v>
      </c>
      <c r="C79" s="113"/>
      <c r="D79" s="119"/>
      <c r="E79" s="119">
        <f>C79+D79*1.15</f>
        <v>0</v>
      </c>
      <c r="F79" s="180" t="e">
        <f>E79/$E$89</f>
        <v>#DIV/0!</v>
      </c>
      <c r="G79" s="39"/>
      <c r="H79" s="39"/>
      <c r="I79" s="106">
        <f>(H8+H41+H50+H54)/(1-'расчет 2024'!E4)*'расчет 2024'!E4</f>
        <v>585.91149425287358</v>
      </c>
      <c r="J79" s="45"/>
      <c r="K79" s="45"/>
      <c r="L79" s="39"/>
      <c r="M79" s="39"/>
      <c r="N79" s="106">
        <f>(M8+M41+M50+M54)/(1-'расчет 2024'!E5)*'расчет 2024'!E5</f>
        <v>9956.0186206896524</v>
      </c>
      <c r="O79" s="45"/>
      <c r="P79" s="405"/>
      <c r="Q79" s="39"/>
      <c r="R79" s="39"/>
      <c r="S79" s="106">
        <f>(R8+R41+R50+R54)/(1-'расчет 2024'!E6)*'расчет 2024'!E6</f>
        <v>13470.455057471265</v>
      </c>
      <c r="T79" s="45"/>
      <c r="U79" s="405"/>
      <c r="V79" s="39"/>
      <c r="W79" s="39"/>
      <c r="X79" s="106">
        <f>(W8+W41+W50+W54)/(1-'расчет 2024'!E7)*'расчет 2024'!E7</f>
        <v>0</v>
      </c>
      <c r="Y79" s="45"/>
      <c r="Z79" s="405"/>
      <c r="AA79" s="39"/>
      <c r="AB79" s="39"/>
      <c r="AC79" s="106">
        <f>(AB8+AB41+AB50+AB54)/(1-'расчет 2024'!J7)*'расчет 2024'!J7</f>
        <v>0</v>
      </c>
      <c r="AD79" s="45"/>
      <c r="AE79" s="732"/>
      <c r="AF79" s="560"/>
      <c r="AG79" s="452"/>
      <c r="AH79" s="446">
        <f>(AG8+AG41+AG50+AG54)/(1-'расчет 2024'!O7)*'расчет 2024'!O7</f>
        <v>0</v>
      </c>
      <c r="AI79" s="693"/>
      <c r="AJ79" s="745"/>
      <c r="AK79" s="560"/>
      <c r="AL79" s="452"/>
      <c r="AM79" s="446"/>
      <c r="AN79" s="693"/>
      <c r="AO79" s="745"/>
      <c r="AP79" s="560"/>
      <c r="AQ79" s="452"/>
      <c r="AR79" s="446"/>
      <c r="AS79" s="693">
        <f>AR79/$AR$89</f>
        <v>0</v>
      </c>
      <c r="AT79" s="745"/>
      <c r="AU79" s="560"/>
      <c r="AV79" s="452"/>
      <c r="AW79" s="446">
        <f>(AV8+AV41+AV50+AV54)/(1-'расчет 2024'!J11)*'расчет 2024'!J11</f>
        <v>0</v>
      </c>
      <c r="AX79" s="693">
        <f>AW79/$AR$89</f>
        <v>0</v>
      </c>
      <c r="AY79" s="745"/>
      <c r="AZ79" s="560"/>
      <c r="BA79" s="452"/>
      <c r="BB79" s="446">
        <f>(BA8+BA41+BA50+BA54)/(1-'расчет 2024'!E7)*'расчет 2024'!E7</f>
        <v>0</v>
      </c>
      <c r="BC79" s="693">
        <f>BB79/$AR$89</f>
        <v>0</v>
      </c>
      <c r="BD79" s="745"/>
      <c r="BE79" s="1644"/>
      <c r="BF79" s="1432"/>
      <c r="BG79" s="1480">
        <v>0</v>
      </c>
      <c r="BH79" s="1893">
        <f>BG79/$AR$89</f>
        <v>0</v>
      </c>
      <c r="BI79" s="1887"/>
      <c r="BJ79" s="39">
        <f>G79+L79+Q79+V79+AA79+AF79+AK79+AP79+AU79+AZ79+BE79</f>
        <v>0</v>
      </c>
      <c r="BK79" s="39">
        <f>H79+M79+R79+W79+AB79+AG79+AL79+AQ79+AV79+BA79+BF79</f>
        <v>0</v>
      </c>
      <c r="BL79" s="106">
        <f>I79+N79+S79+AM79+AR79+BB79</f>
        <v>24012.385172413793</v>
      </c>
      <c r="BM79" s="45"/>
      <c r="BN79" s="45"/>
    </row>
    <row r="80" spans="1:66" ht="13.8">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552"/>
      <c r="AF80" s="560"/>
      <c r="AG80" s="452"/>
      <c r="AH80" s="678"/>
      <c r="AI80" s="678"/>
      <c r="AJ80" s="678"/>
      <c r="AK80" s="560"/>
      <c r="AL80" s="452"/>
      <c r="AM80" s="678"/>
      <c r="AN80" s="678"/>
      <c r="AO80" s="678"/>
      <c r="AP80" s="560"/>
      <c r="AQ80" s="452"/>
      <c r="AR80" s="678"/>
      <c r="AS80" s="678"/>
      <c r="AT80" s="678"/>
      <c r="AU80" s="560"/>
      <c r="AV80" s="452"/>
      <c r="AW80" s="678"/>
      <c r="AX80" s="678"/>
      <c r="AY80" s="678"/>
      <c r="AZ80" s="560"/>
      <c r="BA80" s="452"/>
      <c r="BB80" s="678"/>
      <c r="BC80" s="678"/>
      <c r="BD80" s="678"/>
      <c r="BE80" s="1644"/>
      <c r="BF80" s="1432"/>
      <c r="BG80" s="1894"/>
      <c r="BH80" s="1894"/>
      <c r="BI80" s="1894"/>
      <c r="BJ80" s="39">
        <f>G80+L80+Q80+V80+AA80+AF80+AK80+AP80+AU80+AZ80</f>
        <v>0</v>
      </c>
      <c r="BK80" s="39">
        <f>H80+M80+R80+W80+AB80+AG80+AL80+AQ80+AV80+BA80</f>
        <v>0</v>
      </c>
      <c r="BL80" s="69"/>
      <c r="BM80" s="69"/>
      <c r="BN80" s="69"/>
    </row>
    <row r="81" spans="1:66" s="2" customFormat="1" ht="14.4" thickBot="1">
      <c r="A81" s="26"/>
      <c r="B81" s="27" t="s">
        <v>12</v>
      </c>
      <c r="C81" s="139">
        <f>(C75+C78)-C79</f>
        <v>0</v>
      </c>
      <c r="D81" s="139">
        <f>(D75+D78)-D79</f>
        <v>0</v>
      </c>
      <c r="E81" s="140">
        <f>(E75+E78)-E79</f>
        <v>0</v>
      </c>
      <c r="F81" s="173"/>
      <c r="G81" s="139">
        <f>(G75+G78)-G79</f>
        <v>-41650.04</v>
      </c>
      <c r="H81" s="139">
        <f>(H75+H78)-H79</f>
        <v>-3921.1</v>
      </c>
      <c r="I81" s="140">
        <f>(I75+I78)-I79</f>
        <v>-46157.051494252875</v>
      </c>
      <c r="J81" s="67"/>
      <c r="K81" s="67"/>
      <c r="L81" s="139">
        <f>(L75+L78)-L79</f>
        <v>45952.177399999993</v>
      </c>
      <c r="M81" s="139">
        <f>(M75+M78)-M79</f>
        <v>-66628.739999999991</v>
      </c>
      <c r="N81" s="140">
        <f>(N75+N78)-N79</f>
        <v>-30632.581220689659</v>
      </c>
      <c r="O81" s="67"/>
      <c r="P81" s="414"/>
      <c r="Q81" s="139">
        <f>(Q75+Q78)-Q79</f>
        <v>235600.04199999999</v>
      </c>
      <c r="R81" s="139">
        <f>(R75+R78)-R79</f>
        <v>-90148.430000000008</v>
      </c>
      <c r="S81" s="140">
        <f>(S75+S78)-S79</f>
        <v>131981.1569425287</v>
      </c>
      <c r="T81" s="67"/>
      <c r="U81" s="414"/>
      <c r="V81" s="139">
        <f>(V75+V78)-V79</f>
        <v>-971.64</v>
      </c>
      <c r="W81" s="139">
        <f>(W75+W78)-W79</f>
        <v>0</v>
      </c>
      <c r="X81" s="140">
        <f>(X75+X78)-X79</f>
        <v>-971.64</v>
      </c>
      <c r="Y81" s="67"/>
      <c r="Z81" s="414"/>
      <c r="AA81" s="139">
        <f>(AA75+AA78)-AA79</f>
        <v>-561.04999999999995</v>
      </c>
      <c r="AB81" s="139">
        <f>(AB75+AB78)-AB79</f>
        <v>0</v>
      </c>
      <c r="AC81" s="140">
        <f>(AC75+AC78)-AC79</f>
        <v>-561.04999999999995</v>
      </c>
      <c r="AD81" s="67"/>
      <c r="AE81" s="739"/>
      <c r="AF81" s="587">
        <f>(AF75+AF78)-AF79</f>
        <v>-971.64</v>
      </c>
      <c r="AG81" s="587">
        <f>(AG75+AG78)-AG79</f>
        <v>0</v>
      </c>
      <c r="AH81" s="674">
        <f>(AH75+AH78)-AH79</f>
        <v>-971.64</v>
      </c>
      <c r="AI81" s="675"/>
      <c r="AJ81" s="749"/>
      <c r="AK81" s="587">
        <f>(AK75+AK78)-AK79</f>
        <v>765715.85399999993</v>
      </c>
      <c r="AL81" s="587">
        <f>(AL75+AL78)-AL79</f>
        <v>-4500</v>
      </c>
      <c r="AM81" s="674">
        <f>(AM75+AM78)-AM79</f>
        <v>761215.85399999993</v>
      </c>
      <c r="AN81" s="675"/>
      <c r="AO81" s="749"/>
      <c r="AP81" s="587">
        <f>(AP75+AP78)-AP79</f>
        <v>681362.15399999998</v>
      </c>
      <c r="AQ81" s="587">
        <f>(AQ75+AQ78)-AQ79</f>
        <v>0</v>
      </c>
      <c r="AR81" s="674">
        <f>(AR75+AR78)-AR79</f>
        <v>681362.15399999998</v>
      </c>
      <c r="AS81" s="675"/>
      <c r="AT81" s="749"/>
      <c r="AU81" s="587">
        <f>(AU75+AU78)-AU79</f>
        <v>340643.14</v>
      </c>
      <c r="AV81" s="587">
        <f>(AV75+AV78)-AV79</f>
        <v>0</v>
      </c>
      <c r="AW81" s="674">
        <f>(AW75+AW78)-AW79</f>
        <v>340643.14</v>
      </c>
      <c r="AX81" s="675"/>
      <c r="AY81" s="749"/>
      <c r="AZ81" s="587">
        <f>(AZ75+AZ78)-AZ79</f>
        <v>-27406.331999999999</v>
      </c>
      <c r="BA81" s="587">
        <f>(BA75+BA78)-BA79</f>
        <v>0</v>
      </c>
      <c r="BB81" s="674">
        <f>(BB75+BB78)-BB79</f>
        <v>-27406.331999999999</v>
      </c>
      <c r="BC81" s="675"/>
      <c r="BD81" s="749"/>
      <c r="BE81" s="1170">
        <f>(BE75+BE78)-BE79</f>
        <v>-48714.983999999997</v>
      </c>
      <c r="BF81" s="1170">
        <f>(BF75+BF78)-BF79</f>
        <v>0</v>
      </c>
      <c r="BG81" s="1369">
        <f>(BG75+BG78)-BG79</f>
        <v>-48714.983999999997</v>
      </c>
      <c r="BH81" s="1364"/>
      <c r="BI81" s="1373"/>
      <c r="BJ81" s="139">
        <f>(BJ75+BJ78)-BJ79</f>
        <v>1948997.6813999999</v>
      </c>
      <c r="BK81" s="139">
        <f>(BK75+BK78)-BK79</f>
        <v>-165198.27000000002</v>
      </c>
      <c r="BL81" s="140">
        <f>(BL75+BL78)-BL79</f>
        <v>1759787.026227586</v>
      </c>
      <c r="BM81" s="67"/>
      <c r="BN81" s="67"/>
    </row>
    <row r="82" spans="1:66" s="2" customFormat="1" ht="13.8">
      <c r="A82" s="293"/>
      <c r="B82" s="6" t="s">
        <v>38</v>
      </c>
      <c r="C82" s="141"/>
      <c r="D82" s="142"/>
      <c r="E82" s="146">
        <f>C82+D82</f>
        <v>0</v>
      </c>
      <c r="F82" s="180" t="e">
        <f>E82/$E$89</f>
        <v>#DIV/0!</v>
      </c>
      <c r="G82" s="39"/>
      <c r="H82" s="39"/>
      <c r="I82" s="146">
        <f>G82+H82</f>
        <v>0</v>
      </c>
      <c r="J82" s="101"/>
      <c r="K82" s="101"/>
      <c r="L82" s="39"/>
      <c r="M82" s="39"/>
      <c r="N82" s="146">
        <f>L82+M82</f>
        <v>0</v>
      </c>
      <c r="O82" s="101"/>
      <c r="P82" s="433"/>
      <c r="Q82" s="39"/>
      <c r="R82" s="39"/>
      <c r="S82" s="146">
        <f>Q82+R82</f>
        <v>0</v>
      </c>
      <c r="T82" s="101"/>
      <c r="U82" s="433"/>
      <c r="V82" s="39"/>
      <c r="W82" s="39"/>
      <c r="X82" s="146">
        <f>V82+W82</f>
        <v>0</v>
      </c>
      <c r="Y82" s="101"/>
      <c r="Z82" s="433"/>
      <c r="AA82" s="39"/>
      <c r="AB82" s="39"/>
      <c r="AC82" s="146">
        <f>AA82+AB82</f>
        <v>0</v>
      </c>
      <c r="AD82" s="101"/>
      <c r="AE82" s="740"/>
      <c r="AF82" s="560"/>
      <c r="AG82" s="452"/>
      <c r="AH82" s="565">
        <f>AF82+AG82</f>
        <v>0</v>
      </c>
      <c r="AI82" s="642"/>
      <c r="AJ82" s="719"/>
      <c r="AK82" s="560"/>
      <c r="AL82" s="452"/>
      <c r="AM82" s="565">
        <f>AK82+AL82</f>
        <v>0</v>
      </c>
      <c r="AN82" s="642"/>
      <c r="AO82" s="719"/>
      <c r="AP82" s="560"/>
      <c r="AQ82" s="452"/>
      <c r="AR82" s="565">
        <f>AP82+AQ82</f>
        <v>0</v>
      </c>
      <c r="AS82" s="642"/>
      <c r="AT82" s="719"/>
      <c r="AU82" s="560"/>
      <c r="AV82" s="452"/>
      <c r="AW82" s="565">
        <f>AU82+AV82</f>
        <v>0</v>
      </c>
      <c r="AX82" s="642"/>
      <c r="AY82" s="719"/>
      <c r="AZ82" s="560"/>
      <c r="BA82" s="452"/>
      <c r="BB82" s="565">
        <f>AZ82+BA82</f>
        <v>0</v>
      </c>
      <c r="BC82" s="642"/>
      <c r="BD82" s="719"/>
      <c r="BE82" s="1644"/>
      <c r="BF82" s="1432"/>
      <c r="BG82" s="1515">
        <f>BE82+BF82</f>
        <v>0</v>
      </c>
      <c r="BH82" s="1476"/>
      <c r="BI82" s="1612"/>
      <c r="BJ82" s="39">
        <f>G82+L82+Q82+V82+AA82+AF82+AK82+AP82+AU82+AZ82+BE82</f>
        <v>0</v>
      </c>
      <c r="BK82" s="39">
        <f>H82+M82+R82+W82+AB82+AG82+AL82+AQ82+AV82+BA82+BF82</f>
        <v>0</v>
      </c>
      <c r="BL82" s="146">
        <f>BJ82+BK82</f>
        <v>0</v>
      </c>
      <c r="BM82" s="101"/>
      <c r="BN82" s="101"/>
    </row>
    <row r="83" spans="1:66" s="2" customFormat="1" ht="13.8">
      <c r="A83" s="11"/>
      <c r="B83" s="28" t="s">
        <v>13</v>
      </c>
      <c r="C83" s="147">
        <f>(C81+C7)-C36</f>
        <v>0</v>
      </c>
      <c r="D83" s="147">
        <f>(D81+D7)-D36</f>
        <v>0</v>
      </c>
      <c r="E83" s="147">
        <f>(E81+E7)-E36</f>
        <v>0</v>
      </c>
      <c r="F83" s="174"/>
      <c r="G83" s="147">
        <f>(G81+G7)-G36</f>
        <v>-41650.04</v>
      </c>
      <c r="H83" s="147">
        <f>(H81+H7)-H36</f>
        <v>-3921.1</v>
      </c>
      <c r="I83" s="148">
        <f>(I81+I7)-I36</f>
        <v>-46157.051494252875</v>
      </c>
      <c r="J83" s="70"/>
      <c r="K83" s="70"/>
      <c r="L83" s="147">
        <f>(L81+L7)-L36</f>
        <v>45952.177399999993</v>
      </c>
      <c r="M83" s="147">
        <f>(M81+M7)-M36</f>
        <v>-66628.739999999991</v>
      </c>
      <c r="N83" s="148">
        <f>(N81+N7)-N36</f>
        <v>-30632.581220689659</v>
      </c>
      <c r="O83" s="70"/>
      <c r="P83" s="434"/>
      <c r="Q83" s="147">
        <f>(Q81+Q7)-Q36</f>
        <v>235600.04199999999</v>
      </c>
      <c r="R83" s="147">
        <f>(R81+R7)-R36</f>
        <v>-90148.430000000008</v>
      </c>
      <c r="S83" s="148">
        <f>(S81+S7)-S36</f>
        <v>131981.1569425287</v>
      </c>
      <c r="T83" s="70"/>
      <c r="U83" s="434"/>
      <c r="V83" s="147">
        <f>(V81+V7)-V36</f>
        <v>-971.64</v>
      </c>
      <c r="W83" s="147">
        <f>(W81+W7)-W36</f>
        <v>0</v>
      </c>
      <c r="X83" s="148">
        <f>(X81+X7)-X36</f>
        <v>-971.64</v>
      </c>
      <c r="Y83" s="70"/>
      <c r="Z83" s="434"/>
      <c r="AA83" s="147">
        <f>(AA81+AA7)-AA36</f>
        <v>-561.04999999999995</v>
      </c>
      <c r="AB83" s="147">
        <f>(AB81+AB7)-AB36</f>
        <v>0</v>
      </c>
      <c r="AC83" s="148">
        <f>(AC81+AC7)-AC36</f>
        <v>-561.04999999999995</v>
      </c>
      <c r="AD83" s="70"/>
      <c r="AE83" s="741"/>
      <c r="AF83" s="679">
        <f>(AF81+AF7)-AF36</f>
        <v>-971.64</v>
      </c>
      <c r="AG83" s="679">
        <f>(AG81+AG7)-AG36</f>
        <v>0</v>
      </c>
      <c r="AH83" s="680">
        <f>(AH81+AH7)-AH36</f>
        <v>-971.64</v>
      </c>
      <c r="AI83" s="681"/>
      <c r="AJ83" s="750"/>
      <c r="AK83" s="679">
        <f>(AK81+AK7)-AK36</f>
        <v>765715.85399999993</v>
      </c>
      <c r="AL83" s="679">
        <f>(AL81+AL7)-AL36</f>
        <v>-4500</v>
      </c>
      <c r="AM83" s="680">
        <f>(AM81+AM7)-AM36</f>
        <v>761215.85399999993</v>
      </c>
      <c r="AN83" s="681"/>
      <c r="AO83" s="750"/>
      <c r="AP83" s="679">
        <f>(AP81+AP7)-AP36</f>
        <v>681362.15399999998</v>
      </c>
      <c r="AQ83" s="679">
        <f>(AQ81+AQ7)-AQ36</f>
        <v>0</v>
      </c>
      <c r="AR83" s="680">
        <f>(AR81+AR7)-AR36</f>
        <v>681362.15399999998</v>
      </c>
      <c r="AS83" s="681"/>
      <c r="AT83" s="750"/>
      <c r="AU83" s="679">
        <f>(AU81+AU7)-AU36</f>
        <v>340643.14</v>
      </c>
      <c r="AV83" s="679">
        <f>(AV81+AV7)-AV36</f>
        <v>0</v>
      </c>
      <c r="AW83" s="680">
        <f>(AW81+AW7)-AW36</f>
        <v>340643.14</v>
      </c>
      <c r="AX83" s="681"/>
      <c r="AY83" s="750"/>
      <c r="AZ83" s="679">
        <f>(AZ81+AZ7)-AZ36</f>
        <v>-27406.331999999999</v>
      </c>
      <c r="BA83" s="679">
        <f>(BA81+BA7)-BA36</f>
        <v>0</v>
      </c>
      <c r="BB83" s="680">
        <f>(BB81+BB7)-BB36</f>
        <v>-27406.331999999999</v>
      </c>
      <c r="BC83" s="681"/>
      <c r="BD83" s="750"/>
      <c r="BE83" s="1896">
        <f>(BE81+BE7)-BE36</f>
        <v>-48714.983999999997</v>
      </c>
      <c r="BF83" s="1896">
        <f>(BF81+BF7)-BF36</f>
        <v>0</v>
      </c>
      <c r="BG83" s="1897">
        <f>(BG81+BG7)-BG36</f>
        <v>-48714.983999999997</v>
      </c>
      <c r="BH83" s="1898"/>
      <c r="BI83" s="1899"/>
      <c r="BJ83" s="147">
        <f>(BJ81+BJ7)-BJ36</f>
        <v>1948997.6813999999</v>
      </c>
      <c r="BK83" s="147">
        <f>(BK81+BK7)-BK36</f>
        <v>-165198.27000000002</v>
      </c>
      <c r="BL83" s="148">
        <f>(BL81+BL7)-BL36</f>
        <v>1759787.026227586</v>
      </c>
      <c r="BM83" s="70"/>
      <c r="BN83" s="70"/>
    </row>
    <row r="84" spans="1:66" s="2" customFormat="1" ht="14.4" thickBot="1">
      <c r="A84" s="11"/>
      <c r="B84" s="211" t="s">
        <v>14</v>
      </c>
      <c r="C84" s="212">
        <f>C83-C73-C82</f>
        <v>0</v>
      </c>
      <c r="D84" s="212">
        <f>D83-D73-D82</f>
        <v>0</v>
      </c>
      <c r="E84" s="212">
        <f>E83-E73-E82</f>
        <v>0</v>
      </c>
      <c r="F84" s="214"/>
      <c r="G84" s="213">
        <f>G83-G73-G82</f>
        <v>-41650.04</v>
      </c>
      <c r="H84" s="213">
        <f>H83-H73-H82</f>
        <v>-3921.1</v>
      </c>
      <c r="I84" s="213">
        <f>I83-I73-I82</f>
        <v>-46157.051494252875</v>
      </c>
      <c r="J84" s="82"/>
      <c r="K84" s="82"/>
      <c r="L84" s="213">
        <f>L83-L73-L82</f>
        <v>45952.177399999993</v>
      </c>
      <c r="M84" s="213">
        <f>M83-M73-M82</f>
        <v>-66628.739999999991</v>
      </c>
      <c r="N84" s="213">
        <f>N83-N73-N82</f>
        <v>-30632.581220689659</v>
      </c>
      <c r="O84" s="82"/>
      <c r="P84" s="435"/>
      <c r="Q84" s="213">
        <f>Q83-Q73-Q82</f>
        <v>235600.04199999999</v>
      </c>
      <c r="R84" s="213">
        <f>R83-R73-R82</f>
        <v>-90148.430000000008</v>
      </c>
      <c r="S84" s="213">
        <f>S83-S73-S82</f>
        <v>131981.1569425287</v>
      </c>
      <c r="T84" s="82"/>
      <c r="U84" s="435"/>
      <c r="V84" s="213">
        <f>V83-V73-V82</f>
        <v>-971.64</v>
      </c>
      <c r="W84" s="213">
        <f>W83-W73-W82</f>
        <v>0</v>
      </c>
      <c r="X84" s="213">
        <f>X83-X73-X82</f>
        <v>-971.64</v>
      </c>
      <c r="Y84" s="82"/>
      <c r="Z84" s="435"/>
      <c r="AA84" s="213">
        <f>AA83-AA73-AA82</f>
        <v>-561.04999999999995</v>
      </c>
      <c r="AB84" s="213">
        <f>AB83-AB73-AB82</f>
        <v>0</v>
      </c>
      <c r="AC84" s="213">
        <f>AC83-AC73-AC82</f>
        <v>-561.04999999999995</v>
      </c>
      <c r="AD84" s="82"/>
      <c r="AE84" s="742"/>
      <c r="AF84" s="562">
        <f>AF83-AF73-AF82</f>
        <v>-971.64</v>
      </c>
      <c r="AG84" s="562">
        <f>AG83-AG73-AG82</f>
        <v>0</v>
      </c>
      <c r="AH84" s="562">
        <f>AH83-AH73-AH82</f>
        <v>-971.64</v>
      </c>
      <c r="AI84" s="537"/>
      <c r="AJ84" s="751"/>
      <c r="AK84" s="562">
        <f>AK83-AK73-AK82</f>
        <v>765715.85399999993</v>
      </c>
      <c r="AL84" s="562">
        <f>AL83-AL73-AL82</f>
        <v>-4500</v>
      </c>
      <c r="AM84" s="562">
        <f>AM83-AM73-AM82</f>
        <v>761215.85399999993</v>
      </c>
      <c r="AN84" s="537"/>
      <c r="AO84" s="751"/>
      <c r="AP84" s="562">
        <f>AP83-AP73-AP82</f>
        <v>681362.15399999998</v>
      </c>
      <c r="AQ84" s="562">
        <f>AQ83-AQ73-AQ82</f>
        <v>0</v>
      </c>
      <c r="AR84" s="562">
        <f>AR83-AR73-AR82</f>
        <v>681362.15399999998</v>
      </c>
      <c r="AS84" s="537"/>
      <c r="AT84" s="751"/>
      <c r="AU84" s="562">
        <f>AU83-AU73-AU82</f>
        <v>340643.14</v>
      </c>
      <c r="AV84" s="562">
        <f>AV83-AV73-AV82</f>
        <v>0</v>
      </c>
      <c r="AW84" s="562">
        <f>AW83-AW73-AW82</f>
        <v>340643.14</v>
      </c>
      <c r="AX84" s="537"/>
      <c r="AY84" s="751"/>
      <c r="AZ84" s="562">
        <f>AZ83-AZ73-AZ82</f>
        <v>-27406.331999999999</v>
      </c>
      <c r="BA84" s="562">
        <f>BA83-BA73-BA82</f>
        <v>0</v>
      </c>
      <c r="BB84" s="562">
        <f>BB83-BB73-BB82</f>
        <v>-27406.331999999999</v>
      </c>
      <c r="BC84" s="537"/>
      <c r="BD84" s="751"/>
      <c r="BE84" s="2089">
        <f>BE83-BE73-BE82</f>
        <v>-48714.983999999997</v>
      </c>
      <c r="BF84" s="2089">
        <f>BF83-BF73-BF82</f>
        <v>0</v>
      </c>
      <c r="BG84" s="1937">
        <f>BG83-BG73-BG82</f>
        <v>-48714.983999999997</v>
      </c>
      <c r="BH84" s="1938"/>
      <c r="BI84" s="1948"/>
      <c r="BJ84" s="2089">
        <f>BJ83-BJ73-BJ82</f>
        <v>1948997.6813999999</v>
      </c>
      <c r="BK84" s="2089">
        <f>BK83-BK73-BK82</f>
        <v>-165198.27000000002</v>
      </c>
      <c r="BL84" s="213">
        <f>BL83-BL73-BL82</f>
        <v>1759787.026227586</v>
      </c>
      <c r="BM84" s="82"/>
      <c r="BN84" s="82"/>
    </row>
    <row r="85" spans="1:66" s="2" customFormat="1" ht="13.8">
      <c r="A85" s="293"/>
      <c r="B85" s="216" t="s">
        <v>44</v>
      </c>
      <c r="C85" s="141"/>
      <c r="D85" s="142"/>
      <c r="E85" s="146">
        <f>C85+D85</f>
        <v>0</v>
      </c>
      <c r="F85" s="217" t="e">
        <f>E85/$E$89</f>
        <v>#DIV/0!</v>
      </c>
      <c r="G85" s="39"/>
      <c r="H85" s="39"/>
      <c r="I85" s="219">
        <f>G85+H85*1.15</f>
        <v>0</v>
      </c>
      <c r="J85" s="102"/>
      <c r="K85" s="102"/>
      <c r="L85" s="39"/>
      <c r="M85" s="39"/>
      <c r="N85" s="219">
        <f>L85+M85*1.15</f>
        <v>0</v>
      </c>
      <c r="O85" s="102"/>
      <c r="P85" s="436"/>
      <c r="Q85" s="39"/>
      <c r="R85" s="39"/>
      <c r="S85" s="219">
        <f>Q85+R85*1.15</f>
        <v>0</v>
      </c>
      <c r="T85" s="102"/>
      <c r="U85" s="436"/>
      <c r="V85" s="39"/>
      <c r="W85" s="39"/>
      <c r="X85" s="219">
        <f>V85+W85*1.15</f>
        <v>0</v>
      </c>
      <c r="Y85" s="102"/>
      <c r="Z85" s="436"/>
      <c r="AA85" s="39"/>
      <c r="AB85" s="39"/>
      <c r="AC85" s="219">
        <f>AA85+AB85*1.15</f>
        <v>0</v>
      </c>
      <c r="AD85" s="102"/>
      <c r="AE85" s="743"/>
      <c r="AF85" s="560"/>
      <c r="AG85" s="452"/>
      <c r="AH85" s="484">
        <f>AF85+AG85*1.15</f>
        <v>0</v>
      </c>
      <c r="AI85" s="566"/>
      <c r="AJ85" s="752"/>
      <c r="AK85" s="560"/>
      <c r="AL85" s="452"/>
      <c r="AM85" s="484">
        <f>AK85+AL85*1.15</f>
        <v>0</v>
      </c>
      <c r="AN85" s="566"/>
      <c r="AO85" s="752"/>
      <c r="AP85" s="560"/>
      <c r="AQ85" s="452"/>
      <c r="AR85" s="484">
        <f>AP85+AQ85*1.15</f>
        <v>0</v>
      </c>
      <c r="AS85" s="566"/>
      <c r="AT85" s="752"/>
      <c r="AU85" s="560"/>
      <c r="AV85" s="452"/>
      <c r="AW85" s="484">
        <f>AU85+AV85*1.15</f>
        <v>0</v>
      </c>
      <c r="AX85" s="566"/>
      <c r="AY85" s="752"/>
      <c r="AZ85" s="560"/>
      <c r="BA85" s="452"/>
      <c r="BB85" s="484">
        <f>AZ85+BA85*1.15</f>
        <v>0</v>
      </c>
      <c r="BC85" s="566"/>
      <c r="BD85" s="752"/>
      <c r="BE85" s="1644"/>
      <c r="BF85" s="1432"/>
      <c r="BG85" s="1560">
        <f>BE85+BF85*1.15</f>
        <v>0</v>
      </c>
      <c r="BH85" s="1477"/>
      <c r="BI85" s="752"/>
      <c r="BJ85" s="39">
        <f>G85+L85+Q85+V85+AA85+AF85+AK85+AP85+AU85+AZ85+BE85</f>
        <v>0</v>
      </c>
      <c r="BK85" s="39">
        <f>H85+M85+R85+W85+AB85+AG85+AL85+AQ85+AV85+BA85+BF85</f>
        <v>0</v>
      </c>
      <c r="BL85" s="219">
        <f>BJ85+BK85*1.15</f>
        <v>0</v>
      </c>
      <c r="BM85" s="102"/>
      <c r="BN85" s="102"/>
    </row>
    <row r="86" spans="1:66" s="2" customFormat="1" ht="27.6">
      <c r="A86" s="11"/>
      <c r="B86" s="37" t="s">
        <v>50</v>
      </c>
      <c r="C86" s="149">
        <f>C84-C85</f>
        <v>0</v>
      </c>
      <c r="D86" s="149">
        <f>D84-D85</f>
        <v>0</v>
      </c>
      <c r="E86" s="150">
        <f>E84-E85</f>
        <v>0</v>
      </c>
      <c r="F86" s="175"/>
      <c r="G86" s="150">
        <f>G84-G85</f>
        <v>-41650.04</v>
      </c>
      <c r="H86" s="150">
        <f>H84-H85</f>
        <v>-3921.1</v>
      </c>
      <c r="I86" s="150">
        <f>I84-I85</f>
        <v>-46157.051494252875</v>
      </c>
      <c r="J86" s="73"/>
      <c r="K86" s="73"/>
      <c r="L86" s="150">
        <f>L84-L85</f>
        <v>45952.177399999993</v>
      </c>
      <c r="M86" s="150">
        <f>M84-M85</f>
        <v>-66628.739999999991</v>
      </c>
      <c r="N86" s="150">
        <f>N84-N85</f>
        <v>-30632.581220689659</v>
      </c>
      <c r="O86" s="73"/>
      <c r="P86" s="434"/>
      <c r="Q86" s="150">
        <f>Q84-Q85</f>
        <v>235600.04199999999</v>
      </c>
      <c r="R86" s="150">
        <f>R84-R85</f>
        <v>-90148.430000000008</v>
      </c>
      <c r="S86" s="150">
        <f>S84-S85</f>
        <v>131981.1569425287</v>
      </c>
      <c r="T86" s="73"/>
      <c r="U86" s="434"/>
      <c r="V86" s="150">
        <f>V84-V85</f>
        <v>-971.64</v>
      </c>
      <c r="W86" s="150">
        <f>W84-W85</f>
        <v>0</v>
      </c>
      <c r="X86" s="150">
        <f>X84-X85</f>
        <v>-971.64</v>
      </c>
      <c r="Y86" s="73"/>
      <c r="Z86" s="434"/>
      <c r="AA86" s="150">
        <f>AA84-AA85</f>
        <v>-561.04999999999995</v>
      </c>
      <c r="AB86" s="150">
        <f>AB84-AB85</f>
        <v>0</v>
      </c>
      <c r="AC86" s="150">
        <f>AC84-AC85</f>
        <v>-561.04999999999995</v>
      </c>
      <c r="AD86" s="73"/>
      <c r="AE86" s="741"/>
      <c r="AF86" s="569">
        <f>AF84-AF85</f>
        <v>-971.64</v>
      </c>
      <c r="AG86" s="569">
        <f>AG84-AG85</f>
        <v>0</v>
      </c>
      <c r="AH86" s="569">
        <f>AH84-AH85</f>
        <v>-971.64</v>
      </c>
      <c r="AI86" s="538"/>
      <c r="AJ86" s="750"/>
      <c r="AK86" s="569">
        <f>AK84-AK85</f>
        <v>765715.85399999993</v>
      </c>
      <c r="AL86" s="569">
        <f>AL84-AL85</f>
        <v>-4500</v>
      </c>
      <c r="AM86" s="569">
        <f>AM84-AM85</f>
        <v>761215.85399999993</v>
      </c>
      <c r="AN86" s="538"/>
      <c r="AO86" s="750"/>
      <c r="AP86" s="569">
        <f>AP84-AP85</f>
        <v>681362.15399999998</v>
      </c>
      <c r="AQ86" s="569">
        <f>AQ84-AQ85</f>
        <v>0</v>
      </c>
      <c r="AR86" s="569">
        <f>AR84-AR85</f>
        <v>681362.15399999998</v>
      </c>
      <c r="AS86" s="538"/>
      <c r="AT86" s="750"/>
      <c r="AU86" s="569">
        <f>AU84-AU85</f>
        <v>340643.14</v>
      </c>
      <c r="AV86" s="569">
        <f>AV84-AV85</f>
        <v>0</v>
      </c>
      <c r="AW86" s="569">
        <f>AW84-AW85</f>
        <v>340643.14</v>
      </c>
      <c r="AX86" s="538"/>
      <c r="AY86" s="750"/>
      <c r="AZ86" s="569">
        <f>AZ84-AZ85</f>
        <v>-27406.331999999999</v>
      </c>
      <c r="BA86" s="569">
        <f>BA84-BA85</f>
        <v>0</v>
      </c>
      <c r="BB86" s="569">
        <f>BB84-BB85</f>
        <v>-27406.331999999999</v>
      </c>
      <c r="BC86" s="538"/>
      <c r="BD86" s="750"/>
      <c r="BE86" s="1903">
        <f>BE84-BE85</f>
        <v>-48714.983999999997</v>
      </c>
      <c r="BF86" s="1903">
        <f>BF84-BF85</f>
        <v>0</v>
      </c>
      <c r="BG86" s="1903">
        <f>BG84-BG85</f>
        <v>-48714.983999999997</v>
      </c>
      <c r="BH86" s="1904"/>
      <c r="BI86" s="1899"/>
      <c r="BJ86" s="150">
        <f>BJ84-BJ85</f>
        <v>1948997.6813999999</v>
      </c>
      <c r="BK86" s="150">
        <f>BK84-BK85</f>
        <v>-165198.27000000002</v>
      </c>
      <c r="BL86" s="150">
        <f>BL84-BL85</f>
        <v>1759787.026227586</v>
      </c>
      <c r="BM86" s="73"/>
      <c r="BN86" s="73"/>
    </row>
    <row r="87" spans="1:66" s="2" customFormat="1" ht="14.4" thickBot="1">
      <c r="A87" s="295"/>
      <c r="B87" s="29" t="s">
        <v>51</v>
      </c>
      <c r="C87" s="155" t="e">
        <f>C86/C5</f>
        <v>#DIV/0!</v>
      </c>
      <c r="D87" s="151" t="e">
        <f>D86/D5</f>
        <v>#DIV/0!</v>
      </c>
      <c r="E87" s="156" t="e">
        <f>E86/E5</f>
        <v>#DIV/0!</v>
      </c>
      <c r="F87" s="176"/>
      <c r="G87" s="155" t="e">
        <f>G86/G5</f>
        <v>#DIV/0!</v>
      </c>
      <c r="H87" s="151" t="e">
        <f>H86/H5</f>
        <v>#DIV/0!</v>
      </c>
      <c r="I87" s="156" t="e">
        <f>I86/I5</f>
        <v>#DIV/0!</v>
      </c>
      <c r="J87" s="75"/>
      <c r="K87" s="75"/>
      <c r="L87" s="155">
        <f>L86/L5</f>
        <v>0.38401645802343259</v>
      </c>
      <c r="M87" s="151" t="e">
        <f>M86/M5</f>
        <v>#DIV/0!</v>
      </c>
      <c r="N87" s="156">
        <f>N86/N5</f>
        <v>-0.25599255587145175</v>
      </c>
      <c r="O87" s="75"/>
      <c r="P87" s="437"/>
      <c r="Q87" s="155">
        <f>Q86/Q5</f>
        <v>0.7539212441720714</v>
      </c>
      <c r="R87" s="151" t="e">
        <f>R86/R5</f>
        <v>#DIV/0!</v>
      </c>
      <c r="S87" s="156">
        <f>S86/S5</f>
        <v>0.42234032390104864</v>
      </c>
      <c r="T87" s="75"/>
      <c r="U87" s="437"/>
      <c r="V87" s="155" t="e">
        <f>V86/V5</f>
        <v>#DIV/0!</v>
      </c>
      <c r="W87" s="151" t="e">
        <f>W86/W5</f>
        <v>#DIV/0!</v>
      </c>
      <c r="X87" s="156" t="e">
        <f>X86/X5</f>
        <v>#DIV/0!</v>
      </c>
      <c r="Y87" s="75"/>
      <c r="Z87" s="437"/>
      <c r="AA87" s="155" t="e">
        <f>AA86/AA5</f>
        <v>#DIV/0!</v>
      </c>
      <c r="AB87" s="151" t="e">
        <f>AB86/AB5</f>
        <v>#DIV/0!</v>
      </c>
      <c r="AC87" s="156" t="e">
        <f>AC86/AC5</f>
        <v>#DIV/0!</v>
      </c>
      <c r="AD87" s="75"/>
      <c r="AE87" s="744"/>
      <c r="AF87" s="573" t="e">
        <f>AF86/AF5</f>
        <v>#DIV/0!</v>
      </c>
      <c r="AG87" s="574" t="e">
        <f>AG86/AG5</f>
        <v>#DIV/0!</v>
      </c>
      <c r="AH87" s="575" t="e">
        <f>AH86/AH5</f>
        <v>#DIV/0!</v>
      </c>
      <c r="AI87" s="576"/>
      <c r="AJ87" s="753"/>
      <c r="AK87" s="573">
        <f>AK86/AK5</f>
        <v>0.99989410247716448</v>
      </c>
      <c r="AL87" s="574" t="e">
        <f>AL86/AL5</f>
        <v>#DIV/0!</v>
      </c>
      <c r="AM87" s="575">
        <f>AM86/AM5</f>
        <v>0.99401787118635032</v>
      </c>
      <c r="AN87" s="576"/>
      <c r="AO87" s="753"/>
      <c r="AP87" s="573">
        <f>AP86/AP5</f>
        <v>0.99988099375846773</v>
      </c>
      <c r="AQ87" s="574" t="e">
        <f>AQ86/AQ5</f>
        <v>#DIV/0!</v>
      </c>
      <c r="AR87" s="575">
        <f>AR86/AR5</f>
        <v>0.99988099375846773</v>
      </c>
      <c r="AS87" s="576"/>
      <c r="AT87" s="753"/>
      <c r="AU87" s="573">
        <f>AU86/AU5</f>
        <v>0.99976966533558986</v>
      </c>
      <c r="AV87" s="574" t="e">
        <f>AV86/AV5</f>
        <v>#DIV/0!</v>
      </c>
      <c r="AW87" s="575">
        <f>AW86/AW5</f>
        <v>0.99976966533558986</v>
      </c>
      <c r="AX87" s="576"/>
      <c r="AY87" s="753"/>
      <c r="AZ87" s="573" t="e">
        <f>AZ86/AZ5</f>
        <v>#DIV/0!</v>
      </c>
      <c r="BA87" s="574" t="e">
        <f>BA86/BA5</f>
        <v>#DIV/0!</v>
      </c>
      <c r="BB87" s="575" t="e">
        <f>BB86/BB5</f>
        <v>#DIV/0!</v>
      </c>
      <c r="BC87" s="576"/>
      <c r="BD87" s="753"/>
      <c r="BE87" s="1171" t="e">
        <f>BE86/BE5</f>
        <v>#DIV/0!</v>
      </c>
      <c r="BF87" s="1172" t="e">
        <f>BF86/BF5</f>
        <v>#DIV/0!</v>
      </c>
      <c r="BG87" s="1370" t="e">
        <f>BG86/BG5</f>
        <v>#DIV/0!</v>
      </c>
      <c r="BH87" s="1365"/>
      <c r="BI87" s="1374"/>
      <c r="BJ87" s="155">
        <f>BJ86/BJ5</f>
        <v>0.87787810196276661</v>
      </c>
      <c r="BK87" s="151" t="e">
        <f>BK86/BK5</f>
        <v>#DIV/0!</v>
      </c>
      <c r="BL87" s="156">
        <f>BL86/BL5</f>
        <v>0.79265281287233791</v>
      </c>
      <c r="BM87" s="75"/>
      <c r="BN87" s="75"/>
    </row>
    <row r="88" spans="1:66" ht="13.8">
      <c r="A88" s="30"/>
      <c r="B88" s="30"/>
      <c r="C88" s="152"/>
      <c r="D88" s="152"/>
      <c r="E88" s="152"/>
      <c r="F88" s="188"/>
      <c r="G88" s="76"/>
      <c r="H88" s="76"/>
      <c r="I88" s="76"/>
      <c r="J88" s="76"/>
      <c r="K88" s="76"/>
      <c r="L88" s="76"/>
      <c r="M88" s="76"/>
      <c r="N88" s="76"/>
      <c r="O88" s="76"/>
      <c r="P88" s="438"/>
      <c r="Q88" s="76"/>
      <c r="R88" s="76"/>
      <c r="S88" s="76"/>
      <c r="T88" s="76"/>
      <c r="U88" s="438"/>
      <c r="V88" s="76"/>
      <c r="W88" s="76"/>
      <c r="X88" s="76"/>
      <c r="Y88" s="76"/>
      <c r="Z88" s="438"/>
      <c r="AA88" s="76"/>
      <c r="AB88" s="76"/>
      <c r="AC88" s="76"/>
      <c r="AD88" s="76"/>
      <c r="AE88" s="438"/>
      <c r="AF88" s="76"/>
      <c r="AG88" s="76"/>
      <c r="AH88" s="76"/>
      <c r="AI88" s="76"/>
      <c r="AJ88" s="438"/>
      <c r="AK88" s="76"/>
      <c r="AL88" s="76"/>
      <c r="AM88" s="76"/>
      <c r="AN88" s="76"/>
      <c r="AO88" s="438"/>
      <c r="AP88" s="76"/>
      <c r="AQ88" s="76"/>
      <c r="AR88" s="76"/>
      <c r="AS88" s="76"/>
      <c r="AT88" s="438"/>
      <c r="AU88" s="76"/>
      <c r="AV88" s="76"/>
      <c r="AW88" s="76"/>
      <c r="AX88" s="76"/>
      <c r="AY88" s="438"/>
      <c r="AZ88" s="76"/>
      <c r="BA88" s="76"/>
      <c r="BB88" s="76"/>
      <c r="BC88" s="76"/>
      <c r="BD88" s="438"/>
      <c r="BE88" s="1458"/>
      <c r="BF88" s="1458"/>
      <c r="BG88" s="1458"/>
      <c r="BH88" s="1458"/>
      <c r="BI88" s="1613"/>
      <c r="BJ88" s="76"/>
      <c r="BK88" s="76"/>
      <c r="BL88" s="76"/>
      <c r="BM88" s="76"/>
      <c r="BN88" s="76"/>
    </row>
    <row r="89" spans="1:66">
      <c r="B89" s="221" t="s">
        <v>56</v>
      </c>
      <c r="C89" s="153"/>
      <c r="D89" s="153"/>
      <c r="E89" s="154">
        <f>E8+E36+E41+E50+E54+E73+E79+E82+E85</f>
        <v>0</v>
      </c>
      <c r="F89" s="189"/>
      <c r="I89" s="154">
        <f>I8+I36+I41+I50+I54+I73+I79+I82+I85</f>
        <v>46157.051494252875</v>
      </c>
      <c r="N89" s="154">
        <f>N8+N36+N41+N50+N54+N73+N79+N82+N85</f>
        <v>150294.58122068967</v>
      </c>
      <c r="P89" s="395"/>
      <c r="S89" s="154">
        <f>S8+S36+S41+S50+S54+S73+S79+S82+S85</f>
        <v>180518.38305747128</v>
      </c>
      <c r="U89" s="395"/>
      <c r="X89" s="154">
        <f>X8+X36+X41+X50+X54+X73+X79+X82+X85</f>
        <v>971.64</v>
      </c>
      <c r="Z89" s="395"/>
      <c r="AC89" s="154">
        <f>AC8+AC36+AC41+AC50+AC54+AC73+AC79+AC82+AC85</f>
        <v>561.04999999999995</v>
      </c>
      <c r="AE89" s="395"/>
      <c r="AH89" s="154">
        <f>AH8+AH36+AH41+AH50+AH54+AH73+AH79+AH82+AH85</f>
        <v>971.64</v>
      </c>
      <c r="AJ89" s="395"/>
      <c r="AM89" s="154">
        <f>AM8+AM36+AM41+AM50+AM54+AM73+AM79+AM82+AM85</f>
        <v>4581.0959999999995</v>
      </c>
      <c r="AO89" s="395"/>
      <c r="AR89" s="154">
        <f>AR8+AR36+AR41+AR50+AR54+AR73+AR79+AR82+AR85</f>
        <v>81.095999999999989</v>
      </c>
      <c r="AT89" s="395"/>
      <c r="AW89" s="154">
        <f>AW8+AW36+AW41+AW50+AW54+AW73+AW79+AW82+AW85</f>
        <v>78.48</v>
      </c>
      <c r="AY89" s="395"/>
      <c r="BB89" s="154">
        <f>BB8+BB36+BB41+BB50+BB54+BB73+BB79+BB82+BB85</f>
        <v>27406.331999999999</v>
      </c>
      <c r="BD89" s="395"/>
      <c r="BG89" s="1523">
        <f>BG8+BG36+BG41+BG50+BG54+BG73+BG79+BG82+BG85</f>
        <v>48714.983999999997</v>
      </c>
      <c r="BI89" s="1592"/>
      <c r="BL89" s="154">
        <f>BL8+BL36+BL41+BL50+BL54+BL73+BL79+BL82+BL85</f>
        <v>460336.33377241378</v>
      </c>
    </row>
    <row r="90" spans="1:66">
      <c r="C90" s="153"/>
      <c r="D90" s="153"/>
      <c r="E90" s="153"/>
      <c r="P90" s="395"/>
      <c r="U90" s="395"/>
      <c r="Z90" s="395"/>
      <c r="AA90" s="395"/>
      <c r="AB90" s="395"/>
      <c r="AC90" s="395"/>
      <c r="AD90" s="395"/>
      <c r="AE90" s="395"/>
      <c r="AF90" s="395"/>
      <c r="AG90" s="395"/>
      <c r="AH90" s="395"/>
      <c r="AI90" s="395"/>
      <c r="AJ90" s="395"/>
      <c r="AK90" s="395"/>
      <c r="AL90" s="395"/>
      <c r="AM90" s="395"/>
      <c r="AN90" s="395"/>
      <c r="AO90" s="395"/>
      <c r="AP90" s="395"/>
      <c r="AQ90" s="395"/>
      <c r="AR90" s="395"/>
      <c r="AS90" s="395"/>
      <c r="AT90" s="395"/>
      <c r="AU90" s="395"/>
      <c r="AV90" s="395"/>
      <c r="AW90" s="395"/>
      <c r="AX90" s="395"/>
      <c r="AY90" s="395"/>
      <c r="AZ90" s="395"/>
      <c r="BA90" s="395"/>
      <c r="BB90" s="395"/>
      <c r="BC90" s="395"/>
      <c r="BD90" s="395"/>
      <c r="BE90" s="1592"/>
      <c r="BF90" s="1592"/>
      <c r="BG90" s="1592"/>
      <c r="BH90" s="1592"/>
      <c r="BI90" s="1592"/>
      <c r="BL90" s="424" t="b">
        <f>(N89+I89+S89+X89+AC89+AH89+AM89+AR89+AW89+BB79+BB89+BG89)=BL89</f>
        <v>1</v>
      </c>
    </row>
    <row r="91" spans="1:66" s="2" customFormat="1">
      <c r="A91" s="8"/>
      <c r="B91" s="8"/>
      <c r="C91" s="153"/>
      <c r="D91" s="153"/>
      <c r="E91" s="153"/>
      <c r="F91" s="38"/>
      <c r="G91" s="38"/>
      <c r="H91" s="38"/>
      <c r="I91" s="38"/>
      <c r="J91" s="38"/>
      <c r="K91" s="38"/>
      <c r="L91" s="38"/>
      <c r="M91" s="38"/>
      <c r="N91" s="38"/>
      <c r="O91" s="38"/>
      <c r="P91" s="395"/>
      <c r="Q91" s="38"/>
      <c r="R91" s="38"/>
      <c r="S91" s="38"/>
      <c r="T91" s="38"/>
      <c r="U91" s="395"/>
      <c r="V91" s="395"/>
      <c r="W91" s="395"/>
      <c r="X91" s="395"/>
      <c r="Y91" s="395"/>
      <c r="Z91" s="395"/>
      <c r="AA91" s="395"/>
      <c r="AB91" s="395"/>
      <c r="AC91" s="395"/>
      <c r="AD91" s="395"/>
      <c r="AE91" s="395"/>
      <c r="AF91" s="395"/>
      <c r="AG91" s="395"/>
      <c r="AH91" s="395"/>
      <c r="AI91" s="395"/>
      <c r="AJ91" s="395"/>
      <c r="AK91" s="395"/>
      <c r="AL91" s="395"/>
      <c r="AM91" s="395"/>
      <c r="AN91" s="395"/>
      <c r="AO91" s="395"/>
      <c r="AP91" s="395"/>
      <c r="AQ91" s="395"/>
      <c r="AR91" s="395"/>
      <c r="AS91" s="395"/>
      <c r="AT91" s="395"/>
      <c r="AU91" s="395"/>
      <c r="AV91" s="395"/>
      <c r="AW91" s="395"/>
      <c r="AX91" s="395"/>
      <c r="AY91" s="395"/>
      <c r="AZ91" s="395"/>
      <c r="BA91" s="395"/>
      <c r="BB91" s="395"/>
      <c r="BC91" s="395"/>
      <c r="BD91" s="395"/>
      <c r="BE91" s="1592"/>
      <c r="BF91" s="1592"/>
      <c r="BG91" s="1592"/>
      <c r="BH91" s="1592"/>
      <c r="BI91" s="1592"/>
      <c r="BJ91" s="38"/>
      <c r="BK91" s="38"/>
      <c r="BL91" s="38"/>
      <c r="BM91" s="38"/>
      <c r="BN91" s="38"/>
    </row>
    <row r="92" spans="1:66">
      <c r="C92" s="38"/>
      <c r="D92" s="38"/>
      <c r="P92" s="395"/>
      <c r="U92" s="395"/>
      <c r="W92" s="395"/>
      <c r="X92" s="395"/>
      <c r="Y92" s="395"/>
      <c r="Z92" s="395"/>
      <c r="AA92" s="395"/>
      <c r="AB92" s="395"/>
      <c r="AC92" s="395"/>
      <c r="AD92" s="395"/>
      <c r="AE92" s="395"/>
      <c r="AF92" s="395"/>
      <c r="AG92" s="395"/>
      <c r="AH92" s="395"/>
      <c r="AI92" s="395"/>
      <c r="AJ92" s="395"/>
      <c r="AK92" s="395"/>
      <c r="AL92" s="395"/>
      <c r="AM92" s="395"/>
      <c r="AN92" s="395"/>
      <c r="AO92" s="395"/>
      <c r="AP92" s="395"/>
      <c r="AQ92" s="395"/>
      <c r="AR92" s="395"/>
      <c r="AS92" s="395"/>
      <c r="AT92" s="395"/>
      <c r="AU92" s="395"/>
      <c r="AV92" s="395"/>
      <c r="AW92" s="395"/>
      <c r="AX92" s="395"/>
      <c r="AY92" s="395"/>
      <c r="AZ92" s="395"/>
      <c r="BA92" s="395"/>
      <c r="BB92" s="395"/>
      <c r="BC92" s="395"/>
      <c r="BD92" s="395"/>
      <c r="BE92" s="1592"/>
      <c r="BF92" s="1592"/>
      <c r="BG92" s="1592"/>
      <c r="BH92" s="1592"/>
      <c r="BI92" s="1592"/>
    </row>
    <row r="93" spans="1:66" s="2" customFormat="1">
      <c r="A93" s="8"/>
      <c r="B93" s="629"/>
      <c r="C93" s="38"/>
      <c r="D93" s="38"/>
      <c r="E93" s="38"/>
      <c r="F93" s="38"/>
      <c r="G93" s="38"/>
      <c r="H93" s="38"/>
      <c r="I93" s="38"/>
      <c r="J93" s="38"/>
      <c r="K93" s="38"/>
      <c r="L93" s="38"/>
      <c r="M93" s="38"/>
      <c r="N93" s="38"/>
      <c r="O93" s="38"/>
      <c r="P93" s="395"/>
      <c r="Q93" s="38"/>
      <c r="R93" s="38"/>
      <c r="S93" s="38"/>
      <c r="T93" s="38"/>
      <c r="U93" s="395"/>
      <c r="V93" s="38"/>
      <c r="W93" s="395"/>
      <c r="X93" s="395"/>
      <c r="Y93" s="395"/>
      <c r="Z93" s="395"/>
      <c r="AA93" s="395"/>
      <c r="AB93" s="395"/>
      <c r="AC93" s="687">
        <f>AC5-AC89</f>
        <v>-561.04999999999995</v>
      </c>
      <c r="AD93" s="395"/>
      <c r="AE93" s="395"/>
      <c r="AF93" s="395"/>
      <c r="AG93" s="395"/>
      <c r="AH93" s="687">
        <f>AH5-AH89</f>
        <v>-971.64</v>
      </c>
      <c r="AI93" s="395"/>
      <c r="AJ93" s="395"/>
      <c r="AK93" s="395"/>
      <c r="AL93" s="395"/>
      <c r="AM93" s="687">
        <f>AM5-AM89</f>
        <v>761215.85399999993</v>
      </c>
      <c r="AN93" s="395"/>
      <c r="AO93" s="395"/>
      <c r="AP93" s="395"/>
      <c r="AQ93" s="395"/>
      <c r="AR93" s="687">
        <f>AR5-AR89</f>
        <v>681362.15399999998</v>
      </c>
      <c r="AS93" s="395"/>
      <c r="AT93" s="395"/>
      <c r="AU93" s="395"/>
      <c r="AV93" s="395"/>
      <c r="AW93" s="687">
        <f>AW5-AW89</f>
        <v>340643.14</v>
      </c>
      <c r="AX93" s="395"/>
      <c r="AY93" s="395"/>
      <c r="AZ93" s="395"/>
      <c r="BA93" s="395"/>
      <c r="BB93" s="687">
        <f>BB5-BB89</f>
        <v>-27406.331999999999</v>
      </c>
      <c r="BC93" s="395"/>
      <c r="BD93" s="395"/>
      <c r="BE93" s="1592"/>
      <c r="BF93" s="1592"/>
      <c r="BG93" s="1592"/>
      <c r="BH93" s="1592"/>
      <c r="BI93" s="1592"/>
      <c r="BJ93" s="38"/>
      <c r="BK93" s="38"/>
      <c r="BL93" s="687">
        <f>BL5-BL89</f>
        <v>1759787.026227586</v>
      </c>
      <c r="BM93" s="38"/>
      <c r="BN93" s="38"/>
    </row>
    <row r="94" spans="1:66" s="2" customFormat="1">
      <c r="A94" s="8"/>
      <c r="B94" s="629"/>
      <c r="C94" s="38"/>
      <c r="D94" s="38"/>
      <c r="E94" s="38"/>
      <c r="F94" s="38"/>
      <c r="G94" s="38"/>
      <c r="H94" s="38"/>
      <c r="I94" s="38"/>
      <c r="J94" s="38"/>
      <c r="K94" s="38"/>
      <c r="L94" s="38"/>
      <c r="M94" s="38"/>
      <c r="N94" s="38"/>
      <c r="O94" s="38"/>
      <c r="P94" s="395"/>
      <c r="Q94" s="38"/>
      <c r="R94" s="38"/>
      <c r="S94" s="38"/>
      <c r="T94" s="38"/>
      <c r="U94" s="395"/>
      <c r="V94" s="626"/>
      <c r="W94" s="395"/>
      <c r="X94" s="395"/>
      <c r="Y94" s="395"/>
      <c r="Z94" s="395"/>
      <c r="AA94" s="395"/>
      <c r="AB94" s="395"/>
      <c r="AC94" s="395"/>
      <c r="AD94" s="395"/>
      <c r="AE94" s="395"/>
      <c r="AF94" s="395"/>
      <c r="AG94" s="395"/>
      <c r="AH94" s="395"/>
      <c r="AI94" s="395"/>
      <c r="AJ94" s="395"/>
      <c r="AK94" s="395"/>
      <c r="AL94" s="395"/>
      <c r="AM94" s="395"/>
      <c r="AN94" s="395"/>
      <c r="AO94" s="395"/>
      <c r="AP94" s="395"/>
      <c r="AQ94" s="395"/>
      <c r="AR94" s="395"/>
      <c r="AS94" s="395"/>
      <c r="AT94" s="395"/>
      <c r="AU94" s="395"/>
      <c r="AV94" s="395"/>
      <c r="AW94" s="395"/>
      <c r="AX94" s="395"/>
      <c r="AY94" s="395"/>
      <c r="AZ94" s="395"/>
      <c r="BA94" s="395"/>
      <c r="BB94" s="395"/>
      <c r="BC94" s="395"/>
      <c r="BD94" s="395"/>
      <c r="BE94" s="1592"/>
      <c r="BF94" s="1592"/>
      <c r="BG94" s="1592"/>
      <c r="BH94" s="1592"/>
      <c r="BI94" s="1592"/>
      <c r="BJ94" s="626"/>
      <c r="BK94" s="38"/>
      <c r="BL94" s="38"/>
      <c r="BM94" s="38"/>
      <c r="BN94" s="38"/>
    </row>
    <row r="95" spans="1:66" s="2" customFormat="1">
      <c r="A95" s="8"/>
      <c r="B95" s="629"/>
      <c r="C95" s="38"/>
      <c r="D95" s="38"/>
      <c r="E95" s="38"/>
      <c r="F95" s="38"/>
      <c r="G95" s="38"/>
      <c r="H95" s="38"/>
      <c r="I95" s="38"/>
      <c r="J95" s="38"/>
      <c r="K95" s="38"/>
      <c r="L95" s="38"/>
      <c r="M95" s="38"/>
      <c r="N95" s="38"/>
      <c r="O95" s="38"/>
      <c r="P95" s="395"/>
      <c r="Q95" s="38"/>
      <c r="R95" s="38"/>
      <c r="S95" s="38"/>
      <c r="T95" s="38"/>
      <c r="U95" s="395"/>
      <c r="V95" s="38"/>
      <c r="W95" s="395"/>
      <c r="X95" s="395"/>
      <c r="Y95" s="395"/>
      <c r="Z95" s="395"/>
      <c r="AA95" s="395"/>
      <c r="AB95" s="395"/>
      <c r="AC95" s="395"/>
      <c r="AD95" s="395"/>
      <c r="AE95" s="395"/>
      <c r="AF95" s="395"/>
      <c r="AG95" s="395"/>
      <c r="AH95" s="395"/>
      <c r="AI95" s="395"/>
      <c r="AJ95" s="395"/>
      <c r="AK95" s="395"/>
      <c r="AL95" s="395"/>
      <c r="AM95" s="395"/>
      <c r="AN95" s="395"/>
      <c r="AO95" s="395"/>
      <c r="AP95" s="395"/>
      <c r="AQ95" s="395"/>
      <c r="AR95" s="395"/>
      <c r="AS95" s="395"/>
      <c r="AT95" s="395"/>
      <c r="AU95" s="395"/>
      <c r="AV95" s="395"/>
      <c r="AW95" s="395"/>
      <c r="AX95" s="395"/>
      <c r="AY95" s="395"/>
      <c r="AZ95" s="395"/>
      <c r="BA95" s="395"/>
      <c r="BB95" s="395"/>
      <c r="BC95" s="395"/>
      <c r="BD95" s="395"/>
      <c r="BE95" s="1592"/>
      <c r="BF95" s="1592"/>
      <c r="BG95" s="1592"/>
      <c r="BH95" s="1592"/>
      <c r="BI95" s="1592"/>
      <c r="BJ95" s="38"/>
      <c r="BK95" s="38"/>
      <c r="BL95" s="38"/>
      <c r="BM95" s="38"/>
      <c r="BN95" s="38"/>
    </row>
    <row r="96" spans="1:66" s="2" customFormat="1">
      <c r="A96" s="8"/>
      <c r="B96" s="629"/>
      <c r="C96" s="38"/>
      <c r="D96" s="38"/>
      <c r="E96" s="38"/>
      <c r="F96" s="38"/>
      <c r="G96" s="38"/>
      <c r="H96" s="38"/>
      <c r="I96" s="38"/>
      <c r="J96" s="38"/>
      <c r="K96" s="38"/>
      <c r="L96" s="38"/>
      <c r="M96" s="38"/>
      <c r="N96" s="38"/>
      <c r="O96" s="38"/>
      <c r="P96" s="395"/>
      <c r="Q96" s="38"/>
      <c r="R96" s="38"/>
      <c r="S96" s="38"/>
      <c r="T96" s="38"/>
      <c r="U96" s="395"/>
      <c r="V96" s="38"/>
      <c r="W96" s="395"/>
      <c r="X96" s="395"/>
      <c r="Y96" s="395"/>
      <c r="Z96" s="395"/>
      <c r="AA96" s="395"/>
      <c r="AB96" s="395"/>
      <c r="AC96" s="395"/>
      <c r="AD96" s="395"/>
      <c r="AE96" s="395"/>
      <c r="AF96" s="395"/>
      <c r="AG96" s="395"/>
      <c r="AH96" s="395"/>
      <c r="AI96" s="395"/>
      <c r="AJ96" s="395"/>
      <c r="AK96" s="395"/>
      <c r="AL96" s="395"/>
      <c r="AM96" s="395"/>
      <c r="AN96" s="395"/>
      <c r="AO96" s="395"/>
      <c r="AP96" s="395"/>
      <c r="AQ96" s="395"/>
      <c r="AR96" s="395"/>
      <c r="AS96" s="395"/>
      <c r="AT96" s="395"/>
      <c r="AU96" s="395"/>
      <c r="AV96" s="395"/>
      <c r="AW96" s="395"/>
      <c r="AX96" s="395"/>
      <c r="AY96" s="395"/>
      <c r="AZ96" s="395"/>
      <c r="BA96" s="395"/>
      <c r="BB96" s="395"/>
      <c r="BC96" s="395"/>
      <c r="BD96" s="395"/>
      <c r="BE96" s="1592"/>
      <c r="BF96" s="1592"/>
      <c r="BG96" s="1592"/>
      <c r="BH96" s="1592"/>
      <c r="BI96" s="1592"/>
      <c r="BJ96" s="38"/>
      <c r="BK96" s="38"/>
      <c r="BL96" s="38"/>
      <c r="BM96" s="38"/>
      <c r="BN96" s="38"/>
    </row>
    <row r="97" spans="1:66">
      <c r="C97" s="38"/>
      <c r="D97" s="38"/>
      <c r="P97" s="395"/>
      <c r="U97" s="395"/>
      <c r="W97" s="395"/>
      <c r="X97" s="395"/>
      <c r="Y97" s="395"/>
      <c r="Z97" s="395"/>
      <c r="AA97" s="395"/>
      <c r="AB97" s="395"/>
      <c r="AC97" s="395"/>
      <c r="AD97" s="395"/>
      <c r="AE97" s="395"/>
      <c r="AF97" s="395"/>
      <c r="AG97" s="395"/>
      <c r="AH97" s="395"/>
      <c r="AI97" s="395"/>
      <c r="AJ97" s="395"/>
      <c r="AK97" s="395"/>
      <c r="AL97" s="395"/>
      <c r="AM97" s="395"/>
      <c r="AN97" s="395"/>
      <c r="AO97" s="395"/>
      <c r="AP97" s="395"/>
      <c r="AQ97" s="395"/>
      <c r="AR97" s="395"/>
      <c r="AS97" s="395"/>
      <c r="AT97" s="395"/>
      <c r="AU97" s="395"/>
      <c r="AV97" s="395"/>
      <c r="AW97" s="395"/>
      <c r="AX97" s="395"/>
      <c r="AY97" s="395"/>
      <c r="AZ97" s="395"/>
      <c r="BA97" s="395"/>
      <c r="BB97" s="395"/>
      <c r="BC97" s="395"/>
      <c r="BD97" s="395"/>
      <c r="BE97" s="1592"/>
      <c r="BF97" s="1592"/>
      <c r="BG97" s="1592"/>
      <c r="BH97" s="1592"/>
      <c r="BI97" s="1592"/>
    </row>
    <row r="98" spans="1:66" s="2" customFormat="1">
      <c r="A98" s="8"/>
      <c r="B98" s="8"/>
      <c r="C98" s="38"/>
      <c r="D98" s="38"/>
      <c r="E98" s="38"/>
      <c r="F98" s="38"/>
      <c r="G98" s="38"/>
      <c r="H98" s="38"/>
      <c r="I98" s="38"/>
      <c r="J98" s="38"/>
      <c r="K98" s="38"/>
      <c r="L98" s="38"/>
      <c r="M98" s="38"/>
      <c r="N98" s="38"/>
      <c r="O98" s="38"/>
      <c r="P98" s="395"/>
      <c r="Q98" s="38"/>
      <c r="R98" s="38"/>
      <c r="S98" s="38"/>
      <c r="T98" s="38"/>
      <c r="U98" s="395"/>
      <c r="V98" s="38"/>
      <c r="W98" s="395"/>
      <c r="X98" s="395"/>
      <c r="Y98" s="395"/>
      <c r="Z98" s="395"/>
      <c r="AA98" s="395"/>
      <c r="AB98" s="395"/>
      <c r="AC98" s="395"/>
      <c r="AD98" s="395"/>
      <c r="AE98" s="395"/>
      <c r="AF98" s="395"/>
      <c r="AG98" s="395"/>
      <c r="AH98" s="395"/>
      <c r="AI98" s="395"/>
      <c r="AJ98" s="395"/>
      <c r="AK98" s="395"/>
      <c r="AL98" s="395"/>
      <c r="AM98" s="395"/>
      <c r="AN98" s="395"/>
      <c r="AO98" s="395"/>
      <c r="AP98" s="395"/>
      <c r="AQ98" s="395"/>
      <c r="AR98" s="395"/>
      <c r="AS98" s="395"/>
      <c r="AT98" s="395"/>
      <c r="AU98" s="395"/>
      <c r="AV98" s="395"/>
      <c r="AW98" s="395"/>
      <c r="AX98" s="395"/>
      <c r="AY98" s="395"/>
      <c r="AZ98" s="395"/>
      <c r="BA98" s="395"/>
      <c r="BB98" s="395"/>
      <c r="BC98" s="395"/>
      <c r="BD98" s="395"/>
      <c r="BE98" s="1592"/>
      <c r="BF98" s="1592"/>
      <c r="BG98" s="1592"/>
      <c r="BH98" s="1592"/>
      <c r="BI98" s="1592"/>
      <c r="BJ98" s="38"/>
      <c r="BK98" s="38"/>
      <c r="BL98" s="38"/>
      <c r="BM98" s="38"/>
      <c r="BN98" s="38"/>
    </row>
    <row r="99" spans="1:66">
      <c r="C99" s="38"/>
      <c r="D99" s="38"/>
    </row>
  </sheetData>
  <mergeCells count="15">
    <mergeCell ref="A2:F2"/>
    <mergeCell ref="G2:J3"/>
    <mergeCell ref="A3:F3"/>
    <mergeCell ref="A42:A48"/>
    <mergeCell ref="BJ2:BM3"/>
    <mergeCell ref="L2:O3"/>
    <mergeCell ref="Q2:T3"/>
    <mergeCell ref="V2:Y3"/>
    <mergeCell ref="AA2:AE3"/>
    <mergeCell ref="AF2:AJ3"/>
    <mergeCell ref="AK2:AO3"/>
    <mergeCell ref="AP2:AT3"/>
    <mergeCell ref="AU2:AY3"/>
    <mergeCell ref="AZ2:BD3"/>
    <mergeCell ref="BE2:BI3"/>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BW99"/>
  <sheetViews>
    <sheetView showZeros="0" zoomScale="70" zoomScaleNormal="70" workbookViewId="0">
      <pane xSplit="6" ySplit="5" topLeftCell="BJ6" activePane="bottomRight" state="frozen"/>
      <selection activeCell="AF19" sqref="AF19"/>
      <selection pane="topRight" activeCell="AF19" sqref="AF19"/>
      <selection pane="bottomLeft" activeCell="AF19" sqref="AF19"/>
      <selection pane="bottomRight" activeCell="BN1" sqref="BJ1:BN1048576"/>
    </sheetView>
  </sheetViews>
  <sheetFormatPr defaultColWidth="7.44140625" defaultRowHeight="13.2" outlineLevelRow="3" outlineLevelCol="1"/>
  <cols>
    <col min="1" max="1" width="14.6640625" style="8" customWidth="1"/>
    <col min="2" max="2" width="55" style="8" customWidth="1"/>
    <col min="3" max="3" width="17.5546875" style="77" hidden="1" customWidth="1"/>
    <col min="4" max="4" width="15.5546875" style="77" hidden="1" customWidth="1"/>
    <col min="5" max="5" width="16.33203125" style="38" hidden="1" customWidth="1"/>
    <col min="6" max="6" width="9.5546875" style="38" hidden="1" customWidth="1"/>
    <col min="7" max="9" width="16.33203125" style="38" hidden="1" customWidth="1" outlineLevel="1"/>
    <col min="10" max="10" width="9" style="38" hidden="1" customWidth="1" outlineLevel="1"/>
    <col min="11" max="14" width="16.33203125" style="38" hidden="1" customWidth="1" outlineLevel="1"/>
    <col min="15" max="15" width="11.6640625" style="38" hidden="1" customWidth="1" outlineLevel="1"/>
    <col min="16" max="16" width="46.44140625" style="38" hidden="1" customWidth="1" outlineLevel="1"/>
    <col min="17" max="18" width="16.33203125" style="38" hidden="1" customWidth="1" outlineLevel="1"/>
    <col min="19" max="19" width="16.109375" style="38" hidden="1" customWidth="1" outlineLevel="1"/>
    <col min="20" max="20" width="25.6640625" style="38" hidden="1" customWidth="1" outlineLevel="1"/>
    <col min="21" max="21" width="39.109375" style="38" hidden="1" customWidth="1" outlineLevel="1"/>
    <col min="22" max="22" width="22" style="38" hidden="1" customWidth="1" outlineLevel="1"/>
    <col min="23" max="23" width="17.33203125" style="38" hidden="1" customWidth="1" outlineLevel="1"/>
    <col min="24" max="24" width="20.33203125" style="38" hidden="1" customWidth="1" outlineLevel="1"/>
    <col min="25" max="25" width="21.33203125" style="38" hidden="1" customWidth="1" outlineLevel="1"/>
    <col min="26" max="26" width="41" style="38" hidden="1" customWidth="1" outlineLevel="1"/>
    <col min="27" max="27" width="22" style="38" hidden="1" customWidth="1" outlineLevel="1"/>
    <col min="28" max="28" width="17.33203125" style="38" hidden="1" customWidth="1" outlineLevel="1"/>
    <col min="29" max="29" width="20.33203125" style="38" hidden="1" customWidth="1" outlineLevel="1"/>
    <col min="30" max="30" width="13.33203125" style="38" hidden="1" customWidth="1" outlineLevel="1"/>
    <col min="31" max="31" width="41" style="38" hidden="1" customWidth="1" outlineLevel="1"/>
    <col min="32" max="32" width="23.33203125" style="38" hidden="1" customWidth="1" outlineLevel="1"/>
    <col min="33" max="33" width="18.6640625" style="38" hidden="1" customWidth="1" outlineLevel="1"/>
    <col min="34" max="34" width="17.33203125" style="38" hidden="1" customWidth="1" outlineLevel="1"/>
    <col min="35" max="35" width="17.6640625" style="38" hidden="1" customWidth="1" outlineLevel="1"/>
    <col min="36" max="36" width="30" style="38" hidden="1" customWidth="1" outlineLevel="1"/>
    <col min="37" max="37" width="18.33203125" style="38" hidden="1" customWidth="1" outlineLevel="1"/>
    <col min="38" max="38" width="19.5546875" style="38" hidden="1" customWidth="1" outlineLevel="1"/>
    <col min="39" max="39" width="21.109375" style="38" hidden="1" customWidth="1" outlineLevel="1"/>
    <col min="40" max="40" width="16.5546875" style="38" hidden="1" customWidth="1" outlineLevel="1"/>
    <col min="41" max="41" width="30" style="38" hidden="1" customWidth="1" outlineLevel="1"/>
    <col min="42" max="42" width="23.33203125" style="38" hidden="1" customWidth="1" outlineLevel="1"/>
    <col min="43" max="43" width="23.6640625" style="38" hidden="1" customWidth="1" outlineLevel="1"/>
    <col min="44" max="44" width="24.109375" style="38" hidden="1" customWidth="1" outlineLevel="1"/>
    <col min="45" max="45" width="23.33203125" style="38" hidden="1" customWidth="1" outlineLevel="1"/>
    <col min="46" max="46" width="34.88671875" style="38" hidden="1" customWidth="1" outlineLevel="1"/>
    <col min="47" max="47" width="18.6640625" style="38" hidden="1" customWidth="1" outlineLevel="1"/>
    <col min="48" max="48" width="19.6640625" style="38" hidden="1" customWidth="1" outlineLevel="1"/>
    <col min="49" max="49" width="22.6640625" style="38" hidden="1" customWidth="1" outlineLevel="1"/>
    <col min="50" max="50" width="9.88671875" style="38" hidden="1" customWidth="1" outlineLevel="1"/>
    <col min="51" max="51" width="49.6640625" style="38" hidden="1" customWidth="1" outlineLevel="1"/>
    <col min="52" max="53" width="16.44140625" style="38" hidden="1" customWidth="1" outlineLevel="1"/>
    <col min="54" max="54" width="16.109375" style="38" hidden="1" customWidth="1" outlineLevel="1"/>
    <col min="55" max="55" width="24.33203125" style="38" hidden="1" customWidth="1" outlineLevel="1"/>
    <col min="56" max="56" width="20.5546875" style="38" hidden="1" customWidth="1" outlineLevel="1"/>
    <col min="57" max="60" width="17.6640625" style="38" hidden="1" customWidth="1" outlineLevel="1"/>
    <col min="61" max="61" width="27" style="38" hidden="1" customWidth="1" outlineLevel="1"/>
    <col min="62" max="62" width="20" style="38" hidden="1" customWidth="1" outlineLevel="1" collapsed="1"/>
    <col min="63" max="63" width="18.44140625" style="38" hidden="1" customWidth="1" outlineLevel="1"/>
    <col min="64" max="64" width="21.109375" style="38" hidden="1" customWidth="1" outlineLevel="1"/>
    <col min="65" max="66" width="27" style="38" hidden="1" customWidth="1" outlineLevel="1"/>
    <col min="67" max="67" width="16.33203125" style="38" customWidth="1" collapsed="1"/>
    <col min="68" max="69" width="16.33203125" style="38" customWidth="1"/>
    <col min="70" max="70" width="12.44140625" style="38" bestFit="1" customWidth="1"/>
    <col min="71" max="71" width="16.33203125" style="38" customWidth="1"/>
    <col min="72" max="72" width="15.6640625" style="1" bestFit="1" customWidth="1"/>
    <col min="73" max="73" width="16.6640625" style="1" bestFit="1" customWidth="1"/>
    <col min="74" max="75" width="13.33203125" style="1" bestFit="1" customWidth="1"/>
    <col min="76" max="16384" width="7.44140625" style="1"/>
  </cols>
  <sheetData>
    <row r="1" spans="1:75" ht="15" customHeight="1" thickBot="1">
      <c r="C1" s="38"/>
      <c r="D1" s="38"/>
    </row>
    <row r="2" spans="1:75" ht="22.2" customHeight="1">
      <c r="A2" s="4834" t="s">
        <v>203</v>
      </c>
      <c r="B2" s="4835"/>
      <c r="C2" s="4835"/>
      <c r="D2" s="4835"/>
      <c r="E2" s="4835"/>
      <c r="F2" s="4836"/>
      <c r="G2" s="4837" t="s">
        <v>465</v>
      </c>
      <c r="H2" s="4838"/>
      <c r="I2" s="4838"/>
      <c r="J2" s="4838"/>
      <c r="K2" s="4998"/>
      <c r="L2" s="4837" t="s">
        <v>466</v>
      </c>
      <c r="M2" s="4838"/>
      <c r="N2" s="4838"/>
      <c r="O2" s="4838"/>
      <c r="P2" s="378"/>
      <c r="Q2" s="4837" t="s">
        <v>545</v>
      </c>
      <c r="R2" s="4838"/>
      <c r="S2" s="4838"/>
      <c r="T2" s="4838"/>
      <c r="U2" s="399"/>
      <c r="V2" s="4837" t="s">
        <v>624</v>
      </c>
      <c r="W2" s="4838"/>
      <c r="X2" s="4838"/>
      <c r="Y2" s="4838"/>
      <c r="Z2" s="468"/>
      <c r="AA2" s="4892" t="s">
        <v>714</v>
      </c>
      <c r="AB2" s="4893"/>
      <c r="AC2" s="4893"/>
      <c r="AD2" s="4893"/>
      <c r="AE2" s="533"/>
      <c r="AF2" s="4892" t="s">
        <v>770</v>
      </c>
      <c r="AG2" s="4893"/>
      <c r="AH2" s="4893"/>
      <c r="AI2" s="4893"/>
      <c r="AJ2" s="627"/>
      <c r="AK2" s="4922" t="s">
        <v>820</v>
      </c>
      <c r="AL2" s="4923"/>
      <c r="AM2" s="4923"/>
      <c r="AN2" s="4923"/>
      <c r="AO2" s="691"/>
      <c r="AP2" s="4955" t="s">
        <v>836</v>
      </c>
      <c r="AQ2" s="4956"/>
      <c r="AR2" s="4956"/>
      <c r="AS2" s="4956"/>
      <c r="AT2" s="801"/>
      <c r="AU2" s="4934" t="s">
        <v>883</v>
      </c>
      <c r="AV2" s="4935"/>
      <c r="AW2" s="4935"/>
      <c r="AX2" s="4935"/>
      <c r="AY2" s="4936"/>
      <c r="AZ2" s="4898" t="s">
        <v>910</v>
      </c>
      <c r="BA2" s="4899"/>
      <c r="BB2" s="4899"/>
      <c r="BC2" s="4899"/>
      <c r="BD2" s="4899"/>
      <c r="BE2" s="4898" t="s">
        <v>964</v>
      </c>
      <c r="BF2" s="4899"/>
      <c r="BG2" s="4899"/>
      <c r="BH2" s="4899"/>
      <c r="BI2" s="4900"/>
      <c r="BJ2" s="4898" t="s">
        <v>1066</v>
      </c>
      <c r="BK2" s="4899"/>
      <c r="BL2" s="4899"/>
      <c r="BM2" s="4899"/>
      <c r="BN2" s="4900"/>
      <c r="BO2" s="4988" t="s">
        <v>469</v>
      </c>
      <c r="BP2" s="4989"/>
      <c r="BQ2" s="4989"/>
      <c r="BR2" s="4989"/>
      <c r="BS2" s="858"/>
    </row>
    <row r="3" spans="1:75" ht="14.4" customHeight="1" thickBot="1">
      <c r="A3" s="4853" t="s">
        <v>54</v>
      </c>
      <c r="B3" s="4854"/>
      <c r="C3" s="4854"/>
      <c r="D3" s="4854"/>
      <c r="E3" s="4854"/>
      <c r="F3" s="4855"/>
      <c r="G3" s="4839"/>
      <c r="H3" s="4840"/>
      <c r="I3" s="4840"/>
      <c r="J3" s="4840"/>
      <c r="K3" s="4999"/>
      <c r="L3" s="4839"/>
      <c r="M3" s="4840"/>
      <c r="N3" s="4840"/>
      <c r="O3" s="4840"/>
      <c r="P3" s="379"/>
      <c r="Q3" s="4839"/>
      <c r="R3" s="4840"/>
      <c r="S3" s="4840"/>
      <c r="T3" s="4840"/>
      <c r="U3" s="400"/>
      <c r="V3" s="4839"/>
      <c r="W3" s="4840"/>
      <c r="X3" s="4840"/>
      <c r="Y3" s="4840"/>
      <c r="Z3" s="469"/>
      <c r="AA3" s="4895"/>
      <c r="AB3" s="4896"/>
      <c r="AC3" s="4896"/>
      <c r="AD3" s="4896"/>
      <c r="AE3" s="534"/>
      <c r="AF3" s="4895"/>
      <c r="AG3" s="4896"/>
      <c r="AH3" s="4896"/>
      <c r="AI3" s="4896"/>
      <c r="AJ3" s="628"/>
      <c r="AK3" s="4925"/>
      <c r="AL3" s="4926"/>
      <c r="AM3" s="4926"/>
      <c r="AN3" s="4926"/>
      <c r="AO3" s="692"/>
      <c r="AP3" s="4958"/>
      <c r="AQ3" s="4959"/>
      <c r="AR3" s="4959"/>
      <c r="AS3" s="4959"/>
      <c r="AT3" s="802"/>
      <c r="AU3" s="4937"/>
      <c r="AV3" s="4938"/>
      <c r="AW3" s="4938"/>
      <c r="AX3" s="4938"/>
      <c r="AY3" s="4939"/>
      <c r="AZ3" s="4901"/>
      <c r="BA3" s="4902"/>
      <c r="BB3" s="4902"/>
      <c r="BC3" s="4902"/>
      <c r="BD3" s="4902"/>
      <c r="BE3" s="4901"/>
      <c r="BF3" s="4902"/>
      <c r="BG3" s="4902"/>
      <c r="BH3" s="4902"/>
      <c r="BI3" s="4903"/>
      <c r="BJ3" s="4901"/>
      <c r="BK3" s="4902"/>
      <c r="BL3" s="4902"/>
      <c r="BM3" s="4902"/>
      <c r="BN3" s="4903"/>
      <c r="BO3" s="4990"/>
      <c r="BP3" s="4991"/>
      <c r="BQ3" s="4991"/>
      <c r="BR3" s="4991"/>
      <c r="BS3" s="859"/>
    </row>
    <row r="4" spans="1:75"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632" t="s">
        <v>19</v>
      </c>
      <c r="AP4" s="632" t="s">
        <v>55</v>
      </c>
      <c r="AQ4" s="632" t="s">
        <v>18</v>
      </c>
      <c r="AR4" s="632" t="s">
        <v>39</v>
      </c>
      <c r="AS4" s="654" t="s">
        <v>40</v>
      </c>
      <c r="AT4" s="774" t="s">
        <v>19</v>
      </c>
      <c r="AU4" s="93" t="s">
        <v>55</v>
      </c>
      <c r="AV4" s="94" t="s">
        <v>18</v>
      </c>
      <c r="AW4" s="632" t="s">
        <v>39</v>
      </c>
      <c r="AX4" s="654" t="s">
        <v>40</v>
      </c>
      <c r="AY4" s="774" t="s">
        <v>19</v>
      </c>
      <c r="AZ4" s="93" t="s">
        <v>55</v>
      </c>
      <c r="BA4" s="94" t="s">
        <v>18</v>
      </c>
      <c r="BB4" s="632" t="s">
        <v>39</v>
      </c>
      <c r="BC4" s="654" t="s">
        <v>40</v>
      </c>
      <c r="BD4" s="93" t="s">
        <v>19</v>
      </c>
      <c r="BE4" s="632" t="s">
        <v>55</v>
      </c>
      <c r="BF4" s="632" t="s">
        <v>18</v>
      </c>
      <c r="BG4" s="632" t="s">
        <v>39</v>
      </c>
      <c r="BH4" s="654" t="s">
        <v>40</v>
      </c>
      <c r="BI4" s="774" t="s">
        <v>19</v>
      </c>
      <c r="BJ4" s="632" t="s">
        <v>55</v>
      </c>
      <c r="BK4" s="632" t="s">
        <v>18</v>
      </c>
      <c r="BL4" s="632" t="s">
        <v>39</v>
      </c>
      <c r="BM4" s="654" t="s">
        <v>40</v>
      </c>
      <c r="BN4" s="774" t="s">
        <v>19</v>
      </c>
      <c r="BO4" s="632" t="s">
        <v>55</v>
      </c>
      <c r="BP4" s="632" t="s">
        <v>18</v>
      </c>
      <c r="BQ4" s="653" t="s">
        <v>39</v>
      </c>
      <c r="BR4" s="654" t="s">
        <v>40</v>
      </c>
      <c r="BS4" s="653" t="s">
        <v>19</v>
      </c>
    </row>
    <row r="5" spans="1:75" s="88" customFormat="1" ht="13.95" customHeight="1" thickBot="1">
      <c r="A5" s="83"/>
      <c r="B5" s="617" t="s">
        <v>10</v>
      </c>
      <c r="C5" s="684">
        <f>C6</f>
        <v>41145505</v>
      </c>
      <c r="D5" s="684">
        <f>D6</f>
        <v>0</v>
      </c>
      <c r="E5" s="655">
        <f>E6</f>
        <v>41145505</v>
      </c>
      <c r="F5" s="620"/>
      <c r="G5" s="620">
        <f>G6</f>
        <v>13716698.399999999</v>
      </c>
      <c r="H5" s="620">
        <f>H6</f>
        <v>0</v>
      </c>
      <c r="I5" s="620">
        <f>I6</f>
        <v>13716698.399999999</v>
      </c>
      <c r="J5" s="620"/>
      <c r="K5" s="620"/>
      <c r="L5" s="620">
        <f>L6</f>
        <v>9962533.1999999993</v>
      </c>
      <c r="M5" s="620">
        <f>M6</f>
        <v>0</v>
      </c>
      <c r="N5" s="620">
        <f>N6</f>
        <v>9962533.1999999993</v>
      </c>
      <c r="O5" s="620"/>
      <c r="P5" s="620"/>
      <c r="Q5" s="620">
        <f>Q6</f>
        <v>0</v>
      </c>
      <c r="R5" s="620">
        <f>R6</f>
        <v>0</v>
      </c>
      <c r="S5" s="620">
        <f>S6</f>
        <v>0</v>
      </c>
      <c r="T5" s="620"/>
      <c r="U5" s="620"/>
      <c r="V5" s="620">
        <f>V6</f>
        <v>4750527.5999999996</v>
      </c>
      <c r="W5" s="620">
        <f>W6</f>
        <v>0</v>
      </c>
      <c r="X5" s="620">
        <f>X6</f>
        <v>4750527.5999999996</v>
      </c>
      <c r="Y5" s="620"/>
      <c r="Z5" s="620"/>
      <c r="AA5" s="620">
        <f>AA6</f>
        <v>0</v>
      </c>
      <c r="AB5" s="620">
        <f>AB6</f>
        <v>0</v>
      </c>
      <c r="AC5" s="620">
        <f>AC6</f>
        <v>0</v>
      </c>
      <c r="AD5" s="620"/>
      <c r="AE5" s="620"/>
      <c r="AF5" s="620">
        <f>AF6</f>
        <v>4837282.8</v>
      </c>
      <c r="AG5" s="620">
        <f>AG6</f>
        <v>0</v>
      </c>
      <c r="AH5" s="620">
        <f>AH6</f>
        <v>4837282.8</v>
      </c>
      <c r="AI5" s="620"/>
      <c r="AJ5" s="620"/>
      <c r="AK5" s="620">
        <f>AK6</f>
        <v>2993725.2</v>
      </c>
      <c r="AL5" s="620">
        <f>AL6</f>
        <v>0</v>
      </c>
      <c r="AM5" s="620">
        <f>AM6</f>
        <v>2993725.2</v>
      </c>
      <c r="AN5" s="620"/>
      <c r="AO5" s="633"/>
      <c r="AP5" s="655">
        <f>AP6+AP7</f>
        <v>0</v>
      </c>
      <c r="AQ5" s="620">
        <f>AQ6+AQ7</f>
        <v>0</v>
      </c>
      <c r="AR5" s="633">
        <f>AR6+AR7</f>
        <v>0</v>
      </c>
      <c r="AS5" s="655"/>
      <c r="AT5" s="620"/>
      <c r="AU5" s="620">
        <f>AU6+AU7</f>
        <v>2098408.7999999998</v>
      </c>
      <c r="AV5" s="620">
        <f>AV6+AV7</f>
        <v>0</v>
      </c>
      <c r="AW5" s="633">
        <f>AW6+AW7</f>
        <v>2098408.7999999998</v>
      </c>
      <c r="AX5" s="655"/>
      <c r="AY5" s="620"/>
      <c r="AZ5" s="620">
        <f>AZ6+AZ7</f>
        <v>46000</v>
      </c>
      <c r="BA5" s="620">
        <f>BA6+BA7</f>
        <v>0</v>
      </c>
      <c r="BB5" s="633">
        <f>BB6+BB7</f>
        <v>46000</v>
      </c>
      <c r="BC5" s="655"/>
      <c r="BD5" s="633"/>
      <c r="BE5" s="655">
        <f>BE6+BE7</f>
        <v>0</v>
      </c>
      <c r="BF5" s="620">
        <f>BF6+BF7</f>
        <v>0</v>
      </c>
      <c r="BG5" s="633">
        <f>BG6+BG7</f>
        <v>0</v>
      </c>
      <c r="BH5" s="655"/>
      <c r="BI5" s="620"/>
      <c r="BJ5" s="655">
        <f>BJ6+BJ7</f>
        <v>0</v>
      </c>
      <c r="BK5" s="620">
        <f>BK6+BK7</f>
        <v>0</v>
      </c>
      <c r="BL5" s="633">
        <f>BL6+BL7</f>
        <v>0</v>
      </c>
      <c r="BM5" s="655"/>
      <c r="BN5" s="620"/>
      <c r="BO5" s="655">
        <f>BO6</f>
        <v>38405175.999999993</v>
      </c>
      <c r="BP5" s="620">
        <f>BP6</f>
        <v>0</v>
      </c>
      <c r="BQ5" s="620">
        <f>BQ6</f>
        <v>38405175.999999993</v>
      </c>
      <c r="BR5" s="620"/>
      <c r="BS5" s="620"/>
      <c r="BT5" s="929">
        <v>38405176</v>
      </c>
      <c r="BU5" s="88">
        <v>0</v>
      </c>
    </row>
    <row r="6" spans="1:75" s="2" customFormat="1" ht="13.95" customHeight="1" outlineLevel="1">
      <c r="A6" s="330"/>
      <c r="B6" s="611" t="s">
        <v>17</v>
      </c>
      <c r="C6" s="727">
        <v>41145505</v>
      </c>
      <c r="D6" s="669"/>
      <c r="E6" s="446">
        <f>C6+D6</f>
        <v>41145505</v>
      </c>
      <c r="F6" s="452"/>
      <c r="G6" s="452">
        <v>13716698.399999999</v>
      </c>
      <c r="H6" s="452">
        <v>0</v>
      </c>
      <c r="I6" s="446">
        <f>G6+H6</f>
        <v>13716698.399999999</v>
      </c>
      <c r="J6" s="452"/>
      <c r="K6" s="452"/>
      <c r="L6" s="452">
        <f>9962533.2</f>
        <v>9962533.1999999993</v>
      </c>
      <c r="M6" s="452"/>
      <c r="N6" s="446">
        <f>L6+M6</f>
        <v>9962533.1999999993</v>
      </c>
      <c r="O6" s="452"/>
      <c r="P6" s="452"/>
      <c r="Q6" s="452"/>
      <c r="R6" s="452"/>
      <c r="S6" s="446">
        <f>Q6+R6</f>
        <v>0</v>
      </c>
      <c r="T6" s="452"/>
      <c r="U6" s="452"/>
      <c r="V6" s="452">
        <f>4750527.6</f>
        <v>4750527.5999999996</v>
      </c>
      <c r="W6" s="452"/>
      <c r="X6" s="446">
        <f>V6+W6</f>
        <v>4750527.5999999996</v>
      </c>
      <c r="Y6" s="452"/>
      <c r="Z6" s="458" t="s">
        <v>706</v>
      </c>
      <c r="AA6" s="452">
        <v>0</v>
      </c>
      <c r="AB6" s="452"/>
      <c r="AC6" s="446">
        <f>AA6+AB6</f>
        <v>0</v>
      </c>
      <c r="AD6" s="452"/>
      <c r="AE6" s="458"/>
      <c r="AF6" s="452">
        <v>4837282.8</v>
      </c>
      <c r="AG6" s="452"/>
      <c r="AH6" s="446">
        <f>AF6+AG6</f>
        <v>4837282.8</v>
      </c>
      <c r="AI6" s="452"/>
      <c r="AJ6" s="458"/>
      <c r="AK6" s="452">
        <v>2993725.2</v>
      </c>
      <c r="AL6" s="452"/>
      <c r="AM6" s="446">
        <f>AK6+AL6</f>
        <v>2993725.2</v>
      </c>
      <c r="AN6" s="452"/>
      <c r="AO6" s="730"/>
      <c r="AP6" s="784"/>
      <c r="AQ6" s="458"/>
      <c r="AR6" s="730">
        <f>AP6+AQ6</f>
        <v>0</v>
      </c>
      <c r="AS6" s="784"/>
      <c r="AT6" s="458"/>
      <c r="AU6" s="458">
        <f>2173370.4-74961.6</f>
        <v>2098408.7999999998</v>
      </c>
      <c r="AV6" s="458"/>
      <c r="AW6" s="730">
        <f>AU6+AV6</f>
        <v>2098408.7999999998</v>
      </c>
      <c r="AX6" s="784"/>
      <c r="AY6" s="458"/>
      <c r="AZ6" s="458">
        <v>46000</v>
      </c>
      <c r="BA6" s="458"/>
      <c r="BB6" s="730">
        <f>AZ6+BA6</f>
        <v>46000</v>
      </c>
      <c r="BC6" s="784"/>
      <c r="BD6" s="730"/>
      <c r="BE6" s="784"/>
      <c r="BF6" s="458"/>
      <c r="BG6" s="730">
        <f>BE6+BF6</f>
        <v>0</v>
      </c>
      <c r="BH6" s="784"/>
      <c r="BI6" s="458"/>
      <c r="BJ6" s="784"/>
      <c r="BK6" s="458"/>
      <c r="BL6" s="730">
        <f>BJ6+BK6</f>
        <v>0</v>
      </c>
      <c r="BM6" s="784"/>
      <c r="BN6" s="458"/>
      <c r="BO6" s="560">
        <f>G6+L6+Q6+V6+AA6+AF6+AK6+AP6+AU6+AZ6+BE6+BJ6</f>
        <v>38405175.999999993</v>
      </c>
      <c r="BP6" s="452">
        <f>H6+M6+R6+W6+AB6+AG6+AL6+AQ6+AV6+BA6+BF6+BK6</f>
        <v>0</v>
      </c>
      <c r="BQ6" s="446">
        <f>BO6+BP6</f>
        <v>38405175.999999993</v>
      </c>
      <c r="BR6" s="452"/>
      <c r="BS6" s="452"/>
      <c r="BT6" s="842">
        <v>38405176</v>
      </c>
      <c r="BU6" s="842"/>
    </row>
    <row r="7" spans="1:75" s="2" customFormat="1" ht="13.95" customHeight="1" outlineLevel="1" collapsed="1" thickBot="1">
      <c r="A7" s="238"/>
      <c r="B7" s="847" t="s">
        <v>41</v>
      </c>
      <c r="C7" s="107"/>
      <c r="D7" s="621"/>
      <c r="E7" s="446">
        <f>C7+D7</f>
        <v>0</v>
      </c>
      <c r="F7" s="612"/>
      <c r="G7" s="452">
        <v>0</v>
      </c>
      <c r="H7" s="452">
        <v>0</v>
      </c>
      <c r="I7" s="446">
        <f>G7+H7</f>
        <v>0</v>
      </c>
      <c r="J7" s="612"/>
      <c r="K7" s="612"/>
      <c r="L7" s="452"/>
      <c r="M7" s="452"/>
      <c r="N7" s="446">
        <f>L7+M7</f>
        <v>0</v>
      </c>
      <c r="O7" s="612"/>
      <c r="P7" s="612"/>
      <c r="Q7" s="452"/>
      <c r="R7" s="452"/>
      <c r="S7" s="446">
        <f>Q7+R7</f>
        <v>0</v>
      </c>
      <c r="T7" s="612"/>
      <c r="U7" s="612"/>
      <c r="V7" s="452"/>
      <c r="W7" s="452"/>
      <c r="X7" s="446">
        <f>V7+W7</f>
        <v>0</v>
      </c>
      <c r="Y7" s="612"/>
      <c r="Z7" s="612"/>
      <c r="AA7" s="452"/>
      <c r="AB7" s="452"/>
      <c r="AC7" s="446">
        <f>AA7+AB7</f>
        <v>0</v>
      </c>
      <c r="AD7" s="612"/>
      <c r="AE7" s="612"/>
      <c r="AF7" s="452"/>
      <c r="AG7" s="452"/>
      <c r="AH7" s="446">
        <f>AF7+AG7</f>
        <v>0</v>
      </c>
      <c r="AI7" s="612"/>
      <c r="AJ7" s="612"/>
      <c r="AK7" s="452"/>
      <c r="AL7" s="452"/>
      <c r="AM7" s="446">
        <f>AK7+AL7</f>
        <v>0</v>
      </c>
      <c r="AN7" s="612"/>
      <c r="AO7" s="729"/>
      <c r="AP7" s="604"/>
      <c r="AQ7" s="535"/>
      <c r="AR7" s="544"/>
      <c r="AS7" s="604"/>
      <c r="AT7" s="535"/>
      <c r="AU7" s="535"/>
      <c r="AV7" s="535"/>
      <c r="AW7" s="544"/>
      <c r="AX7" s="604"/>
      <c r="AY7" s="535"/>
      <c r="AZ7" s="535"/>
      <c r="BA7" s="535"/>
      <c r="BB7" s="544"/>
      <c r="BC7" s="604"/>
      <c r="BD7" s="544"/>
      <c r="BE7" s="604"/>
      <c r="BF7" s="535"/>
      <c r="BG7" s="544"/>
      <c r="BH7" s="604"/>
      <c r="BI7" s="535"/>
      <c r="BJ7" s="604"/>
      <c r="BK7" s="535"/>
      <c r="BL7" s="544"/>
      <c r="BM7" s="604"/>
      <c r="BN7" s="535"/>
      <c r="BO7" s="560">
        <f>G7+L7+Q7+V7+AA7+AF7+AK7+AP7+AU7+AZ7+BE7+BJ7</f>
        <v>0</v>
      </c>
      <c r="BP7" s="452">
        <f>H7+M7+R7+W7+AB7+AG7+AL7+AQ7+AV7+BA7+BF7+BK7</f>
        <v>0</v>
      </c>
      <c r="BQ7" s="446">
        <f>BO7+BP7</f>
        <v>0</v>
      </c>
      <c r="BR7" s="612"/>
      <c r="BS7" s="612"/>
      <c r="BT7" s="842"/>
      <c r="BU7" s="842"/>
    </row>
    <row r="8" spans="1:75" s="88" customFormat="1" ht="13.95" customHeight="1" outlineLevel="1" thickBot="1">
      <c r="A8" s="238"/>
      <c r="B8" s="617" t="s">
        <v>16</v>
      </c>
      <c r="C8" s="618">
        <f>SUM(C9:C33)</f>
        <v>27212405</v>
      </c>
      <c r="D8" s="618">
        <f>SUM(D9:D33)</f>
        <v>3083417</v>
      </c>
      <c r="E8" s="619">
        <f>SUM(E9:E33)</f>
        <v>30295822</v>
      </c>
      <c r="F8" s="577">
        <f t="shared" ref="F8:F22" si="0">E8/$E$89</f>
        <v>0.95274110463926376</v>
      </c>
      <c r="G8" s="618">
        <f>SUM(G9:G33)</f>
        <v>7773727.1266000001</v>
      </c>
      <c r="H8" s="618">
        <f>SUM(H9:H33)</f>
        <v>1435151.0399999998</v>
      </c>
      <c r="I8" s="619">
        <f>SUM(I9:I33)</f>
        <v>9208878.166600002</v>
      </c>
      <c r="J8" s="577">
        <f t="shared" ref="J8:J21" si="1">I8/$I$89</f>
        <v>0.93826876247605151</v>
      </c>
      <c r="K8" s="620"/>
      <c r="L8" s="618">
        <f>SUM(L9:L33)</f>
        <v>7009490.5639999993</v>
      </c>
      <c r="M8" s="618">
        <f>SUM(M9:M33)</f>
        <v>700355.81</v>
      </c>
      <c r="N8" s="619">
        <f>SUM(N9:N33)</f>
        <v>7709846.3739999998</v>
      </c>
      <c r="O8" s="577">
        <f t="shared" ref="O8:O21" si="2">N8/$N$89</f>
        <v>0.97884592813283544</v>
      </c>
      <c r="P8" s="620"/>
      <c r="Q8" s="618">
        <f>SUM(Q9:Q33)</f>
        <v>1172270.7620000001</v>
      </c>
      <c r="R8" s="618">
        <f>SUM(R9:R33)</f>
        <v>145681.75</v>
      </c>
      <c r="S8" s="619">
        <f>SUM(S9:S33)</f>
        <v>1317952.5120000001</v>
      </c>
      <c r="T8" s="577">
        <f t="shared" ref="T8:T22" si="3">S8/$S$89</f>
        <v>0.95759301888774695</v>
      </c>
      <c r="U8" s="620"/>
      <c r="V8" s="618">
        <f>SUM(V9:V33)</f>
        <v>2437677.588</v>
      </c>
      <c r="W8" s="618">
        <f>SUM(W9:W33)</f>
        <v>542654.19000000006</v>
      </c>
      <c r="X8" s="619">
        <f>SUM(X9:X33)</f>
        <v>2980331.7779999999</v>
      </c>
      <c r="Y8" s="577">
        <f>X8/$X$89</f>
        <v>0.97134738076399807</v>
      </c>
      <c r="Z8" s="620"/>
      <c r="AA8" s="618">
        <f>SUM(AA9:AA33)</f>
        <v>142616.076</v>
      </c>
      <c r="AB8" s="618">
        <f>SUM(AB9:AB33)</f>
        <v>127626.4</v>
      </c>
      <c r="AC8" s="619">
        <f>SUM(AC9:AC33)</f>
        <v>270242.47600000002</v>
      </c>
      <c r="AD8" s="577">
        <f>AC8/$AC$89</f>
        <v>0.84568210764809593</v>
      </c>
      <c r="AE8" s="620"/>
      <c r="AF8" s="618">
        <f>SUM(AF9:AF33)</f>
        <v>3237201.5879999995</v>
      </c>
      <c r="AG8" s="618">
        <f>SUM(AG9:AG33)</f>
        <v>181922.11</v>
      </c>
      <c r="AH8" s="619">
        <f>SUM(AH9:AH33)</f>
        <v>3419123.6979999994</v>
      </c>
      <c r="AI8" s="577">
        <f>AH8/$AH$89</f>
        <v>0.98970066295248749</v>
      </c>
      <c r="AJ8" s="620"/>
      <c r="AK8" s="618">
        <f>SUM(AK9:AK33)</f>
        <v>1841558.7960000003</v>
      </c>
      <c r="AL8" s="618">
        <f>SUM(AL9:AL33)</f>
        <v>271786.98</v>
      </c>
      <c r="AM8" s="619">
        <f>SUM(AM9:AM33)</f>
        <v>2113345.7760000001</v>
      </c>
      <c r="AN8" s="577">
        <f>AM8/$AH$89</f>
        <v>0.6117297589375017</v>
      </c>
      <c r="AO8" s="633"/>
      <c r="AP8" s="684">
        <f>SUM(AP9:AP33)</f>
        <v>0</v>
      </c>
      <c r="AQ8" s="633">
        <f>SUM(AQ9:AQ33)</f>
        <v>28359</v>
      </c>
      <c r="AR8" s="618">
        <f>SUM(AR9:AR33)</f>
        <v>28359</v>
      </c>
      <c r="AS8" s="908">
        <f>AR8/$AR$89</f>
        <v>0.84857246500225081</v>
      </c>
      <c r="AT8" s="620"/>
      <c r="AU8" s="633">
        <f>SUM(AU9:AU33)</f>
        <v>1770041.3760000002</v>
      </c>
      <c r="AV8" s="633">
        <f>SUM(AV9:AV33)</f>
        <v>81680</v>
      </c>
      <c r="AW8" s="618">
        <f>SUM(AW9:AW33)</f>
        <v>1851721.3760000002</v>
      </c>
      <c r="AX8" s="908">
        <f>AW8/$AW$89</f>
        <v>0.99343134336623862</v>
      </c>
      <c r="AY8" s="633"/>
      <c r="AZ8" s="633">
        <f>SUM(AZ9:AZ33)</f>
        <v>637726.1309527941</v>
      </c>
      <c r="BA8" s="633">
        <f>SUM(BA9:BA33)</f>
        <v>228209.64</v>
      </c>
      <c r="BB8" s="618">
        <f>SUM(BB9:BB33)</f>
        <v>865935.77095279424</v>
      </c>
      <c r="BC8" s="908">
        <f>BB8/$AW$89</f>
        <v>0.46456650949549433</v>
      </c>
      <c r="BD8" s="633"/>
      <c r="BE8" s="684">
        <f>SUM(BE9:BE33)</f>
        <v>0</v>
      </c>
      <c r="BF8" s="633">
        <f>SUM(BF9:BF33)</f>
        <v>0</v>
      </c>
      <c r="BG8" s="618">
        <f>SUM(BG9:BG33)</f>
        <v>0</v>
      </c>
      <c r="BH8" s="908">
        <f>BG8/$AW$89</f>
        <v>0</v>
      </c>
      <c r="BI8" s="620"/>
      <c r="BJ8" s="684">
        <f>SUM(BJ9:BJ33)</f>
        <v>201820.36800000002</v>
      </c>
      <c r="BK8" s="633">
        <f>SUM(BK9:BK33)</f>
        <v>0</v>
      </c>
      <c r="BL8" s="618">
        <f>SUM(BL9:BL33)</f>
        <v>201820.36800000002</v>
      </c>
      <c r="BM8" s="908">
        <f>BL8/$AW$89</f>
        <v>0.10827475553261023</v>
      </c>
      <c r="BN8" s="620"/>
      <c r="BO8" s="618">
        <f>SUM(BO9:BO33)</f>
        <v>26224130.375552792</v>
      </c>
      <c r="BP8" s="618">
        <f>SUM(BP9:BP33)</f>
        <v>3743426.9200000004</v>
      </c>
      <c r="BQ8" s="619">
        <f>SUM(BQ9:BQ33)</f>
        <v>29967557.29555279</v>
      </c>
      <c r="BR8" s="577">
        <f t="shared" ref="BR8:BR21" si="4">BQ8/$BQ$89</f>
        <v>0.96064662174511739</v>
      </c>
      <c r="BS8" s="620"/>
      <c r="BT8" s="929"/>
      <c r="BU8" s="842"/>
    </row>
    <row r="9" spans="1:75" s="2" customFormat="1" ht="13.95" customHeight="1" outlineLevel="2">
      <c r="A9" s="238"/>
      <c r="B9" s="492" t="s">
        <v>74</v>
      </c>
      <c r="C9" s="111">
        <v>547400</v>
      </c>
      <c r="D9" s="493"/>
      <c r="E9" s="446">
        <f t="shared" ref="E9:E33" si="5">C9+D9</f>
        <v>547400</v>
      </c>
      <c r="F9" s="447">
        <f t="shared" si="0"/>
        <v>1.7214600768367762E-2</v>
      </c>
      <c r="G9" s="452">
        <v>383117.05</v>
      </c>
      <c r="H9" s="452">
        <v>0</v>
      </c>
      <c r="I9" s="453">
        <f>G9+H9*1</f>
        <v>383117.05</v>
      </c>
      <c r="J9" s="447">
        <f t="shared" si="1"/>
        <v>3.9034804661738053E-2</v>
      </c>
      <c r="K9" s="456"/>
      <c r="L9" s="452">
        <v>73763.759999999995</v>
      </c>
      <c r="M9" s="452"/>
      <c r="N9" s="453">
        <f>L9+M9*1</f>
        <v>73763.759999999995</v>
      </c>
      <c r="O9" s="447">
        <f t="shared" si="2"/>
        <v>9.365083636849094E-3</v>
      </c>
      <c r="P9" s="454" t="s">
        <v>543</v>
      </c>
      <c r="Q9" s="452">
        <v>64096.03</v>
      </c>
      <c r="R9" s="452"/>
      <c r="S9" s="453">
        <f>Q9+R9*1</f>
        <v>64096.03</v>
      </c>
      <c r="T9" s="447">
        <f t="shared" si="3"/>
        <v>4.657065433509306E-2</v>
      </c>
      <c r="U9" s="455" t="s">
        <v>543</v>
      </c>
      <c r="V9" s="452">
        <v>29134.560000000001</v>
      </c>
      <c r="W9" s="452"/>
      <c r="X9" s="453">
        <f>V9+W9*1</f>
        <v>29134.560000000001</v>
      </c>
      <c r="Y9" s="447">
        <f>X9/$X$89</f>
        <v>9.4955127998207559E-3</v>
      </c>
      <c r="Z9" s="714" t="s">
        <v>642</v>
      </c>
      <c r="AA9" s="452">
        <v>14567.28</v>
      </c>
      <c r="AB9" s="452"/>
      <c r="AC9" s="592">
        <f>AA9+AB9*1</f>
        <v>14567.28</v>
      </c>
      <c r="AD9" s="906">
        <f>AC9/$AC$89</f>
        <v>4.5586053811540544E-2</v>
      </c>
      <c r="AE9" s="714" t="s">
        <v>724</v>
      </c>
      <c r="AF9" s="452">
        <v>7284</v>
      </c>
      <c r="AG9" s="452"/>
      <c r="AH9" s="592">
        <f>AF9+AG9*1</f>
        <v>7284</v>
      </c>
      <c r="AI9" s="906">
        <f>AH9/$AH$89</f>
        <v>2.1084290203255232E-3</v>
      </c>
      <c r="AJ9" s="714" t="s">
        <v>786</v>
      </c>
      <c r="AK9" s="452">
        <v>7451.08</v>
      </c>
      <c r="AL9" s="452"/>
      <c r="AM9" s="592">
        <f>AK9+AL9*1</f>
        <v>7451.08</v>
      </c>
      <c r="AN9" s="624">
        <f>AM9/$AM$89</f>
        <v>3.4616197288506287E-3</v>
      </c>
      <c r="AO9" s="601" t="s">
        <v>830</v>
      </c>
      <c r="AP9" s="785"/>
      <c r="AQ9" s="714"/>
      <c r="AR9" s="592">
        <f>AP9+AQ9*1</f>
        <v>0</v>
      </c>
      <c r="AS9" s="907">
        <f t="shared" ref="AS9:AS33" si="6">AR9/$AR$89</f>
        <v>0</v>
      </c>
      <c r="AT9" s="714"/>
      <c r="AU9" s="714"/>
      <c r="AV9" s="714"/>
      <c r="AW9" s="592">
        <f>AU9+AV9*1</f>
        <v>0</v>
      </c>
      <c r="AX9" s="907">
        <f t="shared" ref="AX9:AX72" si="7">AW9/$AW$89</f>
        <v>0</v>
      </c>
      <c r="AY9" s="714"/>
      <c r="AZ9" s="714"/>
      <c r="BA9" s="714"/>
      <c r="BB9" s="592">
        <f>AZ9+BA9*1</f>
        <v>0</v>
      </c>
      <c r="BC9" s="907">
        <f t="shared" ref="BC9:BC72" si="8">BB9/$AW$89</f>
        <v>0</v>
      </c>
      <c r="BD9" s="601"/>
      <c r="BE9" s="785"/>
      <c r="BF9" s="714"/>
      <c r="BG9" s="592">
        <f>BE9+BF9*1</f>
        <v>0</v>
      </c>
      <c r="BH9" s="785">
        <f t="shared" ref="BH9:BH72" si="9">BG9/$AW$89</f>
        <v>0</v>
      </c>
      <c r="BI9" s="714"/>
      <c r="BJ9" s="785"/>
      <c r="BK9" s="714"/>
      <c r="BL9" s="592">
        <f>BJ9+BK9*1</f>
        <v>0</v>
      </c>
      <c r="BM9" s="785">
        <f t="shared" ref="BM9:BM32" si="10">BL9/$AW$89</f>
        <v>0</v>
      </c>
      <c r="BN9" s="714"/>
      <c r="BO9" s="560">
        <f t="shared" ref="BO9:BO33" si="11">G9+L9+Q9+V9+AA9+AF9+AK9+AP9+AU9+AZ9+BE9+BJ9</f>
        <v>579413.76000000001</v>
      </c>
      <c r="BP9" s="452">
        <f t="shared" ref="BP9:BP33" si="12">H9+M9+R9+W9+AB9+AG9+AL9+AQ9+AV9+BA9+BF9+BK9</f>
        <v>0</v>
      </c>
      <c r="BQ9" s="453">
        <f>BO9+BP9*1</f>
        <v>579413.76000000001</v>
      </c>
      <c r="BR9" s="447">
        <f t="shared" si="4"/>
        <v>1.8573815197785171E-2</v>
      </c>
      <c r="BS9" s="456"/>
      <c r="BT9" s="842"/>
      <c r="BU9" s="842"/>
      <c r="BW9" s="933"/>
    </row>
    <row r="10" spans="1:75" s="2" customFormat="1" ht="13.95" customHeight="1" outlineLevel="2">
      <c r="A10" s="238"/>
      <c r="B10" s="492" t="s">
        <v>72</v>
      </c>
      <c r="C10" s="111">
        <v>132600</v>
      </c>
      <c r="D10" s="493"/>
      <c r="E10" s="446">
        <f t="shared" si="5"/>
        <v>132600</v>
      </c>
      <c r="F10" s="447">
        <f t="shared" si="0"/>
        <v>4.1699964594182782E-3</v>
      </c>
      <c r="G10" s="452">
        <v>119565.18</v>
      </c>
      <c r="H10" s="452">
        <v>0</v>
      </c>
      <c r="I10" s="453">
        <f t="shared" ref="I10:I33" si="13">G10+H10*1</f>
        <v>119565.18</v>
      </c>
      <c r="J10" s="450">
        <f t="shared" si="1"/>
        <v>1.2182186738088397E-2</v>
      </c>
      <c r="K10" s="456"/>
      <c r="L10" s="452">
        <v>17868.240000000002</v>
      </c>
      <c r="M10" s="452"/>
      <c r="N10" s="453">
        <f t="shared" ref="N10:N33" si="14">L10+M10*1</f>
        <v>17868.240000000002</v>
      </c>
      <c r="O10" s="450">
        <f t="shared" si="2"/>
        <v>2.2685606325286629E-3</v>
      </c>
      <c r="P10" s="456"/>
      <c r="Q10" s="452">
        <v>15879.24</v>
      </c>
      <c r="R10" s="452"/>
      <c r="S10" s="453">
        <f t="shared" ref="S10:S33" si="15">Q10+R10*1</f>
        <v>15879.24</v>
      </c>
      <c r="T10" s="450">
        <f t="shared" si="3"/>
        <v>1.1537478953750849E-2</v>
      </c>
      <c r="U10" s="465"/>
      <c r="V10" s="452">
        <v>7057.44</v>
      </c>
      <c r="W10" s="452"/>
      <c r="X10" s="453">
        <f t="shared" ref="X10:X33" si="16">V10+W10*1</f>
        <v>7057.44</v>
      </c>
      <c r="Y10" s="450">
        <f>X10/$X$89</f>
        <v>2.3001552744907417E-3</v>
      </c>
      <c r="Z10" s="714"/>
      <c r="AA10" s="452">
        <v>3528.72</v>
      </c>
      <c r="AB10" s="452"/>
      <c r="AC10" s="592">
        <f t="shared" ref="AC10:AC33" si="17">AA10+AB10*1</f>
        <v>3528.72</v>
      </c>
      <c r="AD10" s="595">
        <f t="shared" ref="AD10:AD33" si="18">AC10/$AC$89</f>
        <v>1.10425844636651E-2</v>
      </c>
      <c r="AE10" s="714"/>
      <c r="AF10" s="452">
        <v>1764</v>
      </c>
      <c r="AG10" s="452"/>
      <c r="AH10" s="592">
        <f t="shared" ref="AH10:AH33" si="19">AF10+AG10*1</f>
        <v>1764</v>
      </c>
      <c r="AI10" s="541">
        <f>AH10/$AH$89</f>
        <v>5.1060801645445126E-4</v>
      </c>
      <c r="AJ10" s="714"/>
      <c r="AK10" s="452">
        <v>1804.92</v>
      </c>
      <c r="AL10" s="452"/>
      <c r="AM10" s="592">
        <f t="shared" ref="AM10:AM33" si="20">AK10+AL10*1</f>
        <v>1804.92</v>
      </c>
      <c r="AN10" s="541">
        <f t="shared" ref="AN10:AN33" si="21">AM10/$AM$89</f>
        <v>8.3852900264083565E-4</v>
      </c>
      <c r="AO10" s="601"/>
      <c r="AP10" s="785"/>
      <c r="AQ10" s="714"/>
      <c r="AR10" s="592">
        <f t="shared" ref="AR10:AR33" si="22">AP10+AQ10*1</f>
        <v>0</v>
      </c>
      <c r="AS10" s="595">
        <f t="shared" si="6"/>
        <v>0</v>
      </c>
      <c r="AT10" s="714"/>
      <c r="AU10" s="714"/>
      <c r="AV10" s="714"/>
      <c r="AW10" s="592">
        <f t="shared" ref="AW10:AW33" si="23">AU10+AV10*1</f>
        <v>0</v>
      </c>
      <c r="AX10" s="595">
        <f t="shared" si="7"/>
        <v>0</v>
      </c>
      <c r="AY10" s="714"/>
      <c r="AZ10" s="714"/>
      <c r="BA10" s="714"/>
      <c r="BB10" s="592">
        <f t="shared" ref="BB10:BB29" si="24">AZ10+BA10*1</f>
        <v>0</v>
      </c>
      <c r="BC10" s="595">
        <f t="shared" si="8"/>
        <v>0</v>
      </c>
      <c r="BD10" s="601"/>
      <c r="BE10" s="785"/>
      <c r="BF10" s="714"/>
      <c r="BG10" s="592">
        <f t="shared" ref="BG10:BG29" si="25">BE10+BF10*1</f>
        <v>0</v>
      </c>
      <c r="BH10" s="785">
        <f t="shared" si="9"/>
        <v>0</v>
      </c>
      <c r="BI10" s="714"/>
      <c r="BJ10" s="785"/>
      <c r="BK10" s="714"/>
      <c r="BL10" s="592">
        <f t="shared" ref="BL10:BL29" si="26">BJ10+BK10*1</f>
        <v>0</v>
      </c>
      <c r="BM10" s="785">
        <f t="shared" si="10"/>
        <v>0</v>
      </c>
      <c r="BN10" s="714"/>
      <c r="BO10" s="560">
        <f t="shared" si="11"/>
        <v>167467.74</v>
      </c>
      <c r="BP10" s="452">
        <f t="shared" si="12"/>
        <v>0</v>
      </c>
      <c r="BQ10" s="453">
        <f t="shared" ref="BQ10:BQ33" si="27">BO10+BP10*1</f>
        <v>167467.74</v>
      </c>
      <c r="BR10" s="450">
        <f t="shared" si="4"/>
        <v>5.3683827846110095E-3</v>
      </c>
      <c r="BS10" s="456"/>
      <c r="BT10" s="842"/>
      <c r="BU10" s="842"/>
      <c r="BW10" s="933"/>
    </row>
    <row r="11" spans="1:75" s="2" customFormat="1" ht="13.95" customHeight="1" outlineLevel="2">
      <c r="A11" s="238"/>
      <c r="B11" s="492" t="s">
        <v>69</v>
      </c>
      <c r="C11" s="111">
        <v>149600</v>
      </c>
      <c r="D11" s="493"/>
      <c r="E11" s="446">
        <f t="shared" si="5"/>
        <v>149600</v>
      </c>
      <c r="F11" s="447">
        <f t="shared" si="0"/>
        <v>4.704611390112929E-3</v>
      </c>
      <c r="G11" s="452">
        <v>134894.04999999999</v>
      </c>
      <c r="H11" s="452">
        <v>0</v>
      </c>
      <c r="I11" s="453">
        <f t="shared" si="13"/>
        <v>134894.04999999999</v>
      </c>
      <c r="J11" s="450">
        <f t="shared" si="1"/>
        <v>1.3744005629038766E-2</v>
      </c>
      <c r="K11" s="456"/>
      <c r="L11" s="452">
        <v>20159.04</v>
      </c>
      <c r="M11" s="452"/>
      <c r="N11" s="453">
        <f t="shared" si="14"/>
        <v>20159.04</v>
      </c>
      <c r="O11" s="450">
        <f t="shared" si="2"/>
        <v>2.5594017392631067E-3</v>
      </c>
      <c r="P11" s="456"/>
      <c r="Q11" s="452">
        <v>17915.04</v>
      </c>
      <c r="R11" s="452"/>
      <c r="S11" s="453">
        <f t="shared" si="15"/>
        <v>17915.04</v>
      </c>
      <c r="T11" s="450">
        <f t="shared" si="3"/>
        <v>1.3016642922180447E-2</v>
      </c>
      <c r="U11" s="465"/>
      <c r="V11" s="452">
        <v>7962.24</v>
      </c>
      <c r="W11" s="452"/>
      <c r="X11" s="453">
        <f t="shared" si="16"/>
        <v>7962.24</v>
      </c>
      <c r="Y11" s="450">
        <f t="shared" ref="Y11:Y33" si="28">X11/$X$89</f>
        <v>2.5950469763485291E-3</v>
      </c>
      <c r="Z11" s="714"/>
      <c r="AA11" s="452">
        <v>3981.12</v>
      </c>
      <c r="AB11" s="452"/>
      <c r="AC11" s="592">
        <f t="shared" si="17"/>
        <v>3981.12</v>
      </c>
      <c r="AD11" s="595">
        <f t="shared" si="18"/>
        <v>1.2458300420545241E-2</v>
      </c>
      <c r="AE11" s="714"/>
      <c r="AF11" s="452">
        <v>1991</v>
      </c>
      <c r="AG11" s="452"/>
      <c r="AH11" s="592">
        <f t="shared" si="19"/>
        <v>1991</v>
      </c>
      <c r="AI11" s="541">
        <f t="shared" ref="AI11:AI33" si="29">AH11/$AH$89</f>
        <v>5.7631551063538119E-4</v>
      </c>
      <c r="AJ11" s="714"/>
      <c r="AK11" s="452">
        <v>2036.32</v>
      </c>
      <c r="AL11" s="452"/>
      <c r="AM11" s="592">
        <f t="shared" si="20"/>
        <v>2036.32</v>
      </c>
      <c r="AN11" s="541">
        <f t="shared" si="21"/>
        <v>9.4603272092812218E-4</v>
      </c>
      <c r="AO11" s="601"/>
      <c r="AP11" s="785"/>
      <c r="AQ11" s="714"/>
      <c r="AR11" s="592">
        <f t="shared" si="22"/>
        <v>0</v>
      </c>
      <c r="AS11" s="595">
        <f t="shared" si="6"/>
        <v>0</v>
      </c>
      <c r="AT11" s="714"/>
      <c r="AU11" s="714"/>
      <c r="AV11" s="714"/>
      <c r="AW11" s="592">
        <f t="shared" si="23"/>
        <v>0</v>
      </c>
      <c r="AX11" s="595">
        <f t="shared" si="7"/>
        <v>0</v>
      </c>
      <c r="AY11" s="714"/>
      <c r="AZ11" s="714"/>
      <c r="BA11" s="714"/>
      <c r="BB11" s="592">
        <f t="shared" si="24"/>
        <v>0</v>
      </c>
      <c r="BC11" s="595">
        <f t="shared" si="8"/>
        <v>0</v>
      </c>
      <c r="BD11" s="601"/>
      <c r="BE11" s="785"/>
      <c r="BF11" s="714"/>
      <c r="BG11" s="592">
        <f t="shared" si="25"/>
        <v>0</v>
      </c>
      <c r="BH11" s="785">
        <f t="shared" si="9"/>
        <v>0</v>
      </c>
      <c r="BI11" s="714"/>
      <c r="BJ11" s="785"/>
      <c r="BK11" s="714"/>
      <c r="BL11" s="592">
        <f t="shared" si="26"/>
        <v>0</v>
      </c>
      <c r="BM11" s="785">
        <f t="shared" si="10"/>
        <v>0</v>
      </c>
      <c r="BN11" s="714"/>
      <c r="BO11" s="560">
        <f t="shared" si="11"/>
        <v>188938.81</v>
      </c>
      <c r="BP11" s="452">
        <f t="shared" si="12"/>
        <v>0</v>
      </c>
      <c r="BQ11" s="453">
        <f t="shared" si="27"/>
        <v>188938.81</v>
      </c>
      <c r="BR11" s="450">
        <f t="shared" si="4"/>
        <v>6.0566641369190896E-3</v>
      </c>
      <c r="BS11" s="456"/>
      <c r="BT11" s="842"/>
      <c r="BU11" s="842"/>
      <c r="BW11" s="933"/>
    </row>
    <row r="12" spans="1:75" s="2" customFormat="1" ht="13.95" customHeight="1" outlineLevel="2">
      <c r="A12" s="238"/>
      <c r="B12" s="492" t="s">
        <v>73</v>
      </c>
      <c r="C12" s="111">
        <v>77280</v>
      </c>
      <c r="D12" s="493">
        <v>241178</v>
      </c>
      <c r="E12" s="446">
        <f t="shared" si="5"/>
        <v>318458</v>
      </c>
      <c r="F12" s="447">
        <f t="shared" si="0"/>
        <v>1.0014847152891599E-2</v>
      </c>
      <c r="G12" s="452">
        <v>70541.31</v>
      </c>
      <c r="H12" s="452">
        <v>132765.5</v>
      </c>
      <c r="I12" s="453">
        <f t="shared" si="13"/>
        <v>203306.81</v>
      </c>
      <c r="J12" s="450">
        <f t="shared" si="1"/>
        <v>2.071440468324522E-2</v>
      </c>
      <c r="K12" s="456"/>
      <c r="L12" s="452">
        <f>2311.31+1197.5</f>
        <v>3508.81</v>
      </c>
      <c r="M12" s="452">
        <f>11312.19+15177</f>
        <v>26489.190000000002</v>
      </c>
      <c r="N12" s="453">
        <f t="shared" si="14"/>
        <v>29998.000000000004</v>
      </c>
      <c r="O12" s="450">
        <f t="shared" si="2"/>
        <v>3.8085609917146192E-3</v>
      </c>
      <c r="P12" s="454" t="s">
        <v>475</v>
      </c>
      <c r="Q12" s="452">
        <f>2455.25+9821+8211</f>
        <v>20487.25</v>
      </c>
      <c r="R12" s="452">
        <f>25544.75+15179</f>
        <v>40723.75</v>
      </c>
      <c r="S12" s="453">
        <f t="shared" si="15"/>
        <v>61211</v>
      </c>
      <c r="T12" s="450">
        <f t="shared" si="3"/>
        <v>4.4474460001740844E-2</v>
      </c>
      <c r="U12" s="455" t="s">
        <v>614</v>
      </c>
      <c r="V12" s="452">
        <v>9821</v>
      </c>
      <c r="W12" s="452">
        <v>18179</v>
      </c>
      <c r="X12" s="453">
        <f t="shared" si="16"/>
        <v>28000</v>
      </c>
      <c r="Y12" s="450">
        <f>X12/$X$89</f>
        <v>9.1257379001083647E-3</v>
      </c>
      <c r="Z12" s="714" t="s">
        <v>649</v>
      </c>
      <c r="AA12" s="452">
        <v>18032</v>
      </c>
      <c r="AB12" s="452">
        <f>15024+3000</f>
        <v>18024</v>
      </c>
      <c r="AC12" s="592">
        <f t="shared" si="17"/>
        <v>36056</v>
      </c>
      <c r="AD12" s="595">
        <f t="shared" si="18"/>
        <v>0.11283168554657465</v>
      </c>
      <c r="AE12" s="714" t="s">
        <v>720</v>
      </c>
      <c r="AF12" s="452">
        <v>18032</v>
      </c>
      <c r="AG12" s="452">
        <f>15179+3000</f>
        <v>18179</v>
      </c>
      <c r="AH12" s="592">
        <f t="shared" si="19"/>
        <v>36211</v>
      </c>
      <c r="AI12" s="541">
        <f t="shared" si="29"/>
        <v>1.0481647893328875E-2</v>
      </c>
      <c r="AJ12" s="714" t="s">
        <v>720</v>
      </c>
      <c r="AK12" s="452">
        <v>7024.37</v>
      </c>
      <c r="AL12" s="452">
        <f>6831*70%</f>
        <v>4781.7</v>
      </c>
      <c r="AM12" s="592">
        <f t="shared" si="20"/>
        <v>11806.07</v>
      </c>
      <c r="AN12" s="541">
        <f t="shared" si="21"/>
        <v>5.4848592193603536E-3</v>
      </c>
      <c r="AO12" s="601" t="s">
        <v>847</v>
      </c>
      <c r="AP12" s="785"/>
      <c r="AQ12" s="714"/>
      <c r="AR12" s="592">
        <f t="shared" si="22"/>
        <v>0</v>
      </c>
      <c r="AS12" s="595">
        <f t="shared" si="6"/>
        <v>0</v>
      </c>
      <c r="AT12" s="714"/>
      <c r="AU12" s="714"/>
      <c r="AV12" s="714"/>
      <c r="AW12" s="592">
        <f t="shared" si="23"/>
        <v>0</v>
      </c>
      <c r="AX12" s="595">
        <f t="shared" si="7"/>
        <v>0</v>
      </c>
      <c r="AY12" s="714"/>
      <c r="AZ12" s="714">
        <v>10418.69</v>
      </c>
      <c r="BA12" s="714">
        <v>19565.759999999998</v>
      </c>
      <c r="BB12" s="592">
        <f t="shared" si="24"/>
        <v>29984.449999999997</v>
      </c>
      <c r="BC12" s="595">
        <f t="shared" si="8"/>
        <v>1.6086379316926892E-2</v>
      </c>
      <c r="BD12" s="601"/>
      <c r="BE12" s="785"/>
      <c r="BF12" s="714"/>
      <c r="BG12" s="592">
        <f t="shared" si="25"/>
        <v>0</v>
      </c>
      <c r="BH12" s="785">
        <f t="shared" si="9"/>
        <v>0</v>
      </c>
      <c r="BI12" s="714"/>
      <c r="BJ12" s="785"/>
      <c r="BK12" s="714"/>
      <c r="BL12" s="592">
        <f t="shared" si="26"/>
        <v>0</v>
      </c>
      <c r="BM12" s="785">
        <f t="shared" si="10"/>
        <v>0</v>
      </c>
      <c r="BN12" s="714"/>
      <c r="BO12" s="560">
        <f t="shared" si="11"/>
        <v>157865.43</v>
      </c>
      <c r="BP12" s="452">
        <f t="shared" si="12"/>
        <v>278707.90000000002</v>
      </c>
      <c r="BQ12" s="453">
        <f t="shared" si="27"/>
        <v>436573.33</v>
      </c>
      <c r="BR12" s="450">
        <f t="shared" si="4"/>
        <v>1.3994890890581681E-2</v>
      </c>
      <c r="BS12" s="456"/>
      <c r="BT12" s="842"/>
      <c r="BU12" s="842"/>
      <c r="BV12" s="842"/>
      <c r="BW12" s="933"/>
    </row>
    <row r="13" spans="1:75" s="2" customFormat="1" ht="13.95" customHeight="1" outlineLevel="2">
      <c r="A13" s="238"/>
      <c r="B13" s="492" t="s">
        <v>71</v>
      </c>
      <c r="C13" s="111">
        <v>26940</v>
      </c>
      <c r="D13" s="493"/>
      <c r="E13" s="446">
        <f t="shared" si="5"/>
        <v>26940</v>
      </c>
      <c r="F13" s="447">
        <f t="shared" si="0"/>
        <v>8.4720742546552338E-4</v>
      </c>
      <c r="G13" s="452">
        <v>16947.27</v>
      </c>
      <c r="H13" s="452">
        <v>0</v>
      </c>
      <c r="I13" s="453">
        <f t="shared" si="13"/>
        <v>16947.27</v>
      </c>
      <c r="J13" s="450">
        <f t="shared" si="1"/>
        <v>1.7267134782952978E-3</v>
      </c>
      <c r="K13" s="456"/>
      <c r="L13" s="452">
        <v>6421</v>
      </c>
      <c r="M13" s="452"/>
      <c r="N13" s="453">
        <f t="shared" si="14"/>
        <v>6421</v>
      </c>
      <c r="O13" s="450">
        <f t="shared" si="2"/>
        <v>8.1521335181677338E-4</v>
      </c>
      <c r="P13" s="456"/>
      <c r="Q13" s="452">
        <f>594.75+2379+1989</f>
        <v>4962.75</v>
      </c>
      <c r="R13" s="452"/>
      <c r="S13" s="453">
        <f t="shared" si="15"/>
        <v>4962.75</v>
      </c>
      <c r="T13" s="450">
        <f t="shared" si="3"/>
        <v>3.605816378978278E-3</v>
      </c>
      <c r="U13" s="465"/>
      <c r="V13" s="452">
        <v>2379</v>
      </c>
      <c r="W13" s="452"/>
      <c r="X13" s="453">
        <f t="shared" si="16"/>
        <v>2379</v>
      </c>
      <c r="Y13" s="450">
        <f t="shared" si="28"/>
        <v>7.7536180229849274E-4</v>
      </c>
      <c r="Z13" s="714"/>
      <c r="AA13" s="452">
        <v>4368</v>
      </c>
      <c r="AB13" s="452"/>
      <c r="AC13" s="592">
        <f t="shared" si="17"/>
        <v>4368</v>
      </c>
      <c r="AD13" s="595">
        <f t="shared" si="18"/>
        <v>1.3668981652635845E-2</v>
      </c>
      <c r="AE13" s="714"/>
      <c r="AF13" s="452">
        <v>4368</v>
      </c>
      <c r="AG13" s="452"/>
      <c r="AH13" s="592">
        <f>AF13+AG13*1</f>
        <v>4368</v>
      </c>
      <c r="AI13" s="541">
        <f>AH13/$AH$89</f>
        <v>1.2643627074110221E-3</v>
      </c>
      <c r="AJ13" s="714"/>
      <c r="AK13" s="452">
        <v>1701.56</v>
      </c>
      <c r="AL13" s="452"/>
      <c r="AM13" s="592">
        <f t="shared" si="20"/>
        <v>1701.56</v>
      </c>
      <c r="AN13" s="541">
        <f t="shared" si="21"/>
        <v>7.905100556997209E-4</v>
      </c>
      <c r="AO13" s="601"/>
      <c r="AP13" s="785"/>
      <c r="AQ13" s="714"/>
      <c r="AR13" s="592">
        <f t="shared" si="22"/>
        <v>0</v>
      </c>
      <c r="AS13" s="785">
        <f t="shared" si="6"/>
        <v>0</v>
      </c>
      <c r="AT13" s="714"/>
      <c r="AU13" s="714"/>
      <c r="AV13" s="714"/>
      <c r="AW13" s="592">
        <f t="shared" si="23"/>
        <v>0</v>
      </c>
      <c r="AX13" s="785">
        <f t="shared" si="7"/>
        <v>0</v>
      </c>
      <c r="AY13" s="714"/>
      <c r="AZ13" s="714">
        <v>-2906.8857763975202</v>
      </c>
      <c r="BA13" s="714"/>
      <c r="BB13" s="592">
        <f t="shared" si="24"/>
        <v>-2906.8857763975202</v>
      </c>
      <c r="BC13" s="785">
        <f t="shared" si="8"/>
        <v>-1.5595172574487792E-3</v>
      </c>
      <c r="BD13" s="601"/>
      <c r="BE13" s="785"/>
      <c r="BF13" s="714"/>
      <c r="BG13" s="592">
        <f t="shared" si="25"/>
        <v>0</v>
      </c>
      <c r="BH13" s="785">
        <f t="shared" si="9"/>
        <v>0</v>
      </c>
      <c r="BI13" s="714"/>
      <c r="BJ13" s="785"/>
      <c r="BK13" s="714"/>
      <c r="BL13" s="592">
        <f t="shared" si="26"/>
        <v>0</v>
      </c>
      <c r="BM13" s="785">
        <f t="shared" si="10"/>
        <v>0</v>
      </c>
      <c r="BN13" s="714"/>
      <c r="BO13" s="560">
        <f t="shared" si="11"/>
        <v>38240.694223602484</v>
      </c>
      <c r="BP13" s="452">
        <f t="shared" si="12"/>
        <v>0</v>
      </c>
      <c r="BQ13" s="453">
        <f t="shared" si="27"/>
        <v>38240.694223602484</v>
      </c>
      <c r="BR13" s="450">
        <f t="shared" si="4"/>
        <v>1.2258521225733462E-3</v>
      </c>
      <c r="BS13" s="456"/>
      <c r="BT13" s="842"/>
      <c r="BU13" s="842"/>
      <c r="BV13" s="842"/>
      <c r="BW13" s="933"/>
    </row>
    <row r="14" spans="1:75" s="2" customFormat="1" ht="13.95" customHeight="1" outlineLevel="2">
      <c r="A14" s="238"/>
      <c r="B14" s="492" t="s">
        <v>70</v>
      </c>
      <c r="C14" s="111">
        <v>27840</v>
      </c>
      <c r="D14" s="493"/>
      <c r="E14" s="446">
        <f t="shared" si="5"/>
        <v>27840</v>
      </c>
      <c r="F14" s="447">
        <f t="shared" si="0"/>
        <v>8.7551056885524028E-4</v>
      </c>
      <c r="G14" s="452">
        <v>19120</v>
      </c>
      <c r="H14" s="452">
        <v>0</v>
      </c>
      <c r="I14" s="453">
        <f t="shared" si="13"/>
        <v>19120</v>
      </c>
      <c r="J14" s="450">
        <f t="shared" si="1"/>
        <v>1.948087314653398E-3</v>
      </c>
      <c r="K14" s="456"/>
      <c r="L14" s="452">
        <v>7244.64</v>
      </c>
      <c r="M14" s="452"/>
      <c r="N14" s="453">
        <f t="shared" si="14"/>
        <v>7244.64</v>
      </c>
      <c r="O14" s="450">
        <f t="shared" si="2"/>
        <v>9.197830956402226E-4</v>
      </c>
      <c r="P14" s="456"/>
      <c r="Q14" s="452">
        <f>671+2684+2244</f>
        <v>5599</v>
      </c>
      <c r="R14" s="452"/>
      <c r="S14" s="453">
        <f t="shared" si="15"/>
        <v>5599</v>
      </c>
      <c r="T14" s="450">
        <f t="shared" si="3"/>
        <v>4.0681005301293396E-3</v>
      </c>
      <c r="U14" s="465"/>
      <c r="V14" s="452">
        <v>2684</v>
      </c>
      <c r="W14" s="452"/>
      <c r="X14" s="453">
        <f t="shared" si="16"/>
        <v>2684</v>
      </c>
      <c r="Y14" s="450">
        <f t="shared" si="28"/>
        <v>8.7476716156753033E-4</v>
      </c>
      <c r="Z14" s="465"/>
      <c r="AA14" s="452">
        <v>4928</v>
      </c>
      <c r="AB14" s="452"/>
      <c r="AC14" s="592">
        <f t="shared" si="17"/>
        <v>4928</v>
      </c>
      <c r="AD14" s="595">
        <f t="shared" si="18"/>
        <v>1.5421415197845569E-2</v>
      </c>
      <c r="AE14" s="465"/>
      <c r="AF14" s="452">
        <v>4928</v>
      </c>
      <c r="AG14" s="452"/>
      <c r="AH14" s="592">
        <f>AF14+AG14*1</f>
        <v>4928</v>
      </c>
      <c r="AI14" s="541">
        <f>AH14/$AH$89</f>
        <v>1.4264604904124353E-3</v>
      </c>
      <c r="AJ14" s="465"/>
      <c r="AK14" s="452">
        <v>1919.7</v>
      </c>
      <c r="AL14" s="452"/>
      <c r="AM14" s="592">
        <f t="shared" si="20"/>
        <v>1919.7</v>
      </c>
      <c r="AN14" s="541">
        <f t="shared" si="21"/>
        <v>8.918534485570619E-4</v>
      </c>
      <c r="AO14" s="770"/>
      <c r="AP14" s="786"/>
      <c r="AQ14" s="714"/>
      <c r="AR14" s="592">
        <f t="shared" si="22"/>
        <v>0</v>
      </c>
      <c r="AS14" s="786">
        <f t="shared" si="6"/>
        <v>0</v>
      </c>
      <c r="AT14" s="465"/>
      <c r="AU14" s="465"/>
      <c r="AV14" s="465"/>
      <c r="AW14" s="592">
        <f t="shared" si="23"/>
        <v>0</v>
      </c>
      <c r="AX14" s="786">
        <f t="shared" si="7"/>
        <v>0</v>
      </c>
      <c r="AY14" s="465"/>
      <c r="AZ14" s="714">
        <v>-3279.9926708074599</v>
      </c>
      <c r="BA14" s="465"/>
      <c r="BB14" s="592">
        <f t="shared" si="24"/>
        <v>-3279.9926708074599</v>
      </c>
      <c r="BC14" s="786">
        <f t="shared" si="8"/>
        <v>-1.7596856457046547E-3</v>
      </c>
      <c r="BD14" s="770"/>
      <c r="BE14" s="785"/>
      <c r="BF14" s="465"/>
      <c r="BG14" s="592">
        <f t="shared" si="25"/>
        <v>0</v>
      </c>
      <c r="BH14" s="785">
        <f t="shared" si="9"/>
        <v>0</v>
      </c>
      <c r="BI14" s="465"/>
      <c r="BJ14" s="785"/>
      <c r="BK14" s="465"/>
      <c r="BL14" s="592">
        <f t="shared" si="26"/>
        <v>0</v>
      </c>
      <c r="BM14" s="785">
        <f t="shared" si="10"/>
        <v>0</v>
      </c>
      <c r="BN14" s="465"/>
      <c r="BO14" s="560">
        <f t="shared" si="11"/>
        <v>43143.347329192533</v>
      </c>
      <c r="BP14" s="452">
        <f t="shared" si="12"/>
        <v>0</v>
      </c>
      <c r="BQ14" s="453">
        <f t="shared" si="27"/>
        <v>43143.347329192533</v>
      </c>
      <c r="BR14" s="450">
        <f t="shared" si="4"/>
        <v>1.3830126511083902E-3</v>
      </c>
      <c r="BS14" s="456"/>
      <c r="BT14" s="842"/>
      <c r="BU14" s="842"/>
      <c r="BV14" s="842"/>
      <c r="BW14" s="933"/>
    </row>
    <row r="15" spans="1:75" s="2" customFormat="1" ht="13.95" customHeight="1" outlineLevel="2">
      <c r="A15" s="238"/>
      <c r="B15" s="471" t="s">
        <v>20</v>
      </c>
      <c r="C15" s="111"/>
      <c r="D15" s="445">
        <v>73600</v>
      </c>
      <c r="E15" s="446">
        <f t="shared" si="5"/>
        <v>73600</v>
      </c>
      <c r="F15" s="447">
        <f t="shared" si="0"/>
        <v>2.3145681705368419E-3</v>
      </c>
      <c r="G15" s="452">
        <v>0</v>
      </c>
      <c r="H15" s="452">
        <v>52900</v>
      </c>
      <c r="I15" s="453">
        <f t="shared" si="13"/>
        <v>52900</v>
      </c>
      <c r="J15" s="450">
        <f t="shared" si="1"/>
        <v>5.389844087090207E-3</v>
      </c>
      <c r="K15" s="456"/>
      <c r="L15" s="452"/>
      <c r="M15" s="452">
        <v>32500</v>
      </c>
      <c r="N15" s="453">
        <f t="shared" si="14"/>
        <v>32500</v>
      </c>
      <c r="O15" s="450">
        <f t="shared" si="2"/>
        <v>4.1262161554345327E-3</v>
      </c>
      <c r="P15" s="456"/>
      <c r="Q15" s="452"/>
      <c r="R15" s="452">
        <v>52700</v>
      </c>
      <c r="S15" s="453">
        <f t="shared" si="15"/>
        <v>52700</v>
      </c>
      <c r="T15" s="450">
        <f t="shared" si="3"/>
        <v>3.8290569376284368E-2</v>
      </c>
      <c r="U15" s="465"/>
      <c r="V15" s="452"/>
      <c r="W15" s="452">
        <v>37500</v>
      </c>
      <c r="X15" s="453">
        <f t="shared" si="16"/>
        <v>37500</v>
      </c>
      <c r="Y15" s="450">
        <f t="shared" si="28"/>
        <v>1.2221970401930845E-2</v>
      </c>
      <c r="Z15" s="465"/>
      <c r="AA15" s="452"/>
      <c r="AB15" s="452">
        <v>35000</v>
      </c>
      <c r="AC15" s="592">
        <f t="shared" si="17"/>
        <v>35000</v>
      </c>
      <c r="AD15" s="595">
        <f t="shared" si="18"/>
        <v>0.10952709657560773</v>
      </c>
      <c r="AE15" s="465"/>
      <c r="AF15" s="452"/>
      <c r="AG15" s="452">
        <v>40500</v>
      </c>
      <c r="AH15" s="592">
        <f>AF15+AG15*1</f>
        <v>40500</v>
      </c>
      <c r="AI15" s="541">
        <f>AH15/$AH$89</f>
        <v>1.1723143234923626E-2</v>
      </c>
      <c r="AJ15" s="465"/>
      <c r="AK15" s="452"/>
      <c r="AL15" s="452">
        <v>20400</v>
      </c>
      <c r="AM15" s="592">
        <f t="shared" si="20"/>
        <v>20400</v>
      </c>
      <c r="AN15" s="541">
        <f t="shared" si="21"/>
        <v>9.4774237383779044E-3</v>
      </c>
      <c r="AO15" s="770"/>
      <c r="AP15" s="786"/>
      <c r="AQ15" s="720">
        <v>13950</v>
      </c>
      <c r="AR15" s="592">
        <f t="shared" si="22"/>
        <v>13950</v>
      </c>
      <c r="AS15" s="786">
        <f t="shared" si="6"/>
        <v>0.41741901642446483</v>
      </c>
      <c r="AT15" s="465"/>
      <c r="AU15" s="465"/>
      <c r="AV15" s="714">
        <v>720</v>
      </c>
      <c r="AW15" s="592">
        <f t="shared" si="23"/>
        <v>720</v>
      </c>
      <c r="AX15" s="785">
        <f t="shared" si="7"/>
        <v>3.8627332194478688E-4</v>
      </c>
      <c r="AY15" s="465"/>
      <c r="AZ15" s="465"/>
      <c r="BA15" s="714"/>
      <c r="BB15" s="592">
        <f t="shared" si="24"/>
        <v>0</v>
      </c>
      <c r="BC15" s="785">
        <f t="shared" si="8"/>
        <v>0</v>
      </c>
      <c r="BD15" s="770"/>
      <c r="BE15" s="786"/>
      <c r="BF15" s="714"/>
      <c r="BG15" s="592">
        <f t="shared" si="25"/>
        <v>0</v>
      </c>
      <c r="BH15" s="785">
        <f t="shared" si="9"/>
        <v>0</v>
      </c>
      <c r="BI15" s="465"/>
      <c r="BJ15" s="786"/>
      <c r="BK15" s="714"/>
      <c r="BL15" s="592">
        <f t="shared" si="26"/>
        <v>0</v>
      </c>
      <c r="BM15" s="785">
        <f t="shared" si="10"/>
        <v>0</v>
      </c>
      <c r="BN15" s="465"/>
      <c r="BO15" s="560">
        <f t="shared" si="11"/>
        <v>0</v>
      </c>
      <c r="BP15" s="452">
        <f t="shared" si="12"/>
        <v>286170</v>
      </c>
      <c r="BQ15" s="453">
        <f t="shared" si="27"/>
        <v>286170</v>
      </c>
      <c r="BR15" s="450">
        <f t="shared" si="4"/>
        <v>9.173528594057177E-3</v>
      </c>
      <c r="BS15" s="456"/>
      <c r="BT15" s="842"/>
      <c r="BU15" s="842"/>
      <c r="BW15" s="933"/>
    </row>
    <row r="16" spans="1:75" s="2" customFormat="1" ht="13.95" customHeight="1" outlineLevel="2">
      <c r="A16" s="292"/>
      <c r="B16" s="471" t="s">
        <v>21</v>
      </c>
      <c r="C16" s="111">
        <v>50587</v>
      </c>
      <c r="D16" s="445">
        <v>1986374</v>
      </c>
      <c r="E16" s="446">
        <f t="shared" si="5"/>
        <v>2036961</v>
      </c>
      <c r="F16" s="447">
        <f t="shared" si="0"/>
        <v>6.4058221402512175E-2</v>
      </c>
      <c r="G16" s="452">
        <v>0</v>
      </c>
      <c r="H16" s="452">
        <v>829102.44</v>
      </c>
      <c r="I16" s="453">
        <f t="shared" si="13"/>
        <v>829102.44</v>
      </c>
      <c r="J16" s="450">
        <f t="shared" si="1"/>
        <v>8.4475101773649586E-2</v>
      </c>
      <c r="K16" s="456"/>
      <c r="L16" s="452"/>
      <c r="M16" s="452">
        <f>14930+28800+75798+79200+68238.53+162087+77900+70577.04</f>
        <v>577530.57000000007</v>
      </c>
      <c r="N16" s="453">
        <f t="shared" si="14"/>
        <v>577530.57000000007</v>
      </c>
      <c r="O16" s="450">
        <f t="shared" si="2"/>
        <v>7.332356825204045E-2</v>
      </c>
      <c r="P16" s="454" t="s">
        <v>517</v>
      </c>
      <c r="Q16" s="452"/>
      <c r="R16" s="452"/>
      <c r="S16" s="453">
        <f t="shared" si="15"/>
        <v>0</v>
      </c>
      <c r="T16" s="450">
        <f t="shared" si="3"/>
        <v>0</v>
      </c>
      <c r="U16" s="462"/>
      <c r="V16" s="452"/>
      <c r="W16" s="452">
        <f>20193+17975+29782+16500+9000+9000+9000+12500+9200+38153.14+86786.77+53692.91+22200+93370</f>
        <v>427352.82000000007</v>
      </c>
      <c r="X16" s="453">
        <f t="shared" si="16"/>
        <v>427352.82000000007</v>
      </c>
      <c r="Y16" s="450">
        <f t="shared" si="28"/>
        <v>0.13928249379257815</v>
      </c>
      <c r="Z16" s="714" t="s">
        <v>650</v>
      </c>
      <c r="AA16" s="452"/>
      <c r="AB16" s="452">
        <v>0</v>
      </c>
      <c r="AC16" s="592">
        <f t="shared" si="17"/>
        <v>0</v>
      </c>
      <c r="AD16" s="595">
        <f t="shared" si="18"/>
        <v>0</v>
      </c>
      <c r="AE16" s="714"/>
      <c r="AF16" s="452"/>
      <c r="AG16" s="452">
        <v>85918.11</v>
      </c>
      <c r="AH16" s="592">
        <f>AF16+AG16*1</f>
        <v>85918.11</v>
      </c>
      <c r="AI16" s="541">
        <f>AH16/$AH$89</f>
        <v>2.4869884197627749E-2</v>
      </c>
      <c r="AJ16" s="714" t="s">
        <v>789</v>
      </c>
      <c r="AK16" s="452"/>
      <c r="AL16" s="452">
        <f>123000+44916.36+2120+59091</f>
        <v>229127.36</v>
      </c>
      <c r="AM16" s="592">
        <f t="shared" si="20"/>
        <v>229127.36</v>
      </c>
      <c r="AN16" s="541">
        <f t="shared" si="21"/>
        <v>0.1064478961164637</v>
      </c>
      <c r="AO16" s="601" t="s">
        <v>856</v>
      </c>
      <c r="AP16" s="785"/>
      <c r="AQ16" s="714"/>
      <c r="AR16" s="592">
        <f t="shared" si="22"/>
        <v>0</v>
      </c>
      <c r="AS16" s="785">
        <f t="shared" si="6"/>
        <v>0</v>
      </c>
      <c r="AT16" s="714"/>
      <c r="AU16" s="714"/>
      <c r="AV16" s="714">
        <f>28960</f>
        <v>28960</v>
      </c>
      <c r="AW16" s="592">
        <f t="shared" si="23"/>
        <v>28960</v>
      </c>
      <c r="AX16" s="785">
        <f t="shared" si="7"/>
        <v>1.5536771393779205E-2</v>
      </c>
      <c r="AY16" s="714" t="s">
        <v>907</v>
      </c>
      <c r="AZ16" s="714"/>
      <c r="BA16" s="714"/>
      <c r="BB16" s="592">
        <f t="shared" si="24"/>
        <v>0</v>
      </c>
      <c r="BC16" s="785">
        <f t="shared" si="8"/>
        <v>0</v>
      </c>
      <c r="BD16" s="601"/>
      <c r="BE16" s="785"/>
      <c r="BF16" s="714"/>
      <c r="BG16" s="592">
        <f t="shared" si="25"/>
        <v>0</v>
      </c>
      <c r="BH16" s="785">
        <f t="shared" si="9"/>
        <v>0</v>
      </c>
      <c r="BI16" s="714"/>
      <c r="BJ16" s="785"/>
      <c r="BK16" s="714"/>
      <c r="BL16" s="592">
        <f t="shared" si="26"/>
        <v>0</v>
      </c>
      <c r="BM16" s="785">
        <f t="shared" si="10"/>
        <v>0</v>
      </c>
      <c r="BN16" s="714"/>
      <c r="BO16" s="560">
        <f t="shared" si="11"/>
        <v>0</v>
      </c>
      <c r="BP16" s="452">
        <f t="shared" si="12"/>
        <v>2177991.3000000003</v>
      </c>
      <c r="BQ16" s="453">
        <f t="shared" si="27"/>
        <v>2177991.3000000003</v>
      </c>
      <c r="BR16" s="450">
        <f t="shared" si="4"/>
        <v>6.9818169158743976E-2</v>
      </c>
      <c r="BS16" s="456"/>
      <c r="BT16" s="842"/>
      <c r="BU16" s="842"/>
      <c r="BW16" s="933"/>
    </row>
    <row r="17" spans="1:75" s="2" customFormat="1" ht="13.95" customHeight="1" outlineLevel="2">
      <c r="A17" s="238"/>
      <c r="B17" s="471" t="s">
        <v>22</v>
      </c>
      <c r="C17" s="111"/>
      <c r="D17" s="445"/>
      <c r="E17" s="446">
        <f t="shared" si="5"/>
        <v>0</v>
      </c>
      <c r="F17" s="447">
        <f t="shared" si="0"/>
        <v>0</v>
      </c>
      <c r="G17" s="452">
        <v>0</v>
      </c>
      <c r="H17" s="452">
        <v>6600</v>
      </c>
      <c r="I17" s="453">
        <f t="shared" si="13"/>
        <v>6600</v>
      </c>
      <c r="J17" s="450">
        <f t="shared" si="1"/>
        <v>6.7245691823809763E-4</v>
      </c>
      <c r="K17" s="456"/>
      <c r="L17" s="452"/>
      <c r="M17" s="452">
        <f>6000+500</f>
        <v>6500</v>
      </c>
      <c r="N17" s="453">
        <f t="shared" si="14"/>
        <v>6500</v>
      </c>
      <c r="O17" s="450">
        <f t="shared" si="2"/>
        <v>8.2524323108690647E-4</v>
      </c>
      <c r="P17" s="454" t="s">
        <v>501</v>
      </c>
      <c r="Q17" s="452"/>
      <c r="R17" s="452"/>
      <c r="S17" s="453">
        <f t="shared" si="15"/>
        <v>0</v>
      </c>
      <c r="T17" s="450">
        <f t="shared" si="3"/>
        <v>0</v>
      </c>
      <c r="U17" s="462"/>
      <c r="V17" s="452"/>
      <c r="W17" s="452"/>
      <c r="X17" s="453">
        <f t="shared" si="16"/>
        <v>0</v>
      </c>
      <c r="Y17" s="450">
        <f t="shared" si="28"/>
        <v>0</v>
      </c>
      <c r="Z17" s="714"/>
      <c r="AA17" s="452"/>
      <c r="AB17" s="452"/>
      <c r="AC17" s="592">
        <f t="shared" si="17"/>
        <v>0</v>
      </c>
      <c r="AD17" s="595">
        <f t="shared" si="18"/>
        <v>0</v>
      </c>
      <c r="AE17" s="714"/>
      <c r="AF17" s="452"/>
      <c r="AG17" s="452"/>
      <c r="AH17" s="592">
        <f t="shared" si="19"/>
        <v>0</v>
      </c>
      <c r="AI17" s="541">
        <f t="shared" si="29"/>
        <v>0</v>
      </c>
      <c r="AJ17" s="714"/>
      <c r="AK17" s="452"/>
      <c r="AL17" s="452"/>
      <c r="AM17" s="592">
        <f t="shared" si="20"/>
        <v>0</v>
      </c>
      <c r="AN17" s="541">
        <f t="shared" si="21"/>
        <v>0</v>
      </c>
      <c r="AO17" s="601"/>
      <c r="AP17" s="785"/>
      <c r="AQ17" s="714"/>
      <c r="AR17" s="592">
        <f t="shared" si="22"/>
        <v>0</v>
      </c>
      <c r="AS17" s="785">
        <f t="shared" si="6"/>
        <v>0</v>
      </c>
      <c r="AT17" s="714"/>
      <c r="AU17" s="714"/>
      <c r="AV17" s="714"/>
      <c r="AW17" s="592">
        <f t="shared" si="23"/>
        <v>0</v>
      </c>
      <c r="AX17" s="785">
        <f t="shared" si="7"/>
        <v>0</v>
      </c>
      <c r="AY17" s="714"/>
      <c r="AZ17" s="714"/>
      <c r="BA17" s="714"/>
      <c r="BB17" s="592">
        <f t="shared" si="24"/>
        <v>0</v>
      </c>
      <c r="BC17" s="785">
        <f t="shared" si="8"/>
        <v>0</v>
      </c>
      <c r="BD17" s="601"/>
      <c r="BE17" s="785"/>
      <c r="BF17" s="714"/>
      <c r="BG17" s="592">
        <f t="shared" si="25"/>
        <v>0</v>
      </c>
      <c r="BH17" s="785">
        <f t="shared" si="9"/>
        <v>0</v>
      </c>
      <c r="BI17" s="714"/>
      <c r="BJ17" s="785"/>
      <c r="BK17" s="714"/>
      <c r="BL17" s="592">
        <f t="shared" si="26"/>
        <v>0</v>
      </c>
      <c r="BM17" s="785">
        <f t="shared" si="10"/>
        <v>0</v>
      </c>
      <c r="BN17" s="714"/>
      <c r="BO17" s="560">
        <f t="shared" si="11"/>
        <v>0</v>
      </c>
      <c r="BP17" s="452">
        <f t="shared" si="12"/>
        <v>13100</v>
      </c>
      <c r="BQ17" s="453">
        <f t="shared" si="27"/>
        <v>13100</v>
      </c>
      <c r="BR17" s="450">
        <f t="shared" si="4"/>
        <v>4.1993648734021391E-4</v>
      </c>
      <c r="BS17" s="456"/>
      <c r="BT17" s="842"/>
      <c r="BU17" s="842"/>
      <c r="BW17" s="933"/>
    </row>
    <row r="18" spans="1:75" s="2" customFormat="1" ht="13.95" customHeight="1" outlineLevel="2">
      <c r="A18" s="238"/>
      <c r="B18" s="471" t="s">
        <v>0</v>
      </c>
      <c r="C18" s="111">
        <v>4314903</v>
      </c>
      <c r="D18" s="445"/>
      <c r="E18" s="446">
        <f t="shared" si="5"/>
        <v>4314903</v>
      </c>
      <c r="F18" s="447">
        <f t="shared" si="0"/>
        <v>0.13569479813524363</v>
      </c>
      <c r="G18" s="452">
        <v>1276882.3599999999</v>
      </c>
      <c r="H18" s="452">
        <v>8100</v>
      </c>
      <c r="I18" s="453">
        <f t="shared" si="13"/>
        <v>1284982.3599999999</v>
      </c>
      <c r="J18" s="450">
        <f t="shared" si="1"/>
        <v>0.1309235269387754</v>
      </c>
      <c r="K18" s="456"/>
      <c r="L18" s="452">
        <f>1558.2*786.09+437157.6</f>
        <v>1662043.0380000002</v>
      </c>
      <c r="M18" s="452">
        <v>2000</v>
      </c>
      <c r="N18" s="453">
        <f t="shared" si="14"/>
        <v>1664043.0380000002</v>
      </c>
      <c r="O18" s="450">
        <f t="shared" si="2"/>
        <v>0.21126773128412185</v>
      </c>
      <c r="P18" s="454" t="s">
        <v>537</v>
      </c>
      <c r="Q18" s="452">
        <f>165000+14500+3400.07</f>
        <v>182900.07</v>
      </c>
      <c r="R18" s="452">
        <v>10200</v>
      </c>
      <c r="S18" s="453">
        <f t="shared" si="15"/>
        <v>193100.07</v>
      </c>
      <c r="T18" s="450">
        <f t="shared" si="3"/>
        <v>0.14030192840418157</v>
      </c>
      <c r="U18" s="455" t="s">
        <v>616</v>
      </c>
      <c r="V18" s="452">
        <f>142305*1.2+32060*1.2+14400*1.2+40090*1.2</f>
        <v>274626</v>
      </c>
      <c r="W18" s="452">
        <v>3300</v>
      </c>
      <c r="X18" s="453">
        <f t="shared" si="16"/>
        <v>277926</v>
      </c>
      <c r="Y18" s="450">
        <f t="shared" si="28"/>
        <v>9.0581422558054181E-2</v>
      </c>
      <c r="Z18" s="714" t="s">
        <v>680</v>
      </c>
      <c r="AA18" s="452">
        <f>32062.5*1.2+10000*1.2+10000*1.2</f>
        <v>62475</v>
      </c>
      <c r="AB18" s="452">
        <v>30000</v>
      </c>
      <c r="AC18" s="592">
        <f t="shared" si="17"/>
        <v>92475</v>
      </c>
      <c r="AD18" s="595">
        <f t="shared" si="18"/>
        <v>0.28938623588083789</v>
      </c>
      <c r="AE18" s="714" t="s">
        <v>755</v>
      </c>
      <c r="AF18" s="452">
        <f>20000*1.2</f>
        <v>24000</v>
      </c>
      <c r="AG18" s="452"/>
      <c r="AH18" s="592">
        <f t="shared" si="19"/>
        <v>24000</v>
      </c>
      <c r="AI18" s="541">
        <f t="shared" si="29"/>
        <v>6.947047842917704E-3</v>
      </c>
      <c r="AJ18" s="714" t="s">
        <v>808</v>
      </c>
      <c r="AK18" s="452"/>
      <c r="AL18" s="452">
        <v>1000</v>
      </c>
      <c r="AM18" s="592">
        <f t="shared" si="20"/>
        <v>1000</v>
      </c>
      <c r="AN18" s="541">
        <f t="shared" si="21"/>
        <v>4.645795950185247E-4</v>
      </c>
      <c r="AO18" s="601" t="s">
        <v>833</v>
      </c>
      <c r="AP18" s="785"/>
      <c r="AQ18" s="714"/>
      <c r="AR18" s="592">
        <f t="shared" si="22"/>
        <v>0</v>
      </c>
      <c r="AS18" s="785">
        <f t="shared" si="6"/>
        <v>0</v>
      </c>
      <c r="AT18" s="714"/>
      <c r="AU18" s="714">
        <f>232166.4+319973*1.2+9439*1.2+22014*1.2</f>
        <v>653877.60000000009</v>
      </c>
      <c r="AV18" s="714">
        <v>50150</v>
      </c>
      <c r="AW18" s="592">
        <f t="shared" si="23"/>
        <v>704027.60000000009</v>
      </c>
      <c r="AX18" s="785">
        <f t="shared" si="7"/>
        <v>0.37770427749002178</v>
      </c>
      <c r="AY18" s="714" t="s">
        <v>905</v>
      </c>
      <c r="AZ18" s="714">
        <v>818499.21199999901</v>
      </c>
      <c r="BA18" s="714">
        <v>152210</v>
      </c>
      <c r="BB18" s="592">
        <f t="shared" si="24"/>
        <v>970709.21199999901</v>
      </c>
      <c r="BC18" s="785">
        <f t="shared" si="8"/>
        <v>0.52077648883561944</v>
      </c>
      <c r="BD18" s="601"/>
      <c r="BE18" s="785"/>
      <c r="BF18" s="714"/>
      <c r="BG18" s="592">
        <f t="shared" si="25"/>
        <v>0</v>
      </c>
      <c r="BH18" s="785">
        <f t="shared" si="9"/>
        <v>0</v>
      </c>
      <c r="BI18" s="714"/>
      <c r="BJ18" s="785"/>
      <c r="BK18" s="714"/>
      <c r="BL18" s="592">
        <f t="shared" si="26"/>
        <v>0</v>
      </c>
      <c r="BM18" s="785">
        <f t="shared" si="10"/>
        <v>0</v>
      </c>
      <c r="BN18" s="714"/>
      <c r="BO18" s="560">
        <f t="shared" si="11"/>
        <v>4955303.2799999993</v>
      </c>
      <c r="BP18" s="452">
        <f t="shared" si="12"/>
        <v>256960</v>
      </c>
      <c r="BQ18" s="453">
        <f t="shared" si="27"/>
        <v>5212263.2799999993</v>
      </c>
      <c r="BR18" s="450">
        <f t="shared" si="4"/>
        <v>0.16708546052638026</v>
      </c>
      <c r="BS18" s="456"/>
      <c r="BT18" s="842"/>
      <c r="BU18" s="842"/>
      <c r="BV18" s="842"/>
      <c r="BW18" s="933"/>
    </row>
    <row r="19" spans="1:75" s="2" customFormat="1" ht="13.95" customHeight="1" outlineLevel="2">
      <c r="A19" s="238"/>
      <c r="B19" s="471" t="s">
        <v>53</v>
      </c>
      <c r="C19" s="114">
        <v>12000</v>
      </c>
      <c r="D19" s="445"/>
      <c r="E19" s="446">
        <f t="shared" si="5"/>
        <v>12000</v>
      </c>
      <c r="F19" s="447">
        <f t="shared" si="0"/>
        <v>3.7737524519622422E-4</v>
      </c>
      <c r="G19" s="452">
        <v>33350</v>
      </c>
      <c r="H19" s="452">
        <v>0</v>
      </c>
      <c r="I19" s="453">
        <f t="shared" si="13"/>
        <v>33350</v>
      </c>
      <c r="J19" s="450">
        <f t="shared" si="1"/>
        <v>3.3979451853394784E-3</v>
      </c>
      <c r="K19" s="456"/>
      <c r="L19" s="452">
        <f>5184+1500</f>
        <v>6684</v>
      </c>
      <c r="M19" s="452">
        <v>600</v>
      </c>
      <c r="N19" s="453">
        <f t="shared" si="14"/>
        <v>7284</v>
      </c>
      <c r="O19" s="450">
        <f t="shared" si="2"/>
        <v>9.2478026080569642E-4</v>
      </c>
      <c r="P19" s="454" t="s">
        <v>519</v>
      </c>
      <c r="Q19" s="452"/>
      <c r="R19" s="452"/>
      <c r="S19" s="453">
        <f t="shared" si="15"/>
        <v>0</v>
      </c>
      <c r="T19" s="450">
        <f t="shared" si="3"/>
        <v>0</v>
      </c>
      <c r="U19" s="462"/>
      <c r="V19" s="452"/>
      <c r="W19" s="452"/>
      <c r="X19" s="453">
        <f t="shared" si="16"/>
        <v>0</v>
      </c>
      <c r="Y19" s="450">
        <f t="shared" si="28"/>
        <v>0</v>
      </c>
      <c r="Z19" s="714"/>
      <c r="AA19" s="452">
        <f>1160*1.2</f>
        <v>1392</v>
      </c>
      <c r="AB19" s="452"/>
      <c r="AC19" s="592">
        <f t="shared" si="17"/>
        <v>1392</v>
      </c>
      <c r="AD19" s="595">
        <f t="shared" si="18"/>
        <v>4.3560490980927421E-3</v>
      </c>
      <c r="AE19" s="714" t="s">
        <v>749</v>
      </c>
      <c r="AF19" s="452"/>
      <c r="AG19" s="452"/>
      <c r="AH19" s="592">
        <f t="shared" si="19"/>
        <v>0</v>
      </c>
      <c r="AI19" s="541">
        <f t="shared" si="29"/>
        <v>0</v>
      </c>
      <c r="AJ19" s="714"/>
      <c r="AK19" s="452"/>
      <c r="AL19" s="452"/>
      <c r="AM19" s="592">
        <f t="shared" si="20"/>
        <v>0</v>
      </c>
      <c r="AN19" s="541">
        <f t="shared" si="21"/>
        <v>0</v>
      </c>
      <c r="AO19" s="601"/>
      <c r="AP19" s="785"/>
      <c r="AQ19" s="714"/>
      <c r="AR19" s="592">
        <f t="shared" si="22"/>
        <v>0</v>
      </c>
      <c r="AS19" s="785">
        <f t="shared" si="6"/>
        <v>0</v>
      </c>
      <c r="AT19" s="714"/>
      <c r="AU19" s="714">
        <f>2520*1.2</f>
        <v>3024</v>
      </c>
      <c r="AV19" s="714"/>
      <c r="AW19" s="592">
        <f t="shared" si="23"/>
        <v>3024</v>
      </c>
      <c r="AX19" s="785">
        <f t="shared" si="7"/>
        <v>1.6223479521681049E-3</v>
      </c>
      <c r="AY19" s="714" t="s">
        <v>882</v>
      </c>
      <c r="AZ19" s="714">
        <f>1680*1.2-19512</f>
        <v>-17496</v>
      </c>
      <c r="BA19" s="714"/>
      <c r="BB19" s="592">
        <f t="shared" si="24"/>
        <v>-17496</v>
      </c>
      <c r="BC19" s="785">
        <f t="shared" si="8"/>
        <v>-9.3864417232583201E-3</v>
      </c>
      <c r="BD19" s="601" t="s">
        <v>882</v>
      </c>
      <c r="BE19" s="785"/>
      <c r="BF19" s="714"/>
      <c r="BG19" s="592">
        <f t="shared" si="25"/>
        <v>0</v>
      </c>
      <c r="BH19" s="785">
        <f t="shared" si="9"/>
        <v>0</v>
      </c>
      <c r="BI19" s="714"/>
      <c r="BJ19" s="785"/>
      <c r="BK19" s="714"/>
      <c r="BL19" s="592">
        <f t="shared" si="26"/>
        <v>0</v>
      </c>
      <c r="BM19" s="785">
        <f t="shared" si="10"/>
        <v>0</v>
      </c>
      <c r="BN19" s="714"/>
      <c r="BO19" s="560">
        <f t="shared" si="11"/>
        <v>26954</v>
      </c>
      <c r="BP19" s="932">
        <f t="shared" si="12"/>
        <v>600</v>
      </c>
      <c r="BQ19" s="453">
        <f t="shared" si="27"/>
        <v>27554</v>
      </c>
      <c r="BR19" s="450">
        <f t="shared" si="4"/>
        <v>8.8327709711238575E-4</v>
      </c>
      <c r="BS19" s="456"/>
      <c r="BT19" s="842"/>
      <c r="BU19" s="842"/>
      <c r="BV19" s="842"/>
      <c r="BW19" s="933"/>
    </row>
    <row r="20" spans="1:75" s="2" customFormat="1" ht="13.95" customHeight="1" outlineLevel="2">
      <c r="A20" s="238"/>
      <c r="B20" s="471" t="s">
        <v>57</v>
      </c>
      <c r="C20" s="114">
        <v>57600</v>
      </c>
      <c r="D20" s="445"/>
      <c r="E20" s="446">
        <f t="shared" si="5"/>
        <v>57600</v>
      </c>
      <c r="F20" s="447">
        <f t="shared" si="0"/>
        <v>1.8114011769418763E-3</v>
      </c>
      <c r="G20" s="452">
        <v>52142.5</v>
      </c>
      <c r="H20" s="452">
        <v>0</v>
      </c>
      <c r="I20" s="453">
        <f t="shared" si="13"/>
        <v>52142.5</v>
      </c>
      <c r="J20" s="450">
        <f t="shared" si="1"/>
        <v>5.3126643726106072E-3</v>
      </c>
      <c r="K20" s="456"/>
      <c r="L20" s="452"/>
      <c r="M20" s="452"/>
      <c r="N20" s="453">
        <f t="shared" si="14"/>
        <v>0</v>
      </c>
      <c r="O20" s="450">
        <f t="shared" si="2"/>
        <v>0</v>
      </c>
      <c r="P20" s="456"/>
      <c r="Q20" s="452"/>
      <c r="R20" s="452"/>
      <c r="S20" s="453">
        <f t="shared" si="15"/>
        <v>0</v>
      </c>
      <c r="T20" s="450">
        <f t="shared" si="3"/>
        <v>0</v>
      </c>
      <c r="U20" s="465"/>
      <c r="V20" s="452"/>
      <c r="W20" s="452"/>
      <c r="X20" s="453">
        <f t="shared" si="16"/>
        <v>0</v>
      </c>
      <c r="Y20" s="450">
        <f t="shared" si="28"/>
        <v>0</v>
      </c>
      <c r="Z20" s="714"/>
      <c r="AA20" s="452"/>
      <c r="AB20" s="452"/>
      <c r="AC20" s="592">
        <f t="shared" si="17"/>
        <v>0</v>
      </c>
      <c r="AD20" s="595">
        <f t="shared" si="18"/>
        <v>0</v>
      </c>
      <c r="AE20" s="714"/>
      <c r="AF20" s="452"/>
      <c r="AG20" s="452"/>
      <c r="AH20" s="592">
        <f t="shared" si="19"/>
        <v>0</v>
      </c>
      <c r="AI20" s="541">
        <f t="shared" si="29"/>
        <v>0</v>
      </c>
      <c r="AJ20" s="714"/>
      <c r="AK20" s="452"/>
      <c r="AL20" s="452"/>
      <c r="AM20" s="592">
        <f t="shared" si="20"/>
        <v>0</v>
      </c>
      <c r="AN20" s="541">
        <f t="shared" si="21"/>
        <v>0</v>
      </c>
      <c r="AO20" s="601"/>
      <c r="AP20" s="785"/>
      <c r="AQ20" s="714"/>
      <c r="AR20" s="592">
        <f t="shared" si="22"/>
        <v>0</v>
      </c>
      <c r="AS20" s="785">
        <f t="shared" si="6"/>
        <v>0</v>
      </c>
      <c r="AT20" s="714"/>
      <c r="AU20" s="714"/>
      <c r="AV20" s="714"/>
      <c r="AW20" s="592">
        <f t="shared" si="23"/>
        <v>0</v>
      </c>
      <c r="AX20" s="785">
        <f t="shared" si="7"/>
        <v>0</v>
      </c>
      <c r="AY20" s="714"/>
      <c r="AZ20" s="714"/>
      <c r="BA20" s="714"/>
      <c r="BB20" s="592">
        <f t="shared" si="24"/>
        <v>0</v>
      </c>
      <c r="BC20" s="785">
        <f t="shared" si="8"/>
        <v>0</v>
      </c>
      <c r="BD20" s="601"/>
      <c r="BE20" s="785"/>
      <c r="BF20" s="714"/>
      <c r="BG20" s="592">
        <f t="shared" si="25"/>
        <v>0</v>
      </c>
      <c r="BH20" s="785">
        <f t="shared" si="9"/>
        <v>0</v>
      </c>
      <c r="BI20" s="714"/>
      <c r="BJ20" s="785"/>
      <c r="BK20" s="714"/>
      <c r="BL20" s="592">
        <f t="shared" si="26"/>
        <v>0</v>
      </c>
      <c r="BM20" s="785">
        <f t="shared" si="10"/>
        <v>0</v>
      </c>
      <c r="BN20" s="714"/>
      <c r="BO20" s="560">
        <f t="shared" si="11"/>
        <v>52142.5</v>
      </c>
      <c r="BP20" s="452">
        <f t="shared" si="12"/>
        <v>0</v>
      </c>
      <c r="BQ20" s="453">
        <f t="shared" si="27"/>
        <v>52142.5</v>
      </c>
      <c r="BR20" s="450">
        <f t="shared" si="4"/>
        <v>1.6714914726058856E-3</v>
      </c>
      <c r="BS20" s="456"/>
      <c r="BT20" s="842"/>
      <c r="BU20" s="842"/>
      <c r="BW20" s="933"/>
    </row>
    <row r="21" spans="1:75" s="2" customFormat="1" ht="13.95" customHeight="1" outlineLevel="2">
      <c r="A21" s="238"/>
      <c r="B21" s="471" t="s">
        <v>58</v>
      </c>
      <c r="C21" s="114">
        <v>1066632</v>
      </c>
      <c r="D21" s="445"/>
      <c r="E21" s="446">
        <f t="shared" si="5"/>
        <v>1066632</v>
      </c>
      <c r="F21" s="447">
        <f t="shared" si="0"/>
        <v>3.3543376044511589E-2</v>
      </c>
      <c r="G21" s="452">
        <v>803459.67999999993</v>
      </c>
      <c r="H21" s="452">
        <v>40550</v>
      </c>
      <c r="I21" s="453">
        <f t="shared" si="13"/>
        <v>844009.67999999993</v>
      </c>
      <c r="J21" s="450">
        <f t="shared" si="1"/>
        <v>8.5993961875139843E-2</v>
      </c>
      <c r="K21" s="456"/>
      <c r="L21" s="452">
        <f>(179*393.7+154*409.71+44*243.17+65*405.2)</f>
        <v>170605.12000000002</v>
      </c>
      <c r="M21" s="452">
        <v>950</v>
      </c>
      <c r="N21" s="453">
        <f t="shared" si="14"/>
        <v>171555.12000000002</v>
      </c>
      <c r="O21" s="450">
        <f t="shared" si="2"/>
        <v>2.1780723313584924E-2</v>
      </c>
      <c r="P21" s="454" t="s">
        <v>503</v>
      </c>
      <c r="Q21" s="452">
        <f>71063+40520</f>
        <v>111583</v>
      </c>
      <c r="R21" s="452">
        <v>1200</v>
      </c>
      <c r="S21" s="453">
        <f t="shared" si="15"/>
        <v>112783</v>
      </c>
      <c r="T21" s="450">
        <f t="shared" si="3"/>
        <v>8.1945451346593548E-2</v>
      </c>
      <c r="U21" s="455" t="s">
        <v>595</v>
      </c>
      <c r="V21" s="452">
        <v>34646</v>
      </c>
      <c r="W21" s="452"/>
      <c r="X21" s="453">
        <f t="shared" si="16"/>
        <v>34646</v>
      </c>
      <c r="Y21" s="450">
        <f t="shared" si="28"/>
        <v>1.1291796974541227E-2</v>
      </c>
      <c r="Z21" s="714" t="s">
        <v>677</v>
      </c>
      <c r="AA21" s="452"/>
      <c r="AB21" s="452"/>
      <c r="AC21" s="592">
        <f t="shared" si="17"/>
        <v>0</v>
      </c>
      <c r="AD21" s="595">
        <f t="shared" si="18"/>
        <v>0</v>
      </c>
      <c r="AE21" s="714"/>
      <c r="AF21" s="452"/>
      <c r="AG21" s="452"/>
      <c r="AH21" s="592">
        <f t="shared" si="19"/>
        <v>0</v>
      </c>
      <c r="AI21" s="541">
        <f t="shared" si="29"/>
        <v>0</v>
      </c>
      <c r="AJ21" s="714"/>
      <c r="AK21" s="452"/>
      <c r="AL21" s="452"/>
      <c r="AM21" s="592">
        <f t="shared" si="20"/>
        <v>0</v>
      </c>
      <c r="AN21" s="541">
        <f t="shared" si="21"/>
        <v>0</v>
      </c>
      <c r="AO21" s="601"/>
      <c r="AP21" s="785"/>
      <c r="AQ21" s="714"/>
      <c r="AR21" s="592">
        <f t="shared" si="22"/>
        <v>0</v>
      </c>
      <c r="AS21" s="785">
        <f t="shared" si="6"/>
        <v>0</v>
      </c>
      <c r="AT21" s="714"/>
      <c r="AU21" s="714"/>
      <c r="AV21" s="714"/>
      <c r="AW21" s="592">
        <f t="shared" si="23"/>
        <v>0</v>
      </c>
      <c r="AX21" s="785">
        <f t="shared" si="7"/>
        <v>0</v>
      </c>
      <c r="AY21" s="714"/>
      <c r="AZ21" s="714">
        <v>37715.540000000197</v>
      </c>
      <c r="BA21" s="714"/>
      <c r="BB21" s="592">
        <f t="shared" si="24"/>
        <v>37715.540000000197</v>
      </c>
      <c r="BC21" s="785">
        <f t="shared" si="8"/>
        <v>2.0234037395474393E-2</v>
      </c>
      <c r="BD21" s="601"/>
      <c r="BE21" s="785"/>
      <c r="BF21" s="714"/>
      <c r="BG21" s="592">
        <f t="shared" si="25"/>
        <v>0</v>
      </c>
      <c r="BH21" s="785">
        <f t="shared" si="9"/>
        <v>0</v>
      </c>
      <c r="BI21" s="714"/>
      <c r="BJ21" s="785"/>
      <c r="BK21" s="714"/>
      <c r="BL21" s="592">
        <f t="shared" si="26"/>
        <v>0</v>
      </c>
      <c r="BM21" s="785">
        <f t="shared" si="10"/>
        <v>0</v>
      </c>
      <c r="BN21" s="714"/>
      <c r="BO21" s="560">
        <f t="shared" si="11"/>
        <v>1158009.3400000001</v>
      </c>
      <c r="BP21" s="452">
        <f t="shared" si="12"/>
        <v>42700</v>
      </c>
      <c r="BQ21" s="453">
        <f t="shared" si="27"/>
        <v>1200709.3400000001</v>
      </c>
      <c r="BR21" s="450">
        <f t="shared" si="4"/>
        <v>3.8490203248563865E-2</v>
      </c>
      <c r="BS21" s="456"/>
      <c r="BT21" s="842"/>
      <c r="BU21" s="842"/>
      <c r="BV21" s="842"/>
      <c r="BW21" s="933"/>
    </row>
    <row r="22" spans="1:75" s="2" customFormat="1" ht="13.95" customHeight="1" outlineLevel="2">
      <c r="A22" s="238"/>
      <c r="B22" s="471" t="s">
        <v>621</v>
      </c>
      <c r="C22" s="114"/>
      <c r="D22" s="445"/>
      <c r="E22" s="446">
        <f>C22+D22</f>
        <v>0</v>
      </c>
      <c r="F22" s="447">
        <f t="shared" si="0"/>
        <v>0</v>
      </c>
      <c r="G22" s="452"/>
      <c r="H22" s="452"/>
      <c r="I22" s="453"/>
      <c r="J22" s="450"/>
      <c r="K22" s="456"/>
      <c r="L22" s="452"/>
      <c r="M22" s="452"/>
      <c r="N22" s="453"/>
      <c r="O22" s="450"/>
      <c r="P22" s="454"/>
      <c r="Q22" s="452"/>
      <c r="R22" s="452"/>
      <c r="S22" s="453"/>
      <c r="T22" s="450">
        <f t="shared" si="3"/>
        <v>0</v>
      </c>
      <c r="U22" s="455"/>
      <c r="V22" s="452"/>
      <c r="W22" s="452"/>
      <c r="X22" s="453">
        <f t="shared" si="16"/>
        <v>0</v>
      </c>
      <c r="Y22" s="450">
        <f t="shared" si="28"/>
        <v>0</v>
      </c>
      <c r="Z22" s="714"/>
      <c r="AA22" s="452"/>
      <c r="AB22" s="452">
        <v>7200</v>
      </c>
      <c r="AC22" s="592">
        <f t="shared" si="17"/>
        <v>7200</v>
      </c>
      <c r="AD22" s="595">
        <f t="shared" si="18"/>
        <v>2.2531288438410735E-2</v>
      </c>
      <c r="AE22" s="714" t="s">
        <v>756</v>
      </c>
      <c r="AF22" s="452">
        <v>182625</v>
      </c>
      <c r="AG22" s="452"/>
      <c r="AH22" s="592">
        <f>AF22+AG22*1</f>
        <v>182625</v>
      </c>
      <c r="AI22" s="541">
        <f>AH22/$AH$89</f>
        <v>5.2862692179701902E-2</v>
      </c>
      <c r="AJ22" s="714" t="s">
        <v>819</v>
      </c>
      <c r="AK22" s="452"/>
      <c r="AL22" s="452">
        <v>2000</v>
      </c>
      <c r="AM22" s="592">
        <f t="shared" si="20"/>
        <v>2000</v>
      </c>
      <c r="AN22" s="541">
        <f t="shared" si="21"/>
        <v>9.291591900370494E-4</v>
      </c>
      <c r="AO22" s="601" t="s">
        <v>831</v>
      </c>
      <c r="AP22" s="785"/>
      <c r="AQ22" s="714"/>
      <c r="AR22" s="592">
        <f t="shared" si="22"/>
        <v>0</v>
      </c>
      <c r="AS22" s="785">
        <f t="shared" si="6"/>
        <v>0</v>
      </c>
      <c r="AT22" s="714"/>
      <c r="AU22" s="714"/>
      <c r="AV22" s="714"/>
      <c r="AW22" s="592">
        <f t="shared" si="23"/>
        <v>0</v>
      </c>
      <c r="AX22" s="785">
        <f t="shared" si="7"/>
        <v>0</v>
      </c>
      <c r="AY22" s="714"/>
      <c r="AZ22" s="714">
        <v>88435.28</v>
      </c>
      <c r="BA22" s="714">
        <f>50000+700</f>
        <v>50700</v>
      </c>
      <c r="BB22" s="592">
        <f t="shared" si="24"/>
        <v>139135.28</v>
      </c>
      <c r="BC22" s="785">
        <f t="shared" si="8"/>
        <v>7.464478722960842E-2</v>
      </c>
      <c r="BD22" s="601"/>
      <c r="BE22" s="785"/>
      <c r="BF22" s="714"/>
      <c r="BG22" s="592">
        <f t="shared" si="25"/>
        <v>0</v>
      </c>
      <c r="BH22" s="785">
        <f t="shared" si="9"/>
        <v>0</v>
      </c>
      <c r="BI22" s="714"/>
      <c r="BJ22" s="785"/>
      <c r="BK22" s="714"/>
      <c r="BL22" s="592">
        <f t="shared" si="26"/>
        <v>0</v>
      </c>
      <c r="BM22" s="785">
        <f t="shared" si="10"/>
        <v>0</v>
      </c>
      <c r="BN22" s="714"/>
      <c r="BO22" s="560">
        <f t="shared" si="11"/>
        <v>271060.28000000003</v>
      </c>
      <c r="BP22" s="452">
        <f t="shared" si="12"/>
        <v>59900</v>
      </c>
      <c r="BQ22" s="453">
        <f t="shared" si="27"/>
        <v>330960.28000000003</v>
      </c>
      <c r="BR22" s="450">
        <f>BQ22/$BQ$89</f>
        <v>1.0609335681857531E-2</v>
      </c>
      <c r="BS22" s="456"/>
      <c r="BT22" s="842"/>
      <c r="BU22" s="842"/>
      <c r="BV22" s="842"/>
      <c r="BW22" s="933"/>
    </row>
    <row r="23" spans="1:75" s="2" customFormat="1" ht="13.95" customHeight="1" outlineLevel="2">
      <c r="A23" s="238"/>
      <c r="B23" s="471" t="s">
        <v>630</v>
      </c>
      <c r="C23" s="114"/>
      <c r="D23" s="445"/>
      <c r="E23" s="446"/>
      <c r="F23" s="447"/>
      <c r="G23" s="452"/>
      <c r="H23" s="452"/>
      <c r="I23" s="453"/>
      <c r="J23" s="450"/>
      <c r="K23" s="456"/>
      <c r="L23" s="452"/>
      <c r="M23" s="452"/>
      <c r="N23" s="453"/>
      <c r="O23" s="450"/>
      <c r="P23" s="454"/>
      <c r="Q23" s="452"/>
      <c r="R23" s="452"/>
      <c r="S23" s="453"/>
      <c r="T23" s="450"/>
      <c r="U23" s="455"/>
      <c r="V23" s="452"/>
      <c r="W23" s="452"/>
      <c r="X23" s="453">
        <f t="shared" si="16"/>
        <v>0</v>
      </c>
      <c r="Y23" s="450">
        <f t="shared" si="28"/>
        <v>0</v>
      </c>
      <c r="Z23" s="714"/>
      <c r="AA23" s="452"/>
      <c r="AB23" s="452"/>
      <c r="AC23" s="592">
        <f t="shared" si="17"/>
        <v>0</v>
      </c>
      <c r="AD23" s="595">
        <f t="shared" si="18"/>
        <v>0</v>
      </c>
      <c r="AE23" s="714"/>
      <c r="AF23" s="452"/>
      <c r="AG23" s="452"/>
      <c r="AH23" s="592">
        <f>AF23+AG23*1</f>
        <v>0</v>
      </c>
      <c r="AI23" s="541">
        <f>AH23/$AH$89</f>
        <v>0</v>
      </c>
      <c r="AJ23" s="714"/>
      <c r="AK23" s="452"/>
      <c r="AL23" s="452"/>
      <c r="AM23" s="592">
        <f t="shared" si="20"/>
        <v>0</v>
      </c>
      <c r="AN23" s="541">
        <f t="shared" si="21"/>
        <v>0</v>
      </c>
      <c r="AO23" s="601"/>
      <c r="AP23" s="785"/>
      <c r="AQ23" s="714"/>
      <c r="AR23" s="592">
        <f t="shared" si="22"/>
        <v>0</v>
      </c>
      <c r="AS23" s="785">
        <f t="shared" si="6"/>
        <v>0</v>
      </c>
      <c r="AT23" s="714"/>
      <c r="AU23" s="714"/>
      <c r="AV23" s="714"/>
      <c r="AW23" s="592">
        <f t="shared" si="23"/>
        <v>0</v>
      </c>
      <c r="AX23" s="785">
        <f t="shared" si="7"/>
        <v>0</v>
      </c>
      <c r="AY23" s="714"/>
      <c r="AZ23" s="714"/>
      <c r="BA23" s="714"/>
      <c r="BB23" s="592">
        <f t="shared" si="24"/>
        <v>0</v>
      </c>
      <c r="BC23" s="785">
        <f t="shared" si="8"/>
        <v>0</v>
      </c>
      <c r="BD23" s="601"/>
      <c r="BE23" s="785"/>
      <c r="BF23" s="714"/>
      <c r="BG23" s="592">
        <f t="shared" si="25"/>
        <v>0</v>
      </c>
      <c r="BH23" s="785">
        <f t="shared" si="9"/>
        <v>0</v>
      </c>
      <c r="BI23" s="714"/>
      <c r="BJ23" s="785"/>
      <c r="BK23" s="714"/>
      <c r="BL23" s="592">
        <f t="shared" si="26"/>
        <v>0</v>
      </c>
      <c r="BM23" s="785">
        <f t="shared" si="10"/>
        <v>0</v>
      </c>
      <c r="BN23" s="714"/>
      <c r="BO23" s="560">
        <f t="shared" si="11"/>
        <v>0</v>
      </c>
      <c r="BP23" s="452">
        <f t="shared" si="12"/>
        <v>0</v>
      </c>
      <c r="BQ23" s="453">
        <f t="shared" si="27"/>
        <v>0</v>
      </c>
      <c r="BR23" s="450">
        <f>BQ23/$BQ$89</f>
        <v>0</v>
      </c>
      <c r="BS23" s="456"/>
      <c r="BT23" s="842"/>
      <c r="BU23" s="842"/>
      <c r="BW23" s="933"/>
    </row>
    <row r="24" spans="1:75" s="2" customFormat="1" ht="13.95" customHeight="1" outlineLevel="2">
      <c r="A24" s="238"/>
      <c r="B24" s="471" t="s">
        <v>23</v>
      </c>
      <c r="C24" s="114">
        <v>200700</v>
      </c>
      <c r="D24" s="445"/>
      <c r="E24" s="446">
        <f t="shared" si="5"/>
        <v>200700</v>
      </c>
      <c r="F24" s="447">
        <f t="shared" ref="F24:F33" si="30">E24/$E$89</f>
        <v>6.3116009759068507E-3</v>
      </c>
      <c r="G24" s="452">
        <v>225816.67059999998</v>
      </c>
      <c r="H24" s="452">
        <v>4500</v>
      </c>
      <c r="I24" s="453">
        <f t="shared" si="13"/>
        <v>230316.67059999998</v>
      </c>
      <c r="J24" s="450">
        <f t="shared" ref="J24:J33" si="31">I24/$I$89</f>
        <v>2.3466369474323494E-2</v>
      </c>
      <c r="K24" s="456"/>
      <c r="L24" s="452">
        <f>6100+1500+350.4+3000+2190</f>
        <v>13140.4</v>
      </c>
      <c r="M24" s="452"/>
      <c r="N24" s="453">
        <f t="shared" si="14"/>
        <v>13140.4</v>
      </c>
      <c r="O24" s="450">
        <f t="shared" ref="O24:O33" si="32">N24/$N$89</f>
        <v>1.6683117159652901E-3</v>
      </c>
      <c r="P24" s="454" t="s">
        <v>518</v>
      </c>
      <c r="Q24" s="452">
        <f>2500+5500</f>
        <v>8000</v>
      </c>
      <c r="R24" s="452"/>
      <c r="S24" s="453">
        <f t="shared" si="15"/>
        <v>8000</v>
      </c>
      <c r="T24" s="450">
        <f t="shared" ref="T24:T33" si="33">S24/$S$89</f>
        <v>5.8126101519976273E-3</v>
      </c>
      <c r="U24" s="455" t="s">
        <v>596</v>
      </c>
      <c r="V24" s="452">
        <f>2583.34*1.2</f>
        <v>3100.0080000000003</v>
      </c>
      <c r="W24" s="452">
        <v>1000</v>
      </c>
      <c r="X24" s="453">
        <f t="shared" si="16"/>
        <v>4100.0079999999998</v>
      </c>
      <c r="Y24" s="450">
        <f t="shared" si="28"/>
        <v>1.3362713712981246E-3</v>
      </c>
      <c r="Z24" s="714" t="s">
        <v>678</v>
      </c>
      <c r="AA24" s="452">
        <f>8502.49*1.2</f>
        <v>10202.987999999999</v>
      </c>
      <c r="AB24" s="452">
        <v>600</v>
      </c>
      <c r="AC24" s="592">
        <f t="shared" si="17"/>
        <v>10802.987999999999</v>
      </c>
      <c r="AD24" s="595">
        <f t="shared" si="18"/>
        <v>3.3806283142318039E-2</v>
      </c>
      <c r="AE24" s="714" t="s">
        <v>753</v>
      </c>
      <c r="AF24" s="452">
        <f>23937.5*1.2</f>
        <v>28725</v>
      </c>
      <c r="AG24" s="452"/>
      <c r="AH24" s="592">
        <f t="shared" si="19"/>
        <v>28725</v>
      </c>
      <c r="AI24" s="541">
        <f t="shared" si="29"/>
        <v>8.3147478869921264E-3</v>
      </c>
      <c r="AJ24" s="714"/>
      <c r="AK24" s="452"/>
      <c r="AL24" s="452"/>
      <c r="AM24" s="592">
        <f t="shared" si="20"/>
        <v>0</v>
      </c>
      <c r="AN24" s="541">
        <f t="shared" si="21"/>
        <v>0</v>
      </c>
      <c r="AO24" s="601"/>
      <c r="AP24" s="785"/>
      <c r="AQ24" s="714"/>
      <c r="AR24" s="592">
        <f t="shared" si="22"/>
        <v>0</v>
      </c>
      <c r="AS24" s="785">
        <f t="shared" si="6"/>
        <v>0</v>
      </c>
      <c r="AT24" s="714"/>
      <c r="AU24" s="714">
        <f>8073.34*1.2+14500*1.2</f>
        <v>27088.008000000002</v>
      </c>
      <c r="AV24" s="714"/>
      <c r="AW24" s="592">
        <f t="shared" si="23"/>
        <v>27088.008000000002</v>
      </c>
      <c r="AX24" s="785">
        <f t="shared" si="7"/>
        <v>1.4532465048648559E-2</v>
      </c>
      <c r="AY24" s="714"/>
      <c r="AZ24" s="714">
        <v>86630.625399999961</v>
      </c>
      <c r="BA24" s="714">
        <v>820</v>
      </c>
      <c r="BB24" s="592">
        <f t="shared" si="24"/>
        <v>87450.625399999961</v>
      </c>
      <c r="BC24" s="785">
        <f t="shared" si="8"/>
        <v>4.6916449415843248E-2</v>
      </c>
      <c r="BD24" s="601"/>
      <c r="BE24" s="785"/>
      <c r="BF24" s="714"/>
      <c r="BG24" s="592">
        <f t="shared" si="25"/>
        <v>0</v>
      </c>
      <c r="BH24" s="785">
        <f t="shared" si="9"/>
        <v>0</v>
      </c>
      <c r="BI24" s="714"/>
      <c r="BJ24" s="785"/>
      <c r="BK24" s="714"/>
      <c r="BL24" s="592">
        <f t="shared" si="26"/>
        <v>0</v>
      </c>
      <c r="BM24" s="785">
        <f t="shared" si="10"/>
        <v>0</v>
      </c>
      <c r="BN24" s="714"/>
      <c r="BO24" s="560">
        <f t="shared" si="11"/>
        <v>402703.7</v>
      </c>
      <c r="BP24" s="452">
        <f t="shared" si="12"/>
        <v>6920</v>
      </c>
      <c r="BQ24" s="453">
        <f t="shared" si="27"/>
        <v>409623.7</v>
      </c>
      <c r="BR24" s="450">
        <f t="shared" ref="BR24:BR33" si="34">BQ24/$BQ$89</f>
        <v>1.3130987611397067E-2</v>
      </c>
      <c r="BS24" s="456"/>
      <c r="BT24" s="842"/>
      <c r="BU24" s="842"/>
      <c r="BV24" s="842"/>
      <c r="BW24" s="933"/>
    </row>
    <row r="25" spans="1:75" s="2" customFormat="1" ht="13.95" customHeight="1" outlineLevel="2">
      <c r="A25" s="238"/>
      <c r="B25" s="471" t="s">
        <v>24</v>
      </c>
      <c r="C25" s="114">
        <v>479789</v>
      </c>
      <c r="D25" s="445"/>
      <c r="E25" s="446">
        <f t="shared" si="5"/>
        <v>479789</v>
      </c>
      <c r="F25" s="447">
        <f t="shared" si="30"/>
        <v>1.5088374293120935E-2</v>
      </c>
      <c r="G25" s="452">
        <v>73473.179999999993</v>
      </c>
      <c r="H25" s="452">
        <v>15052.22</v>
      </c>
      <c r="I25" s="453">
        <f t="shared" si="13"/>
        <v>88525.4</v>
      </c>
      <c r="J25" s="450">
        <f t="shared" si="31"/>
        <v>9.0196238893628621E-3</v>
      </c>
      <c r="K25" s="456"/>
      <c r="L25" s="452">
        <f>1193.77*1.2+9351.78*1.2</f>
        <v>12654.66</v>
      </c>
      <c r="M25" s="452">
        <v>3453.05</v>
      </c>
      <c r="N25" s="453">
        <f t="shared" si="14"/>
        <v>16107.71</v>
      </c>
      <c r="O25" s="450">
        <f t="shared" si="32"/>
        <v>2.0450428685862884E-3</v>
      </c>
      <c r="P25" s="454" t="s">
        <v>499</v>
      </c>
      <c r="Q25" s="452">
        <f>910.64*1.2</f>
        <v>1092.768</v>
      </c>
      <c r="R25" s="452">
        <v>1794</v>
      </c>
      <c r="S25" s="453">
        <f t="shared" si="15"/>
        <v>2886.768</v>
      </c>
      <c r="T25" s="450">
        <f t="shared" si="33"/>
        <v>2.0974571229077357E-3</v>
      </c>
      <c r="U25" s="455"/>
      <c r="V25" s="452">
        <f>7959.04*1.2</f>
        <v>9550.848</v>
      </c>
      <c r="W25" s="452">
        <v>5377.37</v>
      </c>
      <c r="X25" s="453">
        <f t="shared" si="16"/>
        <v>14928.218000000001</v>
      </c>
      <c r="Y25" s="450">
        <f t="shared" si="28"/>
        <v>4.8653930279885672E-3</v>
      </c>
      <c r="Z25" s="714" t="s">
        <v>675</v>
      </c>
      <c r="AA25" s="452">
        <f>5246.64*1.2</f>
        <v>6295.9679999999998</v>
      </c>
      <c r="AB25" s="452">
        <v>2890</v>
      </c>
      <c r="AC25" s="592">
        <f t="shared" si="17"/>
        <v>9185.9680000000008</v>
      </c>
      <c r="AD25" s="595">
        <f t="shared" si="18"/>
        <v>2.8746068693612639E-2</v>
      </c>
      <c r="AE25" s="714" t="s">
        <v>752</v>
      </c>
      <c r="AF25" s="452"/>
      <c r="AG25" s="452">
        <v>1166</v>
      </c>
      <c r="AH25" s="592">
        <f t="shared" si="19"/>
        <v>1166</v>
      </c>
      <c r="AI25" s="541">
        <f t="shared" si="29"/>
        <v>3.3751074103508514E-4</v>
      </c>
      <c r="AJ25" s="714"/>
      <c r="AK25" s="452">
        <f>2150.84*1.2</f>
        <v>2581.0080000000003</v>
      </c>
      <c r="AL25" s="452">
        <v>1777</v>
      </c>
      <c r="AM25" s="592">
        <f t="shared" si="20"/>
        <v>4358.0079999999998</v>
      </c>
      <c r="AN25" s="541">
        <f t="shared" si="21"/>
        <v>2.0246415917274906E-3</v>
      </c>
      <c r="AO25" s="601"/>
      <c r="AP25" s="785"/>
      <c r="AQ25" s="714">
        <v>1482</v>
      </c>
      <c r="AR25" s="592">
        <f t="shared" si="22"/>
        <v>1482</v>
      </c>
      <c r="AS25" s="785">
        <f t="shared" si="6"/>
        <v>4.4345160024448521E-2</v>
      </c>
      <c r="AT25" s="714"/>
      <c r="AU25" s="714"/>
      <c r="AV25" s="714"/>
      <c r="AW25" s="592">
        <f t="shared" si="23"/>
        <v>0</v>
      </c>
      <c r="AX25" s="785">
        <f t="shared" si="7"/>
        <v>0</v>
      </c>
      <c r="AY25" s="714"/>
      <c r="AZ25" s="714">
        <v>-37665.119999999981</v>
      </c>
      <c r="BA25" s="714"/>
      <c r="BB25" s="592">
        <f t="shared" si="24"/>
        <v>-37665.119999999981</v>
      </c>
      <c r="BC25" s="785">
        <f t="shared" si="8"/>
        <v>-2.0206987533123642E-2</v>
      </c>
      <c r="BD25" s="601"/>
      <c r="BE25" s="785"/>
      <c r="BF25" s="714"/>
      <c r="BG25" s="592">
        <f t="shared" si="25"/>
        <v>0</v>
      </c>
      <c r="BH25" s="785">
        <f t="shared" si="9"/>
        <v>0</v>
      </c>
      <c r="BI25" s="714"/>
      <c r="BJ25" s="785"/>
      <c r="BK25" s="714"/>
      <c r="BL25" s="592">
        <f t="shared" si="26"/>
        <v>0</v>
      </c>
      <c r="BM25" s="785">
        <f t="shared" si="10"/>
        <v>0</v>
      </c>
      <c r="BN25" s="714"/>
      <c r="BO25" s="560">
        <f t="shared" si="11"/>
        <v>67983.312000000005</v>
      </c>
      <c r="BP25" s="452">
        <f t="shared" si="12"/>
        <v>32991.64</v>
      </c>
      <c r="BQ25" s="453">
        <f t="shared" si="27"/>
        <v>100974.952</v>
      </c>
      <c r="BR25" s="450">
        <f t="shared" si="34"/>
        <v>3.2368753169638707E-3</v>
      </c>
      <c r="BS25" s="456"/>
      <c r="BT25" s="842"/>
      <c r="BU25" s="842"/>
      <c r="BW25" s="933"/>
    </row>
    <row r="26" spans="1:75" s="2" customFormat="1" ht="31.95" customHeight="1" outlineLevel="2">
      <c r="A26" s="238"/>
      <c r="B26" s="471" t="s">
        <v>45</v>
      </c>
      <c r="C26" s="114">
        <v>19659021</v>
      </c>
      <c r="D26" s="445"/>
      <c r="E26" s="446">
        <f t="shared" si="5"/>
        <v>19659021</v>
      </c>
      <c r="F26" s="447">
        <f t="shared" si="30"/>
        <v>0.61823565584939344</v>
      </c>
      <c r="G26" s="452">
        <v>4346217.0600000005</v>
      </c>
      <c r="H26" s="452">
        <v>1135</v>
      </c>
      <c r="I26" s="453">
        <f t="shared" si="13"/>
        <v>4347352.0600000005</v>
      </c>
      <c r="J26" s="450">
        <f t="shared" si="31"/>
        <v>0.44294044981267361</v>
      </c>
      <c r="K26" s="456"/>
      <c r="L26" s="452">
        <f>4139435.08*1.2</f>
        <v>4967322.0959999999</v>
      </c>
      <c r="M26" s="452">
        <v>260</v>
      </c>
      <c r="N26" s="453">
        <f t="shared" si="14"/>
        <v>4967582.0959999999</v>
      </c>
      <c r="O26" s="450">
        <f t="shared" si="32"/>
        <v>0.63068669224500118</v>
      </c>
      <c r="P26" s="456" t="s">
        <v>500</v>
      </c>
      <c r="Q26" s="452">
        <f>573506.87*1.2</f>
        <v>688208.24399999995</v>
      </c>
      <c r="R26" s="452"/>
      <c r="S26" s="453">
        <f t="shared" si="15"/>
        <v>688208.24399999995</v>
      </c>
      <c r="T26" s="450">
        <f t="shared" si="33"/>
        <v>0.5000357782203575</v>
      </c>
      <c r="U26" s="455" t="s">
        <v>613</v>
      </c>
      <c r="V26" s="452">
        <f>(1880826.52-185134.96)*1.2</f>
        <v>2034829.872</v>
      </c>
      <c r="W26" s="452">
        <v>86</v>
      </c>
      <c r="X26" s="453">
        <f t="shared" si="16"/>
        <v>2034915.872</v>
      </c>
      <c r="Y26" s="450">
        <f t="shared" si="28"/>
        <v>0.66321817488008783</v>
      </c>
      <c r="Z26" s="714" t="s">
        <v>676</v>
      </c>
      <c r="AA26" s="452"/>
      <c r="AB26" s="452"/>
      <c r="AC26" s="592">
        <f t="shared" si="17"/>
        <v>0</v>
      </c>
      <c r="AD26" s="595">
        <f t="shared" si="18"/>
        <v>0</v>
      </c>
      <c r="AE26" s="714"/>
      <c r="AF26" s="452">
        <f>(49592.05+2415278.44)*1.2</f>
        <v>2957844.5879999995</v>
      </c>
      <c r="AG26" s="452"/>
      <c r="AH26" s="592">
        <f t="shared" si="19"/>
        <v>2957844.5879999995</v>
      </c>
      <c r="AI26" s="541">
        <f t="shared" si="29"/>
        <v>0.85617866103130003</v>
      </c>
      <c r="AJ26" s="714"/>
      <c r="AK26" s="452">
        <f>1511855.84*1.2</f>
        <v>1814227.0080000001</v>
      </c>
      <c r="AL26" s="452"/>
      <c r="AM26" s="592">
        <f t="shared" si="20"/>
        <v>1814227.0080000001</v>
      </c>
      <c r="AN26" s="541">
        <f t="shared" si="21"/>
        <v>0.84285284864830978</v>
      </c>
      <c r="AO26" s="601"/>
      <c r="AP26" s="785"/>
      <c r="AQ26" s="714">
        <v>1658</v>
      </c>
      <c r="AR26" s="592">
        <f t="shared" si="22"/>
        <v>1658</v>
      </c>
      <c r="AS26" s="785">
        <f t="shared" si="6"/>
        <v>4.9611521808728513E-2</v>
      </c>
      <c r="AT26" s="714"/>
      <c r="AU26" s="714">
        <f>(907059.14-2016)*1.2</f>
        <v>1086051.7679999999</v>
      </c>
      <c r="AV26" s="714"/>
      <c r="AW26" s="592">
        <f t="shared" si="23"/>
        <v>1086051.7679999999</v>
      </c>
      <c r="AX26" s="785">
        <f t="shared" si="7"/>
        <v>0.58265670031856798</v>
      </c>
      <c r="AY26" s="714"/>
      <c r="AZ26" s="714">
        <f>85538.64*1.2-473748.28</f>
        <v>-371101.91200000001</v>
      </c>
      <c r="BA26" s="714">
        <v>893</v>
      </c>
      <c r="BB26" s="592">
        <f t="shared" si="24"/>
        <v>-370208.91200000001</v>
      </c>
      <c r="BC26" s="785">
        <f t="shared" si="8"/>
        <v>-0.19861364757195177</v>
      </c>
      <c r="BD26" s="601"/>
      <c r="BE26" s="785"/>
      <c r="BF26" s="714"/>
      <c r="BG26" s="592">
        <f t="shared" si="25"/>
        <v>0</v>
      </c>
      <c r="BH26" s="785">
        <f t="shared" si="9"/>
        <v>0</v>
      </c>
      <c r="BI26" s="714"/>
      <c r="BJ26" s="785">
        <f>168183.64*1.2</f>
        <v>201820.36800000002</v>
      </c>
      <c r="BK26" s="714"/>
      <c r="BL26" s="592">
        <f t="shared" si="26"/>
        <v>201820.36800000002</v>
      </c>
      <c r="BM26" s="785">
        <f t="shared" si="10"/>
        <v>0.10827475553261023</v>
      </c>
      <c r="BN26" s="714" t="s">
        <v>1099</v>
      </c>
      <c r="BO26" s="560">
        <f t="shared" si="11"/>
        <v>17725419.091999996</v>
      </c>
      <c r="BP26" s="452">
        <f t="shared" si="12"/>
        <v>4032</v>
      </c>
      <c r="BQ26" s="453">
        <f t="shared" si="27"/>
        <v>17729451.091999996</v>
      </c>
      <c r="BR26" s="450">
        <f t="shared" si="34"/>
        <v>0.56833919191180138</v>
      </c>
      <c r="BS26" s="456"/>
      <c r="BT26" s="842"/>
      <c r="BU26" s="842"/>
      <c r="BV26" s="842"/>
      <c r="BW26" s="933"/>
    </row>
    <row r="27" spans="1:75" s="2" customFormat="1" ht="13.95" customHeight="1" outlineLevel="2">
      <c r="A27" s="238"/>
      <c r="B27" s="471" t="s">
        <v>25</v>
      </c>
      <c r="C27" s="114"/>
      <c r="D27" s="445"/>
      <c r="E27" s="446">
        <f t="shared" si="5"/>
        <v>0</v>
      </c>
      <c r="F27" s="447">
        <f t="shared" si="30"/>
        <v>0</v>
      </c>
      <c r="G27" s="452">
        <v>0</v>
      </c>
      <c r="H27" s="452">
        <v>1235</v>
      </c>
      <c r="I27" s="453">
        <f t="shared" si="13"/>
        <v>1235</v>
      </c>
      <c r="J27" s="450">
        <f t="shared" si="31"/>
        <v>1.2583095364000768E-4</v>
      </c>
      <c r="K27" s="456"/>
      <c r="L27" s="452">
        <f>1494</f>
        <v>1494</v>
      </c>
      <c r="M27" s="452"/>
      <c r="N27" s="453">
        <f t="shared" si="14"/>
        <v>1494</v>
      </c>
      <c r="O27" s="450">
        <f t="shared" si="32"/>
        <v>1.8967898265289822E-4</v>
      </c>
      <c r="P27" s="456" t="s">
        <v>520</v>
      </c>
      <c r="Q27" s="452"/>
      <c r="R27" s="452"/>
      <c r="S27" s="453">
        <f t="shared" si="15"/>
        <v>0</v>
      </c>
      <c r="T27" s="450">
        <f t="shared" si="33"/>
        <v>0</v>
      </c>
      <c r="U27" s="465"/>
      <c r="V27" s="452"/>
      <c r="W27" s="452"/>
      <c r="X27" s="453">
        <f t="shared" si="16"/>
        <v>0</v>
      </c>
      <c r="Y27" s="450">
        <f t="shared" si="28"/>
        <v>0</v>
      </c>
      <c r="Z27" s="714"/>
      <c r="AA27" s="452"/>
      <c r="AB27" s="452">
        <v>250</v>
      </c>
      <c r="AC27" s="592">
        <f t="shared" si="17"/>
        <v>250</v>
      </c>
      <c r="AD27" s="595">
        <f t="shared" si="18"/>
        <v>7.8233640411148387E-4</v>
      </c>
      <c r="AE27" s="714" t="s">
        <v>754</v>
      </c>
      <c r="AF27" s="452"/>
      <c r="AG27" s="452"/>
      <c r="AH27" s="592">
        <f t="shared" si="19"/>
        <v>0</v>
      </c>
      <c r="AI27" s="541">
        <f t="shared" si="29"/>
        <v>0</v>
      </c>
      <c r="AJ27" s="714"/>
      <c r="AK27" s="452"/>
      <c r="AL27" s="452"/>
      <c r="AM27" s="592">
        <f t="shared" si="20"/>
        <v>0</v>
      </c>
      <c r="AN27" s="541">
        <f t="shared" si="21"/>
        <v>0</v>
      </c>
      <c r="AO27" s="601"/>
      <c r="AP27" s="785"/>
      <c r="AQ27" s="714"/>
      <c r="AR27" s="592">
        <f t="shared" si="22"/>
        <v>0</v>
      </c>
      <c r="AS27" s="785">
        <f t="shared" si="6"/>
        <v>0</v>
      </c>
      <c r="AT27" s="714"/>
      <c r="AU27" s="714"/>
      <c r="AV27" s="714"/>
      <c r="AW27" s="592">
        <f t="shared" si="23"/>
        <v>0</v>
      </c>
      <c r="AX27" s="785">
        <f t="shared" si="7"/>
        <v>0</v>
      </c>
      <c r="AY27" s="714"/>
      <c r="AZ27" s="714">
        <v>36605.160000000003</v>
      </c>
      <c r="BA27" s="714"/>
      <c r="BB27" s="592">
        <f t="shared" si="24"/>
        <v>36605.160000000003</v>
      </c>
      <c r="BC27" s="785">
        <f t="shared" si="8"/>
        <v>1.9638328824333938E-2</v>
      </c>
      <c r="BD27" s="601"/>
      <c r="BE27" s="785"/>
      <c r="BF27" s="714"/>
      <c r="BG27" s="592">
        <f t="shared" si="25"/>
        <v>0</v>
      </c>
      <c r="BH27" s="785">
        <f t="shared" si="9"/>
        <v>0</v>
      </c>
      <c r="BI27" s="714"/>
      <c r="BJ27" s="785"/>
      <c r="BK27" s="714"/>
      <c r="BL27" s="592">
        <f t="shared" si="26"/>
        <v>0</v>
      </c>
      <c r="BM27" s="785">
        <f t="shared" si="10"/>
        <v>0</v>
      </c>
      <c r="BN27" s="714"/>
      <c r="BO27" s="560">
        <f t="shared" si="11"/>
        <v>38099.160000000003</v>
      </c>
      <c r="BP27" s="452">
        <f t="shared" si="12"/>
        <v>1485</v>
      </c>
      <c r="BQ27" s="453">
        <f t="shared" si="27"/>
        <v>39584.160000000003</v>
      </c>
      <c r="BR27" s="450">
        <f t="shared" si="34"/>
        <v>1.2689185576116797E-3</v>
      </c>
      <c r="BS27" s="456"/>
      <c r="BT27" s="842"/>
      <c r="BU27" s="842"/>
      <c r="BV27" s="842"/>
      <c r="BW27" s="933"/>
    </row>
    <row r="28" spans="1:75" s="226" customFormat="1" ht="13.95" customHeight="1" outlineLevel="2">
      <c r="A28" s="238"/>
      <c r="B28" s="496" t="s">
        <v>52</v>
      </c>
      <c r="C28" s="114">
        <v>261713</v>
      </c>
      <c r="D28" s="445"/>
      <c r="E28" s="446">
        <f t="shared" si="5"/>
        <v>261713</v>
      </c>
      <c r="F28" s="447">
        <f t="shared" si="30"/>
        <v>8.2303339621699525E-3</v>
      </c>
      <c r="G28" s="452">
        <v>4009.9560000000001</v>
      </c>
      <c r="H28" s="452">
        <v>7534.2</v>
      </c>
      <c r="I28" s="453">
        <f t="shared" si="13"/>
        <v>11544.155999999999</v>
      </c>
      <c r="J28" s="450">
        <f t="shared" si="31"/>
        <v>1.1762041768817945E-3</v>
      </c>
      <c r="K28" s="456"/>
      <c r="L28" s="452"/>
      <c r="M28" s="452"/>
      <c r="N28" s="453">
        <f t="shared" si="14"/>
        <v>0</v>
      </c>
      <c r="O28" s="450">
        <f t="shared" si="32"/>
        <v>0</v>
      </c>
      <c r="P28" s="456"/>
      <c r="Q28" s="452">
        <v>750</v>
      </c>
      <c r="R28" s="452">
        <v>7858</v>
      </c>
      <c r="S28" s="453">
        <f t="shared" si="15"/>
        <v>8608</v>
      </c>
      <c r="T28" s="450">
        <f t="shared" si="33"/>
        <v>6.2543685235494466E-3</v>
      </c>
      <c r="U28" s="462" t="s">
        <v>617</v>
      </c>
      <c r="V28" s="452">
        <f>625*1.2</f>
        <v>750</v>
      </c>
      <c r="W28" s="452">
        <v>1301</v>
      </c>
      <c r="X28" s="453">
        <f t="shared" si="16"/>
        <v>2051</v>
      </c>
      <c r="Y28" s="450">
        <f t="shared" si="28"/>
        <v>6.684603011829377E-4</v>
      </c>
      <c r="Z28" s="714" t="s">
        <v>679</v>
      </c>
      <c r="AA28" s="452">
        <f>312.5*1.2</f>
        <v>375</v>
      </c>
      <c r="AB28" s="452">
        <v>1978.4</v>
      </c>
      <c r="AC28" s="592">
        <f t="shared" si="17"/>
        <v>2353.4</v>
      </c>
      <c r="AD28" s="595">
        <f t="shared" si="18"/>
        <v>7.3646019737438643E-3</v>
      </c>
      <c r="AE28" s="714" t="s">
        <v>748</v>
      </c>
      <c r="AF28" s="452"/>
      <c r="AG28" s="452"/>
      <c r="AH28" s="592">
        <f t="shared" si="19"/>
        <v>0</v>
      </c>
      <c r="AI28" s="541">
        <f t="shared" si="29"/>
        <v>0</v>
      </c>
      <c r="AJ28" s="714"/>
      <c r="AK28" s="452">
        <f>32.83</f>
        <v>32.83</v>
      </c>
      <c r="AL28" s="452"/>
      <c r="AM28" s="592">
        <f t="shared" si="20"/>
        <v>32.83</v>
      </c>
      <c r="AN28" s="541">
        <f t="shared" si="21"/>
        <v>1.5252148104458165E-5</v>
      </c>
      <c r="AO28" s="601" t="s">
        <v>835</v>
      </c>
      <c r="AP28" s="785"/>
      <c r="AQ28" s="714"/>
      <c r="AR28" s="592">
        <f t="shared" si="22"/>
        <v>0</v>
      </c>
      <c r="AS28" s="785">
        <f t="shared" si="6"/>
        <v>0</v>
      </c>
      <c r="AT28" s="714"/>
      <c r="AU28" s="714"/>
      <c r="AV28" s="714"/>
      <c r="AW28" s="592">
        <f t="shared" si="23"/>
        <v>0</v>
      </c>
      <c r="AX28" s="785">
        <f t="shared" si="7"/>
        <v>0</v>
      </c>
      <c r="AY28" s="714"/>
      <c r="AZ28" s="714">
        <v>30561.533999999992</v>
      </c>
      <c r="BA28" s="714">
        <v>4192.9999999999964</v>
      </c>
      <c r="BB28" s="592">
        <f t="shared" si="24"/>
        <v>34754.533999999985</v>
      </c>
      <c r="BC28" s="785">
        <f t="shared" si="8"/>
        <v>1.8645485140031993E-2</v>
      </c>
      <c r="BD28" s="601"/>
      <c r="BE28" s="785"/>
      <c r="BF28" s="714"/>
      <c r="BG28" s="592">
        <f t="shared" si="25"/>
        <v>0</v>
      </c>
      <c r="BH28" s="785">
        <f t="shared" si="9"/>
        <v>0</v>
      </c>
      <c r="BI28" s="714"/>
      <c r="BJ28" s="785"/>
      <c r="BK28" s="714"/>
      <c r="BL28" s="592">
        <f t="shared" si="26"/>
        <v>0</v>
      </c>
      <c r="BM28" s="785">
        <f t="shared" si="10"/>
        <v>0</v>
      </c>
      <c r="BN28" s="714"/>
      <c r="BO28" s="560">
        <f t="shared" si="11"/>
        <v>36479.319999999992</v>
      </c>
      <c r="BP28" s="452">
        <f t="shared" si="12"/>
        <v>22864.6</v>
      </c>
      <c r="BQ28" s="453">
        <f t="shared" si="27"/>
        <v>59343.919999999991</v>
      </c>
      <c r="BR28" s="450">
        <f t="shared" si="34"/>
        <v>1.9023417793739437E-3</v>
      </c>
      <c r="BS28" s="456"/>
      <c r="BT28" s="916"/>
      <c r="BU28" s="842"/>
      <c r="BV28" s="916"/>
      <c r="BW28" s="933"/>
    </row>
    <row r="29" spans="1:75" s="2" customFormat="1" ht="13.95" customHeight="1" outlineLevel="2">
      <c r="A29" s="238"/>
      <c r="B29" s="471" t="s">
        <v>31</v>
      </c>
      <c r="C29" s="114">
        <v>115800</v>
      </c>
      <c r="D29" s="445">
        <v>181700</v>
      </c>
      <c r="E29" s="446">
        <f t="shared" si="5"/>
        <v>297500</v>
      </c>
      <c r="F29" s="450">
        <f t="shared" si="30"/>
        <v>9.355761287156393E-3</v>
      </c>
      <c r="G29" s="452">
        <v>178200</v>
      </c>
      <c r="H29" s="452">
        <v>53765</v>
      </c>
      <c r="I29" s="453">
        <f t="shared" si="13"/>
        <v>231965</v>
      </c>
      <c r="J29" s="450">
        <f t="shared" si="31"/>
        <v>2.3634313490772777E-2</v>
      </c>
      <c r="K29" s="498"/>
      <c r="L29" s="452">
        <v>40520</v>
      </c>
      <c r="M29" s="452">
        <v>2400</v>
      </c>
      <c r="N29" s="453">
        <f t="shared" si="14"/>
        <v>42920</v>
      </c>
      <c r="O29" s="450">
        <f t="shared" si="32"/>
        <v>5.449144535115389E-3</v>
      </c>
      <c r="P29" s="498"/>
      <c r="Q29" s="452">
        <v>49120</v>
      </c>
      <c r="R29" s="452">
        <v>2800</v>
      </c>
      <c r="S29" s="453">
        <f t="shared" si="15"/>
        <v>51920</v>
      </c>
      <c r="T29" s="450">
        <f t="shared" si="33"/>
        <v>3.7723839886464598E-2</v>
      </c>
      <c r="U29" s="518" t="s">
        <v>610</v>
      </c>
      <c r="V29" s="452">
        <v>15030</v>
      </c>
      <c r="W29" s="452">
        <v>7000</v>
      </c>
      <c r="X29" s="453">
        <f t="shared" si="16"/>
        <v>22030</v>
      </c>
      <c r="Y29" s="450">
        <f t="shared" si="28"/>
        <v>7.1800002121209733E-3</v>
      </c>
      <c r="Z29" s="714"/>
      <c r="AA29" s="452">
        <v>12470</v>
      </c>
      <c r="AB29" s="452">
        <v>7300</v>
      </c>
      <c r="AC29" s="592">
        <f t="shared" si="17"/>
        <v>19770</v>
      </c>
      <c r="AD29" s="595">
        <f t="shared" si="18"/>
        <v>6.1867162837136142E-2</v>
      </c>
      <c r="AE29" s="714"/>
      <c r="AF29" s="452">
        <v>5640</v>
      </c>
      <c r="AG29" s="452">
        <v>15400</v>
      </c>
      <c r="AH29" s="592">
        <f t="shared" si="19"/>
        <v>21040</v>
      </c>
      <c r="AI29" s="541">
        <f t="shared" si="29"/>
        <v>6.0902452756245208E-3</v>
      </c>
      <c r="AJ29" s="714"/>
      <c r="AK29" s="452">
        <v>2780</v>
      </c>
      <c r="AL29" s="452">
        <v>3700</v>
      </c>
      <c r="AM29" s="592">
        <f t="shared" si="20"/>
        <v>6480</v>
      </c>
      <c r="AN29" s="541">
        <f t="shared" si="21"/>
        <v>3.0104757757200402E-3</v>
      </c>
      <c r="AO29" s="601"/>
      <c r="AP29" s="785"/>
      <c r="AQ29" s="714"/>
      <c r="AR29" s="592">
        <f t="shared" si="22"/>
        <v>0</v>
      </c>
      <c r="AS29" s="785">
        <f t="shared" si="6"/>
        <v>0</v>
      </c>
      <c r="AT29" s="714"/>
      <c r="AU29" s="714"/>
      <c r="AV29" s="714"/>
      <c r="AW29" s="592">
        <f t="shared" si="23"/>
        <v>0</v>
      </c>
      <c r="AX29" s="785">
        <f t="shared" si="7"/>
        <v>0</v>
      </c>
      <c r="AY29" s="714"/>
      <c r="AZ29" s="714">
        <v>-38690</v>
      </c>
      <c r="BA29" s="714">
        <v>-1965</v>
      </c>
      <c r="BB29" s="592">
        <f t="shared" si="24"/>
        <v>-40655</v>
      </c>
      <c r="BC29" s="785">
        <f t="shared" si="8"/>
        <v>-2.1811030421757374E-2</v>
      </c>
      <c r="BD29" s="601"/>
      <c r="BE29" s="785"/>
      <c r="BF29" s="714"/>
      <c r="BG29" s="592">
        <f t="shared" si="25"/>
        <v>0</v>
      </c>
      <c r="BH29" s="785">
        <f t="shared" si="9"/>
        <v>0</v>
      </c>
      <c r="BI29" s="714"/>
      <c r="BJ29" s="785"/>
      <c r="BK29" s="714"/>
      <c r="BL29" s="592">
        <f t="shared" si="26"/>
        <v>0</v>
      </c>
      <c r="BM29" s="785">
        <f t="shared" si="10"/>
        <v>0</v>
      </c>
      <c r="BN29" s="714"/>
      <c r="BO29" s="560">
        <f t="shared" si="11"/>
        <v>265070</v>
      </c>
      <c r="BP29" s="452">
        <f t="shared" si="12"/>
        <v>90400</v>
      </c>
      <c r="BQ29" s="453">
        <f t="shared" si="27"/>
        <v>355470</v>
      </c>
      <c r="BR29" s="450">
        <f t="shared" si="34"/>
        <v>1.1395024668307316E-2</v>
      </c>
      <c r="BS29" s="498"/>
      <c r="BT29" s="842"/>
      <c r="BU29" s="842"/>
      <c r="BW29" s="933"/>
    </row>
    <row r="30" spans="1:75" s="2" customFormat="1" ht="13.95" customHeight="1" outlineLevel="2">
      <c r="A30" s="238"/>
      <c r="B30" s="471" t="s">
        <v>62</v>
      </c>
      <c r="C30" s="114">
        <v>32000</v>
      </c>
      <c r="D30" s="445">
        <v>216465</v>
      </c>
      <c r="E30" s="446">
        <f t="shared" si="5"/>
        <v>248465</v>
      </c>
      <c r="F30" s="450">
        <f t="shared" si="30"/>
        <v>7.8137116914733205E-3</v>
      </c>
      <c r="G30" s="452">
        <v>0</v>
      </c>
      <c r="H30" s="452">
        <v>187788.38</v>
      </c>
      <c r="I30" s="453">
        <f t="shared" si="13"/>
        <v>187788.38</v>
      </c>
      <c r="J30" s="450">
        <f t="shared" si="31"/>
        <v>1.9133272014503759E-2</v>
      </c>
      <c r="K30" s="498"/>
      <c r="L30" s="452"/>
      <c r="M30" s="452">
        <v>29073</v>
      </c>
      <c r="N30" s="453">
        <f t="shared" si="14"/>
        <v>29073</v>
      </c>
      <c r="O30" s="450">
        <f t="shared" si="32"/>
        <v>3.6911225319060975E-3</v>
      </c>
      <c r="P30" s="519" t="s">
        <v>494</v>
      </c>
      <c r="Q30" s="452"/>
      <c r="R30" s="452">
        <v>25456</v>
      </c>
      <c r="S30" s="453">
        <f t="shared" si="15"/>
        <v>25456</v>
      </c>
      <c r="T30" s="450">
        <f t="shared" si="33"/>
        <v>1.8495725503656451E-2</v>
      </c>
      <c r="U30" s="520" t="s">
        <v>609</v>
      </c>
      <c r="V30" s="452"/>
      <c r="W30" s="452">
        <v>35508</v>
      </c>
      <c r="X30" s="453">
        <f t="shared" si="16"/>
        <v>35508</v>
      </c>
      <c r="Y30" s="450">
        <f t="shared" si="28"/>
        <v>1.1572739334180277E-2</v>
      </c>
      <c r="Z30" s="714" t="s">
        <v>670</v>
      </c>
      <c r="AA30" s="452"/>
      <c r="AB30" s="452">
        <v>20688</v>
      </c>
      <c r="AC30" s="592">
        <f t="shared" si="17"/>
        <v>20688</v>
      </c>
      <c r="AD30" s="595">
        <f t="shared" si="18"/>
        <v>6.4739902113033515E-2</v>
      </c>
      <c r="AE30" s="714"/>
      <c r="AF30" s="452"/>
      <c r="AG30" s="452">
        <v>19659</v>
      </c>
      <c r="AH30" s="592">
        <f t="shared" si="19"/>
        <v>19659</v>
      </c>
      <c r="AI30" s="541">
        <f t="shared" si="29"/>
        <v>5.6905005643299641E-3</v>
      </c>
      <c r="AJ30" s="714"/>
      <c r="AK30" s="452"/>
      <c r="AL30" s="452">
        <v>8013</v>
      </c>
      <c r="AM30" s="592">
        <f t="shared" si="20"/>
        <v>8013</v>
      </c>
      <c r="AN30" s="541">
        <f t="shared" si="21"/>
        <v>3.7226762948834383E-3</v>
      </c>
      <c r="AO30" s="601"/>
      <c r="AP30" s="785"/>
      <c r="AQ30" s="714">
        <f>4499</f>
        <v>4499</v>
      </c>
      <c r="AR30" s="592">
        <f t="shared" si="22"/>
        <v>4499</v>
      </c>
      <c r="AS30" s="785">
        <f t="shared" si="6"/>
        <v>0.13462137311065717</v>
      </c>
      <c r="AT30" s="714"/>
      <c r="AU30" s="714"/>
      <c r="AV30" s="714"/>
      <c r="AW30" s="592">
        <f>AU30+AV30*1</f>
        <v>0</v>
      </c>
      <c r="AX30" s="785">
        <f t="shared" si="7"/>
        <v>0</v>
      </c>
      <c r="AY30" s="714"/>
      <c r="AZ30" s="714"/>
      <c r="BA30" s="714">
        <v>8159.6199999999953</v>
      </c>
      <c r="BB30" s="592">
        <f>AZ30+BA30*1</f>
        <v>8159.6199999999953</v>
      </c>
      <c r="BC30" s="785">
        <f t="shared" si="8"/>
        <v>4.3775604488987775E-3</v>
      </c>
      <c r="BD30" s="601"/>
      <c r="BE30" s="785"/>
      <c r="BF30" s="714"/>
      <c r="BG30" s="592">
        <f>BE30+BF30*1</f>
        <v>0</v>
      </c>
      <c r="BH30" s="785">
        <f t="shared" si="9"/>
        <v>0</v>
      </c>
      <c r="BI30" s="714"/>
      <c r="BJ30" s="785"/>
      <c r="BK30" s="714"/>
      <c r="BL30" s="592">
        <f>BJ30+BK30*1</f>
        <v>0</v>
      </c>
      <c r="BM30" s="785">
        <f t="shared" si="10"/>
        <v>0</v>
      </c>
      <c r="BN30" s="714"/>
      <c r="BO30" s="560">
        <f t="shared" si="11"/>
        <v>0</v>
      </c>
      <c r="BP30" s="452">
        <f t="shared" si="12"/>
        <v>338844</v>
      </c>
      <c r="BQ30" s="453">
        <f t="shared" si="27"/>
        <v>338844</v>
      </c>
      <c r="BR30" s="450">
        <f t="shared" si="34"/>
        <v>1.0862057947809728E-2</v>
      </c>
      <c r="BS30" s="498"/>
      <c r="BT30" s="842">
        <v>0</v>
      </c>
      <c r="BU30" s="842"/>
      <c r="BW30" s="933"/>
    </row>
    <row r="31" spans="1:75" s="2" customFormat="1" ht="13.95" customHeight="1" outlineLevel="2">
      <c r="A31" s="238"/>
      <c r="B31" s="471" t="s">
        <v>34</v>
      </c>
      <c r="C31" s="114"/>
      <c r="D31" s="445">
        <v>39100</v>
      </c>
      <c r="E31" s="446">
        <f t="shared" si="5"/>
        <v>39100</v>
      </c>
      <c r="F31" s="450">
        <f t="shared" si="30"/>
        <v>1.2296143405976974E-3</v>
      </c>
      <c r="G31" s="452">
        <v>35990.86</v>
      </c>
      <c r="H31" s="452">
        <v>40523.300000000003</v>
      </c>
      <c r="I31" s="453">
        <f t="shared" si="13"/>
        <v>76514.16</v>
      </c>
      <c r="J31" s="450">
        <f t="shared" si="31"/>
        <v>7.795829732602534E-3</v>
      </c>
      <c r="K31" s="498"/>
      <c r="L31" s="452">
        <v>6061.76</v>
      </c>
      <c r="M31" s="452">
        <v>3600</v>
      </c>
      <c r="N31" s="453">
        <f t="shared" si="14"/>
        <v>9661.76</v>
      </c>
      <c r="O31" s="450">
        <f t="shared" si="32"/>
        <v>1.2266618523671124E-3</v>
      </c>
      <c r="P31" s="519" t="s">
        <v>502</v>
      </c>
      <c r="Q31" s="453">
        <f>1677.37</f>
        <v>1677.37</v>
      </c>
      <c r="R31" s="452">
        <v>2950</v>
      </c>
      <c r="S31" s="453">
        <f t="shared" si="15"/>
        <v>4627.37</v>
      </c>
      <c r="T31" s="450">
        <f t="shared" si="33"/>
        <v>3.3621372298811574E-3</v>
      </c>
      <c r="U31" s="521" t="s">
        <v>612</v>
      </c>
      <c r="V31" s="453">
        <v>6106.62</v>
      </c>
      <c r="W31" s="452">
        <f>6050</f>
        <v>6050</v>
      </c>
      <c r="X31" s="453">
        <f t="shared" si="16"/>
        <v>12156.619999999999</v>
      </c>
      <c r="Y31" s="450">
        <f t="shared" si="28"/>
        <v>3.9620759954005474E-3</v>
      </c>
      <c r="Z31" s="714" t="s">
        <v>671</v>
      </c>
      <c r="AA31" s="597"/>
      <c r="AB31" s="558">
        <v>3696</v>
      </c>
      <c r="AC31" s="598">
        <f t="shared" si="17"/>
        <v>3696</v>
      </c>
      <c r="AD31" s="595">
        <f t="shared" si="18"/>
        <v>1.1566061398384177E-2</v>
      </c>
      <c r="AE31" s="599"/>
      <c r="AF31" s="597"/>
      <c r="AG31" s="558">
        <v>1100</v>
      </c>
      <c r="AH31" s="598">
        <f t="shared" si="19"/>
        <v>1100</v>
      </c>
      <c r="AI31" s="541">
        <f t="shared" si="29"/>
        <v>3.1840635946706145E-4</v>
      </c>
      <c r="AJ31" s="599"/>
      <c r="AK31" s="452"/>
      <c r="AL31" s="558">
        <v>987.92</v>
      </c>
      <c r="AM31" s="598">
        <f t="shared" si="20"/>
        <v>987.92</v>
      </c>
      <c r="AN31" s="541">
        <f t="shared" si="21"/>
        <v>4.5896747351070088E-4</v>
      </c>
      <c r="AO31" s="803"/>
      <c r="AP31" s="785"/>
      <c r="AQ31" s="714">
        <v>3270</v>
      </c>
      <c r="AR31" s="592">
        <f t="shared" si="22"/>
        <v>3270</v>
      </c>
      <c r="AS31" s="785">
        <f t="shared" si="6"/>
        <v>9.7846608151111111E-2</v>
      </c>
      <c r="AT31" s="714"/>
      <c r="AU31" s="714"/>
      <c r="AV31" s="714">
        <v>1850</v>
      </c>
      <c r="AW31" s="592">
        <f>AU31+AV31*1</f>
        <v>1850</v>
      </c>
      <c r="AX31" s="785">
        <f t="shared" si="7"/>
        <v>9.9250784110813291E-4</v>
      </c>
      <c r="AY31" s="714" t="s">
        <v>899</v>
      </c>
      <c r="AZ31" s="714"/>
      <c r="BA31" s="714">
        <v>-6366.739999999998</v>
      </c>
      <c r="BB31" s="592">
        <f>AZ31+BA31*1</f>
        <v>-6366.739999999998</v>
      </c>
      <c r="BC31" s="785">
        <f t="shared" si="8"/>
        <v>-3.415696957998266E-3</v>
      </c>
      <c r="BD31" s="601"/>
      <c r="BE31" s="785"/>
      <c r="BF31" s="714"/>
      <c r="BG31" s="592">
        <f>BE31+BF31*1</f>
        <v>0</v>
      </c>
      <c r="BH31" s="785">
        <f t="shared" si="9"/>
        <v>0</v>
      </c>
      <c r="BI31" s="714"/>
      <c r="BJ31" s="785"/>
      <c r="BK31" s="714"/>
      <c r="BL31" s="592">
        <f>BJ31+BK31*1</f>
        <v>0</v>
      </c>
      <c r="BM31" s="785">
        <f t="shared" si="10"/>
        <v>0</v>
      </c>
      <c r="BN31" s="714"/>
      <c r="BO31" s="560">
        <f t="shared" si="11"/>
        <v>49836.610000000008</v>
      </c>
      <c r="BP31" s="452">
        <f t="shared" si="12"/>
        <v>57660.480000000003</v>
      </c>
      <c r="BQ31" s="453">
        <f t="shared" si="27"/>
        <v>107497.09000000001</v>
      </c>
      <c r="BR31" s="450">
        <f t="shared" si="34"/>
        <v>3.4459504102209802E-3</v>
      </c>
      <c r="BS31" s="498"/>
      <c r="BT31" s="842">
        <v>0</v>
      </c>
      <c r="BU31" s="842"/>
      <c r="BW31" s="933"/>
    </row>
    <row r="32" spans="1:75" s="2" customFormat="1" ht="13.95" customHeight="1" outlineLevel="2">
      <c r="A32" s="238"/>
      <c r="B32" s="501" t="s">
        <v>2</v>
      </c>
      <c r="C32" s="115"/>
      <c r="D32" s="116"/>
      <c r="E32" s="446">
        <f t="shared" si="5"/>
        <v>0</v>
      </c>
      <c r="F32" s="450">
        <f t="shared" si="30"/>
        <v>0</v>
      </c>
      <c r="G32" s="452">
        <v>0</v>
      </c>
      <c r="H32" s="452">
        <v>0</v>
      </c>
      <c r="I32" s="453">
        <f t="shared" si="13"/>
        <v>0</v>
      </c>
      <c r="J32" s="450">
        <f t="shared" si="31"/>
        <v>0</v>
      </c>
      <c r="K32" s="498"/>
      <c r="L32" s="452"/>
      <c r="M32" s="452"/>
      <c r="N32" s="453">
        <f t="shared" si="14"/>
        <v>0</v>
      </c>
      <c r="O32" s="450">
        <f t="shared" si="32"/>
        <v>0</v>
      </c>
      <c r="P32" s="498"/>
      <c r="Q32" s="452"/>
      <c r="R32" s="452"/>
      <c r="S32" s="453">
        <f t="shared" si="15"/>
        <v>0</v>
      </c>
      <c r="T32" s="450">
        <f t="shared" si="33"/>
        <v>0</v>
      </c>
      <c r="U32" s="503"/>
      <c r="V32" s="452"/>
      <c r="W32" s="452"/>
      <c r="X32" s="453">
        <f t="shared" si="16"/>
        <v>0</v>
      </c>
      <c r="Y32" s="450">
        <f t="shared" si="28"/>
        <v>0</v>
      </c>
      <c r="Z32" s="503"/>
      <c r="AA32" s="560"/>
      <c r="AB32" s="452"/>
      <c r="AC32" s="592">
        <f t="shared" si="17"/>
        <v>0</v>
      </c>
      <c r="AD32" s="595">
        <f t="shared" si="18"/>
        <v>0</v>
      </c>
      <c r="AE32" s="503"/>
      <c r="AF32" s="560"/>
      <c r="AG32" s="452"/>
      <c r="AH32" s="592">
        <f t="shared" si="19"/>
        <v>0</v>
      </c>
      <c r="AI32" s="541">
        <f t="shared" si="29"/>
        <v>0</v>
      </c>
      <c r="AJ32" s="503"/>
      <c r="AK32" s="560"/>
      <c r="AL32" s="452"/>
      <c r="AM32" s="592">
        <f t="shared" si="20"/>
        <v>0</v>
      </c>
      <c r="AN32" s="541">
        <f t="shared" si="21"/>
        <v>0</v>
      </c>
      <c r="AO32" s="731"/>
      <c r="AP32" s="786"/>
      <c r="AQ32" s="465"/>
      <c r="AR32" s="592">
        <f t="shared" si="22"/>
        <v>0</v>
      </c>
      <c r="AS32" s="786">
        <f t="shared" si="6"/>
        <v>0</v>
      </c>
      <c r="AT32" s="465"/>
      <c r="AU32" s="465"/>
      <c r="AV32" s="465"/>
      <c r="AW32" s="592">
        <f>AU32+AV32*1</f>
        <v>0</v>
      </c>
      <c r="AX32" s="786">
        <f t="shared" si="7"/>
        <v>0</v>
      </c>
      <c r="AY32" s="465"/>
      <c r="AZ32" s="465"/>
      <c r="BA32" s="465"/>
      <c r="BB32" s="592">
        <f>AZ32+BA32*1</f>
        <v>0</v>
      </c>
      <c r="BC32" s="786">
        <f t="shared" si="8"/>
        <v>0</v>
      </c>
      <c r="BD32" s="770"/>
      <c r="BE32" s="786"/>
      <c r="BF32" s="465"/>
      <c r="BG32" s="592">
        <f>BE32+BF32*1</f>
        <v>0</v>
      </c>
      <c r="BH32" s="1011">
        <f t="shared" si="9"/>
        <v>0</v>
      </c>
      <c r="BI32" s="503"/>
      <c r="BJ32" s="786"/>
      <c r="BK32" s="465"/>
      <c r="BL32" s="592">
        <f>BJ32+BK32*1</f>
        <v>0</v>
      </c>
      <c r="BM32" s="1011">
        <f t="shared" si="10"/>
        <v>0</v>
      </c>
      <c r="BN32" s="503"/>
      <c r="BO32" s="557">
        <f t="shared" si="11"/>
        <v>0</v>
      </c>
      <c r="BP32" s="558">
        <f t="shared" si="12"/>
        <v>0</v>
      </c>
      <c r="BQ32" s="1012">
        <f t="shared" si="27"/>
        <v>0</v>
      </c>
      <c r="BR32" s="450">
        <f t="shared" si="34"/>
        <v>0</v>
      </c>
      <c r="BS32" s="498"/>
      <c r="BT32" s="842">
        <v>0</v>
      </c>
      <c r="BU32" s="842">
        <v>0</v>
      </c>
      <c r="BW32" s="933"/>
    </row>
    <row r="33" spans="1:75" s="2" customFormat="1" ht="13.95" customHeight="1" outlineLevel="2" thickBot="1">
      <c r="A33" s="238"/>
      <c r="B33" s="504" t="s">
        <v>75</v>
      </c>
      <c r="C33" s="505"/>
      <c r="D33" s="506">
        <v>345000</v>
      </c>
      <c r="E33" s="507">
        <f t="shared" si="5"/>
        <v>345000</v>
      </c>
      <c r="F33" s="508">
        <f t="shared" si="30"/>
        <v>1.0849538299391446E-2</v>
      </c>
      <c r="G33" s="512">
        <v>0</v>
      </c>
      <c r="H33" s="512">
        <v>53600</v>
      </c>
      <c r="I33" s="513">
        <f t="shared" si="13"/>
        <v>53600</v>
      </c>
      <c r="J33" s="508">
        <f t="shared" si="31"/>
        <v>5.4611652753881867E-3</v>
      </c>
      <c r="K33" s="514"/>
      <c r="L33" s="512"/>
      <c r="M33" s="512">
        <v>15000</v>
      </c>
      <c r="N33" s="513">
        <f t="shared" si="14"/>
        <v>15000</v>
      </c>
      <c r="O33" s="508">
        <f t="shared" si="32"/>
        <v>1.9044074563543997E-3</v>
      </c>
      <c r="P33" s="514" t="s">
        <v>495</v>
      </c>
      <c r="Q33" s="512"/>
      <c r="R33" s="512"/>
      <c r="S33" s="513">
        <f t="shared" si="15"/>
        <v>0</v>
      </c>
      <c r="T33" s="508">
        <f t="shared" si="33"/>
        <v>0</v>
      </c>
      <c r="U33" s="515"/>
      <c r="V33" s="512"/>
      <c r="W33" s="512"/>
      <c r="X33" s="513">
        <f t="shared" si="16"/>
        <v>0</v>
      </c>
      <c r="Y33" s="508">
        <f t="shared" si="28"/>
        <v>0</v>
      </c>
      <c r="Z33" s="515"/>
      <c r="AA33" s="600"/>
      <c r="AB33" s="512"/>
      <c r="AC33" s="594">
        <f t="shared" si="17"/>
        <v>0</v>
      </c>
      <c r="AD33" s="596">
        <f t="shared" si="18"/>
        <v>0</v>
      </c>
      <c r="AE33" s="515"/>
      <c r="AF33" s="600"/>
      <c r="AG33" s="512"/>
      <c r="AH33" s="594">
        <f t="shared" si="19"/>
        <v>0</v>
      </c>
      <c r="AI33" s="542">
        <f t="shared" si="29"/>
        <v>0</v>
      </c>
      <c r="AJ33" s="515"/>
      <c r="AK33" s="600"/>
      <c r="AL33" s="512"/>
      <c r="AM33" s="594">
        <f t="shared" si="20"/>
        <v>0</v>
      </c>
      <c r="AN33" s="542">
        <f t="shared" si="21"/>
        <v>0</v>
      </c>
      <c r="AO33" s="804"/>
      <c r="AP33" s="848"/>
      <c r="AQ33" s="849">
        <v>3500</v>
      </c>
      <c r="AR33" s="594">
        <f t="shared" si="22"/>
        <v>3500</v>
      </c>
      <c r="AS33" s="848">
        <f t="shared" si="6"/>
        <v>0.10472878548284065</v>
      </c>
      <c r="AT33" s="850"/>
      <c r="AU33" s="850"/>
      <c r="AV33" s="849"/>
      <c r="AW33" s="594">
        <f t="shared" si="23"/>
        <v>0</v>
      </c>
      <c r="AX33" s="848">
        <f t="shared" si="7"/>
        <v>0</v>
      </c>
      <c r="AY33" s="850"/>
      <c r="AZ33" s="850"/>
      <c r="BA33" s="849"/>
      <c r="BB33" s="594">
        <f>AZ33+BA33*1</f>
        <v>0</v>
      </c>
      <c r="BC33" s="848">
        <f t="shared" si="8"/>
        <v>0</v>
      </c>
      <c r="BD33" s="909"/>
      <c r="BE33" s="848"/>
      <c r="BF33" s="849"/>
      <c r="BG33" s="594">
        <f>BE33+BF33*1</f>
        <v>0</v>
      </c>
      <c r="BH33" s="848">
        <f>BG33/$S$89</f>
        <v>0</v>
      </c>
      <c r="BI33" s="849"/>
      <c r="BJ33" s="848"/>
      <c r="BK33" s="849"/>
      <c r="BL33" s="594">
        <f>BJ33+BK33*1</f>
        <v>0</v>
      </c>
      <c r="BM33" s="848">
        <f>BL33/$S$89</f>
        <v>0</v>
      </c>
      <c r="BN33" s="849"/>
      <c r="BO33" s="600">
        <f t="shared" si="11"/>
        <v>0</v>
      </c>
      <c r="BP33" s="512">
        <f t="shared" si="12"/>
        <v>72100</v>
      </c>
      <c r="BQ33" s="513">
        <f t="shared" si="27"/>
        <v>72100</v>
      </c>
      <c r="BR33" s="508">
        <f t="shared" si="34"/>
        <v>2.311253491391559E-3</v>
      </c>
      <c r="BS33" s="514"/>
      <c r="BT33" s="842">
        <v>0</v>
      </c>
      <c r="BU33" s="842"/>
      <c r="BW33" s="933"/>
    </row>
    <row r="34" spans="1:75" s="2" customFormat="1" ht="13.95" customHeight="1" outlineLevel="2">
      <c r="A34" s="238"/>
      <c r="B34" s="473"/>
      <c r="C34" s="474"/>
      <c r="D34" s="475"/>
      <c r="E34" s="476"/>
      <c r="F34" s="477"/>
      <c r="G34" s="476">
        <v>0</v>
      </c>
      <c r="H34" s="476">
        <v>0</v>
      </c>
      <c r="I34" s="476"/>
      <c r="J34" s="476"/>
      <c r="K34" s="476"/>
      <c r="L34" s="452"/>
      <c r="M34" s="452"/>
      <c r="N34" s="476"/>
      <c r="O34" s="476"/>
      <c r="P34" s="476"/>
      <c r="Q34" s="452"/>
      <c r="R34" s="452"/>
      <c r="S34" s="476"/>
      <c r="T34" s="476"/>
      <c r="U34" s="476"/>
      <c r="V34" s="452"/>
      <c r="W34" s="452"/>
      <c r="X34" s="476"/>
      <c r="Y34" s="476"/>
      <c r="Z34" s="476"/>
      <c r="AA34" s="452"/>
      <c r="AB34" s="452"/>
      <c r="AC34" s="476"/>
      <c r="AD34" s="476"/>
      <c r="AE34" s="476"/>
      <c r="AF34" s="452"/>
      <c r="AG34" s="452"/>
      <c r="AH34" s="476"/>
      <c r="AI34" s="476"/>
      <c r="AJ34" s="476"/>
      <c r="AK34" s="452"/>
      <c r="AL34" s="452"/>
      <c r="AM34" s="476"/>
      <c r="AN34" s="476"/>
      <c r="AO34" s="764"/>
      <c r="AP34" s="478"/>
      <c r="AQ34" s="476"/>
      <c r="AR34" s="764"/>
      <c r="AS34" s="478"/>
      <c r="AT34" s="476"/>
      <c r="AU34" s="476"/>
      <c r="AV34" s="476"/>
      <c r="AW34" s="764"/>
      <c r="AX34" s="478">
        <f t="shared" si="7"/>
        <v>0</v>
      </c>
      <c r="AY34" s="476"/>
      <c r="AZ34" s="476"/>
      <c r="BA34" s="476"/>
      <c r="BB34" s="764"/>
      <c r="BC34" s="478">
        <f t="shared" si="8"/>
        <v>0</v>
      </c>
      <c r="BD34" s="764"/>
      <c r="BE34" s="478"/>
      <c r="BF34" s="476"/>
      <c r="BG34" s="764"/>
      <c r="BH34" s="478">
        <f t="shared" si="9"/>
        <v>0</v>
      </c>
      <c r="BI34" s="476"/>
      <c r="BJ34" s="478"/>
      <c r="BK34" s="476"/>
      <c r="BL34" s="764"/>
      <c r="BM34" s="478">
        <f t="shared" ref="BM34:BM79" si="35">BL34/$AW$89</f>
        <v>0</v>
      </c>
      <c r="BN34" s="476"/>
      <c r="BO34" s="560"/>
      <c r="BP34" s="452"/>
      <c r="BQ34" s="476"/>
      <c r="BR34" s="476"/>
      <c r="BS34" s="476"/>
      <c r="BT34" s="842"/>
    </row>
    <row r="35" spans="1:75" s="88" customFormat="1" ht="13.95" customHeight="1" outlineLevel="1">
      <c r="A35" s="238"/>
      <c r="B35" s="89" t="s">
        <v>80</v>
      </c>
      <c r="C35" s="90">
        <f>C36</f>
        <v>7000</v>
      </c>
      <c r="D35" s="90">
        <f>D36</f>
        <v>0</v>
      </c>
      <c r="E35" s="91">
        <f>E36</f>
        <v>7000</v>
      </c>
      <c r="F35" s="165">
        <f>E35/$E$89</f>
        <v>2.2013555969779749E-4</v>
      </c>
      <c r="G35" s="90">
        <f>G36</f>
        <v>0</v>
      </c>
      <c r="H35" s="90">
        <f>H36</f>
        <v>0</v>
      </c>
      <c r="I35" s="91">
        <f>I36</f>
        <v>0</v>
      </c>
      <c r="J35" s="91"/>
      <c r="K35" s="91"/>
      <c r="L35" s="90">
        <f>L36</f>
        <v>0</v>
      </c>
      <c r="M35" s="90">
        <f>M36</f>
        <v>0</v>
      </c>
      <c r="N35" s="91">
        <f>N36</f>
        <v>0</v>
      </c>
      <c r="O35" s="91"/>
      <c r="P35" s="91"/>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404"/>
      <c r="AF35" s="90">
        <f>AF36</f>
        <v>0</v>
      </c>
      <c r="AG35" s="90">
        <f>AG36</f>
        <v>0</v>
      </c>
      <c r="AH35" s="91">
        <f>AH36</f>
        <v>0</v>
      </c>
      <c r="AI35" s="91">
        <f>AH35/$AH$89</f>
        <v>0</v>
      </c>
      <c r="AJ35" s="404"/>
      <c r="AK35" s="90">
        <f>AK36</f>
        <v>0</v>
      </c>
      <c r="AL35" s="90">
        <f>AL36</f>
        <v>0</v>
      </c>
      <c r="AM35" s="91">
        <f>AM36</f>
        <v>0</v>
      </c>
      <c r="AN35" s="91">
        <f>AM35/$AH$89</f>
        <v>0</v>
      </c>
      <c r="AO35" s="634"/>
      <c r="AP35" s="634"/>
      <c r="AQ35" s="634"/>
      <c r="AR35" s="634"/>
      <c r="AS35" s="659"/>
      <c r="AT35" s="812"/>
      <c r="AU35" s="775"/>
      <c r="AV35" s="634"/>
      <c r="AW35" s="634"/>
      <c r="AX35" s="659">
        <f t="shared" si="7"/>
        <v>0</v>
      </c>
      <c r="AY35" s="775"/>
      <c r="AZ35" s="775"/>
      <c r="BA35" s="634"/>
      <c r="BB35" s="634"/>
      <c r="BC35" s="659">
        <f t="shared" si="8"/>
        <v>0</v>
      </c>
      <c r="BD35" s="775"/>
      <c r="BE35" s="634"/>
      <c r="BF35" s="634"/>
      <c r="BG35" s="634"/>
      <c r="BH35" s="659">
        <f t="shared" si="9"/>
        <v>0</v>
      </c>
      <c r="BI35" s="812"/>
      <c r="BJ35" s="634"/>
      <c r="BK35" s="634"/>
      <c r="BL35" s="634"/>
      <c r="BM35" s="659">
        <f t="shared" si="35"/>
        <v>0</v>
      </c>
      <c r="BN35" s="812"/>
      <c r="BO35" s="536">
        <f>BO36</f>
        <v>0</v>
      </c>
      <c r="BP35" s="536">
        <f>BP36</f>
        <v>0</v>
      </c>
      <c r="BQ35" s="658">
        <f>BQ36</f>
        <v>0</v>
      </c>
      <c r="BR35" s="658"/>
      <c r="BS35" s="658"/>
      <c r="BT35" s="929">
        <v>0</v>
      </c>
      <c r="BU35" s="88">
        <v>0</v>
      </c>
    </row>
    <row r="36" spans="1:75" s="226" customFormat="1" ht="13.95" customHeight="1" outlineLevel="3" thickBot="1">
      <c r="A36" s="238"/>
      <c r="B36" s="19" t="s">
        <v>81</v>
      </c>
      <c r="C36" s="43">
        <v>7000</v>
      </c>
      <c r="D36" s="49"/>
      <c r="E36" s="106">
        <f>C36+D36</f>
        <v>7000</v>
      </c>
      <c r="F36" s="178">
        <f>E36/$E$89</f>
        <v>2.2013555969779749E-4</v>
      </c>
      <c r="G36" s="39">
        <v>0</v>
      </c>
      <c r="H36" s="39">
        <v>0</v>
      </c>
      <c r="I36" s="106">
        <f>G36+H36*1</f>
        <v>0</v>
      </c>
      <c r="J36" s="178">
        <f>I36/$I$89</f>
        <v>0</v>
      </c>
      <c r="K36" s="45"/>
      <c r="L36" s="39"/>
      <c r="M36" s="39"/>
      <c r="N36" s="106">
        <f>L36+M36*1</f>
        <v>0</v>
      </c>
      <c r="O36" s="178">
        <f>N36/$N$89</f>
        <v>0</v>
      </c>
      <c r="P36" s="45"/>
      <c r="Q36" s="39"/>
      <c r="R36" s="39"/>
      <c r="S36" s="106">
        <f>Q36+R36*1</f>
        <v>0</v>
      </c>
      <c r="T36" s="178">
        <f>S36/$N$89</f>
        <v>0</v>
      </c>
      <c r="U36" s="405"/>
      <c r="V36" s="39"/>
      <c r="W36" s="39"/>
      <c r="X36" s="210"/>
      <c r="Y36" s="450">
        <f>X36/$X$89</f>
        <v>0</v>
      </c>
      <c r="Z36" s="443"/>
      <c r="AA36" s="39"/>
      <c r="AB36" s="39"/>
      <c r="AC36" s="210"/>
      <c r="AD36" s="450">
        <f>AC36/$AC$89</f>
        <v>0</v>
      </c>
      <c r="AE36" s="443"/>
      <c r="AF36" s="39"/>
      <c r="AG36" s="39"/>
      <c r="AH36" s="210"/>
      <c r="AI36" s="541">
        <f>AH36/$AH$89</f>
        <v>0</v>
      </c>
      <c r="AJ36" s="443"/>
      <c r="AK36" s="39"/>
      <c r="AL36" s="39"/>
      <c r="AM36" s="210"/>
      <c r="AN36" s="541">
        <f>AM36/$AM$89</f>
        <v>0</v>
      </c>
      <c r="AO36" s="601"/>
      <c r="AP36" s="787"/>
      <c r="AQ36" s="715"/>
      <c r="AR36" s="717"/>
      <c r="AS36" s="787"/>
      <c r="AT36" s="715"/>
      <c r="AU36" s="715"/>
      <c r="AV36" s="715"/>
      <c r="AW36" s="717"/>
      <c r="AX36" s="787">
        <f t="shared" si="7"/>
        <v>0</v>
      </c>
      <c r="AY36" s="715"/>
      <c r="AZ36" s="715"/>
      <c r="BA36" s="715"/>
      <c r="BB36" s="717"/>
      <c r="BC36" s="787">
        <f t="shared" si="8"/>
        <v>0</v>
      </c>
      <c r="BD36" s="717"/>
      <c r="BE36" s="787"/>
      <c r="BF36" s="715"/>
      <c r="BG36" s="717"/>
      <c r="BH36" s="787">
        <f t="shared" si="9"/>
        <v>0</v>
      </c>
      <c r="BI36" s="715"/>
      <c r="BJ36" s="787"/>
      <c r="BK36" s="715"/>
      <c r="BL36" s="717"/>
      <c r="BM36" s="787">
        <f t="shared" si="35"/>
        <v>0</v>
      </c>
      <c r="BN36" s="715"/>
      <c r="BO36" s="600">
        <f>G36+L36+Q36+V36+AA36</f>
        <v>0</v>
      </c>
      <c r="BP36" s="512">
        <f>H36+M36+R36+W36+AB36</f>
        <v>0</v>
      </c>
      <c r="BQ36" s="453">
        <f>BO36+BP36*1</f>
        <v>0</v>
      </c>
      <c r="BR36" s="450">
        <f>BQ36/$BQ$89</f>
        <v>0</v>
      </c>
      <c r="BS36" s="693"/>
      <c r="BT36" s="916"/>
    </row>
    <row r="37" spans="1:75" s="2" customFormat="1" ht="13.95" customHeight="1" outlineLevel="1" thickBot="1">
      <c r="A37" s="4"/>
      <c r="B37" s="14"/>
      <c r="C37" s="50"/>
      <c r="D37" s="51"/>
      <c r="E37" s="52"/>
      <c r="F37" s="181"/>
      <c r="G37" s="39">
        <v>0</v>
      </c>
      <c r="H37" s="39">
        <v>0</v>
      </c>
      <c r="I37" s="52"/>
      <c r="J37" s="52"/>
      <c r="K37" s="52"/>
      <c r="L37" s="39"/>
      <c r="M37" s="39"/>
      <c r="N37" s="52"/>
      <c r="O37" s="52"/>
      <c r="P37" s="52"/>
      <c r="Q37" s="39"/>
      <c r="R37" s="39"/>
      <c r="S37" s="52"/>
      <c r="T37" s="52"/>
      <c r="U37" s="64"/>
      <c r="V37" s="39"/>
      <c r="W37" s="39"/>
      <c r="X37" s="210">
        <f>V37+W37*1</f>
        <v>0</v>
      </c>
      <c r="Y37" s="52"/>
      <c r="Z37" s="64"/>
      <c r="AA37" s="39"/>
      <c r="AB37" s="39"/>
      <c r="AC37" s="210">
        <f>AA37+AB37*1</f>
        <v>0</v>
      </c>
      <c r="AD37" s="52"/>
      <c r="AE37" s="64"/>
      <c r="AF37" s="39"/>
      <c r="AG37" s="39"/>
      <c r="AH37" s="210">
        <f>AF37+AG37*1</f>
        <v>0</v>
      </c>
      <c r="AI37" s="52"/>
      <c r="AJ37" s="64"/>
      <c r="AK37" s="39"/>
      <c r="AL37" s="39"/>
      <c r="AM37" s="210">
        <f>AK37+AL37*1</f>
        <v>0</v>
      </c>
      <c r="AN37" s="52"/>
      <c r="AO37" s="603"/>
      <c r="AP37" s="788"/>
      <c r="AQ37" s="635"/>
      <c r="AR37" s="765"/>
      <c r="AS37" s="788"/>
      <c r="AT37" s="635"/>
      <c r="AU37" s="635"/>
      <c r="AV37" s="635"/>
      <c r="AW37" s="765"/>
      <c r="AX37" s="788">
        <f t="shared" si="7"/>
        <v>0</v>
      </c>
      <c r="AY37" s="635"/>
      <c r="AZ37" s="635"/>
      <c r="BA37" s="635"/>
      <c r="BB37" s="765"/>
      <c r="BC37" s="788">
        <f t="shared" si="8"/>
        <v>0</v>
      </c>
      <c r="BD37" s="765"/>
      <c r="BE37" s="788"/>
      <c r="BF37" s="635"/>
      <c r="BG37" s="765"/>
      <c r="BH37" s="788">
        <f t="shared" si="9"/>
        <v>0</v>
      </c>
      <c r="BI37" s="635"/>
      <c r="BJ37" s="788"/>
      <c r="BK37" s="635"/>
      <c r="BL37" s="765"/>
      <c r="BM37" s="788">
        <f t="shared" si="35"/>
        <v>0</v>
      </c>
      <c r="BN37" s="635"/>
      <c r="BO37" s="560"/>
      <c r="BP37" s="452"/>
      <c r="BQ37" s="606"/>
      <c r="BR37" s="606"/>
      <c r="BS37" s="606"/>
      <c r="BT37" s="842"/>
    </row>
    <row r="38" spans="1:75" ht="13.95" customHeight="1" thickBot="1">
      <c r="A38" s="33"/>
      <c r="B38" s="34" t="s">
        <v>46</v>
      </c>
      <c r="C38" s="53">
        <f>(C5)-(C8)</f>
        <v>13933100</v>
      </c>
      <c r="D38" s="53">
        <f>(D5)-(D8)</f>
        <v>-3083417</v>
      </c>
      <c r="E38" s="53">
        <f>(E5)-(E8)</f>
        <v>10849683</v>
      </c>
      <c r="F38" s="166"/>
      <c r="G38" s="53">
        <f>(G5)-(G8)</f>
        <v>5942971.2733999984</v>
      </c>
      <c r="H38" s="53">
        <f>(H5)-(H8)</f>
        <v>-1435151.0399999998</v>
      </c>
      <c r="I38" s="53">
        <f>(I5)-(I8)</f>
        <v>4507820.2333999965</v>
      </c>
      <c r="J38" s="53"/>
      <c r="K38" s="53"/>
      <c r="L38" s="53">
        <f>(L5)-(L8)</f>
        <v>2953042.6359999999</v>
      </c>
      <c r="M38" s="53">
        <f>(M5)-(M8)</f>
        <v>-700355.81</v>
      </c>
      <c r="N38" s="53">
        <f>(N5)-(N8)</f>
        <v>2252686.8259999994</v>
      </c>
      <c r="O38" s="53"/>
      <c r="P38" s="53"/>
      <c r="Q38" s="53">
        <f>(Q5)-(Q8)</f>
        <v>-1172270.7620000001</v>
      </c>
      <c r="R38" s="53">
        <f>(R5)-(R8)</f>
        <v>-145681.75</v>
      </c>
      <c r="S38" s="53">
        <f>(S5)-(S8)</f>
        <v>-1317952.5120000001</v>
      </c>
      <c r="T38" s="53"/>
      <c r="U38" s="406"/>
      <c r="V38" s="53">
        <f>(V5)-(V8)</f>
        <v>2312850.0119999996</v>
      </c>
      <c r="W38" s="53">
        <f>(W5)-(W8)</f>
        <v>-542654.19000000006</v>
      </c>
      <c r="X38" s="53">
        <f>(X5)-(X8)</f>
        <v>1770195.8219999997</v>
      </c>
      <c r="Y38" s="53"/>
      <c r="Z38" s="406"/>
      <c r="AA38" s="53">
        <f>(AA5)-(AA8)</f>
        <v>-142616.076</v>
      </c>
      <c r="AB38" s="53">
        <f>(AB5)-(AB8)</f>
        <v>-127626.4</v>
      </c>
      <c r="AC38" s="53">
        <f>(AC5)-(AC8)</f>
        <v>-270242.47600000002</v>
      </c>
      <c r="AD38" s="53"/>
      <c r="AE38" s="406"/>
      <c r="AF38" s="53">
        <f>(AF5)-(AF8)</f>
        <v>1600081.2120000003</v>
      </c>
      <c r="AG38" s="53">
        <f>(AG5)-(AG8)</f>
        <v>-181922.11</v>
      </c>
      <c r="AH38" s="53">
        <f>(AH5)-(AH8)</f>
        <v>1418159.1020000004</v>
      </c>
      <c r="AI38" s="53"/>
      <c r="AJ38" s="406"/>
      <c r="AK38" s="53">
        <f>(AK5)-(AK8)</f>
        <v>1152166.4039999999</v>
      </c>
      <c r="AL38" s="53">
        <f>(AL5)-(AL8)</f>
        <v>-271786.98</v>
      </c>
      <c r="AM38" s="53">
        <f>(AM5)-(AM8)</f>
        <v>880379.42400000012</v>
      </c>
      <c r="AN38" s="53"/>
      <c r="AO38" s="733"/>
      <c r="AP38" s="760">
        <f>(AP5)-(AP8)</f>
        <v>0</v>
      </c>
      <c r="AQ38" s="760">
        <f>(AQ5)-(AQ8)</f>
        <v>-28359</v>
      </c>
      <c r="AR38" s="766">
        <f>(AR5)-(AR8)</f>
        <v>-28359</v>
      </c>
      <c r="AS38" s="760"/>
      <c r="AT38" s="776"/>
      <c r="AU38" s="808">
        <f>(AU5)-(AU8)</f>
        <v>328367.42399999965</v>
      </c>
      <c r="AV38" s="760">
        <f>(AV5)-(AV8)</f>
        <v>-81680</v>
      </c>
      <c r="AW38" s="766">
        <f>(AW5)-(AW8)</f>
        <v>246687.42399999965</v>
      </c>
      <c r="AX38" s="760">
        <f t="shared" si="7"/>
        <v>0.13234551493122501</v>
      </c>
      <c r="AY38" s="776"/>
      <c r="AZ38" s="808">
        <f>(AZ5)-(AZ8)</f>
        <v>-591726.1309527941</v>
      </c>
      <c r="BA38" s="760">
        <f>(BA5)-(BA8)</f>
        <v>-228209.64</v>
      </c>
      <c r="BB38" s="766">
        <f>(BB5)-(BB8)</f>
        <v>-819935.77095279424</v>
      </c>
      <c r="BC38" s="760">
        <f t="shared" si="8"/>
        <v>-0.43988793614902183</v>
      </c>
      <c r="BD38" s="910"/>
      <c r="BE38" s="760">
        <f>(BE5)-(BE8)</f>
        <v>0</v>
      </c>
      <c r="BF38" s="760">
        <f>(BF5)-(BF8)</f>
        <v>0</v>
      </c>
      <c r="BG38" s="766">
        <f>(BG5)-(BG8)</f>
        <v>0</v>
      </c>
      <c r="BH38" s="760">
        <f t="shared" si="9"/>
        <v>0</v>
      </c>
      <c r="BI38" s="776"/>
      <c r="BJ38" s="760">
        <f>(BJ5)-(BJ8)</f>
        <v>-201820.36800000002</v>
      </c>
      <c r="BK38" s="760">
        <f>(BK5)-(BK8)</f>
        <v>0</v>
      </c>
      <c r="BL38" s="766">
        <f>(BL5)-(BL8)</f>
        <v>-201820.36800000002</v>
      </c>
      <c r="BM38" s="760">
        <f t="shared" si="35"/>
        <v>-0.10827475553261023</v>
      </c>
      <c r="BN38" s="776"/>
      <c r="BO38" s="648">
        <f>(BO5)-(BO8)</f>
        <v>12181045.6244472</v>
      </c>
      <c r="BP38" s="648">
        <f>(BP5)-(BP8)</f>
        <v>-3743426.9200000004</v>
      </c>
      <c r="BQ38" s="648">
        <f>(BQ5)-(BQ8)</f>
        <v>8437618.7044472024</v>
      </c>
      <c r="BR38" s="648"/>
      <c r="BS38" s="648"/>
      <c r="BT38" s="928"/>
    </row>
    <row r="39" spans="1:75" ht="13.95" customHeight="1">
      <c r="A39" s="293"/>
      <c r="B39" s="15" t="s">
        <v>47</v>
      </c>
      <c r="C39" s="157">
        <f>C38/(C5)</f>
        <v>0.33862994268754265</v>
      </c>
      <c r="D39" s="157" t="e">
        <f>D38/(D5)</f>
        <v>#DIV/0!</v>
      </c>
      <c r="E39" s="158">
        <f>E38/(E5)</f>
        <v>0.26369060241209824</v>
      </c>
      <c r="F39" s="167"/>
      <c r="G39" s="54">
        <f>G38/(G5)</f>
        <v>0.43326543313075971</v>
      </c>
      <c r="H39" s="54" t="e">
        <f>H38/(H5)</f>
        <v>#DIV/0!</v>
      </c>
      <c r="I39" s="55">
        <f>I38/(I5)</f>
        <v>0.32863740981576128</v>
      </c>
      <c r="J39" s="55"/>
      <c r="K39" s="55"/>
      <c r="L39" s="54">
        <f>L38/(L5)</f>
        <v>0.29641483513450173</v>
      </c>
      <c r="M39" s="54" t="e">
        <f>M38/(M5)</f>
        <v>#DIV/0!</v>
      </c>
      <c r="N39" s="55">
        <f>N38/(N5)</f>
        <v>0.22611586639430217</v>
      </c>
      <c r="O39" s="55"/>
      <c r="P39" s="55"/>
      <c r="Q39" s="54" t="e">
        <f>Q38/(Q5)</f>
        <v>#DIV/0!</v>
      </c>
      <c r="R39" s="54" t="e">
        <f>R38/(R5)</f>
        <v>#DIV/0!</v>
      </c>
      <c r="S39" s="55" t="e">
        <f>S38/(S5)</f>
        <v>#DIV/0!</v>
      </c>
      <c r="T39" s="55"/>
      <c r="U39" s="407"/>
      <c r="V39" s="54">
        <f>V38/(V5)</f>
        <v>0.48686171447567211</v>
      </c>
      <c r="W39" s="54" t="e">
        <f>W38/(W5)</f>
        <v>#DIV/0!</v>
      </c>
      <c r="X39" s="55">
        <f>X38/(X5)</f>
        <v>0.37263141508745257</v>
      </c>
      <c r="Y39" s="55"/>
      <c r="Z39" s="407"/>
      <c r="AA39" s="54" t="e">
        <f>AA38/(AA5)</f>
        <v>#DIV/0!</v>
      </c>
      <c r="AB39" s="54" t="e">
        <f>AB38/(AB5)</f>
        <v>#DIV/0!</v>
      </c>
      <c r="AC39" s="55" t="e">
        <f>AC38/(AC5)</f>
        <v>#DIV/0!</v>
      </c>
      <c r="AD39" s="55"/>
      <c r="AE39" s="407"/>
      <c r="AF39" s="54">
        <f>AF38/(AF5)</f>
        <v>0.33078099382570736</v>
      </c>
      <c r="AG39" s="54" t="e">
        <f>AG38/(AG5)</f>
        <v>#DIV/0!</v>
      </c>
      <c r="AH39" s="55">
        <f>AH38/(AH5)</f>
        <v>0.29317266751491156</v>
      </c>
      <c r="AI39" s="55"/>
      <c r="AJ39" s="407"/>
      <c r="AK39" s="54">
        <f>AK38/(AK5)</f>
        <v>0.38486044210069775</v>
      </c>
      <c r="AL39" s="54" t="e">
        <f>AL38/(AL5)</f>
        <v>#DIV/0!</v>
      </c>
      <c r="AM39" s="55">
        <f>AM38/(AM5)</f>
        <v>0.29407489505048762</v>
      </c>
      <c r="AN39" s="55"/>
      <c r="AO39" s="716"/>
      <c r="AP39" s="761" t="e">
        <f>AP38/(AP5)</f>
        <v>#DIV/0!</v>
      </c>
      <c r="AQ39" s="761" t="e">
        <f>AQ38/(AQ5)</f>
        <v>#DIV/0!</v>
      </c>
      <c r="AR39" s="761" t="e">
        <f>AR38/(AR5)</f>
        <v>#DIV/0!</v>
      </c>
      <c r="AS39" s="789"/>
      <c r="AT39" s="813"/>
      <c r="AU39" s="809">
        <f>AU38/(AU5)</f>
        <v>0.1564840101699915</v>
      </c>
      <c r="AV39" s="761" t="e">
        <f>AV38/(AV5)</f>
        <v>#DIV/0!</v>
      </c>
      <c r="AW39" s="761">
        <f>AW38/(AW5)</f>
        <v>0.11755927824930951</v>
      </c>
      <c r="AX39" s="789">
        <f t="shared" si="7"/>
        <v>6.3069462409433759E-8</v>
      </c>
      <c r="AY39" s="777"/>
      <c r="AZ39" s="809">
        <f>AZ38/(AZ5)</f>
        <v>-12.863611542452047</v>
      </c>
      <c r="BA39" s="761" t="e">
        <f>BA38/(BA5)</f>
        <v>#DIV/0!</v>
      </c>
      <c r="BB39" s="761">
        <f>BB38/(BB5)</f>
        <v>-17.824690672886831</v>
      </c>
      <c r="BC39" s="789">
        <f t="shared" si="8"/>
        <v>-9.5627812206309093E-6</v>
      </c>
      <c r="BD39" s="777"/>
      <c r="BE39" s="761" t="e">
        <f>BE38/(BE5)</f>
        <v>#DIV/0!</v>
      </c>
      <c r="BF39" s="761" t="e">
        <f>BF38/(BF5)</f>
        <v>#DIV/0!</v>
      </c>
      <c r="BG39" s="761" t="e">
        <f>BG38/(BG5)</f>
        <v>#DIV/0!</v>
      </c>
      <c r="BH39" s="789" t="e">
        <f t="shared" si="9"/>
        <v>#DIV/0!</v>
      </c>
      <c r="BI39" s="813"/>
      <c r="BJ39" s="761" t="e">
        <f>BJ38/(BJ5)</f>
        <v>#DIV/0!</v>
      </c>
      <c r="BK39" s="761" t="e">
        <f>BK38/(BK5)</f>
        <v>#DIV/0!</v>
      </c>
      <c r="BL39" s="761" t="e">
        <f>BL38/(BL5)</f>
        <v>#DIV/0!</v>
      </c>
      <c r="BM39" s="789" t="e">
        <f t="shared" si="35"/>
        <v>#DIV/0!</v>
      </c>
      <c r="BN39" s="813"/>
      <c r="BO39" s="639">
        <f>BO38/(BO5)</f>
        <v>0.31717197766382332</v>
      </c>
      <c r="BP39" s="639" t="e">
        <f>BP38/(BP5)</f>
        <v>#DIV/0!</v>
      </c>
      <c r="BQ39" s="660">
        <f>BQ38/(BQ5)</f>
        <v>0.21970004002708396</v>
      </c>
      <c r="BR39" s="660"/>
      <c r="BS39" s="660"/>
      <c r="BT39" s="928"/>
    </row>
    <row r="40" spans="1:75" ht="13.95" customHeight="1" outlineLevel="1" thickBot="1">
      <c r="A40" s="295"/>
      <c r="B40" s="299"/>
      <c r="C40" s="300"/>
      <c r="D40" s="301"/>
      <c r="E40" s="80"/>
      <c r="F40" s="302"/>
      <c r="G40" s="80"/>
      <c r="H40" s="80"/>
      <c r="I40" s="58"/>
      <c r="J40" s="58"/>
      <c r="K40" s="58"/>
      <c r="L40" s="58"/>
      <c r="M40" s="58"/>
      <c r="N40" s="58"/>
      <c r="O40" s="58"/>
      <c r="P40" s="58"/>
      <c r="Q40" s="58"/>
      <c r="R40" s="58"/>
      <c r="S40" s="58"/>
      <c r="T40" s="58"/>
      <c r="U40" s="408"/>
      <c r="V40" s="58"/>
      <c r="W40" s="58"/>
      <c r="X40" s="58"/>
      <c r="Y40" s="58"/>
      <c r="Z40" s="408"/>
      <c r="AA40" s="58"/>
      <c r="AB40" s="58"/>
      <c r="AC40" s="58"/>
      <c r="AD40" s="58"/>
      <c r="AE40" s="408"/>
      <c r="AF40" s="58"/>
      <c r="AG40" s="58"/>
      <c r="AH40" s="58"/>
      <c r="AI40" s="58"/>
      <c r="AJ40" s="408"/>
      <c r="AK40" s="58"/>
      <c r="AL40" s="58"/>
      <c r="AM40" s="58"/>
      <c r="AN40" s="58"/>
      <c r="AO40" s="734"/>
      <c r="AP40" s="790"/>
      <c r="AQ40" s="762"/>
      <c r="AR40" s="767"/>
      <c r="AS40" s="790"/>
      <c r="AT40" s="637"/>
      <c r="AU40" s="762"/>
      <c r="AV40" s="762"/>
      <c r="AW40" s="767"/>
      <c r="AX40" s="790">
        <f t="shared" si="7"/>
        <v>0</v>
      </c>
      <c r="AY40" s="637"/>
      <c r="AZ40" s="762"/>
      <c r="BA40" s="762"/>
      <c r="BB40" s="767"/>
      <c r="BC40" s="790">
        <f t="shared" si="8"/>
        <v>0</v>
      </c>
      <c r="BD40" s="734"/>
      <c r="BE40" s="790"/>
      <c r="BF40" s="762"/>
      <c r="BG40" s="767"/>
      <c r="BH40" s="790">
        <f t="shared" si="9"/>
        <v>0</v>
      </c>
      <c r="BI40" s="637"/>
      <c r="BJ40" s="790"/>
      <c r="BK40" s="762"/>
      <c r="BL40" s="767"/>
      <c r="BM40" s="790">
        <f t="shared" si="35"/>
        <v>0</v>
      </c>
      <c r="BN40" s="637"/>
      <c r="BO40" s="662"/>
      <c r="BP40" s="649"/>
      <c r="BQ40" s="649"/>
      <c r="BR40" s="649"/>
      <c r="BS40" s="649"/>
      <c r="BT40" s="928"/>
    </row>
    <row r="41" spans="1:75" ht="13.95" customHeight="1" outlineLevel="1" thickBot="1">
      <c r="A41" s="11"/>
      <c r="B41" s="311" t="s">
        <v>26</v>
      </c>
      <c r="C41" s="312">
        <f>SUM(C42:C48)</f>
        <v>3000</v>
      </c>
      <c r="D41" s="312">
        <f>SUM(D42:D48)</f>
        <v>6000</v>
      </c>
      <c r="E41" s="313">
        <f>SUM(E42:E48)</f>
        <v>9000</v>
      </c>
      <c r="F41" s="314">
        <f t="shared" ref="F41:F48" si="36">E41/$E$89</f>
        <v>2.8303143389716819E-4</v>
      </c>
      <c r="G41" s="312">
        <f>SUM(G42:G48)</f>
        <v>30983.09</v>
      </c>
      <c r="H41" s="313">
        <f>SUM(H42:H48)</f>
        <v>3586</v>
      </c>
      <c r="I41" s="118">
        <f>SUM(I42:I48)</f>
        <v>34569.090000000004</v>
      </c>
      <c r="J41" s="169">
        <f t="shared" ref="J41:J49" si="37">I41/$I$89</f>
        <v>3.5221551102568851E-3</v>
      </c>
      <c r="K41" s="60"/>
      <c r="L41" s="117">
        <f>SUM(L42:L48)</f>
        <v>4590.8900000000003</v>
      </c>
      <c r="M41" s="117">
        <f>SUM(M42:M48)</f>
        <v>1256</v>
      </c>
      <c r="N41" s="118">
        <f>SUM(N42:N48)</f>
        <v>5846.89</v>
      </c>
      <c r="O41" s="169">
        <f t="shared" ref="O41:O49" si="38">N41/$N$89</f>
        <v>7.4232406083226505E-4</v>
      </c>
      <c r="P41" s="60"/>
      <c r="Q41" s="117">
        <f>SUM(Q42:Q48)</f>
        <v>4503.5</v>
      </c>
      <c r="R41" s="117">
        <f>SUM(R42:R48)</f>
        <v>1130</v>
      </c>
      <c r="S41" s="118">
        <f>SUM(S42:S48)</f>
        <v>5633.5</v>
      </c>
      <c r="T41" s="169">
        <f t="shared" ref="T41:T49" si="39">S41/$N$89</f>
        <v>7.1523196035816732E-4</v>
      </c>
      <c r="U41" s="409"/>
      <c r="V41" s="117">
        <f>SUM(V42:V48)</f>
        <v>858.5</v>
      </c>
      <c r="W41" s="117">
        <f>SUM(W42:W48)</f>
        <v>709</v>
      </c>
      <c r="X41" s="118">
        <f>SUM(X42:X48)</f>
        <v>1567.5</v>
      </c>
      <c r="Y41" s="169">
        <f>X41/$X$89</f>
        <v>5.1087836280070927E-4</v>
      </c>
      <c r="Z41" s="409"/>
      <c r="AA41" s="117">
        <f>SUM(AA42:AA48)</f>
        <v>1839.49</v>
      </c>
      <c r="AB41" s="117">
        <f>SUM(AB42:AB48)</f>
        <v>1014</v>
      </c>
      <c r="AC41" s="118">
        <f>SUM(AC42:AC48)</f>
        <v>2853.49</v>
      </c>
      <c r="AD41" s="169">
        <f>AC41/$AC$89</f>
        <v>8.9295564230723115E-3</v>
      </c>
      <c r="AE41" s="591"/>
      <c r="AF41" s="117">
        <f>SUM(AF42:AF48)</f>
        <v>2456</v>
      </c>
      <c r="AG41" s="117">
        <f>SUM(AG42:AG48)</f>
        <v>398</v>
      </c>
      <c r="AH41" s="118">
        <f>SUM(AH42:AH48)</f>
        <v>2854</v>
      </c>
      <c r="AI41" s="169">
        <f>AH41/$AH$89</f>
        <v>8.2611977265363025E-4</v>
      </c>
      <c r="AJ41" s="591"/>
      <c r="AK41" s="117">
        <f>SUM(AK42:AK48)</f>
        <v>309</v>
      </c>
      <c r="AL41" s="117">
        <f>SUM(AL42:AL48)</f>
        <v>914</v>
      </c>
      <c r="AM41" s="118">
        <f>SUM(AM42:AM48)</f>
        <v>1223</v>
      </c>
      <c r="AN41" s="169">
        <f>AM41/$AH$89</f>
        <v>3.5400997966201467E-4</v>
      </c>
      <c r="AO41" s="591"/>
      <c r="AP41" s="763">
        <f>SUM(AP42:AP48)</f>
        <v>437.5</v>
      </c>
      <c r="AQ41" s="763">
        <f>SUM(AQ42:AQ48)</f>
        <v>0</v>
      </c>
      <c r="AR41" s="763">
        <f>SUM(AR42:AR48)</f>
        <v>437.5</v>
      </c>
      <c r="AS41" s="791">
        <f>AR41/$AH$89</f>
        <v>1.2663889296985397E-4</v>
      </c>
      <c r="AT41" s="814"/>
      <c r="AU41" s="810">
        <f>SUM(AU42:AU48)</f>
        <v>720</v>
      </c>
      <c r="AV41" s="763">
        <f>SUM(AV42:AV48)</f>
        <v>0</v>
      </c>
      <c r="AW41" s="763">
        <f>SUM(AW42:AW48)</f>
        <v>720</v>
      </c>
      <c r="AX41" s="791">
        <f t="shared" si="7"/>
        <v>3.8627332194478688E-4</v>
      </c>
      <c r="AY41" s="778"/>
      <c r="AZ41" s="810">
        <f>SUM(AZ42:AZ48)</f>
        <v>1271.6600000000003</v>
      </c>
      <c r="BA41" s="763">
        <f>SUM(BA42:BA48)</f>
        <v>-820</v>
      </c>
      <c r="BB41" s="763">
        <f>SUM(BB42:BB48)</f>
        <v>451.66000000000031</v>
      </c>
      <c r="BC41" s="791">
        <f t="shared" si="8"/>
        <v>2.4231140081886466E-4</v>
      </c>
      <c r="BD41" s="778"/>
      <c r="BE41" s="763">
        <f>SUM(BE42:BE48)</f>
        <v>0</v>
      </c>
      <c r="BF41" s="763">
        <f>SUM(BF42:BF48)</f>
        <v>0</v>
      </c>
      <c r="BG41" s="763">
        <f>SUM(BG42:BG48)</f>
        <v>0</v>
      </c>
      <c r="BH41" s="791">
        <f t="shared" si="9"/>
        <v>0</v>
      </c>
      <c r="BI41" s="814"/>
      <c r="BJ41" s="763">
        <f>SUM(BJ42:BJ48)</f>
        <v>0</v>
      </c>
      <c r="BK41" s="763">
        <f>SUM(BK42:BK48)</f>
        <v>0</v>
      </c>
      <c r="BL41" s="763">
        <f>SUM(BL42:BL48)</f>
        <v>0</v>
      </c>
      <c r="BM41" s="791">
        <f t="shared" si="35"/>
        <v>0</v>
      </c>
      <c r="BN41" s="814"/>
      <c r="BO41" s="579">
        <f>SUM(BO42:BO48)</f>
        <v>47969.630000000005</v>
      </c>
      <c r="BP41" s="579">
        <f>SUM(BP42:BP48)</f>
        <v>8187</v>
      </c>
      <c r="BQ41" s="605">
        <f>SUM(BQ42:BQ48)</f>
        <v>56156.630000000005</v>
      </c>
      <c r="BR41" s="664">
        <f>BQ41/$BQ$89</f>
        <v>1.8001693086308456E-3</v>
      </c>
      <c r="BS41" s="581"/>
      <c r="BT41" s="928"/>
    </row>
    <row r="42" spans="1:75" ht="13.95" customHeight="1" outlineLevel="2">
      <c r="A42" s="4833"/>
      <c r="B42" s="310" t="s">
        <v>7</v>
      </c>
      <c r="C42" s="112"/>
      <c r="D42" s="309"/>
      <c r="E42" s="106">
        <f t="shared" ref="E42:E48" si="40">C42+D42</f>
        <v>0</v>
      </c>
      <c r="F42" s="177">
        <f t="shared" si="36"/>
        <v>0</v>
      </c>
      <c r="G42" s="39">
        <v>0</v>
      </c>
      <c r="H42" s="39">
        <v>0</v>
      </c>
      <c r="I42" s="106">
        <f t="shared" ref="I42:I48" si="41">G42+H42*1</f>
        <v>0</v>
      </c>
      <c r="J42" s="178">
        <f t="shared" si="37"/>
        <v>0</v>
      </c>
      <c r="K42" s="79"/>
      <c r="L42" s="39"/>
      <c r="M42" s="39"/>
      <c r="N42" s="106">
        <f t="shared" ref="N42:N48" si="42">L42+M42*1</f>
        <v>0</v>
      </c>
      <c r="O42" s="178">
        <f t="shared" si="38"/>
        <v>0</v>
      </c>
      <c r="P42" s="79"/>
      <c r="Q42" s="39"/>
      <c r="R42" s="39"/>
      <c r="S42" s="106">
        <f t="shared" ref="S42:S48" si="43">Q42+R42*1</f>
        <v>0</v>
      </c>
      <c r="T42" s="178">
        <f t="shared" si="39"/>
        <v>0</v>
      </c>
      <c r="U42" s="259"/>
      <c r="V42" s="39"/>
      <c r="W42" s="39"/>
      <c r="X42" s="210">
        <f t="shared" ref="X42:X49" si="44">V42+W42*1</f>
        <v>0</v>
      </c>
      <c r="Y42" s="450">
        <f t="shared" ref="Y42:Y48" si="45">X42/$X$89</f>
        <v>0</v>
      </c>
      <c r="Z42" s="443"/>
      <c r="AA42" s="39"/>
      <c r="AB42" s="39"/>
      <c r="AC42" s="210">
        <f t="shared" ref="AC42:AC49" si="46">AA42+AB42*1</f>
        <v>0</v>
      </c>
      <c r="AD42" s="595">
        <f t="shared" ref="AD42:AD48" si="47">AC42/$AC$89</f>
        <v>0</v>
      </c>
      <c r="AE42" s="601"/>
      <c r="AF42" s="39"/>
      <c r="AG42" s="39"/>
      <c r="AH42" s="210">
        <f t="shared" ref="AH42:AH49" si="48">AF42+AG42*1</f>
        <v>0</v>
      </c>
      <c r="AI42" s="541">
        <f t="shared" ref="AI42:AI48" si="49">AH42/$AH$89</f>
        <v>0</v>
      </c>
      <c r="AJ42" s="601"/>
      <c r="AK42" s="39"/>
      <c r="AL42" s="39"/>
      <c r="AM42" s="210">
        <f t="shared" ref="AM42:AM49" si="50">AK42+AL42*1</f>
        <v>0</v>
      </c>
      <c r="AN42" s="541">
        <f t="shared" ref="AN42:AN48" si="51">AM42/$AM$89</f>
        <v>0</v>
      </c>
      <c r="AO42" s="601"/>
      <c r="AP42" s="815"/>
      <c r="AQ42" s="717"/>
      <c r="AR42" s="717">
        <f t="shared" ref="AR42:AR48" si="52">AP42+AQ42*1</f>
        <v>0</v>
      </c>
      <c r="AS42" s="787">
        <f t="shared" ref="AS42:AS48" si="53">AR42/$AR$89</f>
        <v>0</v>
      </c>
      <c r="AT42" s="715"/>
      <c r="AU42" s="717"/>
      <c r="AV42" s="717"/>
      <c r="AW42" s="717">
        <f t="shared" ref="AW42:AW48" si="54">AU42+AV42*1</f>
        <v>0</v>
      </c>
      <c r="AX42" s="787">
        <f t="shared" si="7"/>
        <v>0</v>
      </c>
      <c r="AY42" s="717"/>
      <c r="AZ42" s="717"/>
      <c r="BA42" s="717"/>
      <c r="BB42" s="717">
        <f t="shared" ref="BB42:BB48" si="55">AZ42+BA42*1</f>
        <v>0</v>
      </c>
      <c r="BC42" s="787">
        <f t="shared" si="8"/>
        <v>0</v>
      </c>
      <c r="BD42" s="717"/>
      <c r="BE42" s="815"/>
      <c r="BF42" s="717"/>
      <c r="BG42" s="717">
        <f t="shared" ref="BG42:BG48" si="56">BE42+BF42*1</f>
        <v>0</v>
      </c>
      <c r="BH42" s="787">
        <f t="shared" si="9"/>
        <v>0</v>
      </c>
      <c r="BI42" s="715"/>
      <c r="BJ42" s="815"/>
      <c r="BK42" s="717"/>
      <c r="BL42" s="717">
        <f t="shared" ref="BL42:BL48" si="57">BJ42+BK42*1</f>
        <v>0</v>
      </c>
      <c r="BM42" s="787">
        <f t="shared" si="35"/>
        <v>0</v>
      </c>
      <c r="BN42" s="715"/>
      <c r="BO42" s="560">
        <f t="shared" ref="BO42:BO48" si="58">G42+L42+Q42+V42+AA42+AF42+AK42+AP42+AU42+AZ42+BE42+BJ42</f>
        <v>0</v>
      </c>
      <c r="BP42" s="452">
        <f t="shared" ref="BP42:BP48" si="59">H42+M42+R42+W42+AB42+AG42+AL42+AQ42+AV42+BA42+BF42+BK42</f>
        <v>0</v>
      </c>
      <c r="BQ42" s="602">
        <f t="shared" ref="BQ42:BQ48" si="60">BO42+BP42*1</f>
        <v>0</v>
      </c>
      <c r="BR42" s="450">
        <f t="shared" ref="BR42:BR72" si="61">BQ42/$BQ$89</f>
        <v>0</v>
      </c>
      <c r="BS42" s="498"/>
      <c r="BT42" s="928"/>
    </row>
    <row r="43" spans="1:75" ht="13.95" customHeight="1" outlineLevel="2">
      <c r="A43" s="4833"/>
      <c r="B43" s="18" t="s">
        <v>27</v>
      </c>
      <c r="C43" s="113"/>
      <c r="D43" s="119">
        <v>4000</v>
      </c>
      <c r="E43" s="120">
        <f t="shared" si="40"/>
        <v>4000</v>
      </c>
      <c r="F43" s="178">
        <f t="shared" si="36"/>
        <v>1.2579174839874141E-4</v>
      </c>
      <c r="G43" s="39">
        <v>0</v>
      </c>
      <c r="H43" s="39">
        <v>2291</v>
      </c>
      <c r="I43" s="106">
        <f t="shared" si="41"/>
        <v>2291</v>
      </c>
      <c r="J43" s="178">
        <f t="shared" si="37"/>
        <v>2.334240605581033E-4</v>
      </c>
      <c r="K43" s="79"/>
      <c r="L43" s="39"/>
      <c r="M43" s="39">
        <v>490</v>
      </c>
      <c r="N43" s="106">
        <f t="shared" si="42"/>
        <v>490</v>
      </c>
      <c r="O43" s="178">
        <f t="shared" si="38"/>
        <v>6.2210643574243718E-5</v>
      </c>
      <c r="P43" s="79" t="s">
        <v>480</v>
      </c>
      <c r="Q43" s="39"/>
      <c r="R43" s="39">
        <v>150</v>
      </c>
      <c r="S43" s="106">
        <f t="shared" si="43"/>
        <v>150</v>
      </c>
      <c r="T43" s="178">
        <f t="shared" si="39"/>
        <v>1.9044074563543998E-5</v>
      </c>
      <c r="U43" s="415" t="s">
        <v>480</v>
      </c>
      <c r="V43" s="39"/>
      <c r="W43" s="39">
        <v>262</v>
      </c>
      <c r="X43" s="210">
        <f t="shared" si="44"/>
        <v>262</v>
      </c>
      <c r="Y43" s="450">
        <f t="shared" si="45"/>
        <v>8.5390833208156828E-5</v>
      </c>
      <c r="Z43" s="443" t="s">
        <v>480</v>
      </c>
      <c r="AA43" s="39"/>
      <c r="AB43" s="39">
        <f>133+150</f>
        <v>283</v>
      </c>
      <c r="AC43" s="210">
        <f t="shared" si="46"/>
        <v>283</v>
      </c>
      <c r="AD43" s="595">
        <f t="shared" si="47"/>
        <v>8.8560480945419965E-4</v>
      </c>
      <c r="AE43" s="601" t="s">
        <v>751</v>
      </c>
      <c r="AF43" s="39"/>
      <c r="AG43" s="39">
        <v>278</v>
      </c>
      <c r="AH43" s="210">
        <f t="shared" si="48"/>
        <v>278</v>
      </c>
      <c r="AI43" s="541">
        <f t="shared" si="49"/>
        <v>8.046997084713007E-5</v>
      </c>
      <c r="AJ43" s="601"/>
      <c r="AK43" s="39"/>
      <c r="AL43" s="39">
        <v>127</v>
      </c>
      <c r="AM43" s="210">
        <f t="shared" si="50"/>
        <v>127</v>
      </c>
      <c r="AN43" s="541">
        <f t="shared" si="51"/>
        <v>5.9001608567352632E-5</v>
      </c>
      <c r="AO43" s="601"/>
      <c r="AP43" s="816"/>
      <c r="AQ43" s="759"/>
      <c r="AR43" s="768">
        <f t="shared" si="52"/>
        <v>0</v>
      </c>
      <c r="AS43" s="785">
        <f t="shared" si="53"/>
        <v>0</v>
      </c>
      <c r="AT43" s="714"/>
      <c r="AU43" s="811"/>
      <c r="AV43" s="759"/>
      <c r="AW43" s="768">
        <f t="shared" si="54"/>
        <v>0</v>
      </c>
      <c r="AX43" s="785">
        <f t="shared" si="7"/>
        <v>0</v>
      </c>
      <c r="AY43" s="601"/>
      <c r="AZ43" s="811"/>
      <c r="BA43" s="759"/>
      <c r="BB43" s="768">
        <f t="shared" si="55"/>
        <v>0</v>
      </c>
      <c r="BC43" s="785">
        <f t="shared" si="8"/>
        <v>0</v>
      </c>
      <c r="BD43" s="601"/>
      <c r="BE43" s="816"/>
      <c r="BF43" s="759"/>
      <c r="BG43" s="768">
        <f t="shared" si="56"/>
        <v>0</v>
      </c>
      <c r="BH43" s="785">
        <f t="shared" si="9"/>
        <v>0</v>
      </c>
      <c r="BI43" s="714"/>
      <c r="BJ43" s="816"/>
      <c r="BK43" s="759"/>
      <c r="BL43" s="768">
        <f t="shared" si="57"/>
        <v>0</v>
      </c>
      <c r="BM43" s="785">
        <f t="shared" si="35"/>
        <v>0</v>
      </c>
      <c r="BN43" s="714"/>
      <c r="BO43" s="560">
        <f t="shared" si="58"/>
        <v>0</v>
      </c>
      <c r="BP43" s="452">
        <f t="shared" si="59"/>
        <v>3881</v>
      </c>
      <c r="BQ43" s="453">
        <f t="shared" si="60"/>
        <v>3881</v>
      </c>
      <c r="BR43" s="450">
        <f t="shared" si="61"/>
        <v>1.2441019140208931E-4</v>
      </c>
      <c r="BS43" s="498"/>
      <c r="BT43" s="928"/>
      <c r="BU43" s="688"/>
      <c r="BV43" s="928"/>
    </row>
    <row r="44" spans="1:75" ht="13.95" customHeight="1" outlineLevel="2">
      <c r="A44" s="4833"/>
      <c r="B44" s="19" t="s">
        <v>28</v>
      </c>
      <c r="C44" s="113">
        <v>1000</v>
      </c>
      <c r="D44" s="119"/>
      <c r="E44" s="120">
        <f t="shared" si="40"/>
        <v>1000</v>
      </c>
      <c r="F44" s="178">
        <f t="shared" si="36"/>
        <v>3.1447937099685351E-5</v>
      </c>
      <c r="G44" s="39">
        <v>0</v>
      </c>
      <c r="H44" s="39">
        <v>400</v>
      </c>
      <c r="I44" s="106">
        <f t="shared" si="41"/>
        <v>400</v>
      </c>
      <c r="J44" s="178">
        <f t="shared" si="37"/>
        <v>4.0754964741702889E-5</v>
      </c>
      <c r="K44" s="79"/>
      <c r="L44" s="39"/>
      <c r="M44" s="39">
        <v>250</v>
      </c>
      <c r="N44" s="106">
        <f t="shared" si="42"/>
        <v>250</v>
      </c>
      <c r="O44" s="178">
        <f t="shared" si="38"/>
        <v>3.1740124272573329E-5</v>
      </c>
      <c r="P44" s="79" t="s">
        <v>497</v>
      </c>
      <c r="Q44" s="39"/>
      <c r="R44" s="39">
        <v>250</v>
      </c>
      <c r="S44" s="106">
        <f t="shared" si="43"/>
        <v>250</v>
      </c>
      <c r="T44" s="178">
        <f t="shared" si="39"/>
        <v>3.1740124272573329E-5</v>
      </c>
      <c r="U44" s="415" t="s">
        <v>497</v>
      </c>
      <c r="V44" s="39"/>
      <c r="W44" s="39">
        <v>250</v>
      </c>
      <c r="X44" s="210">
        <f t="shared" si="44"/>
        <v>250</v>
      </c>
      <c r="Y44" s="450">
        <f t="shared" si="45"/>
        <v>8.1479802679538962E-5</v>
      </c>
      <c r="Z44" s="443" t="s">
        <v>673</v>
      </c>
      <c r="AA44" s="39"/>
      <c r="AB44" s="39">
        <v>250</v>
      </c>
      <c r="AC44" s="210">
        <f t="shared" si="46"/>
        <v>250</v>
      </c>
      <c r="AD44" s="595">
        <f t="shared" si="47"/>
        <v>7.8233640411148387E-4</v>
      </c>
      <c r="AE44" s="601" t="s">
        <v>750</v>
      </c>
      <c r="AF44" s="39"/>
      <c r="AG44" s="39"/>
      <c r="AH44" s="210">
        <f t="shared" si="48"/>
        <v>0</v>
      </c>
      <c r="AI44" s="541">
        <f t="shared" si="49"/>
        <v>0</v>
      </c>
      <c r="AJ44" s="601"/>
      <c r="AK44" s="39"/>
      <c r="AL44" s="39"/>
      <c r="AM44" s="210">
        <f t="shared" si="50"/>
        <v>0</v>
      </c>
      <c r="AN44" s="541">
        <f t="shared" si="51"/>
        <v>0</v>
      </c>
      <c r="AO44" s="601"/>
      <c r="AP44" s="816"/>
      <c r="AQ44" s="759"/>
      <c r="AR44" s="768">
        <f t="shared" si="52"/>
        <v>0</v>
      </c>
      <c r="AS44" s="785">
        <f t="shared" si="53"/>
        <v>0</v>
      </c>
      <c r="AT44" s="714"/>
      <c r="AU44" s="811"/>
      <c r="AV44" s="759"/>
      <c r="AW44" s="768">
        <f t="shared" si="54"/>
        <v>0</v>
      </c>
      <c r="AX44" s="785">
        <f t="shared" si="7"/>
        <v>0</v>
      </c>
      <c r="AY44" s="601"/>
      <c r="AZ44" s="811"/>
      <c r="BA44" s="759"/>
      <c r="BB44" s="768">
        <f t="shared" si="55"/>
        <v>0</v>
      </c>
      <c r="BC44" s="785">
        <f t="shared" si="8"/>
        <v>0</v>
      </c>
      <c r="BD44" s="601"/>
      <c r="BE44" s="816"/>
      <c r="BF44" s="759"/>
      <c r="BG44" s="768">
        <f t="shared" si="56"/>
        <v>0</v>
      </c>
      <c r="BH44" s="785">
        <f t="shared" si="9"/>
        <v>0</v>
      </c>
      <c r="BI44" s="714"/>
      <c r="BJ44" s="816"/>
      <c r="BK44" s="759"/>
      <c r="BL44" s="768">
        <f t="shared" si="57"/>
        <v>0</v>
      </c>
      <c r="BM44" s="785">
        <f t="shared" si="35"/>
        <v>0</v>
      </c>
      <c r="BN44" s="714"/>
      <c r="BO44" s="560">
        <f t="shared" si="58"/>
        <v>0</v>
      </c>
      <c r="BP44" s="452">
        <f t="shared" si="59"/>
        <v>1400</v>
      </c>
      <c r="BQ44" s="453">
        <f t="shared" si="60"/>
        <v>1400</v>
      </c>
      <c r="BR44" s="450">
        <f t="shared" si="61"/>
        <v>4.4878708570709878E-5</v>
      </c>
      <c r="BS44" s="498"/>
      <c r="BT44" s="928"/>
      <c r="BU44" s="688"/>
      <c r="BV44" s="928"/>
    </row>
    <row r="45" spans="1:75" ht="13.95" customHeight="1" outlineLevel="2">
      <c r="A45" s="4833"/>
      <c r="B45" s="18" t="s">
        <v>8</v>
      </c>
      <c r="C45" s="113"/>
      <c r="D45" s="119"/>
      <c r="E45" s="120">
        <f t="shared" si="40"/>
        <v>0</v>
      </c>
      <c r="F45" s="178">
        <f t="shared" si="36"/>
        <v>0</v>
      </c>
      <c r="G45" s="39">
        <v>0</v>
      </c>
      <c r="H45" s="39">
        <v>0</v>
      </c>
      <c r="I45" s="106">
        <f t="shared" si="41"/>
        <v>0</v>
      </c>
      <c r="J45" s="178">
        <f t="shared" si="37"/>
        <v>0</v>
      </c>
      <c r="K45" s="79"/>
      <c r="L45" s="39"/>
      <c r="M45" s="39"/>
      <c r="N45" s="106">
        <f t="shared" si="42"/>
        <v>0</v>
      </c>
      <c r="O45" s="178">
        <f t="shared" si="38"/>
        <v>0</v>
      </c>
      <c r="P45" s="79"/>
      <c r="Q45" s="39"/>
      <c r="R45" s="39"/>
      <c r="S45" s="106">
        <f t="shared" si="43"/>
        <v>0</v>
      </c>
      <c r="T45" s="178">
        <f t="shared" si="39"/>
        <v>0</v>
      </c>
      <c r="U45" s="259"/>
      <c r="V45" s="39"/>
      <c r="W45" s="39"/>
      <c r="X45" s="210">
        <f t="shared" si="44"/>
        <v>0</v>
      </c>
      <c r="Y45" s="450">
        <f t="shared" si="45"/>
        <v>0</v>
      </c>
      <c r="Z45" s="443"/>
      <c r="AA45" s="39"/>
      <c r="AB45" s="39"/>
      <c r="AC45" s="210">
        <f t="shared" si="46"/>
        <v>0</v>
      </c>
      <c r="AD45" s="595">
        <f t="shared" si="47"/>
        <v>0</v>
      </c>
      <c r="AE45" s="601"/>
      <c r="AF45" s="39"/>
      <c r="AG45" s="39"/>
      <c r="AH45" s="210">
        <f t="shared" si="48"/>
        <v>0</v>
      </c>
      <c r="AI45" s="541">
        <f t="shared" si="49"/>
        <v>0</v>
      </c>
      <c r="AJ45" s="601"/>
      <c r="AK45" s="39"/>
      <c r="AL45" s="39"/>
      <c r="AM45" s="210">
        <f t="shared" si="50"/>
        <v>0</v>
      </c>
      <c r="AN45" s="541">
        <f t="shared" si="51"/>
        <v>0</v>
      </c>
      <c r="AO45" s="601"/>
      <c r="AP45" s="816"/>
      <c r="AQ45" s="759"/>
      <c r="AR45" s="768">
        <f t="shared" si="52"/>
        <v>0</v>
      </c>
      <c r="AS45" s="785">
        <f t="shared" si="53"/>
        <v>0</v>
      </c>
      <c r="AT45" s="714"/>
      <c r="AU45" s="811"/>
      <c r="AV45" s="759"/>
      <c r="AW45" s="768">
        <f t="shared" si="54"/>
        <v>0</v>
      </c>
      <c r="AX45" s="785">
        <f t="shared" si="7"/>
        <v>0</v>
      </c>
      <c r="AY45" s="601"/>
      <c r="AZ45" s="811">
        <v>700</v>
      </c>
      <c r="BA45" s="759"/>
      <c r="BB45" s="768">
        <f t="shared" si="55"/>
        <v>700</v>
      </c>
      <c r="BC45" s="785">
        <f t="shared" si="8"/>
        <v>3.7554350744632058E-4</v>
      </c>
      <c r="BD45" s="601"/>
      <c r="BE45" s="816"/>
      <c r="BF45" s="759"/>
      <c r="BG45" s="768">
        <f t="shared" si="56"/>
        <v>0</v>
      </c>
      <c r="BH45" s="785">
        <f t="shared" si="9"/>
        <v>0</v>
      </c>
      <c r="BI45" s="714"/>
      <c r="BJ45" s="816"/>
      <c r="BK45" s="759"/>
      <c r="BL45" s="768">
        <f t="shared" si="57"/>
        <v>0</v>
      </c>
      <c r="BM45" s="785">
        <f t="shared" si="35"/>
        <v>0</v>
      </c>
      <c r="BN45" s="714"/>
      <c r="BO45" s="560">
        <f t="shared" si="58"/>
        <v>700</v>
      </c>
      <c r="BP45" s="452">
        <f t="shared" si="59"/>
        <v>0</v>
      </c>
      <c r="BQ45" s="453">
        <f t="shared" si="60"/>
        <v>700</v>
      </c>
      <c r="BR45" s="450">
        <f t="shared" si="61"/>
        <v>2.2439354285354939E-5</v>
      </c>
      <c r="BS45" s="498"/>
      <c r="BT45" s="928"/>
      <c r="BU45" s="688"/>
    </row>
    <row r="46" spans="1:75" ht="13.95" customHeight="1" outlineLevel="2">
      <c r="A46" s="4833"/>
      <c r="B46" s="18" t="s">
        <v>29</v>
      </c>
      <c r="C46" s="113"/>
      <c r="D46" s="119"/>
      <c r="E46" s="120">
        <f t="shared" si="40"/>
        <v>0</v>
      </c>
      <c r="F46" s="178">
        <f t="shared" si="36"/>
        <v>0</v>
      </c>
      <c r="G46" s="39">
        <v>0</v>
      </c>
      <c r="H46" s="39">
        <v>0</v>
      </c>
      <c r="I46" s="106">
        <f t="shared" si="41"/>
        <v>0</v>
      </c>
      <c r="J46" s="178">
        <f t="shared" si="37"/>
        <v>0</v>
      </c>
      <c r="K46" s="79"/>
      <c r="L46" s="39"/>
      <c r="M46" s="39"/>
      <c r="N46" s="106">
        <f t="shared" si="42"/>
        <v>0</v>
      </c>
      <c r="O46" s="178">
        <f t="shared" si="38"/>
        <v>0</v>
      </c>
      <c r="P46" s="79"/>
      <c r="Q46" s="39"/>
      <c r="R46" s="39"/>
      <c r="S46" s="106">
        <f t="shared" si="43"/>
        <v>0</v>
      </c>
      <c r="T46" s="178">
        <f t="shared" si="39"/>
        <v>0</v>
      </c>
      <c r="U46" s="259"/>
      <c r="V46" s="39"/>
      <c r="W46" s="39"/>
      <c r="X46" s="210">
        <f t="shared" si="44"/>
        <v>0</v>
      </c>
      <c r="Y46" s="450">
        <f t="shared" si="45"/>
        <v>0</v>
      </c>
      <c r="Z46" s="443"/>
      <c r="AA46" s="39"/>
      <c r="AB46" s="39"/>
      <c r="AC46" s="210">
        <f t="shared" si="46"/>
        <v>0</v>
      </c>
      <c r="AD46" s="595">
        <f t="shared" si="47"/>
        <v>0</v>
      </c>
      <c r="AE46" s="601"/>
      <c r="AF46" s="39"/>
      <c r="AG46" s="39"/>
      <c r="AH46" s="210">
        <f t="shared" si="48"/>
        <v>0</v>
      </c>
      <c r="AI46" s="541">
        <f t="shared" si="49"/>
        <v>0</v>
      </c>
      <c r="AJ46" s="601"/>
      <c r="AK46" s="39"/>
      <c r="AL46" s="39"/>
      <c r="AM46" s="210">
        <f t="shared" si="50"/>
        <v>0</v>
      </c>
      <c r="AN46" s="541">
        <f t="shared" si="51"/>
        <v>0</v>
      </c>
      <c r="AO46" s="601"/>
      <c r="AP46" s="816"/>
      <c r="AQ46" s="759"/>
      <c r="AR46" s="768">
        <f t="shared" si="52"/>
        <v>0</v>
      </c>
      <c r="AS46" s="785">
        <f t="shared" si="53"/>
        <v>0</v>
      </c>
      <c r="AT46" s="714"/>
      <c r="AU46" s="811"/>
      <c r="AV46" s="759"/>
      <c r="AW46" s="768">
        <f t="shared" si="54"/>
        <v>0</v>
      </c>
      <c r="AX46" s="785">
        <f t="shared" si="7"/>
        <v>0</v>
      </c>
      <c r="AY46" s="601"/>
      <c r="AZ46" s="811"/>
      <c r="BA46" s="759"/>
      <c r="BB46" s="768">
        <f t="shared" si="55"/>
        <v>0</v>
      </c>
      <c r="BC46" s="785">
        <f t="shared" si="8"/>
        <v>0</v>
      </c>
      <c r="BD46" s="601"/>
      <c r="BE46" s="816"/>
      <c r="BF46" s="759"/>
      <c r="BG46" s="768">
        <f t="shared" si="56"/>
        <v>0</v>
      </c>
      <c r="BH46" s="785">
        <f t="shared" si="9"/>
        <v>0</v>
      </c>
      <c r="BI46" s="714"/>
      <c r="BJ46" s="816"/>
      <c r="BK46" s="759"/>
      <c r="BL46" s="768">
        <f t="shared" si="57"/>
        <v>0</v>
      </c>
      <c r="BM46" s="785">
        <f t="shared" si="35"/>
        <v>0</v>
      </c>
      <c r="BN46" s="714"/>
      <c r="BO46" s="560">
        <f t="shared" si="58"/>
        <v>0</v>
      </c>
      <c r="BP46" s="452">
        <f t="shared" si="59"/>
        <v>0</v>
      </c>
      <c r="BQ46" s="453">
        <f t="shared" si="60"/>
        <v>0</v>
      </c>
      <c r="BR46" s="450">
        <f t="shared" si="61"/>
        <v>0</v>
      </c>
      <c r="BS46" s="498"/>
      <c r="BT46" s="928"/>
      <c r="BU46" s="688"/>
    </row>
    <row r="47" spans="1:75" ht="13.95" customHeight="1" outlineLevel="2">
      <c r="A47" s="4833"/>
      <c r="B47" s="18" t="s">
        <v>30</v>
      </c>
      <c r="C47" s="113"/>
      <c r="D47" s="119">
        <v>2000</v>
      </c>
      <c r="E47" s="120">
        <f t="shared" si="40"/>
        <v>2000</v>
      </c>
      <c r="F47" s="178">
        <f t="shared" si="36"/>
        <v>6.2895874199370703E-5</v>
      </c>
      <c r="G47" s="39">
        <v>29420.45</v>
      </c>
      <c r="H47" s="39">
        <v>41</v>
      </c>
      <c r="I47" s="106">
        <f t="shared" si="41"/>
        <v>29461.45</v>
      </c>
      <c r="J47" s="178">
        <f t="shared" si="37"/>
        <v>3.0017508899736066E-3</v>
      </c>
      <c r="K47" s="79"/>
      <c r="L47" s="39">
        <v>4590.8900000000003</v>
      </c>
      <c r="M47" s="39"/>
      <c r="N47" s="106">
        <f t="shared" si="42"/>
        <v>4590.8900000000003</v>
      </c>
      <c r="O47" s="178">
        <f t="shared" si="38"/>
        <v>5.8286167648685671E-4</v>
      </c>
      <c r="P47" s="79" t="s">
        <v>486</v>
      </c>
      <c r="Q47" s="39">
        <v>4503.5</v>
      </c>
      <c r="R47" s="39">
        <v>730</v>
      </c>
      <c r="S47" s="106">
        <f t="shared" si="43"/>
        <v>5233.5</v>
      </c>
      <c r="T47" s="178">
        <f t="shared" si="39"/>
        <v>6.6444776152205004E-4</v>
      </c>
      <c r="U47" s="415" t="s">
        <v>486</v>
      </c>
      <c r="V47" s="39">
        <v>858.5</v>
      </c>
      <c r="W47" s="39"/>
      <c r="X47" s="210">
        <f t="shared" si="44"/>
        <v>858.5</v>
      </c>
      <c r="Y47" s="450">
        <f t="shared" si="45"/>
        <v>2.7980164240153679E-4</v>
      </c>
      <c r="Z47" s="443" t="s">
        <v>486</v>
      </c>
      <c r="AA47" s="39">
        <v>1839.49</v>
      </c>
      <c r="AB47" s="39">
        <v>481</v>
      </c>
      <c r="AC47" s="210">
        <f t="shared" si="46"/>
        <v>2320.4899999999998</v>
      </c>
      <c r="AD47" s="595">
        <f t="shared" si="47"/>
        <v>7.2616152095066281E-3</v>
      </c>
      <c r="AE47" s="601"/>
      <c r="AF47" s="39">
        <v>2456</v>
      </c>
      <c r="AG47" s="39">
        <v>120</v>
      </c>
      <c r="AH47" s="210">
        <f t="shared" si="48"/>
        <v>2576</v>
      </c>
      <c r="AI47" s="541">
        <f t="shared" si="49"/>
        <v>7.4564980180650024E-4</v>
      </c>
      <c r="AJ47" s="601" t="s">
        <v>807</v>
      </c>
      <c r="AK47" s="39">
        <v>309</v>
      </c>
      <c r="AL47" s="39">
        <v>700</v>
      </c>
      <c r="AM47" s="210">
        <f t="shared" si="50"/>
        <v>1009</v>
      </c>
      <c r="AN47" s="541">
        <f t="shared" si="51"/>
        <v>4.6876081137369141E-4</v>
      </c>
      <c r="AO47" s="601" t="s">
        <v>832</v>
      </c>
      <c r="AP47" s="816">
        <v>437.5</v>
      </c>
      <c r="AQ47" s="759"/>
      <c r="AR47" s="768">
        <f t="shared" si="52"/>
        <v>437.5</v>
      </c>
      <c r="AS47" s="785">
        <f t="shared" si="53"/>
        <v>1.3091098185355081E-2</v>
      </c>
      <c r="AT47" s="714"/>
      <c r="AU47" s="811">
        <v>720</v>
      </c>
      <c r="AV47" s="759"/>
      <c r="AW47" s="768">
        <f t="shared" si="54"/>
        <v>720</v>
      </c>
      <c r="AX47" s="785">
        <f t="shared" si="7"/>
        <v>3.8627332194478688E-4</v>
      </c>
      <c r="AY47" s="601"/>
      <c r="AZ47" s="811">
        <f>1153.41-1019.75</f>
        <v>133.66000000000008</v>
      </c>
      <c r="BA47" s="759">
        <v>-820</v>
      </c>
      <c r="BB47" s="768">
        <f t="shared" si="55"/>
        <v>-686.33999999999992</v>
      </c>
      <c r="BC47" s="785">
        <f t="shared" si="8"/>
        <v>-3.6821504414386806E-4</v>
      </c>
      <c r="BD47" s="601"/>
      <c r="BE47" s="816"/>
      <c r="BF47" s="759"/>
      <c r="BG47" s="768">
        <f t="shared" si="56"/>
        <v>0</v>
      </c>
      <c r="BH47" s="785">
        <f t="shared" si="9"/>
        <v>0</v>
      </c>
      <c r="BI47" s="714"/>
      <c r="BJ47" s="816"/>
      <c r="BK47" s="759"/>
      <c r="BL47" s="768">
        <f t="shared" si="57"/>
        <v>0</v>
      </c>
      <c r="BM47" s="785">
        <f t="shared" si="35"/>
        <v>0</v>
      </c>
      <c r="BN47" s="714"/>
      <c r="BO47" s="560">
        <f t="shared" si="58"/>
        <v>45268.990000000005</v>
      </c>
      <c r="BP47" s="452">
        <f t="shared" si="59"/>
        <v>1252</v>
      </c>
      <c r="BQ47" s="453">
        <f t="shared" si="60"/>
        <v>46520.990000000005</v>
      </c>
      <c r="BR47" s="450">
        <f>BQ47/$BQ$89</f>
        <v>1.4912871090220778E-3</v>
      </c>
      <c r="BS47" s="498"/>
      <c r="BT47" s="928"/>
      <c r="BU47" s="688"/>
      <c r="BV47" s="928"/>
    </row>
    <row r="48" spans="1:75" ht="13.95" customHeight="1" outlineLevel="2">
      <c r="A48" s="4833"/>
      <c r="B48" s="18" t="s">
        <v>15</v>
      </c>
      <c r="C48" s="113">
        <v>2000</v>
      </c>
      <c r="D48" s="119"/>
      <c r="E48" s="120">
        <f t="shared" si="40"/>
        <v>2000</v>
      </c>
      <c r="F48" s="178">
        <f t="shared" si="36"/>
        <v>6.2895874199370703E-5</v>
      </c>
      <c r="G48" s="39">
        <v>1562.6399999999999</v>
      </c>
      <c r="H48" s="39">
        <v>854</v>
      </c>
      <c r="I48" s="106">
        <f t="shared" si="41"/>
        <v>2416.64</v>
      </c>
      <c r="J48" s="178">
        <f t="shared" si="37"/>
        <v>2.4622519498347217E-4</v>
      </c>
      <c r="K48" s="79"/>
      <c r="L48" s="39"/>
      <c r="M48" s="39">
        <v>516</v>
      </c>
      <c r="N48" s="106">
        <f t="shared" si="42"/>
        <v>516</v>
      </c>
      <c r="O48" s="178">
        <f t="shared" si="38"/>
        <v>6.5511616498591343E-5</v>
      </c>
      <c r="P48" s="389" t="s">
        <v>498</v>
      </c>
      <c r="Q48" s="39"/>
      <c r="R48" s="39"/>
      <c r="S48" s="106">
        <f t="shared" si="43"/>
        <v>0</v>
      </c>
      <c r="T48" s="178">
        <f t="shared" si="39"/>
        <v>0</v>
      </c>
      <c r="U48" s="403"/>
      <c r="V48" s="39"/>
      <c r="W48" s="39">
        <v>197</v>
      </c>
      <c r="X48" s="210">
        <f t="shared" si="44"/>
        <v>197</v>
      </c>
      <c r="Y48" s="450">
        <f t="shared" si="45"/>
        <v>6.4206084511476703E-5</v>
      </c>
      <c r="Z48" s="443" t="s">
        <v>674</v>
      </c>
      <c r="AA48" s="39"/>
      <c r="AB48" s="39"/>
      <c r="AC48" s="210">
        <f t="shared" si="46"/>
        <v>0</v>
      </c>
      <c r="AD48" s="595">
        <f t="shared" si="47"/>
        <v>0</v>
      </c>
      <c r="AE48" s="601"/>
      <c r="AF48" s="39"/>
      <c r="AG48" s="39"/>
      <c r="AH48" s="210">
        <f t="shared" si="48"/>
        <v>0</v>
      </c>
      <c r="AI48" s="541">
        <f t="shared" si="49"/>
        <v>0</v>
      </c>
      <c r="AJ48" s="601"/>
      <c r="AK48" s="39"/>
      <c r="AL48" s="39">
        <v>87</v>
      </c>
      <c r="AM48" s="210">
        <f t="shared" si="50"/>
        <v>87</v>
      </c>
      <c r="AN48" s="541">
        <f t="shared" si="51"/>
        <v>4.0418424766611646E-5</v>
      </c>
      <c r="AO48" s="601"/>
      <c r="AP48" s="816"/>
      <c r="AQ48" s="759"/>
      <c r="AR48" s="768">
        <f t="shared" si="52"/>
        <v>0</v>
      </c>
      <c r="AS48" s="785">
        <f t="shared" si="53"/>
        <v>0</v>
      </c>
      <c r="AT48" s="714"/>
      <c r="AU48" s="811"/>
      <c r="AV48" s="759"/>
      <c r="AW48" s="768">
        <f t="shared" si="54"/>
        <v>0</v>
      </c>
      <c r="AX48" s="785">
        <f t="shared" si="7"/>
        <v>0</v>
      </c>
      <c r="AY48" s="601"/>
      <c r="AZ48" s="811">
        <v>438.00000000000023</v>
      </c>
      <c r="BA48" s="759"/>
      <c r="BB48" s="768">
        <f t="shared" si="55"/>
        <v>438.00000000000023</v>
      </c>
      <c r="BC48" s="785">
        <f t="shared" si="8"/>
        <v>2.3498293751641214E-4</v>
      </c>
      <c r="BD48" s="601"/>
      <c r="BE48" s="816"/>
      <c r="BF48" s="759"/>
      <c r="BG48" s="768">
        <f t="shared" si="56"/>
        <v>0</v>
      </c>
      <c r="BH48" s="785">
        <f t="shared" si="9"/>
        <v>0</v>
      </c>
      <c r="BI48" s="714"/>
      <c r="BJ48" s="816"/>
      <c r="BK48" s="759"/>
      <c r="BL48" s="768">
        <f t="shared" si="57"/>
        <v>0</v>
      </c>
      <c r="BM48" s="785">
        <f t="shared" si="35"/>
        <v>0</v>
      </c>
      <c r="BN48" s="714"/>
      <c r="BO48" s="560">
        <f t="shared" si="58"/>
        <v>2000.64</v>
      </c>
      <c r="BP48" s="452">
        <f t="shared" si="59"/>
        <v>1654</v>
      </c>
      <c r="BQ48" s="453">
        <f t="shared" si="60"/>
        <v>3654.6400000000003</v>
      </c>
      <c r="BR48" s="450">
        <f t="shared" si="61"/>
        <v>1.1715394535061369E-4</v>
      </c>
      <c r="BS48" s="498"/>
      <c r="BT48" s="928"/>
      <c r="BU48" s="688"/>
      <c r="BV48" s="928"/>
    </row>
    <row r="49" spans="1:75" s="2" customFormat="1" ht="13.95" customHeight="1" outlineLevel="2" thickBot="1">
      <c r="A49" s="11"/>
      <c r="B49" s="35"/>
      <c r="C49" s="116"/>
      <c r="D49" s="121"/>
      <c r="E49" s="122"/>
      <c r="F49" s="182"/>
      <c r="G49" s="210">
        <v>0</v>
      </c>
      <c r="H49" s="210">
        <v>0</v>
      </c>
      <c r="I49" s="52"/>
      <c r="J49" s="178">
        <f t="shared" si="37"/>
        <v>0</v>
      </c>
      <c r="K49" s="52"/>
      <c r="L49" s="39"/>
      <c r="M49" s="39"/>
      <c r="N49" s="52"/>
      <c r="O49" s="178">
        <f t="shared" si="38"/>
        <v>0</v>
      </c>
      <c r="P49" s="52"/>
      <c r="Q49" s="39"/>
      <c r="R49" s="39"/>
      <c r="S49" s="52"/>
      <c r="T49" s="178">
        <f t="shared" si="39"/>
        <v>0</v>
      </c>
      <c r="U49" s="64"/>
      <c r="V49" s="39"/>
      <c r="W49" s="39"/>
      <c r="X49" s="210">
        <f t="shared" si="44"/>
        <v>0</v>
      </c>
      <c r="Y49" s="178">
        <f>X49/$N$89</f>
        <v>0</v>
      </c>
      <c r="Z49" s="64"/>
      <c r="AA49" s="39"/>
      <c r="AB49" s="39"/>
      <c r="AC49" s="210">
        <f t="shared" si="46"/>
        <v>0</v>
      </c>
      <c r="AD49" s="178">
        <f>AC49/$N$89</f>
        <v>0</v>
      </c>
      <c r="AE49" s="603"/>
      <c r="AF49" s="39"/>
      <c r="AG49" s="39"/>
      <c r="AH49" s="210">
        <f t="shared" si="48"/>
        <v>0</v>
      </c>
      <c r="AI49" s="178">
        <f>AH49/$N$89</f>
        <v>0</v>
      </c>
      <c r="AJ49" s="603"/>
      <c r="AK49" s="39"/>
      <c r="AL49" s="39"/>
      <c r="AM49" s="210">
        <f t="shared" si="50"/>
        <v>0</v>
      </c>
      <c r="AN49" s="178">
        <f>AM49/$N$89</f>
        <v>0</v>
      </c>
      <c r="AO49" s="603"/>
      <c r="AP49" s="817"/>
      <c r="AQ49" s="718"/>
      <c r="AR49" s="718"/>
      <c r="AS49" s="792"/>
      <c r="AT49" s="608"/>
      <c r="AU49" s="718"/>
      <c r="AV49" s="718"/>
      <c r="AW49" s="718"/>
      <c r="AX49" s="792">
        <f t="shared" si="7"/>
        <v>0</v>
      </c>
      <c r="AY49" s="718"/>
      <c r="AZ49" s="718"/>
      <c r="BA49" s="718"/>
      <c r="BB49" s="718"/>
      <c r="BC49" s="792">
        <f t="shared" si="8"/>
        <v>0</v>
      </c>
      <c r="BD49" s="718"/>
      <c r="BE49" s="817"/>
      <c r="BF49" s="718"/>
      <c r="BG49" s="718"/>
      <c r="BH49" s="792">
        <f t="shared" si="9"/>
        <v>0</v>
      </c>
      <c r="BI49" s="608"/>
      <c r="BJ49" s="817"/>
      <c r="BK49" s="718"/>
      <c r="BL49" s="718"/>
      <c r="BM49" s="792">
        <f t="shared" si="35"/>
        <v>0</v>
      </c>
      <c r="BN49" s="608"/>
      <c r="BO49" s="600"/>
      <c r="BP49" s="600"/>
      <c r="BQ49" s="606"/>
      <c r="BR49" s="450">
        <f t="shared" si="61"/>
        <v>0</v>
      </c>
      <c r="BS49" s="606"/>
      <c r="BT49" s="842"/>
      <c r="BU49" s="688"/>
    </row>
    <row r="50" spans="1:75" s="2" customFormat="1" ht="13.95" customHeight="1" outlineLevel="1">
      <c r="A50" s="293"/>
      <c r="B50" s="17" t="s">
        <v>59</v>
      </c>
      <c r="C50" s="123"/>
      <c r="D50" s="123"/>
      <c r="E50" s="123">
        <f>SUM(E51:E52)</f>
        <v>0</v>
      </c>
      <c r="F50" s="170">
        <f>E50/$E$89</f>
        <v>0</v>
      </c>
      <c r="G50" s="123">
        <f>G52+G51</f>
        <v>9992.7999999999993</v>
      </c>
      <c r="H50" s="123">
        <f>H52+H51</f>
        <v>0</v>
      </c>
      <c r="I50" s="123">
        <f>SUM(I51:I52)</f>
        <v>9992.7999999999993</v>
      </c>
      <c r="J50" s="60"/>
      <c r="K50" s="60"/>
      <c r="L50" s="123">
        <f>L52+L51</f>
        <v>0</v>
      </c>
      <c r="M50" s="123">
        <f>M52+M51</f>
        <v>0</v>
      </c>
      <c r="N50" s="123">
        <f>SUM(N51:N52)</f>
        <v>0</v>
      </c>
      <c r="O50" s="60"/>
      <c r="P50" s="60"/>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c r="AE50" s="409"/>
      <c r="AF50" s="123">
        <f>AF52+AF51</f>
        <v>0</v>
      </c>
      <c r="AG50" s="123">
        <f>AG52+AG51</f>
        <v>0</v>
      </c>
      <c r="AH50" s="123">
        <f>SUM(AH51:AH52)</f>
        <v>0</v>
      </c>
      <c r="AI50" s="60">
        <f>AH50/$AH$89</f>
        <v>0</v>
      </c>
      <c r="AJ50" s="409"/>
      <c r="AK50" s="123">
        <f>AK52+AK51</f>
        <v>0</v>
      </c>
      <c r="AL50" s="123">
        <f>AL52+AL51</f>
        <v>0</v>
      </c>
      <c r="AM50" s="123">
        <f>SUM(AM51:AM52)</f>
        <v>0</v>
      </c>
      <c r="AN50" s="60">
        <f>AM50/$AH$89</f>
        <v>0</v>
      </c>
      <c r="AO50" s="591"/>
      <c r="AP50" s="591">
        <f>AP52+AP51</f>
        <v>0</v>
      </c>
      <c r="AQ50" s="591">
        <f>AQ52+AQ51</f>
        <v>0</v>
      </c>
      <c r="AR50" s="591">
        <f>SUM(AR51:AR52)</f>
        <v>0</v>
      </c>
      <c r="AS50" s="665">
        <f>AR50/$AH$89</f>
        <v>0</v>
      </c>
      <c r="AT50" s="814"/>
      <c r="AU50" s="778">
        <f>AU52+AU51</f>
        <v>0</v>
      </c>
      <c r="AV50" s="591">
        <f>AV52+AV51</f>
        <v>0</v>
      </c>
      <c r="AW50" s="591">
        <f>SUM(AW51:AW52)</f>
        <v>0</v>
      </c>
      <c r="AX50" s="665">
        <f t="shared" si="7"/>
        <v>0</v>
      </c>
      <c r="AY50" s="778"/>
      <c r="AZ50" s="778">
        <f>AZ52+AZ51</f>
        <v>0</v>
      </c>
      <c r="BA50" s="591">
        <f>BA52+BA51</f>
        <v>0</v>
      </c>
      <c r="BB50" s="591">
        <f>SUM(BB51:BB52)</f>
        <v>0</v>
      </c>
      <c r="BC50" s="665">
        <f t="shared" si="8"/>
        <v>0</v>
      </c>
      <c r="BD50" s="778"/>
      <c r="BE50" s="591">
        <f>BE52+BE51</f>
        <v>0</v>
      </c>
      <c r="BF50" s="591">
        <f>BF52+BF51</f>
        <v>0</v>
      </c>
      <c r="BG50" s="591">
        <f>SUM(BG51:BG52)</f>
        <v>0</v>
      </c>
      <c r="BH50" s="665">
        <f t="shared" si="9"/>
        <v>0</v>
      </c>
      <c r="BI50" s="814"/>
      <c r="BJ50" s="591">
        <f>BJ52+BJ51</f>
        <v>0</v>
      </c>
      <c r="BK50" s="591">
        <f>BK52+BK51</f>
        <v>0</v>
      </c>
      <c r="BL50" s="591">
        <f>SUM(BL51:BL52)</f>
        <v>0</v>
      </c>
      <c r="BM50" s="665">
        <f t="shared" si="35"/>
        <v>0</v>
      </c>
      <c r="BN50" s="814"/>
      <c r="BO50" s="578">
        <f>BO52+BO51</f>
        <v>9992.7999999999993</v>
      </c>
      <c r="BP50" s="578">
        <f>BP52+BP51</f>
        <v>0</v>
      </c>
      <c r="BQ50" s="578">
        <f>SUM(BQ51:BQ52)</f>
        <v>9992.7999999999993</v>
      </c>
      <c r="BR50" s="581"/>
      <c r="BS50" s="581"/>
      <c r="BT50" s="842"/>
      <c r="BU50" s="688"/>
    </row>
    <row r="51" spans="1:75" s="226" customFormat="1" ht="13.95" customHeight="1" outlineLevel="1">
      <c r="A51" s="234"/>
      <c r="B51" s="18" t="s">
        <v>60</v>
      </c>
      <c r="C51" s="113"/>
      <c r="D51" s="119"/>
      <c r="E51" s="119">
        <f>C51+D51</f>
        <v>0</v>
      </c>
      <c r="F51" s="180">
        <f>E51/$E$89</f>
        <v>0</v>
      </c>
      <c r="G51" s="39">
        <v>0</v>
      </c>
      <c r="H51" s="39">
        <v>0</v>
      </c>
      <c r="I51" s="106">
        <f>G51+H51*1</f>
        <v>0</v>
      </c>
      <c r="J51" s="178">
        <f>I51/$I$89</f>
        <v>0</v>
      </c>
      <c r="K51" s="45"/>
      <c r="L51" s="39"/>
      <c r="M51" s="39"/>
      <c r="N51" s="106">
        <f>L51+M51*1</f>
        <v>0</v>
      </c>
      <c r="O51" s="178">
        <f>N51/$N$89</f>
        <v>0</v>
      </c>
      <c r="P51" s="45"/>
      <c r="Q51" s="39"/>
      <c r="R51" s="39"/>
      <c r="S51" s="106">
        <f>Q51+R51*1</f>
        <v>0</v>
      </c>
      <c r="T51" s="178">
        <f>S51/$N$89</f>
        <v>0</v>
      </c>
      <c r="U51" s="405"/>
      <c r="V51" s="39"/>
      <c r="W51" s="39"/>
      <c r="X51" s="210">
        <f>V51+W51*1</f>
        <v>0</v>
      </c>
      <c r="Y51" s="178">
        <f>X51/$N$89</f>
        <v>0</v>
      </c>
      <c r="Z51" s="405"/>
      <c r="AA51" s="39"/>
      <c r="AB51" s="39"/>
      <c r="AC51" s="210">
        <f>AA51+AB51*1</f>
        <v>0</v>
      </c>
      <c r="AD51" s="595">
        <f>AC51/$AC$89</f>
        <v>0</v>
      </c>
      <c r="AE51" s="405"/>
      <c r="AF51" s="39"/>
      <c r="AG51" s="39"/>
      <c r="AH51" s="210">
        <f>AF51+AG51*1</f>
        <v>0</v>
      </c>
      <c r="AI51" s="541">
        <f>AH51/$AH$89</f>
        <v>0</v>
      </c>
      <c r="AJ51" s="405"/>
      <c r="AK51" s="39"/>
      <c r="AL51" s="39"/>
      <c r="AM51" s="210">
        <f>AK51+AL51*1</f>
        <v>0</v>
      </c>
      <c r="AN51" s="541">
        <f>AM51/$AM$89</f>
        <v>0</v>
      </c>
      <c r="AO51" s="732"/>
      <c r="AP51" s="793"/>
      <c r="AQ51" s="719"/>
      <c r="AR51" s="740">
        <f>AP51+AQ51*1</f>
        <v>0</v>
      </c>
      <c r="AS51" s="793">
        <f>AR51/$AM$89</f>
        <v>0</v>
      </c>
      <c r="AT51" s="719"/>
      <c r="AU51" s="719"/>
      <c r="AV51" s="719"/>
      <c r="AW51" s="740">
        <f>AU51+AV51*1</f>
        <v>0</v>
      </c>
      <c r="AX51" s="793">
        <f t="shared" si="7"/>
        <v>0</v>
      </c>
      <c r="AY51" s="719"/>
      <c r="AZ51" s="719"/>
      <c r="BA51" s="719"/>
      <c r="BB51" s="740">
        <f>AZ51+BA51*1</f>
        <v>0</v>
      </c>
      <c r="BC51" s="793">
        <f t="shared" si="8"/>
        <v>0</v>
      </c>
      <c r="BD51" s="740"/>
      <c r="BE51" s="793"/>
      <c r="BF51" s="719"/>
      <c r="BG51" s="740">
        <f>BE51+BF51*1</f>
        <v>0</v>
      </c>
      <c r="BH51" s="785">
        <f t="shared" si="9"/>
        <v>0</v>
      </c>
      <c r="BI51" s="719"/>
      <c r="BJ51" s="793"/>
      <c r="BK51" s="719"/>
      <c r="BL51" s="740">
        <f>BJ51+BK51*1</f>
        <v>0</v>
      </c>
      <c r="BM51" s="785">
        <f t="shared" si="35"/>
        <v>0</v>
      </c>
      <c r="BN51" s="719"/>
      <c r="BO51" s="560">
        <f>G51+L51+Q51+V51+AA51+AF51+AK51+AP51+AU51+AZ51+BE51+BJ51</f>
        <v>0</v>
      </c>
      <c r="BP51" s="452">
        <f>H51+M51+R51+W51+AB51+AG51+AL51+AQ51+AV51+BA51+BF51+BK51</f>
        <v>0</v>
      </c>
      <c r="BQ51" s="446">
        <f>BO51+BP51*1</f>
        <v>0</v>
      </c>
      <c r="BR51" s="450">
        <f t="shared" si="61"/>
        <v>0</v>
      </c>
      <c r="BS51" s="693"/>
      <c r="BT51" s="916"/>
    </row>
    <row r="52" spans="1:75" s="235" customFormat="1" ht="13.95" customHeight="1" outlineLevel="2">
      <c r="A52" s="234"/>
      <c r="B52" s="18" t="s">
        <v>61</v>
      </c>
      <c r="C52" s="113"/>
      <c r="D52" s="119"/>
      <c r="E52" s="119">
        <f>C52+D52</f>
        <v>0</v>
      </c>
      <c r="F52" s="180">
        <f>E52/$E$89</f>
        <v>0</v>
      </c>
      <c r="G52" s="39">
        <v>9992.7999999999993</v>
      </c>
      <c r="H52" s="39">
        <v>0</v>
      </c>
      <c r="I52" s="106">
        <f>G52+H52*1</f>
        <v>9992.7999999999993</v>
      </c>
      <c r="J52" s="178">
        <f>I52/$I$89</f>
        <v>1.0181405291772214E-3</v>
      </c>
      <c r="K52" s="45"/>
      <c r="L52" s="39"/>
      <c r="M52" s="39"/>
      <c r="N52" s="106">
        <f>L52+M52*1</f>
        <v>0</v>
      </c>
      <c r="O52" s="178">
        <f>N52/$N$89</f>
        <v>0</v>
      </c>
      <c r="P52" s="45"/>
      <c r="Q52" s="39"/>
      <c r="R52" s="39"/>
      <c r="S52" s="106">
        <f>Q52+R52*1</f>
        <v>0</v>
      </c>
      <c r="T52" s="178">
        <f>S52/$N$89</f>
        <v>0</v>
      </c>
      <c r="U52" s="405"/>
      <c r="V52" s="39"/>
      <c r="W52" s="39"/>
      <c r="X52" s="210">
        <f>V52+W52*1</f>
        <v>0</v>
      </c>
      <c r="Y52" s="178">
        <f>X52/$N$89</f>
        <v>0</v>
      </c>
      <c r="Z52" s="405"/>
      <c r="AA52" s="39"/>
      <c r="AB52" s="39"/>
      <c r="AC52" s="210">
        <f>AA52+AB52*1</f>
        <v>0</v>
      </c>
      <c r="AD52" s="595">
        <f>AC52/$AC$89</f>
        <v>0</v>
      </c>
      <c r="AE52" s="405"/>
      <c r="AF52" s="39"/>
      <c r="AG52" s="39"/>
      <c r="AH52" s="210">
        <f>AF52+AG52*1</f>
        <v>0</v>
      </c>
      <c r="AI52" s="541">
        <f>AH52/$AH$89</f>
        <v>0</v>
      </c>
      <c r="AJ52" s="405"/>
      <c r="AK52" s="39"/>
      <c r="AL52" s="39"/>
      <c r="AM52" s="210">
        <f>AK52+AL52*1</f>
        <v>0</v>
      </c>
      <c r="AN52" s="541">
        <f>AM52/$AM$89</f>
        <v>0</v>
      </c>
      <c r="AO52" s="732"/>
      <c r="AP52" s="793"/>
      <c r="AQ52" s="719"/>
      <c r="AR52" s="740">
        <f>AP52+AQ52*1</f>
        <v>0</v>
      </c>
      <c r="AS52" s="793">
        <f>AR52/$AM$89</f>
        <v>0</v>
      </c>
      <c r="AT52" s="719"/>
      <c r="AU52" s="719"/>
      <c r="AV52" s="719"/>
      <c r="AW52" s="740">
        <f>AU52+AV52*1</f>
        <v>0</v>
      </c>
      <c r="AX52" s="793">
        <f t="shared" si="7"/>
        <v>0</v>
      </c>
      <c r="AY52" s="719"/>
      <c r="AZ52" s="719"/>
      <c r="BA52" s="719"/>
      <c r="BB52" s="740">
        <f>AZ52+BA52*1</f>
        <v>0</v>
      </c>
      <c r="BC52" s="793">
        <f t="shared" si="8"/>
        <v>0</v>
      </c>
      <c r="BD52" s="740"/>
      <c r="BE52" s="793"/>
      <c r="BF52" s="719"/>
      <c r="BG52" s="740">
        <f>BE52+BF52*1</f>
        <v>0</v>
      </c>
      <c r="BH52" s="785">
        <f t="shared" si="9"/>
        <v>0</v>
      </c>
      <c r="BI52" s="719"/>
      <c r="BJ52" s="793"/>
      <c r="BK52" s="719"/>
      <c r="BL52" s="740">
        <f>BJ52+BK52*1</f>
        <v>0</v>
      </c>
      <c r="BM52" s="785">
        <f t="shared" si="35"/>
        <v>0</v>
      </c>
      <c r="BN52" s="719"/>
      <c r="BO52" s="560">
        <f>G52+L52+Q52+V52+AA52+AF52+AK52+AP52+AU52+AZ52+BE52+BJ52</f>
        <v>9992.7999999999993</v>
      </c>
      <c r="BP52" s="452">
        <f>H52+M52+R52+W52+AB52+AG52+AL52+AQ52+AV52+BA52+BF52+BK52</f>
        <v>0</v>
      </c>
      <c r="BQ52" s="446">
        <f>BO52+BP52*1</f>
        <v>9992.7999999999993</v>
      </c>
      <c r="BR52" s="450">
        <f t="shared" si="61"/>
        <v>3.2033139928956407E-4</v>
      </c>
      <c r="BS52" s="693"/>
      <c r="BT52" s="930"/>
    </row>
    <row r="53" spans="1:75" ht="13.95" customHeight="1" outlineLevel="1" thickBot="1">
      <c r="A53" s="20"/>
      <c r="B53" s="21"/>
      <c r="C53" s="124"/>
      <c r="D53" s="125"/>
      <c r="E53" s="126"/>
      <c r="F53" s="183"/>
      <c r="G53" s="210">
        <v>0</v>
      </c>
      <c r="H53" s="210">
        <v>0</v>
      </c>
      <c r="I53" s="61"/>
      <c r="J53" s="61"/>
      <c r="K53" s="61"/>
      <c r="L53" s="39"/>
      <c r="M53" s="39"/>
      <c r="N53" s="61"/>
      <c r="O53" s="61"/>
      <c r="P53" s="61"/>
      <c r="Q53" s="39"/>
      <c r="R53" s="39"/>
      <c r="S53" s="61"/>
      <c r="T53" s="61"/>
      <c r="U53" s="61"/>
      <c r="V53" s="39"/>
      <c r="W53" s="39"/>
      <c r="X53" s="210">
        <f>V53+W53*1</f>
        <v>0</v>
      </c>
      <c r="Y53" s="61"/>
      <c r="Z53" s="61"/>
      <c r="AA53" s="39"/>
      <c r="AB53" s="39"/>
      <c r="AC53" s="210">
        <f>AA53+AB53*1</f>
        <v>0</v>
      </c>
      <c r="AD53" s="61"/>
      <c r="AE53" s="61"/>
      <c r="AF53" s="39"/>
      <c r="AG53" s="39"/>
      <c r="AH53" s="210">
        <f>AF53+AG53*1</f>
        <v>0</v>
      </c>
      <c r="AI53" s="61"/>
      <c r="AJ53" s="61"/>
      <c r="AK53" s="39"/>
      <c r="AL53" s="39"/>
      <c r="AM53" s="210">
        <f>AK53+AL53*1</f>
        <v>0</v>
      </c>
      <c r="AN53" s="61"/>
      <c r="AO53" s="735"/>
      <c r="AP53" s="794"/>
      <c r="AQ53" s="638"/>
      <c r="AR53" s="769">
        <f>AP53+AQ53*1</f>
        <v>0</v>
      </c>
      <c r="AS53" s="794"/>
      <c r="AT53" s="638"/>
      <c r="AU53" s="638"/>
      <c r="AV53" s="638"/>
      <c r="AW53" s="769">
        <f>AU53+AV53*1</f>
        <v>0</v>
      </c>
      <c r="AX53" s="794">
        <f t="shared" si="7"/>
        <v>0</v>
      </c>
      <c r="AY53" s="638"/>
      <c r="AZ53" s="638"/>
      <c r="BA53" s="638"/>
      <c r="BB53" s="769">
        <f>AZ53+BA53*1</f>
        <v>0</v>
      </c>
      <c r="BC53" s="794">
        <f t="shared" si="8"/>
        <v>0</v>
      </c>
      <c r="BD53" s="769"/>
      <c r="BE53" s="794"/>
      <c r="BF53" s="638"/>
      <c r="BG53" s="769">
        <f>BE53+BF53*1</f>
        <v>0</v>
      </c>
      <c r="BH53" s="785">
        <f t="shared" si="9"/>
        <v>0</v>
      </c>
      <c r="BI53" s="638"/>
      <c r="BJ53" s="794"/>
      <c r="BK53" s="638"/>
      <c r="BL53" s="769">
        <f>BJ53+BK53*1</f>
        <v>0</v>
      </c>
      <c r="BM53" s="785">
        <f t="shared" si="35"/>
        <v>0</v>
      </c>
      <c r="BN53" s="638"/>
      <c r="BO53" s="560"/>
      <c r="BP53" s="452"/>
      <c r="BQ53" s="668"/>
      <c r="BR53" s="668"/>
      <c r="BS53" s="668"/>
      <c r="BT53" s="928"/>
    </row>
    <row r="54" spans="1:75" ht="13.95" customHeight="1" outlineLevel="1">
      <c r="A54" s="236"/>
      <c r="B54" s="17" t="s">
        <v>1</v>
      </c>
      <c r="C54" s="123">
        <f>SUM(C55:C71)</f>
        <v>144740</v>
      </c>
      <c r="D54" s="123">
        <f>SUM(D55:D71)</f>
        <v>107661</v>
      </c>
      <c r="E54" s="127">
        <f>SUM(E55:E71)</f>
        <v>252401</v>
      </c>
      <c r="F54" s="170">
        <f>E54/$E$89</f>
        <v>7.9374907718976831E-3</v>
      </c>
      <c r="G54" s="123">
        <f>SUM(G55:G71)</f>
        <v>209127.65400000001</v>
      </c>
      <c r="H54" s="123">
        <f>SUM(H55:H71)</f>
        <v>137276.5</v>
      </c>
      <c r="I54" s="127">
        <f>SUM(I55:I71)</f>
        <v>346404.15399999998</v>
      </c>
      <c r="J54" s="169">
        <f t="shared" ref="J54:J72" si="62">I54/$I$89</f>
        <v>3.5294222706623544E-2</v>
      </c>
      <c r="K54" s="123">
        <f>SUM(K55:K72)</f>
        <v>0</v>
      </c>
      <c r="L54" s="123">
        <f>SUM(L55:L72)</f>
        <v>24004</v>
      </c>
      <c r="M54" s="123">
        <f>SUM(M55:M72)</f>
        <v>27779</v>
      </c>
      <c r="N54" s="123">
        <f>SUM(N55:N72)</f>
        <v>51783</v>
      </c>
      <c r="O54" s="169">
        <f t="shared" ref="O54:O72" si="63">N54/$N$89</f>
        <v>6.5743954208266585E-3</v>
      </c>
      <c r="P54" s="60"/>
      <c r="Q54" s="123">
        <f>SUM(Q55:Q72)</f>
        <v>15201.09</v>
      </c>
      <c r="R54" s="123">
        <f>SUM(R55:R72)</f>
        <v>13922</v>
      </c>
      <c r="S54" s="123">
        <f>SUM(S55:S72)</f>
        <v>29123.09</v>
      </c>
      <c r="T54" s="169">
        <f>S54/$S$89</f>
        <v>2.1160146073942572E-2</v>
      </c>
      <c r="U54" s="409"/>
      <c r="V54" s="123">
        <f>SUM(V55:V72)</f>
        <v>8334.67</v>
      </c>
      <c r="W54" s="123">
        <f>SUM(W55:W72)</f>
        <v>1033</v>
      </c>
      <c r="X54" s="123">
        <f>SUM(X55:X72)</f>
        <v>9367.67</v>
      </c>
      <c r="Y54" s="169">
        <f>X54/$X$89</f>
        <v>3.0531036126681473E-3</v>
      </c>
      <c r="Z54" s="409"/>
      <c r="AA54" s="123">
        <f>SUM(AA55:AA72)</f>
        <v>12795.475</v>
      </c>
      <c r="AB54" s="123">
        <f>SUM(AB55:AB72)</f>
        <v>13919</v>
      </c>
      <c r="AC54" s="123">
        <f>SUM(AC55:AC72)</f>
        <v>26714.474999999999</v>
      </c>
      <c r="AD54" s="169">
        <f>AC54/$AC$89</f>
        <v>8.3598825236904525E-2</v>
      </c>
      <c r="AE54" s="409"/>
      <c r="AF54" s="123">
        <f>SUM(AF55:AF72)</f>
        <v>6047</v>
      </c>
      <c r="AG54" s="123">
        <f>SUM(AG55:AG72)</f>
        <v>1610</v>
      </c>
      <c r="AH54" s="123">
        <f>SUM(AH55:AH72)</f>
        <v>7657</v>
      </c>
      <c r="AI54" s="169">
        <f>AH54/$AH$89</f>
        <v>2.2163977222175359E-3</v>
      </c>
      <c r="AJ54" s="409"/>
      <c r="AK54" s="123">
        <f>SUM(AK55:AK72)</f>
        <v>0</v>
      </c>
      <c r="AL54" s="123">
        <f>SUM(AL55:AL72)</f>
        <v>0</v>
      </c>
      <c r="AM54" s="123">
        <f>SUM(AM55:AM72)</f>
        <v>0</v>
      </c>
      <c r="AN54" s="169">
        <f>AM54/$AH$89</f>
        <v>0</v>
      </c>
      <c r="AO54" s="591"/>
      <c r="AP54" s="763">
        <f>SUM(AP55:AP72)</f>
        <v>200</v>
      </c>
      <c r="AQ54" s="763">
        <f>SUM(AQ55:AQ72)</f>
        <v>384.25</v>
      </c>
      <c r="AR54" s="763">
        <f>SUM(AR55:AR72)</f>
        <v>584.25</v>
      </c>
      <c r="AS54" s="791">
        <f>AR54/$AH$89</f>
        <v>1.6911719592602786E-4</v>
      </c>
      <c r="AT54" s="814"/>
      <c r="AU54" s="810">
        <f>SUM(AU55:AU72)</f>
        <v>0</v>
      </c>
      <c r="AV54" s="763">
        <f>SUM(AV55:AV72)</f>
        <v>67.5</v>
      </c>
      <c r="AW54" s="763">
        <f>SUM(AW55:AW72)</f>
        <v>67.5</v>
      </c>
      <c r="AX54" s="791">
        <f t="shared" si="7"/>
        <v>3.6213123932323768E-5</v>
      </c>
      <c r="AY54" s="778"/>
      <c r="AZ54" s="810">
        <f>SUM(AZ55:AZ72)</f>
        <v>52428.451000000001</v>
      </c>
      <c r="BA54" s="763">
        <f>SUM(BA55:BA72)</f>
        <v>-8905.26</v>
      </c>
      <c r="BB54" s="763">
        <f>SUM(BB55:BB72)</f>
        <v>43523.190999999999</v>
      </c>
      <c r="BC54" s="791">
        <f t="shared" si="8"/>
        <v>2.3349788290565901E-2</v>
      </c>
      <c r="BD54" s="778"/>
      <c r="BE54" s="763">
        <f>SUM(BE55:BE72)</f>
        <v>0</v>
      </c>
      <c r="BF54" s="763">
        <f>SUM(BF55:BF72)</f>
        <v>0</v>
      </c>
      <c r="BG54" s="763">
        <f>SUM(BG55:BG72)</f>
        <v>0</v>
      </c>
      <c r="BH54" s="791">
        <f t="shared" si="9"/>
        <v>0</v>
      </c>
      <c r="BI54" s="814"/>
      <c r="BJ54" s="763">
        <f>SUM(BJ55:BJ72)</f>
        <v>0</v>
      </c>
      <c r="BK54" s="763">
        <f>SUM(BK55:BK72)</f>
        <v>0</v>
      </c>
      <c r="BL54" s="763">
        <f>SUM(BL55:BL72)</f>
        <v>0</v>
      </c>
      <c r="BM54" s="791">
        <f t="shared" si="35"/>
        <v>0</v>
      </c>
      <c r="BN54" s="814"/>
      <c r="BO54" s="578">
        <f>SUM(BO55:BO72)</f>
        <v>328138.33999999997</v>
      </c>
      <c r="BP54" s="578">
        <f>SUM(BP55:BP72)</f>
        <v>187085.99</v>
      </c>
      <c r="BQ54" s="578">
        <f>SUM(BQ55:BQ72)</f>
        <v>515224.32999999996</v>
      </c>
      <c r="BR54" s="664">
        <f t="shared" si="61"/>
        <v>1.6516144681863753E-2</v>
      </c>
      <c r="BS54" s="581"/>
      <c r="BT54" s="928"/>
    </row>
    <row r="55" spans="1:75" ht="13.95" customHeight="1" outlineLevel="2">
      <c r="A55" s="237"/>
      <c r="B55" s="19" t="s">
        <v>77</v>
      </c>
      <c r="C55" s="113"/>
      <c r="D55" s="128"/>
      <c r="E55" s="120">
        <f t="shared" ref="E55:E71" si="64">C55+D55</f>
        <v>0</v>
      </c>
      <c r="F55" s="178">
        <f>E55/$E$89</f>
        <v>0</v>
      </c>
      <c r="G55" s="39">
        <v>13602.82</v>
      </c>
      <c r="H55" s="39">
        <v>7397</v>
      </c>
      <c r="I55" s="106">
        <f t="shared" ref="I55:I71" si="65">G55+H55*1</f>
        <v>20999.82</v>
      </c>
      <c r="J55" s="178">
        <f t="shared" si="62"/>
        <v>2.1396173092052681E-3</v>
      </c>
      <c r="K55" s="79"/>
      <c r="L55" s="210"/>
      <c r="M55" s="210"/>
      <c r="N55" s="106">
        <f t="shared" ref="N55:N71" si="66">L55+M55*1</f>
        <v>0</v>
      </c>
      <c r="O55" s="178">
        <f t="shared" si="63"/>
        <v>0</v>
      </c>
      <c r="P55" s="79"/>
      <c r="Q55" s="210"/>
      <c r="R55" s="210"/>
      <c r="S55" s="106">
        <f t="shared" ref="S55:S71" si="67">Q55+R55*1</f>
        <v>0</v>
      </c>
      <c r="T55" s="178">
        <f t="shared" ref="T55:T72" si="68">S55/$S$89</f>
        <v>0</v>
      </c>
      <c r="U55" s="259"/>
      <c r="V55" s="210"/>
      <c r="W55" s="210"/>
      <c r="X55" s="210">
        <f t="shared" ref="X55:X72" si="69">V55+W55*1</f>
        <v>0</v>
      </c>
      <c r="Y55" s="450">
        <f t="shared" ref="Y55:Y71" si="70">X55/$X$89</f>
        <v>0</v>
      </c>
      <c r="Z55" s="259"/>
      <c r="AA55" s="210"/>
      <c r="AB55" s="210"/>
      <c r="AC55" s="210">
        <f t="shared" ref="AC55:AC72" si="71">AA55+AB55*1</f>
        <v>0</v>
      </c>
      <c r="AD55" s="595">
        <f t="shared" ref="AD55:AD71" si="72">AC55/$AC$89</f>
        <v>0</v>
      </c>
      <c r="AE55" s="259"/>
      <c r="AF55" s="210"/>
      <c r="AG55" s="210"/>
      <c r="AH55" s="210">
        <f t="shared" ref="AH55:AH72" si="73">AF55+AG55*1</f>
        <v>0</v>
      </c>
      <c r="AI55" s="541">
        <f t="shared" ref="AI55:AI71" si="74">AH55/$AH$89</f>
        <v>0</v>
      </c>
      <c r="AJ55" s="259"/>
      <c r="AK55" s="210"/>
      <c r="AL55" s="210"/>
      <c r="AM55" s="210">
        <f t="shared" ref="AM55:AM72" si="75">AK55+AL55*1</f>
        <v>0</v>
      </c>
      <c r="AN55" s="541">
        <f t="shared" ref="AN55:AN71" si="76">AM55/$AM$89</f>
        <v>0</v>
      </c>
      <c r="AO55" s="731"/>
      <c r="AP55" s="786"/>
      <c r="AQ55" s="465"/>
      <c r="AR55" s="770">
        <f t="shared" ref="AR55:AR71" si="77">AP55+AQ55*1</f>
        <v>0</v>
      </c>
      <c r="AS55" s="786">
        <f t="shared" ref="AS55:AS71" si="78">AR55/$AR$89</f>
        <v>0</v>
      </c>
      <c r="AT55" s="465"/>
      <c r="AU55" s="465"/>
      <c r="AV55" s="465"/>
      <c r="AW55" s="770">
        <f t="shared" ref="AW55:AW71" si="79">AU55+AV55*1</f>
        <v>0</v>
      </c>
      <c r="AX55" s="786">
        <f t="shared" si="7"/>
        <v>0</v>
      </c>
      <c r="AY55" s="465"/>
      <c r="AZ55" s="465"/>
      <c r="BA55" s="465"/>
      <c r="BB55" s="770">
        <f t="shared" ref="BB55:BB71" si="80">AZ55+BA55*1</f>
        <v>0</v>
      </c>
      <c r="BC55" s="786">
        <f t="shared" si="8"/>
        <v>0</v>
      </c>
      <c r="BD55" s="770"/>
      <c r="BE55" s="786"/>
      <c r="BF55" s="465"/>
      <c r="BG55" s="770">
        <f t="shared" ref="BG55:BG71" si="81">BE55+BF55*1</f>
        <v>0</v>
      </c>
      <c r="BH55" s="795">
        <f t="shared" si="9"/>
        <v>0</v>
      </c>
      <c r="BI55" s="465"/>
      <c r="BJ55" s="786"/>
      <c r="BK55" s="465"/>
      <c r="BL55" s="770">
        <f t="shared" ref="BL55:BL71" si="82">BJ55+BK55*1</f>
        <v>0</v>
      </c>
      <c r="BM55" s="795">
        <f t="shared" si="35"/>
        <v>0</v>
      </c>
      <c r="BN55" s="465"/>
      <c r="BO55" s="560">
        <f t="shared" ref="BO55:BO71" si="83">G55+L55+Q55+V55+AA55+AF55+AK55+AP55+AU55+AZ55+BE55+BJ55</f>
        <v>13602.82</v>
      </c>
      <c r="BP55" s="452">
        <f t="shared" ref="BP55:BP71" si="84">H55+M55+R55+W55+AB55+AG55+AL55+AQ55+AV55+BA55+BF55+BK55</f>
        <v>7397</v>
      </c>
      <c r="BQ55" s="453">
        <f t="shared" ref="BQ55:BQ70" si="85">BO55+BP55*1</f>
        <v>20999.82</v>
      </c>
      <c r="BR55" s="450">
        <f t="shared" si="61"/>
        <v>6.7317485844097479E-4</v>
      </c>
      <c r="BS55" s="498"/>
      <c r="BT55" s="928"/>
      <c r="BU55" s="688"/>
    </row>
    <row r="56" spans="1:75" ht="13.95" customHeight="1" outlineLevel="2">
      <c r="A56" s="237"/>
      <c r="B56" s="19" t="s">
        <v>76</v>
      </c>
      <c r="C56" s="113"/>
      <c r="D56" s="128"/>
      <c r="E56" s="120">
        <f t="shared" si="64"/>
        <v>0</v>
      </c>
      <c r="F56" s="178">
        <f t="shared" ref="F56:F72" si="86">E56/$E$89</f>
        <v>0</v>
      </c>
      <c r="G56" s="39">
        <v>2395.09</v>
      </c>
      <c r="H56" s="39">
        <v>0</v>
      </c>
      <c r="I56" s="106">
        <f t="shared" si="65"/>
        <v>2395.09</v>
      </c>
      <c r="J56" s="178">
        <f t="shared" si="62"/>
        <v>2.4402952125801295E-4</v>
      </c>
      <c r="K56" s="79"/>
      <c r="L56" s="210"/>
      <c r="M56" s="210"/>
      <c r="N56" s="106">
        <f t="shared" si="66"/>
        <v>0</v>
      </c>
      <c r="O56" s="178">
        <f t="shared" si="63"/>
        <v>0</v>
      </c>
      <c r="P56" s="79"/>
      <c r="Q56" s="210"/>
      <c r="R56" s="210"/>
      <c r="S56" s="106">
        <f t="shared" si="67"/>
        <v>0</v>
      </c>
      <c r="T56" s="178">
        <f t="shared" si="68"/>
        <v>0</v>
      </c>
      <c r="U56" s="259"/>
      <c r="V56" s="210"/>
      <c r="W56" s="210"/>
      <c r="X56" s="210">
        <f t="shared" si="69"/>
        <v>0</v>
      </c>
      <c r="Y56" s="450">
        <f t="shared" si="70"/>
        <v>0</v>
      </c>
      <c r="Z56" s="259"/>
      <c r="AA56" s="210"/>
      <c r="AB56" s="210"/>
      <c r="AC56" s="210">
        <f t="shared" si="71"/>
        <v>0</v>
      </c>
      <c r="AD56" s="595">
        <f t="shared" si="72"/>
        <v>0</v>
      </c>
      <c r="AE56" s="259"/>
      <c r="AF56" s="210"/>
      <c r="AG56" s="210"/>
      <c r="AH56" s="210">
        <f t="shared" si="73"/>
        <v>0</v>
      </c>
      <c r="AI56" s="541">
        <f t="shared" si="74"/>
        <v>0</v>
      </c>
      <c r="AJ56" s="259"/>
      <c r="AK56" s="210"/>
      <c r="AL56" s="210"/>
      <c r="AM56" s="210">
        <f t="shared" si="75"/>
        <v>0</v>
      </c>
      <c r="AN56" s="541">
        <f t="shared" si="76"/>
        <v>0</v>
      </c>
      <c r="AO56" s="731"/>
      <c r="AP56" s="786"/>
      <c r="AQ56" s="465"/>
      <c r="AR56" s="770">
        <f t="shared" si="77"/>
        <v>0</v>
      </c>
      <c r="AS56" s="786">
        <f t="shared" si="78"/>
        <v>0</v>
      </c>
      <c r="AT56" s="465"/>
      <c r="AU56" s="465"/>
      <c r="AV56" s="465"/>
      <c r="AW56" s="770">
        <f t="shared" si="79"/>
        <v>0</v>
      </c>
      <c r="AX56" s="786">
        <f t="shared" si="7"/>
        <v>0</v>
      </c>
      <c r="AY56" s="465"/>
      <c r="AZ56" s="465"/>
      <c r="BA56" s="465"/>
      <c r="BB56" s="770">
        <f t="shared" si="80"/>
        <v>0</v>
      </c>
      <c r="BC56" s="786">
        <f t="shared" si="8"/>
        <v>0</v>
      </c>
      <c r="BD56" s="770"/>
      <c r="BE56" s="786"/>
      <c r="BF56" s="465"/>
      <c r="BG56" s="770">
        <f t="shared" si="81"/>
        <v>0</v>
      </c>
      <c r="BH56" s="795">
        <f t="shared" si="9"/>
        <v>0</v>
      </c>
      <c r="BI56" s="465"/>
      <c r="BJ56" s="786"/>
      <c r="BK56" s="465"/>
      <c r="BL56" s="770">
        <f t="shared" si="82"/>
        <v>0</v>
      </c>
      <c r="BM56" s="795">
        <f t="shared" si="35"/>
        <v>0</v>
      </c>
      <c r="BN56" s="465"/>
      <c r="BO56" s="560">
        <f t="shared" si="83"/>
        <v>2395.09</v>
      </c>
      <c r="BP56" s="452">
        <f t="shared" si="84"/>
        <v>0</v>
      </c>
      <c r="BQ56" s="453">
        <f t="shared" si="85"/>
        <v>2395.09</v>
      </c>
      <c r="BR56" s="450">
        <f t="shared" si="61"/>
        <v>7.6777532936158244E-5</v>
      </c>
      <c r="BS56" s="498"/>
      <c r="BT56" s="928"/>
      <c r="BU56" s="688"/>
    </row>
    <row r="57" spans="1:75" ht="13.95" customHeight="1" outlineLevel="2">
      <c r="A57" s="237"/>
      <c r="B57" s="19" t="s">
        <v>68</v>
      </c>
      <c r="C57" s="113"/>
      <c r="D57" s="128"/>
      <c r="E57" s="120">
        <f t="shared" si="64"/>
        <v>0</v>
      </c>
      <c r="F57" s="178">
        <f t="shared" si="86"/>
        <v>0</v>
      </c>
      <c r="G57" s="39">
        <v>3717.54</v>
      </c>
      <c r="H57" s="39">
        <v>0</v>
      </c>
      <c r="I57" s="106">
        <f t="shared" si="65"/>
        <v>3717.54</v>
      </c>
      <c r="J57" s="178">
        <f t="shared" si="62"/>
        <v>3.7877052906467538E-4</v>
      </c>
      <c r="K57" s="79"/>
      <c r="L57" s="210"/>
      <c r="M57" s="210"/>
      <c r="N57" s="106">
        <f t="shared" si="66"/>
        <v>0</v>
      </c>
      <c r="O57" s="178">
        <f t="shared" si="63"/>
        <v>0</v>
      </c>
      <c r="P57" s="79"/>
      <c r="Q57" s="210"/>
      <c r="R57" s="210"/>
      <c r="S57" s="106">
        <f t="shared" si="67"/>
        <v>0</v>
      </c>
      <c r="T57" s="178">
        <f t="shared" si="68"/>
        <v>0</v>
      </c>
      <c r="U57" s="259"/>
      <c r="V57" s="210"/>
      <c r="W57" s="210"/>
      <c r="X57" s="210">
        <f t="shared" si="69"/>
        <v>0</v>
      </c>
      <c r="Y57" s="450">
        <f t="shared" si="70"/>
        <v>0</v>
      </c>
      <c r="Z57" s="259"/>
      <c r="AA57" s="210"/>
      <c r="AB57" s="210"/>
      <c r="AC57" s="210">
        <f t="shared" si="71"/>
        <v>0</v>
      </c>
      <c r="AD57" s="595">
        <f t="shared" si="72"/>
        <v>0</v>
      </c>
      <c r="AE57" s="259"/>
      <c r="AF57" s="210"/>
      <c r="AG57" s="210"/>
      <c r="AH57" s="210">
        <f t="shared" si="73"/>
        <v>0</v>
      </c>
      <c r="AI57" s="541">
        <f t="shared" si="74"/>
        <v>0</v>
      </c>
      <c r="AJ57" s="259"/>
      <c r="AK57" s="210"/>
      <c r="AL57" s="210"/>
      <c r="AM57" s="210">
        <f t="shared" si="75"/>
        <v>0</v>
      </c>
      <c r="AN57" s="541">
        <f t="shared" si="76"/>
        <v>0</v>
      </c>
      <c r="AO57" s="731"/>
      <c r="AP57" s="786"/>
      <c r="AQ57" s="465"/>
      <c r="AR57" s="770">
        <f t="shared" si="77"/>
        <v>0</v>
      </c>
      <c r="AS57" s="786">
        <f t="shared" si="78"/>
        <v>0</v>
      </c>
      <c r="AT57" s="465"/>
      <c r="AU57" s="465"/>
      <c r="AV57" s="465"/>
      <c r="AW57" s="770">
        <f t="shared" si="79"/>
        <v>0</v>
      </c>
      <c r="AX57" s="786">
        <f t="shared" si="7"/>
        <v>0</v>
      </c>
      <c r="AY57" s="465"/>
      <c r="AZ57" s="465"/>
      <c r="BA57" s="465"/>
      <c r="BB57" s="770">
        <f t="shared" si="80"/>
        <v>0</v>
      </c>
      <c r="BC57" s="786">
        <f t="shared" si="8"/>
        <v>0</v>
      </c>
      <c r="BD57" s="770"/>
      <c r="BE57" s="786"/>
      <c r="BF57" s="465"/>
      <c r="BG57" s="770">
        <f t="shared" si="81"/>
        <v>0</v>
      </c>
      <c r="BH57" s="795">
        <f t="shared" si="9"/>
        <v>0</v>
      </c>
      <c r="BI57" s="465"/>
      <c r="BJ57" s="786"/>
      <c r="BK57" s="465"/>
      <c r="BL57" s="770">
        <f t="shared" si="82"/>
        <v>0</v>
      </c>
      <c r="BM57" s="795">
        <f t="shared" si="35"/>
        <v>0</v>
      </c>
      <c r="BN57" s="465"/>
      <c r="BO57" s="560">
        <f t="shared" si="83"/>
        <v>3717.54</v>
      </c>
      <c r="BP57" s="452">
        <f t="shared" si="84"/>
        <v>0</v>
      </c>
      <c r="BQ57" s="453">
        <f t="shared" si="85"/>
        <v>3717.54</v>
      </c>
      <c r="BR57" s="450">
        <f t="shared" si="61"/>
        <v>1.1917028161425486E-4</v>
      </c>
      <c r="BS57" s="498"/>
      <c r="BT57" s="928"/>
      <c r="BU57" s="688"/>
    </row>
    <row r="58" spans="1:75" ht="13.95" customHeight="1" outlineLevel="2">
      <c r="A58" s="237"/>
      <c r="B58" s="19" t="s">
        <v>67</v>
      </c>
      <c r="C58" s="113">
        <v>41860</v>
      </c>
      <c r="D58" s="128">
        <v>103661</v>
      </c>
      <c r="E58" s="120">
        <f t="shared" si="64"/>
        <v>145521</v>
      </c>
      <c r="F58" s="178">
        <f t="shared" si="86"/>
        <v>4.5763352546833126E-3</v>
      </c>
      <c r="G58" s="39">
        <v>52325</v>
      </c>
      <c r="H58" s="39">
        <v>118478.5</v>
      </c>
      <c r="I58" s="106">
        <f t="shared" si="65"/>
        <v>170803.5</v>
      </c>
      <c r="J58" s="178">
        <f t="shared" si="62"/>
        <v>1.7402726550648624E-2</v>
      </c>
      <c r="K58" s="79"/>
      <c r="L58" s="210">
        <v>10626</v>
      </c>
      <c r="M58" s="210">
        <v>24339</v>
      </c>
      <c r="N58" s="106">
        <f t="shared" si="66"/>
        <v>34965</v>
      </c>
      <c r="O58" s="178">
        <f t="shared" si="63"/>
        <v>4.4391737807621054E-3</v>
      </c>
      <c r="P58" s="79" t="s">
        <v>471</v>
      </c>
      <c r="Q58" s="210">
        <f>10626/2</f>
        <v>5313</v>
      </c>
      <c r="R58" s="210">
        <f>24374/2</f>
        <v>12187</v>
      </c>
      <c r="S58" s="106">
        <f t="shared" si="67"/>
        <v>17500</v>
      </c>
      <c r="T58" s="178">
        <f t="shared" si="68"/>
        <v>1.2715084707494809E-2</v>
      </c>
      <c r="U58" s="415" t="s">
        <v>615</v>
      </c>
      <c r="V58" s="210"/>
      <c r="W58" s="210"/>
      <c r="X58" s="210">
        <f t="shared" si="69"/>
        <v>0</v>
      </c>
      <c r="Y58" s="450">
        <f t="shared" si="70"/>
        <v>0</v>
      </c>
      <c r="Z58" s="415"/>
      <c r="AA58" s="210">
        <v>5313</v>
      </c>
      <c r="AB58" s="210">
        <v>12187</v>
      </c>
      <c r="AC58" s="210">
        <f t="shared" si="71"/>
        <v>17500</v>
      </c>
      <c r="AD58" s="595">
        <f t="shared" si="72"/>
        <v>5.4763548287803866E-2</v>
      </c>
      <c r="AE58" s="443" t="s">
        <v>717</v>
      </c>
      <c r="AF58" s="210"/>
      <c r="AG58" s="210"/>
      <c r="AH58" s="210">
        <f t="shared" si="73"/>
        <v>0</v>
      </c>
      <c r="AI58" s="541">
        <f t="shared" si="74"/>
        <v>0</v>
      </c>
      <c r="AJ58" s="443"/>
      <c r="AK58" s="210"/>
      <c r="AL58" s="210"/>
      <c r="AM58" s="210">
        <f t="shared" si="75"/>
        <v>0</v>
      </c>
      <c r="AN58" s="541">
        <f t="shared" si="76"/>
        <v>0</v>
      </c>
      <c r="AO58" s="601"/>
      <c r="AP58" s="785"/>
      <c r="AQ58" s="714"/>
      <c r="AR58" s="601">
        <f t="shared" si="77"/>
        <v>0</v>
      </c>
      <c r="AS58" s="785">
        <f t="shared" si="78"/>
        <v>0</v>
      </c>
      <c r="AT58" s="714"/>
      <c r="AU58" s="714"/>
      <c r="AV58" s="714"/>
      <c r="AW58" s="601">
        <f t="shared" si="79"/>
        <v>0</v>
      </c>
      <c r="AX58" s="785">
        <f t="shared" si="7"/>
        <v>0</v>
      </c>
      <c r="AY58" s="714"/>
      <c r="AZ58" s="714">
        <v>-10465</v>
      </c>
      <c r="BA58" s="714">
        <v>-22520</v>
      </c>
      <c r="BB58" s="601">
        <f t="shared" si="80"/>
        <v>-32985</v>
      </c>
      <c r="BC58" s="785">
        <f t="shared" si="8"/>
        <v>-1.7696146561595547E-2</v>
      </c>
      <c r="BD58" s="601"/>
      <c r="BE58" s="785"/>
      <c r="BF58" s="714"/>
      <c r="BG58" s="601">
        <f t="shared" si="81"/>
        <v>0</v>
      </c>
      <c r="BH58" s="795">
        <f t="shared" si="9"/>
        <v>0</v>
      </c>
      <c r="BI58" s="714"/>
      <c r="BJ58" s="785"/>
      <c r="BK58" s="714"/>
      <c r="BL58" s="601">
        <f t="shared" si="82"/>
        <v>0</v>
      </c>
      <c r="BM58" s="795">
        <f t="shared" si="35"/>
        <v>0</v>
      </c>
      <c r="BN58" s="714"/>
      <c r="BO58" s="560">
        <f t="shared" si="83"/>
        <v>63112</v>
      </c>
      <c r="BP58" s="452">
        <f t="shared" si="84"/>
        <v>144671.5</v>
      </c>
      <c r="BQ58" s="453">
        <f t="shared" si="85"/>
        <v>207783.5</v>
      </c>
      <c r="BR58" s="450">
        <f t="shared" si="61"/>
        <v>6.6607536730729257E-3</v>
      </c>
      <c r="BS58" s="498"/>
      <c r="BT58" s="928"/>
      <c r="BU58" s="688"/>
      <c r="BV58" s="928"/>
    </row>
    <row r="59" spans="1:75" ht="13.95" customHeight="1" outlineLevel="2">
      <c r="A59" s="237"/>
      <c r="B59" s="19" t="s">
        <v>66</v>
      </c>
      <c r="C59" s="113">
        <v>10140</v>
      </c>
      <c r="D59" s="128"/>
      <c r="E59" s="120">
        <f t="shared" si="64"/>
        <v>10140</v>
      </c>
      <c r="F59" s="178">
        <f t="shared" si="86"/>
        <v>3.1888208219080948E-4</v>
      </c>
      <c r="G59" s="39">
        <v>12675</v>
      </c>
      <c r="H59" s="39">
        <v>0</v>
      </c>
      <c r="I59" s="106">
        <f t="shared" si="65"/>
        <v>12675</v>
      </c>
      <c r="J59" s="178">
        <f t="shared" si="62"/>
        <v>1.2914229452527103E-3</v>
      </c>
      <c r="K59" s="79"/>
      <c r="L59" s="210">
        <v>2574</v>
      </c>
      <c r="M59" s="210"/>
      <c r="N59" s="106">
        <f t="shared" si="66"/>
        <v>2574</v>
      </c>
      <c r="O59" s="178">
        <f t="shared" si="63"/>
        <v>3.26796319510415E-4</v>
      </c>
      <c r="P59" s="79"/>
      <c r="Q59" s="210">
        <v>2574</v>
      </c>
      <c r="R59" s="210"/>
      <c r="S59" s="106">
        <f t="shared" si="67"/>
        <v>2574</v>
      </c>
      <c r="T59" s="178">
        <f t="shared" si="68"/>
        <v>1.8702073164052365E-3</v>
      </c>
      <c r="U59" s="259"/>
      <c r="V59" s="210"/>
      <c r="W59" s="210"/>
      <c r="X59" s="210">
        <f t="shared" si="69"/>
        <v>0</v>
      </c>
      <c r="Y59" s="450">
        <f t="shared" si="70"/>
        <v>0</v>
      </c>
      <c r="Z59" s="259"/>
      <c r="AA59" s="210">
        <v>1287</v>
      </c>
      <c r="AB59" s="210"/>
      <c r="AC59" s="210">
        <f t="shared" si="71"/>
        <v>1287</v>
      </c>
      <c r="AD59" s="595">
        <f t="shared" si="72"/>
        <v>4.0274678083659192E-3</v>
      </c>
      <c r="AE59" s="259"/>
      <c r="AF59" s="210"/>
      <c r="AG59" s="210"/>
      <c r="AH59" s="210">
        <f t="shared" si="73"/>
        <v>0</v>
      </c>
      <c r="AI59" s="541">
        <f t="shared" si="74"/>
        <v>0</v>
      </c>
      <c r="AJ59" s="259"/>
      <c r="AK59" s="210"/>
      <c r="AL59" s="210"/>
      <c r="AM59" s="210">
        <f t="shared" si="75"/>
        <v>0</v>
      </c>
      <c r="AN59" s="541">
        <f t="shared" si="76"/>
        <v>0</v>
      </c>
      <c r="AO59" s="731"/>
      <c r="AP59" s="786"/>
      <c r="AQ59" s="465"/>
      <c r="AR59" s="770">
        <f t="shared" si="77"/>
        <v>0</v>
      </c>
      <c r="AS59" s="786">
        <f t="shared" si="78"/>
        <v>0</v>
      </c>
      <c r="AT59" s="465"/>
      <c r="AU59" s="465"/>
      <c r="AV59" s="465"/>
      <c r="AW59" s="770">
        <f t="shared" si="79"/>
        <v>0</v>
      </c>
      <c r="AX59" s="786">
        <f t="shared" si="7"/>
        <v>0</v>
      </c>
      <c r="AY59" s="465"/>
      <c r="AZ59" s="714">
        <v>-3822</v>
      </c>
      <c r="BA59" s="465"/>
      <c r="BB59" s="601">
        <f t="shared" si="80"/>
        <v>-3822</v>
      </c>
      <c r="BC59" s="785">
        <f t="shared" si="8"/>
        <v>-2.0504675506569101E-3</v>
      </c>
      <c r="BD59" s="770"/>
      <c r="BE59" s="785"/>
      <c r="BF59" s="465"/>
      <c r="BG59" s="601">
        <f t="shared" si="81"/>
        <v>0</v>
      </c>
      <c r="BH59" s="795">
        <f t="shared" si="9"/>
        <v>0</v>
      </c>
      <c r="BI59" s="465"/>
      <c r="BJ59" s="785"/>
      <c r="BK59" s="465"/>
      <c r="BL59" s="601">
        <f t="shared" si="82"/>
        <v>0</v>
      </c>
      <c r="BM59" s="795">
        <f t="shared" si="35"/>
        <v>0</v>
      </c>
      <c r="BN59" s="465"/>
      <c r="BO59" s="560">
        <f t="shared" si="83"/>
        <v>15288</v>
      </c>
      <c r="BP59" s="452">
        <f t="shared" si="84"/>
        <v>0</v>
      </c>
      <c r="BQ59" s="453">
        <f t="shared" si="85"/>
        <v>15288</v>
      </c>
      <c r="BR59" s="450">
        <f t="shared" si="61"/>
        <v>4.9007549759215192E-4</v>
      </c>
      <c r="BS59" s="498"/>
      <c r="BT59" s="928"/>
      <c r="BU59" s="688">
        <v>0</v>
      </c>
      <c r="BV59" s="928"/>
    </row>
    <row r="60" spans="1:75" ht="13.95" customHeight="1" outlineLevel="2">
      <c r="A60" s="237"/>
      <c r="B60" s="19" t="s">
        <v>65</v>
      </c>
      <c r="C60" s="113">
        <v>11440</v>
      </c>
      <c r="D60" s="128"/>
      <c r="E60" s="120">
        <f t="shared" si="64"/>
        <v>11440</v>
      </c>
      <c r="F60" s="178">
        <f t="shared" si="86"/>
        <v>3.5976440042040044E-4</v>
      </c>
      <c r="G60" s="39">
        <v>14300</v>
      </c>
      <c r="H60" s="39">
        <v>0</v>
      </c>
      <c r="I60" s="106">
        <f t="shared" si="65"/>
        <v>14300</v>
      </c>
      <c r="J60" s="178">
        <f t="shared" si="62"/>
        <v>1.4569899895158782E-3</v>
      </c>
      <c r="K60" s="79"/>
      <c r="L60" s="210">
        <v>2904</v>
      </c>
      <c r="M60" s="210"/>
      <c r="N60" s="106">
        <f t="shared" si="66"/>
        <v>2904</v>
      </c>
      <c r="O60" s="178">
        <f t="shared" si="63"/>
        <v>3.6869328355021175E-4</v>
      </c>
      <c r="P60" s="79"/>
      <c r="Q60" s="210">
        <v>2904</v>
      </c>
      <c r="R60" s="210"/>
      <c r="S60" s="106">
        <f t="shared" si="67"/>
        <v>2904</v>
      </c>
      <c r="T60" s="178">
        <f t="shared" si="68"/>
        <v>2.1099774851751386E-3</v>
      </c>
      <c r="U60" s="259"/>
      <c r="V60" s="210"/>
      <c r="W60" s="210"/>
      <c r="X60" s="210">
        <f t="shared" si="69"/>
        <v>0</v>
      </c>
      <c r="Y60" s="450">
        <f t="shared" si="70"/>
        <v>0</v>
      </c>
      <c r="Z60" s="259"/>
      <c r="AA60" s="210">
        <v>1452</v>
      </c>
      <c r="AB60" s="210"/>
      <c r="AC60" s="210">
        <f t="shared" si="71"/>
        <v>1452</v>
      </c>
      <c r="AD60" s="595">
        <f t="shared" si="72"/>
        <v>4.543809835079498E-3</v>
      </c>
      <c r="AE60" s="259"/>
      <c r="AF60" s="210"/>
      <c r="AG60" s="210"/>
      <c r="AH60" s="210">
        <f t="shared" si="73"/>
        <v>0</v>
      </c>
      <c r="AI60" s="541">
        <f t="shared" si="74"/>
        <v>0</v>
      </c>
      <c r="AJ60" s="259"/>
      <c r="AK60" s="210"/>
      <c r="AL60" s="210"/>
      <c r="AM60" s="210">
        <f t="shared" si="75"/>
        <v>0</v>
      </c>
      <c r="AN60" s="541">
        <f t="shared" si="76"/>
        <v>0</v>
      </c>
      <c r="AO60" s="731"/>
      <c r="AP60" s="786"/>
      <c r="AQ60" s="465"/>
      <c r="AR60" s="770">
        <f t="shared" si="77"/>
        <v>0</v>
      </c>
      <c r="AS60" s="786">
        <f t="shared" si="78"/>
        <v>0</v>
      </c>
      <c r="AT60" s="465"/>
      <c r="AU60" s="465"/>
      <c r="AV60" s="465"/>
      <c r="AW60" s="770">
        <f t="shared" si="79"/>
        <v>0</v>
      </c>
      <c r="AX60" s="786">
        <f t="shared" si="7"/>
        <v>0</v>
      </c>
      <c r="AY60" s="465"/>
      <c r="AZ60" s="714">
        <v>-4312</v>
      </c>
      <c r="BA60" s="465"/>
      <c r="BB60" s="601">
        <f t="shared" si="80"/>
        <v>-4312</v>
      </c>
      <c r="BC60" s="785">
        <f t="shared" si="8"/>
        <v>-2.3133480058693348E-3</v>
      </c>
      <c r="BD60" s="770"/>
      <c r="BE60" s="785"/>
      <c r="BF60" s="465"/>
      <c r="BG60" s="601">
        <f t="shared" si="81"/>
        <v>0</v>
      </c>
      <c r="BH60" s="795">
        <f t="shared" si="9"/>
        <v>0</v>
      </c>
      <c r="BI60" s="465"/>
      <c r="BJ60" s="785"/>
      <c r="BK60" s="465"/>
      <c r="BL60" s="601">
        <f t="shared" si="82"/>
        <v>0</v>
      </c>
      <c r="BM60" s="795">
        <f t="shared" si="35"/>
        <v>0</v>
      </c>
      <c r="BN60" s="465"/>
      <c r="BO60" s="560">
        <f t="shared" si="83"/>
        <v>17248</v>
      </c>
      <c r="BP60" s="452">
        <f t="shared" si="84"/>
        <v>0</v>
      </c>
      <c r="BQ60" s="453">
        <f t="shared" si="85"/>
        <v>17248</v>
      </c>
      <c r="BR60" s="450">
        <f t="shared" si="61"/>
        <v>5.5290568959114571E-4</v>
      </c>
      <c r="BS60" s="498"/>
      <c r="BT60" s="928"/>
      <c r="BU60" s="688">
        <v>0</v>
      </c>
      <c r="BV60" s="928"/>
    </row>
    <row r="61" spans="1:75" ht="13.95" customHeight="1" outlineLevel="2">
      <c r="A61" s="237"/>
      <c r="B61" s="19" t="s">
        <v>32</v>
      </c>
      <c r="C61" s="113"/>
      <c r="D61" s="128"/>
      <c r="E61" s="120">
        <f t="shared" si="64"/>
        <v>0</v>
      </c>
      <c r="F61" s="178">
        <f t="shared" si="86"/>
        <v>0</v>
      </c>
      <c r="G61" s="39">
        <v>0</v>
      </c>
      <c r="H61" s="39">
        <v>0</v>
      </c>
      <c r="I61" s="106">
        <f t="shared" si="65"/>
        <v>0</v>
      </c>
      <c r="J61" s="178">
        <f t="shared" si="62"/>
        <v>0</v>
      </c>
      <c r="K61" s="79"/>
      <c r="L61" s="210"/>
      <c r="M61" s="210"/>
      <c r="N61" s="106">
        <f t="shared" si="66"/>
        <v>0</v>
      </c>
      <c r="O61" s="178">
        <f t="shared" si="63"/>
        <v>0</v>
      </c>
      <c r="P61" s="79"/>
      <c r="Q61" s="210"/>
      <c r="R61" s="210"/>
      <c r="S61" s="106">
        <f t="shared" si="67"/>
        <v>0</v>
      </c>
      <c r="T61" s="178">
        <f t="shared" si="68"/>
        <v>0</v>
      </c>
      <c r="U61" s="259"/>
      <c r="V61" s="210"/>
      <c r="W61" s="210"/>
      <c r="X61" s="210">
        <f t="shared" si="69"/>
        <v>0</v>
      </c>
      <c r="Y61" s="450">
        <f t="shared" si="70"/>
        <v>0</v>
      </c>
      <c r="Z61" s="259"/>
      <c r="AA61" s="210"/>
      <c r="AB61" s="210"/>
      <c r="AC61" s="210">
        <f t="shared" si="71"/>
        <v>0</v>
      </c>
      <c r="AD61" s="595">
        <f t="shared" si="72"/>
        <v>0</v>
      </c>
      <c r="AE61" s="259"/>
      <c r="AF61" s="210"/>
      <c r="AG61" s="210"/>
      <c r="AH61" s="210">
        <f t="shared" si="73"/>
        <v>0</v>
      </c>
      <c r="AI61" s="541">
        <f t="shared" si="74"/>
        <v>0</v>
      </c>
      <c r="AJ61" s="259"/>
      <c r="AK61" s="210"/>
      <c r="AL61" s="210"/>
      <c r="AM61" s="210">
        <f t="shared" si="75"/>
        <v>0</v>
      </c>
      <c r="AN61" s="541">
        <f t="shared" si="76"/>
        <v>0</v>
      </c>
      <c r="AO61" s="731"/>
      <c r="AP61" s="786"/>
      <c r="AQ61" s="465"/>
      <c r="AR61" s="770">
        <f t="shared" si="77"/>
        <v>0</v>
      </c>
      <c r="AS61" s="786">
        <f t="shared" si="78"/>
        <v>0</v>
      </c>
      <c r="AT61" s="465"/>
      <c r="AU61" s="465"/>
      <c r="AV61" s="465"/>
      <c r="AW61" s="770">
        <f t="shared" si="79"/>
        <v>0</v>
      </c>
      <c r="AX61" s="786">
        <f t="shared" si="7"/>
        <v>0</v>
      </c>
      <c r="AY61" s="465"/>
      <c r="AZ61" s="465"/>
      <c r="BA61" s="465"/>
      <c r="BB61" s="770">
        <f t="shared" si="80"/>
        <v>0</v>
      </c>
      <c r="BC61" s="786">
        <f t="shared" si="8"/>
        <v>0</v>
      </c>
      <c r="BD61" s="770"/>
      <c r="BE61" s="786"/>
      <c r="BF61" s="465"/>
      <c r="BG61" s="770">
        <f t="shared" si="81"/>
        <v>0</v>
      </c>
      <c r="BH61" s="795">
        <f t="shared" si="9"/>
        <v>0</v>
      </c>
      <c r="BI61" s="465"/>
      <c r="BJ61" s="786"/>
      <c r="BK61" s="465"/>
      <c r="BL61" s="770">
        <f t="shared" si="82"/>
        <v>0</v>
      </c>
      <c r="BM61" s="795">
        <f t="shared" si="35"/>
        <v>0</v>
      </c>
      <c r="BN61" s="465"/>
      <c r="BO61" s="560">
        <f t="shared" si="83"/>
        <v>0</v>
      </c>
      <c r="BP61" s="452">
        <f t="shared" si="84"/>
        <v>0</v>
      </c>
      <c r="BQ61" s="453">
        <f t="shared" si="85"/>
        <v>0</v>
      </c>
      <c r="BR61" s="450">
        <f t="shared" si="61"/>
        <v>0</v>
      </c>
      <c r="BS61" s="498"/>
      <c r="BT61" s="928">
        <v>0</v>
      </c>
      <c r="BU61" s="688">
        <v>0</v>
      </c>
    </row>
    <row r="62" spans="1:75" ht="13.95" customHeight="1" outlineLevel="2">
      <c r="A62" s="237"/>
      <c r="B62" s="19" t="s">
        <v>33</v>
      </c>
      <c r="C62" s="113"/>
      <c r="D62" s="128"/>
      <c r="E62" s="120">
        <f t="shared" si="64"/>
        <v>0</v>
      </c>
      <c r="F62" s="178">
        <f t="shared" si="86"/>
        <v>0</v>
      </c>
      <c r="G62" s="39">
        <v>0</v>
      </c>
      <c r="H62" s="39">
        <v>0</v>
      </c>
      <c r="I62" s="106">
        <f t="shared" si="65"/>
        <v>0</v>
      </c>
      <c r="J62" s="178">
        <f t="shared" si="62"/>
        <v>0</v>
      </c>
      <c r="K62" s="79"/>
      <c r="L62" s="210"/>
      <c r="M62" s="210"/>
      <c r="N62" s="106">
        <f t="shared" si="66"/>
        <v>0</v>
      </c>
      <c r="O62" s="178">
        <f t="shared" si="63"/>
        <v>0</v>
      </c>
      <c r="P62" s="79"/>
      <c r="Q62" s="210"/>
      <c r="R62" s="210"/>
      <c r="S62" s="106">
        <f t="shared" si="67"/>
        <v>0</v>
      </c>
      <c r="T62" s="178">
        <f t="shared" si="68"/>
        <v>0</v>
      </c>
      <c r="U62" s="259"/>
      <c r="V62" s="210"/>
      <c r="W62" s="210"/>
      <c r="X62" s="210">
        <f t="shared" si="69"/>
        <v>0</v>
      </c>
      <c r="Y62" s="450">
        <f t="shared" si="70"/>
        <v>0</v>
      </c>
      <c r="Z62" s="259"/>
      <c r="AA62" s="210"/>
      <c r="AB62" s="210"/>
      <c r="AC62" s="210">
        <f t="shared" si="71"/>
        <v>0</v>
      </c>
      <c r="AD62" s="595">
        <f t="shared" si="72"/>
        <v>0</v>
      </c>
      <c r="AE62" s="259"/>
      <c r="AF62" s="210"/>
      <c r="AG62" s="210"/>
      <c r="AH62" s="210">
        <f t="shared" si="73"/>
        <v>0</v>
      </c>
      <c r="AI62" s="541">
        <f t="shared" si="74"/>
        <v>0</v>
      </c>
      <c r="AJ62" s="259"/>
      <c r="AK62" s="210"/>
      <c r="AL62" s="210"/>
      <c r="AM62" s="210">
        <f t="shared" si="75"/>
        <v>0</v>
      </c>
      <c r="AN62" s="541">
        <f t="shared" si="76"/>
        <v>0</v>
      </c>
      <c r="AO62" s="731"/>
      <c r="AP62" s="786"/>
      <c r="AQ62" s="465"/>
      <c r="AR62" s="770">
        <f t="shared" si="77"/>
        <v>0</v>
      </c>
      <c r="AS62" s="786">
        <f t="shared" si="78"/>
        <v>0</v>
      </c>
      <c r="AT62" s="465"/>
      <c r="AU62" s="465"/>
      <c r="AV62" s="465"/>
      <c r="AW62" s="770">
        <f t="shared" si="79"/>
        <v>0</v>
      </c>
      <c r="AX62" s="786">
        <f t="shared" si="7"/>
        <v>0</v>
      </c>
      <c r="AY62" s="465"/>
      <c r="AZ62" s="465"/>
      <c r="BA62" s="465"/>
      <c r="BB62" s="770">
        <f t="shared" si="80"/>
        <v>0</v>
      </c>
      <c r="BC62" s="786">
        <f t="shared" si="8"/>
        <v>0</v>
      </c>
      <c r="BD62" s="770"/>
      <c r="BE62" s="786"/>
      <c r="BF62" s="465"/>
      <c r="BG62" s="770">
        <f t="shared" si="81"/>
        <v>0</v>
      </c>
      <c r="BH62" s="795">
        <f t="shared" si="9"/>
        <v>0</v>
      </c>
      <c r="BI62" s="465"/>
      <c r="BJ62" s="786"/>
      <c r="BK62" s="465"/>
      <c r="BL62" s="770">
        <f t="shared" si="82"/>
        <v>0</v>
      </c>
      <c r="BM62" s="795">
        <f t="shared" si="35"/>
        <v>0</v>
      </c>
      <c r="BN62" s="465"/>
      <c r="BO62" s="560">
        <f t="shared" si="83"/>
        <v>0</v>
      </c>
      <c r="BP62" s="452">
        <f t="shared" si="84"/>
        <v>0</v>
      </c>
      <c r="BQ62" s="453">
        <f t="shared" si="85"/>
        <v>0</v>
      </c>
      <c r="BR62" s="450">
        <f t="shared" si="61"/>
        <v>0</v>
      </c>
      <c r="BS62" s="498"/>
      <c r="BT62" s="928">
        <v>0</v>
      </c>
      <c r="BU62" s="688">
        <v>0</v>
      </c>
    </row>
    <row r="63" spans="1:75" ht="13.95" customHeight="1" outlineLevel="2">
      <c r="A63" s="237"/>
      <c r="B63" s="19" t="s">
        <v>35</v>
      </c>
      <c r="C63" s="129">
        <v>60000</v>
      </c>
      <c r="D63" s="128"/>
      <c r="E63" s="120">
        <f t="shared" si="64"/>
        <v>60000</v>
      </c>
      <c r="F63" s="178">
        <f t="shared" si="86"/>
        <v>1.8868762259811212E-3</v>
      </c>
      <c r="G63" s="39">
        <v>25881.18</v>
      </c>
      <c r="H63" s="39">
        <v>1163</v>
      </c>
      <c r="I63" s="106">
        <f t="shared" si="65"/>
        <v>27044.18</v>
      </c>
      <c r="J63" s="178">
        <f t="shared" si="62"/>
        <v>2.7554615059206659E-3</v>
      </c>
      <c r="K63" s="79"/>
      <c r="L63" s="210"/>
      <c r="M63" s="210"/>
      <c r="N63" s="106">
        <f t="shared" si="66"/>
        <v>0</v>
      </c>
      <c r="O63" s="178">
        <f t="shared" si="63"/>
        <v>0</v>
      </c>
      <c r="P63" s="79"/>
      <c r="Q63" s="210">
        <f>922.09+3488</f>
        <v>4410.09</v>
      </c>
      <c r="R63" s="210"/>
      <c r="S63" s="106">
        <f t="shared" si="67"/>
        <v>4410.09</v>
      </c>
      <c r="T63" s="178">
        <f t="shared" si="68"/>
        <v>3.204266738152902E-3</v>
      </c>
      <c r="U63" s="443" t="s">
        <v>611</v>
      </c>
      <c r="V63" s="210">
        <v>4664.67</v>
      </c>
      <c r="W63" s="210"/>
      <c r="X63" s="210">
        <f t="shared" si="69"/>
        <v>4664.67</v>
      </c>
      <c r="Y63" s="450">
        <f t="shared" si="70"/>
        <v>1.52030556466066E-3</v>
      </c>
      <c r="Z63" s="443" t="s">
        <v>633</v>
      </c>
      <c r="AA63" s="210">
        <f>9486.95/2</f>
        <v>4743.4750000000004</v>
      </c>
      <c r="AB63" s="210"/>
      <c r="AC63" s="210">
        <f t="shared" si="71"/>
        <v>4743.4750000000004</v>
      </c>
      <c r="AD63" s="595">
        <f t="shared" si="72"/>
        <v>1.4843972697970885E-2</v>
      </c>
      <c r="AE63" s="443" t="s">
        <v>727</v>
      </c>
      <c r="AF63" s="210">
        <v>4739</v>
      </c>
      <c r="AG63" s="210"/>
      <c r="AH63" s="210">
        <f t="shared" si="73"/>
        <v>4739</v>
      </c>
      <c r="AI63" s="541">
        <f t="shared" si="74"/>
        <v>1.3717524886494583E-3</v>
      </c>
      <c r="AJ63" s="443" t="s">
        <v>781</v>
      </c>
      <c r="AK63" s="210"/>
      <c r="AL63" s="210"/>
      <c r="AM63" s="210">
        <f t="shared" si="75"/>
        <v>0</v>
      </c>
      <c r="AN63" s="541">
        <f t="shared" si="76"/>
        <v>0</v>
      </c>
      <c r="AO63" s="601"/>
      <c r="AP63" s="785"/>
      <c r="AQ63" s="714"/>
      <c r="AR63" s="601">
        <f t="shared" si="77"/>
        <v>0</v>
      </c>
      <c r="AS63" s="785">
        <f t="shared" si="78"/>
        <v>0</v>
      </c>
      <c r="AT63" s="714"/>
      <c r="AU63" s="714"/>
      <c r="AV63" s="714"/>
      <c r="AW63" s="601">
        <f t="shared" si="79"/>
        <v>0</v>
      </c>
      <c r="AX63" s="785">
        <f t="shared" si="7"/>
        <v>0</v>
      </c>
      <c r="AY63" s="714"/>
      <c r="AZ63" s="714">
        <v>53193.135000000002</v>
      </c>
      <c r="BA63" s="714">
        <v>13614.74</v>
      </c>
      <c r="BB63" s="601">
        <f t="shared" si="80"/>
        <v>66807.875</v>
      </c>
      <c r="BC63" s="785">
        <f t="shared" si="8"/>
        <v>3.5841805289336219E-2</v>
      </c>
      <c r="BD63" s="601"/>
      <c r="BE63" s="785"/>
      <c r="BF63" s="714"/>
      <c r="BG63" s="601">
        <f t="shared" si="81"/>
        <v>0</v>
      </c>
      <c r="BH63" s="795">
        <f t="shared" si="9"/>
        <v>0</v>
      </c>
      <c r="BI63" s="714"/>
      <c r="BJ63" s="785"/>
      <c r="BK63" s="714"/>
      <c r="BL63" s="601">
        <f t="shared" si="82"/>
        <v>0</v>
      </c>
      <c r="BM63" s="795">
        <f t="shared" si="35"/>
        <v>0</v>
      </c>
      <c r="BN63" s="714"/>
      <c r="BO63" s="560">
        <f t="shared" si="83"/>
        <v>97631.55</v>
      </c>
      <c r="BP63" s="452">
        <f t="shared" si="84"/>
        <v>14777.74</v>
      </c>
      <c r="BQ63" s="453">
        <f t="shared" si="85"/>
        <v>112409.29000000001</v>
      </c>
      <c r="BR63" s="450">
        <f t="shared" si="61"/>
        <v>3.6034169761074378E-3</v>
      </c>
      <c r="BS63" s="498"/>
      <c r="BT63" s="928"/>
      <c r="BU63" s="688"/>
      <c r="BW63" s="928"/>
    </row>
    <row r="64" spans="1:75" ht="13.95" customHeight="1" outlineLevel="2">
      <c r="A64" s="237"/>
      <c r="B64" s="19" t="s">
        <v>63</v>
      </c>
      <c r="C64" s="129"/>
      <c r="D64" s="128"/>
      <c r="E64" s="120">
        <f t="shared" si="64"/>
        <v>0</v>
      </c>
      <c r="F64" s="178">
        <f t="shared" si="86"/>
        <v>0</v>
      </c>
      <c r="G64" s="39">
        <v>0</v>
      </c>
      <c r="H64" s="39">
        <v>0</v>
      </c>
      <c r="I64" s="106">
        <f t="shared" si="65"/>
        <v>0</v>
      </c>
      <c r="J64" s="178">
        <f t="shared" si="62"/>
        <v>0</v>
      </c>
      <c r="K64" s="79"/>
      <c r="L64" s="210"/>
      <c r="M64" s="210"/>
      <c r="N64" s="106">
        <f t="shared" si="66"/>
        <v>0</v>
      </c>
      <c r="O64" s="178">
        <f t="shared" si="63"/>
        <v>0</v>
      </c>
      <c r="P64" s="79"/>
      <c r="Q64" s="210"/>
      <c r="R64" s="210"/>
      <c r="S64" s="106">
        <f t="shared" si="67"/>
        <v>0</v>
      </c>
      <c r="T64" s="178">
        <f t="shared" si="68"/>
        <v>0</v>
      </c>
      <c r="U64" s="259"/>
      <c r="V64" s="210"/>
      <c r="W64" s="210"/>
      <c r="X64" s="210">
        <f t="shared" si="69"/>
        <v>0</v>
      </c>
      <c r="Y64" s="450">
        <f t="shared" si="70"/>
        <v>0</v>
      </c>
      <c r="Z64" s="259"/>
      <c r="AA64" s="210"/>
      <c r="AB64" s="210"/>
      <c r="AC64" s="210">
        <f t="shared" si="71"/>
        <v>0</v>
      </c>
      <c r="AD64" s="595">
        <f t="shared" si="72"/>
        <v>0</v>
      </c>
      <c r="AE64" s="259"/>
      <c r="AF64" s="210"/>
      <c r="AG64" s="210"/>
      <c r="AH64" s="210">
        <f t="shared" si="73"/>
        <v>0</v>
      </c>
      <c r="AI64" s="541">
        <f t="shared" si="74"/>
        <v>0</v>
      </c>
      <c r="AJ64" s="259"/>
      <c r="AK64" s="210"/>
      <c r="AL64" s="210"/>
      <c r="AM64" s="210">
        <f t="shared" si="75"/>
        <v>0</v>
      </c>
      <c r="AN64" s="541">
        <f t="shared" si="76"/>
        <v>0</v>
      </c>
      <c r="AO64" s="731"/>
      <c r="AP64" s="786"/>
      <c r="AQ64" s="465"/>
      <c r="AR64" s="770">
        <f t="shared" si="77"/>
        <v>0</v>
      </c>
      <c r="AS64" s="786">
        <f t="shared" si="78"/>
        <v>0</v>
      </c>
      <c r="AT64" s="465"/>
      <c r="AU64" s="465"/>
      <c r="AV64" s="465"/>
      <c r="AW64" s="770">
        <f t="shared" si="79"/>
        <v>0</v>
      </c>
      <c r="AX64" s="786">
        <f t="shared" si="7"/>
        <v>0</v>
      </c>
      <c r="AY64" s="465"/>
      <c r="AZ64" s="465"/>
      <c r="BA64" s="465"/>
      <c r="BB64" s="770">
        <f t="shared" si="80"/>
        <v>0</v>
      </c>
      <c r="BC64" s="786">
        <f t="shared" si="8"/>
        <v>0</v>
      </c>
      <c r="BD64" s="770"/>
      <c r="BE64" s="786"/>
      <c r="BF64" s="465"/>
      <c r="BG64" s="770">
        <f t="shared" si="81"/>
        <v>0</v>
      </c>
      <c r="BH64" s="795">
        <f t="shared" si="9"/>
        <v>0</v>
      </c>
      <c r="BI64" s="465"/>
      <c r="BJ64" s="786"/>
      <c r="BK64" s="465"/>
      <c r="BL64" s="770">
        <f t="shared" si="82"/>
        <v>0</v>
      </c>
      <c r="BM64" s="795">
        <f t="shared" si="35"/>
        <v>0</v>
      </c>
      <c r="BN64" s="465"/>
      <c r="BO64" s="560">
        <f t="shared" si="83"/>
        <v>0</v>
      </c>
      <c r="BP64" s="452">
        <f t="shared" si="84"/>
        <v>0</v>
      </c>
      <c r="BQ64" s="453">
        <f t="shared" si="85"/>
        <v>0</v>
      </c>
      <c r="BR64" s="450">
        <f t="shared" si="61"/>
        <v>0</v>
      </c>
      <c r="BS64" s="498"/>
      <c r="BT64" s="928">
        <v>0</v>
      </c>
      <c r="BU64" s="688">
        <v>0</v>
      </c>
    </row>
    <row r="65" spans="1:74" ht="13.95" customHeight="1" outlineLevel="2">
      <c r="A65" s="237"/>
      <c r="B65" s="19" t="s">
        <v>36</v>
      </c>
      <c r="C65" s="129"/>
      <c r="D65" s="128"/>
      <c r="E65" s="120">
        <f t="shared" si="64"/>
        <v>0</v>
      </c>
      <c r="F65" s="178">
        <f t="shared" si="86"/>
        <v>0</v>
      </c>
      <c r="G65" s="39">
        <v>17811.023999999998</v>
      </c>
      <c r="H65" s="39">
        <v>764</v>
      </c>
      <c r="I65" s="106">
        <f t="shared" si="65"/>
        <v>18575.023999999998</v>
      </c>
      <c r="J65" s="178">
        <f t="shared" si="62"/>
        <v>1.8925611204907121E-3</v>
      </c>
      <c r="K65" s="79"/>
      <c r="L65" s="39"/>
      <c r="M65" s="39"/>
      <c r="N65" s="106">
        <f t="shared" si="66"/>
        <v>0</v>
      </c>
      <c r="O65" s="178">
        <f>N65/$N$89</f>
        <v>0</v>
      </c>
      <c r="P65" s="79"/>
      <c r="Q65" s="39"/>
      <c r="R65" s="39"/>
      <c r="S65" s="106">
        <f t="shared" si="67"/>
        <v>0</v>
      </c>
      <c r="T65" s="178">
        <f t="shared" si="68"/>
        <v>0</v>
      </c>
      <c r="U65" s="79"/>
      <c r="V65" s="39">
        <f>2620+200</f>
        <v>2820</v>
      </c>
      <c r="W65" s="39"/>
      <c r="X65" s="210">
        <f t="shared" si="69"/>
        <v>2820</v>
      </c>
      <c r="Y65" s="450">
        <f t="shared" si="70"/>
        <v>9.1909217422519952E-4</v>
      </c>
      <c r="Z65" s="443" t="s">
        <v>672</v>
      </c>
      <c r="AA65" s="39"/>
      <c r="AB65" s="39"/>
      <c r="AC65" s="210">
        <f t="shared" si="71"/>
        <v>0</v>
      </c>
      <c r="AD65" s="595">
        <f t="shared" si="72"/>
        <v>0</v>
      </c>
      <c r="AE65" s="443"/>
      <c r="AF65" s="39">
        <v>1308</v>
      </c>
      <c r="AG65" s="39">
        <v>200</v>
      </c>
      <c r="AH65" s="210">
        <f t="shared" si="73"/>
        <v>1508</v>
      </c>
      <c r="AI65" s="541">
        <f t="shared" si="74"/>
        <v>4.3650617279666242E-4</v>
      </c>
      <c r="AJ65" s="443" t="s">
        <v>798</v>
      </c>
      <c r="AK65" s="39"/>
      <c r="AL65" s="39"/>
      <c r="AM65" s="210">
        <f t="shared" si="75"/>
        <v>0</v>
      </c>
      <c r="AN65" s="541">
        <f t="shared" si="76"/>
        <v>0</v>
      </c>
      <c r="AO65" s="601"/>
      <c r="AP65" s="785">
        <v>200</v>
      </c>
      <c r="AQ65" s="714">
        <v>350</v>
      </c>
      <c r="AR65" s="601">
        <f t="shared" si="77"/>
        <v>550</v>
      </c>
      <c r="AS65" s="785">
        <f t="shared" si="78"/>
        <v>1.6457380575874959E-2</v>
      </c>
      <c r="AT65" s="714" t="s">
        <v>881</v>
      </c>
      <c r="AU65" s="714"/>
      <c r="AV65" s="714"/>
      <c r="AW65" s="601">
        <f t="shared" si="79"/>
        <v>0</v>
      </c>
      <c r="AX65" s="785">
        <f t="shared" si="7"/>
        <v>0</v>
      </c>
      <c r="AY65" s="714"/>
      <c r="AZ65" s="714">
        <v>25034.315999999999</v>
      </c>
      <c r="BA65" s="714"/>
      <c r="BB65" s="601">
        <f t="shared" si="80"/>
        <v>25034.315999999999</v>
      </c>
      <c r="BC65" s="785">
        <f t="shared" si="8"/>
        <v>1.3430678338799344E-2</v>
      </c>
      <c r="BD65" s="601"/>
      <c r="BE65" s="785"/>
      <c r="BF65" s="714"/>
      <c r="BG65" s="601">
        <f t="shared" si="81"/>
        <v>0</v>
      </c>
      <c r="BH65" s="795">
        <f t="shared" si="9"/>
        <v>0</v>
      </c>
      <c r="BI65" s="714"/>
      <c r="BJ65" s="785"/>
      <c r="BK65" s="714"/>
      <c r="BL65" s="601">
        <f t="shared" si="82"/>
        <v>0</v>
      </c>
      <c r="BM65" s="795">
        <f t="shared" si="35"/>
        <v>0</v>
      </c>
      <c r="BN65" s="714"/>
      <c r="BO65" s="560">
        <f t="shared" si="83"/>
        <v>47173.34</v>
      </c>
      <c r="BP65" s="452">
        <f t="shared" si="84"/>
        <v>1314</v>
      </c>
      <c r="BQ65" s="453">
        <f t="shared" si="85"/>
        <v>48487.34</v>
      </c>
      <c r="BR65" s="450">
        <f t="shared" si="61"/>
        <v>1.5543208580206598E-3</v>
      </c>
      <c r="BS65" s="498"/>
      <c r="BT65" s="928"/>
      <c r="BU65" s="688"/>
      <c r="BV65" s="928"/>
    </row>
    <row r="66" spans="1:74" s="2" customFormat="1" ht="13.95" customHeight="1" outlineLevel="2">
      <c r="A66" s="237"/>
      <c r="B66" s="19" t="s">
        <v>37</v>
      </c>
      <c r="C66" s="113"/>
      <c r="D66" s="128"/>
      <c r="E66" s="120">
        <f t="shared" si="64"/>
        <v>0</v>
      </c>
      <c r="F66" s="178">
        <f t="shared" si="86"/>
        <v>0</v>
      </c>
      <c r="G66" s="39">
        <v>0</v>
      </c>
      <c r="H66" s="39">
        <v>800</v>
      </c>
      <c r="I66" s="106">
        <f t="shared" si="65"/>
        <v>800</v>
      </c>
      <c r="J66" s="178">
        <f t="shared" si="62"/>
        <v>8.1509929483405779E-5</v>
      </c>
      <c r="K66" s="79"/>
      <c r="L66" s="39"/>
      <c r="M66" s="39"/>
      <c r="N66" s="106">
        <f t="shared" si="66"/>
        <v>0</v>
      </c>
      <c r="O66" s="178">
        <f t="shared" si="63"/>
        <v>0</v>
      </c>
      <c r="P66" s="79"/>
      <c r="Q66" s="39"/>
      <c r="R66" s="39"/>
      <c r="S66" s="106">
        <f t="shared" si="67"/>
        <v>0</v>
      </c>
      <c r="T66" s="178">
        <f t="shared" si="68"/>
        <v>0</v>
      </c>
      <c r="U66" s="79"/>
      <c r="V66" s="39"/>
      <c r="W66" s="39"/>
      <c r="X66" s="210">
        <f t="shared" si="69"/>
        <v>0</v>
      </c>
      <c r="Y66" s="450">
        <f t="shared" si="70"/>
        <v>0</v>
      </c>
      <c r="Z66" s="443"/>
      <c r="AA66" s="39"/>
      <c r="AB66" s="39"/>
      <c r="AC66" s="210">
        <f t="shared" si="71"/>
        <v>0</v>
      </c>
      <c r="AD66" s="595">
        <f t="shared" si="72"/>
        <v>0</v>
      </c>
      <c r="AE66" s="443"/>
      <c r="AF66" s="39"/>
      <c r="AG66" s="39"/>
      <c r="AH66" s="210">
        <f t="shared" si="73"/>
        <v>0</v>
      </c>
      <c r="AI66" s="541">
        <f t="shared" si="74"/>
        <v>0</v>
      </c>
      <c r="AJ66" s="443"/>
      <c r="AK66" s="39"/>
      <c r="AL66" s="39"/>
      <c r="AM66" s="210">
        <f t="shared" si="75"/>
        <v>0</v>
      </c>
      <c r="AN66" s="541">
        <f t="shared" si="76"/>
        <v>0</v>
      </c>
      <c r="AO66" s="601"/>
      <c r="AP66" s="785"/>
      <c r="AQ66" s="714"/>
      <c r="AR66" s="601">
        <f t="shared" si="77"/>
        <v>0</v>
      </c>
      <c r="AS66" s="785">
        <f t="shared" si="78"/>
        <v>0</v>
      </c>
      <c r="AT66" s="714"/>
      <c r="AU66" s="714"/>
      <c r="AV66" s="714"/>
      <c r="AW66" s="601">
        <f t="shared" si="79"/>
        <v>0</v>
      </c>
      <c r="AX66" s="785">
        <f t="shared" si="7"/>
        <v>0</v>
      </c>
      <c r="AY66" s="714"/>
      <c r="AZ66" s="714"/>
      <c r="BA66" s="714"/>
      <c r="BB66" s="601">
        <f t="shared" si="80"/>
        <v>0</v>
      </c>
      <c r="BC66" s="785">
        <f t="shared" si="8"/>
        <v>0</v>
      </c>
      <c r="BD66" s="601"/>
      <c r="BE66" s="785"/>
      <c r="BF66" s="714"/>
      <c r="BG66" s="601">
        <f t="shared" si="81"/>
        <v>0</v>
      </c>
      <c r="BH66" s="785">
        <f t="shared" si="9"/>
        <v>0</v>
      </c>
      <c r="BI66" s="714"/>
      <c r="BJ66" s="785"/>
      <c r="BK66" s="714"/>
      <c r="BL66" s="601">
        <f t="shared" si="82"/>
        <v>0</v>
      </c>
      <c r="BM66" s="785">
        <f t="shared" si="35"/>
        <v>0</v>
      </c>
      <c r="BN66" s="714"/>
      <c r="BO66" s="560">
        <f t="shared" si="83"/>
        <v>0</v>
      </c>
      <c r="BP66" s="452">
        <f t="shared" si="84"/>
        <v>800</v>
      </c>
      <c r="BQ66" s="453">
        <f t="shared" si="85"/>
        <v>800</v>
      </c>
      <c r="BR66" s="450">
        <f t="shared" si="61"/>
        <v>2.5644976326119933E-5</v>
      </c>
      <c r="BS66" s="498"/>
      <c r="BT66" s="842">
        <v>0</v>
      </c>
      <c r="BU66" s="688"/>
    </row>
    <row r="67" spans="1:74" s="2" customFormat="1" ht="13.95" customHeight="1" outlineLevel="2">
      <c r="A67" s="237"/>
      <c r="B67" s="19" t="s">
        <v>3</v>
      </c>
      <c r="C67" s="113"/>
      <c r="D67" s="128"/>
      <c r="E67" s="120">
        <f t="shared" si="64"/>
        <v>0</v>
      </c>
      <c r="F67" s="178">
        <f t="shared" si="86"/>
        <v>0</v>
      </c>
      <c r="G67" s="39">
        <v>0</v>
      </c>
      <c r="H67" s="39">
        <v>0</v>
      </c>
      <c r="I67" s="106">
        <f t="shared" si="65"/>
        <v>0</v>
      </c>
      <c r="J67" s="178">
        <f t="shared" si="62"/>
        <v>0</v>
      </c>
      <c r="K67" s="79"/>
      <c r="L67" s="39"/>
      <c r="M67" s="39"/>
      <c r="N67" s="106">
        <f t="shared" si="66"/>
        <v>0</v>
      </c>
      <c r="O67" s="178">
        <f t="shared" si="63"/>
        <v>0</v>
      </c>
      <c r="P67" s="79"/>
      <c r="Q67" s="39"/>
      <c r="R67" s="39"/>
      <c r="S67" s="106">
        <f t="shared" si="67"/>
        <v>0</v>
      </c>
      <c r="T67" s="178">
        <f t="shared" si="68"/>
        <v>0</v>
      </c>
      <c r="U67" s="79"/>
      <c r="V67" s="39"/>
      <c r="W67" s="39"/>
      <c r="X67" s="210">
        <f t="shared" si="69"/>
        <v>0</v>
      </c>
      <c r="Y67" s="450">
        <f t="shared" si="70"/>
        <v>0</v>
      </c>
      <c r="Z67" s="443"/>
      <c r="AA67" s="39"/>
      <c r="AB67" s="39"/>
      <c r="AC67" s="210">
        <f t="shared" si="71"/>
        <v>0</v>
      </c>
      <c r="AD67" s="595">
        <f t="shared" si="72"/>
        <v>0</v>
      </c>
      <c r="AE67" s="443"/>
      <c r="AF67" s="39"/>
      <c r="AG67" s="39"/>
      <c r="AH67" s="210">
        <f t="shared" si="73"/>
        <v>0</v>
      </c>
      <c r="AI67" s="541">
        <f t="shared" si="74"/>
        <v>0</v>
      </c>
      <c r="AJ67" s="443"/>
      <c r="AK67" s="39"/>
      <c r="AL67" s="39"/>
      <c r="AM67" s="210">
        <f t="shared" si="75"/>
        <v>0</v>
      </c>
      <c r="AN67" s="541">
        <f t="shared" si="76"/>
        <v>0</v>
      </c>
      <c r="AO67" s="601"/>
      <c r="AP67" s="785"/>
      <c r="AQ67" s="714"/>
      <c r="AR67" s="601">
        <f t="shared" si="77"/>
        <v>0</v>
      </c>
      <c r="AS67" s="785">
        <f t="shared" si="78"/>
        <v>0</v>
      </c>
      <c r="AT67" s="714"/>
      <c r="AU67" s="714"/>
      <c r="AV67" s="714"/>
      <c r="AW67" s="601">
        <f t="shared" si="79"/>
        <v>0</v>
      </c>
      <c r="AX67" s="785">
        <f t="shared" si="7"/>
        <v>0</v>
      </c>
      <c r="AY67" s="714"/>
      <c r="AZ67" s="714"/>
      <c r="BA67" s="714"/>
      <c r="BB67" s="601">
        <f t="shared" si="80"/>
        <v>0</v>
      </c>
      <c r="BC67" s="785">
        <f t="shared" si="8"/>
        <v>0</v>
      </c>
      <c r="BD67" s="601"/>
      <c r="BE67" s="785"/>
      <c r="BF67" s="714"/>
      <c r="BG67" s="601">
        <f t="shared" si="81"/>
        <v>0</v>
      </c>
      <c r="BH67" s="785">
        <f t="shared" si="9"/>
        <v>0</v>
      </c>
      <c r="BI67" s="714"/>
      <c r="BJ67" s="785"/>
      <c r="BK67" s="714"/>
      <c r="BL67" s="601">
        <f t="shared" si="82"/>
        <v>0</v>
      </c>
      <c r="BM67" s="785">
        <f t="shared" si="35"/>
        <v>0</v>
      </c>
      <c r="BN67" s="714"/>
      <c r="BO67" s="560">
        <f t="shared" si="83"/>
        <v>0</v>
      </c>
      <c r="BP67" s="452">
        <f t="shared" si="84"/>
        <v>0</v>
      </c>
      <c r="BQ67" s="453">
        <f t="shared" si="85"/>
        <v>0</v>
      </c>
      <c r="BR67" s="450">
        <f t="shared" si="61"/>
        <v>0</v>
      </c>
      <c r="BS67" s="498"/>
      <c r="BT67" s="842">
        <v>0</v>
      </c>
      <c r="BU67" s="688">
        <v>0</v>
      </c>
    </row>
    <row r="68" spans="1:74" s="2" customFormat="1" ht="13.95" customHeight="1" outlineLevel="2">
      <c r="A68" s="237"/>
      <c r="B68" s="19" t="s">
        <v>5</v>
      </c>
      <c r="C68" s="113"/>
      <c r="D68" s="128">
        <v>4000</v>
      </c>
      <c r="E68" s="120">
        <f t="shared" si="64"/>
        <v>4000</v>
      </c>
      <c r="F68" s="178">
        <f t="shared" si="86"/>
        <v>1.2579174839874141E-4</v>
      </c>
      <c r="G68" s="39">
        <v>0</v>
      </c>
      <c r="H68" s="39">
        <v>7474</v>
      </c>
      <c r="I68" s="106">
        <f t="shared" si="65"/>
        <v>7474</v>
      </c>
      <c r="J68" s="178">
        <f t="shared" si="62"/>
        <v>7.6150651619871844E-4</v>
      </c>
      <c r="K68" s="79"/>
      <c r="L68" s="39"/>
      <c r="M68" s="39">
        <v>640</v>
      </c>
      <c r="N68" s="106">
        <f t="shared" si="66"/>
        <v>640</v>
      </c>
      <c r="O68" s="178">
        <f t="shared" si="63"/>
        <v>8.1254718137787713E-5</v>
      </c>
      <c r="P68" s="79"/>
      <c r="Q68" s="39"/>
      <c r="R68" s="39">
        <v>1735</v>
      </c>
      <c r="S68" s="106">
        <f t="shared" si="67"/>
        <v>1735</v>
      </c>
      <c r="T68" s="178">
        <f t="shared" si="68"/>
        <v>1.2606098267144855E-3</v>
      </c>
      <c r="U68" s="79" t="s">
        <v>546</v>
      </c>
      <c r="V68" s="39"/>
      <c r="W68" s="39">
        <v>1033</v>
      </c>
      <c r="X68" s="210">
        <f t="shared" si="69"/>
        <v>1033</v>
      </c>
      <c r="Y68" s="450">
        <f t="shared" si="70"/>
        <v>3.36674544671855E-4</v>
      </c>
      <c r="Z68" s="443" t="s">
        <v>546</v>
      </c>
      <c r="AA68" s="39"/>
      <c r="AB68" s="39">
        <v>1732</v>
      </c>
      <c r="AC68" s="210">
        <f t="shared" si="71"/>
        <v>1732</v>
      </c>
      <c r="AD68" s="595">
        <f t="shared" si="72"/>
        <v>5.42002660768436E-3</v>
      </c>
      <c r="AE68" s="443" t="s">
        <v>546</v>
      </c>
      <c r="AF68" s="39"/>
      <c r="AG68" s="39">
        <v>1410</v>
      </c>
      <c r="AH68" s="210">
        <f t="shared" si="73"/>
        <v>1410</v>
      </c>
      <c r="AI68" s="541">
        <f t="shared" si="74"/>
        <v>4.081390607714151E-4</v>
      </c>
      <c r="AJ68" s="443" t="s">
        <v>546</v>
      </c>
      <c r="AK68" s="39"/>
      <c r="AL68" s="39"/>
      <c r="AM68" s="210">
        <f t="shared" si="75"/>
        <v>0</v>
      </c>
      <c r="AN68" s="541">
        <f t="shared" si="76"/>
        <v>0</v>
      </c>
      <c r="AO68" s="601"/>
      <c r="AP68" s="785"/>
      <c r="AQ68" s="714">
        <v>34.25</v>
      </c>
      <c r="AR68" s="601">
        <f t="shared" si="77"/>
        <v>34.25</v>
      </c>
      <c r="AS68" s="785">
        <f t="shared" si="78"/>
        <v>1.0248459722249407E-3</v>
      </c>
      <c r="AT68" s="714"/>
      <c r="AU68" s="714"/>
      <c r="AV68" s="714">
        <v>67.5</v>
      </c>
      <c r="AW68" s="601">
        <f t="shared" si="79"/>
        <v>67.5</v>
      </c>
      <c r="AX68" s="785">
        <f t="shared" si="7"/>
        <v>3.6213123932323768E-5</v>
      </c>
      <c r="AY68" s="714"/>
      <c r="AZ68" s="714"/>
      <c r="BA68" s="714"/>
      <c r="BB68" s="601">
        <f t="shared" si="80"/>
        <v>0</v>
      </c>
      <c r="BC68" s="785">
        <f t="shared" si="8"/>
        <v>0</v>
      </c>
      <c r="BD68" s="601"/>
      <c r="BE68" s="785"/>
      <c r="BF68" s="714"/>
      <c r="BG68" s="601">
        <f t="shared" si="81"/>
        <v>0</v>
      </c>
      <c r="BH68" s="785">
        <f t="shared" si="9"/>
        <v>0</v>
      </c>
      <c r="BI68" s="714"/>
      <c r="BJ68" s="785"/>
      <c r="BK68" s="714"/>
      <c r="BL68" s="601">
        <f t="shared" si="82"/>
        <v>0</v>
      </c>
      <c r="BM68" s="785">
        <f t="shared" si="35"/>
        <v>0</v>
      </c>
      <c r="BN68" s="714"/>
      <c r="BO68" s="560">
        <f t="shared" si="83"/>
        <v>0</v>
      </c>
      <c r="BP68" s="452">
        <f t="shared" si="84"/>
        <v>14125.75</v>
      </c>
      <c r="BQ68" s="453">
        <f t="shared" si="85"/>
        <v>14125.75</v>
      </c>
      <c r="BR68" s="450">
        <f t="shared" si="61"/>
        <v>4.5281815542336077E-4</v>
      </c>
      <c r="BS68" s="498"/>
      <c r="BT68" s="842">
        <v>0</v>
      </c>
      <c r="BU68" s="688"/>
    </row>
    <row r="69" spans="1:74" s="2" customFormat="1" ht="13.95" customHeight="1" outlineLevel="2">
      <c r="A69" s="237"/>
      <c r="B69" s="19" t="s">
        <v>42</v>
      </c>
      <c r="C69" s="113">
        <v>21300</v>
      </c>
      <c r="D69" s="128"/>
      <c r="E69" s="120">
        <f t="shared" si="64"/>
        <v>21300</v>
      </c>
      <c r="F69" s="178">
        <f t="shared" si="86"/>
        <v>6.6984106022329804E-4</v>
      </c>
      <c r="G69" s="39">
        <v>66420</v>
      </c>
      <c r="H69" s="39">
        <v>0</v>
      </c>
      <c r="I69" s="106">
        <f t="shared" si="65"/>
        <v>66420</v>
      </c>
      <c r="J69" s="178">
        <f t="shared" si="62"/>
        <v>6.767361895359765E-3</v>
      </c>
      <c r="K69" s="79"/>
      <c r="L69" s="39">
        <v>7900</v>
      </c>
      <c r="M69" s="39"/>
      <c r="N69" s="106">
        <f t="shared" si="66"/>
        <v>7900</v>
      </c>
      <c r="O69" s="178">
        <f t="shared" si="63"/>
        <v>1.0029879270133171E-3</v>
      </c>
      <c r="P69" s="79" t="s">
        <v>536</v>
      </c>
      <c r="Q69" s="39"/>
      <c r="R69" s="39"/>
      <c r="S69" s="106">
        <f t="shared" si="67"/>
        <v>0</v>
      </c>
      <c r="T69" s="178">
        <f t="shared" si="68"/>
        <v>0</v>
      </c>
      <c r="U69" s="79"/>
      <c r="V69" s="39">
        <f>850</f>
        <v>850</v>
      </c>
      <c r="W69" s="39"/>
      <c r="X69" s="210">
        <f t="shared" si="69"/>
        <v>850</v>
      </c>
      <c r="Y69" s="450">
        <f t="shared" si="70"/>
        <v>2.7703132911043249E-4</v>
      </c>
      <c r="Z69" s="443" t="s">
        <v>668</v>
      </c>
      <c r="AA69" s="39"/>
      <c r="AB69" s="39"/>
      <c r="AC69" s="210">
        <f t="shared" si="71"/>
        <v>0</v>
      </c>
      <c r="AD69" s="595">
        <f t="shared" si="72"/>
        <v>0</v>
      </c>
      <c r="AE69" s="443"/>
      <c r="AF69" s="39"/>
      <c r="AG69" s="39"/>
      <c r="AH69" s="210">
        <f t="shared" si="73"/>
        <v>0</v>
      </c>
      <c r="AI69" s="541">
        <f t="shared" si="74"/>
        <v>0</v>
      </c>
      <c r="AJ69" s="443"/>
      <c r="AK69" s="39"/>
      <c r="AL69" s="39"/>
      <c r="AM69" s="210">
        <f t="shared" si="75"/>
        <v>0</v>
      </c>
      <c r="AN69" s="541">
        <f t="shared" si="76"/>
        <v>0</v>
      </c>
      <c r="AO69" s="601"/>
      <c r="AP69" s="785"/>
      <c r="AQ69" s="714"/>
      <c r="AR69" s="601">
        <f t="shared" si="77"/>
        <v>0</v>
      </c>
      <c r="AS69" s="785">
        <f t="shared" si="78"/>
        <v>0</v>
      </c>
      <c r="AT69" s="714"/>
      <c r="AU69" s="714"/>
      <c r="AV69" s="714"/>
      <c r="AW69" s="601">
        <f t="shared" si="79"/>
        <v>0</v>
      </c>
      <c r="AX69" s="785">
        <f t="shared" si="7"/>
        <v>0</v>
      </c>
      <c r="AY69" s="714"/>
      <c r="AZ69" s="714">
        <v>-7200</v>
      </c>
      <c r="BA69" s="714"/>
      <c r="BB69" s="601">
        <f t="shared" si="80"/>
        <v>-7200</v>
      </c>
      <c r="BC69" s="785">
        <f t="shared" si="8"/>
        <v>-3.8627332194478684E-3</v>
      </c>
      <c r="BD69" s="601"/>
      <c r="BE69" s="785"/>
      <c r="BF69" s="714"/>
      <c r="BG69" s="601">
        <f t="shared" si="81"/>
        <v>0</v>
      </c>
      <c r="BH69" s="785">
        <f t="shared" si="9"/>
        <v>0</v>
      </c>
      <c r="BI69" s="714"/>
      <c r="BJ69" s="785"/>
      <c r="BK69" s="714"/>
      <c r="BL69" s="601">
        <f t="shared" si="82"/>
        <v>0</v>
      </c>
      <c r="BM69" s="785">
        <f t="shared" si="35"/>
        <v>0</v>
      </c>
      <c r="BN69" s="714"/>
      <c r="BO69" s="560">
        <f t="shared" si="83"/>
        <v>67970</v>
      </c>
      <c r="BP69" s="452">
        <f t="shared" si="84"/>
        <v>0</v>
      </c>
      <c r="BQ69" s="453">
        <f t="shared" si="85"/>
        <v>67970</v>
      </c>
      <c r="BR69" s="450">
        <f t="shared" si="61"/>
        <v>2.1788613011079648E-3</v>
      </c>
      <c r="BS69" s="498"/>
      <c r="BT69" s="842"/>
      <c r="BU69" s="688">
        <v>0</v>
      </c>
      <c r="BV69" s="842"/>
    </row>
    <row r="70" spans="1:74" s="2" customFormat="1" ht="13.95" customHeight="1" outlineLevel="2">
      <c r="A70" s="237"/>
      <c r="B70" s="19" t="s">
        <v>6</v>
      </c>
      <c r="C70" s="113"/>
      <c r="D70" s="128"/>
      <c r="E70" s="120">
        <f t="shared" si="64"/>
        <v>0</v>
      </c>
      <c r="F70" s="178">
        <f t="shared" si="86"/>
        <v>0</v>
      </c>
      <c r="G70" s="39">
        <v>0</v>
      </c>
      <c r="H70" s="39">
        <v>1200</v>
      </c>
      <c r="I70" s="106">
        <f t="shared" si="65"/>
        <v>1200</v>
      </c>
      <c r="J70" s="178">
        <f t="shared" si="62"/>
        <v>1.2226489422510867E-4</v>
      </c>
      <c r="K70" s="79"/>
      <c r="L70" s="39"/>
      <c r="M70" s="39">
        <v>2800</v>
      </c>
      <c r="N70" s="106">
        <f t="shared" si="66"/>
        <v>2800</v>
      </c>
      <c r="O70" s="178">
        <f t="shared" si="63"/>
        <v>3.5548939185282125E-4</v>
      </c>
      <c r="P70" s="79" t="s">
        <v>496</v>
      </c>
      <c r="Q70" s="39"/>
      <c r="R70" s="39"/>
      <c r="S70" s="106">
        <f t="shared" si="67"/>
        <v>0</v>
      </c>
      <c r="T70" s="178">
        <f t="shared" si="68"/>
        <v>0</v>
      </c>
      <c r="U70" s="79"/>
      <c r="V70" s="39"/>
      <c r="W70" s="39"/>
      <c r="X70" s="210">
        <f t="shared" si="69"/>
        <v>0</v>
      </c>
      <c r="Y70" s="450">
        <f t="shared" si="70"/>
        <v>0</v>
      </c>
      <c r="Z70" s="79"/>
      <c r="AA70" s="39"/>
      <c r="AB70" s="39"/>
      <c r="AC70" s="210">
        <f t="shared" si="71"/>
        <v>0</v>
      </c>
      <c r="AD70" s="595">
        <f t="shared" si="72"/>
        <v>0</v>
      </c>
      <c r="AE70" s="79"/>
      <c r="AF70" s="39"/>
      <c r="AG70" s="39"/>
      <c r="AH70" s="210">
        <f t="shared" si="73"/>
        <v>0</v>
      </c>
      <c r="AI70" s="541">
        <f t="shared" si="74"/>
        <v>0</v>
      </c>
      <c r="AJ70" s="79"/>
      <c r="AK70" s="39"/>
      <c r="AL70" s="39"/>
      <c r="AM70" s="210">
        <f t="shared" si="75"/>
        <v>0</v>
      </c>
      <c r="AN70" s="541">
        <f t="shared" si="76"/>
        <v>0</v>
      </c>
      <c r="AO70" s="545"/>
      <c r="AP70" s="795"/>
      <c r="AQ70" s="456"/>
      <c r="AR70" s="260">
        <f t="shared" si="77"/>
        <v>0</v>
      </c>
      <c r="AS70" s="795">
        <f t="shared" si="78"/>
        <v>0</v>
      </c>
      <c r="AT70" s="456"/>
      <c r="AU70" s="456"/>
      <c r="AV70" s="456"/>
      <c r="AW70" s="260">
        <f t="shared" si="79"/>
        <v>0</v>
      </c>
      <c r="AX70" s="795">
        <f t="shared" si="7"/>
        <v>0</v>
      </c>
      <c r="AY70" s="456"/>
      <c r="AZ70" s="456"/>
      <c r="BA70" s="456"/>
      <c r="BB70" s="260">
        <f t="shared" si="80"/>
        <v>0</v>
      </c>
      <c r="BC70" s="795">
        <f t="shared" si="8"/>
        <v>0</v>
      </c>
      <c r="BD70" s="260"/>
      <c r="BE70" s="795"/>
      <c r="BF70" s="456"/>
      <c r="BG70" s="260">
        <f t="shared" si="81"/>
        <v>0</v>
      </c>
      <c r="BH70" s="795">
        <f t="shared" si="9"/>
        <v>0</v>
      </c>
      <c r="BI70" s="456"/>
      <c r="BJ70" s="795"/>
      <c r="BK70" s="456"/>
      <c r="BL70" s="260">
        <f t="shared" si="82"/>
        <v>0</v>
      </c>
      <c r="BM70" s="795">
        <f t="shared" si="35"/>
        <v>0</v>
      </c>
      <c r="BN70" s="456"/>
      <c r="BO70" s="560">
        <f t="shared" si="83"/>
        <v>0</v>
      </c>
      <c r="BP70" s="452">
        <f t="shared" si="84"/>
        <v>4000</v>
      </c>
      <c r="BQ70" s="453">
        <f t="shared" si="85"/>
        <v>4000</v>
      </c>
      <c r="BR70" s="450">
        <f t="shared" si="61"/>
        <v>1.2822488163059966E-4</v>
      </c>
      <c r="BS70" s="498"/>
      <c r="BT70" s="842">
        <v>0</v>
      </c>
      <c r="BU70" s="688"/>
    </row>
    <row r="71" spans="1:74" s="2" customFormat="1" ht="13.95" customHeight="1" outlineLevel="2">
      <c r="A71" s="237"/>
      <c r="B71" s="19" t="s">
        <v>78</v>
      </c>
      <c r="C71" s="129"/>
      <c r="D71" s="128"/>
      <c r="E71" s="120">
        <f t="shared" si="64"/>
        <v>0</v>
      </c>
      <c r="F71" s="184">
        <f t="shared" si="86"/>
        <v>0</v>
      </c>
      <c r="G71" s="39">
        <v>0</v>
      </c>
      <c r="H71" s="39">
        <v>0</v>
      </c>
      <c r="I71" s="106">
        <f t="shared" si="65"/>
        <v>0</v>
      </c>
      <c r="J71" s="178">
        <f t="shared" si="62"/>
        <v>0</v>
      </c>
      <c r="K71" s="79"/>
      <c r="L71" s="39"/>
      <c r="M71" s="39"/>
      <c r="N71" s="106">
        <f t="shared" si="66"/>
        <v>0</v>
      </c>
      <c r="O71" s="178">
        <f t="shared" si="63"/>
        <v>0</v>
      </c>
      <c r="P71" s="79"/>
      <c r="Q71" s="39"/>
      <c r="R71" s="39"/>
      <c r="S71" s="106">
        <f t="shared" si="67"/>
        <v>0</v>
      </c>
      <c r="T71" s="178">
        <f t="shared" si="68"/>
        <v>0</v>
      </c>
      <c r="U71" s="79"/>
      <c r="V71" s="39"/>
      <c r="W71" s="39"/>
      <c r="X71" s="210">
        <f t="shared" si="69"/>
        <v>0</v>
      </c>
      <c r="Y71" s="450">
        <f t="shared" si="70"/>
        <v>0</v>
      </c>
      <c r="Z71" s="79"/>
      <c r="AA71" s="39"/>
      <c r="AB71" s="39"/>
      <c r="AC71" s="210">
        <f t="shared" si="71"/>
        <v>0</v>
      </c>
      <c r="AD71" s="595">
        <f t="shared" si="72"/>
        <v>0</v>
      </c>
      <c r="AE71" s="79"/>
      <c r="AF71" s="39"/>
      <c r="AG71" s="39"/>
      <c r="AH71" s="210">
        <f t="shared" si="73"/>
        <v>0</v>
      </c>
      <c r="AI71" s="541">
        <f t="shared" si="74"/>
        <v>0</v>
      </c>
      <c r="AJ71" s="79"/>
      <c r="AK71" s="39"/>
      <c r="AL71" s="39"/>
      <c r="AM71" s="210">
        <f t="shared" si="75"/>
        <v>0</v>
      </c>
      <c r="AN71" s="541">
        <f t="shared" si="76"/>
        <v>0</v>
      </c>
      <c r="AO71" s="545"/>
      <c r="AP71" s="795"/>
      <c r="AQ71" s="456"/>
      <c r="AR71" s="260">
        <f t="shared" si="77"/>
        <v>0</v>
      </c>
      <c r="AS71" s="795">
        <f t="shared" si="78"/>
        <v>0</v>
      </c>
      <c r="AT71" s="456"/>
      <c r="AU71" s="456"/>
      <c r="AV71" s="456"/>
      <c r="AW71" s="260">
        <f t="shared" si="79"/>
        <v>0</v>
      </c>
      <c r="AX71" s="795">
        <f t="shared" si="7"/>
        <v>0</v>
      </c>
      <c r="AY71" s="456"/>
      <c r="AZ71" s="456"/>
      <c r="BA71" s="456"/>
      <c r="BB71" s="260">
        <f t="shared" si="80"/>
        <v>0</v>
      </c>
      <c r="BC71" s="795">
        <f t="shared" si="8"/>
        <v>0</v>
      </c>
      <c r="BD71" s="260"/>
      <c r="BE71" s="795"/>
      <c r="BF71" s="456"/>
      <c r="BG71" s="260">
        <f t="shared" si="81"/>
        <v>0</v>
      </c>
      <c r="BH71" s="795">
        <f t="shared" si="9"/>
        <v>0</v>
      </c>
      <c r="BI71" s="456"/>
      <c r="BJ71" s="795"/>
      <c r="BK71" s="456"/>
      <c r="BL71" s="260">
        <f t="shared" si="82"/>
        <v>0</v>
      </c>
      <c r="BM71" s="795">
        <f t="shared" si="35"/>
        <v>0</v>
      </c>
      <c r="BN71" s="456"/>
      <c r="BO71" s="560">
        <f t="shared" si="83"/>
        <v>0</v>
      </c>
      <c r="BP71" s="452">
        <f t="shared" si="84"/>
        <v>0</v>
      </c>
      <c r="BQ71" s="446">
        <f>BO71+BP71*1</f>
        <v>0</v>
      </c>
      <c r="BR71" s="450">
        <f t="shared" si="61"/>
        <v>0</v>
      </c>
      <c r="BS71" s="498"/>
      <c r="BT71" s="842">
        <v>0</v>
      </c>
      <c r="BU71" s="2">
        <v>0</v>
      </c>
    </row>
    <row r="72" spans="1:74" s="2" customFormat="1" ht="13.95" customHeight="1" outlineLevel="2" thickBot="1">
      <c r="A72" s="237"/>
      <c r="B72" s="19"/>
      <c r="C72" s="130"/>
      <c r="D72" s="131"/>
      <c r="E72" s="159"/>
      <c r="F72" s="184">
        <f t="shared" si="86"/>
        <v>0</v>
      </c>
      <c r="G72" s="210">
        <v>0</v>
      </c>
      <c r="H72" s="210">
        <v>0</v>
      </c>
      <c r="I72" s="106"/>
      <c r="J72" s="178">
        <f t="shared" si="62"/>
        <v>0</v>
      </c>
      <c r="K72" s="79"/>
      <c r="L72" s="39"/>
      <c r="M72" s="39"/>
      <c r="N72" s="106"/>
      <c r="O72" s="178">
        <f t="shared" si="63"/>
        <v>0</v>
      </c>
      <c r="P72" s="79"/>
      <c r="Q72" s="39"/>
      <c r="R72" s="39"/>
      <c r="S72" s="106"/>
      <c r="T72" s="178">
        <f t="shared" si="68"/>
        <v>0</v>
      </c>
      <c r="U72" s="79"/>
      <c r="V72" s="39"/>
      <c r="W72" s="39"/>
      <c r="X72" s="210">
        <f t="shared" si="69"/>
        <v>0</v>
      </c>
      <c r="Y72" s="178">
        <f>X72/$S$89</f>
        <v>0</v>
      </c>
      <c r="Z72" s="79"/>
      <c r="AA72" s="39"/>
      <c r="AB72" s="39"/>
      <c r="AC72" s="210">
        <f t="shared" si="71"/>
        <v>0</v>
      </c>
      <c r="AD72" s="178">
        <f>AC72/$S$89</f>
        <v>0</v>
      </c>
      <c r="AE72" s="79"/>
      <c r="AF72" s="39"/>
      <c r="AG72" s="39"/>
      <c r="AH72" s="210">
        <f t="shared" si="73"/>
        <v>0</v>
      </c>
      <c r="AI72" s="178">
        <f>AH72/$S$89</f>
        <v>0</v>
      </c>
      <c r="AJ72" s="79"/>
      <c r="AK72" s="39"/>
      <c r="AL72" s="39"/>
      <c r="AM72" s="210">
        <f t="shared" si="75"/>
        <v>0</v>
      </c>
      <c r="AN72" s="178">
        <f>AM72/$S$89</f>
        <v>0</v>
      </c>
      <c r="AO72" s="545"/>
      <c r="AP72" s="795"/>
      <c r="AQ72" s="456"/>
      <c r="AR72" s="260"/>
      <c r="AS72" s="795"/>
      <c r="AT72" s="456"/>
      <c r="AU72" s="456"/>
      <c r="AV72" s="456"/>
      <c r="AW72" s="260"/>
      <c r="AX72" s="795">
        <f t="shared" si="7"/>
        <v>0</v>
      </c>
      <c r="AY72" s="456"/>
      <c r="AZ72" s="456"/>
      <c r="BA72" s="456"/>
      <c r="BB72" s="260"/>
      <c r="BC72" s="795">
        <f t="shared" si="8"/>
        <v>0</v>
      </c>
      <c r="BD72" s="260"/>
      <c r="BE72" s="795"/>
      <c r="BF72" s="456"/>
      <c r="BG72" s="260"/>
      <c r="BH72" s="795">
        <f t="shared" si="9"/>
        <v>0</v>
      </c>
      <c r="BI72" s="456"/>
      <c r="BJ72" s="795"/>
      <c r="BK72" s="456"/>
      <c r="BL72" s="260"/>
      <c r="BM72" s="795">
        <f t="shared" si="35"/>
        <v>0</v>
      </c>
      <c r="BN72" s="456"/>
      <c r="BO72" s="560"/>
      <c r="BP72" s="452"/>
      <c r="BQ72" s="446"/>
      <c r="BR72" s="450">
        <f t="shared" si="61"/>
        <v>0</v>
      </c>
      <c r="BS72" s="498"/>
      <c r="BT72" s="842"/>
    </row>
    <row r="73" spans="1:74" s="2" customFormat="1" ht="13.95" customHeight="1" outlineLevel="1" thickBot="1">
      <c r="A73" s="237"/>
      <c r="B73" s="13" t="s">
        <v>4</v>
      </c>
      <c r="C73" s="132">
        <f>C74</f>
        <v>1234365.1499999999</v>
      </c>
      <c r="D73" s="133">
        <f>D74</f>
        <v>0</v>
      </c>
      <c r="E73" s="132">
        <f>E74</f>
        <v>1234365.1499999999</v>
      </c>
      <c r="F73" s="171">
        <f>E73/$E$89</f>
        <v>3.8818237595243672E-2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139">
        <f>AF74</f>
        <v>0</v>
      </c>
      <c r="AG73" s="63">
        <f>AG74</f>
        <v>0</v>
      </c>
      <c r="AH73" s="60">
        <f>AH74</f>
        <v>0</v>
      </c>
      <c r="AI73" s="63"/>
      <c r="AJ73" s="63"/>
      <c r="AK73" s="139">
        <f>AK74</f>
        <v>0</v>
      </c>
      <c r="AL73" s="63">
        <f>AL74</f>
        <v>0</v>
      </c>
      <c r="AM73" s="60">
        <f>AM74</f>
        <v>0</v>
      </c>
      <c r="AN73" s="63"/>
      <c r="AO73" s="805"/>
      <c r="AP73" s="818"/>
      <c r="AQ73" s="645"/>
      <c r="AR73" s="645"/>
      <c r="AS73" s="796"/>
      <c r="AT73" s="819"/>
      <c r="AU73" s="645"/>
      <c r="AV73" s="645"/>
      <c r="AW73" s="645"/>
      <c r="AX73" s="796">
        <f t="shared" ref="AX73:AX79" si="87">AW73/$AW$89</f>
        <v>0</v>
      </c>
      <c r="AY73" s="645"/>
      <c r="AZ73" s="645"/>
      <c r="BA73" s="645"/>
      <c r="BB73" s="645"/>
      <c r="BC73" s="796">
        <f t="shared" ref="BC73:BC79" si="88">BB73/$AW$89</f>
        <v>0</v>
      </c>
      <c r="BD73" s="645"/>
      <c r="BE73" s="818"/>
      <c r="BF73" s="645"/>
      <c r="BG73" s="645"/>
      <c r="BH73" s="796">
        <f t="shared" ref="BH73:BH79" si="89">BG73/$AW$89</f>
        <v>0</v>
      </c>
      <c r="BI73" s="819"/>
      <c r="BJ73" s="818"/>
      <c r="BK73" s="645"/>
      <c r="BL73" s="645"/>
      <c r="BM73" s="796">
        <f t="shared" si="35"/>
        <v>0</v>
      </c>
      <c r="BN73" s="819"/>
      <c r="BO73" s="587">
        <f>BO74</f>
        <v>0</v>
      </c>
      <c r="BP73" s="586">
        <f>BP74</f>
        <v>0</v>
      </c>
      <c r="BQ73" s="581">
        <f>BQ74</f>
        <v>0</v>
      </c>
      <c r="BR73" s="586"/>
      <c r="BS73" s="586"/>
      <c r="BT73" s="842"/>
    </row>
    <row r="74" spans="1:74" s="2" customFormat="1" ht="13.95" customHeight="1" outlineLevel="1" thickBot="1">
      <c r="A74" s="20"/>
      <c r="B74" s="225" t="s">
        <v>64</v>
      </c>
      <c r="C74" s="113">
        <f>C6*3%</f>
        <v>1234365.1499999999</v>
      </c>
      <c r="D74" s="135"/>
      <c r="E74" s="136">
        <f>C74+D74</f>
        <v>1234365.1499999999</v>
      </c>
      <c r="F74" s="185"/>
      <c r="G74" s="39">
        <v>0</v>
      </c>
      <c r="H74" s="39">
        <v>0</v>
      </c>
      <c r="I74" s="64">
        <f>G74+H74*1</f>
        <v>0</v>
      </c>
      <c r="J74" s="64"/>
      <c r="K74" s="64"/>
      <c r="L74" s="39"/>
      <c r="M74" s="39"/>
      <c r="N74" s="523">
        <f>L74+M74*1</f>
        <v>0</v>
      </c>
      <c r="O74" s="64"/>
      <c r="P74" s="64"/>
      <c r="Q74" s="39"/>
      <c r="R74" s="39"/>
      <c r="S74" s="64">
        <f>Q74+R74*1</f>
        <v>0</v>
      </c>
      <c r="T74" s="64"/>
      <c r="U74" s="64"/>
      <c r="V74" s="39"/>
      <c r="W74" s="39"/>
      <c r="X74" s="523">
        <f>V74+W74*1</f>
        <v>0</v>
      </c>
      <c r="Y74" s="64"/>
      <c r="Z74" s="64"/>
      <c r="AA74" s="39"/>
      <c r="AB74" s="39"/>
      <c r="AC74" s="523">
        <f>AA74+AB74*1</f>
        <v>0</v>
      </c>
      <c r="AD74" s="64"/>
      <c r="AE74" s="64"/>
      <c r="AF74" s="39"/>
      <c r="AG74" s="39"/>
      <c r="AH74" s="523">
        <f>AF74+AG74*1</f>
        <v>0</v>
      </c>
      <c r="AI74" s="64"/>
      <c r="AJ74" s="64"/>
      <c r="AK74" s="39"/>
      <c r="AL74" s="39"/>
      <c r="AM74" s="523">
        <f>AK74+AL74*1</f>
        <v>0</v>
      </c>
      <c r="AN74" s="64"/>
      <c r="AO74" s="603"/>
      <c r="AP74" s="788"/>
      <c r="AQ74" s="635"/>
      <c r="AR74" s="765"/>
      <c r="AS74" s="788"/>
      <c r="AT74" s="635"/>
      <c r="AU74" s="635"/>
      <c r="AV74" s="635"/>
      <c r="AW74" s="765"/>
      <c r="AX74" s="788">
        <f t="shared" si="87"/>
        <v>0</v>
      </c>
      <c r="AY74" s="635"/>
      <c r="AZ74" s="635"/>
      <c r="BA74" s="635"/>
      <c r="BB74" s="765"/>
      <c r="BC74" s="788">
        <f t="shared" si="88"/>
        <v>0</v>
      </c>
      <c r="BD74" s="765"/>
      <c r="BE74" s="788"/>
      <c r="BF74" s="635"/>
      <c r="BG74" s="765"/>
      <c r="BH74" s="788">
        <f t="shared" si="89"/>
        <v>0</v>
      </c>
      <c r="BI74" s="635"/>
      <c r="BJ74" s="788"/>
      <c r="BK74" s="635"/>
      <c r="BL74" s="765"/>
      <c r="BM74" s="788">
        <f t="shared" si="35"/>
        <v>0</v>
      </c>
      <c r="BN74" s="635"/>
      <c r="BO74" s="560">
        <f>G74+L74+Q74+V74</f>
        <v>0</v>
      </c>
      <c r="BP74" s="452">
        <f>H74+M74+R74+W74</f>
        <v>0</v>
      </c>
      <c r="BQ74" s="747">
        <f>BO74+BP74*1</f>
        <v>0</v>
      </c>
      <c r="BR74" s="588"/>
      <c r="BS74" s="588"/>
      <c r="BT74" s="842"/>
    </row>
    <row r="75" spans="1:74" s="2" customFormat="1" ht="13.95" customHeight="1" thickBot="1">
      <c r="A75" s="5"/>
      <c r="B75" s="23" t="s">
        <v>48</v>
      </c>
      <c r="C75" s="137">
        <f>C38-C41-C50-C54</f>
        <v>13785360</v>
      </c>
      <c r="D75" s="137">
        <f>D38-D41-D50-D54</f>
        <v>-3197078</v>
      </c>
      <c r="E75" s="138">
        <f>E38-E41-E50-E54</f>
        <v>10588282</v>
      </c>
      <c r="F75" s="172"/>
      <c r="G75" s="65">
        <f>G38-G41-G50-G54</f>
        <v>5692867.7293999987</v>
      </c>
      <c r="H75" s="65">
        <f>H38-H41-H50-H54</f>
        <v>-1576013.5399999998</v>
      </c>
      <c r="I75" s="66">
        <f>I38-I41-I50-I54</f>
        <v>4116854.1893999968</v>
      </c>
      <c r="J75" s="66"/>
      <c r="K75" s="66"/>
      <c r="L75" s="65">
        <f>L38-L41-L50-L54</f>
        <v>2924447.7459999998</v>
      </c>
      <c r="M75" s="65">
        <f>M38-M41-M50-M54</f>
        <v>-729390.81</v>
      </c>
      <c r="N75" s="138">
        <f>N38-N41-N50-N54</f>
        <v>2195056.9359999993</v>
      </c>
      <c r="O75" s="66"/>
      <c r="P75" s="66"/>
      <c r="Q75" s="65">
        <f>Q38-Q41-Q50-Q54</f>
        <v>-1191975.3520000002</v>
      </c>
      <c r="R75" s="65">
        <f>R38-R41-R50-R54</f>
        <v>-160733.75</v>
      </c>
      <c r="S75" s="138">
        <f>S38-S41-S50-S54</f>
        <v>-1352709.1020000002</v>
      </c>
      <c r="T75" s="66"/>
      <c r="U75" s="66"/>
      <c r="V75" s="65">
        <f>V38-V41-V50-V54</f>
        <v>2303656.8419999997</v>
      </c>
      <c r="W75" s="65">
        <f>W38-W41-W50-W54</f>
        <v>-544396.19000000006</v>
      </c>
      <c r="X75" s="138">
        <f>X38-X41-X50-X54</f>
        <v>1759260.6519999998</v>
      </c>
      <c r="Y75" s="66"/>
      <c r="Z75" s="66"/>
      <c r="AA75" s="65">
        <f>AA38-AA41-AA50-AA54</f>
        <v>-157251.041</v>
      </c>
      <c r="AB75" s="65">
        <f>AB38-AB41-AB50-AB54</f>
        <v>-142559.4</v>
      </c>
      <c r="AC75" s="138">
        <f>AC38-AC41-AC50-AC54</f>
        <v>-299810.44099999999</v>
      </c>
      <c r="AD75" s="66"/>
      <c r="AE75" s="66"/>
      <c r="AF75" s="65">
        <f>AF38-AF41-AF50-AF54</f>
        <v>1591578.2120000003</v>
      </c>
      <c r="AG75" s="65">
        <f>AG38-AG41-AG50-AG54</f>
        <v>-183930.11</v>
      </c>
      <c r="AH75" s="138">
        <f>AH38-AH41-AH50-AH54</f>
        <v>1407648.1020000004</v>
      </c>
      <c r="AI75" s="66"/>
      <c r="AJ75" s="66"/>
      <c r="AK75" s="65">
        <f>AK38-AK41-AK50-AK54</f>
        <v>1151857.4039999999</v>
      </c>
      <c r="AL75" s="65">
        <f>AL38-AL41-AL50-AL54</f>
        <v>-272700.98</v>
      </c>
      <c r="AM75" s="138">
        <f>AM38-AM41-AM50-AM54</f>
        <v>879156.42400000012</v>
      </c>
      <c r="AN75" s="66"/>
      <c r="AO75" s="646"/>
      <c r="AP75" s="646">
        <f>AP38-AP41-AP50-AP54</f>
        <v>-637.5</v>
      </c>
      <c r="AQ75" s="646">
        <f>AQ38-AQ41-AQ50-AQ54</f>
        <v>-28743.25</v>
      </c>
      <c r="AR75" s="646">
        <f>AR38-AR41-AR50-AR54</f>
        <v>-29380.75</v>
      </c>
      <c r="AS75" s="671"/>
      <c r="AT75" s="699"/>
      <c r="AU75" s="779">
        <f>AU38-AU41-AU50-AU54</f>
        <v>327647.42399999965</v>
      </c>
      <c r="AV75" s="646">
        <f>AV38-AV41-AV50-AV54</f>
        <v>-81747.5</v>
      </c>
      <c r="AW75" s="646">
        <f>AW38-AW41-AW50-AW54</f>
        <v>245899.92399999965</v>
      </c>
      <c r="AX75" s="671">
        <f t="shared" si="87"/>
        <v>0.1319230284853479</v>
      </c>
      <c r="AY75" s="779"/>
      <c r="AZ75" s="779">
        <f>AZ38-AZ41-AZ50-AZ54</f>
        <v>-645426.24195279414</v>
      </c>
      <c r="BA75" s="646">
        <f>BA38-BA41-BA50-BA54</f>
        <v>-218484.38</v>
      </c>
      <c r="BB75" s="646">
        <f>BB38-BB41-BB50-BB54</f>
        <v>-863910.62195279426</v>
      </c>
      <c r="BC75" s="671">
        <f t="shared" si="88"/>
        <v>-0.46348003584040659</v>
      </c>
      <c r="BD75" s="779"/>
      <c r="BE75" s="646">
        <f>BE38-BE41-BE50-BE54</f>
        <v>0</v>
      </c>
      <c r="BF75" s="646">
        <f>BF38-BF41-BF50-BF54</f>
        <v>0</v>
      </c>
      <c r="BG75" s="646">
        <f>BG38-BG41-BG50-BG54</f>
        <v>0</v>
      </c>
      <c r="BH75" s="671">
        <f t="shared" si="89"/>
        <v>0</v>
      </c>
      <c r="BI75" s="699"/>
      <c r="BJ75" s="646">
        <f>BJ38-BJ41-BJ50-BJ54</f>
        <v>-201820.36800000002</v>
      </c>
      <c r="BK75" s="646">
        <f>BK38-BK41-BK50-BK54</f>
        <v>0</v>
      </c>
      <c r="BL75" s="646">
        <f>BL38-BL41-BL50-BL54</f>
        <v>-201820.36800000002</v>
      </c>
      <c r="BM75" s="671">
        <f t="shared" si="35"/>
        <v>-0.10827475553261023</v>
      </c>
      <c r="BN75" s="699"/>
      <c r="BO75" s="646">
        <f>BO38-BO41-BO50-BO54</f>
        <v>11794944.854447199</v>
      </c>
      <c r="BP75" s="646">
        <f>BP38-BP41-BP50-BP54</f>
        <v>-3938699.91</v>
      </c>
      <c r="BQ75" s="670">
        <f>BQ38-BQ41-BQ50-BQ54</f>
        <v>7856244.9444472026</v>
      </c>
      <c r="BR75" s="671"/>
      <c r="BS75" s="671"/>
      <c r="BT75" s="842"/>
    </row>
    <row r="76" spans="1:74" s="2" customFormat="1" ht="13.95" customHeight="1">
      <c r="A76" s="294"/>
      <c r="B76" s="36" t="s">
        <v>49</v>
      </c>
      <c r="C76" s="157">
        <f>C75/C5</f>
        <v>0.33503927099691694</v>
      </c>
      <c r="D76" s="157" t="e">
        <f>D75/D5</f>
        <v>#DIV/0!</v>
      </c>
      <c r="E76" s="158">
        <f>E75/E5</f>
        <v>0.25733751475404176</v>
      </c>
      <c r="F76" s="167"/>
      <c r="G76" s="54">
        <f>G75/G5</f>
        <v>0.41503192411083406</v>
      </c>
      <c r="H76" s="54" t="e">
        <f>H75/H5</f>
        <v>#DIV/0!</v>
      </c>
      <c r="I76" s="55">
        <f>I75/I5</f>
        <v>0.30013448348474275</v>
      </c>
      <c r="J76" s="55"/>
      <c r="K76" s="55"/>
      <c r="L76" s="54">
        <f>L75/L5</f>
        <v>0.29354459225290208</v>
      </c>
      <c r="M76" s="54" t="e">
        <f>M75/M5</f>
        <v>#DIV/0!</v>
      </c>
      <c r="N76" s="55">
        <f>N75/N5</f>
        <v>0.22033120411583668</v>
      </c>
      <c r="O76" s="55"/>
      <c r="P76" s="55"/>
      <c r="Q76" s="54" t="e">
        <f>Q75/Q5</f>
        <v>#DIV/0!</v>
      </c>
      <c r="R76" s="54" t="e">
        <f>R75/R5</f>
        <v>#DIV/0!</v>
      </c>
      <c r="S76" s="55" t="e">
        <f>S75/S5</f>
        <v>#DIV/0!</v>
      </c>
      <c r="T76" s="55"/>
      <c r="U76" s="55"/>
      <c r="V76" s="54">
        <f>V75/V5</f>
        <v>0.48492652521374674</v>
      </c>
      <c r="W76" s="54" t="e">
        <f>W75/W5</f>
        <v>#DIV/0!</v>
      </c>
      <c r="X76" s="55">
        <f>X75/X5</f>
        <v>0.37032952971371008</v>
      </c>
      <c r="Y76" s="55"/>
      <c r="Z76" s="55"/>
      <c r="AA76" s="54" t="e">
        <f>AA75/AA5</f>
        <v>#DIV/0!</v>
      </c>
      <c r="AB76" s="54" t="e">
        <f>AB75/AB5</f>
        <v>#DIV/0!</v>
      </c>
      <c r="AC76" s="55" t="e">
        <f>AC75/AC5</f>
        <v>#DIV/0!</v>
      </c>
      <c r="AD76" s="55"/>
      <c r="AE76" s="55"/>
      <c r="AF76" s="54">
        <f>AF75/AF5</f>
        <v>0.32902318880343329</v>
      </c>
      <c r="AG76" s="54" t="e">
        <f>AG75/AG5</f>
        <v>#DIV/0!</v>
      </c>
      <c r="AH76" s="55">
        <f>AH75/AH5</f>
        <v>0.29099975341528522</v>
      </c>
      <c r="AI76" s="55"/>
      <c r="AJ76" s="55"/>
      <c r="AK76" s="54">
        <f>AK75/AK5</f>
        <v>0.38475722621434988</v>
      </c>
      <c r="AL76" s="54" t="e">
        <f>AL75/AL5</f>
        <v>#DIV/0!</v>
      </c>
      <c r="AM76" s="55">
        <f>AM75/AM5</f>
        <v>0.29366637392102657</v>
      </c>
      <c r="AN76" s="55"/>
      <c r="AO76" s="639"/>
      <c r="AP76" s="639" t="e">
        <f>AP75/AP5</f>
        <v>#DIV/0!</v>
      </c>
      <c r="AQ76" s="639" t="e">
        <f>AQ75/AQ5</f>
        <v>#DIV/0!</v>
      </c>
      <c r="AR76" s="639" t="e">
        <f>AR75/AR5</f>
        <v>#DIV/0!</v>
      </c>
      <c r="AS76" s="660"/>
      <c r="AT76" s="697"/>
      <c r="AU76" s="780">
        <f>AU75/AU5</f>
        <v>0.1561408930423851</v>
      </c>
      <c r="AV76" s="639" t="e">
        <f>AV75/AV5</f>
        <v>#DIV/0!</v>
      </c>
      <c r="AW76" s="639">
        <f>AW75/AW5</f>
        <v>0.11718399389099</v>
      </c>
      <c r="AX76" s="660">
        <f t="shared" si="87"/>
        <v>6.2868125831986553E-8</v>
      </c>
      <c r="AY76" s="780"/>
      <c r="AZ76" s="780">
        <f>AZ75/AZ5</f>
        <v>-14.031005259843351</v>
      </c>
      <c r="BA76" s="639" t="e">
        <f>BA75/BA5</f>
        <v>#DIV/0!</v>
      </c>
      <c r="BB76" s="639">
        <f>BB75/BB5</f>
        <v>-18.780665694625963</v>
      </c>
      <c r="BC76" s="660">
        <f t="shared" si="88"/>
        <v>-1.0075652953052317E-5</v>
      </c>
      <c r="BD76" s="780"/>
      <c r="BE76" s="639" t="e">
        <f>BE75/BE5</f>
        <v>#DIV/0!</v>
      </c>
      <c r="BF76" s="639" t="e">
        <f>BF75/BF5</f>
        <v>#DIV/0!</v>
      </c>
      <c r="BG76" s="639" t="e">
        <f>BG75/BG5</f>
        <v>#DIV/0!</v>
      </c>
      <c r="BH76" s="660" t="e">
        <f t="shared" si="89"/>
        <v>#DIV/0!</v>
      </c>
      <c r="BI76" s="697"/>
      <c r="BJ76" s="639" t="e">
        <f>BJ75/BJ5</f>
        <v>#DIV/0!</v>
      </c>
      <c r="BK76" s="639" t="e">
        <f>BK75/BK5</f>
        <v>#DIV/0!</v>
      </c>
      <c r="BL76" s="639" t="e">
        <f>BL75/BL5</f>
        <v>#DIV/0!</v>
      </c>
      <c r="BM76" s="660" t="e">
        <f t="shared" si="35"/>
        <v>#DIV/0!</v>
      </c>
      <c r="BN76" s="697"/>
      <c r="BO76" s="639">
        <f>BO75/BO5</f>
        <v>0.30711862521987143</v>
      </c>
      <c r="BP76" s="639" t="e">
        <f>BP75/BP5</f>
        <v>#DIV/0!</v>
      </c>
      <c r="BQ76" s="660">
        <f>BQ75/BQ5</f>
        <v>0.20456213882335036</v>
      </c>
      <c r="BR76" s="660"/>
      <c r="BS76" s="660"/>
      <c r="BT76" s="842"/>
    </row>
    <row r="77" spans="1:74" s="2" customFormat="1" ht="13.95" customHeight="1" outlineLevel="1" thickBot="1">
      <c r="A77" s="294"/>
      <c r="B77" s="27" t="s">
        <v>9</v>
      </c>
      <c r="C77" s="139">
        <f>C78-C79</f>
        <v>0</v>
      </c>
      <c r="D77" s="139">
        <f>D78-D79</f>
        <v>0</v>
      </c>
      <c r="E77" s="140">
        <f>E78-E79</f>
        <v>0</v>
      </c>
      <c r="F77" s="173"/>
      <c r="G77" s="139">
        <f>G78-G79</f>
        <v>0</v>
      </c>
      <c r="H77" s="139">
        <f>H78-H79</f>
        <v>0</v>
      </c>
      <c r="I77" s="140">
        <f>I78-I79</f>
        <v>-214910.93727272723</v>
      </c>
      <c r="J77" s="67"/>
      <c r="K77" s="67"/>
      <c r="L77" s="139">
        <f>L78-L79</f>
        <v>0</v>
      </c>
      <c r="M77" s="139">
        <f>M78-M79</f>
        <v>0</v>
      </c>
      <c r="N77" s="140">
        <f>N78-N79</f>
        <v>-108989.43137931035</v>
      </c>
      <c r="O77" s="67"/>
      <c r="P77" s="67"/>
      <c r="Q77" s="139">
        <f>Q78-Q79</f>
        <v>0</v>
      </c>
      <c r="R77" s="139">
        <f>R78-R79</f>
        <v>0</v>
      </c>
      <c r="S77" s="140">
        <f>S78-S79</f>
        <v>-23608.901582371502</v>
      </c>
      <c r="T77" s="67"/>
      <c r="U77" s="67"/>
      <c r="V77" s="139">
        <f>V78-V79</f>
        <v>0</v>
      </c>
      <c r="W77" s="139">
        <f>W78-W79</f>
        <v>0</v>
      </c>
      <c r="X77" s="140">
        <f>X78-X79</f>
        <v>-76978.086702072294</v>
      </c>
      <c r="Y77" s="67"/>
      <c r="Z77" s="67"/>
      <c r="AA77" s="139">
        <f>AA78-AA79</f>
        <v>0</v>
      </c>
      <c r="AB77" s="139">
        <f>AB78-AB79</f>
        <v>0</v>
      </c>
      <c r="AC77" s="140">
        <f>AC78-AC79</f>
        <v>-19745.185820063889</v>
      </c>
      <c r="AD77" s="67"/>
      <c r="AE77" s="67"/>
      <c r="AF77" s="139">
        <f>AF78-AF79</f>
        <v>0</v>
      </c>
      <c r="AG77" s="139">
        <f>AG78-AG79</f>
        <v>0</v>
      </c>
      <c r="AH77" s="140">
        <f>AH78-AH79</f>
        <v>-25070.169833499593</v>
      </c>
      <c r="AI77" s="67">
        <f>AH77/$AH$89</f>
        <v>-7.2568195526414104E-3</v>
      </c>
      <c r="AJ77" s="67"/>
      <c r="AK77" s="139">
        <f>AK78-AK79</f>
        <v>0</v>
      </c>
      <c r="AL77" s="139">
        <f>AL78-AL79</f>
        <v>0</v>
      </c>
      <c r="AM77" s="140">
        <f>AM78-AM79</f>
        <v>-37914.911881569198</v>
      </c>
      <c r="AN77" s="67">
        <f>AM77/$AH$89</f>
        <v>-1.0974862783386255E-2</v>
      </c>
      <c r="AO77" s="640"/>
      <c r="AP77" s="640">
        <f>AP78-AP79</f>
        <v>0</v>
      </c>
      <c r="AQ77" s="640">
        <f>AQ78-AQ79</f>
        <v>0</v>
      </c>
      <c r="AR77" s="640">
        <f>AR78-AR79</f>
        <v>-4038.9061514929394</v>
      </c>
      <c r="AS77" s="675">
        <f>AR77/$AR$89</f>
        <v>-0.12085421026429415</v>
      </c>
      <c r="AT77" s="700"/>
      <c r="AU77" s="781">
        <f>AU78-AU79</f>
        <v>0</v>
      </c>
      <c r="AV77" s="640">
        <f>AV78-AV79</f>
        <v>0</v>
      </c>
      <c r="AW77" s="640">
        <f>AW78-AW79</f>
        <v>-11456.246869436176</v>
      </c>
      <c r="AX77" s="675">
        <f t="shared" si="87"/>
        <v>-6.1461701878842727E-3</v>
      </c>
      <c r="AY77" s="781"/>
      <c r="AZ77" s="781">
        <f>AZ78-AZ79</f>
        <v>0</v>
      </c>
      <c r="BA77" s="640">
        <f>BA78-BA79</f>
        <v>0</v>
      </c>
      <c r="BB77" s="640">
        <f>BB78-BB79</f>
        <v>-123549.71389445095</v>
      </c>
      <c r="BC77" s="675">
        <f t="shared" si="88"/>
        <v>-6.6283275571302161E-2</v>
      </c>
      <c r="BD77" s="781"/>
      <c r="BE77" s="640">
        <f>BE78-BE79</f>
        <v>0</v>
      </c>
      <c r="BF77" s="640">
        <f>BF78-BF79</f>
        <v>0</v>
      </c>
      <c r="BG77" s="640">
        <f>BG78-BG79</f>
        <v>0</v>
      </c>
      <c r="BH77" s="675">
        <f t="shared" si="89"/>
        <v>0</v>
      </c>
      <c r="BI77" s="700"/>
      <c r="BJ77" s="640">
        <f>BJ78-BJ79</f>
        <v>0</v>
      </c>
      <c r="BK77" s="640">
        <f>BK78-BK79</f>
        <v>0</v>
      </c>
      <c r="BL77" s="640">
        <f>BL78-BL79</f>
        <v>0</v>
      </c>
      <c r="BM77" s="675">
        <f t="shared" si="35"/>
        <v>0</v>
      </c>
      <c r="BN77" s="700"/>
      <c r="BO77" s="587">
        <f>BO78-BO79</f>
        <v>0</v>
      </c>
      <c r="BP77" s="587">
        <f>BP78-BP79</f>
        <v>0</v>
      </c>
      <c r="BQ77" s="674">
        <f>BQ78-BQ79</f>
        <v>-646262.49138699414</v>
      </c>
      <c r="BR77" s="675"/>
      <c r="BS77" s="675"/>
      <c r="BT77" s="842"/>
    </row>
    <row r="78" spans="1:74" s="2" customFormat="1" ht="13.95" customHeight="1" outlineLevel="2">
      <c r="A78" s="11"/>
      <c r="B78" s="6" t="s">
        <v>43</v>
      </c>
      <c r="C78" s="141"/>
      <c r="D78" s="142"/>
      <c r="E78" s="119">
        <f>C78+D78*1.15</f>
        <v>0</v>
      </c>
      <c r="F78" s="186"/>
      <c r="G78" s="39">
        <v>0</v>
      </c>
      <c r="H78" s="39">
        <v>0</v>
      </c>
      <c r="I78" s="68">
        <f>G78+H78*1.15</f>
        <v>0</v>
      </c>
      <c r="J78" s="68"/>
      <c r="K78" s="68"/>
      <c r="L78" s="39"/>
      <c r="M78" s="39"/>
      <c r="N78" s="68">
        <f>L78+M78*1.15</f>
        <v>0</v>
      </c>
      <c r="O78" s="68"/>
      <c r="P78" s="68"/>
      <c r="Q78" s="39"/>
      <c r="R78" s="39"/>
      <c r="S78" s="68">
        <f>Q78+R78*1.15</f>
        <v>0</v>
      </c>
      <c r="T78" s="68"/>
      <c r="U78" s="68"/>
      <c r="V78" s="39"/>
      <c r="W78" s="39"/>
      <c r="X78" s="210">
        <f>V78+W78*1</f>
        <v>0</v>
      </c>
      <c r="Y78" s="450">
        <f>X78/$X$89</f>
        <v>0</v>
      </c>
      <c r="Z78" s="68"/>
      <c r="AA78" s="39"/>
      <c r="AB78" s="39"/>
      <c r="AC78" s="210">
        <f>AA78+AB78*1</f>
        <v>0</v>
      </c>
      <c r="AD78" s="595">
        <f>AC78/$AC$89</f>
        <v>0</v>
      </c>
      <c r="AE78" s="68"/>
      <c r="AF78" s="39"/>
      <c r="AG78" s="39"/>
      <c r="AH78" s="210">
        <f>AF78+AG78*1</f>
        <v>0</v>
      </c>
      <c r="AI78" s="541">
        <f>AH78/$AH$89</f>
        <v>0</v>
      </c>
      <c r="AJ78" s="68"/>
      <c r="AK78" s="39"/>
      <c r="AL78" s="39"/>
      <c r="AM78" s="210">
        <f>AK78+AL78*1</f>
        <v>0</v>
      </c>
      <c r="AN78" s="541">
        <f>AM78/$AM$89</f>
        <v>0</v>
      </c>
      <c r="AO78" s="551"/>
      <c r="AP78" s="797"/>
      <c r="AQ78" s="641"/>
      <c r="AR78" s="771"/>
      <c r="AS78" s="797">
        <f>AR78/$AR$89</f>
        <v>0</v>
      </c>
      <c r="AT78" s="641"/>
      <c r="AU78" s="641"/>
      <c r="AV78" s="641"/>
      <c r="AW78" s="771"/>
      <c r="AX78" s="797">
        <f t="shared" si="87"/>
        <v>0</v>
      </c>
      <c r="AY78" s="641"/>
      <c r="AZ78" s="641"/>
      <c r="BA78" s="641"/>
      <c r="BB78" s="771"/>
      <c r="BC78" s="797">
        <f t="shared" si="88"/>
        <v>0</v>
      </c>
      <c r="BD78" s="771"/>
      <c r="BE78" s="797"/>
      <c r="BF78" s="641"/>
      <c r="BG78" s="771"/>
      <c r="BH78" s="797">
        <f t="shared" si="89"/>
        <v>0</v>
      </c>
      <c r="BI78" s="641"/>
      <c r="BJ78" s="797"/>
      <c r="BK78" s="641"/>
      <c r="BL78" s="771"/>
      <c r="BM78" s="797">
        <f t="shared" si="35"/>
        <v>0</v>
      </c>
      <c r="BN78" s="641"/>
      <c r="BO78" s="560">
        <f>G78+L78+Q78+V78+AA78+AF78+AK78+AP78+AU78+AZ78+BE78+BJ78</f>
        <v>0</v>
      </c>
      <c r="BP78" s="452">
        <f>H78+M78+R78+W78+AB78+AG78+AL78+AQ78+AV78+BA78+BF78+BK78</f>
        <v>0</v>
      </c>
      <c r="BQ78" s="676">
        <f>BO78+BP78*1.15</f>
        <v>0</v>
      </c>
      <c r="BR78" s="676"/>
      <c r="BS78" s="676"/>
      <c r="BT78" s="842"/>
    </row>
    <row r="79" spans="1:74" s="2" customFormat="1" ht="13.95" customHeight="1" outlineLevel="2">
      <c r="A79" s="11"/>
      <c r="B79" s="24" t="s">
        <v>79</v>
      </c>
      <c r="C79" s="113"/>
      <c r="D79" s="119"/>
      <c r="E79" s="119">
        <f>C79+D79*1.15</f>
        <v>0</v>
      </c>
      <c r="F79" s="180"/>
      <c r="G79" s="39">
        <v>0</v>
      </c>
      <c r="H79" s="39">
        <v>0</v>
      </c>
      <c r="I79" s="106">
        <f>(H8+H41+H50+H54)/0.88*0.12</f>
        <v>214910.93727272723</v>
      </c>
      <c r="J79" s="45"/>
      <c r="K79" s="45"/>
      <c r="L79" s="39"/>
      <c r="M79" s="39"/>
      <c r="N79" s="106">
        <f>(M8+M41+M50+M54)/(1-'расчет 2024'!E4)*'расчет 2024'!E4</f>
        <v>108989.43137931035</v>
      </c>
      <c r="O79" s="45"/>
      <c r="P79" s="45"/>
      <c r="Q79" s="39"/>
      <c r="R79" s="39"/>
      <c r="S79" s="106">
        <v>23608.901582371502</v>
      </c>
      <c r="T79" s="45"/>
      <c r="U79" s="45"/>
      <c r="V79" s="39"/>
      <c r="W79" s="39"/>
      <c r="X79" s="106">
        <v>76978.086702072294</v>
      </c>
      <c r="Y79" s="450">
        <f>X79/$X$89</f>
        <v>2.5088637260533172E-2</v>
      </c>
      <c r="Z79" s="45"/>
      <c r="AA79" s="39"/>
      <c r="AB79" s="39"/>
      <c r="AC79" s="106">
        <v>19745.185820063889</v>
      </c>
      <c r="AD79" s="595">
        <f>AC79/$AC$89</f>
        <v>6.1789510691927368E-2</v>
      </c>
      <c r="AE79" s="45"/>
      <c r="AF79" s="39"/>
      <c r="AG79" s="39"/>
      <c r="AH79" s="106">
        <v>25070.169833499593</v>
      </c>
      <c r="AI79" s="541">
        <f>AH79/$AH$89</f>
        <v>7.2568195526414104E-3</v>
      </c>
      <c r="AJ79" s="45"/>
      <c r="AK79" s="39"/>
      <c r="AL79" s="39"/>
      <c r="AM79" s="106">
        <v>37914.911881569198</v>
      </c>
      <c r="AN79" s="541">
        <f>AM79/$AM$89</f>
        <v>1.7614494407102468E-2</v>
      </c>
      <c r="AO79" s="806"/>
      <c r="AP79" s="560"/>
      <c r="AQ79" s="452"/>
      <c r="AR79" s="446">
        <v>4038.9061514929394</v>
      </c>
      <c r="AS79" s="541">
        <f>AR79/$AM$89</f>
        <v>1.8763933841784179E-3</v>
      </c>
      <c r="AT79" s="642"/>
      <c r="AU79" s="452"/>
      <c r="AV79" s="39"/>
      <c r="AW79" s="106">
        <v>11456.246869436176</v>
      </c>
      <c r="AX79" s="541">
        <f t="shared" si="87"/>
        <v>6.1461701878842727E-3</v>
      </c>
      <c r="AY79" s="642"/>
      <c r="AZ79" s="452"/>
      <c r="BA79" s="39"/>
      <c r="BB79" s="106">
        <v>123549.71389445095</v>
      </c>
      <c r="BC79" s="541">
        <f t="shared" si="88"/>
        <v>6.6283275571302161E-2</v>
      </c>
      <c r="BD79" s="772"/>
      <c r="BE79" s="560"/>
      <c r="BF79" s="452"/>
      <c r="BG79" s="446">
        <f>(BF8+BF41+BF50+BF54)/(1-'расчет 2024'!E4)*'расчет 2024'!E4</f>
        <v>0</v>
      </c>
      <c r="BH79" s="541">
        <f t="shared" si="89"/>
        <v>0</v>
      </c>
      <c r="BI79" s="642"/>
      <c r="BJ79" s="560"/>
      <c r="BK79" s="452"/>
      <c r="BL79" s="446">
        <f>(BK8+BK41+BK50+BK54)/(1-'расчет 2024'!J4)*'расчет 2024'!J4</f>
        <v>0</v>
      </c>
      <c r="BM79" s="541">
        <f t="shared" si="35"/>
        <v>0</v>
      </c>
      <c r="BN79" s="642"/>
      <c r="BO79" s="560">
        <f>G79+L79+Q79+V79+AA79+AF79+AK79+AP79+AU79+AZ79+BE79+BJ79</f>
        <v>0</v>
      </c>
      <c r="BP79" s="452">
        <f>H79+M79+R79+W79+AB79+AG79+AL79+AQ79+AV79+BA79+BF79+BK79</f>
        <v>0</v>
      </c>
      <c r="BQ79" s="446">
        <f>I79+N79+S79+X79+AC79+AH79+AM79+AR79+AW79+BB79+BG79+BL79</f>
        <v>646262.49138699414</v>
      </c>
      <c r="BR79" s="693"/>
      <c r="BS79" s="693"/>
      <c r="BT79" s="842"/>
      <c r="BU79" s="842"/>
    </row>
    <row r="80" spans="1:74" ht="13.95" customHeight="1" outlineLevel="2">
      <c r="A80" s="3"/>
      <c r="B80" s="25"/>
      <c r="C80" s="143"/>
      <c r="D80" s="144"/>
      <c r="E80" s="145"/>
      <c r="F80" s="187"/>
      <c r="G80" s="69">
        <v>0</v>
      </c>
      <c r="H80" s="69">
        <v>0</v>
      </c>
      <c r="I80" s="69"/>
      <c r="J80" s="69"/>
      <c r="K80" s="69"/>
      <c r="L80" s="39"/>
      <c r="M80" s="39"/>
      <c r="N80" s="69"/>
      <c r="O80" s="69"/>
      <c r="P80" s="69"/>
      <c r="Q80" s="39"/>
      <c r="R80" s="39"/>
      <c r="S80" s="69"/>
      <c r="T80" s="69"/>
      <c r="U80" s="69"/>
      <c r="V80" s="39"/>
      <c r="W80" s="39"/>
      <c r="X80" s="210">
        <f>V80+W80*1</f>
        <v>0</v>
      </c>
      <c r="Y80" s="450">
        <f>X80/$X$89</f>
        <v>0</v>
      </c>
      <c r="Z80" s="69"/>
      <c r="AA80" s="39"/>
      <c r="AB80" s="39"/>
      <c r="AC80" s="210">
        <f>AA80+AB80*1</f>
        <v>0</v>
      </c>
      <c r="AD80" s="450">
        <f>AC80/$X$89</f>
        <v>0</v>
      </c>
      <c r="AE80" s="69"/>
      <c r="AF80" s="39"/>
      <c r="AG80" s="39"/>
      <c r="AH80" s="210">
        <f>AF80+AG80*1</f>
        <v>0</v>
      </c>
      <c r="AI80" s="450">
        <f>AH80/$X$89</f>
        <v>0</v>
      </c>
      <c r="AJ80" s="69"/>
      <c r="AK80" s="39"/>
      <c r="AL80" s="39"/>
      <c r="AM80" s="210">
        <f>AK80+AL80*1</f>
        <v>0</v>
      </c>
      <c r="AN80" s="450">
        <f>AM80/$X$89</f>
        <v>0</v>
      </c>
      <c r="AO80" s="552"/>
      <c r="AP80" s="478"/>
      <c r="AQ80" s="476"/>
      <c r="AR80" s="764"/>
      <c r="AS80" s="478"/>
      <c r="AT80" s="476"/>
      <c r="AU80" s="476"/>
      <c r="AV80" s="476"/>
      <c r="AW80" s="764"/>
      <c r="AX80" s="478"/>
      <c r="AY80" s="476"/>
      <c r="AZ80" s="476"/>
      <c r="BA80" s="476"/>
      <c r="BB80" s="764"/>
      <c r="BC80" s="478"/>
      <c r="BD80" s="764"/>
      <c r="BE80" s="478"/>
      <c r="BF80" s="476"/>
      <c r="BG80" s="764"/>
      <c r="BH80" s="478"/>
      <c r="BI80" s="476"/>
      <c r="BJ80" s="478"/>
      <c r="BK80" s="476"/>
      <c r="BL80" s="764"/>
      <c r="BM80" s="478"/>
      <c r="BN80" s="476"/>
      <c r="BO80" s="560">
        <f>G80+L80+Q80+V80</f>
        <v>0</v>
      </c>
      <c r="BP80" s="452">
        <f>H80+M80+R80+W80</f>
        <v>0</v>
      </c>
      <c r="BQ80" s="678"/>
      <c r="BR80" s="678"/>
      <c r="BS80" s="678"/>
      <c r="BT80" s="928"/>
    </row>
    <row r="81" spans="1:72" s="2" customFormat="1" ht="13.95" customHeight="1" outlineLevel="1" thickBot="1">
      <c r="A81" s="26"/>
      <c r="B81" s="27" t="s">
        <v>12</v>
      </c>
      <c r="C81" s="139">
        <f>(C75+C78)-C79</f>
        <v>13785360</v>
      </c>
      <c r="D81" s="139">
        <f>(D75+D78)-D79</f>
        <v>-3197078</v>
      </c>
      <c r="E81" s="140">
        <f>(E75+E78)-E79</f>
        <v>10588282</v>
      </c>
      <c r="F81" s="173"/>
      <c r="G81" s="139">
        <f>(G75+G78)-G79</f>
        <v>5692867.7293999987</v>
      </c>
      <c r="H81" s="139">
        <f>(H75+H78)-H79</f>
        <v>-1576013.5399999998</v>
      </c>
      <c r="I81" s="140">
        <f>(I75+I78)-I79</f>
        <v>3901943.2521272697</v>
      </c>
      <c r="J81" s="67"/>
      <c r="K81" s="67"/>
      <c r="L81" s="139">
        <f>(L75+L78)-L79</f>
        <v>2924447.7459999998</v>
      </c>
      <c r="M81" s="139">
        <f>(M75+M78)-M79</f>
        <v>-729390.81</v>
      </c>
      <c r="N81" s="140">
        <f>(N75+N78)-N79</f>
        <v>2086067.504620689</v>
      </c>
      <c r="O81" s="67"/>
      <c r="P81" s="67"/>
      <c r="Q81" s="139">
        <f>(Q75+Q78)-Q79</f>
        <v>-1191975.3520000002</v>
      </c>
      <c r="R81" s="139">
        <f>(R75+R78)-R79</f>
        <v>-160733.75</v>
      </c>
      <c r="S81" s="140">
        <f>(S75+S78)-S79</f>
        <v>-1376318.0035823716</v>
      </c>
      <c r="T81" s="67"/>
      <c r="U81" s="67"/>
      <c r="V81" s="139">
        <f>(V75+V78)-V79</f>
        <v>2303656.8419999997</v>
      </c>
      <c r="W81" s="139">
        <f>(W75+W78)-W79</f>
        <v>-544396.19000000006</v>
      </c>
      <c r="X81" s="140">
        <f>(X75+X78)-X79</f>
        <v>1682282.5652979275</v>
      </c>
      <c r="Y81" s="67"/>
      <c r="Z81" s="67"/>
      <c r="AA81" s="139">
        <f>(AA75+AA78)-AA79</f>
        <v>-157251.041</v>
      </c>
      <c r="AB81" s="139">
        <f>(AB75+AB78)-AB79</f>
        <v>-142559.4</v>
      </c>
      <c r="AC81" s="140">
        <f>(AC75+AC78)-AC79</f>
        <v>-319555.62682006386</v>
      </c>
      <c r="AD81" s="67"/>
      <c r="AE81" s="67"/>
      <c r="AF81" s="139">
        <f>(AF75+AF78)-AF79</f>
        <v>1591578.2120000003</v>
      </c>
      <c r="AG81" s="139">
        <f>(AG75+AG78)-AG79</f>
        <v>-183930.11</v>
      </c>
      <c r="AH81" s="140">
        <f>(AH75+AH78)-AH79</f>
        <v>1382577.9321665007</v>
      </c>
      <c r="AI81" s="67"/>
      <c r="AJ81" s="67"/>
      <c r="AK81" s="139">
        <f>(AK75+AK78)-AK79</f>
        <v>1151857.4039999999</v>
      </c>
      <c r="AL81" s="139">
        <f>(AL75+AL78)-AL79</f>
        <v>-272700.98</v>
      </c>
      <c r="AM81" s="140">
        <f>(AM75+AM78)-AM79</f>
        <v>841241.51211843092</v>
      </c>
      <c r="AN81" s="67"/>
      <c r="AO81" s="640"/>
      <c r="AP81" s="640">
        <f>(AP75+AP78)-AP79</f>
        <v>-637.5</v>
      </c>
      <c r="AQ81" s="640">
        <f>(AQ75+AQ78)-AQ79</f>
        <v>-28743.25</v>
      </c>
      <c r="AR81" s="640">
        <f>(AR75+AR78)-AR79</f>
        <v>-33419.656151492942</v>
      </c>
      <c r="AS81" s="675"/>
      <c r="AT81" s="700"/>
      <c r="AU81" s="781">
        <f>(AU75+AU78)-AU79</f>
        <v>327647.42399999965</v>
      </c>
      <c r="AV81" s="640">
        <f>(AV75+AV78)-AV79</f>
        <v>-81747.5</v>
      </c>
      <c r="AW81" s="640">
        <f>(AW75+AW78)-AW79</f>
        <v>234443.67713056348</v>
      </c>
      <c r="AX81" s="675"/>
      <c r="AY81" s="781"/>
      <c r="AZ81" s="781">
        <f>(AZ75+AZ78)-AZ79</f>
        <v>-645426.24195279414</v>
      </c>
      <c r="BA81" s="640">
        <f>(BA75+BA78)-BA79</f>
        <v>-218484.38</v>
      </c>
      <c r="BB81" s="640">
        <f>(BB75+BB78)-BB79</f>
        <v>-987460.33584724518</v>
      </c>
      <c r="BC81" s="675"/>
      <c r="BD81" s="781"/>
      <c r="BE81" s="640">
        <f>(BE75+BE78)-BE79</f>
        <v>0</v>
      </c>
      <c r="BF81" s="640">
        <f>(BF75+BF78)-BF79</f>
        <v>0</v>
      </c>
      <c r="BG81" s="640">
        <f>(BG75+BG78)-BG79</f>
        <v>0</v>
      </c>
      <c r="BH81" s="675"/>
      <c r="BI81" s="700"/>
      <c r="BJ81" s="640">
        <f>(BJ75+BJ78)-BJ79</f>
        <v>-201820.36800000002</v>
      </c>
      <c r="BK81" s="640">
        <f>(BK75+BK78)-BK79</f>
        <v>0</v>
      </c>
      <c r="BL81" s="640">
        <f>(BL75+BL78)-BL79</f>
        <v>-201820.36800000002</v>
      </c>
      <c r="BM81" s="675"/>
      <c r="BN81" s="700"/>
      <c r="BO81" s="587">
        <f>(BO75+BO78)-BO79</f>
        <v>11794944.854447199</v>
      </c>
      <c r="BP81" s="587">
        <f>(BP75+BP78)-BP79</f>
        <v>-3938699.91</v>
      </c>
      <c r="BQ81" s="674">
        <f>(BQ75+BQ78)-BQ79</f>
        <v>7209982.4530602088</v>
      </c>
      <c r="BR81" s="675"/>
      <c r="BS81" s="675"/>
      <c r="BT81" s="842"/>
    </row>
    <row r="82" spans="1:72" s="2" customFormat="1" ht="13.95" customHeight="1" outlineLevel="2">
      <c r="A82" s="293"/>
      <c r="B82" s="6" t="s">
        <v>38</v>
      </c>
      <c r="C82" s="141"/>
      <c r="D82" s="142"/>
      <c r="E82" s="146">
        <f>C82+D82</f>
        <v>0</v>
      </c>
      <c r="F82" s="180">
        <f>E82/$E$89</f>
        <v>0</v>
      </c>
      <c r="G82" s="39">
        <v>0</v>
      </c>
      <c r="H82" s="39">
        <v>0</v>
      </c>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772"/>
      <c r="AP82" s="798"/>
      <c r="AQ82" s="642"/>
      <c r="AR82" s="772">
        <f>AP82+AQ82</f>
        <v>0</v>
      </c>
      <c r="AS82" s="798"/>
      <c r="AT82" s="642"/>
      <c r="AU82" s="642"/>
      <c r="AV82" s="642"/>
      <c r="AW82" s="772">
        <f>AU82+AV82</f>
        <v>0</v>
      </c>
      <c r="AX82" s="798"/>
      <c r="AY82" s="642"/>
      <c r="AZ82" s="642"/>
      <c r="BA82" s="642"/>
      <c r="BB82" s="772">
        <f>AZ82+BA82</f>
        <v>0</v>
      </c>
      <c r="BC82" s="798"/>
      <c r="BD82" s="772"/>
      <c r="BE82" s="798"/>
      <c r="BF82" s="642"/>
      <c r="BG82" s="772">
        <f>BE82+BF82</f>
        <v>0</v>
      </c>
      <c r="BH82" s="798"/>
      <c r="BI82" s="642"/>
      <c r="BJ82" s="798"/>
      <c r="BK82" s="642"/>
      <c r="BL82" s="772">
        <f>BJ82+BK82</f>
        <v>0</v>
      </c>
      <c r="BM82" s="798"/>
      <c r="BN82" s="642"/>
      <c r="BO82" s="560">
        <f>G82+L82</f>
        <v>0</v>
      </c>
      <c r="BP82" s="452">
        <f>H82+M82</f>
        <v>0</v>
      </c>
      <c r="BQ82" s="565">
        <f>BO82+BP82</f>
        <v>0</v>
      </c>
      <c r="BR82" s="642"/>
      <c r="BS82" s="642"/>
      <c r="BT82" s="842"/>
    </row>
    <row r="83" spans="1:72" s="2" customFormat="1" ht="13.95" customHeight="1" outlineLevel="1">
      <c r="A83" s="11"/>
      <c r="B83" s="28" t="s">
        <v>13</v>
      </c>
      <c r="C83" s="147">
        <f>(C81+C7)-C36</f>
        <v>13778360</v>
      </c>
      <c r="D83" s="147">
        <f>(D81+D7)-D36</f>
        <v>-3197078</v>
      </c>
      <c r="E83" s="147">
        <f>(E81+E7)-E36</f>
        <v>10581282</v>
      </c>
      <c r="F83" s="174"/>
      <c r="G83" s="147">
        <f>(G81+G7)-G36</f>
        <v>5692867.7293999987</v>
      </c>
      <c r="H83" s="147">
        <f>(H81+H7)-H36</f>
        <v>-1576013.5399999998</v>
      </c>
      <c r="I83" s="148">
        <f>(I81+I7)-I36</f>
        <v>3901943.2521272697</v>
      </c>
      <c r="J83" s="70"/>
      <c r="K83" s="70"/>
      <c r="L83" s="147">
        <f>(L81+L7)-L36</f>
        <v>2924447.7459999998</v>
      </c>
      <c r="M83" s="147">
        <f>(M81+M7)-M36</f>
        <v>-729390.81</v>
      </c>
      <c r="N83" s="148">
        <f>(N81+N7)-N36</f>
        <v>2086067.504620689</v>
      </c>
      <c r="O83" s="70"/>
      <c r="P83" s="70"/>
      <c r="Q83" s="147">
        <f>(Q81+Q7)-Q36</f>
        <v>-1191975.3520000002</v>
      </c>
      <c r="R83" s="147">
        <f>(R81+R7)-R36</f>
        <v>-160733.75</v>
      </c>
      <c r="S83" s="148">
        <f>(S81+S7)-S36</f>
        <v>-1376318.0035823716</v>
      </c>
      <c r="T83" s="70"/>
      <c r="U83" s="70"/>
      <c r="V83" s="147">
        <f>(V81+V7)-V36</f>
        <v>2303656.8419999997</v>
      </c>
      <c r="W83" s="147">
        <f>(W81+W7)-W36</f>
        <v>-544396.19000000006</v>
      </c>
      <c r="X83" s="148">
        <f>(X81+X7)-X36</f>
        <v>1682282.5652979275</v>
      </c>
      <c r="Y83" s="70"/>
      <c r="Z83" s="70"/>
      <c r="AA83" s="147">
        <f>(AA81+AA7)-AA36</f>
        <v>-157251.041</v>
      </c>
      <c r="AB83" s="147">
        <f>(AB81+AB7)-AB36</f>
        <v>-142559.4</v>
      </c>
      <c r="AC83" s="148">
        <f>(AC81+AC7)-AC36</f>
        <v>-319555.62682006386</v>
      </c>
      <c r="AD83" s="70"/>
      <c r="AE83" s="70"/>
      <c r="AF83" s="147">
        <f>(AF81+AF7)-AF36</f>
        <v>1591578.2120000003</v>
      </c>
      <c r="AG83" s="147">
        <f>(AG81+AG7)-AG36</f>
        <v>-183930.11</v>
      </c>
      <c r="AH83" s="148">
        <f>(AH81+AH7)-AH36</f>
        <v>1382577.9321665007</v>
      </c>
      <c r="AI83" s="70"/>
      <c r="AJ83" s="70"/>
      <c r="AK83" s="147">
        <f>(AK81+AK7)-AK36</f>
        <v>1151857.4039999999</v>
      </c>
      <c r="AL83" s="147">
        <f>(AL81+AL7)-AL36</f>
        <v>-272700.98</v>
      </c>
      <c r="AM83" s="148">
        <f>(AM81+AM7)-AM36</f>
        <v>841241.51211843092</v>
      </c>
      <c r="AN83" s="70"/>
      <c r="AO83" s="643"/>
      <c r="AP83" s="643">
        <f>(AP81+AP7)-AP36</f>
        <v>-637.5</v>
      </c>
      <c r="AQ83" s="643">
        <f>(AQ81+AQ7)-AQ36</f>
        <v>-28743.25</v>
      </c>
      <c r="AR83" s="643">
        <f>(AR81+AR7)-AR36</f>
        <v>-33419.656151492942</v>
      </c>
      <c r="AS83" s="681"/>
      <c r="AT83" s="701"/>
      <c r="AU83" s="782">
        <f>(AU81+AU7)-AU36</f>
        <v>327647.42399999965</v>
      </c>
      <c r="AV83" s="643">
        <f>(AV81+AV7)-AV36</f>
        <v>-81747.5</v>
      </c>
      <c r="AW83" s="643">
        <f>(AW81+AW7)-AW36</f>
        <v>234443.67713056348</v>
      </c>
      <c r="AX83" s="681"/>
      <c r="AY83" s="782"/>
      <c r="AZ83" s="782">
        <f>(AZ81+AZ7)-AZ36</f>
        <v>-645426.24195279414</v>
      </c>
      <c r="BA83" s="643">
        <f>(BA81+BA7)-BA36</f>
        <v>-218484.38</v>
      </c>
      <c r="BB83" s="643">
        <f>(BB81+BB7)-BB36</f>
        <v>-987460.33584724518</v>
      </c>
      <c r="BC83" s="681"/>
      <c r="BD83" s="782"/>
      <c r="BE83" s="643">
        <f>(BE81+BE7)-BE36</f>
        <v>0</v>
      </c>
      <c r="BF83" s="643">
        <f>(BF81+BF7)-BF36</f>
        <v>0</v>
      </c>
      <c r="BG83" s="643">
        <f>(BG81+BG7)-BG36</f>
        <v>0</v>
      </c>
      <c r="BH83" s="681"/>
      <c r="BI83" s="701"/>
      <c r="BJ83" s="643">
        <f>(BJ81+BJ7)-BJ36</f>
        <v>-201820.36800000002</v>
      </c>
      <c r="BK83" s="643">
        <f>(BK81+BK7)-BK36</f>
        <v>0</v>
      </c>
      <c r="BL83" s="643">
        <f>(BL81+BL7)-BL36</f>
        <v>-201820.36800000002</v>
      </c>
      <c r="BM83" s="681"/>
      <c r="BN83" s="701"/>
      <c r="BO83" s="679">
        <f>(BO81+BO7)-BO36</f>
        <v>11794944.854447199</v>
      </c>
      <c r="BP83" s="679">
        <f>(BP81+BP7)-BP36</f>
        <v>-3938699.91</v>
      </c>
      <c r="BQ83" s="680">
        <f>(BQ81+BQ7)-BQ36</f>
        <v>7209982.4530602088</v>
      </c>
      <c r="BR83" s="681"/>
      <c r="BS83" s="681"/>
      <c r="BT83" s="842"/>
    </row>
    <row r="84" spans="1:72" s="2" customFormat="1" ht="13.95" customHeight="1" outlineLevel="1" thickBot="1">
      <c r="A84" s="11"/>
      <c r="B84" s="211" t="s">
        <v>14</v>
      </c>
      <c r="C84" s="212">
        <f>C83-C73-C82</f>
        <v>12543994.85</v>
      </c>
      <c r="D84" s="212">
        <f>D83-D73-D82</f>
        <v>-3197078</v>
      </c>
      <c r="E84" s="212">
        <f>E83-E73-E82</f>
        <v>9346916.8499999996</v>
      </c>
      <c r="F84" s="214"/>
      <c r="G84" s="213">
        <f>G83-G73-G82</f>
        <v>5692867.7293999987</v>
      </c>
      <c r="H84" s="213">
        <f>H83-H73-H82</f>
        <v>-1576013.5399999998</v>
      </c>
      <c r="I84" s="213">
        <f>I83-I73-I82</f>
        <v>3901943.2521272697</v>
      </c>
      <c r="J84" s="82"/>
      <c r="K84" s="82"/>
      <c r="L84" s="213">
        <f>L83-L73-L82</f>
        <v>2924447.7459999998</v>
      </c>
      <c r="M84" s="213">
        <f>M83-M73-M82</f>
        <v>-729390.81</v>
      </c>
      <c r="N84" s="213">
        <f>N83-N73-N82</f>
        <v>2086067.504620689</v>
      </c>
      <c r="O84" s="82"/>
      <c r="P84" s="82"/>
      <c r="Q84" s="213">
        <f>Q83-Q73-Q82</f>
        <v>-1191975.3520000002</v>
      </c>
      <c r="R84" s="213">
        <f>R83-R73-R82</f>
        <v>-160733.75</v>
      </c>
      <c r="S84" s="213">
        <f>S83-S73-S82</f>
        <v>-1376318.0035823716</v>
      </c>
      <c r="T84" s="82"/>
      <c r="U84" s="82"/>
      <c r="V84" s="213">
        <f>V83-V73-V82</f>
        <v>2303656.8419999997</v>
      </c>
      <c r="W84" s="213">
        <f>W83-W73-W82</f>
        <v>-544396.19000000006</v>
      </c>
      <c r="X84" s="213">
        <f>X83-X73-X82</f>
        <v>1682282.5652979275</v>
      </c>
      <c r="Y84" s="82"/>
      <c r="Z84" s="82"/>
      <c r="AA84" s="589">
        <f>AA83-AA73-AA82</f>
        <v>-157251.041</v>
      </c>
      <c r="AB84" s="589">
        <f>AB83-AB73-AB82</f>
        <v>-142559.4</v>
      </c>
      <c r="AC84" s="213">
        <f>AC83-AC73-AC82</f>
        <v>-319555.62682006386</v>
      </c>
      <c r="AD84" s="82"/>
      <c r="AE84" s="82"/>
      <c r="AF84" s="589">
        <f>AF83-AF73-AF82</f>
        <v>1591578.2120000003</v>
      </c>
      <c r="AG84" s="589">
        <f>AG83-AG73-AG82</f>
        <v>-183930.11</v>
      </c>
      <c r="AH84" s="213">
        <f>AH83-AH73-AH82</f>
        <v>1382577.9321665007</v>
      </c>
      <c r="AI84" s="82"/>
      <c r="AJ84" s="82"/>
      <c r="AK84" s="589">
        <f>AK83-AK73-AK82</f>
        <v>1151857.4039999999</v>
      </c>
      <c r="AL84" s="589">
        <f>AL83-AL73-AL82</f>
        <v>-272700.98</v>
      </c>
      <c r="AM84" s="213">
        <f>AM83-AM73-AM82</f>
        <v>841241.51211843092</v>
      </c>
      <c r="AN84" s="82"/>
      <c r="AO84" s="773"/>
      <c r="AP84" s="537">
        <f>AP83-AP73-AP82</f>
        <v>-637.5</v>
      </c>
      <c r="AQ84" s="537">
        <f>AQ83-AQ73-AQ82</f>
        <v>-28743.25</v>
      </c>
      <c r="AR84" s="773">
        <f>AR83-AR73-AR82</f>
        <v>-33419.656151492942</v>
      </c>
      <c r="AS84" s="537"/>
      <c r="AT84" s="702"/>
      <c r="AU84" s="702">
        <f>AU83-AU73-AU82</f>
        <v>327647.42399999965</v>
      </c>
      <c r="AV84" s="537">
        <f>AV83-AV73-AV82</f>
        <v>-81747.5</v>
      </c>
      <c r="AW84" s="773">
        <f>AW83-AW73-AW82</f>
        <v>234443.67713056348</v>
      </c>
      <c r="AX84" s="537"/>
      <c r="AY84" s="702"/>
      <c r="AZ84" s="702">
        <f>AZ83-AZ73-AZ82</f>
        <v>-645426.24195279414</v>
      </c>
      <c r="BA84" s="537">
        <f>BA83-BA73-BA82</f>
        <v>-218484.38</v>
      </c>
      <c r="BB84" s="773">
        <f>BB83-BB73-BB82</f>
        <v>-987460.33584724518</v>
      </c>
      <c r="BC84" s="537"/>
      <c r="BD84" s="911"/>
      <c r="BE84" s="537">
        <f>BE83-BE73-BE82</f>
        <v>0</v>
      </c>
      <c r="BF84" s="537">
        <f>BF83-BF73-BF82</f>
        <v>0</v>
      </c>
      <c r="BG84" s="773">
        <f>BG83-BG73-BG82</f>
        <v>0</v>
      </c>
      <c r="BH84" s="537"/>
      <c r="BI84" s="702"/>
      <c r="BJ84" s="537">
        <f>BJ83-BJ73-BJ82</f>
        <v>-201820.36800000002</v>
      </c>
      <c r="BK84" s="537">
        <f>BK83-BK73-BK82</f>
        <v>0</v>
      </c>
      <c r="BL84" s="773">
        <f>BL83-BL73-BL82</f>
        <v>-201820.36800000002</v>
      </c>
      <c r="BM84" s="537"/>
      <c r="BN84" s="702"/>
      <c r="BO84" s="562">
        <f>BO83-BO73-BO82</f>
        <v>11794944.854447199</v>
      </c>
      <c r="BP84" s="562">
        <f>BP83-BP73-BP82</f>
        <v>-3938699.91</v>
      </c>
      <c r="BQ84" s="562">
        <f>BQ83-BQ73-BQ82</f>
        <v>7209982.4530602088</v>
      </c>
      <c r="BR84" s="537"/>
      <c r="BS84" s="537"/>
      <c r="BT84" s="842"/>
    </row>
    <row r="85" spans="1:72" s="2" customFormat="1" ht="13.8" outlineLevel="3">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807"/>
      <c r="AP85" s="798"/>
      <c r="AQ85" s="642"/>
      <c r="AR85" s="772">
        <f>AP85+AQ85*1.15</f>
        <v>0</v>
      </c>
      <c r="AS85" s="798"/>
      <c r="AT85" s="642"/>
      <c r="AU85" s="642"/>
      <c r="AV85" s="642"/>
      <c r="AW85" s="772">
        <f>AU85+AV85*1.15</f>
        <v>0</v>
      </c>
      <c r="AX85" s="798"/>
      <c r="AY85" s="642"/>
      <c r="AZ85" s="642"/>
      <c r="BA85" s="642"/>
      <c r="BB85" s="772">
        <f>AZ85+BA85*1.15</f>
        <v>0</v>
      </c>
      <c r="BC85" s="798"/>
      <c r="BD85" s="772"/>
      <c r="BE85" s="798"/>
      <c r="BF85" s="642"/>
      <c r="BG85" s="772">
        <f>BE85+BF85*1.15</f>
        <v>0</v>
      </c>
      <c r="BH85" s="798"/>
      <c r="BI85" s="642"/>
      <c r="BJ85" s="798"/>
      <c r="BK85" s="642"/>
      <c r="BL85" s="772">
        <f>BJ85+BK85*1.15</f>
        <v>0</v>
      </c>
      <c r="BM85" s="798"/>
      <c r="BN85" s="642"/>
      <c r="BO85" s="560">
        <f>G85+L85</f>
        <v>0</v>
      </c>
      <c r="BP85" s="452">
        <f>H85+M85</f>
        <v>0</v>
      </c>
      <c r="BQ85" s="484">
        <f>BO85+BP85*1.15</f>
        <v>0</v>
      </c>
      <c r="BR85" s="566"/>
      <c r="BS85" s="566"/>
      <c r="BT85" s="842"/>
    </row>
    <row r="86" spans="1:72" s="2" customFormat="1" ht="27.6">
      <c r="A86" s="11"/>
      <c r="B86" s="37" t="s">
        <v>50</v>
      </c>
      <c r="C86" s="149">
        <f>C84-C85</f>
        <v>12543994.85</v>
      </c>
      <c r="D86" s="149">
        <f>D84-D85</f>
        <v>-3197078</v>
      </c>
      <c r="E86" s="150">
        <f>E84-E85</f>
        <v>9346916.8499999996</v>
      </c>
      <c r="F86" s="175"/>
      <c r="G86" s="149">
        <f>G84-G85</f>
        <v>5692867.7293999987</v>
      </c>
      <c r="H86" s="149">
        <f>H84-H85</f>
        <v>-1576013.5399999998</v>
      </c>
      <c r="I86" s="150">
        <f>I84-I85</f>
        <v>3901943.2521272697</v>
      </c>
      <c r="J86" s="73"/>
      <c r="K86" s="73"/>
      <c r="L86" s="150">
        <f>L84-L85</f>
        <v>2924447.7459999998</v>
      </c>
      <c r="M86" s="150">
        <f>M84-M85</f>
        <v>-729390.81</v>
      </c>
      <c r="N86" s="150">
        <f>N84-N85</f>
        <v>2086067.504620689</v>
      </c>
      <c r="O86" s="73"/>
      <c r="P86" s="73"/>
      <c r="Q86" s="150">
        <f>Q84-Q85</f>
        <v>-1191975.3520000002</v>
      </c>
      <c r="R86" s="150">
        <f>R84-R85</f>
        <v>-160733.75</v>
      </c>
      <c r="S86" s="150">
        <f>S84-S85</f>
        <v>-1376318.0035823716</v>
      </c>
      <c r="T86" s="73"/>
      <c r="U86" s="73"/>
      <c r="V86" s="150">
        <f>V84-V85</f>
        <v>2303656.8419999997</v>
      </c>
      <c r="W86" s="150">
        <f>W84-W85</f>
        <v>-544396.19000000006</v>
      </c>
      <c r="X86" s="150">
        <f>X84-X85</f>
        <v>1682282.5652979275</v>
      </c>
      <c r="Y86" s="73"/>
      <c r="Z86" s="73"/>
      <c r="AA86" s="150">
        <f>AA84-AA85</f>
        <v>-157251.041</v>
      </c>
      <c r="AB86" s="150">
        <f>AB84-AB85</f>
        <v>-142559.4</v>
      </c>
      <c r="AC86" s="150">
        <f>AC84-AC85</f>
        <v>-319555.62682006386</v>
      </c>
      <c r="AD86" s="73"/>
      <c r="AE86" s="73"/>
      <c r="AF86" s="150">
        <f>AF84-AF85</f>
        <v>1591578.2120000003</v>
      </c>
      <c r="AG86" s="150">
        <f>AG84-AG85</f>
        <v>-183930.11</v>
      </c>
      <c r="AH86" s="150">
        <f>AH84-AH85</f>
        <v>1382577.9321665007</v>
      </c>
      <c r="AI86" s="73"/>
      <c r="AJ86" s="73"/>
      <c r="AK86" s="150">
        <f>AK84-AK85</f>
        <v>1151857.4039999999</v>
      </c>
      <c r="AL86" s="150">
        <f>AL84-AL85</f>
        <v>-272700.98</v>
      </c>
      <c r="AM86" s="150">
        <f>AM84-AM85</f>
        <v>841241.51211843092</v>
      </c>
      <c r="AN86" s="73"/>
      <c r="AO86" s="571"/>
      <c r="AP86" s="538">
        <f>AP84-AP85</f>
        <v>-637.5</v>
      </c>
      <c r="AQ86" s="538">
        <f>AQ84-AQ85</f>
        <v>-28743.25</v>
      </c>
      <c r="AR86" s="571">
        <f>AR84-AR85</f>
        <v>-33419.656151492942</v>
      </c>
      <c r="AS86" s="538"/>
      <c r="AT86" s="703"/>
      <c r="AU86" s="703">
        <f>AU84-AU85</f>
        <v>327647.42399999965</v>
      </c>
      <c r="AV86" s="538">
        <f>AV84-AV85</f>
        <v>-81747.5</v>
      </c>
      <c r="AW86" s="571">
        <f>AW84-AW85</f>
        <v>234443.67713056348</v>
      </c>
      <c r="AX86" s="538"/>
      <c r="AY86" s="703"/>
      <c r="AZ86" s="703">
        <f>AZ84-AZ85</f>
        <v>-645426.24195279414</v>
      </c>
      <c r="BA86" s="538">
        <f>BA84-BA85</f>
        <v>-218484.38</v>
      </c>
      <c r="BB86" s="571">
        <f>BB84-BB85</f>
        <v>-987460.33584724518</v>
      </c>
      <c r="BC86" s="538"/>
      <c r="BD86" s="912"/>
      <c r="BE86" s="538">
        <f>BE84-BE85</f>
        <v>0</v>
      </c>
      <c r="BF86" s="538">
        <f>BF84-BF85</f>
        <v>0</v>
      </c>
      <c r="BG86" s="571">
        <f>BG84-BG85</f>
        <v>0</v>
      </c>
      <c r="BH86" s="538"/>
      <c r="BI86" s="703"/>
      <c r="BJ86" s="538">
        <f>BJ84-BJ85</f>
        <v>-201820.36800000002</v>
      </c>
      <c r="BK86" s="538">
        <f>BK84-BK85</f>
        <v>0</v>
      </c>
      <c r="BL86" s="571">
        <f>BL84-BL85</f>
        <v>-201820.36800000002</v>
      </c>
      <c r="BM86" s="538"/>
      <c r="BN86" s="703"/>
      <c r="BO86" s="569">
        <f>BO84-BO85</f>
        <v>11794944.854447199</v>
      </c>
      <c r="BP86" s="569">
        <f>BP84-BP85</f>
        <v>-3938699.91</v>
      </c>
      <c r="BQ86" s="569">
        <f>BQ84-BQ85</f>
        <v>7209982.4530602088</v>
      </c>
      <c r="BR86" s="538"/>
      <c r="BS86" s="538"/>
      <c r="BT86" s="842"/>
    </row>
    <row r="87" spans="1:72" s="2" customFormat="1" ht="14.4" thickBot="1">
      <c r="A87" s="295"/>
      <c r="B87" s="29" t="s">
        <v>51</v>
      </c>
      <c r="C87" s="155">
        <f>C86/C5</f>
        <v>0.30486914305706053</v>
      </c>
      <c r="D87" s="151" t="e">
        <f>D86/D5</f>
        <v>#DIV/0!</v>
      </c>
      <c r="E87" s="156">
        <f>E86/E5</f>
        <v>0.22716738681418541</v>
      </c>
      <c r="F87" s="176"/>
      <c r="G87" s="155">
        <f>G86/G5</f>
        <v>0.41503192411083406</v>
      </c>
      <c r="H87" s="151" t="e">
        <f>H86/H5</f>
        <v>#DIV/0!</v>
      </c>
      <c r="I87" s="156">
        <f>I86/I5</f>
        <v>0.28446665067209398</v>
      </c>
      <c r="J87" s="75"/>
      <c r="K87" s="75"/>
      <c r="L87" s="155">
        <f>L86/L5</f>
        <v>0.29354459225290208</v>
      </c>
      <c r="M87" s="151" t="e">
        <f>M86/M5</f>
        <v>#DIV/0!</v>
      </c>
      <c r="N87" s="156">
        <f>N86/N5</f>
        <v>0.20939127255512574</v>
      </c>
      <c r="O87" s="75"/>
      <c r="P87" s="75"/>
      <c r="Q87" s="155" t="e">
        <f>Q86/Q5</f>
        <v>#DIV/0!</v>
      </c>
      <c r="R87" s="151" t="e">
        <f>R86/R5</f>
        <v>#DIV/0!</v>
      </c>
      <c r="S87" s="156" t="e">
        <f>S86/S5</f>
        <v>#DIV/0!</v>
      </c>
      <c r="T87" s="75"/>
      <c r="U87" s="75"/>
      <c r="V87" s="155">
        <f>V86/V5</f>
        <v>0.48492652521374674</v>
      </c>
      <c r="W87" s="151" t="e">
        <f>W86/W5</f>
        <v>#DIV/0!</v>
      </c>
      <c r="X87" s="156">
        <f>X86/X5</f>
        <v>0.35412541657434587</v>
      </c>
      <c r="Y87" s="75"/>
      <c r="Z87" s="75"/>
      <c r="AA87" s="155" t="e">
        <f>AA86/AA5</f>
        <v>#DIV/0!</v>
      </c>
      <c r="AB87" s="151" t="e">
        <f>AB86/AB5</f>
        <v>#DIV/0!</v>
      </c>
      <c r="AC87" s="156" t="e">
        <f>AC86/AC5</f>
        <v>#DIV/0!</v>
      </c>
      <c r="AD87" s="75"/>
      <c r="AE87" s="75"/>
      <c r="AF87" s="155">
        <f>AF86/AF5</f>
        <v>0.32902318880343329</v>
      </c>
      <c r="AG87" s="151" t="e">
        <f>AG86/AG5</f>
        <v>#DIV/0!</v>
      </c>
      <c r="AH87" s="156">
        <f>AH86/AH5</f>
        <v>0.28581705666795021</v>
      </c>
      <c r="AI87" s="75"/>
      <c r="AJ87" s="75"/>
      <c r="AK87" s="155">
        <f>AK86/AK5</f>
        <v>0.38475722621434988</v>
      </c>
      <c r="AL87" s="151" t="e">
        <f>AL86/AL5</f>
        <v>#DIV/0!</v>
      </c>
      <c r="AM87" s="156">
        <f>AM86/AM5</f>
        <v>0.28100158027812</v>
      </c>
      <c r="AN87" s="75"/>
      <c r="AO87" s="539"/>
      <c r="AP87" s="539" t="e">
        <f>AP86/AP5</f>
        <v>#DIV/0!</v>
      </c>
      <c r="AQ87" s="539" t="e">
        <f>AQ86/AQ5</f>
        <v>#DIV/0!</v>
      </c>
      <c r="AR87" s="539" t="e">
        <f>AR86/AR5</f>
        <v>#DIV/0!</v>
      </c>
      <c r="AS87" s="576"/>
      <c r="AT87" s="820"/>
      <c r="AU87" s="783">
        <f>AU86/AU5</f>
        <v>0.1561408930423851</v>
      </c>
      <c r="AV87" s="539" t="e">
        <f>AV86/AV5</f>
        <v>#DIV/0!</v>
      </c>
      <c r="AW87" s="539">
        <f>AW86/AW5</f>
        <v>0.1117245015035028</v>
      </c>
      <c r="AX87" s="576"/>
      <c r="AY87" s="783"/>
      <c r="AZ87" s="783">
        <f>AZ86/AZ5</f>
        <v>-14.031005259843351</v>
      </c>
      <c r="BA87" s="539" t="e">
        <f>BA86/BA5</f>
        <v>#DIV/0!</v>
      </c>
      <c r="BB87" s="539">
        <f>BB86/BB5</f>
        <v>-21.466529040157504</v>
      </c>
      <c r="BC87" s="576"/>
      <c r="BD87" s="783"/>
      <c r="BE87" s="539" t="e">
        <f>BE86/BE5</f>
        <v>#DIV/0!</v>
      </c>
      <c r="BF87" s="539" t="e">
        <f>BF86/BF5</f>
        <v>#DIV/0!</v>
      </c>
      <c r="BG87" s="539" t="e">
        <f>BG86/BG5</f>
        <v>#DIV/0!</v>
      </c>
      <c r="BH87" s="576"/>
      <c r="BI87" s="820"/>
      <c r="BJ87" s="539" t="e">
        <f>BJ86/BJ5</f>
        <v>#DIV/0!</v>
      </c>
      <c r="BK87" s="539" t="e">
        <f>BK86/BK5</f>
        <v>#DIV/0!</v>
      </c>
      <c r="BL87" s="539" t="e">
        <f>BL86/BL5</f>
        <v>#DIV/0!</v>
      </c>
      <c r="BM87" s="576"/>
      <c r="BN87" s="820"/>
      <c r="BO87" s="573">
        <f>BO86/BO5</f>
        <v>0.30711862521987143</v>
      </c>
      <c r="BP87" s="574" t="e">
        <f>BP86/BP5</f>
        <v>#DIV/0!</v>
      </c>
      <c r="BQ87" s="575">
        <f>BQ86/BQ5</f>
        <v>0.18773465464811853</v>
      </c>
      <c r="BR87" s="576"/>
      <c r="BS87" s="576"/>
      <c r="BT87" s="842"/>
    </row>
    <row r="88" spans="1:72"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T88" s="928"/>
    </row>
    <row r="89" spans="1:72">
      <c r="B89" s="221" t="s">
        <v>56</v>
      </c>
      <c r="C89" s="153"/>
      <c r="D89" s="153"/>
      <c r="E89" s="154">
        <f>E8+E36+E41+E50+E54+E73+E79+E82+E85</f>
        <v>31798588.149999999</v>
      </c>
      <c r="F89" s="189"/>
      <c r="I89" s="154">
        <f>I8+I36+I41+I50+I54+I73+I79+I82+I85</f>
        <v>9814755.1478727292</v>
      </c>
      <c r="N89" s="154">
        <f>N8+N36+N41+N50+N54+N73+N79+N82+N85</f>
        <v>7876465.6953793103</v>
      </c>
      <c r="S89" s="154">
        <f>S8+S36+S41+S50+S54+S73+S79+S82+S85</f>
        <v>1376318.0035823716</v>
      </c>
      <c r="X89" s="154">
        <f>X8+X36+X41+X50+X54+X73+X79+X82+X85</f>
        <v>3068245.0347020719</v>
      </c>
      <c r="AC89" s="154">
        <f>AC8+AC36+AC41+AC50+AC54+AC73+AC79+AC82+AC85</f>
        <v>319555.62682006386</v>
      </c>
      <c r="AH89" s="154">
        <f>AH8+AH36+AH41+AH50+AH54+AH73+AH79+AH82+AH85</f>
        <v>3454704.8678334989</v>
      </c>
      <c r="AM89" s="154">
        <f>AM8+AM36+AM41+AM50+AM54+AM73+AM79+AM82+AM85</f>
        <v>2152483.6878815694</v>
      </c>
      <c r="AR89" s="154">
        <f>AR8+AR36+AR41+AR50+AR54+AR73+AR79+AR82+AR85</f>
        <v>33419.656151492942</v>
      </c>
      <c r="AW89" s="154">
        <f>AW8+AW36+AW41+AW50+AW54+AW73+AW79+AW82+AW85</f>
        <v>1863965.1228694364</v>
      </c>
      <c r="BB89" s="154">
        <f>BB8+BB36+BB41+BB50+BB54+BB73+BB79+BB82+BB85</f>
        <v>1033460.3358472452</v>
      </c>
      <c r="BG89" s="154">
        <f>BG8+BG36+BG41+BG50+BG54+BG73+BG79+BG82+BG85</f>
        <v>0</v>
      </c>
      <c r="BL89" s="154">
        <f>BL8+BL36+BL41+BL50+BL54+BL73+BL79+BL82+BL85</f>
        <v>201820.36800000002</v>
      </c>
      <c r="BQ89" s="392">
        <f>BQ8+BQ36+BQ41+BQ50+BQ54+BQ73+BQ79+BQ82+BQ85</f>
        <v>31195193.546939783</v>
      </c>
      <c r="BT89" s="928"/>
    </row>
    <row r="90" spans="1:72">
      <c r="C90" s="153"/>
      <c r="D90" s="153"/>
      <c r="E90" s="153"/>
      <c r="BQ90" s="393" t="b">
        <f>(N89+I89+S89+X89+AC89+AH89+AM89+AR89+AW89+BB89+BG89+BL89)=BQ89</f>
        <v>1</v>
      </c>
    </row>
    <row r="91" spans="1:72"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row>
    <row r="92" spans="1:72">
      <c r="C92" s="38"/>
      <c r="D92" s="38"/>
    </row>
    <row r="93" spans="1:72" s="2" customFormat="1">
      <c r="A93" s="8"/>
      <c r="B93" s="629"/>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38"/>
      <c r="BM93" s="38"/>
      <c r="BN93" s="38"/>
      <c r="BO93" s="38"/>
      <c r="BP93" s="38"/>
      <c r="BQ93" s="38"/>
      <c r="BR93" s="38"/>
      <c r="BS93" s="38"/>
    </row>
    <row r="94" spans="1:72" s="2" customFormat="1">
      <c r="A94" s="8"/>
      <c r="B94" s="629"/>
      <c r="C94" s="38"/>
      <c r="D94" s="38"/>
      <c r="E94" s="38"/>
      <c r="F94" s="38"/>
      <c r="G94" s="38"/>
      <c r="H94" s="38"/>
      <c r="I94" s="38"/>
      <c r="J94" s="38"/>
      <c r="K94" s="38"/>
      <c r="L94" s="38"/>
      <c r="M94" s="38"/>
      <c r="N94" s="38"/>
      <c r="O94" s="38"/>
      <c r="P94" s="38"/>
      <c r="Q94" s="38"/>
      <c r="R94" s="38"/>
      <c r="S94" s="38"/>
      <c r="T94" s="38"/>
      <c r="U94" s="38"/>
      <c r="V94" s="38"/>
      <c r="W94" s="38"/>
      <c r="X94" s="38"/>
      <c r="Y94" s="38"/>
      <c r="Z94" s="38"/>
      <c r="AA94" s="626"/>
      <c r="AB94" s="38"/>
      <c r="AC94" s="38"/>
      <c r="AD94" s="38"/>
      <c r="AE94" s="38"/>
      <c r="AF94" s="38"/>
      <c r="AG94" s="38"/>
      <c r="AH94" s="687">
        <f>AH5-AH89</f>
        <v>1382577.9321665009</v>
      </c>
      <c r="AI94" s="38"/>
      <c r="AJ94" s="38"/>
      <c r="AK94" s="38"/>
      <c r="AL94" s="38"/>
      <c r="AM94" s="687">
        <f>AM5-AM89</f>
        <v>841241.51211843081</v>
      </c>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687">
        <f>BL5-BL89</f>
        <v>-201820.36800000002</v>
      </c>
      <c r="BM94" s="38"/>
      <c r="BN94" s="38"/>
      <c r="BO94" s="626"/>
      <c r="BP94" s="38"/>
      <c r="BQ94" s="687">
        <f>BQ5-BQ89</f>
        <v>7209982.4530602098</v>
      </c>
      <c r="BR94" s="38"/>
      <c r="BS94" s="38"/>
    </row>
    <row r="95" spans="1:72" s="2" customFormat="1">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row>
    <row r="96" spans="1:72" s="2" customFormat="1">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c r="BO96" s="38"/>
      <c r="BP96" s="38"/>
      <c r="BQ96" s="38"/>
      <c r="BR96" s="38"/>
      <c r="BS96" s="38"/>
    </row>
    <row r="97" spans="1:71">
      <c r="C97" s="38"/>
      <c r="D97" s="38"/>
    </row>
    <row r="98" spans="1:71"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38"/>
      <c r="BS98" s="38"/>
    </row>
    <row r="99" spans="1:71">
      <c r="C99" s="38"/>
      <c r="D99" s="38"/>
    </row>
  </sheetData>
  <mergeCells count="16">
    <mergeCell ref="BO2:BR3"/>
    <mergeCell ref="A42:A48"/>
    <mergeCell ref="A2:F2"/>
    <mergeCell ref="G2:K3"/>
    <mergeCell ref="A3:F3"/>
    <mergeCell ref="L2:O3"/>
    <mergeCell ref="Q2:T3"/>
    <mergeCell ref="V2:Y3"/>
    <mergeCell ref="AA2:AD3"/>
    <mergeCell ref="AF2:AI3"/>
    <mergeCell ref="AK2:AN3"/>
    <mergeCell ref="AP2:AS3"/>
    <mergeCell ref="AU2:AY3"/>
    <mergeCell ref="AZ2:BD3"/>
    <mergeCell ref="BE2:BI3"/>
    <mergeCell ref="BJ2:BN3"/>
  </mergeCells>
  <pageMargins left="0.39370078740157483" right="0.19685039370078741" top="0.19685039370078741" bottom="0.19685039370078741" header="0.11811023622047245" footer="0.11811023622047245"/>
  <pageSetup paperSize="9" scale="10" orientation="portrait" horizontalDpi="4294967295" verticalDpi="4294967295"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Z99"/>
  <sheetViews>
    <sheetView showZeros="0" zoomScale="70" zoomScaleNormal="70" workbookViewId="0">
      <pane xSplit="6" ySplit="5" topLeftCell="AN57"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1"/>
  <cols>
    <col min="1" max="1" width="5.5546875" style="1402" customWidth="1"/>
    <col min="2" max="2" width="55" style="1402" customWidth="1"/>
    <col min="3" max="3" width="16.44140625" style="1459" customWidth="1"/>
    <col min="4" max="4" width="16.6640625" style="1459" customWidth="1"/>
    <col min="5" max="5" width="16.33203125" style="1431" customWidth="1"/>
    <col min="6" max="6" width="9.5546875" style="1431" customWidth="1"/>
    <col min="7" max="7" width="27.33203125" style="1431" hidden="1" customWidth="1" outlineLevel="1"/>
    <col min="8" max="8" width="13.88671875" style="1431" hidden="1" customWidth="1" outlineLevel="1"/>
    <col min="9" max="9" width="13.5546875" style="1431" hidden="1" customWidth="1" outlineLevel="1"/>
    <col min="10" max="11" width="9.5546875" style="1431" hidden="1" customWidth="1" outlineLevel="1"/>
    <col min="12" max="12" width="15.33203125" style="1431" hidden="1" customWidth="1" outlineLevel="1"/>
    <col min="13" max="13" width="14.109375" style="1431" hidden="1" customWidth="1" outlineLevel="1"/>
    <col min="14" max="14" width="18.109375" style="1431" hidden="1" customWidth="1" outlineLevel="1"/>
    <col min="15" max="15" width="11.6640625" style="1431" hidden="1" customWidth="1" outlineLevel="1"/>
    <col min="16" max="16" width="52" style="1431" hidden="1" customWidth="1" outlineLevel="1"/>
    <col min="17" max="17" width="15.33203125" style="1431" hidden="1" customWidth="1" outlineLevel="1"/>
    <col min="18" max="18" width="14.109375" style="1431" hidden="1" customWidth="1" outlineLevel="1"/>
    <col min="19" max="19" width="18.109375" style="1431" hidden="1" customWidth="1" outlineLevel="1"/>
    <col min="20" max="20" width="11.6640625" style="1431" hidden="1" customWidth="1" outlineLevel="1"/>
    <col min="21" max="21" width="50.33203125" style="1431" hidden="1" customWidth="1" outlineLevel="1"/>
    <col min="22" max="22" width="19.44140625" style="1431" hidden="1" customWidth="1" outlineLevel="1" collapsed="1"/>
    <col min="23" max="23" width="16.6640625" style="1431" hidden="1" customWidth="1" outlineLevel="1"/>
    <col min="24" max="24" width="17.6640625" style="1431" hidden="1" customWidth="1" outlineLevel="1"/>
    <col min="25" max="25" width="12.5546875" style="1431" hidden="1" customWidth="1" outlineLevel="1"/>
    <col min="26" max="26" width="29.6640625" style="1431" hidden="1" customWidth="1" outlineLevel="1"/>
    <col min="27" max="28" width="16.44140625" style="1431" hidden="1" customWidth="1" outlineLevel="1"/>
    <col min="29" max="29" width="16.109375" style="1431" hidden="1" customWidth="1" outlineLevel="1"/>
    <col min="30" max="30" width="11.88671875" style="1431" hidden="1" customWidth="1" outlineLevel="1"/>
    <col min="31" max="31" width="29.6640625" style="1431" hidden="1" customWidth="1" outlineLevel="1"/>
    <col min="32" max="33" width="16.44140625" style="1431" hidden="1" customWidth="1" outlineLevel="1"/>
    <col min="34" max="34" width="16.109375" style="1431" hidden="1" customWidth="1" outlineLevel="1"/>
    <col min="35" max="35" width="11.33203125" style="1431" hidden="1" customWidth="1" outlineLevel="1"/>
    <col min="36" max="36" width="29.6640625" style="1431" hidden="1" customWidth="1" outlineLevel="1"/>
    <col min="37" max="37" width="18.88671875" style="1431" hidden="1" customWidth="1" outlineLevel="1"/>
    <col min="38" max="38" width="19.33203125" style="1431" hidden="1" customWidth="1" outlineLevel="1"/>
    <col min="39" max="39" width="18.109375" style="1431" hidden="1" customWidth="1" outlineLevel="1"/>
    <col min="40" max="40" width="17" style="1431" hidden="1" customWidth="1" outlineLevel="1"/>
    <col min="41" max="41" width="29.6640625" style="1431" hidden="1" customWidth="1" outlineLevel="1"/>
    <col min="42" max="42" width="22.33203125" style="1431" hidden="1" customWidth="1" outlineLevel="1"/>
    <col min="43" max="43" width="17.88671875" style="1431" hidden="1" customWidth="1" outlineLevel="1"/>
    <col min="44" max="44" width="17.33203125" style="1431" hidden="1" customWidth="1" outlineLevel="1"/>
    <col min="45" max="45" width="14.109375" style="1431" hidden="1" customWidth="1" outlineLevel="1"/>
    <col min="46" max="46" width="29.6640625" style="1431" hidden="1" customWidth="1" outlineLevel="1"/>
    <col min="47" max="47" width="18" style="1431" customWidth="1" collapsed="1"/>
    <col min="48" max="48" width="17.88671875" style="1431" customWidth="1"/>
    <col min="49" max="49" width="16.44140625" style="1431" bestFit="1" customWidth="1"/>
    <col min="50" max="50" width="17.109375" style="1431" customWidth="1"/>
    <col min="51" max="51" width="37.44140625" style="1431" customWidth="1"/>
    <col min="52" max="16384" width="7.44140625" style="1395"/>
  </cols>
  <sheetData>
    <row r="1" spans="1:52" ht="13.8" thickBot="1">
      <c r="C1" s="1431"/>
      <c r="D1" s="1431"/>
    </row>
    <row r="2" spans="1:52" ht="22.2" customHeight="1">
      <c r="A2" s="4834" t="s">
        <v>911</v>
      </c>
      <c r="B2" s="4835"/>
      <c r="C2" s="4835"/>
      <c r="D2" s="4835"/>
      <c r="E2" s="4835"/>
      <c r="F2" s="4836"/>
      <c r="G2" s="4967" t="s">
        <v>969</v>
      </c>
      <c r="H2" s="4968"/>
      <c r="I2" s="4968"/>
      <c r="J2" s="4968"/>
      <c r="K2" s="4969"/>
      <c r="L2" s="4837" t="s">
        <v>964</v>
      </c>
      <c r="M2" s="4838"/>
      <c r="N2" s="4838"/>
      <c r="O2" s="4838"/>
      <c r="P2" s="4953"/>
      <c r="Q2" s="4892" t="s">
        <v>1006</v>
      </c>
      <c r="R2" s="4893"/>
      <c r="S2" s="4893"/>
      <c r="T2" s="4893"/>
      <c r="U2" s="4894"/>
      <c r="V2" s="4955" t="s">
        <v>1066</v>
      </c>
      <c r="W2" s="4956"/>
      <c r="X2" s="4956"/>
      <c r="Y2" s="4956"/>
      <c r="Z2" s="4957"/>
      <c r="AA2" s="4934" t="s">
        <v>1107</v>
      </c>
      <c r="AB2" s="4935"/>
      <c r="AC2" s="4935"/>
      <c r="AD2" s="4935"/>
      <c r="AE2" s="4936"/>
      <c r="AF2" s="4898" t="s">
        <v>1155</v>
      </c>
      <c r="AG2" s="4899"/>
      <c r="AH2" s="4899"/>
      <c r="AI2" s="4899"/>
      <c r="AJ2" s="4900"/>
      <c r="AK2" s="4904" t="s">
        <v>1193</v>
      </c>
      <c r="AL2" s="4905"/>
      <c r="AM2" s="4905"/>
      <c r="AN2" s="4905"/>
      <c r="AO2" s="4906"/>
      <c r="AP2" s="4910" t="s">
        <v>1232</v>
      </c>
      <c r="AQ2" s="4911"/>
      <c r="AR2" s="4911"/>
      <c r="AS2" s="4911"/>
      <c r="AT2" s="4912"/>
      <c r="AU2" s="4988" t="s">
        <v>469</v>
      </c>
      <c r="AV2" s="4989"/>
      <c r="AW2" s="4989"/>
      <c r="AX2" s="4989"/>
      <c r="AY2" s="1588"/>
    </row>
    <row r="3" spans="1:52" ht="14.4" customHeight="1" thickBot="1">
      <c r="A3" s="4853" t="s">
        <v>54</v>
      </c>
      <c r="B3" s="4854"/>
      <c r="C3" s="4854"/>
      <c r="D3" s="4854"/>
      <c r="E3" s="4854"/>
      <c r="F3" s="4855"/>
      <c r="G3" s="4970"/>
      <c r="H3" s="4971"/>
      <c r="I3" s="4971"/>
      <c r="J3" s="4971"/>
      <c r="K3" s="4972"/>
      <c r="L3" s="4839"/>
      <c r="M3" s="4840"/>
      <c r="N3" s="4840"/>
      <c r="O3" s="4840"/>
      <c r="P3" s="4954"/>
      <c r="Q3" s="4895"/>
      <c r="R3" s="4896"/>
      <c r="S3" s="4896"/>
      <c r="T3" s="4896"/>
      <c r="U3" s="4897"/>
      <c r="V3" s="4958"/>
      <c r="W3" s="4959"/>
      <c r="X3" s="4959"/>
      <c r="Y3" s="4959"/>
      <c r="Z3" s="4960"/>
      <c r="AA3" s="4937"/>
      <c r="AB3" s="4938"/>
      <c r="AC3" s="4938"/>
      <c r="AD3" s="4938"/>
      <c r="AE3" s="4939"/>
      <c r="AF3" s="4901"/>
      <c r="AG3" s="4902"/>
      <c r="AH3" s="4902"/>
      <c r="AI3" s="4902"/>
      <c r="AJ3" s="4903"/>
      <c r="AK3" s="4907"/>
      <c r="AL3" s="4908"/>
      <c r="AM3" s="4908"/>
      <c r="AN3" s="4908"/>
      <c r="AO3" s="4909"/>
      <c r="AP3" s="4913"/>
      <c r="AQ3" s="4914"/>
      <c r="AR3" s="4914"/>
      <c r="AS3" s="4914"/>
      <c r="AT3" s="4915"/>
      <c r="AU3" s="4990"/>
      <c r="AV3" s="4991"/>
      <c r="AW3" s="4991"/>
      <c r="AX3" s="4991"/>
      <c r="AY3" s="1589"/>
    </row>
    <row r="4" spans="1:52" ht="41.4" thickBot="1">
      <c r="A4" s="1471"/>
      <c r="B4" s="1472" t="s">
        <v>11</v>
      </c>
      <c r="C4" s="1573" t="s">
        <v>55</v>
      </c>
      <c r="D4" s="1573" t="s">
        <v>18</v>
      </c>
      <c r="E4" s="1574" t="s">
        <v>39</v>
      </c>
      <c r="F4" s="1551" t="s">
        <v>40</v>
      </c>
      <c r="G4" s="1575" t="s">
        <v>968</v>
      </c>
      <c r="H4" s="1575" t="s">
        <v>18</v>
      </c>
      <c r="I4" s="1575" t="s">
        <v>39</v>
      </c>
      <c r="J4" s="1575" t="s">
        <v>40</v>
      </c>
      <c r="K4" s="1551" t="s">
        <v>19</v>
      </c>
      <c r="L4" s="1473" t="s">
        <v>55</v>
      </c>
      <c r="M4" s="1473" t="s">
        <v>18</v>
      </c>
      <c r="N4" s="1474" t="s">
        <v>39</v>
      </c>
      <c r="O4" s="1551" t="s">
        <v>40</v>
      </c>
      <c r="P4" s="1474" t="s">
        <v>19</v>
      </c>
      <c r="Q4" s="1473" t="s">
        <v>55</v>
      </c>
      <c r="R4" s="1473" t="s">
        <v>18</v>
      </c>
      <c r="S4" s="1474" t="s">
        <v>39</v>
      </c>
      <c r="T4" s="1551" t="s">
        <v>40</v>
      </c>
      <c r="U4" s="1474" t="s">
        <v>19</v>
      </c>
      <c r="V4" s="1473" t="s">
        <v>55</v>
      </c>
      <c r="W4" s="1473" t="s">
        <v>18</v>
      </c>
      <c r="X4" s="1474" t="s">
        <v>39</v>
      </c>
      <c r="Y4" s="1551" t="s">
        <v>40</v>
      </c>
      <c r="Z4" s="1474" t="s">
        <v>19</v>
      </c>
      <c r="AA4" s="1473" t="s">
        <v>55</v>
      </c>
      <c r="AB4" s="1473" t="s">
        <v>18</v>
      </c>
      <c r="AC4" s="1474" t="s">
        <v>39</v>
      </c>
      <c r="AD4" s="1551" t="s">
        <v>40</v>
      </c>
      <c r="AE4" s="1474" t="s">
        <v>19</v>
      </c>
      <c r="AF4" s="1473" t="s">
        <v>55</v>
      </c>
      <c r="AG4" s="1473" t="s">
        <v>18</v>
      </c>
      <c r="AH4" s="1474" t="s">
        <v>39</v>
      </c>
      <c r="AI4" s="1551" t="s">
        <v>40</v>
      </c>
      <c r="AJ4" s="1474" t="s">
        <v>19</v>
      </c>
      <c r="AK4" s="1473" t="s">
        <v>55</v>
      </c>
      <c r="AL4" s="1473" t="s">
        <v>18</v>
      </c>
      <c r="AM4" s="1474" t="s">
        <v>39</v>
      </c>
      <c r="AN4" s="1551" t="s">
        <v>40</v>
      </c>
      <c r="AO4" s="1474" t="s">
        <v>19</v>
      </c>
      <c r="AP4" s="1473" t="s">
        <v>55</v>
      </c>
      <c r="AQ4" s="1473" t="s">
        <v>18</v>
      </c>
      <c r="AR4" s="1474" t="s">
        <v>39</v>
      </c>
      <c r="AS4" s="1551" t="s">
        <v>40</v>
      </c>
      <c r="AT4" s="1474" t="s">
        <v>19</v>
      </c>
      <c r="AU4" s="1473" t="s">
        <v>55</v>
      </c>
      <c r="AV4" s="1473" t="s">
        <v>18</v>
      </c>
      <c r="AW4" s="1474" t="s">
        <v>39</v>
      </c>
      <c r="AX4" s="1551" t="s">
        <v>40</v>
      </c>
      <c r="AY4" s="1474" t="s">
        <v>19</v>
      </c>
    </row>
    <row r="5" spans="1:52" s="1467" customFormat="1" ht="14.4" thickBot="1">
      <c r="A5" s="1462"/>
      <c r="B5" s="1463" t="s">
        <v>10</v>
      </c>
      <c r="C5" s="1464">
        <f>C6</f>
        <v>16835260</v>
      </c>
      <c r="D5" s="1464">
        <f>D6</f>
        <v>0</v>
      </c>
      <c r="E5" s="1465">
        <f>E6</f>
        <v>16835260</v>
      </c>
      <c r="F5" s="1466"/>
      <c r="G5" s="1465">
        <v>17308552.189999998</v>
      </c>
      <c r="H5" s="1466">
        <v>0</v>
      </c>
      <c r="I5" s="1466">
        <v>17308552.189999998</v>
      </c>
      <c r="J5" s="1466"/>
      <c r="K5" s="1466"/>
      <c r="L5" s="1465">
        <f>L6</f>
        <v>1824058.5</v>
      </c>
      <c r="M5" s="1466">
        <f>M6</f>
        <v>0</v>
      </c>
      <c r="N5" s="1466">
        <f>N6</f>
        <v>1824058.5</v>
      </c>
      <c r="O5" s="1466"/>
      <c r="P5" s="1466"/>
      <c r="Q5" s="1466">
        <f>Q6</f>
        <v>0</v>
      </c>
      <c r="R5" s="1466">
        <f>R6</f>
        <v>0</v>
      </c>
      <c r="S5" s="1466">
        <f>S6</f>
        <v>0</v>
      </c>
      <c r="T5" s="1466"/>
      <c r="U5" s="1466"/>
      <c r="V5" s="1466">
        <f>V6+V7</f>
        <v>0</v>
      </c>
      <c r="W5" s="1466">
        <f>W6+W7</f>
        <v>0</v>
      </c>
      <c r="X5" s="1466">
        <f>X6+X7</f>
        <v>0</v>
      </c>
      <c r="Y5" s="1466"/>
      <c r="Z5" s="1466"/>
      <c r="AA5" s="1466">
        <f>AA6+AA7</f>
        <v>0</v>
      </c>
      <c r="AB5" s="1466">
        <f>AB6+AB7</f>
        <v>0</v>
      </c>
      <c r="AC5" s="1466">
        <f>AC6+AC7</f>
        <v>0</v>
      </c>
      <c r="AD5" s="1466"/>
      <c r="AE5" s="1466"/>
      <c r="AF5" s="1466">
        <f>AF6+AF7</f>
        <v>1188021.99</v>
      </c>
      <c r="AG5" s="1466">
        <f>AG6+AG7</f>
        <v>0</v>
      </c>
      <c r="AH5" s="1466">
        <f>AH6+AH7</f>
        <v>1188021.99</v>
      </c>
      <c r="AI5" s="1466"/>
      <c r="AJ5" s="1466"/>
      <c r="AK5" s="1466">
        <f>AK6+AK7</f>
        <v>0</v>
      </c>
      <c r="AL5" s="1466">
        <f>AL6+AL7</f>
        <v>0</v>
      </c>
      <c r="AM5" s="1466">
        <f>AM6+AM7</f>
        <v>0</v>
      </c>
      <c r="AN5" s="1466"/>
      <c r="AO5" s="1466"/>
      <c r="AP5" s="1466">
        <f>AP6+AP7</f>
        <v>0</v>
      </c>
      <c r="AQ5" s="1466">
        <f>AQ6+AQ7</f>
        <v>0</v>
      </c>
      <c r="AR5" s="1466">
        <f>AR6+AR7</f>
        <v>0</v>
      </c>
      <c r="AS5" s="1466"/>
      <c r="AT5" s="1466"/>
      <c r="AU5" s="1466">
        <f>AU6+AU7</f>
        <v>20320632.679999996</v>
      </c>
      <c r="AV5" s="1466">
        <f>AV6+AV7</f>
        <v>0</v>
      </c>
      <c r="AW5" s="1466">
        <f>AW6+AW7</f>
        <v>20320632.679999996</v>
      </c>
      <c r="AX5" s="1466"/>
      <c r="AY5" s="1466"/>
    </row>
    <row r="6" spans="1:52" s="1396" customFormat="1" ht="27.6" outlineLevel="1">
      <c r="A6" s="1572"/>
      <c r="B6" s="1403" t="s">
        <v>17</v>
      </c>
      <c r="C6" s="1478">
        <v>16835260</v>
      </c>
      <c r="D6" s="1479"/>
      <c r="E6" s="1480">
        <f>C6+D6</f>
        <v>16835260</v>
      </c>
      <c r="F6" s="1432"/>
      <c r="G6" s="1644">
        <v>17308552.189999998</v>
      </c>
      <c r="H6" s="1432">
        <v>0</v>
      </c>
      <c r="I6" s="1432">
        <v>17308552.189999998</v>
      </c>
      <c r="J6" s="1432"/>
      <c r="K6" s="1637"/>
      <c r="L6" s="1644">
        <v>1824058.5</v>
      </c>
      <c r="M6" s="1432"/>
      <c r="N6" s="1480">
        <f>L6+M6</f>
        <v>1824058.5</v>
      </c>
      <c r="O6" s="1432"/>
      <c r="P6" s="1726" t="s">
        <v>1050</v>
      </c>
      <c r="Q6" s="1678"/>
      <c r="R6" s="1432"/>
      <c r="S6" s="1480">
        <f>Q6+R6</f>
        <v>0</v>
      </c>
      <c r="T6" s="1432"/>
      <c r="U6" s="1726"/>
      <c r="V6" s="1432"/>
      <c r="W6" s="1432"/>
      <c r="X6" s="1480">
        <f>V6+W6</f>
        <v>0</v>
      </c>
      <c r="Y6" s="1432"/>
      <c r="Z6" s="1432"/>
      <c r="AA6" s="1432"/>
      <c r="AB6" s="1432"/>
      <c r="AC6" s="1480">
        <f>AA6+AB6</f>
        <v>0</v>
      </c>
      <c r="AD6" s="1432"/>
      <c r="AE6" s="1432"/>
      <c r="AF6" s="1432">
        <v>1188021.99</v>
      </c>
      <c r="AG6" s="1432"/>
      <c r="AH6" s="1480">
        <f>AF6+AG6</f>
        <v>1188021.99</v>
      </c>
      <c r="AI6" s="1432"/>
      <c r="AJ6" s="1749" t="s">
        <v>1235</v>
      </c>
      <c r="AK6" s="1432"/>
      <c r="AL6" s="1432"/>
      <c r="AM6" s="1480">
        <f>AK6+AL6</f>
        <v>0</v>
      </c>
      <c r="AN6" s="1432"/>
      <c r="AO6" s="1432"/>
      <c r="AP6" s="1432"/>
      <c r="AQ6" s="1432"/>
      <c r="AR6" s="1480">
        <f>AP6+AQ6</f>
        <v>0</v>
      </c>
      <c r="AS6" s="1432"/>
      <c r="AT6" s="1432"/>
      <c r="AU6" s="1432">
        <f>G6+L6+Q6+V6+AA6+AF6+AK6+AP6</f>
        <v>20320632.679999996</v>
      </c>
      <c r="AV6" s="1432">
        <f>H6+M6+R6+W6+AB6+AG6+AL6+AQ6</f>
        <v>0</v>
      </c>
      <c r="AW6" s="1480">
        <f>AU6+AV6</f>
        <v>20320632.679999996</v>
      </c>
      <c r="AX6" s="1432"/>
      <c r="AY6" s="1432"/>
      <c r="AZ6" s="1665"/>
    </row>
    <row r="7" spans="1:52" s="1396" customFormat="1" ht="33.6" customHeight="1" outlineLevel="1" collapsed="1" thickBot="1">
      <c r="A7" s="1572"/>
      <c r="B7" s="1404" t="s">
        <v>41</v>
      </c>
      <c r="C7" s="1481"/>
      <c r="D7" s="1482"/>
      <c r="E7" s="1653">
        <f>C7+D7</f>
        <v>0</v>
      </c>
      <c r="F7" s="1433"/>
      <c r="G7" s="1647">
        <v>0</v>
      </c>
      <c r="H7" s="1636">
        <v>0</v>
      </c>
      <c r="I7" s="1636">
        <v>0</v>
      </c>
      <c r="J7" s="1636"/>
      <c r="K7" s="1636"/>
      <c r="L7" s="1636"/>
      <c r="M7" s="1636"/>
      <c r="N7" s="1653">
        <f>L7+M7</f>
        <v>0</v>
      </c>
      <c r="O7" s="1433"/>
      <c r="P7" s="1676"/>
      <c r="Q7" s="1640"/>
      <c r="R7" s="1636"/>
      <c r="S7" s="1653">
        <f>Q7+R7</f>
        <v>0</v>
      </c>
      <c r="T7" s="1433"/>
      <c r="U7" s="1433"/>
      <c r="V7" s="1636"/>
      <c r="W7" s="1636"/>
      <c r="X7" s="1653">
        <f>V7+W7</f>
        <v>0</v>
      </c>
      <c r="Y7" s="1433"/>
      <c r="Z7" s="1433"/>
      <c r="AA7" s="1636"/>
      <c r="AB7" s="1636"/>
      <c r="AC7" s="1653">
        <f>AA7+AB7</f>
        <v>0</v>
      </c>
      <c r="AD7" s="1433"/>
      <c r="AE7" s="1433"/>
      <c r="AF7" s="1636"/>
      <c r="AG7" s="1636"/>
      <c r="AH7" s="1653">
        <f>AF7+AG7</f>
        <v>0</v>
      </c>
      <c r="AI7" s="1433"/>
      <c r="AJ7" s="1433"/>
      <c r="AK7" s="1636"/>
      <c r="AL7" s="1636"/>
      <c r="AM7" s="1653">
        <f>AK7+AL7</f>
        <v>0</v>
      </c>
      <c r="AN7" s="1433"/>
      <c r="AO7" s="1433"/>
      <c r="AP7" s="1636"/>
      <c r="AQ7" s="1636"/>
      <c r="AR7" s="1653">
        <f>AP7+AQ7</f>
        <v>0</v>
      </c>
      <c r="AS7" s="1905"/>
      <c r="AT7" s="1905"/>
      <c r="AU7" s="1432">
        <f>G7+L7+Q7+V7+AA7+AF7+AK7+AP7</f>
        <v>0</v>
      </c>
      <c r="AV7" s="1432">
        <f>H7+M7+R7+W7+AB7+AG7+AL7+AQ7</f>
        <v>0</v>
      </c>
      <c r="AW7" s="1480">
        <f>AU7+AV7</f>
        <v>0</v>
      </c>
      <c r="AX7" s="1433"/>
      <c r="AY7" s="1433"/>
    </row>
    <row r="8" spans="1:52" s="1467" customFormat="1" ht="33" customHeight="1" outlineLevel="1" thickBot="1">
      <c r="A8" s="1572"/>
      <c r="B8" s="1673" t="s">
        <v>16</v>
      </c>
      <c r="C8" s="1483">
        <f>SUM(C9:C33)</f>
        <v>7595195</v>
      </c>
      <c r="D8" s="1483">
        <f>SUM(D9:D33)</f>
        <v>3069265</v>
      </c>
      <c r="E8" s="1484">
        <f>SUM(E9:E33)</f>
        <v>10664460</v>
      </c>
      <c r="F8" s="1528">
        <f t="shared" ref="F8:F21" si="0">E8/$E$89</f>
        <v>0.90250337408640713</v>
      </c>
      <c r="G8" s="1483">
        <v>8684331.8379999977</v>
      </c>
      <c r="H8" s="1483">
        <v>4662599.3900000006</v>
      </c>
      <c r="I8" s="1484">
        <v>13346931.228</v>
      </c>
      <c r="J8" s="1576">
        <v>0.94213993178767275</v>
      </c>
      <c r="K8" s="1528"/>
      <c r="L8" s="1483">
        <f>SUM(L9:L33)</f>
        <v>934.5</v>
      </c>
      <c r="M8" s="1483">
        <f>SUM(M9:M33)</f>
        <v>0</v>
      </c>
      <c r="N8" s="1484">
        <f>SUM(N9:N33)</f>
        <v>934.5</v>
      </c>
      <c r="O8" s="1528">
        <f>N8/$N$89</f>
        <v>1</v>
      </c>
      <c r="P8" s="1466"/>
      <c r="Q8" s="1679">
        <f>SUM(Q9:Q33)</f>
        <v>0</v>
      </c>
      <c r="R8" s="1483">
        <f>SUM(R9:R33)</f>
        <v>0</v>
      </c>
      <c r="S8" s="1484">
        <f>SUM(S9:S33)</f>
        <v>0</v>
      </c>
      <c r="T8" s="1528" t="e">
        <f>S8/$S$89</f>
        <v>#DIV/0!</v>
      </c>
      <c r="U8" s="1466"/>
      <c r="V8" s="1483">
        <f>SUM(V9:V33)</f>
        <v>6091.079999999999</v>
      </c>
      <c r="W8" s="1483">
        <f>SUM(W9:W33)</f>
        <v>0</v>
      </c>
      <c r="X8" s="1484">
        <f>SUM(X9:X33)</f>
        <v>6091.079999999999</v>
      </c>
      <c r="Y8" s="1528">
        <f>X8/$X$89</f>
        <v>1</v>
      </c>
      <c r="Z8" s="1466"/>
      <c r="AA8" s="1483">
        <f>SUM(AA9:AA33)</f>
        <v>0</v>
      </c>
      <c r="AB8" s="1483">
        <f>SUM(AB9:AB33)</f>
        <v>0</v>
      </c>
      <c r="AC8" s="1484">
        <f>SUM(AC9:AC33)</f>
        <v>0</v>
      </c>
      <c r="AD8" s="1528" t="e">
        <f>AC8/$AC$89</f>
        <v>#DIV/0!</v>
      </c>
      <c r="AE8" s="1466"/>
      <c r="AF8" s="1483">
        <f>SUM(AF9:AF33)</f>
        <v>0</v>
      </c>
      <c r="AG8" s="1483">
        <f>SUM(AG9:AG33)</f>
        <v>0</v>
      </c>
      <c r="AH8" s="1484">
        <f>SUM(AH9:AH33)</f>
        <v>0</v>
      </c>
      <c r="AI8" s="1528" t="e">
        <f>AH8/$AH$89</f>
        <v>#DIV/0!</v>
      </c>
      <c r="AJ8" s="1466"/>
      <c r="AK8" s="1483">
        <f>SUM(AK9:AK33)</f>
        <v>0</v>
      </c>
      <c r="AL8" s="1483">
        <f>SUM(AL9:AL33)</f>
        <v>0</v>
      </c>
      <c r="AM8" s="1484">
        <f>SUM(AM9:AM33)</f>
        <v>0</v>
      </c>
      <c r="AN8" s="1528" t="e">
        <f t="shared" ref="AN8:AN32" si="1">AM8/$AM$89</f>
        <v>#DIV/0!</v>
      </c>
      <c r="AO8" s="1466"/>
      <c r="AP8" s="1483">
        <f>SUM(AP9:AP33)</f>
        <v>1225506.6599999999</v>
      </c>
      <c r="AQ8" s="1483">
        <f>SUM(AQ9:AQ33)</f>
        <v>0</v>
      </c>
      <c r="AR8" s="1484">
        <f>SUM(AR9:AR33)</f>
        <v>1225506.6599999999</v>
      </c>
      <c r="AS8" s="1528">
        <f>AR8/$AR$89</f>
        <v>1</v>
      </c>
      <c r="AT8" s="1466"/>
      <c r="AU8" s="1483">
        <f>SUM(AU9:AU33)</f>
        <v>9916864.0779999979</v>
      </c>
      <c r="AV8" s="1483">
        <f>SUM(AV9:AV33)</f>
        <v>4662599.3900000006</v>
      </c>
      <c r="AW8" s="1484">
        <f>SUM(AW9:AW33)</f>
        <v>14579463.467999998</v>
      </c>
      <c r="AX8" s="1528">
        <f>AW8/$AW$89</f>
        <v>0.94677099417506083</v>
      </c>
      <c r="AY8" s="1466"/>
    </row>
    <row r="9" spans="1:52" s="1396" customFormat="1" ht="92.4" customHeight="1" outlineLevel="2">
      <c r="A9" s="1572"/>
      <c r="B9" s="1622" t="s">
        <v>74</v>
      </c>
      <c r="C9" s="1623"/>
      <c r="D9" s="1510">
        <v>30000</v>
      </c>
      <c r="E9" s="1560">
        <f>C9+D9</f>
        <v>30000</v>
      </c>
      <c r="F9" s="1559">
        <f t="shared" si="0"/>
        <v>2.5388159571691593E-3</v>
      </c>
      <c r="G9" s="1644">
        <v>72022.17</v>
      </c>
      <c r="H9" s="1432">
        <v>29643</v>
      </c>
      <c r="I9" s="1552">
        <v>101665.17</v>
      </c>
      <c r="J9" s="1559">
        <v>7.1763924375397364E-3</v>
      </c>
      <c r="K9" s="1559"/>
      <c r="L9" s="1624"/>
      <c r="M9" s="1624"/>
      <c r="N9" s="1561">
        <f>L9+M9*1</f>
        <v>0</v>
      </c>
      <c r="O9" s="1559">
        <f>N9/$N$89</f>
        <v>0</v>
      </c>
      <c r="P9" s="1694"/>
      <c r="Q9" s="1624"/>
      <c r="R9" s="1624"/>
      <c r="S9" s="1561">
        <f>Q9+R9*1</f>
        <v>0</v>
      </c>
      <c r="T9" s="1559" t="e">
        <f t="shared" ref="T9:T71" si="2">S9/$S$89</f>
        <v>#DIV/0!</v>
      </c>
      <c r="U9" s="1694"/>
      <c r="V9" s="1624"/>
      <c r="W9" s="1624"/>
      <c r="X9" s="1561">
        <f>V9+W9*1</f>
        <v>0</v>
      </c>
      <c r="Y9" s="1559">
        <f>X9/$X$89</f>
        <v>0</v>
      </c>
      <c r="Z9" s="1694"/>
      <c r="AA9" s="1624"/>
      <c r="AB9" s="1624"/>
      <c r="AC9" s="1561">
        <f>AA9+AB9*1</f>
        <v>0</v>
      </c>
      <c r="AD9" s="1559" t="e">
        <f t="shared" ref="AD9:AD71" si="3">AC9/$AC$89</f>
        <v>#DIV/0!</v>
      </c>
      <c r="AE9" s="1694"/>
      <c r="AF9" s="1624"/>
      <c r="AG9" s="1624"/>
      <c r="AH9" s="1561">
        <f>AF9+AG9*1</f>
        <v>0</v>
      </c>
      <c r="AI9" s="1559" t="e">
        <f t="shared" ref="AI9:AI33" si="4">AH9/$AH$89</f>
        <v>#DIV/0!</v>
      </c>
      <c r="AJ9" s="1694"/>
      <c r="AK9" s="1624"/>
      <c r="AL9" s="1624"/>
      <c r="AM9" s="1561">
        <f>AK9+AL9*1</f>
        <v>0</v>
      </c>
      <c r="AN9" s="1559" t="e">
        <f t="shared" si="1"/>
        <v>#DIV/0!</v>
      </c>
      <c r="AO9" s="1694"/>
      <c r="AP9" s="1624"/>
      <c r="AQ9" s="1624"/>
      <c r="AR9" s="1561">
        <f>AP9+AQ9*1</f>
        <v>0</v>
      </c>
      <c r="AS9" s="1559">
        <f t="shared" ref="AS9:AS33" si="5">AR9/$AR$89</f>
        <v>0</v>
      </c>
      <c r="AT9" s="1694"/>
      <c r="AU9" s="1432">
        <f t="shared" ref="AU9:AV26" si="6">G9+L9+Q9+V9+AA9+AF9+AK9+AP9</f>
        <v>72022.17</v>
      </c>
      <c r="AV9" s="1432">
        <f t="shared" si="6"/>
        <v>29643</v>
      </c>
      <c r="AW9" s="1560">
        <f t="shared" ref="AW9:AW33" si="7">AU9+AV9</f>
        <v>101665.17</v>
      </c>
      <c r="AX9" s="1559">
        <f>AW9/$AW$89</f>
        <v>6.6020011151398409E-3</v>
      </c>
      <c r="AY9" s="1580"/>
    </row>
    <row r="10" spans="1:52" s="1396" customFormat="1" ht="37.200000000000003" customHeight="1" outlineLevel="2">
      <c r="A10" s="1572"/>
      <c r="B10" s="1424" t="s">
        <v>72</v>
      </c>
      <c r="C10" s="1485"/>
      <c r="D10" s="1486"/>
      <c r="E10" s="1480">
        <f t="shared" ref="E10:E33" si="8">C10+D10</f>
        <v>0</v>
      </c>
      <c r="F10" s="1539">
        <f t="shared" si="0"/>
        <v>0</v>
      </c>
      <c r="G10" s="1644">
        <v>23368.940000000006</v>
      </c>
      <c r="H10" s="1432">
        <v>0</v>
      </c>
      <c r="I10" s="1552">
        <v>23368.940000000006</v>
      </c>
      <c r="J10" s="1539">
        <v>1.6495785556579494E-3</v>
      </c>
      <c r="K10" s="1539"/>
      <c r="L10" s="1432"/>
      <c r="M10" s="1432"/>
      <c r="N10" s="1552">
        <f t="shared" ref="N10:N22" si="9">L10+M10*1</f>
        <v>0</v>
      </c>
      <c r="O10" s="1540">
        <f t="shared" ref="O10:O33" si="10">N10/$N$89</f>
        <v>0</v>
      </c>
      <c r="P10" s="1590"/>
      <c r="Q10" s="1432"/>
      <c r="R10" s="1432"/>
      <c r="S10" s="1552">
        <f t="shared" ref="S10:S22" si="11">Q10+R10*1</f>
        <v>0</v>
      </c>
      <c r="T10" s="1540" t="e">
        <f t="shared" si="2"/>
        <v>#DIV/0!</v>
      </c>
      <c r="U10" s="1590"/>
      <c r="V10" s="1432"/>
      <c r="W10" s="1432"/>
      <c r="X10" s="1552">
        <f t="shared" ref="X10:X22" si="12">V10+W10*1</f>
        <v>0</v>
      </c>
      <c r="Y10" s="1540">
        <f t="shared" ref="Y10:Y33" si="13">X10/$X$89</f>
        <v>0</v>
      </c>
      <c r="Z10" s="1590"/>
      <c r="AA10" s="1432"/>
      <c r="AB10" s="1432"/>
      <c r="AC10" s="1552">
        <f t="shared" ref="AC10:AC22" si="14">AA10+AB10*1</f>
        <v>0</v>
      </c>
      <c r="AD10" s="1540" t="e">
        <f t="shared" si="3"/>
        <v>#DIV/0!</v>
      </c>
      <c r="AE10" s="1590"/>
      <c r="AF10" s="1432"/>
      <c r="AG10" s="1432"/>
      <c r="AH10" s="1552">
        <f t="shared" ref="AH10:AH22" si="15">AF10+AG10*1</f>
        <v>0</v>
      </c>
      <c r="AI10" s="1540" t="e">
        <f t="shared" si="4"/>
        <v>#DIV/0!</v>
      </c>
      <c r="AJ10" s="1590"/>
      <c r="AK10" s="1432"/>
      <c r="AL10" s="1432"/>
      <c r="AM10" s="1552">
        <f t="shared" ref="AM10:AM22" si="16">AK10+AL10*1</f>
        <v>0</v>
      </c>
      <c r="AN10" s="1540" t="e">
        <f t="shared" si="1"/>
        <v>#DIV/0!</v>
      </c>
      <c r="AO10" s="1590"/>
      <c r="AP10" s="1432"/>
      <c r="AQ10" s="1432"/>
      <c r="AR10" s="1552">
        <f t="shared" ref="AR10:AR22" si="17">AP10+AQ10*1</f>
        <v>0</v>
      </c>
      <c r="AS10" s="1877">
        <f t="shared" si="5"/>
        <v>0</v>
      </c>
      <c r="AT10" s="1590"/>
      <c r="AU10" s="1432">
        <f t="shared" si="6"/>
        <v>23368.940000000006</v>
      </c>
      <c r="AV10" s="1432">
        <f t="shared" si="6"/>
        <v>0</v>
      </c>
      <c r="AW10" s="1480">
        <f t="shared" si="7"/>
        <v>23368.940000000006</v>
      </c>
      <c r="AX10" s="1540">
        <f t="shared" ref="AX10:AX21" si="18">AW10/$AW$89</f>
        <v>1.5175479265872086E-3</v>
      </c>
      <c r="AY10" s="1434"/>
    </row>
    <row r="11" spans="1:52" s="1396" customFormat="1" ht="30.6" customHeight="1" outlineLevel="2">
      <c r="A11" s="1572"/>
      <c r="B11" s="1424" t="s">
        <v>69</v>
      </c>
      <c r="C11" s="1485"/>
      <c r="D11" s="1486"/>
      <c r="E11" s="1480">
        <f t="shared" si="8"/>
        <v>0</v>
      </c>
      <c r="F11" s="1539">
        <f t="shared" si="0"/>
        <v>0</v>
      </c>
      <c r="G11" s="1644">
        <v>26342.260000000002</v>
      </c>
      <c r="H11" s="1432">
        <v>0</v>
      </c>
      <c r="I11" s="1552">
        <v>26342.260000000002</v>
      </c>
      <c r="J11" s="1539">
        <v>1.8594607715868229E-3</v>
      </c>
      <c r="K11" s="1539"/>
      <c r="L11" s="1432"/>
      <c r="M11" s="1432"/>
      <c r="N11" s="1552">
        <f t="shared" si="9"/>
        <v>0</v>
      </c>
      <c r="O11" s="1540">
        <f t="shared" si="10"/>
        <v>0</v>
      </c>
      <c r="P11" s="1590"/>
      <c r="Q11" s="1432"/>
      <c r="R11" s="1432"/>
      <c r="S11" s="1552">
        <f t="shared" si="11"/>
        <v>0</v>
      </c>
      <c r="T11" s="1540" t="e">
        <f t="shared" si="2"/>
        <v>#DIV/0!</v>
      </c>
      <c r="U11" s="1590"/>
      <c r="V11" s="1432"/>
      <c r="W11" s="1432"/>
      <c r="X11" s="1552">
        <f t="shared" si="12"/>
        <v>0</v>
      </c>
      <c r="Y11" s="1540">
        <f t="shared" si="13"/>
        <v>0</v>
      </c>
      <c r="Z11" s="1590"/>
      <c r="AA11" s="1432"/>
      <c r="AB11" s="1432"/>
      <c r="AC11" s="1552">
        <f t="shared" si="14"/>
        <v>0</v>
      </c>
      <c r="AD11" s="1540" t="e">
        <f t="shared" si="3"/>
        <v>#DIV/0!</v>
      </c>
      <c r="AE11" s="1590"/>
      <c r="AF11" s="1432"/>
      <c r="AG11" s="1432"/>
      <c r="AH11" s="1552">
        <f t="shared" si="15"/>
        <v>0</v>
      </c>
      <c r="AI11" s="1540" t="e">
        <f t="shared" si="4"/>
        <v>#DIV/0!</v>
      </c>
      <c r="AJ11" s="1590"/>
      <c r="AK11" s="1432"/>
      <c r="AL11" s="1432"/>
      <c r="AM11" s="1552">
        <f t="shared" si="16"/>
        <v>0</v>
      </c>
      <c r="AN11" s="1540" t="e">
        <f t="shared" si="1"/>
        <v>#DIV/0!</v>
      </c>
      <c r="AO11" s="1590"/>
      <c r="AP11" s="1432"/>
      <c r="AQ11" s="1432"/>
      <c r="AR11" s="1552">
        <f t="shared" si="17"/>
        <v>0</v>
      </c>
      <c r="AS11" s="1877">
        <f t="shared" si="5"/>
        <v>0</v>
      </c>
      <c r="AT11" s="1590"/>
      <c r="AU11" s="1432">
        <f t="shared" si="6"/>
        <v>26342.260000000002</v>
      </c>
      <c r="AV11" s="1432">
        <f t="shared" si="6"/>
        <v>0</v>
      </c>
      <c r="AW11" s="1480">
        <f t="shared" si="7"/>
        <v>26342.260000000002</v>
      </c>
      <c r="AX11" s="1540">
        <f t="shared" si="18"/>
        <v>1.7106313784288527E-3</v>
      </c>
      <c r="AY11" s="1434"/>
    </row>
    <row r="12" spans="1:52" s="1396" customFormat="1" ht="45.6" customHeight="1" outlineLevel="2">
      <c r="A12" s="1572"/>
      <c r="B12" s="1424" t="s">
        <v>73</v>
      </c>
      <c r="C12" s="1485">
        <v>97600</v>
      </c>
      <c r="D12" s="1486">
        <v>126400</v>
      </c>
      <c r="E12" s="1480">
        <f t="shared" si="8"/>
        <v>224000</v>
      </c>
      <c r="F12" s="1539">
        <f t="shared" si="0"/>
        <v>1.8956492480196388E-2</v>
      </c>
      <c r="G12" s="1644">
        <v>54271.07</v>
      </c>
      <c r="H12" s="1432">
        <v>129148.48000000001</v>
      </c>
      <c r="I12" s="1552">
        <v>183419.55000000002</v>
      </c>
      <c r="J12" s="1539">
        <v>1.2947311960595174E-2</v>
      </c>
      <c r="K12" s="1539"/>
      <c r="L12" s="1432"/>
      <c r="M12" s="1432"/>
      <c r="N12" s="1552">
        <f t="shared" si="9"/>
        <v>0</v>
      </c>
      <c r="O12" s="1540">
        <f t="shared" si="10"/>
        <v>0</v>
      </c>
      <c r="P12" s="1590"/>
      <c r="Q12" s="1432"/>
      <c r="R12" s="1432"/>
      <c r="S12" s="1552">
        <f t="shared" si="11"/>
        <v>0</v>
      </c>
      <c r="T12" s="1540" t="e">
        <f t="shared" si="2"/>
        <v>#DIV/0!</v>
      </c>
      <c r="U12" s="1590"/>
      <c r="V12" s="1432"/>
      <c r="W12" s="1432"/>
      <c r="X12" s="1552">
        <f t="shared" si="12"/>
        <v>0</v>
      </c>
      <c r="Y12" s="1540">
        <f t="shared" si="13"/>
        <v>0</v>
      </c>
      <c r="Z12" s="1590"/>
      <c r="AA12" s="1432"/>
      <c r="AB12" s="1432"/>
      <c r="AC12" s="1552">
        <f t="shared" si="14"/>
        <v>0</v>
      </c>
      <c r="AD12" s="1540" t="e">
        <f t="shared" si="3"/>
        <v>#DIV/0!</v>
      </c>
      <c r="AE12" s="1590"/>
      <c r="AF12" s="1432"/>
      <c r="AG12" s="1432"/>
      <c r="AH12" s="1552">
        <f t="shared" si="15"/>
        <v>0</v>
      </c>
      <c r="AI12" s="1540" t="e">
        <f t="shared" si="4"/>
        <v>#DIV/0!</v>
      </c>
      <c r="AJ12" s="1590"/>
      <c r="AK12" s="1432"/>
      <c r="AL12" s="1432"/>
      <c r="AM12" s="1552">
        <f t="shared" si="16"/>
        <v>0</v>
      </c>
      <c r="AN12" s="1540" t="e">
        <f t="shared" si="1"/>
        <v>#DIV/0!</v>
      </c>
      <c r="AO12" s="1590"/>
      <c r="AP12" s="1432"/>
      <c r="AQ12" s="1432"/>
      <c r="AR12" s="1552">
        <f t="shared" si="17"/>
        <v>0</v>
      </c>
      <c r="AS12" s="1877">
        <f t="shared" si="5"/>
        <v>0</v>
      </c>
      <c r="AT12" s="1590"/>
      <c r="AU12" s="1432">
        <f t="shared" si="6"/>
        <v>54271.07</v>
      </c>
      <c r="AV12" s="1432">
        <f t="shared" si="6"/>
        <v>129148.48000000001</v>
      </c>
      <c r="AW12" s="1480">
        <f t="shared" si="7"/>
        <v>183419.55000000002</v>
      </c>
      <c r="AX12" s="1540">
        <f t="shared" si="18"/>
        <v>1.1911021971816385E-2</v>
      </c>
      <c r="AY12" s="1434"/>
    </row>
    <row r="13" spans="1:52" s="1396" customFormat="1" ht="54" customHeight="1" outlineLevel="2">
      <c r="A13" s="1572"/>
      <c r="B13" s="1424" t="s">
        <v>71</v>
      </c>
      <c r="C13" s="1485">
        <v>19032</v>
      </c>
      <c r="D13" s="1486"/>
      <c r="E13" s="1480">
        <f t="shared" si="8"/>
        <v>19032</v>
      </c>
      <c r="F13" s="1539">
        <f t="shared" si="0"/>
        <v>1.6106248432281147E-3</v>
      </c>
      <c r="G13" s="1644">
        <v>15928.68</v>
      </c>
      <c r="H13" s="1432">
        <v>0</v>
      </c>
      <c r="I13" s="1552">
        <v>15928.68</v>
      </c>
      <c r="J13" s="1539">
        <v>1.1243817198357162E-3</v>
      </c>
      <c r="K13" s="1539"/>
      <c r="L13" s="1432"/>
      <c r="M13" s="1432"/>
      <c r="N13" s="1552">
        <f t="shared" si="9"/>
        <v>0</v>
      </c>
      <c r="O13" s="1540">
        <f t="shared" si="10"/>
        <v>0</v>
      </c>
      <c r="P13" s="1590"/>
      <c r="Q13" s="1432"/>
      <c r="R13" s="1432"/>
      <c r="S13" s="1552">
        <f t="shared" si="11"/>
        <v>0</v>
      </c>
      <c r="T13" s="1540" t="e">
        <f t="shared" si="2"/>
        <v>#DIV/0!</v>
      </c>
      <c r="U13" s="1590"/>
      <c r="V13" s="1432"/>
      <c r="W13" s="1432"/>
      <c r="X13" s="1552">
        <f t="shared" si="12"/>
        <v>0</v>
      </c>
      <c r="Y13" s="1540">
        <f t="shared" si="13"/>
        <v>0</v>
      </c>
      <c r="Z13" s="1590"/>
      <c r="AA13" s="1432"/>
      <c r="AB13" s="1432"/>
      <c r="AC13" s="1552">
        <f t="shared" si="14"/>
        <v>0</v>
      </c>
      <c r="AD13" s="1540" t="e">
        <f t="shared" si="3"/>
        <v>#DIV/0!</v>
      </c>
      <c r="AE13" s="1590"/>
      <c r="AF13" s="1432"/>
      <c r="AG13" s="1432"/>
      <c r="AH13" s="1552">
        <f t="shared" si="15"/>
        <v>0</v>
      </c>
      <c r="AI13" s="1540" t="e">
        <f t="shared" si="4"/>
        <v>#DIV/0!</v>
      </c>
      <c r="AJ13" s="1590"/>
      <c r="AK13" s="1432"/>
      <c r="AL13" s="1432"/>
      <c r="AM13" s="1552">
        <f t="shared" si="16"/>
        <v>0</v>
      </c>
      <c r="AN13" s="1540" t="e">
        <f t="shared" si="1"/>
        <v>#DIV/0!</v>
      </c>
      <c r="AO13" s="1590"/>
      <c r="AP13" s="1432"/>
      <c r="AQ13" s="1432"/>
      <c r="AR13" s="1552">
        <f t="shared" si="17"/>
        <v>0</v>
      </c>
      <c r="AS13" s="1877">
        <f t="shared" si="5"/>
        <v>0</v>
      </c>
      <c r="AT13" s="1590"/>
      <c r="AU13" s="1432">
        <f t="shared" si="6"/>
        <v>15928.68</v>
      </c>
      <c r="AV13" s="1432">
        <f t="shared" si="6"/>
        <v>0</v>
      </c>
      <c r="AW13" s="1480">
        <f t="shared" si="7"/>
        <v>15928.68</v>
      </c>
      <c r="AX13" s="1540">
        <f t="shared" si="18"/>
        <v>1.0343873238268888E-3</v>
      </c>
      <c r="AY13" s="1434"/>
    </row>
    <row r="14" spans="1:52" s="1396" customFormat="1" ht="14.4" customHeight="1" outlineLevel="2">
      <c r="A14" s="1572"/>
      <c r="B14" s="1424" t="s">
        <v>70</v>
      </c>
      <c r="C14" s="1485">
        <v>24696</v>
      </c>
      <c r="D14" s="1486"/>
      <c r="E14" s="1480">
        <f t="shared" si="8"/>
        <v>24696</v>
      </c>
      <c r="F14" s="1539">
        <f t="shared" si="0"/>
        <v>2.0899532959416521E-3</v>
      </c>
      <c r="G14" s="1644">
        <v>17970.810000000001</v>
      </c>
      <c r="H14" s="1432">
        <v>0</v>
      </c>
      <c r="I14" s="1552">
        <v>17970.810000000001</v>
      </c>
      <c r="J14" s="1539">
        <v>1.2685326250914002E-3</v>
      </c>
      <c r="K14" s="1539"/>
      <c r="L14" s="1432"/>
      <c r="M14" s="1432"/>
      <c r="N14" s="1552">
        <f t="shared" si="9"/>
        <v>0</v>
      </c>
      <c r="O14" s="1540">
        <f t="shared" si="10"/>
        <v>0</v>
      </c>
      <c r="P14" s="1590"/>
      <c r="Q14" s="1432"/>
      <c r="R14" s="1432"/>
      <c r="S14" s="1552">
        <f t="shared" si="11"/>
        <v>0</v>
      </c>
      <c r="T14" s="1540" t="e">
        <f t="shared" si="2"/>
        <v>#DIV/0!</v>
      </c>
      <c r="U14" s="1590"/>
      <c r="V14" s="1432"/>
      <c r="W14" s="1432"/>
      <c r="X14" s="1552">
        <f t="shared" si="12"/>
        <v>0</v>
      </c>
      <c r="Y14" s="1540">
        <f t="shared" si="13"/>
        <v>0</v>
      </c>
      <c r="Z14" s="1590"/>
      <c r="AA14" s="1432"/>
      <c r="AB14" s="1432"/>
      <c r="AC14" s="1552">
        <f t="shared" si="14"/>
        <v>0</v>
      </c>
      <c r="AD14" s="1540" t="e">
        <f t="shared" si="3"/>
        <v>#DIV/0!</v>
      </c>
      <c r="AE14" s="1590"/>
      <c r="AF14" s="1432"/>
      <c r="AG14" s="1432"/>
      <c r="AH14" s="1552">
        <f t="shared" si="15"/>
        <v>0</v>
      </c>
      <c r="AI14" s="1540" t="e">
        <f t="shared" si="4"/>
        <v>#DIV/0!</v>
      </c>
      <c r="AJ14" s="1590"/>
      <c r="AK14" s="1432"/>
      <c r="AL14" s="1432"/>
      <c r="AM14" s="1552">
        <f t="shared" si="16"/>
        <v>0</v>
      </c>
      <c r="AN14" s="1540" t="e">
        <f t="shared" si="1"/>
        <v>#DIV/0!</v>
      </c>
      <c r="AO14" s="1590"/>
      <c r="AP14" s="1432"/>
      <c r="AQ14" s="1432"/>
      <c r="AR14" s="1552">
        <f t="shared" si="17"/>
        <v>0</v>
      </c>
      <c r="AS14" s="1877">
        <f t="shared" si="5"/>
        <v>0</v>
      </c>
      <c r="AT14" s="1590"/>
      <c r="AU14" s="1432">
        <f t="shared" si="6"/>
        <v>17970.810000000001</v>
      </c>
      <c r="AV14" s="1432">
        <f t="shared" si="6"/>
        <v>0</v>
      </c>
      <c r="AW14" s="1480">
        <f t="shared" si="7"/>
        <v>17970.810000000001</v>
      </c>
      <c r="AX14" s="1540">
        <f t="shared" si="18"/>
        <v>1.1670005338108049E-3</v>
      </c>
      <c r="AY14" s="1434"/>
    </row>
    <row r="15" spans="1:52" s="1396" customFormat="1" ht="14.4" customHeight="1" outlineLevel="2">
      <c r="A15" s="1572"/>
      <c r="B15" s="1401" t="s">
        <v>20</v>
      </c>
      <c r="C15" s="1485"/>
      <c r="D15" s="1487">
        <v>70000</v>
      </c>
      <c r="E15" s="1480">
        <f t="shared" si="8"/>
        <v>70000</v>
      </c>
      <c r="F15" s="1539">
        <f t="shared" si="0"/>
        <v>5.9239039000613712E-3</v>
      </c>
      <c r="G15" s="1644">
        <v>0</v>
      </c>
      <c r="H15" s="1432">
        <v>17220</v>
      </c>
      <c r="I15" s="1552">
        <v>17220</v>
      </c>
      <c r="J15" s="1539">
        <v>1.215534069086141E-3</v>
      </c>
      <c r="K15" s="1539"/>
      <c r="L15" s="1432"/>
      <c r="M15" s="1432"/>
      <c r="N15" s="1552">
        <f t="shared" si="9"/>
        <v>0</v>
      </c>
      <c r="O15" s="1540">
        <f t="shared" si="10"/>
        <v>0</v>
      </c>
      <c r="P15" s="1590"/>
      <c r="Q15" s="1432"/>
      <c r="R15" s="1432"/>
      <c r="S15" s="1552">
        <f t="shared" si="11"/>
        <v>0</v>
      </c>
      <c r="T15" s="1540" t="e">
        <f t="shared" si="2"/>
        <v>#DIV/0!</v>
      </c>
      <c r="U15" s="1590"/>
      <c r="V15" s="1432"/>
      <c r="W15" s="1432"/>
      <c r="X15" s="1552">
        <f t="shared" si="12"/>
        <v>0</v>
      </c>
      <c r="Y15" s="1540">
        <f t="shared" si="13"/>
        <v>0</v>
      </c>
      <c r="Z15" s="1590"/>
      <c r="AA15" s="1432"/>
      <c r="AB15" s="1432"/>
      <c r="AC15" s="1552">
        <f t="shared" si="14"/>
        <v>0</v>
      </c>
      <c r="AD15" s="1540" t="e">
        <f t="shared" si="3"/>
        <v>#DIV/0!</v>
      </c>
      <c r="AE15" s="1590"/>
      <c r="AF15" s="1432"/>
      <c r="AG15" s="1432"/>
      <c r="AH15" s="1552">
        <f t="shared" si="15"/>
        <v>0</v>
      </c>
      <c r="AI15" s="1540" t="e">
        <f t="shared" si="4"/>
        <v>#DIV/0!</v>
      </c>
      <c r="AJ15" s="1590"/>
      <c r="AK15" s="1432"/>
      <c r="AL15" s="1432"/>
      <c r="AM15" s="1552">
        <f t="shared" si="16"/>
        <v>0</v>
      </c>
      <c r="AN15" s="1540" t="e">
        <f t="shared" si="1"/>
        <v>#DIV/0!</v>
      </c>
      <c r="AO15" s="1590"/>
      <c r="AP15" s="1432"/>
      <c r="AQ15" s="1432"/>
      <c r="AR15" s="1552">
        <f t="shared" si="17"/>
        <v>0</v>
      </c>
      <c r="AS15" s="1877">
        <f t="shared" si="5"/>
        <v>0</v>
      </c>
      <c r="AT15" s="1590"/>
      <c r="AU15" s="1432">
        <f t="shared" si="6"/>
        <v>0</v>
      </c>
      <c r="AV15" s="1432">
        <f t="shared" si="6"/>
        <v>17220</v>
      </c>
      <c r="AW15" s="1480">
        <f t="shared" si="7"/>
        <v>17220</v>
      </c>
      <c r="AX15" s="1540">
        <f t="shared" si="18"/>
        <v>1.1182439295848133E-3</v>
      </c>
      <c r="AY15" s="1434"/>
    </row>
    <row r="16" spans="1:52" s="1396" customFormat="1" ht="127.2" customHeight="1" outlineLevel="2">
      <c r="A16" s="1583"/>
      <c r="B16" s="1401" t="s">
        <v>21</v>
      </c>
      <c r="C16" s="1485"/>
      <c r="D16" s="1487">
        <v>2370465</v>
      </c>
      <c r="E16" s="1480">
        <f t="shared" si="8"/>
        <v>2370465</v>
      </c>
      <c r="F16" s="1539">
        <f t="shared" si="0"/>
        <v>0.2006058122636997</v>
      </c>
      <c r="G16" s="1644">
        <v>0</v>
      </c>
      <c r="H16" s="1432">
        <v>3547322.2300000004</v>
      </c>
      <c r="I16" s="1552">
        <v>3547322.2300000004</v>
      </c>
      <c r="J16" s="1539">
        <v>0.25040017564411288</v>
      </c>
      <c r="K16" s="1539"/>
      <c r="L16" s="1432"/>
      <c r="M16" s="1432"/>
      <c r="N16" s="1552">
        <f t="shared" si="9"/>
        <v>0</v>
      </c>
      <c r="O16" s="1540">
        <f t="shared" si="10"/>
        <v>0</v>
      </c>
      <c r="P16" s="1590"/>
      <c r="Q16" s="1432"/>
      <c r="R16" s="1432"/>
      <c r="S16" s="1552">
        <f t="shared" si="11"/>
        <v>0</v>
      </c>
      <c r="T16" s="1540" t="e">
        <f t="shared" si="2"/>
        <v>#DIV/0!</v>
      </c>
      <c r="U16" s="1590"/>
      <c r="V16" s="1432"/>
      <c r="W16" s="1432"/>
      <c r="X16" s="1552">
        <f t="shared" si="12"/>
        <v>0</v>
      </c>
      <c r="Y16" s="1540">
        <f t="shared" si="13"/>
        <v>0</v>
      </c>
      <c r="Z16" s="1590"/>
      <c r="AA16" s="1432"/>
      <c r="AB16" s="1432"/>
      <c r="AC16" s="1552">
        <f t="shared" si="14"/>
        <v>0</v>
      </c>
      <c r="AD16" s="1540" t="e">
        <f t="shared" si="3"/>
        <v>#DIV/0!</v>
      </c>
      <c r="AE16" s="1590"/>
      <c r="AF16" s="1432"/>
      <c r="AG16" s="1432"/>
      <c r="AH16" s="1552">
        <f t="shared" si="15"/>
        <v>0</v>
      </c>
      <c r="AI16" s="1540" t="e">
        <f t="shared" si="4"/>
        <v>#DIV/0!</v>
      </c>
      <c r="AJ16" s="1590"/>
      <c r="AK16" s="1432"/>
      <c r="AL16" s="1432"/>
      <c r="AM16" s="1552">
        <f t="shared" si="16"/>
        <v>0</v>
      </c>
      <c r="AN16" s="1540" t="e">
        <f t="shared" si="1"/>
        <v>#DIV/0!</v>
      </c>
      <c r="AO16" s="1590"/>
      <c r="AP16" s="1432"/>
      <c r="AQ16" s="1432"/>
      <c r="AR16" s="1552">
        <f t="shared" si="17"/>
        <v>0</v>
      </c>
      <c r="AS16" s="1877">
        <f t="shared" si="5"/>
        <v>0</v>
      </c>
      <c r="AT16" s="1590"/>
      <c r="AU16" s="1432">
        <f t="shared" si="6"/>
        <v>0</v>
      </c>
      <c r="AV16" s="1432">
        <f t="shared" si="6"/>
        <v>3547322.2300000004</v>
      </c>
      <c r="AW16" s="1480">
        <f t="shared" si="7"/>
        <v>3547322.2300000004</v>
      </c>
      <c r="AX16" s="1540">
        <f t="shared" si="18"/>
        <v>0.23035839430770982</v>
      </c>
      <c r="AY16" s="1434"/>
    </row>
    <row r="17" spans="1:51" s="1396" customFormat="1" ht="58.2" customHeight="1" outlineLevel="2">
      <c r="A17" s="1572"/>
      <c r="B17" s="1401" t="s">
        <v>22</v>
      </c>
      <c r="C17" s="1485"/>
      <c r="D17" s="1487"/>
      <c r="E17" s="1480">
        <f t="shared" si="8"/>
        <v>0</v>
      </c>
      <c r="F17" s="1539">
        <f t="shared" si="0"/>
        <v>0</v>
      </c>
      <c r="G17" s="1644">
        <v>0</v>
      </c>
      <c r="H17" s="1432">
        <v>0</v>
      </c>
      <c r="I17" s="1552">
        <v>0</v>
      </c>
      <c r="J17" s="1539">
        <v>0</v>
      </c>
      <c r="K17" s="1539"/>
      <c r="L17" s="1432"/>
      <c r="M17" s="1432"/>
      <c r="N17" s="1552">
        <f t="shared" si="9"/>
        <v>0</v>
      </c>
      <c r="O17" s="1540">
        <f t="shared" si="10"/>
        <v>0</v>
      </c>
      <c r="P17" s="1590"/>
      <c r="Q17" s="1432"/>
      <c r="R17" s="1432"/>
      <c r="S17" s="1552">
        <f t="shared" si="11"/>
        <v>0</v>
      </c>
      <c r="T17" s="1540" t="e">
        <f t="shared" si="2"/>
        <v>#DIV/0!</v>
      </c>
      <c r="U17" s="1590"/>
      <c r="V17" s="1432"/>
      <c r="W17" s="1432"/>
      <c r="X17" s="1552">
        <f t="shared" si="12"/>
        <v>0</v>
      </c>
      <c r="Y17" s="1540">
        <f t="shared" si="13"/>
        <v>0</v>
      </c>
      <c r="Z17" s="1590"/>
      <c r="AA17" s="1432"/>
      <c r="AB17" s="1432"/>
      <c r="AC17" s="1552">
        <f t="shared" si="14"/>
        <v>0</v>
      </c>
      <c r="AD17" s="1540" t="e">
        <f t="shared" si="3"/>
        <v>#DIV/0!</v>
      </c>
      <c r="AE17" s="1590"/>
      <c r="AF17" s="1432"/>
      <c r="AG17" s="1432"/>
      <c r="AH17" s="1552">
        <f t="shared" si="15"/>
        <v>0</v>
      </c>
      <c r="AI17" s="1540" t="e">
        <f t="shared" si="4"/>
        <v>#DIV/0!</v>
      </c>
      <c r="AJ17" s="1590"/>
      <c r="AK17" s="1432"/>
      <c r="AL17" s="1432"/>
      <c r="AM17" s="1552">
        <f t="shared" si="16"/>
        <v>0</v>
      </c>
      <c r="AN17" s="1540" t="e">
        <f t="shared" si="1"/>
        <v>#DIV/0!</v>
      </c>
      <c r="AO17" s="1590"/>
      <c r="AP17" s="1432"/>
      <c r="AQ17" s="1432"/>
      <c r="AR17" s="1552">
        <f t="shared" si="17"/>
        <v>0</v>
      </c>
      <c r="AS17" s="1877">
        <f t="shared" si="5"/>
        <v>0</v>
      </c>
      <c r="AT17" s="1590"/>
      <c r="AU17" s="1432">
        <f t="shared" si="6"/>
        <v>0</v>
      </c>
      <c r="AV17" s="1432">
        <f t="shared" si="6"/>
        <v>0</v>
      </c>
      <c r="AW17" s="1480">
        <f t="shared" si="7"/>
        <v>0</v>
      </c>
      <c r="AX17" s="1540">
        <f t="shared" si="18"/>
        <v>0</v>
      </c>
      <c r="AY17" s="1434"/>
    </row>
    <row r="18" spans="1:51" s="1396" customFormat="1" ht="58.2" customHeight="1" outlineLevel="2">
      <c r="A18" s="1572"/>
      <c r="B18" s="1401" t="s">
        <v>0</v>
      </c>
      <c r="C18" s="1485"/>
      <c r="D18" s="1487"/>
      <c r="E18" s="1480">
        <f t="shared" si="8"/>
        <v>0</v>
      </c>
      <c r="F18" s="1539">
        <f t="shared" si="0"/>
        <v>0</v>
      </c>
      <c r="G18" s="1644">
        <v>376950</v>
      </c>
      <c r="H18" s="1432">
        <v>8563</v>
      </c>
      <c r="I18" s="1552">
        <v>385513</v>
      </c>
      <c r="J18" s="1539">
        <v>2.7212786618792419E-2</v>
      </c>
      <c r="K18" s="1539"/>
      <c r="L18" s="1432"/>
      <c r="M18" s="1432"/>
      <c r="N18" s="1552">
        <f t="shared" si="9"/>
        <v>0</v>
      </c>
      <c r="O18" s="1540">
        <f t="shared" si="10"/>
        <v>0</v>
      </c>
      <c r="P18" s="1590"/>
      <c r="Q18" s="1432"/>
      <c r="R18" s="1432"/>
      <c r="S18" s="1552">
        <f t="shared" si="11"/>
        <v>0</v>
      </c>
      <c r="T18" s="1540" t="e">
        <f t="shared" si="2"/>
        <v>#DIV/0!</v>
      </c>
      <c r="U18" s="1590"/>
      <c r="V18" s="1432"/>
      <c r="W18" s="1432"/>
      <c r="X18" s="1552">
        <f t="shared" si="12"/>
        <v>0</v>
      </c>
      <c r="Y18" s="1540">
        <f t="shared" si="13"/>
        <v>0</v>
      </c>
      <c r="Z18" s="1590"/>
      <c r="AA18" s="1432"/>
      <c r="AB18" s="1432"/>
      <c r="AC18" s="1552">
        <f t="shared" si="14"/>
        <v>0</v>
      </c>
      <c r="AD18" s="1540" t="e">
        <f t="shared" si="3"/>
        <v>#DIV/0!</v>
      </c>
      <c r="AE18" s="1590"/>
      <c r="AF18" s="1432"/>
      <c r="AG18" s="1432"/>
      <c r="AH18" s="1552">
        <f t="shared" si="15"/>
        <v>0</v>
      </c>
      <c r="AI18" s="1540" t="e">
        <f t="shared" si="4"/>
        <v>#DIV/0!</v>
      </c>
      <c r="AJ18" s="1590"/>
      <c r="AK18" s="1432"/>
      <c r="AL18" s="1432"/>
      <c r="AM18" s="1552">
        <f t="shared" si="16"/>
        <v>0</v>
      </c>
      <c r="AN18" s="1540" t="e">
        <f t="shared" si="1"/>
        <v>#DIV/0!</v>
      </c>
      <c r="AO18" s="1590"/>
      <c r="AP18" s="1432"/>
      <c r="AQ18" s="1432"/>
      <c r="AR18" s="1552">
        <f t="shared" si="17"/>
        <v>0</v>
      </c>
      <c r="AS18" s="1877">
        <f t="shared" si="5"/>
        <v>0</v>
      </c>
      <c r="AT18" s="1590"/>
      <c r="AU18" s="1432">
        <f t="shared" si="6"/>
        <v>376950</v>
      </c>
      <c r="AV18" s="1432">
        <f t="shared" si="6"/>
        <v>8563</v>
      </c>
      <c r="AW18" s="1480">
        <f t="shared" si="7"/>
        <v>385513</v>
      </c>
      <c r="AX18" s="1540">
        <f t="shared" si="18"/>
        <v>2.5034702208247973E-2</v>
      </c>
      <c r="AY18" s="1434"/>
    </row>
    <row r="19" spans="1:51" s="1396" customFormat="1" ht="40.950000000000003" customHeight="1" outlineLevel="2">
      <c r="A19" s="1572"/>
      <c r="B19" s="1401" t="s">
        <v>53</v>
      </c>
      <c r="C19" s="1488"/>
      <c r="D19" s="1487"/>
      <c r="E19" s="1480">
        <f t="shared" si="8"/>
        <v>0</v>
      </c>
      <c r="F19" s="1539">
        <f t="shared" si="0"/>
        <v>0</v>
      </c>
      <c r="G19" s="1644">
        <v>0</v>
      </c>
      <c r="H19" s="1432">
        <v>1000</v>
      </c>
      <c r="I19" s="1552">
        <v>1000</v>
      </c>
      <c r="J19" s="1539">
        <v>7.0588505754131292E-5</v>
      </c>
      <c r="K19" s="1539"/>
      <c r="L19" s="1432"/>
      <c r="M19" s="1432"/>
      <c r="N19" s="1552">
        <f t="shared" si="9"/>
        <v>0</v>
      </c>
      <c r="O19" s="1540">
        <f t="shared" si="10"/>
        <v>0</v>
      </c>
      <c r="P19" s="1590"/>
      <c r="Q19" s="1432"/>
      <c r="R19" s="1432"/>
      <c r="S19" s="1552">
        <f t="shared" si="11"/>
        <v>0</v>
      </c>
      <c r="T19" s="1540" t="e">
        <f t="shared" si="2"/>
        <v>#DIV/0!</v>
      </c>
      <c r="U19" s="1590"/>
      <c r="V19" s="1432"/>
      <c r="W19" s="1432"/>
      <c r="X19" s="1552">
        <f t="shared" si="12"/>
        <v>0</v>
      </c>
      <c r="Y19" s="1540">
        <f t="shared" si="13"/>
        <v>0</v>
      </c>
      <c r="Z19" s="1590"/>
      <c r="AA19" s="1432"/>
      <c r="AB19" s="1432"/>
      <c r="AC19" s="1552">
        <f t="shared" si="14"/>
        <v>0</v>
      </c>
      <c r="AD19" s="1540" t="e">
        <f t="shared" si="3"/>
        <v>#DIV/0!</v>
      </c>
      <c r="AE19" s="1590"/>
      <c r="AF19" s="1432"/>
      <c r="AG19" s="1432"/>
      <c r="AH19" s="1552">
        <f t="shared" si="15"/>
        <v>0</v>
      </c>
      <c r="AI19" s="1540" t="e">
        <f t="shared" si="4"/>
        <v>#DIV/0!</v>
      </c>
      <c r="AJ19" s="1590"/>
      <c r="AK19" s="1432"/>
      <c r="AL19" s="1432"/>
      <c r="AM19" s="1552">
        <f t="shared" si="16"/>
        <v>0</v>
      </c>
      <c r="AN19" s="1540" t="e">
        <f t="shared" si="1"/>
        <v>#DIV/0!</v>
      </c>
      <c r="AO19" s="1590"/>
      <c r="AP19" s="1432"/>
      <c r="AQ19" s="1432"/>
      <c r="AR19" s="1552">
        <f t="shared" si="17"/>
        <v>0</v>
      </c>
      <c r="AS19" s="1877">
        <f t="shared" si="5"/>
        <v>0</v>
      </c>
      <c r="AT19" s="1590"/>
      <c r="AU19" s="1432">
        <f t="shared" si="6"/>
        <v>0</v>
      </c>
      <c r="AV19" s="1432">
        <f t="shared" si="6"/>
        <v>1000</v>
      </c>
      <c r="AW19" s="1480">
        <f t="shared" si="7"/>
        <v>1000</v>
      </c>
      <c r="AX19" s="1540">
        <f t="shared" si="18"/>
        <v>6.4938671869036772E-5</v>
      </c>
      <c r="AY19" s="1434"/>
    </row>
    <row r="20" spans="1:51" s="1396" customFormat="1" ht="28.95" customHeight="1" outlineLevel="2">
      <c r="A20" s="1572"/>
      <c r="B20" s="1401" t="s">
        <v>57</v>
      </c>
      <c r="C20" s="1488"/>
      <c r="D20" s="1487"/>
      <c r="E20" s="1480">
        <f t="shared" si="8"/>
        <v>0</v>
      </c>
      <c r="F20" s="1539">
        <f t="shared" si="0"/>
        <v>0</v>
      </c>
      <c r="G20" s="1644">
        <v>0</v>
      </c>
      <c r="H20" s="1432">
        <v>0</v>
      </c>
      <c r="I20" s="1552">
        <v>0</v>
      </c>
      <c r="J20" s="1539">
        <v>0</v>
      </c>
      <c r="K20" s="1539"/>
      <c r="L20" s="1432"/>
      <c r="M20" s="1432"/>
      <c r="N20" s="1552">
        <f t="shared" si="9"/>
        <v>0</v>
      </c>
      <c r="O20" s="1540">
        <f t="shared" si="10"/>
        <v>0</v>
      </c>
      <c r="P20" s="1590"/>
      <c r="Q20" s="1432"/>
      <c r="R20" s="1432"/>
      <c r="S20" s="1552">
        <f t="shared" si="11"/>
        <v>0</v>
      </c>
      <c r="T20" s="1540" t="e">
        <f t="shared" si="2"/>
        <v>#DIV/0!</v>
      </c>
      <c r="U20" s="1590"/>
      <c r="V20" s="1432"/>
      <c r="W20" s="1432"/>
      <c r="X20" s="1552">
        <f t="shared" si="12"/>
        <v>0</v>
      </c>
      <c r="Y20" s="1540">
        <f t="shared" si="13"/>
        <v>0</v>
      </c>
      <c r="Z20" s="1590"/>
      <c r="AA20" s="1432"/>
      <c r="AB20" s="1432"/>
      <c r="AC20" s="1552">
        <f t="shared" si="14"/>
        <v>0</v>
      </c>
      <c r="AD20" s="1540" t="e">
        <f t="shared" si="3"/>
        <v>#DIV/0!</v>
      </c>
      <c r="AE20" s="1590"/>
      <c r="AF20" s="1432"/>
      <c r="AG20" s="1432"/>
      <c r="AH20" s="1552">
        <f t="shared" si="15"/>
        <v>0</v>
      </c>
      <c r="AI20" s="1540" t="e">
        <f t="shared" si="4"/>
        <v>#DIV/0!</v>
      </c>
      <c r="AJ20" s="1590"/>
      <c r="AK20" s="1432"/>
      <c r="AL20" s="1432"/>
      <c r="AM20" s="1552">
        <f t="shared" si="16"/>
        <v>0</v>
      </c>
      <c r="AN20" s="1540" t="e">
        <f t="shared" si="1"/>
        <v>#DIV/0!</v>
      </c>
      <c r="AO20" s="1590"/>
      <c r="AP20" s="1432"/>
      <c r="AQ20" s="1432"/>
      <c r="AR20" s="1552">
        <f t="shared" si="17"/>
        <v>0</v>
      </c>
      <c r="AS20" s="1877">
        <f t="shared" si="5"/>
        <v>0</v>
      </c>
      <c r="AT20" s="1590"/>
      <c r="AU20" s="1432">
        <f t="shared" si="6"/>
        <v>0</v>
      </c>
      <c r="AV20" s="1432">
        <f t="shared" si="6"/>
        <v>0</v>
      </c>
      <c r="AW20" s="1480">
        <f t="shared" si="7"/>
        <v>0</v>
      </c>
      <c r="AX20" s="1540">
        <f t="shared" si="18"/>
        <v>0</v>
      </c>
      <c r="AY20" s="1434"/>
    </row>
    <row r="21" spans="1:51" s="1396" customFormat="1" ht="13.8" outlineLevel="2">
      <c r="A21" s="1572"/>
      <c r="B21" s="1401" t="s">
        <v>58</v>
      </c>
      <c r="C21" s="1488">
        <v>540865</v>
      </c>
      <c r="D21" s="1487"/>
      <c r="E21" s="1480">
        <f t="shared" si="8"/>
        <v>540865</v>
      </c>
      <c r="F21" s="1539">
        <f t="shared" si="0"/>
        <v>4.5771889755809911E-2</v>
      </c>
      <c r="G21" s="1644">
        <v>1782327.24</v>
      </c>
      <c r="H21" s="1432">
        <v>0</v>
      </c>
      <c r="I21" s="1552">
        <v>1782327.24</v>
      </c>
      <c r="J21" s="1539">
        <v>0.12581181663648494</v>
      </c>
      <c r="K21" s="1539"/>
      <c r="L21" s="1432"/>
      <c r="M21" s="1432"/>
      <c r="N21" s="1552">
        <f t="shared" si="9"/>
        <v>0</v>
      </c>
      <c r="O21" s="1540">
        <f t="shared" si="10"/>
        <v>0</v>
      </c>
      <c r="P21" s="1590"/>
      <c r="Q21" s="1432"/>
      <c r="R21" s="1432"/>
      <c r="S21" s="1552">
        <f t="shared" si="11"/>
        <v>0</v>
      </c>
      <c r="T21" s="1540" t="e">
        <f t="shared" si="2"/>
        <v>#DIV/0!</v>
      </c>
      <c r="U21" s="1590"/>
      <c r="V21" s="1432"/>
      <c r="W21" s="1432"/>
      <c r="X21" s="1552">
        <f t="shared" si="12"/>
        <v>0</v>
      </c>
      <c r="Y21" s="1540">
        <f t="shared" si="13"/>
        <v>0</v>
      </c>
      <c r="Z21" s="1590"/>
      <c r="AA21" s="1432"/>
      <c r="AB21" s="1432"/>
      <c r="AC21" s="1552">
        <f t="shared" si="14"/>
        <v>0</v>
      </c>
      <c r="AD21" s="1540" t="e">
        <f t="shared" si="3"/>
        <v>#DIV/0!</v>
      </c>
      <c r="AE21" s="1590"/>
      <c r="AF21" s="1432"/>
      <c r="AG21" s="1432"/>
      <c r="AH21" s="1552">
        <f t="shared" si="15"/>
        <v>0</v>
      </c>
      <c r="AI21" s="1540" t="e">
        <f t="shared" si="4"/>
        <v>#DIV/0!</v>
      </c>
      <c r="AJ21" s="1590"/>
      <c r="AK21" s="1432"/>
      <c r="AL21" s="1432"/>
      <c r="AM21" s="1552">
        <f t="shared" si="16"/>
        <v>0</v>
      </c>
      <c r="AN21" s="1540" t="e">
        <f t="shared" si="1"/>
        <v>#DIV/0!</v>
      </c>
      <c r="AO21" s="1590"/>
      <c r="AP21" s="1432"/>
      <c r="AQ21" s="1432"/>
      <c r="AR21" s="1552">
        <f t="shared" si="17"/>
        <v>0</v>
      </c>
      <c r="AS21" s="1877">
        <f>AR21/$AR$89</f>
        <v>0</v>
      </c>
      <c r="AT21" s="1590"/>
      <c r="AU21" s="1432">
        <f t="shared" si="6"/>
        <v>1782327.24</v>
      </c>
      <c r="AV21" s="1432">
        <f t="shared" si="6"/>
        <v>0</v>
      </c>
      <c r="AW21" s="1480">
        <f t="shared" si="7"/>
        <v>1782327.24</v>
      </c>
      <c r="AX21" s="1540">
        <f t="shared" si="18"/>
        <v>0.11574196380160595</v>
      </c>
      <c r="AY21" s="1581"/>
    </row>
    <row r="22" spans="1:51" s="1396" customFormat="1" ht="13.8" outlineLevel="2">
      <c r="A22" s="1572"/>
      <c r="B22" s="1401" t="s">
        <v>621</v>
      </c>
      <c r="C22" s="1488">
        <v>635000</v>
      </c>
      <c r="D22" s="1487"/>
      <c r="E22" s="1480">
        <f t="shared" si="8"/>
        <v>635000</v>
      </c>
      <c r="F22" s="1539"/>
      <c r="G22" s="1644">
        <v>947202.36800000002</v>
      </c>
      <c r="H22" s="1432">
        <v>2000</v>
      </c>
      <c r="I22" s="1552">
        <v>949202.36800000002</v>
      </c>
      <c r="J22" s="1539"/>
      <c r="K22" s="1539"/>
      <c r="L22" s="1432"/>
      <c r="M22" s="1432"/>
      <c r="N22" s="1552">
        <f t="shared" si="9"/>
        <v>0</v>
      </c>
      <c r="O22" s="1540">
        <f t="shared" si="10"/>
        <v>0</v>
      </c>
      <c r="P22" s="1590"/>
      <c r="Q22" s="1432"/>
      <c r="R22" s="1432"/>
      <c r="S22" s="1552">
        <f t="shared" si="11"/>
        <v>0</v>
      </c>
      <c r="T22" s="1540" t="e">
        <f t="shared" si="2"/>
        <v>#DIV/0!</v>
      </c>
      <c r="U22" s="1590"/>
      <c r="V22" s="1432"/>
      <c r="W22" s="1432"/>
      <c r="X22" s="1552">
        <f t="shared" si="12"/>
        <v>0</v>
      </c>
      <c r="Y22" s="1540">
        <f t="shared" si="13"/>
        <v>0</v>
      </c>
      <c r="Z22" s="1590"/>
      <c r="AA22" s="1432"/>
      <c r="AB22" s="1432"/>
      <c r="AC22" s="1552">
        <f t="shared" si="14"/>
        <v>0</v>
      </c>
      <c r="AD22" s="1540" t="e">
        <f t="shared" si="3"/>
        <v>#DIV/0!</v>
      </c>
      <c r="AE22" s="1590"/>
      <c r="AF22" s="1432"/>
      <c r="AG22" s="1432"/>
      <c r="AH22" s="1552">
        <f t="shared" si="15"/>
        <v>0</v>
      </c>
      <c r="AI22" s="1540" t="e">
        <f t="shared" si="4"/>
        <v>#DIV/0!</v>
      </c>
      <c r="AJ22" s="1590"/>
      <c r="AK22" s="1432"/>
      <c r="AL22" s="1432"/>
      <c r="AM22" s="1552">
        <f t="shared" si="16"/>
        <v>0</v>
      </c>
      <c r="AN22" s="1540" t="e">
        <f t="shared" si="1"/>
        <v>#DIV/0!</v>
      </c>
      <c r="AO22" s="1590"/>
      <c r="AP22" s="1432"/>
      <c r="AQ22" s="1432"/>
      <c r="AR22" s="1552">
        <f t="shared" si="17"/>
        <v>0</v>
      </c>
      <c r="AS22" s="1877">
        <f t="shared" si="5"/>
        <v>0</v>
      </c>
      <c r="AT22" s="1590"/>
      <c r="AU22" s="1432">
        <f t="shared" si="6"/>
        <v>947202.36800000002</v>
      </c>
      <c r="AV22" s="1432">
        <f t="shared" si="6"/>
        <v>2000</v>
      </c>
      <c r="AW22" s="1480">
        <f t="shared" si="7"/>
        <v>949202.36800000002</v>
      </c>
      <c r="AX22" s="1540"/>
      <c r="AY22" s="1434"/>
    </row>
    <row r="23" spans="1:51" s="1396" customFormat="1" ht="13.8" outlineLevel="2">
      <c r="A23" s="1572"/>
      <c r="B23" s="1401" t="s">
        <v>630</v>
      </c>
      <c r="C23" s="1488"/>
      <c r="D23" s="1487"/>
      <c r="E23" s="1480">
        <f t="shared" si="8"/>
        <v>0</v>
      </c>
      <c r="F23" s="1539"/>
      <c r="G23" s="1644">
        <v>0</v>
      </c>
      <c r="H23" s="1432">
        <v>0</v>
      </c>
      <c r="I23" s="1552">
        <v>0</v>
      </c>
      <c r="J23" s="1539"/>
      <c r="K23" s="1539"/>
      <c r="L23" s="1432"/>
      <c r="M23" s="1432"/>
      <c r="N23" s="1552"/>
      <c r="O23" s="1540">
        <f t="shared" si="10"/>
        <v>0</v>
      </c>
      <c r="P23" s="1590"/>
      <c r="Q23" s="1432"/>
      <c r="R23" s="1432"/>
      <c r="S23" s="1552"/>
      <c r="T23" s="1540" t="e">
        <f t="shared" si="2"/>
        <v>#DIV/0!</v>
      </c>
      <c r="U23" s="1590"/>
      <c r="V23" s="1432"/>
      <c r="W23" s="1432"/>
      <c r="X23" s="1552"/>
      <c r="Y23" s="1540">
        <f t="shared" si="13"/>
        <v>0</v>
      </c>
      <c r="Z23" s="1590"/>
      <c r="AA23" s="1432"/>
      <c r="AB23" s="1432"/>
      <c r="AC23" s="1552"/>
      <c r="AD23" s="1540" t="e">
        <f t="shared" si="3"/>
        <v>#DIV/0!</v>
      </c>
      <c r="AE23" s="1590"/>
      <c r="AF23" s="1432"/>
      <c r="AG23" s="1432"/>
      <c r="AH23" s="1552"/>
      <c r="AI23" s="1540" t="e">
        <f t="shared" si="4"/>
        <v>#DIV/0!</v>
      </c>
      <c r="AJ23" s="1590"/>
      <c r="AK23" s="1432"/>
      <c r="AL23" s="1432"/>
      <c r="AM23" s="1552"/>
      <c r="AN23" s="1540" t="e">
        <f t="shared" si="1"/>
        <v>#DIV/0!</v>
      </c>
      <c r="AO23" s="1590"/>
      <c r="AP23" s="1432"/>
      <c r="AQ23" s="1432"/>
      <c r="AR23" s="1552"/>
      <c r="AS23" s="1877">
        <f t="shared" si="5"/>
        <v>0</v>
      </c>
      <c r="AT23" s="1590"/>
      <c r="AU23" s="1432">
        <f t="shared" si="6"/>
        <v>0</v>
      </c>
      <c r="AV23" s="1432">
        <f t="shared" si="6"/>
        <v>0</v>
      </c>
      <c r="AW23" s="1480">
        <f t="shared" si="7"/>
        <v>0</v>
      </c>
      <c r="AX23" s="1540"/>
      <c r="AY23" s="1434"/>
    </row>
    <row r="24" spans="1:51" s="1396" customFormat="1" ht="109.95" customHeight="1" outlineLevel="2">
      <c r="A24" s="1572"/>
      <c r="B24" s="1401" t="s">
        <v>23</v>
      </c>
      <c r="C24" s="1488">
        <v>490000</v>
      </c>
      <c r="D24" s="1487"/>
      <c r="E24" s="1480">
        <f t="shared" si="8"/>
        <v>490000</v>
      </c>
      <c r="F24" s="1539">
        <f t="shared" ref="F24:F33" si="19">E24/$E$89</f>
        <v>4.1467327300429603E-2</v>
      </c>
      <c r="G24" s="1644">
        <v>319400.00799999997</v>
      </c>
      <c r="H24" s="1432">
        <v>8184</v>
      </c>
      <c r="I24" s="1552">
        <v>327584.00799999997</v>
      </c>
      <c r="J24" s="1539">
        <v>2.3123665633669389E-2</v>
      </c>
      <c r="K24" s="1539"/>
      <c r="L24" s="1432"/>
      <c r="M24" s="1432"/>
      <c r="N24" s="1552">
        <f t="shared" ref="N24:N33" si="20">L24+M24*1</f>
        <v>0</v>
      </c>
      <c r="O24" s="1540">
        <f t="shared" si="10"/>
        <v>0</v>
      </c>
      <c r="P24" s="1590"/>
      <c r="Q24" s="1432"/>
      <c r="R24" s="1432"/>
      <c r="S24" s="1552">
        <f t="shared" ref="S24:S33" si="21">Q24+R24*1</f>
        <v>0</v>
      </c>
      <c r="T24" s="1540" t="e">
        <f t="shared" si="2"/>
        <v>#DIV/0!</v>
      </c>
      <c r="U24" s="1590"/>
      <c r="V24" s="1432"/>
      <c r="W24" s="1432"/>
      <c r="X24" s="1552">
        <f t="shared" ref="X24:X33" si="22">V24+W24*1</f>
        <v>0</v>
      </c>
      <c r="Y24" s="1540">
        <f t="shared" si="13"/>
        <v>0</v>
      </c>
      <c r="Z24" s="1590"/>
      <c r="AA24" s="1432"/>
      <c r="AB24" s="1432"/>
      <c r="AC24" s="1552">
        <f t="shared" ref="AC24:AC33" si="23">AA24+AB24*1</f>
        <v>0</v>
      </c>
      <c r="AD24" s="1540" t="e">
        <f t="shared" si="3"/>
        <v>#DIV/0!</v>
      </c>
      <c r="AE24" s="1590"/>
      <c r="AF24" s="1432"/>
      <c r="AG24" s="1432"/>
      <c r="AH24" s="1552">
        <f t="shared" ref="AH24:AH33" si="24">AF24+AG24*1</f>
        <v>0</v>
      </c>
      <c r="AI24" s="1540" t="e">
        <f t="shared" si="4"/>
        <v>#DIV/0!</v>
      </c>
      <c r="AJ24" s="1590"/>
      <c r="AK24" s="1432"/>
      <c r="AL24" s="1432"/>
      <c r="AM24" s="1552">
        <f t="shared" ref="AM24:AM33" si="25">AK24+AL24*1</f>
        <v>0</v>
      </c>
      <c r="AN24" s="1540" t="e">
        <f t="shared" si="1"/>
        <v>#DIV/0!</v>
      </c>
      <c r="AO24" s="1590"/>
      <c r="AP24" s="1432"/>
      <c r="AQ24" s="1432"/>
      <c r="AR24" s="1552">
        <f t="shared" ref="AR24:AR33" si="26">AP24+AQ24*1</f>
        <v>0</v>
      </c>
      <c r="AS24" s="1877">
        <f t="shared" si="5"/>
        <v>0</v>
      </c>
      <c r="AT24" s="1590"/>
      <c r="AU24" s="1432">
        <f t="shared" si="6"/>
        <v>319400.00799999997</v>
      </c>
      <c r="AV24" s="1432">
        <f t="shared" si="6"/>
        <v>8184</v>
      </c>
      <c r="AW24" s="1480">
        <f t="shared" si="7"/>
        <v>327584.00799999997</v>
      </c>
      <c r="AX24" s="1540">
        <f t="shared" ref="AX24:AX33" si="27">AW24/$AW$89</f>
        <v>2.1272870405055915E-2</v>
      </c>
      <c r="AY24" s="1434"/>
    </row>
    <row r="25" spans="1:51" s="1396" customFormat="1" ht="39" customHeight="1" outlineLevel="2">
      <c r="A25" s="1572"/>
      <c r="B25" s="1401" t="s">
        <v>24</v>
      </c>
      <c r="C25" s="1488">
        <v>468500</v>
      </c>
      <c r="D25" s="1487"/>
      <c r="E25" s="1480">
        <f t="shared" si="8"/>
        <v>468500</v>
      </c>
      <c r="F25" s="1539">
        <f t="shared" si="19"/>
        <v>3.9647842531125035E-2</v>
      </c>
      <c r="G25" s="1644">
        <v>213232.08800000002</v>
      </c>
      <c r="H25" s="1432">
        <v>15876</v>
      </c>
      <c r="I25" s="1552">
        <v>229108.08800000002</v>
      </c>
      <c r="J25" s="1539">
        <v>1.617239758810602E-2</v>
      </c>
      <c r="K25" s="1539"/>
      <c r="L25" s="1432">
        <f>778.75*1.2</f>
        <v>934.5</v>
      </c>
      <c r="M25" s="1432"/>
      <c r="N25" s="1552">
        <f t="shared" si="20"/>
        <v>934.5</v>
      </c>
      <c r="O25" s="1540">
        <f t="shared" si="10"/>
        <v>1</v>
      </c>
      <c r="P25" s="1590"/>
      <c r="Q25" s="1432"/>
      <c r="R25" s="1432"/>
      <c r="S25" s="1552">
        <f t="shared" si="21"/>
        <v>0</v>
      </c>
      <c r="T25" s="1540" t="e">
        <f t="shared" si="2"/>
        <v>#DIV/0!</v>
      </c>
      <c r="U25" s="1590"/>
      <c r="V25" s="1432"/>
      <c r="W25" s="1432"/>
      <c r="X25" s="1552">
        <f t="shared" si="22"/>
        <v>0</v>
      </c>
      <c r="Y25" s="1540">
        <f t="shared" si="13"/>
        <v>0</v>
      </c>
      <c r="Z25" s="1590"/>
      <c r="AA25" s="1432"/>
      <c r="AB25" s="1432"/>
      <c r="AC25" s="1552">
        <f t="shared" si="23"/>
        <v>0</v>
      </c>
      <c r="AD25" s="1540" t="e">
        <f t="shared" si="3"/>
        <v>#DIV/0!</v>
      </c>
      <c r="AE25" s="1590"/>
      <c r="AF25" s="1432"/>
      <c r="AG25" s="1432"/>
      <c r="AH25" s="1552">
        <f t="shared" si="24"/>
        <v>0</v>
      </c>
      <c r="AI25" s="1540" t="e">
        <f t="shared" si="4"/>
        <v>#DIV/0!</v>
      </c>
      <c r="AJ25" s="1590"/>
      <c r="AK25" s="1432"/>
      <c r="AL25" s="1432"/>
      <c r="AM25" s="1552">
        <f t="shared" si="25"/>
        <v>0</v>
      </c>
      <c r="AN25" s="1540" t="e">
        <f t="shared" si="1"/>
        <v>#DIV/0!</v>
      </c>
      <c r="AO25" s="1590"/>
      <c r="AP25" s="1432"/>
      <c r="AQ25" s="1432"/>
      <c r="AR25" s="1552">
        <f t="shared" si="26"/>
        <v>0</v>
      </c>
      <c r="AS25" s="1877">
        <f t="shared" si="5"/>
        <v>0</v>
      </c>
      <c r="AT25" s="1590"/>
      <c r="AU25" s="1432">
        <f t="shared" si="6"/>
        <v>214166.58800000002</v>
      </c>
      <c r="AV25" s="1432">
        <f t="shared" si="6"/>
        <v>15876</v>
      </c>
      <c r="AW25" s="1480">
        <f t="shared" si="7"/>
        <v>230042.58800000002</v>
      </c>
      <c r="AX25" s="1540">
        <f t="shared" si="27"/>
        <v>1.4938660138036018E-2</v>
      </c>
      <c r="AY25" s="1434"/>
    </row>
    <row r="26" spans="1:51" s="1564" customFormat="1" ht="51" customHeight="1" outlineLevel="2">
      <c r="A26" s="1572"/>
      <c r="B26" s="1582" t="s">
        <v>45</v>
      </c>
      <c r="C26" s="1488">
        <v>5009718</v>
      </c>
      <c r="D26" s="1487"/>
      <c r="E26" s="1480">
        <f t="shared" si="8"/>
        <v>5009718</v>
      </c>
      <c r="F26" s="1539">
        <f t="shared" si="19"/>
        <v>0.42395839997725221</v>
      </c>
      <c r="G26" s="1644">
        <v>4775417.5079999994</v>
      </c>
      <c r="H26" s="1432">
        <v>900</v>
      </c>
      <c r="I26" s="1552">
        <v>4776317.5079999994</v>
      </c>
      <c r="J26" s="1539">
        <v>0.33715311589701602</v>
      </c>
      <c r="K26" s="1539"/>
      <c r="L26" s="1432"/>
      <c r="M26" s="1432"/>
      <c r="N26" s="1552">
        <f t="shared" si="20"/>
        <v>0</v>
      </c>
      <c r="O26" s="1540">
        <f t="shared" si="10"/>
        <v>0</v>
      </c>
      <c r="P26" s="1590"/>
      <c r="Q26" s="1432"/>
      <c r="R26" s="1432"/>
      <c r="S26" s="1552">
        <f t="shared" si="21"/>
        <v>0</v>
      </c>
      <c r="T26" s="1540" t="e">
        <f t="shared" si="2"/>
        <v>#DIV/0!</v>
      </c>
      <c r="U26" s="1590"/>
      <c r="V26" s="1432">
        <f>5075.9*1.2</f>
        <v>6091.079999999999</v>
      </c>
      <c r="W26" s="1432"/>
      <c r="X26" s="1552">
        <f t="shared" si="22"/>
        <v>6091.079999999999</v>
      </c>
      <c r="Y26" s="1540" t="e">
        <f>X26/$S$89</f>
        <v>#DIV/0!</v>
      </c>
      <c r="Z26" s="1590" t="s">
        <v>1098</v>
      </c>
      <c r="AA26" s="1432"/>
      <c r="AB26" s="1432"/>
      <c r="AC26" s="1552">
        <f t="shared" si="23"/>
        <v>0</v>
      </c>
      <c r="AD26" s="1540" t="e">
        <f t="shared" si="3"/>
        <v>#DIV/0!</v>
      </c>
      <c r="AE26" s="1590"/>
      <c r="AF26" s="1432"/>
      <c r="AG26" s="1432"/>
      <c r="AH26" s="1552">
        <f t="shared" si="24"/>
        <v>0</v>
      </c>
      <c r="AI26" s="1540" t="e">
        <f t="shared" si="4"/>
        <v>#DIV/0!</v>
      </c>
      <c r="AJ26" s="1590"/>
      <c r="AK26" s="1432"/>
      <c r="AL26" s="1432"/>
      <c r="AM26" s="1552">
        <f t="shared" si="25"/>
        <v>0</v>
      </c>
      <c r="AN26" s="1540" t="e">
        <f t="shared" si="1"/>
        <v>#DIV/0!</v>
      </c>
      <c r="AO26" s="1590"/>
      <c r="AP26" s="1871">
        <f>219825.74*1.2+801429.81*1.2</f>
        <v>1225506.6599999999</v>
      </c>
      <c r="AQ26" s="1871"/>
      <c r="AR26" s="1872">
        <f t="shared" si="26"/>
        <v>1225506.6599999999</v>
      </c>
      <c r="AS26" s="1907">
        <f t="shared" si="5"/>
        <v>1</v>
      </c>
      <c r="AT26" s="1934" t="s">
        <v>1265</v>
      </c>
      <c r="AU26" s="1432">
        <f t="shared" si="6"/>
        <v>6007015.2479999997</v>
      </c>
      <c r="AV26" s="1432">
        <f t="shared" si="6"/>
        <v>900</v>
      </c>
      <c r="AW26" s="1480">
        <f t="shared" si="7"/>
        <v>6007915.2479999997</v>
      </c>
      <c r="AX26" s="1540">
        <f t="shared" si="27"/>
        <v>0.39014603690685468</v>
      </c>
      <c r="AY26" s="1434"/>
    </row>
    <row r="27" spans="1:51" s="1396" customFormat="1" ht="32.4" customHeight="1" outlineLevel="2">
      <c r="A27" s="1572"/>
      <c r="B27" s="1401" t="s">
        <v>25</v>
      </c>
      <c r="C27" s="1488"/>
      <c r="D27" s="1487">
        <v>20000</v>
      </c>
      <c r="E27" s="1480">
        <f t="shared" si="8"/>
        <v>20000</v>
      </c>
      <c r="F27" s="1539">
        <f t="shared" si="19"/>
        <v>1.6925439714461062E-3</v>
      </c>
      <c r="G27" s="1644">
        <v>249.99600000000001</v>
      </c>
      <c r="H27" s="1432">
        <v>3760</v>
      </c>
      <c r="I27" s="1552">
        <v>4009.9960000000001</v>
      </c>
      <c r="J27" s="1539">
        <v>2.8305962572004349E-4</v>
      </c>
      <c r="K27" s="1539"/>
      <c r="L27" s="1432"/>
      <c r="M27" s="1432"/>
      <c r="N27" s="1552">
        <f t="shared" si="20"/>
        <v>0</v>
      </c>
      <c r="O27" s="1540">
        <f t="shared" si="10"/>
        <v>0</v>
      </c>
      <c r="P27" s="1590"/>
      <c r="Q27" s="1432"/>
      <c r="R27" s="1432"/>
      <c r="S27" s="1552">
        <f t="shared" si="21"/>
        <v>0</v>
      </c>
      <c r="T27" s="1540" t="e">
        <f t="shared" si="2"/>
        <v>#DIV/0!</v>
      </c>
      <c r="U27" s="1590"/>
      <c r="V27" s="1432"/>
      <c r="W27" s="1432"/>
      <c r="X27" s="1552">
        <f t="shared" si="22"/>
        <v>0</v>
      </c>
      <c r="Y27" s="1540">
        <f t="shared" si="13"/>
        <v>0</v>
      </c>
      <c r="Z27" s="1590"/>
      <c r="AA27" s="1432"/>
      <c r="AB27" s="1432"/>
      <c r="AC27" s="1552">
        <f t="shared" si="23"/>
        <v>0</v>
      </c>
      <c r="AD27" s="1540" t="e">
        <f t="shared" si="3"/>
        <v>#DIV/0!</v>
      </c>
      <c r="AE27" s="1590"/>
      <c r="AF27" s="1432"/>
      <c r="AG27" s="1432"/>
      <c r="AH27" s="1552">
        <f t="shared" si="24"/>
        <v>0</v>
      </c>
      <c r="AI27" s="1540" t="e">
        <f t="shared" si="4"/>
        <v>#DIV/0!</v>
      </c>
      <c r="AJ27" s="1590"/>
      <c r="AK27" s="1432"/>
      <c r="AL27" s="1432"/>
      <c r="AM27" s="1552">
        <f t="shared" si="25"/>
        <v>0</v>
      </c>
      <c r="AN27" s="1540" t="e">
        <f t="shared" si="1"/>
        <v>#DIV/0!</v>
      </c>
      <c r="AO27" s="1590"/>
      <c r="AP27" s="1432"/>
      <c r="AQ27" s="1432"/>
      <c r="AR27" s="1552">
        <f t="shared" si="26"/>
        <v>0</v>
      </c>
      <c r="AS27" s="1877">
        <f t="shared" si="5"/>
        <v>0</v>
      </c>
      <c r="AT27" s="1590"/>
      <c r="AU27" s="1432">
        <f t="shared" ref="AU27:AV33" si="28">G27+L27+Q27+V27+AA27+AF27+AK27+AP27</f>
        <v>249.99600000000001</v>
      </c>
      <c r="AV27" s="1432">
        <f t="shared" si="28"/>
        <v>3760</v>
      </c>
      <c r="AW27" s="1480">
        <f t="shared" si="7"/>
        <v>4009.9960000000001</v>
      </c>
      <c r="AX27" s="1540">
        <f t="shared" si="27"/>
        <v>2.6040381444015001E-4</v>
      </c>
      <c r="AY27" s="1434"/>
    </row>
    <row r="28" spans="1:51" s="1564" customFormat="1" ht="109.2" customHeight="1" outlineLevel="2">
      <c r="A28" s="1572"/>
      <c r="B28" s="1582" t="s">
        <v>52</v>
      </c>
      <c r="C28" s="1488">
        <v>272604</v>
      </c>
      <c r="D28" s="1487"/>
      <c r="E28" s="1480">
        <f t="shared" si="8"/>
        <v>272604</v>
      </c>
      <c r="F28" s="1539">
        <f t="shared" si="19"/>
        <v>2.3069712839604715E-2</v>
      </c>
      <c r="G28" s="1644">
        <v>4178.7</v>
      </c>
      <c r="H28" s="1432">
        <v>32749</v>
      </c>
      <c r="I28" s="1552">
        <v>36927.699999999997</v>
      </c>
      <c r="J28" s="1539">
        <v>2.6066711639368342E-3</v>
      </c>
      <c r="K28" s="1539"/>
      <c r="L28" s="1432"/>
      <c r="M28" s="1432"/>
      <c r="N28" s="1552">
        <f t="shared" si="20"/>
        <v>0</v>
      </c>
      <c r="O28" s="1540">
        <f t="shared" si="10"/>
        <v>0</v>
      </c>
      <c r="P28" s="1590"/>
      <c r="Q28" s="1432"/>
      <c r="R28" s="1432"/>
      <c r="S28" s="1552">
        <f t="shared" si="21"/>
        <v>0</v>
      </c>
      <c r="T28" s="1540" t="e">
        <f t="shared" si="2"/>
        <v>#DIV/0!</v>
      </c>
      <c r="U28" s="1590"/>
      <c r="V28" s="1432"/>
      <c r="W28" s="1432"/>
      <c r="X28" s="1552">
        <f t="shared" si="22"/>
        <v>0</v>
      </c>
      <c r="Y28" s="1540">
        <f t="shared" si="13"/>
        <v>0</v>
      </c>
      <c r="Z28" s="1590"/>
      <c r="AA28" s="1432"/>
      <c r="AB28" s="1432"/>
      <c r="AC28" s="1552">
        <f t="shared" si="23"/>
        <v>0</v>
      </c>
      <c r="AD28" s="1540" t="e">
        <f t="shared" si="3"/>
        <v>#DIV/0!</v>
      </c>
      <c r="AE28" s="1590"/>
      <c r="AF28" s="1432"/>
      <c r="AG28" s="1432"/>
      <c r="AH28" s="1552">
        <f t="shared" si="24"/>
        <v>0</v>
      </c>
      <c r="AI28" s="1540" t="e">
        <f t="shared" si="4"/>
        <v>#DIV/0!</v>
      </c>
      <c r="AJ28" s="1590"/>
      <c r="AK28" s="1432"/>
      <c r="AL28" s="1432"/>
      <c r="AM28" s="1552">
        <f t="shared" si="25"/>
        <v>0</v>
      </c>
      <c r="AN28" s="1540" t="e">
        <f t="shared" si="1"/>
        <v>#DIV/0!</v>
      </c>
      <c r="AO28" s="1590"/>
      <c r="AP28" s="1432"/>
      <c r="AQ28" s="1432"/>
      <c r="AR28" s="1552">
        <f t="shared" si="26"/>
        <v>0</v>
      </c>
      <c r="AS28" s="1877">
        <f t="shared" si="5"/>
        <v>0</v>
      </c>
      <c r="AT28" s="1590"/>
      <c r="AU28" s="1432">
        <f t="shared" si="28"/>
        <v>4178.7</v>
      </c>
      <c r="AV28" s="1432">
        <f t="shared" si="28"/>
        <v>32749</v>
      </c>
      <c r="AW28" s="1480">
        <f t="shared" si="7"/>
        <v>36927.699999999997</v>
      </c>
      <c r="AX28" s="1540">
        <f t="shared" si="27"/>
        <v>2.398035793178229E-3</v>
      </c>
      <c r="AY28" s="1434"/>
    </row>
    <row r="29" spans="1:51" s="1396" customFormat="1" ht="124.95" customHeight="1" outlineLevel="2">
      <c r="A29" s="1572"/>
      <c r="B29" s="1401" t="s">
        <v>31</v>
      </c>
      <c r="C29" s="1488">
        <v>37180</v>
      </c>
      <c r="D29" s="1487">
        <v>228000</v>
      </c>
      <c r="E29" s="1480">
        <f t="shared" si="8"/>
        <v>265180</v>
      </c>
      <c r="F29" s="1540">
        <f t="shared" si="19"/>
        <v>2.2441440517403922E-2</v>
      </c>
      <c r="G29" s="1644">
        <v>51440</v>
      </c>
      <c r="H29" s="1432">
        <v>352650</v>
      </c>
      <c r="I29" s="1552">
        <v>404090</v>
      </c>
      <c r="J29" s="1539">
        <v>2.8524109290186915E-2</v>
      </c>
      <c r="K29" s="1539"/>
      <c r="L29" s="1432"/>
      <c r="M29" s="1432"/>
      <c r="N29" s="1552">
        <f t="shared" si="20"/>
        <v>0</v>
      </c>
      <c r="O29" s="1540">
        <f t="shared" si="10"/>
        <v>0</v>
      </c>
      <c r="P29" s="1590"/>
      <c r="Q29" s="1432"/>
      <c r="R29" s="1432"/>
      <c r="S29" s="1552">
        <f t="shared" si="21"/>
        <v>0</v>
      </c>
      <c r="T29" s="1540" t="e">
        <f t="shared" si="2"/>
        <v>#DIV/0!</v>
      </c>
      <c r="U29" s="1590"/>
      <c r="V29" s="1432"/>
      <c r="W29" s="1432"/>
      <c r="X29" s="1552">
        <f t="shared" si="22"/>
        <v>0</v>
      </c>
      <c r="Y29" s="1540">
        <f t="shared" si="13"/>
        <v>0</v>
      </c>
      <c r="Z29" s="1590"/>
      <c r="AA29" s="1432"/>
      <c r="AB29" s="1432"/>
      <c r="AC29" s="1552">
        <f t="shared" si="23"/>
        <v>0</v>
      </c>
      <c r="AD29" s="1540" t="e">
        <f t="shared" si="3"/>
        <v>#DIV/0!</v>
      </c>
      <c r="AE29" s="1590"/>
      <c r="AF29" s="1432"/>
      <c r="AG29" s="1432"/>
      <c r="AH29" s="1552">
        <f t="shared" si="24"/>
        <v>0</v>
      </c>
      <c r="AI29" s="1540" t="e">
        <f t="shared" si="4"/>
        <v>#DIV/0!</v>
      </c>
      <c r="AJ29" s="1590"/>
      <c r="AK29" s="1432"/>
      <c r="AL29" s="1432"/>
      <c r="AM29" s="1552">
        <f t="shared" si="25"/>
        <v>0</v>
      </c>
      <c r="AN29" s="1540" t="e">
        <f t="shared" si="1"/>
        <v>#DIV/0!</v>
      </c>
      <c r="AO29" s="1590"/>
      <c r="AP29" s="1432"/>
      <c r="AQ29" s="1432"/>
      <c r="AR29" s="1552">
        <f t="shared" si="26"/>
        <v>0</v>
      </c>
      <c r="AS29" s="1877">
        <f t="shared" si="5"/>
        <v>0</v>
      </c>
      <c r="AT29" s="1590"/>
      <c r="AU29" s="1432">
        <f t="shared" si="28"/>
        <v>51440</v>
      </c>
      <c r="AV29" s="1432">
        <f t="shared" si="28"/>
        <v>352650</v>
      </c>
      <c r="AW29" s="1480">
        <f t="shared" si="7"/>
        <v>404090</v>
      </c>
      <c r="AX29" s="1540">
        <f t="shared" si="27"/>
        <v>2.6241067915559069E-2</v>
      </c>
      <c r="AY29" s="1460"/>
    </row>
    <row r="30" spans="1:51" s="1396" customFormat="1" ht="79.95" customHeight="1" outlineLevel="2">
      <c r="A30" s="1572"/>
      <c r="B30" s="1401" t="s">
        <v>62</v>
      </c>
      <c r="C30" s="1488"/>
      <c r="D30" s="1487">
        <v>176400</v>
      </c>
      <c r="E30" s="1480">
        <f t="shared" si="8"/>
        <v>176400</v>
      </c>
      <c r="F30" s="1540">
        <f t="shared" si="19"/>
        <v>1.4928237828154656E-2</v>
      </c>
      <c r="G30" s="1644">
        <v>4030</v>
      </c>
      <c r="H30" s="1432">
        <v>347495</v>
      </c>
      <c r="I30" s="1552">
        <v>351525</v>
      </c>
      <c r="J30" s="1539">
        <v>2.4813624485221005E-2</v>
      </c>
      <c r="K30" s="1539"/>
      <c r="L30" s="1432"/>
      <c r="M30" s="1432"/>
      <c r="N30" s="1552">
        <f t="shared" si="20"/>
        <v>0</v>
      </c>
      <c r="O30" s="1540">
        <f t="shared" si="10"/>
        <v>0</v>
      </c>
      <c r="P30" s="1590"/>
      <c r="Q30" s="1432"/>
      <c r="R30" s="1432"/>
      <c r="S30" s="1552">
        <f t="shared" si="21"/>
        <v>0</v>
      </c>
      <c r="T30" s="1540" t="e">
        <f t="shared" si="2"/>
        <v>#DIV/0!</v>
      </c>
      <c r="U30" s="1590"/>
      <c r="V30" s="1432"/>
      <c r="W30" s="1432"/>
      <c r="X30" s="1552">
        <f t="shared" si="22"/>
        <v>0</v>
      </c>
      <c r="Y30" s="1540">
        <f t="shared" si="13"/>
        <v>0</v>
      </c>
      <c r="Z30" s="1590"/>
      <c r="AA30" s="1432"/>
      <c r="AB30" s="1432"/>
      <c r="AC30" s="1552">
        <f t="shared" si="23"/>
        <v>0</v>
      </c>
      <c r="AD30" s="1540" t="e">
        <f t="shared" si="3"/>
        <v>#DIV/0!</v>
      </c>
      <c r="AE30" s="1590"/>
      <c r="AF30" s="1432"/>
      <c r="AG30" s="1432"/>
      <c r="AH30" s="1552">
        <f t="shared" si="24"/>
        <v>0</v>
      </c>
      <c r="AI30" s="1540" t="e">
        <f t="shared" si="4"/>
        <v>#DIV/0!</v>
      </c>
      <c r="AJ30" s="1590"/>
      <c r="AK30" s="1432"/>
      <c r="AL30" s="1432"/>
      <c r="AM30" s="1552">
        <f t="shared" si="25"/>
        <v>0</v>
      </c>
      <c r="AN30" s="1540" t="e">
        <f t="shared" si="1"/>
        <v>#DIV/0!</v>
      </c>
      <c r="AO30" s="1590"/>
      <c r="AP30" s="1432"/>
      <c r="AQ30" s="1432"/>
      <c r="AR30" s="1552">
        <f t="shared" si="26"/>
        <v>0</v>
      </c>
      <c r="AS30" s="1877">
        <f t="shared" si="5"/>
        <v>0</v>
      </c>
      <c r="AT30" s="1590"/>
      <c r="AU30" s="1432">
        <f t="shared" si="28"/>
        <v>4030</v>
      </c>
      <c r="AV30" s="1432">
        <f t="shared" si="28"/>
        <v>347495</v>
      </c>
      <c r="AW30" s="1480">
        <f t="shared" si="7"/>
        <v>351525</v>
      </c>
      <c r="AX30" s="1540">
        <f t="shared" si="27"/>
        <v>2.2827566628763153E-2</v>
      </c>
      <c r="AY30" s="1460"/>
    </row>
    <row r="31" spans="1:51" s="1396" customFormat="1" ht="105.6" customHeight="1" outlineLevel="2">
      <c r="A31" s="1572"/>
      <c r="B31" s="1401" t="s">
        <v>34</v>
      </c>
      <c r="C31" s="1488"/>
      <c r="D31" s="1487">
        <v>48000</v>
      </c>
      <c r="E31" s="1480">
        <f t="shared" si="8"/>
        <v>48000</v>
      </c>
      <c r="F31" s="1540">
        <f t="shared" si="19"/>
        <v>4.0621055314706547E-3</v>
      </c>
      <c r="G31" s="1644">
        <v>0</v>
      </c>
      <c r="H31" s="1432">
        <v>154888.68</v>
      </c>
      <c r="I31" s="1552">
        <v>154888.68</v>
      </c>
      <c r="J31" s="1539">
        <v>1.0933360479429801E-2</v>
      </c>
      <c r="K31" s="1539"/>
      <c r="L31" s="1432"/>
      <c r="M31" s="1432"/>
      <c r="N31" s="1552">
        <f t="shared" si="20"/>
        <v>0</v>
      </c>
      <c r="O31" s="1540">
        <f t="shared" si="10"/>
        <v>0</v>
      </c>
      <c r="P31" s="1590"/>
      <c r="Q31" s="1432"/>
      <c r="R31" s="1432"/>
      <c r="S31" s="1552">
        <f t="shared" si="21"/>
        <v>0</v>
      </c>
      <c r="T31" s="1540" t="e">
        <f t="shared" si="2"/>
        <v>#DIV/0!</v>
      </c>
      <c r="U31" s="1590"/>
      <c r="V31" s="1432"/>
      <c r="W31" s="1432"/>
      <c r="X31" s="1552">
        <f t="shared" si="22"/>
        <v>0</v>
      </c>
      <c r="Y31" s="1540">
        <f t="shared" si="13"/>
        <v>0</v>
      </c>
      <c r="Z31" s="1590"/>
      <c r="AA31" s="1432"/>
      <c r="AB31" s="1432"/>
      <c r="AC31" s="1552">
        <f t="shared" si="23"/>
        <v>0</v>
      </c>
      <c r="AD31" s="1540" t="e">
        <f t="shared" si="3"/>
        <v>#DIV/0!</v>
      </c>
      <c r="AE31" s="1590"/>
      <c r="AF31" s="1432"/>
      <c r="AG31" s="1432"/>
      <c r="AH31" s="1552">
        <f t="shared" si="24"/>
        <v>0</v>
      </c>
      <c r="AI31" s="1540" t="e">
        <f t="shared" si="4"/>
        <v>#DIV/0!</v>
      </c>
      <c r="AJ31" s="1590"/>
      <c r="AK31" s="1432"/>
      <c r="AL31" s="1432"/>
      <c r="AM31" s="1552">
        <f t="shared" si="25"/>
        <v>0</v>
      </c>
      <c r="AN31" s="1540" t="e">
        <f t="shared" si="1"/>
        <v>#DIV/0!</v>
      </c>
      <c r="AO31" s="1590"/>
      <c r="AP31" s="1432"/>
      <c r="AQ31" s="1432"/>
      <c r="AR31" s="1552">
        <f t="shared" si="26"/>
        <v>0</v>
      </c>
      <c r="AS31" s="1877">
        <f t="shared" si="5"/>
        <v>0</v>
      </c>
      <c r="AT31" s="1590"/>
      <c r="AU31" s="1432">
        <f t="shared" si="28"/>
        <v>0</v>
      </c>
      <c r="AV31" s="1432">
        <f t="shared" si="28"/>
        <v>154888.68</v>
      </c>
      <c r="AW31" s="1480">
        <f t="shared" si="7"/>
        <v>154888.68</v>
      </c>
      <c r="AX31" s="1540">
        <f t="shared" si="27"/>
        <v>1.0058265166748239E-2</v>
      </c>
      <c r="AY31" s="1460"/>
    </row>
    <row r="32" spans="1:51" s="1396" customFormat="1" ht="14.4" customHeight="1" outlineLevel="2">
      <c r="A32" s="1572"/>
      <c r="B32" s="1425" t="s">
        <v>2</v>
      </c>
      <c r="C32" s="1489"/>
      <c r="D32" s="1490"/>
      <c r="E32" s="1480">
        <f t="shared" si="8"/>
        <v>0</v>
      </c>
      <c r="F32" s="1540">
        <f t="shared" si="19"/>
        <v>0</v>
      </c>
      <c r="G32" s="1644">
        <v>0</v>
      </c>
      <c r="H32" s="1432">
        <v>0</v>
      </c>
      <c r="I32" s="1552">
        <v>0</v>
      </c>
      <c r="J32" s="1539">
        <v>0</v>
      </c>
      <c r="K32" s="1539"/>
      <c r="L32" s="1432"/>
      <c r="M32" s="1432"/>
      <c r="N32" s="1552">
        <f t="shared" si="20"/>
        <v>0</v>
      </c>
      <c r="O32" s="1540">
        <f t="shared" si="10"/>
        <v>0</v>
      </c>
      <c r="P32" s="1603"/>
      <c r="Q32" s="1432"/>
      <c r="R32" s="1432"/>
      <c r="S32" s="1552">
        <f t="shared" si="21"/>
        <v>0</v>
      </c>
      <c r="T32" s="1540" t="e">
        <f t="shared" si="2"/>
        <v>#DIV/0!</v>
      </c>
      <c r="U32" s="1603"/>
      <c r="V32" s="1432"/>
      <c r="W32" s="1432"/>
      <c r="X32" s="1552">
        <f t="shared" si="22"/>
        <v>0</v>
      </c>
      <c r="Y32" s="1540">
        <f t="shared" si="13"/>
        <v>0</v>
      </c>
      <c r="Z32" s="1603"/>
      <c r="AA32" s="1432"/>
      <c r="AB32" s="1432"/>
      <c r="AC32" s="1552">
        <f t="shared" si="23"/>
        <v>0</v>
      </c>
      <c r="AD32" s="1540" t="e">
        <f t="shared" si="3"/>
        <v>#DIV/0!</v>
      </c>
      <c r="AE32" s="1603"/>
      <c r="AF32" s="1432"/>
      <c r="AG32" s="1432"/>
      <c r="AH32" s="1552">
        <f t="shared" si="24"/>
        <v>0</v>
      </c>
      <c r="AI32" s="1540" t="e">
        <f t="shared" si="4"/>
        <v>#DIV/0!</v>
      </c>
      <c r="AJ32" s="1603"/>
      <c r="AK32" s="1432"/>
      <c r="AL32" s="1432"/>
      <c r="AM32" s="1552">
        <f t="shared" si="25"/>
        <v>0</v>
      </c>
      <c r="AN32" s="1540" t="e">
        <f t="shared" si="1"/>
        <v>#DIV/0!</v>
      </c>
      <c r="AO32" s="1603"/>
      <c r="AP32" s="1432"/>
      <c r="AQ32" s="1432"/>
      <c r="AR32" s="1552">
        <f t="shared" si="26"/>
        <v>0</v>
      </c>
      <c r="AS32" s="1877">
        <f t="shared" si="5"/>
        <v>0</v>
      </c>
      <c r="AT32" s="1912"/>
      <c r="AU32" s="1432">
        <f t="shared" si="28"/>
        <v>0</v>
      </c>
      <c r="AV32" s="1432">
        <f t="shared" si="28"/>
        <v>0</v>
      </c>
      <c r="AW32" s="1480">
        <f t="shared" si="7"/>
        <v>0</v>
      </c>
      <c r="AX32" s="1540">
        <f t="shared" si="27"/>
        <v>0</v>
      </c>
      <c r="AY32" s="1460"/>
    </row>
    <row r="33" spans="1:51" s="1396" customFormat="1" ht="33.6" customHeight="1" outlineLevel="2" thickBot="1">
      <c r="A33" s="1585"/>
      <c r="B33" s="1375" t="s">
        <v>75</v>
      </c>
      <c r="C33" s="1626"/>
      <c r="D33" s="1627"/>
      <c r="E33" s="1628">
        <f t="shared" si="8"/>
        <v>0</v>
      </c>
      <c r="F33" s="1550">
        <f t="shared" si="19"/>
        <v>0</v>
      </c>
      <c r="G33" s="1644">
        <v>0</v>
      </c>
      <c r="H33" s="1432">
        <v>11200</v>
      </c>
      <c r="I33" s="1552">
        <v>11200</v>
      </c>
      <c r="J33" s="1664">
        <v>7.9059126444627054E-4</v>
      </c>
      <c r="K33" s="1664"/>
      <c r="L33" s="1629"/>
      <c r="M33" s="1629"/>
      <c r="N33" s="1630">
        <f t="shared" si="20"/>
        <v>0</v>
      </c>
      <c r="O33" s="1550">
        <f t="shared" si="10"/>
        <v>0</v>
      </c>
      <c r="P33" s="1675"/>
      <c r="Q33" s="1629"/>
      <c r="R33" s="1629"/>
      <c r="S33" s="1630">
        <f t="shared" si="21"/>
        <v>0</v>
      </c>
      <c r="T33" s="1550" t="e">
        <f t="shared" si="2"/>
        <v>#DIV/0!</v>
      </c>
      <c r="U33" s="1675"/>
      <c r="V33" s="1629"/>
      <c r="W33" s="1629"/>
      <c r="X33" s="1630">
        <f t="shared" si="22"/>
        <v>0</v>
      </c>
      <c r="Y33" s="1550">
        <f t="shared" si="13"/>
        <v>0</v>
      </c>
      <c r="Z33" s="1675"/>
      <c r="AA33" s="1629"/>
      <c r="AB33" s="1629"/>
      <c r="AC33" s="1630">
        <f t="shared" si="23"/>
        <v>0</v>
      </c>
      <c r="AD33" s="1550" t="e">
        <f t="shared" si="3"/>
        <v>#DIV/0!</v>
      </c>
      <c r="AE33" s="1675"/>
      <c r="AF33" s="1629"/>
      <c r="AG33" s="1629"/>
      <c r="AH33" s="1630">
        <f t="shared" si="24"/>
        <v>0</v>
      </c>
      <c r="AI33" s="1550" t="e">
        <f t="shared" si="4"/>
        <v>#DIV/0!</v>
      </c>
      <c r="AJ33" s="1675"/>
      <c r="AK33" s="1629"/>
      <c r="AL33" s="1629"/>
      <c r="AM33" s="1630">
        <f t="shared" si="25"/>
        <v>0</v>
      </c>
      <c r="AN33" s="1550" t="e">
        <f>AM33/$AH$89</f>
        <v>#DIV/0!</v>
      </c>
      <c r="AO33" s="1675"/>
      <c r="AP33" s="1629"/>
      <c r="AQ33" s="1629"/>
      <c r="AR33" s="1630">
        <f t="shared" si="26"/>
        <v>0</v>
      </c>
      <c r="AS33" s="1550">
        <f t="shared" si="5"/>
        <v>0</v>
      </c>
      <c r="AT33" s="1675"/>
      <c r="AU33" s="1432">
        <f t="shared" si="28"/>
        <v>0</v>
      </c>
      <c r="AV33" s="1432">
        <f t="shared" si="28"/>
        <v>11200</v>
      </c>
      <c r="AW33" s="1628">
        <f t="shared" si="7"/>
        <v>11200</v>
      </c>
      <c r="AX33" s="1550">
        <f t="shared" si="27"/>
        <v>7.2731312493321183E-4</v>
      </c>
      <c r="AY33" s="1631"/>
    </row>
    <row r="34" spans="1:51" s="1396" customFormat="1" ht="13.8" outlineLevel="2">
      <c r="A34" s="1572"/>
      <c r="B34" s="1616"/>
      <c r="C34" s="1617"/>
      <c r="D34" s="1618"/>
      <c r="E34" s="1619"/>
      <c r="F34" s="1620"/>
      <c r="G34" s="1718"/>
      <c r="H34" s="1620"/>
      <c r="I34" s="1620"/>
      <c r="J34" s="1620"/>
      <c r="K34" s="1620"/>
      <c r="L34" s="1432"/>
      <c r="M34" s="1432"/>
      <c r="N34" s="1619"/>
      <c r="O34" s="1619"/>
      <c r="P34" s="1619"/>
      <c r="Q34" s="1432"/>
      <c r="R34" s="1432"/>
      <c r="S34" s="1619"/>
      <c r="T34" s="1539" t="e">
        <f t="shared" si="2"/>
        <v>#DIV/0!</v>
      </c>
      <c r="U34" s="1619"/>
      <c r="V34" s="1432"/>
      <c r="W34" s="1432"/>
      <c r="X34" s="1619"/>
      <c r="Y34" s="1539" t="e">
        <f t="shared" ref="Y34:Y53" si="29">X34/$S$89</f>
        <v>#DIV/0!</v>
      </c>
      <c r="Z34" s="1619"/>
      <c r="AA34" s="1432"/>
      <c r="AB34" s="1432"/>
      <c r="AC34" s="1619"/>
      <c r="AD34" s="1539" t="e">
        <f t="shared" si="3"/>
        <v>#DIV/0!</v>
      </c>
      <c r="AE34" s="1619"/>
      <c r="AF34" s="1432"/>
      <c r="AG34" s="1432"/>
      <c r="AH34" s="1619"/>
      <c r="AI34" s="1539" t="e">
        <f t="shared" ref="AI34:AI53" si="30">AH34/$AC$89</f>
        <v>#DIV/0!</v>
      </c>
      <c r="AJ34" s="1619"/>
      <c r="AK34" s="1432"/>
      <c r="AL34" s="1432"/>
      <c r="AM34" s="1619"/>
      <c r="AN34" s="1539" t="e">
        <f t="shared" ref="AN34:AN40" si="31">AM34/$AC$89</f>
        <v>#DIV/0!</v>
      </c>
      <c r="AO34" s="1619"/>
      <c r="AP34" s="1432"/>
      <c r="AQ34" s="1432"/>
      <c r="AR34" s="1619"/>
      <c r="AS34" s="1539" t="e">
        <f t="shared" ref="AS34:AS40" si="32">AR34/$AC$89</f>
        <v>#DIV/0!</v>
      </c>
      <c r="AT34" s="1619"/>
      <c r="AU34" s="1432"/>
      <c r="AV34" s="1432"/>
      <c r="AW34" s="1619"/>
      <c r="AX34" s="1619"/>
      <c r="AY34" s="1619"/>
    </row>
    <row r="35" spans="1:51" s="1467" customFormat="1" ht="13.8" outlineLevel="1">
      <c r="A35" s="1572"/>
      <c r="B35" s="1468" t="s">
        <v>80</v>
      </c>
      <c r="C35" s="1469">
        <f>C36</f>
        <v>0</v>
      </c>
      <c r="D35" s="1469">
        <f>D36</f>
        <v>0</v>
      </c>
      <c r="E35" s="1470">
        <f>E36</f>
        <v>0</v>
      </c>
      <c r="F35" s="1529">
        <f>E35/$E$89</f>
        <v>0</v>
      </c>
      <c r="G35" s="1707">
        <v>0</v>
      </c>
      <c r="H35" s="1707">
        <v>0</v>
      </c>
      <c r="I35" s="1707">
        <v>0</v>
      </c>
      <c r="J35" s="1707"/>
      <c r="K35" s="1529"/>
      <c r="L35" s="1469">
        <f>L36</f>
        <v>0</v>
      </c>
      <c r="M35" s="1469">
        <f>M36</f>
        <v>0</v>
      </c>
      <c r="N35" s="1470">
        <f>N36</f>
        <v>0</v>
      </c>
      <c r="O35" s="1470"/>
      <c r="P35" s="1470"/>
      <c r="Q35" s="1469">
        <f>Q36</f>
        <v>0</v>
      </c>
      <c r="R35" s="1469">
        <f>R36</f>
        <v>0</v>
      </c>
      <c r="S35" s="1470">
        <f>S36</f>
        <v>0</v>
      </c>
      <c r="T35" s="1633" t="e">
        <f t="shared" si="2"/>
        <v>#DIV/0!</v>
      </c>
      <c r="U35" s="1470"/>
      <c r="V35" s="1469">
        <f>V36</f>
        <v>0</v>
      </c>
      <c r="W35" s="1469">
        <f>W36</f>
        <v>0</v>
      </c>
      <c r="X35" s="1470">
        <f>X36</f>
        <v>0</v>
      </c>
      <c r="Y35" s="1633" t="e">
        <f t="shared" si="29"/>
        <v>#DIV/0!</v>
      </c>
      <c r="Z35" s="1470"/>
      <c r="AA35" s="1469">
        <f>AA36</f>
        <v>0</v>
      </c>
      <c r="AB35" s="1469">
        <f>AB36</f>
        <v>0</v>
      </c>
      <c r="AC35" s="1470">
        <f>AC36</f>
        <v>0</v>
      </c>
      <c r="AD35" s="1633" t="e">
        <f t="shared" si="3"/>
        <v>#DIV/0!</v>
      </c>
      <c r="AE35" s="1470"/>
      <c r="AF35" s="1469">
        <f>AF36</f>
        <v>0</v>
      </c>
      <c r="AG35" s="1469">
        <f>AG36</f>
        <v>0</v>
      </c>
      <c r="AH35" s="1470">
        <f>AH36</f>
        <v>0</v>
      </c>
      <c r="AI35" s="1633" t="e">
        <f t="shared" si="30"/>
        <v>#DIV/0!</v>
      </c>
      <c r="AJ35" s="1470"/>
      <c r="AK35" s="1469">
        <f>AK36</f>
        <v>0</v>
      </c>
      <c r="AL35" s="1469">
        <f>AL36</f>
        <v>0</v>
      </c>
      <c r="AM35" s="1470">
        <f>AM36</f>
        <v>0</v>
      </c>
      <c r="AN35" s="1633" t="e">
        <f t="shared" si="31"/>
        <v>#DIV/0!</v>
      </c>
      <c r="AO35" s="1470"/>
      <c r="AP35" s="1882">
        <f>AP36</f>
        <v>0</v>
      </c>
      <c r="AQ35" s="1882">
        <f>AQ36</f>
        <v>0</v>
      </c>
      <c r="AR35" s="1883">
        <f>AR36</f>
        <v>0</v>
      </c>
      <c r="AS35" s="1925" t="e">
        <f t="shared" si="32"/>
        <v>#DIV/0!</v>
      </c>
      <c r="AT35" s="1883"/>
      <c r="AU35" s="1469">
        <f>AU36</f>
        <v>0</v>
      </c>
      <c r="AV35" s="1469">
        <f>AV36</f>
        <v>0</v>
      </c>
      <c r="AW35" s="1470">
        <f>AW36</f>
        <v>0</v>
      </c>
      <c r="AX35" s="1470"/>
      <c r="AY35" s="1470"/>
    </row>
    <row r="36" spans="1:51" s="1564" customFormat="1" ht="13.8" outlineLevel="3">
      <c r="A36" s="1572"/>
      <c r="B36" s="1412" t="s">
        <v>81</v>
      </c>
      <c r="C36" s="1649"/>
      <c r="D36" s="1437"/>
      <c r="E36" s="1480">
        <f>C36+D36</f>
        <v>0</v>
      </c>
      <c r="F36" s="1540">
        <f>E36/$E$89</f>
        <v>0</v>
      </c>
      <c r="G36" s="1699">
        <v>0</v>
      </c>
      <c r="H36" s="1539">
        <v>0</v>
      </c>
      <c r="I36" s="1539">
        <v>0</v>
      </c>
      <c r="J36" s="1539">
        <v>0</v>
      </c>
      <c r="K36" s="1539"/>
      <c r="L36" s="1432"/>
      <c r="M36" s="1432"/>
      <c r="N36" s="1480">
        <f>L36+M36*1</f>
        <v>0</v>
      </c>
      <c r="O36" s="1540">
        <f>N36/$N$89</f>
        <v>0</v>
      </c>
      <c r="P36" s="1590"/>
      <c r="Q36" s="1432"/>
      <c r="R36" s="1432"/>
      <c r="S36" s="1480">
        <f>Q36+R36*1</f>
        <v>0</v>
      </c>
      <c r="T36" s="1540" t="e">
        <f t="shared" si="2"/>
        <v>#DIV/0!</v>
      </c>
      <c r="U36" s="1590"/>
      <c r="V36" s="1432"/>
      <c r="W36" s="1432"/>
      <c r="X36" s="1480">
        <f>V36+W36*1</f>
        <v>0</v>
      </c>
      <c r="Y36" s="1540" t="e">
        <f t="shared" si="29"/>
        <v>#DIV/0!</v>
      </c>
      <c r="Z36" s="1590"/>
      <c r="AA36" s="1432"/>
      <c r="AB36" s="1432"/>
      <c r="AC36" s="1480">
        <f>AA36+AB36*1</f>
        <v>0</v>
      </c>
      <c r="AD36" s="1540" t="e">
        <f t="shared" si="3"/>
        <v>#DIV/0!</v>
      </c>
      <c r="AE36" s="1590"/>
      <c r="AF36" s="1432"/>
      <c r="AG36" s="1432"/>
      <c r="AH36" s="1480">
        <f>AF36+AG36*1</f>
        <v>0</v>
      </c>
      <c r="AI36" s="1540" t="e">
        <f t="shared" si="30"/>
        <v>#DIV/0!</v>
      </c>
      <c r="AJ36" s="1590"/>
      <c r="AK36" s="1432"/>
      <c r="AL36" s="1432"/>
      <c r="AM36" s="1480">
        <f>AK36+AL36*1</f>
        <v>0</v>
      </c>
      <c r="AN36" s="1540" t="e">
        <f t="shared" si="31"/>
        <v>#DIV/0!</v>
      </c>
      <c r="AO36" s="1590"/>
      <c r="AP36" s="1432"/>
      <c r="AQ36" s="1432"/>
      <c r="AR36" s="1480">
        <f>AP36+AQ36*1</f>
        <v>0</v>
      </c>
      <c r="AS36" s="1877" t="e">
        <f t="shared" si="32"/>
        <v>#DIV/0!</v>
      </c>
      <c r="AT36" s="1590"/>
      <c r="AU36" s="1432">
        <f>G36+L36+Q36+V36+AA36+AF36+AK36+AP36</f>
        <v>0</v>
      </c>
      <c r="AV36" s="1432">
        <f>H36+M36+R36+W36+AB36+AG36+AL36+AQ36</f>
        <v>0</v>
      </c>
      <c r="AW36" s="1480">
        <f>AU36+AV36</f>
        <v>0</v>
      </c>
      <c r="AX36" s="1540">
        <f>AW36/$AW$89</f>
        <v>0</v>
      </c>
      <c r="AY36" s="1435"/>
    </row>
    <row r="37" spans="1:51" s="1396" customFormat="1" ht="14.4" outlineLevel="1" thickBot="1">
      <c r="A37" s="1398"/>
      <c r="B37" s="1407"/>
      <c r="C37" s="1438"/>
      <c r="D37" s="1362"/>
      <c r="E37" s="1439"/>
      <c r="F37" s="1542"/>
      <c r="G37" s="1719"/>
      <c r="H37" s="1708"/>
      <c r="I37" s="1708"/>
      <c r="J37" s="1708"/>
      <c r="K37" s="1708"/>
      <c r="L37" s="1432"/>
      <c r="M37" s="1432"/>
      <c r="N37" s="1439"/>
      <c r="O37" s="1439"/>
      <c r="P37" s="1439"/>
      <c r="Q37" s="1432"/>
      <c r="R37" s="1432"/>
      <c r="S37" s="1439"/>
      <c r="T37" s="1540" t="e">
        <f t="shared" si="2"/>
        <v>#DIV/0!</v>
      </c>
      <c r="U37" s="1439"/>
      <c r="V37" s="1432"/>
      <c r="W37" s="1432"/>
      <c r="X37" s="1439"/>
      <c r="Y37" s="1540" t="e">
        <f t="shared" si="29"/>
        <v>#DIV/0!</v>
      </c>
      <c r="Z37" s="1439"/>
      <c r="AA37" s="1432"/>
      <c r="AB37" s="1432"/>
      <c r="AC37" s="1439"/>
      <c r="AD37" s="1540" t="e">
        <f t="shared" si="3"/>
        <v>#DIV/0!</v>
      </c>
      <c r="AE37" s="1439"/>
      <c r="AF37" s="1432"/>
      <c r="AG37" s="1432"/>
      <c r="AH37" s="1439"/>
      <c r="AI37" s="1540" t="e">
        <f t="shared" si="30"/>
        <v>#DIV/0!</v>
      </c>
      <c r="AJ37" s="1439"/>
      <c r="AK37" s="1432"/>
      <c r="AL37" s="1432"/>
      <c r="AM37" s="1439"/>
      <c r="AN37" s="1540" t="e">
        <f t="shared" si="31"/>
        <v>#DIV/0!</v>
      </c>
      <c r="AO37" s="1439"/>
      <c r="AP37" s="1432"/>
      <c r="AQ37" s="1432"/>
      <c r="AR37" s="1439"/>
      <c r="AS37" s="1877" t="e">
        <f t="shared" si="32"/>
        <v>#DIV/0!</v>
      </c>
      <c r="AT37" s="1439"/>
      <c r="AU37" s="1432">
        <f>G37+L37+Q37+V37+AA37+AF37+AK37+AP37</f>
        <v>0</v>
      </c>
      <c r="AV37" s="1432">
        <f>H37+M37+R37+W37+AB37+AG37+AL37+AQ37</f>
        <v>0</v>
      </c>
      <c r="AW37" s="1439"/>
      <c r="AX37" s="1439"/>
      <c r="AY37" s="1439"/>
    </row>
    <row r="38" spans="1:51" ht="14.4" thickBot="1">
      <c r="A38" s="1426"/>
      <c r="B38" s="1427" t="s">
        <v>46</v>
      </c>
      <c r="C38" s="1440">
        <f>(C5)-(C8)</f>
        <v>9240065</v>
      </c>
      <c r="D38" s="1440">
        <f>(D5)-(D8)</f>
        <v>-3069265</v>
      </c>
      <c r="E38" s="1440">
        <f>(E5)-(E8)</f>
        <v>6170800</v>
      </c>
      <c r="F38" s="1530"/>
      <c r="G38" s="1530">
        <v>8624220.352</v>
      </c>
      <c r="H38" s="1530">
        <v>-4662599.3900000006</v>
      </c>
      <c r="I38" s="1530">
        <v>3961620.9619999975</v>
      </c>
      <c r="J38" s="1530"/>
      <c r="K38" s="1530"/>
      <c r="L38" s="1440">
        <f>(L5)-(L8)</f>
        <v>1823124</v>
      </c>
      <c r="M38" s="1440">
        <f>(M5)-(M8)</f>
        <v>0</v>
      </c>
      <c r="N38" s="1440">
        <f>(N5)-(N8)</f>
        <v>1823124</v>
      </c>
      <c r="O38" s="1440"/>
      <c r="P38" s="1440"/>
      <c r="Q38" s="1440">
        <f>(Q5)-(Q8)</f>
        <v>0</v>
      </c>
      <c r="R38" s="1440">
        <f>(R5)-(R8)</f>
        <v>0</v>
      </c>
      <c r="S38" s="1440">
        <f>(S5)-(S8)</f>
        <v>0</v>
      </c>
      <c r="T38" s="1634" t="e">
        <f t="shared" si="2"/>
        <v>#DIV/0!</v>
      </c>
      <c r="U38" s="1440"/>
      <c r="V38" s="1440">
        <f>(V5)-(V8)</f>
        <v>-6091.079999999999</v>
      </c>
      <c r="W38" s="1440">
        <f>(W5)-(W8)</f>
        <v>0</v>
      </c>
      <c r="X38" s="1440">
        <f>(X5)-(X8)</f>
        <v>-6091.079999999999</v>
      </c>
      <c r="Y38" s="1634" t="e">
        <f t="shared" si="29"/>
        <v>#DIV/0!</v>
      </c>
      <c r="Z38" s="1440"/>
      <c r="AA38" s="1440">
        <f>(AA5)-(AA8)</f>
        <v>0</v>
      </c>
      <c r="AB38" s="1440">
        <f>(AB5)-(AB8)</f>
        <v>0</v>
      </c>
      <c r="AC38" s="1440">
        <f>(AC5)-(AC8)</f>
        <v>0</v>
      </c>
      <c r="AD38" s="1634" t="e">
        <f t="shared" si="3"/>
        <v>#DIV/0!</v>
      </c>
      <c r="AE38" s="1440"/>
      <c r="AF38" s="1440">
        <f>(AF5)-(AF8)</f>
        <v>1188021.99</v>
      </c>
      <c r="AG38" s="1440">
        <f>(AG5)-(AG8)</f>
        <v>0</v>
      </c>
      <c r="AH38" s="1440">
        <f>(AH5)-(AH8)</f>
        <v>1188021.99</v>
      </c>
      <c r="AI38" s="1634" t="e">
        <f t="shared" si="30"/>
        <v>#DIV/0!</v>
      </c>
      <c r="AJ38" s="1440"/>
      <c r="AK38" s="1440">
        <f>(AK5)-(AK8)</f>
        <v>0</v>
      </c>
      <c r="AL38" s="1440">
        <f>(AL5)-(AL8)</f>
        <v>0</v>
      </c>
      <c r="AM38" s="1440">
        <f>(AM5)-(AM8)</f>
        <v>0</v>
      </c>
      <c r="AN38" s="1634" t="e">
        <f t="shared" si="31"/>
        <v>#DIV/0!</v>
      </c>
      <c r="AO38" s="1440"/>
      <c r="AP38" s="1440">
        <f>(AP5)-(AP8)</f>
        <v>-1225506.6599999999</v>
      </c>
      <c r="AQ38" s="1440">
        <f>(AQ5)-(AQ8)</f>
        <v>0</v>
      </c>
      <c r="AR38" s="1440">
        <f>(AR5)-(AR8)</f>
        <v>-1225506.6599999999</v>
      </c>
      <c r="AS38" s="1939" t="e">
        <f t="shared" si="32"/>
        <v>#DIV/0!</v>
      </c>
      <c r="AT38" s="1440"/>
      <c r="AU38" s="1440">
        <f>(AU5)-(AU8)</f>
        <v>10403768.601999998</v>
      </c>
      <c r="AV38" s="1440">
        <f>(AV5)-(AV8)</f>
        <v>-4662599.3900000006</v>
      </c>
      <c r="AW38" s="1440">
        <f>(AW5)-(AW8)</f>
        <v>5741169.2119999975</v>
      </c>
      <c r="AX38" s="1440"/>
      <c r="AY38" s="1440"/>
    </row>
    <row r="39" spans="1:51" ht="13.8">
      <c r="A39" s="1565"/>
      <c r="B39" s="1408" t="s">
        <v>47</v>
      </c>
      <c r="C39" s="1525">
        <f>C38/(C5)</f>
        <v>0.54885193338267424</v>
      </c>
      <c r="D39" s="1525" t="e">
        <f>D38/(D5)</f>
        <v>#DIV/0!</v>
      </c>
      <c r="E39" s="1526">
        <f>E38/(E5)</f>
        <v>0.36654022569298012</v>
      </c>
      <c r="F39" s="1531"/>
      <c r="G39" s="1709">
        <v>0.49826353223134612</v>
      </c>
      <c r="H39" s="1709" t="e">
        <v>#DIV/0!</v>
      </c>
      <c r="I39" s="1709">
        <v>0.22888228423223178</v>
      </c>
      <c r="J39" s="1709"/>
      <c r="K39" s="1531"/>
      <c r="L39" s="1441">
        <f>L38/(L5)</f>
        <v>0.99948768090497098</v>
      </c>
      <c r="M39" s="1441" t="e">
        <f>M38/(M5)</f>
        <v>#DIV/0!</v>
      </c>
      <c r="N39" s="1442">
        <f>N38/(N5)</f>
        <v>0.99948768090497098</v>
      </c>
      <c r="O39" s="1442"/>
      <c r="P39" s="1442"/>
      <c r="Q39" s="1441" t="e">
        <f>Q38/(Q5)</f>
        <v>#DIV/0!</v>
      </c>
      <c r="R39" s="1441" t="e">
        <f>R38/(R5)</f>
        <v>#DIV/0!</v>
      </c>
      <c r="S39" s="1442" t="e">
        <f>S38/(S5)</f>
        <v>#DIV/0!</v>
      </c>
      <c r="T39" s="1635" t="e">
        <f t="shared" si="2"/>
        <v>#DIV/0!</v>
      </c>
      <c r="U39" s="1442"/>
      <c r="V39" s="1441" t="e">
        <f>V38/(V5)</f>
        <v>#DIV/0!</v>
      </c>
      <c r="W39" s="1441" t="e">
        <f>W38/(W5)</f>
        <v>#DIV/0!</v>
      </c>
      <c r="X39" s="1442" t="e">
        <f>X38/(X5)</f>
        <v>#DIV/0!</v>
      </c>
      <c r="Y39" s="1635" t="e">
        <f t="shared" si="29"/>
        <v>#DIV/0!</v>
      </c>
      <c r="Z39" s="1442"/>
      <c r="AA39" s="1441" t="e">
        <f>AA38/(AA5)</f>
        <v>#DIV/0!</v>
      </c>
      <c r="AB39" s="1441" t="e">
        <f>AB38/(AB5)</f>
        <v>#DIV/0!</v>
      </c>
      <c r="AC39" s="1442" t="e">
        <f>AC38/(AC5)</f>
        <v>#DIV/0!</v>
      </c>
      <c r="AD39" s="1635" t="e">
        <f t="shared" si="3"/>
        <v>#DIV/0!</v>
      </c>
      <c r="AE39" s="1442"/>
      <c r="AF39" s="1441">
        <f>AF38/(AF5)</f>
        <v>1</v>
      </c>
      <c r="AG39" s="1441" t="e">
        <f>AG38/(AG5)</f>
        <v>#DIV/0!</v>
      </c>
      <c r="AH39" s="1442">
        <f>AH38/(AH5)</f>
        <v>1</v>
      </c>
      <c r="AI39" s="1635" t="e">
        <f t="shared" si="30"/>
        <v>#DIV/0!</v>
      </c>
      <c r="AJ39" s="1442"/>
      <c r="AK39" s="1441" t="e">
        <f>AK38/(AK5)</f>
        <v>#DIV/0!</v>
      </c>
      <c r="AL39" s="1441" t="e">
        <f>AL38/(AL5)</f>
        <v>#DIV/0!</v>
      </c>
      <c r="AM39" s="1442" t="e">
        <f>AM38/(AM5)</f>
        <v>#DIV/0!</v>
      </c>
      <c r="AN39" s="1635" t="e">
        <f t="shared" si="31"/>
        <v>#DIV/0!</v>
      </c>
      <c r="AO39" s="1442"/>
      <c r="AP39" s="1441" t="e">
        <f>AP38/(AP5)</f>
        <v>#DIV/0!</v>
      </c>
      <c r="AQ39" s="1441" t="e">
        <f>AQ38/(AQ5)</f>
        <v>#DIV/0!</v>
      </c>
      <c r="AR39" s="1442" t="e">
        <f>AR38/(AR5)</f>
        <v>#DIV/0!</v>
      </c>
      <c r="AS39" s="1940" t="e">
        <f t="shared" si="32"/>
        <v>#DIV/0!</v>
      </c>
      <c r="AT39" s="1442"/>
      <c r="AU39" s="1441">
        <f>AU38/(AU5)</f>
        <v>0.5119805453813262</v>
      </c>
      <c r="AV39" s="1441" t="e">
        <f>AV38/(AV5)</f>
        <v>#DIV/0!</v>
      </c>
      <c r="AW39" s="1442">
        <f>AW38/(AW5)</f>
        <v>0.28252905814544738</v>
      </c>
      <c r="AX39" s="1442"/>
      <c r="AY39" s="1442"/>
    </row>
    <row r="40" spans="1:51" ht="14.4" outlineLevel="1" thickBot="1">
      <c r="A40" s="1567"/>
      <c r="B40" s="1409"/>
      <c r="C40" s="1443"/>
      <c r="D40" s="1363"/>
      <c r="E40" s="1444"/>
      <c r="F40" s="1532"/>
      <c r="G40" s="1379"/>
      <c r="H40" s="1532"/>
      <c r="I40" s="1532"/>
      <c r="J40" s="1532"/>
      <c r="K40" s="1532"/>
      <c r="L40" s="1444"/>
      <c r="M40" s="1444"/>
      <c r="N40" s="1444"/>
      <c r="O40" s="1444"/>
      <c r="P40" s="1444"/>
      <c r="Q40" s="1444"/>
      <c r="R40" s="1444"/>
      <c r="S40" s="1444"/>
      <c r="T40" s="1540" t="e">
        <f t="shared" si="2"/>
        <v>#DIV/0!</v>
      </c>
      <c r="U40" s="1444"/>
      <c r="V40" s="1444"/>
      <c r="W40" s="1444"/>
      <c r="X40" s="1444"/>
      <c r="Y40" s="1540" t="e">
        <f t="shared" si="29"/>
        <v>#DIV/0!</v>
      </c>
      <c r="Z40" s="1444"/>
      <c r="AA40" s="1444"/>
      <c r="AB40" s="1444"/>
      <c r="AC40" s="1444"/>
      <c r="AD40" s="1540" t="e">
        <f t="shared" si="3"/>
        <v>#DIV/0!</v>
      </c>
      <c r="AE40" s="1444"/>
      <c r="AF40" s="1444"/>
      <c r="AG40" s="1444"/>
      <c r="AH40" s="1444"/>
      <c r="AI40" s="1540" t="e">
        <f t="shared" si="30"/>
        <v>#DIV/0!</v>
      </c>
      <c r="AJ40" s="1444"/>
      <c r="AK40" s="1444"/>
      <c r="AL40" s="1444"/>
      <c r="AM40" s="1444"/>
      <c r="AN40" s="1540" t="e">
        <f t="shared" si="31"/>
        <v>#DIV/0!</v>
      </c>
      <c r="AO40" s="1444"/>
      <c r="AP40" s="1444"/>
      <c r="AQ40" s="1444"/>
      <c r="AR40" s="1444"/>
      <c r="AS40" s="1877" t="e">
        <f t="shared" si="32"/>
        <v>#DIV/0!</v>
      </c>
      <c r="AT40" s="1444"/>
      <c r="AU40" s="1444"/>
      <c r="AV40" s="1444"/>
      <c r="AW40" s="1444"/>
      <c r="AX40" s="1444"/>
      <c r="AY40" s="1444"/>
    </row>
    <row r="41" spans="1:51" ht="13.8" outlineLevel="1">
      <c r="A41" s="1405"/>
      <c r="B41" s="1415" t="s">
        <v>26</v>
      </c>
      <c r="C41" s="1491">
        <f>SUM(C42:C48)</f>
        <v>32500</v>
      </c>
      <c r="D41" s="1491">
        <f>SUM(D42:D48)</f>
        <v>4000</v>
      </c>
      <c r="E41" s="1492">
        <f>SUM(E42:E48)</f>
        <v>36500</v>
      </c>
      <c r="F41" s="1533">
        <f t="shared" ref="F41:F48" si="33">E41/$E$89</f>
        <v>3.0888927478891436E-3</v>
      </c>
      <c r="G41" s="1491">
        <v>54051.885999999999</v>
      </c>
      <c r="H41" s="1491">
        <v>9877</v>
      </c>
      <c r="I41" s="1492">
        <v>63928.885999999999</v>
      </c>
      <c r="J41" s="1577">
        <v>4.5126445372662034E-3</v>
      </c>
      <c r="K41" s="1535"/>
      <c r="L41" s="1491">
        <f>SUM(L42:L48)</f>
        <v>0</v>
      </c>
      <c r="M41" s="1491">
        <f>SUM(M42:M48)</f>
        <v>0</v>
      </c>
      <c r="N41" s="1492">
        <f>SUM(N42:N48)</f>
        <v>0</v>
      </c>
      <c r="O41" s="1533" t="e">
        <f>N41/#REF!</f>
        <v>#REF!</v>
      </c>
      <c r="P41" s="1446"/>
      <c r="Q41" s="1491">
        <f>SUM(Q42:Q48)</f>
        <v>0</v>
      </c>
      <c r="R41" s="1491">
        <f>SUM(R42:R48)</f>
        <v>0</v>
      </c>
      <c r="S41" s="1492">
        <f>SUM(S42:S48)</f>
        <v>0</v>
      </c>
      <c r="T41" s="1533" t="e">
        <f t="shared" si="2"/>
        <v>#DIV/0!</v>
      </c>
      <c r="U41" s="1446"/>
      <c r="V41" s="1491">
        <f>SUM(V42:V48)</f>
        <v>0</v>
      </c>
      <c r="W41" s="1491">
        <f>SUM(W42:W48)</f>
        <v>0</v>
      </c>
      <c r="X41" s="1492">
        <f>SUM(X42:X48)</f>
        <v>0</v>
      </c>
      <c r="Y41" s="1533" t="e">
        <f t="shared" si="29"/>
        <v>#DIV/0!</v>
      </c>
      <c r="Z41" s="1446"/>
      <c r="AA41" s="1491">
        <f>SUM(AA42:AA48)</f>
        <v>0</v>
      </c>
      <c r="AB41" s="1491">
        <f>SUM(AB42:AB48)</f>
        <v>0</v>
      </c>
      <c r="AC41" s="1492">
        <f>SUM(AC42:AC48)</f>
        <v>0</v>
      </c>
      <c r="AD41" s="1533" t="e">
        <f t="shared" si="3"/>
        <v>#DIV/0!</v>
      </c>
      <c r="AE41" s="1446"/>
      <c r="AF41" s="1491">
        <f>SUM(AF42:AF48)</f>
        <v>0</v>
      </c>
      <c r="AG41" s="1491">
        <f>SUM(AG42:AG48)</f>
        <v>0</v>
      </c>
      <c r="AH41" s="1492">
        <f>SUM(AH42:AH48)</f>
        <v>0</v>
      </c>
      <c r="AI41" s="1533" t="e">
        <f t="shared" ref="AI41:AI48" si="34">AH41/$AH$89</f>
        <v>#DIV/0!</v>
      </c>
      <c r="AJ41" s="1446"/>
      <c r="AK41" s="1491">
        <f>SUM(AK42:AK48)</f>
        <v>0</v>
      </c>
      <c r="AL41" s="1491">
        <f>SUM(AL42:AL48)</f>
        <v>0</v>
      </c>
      <c r="AM41" s="1492">
        <f>SUM(AM42:AM48)</f>
        <v>0</v>
      </c>
      <c r="AN41" s="1533" t="e">
        <f t="shared" ref="AN41:AN48" si="35">AM41/$AM$89</f>
        <v>#DIV/0!</v>
      </c>
      <c r="AO41" s="1446"/>
      <c r="AP41" s="1491">
        <f>SUM(AP42:AP48)</f>
        <v>0</v>
      </c>
      <c r="AQ41" s="1491">
        <f>SUM(AQ42:AQ48)</f>
        <v>0</v>
      </c>
      <c r="AR41" s="1492">
        <f>SUM(AR42:AR48)</f>
        <v>0</v>
      </c>
      <c r="AS41" s="1888">
        <f t="shared" ref="AS41:AS48" si="36">AR41/$AR$89</f>
        <v>0</v>
      </c>
      <c r="AT41" s="1446"/>
      <c r="AU41" s="1491">
        <f>SUM(AU42:AU48)</f>
        <v>54051.885999999999</v>
      </c>
      <c r="AV41" s="1491">
        <f>SUM(AV42:AV48)</f>
        <v>9877</v>
      </c>
      <c r="AW41" s="1492">
        <f>SUM(AW42:AW48)</f>
        <v>63928.885999999999</v>
      </c>
      <c r="AX41" s="1533">
        <f t="shared" ref="AX41:AX49" si="37">AW41/$AW$89</f>
        <v>4.1514569509070584E-3</v>
      </c>
      <c r="AY41" s="1446"/>
    </row>
    <row r="42" spans="1:51" ht="43.2" customHeight="1" outlineLevel="2">
      <c r="A42" s="4833"/>
      <c r="B42" s="1411" t="s">
        <v>7</v>
      </c>
      <c r="C42" s="1487"/>
      <c r="D42" s="1493"/>
      <c r="E42" s="1494">
        <f t="shared" ref="E42:E49" si="38">C42+D42</f>
        <v>0</v>
      </c>
      <c r="F42" s="1540">
        <f t="shared" si="33"/>
        <v>0</v>
      </c>
      <c r="G42" s="1432">
        <v>0</v>
      </c>
      <c r="H42" s="1432">
        <v>0</v>
      </c>
      <c r="I42" s="1480">
        <v>0</v>
      </c>
      <c r="J42" s="1539">
        <v>0</v>
      </c>
      <c r="K42" s="1539"/>
      <c r="L42" s="1432"/>
      <c r="M42" s="1432"/>
      <c r="N42" s="1480">
        <f t="shared" ref="N42:N48" si="39">L42+M42*1</f>
        <v>0</v>
      </c>
      <c r="O42" s="1540">
        <f t="shared" ref="O42:O48" si="40">N42/$N$89</f>
        <v>0</v>
      </c>
      <c r="P42" s="1460"/>
      <c r="Q42" s="1432"/>
      <c r="R42" s="1432"/>
      <c r="S42" s="1480">
        <f t="shared" ref="S42:S48" si="41">Q42+R42*1</f>
        <v>0</v>
      </c>
      <c r="T42" s="1540" t="e">
        <f t="shared" si="2"/>
        <v>#DIV/0!</v>
      </c>
      <c r="U42" s="1460"/>
      <c r="V42" s="1432"/>
      <c r="W42" s="1432"/>
      <c r="X42" s="1480">
        <f t="shared" ref="X42:X48" si="42">V42+W42*1</f>
        <v>0</v>
      </c>
      <c r="Y42" s="1540">
        <f t="shared" ref="Y42:Y48" si="43">X42/$X$89</f>
        <v>0</v>
      </c>
      <c r="Z42" s="1460"/>
      <c r="AA42" s="1432"/>
      <c r="AB42" s="1432"/>
      <c r="AC42" s="1480">
        <f t="shared" ref="AC42:AC48" si="44">AA42+AB42*1</f>
        <v>0</v>
      </c>
      <c r="AD42" s="1540" t="e">
        <f t="shared" si="3"/>
        <v>#DIV/0!</v>
      </c>
      <c r="AE42" s="1460"/>
      <c r="AF42" s="1432"/>
      <c r="AG42" s="1432"/>
      <c r="AH42" s="1480">
        <f t="shared" ref="AH42:AH48" si="45">AF42+AG42*1</f>
        <v>0</v>
      </c>
      <c r="AI42" s="1540" t="e">
        <f t="shared" si="34"/>
        <v>#DIV/0!</v>
      </c>
      <c r="AJ42" s="1460"/>
      <c r="AK42" s="1432"/>
      <c r="AL42" s="1432"/>
      <c r="AM42" s="1480">
        <f t="shared" ref="AM42:AM48" si="46">AK42+AL42*1</f>
        <v>0</v>
      </c>
      <c r="AN42" s="1540" t="e">
        <f t="shared" si="35"/>
        <v>#DIV/0!</v>
      </c>
      <c r="AO42" s="1460"/>
      <c r="AP42" s="1432"/>
      <c r="AQ42" s="1432"/>
      <c r="AR42" s="1480">
        <f t="shared" ref="AR42:AR48" si="47">AP42+AQ42*1</f>
        <v>0</v>
      </c>
      <c r="AS42" s="1877">
        <f t="shared" si="36"/>
        <v>0</v>
      </c>
      <c r="AT42" s="1927"/>
      <c r="AU42" s="1432">
        <f t="shared" ref="AU42:AV49" si="48">G42+L42+Q42+V42+AA42+AF42+AK42+AP42</f>
        <v>0</v>
      </c>
      <c r="AV42" s="1432">
        <f t="shared" si="48"/>
        <v>0</v>
      </c>
      <c r="AW42" s="1480">
        <f t="shared" ref="AW42:AW48" si="49">AU42+AV42</f>
        <v>0</v>
      </c>
      <c r="AX42" s="1540">
        <f t="shared" si="37"/>
        <v>0</v>
      </c>
      <c r="AY42" s="1460"/>
    </row>
    <row r="43" spans="1:51" ht="13.8" outlineLevel="2">
      <c r="A43" s="4833"/>
      <c r="B43" s="1411" t="s">
        <v>27</v>
      </c>
      <c r="C43" s="1487"/>
      <c r="D43" s="1493">
        <v>4000</v>
      </c>
      <c r="E43" s="1494">
        <f t="shared" si="38"/>
        <v>4000</v>
      </c>
      <c r="F43" s="1540">
        <f t="shared" si="33"/>
        <v>3.3850879428922126E-4</v>
      </c>
      <c r="G43" s="1432">
        <v>0</v>
      </c>
      <c r="H43" s="1432">
        <v>2560</v>
      </c>
      <c r="I43" s="1480">
        <v>2560</v>
      </c>
      <c r="J43" s="1539">
        <v>1.8070657473057613E-4</v>
      </c>
      <c r="K43" s="1539"/>
      <c r="L43" s="1432"/>
      <c r="M43" s="1432"/>
      <c r="N43" s="1480">
        <f t="shared" si="39"/>
        <v>0</v>
      </c>
      <c r="O43" s="1540">
        <f t="shared" si="40"/>
        <v>0</v>
      </c>
      <c r="P43" s="1460"/>
      <c r="Q43" s="1432"/>
      <c r="R43" s="1432"/>
      <c r="S43" s="1480">
        <f t="shared" si="41"/>
        <v>0</v>
      </c>
      <c r="T43" s="1540" t="e">
        <f t="shared" si="2"/>
        <v>#DIV/0!</v>
      </c>
      <c r="U43" s="1460"/>
      <c r="V43" s="1432"/>
      <c r="W43" s="1432"/>
      <c r="X43" s="1480">
        <f t="shared" si="42"/>
        <v>0</v>
      </c>
      <c r="Y43" s="1540">
        <f t="shared" si="43"/>
        <v>0</v>
      </c>
      <c r="Z43" s="1460"/>
      <c r="AA43" s="1432"/>
      <c r="AB43" s="1432"/>
      <c r="AC43" s="1480">
        <f t="shared" si="44"/>
        <v>0</v>
      </c>
      <c r="AD43" s="1540" t="e">
        <f t="shared" si="3"/>
        <v>#DIV/0!</v>
      </c>
      <c r="AE43" s="1460"/>
      <c r="AF43" s="1432"/>
      <c r="AG43" s="1432"/>
      <c r="AH43" s="1480">
        <f t="shared" si="45"/>
        <v>0</v>
      </c>
      <c r="AI43" s="1540" t="e">
        <f t="shared" si="34"/>
        <v>#DIV/0!</v>
      </c>
      <c r="AJ43" s="1460"/>
      <c r="AK43" s="1432"/>
      <c r="AL43" s="1432"/>
      <c r="AM43" s="1480">
        <f t="shared" si="46"/>
        <v>0</v>
      </c>
      <c r="AN43" s="1540" t="e">
        <f t="shared" si="35"/>
        <v>#DIV/0!</v>
      </c>
      <c r="AO43" s="1460"/>
      <c r="AP43" s="1432"/>
      <c r="AQ43" s="1432"/>
      <c r="AR43" s="1480">
        <f t="shared" si="47"/>
        <v>0</v>
      </c>
      <c r="AS43" s="1877">
        <f t="shared" si="36"/>
        <v>0</v>
      </c>
      <c r="AT43" s="1927"/>
      <c r="AU43" s="1432">
        <f t="shared" si="48"/>
        <v>0</v>
      </c>
      <c r="AV43" s="1432">
        <f t="shared" si="48"/>
        <v>2560</v>
      </c>
      <c r="AW43" s="1480">
        <f t="shared" si="49"/>
        <v>2560</v>
      </c>
      <c r="AX43" s="1540">
        <f t="shared" si="37"/>
        <v>1.6624299998473414E-4</v>
      </c>
      <c r="AY43" s="1460"/>
    </row>
    <row r="44" spans="1:51" ht="67.2" customHeight="1" outlineLevel="2">
      <c r="A44" s="4833"/>
      <c r="B44" s="1412" t="s">
        <v>28</v>
      </c>
      <c r="C44" s="1487"/>
      <c r="D44" s="1493"/>
      <c r="E44" s="1494">
        <f t="shared" si="38"/>
        <v>0</v>
      </c>
      <c r="F44" s="1540">
        <f t="shared" si="33"/>
        <v>0</v>
      </c>
      <c r="G44" s="1432">
        <v>440</v>
      </c>
      <c r="H44" s="1432">
        <v>463</v>
      </c>
      <c r="I44" s="1480">
        <v>903</v>
      </c>
      <c r="J44" s="1539">
        <v>6.374142069598056E-5</v>
      </c>
      <c r="K44" s="1539"/>
      <c r="L44" s="1432"/>
      <c r="M44" s="1432"/>
      <c r="N44" s="1480">
        <f t="shared" si="39"/>
        <v>0</v>
      </c>
      <c r="O44" s="1540">
        <f t="shared" si="40"/>
        <v>0</v>
      </c>
      <c r="P44" s="1579"/>
      <c r="Q44" s="1432"/>
      <c r="R44" s="1432"/>
      <c r="S44" s="1480">
        <f t="shared" si="41"/>
        <v>0</v>
      </c>
      <c r="T44" s="1540" t="e">
        <f t="shared" si="2"/>
        <v>#DIV/0!</v>
      </c>
      <c r="U44" s="1672"/>
      <c r="V44" s="1432"/>
      <c r="W44" s="1432"/>
      <c r="X44" s="1480">
        <f t="shared" si="42"/>
        <v>0</v>
      </c>
      <c r="Y44" s="1540">
        <f t="shared" si="43"/>
        <v>0</v>
      </c>
      <c r="Z44" s="1590"/>
      <c r="AA44" s="1432"/>
      <c r="AB44" s="1432"/>
      <c r="AC44" s="1480">
        <f t="shared" si="44"/>
        <v>0</v>
      </c>
      <c r="AD44" s="1540" t="e">
        <f t="shared" si="3"/>
        <v>#DIV/0!</v>
      </c>
      <c r="AE44" s="1590"/>
      <c r="AF44" s="1432"/>
      <c r="AG44" s="1432"/>
      <c r="AH44" s="1480">
        <f t="shared" si="45"/>
        <v>0</v>
      </c>
      <c r="AI44" s="1540" t="e">
        <f t="shared" si="34"/>
        <v>#DIV/0!</v>
      </c>
      <c r="AJ44" s="1590"/>
      <c r="AK44" s="1432"/>
      <c r="AL44" s="1432"/>
      <c r="AM44" s="1480">
        <f t="shared" si="46"/>
        <v>0</v>
      </c>
      <c r="AN44" s="1540" t="e">
        <f t="shared" si="35"/>
        <v>#DIV/0!</v>
      </c>
      <c r="AO44" s="1590"/>
      <c r="AP44" s="1432"/>
      <c r="AQ44" s="1432"/>
      <c r="AR44" s="1480">
        <f t="shared" si="47"/>
        <v>0</v>
      </c>
      <c r="AS44" s="1877">
        <f t="shared" si="36"/>
        <v>0</v>
      </c>
      <c r="AT44" s="1590"/>
      <c r="AU44" s="1432">
        <f t="shared" si="48"/>
        <v>440</v>
      </c>
      <c r="AV44" s="1432">
        <f t="shared" si="48"/>
        <v>463</v>
      </c>
      <c r="AW44" s="1480">
        <f t="shared" si="49"/>
        <v>903</v>
      </c>
      <c r="AX44" s="1540">
        <f t="shared" si="37"/>
        <v>5.8639620697740207E-5</v>
      </c>
      <c r="AY44" s="1460"/>
    </row>
    <row r="45" spans="1:51" ht="13.8" outlineLevel="2">
      <c r="A45" s="4833"/>
      <c r="B45" s="1411" t="s">
        <v>8</v>
      </c>
      <c r="C45" s="1487">
        <v>4500</v>
      </c>
      <c r="D45" s="1493"/>
      <c r="E45" s="1494">
        <f t="shared" si="38"/>
        <v>4500</v>
      </c>
      <c r="F45" s="1540">
        <f t="shared" si="33"/>
        <v>3.808223935753739E-4</v>
      </c>
      <c r="G45" s="1432">
        <v>8950</v>
      </c>
      <c r="H45" s="1432">
        <v>0</v>
      </c>
      <c r="I45" s="1480">
        <v>8950</v>
      </c>
      <c r="J45" s="1539">
        <v>6.3176712649947516E-4</v>
      </c>
      <c r="K45" s="1539"/>
      <c r="L45" s="1432"/>
      <c r="M45" s="1432"/>
      <c r="N45" s="1480">
        <f t="shared" si="39"/>
        <v>0</v>
      </c>
      <c r="O45" s="1540">
        <f t="shared" si="40"/>
        <v>0</v>
      </c>
      <c r="P45" s="1579"/>
      <c r="Q45" s="1432"/>
      <c r="R45" s="1432"/>
      <c r="S45" s="1480">
        <f t="shared" si="41"/>
        <v>0</v>
      </c>
      <c r="T45" s="1540" t="e">
        <f t="shared" si="2"/>
        <v>#DIV/0!</v>
      </c>
      <c r="U45" s="1579"/>
      <c r="V45" s="1432"/>
      <c r="W45" s="1432"/>
      <c r="X45" s="1480">
        <f t="shared" si="42"/>
        <v>0</v>
      </c>
      <c r="Y45" s="1540">
        <f t="shared" si="43"/>
        <v>0</v>
      </c>
      <c r="Z45" s="1590"/>
      <c r="AA45" s="1432"/>
      <c r="AB45" s="1432"/>
      <c r="AC45" s="1480">
        <f t="shared" si="44"/>
        <v>0</v>
      </c>
      <c r="AD45" s="1540" t="e">
        <f t="shared" si="3"/>
        <v>#DIV/0!</v>
      </c>
      <c r="AE45" s="1590"/>
      <c r="AF45" s="1432"/>
      <c r="AG45" s="1432"/>
      <c r="AH45" s="1480">
        <f t="shared" si="45"/>
        <v>0</v>
      </c>
      <c r="AI45" s="1540" t="e">
        <f t="shared" si="34"/>
        <v>#DIV/0!</v>
      </c>
      <c r="AJ45" s="1590"/>
      <c r="AK45" s="1432"/>
      <c r="AL45" s="1432"/>
      <c r="AM45" s="1480">
        <f t="shared" si="46"/>
        <v>0</v>
      </c>
      <c r="AN45" s="1540" t="e">
        <f t="shared" si="35"/>
        <v>#DIV/0!</v>
      </c>
      <c r="AO45" s="1590"/>
      <c r="AP45" s="1432"/>
      <c r="AQ45" s="1432"/>
      <c r="AR45" s="1480">
        <f t="shared" si="47"/>
        <v>0</v>
      </c>
      <c r="AS45" s="1877">
        <f t="shared" si="36"/>
        <v>0</v>
      </c>
      <c r="AT45" s="1590"/>
      <c r="AU45" s="1432">
        <f t="shared" si="48"/>
        <v>8950</v>
      </c>
      <c r="AV45" s="1432">
        <f t="shared" si="48"/>
        <v>0</v>
      </c>
      <c r="AW45" s="1480">
        <f t="shared" si="49"/>
        <v>8950</v>
      </c>
      <c r="AX45" s="1540">
        <f t="shared" si="37"/>
        <v>5.8120111322787916E-4</v>
      </c>
      <c r="AY45" s="1460"/>
    </row>
    <row r="46" spans="1:51" ht="13.8" outlineLevel="2">
      <c r="A46" s="4833"/>
      <c r="B46" s="1411" t="s">
        <v>29</v>
      </c>
      <c r="C46" s="1487"/>
      <c r="D46" s="1493"/>
      <c r="E46" s="1494">
        <f t="shared" si="38"/>
        <v>0</v>
      </c>
      <c r="F46" s="1540">
        <f t="shared" si="33"/>
        <v>0</v>
      </c>
      <c r="G46" s="1432">
        <v>0</v>
      </c>
      <c r="H46" s="1432">
        <v>0</v>
      </c>
      <c r="I46" s="1480">
        <v>0</v>
      </c>
      <c r="J46" s="1539">
        <v>0</v>
      </c>
      <c r="K46" s="1539"/>
      <c r="L46" s="1432"/>
      <c r="M46" s="1432"/>
      <c r="N46" s="1480">
        <f t="shared" si="39"/>
        <v>0</v>
      </c>
      <c r="O46" s="1540">
        <f t="shared" si="40"/>
        <v>0</v>
      </c>
      <c r="P46" s="1579"/>
      <c r="Q46" s="1432"/>
      <c r="R46" s="1432"/>
      <c r="S46" s="1480">
        <f t="shared" si="41"/>
        <v>0</v>
      </c>
      <c r="T46" s="1540" t="e">
        <f t="shared" si="2"/>
        <v>#DIV/0!</v>
      </c>
      <c r="U46" s="1579"/>
      <c r="V46" s="1432"/>
      <c r="W46" s="1432"/>
      <c r="X46" s="1480">
        <f t="shared" si="42"/>
        <v>0</v>
      </c>
      <c r="Y46" s="1540">
        <f t="shared" si="43"/>
        <v>0</v>
      </c>
      <c r="Z46" s="1590"/>
      <c r="AA46" s="1432"/>
      <c r="AB46" s="1432"/>
      <c r="AC46" s="1480">
        <f t="shared" si="44"/>
        <v>0</v>
      </c>
      <c r="AD46" s="1540" t="e">
        <f t="shared" si="3"/>
        <v>#DIV/0!</v>
      </c>
      <c r="AE46" s="1590"/>
      <c r="AF46" s="1432"/>
      <c r="AG46" s="1432"/>
      <c r="AH46" s="1480">
        <f t="shared" si="45"/>
        <v>0</v>
      </c>
      <c r="AI46" s="1540" t="e">
        <f t="shared" si="34"/>
        <v>#DIV/0!</v>
      </c>
      <c r="AJ46" s="1590"/>
      <c r="AK46" s="1432"/>
      <c r="AL46" s="1432"/>
      <c r="AM46" s="1480">
        <f t="shared" si="46"/>
        <v>0</v>
      </c>
      <c r="AN46" s="1540" t="e">
        <f t="shared" si="35"/>
        <v>#DIV/0!</v>
      </c>
      <c r="AO46" s="1590"/>
      <c r="AP46" s="1432"/>
      <c r="AQ46" s="1432"/>
      <c r="AR46" s="1480">
        <f t="shared" si="47"/>
        <v>0</v>
      </c>
      <c r="AS46" s="1877">
        <f t="shared" si="36"/>
        <v>0</v>
      </c>
      <c r="AT46" s="1590"/>
      <c r="AU46" s="1432">
        <f t="shared" si="48"/>
        <v>0</v>
      </c>
      <c r="AV46" s="1432">
        <f t="shared" si="48"/>
        <v>0</v>
      </c>
      <c r="AW46" s="1480">
        <f t="shared" si="49"/>
        <v>0</v>
      </c>
      <c r="AX46" s="1540">
        <f t="shared" si="37"/>
        <v>0</v>
      </c>
      <c r="AY46" s="1460"/>
    </row>
    <row r="47" spans="1:51" ht="13.8" outlineLevel="2">
      <c r="A47" s="4833"/>
      <c r="B47" s="1411" t="s">
        <v>30</v>
      </c>
      <c r="C47" s="1487">
        <v>20000</v>
      </c>
      <c r="D47" s="1493"/>
      <c r="E47" s="1494">
        <f t="shared" si="38"/>
        <v>20000</v>
      </c>
      <c r="F47" s="1540">
        <f t="shared" si="33"/>
        <v>1.6925439714461062E-3</v>
      </c>
      <c r="G47" s="1432">
        <v>40308.299999999996</v>
      </c>
      <c r="H47" s="1432">
        <v>6854</v>
      </c>
      <c r="I47" s="1480">
        <v>47162.299999999996</v>
      </c>
      <c r="J47" s="1539">
        <v>3.329116284928066E-3</v>
      </c>
      <c r="K47" s="1539"/>
      <c r="L47" s="1432"/>
      <c r="M47" s="1432"/>
      <c r="N47" s="1480">
        <f t="shared" si="39"/>
        <v>0</v>
      </c>
      <c r="O47" s="1540">
        <f>N47/$N$89</f>
        <v>0</v>
      </c>
      <c r="P47" s="1590"/>
      <c r="Q47" s="1432"/>
      <c r="R47" s="1432"/>
      <c r="S47" s="1480">
        <f t="shared" si="41"/>
        <v>0</v>
      </c>
      <c r="T47" s="1540" t="e">
        <f t="shared" si="2"/>
        <v>#DIV/0!</v>
      </c>
      <c r="U47" s="1590"/>
      <c r="V47" s="1432"/>
      <c r="W47" s="1432"/>
      <c r="X47" s="1480">
        <f t="shared" si="42"/>
        <v>0</v>
      </c>
      <c r="Y47" s="1540">
        <f t="shared" si="43"/>
        <v>0</v>
      </c>
      <c r="Z47" s="1590"/>
      <c r="AA47" s="1432"/>
      <c r="AB47" s="1432"/>
      <c r="AC47" s="1480">
        <f t="shared" si="44"/>
        <v>0</v>
      </c>
      <c r="AD47" s="1540" t="e">
        <f t="shared" si="3"/>
        <v>#DIV/0!</v>
      </c>
      <c r="AE47" s="1590"/>
      <c r="AF47" s="1432"/>
      <c r="AG47" s="1432"/>
      <c r="AH47" s="1480">
        <f t="shared" si="45"/>
        <v>0</v>
      </c>
      <c r="AI47" s="1540" t="e">
        <f t="shared" si="34"/>
        <v>#DIV/0!</v>
      </c>
      <c r="AJ47" s="1590"/>
      <c r="AK47" s="1432"/>
      <c r="AL47" s="1432"/>
      <c r="AM47" s="1480">
        <f t="shared" si="46"/>
        <v>0</v>
      </c>
      <c r="AN47" s="1540" t="e">
        <f t="shared" si="35"/>
        <v>#DIV/0!</v>
      </c>
      <c r="AO47" s="1590"/>
      <c r="AP47" s="1432"/>
      <c r="AQ47" s="1432"/>
      <c r="AR47" s="1480">
        <f t="shared" si="47"/>
        <v>0</v>
      </c>
      <c r="AS47" s="1877">
        <f t="shared" si="36"/>
        <v>0</v>
      </c>
      <c r="AT47" s="1590"/>
      <c r="AU47" s="1432">
        <f t="shared" si="48"/>
        <v>40308.299999999996</v>
      </c>
      <c r="AV47" s="1432">
        <f t="shared" si="48"/>
        <v>6854</v>
      </c>
      <c r="AW47" s="1480">
        <f t="shared" si="49"/>
        <v>47162.299999999996</v>
      </c>
      <c r="AX47" s="1540">
        <f t="shared" si="37"/>
        <v>3.0626571242890728E-3</v>
      </c>
      <c r="AY47" s="1460"/>
    </row>
    <row r="48" spans="1:51" ht="13.8" outlineLevel="2">
      <c r="A48" s="4833"/>
      <c r="B48" s="1411" t="s">
        <v>15</v>
      </c>
      <c r="C48" s="1487">
        <v>8000</v>
      </c>
      <c r="D48" s="1493"/>
      <c r="E48" s="1494">
        <f t="shared" si="38"/>
        <v>8000</v>
      </c>
      <c r="F48" s="1540">
        <f t="shared" si="33"/>
        <v>6.7701758857844252E-4</v>
      </c>
      <c r="G48" s="1432">
        <v>4353.5860000000002</v>
      </c>
      <c r="H48" s="1432">
        <v>0</v>
      </c>
      <c r="I48" s="1480">
        <v>4353.5860000000002</v>
      </c>
      <c r="J48" s="1539">
        <v>3.0731313041210546E-4</v>
      </c>
      <c r="K48" s="1539"/>
      <c r="L48" s="1432"/>
      <c r="M48" s="1432"/>
      <c r="N48" s="1480">
        <f t="shared" si="39"/>
        <v>0</v>
      </c>
      <c r="O48" s="1540">
        <f t="shared" si="40"/>
        <v>0</v>
      </c>
      <c r="P48" s="1579"/>
      <c r="Q48" s="1432"/>
      <c r="R48" s="1432"/>
      <c r="S48" s="1480">
        <f t="shared" si="41"/>
        <v>0</v>
      </c>
      <c r="T48" s="1540" t="e">
        <f t="shared" si="2"/>
        <v>#DIV/0!</v>
      </c>
      <c r="U48" s="1579"/>
      <c r="V48" s="1432"/>
      <c r="W48" s="1432"/>
      <c r="X48" s="1480">
        <f t="shared" si="42"/>
        <v>0</v>
      </c>
      <c r="Y48" s="1540">
        <f t="shared" si="43"/>
        <v>0</v>
      </c>
      <c r="Z48" s="1579"/>
      <c r="AA48" s="1432"/>
      <c r="AB48" s="1432"/>
      <c r="AC48" s="1480">
        <f t="shared" si="44"/>
        <v>0</v>
      </c>
      <c r="AD48" s="1540" t="e">
        <f t="shared" si="3"/>
        <v>#DIV/0!</v>
      </c>
      <c r="AE48" s="1579"/>
      <c r="AF48" s="1432"/>
      <c r="AG48" s="1432"/>
      <c r="AH48" s="1480">
        <f t="shared" si="45"/>
        <v>0</v>
      </c>
      <c r="AI48" s="1540" t="e">
        <f t="shared" si="34"/>
        <v>#DIV/0!</v>
      </c>
      <c r="AJ48" s="1579"/>
      <c r="AK48" s="1432"/>
      <c r="AL48" s="1432"/>
      <c r="AM48" s="1480">
        <f t="shared" si="46"/>
        <v>0</v>
      </c>
      <c r="AN48" s="1540" t="e">
        <f t="shared" si="35"/>
        <v>#DIV/0!</v>
      </c>
      <c r="AO48" s="1579"/>
      <c r="AP48" s="1432"/>
      <c r="AQ48" s="1432"/>
      <c r="AR48" s="1480">
        <f t="shared" si="47"/>
        <v>0</v>
      </c>
      <c r="AS48" s="1877">
        <f t="shared" si="36"/>
        <v>0</v>
      </c>
      <c r="AT48" s="1880"/>
      <c r="AU48" s="1432">
        <f t="shared" si="48"/>
        <v>4353.5860000000002</v>
      </c>
      <c r="AV48" s="1432">
        <f t="shared" si="48"/>
        <v>0</v>
      </c>
      <c r="AW48" s="1480">
        <f t="shared" si="49"/>
        <v>4353.5860000000002</v>
      </c>
      <c r="AX48" s="1540">
        <f t="shared" si="37"/>
        <v>2.8271609270763234E-4</v>
      </c>
      <c r="AY48" s="1460"/>
    </row>
    <row r="49" spans="1:51" s="1396" customFormat="1" ht="14.4" outlineLevel="2" thickBot="1">
      <c r="A49" s="1405"/>
      <c r="B49" s="1428"/>
      <c r="C49" s="1490"/>
      <c r="D49" s="1495"/>
      <c r="E49" s="1496">
        <f t="shared" si="38"/>
        <v>0</v>
      </c>
      <c r="F49" s="1543"/>
      <c r="G49" s="1719"/>
      <c r="H49" s="1708"/>
      <c r="I49" s="1708"/>
      <c r="J49" s="1708">
        <v>0</v>
      </c>
      <c r="K49" s="1708"/>
      <c r="L49" s="1432"/>
      <c r="M49" s="1432"/>
      <c r="N49" s="1439"/>
      <c r="O49" s="1540">
        <f>N49/$N$89</f>
        <v>0</v>
      </c>
      <c r="P49" s="1449"/>
      <c r="Q49" s="1432"/>
      <c r="R49" s="1432"/>
      <c r="S49" s="1439"/>
      <c r="T49" s="1540" t="e">
        <f t="shared" si="2"/>
        <v>#DIV/0!</v>
      </c>
      <c r="U49" s="1449"/>
      <c r="V49" s="1432"/>
      <c r="W49" s="1432"/>
      <c r="X49" s="1439"/>
      <c r="Y49" s="1540" t="e">
        <f t="shared" si="29"/>
        <v>#DIV/0!</v>
      </c>
      <c r="Z49" s="1449"/>
      <c r="AA49" s="1432"/>
      <c r="AB49" s="1432"/>
      <c r="AC49" s="1439"/>
      <c r="AD49" s="1540" t="e">
        <f t="shared" si="3"/>
        <v>#DIV/0!</v>
      </c>
      <c r="AE49" s="1449"/>
      <c r="AF49" s="1432"/>
      <c r="AG49" s="1432"/>
      <c r="AH49" s="1439"/>
      <c r="AI49" s="1540" t="e">
        <f t="shared" si="30"/>
        <v>#DIV/0!</v>
      </c>
      <c r="AJ49" s="1449"/>
      <c r="AK49" s="1432"/>
      <c r="AL49" s="1432"/>
      <c r="AM49" s="1439"/>
      <c r="AN49" s="1540" t="e">
        <f>AM49/$AC$89</f>
        <v>#DIV/0!</v>
      </c>
      <c r="AO49" s="1449"/>
      <c r="AP49" s="1432"/>
      <c r="AQ49" s="1432"/>
      <c r="AR49" s="1439"/>
      <c r="AS49" s="1877" t="e">
        <f>AR49/$AC$89</f>
        <v>#DIV/0!</v>
      </c>
      <c r="AT49" s="1449"/>
      <c r="AU49" s="1432">
        <f t="shared" si="48"/>
        <v>0</v>
      </c>
      <c r="AV49" s="1432">
        <f t="shared" si="48"/>
        <v>0</v>
      </c>
      <c r="AW49" s="1439"/>
      <c r="AX49" s="1540">
        <f t="shared" si="37"/>
        <v>0</v>
      </c>
      <c r="AY49" s="1439"/>
    </row>
    <row r="50" spans="1:51" s="1396" customFormat="1" ht="13.8" outlineLevel="1">
      <c r="A50" s="1565"/>
      <c r="B50" s="1410" t="s">
        <v>59</v>
      </c>
      <c r="C50" s="1497">
        <f>SUM(C51:C52)</f>
        <v>0</v>
      </c>
      <c r="D50" s="1497">
        <f>SUM(D51:D52)</f>
        <v>0</v>
      </c>
      <c r="E50" s="1497">
        <f>SUM(E51:E52)</f>
        <v>0</v>
      </c>
      <c r="F50" s="1534">
        <f>E50/$E$89</f>
        <v>0</v>
      </c>
      <c r="G50" s="1720">
        <v>0</v>
      </c>
      <c r="H50" s="1578">
        <v>0</v>
      </c>
      <c r="I50" s="1578">
        <v>0</v>
      </c>
      <c r="J50" s="1578"/>
      <c r="K50" s="1534"/>
      <c r="L50" s="1497">
        <f>L52+L51</f>
        <v>0</v>
      </c>
      <c r="M50" s="1497">
        <f>M52+M51</f>
        <v>0</v>
      </c>
      <c r="N50" s="1497">
        <f>SUM(N51:N52)</f>
        <v>0</v>
      </c>
      <c r="O50" s="1446"/>
      <c r="P50" s="1598"/>
      <c r="Q50" s="1497">
        <f>Q52+Q51</f>
        <v>0</v>
      </c>
      <c r="R50" s="1497">
        <f>R52+R51</f>
        <v>0</v>
      </c>
      <c r="S50" s="1497">
        <f>SUM(S51:S52)</f>
        <v>0</v>
      </c>
      <c r="T50" s="1533" t="e">
        <f t="shared" si="2"/>
        <v>#DIV/0!</v>
      </c>
      <c r="U50" s="1598"/>
      <c r="V50" s="1497">
        <f>V52+V51</f>
        <v>0</v>
      </c>
      <c r="W50" s="1497">
        <f>W52+W51</f>
        <v>0</v>
      </c>
      <c r="X50" s="1497">
        <f>SUM(X51:X52)</f>
        <v>0</v>
      </c>
      <c r="Y50" s="1533">
        <f t="shared" ref="Y50:Y71" si="50">X50/$X$89</f>
        <v>0</v>
      </c>
      <c r="Z50" s="1598"/>
      <c r="AA50" s="1497">
        <f>AA52+AA51</f>
        <v>0</v>
      </c>
      <c r="AB50" s="1497">
        <f>AB52+AB51</f>
        <v>0</v>
      </c>
      <c r="AC50" s="1497">
        <f>SUM(AC51:AC52)</f>
        <v>0</v>
      </c>
      <c r="AD50" s="1533" t="e">
        <f t="shared" si="3"/>
        <v>#DIV/0!</v>
      </c>
      <c r="AE50" s="1598"/>
      <c r="AF50" s="1497">
        <f>AF52+AF51</f>
        <v>0</v>
      </c>
      <c r="AG50" s="1497">
        <f>AG52+AG51</f>
        <v>0</v>
      </c>
      <c r="AH50" s="1497">
        <f>SUM(AH51:AH52)</f>
        <v>0</v>
      </c>
      <c r="AI50" s="1533" t="e">
        <f t="shared" si="30"/>
        <v>#DIV/0!</v>
      </c>
      <c r="AJ50" s="1598"/>
      <c r="AK50" s="1497">
        <f>AK52+AK51</f>
        <v>0</v>
      </c>
      <c r="AL50" s="1497">
        <f>AL52+AL51</f>
        <v>0</v>
      </c>
      <c r="AM50" s="1497">
        <f>SUM(AM51:AM52)</f>
        <v>0</v>
      </c>
      <c r="AN50" s="1533" t="e">
        <f>AM50/$AC$89</f>
        <v>#DIV/0!</v>
      </c>
      <c r="AO50" s="1598"/>
      <c r="AP50" s="1497">
        <f>AP52+AP51</f>
        <v>0</v>
      </c>
      <c r="AQ50" s="1497">
        <f>AQ52+AQ51</f>
        <v>0</v>
      </c>
      <c r="AR50" s="1497">
        <f>SUM(AR51:AR52)</f>
        <v>0</v>
      </c>
      <c r="AS50" s="1888" t="e">
        <f>AR50/$AC$89</f>
        <v>#DIV/0!</v>
      </c>
      <c r="AT50" s="1598"/>
      <c r="AU50" s="1497">
        <f>AU52+AU51</f>
        <v>0</v>
      </c>
      <c r="AV50" s="1497">
        <f>AV52+AV51</f>
        <v>0</v>
      </c>
      <c r="AW50" s="1497">
        <f>SUM(AW51:AW52)</f>
        <v>0</v>
      </c>
      <c r="AX50" s="1446"/>
      <c r="AY50" s="1446"/>
    </row>
    <row r="51" spans="1:51" s="1564" customFormat="1" ht="13.8" outlineLevel="1">
      <c r="A51" s="1568"/>
      <c r="B51" s="1411" t="s">
        <v>60</v>
      </c>
      <c r="C51" s="1487"/>
      <c r="D51" s="1493"/>
      <c r="E51" s="1493">
        <f>C51+D51</f>
        <v>0</v>
      </c>
      <c r="F51" s="1541">
        <f>E51/$E$89</f>
        <v>0</v>
      </c>
      <c r="G51" s="1721">
        <v>0</v>
      </c>
      <c r="H51" s="1587">
        <v>0</v>
      </c>
      <c r="I51" s="1587">
        <v>0</v>
      </c>
      <c r="J51" s="1587">
        <v>0</v>
      </c>
      <c r="K51" s="1587"/>
      <c r="L51" s="1432"/>
      <c r="M51" s="1432"/>
      <c r="N51" s="1480">
        <f>L51+M51*1</f>
        <v>0</v>
      </c>
      <c r="O51" s="1540">
        <f>N51/$N$89</f>
        <v>0</v>
      </c>
      <c r="P51" s="1594"/>
      <c r="Q51" s="1432"/>
      <c r="R51" s="1432"/>
      <c r="S51" s="1480">
        <f>Q51+R51*1</f>
        <v>0</v>
      </c>
      <c r="T51" s="1540" t="e">
        <f t="shared" si="2"/>
        <v>#DIV/0!</v>
      </c>
      <c r="U51" s="1594"/>
      <c r="V51" s="1432"/>
      <c r="W51" s="1432"/>
      <c r="X51" s="1480">
        <f>V51+W51*1</f>
        <v>0</v>
      </c>
      <c r="Y51" s="1540">
        <f t="shared" si="50"/>
        <v>0</v>
      </c>
      <c r="Z51" s="1594"/>
      <c r="AA51" s="1432"/>
      <c r="AB51" s="1432"/>
      <c r="AC51" s="1480">
        <f>AA51+AB51*1</f>
        <v>0</v>
      </c>
      <c r="AD51" s="1540" t="e">
        <f t="shared" si="3"/>
        <v>#DIV/0!</v>
      </c>
      <c r="AE51" s="1594"/>
      <c r="AF51" s="1432"/>
      <c r="AG51" s="1432"/>
      <c r="AH51" s="1480">
        <f>AF51+AG51*1</f>
        <v>0</v>
      </c>
      <c r="AI51" s="1540" t="e">
        <f t="shared" si="30"/>
        <v>#DIV/0!</v>
      </c>
      <c r="AJ51" s="1594"/>
      <c r="AK51" s="1432"/>
      <c r="AL51" s="1432"/>
      <c r="AM51" s="1480">
        <f>AK51+AL51*1</f>
        <v>0</v>
      </c>
      <c r="AN51" s="1540" t="e">
        <f>AM51/$AC$89</f>
        <v>#DIV/0!</v>
      </c>
      <c r="AO51" s="1594"/>
      <c r="AP51" s="1432"/>
      <c r="AQ51" s="1432"/>
      <c r="AR51" s="1480">
        <f>AP51+AQ51*1</f>
        <v>0</v>
      </c>
      <c r="AS51" s="1877" t="e">
        <f>AR51/$AC$89</f>
        <v>#DIV/0!</v>
      </c>
      <c r="AT51" s="1887"/>
      <c r="AU51" s="1432">
        <f t="shared" ref="AU51:AV53" si="51">G51+L51+Q51+V51+AA51+AF51+AK51+AP51</f>
        <v>0</v>
      </c>
      <c r="AV51" s="1432">
        <f t="shared" si="51"/>
        <v>0</v>
      </c>
      <c r="AW51" s="1480">
        <f>AU51+AV51</f>
        <v>0</v>
      </c>
      <c r="AX51" s="1540">
        <f>AW51/$AW$89</f>
        <v>0</v>
      </c>
      <c r="AY51" s="1435"/>
    </row>
    <row r="52" spans="1:51" s="1569" customFormat="1" ht="13.8" outlineLevel="2">
      <c r="A52" s="1568"/>
      <c r="B52" s="1411" t="s">
        <v>61</v>
      </c>
      <c r="C52" s="1487"/>
      <c r="D52" s="1493"/>
      <c r="E52" s="1493">
        <f>C52+D52</f>
        <v>0</v>
      </c>
      <c r="F52" s="1541">
        <f>E52/$E$89</f>
        <v>0</v>
      </c>
      <c r="G52" s="1721">
        <v>0</v>
      </c>
      <c r="H52" s="1587">
        <v>0</v>
      </c>
      <c r="I52" s="1587">
        <v>0</v>
      </c>
      <c r="J52" s="1587">
        <v>0</v>
      </c>
      <c r="K52" s="1587"/>
      <c r="L52" s="1432"/>
      <c r="M52" s="1432"/>
      <c r="N52" s="1480">
        <f>L52+M52*1</f>
        <v>0</v>
      </c>
      <c r="O52" s="1540">
        <f>N52/$N$89</f>
        <v>0</v>
      </c>
      <c r="P52" s="1594"/>
      <c r="Q52" s="1432"/>
      <c r="R52" s="1432"/>
      <c r="S52" s="1480">
        <f>Q52+R52*1</f>
        <v>0</v>
      </c>
      <c r="T52" s="1540" t="e">
        <f t="shared" si="2"/>
        <v>#DIV/0!</v>
      </c>
      <c r="U52" s="1594"/>
      <c r="V52" s="1432"/>
      <c r="W52" s="1432"/>
      <c r="X52" s="1480">
        <f>V52+W52*1</f>
        <v>0</v>
      </c>
      <c r="Y52" s="1540">
        <f t="shared" si="50"/>
        <v>0</v>
      </c>
      <c r="Z52" s="1594"/>
      <c r="AA52" s="1432"/>
      <c r="AB52" s="1432"/>
      <c r="AC52" s="1480">
        <f>AA52+AB52*1</f>
        <v>0</v>
      </c>
      <c r="AD52" s="1540" t="e">
        <f t="shared" si="3"/>
        <v>#DIV/0!</v>
      </c>
      <c r="AE52" s="1594"/>
      <c r="AF52" s="1432"/>
      <c r="AG52" s="1432"/>
      <c r="AH52" s="1480">
        <f>AF52+AG52*1</f>
        <v>0</v>
      </c>
      <c r="AI52" s="1540" t="e">
        <f t="shared" si="30"/>
        <v>#DIV/0!</v>
      </c>
      <c r="AJ52" s="1594"/>
      <c r="AK52" s="1432"/>
      <c r="AL52" s="1432"/>
      <c r="AM52" s="1480">
        <f>AK52+AL52*1</f>
        <v>0</v>
      </c>
      <c r="AN52" s="1540" t="e">
        <f>AM52/$AC$89</f>
        <v>#DIV/0!</v>
      </c>
      <c r="AO52" s="1594"/>
      <c r="AP52" s="1432"/>
      <c r="AQ52" s="1432"/>
      <c r="AR52" s="1480">
        <f>AP52+AQ52*1</f>
        <v>0</v>
      </c>
      <c r="AS52" s="1877" t="e">
        <f>AR52/$AC$89</f>
        <v>#DIV/0!</v>
      </c>
      <c r="AT52" s="1887"/>
      <c r="AU52" s="1432">
        <f t="shared" si="51"/>
        <v>0</v>
      </c>
      <c r="AV52" s="1432">
        <f t="shared" si="51"/>
        <v>0</v>
      </c>
      <c r="AW52" s="1480">
        <f>AU52+AV52</f>
        <v>0</v>
      </c>
      <c r="AX52" s="1540">
        <f>AW52/$AW$89</f>
        <v>0</v>
      </c>
      <c r="AY52" s="1435"/>
    </row>
    <row r="53" spans="1:51" ht="14.4" outlineLevel="1" thickBot="1">
      <c r="A53" s="1413"/>
      <c r="B53" s="1414"/>
      <c r="C53" s="1498"/>
      <c r="D53" s="1367"/>
      <c r="E53" s="1499"/>
      <c r="F53" s="1544"/>
      <c r="G53" s="1722">
        <v>0</v>
      </c>
      <c r="H53" s="1710">
        <v>0</v>
      </c>
      <c r="I53" s="1710">
        <v>0</v>
      </c>
      <c r="J53" s="1710"/>
      <c r="K53" s="1710"/>
      <c r="L53" s="1432"/>
      <c r="M53" s="1432"/>
      <c r="N53" s="1447"/>
      <c r="O53" s="1447"/>
      <c r="P53" s="1447"/>
      <c r="Q53" s="1432"/>
      <c r="R53" s="1432"/>
      <c r="S53" s="1447"/>
      <c r="T53" s="1540" t="e">
        <f t="shared" si="2"/>
        <v>#DIV/0!</v>
      </c>
      <c r="U53" s="1447"/>
      <c r="V53" s="1432"/>
      <c r="W53" s="1432"/>
      <c r="X53" s="1447"/>
      <c r="Y53" s="1540" t="e">
        <f t="shared" si="29"/>
        <v>#DIV/0!</v>
      </c>
      <c r="Z53" s="1447"/>
      <c r="AA53" s="1432"/>
      <c r="AB53" s="1432"/>
      <c r="AC53" s="1447"/>
      <c r="AD53" s="1540" t="e">
        <f t="shared" si="3"/>
        <v>#DIV/0!</v>
      </c>
      <c r="AE53" s="1447"/>
      <c r="AF53" s="1432"/>
      <c r="AG53" s="1432"/>
      <c r="AH53" s="1447"/>
      <c r="AI53" s="1540" t="e">
        <f t="shared" si="30"/>
        <v>#DIV/0!</v>
      </c>
      <c r="AJ53" s="1447"/>
      <c r="AK53" s="1432"/>
      <c r="AL53" s="1432"/>
      <c r="AM53" s="1447"/>
      <c r="AN53" s="1540" t="e">
        <f>AM53/$AC$89</f>
        <v>#DIV/0!</v>
      </c>
      <c r="AO53" s="1447"/>
      <c r="AP53" s="1432"/>
      <c r="AQ53" s="1432"/>
      <c r="AR53" s="1447"/>
      <c r="AS53" s="1877" t="e">
        <f>AR53/$AC$89</f>
        <v>#DIV/0!</v>
      </c>
      <c r="AT53" s="1447"/>
      <c r="AU53" s="1432">
        <f t="shared" si="51"/>
        <v>0</v>
      </c>
      <c r="AV53" s="1432">
        <f t="shared" si="51"/>
        <v>0</v>
      </c>
      <c r="AW53" s="1480">
        <f>AU53+AV53</f>
        <v>0</v>
      </c>
      <c r="AX53" s="1447"/>
      <c r="AY53" s="1447"/>
    </row>
    <row r="54" spans="1:51" ht="13.8" outlineLevel="1">
      <c r="A54" s="1570"/>
      <c r="B54" s="1410" t="s">
        <v>1</v>
      </c>
      <c r="C54" s="1497">
        <f>SUM(C55:C71)</f>
        <v>91164</v>
      </c>
      <c r="D54" s="1497">
        <f>SUM(D55:D71)</f>
        <v>50748</v>
      </c>
      <c r="E54" s="1500">
        <f>SUM(E55:E71)</f>
        <v>141912</v>
      </c>
      <c r="F54" s="1534">
        <f>E54/$E$89</f>
        <v>1.2009615003792991E-2</v>
      </c>
      <c r="G54" s="1497">
        <v>37684.75</v>
      </c>
      <c r="H54" s="1497">
        <v>43600.270000000004</v>
      </c>
      <c r="I54" s="1497">
        <v>81285.02</v>
      </c>
      <c r="J54" s="1578">
        <v>5.7377881019946781E-3</v>
      </c>
      <c r="K54" s="1534"/>
      <c r="L54" s="1497">
        <f>SUM(L55:L72)</f>
        <v>0</v>
      </c>
      <c r="M54" s="1497">
        <f>SUM(M55:M72)</f>
        <v>0</v>
      </c>
      <c r="N54" s="1497">
        <f>SUM(N55:N72)</f>
        <v>0</v>
      </c>
      <c r="O54" s="1533">
        <f>N54/$N$89</f>
        <v>0</v>
      </c>
      <c r="P54" s="1598"/>
      <c r="Q54" s="1497">
        <f>SUM(Q55:Q72)</f>
        <v>0</v>
      </c>
      <c r="R54" s="1497">
        <f>SUM(R55:R72)</f>
        <v>0</v>
      </c>
      <c r="S54" s="1497">
        <f>SUM(S55:S72)</f>
        <v>0</v>
      </c>
      <c r="T54" s="1533" t="e">
        <f t="shared" si="2"/>
        <v>#DIV/0!</v>
      </c>
      <c r="U54" s="1598"/>
      <c r="V54" s="1497">
        <f>SUM(V55:V72)</f>
        <v>0</v>
      </c>
      <c r="W54" s="1497">
        <f>SUM(W55:W72)</f>
        <v>0</v>
      </c>
      <c r="X54" s="1497">
        <f>SUM(X55:X72)</f>
        <v>0</v>
      </c>
      <c r="Y54" s="1533">
        <f t="shared" si="50"/>
        <v>0</v>
      </c>
      <c r="Z54" s="1598"/>
      <c r="AA54" s="1497">
        <f>SUM(AA55:AA72)</f>
        <v>0</v>
      </c>
      <c r="AB54" s="1497">
        <f>SUM(AB55:AB72)</f>
        <v>0</v>
      </c>
      <c r="AC54" s="1497">
        <f>SUM(AC55:AC72)</f>
        <v>0</v>
      </c>
      <c r="AD54" s="1533" t="e">
        <f t="shared" si="3"/>
        <v>#DIV/0!</v>
      </c>
      <c r="AE54" s="1598"/>
      <c r="AF54" s="1497">
        <f>SUM(AF55:AF72)</f>
        <v>0</v>
      </c>
      <c r="AG54" s="1497">
        <f>SUM(AG55:AG72)</f>
        <v>0</v>
      </c>
      <c r="AH54" s="1497">
        <f>SUM(AH55:AH72)</f>
        <v>0</v>
      </c>
      <c r="AI54" s="1533" t="e">
        <f t="shared" ref="AI54:AI71" si="52">AH54/$AH$89</f>
        <v>#DIV/0!</v>
      </c>
      <c r="AJ54" s="1598"/>
      <c r="AK54" s="1497">
        <f>SUM(AK55:AK72)</f>
        <v>0</v>
      </c>
      <c r="AL54" s="1497">
        <f>SUM(AL55:AL72)</f>
        <v>0</v>
      </c>
      <c r="AM54" s="1497">
        <f>SUM(AM55:AM72)</f>
        <v>0</v>
      </c>
      <c r="AN54" s="1533" t="e">
        <f t="shared" ref="AN54:AN71" si="53">AM54/$AM$89</f>
        <v>#DIV/0!</v>
      </c>
      <c r="AO54" s="1598"/>
      <c r="AP54" s="1497">
        <f>SUM(AP55:AP72)</f>
        <v>0</v>
      </c>
      <c r="AQ54" s="1497">
        <f>SUM(AQ55:AQ72)</f>
        <v>0</v>
      </c>
      <c r="AR54" s="1497">
        <f>SUM(AR55:AR72)</f>
        <v>0</v>
      </c>
      <c r="AS54" s="1888">
        <f t="shared" ref="AS54:AS71" si="54">AR54/$AR$89</f>
        <v>0</v>
      </c>
      <c r="AT54" s="1598"/>
      <c r="AU54" s="1497">
        <f>SUM(AU55:AU72)</f>
        <v>37684.75</v>
      </c>
      <c r="AV54" s="1497">
        <f>SUM(AV55:AV72)</f>
        <v>43600.270000000004</v>
      </c>
      <c r="AW54" s="1497">
        <f>SUM(AW55:AW72)</f>
        <v>81285.02</v>
      </c>
      <c r="AX54" s="1533">
        <f t="shared" ref="AX54:AX72" si="55">AW54/$AW$89</f>
        <v>5.2785412416480916E-3</v>
      </c>
      <c r="AY54" s="1446"/>
    </row>
    <row r="55" spans="1:51" ht="13.95" customHeight="1" outlineLevel="2">
      <c r="A55" s="1571"/>
      <c r="B55" s="1412" t="s">
        <v>77</v>
      </c>
      <c r="C55" s="1487"/>
      <c r="D55" s="1501"/>
      <c r="E55" s="1494">
        <f t="shared" ref="E55:E72" si="56">C55+D55</f>
        <v>0</v>
      </c>
      <c r="F55" s="1540">
        <f>E55/$E$89</f>
        <v>0</v>
      </c>
      <c r="G55" s="1552">
        <v>0</v>
      </c>
      <c r="H55" s="1552">
        <v>0</v>
      </c>
      <c r="I55" s="1480">
        <v>0</v>
      </c>
      <c r="J55" s="1539">
        <v>0</v>
      </c>
      <c r="K55" s="1539"/>
      <c r="L55" s="1552"/>
      <c r="M55" s="1552"/>
      <c r="N55" s="1480">
        <f t="shared" ref="N55:N71" si="57">L55+M55*1</f>
        <v>0</v>
      </c>
      <c r="O55" s="1540">
        <f t="shared" ref="O55:O72" si="58">N55/$N$89</f>
        <v>0</v>
      </c>
      <c r="P55" s="1579"/>
      <c r="Q55" s="1552"/>
      <c r="R55" s="1552"/>
      <c r="S55" s="1480">
        <f t="shared" ref="S55:S71" si="59">Q55+R55*1</f>
        <v>0</v>
      </c>
      <c r="T55" s="1540" t="e">
        <f t="shared" si="2"/>
        <v>#DIV/0!</v>
      </c>
      <c r="U55" s="1579"/>
      <c r="V55" s="1552"/>
      <c r="W55" s="1552"/>
      <c r="X55" s="1480">
        <f t="shared" ref="X55:X71" si="60">V55+W55*1</f>
        <v>0</v>
      </c>
      <c r="Y55" s="1540">
        <f t="shared" si="50"/>
        <v>0</v>
      </c>
      <c r="Z55" s="1579"/>
      <c r="AA55" s="1552"/>
      <c r="AB55" s="1552"/>
      <c r="AC55" s="1480">
        <f t="shared" ref="AC55:AC71" si="61">AA55+AB55*1</f>
        <v>0</v>
      </c>
      <c r="AD55" s="1540" t="e">
        <f t="shared" si="3"/>
        <v>#DIV/0!</v>
      </c>
      <c r="AE55" s="1579"/>
      <c r="AF55" s="1552"/>
      <c r="AG55" s="1552"/>
      <c r="AH55" s="1480">
        <f t="shared" ref="AH55:AH71" si="62">AF55+AG55*1</f>
        <v>0</v>
      </c>
      <c r="AI55" s="1540" t="e">
        <f t="shared" si="52"/>
        <v>#DIV/0!</v>
      </c>
      <c r="AJ55" s="1579"/>
      <c r="AK55" s="1552"/>
      <c r="AL55" s="1552"/>
      <c r="AM55" s="1480">
        <f t="shared" ref="AM55:AM71" si="63">AK55+AL55*1</f>
        <v>0</v>
      </c>
      <c r="AN55" s="1540" t="e">
        <f t="shared" si="53"/>
        <v>#DIV/0!</v>
      </c>
      <c r="AO55" s="1579"/>
      <c r="AP55" s="1552"/>
      <c r="AQ55" s="1552"/>
      <c r="AR55" s="1480">
        <f t="shared" ref="AR55:AR71" si="64">AP55+AQ55*1</f>
        <v>0</v>
      </c>
      <c r="AS55" s="1877">
        <f t="shared" si="54"/>
        <v>0</v>
      </c>
      <c r="AT55" s="1880"/>
      <c r="AU55" s="1432">
        <f t="shared" ref="AU55:AV70" si="65">G55+L55+Q55+V55+AA55+AF55+AK55+AP55</f>
        <v>0</v>
      </c>
      <c r="AV55" s="1432">
        <f t="shared" si="65"/>
        <v>0</v>
      </c>
      <c r="AW55" s="1480">
        <f t="shared" ref="AW55:AW72" si="66">AU55+AV55</f>
        <v>0</v>
      </c>
      <c r="AX55" s="1540">
        <f t="shared" si="55"/>
        <v>0</v>
      </c>
      <c r="AY55" s="1460"/>
    </row>
    <row r="56" spans="1:51" ht="13.95" customHeight="1" outlineLevel="2">
      <c r="A56" s="1571"/>
      <c r="B56" s="1412" t="s">
        <v>76</v>
      </c>
      <c r="C56" s="1487"/>
      <c r="D56" s="1501"/>
      <c r="E56" s="1494">
        <f t="shared" si="56"/>
        <v>0</v>
      </c>
      <c r="F56" s="1540">
        <f t="shared" ref="F56:F72" si="67">E56/$E$89</f>
        <v>0</v>
      </c>
      <c r="G56" s="1552">
        <v>0</v>
      </c>
      <c r="H56" s="1552">
        <v>0</v>
      </c>
      <c r="I56" s="1480">
        <v>0</v>
      </c>
      <c r="J56" s="1539">
        <v>0</v>
      </c>
      <c r="K56" s="1539"/>
      <c r="L56" s="1552"/>
      <c r="M56" s="1552"/>
      <c r="N56" s="1480">
        <f t="shared" si="57"/>
        <v>0</v>
      </c>
      <c r="O56" s="1540">
        <f t="shared" si="58"/>
        <v>0</v>
      </c>
      <c r="P56" s="1603"/>
      <c r="Q56" s="1552"/>
      <c r="R56" s="1552"/>
      <c r="S56" s="1480">
        <f t="shared" si="59"/>
        <v>0</v>
      </c>
      <c r="T56" s="1540" t="e">
        <f t="shared" si="2"/>
        <v>#DIV/0!</v>
      </c>
      <c r="U56" s="1603"/>
      <c r="V56" s="1552"/>
      <c r="W56" s="1552"/>
      <c r="X56" s="1480">
        <f t="shared" si="60"/>
        <v>0</v>
      </c>
      <c r="Y56" s="1540">
        <f t="shared" si="50"/>
        <v>0</v>
      </c>
      <c r="Z56" s="1603"/>
      <c r="AA56" s="1552"/>
      <c r="AB56" s="1552"/>
      <c r="AC56" s="1480">
        <f t="shared" si="61"/>
        <v>0</v>
      </c>
      <c r="AD56" s="1540" t="e">
        <f t="shared" si="3"/>
        <v>#DIV/0!</v>
      </c>
      <c r="AE56" s="1603"/>
      <c r="AF56" s="1552"/>
      <c r="AG56" s="1552"/>
      <c r="AH56" s="1480">
        <f t="shared" si="62"/>
        <v>0</v>
      </c>
      <c r="AI56" s="1540" t="e">
        <f t="shared" si="52"/>
        <v>#DIV/0!</v>
      </c>
      <c r="AJ56" s="1603"/>
      <c r="AK56" s="1552"/>
      <c r="AL56" s="1552"/>
      <c r="AM56" s="1480">
        <f t="shared" si="63"/>
        <v>0</v>
      </c>
      <c r="AN56" s="1540" t="e">
        <f t="shared" si="53"/>
        <v>#DIV/0!</v>
      </c>
      <c r="AO56" s="1603"/>
      <c r="AP56" s="1552"/>
      <c r="AQ56" s="1552"/>
      <c r="AR56" s="1480">
        <f t="shared" si="64"/>
        <v>0</v>
      </c>
      <c r="AS56" s="1877">
        <f t="shared" si="54"/>
        <v>0</v>
      </c>
      <c r="AT56" s="1912"/>
      <c r="AU56" s="1432">
        <f t="shared" si="65"/>
        <v>0</v>
      </c>
      <c r="AV56" s="1432">
        <f t="shared" si="65"/>
        <v>0</v>
      </c>
      <c r="AW56" s="1480">
        <f t="shared" si="66"/>
        <v>0</v>
      </c>
      <c r="AX56" s="1540">
        <f t="shared" si="55"/>
        <v>0</v>
      </c>
      <c r="AY56" s="1460"/>
    </row>
    <row r="57" spans="1:51" ht="13.95" customHeight="1" outlineLevel="2">
      <c r="A57" s="1571"/>
      <c r="B57" s="1412" t="s">
        <v>68</v>
      </c>
      <c r="C57" s="1487"/>
      <c r="D57" s="1493"/>
      <c r="E57" s="1494">
        <f t="shared" si="56"/>
        <v>0</v>
      </c>
      <c r="F57" s="1540">
        <f t="shared" si="67"/>
        <v>0</v>
      </c>
      <c r="G57" s="1552">
        <v>0</v>
      </c>
      <c r="H57" s="1552">
        <v>0</v>
      </c>
      <c r="I57" s="1480">
        <v>0</v>
      </c>
      <c r="J57" s="1539">
        <v>0</v>
      </c>
      <c r="K57" s="1539"/>
      <c r="L57" s="1552"/>
      <c r="M57" s="1552"/>
      <c r="N57" s="1480">
        <f t="shared" si="57"/>
        <v>0</v>
      </c>
      <c r="O57" s="1540">
        <f t="shared" si="58"/>
        <v>0</v>
      </c>
      <c r="P57" s="1603"/>
      <c r="Q57" s="1552"/>
      <c r="R57" s="1552"/>
      <c r="S57" s="1480">
        <f t="shared" si="59"/>
        <v>0</v>
      </c>
      <c r="T57" s="1540" t="e">
        <f t="shared" si="2"/>
        <v>#DIV/0!</v>
      </c>
      <c r="U57" s="1603"/>
      <c r="V57" s="1552"/>
      <c r="W57" s="1552"/>
      <c r="X57" s="1480">
        <f t="shared" si="60"/>
        <v>0</v>
      </c>
      <c r="Y57" s="1540">
        <f t="shared" si="50"/>
        <v>0</v>
      </c>
      <c r="Z57" s="1603"/>
      <c r="AA57" s="1552"/>
      <c r="AB57" s="1552"/>
      <c r="AC57" s="1480">
        <f t="shared" si="61"/>
        <v>0</v>
      </c>
      <c r="AD57" s="1540" t="e">
        <f t="shared" si="3"/>
        <v>#DIV/0!</v>
      </c>
      <c r="AE57" s="1603"/>
      <c r="AF57" s="1552"/>
      <c r="AG57" s="1552"/>
      <c r="AH57" s="1480">
        <f t="shared" si="62"/>
        <v>0</v>
      </c>
      <c r="AI57" s="1540" t="e">
        <f t="shared" si="52"/>
        <v>#DIV/0!</v>
      </c>
      <c r="AJ57" s="1603"/>
      <c r="AK57" s="1552"/>
      <c r="AL57" s="1552"/>
      <c r="AM57" s="1480">
        <f t="shared" si="63"/>
        <v>0</v>
      </c>
      <c r="AN57" s="1540" t="e">
        <f t="shared" si="53"/>
        <v>#DIV/0!</v>
      </c>
      <c r="AO57" s="1603"/>
      <c r="AP57" s="1552"/>
      <c r="AQ57" s="1552"/>
      <c r="AR57" s="1480">
        <f t="shared" si="64"/>
        <v>0</v>
      </c>
      <c r="AS57" s="1877">
        <f t="shared" si="54"/>
        <v>0</v>
      </c>
      <c r="AT57" s="1912"/>
      <c r="AU57" s="1432">
        <f t="shared" si="65"/>
        <v>0</v>
      </c>
      <c r="AV57" s="1432">
        <f t="shared" si="65"/>
        <v>0</v>
      </c>
      <c r="AW57" s="1480">
        <f t="shared" si="66"/>
        <v>0</v>
      </c>
      <c r="AX57" s="1540">
        <f t="shared" si="55"/>
        <v>0</v>
      </c>
      <c r="AY57" s="1460"/>
    </row>
    <row r="58" spans="1:51" ht="14.4" customHeight="1" outlineLevel="2">
      <c r="A58" s="1571"/>
      <c r="B58" s="1412" t="s">
        <v>67</v>
      </c>
      <c r="C58" s="1487">
        <v>21252</v>
      </c>
      <c r="D58" s="1493">
        <v>48748</v>
      </c>
      <c r="E58" s="1494">
        <f t="shared" si="56"/>
        <v>70000</v>
      </c>
      <c r="F58" s="1540">
        <f t="shared" si="67"/>
        <v>5.9239039000613712E-3</v>
      </c>
      <c r="G58" s="1552">
        <v>16180.5</v>
      </c>
      <c r="H58" s="1552">
        <v>26189.5</v>
      </c>
      <c r="I58" s="1480">
        <v>42370</v>
      </c>
      <c r="J58" s="1539">
        <v>2.9908349888025433E-3</v>
      </c>
      <c r="K58" s="1539"/>
      <c r="L58" s="1552"/>
      <c r="M58" s="1552"/>
      <c r="N58" s="1480">
        <f t="shared" si="57"/>
        <v>0</v>
      </c>
      <c r="O58" s="1540">
        <f t="shared" si="58"/>
        <v>0</v>
      </c>
      <c r="P58" s="1609"/>
      <c r="Q58" s="1552"/>
      <c r="R58" s="1552"/>
      <c r="S58" s="1480">
        <f t="shared" si="59"/>
        <v>0</v>
      </c>
      <c r="T58" s="1540" t="e">
        <f t="shared" si="2"/>
        <v>#DIV/0!</v>
      </c>
      <c r="U58" s="1609"/>
      <c r="V58" s="1552"/>
      <c r="W58" s="1552"/>
      <c r="X58" s="1480">
        <f t="shared" si="60"/>
        <v>0</v>
      </c>
      <c r="Y58" s="1540">
        <f t="shared" si="50"/>
        <v>0</v>
      </c>
      <c r="Z58" s="1609"/>
      <c r="AA58" s="1552"/>
      <c r="AB58" s="1552"/>
      <c r="AC58" s="1480">
        <f t="shared" si="61"/>
        <v>0</v>
      </c>
      <c r="AD58" s="1540" t="e">
        <f t="shared" si="3"/>
        <v>#DIV/0!</v>
      </c>
      <c r="AE58" s="1609"/>
      <c r="AF58" s="1552"/>
      <c r="AG58" s="1552"/>
      <c r="AH58" s="1480">
        <f t="shared" si="62"/>
        <v>0</v>
      </c>
      <c r="AI58" s="1540" t="e">
        <f t="shared" si="52"/>
        <v>#DIV/0!</v>
      </c>
      <c r="AJ58" s="1590"/>
      <c r="AK58" s="1552"/>
      <c r="AL58" s="1552"/>
      <c r="AM58" s="1480">
        <f t="shared" si="63"/>
        <v>0</v>
      </c>
      <c r="AN58" s="1540" t="e">
        <f t="shared" si="53"/>
        <v>#DIV/0!</v>
      </c>
      <c r="AO58" s="1590"/>
      <c r="AP58" s="1552"/>
      <c r="AQ58" s="1552"/>
      <c r="AR58" s="1480">
        <f t="shared" si="64"/>
        <v>0</v>
      </c>
      <c r="AS58" s="1877">
        <f t="shared" si="54"/>
        <v>0</v>
      </c>
      <c r="AT58" s="1590"/>
      <c r="AU58" s="1432">
        <f t="shared" si="65"/>
        <v>16180.5</v>
      </c>
      <c r="AV58" s="1432">
        <f t="shared" si="65"/>
        <v>26189.5</v>
      </c>
      <c r="AW58" s="1480">
        <f t="shared" si="66"/>
        <v>42370</v>
      </c>
      <c r="AX58" s="1540">
        <f t="shared" si="55"/>
        <v>2.751451527091088E-3</v>
      </c>
      <c r="AY58" s="1460"/>
    </row>
    <row r="59" spans="1:51" ht="14.4" customHeight="1" outlineLevel="2">
      <c r="A59" s="1571"/>
      <c r="B59" s="1412" t="s">
        <v>66</v>
      </c>
      <c r="C59" s="1487">
        <v>10296</v>
      </c>
      <c r="D59" s="1493"/>
      <c r="E59" s="1494">
        <f t="shared" si="56"/>
        <v>10296</v>
      </c>
      <c r="F59" s="1540">
        <f t="shared" si="67"/>
        <v>8.7132163650045541E-4</v>
      </c>
      <c r="G59" s="1552">
        <v>5665.04</v>
      </c>
      <c r="H59" s="1552">
        <v>0</v>
      </c>
      <c r="I59" s="1480">
        <v>5665.04</v>
      </c>
      <c r="J59" s="1539">
        <v>3.9988670863738397E-4</v>
      </c>
      <c r="K59" s="1539"/>
      <c r="L59" s="1552"/>
      <c r="M59" s="1552"/>
      <c r="N59" s="1480">
        <f t="shared" si="57"/>
        <v>0</v>
      </c>
      <c r="O59" s="1540">
        <f t="shared" si="58"/>
        <v>0</v>
      </c>
      <c r="P59" s="1610"/>
      <c r="Q59" s="1552"/>
      <c r="R59" s="1552"/>
      <c r="S59" s="1480">
        <f t="shared" si="59"/>
        <v>0</v>
      </c>
      <c r="T59" s="1540" t="e">
        <f t="shared" si="2"/>
        <v>#DIV/0!</v>
      </c>
      <c r="U59" s="1603"/>
      <c r="V59" s="1552"/>
      <c r="W59" s="1552"/>
      <c r="X59" s="1480">
        <f t="shared" si="60"/>
        <v>0</v>
      </c>
      <c r="Y59" s="1540">
        <f t="shared" si="50"/>
        <v>0</v>
      </c>
      <c r="Z59" s="1603"/>
      <c r="AA59" s="1552"/>
      <c r="AB59" s="1552"/>
      <c r="AC59" s="1480">
        <f t="shared" si="61"/>
        <v>0</v>
      </c>
      <c r="AD59" s="1540" t="e">
        <f t="shared" si="3"/>
        <v>#DIV/0!</v>
      </c>
      <c r="AE59" s="1603"/>
      <c r="AF59" s="1552"/>
      <c r="AG59" s="1552"/>
      <c r="AH59" s="1480">
        <f t="shared" si="62"/>
        <v>0</v>
      </c>
      <c r="AI59" s="1540" t="e">
        <f t="shared" si="52"/>
        <v>#DIV/0!</v>
      </c>
      <c r="AJ59" s="1603"/>
      <c r="AK59" s="1552"/>
      <c r="AL59" s="1552"/>
      <c r="AM59" s="1480">
        <f t="shared" si="63"/>
        <v>0</v>
      </c>
      <c r="AN59" s="1540" t="e">
        <f t="shared" si="53"/>
        <v>#DIV/0!</v>
      </c>
      <c r="AO59" s="1603"/>
      <c r="AP59" s="1552"/>
      <c r="AQ59" s="1552"/>
      <c r="AR59" s="1480">
        <f t="shared" si="64"/>
        <v>0</v>
      </c>
      <c r="AS59" s="1877">
        <f t="shared" si="54"/>
        <v>0</v>
      </c>
      <c r="AT59" s="1912"/>
      <c r="AU59" s="1432">
        <f t="shared" si="65"/>
        <v>5665.04</v>
      </c>
      <c r="AV59" s="1432">
        <f t="shared" si="65"/>
        <v>0</v>
      </c>
      <c r="AW59" s="1480">
        <f t="shared" si="66"/>
        <v>5665.04</v>
      </c>
      <c r="AX59" s="1540">
        <f t="shared" si="55"/>
        <v>3.6788017368496811E-4</v>
      </c>
      <c r="AY59" s="1460"/>
    </row>
    <row r="60" spans="1:51" ht="14.4" customHeight="1" outlineLevel="2">
      <c r="A60" s="1571"/>
      <c r="B60" s="1412" t="s">
        <v>65</v>
      </c>
      <c r="C60" s="1487">
        <v>11616</v>
      </c>
      <c r="D60" s="1493"/>
      <c r="E60" s="1494">
        <f t="shared" si="56"/>
        <v>11616</v>
      </c>
      <c r="F60" s="1540">
        <f t="shared" si="67"/>
        <v>9.8302953861589847E-4</v>
      </c>
      <c r="G60" s="1552">
        <v>6280.43</v>
      </c>
      <c r="H60" s="1552">
        <v>0</v>
      </c>
      <c r="I60" s="1480">
        <v>6280.43</v>
      </c>
      <c r="J60" s="1539">
        <v>4.4332616919341884E-4</v>
      </c>
      <c r="K60" s="1539"/>
      <c r="L60" s="1552"/>
      <c r="M60" s="1552"/>
      <c r="N60" s="1480">
        <f t="shared" si="57"/>
        <v>0</v>
      </c>
      <c r="O60" s="1540">
        <f t="shared" si="58"/>
        <v>0</v>
      </c>
      <c r="P60" s="1603"/>
      <c r="Q60" s="1552"/>
      <c r="R60" s="1552"/>
      <c r="S60" s="1480">
        <f t="shared" si="59"/>
        <v>0</v>
      </c>
      <c r="T60" s="1540" t="e">
        <f t="shared" si="2"/>
        <v>#DIV/0!</v>
      </c>
      <c r="U60" s="1603"/>
      <c r="V60" s="1552"/>
      <c r="W60" s="1552"/>
      <c r="X60" s="1480">
        <f t="shared" si="60"/>
        <v>0</v>
      </c>
      <c r="Y60" s="1540">
        <f t="shared" si="50"/>
        <v>0</v>
      </c>
      <c r="Z60" s="1603"/>
      <c r="AA60" s="1552"/>
      <c r="AB60" s="1552"/>
      <c r="AC60" s="1480">
        <f t="shared" si="61"/>
        <v>0</v>
      </c>
      <c r="AD60" s="1540" t="e">
        <f t="shared" si="3"/>
        <v>#DIV/0!</v>
      </c>
      <c r="AE60" s="1603"/>
      <c r="AF60" s="1552"/>
      <c r="AG60" s="1552"/>
      <c r="AH60" s="1480">
        <f t="shared" si="62"/>
        <v>0</v>
      </c>
      <c r="AI60" s="1540" t="e">
        <f t="shared" si="52"/>
        <v>#DIV/0!</v>
      </c>
      <c r="AJ60" s="1603"/>
      <c r="AK60" s="1552"/>
      <c r="AL60" s="1552"/>
      <c r="AM60" s="1480">
        <f t="shared" si="63"/>
        <v>0</v>
      </c>
      <c r="AN60" s="1540" t="e">
        <f t="shared" si="53"/>
        <v>#DIV/0!</v>
      </c>
      <c r="AO60" s="1603"/>
      <c r="AP60" s="1552"/>
      <c r="AQ60" s="1552"/>
      <c r="AR60" s="1480">
        <f t="shared" si="64"/>
        <v>0</v>
      </c>
      <c r="AS60" s="1877">
        <f t="shared" si="54"/>
        <v>0</v>
      </c>
      <c r="AT60" s="1912"/>
      <c r="AU60" s="1432">
        <f t="shared" si="65"/>
        <v>6280.43</v>
      </c>
      <c r="AV60" s="1432">
        <f t="shared" si="65"/>
        <v>0</v>
      </c>
      <c r="AW60" s="1480">
        <f t="shared" si="66"/>
        <v>6280.43</v>
      </c>
      <c r="AX60" s="1540">
        <f t="shared" si="55"/>
        <v>4.0784278296645464E-4</v>
      </c>
      <c r="AY60" s="1460"/>
    </row>
    <row r="61" spans="1:51" ht="13.95" customHeight="1" outlineLevel="2">
      <c r="A61" s="1571"/>
      <c r="B61" s="1412" t="s">
        <v>32</v>
      </c>
      <c r="C61" s="1487"/>
      <c r="D61" s="1493"/>
      <c r="E61" s="1494">
        <f t="shared" si="56"/>
        <v>0</v>
      </c>
      <c r="F61" s="1540">
        <f t="shared" si="67"/>
        <v>0</v>
      </c>
      <c r="G61" s="1552">
        <v>0</v>
      </c>
      <c r="H61" s="1552">
        <v>0</v>
      </c>
      <c r="I61" s="1480">
        <v>0</v>
      </c>
      <c r="J61" s="1539">
        <v>0</v>
      </c>
      <c r="K61" s="1539"/>
      <c r="L61" s="1552"/>
      <c r="M61" s="1552"/>
      <c r="N61" s="1480">
        <f t="shared" si="57"/>
        <v>0</v>
      </c>
      <c r="O61" s="1540">
        <f t="shared" si="58"/>
        <v>0</v>
      </c>
      <c r="P61" s="1603"/>
      <c r="Q61" s="1552"/>
      <c r="R61" s="1552"/>
      <c r="S61" s="1480">
        <f t="shared" si="59"/>
        <v>0</v>
      </c>
      <c r="T61" s="1540" t="e">
        <f t="shared" si="2"/>
        <v>#DIV/0!</v>
      </c>
      <c r="U61" s="1603"/>
      <c r="V61" s="1552"/>
      <c r="W61" s="1552"/>
      <c r="X61" s="1480">
        <f t="shared" si="60"/>
        <v>0</v>
      </c>
      <c r="Y61" s="1540">
        <f t="shared" si="50"/>
        <v>0</v>
      </c>
      <c r="Z61" s="1603"/>
      <c r="AA61" s="1552"/>
      <c r="AB61" s="1552"/>
      <c r="AC61" s="1480">
        <f t="shared" si="61"/>
        <v>0</v>
      </c>
      <c r="AD61" s="1540" t="e">
        <f t="shared" si="3"/>
        <v>#DIV/0!</v>
      </c>
      <c r="AE61" s="1603"/>
      <c r="AF61" s="1552"/>
      <c r="AG61" s="1552"/>
      <c r="AH61" s="1480">
        <f t="shared" si="62"/>
        <v>0</v>
      </c>
      <c r="AI61" s="1540" t="e">
        <f t="shared" si="52"/>
        <v>#DIV/0!</v>
      </c>
      <c r="AJ61" s="1603"/>
      <c r="AK61" s="1552"/>
      <c r="AL61" s="1552"/>
      <c r="AM61" s="1480">
        <f t="shared" si="63"/>
        <v>0</v>
      </c>
      <c r="AN61" s="1540" t="e">
        <f t="shared" si="53"/>
        <v>#DIV/0!</v>
      </c>
      <c r="AO61" s="1603"/>
      <c r="AP61" s="1552"/>
      <c r="AQ61" s="1552"/>
      <c r="AR61" s="1480">
        <f t="shared" si="64"/>
        <v>0</v>
      </c>
      <c r="AS61" s="1877">
        <f t="shared" si="54"/>
        <v>0</v>
      </c>
      <c r="AT61" s="1912"/>
      <c r="AU61" s="1432">
        <f t="shared" si="65"/>
        <v>0</v>
      </c>
      <c r="AV61" s="1432">
        <f t="shared" si="65"/>
        <v>0</v>
      </c>
      <c r="AW61" s="1480">
        <f t="shared" si="66"/>
        <v>0</v>
      </c>
      <c r="AX61" s="1540">
        <f t="shared" si="55"/>
        <v>0</v>
      </c>
      <c r="AY61" s="1460"/>
    </row>
    <row r="62" spans="1:51" ht="30.6" customHeight="1" outlineLevel="2">
      <c r="A62" s="1571"/>
      <c r="B62" s="1412" t="s">
        <v>33</v>
      </c>
      <c r="C62" s="1487"/>
      <c r="D62" s="1493"/>
      <c r="E62" s="1494">
        <f t="shared" si="56"/>
        <v>0</v>
      </c>
      <c r="F62" s="1540">
        <f t="shared" si="67"/>
        <v>0</v>
      </c>
      <c r="G62" s="1552">
        <v>0</v>
      </c>
      <c r="H62" s="1552">
        <v>0</v>
      </c>
      <c r="I62" s="1480">
        <v>0</v>
      </c>
      <c r="J62" s="1539">
        <v>0</v>
      </c>
      <c r="K62" s="1539"/>
      <c r="L62" s="1552"/>
      <c r="M62" s="1552"/>
      <c r="N62" s="1480">
        <f t="shared" si="57"/>
        <v>0</v>
      </c>
      <c r="O62" s="1540">
        <f t="shared" si="58"/>
        <v>0</v>
      </c>
      <c r="P62" s="1603"/>
      <c r="Q62" s="1552"/>
      <c r="R62" s="1552"/>
      <c r="S62" s="1480">
        <f t="shared" si="59"/>
        <v>0</v>
      </c>
      <c r="T62" s="1540" t="e">
        <f t="shared" si="2"/>
        <v>#DIV/0!</v>
      </c>
      <c r="U62" s="1603"/>
      <c r="V62" s="1552"/>
      <c r="W62" s="1552"/>
      <c r="X62" s="1480">
        <f t="shared" si="60"/>
        <v>0</v>
      </c>
      <c r="Y62" s="1540">
        <f t="shared" si="50"/>
        <v>0</v>
      </c>
      <c r="Z62" s="1603"/>
      <c r="AA62" s="1552"/>
      <c r="AB62" s="1552"/>
      <c r="AC62" s="1480">
        <f t="shared" si="61"/>
        <v>0</v>
      </c>
      <c r="AD62" s="1540" t="e">
        <f t="shared" si="3"/>
        <v>#DIV/0!</v>
      </c>
      <c r="AE62" s="1603"/>
      <c r="AF62" s="1552"/>
      <c r="AG62" s="1552"/>
      <c r="AH62" s="1480">
        <f t="shared" si="62"/>
        <v>0</v>
      </c>
      <c r="AI62" s="1540" t="e">
        <f t="shared" si="52"/>
        <v>#DIV/0!</v>
      </c>
      <c r="AJ62" s="1603"/>
      <c r="AK62" s="1552"/>
      <c r="AL62" s="1552"/>
      <c r="AM62" s="1480">
        <f t="shared" si="63"/>
        <v>0</v>
      </c>
      <c r="AN62" s="1540" t="e">
        <f t="shared" si="53"/>
        <v>#DIV/0!</v>
      </c>
      <c r="AO62" s="1603"/>
      <c r="AP62" s="1552"/>
      <c r="AQ62" s="1552"/>
      <c r="AR62" s="1480">
        <f t="shared" si="64"/>
        <v>0</v>
      </c>
      <c r="AS62" s="1877">
        <f t="shared" si="54"/>
        <v>0</v>
      </c>
      <c r="AT62" s="1912"/>
      <c r="AU62" s="1432">
        <f t="shared" si="65"/>
        <v>0</v>
      </c>
      <c r="AV62" s="1432">
        <f t="shared" si="65"/>
        <v>0</v>
      </c>
      <c r="AW62" s="1480">
        <f t="shared" si="66"/>
        <v>0</v>
      </c>
      <c r="AX62" s="1540">
        <f t="shared" si="55"/>
        <v>0</v>
      </c>
      <c r="AY62" s="1460"/>
    </row>
    <row r="63" spans="1:51" ht="13.8" outlineLevel="2">
      <c r="A63" s="1571"/>
      <c r="B63" s="1412" t="s">
        <v>35</v>
      </c>
      <c r="C63" s="1487">
        <v>48000</v>
      </c>
      <c r="D63" s="1493"/>
      <c r="E63" s="1494">
        <f t="shared" si="56"/>
        <v>48000</v>
      </c>
      <c r="F63" s="1540">
        <f t="shared" si="67"/>
        <v>4.0621055314706547E-3</v>
      </c>
      <c r="G63" s="1552">
        <v>6268.7800000000007</v>
      </c>
      <c r="H63" s="1552">
        <v>0</v>
      </c>
      <c r="I63" s="1480">
        <v>6268.7800000000007</v>
      </c>
      <c r="J63" s="1539">
        <v>4.4250381310138322E-4</v>
      </c>
      <c r="K63" s="1539"/>
      <c r="L63" s="1552"/>
      <c r="M63" s="1552"/>
      <c r="N63" s="1480">
        <f t="shared" si="57"/>
        <v>0</v>
      </c>
      <c r="O63" s="1540">
        <f t="shared" si="58"/>
        <v>0</v>
      </c>
      <c r="P63" s="1610"/>
      <c r="Q63" s="1552"/>
      <c r="R63" s="1552"/>
      <c r="S63" s="1480">
        <f t="shared" si="59"/>
        <v>0</v>
      </c>
      <c r="T63" s="1540" t="e">
        <f t="shared" si="2"/>
        <v>#DIV/0!</v>
      </c>
      <c r="U63" s="1610"/>
      <c r="V63" s="1552"/>
      <c r="W63" s="1552"/>
      <c r="X63" s="1480">
        <f t="shared" si="60"/>
        <v>0</v>
      </c>
      <c r="Y63" s="1540">
        <f t="shared" si="50"/>
        <v>0</v>
      </c>
      <c r="Z63" s="1610"/>
      <c r="AA63" s="1552"/>
      <c r="AB63" s="1552"/>
      <c r="AC63" s="1480">
        <f t="shared" si="61"/>
        <v>0</v>
      </c>
      <c r="AD63" s="1540" t="e">
        <f t="shared" si="3"/>
        <v>#DIV/0!</v>
      </c>
      <c r="AE63" s="1610"/>
      <c r="AF63" s="1552"/>
      <c r="AG63" s="1552"/>
      <c r="AH63" s="1480">
        <f t="shared" si="62"/>
        <v>0</v>
      </c>
      <c r="AI63" s="1540" t="e">
        <f t="shared" si="52"/>
        <v>#DIV/0!</v>
      </c>
      <c r="AJ63" s="1590"/>
      <c r="AK63" s="1552"/>
      <c r="AL63" s="1552"/>
      <c r="AM63" s="1480">
        <f t="shared" si="63"/>
        <v>0</v>
      </c>
      <c r="AN63" s="1540" t="e">
        <f t="shared" si="53"/>
        <v>#DIV/0!</v>
      </c>
      <c r="AO63" s="1703"/>
      <c r="AP63" s="1552"/>
      <c r="AQ63" s="1552"/>
      <c r="AR63" s="1480">
        <f t="shared" si="64"/>
        <v>0</v>
      </c>
      <c r="AS63" s="1877">
        <f t="shared" si="54"/>
        <v>0</v>
      </c>
      <c r="AT63" s="1703"/>
      <c r="AU63" s="1432">
        <f t="shared" si="65"/>
        <v>6268.7800000000007</v>
      </c>
      <c r="AV63" s="1432">
        <f t="shared" si="65"/>
        <v>0</v>
      </c>
      <c r="AW63" s="1480">
        <f t="shared" si="66"/>
        <v>6268.7800000000007</v>
      </c>
      <c r="AX63" s="1540">
        <f t="shared" si="55"/>
        <v>4.0708624743918039E-4</v>
      </c>
      <c r="AY63" s="1460"/>
    </row>
    <row r="64" spans="1:51" ht="31.2" customHeight="1" outlineLevel="2">
      <c r="A64" s="1571"/>
      <c r="B64" s="1412" t="s">
        <v>63</v>
      </c>
      <c r="C64" s="1487"/>
      <c r="D64" s="1493"/>
      <c r="E64" s="1494">
        <f t="shared" si="56"/>
        <v>0</v>
      </c>
      <c r="F64" s="1540">
        <f t="shared" si="67"/>
        <v>0</v>
      </c>
      <c r="G64" s="1552">
        <v>0</v>
      </c>
      <c r="H64" s="1552">
        <v>0</v>
      </c>
      <c r="I64" s="1480">
        <v>0</v>
      </c>
      <c r="J64" s="1539">
        <v>0</v>
      </c>
      <c r="K64" s="1539"/>
      <c r="L64" s="1552"/>
      <c r="M64" s="1552"/>
      <c r="N64" s="1480">
        <f t="shared" si="57"/>
        <v>0</v>
      </c>
      <c r="O64" s="1540">
        <f t="shared" si="58"/>
        <v>0</v>
      </c>
      <c r="P64" s="1610"/>
      <c r="Q64" s="1552"/>
      <c r="R64" s="1552"/>
      <c r="S64" s="1480">
        <f t="shared" si="59"/>
        <v>0</v>
      </c>
      <c r="T64" s="1540" t="e">
        <f t="shared" si="2"/>
        <v>#DIV/0!</v>
      </c>
      <c r="U64" s="1610"/>
      <c r="V64" s="1552"/>
      <c r="W64" s="1552"/>
      <c r="X64" s="1480">
        <f t="shared" si="60"/>
        <v>0</v>
      </c>
      <c r="Y64" s="1540">
        <f t="shared" si="50"/>
        <v>0</v>
      </c>
      <c r="Z64" s="1610"/>
      <c r="AA64" s="1552"/>
      <c r="AB64" s="1552"/>
      <c r="AC64" s="1480">
        <f t="shared" si="61"/>
        <v>0</v>
      </c>
      <c r="AD64" s="1540" t="e">
        <f t="shared" si="3"/>
        <v>#DIV/0!</v>
      </c>
      <c r="AE64" s="1610"/>
      <c r="AF64" s="1552"/>
      <c r="AG64" s="1552"/>
      <c r="AH64" s="1480">
        <f t="shared" si="62"/>
        <v>0</v>
      </c>
      <c r="AI64" s="1540" t="e">
        <f t="shared" si="52"/>
        <v>#DIV/0!</v>
      </c>
      <c r="AJ64" s="1610"/>
      <c r="AK64" s="1552"/>
      <c r="AL64" s="1552"/>
      <c r="AM64" s="1480">
        <f t="shared" si="63"/>
        <v>0</v>
      </c>
      <c r="AN64" s="1540" t="e">
        <f t="shared" si="53"/>
        <v>#DIV/0!</v>
      </c>
      <c r="AO64" s="1610"/>
      <c r="AP64" s="1552"/>
      <c r="AQ64" s="1552"/>
      <c r="AR64" s="1480">
        <f t="shared" si="64"/>
        <v>0</v>
      </c>
      <c r="AS64" s="1877">
        <f t="shared" si="54"/>
        <v>0</v>
      </c>
      <c r="AT64" s="1946"/>
      <c r="AU64" s="1432">
        <f t="shared" si="65"/>
        <v>0</v>
      </c>
      <c r="AV64" s="1432">
        <f t="shared" si="65"/>
        <v>0</v>
      </c>
      <c r="AW64" s="1480">
        <f t="shared" si="66"/>
        <v>0</v>
      </c>
      <c r="AX64" s="1540">
        <f t="shared" si="55"/>
        <v>0</v>
      </c>
      <c r="AY64" s="1460"/>
    </row>
    <row r="65" spans="1:51" ht="13.8" outlineLevel="2">
      <c r="A65" s="1571"/>
      <c r="B65" s="1412" t="s">
        <v>36</v>
      </c>
      <c r="C65" s="1487"/>
      <c r="D65" s="1493"/>
      <c r="E65" s="1494">
        <f t="shared" si="56"/>
        <v>0</v>
      </c>
      <c r="F65" s="1540">
        <f t="shared" si="67"/>
        <v>0</v>
      </c>
      <c r="G65" s="1432">
        <v>3290</v>
      </c>
      <c r="H65" s="1432">
        <v>1000</v>
      </c>
      <c r="I65" s="1480">
        <v>4290</v>
      </c>
      <c r="J65" s="1539">
        <v>3.0282468968522325E-4</v>
      </c>
      <c r="K65" s="1539"/>
      <c r="L65" s="1432"/>
      <c r="M65" s="1432"/>
      <c r="N65" s="1480">
        <f t="shared" si="57"/>
        <v>0</v>
      </c>
      <c r="O65" s="1540">
        <f t="shared" si="58"/>
        <v>0</v>
      </c>
      <c r="P65" s="1590"/>
      <c r="Q65" s="1432"/>
      <c r="R65" s="1432"/>
      <c r="S65" s="1480">
        <f t="shared" si="59"/>
        <v>0</v>
      </c>
      <c r="T65" s="1540" t="e">
        <f t="shared" si="2"/>
        <v>#DIV/0!</v>
      </c>
      <c r="U65" s="1590"/>
      <c r="V65" s="1432"/>
      <c r="W65" s="1432"/>
      <c r="X65" s="1480">
        <f t="shared" si="60"/>
        <v>0</v>
      </c>
      <c r="Y65" s="1540">
        <f t="shared" si="50"/>
        <v>0</v>
      </c>
      <c r="Z65" s="1590"/>
      <c r="AA65" s="1432"/>
      <c r="AB65" s="1432"/>
      <c r="AC65" s="1480">
        <f t="shared" si="61"/>
        <v>0</v>
      </c>
      <c r="AD65" s="1540" t="e">
        <f t="shared" si="3"/>
        <v>#DIV/0!</v>
      </c>
      <c r="AE65" s="1590"/>
      <c r="AF65" s="1432"/>
      <c r="AG65" s="1432"/>
      <c r="AH65" s="1480">
        <f t="shared" si="62"/>
        <v>0</v>
      </c>
      <c r="AI65" s="1540" t="e">
        <f t="shared" si="52"/>
        <v>#DIV/0!</v>
      </c>
      <c r="AJ65" s="1590"/>
      <c r="AK65" s="1432"/>
      <c r="AL65" s="1432"/>
      <c r="AM65" s="1480">
        <f t="shared" si="63"/>
        <v>0</v>
      </c>
      <c r="AN65" s="1540" t="e">
        <f t="shared" si="53"/>
        <v>#DIV/0!</v>
      </c>
      <c r="AO65" s="1590"/>
      <c r="AP65" s="1432"/>
      <c r="AQ65" s="1432"/>
      <c r="AR65" s="1480">
        <f t="shared" si="64"/>
        <v>0</v>
      </c>
      <c r="AS65" s="1877">
        <f t="shared" si="54"/>
        <v>0</v>
      </c>
      <c r="AT65" s="1590"/>
      <c r="AU65" s="1432">
        <f t="shared" si="65"/>
        <v>3290</v>
      </c>
      <c r="AV65" s="1432">
        <f t="shared" si="65"/>
        <v>1000</v>
      </c>
      <c r="AW65" s="1480">
        <f t="shared" si="66"/>
        <v>4290</v>
      </c>
      <c r="AX65" s="1540">
        <f t="shared" si="55"/>
        <v>2.7858690231816777E-4</v>
      </c>
      <c r="AY65" s="1460"/>
    </row>
    <row r="66" spans="1:51" s="1396" customFormat="1" ht="13.95" customHeight="1" outlineLevel="2">
      <c r="A66" s="1571"/>
      <c r="B66" s="1412" t="s">
        <v>37</v>
      </c>
      <c r="C66" s="1487"/>
      <c r="D66" s="1493"/>
      <c r="E66" s="1494">
        <f t="shared" si="56"/>
        <v>0</v>
      </c>
      <c r="F66" s="1540">
        <f t="shared" si="67"/>
        <v>0</v>
      </c>
      <c r="G66" s="1432">
        <v>0</v>
      </c>
      <c r="H66" s="1432">
        <v>0</v>
      </c>
      <c r="I66" s="1480">
        <v>0</v>
      </c>
      <c r="J66" s="1539">
        <v>0</v>
      </c>
      <c r="K66" s="1539"/>
      <c r="L66" s="1432"/>
      <c r="M66" s="1432"/>
      <c r="N66" s="1480">
        <f t="shared" si="57"/>
        <v>0</v>
      </c>
      <c r="O66" s="1540">
        <f t="shared" si="58"/>
        <v>0</v>
      </c>
      <c r="P66" s="1460"/>
      <c r="Q66" s="1432"/>
      <c r="R66" s="1432"/>
      <c r="S66" s="1480">
        <f t="shared" si="59"/>
        <v>0</v>
      </c>
      <c r="T66" s="1540" t="e">
        <f t="shared" si="2"/>
        <v>#DIV/0!</v>
      </c>
      <c r="U66" s="1460"/>
      <c r="V66" s="1432"/>
      <c r="W66" s="1432"/>
      <c r="X66" s="1480">
        <f t="shared" si="60"/>
        <v>0</v>
      </c>
      <c r="Y66" s="1540">
        <f t="shared" si="50"/>
        <v>0</v>
      </c>
      <c r="Z66" s="1460"/>
      <c r="AA66" s="1432"/>
      <c r="AB66" s="1432"/>
      <c r="AC66" s="1480">
        <f t="shared" si="61"/>
        <v>0</v>
      </c>
      <c r="AD66" s="1540" t="e">
        <f t="shared" si="3"/>
        <v>#DIV/0!</v>
      </c>
      <c r="AE66" s="1460"/>
      <c r="AF66" s="1432"/>
      <c r="AG66" s="1432"/>
      <c r="AH66" s="1480">
        <f t="shared" si="62"/>
        <v>0</v>
      </c>
      <c r="AI66" s="1540" t="e">
        <f t="shared" si="52"/>
        <v>#DIV/0!</v>
      </c>
      <c r="AJ66" s="1460"/>
      <c r="AK66" s="1432"/>
      <c r="AL66" s="1432"/>
      <c r="AM66" s="1480">
        <f t="shared" si="63"/>
        <v>0</v>
      </c>
      <c r="AN66" s="1540" t="e">
        <f t="shared" si="53"/>
        <v>#DIV/0!</v>
      </c>
      <c r="AO66" s="1460"/>
      <c r="AP66" s="1432"/>
      <c r="AQ66" s="1432"/>
      <c r="AR66" s="1480">
        <f t="shared" si="64"/>
        <v>0</v>
      </c>
      <c r="AS66" s="1877">
        <f t="shared" si="54"/>
        <v>0</v>
      </c>
      <c r="AT66" s="1927"/>
      <c r="AU66" s="1432">
        <f t="shared" si="65"/>
        <v>0</v>
      </c>
      <c r="AV66" s="1432">
        <f t="shared" si="65"/>
        <v>0</v>
      </c>
      <c r="AW66" s="1480">
        <f t="shared" si="66"/>
        <v>0</v>
      </c>
      <c r="AX66" s="1540">
        <f t="shared" si="55"/>
        <v>0</v>
      </c>
      <c r="AY66" s="1460"/>
    </row>
    <row r="67" spans="1:51" s="1396" customFormat="1" ht="102" customHeight="1" outlineLevel="2">
      <c r="A67" s="1571"/>
      <c r="B67" s="1412" t="s">
        <v>3</v>
      </c>
      <c r="C67" s="1487"/>
      <c r="D67" s="1501"/>
      <c r="E67" s="1494">
        <f t="shared" si="56"/>
        <v>0</v>
      </c>
      <c r="F67" s="1540">
        <f t="shared" si="67"/>
        <v>0</v>
      </c>
      <c r="G67" s="1432">
        <v>0</v>
      </c>
      <c r="H67" s="1432">
        <v>0</v>
      </c>
      <c r="I67" s="1480">
        <v>0</v>
      </c>
      <c r="J67" s="1539">
        <v>0</v>
      </c>
      <c r="K67" s="1539"/>
      <c r="L67" s="1432"/>
      <c r="M67" s="1432"/>
      <c r="N67" s="1480">
        <f t="shared" si="57"/>
        <v>0</v>
      </c>
      <c r="O67" s="1540">
        <f t="shared" si="58"/>
        <v>0</v>
      </c>
      <c r="P67" s="1460"/>
      <c r="Q67" s="1432"/>
      <c r="R67" s="1432"/>
      <c r="S67" s="1480">
        <f t="shared" si="59"/>
        <v>0</v>
      </c>
      <c r="T67" s="1540" t="e">
        <f t="shared" si="2"/>
        <v>#DIV/0!</v>
      </c>
      <c r="U67" s="1460"/>
      <c r="V67" s="1432"/>
      <c r="W67" s="1432"/>
      <c r="X67" s="1480">
        <f t="shared" si="60"/>
        <v>0</v>
      </c>
      <c r="Y67" s="1540">
        <f t="shared" si="50"/>
        <v>0</v>
      </c>
      <c r="Z67" s="1460"/>
      <c r="AA67" s="1432"/>
      <c r="AB67" s="1432"/>
      <c r="AC67" s="1480">
        <f t="shared" si="61"/>
        <v>0</v>
      </c>
      <c r="AD67" s="1540" t="e">
        <f t="shared" si="3"/>
        <v>#DIV/0!</v>
      </c>
      <c r="AE67" s="1460"/>
      <c r="AF67" s="1432"/>
      <c r="AG67" s="1432"/>
      <c r="AH67" s="1480">
        <f t="shared" si="62"/>
        <v>0</v>
      </c>
      <c r="AI67" s="1540" t="e">
        <f t="shared" si="52"/>
        <v>#DIV/0!</v>
      </c>
      <c r="AJ67" s="1460"/>
      <c r="AK67" s="1432"/>
      <c r="AL67" s="1432"/>
      <c r="AM67" s="1480">
        <f t="shared" si="63"/>
        <v>0</v>
      </c>
      <c r="AN67" s="1540" t="e">
        <f t="shared" si="53"/>
        <v>#DIV/0!</v>
      </c>
      <c r="AO67" s="1591"/>
      <c r="AP67" s="1432"/>
      <c r="AQ67" s="1432"/>
      <c r="AR67" s="1480">
        <f t="shared" si="64"/>
        <v>0</v>
      </c>
      <c r="AS67" s="1877">
        <f t="shared" si="54"/>
        <v>0</v>
      </c>
      <c r="AT67" s="1942"/>
      <c r="AU67" s="1432">
        <f t="shared" si="65"/>
        <v>0</v>
      </c>
      <c r="AV67" s="1432">
        <f t="shared" si="65"/>
        <v>0</v>
      </c>
      <c r="AW67" s="1480">
        <f t="shared" si="66"/>
        <v>0</v>
      </c>
      <c r="AX67" s="1540">
        <f t="shared" si="55"/>
        <v>0</v>
      </c>
      <c r="AY67" s="1460"/>
    </row>
    <row r="68" spans="1:51" s="1396" customFormat="1" ht="13.95" customHeight="1" outlineLevel="2">
      <c r="A68" s="1571"/>
      <c r="B68" s="1412" t="s">
        <v>5</v>
      </c>
      <c r="C68" s="1487"/>
      <c r="D68" s="1501">
        <v>2000</v>
      </c>
      <c r="E68" s="1494">
        <f t="shared" si="56"/>
        <v>2000</v>
      </c>
      <c r="F68" s="1540">
        <f t="shared" si="67"/>
        <v>1.6925439714461063E-4</v>
      </c>
      <c r="G68" s="1432">
        <v>0</v>
      </c>
      <c r="H68" s="1432">
        <v>15185.77</v>
      </c>
      <c r="I68" s="1480">
        <v>15185.77</v>
      </c>
      <c r="J68" s="1539">
        <v>1.0719408130259146E-3</v>
      </c>
      <c r="K68" s="1539"/>
      <c r="L68" s="1432"/>
      <c r="M68" s="1432"/>
      <c r="N68" s="1480">
        <f t="shared" si="57"/>
        <v>0</v>
      </c>
      <c r="O68" s="1540">
        <f t="shared" si="58"/>
        <v>0</v>
      </c>
      <c r="P68" s="1460"/>
      <c r="Q68" s="1432"/>
      <c r="R68" s="1432"/>
      <c r="S68" s="1480">
        <f t="shared" si="59"/>
        <v>0</v>
      </c>
      <c r="T68" s="1540" t="e">
        <f t="shared" si="2"/>
        <v>#DIV/0!</v>
      </c>
      <c r="U68" s="1460"/>
      <c r="V68" s="1432"/>
      <c r="W68" s="1432"/>
      <c r="X68" s="1480">
        <f t="shared" si="60"/>
        <v>0</v>
      </c>
      <c r="Y68" s="1540">
        <f t="shared" si="50"/>
        <v>0</v>
      </c>
      <c r="Z68" s="1460"/>
      <c r="AA68" s="1432"/>
      <c r="AB68" s="1432"/>
      <c r="AC68" s="1480">
        <f t="shared" si="61"/>
        <v>0</v>
      </c>
      <c r="AD68" s="1540" t="e">
        <f t="shared" si="3"/>
        <v>#DIV/0!</v>
      </c>
      <c r="AE68" s="1460"/>
      <c r="AF68" s="1432"/>
      <c r="AG68" s="1432"/>
      <c r="AH68" s="1480">
        <f t="shared" si="62"/>
        <v>0</v>
      </c>
      <c r="AI68" s="1540" t="e">
        <f t="shared" si="52"/>
        <v>#DIV/0!</v>
      </c>
      <c r="AJ68" s="1460"/>
      <c r="AK68" s="1432"/>
      <c r="AL68" s="1432"/>
      <c r="AM68" s="1480">
        <f t="shared" si="63"/>
        <v>0</v>
      </c>
      <c r="AN68" s="1540" t="e">
        <f t="shared" si="53"/>
        <v>#DIV/0!</v>
      </c>
      <c r="AO68" s="1460"/>
      <c r="AP68" s="1432"/>
      <c r="AQ68" s="1432"/>
      <c r="AR68" s="1480">
        <f t="shared" si="64"/>
        <v>0</v>
      </c>
      <c r="AS68" s="1877">
        <f t="shared" si="54"/>
        <v>0</v>
      </c>
      <c r="AT68" s="1927"/>
      <c r="AU68" s="1432">
        <f t="shared" si="65"/>
        <v>0</v>
      </c>
      <c r="AV68" s="1432">
        <f t="shared" si="65"/>
        <v>15185.77</v>
      </c>
      <c r="AW68" s="1480">
        <f t="shared" si="66"/>
        <v>15185.77</v>
      </c>
      <c r="AX68" s="1540">
        <f t="shared" si="55"/>
        <v>9.8614373510866262E-4</v>
      </c>
      <c r="AY68" s="1460"/>
    </row>
    <row r="69" spans="1:51" s="1396" customFormat="1" ht="13.8" outlineLevel="2">
      <c r="A69" s="1571"/>
      <c r="B69" s="1412" t="s">
        <v>42</v>
      </c>
      <c r="C69" s="1487"/>
      <c r="D69" s="1501"/>
      <c r="E69" s="1494">
        <f t="shared" si="56"/>
        <v>0</v>
      </c>
      <c r="F69" s="1540">
        <f t="shared" si="67"/>
        <v>0</v>
      </c>
      <c r="G69" s="1432">
        <v>0</v>
      </c>
      <c r="H69" s="1432">
        <v>0</v>
      </c>
      <c r="I69" s="1480">
        <v>0</v>
      </c>
      <c r="J69" s="1539">
        <v>0</v>
      </c>
      <c r="K69" s="1539"/>
      <c r="L69" s="1432"/>
      <c r="M69" s="1432"/>
      <c r="N69" s="1480">
        <f t="shared" si="57"/>
        <v>0</v>
      </c>
      <c r="O69" s="1540">
        <f t="shared" si="58"/>
        <v>0</v>
      </c>
      <c r="P69" s="1590"/>
      <c r="Q69" s="1432"/>
      <c r="R69" s="1432"/>
      <c r="S69" s="1480">
        <f t="shared" si="59"/>
        <v>0</v>
      </c>
      <c r="T69" s="1540" t="e">
        <f t="shared" si="2"/>
        <v>#DIV/0!</v>
      </c>
      <c r="U69" s="1590"/>
      <c r="V69" s="1432"/>
      <c r="W69" s="1432"/>
      <c r="X69" s="1480">
        <f t="shared" si="60"/>
        <v>0</v>
      </c>
      <c r="Y69" s="1540">
        <f t="shared" si="50"/>
        <v>0</v>
      </c>
      <c r="Z69" s="1590"/>
      <c r="AA69" s="1432"/>
      <c r="AB69" s="1432"/>
      <c r="AC69" s="1480">
        <f t="shared" si="61"/>
        <v>0</v>
      </c>
      <c r="AD69" s="1540" t="e">
        <f t="shared" si="3"/>
        <v>#DIV/0!</v>
      </c>
      <c r="AE69" s="1590"/>
      <c r="AF69" s="1432"/>
      <c r="AG69" s="1432"/>
      <c r="AH69" s="1480">
        <f t="shared" si="62"/>
        <v>0</v>
      </c>
      <c r="AI69" s="1540" t="e">
        <f t="shared" si="52"/>
        <v>#DIV/0!</v>
      </c>
      <c r="AJ69" s="1590"/>
      <c r="AK69" s="1432"/>
      <c r="AL69" s="1432"/>
      <c r="AM69" s="1480">
        <f t="shared" si="63"/>
        <v>0</v>
      </c>
      <c r="AN69" s="1540" t="e">
        <f t="shared" si="53"/>
        <v>#DIV/0!</v>
      </c>
      <c r="AO69" s="1590"/>
      <c r="AP69" s="1432"/>
      <c r="AQ69" s="1432"/>
      <c r="AR69" s="1480">
        <f t="shared" si="64"/>
        <v>0</v>
      </c>
      <c r="AS69" s="1877">
        <f t="shared" si="54"/>
        <v>0</v>
      </c>
      <c r="AT69" s="1590"/>
      <c r="AU69" s="1432">
        <f t="shared" si="65"/>
        <v>0</v>
      </c>
      <c r="AV69" s="1432">
        <f t="shared" si="65"/>
        <v>0</v>
      </c>
      <c r="AW69" s="1480">
        <f t="shared" si="66"/>
        <v>0</v>
      </c>
      <c r="AX69" s="1540">
        <f t="shared" si="55"/>
        <v>0</v>
      </c>
      <c r="AY69" s="1460"/>
    </row>
    <row r="70" spans="1:51" s="1396" customFormat="1" ht="34.950000000000003" customHeight="1" outlineLevel="2">
      <c r="A70" s="1571"/>
      <c r="B70" s="1412" t="s">
        <v>6</v>
      </c>
      <c r="C70" s="1487"/>
      <c r="D70" s="1501"/>
      <c r="E70" s="1494">
        <f t="shared" si="56"/>
        <v>0</v>
      </c>
      <c r="F70" s="1540">
        <f t="shared" si="67"/>
        <v>0</v>
      </c>
      <c r="G70" s="1432">
        <v>0</v>
      </c>
      <c r="H70" s="1432">
        <v>0</v>
      </c>
      <c r="I70" s="1480">
        <v>0</v>
      </c>
      <c r="J70" s="1539">
        <v>0</v>
      </c>
      <c r="K70" s="1539"/>
      <c r="L70" s="1432"/>
      <c r="M70" s="1432"/>
      <c r="N70" s="1480">
        <f t="shared" si="57"/>
        <v>0</v>
      </c>
      <c r="O70" s="1540">
        <f t="shared" si="58"/>
        <v>0</v>
      </c>
      <c r="P70" s="1460"/>
      <c r="Q70" s="1432"/>
      <c r="R70" s="1432"/>
      <c r="S70" s="1480">
        <f t="shared" si="59"/>
        <v>0</v>
      </c>
      <c r="T70" s="1540" t="e">
        <f t="shared" si="2"/>
        <v>#DIV/0!</v>
      </c>
      <c r="U70" s="1460"/>
      <c r="V70" s="1432"/>
      <c r="W70" s="1432"/>
      <c r="X70" s="1480">
        <f t="shared" si="60"/>
        <v>0</v>
      </c>
      <c r="Y70" s="1540">
        <f t="shared" si="50"/>
        <v>0</v>
      </c>
      <c r="Z70" s="1460"/>
      <c r="AA70" s="1432"/>
      <c r="AB70" s="1432"/>
      <c r="AC70" s="1480">
        <f t="shared" si="61"/>
        <v>0</v>
      </c>
      <c r="AD70" s="1540" t="e">
        <f t="shared" si="3"/>
        <v>#DIV/0!</v>
      </c>
      <c r="AE70" s="1460"/>
      <c r="AF70" s="1432"/>
      <c r="AG70" s="1432"/>
      <c r="AH70" s="1480">
        <f t="shared" si="62"/>
        <v>0</v>
      </c>
      <c r="AI70" s="1540" t="e">
        <f t="shared" si="52"/>
        <v>#DIV/0!</v>
      </c>
      <c r="AJ70" s="1460"/>
      <c r="AK70" s="1432"/>
      <c r="AL70" s="1432"/>
      <c r="AM70" s="1480">
        <f t="shared" si="63"/>
        <v>0</v>
      </c>
      <c r="AN70" s="1540" t="e">
        <f t="shared" si="53"/>
        <v>#DIV/0!</v>
      </c>
      <c r="AO70" s="1591"/>
      <c r="AP70" s="1432"/>
      <c r="AQ70" s="1432"/>
      <c r="AR70" s="1480">
        <f t="shared" si="64"/>
        <v>0</v>
      </c>
      <c r="AS70" s="1877">
        <f t="shared" si="54"/>
        <v>0</v>
      </c>
      <c r="AT70" s="1942"/>
      <c r="AU70" s="1432">
        <f t="shared" si="65"/>
        <v>0</v>
      </c>
      <c r="AV70" s="1432">
        <f t="shared" si="65"/>
        <v>0</v>
      </c>
      <c r="AW70" s="1480">
        <f t="shared" si="66"/>
        <v>0</v>
      </c>
      <c r="AX70" s="1540">
        <f t="shared" si="55"/>
        <v>0</v>
      </c>
      <c r="AY70" s="1460"/>
    </row>
    <row r="71" spans="1:51" s="1396" customFormat="1" ht="22.2" customHeight="1" outlineLevel="2">
      <c r="A71" s="1571"/>
      <c r="B71" s="1412" t="s">
        <v>818</v>
      </c>
      <c r="C71" s="1487"/>
      <c r="D71" s="1501"/>
      <c r="E71" s="1494">
        <f t="shared" si="56"/>
        <v>0</v>
      </c>
      <c r="F71" s="1545">
        <f t="shared" si="67"/>
        <v>0</v>
      </c>
      <c r="G71" s="1432">
        <v>0</v>
      </c>
      <c r="H71" s="1432">
        <v>1225</v>
      </c>
      <c r="I71" s="1480">
        <v>1225</v>
      </c>
      <c r="J71" s="1690">
        <v>8.6470919548810838E-5</v>
      </c>
      <c r="K71" s="1690"/>
      <c r="L71" s="1432"/>
      <c r="M71" s="1432"/>
      <c r="N71" s="1480">
        <f t="shared" si="57"/>
        <v>0</v>
      </c>
      <c r="O71" s="1540">
        <f t="shared" si="58"/>
        <v>0</v>
      </c>
      <c r="P71" s="1460"/>
      <c r="Q71" s="1432"/>
      <c r="R71" s="1432"/>
      <c r="S71" s="1480">
        <f t="shared" si="59"/>
        <v>0</v>
      </c>
      <c r="T71" s="1540" t="e">
        <f t="shared" si="2"/>
        <v>#DIV/0!</v>
      </c>
      <c r="U71" s="1460"/>
      <c r="V71" s="1432"/>
      <c r="W71" s="1432"/>
      <c r="X71" s="1480">
        <f t="shared" si="60"/>
        <v>0</v>
      </c>
      <c r="Y71" s="1540">
        <f t="shared" si="50"/>
        <v>0</v>
      </c>
      <c r="Z71" s="1460"/>
      <c r="AA71" s="1432"/>
      <c r="AB71" s="1432"/>
      <c r="AC71" s="1480">
        <f t="shared" si="61"/>
        <v>0</v>
      </c>
      <c r="AD71" s="1540" t="e">
        <f t="shared" si="3"/>
        <v>#DIV/0!</v>
      </c>
      <c r="AE71" s="1460"/>
      <c r="AF71" s="1432"/>
      <c r="AG71" s="1432"/>
      <c r="AH71" s="1480">
        <f t="shared" si="62"/>
        <v>0</v>
      </c>
      <c r="AI71" s="1540" t="e">
        <f t="shared" si="52"/>
        <v>#DIV/0!</v>
      </c>
      <c r="AJ71" s="1460"/>
      <c r="AK71" s="1432"/>
      <c r="AL71" s="1432"/>
      <c r="AM71" s="1480">
        <f t="shared" si="63"/>
        <v>0</v>
      </c>
      <c r="AN71" s="1540" t="e">
        <f t="shared" si="53"/>
        <v>#DIV/0!</v>
      </c>
      <c r="AO71" s="1460"/>
      <c r="AP71" s="1432"/>
      <c r="AQ71" s="1432"/>
      <c r="AR71" s="1480">
        <f t="shared" si="64"/>
        <v>0</v>
      </c>
      <c r="AS71" s="1877">
        <f t="shared" si="54"/>
        <v>0</v>
      </c>
      <c r="AT71" s="1927"/>
      <c r="AU71" s="1432">
        <f>G71+L71+Q71+V71+AA71+AF71+AK71+AP71</f>
        <v>0</v>
      </c>
      <c r="AV71" s="1432">
        <f>H71+M71+R71+W71+AB71+AG71+AL71+AQ71</f>
        <v>1225</v>
      </c>
      <c r="AW71" s="1480">
        <f t="shared" si="66"/>
        <v>1225</v>
      </c>
      <c r="AX71" s="1540">
        <f t="shared" si="55"/>
        <v>7.9549873039570047E-5</v>
      </c>
      <c r="AY71" s="1460"/>
    </row>
    <row r="72" spans="1:51" s="1396" customFormat="1" ht="14.4" outlineLevel="2" thickBot="1">
      <c r="A72" s="1571"/>
      <c r="B72" s="1412"/>
      <c r="C72" s="1502"/>
      <c r="D72" s="1503"/>
      <c r="E72" s="1527">
        <f t="shared" si="56"/>
        <v>0</v>
      </c>
      <c r="F72" s="1545">
        <f t="shared" si="67"/>
        <v>0</v>
      </c>
      <c r="G72" s="1698">
        <v>0</v>
      </c>
      <c r="H72" s="1690">
        <v>0</v>
      </c>
      <c r="I72" s="1690">
        <v>0</v>
      </c>
      <c r="J72" s="1690">
        <v>0</v>
      </c>
      <c r="K72" s="1690"/>
      <c r="L72" s="1432"/>
      <c r="M72" s="1432"/>
      <c r="N72" s="1480"/>
      <c r="O72" s="1540">
        <f t="shared" si="58"/>
        <v>0</v>
      </c>
      <c r="P72" s="1460"/>
      <c r="Q72" s="1432"/>
      <c r="R72" s="1432"/>
      <c r="S72" s="1480"/>
      <c r="T72" s="1540" t="e">
        <f>S72/$S$89</f>
        <v>#DIV/0!</v>
      </c>
      <c r="U72" s="1460"/>
      <c r="V72" s="1432"/>
      <c r="W72" s="1432"/>
      <c r="X72" s="1480"/>
      <c r="Y72" s="1540" t="e">
        <f>X72/$S$89</f>
        <v>#DIV/0!</v>
      </c>
      <c r="Z72" s="1460"/>
      <c r="AA72" s="1432"/>
      <c r="AB72" s="1432"/>
      <c r="AC72" s="1480"/>
      <c r="AD72" s="1540" t="e">
        <f>AC72/$S$89</f>
        <v>#DIV/0!</v>
      </c>
      <c r="AE72" s="1460"/>
      <c r="AF72" s="1432"/>
      <c r="AG72" s="1432"/>
      <c r="AH72" s="1480"/>
      <c r="AI72" s="1540" t="e">
        <f>AH72/$S$89</f>
        <v>#DIV/0!</v>
      </c>
      <c r="AJ72" s="1460"/>
      <c r="AK72" s="1432"/>
      <c r="AL72" s="1432"/>
      <c r="AM72" s="1480"/>
      <c r="AN72" s="1540" t="e">
        <f>AM72/$S$89</f>
        <v>#DIV/0!</v>
      </c>
      <c r="AO72" s="1460"/>
      <c r="AP72" s="1432"/>
      <c r="AQ72" s="1432"/>
      <c r="AR72" s="1480"/>
      <c r="AS72" s="1877" t="e">
        <f>AR72/$S$89</f>
        <v>#DIV/0!</v>
      </c>
      <c r="AT72" s="1927"/>
      <c r="AU72" s="1432">
        <f>G72+L72+Q72+V72+AA72+AF72+AK72+AP72</f>
        <v>0</v>
      </c>
      <c r="AV72" s="1432">
        <f>H72+M72+R72+W72+AB72+AG72+AL72+AQ72</f>
        <v>0</v>
      </c>
      <c r="AW72" s="1480">
        <f t="shared" si="66"/>
        <v>0</v>
      </c>
      <c r="AX72" s="1540">
        <f t="shared" si="55"/>
        <v>0</v>
      </c>
      <c r="AY72" s="1460"/>
    </row>
    <row r="73" spans="1:51" s="1396" customFormat="1" ht="14.4" outlineLevel="1" thickBot="1">
      <c r="A73" s="1571"/>
      <c r="B73" s="1406" t="s">
        <v>4</v>
      </c>
      <c r="C73" s="1504">
        <f>C74</f>
        <v>505058</v>
      </c>
      <c r="D73" s="1505">
        <f>D74</f>
        <v>0</v>
      </c>
      <c r="E73" s="1504">
        <f>E74</f>
        <v>505058</v>
      </c>
      <c r="F73" s="1535">
        <f>E73/$E$89</f>
        <v>4.2741643656531374E-2</v>
      </c>
      <c r="G73" s="1723">
        <v>0</v>
      </c>
      <c r="H73" s="1711">
        <v>0</v>
      </c>
      <c r="I73" s="1711">
        <v>0</v>
      </c>
      <c r="J73" s="1711"/>
      <c r="K73" s="1724"/>
      <c r="L73" s="1509">
        <f>L74</f>
        <v>0</v>
      </c>
      <c r="M73" s="1448">
        <f>M74</f>
        <v>0</v>
      </c>
      <c r="N73" s="1446">
        <f>N74</f>
        <v>0</v>
      </c>
      <c r="O73" s="1448"/>
      <c r="P73" s="1448"/>
      <c r="Q73" s="1509">
        <f>Q74</f>
        <v>0</v>
      </c>
      <c r="R73" s="1448">
        <f>R74</f>
        <v>0</v>
      </c>
      <c r="S73" s="1446">
        <f>S74</f>
        <v>0</v>
      </c>
      <c r="T73" s="1448"/>
      <c r="U73" s="1448"/>
      <c r="V73" s="1509">
        <f>V74</f>
        <v>0</v>
      </c>
      <c r="W73" s="1448">
        <f>W74</f>
        <v>0</v>
      </c>
      <c r="X73" s="1446">
        <f>X74</f>
        <v>0</v>
      </c>
      <c r="Y73" s="1448"/>
      <c r="Z73" s="1448"/>
      <c r="AA73" s="1509">
        <f>AA74</f>
        <v>0</v>
      </c>
      <c r="AB73" s="1448">
        <f>AB74</f>
        <v>0</v>
      </c>
      <c r="AC73" s="1446">
        <f>AC74</f>
        <v>0</v>
      </c>
      <c r="AD73" s="1448"/>
      <c r="AE73" s="1448"/>
      <c r="AF73" s="1509">
        <f>AF74</f>
        <v>0</v>
      </c>
      <c r="AG73" s="1448">
        <f>AG74</f>
        <v>0</v>
      </c>
      <c r="AH73" s="1446">
        <f>AH74</f>
        <v>0</v>
      </c>
      <c r="AI73" s="1448"/>
      <c r="AJ73" s="1448"/>
      <c r="AK73" s="1509">
        <f>AK74</f>
        <v>0</v>
      </c>
      <c r="AL73" s="1448">
        <f>AL74</f>
        <v>0</v>
      </c>
      <c r="AM73" s="1446">
        <f>AM74</f>
        <v>0</v>
      </c>
      <c r="AN73" s="1448"/>
      <c r="AO73" s="1448"/>
      <c r="AP73" s="1170">
        <f>AP74</f>
        <v>0</v>
      </c>
      <c r="AQ73" s="1943">
        <f>AQ74</f>
        <v>0</v>
      </c>
      <c r="AR73" s="1446">
        <f>AR74</f>
        <v>0</v>
      </c>
      <c r="AS73" s="1943"/>
      <c r="AT73" s="1943"/>
      <c r="AU73" s="1509">
        <f>AU74</f>
        <v>0</v>
      </c>
      <c r="AV73" s="1448">
        <f>AV74</f>
        <v>0</v>
      </c>
      <c r="AW73" s="1446">
        <f>AW74</f>
        <v>0</v>
      </c>
      <c r="AX73" s="1448"/>
      <c r="AY73" s="1448"/>
    </row>
    <row r="74" spans="1:51" s="1564" customFormat="1" ht="14.4" outlineLevel="1" thickBot="1">
      <c r="A74" s="1585"/>
      <c r="B74" s="1563" t="s">
        <v>64</v>
      </c>
      <c r="C74" s="1487">
        <v>505058</v>
      </c>
      <c r="D74" s="1368"/>
      <c r="E74" s="1506">
        <f>C74+D74</f>
        <v>505058</v>
      </c>
      <c r="F74" s="1546"/>
      <c r="G74" s="1725">
        <v>0</v>
      </c>
      <c r="H74" s="1712">
        <v>0</v>
      </c>
      <c r="I74" s="1712">
        <v>0</v>
      </c>
      <c r="J74" s="1712"/>
      <c r="K74" s="1712"/>
      <c r="L74" s="1432"/>
      <c r="M74" s="1432"/>
      <c r="N74" s="1449">
        <f>L74+M74*1</f>
        <v>0</v>
      </c>
      <c r="O74" s="1449"/>
      <c r="P74" s="1449"/>
      <c r="Q74" s="1432"/>
      <c r="R74" s="1432"/>
      <c r="S74" s="1652">
        <f>Q74+R74*1</f>
        <v>0</v>
      </c>
      <c r="T74" s="1449"/>
      <c r="U74" s="1449"/>
      <c r="V74" s="1432"/>
      <c r="W74" s="1432"/>
      <c r="X74" s="1652">
        <f>V74+W74*1</f>
        <v>0</v>
      </c>
      <c r="Y74" s="1449"/>
      <c r="Z74" s="1449"/>
      <c r="AA74" s="1432"/>
      <c r="AB74" s="1432"/>
      <c r="AC74" s="1652">
        <f>AA74+AB74*1</f>
        <v>0</v>
      </c>
      <c r="AD74" s="1449"/>
      <c r="AE74" s="1449"/>
      <c r="AF74" s="1432"/>
      <c r="AG74" s="1432"/>
      <c r="AH74" s="1652">
        <f>AF74+AG74*1</f>
        <v>0</v>
      </c>
      <c r="AI74" s="1449"/>
      <c r="AJ74" s="1449"/>
      <c r="AK74" s="1432"/>
      <c r="AL74" s="1432"/>
      <c r="AM74" s="1652">
        <f>AK74+AL74*1</f>
        <v>0</v>
      </c>
      <c r="AN74" s="1449"/>
      <c r="AO74" s="1449"/>
      <c r="AP74" s="1432"/>
      <c r="AQ74" s="1432"/>
      <c r="AR74" s="1652">
        <f>AP74+AQ74*1</f>
        <v>0</v>
      </c>
      <c r="AS74" s="1449"/>
      <c r="AT74" s="1449"/>
      <c r="AU74" s="1432">
        <f>G74+L74+Q74+V74+AA74+AF74+AK74+AP74</f>
        <v>0</v>
      </c>
      <c r="AV74" s="1432">
        <f>H74+M74+R74+W74+AB74+AG74+AL74+AQ74</f>
        <v>0</v>
      </c>
      <c r="AW74" s="1480">
        <f>AU74+AV74</f>
        <v>0</v>
      </c>
      <c r="AX74" s="1449"/>
      <c r="AY74" s="1449"/>
    </row>
    <row r="75" spans="1:51" s="1396" customFormat="1" ht="14.4" thickBot="1">
      <c r="A75" s="1399"/>
      <c r="B75" s="1416" t="s">
        <v>48</v>
      </c>
      <c r="C75" s="1507">
        <f>C38-C41-C50-C54</f>
        <v>9116401</v>
      </c>
      <c r="D75" s="1507">
        <f>D38-D41-D50-D54</f>
        <v>-3124013</v>
      </c>
      <c r="E75" s="1508">
        <f>E38-E41-E50-E54</f>
        <v>5992388</v>
      </c>
      <c r="F75" s="1536"/>
      <c r="G75" s="1450">
        <v>8532483.716</v>
      </c>
      <c r="H75" s="1450">
        <v>-4716076.66</v>
      </c>
      <c r="I75" s="1508">
        <v>3816407.0559999975</v>
      </c>
      <c r="J75" s="1713"/>
      <c r="K75" s="1536"/>
      <c r="L75" s="1450">
        <f>L38-L41-L50-L54</f>
        <v>1823124</v>
      </c>
      <c r="M75" s="1450">
        <f>M38-M41-M50-M54</f>
        <v>0</v>
      </c>
      <c r="N75" s="1508">
        <f>N38-N41-N50-N54</f>
        <v>1823124</v>
      </c>
      <c r="O75" s="1451"/>
      <c r="P75" s="1451"/>
      <c r="Q75" s="1450">
        <f>Q38-Q41-Q50-Q54</f>
        <v>0</v>
      </c>
      <c r="R75" s="1450">
        <f>R38-R41-R50-R54</f>
        <v>0</v>
      </c>
      <c r="S75" s="1508">
        <f>S38-S41-S50-S54</f>
        <v>0</v>
      </c>
      <c r="T75" s="1451"/>
      <c r="U75" s="1451"/>
      <c r="V75" s="1450">
        <f>V38-V41-V50-V54</f>
        <v>-6091.079999999999</v>
      </c>
      <c r="W75" s="1450">
        <f>W38-W41-W50-W54</f>
        <v>0</v>
      </c>
      <c r="X75" s="1508">
        <f>X38-X41-X50-X54</f>
        <v>-6091.079999999999</v>
      </c>
      <c r="Y75" s="1451"/>
      <c r="Z75" s="1451"/>
      <c r="AA75" s="1450">
        <f>AA38-AA41-AA50-AA54</f>
        <v>0</v>
      </c>
      <c r="AB75" s="1450">
        <f>AB38-AB41-AB50-AB54</f>
        <v>0</v>
      </c>
      <c r="AC75" s="1508">
        <f>AC38-AC41-AC50-AC54</f>
        <v>0</v>
      </c>
      <c r="AD75" s="1451"/>
      <c r="AE75" s="1451"/>
      <c r="AF75" s="1450">
        <f>AF38-AF41-AF50-AF54</f>
        <v>1188021.99</v>
      </c>
      <c r="AG75" s="1450">
        <f>AG38-AG41-AG50-AG54</f>
        <v>0</v>
      </c>
      <c r="AH75" s="1508">
        <f>AH38-AH41-AH50-AH54</f>
        <v>1188021.99</v>
      </c>
      <c r="AI75" s="1451"/>
      <c r="AJ75" s="1451"/>
      <c r="AK75" s="1450">
        <f>AK38-AK41-AK50-AK54</f>
        <v>0</v>
      </c>
      <c r="AL75" s="1450">
        <f>AL38-AL41-AL50-AL54</f>
        <v>0</v>
      </c>
      <c r="AM75" s="1508">
        <f>AM38-AM41-AM50-AM54</f>
        <v>0</v>
      </c>
      <c r="AN75" s="1451"/>
      <c r="AO75" s="1451"/>
      <c r="AP75" s="1450">
        <f>AP38-AP41-AP50-AP54</f>
        <v>-1225506.6599999999</v>
      </c>
      <c r="AQ75" s="1450">
        <f>AQ38-AQ41-AQ50-AQ54</f>
        <v>0</v>
      </c>
      <c r="AR75" s="1508">
        <f>AR38-AR41-AR50-AR54</f>
        <v>-1225506.6599999999</v>
      </c>
      <c r="AS75" s="1451"/>
      <c r="AT75" s="1451"/>
      <c r="AU75" s="1450">
        <f>AU38-AU41-AU50-AU54</f>
        <v>10312031.965999998</v>
      </c>
      <c r="AV75" s="1450">
        <f>AV38-AV41-AV50-AV54</f>
        <v>-4716076.66</v>
      </c>
      <c r="AW75" s="1508">
        <f>AW38-AW41-AW50-AW54</f>
        <v>5595955.305999998</v>
      </c>
      <c r="AX75" s="1451"/>
      <c r="AY75" s="1451"/>
    </row>
    <row r="76" spans="1:51" s="1396" customFormat="1" ht="13.8">
      <c r="A76" s="1566"/>
      <c r="B76" s="1429" t="s">
        <v>49</v>
      </c>
      <c r="C76" s="1525">
        <f>C75/C5</f>
        <v>0.54150639788158905</v>
      </c>
      <c r="D76" s="1525" t="e">
        <f>D75/D5</f>
        <v>#DIV/0!</v>
      </c>
      <c r="E76" s="1526">
        <f>E75/E5</f>
        <v>0.35594270596355504</v>
      </c>
      <c r="F76" s="1531"/>
      <c r="G76" s="1441">
        <v>0.49296345658128676</v>
      </c>
      <c r="H76" s="1441" t="e">
        <v>#DIV/0!</v>
      </c>
      <c r="I76" s="1442">
        <v>0.2204925642599341</v>
      </c>
      <c r="J76" s="1709"/>
      <c r="K76" s="1531"/>
      <c r="L76" s="1441">
        <f>L75/L5</f>
        <v>0.99948768090497098</v>
      </c>
      <c r="M76" s="1441" t="e">
        <f>M75/M5</f>
        <v>#DIV/0!</v>
      </c>
      <c r="N76" s="1442">
        <f>N75/N5</f>
        <v>0.99948768090497098</v>
      </c>
      <c r="O76" s="1442"/>
      <c r="P76" s="1442"/>
      <c r="Q76" s="1441" t="e">
        <f>Q75/Q5</f>
        <v>#DIV/0!</v>
      </c>
      <c r="R76" s="1441" t="e">
        <f>R75/R5</f>
        <v>#DIV/0!</v>
      </c>
      <c r="S76" s="1442" t="e">
        <f>S75/S5</f>
        <v>#DIV/0!</v>
      </c>
      <c r="T76" s="1442"/>
      <c r="U76" s="1442"/>
      <c r="V76" s="1441" t="e">
        <f>V75/V5</f>
        <v>#DIV/0!</v>
      </c>
      <c r="W76" s="1441" t="e">
        <f>W75/W5</f>
        <v>#DIV/0!</v>
      </c>
      <c r="X76" s="1442" t="e">
        <f>X75/X5</f>
        <v>#DIV/0!</v>
      </c>
      <c r="Y76" s="1442"/>
      <c r="Z76" s="1442"/>
      <c r="AA76" s="1441" t="e">
        <f>AA75/AA5</f>
        <v>#DIV/0!</v>
      </c>
      <c r="AB76" s="1441" t="e">
        <f>AB75/AB5</f>
        <v>#DIV/0!</v>
      </c>
      <c r="AC76" s="1442" t="e">
        <f>AC75/AC5</f>
        <v>#DIV/0!</v>
      </c>
      <c r="AD76" s="1442"/>
      <c r="AE76" s="1442"/>
      <c r="AF76" s="1441">
        <f>AF75/AF5</f>
        <v>1</v>
      </c>
      <c r="AG76" s="1441" t="e">
        <f>AG75/AG5</f>
        <v>#DIV/0!</v>
      </c>
      <c r="AH76" s="1442">
        <f>AH75/AH5</f>
        <v>1</v>
      </c>
      <c r="AI76" s="1442"/>
      <c r="AJ76" s="1442"/>
      <c r="AK76" s="1441" t="e">
        <f>AK75/AK5</f>
        <v>#DIV/0!</v>
      </c>
      <c r="AL76" s="1441" t="e">
        <f>AL75/AL5</f>
        <v>#DIV/0!</v>
      </c>
      <c r="AM76" s="1442" t="e">
        <f>AM75/AM5</f>
        <v>#DIV/0!</v>
      </c>
      <c r="AN76" s="1442"/>
      <c r="AO76" s="1442"/>
      <c r="AP76" s="1441" t="e">
        <f>AP75/AP5</f>
        <v>#DIV/0!</v>
      </c>
      <c r="AQ76" s="1441" t="e">
        <f>AQ75/AQ5</f>
        <v>#DIV/0!</v>
      </c>
      <c r="AR76" s="1442" t="e">
        <f>AR75/AR5</f>
        <v>#DIV/0!</v>
      </c>
      <c r="AS76" s="1442"/>
      <c r="AT76" s="1442"/>
      <c r="AU76" s="1441">
        <f>AU75/AU5</f>
        <v>0.50746608771435164</v>
      </c>
      <c r="AV76" s="1441" t="e">
        <f>AV75/AV5</f>
        <v>#DIV/0!</v>
      </c>
      <c r="AW76" s="1442">
        <f>AW75/AW5</f>
        <v>0.27538292700441641</v>
      </c>
      <c r="AX76" s="1442"/>
      <c r="AY76" s="1442"/>
    </row>
    <row r="77" spans="1:51" s="1396" customFormat="1" ht="14.4" outlineLevel="1" thickBot="1">
      <c r="A77" s="1566"/>
      <c r="B77" s="1420" t="s">
        <v>9</v>
      </c>
      <c r="C77" s="1509">
        <f>C78-C79</f>
        <v>-468602</v>
      </c>
      <c r="D77" s="1509">
        <f>D78-D79</f>
        <v>0</v>
      </c>
      <c r="E77" s="1369">
        <f>E78-E79</f>
        <v>-468602</v>
      </c>
      <c r="F77" s="1371"/>
      <c r="G77" s="1509">
        <v>0</v>
      </c>
      <c r="H77" s="1509">
        <v>0</v>
      </c>
      <c r="I77" s="1369">
        <v>-674467.25305245654</v>
      </c>
      <c r="J77" s="1714"/>
      <c r="K77" s="1371"/>
      <c r="L77" s="1509">
        <f>L78-L79</f>
        <v>0</v>
      </c>
      <c r="M77" s="1509">
        <f>M78-M79</f>
        <v>0</v>
      </c>
      <c r="N77" s="1369">
        <f>N78-N79</f>
        <v>0</v>
      </c>
      <c r="O77" s="1364"/>
      <c r="P77" s="1364"/>
      <c r="Q77" s="1509">
        <f>Q78-Q79</f>
        <v>0</v>
      </c>
      <c r="R77" s="1509">
        <f>R78-R79</f>
        <v>0</v>
      </c>
      <c r="S77" s="1369">
        <f>S78-S79</f>
        <v>0</v>
      </c>
      <c r="T77" s="1364"/>
      <c r="U77" s="1364"/>
      <c r="V77" s="1509">
        <f>V78-V79</f>
        <v>0</v>
      </c>
      <c r="W77" s="1509">
        <f>W78-W79</f>
        <v>0</v>
      </c>
      <c r="X77" s="1369">
        <f>X78-X79</f>
        <v>0</v>
      </c>
      <c r="Y77" s="1364"/>
      <c r="Z77" s="1364"/>
      <c r="AA77" s="1509">
        <f>AA78-AA79</f>
        <v>0</v>
      </c>
      <c r="AB77" s="1509">
        <f>AB78-AB79</f>
        <v>0</v>
      </c>
      <c r="AC77" s="1369" t="e">
        <f>AC78-AC79</f>
        <v>#DIV/0!</v>
      </c>
      <c r="AD77" s="1364"/>
      <c r="AE77" s="1364"/>
      <c r="AF77" s="1509">
        <f>AF78-AF79</f>
        <v>0</v>
      </c>
      <c r="AG77" s="1509">
        <f>AG78-AG79</f>
        <v>0</v>
      </c>
      <c r="AH77" s="1369">
        <f>AH78-AH79</f>
        <v>0</v>
      </c>
      <c r="AI77" s="1364"/>
      <c r="AJ77" s="1364"/>
      <c r="AK77" s="1509">
        <f>AK78-AK79</f>
        <v>0</v>
      </c>
      <c r="AL77" s="1509">
        <f>AL78-AL79</f>
        <v>0</v>
      </c>
      <c r="AM77" s="1369">
        <f>AM78-AM79</f>
        <v>0</v>
      </c>
      <c r="AN77" s="1364"/>
      <c r="AO77" s="1364"/>
      <c r="AP77" s="1170">
        <f>AP78-AP79</f>
        <v>0</v>
      </c>
      <c r="AQ77" s="1170">
        <f>AQ78-AQ79</f>
        <v>0</v>
      </c>
      <c r="AR77" s="1369">
        <f>AR78-AR79</f>
        <v>0</v>
      </c>
      <c r="AS77" s="1364"/>
      <c r="AT77" s="1364"/>
      <c r="AU77" s="1509">
        <f>AU78-AU79</f>
        <v>0</v>
      </c>
      <c r="AV77" s="1509">
        <f>AV78-AV79</f>
        <v>0</v>
      </c>
      <c r="AW77" s="1369">
        <f>AW78-AW79</f>
        <v>-674467.25305245654</v>
      </c>
      <c r="AX77" s="1364"/>
      <c r="AY77" s="1364"/>
    </row>
    <row r="78" spans="1:51" s="1396" customFormat="1" ht="13.8" outlineLevel="2">
      <c r="A78" s="1405"/>
      <c r="B78" s="1400" t="s">
        <v>43</v>
      </c>
      <c r="C78" s="1510"/>
      <c r="D78" s="1511"/>
      <c r="E78" s="1493">
        <f>C78+D78*1.15</f>
        <v>0</v>
      </c>
      <c r="F78" s="1547"/>
      <c r="G78" s="1432">
        <v>0</v>
      </c>
      <c r="H78" s="1432">
        <v>0</v>
      </c>
      <c r="I78" s="1452">
        <v>0</v>
      </c>
      <c r="J78" s="1715"/>
      <c r="K78" s="1715"/>
      <c r="L78" s="1432"/>
      <c r="M78" s="1432"/>
      <c r="N78" s="1452">
        <f>L78+M78*1.15</f>
        <v>0</v>
      </c>
      <c r="O78" s="1452"/>
      <c r="P78" s="1452"/>
      <c r="Q78" s="1432"/>
      <c r="R78" s="1432"/>
      <c r="S78" s="1452">
        <f>Q78+R78*1.15</f>
        <v>0</v>
      </c>
      <c r="T78" s="1452"/>
      <c r="U78" s="1452"/>
      <c r="V78" s="1432"/>
      <c r="W78" s="1432"/>
      <c r="X78" s="1452">
        <f>V78+W78*1.15</f>
        <v>0</v>
      </c>
      <c r="Y78" s="1540">
        <f>X78/$X$89</f>
        <v>0</v>
      </c>
      <c r="Z78" s="1452"/>
      <c r="AA78" s="1432"/>
      <c r="AB78" s="1432"/>
      <c r="AC78" s="1452">
        <f>AA78+AB78*1.15</f>
        <v>0</v>
      </c>
      <c r="AD78" s="1540">
        <f>AC78/$X$89</f>
        <v>0</v>
      </c>
      <c r="AE78" s="1452"/>
      <c r="AF78" s="1432"/>
      <c r="AG78" s="1432"/>
      <c r="AH78" s="1452">
        <f>AF78+AG78*1.15</f>
        <v>0</v>
      </c>
      <c r="AI78" s="1540">
        <f>AH78/$X$89</f>
        <v>0</v>
      </c>
      <c r="AJ78" s="1452"/>
      <c r="AK78" s="1432"/>
      <c r="AL78" s="1432"/>
      <c r="AM78" s="1452">
        <f>AK78+AL78*1.15</f>
        <v>0</v>
      </c>
      <c r="AN78" s="1540">
        <f>AM78/$X$89</f>
        <v>0</v>
      </c>
      <c r="AO78" s="1452"/>
      <c r="AP78" s="1432"/>
      <c r="AQ78" s="1432"/>
      <c r="AR78" s="1452">
        <f>AP78+AQ78*1.15</f>
        <v>0</v>
      </c>
      <c r="AS78" s="1877">
        <f>AR78/$AR$89</f>
        <v>0</v>
      </c>
      <c r="AT78" s="1452"/>
      <c r="AU78" s="1432">
        <f t="shared" ref="AU78:AV80" si="68">G78+L78+Q78+V78+AA78+AF78+AK78+AP78</f>
        <v>0</v>
      </c>
      <c r="AV78" s="1432">
        <f t="shared" si="68"/>
        <v>0</v>
      </c>
      <c r="AW78" s="1480">
        <f>AU78+AV78</f>
        <v>0</v>
      </c>
      <c r="AX78" s="1452"/>
      <c r="AY78" s="1452"/>
    </row>
    <row r="79" spans="1:51" s="1396" customFormat="1" ht="13.8" outlineLevel="2">
      <c r="A79" s="1405"/>
      <c r="B79" s="1417" t="s">
        <v>79</v>
      </c>
      <c r="C79" s="1487">
        <v>468602</v>
      </c>
      <c r="D79" s="1493"/>
      <c r="E79" s="1493">
        <f>C79+D79*1.15</f>
        <v>468602</v>
      </c>
      <c r="F79" s="1541">
        <f>E79/$E$89</f>
        <v>3.9656474505379409E-2</v>
      </c>
      <c r="G79" s="1432">
        <v>0</v>
      </c>
      <c r="H79" s="1432">
        <v>0</v>
      </c>
      <c r="I79" s="1480">
        <v>674467.25305245654</v>
      </c>
      <c r="J79" s="1587"/>
      <c r="K79" s="1587"/>
      <c r="L79" s="1432"/>
      <c r="M79" s="1432"/>
      <c r="N79" s="1480">
        <v>0</v>
      </c>
      <c r="O79" s="1435"/>
      <c r="P79" s="1435"/>
      <c r="Q79" s="1432"/>
      <c r="R79" s="1432"/>
      <c r="S79" s="1480">
        <v>0</v>
      </c>
      <c r="T79" s="1435"/>
      <c r="U79" s="1435"/>
      <c r="V79" s="1432"/>
      <c r="W79" s="1432"/>
      <c r="X79" s="1480">
        <v>0</v>
      </c>
      <c r="Y79" s="1540">
        <f>X79/$X$89</f>
        <v>0</v>
      </c>
      <c r="Z79" s="1435"/>
      <c r="AA79" s="1432"/>
      <c r="AB79" s="1432"/>
      <c r="AC79" s="1480" t="e">
        <v>#DIV/0!</v>
      </c>
      <c r="AD79" s="1540" t="e">
        <f>AC79/$AC$89</f>
        <v>#DIV/0!</v>
      </c>
      <c r="AE79" s="1435"/>
      <c r="AF79" s="1432"/>
      <c r="AG79" s="1432"/>
      <c r="AH79" s="1480"/>
      <c r="AI79" s="1540" t="e">
        <f>AH79/$AH$89</f>
        <v>#DIV/0!</v>
      </c>
      <c r="AJ79" s="1435"/>
      <c r="AK79" s="1432"/>
      <c r="AL79" s="1432"/>
      <c r="AM79" s="1480"/>
      <c r="AN79" s="1540"/>
      <c r="AO79" s="1435"/>
      <c r="AP79" s="1432"/>
      <c r="AQ79" s="1432"/>
      <c r="AR79" s="1480"/>
      <c r="AS79" s="1877">
        <f>AR79/$AR$89</f>
        <v>0</v>
      </c>
      <c r="AT79" s="1893"/>
      <c r="AU79" s="1432">
        <f t="shared" si="68"/>
        <v>0</v>
      </c>
      <c r="AV79" s="1432">
        <f t="shared" si="68"/>
        <v>0</v>
      </c>
      <c r="AW79" s="1480">
        <f>I79+N79+S79+X79</f>
        <v>674467.25305245654</v>
      </c>
      <c r="AX79" s="1435"/>
      <c r="AY79" s="1435"/>
    </row>
    <row r="80" spans="1:51" ht="13.8" outlineLevel="2">
      <c r="A80" s="1397"/>
      <c r="B80" s="1418"/>
      <c r="C80" s="1512"/>
      <c r="D80" s="1513"/>
      <c r="E80" s="1514"/>
      <c r="F80" s="1548"/>
      <c r="G80" s="1432">
        <v>0</v>
      </c>
      <c r="H80" s="1432">
        <v>0</v>
      </c>
      <c r="I80" s="1453"/>
      <c r="J80" s="1620"/>
      <c r="K80" s="1620"/>
      <c r="L80" s="1432"/>
      <c r="M80" s="1432"/>
      <c r="N80" s="1453"/>
      <c r="O80" s="1453"/>
      <c r="P80" s="1453"/>
      <c r="Q80" s="1432"/>
      <c r="R80" s="1432"/>
      <c r="S80" s="1453"/>
      <c r="T80" s="1453"/>
      <c r="U80" s="1453"/>
      <c r="V80" s="1432"/>
      <c r="W80" s="1432"/>
      <c r="X80" s="1453"/>
      <c r="Y80" s="1453"/>
      <c r="Z80" s="1453"/>
      <c r="AA80" s="1432"/>
      <c r="AB80" s="1432"/>
      <c r="AC80" s="1453"/>
      <c r="AD80" s="1453"/>
      <c r="AE80" s="1453"/>
      <c r="AF80" s="1432"/>
      <c r="AG80" s="1432"/>
      <c r="AH80" s="1453"/>
      <c r="AI80" s="1453"/>
      <c r="AJ80" s="1453"/>
      <c r="AK80" s="1432"/>
      <c r="AL80" s="1432"/>
      <c r="AM80" s="1453"/>
      <c r="AN80" s="1453"/>
      <c r="AO80" s="1453"/>
      <c r="AP80" s="1432"/>
      <c r="AQ80" s="1432"/>
      <c r="AR80" s="1894"/>
      <c r="AS80" s="1894">
        <f>AR80/$AR$89</f>
        <v>0</v>
      </c>
      <c r="AT80" s="1894"/>
      <c r="AU80" s="1432">
        <f t="shared" si="68"/>
        <v>0</v>
      </c>
      <c r="AV80" s="1432">
        <f t="shared" si="68"/>
        <v>0</v>
      </c>
      <c r="AW80" s="1453"/>
      <c r="AX80" s="1453"/>
      <c r="AY80" s="1453"/>
    </row>
    <row r="81" spans="1:51" s="1396" customFormat="1" ht="14.4" outlineLevel="1" thickBot="1">
      <c r="A81" s="1419"/>
      <c r="B81" s="1420" t="s">
        <v>12</v>
      </c>
      <c r="C81" s="1509">
        <f>(C75+C78)-C79</f>
        <v>8647799</v>
      </c>
      <c r="D81" s="1509">
        <f>(D75+D78)-D79</f>
        <v>-3124013</v>
      </c>
      <c r="E81" s="1369">
        <f>(E75+E78)-E79</f>
        <v>5523786</v>
      </c>
      <c r="F81" s="1371"/>
      <c r="G81" s="1509">
        <v>8532483.716</v>
      </c>
      <c r="H81" s="1509">
        <v>-4716076.66</v>
      </c>
      <c r="I81" s="1369">
        <v>3141939.8029475408</v>
      </c>
      <c r="J81" s="1714"/>
      <c r="K81" s="1371"/>
      <c r="L81" s="1509">
        <f>(L75+L78)-L79</f>
        <v>1823124</v>
      </c>
      <c r="M81" s="1509">
        <f>(M75+M78)-M79</f>
        <v>0</v>
      </c>
      <c r="N81" s="1369">
        <f>(N75+N78)-N79</f>
        <v>1823124</v>
      </c>
      <c r="O81" s="1364"/>
      <c r="P81" s="1364"/>
      <c r="Q81" s="1509">
        <f>(Q75+Q78)-Q79</f>
        <v>0</v>
      </c>
      <c r="R81" s="1509">
        <f>(R75+R78)-R79</f>
        <v>0</v>
      </c>
      <c r="S81" s="1369">
        <f>(S75+S78)-S79</f>
        <v>0</v>
      </c>
      <c r="T81" s="1364"/>
      <c r="U81" s="1364"/>
      <c r="V81" s="1509">
        <f>(V75+V78)-V79</f>
        <v>-6091.079999999999</v>
      </c>
      <c r="W81" s="1509">
        <f>(W75+W78)-W79</f>
        <v>0</v>
      </c>
      <c r="X81" s="1369">
        <f>(X75+X78)-X79</f>
        <v>-6091.079999999999</v>
      </c>
      <c r="Y81" s="1364"/>
      <c r="Z81" s="1364"/>
      <c r="AA81" s="1509">
        <f>(AA75+AA78)-AA79</f>
        <v>0</v>
      </c>
      <c r="AB81" s="1509">
        <f>(AB75+AB78)-AB79</f>
        <v>0</v>
      </c>
      <c r="AC81" s="1369" t="e">
        <f>(AC75+AC78)-AC79</f>
        <v>#DIV/0!</v>
      </c>
      <c r="AD81" s="1364"/>
      <c r="AE81" s="1364"/>
      <c r="AF81" s="1509">
        <f>(AF75+AF78)-AF79</f>
        <v>1188021.99</v>
      </c>
      <c r="AG81" s="1509">
        <f>(AG75+AG78)-AG79</f>
        <v>0</v>
      </c>
      <c r="AH81" s="1369">
        <f>(AH75+AH78)-AH79</f>
        <v>1188021.99</v>
      </c>
      <c r="AI81" s="1364"/>
      <c r="AJ81" s="1364"/>
      <c r="AK81" s="1509">
        <f>(AK75+AK78)-AK79</f>
        <v>0</v>
      </c>
      <c r="AL81" s="1509">
        <f>(AL75+AL78)-AL79</f>
        <v>0</v>
      </c>
      <c r="AM81" s="1369">
        <f>(AM75+AM78)-AM79</f>
        <v>0</v>
      </c>
      <c r="AN81" s="1364"/>
      <c r="AO81" s="1364"/>
      <c r="AP81" s="1170">
        <f>(AP75+AP78)-AP79</f>
        <v>-1225506.6599999999</v>
      </c>
      <c r="AQ81" s="1170">
        <f>(AQ75+AQ78)-AQ79</f>
        <v>0</v>
      </c>
      <c r="AR81" s="1369">
        <f>(AR75+AR78)-AR79</f>
        <v>-1225506.6599999999</v>
      </c>
      <c r="AS81" s="1364"/>
      <c r="AT81" s="1364"/>
      <c r="AU81" s="1509">
        <f>(AU75+AU78)-AU79</f>
        <v>10312031.965999998</v>
      </c>
      <c r="AV81" s="1509">
        <f>(AV75+AV78)-AV79</f>
        <v>-4716076.66</v>
      </c>
      <c r="AW81" s="1369">
        <f>(AW75+AW78)-AW79</f>
        <v>4921488.0529475417</v>
      </c>
      <c r="AX81" s="1364"/>
      <c r="AY81" s="1364"/>
    </row>
    <row r="82" spans="1:51" s="1396" customFormat="1" ht="13.8" outlineLevel="2">
      <c r="A82" s="1565"/>
      <c r="B82" s="1400" t="s">
        <v>38</v>
      </c>
      <c r="C82" s="1510"/>
      <c r="D82" s="1511"/>
      <c r="E82" s="1515">
        <f>C82+D82</f>
        <v>0</v>
      </c>
      <c r="F82" s="1541">
        <f>E82/$E$89</f>
        <v>0</v>
      </c>
      <c r="G82" s="1432">
        <v>0</v>
      </c>
      <c r="H82" s="1432">
        <v>0</v>
      </c>
      <c r="I82" s="1515">
        <v>0</v>
      </c>
      <c r="J82" s="1587"/>
      <c r="K82" s="1587"/>
      <c r="L82" s="1432"/>
      <c r="M82" s="1432"/>
      <c r="N82" s="1515">
        <f>L82+M82</f>
        <v>0</v>
      </c>
      <c r="O82" s="1476"/>
      <c r="P82" s="1476"/>
      <c r="Q82" s="1432"/>
      <c r="R82" s="1432"/>
      <c r="S82" s="1515">
        <f>Q82+R82</f>
        <v>0</v>
      </c>
      <c r="T82" s="1476"/>
      <c r="U82" s="1476"/>
      <c r="V82" s="1432"/>
      <c r="W82" s="1432"/>
      <c r="X82" s="1515">
        <f>V82+W82</f>
        <v>0</v>
      </c>
      <c r="Y82" s="1476"/>
      <c r="Z82" s="1476"/>
      <c r="AA82" s="1432"/>
      <c r="AB82" s="1432"/>
      <c r="AC82" s="1515">
        <f>AA82+AB82</f>
        <v>0</v>
      </c>
      <c r="AD82" s="1476"/>
      <c r="AE82" s="1476"/>
      <c r="AF82" s="1432"/>
      <c r="AG82" s="1432"/>
      <c r="AH82" s="1515">
        <f>AF82+AG82</f>
        <v>0</v>
      </c>
      <c r="AI82" s="1476"/>
      <c r="AJ82" s="1476"/>
      <c r="AK82" s="1432"/>
      <c r="AL82" s="1432"/>
      <c r="AM82" s="1515">
        <f>AK82+AL82</f>
        <v>0</v>
      </c>
      <c r="AN82" s="1476"/>
      <c r="AO82" s="1476"/>
      <c r="AP82" s="1432"/>
      <c r="AQ82" s="1432"/>
      <c r="AR82" s="1515">
        <f>AP82+AQ82</f>
        <v>0</v>
      </c>
      <c r="AS82" s="1476"/>
      <c r="AT82" s="1476"/>
      <c r="AU82" s="1432">
        <f>G82+L82+Q82+V82+AA82+AF82+AK82+AP82</f>
        <v>0</v>
      </c>
      <c r="AV82" s="1432">
        <f>H82+M82+R82+W82+AB82+AG82+AL82+AQ82</f>
        <v>0</v>
      </c>
      <c r="AW82" s="1480">
        <f>AU82+AV82</f>
        <v>0</v>
      </c>
      <c r="AX82" s="1476"/>
      <c r="AY82" s="1476"/>
    </row>
    <row r="83" spans="1:51" s="1396" customFormat="1" ht="13.8" outlineLevel="1">
      <c r="A83" s="1405"/>
      <c r="B83" s="1421" t="s">
        <v>13</v>
      </c>
      <c r="C83" s="1516">
        <f>(C81+C7)-C36</f>
        <v>8647799</v>
      </c>
      <c r="D83" s="1516">
        <f>(D81+D7)-D36</f>
        <v>-3124013</v>
      </c>
      <c r="E83" s="1516">
        <f>(E81+E7)-E36</f>
        <v>5523786</v>
      </c>
      <c r="F83" s="1537"/>
      <c r="G83" s="1516">
        <v>8532483.716</v>
      </c>
      <c r="H83" s="1516">
        <v>-4716076.66</v>
      </c>
      <c r="I83" s="1517">
        <v>3141939.8029475408</v>
      </c>
      <c r="J83" s="1716"/>
      <c r="K83" s="1537"/>
      <c r="L83" s="1516">
        <f>(L81)-L36</f>
        <v>1823124</v>
      </c>
      <c r="M83" s="1516">
        <f>(M81)-M36</f>
        <v>0</v>
      </c>
      <c r="N83" s="1517">
        <f>(N81)-N36</f>
        <v>1823124</v>
      </c>
      <c r="O83" s="1454"/>
      <c r="P83" s="1454"/>
      <c r="Q83" s="1516">
        <f>(Q81+Q7)-Q36</f>
        <v>0</v>
      </c>
      <c r="R83" s="1516">
        <f>(R81+R7)-R36</f>
        <v>0</v>
      </c>
      <c r="S83" s="1517">
        <f>(S81+S7)-S36</f>
        <v>0</v>
      </c>
      <c r="T83" s="1454"/>
      <c r="U83" s="1454"/>
      <c r="V83" s="1516">
        <f>(V81+V7)-V36</f>
        <v>-6091.079999999999</v>
      </c>
      <c r="W83" s="1516">
        <f>(W81+W7)-W36</f>
        <v>0</v>
      </c>
      <c r="X83" s="1517">
        <f>(X81+X7)-X36</f>
        <v>-6091.079999999999</v>
      </c>
      <c r="Y83" s="1454"/>
      <c r="Z83" s="1454"/>
      <c r="AA83" s="1516">
        <f>(AA81+AA7)-AA36</f>
        <v>0</v>
      </c>
      <c r="AB83" s="1516">
        <f>(AB81+AB7)-AB36</f>
        <v>0</v>
      </c>
      <c r="AC83" s="1517" t="e">
        <f>(AC81+AC7)-AC36</f>
        <v>#DIV/0!</v>
      </c>
      <c r="AD83" s="1454"/>
      <c r="AE83" s="1454"/>
      <c r="AF83" s="1516">
        <f>(AF81+AF7)-AF36</f>
        <v>1188021.99</v>
      </c>
      <c r="AG83" s="1516">
        <f>(AG81+AG7)-AG36</f>
        <v>0</v>
      </c>
      <c r="AH83" s="1517">
        <f>(AH81+AH7)-AH36</f>
        <v>1188021.99</v>
      </c>
      <c r="AI83" s="1454"/>
      <c r="AJ83" s="1454"/>
      <c r="AK83" s="1516">
        <f>(AK81+AK7)-AK36</f>
        <v>0</v>
      </c>
      <c r="AL83" s="1516">
        <f>(AL81+AL7)-AL36</f>
        <v>0</v>
      </c>
      <c r="AM83" s="1517">
        <f>(AM81+AM7)-AM36</f>
        <v>0</v>
      </c>
      <c r="AN83" s="1454"/>
      <c r="AO83" s="1454"/>
      <c r="AP83" s="1896">
        <f>(AP81+AP7)-AP36</f>
        <v>-1225506.6599999999</v>
      </c>
      <c r="AQ83" s="1896">
        <f>(AQ81+AQ7)-AQ36</f>
        <v>0</v>
      </c>
      <c r="AR83" s="1897">
        <f>(AR81+AR7)-AR36</f>
        <v>-1225506.6599999999</v>
      </c>
      <c r="AS83" s="1898"/>
      <c r="AT83" s="1898"/>
      <c r="AU83" s="1516">
        <f>(AU81)-AU36</f>
        <v>10312031.965999998</v>
      </c>
      <c r="AV83" s="1516">
        <f>(AV81)-AV36</f>
        <v>-4716076.66</v>
      </c>
      <c r="AW83" s="1517">
        <f>(AW81)-AW36</f>
        <v>4921488.0529475417</v>
      </c>
      <c r="AX83" s="1454"/>
      <c r="AY83" s="1454"/>
    </row>
    <row r="84" spans="1:51" s="1396" customFormat="1" ht="14.4" outlineLevel="1" thickBot="1">
      <c r="A84" s="1405"/>
      <c r="B84" s="1553" t="s">
        <v>14</v>
      </c>
      <c r="C84" s="1554">
        <f>C83-C73-C82</f>
        <v>8142741</v>
      </c>
      <c r="D84" s="1554">
        <f>D83-D73-D82</f>
        <v>-3124013</v>
      </c>
      <c r="E84" s="1554">
        <f>E83-E73-E82</f>
        <v>5018728</v>
      </c>
      <c r="F84" s="1556"/>
      <c r="G84" s="1555">
        <v>2477509.406</v>
      </c>
      <c r="H84" s="1555">
        <v>-1810352.1500000001</v>
      </c>
      <c r="I84" s="1555">
        <v>3141939.8029475408</v>
      </c>
      <c r="J84" s="1556"/>
      <c r="K84" s="1556"/>
      <c r="L84" s="1555">
        <f>L83-L73-L82</f>
        <v>1823124</v>
      </c>
      <c r="M84" s="1555">
        <f>M83-M73-M82</f>
        <v>0</v>
      </c>
      <c r="N84" s="1555">
        <f>N83-N73-N82</f>
        <v>1823124</v>
      </c>
      <c r="O84" s="1461"/>
      <c r="P84" s="1461"/>
      <c r="Q84" s="1555">
        <f>Q83-Q73-Q82</f>
        <v>0</v>
      </c>
      <c r="R84" s="1555">
        <f>R83-R73-R82</f>
        <v>0</v>
      </c>
      <c r="S84" s="1555">
        <f>S83-S73-S82</f>
        <v>0</v>
      </c>
      <c r="T84" s="1461"/>
      <c r="U84" s="1461"/>
      <c r="V84" s="1555">
        <f>V83-V73-V82</f>
        <v>-6091.079999999999</v>
      </c>
      <c r="W84" s="1555">
        <f>W83-W73-W82</f>
        <v>0</v>
      </c>
      <c r="X84" s="1555">
        <f>X83-X73-X82</f>
        <v>-6091.079999999999</v>
      </c>
      <c r="Y84" s="1461"/>
      <c r="Z84" s="1461"/>
      <c r="AA84" s="1555">
        <f>AA83-AA73-AA82</f>
        <v>0</v>
      </c>
      <c r="AB84" s="1555">
        <f>AB83-AB73-AB82</f>
        <v>0</v>
      </c>
      <c r="AC84" s="1555" t="e">
        <f>AC83-AC73-AC82</f>
        <v>#DIV/0!</v>
      </c>
      <c r="AD84" s="1461"/>
      <c r="AE84" s="1461"/>
      <c r="AF84" s="1555">
        <f>AF83-AF73-AF82</f>
        <v>1188021.99</v>
      </c>
      <c r="AG84" s="1555">
        <f>AG83-AG73-AG82</f>
        <v>0</v>
      </c>
      <c r="AH84" s="1555">
        <f>AH83-AH73-AH82</f>
        <v>1188021.99</v>
      </c>
      <c r="AI84" s="1461"/>
      <c r="AJ84" s="1461"/>
      <c r="AK84" s="1555">
        <f>AK83-AK73-AK82</f>
        <v>0</v>
      </c>
      <c r="AL84" s="1555">
        <f>AL83-AL73-AL82</f>
        <v>0</v>
      </c>
      <c r="AM84" s="1555">
        <f>AM83-AM73-AM82</f>
        <v>0</v>
      </c>
      <c r="AN84" s="1461"/>
      <c r="AO84" s="1461"/>
      <c r="AP84" s="2077">
        <f>AP83-AP73-AP82</f>
        <v>-1225506.6599999999</v>
      </c>
      <c r="AQ84" s="2077">
        <f>AQ83-AQ73-AQ82</f>
        <v>0</v>
      </c>
      <c r="AR84" s="2077">
        <f>AR83-AR73-AR82</f>
        <v>-1225506.6599999999</v>
      </c>
      <c r="AS84" s="2078"/>
      <c r="AT84" s="2078"/>
      <c r="AU84" s="2102">
        <f>AU83-AU73-AU82</f>
        <v>10312031.965999998</v>
      </c>
      <c r="AV84" s="2102">
        <f>AV83-AV73-AV82</f>
        <v>-4716076.66</v>
      </c>
      <c r="AW84" s="2087">
        <f>AW83-AW73-AW82</f>
        <v>4921488.0529475417</v>
      </c>
      <c r="AX84" s="2078"/>
      <c r="AY84" s="1461"/>
    </row>
    <row r="85" spans="1:51" s="1396" customFormat="1" ht="13.8" outlineLevel="3">
      <c r="A85" s="1565"/>
      <c r="B85" s="1557" t="s">
        <v>44</v>
      </c>
      <c r="C85" s="1510"/>
      <c r="D85" s="1511"/>
      <c r="E85" s="1515">
        <f>C85+D85</f>
        <v>0</v>
      </c>
      <c r="F85" s="1558">
        <f>E85/$E$89</f>
        <v>0</v>
      </c>
      <c r="G85" s="1432">
        <v>0</v>
      </c>
      <c r="H85" s="1432">
        <v>0</v>
      </c>
      <c r="I85" s="1560">
        <v>0</v>
      </c>
      <c r="J85" s="1587"/>
      <c r="K85" s="1587"/>
      <c r="L85" s="1432"/>
      <c r="M85" s="1432"/>
      <c r="N85" s="1560">
        <f>L85+M85*1.15</f>
        <v>0</v>
      </c>
      <c r="O85" s="1477"/>
      <c r="P85" s="1477"/>
      <c r="Q85" s="1432"/>
      <c r="R85" s="1432"/>
      <c r="S85" s="1560">
        <f>Q85+R85*1.15</f>
        <v>0</v>
      </c>
      <c r="T85" s="1477"/>
      <c r="U85" s="1477"/>
      <c r="V85" s="1432"/>
      <c r="W85" s="1432"/>
      <c r="X85" s="1560">
        <f>V85+W85*1.15</f>
        <v>0</v>
      </c>
      <c r="Y85" s="1477"/>
      <c r="Z85" s="1477"/>
      <c r="AA85" s="1432"/>
      <c r="AB85" s="1432"/>
      <c r="AC85" s="1560">
        <f>AA85+AB85*1.15</f>
        <v>0</v>
      </c>
      <c r="AD85" s="1477"/>
      <c r="AE85" s="1477"/>
      <c r="AF85" s="1432"/>
      <c r="AG85" s="1432"/>
      <c r="AH85" s="1560">
        <f>AF85+AG85*1.15</f>
        <v>0</v>
      </c>
      <c r="AI85" s="1477"/>
      <c r="AJ85" s="1477"/>
      <c r="AK85" s="1432"/>
      <c r="AL85" s="1432"/>
      <c r="AM85" s="1560">
        <f>AK85+AL85*1.15</f>
        <v>0</v>
      </c>
      <c r="AN85" s="1477"/>
      <c r="AO85" s="1477"/>
      <c r="AP85" s="1432"/>
      <c r="AQ85" s="1432"/>
      <c r="AR85" s="2012">
        <f>AP85+AQ85*1.15</f>
        <v>0</v>
      </c>
      <c r="AS85" s="1476"/>
      <c r="AT85" s="1476"/>
      <c r="AU85" s="1432">
        <f>G85+L85+Q85+V85+AA85+AF85+AK85+AP85</f>
        <v>0</v>
      </c>
      <c r="AV85" s="1432">
        <f>H85+M85+R85+W85+AB85+AG85+AL85+AQ85</f>
        <v>0</v>
      </c>
      <c r="AW85" s="1480">
        <f>AU85+AV85*1.15</f>
        <v>0</v>
      </c>
      <c r="AX85" s="1476"/>
      <c r="AY85" s="1477"/>
    </row>
    <row r="86" spans="1:51" s="1396" customFormat="1" ht="27.6">
      <c r="A86" s="1405"/>
      <c r="B86" s="1430" t="s">
        <v>50</v>
      </c>
      <c r="C86" s="1518">
        <f>C84-C85</f>
        <v>8142741</v>
      </c>
      <c r="D86" s="1518">
        <f>D84-D85</f>
        <v>-3124013</v>
      </c>
      <c r="E86" s="1519">
        <f>E84-E85</f>
        <v>5018728</v>
      </c>
      <c r="F86" s="1538"/>
      <c r="G86" s="1519">
        <v>2477509.406</v>
      </c>
      <c r="H86" s="1519">
        <v>-1810352.1500000001</v>
      </c>
      <c r="I86" s="1519">
        <v>3141939.8029475408</v>
      </c>
      <c r="J86" s="1538"/>
      <c r="K86" s="1538"/>
      <c r="L86" s="1519">
        <f>L84-L85</f>
        <v>1823124</v>
      </c>
      <c r="M86" s="1519">
        <f>M84-M85</f>
        <v>0</v>
      </c>
      <c r="N86" s="1519">
        <f>N84-N85</f>
        <v>1823124</v>
      </c>
      <c r="O86" s="1456"/>
      <c r="P86" s="1456"/>
      <c r="Q86" s="1519">
        <f>Q84-Q85</f>
        <v>0</v>
      </c>
      <c r="R86" s="1519">
        <f>R84-R85</f>
        <v>0</v>
      </c>
      <c r="S86" s="1519">
        <f>S84-S85</f>
        <v>0</v>
      </c>
      <c r="T86" s="1456"/>
      <c r="U86" s="1456"/>
      <c r="V86" s="1519">
        <f>V84-V85</f>
        <v>-6091.079999999999</v>
      </c>
      <c r="W86" s="1519">
        <f>W84-W85</f>
        <v>0</v>
      </c>
      <c r="X86" s="1519">
        <f>X84-X85</f>
        <v>-6091.079999999999</v>
      </c>
      <c r="Y86" s="1456"/>
      <c r="Z86" s="1456"/>
      <c r="AA86" s="1519">
        <f>AA84-AA85</f>
        <v>0</v>
      </c>
      <c r="AB86" s="1519">
        <f>AB84-AB85</f>
        <v>0</v>
      </c>
      <c r="AC86" s="1519" t="e">
        <f>AC84-AC85</f>
        <v>#DIV/0!</v>
      </c>
      <c r="AD86" s="1456"/>
      <c r="AE86" s="1456"/>
      <c r="AF86" s="1519">
        <f>AF84-AF85</f>
        <v>1188021.99</v>
      </c>
      <c r="AG86" s="1519">
        <f>AG84-AG85</f>
        <v>0</v>
      </c>
      <c r="AH86" s="1519">
        <f>AH84-AH85</f>
        <v>1188021.99</v>
      </c>
      <c r="AI86" s="1456"/>
      <c r="AJ86" s="1456"/>
      <c r="AK86" s="1519">
        <f>AK84-AK85</f>
        <v>0</v>
      </c>
      <c r="AL86" s="1519">
        <f>AL84-AL85</f>
        <v>0</v>
      </c>
      <c r="AM86" s="1519">
        <f>AM84-AM85</f>
        <v>0</v>
      </c>
      <c r="AN86" s="1456"/>
      <c r="AO86" s="1456"/>
      <c r="AP86" s="1903">
        <f>AP84-AP85</f>
        <v>-1225506.6599999999</v>
      </c>
      <c r="AQ86" s="1903">
        <f>AQ84-AQ85</f>
        <v>0</v>
      </c>
      <c r="AR86" s="1903">
        <f>AR84-AR85</f>
        <v>-1225506.6599999999</v>
      </c>
      <c r="AS86" s="1904"/>
      <c r="AT86" s="1904"/>
      <c r="AU86" s="1519">
        <f>AU84-AU85</f>
        <v>10312031.965999998</v>
      </c>
      <c r="AV86" s="1519">
        <f>AV84-AV85</f>
        <v>-4716076.66</v>
      </c>
      <c r="AW86" s="1519">
        <f>AW84-AW85</f>
        <v>4921488.0529475417</v>
      </c>
      <c r="AX86" s="1456"/>
      <c r="AY86" s="1456"/>
    </row>
    <row r="87" spans="1:51" s="1396" customFormat="1" ht="14.4" thickBot="1">
      <c r="A87" s="1567"/>
      <c r="B87" s="1422" t="s">
        <v>51</v>
      </c>
      <c r="C87" s="1524">
        <f>C86/C5</f>
        <v>0.48367182924409841</v>
      </c>
      <c r="D87" s="1520" t="e">
        <f>D86/D5</f>
        <v>#DIV/0!</v>
      </c>
      <c r="E87" s="1370">
        <f>E86/E5</f>
        <v>0.29810813732606445</v>
      </c>
      <c r="F87" s="1372"/>
      <c r="G87" s="1524">
        <v>0.14313787651351792</v>
      </c>
      <c r="H87" s="1520" t="e">
        <v>#DIV/0!</v>
      </c>
      <c r="I87" s="1370">
        <v>0.18152528117070324</v>
      </c>
      <c r="J87" s="1717"/>
      <c r="K87" s="1372"/>
      <c r="L87" s="1524">
        <f>L86/L5</f>
        <v>0.99948768090497098</v>
      </c>
      <c r="M87" s="1520" t="e">
        <f>M86/M5</f>
        <v>#DIV/0!</v>
      </c>
      <c r="N87" s="1370">
        <f>N86/N5</f>
        <v>0.99948768090497098</v>
      </c>
      <c r="O87" s="1365"/>
      <c r="P87" s="1365"/>
      <c r="Q87" s="1524" t="e">
        <f>Q86/Q5</f>
        <v>#DIV/0!</v>
      </c>
      <c r="R87" s="1520" t="e">
        <f>R86/R5</f>
        <v>#DIV/0!</v>
      </c>
      <c r="S87" s="1370" t="e">
        <f>S86/S5</f>
        <v>#DIV/0!</v>
      </c>
      <c r="T87" s="1365"/>
      <c r="U87" s="1365"/>
      <c r="V87" s="1524" t="e">
        <f>V86/V5</f>
        <v>#DIV/0!</v>
      </c>
      <c r="W87" s="1520" t="e">
        <f>W86/W5</f>
        <v>#DIV/0!</v>
      </c>
      <c r="X87" s="1370" t="e">
        <f>X86/X5</f>
        <v>#DIV/0!</v>
      </c>
      <c r="Y87" s="1365"/>
      <c r="Z87" s="1365"/>
      <c r="AA87" s="1524" t="e">
        <f>AA86/AA5</f>
        <v>#DIV/0!</v>
      </c>
      <c r="AB87" s="1520" t="e">
        <f>AB86/AB5</f>
        <v>#DIV/0!</v>
      </c>
      <c r="AC87" s="1370" t="e">
        <f>AC86/AC5</f>
        <v>#DIV/0!</v>
      </c>
      <c r="AD87" s="1365"/>
      <c r="AE87" s="1365"/>
      <c r="AF87" s="1524">
        <f>AF86/AF5</f>
        <v>1</v>
      </c>
      <c r="AG87" s="1520" t="e">
        <f>AG86/AG5</f>
        <v>#DIV/0!</v>
      </c>
      <c r="AH87" s="1370">
        <f>AH86/AH5</f>
        <v>1</v>
      </c>
      <c r="AI87" s="1365"/>
      <c r="AJ87" s="1365"/>
      <c r="AK87" s="1524" t="e">
        <f>AK86/AK5</f>
        <v>#DIV/0!</v>
      </c>
      <c r="AL87" s="1520" t="e">
        <f>AL86/AL5</f>
        <v>#DIV/0!</v>
      </c>
      <c r="AM87" s="1370" t="e">
        <f>AM86/AM5</f>
        <v>#DIV/0!</v>
      </c>
      <c r="AN87" s="1365"/>
      <c r="AO87" s="1365"/>
      <c r="AP87" s="1171" t="e">
        <f>AP86/AP5</f>
        <v>#DIV/0!</v>
      </c>
      <c r="AQ87" s="1172" t="e">
        <f>AQ86/AQ5</f>
        <v>#DIV/0!</v>
      </c>
      <c r="AR87" s="1370" t="e">
        <f>AR86/AR5</f>
        <v>#DIV/0!</v>
      </c>
      <c r="AS87" s="1365"/>
      <c r="AT87" s="1365"/>
      <c r="AU87" s="1524">
        <f>AU86/AU5</f>
        <v>0.50746608771435164</v>
      </c>
      <c r="AV87" s="1520" t="e">
        <f>AV86/AV5</f>
        <v>#DIV/0!</v>
      </c>
      <c r="AW87" s="1370">
        <f>AW86/AW5</f>
        <v>0.24219167436609276</v>
      </c>
      <c r="AX87" s="1365"/>
      <c r="AY87" s="1365"/>
    </row>
    <row r="88" spans="1:51" ht="13.8">
      <c r="A88" s="1423"/>
      <c r="B88" s="1423"/>
      <c r="C88" s="1521"/>
      <c r="D88" s="1521"/>
      <c r="E88" s="1521"/>
      <c r="F88" s="1549"/>
      <c r="G88" s="1549"/>
      <c r="H88" s="1549"/>
      <c r="I88" s="1549"/>
      <c r="J88" s="1549"/>
      <c r="K88" s="1549"/>
      <c r="L88" s="1458"/>
      <c r="M88" s="1458"/>
      <c r="N88" s="1458"/>
      <c r="O88" s="1458"/>
      <c r="P88" s="1458"/>
      <c r="Q88" s="1458"/>
      <c r="R88" s="1458"/>
      <c r="S88" s="1458"/>
      <c r="T88" s="1458"/>
      <c r="U88" s="1458"/>
      <c r="V88" s="1458"/>
      <c r="W88" s="1458"/>
      <c r="X88" s="1458"/>
      <c r="Y88" s="1458"/>
      <c r="Z88" s="1458"/>
      <c r="AA88" s="1458"/>
      <c r="AB88" s="1458"/>
      <c r="AC88" s="1458"/>
      <c r="AD88" s="1458"/>
      <c r="AE88" s="1458"/>
      <c r="AF88" s="1458"/>
      <c r="AG88" s="1458"/>
      <c r="AH88" s="1458"/>
      <c r="AI88" s="1458"/>
      <c r="AJ88" s="1458"/>
      <c r="AK88" s="1458"/>
      <c r="AL88" s="1458"/>
      <c r="AM88" s="1458"/>
      <c r="AN88" s="1458"/>
      <c r="AO88" s="1458"/>
      <c r="AP88" s="1458"/>
      <c r="AQ88" s="1458"/>
      <c r="AR88" s="1458"/>
      <c r="AS88" s="1458"/>
      <c r="AT88" s="1458"/>
      <c r="AU88" s="1458"/>
      <c r="AV88" s="1458"/>
      <c r="AW88" s="1458"/>
      <c r="AX88" s="1458"/>
      <c r="AY88" s="1458"/>
    </row>
    <row r="89" spans="1:51">
      <c r="B89" s="1562" t="s">
        <v>56</v>
      </c>
      <c r="C89" s="1522"/>
      <c r="D89" s="1522"/>
      <c r="E89" s="1523">
        <f>E8+E36+E41+E50+E54+E73+E79+E82+E85</f>
        <v>11816532</v>
      </c>
      <c r="F89" s="1523"/>
      <c r="G89" s="1523"/>
      <c r="H89" s="1523"/>
      <c r="I89" s="1523">
        <v>14166612.387052456</v>
      </c>
      <c r="J89" s="1523"/>
      <c r="K89" s="1523"/>
      <c r="L89" s="1523"/>
      <c r="M89" s="1523"/>
      <c r="N89" s="1523">
        <f>N8+N36+N41+N50+N54+N73+N79+N82+N85</f>
        <v>934.5</v>
      </c>
      <c r="O89" s="1523"/>
      <c r="P89" s="1523"/>
      <c r="Q89" s="1523"/>
      <c r="R89" s="1523"/>
      <c r="S89" s="1523">
        <f>S8+S36+S41+S50+S54+S73+S79+S82+S85</f>
        <v>0</v>
      </c>
      <c r="X89" s="1523">
        <f>X8+X36+X41+X50+X54+X73+X79+X82+X85</f>
        <v>6091.079999999999</v>
      </c>
      <c r="AC89" s="1523" t="e">
        <f>AC8+AC36+AC41+AC50+AC54+AC73+AC79+AC82+AC85</f>
        <v>#DIV/0!</v>
      </c>
      <c r="AH89" s="1523">
        <f>AH8+AH36+AH41+AH50+AH54+AH73+AH79+AH82+AH85</f>
        <v>0</v>
      </c>
      <c r="AM89" s="1523">
        <f>AM8+AM36+AM41+AM50+AM54+AM73+AM79+AM82+AM85</f>
        <v>0</v>
      </c>
      <c r="AR89" s="1523">
        <f>AR8+AR36+AR41+AR50+AR54+AR73+AR79+AR82+AR85</f>
        <v>1225506.6599999999</v>
      </c>
      <c r="AW89" s="1523">
        <f>AW8+AW36+AW41+AW50+AW54+AW73+AW79+AW82+AW85</f>
        <v>15399144.627052454</v>
      </c>
    </row>
    <row r="90" spans="1:51">
      <c r="C90" s="1522"/>
      <c r="D90" s="1522"/>
      <c r="E90" s="1522"/>
      <c r="I90" s="1431" t="b">
        <v>1</v>
      </c>
      <c r="AW90" s="1592" t="b">
        <f>(N89+I89+S89+X89+AR89)=AW89</f>
        <v>1</v>
      </c>
    </row>
    <row r="91" spans="1:51" s="1396" customFormat="1">
      <c r="A91" s="1402"/>
      <c r="B91" s="1402"/>
      <c r="C91" s="1522"/>
      <c r="D91" s="1522"/>
      <c r="E91" s="1522"/>
      <c r="F91" s="1431"/>
      <c r="G91" s="1431"/>
      <c r="H91" s="1431"/>
      <c r="I91" s="1431"/>
      <c r="J91" s="1431"/>
      <c r="K91" s="1431"/>
      <c r="L91" s="1431"/>
      <c r="M91" s="1431"/>
      <c r="N91" s="1431"/>
      <c r="O91" s="1431"/>
      <c r="P91" s="1431"/>
      <c r="Q91" s="1431"/>
      <c r="R91" s="1431"/>
      <c r="S91" s="1431"/>
      <c r="T91" s="1431"/>
      <c r="U91" s="1431"/>
      <c r="V91" s="1431"/>
      <c r="W91" s="1431"/>
      <c r="X91" s="1431"/>
      <c r="Y91" s="1431"/>
      <c r="Z91" s="1431"/>
      <c r="AA91" s="1431"/>
      <c r="AB91" s="1431"/>
      <c r="AC91" s="1431"/>
      <c r="AD91" s="1431"/>
      <c r="AE91" s="1431"/>
      <c r="AF91" s="1431"/>
      <c r="AG91" s="1431"/>
      <c r="AH91" s="1431"/>
      <c r="AI91" s="1431"/>
      <c r="AJ91" s="1431"/>
      <c r="AK91" s="1431"/>
      <c r="AL91" s="1431"/>
      <c r="AM91" s="1431"/>
      <c r="AN91" s="1431"/>
      <c r="AO91" s="1431"/>
      <c r="AP91" s="1431"/>
      <c r="AQ91" s="1431"/>
      <c r="AR91" s="1431"/>
      <c r="AS91" s="1431"/>
      <c r="AT91" s="1431"/>
      <c r="AU91" s="1431"/>
      <c r="AV91" s="1431"/>
      <c r="AW91" s="1431"/>
      <c r="AX91" s="1431"/>
      <c r="AY91" s="1431"/>
    </row>
    <row r="92" spans="1:51">
      <c r="C92" s="1431"/>
      <c r="D92" s="1431"/>
    </row>
    <row r="93" spans="1:51" s="1396" customFormat="1">
      <c r="A93" s="1402"/>
      <c r="B93" s="1655"/>
      <c r="C93" s="1431"/>
      <c r="D93" s="1431"/>
      <c r="E93" s="1431"/>
      <c r="F93" s="1431"/>
      <c r="G93" s="1431"/>
      <c r="H93" s="1431"/>
      <c r="I93" s="1431"/>
      <c r="J93" s="1431"/>
      <c r="K93" s="1431"/>
      <c r="L93" s="1431"/>
      <c r="M93" s="1431"/>
      <c r="N93" s="1431"/>
      <c r="O93" s="1431"/>
      <c r="P93" s="1431"/>
      <c r="Q93" s="1431"/>
      <c r="R93" s="1431"/>
      <c r="S93" s="1431"/>
      <c r="T93" s="1431"/>
      <c r="U93" s="1431"/>
      <c r="V93" s="1431"/>
      <c r="W93" s="1431"/>
      <c r="X93" s="1431"/>
      <c r="Y93" s="1431"/>
      <c r="Z93" s="1431"/>
      <c r="AA93" s="1431"/>
      <c r="AB93" s="1431"/>
      <c r="AC93" s="1431"/>
      <c r="AD93" s="1431"/>
      <c r="AE93" s="1431"/>
      <c r="AF93" s="1431"/>
      <c r="AG93" s="1431"/>
      <c r="AH93" s="1431"/>
      <c r="AI93" s="1431"/>
      <c r="AJ93" s="1431"/>
      <c r="AK93" s="1431"/>
      <c r="AL93" s="1431"/>
      <c r="AM93" s="1431"/>
      <c r="AN93" s="1431"/>
      <c r="AO93" s="1431"/>
      <c r="AP93" s="1431"/>
      <c r="AQ93" s="1431"/>
      <c r="AR93" s="1431"/>
      <c r="AS93" s="1431"/>
      <c r="AT93" s="1431"/>
      <c r="AU93" s="1431"/>
      <c r="AV93" s="1431"/>
      <c r="AW93" s="2103">
        <v>4174075.9</v>
      </c>
      <c r="AX93" s="1431"/>
      <c r="AY93" s="1431"/>
    </row>
    <row r="94" spans="1:51" s="1396" customFormat="1">
      <c r="A94" s="1402"/>
      <c r="B94" s="1655"/>
      <c r="C94" s="1431"/>
      <c r="D94" s="1431"/>
      <c r="E94" s="1431"/>
      <c r="F94" s="1431"/>
      <c r="G94" s="1431"/>
      <c r="H94" s="1431"/>
      <c r="I94" s="1431"/>
      <c r="J94" s="1431"/>
      <c r="K94" s="1431"/>
      <c r="L94" s="1431"/>
      <c r="M94" s="1431"/>
      <c r="N94" s="1431"/>
      <c r="O94" s="1431"/>
      <c r="P94" s="1431"/>
      <c r="Q94" s="1654"/>
      <c r="R94" s="1431"/>
      <c r="S94" s="1431"/>
      <c r="T94" s="1431"/>
      <c r="U94" s="1431"/>
      <c r="V94" s="1431"/>
      <c r="W94" s="1431"/>
      <c r="X94" s="1431"/>
      <c r="Y94" s="1431"/>
      <c r="Z94" s="1431"/>
      <c r="AA94" s="1431"/>
      <c r="AB94" s="1431"/>
      <c r="AC94" s="1431"/>
      <c r="AD94" s="1431"/>
      <c r="AE94" s="1431"/>
      <c r="AF94" s="1431"/>
      <c r="AG94" s="1431"/>
      <c r="AH94" s="1431"/>
      <c r="AI94" s="1431"/>
      <c r="AJ94" s="1431"/>
      <c r="AK94" s="1431"/>
      <c r="AL94" s="1431"/>
      <c r="AM94" s="1431"/>
      <c r="AN94" s="1431"/>
      <c r="AO94" s="1431"/>
      <c r="AP94" s="1431"/>
      <c r="AQ94" s="1431"/>
      <c r="AR94" s="1431"/>
      <c r="AS94" s="1431"/>
      <c r="AT94" s="1431"/>
      <c r="AU94" s="1654"/>
      <c r="AV94" s="1431"/>
      <c r="AW94" s="1431">
        <f>AW93-AW86</f>
        <v>-747412.15294754179</v>
      </c>
      <c r="AX94" s="1431"/>
      <c r="AY94" s="1431"/>
    </row>
    <row r="95" spans="1:51" s="1396" customFormat="1">
      <c r="A95" s="1402"/>
      <c r="B95" s="1655"/>
      <c r="C95" s="1431"/>
      <c r="D95" s="1431"/>
      <c r="E95" s="1431"/>
      <c r="F95" s="1431"/>
      <c r="G95" s="1431"/>
      <c r="H95" s="1431"/>
      <c r="I95" s="1431"/>
      <c r="J95" s="1431"/>
      <c r="K95" s="1431"/>
      <c r="L95" s="1431"/>
      <c r="M95" s="1431"/>
      <c r="N95" s="1431"/>
      <c r="O95" s="1431"/>
      <c r="P95" s="1431"/>
      <c r="Q95" s="1431"/>
      <c r="R95" s="1431"/>
      <c r="S95" s="1431"/>
      <c r="T95" s="1431"/>
      <c r="U95" s="1431"/>
      <c r="V95" s="1431"/>
      <c r="W95" s="1431"/>
      <c r="X95" s="1431"/>
      <c r="Y95" s="1431"/>
      <c r="Z95" s="1431"/>
      <c r="AA95" s="1431"/>
      <c r="AB95" s="1431"/>
      <c r="AC95" s="1431"/>
      <c r="AD95" s="1431"/>
      <c r="AE95" s="1431"/>
      <c r="AF95" s="1431"/>
      <c r="AG95" s="1431"/>
      <c r="AH95" s="1431"/>
      <c r="AI95" s="1431"/>
      <c r="AJ95" s="1431"/>
      <c r="AK95" s="1431"/>
      <c r="AL95" s="1431"/>
      <c r="AM95" s="1431"/>
      <c r="AN95" s="1431"/>
      <c r="AO95" s="1431"/>
      <c r="AP95" s="1431"/>
      <c r="AQ95" s="1431"/>
      <c r="AR95" s="1431"/>
      <c r="AS95" s="1431"/>
      <c r="AT95" s="1431"/>
      <c r="AU95" s="1431"/>
      <c r="AV95" s="1431"/>
      <c r="AW95" s="1431"/>
      <c r="AX95" s="1431"/>
      <c r="AY95" s="1431"/>
    </row>
    <row r="96" spans="1:51" s="1396" customFormat="1">
      <c r="A96" s="1402"/>
      <c r="B96" s="1655"/>
      <c r="C96" s="1431"/>
      <c r="D96" s="1431"/>
      <c r="E96" s="1431"/>
      <c r="F96" s="1431"/>
      <c r="G96" s="1431"/>
      <c r="H96" s="1431"/>
      <c r="I96" s="1431"/>
      <c r="J96" s="1431"/>
      <c r="K96" s="1431"/>
      <c r="L96" s="1431"/>
      <c r="M96" s="1431"/>
      <c r="N96" s="1431"/>
      <c r="O96" s="1431"/>
      <c r="P96" s="1431"/>
      <c r="Q96" s="1431"/>
      <c r="R96" s="1431"/>
      <c r="S96" s="1431"/>
      <c r="T96" s="1431"/>
      <c r="U96" s="1431"/>
      <c r="V96" s="1431"/>
      <c r="W96" s="1431"/>
      <c r="X96" s="1431"/>
      <c r="Y96" s="1431"/>
      <c r="Z96" s="1431"/>
      <c r="AA96" s="1431"/>
      <c r="AB96" s="1431"/>
      <c r="AC96" s="1431"/>
      <c r="AD96" s="1431"/>
      <c r="AE96" s="1431"/>
      <c r="AF96" s="1431"/>
      <c r="AG96" s="1431"/>
      <c r="AH96" s="1431"/>
      <c r="AI96" s="1431"/>
      <c r="AJ96" s="1431"/>
      <c r="AK96" s="1431"/>
      <c r="AL96" s="1431"/>
      <c r="AM96" s="1431"/>
      <c r="AN96" s="1431"/>
      <c r="AO96" s="1431"/>
      <c r="AP96" s="1431"/>
      <c r="AQ96" s="1431"/>
      <c r="AR96" s="1431"/>
      <c r="AS96" s="1431"/>
      <c r="AT96" s="1431"/>
      <c r="AU96" s="1431"/>
      <c r="AV96" s="1431"/>
      <c r="AW96" s="1431"/>
      <c r="AX96" s="1431"/>
      <c r="AY96" s="1431"/>
    </row>
    <row r="97" spans="1:51">
      <c r="C97" s="1431"/>
      <c r="D97" s="1431"/>
    </row>
    <row r="98" spans="1:51" s="1396" customFormat="1">
      <c r="A98" s="1402"/>
      <c r="B98" s="1402"/>
      <c r="C98" s="1431"/>
      <c r="D98" s="1431"/>
      <c r="E98" s="1431"/>
      <c r="F98" s="1431"/>
      <c r="G98" s="1431"/>
      <c r="H98" s="1431"/>
      <c r="I98" s="1431"/>
      <c r="J98" s="1431"/>
      <c r="K98" s="1431"/>
      <c r="L98" s="1431"/>
      <c r="M98" s="1431"/>
      <c r="N98" s="1431"/>
      <c r="O98" s="1431"/>
      <c r="P98" s="1431"/>
      <c r="Q98" s="1431"/>
      <c r="R98" s="1431"/>
      <c r="S98" s="1431"/>
      <c r="T98" s="1431"/>
      <c r="U98" s="1431"/>
      <c r="V98" s="1431"/>
      <c r="W98" s="1431"/>
      <c r="X98" s="1431"/>
      <c r="Y98" s="1431"/>
      <c r="Z98" s="1431"/>
      <c r="AA98" s="1431"/>
      <c r="AB98" s="1431"/>
      <c r="AC98" s="1431"/>
      <c r="AD98" s="1431"/>
      <c r="AE98" s="1431"/>
      <c r="AF98" s="1431"/>
      <c r="AG98" s="1431"/>
      <c r="AH98" s="1431"/>
      <c r="AI98" s="1431"/>
      <c r="AJ98" s="1431"/>
      <c r="AK98" s="1431"/>
      <c r="AL98" s="1431"/>
      <c r="AM98" s="1431"/>
      <c r="AN98" s="1431"/>
      <c r="AO98" s="1431"/>
      <c r="AP98" s="1431"/>
      <c r="AQ98" s="1431"/>
      <c r="AR98" s="1431"/>
      <c r="AS98" s="1431"/>
      <c r="AT98" s="1431"/>
      <c r="AU98" s="1431"/>
      <c r="AV98" s="1431"/>
      <c r="AW98" s="1431"/>
      <c r="AX98" s="1431"/>
      <c r="AY98" s="1431"/>
    </row>
    <row r="99" spans="1:51">
      <c r="C99" s="1431"/>
      <c r="D99" s="1431"/>
    </row>
  </sheetData>
  <mergeCells count="12">
    <mergeCell ref="A3:F3"/>
    <mergeCell ref="A42:A48"/>
    <mergeCell ref="A2:F2"/>
    <mergeCell ref="L2:P3"/>
    <mergeCell ref="AA2:AE3"/>
    <mergeCell ref="AU2:AX3"/>
    <mergeCell ref="AF2:AJ3"/>
    <mergeCell ref="AK2:AO3"/>
    <mergeCell ref="AP2:AT3"/>
    <mergeCell ref="G2:K3"/>
    <mergeCell ref="Q2:U3"/>
    <mergeCell ref="V2:Z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BI99"/>
  <sheetViews>
    <sheetView showZeros="0" zoomScale="70" zoomScaleNormal="70" workbookViewId="0">
      <pane xSplit="6" ySplit="5" topLeftCell="BE6"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2"/>
  <cols>
    <col min="1" max="1" width="5.5546875" style="8" customWidth="1"/>
    <col min="2" max="2" width="55" style="8" customWidth="1"/>
    <col min="3" max="3" width="17.5546875" style="77" hidden="1" customWidth="1" outlineLevel="2"/>
    <col min="4" max="4" width="13.44140625" style="77" hidden="1" customWidth="1" outlineLevel="2"/>
    <col min="5" max="5" width="16.33203125" style="38" hidden="1" customWidth="1" outlineLevel="2"/>
    <col min="6" max="6" width="9.5546875" style="38" hidden="1" customWidth="1" outlineLevel="2"/>
    <col min="7" max="9" width="16.33203125" style="38" hidden="1" customWidth="1" outlineLevel="1"/>
    <col min="10" max="10" width="13.6640625" style="38" hidden="1" customWidth="1" outlineLevel="1"/>
    <col min="11" max="14" width="16.33203125" style="38" hidden="1" customWidth="1" outlineLevel="1"/>
    <col min="15" max="15" width="9" style="38" hidden="1" customWidth="1" outlineLevel="1"/>
    <col min="16" max="25" width="16.33203125" style="38" hidden="1" customWidth="1" outlineLevel="1"/>
    <col min="26" max="26" width="30.6640625" style="38" hidden="1" customWidth="1" outlineLevel="1"/>
    <col min="27" max="27" width="18.88671875" style="38" hidden="1" customWidth="1" outlineLevel="1"/>
    <col min="28" max="28" width="22.44140625" style="38" hidden="1" customWidth="1" outlineLevel="1"/>
    <col min="29" max="29" width="19.6640625" style="38" hidden="1" customWidth="1" outlineLevel="1"/>
    <col min="30" max="30" width="19.44140625" style="38" hidden="1" customWidth="1" outlineLevel="1"/>
    <col min="31" max="31" width="30.6640625" style="38" hidden="1" customWidth="1" outlineLevel="1"/>
    <col min="32" max="32" width="21.88671875" style="38" hidden="1" customWidth="1" outlineLevel="1"/>
    <col min="33" max="33" width="21" style="38" hidden="1" customWidth="1" outlineLevel="1"/>
    <col min="34" max="34" width="20.6640625" style="38" hidden="1" customWidth="1" outlineLevel="1"/>
    <col min="35" max="35" width="10" style="38" hidden="1" customWidth="1" outlineLevel="1"/>
    <col min="36" max="36" width="30.6640625" style="38" hidden="1" customWidth="1" outlineLevel="1"/>
    <col min="37" max="38" width="16.44140625" style="38" hidden="1" customWidth="1" outlineLevel="1"/>
    <col min="39" max="39" width="16.109375" style="38" hidden="1" customWidth="1" outlineLevel="1"/>
    <col min="40" max="40" width="9.44140625" style="38" hidden="1" customWidth="1" outlineLevel="1"/>
    <col min="41" max="41" width="25.33203125" style="38" hidden="1" customWidth="1" outlineLevel="1"/>
    <col min="42" max="45" width="15.88671875" style="38" hidden="1" customWidth="1" outlineLevel="1"/>
    <col min="46" max="46" width="23.6640625" style="38" hidden="1" customWidth="1" outlineLevel="1"/>
    <col min="47" max="48" width="16.44140625" style="38" hidden="1" customWidth="1" outlineLevel="1"/>
    <col min="49" max="49" width="16.109375" style="38" hidden="1" customWidth="1" outlineLevel="1"/>
    <col min="50" max="50" width="24.33203125" style="38" hidden="1" customWidth="1" outlineLevel="1"/>
    <col min="51" max="51" width="13.109375" style="38" hidden="1" customWidth="1" outlineLevel="1"/>
    <col min="52" max="53" width="16.44140625" style="1431" hidden="1" customWidth="1" outlineLevel="1"/>
    <col min="54" max="54" width="16.109375" style="1431" hidden="1" customWidth="1" outlineLevel="1"/>
    <col min="55" max="55" width="24.33203125" style="1431" hidden="1" customWidth="1" outlineLevel="1"/>
    <col min="56" max="56" width="37.6640625" style="1431" hidden="1" customWidth="1" outlineLevel="1"/>
    <col min="57" max="57" width="16.33203125" style="38" customWidth="1" collapsed="1"/>
    <col min="58" max="59" width="16.33203125" style="38" customWidth="1"/>
    <col min="60" max="60" width="9" style="38" customWidth="1"/>
    <col min="61" max="61" width="16.33203125" style="38" customWidth="1"/>
    <col min="62" max="16384" width="7.44140625" style="1"/>
  </cols>
  <sheetData>
    <row r="1" spans="1:61" ht="13.8" thickBot="1">
      <c r="C1" s="38"/>
      <c r="D1" s="38"/>
    </row>
    <row r="2" spans="1:61" ht="22.2" customHeight="1">
      <c r="A2" s="4834" t="s">
        <v>234</v>
      </c>
      <c r="B2" s="4835"/>
      <c r="C2" s="4835"/>
      <c r="D2" s="4835"/>
      <c r="E2" s="4835"/>
      <c r="F2" s="4836"/>
      <c r="G2" s="4837" t="s">
        <v>465</v>
      </c>
      <c r="H2" s="4838"/>
      <c r="I2" s="4838"/>
      <c r="J2" s="4838"/>
      <c r="K2" s="4998"/>
      <c r="L2" s="4837" t="s">
        <v>466</v>
      </c>
      <c r="M2" s="4838"/>
      <c r="N2" s="4838"/>
      <c r="O2" s="4838"/>
      <c r="P2" s="378"/>
      <c r="Q2" s="4892" t="s">
        <v>715</v>
      </c>
      <c r="R2" s="4893"/>
      <c r="S2" s="4893"/>
      <c r="T2" s="4893"/>
      <c r="U2" s="4894"/>
      <c r="V2" s="4892" t="s">
        <v>775</v>
      </c>
      <c r="W2" s="4893"/>
      <c r="X2" s="4893"/>
      <c r="Y2" s="4893"/>
      <c r="Z2" s="4894"/>
      <c r="AA2" s="4922" t="s">
        <v>821</v>
      </c>
      <c r="AB2" s="4923"/>
      <c r="AC2" s="4923"/>
      <c r="AD2" s="4923"/>
      <c r="AE2" s="4924"/>
      <c r="AF2" s="4955" t="s">
        <v>867</v>
      </c>
      <c r="AG2" s="4956"/>
      <c r="AH2" s="4956"/>
      <c r="AI2" s="4956"/>
      <c r="AJ2" s="4957"/>
      <c r="AK2" s="4934" t="s">
        <v>891</v>
      </c>
      <c r="AL2" s="4935"/>
      <c r="AM2" s="4935"/>
      <c r="AN2" s="4935"/>
      <c r="AO2" s="4936"/>
      <c r="AP2" s="4910" t="s">
        <v>942</v>
      </c>
      <c r="AQ2" s="4911"/>
      <c r="AR2" s="4911"/>
      <c r="AS2" s="4911"/>
      <c r="AT2" s="4912"/>
      <c r="AU2" s="5000" t="s">
        <v>948</v>
      </c>
      <c r="AV2" s="5001"/>
      <c r="AW2" s="5001"/>
      <c r="AX2" s="5001"/>
      <c r="AY2" s="5002"/>
      <c r="AZ2" s="4841" t="s">
        <v>1232</v>
      </c>
      <c r="BA2" s="4842"/>
      <c r="BB2" s="4842"/>
      <c r="BC2" s="4842"/>
      <c r="BD2" s="4843"/>
      <c r="BE2" s="4988" t="s">
        <v>469</v>
      </c>
      <c r="BF2" s="4989"/>
      <c r="BG2" s="4989"/>
      <c r="BH2" s="4989"/>
      <c r="BI2" s="384"/>
    </row>
    <row r="3" spans="1:61" ht="14.4" customHeight="1" thickBot="1">
      <c r="A3" s="4853" t="s">
        <v>54</v>
      </c>
      <c r="B3" s="4854"/>
      <c r="C3" s="4854"/>
      <c r="D3" s="4854"/>
      <c r="E3" s="4854"/>
      <c r="F3" s="4855"/>
      <c r="G3" s="4839"/>
      <c r="H3" s="4840"/>
      <c r="I3" s="4840"/>
      <c r="J3" s="4840"/>
      <c r="K3" s="4999"/>
      <c r="L3" s="4839"/>
      <c r="M3" s="4840"/>
      <c r="N3" s="4840"/>
      <c r="O3" s="4840"/>
      <c r="P3" s="379"/>
      <c r="Q3" s="4895"/>
      <c r="R3" s="4896"/>
      <c r="S3" s="4896"/>
      <c r="T3" s="4896"/>
      <c r="U3" s="4897"/>
      <c r="V3" s="4895"/>
      <c r="W3" s="4896"/>
      <c r="X3" s="4896"/>
      <c r="Y3" s="4896"/>
      <c r="Z3" s="4897"/>
      <c r="AA3" s="4925"/>
      <c r="AB3" s="4926"/>
      <c r="AC3" s="4926"/>
      <c r="AD3" s="4926"/>
      <c r="AE3" s="4927"/>
      <c r="AF3" s="4958"/>
      <c r="AG3" s="4959"/>
      <c r="AH3" s="4959"/>
      <c r="AI3" s="4959"/>
      <c r="AJ3" s="4960"/>
      <c r="AK3" s="4937"/>
      <c r="AL3" s="4938"/>
      <c r="AM3" s="4938"/>
      <c r="AN3" s="4938"/>
      <c r="AO3" s="4939"/>
      <c r="AP3" s="4913"/>
      <c r="AQ3" s="4914"/>
      <c r="AR3" s="4914"/>
      <c r="AS3" s="4914"/>
      <c r="AT3" s="4915"/>
      <c r="AU3" s="5003"/>
      <c r="AV3" s="5004"/>
      <c r="AW3" s="5004"/>
      <c r="AX3" s="5004"/>
      <c r="AY3" s="5005"/>
      <c r="AZ3" s="4844"/>
      <c r="BA3" s="4845"/>
      <c r="BB3" s="4845"/>
      <c r="BC3" s="4845"/>
      <c r="BD3" s="4846"/>
      <c r="BE3" s="4990"/>
      <c r="BF3" s="4991"/>
      <c r="BG3" s="4991"/>
      <c r="BH3" s="4991"/>
      <c r="BI3" s="385"/>
    </row>
    <row r="4" spans="1:61"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1473" t="s">
        <v>55</v>
      </c>
      <c r="BA4" s="1473" t="s">
        <v>18</v>
      </c>
      <c r="BB4" s="1474" t="s">
        <v>39</v>
      </c>
      <c r="BC4" s="1551" t="s">
        <v>40</v>
      </c>
      <c r="BD4" s="1474" t="s">
        <v>19</v>
      </c>
      <c r="BE4" s="94" t="s">
        <v>55</v>
      </c>
      <c r="BF4" s="94" t="s">
        <v>18</v>
      </c>
      <c r="BG4" s="95" t="s">
        <v>39</v>
      </c>
      <c r="BH4" s="209" t="s">
        <v>40</v>
      </c>
      <c r="BI4" s="95" t="s">
        <v>19</v>
      </c>
    </row>
    <row r="5" spans="1:61" s="88" customFormat="1" ht="14.4" thickBot="1">
      <c r="A5" s="83"/>
      <c r="B5" s="84" t="s">
        <v>10</v>
      </c>
      <c r="C5" s="85">
        <f>C6</f>
        <v>1874800</v>
      </c>
      <c r="D5" s="85">
        <f>D6</f>
        <v>0</v>
      </c>
      <c r="E5" s="86">
        <f>E6</f>
        <v>1874800</v>
      </c>
      <c r="F5" s="87"/>
      <c r="G5" s="87">
        <f>G6</f>
        <v>977044.5</v>
      </c>
      <c r="H5" s="87">
        <f>H6</f>
        <v>0</v>
      </c>
      <c r="I5" s="87">
        <f>I6</f>
        <v>977044.5</v>
      </c>
      <c r="J5" s="87"/>
      <c r="K5" s="87"/>
      <c r="L5" s="87">
        <f>L6</f>
        <v>0</v>
      </c>
      <c r="M5" s="87">
        <f>M6</f>
        <v>0</v>
      </c>
      <c r="N5" s="87">
        <f>N6</f>
        <v>0</v>
      </c>
      <c r="O5" s="87"/>
      <c r="P5" s="87"/>
      <c r="Q5" s="87">
        <f>Q6</f>
        <v>0</v>
      </c>
      <c r="R5" s="87">
        <f>R6</f>
        <v>0</v>
      </c>
      <c r="S5" s="87">
        <f>S6</f>
        <v>0</v>
      </c>
      <c r="T5" s="87"/>
      <c r="U5" s="87"/>
      <c r="V5" s="87">
        <f>V6</f>
        <v>379193.11</v>
      </c>
      <c r="W5" s="87">
        <f>W6</f>
        <v>0</v>
      </c>
      <c r="X5" s="87">
        <f>X6</f>
        <v>379193.11</v>
      </c>
      <c r="Y5" s="87"/>
      <c r="Z5" s="87"/>
      <c r="AA5" s="87">
        <f>AA6</f>
        <v>129673.98</v>
      </c>
      <c r="AB5" s="87">
        <f>AB6</f>
        <v>0</v>
      </c>
      <c r="AC5" s="87">
        <f>AC6</f>
        <v>129673.98</v>
      </c>
      <c r="AD5" s="87"/>
      <c r="AE5" s="87"/>
      <c r="AF5" s="87">
        <f>AF6+AF7</f>
        <v>0</v>
      </c>
      <c r="AG5" s="87">
        <f>AG6+AG7</f>
        <v>0</v>
      </c>
      <c r="AH5" s="87">
        <f>AH6+AH7</f>
        <v>0</v>
      </c>
      <c r="AI5" s="87"/>
      <c r="AJ5" s="87"/>
      <c r="AK5" s="87">
        <f>AK6+AK7</f>
        <v>241732.56</v>
      </c>
      <c r="AL5" s="87">
        <f>AL6+AL7</f>
        <v>0</v>
      </c>
      <c r="AM5" s="87">
        <f>AM6+AM7</f>
        <v>241732.56</v>
      </c>
      <c r="AN5" s="87"/>
      <c r="AO5" s="87"/>
      <c r="AP5" s="87">
        <f>AP6+AP7</f>
        <v>85560.68</v>
      </c>
      <c r="AQ5" s="87">
        <f>AQ6+AQ7</f>
        <v>0</v>
      </c>
      <c r="AR5" s="87">
        <f>AR6+AR7</f>
        <v>85560.68</v>
      </c>
      <c r="AS5" s="87"/>
      <c r="AT5" s="87"/>
      <c r="AU5" s="87">
        <f>AU6+AU7</f>
        <v>0</v>
      </c>
      <c r="AV5" s="87">
        <f>AV6+AV7</f>
        <v>0</v>
      </c>
      <c r="AW5" s="87">
        <f>AW6+AW7</f>
        <v>0</v>
      </c>
      <c r="AX5" s="87"/>
      <c r="AY5" s="87"/>
      <c r="AZ5" s="1466">
        <f>AZ6+AZ7</f>
        <v>0</v>
      </c>
      <c r="BA5" s="1466">
        <f>BA6+BA7</f>
        <v>0</v>
      </c>
      <c r="BB5" s="1466">
        <f>BB6+BB7</f>
        <v>0</v>
      </c>
      <c r="BC5" s="1466"/>
      <c r="BD5" s="1466"/>
      <c r="BE5" s="87">
        <f>BE6+BE7</f>
        <v>1813204.8299999998</v>
      </c>
      <c r="BF5" s="87">
        <f>BF6+BF7</f>
        <v>0</v>
      </c>
      <c r="BG5" s="87">
        <f>BG6+BG7</f>
        <v>1813204.8299999998</v>
      </c>
      <c r="BH5" s="87"/>
      <c r="BI5" s="87"/>
    </row>
    <row r="6" spans="1:61" s="2" customFormat="1" ht="13.8" outlineLevel="1">
      <c r="A6" s="330"/>
      <c r="B6" s="9" t="s">
        <v>17</v>
      </c>
      <c r="C6" s="104">
        <v>1874800</v>
      </c>
      <c r="D6" s="105"/>
      <c r="E6" s="106">
        <f>C6+D6</f>
        <v>1874800</v>
      </c>
      <c r="F6" s="39"/>
      <c r="G6" s="39">
        <v>977044.5</v>
      </c>
      <c r="H6" s="39">
        <v>0</v>
      </c>
      <c r="I6" s="106">
        <f>G6+H6</f>
        <v>977044.5</v>
      </c>
      <c r="J6" s="39"/>
      <c r="K6" s="39"/>
      <c r="L6" s="39"/>
      <c r="M6" s="39"/>
      <c r="N6" s="106">
        <f>L6+M6</f>
        <v>0</v>
      </c>
      <c r="O6" s="39"/>
      <c r="P6" s="39"/>
      <c r="Q6" s="39"/>
      <c r="R6" s="39"/>
      <c r="S6" s="106">
        <f>Q6+R6</f>
        <v>0</v>
      </c>
      <c r="T6" s="39"/>
      <c r="U6" s="40"/>
      <c r="V6" s="39">
        <v>379193.11</v>
      </c>
      <c r="W6" s="39"/>
      <c r="X6" s="106">
        <f>V6+W6</f>
        <v>379193.11</v>
      </c>
      <c r="Y6" s="39"/>
      <c r="Z6" s="39"/>
      <c r="AA6" s="39">
        <v>129673.98</v>
      </c>
      <c r="AB6" s="39"/>
      <c r="AC6" s="106">
        <f>AA6+AB6</f>
        <v>129673.98</v>
      </c>
      <c r="AD6" s="39"/>
      <c r="AE6" s="39"/>
      <c r="AF6" s="39"/>
      <c r="AG6" s="39"/>
      <c r="AH6" s="106">
        <f>AF6+AG6</f>
        <v>0</v>
      </c>
      <c r="AI6" s="39"/>
      <c r="AJ6" s="39"/>
      <c r="AK6" s="39">
        <v>241732.56</v>
      </c>
      <c r="AL6" s="39"/>
      <c r="AM6" s="106">
        <f>AK6+AL6</f>
        <v>241732.56</v>
      </c>
      <c r="AN6" s="39"/>
      <c r="AO6" s="39"/>
      <c r="AP6" s="39">
        <v>85560.68</v>
      </c>
      <c r="AQ6" s="39"/>
      <c r="AR6" s="106">
        <f>AP6+AQ6</f>
        <v>85560.68</v>
      </c>
      <c r="AS6" s="39"/>
      <c r="AT6" s="39"/>
      <c r="AU6" s="39"/>
      <c r="AV6" s="39"/>
      <c r="AW6" s="106">
        <f>AU6+AV6</f>
        <v>0</v>
      </c>
      <c r="AX6" s="39"/>
      <c r="AY6" s="39"/>
      <c r="AZ6" s="1432"/>
      <c r="BA6" s="1432"/>
      <c r="BB6" s="1480">
        <f>AZ6+BA6</f>
        <v>0</v>
      </c>
      <c r="BC6" s="1432"/>
      <c r="BD6" s="1432"/>
      <c r="BE6" s="39">
        <f>G6+L6+Q6+V6+AA6+AF6+AK6+AP6+AU6</f>
        <v>1813204.8299999998</v>
      </c>
      <c r="BF6" s="39">
        <f>H6+M6+R6+W6+AB6+AG6+AL6+AQ6+AV6</f>
        <v>0</v>
      </c>
      <c r="BG6" s="106">
        <f>BE6+BF6</f>
        <v>1813204.8299999998</v>
      </c>
      <c r="BH6" s="39"/>
      <c r="BI6" s="39"/>
    </row>
    <row r="7" spans="1:61" s="2" customFormat="1" ht="15" customHeight="1" outlineLevel="1" collapsed="1" thickBot="1">
      <c r="A7" s="238"/>
      <c r="B7" s="829" t="s">
        <v>41</v>
      </c>
      <c r="C7" s="107"/>
      <c r="D7" s="108"/>
      <c r="E7" s="106">
        <f>C7+D7</f>
        <v>0</v>
      </c>
      <c r="F7" s="40"/>
      <c r="G7" s="39">
        <v>0</v>
      </c>
      <c r="H7" s="39">
        <v>0</v>
      </c>
      <c r="I7" s="106">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40"/>
      <c r="AF7" s="39"/>
      <c r="AG7" s="39"/>
      <c r="AH7" s="106">
        <f>AF7+AG7</f>
        <v>0</v>
      </c>
      <c r="AI7" s="40"/>
      <c r="AJ7" s="40"/>
      <c r="AK7" s="39"/>
      <c r="AL7" s="39"/>
      <c r="AM7" s="106">
        <f>AK7+AL7</f>
        <v>0</v>
      </c>
      <c r="AN7" s="40"/>
      <c r="AO7" s="40"/>
      <c r="AP7" s="39"/>
      <c r="AQ7" s="39"/>
      <c r="AR7" s="106">
        <f>AP7+AQ7</f>
        <v>0</v>
      </c>
      <c r="AS7" s="40"/>
      <c r="AT7" s="40"/>
      <c r="AU7" s="39"/>
      <c r="AV7" s="39"/>
      <c r="AW7" s="106">
        <f>AU7+AV7</f>
        <v>0</v>
      </c>
      <c r="AX7" s="40"/>
      <c r="AY7" s="40"/>
      <c r="AZ7" s="1432"/>
      <c r="BA7" s="1432"/>
      <c r="BB7" s="1480">
        <f>AZ7+BA7</f>
        <v>0</v>
      </c>
      <c r="BC7" s="1905"/>
      <c r="BD7" s="1905"/>
      <c r="BE7" s="39">
        <f>G7+L7+Q7+V7+AA7+AF7+AK7+AP7+AU7</f>
        <v>0</v>
      </c>
      <c r="BF7" s="39">
        <f>H7+M7+R7+W7+AB7+AG7+AL7+AQ7+AV7</f>
        <v>0</v>
      </c>
      <c r="BG7" s="106">
        <f>BE7+BF7</f>
        <v>0</v>
      </c>
      <c r="BH7" s="40"/>
      <c r="BI7" s="40"/>
    </row>
    <row r="8" spans="1:61" s="88" customFormat="1" ht="39.6" customHeight="1" outlineLevel="1" thickBot="1">
      <c r="A8" s="238"/>
      <c r="B8" s="830" t="s">
        <v>16</v>
      </c>
      <c r="C8" s="109">
        <f>SUM(C9:C33)</f>
        <v>564382</v>
      </c>
      <c r="D8" s="109">
        <f>SUM(D9:D33)</f>
        <v>824421</v>
      </c>
      <c r="E8" s="110">
        <f>SUM(E9:E33)</f>
        <v>1388803</v>
      </c>
      <c r="F8" s="164">
        <f t="shared" ref="F8:F21" si="0">E8/$E$89</f>
        <v>0.92030267608172445</v>
      </c>
      <c r="G8" s="109">
        <f>SUM(G9:G33)</f>
        <v>656997.65430000005</v>
      </c>
      <c r="H8" s="109">
        <f>SUM(H9:H33)</f>
        <v>486953.57</v>
      </c>
      <c r="I8" s="110">
        <f>SUM(I9:I33)</f>
        <v>1143951.2242999999</v>
      </c>
      <c r="J8" s="164">
        <f t="shared" ref="J8:J21" si="1">I8/$I$89</f>
        <v>0.86938291711928795</v>
      </c>
      <c r="K8" s="87"/>
      <c r="L8" s="109">
        <f>SUM(L9:L33)</f>
        <v>0</v>
      </c>
      <c r="M8" s="109">
        <f>SUM(M9:M33)</f>
        <v>0</v>
      </c>
      <c r="N8" s="110">
        <f>SUM(N9:N33)</f>
        <v>0</v>
      </c>
      <c r="O8" s="164" t="e">
        <f t="shared" ref="O8:O21" si="2">N8/$N$89</f>
        <v>#DIV/0!</v>
      </c>
      <c r="P8" s="87"/>
      <c r="Q8" s="109">
        <f>SUM(Q9:Q33)</f>
        <v>600</v>
      </c>
      <c r="R8" s="109">
        <f>SUM(R9:R33)</f>
        <v>30131</v>
      </c>
      <c r="S8" s="110">
        <f>SUM(S9:S33)</f>
        <v>30731</v>
      </c>
      <c r="T8" s="164">
        <f>S8/$S$89</f>
        <v>0.872118658495179</v>
      </c>
      <c r="U8" s="87"/>
      <c r="V8" s="109">
        <f>SUM(V9:V33)</f>
        <v>59038.415999999997</v>
      </c>
      <c r="W8" s="109">
        <f>SUM(W9:W33)</f>
        <v>68914.5</v>
      </c>
      <c r="X8" s="110">
        <f>SUM(X9:X33)</f>
        <v>127952.916</v>
      </c>
      <c r="Y8" s="164">
        <f t="shared" ref="Y8:Y22" si="3">X8/$X$89</f>
        <v>0.92365189679141479</v>
      </c>
      <c r="Z8" s="87"/>
      <c r="AA8" s="109">
        <f>SUM(AA9:AA33)</f>
        <v>33890</v>
      </c>
      <c r="AB8" s="109">
        <f>SUM(AB9:AB33)</f>
        <v>19975</v>
      </c>
      <c r="AC8" s="110">
        <f>SUM(AC9:AC33)</f>
        <v>53865</v>
      </c>
      <c r="AD8" s="164">
        <f t="shared" ref="AD8:AD22" si="4">AC8/$AC$89</f>
        <v>0.99695795027000134</v>
      </c>
      <c r="AE8" s="87"/>
      <c r="AF8" s="109">
        <f>SUM(AF9:AF33)</f>
        <v>35027.016000000003</v>
      </c>
      <c r="AG8" s="109">
        <f>SUM(AG9:AG33)</f>
        <v>15505</v>
      </c>
      <c r="AH8" s="110">
        <f>SUM(AH9:AH33)</f>
        <v>50532.016000000003</v>
      </c>
      <c r="AI8" s="164">
        <f>AH8/$AH$89</f>
        <v>0.94955995204922938</v>
      </c>
      <c r="AJ8" s="87"/>
      <c r="AK8" s="109">
        <f>SUM(AK9:AK33)</f>
        <v>21140.399999999998</v>
      </c>
      <c r="AL8" s="109">
        <f>SUM(AL9:AL33)</f>
        <v>68900</v>
      </c>
      <c r="AM8" s="110">
        <f>SUM(AM9:AM33)</f>
        <v>90040.4</v>
      </c>
      <c r="AN8" s="164">
        <f>AM8/$AM$89</f>
        <v>0.90336157517469562</v>
      </c>
      <c r="AO8" s="87"/>
      <c r="AP8" s="109">
        <f>SUM(AP9:AP33)</f>
        <v>85515.635999999999</v>
      </c>
      <c r="AQ8" s="109">
        <f>SUM(AQ9:AQ33)</f>
        <v>14240</v>
      </c>
      <c r="AR8" s="110">
        <f>SUM(AR9:AR33)</f>
        <v>99755.635999999999</v>
      </c>
      <c r="AS8" s="164">
        <f>AR8/$AR$89</f>
        <v>1</v>
      </c>
      <c r="AT8" s="87"/>
      <c r="AU8" s="109">
        <f>SUM(AU9:AU33)</f>
        <v>0</v>
      </c>
      <c r="AV8" s="109">
        <f>SUM(AV9:AV33)</f>
        <v>0</v>
      </c>
      <c r="AW8" s="110">
        <f>SUM(AW9:AW33)</f>
        <v>0</v>
      </c>
      <c r="AX8" s="164">
        <f>AW8/$AR$89</f>
        <v>0</v>
      </c>
      <c r="AY8" s="87"/>
      <c r="AZ8" s="1483">
        <f>SUM(AZ9:AZ33)</f>
        <v>16401.671999999999</v>
      </c>
      <c r="BA8" s="1483">
        <f>SUM(BA9:BA33)</f>
        <v>0</v>
      </c>
      <c r="BB8" s="1484">
        <f>SUM(BB9:BB33)</f>
        <v>16401.671999999999</v>
      </c>
      <c r="BC8" s="1528">
        <f>BB8/$BB$89</f>
        <v>1</v>
      </c>
      <c r="BD8" s="1466"/>
      <c r="BE8" s="109">
        <f>SUM(BE9:BE33)</f>
        <v>892209.12230000016</v>
      </c>
      <c r="BF8" s="109">
        <f>SUM(BF9:BF33)</f>
        <v>704619.07</v>
      </c>
      <c r="BG8" s="110">
        <f>SUM(BG9:BG33)</f>
        <v>1596828.1922999998</v>
      </c>
      <c r="BH8" s="164" t="e">
        <f t="shared" ref="BH8:BH21" si="5">BG8/$N$89</f>
        <v>#DIV/0!</v>
      </c>
      <c r="BI8" s="87"/>
    </row>
    <row r="9" spans="1:61" s="2" customFormat="1" ht="13.8" outlineLevel="2">
      <c r="A9" s="238"/>
      <c r="B9" s="831" t="s">
        <v>74</v>
      </c>
      <c r="C9" s="111"/>
      <c r="D9" s="112"/>
      <c r="E9" s="106">
        <f t="shared" ref="E9:E33" si="6">C9+D9</f>
        <v>0</v>
      </c>
      <c r="F9" s="177">
        <f t="shared" si="0"/>
        <v>0</v>
      </c>
      <c r="G9" s="39">
        <v>45453.770000000004</v>
      </c>
      <c r="H9" s="39">
        <v>0</v>
      </c>
      <c r="I9" s="210">
        <f>G9+H9*1</f>
        <v>45453.770000000004</v>
      </c>
      <c r="J9" s="178">
        <f t="shared" si="1"/>
        <v>3.4544069989391406E-2</v>
      </c>
      <c r="K9" s="42"/>
      <c r="L9" s="39"/>
      <c r="M9" s="39"/>
      <c r="N9" s="210">
        <f>L9+M9*1</f>
        <v>0</v>
      </c>
      <c r="O9" s="178" t="e">
        <f t="shared" si="2"/>
        <v>#DIV/0!</v>
      </c>
      <c r="P9" s="42"/>
      <c r="Q9" s="39"/>
      <c r="R9" s="39"/>
      <c r="S9" s="210">
        <f>Q9+R9*1</f>
        <v>0</v>
      </c>
      <c r="T9" s="178">
        <f t="shared" ref="T9:T22" si="7">S9/$S$89</f>
        <v>0</v>
      </c>
      <c r="U9" s="42"/>
      <c r="V9" s="39"/>
      <c r="W9" s="39"/>
      <c r="X9" s="210">
        <f>V9+W9*1</f>
        <v>0</v>
      </c>
      <c r="Y9" s="178">
        <f t="shared" si="3"/>
        <v>0</v>
      </c>
      <c r="Z9" s="42"/>
      <c r="AA9" s="39"/>
      <c r="AB9" s="39"/>
      <c r="AC9" s="210">
        <f>AA9+AB9*1</f>
        <v>0</v>
      </c>
      <c r="AD9" s="178">
        <f t="shared" si="4"/>
        <v>0</v>
      </c>
      <c r="AE9" s="42"/>
      <c r="AF9" s="39"/>
      <c r="AG9" s="39"/>
      <c r="AH9" s="210">
        <f>AF9+AG9*1</f>
        <v>0</v>
      </c>
      <c r="AI9" s="178">
        <f t="shared" ref="AI9:AI33" si="8">AH9/$AH$89</f>
        <v>0</v>
      </c>
      <c r="AJ9" s="42"/>
      <c r="AK9" s="39"/>
      <c r="AL9" s="39"/>
      <c r="AM9" s="210">
        <f>AK9+AL9*1</f>
        <v>0</v>
      </c>
      <c r="AN9" s="178">
        <f t="shared" ref="AN9:AN72" si="9">AM9/$AM$89</f>
        <v>0</v>
      </c>
      <c r="AO9" s="42"/>
      <c r="AP9" s="39"/>
      <c r="AQ9" s="39"/>
      <c r="AR9" s="210">
        <f>AP9+AQ9*1</f>
        <v>0</v>
      </c>
      <c r="AS9" s="178">
        <f t="shared" ref="AS9:AS33" si="10">AR9/$AR$89</f>
        <v>0</v>
      </c>
      <c r="AT9" s="42"/>
      <c r="AU9" s="39"/>
      <c r="AV9" s="39"/>
      <c r="AW9" s="210">
        <f>AU9+AV9*1</f>
        <v>0</v>
      </c>
      <c r="AX9" s="178">
        <f t="shared" ref="AX9:AX33" si="11">AW9/$AR$89</f>
        <v>0</v>
      </c>
      <c r="AY9" s="42"/>
      <c r="AZ9" s="1432"/>
      <c r="BA9" s="1432"/>
      <c r="BB9" s="1552">
        <f>AZ9+BA9*1</f>
        <v>0</v>
      </c>
      <c r="BC9" s="1877">
        <f t="shared" ref="BC9:BC72" si="12">BB9/$BB$89</f>
        <v>0</v>
      </c>
      <c r="BD9" s="1434"/>
      <c r="BE9" s="39">
        <f t="shared" ref="BE9:BE33" si="13">G9+L9+Q9+V9+AA9+AF9+AK9+AP9+AU9</f>
        <v>45453.770000000004</v>
      </c>
      <c r="BF9" s="39">
        <f t="shared" ref="BF9:BF33" si="14">H9+M9+R9+W9+AB9+AG9+AL9+AQ9+AV9</f>
        <v>0</v>
      </c>
      <c r="BG9" s="210">
        <f>BE9+BF9*1</f>
        <v>45453.770000000004</v>
      </c>
      <c r="BH9" s="178" t="e">
        <f t="shared" si="5"/>
        <v>#DIV/0!</v>
      </c>
      <c r="BI9" s="42"/>
    </row>
    <row r="10" spans="1:61" s="2" customFormat="1" ht="14.4" customHeight="1" outlineLevel="2">
      <c r="A10" s="238"/>
      <c r="B10" s="831" t="s">
        <v>72</v>
      </c>
      <c r="C10" s="111"/>
      <c r="D10" s="112"/>
      <c r="E10" s="106">
        <f t="shared" si="6"/>
        <v>0</v>
      </c>
      <c r="F10" s="177">
        <f t="shared" si="0"/>
        <v>0</v>
      </c>
      <c r="G10" s="39">
        <v>16201.25245</v>
      </c>
      <c r="H10" s="39">
        <v>0</v>
      </c>
      <c r="I10" s="210">
        <f t="shared" ref="I10:I33" si="15">G10+H10*1</f>
        <v>16201.25245</v>
      </c>
      <c r="J10" s="178">
        <f t="shared" si="1"/>
        <v>1.2312668422192459E-2</v>
      </c>
      <c r="K10" s="42"/>
      <c r="L10" s="39"/>
      <c r="M10" s="39"/>
      <c r="N10" s="210">
        <f t="shared" ref="N10:N33" si="16">L10+M10*1</f>
        <v>0</v>
      </c>
      <c r="O10" s="178" t="e">
        <f t="shared" si="2"/>
        <v>#DIV/0!</v>
      </c>
      <c r="P10" s="42"/>
      <c r="Q10" s="39"/>
      <c r="R10" s="39"/>
      <c r="S10" s="210">
        <f t="shared" ref="S10:S21" si="17">Q10+R10*1</f>
        <v>0</v>
      </c>
      <c r="T10" s="178">
        <f t="shared" si="7"/>
        <v>0</v>
      </c>
      <c r="U10" s="42"/>
      <c r="V10" s="39"/>
      <c r="W10" s="39"/>
      <c r="X10" s="210">
        <f t="shared" ref="X10:X21" si="18">V10+W10*1</f>
        <v>0</v>
      </c>
      <c r="Y10" s="178">
        <f t="shared" si="3"/>
        <v>0</v>
      </c>
      <c r="Z10" s="42"/>
      <c r="AA10" s="39"/>
      <c r="AB10" s="39"/>
      <c r="AC10" s="210">
        <f t="shared" ref="AC10:AC21" si="19">AA10+AB10*1</f>
        <v>0</v>
      </c>
      <c r="AD10" s="178">
        <f t="shared" si="4"/>
        <v>0</v>
      </c>
      <c r="AE10" s="42"/>
      <c r="AF10" s="39"/>
      <c r="AG10" s="39"/>
      <c r="AH10" s="210">
        <f t="shared" ref="AH10:AH26" si="20">AF10+AG10*1</f>
        <v>0</v>
      </c>
      <c r="AI10" s="178">
        <f t="shared" si="8"/>
        <v>0</v>
      </c>
      <c r="AJ10" s="42"/>
      <c r="AK10" s="39"/>
      <c r="AL10" s="39"/>
      <c r="AM10" s="210">
        <f t="shared" ref="AM10:AM33" si="21">AK10+AL10*1</f>
        <v>0</v>
      </c>
      <c r="AN10" s="178">
        <f t="shared" si="9"/>
        <v>0</v>
      </c>
      <c r="AO10" s="42"/>
      <c r="AP10" s="39"/>
      <c r="AQ10" s="39"/>
      <c r="AR10" s="210">
        <f t="shared" ref="AR10:AR33" si="22">AP10+AQ10*1</f>
        <v>0</v>
      </c>
      <c r="AS10" s="178">
        <f t="shared" si="10"/>
        <v>0</v>
      </c>
      <c r="AT10" s="42"/>
      <c r="AU10" s="39"/>
      <c r="AV10" s="39"/>
      <c r="AW10" s="210">
        <f t="shared" ref="AW10:AW33" si="23">AU10+AV10*1</f>
        <v>0</v>
      </c>
      <c r="AX10" s="178">
        <f t="shared" si="11"/>
        <v>0</v>
      </c>
      <c r="AY10" s="42"/>
      <c r="AZ10" s="1432"/>
      <c r="BA10" s="1432"/>
      <c r="BB10" s="1552">
        <f t="shared" ref="BB10:BB33" si="24">AZ10+BA10*1</f>
        <v>0</v>
      </c>
      <c r="BC10" s="1877">
        <f t="shared" si="12"/>
        <v>0</v>
      </c>
      <c r="BD10" s="1434"/>
      <c r="BE10" s="39">
        <f t="shared" si="13"/>
        <v>16201.25245</v>
      </c>
      <c r="BF10" s="39">
        <f t="shared" si="14"/>
        <v>0</v>
      </c>
      <c r="BG10" s="210">
        <f t="shared" ref="BG10:BG33" si="25">BE10+BF10*1</f>
        <v>16201.25245</v>
      </c>
      <c r="BH10" s="178" t="e">
        <f t="shared" si="5"/>
        <v>#DIV/0!</v>
      </c>
      <c r="BI10" s="42"/>
    </row>
    <row r="11" spans="1:61" s="2" customFormat="1" ht="14.4" customHeight="1" outlineLevel="2">
      <c r="A11" s="238"/>
      <c r="B11" s="831" t="s">
        <v>69</v>
      </c>
      <c r="C11" s="111"/>
      <c r="D11" s="112"/>
      <c r="E11" s="106">
        <f t="shared" si="6"/>
        <v>0</v>
      </c>
      <c r="F11" s="177">
        <f t="shared" si="0"/>
        <v>0</v>
      </c>
      <c r="G11" s="39">
        <v>18278.320200000002</v>
      </c>
      <c r="H11" s="39">
        <v>0</v>
      </c>
      <c r="I11" s="210">
        <f t="shared" si="15"/>
        <v>18278.320200000002</v>
      </c>
      <c r="J11" s="178">
        <f t="shared" si="1"/>
        <v>1.3891203574033721E-2</v>
      </c>
      <c r="K11" s="42"/>
      <c r="L11" s="39"/>
      <c r="M11" s="39"/>
      <c r="N11" s="210">
        <f t="shared" si="16"/>
        <v>0</v>
      </c>
      <c r="O11" s="178" t="e">
        <f t="shared" si="2"/>
        <v>#DIV/0!</v>
      </c>
      <c r="P11" s="42"/>
      <c r="Q11" s="39"/>
      <c r="R11" s="39"/>
      <c r="S11" s="210">
        <f t="shared" si="17"/>
        <v>0</v>
      </c>
      <c r="T11" s="178">
        <f t="shared" si="7"/>
        <v>0</v>
      </c>
      <c r="U11" s="42"/>
      <c r="V11" s="39"/>
      <c r="W11" s="39"/>
      <c r="X11" s="210">
        <f t="shared" si="18"/>
        <v>0</v>
      </c>
      <c r="Y11" s="178">
        <f t="shared" si="3"/>
        <v>0</v>
      </c>
      <c r="Z11" s="42"/>
      <c r="AA11" s="39"/>
      <c r="AB11" s="39"/>
      <c r="AC11" s="210">
        <f t="shared" si="19"/>
        <v>0</v>
      </c>
      <c r="AD11" s="178">
        <f t="shared" si="4"/>
        <v>0</v>
      </c>
      <c r="AE11" s="42"/>
      <c r="AF11" s="39"/>
      <c r="AG11" s="39"/>
      <c r="AH11" s="210">
        <f t="shared" si="20"/>
        <v>0</v>
      </c>
      <c r="AI11" s="178">
        <f t="shared" si="8"/>
        <v>0</v>
      </c>
      <c r="AJ11" s="42"/>
      <c r="AK11" s="39"/>
      <c r="AL11" s="39"/>
      <c r="AM11" s="210">
        <f t="shared" si="21"/>
        <v>0</v>
      </c>
      <c r="AN11" s="178">
        <f t="shared" si="9"/>
        <v>0</v>
      </c>
      <c r="AO11" s="42"/>
      <c r="AP11" s="39"/>
      <c r="AQ11" s="39"/>
      <c r="AR11" s="210">
        <f t="shared" si="22"/>
        <v>0</v>
      </c>
      <c r="AS11" s="178">
        <f t="shared" si="10"/>
        <v>0</v>
      </c>
      <c r="AT11" s="42"/>
      <c r="AU11" s="39"/>
      <c r="AV11" s="39"/>
      <c r="AW11" s="210">
        <f t="shared" si="23"/>
        <v>0</v>
      </c>
      <c r="AX11" s="178">
        <f t="shared" si="11"/>
        <v>0</v>
      </c>
      <c r="AY11" s="42"/>
      <c r="AZ11" s="1432"/>
      <c r="BA11" s="1432"/>
      <c r="BB11" s="1552">
        <f t="shared" si="24"/>
        <v>0</v>
      </c>
      <c r="BC11" s="1877">
        <f t="shared" si="12"/>
        <v>0</v>
      </c>
      <c r="BD11" s="1434"/>
      <c r="BE11" s="39">
        <f t="shared" si="13"/>
        <v>18278.320200000002</v>
      </c>
      <c r="BF11" s="39">
        <f t="shared" si="14"/>
        <v>0</v>
      </c>
      <c r="BG11" s="210">
        <f t="shared" si="25"/>
        <v>18278.320200000002</v>
      </c>
      <c r="BH11" s="178" t="e">
        <f t="shared" si="5"/>
        <v>#DIV/0!</v>
      </c>
      <c r="BI11" s="42"/>
    </row>
    <row r="12" spans="1:61" s="2" customFormat="1" ht="13.8" outlineLevel="2">
      <c r="A12" s="238"/>
      <c r="B12" s="831" t="s">
        <v>73</v>
      </c>
      <c r="C12" s="111"/>
      <c r="D12" s="112">
        <v>6900</v>
      </c>
      <c r="E12" s="106">
        <f t="shared" si="6"/>
        <v>6900</v>
      </c>
      <c r="F12" s="177">
        <f t="shared" si="0"/>
        <v>4.5723464486783928E-3</v>
      </c>
      <c r="G12" s="39">
        <v>15770.689999999999</v>
      </c>
      <c r="H12" s="39">
        <v>6000</v>
      </c>
      <c r="I12" s="210">
        <f t="shared" si="15"/>
        <v>21770.69</v>
      </c>
      <c r="J12" s="178">
        <f t="shared" si="1"/>
        <v>1.6545343523262063E-2</v>
      </c>
      <c r="K12" s="42"/>
      <c r="L12" s="39"/>
      <c r="M12" s="39"/>
      <c r="N12" s="210">
        <f t="shared" si="16"/>
        <v>0</v>
      </c>
      <c r="O12" s="178" t="e">
        <f t="shared" si="2"/>
        <v>#DIV/0!</v>
      </c>
      <c r="P12" s="42"/>
      <c r="Q12" s="39"/>
      <c r="R12" s="39"/>
      <c r="S12" s="210">
        <f t="shared" si="17"/>
        <v>0</v>
      </c>
      <c r="T12" s="178">
        <f t="shared" si="7"/>
        <v>0</v>
      </c>
      <c r="U12" s="42"/>
      <c r="V12" s="39"/>
      <c r="W12" s="39"/>
      <c r="X12" s="210">
        <f t="shared" si="18"/>
        <v>0</v>
      </c>
      <c r="Y12" s="178">
        <f t="shared" si="3"/>
        <v>0</v>
      </c>
      <c r="Z12" s="42"/>
      <c r="AA12" s="39"/>
      <c r="AB12" s="39"/>
      <c r="AC12" s="210">
        <f t="shared" si="19"/>
        <v>0</v>
      </c>
      <c r="AD12" s="178">
        <f t="shared" si="4"/>
        <v>0</v>
      </c>
      <c r="AE12" s="42"/>
      <c r="AF12" s="39"/>
      <c r="AG12" s="39"/>
      <c r="AH12" s="210">
        <f t="shared" si="20"/>
        <v>0</v>
      </c>
      <c r="AI12" s="178">
        <f t="shared" si="8"/>
        <v>0</v>
      </c>
      <c r="AJ12" s="42"/>
      <c r="AK12" s="39"/>
      <c r="AL12" s="39"/>
      <c r="AM12" s="210">
        <f t="shared" si="21"/>
        <v>0</v>
      </c>
      <c r="AN12" s="178">
        <f t="shared" si="9"/>
        <v>0</v>
      </c>
      <c r="AO12" s="42"/>
      <c r="AP12" s="39"/>
      <c r="AQ12" s="39"/>
      <c r="AR12" s="210">
        <f t="shared" si="22"/>
        <v>0</v>
      </c>
      <c r="AS12" s="178">
        <f t="shared" si="10"/>
        <v>0</v>
      </c>
      <c r="AT12" s="42"/>
      <c r="AU12" s="39"/>
      <c r="AV12" s="39"/>
      <c r="AW12" s="210">
        <f t="shared" si="23"/>
        <v>0</v>
      </c>
      <c r="AX12" s="178">
        <f t="shared" si="11"/>
        <v>0</v>
      </c>
      <c r="AY12" s="42"/>
      <c r="AZ12" s="1432"/>
      <c r="BA12" s="1432"/>
      <c r="BB12" s="1552">
        <f t="shared" si="24"/>
        <v>0</v>
      </c>
      <c r="BC12" s="1877">
        <f t="shared" si="12"/>
        <v>0</v>
      </c>
      <c r="BD12" s="1434"/>
      <c r="BE12" s="39">
        <f t="shared" si="13"/>
        <v>15770.689999999999</v>
      </c>
      <c r="BF12" s="39">
        <f t="shared" si="14"/>
        <v>6000</v>
      </c>
      <c r="BG12" s="210">
        <f t="shared" si="25"/>
        <v>21770.69</v>
      </c>
      <c r="BH12" s="178" t="e">
        <f t="shared" si="5"/>
        <v>#DIV/0!</v>
      </c>
      <c r="BI12" s="42"/>
    </row>
    <row r="13" spans="1:61" s="2" customFormat="1" ht="14.4" customHeight="1" outlineLevel="2">
      <c r="A13" s="238"/>
      <c r="B13" s="31" t="s">
        <v>71</v>
      </c>
      <c r="C13" s="111">
        <v>3315</v>
      </c>
      <c r="D13" s="112"/>
      <c r="E13" s="106">
        <f t="shared" si="6"/>
        <v>3315</v>
      </c>
      <c r="F13" s="177">
        <f t="shared" si="0"/>
        <v>2.1967142720824453E-3</v>
      </c>
      <c r="G13" s="39">
        <v>3820.2274500000003</v>
      </c>
      <c r="H13" s="39">
        <v>0</v>
      </c>
      <c r="I13" s="210">
        <f t="shared" si="15"/>
        <v>3820.2274500000003</v>
      </c>
      <c r="J13" s="178">
        <f t="shared" si="1"/>
        <v>2.9033060273811005E-3</v>
      </c>
      <c r="K13" s="42"/>
      <c r="L13" s="39"/>
      <c r="M13" s="39"/>
      <c r="N13" s="210">
        <f t="shared" si="16"/>
        <v>0</v>
      </c>
      <c r="O13" s="178" t="e">
        <f t="shared" si="2"/>
        <v>#DIV/0!</v>
      </c>
      <c r="P13" s="42"/>
      <c r="Q13" s="39"/>
      <c r="R13" s="39"/>
      <c r="S13" s="210">
        <f t="shared" si="17"/>
        <v>0</v>
      </c>
      <c r="T13" s="178">
        <f t="shared" si="7"/>
        <v>0</v>
      </c>
      <c r="U13" s="42"/>
      <c r="V13" s="39"/>
      <c r="W13" s="39"/>
      <c r="X13" s="210">
        <f t="shared" si="18"/>
        <v>0</v>
      </c>
      <c r="Y13" s="178">
        <f t="shared" si="3"/>
        <v>0</v>
      </c>
      <c r="Z13" s="42"/>
      <c r="AA13" s="39"/>
      <c r="AB13" s="39"/>
      <c r="AC13" s="210">
        <f t="shared" si="19"/>
        <v>0</v>
      </c>
      <c r="AD13" s="178">
        <f t="shared" si="4"/>
        <v>0</v>
      </c>
      <c r="AE13" s="42"/>
      <c r="AF13" s="39"/>
      <c r="AG13" s="39"/>
      <c r="AH13" s="210">
        <f t="shared" si="20"/>
        <v>0</v>
      </c>
      <c r="AI13" s="178">
        <f t="shared" si="8"/>
        <v>0</v>
      </c>
      <c r="AJ13" s="42"/>
      <c r="AK13" s="39"/>
      <c r="AL13" s="39"/>
      <c r="AM13" s="210">
        <f t="shared" si="21"/>
        <v>0</v>
      </c>
      <c r="AN13" s="178">
        <f t="shared" si="9"/>
        <v>0</v>
      </c>
      <c r="AO13" s="42"/>
      <c r="AP13" s="39"/>
      <c r="AQ13" s="39"/>
      <c r="AR13" s="210">
        <f t="shared" si="22"/>
        <v>0</v>
      </c>
      <c r="AS13" s="178">
        <f t="shared" si="10"/>
        <v>0</v>
      </c>
      <c r="AT13" s="42"/>
      <c r="AU13" s="39"/>
      <c r="AV13" s="39"/>
      <c r="AW13" s="210">
        <f t="shared" si="23"/>
        <v>0</v>
      </c>
      <c r="AX13" s="178">
        <f t="shared" si="11"/>
        <v>0</v>
      </c>
      <c r="AY13" s="42"/>
      <c r="AZ13" s="1432"/>
      <c r="BA13" s="1432"/>
      <c r="BB13" s="1552">
        <f t="shared" si="24"/>
        <v>0</v>
      </c>
      <c r="BC13" s="1877">
        <f t="shared" si="12"/>
        <v>0</v>
      </c>
      <c r="BD13" s="1434"/>
      <c r="BE13" s="39">
        <f t="shared" si="13"/>
        <v>3820.2274500000003</v>
      </c>
      <c r="BF13" s="39">
        <f t="shared" si="14"/>
        <v>0</v>
      </c>
      <c r="BG13" s="210">
        <f t="shared" si="25"/>
        <v>3820.2274500000003</v>
      </c>
      <c r="BH13" s="178" t="e">
        <f t="shared" si="5"/>
        <v>#DIV/0!</v>
      </c>
      <c r="BI13" s="42"/>
    </row>
    <row r="14" spans="1:61" s="2" customFormat="1" ht="14.4" customHeight="1" outlineLevel="2">
      <c r="A14" s="238"/>
      <c r="B14" s="31" t="s">
        <v>70</v>
      </c>
      <c r="C14" s="111">
        <v>3740</v>
      </c>
      <c r="D14" s="112"/>
      <c r="E14" s="106">
        <f t="shared" si="6"/>
        <v>3740</v>
      </c>
      <c r="F14" s="177">
        <f t="shared" si="0"/>
        <v>2.4783443069648103E-3</v>
      </c>
      <c r="G14" s="39">
        <v>4310.0002000000004</v>
      </c>
      <c r="H14" s="39">
        <v>0</v>
      </c>
      <c r="I14" s="210">
        <f t="shared" si="15"/>
        <v>4310.0002000000004</v>
      </c>
      <c r="J14" s="178">
        <f t="shared" si="1"/>
        <v>3.2755247488402161E-3</v>
      </c>
      <c r="K14" s="42"/>
      <c r="L14" s="39"/>
      <c r="M14" s="39"/>
      <c r="N14" s="210">
        <f t="shared" si="16"/>
        <v>0</v>
      </c>
      <c r="O14" s="178" t="e">
        <f t="shared" si="2"/>
        <v>#DIV/0!</v>
      </c>
      <c r="P14" s="42"/>
      <c r="Q14" s="39"/>
      <c r="R14" s="39"/>
      <c r="S14" s="210">
        <f t="shared" si="17"/>
        <v>0</v>
      </c>
      <c r="T14" s="178">
        <f t="shared" si="7"/>
        <v>0</v>
      </c>
      <c r="U14" s="42"/>
      <c r="V14" s="39"/>
      <c r="W14" s="39"/>
      <c r="X14" s="210">
        <f t="shared" si="18"/>
        <v>0</v>
      </c>
      <c r="Y14" s="178">
        <f t="shared" si="3"/>
        <v>0</v>
      </c>
      <c r="Z14" s="42"/>
      <c r="AA14" s="39"/>
      <c r="AB14" s="39"/>
      <c r="AC14" s="210">
        <f t="shared" si="19"/>
        <v>0</v>
      </c>
      <c r="AD14" s="178">
        <f t="shared" si="4"/>
        <v>0</v>
      </c>
      <c r="AE14" s="42"/>
      <c r="AF14" s="39"/>
      <c r="AG14" s="39"/>
      <c r="AH14" s="210">
        <f t="shared" si="20"/>
        <v>0</v>
      </c>
      <c r="AI14" s="178">
        <f t="shared" si="8"/>
        <v>0</v>
      </c>
      <c r="AJ14" s="42"/>
      <c r="AK14" s="39"/>
      <c r="AL14" s="39"/>
      <c r="AM14" s="210">
        <f t="shared" si="21"/>
        <v>0</v>
      </c>
      <c r="AN14" s="178">
        <f t="shared" si="9"/>
        <v>0</v>
      </c>
      <c r="AO14" s="42"/>
      <c r="AP14" s="39"/>
      <c r="AQ14" s="39"/>
      <c r="AR14" s="210">
        <f t="shared" si="22"/>
        <v>0</v>
      </c>
      <c r="AS14" s="178">
        <f t="shared" si="10"/>
        <v>0</v>
      </c>
      <c r="AT14" s="42"/>
      <c r="AU14" s="39"/>
      <c r="AV14" s="39"/>
      <c r="AW14" s="210">
        <f t="shared" si="23"/>
        <v>0</v>
      </c>
      <c r="AX14" s="178">
        <f t="shared" si="11"/>
        <v>0</v>
      </c>
      <c r="AY14" s="42"/>
      <c r="AZ14" s="1432"/>
      <c r="BA14" s="1432"/>
      <c r="BB14" s="1552">
        <f t="shared" si="24"/>
        <v>0</v>
      </c>
      <c r="BC14" s="1877">
        <f t="shared" si="12"/>
        <v>0</v>
      </c>
      <c r="BD14" s="1434"/>
      <c r="BE14" s="39">
        <f t="shared" si="13"/>
        <v>4310.0002000000004</v>
      </c>
      <c r="BF14" s="39">
        <f t="shared" si="14"/>
        <v>0</v>
      </c>
      <c r="BG14" s="210">
        <f t="shared" si="25"/>
        <v>4310.0002000000004</v>
      </c>
      <c r="BH14" s="178" t="e">
        <f t="shared" si="5"/>
        <v>#DIV/0!</v>
      </c>
      <c r="BI14" s="42"/>
    </row>
    <row r="15" spans="1:61" s="2" customFormat="1" ht="14.4" customHeight="1" outlineLevel="2">
      <c r="A15" s="238"/>
      <c r="B15" s="7" t="s">
        <v>20</v>
      </c>
      <c r="C15" s="111"/>
      <c r="D15" s="113"/>
      <c r="E15" s="106">
        <f t="shared" si="6"/>
        <v>0</v>
      </c>
      <c r="F15" s="177">
        <f t="shared" si="0"/>
        <v>0</v>
      </c>
      <c r="G15" s="39">
        <v>0</v>
      </c>
      <c r="H15" s="39">
        <v>0</v>
      </c>
      <c r="I15" s="210">
        <f t="shared" si="15"/>
        <v>0</v>
      </c>
      <c r="J15" s="178">
        <f t="shared" si="1"/>
        <v>0</v>
      </c>
      <c r="K15" s="42"/>
      <c r="L15" s="39"/>
      <c r="M15" s="39"/>
      <c r="N15" s="210">
        <f t="shared" si="16"/>
        <v>0</v>
      </c>
      <c r="O15" s="178" t="e">
        <f t="shared" si="2"/>
        <v>#DIV/0!</v>
      </c>
      <c r="P15" s="42"/>
      <c r="Q15" s="39"/>
      <c r="R15" s="39"/>
      <c r="S15" s="210">
        <f t="shared" si="17"/>
        <v>0</v>
      </c>
      <c r="T15" s="178">
        <f t="shared" si="7"/>
        <v>0</v>
      </c>
      <c r="U15" s="42"/>
      <c r="V15" s="39"/>
      <c r="W15" s="39"/>
      <c r="X15" s="210">
        <f t="shared" si="18"/>
        <v>0</v>
      </c>
      <c r="Y15" s="178">
        <f t="shared" si="3"/>
        <v>0</v>
      </c>
      <c r="Z15" s="42"/>
      <c r="AA15" s="39"/>
      <c r="AB15" s="39"/>
      <c r="AC15" s="210">
        <f t="shared" si="19"/>
        <v>0</v>
      </c>
      <c r="AD15" s="178">
        <f t="shared" si="4"/>
        <v>0</v>
      </c>
      <c r="AE15" s="42"/>
      <c r="AF15" s="39"/>
      <c r="AG15" s="39"/>
      <c r="AH15" s="210">
        <f t="shared" si="20"/>
        <v>0</v>
      </c>
      <c r="AI15" s="178">
        <f t="shared" si="8"/>
        <v>0</v>
      </c>
      <c r="AJ15" s="42"/>
      <c r="AK15" s="39"/>
      <c r="AL15" s="39"/>
      <c r="AM15" s="210">
        <f t="shared" si="21"/>
        <v>0</v>
      </c>
      <c r="AN15" s="178">
        <f t="shared" si="9"/>
        <v>0</v>
      </c>
      <c r="AO15" s="42"/>
      <c r="AP15" s="39"/>
      <c r="AQ15" s="39"/>
      <c r="AR15" s="210">
        <f t="shared" si="22"/>
        <v>0</v>
      </c>
      <c r="AS15" s="178">
        <f t="shared" si="10"/>
        <v>0</v>
      </c>
      <c r="AT15" s="42"/>
      <c r="AU15" s="39"/>
      <c r="AV15" s="39"/>
      <c r="AW15" s="210">
        <f t="shared" si="23"/>
        <v>0</v>
      </c>
      <c r="AX15" s="178">
        <f t="shared" si="11"/>
        <v>0</v>
      </c>
      <c r="AY15" s="42"/>
      <c r="AZ15" s="1432"/>
      <c r="BA15" s="1432"/>
      <c r="BB15" s="1552">
        <f t="shared" si="24"/>
        <v>0</v>
      </c>
      <c r="BC15" s="1877">
        <f t="shared" si="12"/>
        <v>0</v>
      </c>
      <c r="BD15" s="1434"/>
      <c r="BE15" s="39">
        <f t="shared" si="13"/>
        <v>0</v>
      </c>
      <c r="BF15" s="39">
        <f t="shared" si="14"/>
        <v>0</v>
      </c>
      <c r="BG15" s="210">
        <f t="shared" si="25"/>
        <v>0</v>
      </c>
      <c r="BH15" s="178" t="e">
        <f t="shared" si="5"/>
        <v>#DIV/0!</v>
      </c>
      <c r="BI15" s="42"/>
    </row>
    <row r="16" spans="1:61" s="2" customFormat="1" ht="31.95" customHeight="1" outlineLevel="2">
      <c r="A16" s="292"/>
      <c r="B16" s="7" t="s">
        <v>21</v>
      </c>
      <c r="C16" s="111"/>
      <c r="D16" s="113">
        <v>720705</v>
      </c>
      <c r="E16" s="106">
        <f t="shared" si="6"/>
        <v>720705</v>
      </c>
      <c r="F16" s="177">
        <f t="shared" si="0"/>
        <v>0.47758158656445815</v>
      </c>
      <c r="G16" s="39">
        <v>0</v>
      </c>
      <c r="H16" s="39">
        <v>415414.48</v>
      </c>
      <c r="I16" s="210">
        <f t="shared" si="15"/>
        <v>415414.48</v>
      </c>
      <c r="J16" s="178">
        <f t="shared" si="1"/>
        <v>0.31570773715198175</v>
      </c>
      <c r="K16" s="42"/>
      <c r="L16" s="39"/>
      <c r="M16" s="39"/>
      <c r="N16" s="210">
        <f t="shared" si="16"/>
        <v>0</v>
      </c>
      <c r="O16" s="178" t="e">
        <f t="shared" si="2"/>
        <v>#DIV/0!</v>
      </c>
      <c r="P16" s="42"/>
      <c r="Q16" s="39"/>
      <c r="R16" s="39"/>
      <c r="S16" s="210">
        <f t="shared" si="17"/>
        <v>0</v>
      </c>
      <c r="T16" s="178">
        <f t="shared" si="7"/>
        <v>0</v>
      </c>
      <c r="U16" s="42"/>
      <c r="V16" s="39"/>
      <c r="W16" s="610">
        <v>49954.5</v>
      </c>
      <c r="X16" s="210">
        <f t="shared" si="18"/>
        <v>49954.5</v>
      </c>
      <c r="Y16" s="178">
        <f t="shared" si="3"/>
        <v>0.36060583940319685</v>
      </c>
      <c r="Z16" s="42"/>
      <c r="AA16" s="39"/>
      <c r="AB16" s="39">
        <f>19975</f>
        <v>19975</v>
      </c>
      <c r="AC16" s="210">
        <f t="shared" si="19"/>
        <v>19975</v>
      </c>
      <c r="AD16" s="178">
        <f t="shared" si="4"/>
        <v>0.36970639667025484</v>
      </c>
      <c r="AE16" s="42" t="s">
        <v>857</v>
      </c>
      <c r="AF16" s="39"/>
      <c r="AG16" s="39"/>
      <c r="AH16" s="210">
        <f t="shared" si="20"/>
        <v>0</v>
      </c>
      <c r="AI16" s="178">
        <f t="shared" si="8"/>
        <v>0</v>
      </c>
      <c r="AJ16" s="42"/>
      <c r="AK16" s="39"/>
      <c r="AL16" s="39">
        <v>68900</v>
      </c>
      <c r="AM16" s="210">
        <f t="shared" si="21"/>
        <v>68900</v>
      </c>
      <c r="AN16" s="178">
        <f t="shared" si="9"/>
        <v>0.6912631721931104</v>
      </c>
      <c r="AO16" s="42" t="s">
        <v>906</v>
      </c>
      <c r="AP16" s="39"/>
      <c r="AQ16" s="39">
        <v>8000</v>
      </c>
      <c r="AR16" s="210">
        <f t="shared" si="22"/>
        <v>8000</v>
      </c>
      <c r="AS16" s="178">
        <f t="shared" si="10"/>
        <v>8.0195970080327098E-2</v>
      </c>
      <c r="AT16" s="42" t="s">
        <v>945</v>
      </c>
      <c r="AU16" s="39"/>
      <c r="AV16" s="39"/>
      <c r="AW16" s="210">
        <f t="shared" si="23"/>
        <v>0</v>
      </c>
      <c r="AX16" s="178">
        <f t="shared" si="11"/>
        <v>0</v>
      </c>
      <c r="AY16" s="42"/>
      <c r="AZ16" s="1432"/>
      <c r="BA16" s="1432"/>
      <c r="BB16" s="1552">
        <f t="shared" si="24"/>
        <v>0</v>
      </c>
      <c r="BC16" s="1877">
        <f t="shared" si="12"/>
        <v>0</v>
      </c>
      <c r="BD16" s="1434"/>
      <c r="BE16" s="39">
        <f t="shared" si="13"/>
        <v>0</v>
      </c>
      <c r="BF16" s="39">
        <f t="shared" si="14"/>
        <v>562243.98</v>
      </c>
      <c r="BG16" s="210">
        <f t="shared" si="25"/>
        <v>562243.98</v>
      </c>
      <c r="BH16" s="178" t="e">
        <f t="shared" si="5"/>
        <v>#DIV/0!</v>
      </c>
      <c r="BI16" s="42"/>
    </row>
    <row r="17" spans="1:61" s="2" customFormat="1" ht="14.4" customHeight="1" outlineLevel="2">
      <c r="A17" s="238"/>
      <c r="B17" s="7" t="s">
        <v>22</v>
      </c>
      <c r="C17" s="111"/>
      <c r="D17" s="113"/>
      <c r="E17" s="106">
        <f t="shared" si="6"/>
        <v>0</v>
      </c>
      <c r="F17" s="177">
        <f t="shared" si="0"/>
        <v>0</v>
      </c>
      <c r="G17" s="39">
        <v>0</v>
      </c>
      <c r="H17" s="39">
        <v>0</v>
      </c>
      <c r="I17" s="210">
        <f t="shared" si="15"/>
        <v>0</v>
      </c>
      <c r="J17" s="178">
        <f t="shared" si="1"/>
        <v>0</v>
      </c>
      <c r="K17" s="42"/>
      <c r="L17" s="39"/>
      <c r="M17" s="39"/>
      <c r="N17" s="210">
        <f t="shared" si="16"/>
        <v>0</v>
      </c>
      <c r="O17" s="178" t="e">
        <f t="shared" si="2"/>
        <v>#DIV/0!</v>
      </c>
      <c r="P17" s="42"/>
      <c r="Q17" s="39"/>
      <c r="R17" s="39"/>
      <c r="S17" s="210">
        <f t="shared" si="17"/>
        <v>0</v>
      </c>
      <c r="T17" s="178">
        <f t="shared" si="7"/>
        <v>0</v>
      </c>
      <c r="U17" s="42"/>
      <c r="V17" s="39"/>
      <c r="W17" s="39"/>
      <c r="X17" s="210">
        <f t="shared" si="18"/>
        <v>0</v>
      </c>
      <c r="Y17" s="178">
        <f t="shared" si="3"/>
        <v>0</v>
      </c>
      <c r="Z17" s="42"/>
      <c r="AA17" s="39"/>
      <c r="AB17" s="39"/>
      <c r="AC17" s="210">
        <f t="shared" si="19"/>
        <v>0</v>
      </c>
      <c r="AD17" s="178">
        <f t="shared" si="4"/>
        <v>0</v>
      </c>
      <c r="AE17" s="42"/>
      <c r="AF17" s="39"/>
      <c r="AG17" s="39"/>
      <c r="AH17" s="210">
        <f t="shared" si="20"/>
        <v>0</v>
      </c>
      <c r="AI17" s="178">
        <f t="shared" si="8"/>
        <v>0</v>
      </c>
      <c r="AJ17" s="42"/>
      <c r="AK17" s="39"/>
      <c r="AL17" s="39"/>
      <c r="AM17" s="210">
        <f t="shared" si="21"/>
        <v>0</v>
      </c>
      <c r="AN17" s="178">
        <f t="shared" si="9"/>
        <v>0</v>
      </c>
      <c r="AO17" s="42"/>
      <c r="AP17" s="39"/>
      <c r="AQ17" s="39"/>
      <c r="AR17" s="210">
        <f t="shared" si="22"/>
        <v>0</v>
      </c>
      <c r="AS17" s="178">
        <f t="shared" si="10"/>
        <v>0</v>
      </c>
      <c r="AT17" s="42"/>
      <c r="AU17" s="39"/>
      <c r="AV17" s="39"/>
      <c r="AW17" s="210">
        <f t="shared" si="23"/>
        <v>0</v>
      </c>
      <c r="AX17" s="178">
        <f t="shared" si="11"/>
        <v>0</v>
      </c>
      <c r="AY17" s="42"/>
      <c r="AZ17" s="1432"/>
      <c r="BA17" s="1432"/>
      <c r="BB17" s="1552">
        <f t="shared" si="24"/>
        <v>0</v>
      </c>
      <c r="BC17" s="1877">
        <f t="shared" si="12"/>
        <v>0</v>
      </c>
      <c r="BD17" s="1434"/>
      <c r="BE17" s="39">
        <f t="shared" si="13"/>
        <v>0</v>
      </c>
      <c r="BF17" s="39">
        <f t="shared" si="14"/>
        <v>0</v>
      </c>
      <c r="BG17" s="210">
        <f t="shared" si="25"/>
        <v>0</v>
      </c>
      <c r="BH17" s="178" t="e">
        <f t="shared" si="5"/>
        <v>#DIV/0!</v>
      </c>
      <c r="BI17" s="42"/>
    </row>
    <row r="18" spans="1:61" s="2" customFormat="1" ht="43.2" customHeight="1" outlineLevel="2">
      <c r="A18" s="238"/>
      <c r="B18" s="7" t="s">
        <v>0</v>
      </c>
      <c r="C18" s="111"/>
      <c r="D18" s="113"/>
      <c r="E18" s="106">
        <f t="shared" si="6"/>
        <v>0</v>
      </c>
      <c r="F18" s="177">
        <f t="shared" si="0"/>
        <v>0</v>
      </c>
      <c r="G18" s="39">
        <v>0</v>
      </c>
      <c r="H18" s="39">
        <v>0</v>
      </c>
      <c r="I18" s="210">
        <f t="shared" si="15"/>
        <v>0</v>
      </c>
      <c r="J18" s="178">
        <f t="shared" si="1"/>
        <v>0</v>
      </c>
      <c r="K18" s="42"/>
      <c r="L18" s="39"/>
      <c r="M18" s="39"/>
      <c r="N18" s="210">
        <f t="shared" si="16"/>
        <v>0</v>
      </c>
      <c r="O18" s="178" t="e">
        <f t="shared" si="2"/>
        <v>#DIV/0!</v>
      </c>
      <c r="P18" s="42"/>
      <c r="Q18" s="39"/>
      <c r="R18" s="39"/>
      <c r="S18" s="210">
        <f t="shared" si="17"/>
        <v>0</v>
      </c>
      <c r="T18" s="178">
        <f t="shared" si="7"/>
        <v>0</v>
      </c>
      <c r="U18" s="42"/>
      <c r="V18" s="39"/>
      <c r="W18" s="39"/>
      <c r="X18" s="210">
        <f t="shared" si="18"/>
        <v>0</v>
      </c>
      <c r="Y18" s="178">
        <f t="shared" si="3"/>
        <v>0</v>
      </c>
      <c r="Z18" s="42"/>
      <c r="AA18" s="39"/>
      <c r="AB18" s="39"/>
      <c r="AC18" s="210">
        <f t="shared" si="19"/>
        <v>0</v>
      </c>
      <c r="AD18" s="178">
        <f t="shared" si="4"/>
        <v>0</v>
      </c>
      <c r="AE18" s="42"/>
      <c r="AF18" s="39"/>
      <c r="AG18" s="39">
        <v>600</v>
      </c>
      <c r="AH18" s="210">
        <f t="shared" si="20"/>
        <v>600</v>
      </c>
      <c r="AI18" s="178">
        <f t="shared" si="8"/>
        <v>1.1274752450595631E-2</v>
      </c>
      <c r="AJ18" s="42" t="s">
        <v>887</v>
      </c>
      <c r="AK18" s="39"/>
      <c r="AL18" s="39"/>
      <c r="AM18" s="210">
        <f t="shared" si="21"/>
        <v>0</v>
      </c>
      <c r="AN18" s="178">
        <f t="shared" si="9"/>
        <v>0</v>
      </c>
      <c r="AO18" s="42"/>
      <c r="AP18" s="39"/>
      <c r="AQ18" s="39"/>
      <c r="AR18" s="210">
        <f t="shared" si="22"/>
        <v>0</v>
      </c>
      <c r="AS18" s="178">
        <f t="shared" si="10"/>
        <v>0</v>
      </c>
      <c r="AT18" s="42"/>
      <c r="AU18" s="39"/>
      <c r="AV18" s="39"/>
      <c r="AW18" s="210">
        <f t="shared" si="23"/>
        <v>0</v>
      </c>
      <c r="AX18" s="178">
        <f t="shared" si="11"/>
        <v>0</v>
      </c>
      <c r="AY18" s="42"/>
      <c r="AZ18" s="1432"/>
      <c r="BA18" s="1432"/>
      <c r="BB18" s="1552">
        <f t="shared" si="24"/>
        <v>0</v>
      </c>
      <c r="BC18" s="1877">
        <f t="shared" si="12"/>
        <v>0</v>
      </c>
      <c r="BD18" s="1434"/>
      <c r="BE18" s="39">
        <f t="shared" si="13"/>
        <v>0</v>
      </c>
      <c r="BF18" s="39">
        <f t="shared" si="14"/>
        <v>600</v>
      </c>
      <c r="BG18" s="210">
        <f t="shared" si="25"/>
        <v>600</v>
      </c>
      <c r="BH18" s="178" t="e">
        <f t="shared" si="5"/>
        <v>#DIV/0!</v>
      </c>
      <c r="BI18" s="42"/>
    </row>
    <row r="19" spans="1:61" s="2" customFormat="1" ht="33.6" customHeight="1" outlineLevel="2">
      <c r="A19" s="238"/>
      <c r="B19" s="7" t="s">
        <v>53</v>
      </c>
      <c r="C19" s="114"/>
      <c r="D19" s="113"/>
      <c r="E19" s="106">
        <f t="shared" si="6"/>
        <v>0</v>
      </c>
      <c r="F19" s="177">
        <f t="shared" si="0"/>
        <v>0</v>
      </c>
      <c r="G19" s="39">
        <v>4830</v>
      </c>
      <c r="H19" s="39">
        <v>900</v>
      </c>
      <c r="I19" s="210">
        <f t="shared" si="15"/>
        <v>5730</v>
      </c>
      <c r="J19" s="178">
        <f t="shared" si="1"/>
        <v>4.3546997540404838E-3</v>
      </c>
      <c r="K19" s="42"/>
      <c r="L19" s="39"/>
      <c r="M19" s="39"/>
      <c r="N19" s="210">
        <f t="shared" si="16"/>
        <v>0</v>
      </c>
      <c r="O19" s="178" t="e">
        <f t="shared" si="2"/>
        <v>#DIV/0!</v>
      </c>
      <c r="P19" s="42"/>
      <c r="Q19" s="39"/>
      <c r="R19" s="39"/>
      <c r="S19" s="210">
        <f t="shared" si="17"/>
        <v>0</v>
      </c>
      <c r="T19" s="178">
        <f t="shared" si="7"/>
        <v>0</v>
      </c>
      <c r="U19" s="42"/>
      <c r="V19" s="39"/>
      <c r="W19" s="39"/>
      <c r="X19" s="210">
        <f t="shared" si="18"/>
        <v>0</v>
      </c>
      <c r="Y19" s="178">
        <f t="shared" si="3"/>
        <v>0</v>
      </c>
      <c r="Z19" s="42"/>
      <c r="AA19" s="39"/>
      <c r="AB19" s="39"/>
      <c r="AC19" s="210">
        <f t="shared" si="19"/>
        <v>0</v>
      </c>
      <c r="AD19" s="178">
        <f t="shared" si="4"/>
        <v>0</v>
      </c>
      <c r="AE19" s="42"/>
      <c r="AF19" s="39"/>
      <c r="AG19" s="39"/>
      <c r="AH19" s="210">
        <f t="shared" si="20"/>
        <v>0</v>
      </c>
      <c r="AI19" s="178">
        <f t="shared" si="8"/>
        <v>0</v>
      </c>
      <c r="AJ19" s="42"/>
      <c r="AK19" s="39"/>
      <c r="AL19" s="39"/>
      <c r="AM19" s="210">
        <f t="shared" si="21"/>
        <v>0</v>
      </c>
      <c r="AN19" s="178">
        <f t="shared" si="9"/>
        <v>0</v>
      </c>
      <c r="AO19" s="42"/>
      <c r="AP19" s="39"/>
      <c r="AQ19" s="39"/>
      <c r="AR19" s="210">
        <f t="shared" si="22"/>
        <v>0</v>
      </c>
      <c r="AS19" s="178">
        <f t="shared" si="10"/>
        <v>0</v>
      </c>
      <c r="AT19" s="42"/>
      <c r="AU19" s="39"/>
      <c r="AV19" s="39"/>
      <c r="AW19" s="210">
        <f t="shared" si="23"/>
        <v>0</v>
      </c>
      <c r="AX19" s="178">
        <f t="shared" si="11"/>
        <v>0</v>
      </c>
      <c r="AY19" s="42"/>
      <c r="AZ19" s="1432"/>
      <c r="BA19" s="1432"/>
      <c r="BB19" s="1552">
        <f t="shared" si="24"/>
        <v>0</v>
      </c>
      <c r="BC19" s="1877">
        <f t="shared" si="12"/>
        <v>0</v>
      </c>
      <c r="BD19" s="1434"/>
      <c r="BE19" s="39">
        <f t="shared" si="13"/>
        <v>4830</v>
      </c>
      <c r="BF19" s="39">
        <f t="shared" si="14"/>
        <v>900</v>
      </c>
      <c r="BG19" s="210">
        <f t="shared" si="25"/>
        <v>5730</v>
      </c>
      <c r="BH19" s="178" t="e">
        <f t="shared" si="5"/>
        <v>#DIV/0!</v>
      </c>
      <c r="BI19" s="42"/>
    </row>
    <row r="20" spans="1:61" s="2" customFormat="1" ht="14.4" customHeight="1" outlineLevel="2">
      <c r="A20" s="238"/>
      <c r="B20" s="7" t="s">
        <v>57</v>
      </c>
      <c r="C20" s="114"/>
      <c r="D20" s="113"/>
      <c r="E20" s="106">
        <f t="shared" si="6"/>
        <v>0</v>
      </c>
      <c r="F20" s="177">
        <f t="shared" si="0"/>
        <v>0</v>
      </c>
      <c r="G20" s="39">
        <v>0</v>
      </c>
      <c r="H20" s="39">
        <v>0</v>
      </c>
      <c r="I20" s="210">
        <f t="shared" si="15"/>
        <v>0</v>
      </c>
      <c r="J20" s="178">
        <f t="shared" si="1"/>
        <v>0</v>
      </c>
      <c r="K20" s="42"/>
      <c r="L20" s="39"/>
      <c r="M20" s="39"/>
      <c r="N20" s="210">
        <f t="shared" si="16"/>
        <v>0</v>
      </c>
      <c r="O20" s="178" t="e">
        <f t="shared" si="2"/>
        <v>#DIV/0!</v>
      </c>
      <c r="P20" s="42"/>
      <c r="Q20" s="39"/>
      <c r="R20" s="39"/>
      <c r="S20" s="210">
        <f t="shared" si="17"/>
        <v>0</v>
      </c>
      <c r="T20" s="178">
        <f t="shared" si="7"/>
        <v>0</v>
      </c>
      <c r="U20" s="42"/>
      <c r="V20" s="39"/>
      <c r="W20" s="39"/>
      <c r="X20" s="210">
        <f t="shared" si="18"/>
        <v>0</v>
      </c>
      <c r="Y20" s="178">
        <f t="shared" si="3"/>
        <v>0</v>
      </c>
      <c r="Z20" s="42"/>
      <c r="AA20" s="39"/>
      <c r="AB20" s="39"/>
      <c r="AC20" s="210">
        <f t="shared" si="19"/>
        <v>0</v>
      </c>
      <c r="AD20" s="178">
        <f t="shared" si="4"/>
        <v>0</v>
      </c>
      <c r="AE20" s="42"/>
      <c r="AF20" s="39"/>
      <c r="AG20" s="39"/>
      <c r="AH20" s="210">
        <f t="shared" si="20"/>
        <v>0</v>
      </c>
      <c r="AI20" s="178">
        <f t="shared" si="8"/>
        <v>0</v>
      </c>
      <c r="AJ20" s="42"/>
      <c r="AK20" s="39"/>
      <c r="AL20" s="39"/>
      <c r="AM20" s="210">
        <f t="shared" si="21"/>
        <v>0</v>
      </c>
      <c r="AN20" s="178">
        <f t="shared" si="9"/>
        <v>0</v>
      </c>
      <c r="AO20" s="42"/>
      <c r="AP20" s="39"/>
      <c r="AQ20" s="39"/>
      <c r="AR20" s="210">
        <f t="shared" si="22"/>
        <v>0</v>
      </c>
      <c r="AS20" s="178">
        <f t="shared" si="10"/>
        <v>0</v>
      </c>
      <c r="AT20" s="42"/>
      <c r="AU20" s="39"/>
      <c r="AV20" s="39"/>
      <c r="AW20" s="210">
        <f t="shared" si="23"/>
        <v>0</v>
      </c>
      <c r="AX20" s="178">
        <f t="shared" si="11"/>
        <v>0</v>
      </c>
      <c r="AY20" s="42"/>
      <c r="AZ20" s="1432"/>
      <c r="BA20" s="1432"/>
      <c r="BB20" s="1552">
        <f t="shared" si="24"/>
        <v>0</v>
      </c>
      <c r="BC20" s="1877">
        <f t="shared" si="12"/>
        <v>0</v>
      </c>
      <c r="BD20" s="1434"/>
      <c r="BE20" s="39">
        <f t="shared" si="13"/>
        <v>0</v>
      </c>
      <c r="BF20" s="39">
        <f t="shared" si="14"/>
        <v>0</v>
      </c>
      <c r="BG20" s="210">
        <f t="shared" si="25"/>
        <v>0</v>
      </c>
      <c r="BH20" s="178" t="e">
        <f t="shared" si="5"/>
        <v>#DIV/0!</v>
      </c>
      <c r="BI20" s="42"/>
    </row>
    <row r="21" spans="1:61" s="2" customFormat="1" ht="70.95" customHeight="1" outlineLevel="2">
      <c r="A21" s="238"/>
      <c r="B21" s="7" t="s">
        <v>622</v>
      </c>
      <c r="C21" s="114">
        <v>308972</v>
      </c>
      <c r="D21" s="113"/>
      <c r="E21" s="106">
        <f t="shared" si="6"/>
        <v>308972</v>
      </c>
      <c r="F21" s="177">
        <f t="shared" si="0"/>
        <v>0.20474304738276239</v>
      </c>
      <c r="G21" s="39">
        <v>284117.25</v>
      </c>
      <c r="H21" s="39">
        <v>2250</v>
      </c>
      <c r="I21" s="210">
        <f t="shared" si="15"/>
        <v>286367.25</v>
      </c>
      <c r="J21" s="178">
        <f t="shared" si="1"/>
        <v>0.21763410002447639</v>
      </c>
      <c r="K21" s="42"/>
      <c r="L21" s="39"/>
      <c r="M21" s="39"/>
      <c r="N21" s="210">
        <f t="shared" si="16"/>
        <v>0</v>
      </c>
      <c r="O21" s="178" t="e">
        <f t="shared" si="2"/>
        <v>#DIV/0!</v>
      </c>
      <c r="P21" s="42"/>
      <c r="Q21" s="39"/>
      <c r="R21" s="39"/>
      <c r="S21" s="210">
        <f t="shared" si="17"/>
        <v>0</v>
      </c>
      <c r="T21" s="178">
        <f t="shared" si="7"/>
        <v>0</v>
      </c>
      <c r="U21" s="42"/>
      <c r="V21" s="39"/>
      <c r="W21" s="39"/>
      <c r="X21" s="210">
        <f t="shared" si="18"/>
        <v>0</v>
      </c>
      <c r="Y21" s="178">
        <f t="shared" si="3"/>
        <v>0</v>
      </c>
      <c r="Z21" s="42"/>
      <c r="AA21" s="39"/>
      <c r="AB21" s="39"/>
      <c r="AC21" s="210">
        <f t="shared" si="19"/>
        <v>0</v>
      </c>
      <c r="AD21" s="178">
        <f t="shared" si="4"/>
        <v>0</v>
      </c>
      <c r="AE21" s="42"/>
      <c r="AF21" s="39"/>
      <c r="AG21" s="39"/>
      <c r="AH21" s="210">
        <f t="shared" si="20"/>
        <v>0</v>
      </c>
      <c r="AI21" s="178">
        <f t="shared" si="8"/>
        <v>0</v>
      </c>
      <c r="AJ21" s="42"/>
      <c r="AK21" s="39"/>
      <c r="AL21" s="39"/>
      <c r="AM21" s="210">
        <f t="shared" si="21"/>
        <v>0</v>
      </c>
      <c r="AN21" s="178">
        <f t="shared" si="9"/>
        <v>0</v>
      </c>
      <c r="AO21" s="42"/>
      <c r="AP21" s="39"/>
      <c r="AQ21" s="39"/>
      <c r="AR21" s="210">
        <f t="shared" si="22"/>
        <v>0</v>
      </c>
      <c r="AS21" s="178">
        <f t="shared" si="10"/>
        <v>0</v>
      </c>
      <c r="AT21" s="42"/>
      <c r="AU21" s="39"/>
      <c r="AV21" s="39"/>
      <c r="AW21" s="210">
        <f t="shared" si="23"/>
        <v>0</v>
      </c>
      <c r="AX21" s="178">
        <f t="shared" si="11"/>
        <v>0</v>
      </c>
      <c r="AY21" s="42"/>
      <c r="AZ21" s="1432"/>
      <c r="BA21" s="1432"/>
      <c r="BB21" s="1552">
        <f t="shared" si="24"/>
        <v>0</v>
      </c>
      <c r="BC21" s="1877">
        <f t="shared" si="12"/>
        <v>0</v>
      </c>
      <c r="BD21" s="1434"/>
      <c r="BE21" s="39">
        <f t="shared" si="13"/>
        <v>284117.25</v>
      </c>
      <c r="BF21" s="39">
        <f t="shared" si="14"/>
        <v>2250</v>
      </c>
      <c r="BG21" s="210">
        <f t="shared" si="25"/>
        <v>286367.25</v>
      </c>
      <c r="BH21" s="178" t="e">
        <f t="shared" si="5"/>
        <v>#DIV/0!</v>
      </c>
      <c r="BI21" s="42"/>
    </row>
    <row r="22" spans="1:61" s="2" customFormat="1" ht="70.95" customHeight="1" outlineLevel="2">
      <c r="A22" s="238"/>
      <c r="B22" s="7" t="s">
        <v>621</v>
      </c>
      <c r="C22" s="114"/>
      <c r="D22" s="445"/>
      <c r="E22" s="446"/>
      <c r="F22" s="447"/>
      <c r="G22" s="452"/>
      <c r="H22" s="452"/>
      <c r="I22" s="453"/>
      <c r="J22" s="450"/>
      <c r="K22" s="456"/>
      <c r="L22" s="452"/>
      <c r="M22" s="452"/>
      <c r="N22" s="453"/>
      <c r="O22" s="450"/>
      <c r="P22" s="456"/>
      <c r="Q22" s="452"/>
      <c r="R22" s="452"/>
      <c r="S22" s="453"/>
      <c r="T22" s="178">
        <f t="shared" si="7"/>
        <v>0</v>
      </c>
      <c r="U22" s="456"/>
      <c r="V22" s="452"/>
      <c r="W22" s="452"/>
      <c r="X22" s="453"/>
      <c r="Y22" s="178">
        <f t="shared" si="3"/>
        <v>0</v>
      </c>
      <c r="Z22" s="456"/>
      <c r="AA22" s="452"/>
      <c r="AB22" s="452"/>
      <c r="AC22" s="453"/>
      <c r="AD22" s="178">
        <f t="shared" si="4"/>
        <v>0</v>
      </c>
      <c r="AE22" s="456"/>
      <c r="AF22" s="452">
        <f>16000*1.2</f>
        <v>19200</v>
      </c>
      <c r="AG22" s="452"/>
      <c r="AH22" s="210">
        <f t="shared" si="20"/>
        <v>19200</v>
      </c>
      <c r="AI22" s="178">
        <f t="shared" si="8"/>
        <v>0.36079207841906019</v>
      </c>
      <c r="AJ22" s="456" t="s">
        <v>888</v>
      </c>
      <c r="AK22" s="452">
        <v>1800</v>
      </c>
      <c r="AL22" s="452"/>
      <c r="AM22" s="210">
        <f t="shared" si="21"/>
        <v>1800</v>
      </c>
      <c r="AN22" s="178">
        <f t="shared" si="9"/>
        <v>1.8059124962954989E-2</v>
      </c>
      <c r="AO22" s="454" t="s">
        <v>925</v>
      </c>
      <c r="AP22" s="452"/>
      <c r="AQ22" s="452"/>
      <c r="AR22" s="210">
        <f t="shared" si="22"/>
        <v>0</v>
      </c>
      <c r="AS22" s="178">
        <f t="shared" si="10"/>
        <v>0</v>
      </c>
      <c r="AT22" s="454"/>
      <c r="AU22" s="452"/>
      <c r="AV22" s="452"/>
      <c r="AW22" s="210">
        <f t="shared" si="23"/>
        <v>0</v>
      </c>
      <c r="AX22" s="178">
        <f t="shared" si="11"/>
        <v>0</v>
      </c>
      <c r="AY22" s="454"/>
      <c r="AZ22" s="1432"/>
      <c r="BA22" s="1432"/>
      <c r="BB22" s="1552">
        <f t="shared" si="24"/>
        <v>0</v>
      </c>
      <c r="BC22" s="1877">
        <f t="shared" si="12"/>
        <v>0</v>
      </c>
      <c r="BD22" s="1581"/>
      <c r="BE22" s="39">
        <f t="shared" si="13"/>
        <v>21000</v>
      </c>
      <c r="BF22" s="39">
        <f t="shared" si="14"/>
        <v>0</v>
      </c>
      <c r="BG22" s="210">
        <f t="shared" si="25"/>
        <v>21000</v>
      </c>
      <c r="BH22" s="178" t="e">
        <f>BG22/$N$89</f>
        <v>#DIV/0!</v>
      </c>
      <c r="BI22" s="456"/>
    </row>
    <row r="23" spans="1:61" s="2" customFormat="1" ht="70.95" customHeight="1" outlineLevel="2">
      <c r="A23" s="238"/>
      <c r="B23" s="471" t="s">
        <v>630</v>
      </c>
      <c r="C23" s="114"/>
      <c r="D23" s="445"/>
      <c r="E23" s="446"/>
      <c r="F23" s="447"/>
      <c r="G23" s="452"/>
      <c r="H23" s="452"/>
      <c r="I23" s="453"/>
      <c r="J23" s="450"/>
      <c r="K23" s="456"/>
      <c r="L23" s="452"/>
      <c r="M23" s="452"/>
      <c r="N23" s="453"/>
      <c r="O23" s="450"/>
      <c r="P23" s="456"/>
      <c r="Q23" s="452"/>
      <c r="R23" s="452"/>
      <c r="S23" s="453"/>
      <c r="T23" s="450"/>
      <c r="U23" s="456"/>
      <c r="V23" s="452"/>
      <c r="W23" s="452"/>
      <c r="X23" s="453"/>
      <c r="Y23" s="450"/>
      <c r="Z23" s="456"/>
      <c r="AA23" s="452"/>
      <c r="AB23" s="452"/>
      <c r="AC23" s="453"/>
      <c r="AD23" s="450"/>
      <c r="AE23" s="456"/>
      <c r="AF23" s="452"/>
      <c r="AG23" s="452"/>
      <c r="AH23" s="210">
        <f t="shared" si="20"/>
        <v>0</v>
      </c>
      <c r="AI23" s="178">
        <f t="shared" si="8"/>
        <v>0</v>
      </c>
      <c r="AJ23" s="456"/>
      <c r="AK23" s="452"/>
      <c r="AL23" s="452"/>
      <c r="AM23" s="210">
        <f t="shared" si="21"/>
        <v>0</v>
      </c>
      <c r="AN23" s="178">
        <f t="shared" si="9"/>
        <v>0</v>
      </c>
      <c r="AO23" s="456"/>
      <c r="AP23" s="452"/>
      <c r="AQ23" s="452"/>
      <c r="AR23" s="210">
        <f t="shared" si="22"/>
        <v>0</v>
      </c>
      <c r="AS23" s="178">
        <f t="shared" si="10"/>
        <v>0</v>
      </c>
      <c r="AT23" s="456"/>
      <c r="AU23" s="452"/>
      <c r="AV23" s="452"/>
      <c r="AW23" s="210">
        <f t="shared" si="23"/>
        <v>0</v>
      </c>
      <c r="AX23" s="178">
        <f t="shared" si="11"/>
        <v>0</v>
      </c>
      <c r="AY23" s="456"/>
      <c r="AZ23" s="1432"/>
      <c r="BA23" s="1432"/>
      <c r="BB23" s="1552">
        <f t="shared" si="24"/>
        <v>0</v>
      </c>
      <c r="BC23" s="1877">
        <f t="shared" si="12"/>
        <v>0</v>
      </c>
      <c r="BD23" s="1434"/>
      <c r="BE23" s="39">
        <f t="shared" si="13"/>
        <v>0</v>
      </c>
      <c r="BF23" s="39">
        <f t="shared" si="14"/>
        <v>0</v>
      </c>
      <c r="BG23" s="210">
        <f t="shared" si="25"/>
        <v>0</v>
      </c>
      <c r="BH23" s="178" t="e">
        <f>BG23/$N$89</f>
        <v>#DIV/0!</v>
      </c>
      <c r="BI23" s="456"/>
    </row>
    <row r="24" spans="1:61" s="2" customFormat="1" ht="54" customHeight="1" outlineLevel="2">
      <c r="A24" s="238"/>
      <c r="B24" s="7" t="s">
        <v>23</v>
      </c>
      <c r="C24" s="114"/>
      <c r="D24" s="113"/>
      <c r="E24" s="106">
        <f t="shared" si="6"/>
        <v>0</v>
      </c>
      <c r="F24" s="177">
        <f t="shared" ref="F24:F33" si="26">E24/$E$89</f>
        <v>0</v>
      </c>
      <c r="G24" s="39">
        <v>195461.45199999999</v>
      </c>
      <c r="H24" s="39">
        <v>0</v>
      </c>
      <c r="I24" s="210">
        <f t="shared" si="15"/>
        <v>195461.45199999999</v>
      </c>
      <c r="J24" s="178">
        <f t="shared" ref="J24:J33" si="27">I24/$I$89</f>
        <v>0.14854728393521743</v>
      </c>
      <c r="K24" s="42"/>
      <c r="L24" s="39"/>
      <c r="M24" s="39"/>
      <c r="N24" s="210">
        <f t="shared" si="16"/>
        <v>0</v>
      </c>
      <c r="O24" s="178" t="e">
        <f t="shared" ref="O24:O33" si="28">N24/$N$89</f>
        <v>#DIV/0!</v>
      </c>
      <c r="P24" s="42"/>
      <c r="Q24" s="39"/>
      <c r="R24" s="39"/>
      <c r="S24" s="210">
        <f t="shared" ref="S24:S33" si="29">Q24+R24*1</f>
        <v>0</v>
      </c>
      <c r="T24" s="178">
        <f t="shared" ref="T24:T33" si="30">S24/$S$89</f>
        <v>0</v>
      </c>
      <c r="U24" s="42"/>
      <c r="V24" s="39"/>
      <c r="W24" s="39"/>
      <c r="X24" s="210">
        <f t="shared" ref="X24:X33" si="31">V24+W24*1</f>
        <v>0</v>
      </c>
      <c r="Y24" s="178">
        <f t="shared" ref="Y24:Y33" si="32">X24/$X$89</f>
        <v>0</v>
      </c>
      <c r="Z24" s="42"/>
      <c r="AA24" s="39"/>
      <c r="AB24" s="39"/>
      <c r="AC24" s="210">
        <f t="shared" ref="AC24:AC33" si="33">AA24+AB24*1</f>
        <v>0</v>
      </c>
      <c r="AD24" s="178">
        <f t="shared" ref="AD24:AD33" si="34">AC24/$AC$89</f>
        <v>0</v>
      </c>
      <c r="AE24" s="42"/>
      <c r="AF24" s="39">
        <f>12790.51*1.2+398.67*1.2</f>
        <v>15827.016</v>
      </c>
      <c r="AG24" s="39"/>
      <c r="AH24" s="210">
        <f t="shared" si="20"/>
        <v>15827.016</v>
      </c>
      <c r="AI24" s="178">
        <f t="shared" si="8"/>
        <v>0.29740947905269377</v>
      </c>
      <c r="AJ24" s="42"/>
      <c r="AK24" s="39"/>
      <c r="AL24" s="39"/>
      <c r="AM24" s="210">
        <f t="shared" si="21"/>
        <v>0</v>
      </c>
      <c r="AN24" s="178">
        <f t="shared" si="9"/>
        <v>0</v>
      </c>
      <c r="AO24" s="42"/>
      <c r="AP24" s="39"/>
      <c r="AQ24" s="39"/>
      <c r="AR24" s="210">
        <f t="shared" si="22"/>
        <v>0</v>
      </c>
      <c r="AS24" s="178">
        <f t="shared" si="10"/>
        <v>0</v>
      </c>
      <c r="AT24" s="42"/>
      <c r="AU24" s="39"/>
      <c r="AV24" s="39"/>
      <c r="AW24" s="210">
        <f t="shared" si="23"/>
        <v>0</v>
      </c>
      <c r="AX24" s="178">
        <f t="shared" si="11"/>
        <v>0</v>
      </c>
      <c r="AY24" s="42"/>
      <c r="AZ24" s="1432"/>
      <c r="BA24" s="1432"/>
      <c r="BB24" s="1552">
        <f t="shared" si="24"/>
        <v>0</v>
      </c>
      <c r="BC24" s="1877">
        <f t="shared" si="12"/>
        <v>0</v>
      </c>
      <c r="BD24" s="1434"/>
      <c r="BE24" s="39">
        <f t="shared" si="13"/>
        <v>211288.46799999999</v>
      </c>
      <c r="BF24" s="39">
        <f t="shared" si="14"/>
        <v>0</v>
      </c>
      <c r="BG24" s="210">
        <f t="shared" si="25"/>
        <v>211288.46799999999</v>
      </c>
      <c r="BH24" s="178" t="e">
        <f>BG24/$N$89</f>
        <v>#DIV/0!</v>
      </c>
      <c r="BI24" s="42"/>
    </row>
    <row r="25" spans="1:61" s="2" customFormat="1" ht="39" customHeight="1" outlineLevel="2">
      <c r="A25" s="238"/>
      <c r="B25" s="7" t="s">
        <v>24</v>
      </c>
      <c r="C25" s="114">
        <v>40000</v>
      </c>
      <c r="D25" s="113"/>
      <c r="E25" s="106">
        <f t="shared" si="6"/>
        <v>40000</v>
      </c>
      <c r="F25" s="177">
        <f t="shared" si="26"/>
        <v>2.6506356224222569E-2</v>
      </c>
      <c r="G25" s="39">
        <v>9781.2839999999997</v>
      </c>
      <c r="H25" s="39">
        <v>0</v>
      </c>
      <c r="I25" s="210">
        <f t="shared" si="15"/>
        <v>9781.2839999999997</v>
      </c>
      <c r="J25" s="178">
        <f t="shared" si="27"/>
        <v>7.433604717102988E-3</v>
      </c>
      <c r="K25" s="42"/>
      <c r="L25" s="39"/>
      <c r="M25" s="39"/>
      <c r="N25" s="210">
        <f t="shared" si="16"/>
        <v>0</v>
      </c>
      <c r="O25" s="178" t="e">
        <f t="shared" si="28"/>
        <v>#DIV/0!</v>
      </c>
      <c r="P25" s="42"/>
      <c r="Q25" s="39"/>
      <c r="R25" s="39">
        <v>1891</v>
      </c>
      <c r="S25" s="210">
        <f t="shared" si="29"/>
        <v>1891</v>
      </c>
      <c r="T25" s="178">
        <f t="shared" si="30"/>
        <v>5.3664911106517305E-2</v>
      </c>
      <c r="U25" s="42"/>
      <c r="V25" s="39"/>
      <c r="W25" s="39">
        <v>1000</v>
      </c>
      <c r="X25" s="210">
        <f t="shared" si="31"/>
        <v>1000</v>
      </c>
      <c r="Y25" s="178">
        <f t="shared" si="32"/>
        <v>7.2186857921347795E-3</v>
      </c>
      <c r="Z25" s="42"/>
      <c r="AA25" s="39"/>
      <c r="AB25" s="39"/>
      <c r="AC25" s="210">
        <f t="shared" si="33"/>
        <v>0</v>
      </c>
      <c r="AD25" s="178">
        <f t="shared" si="34"/>
        <v>0</v>
      </c>
      <c r="AE25" s="42"/>
      <c r="AF25" s="39"/>
      <c r="AG25" s="39">
        <v>862</v>
      </c>
      <c r="AH25" s="210">
        <f t="shared" si="20"/>
        <v>862</v>
      </c>
      <c r="AI25" s="178">
        <f t="shared" si="8"/>
        <v>1.6198061020689054E-2</v>
      </c>
      <c r="AJ25" s="42"/>
      <c r="AK25" s="39"/>
      <c r="AL25" s="39"/>
      <c r="AM25" s="210">
        <f t="shared" si="21"/>
        <v>0</v>
      </c>
      <c r="AN25" s="178">
        <f t="shared" si="9"/>
        <v>0</v>
      </c>
      <c r="AO25" s="42"/>
      <c r="AP25" s="39">
        <f>46058.46*1.2</f>
        <v>55270.151999999995</v>
      </c>
      <c r="AQ25" s="39">
        <v>4200</v>
      </c>
      <c r="AR25" s="210">
        <f t="shared" si="22"/>
        <v>59470.151999999995</v>
      </c>
      <c r="AS25" s="178">
        <f t="shared" si="10"/>
        <v>0.59615831630806304</v>
      </c>
      <c r="AT25" s="42"/>
      <c r="AU25" s="39"/>
      <c r="AV25" s="39"/>
      <c r="AW25" s="210">
        <f t="shared" si="23"/>
        <v>0</v>
      </c>
      <c r="AX25" s="178">
        <f t="shared" si="11"/>
        <v>0</v>
      </c>
      <c r="AY25" s="42"/>
      <c r="AZ25" s="1432"/>
      <c r="BA25" s="1432"/>
      <c r="BB25" s="1552">
        <f t="shared" si="24"/>
        <v>0</v>
      </c>
      <c r="BC25" s="1877">
        <f t="shared" si="12"/>
        <v>0</v>
      </c>
      <c r="BD25" s="1434"/>
      <c r="BE25" s="39">
        <f t="shared" si="13"/>
        <v>65051.435999999994</v>
      </c>
      <c r="BF25" s="39">
        <f t="shared" si="14"/>
        <v>7953</v>
      </c>
      <c r="BG25" s="210">
        <f t="shared" si="25"/>
        <v>73004.435999999987</v>
      </c>
      <c r="BH25" s="178" t="e">
        <f t="shared" ref="BH25:BH33" si="35">BG25/$N$89</f>
        <v>#DIV/0!</v>
      </c>
      <c r="BI25" s="42"/>
    </row>
    <row r="26" spans="1:61" s="2" customFormat="1" ht="39.6" customHeight="1" outlineLevel="2">
      <c r="A26" s="238"/>
      <c r="B26" s="7" t="s">
        <v>45</v>
      </c>
      <c r="C26" s="114">
        <v>80000</v>
      </c>
      <c r="D26" s="113"/>
      <c r="E26" s="106">
        <f t="shared" si="6"/>
        <v>80000</v>
      </c>
      <c r="F26" s="177">
        <f t="shared" si="26"/>
        <v>5.3012712448445139E-2</v>
      </c>
      <c r="G26" s="39">
        <v>24116.423999999999</v>
      </c>
      <c r="H26" s="39">
        <v>0</v>
      </c>
      <c r="I26" s="210">
        <f t="shared" si="15"/>
        <v>24116.423999999999</v>
      </c>
      <c r="J26" s="178">
        <f t="shared" si="27"/>
        <v>1.8328060324805589E-2</v>
      </c>
      <c r="K26" s="42"/>
      <c r="L26" s="39"/>
      <c r="M26" s="39"/>
      <c r="N26" s="210">
        <f t="shared" si="16"/>
        <v>0</v>
      </c>
      <c r="O26" s="178" t="e">
        <f t="shared" si="28"/>
        <v>#DIV/0!</v>
      </c>
      <c r="P26" s="42"/>
      <c r="Q26" s="39"/>
      <c r="R26" s="39"/>
      <c r="S26" s="210">
        <f t="shared" si="29"/>
        <v>0</v>
      </c>
      <c r="T26" s="178">
        <f t="shared" si="30"/>
        <v>0</v>
      </c>
      <c r="U26" s="42"/>
      <c r="V26" s="39">
        <f>49198.68*1.2</f>
        <v>59038.415999999997</v>
      </c>
      <c r="W26" s="39"/>
      <c r="X26" s="210">
        <f t="shared" si="31"/>
        <v>59038.415999999997</v>
      </c>
      <c r="Y26" s="178">
        <f t="shared" si="32"/>
        <v>0.4261797747693426</v>
      </c>
      <c r="Z26" s="42"/>
      <c r="AA26" s="39">
        <f>28170*1.2</f>
        <v>33804</v>
      </c>
      <c r="AB26" s="39"/>
      <c r="AC26" s="210">
        <f t="shared" si="33"/>
        <v>33804</v>
      </c>
      <c r="AD26" s="178">
        <f t="shared" si="34"/>
        <v>0.62565982643510865</v>
      </c>
      <c r="AE26" s="42"/>
      <c r="AF26" s="39"/>
      <c r="AG26" s="39"/>
      <c r="AH26" s="210">
        <f t="shared" si="20"/>
        <v>0</v>
      </c>
      <c r="AI26" s="178">
        <f t="shared" si="8"/>
        <v>0</v>
      </c>
      <c r="AJ26" s="42"/>
      <c r="AK26" s="39">
        <f>15989.32*1.2</f>
        <v>19187.183999999997</v>
      </c>
      <c r="AL26" s="39"/>
      <c r="AM26" s="210">
        <f t="shared" si="21"/>
        <v>19187.183999999997</v>
      </c>
      <c r="AN26" s="178">
        <f t="shared" si="9"/>
        <v>0.19250208530178362</v>
      </c>
      <c r="AO26" s="42"/>
      <c r="AP26" s="39">
        <f>25204.57*1.2</f>
        <v>30245.483999999997</v>
      </c>
      <c r="AQ26" s="39"/>
      <c r="AR26" s="210">
        <f t="shared" si="22"/>
        <v>30245.483999999997</v>
      </c>
      <c r="AS26" s="178">
        <f t="shared" si="10"/>
        <v>0.30319574124112642</v>
      </c>
      <c r="AT26" s="42"/>
      <c r="AU26" s="39"/>
      <c r="AV26" s="39"/>
      <c r="AW26" s="210">
        <f t="shared" si="23"/>
        <v>0</v>
      </c>
      <c r="AX26" s="178">
        <f t="shared" si="11"/>
        <v>0</v>
      </c>
      <c r="AY26" s="42"/>
      <c r="AZ26" s="1871">
        <f>13668.06*1.2</f>
        <v>16401.671999999999</v>
      </c>
      <c r="BA26" s="1871"/>
      <c r="BB26" s="1872">
        <f t="shared" si="24"/>
        <v>16401.671999999999</v>
      </c>
      <c r="BC26" s="1907">
        <f t="shared" si="12"/>
        <v>1</v>
      </c>
      <c r="BD26" s="1949" t="s">
        <v>1269</v>
      </c>
      <c r="BE26" s="39">
        <f t="shared" si="13"/>
        <v>166391.508</v>
      </c>
      <c r="BF26" s="39">
        <f t="shared" si="14"/>
        <v>0</v>
      </c>
      <c r="BG26" s="210">
        <f t="shared" si="25"/>
        <v>166391.508</v>
      </c>
      <c r="BH26" s="178" t="e">
        <f t="shared" si="35"/>
        <v>#DIV/0!</v>
      </c>
      <c r="BI26" s="42"/>
    </row>
    <row r="27" spans="1:61" s="2" customFormat="1" ht="32.4" customHeight="1" outlineLevel="2">
      <c r="A27" s="238"/>
      <c r="B27" s="7" t="s">
        <v>25</v>
      </c>
      <c r="C27" s="114"/>
      <c r="D27" s="113"/>
      <c r="E27" s="106">
        <f t="shared" si="6"/>
        <v>0</v>
      </c>
      <c r="F27" s="177">
        <f t="shared" si="26"/>
        <v>0</v>
      </c>
      <c r="G27" s="39">
        <v>4472.7240000000002</v>
      </c>
      <c r="H27" s="39">
        <v>0</v>
      </c>
      <c r="I27" s="210">
        <f t="shared" si="15"/>
        <v>4472.7240000000002</v>
      </c>
      <c r="J27" s="178">
        <f t="shared" si="27"/>
        <v>3.3991919899984241E-3</v>
      </c>
      <c r="K27" s="42"/>
      <c r="L27" s="39"/>
      <c r="M27" s="39"/>
      <c r="N27" s="210">
        <f t="shared" si="16"/>
        <v>0</v>
      </c>
      <c r="O27" s="178" t="e">
        <f t="shared" si="28"/>
        <v>#DIV/0!</v>
      </c>
      <c r="P27" s="42"/>
      <c r="Q27" s="39"/>
      <c r="R27" s="39"/>
      <c r="S27" s="210">
        <f t="shared" si="29"/>
        <v>0</v>
      </c>
      <c r="T27" s="178">
        <f t="shared" si="30"/>
        <v>0</v>
      </c>
      <c r="U27" s="42"/>
      <c r="V27" s="39"/>
      <c r="W27" s="39"/>
      <c r="X27" s="210">
        <f t="shared" si="31"/>
        <v>0</v>
      </c>
      <c r="Y27" s="178">
        <f t="shared" si="32"/>
        <v>0</v>
      </c>
      <c r="Z27" s="42"/>
      <c r="AA27" s="39"/>
      <c r="AB27" s="39"/>
      <c r="AC27" s="210">
        <f t="shared" si="33"/>
        <v>0</v>
      </c>
      <c r="AD27" s="178">
        <f t="shared" si="34"/>
        <v>0</v>
      </c>
      <c r="AE27" s="42"/>
      <c r="AF27" s="39"/>
      <c r="AG27" s="39"/>
      <c r="AH27" s="210">
        <f t="shared" ref="AH27:AH33" si="36">AF27+AG27*1</f>
        <v>0</v>
      </c>
      <c r="AI27" s="178">
        <f t="shared" si="8"/>
        <v>0</v>
      </c>
      <c r="AJ27" s="42"/>
      <c r="AK27" s="39"/>
      <c r="AL27" s="39"/>
      <c r="AM27" s="210">
        <f t="shared" si="21"/>
        <v>0</v>
      </c>
      <c r="AN27" s="178">
        <f t="shared" si="9"/>
        <v>0</v>
      </c>
      <c r="AO27" s="42"/>
      <c r="AP27" s="39"/>
      <c r="AQ27" s="39"/>
      <c r="AR27" s="210">
        <f t="shared" si="22"/>
        <v>0</v>
      </c>
      <c r="AS27" s="178">
        <f t="shared" si="10"/>
        <v>0</v>
      </c>
      <c r="AT27" s="42"/>
      <c r="AU27" s="39"/>
      <c r="AV27" s="39"/>
      <c r="AW27" s="210">
        <f t="shared" si="23"/>
        <v>0</v>
      </c>
      <c r="AX27" s="178">
        <f t="shared" si="11"/>
        <v>0</v>
      </c>
      <c r="AY27" s="42"/>
      <c r="AZ27" s="1432"/>
      <c r="BA27" s="1432"/>
      <c r="BB27" s="1552">
        <f t="shared" si="24"/>
        <v>0</v>
      </c>
      <c r="BC27" s="1877">
        <f t="shared" si="12"/>
        <v>0</v>
      </c>
      <c r="BD27" s="1434"/>
      <c r="BE27" s="39">
        <f t="shared" si="13"/>
        <v>4472.7240000000002</v>
      </c>
      <c r="BF27" s="39">
        <f t="shared" si="14"/>
        <v>0</v>
      </c>
      <c r="BG27" s="210">
        <f t="shared" si="25"/>
        <v>4472.7240000000002</v>
      </c>
      <c r="BH27" s="178" t="e">
        <f t="shared" si="35"/>
        <v>#DIV/0!</v>
      </c>
      <c r="BI27" s="42"/>
    </row>
    <row r="28" spans="1:61" s="226" customFormat="1" ht="51" customHeight="1" outlineLevel="2">
      <c r="A28" s="238"/>
      <c r="B28" s="262" t="s">
        <v>52</v>
      </c>
      <c r="C28" s="114">
        <v>40035</v>
      </c>
      <c r="D28" s="113"/>
      <c r="E28" s="106">
        <f t="shared" si="6"/>
        <v>40035</v>
      </c>
      <c r="F28" s="177">
        <f t="shared" si="26"/>
        <v>2.6529549285918764E-2</v>
      </c>
      <c r="G28" s="39">
        <v>640.19999999999993</v>
      </c>
      <c r="H28" s="39">
        <v>977</v>
      </c>
      <c r="I28" s="210">
        <f t="shared" si="15"/>
        <v>1617.1999999999998</v>
      </c>
      <c r="J28" s="178">
        <f t="shared" si="27"/>
        <v>1.2290437071962076E-3</v>
      </c>
      <c r="K28" s="42"/>
      <c r="L28" s="39"/>
      <c r="M28" s="39"/>
      <c r="N28" s="210">
        <f t="shared" si="16"/>
        <v>0</v>
      </c>
      <c r="O28" s="178" t="e">
        <f t="shared" si="28"/>
        <v>#DIV/0!</v>
      </c>
      <c r="P28" s="42"/>
      <c r="Q28" s="39"/>
      <c r="R28" s="39"/>
      <c r="S28" s="210">
        <f t="shared" si="29"/>
        <v>0</v>
      </c>
      <c r="T28" s="178">
        <f t="shared" si="30"/>
        <v>0</v>
      </c>
      <c r="U28" s="42"/>
      <c r="V28" s="39"/>
      <c r="W28" s="39"/>
      <c r="X28" s="210">
        <f t="shared" si="31"/>
        <v>0</v>
      </c>
      <c r="Y28" s="178">
        <f t="shared" si="32"/>
        <v>0</v>
      </c>
      <c r="Z28" s="261"/>
      <c r="AA28" s="39">
        <f>86</f>
        <v>86</v>
      </c>
      <c r="AB28" s="39"/>
      <c r="AC28" s="210">
        <f t="shared" si="33"/>
        <v>86</v>
      </c>
      <c r="AD28" s="178">
        <f t="shared" si="34"/>
        <v>1.5917271646378932E-3</v>
      </c>
      <c r="AE28" s="261" t="s">
        <v>834</v>
      </c>
      <c r="AF28" s="39"/>
      <c r="AG28" s="39"/>
      <c r="AH28" s="210">
        <f t="shared" si="36"/>
        <v>0</v>
      </c>
      <c r="AI28" s="178">
        <f t="shared" si="8"/>
        <v>0</v>
      </c>
      <c r="AJ28" s="261"/>
      <c r="AK28" s="39">
        <f>127.68*1.2</f>
        <v>153.21600000000001</v>
      </c>
      <c r="AL28" s="39"/>
      <c r="AM28" s="210">
        <f t="shared" si="21"/>
        <v>153.21600000000001</v>
      </c>
      <c r="AN28" s="178">
        <f t="shared" si="9"/>
        <v>1.5371927168467286E-3</v>
      </c>
      <c r="AO28" s="261" t="s">
        <v>924</v>
      </c>
      <c r="AP28" s="39"/>
      <c r="AQ28" s="39"/>
      <c r="AR28" s="210">
        <f t="shared" si="22"/>
        <v>0</v>
      </c>
      <c r="AS28" s="178">
        <f t="shared" si="10"/>
        <v>0</v>
      </c>
      <c r="AT28" s="261"/>
      <c r="AU28" s="39"/>
      <c r="AV28" s="39"/>
      <c r="AW28" s="210">
        <f t="shared" si="23"/>
        <v>0</v>
      </c>
      <c r="AX28" s="178">
        <f t="shared" si="11"/>
        <v>0</v>
      </c>
      <c r="AY28" s="261"/>
      <c r="AZ28" s="1432"/>
      <c r="BA28" s="1432"/>
      <c r="BB28" s="1552">
        <f t="shared" si="24"/>
        <v>0</v>
      </c>
      <c r="BC28" s="1877">
        <f t="shared" si="12"/>
        <v>0</v>
      </c>
      <c r="BD28" s="1581"/>
      <c r="BE28" s="39">
        <f t="shared" si="13"/>
        <v>879.41599999999994</v>
      </c>
      <c r="BF28" s="39">
        <f t="shared" si="14"/>
        <v>977</v>
      </c>
      <c r="BG28" s="210">
        <f t="shared" si="25"/>
        <v>1856.4159999999999</v>
      </c>
      <c r="BH28" s="178" t="e">
        <f t="shared" si="35"/>
        <v>#DIV/0!</v>
      </c>
      <c r="BI28" s="42"/>
    </row>
    <row r="29" spans="1:61" s="2" customFormat="1" ht="61.2" customHeight="1" outlineLevel="2">
      <c r="A29" s="238"/>
      <c r="B29" s="7" t="s">
        <v>31</v>
      </c>
      <c r="C29" s="114"/>
      <c r="D29" s="113">
        <v>50485</v>
      </c>
      <c r="E29" s="106">
        <f t="shared" si="6"/>
        <v>50485</v>
      </c>
      <c r="F29" s="178">
        <f t="shared" si="26"/>
        <v>3.3454334849496913E-2</v>
      </c>
      <c r="G29" s="39">
        <v>24170</v>
      </c>
      <c r="H29" s="39">
        <v>37500</v>
      </c>
      <c r="I29" s="210">
        <f t="shared" si="15"/>
        <v>61670</v>
      </c>
      <c r="J29" s="178">
        <f t="shared" si="27"/>
        <v>4.6868121087552644E-2</v>
      </c>
      <c r="K29" s="79"/>
      <c r="L29" s="39"/>
      <c r="M29" s="39"/>
      <c r="N29" s="210">
        <f t="shared" si="16"/>
        <v>0</v>
      </c>
      <c r="O29" s="178" t="e">
        <f t="shared" si="28"/>
        <v>#DIV/0!</v>
      </c>
      <c r="P29" s="79"/>
      <c r="Q29" s="39">
        <v>600</v>
      </c>
      <c r="R29" s="39">
        <v>16200</v>
      </c>
      <c r="S29" s="210">
        <f t="shared" si="29"/>
        <v>16800</v>
      </c>
      <c r="T29" s="178">
        <f t="shared" si="30"/>
        <v>0.47676917323611356</v>
      </c>
      <c r="U29" s="79"/>
      <c r="V29" s="39"/>
      <c r="W29" s="39">
        <v>7800</v>
      </c>
      <c r="X29" s="210">
        <f t="shared" si="31"/>
        <v>7800</v>
      </c>
      <c r="Y29" s="178">
        <f t="shared" si="32"/>
        <v>5.6305749178651276E-2</v>
      </c>
      <c r="Z29" s="389" t="s">
        <v>817</v>
      </c>
      <c r="AA29" s="39"/>
      <c r="AB29" s="39"/>
      <c r="AC29" s="210">
        <f t="shared" si="33"/>
        <v>0</v>
      </c>
      <c r="AD29" s="178">
        <f t="shared" si="34"/>
        <v>0</v>
      </c>
      <c r="AE29" s="389"/>
      <c r="AF29" s="39"/>
      <c r="AG29" s="39">
        <v>3600</v>
      </c>
      <c r="AH29" s="210">
        <f t="shared" si="36"/>
        <v>3600</v>
      </c>
      <c r="AI29" s="178">
        <f t="shared" si="8"/>
        <v>6.7648514703573789E-2</v>
      </c>
      <c r="AJ29" s="389"/>
      <c r="AK29" s="39"/>
      <c r="AL29" s="39"/>
      <c r="AM29" s="210">
        <f t="shared" si="21"/>
        <v>0</v>
      </c>
      <c r="AN29" s="178">
        <f t="shared" si="9"/>
        <v>0</v>
      </c>
      <c r="AO29" s="389"/>
      <c r="AP29" s="39"/>
      <c r="AQ29" s="39"/>
      <c r="AR29" s="210">
        <f t="shared" si="22"/>
        <v>0</v>
      </c>
      <c r="AS29" s="178">
        <f t="shared" si="10"/>
        <v>0</v>
      </c>
      <c r="AT29" s="389"/>
      <c r="AU29" s="39"/>
      <c r="AV29" s="39"/>
      <c r="AW29" s="210">
        <f t="shared" si="23"/>
        <v>0</v>
      </c>
      <c r="AX29" s="178">
        <f t="shared" si="11"/>
        <v>0</v>
      </c>
      <c r="AY29" s="389"/>
      <c r="AZ29" s="1432"/>
      <c r="BA29" s="1432"/>
      <c r="BB29" s="1552">
        <f t="shared" si="24"/>
        <v>0</v>
      </c>
      <c r="BC29" s="1877">
        <f t="shared" si="12"/>
        <v>0</v>
      </c>
      <c r="BD29" s="1942"/>
      <c r="BE29" s="39">
        <f t="shared" si="13"/>
        <v>24770</v>
      </c>
      <c r="BF29" s="39">
        <f t="shared" si="14"/>
        <v>65100</v>
      </c>
      <c r="BG29" s="210">
        <f t="shared" si="25"/>
        <v>89870</v>
      </c>
      <c r="BH29" s="178" t="e">
        <f t="shared" si="35"/>
        <v>#DIV/0!</v>
      </c>
      <c r="BI29" s="79"/>
    </row>
    <row r="30" spans="1:61" s="2" customFormat="1" ht="79.95" customHeight="1" outlineLevel="2">
      <c r="A30" s="238"/>
      <c r="B30" s="7" t="s">
        <v>62</v>
      </c>
      <c r="C30" s="114"/>
      <c r="D30" s="113">
        <f>30291+5000</f>
        <v>35291</v>
      </c>
      <c r="E30" s="106">
        <f t="shared" si="6"/>
        <v>35291</v>
      </c>
      <c r="F30" s="178">
        <f t="shared" si="26"/>
        <v>2.3385895437725967E-2</v>
      </c>
      <c r="G30" s="39">
        <v>0</v>
      </c>
      <c r="H30" s="39">
        <v>14328</v>
      </c>
      <c r="I30" s="210">
        <f t="shared" si="15"/>
        <v>14328</v>
      </c>
      <c r="J30" s="178">
        <f t="shared" si="27"/>
        <v>1.0889029332616415E-2</v>
      </c>
      <c r="K30" s="79"/>
      <c r="L30" s="39"/>
      <c r="M30" s="39"/>
      <c r="N30" s="210">
        <f t="shared" si="16"/>
        <v>0</v>
      </c>
      <c r="O30" s="178" t="e">
        <f t="shared" si="28"/>
        <v>#DIV/0!</v>
      </c>
      <c r="P30" s="79"/>
      <c r="Q30" s="39"/>
      <c r="R30" s="39">
        <f>9560-520</f>
        <v>9040</v>
      </c>
      <c r="S30" s="210">
        <f t="shared" si="29"/>
        <v>9040</v>
      </c>
      <c r="T30" s="178">
        <f t="shared" si="30"/>
        <v>0.25654722178895634</v>
      </c>
      <c r="U30" s="79"/>
      <c r="V30" s="39"/>
      <c r="W30" s="39">
        <v>4160</v>
      </c>
      <c r="X30" s="210">
        <f t="shared" si="31"/>
        <v>4160</v>
      </c>
      <c r="Y30" s="178">
        <f t="shared" si="32"/>
        <v>3.0029732895280683E-2</v>
      </c>
      <c r="Z30" s="389" t="s">
        <v>816</v>
      </c>
      <c r="AA30" s="39"/>
      <c r="AB30" s="39"/>
      <c r="AC30" s="210">
        <f t="shared" si="33"/>
        <v>0</v>
      </c>
      <c r="AD30" s="178">
        <f t="shared" si="34"/>
        <v>0</v>
      </c>
      <c r="AE30" s="389"/>
      <c r="AF30" s="39"/>
      <c r="AG30" s="39">
        <f>3480+3300</f>
        <v>6780</v>
      </c>
      <c r="AH30" s="210">
        <f t="shared" si="36"/>
        <v>6780</v>
      </c>
      <c r="AI30" s="178">
        <f t="shared" si="8"/>
        <v>0.12740470269173063</v>
      </c>
      <c r="AJ30" s="389" t="s">
        <v>885</v>
      </c>
      <c r="AK30" s="39"/>
      <c r="AL30" s="39"/>
      <c r="AM30" s="210">
        <f t="shared" si="21"/>
        <v>0</v>
      </c>
      <c r="AN30" s="178">
        <f t="shared" si="9"/>
        <v>0</v>
      </c>
      <c r="AO30" s="389"/>
      <c r="AP30" s="39"/>
      <c r="AQ30" s="39">
        <v>2040</v>
      </c>
      <c r="AR30" s="210">
        <f t="shared" si="22"/>
        <v>2040</v>
      </c>
      <c r="AS30" s="178">
        <f t="shared" si="10"/>
        <v>2.0449972370483408E-2</v>
      </c>
      <c r="AT30" s="389" t="s">
        <v>944</v>
      </c>
      <c r="AU30" s="39"/>
      <c r="AV30" s="39"/>
      <c r="AW30" s="210">
        <f t="shared" si="23"/>
        <v>0</v>
      </c>
      <c r="AX30" s="178">
        <f t="shared" si="11"/>
        <v>0</v>
      </c>
      <c r="AY30" s="389"/>
      <c r="AZ30" s="1432"/>
      <c r="BA30" s="1432"/>
      <c r="BB30" s="1552">
        <f t="shared" si="24"/>
        <v>0</v>
      </c>
      <c r="BC30" s="1877">
        <f t="shared" si="12"/>
        <v>0</v>
      </c>
      <c r="BD30" s="1942"/>
      <c r="BE30" s="39">
        <f t="shared" si="13"/>
        <v>0</v>
      </c>
      <c r="BF30" s="39">
        <f t="shared" si="14"/>
        <v>36348</v>
      </c>
      <c r="BG30" s="210">
        <f t="shared" si="25"/>
        <v>36348</v>
      </c>
      <c r="BH30" s="178" t="e">
        <f t="shared" si="35"/>
        <v>#DIV/0!</v>
      </c>
      <c r="BI30" s="79"/>
    </row>
    <row r="31" spans="1:61" s="2" customFormat="1" ht="69" customHeight="1" outlineLevel="2">
      <c r="A31" s="238"/>
      <c r="B31" s="7" t="s">
        <v>34</v>
      </c>
      <c r="C31" s="114">
        <f>8320+80000</f>
        <v>88320</v>
      </c>
      <c r="D31" s="113">
        <v>11040</v>
      </c>
      <c r="E31" s="106">
        <f t="shared" si="6"/>
        <v>99360</v>
      </c>
      <c r="F31" s="178">
        <f t="shared" si="26"/>
        <v>6.5841788860968864E-2</v>
      </c>
      <c r="G31" s="39">
        <v>5574.0599999999995</v>
      </c>
      <c r="H31" s="39">
        <v>9584.09</v>
      </c>
      <c r="I31" s="210">
        <f t="shared" si="15"/>
        <v>15158.15</v>
      </c>
      <c r="J31" s="178">
        <f t="shared" si="27"/>
        <v>1.1519928809198736E-2</v>
      </c>
      <c r="K31" s="79"/>
      <c r="L31" s="39"/>
      <c r="M31" s="39"/>
      <c r="N31" s="210">
        <f t="shared" si="16"/>
        <v>0</v>
      </c>
      <c r="O31" s="178" t="e">
        <f t="shared" si="28"/>
        <v>#DIV/0!</v>
      </c>
      <c r="P31" s="79"/>
      <c r="Q31" s="39"/>
      <c r="R31" s="39">
        <v>3000</v>
      </c>
      <c r="S31" s="210">
        <f t="shared" si="29"/>
        <v>3000</v>
      </c>
      <c r="T31" s="178">
        <f t="shared" si="30"/>
        <v>8.5137352363591712E-2</v>
      </c>
      <c r="U31" s="79"/>
      <c r="V31" s="39"/>
      <c r="W31" s="39">
        <v>6000</v>
      </c>
      <c r="X31" s="210">
        <f t="shared" si="31"/>
        <v>6000</v>
      </c>
      <c r="Y31" s="178">
        <f t="shared" si="32"/>
        <v>4.3312114752808675E-2</v>
      </c>
      <c r="Z31" s="389" t="s">
        <v>815</v>
      </c>
      <c r="AA31" s="39"/>
      <c r="AB31" s="39"/>
      <c r="AC31" s="210">
        <f t="shared" si="33"/>
        <v>0</v>
      </c>
      <c r="AD31" s="178">
        <f t="shared" si="34"/>
        <v>0</v>
      </c>
      <c r="AE31" s="389"/>
      <c r="AF31" s="39"/>
      <c r="AG31" s="39">
        <v>3663</v>
      </c>
      <c r="AH31" s="210">
        <f t="shared" si="36"/>
        <v>3663</v>
      </c>
      <c r="AI31" s="178">
        <f t="shared" si="8"/>
        <v>6.883236371088633E-2</v>
      </c>
      <c r="AJ31" s="389"/>
      <c r="AK31" s="39"/>
      <c r="AL31" s="39"/>
      <c r="AM31" s="210">
        <f t="shared" si="21"/>
        <v>0</v>
      </c>
      <c r="AN31" s="178">
        <f t="shared" si="9"/>
        <v>0</v>
      </c>
      <c r="AO31" s="389"/>
      <c r="AP31" s="39"/>
      <c r="AQ31" s="39"/>
      <c r="AR31" s="210">
        <f t="shared" si="22"/>
        <v>0</v>
      </c>
      <c r="AS31" s="178">
        <f t="shared" si="10"/>
        <v>0</v>
      </c>
      <c r="AT31" s="389"/>
      <c r="AU31" s="39"/>
      <c r="AV31" s="39"/>
      <c r="AW31" s="210">
        <f t="shared" si="23"/>
        <v>0</v>
      </c>
      <c r="AX31" s="178">
        <f t="shared" si="11"/>
        <v>0</v>
      </c>
      <c r="AY31" s="389"/>
      <c r="AZ31" s="1432"/>
      <c r="BA31" s="1432"/>
      <c r="BB31" s="1552">
        <f t="shared" si="24"/>
        <v>0</v>
      </c>
      <c r="BC31" s="1877">
        <f t="shared" si="12"/>
        <v>0</v>
      </c>
      <c r="BD31" s="1942"/>
      <c r="BE31" s="39">
        <f t="shared" si="13"/>
        <v>5574.0599999999995</v>
      </c>
      <c r="BF31" s="39">
        <f t="shared" si="14"/>
        <v>22247.09</v>
      </c>
      <c r="BG31" s="210">
        <f t="shared" si="25"/>
        <v>27821.15</v>
      </c>
      <c r="BH31" s="178" t="e">
        <f t="shared" si="35"/>
        <v>#DIV/0!</v>
      </c>
      <c r="BI31" s="79"/>
    </row>
    <row r="32" spans="1:61" s="2" customFormat="1" ht="14.4" customHeight="1" outlineLevel="2">
      <c r="A32" s="238"/>
      <c r="B32" s="32" t="s">
        <v>2</v>
      </c>
      <c r="C32" s="115"/>
      <c r="D32" s="116"/>
      <c r="E32" s="106">
        <f t="shared" si="6"/>
        <v>0</v>
      </c>
      <c r="F32" s="178">
        <f t="shared" si="26"/>
        <v>0</v>
      </c>
      <c r="G32" s="39">
        <v>0</v>
      </c>
      <c r="H32" s="39">
        <v>0</v>
      </c>
      <c r="I32" s="210">
        <f t="shared" si="15"/>
        <v>0</v>
      </c>
      <c r="J32" s="178">
        <f t="shared" si="27"/>
        <v>0</v>
      </c>
      <c r="K32" s="79"/>
      <c r="L32" s="39"/>
      <c r="M32" s="39"/>
      <c r="N32" s="210">
        <f t="shared" si="16"/>
        <v>0</v>
      </c>
      <c r="O32" s="178" t="e">
        <f t="shared" si="28"/>
        <v>#DIV/0!</v>
      </c>
      <c r="P32" s="79"/>
      <c r="Q32" s="39"/>
      <c r="R32" s="39"/>
      <c r="S32" s="210">
        <f t="shared" si="29"/>
        <v>0</v>
      </c>
      <c r="T32" s="178">
        <f t="shared" si="30"/>
        <v>0</v>
      </c>
      <c r="U32" s="79"/>
      <c r="V32" s="39"/>
      <c r="W32" s="39"/>
      <c r="X32" s="210">
        <f t="shared" si="31"/>
        <v>0</v>
      </c>
      <c r="Y32" s="178">
        <f t="shared" si="32"/>
        <v>0</v>
      </c>
      <c r="Z32" s="389"/>
      <c r="AA32" s="39"/>
      <c r="AB32" s="39"/>
      <c r="AC32" s="210">
        <f t="shared" si="33"/>
        <v>0</v>
      </c>
      <c r="AD32" s="178">
        <f t="shared" si="34"/>
        <v>0</v>
      </c>
      <c r="AE32" s="389"/>
      <c r="AF32" s="39"/>
      <c r="AG32" s="39"/>
      <c r="AH32" s="210">
        <f t="shared" si="36"/>
        <v>0</v>
      </c>
      <c r="AI32" s="178">
        <f t="shared" si="8"/>
        <v>0</v>
      </c>
      <c r="AJ32" s="389"/>
      <c r="AK32" s="39"/>
      <c r="AL32" s="39"/>
      <c r="AM32" s="210">
        <f t="shared" si="21"/>
        <v>0</v>
      </c>
      <c r="AN32" s="178">
        <f t="shared" si="9"/>
        <v>0</v>
      </c>
      <c r="AO32" s="389"/>
      <c r="AP32" s="39"/>
      <c r="AQ32" s="39"/>
      <c r="AR32" s="210">
        <f t="shared" si="22"/>
        <v>0</v>
      </c>
      <c r="AS32" s="178">
        <f t="shared" si="10"/>
        <v>0</v>
      </c>
      <c r="AT32" s="389"/>
      <c r="AU32" s="39"/>
      <c r="AV32" s="39"/>
      <c r="AW32" s="210">
        <f t="shared" si="23"/>
        <v>0</v>
      </c>
      <c r="AX32" s="178">
        <f t="shared" si="11"/>
        <v>0</v>
      </c>
      <c r="AY32" s="389"/>
      <c r="AZ32" s="1432"/>
      <c r="BA32" s="1432"/>
      <c r="BB32" s="1552">
        <f t="shared" si="24"/>
        <v>0</v>
      </c>
      <c r="BC32" s="1877">
        <f t="shared" si="12"/>
        <v>0</v>
      </c>
      <c r="BD32" s="1942"/>
      <c r="BE32" s="39">
        <f t="shared" si="13"/>
        <v>0</v>
      </c>
      <c r="BF32" s="39">
        <f t="shared" si="14"/>
        <v>0</v>
      </c>
      <c r="BG32" s="210">
        <f t="shared" si="25"/>
        <v>0</v>
      </c>
      <c r="BH32" s="178" t="e">
        <f t="shared" si="35"/>
        <v>#DIV/0!</v>
      </c>
      <c r="BI32" s="79"/>
    </row>
    <row r="33" spans="1:61" s="2" customFormat="1" ht="31.95" customHeight="1" outlineLevel="2" thickBot="1">
      <c r="A33" s="238"/>
      <c r="B33" s="32" t="s">
        <v>75</v>
      </c>
      <c r="C33" s="115"/>
      <c r="D33" s="116"/>
      <c r="E33" s="106">
        <f t="shared" si="6"/>
        <v>0</v>
      </c>
      <c r="F33" s="178">
        <f t="shared" si="26"/>
        <v>0</v>
      </c>
      <c r="G33" s="39">
        <v>0</v>
      </c>
      <c r="H33" s="39">
        <v>0</v>
      </c>
      <c r="I33" s="210">
        <f t="shared" si="15"/>
        <v>0</v>
      </c>
      <c r="J33" s="178">
        <f t="shared" si="27"/>
        <v>0</v>
      </c>
      <c r="K33" s="79"/>
      <c r="L33" s="39"/>
      <c r="M33" s="39"/>
      <c r="N33" s="210">
        <f t="shared" si="16"/>
        <v>0</v>
      </c>
      <c r="O33" s="178" t="e">
        <f t="shared" si="28"/>
        <v>#DIV/0!</v>
      </c>
      <c r="P33" s="79"/>
      <c r="Q33" s="39"/>
      <c r="R33" s="39"/>
      <c r="S33" s="210">
        <f t="shared" si="29"/>
        <v>0</v>
      </c>
      <c r="T33" s="178">
        <f t="shared" si="30"/>
        <v>0</v>
      </c>
      <c r="U33" s="79"/>
      <c r="V33" s="39"/>
      <c r="W33" s="39"/>
      <c r="X33" s="210">
        <f t="shared" si="31"/>
        <v>0</v>
      </c>
      <c r="Y33" s="178">
        <f t="shared" si="32"/>
        <v>0</v>
      </c>
      <c r="Z33" s="79"/>
      <c r="AA33" s="39"/>
      <c r="AB33" s="39"/>
      <c r="AC33" s="210">
        <f t="shared" si="33"/>
        <v>0</v>
      </c>
      <c r="AD33" s="178">
        <f t="shared" si="34"/>
        <v>0</v>
      </c>
      <c r="AE33" s="79"/>
      <c r="AF33" s="39"/>
      <c r="AG33" s="39"/>
      <c r="AH33" s="210">
        <f t="shared" si="36"/>
        <v>0</v>
      </c>
      <c r="AI33" s="178">
        <f t="shared" si="8"/>
        <v>0</v>
      </c>
      <c r="AJ33" s="79"/>
      <c r="AK33" s="39"/>
      <c r="AL33" s="39"/>
      <c r="AM33" s="210">
        <f t="shared" si="21"/>
        <v>0</v>
      </c>
      <c r="AN33" s="178">
        <f t="shared" si="9"/>
        <v>0</v>
      </c>
      <c r="AO33" s="79"/>
      <c r="AP33" s="39"/>
      <c r="AQ33" s="39"/>
      <c r="AR33" s="210">
        <f t="shared" si="22"/>
        <v>0</v>
      </c>
      <c r="AS33" s="178">
        <f t="shared" si="10"/>
        <v>0</v>
      </c>
      <c r="AT33" s="79"/>
      <c r="AU33" s="39"/>
      <c r="AV33" s="39"/>
      <c r="AW33" s="210">
        <f t="shared" si="23"/>
        <v>0</v>
      </c>
      <c r="AX33" s="178">
        <f t="shared" si="11"/>
        <v>0</v>
      </c>
      <c r="AY33" s="79"/>
      <c r="AZ33" s="1432"/>
      <c r="BA33" s="1432"/>
      <c r="BB33" s="1552">
        <f t="shared" si="24"/>
        <v>0</v>
      </c>
      <c r="BC33" s="1877">
        <f t="shared" si="12"/>
        <v>0</v>
      </c>
      <c r="BD33" s="1927"/>
      <c r="BE33" s="39">
        <f t="shared" si="13"/>
        <v>0</v>
      </c>
      <c r="BF33" s="39">
        <f t="shared" si="14"/>
        <v>0</v>
      </c>
      <c r="BG33" s="210">
        <f t="shared" si="25"/>
        <v>0</v>
      </c>
      <c r="BH33" s="178" t="e">
        <f t="shared" si="35"/>
        <v>#DIV/0!</v>
      </c>
      <c r="BI33" s="79"/>
    </row>
    <row r="34" spans="1:61" s="2" customFormat="1" ht="13.8" outlineLevel="2">
      <c r="A34" s="238"/>
      <c r="B34" s="12"/>
      <c r="C34" s="46"/>
      <c r="D34" s="47"/>
      <c r="E34" s="48"/>
      <c r="F34" s="179"/>
      <c r="G34" s="48"/>
      <c r="H34" s="48"/>
      <c r="I34" s="48"/>
      <c r="J34" s="48"/>
      <c r="K34" s="48"/>
      <c r="L34" s="39"/>
      <c r="M34" s="39"/>
      <c r="N34" s="48"/>
      <c r="O34" s="48"/>
      <c r="P34" s="48"/>
      <c r="Q34" s="39"/>
      <c r="R34" s="39"/>
      <c r="S34" s="48"/>
      <c r="T34" s="48"/>
      <c r="U34" s="48"/>
      <c r="V34" s="39"/>
      <c r="W34" s="39"/>
      <c r="X34" s="48"/>
      <c r="Y34" s="48"/>
      <c r="Z34" s="48"/>
      <c r="AA34" s="39"/>
      <c r="AB34" s="39"/>
      <c r="AC34" s="48"/>
      <c r="AD34" s="48"/>
      <c r="AE34" s="48"/>
      <c r="AF34" s="39"/>
      <c r="AG34" s="39"/>
      <c r="AH34" s="48"/>
      <c r="AI34" s="48"/>
      <c r="AJ34" s="48"/>
      <c r="AK34" s="39"/>
      <c r="AL34" s="39"/>
      <c r="AM34" s="48"/>
      <c r="AN34" s="48">
        <f t="shared" si="9"/>
        <v>0</v>
      </c>
      <c r="AO34" s="48"/>
      <c r="AP34" s="39"/>
      <c r="AQ34" s="39"/>
      <c r="AR34" s="48"/>
      <c r="AS34" s="48">
        <f t="shared" ref="AS34:AS40" si="37">AR34/$AM$89</f>
        <v>0</v>
      </c>
      <c r="AT34" s="48"/>
      <c r="AU34" s="39"/>
      <c r="AV34" s="39"/>
      <c r="AW34" s="48"/>
      <c r="AX34" s="48">
        <f t="shared" ref="AX34:AX40" si="38">AW34/$AM$89</f>
        <v>0</v>
      </c>
      <c r="AY34" s="48"/>
      <c r="AZ34" s="1432"/>
      <c r="BA34" s="1432"/>
      <c r="BB34" s="1436"/>
      <c r="BC34" s="1436">
        <f t="shared" si="12"/>
        <v>0</v>
      </c>
      <c r="BD34" s="1436"/>
      <c r="BE34" s="39"/>
      <c r="BF34" s="39"/>
      <c r="BG34" s="48"/>
      <c r="BH34" s="48"/>
      <c r="BI34" s="48"/>
    </row>
    <row r="35" spans="1:61" s="88" customFormat="1" ht="13.8" outlineLevel="1">
      <c r="A35" s="238"/>
      <c r="B35" s="89" t="s">
        <v>80</v>
      </c>
      <c r="C35" s="90">
        <f>C36</f>
        <v>1000</v>
      </c>
      <c r="D35" s="90">
        <f>D36</f>
        <v>0</v>
      </c>
      <c r="E35" s="91">
        <f>E36</f>
        <v>1000</v>
      </c>
      <c r="F35" s="165">
        <f>E35/$E$89</f>
        <v>6.6265890560556417E-4</v>
      </c>
      <c r="G35" s="90">
        <f>G36</f>
        <v>0</v>
      </c>
      <c r="H35" s="90">
        <f>H36</f>
        <v>0</v>
      </c>
      <c r="I35" s="91">
        <f>I36</f>
        <v>0</v>
      </c>
      <c r="J35" s="91"/>
      <c r="K35" s="91"/>
      <c r="L35" s="90">
        <f>L36</f>
        <v>0</v>
      </c>
      <c r="M35" s="90">
        <f>M36</f>
        <v>0</v>
      </c>
      <c r="N35" s="91">
        <f>N36</f>
        <v>0</v>
      </c>
      <c r="O35" s="91"/>
      <c r="P35" s="91"/>
      <c r="Q35" s="90">
        <f>Q36</f>
        <v>0</v>
      </c>
      <c r="R35" s="90">
        <f>R36</f>
        <v>0</v>
      </c>
      <c r="S35" s="91">
        <f>S36</f>
        <v>0</v>
      </c>
      <c r="T35" s="91"/>
      <c r="U35" s="91"/>
      <c r="V35" s="90">
        <f>V36</f>
        <v>0</v>
      </c>
      <c r="W35" s="90">
        <f>W36</f>
        <v>0</v>
      </c>
      <c r="X35" s="91">
        <f>X36</f>
        <v>0</v>
      </c>
      <c r="Y35" s="91"/>
      <c r="Z35" s="91"/>
      <c r="AA35" s="90">
        <f>AA36</f>
        <v>0</v>
      </c>
      <c r="AB35" s="90">
        <f>AB36</f>
        <v>0</v>
      </c>
      <c r="AC35" s="91">
        <f>AC36</f>
        <v>0</v>
      </c>
      <c r="AD35" s="91"/>
      <c r="AE35" s="91"/>
      <c r="AF35" s="90">
        <f>AF36</f>
        <v>0</v>
      </c>
      <c r="AG35" s="90">
        <f>AG36</f>
        <v>0</v>
      </c>
      <c r="AH35" s="91">
        <f>AH36</f>
        <v>0</v>
      </c>
      <c r="AI35" s="91"/>
      <c r="AJ35" s="91"/>
      <c r="AK35" s="90">
        <f>AK36</f>
        <v>0</v>
      </c>
      <c r="AL35" s="90">
        <f>AL36</f>
        <v>0</v>
      </c>
      <c r="AM35" s="91">
        <f>AM36</f>
        <v>0</v>
      </c>
      <c r="AN35" s="91">
        <f t="shared" si="9"/>
        <v>0</v>
      </c>
      <c r="AO35" s="91"/>
      <c r="AP35" s="90">
        <f>AP36</f>
        <v>0</v>
      </c>
      <c r="AQ35" s="90">
        <f>AQ36</f>
        <v>0</v>
      </c>
      <c r="AR35" s="91">
        <f>AR36</f>
        <v>0</v>
      </c>
      <c r="AS35" s="91">
        <f t="shared" si="37"/>
        <v>0</v>
      </c>
      <c r="AT35" s="91"/>
      <c r="AU35" s="90">
        <f>AU36</f>
        <v>0</v>
      </c>
      <c r="AV35" s="90">
        <f>AV36</f>
        <v>0</v>
      </c>
      <c r="AW35" s="91">
        <f>AW36</f>
        <v>0</v>
      </c>
      <c r="AX35" s="91">
        <f t="shared" si="38"/>
        <v>0</v>
      </c>
      <c r="AY35" s="91"/>
      <c r="AZ35" s="1882">
        <f>AZ36</f>
        <v>0</v>
      </c>
      <c r="BA35" s="1882">
        <f>BA36</f>
        <v>0</v>
      </c>
      <c r="BB35" s="1883">
        <f>BB36</f>
        <v>0</v>
      </c>
      <c r="BC35" s="1883">
        <f t="shared" si="12"/>
        <v>0</v>
      </c>
      <c r="BD35" s="1883"/>
      <c r="BE35" s="90">
        <f>BE36</f>
        <v>0</v>
      </c>
      <c r="BF35" s="90">
        <f>BF36</f>
        <v>0</v>
      </c>
      <c r="BG35" s="91">
        <f>BG36</f>
        <v>0</v>
      </c>
      <c r="BH35" s="91"/>
      <c r="BI35" s="91"/>
    </row>
    <row r="36" spans="1:61" s="226" customFormat="1" ht="13.8" outlineLevel="3">
      <c r="A36" s="238"/>
      <c r="B36" s="19" t="s">
        <v>81</v>
      </c>
      <c r="C36" s="43">
        <f>1000</f>
        <v>1000</v>
      </c>
      <c r="D36" s="49"/>
      <c r="E36" s="106">
        <f>C36+D36</f>
        <v>1000</v>
      </c>
      <c r="F36" s="178">
        <f>E36/$E$89</f>
        <v>6.6265890560556417E-4</v>
      </c>
      <c r="G36" s="39"/>
      <c r="H36" s="39"/>
      <c r="I36" s="106">
        <f>G36+H36*1.15</f>
        <v>0</v>
      </c>
      <c r="J36" s="178">
        <f>I36/$I$89</f>
        <v>0</v>
      </c>
      <c r="K36" s="45"/>
      <c r="L36" s="39"/>
      <c r="M36" s="39"/>
      <c r="N36" s="106">
        <f>L36+M36*1</f>
        <v>0</v>
      </c>
      <c r="O36" s="178" t="e">
        <f>N36/$N$89</f>
        <v>#DIV/0!</v>
      </c>
      <c r="P36" s="45"/>
      <c r="Q36" s="39"/>
      <c r="R36" s="39"/>
      <c r="S36" s="106">
        <f>Q36+R36*1</f>
        <v>0</v>
      </c>
      <c r="T36" s="178" t="e">
        <f>S36/$N$89</f>
        <v>#DIV/0!</v>
      </c>
      <c r="U36" s="45"/>
      <c r="V36" s="39"/>
      <c r="W36" s="39"/>
      <c r="X36" s="106">
        <f>V36+W36*1</f>
        <v>0</v>
      </c>
      <c r="Y36" s="178" t="e">
        <v>#DIV/0!</v>
      </c>
      <c r="Z36" s="45"/>
      <c r="AA36" s="39"/>
      <c r="AB36" s="39"/>
      <c r="AC36" s="106">
        <f>AA36+AB36*1</f>
        <v>0</v>
      </c>
      <c r="AD36" s="178" t="e">
        <v>#DIV/0!</v>
      </c>
      <c r="AE36" s="45"/>
      <c r="AF36" s="39"/>
      <c r="AG36" s="39"/>
      <c r="AH36" s="106">
        <f>AF36+AG36*1</f>
        <v>0</v>
      </c>
      <c r="AI36" s="178" t="e">
        <v>#DIV/0!</v>
      </c>
      <c r="AJ36" s="45"/>
      <c r="AK36" s="39"/>
      <c r="AL36" s="39"/>
      <c r="AM36" s="106">
        <f>AK36+AL36*1</f>
        <v>0</v>
      </c>
      <c r="AN36" s="178">
        <f t="shared" si="9"/>
        <v>0</v>
      </c>
      <c r="AO36" s="45"/>
      <c r="AP36" s="39"/>
      <c r="AQ36" s="39"/>
      <c r="AR36" s="106">
        <f>AP36+AQ36*1</f>
        <v>0</v>
      </c>
      <c r="AS36" s="178">
        <f t="shared" si="37"/>
        <v>0</v>
      </c>
      <c r="AT36" s="45"/>
      <c r="AU36" s="39"/>
      <c r="AV36" s="39"/>
      <c r="AW36" s="106">
        <f>AU36+AV36*1</f>
        <v>0</v>
      </c>
      <c r="AX36" s="178">
        <f t="shared" si="38"/>
        <v>0</v>
      </c>
      <c r="AY36" s="45"/>
      <c r="AZ36" s="1432"/>
      <c r="BA36" s="1432"/>
      <c r="BB36" s="1480">
        <f>AZ36+BA36*1</f>
        <v>0</v>
      </c>
      <c r="BC36" s="1877">
        <f t="shared" si="12"/>
        <v>0</v>
      </c>
      <c r="BD36" s="1893"/>
      <c r="BE36" s="39">
        <f>G36+L36+Q36</f>
        <v>0</v>
      </c>
      <c r="BF36" s="39">
        <f>H36+M36+R36</f>
        <v>0</v>
      </c>
      <c r="BG36" s="106">
        <f>BE36+BF36*1</f>
        <v>0</v>
      </c>
      <c r="BH36" s="178" t="e">
        <f>BG36/$N$89</f>
        <v>#DIV/0!</v>
      </c>
      <c r="BI36" s="45"/>
    </row>
    <row r="37" spans="1:61" s="2" customFormat="1" ht="14.4" outlineLevel="1" thickBot="1">
      <c r="A37" s="4"/>
      <c r="B37" s="14"/>
      <c r="C37" s="50"/>
      <c r="D37" s="51"/>
      <c r="E37" s="52"/>
      <c r="F37" s="181"/>
      <c r="G37" s="52"/>
      <c r="H37" s="52"/>
      <c r="I37" s="52"/>
      <c r="J37" s="52"/>
      <c r="K37" s="52"/>
      <c r="L37" s="39"/>
      <c r="M37" s="39"/>
      <c r="N37" s="52"/>
      <c r="O37" s="52"/>
      <c r="P37" s="52"/>
      <c r="Q37" s="39"/>
      <c r="R37" s="39"/>
      <c r="S37" s="52"/>
      <c r="T37" s="52"/>
      <c r="U37" s="52"/>
      <c r="V37" s="39"/>
      <c r="W37" s="39"/>
      <c r="X37" s="52"/>
      <c r="Y37" s="52"/>
      <c r="Z37" s="52"/>
      <c r="AA37" s="39"/>
      <c r="AB37" s="39"/>
      <c r="AC37" s="52"/>
      <c r="AD37" s="52"/>
      <c r="AE37" s="52"/>
      <c r="AF37" s="39"/>
      <c r="AG37" s="39"/>
      <c r="AH37" s="52"/>
      <c r="AI37" s="52"/>
      <c r="AJ37" s="52"/>
      <c r="AK37" s="39"/>
      <c r="AL37" s="39"/>
      <c r="AM37" s="52"/>
      <c r="AN37" s="52">
        <f t="shared" si="9"/>
        <v>0</v>
      </c>
      <c r="AO37" s="52"/>
      <c r="AP37" s="39"/>
      <c r="AQ37" s="39"/>
      <c r="AR37" s="52"/>
      <c r="AS37" s="52">
        <f t="shared" si="37"/>
        <v>0</v>
      </c>
      <c r="AT37" s="52"/>
      <c r="AU37" s="39"/>
      <c r="AV37" s="39"/>
      <c r="AW37" s="52"/>
      <c r="AX37" s="52">
        <f t="shared" si="38"/>
        <v>0</v>
      </c>
      <c r="AY37" s="52"/>
      <c r="AZ37" s="1432"/>
      <c r="BA37" s="1432"/>
      <c r="BB37" s="1439"/>
      <c r="BC37" s="1439">
        <f t="shared" si="12"/>
        <v>0</v>
      </c>
      <c r="BD37" s="1439"/>
      <c r="BE37" s="39"/>
      <c r="BF37" s="39"/>
      <c r="BG37" s="52"/>
      <c r="BH37" s="52"/>
      <c r="BI37" s="52"/>
    </row>
    <row r="38" spans="1:61" ht="14.4" thickBot="1">
      <c r="A38" s="33"/>
      <c r="B38" s="34" t="s">
        <v>46</v>
      </c>
      <c r="C38" s="53">
        <f>(C5)-(C8)</f>
        <v>1310418</v>
      </c>
      <c r="D38" s="53">
        <f>(D5)-(D8)</f>
        <v>-824421</v>
      </c>
      <c r="E38" s="53">
        <f>(E5)-(E8)</f>
        <v>485997</v>
      </c>
      <c r="F38" s="166"/>
      <c r="G38" s="53">
        <f>(G5)-(G8)</f>
        <v>320046.84569999995</v>
      </c>
      <c r="H38" s="53">
        <f>(H5)-(H8)</f>
        <v>-486953.57</v>
      </c>
      <c r="I38" s="53">
        <f>(I5)-(I8)</f>
        <v>-166906.72429999989</v>
      </c>
      <c r="J38" s="53"/>
      <c r="K38" s="53"/>
      <c r="L38" s="53">
        <f>(L5)-(L8)</f>
        <v>0</v>
      </c>
      <c r="M38" s="53">
        <f>(M5)-(M8)</f>
        <v>0</v>
      </c>
      <c r="N38" s="53">
        <f>(N5)-(N8)</f>
        <v>0</v>
      </c>
      <c r="O38" s="53"/>
      <c r="P38" s="53"/>
      <c r="Q38" s="53">
        <f>(Q5)-(Q8)</f>
        <v>-600</v>
      </c>
      <c r="R38" s="53">
        <f>(R5)-(R8)</f>
        <v>-30131</v>
      </c>
      <c r="S38" s="53">
        <f>(S5)-(S8)</f>
        <v>-30731</v>
      </c>
      <c r="T38" s="53"/>
      <c r="U38" s="53"/>
      <c r="V38" s="53">
        <f>(V5)-(V8)</f>
        <v>320154.69400000002</v>
      </c>
      <c r="W38" s="53">
        <f>(W5)-(W8)</f>
        <v>-68914.5</v>
      </c>
      <c r="X38" s="53">
        <f>(X5)-(X8)</f>
        <v>251240.19399999999</v>
      </c>
      <c r="Y38" s="53"/>
      <c r="Z38" s="53"/>
      <c r="AA38" s="53">
        <f>(AA5)-(AA8)</f>
        <v>95783.98</v>
      </c>
      <c r="AB38" s="53">
        <f>(AB5)-(AB8)</f>
        <v>-19975</v>
      </c>
      <c r="AC38" s="53">
        <f>(AC5)-(AC8)</f>
        <v>75808.98</v>
      </c>
      <c r="AD38" s="53"/>
      <c r="AE38" s="53"/>
      <c r="AF38" s="53">
        <f>(AF5)-(AF8)</f>
        <v>-35027.016000000003</v>
      </c>
      <c r="AG38" s="53">
        <f>(AG5)-(AG8)</f>
        <v>-15505</v>
      </c>
      <c r="AH38" s="53">
        <f>(AH5)-(AH8)</f>
        <v>-50532.016000000003</v>
      </c>
      <c r="AI38" s="53"/>
      <c r="AJ38" s="53"/>
      <c r="AK38" s="53">
        <f>(AK5)-(AK8)</f>
        <v>220592.16</v>
      </c>
      <c r="AL38" s="53">
        <f>(AL5)-(AL8)</f>
        <v>-68900</v>
      </c>
      <c r="AM38" s="53">
        <f>(AM5)-(AM8)</f>
        <v>151692.16</v>
      </c>
      <c r="AN38" s="53">
        <f t="shared" si="9"/>
        <v>1.521904262966979</v>
      </c>
      <c r="AO38" s="53"/>
      <c r="AP38" s="53">
        <f>(AP5)-(AP8)</f>
        <v>45.043999999994412</v>
      </c>
      <c r="AQ38" s="53">
        <f>(AQ5)-(AQ8)</f>
        <v>-14240</v>
      </c>
      <c r="AR38" s="53">
        <f>(AR5)-(AR8)</f>
        <v>-14194.956000000006</v>
      </c>
      <c r="AS38" s="53">
        <f t="shared" si="37"/>
        <v>-0.14241582458202653</v>
      </c>
      <c r="AT38" s="53"/>
      <c r="AU38" s="53">
        <f>(AU5)-(AU8)</f>
        <v>0</v>
      </c>
      <c r="AV38" s="53">
        <f>(AV5)-(AV8)</f>
        <v>0</v>
      </c>
      <c r="AW38" s="53">
        <f>(AW5)-(AW8)</f>
        <v>0</v>
      </c>
      <c r="AX38" s="53">
        <f t="shared" si="38"/>
        <v>0</v>
      </c>
      <c r="AY38" s="53"/>
      <c r="AZ38" s="1440">
        <f>(AZ5)-(AZ8)</f>
        <v>-16401.671999999999</v>
      </c>
      <c r="BA38" s="1440">
        <f>(BA5)-(BA8)</f>
        <v>0</v>
      </c>
      <c r="BB38" s="1440">
        <f>(BB5)-(BB8)</f>
        <v>-16401.671999999999</v>
      </c>
      <c r="BC38" s="1440">
        <f t="shared" si="12"/>
        <v>-1</v>
      </c>
      <c r="BD38" s="1440"/>
      <c r="BE38" s="53">
        <f>(BE5)-(BE8)</f>
        <v>920995.70769999968</v>
      </c>
      <c r="BF38" s="53">
        <f>(BF5)-(BF8)</f>
        <v>-704619.07</v>
      </c>
      <c r="BG38" s="53">
        <f>(BG5)-(BG8)</f>
        <v>216376.63770000008</v>
      </c>
      <c r="BH38" s="53"/>
      <c r="BI38" s="53"/>
    </row>
    <row r="39" spans="1:61" ht="13.8">
      <c r="A39" s="293"/>
      <c r="B39" s="15" t="s">
        <v>47</v>
      </c>
      <c r="C39" s="157">
        <f>C38/(C5)</f>
        <v>0.69896415617665886</v>
      </c>
      <c r="D39" s="157" t="e">
        <f>D38/(D5)</f>
        <v>#DIV/0!</v>
      </c>
      <c r="E39" s="158">
        <f>E38/(E5)</f>
        <v>0.25922605077874972</v>
      </c>
      <c r="F39" s="167"/>
      <c r="G39" s="54">
        <f>G38/(G5)</f>
        <v>0.32756629375632323</v>
      </c>
      <c r="H39" s="54" t="e">
        <f>H38/(H5)</f>
        <v>#DIV/0!</v>
      </c>
      <c r="I39" s="55">
        <f>I38/(I5)</f>
        <v>-0.17082817036480927</v>
      </c>
      <c r="J39" s="55"/>
      <c r="K39" s="55"/>
      <c r="L39" s="54" t="e">
        <f>L38/(L5)</f>
        <v>#DIV/0!</v>
      </c>
      <c r="M39" s="54" t="e">
        <f>M38/(M5)</f>
        <v>#DIV/0!</v>
      </c>
      <c r="N39" s="55" t="e">
        <f>N38/(N5)</f>
        <v>#DIV/0!</v>
      </c>
      <c r="O39" s="55"/>
      <c r="P39" s="55"/>
      <c r="Q39" s="54" t="e">
        <f>Q38/(Q5)</f>
        <v>#DIV/0!</v>
      </c>
      <c r="R39" s="54" t="e">
        <f>R38/(R5)</f>
        <v>#DIV/0!</v>
      </c>
      <c r="S39" s="55" t="e">
        <f>S38/(S5)</f>
        <v>#DIV/0!</v>
      </c>
      <c r="T39" s="55"/>
      <c r="U39" s="55"/>
      <c r="V39" s="54">
        <f>V38/(V5)</f>
        <v>0.84430514573432003</v>
      </c>
      <c r="W39" s="54" t="e">
        <f>W38/(W5)</f>
        <v>#DIV/0!</v>
      </c>
      <c r="X39" s="55">
        <f>X38/(X5)</f>
        <v>0.66256529291895627</v>
      </c>
      <c r="Y39" s="55"/>
      <c r="Z39" s="55"/>
      <c r="AA39" s="54">
        <f>AA38/(AA5)</f>
        <v>0.73865227241424991</v>
      </c>
      <c r="AB39" s="54" t="e">
        <f>AB38/(AB5)</f>
        <v>#DIV/0!</v>
      </c>
      <c r="AC39" s="55">
        <f>AC38/(AC5)</f>
        <v>0.58461211724973661</v>
      </c>
      <c r="AD39" s="55"/>
      <c r="AE39" s="55"/>
      <c r="AF39" s="54" t="e">
        <f>AF38/(AF5)</f>
        <v>#DIV/0!</v>
      </c>
      <c r="AG39" s="54" t="e">
        <f>AG38/(AG5)</f>
        <v>#DIV/0!</v>
      </c>
      <c r="AH39" s="55" t="e">
        <f>AH38/(AH5)</f>
        <v>#DIV/0!</v>
      </c>
      <c r="AI39" s="55"/>
      <c r="AJ39" s="55"/>
      <c r="AK39" s="54">
        <f>AK38/(AK5)</f>
        <v>0.91254632805775115</v>
      </c>
      <c r="AL39" s="54" t="e">
        <f>AL38/(AL5)</f>
        <v>#DIV/0!</v>
      </c>
      <c r="AM39" s="55">
        <f>AM38/(AM5)</f>
        <v>0.62752059548784</v>
      </c>
      <c r="AN39" s="55">
        <f t="shared" si="9"/>
        <v>6.2958182504126836E-6</v>
      </c>
      <c r="AO39" s="55"/>
      <c r="AP39" s="54">
        <f>AP38/(AP5)</f>
        <v>5.264567789783159E-4</v>
      </c>
      <c r="AQ39" s="54" t="e">
        <f>AQ38/(AQ5)</f>
        <v>#DIV/0!</v>
      </c>
      <c r="AR39" s="55">
        <f>AR38/(AR5)</f>
        <v>-0.16590513305878363</v>
      </c>
      <c r="AS39" s="55">
        <f t="shared" si="37"/>
        <v>-1.6645008499468047E-6</v>
      </c>
      <c r="AT39" s="55"/>
      <c r="AU39" s="54" t="e">
        <f>AU38/(AU5)</f>
        <v>#DIV/0!</v>
      </c>
      <c r="AV39" s="54" t="e">
        <f>AV38/(AV5)</f>
        <v>#DIV/0!</v>
      </c>
      <c r="AW39" s="55" t="e">
        <f>AW38/(AW5)</f>
        <v>#DIV/0!</v>
      </c>
      <c r="AX39" s="55" t="e">
        <f t="shared" si="38"/>
        <v>#DIV/0!</v>
      </c>
      <c r="AY39" s="55"/>
      <c r="AZ39" s="1441" t="e">
        <f>AZ38/(AZ5)</f>
        <v>#DIV/0!</v>
      </c>
      <c r="BA39" s="1441" t="e">
        <f>BA38/(BA5)</f>
        <v>#DIV/0!</v>
      </c>
      <c r="BB39" s="1442" t="e">
        <f>BB38/(BB5)</f>
        <v>#DIV/0!</v>
      </c>
      <c r="BC39" s="1442" t="e">
        <f t="shared" si="12"/>
        <v>#DIV/0!</v>
      </c>
      <c r="BD39" s="1442"/>
      <c r="BE39" s="54">
        <f>BE38/(BE5)</f>
        <v>0.50793804012754573</v>
      </c>
      <c r="BF39" s="54" t="e">
        <f>BF38/(BF5)</f>
        <v>#DIV/0!</v>
      </c>
      <c r="BG39" s="55">
        <f>BG38/(BG5)</f>
        <v>0.11933380835964356</v>
      </c>
      <c r="BH39" s="55"/>
      <c r="BI39" s="55"/>
    </row>
    <row r="40" spans="1:61" ht="14.4" outlineLevel="1" thickBot="1">
      <c r="A40" s="295"/>
      <c r="B40" s="16"/>
      <c r="C40" s="56"/>
      <c r="D40" s="57"/>
      <c r="E40" s="58"/>
      <c r="F40" s="16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f t="shared" si="9"/>
        <v>0</v>
      </c>
      <c r="AO40" s="58"/>
      <c r="AP40" s="58"/>
      <c r="AQ40" s="58"/>
      <c r="AR40" s="58"/>
      <c r="AS40" s="58">
        <f t="shared" si="37"/>
        <v>0</v>
      </c>
      <c r="AT40" s="58"/>
      <c r="AU40" s="58"/>
      <c r="AV40" s="58"/>
      <c r="AW40" s="58"/>
      <c r="AX40" s="58">
        <f t="shared" si="38"/>
        <v>0</v>
      </c>
      <c r="AY40" s="58"/>
      <c r="AZ40" s="1444"/>
      <c r="BA40" s="1444"/>
      <c r="BB40" s="1444"/>
      <c r="BC40" s="1444">
        <f t="shared" si="12"/>
        <v>0</v>
      </c>
      <c r="BD40" s="1444"/>
      <c r="BE40" s="58"/>
      <c r="BF40" s="58"/>
      <c r="BG40" s="58"/>
      <c r="BH40" s="58"/>
      <c r="BI40" s="58"/>
    </row>
    <row r="41" spans="1:61" ht="13.8" outlineLevel="1">
      <c r="A41" s="11"/>
      <c r="B41" s="22" t="s">
        <v>26</v>
      </c>
      <c r="C41" s="117">
        <f>SUM(C42:C48)</f>
        <v>0</v>
      </c>
      <c r="D41" s="117">
        <f>SUM(D42:D48)</f>
        <v>0</v>
      </c>
      <c r="E41" s="118">
        <f>SUM(E42:E48)</f>
        <v>0</v>
      </c>
      <c r="F41" s="169">
        <f t="shared" ref="F41:F48" si="39">E41/$E$89</f>
        <v>0</v>
      </c>
      <c r="G41" s="117">
        <f>SUM(G42:G48)</f>
        <v>2207.58</v>
      </c>
      <c r="H41" s="117">
        <f>SUM(H42:H48)</f>
        <v>739</v>
      </c>
      <c r="I41" s="118">
        <f>SUM(I42:I48)</f>
        <v>2946.58</v>
      </c>
      <c r="J41" s="169">
        <f t="shared" ref="J41:J49" si="40">I41/$I$89</f>
        <v>2.2393492497837014E-3</v>
      </c>
      <c r="K41" s="60"/>
      <c r="L41" s="117">
        <f>SUM(L42:L48)</f>
        <v>0</v>
      </c>
      <c r="M41" s="117">
        <f>SUM(M42:M48)</f>
        <v>0</v>
      </c>
      <c r="N41" s="118">
        <f>SUM(N42:N48)</f>
        <v>0</v>
      </c>
      <c r="O41" s="169" t="e">
        <f t="shared" ref="O41:O49" si="41">N41/$N$89</f>
        <v>#DIV/0!</v>
      </c>
      <c r="P41" s="60"/>
      <c r="Q41" s="117">
        <f>SUM(Q42:Q48)</f>
        <v>0</v>
      </c>
      <c r="R41" s="117">
        <f>SUM(R42:R48)</f>
        <v>0</v>
      </c>
      <c r="S41" s="118">
        <f>SUM(S42:S48)</f>
        <v>0</v>
      </c>
      <c r="T41" s="169">
        <f>S41/$S$89</f>
        <v>0</v>
      </c>
      <c r="U41" s="60"/>
      <c r="V41" s="117">
        <f>SUM(V42:V48)</f>
        <v>0</v>
      </c>
      <c r="W41" s="117">
        <f>SUM(W42:W48)</f>
        <v>0</v>
      </c>
      <c r="X41" s="118">
        <f>SUM(X42:X48)</f>
        <v>0</v>
      </c>
      <c r="Y41" s="169">
        <f t="shared" ref="Y41:Y52" si="42">X41/$X$89</f>
        <v>0</v>
      </c>
      <c r="Z41" s="60"/>
      <c r="AA41" s="117">
        <f>SUM(AA42:AA48)</f>
        <v>0</v>
      </c>
      <c r="AB41" s="117">
        <f>SUM(AB42:AB48)</f>
        <v>0</v>
      </c>
      <c r="AC41" s="118">
        <f>SUM(AC42:AC48)</f>
        <v>0</v>
      </c>
      <c r="AD41" s="169">
        <f>AC41/$AC$89</f>
        <v>0</v>
      </c>
      <c r="AE41" s="60"/>
      <c r="AF41" s="117">
        <f>SUM(AF42:AF48)</f>
        <v>601</v>
      </c>
      <c r="AG41" s="117">
        <f>SUM(AG42:AG48)</f>
        <v>0</v>
      </c>
      <c r="AH41" s="118">
        <f>SUM(AH42:AH48)</f>
        <v>601</v>
      </c>
      <c r="AI41" s="169">
        <f t="shared" ref="AI41:AI48" si="43">AH41/$AH$89</f>
        <v>1.1293543704679956E-2</v>
      </c>
      <c r="AJ41" s="60"/>
      <c r="AK41" s="117">
        <f>SUM(AK42:AK48)</f>
        <v>0</v>
      </c>
      <c r="AL41" s="117">
        <f>SUM(AL42:AL48)</f>
        <v>601</v>
      </c>
      <c r="AM41" s="118">
        <f>SUM(AM42:AM48)</f>
        <v>601</v>
      </c>
      <c r="AN41" s="169">
        <f t="shared" si="9"/>
        <v>6.0297411681866373E-3</v>
      </c>
      <c r="AO41" s="60"/>
      <c r="AP41" s="117">
        <f>SUM(AP42:AP48)</f>
        <v>0</v>
      </c>
      <c r="AQ41" s="117">
        <f>SUM(AQ42:AQ48)</f>
        <v>0</v>
      </c>
      <c r="AR41" s="118">
        <f>SUM(AR42:AR48)</f>
        <v>0</v>
      </c>
      <c r="AS41" s="169">
        <f t="shared" ref="AS41:AS48" si="44">AR41/$AR$89</f>
        <v>0</v>
      </c>
      <c r="AT41" s="60"/>
      <c r="AU41" s="117">
        <f>SUM(AU42:AU48)</f>
        <v>46</v>
      </c>
      <c r="AV41" s="117">
        <f>SUM(AV42:AV48)</f>
        <v>0</v>
      </c>
      <c r="AW41" s="118">
        <f>SUM(AW42:AW48)</f>
        <v>46</v>
      </c>
      <c r="AX41" s="169">
        <f t="shared" ref="AX41:AX48" si="45">AW41/$AR$89</f>
        <v>4.6112682796188077E-4</v>
      </c>
      <c r="AY41" s="60"/>
      <c r="AZ41" s="1491">
        <f>SUM(AZ42:AZ48)</f>
        <v>0</v>
      </c>
      <c r="BA41" s="1491">
        <f>SUM(BA42:BA48)</f>
        <v>0</v>
      </c>
      <c r="BB41" s="1492">
        <f>SUM(BB42:BB48)</f>
        <v>0</v>
      </c>
      <c r="BC41" s="1888">
        <f t="shared" si="12"/>
        <v>0</v>
      </c>
      <c r="BD41" s="1446"/>
      <c r="BE41" s="117">
        <f>SUM(BE42:BE48)</f>
        <v>2854.58</v>
      </c>
      <c r="BF41" s="117">
        <f>SUM(BF42:BF48)</f>
        <v>1340</v>
      </c>
      <c r="BG41" s="118">
        <f>SUM(BG42:BG48)</f>
        <v>4194.58</v>
      </c>
      <c r="BH41" s="169" t="e">
        <f t="shared" ref="BH41:BH49" si="46">BG41/$N$89</f>
        <v>#DIV/0!</v>
      </c>
      <c r="BI41" s="60"/>
    </row>
    <row r="42" spans="1:61" ht="43.2" customHeight="1" outlineLevel="2">
      <c r="A42" s="4833"/>
      <c r="B42" s="18" t="s">
        <v>7</v>
      </c>
      <c r="C42" s="113"/>
      <c r="D42" s="119"/>
      <c r="E42" s="120">
        <f t="shared" ref="E42:E48" si="47">C42+D42</f>
        <v>0</v>
      </c>
      <c r="F42" s="178">
        <f t="shared" si="39"/>
        <v>0</v>
      </c>
      <c r="G42" s="39">
        <v>0</v>
      </c>
      <c r="H42" s="39">
        <v>0</v>
      </c>
      <c r="I42" s="210">
        <f t="shared" ref="I42:I48" si="48">G42+H42*1</f>
        <v>0</v>
      </c>
      <c r="J42" s="178">
        <f t="shared" si="40"/>
        <v>0</v>
      </c>
      <c r="K42" s="79"/>
      <c r="L42" s="39"/>
      <c r="M42" s="39"/>
      <c r="N42" s="106">
        <f t="shared" ref="N42:N48" si="49">L42+M42*1</f>
        <v>0</v>
      </c>
      <c r="O42" s="178" t="e">
        <f t="shared" si="41"/>
        <v>#DIV/0!</v>
      </c>
      <c r="P42" s="79"/>
      <c r="Q42" s="39"/>
      <c r="R42" s="39"/>
      <c r="S42" s="106">
        <f t="shared" ref="S42:S48" si="50">Q42+R42*1</f>
        <v>0</v>
      </c>
      <c r="T42" s="178">
        <f t="shared" ref="T42:T52" si="51">S42/$S$89</f>
        <v>0</v>
      </c>
      <c r="U42" s="79"/>
      <c r="V42" s="39"/>
      <c r="W42" s="39"/>
      <c r="X42" s="106">
        <f t="shared" ref="X42:X48" si="52">V42+W42*1</f>
        <v>0</v>
      </c>
      <c r="Y42" s="178">
        <f t="shared" si="42"/>
        <v>0</v>
      </c>
      <c r="Z42" s="79"/>
      <c r="AA42" s="39"/>
      <c r="AB42" s="39"/>
      <c r="AC42" s="106">
        <f t="shared" ref="AC42:AC48" si="53">AA42+AB42*1</f>
        <v>0</v>
      </c>
      <c r="AD42" s="178">
        <f t="shared" ref="AD42:AD48" si="54">AC42/$AC$89</f>
        <v>0</v>
      </c>
      <c r="AE42" s="79"/>
      <c r="AF42" s="39"/>
      <c r="AG42" s="39"/>
      <c r="AH42" s="106">
        <f t="shared" ref="AH42:AH48" si="55">AF42+AG42*1</f>
        <v>0</v>
      </c>
      <c r="AI42" s="178">
        <f t="shared" si="43"/>
        <v>0</v>
      </c>
      <c r="AJ42" s="79"/>
      <c r="AK42" s="39"/>
      <c r="AL42" s="39"/>
      <c r="AM42" s="106">
        <f t="shared" ref="AM42:AM48" si="56">AK42+AL42*1</f>
        <v>0</v>
      </c>
      <c r="AN42" s="178">
        <f t="shared" si="9"/>
        <v>0</v>
      </c>
      <c r="AO42" s="79"/>
      <c r="AP42" s="39"/>
      <c r="AQ42" s="39"/>
      <c r="AR42" s="106">
        <f t="shared" ref="AR42:AR48" si="57">AP42+AQ42*1</f>
        <v>0</v>
      </c>
      <c r="AS42" s="178">
        <f t="shared" si="44"/>
        <v>0</v>
      </c>
      <c r="AT42" s="79"/>
      <c r="AU42" s="39"/>
      <c r="AV42" s="39"/>
      <c r="AW42" s="106">
        <f t="shared" ref="AW42:AW48" si="58">AU42+AV42*1</f>
        <v>0</v>
      </c>
      <c r="AX42" s="178">
        <f t="shared" si="45"/>
        <v>0</v>
      </c>
      <c r="AY42" s="79"/>
      <c r="AZ42" s="1432"/>
      <c r="BA42" s="1432"/>
      <c r="BB42" s="1480">
        <f t="shared" ref="BB42:BB48" si="59">AZ42+BA42*1</f>
        <v>0</v>
      </c>
      <c r="BC42" s="1877">
        <f t="shared" si="12"/>
        <v>0</v>
      </c>
      <c r="BD42" s="1927"/>
      <c r="BE42" s="39">
        <f t="shared" ref="BE42:BE48" si="60">G42+L42+Q42+V42+AA42+AF42+AK42+AP42+AU42</f>
        <v>0</v>
      </c>
      <c r="BF42" s="39">
        <f t="shared" ref="BF42:BF48" si="61">H42+M42+R42+W42+AB42+AG42+AL42+AQ42+AV42</f>
        <v>0</v>
      </c>
      <c r="BG42" s="210">
        <f t="shared" ref="BG42:BG48" si="62">BE42+BF42*1</f>
        <v>0</v>
      </c>
      <c r="BH42" s="178" t="e">
        <f t="shared" si="46"/>
        <v>#DIV/0!</v>
      </c>
      <c r="BI42" s="79"/>
    </row>
    <row r="43" spans="1:61" ht="13.8" outlineLevel="2">
      <c r="A43" s="4833"/>
      <c r="B43" s="18" t="s">
        <v>27</v>
      </c>
      <c r="C43" s="113"/>
      <c r="D43" s="119"/>
      <c r="E43" s="120">
        <f t="shared" si="47"/>
        <v>0</v>
      </c>
      <c r="F43" s="178">
        <f t="shared" si="39"/>
        <v>0</v>
      </c>
      <c r="G43" s="39">
        <v>0</v>
      </c>
      <c r="H43" s="39">
        <v>522</v>
      </c>
      <c r="I43" s="210">
        <f t="shared" si="48"/>
        <v>522</v>
      </c>
      <c r="J43" s="178">
        <f t="shared" si="40"/>
        <v>3.9671086764557289E-4</v>
      </c>
      <c r="K43" s="79"/>
      <c r="L43" s="39"/>
      <c r="M43" s="39"/>
      <c r="N43" s="106">
        <f t="shared" si="49"/>
        <v>0</v>
      </c>
      <c r="O43" s="178" t="e">
        <f t="shared" si="41"/>
        <v>#DIV/0!</v>
      </c>
      <c r="P43" s="79"/>
      <c r="Q43" s="39"/>
      <c r="R43" s="39"/>
      <c r="S43" s="106">
        <f t="shared" si="50"/>
        <v>0</v>
      </c>
      <c r="T43" s="178">
        <f t="shared" si="51"/>
        <v>0</v>
      </c>
      <c r="U43" s="79"/>
      <c r="V43" s="39"/>
      <c r="W43" s="39"/>
      <c r="X43" s="106">
        <f t="shared" si="52"/>
        <v>0</v>
      </c>
      <c r="Y43" s="178">
        <f t="shared" si="42"/>
        <v>0</v>
      </c>
      <c r="Z43" s="79"/>
      <c r="AA43" s="39"/>
      <c r="AB43" s="39"/>
      <c r="AC43" s="106">
        <f t="shared" si="53"/>
        <v>0</v>
      </c>
      <c r="AD43" s="178">
        <f t="shared" si="54"/>
        <v>0</v>
      </c>
      <c r="AE43" s="79"/>
      <c r="AF43" s="39"/>
      <c r="AG43" s="39"/>
      <c r="AH43" s="106">
        <f t="shared" si="55"/>
        <v>0</v>
      </c>
      <c r="AI43" s="178">
        <f t="shared" si="43"/>
        <v>0</v>
      </c>
      <c r="AJ43" s="79"/>
      <c r="AK43" s="39"/>
      <c r="AL43" s="39"/>
      <c r="AM43" s="106">
        <f t="shared" si="56"/>
        <v>0</v>
      </c>
      <c r="AN43" s="178">
        <f t="shared" si="9"/>
        <v>0</v>
      </c>
      <c r="AO43" s="79"/>
      <c r="AP43" s="39"/>
      <c r="AQ43" s="39"/>
      <c r="AR43" s="106">
        <f t="shared" si="57"/>
        <v>0</v>
      </c>
      <c r="AS43" s="178">
        <f t="shared" si="44"/>
        <v>0</v>
      </c>
      <c r="AT43" s="79"/>
      <c r="AU43" s="39"/>
      <c r="AV43" s="39"/>
      <c r="AW43" s="106">
        <f t="shared" si="58"/>
        <v>0</v>
      </c>
      <c r="AX43" s="178">
        <f t="shared" si="45"/>
        <v>0</v>
      </c>
      <c r="AY43" s="79"/>
      <c r="AZ43" s="1432"/>
      <c r="BA43" s="1432"/>
      <c r="BB43" s="1480">
        <f t="shared" si="59"/>
        <v>0</v>
      </c>
      <c r="BC43" s="1877">
        <f t="shared" si="12"/>
        <v>0</v>
      </c>
      <c r="BD43" s="1927"/>
      <c r="BE43" s="39">
        <f t="shared" si="60"/>
        <v>0</v>
      </c>
      <c r="BF43" s="39">
        <f t="shared" si="61"/>
        <v>522</v>
      </c>
      <c r="BG43" s="210">
        <f t="shared" si="62"/>
        <v>522</v>
      </c>
      <c r="BH43" s="178" t="e">
        <f t="shared" si="46"/>
        <v>#DIV/0!</v>
      </c>
      <c r="BI43" s="79"/>
    </row>
    <row r="44" spans="1:61" ht="67.2" customHeight="1" outlineLevel="2">
      <c r="A44" s="4833"/>
      <c r="B44" s="19" t="s">
        <v>28</v>
      </c>
      <c r="C44" s="113"/>
      <c r="D44" s="119"/>
      <c r="E44" s="120">
        <f t="shared" si="47"/>
        <v>0</v>
      </c>
      <c r="F44" s="178">
        <f t="shared" si="39"/>
        <v>0</v>
      </c>
      <c r="G44" s="39">
        <v>0</v>
      </c>
      <c r="H44" s="39">
        <v>0</v>
      </c>
      <c r="I44" s="210">
        <f t="shared" si="48"/>
        <v>0</v>
      </c>
      <c r="J44" s="178">
        <f t="shared" si="40"/>
        <v>0</v>
      </c>
      <c r="K44" s="79"/>
      <c r="L44" s="39"/>
      <c r="M44" s="39"/>
      <c r="N44" s="106">
        <f t="shared" si="49"/>
        <v>0</v>
      </c>
      <c r="O44" s="178" t="e">
        <f t="shared" si="41"/>
        <v>#DIV/0!</v>
      </c>
      <c r="P44" s="79"/>
      <c r="Q44" s="39"/>
      <c r="R44" s="39"/>
      <c r="S44" s="106">
        <f t="shared" si="50"/>
        <v>0</v>
      </c>
      <c r="T44" s="178">
        <f t="shared" si="51"/>
        <v>0</v>
      </c>
      <c r="U44" s="79"/>
      <c r="V44" s="39"/>
      <c r="W44" s="39"/>
      <c r="X44" s="106">
        <f t="shared" si="52"/>
        <v>0</v>
      </c>
      <c r="Y44" s="178">
        <f t="shared" si="42"/>
        <v>0</v>
      </c>
      <c r="Z44" s="79"/>
      <c r="AA44" s="39"/>
      <c r="AB44" s="39"/>
      <c r="AC44" s="106">
        <f t="shared" si="53"/>
        <v>0</v>
      </c>
      <c r="AD44" s="178">
        <f t="shared" si="54"/>
        <v>0</v>
      </c>
      <c r="AE44" s="79"/>
      <c r="AF44" s="39"/>
      <c r="AG44" s="39"/>
      <c r="AH44" s="106">
        <f t="shared" si="55"/>
        <v>0</v>
      </c>
      <c r="AI44" s="178">
        <f t="shared" si="43"/>
        <v>0</v>
      </c>
      <c r="AJ44" s="79"/>
      <c r="AK44" s="39"/>
      <c r="AL44" s="39"/>
      <c r="AM44" s="106">
        <f t="shared" si="56"/>
        <v>0</v>
      </c>
      <c r="AN44" s="178">
        <f t="shared" si="9"/>
        <v>0</v>
      </c>
      <c r="AO44" s="79"/>
      <c r="AP44" s="39"/>
      <c r="AQ44" s="39"/>
      <c r="AR44" s="106">
        <f t="shared" si="57"/>
        <v>0</v>
      </c>
      <c r="AS44" s="178">
        <f t="shared" si="44"/>
        <v>0</v>
      </c>
      <c r="AT44" s="79"/>
      <c r="AU44" s="39"/>
      <c r="AV44" s="39"/>
      <c r="AW44" s="106">
        <f t="shared" si="58"/>
        <v>0</v>
      </c>
      <c r="AX44" s="178">
        <f t="shared" si="45"/>
        <v>0</v>
      </c>
      <c r="AY44" s="79"/>
      <c r="AZ44" s="1432"/>
      <c r="BA44" s="1432"/>
      <c r="BB44" s="1480">
        <f t="shared" si="59"/>
        <v>0</v>
      </c>
      <c r="BC44" s="1877">
        <f t="shared" si="12"/>
        <v>0</v>
      </c>
      <c r="BD44" s="1927"/>
      <c r="BE44" s="39">
        <f t="shared" si="60"/>
        <v>0</v>
      </c>
      <c r="BF44" s="39">
        <f t="shared" si="61"/>
        <v>0</v>
      </c>
      <c r="BG44" s="210">
        <f t="shared" si="62"/>
        <v>0</v>
      </c>
      <c r="BH44" s="178" t="e">
        <f t="shared" si="46"/>
        <v>#DIV/0!</v>
      </c>
      <c r="BI44" s="79"/>
    </row>
    <row r="45" spans="1:61" ht="13.8" outlineLevel="2">
      <c r="A45" s="4833"/>
      <c r="B45" s="18" t="s">
        <v>8</v>
      </c>
      <c r="C45" s="113"/>
      <c r="D45" s="119"/>
      <c r="E45" s="120">
        <f t="shared" si="47"/>
        <v>0</v>
      </c>
      <c r="F45" s="178">
        <f t="shared" si="39"/>
        <v>0</v>
      </c>
      <c r="G45" s="39">
        <v>0</v>
      </c>
      <c r="H45" s="39">
        <v>0</v>
      </c>
      <c r="I45" s="210">
        <f t="shared" si="48"/>
        <v>0</v>
      </c>
      <c r="J45" s="178">
        <f t="shared" si="40"/>
        <v>0</v>
      </c>
      <c r="K45" s="79"/>
      <c r="L45" s="39"/>
      <c r="M45" s="39"/>
      <c r="N45" s="106">
        <f t="shared" si="49"/>
        <v>0</v>
      </c>
      <c r="O45" s="178" t="e">
        <f t="shared" si="41"/>
        <v>#DIV/0!</v>
      </c>
      <c r="P45" s="79"/>
      <c r="Q45" s="39"/>
      <c r="R45" s="39"/>
      <c r="S45" s="106">
        <f t="shared" si="50"/>
        <v>0</v>
      </c>
      <c r="T45" s="178">
        <f t="shared" si="51"/>
        <v>0</v>
      </c>
      <c r="U45" s="79"/>
      <c r="V45" s="39"/>
      <c r="W45" s="39"/>
      <c r="X45" s="106">
        <f t="shared" si="52"/>
        <v>0</v>
      </c>
      <c r="Y45" s="178">
        <f t="shared" si="42"/>
        <v>0</v>
      </c>
      <c r="Z45" s="79"/>
      <c r="AA45" s="39"/>
      <c r="AB45" s="39"/>
      <c r="AC45" s="106">
        <f t="shared" si="53"/>
        <v>0</v>
      </c>
      <c r="AD45" s="178">
        <f t="shared" si="54"/>
        <v>0</v>
      </c>
      <c r="AE45" s="79"/>
      <c r="AF45" s="39"/>
      <c r="AG45" s="39"/>
      <c r="AH45" s="106">
        <f t="shared" si="55"/>
        <v>0</v>
      </c>
      <c r="AI45" s="178">
        <f t="shared" si="43"/>
        <v>0</v>
      </c>
      <c r="AJ45" s="79"/>
      <c r="AK45" s="39"/>
      <c r="AL45" s="39"/>
      <c r="AM45" s="106">
        <f t="shared" si="56"/>
        <v>0</v>
      </c>
      <c r="AN45" s="178">
        <f t="shared" si="9"/>
        <v>0</v>
      </c>
      <c r="AO45" s="79"/>
      <c r="AP45" s="39"/>
      <c r="AQ45" s="39"/>
      <c r="AR45" s="106">
        <f t="shared" si="57"/>
        <v>0</v>
      </c>
      <c r="AS45" s="178">
        <f t="shared" si="44"/>
        <v>0</v>
      </c>
      <c r="AT45" s="79"/>
      <c r="AU45" s="39"/>
      <c r="AV45" s="39"/>
      <c r="AW45" s="106">
        <f t="shared" si="58"/>
        <v>0</v>
      </c>
      <c r="AX45" s="178">
        <f t="shared" si="45"/>
        <v>0</v>
      </c>
      <c r="AY45" s="79"/>
      <c r="AZ45" s="1432"/>
      <c r="BA45" s="1432"/>
      <c r="BB45" s="1480">
        <f t="shared" si="59"/>
        <v>0</v>
      </c>
      <c r="BC45" s="1877">
        <f t="shared" si="12"/>
        <v>0</v>
      </c>
      <c r="BD45" s="1927"/>
      <c r="BE45" s="39">
        <f t="shared" si="60"/>
        <v>0</v>
      </c>
      <c r="BF45" s="39">
        <f t="shared" si="61"/>
        <v>0</v>
      </c>
      <c r="BG45" s="210">
        <f t="shared" si="62"/>
        <v>0</v>
      </c>
      <c r="BH45" s="178" t="e">
        <f t="shared" si="46"/>
        <v>#DIV/0!</v>
      </c>
      <c r="BI45" s="79"/>
    </row>
    <row r="46" spans="1:61" ht="13.8" outlineLevel="2">
      <c r="A46" s="4833"/>
      <c r="B46" s="18" t="s">
        <v>29</v>
      </c>
      <c r="C46" s="113"/>
      <c r="D46" s="119"/>
      <c r="E46" s="120">
        <f t="shared" si="47"/>
        <v>0</v>
      </c>
      <c r="F46" s="178">
        <f t="shared" si="39"/>
        <v>0</v>
      </c>
      <c r="G46" s="39">
        <v>0</v>
      </c>
      <c r="H46" s="39">
        <v>0</v>
      </c>
      <c r="I46" s="210">
        <f t="shared" si="48"/>
        <v>0</v>
      </c>
      <c r="J46" s="178">
        <f t="shared" si="40"/>
        <v>0</v>
      </c>
      <c r="K46" s="79"/>
      <c r="L46" s="39"/>
      <c r="M46" s="39"/>
      <c r="N46" s="106">
        <f t="shared" si="49"/>
        <v>0</v>
      </c>
      <c r="O46" s="178" t="e">
        <f t="shared" si="41"/>
        <v>#DIV/0!</v>
      </c>
      <c r="P46" s="79"/>
      <c r="Q46" s="39"/>
      <c r="R46" s="39"/>
      <c r="S46" s="106">
        <f t="shared" si="50"/>
        <v>0</v>
      </c>
      <c r="T46" s="178">
        <f t="shared" si="51"/>
        <v>0</v>
      </c>
      <c r="U46" s="79"/>
      <c r="V46" s="39"/>
      <c r="W46" s="39"/>
      <c r="X46" s="106">
        <f t="shared" si="52"/>
        <v>0</v>
      </c>
      <c r="Y46" s="178">
        <f t="shared" si="42"/>
        <v>0</v>
      </c>
      <c r="Z46" s="79"/>
      <c r="AA46" s="39"/>
      <c r="AB46" s="39"/>
      <c r="AC46" s="106">
        <f t="shared" si="53"/>
        <v>0</v>
      </c>
      <c r="AD46" s="178">
        <f t="shared" si="54"/>
        <v>0</v>
      </c>
      <c r="AE46" s="79"/>
      <c r="AF46" s="39"/>
      <c r="AG46" s="39"/>
      <c r="AH46" s="106">
        <f t="shared" si="55"/>
        <v>0</v>
      </c>
      <c r="AI46" s="178">
        <f t="shared" si="43"/>
        <v>0</v>
      </c>
      <c r="AJ46" s="79"/>
      <c r="AK46" s="39"/>
      <c r="AL46" s="39"/>
      <c r="AM46" s="106">
        <f t="shared" si="56"/>
        <v>0</v>
      </c>
      <c r="AN46" s="178">
        <f t="shared" si="9"/>
        <v>0</v>
      </c>
      <c r="AO46" s="79"/>
      <c r="AP46" s="39"/>
      <c r="AQ46" s="39"/>
      <c r="AR46" s="106">
        <f t="shared" si="57"/>
        <v>0</v>
      </c>
      <c r="AS46" s="178">
        <f t="shared" si="44"/>
        <v>0</v>
      </c>
      <c r="AT46" s="79"/>
      <c r="AU46" s="39"/>
      <c r="AV46" s="39"/>
      <c r="AW46" s="106">
        <f t="shared" si="58"/>
        <v>0</v>
      </c>
      <c r="AX46" s="178">
        <f t="shared" si="45"/>
        <v>0</v>
      </c>
      <c r="AY46" s="79"/>
      <c r="AZ46" s="1432"/>
      <c r="BA46" s="1432"/>
      <c r="BB46" s="1480">
        <f t="shared" si="59"/>
        <v>0</v>
      </c>
      <c r="BC46" s="1877">
        <f t="shared" si="12"/>
        <v>0</v>
      </c>
      <c r="BD46" s="1927"/>
      <c r="BE46" s="39">
        <f t="shared" si="60"/>
        <v>0</v>
      </c>
      <c r="BF46" s="39">
        <f t="shared" si="61"/>
        <v>0</v>
      </c>
      <c r="BG46" s="210">
        <f t="shared" si="62"/>
        <v>0</v>
      </c>
      <c r="BH46" s="178" t="e">
        <f t="shared" si="46"/>
        <v>#DIV/0!</v>
      </c>
      <c r="BI46" s="79"/>
    </row>
    <row r="47" spans="1:61" ht="13.8" outlineLevel="2">
      <c r="A47" s="4833"/>
      <c r="B47" s="18" t="s">
        <v>30</v>
      </c>
      <c r="C47" s="113"/>
      <c r="D47" s="119"/>
      <c r="E47" s="120">
        <f t="shared" si="47"/>
        <v>0</v>
      </c>
      <c r="F47" s="178">
        <f t="shared" si="39"/>
        <v>0</v>
      </c>
      <c r="G47" s="39">
        <v>1735.5</v>
      </c>
      <c r="H47" s="39">
        <v>0</v>
      </c>
      <c r="I47" s="210">
        <f t="shared" si="48"/>
        <v>1735.5</v>
      </c>
      <c r="J47" s="178">
        <f t="shared" si="40"/>
        <v>1.3189496375457697E-3</v>
      </c>
      <c r="K47" s="79"/>
      <c r="L47" s="39"/>
      <c r="M47" s="39"/>
      <c r="N47" s="106">
        <f t="shared" si="49"/>
        <v>0</v>
      </c>
      <c r="O47" s="178" t="e">
        <f t="shared" si="41"/>
        <v>#DIV/0!</v>
      </c>
      <c r="P47" s="79"/>
      <c r="Q47" s="39"/>
      <c r="R47" s="39"/>
      <c r="S47" s="106">
        <f t="shared" si="50"/>
        <v>0</v>
      </c>
      <c r="T47" s="178">
        <f t="shared" si="51"/>
        <v>0</v>
      </c>
      <c r="U47" s="79"/>
      <c r="V47" s="39"/>
      <c r="W47" s="39"/>
      <c r="X47" s="106">
        <f t="shared" si="52"/>
        <v>0</v>
      </c>
      <c r="Y47" s="178">
        <f t="shared" si="42"/>
        <v>0</v>
      </c>
      <c r="Z47" s="79"/>
      <c r="AA47" s="39"/>
      <c r="AB47" s="39"/>
      <c r="AC47" s="106">
        <f t="shared" si="53"/>
        <v>0</v>
      </c>
      <c r="AD47" s="178">
        <f t="shared" si="54"/>
        <v>0</v>
      </c>
      <c r="AE47" s="79"/>
      <c r="AF47" s="39">
        <v>601</v>
      </c>
      <c r="AG47" s="39"/>
      <c r="AH47" s="106">
        <f t="shared" si="55"/>
        <v>601</v>
      </c>
      <c r="AI47" s="178">
        <f t="shared" si="43"/>
        <v>1.1293543704679956E-2</v>
      </c>
      <c r="AJ47" s="79"/>
      <c r="AK47" s="39"/>
      <c r="AL47" s="39">
        <v>601</v>
      </c>
      <c r="AM47" s="106">
        <f t="shared" si="56"/>
        <v>601</v>
      </c>
      <c r="AN47" s="178">
        <f t="shared" si="9"/>
        <v>6.0297411681866373E-3</v>
      </c>
      <c r="AO47" s="79"/>
      <c r="AP47" s="39"/>
      <c r="AQ47" s="39"/>
      <c r="AR47" s="106">
        <f t="shared" si="57"/>
        <v>0</v>
      </c>
      <c r="AS47" s="178">
        <f t="shared" si="44"/>
        <v>0</v>
      </c>
      <c r="AT47" s="79"/>
      <c r="AU47" s="39">
        <v>46</v>
      </c>
      <c r="AV47" s="39"/>
      <c r="AW47" s="106">
        <f t="shared" si="58"/>
        <v>46</v>
      </c>
      <c r="AX47" s="178">
        <f t="shared" si="45"/>
        <v>4.6112682796188077E-4</v>
      </c>
      <c r="AY47" s="79"/>
      <c r="AZ47" s="1432"/>
      <c r="BA47" s="1432"/>
      <c r="BB47" s="1480">
        <f t="shared" si="59"/>
        <v>0</v>
      </c>
      <c r="BC47" s="1877">
        <f t="shared" si="12"/>
        <v>0</v>
      </c>
      <c r="BD47" s="1927"/>
      <c r="BE47" s="39">
        <f>G47+L47+Q47+V47+AA47+AF47+AK47+AP47+AU47</f>
        <v>2382.5</v>
      </c>
      <c r="BF47" s="39">
        <f t="shared" si="61"/>
        <v>601</v>
      </c>
      <c r="BG47" s="210">
        <f t="shared" si="62"/>
        <v>2983.5</v>
      </c>
      <c r="BH47" s="178" t="e">
        <f t="shared" si="46"/>
        <v>#DIV/0!</v>
      </c>
      <c r="BI47" s="79"/>
    </row>
    <row r="48" spans="1:61" ht="13.8" outlineLevel="2">
      <c r="A48" s="4833"/>
      <c r="B48" s="18" t="s">
        <v>15</v>
      </c>
      <c r="C48" s="113"/>
      <c r="D48" s="119"/>
      <c r="E48" s="120">
        <f t="shared" si="47"/>
        <v>0</v>
      </c>
      <c r="F48" s="178">
        <f t="shared" si="39"/>
        <v>0</v>
      </c>
      <c r="G48" s="39">
        <v>472.08</v>
      </c>
      <c r="H48" s="39">
        <v>217</v>
      </c>
      <c r="I48" s="210">
        <f t="shared" si="48"/>
        <v>689.07999999999993</v>
      </c>
      <c r="J48" s="178">
        <f t="shared" si="40"/>
        <v>5.2368874459235893E-4</v>
      </c>
      <c r="K48" s="79"/>
      <c r="L48" s="39"/>
      <c r="M48" s="39"/>
      <c r="N48" s="106">
        <f t="shared" si="49"/>
        <v>0</v>
      </c>
      <c r="O48" s="178" t="e">
        <f t="shared" si="41"/>
        <v>#DIV/0!</v>
      </c>
      <c r="P48" s="79"/>
      <c r="Q48" s="39"/>
      <c r="R48" s="39"/>
      <c r="S48" s="106">
        <f t="shared" si="50"/>
        <v>0</v>
      </c>
      <c r="T48" s="178">
        <f t="shared" si="51"/>
        <v>0</v>
      </c>
      <c r="U48" s="79"/>
      <c r="V48" s="39"/>
      <c r="W48" s="39"/>
      <c r="X48" s="106">
        <f t="shared" si="52"/>
        <v>0</v>
      </c>
      <c r="Y48" s="178">
        <f t="shared" si="42"/>
        <v>0</v>
      </c>
      <c r="Z48" s="79"/>
      <c r="AA48" s="39"/>
      <c r="AB48" s="39"/>
      <c r="AC48" s="106">
        <f t="shared" si="53"/>
        <v>0</v>
      </c>
      <c r="AD48" s="178">
        <f t="shared" si="54"/>
        <v>0</v>
      </c>
      <c r="AE48" s="79"/>
      <c r="AF48" s="39"/>
      <c r="AG48" s="39"/>
      <c r="AH48" s="106">
        <f t="shared" si="55"/>
        <v>0</v>
      </c>
      <c r="AI48" s="178">
        <f t="shared" si="43"/>
        <v>0</v>
      </c>
      <c r="AJ48" s="79"/>
      <c r="AK48" s="39"/>
      <c r="AL48" s="39"/>
      <c r="AM48" s="106">
        <f t="shared" si="56"/>
        <v>0</v>
      </c>
      <c r="AN48" s="178">
        <f t="shared" si="9"/>
        <v>0</v>
      </c>
      <c r="AO48" s="79"/>
      <c r="AP48" s="39"/>
      <c r="AQ48" s="39"/>
      <c r="AR48" s="106">
        <f t="shared" si="57"/>
        <v>0</v>
      </c>
      <c r="AS48" s="178">
        <f t="shared" si="44"/>
        <v>0</v>
      </c>
      <c r="AT48" s="79"/>
      <c r="AU48" s="39"/>
      <c r="AV48" s="39"/>
      <c r="AW48" s="106">
        <f t="shared" si="58"/>
        <v>0</v>
      </c>
      <c r="AX48" s="178">
        <f t="shared" si="45"/>
        <v>0</v>
      </c>
      <c r="AY48" s="79"/>
      <c r="AZ48" s="1432"/>
      <c r="BA48" s="1432"/>
      <c r="BB48" s="1480">
        <f t="shared" si="59"/>
        <v>0</v>
      </c>
      <c r="BC48" s="1877">
        <f t="shared" si="12"/>
        <v>0</v>
      </c>
      <c r="BD48" s="1927"/>
      <c r="BE48" s="39">
        <f t="shared" si="60"/>
        <v>472.08</v>
      </c>
      <c r="BF48" s="39">
        <f t="shared" si="61"/>
        <v>217</v>
      </c>
      <c r="BG48" s="210">
        <f t="shared" si="62"/>
        <v>689.07999999999993</v>
      </c>
      <c r="BH48" s="178" t="e">
        <f t="shared" si="46"/>
        <v>#DIV/0!</v>
      </c>
      <c r="BI48" s="79"/>
    </row>
    <row r="49" spans="1:61" s="2" customFormat="1" ht="14.4" outlineLevel="2" thickBot="1">
      <c r="A49" s="11"/>
      <c r="B49" s="35"/>
      <c r="C49" s="116"/>
      <c r="D49" s="121"/>
      <c r="E49" s="122"/>
      <c r="F49" s="182"/>
      <c r="G49" s="210">
        <v>0</v>
      </c>
      <c r="H49" s="39">
        <v>0</v>
      </c>
      <c r="I49" s="52"/>
      <c r="J49" s="178">
        <f t="shared" si="40"/>
        <v>0</v>
      </c>
      <c r="K49" s="52"/>
      <c r="L49" s="39"/>
      <c r="M49" s="39"/>
      <c r="N49" s="52"/>
      <c r="O49" s="178" t="e">
        <f t="shared" si="41"/>
        <v>#DIV/0!</v>
      </c>
      <c r="P49" s="52"/>
      <c r="Q49" s="39"/>
      <c r="R49" s="39"/>
      <c r="S49" s="52"/>
      <c r="T49" s="178">
        <f t="shared" si="51"/>
        <v>0</v>
      </c>
      <c r="U49" s="52"/>
      <c r="V49" s="39"/>
      <c r="W49" s="39"/>
      <c r="X49" s="52"/>
      <c r="Y49" s="178">
        <f t="shared" si="42"/>
        <v>0</v>
      </c>
      <c r="Z49" s="52"/>
      <c r="AA49" s="39"/>
      <c r="AB49" s="39"/>
      <c r="AC49" s="52"/>
      <c r="AD49" s="178">
        <f>AC49/$X$89</f>
        <v>0</v>
      </c>
      <c r="AE49" s="52"/>
      <c r="AF49" s="39"/>
      <c r="AG49" s="39"/>
      <c r="AH49" s="52"/>
      <c r="AI49" s="178">
        <f>AH49/$X$89</f>
        <v>0</v>
      </c>
      <c r="AJ49" s="52"/>
      <c r="AK49" s="39"/>
      <c r="AL49" s="39"/>
      <c r="AM49" s="52"/>
      <c r="AN49" s="178">
        <f t="shared" si="9"/>
        <v>0</v>
      </c>
      <c r="AO49" s="52"/>
      <c r="AP49" s="39"/>
      <c r="AQ49" s="39"/>
      <c r="AR49" s="52"/>
      <c r="AS49" s="178">
        <f>AR49/$AM$89</f>
        <v>0</v>
      </c>
      <c r="AT49" s="52"/>
      <c r="AU49" s="39"/>
      <c r="AV49" s="39"/>
      <c r="AW49" s="52"/>
      <c r="AX49" s="178">
        <f>AW49/$AM$89</f>
        <v>0</v>
      </c>
      <c r="AY49" s="52"/>
      <c r="AZ49" s="1432"/>
      <c r="BA49" s="1432"/>
      <c r="BB49" s="1439"/>
      <c r="BC49" s="1877">
        <f t="shared" si="12"/>
        <v>0</v>
      </c>
      <c r="BD49" s="1439"/>
      <c r="BE49" s="39"/>
      <c r="BF49" s="39"/>
      <c r="BG49" s="52"/>
      <c r="BH49" s="178" t="e">
        <f t="shared" si="46"/>
        <v>#DIV/0!</v>
      </c>
      <c r="BI49" s="52"/>
    </row>
    <row r="50" spans="1:61" s="2" customFormat="1" ht="13.8" outlineLevel="1">
      <c r="A50" s="293"/>
      <c r="B50" s="17" t="s">
        <v>59</v>
      </c>
      <c r="C50" s="123"/>
      <c r="D50" s="123"/>
      <c r="E50" s="123">
        <f>SUM(E51:E52)</f>
        <v>0</v>
      </c>
      <c r="F50" s="170">
        <f>E50/$E$89</f>
        <v>0</v>
      </c>
      <c r="G50" s="123">
        <f>G52+G51</f>
        <v>1434.8</v>
      </c>
      <c r="H50" s="123">
        <f>H52+H51</f>
        <v>0</v>
      </c>
      <c r="I50" s="123">
        <f>I52+I51</f>
        <v>1434.8</v>
      </c>
      <c r="J50" s="60"/>
      <c r="K50" s="60"/>
      <c r="L50" s="123">
        <f>L52+L51</f>
        <v>0</v>
      </c>
      <c r="M50" s="123">
        <f>M52+M51</f>
        <v>0</v>
      </c>
      <c r="N50" s="123">
        <f>SUM(N51:N52)</f>
        <v>0</v>
      </c>
      <c r="O50" s="60"/>
      <c r="P50" s="60"/>
      <c r="Q50" s="123">
        <f>Q52+Q51</f>
        <v>0</v>
      </c>
      <c r="R50" s="123">
        <f>R52+R51</f>
        <v>0</v>
      </c>
      <c r="S50" s="123">
        <f>SUM(S51:S52)</f>
        <v>0</v>
      </c>
      <c r="T50" s="60">
        <f t="shared" si="51"/>
        <v>0</v>
      </c>
      <c r="U50" s="60"/>
      <c r="V50" s="123">
        <f>V52+V51</f>
        <v>0</v>
      </c>
      <c r="W50" s="123">
        <f>W52+W51</f>
        <v>0</v>
      </c>
      <c r="X50" s="123">
        <f>SUM(X51:X52)</f>
        <v>0</v>
      </c>
      <c r="Y50" s="60">
        <f t="shared" si="42"/>
        <v>0</v>
      </c>
      <c r="Z50" s="60"/>
      <c r="AA50" s="123">
        <f>AA52+AA51</f>
        <v>0</v>
      </c>
      <c r="AB50" s="123">
        <f>AB52+AB51</f>
        <v>0</v>
      </c>
      <c r="AC50" s="123">
        <f>SUM(AC51:AC52)</f>
        <v>0</v>
      </c>
      <c r="AD50" s="60">
        <f>AC50/$AC$89</f>
        <v>0</v>
      </c>
      <c r="AE50" s="60"/>
      <c r="AF50" s="123">
        <f>AF52+AF51</f>
        <v>0</v>
      </c>
      <c r="AG50" s="123">
        <f>AG52+AG51</f>
        <v>0</v>
      </c>
      <c r="AH50" s="123">
        <f>SUM(AH51:AH52)</f>
        <v>0</v>
      </c>
      <c r="AI50" s="60">
        <f>AH50/$AH$89</f>
        <v>0</v>
      </c>
      <c r="AJ50" s="60"/>
      <c r="AK50" s="123">
        <f>AK52+AK51</f>
        <v>0</v>
      </c>
      <c r="AL50" s="123">
        <f>AL52+AL51</f>
        <v>0</v>
      </c>
      <c r="AM50" s="123">
        <f>SUM(AM51:AM52)</f>
        <v>0</v>
      </c>
      <c r="AN50" s="60">
        <f t="shared" si="9"/>
        <v>0</v>
      </c>
      <c r="AO50" s="60"/>
      <c r="AP50" s="123">
        <f>AP52+AP51</f>
        <v>0</v>
      </c>
      <c r="AQ50" s="123">
        <f>AQ52+AQ51</f>
        <v>0</v>
      </c>
      <c r="AR50" s="123">
        <f>SUM(AR51:AR52)</f>
        <v>0</v>
      </c>
      <c r="AS50" s="60">
        <f>AR50/$AR$89</f>
        <v>0</v>
      </c>
      <c r="AT50" s="60"/>
      <c r="AU50" s="123">
        <f>AU52+AU51</f>
        <v>0</v>
      </c>
      <c r="AV50" s="123">
        <f>AV52+AV51</f>
        <v>0</v>
      </c>
      <c r="AW50" s="123">
        <f>SUM(AW51:AW52)</f>
        <v>0</v>
      </c>
      <c r="AX50" s="60">
        <f>AW50/$AR$89</f>
        <v>0</v>
      </c>
      <c r="AY50" s="60"/>
      <c r="AZ50" s="1497">
        <f>AZ52+AZ51</f>
        <v>0</v>
      </c>
      <c r="BA50" s="1497">
        <f>BA52+BA51</f>
        <v>0</v>
      </c>
      <c r="BB50" s="1497">
        <f>SUM(BB51:BB52)</f>
        <v>0</v>
      </c>
      <c r="BC50" s="1446">
        <f t="shared" si="12"/>
        <v>0</v>
      </c>
      <c r="BD50" s="1446"/>
      <c r="BE50" s="123">
        <f>BE52+BE51</f>
        <v>1434.8</v>
      </c>
      <c r="BF50" s="123">
        <f>BF52+BF51</f>
        <v>0</v>
      </c>
      <c r="BG50" s="123">
        <f>SUM(BG51:BG52)</f>
        <v>1434.8</v>
      </c>
      <c r="BH50" s="60"/>
      <c r="BI50" s="60"/>
    </row>
    <row r="51" spans="1:61" s="226" customFormat="1" ht="13.8" outlineLevel="1">
      <c r="A51" s="234"/>
      <c r="B51" s="18" t="s">
        <v>60</v>
      </c>
      <c r="C51" s="113"/>
      <c r="D51" s="119"/>
      <c r="E51" s="119">
        <f>C51+D51</f>
        <v>0</v>
      </c>
      <c r="F51" s="180">
        <f>E51/$E$89</f>
        <v>0</v>
      </c>
      <c r="G51" s="39">
        <v>0</v>
      </c>
      <c r="H51" s="39">
        <v>0</v>
      </c>
      <c r="I51" s="210">
        <f>G51+H51*1</f>
        <v>0</v>
      </c>
      <c r="J51" s="178">
        <f>I51/$I$89</f>
        <v>0</v>
      </c>
      <c r="K51" s="45"/>
      <c r="L51" s="39"/>
      <c r="M51" s="39"/>
      <c r="N51" s="106">
        <f>L51+M51*1</f>
        <v>0</v>
      </c>
      <c r="O51" s="178" t="e">
        <f>N51/$N$89</f>
        <v>#DIV/0!</v>
      </c>
      <c r="P51" s="45"/>
      <c r="Q51" s="39"/>
      <c r="R51" s="39"/>
      <c r="S51" s="106">
        <f>Q51+R51*1</f>
        <v>0</v>
      </c>
      <c r="T51" s="178">
        <f t="shared" si="51"/>
        <v>0</v>
      </c>
      <c r="U51" s="45"/>
      <c r="V51" s="39"/>
      <c r="W51" s="39"/>
      <c r="X51" s="106">
        <f>V51+W51*1</f>
        <v>0</v>
      </c>
      <c r="Y51" s="178">
        <f t="shared" si="42"/>
        <v>0</v>
      </c>
      <c r="Z51" s="45"/>
      <c r="AA51" s="39"/>
      <c r="AB51" s="39"/>
      <c r="AC51" s="106">
        <f>AA51+AB51*1</f>
        <v>0</v>
      </c>
      <c r="AD51" s="178">
        <f>AC51/$AC$89</f>
        <v>0</v>
      </c>
      <c r="AE51" s="45"/>
      <c r="AF51" s="39"/>
      <c r="AG51" s="39"/>
      <c r="AH51" s="106">
        <f>AF51+AG51*1</f>
        <v>0</v>
      </c>
      <c r="AI51" s="178">
        <f>AH51/$AH$89</f>
        <v>0</v>
      </c>
      <c r="AJ51" s="45"/>
      <c r="AK51" s="39"/>
      <c r="AL51" s="39"/>
      <c r="AM51" s="106">
        <f>AK51+AL51*1</f>
        <v>0</v>
      </c>
      <c r="AN51" s="178">
        <f t="shared" si="9"/>
        <v>0</v>
      </c>
      <c r="AO51" s="45"/>
      <c r="AP51" s="39"/>
      <c r="AQ51" s="39"/>
      <c r="AR51" s="106">
        <f>AP51+AQ51*1</f>
        <v>0</v>
      </c>
      <c r="AS51" s="178">
        <f>AR51/$AR$89</f>
        <v>0</v>
      </c>
      <c r="AT51" s="45"/>
      <c r="AU51" s="39"/>
      <c r="AV51" s="39"/>
      <c r="AW51" s="106">
        <f>AU51+AV51*1</f>
        <v>0</v>
      </c>
      <c r="AX51" s="178">
        <f>AW51/$AR$89</f>
        <v>0</v>
      </c>
      <c r="AY51" s="45"/>
      <c r="AZ51" s="1432"/>
      <c r="BA51" s="1432"/>
      <c r="BB51" s="1480">
        <f>AZ51+BA51*1</f>
        <v>0</v>
      </c>
      <c r="BC51" s="1877">
        <f t="shared" si="12"/>
        <v>0</v>
      </c>
      <c r="BD51" s="1893"/>
      <c r="BE51" s="39">
        <f>G51+L51+Q51+V51+AA51+AF51+AK51+AP51+AU51</f>
        <v>0</v>
      </c>
      <c r="BF51" s="39">
        <f>H51+M51+R51+W51+AB51+AG51+AL51+AQ51+AV51</f>
        <v>0</v>
      </c>
      <c r="BG51" s="210">
        <f>BE51+BF51*1</f>
        <v>0</v>
      </c>
      <c r="BH51" s="178" t="e">
        <f>BG51/$N$89</f>
        <v>#DIV/0!</v>
      </c>
      <c r="BI51" s="45"/>
    </row>
    <row r="52" spans="1:61" s="235" customFormat="1" ht="13.8" outlineLevel="2">
      <c r="A52" s="234"/>
      <c r="B52" s="18" t="s">
        <v>61</v>
      </c>
      <c r="C52" s="113"/>
      <c r="D52" s="119"/>
      <c r="E52" s="119">
        <f>C52+D52</f>
        <v>0</v>
      </c>
      <c r="F52" s="180">
        <f>E52/$E$89</f>
        <v>0</v>
      </c>
      <c r="G52" s="39">
        <v>1434.8</v>
      </c>
      <c r="H52" s="39">
        <v>0</v>
      </c>
      <c r="I52" s="210">
        <f>G52+H52*1</f>
        <v>1434.8</v>
      </c>
      <c r="J52" s="178">
        <f>I52/$I$89</f>
        <v>1.0904228982717777E-3</v>
      </c>
      <c r="K52" s="45"/>
      <c r="L52" s="39"/>
      <c r="M52" s="39"/>
      <c r="N52" s="106">
        <f>L52+M52*1</f>
        <v>0</v>
      </c>
      <c r="O52" s="178" t="e">
        <f>N52/$N$89</f>
        <v>#DIV/0!</v>
      </c>
      <c r="P52" s="45"/>
      <c r="Q52" s="39"/>
      <c r="R52" s="39"/>
      <c r="S52" s="106">
        <f>Q52+R52*1</f>
        <v>0</v>
      </c>
      <c r="T52" s="178">
        <f t="shared" si="51"/>
        <v>0</v>
      </c>
      <c r="U52" s="45"/>
      <c r="V52" s="39"/>
      <c r="W52" s="39"/>
      <c r="X52" s="106">
        <f>V52+W52*1</f>
        <v>0</v>
      </c>
      <c r="Y52" s="178">
        <f t="shared" si="42"/>
        <v>0</v>
      </c>
      <c r="Z52" s="45"/>
      <c r="AA52" s="39"/>
      <c r="AB52" s="39"/>
      <c r="AC52" s="106">
        <f>AA52+AB52*1</f>
        <v>0</v>
      </c>
      <c r="AD52" s="178">
        <f>AC52/$AC$89</f>
        <v>0</v>
      </c>
      <c r="AE52" s="45"/>
      <c r="AF52" s="39"/>
      <c r="AG52" s="39"/>
      <c r="AH52" s="106">
        <f>AF52+AG52*1</f>
        <v>0</v>
      </c>
      <c r="AI52" s="178">
        <f>AH52/$AH$89</f>
        <v>0</v>
      </c>
      <c r="AJ52" s="45"/>
      <c r="AK52" s="39"/>
      <c r="AL52" s="39"/>
      <c r="AM52" s="106">
        <f>AK52+AL52*1</f>
        <v>0</v>
      </c>
      <c r="AN52" s="178">
        <f t="shared" si="9"/>
        <v>0</v>
      </c>
      <c r="AO52" s="45"/>
      <c r="AP52" s="39"/>
      <c r="AQ52" s="39"/>
      <c r="AR52" s="106">
        <f>AP52+AQ52*1</f>
        <v>0</v>
      </c>
      <c r="AS52" s="178">
        <f>AR52/$AR$89</f>
        <v>0</v>
      </c>
      <c r="AT52" s="45"/>
      <c r="AU52" s="39"/>
      <c r="AV52" s="39"/>
      <c r="AW52" s="106">
        <f>AU52+AV52*1</f>
        <v>0</v>
      </c>
      <c r="AX52" s="178">
        <f>AW52/$AR$89</f>
        <v>0</v>
      </c>
      <c r="AY52" s="45"/>
      <c r="AZ52" s="1432"/>
      <c r="BA52" s="1432"/>
      <c r="BB52" s="1480">
        <f>AZ52+BA52*1</f>
        <v>0</v>
      </c>
      <c r="BC52" s="1877">
        <f t="shared" si="12"/>
        <v>0</v>
      </c>
      <c r="BD52" s="1893"/>
      <c r="BE52" s="39">
        <f>G52+L52+Q52+V52+AA52+AF52+AK52+AP52+AU52</f>
        <v>1434.8</v>
      </c>
      <c r="BF52" s="39">
        <f>H52+M52+R52+W52+AB52+AG52+AL52+AQ52+AV52</f>
        <v>0</v>
      </c>
      <c r="BG52" s="210">
        <f>BE52+BF52*1</f>
        <v>1434.8</v>
      </c>
      <c r="BH52" s="178" t="e">
        <f>BG52/$N$89</f>
        <v>#DIV/0!</v>
      </c>
      <c r="BI52" s="45"/>
    </row>
    <row r="53" spans="1:61" ht="14.4" outlineLevel="1" thickBot="1">
      <c r="A53" s="20"/>
      <c r="B53" s="21"/>
      <c r="C53" s="124"/>
      <c r="D53" s="125"/>
      <c r="E53" s="126"/>
      <c r="F53" s="183"/>
      <c r="G53" s="210">
        <v>0</v>
      </c>
      <c r="H53" s="210">
        <v>0</v>
      </c>
      <c r="I53" s="61"/>
      <c r="J53" s="61"/>
      <c r="K53" s="61"/>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61"/>
      <c r="AN53" s="61">
        <f t="shared" si="9"/>
        <v>0</v>
      </c>
      <c r="AO53" s="61"/>
      <c r="AP53" s="39"/>
      <c r="AQ53" s="39"/>
      <c r="AR53" s="61"/>
      <c r="AS53" s="61">
        <f>AR53/$AM$89</f>
        <v>0</v>
      </c>
      <c r="AT53" s="61"/>
      <c r="AU53" s="39"/>
      <c r="AV53" s="39"/>
      <c r="AW53" s="61"/>
      <c r="AX53" s="61">
        <f>AW53/$AM$89</f>
        <v>0</v>
      </c>
      <c r="AY53" s="61"/>
      <c r="AZ53" s="1432"/>
      <c r="BA53" s="1432"/>
      <c r="BB53" s="1447"/>
      <c r="BC53" s="1447">
        <f t="shared" si="12"/>
        <v>0</v>
      </c>
      <c r="BD53" s="1447"/>
      <c r="BE53" s="39"/>
      <c r="BF53" s="39"/>
      <c r="BG53" s="61"/>
      <c r="BH53" s="61"/>
      <c r="BI53" s="61"/>
    </row>
    <row r="54" spans="1:61" ht="13.8" outlineLevel="1">
      <c r="A54" s="236"/>
      <c r="B54" s="17" t="s">
        <v>1</v>
      </c>
      <c r="C54" s="123">
        <f>SUM(C55:C71)</f>
        <v>40860</v>
      </c>
      <c r="D54" s="123">
        <f>SUM(D55:D71)</f>
        <v>22165</v>
      </c>
      <c r="E54" s="127">
        <f>SUM(E55:E71)</f>
        <v>63025</v>
      </c>
      <c r="F54" s="170">
        <f>E54/$E$89</f>
        <v>4.1764077525790685E-2</v>
      </c>
      <c r="G54" s="123">
        <f>SUM(G55:G71)</f>
        <v>60594.07</v>
      </c>
      <c r="H54" s="123">
        <f>SUM(H55:H71)</f>
        <v>35542.810000000005</v>
      </c>
      <c r="I54" s="127">
        <f>SUM(I55:I71)</f>
        <v>96136.88</v>
      </c>
      <c r="J54" s="169">
        <f t="shared" ref="J54:J72" si="63">I54/$I$89</f>
        <v>7.3062346891835869E-2</v>
      </c>
      <c r="K54" s="60"/>
      <c r="L54" s="123">
        <f>SUM(L55:L71)</f>
        <v>0</v>
      </c>
      <c r="M54" s="123">
        <f>SUM(M55:M71)</f>
        <v>0</v>
      </c>
      <c r="N54" s="127">
        <f>SUM(N55:N71)</f>
        <v>0</v>
      </c>
      <c r="O54" s="169" t="e">
        <f t="shared" ref="O54:O72" si="64">N54/$N$89</f>
        <v>#DIV/0!</v>
      </c>
      <c r="P54" s="60"/>
      <c r="Q54" s="123">
        <f>SUM(Q55:Q71)</f>
        <v>200</v>
      </c>
      <c r="R54" s="123">
        <f>SUM(R55:R71)</f>
        <v>520</v>
      </c>
      <c r="S54" s="127">
        <f>SUM(S55:S71)</f>
        <v>720</v>
      </c>
      <c r="T54" s="169">
        <f t="shared" ref="T54:T72" si="65">S54/$S$89</f>
        <v>2.043296456726201E-2</v>
      </c>
      <c r="U54" s="60"/>
      <c r="V54" s="123">
        <f>SUM(V55:V71)</f>
        <v>0</v>
      </c>
      <c r="W54" s="123">
        <f>SUM(W55:W71)</f>
        <v>520.20000000000005</v>
      </c>
      <c r="X54" s="127">
        <f>SUM(X55:X71)</f>
        <v>520.20000000000005</v>
      </c>
      <c r="Y54" s="169">
        <f t="shared" ref="Y54:Y72" si="66">X54/$X$89</f>
        <v>3.7551603490685124E-3</v>
      </c>
      <c r="Z54" s="60"/>
      <c r="AA54" s="123">
        <f>SUM(AA55:AA71)</f>
        <v>0</v>
      </c>
      <c r="AB54" s="123">
        <f>SUM(AB55:AB71)</f>
        <v>164.36</v>
      </c>
      <c r="AC54" s="127">
        <f>SUM(AC55:AC71)</f>
        <v>164.36</v>
      </c>
      <c r="AD54" s="169">
        <f t="shared" ref="AD54:AD71" si="67">AC54/$AC$89</f>
        <v>3.0420497299986529E-3</v>
      </c>
      <c r="AE54" s="60"/>
      <c r="AF54" s="123">
        <f>SUM(AF55:AF71)</f>
        <v>400</v>
      </c>
      <c r="AG54" s="123">
        <f>SUM(AG55:AG71)</f>
        <v>1683.23</v>
      </c>
      <c r="AH54" s="127">
        <f>SUM(AH55:AH71)</f>
        <v>2083.23</v>
      </c>
      <c r="AI54" s="169">
        <f t="shared" ref="AI54:AI71" si="68">AH54/$AH$89</f>
        <v>3.9146504246090556E-2</v>
      </c>
      <c r="AJ54" s="60"/>
      <c r="AK54" s="123">
        <f>SUM(AK55:AK71)</f>
        <v>0</v>
      </c>
      <c r="AL54" s="123">
        <f>SUM(AL55:AL71)</f>
        <v>0</v>
      </c>
      <c r="AM54" s="127">
        <f>SUM(AM55:AM71)</f>
        <v>0</v>
      </c>
      <c r="AN54" s="169">
        <f t="shared" si="9"/>
        <v>0</v>
      </c>
      <c r="AO54" s="60"/>
      <c r="AP54" s="123">
        <f>SUM(AP55:AP71)</f>
        <v>0</v>
      </c>
      <c r="AQ54" s="123">
        <f>SUM(AQ55:AQ71)</f>
        <v>0</v>
      </c>
      <c r="AR54" s="127">
        <f>SUM(AR55:AR71)</f>
        <v>0</v>
      </c>
      <c r="AS54" s="169">
        <f t="shared" ref="AS54:AS71" si="69">AR54/$AR$89</f>
        <v>0</v>
      </c>
      <c r="AT54" s="60"/>
      <c r="AU54" s="123">
        <f>SUM(AU55:AU71)</f>
        <v>0</v>
      </c>
      <c r="AV54" s="123">
        <f>SUM(AV55:AV71)</f>
        <v>0</v>
      </c>
      <c r="AW54" s="127">
        <f>SUM(AW55:AW71)</f>
        <v>0</v>
      </c>
      <c r="AX54" s="169">
        <f t="shared" ref="AX54:AX71" si="70">AW54/$AR$89</f>
        <v>0</v>
      </c>
      <c r="AY54" s="60"/>
      <c r="AZ54" s="1497">
        <f>SUM(AZ55:AZ71)</f>
        <v>0</v>
      </c>
      <c r="BA54" s="1497">
        <f>SUM(BA55:BA71)</f>
        <v>0</v>
      </c>
      <c r="BB54" s="1500">
        <f>SUM(BB55:BB71)</f>
        <v>0</v>
      </c>
      <c r="BC54" s="1888">
        <f t="shared" si="12"/>
        <v>0</v>
      </c>
      <c r="BD54" s="1446"/>
      <c r="BE54" s="123">
        <f>SUM(BE55:BE71)</f>
        <v>61194.07</v>
      </c>
      <c r="BF54" s="123">
        <f>SUM(BF55:BF71)</f>
        <v>38430.600000000006</v>
      </c>
      <c r="BG54" s="127">
        <f>SUM(BG55:BG71)</f>
        <v>99624.670000000013</v>
      </c>
      <c r="BH54" s="169" t="e">
        <f t="shared" ref="BH54:BH64" si="71">BG54/$N$89</f>
        <v>#DIV/0!</v>
      </c>
      <c r="BI54" s="60"/>
    </row>
    <row r="55" spans="1:61" ht="13.95" customHeight="1" outlineLevel="2">
      <c r="A55" s="237"/>
      <c r="B55" s="19" t="s">
        <v>77</v>
      </c>
      <c r="C55" s="113"/>
      <c r="D55" s="128"/>
      <c r="E55" s="120">
        <f t="shared" ref="E55:E71" si="72">C55+D55</f>
        <v>0</v>
      </c>
      <c r="F55" s="178">
        <f>E55/$E$89</f>
        <v>0</v>
      </c>
      <c r="G55" s="39">
        <v>0</v>
      </c>
      <c r="H55" s="39">
        <v>0</v>
      </c>
      <c r="I55" s="210">
        <f t="shared" ref="I55:I71" si="73">G55+H55*1</f>
        <v>0</v>
      </c>
      <c r="J55" s="178">
        <f t="shared" si="63"/>
        <v>0</v>
      </c>
      <c r="K55" s="79"/>
      <c r="L55" s="210"/>
      <c r="M55" s="210"/>
      <c r="N55" s="106">
        <f t="shared" ref="N55:N71" si="74">L55+M55*1</f>
        <v>0</v>
      </c>
      <c r="O55" s="178" t="e">
        <f t="shared" si="64"/>
        <v>#DIV/0!</v>
      </c>
      <c r="P55" s="79"/>
      <c r="Q55" s="210"/>
      <c r="R55" s="210"/>
      <c r="S55" s="106">
        <f t="shared" ref="S55:S71" si="75">Q55+R55*1</f>
        <v>0</v>
      </c>
      <c r="T55" s="178">
        <f t="shared" si="65"/>
        <v>0</v>
      </c>
      <c r="U55" s="79"/>
      <c r="V55" s="210"/>
      <c r="W55" s="210"/>
      <c r="X55" s="106">
        <f t="shared" ref="X55:X71" si="76">V55+W55*1</f>
        <v>0</v>
      </c>
      <c r="Y55" s="178">
        <f t="shared" si="66"/>
        <v>0</v>
      </c>
      <c r="Z55" s="79"/>
      <c r="AA55" s="210"/>
      <c r="AB55" s="210"/>
      <c r="AC55" s="106">
        <f t="shared" ref="AC55:AC71" si="77">AA55+AB55*1</f>
        <v>0</v>
      </c>
      <c r="AD55" s="178">
        <f t="shared" si="67"/>
        <v>0</v>
      </c>
      <c r="AE55" s="79"/>
      <c r="AF55" s="210"/>
      <c r="AG55" s="210"/>
      <c r="AH55" s="106">
        <f t="shared" ref="AH55:AH71" si="78">AF55+AG55*1</f>
        <v>0</v>
      </c>
      <c r="AI55" s="178">
        <f t="shared" si="68"/>
        <v>0</v>
      </c>
      <c r="AJ55" s="79"/>
      <c r="AK55" s="210"/>
      <c r="AL55" s="210"/>
      <c r="AM55" s="106">
        <f t="shared" ref="AM55:AM71" si="79">AK55+AL55*1</f>
        <v>0</v>
      </c>
      <c r="AN55" s="178">
        <f t="shared" si="9"/>
        <v>0</v>
      </c>
      <c r="AO55" s="79"/>
      <c r="AP55" s="210"/>
      <c r="AQ55" s="210"/>
      <c r="AR55" s="106">
        <f t="shared" ref="AR55:AR71" si="80">AP55+AQ55*1</f>
        <v>0</v>
      </c>
      <c r="AS55" s="178">
        <f t="shared" si="69"/>
        <v>0</v>
      </c>
      <c r="AT55" s="79"/>
      <c r="AU55" s="210"/>
      <c r="AV55" s="210"/>
      <c r="AW55" s="106">
        <f t="shared" ref="AW55:AW71" si="81">AU55+AV55*1</f>
        <v>0</v>
      </c>
      <c r="AX55" s="178">
        <f t="shared" si="70"/>
        <v>0</v>
      </c>
      <c r="AY55" s="79"/>
      <c r="AZ55" s="1552"/>
      <c r="BA55" s="1552"/>
      <c r="BB55" s="1480">
        <f t="shared" ref="BB55:BB71" si="82">AZ55+BA55*1</f>
        <v>0</v>
      </c>
      <c r="BC55" s="1877">
        <f t="shared" si="12"/>
        <v>0</v>
      </c>
      <c r="BD55" s="1927"/>
      <c r="BE55" s="39">
        <f t="shared" ref="BE55:BE71" si="83">G55+L55+Q55+V55+AA55+AF55+AK55+AP55+AU55</f>
        <v>0</v>
      </c>
      <c r="BF55" s="39">
        <f t="shared" ref="BF55:BF71" si="84">H55+M55+R55+W55+AB55+AG55+AL55+AQ55+AV55</f>
        <v>0</v>
      </c>
      <c r="BG55" s="106">
        <f t="shared" ref="BG55:BG71" si="85">BE55+BF55*1</f>
        <v>0</v>
      </c>
      <c r="BH55" s="178" t="e">
        <f t="shared" si="71"/>
        <v>#DIV/0!</v>
      </c>
      <c r="BI55" s="79"/>
    </row>
    <row r="56" spans="1:61" ht="13.95" customHeight="1" outlineLevel="2">
      <c r="A56" s="237"/>
      <c r="B56" s="19" t="s">
        <v>76</v>
      </c>
      <c r="C56" s="113"/>
      <c r="D56" s="128"/>
      <c r="E56" s="120">
        <f t="shared" si="72"/>
        <v>0</v>
      </c>
      <c r="F56" s="178">
        <f t="shared" ref="F56:F72" si="86">E56/$E$89</f>
        <v>0</v>
      </c>
      <c r="G56" s="39">
        <v>0</v>
      </c>
      <c r="H56" s="39">
        <v>0</v>
      </c>
      <c r="I56" s="210">
        <f t="shared" si="73"/>
        <v>0</v>
      </c>
      <c r="J56" s="178">
        <f t="shared" si="63"/>
        <v>0</v>
      </c>
      <c r="K56" s="79"/>
      <c r="L56" s="210"/>
      <c r="M56" s="210"/>
      <c r="N56" s="106">
        <f t="shared" si="74"/>
        <v>0</v>
      </c>
      <c r="O56" s="178" t="e">
        <f t="shared" si="64"/>
        <v>#DIV/0!</v>
      </c>
      <c r="P56" s="79"/>
      <c r="Q56" s="210"/>
      <c r="R56" s="210"/>
      <c r="S56" s="106">
        <f t="shared" si="75"/>
        <v>0</v>
      </c>
      <c r="T56" s="178">
        <f t="shared" si="65"/>
        <v>0</v>
      </c>
      <c r="U56" s="79"/>
      <c r="V56" s="210"/>
      <c r="W56" s="210"/>
      <c r="X56" s="106">
        <f t="shared" si="76"/>
        <v>0</v>
      </c>
      <c r="Y56" s="178">
        <f t="shared" si="66"/>
        <v>0</v>
      </c>
      <c r="Z56" s="79"/>
      <c r="AA56" s="210"/>
      <c r="AB56" s="210"/>
      <c r="AC56" s="106">
        <f t="shared" si="77"/>
        <v>0</v>
      </c>
      <c r="AD56" s="178">
        <f t="shared" si="67"/>
        <v>0</v>
      </c>
      <c r="AE56" s="79"/>
      <c r="AF56" s="210"/>
      <c r="AG56" s="210"/>
      <c r="AH56" s="106">
        <f t="shared" si="78"/>
        <v>0</v>
      </c>
      <c r="AI56" s="178">
        <f t="shared" si="68"/>
        <v>0</v>
      </c>
      <c r="AJ56" s="79"/>
      <c r="AK56" s="210"/>
      <c r="AL56" s="210"/>
      <c r="AM56" s="106">
        <f t="shared" si="79"/>
        <v>0</v>
      </c>
      <c r="AN56" s="178">
        <f t="shared" si="9"/>
        <v>0</v>
      </c>
      <c r="AO56" s="79"/>
      <c r="AP56" s="210"/>
      <c r="AQ56" s="210"/>
      <c r="AR56" s="106">
        <f t="shared" si="80"/>
        <v>0</v>
      </c>
      <c r="AS56" s="178">
        <f t="shared" si="69"/>
        <v>0</v>
      </c>
      <c r="AT56" s="79"/>
      <c r="AU56" s="210"/>
      <c r="AV56" s="210"/>
      <c r="AW56" s="106">
        <f t="shared" si="81"/>
        <v>0</v>
      </c>
      <c r="AX56" s="178">
        <f t="shared" si="70"/>
        <v>0</v>
      </c>
      <c r="AY56" s="79"/>
      <c r="AZ56" s="1552"/>
      <c r="BA56" s="1552"/>
      <c r="BB56" s="1480">
        <f t="shared" si="82"/>
        <v>0</v>
      </c>
      <c r="BC56" s="1877">
        <f t="shared" si="12"/>
        <v>0</v>
      </c>
      <c r="BD56" s="1927"/>
      <c r="BE56" s="39">
        <f t="shared" si="83"/>
        <v>0</v>
      </c>
      <c r="BF56" s="39">
        <f t="shared" si="84"/>
        <v>0</v>
      </c>
      <c r="BG56" s="106">
        <f t="shared" si="85"/>
        <v>0</v>
      </c>
      <c r="BH56" s="178" t="e">
        <f t="shared" si="71"/>
        <v>#DIV/0!</v>
      </c>
      <c r="BI56" s="79"/>
    </row>
    <row r="57" spans="1:61" ht="13.95" customHeight="1" outlineLevel="2">
      <c r="A57" s="237"/>
      <c r="B57" s="19" t="s">
        <v>68</v>
      </c>
      <c r="C57" s="113"/>
      <c r="D57" s="128"/>
      <c r="E57" s="120">
        <f t="shared" si="72"/>
        <v>0</v>
      </c>
      <c r="F57" s="178">
        <f t="shared" si="86"/>
        <v>0</v>
      </c>
      <c r="G57" s="39">
        <v>0</v>
      </c>
      <c r="H57" s="39">
        <v>0</v>
      </c>
      <c r="I57" s="210">
        <f t="shared" si="73"/>
        <v>0</v>
      </c>
      <c r="J57" s="178">
        <f t="shared" si="63"/>
        <v>0</v>
      </c>
      <c r="K57" s="79"/>
      <c r="L57" s="210"/>
      <c r="M57" s="210"/>
      <c r="N57" s="106">
        <f t="shared" si="74"/>
        <v>0</v>
      </c>
      <c r="O57" s="178" t="e">
        <f t="shared" si="64"/>
        <v>#DIV/0!</v>
      </c>
      <c r="P57" s="79"/>
      <c r="Q57" s="210"/>
      <c r="R57" s="210"/>
      <c r="S57" s="106">
        <f t="shared" si="75"/>
        <v>0</v>
      </c>
      <c r="T57" s="178">
        <f t="shared" si="65"/>
        <v>0</v>
      </c>
      <c r="U57" s="79"/>
      <c r="V57" s="210"/>
      <c r="W57" s="210"/>
      <c r="X57" s="106">
        <f t="shared" si="76"/>
        <v>0</v>
      </c>
      <c r="Y57" s="178">
        <f t="shared" si="66"/>
        <v>0</v>
      </c>
      <c r="Z57" s="79"/>
      <c r="AA57" s="210"/>
      <c r="AB57" s="210"/>
      <c r="AC57" s="106">
        <f t="shared" si="77"/>
        <v>0</v>
      </c>
      <c r="AD57" s="178">
        <f t="shared" si="67"/>
        <v>0</v>
      </c>
      <c r="AE57" s="79"/>
      <c r="AF57" s="210"/>
      <c r="AG57" s="210"/>
      <c r="AH57" s="106">
        <f t="shared" si="78"/>
        <v>0</v>
      </c>
      <c r="AI57" s="178">
        <f t="shared" si="68"/>
        <v>0</v>
      </c>
      <c r="AJ57" s="79"/>
      <c r="AK57" s="210"/>
      <c r="AL57" s="210"/>
      <c r="AM57" s="106">
        <f t="shared" si="79"/>
        <v>0</v>
      </c>
      <c r="AN57" s="178">
        <f t="shared" si="9"/>
        <v>0</v>
      </c>
      <c r="AO57" s="79"/>
      <c r="AP57" s="210"/>
      <c r="AQ57" s="210"/>
      <c r="AR57" s="106">
        <f t="shared" si="80"/>
        <v>0</v>
      </c>
      <c r="AS57" s="178">
        <f t="shared" si="69"/>
        <v>0</v>
      </c>
      <c r="AT57" s="79"/>
      <c r="AU57" s="210"/>
      <c r="AV57" s="210"/>
      <c r="AW57" s="106">
        <f t="shared" si="81"/>
        <v>0</v>
      </c>
      <c r="AX57" s="178">
        <f t="shared" si="70"/>
        <v>0</v>
      </c>
      <c r="AY57" s="79"/>
      <c r="AZ57" s="1552"/>
      <c r="BA57" s="1552"/>
      <c r="BB57" s="1480">
        <f t="shared" si="82"/>
        <v>0</v>
      </c>
      <c r="BC57" s="1877">
        <f t="shared" si="12"/>
        <v>0</v>
      </c>
      <c r="BD57" s="1927"/>
      <c r="BE57" s="39">
        <f t="shared" si="83"/>
        <v>0</v>
      </c>
      <c r="BF57" s="39">
        <f t="shared" si="84"/>
        <v>0</v>
      </c>
      <c r="BG57" s="106">
        <f t="shared" si="85"/>
        <v>0</v>
      </c>
      <c r="BH57" s="178" t="e">
        <f t="shared" si="71"/>
        <v>#DIV/0!</v>
      </c>
      <c r="BI57" s="79"/>
    </row>
    <row r="58" spans="1:61" ht="14.4" customHeight="1" outlineLevel="2">
      <c r="A58" s="237"/>
      <c r="B58" s="19" t="s">
        <v>67</v>
      </c>
      <c r="C58" s="113">
        <v>10465</v>
      </c>
      <c r="D58" s="128">
        <v>20165</v>
      </c>
      <c r="E58" s="120">
        <f t="shared" si="72"/>
        <v>30630</v>
      </c>
      <c r="F58" s="178">
        <f t="shared" si="86"/>
        <v>2.0297242278698432E-2</v>
      </c>
      <c r="G58" s="39">
        <v>23155.83</v>
      </c>
      <c r="H58" s="39">
        <v>30843.5</v>
      </c>
      <c r="I58" s="210">
        <f t="shared" si="73"/>
        <v>53999.33</v>
      </c>
      <c r="J58" s="178">
        <f t="shared" si="63"/>
        <v>4.1038546085401556E-2</v>
      </c>
      <c r="K58" s="79"/>
      <c r="L58" s="210"/>
      <c r="M58" s="210"/>
      <c r="N58" s="106">
        <f t="shared" si="74"/>
        <v>0</v>
      </c>
      <c r="O58" s="178" t="e">
        <f t="shared" si="64"/>
        <v>#DIV/0!</v>
      </c>
      <c r="P58" s="79"/>
      <c r="Q58" s="210"/>
      <c r="R58" s="210"/>
      <c r="S58" s="106">
        <f t="shared" si="75"/>
        <v>0</v>
      </c>
      <c r="T58" s="178">
        <f t="shared" si="65"/>
        <v>0</v>
      </c>
      <c r="U58" s="79"/>
      <c r="V58" s="210"/>
      <c r="W58" s="210"/>
      <c r="X58" s="106">
        <f t="shared" si="76"/>
        <v>0</v>
      </c>
      <c r="Y58" s="178">
        <f t="shared" si="66"/>
        <v>0</v>
      </c>
      <c r="Z58" s="79"/>
      <c r="AA58" s="210"/>
      <c r="AB58" s="210"/>
      <c r="AC58" s="106">
        <f t="shared" si="77"/>
        <v>0</v>
      </c>
      <c r="AD58" s="178">
        <f t="shared" si="67"/>
        <v>0</v>
      </c>
      <c r="AE58" s="79"/>
      <c r="AF58" s="210"/>
      <c r="AG58" s="210"/>
      <c r="AH58" s="106">
        <f t="shared" si="78"/>
        <v>0</v>
      </c>
      <c r="AI58" s="178">
        <f t="shared" si="68"/>
        <v>0</v>
      </c>
      <c r="AJ58" s="79"/>
      <c r="AK58" s="210"/>
      <c r="AL58" s="210"/>
      <c r="AM58" s="106">
        <f t="shared" si="79"/>
        <v>0</v>
      </c>
      <c r="AN58" s="178">
        <f t="shared" si="9"/>
        <v>0</v>
      </c>
      <c r="AO58" s="79"/>
      <c r="AP58" s="210"/>
      <c r="AQ58" s="210"/>
      <c r="AR58" s="106">
        <f t="shared" si="80"/>
        <v>0</v>
      </c>
      <c r="AS58" s="178">
        <f t="shared" si="69"/>
        <v>0</v>
      </c>
      <c r="AT58" s="79"/>
      <c r="AU58" s="210"/>
      <c r="AV58" s="210"/>
      <c r="AW58" s="106">
        <f t="shared" si="81"/>
        <v>0</v>
      </c>
      <c r="AX58" s="178">
        <f t="shared" si="70"/>
        <v>0</v>
      </c>
      <c r="AY58" s="79"/>
      <c r="AZ58" s="1552"/>
      <c r="BA58" s="1552"/>
      <c r="BB58" s="1480">
        <f t="shared" si="82"/>
        <v>0</v>
      </c>
      <c r="BC58" s="1877">
        <f t="shared" si="12"/>
        <v>0</v>
      </c>
      <c r="BD58" s="1927"/>
      <c r="BE58" s="39">
        <f t="shared" si="83"/>
        <v>23155.83</v>
      </c>
      <c r="BF58" s="39">
        <f t="shared" si="84"/>
        <v>30843.5</v>
      </c>
      <c r="BG58" s="106">
        <f t="shared" si="85"/>
        <v>53999.33</v>
      </c>
      <c r="BH58" s="178" t="e">
        <f t="shared" si="71"/>
        <v>#DIV/0!</v>
      </c>
      <c r="BI58" s="79"/>
    </row>
    <row r="59" spans="1:61" ht="14.4" customHeight="1" outlineLevel="2">
      <c r="A59" s="237"/>
      <c r="B59" s="19" t="s">
        <v>66</v>
      </c>
      <c r="C59" s="113">
        <v>2860</v>
      </c>
      <c r="D59" s="128"/>
      <c r="E59" s="120">
        <f t="shared" si="72"/>
        <v>2860</v>
      </c>
      <c r="F59" s="178">
        <f t="shared" si="86"/>
        <v>1.8952044700319137E-3</v>
      </c>
      <c r="G59" s="39">
        <v>5609.8</v>
      </c>
      <c r="H59" s="39">
        <v>0</v>
      </c>
      <c r="I59" s="210">
        <f t="shared" si="73"/>
        <v>5609.8</v>
      </c>
      <c r="J59" s="178">
        <f t="shared" si="63"/>
        <v>4.2633498569312929E-3</v>
      </c>
      <c r="K59" s="79"/>
      <c r="L59" s="210"/>
      <c r="M59" s="210"/>
      <c r="N59" s="106">
        <f t="shared" si="74"/>
        <v>0</v>
      </c>
      <c r="O59" s="178" t="e">
        <f t="shared" si="64"/>
        <v>#DIV/0!</v>
      </c>
      <c r="P59" s="79"/>
      <c r="Q59" s="210"/>
      <c r="R59" s="210"/>
      <c r="S59" s="106">
        <f t="shared" si="75"/>
        <v>0</v>
      </c>
      <c r="T59" s="178">
        <f t="shared" si="65"/>
        <v>0</v>
      </c>
      <c r="U59" s="79"/>
      <c r="V59" s="210"/>
      <c r="W59" s="210"/>
      <c r="X59" s="106">
        <f t="shared" si="76"/>
        <v>0</v>
      </c>
      <c r="Y59" s="178">
        <f t="shared" si="66"/>
        <v>0</v>
      </c>
      <c r="Z59" s="79"/>
      <c r="AA59" s="210"/>
      <c r="AB59" s="210"/>
      <c r="AC59" s="106">
        <f t="shared" si="77"/>
        <v>0</v>
      </c>
      <c r="AD59" s="178">
        <f t="shared" si="67"/>
        <v>0</v>
      </c>
      <c r="AE59" s="79"/>
      <c r="AF59" s="210"/>
      <c r="AG59" s="210"/>
      <c r="AH59" s="106">
        <f t="shared" si="78"/>
        <v>0</v>
      </c>
      <c r="AI59" s="178">
        <f t="shared" si="68"/>
        <v>0</v>
      </c>
      <c r="AJ59" s="79"/>
      <c r="AK59" s="210"/>
      <c r="AL59" s="210"/>
      <c r="AM59" s="106">
        <f t="shared" si="79"/>
        <v>0</v>
      </c>
      <c r="AN59" s="178">
        <f t="shared" si="9"/>
        <v>0</v>
      </c>
      <c r="AO59" s="79"/>
      <c r="AP59" s="210"/>
      <c r="AQ59" s="210"/>
      <c r="AR59" s="106">
        <f t="shared" si="80"/>
        <v>0</v>
      </c>
      <c r="AS59" s="178">
        <f t="shared" si="69"/>
        <v>0</v>
      </c>
      <c r="AT59" s="79"/>
      <c r="AU59" s="210"/>
      <c r="AV59" s="210"/>
      <c r="AW59" s="106">
        <f t="shared" si="81"/>
        <v>0</v>
      </c>
      <c r="AX59" s="178">
        <f t="shared" si="70"/>
        <v>0</v>
      </c>
      <c r="AY59" s="79"/>
      <c r="AZ59" s="1552"/>
      <c r="BA59" s="1552"/>
      <c r="BB59" s="1480">
        <f t="shared" si="82"/>
        <v>0</v>
      </c>
      <c r="BC59" s="1877">
        <f t="shared" si="12"/>
        <v>0</v>
      </c>
      <c r="BD59" s="1927"/>
      <c r="BE59" s="39">
        <f t="shared" si="83"/>
        <v>5609.8</v>
      </c>
      <c r="BF59" s="39">
        <f t="shared" si="84"/>
        <v>0</v>
      </c>
      <c r="BG59" s="106">
        <f t="shared" si="85"/>
        <v>5609.8</v>
      </c>
      <c r="BH59" s="178" t="e">
        <f t="shared" si="71"/>
        <v>#DIV/0!</v>
      </c>
      <c r="BI59" s="79"/>
    </row>
    <row r="60" spans="1:61" ht="14.4" customHeight="1" outlineLevel="2">
      <c r="A60" s="237"/>
      <c r="B60" s="19" t="s">
        <v>65</v>
      </c>
      <c r="C60" s="113">
        <v>2535</v>
      </c>
      <c r="D60" s="128"/>
      <c r="E60" s="120">
        <f t="shared" si="72"/>
        <v>2535</v>
      </c>
      <c r="F60" s="178">
        <f t="shared" si="86"/>
        <v>1.6798403257101053E-3</v>
      </c>
      <c r="G60" s="39">
        <v>6328.4400000000005</v>
      </c>
      <c r="H60" s="39">
        <v>0</v>
      </c>
      <c r="I60" s="210">
        <f t="shared" si="73"/>
        <v>6328.4400000000005</v>
      </c>
      <c r="J60" s="178">
        <f t="shared" si="63"/>
        <v>4.8095036843734664E-3</v>
      </c>
      <c r="K60" s="79"/>
      <c r="L60" s="210"/>
      <c r="M60" s="210"/>
      <c r="N60" s="106">
        <f t="shared" si="74"/>
        <v>0</v>
      </c>
      <c r="O60" s="178" t="e">
        <f t="shared" si="64"/>
        <v>#DIV/0!</v>
      </c>
      <c r="P60" s="79"/>
      <c r="Q60" s="210"/>
      <c r="R60" s="210"/>
      <c r="S60" s="106">
        <f t="shared" si="75"/>
        <v>0</v>
      </c>
      <c r="T60" s="178">
        <f t="shared" si="65"/>
        <v>0</v>
      </c>
      <c r="U60" s="79"/>
      <c r="V60" s="210"/>
      <c r="W60" s="210"/>
      <c r="X60" s="106">
        <f t="shared" si="76"/>
        <v>0</v>
      </c>
      <c r="Y60" s="178">
        <f t="shared" si="66"/>
        <v>0</v>
      </c>
      <c r="Z60" s="79"/>
      <c r="AA60" s="210"/>
      <c r="AB60" s="210"/>
      <c r="AC60" s="106">
        <f t="shared" si="77"/>
        <v>0</v>
      </c>
      <c r="AD60" s="178">
        <f t="shared" si="67"/>
        <v>0</v>
      </c>
      <c r="AE60" s="79"/>
      <c r="AF60" s="210"/>
      <c r="AG60" s="210"/>
      <c r="AH60" s="106">
        <f t="shared" si="78"/>
        <v>0</v>
      </c>
      <c r="AI60" s="178">
        <f t="shared" si="68"/>
        <v>0</v>
      </c>
      <c r="AJ60" s="79"/>
      <c r="AK60" s="210"/>
      <c r="AL60" s="210"/>
      <c r="AM60" s="106">
        <f t="shared" si="79"/>
        <v>0</v>
      </c>
      <c r="AN60" s="178">
        <f t="shared" si="9"/>
        <v>0</v>
      </c>
      <c r="AO60" s="79"/>
      <c r="AP60" s="210"/>
      <c r="AQ60" s="210"/>
      <c r="AR60" s="106">
        <f t="shared" si="80"/>
        <v>0</v>
      </c>
      <c r="AS60" s="178">
        <f t="shared" si="69"/>
        <v>0</v>
      </c>
      <c r="AT60" s="79"/>
      <c r="AU60" s="210"/>
      <c r="AV60" s="210"/>
      <c r="AW60" s="106">
        <f t="shared" si="81"/>
        <v>0</v>
      </c>
      <c r="AX60" s="178">
        <f t="shared" si="70"/>
        <v>0</v>
      </c>
      <c r="AY60" s="79"/>
      <c r="AZ60" s="1552"/>
      <c r="BA60" s="1552"/>
      <c r="BB60" s="1480">
        <f t="shared" si="82"/>
        <v>0</v>
      </c>
      <c r="BC60" s="1877">
        <f t="shared" si="12"/>
        <v>0</v>
      </c>
      <c r="BD60" s="1927"/>
      <c r="BE60" s="39">
        <f t="shared" si="83"/>
        <v>6328.4400000000005</v>
      </c>
      <c r="BF60" s="39">
        <f t="shared" si="84"/>
        <v>0</v>
      </c>
      <c r="BG60" s="106">
        <f t="shared" si="85"/>
        <v>6328.4400000000005</v>
      </c>
      <c r="BH60" s="178" t="e">
        <f t="shared" si="71"/>
        <v>#DIV/0!</v>
      </c>
      <c r="BI60" s="79"/>
    </row>
    <row r="61" spans="1:61" ht="13.95" customHeight="1" outlineLevel="2">
      <c r="A61" s="237"/>
      <c r="B61" s="19" t="s">
        <v>32</v>
      </c>
      <c r="C61" s="113"/>
      <c r="D61" s="128"/>
      <c r="E61" s="120">
        <f t="shared" si="72"/>
        <v>0</v>
      </c>
      <c r="F61" s="178">
        <f t="shared" si="86"/>
        <v>0</v>
      </c>
      <c r="G61" s="39">
        <v>0</v>
      </c>
      <c r="H61" s="39">
        <v>0</v>
      </c>
      <c r="I61" s="210">
        <f t="shared" si="73"/>
        <v>0</v>
      </c>
      <c r="J61" s="178">
        <f t="shared" si="63"/>
        <v>0</v>
      </c>
      <c r="K61" s="79"/>
      <c r="L61" s="210"/>
      <c r="M61" s="210"/>
      <c r="N61" s="106">
        <f t="shared" si="74"/>
        <v>0</v>
      </c>
      <c r="O61" s="178" t="e">
        <f t="shared" si="64"/>
        <v>#DIV/0!</v>
      </c>
      <c r="P61" s="79"/>
      <c r="Q61" s="210"/>
      <c r="R61" s="210"/>
      <c r="S61" s="106">
        <f t="shared" si="75"/>
        <v>0</v>
      </c>
      <c r="T61" s="178">
        <f t="shared" si="65"/>
        <v>0</v>
      </c>
      <c r="U61" s="79"/>
      <c r="V61" s="210"/>
      <c r="W61" s="210"/>
      <c r="X61" s="106">
        <f t="shared" si="76"/>
        <v>0</v>
      </c>
      <c r="Y61" s="178">
        <f t="shared" si="66"/>
        <v>0</v>
      </c>
      <c r="Z61" s="79"/>
      <c r="AA61" s="210"/>
      <c r="AB61" s="210"/>
      <c r="AC61" s="106">
        <f t="shared" si="77"/>
        <v>0</v>
      </c>
      <c r="AD61" s="178">
        <f t="shared" si="67"/>
        <v>0</v>
      </c>
      <c r="AE61" s="79"/>
      <c r="AF61" s="210"/>
      <c r="AG61" s="210"/>
      <c r="AH61" s="106">
        <f t="shared" si="78"/>
        <v>0</v>
      </c>
      <c r="AI61" s="178">
        <f t="shared" si="68"/>
        <v>0</v>
      </c>
      <c r="AJ61" s="79"/>
      <c r="AK61" s="210"/>
      <c r="AL61" s="210"/>
      <c r="AM61" s="106">
        <f t="shared" si="79"/>
        <v>0</v>
      </c>
      <c r="AN61" s="178">
        <f t="shared" si="9"/>
        <v>0</v>
      </c>
      <c r="AO61" s="79"/>
      <c r="AP61" s="210"/>
      <c r="AQ61" s="210"/>
      <c r="AR61" s="106">
        <f t="shared" si="80"/>
        <v>0</v>
      </c>
      <c r="AS61" s="178">
        <f t="shared" si="69"/>
        <v>0</v>
      </c>
      <c r="AT61" s="79"/>
      <c r="AU61" s="210"/>
      <c r="AV61" s="210"/>
      <c r="AW61" s="106">
        <f t="shared" si="81"/>
        <v>0</v>
      </c>
      <c r="AX61" s="178">
        <f t="shared" si="70"/>
        <v>0</v>
      </c>
      <c r="AY61" s="79"/>
      <c r="AZ61" s="1552"/>
      <c r="BA61" s="1552"/>
      <c r="BB61" s="1480">
        <f t="shared" si="82"/>
        <v>0</v>
      </c>
      <c r="BC61" s="1877">
        <f t="shared" si="12"/>
        <v>0</v>
      </c>
      <c r="BD61" s="1927"/>
      <c r="BE61" s="39">
        <f t="shared" si="83"/>
        <v>0</v>
      </c>
      <c r="BF61" s="39">
        <f t="shared" si="84"/>
        <v>0</v>
      </c>
      <c r="BG61" s="106">
        <f t="shared" si="85"/>
        <v>0</v>
      </c>
      <c r="BH61" s="178" t="e">
        <f t="shared" si="71"/>
        <v>#DIV/0!</v>
      </c>
      <c r="BI61" s="79"/>
    </row>
    <row r="62" spans="1:61" ht="30.6" customHeight="1" outlineLevel="2">
      <c r="A62" s="237"/>
      <c r="B62" s="19" t="s">
        <v>33</v>
      </c>
      <c r="C62" s="129"/>
      <c r="D62" s="128"/>
      <c r="E62" s="120">
        <f t="shared" si="72"/>
        <v>0</v>
      </c>
      <c r="F62" s="178">
        <f t="shared" si="86"/>
        <v>0</v>
      </c>
      <c r="G62" s="39">
        <v>0</v>
      </c>
      <c r="H62" s="39">
        <v>250</v>
      </c>
      <c r="I62" s="210">
        <f t="shared" si="73"/>
        <v>250</v>
      </c>
      <c r="J62" s="178">
        <f t="shared" si="63"/>
        <v>1.8999562626703683E-4</v>
      </c>
      <c r="K62" s="79"/>
      <c r="L62" s="210"/>
      <c r="M62" s="210"/>
      <c r="N62" s="106">
        <f t="shared" si="74"/>
        <v>0</v>
      </c>
      <c r="O62" s="178" t="e">
        <f t="shared" si="64"/>
        <v>#DIV/0!</v>
      </c>
      <c r="P62" s="79"/>
      <c r="Q62" s="210"/>
      <c r="R62" s="210"/>
      <c r="S62" s="106">
        <f t="shared" si="75"/>
        <v>0</v>
      </c>
      <c r="T62" s="178">
        <f t="shared" si="65"/>
        <v>0</v>
      </c>
      <c r="U62" s="79"/>
      <c r="V62" s="210"/>
      <c r="W62" s="210"/>
      <c r="X62" s="106">
        <f t="shared" si="76"/>
        <v>0</v>
      </c>
      <c r="Y62" s="178">
        <f t="shared" si="66"/>
        <v>0</v>
      </c>
      <c r="Z62" s="79"/>
      <c r="AA62" s="210"/>
      <c r="AB62" s="210"/>
      <c r="AC62" s="106">
        <f t="shared" si="77"/>
        <v>0</v>
      </c>
      <c r="AD62" s="178">
        <f t="shared" si="67"/>
        <v>0</v>
      </c>
      <c r="AE62" s="79"/>
      <c r="AF62" s="210"/>
      <c r="AG62" s="210"/>
      <c r="AH62" s="106">
        <f t="shared" si="78"/>
        <v>0</v>
      </c>
      <c r="AI62" s="178">
        <f t="shared" si="68"/>
        <v>0</v>
      </c>
      <c r="AJ62" s="79"/>
      <c r="AK62" s="210"/>
      <c r="AL62" s="210"/>
      <c r="AM62" s="106">
        <f t="shared" si="79"/>
        <v>0</v>
      </c>
      <c r="AN62" s="178">
        <f t="shared" si="9"/>
        <v>0</v>
      </c>
      <c r="AO62" s="79"/>
      <c r="AP62" s="210"/>
      <c r="AQ62" s="210"/>
      <c r="AR62" s="106">
        <f t="shared" si="80"/>
        <v>0</v>
      </c>
      <c r="AS62" s="178">
        <f t="shared" si="69"/>
        <v>0</v>
      </c>
      <c r="AT62" s="79"/>
      <c r="AU62" s="210"/>
      <c r="AV62" s="210"/>
      <c r="AW62" s="106">
        <f t="shared" si="81"/>
        <v>0</v>
      </c>
      <c r="AX62" s="178">
        <f t="shared" si="70"/>
        <v>0</v>
      </c>
      <c r="AY62" s="79"/>
      <c r="AZ62" s="1552"/>
      <c r="BA62" s="1552"/>
      <c r="BB62" s="1480">
        <f t="shared" si="82"/>
        <v>0</v>
      </c>
      <c r="BC62" s="1877">
        <f t="shared" si="12"/>
        <v>0</v>
      </c>
      <c r="BD62" s="1927"/>
      <c r="BE62" s="39">
        <f t="shared" si="83"/>
        <v>0</v>
      </c>
      <c r="BF62" s="39">
        <f t="shared" si="84"/>
        <v>250</v>
      </c>
      <c r="BG62" s="106">
        <f t="shared" si="85"/>
        <v>250</v>
      </c>
      <c r="BH62" s="178" t="e">
        <f t="shared" si="71"/>
        <v>#DIV/0!</v>
      </c>
      <c r="BI62" s="79"/>
    </row>
    <row r="63" spans="1:61" ht="31.95" customHeight="1" outlineLevel="2">
      <c r="A63" s="237"/>
      <c r="B63" s="19" t="s">
        <v>35</v>
      </c>
      <c r="C63" s="129"/>
      <c r="D63" s="128"/>
      <c r="E63" s="120">
        <f t="shared" si="72"/>
        <v>0</v>
      </c>
      <c r="F63" s="178">
        <f t="shared" si="86"/>
        <v>0</v>
      </c>
      <c r="G63" s="39">
        <v>0</v>
      </c>
      <c r="H63" s="39">
        <v>0</v>
      </c>
      <c r="I63" s="210">
        <f t="shared" si="73"/>
        <v>0</v>
      </c>
      <c r="J63" s="178">
        <f t="shared" si="63"/>
        <v>0</v>
      </c>
      <c r="K63" s="79"/>
      <c r="L63" s="210"/>
      <c r="M63" s="210"/>
      <c r="N63" s="106">
        <f t="shared" si="74"/>
        <v>0</v>
      </c>
      <c r="O63" s="178" t="e">
        <f t="shared" si="64"/>
        <v>#DIV/0!</v>
      </c>
      <c r="P63" s="79"/>
      <c r="Q63" s="210"/>
      <c r="R63" s="210"/>
      <c r="S63" s="106">
        <f t="shared" si="75"/>
        <v>0</v>
      </c>
      <c r="T63" s="178">
        <f t="shared" si="65"/>
        <v>0</v>
      </c>
      <c r="U63" s="79"/>
      <c r="V63" s="210"/>
      <c r="W63" s="210"/>
      <c r="X63" s="106">
        <f t="shared" si="76"/>
        <v>0</v>
      </c>
      <c r="Y63" s="178">
        <f t="shared" si="66"/>
        <v>0</v>
      </c>
      <c r="Z63" s="79"/>
      <c r="AA63" s="210"/>
      <c r="AB63" s="210"/>
      <c r="AC63" s="106">
        <f t="shared" si="77"/>
        <v>0</v>
      </c>
      <c r="AD63" s="178">
        <f t="shared" si="67"/>
        <v>0</v>
      </c>
      <c r="AE63" s="79"/>
      <c r="AF63" s="210"/>
      <c r="AG63" s="210"/>
      <c r="AH63" s="106">
        <f t="shared" si="78"/>
        <v>0</v>
      </c>
      <c r="AI63" s="178">
        <f t="shared" si="68"/>
        <v>0</v>
      </c>
      <c r="AJ63" s="79"/>
      <c r="AK63" s="210"/>
      <c r="AL63" s="210"/>
      <c r="AM63" s="106">
        <f t="shared" si="79"/>
        <v>0</v>
      </c>
      <c r="AN63" s="178">
        <f t="shared" si="9"/>
        <v>0</v>
      </c>
      <c r="AO63" s="79"/>
      <c r="AP63" s="210"/>
      <c r="AQ63" s="210"/>
      <c r="AR63" s="106">
        <f t="shared" si="80"/>
        <v>0</v>
      </c>
      <c r="AS63" s="178">
        <f t="shared" si="69"/>
        <v>0</v>
      </c>
      <c r="AT63" s="79"/>
      <c r="AU63" s="210"/>
      <c r="AV63" s="210"/>
      <c r="AW63" s="106">
        <f t="shared" si="81"/>
        <v>0</v>
      </c>
      <c r="AX63" s="178">
        <f t="shared" si="70"/>
        <v>0</v>
      </c>
      <c r="AY63" s="79"/>
      <c r="AZ63" s="1552"/>
      <c r="BA63" s="1552"/>
      <c r="BB63" s="1480">
        <f t="shared" si="82"/>
        <v>0</v>
      </c>
      <c r="BC63" s="1877">
        <f t="shared" si="12"/>
        <v>0</v>
      </c>
      <c r="BD63" s="1927"/>
      <c r="BE63" s="39">
        <f t="shared" si="83"/>
        <v>0</v>
      </c>
      <c r="BF63" s="39">
        <f t="shared" si="84"/>
        <v>0</v>
      </c>
      <c r="BG63" s="106">
        <f t="shared" si="85"/>
        <v>0</v>
      </c>
      <c r="BH63" s="178" t="e">
        <f t="shared" si="71"/>
        <v>#DIV/0!</v>
      </c>
      <c r="BI63" s="79"/>
    </row>
    <row r="64" spans="1:61" ht="31.2" customHeight="1" outlineLevel="2">
      <c r="A64" s="237"/>
      <c r="B64" s="19" t="s">
        <v>63</v>
      </c>
      <c r="C64" s="129"/>
      <c r="D64" s="128"/>
      <c r="E64" s="120">
        <f t="shared" si="72"/>
        <v>0</v>
      </c>
      <c r="F64" s="178">
        <f t="shared" si="86"/>
        <v>0</v>
      </c>
      <c r="G64" s="39">
        <v>0</v>
      </c>
      <c r="H64" s="39">
        <v>0</v>
      </c>
      <c r="I64" s="210">
        <f t="shared" si="73"/>
        <v>0</v>
      </c>
      <c r="J64" s="178">
        <f t="shared" si="63"/>
        <v>0</v>
      </c>
      <c r="K64" s="79"/>
      <c r="L64" s="210"/>
      <c r="M64" s="210"/>
      <c r="N64" s="106">
        <f t="shared" si="74"/>
        <v>0</v>
      </c>
      <c r="O64" s="178" t="e">
        <f t="shared" si="64"/>
        <v>#DIV/0!</v>
      </c>
      <c r="P64" s="79"/>
      <c r="Q64" s="210"/>
      <c r="R64" s="210"/>
      <c r="S64" s="106">
        <f t="shared" si="75"/>
        <v>0</v>
      </c>
      <c r="T64" s="178">
        <f t="shared" si="65"/>
        <v>0</v>
      </c>
      <c r="U64" s="79"/>
      <c r="V64" s="210"/>
      <c r="W64" s="210"/>
      <c r="X64" s="106">
        <f t="shared" si="76"/>
        <v>0</v>
      </c>
      <c r="Y64" s="178">
        <f t="shared" si="66"/>
        <v>0</v>
      </c>
      <c r="Z64" s="79"/>
      <c r="AA64" s="210"/>
      <c r="AB64" s="210"/>
      <c r="AC64" s="106">
        <f t="shared" si="77"/>
        <v>0</v>
      </c>
      <c r="AD64" s="178">
        <f t="shared" si="67"/>
        <v>0</v>
      </c>
      <c r="AE64" s="79"/>
      <c r="AF64" s="210"/>
      <c r="AG64" s="210"/>
      <c r="AH64" s="106">
        <f t="shared" si="78"/>
        <v>0</v>
      </c>
      <c r="AI64" s="178">
        <f t="shared" si="68"/>
        <v>0</v>
      </c>
      <c r="AJ64" s="79"/>
      <c r="AK64" s="210"/>
      <c r="AL64" s="210"/>
      <c r="AM64" s="106">
        <f t="shared" si="79"/>
        <v>0</v>
      </c>
      <c r="AN64" s="178">
        <f t="shared" si="9"/>
        <v>0</v>
      </c>
      <c r="AO64" s="79"/>
      <c r="AP64" s="210"/>
      <c r="AQ64" s="210"/>
      <c r="AR64" s="106">
        <f t="shared" si="80"/>
        <v>0</v>
      </c>
      <c r="AS64" s="178">
        <f t="shared" si="69"/>
        <v>0</v>
      </c>
      <c r="AT64" s="79"/>
      <c r="AU64" s="210"/>
      <c r="AV64" s="210"/>
      <c r="AW64" s="106">
        <f t="shared" si="81"/>
        <v>0</v>
      </c>
      <c r="AX64" s="178">
        <f t="shared" si="70"/>
        <v>0</v>
      </c>
      <c r="AY64" s="79"/>
      <c r="AZ64" s="1552"/>
      <c r="BA64" s="1552"/>
      <c r="BB64" s="1480">
        <f t="shared" si="82"/>
        <v>0</v>
      </c>
      <c r="BC64" s="1877">
        <f t="shared" si="12"/>
        <v>0</v>
      </c>
      <c r="BD64" s="1927"/>
      <c r="BE64" s="39">
        <f t="shared" si="83"/>
        <v>0</v>
      </c>
      <c r="BF64" s="39">
        <f t="shared" si="84"/>
        <v>0</v>
      </c>
      <c r="BG64" s="106">
        <f t="shared" si="85"/>
        <v>0</v>
      </c>
      <c r="BH64" s="178" t="e">
        <f t="shared" si="71"/>
        <v>#DIV/0!</v>
      </c>
      <c r="BI64" s="79"/>
    </row>
    <row r="65" spans="1:61" ht="93" customHeight="1" outlineLevel="2">
      <c r="A65" s="237"/>
      <c r="B65" s="19" t="s">
        <v>36</v>
      </c>
      <c r="C65" s="129"/>
      <c r="D65" s="128"/>
      <c r="E65" s="120">
        <f t="shared" si="72"/>
        <v>0</v>
      </c>
      <c r="F65" s="178">
        <f t="shared" si="86"/>
        <v>0</v>
      </c>
      <c r="G65" s="39">
        <v>0</v>
      </c>
      <c r="H65" s="39">
        <v>3466.91</v>
      </c>
      <c r="I65" s="210">
        <f t="shared" si="73"/>
        <v>3466.91</v>
      </c>
      <c r="J65" s="178">
        <f t="shared" si="63"/>
        <v>2.6347909466458105E-3</v>
      </c>
      <c r="K65" s="79"/>
      <c r="L65" s="39"/>
      <c r="M65" s="39"/>
      <c r="N65" s="106">
        <f t="shared" si="74"/>
        <v>0</v>
      </c>
      <c r="O65" s="178" t="e">
        <f>N65/$N$89</f>
        <v>#DIV/0!</v>
      </c>
      <c r="P65" s="79"/>
      <c r="Q65" s="39">
        <v>200</v>
      </c>
      <c r="R65" s="39">
        <v>520</v>
      </c>
      <c r="S65" s="106">
        <f t="shared" si="75"/>
        <v>720</v>
      </c>
      <c r="T65" s="178">
        <f t="shared" si="65"/>
        <v>2.043296456726201E-2</v>
      </c>
      <c r="U65" s="79" t="s">
        <v>470</v>
      </c>
      <c r="V65" s="210"/>
      <c r="W65" s="210"/>
      <c r="X65" s="106">
        <f t="shared" si="76"/>
        <v>0</v>
      </c>
      <c r="Y65" s="178">
        <f t="shared" si="66"/>
        <v>0</v>
      </c>
      <c r="Z65" s="79"/>
      <c r="AA65" s="210"/>
      <c r="AB65" s="210"/>
      <c r="AC65" s="106">
        <f t="shared" si="77"/>
        <v>0</v>
      </c>
      <c r="AD65" s="178">
        <f t="shared" si="67"/>
        <v>0</v>
      </c>
      <c r="AE65" s="79"/>
      <c r="AF65" s="210">
        <v>400</v>
      </c>
      <c r="AG65" s="210">
        <v>680</v>
      </c>
      <c r="AH65" s="106">
        <f t="shared" si="78"/>
        <v>1080</v>
      </c>
      <c r="AI65" s="178">
        <f t="shared" si="68"/>
        <v>2.0294554411072134E-2</v>
      </c>
      <c r="AJ65" s="389" t="s">
        <v>886</v>
      </c>
      <c r="AK65" s="210"/>
      <c r="AL65" s="210"/>
      <c r="AM65" s="106">
        <f t="shared" si="79"/>
        <v>0</v>
      </c>
      <c r="AN65" s="178">
        <f t="shared" si="9"/>
        <v>0</v>
      </c>
      <c r="AO65" s="389"/>
      <c r="AP65" s="210"/>
      <c r="AQ65" s="210"/>
      <c r="AR65" s="106">
        <f t="shared" si="80"/>
        <v>0</v>
      </c>
      <c r="AS65" s="178">
        <f t="shared" si="69"/>
        <v>0</v>
      </c>
      <c r="AT65" s="389"/>
      <c r="AU65" s="210"/>
      <c r="AV65" s="210"/>
      <c r="AW65" s="106">
        <f t="shared" si="81"/>
        <v>0</v>
      </c>
      <c r="AX65" s="178">
        <f t="shared" si="70"/>
        <v>0</v>
      </c>
      <c r="AY65" s="389"/>
      <c r="AZ65" s="1552"/>
      <c r="BA65" s="1552"/>
      <c r="BB65" s="1480">
        <f t="shared" si="82"/>
        <v>0</v>
      </c>
      <c r="BC65" s="1877">
        <f t="shared" si="12"/>
        <v>0</v>
      </c>
      <c r="BD65" s="1942"/>
      <c r="BE65" s="39">
        <f t="shared" si="83"/>
        <v>600</v>
      </c>
      <c r="BF65" s="39">
        <f t="shared" si="84"/>
        <v>4666.91</v>
      </c>
      <c r="BG65" s="106">
        <f t="shared" si="85"/>
        <v>5266.91</v>
      </c>
      <c r="BH65" s="178" t="e">
        <f>BG65/$N$89</f>
        <v>#DIV/0!</v>
      </c>
      <c r="BI65" s="79"/>
    </row>
    <row r="66" spans="1:61" s="2" customFormat="1" ht="13.95" customHeight="1" outlineLevel="2">
      <c r="A66" s="237"/>
      <c r="B66" s="19" t="s">
        <v>37</v>
      </c>
      <c r="C66" s="129"/>
      <c r="D66" s="128"/>
      <c r="E66" s="120">
        <f t="shared" si="72"/>
        <v>0</v>
      </c>
      <c r="F66" s="178">
        <f t="shared" si="86"/>
        <v>0</v>
      </c>
      <c r="G66" s="39">
        <v>0</v>
      </c>
      <c r="H66" s="39">
        <v>0</v>
      </c>
      <c r="I66" s="210">
        <f t="shared" si="73"/>
        <v>0</v>
      </c>
      <c r="J66" s="178">
        <f t="shared" si="63"/>
        <v>0</v>
      </c>
      <c r="K66" s="79"/>
      <c r="L66" s="39"/>
      <c r="M66" s="39"/>
      <c r="N66" s="106">
        <f t="shared" si="74"/>
        <v>0</v>
      </c>
      <c r="O66" s="178" t="e">
        <f t="shared" si="64"/>
        <v>#DIV/0!</v>
      </c>
      <c r="P66" s="79"/>
      <c r="Q66" s="39"/>
      <c r="R66" s="39"/>
      <c r="S66" s="106">
        <f t="shared" si="75"/>
        <v>0</v>
      </c>
      <c r="T66" s="178">
        <f t="shared" si="65"/>
        <v>0</v>
      </c>
      <c r="U66" s="79"/>
      <c r="V66" s="210"/>
      <c r="W66" s="210"/>
      <c r="X66" s="106">
        <f t="shared" si="76"/>
        <v>0</v>
      </c>
      <c r="Y66" s="178">
        <f t="shared" si="66"/>
        <v>0</v>
      </c>
      <c r="Z66" s="79"/>
      <c r="AA66" s="210"/>
      <c r="AB66" s="210"/>
      <c r="AC66" s="106">
        <f t="shared" si="77"/>
        <v>0</v>
      </c>
      <c r="AD66" s="178">
        <f t="shared" si="67"/>
        <v>0</v>
      </c>
      <c r="AE66" s="79"/>
      <c r="AF66" s="210"/>
      <c r="AG66" s="210"/>
      <c r="AH66" s="106">
        <f t="shared" si="78"/>
        <v>0</v>
      </c>
      <c r="AI66" s="178">
        <f t="shared" si="68"/>
        <v>0</v>
      </c>
      <c r="AJ66" s="79"/>
      <c r="AK66" s="210"/>
      <c r="AL66" s="210"/>
      <c r="AM66" s="106">
        <f t="shared" si="79"/>
        <v>0</v>
      </c>
      <c r="AN66" s="178">
        <f t="shared" si="9"/>
        <v>0</v>
      </c>
      <c r="AO66" s="79"/>
      <c r="AP66" s="210"/>
      <c r="AQ66" s="210"/>
      <c r="AR66" s="106">
        <f t="shared" si="80"/>
        <v>0</v>
      </c>
      <c r="AS66" s="178">
        <f t="shared" si="69"/>
        <v>0</v>
      </c>
      <c r="AT66" s="79"/>
      <c r="AU66" s="210"/>
      <c r="AV66" s="210"/>
      <c r="AW66" s="106">
        <f t="shared" si="81"/>
        <v>0</v>
      </c>
      <c r="AX66" s="178">
        <f t="shared" si="70"/>
        <v>0</v>
      </c>
      <c r="AY66" s="79"/>
      <c r="AZ66" s="1552"/>
      <c r="BA66" s="1552"/>
      <c r="BB66" s="1480">
        <f t="shared" si="82"/>
        <v>0</v>
      </c>
      <c r="BC66" s="1877">
        <f t="shared" si="12"/>
        <v>0</v>
      </c>
      <c r="BD66" s="1927"/>
      <c r="BE66" s="39">
        <f t="shared" si="83"/>
        <v>0</v>
      </c>
      <c r="BF66" s="39">
        <f t="shared" si="84"/>
        <v>0</v>
      </c>
      <c r="BG66" s="106">
        <f t="shared" si="85"/>
        <v>0</v>
      </c>
      <c r="BH66" s="178" t="e">
        <f t="shared" ref="BH66:BH72" si="87">BG66/$N$89</f>
        <v>#DIV/0!</v>
      </c>
      <c r="BI66" s="79"/>
    </row>
    <row r="67" spans="1:61" s="2" customFormat="1" ht="102" customHeight="1" outlineLevel="2">
      <c r="A67" s="237"/>
      <c r="B67" s="19" t="s">
        <v>3</v>
      </c>
      <c r="C67" s="129"/>
      <c r="D67" s="128">
        <v>2000</v>
      </c>
      <c r="E67" s="120">
        <f t="shared" si="72"/>
        <v>2000</v>
      </c>
      <c r="F67" s="178">
        <f t="shared" si="86"/>
        <v>1.3253178112111283E-3</v>
      </c>
      <c r="G67" s="39">
        <v>0</v>
      </c>
      <c r="H67" s="39">
        <v>0</v>
      </c>
      <c r="I67" s="210">
        <f t="shared" si="73"/>
        <v>0</v>
      </c>
      <c r="J67" s="178">
        <f t="shared" si="63"/>
        <v>0</v>
      </c>
      <c r="K67" s="79"/>
      <c r="L67" s="39"/>
      <c r="M67" s="39"/>
      <c r="N67" s="106">
        <f t="shared" si="74"/>
        <v>0</v>
      </c>
      <c r="O67" s="178" t="e">
        <f t="shared" si="64"/>
        <v>#DIV/0!</v>
      </c>
      <c r="P67" s="79"/>
      <c r="Q67" s="39"/>
      <c r="R67" s="39"/>
      <c r="S67" s="106">
        <f t="shared" si="75"/>
        <v>0</v>
      </c>
      <c r="T67" s="178">
        <f t="shared" si="65"/>
        <v>0</v>
      </c>
      <c r="U67" s="79"/>
      <c r="V67" s="39"/>
      <c r="W67" s="39"/>
      <c r="X67" s="106">
        <f t="shared" si="76"/>
        <v>0</v>
      </c>
      <c r="Y67" s="178">
        <f t="shared" si="66"/>
        <v>0</v>
      </c>
      <c r="Z67" s="79"/>
      <c r="AA67" s="39"/>
      <c r="AB67" s="39"/>
      <c r="AC67" s="106">
        <f t="shared" si="77"/>
        <v>0</v>
      </c>
      <c r="AD67" s="178">
        <f t="shared" si="67"/>
        <v>0</v>
      </c>
      <c r="AE67" s="79"/>
      <c r="AF67" s="39"/>
      <c r="AG67" s="39"/>
      <c r="AH67" s="106">
        <f t="shared" si="78"/>
        <v>0</v>
      </c>
      <c r="AI67" s="178">
        <f t="shared" si="68"/>
        <v>0</v>
      </c>
      <c r="AJ67" s="79"/>
      <c r="AK67" s="39"/>
      <c r="AL67" s="39"/>
      <c r="AM67" s="106">
        <f t="shared" si="79"/>
        <v>0</v>
      </c>
      <c r="AN67" s="178">
        <f t="shared" si="9"/>
        <v>0</v>
      </c>
      <c r="AO67" s="79"/>
      <c r="AP67" s="39"/>
      <c r="AQ67" s="39"/>
      <c r="AR67" s="106">
        <f t="shared" si="80"/>
        <v>0</v>
      </c>
      <c r="AS67" s="178">
        <f t="shared" si="69"/>
        <v>0</v>
      </c>
      <c r="AT67" s="79"/>
      <c r="AU67" s="39"/>
      <c r="AV67" s="39"/>
      <c r="AW67" s="106">
        <f t="shared" si="81"/>
        <v>0</v>
      </c>
      <c r="AX67" s="178">
        <f t="shared" si="70"/>
        <v>0</v>
      </c>
      <c r="AY67" s="79"/>
      <c r="AZ67" s="1432"/>
      <c r="BA67" s="1432"/>
      <c r="BB67" s="1480">
        <f t="shared" si="82"/>
        <v>0</v>
      </c>
      <c r="BC67" s="1877">
        <f t="shared" si="12"/>
        <v>0</v>
      </c>
      <c r="BD67" s="1927"/>
      <c r="BE67" s="39">
        <f t="shared" si="83"/>
        <v>0</v>
      </c>
      <c r="BF67" s="39">
        <f t="shared" si="84"/>
        <v>0</v>
      </c>
      <c r="BG67" s="106">
        <f t="shared" si="85"/>
        <v>0</v>
      </c>
      <c r="BH67" s="178" t="e">
        <f t="shared" si="87"/>
        <v>#DIV/0!</v>
      </c>
      <c r="BI67" s="79"/>
    </row>
    <row r="68" spans="1:61" s="2" customFormat="1" ht="29.4" customHeight="1" outlineLevel="2">
      <c r="A68" s="237"/>
      <c r="B68" s="19" t="s">
        <v>5</v>
      </c>
      <c r="C68" s="129"/>
      <c r="D68" s="128"/>
      <c r="E68" s="120">
        <f t="shared" si="72"/>
        <v>0</v>
      </c>
      <c r="F68" s="178">
        <f t="shared" si="86"/>
        <v>0</v>
      </c>
      <c r="G68" s="39">
        <v>0</v>
      </c>
      <c r="H68" s="39">
        <v>682.4</v>
      </c>
      <c r="I68" s="210">
        <f t="shared" si="73"/>
        <v>682.4</v>
      </c>
      <c r="J68" s="178">
        <f t="shared" si="63"/>
        <v>5.1861206145850365E-4</v>
      </c>
      <c r="K68" s="79"/>
      <c r="L68" s="39"/>
      <c r="M68" s="39"/>
      <c r="N68" s="106">
        <f t="shared" si="74"/>
        <v>0</v>
      </c>
      <c r="O68" s="178" t="e">
        <f t="shared" si="64"/>
        <v>#DIV/0!</v>
      </c>
      <c r="P68" s="79"/>
      <c r="Q68" s="39"/>
      <c r="R68" s="39"/>
      <c r="S68" s="106">
        <f t="shared" si="75"/>
        <v>0</v>
      </c>
      <c r="T68" s="178">
        <f t="shared" si="65"/>
        <v>0</v>
      </c>
      <c r="U68" s="79"/>
      <c r="V68" s="39"/>
      <c r="W68" s="39">
        <v>520.20000000000005</v>
      </c>
      <c r="X68" s="106">
        <f t="shared" si="76"/>
        <v>520.20000000000005</v>
      </c>
      <c r="Y68" s="178">
        <f t="shared" si="66"/>
        <v>3.7551603490685124E-3</v>
      </c>
      <c r="Z68" s="79"/>
      <c r="AA68" s="39"/>
      <c r="AB68" s="39">
        <v>164.36</v>
      </c>
      <c r="AC68" s="106">
        <f t="shared" si="77"/>
        <v>164.36</v>
      </c>
      <c r="AD68" s="178">
        <f t="shared" si="67"/>
        <v>3.0420497299986529E-3</v>
      </c>
      <c r="AE68" s="79"/>
      <c r="AF68" s="39"/>
      <c r="AG68" s="39">
        <v>1003.23</v>
      </c>
      <c r="AH68" s="106">
        <f t="shared" si="78"/>
        <v>1003.23</v>
      </c>
      <c r="AI68" s="178">
        <f t="shared" si="68"/>
        <v>1.8851949835018426E-2</v>
      </c>
      <c r="AJ68" s="79"/>
      <c r="AK68" s="39"/>
      <c r="AL68" s="39"/>
      <c r="AM68" s="106">
        <f t="shared" si="79"/>
        <v>0</v>
      </c>
      <c r="AN68" s="178">
        <f t="shared" si="9"/>
        <v>0</v>
      </c>
      <c r="AO68" s="79"/>
      <c r="AP68" s="39"/>
      <c r="AQ68" s="39"/>
      <c r="AR68" s="106">
        <f t="shared" si="80"/>
        <v>0</v>
      </c>
      <c r="AS68" s="178">
        <f t="shared" si="69"/>
        <v>0</v>
      </c>
      <c r="AT68" s="79"/>
      <c r="AU68" s="39"/>
      <c r="AV68" s="39"/>
      <c r="AW68" s="106">
        <f t="shared" si="81"/>
        <v>0</v>
      </c>
      <c r="AX68" s="178">
        <f t="shared" si="70"/>
        <v>0</v>
      </c>
      <c r="AY68" s="79"/>
      <c r="AZ68" s="1432"/>
      <c r="BA68" s="1432"/>
      <c r="BB68" s="1480">
        <f t="shared" si="82"/>
        <v>0</v>
      </c>
      <c r="BC68" s="1877">
        <f t="shared" si="12"/>
        <v>0</v>
      </c>
      <c r="BD68" s="1927"/>
      <c r="BE68" s="39">
        <f t="shared" si="83"/>
        <v>0</v>
      </c>
      <c r="BF68" s="39">
        <f t="shared" si="84"/>
        <v>2370.19</v>
      </c>
      <c r="BG68" s="106">
        <f t="shared" si="85"/>
        <v>2370.19</v>
      </c>
      <c r="BH68" s="178" t="e">
        <f t="shared" si="87"/>
        <v>#DIV/0!</v>
      </c>
      <c r="BI68" s="79"/>
    </row>
    <row r="69" spans="1:61" s="2" customFormat="1" ht="13.8" outlineLevel="2">
      <c r="A69" s="237"/>
      <c r="B69" s="19" t="s">
        <v>42</v>
      </c>
      <c r="C69" s="129">
        <v>25000</v>
      </c>
      <c r="D69" s="128"/>
      <c r="E69" s="120">
        <f t="shared" si="72"/>
        <v>25000</v>
      </c>
      <c r="F69" s="178">
        <f t="shared" si="86"/>
        <v>1.6566472640139104E-2</v>
      </c>
      <c r="G69" s="39">
        <v>25500</v>
      </c>
      <c r="H69" s="39">
        <v>300</v>
      </c>
      <c r="I69" s="210">
        <f t="shared" si="73"/>
        <v>25800</v>
      </c>
      <c r="J69" s="178">
        <f t="shared" si="63"/>
        <v>1.9607548630758202E-2</v>
      </c>
      <c r="K69" s="79"/>
      <c r="L69" s="39"/>
      <c r="M69" s="39"/>
      <c r="N69" s="106">
        <f t="shared" si="74"/>
        <v>0</v>
      </c>
      <c r="O69" s="178" t="e">
        <f t="shared" si="64"/>
        <v>#DIV/0!</v>
      </c>
      <c r="P69" s="79"/>
      <c r="Q69" s="39"/>
      <c r="R69" s="39"/>
      <c r="S69" s="106">
        <f t="shared" si="75"/>
        <v>0</v>
      </c>
      <c r="T69" s="178">
        <f t="shared" si="65"/>
        <v>0</v>
      </c>
      <c r="U69" s="79"/>
      <c r="V69" s="39"/>
      <c r="W69" s="39"/>
      <c r="X69" s="106">
        <f t="shared" si="76"/>
        <v>0</v>
      </c>
      <c r="Y69" s="178">
        <f t="shared" si="66"/>
        <v>0</v>
      </c>
      <c r="Z69" s="79"/>
      <c r="AA69" s="39"/>
      <c r="AB69" s="39"/>
      <c r="AC69" s="106">
        <f t="shared" si="77"/>
        <v>0</v>
      </c>
      <c r="AD69" s="178">
        <f t="shared" si="67"/>
        <v>0</v>
      </c>
      <c r="AE69" s="79"/>
      <c r="AF69" s="39"/>
      <c r="AG69" s="39"/>
      <c r="AH69" s="106">
        <f t="shared" si="78"/>
        <v>0</v>
      </c>
      <c r="AI69" s="178">
        <f t="shared" si="68"/>
        <v>0</v>
      </c>
      <c r="AJ69" s="79"/>
      <c r="AK69" s="39"/>
      <c r="AL69" s="39"/>
      <c r="AM69" s="106">
        <f t="shared" si="79"/>
        <v>0</v>
      </c>
      <c r="AN69" s="178">
        <f t="shared" si="9"/>
        <v>0</v>
      </c>
      <c r="AO69" s="79"/>
      <c r="AP69" s="39"/>
      <c r="AQ69" s="39"/>
      <c r="AR69" s="106">
        <f t="shared" si="80"/>
        <v>0</v>
      </c>
      <c r="AS69" s="178">
        <f t="shared" si="69"/>
        <v>0</v>
      </c>
      <c r="AT69" s="79"/>
      <c r="AU69" s="39"/>
      <c r="AV69" s="39"/>
      <c r="AW69" s="106">
        <f t="shared" si="81"/>
        <v>0</v>
      </c>
      <c r="AX69" s="178">
        <f t="shared" si="70"/>
        <v>0</v>
      </c>
      <c r="AY69" s="79"/>
      <c r="AZ69" s="1432"/>
      <c r="BA69" s="1432"/>
      <c r="BB69" s="1480">
        <f t="shared" si="82"/>
        <v>0</v>
      </c>
      <c r="BC69" s="1877">
        <f t="shared" si="12"/>
        <v>0</v>
      </c>
      <c r="BD69" s="1927"/>
      <c r="BE69" s="39">
        <f t="shared" si="83"/>
        <v>25500</v>
      </c>
      <c r="BF69" s="39">
        <f t="shared" si="84"/>
        <v>300</v>
      </c>
      <c r="BG69" s="106">
        <f t="shared" si="85"/>
        <v>25800</v>
      </c>
      <c r="BH69" s="178" t="e">
        <f t="shared" si="87"/>
        <v>#DIV/0!</v>
      </c>
      <c r="BI69" s="79"/>
    </row>
    <row r="70" spans="1:61" s="2" customFormat="1" ht="22.95" customHeight="1" outlineLevel="2">
      <c r="A70" s="237"/>
      <c r="B70" s="19" t="s">
        <v>6</v>
      </c>
      <c r="C70" s="129"/>
      <c r="D70" s="128"/>
      <c r="E70" s="120">
        <f t="shared" si="72"/>
        <v>0</v>
      </c>
      <c r="F70" s="178">
        <f t="shared" si="86"/>
        <v>0</v>
      </c>
      <c r="G70" s="39">
        <v>0</v>
      </c>
      <c r="H70" s="39">
        <v>0</v>
      </c>
      <c r="I70" s="210">
        <f t="shared" si="73"/>
        <v>0</v>
      </c>
      <c r="J70" s="178">
        <f t="shared" si="63"/>
        <v>0</v>
      </c>
      <c r="K70" s="79"/>
      <c r="L70" s="39"/>
      <c r="M70" s="39"/>
      <c r="N70" s="106">
        <f t="shared" si="74"/>
        <v>0</v>
      </c>
      <c r="O70" s="178" t="e">
        <f t="shared" si="64"/>
        <v>#DIV/0!</v>
      </c>
      <c r="P70" s="79"/>
      <c r="Q70" s="39"/>
      <c r="R70" s="39"/>
      <c r="S70" s="106">
        <f t="shared" si="75"/>
        <v>0</v>
      </c>
      <c r="T70" s="178">
        <f t="shared" si="65"/>
        <v>0</v>
      </c>
      <c r="U70" s="79"/>
      <c r="V70" s="39"/>
      <c r="W70" s="39"/>
      <c r="X70" s="106">
        <f t="shared" si="76"/>
        <v>0</v>
      </c>
      <c r="Y70" s="178">
        <f t="shared" si="66"/>
        <v>0</v>
      </c>
      <c r="Z70" s="79"/>
      <c r="AA70" s="39"/>
      <c r="AB70" s="39"/>
      <c r="AC70" s="106">
        <f t="shared" si="77"/>
        <v>0</v>
      </c>
      <c r="AD70" s="178">
        <f t="shared" si="67"/>
        <v>0</v>
      </c>
      <c r="AE70" s="79"/>
      <c r="AF70" s="39"/>
      <c r="AG70" s="39"/>
      <c r="AH70" s="106">
        <f t="shared" si="78"/>
        <v>0</v>
      </c>
      <c r="AI70" s="178">
        <f t="shared" si="68"/>
        <v>0</v>
      </c>
      <c r="AJ70" s="79"/>
      <c r="AK70" s="39"/>
      <c r="AL70" s="39"/>
      <c r="AM70" s="106">
        <f t="shared" si="79"/>
        <v>0</v>
      </c>
      <c r="AN70" s="178">
        <f t="shared" si="9"/>
        <v>0</v>
      </c>
      <c r="AO70" s="79"/>
      <c r="AP70" s="39"/>
      <c r="AQ70" s="39"/>
      <c r="AR70" s="106">
        <f t="shared" si="80"/>
        <v>0</v>
      </c>
      <c r="AS70" s="178">
        <f t="shared" si="69"/>
        <v>0</v>
      </c>
      <c r="AT70" s="79"/>
      <c r="AU70" s="39"/>
      <c r="AV70" s="39"/>
      <c r="AW70" s="106">
        <f t="shared" si="81"/>
        <v>0</v>
      </c>
      <c r="AX70" s="178">
        <f t="shared" si="70"/>
        <v>0</v>
      </c>
      <c r="AY70" s="79"/>
      <c r="AZ70" s="1432"/>
      <c r="BA70" s="1432"/>
      <c r="BB70" s="1480">
        <f t="shared" si="82"/>
        <v>0</v>
      </c>
      <c r="BC70" s="1877">
        <f t="shared" si="12"/>
        <v>0</v>
      </c>
      <c r="BD70" s="1927"/>
      <c r="BE70" s="39">
        <f t="shared" si="83"/>
        <v>0</v>
      </c>
      <c r="BF70" s="39">
        <f t="shared" si="84"/>
        <v>0</v>
      </c>
      <c r="BG70" s="106">
        <f t="shared" si="85"/>
        <v>0</v>
      </c>
      <c r="BH70" s="178" t="e">
        <f t="shared" si="87"/>
        <v>#DIV/0!</v>
      </c>
      <c r="BI70" s="79"/>
    </row>
    <row r="71" spans="1:61" s="2" customFormat="1" ht="13.95" customHeight="1" outlineLevel="2">
      <c r="A71" s="237"/>
      <c r="B71" s="19" t="s">
        <v>78</v>
      </c>
      <c r="C71" s="129"/>
      <c r="D71" s="128"/>
      <c r="E71" s="120">
        <f t="shared" si="72"/>
        <v>0</v>
      </c>
      <c r="F71" s="184">
        <f t="shared" si="86"/>
        <v>0</v>
      </c>
      <c r="G71" s="39">
        <v>0</v>
      </c>
      <c r="H71" s="39">
        <v>0</v>
      </c>
      <c r="I71" s="210">
        <f t="shared" si="73"/>
        <v>0</v>
      </c>
      <c r="J71" s="178">
        <f t="shared" si="63"/>
        <v>0</v>
      </c>
      <c r="K71" s="79"/>
      <c r="L71" s="39"/>
      <c r="M71" s="39"/>
      <c r="N71" s="106">
        <f t="shared" si="74"/>
        <v>0</v>
      </c>
      <c r="O71" s="178" t="e">
        <f t="shared" si="64"/>
        <v>#DIV/0!</v>
      </c>
      <c r="P71" s="79"/>
      <c r="Q71" s="39"/>
      <c r="R71" s="39"/>
      <c r="S71" s="106">
        <f t="shared" si="75"/>
        <v>0</v>
      </c>
      <c r="T71" s="178">
        <f t="shared" si="65"/>
        <v>0</v>
      </c>
      <c r="U71" s="79"/>
      <c r="V71" s="39"/>
      <c r="W71" s="39"/>
      <c r="X71" s="106">
        <f t="shared" si="76"/>
        <v>0</v>
      </c>
      <c r="Y71" s="178">
        <f t="shared" si="66"/>
        <v>0</v>
      </c>
      <c r="Z71" s="79"/>
      <c r="AA71" s="39"/>
      <c r="AB71" s="39"/>
      <c r="AC71" s="106">
        <f t="shared" si="77"/>
        <v>0</v>
      </c>
      <c r="AD71" s="178">
        <f t="shared" si="67"/>
        <v>0</v>
      </c>
      <c r="AE71" s="79"/>
      <c r="AF71" s="39"/>
      <c r="AG71" s="39"/>
      <c r="AH71" s="106">
        <f t="shared" si="78"/>
        <v>0</v>
      </c>
      <c r="AI71" s="178">
        <f t="shared" si="68"/>
        <v>0</v>
      </c>
      <c r="AJ71" s="79"/>
      <c r="AK71" s="39"/>
      <c r="AL71" s="39"/>
      <c r="AM71" s="106">
        <f t="shared" si="79"/>
        <v>0</v>
      </c>
      <c r="AN71" s="178">
        <f t="shared" si="9"/>
        <v>0</v>
      </c>
      <c r="AO71" s="79"/>
      <c r="AP71" s="39"/>
      <c r="AQ71" s="39"/>
      <c r="AR71" s="106">
        <f t="shared" si="80"/>
        <v>0</v>
      </c>
      <c r="AS71" s="178">
        <f t="shared" si="69"/>
        <v>0</v>
      </c>
      <c r="AT71" s="79"/>
      <c r="AU71" s="39"/>
      <c r="AV71" s="39"/>
      <c r="AW71" s="106">
        <f t="shared" si="81"/>
        <v>0</v>
      </c>
      <c r="AX71" s="178">
        <f t="shared" si="70"/>
        <v>0</v>
      </c>
      <c r="AY71" s="79"/>
      <c r="AZ71" s="1432"/>
      <c r="BA71" s="1432"/>
      <c r="BB71" s="1480">
        <f t="shared" si="82"/>
        <v>0</v>
      </c>
      <c r="BC71" s="1877">
        <f t="shared" si="12"/>
        <v>0</v>
      </c>
      <c r="BD71" s="1927"/>
      <c r="BE71" s="39">
        <f t="shared" si="83"/>
        <v>0</v>
      </c>
      <c r="BF71" s="39">
        <f t="shared" si="84"/>
        <v>0</v>
      </c>
      <c r="BG71" s="106">
        <f t="shared" si="85"/>
        <v>0</v>
      </c>
      <c r="BH71" s="178" t="e">
        <f t="shared" si="87"/>
        <v>#DIV/0!</v>
      </c>
      <c r="BI71" s="79"/>
    </row>
    <row r="72" spans="1:61" s="2" customFormat="1" ht="14.4" outlineLevel="2" thickBot="1">
      <c r="A72" s="237"/>
      <c r="B72" s="19"/>
      <c r="C72" s="130"/>
      <c r="D72" s="131"/>
      <c r="E72" s="159"/>
      <c r="F72" s="184">
        <f t="shared" si="86"/>
        <v>0</v>
      </c>
      <c r="G72" s="210">
        <v>0</v>
      </c>
      <c r="H72" s="39">
        <v>0</v>
      </c>
      <c r="I72" s="106">
        <f>G72+H72*1.15</f>
        <v>0</v>
      </c>
      <c r="J72" s="178">
        <f t="shared" si="63"/>
        <v>0</v>
      </c>
      <c r="K72" s="79"/>
      <c r="L72" s="39"/>
      <c r="M72" s="39"/>
      <c r="N72" s="106"/>
      <c r="O72" s="178" t="e">
        <f t="shared" si="64"/>
        <v>#DIV/0!</v>
      </c>
      <c r="P72" s="79"/>
      <c r="Q72" s="39"/>
      <c r="R72" s="39"/>
      <c r="S72" s="106"/>
      <c r="T72" s="178">
        <f t="shared" si="65"/>
        <v>0</v>
      </c>
      <c r="U72" s="79"/>
      <c r="V72" s="39"/>
      <c r="W72" s="39"/>
      <c r="X72" s="106"/>
      <c r="Y72" s="178">
        <f t="shared" si="66"/>
        <v>0</v>
      </c>
      <c r="Z72" s="79"/>
      <c r="AA72" s="39"/>
      <c r="AB72" s="39"/>
      <c r="AC72" s="106"/>
      <c r="AD72" s="178">
        <f>AC72/$X$89</f>
        <v>0</v>
      </c>
      <c r="AE72" s="79"/>
      <c r="AF72" s="39"/>
      <c r="AG72" s="39"/>
      <c r="AH72" s="106"/>
      <c r="AI72" s="178">
        <f>AH72/$X$89</f>
        <v>0</v>
      </c>
      <c r="AJ72" s="79"/>
      <c r="AK72" s="39"/>
      <c r="AL72" s="39"/>
      <c r="AM72" s="106"/>
      <c r="AN72" s="178">
        <f t="shared" si="9"/>
        <v>0</v>
      </c>
      <c r="AO72" s="79"/>
      <c r="AP72" s="39"/>
      <c r="AQ72" s="39"/>
      <c r="AR72" s="106"/>
      <c r="AS72" s="178">
        <f>AR72/$AM$89</f>
        <v>0</v>
      </c>
      <c r="AT72" s="79"/>
      <c r="AU72" s="39"/>
      <c r="AV72" s="39"/>
      <c r="AW72" s="106"/>
      <c r="AX72" s="178">
        <f>AW72/$AM$89</f>
        <v>0</v>
      </c>
      <c r="AY72" s="79"/>
      <c r="AZ72" s="1432"/>
      <c r="BA72" s="1432"/>
      <c r="BB72" s="1480"/>
      <c r="BC72" s="1877">
        <f t="shared" si="12"/>
        <v>0</v>
      </c>
      <c r="BD72" s="1927"/>
      <c r="BE72" s="39"/>
      <c r="BF72" s="39"/>
      <c r="BG72" s="106"/>
      <c r="BH72" s="178" t="e">
        <f t="shared" si="87"/>
        <v>#DIV/0!</v>
      </c>
      <c r="BI72" s="79"/>
    </row>
    <row r="73" spans="1:61" s="2" customFormat="1" ht="14.4" outlineLevel="1" thickBot="1">
      <c r="A73" s="237"/>
      <c r="B73" s="13" t="s">
        <v>4</v>
      </c>
      <c r="C73" s="132">
        <f>C74</f>
        <v>56244</v>
      </c>
      <c r="D73" s="133">
        <f>D74</f>
        <v>0</v>
      </c>
      <c r="E73" s="132">
        <f>E74</f>
        <v>56244</v>
      </c>
      <c r="F73" s="171">
        <f>E73/$E$89</f>
        <v>3.7270587486879357E-2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f>AC73/$AC$89</f>
        <v>0</v>
      </c>
      <c r="AE73" s="63"/>
      <c r="AF73" s="139">
        <f>AF74</f>
        <v>0</v>
      </c>
      <c r="AG73" s="63">
        <f>AG74</f>
        <v>0</v>
      </c>
      <c r="AH73" s="60">
        <f>AH74</f>
        <v>0</v>
      </c>
      <c r="AI73" s="63">
        <f>AH73/$AC$89</f>
        <v>0</v>
      </c>
      <c r="AJ73" s="63"/>
      <c r="AK73" s="139">
        <f>AK74</f>
        <v>0</v>
      </c>
      <c r="AL73" s="63">
        <f>AL74</f>
        <v>0</v>
      </c>
      <c r="AM73" s="60">
        <f>AM74</f>
        <v>0</v>
      </c>
      <c r="AN73" s="63">
        <f>AM73/$AC$89</f>
        <v>0</v>
      </c>
      <c r="AO73" s="63"/>
      <c r="AP73" s="139">
        <f>AP74</f>
        <v>0</v>
      </c>
      <c r="AQ73" s="63">
        <f>AQ74</f>
        <v>0</v>
      </c>
      <c r="AR73" s="60">
        <f>AR74</f>
        <v>0</v>
      </c>
      <c r="AS73" s="63">
        <f>AR73/$AC$89</f>
        <v>0</v>
      </c>
      <c r="AT73" s="63"/>
      <c r="AU73" s="139">
        <f>AU74</f>
        <v>0</v>
      </c>
      <c r="AV73" s="63">
        <f>AV74</f>
        <v>0</v>
      </c>
      <c r="AW73" s="60">
        <f>AW74</f>
        <v>0</v>
      </c>
      <c r="AX73" s="63">
        <f>AW73/$AC$89</f>
        <v>0</v>
      </c>
      <c r="AY73" s="63"/>
      <c r="AZ73" s="1170">
        <f>AZ74</f>
        <v>0</v>
      </c>
      <c r="BA73" s="1943">
        <f>BA74</f>
        <v>0</v>
      </c>
      <c r="BB73" s="1446">
        <f>BB74</f>
        <v>0</v>
      </c>
      <c r="BC73" s="1943">
        <f>BB73/$BB$89</f>
        <v>0</v>
      </c>
      <c r="BD73" s="1943"/>
      <c r="BE73" s="139">
        <f>BE74</f>
        <v>0</v>
      </c>
      <c r="BF73" s="63">
        <f>BF74</f>
        <v>0</v>
      </c>
      <c r="BG73" s="60">
        <f>BG74</f>
        <v>0</v>
      </c>
      <c r="BH73" s="63"/>
      <c r="BI73" s="63"/>
    </row>
    <row r="74" spans="1:61" s="2" customFormat="1" ht="14.4" outlineLevel="1" thickBot="1">
      <c r="A74" s="20"/>
      <c r="B74" s="225" t="s">
        <v>64</v>
      </c>
      <c r="C74" s="129">
        <f>C6*3%</f>
        <v>56244</v>
      </c>
      <c r="D74" s="135"/>
      <c r="E74" s="136">
        <f>C74+D74</f>
        <v>56244</v>
      </c>
      <c r="F74" s="185"/>
      <c r="G74" s="39"/>
      <c r="H74" s="39"/>
      <c r="I74" s="64">
        <f>G74+H74</f>
        <v>0</v>
      </c>
      <c r="J74" s="64"/>
      <c r="K74" s="64"/>
      <c r="L74" s="39"/>
      <c r="M74" s="39"/>
      <c r="N74" s="64">
        <f>L74+M74*1</f>
        <v>0</v>
      </c>
      <c r="O74" s="64"/>
      <c r="P74" s="64"/>
      <c r="Q74" s="39"/>
      <c r="R74" s="39"/>
      <c r="S74" s="64">
        <f>Q74+R74*1</f>
        <v>0</v>
      </c>
      <c r="T74" s="64"/>
      <c r="U74" s="64"/>
      <c r="V74" s="39"/>
      <c r="W74" s="39"/>
      <c r="X74" s="64">
        <f>V74+W74*1</f>
        <v>0</v>
      </c>
      <c r="Y74" s="64"/>
      <c r="Z74" s="64"/>
      <c r="AA74" s="39"/>
      <c r="AB74" s="39"/>
      <c r="AC74" s="64">
        <f>AA74+AB74*1</f>
        <v>0</v>
      </c>
      <c r="AD74" s="64">
        <f>AC74/$AC$89</f>
        <v>0</v>
      </c>
      <c r="AE74" s="64"/>
      <c r="AF74" s="39"/>
      <c r="AG74" s="39"/>
      <c r="AH74" s="64">
        <f>AF74+AG74*1</f>
        <v>0</v>
      </c>
      <c r="AI74" s="64">
        <f>AH74/$AC$89</f>
        <v>0</v>
      </c>
      <c r="AJ74" s="64"/>
      <c r="AK74" s="39"/>
      <c r="AL74" s="39"/>
      <c r="AM74" s="64">
        <f>AK74+AL74*1</f>
        <v>0</v>
      </c>
      <c r="AN74" s="64">
        <f>AM74/$AC$89</f>
        <v>0</v>
      </c>
      <c r="AO74" s="64"/>
      <c r="AP74" s="39"/>
      <c r="AQ74" s="39"/>
      <c r="AR74" s="64">
        <f>AP74+AQ74*1</f>
        <v>0</v>
      </c>
      <c r="AS74" s="64">
        <f>AR74/$AC$89</f>
        <v>0</v>
      </c>
      <c r="AT74" s="64"/>
      <c r="AU74" s="39"/>
      <c r="AV74" s="39"/>
      <c r="AW74" s="64">
        <f>AU74+AV74*1</f>
        <v>0</v>
      </c>
      <c r="AX74" s="64">
        <f>AW74/$AC$89</f>
        <v>0</v>
      </c>
      <c r="AY74" s="64"/>
      <c r="AZ74" s="1432"/>
      <c r="BA74" s="1432"/>
      <c r="BB74" s="1449">
        <f>AZ74+BA74*1</f>
        <v>0</v>
      </c>
      <c r="BC74" s="1449">
        <f>BB74/$BB$89</f>
        <v>0</v>
      </c>
      <c r="BD74" s="1449"/>
      <c r="BE74" s="39"/>
      <c r="BF74" s="39">
        <f>H74+M74</f>
        <v>0</v>
      </c>
      <c r="BG74" s="523">
        <f>BE74+BF74*1</f>
        <v>0</v>
      </c>
      <c r="BH74" s="64"/>
      <c r="BI74" s="64"/>
    </row>
    <row r="75" spans="1:61" s="2" customFormat="1" ht="14.4" thickBot="1">
      <c r="A75" s="5"/>
      <c r="B75" s="23" t="s">
        <v>48</v>
      </c>
      <c r="C75" s="137">
        <f>C38-C41-C50-C54</f>
        <v>1269558</v>
      </c>
      <c r="D75" s="137">
        <f>D38-D41-D50-D54</f>
        <v>-846586</v>
      </c>
      <c r="E75" s="138">
        <f>E38-E41-E50-E54</f>
        <v>422972</v>
      </c>
      <c r="F75" s="172"/>
      <c r="G75" s="65">
        <f>G38-G41-G50-G54</f>
        <v>255810.39569999994</v>
      </c>
      <c r="H75" s="65">
        <f>H38-H41-H50-H54</f>
        <v>-523235.38</v>
      </c>
      <c r="I75" s="66">
        <f>I38-I41-I50-I54</f>
        <v>-267424.98429999989</v>
      </c>
      <c r="J75" s="66"/>
      <c r="K75" s="66"/>
      <c r="L75" s="65">
        <f>L38-L41-L50-L54</f>
        <v>0</v>
      </c>
      <c r="M75" s="65">
        <f>M38-M41-M50-M54</f>
        <v>0</v>
      </c>
      <c r="N75" s="138">
        <f>N38-N41-N50-N54</f>
        <v>0</v>
      </c>
      <c r="O75" s="66"/>
      <c r="P75" s="66"/>
      <c r="Q75" s="65">
        <f>Q38-Q41-Q50-Q54</f>
        <v>-800</v>
      </c>
      <c r="R75" s="65">
        <f>R38-R41-R50-R54</f>
        <v>-30651</v>
      </c>
      <c r="S75" s="138">
        <f>S38-S41-S50-S54</f>
        <v>-31451</v>
      </c>
      <c r="T75" s="66"/>
      <c r="U75" s="66"/>
      <c r="V75" s="65">
        <f>V38-V41-V50-V54</f>
        <v>320154.69400000002</v>
      </c>
      <c r="W75" s="65">
        <f>W38-W41-W50-W54</f>
        <v>-69434.7</v>
      </c>
      <c r="X75" s="138">
        <f>X38-X41-X50-X54</f>
        <v>250719.99399999998</v>
      </c>
      <c r="Y75" s="66"/>
      <c r="Z75" s="66"/>
      <c r="AA75" s="65">
        <f>AA38-AA41-AA50-AA54</f>
        <v>95783.98</v>
      </c>
      <c r="AB75" s="65">
        <f>AB38-AB41-AB50-AB54</f>
        <v>-20139.36</v>
      </c>
      <c r="AC75" s="138">
        <f>AC38-AC41-AC50-AC54</f>
        <v>75644.62</v>
      </c>
      <c r="AD75" s="66"/>
      <c r="AE75" s="66"/>
      <c r="AF75" s="65">
        <f>AF38-AF41-AF50-AF54</f>
        <v>-36028.016000000003</v>
      </c>
      <c r="AG75" s="65">
        <f>AG38-AG41-AG50-AG54</f>
        <v>-17188.23</v>
      </c>
      <c r="AH75" s="138">
        <f>AH38-AH41-AH50-AH54</f>
        <v>-53216.246000000006</v>
      </c>
      <c r="AI75" s="66"/>
      <c r="AJ75" s="66"/>
      <c r="AK75" s="65">
        <f>AK38-AK41-AK50-AK54</f>
        <v>220592.16</v>
      </c>
      <c r="AL75" s="65">
        <f>AL38-AL41-AL50-AL54</f>
        <v>-69501</v>
      </c>
      <c r="AM75" s="138">
        <f>AM38-AM41-AM50-AM54</f>
        <v>151091.16</v>
      </c>
      <c r="AN75" s="66"/>
      <c r="AO75" s="66"/>
      <c r="AP75" s="65">
        <f>AP38-AP41-AP50-AP54</f>
        <v>45.043999999994412</v>
      </c>
      <c r="AQ75" s="65">
        <f>AQ38-AQ41-AQ50-AQ54</f>
        <v>-14240</v>
      </c>
      <c r="AR75" s="138">
        <f>AR38-AR41-AR50-AR54</f>
        <v>-14194.956000000006</v>
      </c>
      <c r="AS75" s="66"/>
      <c r="AT75" s="66"/>
      <c r="AU75" s="65">
        <f>AU38-AU41-AU50-AU54</f>
        <v>-46</v>
      </c>
      <c r="AV75" s="65">
        <f>AV38-AV41-AV50-AV54</f>
        <v>0</v>
      </c>
      <c r="AW75" s="138">
        <f>AW38-AW41-AW50-AW54</f>
        <v>-46</v>
      </c>
      <c r="AX75" s="66"/>
      <c r="AY75" s="66"/>
      <c r="AZ75" s="1450">
        <f>AZ38-AZ41-AZ50-AZ54</f>
        <v>-16401.671999999999</v>
      </c>
      <c r="BA75" s="1450">
        <f>BA38-BA41-BA50-BA54</f>
        <v>0</v>
      </c>
      <c r="BB75" s="1508">
        <f>BB38-BB41-BB50-BB54</f>
        <v>-16401.671999999999</v>
      </c>
      <c r="BC75" s="1451"/>
      <c r="BD75" s="1451"/>
      <c r="BE75" s="65">
        <f>BE38-BE41-BE50-BE54</f>
        <v>855512.25769999973</v>
      </c>
      <c r="BF75" s="65">
        <f>BF38-BF41-BF50-BF54</f>
        <v>-744389.66999999993</v>
      </c>
      <c r="BG75" s="138">
        <f>BG38-BG41-BG50-BG54</f>
        <v>111122.58770000009</v>
      </c>
      <c r="BH75" s="66"/>
      <c r="BI75" s="66"/>
    </row>
    <row r="76" spans="1:61" s="2" customFormat="1" ht="13.8">
      <c r="A76" s="294"/>
      <c r="B76" s="36" t="s">
        <v>49</v>
      </c>
      <c r="C76" s="157">
        <f>C75/C5</f>
        <v>0.67716983144868781</v>
      </c>
      <c r="D76" s="157" t="e">
        <f>D75/D5</f>
        <v>#DIV/0!</v>
      </c>
      <c r="E76" s="158">
        <f>E75/E5</f>
        <v>0.22560913164070834</v>
      </c>
      <c r="F76" s="167"/>
      <c r="G76" s="54">
        <f>G75/G5</f>
        <v>0.26182061891756203</v>
      </c>
      <c r="H76" s="54" t="e">
        <f>H75/H5</f>
        <v>#DIV/0!</v>
      </c>
      <c r="I76" s="55">
        <f>I75/I5</f>
        <v>-0.27370809036845289</v>
      </c>
      <c r="J76" s="55"/>
      <c r="K76" s="55"/>
      <c r="L76" s="54" t="e">
        <f>L75/L5</f>
        <v>#DIV/0!</v>
      </c>
      <c r="M76" s="54" t="e">
        <f>M75/M5</f>
        <v>#DIV/0!</v>
      </c>
      <c r="N76" s="55" t="e">
        <f>N75/N5</f>
        <v>#DIV/0!</v>
      </c>
      <c r="O76" s="55"/>
      <c r="P76" s="55"/>
      <c r="Q76" s="54" t="e">
        <f>Q75/Q5</f>
        <v>#DIV/0!</v>
      </c>
      <c r="R76" s="54" t="e">
        <f>R75/R5</f>
        <v>#DIV/0!</v>
      </c>
      <c r="S76" s="55" t="e">
        <f>S75/S5</f>
        <v>#DIV/0!</v>
      </c>
      <c r="T76" s="55"/>
      <c r="U76" s="55"/>
      <c r="V76" s="54">
        <f>V75/V5</f>
        <v>0.84430514573432003</v>
      </c>
      <c r="W76" s="54" t="e">
        <f>W75/W5</f>
        <v>#DIV/0!</v>
      </c>
      <c r="X76" s="55">
        <f>X75/X5</f>
        <v>0.66119343254944685</v>
      </c>
      <c r="Y76" s="55"/>
      <c r="Z76" s="55"/>
      <c r="AA76" s="54">
        <f>AA75/AA5</f>
        <v>0.73865227241424991</v>
      </c>
      <c r="AB76" s="54" t="e">
        <f>AB75/AB5</f>
        <v>#DIV/0!</v>
      </c>
      <c r="AC76" s="55">
        <f>AC75/AC5</f>
        <v>0.58334463089665323</v>
      </c>
      <c r="AD76" s="55"/>
      <c r="AE76" s="55"/>
      <c r="AF76" s="54" t="e">
        <f>AF75/AF5</f>
        <v>#DIV/0!</v>
      </c>
      <c r="AG76" s="54" t="e">
        <f>AG75/AG5</f>
        <v>#DIV/0!</v>
      </c>
      <c r="AH76" s="55" t="e">
        <f>AH75/AH5</f>
        <v>#DIV/0!</v>
      </c>
      <c r="AI76" s="55"/>
      <c r="AJ76" s="55"/>
      <c r="AK76" s="54">
        <f>AK75/AK5</f>
        <v>0.91254632805775115</v>
      </c>
      <c r="AL76" s="54" t="e">
        <f>AL75/AL5</f>
        <v>#DIV/0!</v>
      </c>
      <c r="AM76" s="55">
        <f>AM75/AM5</f>
        <v>0.62503437683363794</v>
      </c>
      <c r="AN76" s="55"/>
      <c r="AO76" s="55"/>
      <c r="AP76" s="54">
        <f>AP75/AP5</f>
        <v>5.264567789783159E-4</v>
      </c>
      <c r="AQ76" s="54" t="e">
        <f>AQ75/AQ5</f>
        <v>#DIV/0!</v>
      </c>
      <c r="AR76" s="55">
        <f>AR75/AR5</f>
        <v>-0.16590513305878363</v>
      </c>
      <c r="AS76" s="55"/>
      <c r="AT76" s="55"/>
      <c r="AU76" s="54" t="e">
        <f>AU75/AU5</f>
        <v>#DIV/0!</v>
      </c>
      <c r="AV76" s="54" t="e">
        <f>AV75/AV5</f>
        <v>#DIV/0!</v>
      </c>
      <c r="AW76" s="55" t="e">
        <f>AW75/AW5</f>
        <v>#DIV/0!</v>
      </c>
      <c r="AX76" s="55"/>
      <c r="AY76" s="55"/>
      <c r="AZ76" s="1441" t="e">
        <f>AZ75/AZ5</f>
        <v>#DIV/0!</v>
      </c>
      <c r="BA76" s="1441" t="e">
        <f>BA75/BA5</f>
        <v>#DIV/0!</v>
      </c>
      <c r="BB76" s="1442" t="e">
        <f>BB75/BB5</f>
        <v>#DIV/0!</v>
      </c>
      <c r="BC76" s="1442"/>
      <c r="BD76" s="1442"/>
      <c r="BE76" s="54">
        <f>BE75/BE5</f>
        <v>0.47182328413497543</v>
      </c>
      <c r="BF76" s="54" t="e">
        <f>BF75/BF5</f>
        <v>#DIV/0!</v>
      </c>
      <c r="BG76" s="55">
        <f>BG75/BG5</f>
        <v>6.1285181829126331E-2</v>
      </c>
      <c r="BH76" s="55"/>
      <c r="BI76" s="55"/>
    </row>
    <row r="77" spans="1:61" s="2" customFormat="1" ht="14.4" outlineLevel="1" thickBot="1">
      <c r="A77" s="294"/>
      <c r="B77" s="27" t="s">
        <v>9</v>
      </c>
      <c r="C77" s="139">
        <f>C78-C79</f>
        <v>0</v>
      </c>
      <c r="D77" s="139">
        <f>D78-D79</f>
        <v>0</v>
      </c>
      <c r="E77" s="140">
        <f>E78-E79</f>
        <v>0</v>
      </c>
      <c r="F77" s="173"/>
      <c r="G77" s="139">
        <f>G78-G79</f>
        <v>0</v>
      </c>
      <c r="H77" s="139">
        <f>H78-H79</f>
        <v>0</v>
      </c>
      <c r="I77" s="140">
        <f>I78-I79</f>
        <v>-71350.279090909084</v>
      </c>
      <c r="J77" s="67"/>
      <c r="K77" s="67"/>
      <c r="L77" s="139">
        <f>L78-L79</f>
        <v>0</v>
      </c>
      <c r="M77" s="139">
        <f>M78-M79</f>
        <v>0</v>
      </c>
      <c r="N77" s="140">
        <f>N78-N79</f>
        <v>0</v>
      </c>
      <c r="O77" s="67"/>
      <c r="P77" s="67"/>
      <c r="Q77" s="139">
        <f>Q78-Q79</f>
        <v>0</v>
      </c>
      <c r="R77" s="139">
        <f>R78-R79</f>
        <v>0</v>
      </c>
      <c r="S77" s="140">
        <f>S78-S79</f>
        <v>-3786.177533875546</v>
      </c>
      <c r="T77" s="67"/>
      <c r="U77" s="67"/>
      <c r="V77" s="139">
        <f>V78-V79</f>
        <v>0</v>
      </c>
      <c r="W77" s="139">
        <f>W78-W79</f>
        <v>0</v>
      </c>
      <c r="X77" s="140">
        <f>X78-X79</f>
        <v>-10056.254690931601</v>
      </c>
      <c r="Y77" s="67"/>
      <c r="Z77" s="67"/>
      <c r="AA77" s="139">
        <f>AA78-AA79</f>
        <v>0</v>
      </c>
      <c r="AB77" s="139">
        <f>AB78-AB79</f>
        <v>0</v>
      </c>
      <c r="AC77" s="140">
        <f>AC78-AC79</f>
        <v>0</v>
      </c>
      <c r="AD77" s="67">
        <f>AC77/$AC$89</f>
        <v>0</v>
      </c>
      <c r="AE77" s="67"/>
      <c r="AF77" s="139">
        <f>AF78-AF79</f>
        <v>0</v>
      </c>
      <c r="AG77" s="139">
        <f>AG78-AG79</f>
        <v>0</v>
      </c>
      <c r="AH77" s="140">
        <f>AH78-AH79</f>
        <v>0</v>
      </c>
      <c r="AI77" s="67">
        <f>AH77/$AH$89</f>
        <v>0</v>
      </c>
      <c r="AJ77" s="67"/>
      <c r="AK77" s="139">
        <f>AK78-AK79</f>
        <v>0</v>
      </c>
      <c r="AL77" s="139">
        <f>AL78-AL79</f>
        <v>0</v>
      </c>
      <c r="AM77" s="140">
        <f>AM78-AM79</f>
        <v>-9031.203389830509</v>
      </c>
      <c r="AN77" s="67">
        <f>AM77/$AH$89</f>
        <v>-0.16970763758553184</v>
      </c>
      <c r="AO77" s="67"/>
      <c r="AP77" s="139">
        <f>AP78-AP79</f>
        <v>0</v>
      </c>
      <c r="AQ77" s="139">
        <f>AQ78-AQ79</f>
        <v>0</v>
      </c>
      <c r="AR77" s="140">
        <f>AR78-AR79</f>
        <v>0</v>
      </c>
      <c r="AS77" s="935">
        <f>AR77/$AR$89</f>
        <v>0</v>
      </c>
      <c r="AT77" s="67"/>
      <c r="AU77" s="139">
        <f>AU78-AU79</f>
        <v>0</v>
      </c>
      <c r="AV77" s="139">
        <f>AV78-AV79</f>
        <v>0</v>
      </c>
      <c r="AW77" s="140">
        <f>AW78-AW79</f>
        <v>0</v>
      </c>
      <c r="AX77" s="935">
        <f>AW77/$AR$89</f>
        <v>0</v>
      </c>
      <c r="AY77" s="67"/>
      <c r="AZ77" s="1170">
        <f>AZ78-AZ79</f>
        <v>0</v>
      </c>
      <c r="BA77" s="1170">
        <f>BA78-BA79</f>
        <v>0</v>
      </c>
      <c r="BB77" s="1369">
        <f>BB78-BB79</f>
        <v>0</v>
      </c>
      <c r="BC77" s="1950">
        <f>BB77/$BB$89</f>
        <v>0</v>
      </c>
      <c r="BD77" s="1364"/>
      <c r="BE77" s="139">
        <f>BE78-BE79</f>
        <v>0</v>
      </c>
      <c r="BF77" s="139">
        <f>BF78-BF79</f>
        <v>0</v>
      </c>
      <c r="BG77" s="140">
        <f>BG78-BG79</f>
        <v>-94223.914705546733</v>
      </c>
      <c r="BH77" s="67"/>
      <c r="BI77" s="67"/>
    </row>
    <row r="78" spans="1:61" s="2" customFormat="1" ht="13.8" outlineLevel="2">
      <c r="A78" s="11"/>
      <c r="B78" s="6" t="s">
        <v>43</v>
      </c>
      <c r="C78" s="141"/>
      <c r="D78" s="142"/>
      <c r="E78" s="119">
        <f>C78+D78*1.15</f>
        <v>0</v>
      </c>
      <c r="F78" s="186"/>
      <c r="G78" s="39">
        <v>0</v>
      </c>
      <c r="H78" s="39">
        <v>0</v>
      </c>
      <c r="I78" s="68"/>
      <c r="J78" s="68"/>
      <c r="K78" s="68"/>
      <c r="L78" s="39"/>
      <c r="M78" s="39"/>
      <c r="N78" s="68">
        <f>L78+M78*1.15</f>
        <v>0</v>
      </c>
      <c r="O78" s="68"/>
      <c r="P78" s="68"/>
      <c r="Q78" s="39"/>
      <c r="R78" s="39"/>
      <c r="S78" s="68">
        <f>Q78+R78*1.15</f>
        <v>0</v>
      </c>
      <c r="T78" s="68"/>
      <c r="U78" s="68"/>
      <c r="V78" s="39"/>
      <c r="W78" s="39"/>
      <c r="X78" s="68">
        <f>V78+W78*1.15</f>
        <v>0</v>
      </c>
      <c r="Y78" s="68"/>
      <c r="Z78" s="68"/>
      <c r="AA78" s="39"/>
      <c r="AB78" s="39"/>
      <c r="AC78" s="68">
        <f>AA78+AB78*1.15</f>
        <v>0</v>
      </c>
      <c r="AD78" s="68">
        <f>AC78/$AC$89</f>
        <v>0</v>
      </c>
      <c r="AE78" s="68"/>
      <c r="AF78" s="39"/>
      <c r="AG78" s="39"/>
      <c r="AH78" s="68">
        <f>AF78+AG78*1.15</f>
        <v>0</v>
      </c>
      <c r="AI78" s="68">
        <f>AH78/$AH$89</f>
        <v>0</v>
      </c>
      <c r="AJ78" s="68"/>
      <c r="AK78" s="39"/>
      <c r="AL78" s="39"/>
      <c r="AM78" s="68">
        <f>AK78+AL78*1.15</f>
        <v>0</v>
      </c>
      <c r="AN78" s="68">
        <f>AM78/$AH$89</f>
        <v>0</v>
      </c>
      <c r="AO78" s="68"/>
      <c r="AP78" s="39"/>
      <c r="AQ78" s="39"/>
      <c r="AR78" s="68">
        <f>AP78+AQ78*1.15</f>
        <v>0</v>
      </c>
      <c r="AS78" s="68">
        <f>AR78/$AR$89</f>
        <v>0</v>
      </c>
      <c r="AT78" s="68"/>
      <c r="AU78" s="39"/>
      <c r="AV78" s="39"/>
      <c r="AW78" s="68">
        <f>AU78+AV78*1.15</f>
        <v>0</v>
      </c>
      <c r="AX78" s="68">
        <f>AW78/$AR$89</f>
        <v>0</v>
      </c>
      <c r="AY78" s="68"/>
      <c r="AZ78" s="1432"/>
      <c r="BA78" s="1432"/>
      <c r="BB78" s="1452">
        <f>AZ78+BA78*1.15</f>
        <v>0</v>
      </c>
      <c r="BC78" s="1452">
        <f>BB78/$BB$89</f>
        <v>0</v>
      </c>
      <c r="BD78" s="1452"/>
      <c r="BE78" s="39">
        <f>G78+L78+Q78+V78+AA78+AF78+AK78+AP78+AU78</f>
        <v>0</v>
      </c>
      <c r="BF78" s="39">
        <f>H78+M78+R78+W78+AB78+AG78+AL78+AQ78+AV78</f>
        <v>0</v>
      </c>
      <c r="BG78" s="68">
        <f>BE78+BF78*1.15</f>
        <v>0</v>
      </c>
      <c r="BH78" s="68"/>
      <c r="BI78" s="68"/>
    </row>
    <row r="79" spans="1:61" s="2" customFormat="1" ht="13.8" outlineLevel="2">
      <c r="A79" s="11"/>
      <c r="B79" s="24" t="s">
        <v>79</v>
      </c>
      <c r="C79" s="113"/>
      <c r="D79" s="119"/>
      <c r="E79" s="119">
        <f>C79+D79*1.15</f>
        <v>0</v>
      </c>
      <c r="F79" s="180">
        <f>E79/$E$89</f>
        <v>0</v>
      </c>
      <c r="G79" s="39">
        <v>0</v>
      </c>
      <c r="H79" s="39">
        <v>0</v>
      </c>
      <c r="I79" s="41">
        <f>(H8+H41+H50+H54)/0.88*0.12</f>
        <v>71350.279090909084</v>
      </c>
      <c r="J79" s="45"/>
      <c r="K79" s="45"/>
      <c r="L79" s="39"/>
      <c r="M79" s="39"/>
      <c r="N79" s="106">
        <f>(M8+M41+M50+M54)/(1-'расчет 2024'!E4)*'расчет 2024'!E4</f>
        <v>0</v>
      </c>
      <c r="O79" s="45"/>
      <c r="P79" s="45"/>
      <c r="Q79" s="39"/>
      <c r="R79" s="39"/>
      <c r="S79" s="106">
        <f>(R8+R41+R50+R54)/(1-'расчет 2024'!E7)*'расчет 2024'!E7</f>
        <v>3786.177533875546</v>
      </c>
      <c r="T79" s="45"/>
      <c r="U79" s="45"/>
      <c r="V79" s="39"/>
      <c r="W79" s="39"/>
      <c r="X79" s="106">
        <f>(W8+W41+W50+W54)/(1-'расчет 2024'!E8)*'расчет 2024'!E8</f>
        <v>10056.254690931601</v>
      </c>
      <c r="Y79" s="45"/>
      <c r="Z79" s="45"/>
      <c r="AA79" s="39"/>
      <c r="AB79" s="39"/>
      <c r="AC79" s="106"/>
      <c r="AD79" s="79">
        <f>AC79/$AC$89</f>
        <v>0</v>
      </c>
      <c r="AE79" s="45"/>
      <c r="AF79" s="39"/>
      <c r="AG79" s="39"/>
      <c r="AH79" s="106"/>
      <c r="AI79" s="79">
        <f>AH79/$AH$89</f>
        <v>0</v>
      </c>
      <c r="AJ79" s="45"/>
      <c r="AK79" s="39"/>
      <c r="AL79" s="39"/>
      <c r="AM79" s="106">
        <f>(AL8+AL41+AL50+AL54)/(1-'расчет 2024'!E11)*'расчет 2024'!E11</f>
        <v>9031.203389830509</v>
      </c>
      <c r="AN79" s="79">
        <f>AM79/$AM$89</f>
        <v>9.0608683657117689E-2</v>
      </c>
      <c r="AO79" s="45"/>
      <c r="AP79" s="39"/>
      <c r="AQ79" s="39"/>
      <c r="AR79" s="106"/>
      <c r="AS79" s="79">
        <f>AR79/$AR$89</f>
        <v>0</v>
      </c>
      <c r="AT79" s="45"/>
      <c r="AU79" s="39"/>
      <c r="AV79" s="39"/>
      <c r="AW79" s="106"/>
      <c r="AX79" s="79">
        <f>AW79/$AR$89</f>
        <v>0</v>
      </c>
      <c r="AY79" s="45"/>
      <c r="AZ79" s="1432"/>
      <c r="BA79" s="1432"/>
      <c r="BB79" s="1480">
        <v>0</v>
      </c>
      <c r="BC79" s="1927">
        <f>BB79/$BB$89</f>
        <v>0</v>
      </c>
      <c r="BD79" s="1893"/>
      <c r="BE79" s="39">
        <f>G79+L79+Q79+V79+AA79+AF79+AK79+AP79+AU79</f>
        <v>0</v>
      </c>
      <c r="BF79" s="39">
        <f>H79+M79+R79+W79+AB79+AG79+AL79+AQ79+AV79</f>
        <v>0</v>
      </c>
      <c r="BG79" s="106">
        <f>I79+N79+S79+X79+AC79+AH79+AM79+AR79</f>
        <v>94223.914705546733</v>
      </c>
      <c r="BH79" s="45"/>
      <c r="BI79" s="45"/>
    </row>
    <row r="80" spans="1:61" ht="13.8" outlineLevel="2">
      <c r="A80" s="3"/>
      <c r="B80" s="25"/>
      <c r="C80" s="143"/>
      <c r="D80" s="144"/>
      <c r="E80" s="145"/>
      <c r="F80" s="187"/>
      <c r="G80" s="69">
        <v>0</v>
      </c>
      <c r="H80" s="69">
        <v>0</v>
      </c>
      <c r="I80" s="69"/>
      <c r="J80" s="69"/>
      <c r="K80" s="69"/>
      <c r="L80" s="39"/>
      <c r="M80" s="39"/>
      <c r="N80" s="69"/>
      <c r="O80" s="69"/>
      <c r="P80" s="69"/>
      <c r="Q80" s="39"/>
      <c r="R80" s="39"/>
      <c r="S80" s="69"/>
      <c r="T80" s="69"/>
      <c r="U80" s="69"/>
      <c r="V80" s="39"/>
      <c r="W80" s="39"/>
      <c r="X80" s="69"/>
      <c r="Y80" s="69"/>
      <c r="Z80" s="69"/>
      <c r="AA80" s="39"/>
      <c r="AB80" s="39"/>
      <c r="AC80" s="69"/>
      <c r="AD80" s="69">
        <f>AC80/$AC$89</f>
        <v>0</v>
      </c>
      <c r="AE80" s="69"/>
      <c r="AF80" s="39"/>
      <c r="AG80" s="39"/>
      <c r="AH80" s="69"/>
      <c r="AI80" s="69">
        <f>AH80/$AC$89</f>
        <v>0</v>
      </c>
      <c r="AJ80" s="69"/>
      <c r="AK80" s="39"/>
      <c r="AL80" s="39"/>
      <c r="AM80" s="69"/>
      <c r="AN80" s="69">
        <f>AM80/$AC$89</f>
        <v>0</v>
      </c>
      <c r="AO80" s="69"/>
      <c r="AP80" s="39"/>
      <c r="AQ80" s="39"/>
      <c r="AR80" s="69"/>
      <c r="AS80" s="69">
        <f>AR80/$AC$89</f>
        <v>0</v>
      </c>
      <c r="AT80" s="69"/>
      <c r="AU80" s="39"/>
      <c r="AV80" s="39"/>
      <c r="AW80" s="69"/>
      <c r="AX80" s="69">
        <f>AW80/$AC$89</f>
        <v>0</v>
      </c>
      <c r="AY80" s="69"/>
      <c r="AZ80" s="1432"/>
      <c r="BA80" s="1432"/>
      <c r="BB80" s="1894"/>
      <c r="BC80" s="1894">
        <f>BB80/$BB$89</f>
        <v>0</v>
      </c>
      <c r="BD80" s="1894"/>
      <c r="BE80" s="39"/>
      <c r="BF80" s="39"/>
      <c r="BG80" s="69"/>
      <c r="BH80" s="69"/>
      <c r="BI80" s="69"/>
    </row>
    <row r="81" spans="1:61" s="2" customFormat="1" ht="14.4" outlineLevel="1" thickBot="1">
      <c r="A81" s="26"/>
      <c r="B81" s="27" t="s">
        <v>12</v>
      </c>
      <c r="C81" s="139">
        <f>(C75+C78)-C79</f>
        <v>1269558</v>
      </c>
      <c r="D81" s="139">
        <f>(D75+D78)-D79</f>
        <v>-846586</v>
      </c>
      <c r="E81" s="140">
        <f>(E75+E78)-E79</f>
        <v>422972</v>
      </c>
      <c r="F81" s="173"/>
      <c r="G81" s="139">
        <f>(G75+G78)-G79</f>
        <v>255810.39569999994</v>
      </c>
      <c r="H81" s="139">
        <f>(H75+H78)-H79</f>
        <v>-523235.38</v>
      </c>
      <c r="I81" s="140">
        <f>(I75+I78)-I79</f>
        <v>-338775.26339090895</v>
      </c>
      <c r="J81" s="67"/>
      <c r="K81" s="67"/>
      <c r="L81" s="139">
        <f>(L75+L78)-L79</f>
        <v>0</v>
      </c>
      <c r="M81" s="139">
        <f>(M75+M78)-M79</f>
        <v>0</v>
      </c>
      <c r="N81" s="140">
        <f>(N75+N78)-N79</f>
        <v>0</v>
      </c>
      <c r="O81" s="67"/>
      <c r="P81" s="67"/>
      <c r="Q81" s="139">
        <f>(Q75+Q78)-Q79</f>
        <v>-800</v>
      </c>
      <c r="R81" s="139">
        <f>(R75+R78)-R79</f>
        <v>-30651</v>
      </c>
      <c r="S81" s="140">
        <f>(S75+S78)-S79</f>
        <v>-35237.177533875547</v>
      </c>
      <c r="T81" s="67"/>
      <c r="U81" s="67"/>
      <c r="V81" s="139">
        <f>(V75+V78)-V79</f>
        <v>320154.69400000002</v>
      </c>
      <c r="W81" s="139">
        <f>(W75+W78)-W79</f>
        <v>-69434.7</v>
      </c>
      <c r="X81" s="140">
        <f>(X75+X78)-X79</f>
        <v>240663.73930906836</v>
      </c>
      <c r="Y81" s="67"/>
      <c r="Z81" s="67"/>
      <c r="AA81" s="139">
        <f>(AA75+AA78)-AA79</f>
        <v>95783.98</v>
      </c>
      <c r="AB81" s="139">
        <f>(AB75+AB78)-AB79</f>
        <v>-20139.36</v>
      </c>
      <c r="AC81" s="140">
        <f>(AC75+AC78)-AC79</f>
        <v>75644.62</v>
      </c>
      <c r="AD81" s="67"/>
      <c r="AE81" s="67"/>
      <c r="AF81" s="139">
        <f>(AF75+AF78)-AF79</f>
        <v>-36028.016000000003</v>
      </c>
      <c r="AG81" s="139">
        <f>(AG75+AG78)-AG79</f>
        <v>-17188.23</v>
      </c>
      <c r="AH81" s="140">
        <f>(AH75+AH78)-AH79</f>
        <v>-53216.246000000006</v>
      </c>
      <c r="AI81" s="67"/>
      <c r="AJ81" s="67"/>
      <c r="AK81" s="139">
        <f>(AK75+AK78)-AK79</f>
        <v>220592.16</v>
      </c>
      <c r="AL81" s="139">
        <f>(AL75+AL78)-AL79</f>
        <v>-69501</v>
      </c>
      <c r="AM81" s="140">
        <f>(AM75+AM78)-AM79</f>
        <v>142059.95661016949</v>
      </c>
      <c r="AN81" s="67"/>
      <c r="AO81" s="67"/>
      <c r="AP81" s="139">
        <f>(AP75+AP78)-AP79</f>
        <v>45.043999999994412</v>
      </c>
      <c r="AQ81" s="139">
        <f>(AQ75+AQ78)-AQ79</f>
        <v>-14240</v>
      </c>
      <c r="AR81" s="140">
        <f>(AR75+AR78)-AR79</f>
        <v>-14194.956000000006</v>
      </c>
      <c r="AS81" s="67"/>
      <c r="AT81" s="67"/>
      <c r="AU81" s="139">
        <f>(AU75+AU78)-AU79</f>
        <v>-46</v>
      </c>
      <c r="AV81" s="139">
        <f>(AV75+AV78)-AV79</f>
        <v>0</v>
      </c>
      <c r="AW81" s="140">
        <f>(AW75+AW78)-AW79</f>
        <v>-46</v>
      </c>
      <c r="AX81" s="67"/>
      <c r="AY81" s="67"/>
      <c r="AZ81" s="1170">
        <f>(AZ75+AZ78)-AZ79</f>
        <v>-16401.671999999999</v>
      </c>
      <c r="BA81" s="1170">
        <f>(BA75+BA78)-BA79</f>
        <v>0</v>
      </c>
      <c r="BB81" s="1369">
        <f>(BB75+BB78)-BB79</f>
        <v>-16401.671999999999</v>
      </c>
      <c r="BC81" s="1364"/>
      <c r="BD81" s="1364"/>
      <c r="BE81" s="139">
        <f>(BE75+BE78)-BE79</f>
        <v>855512.25769999973</v>
      </c>
      <c r="BF81" s="139">
        <f>(BF75+BF78)-BF79</f>
        <v>-744389.66999999993</v>
      </c>
      <c r="BG81" s="140">
        <f>(BG75+BG78)-BG79</f>
        <v>16898.672994453358</v>
      </c>
      <c r="BH81" s="67"/>
      <c r="BI81" s="67"/>
    </row>
    <row r="82" spans="1:61" s="2" customFormat="1" ht="13.8" outlineLevel="2">
      <c r="A82" s="293"/>
      <c r="B82" s="6" t="s">
        <v>38</v>
      </c>
      <c r="C82" s="141"/>
      <c r="D82" s="142"/>
      <c r="E82" s="146">
        <f>C82+D82</f>
        <v>0</v>
      </c>
      <c r="F82" s="180">
        <f>E82/$E$89</f>
        <v>0</v>
      </c>
      <c r="G82" s="39"/>
      <c r="H82" s="142"/>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39"/>
      <c r="AV82" s="39"/>
      <c r="AW82" s="146">
        <f>AU82+AV82</f>
        <v>0</v>
      </c>
      <c r="AX82" s="101"/>
      <c r="AY82" s="101"/>
      <c r="AZ82" s="1432"/>
      <c r="BA82" s="1432"/>
      <c r="BB82" s="1515">
        <f>AZ82+BA82</f>
        <v>0</v>
      </c>
      <c r="BC82" s="1476"/>
      <c r="BD82" s="1476"/>
      <c r="BE82" s="39">
        <f>G82+L82</f>
        <v>0</v>
      </c>
      <c r="BF82" s="39">
        <f>H82+M82</f>
        <v>0</v>
      </c>
      <c r="BG82" s="146">
        <f>BE82+BF82</f>
        <v>0</v>
      </c>
      <c r="BH82" s="101"/>
      <c r="BI82" s="101"/>
    </row>
    <row r="83" spans="1:61" s="2" customFormat="1" ht="13.8" outlineLevel="1">
      <c r="A83" s="11"/>
      <c r="B83" s="28" t="s">
        <v>13</v>
      </c>
      <c r="C83" s="147">
        <f>(C81+C7)-C36</f>
        <v>1268558</v>
      </c>
      <c r="D83" s="147">
        <f>(D81+D7)-D36</f>
        <v>-846586</v>
      </c>
      <c r="E83" s="147">
        <f>(E81+E7)-E36</f>
        <v>421972</v>
      </c>
      <c r="F83" s="174"/>
      <c r="G83" s="147">
        <f>(G81+G7)-G36</f>
        <v>255810.39569999994</v>
      </c>
      <c r="H83" s="147">
        <f>(H81+H7)-H36</f>
        <v>-523235.38</v>
      </c>
      <c r="I83" s="148">
        <f>(I81+I7)-I36</f>
        <v>-338775.26339090895</v>
      </c>
      <c r="J83" s="70"/>
      <c r="K83" s="70"/>
      <c r="L83" s="147">
        <f>(L81+L7)-L36</f>
        <v>0</v>
      </c>
      <c r="M83" s="147">
        <f>(M81+M7)-M36</f>
        <v>0</v>
      </c>
      <c r="N83" s="148">
        <f>(N81+N7)-N36</f>
        <v>0</v>
      </c>
      <c r="O83" s="70"/>
      <c r="P83" s="70"/>
      <c r="Q83" s="147">
        <f>(Q81+Q7)-Q36</f>
        <v>-800</v>
      </c>
      <c r="R83" s="147">
        <f>(R81+R7)-R36</f>
        <v>-30651</v>
      </c>
      <c r="S83" s="148">
        <f>(S81+S7)-S36</f>
        <v>-35237.177533875547</v>
      </c>
      <c r="T83" s="70"/>
      <c r="U83" s="70"/>
      <c r="V83" s="147">
        <f>(V81+V7)-V36</f>
        <v>320154.69400000002</v>
      </c>
      <c r="W83" s="147">
        <f>(W81+W7)-W36</f>
        <v>-69434.7</v>
      </c>
      <c r="X83" s="148">
        <f>(X81+X7)-X36</f>
        <v>240663.73930906836</v>
      </c>
      <c r="Y83" s="70"/>
      <c r="Z83" s="70"/>
      <c r="AA83" s="147">
        <f>(AA81+AA7)-AA36</f>
        <v>95783.98</v>
      </c>
      <c r="AB83" s="147">
        <f>(AB81+AB7)-AB36</f>
        <v>-20139.36</v>
      </c>
      <c r="AC83" s="148">
        <f>(AC81+AC7)-AC36</f>
        <v>75644.62</v>
      </c>
      <c r="AD83" s="70"/>
      <c r="AE83" s="70"/>
      <c r="AF83" s="147">
        <f>(AF81+AF7)-AF36</f>
        <v>-36028.016000000003</v>
      </c>
      <c r="AG83" s="147">
        <f>(AG81+AG7)-AG36</f>
        <v>-17188.23</v>
      </c>
      <c r="AH83" s="148">
        <f>(AH81+AH7)-AH36</f>
        <v>-53216.246000000006</v>
      </c>
      <c r="AI83" s="70"/>
      <c r="AJ83" s="70"/>
      <c r="AK83" s="147">
        <f>(AK81+AK7)-AK36</f>
        <v>220592.16</v>
      </c>
      <c r="AL83" s="147">
        <f>(AL81+AL7)-AL36</f>
        <v>-69501</v>
      </c>
      <c r="AM83" s="148">
        <f>(AM81+AM7)-AM36</f>
        <v>142059.95661016949</v>
      </c>
      <c r="AN83" s="70"/>
      <c r="AO83" s="70"/>
      <c r="AP83" s="147">
        <f>(AP81+AP7)-AP36</f>
        <v>45.043999999994412</v>
      </c>
      <c r="AQ83" s="147">
        <f>(AQ81+AQ7)-AQ36</f>
        <v>-14240</v>
      </c>
      <c r="AR83" s="148">
        <f>(AR81+AR7)-AR36</f>
        <v>-14194.956000000006</v>
      </c>
      <c r="AS83" s="70"/>
      <c r="AT83" s="70"/>
      <c r="AU83" s="147">
        <f>(AU81+AU7)-AU36</f>
        <v>-46</v>
      </c>
      <c r="AV83" s="147">
        <f>(AV81+AV7)-AV36</f>
        <v>0</v>
      </c>
      <c r="AW83" s="148">
        <f>(AW81+AW7)-AW36</f>
        <v>-46</v>
      </c>
      <c r="AX83" s="70"/>
      <c r="AY83" s="70"/>
      <c r="AZ83" s="1896">
        <f>(AZ81+AZ7)-AZ36</f>
        <v>-16401.671999999999</v>
      </c>
      <c r="BA83" s="1896">
        <f>(BA81+BA7)-BA36</f>
        <v>0</v>
      </c>
      <c r="BB83" s="1897">
        <f>(BB81+BB7)-BB36</f>
        <v>-16401.671999999999</v>
      </c>
      <c r="BC83" s="1898"/>
      <c r="BD83" s="1898"/>
      <c r="BE83" s="147">
        <f>(BE81+BE7)-BE36</f>
        <v>855512.25769999973</v>
      </c>
      <c r="BF83" s="147">
        <f>(BF81+BF7)-BF36</f>
        <v>-744389.66999999993</v>
      </c>
      <c r="BG83" s="148">
        <f>(BG81+BG7)-BG36</f>
        <v>16898.672994453358</v>
      </c>
      <c r="BH83" s="70"/>
      <c r="BI83" s="70"/>
    </row>
    <row r="84" spans="1:61" s="2" customFormat="1" ht="14.4" outlineLevel="1" thickBot="1">
      <c r="A84" s="11"/>
      <c r="B84" s="211" t="s">
        <v>14</v>
      </c>
      <c r="C84" s="212">
        <f>C83-C73-C82</f>
        <v>1212314</v>
      </c>
      <c r="D84" s="212">
        <f>D83-D73-D82</f>
        <v>-846586</v>
      </c>
      <c r="E84" s="212">
        <f>E83-E73-E82</f>
        <v>365728</v>
      </c>
      <c r="F84" s="214"/>
      <c r="G84" s="213">
        <f>G83-G73-G82</f>
        <v>255810.39569999994</v>
      </c>
      <c r="H84" s="213">
        <f>H83-H73-H82</f>
        <v>-523235.38</v>
      </c>
      <c r="I84" s="213">
        <f>I83-I73-I82</f>
        <v>-338775.26339090895</v>
      </c>
      <c r="J84" s="82"/>
      <c r="K84" s="82"/>
      <c r="L84" s="213">
        <f>L83-L73-L82</f>
        <v>0</v>
      </c>
      <c r="M84" s="213">
        <f>M83-M73-M82</f>
        <v>0</v>
      </c>
      <c r="N84" s="213">
        <f>N83-N73-N82</f>
        <v>0</v>
      </c>
      <c r="O84" s="82"/>
      <c r="P84" s="82"/>
      <c r="Q84" s="213">
        <f>Q83-Q73-Q82</f>
        <v>-800</v>
      </c>
      <c r="R84" s="213">
        <f>R83-R73-R82</f>
        <v>-30651</v>
      </c>
      <c r="S84" s="213">
        <f>S83-S73-S82</f>
        <v>-35237.177533875547</v>
      </c>
      <c r="T84" s="82"/>
      <c r="U84" s="82"/>
      <c r="V84" s="213">
        <f>V83-V73-V82</f>
        <v>320154.69400000002</v>
      </c>
      <c r="W84" s="213">
        <f>W83-W73-W82</f>
        <v>-69434.7</v>
      </c>
      <c r="X84" s="213">
        <f>X83-X73-X82</f>
        <v>240663.73930906836</v>
      </c>
      <c r="Y84" s="82"/>
      <c r="Z84" s="82"/>
      <c r="AA84" s="213">
        <f>AA83-AA73-AA82</f>
        <v>95783.98</v>
      </c>
      <c r="AB84" s="213">
        <f>AB83-AB73-AB82</f>
        <v>-20139.36</v>
      </c>
      <c r="AC84" s="213">
        <f>AC83-AC73-AC82</f>
        <v>75644.62</v>
      </c>
      <c r="AD84" s="82"/>
      <c r="AE84" s="82"/>
      <c r="AF84" s="213">
        <f>AF83-AF73-AF82</f>
        <v>-36028.016000000003</v>
      </c>
      <c r="AG84" s="213">
        <f>AG83-AG73-AG82</f>
        <v>-17188.23</v>
      </c>
      <c r="AH84" s="213">
        <f>AH83-AH73-AH82</f>
        <v>-53216.246000000006</v>
      </c>
      <c r="AI84" s="82"/>
      <c r="AJ84" s="82"/>
      <c r="AK84" s="213">
        <f>AK83-AK73-AK82</f>
        <v>220592.16</v>
      </c>
      <c r="AL84" s="213">
        <f>AL83-AL73-AL82</f>
        <v>-69501</v>
      </c>
      <c r="AM84" s="213">
        <f>AM83-AM73-AM82</f>
        <v>142059.95661016949</v>
      </c>
      <c r="AN84" s="82"/>
      <c r="AO84" s="82"/>
      <c r="AP84" s="213">
        <f>AP83-AP73-AP82</f>
        <v>45.043999999994412</v>
      </c>
      <c r="AQ84" s="213">
        <f>AQ83-AQ73-AQ82</f>
        <v>-14240</v>
      </c>
      <c r="AR84" s="213">
        <f>AR83-AR73-AR82</f>
        <v>-14194.956000000006</v>
      </c>
      <c r="AS84" s="82"/>
      <c r="AT84" s="82"/>
      <c r="AU84" s="213">
        <f>AU83-AU73-AU82</f>
        <v>-46</v>
      </c>
      <c r="AV84" s="213">
        <f>AV83-AV73-AV82</f>
        <v>0</v>
      </c>
      <c r="AW84" s="213">
        <f>AW83-AW73-AW82</f>
        <v>-46</v>
      </c>
      <c r="AX84" s="82"/>
      <c r="AY84" s="82"/>
      <c r="AZ84" s="2077">
        <f>AZ83-AZ73-AZ82</f>
        <v>-16401.671999999999</v>
      </c>
      <c r="BA84" s="2077">
        <f>BA83-BA73-BA82</f>
        <v>0</v>
      </c>
      <c r="BB84" s="2077">
        <f>BB83-BB73-BB82</f>
        <v>-16401.671999999999</v>
      </c>
      <c r="BC84" s="2078"/>
      <c r="BD84" s="2078"/>
      <c r="BE84" s="2077">
        <f>BE83-BE73-BE82</f>
        <v>855512.25769999973</v>
      </c>
      <c r="BF84" s="2077">
        <f>BF83-BF73-BF82</f>
        <v>-744389.66999999993</v>
      </c>
      <c r="BG84" s="2077">
        <f>BG83-BG73-BG82</f>
        <v>16898.672994453358</v>
      </c>
      <c r="BH84" s="82"/>
      <c r="BI84" s="82"/>
    </row>
    <row r="85" spans="1:61" s="2" customFormat="1" ht="13.8" outlineLevel="3">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39"/>
      <c r="AV85" s="39"/>
      <c r="AW85" s="219">
        <f>AU85+AV85*1.15</f>
        <v>0</v>
      </c>
      <c r="AX85" s="102"/>
      <c r="AY85" s="102"/>
      <c r="AZ85" s="1432"/>
      <c r="BA85" s="1432"/>
      <c r="BB85" s="2012">
        <f>AZ85+BA85*1.15</f>
        <v>0</v>
      </c>
      <c r="BC85" s="1476"/>
      <c r="BD85" s="1476"/>
      <c r="BE85" s="2043">
        <f>G85+L85</f>
        <v>0</v>
      </c>
      <c r="BF85" s="2043">
        <f>H85+M85</f>
        <v>0</v>
      </c>
      <c r="BG85" s="2012">
        <f>BE85+BF85*1.15</f>
        <v>0</v>
      </c>
      <c r="BH85" s="102"/>
      <c r="BI85" s="102"/>
    </row>
    <row r="86" spans="1:61" s="2" customFormat="1" ht="27.6">
      <c r="A86" s="11"/>
      <c r="B86" s="37" t="s">
        <v>50</v>
      </c>
      <c r="C86" s="149">
        <f>C84-C85</f>
        <v>1212314</v>
      </c>
      <c r="D86" s="149">
        <f>D84-D85</f>
        <v>-846586</v>
      </c>
      <c r="E86" s="150">
        <f>E84-E85</f>
        <v>365728</v>
      </c>
      <c r="F86" s="175"/>
      <c r="G86" s="149">
        <f>G84-G85</f>
        <v>255810.39569999994</v>
      </c>
      <c r="H86" s="149">
        <f>H84-H85</f>
        <v>-523235.38</v>
      </c>
      <c r="I86" s="150">
        <f>I84-I85</f>
        <v>-338775.26339090895</v>
      </c>
      <c r="J86" s="73"/>
      <c r="K86" s="73"/>
      <c r="L86" s="150">
        <f>L84-L85</f>
        <v>0</v>
      </c>
      <c r="M86" s="150">
        <f>M84-M85</f>
        <v>0</v>
      </c>
      <c r="N86" s="150">
        <f>N84-N85</f>
        <v>0</v>
      </c>
      <c r="O86" s="73"/>
      <c r="P86" s="73"/>
      <c r="Q86" s="150">
        <f>Q84-Q85</f>
        <v>-800</v>
      </c>
      <c r="R86" s="150">
        <f>R84-R85</f>
        <v>-30651</v>
      </c>
      <c r="S86" s="150">
        <f>S84-S85</f>
        <v>-35237.177533875547</v>
      </c>
      <c r="T86" s="73"/>
      <c r="U86" s="73"/>
      <c r="V86" s="150">
        <f>V84-V85</f>
        <v>320154.69400000002</v>
      </c>
      <c r="W86" s="150">
        <f>W84-W85</f>
        <v>-69434.7</v>
      </c>
      <c r="X86" s="150">
        <f>X84-X85</f>
        <v>240663.73930906836</v>
      </c>
      <c r="Y86" s="73"/>
      <c r="Z86" s="73"/>
      <c r="AA86" s="150">
        <f>AA84-AA85</f>
        <v>95783.98</v>
      </c>
      <c r="AB86" s="150">
        <f>AB84-AB85</f>
        <v>-20139.36</v>
      </c>
      <c r="AC86" s="150">
        <f>AC84-AC85</f>
        <v>75644.62</v>
      </c>
      <c r="AD86" s="73"/>
      <c r="AE86" s="73"/>
      <c r="AF86" s="150">
        <f>AF84-AF85</f>
        <v>-36028.016000000003</v>
      </c>
      <c r="AG86" s="150">
        <f>AG84-AG85</f>
        <v>-17188.23</v>
      </c>
      <c r="AH86" s="150">
        <f>AH84-AH85</f>
        <v>-53216.246000000006</v>
      </c>
      <c r="AI86" s="73"/>
      <c r="AJ86" s="73"/>
      <c r="AK86" s="150">
        <f>AK84-AK85</f>
        <v>220592.16</v>
      </c>
      <c r="AL86" s="150">
        <f>AL84-AL85</f>
        <v>-69501</v>
      </c>
      <c r="AM86" s="150">
        <f>AM84-AM85</f>
        <v>142059.95661016949</v>
      </c>
      <c r="AN86" s="73"/>
      <c r="AO86" s="73"/>
      <c r="AP86" s="150">
        <f>AP84-AP85</f>
        <v>45.043999999994412</v>
      </c>
      <c r="AQ86" s="150">
        <f>AQ84-AQ85</f>
        <v>-14240</v>
      </c>
      <c r="AR86" s="150">
        <f>AR84-AR85</f>
        <v>-14194.956000000006</v>
      </c>
      <c r="AS86" s="73"/>
      <c r="AT86" s="73"/>
      <c r="AU86" s="150">
        <f>AU84-AU85</f>
        <v>-46</v>
      </c>
      <c r="AV86" s="150">
        <f>AV84-AV85</f>
        <v>0</v>
      </c>
      <c r="AW86" s="150">
        <f>AW84-AW85</f>
        <v>-46</v>
      </c>
      <c r="AX86" s="73"/>
      <c r="AY86" s="73"/>
      <c r="AZ86" s="1903">
        <f>AZ84-AZ85</f>
        <v>-16401.671999999999</v>
      </c>
      <c r="BA86" s="1903">
        <f>BA84-BA85</f>
        <v>0</v>
      </c>
      <c r="BB86" s="1903">
        <f>BB84-BB85</f>
        <v>-16401.671999999999</v>
      </c>
      <c r="BC86" s="1904"/>
      <c r="BD86" s="1904"/>
      <c r="BE86" s="150">
        <f>BE84-BE85</f>
        <v>855512.25769999973</v>
      </c>
      <c r="BF86" s="150">
        <f>BF84-BF85</f>
        <v>-744389.66999999993</v>
      </c>
      <c r="BG86" s="150">
        <f>BG84-BG85</f>
        <v>16898.672994453358</v>
      </c>
      <c r="BH86" s="73"/>
      <c r="BI86" s="73"/>
    </row>
    <row r="87" spans="1:61" s="2" customFormat="1" ht="14.4" thickBot="1">
      <c r="A87" s="295"/>
      <c r="B87" s="29" t="s">
        <v>51</v>
      </c>
      <c r="C87" s="155">
        <f>C86/C5</f>
        <v>0.64663644122039687</v>
      </c>
      <c r="D87" s="151" t="e">
        <f>D86/D5</f>
        <v>#DIV/0!</v>
      </c>
      <c r="E87" s="156">
        <f>E86/E5</f>
        <v>0.19507574141241732</v>
      </c>
      <c r="F87" s="176"/>
      <c r="G87" s="155">
        <f>G86/G5</f>
        <v>0.26182061891756203</v>
      </c>
      <c r="H87" s="151" t="e">
        <f>H86/H5</f>
        <v>#DIV/0!</v>
      </c>
      <c r="I87" s="156">
        <f>I86/I5</f>
        <v>-0.34673473254381859</v>
      </c>
      <c r="J87" s="75"/>
      <c r="K87" s="75"/>
      <c r="L87" s="155" t="e">
        <f>L86/L5</f>
        <v>#DIV/0!</v>
      </c>
      <c r="M87" s="151" t="e">
        <f>M86/M5</f>
        <v>#DIV/0!</v>
      </c>
      <c r="N87" s="156" t="e">
        <f>N86/N5</f>
        <v>#DIV/0!</v>
      </c>
      <c r="O87" s="75"/>
      <c r="P87" s="75"/>
      <c r="Q87" s="155" t="e">
        <f>Q86/Q5</f>
        <v>#DIV/0!</v>
      </c>
      <c r="R87" s="151" t="e">
        <f>R86/R5</f>
        <v>#DIV/0!</v>
      </c>
      <c r="S87" s="156" t="e">
        <f>S86/S5</f>
        <v>#DIV/0!</v>
      </c>
      <c r="T87" s="75"/>
      <c r="U87" s="75"/>
      <c r="V87" s="155">
        <f>V86/V5</f>
        <v>0.84430514573432003</v>
      </c>
      <c r="W87" s="151" t="e">
        <f>W86/W5</f>
        <v>#DIV/0!</v>
      </c>
      <c r="X87" s="156">
        <f>X86/X5</f>
        <v>0.63467329168789055</v>
      </c>
      <c r="Y87" s="75"/>
      <c r="Z87" s="75"/>
      <c r="AA87" s="155">
        <f>AA86/AA5</f>
        <v>0.73865227241424991</v>
      </c>
      <c r="AB87" s="151" t="e">
        <f>AB86/AB5</f>
        <v>#DIV/0!</v>
      </c>
      <c r="AC87" s="156">
        <f>AC86/AC5</f>
        <v>0.58334463089665323</v>
      </c>
      <c r="AD87" s="75"/>
      <c r="AE87" s="75"/>
      <c r="AF87" s="155" t="e">
        <f>AF86/AF5</f>
        <v>#DIV/0!</v>
      </c>
      <c r="AG87" s="151" t="e">
        <f>AG86/AG5</f>
        <v>#DIV/0!</v>
      </c>
      <c r="AH87" s="156" t="e">
        <f>AH86/AH5</f>
        <v>#DIV/0!</v>
      </c>
      <c r="AI87" s="75"/>
      <c r="AJ87" s="75"/>
      <c r="AK87" s="155">
        <f>AK86/AK5</f>
        <v>0.91254632805775115</v>
      </c>
      <c r="AL87" s="151" t="e">
        <f>AL86/AL5</f>
        <v>#DIV/0!</v>
      </c>
      <c r="AM87" s="156">
        <f>AM86/AM5</f>
        <v>0.58767406678756684</v>
      </c>
      <c r="AN87" s="75"/>
      <c r="AO87" s="75"/>
      <c r="AP87" s="155">
        <f>AP86/AP5</f>
        <v>5.264567789783159E-4</v>
      </c>
      <c r="AQ87" s="151" t="e">
        <f>AQ86/AQ5</f>
        <v>#DIV/0!</v>
      </c>
      <c r="AR87" s="156">
        <f>AR86/AR5</f>
        <v>-0.16590513305878363</v>
      </c>
      <c r="AS87" s="75"/>
      <c r="AT87" s="75"/>
      <c r="AU87" s="155" t="e">
        <f>AU86/AU5</f>
        <v>#DIV/0!</v>
      </c>
      <c r="AV87" s="151" t="e">
        <f>AV86/AV5</f>
        <v>#DIV/0!</v>
      </c>
      <c r="AW87" s="156" t="e">
        <f>AW86/AW5</f>
        <v>#DIV/0!</v>
      </c>
      <c r="AX87" s="75"/>
      <c r="AY87" s="75"/>
      <c r="AZ87" s="1171" t="e">
        <f>AZ86/AZ5</f>
        <v>#DIV/0!</v>
      </c>
      <c r="BA87" s="1172" t="e">
        <f>BA86/BA5</f>
        <v>#DIV/0!</v>
      </c>
      <c r="BB87" s="1370" t="e">
        <f>BB86/BB5</f>
        <v>#DIV/0!</v>
      </c>
      <c r="BC87" s="1365"/>
      <c r="BD87" s="1365"/>
      <c r="BE87" s="155">
        <f>BE86/BE5</f>
        <v>0.47182328413497543</v>
      </c>
      <c r="BF87" s="151" t="e">
        <f>BF86/BF5</f>
        <v>#DIV/0!</v>
      </c>
      <c r="BG87" s="156">
        <f>BG86/BG5</f>
        <v>9.3197815905075431E-3</v>
      </c>
      <c r="BH87" s="75"/>
      <c r="BI87" s="75"/>
    </row>
    <row r="88" spans="1:61"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1458"/>
      <c r="BA88" s="1458"/>
      <c r="BB88" s="1458"/>
      <c r="BC88" s="1458"/>
      <c r="BD88" s="1458"/>
      <c r="BE88" s="76"/>
      <c r="BF88" s="76"/>
      <c r="BG88" s="76"/>
      <c r="BH88" s="76"/>
      <c r="BI88" s="76"/>
    </row>
    <row r="89" spans="1:61">
      <c r="B89" s="221" t="s">
        <v>56</v>
      </c>
      <c r="C89" s="153"/>
      <c r="D89" s="153"/>
      <c r="E89" s="154">
        <f>E8+E36+E41+E50+E54+E73+E79+E82+E85</f>
        <v>1509072</v>
      </c>
      <c r="F89" s="189"/>
      <c r="I89" s="154">
        <v>1315819.7633909092</v>
      </c>
      <c r="N89" s="154">
        <f>N8+N36+N41+N50+N54+N73+N79+N82+N85</f>
        <v>0</v>
      </c>
      <c r="S89" s="154">
        <f>S8+S36+S41+S50+S54+S73+S79+S82+S85</f>
        <v>35237.177533875547</v>
      </c>
      <c r="X89" s="154">
        <f>X8+X36+X41+X50+X54+X73+X79+X82+X85</f>
        <v>138529.3706909316</v>
      </c>
      <c r="AC89" s="154">
        <f>AC8+AC36+AC41+AC50+AC54+AC73+AC79+AC82+AC85</f>
        <v>54029.36</v>
      </c>
      <c r="AH89" s="154">
        <f>AH8+AH36+AH41+AH50+AH54+AH73+AH79+AH82+AH85</f>
        <v>53216.246000000006</v>
      </c>
      <c r="AM89" s="154">
        <f>AM8+AM36+AM41+AM50+AM54+AM73+AM79+AM82+AM85</f>
        <v>99672.603389830503</v>
      </c>
      <c r="AR89" s="154">
        <f>AR8+AR36+AR41+AR50+AR54+AR73+AR79+AR82+AR85</f>
        <v>99755.635999999999</v>
      </c>
      <c r="AW89" s="154">
        <f>AW8+AW36+AW41+AW50+AW54+AW73+AW79+AW82+AW85</f>
        <v>46</v>
      </c>
      <c r="BB89" s="1523">
        <f>BB8+BB36+BB41+BB50+BB54+BB73+BB79+BB82+BB85</f>
        <v>16401.671999999999</v>
      </c>
      <c r="BG89" s="154">
        <f>BG8+BG36+BG41+BG50+BG54+BG73+BG79+BG82+BG85</f>
        <v>1796306.1570055466</v>
      </c>
    </row>
    <row r="90" spans="1:61">
      <c r="C90" s="153"/>
      <c r="D90" s="153"/>
      <c r="E90" s="153"/>
      <c r="BG90" s="395" t="b">
        <f>(S89+N89+I89+X89+AC89+AH89+AM89+AR89+AW89)=BG89</f>
        <v>1</v>
      </c>
    </row>
    <row r="91" spans="1:61"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1431"/>
      <c r="BA91" s="1431"/>
      <c r="BB91" s="1431"/>
      <c r="BC91" s="1431"/>
      <c r="BD91" s="1431"/>
      <c r="BE91" s="38"/>
      <c r="BF91" s="38"/>
      <c r="BG91" s="38"/>
      <c r="BH91" s="38"/>
      <c r="BI91" s="38"/>
    </row>
    <row r="92" spans="1:61">
      <c r="C92" s="38"/>
      <c r="D92" s="38"/>
    </row>
    <row r="93" spans="1:61"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1431"/>
      <c r="BA93" s="1431"/>
      <c r="BB93" s="1431"/>
      <c r="BC93" s="1431"/>
      <c r="BD93" s="1431"/>
      <c r="BE93" s="38"/>
      <c r="BF93" s="38"/>
      <c r="BG93" s="38"/>
      <c r="BH93" s="38"/>
      <c r="BI93" s="38"/>
    </row>
    <row r="94" spans="1:61"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1431"/>
      <c r="BA94" s="1431"/>
      <c r="BB94" s="1431"/>
      <c r="BC94" s="1431"/>
      <c r="BD94" s="1431"/>
      <c r="BE94" s="38"/>
      <c r="BF94" s="38"/>
      <c r="BG94" s="38"/>
      <c r="BH94" s="38"/>
      <c r="BI94" s="38"/>
    </row>
    <row r="95" spans="1:61" s="2" customFormat="1">
      <c r="A95" s="8"/>
      <c r="B95" s="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1431"/>
      <c r="BA95" s="1431"/>
      <c r="BB95" s="1431"/>
      <c r="BC95" s="1431"/>
      <c r="BD95" s="1431"/>
      <c r="BE95" s="38"/>
      <c r="BF95" s="38"/>
      <c r="BG95" s="38"/>
      <c r="BH95" s="38"/>
      <c r="BI95" s="38"/>
    </row>
    <row r="96" spans="1:61"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1431"/>
      <c r="BA96" s="1431"/>
      <c r="BB96" s="1431"/>
      <c r="BC96" s="1431"/>
      <c r="BD96" s="1431"/>
      <c r="BE96" s="38"/>
      <c r="BF96" s="38"/>
      <c r="BG96" s="38"/>
      <c r="BH96" s="38"/>
      <c r="BI96" s="38"/>
    </row>
    <row r="97" spans="1:61">
      <c r="C97" s="38"/>
      <c r="D97" s="38"/>
    </row>
    <row r="98" spans="1:61"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1431"/>
      <c r="BA98" s="1431"/>
      <c r="BB98" s="1431"/>
      <c r="BC98" s="1431"/>
      <c r="BD98" s="1431"/>
      <c r="BE98" s="38"/>
      <c r="BF98" s="38"/>
      <c r="BG98" s="38"/>
      <c r="BH98" s="38"/>
      <c r="BI98" s="38"/>
    </row>
    <row r="99" spans="1:61">
      <c r="C99" s="38"/>
      <c r="D99" s="38"/>
    </row>
  </sheetData>
  <mergeCells count="14">
    <mergeCell ref="BE2:BH3"/>
    <mergeCell ref="A3:F3"/>
    <mergeCell ref="A42:A48"/>
    <mergeCell ref="A2:F2"/>
    <mergeCell ref="G2:K3"/>
    <mergeCell ref="L2:O3"/>
    <mergeCell ref="Q2:U3"/>
    <mergeCell ref="V2:Z3"/>
    <mergeCell ref="AA2:AE3"/>
    <mergeCell ref="AF2:AJ3"/>
    <mergeCell ref="AK2:AO3"/>
    <mergeCell ref="AP2:AT3"/>
    <mergeCell ref="AU2:AY3"/>
    <mergeCell ref="AZ2:BD3"/>
  </mergeCells>
  <pageMargins left="0.39370078740157483" right="0.19685039370078741" top="0.19685039370078741" bottom="0.19685039370078741" header="0.11811023622047245" footer="0.11811023622047245"/>
  <pageSetup paperSize="9" scale="36" orientation="portrait" horizontalDpi="4294967295" verticalDpi="4294967295"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177D7"/>
  </sheetPr>
  <dimension ref="A1:CN133"/>
  <sheetViews>
    <sheetView zoomScale="70" zoomScaleNormal="70" workbookViewId="0">
      <pane xSplit="6" ySplit="4" topLeftCell="AP80" activePane="bottomRight" state="frozen"/>
      <selection pane="topRight" activeCell="G1" sqref="G1"/>
      <selection pane="bottomLeft" activeCell="A5" sqref="A5"/>
      <selection pane="bottomRight" activeCell="CB96" sqref="CB96"/>
    </sheetView>
  </sheetViews>
  <sheetFormatPr defaultColWidth="7.44140625" defaultRowHeight="13.2" outlineLevelRow="3" outlineLevelCol="1"/>
  <cols>
    <col min="1" max="1" width="4.44140625" style="1402" customWidth="1"/>
    <col min="2" max="2" width="55" style="1402" customWidth="1"/>
    <col min="3" max="4" width="14.5546875" style="1459" customWidth="1"/>
    <col min="5" max="5" width="14.5546875" style="1952" customWidth="1"/>
    <col min="6" max="6" width="11" style="1952" hidden="1" customWidth="1" outlineLevel="1"/>
    <col min="7" max="16" width="16.6640625" style="1952" hidden="1" customWidth="1" outlineLevel="1"/>
    <col min="17" max="17" width="2.6640625" style="1952" customWidth="1" collapsed="1"/>
    <col min="18" max="21" width="16.6640625" style="1952" hidden="1" customWidth="1" outlineLevel="1"/>
    <col min="22" max="27" width="17.88671875" style="1952" hidden="1" customWidth="1" outlineLevel="1"/>
    <col min="28" max="28" width="16.6640625" style="1952" hidden="1" customWidth="1" outlineLevel="1" collapsed="1"/>
    <col min="29" max="31" width="16.6640625" style="1952" hidden="1" customWidth="1" outlineLevel="1"/>
    <col min="32" max="32" width="17.88671875" style="1952" hidden="1" customWidth="1" outlineLevel="1"/>
    <col min="33" max="36" width="16.6640625" style="1952" hidden="1" customWidth="1" outlineLevel="1"/>
    <col min="37" max="37" width="17.88671875" style="1952" hidden="1" customWidth="1" outlineLevel="1"/>
    <col min="38" max="41" width="16.6640625" style="1952" hidden="1" customWidth="1" outlineLevel="1"/>
    <col min="42" max="42" width="17.88671875" style="1952" hidden="1" customWidth="1" outlineLevel="1"/>
    <col min="43" max="43" width="18.21875" style="1952" hidden="1" customWidth="1" outlineLevel="1"/>
    <col min="44" max="46" width="16.6640625" style="1952" hidden="1" customWidth="1" outlineLevel="1"/>
    <col min="47" max="47" width="17.88671875" style="1952" hidden="1" customWidth="1" outlineLevel="1"/>
    <col min="48" max="51" width="16.6640625" style="1952" hidden="1" customWidth="1" outlineLevel="1"/>
    <col min="52" max="52" width="17.88671875" style="1952" hidden="1" customWidth="1" outlineLevel="1"/>
    <col min="53" max="56" width="16.6640625" style="1952" hidden="1" customWidth="1" outlineLevel="1"/>
    <col min="57" max="57" width="17.88671875" style="1952" hidden="1" customWidth="1" outlineLevel="1"/>
    <col min="58" max="61" width="16.6640625" style="1952" hidden="1" customWidth="1" outlineLevel="1"/>
    <col min="62" max="62" width="17.88671875" style="1952" hidden="1" customWidth="1" outlineLevel="1"/>
    <col min="63" max="66" width="16.6640625" style="1952" hidden="1" customWidth="1" outlineLevel="1"/>
    <col min="67" max="67" width="17.88671875" style="1952" hidden="1" customWidth="1" outlineLevel="1"/>
    <col min="68" max="68" width="16.6640625" style="1952" hidden="1" customWidth="1" outlineLevel="1" collapsed="1"/>
    <col min="69" max="71" width="16.6640625" style="1952" hidden="1" customWidth="1" outlineLevel="1"/>
    <col min="72" max="72" width="17.88671875" style="1952" hidden="1" customWidth="1" outlineLevel="1"/>
    <col min="73" max="76" width="16.6640625" style="1952" hidden="1" customWidth="1" outlineLevel="1"/>
    <col min="77" max="77" width="17.88671875" style="1952" hidden="1" customWidth="1" outlineLevel="1"/>
    <col min="78" max="78" width="16.6640625" style="1952" customWidth="1" collapsed="1"/>
    <col min="79" max="83" width="16.6640625" style="1952" customWidth="1"/>
    <col min="84" max="84" width="17" style="1395" bestFit="1" customWidth="1"/>
    <col min="85" max="85" width="16.6640625" style="1395" bestFit="1" customWidth="1"/>
    <col min="86" max="86" width="18.44140625" style="1395" customWidth="1"/>
    <col min="87" max="87" width="19.44140625" style="1395" customWidth="1"/>
    <col min="88" max="88" width="12.6640625" style="1395" bestFit="1" customWidth="1"/>
    <col min="89" max="90" width="15.33203125" style="1395" customWidth="1"/>
    <col min="91" max="91" width="7.44140625" style="1395"/>
    <col min="92" max="92" width="11.44140625" style="1395" bestFit="1" customWidth="1"/>
    <col min="93" max="16384" width="7.44140625" style="1395"/>
  </cols>
  <sheetData>
    <row r="1" spans="1:92" ht="13.8" thickBot="1">
      <c r="C1" s="1952"/>
      <c r="D1" s="1952"/>
      <c r="CF1" s="928"/>
    </row>
    <row r="2" spans="1:92" ht="22.2" customHeight="1" thickBot="1">
      <c r="A2" s="4834" t="s">
        <v>1784</v>
      </c>
      <c r="B2" s="4835"/>
      <c r="C2" s="4835"/>
      <c r="D2" s="4835"/>
      <c r="E2" s="4835"/>
      <c r="F2" s="4836"/>
      <c r="G2" s="4982" t="s">
        <v>1851</v>
      </c>
      <c r="H2" s="4983"/>
      <c r="I2" s="4983"/>
      <c r="J2" s="4983"/>
      <c r="K2" s="4984"/>
      <c r="L2" s="4982" t="s">
        <v>1852</v>
      </c>
      <c r="M2" s="4983"/>
      <c r="N2" s="4983"/>
      <c r="O2" s="4983"/>
      <c r="P2" s="4984"/>
      <c r="Q2" s="3337"/>
      <c r="R2" s="5006">
        <v>45292</v>
      </c>
      <c r="S2" s="5007"/>
      <c r="T2" s="5007"/>
      <c r="U2" s="5007"/>
      <c r="V2" s="5008"/>
      <c r="W2" s="5054">
        <v>45323</v>
      </c>
      <c r="X2" s="5055"/>
      <c r="Y2" s="5055"/>
      <c r="Z2" s="5055"/>
      <c r="AA2" s="5056"/>
      <c r="AB2" s="5036">
        <v>45352</v>
      </c>
      <c r="AC2" s="5037"/>
      <c r="AD2" s="5037"/>
      <c r="AE2" s="5037"/>
      <c r="AF2" s="5038"/>
      <c r="AG2" s="5042">
        <v>45383</v>
      </c>
      <c r="AH2" s="5043"/>
      <c r="AI2" s="5043"/>
      <c r="AJ2" s="5043"/>
      <c r="AK2" s="5044"/>
      <c r="AL2" s="5048">
        <v>45413</v>
      </c>
      <c r="AM2" s="5049"/>
      <c r="AN2" s="5049"/>
      <c r="AO2" s="5049"/>
      <c r="AP2" s="5050"/>
      <c r="AQ2" s="5006">
        <v>45444</v>
      </c>
      <c r="AR2" s="5007"/>
      <c r="AS2" s="5007"/>
      <c r="AT2" s="5007"/>
      <c r="AU2" s="5008"/>
      <c r="AV2" s="5012">
        <v>45474</v>
      </c>
      <c r="AW2" s="5013"/>
      <c r="AX2" s="5013"/>
      <c r="AY2" s="5013"/>
      <c r="AZ2" s="5014"/>
      <c r="BA2" s="5024">
        <v>45505</v>
      </c>
      <c r="BB2" s="5025"/>
      <c r="BC2" s="5025"/>
      <c r="BD2" s="5025"/>
      <c r="BE2" s="5026"/>
      <c r="BF2" s="5030">
        <v>45536</v>
      </c>
      <c r="BG2" s="5031"/>
      <c r="BH2" s="5031"/>
      <c r="BI2" s="5031"/>
      <c r="BJ2" s="5032"/>
      <c r="BK2" s="5006">
        <v>45566</v>
      </c>
      <c r="BL2" s="5007"/>
      <c r="BM2" s="5007"/>
      <c r="BN2" s="5007"/>
      <c r="BO2" s="5008"/>
      <c r="BP2" s="5012">
        <v>45597</v>
      </c>
      <c r="BQ2" s="5013"/>
      <c r="BR2" s="5013"/>
      <c r="BS2" s="5013"/>
      <c r="BT2" s="5014"/>
      <c r="BU2" s="5018">
        <v>45627</v>
      </c>
      <c r="BV2" s="5019"/>
      <c r="BW2" s="5019"/>
      <c r="BX2" s="5019"/>
      <c r="BY2" s="5020"/>
      <c r="BZ2" s="4874" t="s">
        <v>171</v>
      </c>
      <c r="CA2" s="4875"/>
      <c r="CB2" s="4875"/>
      <c r="CC2" s="4875"/>
      <c r="CD2" s="4876"/>
      <c r="CE2" s="2155"/>
      <c r="CF2" s="928"/>
    </row>
    <row r="3" spans="1:92" ht="14.4" customHeight="1" thickBot="1">
      <c r="A3" s="4834" t="s">
        <v>54</v>
      </c>
      <c r="B3" s="4835"/>
      <c r="C3" s="4835"/>
      <c r="D3" s="4835"/>
      <c r="E3" s="4835"/>
      <c r="F3" s="4836"/>
      <c r="G3" s="4985"/>
      <c r="H3" s="4986"/>
      <c r="I3" s="4986"/>
      <c r="J3" s="4986"/>
      <c r="K3" s="4987"/>
      <c r="L3" s="4985"/>
      <c r="M3" s="4986"/>
      <c r="N3" s="4986"/>
      <c r="O3" s="4986"/>
      <c r="P3" s="4987"/>
      <c r="Q3" s="3338"/>
      <c r="R3" s="5009"/>
      <c r="S3" s="5010"/>
      <c r="T3" s="5010"/>
      <c r="U3" s="5010"/>
      <c r="V3" s="5011"/>
      <c r="W3" s="5057"/>
      <c r="X3" s="5058"/>
      <c r="Y3" s="5058"/>
      <c r="Z3" s="5058"/>
      <c r="AA3" s="5059"/>
      <c r="AB3" s="5039"/>
      <c r="AC3" s="5040"/>
      <c r="AD3" s="5040"/>
      <c r="AE3" s="5040"/>
      <c r="AF3" s="5041"/>
      <c r="AG3" s="5045"/>
      <c r="AH3" s="5046"/>
      <c r="AI3" s="5046"/>
      <c r="AJ3" s="5046"/>
      <c r="AK3" s="5047"/>
      <c r="AL3" s="5051"/>
      <c r="AM3" s="5052"/>
      <c r="AN3" s="5052"/>
      <c r="AO3" s="5052"/>
      <c r="AP3" s="5053"/>
      <c r="AQ3" s="5009"/>
      <c r="AR3" s="5010"/>
      <c r="AS3" s="5010"/>
      <c r="AT3" s="5010"/>
      <c r="AU3" s="5011"/>
      <c r="AV3" s="5015"/>
      <c r="AW3" s="5016"/>
      <c r="AX3" s="5016"/>
      <c r="AY3" s="5016"/>
      <c r="AZ3" s="5017"/>
      <c r="BA3" s="5027"/>
      <c r="BB3" s="5028"/>
      <c r="BC3" s="5028"/>
      <c r="BD3" s="5028"/>
      <c r="BE3" s="5029"/>
      <c r="BF3" s="5033"/>
      <c r="BG3" s="5034"/>
      <c r="BH3" s="5034"/>
      <c r="BI3" s="5034"/>
      <c r="BJ3" s="5035"/>
      <c r="BK3" s="5009"/>
      <c r="BL3" s="5010"/>
      <c r="BM3" s="5010"/>
      <c r="BN3" s="5010"/>
      <c r="BO3" s="5011"/>
      <c r="BP3" s="5015"/>
      <c r="BQ3" s="5016"/>
      <c r="BR3" s="5016"/>
      <c r="BS3" s="5016"/>
      <c r="BT3" s="5017"/>
      <c r="BU3" s="5021"/>
      <c r="BV3" s="5022"/>
      <c r="BW3" s="5022"/>
      <c r="BX3" s="5022"/>
      <c r="BY3" s="5023"/>
      <c r="BZ3" s="4877"/>
      <c r="CA3" s="4878"/>
      <c r="CB3" s="4878"/>
      <c r="CC3" s="4878"/>
      <c r="CD3" s="4879"/>
      <c r="CE3" s="2155"/>
      <c r="CF3" s="928"/>
    </row>
    <row r="4" spans="1:92" ht="31.2" thickBot="1">
      <c r="A4" s="1471"/>
      <c r="B4" s="1474" t="s">
        <v>11</v>
      </c>
      <c r="C4" s="1573" t="s">
        <v>55</v>
      </c>
      <c r="D4" s="1573" t="s">
        <v>18</v>
      </c>
      <c r="E4" s="1574" t="s">
        <v>39</v>
      </c>
      <c r="F4" s="1962" t="s">
        <v>40</v>
      </c>
      <c r="G4" s="1956" t="s">
        <v>55</v>
      </c>
      <c r="H4" s="1956" t="s">
        <v>18</v>
      </c>
      <c r="I4" s="1474" t="s">
        <v>39</v>
      </c>
      <c r="J4" s="1962" t="s">
        <v>40</v>
      </c>
      <c r="K4" s="1474" t="s">
        <v>19</v>
      </c>
      <c r="L4" s="1956" t="s">
        <v>55</v>
      </c>
      <c r="M4" s="1956" t="s">
        <v>18</v>
      </c>
      <c r="N4" s="1474" t="s">
        <v>39</v>
      </c>
      <c r="O4" s="1962" t="s">
        <v>40</v>
      </c>
      <c r="P4" s="1474" t="s">
        <v>19</v>
      </c>
      <c r="Q4" s="1962"/>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4496"/>
      <c r="CF4" s="928"/>
      <c r="CH4" s="1395" t="s">
        <v>2032</v>
      </c>
      <c r="CI4" s="1395" t="s">
        <v>2033</v>
      </c>
      <c r="CK4" s="1395" t="s">
        <v>2038</v>
      </c>
    </row>
    <row r="5" spans="1:92" s="2466" customFormat="1" ht="24.6" customHeight="1" thickBot="1">
      <c r="A5" s="1462"/>
      <c r="B5" s="970" t="s">
        <v>10</v>
      </c>
      <c r="C5" s="1464">
        <f>C6</f>
        <v>11008510</v>
      </c>
      <c r="D5" s="1464">
        <f>D6</f>
        <v>0</v>
      </c>
      <c r="E5" s="1955">
        <f>E6</f>
        <v>11008510</v>
      </c>
      <c r="F5" s="1466"/>
      <c r="G5" s="1955">
        <f>SUM(G6:G7)</f>
        <v>4486118.74</v>
      </c>
      <c r="H5" s="1466">
        <f t="shared" ref="H5:I5" si="0">SUM(H6:H7)</f>
        <v>0</v>
      </c>
      <c r="I5" s="1466">
        <f t="shared" si="0"/>
        <v>4486118.74</v>
      </c>
      <c r="J5" s="1466"/>
      <c r="K5" s="1466"/>
      <c r="L5" s="1955">
        <f>SUM(L6:L7)</f>
        <v>6542389.9000000004</v>
      </c>
      <c r="M5" s="1466">
        <f t="shared" ref="M5:N5" si="1">SUM(M6:M7)</f>
        <v>0</v>
      </c>
      <c r="N5" s="1466">
        <f t="shared" si="1"/>
        <v>6542389.9000000004</v>
      </c>
      <c r="O5" s="1466"/>
      <c r="P5" s="1466"/>
      <c r="Q5" s="1955"/>
      <c r="R5" s="1955">
        <f>SUM(R6:R7)</f>
        <v>0</v>
      </c>
      <c r="S5" s="1955">
        <f>SUM(S6:S7)</f>
        <v>0</v>
      </c>
      <c r="T5" s="1955">
        <f>SUM(T6:T7)</f>
        <v>0</v>
      </c>
      <c r="U5" s="1466"/>
      <c r="V5" s="1466"/>
      <c r="W5" s="1955">
        <f>SUM(W6:W7)</f>
        <v>3504300.1500000004</v>
      </c>
      <c r="X5" s="1955">
        <f>SUM(X6:X7)</f>
        <v>0</v>
      </c>
      <c r="Y5" s="1955">
        <f>SUM(Y6:Y7)</f>
        <v>3504300.1500000004</v>
      </c>
      <c r="Z5" s="1466"/>
      <c r="AA5" s="1466"/>
      <c r="AB5" s="1955">
        <f t="shared" ref="AB5:AD5" si="2">SUM(AB6:AB7)</f>
        <v>3018091.1100000003</v>
      </c>
      <c r="AC5" s="1955">
        <f t="shared" si="2"/>
        <v>0</v>
      </c>
      <c r="AD5" s="1955">
        <f t="shared" si="2"/>
        <v>3018091.1100000003</v>
      </c>
      <c r="AE5" s="1466"/>
      <c r="AF5" s="1466"/>
      <c r="AG5" s="1955">
        <f t="shared" ref="AG5:AI5" si="3">SUM(AG6:AG7)</f>
        <v>19998.64</v>
      </c>
      <c r="AH5" s="1955">
        <f t="shared" si="3"/>
        <v>0</v>
      </c>
      <c r="AI5" s="1955">
        <f t="shared" si="3"/>
        <v>19998.64</v>
      </c>
      <c r="AJ5" s="1466"/>
      <c r="AK5" s="1466"/>
      <c r="AL5" s="1955">
        <f t="shared" ref="AL5:AN5" si="4">SUM(AL6:AL7)</f>
        <v>0</v>
      </c>
      <c r="AM5" s="1955">
        <f t="shared" si="4"/>
        <v>0</v>
      </c>
      <c r="AN5" s="1955">
        <f t="shared" si="4"/>
        <v>0</v>
      </c>
      <c r="AO5" s="1466"/>
      <c r="AP5" s="1466"/>
      <c r="AQ5" s="1955">
        <f t="shared" ref="AQ5:AS5" si="5">SUM(AQ6:AQ7)</f>
        <v>0</v>
      </c>
      <c r="AR5" s="1955">
        <f t="shared" si="5"/>
        <v>0</v>
      </c>
      <c r="AS5" s="1955">
        <f t="shared" si="5"/>
        <v>0</v>
      </c>
      <c r="AT5" s="1466"/>
      <c r="AU5" s="1466"/>
      <c r="AV5" s="1955">
        <f t="shared" ref="AV5:AX5" si="6">SUM(AV6:AV7)</f>
        <v>0</v>
      </c>
      <c r="AW5" s="1955">
        <f t="shared" si="6"/>
        <v>0</v>
      </c>
      <c r="AX5" s="1955">
        <f t="shared" si="6"/>
        <v>0</v>
      </c>
      <c r="AY5" s="1466"/>
      <c r="AZ5" s="1466"/>
      <c r="BA5" s="1955">
        <f t="shared" ref="BA5:BC5" si="7">SUM(BA6:BA7)</f>
        <v>0</v>
      </c>
      <c r="BB5" s="1955">
        <f t="shared" si="7"/>
        <v>0</v>
      </c>
      <c r="BC5" s="1955">
        <f t="shared" si="7"/>
        <v>0</v>
      </c>
      <c r="BD5" s="1466"/>
      <c r="BE5" s="1466"/>
      <c r="BF5" s="1955">
        <f t="shared" ref="BF5:BH5" si="8">SUM(BF6:BF7)</f>
        <v>0</v>
      </c>
      <c r="BG5" s="1955">
        <f t="shared" si="8"/>
        <v>0</v>
      </c>
      <c r="BH5" s="1955">
        <f t="shared" si="8"/>
        <v>0</v>
      </c>
      <c r="BI5" s="1466"/>
      <c r="BJ5" s="1466"/>
      <c r="BK5" s="1955">
        <f t="shared" ref="BK5:BM5" si="9">SUM(BK6:BK7)</f>
        <v>0</v>
      </c>
      <c r="BL5" s="1955">
        <f t="shared" si="9"/>
        <v>0</v>
      </c>
      <c r="BM5" s="1955">
        <f t="shared" si="9"/>
        <v>0</v>
      </c>
      <c r="BN5" s="1466"/>
      <c r="BO5" s="1466"/>
      <c r="BP5" s="1955">
        <f t="shared" ref="BP5:BR5" si="10">SUM(BP6:BP7)</f>
        <v>0</v>
      </c>
      <c r="BQ5" s="1955">
        <f t="shared" si="10"/>
        <v>0</v>
      </c>
      <c r="BR5" s="1955">
        <f t="shared" si="10"/>
        <v>0</v>
      </c>
      <c r="BS5" s="1466"/>
      <c r="BT5" s="1466"/>
      <c r="BU5" s="1955">
        <f t="shared" ref="BU5:BW5" si="11">SUM(BU6:BU7)</f>
        <v>0</v>
      </c>
      <c r="BV5" s="1955">
        <f t="shared" si="11"/>
        <v>0</v>
      </c>
      <c r="BW5" s="1955">
        <f t="shared" si="11"/>
        <v>0</v>
      </c>
      <c r="BX5" s="1466"/>
      <c r="BY5" s="1466"/>
      <c r="BZ5" s="1466">
        <f>BZ6+BZ7</f>
        <v>11028508.640000001</v>
      </c>
      <c r="CA5" s="1466">
        <f>CA6+CA7</f>
        <v>0</v>
      </c>
      <c r="CB5" s="1466">
        <f>CB6+CB7</f>
        <v>11028508.640000001</v>
      </c>
      <c r="CC5" s="1466"/>
      <c r="CD5" s="1466"/>
      <c r="CE5" s="4497"/>
      <c r="CF5" s="2623">
        <v>11069426.24</v>
      </c>
      <c r="CG5" s="2623">
        <f>CB5-CF5</f>
        <v>-40917.599999999627</v>
      </c>
      <c r="CH5" s="2623">
        <v>-7646.4000000003725</v>
      </c>
      <c r="CI5" s="2623">
        <v>-6000</v>
      </c>
      <c r="CJ5" s="2623">
        <v>-16965.019999999553</v>
      </c>
      <c r="CK5" s="2623">
        <f>CG7-CH5-CI5-CJ5</f>
        <v>-10306.18000000008</v>
      </c>
    </row>
    <row r="6" spans="1:92" s="1396" customFormat="1" ht="24.6" customHeight="1" outlineLevel="1">
      <c r="A6" s="1572"/>
      <c r="B6" s="1424" t="s">
        <v>17</v>
      </c>
      <c r="C6" s="1974">
        <v>11008510</v>
      </c>
      <c r="D6" s="2011"/>
      <c r="E6" s="3081">
        <f>C6+D6</f>
        <v>11008510</v>
      </c>
      <c r="F6" s="4498"/>
      <c r="G6" s="2051">
        <v>4486118.74</v>
      </c>
      <c r="H6" s="2051">
        <v>0</v>
      </c>
      <c r="I6" s="3081">
        <f>G6+H6</f>
        <v>4486118.74</v>
      </c>
      <c r="J6" s="4498"/>
      <c r="K6" s="4499"/>
      <c r="L6" s="2051">
        <f>R6+W6+AB6+AG6+AL6+AQ6+AV6+BA6+BF6+BK6+BP6+BU6</f>
        <v>6542389.9000000004</v>
      </c>
      <c r="M6" s="2051">
        <f>S6+X6+AC6+AH6+AM6+AR6+AW6+BB6+BG6+BL6+BQ6+BV6</f>
        <v>0</v>
      </c>
      <c r="N6" s="3081">
        <f>L6+M6</f>
        <v>6542389.9000000004</v>
      </c>
      <c r="O6" s="4498"/>
      <c r="P6" s="4499"/>
      <c r="Q6" s="2051"/>
      <c r="R6" s="2051"/>
      <c r="S6" s="4498"/>
      <c r="T6" s="3081">
        <f>R6+S6</f>
        <v>0</v>
      </c>
      <c r="U6" s="4498"/>
      <c r="V6" s="4499"/>
      <c r="W6" s="2051">
        <f>559012.18+142189.12+10855.73+362721.46+2429521.66</f>
        <v>3504300.1500000004</v>
      </c>
      <c r="X6" s="4498"/>
      <c r="Y6" s="3081">
        <f>W6+X6</f>
        <v>3504300.1500000004</v>
      </c>
      <c r="Z6" s="4498"/>
      <c r="AA6" s="4499" t="s">
        <v>1957</v>
      </c>
      <c r="AB6" s="2051">
        <f>413721.95+1036264.55+1138171.16+200009.66+229923.79</f>
        <v>3018091.1100000003</v>
      </c>
      <c r="AC6" s="4498"/>
      <c r="AD6" s="3081">
        <f t="shared" ref="AD6:AD7" si="12">AB6+AC6</f>
        <v>3018091.1100000003</v>
      </c>
      <c r="AE6" s="4498"/>
      <c r="AF6" s="4499" t="s">
        <v>1964</v>
      </c>
      <c r="AG6" s="2051">
        <v>19998.64</v>
      </c>
      <c r="AH6" s="4498"/>
      <c r="AI6" s="3081">
        <f t="shared" ref="AI6:AI7" si="13">AG6+AH6</f>
        <v>19998.64</v>
      </c>
      <c r="AJ6" s="4498"/>
      <c r="AK6" s="4499" t="s">
        <v>2034</v>
      </c>
      <c r="AL6" s="2051"/>
      <c r="AM6" s="4498"/>
      <c r="AN6" s="3081">
        <f t="shared" ref="AN6:AN7" si="14">AL6+AM6</f>
        <v>0</v>
      </c>
      <c r="AO6" s="4498"/>
      <c r="AP6" s="4499"/>
      <c r="AQ6" s="2051"/>
      <c r="AR6" s="4498"/>
      <c r="AS6" s="3081">
        <f t="shared" ref="AS6:AS7" si="15">AQ6+AR6</f>
        <v>0</v>
      </c>
      <c r="AT6" s="4498"/>
      <c r="AU6" s="4499"/>
      <c r="AV6" s="2051"/>
      <c r="AW6" s="4498"/>
      <c r="AX6" s="3081">
        <f t="shared" ref="AX6:AX7" si="16">AV6+AW6</f>
        <v>0</v>
      </c>
      <c r="AY6" s="4498"/>
      <c r="AZ6" s="4499"/>
      <c r="BA6" s="2051"/>
      <c r="BB6" s="4498"/>
      <c r="BC6" s="3081">
        <f t="shared" ref="BC6:BC7" si="17">BA6+BB6</f>
        <v>0</v>
      </c>
      <c r="BD6" s="4498"/>
      <c r="BE6" s="4499"/>
      <c r="BF6" s="2051"/>
      <c r="BG6" s="4498"/>
      <c r="BH6" s="3081">
        <f t="shared" ref="BH6:BH7" si="18">BF6+BG6</f>
        <v>0</v>
      </c>
      <c r="BI6" s="4498"/>
      <c r="BJ6" s="4499"/>
      <c r="BK6" s="2051"/>
      <c r="BL6" s="4498"/>
      <c r="BM6" s="3081">
        <f t="shared" ref="BM6:BM7" si="19">BK6+BL6</f>
        <v>0</v>
      </c>
      <c r="BN6" s="4498"/>
      <c r="BO6" s="4499"/>
      <c r="BP6" s="2051"/>
      <c r="BQ6" s="4498"/>
      <c r="BR6" s="3081">
        <f t="shared" ref="BR6:BR7" si="20">BP6+BQ6</f>
        <v>0</v>
      </c>
      <c r="BS6" s="4498"/>
      <c r="BT6" s="4499"/>
      <c r="BU6" s="2051"/>
      <c r="BV6" s="4498"/>
      <c r="BW6" s="3081">
        <f t="shared" ref="BW6:BW7" si="21">BU6+BV6</f>
        <v>0</v>
      </c>
      <c r="BX6" s="4498"/>
      <c r="BY6" s="4499"/>
      <c r="BZ6" s="4498">
        <f>G6+L6</f>
        <v>11028508.640000001</v>
      </c>
      <c r="CA6" s="4498">
        <f>H6+M6</f>
        <v>0</v>
      </c>
      <c r="CB6" s="3186">
        <f>BZ6+CA6</f>
        <v>11028508.640000001</v>
      </c>
      <c r="CC6" s="4498"/>
      <c r="CD6" s="4498"/>
      <c r="CE6" s="1980">
        <f>CB6-E6</f>
        <v>19998.640000000596</v>
      </c>
      <c r="CF6" s="4500">
        <v>11028508.640000001</v>
      </c>
      <c r="CG6" s="4501">
        <f t="shared" ref="CG6:CG7" si="22">CB6-CF6</f>
        <v>0</v>
      </c>
    </row>
    <row r="7" spans="1:92" s="1396" customFormat="1" ht="24.6" customHeight="1" outlineLevel="1" collapsed="1" thickBot="1">
      <c r="A7" s="1572"/>
      <c r="B7" s="4502" t="s">
        <v>41</v>
      </c>
      <c r="C7" s="4503"/>
      <c r="D7" s="4504"/>
      <c r="E7" s="3081">
        <f>C7+D7</f>
        <v>0</v>
      </c>
      <c r="F7" s="4427"/>
      <c r="G7" s="2051">
        <v>0</v>
      </c>
      <c r="H7" s="4498">
        <v>0</v>
      </c>
      <c r="I7" s="3081">
        <f>G7+H7</f>
        <v>0</v>
      </c>
      <c r="J7" s="4427"/>
      <c r="K7" s="4505"/>
      <c r="L7" s="2051">
        <f>R7+W7+AB7+AG7+AL7+AQ7+AV7+BA7+BF7+BK7+BP7+BU7</f>
        <v>0</v>
      </c>
      <c r="M7" s="4498">
        <f>S7+X7+AC7+AH7+AM7+AR7+AW7+BB7+BG7+BL7+BQ7+BV7</f>
        <v>0</v>
      </c>
      <c r="N7" s="3081">
        <f>L7+M7</f>
        <v>0</v>
      </c>
      <c r="O7" s="4427"/>
      <c r="P7" s="4505"/>
      <c r="Q7" s="2029"/>
      <c r="R7" s="2051"/>
      <c r="S7" s="4498"/>
      <c r="T7" s="3081">
        <f>R7+S7</f>
        <v>0</v>
      </c>
      <c r="U7" s="4427"/>
      <c r="V7" s="4506"/>
      <c r="W7" s="2051"/>
      <c r="X7" s="4498"/>
      <c r="Y7" s="3081">
        <f>W7+X7</f>
        <v>0</v>
      </c>
      <c r="Z7" s="4427"/>
      <c r="AA7" s="4506"/>
      <c r="AB7" s="2051"/>
      <c r="AC7" s="4498"/>
      <c r="AD7" s="3081">
        <f t="shared" si="12"/>
        <v>0</v>
      </c>
      <c r="AE7" s="4427"/>
      <c r="AF7" s="4506"/>
      <c r="AG7" s="2051"/>
      <c r="AH7" s="4498"/>
      <c r="AI7" s="3081">
        <f t="shared" si="13"/>
        <v>0</v>
      </c>
      <c r="AJ7" s="4427"/>
      <c r="AK7" s="4506"/>
      <c r="AL7" s="2051"/>
      <c r="AM7" s="4498"/>
      <c r="AN7" s="3081">
        <f t="shared" si="14"/>
        <v>0</v>
      </c>
      <c r="AO7" s="4427"/>
      <c r="AP7" s="4506"/>
      <c r="AQ7" s="2051"/>
      <c r="AR7" s="4498"/>
      <c r="AS7" s="3081">
        <f t="shared" si="15"/>
        <v>0</v>
      </c>
      <c r="AT7" s="4427"/>
      <c r="AU7" s="4506"/>
      <c r="AV7" s="2051"/>
      <c r="AW7" s="4498"/>
      <c r="AX7" s="3081">
        <f t="shared" si="16"/>
        <v>0</v>
      </c>
      <c r="AY7" s="4427"/>
      <c r="AZ7" s="4506"/>
      <c r="BA7" s="2051"/>
      <c r="BB7" s="4498"/>
      <c r="BC7" s="3081">
        <f t="shared" si="17"/>
        <v>0</v>
      </c>
      <c r="BD7" s="4427"/>
      <c r="BE7" s="4506"/>
      <c r="BF7" s="2051"/>
      <c r="BG7" s="4498"/>
      <c r="BH7" s="3081">
        <f t="shared" si="18"/>
        <v>0</v>
      </c>
      <c r="BI7" s="4427"/>
      <c r="BJ7" s="4506"/>
      <c r="BK7" s="2051"/>
      <c r="BL7" s="4498"/>
      <c r="BM7" s="3081">
        <f t="shared" si="19"/>
        <v>0</v>
      </c>
      <c r="BN7" s="4427"/>
      <c r="BO7" s="4506"/>
      <c r="BP7" s="2051"/>
      <c r="BQ7" s="4498"/>
      <c r="BR7" s="3081">
        <f t="shared" si="20"/>
        <v>0</v>
      </c>
      <c r="BS7" s="4427"/>
      <c r="BT7" s="4506"/>
      <c r="BU7" s="2051"/>
      <c r="BV7" s="4498"/>
      <c r="BW7" s="3081">
        <f t="shared" si="21"/>
        <v>0</v>
      </c>
      <c r="BX7" s="4427"/>
      <c r="BY7" s="4506"/>
      <c r="BZ7" s="4498">
        <f>G7+L7</f>
        <v>0</v>
      </c>
      <c r="CA7" s="4498">
        <f>H7+M7</f>
        <v>0</v>
      </c>
      <c r="CB7" s="3186">
        <f>BZ7+CA7</f>
        <v>0</v>
      </c>
      <c r="CC7" s="4427"/>
      <c r="CD7" s="4427"/>
      <c r="CE7" s="1980">
        <f>CB7-E7</f>
        <v>0</v>
      </c>
      <c r="CF7" s="4500">
        <v>40917.600000000006</v>
      </c>
      <c r="CG7" s="4507">
        <f t="shared" si="22"/>
        <v>-40917.600000000006</v>
      </c>
    </row>
    <row r="8" spans="1:92" s="2466" customFormat="1" ht="24.6" customHeight="1" thickBot="1">
      <c r="A8" s="1572"/>
      <c r="B8" s="970" t="s">
        <v>16</v>
      </c>
      <c r="C8" s="1957">
        <f>SUM(C9:C33)</f>
        <v>4093936</v>
      </c>
      <c r="D8" s="1957">
        <f>SUM(D9:D33)</f>
        <v>3132053</v>
      </c>
      <c r="E8" s="1484">
        <f>SUM(E9:E33)</f>
        <v>7225989</v>
      </c>
      <c r="F8" s="1528">
        <f t="shared" ref="F8:F33" si="23">E8/$E$89</f>
        <v>0.89319371999557973</v>
      </c>
      <c r="G8" s="1957">
        <f>SUM(G9:G33)</f>
        <v>1962959.6495999999</v>
      </c>
      <c r="H8" s="1957">
        <f>SUM(H9:H33)</f>
        <v>761840.6</v>
      </c>
      <c r="I8" s="1484">
        <f>SUM(I9:I33)</f>
        <v>2724800.2496000002</v>
      </c>
      <c r="J8" s="1528">
        <f>I8/I$89</f>
        <v>0.91136917521439975</v>
      </c>
      <c r="K8" s="1600"/>
      <c r="L8" s="1957">
        <f>SUM(L9:L33)</f>
        <v>1921330.0739999998</v>
      </c>
      <c r="M8" s="1957">
        <f>SUM(M9:M33)</f>
        <v>1143876</v>
      </c>
      <c r="N8" s="1484">
        <f>SUM(N9:N33)</f>
        <v>3065206.074</v>
      </c>
      <c r="O8" s="1528">
        <f>N8/N$89</f>
        <v>0.8211329880228182</v>
      </c>
      <c r="P8" s="1600"/>
      <c r="Q8" s="1969"/>
      <c r="R8" s="1957">
        <f>SUM(R9:R33)</f>
        <v>105495.504</v>
      </c>
      <c r="S8" s="1957">
        <f>SUM(S9:S33)</f>
        <v>203400</v>
      </c>
      <c r="T8" s="1484">
        <f>SUM(T9:T33)</f>
        <v>308895.50400000002</v>
      </c>
      <c r="U8" s="1528">
        <f>T8/T$89</f>
        <v>0.81210028848935278</v>
      </c>
      <c r="V8" s="1600"/>
      <c r="W8" s="1957">
        <f>SUM(W9:W33)</f>
        <v>413579.06200000003</v>
      </c>
      <c r="X8" s="1957">
        <f>SUM(X9:X33)</f>
        <v>568055</v>
      </c>
      <c r="Y8" s="1484">
        <f>SUM(Y9:Y33)</f>
        <v>981082.31200000003</v>
      </c>
      <c r="Z8" s="1528">
        <f>Y8/Y$89</f>
        <v>0.91173773531630808</v>
      </c>
      <c r="AA8" s="1600"/>
      <c r="AB8" s="1957">
        <f t="shared" ref="AB8:AD8" si="24">SUM(AB9:AB33)</f>
        <v>1365084.8239999998</v>
      </c>
      <c r="AC8" s="1957">
        <f t="shared" si="24"/>
        <v>247421</v>
      </c>
      <c r="AD8" s="1484">
        <f t="shared" si="24"/>
        <v>1612505.8239999998</v>
      </c>
      <c r="AE8" s="1528">
        <f t="shared" ref="AE8:AE33" si="25">AD8/AD$89</f>
        <v>0.94727427233223349</v>
      </c>
      <c r="AF8" s="1600"/>
      <c r="AG8" s="1957">
        <f t="shared" ref="AG8:AI8" si="26">SUM(AG9:AG33)</f>
        <v>37170.684000000001</v>
      </c>
      <c r="AH8" s="1957">
        <f t="shared" si="26"/>
        <v>90000</v>
      </c>
      <c r="AI8" s="1484">
        <f t="shared" si="26"/>
        <v>127170.68400000001</v>
      </c>
      <c r="AJ8" s="1528">
        <f t="shared" ref="AJ8:AJ33" si="27">AI8/AI$89</f>
        <v>0.27443083394333029</v>
      </c>
      <c r="AK8" s="1600"/>
      <c r="AL8" s="1957">
        <f t="shared" ref="AL8:AN8" si="28">SUM(AL9:AL33)</f>
        <v>0</v>
      </c>
      <c r="AM8" s="1957">
        <f t="shared" si="28"/>
        <v>35000</v>
      </c>
      <c r="AN8" s="1484">
        <f t="shared" si="28"/>
        <v>35000</v>
      </c>
      <c r="AO8" s="1528">
        <f t="shared" ref="AO8:AO33" si="29">AN8/AN$89</f>
        <v>0.53846153846153844</v>
      </c>
      <c r="AP8" s="1600"/>
      <c r="AQ8" s="1957">
        <f t="shared" ref="AQ8:AS8" si="30">SUM(AQ9:AQ33)</f>
        <v>0</v>
      </c>
      <c r="AR8" s="1957">
        <f t="shared" si="30"/>
        <v>0</v>
      </c>
      <c r="AS8" s="1484">
        <f t="shared" si="30"/>
        <v>0</v>
      </c>
      <c r="AT8" s="1528">
        <f t="shared" ref="AT8:AT33" si="31">AS8/AS$89</f>
        <v>0</v>
      </c>
      <c r="AU8" s="1600"/>
      <c r="AV8" s="1957">
        <f t="shared" ref="AV8:AX8" si="32">SUM(AV9:AV33)</f>
        <v>0</v>
      </c>
      <c r="AW8" s="1957">
        <f t="shared" si="32"/>
        <v>0</v>
      </c>
      <c r="AX8" s="1484">
        <f t="shared" si="32"/>
        <v>0</v>
      </c>
      <c r="AY8" s="1528" t="e">
        <f t="shared" ref="AY8:AY33" si="33">AX8/AX$89</f>
        <v>#DIV/0!</v>
      </c>
      <c r="AZ8" s="1600"/>
      <c r="BA8" s="1957">
        <f t="shared" ref="BA8:BC8" si="34">SUM(BA9:BA33)</f>
        <v>0</v>
      </c>
      <c r="BB8" s="1957">
        <f t="shared" si="34"/>
        <v>0</v>
      </c>
      <c r="BC8" s="1484">
        <f t="shared" si="34"/>
        <v>0</v>
      </c>
      <c r="BD8" s="1528" t="e">
        <f t="shared" ref="BD8:BD33" si="35">BC8/BC$89</f>
        <v>#DIV/0!</v>
      </c>
      <c r="BE8" s="1600"/>
      <c r="BF8" s="1957">
        <f t="shared" ref="BF8:BH8" si="36">SUM(BF9:BF33)</f>
        <v>0</v>
      </c>
      <c r="BG8" s="1957">
        <f t="shared" si="36"/>
        <v>0</v>
      </c>
      <c r="BH8" s="1484">
        <f t="shared" si="36"/>
        <v>0</v>
      </c>
      <c r="BI8" s="1528" t="e">
        <f t="shared" ref="BI8:BI33" si="37">BH8/BH$89</f>
        <v>#DIV/0!</v>
      </c>
      <c r="BJ8" s="1600"/>
      <c r="BK8" s="1957">
        <f t="shared" ref="BK8:BM8" si="38">SUM(BK9:BK33)</f>
        <v>0</v>
      </c>
      <c r="BL8" s="1957">
        <f t="shared" si="38"/>
        <v>0</v>
      </c>
      <c r="BM8" s="1484">
        <f t="shared" si="38"/>
        <v>0</v>
      </c>
      <c r="BN8" s="1528" t="e">
        <f t="shared" ref="BN8:BN33" si="39">BM8/BM$89</f>
        <v>#DIV/0!</v>
      </c>
      <c r="BO8" s="1600"/>
      <c r="BP8" s="1957">
        <f t="shared" ref="BP8:BR8" si="40">SUM(BP9:BP33)</f>
        <v>0</v>
      </c>
      <c r="BQ8" s="1957">
        <f t="shared" si="40"/>
        <v>0</v>
      </c>
      <c r="BR8" s="1484">
        <f t="shared" si="40"/>
        <v>0</v>
      </c>
      <c r="BS8" s="1528" t="e">
        <f t="shared" ref="BS8:BS33" si="41">BR8/BR$89</f>
        <v>#DIV/0!</v>
      </c>
      <c r="BT8" s="1600"/>
      <c r="BU8" s="1957">
        <f t="shared" ref="BU8:BW8" si="42">SUM(BU9:BU33)</f>
        <v>0</v>
      </c>
      <c r="BV8" s="1957">
        <f t="shared" si="42"/>
        <v>0</v>
      </c>
      <c r="BW8" s="1484">
        <f t="shared" si="42"/>
        <v>0</v>
      </c>
      <c r="BX8" s="1528" t="e">
        <f t="shared" ref="BX8:BX33" si="43">BW8/BW$89</f>
        <v>#DIV/0!</v>
      </c>
      <c r="BY8" s="1600"/>
      <c r="BZ8" s="1957">
        <f>SUM(BZ9:BZ33)</f>
        <v>3884289.7236000001</v>
      </c>
      <c r="CA8" s="1957">
        <f>SUM(CA9:CA33)</f>
        <v>1905716.6</v>
      </c>
      <c r="CB8" s="1484">
        <f>SUM(CB9:CB33)</f>
        <v>5790006.3235999998</v>
      </c>
      <c r="CC8" s="1528">
        <f>CB8/$CB$89</f>
        <v>0.86126382713065675</v>
      </c>
      <c r="CD8" s="1466"/>
      <c r="CE8" s="4497"/>
      <c r="CF8" s="929"/>
    </row>
    <row r="9" spans="1:92" s="1396" customFormat="1" ht="24.6" customHeight="1">
      <c r="A9" s="1572"/>
      <c r="B9" s="1424" t="s">
        <v>74</v>
      </c>
      <c r="C9" s="4508"/>
      <c r="D9" s="1486"/>
      <c r="E9" s="4509">
        <f t="shared" ref="E9:E33" si="44">C9+D9</f>
        <v>0</v>
      </c>
      <c r="F9" s="4483">
        <f t="shared" si="23"/>
        <v>0</v>
      </c>
      <c r="G9" s="2051">
        <v>16374.33</v>
      </c>
      <c r="H9" s="4498">
        <v>0</v>
      </c>
      <c r="I9" s="4510">
        <f>G9+H9*1</f>
        <v>16374.33</v>
      </c>
      <c r="J9" s="4428">
        <f t="shared" ref="J9:J33" si="45">I9/I$89</f>
        <v>5.4767536185373958E-3</v>
      </c>
      <c r="K9" s="4484"/>
      <c r="L9" s="2051">
        <f t="shared" ref="L9:M33" si="46">R9+W9+AB9+AG9+AL9+AQ9+AV9+BA9+BF9+BK9+BP9+BU9</f>
        <v>32910.800000000003</v>
      </c>
      <c r="M9" s="4498">
        <f t="shared" si="46"/>
        <v>0</v>
      </c>
      <c r="N9" s="4510">
        <f>L9+M9*1</f>
        <v>32910.800000000003</v>
      </c>
      <c r="O9" s="4428">
        <f t="shared" ref="O9:O33" si="47">N9/N$89</f>
        <v>8.8164198066316909E-3</v>
      </c>
      <c r="P9" s="4484"/>
      <c r="Q9" s="1015"/>
      <c r="R9" s="2051">
        <v>15200.8</v>
      </c>
      <c r="S9" s="2467"/>
      <c r="T9" s="1561">
        <f>R9+S9*1</f>
        <v>15200.8</v>
      </c>
      <c r="U9" s="1559">
        <f t="shared" ref="U9:U33" si="48">T9/T$89</f>
        <v>3.9963592559343147E-2</v>
      </c>
      <c r="V9" s="516" t="s">
        <v>1854</v>
      </c>
      <c r="W9" s="2051">
        <v>8855</v>
      </c>
      <c r="X9" s="4498"/>
      <c r="Y9" s="1561">
        <f>W9+X9*1</f>
        <v>8855</v>
      </c>
      <c r="Z9" s="1559">
        <f t="shared" ref="Z9:Z33" si="49">Y9/Y$89</f>
        <v>8.2291134469315644E-3</v>
      </c>
      <c r="AA9" s="4499" t="s">
        <v>1954</v>
      </c>
      <c r="AB9" s="2051">
        <v>8855</v>
      </c>
      <c r="AC9" s="2467"/>
      <c r="AD9" s="1561">
        <f t="shared" ref="AD9:AD33" si="50">AB9+AC9*1</f>
        <v>8855</v>
      </c>
      <c r="AE9" s="1559">
        <f t="shared" si="25"/>
        <v>5.201912177094827E-3</v>
      </c>
      <c r="AF9" s="4499" t="s">
        <v>1954</v>
      </c>
      <c r="AG9" s="1695"/>
      <c r="AH9" s="2467"/>
      <c r="AI9" s="1561">
        <f t="shared" ref="AI9:AI33" si="51">AG9+AH9*1</f>
        <v>0</v>
      </c>
      <c r="AJ9" s="1559">
        <f t="shared" si="27"/>
        <v>0</v>
      </c>
      <c r="AK9" s="1580"/>
      <c r="AL9" s="1695"/>
      <c r="AM9" s="2467"/>
      <c r="AN9" s="1561">
        <f t="shared" ref="AN9:AN33" si="52">AL9+AM9*1</f>
        <v>0</v>
      </c>
      <c r="AO9" s="1559">
        <f t="shared" si="29"/>
        <v>0</v>
      </c>
      <c r="AP9" s="1580"/>
      <c r="AQ9" s="1695"/>
      <c r="AR9" s="2467"/>
      <c r="AS9" s="1561">
        <f t="shared" ref="AS9:AS33" si="53">AQ9+AR9*1</f>
        <v>0</v>
      </c>
      <c r="AT9" s="1559">
        <f t="shared" si="31"/>
        <v>0</v>
      </c>
      <c r="AU9" s="1580"/>
      <c r="AV9" s="1695"/>
      <c r="AW9" s="2467"/>
      <c r="AX9" s="1561">
        <f t="shared" ref="AX9:AX33" si="54">AV9+AW9*1</f>
        <v>0</v>
      </c>
      <c r="AY9" s="1559" t="e">
        <f t="shared" si="33"/>
        <v>#DIV/0!</v>
      </c>
      <c r="AZ9" s="1580"/>
      <c r="BA9" s="1695"/>
      <c r="BB9" s="2467"/>
      <c r="BC9" s="1561">
        <f t="shared" ref="BC9:BC33" si="55">BA9+BB9*1</f>
        <v>0</v>
      </c>
      <c r="BD9" s="1559" t="e">
        <f t="shared" si="35"/>
        <v>#DIV/0!</v>
      </c>
      <c r="BE9" s="1580"/>
      <c r="BF9" s="1695"/>
      <c r="BG9" s="2467"/>
      <c r="BH9" s="1561">
        <f t="shared" ref="BH9:BH33" si="56">BF9+BG9*1</f>
        <v>0</v>
      </c>
      <c r="BI9" s="1559" t="e">
        <f t="shared" si="37"/>
        <v>#DIV/0!</v>
      </c>
      <c r="BJ9" s="1580"/>
      <c r="BK9" s="1695"/>
      <c r="BL9" s="2467"/>
      <c r="BM9" s="1561">
        <f t="shared" ref="BM9:BM33" si="57">BK9+BL9*1</f>
        <v>0</v>
      </c>
      <c r="BN9" s="1559" t="e">
        <f t="shared" si="39"/>
        <v>#DIV/0!</v>
      </c>
      <c r="BO9" s="1580"/>
      <c r="BP9" s="1695"/>
      <c r="BQ9" s="2467"/>
      <c r="BR9" s="1561">
        <f t="shared" ref="BR9:BR33" si="58">BP9+BQ9*1</f>
        <v>0</v>
      </c>
      <c r="BS9" s="1559" t="e">
        <f t="shared" si="41"/>
        <v>#DIV/0!</v>
      </c>
      <c r="BT9" s="1580"/>
      <c r="BU9" s="1695"/>
      <c r="BV9" s="2467"/>
      <c r="BW9" s="1561">
        <f t="shared" ref="BW9:BW33" si="59">BU9+BV9*1</f>
        <v>0</v>
      </c>
      <c r="BX9" s="1559" t="e">
        <f t="shared" si="43"/>
        <v>#DIV/0!</v>
      </c>
      <c r="BY9" s="1580"/>
      <c r="BZ9" s="4498">
        <f t="shared" ref="BZ9:CA33" si="60">G9+L9</f>
        <v>49285.130000000005</v>
      </c>
      <c r="CA9" s="4498">
        <f t="shared" si="60"/>
        <v>0</v>
      </c>
      <c r="CB9" s="4511">
        <f t="shared" ref="CB9:CB33" si="61">BZ9+CA9*1</f>
        <v>49285.130000000005</v>
      </c>
      <c r="CC9" s="4428">
        <f t="shared" ref="CC9:CC33" si="62">CB9/$CB$89</f>
        <v>7.3311663773865708E-3</v>
      </c>
      <c r="CD9" s="4512" t="s">
        <v>1854</v>
      </c>
      <c r="CE9" s="1980">
        <f t="shared" ref="CE9:CE33" si="63">CB9-E9</f>
        <v>49285.130000000005</v>
      </c>
      <c r="CF9" s="4500">
        <v>49285.130000000005</v>
      </c>
      <c r="CG9" s="4501">
        <f t="shared" ref="CG9:CG22" si="64">CF9-CB9</f>
        <v>0</v>
      </c>
    </row>
    <row r="10" spans="1:92" s="1396" customFormat="1" ht="24.6" customHeight="1">
      <c r="A10" s="1572"/>
      <c r="B10" s="1424" t="s">
        <v>72</v>
      </c>
      <c r="C10" s="4508"/>
      <c r="D10" s="1486"/>
      <c r="E10" s="4509">
        <f t="shared" si="44"/>
        <v>0</v>
      </c>
      <c r="F10" s="4483">
        <f t="shared" si="23"/>
        <v>0</v>
      </c>
      <c r="G10" s="2051">
        <v>3966.45</v>
      </c>
      <c r="H10" s="4498">
        <v>0</v>
      </c>
      <c r="I10" s="4510">
        <f t="shared" ref="I10:I33" si="65">G10+H10*1</f>
        <v>3966.45</v>
      </c>
      <c r="J10" s="4428">
        <f t="shared" si="45"/>
        <v>1.32666615307299E-3</v>
      </c>
      <c r="K10" s="4485"/>
      <c r="L10" s="2051">
        <f t="shared" si="46"/>
        <v>7972.18</v>
      </c>
      <c r="M10" s="4498">
        <f t="shared" si="46"/>
        <v>0</v>
      </c>
      <c r="N10" s="4510">
        <f t="shared" ref="N10:N33" si="66">L10+M10*1</f>
        <v>7972.18</v>
      </c>
      <c r="O10" s="4428">
        <f t="shared" si="47"/>
        <v>2.1356541212621096E-3</v>
      </c>
      <c r="P10" s="4485"/>
      <c r="Q10" s="1986"/>
      <c r="R10" s="2051">
        <v>3682.18</v>
      </c>
      <c r="S10" s="4498"/>
      <c r="T10" s="4510">
        <f t="shared" ref="T10:T33" si="67">R10+S10*1</f>
        <v>3682.18</v>
      </c>
      <c r="U10" s="4428">
        <f t="shared" si="48"/>
        <v>9.6806182076050046E-3</v>
      </c>
      <c r="V10" s="4485"/>
      <c r="W10" s="2051">
        <v>2145</v>
      </c>
      <c r="X10" s="4498"/>
      <c r="Y10" s="4510">
        <f t="shared" ref="Y10:Y33" si="68">W10+X10*1</f>
        <v>2145</v>
      </c>
      <c r="Z10" s="4428">
        <f t="shared" si="49"/>
        <v>1.9933877293809377E-3</v>
      </c>
      <c r="AA10" s="4485"/>
      <c r="AB10" s="2051">
        <v>2145</v>
      </c>
      <c r="AC10" s="4498"/>
      <c r="AD10" s="4510">
        <f t="shared" si="50"/>
        <v>2145</v>
      </c>
      <c r="AE10" s="4428">
        <f t="shared" si="25"/>
        <v>1.2600905273707967E-3</v>
      </c>
      <c r="AF10" s="4485"/>
      <c r="AG10" s="2051"/>
      <c r="AH10" s="4498"/>
      <c r="AI10" s="4510">
        <f t="shared" si="51"/>
        <v>0</v>
      </c>
      <c r="AJ10" s="4428">
        <f t="shared" si="27"/>
        <v>0</v>
      </c>
      <c r="AK10" s="4485"/>
      <c r="AL10" s="2051"/>
      <c r="AM10" s="4498"/>
      <c r="AN10" s="4510">
        <f t="shared" si="52"/>
        <v>0</v>
      </c>
      <c r="AO10" s="4428">
        <f t="shared" si="29"/>
        <v>0</v>
      </c>
      <c r="AP10" s="4485"/>
      <c r="AQ10" s="2051"/>
      <c r="AR10" s="4498"/>
      <c r="AS10" s="4510">
        <f t="shared" si="53"/>
        <v>0</v>
      </c>
      <c r="AT10" s="4428">
        <f t="shared" si="31"/>
        <v>0</v>
      </c>
      <c r="AU10" s="4485"/>
      <c r="AV10" s="2051"/>
      <c r="AW10" s="4498"/>
      <c r="AX10" s="4510">
        <f t="shared" si="54"/>
        <v>0</v>
      </c>
      <c r="AY10" s="4428" t="e">
        <f t="shared" si="33"/>
        <v>#DIV/0!</v>
      </c>
      <c r="AZ10" s="4485"/>
      <c r="BA10" s="2051"/>
      <c r="BB10" s="4498"/>
      <c r="BC10" s="4510">
        <f t="shared" si="55"/>
        <v>0</v>
      </c>
      <c r="BD10" s="4428" t="e">
        <f t="shared" si="35"/>
        <v>#DIV/0!</v>
      </c>
      <c r="BE10" s="4485"/>
      <c r="BF10" s="2051"/>
      <c r="BG10" s="4498"/>
      <c r="BH10" s="4510">
        <f t="shared" si="56"/>
        <v>0</v>
      </c>
      <c r="BI10" s="4428" t="e">
        <f t="shared" si="37"/>
        <v>#DIV/0!</v>
      </c>
      <c r="BJ10" s="4485"/>
      <c r="BK10" s="2051"/>
      <c r="BL10" s="4498"/>
      <c r="BM10" s="4510">
        <f t="shared" si="57"/>
        <v>0</v>
      </c>
      <c r="BN10" s="4428" t="e">
        <f t="shared" si="39"/>
        <v>#DIV/0!</v>
      </c>
      <c r="BO10" s="4485"/>
      <c r="BP10" s="2051"/>
      <c r="BQ10" s="4498"/>
      <c r="BR10" s="4510">
        <f t="shared" si="58"/>
        <v>0</v>
      </c>
      <c r="BS10" s="4428" t="e">
        <f t="shared" si="41"/>
        <v>#DIV/0!</v>
      </c>
      <c r="BT10" s="4485"/>
      <c r="BU10" s="2051"/>
      <c r="BV10" s="4498"/>
      <c r="BW10" s="4510">
        <f t="shared" si="59"/>
        <v>0</v>
      </c>
      <c r="BX10" s="4428" t="e">
        <f t="shared" si="43"/>
        <v>#DIV/0!</v>
      </c>
      <c r="BY10" s="4485"/>
      <c r="BZ10" s="4498">
        <f t="shared" si="60"/>
        <v>11938.630000000001</v>
      </c>
      <c r="CA10" s="4498">
        <f t="shared" si="60"/>
        <v>0</v>
      </c>
      <c r="CB10" s="4511">
        <f t="shared" si="61"/>
        <v>11938.630000000001</v>
      </c>
      <c r="CC10" s="4428">
        <f t="shared" si="62"/>
        <v>1.7758720094287798E-3</v>
      </c>
      <c r="CD10" s="4484"/>
      <c r="CE10" s="1980">
        <f t="shared" si="63"/>
        <v>11938.630000000001</v>
      </c>
      <c r="CF10" s="4500">
        <v>11938.630000000001</v>
      </c>
      <c r="CG10" s="4501">
        <f t="shared" si="64"/>
        <v>0</v>
      </c>
    </row>
    <row r="11" spans="1:92" s="1396" customFormat="1" ht="24.6" customHeight="1">
      <c r="A11" s="1572"/>
      <c r="B11" s="1424" t="s">
        <v>69</v>
      </c>
      <c r="C11" s="4508"/>
      <c r="D11" s="1486"/>
      <c r="E11" s="4509">
        <f t="shared" si="44"/>
        <v>0</v>
      </c>
      <c r="F11" s="4483">
        <f t="shared" si="23"/>
        <v>0</v>
      </c>
      <c r="G11" s="2051">
        <v>4474.9699999999993</v>
      </c>
      <c r="H11" s="4498">
        <v>0</v>
      </c>
      <c r="I11" s="4510">
        <f t="shared" si="65"/>
        <v>4474.9699999999993</v>
      </c>
      <c r="J11" s="4428">
        <f t="shared" si="45"/>
        <v>1.4967518145992103E-3</v>
      </c>
      <c r="K11" s="4485"/>
      <c r="L11" s="2051">
        <f t="shared" si="46"/>
        <v>8994.26</v>
      </c>
      <c r="M11" s="4498">
        <f t="shared" si="46"/>
        <v>0</v>
      </c>
      <c r="N11" s="4510">
        <f t="shared" si="66"/>
        <v>8994.26</v>
      </c>
      <c r="O11" s="4428">
        <f t="shared" si="47"/>
        <v>2.4094574428453622E-3</v>
      </c>
      <c r="P11" s="4485"/>
      <c r="Q11" s="1986"/>
      <c r="R11" s="2051">
        <v>4154.26</v>
      </c>
      <c r="S11" s="4498"/>
      <c r="T11" s="4510">
        <f t="shared" si="67"/>
        <v>4154.26</v>
      </c>
      <c r="U11" s="4428">
        <f t="shared" si="48"/>
        <v>1.0921737936528135E-2</v>
      </c>
      <c r="V11" s="4485"/>
      <c r="W11" s="2051">
        <v>2420</v>
      </c>
      <c r="X11" s="4498"/>
      <c r="Y11" s="4510">
        <f t="shared" si="68"/>
        <v>2420</v>
      </c>
      <c r="Z11" s="4428">
        <f t="shared" si="49"/>
        <v>2.2489502587887504E-3</v>
      </c>
      <c r="AA11" s="4485"/>
      <c r="AB11" s="2051">
        <v>2420</v>
      </c>
      <c r="AC11" s="4498"/>
      <c r="AD11" s="4510">
        <f t="shared" si="50"/>
        <v>2420</v>
      </c>
      <c r="AE11" s="4428">
        <f t="shared" si="25"/>
        <v>1.4216405949824373E-3</v>
      </c>
      <c r="AF11" s="4485"/>
      <c r="AG11" s="2051"/>
      <c r="AH11" s="4498"/>
      <c r="AI11" s="4510">
        <f t="shared" si="51"/>
        <v>0</v>
      </c>
      <c r="AJ11" s="4428">
        <f t="shared" si="27"/>
        <v>0</v>
      </c>
      <c r="AK11" s="4485"/>
      <c r="AL11" s="2051"/>
      <c r="AM11" s="4498"/>
      <c r="AN11" s="4510">
        <f t="shared" si="52"/>
        <v>0</v>
      </c>
      <c r="AO11" s="4428">
        <f t="shared" si="29"/>
        <v>0</v>
      </c>
      <c r="AP11" s="4485"/>
      <c r="AQ11" s="2051"/>
      <c r="AR11" s="4498"/>
      <c r="AS11" s="4510">
        <f t="shared" si="53"/>
        <v>0</v>
      </c>
      <c r="AT11" s="4428">
        <f t="shared" si="31"/>
        <v>0</v>
      </c>
      <c r="AU11" s="4485"/>
      <c r="AV11" s="2051"/>
      <c r="AW11" s="4498"/>
      <c r="AX11" s="4510">
        <f t="shared" si="54"/>
        <v>0</v>
      </c>
      <c r="AY11" s="4428" t="e">
        <f t="shared" si="33"/>
        <v>#DIV/0!</v>
      </c>
      <c r="AZ11" s="4485"/>
      <c r="BA11" s="2051"/>
      <c r="BB11" s="4498"/>
      <c r="BC11" s="4510">
        <f t="shared" si="55"/>
        <v>0</v>
      </c>
      <c r="BD11" s="4428" t="e">
        <f t="shared" si="35"/>
        <v>#DIV/0!</v>
      </c>
      <c r="BE11" s="4485"/>
      <c r="BF11" s="2051"/>
      <c r="BG11" s="4498"/>
      <c r="BH11" s="4510">
        <f t="shared" si="56"/>
        <v>0</v>
      </c>
      <c r="BI11" s="4428" t="e">
        <f t="shared" si="37"/>
        <v>#DIV/0!</v>
      </c>
      <c r="BJ11" s="4485"/>
      <c r="BK11" s="2051"/>
      <c r="BL11" s="4498"/>
      <c r="BM11" s="4510">
        <f t="shared" si="57"/>
        <v>0</v>
      </c>
      <c r="BN11" s="4428" t="e">
        <f t="shared" si="39"/>
        <v>#DIV/0!</v>
      </c>
      <c r="BO11" s="4485"/>
      <c r="BP11" s="2051"/>
      <c r="BQ11" s="4498"/>
      <c r="BR11" s="4510">
        <f t="shared" si="58"/>
        <v>0</v>
      </c>
      <c r="BS11" s="4428" t="e">
        <f t="shared" si="41"/>
        <v>#DIV/0!</v>
      </c>
      <c r="BT11" s="4485"/>
      <c r="BU11" s="2051"/>
      <c r="BV11" s="4498"/>
      <c r="BW11" s="4510">
        <f t="shared" si="59"/>
        <v>0</v>
      </c>
      <c r="BX11" s="4428" t="e">
        <f t="shared" si="43"/>
        <v>#DIV/0!</v>
      </c>
      <c r="BY11" s="4485"/>
      <c r="BZ11" s="4498">
        <f t="shared" si="60"/>
        <v>13469.23</v>
      </c>
      <c r="CA11" s="4498">
        <f t="shared" si="60"/>
        <v>0</v>
      </c>
      <c r="CB11" s="4511">
        <f t="shared" si="61"/>
        <v>13469.23</v>
      </c>
      <c r="CC11" s="4428">
        <f t="shared" si="62"/>
        <v>2.0035488615995638E-3</v>
      </c>
      <c r="CD11" s="4484"/>
      <c r="CE11" s="1980">
        <f t="shared" si="63"/>
        <v>13469.23</v>
      </c>
      <c r="CF11" s="4500">
        <v>13469.23</v>
      </c>
      <c r="CG11" s="4501">
        <f t="shared" si="64"/>
        <v>0</v>
      </c>
    </row>
    <row r="12" spans="1:92" s="1396" customFormat="1" ht="24.6" customHeight="1">
      <c r="A12" s="1572"/>
      <c r="B12" s="1424" t="s">
        <v>73</v>
      </c>
      <c r="C12" s="4508">
        <v>62790</v>
      </c>
      <c r="D12" s="1486">
        <v>117210</v>
      </c>
      <c r="E12" s="4509">
        <f t="shared" si="44"/>
        <v>180000</v>
      </c>
      <c r="F12" s="4483">
        <f t="shared" si="23"/>
        <v>2.2249531461949964E-2</v>
      </c>
      <c r="G12" s="2051">
        <v>39540.14</v>
      </c>
      <c r="H12" s="4498">
        <v>75700</v>
      </c>
      <c r="I12" s="4510">
        <f t="shared" si="65"/>
        <v>115240.14</v>
      </c>
      <c r="J12" s="4428">
        <f t="shared" si="45"/>
        <v>3.8544591060871262E-2</v>
      </c>
      <c r="K12" s="4486"/>
      <c r="L12" s="2051">
        <f t="shared" si="46"/>
        <v>53528.01</v>
      </c>
      <c r="M12" s="4498">
        <f t="shared" si="46"/>
        <v>86000</v>
      </c>
      <c r="N12" s="4510">
        <f t="shared" si="66"/>
        <v>139528.01</v>
      </c>
      <c r="O12" s="4428">
        <f t="shared" si="47"/>
        <v>3.7377927942921614E-2</v>
      </c>
      <c r="P12" s="4486"/>
      <c r="Q12" s="1986"/>
      <c r="R12" s="2051">
        <v>19978.64</v>
      </c>
      <c r="S12" s="4498">
        <f>22400+19600</f>
        <v>42000</v>
      </c>
      <c r="T12" s="4510">
        <f t="shared" si="67"/>
        <v>61978.64</v>
      </c>
      <c r="U12" s="4428">
        <f t="shared" si="48"/>
        <v>0.16294465530381347</v>
      </c>
      <c r="V12" s="4499" t="s">
        <v>1858</v>
      </c>
      <c r="W12" s="2051">
        <v>20930</v>
      </c>
      <c r="X12" s="4498">
        <v>44000</v>
      </c>
      <c r="Y12" s="4510">
        <f t="shared" si="68"/>
        <v>64930</v>
      </c>
      <c r="Z12" s="4428">
        <f t="shared" si="49"/>
        <v>6.0340636488906432E-2</v>
      </c>
      <c r="AA12" s="4499" t="s">
        <v>1955</v>
      </c>
      <c r="AB12" s="2051">
        <v>12619.37</v>
      </c>
      <c r="AC12" s="4498"/>
      <c r="AD12" s="4510">
        <f t="shared" si="50"/>
        <v>12619.37</v>
      </c>
      <c r="AE12" s="4428">
        <f t="shared" si="25"/>
        <v>7.4133093698774879E-3</v>
      </c>
      <c r="AF12" s="4499" t="s">
        <v>1955</v>
      </c>
      <c r="AG12" s="2051"/>
      <c r="AH12" s="4498"/>
      <c r="AI12" s="4510">
        <f t="shared" si="51"/>
        <v>0</v>
      </c>
      <c r="AJ12" s="4428">
        <f t="shared" si="27"/>
        <v>0</v>
      </c>
      <c r="AK12" s="4499"/>
      <c r="AL12" s="2051"/>
      <c r="AM12" s="4498"/>
      <c r="AN12" s="4510">
        <f t="shared" si="52"/>
        <v>0</v>
      </c>
      <c r="AO12" s="4428">
        <f t="shared" si="29"/>
        <v>0</v>
      </c>
      <c r="AP12" s="4499"/>
      <c r="AQ12" s="2051"/>
      <c r="AR12" s="4498"/>
      <c r="AS12" s="4510">
        <f t="shared" si="53"/>
        <v>0</v>
      </c>
      <c r="AT12" s="4428">
        <f t="shared" si="31"/>
        <v>0</v>
      </c>
      <c r="AU12" s="4499"/>
      <c r="AV12" s="2051"/>
      <c r="AW12" s="4498"/>
      <c r="AX12" s="4510">
        <f t="shared" si="54"/>
        <v>0</v>
      </c>
      <c r="AY12" s="4428" t="e">
        <f t="shared" si="33"/>
        <v>#DIV/0!</v>
      </c>
      <c r="AZ12" s="4499"/>
      <c r="BA12" s="2051"/>
      <c r="BB12" s="4498"/>
      <c r="BC12" s="4510">
        <f t="shared" si="55"/>
        <v>0</v>
      </c>
      <c r="BD12" s="4428" t="e">
        <f t="shared" si="35"/>
        <v>#DIV/0!</v>
      </c>
      <c r="BE12" s="4499"/>
      <c r="BF12" s="2051"/>
      <c r="BG12" s="4498"/>
      <c r="BH12" s="4510">
        <f t="shared" si="56"/>
        <v>0</v>
      </c>
      <c r="BI12" s="4428" t="e">
        <f t="shared" si="37"/>
        <v>#DIV/0!</v>
      </c>
      <c r="BJ12" s="4499"/>
      <c r="BK12" s="2051"/>
      <c r="BL12" s="4498"/>
      <c r="BM12" s="4510">
        <f t="shared" si="57"/>
        <v>0</v>
      </c>
      <c r="BN12" s="4428" t="e">
        <f t="shared" si="39"/>
        <v>#DIV/0!</v>
      </c>
      <c r="BO12" s="4499"/>
      <c r="BP12" s="2051"/>
      <c r="BQ12" s="4498"/>
      <c r="BR12" s="4510">
        <f t="shared" si="58"/>
        <v>0</v>
      </c>
      <c r="BS12" s="4428" t="e">
        <f t="shared" si="41"/>
        <v>#DIV/0!</v>
      </c>
      <c r="BT12" s="4499"/>
      <c r="BU12" s="2051"/>
      <c r="BV12" s="4498"/>
      <c r="BW12" s="4510">
        <f t="shared" si="59"/>
        <v>0</v>
      </c>
      <c r="BX12" s="4428" t="e">
        <f t="shared" si="43"/>
        <v>#DIV/0!</v>
      </c>
      <c r="BY12" s="4499"/>
      <c r="BZ12" s="4498">
        <f t="shared" si="60"/>
        <v>93068.15</v>
      </c>
      <c r="CA12" s="4498">
        <f t="shared" si="60"/>
        <v>161700</v>
      </c>
      <c r="CB12" s="4511">
        <f t="shared" si="61"/>
        <v>254768.15</v>
      </c>
      <c r="CC12" s="4428">
        <f t="shared" si="62"/>
        <v>3.789677931881235E-2</v>
      </c>
      <c r="CD12" s="4484"/>
      <c r="CE12" s="1980">
        <f t="shared" si="63"/>
        <v>74768.149999999994</v>
      </c>
      <c r="CF12" s="4500">
        <v>254768.15000000002</v>
      </c>
      <c r="CG12" s="4501">
        <f t="shared" si="64"/>
        <v>0</v>
      </c>
      <c r="CH12" s="1396" t="s">
        <v>2126</v>
      </c>
    </row>
    <row r="13" spans="1:92" s="1396" customFormat="1" ht="24.6" customHeight="1">
      <c r="A13" s="1572"/>
      <c r="B13" s="1424" t="s">
        <v>71</v>
      </c>
      <c r="C13" s="4508">
        <v>15210</v>
      </c>
      <c r="D13" s="1486"/>
      <c r="E13" s="4509">
        <f t="shared" si="44"/>
        <v>15210</v>
      </c>
      <c r="F13" s="4483">
        <f t="shared" si="23"/>
        <v>1.8800854085347719E-3</v>
      </c>
      <c r="G13" s="2051">
        <v>10373.209999999999</v>
      </c>
      <c r="H13" s="4498">
        <v>0</v>
      </c>
      <c r="I13" s="4510">
        <f t="shared" si="65"/>
        <v>10373.209999999999</v>
      </c>
      <c r="J13" s="4428">
        <f t="shared" si="45"/>
        <v>3.4695474809258334E-3</v>
      </c>
      <c r="K13" s="4486"/>
      <c r="L13" s="2051">
        <f t="shared" si="46"/>
        <v>12966.41</v>
      </c>
      <c r="M13" s="4498">
        <f t="shared" si="46"/>
        <v>0</v>
      </c>
      <c r="N13" s="4510">
        <f t="shared" si="66"/>
        <v>12966.41</v>
      </c>
      <c r="O13" s="4428">
        <f t="shared" si="47"/>
        <v>3.4735501399208533E-3</v>
      </c>
      <c r="P13" s="4486"/>
      <c r="Q13" s="1986"/>
      <c r="R13" s="2051">
        <v>4839.54</v>
      </c>
      <c r="S13" s="4498"/>
      <c r="T13" s="4510">
        <f t="shared" si="67"/>
        <v>4839.54</v>
      </c>
      <c r="U13" s="4428">
        <f t="shared" si="48"/>
        <v>1.2723370134114228E-2</v>
      </c>
      <c r="V13" s="4486"/>
      <c r="W13" s="2051">
        <v>5070</v>
      </c>
      <c r="X13" s="4498"/>
      <c r="Y13" s="4510">
        <f t="shared" si="68"/>
        <v>5070</v>
      </c>
      <c r="Z13" s="4428">
        <f t="shared" si="49"/>
        <v>4.7116437239913076E-3</v>
      </c>
      <c r="AA13" s="4486"/>
      <c r="AB13" s="2051">
        <v>3056.87</v>
      </c>
      <c r="AC13" s="4498"/>
      <c r="AD13" s="4510">
        <f t="shared" si="50"/>
        <v>3056.87</v>
      </c>
      <c r="AE13" s="4428">
        <f t="shared" si="25"/>
        <v>1.7957729279272573E-3</v>
      </c>
      <c r="AF13" s="4486"/>
      <c r="AG13" s="2051"/>
      <c r="AH13" s="4498"/>
      <c r="AI13" s="4510">
        <f t="shared" si="51"/>
        <v>0</v>
      </c>
      <c r="AJ13" s="4428">
        <f t="shared" si="27"/>
        <v>0</v>
      </c>
      <c r="AK13" s="4486"/>
      <c r="AL13" s="2051"/>
      <c r="AM13" s="4498"/>
      <c r="AN13" s="4510">
        <f t="shared" si="52"/>
        <v>0</v>
      </c>
      <c r="AO13" s="4428">
        <f t="shared" si="29"/>
        <v>0</v>
      </c>
      <c r="AP13" s="4486"/>
      <c r="AQ13" s="2051"/>
      <c r="AR13" s="4498"/>
      <c r="AS13" s="4510">
        <f t="shared" si="53"/>
        <v>0</v>
      </c>
      <c r="AT13" s="4428">
        <f t="shared" si="31"/>
        <v>0</v>
      </c>
      <c r="AU13" s="4486"/>
      <c r="AV13" s="2051"/>
      <c r="AW13" s="4498"/>
      <c r="AX13" s="4510">
        <f t="shared" si="54"/>
        <v>0</v>
      </c>
      <c r="AY13" s="4428" t="e">
        <f t="shared" si="33"/>
        <v>#DIV/0!</v>
      </c>
      <c r="AZ13" s="4486"/>
      <c r="BA13" s="2051"/>
      <c r="BB13" s="4498"/>
      <c r="BC13" s="4510">
        <f t="shared" si="55"/>
        <v>0</v>
      </c>
      <c r="BD13" s="4428" t="e">
        <f t="shared" si="35"/>
        <v>#DIV/0!</v>
      </c>
      <c r="BE13" s="4486"/>
      <c r="BF13" s="2051"/>
      <c r="BG13" s="4498"/>
      <c r="BH13" s="4510">
        <f t="shared" si="56"/>
        <v>0</v>
      </c>
      <c r="BI13" s="4428" t="e">
        <f t="shared" si="37"/>
        <v>#DIV/0!</v>
      </c>
      <c r="BJ13" s="4486"/>
      <c r="BK13" s="2051"/>
      <c r="BL13" s="4498"/>
      <c r="BM13" s="4510">
        <f t="shared" si="57"/>
        <v>0</v>
      </c>
      <c r="BN13" s="4428" t="e">
        <f t="shared" si="39"/>
        <v>#DIV/0!</v>
      </c>
      <c r="BO13" s="4486"/>
      <c r="BP13" s="2051"/>
      <c r="BQ13" s="4498"/>
      <c r="BR13" s="4510">
        <f t="shared" si="58"/>
        <v>0</v>
      </c>
      <c r="BS13" s="4428" t="e">
        <f t="shared" si="41"/>
        <v>#DIV/0!</v>
      </c>
      <c r="BT13" s="4486"/>
      <c r="BU13" s="2051"/>
      <c r="BV13" s="4498"/>
      <c r="BW13" s="4510">
        <f t="shared" si="59"/>
        <v>0</v>
      </c>
      <c r="BX13" s="4428" t="e">
        <f t="shared" si="43"/>
        <v>#DIV/0!</v>
      </c>
      <c r="BY13" s="4486"/>
      <c r="BZ13" s="4498">
        <f t="shared" si="60"/>
        <v>23339.62</v>
      </c>
      <c r="CA13" s="4498">
        <f t="shared" si="60"/>
        <v>0</v>
      </c>
      <c r="CB13" s="4511">
        <f t="shared" si="61"/>
        <v>23339.62</v>
      </c>
      <c r="CC13" s="4428">
        <f t="shared" si="62"/>
        <v>3.471770032968953E-3</v>
      </c>
      <c r="CD13" s="4484"/>
      <c r="CE13" s="1980">
        <f t="shared" si="63"/>
        <v>8129.619999999999</v>
      </c>
      <c r="CF13" s="4500">
        <v>23339.62</v>
      </c>
      <c r="CG13" s="4501">
        <f t="shared" si="64"/>
        <v>0</v>
      </c>
    </row>
    <row r="14" spans="1:92" s="1396" customFormat="1" ht="24.6" customHeight="1">
      <c r="A14" s="1572"/>
      <c r="B14" s="1424" t="s">
        <v>70</v>
      </c>
      <c r="C14" s="4508">
        <v>17160</v>
      </c>
      <c r="D14" s="1486"/>
      <c r="E14" s="4509">
        <f t="shared" si="44"/>
        <v>17160</v>
      </c>
      <c r="F14" s="4483">
        <f t="shared" si="23"/>
        <v>2.1211219993725631E-3</v>
      </c>
      <c r="G14" s="2051">
        <v>6926.96</v>
      </c>
      <c r="H14" s="4498">
        <v>0</v>
      </c>
      <c r="I14" s="4510">
        <f t="shared" si="65"/>
        <v>6926.96</v>
      </c>
      <c r="J14" s="4428">
        <f t="shared" si="45"/>
        <v>2.3168736214222996E-3</v>
      </c>
      <c r="K14" s="4486"/>
      <c r="L14" s="2051">
        <f t="shared" si="46"/>
        <v>10322.540000000001</v>
      </c>
      <c r="M14" s="4498">
        <f t="shared" si="46"/>
        <v>0</v>
      </c>
      <c r="N14" s="4510">
        <f t="shared" si="66"/>
        <v>10322.540000000001</v>
      </c>
      <c r="O14" s="4428">
        <f t="shared" si="47"/>
        <v>2.7652881762445123E-3</v>
      </c>
      <c r="P14" s="4486"/>
      <c r="Q14" s="1986"/>
      <c r="R14" s="2051">
        <v>3693.3</v>
      </c>
      <c r="S14" s="4498"/>
      <c r="T14" s="4510">
        <f t="shared" si="67"/>
        <v>3693.3</v>
      </c>
      <c r="U14" s="4428">
        <f t="shared" si="48"/>
        <v>9.7098531918992457E-3</v>
      </c>
      <c r="V14" s="4486"/>
      <c r="W14" s="2051">
        <v>3953.3</v>
      </c>
      <c r="X14" s="4498"/>
      <c r="Y14" s="4510">
        <f t="shared" si="68"/>
        <v>3953.3</v>
      </c>
      <c r="Z14" s="4428">
        <f t="shared" si="49"/>
        <v>3.6738739909378377E-3</v>
      </c>
      <c r="AA14" s="4486"/>
      <c r="AB14" s="2051">
        <v>2675.94</v>
      </c>
      <c r="AC14" s="4498"/>
      <c r="AD14" s="4510">
        <f t="shared" si="50"/>
        <v>2675.94</v>
      </c>
      <c r="AE14" s="4428">
        <f t="shared" si="25"/>
        <v>1.571993774271613E-3</v>
      </c>
      <c r="AF14" s="4486"/>
      <c r="AG14" s="2051"/>
      <c r="AH14" s="4498"/>
      <c r="AI14" s="4510">
        <f t="shared" si="51"/>
        <v>0</v>
      </c>
      <c r="AJ14" s="4428">
        <f t="shared" si="27"/>
        <v>0</v>
      </c>
      <c r="AK14" s="4486"/>
      <c r="AL14" s="2051"/>
      <c r="AM14" s="4498"/>
      <c r="AN14" s="4510">
        <f t="shared" si="52"/>
        <v>0</v>
      </c>
      <c r="AO14" s="4428">
        <f t="shared" si="29"/>
        <v>0</v>
      </c>
      <c r="AP14" s="4486"/>
      <c r="AQ14" s="2051"/>
      <c r="AR14" s="4498"/>
      <c r="AS14" s="4510">
        <f t="shared" si="53"/>
        <v>0</v>
      </c>
      <c r="AT14" s="4428">
        <f t="shared" si="31"/>
        <v>0</v>
      </c>
      <c r="AU14" s="4486"/>
      <c r="AV14" s="2051"/>
      <c r="AW14" s="4498"/>
      <c r="AX14" s="4510">
        <f t="shared" si="54"/>
        <v>0</v>
      </c>
      <c r="AY14" s="4428" t="e">
        <f t="shared" si="33"/>
        <v>#DIV/0!</v>
      </c>
      <c r="AZ14" s="4486"/>
      <c r="BA14" s="2051"/>
      <c r="BB14" s="4498"/>
      <c r="BC14" s="4510">
        <f t="shared" si="55"/>
        <v>0</v>
      </c>
      <c r="BD14" s="4428" t="e">
        <f t="shared" si="35"/>
        <v>#DIV/0!</v>
      </c>
      <c r="BE14" s="4486"/>
      <c r="BF14" s="2051"/>
      <c r="BG14" s="4498"/>
      <c r="BH14" s="4510">
        <f t="shared" si="56"/>
        <v>0</v>
      </c>
      <c r="BI14" s="4428" t="e">
        <f t="shared" si="37"/>
        <v>#DIV/0!</v>
      </c>
      <c r="BJ14" s="4486"/>
      <c r="BK14" s="2051"/>
      <c r="BL14" s="4498"/>
      <c r="BM14" s="4510">
        <f t="shared" si="57"/>
        <v>0</v>
      </c>
      <c r="BN14" s="4428" t="e">
        <f t="shared" si="39"/>
        <v>#DIV/0!</v>
      </c>
      <c r="BO14" s="4486"/>
      <c r="BP14" s="2051"/>
      <c r="BQ14" s="4498"/>
      <c r="BR14" s="4510">
        <f t="shared" si="58"/>
        <v>0</v>
      </c>
      <c r="BS14" s="4428" t="e">
        <f t="shared" si="41"/>
        <v>#DIV/0!</v>
      </c>
      <c r="BT14" s="4486"/>
      <c r="BU14" s="2051"/>
      <c r="BV14" s="4498"/>
      <c r="BW14" s="4510">
        <f t="shared" si="59"/>
        <v>0</v>
      </c>
      <c r="BX14" s="4428" t="e">
        <f t="shared" si="43"/>
        <v>#DIV/0!</v>
      </c>
      <c r="BY14" s="4486"/>
      <c r="BZ14" s="4498">
        <f t="shared" si="60"/>
        <v>17249.5</v>
      </c>
      <c r="CA14" s="4498">
        <f t="shared" si="60"/>
        <v>0</v>
      </c>
      <c r="CB14" s="4511">
        <f t="shared" si="61"/>
        <v>17249.5</v>
      </c>
      <c r="CC14" s="4428">
        <f t="shared" si="62"/>
        <v>2.5658642764405742E-3</v>
      </c>
      <c r="CD14" s="4484"/>
      <c r="CE14" s="1980">
        <f t="shared" si="63"/>
        <v>89.5</v>
      </c>
      <c r="CF14" s="4500">
        <v>17249.5</v>
      </c>
      <c r="CG14" s="4501">
        <f t="shared" si="64"/>
        <v>0</v>
      </c>
    </row>
    <row r="15" spans="1:92" s="1396" customFormat="1" ht="24.6" customHeight="1">
      <c r="A15" s="1572"/>
      <c r="B15" s="4430" t="s">
        <v>20</v>
      </c>
      <c r="C15" s="4508"/>
      <c r="D15" s="4513">
        <v>30800</v>
      </c>
      <c r="E15" s="4509">
        <f t="shared" si="44"/>
        <v>30800</v>
      </c>
      <c r="F15" s="4483">
        <f t="shared" si="23"/>
        <v>3.8071420501558828E-3</v>
      </c>
      <c r="G15" s="2051">
        <v>0</v>
      </c>
      <c r="H15" s="4498">
        <v>7000</v>
      </c>
      <c r="I15" s="4510">
        <f t="shared" si="65"/>
        <v>7000</v>
      </c>
      <c r="J15" s="4428">
        <f t="shared" si="45"/>
        <v>2.3413034505693833E-3</v>
      </c>
      <c r="K15" s="4486"/>
      <c r="L15" s="2051">
        <f t="shared" si="46"/>
        <v>0</v>
      </c>
      <c r="M15" s="4498">
        <f t="shared" si="46"/>
        <v>17950</v>
      </c>
      <c r="N15" s="4510">
        <f t="shared" si="66"/>
        <v>17950</v>
      </c>
      <c r="O15" s="4428">
        <f t="shared" si="47"/>
        <v>4.8085958265687507E-3</v>
      </c>
      <c r="P15" s="4486"/>
      <c r="Q15" s="1986"/>
      <c r="R15" s="2051"/>
      <c r="S15" s="4498">
        <v>6400</v>
      </c>
      <c r="T15" s="4510">
        <f t="shared" si="67"/>
        <v>6400</v>
      </c>
      <c r="U15" s="4428">
        <f t="shared" si="48"/>
        <v>1.6825890241289679E-2</v>
      </c>
      <c r="V15" s="4485"/>
      <c r="W15" s="2051"/>
      <c r="X15" s="4498"/>
      <c r="Y15" s="4510">
        <f t="shared" si="68"/>
        <v>0</v>
      </c>
      <c r="Z15" s="4428">
        <f t="shared" si="49"/>
        <v>0</v>
      </c>
      <c r="AA15" s="4485"/>
      <c r="AB15" s="2051"/>
      <c r="AC15" s="4498">
        <v>11550</v>
      </c>
      <c r="AD15" s="4510">
        <f t="shared" si="50"/>
        <v>11550</v>
      </c>
      <c r="AE15" s="4428">
        <f t="shared" si="25"/>
        <v>6.7851028396889055E-3</v>
      </c>
      <c r="AF15" s="4499"/>
      <c r="AG15" s="2051"/>
      <c r="AH15" s="4498"/>
      <c r="AI15" s="4510">
        <f t="shared" si="51"/>
        <v>0</v>
      </c>
      <c r="AJ15" s="4428">
        <f t="shared" si="27"/>
        <v>0</v>
      </c>
      <c r="AK15" s="4485"/>
      <c r="AL15" s="2051"/>
      <c r="AM15" s="4498"/>
      <c r="AN15" s="4510">
        <f t="shared" si="52"/>
        <v>0</v>
      </c>
      <c r="AO15" s="4428">
        <f t="shared" si="29"/>
        <v>0</v>
      </c>
      <c r="AP15" s="4485"/>
      <c r="AQ15" s="2051"/>
      <c r="AR15" s="4498"/>
      <c r="AS15" s="4510">
        <f t="shared" si="53"/>
        <v>0</v>
      </c>
      <c r="AT15" s="4428">
        <f t="shared" si="31"/>
        <v>0</v>
      </c>
      <c r="AU15" s="4485"/>
      <c r="AV15" s="2051"/>
      <c r="AW15" s="4498"/>
      <c r="AX15" s="4510">
        <f t="shared" si="54"/>
        <v>0</v>
      </c>
      <c r="AY15" s="4428" t="e">
        <f t="shared" si="33"/>
        <v>#DIV/0!</v>
      </c>
      <c r="AZ15" s="4485"/>
      <c r="BA15" s="2051"/>
      <c r="BB15" s="4498"/>
      <c r="BC15" s="4510">
        <f t="shared" si="55"/>
        <v>0</v>
      </c>
      <c r="BD15" s="4428" t="e">
        <f t="shared" si="35"/>
        <v>#DIV/0!</v>
      </c>
      <c r="BE15" s="4485"/>
      <c r="BF15" s="2051"/>
      <c r="BG15" s="4498"/>
      <c r="BH15" s="4510">
        <f t="shared" si="56"/>
        <v>0</v>
      </c>
      <c r="BI15" s="4428" t="e">
        <f t="shared" si="37"/>
        <v>#DIV/0!</v>
      </c>
      <c r="BJ15" s="4485"/>
      <c r="BK15" s="2051"/>
      <c r="BL15" s="4498"/>
      <c r="BM15" s="4510">
        <f t="shared" si="57"/>
        <v>0</v>
      </c>
      <c r="BN15" s="4428" t="e">
        <f t="shared" si="39"/>
        <v>#DIV/0!</v>
      </c>
      <c r="BO15" s="4485"/>
      <c r="BP15" s="2051"/>
      <c r="BQ15" s="4498"/>
      <c r="BR15" s="4510">
        <f t="shared" si="58"/>
        <v>0</v>
      </c>
      <c r="BS15" s="4428" t="e">
        <f t="shared" si="41"/>
        <v>#DIV/0!</v>
      </c>
      <c r="BT15" s="4485"/>
      <c r="BU15" s="2051"/>
      <c r="BV15" s="4498"/>
      <c r="BW15" s="4510">
        <f t="shared" si="59"/>
        <v>0</v>
      </c>
      <c r="BX15" s="4428" t="e">
        <f t="shared" si="43"/>
        <v>#DIV/0!</v>
      </c>
      <c r="BY15" s="4485"/>
      <c r="BZ15" s="4498">
        <f t="shared" si="60"/>
        <v>0</v>
      </c>
      <c r="CA15" s="4498">
        <f t="shared" si="60"/>
        <v>24950</v>
      </c>
      <c r="CB15" s="4511">
        <f t="shared" si="61"/>
        <v>24950</v>
      </c>
      <c r="CC15" s="4428">
        <f t="shared" si="62"/>
        <v>3.7113141654652208E-3</v>
      </c>
      <c r="CD15" s="4484"/>
      <c r="CE15" s="1980">
        <f t="shared" si="63"/>
        <v>-5850</v>
      </c>
      <c r="CF15" s="4500">
        <v>24950</v>
      </c>
      <c r="CG15" s="4501">
        <f t="shared" si="64"/>
        <v>0</v>
      </c>
    </row>
    <row r="16" spans="1:92" s="1396" customFormat="1" ht="24.6" customHeight="1">
      <c r="A16" s="1572"/>
      <c r="B16" s="4430" t="s">
        <v>21</v>
      </c>
      <c r="C16" s="4508"/>
      <c r="D16" s="4513">
        <v>2242043</v>
      </c>
      <c r="E16" s="4509">
        <f t="shared" si="44"/>
        <v>2242043</v>
      </c>
      <c r="F16" s="4483">
        <f t="shared" si="23"/>
        <v>0.27713559037524826</v>
      </c>
      <c r="G16" s="2051">
        <v>0</v>
      </c>
      <c r="H16" s="4498">
        <v>456392</v>
      </c>
      <c r="I16" s="4510">
        <f t="shared" si="65"/>
        <v>456392</v>
      </c>
      <c r="J16" s="4428">
        <f t="shared" si="45"/>
        <v>0.15265030920175174</v>
      </c>
      <c r="K16" s="4487"/>
      <c r="L16" s="2051">
        <f t="shared" si="46"/>
        <v>0</v>
      </c>
      <c r="M16" s="4498">
        <f t="shared" si="46"/>
        <v>559926</v>
      </c>
      <c r="N16" s="4510">
        <f t="shared" si="66"/>
        <v>559926</v>
      </c>
      <c r="O16" s="4428">
        <f t="shared" si="47"/>
        <v>0.14999765051740024</v>
      </c>
      <c r="P16" s="4487"/>
      <c r="Q16" s="1986"/>
      <c r="R16" s="2051"/>
      <c r="S16" s="4498"/>
      <c r="T16" s="4510">
        <f t="shared" si="67"/>
        <v>0</v>
      </c>
      <c r="U16" s="4428">
        <f t="shared" si="48"/>
        <v>0</v>
      </c>
      <c r="V16" s="4499"/>
      <c r="W16" s="2051"/>
      <c r="X16" s="4498">
        <f>89275+3030+60820+5185+15500+98435+99810+2000</f>
        <v>374055</v>
      </c>
      <c r="Y16" s="4510">
        <f t="shared" si="68"/>
        <v>374055</v>
      </c>
      <c r="Z16" s="4428">
        <f t="shared" si="49"/>
        <v>0.34761615250050665</v>
      </c>
      <c r="AA16" s="4499" t="s">
        <v>1959</v>
      </c>
      <c r="AB16" s="2051"/>
      <c r="AC16" s="4498">
        <v>185871</v>
      </c>
      <c r="AD16" s="4510">
        <f t="shared" si="50"/>
        <v>185871</v>
      </c>
      <c r="AE16" s="4428">
        <f t="shared" si="25"/>
        <v>0.10919080951652091</v>
      </c>
      <c r="AF16" s="4499" t="s">
        <v>2014</v>
      </c>
      <c r="AG16" s="2051"/>
      <c r="AH16" s="4498"/>
      <c r="AI16" s="4510">
        <f t="shared" si="51"/>
        <v>0</v>
      </c>
      <c r="AJ16" s="4428">
        <f t="shared" si="27"/>
        <v>0</v>
      </c>
      <c r="AK16" s="4499"/>
      <c r="AL16" s="2051"/>
      <c r="AM16" s="4498"/>
      <c r="AN16" s="4510">
        <f t="shared" si="52"/>
        <v>0</v>
      </c>
      <c r="AO16" s="4428">
        <f t="shared" si="29"/>
        <v>0</v>
      </c>
      <c r="AP16" s="4499"/>
      <c r="AQ16" s="2051"/>
      <c r="AR16" s="4498"/>
      <c r="AS16" s="4510">
        <f t="shared" si="53"/>
        <v>0</v>
      </c>
      <c r="AT16" s="4428">
        <f t="shared" si="31"/>
        <v>0</v>
      </c>
      <c r="AU16" s="4499"/>
      <c r="AV16" s="2051"/>
      <c r="AW16" s="4498"/>
      <c r="AX16" s="4510">
        <f t="shared" si="54"/>
        <v>0</v>
      </c>
      <c r="AY16" s="4428" t="e">
        <f t="shared" si="33"/>
        <v>#DIV/0!</v>
      </c>
      <c r="AZ16" s="4499"/>
      <c r="BA16" s="2051"/>
      <c r="BB16" s="4498"/>
      <c r="BC16" s="4510">
        <f t="shared" si="55"/>
        <v>0</v>
      </c>
      <c r="BD16" s="4428" t="e">
        <f t="shared" si="35"/>
        <v>#DIV/0!</v>
      </c>
      <c r="BE16" s="4499"/>
      <c r="BF16" s="2051"/>
      <c r="BG16" s="4498"/>
      <c r="BH16" s="4510">
        <f t="shared" si="56"/>
        <v>0</v>
      </c>
      <c r="BI16" s="4428" t="e">
        <f t="shared" si="37"/>
        <v>#DIV/0!</v>
      </c>
      <c r="BJ16" s="4499"/>
      <c r="BK16" s="2051"/>
      <c r="BL16" s="4498"/>
      <c r="BM16" s="4510">
        <f t="shared" si="57"/>
        <v>0</v>
      </c>
      <c r="BN16" s="4428" t="e">
        <f t="shared" si="39"/>
        <v>#DIV/0!</v>
      </c>
      <c r="BO16" s="4499"/>
      <c r="BP16" s="2051"/>
      <c r="BQ16" s="4498"/>
      <c r="BR16" s="4510">
        <f t="shared" si="58"/>
        <v>0</v>
      </c>
      <c r="BS16" s="4428" t="e">
        <f t="shared" si="41"/>
        <v>#DIV/0!</v>
      </c>
      <c r="BT16" s="4499"/>
      <c r="BU16" s="2051"/>
      <c r="BV16" s="4498"/>
      <c r="BW16" s="4510">
        <f t="shared" si="59"/>
        <v>0</v>
      </c>
      <c r="BX16" s="4428" t="e">
        <f t="shared" si="43"/>
        <v>#DIV/0!</v>
      </c>
      <c r="BY16" s="4499"/>
      <c r="BZ16" s="4498">
        <f t="shared" si="60"/>
        <v>0</v>
      </c>
      <c r="CA16" s="4498">
        <f t="shared" si="60"/>
        <v>1016318</v>
      </c>
      <c r="CB16" s="4511">
        <f t="shared" si="61"/>
        <v>1016318</v>
      </c>
      <c r="CC16" s="4428">
        <f t="shared" si="62"/>
        <v>0.15117737034137405</v>
      </c>
      <c r="CD16" s="4484"/>
      <c r="CE16" s="1980">
        <f t="shared" si="63"/>
        <v>-1225725</v>
      </c>
      <c r="CF16" s="4500">
        <v>1016318</v>
      </c>
      <c r="CG16" s="4501">
        <f t="shared" si="64"/>
        <v>0</v>
      </c>
      <c r="CH16" s="842">
        <v>1190228</v>
      </c>
      <c r="CI16" s="842">
        <f>951270</f>
        <v>951270</v>
      </c>
      <c r="CK16" s="842">
        <f>D16+C18</f>
        <v>2292043</v>
      </c>
      <c r="CL16" s="842">
        <f>CB9+CB16+CB18</f>
        <v>2189010.08</v>
      </c>
      <c r="CM16" s="842"/>
      <c r="CN16" s="842"/>
    </row>
    <row r="17" spans="1:92" s="1396" customFormat="1" ht="24.6" customHeight="1">
      <c r="A17" s="1572"/>
      <c r="B17" s="4430" t="s">
        <v>22</v>
      </c>
      <c r="C17" s="4508"/>
      <c r="D17" s="4513"/>
      <c r="E17" s="4509">
        <f t="shared" si="44"/>
        <v>0</v>
      </c>
      <c r="F17" s="4483">
        <f t="shared" si="23"/>
        <v>0</v>
      </c>
      <c r="G17" s="2051">
        <v>0</v>
      </c>
      <c r="H17" s="4498">
        <v>5000</v>
      </c>
      <c r="I17" s="4510">
        <f t="shared" si="65"/>
        <v>5000</v>
      </c>
      <c r="J17" s="4428">
        <f t="shared" si="45"/>
        <v>1.6723596075495597E-3</v>
      </c>
      <c r="K17" s="4486"/>
      <c r="L17" s="2051">
        <f t="shared" si="46"/>
        <v>0</v>
      </c>
      <c r="M17" s="4498">
        <f t="shared" si="46"/>
        <v>35000</v>
      </c>
      <c r="N17" s="4510">
        <f t="shared" si="66"/>
        <v>35000</v>
      </c>
      <c r="O17" s="4428">
        <f t="shared" si="47"/>
        <v>9.3760921409418545E-3</v>
      </c>
      <c r="P17" s="4486"/>
      <c r="Q17" s="1986"/>
      <c r="R17" s="2051"/>
      <c r="S17" s="4498"/>
      <c r="T17" s="4510">
        <f t="shared" si="67"/>
        <v>0</v>
      </c>
      <c r="U17" s="4428">
        <f t="shared" si="48"/>
        <v>0</v>
      </c>
      <c r="V17" s="4499"/>
      <c r="W17" s="2051"/>
      <c r="X17" s="4498"/>
      <c r="Y17" s="4510">
        <f t="shared" si="68"/>
        <v>0</v>
      </c>
      <c r="Z17" s="4428">
        <f t="shared" si="49"/>
        <v>0</v>
      </c>
      <c r="AA17" s="4499"/>
      <c r="AB17" s="4498"/>
      <c r="AC17" s="4498"/>
      <c r="AD17" s="4510">
        <f t="shared" si="50"/>
        <v>0</v>
      </c>
      <c r="AE17" s="4428">
        <f t="shared" si="25"/>
        <v>0</v>
      </c>
      <c r="AF17" s="4499"/>
      <c r="AG17" s="2051"/>
      <c r="AH17" s="4498"/>
      <c r="AI17" s="4510">
        <f t="shared" si="51"/>
        <v>0</v>
      </c>
      <c r="AJ17" s="4428">
        <f t="shared" si="27"/>
        <v>0</v>
      </c>
      <c r="AK17" s="4499"/>
      <c r="AL17" s="2051"/>
      <c r="AM17" s="4498">
        <v>35000</v>
      </c>
      <c r="AN17" s="4510">
        <f t="shared" si="52"/>
        <v>35000</v>
      </c>
      <c r="AO17" s="4428">
        <f t="shared" si="29"/>
        <v>0.53846153846153844</v>
      </c>
      <c r="AP17" s="4499" t="s">
        <v>1857</v>
      </c>
      <c r="AQ17" s="2051"/>
      <c r="AR17" s="4498"/>
      <c r="AS17" s="4510">
        <f t="shared" si="53"/>
        <v>0</v>
      </c>
      <c r="AT17" s="4428">
        <f t="shared" si="31"/>
        <v>0</v>
      </c>
      <c r="AU17" s="4499"/>
      <c r="AV17" s="2051"/>
      <c r="AW17" s="4498"/>
      <c r="AX17" s="4510">
        <f t="shared" si="54"/>
        <v>0</v>
      </c>
      <c r="AY17" s="4428" t="e">
        <f t="shared" si="33"/>
        <v>#DIV/0!</v>
      </c>
      <c r="AZ17" s="4499"/>
      <c r="BA17" s="2051"/>
      <c r="BB17" s="4498"/>
      <c r="BC17" s="4510">
        <f t="shared" si="55"/>
        <v>0</v>
      </c>
      <c r="BD17" s="4428" t="e">
        <f t="shared" si="35"/>
        <v>#DIV/0!</v>
      </c>
      <c r="BE17" s="4499"/>
      <c r="BF17" s="2051"/>
      <c r="BG17" s="4498"/>
      <c r="BH17" s="4510">
        <f t="shared" si="56"/>
        <v>0</v>
      </c>
      <c r="BI17" s="4428" t="e">
        <f t="shared" si="37"/>
        <v>#DIV/0!</v>
      </c>
      <c r="BJ17" s="4499"/>
      <c r="BK17" s="2051"/>
      <c r="BL17" s="4498"/>
      <c r="BM17" s="4510">
        <f t="shared" si="57"/>
        <v>0</v>
      </c>
      <c r="BN17" s="4428" t="e">
        <f t="shared" si="39"/>
        <v>#DIV/0!</v>
      </c>
      <c r="BO17" s="4499"/>
      <c r="BP17" s="2051"/>
      <c r="BQ17" s="4498"/>
      <c r="BR17" s="4510">
        <f t="shared" si="58"/>
        <v>0</v>
      </c>
      <c r="BS17" s="4428" t="e">
        <f t="shared" si="41"/>
        <v>#DIV/0!</v>
      </c>
      <c r="BT17" s="4499"/>
      <c r="BU17" s="2051"/>
      <c r="BV17" s="4498"/>
      <c r="BW17" s="4510">
        <f t="shared" si="59"/>
        <v>0</v>
      </c>
      <c r="BX17" s="4428" t="e">
        <f t="shared" si="43"/>
        <v>#DIV/0!</v>
      </c>
      <c r="BY17" s="4499"/>
      <c r="BZ17" s="4498">
        <f t="shared" si="60"/>
        <v>0</v>
      </c>
      <c r="CA17" s="4498">
        <f t="shared" si="60"/>
        <v>40000</v>
      </c>
      <c r="CB17" s="4511">
        <f t="shared" si="61"/>
        <v>40000</v>
      </c>
      <c r="CC17" s="4428">
        <f t="shared" si="62"/>
        <v>5.9500026700845228E-3</v>
      </c>
      <c r="CD17" s="4484"/>
      <c r="CE17" s="1980">
        <f t="shared" si="63"/>
        <v>40000</v>
      </c>
      <c r="CF17" s="4500">
        <v>40000</v>
      </c>
      <c r="CG17" s="4501">
        <f t="shared" si="64"/>
        <v>0</v>
      </c>
      <c r="CH17" s="842"/>
      <c r="CI17" s="842">
        <f>CH16-CI16</f>
        <v>238958</v>
      </c>
      <c r="CJ17" s="1396" t="s">
        <v>2127</v>
      </c>
      <c r="CK17" s="842"/>
      <c r="CL17" s="842">
        <f>CK16-CL16</f>
        <v>103032.91999999993</v>
      </c>
      <c r="CM17" s="842"/>
      <c r="CN17" s="842"/>
    </row>
    <row r="18" spans="1:92" s="1396" customFormat="1" ht="24.6" customHeight="1">
      <c r="A18" s="1572"/>
      <c r="B18" s="4430" t="s">
        <v>0</v>
      </c>
      <c r="C18" s="4508">
        <v>50000</v>
      </c>
      <c r="D18" s="4513"/>
      <c r="E18" s="4509">
        <f t="shared" si="44"/>
        <v>50000</v>
      </c>
      <c r="F18" s="4483">
        <f t="shared" si="23"/>
        <v>6.1804254060972121E-3</v>
      </c>
      <c r="G18" s="2051">
        <v>0</v>
      </c>
      <c r="H18" s="4498">
        <v>0</v>
      </c>
      <c r="I18" s="4510">
        <f t="shared" si="65"/>
        <v>0</v>
      </c>
      <c r="J18" s="4428">
        <f t="shared" si="45"/>
        <v>0</v>
      </c>
      <c r="K18" s="4499"/>
      <c r="L18" s="2051">
        <f t="shared" si="46"/>
        <v>1123406.95</v>
      </c>
      <c r="M18" s="4498">
        <f t="shared" si="46"/>
        <v>0</v>
      </c>
      <c r="N18" s="4510">
        <f t="shared" si="66"/>
        <v>1123406.95</v>
      </c>
      <c r="O18" s="4428">
        <f t="shared" si="47"/>
        <v>0.30094763071355596</v>
      </c>
      <c r="P18" s="4499"/>
      <c r="Q18" s="1986"/>
      <c r="R18" s="1618"/>
      <c r="S18" s="4498"/>
      <c r="T18" s="4510">
        <f t="shared" si="67"/>
        <v>0</v>
      </c>
      <c r="U18" s="4428">
        <f t="shared" si="48"/>
        <v>0</v>
      </c>
      <c r="V18" s="4506"/>
      <c r="W18" s="1618"/>
      <c r="X18" s="4498"/>
      <c r="Y18" s="4510">
        <f t="shared" si="68"/>
        <v>0</v>
      </c>
      <c r="Z18" s="4428">
        <f t="shared" si="49"/>
        <v>0</v>
      </c>
      <c r="AA18" s="4506"/>
      <c r="AB18" s="4498">
        <f>168297.95+951270+3839</f>
        <v>1123406.95</v>
      </c>
      <c r="AC18" s="4498"/>
      <c r="AD18" s="4510">
        <f t="shared" si="50"/>
        <v>1123406.95</v>
      </c>
      <c r="AE18" s="4428">
        <f t="shared" si="25"/>
        <v>0.65995079537413437</v>
      </c>
      <c r="AF18" s="4499" t="s">
        <v>1965</v>
      </c>
      <c r="AG18" s="1618"/>
      <c r="AH18" s="4498"/>
      <c r="AI18" s="4510">
        <f t="shared" si="51"/>
        <v>0</v>
      </c>
      <c r="AJ18" s="4428">
        <f t="shared" si="27"/>
        <v>0</v>
      </c>
      <c r="AK18" s="4499"/>
      <c r="AL18" s="1618"/>
      <c r="AM18" s="4498"/>
      <c r="AN18" s="4510">
        <f t="shared" si="52"/>
        <v>0</v>
      </c>
      <c r="AO18" s="4428">
        <f t="shared" si="29"/>
        <v>0</v>
      </c>
      <c r="AP18" s="4506"/>
      <c r="AQ18" s="1618"/>
      <c r="AR18" s="4498"/>
      <c r="AS18" s="4510">
        <f t="shared" si="53"/>
        <v>0</v>
      </c>
      <c r="AT18" s="4428">
        <f t="shared" si="31"/>
        <v>0</v>
      </c>
      <c r="AU18" s="4506"/>
      <c r="AV18" s="1618"/>
      <c r="AW18" s="4498"/>
      <c r="AX18" s="4510">
        <f t="shared" si="54"/>
        <v>0</v>
      </c>
      <c r="AY18" s="4428" t="e">
        <f t="shared" si="33"/>
        <v>#DIV/0!</v>
      </c>
      <c r="AZ18" s="4506"/>
      <c r="BA18" s="1618"/>
      <c r="BB18" s="4498"/>
      <c r="BC18" s="4510">
        <f t="shared" si="55"/>
        <v>0</v>
      </c>
      <c r="BD18" s="4428" t="e">
        <f t="shared" si="35"/>
        <v>#DIV/0!</v>
      </c>
      <c r="BE18" s="4506"/>
      <c r="BF18" s="1618"/>
      <c r="BG18" s="4498"/>
      <c r="BH18" s="4510">
        <f t="shared" si="56"/>
        <v>0</v>
      </c>
      <c r="BI18" s="4428" t="e">
        <f t="shared" si="37"/>
        <v>#DIV/0!</v>
      </c>
      <c r="BJ18" s="4506"/>
      <c r="BK18" s="1618"/>
      <c r="BL18" s="4498"/>
      <c r="BM18" s="4510">
        <f t="shared" si="57"/>
        <v>0</v>
      </c>
      <c r="BN18" s="4428" t="e">
        <f t="shared" si="39"/>
        <v>#DIV/0!</v>
      </c>
      <c r="BO18" s="4506"/>
      <c r="BP18" s="1618"/>
      <c r="BQ18" s="4498"/>
      <c r="BR18" s="4510">
        <f t="shared" si="58"/>
        <v>0</v>
      </c>
      <c r="BS18" s="4428" t="e">
        <f t="shared" si="41"/>
        <v>#DIV/0!</v>
      </c>
      <c r="BT18" s="4506"/>
      <c r="BU18" s="1618"/>
      <c r="BV18" s="4498"/>
      <c r="BW18" s="4510">
        <f t="shared" si="59"/>
        <v>0</v>
      </c>
      <c r="BX18" s="4428" t="e">
        <f t="shared" si="43"/>
        <v>#DIV/0!</v>
      </c>
      <c r="BY18" s="4506"/>
      <c r="BZ18" s="4498">
        <f t="shared" si="60"/>
        <v>1123406.95</v>
      </c>
      <c r="CA18" s="4498">
        <f t="shared" si="60"/>
        <v>0</v>
      </c>
      <c r="CB18" s="4511">
        <f t="shared" si="61"/>
        <v>1123406.95</v>
      </c>
      <c r="CC18" s="4428">
        <f t="shared" si="62"/>
        <v>0.16710685880228773</v>
      </c>
      <c r="CD18" s="4484"/>
      <c r="CE18" s="1980">
        <f t="shared" si="63"/>
        <v>1073406.95</v>
      </c>
      <c r="CF18" s="4500">
        <v>1123406.95</v>
      </c>
      <c r="CG18" s="4501">
        <f t="shared" si="64"/>
        <v>0</v>
      </c>
      <c r="CH18" s="842"/>
      <c r="CI18" s="842">
        <v>-168297</v>
      </c>
      <c r="CJ18" s="1396" t="s">
        <v>2128</v>
      </c>
      <c r="CK18" s="842"/>
      <c r="CL18" s="842"/>
      <c r="CM18" s="842"/>
      <c r="CN18" s="842"/>
    </row>
    <row r="19" spans="1:92" s="1396" customFormat="1" ht="24.6" customHeight="1">
      <c r="A19" s="1572"/>
      <c r="B19" s="4430" t="s">
        <v>53</v>
      </c>
      <c r="C19" s="4514"/>
      <c r="D19" s="4513"/>
      <c r="E19" s="4509">
        <f t="shared" si="44"/>
        <v>0</v>
      </c>
      <c r="F19" s="4483">
        <f t="shared" si="23"/>
        <v>0</v>
      </c>
      <c r="G19" s="2051">
        <v>0</v>
      </c>
      <c r="H19" s="4498">
        <v>0</v>
      </c>
      <c r="I19" s="4510">
        <f t="shared" si="65"/>
        <v>0</v>
      </c>
      <c r="J19" s="4428">
        <f t="shared" si="45"/>
        <v>0</v>
      </c>
      <c r="K19" s="4486"/>
      <c r="L19" s="2051">
        <f t="shared" si="46"/>
        <v>19320</v>
      </c>
      <c r="M19" s="4498">
        <f t="shared" si="46"/>
        <v>0</v>
      </c>
      <c r="N19" s="4510">
        <f t="shared" si="66"/>
        <v>19320</v>
      </c>
      <c r="O19" s="4428">
        <f t="shared" si="47"/>
        <v>5.1756028617999036E-3</v>
      </c>
      <c r="P19" s="4486"/>
      <c r="Q19" s="1986"/>
      <c r="R19" s="2051"/>
      <c r="S19" s="4498"/>
      <c r="T19" s="4510">
        <f t="shared" si="67"/>
        <v>0</v>
      </c>
      <c r="U19" s="4428">
        <f t="shared" si="48"/>
        <v>0</v>
      </c>
      <c r="V19" s="4486"/>
      <c r="W19" s="2051"/>
      <c r="X19" s="4498"/>
      <c r="Y19" s="4510">
        <f t="shared" si="68"/>
        <v>0</v>
      </c>
      <c r="Z19" s="4428">
        <f t="shared" si="49"/>
        <v>0</v>
      </c>
      <c r="AA19" s="4486"/>
      <c r="AB19" s="4498">
        <f>9000+2784+7536-3840</f>
        <v>15480</v>
      </c>
      <c r="AC19" s="4498"/>
      <c r="AD19" s="4510">
        <f t="shared" si="50"/>
        <v>15480</v>
      </c>
      <c r="AE19" s="4428">
        <f t="shared" si="25"/>
        <v>9.0938001695570776E-3</v>
      </c>
      <c r="AF19" s="4499" t="s">
        <v>2018</v>
      </c>
      <c r="AG19" s="2051">
        <f>1344+2496</f>
        <v>3840</v>
      </c>
      <c r="AH19" s="4498"/>
      <c r="AI19" s="4510">
        <f t="shared" si="51"/>
        <v>3840</v>
      </c>
      <c r="AJ19" s="4428">
        <f t="shared" si="27"/>
        <v>8.2866142509887587E-3</v>
      </c>
      <c r="AK19" s="4499" t="s">
        <v>2035</v>
      </c>
      <c r="AL19" s="2051"/>
      <c r="AM19" s="4498"/>
      <c r="AN19" s="4510">
        <f t="shared" si="52"/>
        <v>0</v>
      </c>
      <c r="AO19" s="4428">
        <f t="shared" si="29"/>
        <v>0</v>
      </c>
      <c r="AP19" s="4486"/>
      <c r="AQ19" s="2051"/>
      <c r="AR19" s="4498"/>
      <c r="AS19" s="4510">
        <f t="shared" si="53"/>
        <v>0</v>
      </c>
      <c r="AT19" s="4428">
        <f t="shared" si="31"/>
        <v>0</v>
      </c>
      <c r="AU19" s="4486"/>
      <c r="AV19" s="2051"/>
      <c r="AW19" s="4498"/>
      <c r="AX19" s="4510">
        <f t="shared" si="54"/>
        <v>0</v>
      </c>
      <c r="AY19" s="4428" t="e">
        <f t="shared" si="33"/>
        <v>#DIV/0!</v>
      </c>
      <c r="AZ19" s="4486"/>
      <c r="BA19" s="2051"/>
      <c r="BB19" s="4498"/>
      <c r="BC19" s="4510">
        <f t="shared" si="55"/>
        <v>0</v>
      </c>
      <c r="BD19" s="4428" t="e">
        <f t="shared" si="35"/>
        <v>#DIV/0!</v>
      </c>
      <c r="BE19" s="4486"/>
      <c r="BF19" s="2051"/>
      <c r="BG19" s="4498"/>
      <c r="BH19" s="4510">
        <f t="shared" si="56"/>
        <v>0</v>
      </c>
      <c r="BI19" s="4428" t="e">
        <f t="shared" si="37"/>
        <v>#DIV/0!</v>
      </c>
      <c r="BJ19" s="4486"/>
      <c r="BK19" s="2051"/>
      <c r="BL19" s="4498"/>
      <c r="BM19" s="4510">
        <f t="shared" si="57"/>
        <v>0</v>
      </c>
      <c r="BN19" s="4428" t="e">
        <f t="shared" si="39"/>
        <v>#DIV/0!</v>
      </c>
      <c r="BO19" s="4486"/>
      <c r="BP19" s="2051"/>
      <c r="BQ19" s="4498"/>
      <c r="BR19" s="4510">
        <f t="shared" si="58"/>
        <v>0</v>
      </c>
      <c r="BS19" s="4428" t="e">
        <f t="shared" si="41"/>
        <v>#DIV/0!</v>
      </c>
      <c r="BT19" s="4486"/>
      <c r="BU19" s="2051"/>
      <c r="BV19" s="4498"/>
      <c r="BW19" s="4510">
        <f t="shared" si="59"/>
        <v>0</v>
      </c>
      <c r="BX19" s="4428" t="e">
        <f t="shared" si="43"/>
        <v>#DIV/0!</v>
      </c>
      <c r="BY19" s="4486"/>
      <c r="BZ19" s="4498">
        <f t="shared" si="60"/>
        <v>19320</v>
      </c>
      <c r="CA19" s="4498">
        <f t="shared" si="60"/>
        <v>0</v>
      </c>
      <c r="CB19" s="4511">
        <f t="shared" si="61"/>
        <v>19320</v>
      </c>
      <c r="CC19" s="4428">
        <f t="shared" si="62"/>
        <v>2.8738512896508243E-3</v>
      </c>
      <c r="CD19" s="4484"/>
      <c r="CE19" s="1980">
        <f t="shared" si="63"/>
        <v>19320</v>
      </c>
      <c r="CF19" s="4500">
        <v>19320</v>
      </c>
      <c r="CG19" s="4501">
        <f t="shared" si="64"/>
        <v>0</v>
      </c>
      <c r="CH19" s="842" t="s">
        <v>2129</v>
      </c>
      <c r="CI19" s="842">
        <v>-3839</v>
      </c>
      <c r="CJ19" s="1396" t="s">
        <v>2130</v>
      </c>
      <c r="CK19" s="842"/>
      <c r="CL19" s="842"/>
      <c r="CM19" s="842"/>
      <c r="CN19" s="842"/>
    </row>
    <row r="20" spans="1:92" s="1396" customFormat="1" ht="24.6" customHeight="1">
      <c r="A20" s="1572"/>
      <c r="B20" s="4430" t="s">
        <v>57</v>
      </c>
      <c r="C20" s="4514">
        <v>50400</v>
      </c>
      <c r="D20" s="4513"/>
      <c r="E20" s="4509">
        <f t="shared" si="44"/>
        <v>50400</v>
      </c>
      <c r="F20" s="4483">
        <f t="shared" si="23"/>
        <v>6.2298688093459899E-3</v>
      </c>
      <c r="G20" s="2051">
        <v>55141.82</v>
      </c>
      <c r="H20" s="4498">
        <v>0</v>
      </c>
      <c r="I20" s="4510">
        <f t="shared" si="65"/>
        <v>55141.82</v>
      </c>
      <c r="J20" s="4428">
        <f t="shared" si="45"/>
        <v>1.8443390490953691E-2</v>
      </c>
      <c r="K20" s="4486"/>
      <c r="L20" s="2051">
        <f t="shared" si="46"/>
        <v>12804.384</v>
      </c>
      <c r="M20" s="4498">
        <f t="shared" si="46"/>
        <v>0</v>
      </c>
      <c r="N20" s="4510">
        <f t="shared" si="66"/>
        <v>12804.384</v>
      </c>
      <c r="O20" s="4428">
        <f t="shared" si="47"/>
        <v>3.430145262628618E-3</v>
      </c>
      <c r="P20" s="4486"/>
      <c r="Q20" s="1986"/>
      <c r="R20" s="2051">
        <f>3087.12*1.2+8259.84+840</f>
        <v>12804.384</v>
      </c>
      <c r="S20" s="4498"/>
      <c r="T20" s="4510">
        <f t="shared" si="67"/>
        <v>12804.384</v>
      </c>
      <c r="U20" s="4428">
        <f t="shared" si="48"/>
        <v>3.3663306217394641E-2</v>
      </c>
      <c r="V20" s="4499" t="s">
        <v>758</v>
      </c>
      <c r="W20" s="2051"/>
      <c r="X20" s="4498"/>
      <c r="Y20" s="4510">
        <f t="shared" si="68"/>
        <v>0</v>
      </c>
      <c r="Z20" s="4428">
        <f t="shared" si="49"/>
        <v>0</v>
      </c>
      <c r="AA20" s="4499"/>
      <c r="AB20" s="4498"/>
      <c r="AC20" s="4498"/>
      <c r="AD20" s="4510">
        <f t="shared" si="50"/>
        <v>0</v>
      </c>
      <c r="AE20" s="4428">
        <f t="shared" si="25"/>
        <v>0</v>
      </c>
      <c r="AF20" s="4499"/>
      <c r="AG20" s="2051"/>
      <c r="AH20" s="4498"/>
      <c r="AI20" s="4510">
        <f t="shared" si="51"/>
        <v>0</v>
      </c>
      <c r="AJ20" s="4428">
        <f t="shared" si="27"/>
        <v>0</v>
      </c>
      <c r="AK20" s="4499"/>
      <c r="AL20" s="2051"/>
      <c r="AM20" s="4498"/>
      <c r="AN20" s="4510">
        <f t="shared" si="52"/>
        <v>0</v>
      </c>
      <c r="AO20" s="4428">
        <f t="shared" si="29"/>
        <v>0</v>
      </c>
      <c r="AP20" s="4499"/>
      <c r="AQ20" s="2051"/>
      <c r="AR20" s="4498"/>
      <c r="AS20" s="4510">
        <f t="shared" si="53"/>
        <v>0</v>
      </c>
      <c r="AT20" s="4428">
        <f t="shared" si="31"/>
        <v>0</v>
      </c>
      <c r="AU20" s="4499"/>
      <c r="AV20" s="2051"/>
      <c r="AW20" s="4498"/>
      <c r="AX20" s="4510">
        <f t="shared" si="54"/>
        <v>0</v>
      </c>
      <c r="AY20" s="4428" t="e">
        <f t="shared" si="33"/>
        <v>#DIV/0!</v>
      </c>
      <c r="AZ20" s="4499"/>
      <c r="BA20" s="2051"/>
      <c r="BB20" s="4498"/>
      <c r="BC20" s="4510">
        <f t="shared" si="55"/>
        <v>0</v>
      </c>
      <c r="BD20" s="4428" t="e">
        <f t="shared" si="35"/>
        <v>#DIV/0!</v>
      </c>
      <c r="BE20" s="4499"/>
      <c r="BF20" s="2051"/>
      <c r="BG20" s="4498"/>
      <c r="BH20" s="4510">
        <f t="shared" si="56"/>
        <v>0</v>
      </c>
      <c r="BI20" s="4428" t="e">
        <f t="shared" si="37"/>
        <v>#DIV/0!</v>
      </c>
      <c r="BJ20" s="4499"/>
      <c r="BK20" s="2051"/>
      <c r="BL20" s="4498"/>
      <c r="BM20" s="4510">
        <f t="shared" si="57"/>
        <v>0</v>
      </c>
      <c r="BN20" s="4428" t="e">
        <f t="shared" si="39"/>
        <v>#DIV/0!</v>
      </c>
      <c r="BO20" s="4499"/>
      <c r="BP20" s="2051"/>
      <c r="BQ20" s="4498"/>
      <c r="BR20" s="4510">
        <f t="shared" si="58"/>
        <v>0</v>
      </c>
      <c r="BS20" s="4428" t="e">
        <f t="shared" si="41"/>
        <v>#DIV/0!</v>
      </c>
      <c r="BT20" s="4499"/>
      <c r="BU20" s="2051"/>
      <c r="BV20" s="4498"/>
      <c r="BW20" s="4510">
        <f t="shared" si="59"/>
        <v>0</v>
      </c>
      <c r="BX20" s="4428" t="e">
        <f t="shared" si="43"/>
        <v>#DIV/0!</v>
      </c>
      <c r="BY20" s="4499"/>
      <c r="BZ20" s="4498">
        <f t="shared" si="60"/>
        <v>67946.203999999998</v>
      </c>
      <c r="CA20" s="4498">
        <f t="shared" si="60"/>
        <v>0</v>
      </c>
      <c r="CB20" s="4511">
        <f t="shared" si="61"/>
        <v>67946.203999999998</v>
      </c>
      <c r="CC20" s="4428">
        <f t="shared" si="62"/>
        <v>1.0107002380552692E-2</v>
      </c>
      <c r="CD20" s="4484"/>
      <c r="CE20" s="1980">
        <f t="shared" si="63"/>
        <v>17546.203999999998</v>
      </c>
      <c r="CF20" s="4500">
        <v>67946.2</v>
      </c>
      <c r="CG20" s="4501">
        <f t="shared" si="64"/>
        <v>-4.0000000008149073E-3</v>
      </c>
      <c r="CH20" s="842"/>
      <c r="CI20" s="842">
        <v>30000</v>
      </c>
      <c r="CJ20" s="1396" t="s">
        <v>2131</v>
      </c>
      <c r="CK20" s="842"/>
      <c r="CL20" s="842"/>
      <c r="CM20" s="842"/>
      <c r="CN20" s="842"/>
    </row>
    <row r="21" spans="1:92" s="1396" customFormat="1" ht="24.6" customHeight="1">
      <c r="A21" s="1572"/>
      <c r="B21" s="4430" t="s">
        <v>58</v>
      </c>
      <c r="C21" s="4514">
        <v>579129</v>
      </c>
      <c r="D21" s="4513"/>
      <c r="E21" s="4509">
        <f t="shared" si="44"/>
        <v>579129</v>
      </c>
      <c r="F21" s="4483">
        <f t="shared" si="23"/>
        <v>7.1585271700153441E-2</v>
      </c>
      <c r="G21" s="2051">
        <f>91057.92+1249.99</f>
        <v>92307.91</v>
      </c>
      <c r="H21" s="4498">
        <v>0</v>
      </c>
      <c r="I21" s="4510">
        <f t="shared" si="65"/>
        <v>92307.91</v>
      </c>
      <c r="J21" s="4428">
        <f t="shared" si="45"/>
        <v>3.0874404028264017E-2</v>
      </c>
      <c r="K21" s="4486"/>
      <c r="L21" s="2051">
        <f t="shared" si="46"/>
        <v>14808.400000000001</v>
      </c>
      <c r="M21" s="4498">
        <f t="shared" si="46"/>
        <v>0</v>
      </c>
      <c r="N21" s="4510">
        <f t="shared" si="66"/>
        <v>14808.400000000001</v>
      </c>
      <c r="O21" s="4428">
        <f t="shared" si="47"/>
        <v>3.966997795997811E-3</v>
      </c>
      <c r="P21" s="4486"/>
      <c r="Q21" s="1986"/>
      <c r="R21" s="2051">
        <f>15341.28-532.88</f>
        <v>14808.400000000001</v>
      </c>
      <c r="S21" s="4498"/>
      <c r="T21" s="4510">
        <f t="shared" si="67"/>
        <v>14808.400000000001</v>
      </c>
      <c r="U21" s="4428">
        <f t="shared" si="48"/>
        <v>3.893195516392408E-2</v>
      </c>
      <c r="V21" s="4499" t="s">
        <v>1855</v>
      </c>
      <c r="W21" s="2051"/>
      <c r="X21" s="4498"/>
      <c r="Y21" s="4510">
        <f t="shared" si="68"/>
        <v>0</v>
      </c>
      <c r="Z21" s="4428">
        <f t="shared" si="49"/>
        <v>0</v>
      </c>
      <c r="AA21" s="4499"/>
      <c r="AB21" s="4498"/>
      <c r="AC21" s="4498"/>
      <c r="AD21" s="4510">
        <f t="shared" si="50"/>
        <v>0</v>
      </c>
      <c r="AE21" s="4428">
        <f t="shared" si="25"/>
        <v>0</v>
      </c>
      <c r="AF21" s="4499"/>
      <c r="AG21" s="2051"/>
      <c r="AH21" s="4498"/>
      <c r="AI21" s="4510">
        <f t="shared" si="51"/>
        <v>0</v>
      </c>
      <c r="AJ21" s="4428">
        <f t="shared" si="27"/>
        <v>0</v>
      </c>
      <c r="AK21" s="4499"/>
      <c r="AL21" s="2051"/>
      <c r="AM21" s="4498"/>
      <c r="AN21" s="4510">
        <f t="shared" si="52"/>
        <v>0</v>
      </c>
      <c r="AO21" s="4428">
        <f t="shared" si="29"/>
        <v>0</v>
      </c>
      <c r="AP21" s="4499"/>
      <c r="AQ21" s="2051"/>
      <c r="AR21" s="4498"/>
      <c r="AS21" s="4510">
        <f t="shared" si="53"/>
        <v>0</v>
      </c>
      <c r="AT21" s="4428">
        <f t="shared" si="31"/>
        <v>0</v>
      </c>
      <c r="AU21" s="4499"/>
      <c r="AV21" s="2051"/>
      <c r="AW21" s="4498"/>
      <c r="AX21" s="4510">
        <f t="shared" si="54"/>
        <v>0</v>
      </c>
      <c r="AY21" s="4428" t="e">
        <f t="shared" si="33"/>
        <v>#DIV/0!</v>
      </c>
      <c r="AZ21" s="4499"/>
      <c r="BA21" s="2051"/>
      <c r="BB21" s="4498"/>
      <c r="BC21" s="4510">
        <f t="shared" si="55"/>
        <v>0</v>
      </c>
      <c r="BD21" s="4428" t="e">
        <f t="shared" si="35"/>
        <v>#DIV/0!</v>
      </c>
      <c r="BE21" s="4499"/>
      <c r="BF21" s="2051"/>
      <c r="BG21" s="4498"/>
      <c r="BH21" s="4510">
        <f t="shared" si="56"/>
        <v>0</v>
      </c>
      <c r="BI21" s="4428" t="e">
        <f t="shared" si="37"/>
        <v>#DIV/0!</v>
      </c>
      <c r="BJ21" s="4499"/>
      <c r="BK21" s="2051"/>
      <c r="BL21" s="4498"/>
      <c r="BM21" s="4510">
        <f t="shared" si="57"/>
        <v>0</v>
      </c>
      <c r="BN21" s="4428" t="e">
        <f t="shared" si="39"/>
        <v>#DIV/0!</v>
      </c>
      <c r="BO21" s="4499"/>
      <c r="BP21" s="2051"/>
      <c r="BQ21" s="4498"/>
      <c r="BR21" s="4510">
        <f t="shared" si="58"/>
        <v>0</v>
      </c>
      <c r="BS21" s="4428" t="e">
        <f t="shared" si="41"/>
        <v>#DIV/0!</v>
      </c>
      <c r="BT21" s="4499"/>
      <c r="BU21" s="2051"/>
      <c r="BV21" s="4498"/>
      <c r="BW21" s="4510">
        <f t="shared" si="59"/>
        <v>0</v>
      </c>
      <c r="BX21" s="4428" t="e">
        <f t="shared" si="43"/>
        <v>#DIV/0!</v>
      </c>
      <c r="BY21" s="4499"/>
      <c r="BZ21" s="4498">
        <f t="shared" si="60"/>
        <v>107116.31</v>
      </c>
      <c r="CA21" s="4498">
        <f t="shared" si="60"/>
        <v>0</v>
      </c>
      <c r="CB21" s="4511">
        <f t="shared" si="61"/>
        <v>107116.31</v>
      </c>
      <c r="CC21" s="4428">
        <f t="shared" si="62"/>
        <v>1.5933558262740035E-2</v>
      </c>
      <c r="CD21" s="4484"/>
      <c r="CE21" s="1980">
        <f t="shared" si="63"/>
        <v>-472012.69</v>
      </c>
      <c r="CF21" s="4500">
        <v>124081.33</v>
      </c>
      <c r="CG21" s="4501">
        <f>CF21-CB21</f>
        <v>16965.020000000004</v>
      </c>
      <c r="CH21" s="842" t="s">
        <v>2132</v>
      </c>
      <c r="CI21" s="842">
        <f>SUM(CI17:CI20)</f>
        <v>96822</v>
      </c>
      <c r="CJ21" s="1396" t="s">
        <v>1489</v>
      </c>
      <c r="CK21" s="842"/>
      <c r="CL21" s="842">
        <f>CL17-CI21</f>
        <v>6210.9199999999255</v>
      </c>
      <c r="CM21" s="842"/>
      <c r="CN21" s="842"/>
    </row>
    <row r="22" spans="1:92" s="1396" customFormat="1" ht="24.6" customHeight="1">
      <c r="A22" s="1572"/>
      <c r="B22" s="4430" t="s">
        <v>621</v>
      </c>
      <c r="C22" s="4514"/>
      <c r="D22" s="4513"/>
      <c r="E22" s="4509">
        <f t="shared" si="44"/>
        <v>0</v>
      </c>
      <c r="F22" s="4483">
        <f t="shared" si="23"/>
        <v>0</v>
      </c>
      <c r="G22" s="2051">
        <f>114210.14+13600+624.04</f>
        <v>128434.18</v>
      </c>
      <c r="H22" s="4498">
        <v>0</v>
      </c>
      <c r="I22" s="4510">
        <f t="shared" si="65"/>
        <v>128434.18</v>
      </c>
      <c r="J22" s="4428">
        <f t="shared" si="45"/>
        <v>4.2957626972149901E-2</v>
      </c>
      <c r="K22" s="4486"/>
      <c r="L22" s="2051">
        <f t="shared" si="46"/>
        <v>115236</v>
      </c>
      <c r="M22" s="4498">
        <f t="shared" si="46"/>
        <v>0</v>
      </c>
      <c r="N22" s="4510">
        <f t="shared" si="66"/>
        <v>115236</v>
      </c>
      <c r="O22" s="4428">
        <f t="shared" si="47"/>
        <v>3.0870381541530729E-2</v>
      </c>
      <c r="P22" s="4486"/>
      <c r="Q22" s="1986"/>
      <c r="R22" s="2051">
        <v>3696</v>
      </c>
      <c r="S22" s="4498"/>
      <c r="T22" s="4510">
        <f t="shared" si="67"/>
        <v>3696</v>
      </c>
      <c r="U22" s="4428">
        <f t="shared" si="48"/>
        <v>9.71695161434479E-3</v>
      </c>
      <c r="V22" s="4499" t="s">
        <v>1863</v>
      </c>
      <c r="W22" s="2051">
        <f>74200+13500</f>
        <v>87700</v>
      </c>
      <c r="X22" s="4498"/>
      <c r="Y22" s="4510">
        <f t="shared" si="68"/>
        <v>87700</v>
      </c>
      <c r="Z22" s="4428">
        <f t="shared" si="49"/>
        <v>8.1501213923873314E-2</v>
      </c>
      <c r="AA22" s="4499" t="s">
        <v>1960</v>
      </c>
      <c r="AB22" s="2051">
        <f>15840+8000</f>
        <v>23840</v>
      </c>
      <c r="AC22" s="4498"/>
      <c r="AD22" s="4510">
        <f t="shared" si="50"/>
        <v>23840</v>
      </c>
      <c r="AE22" s="4428">
        <f t="shared" si="25"/>
        <v>1.4004922224950953E-2</v>
      </c>
      <c r="AF22" s="4499" t="s">
        <v>2016</v>
      </c>
      <c r="AG22" s="2051"/>
      <c r="AH22" s="4498"/>
      <c r="AI22" s="4510">
        <f t="shared" si="51"/>
        <v>0</v>
      </c>
      <c r="AJ22" s="4428">
        <f t="shared" si="27"/>
        <v>0</v>
      </c>
      <c r="AK22" s="4499"/>
      <c r="AL22" s="2051"/>
      <c r="AM22" s="4498"/>
      <c r="AN22" s="4510">
        <f t="shared" si="52"/>
        <v>0</v>
      </c>
      <c r="AO22" s="4428">
        <f t="shared" si="29"/>
        <v>0</v>
      </c>
      <c r="AP22" s="4499"/>
      <c r="AQ22" s="2051"/>
      <c r="AR22" s="4498"/>
      <c r="AS22" s="4510">
        <f t="shared" si="53"/>
        <v>0</v>
      </c>
      <c r="AT22" s="4428">
        <f t="shared" si="31"/>
        <v>0</v>
      </c>
      <c r="AU22" s="4499"/>
      <c r="AV22" s="2051"/>
      <c r="AW22" s="4498"/>
      <c r="AX22" s="4510">
        <f t="shared" si="54"/>
        <v>0</v>
      </c>
      <c r="AY22" s="4428" t="e">
        <f t="shared" si="33"/>
        <v>#DIV/0!</v>
      </c>
      <c r="AZ22" s="4499"/>
      <c r="BA22" s="2051"/>
      <c r="BB22" s="4498"/>
      <c r="BC22" s="4510">
        <f t="shared" si="55"/>
        <v>0</v>
      </c>
      <c r="BD22" s="4428" t="e">
        <f t="shared" si="35"/>
        <v>#DIV/0!</v>
      </c>
      <c r="BE22" s="4499"/>
      <c r="BF22" s="2051"/>
      <c r="BG22" s="4498"/>
      <c r="BH22" s="4510">
        <f t="shared" si="56"/>
        <v>0</v>
      </c>
      <c r="BI22" s="4428" t="e">
        <f t="shared" si="37"/>
        <v>#DIV/0!</v>
      </c>
      <c r="BJ22" s="4499"/>
      <c r="BK22" s="2051"/>
      <c r="BL22" s="4498"/>
      <c r="BM22" s="4510">
        <f t="shared" si="57"/>
        <v>0</v>
      </c>
      <c r="BN22" s="4428" t="e">
        <f t="shared" si="39"/>
        <v>#DIV/0!</v>
      </c>
      <c r="BO22" s="4499"/>
      <c r="BP22" s="2051"/>
      <c r="BQ22" s="4498"/>
      <c r="BR22" s="4510">
        <f t="shared" si="58"/>
        <v>0</v>
      </c>
      <c r="BS22" s="4428" t="e">
        <f t="shared" si="41"/>
        <v>#DIV/0!</v>
      </c>
      <c r="BT22" s="4499"/>
      <c r="BU22" s="2051"/>
      <c r="BV22" s="4498"/>
      <c r="BW22" s="4510">
        <f t="shared" si="59"/>
        <v>0</v>
      </c>
      <c r="BX22" s="4428" t="e">
        <f t="shared" si="43"/>
        <v>#DIV/0!</v>
      </c>
      <c r="BY22" s="4499"/>
      <c r="BZ22" s="4498">
        <f t="shared" si="60"/>
        <v>243670.18</v>
      </c>
      <c r="CA22" s="4498">
        <f t="shared" si="60"/>
        <v>0</v>
      </c>
      <c r="CB22" s="4511">
        <f t="shared" si="61"/>
        <v>243670.18</v>
      </c>
      <c r="CC22" s="4428">
        <f t="shared" si="62"/>
        <v>3.6245955540499405E-2</v>
      </c>
      <c r="CD22" s="4484"/>
      <c r="CE22" s="1980">
        <f t="shared" si="63"/>
        <v>243670.18</v>
      </c>
      <c r="CF22" s="4500">
        <v>243670.18</v>
      </c>
      <c r="CG22" s="4501">
        <f t="shared" si="64"/>
        <v>0</v>
      </c>
      <c r="CH22" s="919"/>
      <c r="CK22" s="842"/>
      <c r="CL22" s="842"/>
    </row>
    <row r="23" spans="1:92" s="1396" customFormat="1" ht="24.6" customHeight="1">
      <c r="A23" s="1572"/>
      <c r="B23" s="4430" t="s">
        <v>630</v>
      </c>
      <c r="C23" s="4514"/>
      <c r="D23" s="4513"/>
      <c r="E23" s="4509">
        <f t="shared" si="44"/>
        <v>0</v>
      </c>
      <c r="F23" s="4483">
        <f t="shared" si="23"/>
        <v>0</v>
      </c>
      <c r="G23" s="2051">
        <v>0</v>
      </c>
      <c r="H23" s="4498">
        <v>0</v>
      </c>
      <c r="I23" s="4510">
        <f t="shared" si="65"/>
        <v>0</v>
      </c>
      <c r="J23" s="4428">
        <f t="shared" si="45"/>
        <v>0</v>
      </c>
      <c r="K23" s="4486"/>
      <c r="L23" s="2051">
        <f t="shared" si="46"/>
        <v>0</v>
      </c>
      <c r="M23" s="4498">
        <f t="shared" si="46"/>
        <v>0</v>
      </c>
      <c r="N23" s="4510">
        <f t="shared" si="66"/>
        <v>0</v>
      </c>
      <c r="O23" s="4428">
        <f t="shared" si="47"/>
        <v>0</v>
      </c>
      <c r="P23" s="4486"/>
      <c r="Q23" s="1986"/>
      <c r="R23" s="2051"/>
      <c r="S23" s="4498"/>
      <c r="T23" s="4510">
        <f t="shared" si="67"/>
        <v>0</v>
      </c>
      <c r="U23" s="4428">
        <f t="shared" si="48"/>
        <v>0</v>
      </c>
      <c r="V23" s="4499"/>
      <c r="W23" s="2051"/>
      <c r="X23" s="4498"/>
      <c r="Y23" s="4510">
        <f t="shared" si="68"/>
        <v>0</v>
      </c>
      <c r="Z23" s="4428">
        <f t="shared" si="49"/>
        <v>0</v>
      </c>
      <c r="AA23" s="4499"/>
      <c r="AB23" s="2051"/>
      <c r="AC23" s="4498"/>
      <c r="AD23" s="4510">
        <f t="shared" si="50"/>
        <v>0</v>
      </c>
      <c r="AE23" s="4428">
        <f t="shared" si="25"/>
        <v>0</v>
      </c>
      <c r="AF23" s="4499"/>
      <c r="AG23" s="2051"/>
      <c r="AH23" s="4498"/>
      <c r="AI23" s="4510">
        <f t="shared" si="51"/>
        <v>0</v>
      </c>
      <c r="AJ23" s="4428">
        <f t="shared" si="27"/>
        <v>0</v>
      </c>
      <c r="AK23" s="4499"/>
      <c r="AL23" s="2051"/>
      <c r="AM23" s="4498"/>
      <c r="AN23" s="4510">
        <f t="shared" si="52"/>
        <v>0</v>
      </c>
      <c r="AO23" s="4428">
        <f t="shared" si="29"/>
        <v>0</v>
      </c>
      <c r="AP23" s="4499"/>
      <c r="AQ23" s="2051"/>
      <c r="AR23" s="4498"/>
      <c r="AS23" s="4510">
        <f t="shared" si="53"/>
        <v>0</v>
      </c>
      <c r="AT23" s="4428">
        <f t="shared" si="31"/>
        <v>0</v>
      </c>
      <c r="AU23" s="4499"/>
      <c r="AV23" s="2051"/>
      <c r="AW23" s="4498"/>
      <c r="AX23" s="4510">
        <f t="shared" si="54"/>
        <v>0</v>
      </c>
      <c r="AY23" s="4428" t="e">
        <f t="shared" si="33"/>
        <v>#DIV/0!</v>
      </c>
      <c r="AZ23" s="4499"/>
      <c r="BA23" s="2051"/>
      <c r="BB23" s="4498"/>
      <c r="BC23" s="4510">
        <f t="shared" si="55"/>
        <v>0</v>
      </c>
      <c r="BD23" s="4428" t="e">
        <f t="shared" si="35"/>
        <v>#DIV/0!</v>
      </c>
      <c r="BE23" s="4499"/>
      <c r="BF23" s="2051"/>
      <c r="BG23" s="4498"/>
      <c r="BH23" s="4510">
        <f t="shared" si="56"/>
        <v>0</v>
      </c>
      <c r="BI23" s="4428" t="e">
        <f t="shared" si="37"/>
        <v>#DIV/0!</v>
      </c>
      <c r="BJ23" s="4499"/>
      <c r="BK23" s="2051"/>
      <c r="BL23" s="4498"/>
      <c r="BM23" s="4510">
        <f t="shared" si="57"/>
        <v>0</v>
      </c>
      <c r="BN23" s="4428" t="e">
        <f t="shared" si="39"/>
        <v>#DIV/0!</v>
      </c>
      <c r="BO23" s="4499"/>
      <c r="BP23" s="2051"/>
      <c r="BQ23" s="4498"/>
      <c r="BR23" s="4510">
        <f t="shared" si="58"/>
        <v>0</v>
      </c>
      <c r="BS23" s="4428" t="e">
        <f t="shared" si="41"/>
        <v>#DIV/0!</v>
      </c>
      <c r="BT23" s="4499"/>
      <c r="BU23" s="2051"/>
      <c r="BV23" s="4498"/>
      <c r="BW23" s="4510">
        <f t="shared" si="59"/>
        <v>0</v>
      </c>
      <c r="BX23" s="4428" t="e">
        <f t="shared" si="43"/>
        <v>#DIV/0!</v>
      </c>
      <c r="BY23" s="4499"/>
      <c r="BZ23" s="4498">
        <f t="shared" si="60"/>
        <v>0</v>
      </c>
      <c r="CA23" s="4498">
        <f t="shared" si="60"/>
        <v>0</v>
      </c>
      <c r="CB23" s="4510">
        <f t="shared" si="61"/>
        <v>0</v>
      </c>
      <c r="CC23" s="4428">
        <f t="shared" si="62"/>
        <v>0</v>
      </c>
      <c r="CD23" s="4484"/>
      <c r="CE23" s="1980">
        <f t="shared" si="63"/>
        <v>0</v>
      </c>
      <c r="CF23" s="3144"/>
      <c r="CG23" s="3145"/>
      <c r="CJ23" s="842"/>
    </row>
    <row r="24" spans="1:92" s="1396" customFormat="1" ht="24.6" customHeight="1">
      <c r="A24" s="1572"/>
      <c r="B24" s="4430" t="s">
        <v>23</v>
      </c>
      <c r="C24" s="4514">
        <v>110000</v>
      </c>
      <c r="D24" s="4513"/>
      <c r="E24" s="4509">
        <f>C24+D24</f>
        <v>110000</v>
      </c>
      <c r="F24" s="4483">
        <f>E24/$E$89</f>
        <v>1.3596935893413866E-2</v>
      </c>
      <c r="G24" s="2051">
        <f>70700+33000</f>
        <v>103700</v>
      </c>
      <c r="H24" s="4498">
        <v>0</v>
      </c>
      <c r="I24" s="4510">
        <f>G24+H24*1</f>
        <v>103700</v>
      </c>
      <c r="J24" s="4428">
        <f>I24/I$89</f>
        <v>3.4684738260577865E-2</v>
      </c>
      <c r="K24" s="4486"/>
      <c r="L24" s="2051">
        <f>R24+W24+AB24+AG24+AL24+AQ24+AV24+BA24+BF24+BK24+BP24+BU24</f>
        <v>19621.75</v>
      </c>
      <c r="M24" s="4498">
        <f>S24+X24+AC24+AH24+AM24+AR24+AW24+BB24+BG24+BL24+BQ24+BV24</f>
        <v>0</v>
      </c>
      <c r="N24" s="4510">
        <f>L24+M24*1</f>
        <v>19621.75</v>
      </c>
      <c r="O24" s="4428">
        <f>N24/N$89</f>
        <v>5.2564381704721663E-3</v>
      </c>
      <c r="P24" s="4486"/>
      <c r="Q24" s="1986"/>
      <c r="R24" s="2051">
        <v>18900</v>
      </c>
      <c r="S24" s="4498"/>
      <c r="T24" s="4510">
        <f>R24+S24*1</f>
        <v>18900</v>
      </c>
      <c r="U24" s="4428">
        <f>T24/T$89</f>
        <v>4.9688957118808587E-2</v>
      </c>
      <c r="V24" s="4499" t="s">
        <v>2020</v>
      </c>
      <c r="W24" s="2051">
        <v>551.75</v>
      </c>
      <c r="X24" s="4498"/>
      <c r="Y24" s="4510">
        <v>0</v>
      </c>
      <c r="Z24" s="4428">
        <f>Y24/Y$89</f>
        <v>0</v>
      </c>
      <c r="AA24" s="4499" t="s">
        <v>1958</v>
      </c>
      <c r="AB24" s="2051">
        <v>170</v>
      </c>
      <c r="AC24" s="4498"/>
      <c r="AD24" s="4510">
        <f>AB24+AC24*1</f>
        <v>170</v>
      </c>
      <c r="AE24" s="4428">
        <f>AD24/AD$89</f>
        <v>9.9867314523559647E-5</v>
      </c>
      <c r="AF24" s="4499" t="s">
        <v>2015</v>
      </c>
      <c r="AG24" s="2051"/>
      <c r="AH24" s="4498"/>
      <c r="AI24" s="4510">
        <f>AG24+AH24*1</f>
        <v>0</v>
      </c>
      <c r="AJ24" s="4428">
        <f>AI24/AI$89</f>
        <v>0</v>
      </c>
      <c r="AK24" s="4499"/>
      <c r="AL24" s="2051"/>
      <c r="AM24" s="4498"/>
      <c r="AN24" s="4510">
        <f>AL24+AM24*1</f>
        <v>0</v>
      </c>
      <c r="AO24" s="4428">
        <f>AN24/AN$89</f>
        <v>0</v>
      </c>
      <c r="AP24" s="4499"/>
      <c r="AQ24" s="2051"/>
      <c r="AR24" s="4498"/>
      <c r="AS24" s="4510">
        <f>AQ24+AR24*1</f>
        <v>0</v>
      </c>
      <c r="AT24" s="4428">
        <f>AS24/AS$89</f>
        <v>0</v>
      </c>
      <c r="AU24" s="4499"/>
      <c r="AV24" s="2051"/>
      <c r="AW24" s="4498"/>
      <c r="AX24" s="4510">
        <f>AV24+AW24*1</f>
        <v>0</v>
      </c>
      <c r="AY24" s="4428" t="e">
        <f>AX24/AX$89</f>
        <v>#DIV/0!</v>
      </c>
      <c r="AZ24" s="4499"/>
      <c r="BA24" s="2051"/>
      <c r="BB24" s="4498"/>
      <c r="BC24" s="4510">
        <f>BA24+BB24*1</f>
        <v>0</v>
      </c>
      <c r="BD24" s="4428" t="e">
        <f>BC24/BC$89</f>
        <v>#DIV/0!</v>
      </c>
      <c r="BE24" s="4499"/>
      <c r="BF24" s="2051"/>
      <c r="BG24" s="4498"/>
      <c r="BH24" s="4510">
        <f>BF24+BG24*1</f>
        <v>0</v>
      </c>
      <c r="BI24" s="4428" t="e">
        <f>BH24/BH$89</f>
        <v>#DIV/0!</v>
      </c>
      <c r="BJ24" s="4499"/>
      <c r="BK24" s="2051"/>
      <c r="BL24" s="4498"/>
      <c r="BM24" s="4510">
        <f>BK24+BL24*1</f>
        <v>0</v>
      </c>
      <c r="BN24" s="4428" t="e">
        <f>BM24/BM$89</f>
        <v>#DIV/0!</v>
      </c>
      <c r="BO24" s="4499"/>
      <c r="BP24" s="2051"/>
      <c r="BQ24" s="4498"/>
      <c r="BR24" s="4510">
        <f>BP24+BQ24*1</f>
        <v>0</v>
      </c>
      <c r="BS24" s="4428" t="e">
        <f>BR24/BR$89</f>
        <v>#DIV/0!</v>
      </c>
      <c r="BT24" s="4499"/>
      <c r="BU24" s="2051"/>
      <c r="BV24" s="4498"/>
      <c r="BW24" s="4510">
        <f>BU24+BV24*1</f>
        <v>0</v>
      </c>
      <c r="BX24" s="4428" t="e">
        <f>BW24/BW$89</f>
        <v>#DIV/0!</v>
      </c>
      <c r="BY24" s="4499"/>
      <c r="BZ24" s="4498">
        <f>G24+L24</f>
        <v>123321.75</v>
      </c>
      <c r="CA24" s="4498">
        <f>H24+M24</f>
        <v>0</v>
      </c>
      <c r="CB24" s="4511">
        <f>BZ24+CA24*1</f>
        <v>123321.75</v>
      </c>
      <c r="CC24" s="4428">
        <f>CB24/$CB$89</f>
        <v>1.8344118544487399E-2</v>
      </c>
      <c r="CD24" s="4484"/>
      <c r="CE24" s="1980">
        <f>CB24-E24</f>
        <v>13321.75</v>
      </c>
      <c r="CF24" s="4500">
        <v>123321.75</v>
      </c>
      <c r="CG24" s="4501">
        <f>CF24-CB24</f>
        <v>0</v>
      </c>
    </row>
    <row r="25" spans="1:92" s="1396" customFormat="1" ht="26.4" customHeight="1">
      <c r="A25" s="1572"/>
      <c r="B25" s="4430" t="s">
        <v>24</v>
      </c>
      <c r="C25" s="4514">
        <v>96425</v>
      </c>
      <c r="D25" s="4513">
        <v>12000</v>
      </c>
      <c r="E25" s="4509">
        <f t="shared" si="44"/>
        <v>108425</v>
      </c>
      <c r="F25" s="4483">
        <f t="shared" si="23"/>
        <v>1.3402252493121804E-2</v>
      </c>
      <c r="G25" s="2051">
        <f>55660.01+75026.23</f>
        <v>130686.23999999999</v>
      </c>
      <c r="H25" s="4498">
        <v>2248.6</v>
      </c>
      <c r="I25" s="4510">
        <f t="shared" si="65"/>
        <v>132934.84</v>
      </c>
      <c r="J25" s="4428">
        <f t="shared" si="45"/>
        <v>4.4462971370412697E-2</v>
      </c>
      <c r="K25" s="4499"/>
      <c r="L25" s="2051">
        <f t="shared" si="46"/>
        <v>143674.00799999997</v>
      </c>
      <c r="M25" s="4498">
        <f t="shared" si="46"/>
        <v>0</v>
      </c>
      <c r="N25" s="4510">
        <f t="shared" si="66"/>
        <v>143674.00799999997</v>
      </c>
      <c r="O25" s="4428">
        <f t="shared" si="47"/>
        <v>3.8488592493326194E-2</v>
      </c>
      <c r="P25" s="4499"/>
      <c r="Q25" s="1986"/>
      <c r="R25" s="2051"/>
      <c r="S25" s="4498"/>
      <c r="T25" s="4510">
        <f t="shared" si="67"/>
        <v>0</v>
      </c>
      <c r="U25" s="4428">
        <f t="shared" si="48"/>
        <v>0</v>
      </c>
      <c r="V25" s="4499"/>
      <c r="W25" s="2051">
        <f>45734.75*1.2</f>
        <v>54881.7</v>
      </c>
      <c r="X25" s="4498"/>
      <c r="Y25" s="4510">
        <f t="shared" si="68"/>
        <v>54881.7</v>
      </c>
      <c r="Z25" s="4428">
        <f t="shared" si="49"/>
        <v>5.100256752800271E-2</v>
      </c>
      <c r="AA25" s="4499"/>
      <c r="AB25" s="2051">
        <f>73993.59*1.2</f>
        <v>88792.30799999999</v>
      </c>
      <c r="AC25" s="4498"/>
      <c r="AD25" s="4510">
        <f t="shared" si="50"/>
        <v>88792.30799999999</v>
      </c>
      <c r="AE25" s="4428">
        <f t="shared" si="25"/>
        <v>5.2161466766522238E-2</v>
      </c>
      <c r="AF25" s="4499"/>
      <c r="AG25" s="2051"/>
      <c r="AH25" s="4498"/>
      <c r="AI25" s="4510">
        <f t="shared" si="51"/>
        <v>0</v>
      </c>
      <c r="AJ25" s="4428">
        <f t="shared" si="27"/>
        <v>0</v>
      </c>
      <c r="AK25" s="4499"/>
      <c r="AL25" s="2051"/>
      <c r="AM25" s="4498"/>
      <c r="AN25" s="4510">
        <f t="shared" si="52"/>
        <v>0</v>
      </c>
      <c r="AO25" s="4428">
        <f t="shared" si="29"/>
        <v>0</v>
      </c>
      <c r="AP25" s="4499"/>
      <c r="AQ25" s="2051"/>
      <c r="AR25" s="4498"/>
      <c r="AS25" s="4510">
        <f t="shared" si="53"/>
        <v>0</v>
      </c>
      <c r="AT25" s="4428">
        <f t="shared" si="31"/>
        <v>0</v>
      </c>
      <c r="AU25" s="4499"/>
      <c r="AV25" s="2051"/>
      <c r="AW25" s="4498"/>
      <c r="AX25" s="4510">
        <f t="shared" si="54"/>
        <v>0</v>
      </c>
      <c r="AY25" s="4428" t="e">
        <f t="shared" si="33"/>
        <v>#DIV/0!</v>
      </c>
      <c r="AZ25" s="4499"/>
      <c r="BA25" s="2051"/>
      <c r="BB25" s="4498"/>
      <c r="BC25" s="4510">
        <f t="shared" si="55"/>
        <v>0</v>
      </c>
      <c r="BD25" s="4428" t="e">
        <f t="shared" si="35"/>
        <v>#DIV/0!</v>
      </c>
      <c r="BE25" s="4499"/>
      <c r="BF25" s="2051"/>
      <c r="BG25" s="4498"/>
      <c r="BH25" s="4510">
        <f t="shared" si="56"/>
        <v>0</v>
      </c>
      <c r="BI25" s="4428" t="e">
        <f t="shared" si="37"/>
        <v>#DIV/0!</v>
      </c>
      <c r="BJ25" s="4499"/>
      <c r="BK25" s="2051"/>
      <c r="BL25" s="4498"/>
      <c r="BM25" s="4510">
        <f t="shared" si="57"/>
        <v>0</v>
      </c>
      <c r="BN25" s="4428" t="e">
        <f t="shared" si="39"/>
        <v>#DIV/0!</v>
      </c>
      <c r="BO25" s="4499"/>
      <c r="BP25" s="2051"/>
      <c r="BQ25" s="4498"/>
      <c r="BR25" s="4510">
        <f t="shared" si="58"/>
        <v>0</v>
      </c>
      <c r="BS25" s="4428" t="e">
        <f t="shared" si="41"/>
        <v>#DIV/0!</v>
      </c>
      <c r="BT25" s="4499"/>
      <c r="BU25" s="2051"/>
      <c r="BV25" s="4498"/>
      <c r="BW25" s="4510">
        <f t="shared" si="59"/>
        <v>0</v>
      </c>
      <c r="BX25" s="4428" t="e">
        <f t="shared" si="43"/>
        <v>#DIV/0!</v>
      </c>
      <c r="BY25" s="4499"/>
      <c r="BZ25" s="4498">
        <f t="shared" si="60"/>
        <v>274360.24799999996</v>
      </c>
      <c r="CA25" s="4498">
        <f t="shared" si="60"/>
        <v>2248.6</v>
      </c>
      <c r="CB25" s="4511">
        <f t="shared" si="61"/>
        <v>276608.84799999994</v>
      </c>
      <c r="CC25" s="4428">
        <f t="shared" si="62"/>
        <v>4.1145584604225086E-2</v>
      </c>
      <c r="CD25" s="4484"/>
      <c r="CE25" s="1980">
        <f t="shared" si="63"/>
        <v>168183.84799999994</v>
      </c>
      <c r="CF25" s="4500">
        <v>202295.58</v>
      </c>
      <c r="CG25" s="4507">
        <f t="shared" ref="CG25:CG33" si="69">CF25-CB25</f>
        <v>-74313.267999999953</v>
      </c>
      <c r="CH25" s="4194" t="s">
        <v>2037</v>
      </c>
      <c r="CI25" s="1396" t="s">
        <v>2038</v>
      </c>
      <c r="CJ25" s="1396" t="s">
        <v>2039</v>
      </c>
      <c r="CK25" s="1396" t="s">
        <v>24</v>
      </c>
    </row>
    <row r="26" spans="1:92" s="1396" customFormat="1" ht="24.6" customHeight="1">
      <c r="A26" s="1572"/>
      <c r="B26" s="4430" t="s">
        <v>45</v>
      </c>
      <c r="C26" s="4514">
        <v>2871363</v>
      </c>
      <c r="D26" s="4513"/>
      <c r="E26" s="4509">
        <f t="shared" si="44"/>
        <v>2871363</v>
      </c>
      <c r="F26" s="4483">
        <f t="shared" si="23"/>
        <v>0.3549248967065502</v>
      </c>
      <c r="G26" s="2051">
        <f>1422909.9396-75026.23</f>
        <v>1347883.7095999999</v>
      </c>
      <c r="H26" s="4498">
        <v>0</v>
      </c>
      <c r="I26" s="4510">
        <f t="shared" si="65"/>
        <v>1347883.7095999999</v>
      </c>
      <c r="J26" s="4428">
        <f t="shared" si="45"/>
        <v>0.45082925432182008</v>
      </c>
      <c r="K26" s="4499"/>
      <c r="L26" s="2051">
        <f t="shared" si="46"/>
        <v>332657.99200000003</v>
      </c>
      <c r="M26" s="4498">
        <f t="shared" si="46"/>
        <v>0</v>
      </c>
      <c r="N26" s="4510">
        <f t="shared" si="66"/>
        <v>332657.99200000003</v>
      </c>
      <c r="O26" s="4428">
        <f t="shared" si="47"/>
        <v>8.9115199554648528E-2</v>
      </c>
      <c r="P26" s="4499"/>
      <c r="Q26" s="1986"/>
      <c r="R26" s="2051">
        <f>2668</f>
        <v>2668</v>
      </c>
      <c r="S26" s="4498"/>
      <c r="T26" s="4510">
        <f t="shared" si="67"/>
        <v>2668</v>
      </c>
      <c r="U26" s="4428">
        <f t="shared" si="48"/>
        <v>7.0142929943376349E-3</v>
      </c>
      <c r="V26" s="4499" t="s">
        <v>1856</v>
      </c>
      <c r="W26" s="2051">
        <v>225252.31200000001</v>
      </c>
      <c r="X26" s="4498"/>
      <c r="Y26" s="4510">
        <f t="shared" si="68"/>
        <v>225252.31200000001</v>
      </c>
      <c r="Z26" s="4428">
        <f t="shared" si="49"/>
        <v>0.20933109312610099</v>
      </c>
      <c r="AA26" s="4486"/>
      <c r="AB26" s="2051">
        <f>68914.536+2077.05*1.2</f>
        <v>71406.995999999999</v>
      </c>
      <c r="AC26" s="4498"/>
      <c r="AD26" s="4510">
        <f t="shared" si="50"/>
        <v>71406.995999999999</v>
      </c>
      <c r="AE26" s="4428">
        <f t="shared" si="25"/>
        <v>4.1948381933615088E-2</v>
      </c>
      <c r="AF26" s="4486"/>
      <c r="AG26" s="2051">
        <f>13333.34*1.2+14442.23*1.2</f>
        <v>33330.684000000001</v>
      </c>
      <c r="AH26" s="4498"/>
      <c r="AI26" s="4510">
        <f t="shared" si="51"/>
        <v>33330.684000000001</v>
      </c>
      <c r="AJ26" s="4428">
        <f t="shared" si="27"/>
        <v>7.1926698184792456E-2</v>
      </c>
      <c r="AK26" s="4486"/>
      <c r="AL26" s="2051"/>
      <c r="AM26" s="4498"/>
      <c r="AN26" s="4510">
        <f t="shared" si="52"/>
        <v>0</v>
      </c>
      <c r="AO26" s="4428">
        <f t="shared" si="29"/>
        <v>0</v>
      </c>
      <c r="AP26" s="4486"/>
      <c r="AQ26" s="2051"/>
      <c r="AR26" s="4498"/>
      <c r="AS26" s="4510">
        <f t="shared" si="53"/>
        <v>0</v>
      </c>
      <c r="AT26" s="4428">
        <f t="shared" si="31"/>
        <v>0</v>
      </c>
      <c r="AU26" s="4486"/>
      <c r="AV26" s="2051"/>
      <c r="AW26" s="4498"/>
      <c r="AX26" s="4510">
        <f t="shared" si="54"/>
        <v>0</v>
      </c>
      <c r="AY26" s="4428" t="e">
        <f t="shared" si="33"/>
        <v>#DIV/0!</v>
      </c>
      <c r="AZ26" s="4486"/>
      <c r="BA26" s="2051"/>
      <c r="BB26" s="4498"/>
      <c r="BC26" s="4510">
        <f t="shared" si="55"/>
        <v>0</v>
      </c>
      <c r="BD26" s="4428" t="e">
        <f t="shared" si="35"/>
        <v>#DIV/0!</v>
      </c>
      <c r="BE26" s="4486"/>
      <c r="BF26" s="2051"/>
      <c r="BG26" s="4498"/>
      <c r="BH26" s="4510">
        <f t="shared" si="56"/>
        <v>0</v>
      </c>
      <c r="BI26" s="4428" t="e">
        <f t="shared" si="37"/>
        <v>#DIV/0!</v>
      </c>
      <c r="BJ26" s="4486"/>
      <c r="BK26" s="2051"/>
      <c r="BL26" s="4498"/>
      <c r="BM26" s="4510">
        <f t="shared" si="57"/>
        <v>0</v>
      </c>
      <c r="BN26" s="4428" t="e">
        <f t="shared" si="39"/>
        <v>#DIV/0!</v>
      </c>
      <c r="BO26" s="4486"/>
      <c r="BP26" s="2051"/>
      <c r="BQ26" s="4498"/>
      <c r="BR26" s="4510">
        <f t="shared" si="58"/>
        <v>0</v>
      </c>
      <c r="BS26" s="4428" t="e">
        <f t="shared" si="41"/>
        <v>#DIV/0!</v>
      </c>
      <c r="BT26" s="4486"/>
      <c r="BU26" s="2051"/>
      <c r="BV26" s="4498"/>
      <c r="BW26" s="4510">
        <f t="shared" si="59"/>
        <v>0</v>
      </c>
      <c r="BX26" s="4428" t="e">
        <f t="shared" si="43"/>
        <v>#DIV/0!</v>
      </c>
      <c r="BY26" s="4486"/>
      <c r="BZ26" s="4498">
        <f t="shared" si="60"/>
        <v>1680541.7016</v>
      </c>
      <c r="CA26" s="4498">
        <f t="shared" si="60"/>
        <v>0</v>
      </c>
      <c r="CB26" s="4511">
        <f t="shared" si="61"/>
        <v>1680541.7016</v>
      </c>
      <c r="CC26" s="4428">
        <f t="shared" si="62"/>
        <v>0.24998069029270967</v>
      </c>
      <c r="CD26" s="4484"/>
      <c r="CE26" s="1980">
        <f t="shared" si="63"/>
        <v>-1190821.2984</v>
      </c>
      <c r="CF26" s="4500">
        <v>1651683.5499999998</v>
      </c>
      <c r="CG26" s="4507">
        <f>CF26-CB26</f>
        <v>-28858.151600000216</v>
      </c>
      <c r="CH26" s="920">
        <f>-CB96</f>
        <v>121836.96</v>
      </c>
      <c r="CI26" s="920">
        <v>-10306.18000000008</v>
      </c>
      <c r="CJ26" s="920">
        <f>CH5</f>
        <v>-7646.4000000003725</v>
      </c>
      <c r="CK26" s="920">
        <f>CG25</f>
        <v>-74313.267999999953</v>
      </c>
      <c r="CL26" s="920"/>
    </row>
    <row r="27" spans="1:92" s="1396" customFormat="1" ht="24.6" customHeight="1">
      <c r="A27" s="1572"/>
      <c r="B27" s="4430" t="s">
        <v>25</v>
      </c>
      <c r="C27" s="4514">
        <v>4500</v>
      </c>
      <c r="D27" s="4513"/>
      <c r="E27" s="4509">
        <f t="shared" si="44"/>
        <v>4500</v>
      </c>
      <c r="F27" s="4483">
        <f t="shared" si="23"/>
        <v>5.5623828654874905E-4</v>
      </c>
      <c r="G27" s="2051">
        <v>17868</v>
      </c>
      <c r="H27" s="4498">
        <v>0</v>
      </c>
      <c r="I27" s="4510">
        <f t="shared" si="65"/>
        <v>17868</v>
      </c>
      <c r="J27" s="4428">
        <f t="shared" si="45"/>
        <v>5.976344293539106E-3</v>
      </c>
      <c r="K27" s="4499"/>
      <c r="L27" s="2051">
        <f t="shared" si="46"/>
        <v>5754</v>
      </c>
      <c r="M27" s="4498">
        <f t="shared" si="46"/>
        <v>0</v>
      </c>
      <c r="N27" s="4510">
        <f t="shared" si="66"/>
        <v>5754</v>
      </c>
      <c r="O27" s="4428">
        <f t="shared" si="47"/>
        <v>1.5414295479708408E-3</v>
      </c>
      <c r="P27" s="4499"/>
      <c r="Q27" s="1986"/>
      <c r="R27" s="2051"/>
      <c r="S27" s="4498"/>
      <c r="T27" s="4510">
        <f t="shared" si="67"/>
        <v>0</v>
      </c>
      <c r="U27" s="4428">
        <f t="shared" si="48"/>
        <v>0</v>
      </c>
      <c r="V27" s="4499"/>
      <c r="W27" s="2051"/>
      <c r="X27" s="4498"/>
      <c r="Y27" s="4510">
        <f t="shared" si="68"/>
        <v>0</v>
      </c>
      <c r="Z27" s="4428">
        <f t="shared" si="49"/>
        <v>0</v>
      </c>
      <c r="AA27" s="4499"/>
      <c r="AB27" s="2051">
        <f>4890+864</f>
        <v>5754</v>
      </c>
      <c r="AC27" s="4498"/>
      <c r="AD27" s="4510">
        <f t="shared" si="50"/>
        <v>5754</v>
      </c>
      <c r="AE27" s="4428">
        <f t="shared" si="25"/>
        <v>3.3802148692268362E-3</v>
      </c>
      <c r="AF27" s="4499" t="s">
        <v>2017</v>
      </c>
      <c r="AG27" s="2051"/>
      <c r="AH27" s="4498"/>
      <c r="AI27" s="4510">
        <f t="shared" si="51"/>
        <v>0</v>
      </c>
      <c r="AJ27" s="4428">
        <f t="shared" si="27"/>
        <v>0</v>
      </c>
      <c r="AK27" s="4499"/>
      <c r="AL27" s="2051"/>
      <c r="AM27" s="4498"/>
      <c r="AN27" s="4510">
        <f t="shared" si="52"/>
        <v>0</v>
      </c>
      <c r="AO27" s="4428">
        <f t="shared" si="29"/>
        <v>0</v>
      </c>
      <c r="AP27" s="4499"/>
      <c r="AQ27" s="2051"/>
      <c r="AR27" s="4498"/>
      <c r="AS27" s="4510">
        <f t="shared" si="53"/>
        <v>0</v>
      </c>
      <c r="AT27" s="4428">
        <f t="shared" si="31"/>
        <v>0</v>
      </c>
      <c r="AU27" s="4499"/>
      <c r="AV27" s="2051"/>
      <c r="AW27" s="4498"/>
      <c r="AX27" s="4510">
        <f t="shared" si="54"/>
        <v>0</v>
      </c>
      <c r="AY27" s="4428" t="e">
        <f t="shared" si="33"/>
        <v>#DIV/0!</v>
      </c>
      <c r="AZ27" s="4499"/>
      <c r="BA27" s="2051"/>
      <c r="BB27" s="4498"/>
      <c r="BC27" s="4510">
        <f t="shared" si="55"/>
        <v>0</v>
      </c>
      <c r="BD27" s="4428" t="e">
        <f t="shared" si="35"/>
        <v>#DIV/0!</v>
      </c>
      <c r="BE27" s="4499"/>
      <c r="BF27" s="2051"/>
      <c r="BG27" s="4498"/>
      <c r="BH27" s="4510">
        <f t="shared" si="56"/>
        <v>0</v>
      </c>
      <c r="BI27" s="4428" t="e">
        <f t="shared" si="37"/>
        <v>#DIV/0!</v>
      </c>
      <c r="BJ27" s="4499"/>
      <c r="BK27" s="2051"/>
      <c r="BL27" s="4498"/>
      <c r="BM27" s="4510">
        <f t="shared" si="57"/>
        <v>0</v>
      </c>
      <c r="BN27" s="4428" t="e">
        <f t="shared" si="39"/>
        <v>#DIV/0!</v>
      </c>
      <c r="BO27" s="4499"/>
      <c r="BP27" s="2051"/>
      <c r="BQ27" s="4498"/>
      <c r="BR27" s="4510">
        <f t="shared" si="58"/>
        <v>0</v>
      </c>
      <c r="BS27" s="4428" t="e">
        <f t="shared" si="41"/>
        <v>#DIV/0!</v>
      </c>
      <c r="BT27" s="4499"/>
      <c r="BU27" s="2051"/>
      <c r="BV27" s="4498"/>
      <c r="BW27" s="4510">
        <f t="shared" si="59"/>
        <v>0</v>
      </c>
      <c r="BX27" s="4428" t="e">
        <f t="shared" si="43"/>
        <v>#DIV/0!</v>
      </c>
      <c r="BY27" s="4499"/>
      <c r="BZ27" s="4498">
        <f t="shared" si="60"/>
        <v>23622</v>
      </c>
      <c r="CA27" s="4498">
        <f t="shared" si="60"/>
        <v>0</v>
      </c>
      <c r="CB27" s="4511">
        <f t="shared" si="61"/>
        <v>23622</v>
      </c>
      <c r="CC27" s="4428">
        <f t="shared" si="62"/>
        <v>3.5137740768184148E-3</v>
      </c>
      <c r="CD27" s="4484"/>
      <c r="CE27" s="1980">
        <f t="shared" si="63"/>
        <v>19122</v>
      </c>
      <c r="CF27" s="4500">
        <v>23622</v>
      </c>
      <c r="CG27" s="4501">
        <f t="shared" si="69"/>
        <v>0</v>
      </c>
    </row>
    <row r="28" spans="1:92" s="1396" customFormat="1" ht="24.6" customHeight="1">
      <c r="A28" s="1572"/>
      <c r="B28" s="4430" t="s">
        <v>52</v>
      </c>
      <c r="C28" s="4514">
        <f>25000+148059</f>
        <v>173059</v>
      </c>
      <c r="D28" s="4513"/>
      <c r="E28" s="4509">
        <f t="shared" si="44"/>
        <v>173059</v>
      </c>
      <c r="F28" s="4483">
        <f t="shared" si="23"/>
        <v>2.1391564807075547E-2</v>
      </c>
      <c r="G28" s="2051">
        <v>0</v>
      </c>
      <c r="H28" s="4498">
        <v>6500</v>
      </c>
      <c r="I28" s="4510">
        <f t="shared" si="65"/>
        <v>6500</v>
      </c>
      <c r="J28" s="4428">
        <f t="shared" si="45"/>
        <v>2.1740674898144277E-3</v>
      </c>
      <c r="K28" s="4499"/>
      <c r="L28" s="2051">
        <f t="shared" si="46"/>
        <v>0</v>
      </c>
      <c r="M28" s="4498">
        <f t="shared" si="46"/>
        <v>0</v>
      </c>
      <c r="N28" s="4510">
        <f t="shared" si="66"/>
        <v>0</v>
      </c>
      <c r="O28" s="4428">
        <f t="shared" si="47"/>
        <v>0</v>
      </c>
      <c r="P28" s="4499"/>
      <c r="Q28" s="1986"/>
      <c r="R28" s="2051"/>
      <c r="S28" s="4498"/>
      <c r="T28" s="4510">
        <f t="shared" si="67"/>
        <v>0</v>
      </c>
      <c r="U28" s="4428">
        <f t="shared" si="48"/>
        <v>0</v>
      </c>
      <c r="V28" s="4499"/>
      <c r="W28" s="2051"/>
      <c r="X28" s="4498"/>
      <c r="Y28" s="4510">
        <f t="shared" si="68"/>
        <v>0</v>
      </c>
      <c r="Z28" s="4428">
        <f t="shared" si="49"/>
        <v>0</v>
      </c>
      <c r="AA28" s="4499"/>
      <c r="AB28" s="2051"/>
      <c r="AC28" s="4498"/>
      <c r="AD28" s="4510">
        <f t="shared" si="50"/>
        <v>0</v>
      </c>
      <c r="AE28" s="4428">
        <f t="shared" si="25"/>
        <v>0</v>
      </c>
      <c r="AF28" s="4499"/>
      <c r="AG28" s="2051"/>
      <c r="AH28" s="4498"/>
      <c r="AI28" s="4510">
        <f t="shared" si="51"/>
        <v>0</v>
      </c>
      <c r="AJ28" s="4428">
        <f t="shared" si="27"/>
        <v>0</v>
      </c>
      <c r="AK28" s="4499"/>
      <c r="AL28" s="2051"/>
      <c r="AM28" s="4498"/>
      <c r="AN28" s="4510">
        <f t="shared" si="52"/>
        <v>0</v>
      </c>
      <c r="AO28" s="4428">
        <f t="shared" si="29"/>
        <v>0</v>
      </c>
      <c r="AP28" s="4499"/>
      <c r="AQ28" s="2051"/>
      <c r="AR28" s="4498"/>
      <c r="AS28" s="4510">
        <f t="shared" si="53"/>
        <v>0</v>
      </c>
      <c r="AT28" s="4428">
        <f t="shared" si="31"/>
        <v>0</v>
      </c>
      <c r="AU28" s="4499"/>
      <c r="AV28" s="2051"/>
      <c r="AW28" s="4498"/>
      <c r="AX28" s="4510">
        <f t="shared" si="54"/>
        <v>0</v>
      </c>
      <c r="AY28" s="4428" t="e">
        <f t="shared" si="33"/>
        <v>#DIV/0!</v>
      </c>
      <c r="AZ28" s="4499"/>
      <c r="BA28" s="2051"/>
      <c r="BB28" s="4498"/>
      <c r="BC28" s="4510">
        <f t="shared" si="55"/>
        <v>0</v>
      </c>
      <c r="BD28" s="4428" t="e">
        <f t="shared" si="35"/>
        <v>#DIV/0!</v>
      </c>
      <c r="BE28" s="4499"/>
      <c r="BF28" s="2051"/>
      <c r="BG28" s="4498"/>
      <c r="BH28" s="4510">
        <f t="shared" si="56"/>
        <v>0</v>
      </c>
      <c r="BI28" s="4428" t="e">
        <f t="shared" si="37"/>
        <v>#DIV/0!</v>
      </c>
      <c r="BJ28" s="4499"/>
      <c r="BK28" s="2051"/>
      <c r="BL28" s="4498"/>
      <c r="BM28" s="4510">
        <f t="shared" si="57"/>
        <v>0</v>
      </c>
      <c r="BN28" s="4428" t="e">
        <f t="shared" si="39"/>
        <v>#DIV/0!</v>
      </c>
      <c r="BO28" s="4499"/>
      <c r="BP28" s="2051"/>
      <c r="BQ28" s="4498"/>
      <c r="BR28" s="4510">
        <f t="shared" si="58"/>
        <v>0</v>
      </c>
      <c r="BS28" s="4428" t="e">
        <f t="shared" si="41"/>
        <v>#DIV/0!</v>
      </c>
      <c r="BT28" s="4499"/>
      <c r="BU28" s="2051"/>
      <c r="BV28" s="4498"/>
      <c r="BW28" s="4510">
        <f t="shared" si="59"/>
        <v>0</v>
      </c>
      <c r="BX28" s="4428" t="e">
        <f t="shared" si="43"/>
        <v>#DIV/0!</v>
      </c>
      <c r="BY28" s="4499"/>
      <c r="BZ28" s="4498">
        <f t="shared" si="60"/>
        <v>0</v>
      </c>
      <c r="CA28" s="4498">
        <f t="shared" si="60"/>
        <v>6500</v>
      </c>
      <c r="CB28" s="4511">
        <f>BZ28+CA28*1</f>
        <v>6500</v>
      </c>
      <c r="CC28" s="4428">
        <f t="shared" si="62"/>
        <v>9.6687543388873491E-4</v>
      </c>
      <c r="CD28" s="4484"/>
      <c r="CE28" s="1980">
        <f t="shared" si="63"/>
        <v>-166559</v>
      </c>
      <c r="CF28" s="4500">
        <v>6500</v>
      </c>
      <c r="CG28" s="4501">
        <f t="shared" si="69"/>
        <v>0</v>
      </c>
      <c r="CH28" s="1396" t="s">
        <v>2133</v>
      </c>
    </row>
    <row r="29" spans="1:92" s="1396" customFormat="1" ht="24.6" customHeight="1">
      <c r="A29" s="1572"/>
      <c r="B29" s="4430" t="s">
        <v>31</v>
      </c>
      <c r="C29" s="4514">
        <v>41400</v>
      </c>
      <c r="D29" s="4513"/>
      <c r="E29" s="4509">
        <f t="shared" si="44"/>
        <v>41400</v>
      </c>
      <c r="F29" s="4428">
        <f t="shared" si="23"/>
        <v>5.1173922362484914E-3</v>
      </c>
      <c r="G29" s="2051">
        <f>2470+100</f>
        <v>2570</v>
      </c>
      <c r="H29" s="4498">
        <v>0</v>
      </c>
      <c r="I29" s="4510">
        <f t="shared" si="65"/>
        <v>2570</v>
      </c>
      <c r="J29" s="4428">
        <f t="shared" si="45"/>
        <v>8.5959283828047363E-4</v>
      </c>
      <c r="K29" s="4499"/>
      <c r="L29" s="2051">
        <f t="shared" si="46"/>
        <v>2890</v>
      </c>
      <c r="M29" s="4498">
        <f t="shared" si="46"/>
        <v>0</v>
      </c>
      <c r="N29" s="4510">
        <f t="shared" si="66"/>
        <v>2890</v>
      </c>
      <c r="O29" s="4428">
        <f t="shared" si="47"/>
        <v>7.7419732249491306E-4</v>
      </c>
      <c r="P29" s="4499"/>
      <c r="Q29" s="1986"/>
      <c r="R29" s="2051">
        <v>1070</v>
      </c>
      <c r="S29" s="4498"/>
      <c r="T29" s="4510">
        <f t="shared" si="67"/>
        <v>1070</v>
      </c>
      <c r="U29" s="4428">
        <f t="shared" si="48"/>
        <v>2.8130785247156183E-3</v>
      </c>
      <c r="V29" s="4499" t="s">
        <v>1857</v>
      </c>
      <c r="W29" s="2051">
        <v>1820</v>
      </c>
      <c r="X29" s="4498"/>
      <c r="Y29" s="4510">
        <f t="shared" si="68"/>
        <v>1820</v>
      </c>
      <c r="Z29" s="4428">
        <f t="shared" si="49"/>
        <v>1.6913592855353412E-3</v>
      </c>
      <c r="AA29" s="4499" t="s">
        <v>1857</v>
      </c>
      <c r="AB29" s="2051"/>
      <c r="AC29" s="4498"/>
      <c r="AD29" s="4510">
        <f t="shared" si="50"/>
        <v>0</v>
      </c>
      <c r="AE29" s="4428">
        <f t="shared" si="25"/>
        <v>0</v>
      </c>
      <c r="AF29" s="4499"/>
      <c r="AG29" s="2051"/>
      <c r="AH29" s="4498"/>
      <c r="AI29" s="4510">
        <f t="shared" si="51"/>
        <v>0</v>
      </c>
      <c r="AJ29" s="4428">
        <f t="shared" si="27"/>
        <v>0</v>
      </c>
      <c r="AK29" s="4499"/>
      <c r="AL29" s="2051"/>
      <c r="AM29" s="4498"/>
      <c r="AN29" s="4510">
        <f t="shared" si="52"/>
        <v>0</v>
      </c>
      <c r="AO29" s="4428">
        <f t="shared" si="29"/>
        <v>0</v>
      </c>
      <c r="AP29" s="4499"/>
      <c r="AQ29" s="2051"/>
      <c r="AR29" s="4498"/>
      <c r="AS29" s="4510">
        <f t="shared" si="53"/>
        <v>0</v>
      </c>
      <c r="AT29" s="4428">
        <f t="shared" si="31"/>
        <v>0</v>
      </c>
      <c r="AU29" s="4499"/>
      <c r="AV29" s="2051"/>
      <c r="AW29" s="4498"/>
      <c r="AX29" s="4510">
        <f t="shared" si="54"/>
        <v>0</v>
      </c>
      <c r="AY29" s="4428" t="e">
        <f t="shared" si="33"/>
        <v>#DIV/0!</v>
      </c>
      <c r="AZ29" s="4499"/>
      <c r="BA29" s="2051"/>
      <c r="BB29" s="4498"/>
      <c r="BC29" s="4510">
        <f t="shared" si="55"/>
        <v>0</v>
      </c>
      <c r="BD29" s="4428" t="e">
        <f t="shared" si="35"/>
        <v>#DIV/0!</v>
      </c>
      <c r="BE29" s="4499"/>
      <c r="BF29" s="2051"/>
      <c r="BG29" s="4498"/>
      <c r="BH29" s="4510">
        <f t="shared" si="56"/>
        <v>0</v>
      </c>
      <c r="BI29" s="4428" t="e">
        <f t="shared" si="37"/>
        <v>#DIV/0!</v>
      </c>
      <c r="BJ29" s="4499"/>
      <c r="BK29" s="2051"/>
      <c r="BL29" s="4498"/>
      <c r="BM29" s="4510">
        <f t="shared" si="57"/>
        <v>0</v>
      </c>
      <c r="BN29" s="4428" t="e">
        <f t="shared" si="39"/>
        <v>#DIV/0!</v>
      </c>
      <c r="BO29" s="4499"/>
      <c r="BP29" s="2051"/>
      <c r="BQ29" s="4498"/>
      <c r="BR29" s="4510">
        <f t="shared" si="58"/>
        <v>0</v>
      </c>
      <c r="BS29" s="4428" t="e">
        <f t="shared" si="41"/>
        <v>#DIV/0!</v>
      </c>
      <c r="BT29" s="4499"/>
      <c r="BU29" s="2051"/>
      <c r="BV29" s="4498"/>
      <c r="BW29" s="4510">
        <f t="shared" si="59"/>
        <v>0</v>
      </c>
      <c r="BX29" s="4428" t="e">
        <f t="shared" si="43"/>
        <v>#DIV/0!</v>
      </c>
      <c r="BY29" s="4499"/>
      <c r="BZ29" s="4498">
        <f t="shared" si="60"/>
        <v>5460</v>
      </c>
      <c r="CA29" s="4498">
        <f t="shared" si="60"/>
        <v>0</v>
      </c>
      <c r="CB29" s="4511">
        <f t="shared" si="61"/>
        <v>5460</v>
      </c>
      <c r="CC29" s="4428">
        <f t="shared" si="62"/>
        <v>8.121753644665373E-4</v>
      </c>
      <c r="CD29" s="4432"/>
      <c r="CE29" s="1980">
        <f t="shared" si="63"/>
        <v>-35940</v>
      </c>
      <c r="CF29" s="4515">
        <v>6060</v>
      </c>
      <c r="CG29" s="4516">
        <f t="shared" si="69"/>
        <v>600</v>
      </c>
    </row>
    <row r="30" spans="1:92" s="1396" customFormat="1" ht="13.8">
      <c r="A30" s="1572"/>
      <c r="B30" s="4430" t="s">
        <v>62</v>
      </c>
      <c r="C30" s="4514"/>
      <c r="D30" s="4513">
        <v>114000</v>
      </c>
      <c r="E30" s="4509">
        <f t="shared" si="44"/>
        <v>114000</v>
      </c>
      <c r="F30" s="4428">
        <f t="shared" si="23"/>
        <v>1.4091369925901643E-2</v>
      </c>
      <c r="G30" s="2051">
        <v>0</v>
      </c>
      <c r="H30" s="4498">
        <v>9000</v>
      </c>
      <c r="I30" s="4510">
        <f t="shared" si="65"/>
        <v>9000</v>
      </c>
      <c r="J30" s="4428">
        <f t="shared" si="45"/>
        <v>3.0102472935892074E-3</v>
      </c>
      <c r="K30" s="4499"/>
      <c r="L30" s="2051">
        <f t="shared" si="46"/>
        <v>0</v>
      </c>
      <c r="M30" s="4498">
        <f t="shared" si="46"/>
        <v>0</v>
      </c>
      <c r="N30" s="4510">
        <f t="shared" si="66"/>
        <v>0</v>
      </c>
      <c r="O30" s="4428">
        <f t="shared" si="47"/>
        <v>0</v>
      </c>
      <c r="P30" s="4499"/>
      <c r="Q30" s="1986"/>
      <c r="R30" s="2051"/>
      <c r="S30" s="4498"/>
      <c r="T30" s="4510">
        <f t="shared" si="67"/>
        <v>0</v>
      </c>
      <c r="U30" s="4428">
        <f t="shared" si="48"/>
        <v>0</v>
      </c>
      <c r="V30" s="4499"/>
      <c r="W30" s="2051"/>
      <c r="X30" s="4498"/>
      <c r="Y30" s="4510">
        <f t="shared" si="68"/>
        <v>0</v>
      </c>
      <c r="Z30" s="4428">
        <f t="shared" si="49"/>
        <v>0</v>
      </c>
      <c r="AA30" s="4499"/>
      <c r="AB30" s="2051"/>
      <c r="AC30" s="4498"/>
      <c r="AD30" s="4510">
        <f t="shared" si="50"/>
        <v>0</v>
      </c>
      <c r="AE30" s="4428">
        <f t="shared" si="25"/>
        <v>0</v>
      </c>
      <c r="AF30" s="4499"/>
      <c r="AG30" s="2051"/>
      <c r="AH30" s="4498"/>
      <c r="AI30" s="4510">
        <f t="shared" si="51"/>
        <v>0</v>
      </c>
      <c r="AJ30" s="4428">
        <f t="shared" si="27"/>
        <v>0</v>
      </c>
      <c r="AK30" s="4499"/>
      <c r="AL30" s="2051"/>
      <c r="AM30" s="4498"/>
      <c r="AN30" s="4510">
        <f t="shared" si="52"/>
        <v>0</v>
      </c>
      <c r="AO30" s="4428">
        <f t="shared" si="29"/>
        <v>0</v>
      </c>
      <c r="AP30" s="4499"/>
      <c r="AQ30" s="2051"/>
      <c r="AR30" s="4498"/>
      <c r="AS30" s="4510">
        <f t="shared" si="53"/>
        <v>0</v>
      </c>
      <c r="AT30" s="4428">
        <f t="shared" si="31"/>
        <v>0</v>
      </c>
      <c r="AU30" s="4499"/>
      <c r="AV30" s="2051"/>
      <c r="AW30" s="4498"/>
      <c r="AX30" s="4510">
        <f t="shared" si="54"/>
        <v>0</v>
      </c>
      <c r="AY30" s="4428" t="e">
        <f t="shared" si="33"/>
        <v>#DIV/0!</v>
      </c>
      <c r="AZ30" s="4499"/>
      <c r="BA30" s="2051"/>
      <c r="BB30" s="4498"/>
      <c r="BC30" s="4510">
        <f t="shared" si="55"/>
        <v>0</v>
      </c>
      <c r="BD30" s="4428" t="e">
        <f t="shared" si="35"/>
        <v>#DIV/0!</v>
      </c>
      <c r="BE30" s="4499"/>
      <c r="BF30" s="2051"/>
      <c r="BG30" s="4498"/>
      <c r="BH30" s="4510">
        <f t="shared" si="56"/>
        <v>0</v>
      </c>
      <c r="BI30" s="4428" t="e">
        <f t="shared" si="37"/>
        <v>#DIV/0!</v>
      </c>
      <c r="BJ30" s="4499"/>
      <c r="BK30" s="2051"/>
      <c r="BL30" s="4498"/>
      <c r="BM30" s="4510">
        <f t="shared" si="57"/>
        <v>0</v>
      </c>
      <c r="BN30" s="4428" t="e">
        <f t="shared" si="39"/>
        <v>#DIV/0!</v>
      </c>
      <c r="BO30" s="4499"/>
      <c r="BP30" s="2051"/>
      <c r="BQ30" s="4498"/>
      <c r="BR30" s="4510">
        <f t="shared" si="58"/>
        <v>0</v>
      </c>
      <c r="BS30" s="4428" t="e">
        <f t="shared" si="41"/>
        <v>#DIV/0!</v>
      </c>
      <c r="BT30" s="4499"/>
      <c r="BU30" s="2051"/>
      <c r="BV30" s="4498"/>
      <c r="BW30" s="4510">
        <f t="shared" si="59"/>
        <v>0</v>
      </c>
      <c r="BX30" s="4428" t="e">
        <f t="shared" si="43"/>
        <v>#DIV/0!</v>
      </c>
      <c r="BY30" s="4499"/>
      <c r="BZ30" s="4498">
        <f t="shared" si="60"/>
        <v>0</v>
      </c>
      <c r="CA30" s="4498">
        <f t="shared" si="60"/>
        <v>9000</v>
      </c>
      <c r="CB30" s="4511">
        <f t="shared" si="61"/>
        <v>9000</v>
      </c>
      <c r="CC30" s="4428">
        <f t="shared" si="62"/>
        <v>1.3387506007690175E-3</v>
      </c>
      <c r="CD30" s="4432"/>
      <c r="CE30" s="1980">
        <f t="shared" si="63"/>
        <v>-105000</v>
      </c>
      <c r="CF30" s="4500">
        <v>15000</v>
      </c>
      <c r="CG30" s="4507">
        <f t="shared" si="69"/>
        <v>6000</v>
      </c>
      <c r="CH30" s="1396" t="s">
        <v>2033</v>
      </c>
    </row>
    <row r="31" spans="1:92" s="1396" customFormat="1" ht="24.6" customHeight="1">
      <c r="A31" s="1572"/>
      <c r="B31" s="4430" t="s">
        <v>34</v>
      </c>
      <c r="C31" s="4514">
        <v>22500</v>
      </c>
      <c r="D31" s="4513">
        <v>16000</v>
      </c>
      <c r="E31" s="4509">
        <f t="shared" si="44"/>
        <v>38500</v>
      </c>
      <c r="F31" s="4428">
        <f t="shared" si="23"/>
        <v>4.758927562694853E-3</v>
      </c>
      <c r="G31" s="2051">
        <v>2711.73</v>
      </c>
      <c r="H31" s="4498">
        <v>0</v>
      </c>
      <c r="I31" s="4510">
        <f t="shared" si="65"/>
        <v>2711.73</v>
      </c>
      <c r="J31" s="4428">
        <f t="shared" si="45"/>
        <v>9.0699754371607346E-4</v>
      </c>
      <c r="K31" s="4499"/>
      <c r="L31" s="2051">
        <f t="shared" si="46"/>
        <v>4462.3900000000003</v>
      </c>
      <c r="M31" s="4498">
        <f t="shared" si="46"/>
        <v>0</v>
      </c>
      <c r="N31" s="4510">
        <f t="shared" si="66"/>
        <v>4462.3900000000003</v>
      </c>
      <c r="O31" s="4428">
        <f t="shared" si="47"/>
        <v>1.1954222802519293E-3</v>
      </c>
      <c r="P31" s="4499"/>
      <c r="Q31" s="1986"/>
      <c r="R31" s="2051"/>
      <c r="S31" s="4498"/>
      <c r="T31" s="4510">
        <f t="shared" si="67"/>
        <v>0</v>
      </c>
      <c r="U31" s="4428">
        <f t="shared" si="48"/>
        <v>0</v>
      </c>
      <c r="V31" s="4499"/>
      <c r="W31" s="2051"/>
      <c r="X31" s="4498"/>
      <c r="Y31" s="4510">
        <f t="shared" si="68"/>
        <v>0</v>
      </c>
      <c r="Z31" s="4428">
        <f t="shared" si="49"/>
        <v>0</v>
      </c>
      <c r="AA31" s="4499"/>
      <c r="AB31" s="2051">
        <v>4462.3900000000003</v>
      </c>
      <c r="AC31" s="4498"/>
      <c r="AD31" s="4510">
        <f t="shared" si="50"/>
        <v>4462.3900000000003</v>
      </c>
      <c r="AE31" s="4428">
        <f t="shared" si="25"/>
        <v>2.6214523862163963E-3</v>
      </c>
      <c r="AF31" s="4499" t="s">
        <v>2021</v>
      </c>
      <c r="AG31" s="2051"/>
      <c r="AH31" s="4498"/>
      <c r="AI31" s="4510">
        <f t="shared" si="51"/>
        <v>0</v>
      </c>
      <c r="AJ31" s="4428">
        <f t="shared" si="27"/>
        <v>0</v>
      </c>
      <c r="AK31" s="4499"/>
      <c r="AL31" s="2051"/>
      <c r="AM31" s="4498"/>
      <c r="AN31" s="4510">
        <f t="shared" si="52"/>
        <v>0</v>
      </c>
      <c r="AO31" s="4428">
        <f t="shared" si="29"/>
        <v>0</v>
      </c>
      <c r="AP31" s="4499"/>
      <c r="AQ31" s="2051"/>
      <c r="AR31" s="4498"/>
      <c r="AS31" s="4510">
        <f t="shared" si="53"/>
        <v>0</v>
      </c>
      <c r="AT31" s="4428">
        <f t="shared" si="31"/>
        <v>0</v>
      </c>
      <c r="AU31" s="4499"/>
      <c r="AV31" s="2051"/>
      <c r="AW31" s="4498"/>
      <c r="AX31" s="4510">
        <f t="shared" si="54"/>
        <v>0</v>
      </c>
      <c r="AY31" s="4428" t="e">
        <f t="shared" si="33"/>
        <v>#DIV/0!</v>
      </c>
      <c r="AZ31" s="4499"/>
      <c r="BA31" s="2051"/>
      <c r="BB31" s="4498"/>
      <c r="BC31" s="4510">
        <f t="shared" si="55"/>
        <v>0</v>
      </c>
      <c r="BD31" s="4428" t="e">
        <f t="shared" si="35"/>
        <v>#DIV/0!</v>
      </c>
      <c r="BE31" s="4499"/>
      <c r="BF31" s="2051"/>
      <c r="BG31" s="4498"/>
      <c r="BH31" s="4510">
        <f t="shared" si="56"/>
        <v>0</v>
      </c>
      <c r="BI31" s="4428" t="e">
        <f t="shared" si="37"/>
        <v>#DIV/0!</v>
      </c>
      <c r="BJ31" s="4499"/>
      <c r="BK31" s="2051"/>
      <c r="BL31" s="4498"/>
      <c r="BM31" s="4510">
        <f t="shared" si="57"/>
        <v>0</v>
      </c>
      <c r="BN31" s="4428" t="e">
        <f t="shared" si="39"/>
        <v>#DIV/0!</v>
      </c>
      <c r="BO31" s="4499"/>
      <c r="BP31" s="2051"/>
      <c r="BQ31" s="4498"/>
      <c r="BR31" s="4510">
        <f t="shared" si="58"/>
        <v>0</v>
      </c>
      <c r="BS31" s="4428" t="e">
        <f t="shared" si="41"/>
        <v>#DIV/0!</v>
      </c>
      <c r="BT31" s="4499"/>
      <c r="BU31" s="2051"/>
      <c r="BV31" s="4498"/>
      <c r="BW31" s="4510">
        <f t="shared" si="59"/>
        <v>0</v>
      </c>
      <c r="BX31" s="4428" t="e">
        <f t="shared" si="43"/>
        <v>#DIV/0!</v>
      </c>
      <c r="BY31" s="4499"/>
      <c r="BZ31" s="4498">
        <f t="shared" si="60"/>
        <v>7174.1200000000008</v>
      </c>
      <c r="CA31" s="4498">
        <f t="shared" si="60"/>
        <v>0</v>
      </c>
      <c r="CB31" s="4511">
        <f t="shared" si="61"/>
        <v>7174.1200000000008</v>
      </c>
      <c r="CC31" s="4428">
        <f t="shared" si="62"/>
        <v>1.0671508288876694E-3</v>
      </c>
      <c r="CD31" s="4432"/>
      <c r="CE31" s="1980">
        <f t="shared" si="63"/>
        <v>-31325.879999999997</v>
      </c>
      <c r="CF31" s="4515"/>
      <c r="CG31" s="4516">
        <f t="shared" si="69"/>
        <v>-7174.1200000000008</v>
      </c>
      <c r="CH31" s="928" t="s">
        <v>2134</v>
      </c>
    </row>
    <row r="32" spans="1:92" s="1396" customFormat="1" ht="24.6" customHeight="1">
      <c r="A32" s="1572"/>
      <c r="B32" s="4433" t="s">
        <v>2</v>
      </c>
      <c r="C32" s="4517"/>
      <c r="D32" s="4518"/>
      <c r="E32" s="4509">
        <f t="shared" si="44"/>
        <v>0</v>
      </c>
      <c r="F32" s="4428">
        <f t="shared" si="23"/>
        <v>0</v>
      </c>
      <c r="G32" s="2051">
        <v>0</v>
      </c>
      <c r="H32" s="4498">
        <v>0</v>
      </c>
      <c r="I32" s="4510">
        <f t="shared" si="65"/>
        <v>0</v>
      </c>
      <c r="J32" s="4428">
        <f t="shared" si="45"/>
        <v>0</v>
      </c>
      <c r="K32" s="4499"/>
      <c r="L32" s="2051">
        <f t="shared" si="46"/>
        <v>0</v>
      </c>
      <c r="M32" s="4498">
        <f t="shared" si="46"/>
        <v>0</v>
      </c>
      <c r="N32" s="4510">
        <f t="shared" si="66"/>
        <v>0</v>
      </c>
      <c r="O32" s="4428">
        <f t="shared" si="47"/>
        <v>0</v>
      </c>
      <c r="P32" s="4499"/>
      <c r="Q32" s="1986"/>
      <c r="R32" s="2051"/>
      <c r="S32" s="4498"/>
      <c r="T32" s="4510">
        <f t="shared" si="67"/>
        <v>0</v>
      </c>
      <c r="U32" s="4428">
        <f t="shared" si="48"/>
        <v>0</v>
      </c>
      <c r="V32" s="4499"/>
      <c r="W32" s="2051"/>
      <c r="X32" s="4498"/>
      <c r="Y32" s="4510">
        <f t="shared" si="68"/>
        <v>0</v>
      </c>
      <c r="Z32" s="4428">
        <f t="shared" si="49"/>
        <v>0</v>
      </c>
      <c r="AA32" s="4499"/>
      <c r="AB32" s="2051"/>
      <c r="AC32" s="4498"/>
      <c r="AD32" s="4510">
        <f t="shared" si="50"/>
        <v>0</v>
      </c>
      <c r="AE32" s="4428">
        <f t="shared" si="25"/>
        <v>0</v>
      </c>
      <c r="AF32" s="4499"/>
      <c r="AG32" s="2051"/>
      <c r="AH32" s="4498"/>
      <c r="AI32" s="4510">
        <f t="shared" si="51"/>
        <v>0</v>
      </c>
      <c r="AJ32" s="4428">
        <f t="shared" si="27"/>
        <v>0</v>
      </c>
      <c r="AK32" s="4499"/>
      <c r="AL32" s="2051"/>
      <c r="AM32" s="4498"/>
      <c r="AN32" s="4510">
        <f t="shared" si="52"/>
        <v>0</v>
      </c>
      <c r="AO32" s="4428">
        <f t="shared" si="29"/>
        <v>0</v>
      </c>
      <c r="AP32" s="4499"/>
      <c r="AQ32" s="2051"/>
      <c r="AR32" s="4498"/>
      <c r="AS32" s="4510">
        <f t="shared" si="53"/>
        <v>0</v>
      </c>
      <c r="AT32" s="4428">
        <f t="shared" si="31"/>
        <v>0</v>
      </c>
      <c r="AU32" s="4499"/>
      <c r="AV32" s="2051"/>
      <c r="AW32" s="4498"/>
      <c r="AX32" s="4510">
        <f t="shared" si="54"/>
        <v>0</v>
      </c>
      <c r="AY32" s="4428" t="e">
        <f t="shared" si="33"/>
        <v>#DIV/0!</v>
      </c>
      <c r="AZ32" s="4499"/>
      <c r="BA32" s="2051"/>
      <c r="BB32" s="4498"/>
      <c r="BC32" s="4510">
        <f t="shared" si="55"/>
        <v>0</v>
      </c>
      <c r="BD32" s="4428" t="e">
        <f t="shared" si="35"/>
        <v>#DIV/0!</v>
      </c>
      <c r="BE32" s="4499"/>
      <c r="BF32" s="2051"/>
      <c r="BG32" s="4498"/>
      <c r="BH32" s="4510">
        <f t="shared" si="56"/>
        <v>0</v>
      </c>
      <c r="BI32" s="4428" t="e">
        <f t="shared" si="37"/>
        <v>#DIV/0!</v>
      </c>
      <c r="BJ32" s="4499"/>
      <c r="BK32" s="2051"/>
      <c r="BL32" s="4498"/>
      <c r="BM32" s="4510">
        <f t="shared" si="57"/>
        <v>0</v>
      </c>
      <c r="BN32" s="4428" t="e">
        <f t="shared" si="39"/>
        <v>#DIV/0!</v>
      </c>
      <c r="BO32" s="4499"/>
      <c r="BP32" s="2051"/>
      <c r="BQ32" s="4498"/>
      <c r="BR32" s="4510">
        <f t="shared" si="58"/>
        <v>0</v>
      </c>
      <c r="BS32" s="4428" t="e">
        <f t="shared" si="41"/>
        <v>#DIV/0!</v>
      </c>
      <c r="BT32" s="4499"/>
      <c r="BU32" s="2051"/>
      <c r="BV32" s="4498"/>
      <c r="BW32" s="4510">
        <f t="shared" si="59"/>
        <v>0</v>
      </c>
      <c r="BX32" s="4428" t="e">
        <f t="shared" si="43"/>
        <v>#DIV/0!</v>
      </c>
      <c r="BY32" s="4499"/>
      <c r="BZ32" s="4498">
        <f t="shared" si="60"/>
        <v>0</v>
      </c>
      <c r="CA32" s="4498">
        <f t="shared" si="60"/>
        <v>0</v>
      </c>
      <c r="CB32" s="4510">
        <f t="shared" si="61"/>
        <v>0</v>
      </c>
      <c r="CC32" s="4428">
        <f t="shared" si="62"/>
        <v>0</v>
      </c>
      <c r="CD32" s="4432"/>
      <c r="CE32" s="1980">
        <f t="shared" si="63"/>
        <v>0</v>
      </c>
      <c r="CF32" s="3144"/>
      <c r="CG32" s="3145"/>
      <c r="CH32" s="842"/>
    </row>
    <row r="33" spans="1:86" s="1396" customFormat="1" ht="24.6" customHeight="1" thickBot="1">
      <c r="A33" s="1572"/>
      <c r="B33" s="4435" t="s">
        <v>75</v>
      </c>
      <c r="C33" s="4519"/>
      <c r="D33" s="4520">
        <v>600000</v>
      </c>
      <c r="E33" s="4521">
        <f t="shared" si="44"/>
        <v>600000</v>
      </c>
      <c r="F33" s="4488">
        <f t="shared" si="23"/>
        <v>7.4165104873166549E-2</v>
      </c>
      <c r="G33" s="2028">
        <v>0</v>
      </c>
      <c r="H33" s="2025">
        <v>200000</v>
      </c>
      <c r="I33" s="2026">
        <f t="shared" si="65"/>
        <v>200000</v>
      </c>
      <c r="J33" s="4488">
        <f t="shared" si="45"/>
        <v>6.6894384301982385E-2</v>
      </c>
      <c r="K33" s="4489"/>
      <c r="L33" s="2028">
        <f t="shared" si="46"/>
        <v>0</v>
      </c>
      <c r="M33" s="2025">
        <f t="shared" si="46"/>
        <v>445000</v>
      </c>
      <c r="N33" s="2026">
        <f t="shared" si="66"/>
        <v>445000</v>
      </c>
      <c r="O33" s="4488">
        <f t="shared" si="47"/>
        <v>0.11921031436340357</v>
      </c>
      <c r="P33" s="4489"/>
      <c r="Q33" s="1972"/>
      <c r="R33" s="2028"/>
      <c r="S33" s="2025">
        <v>155000</v>
      </c>
      <c r="T33" s="2026">
        <f t="shared" si="67"/>
        <v>155000</v>
      </c>
      <c r="U33" s="4488">
        <f t="shared" si="48"/>
        <v>0.40750202928123441</v>
      </c>
      <c r="V33" s="1675"/>
      <c r="W33" s="2028"/>
      <c r="X33" s="2025">
        <v>150000</v>
      </c>
      <c r="Y33" s="2026">
        <f t="shared" si="68"/>
        <v>150000</v>
      </c>
      <c r="Z33" s="4488">
        <f t="shared" si="49"/>
        <v>0.13939774331335231</v>
      </c>
      <c r="AA33" s="1675" t="s">
        <v>1914</v>
      </c>
      <c r="AB33" s="2028"/>
      <c r="AC33" s="2025">
        <v>50000</v>
      </c>
      <c r="AD33" s="2026">
        <f t="shared" si="50"/>
        <v>50000</v>
      </c>
      <c r="AE33" s="4488">
        <f t="shared" si="25"/>
        <v>2.9372739565752835E-2</v>
      </c>
      <c r="AF33" s="1675" t="s">
        <v>1914</v>
      </c>
      <c r="AG33" s="2028"/>
      <c r="AH33" s="2025">
        <v>90000</v>
      </c>
      <c r="AI33" s="2026">
        <f t="shared" si="51"/>
        <v>90000</v>
      </c>
      <c r="AJ33" s="4488">
        <f t="shared" si="27"/>
        <v>0.19421752150754906</v>
      </c>
      <c r="AK33" s="1675"/>
      <c r="AL33" s="2028"/>
      <c r="AM33" s="2025"/>
      <c r="AN33" s="2026">
        <f t="shared" si="52"/>
        <v>0</v>
      </c>
      <c r="AO33" s="4488">
        <f t="shared" si="29"/>
        <v>0</v>
      </c>
      <c r="AP33" s="1675"/>
      <c r="AQ33" s="2028"/>
      <c r="AR33" s="2025"/>
      <c r="AS33" s="2026">
        <f t="shared" si="53"/>
        <v>0</v>
      </c>
      <c r="AT33" s="4488">
        <f t="shared" si="31"/>
        <v>0</v>
      </c>
      <c r="AU33" s="1675"/>
      <c r="AV33" s="2028"/>
      <c r="AW33" s="2025"/>
      <c r="AX33" s="2026">
        <f t="shared" si="54"/>
        <v>0</v>
      </c>
      <c r="AY33" s="4488" t="e">
        <f t="shared" si="33"/>
        <v>#DIV/0!</v>
      </c>
      <c r="AZ33" s="1675"/>
      <c r="BA33" s="2028"/>
      <c r="BB33" s="2025"/>
      <c r="BC33" s="2026">
        <f t="shared" si="55"/>
        <v>0</v>
      </c>
      <c r="BD33" s="4488" t="e">
        <f t="shared" si="35"/>
        <v>#DIV/0!</v>
      </c>
      <c r="BE33" s="1675"/>
      <c r="BF33" s="2028"/>
      <c r="BG33" s="2025"/>
      <c r="BH33" s="2026">
        <f t="shared" si="56"/>
        <v>0</v>
      </c>
      <c r="BI33" s="4488" t="e">
        <f t="shared" si="37"/>
        <v>#DIV/0!</v>
      </c>
      <c r="BJ33" s="1675"/>
      <c r="BK33" s="2028"/>
      <c r="BL33" s="2025"/>
      <c r="BM33" s="2026">
        <f t="shared" si="57"/>
        <v>0</v>
      </c>
      <c r="BN33" s="4488" t="e">
        <f t="shared" si="39"/>
        <v>#DIV/0!</v>
      </c>
      <c r="BO33" s="1675"/>
      <c r="BP33" s="2028"/>
      <c r="BQ33" s="2025"/>
      <c r="BR33" s="2026">
        <f t="shared" si="58"/>
        <v>0</v>
      </c>
      <c r="BS33" s="4488" t="e">
        <f t="shared" si="41"/>
        <v>#DIV/0!</v>
      </c>
      <c r="BT33" s="1675"/>
      <c r="BU33" s="2028"/>
      <c r="BV33" s="2025"/>
      <c r="BW33" s="2026">
        <f t="shared" si="59"/>
        <v>0</v>
      </c>
      <c r="BX33" s="4488" t="e">
        <f t="shared" si="43"/>
        <v>#DIV/0!</v>
      </c>
      <c r="BY33" s="1675"/>
      <c r="BZ33" s="4439">
        <f t="shared" si="60"/>
        <v>0</v>
      </c>
      <c r="CA33" s="4436">
        <f t="shared" si="60"/>
        <v>645000</v>
      </c>
      <c r="CB33" s="4522">
        <f t="shared" si="61"/>
        <v>645000</v>
      </c>
      <c r="CC33" s="4488">
        <f t="shared" si="62"/>
        <v>9.5943793055112928E-2</v>
      </c>
      <c r="CD33" s="4490"/>
      <c r="CE33" s="1980">
        <f t="shared" si="63"/>
        <v>45000</v>
      </c>
      <c r="CF33" s="4500">
        <v>645000</v>
      </c>
      <c r="CG33" s="4501">
        <f t="shared" si="69"/>
        <v>0</v>
      </c>
    </row>
    <row r="34" spans="1:86" s="1396" customFormat="1" ht="24.6" customHeight="1">
      <c r="A34" s="1572"/>
      <c r="B34" s="1077"/>
      <c r="C34" s="1617"/>
      <c r="D34" s="1618"/>
      <c r="E34" s="4523"/>
      <c r="F34" s="4524"/>
      <c r="G34" s="2051"/>
      <c r="H34" s="4498"/>
      <c r="I34" s="4523"/>
      <c r="J34" s="4483"/>
      <c r="K34" s="4523"/>
      <c r="L34" s="2051"/>
      <c r="M34" s="4498"/>
      <c r="N34" s="4523"/>
      <c r="O34" s="4483"/>
      <c r="P34" s="4523"/>
      <c r="Q34" s="1718"/>
      <c r="R34" s="2051"/>
      <c r="S34" s="4498"/>
      <c r="T34" s="4523"/>
      <c r="U34" s="4483"/>
      <c r="V34" s="4523"/>
      <c r="W34" s="2051"/>
      <c r="X34" s="4498"/>
      <c r="Y34" s="4523"/>
      <c r="Z34" s="4483"/>
      <c r="AA34" s="4523"/>
      <c r="AB34" s="2051"/>
      <c r="AC34" s="4498"/>
      <c r="AD34" s="4523"/>
      <c r="AE34" s="4483"/>
      <c r="AF34" s="4523"/>
      <c r="AG34" s="2051"/>
      <c r="AH34" s="4498"/>
      <c r="AI34" s="4523"/>
      <c r="AJ34" s="4483"/>
      <c r="AK34" s="4523"/>
      <c r="AL34" s="2051"/>
      <c r="AM34" s="4498"/>
      <c r="AN34" s="4523"/>
      <c r="AO34" s="4483"/>
      <c r="AP34" s="4523"/>
      <c r="AQ34" s="2051"/>
      <c r="AR34" s="4498"/>
      <c r="AS34" s="4523"/>
      <c r="AT34" s="4483"/>
      <c r="AU34" s="4523"/>
      <c r="AV34" s="2051"/>
      <c r="AW34" s="4498"/>
      <c r="AX34" s="4523"/>
      <c r="AY34" s="4483"/>
      <c r="AZ34" s="4523"/>
      <c r="BA34" s="2051"/>
      <c r="BB34" s="4498"/>
      <c r="BC34" s="4523"/>
      <c r="BD34" s="4483"/>
      <c r="BE34" s="4523"/>
      <c r="BF34" s="2051"/>
      <c r="BG34" s="4498"/>
      <c r="BH34" s="4523"/>
      <c r="BI34" s="4483"/>
      <c r="BJ34" s="4523"/>
      <c r="BK34" s="2051"/>
      <c r="BL34" s="4498"/>
      <c r="BM34" s="4523"/>
      <c r="BN34" s="4483"/>
      <c r="BO34" s="4523"/>
      <c r="BP34" s="2051"/>
      <c r="BQ34" s="4498"/>
      <c r="BR34" s="4523"/>
      <c r="BS34" s="4483"/>
      <c r="BT34" s="4523"/>
      <c r="BU34" s="2051"/>
      <c r="BV34" s="4498"/>
      <c r="BW34" s="4523"/>
      <c r="BX34" s="4483"/>
      <c r="BY34" s="4523"/>
      <c r="BZ34" s="4498"/>
      <c r="CA34" s="4498"/>
      <c r="CB34" s="4523"/>
      <c r="CC34" s="4523"/>
      <c r="CD34" s="4523"/>
      <c r="CE34" s="765"/>
    </row>
    <row r="35" spans="1:86" s="2466" customFormat="1" ht="24.6" customHeight="1">
      <c r="A35" s="1572"/>
      <c r="B35" s="4525" t="s">
        <v>80</v>
      </c>
      <c r="C35" s="4441">
        <f>C36</f>
        <v>0</v>
      </c>
      <c r="D35" s="4441">
        <f>D36</f>
        <v>0</v>
      </c>
      <c r="E35" s="4442">
        <f>E36</f>
        <v>0</v>
      </c>
      <c r="F35" s="4526">
        <f>E35/$E$89</f>
        <v>0</v>
      </c>
      <c r="G35" s="4441">
        <v>0</v>
      </c>
      <c r="H35" s="4441">
        <v>0</v>
      </c>
      <c r="I35" s="4442">
        <f>I36</f>
        <v>89491.78</v>
      </c>
      <c r="J35" s="4428">
        <f t="shared" ref="J35:J36" si="70">I35/I$89</f>
        <v>2.9932487615942305E-2</v>
      </c>
      <c r="K35" s="4527"/>
      <c r="L35" s="4441">
        <f t="shared" ref="L35:M36" si="71">R35+W35+AB35+AG35+AL35+AQ35+AV35+BA35+BF35+BK35+BP35+BU35</f>
        <v>0</v>
      </c>
      <c r="M35" s="4441">
        <f t="shared" si="71"/>
        <v>0</v>
      </c>
      <c r="N35" s="4442">
        <f>N36</f>
        <v>1889</v>
      </c>
      <c r="O35" s="4428">
        <f t="shared" ref="O35:O36" si="72">N35/N$89</f>
        <v>5.0604108726397604E-4</v>
      </c>
      <c r="P35" s="4527"/>
      <c r="Q35" s="4526"/>
      <c r="R35" s="4441"/>
      <c r="S35" s="4441"/>
      <c r="T35" s="4442">
        <f>T36</f>
        <v>0</v>
      </c>
      <c r="U35" s="4442">
        <f t="shared" ref="U35:U36" si="73">T35/T$89</f>
        <v>0</v>
      </c>
      <c r="V35" s="4527"/>
      <c r="W35" s="4441"/>
      <c r="X35" s="4441"/>
      <c r="Y35" s="4442">
        <f>Y36</f>
        <v>1889</v>
      </c>
      <c r="Z35" s="4442">
        <f t="shared" ref="Z35:Z36" si="74">Y35/Y$89</f>
        <v>1.7554822474594833E-3</v>
      </c>
      <c r="AA35" s="4527"/>
      <c r="AB35" s="4441"/>
      <c r="AC35" s="4441"/>
      <c r="AD35" s="4442">
        <f t="shared" ref="AD35" si="75">AD36</f>
        <v>0</v>
      </c>
      <c r="AE35" s="4442">
        <f t="shared" ref="AE35:AE36" si="76">AD35/AD$89</f>
        <v>0</v>
      </c>
      <c r="AF35" s="4527"/>
      <c r="AG35" s="4441"/>
      <c r="AH35" s="4441"/>
      <c r="AI35" s="4442">
        <f t="shared" ref="AI35" si="77">AI36</f>
        <v>0</v>
      </c>
      <c r="AJ35" s="4442">
        <f t="shared" ref="AJ35:AJ36" si="78">AI35/AI$89</f>
        <v>0</v>
      </c>
      <c r="AK35" s="4527"/>
      <c r="AL35" s="4441"/>
      <c r="AM35" s="4441"/>
      <c r="AN35" s="4442">
        <f t="shared" ref="AN35" si="79">AN36</f>
        <v>0</v>
      </c>
      <c r="AO35" s="4442">
        <f t="shared" ref="AO35:AO36" si="80">AN35/AN$89</f>
        <v>0</v>
      </c>
      <c r="AP35" s="4527"/>
      <c r="AQ35" s="4441"/>
      <c r="AR35" s="4441"/>
      <c r="AS35" s="4442">
        <f t="shared" ref="AS35" si="81">AS36</f>
        <v>0</v>
      </c>
      <c r="AT35" s="4442">
        <f t="shared" ref="AT35:AT36" si="82">AS35/AS$89</f>
        <v>0</v>
      </c>
      <c r="AU35" s="4527"/>
      <c r="AV35" s="4441"/>
      <c r="AW35" s="4441"/>
      <c r="AX35" s="4442">
        <f t="shared" ref="AX35" si="83">AX36</f>
        <v>0</v>
      </c>
      <c r="AY35" s="4442" t="e">
        <f t="shared" ref="AY35:AY36" si="84">AX35/AX$89</f>
        <v>#DIV/0!</v>
      </c>
      <c r="AZ35" s="4527"/>
      <c r="BA35" s="4441"/>
      <c r="BB35" s="4441"/>
      <c r="BC35" s="4442">
        <f t="shared" ref="BC35" si="85">BC36</f>
        <v>0</v>
      </c>
      <c r="BD35" s="4442" t="e">
        <f t="shared" ref="BD35:BD36" si="86">BC35/BC$89</f>
        <v>#DIV/0!</v>
      </c>
      <c r="BE35" s="4527"/>
      <c r="BF35" s="4441"/>
      <c r="BG35" s="4441"/>
      <c r="BH35" s="4442">
        <f t="shared" ref="BH35" si="87">BH36</f>
        <v>0</v>
      </c>
      <c r="BI35" s="4442" t="e">
        <f t="shared" ref="BI35:BI36" si="88">BH35/BH$89</f>
        <v>#DIV/0!</v>
      </c>
      <c r="BJ35" s="4527"/>
      <c r="BK35" s="4441"/>
      <c r="BL35" s="4441"/>
      <c r="BM35" s="4442">
        <f t="shared" ref="BM35" si="89">BM36</f>
        <v>0</v>
      </c>
      <c r="BN35" s="4442" t="e">
        <f t="shared" ref="BN35:BN36" si="90">BM35/BM$89</f>
        <v>#DIV/0!</v>
      </c>
      <c r="BO35" s="4527"/>
      <c r="BP35" s="4441"/>
      <c r="BQ35" s="4441"/>
      <c r="BR35" s="4442">
        <f t="shared" ref="BR35" si="91">BR36</f>
        <v>0</v>
      </c>
      <c r="BS35" s="4442" t="e">
        <f t="shared" ref="BS35:BS36" si="92">BR35/BR$89</f>
        <v>#DIV/0!</v>
      </c>
      <c r="BT35" s="4527"/>
      <c r="BU35" s="4441"/>
      <c r="BV35" s="4441"/>
      <c r="BW35" s="4442">
        <f t="shared" ref="BW35" si="93">BW36</f>
        <v>0</v>
      </c>
      <c r="BX35" s="4442" t="e">
        <f t="shared" ref="BX35:BX36" si="94">BW35/BW$89</f>
        <v>#DIV/0!</v>
      </c>
      <c r="BY35" s="4527"/>
      <c r="BZ35" s="4441">
        <f t="shared" ref="BZ35:CA35" si="95">BZ36</f>
        <v>91380.78</v>
      </c>
      <c r="CA35" s="4441">
        <f t="shared" si="95"/>
        <v>0</v>
      </c>
      <c r="CB35" s="4442">
        <f>CB36</f>
        <v>91380.78</v>
      </c>
      <c r="CC35" s="4441">
        <f>CC36</f>
        <v>1.3592897124860158E-2</v>
      </c>
      <c r="CD35" s="4442"/>
      <c r="CE35" s="4497"/>
    </row>
    <row r="36" spans="1:86" s="1564" customFormat="1" ht="24.6" customHeight="1" outlineLevel="1">
      <c r="A36" s="1572"/>
      <c r="B36" s="4528" t="s">
        <v>81</v>
      </c>
      <c r="C36" s="4529"/>
      <c r="D36" s="4530"/>
      <c r="E36" s="4509">
        <f>C36+D36</f>
        <v>0</v>
      </c>
      <c r="F36" s="4531">
        <f>E36/$E$89</f>
        <v>0</v>
      </c>
      <c r="G36" s="2051">
        <v>89491.78</v>
      </c>
      <c r="H36" s="4498">
        <v>0</v>
      </c>
      <c r="I36" s="3081">
        <f>G36+H36*1</f>
        <v>89491.78</v>
      </c>
      <c r="J36" s="4428">
        <f t="shared" si="70"/>
        <v>2.9932487615942305E-2</v>
      </c>
      <c r="K36" s="4499"/>
      <c r="L36" s="2051">
        <f t="shared" si="71"/>
        <v>1889</v>
      </c>
      <c r="M36" s="4498">
        <f t="shared" si="71"/>
        <v>0</v>
      </c>
      <c r="N36" s="3081">
        <f>L36+M36*1</f>
        <v>1889</v>
      </c>
      <c r="O36" s="4428">
        <f t="shared" si="72"/>
        <v>5.0604108726397604E-4</v>
      </c>
      <c r="P36" s="4499"/>
      <c r="Q36" s="1986"/>
      <c r="R36" s="2051"/>
      <c r="S36" s="4498"/>
      <c r="T36" s="3081">
        <f>R36+S36*1</f>
        <v>0</v>
      </c>
      <c r="U36" s="4428">
        <f t="shared" si="73"/>
        <v>0</v>
      </c>
      <c r="V36" s="4499"/>
      <c r="W36" s="2051">
        <v>1889</v>
      </c>
      <c r="X36" s="4498"/>
      <c r="Y36" s="3081">
        <f>W36+X36*1</f>
        <v>1889</v>
      </c>
      <c r="Z36" s="4428">
        <f t="shared" si="74"/>
        <v>1.7554822474594833E-3</v>
      </c>
      <c r="AA36" s="4499"/>
      <c r="AB36" s="2051"/>
      <c r="AC36" s="4498"/>
      <c r="AD36" s="3081">
        <f t="shared" ref="AD36" si="96">AB36+AC36*1</f>
        <v>0</v>
      </c>
      <c r="AE36" s="4428">
        <f t="shared" si="76"/>
        <v>0</v>
      </c>
      <c r="AF36" s="4499"/>
      <c r="AG36" s="2051"/>
      <c r="AH36" s="4498"/>
      <c r="AI36" s="3081">
        <f t="shared" ref="AI36" si="97">AG36+AH36*1</f>
        <v>0</v>
      </c>
      <c r="AJ36" s="4428">
        <f t="shared" si="78"/>
        <v>0</v>
      </c>
      <c r="AK36" s="4499"/>
      <c r="AL36" s="2051"/>
      <c r="AM36" s="4498"/>
      <c r="AN36" s="3081">
        <f t="shared" ref="AN36" si="98">AL36+AM36*1</f>
        <v>0</v>
      </c>
      <c r="AO36" s="4428">
        <f t="shared" si="80"/>
        <v>0</v>
      </c>
      <c r="AP36" s="4499"/>
      <c r="AQ36" s="2051"/>
      <c r="AR36" s="4498"/>
      <c r="AS36" s="3081">
        <f t="shared" ref="AS36" si="99">AQ36+AR36*1</f>
        <v>0</v>
      </c>
      <c r="AT36" s="4428">
        <f t="shared" si="82"/>
        <v>0</v>
      </c>
      <c r="AU36" s="4499"/>
      <c r="AV36" s="2051"/>
      <c r="AW36" s="4498"/>
      <c r="AX36" s="3081">
        <f t="shared" ref="AX36" si="100">AV36+AW36*1</f>
        <v>0</v>
      </c>
      <c r="AY36" s="4428" t="e">
        <f t="shared" si="84"/>
        <v>#DIV/0!</v>
      </c>
      <c r="AZ36" s="4499"/>
      <c r="BA36" s="2051"/>
      <c r="BB36" s="4498"/>
      <c r="BC36" s="3081">
        <f t="shared" ref="BC36" si="101">BA36+BB36*1</f>
        <v>0</v>
      </c>
      <c r="BD36" s="4428" t="e">
        <f t="shared" si="86"/>
        <v>#DIV/0!</v>
      </c>
      <c r="BE36" s="4499"/>
      <c r="BF36" s="2051"/>
      <c r="BG36" s="4498"/>
      <c r="BH36" s="3081">
        <f t="shared" ref="BH36" si="102">BF36+BG36*1</f>
        <v>0</v>
      </c>
      <c r="BI36" s="4428" t="e">
        <f t="shared" si="88"/>
        <v>#DIV/0!</v>
      </c>
      <c r="BJ36" s="4499"/>
      <c r="BK36" s="2051"/>
      <c r="BL36" s="4498"/>
      <c r="BM36" s="3081">
        <f t="shared" ref="BM36" si="103">BK36+BL36*1</f>
        <v>0</v>
      </c>
      <c r="BN36" s="4428" t="e">
        <f t="shared" si="90"/>
        <v>#DIV/0!</v>
      </c>
      <c r="BO36" s="4499"/>
      <c r="BP36" s="2051"/>
      <c r="BQ36" s="4498"/>
      <c r="BR36" s="3081">
        <f t="shared" ref="BR36" si="104">BP36+BQ36*1</f>
        <v>0</v>
      </c>
      <c r="BS36" s="4428" t="e">
        <f t="shared" si="92"/>
        <v>#DIV/0!</v>
      </c>
      <c r="BT36" s="4499"/>
      <c r="BU36" s="2051"/>
      <c r="BV36" s="4498"/>
      <c r="BW36" s="3081">
        <f t="shared" ref="BW36" si="105">BU36+BV36*1</f>
        <v>0</v>
      </c>
      <c r="BX36" s="4428" t="e">
        <f t="shared" si="94"/>
        <v>#DIV/0!</v>
      </c>
      <c r="BY36" s="4499"/>
      <c r="BZ36" s="4498">
        <f>G36+L36</f>
        <v>91380.78</v>
      </c>
      <c r="CA36" s="4498">
        <f>H36+M36</f>
        <v>0</v>
      </c>
      <c r="CB36" s="3186">
        <f>BZ36+CA36*1</f>
        <v>91380.78</v>
      </c>
      <c r="CC36" s="4428">
        <f>CB36/$CB$89</f>
        <v>1.3592897124860158E-2</v>
      </c>
      <c r="CD36" s="4445"/>
      <c r="CE36" s="1980">
        <f>CB36-E36</f>
        <v>91380.78</v>
      </c>
      <c r="CF36" s="4500">
        <v>91380.78</v>
      </c>
      <c r="CG36" s="4501">
        <f t="shared" ref="CG36" si="106">CF36-CB36</f>
        <v>0</v>
      </c>
      <c r="CH36" s="1564" t="s">
        <v>2135</v>
      </c>
    </row>
    <row r="37" spans="1:86" s="1396" customFormat="1" ht="24.6" customHeight="1" thickBot="1">
      <c r="A37" s="1398"/>
      <c r="B37" s="4532"/>
      <c r="C37" s="4533"/>
      <c r="D37" s="4534"/>
      <c r="E37" s="4447"/>
      <c r="F37" s="4535"/>
      <c r="G37" s="2028"/>
      <c r="H37" s="2025"/>
      <c r="I37" s="4447"/>
      <c r="J37" s="4488"/>
      <c r="K37" s="4454"/>
      <c r="L37" s="2028"/>
      <c r="M37" s="2025"/>
      <c r="N37" s="4447"/>
      <c r="O37" s="4488"/>
      <c r="P37" s="4454"/>
      <c r="Q37" s="1719"/>
      <c r="R37" s="2028"/>
      <c r="S37" s="2025"/>
      <c r="T37" s="4447"/>
      <c r="U37" s="4488"/>
      <c r="V37" s="4454"/>
      <c r="W37" s="2028"/>
      <c r="X37" s="2025"/>
      <c r="Y37" s="4447"/>
      <c r="Z37" s="4488" t="e">
        <f t="shared" ref="Z37" si="107">Y37/$DH$89</f>
        <v>#DIV/0!</v>
      </c>
      <c r="AA37" s="4454"/>
      <c r="AB37" s="2028"/>
      <c r="AC37" s="2025"/>
      <c r="AD37" s="4447"/>
      <c r="AE37" s="4488" t="e">
        <f t="shared" ref="AE37" si="108">AD37/$DH$89</f>
        <v>#DIV/0!</v>
      </c>
      <c r="AF37" s="4454"/>
      <c r="AG37" s="2028"/>
      <c r="AH37" s="2025"/>
      <c r="AI37" s="4447"/>
      <c r="AJ37" s="4488"/>
      <c r="AK37" s="4454"/>
      <c r="AL37" s="2028"/>
      <c r="AM37" s="2025"/>
      <c r="AN37" s="4447"/>
      <c r="AO37" s="4488" t="e">
        <f t="shared" ref="AO37" si="109">AN37/$DH$89</f>
        <v>#DIV/0!</v>
      </c>
      <c r="AP37" s="4454"/>
      <c r="AQ37" s="2028"/>
      <c r="AR37" s="2025"/>
      <c r="AS37" s="4447"/>
      <c r="AT37" s="4488" t="e">
        <f t="shared" ref="AT37" si="110">AS37/$DH$89</f>
        <v>#DIV/0!</v>
      </c>
      <c r="AU37" s="4454"/>
      <c r="AV37" s="2028"/>
      <c r="AW37" s="2025"/>
      <c r="AX37" s="4447"/>
      <c r="AY37" s="4488" t="e">
        <f t="shared" ref="AY37" si="111">AX37/$DH$89</f>
        <v>#DIV/0!</v>
      </c>
      <c r="AZ37" s="4454"/>
      <c r="BA37" s="2028"/>
      <c r="BB37" s="2025"/>
      <c r="BC37" s="4447"/>
      <c r="BD37" s="4488" t="e">
        <f t="shared" ref="BD37" si="112">BC37/$DH$89</f>
        <v>#DIV/0!</v>
      </c>
      <c r="BE37" s="4454"/>
      <c r="BF37" s="2028"/>
      <c r="BG37" s="2025"/>
      <c r="BH37" s="4447"/>
      <c r="BI37" s="4488" t="e">
        <f t="shared" ref="BI37" si="113">BH37/$DH$89</f>
        <v>#DIV/0!</v>
      </c>
      <c r="BJ37" s="4454"/>
      <c r="BK37" s="2028"/>
      <c r="BL37" s="2025"/>
      <c r="BM37" s="4447"/>
      <c r="BN37" s="4488" t="e">
        <f t="shared" ref="BN37" si="114">BM37/$DH$89</f>
        <v>#DIV/0!</v>
      </c>
      <c r="BO37" s="4454"/>
      <c r="BP37" s="2028"/>
      <c r="BQ37" s="2025"/>
      <c r="BR37" s="4447"/>
      <c r="BS37" s="4488" t="e">
        <f t="shared" ref="BS37" si="115">BR37/$DH$89</f>
        <v>#DIV/0!</v>
      </c>
      <c r="BT37" s="4454"/>
      <c r="BU37" s="2028"/>
      <c r="BV37" s="2025"/>
      <c r="BW37" s="4447"/>
      <c r="BX37" s="4488" t="e">
        <f t="shared" ref="BX37" si="116">BW37/$DH$89</f>
        <v>#DIV/0!</v>
      </c>
      <c r="BY37" s="4454"/>
      <c r="BZ37" s="4498"/>
      <c r="CA37" s="4498"/>
      <c r="CB37" s="4447"/>
      <c r="CC37" s="4447"/>
      <c r="CD37" s="4447"/>
      <c r="CE37" s="4536"/>
      <c r="CF37" s="3144"/>
      <c r="CG37" s="3145"/>
    </row>
    <row r="38" spans="1:86" ht="24.6" customHeight="1" thickBot="1">
      <c r="A38" s="1426"/>
      <c r="B38" s="971" t="s">
        <v>46</v>
      </c>
      <c r="C38" s="2002">
        <f>(C5)-(C8)</f>
        <v>6914574</v>
      </c>
      <c r="D38" s="2002">
        <f>(D5)-(D8)</f>
        <v>-3132053</v>
      </c>
      <c r="E38" s="2002">
        <f>(E5)-(E8)</f>
        <v>3782521</v>
      </c>
      <c r="F38" s="1530"/>
      <c r="G38" s="2002">
        <f>(G5)-(G8)</f>
        <v>2523159.0904000001</v>
      </c>
      <c r="H38" s="2002">
        <f>(H5)-(H8)</f>
        <v>-761840.6</v>
      </c>
      <c r="I38" s="2002">
        <f>(I5)-(I8)</f>
        <v>1761318.4904</v>
      </c>
      <c r="J38" s="2002"/>
      <c r="K38" s="2021"/>
      <c r="L38" s="2002">
        <f>(L5)-(L8)</f>
        <v>4621059.8260000004</v>
      </c>
      <c r="M38" s="2002">
        <f>(M5)-(M8)</f>
        <v>-1143876</v>
      </c>
      <c r="N38" s="2002">
        <f>(N5)-(N8)</f>
        <v>3477183.8260000004</v>
      </c>
      <c r="O38" s="2002"/>
      <c r="P38" s="2021"/>
      <c r="Q38" s="1530"/>
      <c r="R38" s="2002">
        <f>(R5)-(R8)</f>
        <v>-105495.504</v>
      </c>
      <c r="S38" s="2002">
        <f>(S5)-(S8)</f>
        <v>-203400</v>
      </c>
      <c r="T38" s="2002">
        <f>(T5)-(T8)</f>
        <v>-308895.50400000002</v>
      </c>
      <c r="U38" s="2002"/>
      <c r="V38" s="2021"/>
      <c r="W38" s="2002">
        <f>(W5)-(W8)</f>
        <v>3090721.0880000005</v>
      </c>
      <c r="X38" s="2002">
        <f>(X5)-(X8)</f>
        <v>-568055</v>
      </c>
      <c r="Y38" s="2002">
        <f>(Y5)-(Y8)</f>
        <v>2523217.8380000005</v>
      </c>
      <c r="Z38" s="2002"/>
      <c r="AA38" s="2021"/>
      <c r="AB38" s="2002">
        <f t="shared" ref="AB38:AD38" si="117">(AB5)-(AB8)</f>
        <v>1653006.2860000005</v>
      </c>
      <c r="AC38" s="2002">
        <f t="shared" si="117"/>
        <v>-247421</v>
      </c>
      <c r="AD38" s="2002">
        <f t="shared" si="117"/>
        <v>1405585.2860000005</v>
      </c>
      <c r="AE38" s="2002"/>
      <c r="AF38" s="2021"/>
      <c r="AG38" s="2002">
        <f t="shared" ref="AG38:AI38" si="118">(AG5)-(AG8)</f>
        <v>-17172.044000000002</v>
      </c>
      <c r="AH38" s="2002">
        <f t="shared" si="118"/>
        <v>-90000</v>
      </c>
      <c r="AI38" s="2002">
        <f t="shared" si="118"/>
        <v>-107172.04400000001</v>
      </c>
      <c r="AJ38" s="2002"/>
      <c r="AK38" s="2021"/>
      <c r="AL38" s="2002">
        <f t="shared" ref="AL38:AN38" si="119">(AL5)-(AL8)</f>
        <v>0</v>
      </c>
      <c r="AM38" s="2002">
        <f t="shared" si="119"/>
        <v>-35000</v>
      </c>
      <c r="AN38" s="2002">
        <f t="shared" si="119"/>
        <v>-35000</v>
      </c>
      <c r="AO38" s="2002"/>
      <c r="AP38" s="2021"/>
      <c r="AQ38" s="2002">
        <f t="shared" ref="AQ38:AS38" si="120">(AQ5)-(AQ8)</f>
        <v>0</v>
      </c>
      <c r="AR38" s="2002">
        <f t="shared" si="120"/>
        <v>0</v>
      </c>
      <c r="AS38" s="2002">
        <f t="shared" si="120"/>
        <v>0</v>
      </c>
      <c r="AT38" s="2002"/>
      <c r="AU38" s="2021"/>
      <c r="AV38" s="2002">
        <f t="shared" ref="AV38:AX38" si="121">(AV5)-(AV8)</f>
        <v>0</v>
      </c>
      <c r="AW38" s="2002">
        <f t="shared" si="121"/>
        <v>0</v>
      </c>
      <c r="AX38" s="2002">
        <f t="shared" si="121"/>
        <v>0</v>
      </c>
      <c r="AY38" s="2002"/>
      <c r="AZ38" s="2021"/>
      <c r="BA38" s="2002">
        <f t="shared" ref="BA38:BC38" si="122">(BA5)-(BA8)</f>
        <v>0</v>
      </c>
      <c r="BB38" s="2002">
        <f t="shared" si="122"/>
        <v>0</v>
      </c>
      <c r="BC38" s="2002">
        <f t="shared" si="122"/>
        <v>0</v>
      </c>
      <c r="BD38" s="2002"/>
      <c r="BE38" s="2021"/>
      <c r="BF38" s="2002">
        <f t="shared" ref="BF38:BH38" si="123">(BF5)-(BF8)</f>
        <v>0</v>
      </c>
      <c r="BG38" s="2002">
        <f t="shared" si="123"/>
        <v>0</v>
      </c>
      <c r="BH38" s="2002">
        <f t="shared" si="123"/>
        <v>0</v>
      </c>
      <c r="BI38" s="2002"/>
      <c r="BJ38" s="2021"/>
      <c r="BK38" s="2002">
        <f t="shared" ref="BK38:BM38" si="124">(BK5)-(BK8)</f>
        <v>0</v>
      </c>
      <c r="BL38" s="2002">
        <f t="shared" si="124"/>
        <v>0</v>
      </c>
      <c r="BM38" s="2002">
        <f t="shared" si="124"/>
        <v>0</v>
      </c>
      <c r="BN38" s="2002"/>
      <c r="BO38" s="2021"/>
      <c r="BP38" s="2002">
        <f t="shared" ref="BP38:BR38" si="125">(BP5)-(BP8)</f>
        <v>0</v>
      </c>
      <c r="BQ38" s="2002">
        <f t="shared" si="125"/>
        <v>0</v>
      </c>
      <c r="BR38" s="2002">
        <f t="shared" si="125"/>
        <v>0</v>
      </c>
      <c r="BS38" s="2002"/>
      <c r="BT38" s="2021"/>
      <c r="BU38" s="2002">
        <f t="shared" ref="BU38:BW38" si="126">(BU5)-(BU8)</f>
        <v>0</v>
      </c>
      <c r="BV38" s="2002">
        <f t="shared" si="126"/>
        <v>0</v>
      </c>
      <c r="BW38" s="2002">
        <f t="shared" si="126"/>
        <v>0</v>
      </c>
      <c r="BX38" s="2002"/>
      <c r="BY38" s="2021"/>
      <c r="BZ38" s="2002">
        <f>(BZ5)-(BZ8)</f>
        <v>7144218.9164000005</v>
      </c>
      <c r="CA38" s="2002">
        <f>(CA5)-(CA8)</f>
        <v>-1905716.6</v>
      </c>
      <c r="CB38" s="2002">
        <f>(CB5)-(CB8)</f>
        <v>5238502.3164000008</v>
      </c>
      <c r="CC38" s="2002"/>
      <c r="CD38" s="2002"/>
      <c r="CE38" s="4537"/>
    </row>
    <row r="39" spans="1:86" ht="24.6" customHeight="1">
      <c r="A39" s="1565"/>
      <c r="B39" s="972" t="s">
        <v>47</v>
      </c>
      <c r="C39" s="1525">
        <f>C38/(C5)</f>
        <v>0.62811170630721147</v>
      </c>
      <c r="D39" s="1525" t="e">
        <f>D38/(D5)</f>
        <v>#DIV/0!</v>
      </c>
      <c r="E39" s="1526">
        <f>E38/(E5)</f>
        <v>0.34359972421335855</v>
      </c>
      <c r="F39" s="1531"/>
      <c r="G39" s="2003">
        <f>G38/(G5)</f>
        <v>0.5624369831994237</v>
      </c>
      <c r="H39" s="2003" t="e">
        <f>H38/(H5)</f>
        <v>#DIV/0!</v>
      </c>
      <c r="I39" s="2004">
        <f>I38/(I5)</f>
        <v>0.39261521874028682</v>
      </c>
      <c r="J39" s="2004"/>
      <c r="K39" s="2022"/>
      <c r="L39" s="2003">
        <f>L38/(L5)</f>
        <v>0.70632595987591629</v>
      </c>
      <c r="M39" s="2003" t="e">
        <f>M38/(M5)</f>
        <v>#DIV/0!</v>
      </c>
      <c r="N39" s="2004">
        <f>N38/(N5)</f>
        <v>0.53148526442913469</v>
      </c>
      <c r="O39" s="2004"/>
      <c r="P39" s="2022"/>
      <c r="Q39" s="1531"/>
      <c r="R39" s="2003" t="e">
        <f>R38/(R5)</f>
        <v>#DIV/0!</v>
      </c>
      <c r="S39" s="2003" t="e">
        <f>S38/(S5)</f>
        <v>#DIV/0!</v>
      </c>
      <c r="T39" s="2004" t="e">
        <f>T38/(T5)</f>
        <v>#DIV/0!</v>
      </c>
      <c r="U39" s="2004"/>
      <c r="V39" s="2022"/>
      <c r="W39" s="2003">
        <f>W38/(W5)</f>
        <v>0.88197955531862759</v>
      </c>
      <c r="X39" s="2003" t="e">
        <f>X38/(X5)</f>
        <v>#DIV/0!</v>
      </c>
      <c r="Y39" s="2004">
        <f>Y38/(Y5)</f>
        <v>0.72003473732123091</v>
      </c>
      <c r="Z39" s="2004"/>
      <c r="AA39" s="2022"/>
      <c r="AB39" s="2003">
        <f t="shared" ref="AB39:AD39" si="127">AB38/(AB5)</f>
        <v>0.54769926610996189</v>
      </c>
      <c r="AC39" s="2003" t="e">
        <f t="shared" si="127"/>
        <v>#DIV/0!</v>
      </c>
      <c r="AD39" s="2004">
        <f t="shared" si="127"/>
        <v>0.46571996496156154</v>
      </c>
      <c r="AE39" s="2004"/>
      <c r="AF39" s="2022"/>
      <c r="AG39" s="2003">
        <f t="shared" ref="AG39:AI39" si="128">AG38/(AG5)</f>
        <v>-0.85866058892004671</v>
      </c>
      <c r="AH39" s="2003" t="e">
        <f t="shared" si="128"/>
        <v>#DIV/0!</v>
      </c>
      <c r="AI39" s="2004">
        <f t="shared" si="128"/>
        <v>-5.3589666097294621</v>
      </c>
      <c r="AJ39" s="2004"/>
      <c r="AK39" s="2022"/>
      <c r="AL39" s="2003" t="e">
        <f t="shared" ref="AL39:AN39" si="129">AL38/(AL5)</f>
        <v>#DIV/0!</v>
      </c>
      <c r="AM39" s="2003" t="e">
        <f t="shared" si="129"/>
        <v>#DIV/0!</v>
      </c>
      <c r="AN39" s="2004" t="e">
        <f t="shared" si="129"/>
        <v>#DIV/0!</v>
      </c>
      <c r="AO39" s="2004"/>
      <c r="AP39" s="2022"/>
      <c r="AQ39" s="2003" t="e">
        <f t="shared" ref="AQ39:AS39" si="130">AQ38/(AQ5)</f>
        <v>#DIV/0!</v>
      </c>
      <c r="AR39" s="2003" t="e">
        <f t="shared" si="130"/>
        <v>#DIV/0!</v>
      </c>
      <c r="AS39" s="2004" t="e">
        <f t="shared" si="130"/>
        <v>#DIV/0!</v>
      </c>
      <c r="AT39" s="2004"/>
      <c r="AU39" s="2022"/>
      <c r="AV39" s="2003" t="e">
        <f t="shared" ref="AV39:AX39" si="131">AV38/(AV5)</f>
        <v>#DIV/0!</v>
      </c>
      <c r="AW39" s="2003" t="e">
        <f t="shared" si="131"/>
        <v>#DIV/0!</v>
      </c>
      <c r="AX39" s="2004" t="e">
        <f t="shared" si="131"/>
        <v>#DIV/0!</v>
      </c>
      <c r="AY39" s="2004"/>
      <c r="AZ39" s="2022"/>
      <c r="BA39" s="2003" t="e">
        <f t="shared" ref="BA39:BC39" si="132">BA38/(BA5)</f>
        <v>#DIV/0!</v>
      </c>
      <c r="BB39" s="2003" t="e">
        <f t="shared" si="132"/>
        <v>#DIV/0!</v>
      </c>
      <c r="BC39" s="2004" t="e">
        <f t="shared" si="132"/>
        <v>#DIV/0!</v>
      </c>
      <c r="BD39" s="2004"/>
      <c r="BE39" s="2022"/>
      <c r="BF39" s="2003" t="e">
        <f t="shared" ref="BF39:BH39" si="133">BF38/(BF5)</f>
        <v>#DIV/0!</v>
      </c>
      <c r="BG39" s="2003" t="e">
        <f t="shared" si="133"/>
        <v>#DIV/0!</v>
      </c>
      <c r="BH39" s="2004" t="e">
        <f t="shared" si="133"/>
        <v>#DIV/0!</v>
      </c>
      <c r="BI39" s="2004"/>
      <c r="BJ39" s="2022"/>
      <c r="BK39" s="2003" t="e">
        <f t="shared" ref="BK39:BM39" si="134">BK38/(BK5)</f>
        <v>#DIV/0!</v>
      </c>
      <c r="BL39" s="2003" t="e">
        <f t="shared" si="134"/>
        <v>#DIV/0!</v>
      </c>
      <c r="BM39" s="2004" t="e">
        <f t="shared" si="134"/>
        <v>#DIV/0!</v>
      </c>
      <c r="BN39" s="2004"/>
      <c r="BO39" s="2022"/>
      <c r="BP39" s="2003" t="e">
        <f t="shared" ref="BP39:BR39" si="135">BP38/(BP5)</f>
        <v>#DIV/0!</v>
      </c>
      <c r="BQ39" s="2003" t="e">
        <f t="shared" si="135"/>
        <v>#DIV/0!</v>
      </c>
      <c r="BR39" s="2004" t="e">
        <f t="shared" si="135"/>
        <v>#DIV/0!</v>
      </c>
      <c r="BS39" s="2004"/>
      <c r="BT39" s="2022"/>
      <c r="BU39" s="2003" t="e">
        <f t="shared" ref="BU39:BW39" si="136">BU38/(BU5)</f>
        <v>#DIV/0!</v>
      </c>
      <c r="BV39" s="2003" t="e">
        <f t="shared" si="136"/>
        <v>#DIV/0!</v>
      </c>
      <c r="BW39" s="2004" t="e">
        <f t="shared" si="136"/>
        <v>#DIV/0!</v>
      </c>
      <c r="BX39" s="2004"/>
      <c r="BY39" s="2022"/>
      <c r="BZ39" s="2003">
        <f>BZ38/(BZ5)</f>
        <v>0.64779555872932604</v>
      </c>
      <c r="CA39" s="2003" t="e">
        <f>CA38/(CA5)</f>
        <v>#DIV/0!</v>
      </c>
      <c r="CB39" s="2004">
        <f>CB38/(CB5)</f>
        <v>0.47499643763256827</v>
      </c>
      <c r="CC39" s="2004"/>
      <c r="CD39" s="2004"/>
      <c r="CE39" s="4538"/>
    </row>
    <row r="40" spans="1:86" ht="24.6" customHeight="1" outlineLevel="1" thickBot="1">
      <c r="A40" s="1567"/>
      <c r="B40" s="4539"/>
      <c r="C40" s="4540"/>
      <c r="D40" s="4541"/>
      <c r="E40" s="4542"/>
      <c r="F40" s="4543"/>
      <c r="G40" s="4544"/>
      <c r="H40" s="4448"/>
      <c r="I40" s="4448"/>
      <c r="J40" s="4448"/>
      <c r="K40" s="4545"/>
      <c r="L40" s="4544"/>
      <c r="M40" s="4448"/>
      <c r="N40" s="4448"/>
      <c r="O40" s="4448"/>
      <c r="P40" s="4545"/>
      <c r="Q40" s="4546"/>
      <c r="R40" s="4544"/>
      <c r="S40" s="4448"/>
      <c r="T40" s="4448"/>
      <c r="U40" s="4448"/>
      <c r="V40" s="4545"/>
      <c r="W40" s="4544"/>
      <c r="X40" s="4448"/>
      <c r="Y40" s="4448"/>
      <c r="Z40" s="4448"/>
      <c r="AA40" s="4545"/>
      <c r="AB40" s="4544"/>
      <c r="AC40" s="4448"/>
      <c r="AD40" s="4448"/>
      <c r="AE40" s="4448"/>
      <c r="AF40" s="4545"/>
      <c r="AG40" s="4544"/>
      <c r="AH40" s="4448"/>
      <c r="AI40" s="4448"/>
      <c r="AJ40" s="4448"/>
      <c r="AK40" s="4545"/>
      <c r="AL40" s="4544"/>
      <c r="AM40" s="4448"/>
      <c r="AN40" s="4448"/>
      <c r="AO40" s="4448"/>
      <c r="AP40" s="4545"/>
      <c r="AQ40" s="4544"/>
      <c r="AR40" s="4448"/>
      <c r="AS40" s="4448"/>
      <c r="AT40" s="4448"/>
      <c r="AU40" s="4545"/>
      <c r="AV40" s="4544"/>
      <c r="AW40" s="4448"/>
      <c r="AX40" s="4448"/>
      <c r="AY40" s="4448"/>
      <c r="AZ40" s="4545"/>
      <c r="BA40" s="4544"/>
      <c r="BB40" s="4448"/>
      <c r="BC40" s="4448"/>
      <c r="BD40" s="4448"/>
      <c r="BE40" s="4545"/>
      <c r="BF40" s="4544"/>
      <c r="BG40" s="4448"/>
      <c r="BH40" s="4448"/>
      <c r="BI40" s="4448"/>
      <c r="BJ40" s="4545"/>
      <c r="BK40" s="4544"/>
      <c r="BL40" s="4448"/>
      <c r="BM40" s="4448"/>
      <c r="BN40" s="4448"/>
      <c r="BO40" s="4545"/>
      <c r="BP40" s="4544"/>
      <c r="BQ40" s="4448"/>
      <c r="BR40" s="4448"/>
      <c r="BS40" s="4448"/>
      <c r="BT40" s="4545"/>
      <c r="BU40" s="4544"/>
      <c r="BV40" s="4448"/>
      <c r="BW40" s="4448"/>
      <c r="BX40" s="4448"/>
      <c r="BY40" s="4545"/>
      <c r="BZ40" s="4498"/>
      <c r="CA40" s="4498"/>
      <c r="CB40" s="4448"/>
      <c r="CC40" s="4448"/>
      <c r="CD40" s="4448"/>
      <c r="CE40" s="4547"/>
    </row>
    <row r="41" spans="1:86" ht="24.6" customHeight="1" outlineLevel="1">
      <c r="A41" s="1405"/>
      <c r="B41" s="4548" t="s">
        <v>26</v>
      </c>
      <c r="C41" s="4549">
        <f>SUM(C42:C48)</f>
        <v>37500</v>
      </c>
      <c r="D41" s="4549">
        <f>SUM(D42:D48)</f>
        <v>3000</v>
      </c>
      <c r="E41" s="4550">
        <f>SUM(E42:E48)</f>
        <v>40500</v>
      </c>
      <c r="F41" s="4449">
        <f t="shared" ref="F41:F48" si="137">E41/$E$89</f>
        <v>5.0061445789387421E-3</v>
      </c>
      <c r="G41" s="2013">
        <f>SUM(G42:G48)</f>
        <v>20549.330000000002</v>
      </c>
      <c r="H41" s="2013">
        <f>SUM(H42:H48)</f>
        <v>3400</v>
      </c>
      <c r="I41" s="2014">
        <f>SUM(I42:I48)</f>
        <v>23949.33</v>
      </c>
      <c r="J41" s="4449">
        <f t="shared" ref="J41:J48" si="138">I41/I$89</f>
        <v>8.0103784239749804E-3</v>
      </c>
      <c r="K41" s="2023"/>
      <c r="L41" s="2013">
        <f>SUM(L42:L48)</f>
        <v>3203.5760000000005</v>
      </c>
      <c r="M41" s="2013">
        <f>SUM(M42:M48)</f>
        <v>472</v>
      </c>
      <c r="N41" s="2014">
        <f>SUM(N42:N48)</f>
        <v>3675.5760000000005</v>
      </c>
      <c r="O41" s="4449">
        <f t="shared" ref="O41:O48" si="139">N41/N$89</f>
        <v>9.8464397848669998E-4</v>
      </c>
      <c r="P41" s="2023"/>
      <c r="Q41" s="2545"/>
      <c r="R41" s="2013">
        <f>SUM(R42:R48)</f>
        <v>830.05000000000018</v>
      </c>
      <c r="S41" s="2013">
        <f>SUM(S42:S48)</f>
        <v>300</v>
      </c>
      <c r="T41" s="2014">
        <f>SUM(T42:T48)</f>
        <v>1130.0500000000002</v>
      </c>
      <c r="U41" s="4449">
        <f t="shared" ref="U41:U48" si="140">T41/T$89</f>
        <v>2.9709526979952196E-3</v>
      </c>
      <c r="V41" s="2023"/>
      <c r="W41" s="2013">
        <f>SUM(W42:W48)</f>
        <v>956.43000000000006</v>
      </c>
      <c r="X41" s="2013">
        <f>SUM(X42:X48)</f>
        <v>0</v>
      </c>
      <c r="Y41" s="2014">
        <f>SUM(Y42:Y48)</f>
        <v>956.43000000000006</v>
      </c>
      <c r="Z41" s="4449">
        <f t="shared" ref="Z41:Z48" si="141">Y41/Y$89</f>
        <v>8.88827890914597E-4</v>
      </c>
      <c r="AA41" s="2023"/>
      <c r="AB41" s="2013">
        <f t="shared" ref="AB41:AD41" si="142">SUM(AB42:AB48)</f>
        <v>1417.096</v>
      </c>
      <c r="AC41" s="2013">
        <f t="shared" si="142"/>
        <v>0</v>
      </c>
      <c r="AD41" s="2014">
        <f t="shared" si="142"/>
        <v>1417.096</v>
      </c>
      <c r="AE41" s="4449">
        <f t="shared" ref="AE41:AE48" si="143">AD41/AD$89</f>
        <v>8.3247983495340168E-4</v>
      </c>
      <c r="AF41" s="2023"/>
      <c r="AG41" s="2013">
        <f t="shared" ref="AG41:AI41" si="144">SUM(AG42:AG48)</f>
        <v>0</v>
      </c>
      <c r="AH41" s="2013">
        <f t="shared" si="144"/>
        <v>172</v>
      </c>
      <c r="AI41" s="2014">
        <f t="shared" si="144"/>
        <v>172</v>
      </c>
      <c r="AJ41" s="4449">
        <f t="shared" ref="AJ41:AJ48" si="145">AI41/AI$89</f>
        <v>3.7117126332553819E-4</v>
      </c>
      <c r="AK41" s="2023"/>
      <c r="AL41" s="2013">
        <f t="shared" ref="AL41:AN41" si="146">SUM(AL42:AL48)</f>
        <v>0</v>
      </c>
      <c r="AM41" s="2013">
        <f t="shared" si="146"/>
        <v>0</v>
      </c>
      <c r="AN41" s="2014">
        <f t="shared" si="146"/>
        <v>0</v>
      </c>
      <c r="AO41" s="4449">
        <f t="shared" ref="AO41:AO48" si="147">AN41/AN$89</f>
        <v>0</v>
      </c>
      <c r="AP41" s="2023"/>
      <c r="AQ41" s="2013">
        <f t="shared" ref="AQ41:AS41" si="148">SUM(AQ42:AQ48)</f>
        <v>0</v>
      </c>
      <c r="AR41" s="2013">
        <f t="shared" si="148"/>
        <v>0</v>
      </c>
      <c r="AS41" s="2014">
        <f t="shared" si="148"/>
        <v>0</v>
      </c>
      <c r="AT41" s="4449">
        <f t="shared" ref="AT41:AT48" si="149">AS41/AS$89</f>
        <v>0</v>
      </c>
      <c r="AU41" s="2023"/>
      <c r="AV41" s="2013">
        <f t="shared" ref="AV41:AX41" si="150">SUM(AV42:AV48)</f>
        <v>0</v>
      </c>
      <c r="AW41" s="2013">
        <f t="shared" si="150"/>
        <v>0</v>
      </c>
      <c r="AX41" s="2014">
        <f t="shared" si="150"/>
        <v>0</v>
      </c>
      <c r="AY41" s="4449" t="e">
        <f t="shared" ref="AY41:AY48" si="151">AX41/AX$89</f>
        <v>#DIV/0!</v>
      </c>
      <c r="AZ41" s="2023"/>
      <c r="BA41" s="2013">
        <f t="shared" ref="BA41:BC41" si="152">SUM(BA42:BA48)</f>
        <v>0</v>
      </c>
      <c r="BB41" s="2013">
        <f t="shared" si="152"/>
        <v>0</v>
      </c>
      <c r="BC41" s="2014">
        <f t="shared" si="152"/>
        <v>0</v>
      </c>
      <c r="BD41" s="4449" t="e">
        <f t="shared" ref="BD41:BD48" si="153">BC41/BC$89</f>
        <v>#DIV/0!</v>
      </c>
      <c r="BE41" s="2023"/>
      <c r="BF41" s="2013">
        <f t="shared" ref="BF41:BH41" si="154">SUM(BF42:BF48)</f>
        <v>0</v>
      </c>
      <c r="BG41" s="2013">
        <f t="shared" si="154"/>
        <v>0</v>
      </c>
      <c r="BH41" s="2014">
        <f t="shared" si="154"/>
        <v>0</v>
      </c>
      <c r="BI41" s="4449" t="e">
        <f t="shared" ref="BI41:BI48" si="155">BH41/BH$89</f>
        <v>#DIV/0!</v>
      </c>
      <c r="BJ41" s="2023"/>
      <c r="BK41" s="2013">
        <f t="shared" ref="BK41:BM41" si="156">SUM(BK42:BK48)</f>
        <v>0</v>
      </c>
      <c r="BL41" s="2013">
        <f t="shared" si="156"/>
        <v>0</v>
      </c>
      <c r="BM41" s="2014">
        <f t="shared" si="156"/>
        <v>0</v>
      </c>
      <c r="BN41" s="4449" t="e">
        <f t="shared" ref="BN41:BN48" si="157">BM41/BM$89</f>
        <v>#DIV/0!</v>
      </c>
      <c r="BO41" s="2023"/>
      <c r="BP41" s="2013">
        <f t="shared" ref="BP41:BR41" si="158">SUM(BP42:BP48)</f>
        <v>0</v>
      </c>
      <c r="BQ41" s="2013">
        <f t="shared" si="158"/>
        <v>0</v>
      </c>
      <c r="BR41" s="2014">
        <f t="shared" si="158"/>
        <v>0</v>
      </c>
      <c r="BS41" s="4449" t="e">
        <f t="shared" ref="BS41:BS48" si="159">BR41/BR$89</f>
        <v>#DIV/0!</v>
      </c>
      <c r="BT41" s="2023"/>
      <c r="BU41" s="2013">
        <f t="shared" ref="BU41:BW41" si="160">SUM(BU42:BU48)</f>
        <v>0</v>
      </c>
      <c r="BV41" s="2013">
        <f t="shared" si="160"/>
        <v>0</v>
      </c>
      <c r="BW41" s="2014">
        <f t="shared" si="160"/>
        <v>0</v>
      </c>
      <c r="BX41" s="4449" t="e">
        <f t="shared" ref="BX41:BX48" si="161">BW41/BW$89</f>
        <v>#DIV/0!</v>
      </c>
      <c r="BY41" s="2023"/>
      <c r="BZ41" s="2013">
        <f>SUM(BZ42:BZ48)</f>
        <v>23752.905999999999</v>
      </c>
      <c r="CA41" s="2013">
        <f>SUM(CA42:CA48)</f>
        <v>3872</v>
      </c>
      <c r="CB41" s="2014">
        <f>SUM(CB42:CB48)</f>
        <v>27624.905999999999</v>
      </c>
      <c r="CC41" s="4449">
        <f t="shared" ref="CC41:CC49" si="162">CB41/$CB$89</f>
        <v>4.1092066115208485E-3</v>
      </c>
      <c r="CD41" s="2006"/>
      <c r="CE41" s="4551"/>
    </row>
    <row r="42" spans="1:86" ht="24.6" customHeight="1" outlineLevel="2">
      <c r="A42" s="4833"/>
      <c r="B42" s="4431" t="s">
        <v>7</v>
      </c>
      <c r="C42" s="4513"/>
      <c r="D42" s="4552"/>
      <c r="E42" s="4509">
        <f t="shared" ref="E42:E48" si="163">C42+D42</f>
        <v>0</v>
      </c>
      <c r="F42" s="4428">
        <f t="shared" si="137"/>
        <v>0</v>
      </c>
      <c r="G42" s="2051">
        <v>0</v>
      </c>
      <c r="H42" s="4498">
        <v>3400</v>
      </c>
      <c r="I42" s="3081">
        <f t="shared" ref="I42:I48" si="164">G42+H42*1</f>
        <v>3400</v>
      </c>
      <c r="J42" s="4428">
        <f t="shared" si="138"/>
        <v>1.1372045331337005E-3</v>
      </c>
      <c r="K42" s="4499"/>
      <c r="L42" s="2051">
        <f t="shared" ref="L42:M48" si="165">R42+W42+AB42+AG42+AL42+AQ42+AV42+BA42+BF42+BK42+BP42+BU42</f>
        <v>0</v>
      </c>
      <c r="M42" s="4498">
        <f t="shared" si="165"/>
        <v>0</v>
      </c>
      <c r="N42" s="3081">
        <f t="shared" ref="N42:N48" si="166">L42+M42*1</f>
        <v>0</v>
      </c>
      <c r="O42" s="4428">
        <f t="shared" si="139"/>
        <v>0</v>
      </c>
      <c r="P42" s="4499"/>
      <c r="Q42" s="1986"/>
      <c r="R42" s="2051"/>
      <c r="S42" s="4498"/>
      <c r="T42" s="3081">
        <f t="shared" ref="T42:T48" si="167">R42+S42*1</f>
        <v>0</v>
      </c>
      <c r="U42" s="4428">
        <f t="shared" si="140"/>
        <v>0</v>
      </c>
      <c r="V42" s="4499"/>
      <c r="W42" s="2051"/>
      <c r="X42" s="4498"/>
      <c r="Y42" s="3081">
        <f t="shared" ref="Y42:Y48" si="168">W42+X42*1</f>
        <v>0</v>
      </c>
      <c r="Z42" s="4428">
        <f t="shared" si="141"/>
        <v>0</v>
      </c>
      <c r="AA42" s="4499"/>
      <c r="AB42" s="2051"/>
      <c r="AC42" s="4498"/>
      <c r="AD42" s="3081">
        <f t="shared" ref="AD42:AD48" si="169">AB42+AC42*1</f>
        <v>0</v>
      </c>
      <c r="AE42" s="4428">
        <f t="shared" si="143"/>
        <v>0</v>
      </c>
      <c r="AF42" s="4499"/>
      <c r="AG42" s="2051"/>
      <c r="AH42" s="4498"/>
      <c r="AI42" s="3081">
        <f t="shared" ref="AI42:AI48" si="170">AG42+AH42*1</f>
        <v>0</v>
      </c>
      <c r="AJ42" s="4428">
        <f t="shared" si="145"/>
        <v>0</v>
      </c>
      <c r="AK42" s="4499"/>
      <c r="AL42" s="2051"/>
      <c r="AM42" s="4498"/>
      <c r="AN42" s="3081">
        <f t="shared" ref="AN42:AN48" si="171">AL42+AM42*1</f>
        <v>0</v>
      </c>
      <c r="AO42" s="4428">
        <f t="shared" si="147"/>
        <v>0</v>
      </c>
      <c r="AP42" s="4499"/>
      <c r="AQ42" s="2051"/>
      <c r="AR42" s="4498"/>
      <c r="AS42" s="3081">
        <f t="shared" ref="AS42:AS48" si="172">AQ42+AR42*1</f>
        <v>0</v>
      </c>
      <c r="AT42" s="4428">
        <f t="shared" si="149"/>
        <v>0</v>
      </c>
      <c r="AU42" s="4499"/>
      <c r="AV42" s="2051"/>
      <c r="AW42" s="4498"/>
      <c r="AX42" s="3081">
        <f t="shared" ref="AX42:AX48" si="173">AV42+AW42*1</f>
        <v>0</v>
      </c>
      <c r="AY42" s="4428" t="e">
        <f t="shared" si="151"/>
        <v>#DIV/0!</v>
      </c>
      <c r="AZ42" s="4499"/>
      <c r="BA42" s="2051"/>
      <c r="BB42" s="4498"/>
      <c r="BC42" s="3081">
        <f t="shared" ref="BC42:BC48" si="174">BA42+BB42*1</f>
        <v>0</v>
      </c>
      <c r="BD42" s="4428" t="e">
        <f t="shared" si="153"/>
        <v>#DIV/0!</v>
      </c>
      <c r="BE42" s="4499"/>
      <c r="BF42" s="2051"/>
      <c r="BG42" s="4498"/>
      <c r="BH42" s="3081">
        <f t="shared" ref="BH42:BH48" si="175">BF42+BG42*1</f>
        <v>0</v>
      </c>
      <c r="BI42" s="4428" t="e">
        <f t="shared" si="155"/>
        <v>#DIV/0!</v>
      </c>
      <c r="BJ42" s="4499"/>
      <c r="BK42" s="2051"/>
      <c r="BL42" s="4498"/>
      <c r="BM42" s="3081">
        <f t="shared" ref="BM42:BM48" si="176">BK42+BL42*1</f>
        <v>0</v>
      </c>
      <c r="BN42" s="4428" t="e">
        <f t="shared" si="157"/>
        <v>#DIV/0!</v>
      </c>
      <c r="BO42" s="4499"/>
      <c r="BP42" s="2051"/>
      <c r="BQ42" s="4498"/>
      <c r="BR42" s="3081">
        <f t="shared" ref="BR42:BR48" si="177">BP42+BQ42*1</f>
        <v>0</v>
      </c>
      <c r="BS42" s="4428" t="e">
        <f t="shared" si="159"/>
        <v>#DIV/0!</v>
      </c>
      <c r="BT42" s="4499"/>
      <c r="BU42" s="2051"/>
      <c r="BV42" s="4498"/>
      <c r="BW42" s="3081">
        <f t="shared" ref="BW42:BW48" si="178">BU42+BV42*1</f>
        <v>0</v>
      </c>
      <c r="BX42" s="4428" t="e">
        <f t="shared" si="161"/>
        <v>#DIV/0!</v>
      </c>
      <c r="BY42" s="4499"/>
      <c r="BZ42" s="4498">
        <f t="shared" ref="BZ42:CA48" si="179">G42+L42</f>
        <v>0</v>
      </c>
      <c r="CA42" s="4498">
        <f t="shared" si="179"/>
        <v>3400</v>
      </c>
      <c r="CB42" s="3186">
        <f t="shared" ref="CB42:CB48" si="180">BZ42+CA42*1</f>
        <v>3400</v>
      </c>
      <c r="CC42" s="4428">
        <f t="shared" si="162"/>
        <v>5.057502269571844E-4</v>
      </c>
      <c r="CD42" s="4432"/>
      <c r="CE42" s="1980">
        <f t="shared" ref="CE42:CE48" si="181">CB42-E42</f>
        <v>3400</v>
      </c>
      <c r="CF42" s="4500">
        <v>3400</v>
      </c>
      <c r="CG42" s="4501">
        <f t="shared" ref="CG42:CG44" si="182">CF42-CB42</f>
        <v>0</v>
      </c>
      <c r="CH42" s="1395" t="s">
        <v>2136</v>
      </c>
    </row>
    <row r="43" spans="1:86" ht="24.6" customHeight="1" outlineLevel="2">
      <c r="A43" s="4833"/>
      <c r="B43" s="4431" t="s">
        <v>27</v>
      </c>
      <c r="C43" s="4513"/>
      <c r="D43" s="4552">
        <v>3000</v>
      </c>
      <c r="E43" s="4509">
        <f t="shared" si="163"/>
        <v>3000</v>
      </c>
      <c r="F43" s="4428">
        <f t="shared" si="137"/>
        <v>3.7082552436583274E-4</v>
      </c>
      <c r="G43" s="2051">
        <v>0</v>
      </c>
      <c r="H43" s="4498">
        <v>0</v>
      </c>
      <c r="I43" s="3081">
        <f t="shared" si="164"/>
        <v>0</v>
      </c>
      <c r="J43" s="4428">
        <f t="shared" si="138"/>
        <v>0</v>
      </c>
      <c r="K43" s="4499"/>
      <c r="L43" s="2051">
        <f t="shared" si="165"/>
        <v>0</v>
      </c>
      <c r="M43" s="4498">
        <f t="shared" si="165"/>
        <v>0</v>
      </c>
      <c r="N43" s="3081">
        <f t="shared" si="166"/>
        <v>0</v>
      </c>
      <c r="O43" s="4428">
        <f t="shared" si="139"/>
        <v>0</v>
      </c>
      <c r="P43" s="4499"/>
      <c r="Q43" s="1986"/>
      <c r="R43" s="2051"/>
      <c r="S43" s="4498"/>
      <c r="T43" s="3081">
        <f t="shared" si="167"/>
        <v>0</v>
      </c>
      <c r="U43" s="4428">
        <f t="shared" si="140"/>
        <v>0</v>
      </c>
      <c r="V43" s="4499"/>
      <c r="W43" s="2051"/>
      <c r="X43" s="4498"/>
      <c r="Y43" s="3081">
        <f t="shared" si="168"/>
        <v>0</v>
      </c>
      <c r="Z43" s="4428">
        <f t="shared" si="141"/>
        <v>0</v>
      </c>
      <c r="AA43" s="4499"/>
      <c r="AB43" s="2051"/>
      <c r="AC43" s="4498"/>
      <c r="AD43" s="3081">
        <f t="shared" si="169"/>
        <v>0</v>
      </c>
      <c r="AE43" s="4428">
        <f t="shared" si="143"/>
        <v>0</v>
      </c>
      <c r="AF43" s="4499"/>
      <c r="AG43" s="2051"/>
      <c r="AH43" s="4498"/>
      <c r="AI43" s="3081">
        <f t="shared" si="170"/>
        <v>0</v>
      </c>
      <c r="AJ43" s="4428">
        <f t="shared" si="145"/>
        <v>0</v>
      </c>
      <c r="AK43" s="4499"/>
      <c r="AL43" s="2051"/>
      <c r="AM43" s="4498"/>
      <c r="AN43" s="3081">
        <f t="shared" si="171"/>
        <v>0</v>
      </c>
      <c r="AO43" s="4428">
        <f t="shared" si="147"/>
        <v>0</v>
      </c>
      <c r="AP43" s="4499"/>
      <c r="AQ43" s="2051"/>
      <c r="AR43" s="4498"/>
      <c r="AS43" s="3081">
        <f t="shared" si="172"/>
        <v>0</v>
      </c>
      <c r="AT43" s="4428">
        <f t="shared" si="149"/>
        <v>0</v>
      </c>
      <c r="AU43" s="4499"/>
      <c r="AV43" s="2051"/>
      <c r="AW43" s="4498"/>
      <c r="AX43" s="3081">
        <f t="shared" si="173"/>
        <v>0</v>
      </c>
      <c r="AY43" s="4428" t="e">
        <f t="shared" si="151"/>
        <v>#DIV/0!</v>
      </c>
      <c r="AZ43" s="4499"/>
      <c r="BA43" s="2051"/>
      <c r="BB43" s="4498"/>
      <c r="BC43" s="3081">
        <f t="shared" si="174"/>
        <v>0</v>
      </c>
      <c r="BD43" s="4428" t="e">
        <f t="shared" si="153"/>
        <v>#DIV/0!</v>
      </c>
      <c r="BE43" s="4499"/>
      <c r="BF43" s="2051"/>
      <c r="BG43" s="4498"/>
      <c r="BH43" s="3081">
        <f t="shared" si="175"/>
        <v>0</v>
      </c>
      <c r="BI43" s="4428" t="e">
        <f t="shared" si="155"/>
        <v>#DIV/0!</v>
      </c>
      <c r="BJ43" s="4499"/>
      <c r="BK43" s="2051"/>
      <c r="BL43" s="4498"/>
      <c r="BM43" s="3081">
        <f t="shared" si="176"/>
        <v>0</v>
      </c>
      <c r="BN43" s="4428" t="e">
        <f t="shared" si="157"/>
        <v>#DIV/0!</v>
      </c>
      <c r="BO43" s="4499"/>
      <c r="BP43" s="2051"/>
      <c r="BQ43" s="4498"/>
      <c r="BR43" s="3081">
        <f t="shared" si="177"/>
        <v>0</v>
      </c>
      <c r="BS43" s="4428" t="e">
        <f t="shared" si="159"/>
        <v>#DIV/0!</v>
      </c>
      <c r="BT43" s="4499"/>
      <c r="BU43" s="2051"/>
      <c r="BV43" s="4498"/>
      <c r="BW43" s="3081">
        <f t="shared" si="178"/>
        <v>0</v>
      </c>
      <c r="BX43" s="4428" t="e">
        <f t="shared" si="161"/>
        <v>#DIV/0!</v>
      </c>
      <c r="BY43" s="4499"/>
      <c r="BZ43" s="4498">
        <f t="shared" si="179"/>
        <v>0</v>
      </c>
      <c r="CA43" s="4498">
        <f t="shared" si="179"/>
        <v>0</v>
      </c>
      <c r="CB43" s="3081">
        <f t="shared" si="180"/>
        <v>0</v>
      </c>
      <c r="CC43" s="4428">
        <f t="shared" si="162"/>
        <v>0</v>
      </c>
      <c r="CD43" s="4432"/>
      <c r="CE43" s="1980">
        <f t="shared" si="181"/>
        <v>-3000</v>
      </c>
    </row>
    <row r="44" spans="1:86" ht="24.6" customHeight="1" outlineLevel="2">
      <c r="A44" s="4833"/>
      <c r="B44" s="4528" t="s">
        <v>28</v>
      </c>
      <c r="C44" s="4513"/>
      <c r="D44" s="4552"/>
      <c r="E44" s="4509">
        <f t="shared" si="163"/>
        <v>0</v>
      </c>
      <c r="F44" s="4428">
        <f t="shared" si="137"/>
        <v>0</v>
      </c>
      <c r="G44" s="2051">
        <v>0</v>
      </c>
      <c r="H44" s="4498">
        <v>0</v>
      </c>
      <c r="I44" s="3081">
        <f t="shared" si="164"/>
        <v>0</v>
      </c>
      <c r="J44" s="4428">
        <f t="shared" si="138"/>
        <v>0</v>
      </c>
      <c r="K44" s="4499"/>
      <c r="L44" s="2051">
        <f t="shared" si="165"/>
        <v>360</v>
      </c>
      <c r="M44" s="4498">
        <f t="shared" si="165"/>
        <v>300</v>
      </c>
      <c r="N44" s="3081">
        <f t="shared" si="166"/>
        <v>660</v>
      </c>
      <c r="O44" s="4428">
        <f t="shared" si="139"/>
        <v>1.7680630894347497E-4</v>
      </c>
      <c r="P44" s="4499"/>
      <c r="Q44" s="1986"/>
      <c r="R44" s="2051">
        <v>360</v>
      </c>
      <c r="S44" s="4498">
        <v>300</v>
      </c>
      <c r="T44" s="3081">
        <f t="shared" si="167"/>
        <v>660</v>
      </c>
      <c r="U44" s="4428">
        <f t="shared" si="140"/>
        <v>1.7351699311329981E-3</v>
      </c>
      <c r="V44" s="4499" t="s">
        <v>1862</v>
      </c>
      <c r="W44" s="2051"/>
      <c r="X44" s="4498"/>
      <c r="Y44" s="3081">
        <f t="shared" si="168"/>
        <v>0</v>
      </c>
      <c r="Z44" s="4428">
        <f t="shared" si="141"/>
        <v>0</v>
      </c>
      <c r="AA44" s="4499"/>
      <c r="AB44" s="2051"/>
      <c r="AC44" s="4498"/>
      <c r="AD44" s="3081">
        <f t="shared" si="169"/>
        <v>0</v>
      </c>
      <c r="AE44" s="4428">
        <f t="shared" si="143"/>
        <v>0</v>
      </c>
      <c r="AF44" s="4499"/>
      <c r="AG44" s="2051"/>
      <c r="AH44" s="4498"/>
      <c r="AI44" s="3081">
        <f t="shared" si="170"/>
        <v>0</v>
      </c>
      <c r="AJ44" s="4428">
        <f t="shared" si="145"/>
        <v>0</v>
      </c>
      <c r="AK44" s="4499"/>
      <c r="AL44" s="2051"/>
      <c r="AM44" s="4498"/>
      <c r="AN44" s="3081">
        <f t="shared" si="171"/>
        <v>0</v>
      </c>
      <c r="AO44" s="4428">
        <f t="shared" si="147"/>
        <v>0</v>
      </c>
      <c r="AP44" s="4499"/>
      <c r="AQ44" s="2051"/>
      <c r="AR44" s="4498"/>
      <c r="AS44" s="3081">
        <f t="shared" si="172"/>
        <v>0</v>
      </c>
      <c r="AT44" s="4428">
        <f t="shared" si="149"/>
        <v>0</v>
      </c>
      <c r="AU44" s="4499"/>
      <c r="AV44" s="2051"/>
      <c r="AW44" s="4498"/>
      <c r="AX44" s="3081">
        <f t="shared" si="173"/>
        <v>0</v>
      </c>
      <c r="AY44" s="4428" t="e">
        <f t="shared" si="151"/>
        <v>#DIV/0!</v>
      </c>
      <c r="AZ44" s="4499"/>
      <c r="BA44" s="2051"/>
      <c r="BB44" s="4498"/>
      <c r="BC44" s="3081">
        <f t="shared" si="174"/>
        <v>0</v>
      </c>
      <c r="BD44" s="4428" t="e">
        <f t="shared" si="153"/>
        <v>#DIV/0!</v>
      </c>
      <c r="BE44" s="4499"/>
      <c r="BF44" s="2051"/>
      <c r="BG44" s="4498"/>
      <c r="BH44" s="3081">
        <f t="shared" si="175"/>
        <v>0</v>
      </c>
      <c r="BI44" s="4428" t="e">
        <f t="shared" si="155"/>
        <v>#DIV/0!</v>
      </c>
      <c r="BJ44" s="4499"/>
      <c r="BK44" s="2051"/>
      <c r="BL44" s="4498"/>
      <c r="BM44" s="3081">
        <f t="shared" si="176"/>
        <v>0</v>
      </c>
      <c r="BN44" s="4428" t="e">
        <f t="shared" si="157"/>
        <v>#DIV/0!</v>
      </c>
      <c r="BO44" s="4499"/>
      <c r="BP44" s="2051"/>
      <c r="BQ44" s="4498"/>
      <c r="BR44" s="3081">
        <f t="shared" si="177"/>
        <v>0</v>
      </c>
      <c r="BS44" s="4428" t="e">
        <f t="shared" si="159"/>
        <v>#DIV/0!</v>
      </c>
      <c r="BT44" s="4499"/>
      <c r="BU44" s="2051"/>
      <c r="BV44" s="4498"/>
      <c r="BW44" s="3081">
        <f t="shared" si="178"/>
        <v>0</v>
      </c>
      <c r="BX44" s="4428" t="e">
        <f t="shared" si="161"/>
        <v>#DIV/0!</v>
      </c>
      <c r="BY44" s="4499"/>
      <c r="BZ44" s="4498">
        <f t="shared" si="179"/>
        <v>360</v>
      </c>
      <c r="CA44" s="4498">
        <f t="shared" si="179"/>
        <v>300</v>
      </c>
      <c r="CB44" s="3186">
        <f t="shared" si="180"/>
        <v>660</v>
      </c>
      <c r="CC44" s="4428">
        <f t="shared" si="162"/>
        <v>9.8175044056394628E-5</v>
      </c>
      <c r="CD44" s="4432"/>
      <c r="CE44" s="1980">
        <f t="shared" si="181"/>
        <v>660</v>
      </c>
      <c r="CF44" s="4500">
        <v>660</v>
      </c>
      <c r="CG44" s="4501">
        <f t="shared" si="182"/>
        <v>0</v>
      </c>
      <c r="CH44" s="1395" t="s">
        <v>750</v>
      </c>
    </row>
    <row r="45" spans="1:86" ht="24.6" customHeight="1" outlineLevel="2">
      <c r="A45" s="4833"/>
      <c r="B45" s="4431" t="s">
        <v>8</v>
      </c>
      <c r="C45" s="4513">
        <v>3000</v>
      </c>
      <c r="D45" s="4552"/>
      <c r="E45" s="4509">
        <f t="shared" si="163"/>
        <v>3000</v>
      </c>
      <c r="F45" s="4428">
        <f t="shared" si="137"/>
        <v>3.7082552436583274E-4</v>
      </c>
      <c r="G45" s="2051">
        <v>0</v>
      </c>
      <c r="H45" s="4498">
        <v>0</v>
      </c>
      <c r="I45" s="3081">
        <f t="shared" si="164"/>
        <v>0</v>
      </c>
      <c r="J45" s="4428">
        <f t="shared" si="138"/>
        <v>0</v>
      </c>
      <c r="K45" s="4499"/>
      <c r="L45" s="2051">
        <f t="shared" si="165"/>
        <v>0</v>
      </c>
      <c r="M45" s="4498">
        <f t="shared" si="165"/>
        <v>0</v>
      </c>
      <c r="N45" s="3081">
        <f t="shared" si="166"/>
        <v>0</v>
      </c>
      <c r="O45" s="4428">
        <f t="shared" si="139"/>
        <v>0</v>
      </c>
      <c r="P45" s="4499"/>
      <c r="Q45" s="1986"/>
      <c r="R45" s="2051"/>
      <c r="S45" s="4498"/>
      <c r="T45" s="3081">
        <f t="shared" si="167"/>
        <v>0</v>
      </c>
      <c r="U45" s="4428">
        <f t="shared" si="140"/>
        <v>0</v>
      </c>
      <c r="V45" s="4499"/>
      <c r="W45" s="2051"/>
      <c r="X45" s="4498"/>
      <c r="Y45" s="3081">
        <f t="shared" si="168"/>
        <v>0</v>
      </c>
      <c r="Z45" s="4428">
        <f t="shared" si="141"/>
        <v>0</v>
      </c>
      <c r="AA45" s="4499"/>
      <c r="AB45" s="2051"/>
      <c r="AC45" s="4498"/>
      <c r="AD45" s="3081">
        <f t="shared" si="169"/>
        <v>0</v>
      </c>
      <c r="AE45" s="4428">
        <f t="shared" si="143"/>
        <v>0</v>
      </c>
      <c r="AF45" s="4499"/>
      <c r="AG45" s="2051"/>
      <c r="AH45" s="4498"/>
      <c r="AI45" s="3081">
        <f t="shared" si="170"/>
        <v>0</v>
      </c>
      <c r="AJ45" s="4428">
        <f t="shared" si="145"/>
        <v>0</v>
      </c>
      <c r="AK45" s="4499"/>
      <c r="AL45" s="2051"/>
      <c r="AM45" s="4498"/>
      <c r="AN45" s="3081">
        <f t="shared" si="171"/>
        <v>0</v>
      </c>
      <c r="AO45" s="4428">
        <f t="shared" si="147"/>
        <v>0</v>
      </c>
      <c r="AP45" s="4499"/>
      <c r="AQ45" s="2051"/>
      <c r="AR45" s="4498"/>
      <c r="AS45" s="3081">
        <f t="shared" si="172"/>
        <v>0</v>
      </c>
      <c r="AT45" s="4428">
        <f t="shared" si="149"/>
        <v>0</v>
      </c>
      <c r="AU45" s="4499"/>
      <c r="AV45" s="2051"/>
      <c r="AW45" s="4498"/>
      <c r="AX45" s="3081">
        <f t="shared" si="173"/>
        <v>0</v>
      </c>
      <c r="AY45" s="4428" t="e">
        <f t="shared" si="151"/>
        <v>#DIV/0!</v>
      </c>
      <c r="AZ45" s="4499"/>
      <c r="BA45" s="2051"/>
      <c r="BB45" s="4498"/>
      <c r="BC45" s="3081">
        <f t="shared" si="174"/>
        <v>0</v>
      </c>
      <c r="BD45" s="4428" t="e">
        <f t="shared" si="153"/>
        <v>#DIV/0!</v>
      </c>
      <c r="BE45" s="4499"/>
      <c r="BF45" s="2051"/>
      <c r="BG45" s="4498"/>
      <c r="BH45" s="3081">
        <f t="shared" si="175"/>
        <v>0</v>
      </c>
      <c r="BI45" s="4428" t="e">
        <f t="shared" si="155"/>
        <v>#DIV/0!</v>
      </c>
      <c r="BJ45" s="4499"/>
      <c r="BK45" s="2051"/>
      <c r="BL45" s="4498"/>
      <c r="BM45" s="3081">
        <f t="shared" si="176"/>
        <v>0</v>
      </c>
      <c r="BN45" s="4428" t="e">
        <f t="shared" si="157"/>
        <v>#DIV/0!</v>
      </c>
      <c r="BO45" s="4499"/>
      <c r="BP45" s="2051"/>
      <c r="BQ45" s="4498"/>
      <c r="BR45" s="3081">
        <f t="shared" si="177"/>
        <v>0</v>
      </c>
      <c r="BS45" s="4428" t="e">
        <f t="shared" si="159"/>
        <v>#DIV/0!</v>
      </c>
      <c r="BT45" s="4499"/>
      <c r="BU45" s="2051"/>
      <c r="BV45" s="4498"/>
      <c r="BW45" s="3081">
        <f t="shared" si="178"/>
        <v>0</v>
      </c>
      <c r="BX45" s="4428" t="e">
        <f t="shared" si="161"/>
        <v>#DIV/0!</v>
      </c>
      <c r="BY45" s="4499"/>
      <c r="BZ45" s="4498">
        <f t="shared" si="179"/>
        <v>0</v>
      </c>
      <c r="CA45" s="4498">
        <f t="shared" si="179"/>
        <v>0</v>
      </c>
      <c r="CB45" s="3081">
        <f t="shared" si="180"/>
        <v>0</v>
      </c>
      <c r="CC45" s="4428">
        <f t="shared" si="162"/>
        <v>0</v>
      </c>
      <c r="CD45" s="4432"/>
      <c r="CE45" s="1980">
        <f t="shared" si="181"/>
        <v>-3000</v>
      </c>
    </row>
    <row r="46" spans="1:86" ht="24.6" customHeight="1" outlineLevel="2">
      <c r="A46" s="4833"/>
      <c r="B46" s="4431" t="s">
        <v>29</v>
      </c>
      <c r="C46" s="4513"/>
      <c r="D46" s="4552"/>
      <c r="E46" s="4509">
        <f t="shared" si="163"/>
        <v>0</v>
      </c>
      <c r="F46" s="4428">
        <f t="shared" si="137"/>
        <v>0</v>
      </c>
      <c r="G46" s="2051">
        <v>0</v>
      </c>
      <c r="H46" s="4498">
        <v>0</v>
      </c>
      <c r="I46" s="3081">
        <f t="shared" si="164"/>
        <v>0</v>
      </c>
      <c r="J46" s="4428">
        <f t="shared" si="138"/>
        <v>0</v>
      </c>
      <c r="K46" s="4499"/>
      <c r="L46" s="2051">
        <f t="shared" si="165"/>
        <v>0</v>
      </c>
      <c r="M46" s="4498">
        <f t="shared" si="165"/>
        <v>0</v>
      </c>
      <c r="N46" s="3081">
        <f t="shared" si="166"/>
        <v>0</v>
      </c>
      <c r="O46" s="4428">
        <f t="shared" si="139"/>
        <v>0</v>
      </c>
      <c r="P46" s="4499"/>
      <c r="Q46" s="1986"/>
      <c r="R46" s="2051"/>
      <c r="S46" s="4498"/>
      <c r="T46" s="3081">
        <f t="shared" si="167"/>
        <v>0</v>
      </c>
      <c r="U46" s="4428">
        <f t="shared" si="140"/>
        <v>0</v>
      </c>
      <c r="V46" s="4499"/>
      <c r="W46" s="2051"/>
      <c r="X46" s="4498"/>
      <c r="Y46" s="3081">
        <f t="shared" si="168"/>
        <v>0</v>
      </c>
      <c r="Z46" s="4428">
        <f t="shared" si="141"/>
        <v>0</v>
      </c>
      <c r="AA46" s="4499"/>
      <c r="AB46" s="2051"/>
      <c r="AC46" s="4498"/>
      <c r="AD46" s="3081">
        <f t="shared" si="169"/>
        <v>0</v>
      </c>
      <c r="AE46" s="4428">
        <f t="shared" si="143"/>
        <v>0</v>
      </c>
      <c r="AF46" s="4499"/>
      <c r="AG46" s="2051"/>
      <c r="AH46" s="4498"/>
      <c r="AI46" s="3081">
        <f t="shared" si="170"/>
        <v>0</v>
      </c>
      <c r="AJ46" s="4428">
        <f t="shared" si="145"/>
        <v>0</v>
      </c>
      <c r="AK46" s="4499"/>
      <c r="AL46" s="2051"/>
      <c r="AM46" s="4498"/>
      <c r="AN46" s="3081">
        <f t="shared" si="171"/>
        <v>0</v>
      </c>
      <c r="AO46" s="4428">
        <f t="shared" si="147"/>
        <v>0</v>
      </c>
      <c r="AP46" s="4499"/>
      <c r="AQ46" s="2051"/>
      <c r="AR46" s="4498"/>
      <c r="AS46" s="3081">
        <f t="shared" si="172"/>
        <v>0</v>
      </c>
      <c r="AT46" s="4428">
        <f t="shared" si="149"/>
        <v>0</v>
      </c>
      <c r="AU46" s="4499"/>
      <c r="AV46" s="2051"/>
      <c r="AW46" s="4498"/>
      <c r="AX46" s="3081">
        <f t="shared" si="173"/>
        <v>0</v>
      </c>
      <c r="AY46" s="4428" t="e">
        <f t="shared" si="151"/>
        <v>#DIV/0!</v>
      </c>
      <c r="AZ46" s="4499"/>
      <c r="BA46" s="2051"/>
      <c r="BB46" s="4498"/>
      <c r="BC46" s="3081">
        <f t="shared" si="174"/>
        <v>0</v>
      </c>
      <c r="BD46" s="4428" t="e">
        <f t="shared" si="153"/>
        <v>#DIV/0!</v>
      </c>
      <c r="BE46" s="4499"/>
      <c r="BF46" s="2051"/>
      <c r="BG46" s="4498"/>
      <c r="BH46" s="3081">
        <f t="shared" si="175"/>
        <v>0</v>
      </c>
      <c r="BI46" s="4428" t="e">
        <f t="shared" si="155"/>
        <v>#DIV/0!</v>
      </c>
      <c r="BJ46" s="4499"/>
      <c r="BK46" s="2051"/>
      <c r="BL46" s="4498"/>
      <c r="BM46" s="3081">
        <f t="shared" si="176"/>
        <v>0</v>
      </c>
      <c r="BN46" s="4428" t="e">
        <f t="shared" si="157"/>
        <v>#DIV/0!</v>
      </c>
      <c r="BO46" s="4499"/>
      <c r="BP46" s="2051"/>
      <c r="BQ46" s="4498"/>
      <c r="BR46" s="3081">
        <f t="shared" si="177"/>
        <v>0</v>
      </c>
      <c r="BS46" s="4428" t="e">
        <f t="shared" si="159"/>
        <v>#DIV/0!</v>
      </c>
      <c r="BT46" s="4499"/>
      <c r="BU46" s="2051"/>
      <c r="BV46" s="4498"/>
      <c r="BW46" s="3081">
        <f t="shared" si="178"/>
        <v>0</v>
      </c>
      <c r="BX46" s="4428" t="e">
        <f t="shared" si="161"/>
        <v>#DIV/0!</v>
      </c>
      <c r="BY46" s="4499"/>
      <c r="BZ46" s="4498">
        <f t="shared" si="179"/>
        <v>0</v>
      </c>
      <c r="CA46" s="4498">
        <f t="shared" si="179"/>
        <v>0</v>
      </c>
      <c r="CB46" s="3081">
        <f t="shared" si="180"/>
        <v>0</v>
      </c>
      <c r="CC46" s="4428">
        <f t="shared" si="162"/>
        <v>0</v>
      </c>
      <c r="CD46" s="4432"/>
      <c r="CE46" s="1980">
        <f t="shared" si="181"/>
        <v>0</v>
      </c>
    </row>
    <row r="47" spans="1:86" ht="24.6" customHeight="1" outlineLevel="2">
      <c r="A47" s="4833"/>
      <c r="B47" s="4431" t="s">
        <v>30</v>
      </c>
      <c r="C47" s="4513">
        <v>30000</v>
      </c>
      <c r="D47" s="4552"/>
      <c r="E47" s="4509">
        <f t="shared" si="163"/>
        <v>30000</v>
      </c>
      <c r="F47" s="4428">
        <f t="shared" si="137"/>
        <v>3.7082552436583272E-3</v>
      </c>
      <c r="G47" s="2051">
        <f>17815.33+2668</f>
        <v>20483.330000000002</v>
      </c>
      <c r="H47" s="4498">
        <v>0</v>
      </c>
      <c r="I47" s="3081">
        <f t="shared" si="164"/>
        <v>20483.330000000002</v>
      </c>
      <c r="J47" s="4428">
        <f t="shared" si="138"/>
        <v>6.8510987440216246E-3</v>
      </c>
      <c r="K47" s="4499"/>
      <c r="L47" s="2051">
        <f t="shared" si="165"/>
        <v>2196.6200000000003</v>
      </c>
      <c r="M47" s="4498">
        <f t="shared" si="165"/>
        <v>172</v>
      </c>
      <c r="N47" s="3081">
        <f t="shared" si="166"/>
        <v>2368.6200000000003</v>
      </c>
      <c r="O47" s="4428">
        <f t="shared" si="139"/>
        <v>6.3452569619650565E-4</v>
      </c>
      <c r="P47" s="4499"/>
      <c r="Q47" s="1986"/>
      <c r="R47" s="2051">
        <v>470.05000000000018</v>
      </c>
      <c r="S47" s="4498"/>
      <c r="T47" s="3081">
        <f t="shared" si="167"/>
        <v>470.05000000000018</v>
      </c>
      <c r="U47" s="4428">
        <f t="shared" si="140"/>
        <v>1.2357827668622215E-3</v>
      </c>
      <c r="V47" s="4499" t="s">
        <v>486</v>
      </c>
      <c r="W47" s="2051">
        <v>956.43000000000006</v>
      </c>
      <c r="X47" s="4498"/>
      <c r="Y47" s="3081">
        <f t="shared" si="168"/>
        <v>956.43000000000006</v>
      </c>
      <c r="Z47" s="4428">
        <f t="shared" si="141"/>
        <v>8.88827890914597E-4</v>
      </c>
      <c r="AA47" s="4499" t="s">
        <v>486</v>
      </c>
      <c r="AB47" s="2051">
        <v>770.14</v>
      </c>
      <c r="AC47" s="4498"/>
      <c r="AD47" s="3081">
        <f t="shared" si="169"/>
        <v>770.14</v>
      </c>
      <c r="AE47" s="4428">
        <f t="shared" si="143"/>
        <v>4.5242243298337779E-4</v>
      </c>
      <c r="AF47" s="4499" t="s">
        <v>486</v>
      </c>
      <c r="AG47" s="2051"/>
      <c r="AH47" s="4498">
        <v>172</v>
      </c>
      <c r="AI47" s="3081">
        <f t="shared" si="170"/>
        <v>172</v>
      </c>
      <c r="AJ47" s="4428">
        <f t="shared" si="145"/>
        <v>3.7117126332553819E-4</v>
      </c>
      <c r="AK47" s="4499"/>
      <c r="AL47" s="2051"/>
      <c r="AM47" s="4498"/>
      <c r="AN47" s="3081">
        <f t="shared" si="171"/>
        <v>0</v>
      </c>
      <c r="AO47" s="4428">
        <f t="shared" si="147"/>
        <v>0</v>
      </c>
      <c r="AP47" s="4499"/>
      <c r="AQ47" s="2051"/>
      <c r="AR47" s="4498"/>
      <c r="AS47" s="3081">
        <f t="shared" si="172"/>
        <v>0</v>
      </c>
      <c r="AT47" s="4428">
        <f t="shared" si="149"/>
        <v>0</v>
      </c>
      <c r="AU47" s="4499"/>
      <c r="AV47" s="2051"/>
      <c r="AW47" s="4498"/>
      <c r="AX47" s="3081">
        <f t="shared" si="173"/>
        <v>0</v>
      </c>
      <c r="AY47" s="4428" t="e">
        <f t="shared" si="151"/>
        <v>#DIV/0!</v>
      </c>
      <c r="AZ47" s="4499"/>
      <c r="BA47" s="2051"/>
      <c r="BB47" s="4498"/>
      <c r="BC47" s="3081">
        <f t="shared" si="174"/>
        <v>0</v>
      </c>
      <c r="BD47" s="4428" t="e">
        <f t="shared" si="153"/>
        <v>#DIV/0!</v>
      </c>
      <c r="BE47" s="4499"/>
      <c r="BF47" s="2051"/>
      <c r="BG47" s="4498"/>
      <c r="BH47" s="3081">
        <f t="shared" si="175"/>
        <v>0</v>
      </c>
      <c r="BI47" s="4428" t="e">
        <f t="shared" si="155"/>
        <v>#DIV/0!</v>
      </c>
      <c r="BJ47" s="4499"/>
      <c r="BK47" s="2051"/>
      <c r="BL47" s="4498"/>
      <c r="BM47" s="3081">
        <f t="shared" si="176"/>
        <v>0</v>
      </c>
      <c r="BN47" s="4428" t="e">
        <f t="shared" si="157"/>
        <v>#DIV/0!</v>
      </c>
      <c r="BO47" s="4499"/>
      <c r="BP47" s="2051"/>
      <c r="BQ47" s="4498"/>
      <c r="BR47" s="3081">
        <f t="shared" si="177"/>
        <v>0</v>
      </c>
      <c r="BS47" s="4428" t="e">
        <f t="shared" si="159"/>
        <v>#DIV/0!</v>
      </c>
      <c r="BT47" s="4499"/>
      <c r="BU47" s="2051"/>
      <c r="BV47" s="4498"/>
      <c r="BW47" s="3081">
        <f t="shared" si="178"/>
        <v>0</v>
      </c>
      <c r="BX47" s="4428" t="e">
        <f t="shared" si="161"/>
        <v>#DIV/0!</v>
      </c>
      <c r="BY47" s="4499"/>
      <c r="BZ47" s="4498">
        <f t="shared" si="179"/>
        <v>22679.95</v>
      </c>
      <c r="CA47" s="4498">
        <f t="shared" si="179"/>
        <v>172</v>
      </c>
      <c r="CB47" s="3186">
        <f t="shared" si="180"/>
        <v>22851.95</v>
      </c>
      <c r="CC47" s="4428">
        <f t="shared" si="162"/>
        <v>3.3992290879159503E-3</v>
      </c>
      <c r="CD47" s="4432"/>
      <c r="CE47" s="1980">
        <f t="shared" si="181"/>
        <v>-7148.0499999999993</v>
      </c>
      <c r="CF47" s="4500">
        <v>22851.949999999997</v>
      </c>
      <c r="CG47" s="4501">
        <f t="shared" ref="CG47:CG48" si="183">CF47-CB47</f>
        <v>0</v>
      </c>
      <c r="CH47" s="1395" t="s">
        <v>2137</v>
      </c>
    </row>
    <row r="48" spans="1:86" ht="24.6" customHeight="1" outlineLevel="2">
      <c r="A48" s="4833"/>
      <c r="B48" s="4431" t="s">
        <v>15</v>
      </c>
      <c r="C48" s="4513">
        <v>4500</v>
      </c>
      <c r="D48" s="4552"/>
      <c r="E48" s="4509">
        <f t="shared" si="163"/>
        <v>4500</v>
      </c>
      <c r="F48" s="4428">
        <f t="shared" si="137"/>
        <v>5.5623828654874905E-4</v>
      </c>
      <c r="G48" s="2051">
        <v>66</v>
      </c>
      <c r="H48" s="4498">
        <v>0</v>
      </c>
      <c r="I48" s="3081">
        <f t="shared" si="164"/>
        <v>66</v>
      </c>
      <c r="J48" s="4428">
        <f t="shared" si="138"/>
        <v>2.2075146819654187E-5</v>
      </c>
      <c r="K48" s="4434"/>
      <c r="L48" s="2051">
        <f t="shared" si="165"/>
        <v>646.95600000000002</v>
      </c>
      <c r="M48" s="4498">
        <f t="shared" si="165"/>
        <v>0</v>
      </c>
      <c r="N48" s="3081">
        <f t="shared" si="166"/>
        <v>646.95600000000002</v>
      </c>
      <c r="O48" s="4428">
        <f t="shared" si="139"/>
        <v>1.7331197334671938E-4</v>
      </c>
      <c r="P48" s="4434"/>
      <c r="Q48" s="1986"/>
      <c r="R48" s="2051"/>
      <c r="S48" s="4498"/>
      <c r="T48" s="3081">
        <f t="shared" si="167"/>
        <v>0</v>
      </c>
      <c r="U48" s="4428">
        <f t="shared" si="140"/>
        <v>0</v>
      </c>
      <c r="V48" s="4499"/>
      <c r="W48" s="2051"/>
      <c r="X48" s="4498"/>
      <c r="Y48" s="3081">
        <f t="shared" si="168"/>
        <v>0</v>
      </c>
      <c r="Z48" s="4428">
        <f t="shared" si="141"/>
        <v>0</v>
      </c>
      <c r="AA48" s="4499"/>
      <c r="AB48" s="2051">
        <f>539.13*1.2</f>
        <v>646.95600000000002</v>
      </c>
      <c r="AC48" s="4498"/>
      <c r="AD48" s="3081">
        <f t="shared" si="169"/>
        <v>646.95600000000002</v>
      </c>
      <c r="AE48" s="4428">
        <f t="shared" si="143"/>
        <v>3.8005740197002383E-4</v>
      </c>
      <c r="AF48" s="4499"/>
      <c r="AG48" s="2051"/>
      <c r="AH48" s="4498"/>
      <c r="AI48" s="3081">
        <f t="shared" si="170"/>
        <v>0</v>
      </c>
      <c r="AJ48" s="4428">
        <f t="shared" si="145"/>
        <v>0</v>
      </c>
      <c r="AK48" s="4499"/>
      <c r="AL48" s="2051"/>
      <c r="AM48" s="4498"/>
      <c r="AN48" s="3081">
        <f t="shared" si="171"/>
        <v>0</v>
      </c>
      <c r="AO48" s="4428">
        <f t="shared" si="147"/>
        <v>0</v>
      </c>
      <c r="AP48" s="4499"/>
      <c r="AQ48" s="2051"/>
      <c r="AR48" s="4498"/>
      <c r="AS48" s="3081">
        <f t="shared" si="172"/>
        <v>0</v>
      </c>
      <c r="AT48" s="4428">
        <f t="shared" si="149"/>
        <v>0</v>
      </c>
      <c r="AU48" s="4499"/>
      <c r="AV48" s="2051"/>
      <c r="AW48" s="4498"/>
      <c r="AX48" s="3081">
        <f t="shared" si="173"/>
        <v>0</v>
      </c>
      <c r="AY48" s="4428" t="e">
        <f t="shared" si="151"/>
        <v>#DIV/0!</v>
      </c>
      <c r="AZ48" s="4499"/>
      <c r="BA48" s="2051"/>
      <c r="BB48" s="4498"/>
      <c r="BC48" s="3081">
        <f t="shared" si="174"/>
        <v>0</v>
      </c>
      <c r="BD48" s="4428" t="e">
        <f t="shared" si="153"/>
        <v>#DIV/0!</v>
      </c>
      <c r="BE48" s="4499"/>
      <c r="BF48" s="2051"/>
      <c r="BG48" s="4498"/>
      <c r="BH48" s="3081">
        <f t="shared" si="175"/>
        <v>0</v>
      </c>
      <c r="BI48" s="4428" t="e">
        <f t="shared" si="155"/>
        <v>#DIV/0!</v>
      </c>
      <c r="BJ48" s="4499"/>
      <c r="BK48" s="2051"/>
      <c r="BL48" s="4498"/>
      <c r="BM48" s="3081">
        <f t="shared" si="176"/>
        <v>0</v>
      </c>
      <c r="BN48" s="4428" t="e">
        <f t="shared" si="157"/>
        <v>#DIV/0!</v>
      </c>
      <c r="BO48" s="4499"/>
      <c r="BP48" s="2051"/>
      <c r="BQ48" s="4498"/>
      <c r="BR48" s="3081">
        <f t="shared" si="177"/>
        <v>0</v>
      </c>
      <c r="BS48" s="4428" t="e">
        <f t="shared" si="159"/>
        <v>#DIV/0!</v>
      </c>
      <c r="BT48" s="4499"/>
      <c r="BU48" s="2051"/>
      <c r="BV48" s="4498"/>
      <c r="BW48" s="3081">
        <f t="shared" si="178"/>
        <v>0</v>
      </c>
      <c r="BX48" s="4428" t="e">
        <f t="shared" si="161"/>
        <v>#DIV/0!</v>
      </c>
      <c r="BY48" s="4499"/>
      <c r="BZ48" s="4498">
        <f t="shared" si="179"/>
        <v>712.95600000000002</v>
      </c>
      <c r="CA48" s="4498">
        <f t="shared" si="179"/>
        <v>0</v>
      </c>
      <c r="CB48" s="3186">
        <f t="shared" si="180"/>
        <v>712.95600000000002</v>
      </c>
      <c r="CC48" s="4428">
        <f t="shared" si="162"/>
        <v>1.0605225259131953E-4</v>
      </c>
      <c r="CD48" s="4432"/>
      <c r="CE48" s="1980">
        <f t="shared" si="181"/>
        <v>-3787.0439999999999</v>
      </c>
      <c r="CF48" s="4553"/>
      <c r="CG48" s="4507">
        <f t="shared" si="183"/>
        <v>-712.95600000000002</v>
      </c>
      <c r="CH48" s="4194" t="s">
        <v>2040</v>
      </c>
    </row>
    <row r="49" spans="1:87" s="1396" customFormat="1" ht="24.6" customHeight="1" outlineLevel="2" thickBot="1">
      <c r="A49" s="1405"/>
      <c r="B49" s="4554"/>
      <c r="C49" s="4518"/>
      <c r="D49" s="4555"/>
      <c r="E49" s="4556"/>
      <c r="F49" s="4557"/>
      <c r="G49" s="2051"/>
      <c r="H49" s="4498"/>
      <c r="I49" s="4447"/>
      <c r="J49" s="4428"/>
      <c r="K49" s="4455"/>
      <c r="L49" s="2051"/>
      <c r="M49" s="4498"/>
      <c r="N49" s="4447"/>
      <c r="O49" s="4428"/>
      <c r="P49" s="4455"/>
      <c r="Q49" s="1719"/>
      <c r="R49" s="2051"/>
      <c r="S49" s="4498"/>
      <c r="T49" s="4447"/>
      <c r="U49" s="4428"/>
      <c r="V49" s="4455"/>
      <c r="W49" s="2051"/>
      <c r="X49" s="4498"/>
      <c r="Y49" s="4447"/>
      <c r="Z49" s="4428"/>
      <c r="AA49" s="4455"/>
      <c r="AB49" s="2051"/>
      <c r="AC49" s="4498"/>
      <c r="AD49" s="4447"/>
      <c r="AE49" s="4428"/>
      <c r="AF49" s="4455"/>
      <c r="AG49" s="2051"/>
      <c r="AH49" s="4498"/>
      <c r="AI49" s="4447"/>
      <c r="AJ49" s="4428"/>
      <c r="AK49" s="4455"/>
      <c r="AL49" s="2051"/>
      <c r="AM49" s="4498"/>
      <c r="AN49" s="4447"/>
      <c r="AO49" s="4428"/>
      <c r="AP49" s="4455"/>
      <c r="AQ49" s="2051"/>
      <c r="AR49" s="4498"/>
      <c r="AS49" s="4447"/>
      <c r="AT49" s="4428"/>
      <c r="AU49" s="4455"/>
      <c r="AV49" s="2051"/>
      <c r="AW49" s="4498"/>
      <c r="AX49" s="4447"/>
      <c r="AY49" s="4428"/>
      <c r="AZ49" s="4455"/>
      <c r="BA49" s="2051"/>
      <c r="BB49" s="4498"/>
      <c r="BC49" s="4447"/>
      <c r="BD49" s="4428"/>
      <c r="BE49" s="4455"/>
      <c r="BF49" s="2051"/>
      <c r="BG49" s="4498"/>
      <c r="BH49" s="4447"/>
      <c r="BI49" s="4428"/>
      <c r="BJ49" s="4455"/>
      <c r="BK49" s="2051"/>
      <c r="BL49" s="4498"/>
      <c r="BM49" s="4447"/>
      <c r="BN49" s="4428"/>
      <c r="BO49" s="4455"/>
      <c r="BP49" s="2051"/>
      <c r="BQ49" s="4498"/>
      <c r="BR49" s="4447"/>
      <c r="BS49" s="4428"/>
      <c r="BT49" s="4455"/>
      <c r="BU49" s="2051"/>
      <c r="BV49" s="4498"/>
      <c r="BW49" s="4447"/>
      <c r="BX49" s="4428"/>
      <c r="BY49" s="4455"/>
      <c r="BZ49" s="4498"/>
      <c r="CA49" s="4498"/>
      <c r="CB49" s="4447"/>
      <c r="CC49" s="4428">
        <f t="shared" si="162"/>
        <v>0</v>
      </c>
      <c r="CD49" s="4447"/>
      <c r="CE49" s="4536"/>
      <c r="CH49" s="4194"/>
    </row>
    <row r="50" spans="1:87" s="1396" customFormat="1" ht="24.6" customHeight="1" outlineLevel="1">
      <c r="A50" s="1565"/>
      <c r="B50" s="983" t="s">
        <v>59</v>
      </c>
      <c r="C50" s="2015">
        <f>SUM(C51:C52)</f>
        <v>0</v>
      </c>
      <c r="D50" s="2015">
        <f>SUM(D51:D52)</f>
        <v>0</v>
      </c>
      <c r="E50" s="2015">
        <f>SUM(E51:E52)</f>
        <v>0</v>
      </c>
      <c r="F50" s="1534">
        <f>E50/$E$89</f>
        <v>0</v>
      </c>
      <c r="G50" s="2015">
        <f>G52+G51</f>
        <v>10443.76</v>
      </c>
      <c r="H50" s="2015">
        <f>H52+H51</f>
        <v>0</v>
      </c>
      <c r="I50" s="2015">
        <f>SUM(I51:I52)</f>
        <v>10443.76</v>
      </c>
      <c r="J50" s="2006">
        <f t="shared" ref="J50:J52" si="184">I50/I$89</f>
        <v>3.4931444749883578E-3</v>
      </c>
      <c r="K50" s="1984"/>
      <c r="L50" s="2015">
        <f>L52+L51</f>
        <v>0</v>
      </c>
      <c r="M50" s="2015">
        <f>M52+M51</f>
        <v>0</v>
      </c>
      <c r="N50" s="2015">
        <f>SUM(N51:N52)</f>
        <v>0</v>
      </c>
      <c r="O50" s="2006">
        <f t="shared" ref="O50:O52" si="185">N50/N$89</f>
        <v>0</v>
      </c>
      <c r="P50" s="1984"/>
      <c r="Q50" s="2099"/>
      <c r="R50" s="2015">
        <f>R52+R51</f>
        <v>0</v>
      </c>
      <c r="S50" s="2015">
        <f>S52+S51</f>
        <v>0</v>
      </c>
      <c r="T50" s="2015">
        <f>SUM(T51:T52)</f>
        <v>0</v>
      </c>
      <c r="U50" s="2006">
        <f t="shared" ref="U50:U52" si="186">T50/T$89</f>
        <v>0</v>
      </c>
      <c r="V50" s="1984"/>
      <c r="W50" s="2015">
        <f>W52+W51</f>
        <v>0</v>
      </c>
      <c r="X50" s="2015">
        <f>X52+X51</f>
        <v>0</v>
      </c>
      <c r="Y50" s="2015">
        <f>SUM(Y51:Y52)</f>
        <v>0</v>
      </c>
      <c r="Z50" s="2006">
        <f t="shared" ref="Z50:Z52" si="187">Y50/Y$89</f>
        <v>0</v>
      </c>
      <c r="AA50" s="1984"/>
      <c r="AB50" s="2015">
        <f t="shared" ref="AB50:AC50" si="188">AB52+AB51</f>
        <v>0</v>
      </c>
      <c r="AC50" s="2015">
        <f t="shared" si="188"/>
        <v>0</v>
      </c>
      <c r="AD50" s="2015">
        <f t="shared" ref="AD50" si="189">SUM(AD51:AD52)</f>
        <v>0</v>
      </c>
      <c r="AE50" s="2006">
        <f t="shared" ref="AE50:AE52" si="190">AD50/AD$89</f>
        <v>0</v>
      </c>
      <c r="AF50" s="1984"/>
      <c r="AG50" s="2015">
        <f t="shared" ref="AG50:AH50" si="191">AG52+AG51</f>
        <v>0</v>
      </c>
      <c r="AH50" s="2015">
        <f t="shared" si="191"/>
        <v>0</v>
      </c>
      <c r="AI50" s="2015">
        <f t="shared" ref="AI50" si="192">SUM(AI51:AI52)</f>
        <v>0</v>
      </c>
      <c r="AJ50" s="2006">
        <f t="shared" ref="AJ50:AJ52" si="193">AI50/AI$89</f>
        <v>0</v>
      </c>
      <c r="AK50" s="1984"/>
      <c r="AL50" s="2015">
        <f t="shared" ref="AL50:AM50" si="194">AL52+AL51</f>
        <v>0</v>
      </c>
      <c r="AM50" s="2015">
        <f t="shared" si="194"/>
        <v>0</v>
      </c>
      <c r="AN50" s="2015">
        <f t="shared" ref="AN50" si="195">SUM(AN51:AN52)</f>
        <v>0</v>
      </c>
      <c r="AO50" s="2006">
        <f t="shared" ref="AO50:AO52" si="196">AN50/AN$89</f>
        <v>0</v>
      </c>
      <c r="AP50" s="1984"/>
      <c r="AQ50" s="2015">
        <f t="shared" ref="AQ50:AR50" si="197">AQ52+AQ51</f>
        <v>0</v>
      </c>
      <c r="AR50" s="2015">
        <f t="shared" si="197"/>
        <v>0</v>
      </c>
      <c r="AS50" s="2015">
        <f t="shared" ref="AS50" si="198">SUM(AS51:AS52)</f>
        <v>0</v>
      </c>
      <c r="AT50" s="2006">
        <f t="shared" ref="AT50:AT52" si="199">AS50/AS$89</f>
        <v>0</v>
      </c>
      <c r="AU50" s="1984"/>
      <c r="AV50" s="2015">
        <f t="shared" ref="AV50:AW50" si="200">AV52+AV51</f>
        <v>0</v>
      </c>
      <c r="AW50" s="2015">
        <f t="shared" si="200"/>
        <v>0</v>
      </c>
      <c r="AX50" s="2015">
        <f t="shared" ref="AX50" si="201">SUM(AX51:AX52)</f>
        <v>0</v>
      </c>
      <c r="AY50" s="2006" t="e">
        <f t="shared" ref="AY50:AY52" si="202">AX50/AX$89</f>
        <v>#DIV/0!</v>
      </c>
      <c r="AZ50" s="1984"/>
      <c r="BA50" s="2015">
        <f t="shared" ref="BA50:BB50" si="203">BA52+BA51</f>
        <v>0</v>
      </c>
      <c r="BB50" s="2015">
        <f t="shared" si="203"/>
        <v>0</v>
      </c>
      <c r="BC50" s="2015">
        <f t="shared" ref="BC50" si="204">SUM(BC51:BC52)</f>
        <v>0</v>
      </c>
      <c r="BD50" s="2006" t="e">
        <f t="shared" ref="BD50:BD52" si="205">BC50/BC$89</f>
        <v>#DIV/0!</v>
      </c>
      <c r="BE50" s="1984"/>
      <c r="BF50" s="2015">
        <f t="shared" ref="BF50:BG50" si="206">BF52+BF51</f>
        <v>0</v>
      </c>
      <c r="BG50" s="2015">
        <f t="shared" si="206"/>
        <v>0</v>
      </c>
      <c r="BH50" s="2015">
        <f t="shared" ref="BH50" si="207">SUM(BH51:BH52)</f>
        <v>0</v>
      </c>
      <c r="BI50" s="2006" t="e">
        <f t="shared" ref="BI50:BI52" si="208">BH50/BH$89</f>
        <v>#DIV/0!</v>
      </c>
      <c r="BJ50" s="1984"/>
      <c r="BK50" s="2015">
        <f t="shared" ref="BK50:BL50" si="209">BK52+BK51</f>
        <v>0</v>
      </c>
      <c r="BL50" s="2015">
        <f t="shared" si="209"/>
        <v>0</v>
      </c>
      <c r="BM50" s="2015">
        <f t="shared" ref="BM50" si="210">SUM(BM51:BM52)</f>
        <v>0</v>
      </c>
      <c r="BN50" s="2006" t="e">
        <f t="shared" ref="BN50:BN52" si="211">BM50/BM$89</f>
        <v>#DIV/0!</v>
      </c>
      <c r="BO50" s="1984"/>
      <c r="BP50" s="2015">
        <f t="shared" ref="BP50:BQ50" si="212">BP52+BP51</f>
        <v>0</v>
      </c>
      <c r="BQ50" s="2015">
        <f t="shared" si="212"/>
        <v>0</v>
      </c>
      <c r="BR50" s="2015">
        <f t="shared" ref="BR50" si="213">SUM(BR51:BR52)</f>
        <v>0</v>
      </c>
      <c r="BS50" s="2006" t="e">
        <f t="shared" ref="BS50:BS52" si="214">BR50/BR$89</f>
        <v>#DIV/0!</v>
      </c>
      <c r="BT50" s="1984"/>
      <c r="BU50" s="2015">
        <f t="shared" ref="BU50:BV50" si="215">BU52+BU51</f>
        <v>0</v>
      </c>
      <c r="BV50" s="2015">
        <f t="shared" si="215"/>
        <v>0</v>
      </c>
      <c r="BW50" s="2015">
        <f t="shared" ref="BW50" si="216">SUM(BW51:BW52)</f>
        <v>0</v>
      </c>
      <c r="BX50" s="2006" t="e">
        <f t="shared" ref="BX50:BX52" si="217">BW50/BW$89</f>
        <v>#DIV/0!</v>
      </c>
      <c r="BY50" s="1984"/>
      <c r="BZ50" s="2015">
        <f>BZ52+BZ51</f>
        <v>10443.76</v>
      </c>
      <c r="CA50" s="2015">
        <f>CA52+CA51</f>
        <v>0</v>
      </c>
      <c r="CB50" s="2015">
        <f>SUM(CB51:CB52)</f>
        <v>10443.76</v>
      </c>
      <c r="CC50" s="2006"/>
      <c r="CD50" s="2006"/>
      <c r="CE50" s="4551"/>
    </row>
    <row r="51" spans="1:87" s="1564" customFormat="1" ht="24.6" customHeight="1" outlineLevel="1">
      <c r="A51" s="1568"/>
      <c r="B51" s="4431" t="s">
        <v>60</v>
      </c>
      <c r="C51" s="4513"/>
      <c r="D51" s="4552"/>
      <c r="E51" s="4509">
        <f>C51+D51</f>
        <v>0</v>
      </c>
      <c r="F51" s="4531">
        <f>E51/$E$89</f>
        <v>0</v>
      </c>
      <c r="G51" s="2051">
        <v>0</v>
      </c>
      <c r="H51" s="4498">
        <v>0</v>
      </c>
      <c r="I51" s="3081">
        <f>G51+H51*1</f>
        <v>0</v>
      </c>
      <c r="J51" s="4428">
        <f t="shared" si="184"/>
        <v>0</v>
      </c>
      <c r="K51" s="4558"/>
      <c r="L51" s="2051">
        <f t="shared" ref="L51:M52" si="218">R51+W51+AB51+AG51+AL51+AQ51+AV51+BA51+BF51+BK51+BP51+BU51</f>
        <v>0</v>
      </c>
      <c r="M51" s="4498">
        <f t="shared" si="218"/>
        <v>0</v>
      </c>
      <c r="N51" s="3081">
        <f>L51+M51*1</f>
        <v>0</v>
      </c>
      <c r="O51" s="4428">
        <f t="shared" si="185"/>
        <v>0</v>
      </c>
      <c r="P51" s="4558"/>
      <c r="Q51" s="1721"/>
      <c r="R51" s="2051"/>
      <c r="S51" s="4498"/>
      <c r="T51" s="3081">
        <f>R51+S51*1</f>
        <v>0</v>
      </c>
      <c r="U51" s="4428">
        <f t="shared" si="186"/>
        <v>0</v>
      </c>
      <c r="V51" s="4558"/>
      <c r="W51" s="2051"/>
      <c r="X51" s="4498"/>
      <c r="Y51" s="3081">
        <f>W51+X51*1</f>
        <v>0</v>
      </c>
      <c r="Z51" s="4428">
        <f t="shared" si="187"/>
        <v>0</v>
      </c>
      <c r="AA51" s="4558"/>
      <c r="AB51" s="2051"/>
      <c r="AC51" s="4498"/>
      <c r="AD51" s="3081">
        <f t="shared" ref="AD51:AD52" si="219">AB51+AC51*1</f>
        <v>0</v>
      </c>
      <c r="AE51" s="4428">
        <f t="shared" si="190"/>
        <v>0</v>
      </c>
      <c r="AF51" s="4558"/>
      <c r="AG51" s="2051"/>
      <c r="AH51" s="4498"/>
      <c r="AI51" s="3081">
        <f t="shared" ref="AI51:AI52" si="220">AG51+AH51*1</f>
        <v>0</v>
      </c>
      <c r="AJ51" s="4428">
        <f t="shared" si="193"/>
        <v>0</v>
      </c>
      <c r="AK51" s="4558"/>
      <c r="AL51" s="2051"/>
      <c r="AM51" s="4498"/>
      <c r="AN51" s="3081">
        <f t="shared" ref="AN51:AN52" si="221">AL51+AM51*1</f>
        <v>0</v>
      </c>
      <c r="AO51" s="4428">
        <f t="shared" si="196"/>
        <v>0</v>
      </c>
      <c r="AP51" s="4558"/>
      <c r="AQ51" s="2051"/>
      <c r="AR51" s="4498"/>
      <c r="AS51" s="3081">
        <f t="shared" ref="AS51:AS52" si="222">AQ51+AR51*1</f>
        <v>0</v>
      </c>
      <c r="AT51" s="4428">
        <f t="shared" si="199"/>
        <v>0</v>
      </c>
      <c r="AU51" s="4558"/>
      <c r="AV51" s="2051"/>
      <c r="AW51" s="4498"/>
      <c r="AX51" s="3081">
        <f t="shared" ref="AX51:AX52" si="223">AV51+AW51*1</f>
        <v>0</v>
      </c>
      <c r="AY51" s="4428" t="e">
        <f t="shared" si="202"/>
        <v>#DIV/0!</v>
      </c>
      <c r="AZ51" s="4558"/>
      <c r="BA51" s="2051"/>
      <c r="BB51" s="4498"/>
      <c r="BC51" s="3081">
        <f t="shared" ref="BC51:BC52" si="224">BA51+BB51*1</f>
        <v>0</v>
      </c>
      <c r="BD51" s="4428" t="e">
        <f t="shared" si="205"/>
        <v>#DIV/0!</v>
      </c>
      <c r="BE51" s="4558"/>
      <c r="BF51" s="2051"/>
      <c r="BG51" s="4498"/>
      <c r="BH51" s="3081">
        <f t="shared" ref="BH51:BH52" si="225">BF51+BG51*1</f>
        <v>0</v>
      </c>
      <c r="BI51" s="4428" t="e">
        <f t="shared" si="208"/>
        <v>#DIV/0!</v>
      </c>
      <c r="BJ51" s="4558"/>
      <c r="BK51" s="2051"/>
      <c r="BL51" s="4498"/>
      <c r="BM51" s="3081">
        <f t="shared" ref="BM51:BM52" si="226">BK51+BL51*1</f>
        <v>0</v>
      </c>
      <c r="BN51" s="4428" t="e">
        <f t="shared" si="211"/>
        <v>#DIV/0!</v>
      </c>
      <c r="BO51" s="4558"/>
      <c r="BP51" s="2051"/>
      <c r="BQ51" s="4498"/>
      <c r="BR51" s="3081">
        <f t="shared" ref="BR51:BR52" si="227">BP51+BQ51*1</f>
        <v>0</v>
      </c>
      <c r="BS51" s="4428" t="e">
        <f t="shared" si="214"/>
        <v>#DIV/0!</v>
      </c>
      <c r="BT51" s="4558"/>
      <c r="BU51" s="2051"/>
      <c r="BV51" s="4498"/>
      <c r="BW51" s="3081">
        <f t="shared" ref="BW51:BW52" si="228">BU51+BV51*1</f>
        <v>0</v>
      </c>
      <c r="BX51" s="4428" t="e">
        <f t="shared" si="217"/>
        <v>#DIV/0!</v>
      </c>
      <c r="BY51" s="4558"/>
      <c r="BZ51" s="4498">
        <f t="shared" ref="BZ51:CA52" si="229">G51+L51</f>
        <v>0</v>
      </c>
      <c r="CA51" s="4498">
        <f t="shared" si="229"/>
        <v>0</v>
      </c>
      <c r="CB51" s="3081">
        <f>BZ51+CA51*1</f>
        <v>0</v>
      </c>
      <c r="CC51" s="4428">
        <f>CB51/$CB$89</f>
        <v>0</v>
      </c>
      <c r="CD51" s="4445"/>
      <c r="CE51" s="1980">
        <f t="shared" ref="CE51:CE52" si="230">CB51-E51</f>
        <v>0</v>
      </c>
    </row>
    <row r="52" spans="1:87" s="1569" customFormat="1" ht="24.6" customHeight="1" outlineLevel="2">
      <c r="A52" s="1568"/>
      <c r="B52" s="4431" t="s">
        <v>61</v>
      </c>
      <c r="C52" s="4513"/>
      <c r="D52" s="4552"/>
      <c r="E52" s="4509">
        <f>C52+D52</f>
        <v>0</v>
      </c>
      <c r="F52" s="4531">
        <f>E52/$E$89</f>
        <v>0</v>
      </c>
      <c r="G52" s="2051">
        <v>10443.76</v>
      </c>
      <c r="H52" s="4498">
        <v>0</v>
      </c>
      <c r="I52" s="3081">
        <f>G52+H52*1</f>
        <v>10443.76</v>
      </c>
      <c r="J52" s="4428">
        <f t="shared" si="184"/>
        <v>3.4931444749883578E-3</v>
      </c>
      <c r="K52" s="4499"/>
      <c r="L52" s="2051">
        <f t="shared" si="218"/>
        <v>0</v>
      </c>
      <c r="M52" s="4498">
        <f t="shared" si="218"/>
        <v>0</v>
      </c>
      <c r="N52" s="3081">
        <f>L52+M52*1</f>
        <v>0</v>
      </c>
      <c r="O52" s="4428">
        <f t="shared" si="185"/>
        <v>0</v>
      </c>
      <c r="P52" s="4499"/>
      <c r="Q52" s="1721"/>
      <c r="R52" s="2051"/>
      <c r="S52" s="4498"/>
      <c r="T52" s="3081">
        <f>R52+S52*1</f>
        <v>0</v>
      </c>
      <c r="U52" s="4428">
        <f t="shared" si="186"/>
        <v>0</v>
      </c>
      <c r="V52" s="4499"/>
      <c r="W52" s="2051"/>
      <c r="X52" s="4498"/>
      <c r="Y52" s="3081">
        <f>W52+X52*1</f>
        <v>0</v>
      </c>
      <c r="Z52" s="4428">
        <f t="shared" si="187"/>
        <v>0</v>
      </c>
      <c r="AA52" s="4499"/>
      <c r="AB52" s="2051"/>
      <c r="AC52" s="4498"/>
      <c r="AD52" s="3081">
        <f t="shared" si="219"/>
        <v>0</v>
      </c>
      <c r="AE52" s="4428">
        <f t="shared" si="190"/>
        <v>0</v>
      </c>
      <c r="AF52" s="4499"/>
      <c r="AG52" s="2051"/>
      <c r="AH52" s="4498"/>
      <c r="AI52" s="3081">
        <f t="shared" si="220"/>
        <v>0</v>
      </c>
      <c r="AJ52" s="4428">
        <f t="shared" si="193"/>
        <v>0</v>
      </c>
      <c r="AK52" s="4499"/>
      <c r="AL52" s="2051"/>
      <c r="AM52" s="4498"/>
      <c r="AN52" s="3081">
        <f t="shared" si="221"/>
        <v>0</v>
      </c>
      <c r="AO52" s="4428">
        <f t="shared" si="196"/>
        <v>0</v>
      </c>
      <c r="AP52" s="4499"/>
      <c r="AQ52" s="2051"/>
      <c r="AR52" s="4498"/>
      <c r="AS52" s="3081">
        <f t="shared" si="222"/>
        <v>0</v>
      </c>
      <c r="AT52" s="4428">
        <f t="shared" si="199"/>
        <v>0</v>
      </c>
      <c r="AU52" s="4499"/>
      <c r="AV52" s="2051"/>
      <c r="AW52" s="4498"/>
      <c r="AX52" s="3081">
        <f t="shared" si="223"/>
        <v>0</v>
      </c>
      <c r="AY52" s="4428" t="e">
        <f t="shared" si="202"/>
        <v>#DIV/0!</v>
      </c>
      <c r="AZ52" s="4499"/>
      <c r="BA52" s="2051"/>
      <c r="BB52" s="4498"/>
      <c r="BC52" s="3081">
        <f t="shared" si="224"/>
        <v>0</v>
      </c>
      <c r="BD52" s="4428" t="e">
        <f t="shared" si="205"/>
        <v>#DIV/0!</v>
      </c>
      <c r="BE52" s="4499"/>
      <c r="BF52" s="2051"/>
      <c r="BG52" s="4498"/>
      <c r="BH52" s="3081">
        <f t="shared" si="225"/>
        <v>0</v>
      </c>
      <c r="BI52" s="4428" t="e">
        <f t="shared" si="208"/>
        <v>#DIV/0!</v>
      </c>
      <c r="BJ52" s="4499"/>
      <c r="BK52" s="2051"/>
      <c r="BL52" s="4498"/>
      <c r="BM52" s="3081">
        <f t="shared" si="226"/>
        <v>0</v>
      </c>
      <c r="BN52" s="4428" t="e">
        <f t="shared" si="211"/>
        <v>#DIV/0!</v>
      </c>
      <c r="BO52" s="4499"/>
      <c r="BP52" s="2051"/>
      <c r="BQ52" s="4498"/>
      <c r="BR52" s="3081">
        <f t="shared" si="227"/>
        <v>0</v>
      </c>
      <c r="BS52" s="4428" t="e">
        <f t="shared" si="214"/>
        <v>#DIV/0!</v>
      </c>
      <c r="BT52" s="4499"/>
      <c r="BU52" s="2051"/>
      <c r="BV52" s="4498"/>
      <c r="BW52" s="3081">
        <f t="shared" si="228"/>
        <v>0</v>
      </c>
      <c r="BX52" s="4428" t="e">
        <f t="shared" si="217"/>
        <v>#DIV/0!</v>
      </c>
      <c r="BY52" s="4499"/>
      <c r="BZ52" s="4498">
        <f t="shared" si="229"/>
        <v>10443.76</v>
      </c>
      <c r="CA52" s="4498">
        <f t="shared" si="229"/>
        <v>0</v>
      </c>
      <c r="CB52" s="3186">
        <f>BZ52+CA52*1</f>
        <v>10443.76</v>
      </c>
      <c r="CC52" s="4428">
        <f>CB52/$CB$89</f>
        <v>1.5535099971430485E-3</v>
      </c>
      <c r="CD52" s="4445"/>
      <c r="CE52" s="1980">
        <f t="shared" si="230"/>
        <v>10443.76</v>
      </c>
      <c r="CF52" s="4500">
        <v>10443.76</v>
      </c>
      <c r="CG52" s="4501">
        <f t="shared" ref="CG52" si="231">CF52-CB52</f>
        <v>0</v>
      </c>
      <c r="CH52" s="1569" t="s">
        <v>2138</v>
      </c>
    </row>
    <row r="53" spans="1:87" ht="24.6" customHeight="1" outlineLevel="1" thickBot="1">
      <c r="A53" s="1413"/>
      <c r="B53" s="4435"/>
      <c r="C53" s="4559"/>
      <c r="D53" s="4560"/>
      <c r="E53" s="4561"/>
      <c r="F53" s="4562"/>
      <c r="G53" s="2051"/>
      <c r="H53" s="4498"/>
      <c r="I53" s="4451"/>
      <c r="J53" s="4451"/>
      <c r="K53" s="4452"/>
      <c r="L53" s="2051"/>
      <c r="M53" s="4498"/>
      <c r="N53" s="4451"/>
      <c r="O53" s="4451"/>
      <c r="P53" s="4452"/>
      <c r="Q53" s="1722"/>
      <c r="R53" s="2051"/>
      <c r="S53" s="4498"/>
      <c r="T53" s="4451"/>
      <c r="U53" s="4451"/>
      <c r="V53" s="4452"/>
      <c r="W53" s="2051"/>
      <c r="X53" s="4498"/>
      <c r="Y53" s="4451"/>
      <c r="Z53" s="4451"/>
      <c r="AA53" s="4452"/>
      <c r="AB53" s="2051"/>
      <c r="AC53" s="4498"/>
      <c r="AD53" s="4451"/>
      <c r="AE53" s="4451"/>
      <c r="AF53" s="4452"/>
      <c r="AG53" s="2051"/>
      <c r="AH53" s="4498"/>
      <c r="AI53" s="4451"/>
      <c r="AJ53" s="4451"/>
      <c r="AK53" s="4452"/>
      <c r="AL53" s="2051"/>
      <c r="AM53" s="4498"/>
      <c r="AN53" s="4451"/>
      <c r="AO53" s="4451"/>
      <c r="AP53" s="4452"/>
      <c r="AQ53" s="2051"/>
      <c r="AR53" s="4498"/>
      <c r="AS53" s="4451"/>
      <c r="AT53" s="4451"/>
      <c r="AU53" s="4452"/>
      <c r="AV53" s="2051"/>
      <c r="AW53" s="4498"/>
      <c r="AX53" s="4451"/>
      <c r="AY53" s="4451"/>
      <c r="AZ53" s="4452"/>
      <c r="BA53" s="2051"/>
      <c r="BB53" s="4498"/>
      <c r="BC53" s="4451"/>
      <c r="BD53" s="4451"/>
      <c r="BE53" s="4452"/>
      <c r="BF53" s="2051"/>
      <c r="BG53" s="4498"/>
      <c r="BH53" s="4451"/>
      <c r="BI53" s="4451"/>
      <c r="BJ53" s="4452"/>
      <c r="BK53" s="2051"/>
      <c r="BL53" s="4498"/>
      <c r="BM53" s="4451"/>
      <c r="BN53" s="4451"/>
      <c r="BO53" s="4452"/>
      <c r="BP53" s="2051"/>
      <c r="BQ53" s="4498"/>
      <c r="BR53" s="4451"/>
      <c r="BS53" s="4451"/>
      <c r="BT53" s="4452"/>
      <c r="BU53" s="2051"/>
      <c r="BV53" s="4498"/>
      <c r="BW53" s="4451"/>
      <c r="BX53" s="4451"/>
      <c r="BY53" s="4452"/>
      <c r="BZ53" s="4498"/>
      <c r="CA53" s="4498"/>
      <c r="CB53" s="4451"/>
      <c r="CC53" s="4451"/>
      <c r="CD53" s="4451"/>
      <c r="CE53" s="769"/>
    </row>
    <row r="54" spans="1:87" ht="24.6" customHeight="1" outlineLevel="1">
      <c r="A54" s="1570"/>
      <c r="B54" s="983" t="s">
        <v>1</v>
      </c>
      <c r="C54" s="2015">
        <f>SUM(C55:C71)</f>
        <v>76240</v>
      </c>
      <c r="D54" s="2015">
        <f>SUM(D55:D71)</f>
        <v>133402</v>
      </c>
      <c r="E54" s="1975">
        <f>SUM(E55:E71)</f>
        <v>209642</v>
      </c>
      <c r="F54" s="1534">
        <f>E54/$E$89</f>
        <v>2.5913534859700636E-2</v>
      </c>
      <c r="G54" s="2015">
        <f>SUM(G55:G72)</f>
        <v>28749.39</v>
      </c>
      <c r="H54" s="2015">
        <f>SUM(H55:H72)</f>
        <v>54471.06</v>
      </c>
      <c r="I54" s="2015">
        <f>SUM(I55:I72)</f>
        <v>83220.450000000012</v>
      </c>
      <c r="J54" s="2099">
        <f t="shared" ref="J54:J71" si="232">I54/I$89</f>
        <v>2.7834903820419553E-2</v>
      </c>
      <c r="K54" s="1984"/>
      <c r="L54" s="2015">
        <f>SUM(L55:L72)</f>
        <v>56822.780000000006</v>
      </c>
      <c r="M54" s="2015">
        <f>SUM(M55:M72)</f>
        <v>186628.13</v>
      </c>
      <c r="N54" s="2015">
        <f>SUM(N55:N72)</f>
        <v>243450.90999999997</v>
      </c>
      <c r="O54" s="2099">
        <f t="shared" ref="O54:O71" si="233">N54/N$89</f>
        <v>6.5217661827318349E-2</v>
      </c>
      <c r="P54" s="1984"/>
      <c r="Q54" s="2099"/>
      <c r="R54" s="2015">
        <f>SUM(R55:R72)</f>
        <v>18510.030000000002</v>
      </c>
      <c r="S54" s="2015">
        <f>SUM(S55:S72)</f>
        <v>38380.800000000003</v>
      </c>
      <c r="T54" s="2015">
        <f>SUM(T55:T72)</f>
        <v>56890.829999999994</v>
      </c>
      <c r="U54" s="4449">
        <f t="shared" ref="U54:U71" si="234">T54/T$89</f>
        <v>0.1495685720806047</v>
      </c>
      <c r="V54" s="1984"/>
      <c r="W54" s="2015">
        <f>SUM(W55:W72)</f>
        <v>18732.75</v>
      </c>
      <c r="X54" s="2015">
        <f>SUM(X55:X72)</f>
        <v>36390</v>
      </c>
      <c r="Y54" s="2015">
        <f>SUM(Y55:Y72)</f>
        <v>55122.75</v>
      </c>
      <c r="Z54" s="4449">
        <f t="shared" ref="Z54:Z71" si="235">Y54/Y$89</f>
        <v>5.122657970150727E-2</v>
      </c>
      <c r="AA54" s="1984"/>
      <c r="AB54" s="2015">
        <f t="shared" ref="AB54:AD54" si="236">SUM(AB55:AB72)</f>
        <v>19580</v>
      </c>
      <c r="AC54" s="2015">
        <f t="shared" si="236"/>
        <v>36591</v>
      </c>
      <c r="AD54" s="2015">
        <f t="shared" si="236"/>
        <v>56171</v>
      </c>
      <c r="AE54" s="4449">
        <f t="shared" ref="AE54:AE71" si="237">AD54/AD$89</f>
        <v>3.2997923082958049E-2</v>
      </c>
      <c r="AF54" s="1984"/>
      <c r="AG54" s="2015">
        <f t="shared" ref="AG54:AI54" si="238">SUM(AG55:AG72)</f>
        <v>0</v>
      </c>
      <c r="AH54" s="2015">
        <f t="shared" si="238"/>
        <v>0</v>
      </c>
      <c r="AI54" s="2015">
        <f t="shared" si="238"/>
        <v>0</v>
      </c>
      <c r="AJ54" s="4449">
        <f t="shared" ref="AJ54:AJ71" si="239">AI54/AI$89</f>
        <v>0</v>
      </c>
      <c r="AK54" s="1984"/>
      <c r="AL54" s="2015">
        <f t="shared" ref="AL54:AN54" si="240">SUM(AL55:AL72)</f>
        <v>0</v>
      </c>
      <c r="AM54" s="2015">
        <f t="shared" si="240"/>
        <v>30000</v>
      </c>
      <c r="AN54" s="2015">
        <f t="shared" si="240"/>
        <v>30000</v>
      </c>
      <c r="AO54" s="4449">
        <f t="shared" ref="AO54:AO71" si="241">AN54/AN$89</f>
        <v>0.46153846153846156</v>
      </c>
      <c r="AP54" s="1984"/>
      <c r="AQ54" s="2015">
        <f t="shared" ref="AQ54:AS54" si="242">SUM(AQ55:AQ72)</f>
        <v>0</v>
      </c>
      <c r="AR54" s="2015">
        <f t="shared" si="242"/>
        <v>45266.33</v>
      </c>
      <c r="AS54" s="2015">
        <f t="shared" si="242"/>
        <v>45266.33</v>
      </c>
      <c r="AT54" s="4449">
        <f t="shared" ref="AT54:AT71" si="243">AS54/AS$89</f>
        <v>1</v>
      </c>
      <c r="AU54" s="1984"/>
      <c r="AV54" s="2015">
        <f t="shared" ref="AV54:AX54" si="244">SUM(AV55:AV72)</f>
        <v>0</v>
      </c>
      <c r="AW54" s="2015">
        <f t="shared" si="244"/>
        <v>0</v>
      </c>
      <c r="AX54" s="2015">
        <f t="shared" si="244"/>
        <v>0</v>
      </c>
      <c r="AY54" s="4449" t="e">
        <f t="shared" ref="AY54:AY71" si="245">AX54/AX$89</f>
        <v>#DIV/0!</v>
      </c>
      <c r="AZ54" s="1984"/>
      <c r="BA54" s="2015">
        <f t="shared" ref="BA54:BC54" si="246">SUM(BA55:BA72)</f>
        <v>0</v>
      </c>
      <c r="BB54" s="2015">
        <f t="shared" si="246"/>
        <v>0</v>
      </c>
      <c r="BC54" s="2015">
        <f t="shared" si="246"/>
        <v>0</v>
      </c>
      <c r="BD54" s="4449" t="e">
        <f t="shared" ref="BD54:BD71" si="247">BC54/BC$89</f>
        <v>#DIV/0!</v>
      </c>
      <c r="BE54" s="1984"/>
      <c r="BF54" s="2015">
        <f t="shared" ref="BF54:BH54" si="248">SUM(BF55:BF72)</f>
        <v>0</v>
      </c>
      <c r="BG54" s="2015">
        <f t="shared" si="248"/>
        <v>0</v>
      </c>
      <c r="BH54" s="2015">
        <f t="shared" si="248"/>
        <v>0</v>
      </c>
      <c r="BI54" s="4449" t="e">
        <f t="shared" ref="BI54:BI71" si="249">BH54/BH$89</f>
        <v>#DIV/0!</v>
      </c>
      <c r="BJ54" s="1984"/>
      <c r="BK54" s="2015">
        <f t="shared" ref="BK54:BM54" si="250">SUM(BK55:BK72)</f>
        <v>0</v>
      </c>
      <c r="BL54" s="2015">
        <f t="shared" si="250"/>
        <v>0</v>
      </c>
      <c r="BM54" s="2015">
        <f t="shared" si="250"/>
        <v>0</v>
      </c>
      <c r="BN54" s="4449" t="e">
        <f t="shared" ref="BN54:BN71" si="251">BM54/BM$89</f>
        <v>#DIV/0!</v>
      </c>
      <c r="BO54" s="1984"/>
      <c r="BP54" s="2015">
        <f t="shared" ref="BP54:BR54" si="252">SUM(BP55:BP72)</f>
        <v>0</v>
      </c>
      <c r="BQ54" s="2015">
        <f t="shared" si="252"/>
        <v>0</v>
      </c>
      <c r="BR54" s="2015">
        <f t="shared" si="252"/>
        <v>0</v>
      </c>
      <c r="BS54" s="4449" t="e">
        <f t="shared" ref="BS54:BS71" si="253">BR54/BR$89</f>
        <v>#DIV/0!</v>
      </c>
      <c r="BT54" s="1984"/>
      <c r="BU54" s="2015">
        <f t="shared" ref="BU54:BW54" si="254">SUM(BU55:BU72)</f>
        <v>0</v>
      </c>
      <c r="BV54" s="2015">
        <f t="shared" si="254"/>
        <v>0</v>
      </c>
      <c r="BW54" s="2015">
        <f t="shared" si="254"/>
        <v>0</v>
      </c>
      <c r="BX54" s="4449" t="e">
        <f t="shared" ref="BX54:BX71" si="255">BW54/BW$89</f>
        <v>#DIV/0!</v>
      </c>
      <c r="BY54" s="1984"/>
      <c r="BZ54" s="2015">
        <f>SUM(BZ55:BZ72)</f>
        <v>85572.17</v>
      </c>
      <c r="CA54" s="2015">
        <f>SUM(CA55:CA72)</f>
        <v>241099.19</v>
      </c>
      <c r="CB54" s="2015">
        <f>SUM(CB55:CB72)</f>
        <v>326671.35999999999</v>
      </c>
      <c r="CC54" s="4449">
        <f t="shared" ref="CC54:CC71" si="256">CB54/$CB$89</f>
        <v>4.8592386606003554E-2</v>
      </c>
      <c r="CD54" s="2006"/>
      <c r="CE54" s="4563"/>
      <c r="CF54" s="3144"/>
      <c r="CG54" s="3145"/>
    </row>
    <row r="55" spans="1:87" ht="24.6" customHeight="1" outlineLevel="2">
      <c r="A55" s="1571"/>
      <c r="B55" s="4528" t="s">
        <v>77</v>
      </c>
      <c r="C55" s="4513"/>
      <c r="D55" s="4564"/>
      <c r="E55" s="4509">
        <f>C55+D55</f>
        <v>0</v>
      </c>
      <c r="F55" s="4428">
        <f>E55/$E$89</f>
        <v>0</v>
      </c>
      <c r="G55" s="2011">
        <v>0</v>
      </c>
      <c r="H55" s="4510">
        <v>0</v>
      </c>
      <c r="I55" s="3081">
        <f t="shared" ref="I55:I71" si="257">G55+H55*1</f>
        <v>0</v>
      </c>
      <c r="J55" s="4428">
        <f t="shared" si="232"/>
        <v>0</v>
      </c>
      <c r="K55" s="4499"/>
      <c r="L55" s="2011">
        <f t="shared" ref="L55:M71" si="258">R55+W55+AB55+AG55+AL55+AQ55+AV55+BA55+BF55+BK55+BP55+BU55</f>
        <v>0</v>
      </c>
      <c r="M55" s="4510">
        <f t="shared" si="258"/>
        <v>0</v>
      </c>
      <c r="N55" s="3081">
        <f t="shared" ref="N55:N71" si="259">L55+M55*1</f>
        <v>0</v>
      </c>
      <c r="O55" s="4428">
        <f t="shared" si="233"/>
        <v>0</v>
      </c>
      <c r="P55" s="4499"/>
      <c r="Q55" s="1986"/>
      <c r="R55" s="2011"/>
      <c r="S55" s="4510"/>
      <c r="T55" s="3081">
        <f t="shared" ref="T55:T62" si="260">R55+S55*1</f>
        <v>0</v>
      </c>
      <c r="U55" s="4428">
        <f t="shared" si="234"/>
        <v>0</v>
      </c>
      <c r="V55" s="4499"/>
      <c r="W55" s="2011"/>
      <c r="X55" s="4510"/>
      <c r="Y55" s="3081">
        <f t="shared" ref="Y55:Y62" si="261">W55+X55*1</f>
        <v>0</v>
      </c>
      <c r="Z55" s="4428">
        <f t="shared" si="235"/>
        <v>0</v>
      </c>
      <c r="AA55" s="4499"/>
      <c r="AB55" s="2011"/>
      <c r="AC55" s="4510"/>
      <c r="AD55" s="3081">
        <f t="shared" ref="AD55:AD71" si="262">AB55+AC55*1</f>
        <v>0</v>
      </c>
      <c r="AE55" s="4428">
        <f t="shared" si="237"/>
        <v>0</v>
      </c>
      <c r="AF55" s="4499"/>
      <c r="AG55" s="2011"/>
      <c r="AH55" s="4510"/>
      <c r="AI55" s="3081">
        <f t="shared" ref="AI55:AI71" si="263">AG55+AH55*1</f>
        <v>0</v>
      </c>
      <c r="AJ55" s="4428">
        <f t="shared" si="239"/>
        <v>0</v>
      </c>
      <c r="AK55" s="4499"/>
      <c r="AL55" s="2011"/>
      <c r="AM55" s="4510"/>
      <c r="AN55" s="3081">
        <f t="shared" ref="AN55:AN71" si="264">AL55+AM55*1</f>
        <v>0</v>
      </c>
      <c r="AO55" s="4428">
        <f t="shared" si="241"/>
        <v>0</v>
      </c>
      <c r="AP55" s="4499"/>
      <c r="AQ55" s="2011"/>
      <c r="AR55" s="4510"/>
      <c r="AS55" s="3081">
        <f t="shared" ref="AS55:AS71" si="265">AQ55+AR55*1</f>
        <v>0</v>
      </c>
      <c r="AT55" s="4428">
        <f t="shared" si="243"/>
        <v>0</v>
      </c>
      <c r="AU55" s="4499"/>
      <c r="AV55" s="2011"/>
      <c r="AW55" s="4510"/>
      <c r="AX55" s="3081">
        <f t="shared" ref="AX55:AX71" si="266">AV55+AW55*1</f>
        <v>0</v>
      </c>
      <c r="AY55" s="4428" t="e">
        <f t="shared" si="245"/>
        <v>#DIV/0!</v>
      </c>
      <c r="AZ55" s="4499"/>
      <c r="BA55" s="2011"/>
      <c r="BB55" s="4510"/>
      <c r="BC55" s="3081">
        <f t="shared" ref="BC55:BC71" si="267">BA55+BB55*1</f>
        <v>0</v>
      </c>
      <c r="BD55" s="4428" t="e">
        <f t="shared" si="247"/>
        <v>#DIV/0!</v>
      </c>
      <c r="BE55" s="4499"/>
      <c r="BF55" s="2011"/>
      <c r="BG55" s="4510"/>
      <c r="BH55" s="3081">
        <f t="shared" ref="BH55:BH71" si="268">BF55+BG55*1</f>
        <v>0</v>
      </c>
      <c r="BI55" s="4428" t="e">
        <f t="shared" si="249"/>
        <v>#DIV/0!</v>
      </c>
      <c r="BJ55" s="4499"/>
      <c r="BK55" s="2011"/>
      <c r="BL55" s="4510"/>
      <c r="BM55" s="3081">
        <f t="shared" ref="BM55:BM71" si="269">BK55+BL55*1</f>
        <v>0</v>
      </c>
      <c r="BN55" s="4428" t="e">
        <f t="shared" si="251"/>
        <v>#DIV/0!</v>
      </c>
      <c r="BO55" s="4499"/>
      <c r="BP55" s="2011"/>
      <c r="BQ55" s="4510"/>
      <c r="BR55" s="3081">
        <f t="shared" ref="BR55:BR71" si="270">BP55+BQ55*1</f>
        <v>0</v>
      </c>
      <c r="BS55" s="4428" t="e">
        <f t="shared" si="253"/>
        <v>#DIV/0!</v>
      </c>
      <c r="BT55" s="4499"/>
      <c r="BU55" s="2011"/>
      <c r="BV55" s="4510"/>
      <c r="BW55" s="3081">
        <f t="shared" ref="BW55:BW71" si="271">BU55+BV55*1</f>
        <v>0</v>
      </c>
      <c r="BX55" s="4428" t="e">
        <f t="shared" si="255"/>
        <v>#DIV/0!</v>
      </c>
      <c r="BY55" s="4499"/>
      <c r="BZ55" s="4498">
        <f t="shared" ref="BZ55:CA71" si="272">G55+L55</f>
        <v>0</v>
      </c>
      <c r="CA55" s="4498">
        <f t="shared" si="272"/>
        <v>0</v>
      </c>
      <c r="CB55" s="3081">
        <f t="shared" ref="CB55:CB71" si="273">BZ55+CA55*1</f>
        <v>0</v>
      </c>
      <c r="CC55" s="4428">
        <f t="shared" si="256"/>
        <v>0</v>
      </c>
      <c r="CD55" s="4432"/>
      <c r="CE55" s="1980">
        <f t="shared" ref="CE55:CE71" si="274">CB55-E55</f>
        <v>0</v>
      </c>
      <c r="CF55" s="3144"/>
      <c r="CG55" s="3145"/>
    </row>
    <row r="56" spans="1:87" ht="24.6" customHeight="1" outlineLevel="2">
      <c r="A56" s="1571"/>
      <c r="B56" s="4528" t="s">
        <v>76</v>
      </c>
      <c r="C56" s="4513"/>
      <c r="D56" s="4564"/>
      <c r="E56" s="4509">
        <f t="shared" ref="E56:E71" si="275">C56+D56</f>
        <v>0</v>
      </c>
      <c r="F56" s="4428">
        <f t="shared" ref="F56:F71" si="276">E56/$E$89</f>
        <v>0</v>
      </c>
      <c r="G56" s="2011">
        <v>0</v>
      </c>
      <c r="H56" s="4510">
        <v>0</v>
      </c>
      <c r="I56" s="3081">
        <f t="shared" si="257"/>
        <v>0</v>
      </c>
      <c r="J56" s="4428">
        <f t="shared" si="232"/>
        <v>0</v>
      </c>
      <c r="K56" s="4499"/>
      <c r="L56" s="2011">
        <f t="shared" si="258"/>
        <v>0</v>
      </c>
      <c r="M56" s="4510">
        <f t="shared" si="258"/>
        <v>0</v>
      </c>
      <c r="N56" s="3081">
        <f t="shared" si="259"/>
        <v>0</v>
      </c>
      <c r="O56" s="4428">
        <f t="shared" si="233"/>
        <v>0</v>
      </c>
      <c r="P56" s="4499"/>
      <c r="Q56" s="1986"/>
      <c r="R56" s="2011"/>
      <c r="S56" s="4510"/>
      <c r="T56" s="3081">
        <f t="shared" si="260"/>
        <v>0</v>
      </c>
      <c r="U56" s="4428">
        <f t="shared" si="234"/>
        <v>0</v>
      </c>
      <c r="V56" s="4499"/>
      <c r="W56" s="2011"/>
      <c r="X56" s="4510"/>
      <c r="Y56" s="3081">
        <f t="shared" si="261"/>
        <v>0</v>
      </c>
      <c r="Z56" s="4428">
        <f t="shared" si="235"/>
        <v>0</v>
      </c>
      <c r="AA56" s="4499"/>
      <c r="AB56" s="2011"/>
      <c r="AC56" s="4510"/>
      <c r="AD56" s="3081">
        <f t="shared" si="262"/>
        <v>0</v>
      </c>
      <c r="AE56" s="4428">
        <f t="shared" si="237"/>
        <v>0</v>
      </c>
      <c r="AF56" s="4499"/>
      <c r="AG56" s="2011"/>
      <c r="AH56" s="4510"/>
      <c r="AI56" s="3081">
        <f t="shared" si="263"/>
        <v>0</v>
      </c>
      <c r="AJ56" s="4428">
        <f t="shared" si="239"/>
        <v>0</v>
      </c>
      <c r="AK56" s="4499"/>
      <c r="AL56" s="2011"/>
      <c r="AM56" s="4510"/>
      <c r="AN56" s="3081">
        <f t="shared" si="264"/>
        <v>0</v>
      </c>
      <c r="AO56" s="4428">
        <f t="shared" si="241"/>
        <v>0</v>
      </c>
      <c r="AP56" s="4499"/>
      <c r="AQ56" s="2011"/>
      <c r="AR56" s="4510"/>
      <c r="AS56" s="3081">
        <f t="shared" si="265"/>
        <v>0</v>
      </c>
      <c r="AT56" s="4428">
        <f t="shared" si="243"/>
        <v>0</v>
      </c>
      <c r="AU56" s="4499"/>
      <c r="AV56" s="2011"/>
      <c r="AW56" s="4510"/>
      <c r="AX56" s="3081">
        <f t="shared" si="266"/>
        <v>0</v>
      </c>
      <c r="AY56" s="4428" t="e">
        <f t="shared" si="245"/>
        <v>#DIV/0!</v>
      </c>
      <c r="AZ56" s="4499"/>
      <c r="BA56" s="2011"/>
      <c r="BB56" s="4510"/>
      <c r="BC56" s="3081">
        <f t="shared" si="267"/>
        <v>0</v>
      </c>
      <c r="BD56" s="4428" t="e">
        <f t="shared" si="247"/>
        <v>#DIV/0!</v>
      </c>
      <c r="BE56" s="4499"/>
      <c r="BF56" s="2011"/>
      <c r="BG56" s="4510"/>
      <c r="BH56" s="3081">
        <f t="shared" si="268"/>
        <v>0</v>
      </c>
      <c r="BI56" s="4428" t="e">
        <f t="shared" si="249"/>
        <v>#DIV/0!</v>
      </c>
      <c r="BJ56" s="4499"/>
      <c r="BK56" s="2011"/>
      <c r="BL56" s="4510"/>
      <c r="BM56" s="3081">
        <f t="shared" si="269"/>
        <v>0</v>
      </c>
      <c r="BN56" s="4428" t="e">
        <f t="shared" si="251"/>
        <v>#DIV/0!</v>
      </c>
      <c r="BO56" s="4499"/>
      <c r="BP56" s="2011"/>
      <c r="BQ56" s="4510"/>
      <c r="BR56" s="3081">
        <f t="shared" si="270"/>
        <v>0</v>
      </c>
      <c r="BS56" s="4428" t="e">
        <f t="shared" si="253"/>
        <v>#DIV/0!</v>
      </c>
      <c r="BT56" s="4499"/>
      <c r="BU56" s="2011"/>
      <c r="BV56" s="4510"/>
      <c r="BW56" s="3081">
        <f t="shared" si="271"/>
        <v>0</v>
      </c>
      <c r="BX56" s="4428" t="e">
        <f t="shared" si="255"/>
        <v>#DIV/0!</v>
      </c>
      <c r="BY56" s="4499"/>
      <c r="BZ56" s="4498">
        <f t="shared" si="272"/>
        <v>0</v>
      </c>
      <c r="CA56" s="4498">
        <f t="shared" si="272"/>
        <v>0</v>
      </c>
      <c r="CB56" s="3081">
        <f t="shared" si="273"/>
        <v>0</v>
      </c>
      <c r="CC56" s="4428">
        <f t="shared" si="256"/>
        <v>0</v>
      </c>
      <c r="CD56" s="4432"/>
      <c r="CE56" s="1980">
        <f t="shared" si="274"/>
        <v>0</v>
      </c>
      <c r="CF56" s="3144"/>
      <c r="CG56" s="3145"/>
    </row>
    <row r="57" spans="1:87" ht="24.6" customHeight="1" outlineLevel="2">
      <c r="A57" s="1571"/>
      <c r="B57" s="4528" t="s">
        <v>68</v>
      </c>
      <c r="C57" s="4513"/>
      <c r="D57" s="4564"/>
      <c r="E57" s="4509">
        <f t="shared" si="275"/>
        <v>0</v>
      </c>
      <c r="F57" s="4428">
        <f t="shared" si="276"/>
        <v>0</v>
      </c>
      <c r="G57" s="2011">
        <v>0</v>
      </c>
      <c r="H57" s="4510">
        <v>0</v>
      </c>
      <c r="I57" s="3081">
        <f t="shared" si="257"/>
        <v>0</v>
      </c>
      <c r="J57" s="4428">
        <f t="shared" si="232"/>
        <v>0</v>
      </c>
      <c r="K57" s="4499"/>
      <c r="L57" s="2011">
        <f t="shared" si="258"/>
        <v>0</v>
      </c>
      <c r="M57" s="4510">
        <f t="shared" si="258"/>
        <v>0</v>
      </c>
      <c r="N57" s="3081">
        <f t="shared" si="259"/>
        <v>0</v>
      </c>
      <c r="O57" s="4428">
        <f t="shared" si="233"/>
        <v>0</v>
      </c>
      <c r="P57" s="4499"/>
      <c r="Q57" s="1986"/>
      <c r="R57" s="2011"/>
      <c r="S57" s="4510"/>
      <c r="T57" s="3081">
        <f t="shared" si="260"/>
        <v>0</v>
      </c>
      <c r="U57" s="4428">
        <f t="shared" si="234"/>
        <v>0</v>
      </c>
      <c r="V57" s="4499"/>
      <c r="W57" s="2011"/>
      <c r="X57" s="4510"/>
      <c r="Y57" s="3081">
        <f t="shared" si="261"/>
        <v>0</v>
      </c>
      <c r="Z57" s="4428">
        <f t="shared" si="235"/>
        <v>0</v>
      </c>
      <c r="AA57" s="4499"/>
      <c r="AB57" s="2011"/>
      <c r="AC57" s="4510"/>
      <c r="AD57" s="3081">
        <f t="shared" si="262"/>
        <v>0</v>
      </c>
      <c r="AE57" s="4428">
        <f t="shared" si="237"/>
        <v>0</v>
      </c>
      <c r="AF57" s="4499"/>
      <c r="AG57" s="2011"/>
      <c r="AH57" s="4510"/>
      <c r="AI57" s="3081">
        <f t="shared" si="263"/>
        <v>0</v>
      </c>
      <c r="AJ57" s="4428">
        <f t="shared" si="239"/>
        <v>0</v>
      </c>
      <c r="AK57" s="4499"/>
      <c r="AL57" s="2011"/>
      <c r="AM57" s="4510"/>
      <c r="AN57" s="3081">
        <f t="shared" si="264"/>
        <v>0</v>
      </c>
      <c r="AO57" s="4428">
        <f t="shared" si="241"/>
        <v>0</v>
      </c>
      <c r="AP57" s="4499"/>
      <c r="AQ57" s="2011"/>
      <c r="AR57" s="4510"/>
      <c r="AS57" s="3081">
        <f t="shared" si="265"/>
        <v>0</v>
      </c>
      <c r="AT57" s="4428">
        <f t="shared" si="243"/>
        <v>0</v>
      </c>
      <c r="AU57" s="4499"/>
      <c r="AV57" s="2011"/>
      <c r="AW57" s="4510"/>
      <c r="AX57" s="3081">
        <f t="shared" si="266"/>
        <v>0</v>
      </c>
      <c r="AY57" s="4428" t="e">
        <f t="shared" si="245"/>
        <v>#DIV/0!</v>
      </c>
      <c r="AZ57" s="4499"/>
      <c r="BA57" s="2011"/>
      <c r="BB57" s="4510"/>
      <c r="BC57" s="3081">
        <f t="shared" si="267"/>
        <v>0</v>
      </c>
      <c r="BD57" s="4428" t="e">
        <f t="shared" si="247"/>
        <v>#DIV/0!</v>
      </c>
      <c r="BE57" s="4499"/>
      <c r="BF57" s="2011"/>
      <c r="BG57" s="4510"/>
      <c r="BH57" s="3081">
        <f t="shared" si="268"/>
        <v>0</v>
      </c>
      <c r="BI57" s="4428" t="e">
        <f t="shared" si="249"/>
        <v>#DIV/0!</v>
      </c>
      <c r="BJ57" s="4499"/>
      <c r="BK57" s="2011"/>
      <c r="BL57" s="4510"/>
      <c r="BM57" s="3081">
        <f t="shared" si="269"/>
        <v>0</v>
      </c>
      <c r="BN57" s="4428" t="e">
        <f t="shared" si="251"/>
        <v>#DIV/0!</v>
      </c>
      <c r="BO57" s="4499"/>
      <c r="BP57" s="2011"/>
      <c r="BQ57" s="4510"/>
      <c r="BR57" s="3081">
        <f t="shared" si="270"/>
        <v>0</v>
      </c>
      <c r="BS57" s="4428" t="e">
        <f t="shared" si="253"/>
        <v>#DIV/0!</v>
      </c>
      <c r="BT57" s="4499"/>
      <c r="BU57" s="2011"/>
      <c r="BV57" s="4510"/>
      <c r="BW57" s="3081">
        <f t="shared" si="271"/>
        <v>0</v>
      </c>
      <c r="BX57" s="4428" t="e">
        <f t="shared" si="255"/>
        <v>#DIV/0!</v>
      </c>
      <c r="BY57" s="4499"/>
      <c r="BZ57" s="4498">
        <f t="shared" si="272"/>
        <v>0</v>
      </c>
      <c r="CA57" s="4498">
        <f t="shared" si="272"/>
        <v>0</v>
      </c>
      <c r="CB57" s="3081">
        <f t="shared" si="273"/>
        <v>0</v>
      </c>
      <c r="CC57" s="4428">
        <f t="shared" si="256"/>
        <v>0</v>
      </c>
      <c r="CD57" s="4432"/>
      <c r="CE57" s="1980">
        <f t="shared" si="274"/>
        <v>0</v>
      </c>
      <c r="CF57" s="3144"/>
      <c r="CG57" s="3145"/>
    </row>
    <row r="58" spans="1:87" ht="24.6" customHeight="1" outlineLevel="2">
      <c r="A58" s="1571"/>
      <c r="B58" s="4528" t="s">
        <v>67</v>
      </c>
      <c r="C58" s="4513">
        <v>33810</v>
      </c>
      <c r="D58" s="4564">
        <v>101190</v>
      </c>
      <c r="E58" s="4509">
        <f t="shared" si="275"/>
        <v>135000</v>
      </c>
      <c r="F58" s="4428">
        <f t="shared" si="276"/>
        <v>1.6687148596462472E-2</v>
      </c>
      <c r="G58" s="2011">
        <v>10216.400000000001</v>
      </c>
      <c r="H58" s="4510">
        <v>21556</v>
      </c>
      <c r="I58" s="3081">
        <f t="shared" si="257"/>
        <v>31772.400000000001</v>
      </c>
      <c r="J58" s="4428">
        <f t="shared" si="232"/>
        <v>1.0626975678981526E-2</v>
      </c>
      <c r="K58" s="4499"/>
      <c r="L58" s="2011">
        <f t="shared" si="258"/>
        <v>37267.770000000004</v>
      </c>
      <c r="M58" s="4510">
        <f t="shared" si="258"/>
        <v>107800</v>
      </c>
      <c r="N58" s="3081">
        <f t="shared" si="259"/>
        <v>145067.77000000002</v>
      </c>
      <c r="O58" s="4428">
        <f t="shared" si="233"/>
        <v>3.8861965091456022E-2</v>
      </c>
      <c r="P58" s="4499"/>
      <c r="Q58" s="1986"/>
      <c r="R58" s="2011">
        <v>12466.95</v>
      </c>
      <c r="S58" s="4510">
        <v>37200</v>
      </c>
      <c r="T58" s="3081">
        <f t="shared" si="260"/>
        <v>49666.95</v>
      </c>
      <c r="U58" s="4428">
        <f t="shared" si="234"/>
        <v>0.130576663956191</v>
      </c>
      <c r="V58" s="4499" t="s">
        <v>1853</v>
      </c>
      <c r="W58" s="2011">
        <v>11518.32</v>
      </c>
      <c r="X58" s="4510">
        <v>34500</v>
      </c>
      <c r="Y58" s="3081">
        <f t="shared" si="261"/>
        <v>46018.32</v>
      </c>
      <c r="Z58" s="4428">
        <f t="shared" si="235"/>
        <v>4.2765666393811373E-2</v>
      </c>
      <c r="AA58" s="4499" t="s">
        <v>1853</v>
      </c>
      <c r="AB58" s="2011">
        <v>13282.5</v>
      </c>
      <c r="AC58" s="4510">
        <v>36100</v>
      </c>
      <c r="AD58" s="3081">
        <f t="shared" si="262"/>
        <v>49382.5</v>
      </c>
      <c r="AE58" s="4428">
        <f t="shared" si="237"/>
        <v>2.900998623211579E-2</v>
      </c>
      <c r="AF58" s="4499" t="s">
        <v>1853</v>
      </c>
      <c r="AG58" s="2011"/>
      <c r="AH58" s="4510"/>
      <c r="AI58" s="3081">
        <f t="shared" si="263"/>
        <v>0</v>
      </c>
      <c r="AJ58" s="4428">
        <f t="shared" si="239"/>
        <v>0</v>
      </c>
      <c r="AK58" s="4499"/>
      <c r="AL58" s="2011"/>
      <c r="AM58" s="4510"/>
      <c r="AN58" s="3081">
        <f t="shared" si="264"/>
        <v>0</v>
      </c>
      <c r="AO58" s="4428">
        <f t="shared" si="241"/>
        <v>0</v>
      </c>
      <c r="AP58" s="4499"/>
      <c r="AQ58" s="2011"/>
      <c r="AR58" s="4510"/>
      <c r="AS58" s="3081">
        <f t="shared" si="265"/>
        <v>0</v>
      </c>
      <c r="AT58" s="4428">
        <f t="shared" si="243"/>
        <v>0</v>
      </c>
      <c r="AU58" s="4499"/>
      <c r="AV58" s="2011"/>
      <c r="AW58" s="4510"/>
      <c r="AX58" s="3081">
        <f t="shared" si="266"/>
        <v>0</v>
      </c>
      <c r="AY58" s="4428" t="e">
        <f t="shared" si="245"/>
        <v>#DIV/0!</v>
      </c>
      <c r="AZ58" s="4499"/>
      <c r="BA58" s="2011"/>
      <c r="BB58" s="4510"/>
      <c r="BC58" s="3081">
        <f t="shared" si="267"/>
        <v>0</v>
      </c>
      <c r="BD58" s="4428" t="e">
        <f t="shared" si="247"/>
        <v>#DIV/0!</v>
      </c>
      <c r="BE58" s="4499"/>
      <c r="BF58" s="2011"/>
      <c r="BG58" s="4510"/>
      <c r="BH58" s="3081">
        <f t="shared" si="268"/>
        <v>0</v>
      </c>
      <c r="BI58" s="4428" t="e">
        <f t="shared" si="249"/>
        <v>#DIV/0!</v>
      </c>
      <c r="BJ58" s="4499"/>
      <c r="BK58" s="2011"/>
      <c r="BL58" s="4510"/>
      <c r="BM58" s="3081">
        <f t="shared" si="269"/>
        <v>0</v>
      </c>
      <c r="BN58" s="4428" t="e">
        <f t="shared" si="251"/>
        <v>#DIV/0!</v>
      </c>
      <c r="BO58" s="4499"/>
      <c r="BP58" s="2011"/>
      <c r="BQ58" s="4510"/>
      <c r="BR58" s="3081">
        <f t="shared" si="270"/>
        <v>0</v>
      </c>
      <c r="BS58" s="4428" t="e">
        <f t="shared" si="253"/>
        <v>#DIV/0!</v>
      </c>
      <c r="BT58" s="4499"/>
      <c r="BU58" s="2011"/>
      <c r="BV58" s="4510"/>
      <c r="BW58" s="3081">
        <f t="shared" si="271"/>
        <v>0</v>
      </c>
      <c r="BX58" s="4428" t="e">
        <f t="shared" si="255"/>
        <v>#DIV/0!</v>
      </c>
      <c r="BY58" s="4499"/>
      <c r="BZ58" s="4498">
        <f t="shared" si="272"/>
        <v>47484.170000000006</v>
      </c>
      <c r="CA58" s="4498">
        <f t="shared" si="272"/>
        <v>129356</v>
      </c>
      <c r="CB58" s="3186">
        <f t="shared" si="273"/>
        <v>176840.17</v>
      </c>
      <c r="CC58" s="4428">
        <f t="shared" si="256"/>
        <v>2.6304987091955025E-2</v>
      </c>
      <c r="CD58" s="4432"/>
      <c r="CE58" s="1980">
        <f t="shared" si="274"/>
        <v>41840.170000000013</v>
      </c>
      <c r="CF58" s="4500">
        <v>176840.17</v>
      </c>
      <c r="CG58" s="4501">
        <f t="shared" ref="CG58:CG65" si="277">CF58-CB58</f>
        <v>0</v>
      </c>
      <c r="CH58" s="1395" t="s">
        <v>2139</v>
      </c>
      <c r="CI58" s="1395" t="s">
        <v>2140</v>
      </c>
    </row>
    <row r="59" spans="1:87" ht="24.6" customHeight="1" outlineLevel="2">
      <c r="A59" s="1571"/>
      <c r="B59" s="4528" t="s">
        <v>66</v>
      </c>
      <c r="C59" s="4513">
        <v>8190</v>
      </c>
      <c r="D59" s="4564"/>
      <c r="E59" s="4509">
        <f t="shared" si="275"/>
        <v>8190</v>
      </c>
      <c r="F59" s="4428">
        <f t="shared" si="276"/>
        <v>1.0123536815187233E-3</v>
      </c>
      <c r="G59" s="2011">
        <v>2474.7799999999997</v>
      </c>
      <c r="H59" s="4510">
        <v>0</v>
      </c>
      <c r="I59" s="3081">
        <f t="shared" si="257"/>
        <v>2474.7799999999997</v>
      </c>
      <c r="J59" s="4428">
        <f t="shared" si="232"/>
        <v>8.2774442191429977E-4</v>
      </c>
      <c r="K59" s="4499"/>
      <c r="L59" s="2011">
        <f t="shared" si="258"/>
        <v>9963.7999999999993</v>
      </c>
      <c r="M59" s="4510">
        <f t="shared" si="258"/>
        <v>0</v>
      </c>
      <c r="N59" s="3081">
        <f t="shared" si="259"/>
        <v>9963.7999999999993</v>
      </c>
      <c r="O59" s="4428">
        <f t="shared" si="233"/>
        <v>2.6691859106833271E-3</v>
      </c>
      <c r="P59" s="4499"/>
      <c r="Q59" s="1986"/>
      <c r="R59" s="2011">
        <v>3097.95</v>
      </c>
      <c r="S59" s="4510"/>
      <c r="T59" s="3081">
        <f t="shared" si="260"/>
        <v>3097.95</v>
      </c>
      <c r="U59" s="4428">
        <f t="shared" si="234"/>
        <v>8.144651042656775E-3</v>
      </c>
      <c r="V59" s="4499"/>
      <c r="W59" s="2011">
        <v>3648.35</v>
      </c>
      <c r="X59" s="4510"/>
      <c r="Y59" s="3081">
        <f t="shared" si="261"/>
        <v>3648.35</v>
      </c>
      <c r="Z59" s="4428">
        <f t="shared" si="235"/>
        <v>3.3904783787817921E-3</v>
      </c>
      <c r="AA59" s="4499"/>
      <c r="AB59" s="2011">
        <v>3217.5</v>
      </c>
      <c r="AC59" s="4510"/>
      <c r="AD59" s="3081">
        <f t="shared" si="262"/>
        <v>3217.5</v>
      </c>
      <c r="AE59" s="4428">
        <f t="shared" si="237"/>
        <v>1.890135791056195E-3</v>
      </c>
      <c r="AF59" s="4499"/>
      <c r="AG59" s="2011"/>
      <c r="AH59" s="4510"/>
      <c r="AI59" s="3081">
        <f t="shared" si="263"/>
        <v>0</v>
      </c>
      <c r="AJ59" s="4428">
        <f t="shared" si="239"/>
        <v>0</v>
      </c>
      <c r="AK59" s="4499"/>
      <c r="AL59" s="2011"/>
      <c r="AM59" s="4510"/>
      <c r="AN59" s="3081">
        <f t="shared" si="264"/>
        <v>0</v>
      </c>
      <c r="AO59" s="4428">
        <f t="shared" si="241"/>
        <v>0</v>
      </c>
      <c r="AP59" s="4499"/>
      <c r="AQ59" s="2011"/>
      <c r="AR59" s="4510"/>
      <c r="AS59" s="3081">
        <f t="shared" si="265"/>
        <v>0</v>
      </c>
      <c r="AT59" s="4428">
        <f t="shared" si="243"/>
        <v>0</v>
      </c>
      <c r="AU59" s="4499"/>
      <c r="AV59" s="2011"/>
      <c r="AW59" s="4510"/>
      <c r="AX59" s="3081">
        <f t="shared" si="266"/>
        <v>0</v>
      </c>
      <c r="AY59" s="4428" t="e">
        <f t="shared" si="245"/>
        <v>#DIV/0!</v>
      </c>
      <c r="AZ59" s="4499"/>
      <c r="BA59" s="2011"/>
      <c r="BB59" s="4510"/>
      <c r="BC59" s="3081">
        <f t="shared" si="267"/>
        <v>0</v>
      </c>
      <c r="BD59" s="4428" t="e">
        <f t="shared" si="247"/>
        <v>#DIV/0!</v>
      </c>
      <c r="BE59" s="4499"/>
      <c r="BF59" s="2011"/>
      <c r="BG59" s="4510"/>
      <c r="BH59" s="3081">
        <f t="shared" si="268"/>
        <v>0</v>
      </c>
      <c r="BI59" s="4428" t="e">
        <f t="shared" si="249"/>
        <v>#DIV/0!</v>
      </c>
      <c r="BJ59" s="4499"/>
      <c r="BK59" s="2011"/>
      <c r="BL59" s="4510"/>
      <c r="BM59" s="3081">
        <f t="shared" si="269"/>
        <v>0</v>
      </c>
      <c r="BN59" s="4428" t="e">
        <f t="shared" si="251"/>
        <v>#DIV/0!</v>
      </c>
      <c r="BO59" s="4499"/>
      <c r="BP59" s="2011"/>
      <c r="BQ59" s="4510"/>
      <c r="BR59" s="3081">
        <f t="shared" si="270"/>
        <v>0</v>
      </c>
      <c r="BS59" s="4428" t="e">
        <f t="shared" si="253"/>
        <v>#DIV/0!</v>
      </c>
      <c r="BT59" s="4499"/>
      <c r="BU59" s="2011"/>
      <c r="BV59" s="4510"/>
      <c r="BW59" s="3081">
        <f t="shared" si="271"/>
        <v>0</v>
      </c>
      <c r="BX59" s="4428" t="e">
        <f t="shared" si="255"/>
        <v>#DIV/0!</v>
      </c>
      <c r="BY59" s="4499"/>
      <c r="BZ59" s="4498">
        <f t="shared" si="272"/>
        <v>12438.579999999998</v>
      </c>
      <c r="CA59" s="4498">
        <f t="shared" si="272"/>
        <v>0</v>
      </c>
      <c r="CB59" s="3186">
        <f t="shared" si="273"/>
        <v>12438.579999999998</v>
      </c>
      <c r="CC59" s="4428">
        <f t="shared" si="256"/>
        <v>1.8502396053014982E-3</v>
      </c>
      <c r="CD59" s="4432"/>
      <c r="CE59" s="1980">
        <f t="shared" si="274"/>
        <v>4248.5799999999981</v>
      </c>
      <c r="CF59" s="4500">
        <v>12438.579999999998</v>
      </c>
      <c r="CG59" s="4501">
        <f t="shared" si="277"/>
        <v>0</v>
      </c>
    </row>
    <row r="60" spans="1:87" ht="24.6" customHeight="1" outlineLevel="2">
      <c r="A60" s="1571"/>
      <c r="B60" s="4528" t="s">
        <v>65</v>
      </c>
      <c r="C60" s="4513">
        <v>9240</v>
      </c>
      <c r="D60" s="4564"/>
      <c r="E60" s="4509">
        <f t="shared" si="275"/>
        <v>9240</v>
      </c>
      <c r="F60" s="4428">
        <f t="shared" si="276"/>
        <v>1.1421426150467649E-3</v>
      </c>
      <c r="G60" s="2011">
        <v>2258.21</v>
      </c>
      <c r="H60" s="4510">
        <v>0</v>
      </c>
      <c r="I60" s="3081">
        <f t="shared" si="257"/>
        <v>2258.21</v>
      </c>
      <c r="J60" s="4428">
        <f t="shared" si="232"/>
        <v>7.5530783787289822E-4</v>
      </c>
      <c r="K60" s="4499"/>
      <c r="L60" s="2011">
        <f t="shared" si="258"/>
        <v>9591.2099999999991</v>
      </c>
      <c r="M60" s="4510">
        <f t="shared" si="258"/>
        <v>0</v>
      </c>
      <c r="N60" s="3081">
        <f t="shared" si="259"/>
        <v>9591.2099999999991</v>
      </c>
      <c r="O60" s="4428">
        <f t="shared" si="233"/>
        <v>2.5693733915177976E-3</v>
      </c>
      <c r="P60" s="4499"/>
      <c r="Q60" s="1986"/>
      <c r="R60" s="2011">
        <v>2945.13</v>
      </c>
      <c r="S60" s="4510"/>
      <c r="T60" s="3081">
        <f t="shared" si="260"/>
        <v>2945.13</v>
      </c>
      <c r="U60" s="4428">
        <f t="shared" si="234"/>
        <v>7.7428803322389808E-3</v>
      </c>
      <c r="V60" s="4499"/>
      <c r="W60" s="2011">
        <v>3566.08</v>
      </c>
      <c r="X60" s="4510"/>
      <c r="Y60" s="3081">
        <f t="shared" si="261"/>
        <v>3566.08</v>
      </c>
      <c r="Z60" s="4428">
        <f t="shared" si="235"/>
        <v>3.3140233631658625E-3</v>
      </c>
      <c r="AA60" s="4499"/>
      <c r="AB60" s="2011">
        <v>3080</v>
      </c>
      <c r="AC60" s="4510"/>
      <c r="AD60" s="3081">
        <f t="shared" si="262"/>
        <v>3080</v>
      </c>
      <c r="AE60" s="4428">
        <f t="shared" si="237"/>
        <v>1.8093607572503747E-3</v>
      </c>
      <c r="AF60" s="4499"/>
      <c r="AG60" s="2011"/>
      <c r="AH60" s="4510"/>
      <c r="AI60" s="3081">
        <f t="shared" si="263"/>
        <v>0</v>
      </c>
      <c r="AJ60" s="4428">
        <f t="shared" si="239"/>
        <v>0</v>
      </c>
      <c r="AK60" s="4499"/>
      <c r="AL60" s="2011"/>
      <c r="AM60" s="4510"/>
      <c r="AN60" s="3081">
        <f t="shared" si="264"/>
        <v>0</v>
      </c>
      <c r="AO60" s="4428">
        <f t="shared" si="241"/>
        <v>0</v>
      </c>
      <c r="AP60" s="4499"/>
      <c r="AQ60" s="2011"/>
      <c r="AR60" s="4510"/>
      <c r="AS60" s="3081">
        <f t="shared" si="265"/>
        <v>0</v>
      </c>
      <c r="AT60" s="4428">
        <f t="shared" si="243"/>
        <v>0</v>
      </c>
      <c r="AU60" s="4499"/>
      <c r="AV60" s="2011"/>
      <c r="AW60" s="4510"/>
      <c r="AX60" s="3081">
        <f t="shared" si="266"/>
        <v>0</v>
      </c>
      <c r="AY60" s="4428" t="e">
        <f t="shared" si="245"/>
        <v>#DIV/0!</v>
      </c>
      <c r="AZ60" s="4499"/>
      <c r="BA60" s="2011"/>
      <c r="BB60" s="4510"/>
      <c r="BC60" s="3081">
        <f t="shared" si="267"/>
        <v>0</v>
      </c>
      <c r="BD60" s="4428" t="e">
        <f t="shared" si="247"/>
        <v>#DIV/0!</v>
      </c>
      <c r="BE60" s="4499"/>
      <c r="BF60" s="2011"/>
      <c r="BG60" s="4510"/>
      <c r="BH60" s="3081">
        <f t="shared" si="268"/>
        <v>0</v>
      </c>
      <c r="BI60" s="4428" t="e">
        <f t="shared" si="249"/>
        <v>#DIV/0!</v>
      </c>
      <c r="BJ60" s="4499"/>
      <c r="BK60" s="2011"/>
      <c r="BL60" s="4510"/>
      <c r="BM60" s="3081">
        <f t="shared" si="269"/>
        <v>0</v>
      </c>
      <c r="BN60" s="4428" t="e">
        <f t="shared" si="251"/>
        <v>#DIV/0!</v>
      </c>
      <c r="BO60" s="4499"/>
      <c r="BP60" s="2011"/>
      <c r="BQ60" s="4510"/>
      <c r="BR60" s="3081">
        <f t="shared" si="270"/>
        <v>0</v>
      </c>
      <c r="BS60" s="4428" t="e">
        <f t="shared" si="253"/>
        <v>#DIV/0!</v>
      </c>
      <c r="BT60" s="4499"/>
      <c r="BU60" s="2011"/>
      <c r="BV60" s="4510"/>
      <c r="BW60" s="3081">
        <f t="shared" si="271"/>
        <v>0</v>
      </c>
      <c r="BX60" s="4428" t="e">
        <f t="shared" si="255"/>
        <v>#DIV/0!</v>
      </c>
      <c r="BY60" s="4499"/>
      <c r="BZ60" s="4498">
        <f t="shared" si="272"/>
        <v>11849.419999999998</v>
      </c>
      <c r="CA60" s="4498">
        <f t="shared" si="272"/>
        <v>0</v>
      </c>
      <c r="CB60" s="3186">
        <f t="shared" si="273"/>
        <v>11849.419999999998</v>
      </c>
      <c r="CC60" s="4428">
        <f t="shared" si="256"/>
        <v>1.7626020159738232E-3</v>
      </c>
      <c r="CD60" s="4432"/>
      <c r="CE60" s="1980">
        <f t="shared" si="274"/>
        <v>2609.4199999999983</v>
      </c>
      <c r="CF60" s="4500">
        <v>11849.419999999998</v>
      </c>
      <c r="CG60" s="4501">
        <f t="shared" si="277"/>
        <v>0</v>
      </c>
    </row>
    <row r="61" spans="1:87" ht="24.6" customHeight="1" outlineLevel="2">
      <c r="A61" s="1571"/>
      <c r="B61" s="4528" t="s">
        <v>32</v>
      </c>
      <c r="C61" s="4513"/>
      <c r="D61" s="4564"/>
      <c r="E61" s="4509">
        <f t="shared" si="275"/>
        <v>0</v>
      </c>
      <c r="F61" s="4428">
        <f t="shared" si="276"/>
        <v>0</v>
      </c>
      <c r="G61" s="2011">
        <v>0</v>
      </c>
      <c r="H61" s="4510">
        <v>20000</v>
      </c>
      <c r="I61" s="3081">
        <f t="shared" si="257"/>
        <v>20000</v>
      </c>
      <c r="J61" s="4428">
        <f t="shared" si="232"/>
        <v>6.6894384301982388E-3</v>
      </c>
      <c r="K61" s="4499"/>
      <c r="L61" s="2011">
        <f t="shared" si="258"/>
        <v>0</v>
      </c>
      <c r="M61" s="4510">
        <f t="shared" si="258"/>
        <v>75266.33</v>
      </c>
      <c r="N61" s="3081">
        <f t="shared" si="259"/>
        <v>75266.33</v>
      </c>
      <c r="O61" s="4428">
        <f t="shared" si="233"/>
        <v>2.0162972719729604E-2</v>
      </c>
      <c r="P61" s="4499"/>
      <c r="Q61" s="1986"/>
      <c r="R61" s="2011"/>
      <c r="S61" s="4510"/>
      <c r="T61" s="3081">
        <f t="shared" si="260"/>
        <v>0</v>
      </c>
      <c r="U61" s="4428">
        <f t="shared" si="234"/>
        <v>0</v>
      </c>
      <c r="V61" s="4499"/>
      <c r="W61" s="2011"/>
      <c r="X61" s="4510"/>
      <c r="Y61" s="3081">
        <f t="shared" si="261"/>
        <v>0</v>
      </c>
      <c r="Z61" s="4428">
        <f t="shared" si="235"/>
        <v>0</v>
      </c>
      <c r="AA61" s="4499"/>
      <c r="AB61" s="2011"/>
      <c r="AC61" s="4510"/>
      <c r="AD61" s="3081">
        <f t="shared" si="262"/>
        <v>0</v>
      </c>
      <c r="AE61" s="4428">
        <f t="shared" si="237"/>
        <v>0</v>
      </c>
      <c r="AF61" s="4499"/>
      <c r="AG61" s="2011"/>
      <c r="AH61" s="4510"/>
      <c r="AI61" s="3081">
        <f t="shared" si="263"/>
        <v>0</v>
      </c>
      <c r="AJ61" s="4428">
        <f t="shared" si="239"/>
        <v>0</v>
      </c>
      <c r="AK61" s="4499"/>
      <c r="AL61" s="2011"/>
      <c r="AM61" s="4510">
        <v>30000</v>
      </c>
      <c r="AN61" s="3081">
        <f t="shared" si="264"/>
        <v>30000</v>
      </c>
      <c r="AO61" s="4428">
        <f t="shared" si="241"/>
        <v>0.46153846153846156</v>
      </c>
      <c r="AP61" s="4499" t="s">
        <v>2070</v>
      </c>
      <c r="AQ61" s="2011"/>
      <c r="AR61" s="4510">
        <v>45266.33</v>
      </c>
      <c r="AS61" s="3081">
        <f t="shared" si="265"/>
        <v>45266.33</v>
      </c>
      <c r="AT61" s="4428">
        <f t="shared" si="243"/>
        <v>1</v>
      </c>
      <c r="AU61" s="4499" t="s">
        <v>2125</v>
      </c>
      <c r="AV61" s="2011"/>
      <c r="AW61" s="4510"/>
      <c r="AX61" s="3081">
        <f t="shared" si="266"/>
        <v>0</v>
      </c>
      <c r="AY61" s="4428" t="e">
        <f t="shared" si="245"/>
        <v>#DIV/0!</v>
      </c>
      <c r="AZ61" s="4499"/>
      <c r="BA61" s="2011"/>
      <c r="BB61" s="4510"/>
      <c r="BC61" s="3081">
        <f t="shared" si="267"/>
        <v>0</v>
      </c>
      <c r="BD61" s="4428" t="e">
        <f t="shared" si="247"/>
        <v>#DIV/0!</v>
      </c>
      <c r="BE61" s="4499"/>
      <c r="BF61" s="2011"/>
      <c r="BG61" s="4510"/>
      <c r="BH61" s="3081">
        <f t="shared" si="268"/>
        <v>0</v>
      </c>
      <c r="BI61" s="4428" t="e">
        <f t="shared" si="249"/>
        <v>#DIV/0!</v>
      </c>
      <c r="BJ61" s="4499"/>
      <c r="BK61" s="2011"/>
      <c r="BL61" s="4510"/>
      <c r="BM61" s="3081">
        <f t="shared" si="269"/>
        <v>0</v>
      </c>
      <c r="BN61" s="4428" t="e">
        <f t="shared" si="251"/>
        <v>#DIV/0!</v>
      </c>
      <c r="BO61" s="4499"/>
      <c r="BP61" s="2011"/>
      <c r="BQ61" s="4510"/>
      <c r="BR61" s="3081">
        <f t="shared" si="270"/>
        <v>0</v>
      </c>
      <c r="BS61" s="4428" t="e">
        <f t="shared" si="253"/>
        <v>#DIV/0!</v>
      </c>
      <c r="BT61" s="4499"/>
      <c r="BU61" s="2011"/>
      <c r="BV61" s="4510"/>
      <c r="BW61" s="3081">
        <f t="shared" si="271"/>
        <v>0</v>
      </c>
      <c r="BX61" s="4428" t="e">
        <f t="shared" si="255"/>
        <v>#DIV/0!</v>
      </c>
      <c r="BY61" s="4499"/>
      <c r="BZ61" s="4498">
        <f t="shared" si="272"/>
        <v>0</v>
      </c>
      <c r="CA61" s="4498">
        <f t="shared" si="272"/>
        <v>95266.33</v>
      </c>
      <c r="CB61" s="3186">
        <f t="shared" si="273"/>
        <v>95266.33</v>
      </c>
      <c r="CC61" s="4428">
        <f t="shared" si="256"/>
        <v>1.4170872946728832E-2</v>
      </c>
      <c r="CD61" s="4432"/>
      <c r="CE61" s="1980">
        <f t="shared" si="274"/>
        <v>95266.33</v>
      </c>
      <c r="CF61" s="4500">
        <v>50000</v>
      </c>
      <c r="CG61" s="4501">
        <f>CF61-CB61</f>
        <v>-45266.33</v>
      </c>
    </row>
    <row r="62" spans="1:87" ht="24.6" customHeight="1" outlineLevel="2">
      <c r="A62" s="1571"/>
      <c r="B62" s="4528" t="s">
        <v>33</v>
      </c>
      <c r="C62" s="4513"/>
      <c r="D62" s="4564"/>
      <c r="E62" s="4509">
        <f t="shared" si="275"/>
        <v>0</v>
      </c>
      <c r="F62" s="4428">
        <f t="shared" si="276"/>
        <v>0</v>
      </c>
      <c r="G62" s="2011">
        <v>0</v>
      </c>
      <c r="H62" s="4510">
        <v>0</v>
      </c>
      <c r="I62" s="3081">
        <f t="shared" si="257"/>
        <v>0</v>
      </c>
      <c r="J62" s="4428">
        <f t="shared" si="232"/>
        <v>0</v>
      </c>
      <c r="K62" s="4499"/>
      <c r="L62" s="2011">
        <f t="shared" si="258"/>
        <v>0</v>
      </c>
      <c r="M62" s="4510">
        <f t="shared" si="258"/>
        <v>0</v>
      </c>
      <c r="N62" s="3081">
        <f t="shared" si="259"/>
        <v>0</v>
      </c>
      <c r="O62" s="4428">
        <f t="shared" si="233"/>
        <v>0</v>
      </c>
      <c r="P62" s="4499"/>
      <c r="Q62" s="1986"/>
      <c r="R62" s="2011"/>
      <c r="S62" s="4510"/>
      <c r="T62" s="3081">
        <f t="shared" si="260"/>
        <v>0</v>
      </c>
      <c r="U62" s="4428">
        <f t="shared" si="234"/>
        <v>0</v>
      </c>
      <c r="V62" s="4499"/>
      <c r="W62" s="2011"/>
      <c r="X62" s="4510"/>
      <c r="Y62" s="3081">
        <f t="shared" si="261"/>
        <v>0</v>
      </c>
      <c r="Z62" s="4428">
        <f t="shared" si="235"/>
        <v>0</v>
      </c>
      <c r="AA62" s="4499"/>
      <c r="AB62" s="2011"/>
      <c r="AC62" s="4510"/>
      <c r="AD62" s="3081">
        <f t="shared" si="262"/>
        <v>0</v>
      </c>
      <c r="AE62" s="4428">
        <f t="shared" si="237"/>
        <v>0</v>
      </c>
      <c r="AF62" s="4499"/>
      <c r="AG62" s="2011"/>
      <c r="AH62" s="4510"/>
      <c r="AI62" s="3081">
        <f t="shared" si="263"/>
        <v>0</v>
      </c>
      <c r="AJ62" s="4428">
        <f t="shared" si="239"/>
        <v>0</v>
      </c>
      <c r="AK62" s="4499"/>
      <c r="AL62" s="2011"/>
      <c r="AM62" s="4510"/>
      <c r="AN62" s="3081">
        <f t="shared" si="264"/>
        <v>0</v>
      </c>
      <c r="AO62" s="4428">
        <f t="shared" si="241"/>
        <v>0</v>
      </c>
      <c r="AP62" s="4499"/>
      <c r="AQ62" s="2011"/>
      <c r="AR62" s="4510"/>
      <c r="AS62" s="3081">
        <f t="shared" si="265"/>
        <v>0</v>
      </c>
      <c r="AT62" s="4428">
        <f t="shared" si="243"/>
        <v>0</v>
      </c>
      <c r="AU62" s="4499"/>
      <c r="AV62" s="2011"/>
      <c r="AW62" s="4510"/>
      <c r="AX62" s="3081">
        <f t="shared" si="266"/>
        <v>0</v>
      </c>
      <c r="AY62" s="4428" t="e">
        <f t="shared" si="245"/>
        <v>#DIV/0!</v>
      </c>
      <c r="AZ62" s="4499"/>
      <c r="BA62" s="2011"/>
      <c r="BB62" s="4510"/>
      <c r="BC62" s="3081">
        <f t="shared" si="267"/>
        <v>0</v>
      </c>
      <c r="BD62" s="4428" t="e">
        <f t="shared" si="247"/>
        <v>#DIV/0!</v>
      </c>
      <c r="BE62" s="4499"/>
      <c r="BF62" s="2011"/>
      <c r="BG62" s="4510"/>
      <c r="BH62" s="3081">
        <f t="shared" si="268"/>
        <v>0</v>
      </c>
      <c r="BI62" s="4428" t="e">
        <f t="shared" si="249"/>
        <v>#DIV/0!</v>
      </c>
      <c r="BJ62" s="4499"/>
      <c r="BK62" s="2011"/>
      <c r="BL62" s="4510"/>
      <c r="BM62" s="3081">
        <f t="shared" si="269"/>
        <v>0</v>
      </c>
      <c r="BN62" s="4428" t="e">
        <f t="shared" si="251"/>
        <v>#DIV/0!</v>
      </c>
      <c r="BO62" s="4499"/>
      <c r="BP62" s="2011"/>
      <c r="BQ62" s="4510"/>
      <c r="BR62" s="3081">
        <f t="shared" si="270"/>
        <v>0</v>
      </c>
      <c r="BS62" s="4428" t="e">
        <f t="shared" si="253"/>
        <v>#DIV/0!</v>
      </c>
      <c r="BT62" s="4499"/>
      <c r="BU62" s="2011"/>
      <c r="BV62" s="4510"/>
      <c r="BW62" s="3081">
        <f t="shared" si="271"/>
        <v>0</v>
      </c>
      <c r="BX62" s="4428" t="e">
        <f t="shared" si="255"/>
        <v>#DIV/0!</v>
      </c>
      <c r="BY62" s="4499"/>
      <c r="BZ62" s="4498">
        <f t="shared" si="272"/>
        <v>0</v>
      </c>
      <c r="CA62" s="4498">
        <f t="shared" si="272"/>
        <v>0</v>
      </c>
      <c r="CB62" s="3081">
        <f t="shared" si="273"/>
        <v>0</v>
      </c>
      <c r="CC62" s="4428">
        <f t="shared" si="256"/>
        <v>0</v>
      </c>
      <c r="CD62" s="4432"/>
      <c r="CE62" s="1980">
        <f t="shared" si="274"/>
        <v>0</v>
      </c>
      <c r="CF62" s="3144"/>
      <c r="CG62" s="3145"/>
    </row>
    <row r="63" spans="1:87" ht="24.6" customHeight="1" outlineLevel="2">
      <c r="A63" s="1571"/>
      <c r="B63" s="4528" t="s">
        <v>35</v>
      </c>
      <c r="C63" s="4513"/>
      <c r="D63" s="4564"/>
      <c r="E63" s="4509">
        <f t="shared" si="275"/>
        <v>0</v>
      </c>
      <c r="F63" s="4428">
        <f t="shared" si="276"/>
        <v>0</v>
      </c>
      <c r="G63" s="2011">
        <v>7500</v>
      </c>
      <c r="H63" s="4510">
        <v>0</v>
      </c>
      <c r="I63" s="3081">
        <f t="shared" si="257"/>
        <v>7500</v>
      </c>
      <c r="J63" s="4428">
        <f t="shared" si="232"/>
        <v>2.5085394113243393E-3</v>
      </c>
      <c r="K63" s="4499"/>
      <c r="L63" s="2011">
        <f t="shared" si="258"/>
        <v>0</v>
      </c>
      <c r="M63" s="4510">
        <f t="shared" si="258"/>
        <v>0</v>
      </c>
      <c r="N63" s="3081">
        <f t="shared" si="259"/>
        <v>0</v>
      </c>
      <c r="O63" s="4428">
        <f t="shared" si="233"/>
        <v>0</v>
      </c>
      <c r="P63" s="4499"/>
      <c r="Q63" s="1986"/>
      <c r="R63" s="2011"/>
      <c r="S63" s="4495"/>
      <c r="T63" s="3081">
        <f>R63+S63*1</f>
        <v>0</v>
      </c>
      <c r="U63" s="4428">
        <f t="shared" si="234"/>
        <v>0</v>
      </c>
      <c r="V63" s="4499" t="s">
        <v>1397</v>
      </c>
      <c r="W63" s="2011"/>
      <c r="X63" s="4510"/>
      <c r="Y63" s="3081">
        <f>W63+X63*1</f>
        <v>0</v>
      </c>
      <c r="Z63" s="4428">
        <f t="shared" si="235"/>
        <v>0</v>
      </c>
      <c r="AA63" s="4499"/>
      <c r="AB63" s="2011"/>
      <c r="AC63" s="4495"/>
      <c r="AD63" s="3081">
        <f t="shared" si="262"/>
        <v>0</v>
      </c>
      <c r="AE63" s="4428">
        <f t="shared" si="237"/>
        <v>0</v>
      </c>
      <c r="AF63" s="4499"/>
      <c r="AG63" s="2011"/>
      <c r="AH63" s="4495"/>
      <c r="AI63" s="3081">
        <f t="shared" si="263"/>
        <v>0</v>
      </c>
      <c r="AJ63" s="4428">
        <f t="shared" si="239"/>
        <v>0</v>
      </c>
      <c r="AK63" s="4499"/>
      <c r="AL63" s="2011"/>
      <c r="AM63" s="4495"/>
      <c r="AN63" s="3081">
        <f t="shared" si="264"/>
        <v>0</v>
      </c>
      <c r="AO63" s="4428">
        <f t="shared" si="241"/>
        <v>0</v>
      </c>
      <c r="AP63" s="4499"/>
      <c r="AQ63" s="2011"/>
      <c r="AR63" s="4495"/>
      <c r="AS63" s="3081">
        <f t="shared" si="265"/>
        <v>0</v>
      </c>
      <c r="AT63" s="4428">
        <f t="shared" si="243"/>
        <v>0</v>
      </c>
      <c r="AU63" s="4499"/>
      <c r="AV63" s="2011"/>
      <c r="AW63" s="4495"/>
      <c r="AX63" s="3081">
        <f t="shared" si="266"/>
        <v>0</v>
      </c>
      <c r="AY63" s="4428" t="e">
        <f t="shared" si="245"/>
        <v>#DIV/0!</v>
      </c>
      <c r="AZ63" s="4499"/>
      <c r="BA63" s="2011"/>
      <c r="BB63" s="4495"/>
      <c r="BC63" s="3081">
        <f t="shared" si="267"/>
        <v>0</v>
      </c>
      <c r="BD63" s="4428" t="e">
        <f t="shared" si="247"/>
        <v>#DIV/0!</v>
      </c>
      <c r="BE63" s="4499"/>
      <c r="BF63" s="2011"/>
      <c r="BG63" s="4495"/>
      <c r="BH63" s="3081">
        <f t="shared" si="268"/>
        <v>0</v>
      </c>
      <c r="BI63" s="4428" t="e">
        <f t="shared" si="249"/>
        <v>#DIV/0!</v>
      </c>
      <c r="BJ63" s="4499"/>
      <c r="BK63" s="2011"/>
      <c r="BL63" s="4495"/>
      <c r="BM63" s="3081">
        <f t="shared" si="269"/>
        <v>0</v>
      </c>
      <c r="BN63" s="4428" t="e">
        <f t="shared" si="251"/>
        <v>#DIV/0!</v>
      </c>
      <c r="BO63" s="4499"/>
      <c r="BP63" s="2011"/>
      <c r="BQ63" s="4495"/>
      <c r="BR63" s="3081">
        <f t="shared" si="270"/>
        <v>0</v>
      </c>
      <c r="BS63" s="4428" t="e">
        <f t="shared" si="253"/>
        <v>#DIV/0!</v>
      </c>
      <c r="BT63" s="4499"/>
      <c r="BU63" s="2011"/>
      <c r="BV63" s="4495"/>
      <c r="BW63" s="3081">
        <f t="shared" si="271"/>
        <v>0</v>
      </c>
      <c r="BX63" s="4428" t="e">
        <f t="shared" si="255"/>
        <v>#DIV/0!</v>
      </c>
      <c r="BY63" s="4499"/>
      <c r="BZ63" s="4498">
        <f t="shared" si="272"/>
        <v>7500</v>
      </c>
      <c r="CA63" s="4498">
        <f t="shared" si="272"/>
        <v>0</v>
      </c>
      <c r="CB63" s="3186">
        <f t="shared" si="273"/>
        <v>7500</v>
      </c>
      <c r="CC63" s="4428">
        <f t="shared" si="256"/>
        <v>1.1156255006408481E-3</v>
      </c>
      <c r="CD63" s="4432"/>
      <c r="CE63" s="1980">
        <f t="shared" si="274"/>
        <v>7500</v>
      </c>
      <c r="CF63" s="4515">
        <v>14674.119999999999</v>
      </c>
      <c r="CG63" s="4516">
        <f t="shared" si="277"/>
        <v>7174.119999999999</v>
      </c>
      <c r="CH63" s="928" t="s">
        <v>2041</v>
      </c>
    </row>
    <row r="64" spans="1:87" ht="24.6" customHeight="1" outlineLevel="2">
      <c r="A64" s="1571"/>
      <c r="B64" s="4528" t="s">
        <v>63</v>
      </c>
      <c r="C64" s="4513"/>
      <c r="D64" s="4564"/>
      <c r="E64" s="4509">
        <f t="shared" si="275"/>
        <v>0</v>
      </c>
      <c r="F64" s="4428">
        <f t="shared" si="276"/>
        <v>0</v>
      </c>
      <c r="G64" s="2011">
        <v>0</v>
      </c>
      <c r="H64" s="4510">
        <v>0</v>
      </c>
      <c r="I64" s="3081">
        <f t="shared" si="257"/>
        <v>0</v>
      </c>
      <c r="J64" s="4428">
        <f t="shared" si="232"/>
        <v>0</v>
      </c>
      <c r="K64" s="4499"/>
      <c r="L64" s="2011">
        <f t="shared" si="258"/>
        <v>0</v>
      </c>
      <c r="M64" s="4510">
        <f t="shared" si="258"/>
        <v>0</v>
      </c>
      <c r="N64" s="3081">
        <f t="shared" si="259"/>
        <v>0</v>
      </c>
      <c r="O64" s="4428">
        <f t="shared" si="233"/>
        <v>0</v>
      </c>
      <c r="P64" s="4499"/>
      <c r="Q64" s="1986"/>
      <c r="R64" s="2011"/>
      <c r="S64" s="4510"/>
      <c r="T64" s="3081">
        <f>R64+S64*1</f>
        <v>0</v>
      </c>
      <c r="U64" s="4428">
        <f t="shared" si="234"/>
        <v>0</v>
      </c>
      <c r="V64" s="4499"/>
      <c r="W64" s="2011"/>
      <c r="X64" s="4510"/>
      <c r="Y64" s="3081">
        <f>W64+X64*1</f>
        <v>0</v>
      </c>
      <c r="Z64" s="4428">
        <f t="shared" si="235"/>
        <v>0</v>
      </c>
      <c r="AA64" s="4499"/>
      <c r="AB64" s="2011"/>
      <c r="AC64" s="4510"/>
      <c r="AD64" s="3081">
        <f t="shared" si="262"/>
        <v>0</v>
      </c>
      <c r="AE64" s="4428">
        <f t="shared" si="237"/>
        <v>0</v>
      </c>
      <c r="AF64" s="4499"/>
      <c r="AG64" s="2011"/>
      <c r="AH64" s="4510"/>
      <c r="AI64" s="3081">
        <f t="shared" si="263"/>
        <v>0</v>
      </c>
      <c r="AJ64" s="4428">
        <f t="shared" si="239"/>
        <v>0</v>
      </c>
      <c r="AK64" s="4499"/>
      <c r="AL64" s="2011"/>
      <c r="AM64" s="4510"/>
      <c r="AN64" s="3081">
        <f t="shared" si="264"/>
        <v>0</v>
      </c>
      <c r="AO64" s="4428">
        <f t="shared" si="241"/>
        <v>0</v>
      </c>
      <c r="AP64" s="4499"/>
      <c r="AQ64" s="2011"/>
      <c r="AR64" s="4510"/>
      <c r="AS64" s="3081">
        <f t="shared" si="265"/>
        <v>0</v>
      </c>
      <c r="AT64" s="4428">
        <f t="shared" si="243"/>
        <v>0</v>
      </c>
      <c r="AU64" s="4499"/>
      <c r="AV64" s="2011"/>
      <c r="AW64" s="4510"/>
      <c r="AX64" s="3081">
        <f t="shared" si="266"/>
        <v>0</v>
      </c>
      <c r="AY64" s="4428" t="e">
        <f t="shared" si="245"/>
        <v>#DIV/0!</v>
      </c>
      <c r="AZ64" s="4499"/>
      <c r="BA64" s="2011"/>
      <c r="BB64" s="4510"/>
      <c r="BC64" s="3081">
        <f t="shared" si="267"/>
        <v>0</v>
      </c>
      <c r="BD64" s="4428" t="e">
        <f t="shared" si="247"/>
        <v>#DIV/0!</v>
      </c>
      <c r="BE64" s="4499"/>
      <c r="BF64" s="2011"/>
      <c r="BG64" s="4510"/>
      <c r="BH64" s="3081">
        <f t="shared" si="268"/>
        <v>0</v>
      </c>
      <c r="BI64" s="4428" t="e">
        <f t="shared" si="249"/>
        <v>#DIV/0!</v>
      </c>
      <c r="BJ64" s="4499"/>
      <c r="BK64" s="2011"/>
      <c r="BL64" s="4510"/>
      <c r="BM64" s="3081">
        <f t="shared" si="269"/>
        <v>0</v>
      </c>
      <c r="BN64" s="4428" t="e">
        <f t="shared" si="251"/>
        <v>#DIV/0!</v>
      </c>
      <c r="BO64" s="4499"/>
      <c r="BP64" s="2011"/>
      <c r="BQ64" s="4510"/>
      <c r="BR64" s="3081">
        <f t="shared" si="270"/>
        <v>0</v>
      </c>
      <c r="BS64" s="4428" t="e">
        <f t="shared" si="253"/>
        <v>#DIV/0!</v>
      </c>
      <c r="BT64" s="4499"/>
      <c r="BU64" s="2011"/>
      <c r="BV64" s="4510"/>
      <c r="BW64" s="3081">
        <f t="shared" si="271"/>
        <v>0</v>
      </c>
      <c r="BX64" s="4428" t="e">
        <f t="shared" si="255"/>
        <v>#DIV/0!</v>
      </c>
      <c r="BY64" s="4499"/>
      <c r="BZ64" s="4498">
        <f t="shared" si="272"/>
        <v>0</v>
      </c>
      <c r="CA64" s="4498">
        <f t="shared" si="272"/>
        <v>0</v>
      </c>
      <c r="CB64" s="3081">
        <f t="shared" si="273"/>
        <v>0</v>
      </c>
      <c r="CC64" s="4428">
        <f t="shared" si="256"/>
        <v>0</v>
      </c>
      <c r="CD64" s="4432"/>
      <c r="CE64" s="1980">
        <f t="shared" si="274"/>
        <v>0</v>
      </c>
      <c r="CF64" s="3144"/>
      <c r="CG64" s="3145"/>
    </row>
    <row r="65" spans="1:86" ht="24.6" customHeight="1" outlineLevel="2">
      <c r="A65" s="1571"/>
      <c r="B65" s="4528" t="s">
        <v>36</v>
      </c>
      <c r="C65" s="4513"/>
      <c r="D65" s="4564"/>
      <c r="E65" s="4509">
        <f t="shared" si="275"/>
        <v>0</v>
      </c>
      <c r="F65" s="4428">
        <f t="shared" si="276"/>
        <v>0</v>
      </c>
      <c r="G65" s="2011">
        <v>6300</v>
      </c>
      <c r="H65" s="4510">
        <f>1833.55+600</f>
        <v>2433.5500000000002</v>
      </c>
      <c r="I65" s="3081">
        <f t="shared" si="257"/>
        <v>8733.5499999999993</v>
      </c>
      <c r="J65" s="4428">
        <f t="shared" si="232"/>
        <v>2.921127250102891E-3</v>
      </c>
      <c r="K65" s="4499"/>
      <c r="L65" s="2011">
        <f t="shared" si="258"/>
        <v>0</v>
      </c>
      <c r="M65" s="4510">
        <f t="shared" si="258"/>
        <v>0</v>
      </c>
      <c r="N65" s="3081">
        <f t="shared" si="259"/>
        <v>0</v>
      </c>
      <c r="O65" s="4428">
        <f t="shared" si="233"/>
        <v>0</v>
      </c>
      <c r="P65" s="4499"/>
      <c r="Q65" s="1986"/>
      <c r="R65" s="4510"/>
      <c r="S65" s="4510"/>
      <c r="T65" s="3081">
        <f t="shared" ref="T65:T71" si="278">R65+S65*1</f>
        <v>0</v>
      </c>
      <c r="U65" s="4428">
        <f t="shared" si="234"/>
        <v>0</v>
      </c>
      <c r="V65" s="4499"/>
      <c r="W65" s="4510"/>
      <c r="X65" s="4510"/>
      <c r="Y65" s="3081">
        <f t="shared" ref="Y65:Y71" si="279">W65+X65*1</f>
        <v>0</v>
      </c>
      <c r="Z65" s="4428">
        <f t="shared" si="235"/>
        <v>0</v>
      </c>
      <c r="AA65" s="4499"/>
      <c r="AB65" s="4510"/>
      <c r="AC65" s="4510"/>
      <c r="AD65" s="3081">
        <f t="shared" si="262"/>
        <v>0</v>
      </c>
      <c r="AE65" s="4428">
        <f t="shared" si="237"/>
        <v>0</v>
      </c>
      <c r="AF65" s="4499"/>
      <c r="AG65" s="4510"/>
      <c r="AH65" s="4510"/>
      <c r="AI65" s="3081">
        <f t="shared" si="263"/>
        <v>0</v>
      </c>
      <c r="AJ65" s="4428">
        <f t="shared" si="239"/>
        <v>0</v>
      </c>
      <c r="AK65" s="4499"/>
      <c r="AL65" s="4510"/>
      <c r="AM65" s="4510"/>
      <c r="AN65" s="3081">
        <f t="shared" si="264"/>
        <v>0</v>
      </c>
      <c r="AO65" s="4428">
        <f t="shared" si="241"/>
        <v>0</v>
      </c>
      <c r="AP65" s="4499"/>
      <c r="AQ65" s="4510"/>
      <c r="AR65" s="4510"/>
      <c r="AS65" s="3081">
        <f t="shared" si="265"/>
        <v>0</v>
      </c>
      <c r="AT65" s="4428">
        <f t="shared" si="243"/>
        <v>0</v>
      </c>
      <c r="AU65" s="4499"/>
      <c r="AV65" s="4510"/>
      <c r="AW65" s="4510"/>
      <c r="AX65" s="3081">
        <f t="shared" si="266"/>
        <v>0</v>
      </c>
      <c r="AY65" s="4428" t="e">
        <f t="shared" si="245"/>
        <v>#DIV/0!</v>
      </c>
      <c r="AZ65" s="4499"/>
      <c r="BA65" s="4510"/>
      <c r="BB65" s="4510"/>
      <c r="BC65" s="3081">
        <f t="shared" si="267"/>
        <v>0</v>
      </c>
      <c r="BD65" s="4428" t="e">
        <f t="shared" si="247"/>
        <v>#DIV/0!</v>
      </c>
      <c r="BE65" s="4499"/>
      <c r="BF65" s="4510"/>
      <c r="BG65" s="4510"/>
      <c r="BH65" s="3081">
        <f t="shared" si="268"/>
        <v>0</v>
      </c>
      <c r="BI65" s="4428" t="e">
        <f t="shared" si="249"/>
        <v>#DIV/0!</v>
      </c>
      <c r="BJ65" s="4499"/>
      <c r="BK65" s="4510"/>
      <c r="BL65" s="4510"/>
      <c r="BM65" s="3081">
        <f t="shared" si="269"/>
        <v>0</v>
      </c>
      <c r="BN65" s="4428" t="e">
        <f t="shared" si="251"/>
        <v>#DIV/0!</v>
      </c>
      <c r="BO65" s="4499"/>
      <c r="BP65" s="4510"/>
      <c r="BQ65" s="4510"/>
      <c r="BR65" s="3081">
        <f t="shared" si="270"/>
        <v>0</v>
      </c>
      <c r="BS65" s="4428" t="e">
        <f t="shared" si="253"/>
        <v>#DIV/0!</v>
      </c>
      <c r="BT65" s="4499"/>
      <c r="BU65" s="4510"/>
      <c r="BV65" s="4510"/>
      <c r="BW65" s="3081">
        <f t="shared" si="271"/>
        <v>0</v>
      </c>
      <c r="BX65" s="4428" t="e">
        <f t="shared" si="255"/>
        <v>#DIV/0!</v>
      </c>
      <c r="BY65" s="4499"/>
      <c r="BZ65" s="4498">
        <f t="shared" si="272"/>
        <v>6300</v>
      </c>
      <c r="CA65" s="4498">
        <f t="shared" si="272"/>
        <v>2433.5500000000002</v>
      </c>
      <c r="CB65" s="3186">
        <f t="shared" si="273"/>
        <v>8733.5499999999993</v>
      </c>
      <c r="CC65" s="4428">
        <f t="shared" si="256"/>
        <v>1.2991161454829168E-3</v>
      </c>
      <c r="CD65" s="4565" t="s">
        <v>2141</v>
      </c>
      <c r="CE65" s="1980">
        <f t="shared" si="274"/>
        <v>8733.5499999999993</v>
      </c>
      <c r="CF65" s="4515">
        <v>8133.55</v>
      </c>
      <c r="CG65" s="4516">
        <f t="shared" si="277"/>
        <v>-599.99999999999909</v>
      </c>
      <c r="CH65" s="1395" t="s">
        <v>2142</v>
      </c>
    </row>
    <row r="66" spans="1:86" s="1396" customFormat="1" ht="24.6" customHeight="1" outlineLevel="2">
      <c r="A66" s="1571"/>
      <c r="B66" s="4528" t="s">
        <v>37</v>
      </c>
      <c r="C66" s="4513"/>
      <c r="D66" s="4564"/>
      <c r="E66" s="4509">
        <f t="shared" si="275"/>
        <v>0</v>
      </c>
      <c r="F66" s="4428">
        <f t="shared" si="276"/>
        <v>0</v>
      </c>
      <c r="G66" s="2011">
        <v>0</v>
      </c>
      <c r="H66" s="4498">
        <v>0</v>
      </c>
      <c r="I66" s="3081">
        <f t="shared" si="257"/>
        <v>0</v>
      </c>
      <c r="J66" s="4428">
        <f t="shared" si="232"/>
        <v>0</v>
      </c>
      <c r="K66" s="4499"/>
      <c r="L66" s="2011">
        <f t="shared" si="258"/>
        <v>0</v>
      </c>
      <c r="M66" s="4498">
        <f t="shared" si="258"/>
        <v>0</v>
      </c>
      <c r="N66" s="3081">
        <f t="shared" si="259"/>
        <v>0</v>
      </c>
      <c r="O66" s="4428">
        <f t="shared" si="233"/>
        <v>0</v>
      </c>
      <c r="P66" s="4499"/>
      <c r="Q66" s="1986"/>
      <c r="R66" s="2011"/>
      <c r="S66" s="4498"/>
      <c r="T66" s="3081">
        <f t="shared" si="278"/>
        <v>0</v>
      </c>
      <c r="U66" s="4428">
        <f t="shared" si="234"/>
        <v>0</v>
      </c>
      <c r="V66" s="4499"/>
      <c r="W66" s="2011"/>
      <c r="X66" s="4498"/>
      <c r="Y66" s="3081">
        <f t="shared" si="279"/>
        <v>0</v>
      </c>
      <c r="Z66" s="4428">
        <f t="shared" si="235"/>
        <v>0</v>
      </c>
      <c r="AA66" s="4499"/>
      <c r="AB66" s="2011"/>
      <c r="AC66" s="4498"/>
      <c r="AD66" s="3081">
        <f t="shared" si="262"/>
        <v>0</v>
      </c>
      <c r="AE66" s="4428">
        <f t="shared" si="237"/>
        <v>0</v>
      </c>
      <c r="AF66" s="4499"/>
      <c r="AG66" s="2011"/>
      <c r="AH66" s="4498"/>
      <c r="AI66" s="3081">
        <f t="shared" si="263"/>
        <v>0</v>
      </c>
      <c r="AJ66" s="4428">
        <f t="shared" si="239"/>
        <v>0</v>
      </c>
      <c r="AK66" s="4499"/>
      <c r="AL66" s="2011"/>
      <c r="AM66" s="4498"/>
      <c r="AN66" s="3081">
        <f t="shared" si="264"/>
        <v>0</v>
      </c>
      <c r="AO66" s="4428">
        <f t="shared" si="241"/>
        <v>0</v>
      </c>
      <c r="AP66" s="4499"/>
      <c r="AQ66" s="2011"/>
      <c r="AR66" s="4498"/>
      <c r="AS66" s="3081">
        <f t="shared" si="265"/>
        <v>0</v>
      </c>
      <c r="AT66" s="4428">
        <f t="shared" si="243"/>
        <v>0</v>
      </c>
      <c r="AU66" s="4499"/>
      <c r="AV66" s="2011"/>
      <c r="AW66" s="4498"/>
      <c r="AX66" s="3081">
        <f t="shared" si="266"/>
        <v>0</v>
      </c>
      <c r="AY66" s="4428" t="e">
        <f t="shared" si="245"/>
        <v>#DIV/0!</v>
      </c>
      <c r="AZ66" s="4499"/>
      <c r="BA66" s="2011"/>
      <c r="BB66" s="4498"/>
      <c r="BC66" s="3081">
        <f t="shared" si="267"/>
        <v>0</v>
      </c>
      <c r="BD66" s="4428" t="e">
        <f t="shared" si="247"/>
        <v>#DIV/0!</v>
      </c>
      <c r="BE66" s="4499"/>
      <c r="BF66" s="2011"/>
      <c r="BG66" s="4498"/>
      <c r="BH66" s="3081">
        <f t="shared" si="268"/>
        <v>0</v>
      </c>
      <c r="BI66" s="4428" t="e">
        <f t="shared" si="249"/>
        <v>#DIV/0!</v>
      </c>
      <c r="BJ66" s="4499"/>
      <c r="BK66" s="2011"/>
      <c r="BL66" s="4498"/>
      <c r="BM66" s="3081">
        <f t="shared" si="269"/>
        <v>0</v>
      </c>
      <c r="BN66" s="4428" t="e">
        <f t="shared" si="251"/>
        <v>#DIV/0!</v>
      </c>
      <c r="BO66" s="4499"/>
      <c r="BP66" s="2011"/>
      <c r="BQ66" s="4498"/>
      <c r="BR66" s="3081">
        <f t="shared" si="270"/>
        <v>0</v>
      </c>
      <c r="BS66" s="4428" t="e">
        <f t="shared" si="253"/>
        <v>#DIV/0!</v>
      </c>
      <c r="BT66" s="4499"/>
      <c r="BU66" s="2011"/>
      <c r="BV66" s="4498"/>
      <c r="BW66" s="3081">
        <f t="shared" si="271"/>
        <v>0</v>
      </c>
      <c r="BX66" s="4428" t="e">
        <f t="shared" si="255"/>
        <v>#DIV/0!</v>
      </c>
      <c r="BY66" s="4499"/>
      <c r="BZ66" s="4498">
        <f t="shared" si="272"/>
        <v>0</v>
      </c>
      <c r="CA66" s="4498">
        <f t="shared" si="272"/>
        <v>0</v>
      </c>
      <c r="CB66" s="3081">
        <f t="shared" si="273"/>
        <v>0</v>
      </c>
      <c r="CC66" s="4428">
        <f t="shared" si="256"/>
        <v>0</v>
      </c>
      <c r="CD66" s="4432"/>
      <c r="CE66" s="1980">
        <f t="shared" si="274"/>
        <v>0</v>
      </c>
      <c r="CF66" s="3144"/>
      <c r="CG66" s="3145"/>
    </row>
    <row r="67" spans="1:86" s="1396" customFormat="1" ht="24.6" customHeight="1" outlineLevel="2">
      <c r="A67" s="1571"/>
      <c r="B67" s="4528" t="s">
        <v>3</v>
      </c>
      <c r="C67" s="4513"/>
      <c r="D67" s="4564"/>
      <c r="E67" s="4509">
        <f t="shared" si="275"/>
        <v>0</v>
      </c>
      <c r="F67" s="4428">
        <f t="shared" si="276"/>
        <v>0</v>
      </c>
      <c r="G67" s="2051">
        <v>0</v>
      </c>
      <c r="H67" s="4498">
        <v>0</v>
      </c>
      <c r="I67" s="3081">
        <f t="shared" si="257"/>
        <v>0</v>
      </c>
      <c r="J67" s="4428">
        <f t="shared" si="232"/>
        <v>0</v>
      </c>
      <c r="K67" s="4499"/>
      <c r="L67" s="2051">
        <f t="shared" si="258"/>
        <v>0</v>
      </c>
      <c r="M67" s="4498">
        <f t="shared" si="258"/>
        <v>0</v>
      </c>
      <c r="N67" s="3081">
        <f t="shared" si="259"/>
        <v>0</v>
      </c>
      <c r="O67" s="4428">
        <f t="shared" si="233"/>
        <v>0</v>
      </c>
      <c r="P67" s="4499"/>
      <c r="Q67" s="1986"/>
      <c r="R67" s="2011"/>
      <c r="S67" s="2011"/>
      <c r="T67" s="3081">
        <f t="shared" si="278"/>
        <v>0</v>
      </c>
      <c r="U67" s="4428">
        <f t="shared" si="234"/>
        <v>0</v>
      </c>
      <c r="V67" s="4499"/>
      <c r="W67" s="2011"/>
      <c r="X67" s="2011"/>
      <c r="Y67" s="3081">
        <f t="shared" si="279"/>
        <v>0</v>
      </c>
      <c r="Z67" s="4428">
        <f t="shared" si="235"/>
        <v>0</v>
      </c>
      <c r="AA67" s="4499"/>
      <c r="AB67" s="2011"/>
      <c r="AC67" s="2011"/>
      <c r="AD67" s="3081">
        <f t="shared" si="262"/>
        <v>0</v>
      </c>
      <c r="AE67" s="4428">
        <f t="shared" si="237"/>
        <v>0</v>
      </c>
      <c r="AF67" s="4499"/>
      <c r="AG67" s="2011"/>
      <c r="AH67" s="2011"/>
      <c r="AI67" s="3081">
        <f t="shared" si="263"/>
        <v>0</v>
      </c>
      <c r="AJ67" s="4428">
        <f t="shared" si="239"/>
        <v>0</v>
      </c>
      <c r="AK67" s="4499"/>
      <c r="AL67" s="2011"/>
      <c r="AM67" s="2011"/>
      <c r="AN67" s="3081">
        <f t="shared" si="264"/>
        <v>0</v>
      </c>
      <c r="AO67" s="4428">
        <f t="shared" si="241"/>
        <v>0</v>
      </c>
      <c r="AP67" s="4499"/>
      <c r="AQ67" s="2011"/>
      <c r="AR67" s="2011"/>
      <c r="AS67" s="3081">
        <f t="shared" si="265"/>
        <v>0</v>
      </c>
      <c r="AT67" s="4428">
        <f t="shared" si="243"/>
        <v>0</v>
      </c>
      <c r="AU67" s="4499"/>
      <c r="AV67" s="2011"/>
      <c r="AW67" s="2011"/>
      <c r="AX67" s="3081">
        <f t="shared" si="266"/>
        <v>0</v>
      </c>
      <c r="AY67" s="4428" t="e">
        <f t="shared" si="245"/>
        <v>#DIV/0!</v>
      </c>
      <c r="AZ67" s="4499"/>
      <c r="BA67" s="2011"/>
      <c r="BB67" s="2011"/>
      <c r="BC67" s="3081">
        <f t="shared" si="267"/>
        <v>0</v>
      </c>
      <c r="BD67" s="4428" t="e">
        <f t="shared" si="247"/>
        <v>#DIV/0!</v>
      </c>
      <c r="BE67" s="4499"/>
      <c r="BF67" s="2011"/>
      <c r="BG67" s="2011"/>
      <c r="BH67" s="3081">
        <f t="shared" si="268"/>
        <v>0</v>
      </c>
      <c r="BI67" s="4428" t="e">
        <f t="shared" si="249"/>
        <v>#DIV/0!</v>
      </c>
      <c r="BJ67" s="4499"/>
      <c r="BK67" s="2011"/>
      <c r="BL67" s="2011"/>
      <c r="BM67" s="3081">
        <f t="shared" si="269"/>
        <v>0</v>
      </c>
      <c r="BN67" s="4428" t="e">
        <f t="shared" si="251"/>
        <v>#DIV/0!</v>
      </c>
      <c r="BO67" s="4499"/>
      <c r="BP67" s="2011"/>
      <c r="BQ67" s="2011"/>
      <c r="BR67" s="3081">
        <f t="shared" si="270"/>
        <v>0</v>
      </c>
      <c r="BS67" s="4428" t="e">
        <f t="shared" si="253"/>
        <v>#DIV/0!</v>
      </c>
      <c r="BT67" s="4499"/>
      <c r="BU67" s="2011"/>
      <c r="BV67" s="2011"/>
      <c r="BW67" s="3081">
        <f t="shared" si="271"/>
        <v>0</v>
      </c>
      <c r="BX67" s="4428" t="e">
        <f t="shared" si="255"/>
        <v>#DIV/0!</v>
      </c>
      <c r="BY67" s="4499"/>
      <c r="BZ67" s="4498">
        <f t="shared" si="272"/>
        <v>0</v>
      </c>
      <c r="CA67" s="4498">
        <f t="shared" si="272"/>
        <v>0</v>
      </c>
      <c r="CB67" s="3081">
        <f t="shared" si="273"/>
        <v>0</v>
      </c>
      <c r="CC67" s="4428">
        <f t="shared" si="256"/>
        <v>0</v>
      </c>
      <c r="CD67" s="4432"/>
      <c r="CE67" s="1980">
        <f t="shared" si="274"/>
        <v>0</v>
      </c>
      <c r="CF67" s="3144"/>
      <c r="CG67" s="3145"/>
    </row>
    <row r="68" spans="1:86" s="1396" customFormat="1" ht="24.6" customHeight="1" outlineLevel="2">
      <c r="A68" s="1571"/>
      <c r="B68" s="4528" t="s">
        <v>5</v>
      </c>
      <c r="C68" s="4513"/>
      <c r="D68" s="4564">
        <v>32212</v>
      </c>
      <c r="E68" s="4509">
        <f t="shared" si="275"/>
        <v>32212</v>
      </c>
      <c r="F68" s="4428">
        <f t="shared" si="276"/>
        <v>3.9816772636240682E-3</v>
      </c>
      <c r="G68" s="2051">
        <v>0</v>
      </c>
      <c r="H68" s="4498">
        <v>4809.6000000000004</v>
      </c>
      <c r="I68" s="3081">
        <f t="shared" si="257"/>
        <v>4809.6000000000004</v>
      </c>
      <c r="J68" s="4428">
        <f t="shared" si="232"/>
        <v>1.6086761536940725E-3</v>
      </c>
      <c r="K68" s="4499"/>
      <c r="L68" s="2051">
        <f t="shared" si="258"/>
        <v>0</v>
      </c>
      <c r="M68" s="4498">
        <f t="shared" si="258"/>
        <v>3561.8</v>
      </c>
      <c r="N68" s="3081">
        <f t="shared" si="259"/>
        <v>3561.8</v>
      </c>
      <c r="O68" s="4428">
        <f t="shared" si="233"/>
        <v>9.5416471393161995E-4</v>
      </c>
      <c r="P68" s="4499"/>
      <c r="Q68" s="1986"/>
      <c r="R68" s="4498"/>
      <c r="S68" s="4498">
        <v>1180.8</v>
      </c>
      <c r="T68" s="3081">
        <f t="shared" si="278"/>
        <v>1180.8</v>
      </c>
      <c r="U68" s="4428">
        <f t="shared" si="234"/>
        <v>3.1043767495179458E-3</v>
      </c>
      <c r="V68" s="4499"/>
      <c r="W68" s="4498"/>
      <c r="X68" s="4498">
        <v>1890</v>
      </c>
      <c r="Y68" s="3081">
        <f t="shared" si="279"/>
        <v>1890</v>
      </c>
      <c r="Z68" s="4428">
        <f t="shared" si="235"/>
        <v>1.7564115657482389E-3</v>
      </c>
      <c r="AA68" s="4499" t="s">
        <v>562</v>
      </c>
      <c r="AB68" s="4498"/>
      <c r="AC68" s="4498">
        <v>491</v>
      </c>
      <c r="AD68" s="3081">
        <f t="shared" si="262"/>
        <v>491</v>
      </c>
      <c r="AE68" s="4428">
        <f t="shared" si="237"/>
        <v>2.8844030253569284E-4</v>
      </c>
      <c r="AF68" s="4499" t="s">
        <v>562</v>
      </c>
      <c r="AG68" s="4498"/>
      <c r="AH68" s="4498"/>
      <c r="AI68" s="3081">
        <f t="shared" si="263"/>
        <v>0</v>
      </c>
      <c r="AJ68" s="4428">
        <f t="shared" si="239"/>
        <v>0</v>
      </c>
      <c r="AK68" s="4499"/>
      <c r="AL68" s="4498"/>
      <c r="AM68" s="4498"/>
      <c r="AN68" s="3081">
        <f t="shared" si="264"/>
        <v>0</v>
      </c>
      <c r="AO68" s="4428">
        <f t="shared" si="241"/>
        <v>0</v>
      </c>
      <c r="AP68" s="4499"/>
      <c r="AQ68" s="4498"/>
      <c r="AR68" s="4498"/>
      <c r="AS68" s="3081">
        <f t="shared" si="265"/>
        <v>0</v>
      </c>
      <c r="AT68" s="4428">
        <f t="shared" si="243"/>
        <v>0</v>
      </c>
      <c r="AU68" s="4499"/>
      <c r="AV68" s="4498"/>
      <c r="AW68" s="4498"/>
      <c r="AX68" s="3081">
        <f t="shared" si="266"/>
        <v>0</v>
      </c>
      <c r="AY68" s="4428" t="e">
        <f t="shared" si="245"/>
        <v>#DIV/0!</v>
      </c>
      <c r="AZ68" s="4499"/>
      <c r="BA68" s="4498"/>
      <c r="BB68" s="4498"/>
      <c r="BC68" s="3081">
        <f t="shared" si="267"/>
        <v>0</v>
      </c>
      <c r="BD68" s="4428" t="e">
        <f t="shared" si="247"/>
        <v>#DIV/0!</v>
      </c>
      <c r="BE68" s="4499"/>
      <c r="BF68" s="4498"/>
      <c r="BG68" s="4498"/>
      <c r="BH68" s="3081">
        <f t="shared" si="268"/>
        <v>0</v>
      </c>
      <c r="BI68" s="4428" t="e">
        <f t="shared" si="249"/>
        <v>#DIV/0!</v>
      </c>
      <c r="BJ68" s="4499"/>
      <c r="BK68" s="4498"/>
      <c r="BL68" s="4498"/>
      <c r="BM68" s="3081">
        <f t="shared" si="269"/>
        <v>0</v>
      </c>
      <c r="BN68" s="4428" t="e">
        <f t="shared" si="251"/>
        <v>#DIV/0!</v>
      </c>
      <c r="BO68" s="4499"/>
      <c r="BP68" s="4498"/>
      <c r="BQ68" s="4498"/>
      <c r="BR68" s="3081">
        <f t="shared" si="270"/>
        <v>0</v>
      </c>
      <c r="BS68" s="4428" t="e">
        <f t="shared" si="253"/>
        <v>#DIV/0!</v>
      </c>
      <c r="BT68" s="4499"/>
      <c r="BU68" s="4498"/>
      <c r="BV68" s="4498"/>
      <c r="BW68" s="3081">
        <f t="shared" si="271"/>
        <v>0</v>
      </c>
      <c r="BX68" s="4428" t="e">
        <f t="shared" si="255"/>
        <v>#DIV/0!</v>
      </c>
      <c r="BY68" s="4499"/>
      <c r="BZ68" s="4498">
        <f t="shared" si="272"/>
        <v>0</v>
      </c>
      <c r="CA68" s="4498">
        <f t="shared" si="272"/>
        <v>8371.4000000000015</v>
      </c>
      <c r="CB68" s="3186">
        <f t="shared" si="273"/>
        <v>8371.4000000000015</v>
      </c>
      <c r="CC68" s="4428">
        <f t="shared" si="256"/>
        <v>1.2452463088086395E-3</v>
      </c>
      <c r="CD68" s="4432"/>
      <c r="CE68" s="1980">
        <f t="shared" si="274"/>
        <v>-23840.6</v>
      </c>
      <c r="CF68" s="4500">
        <v>8371.4000000000015</v>
      </c>
      <c r="CG68" s="4501">
        <f t="shared" ref="CG68:CG70" si="280">CF68-CB68</f>
        <v>0</v>
      </c>
    </row>
    <row r="69" spans="1:86" s="1396" customFormat="1" ht="24.6" customHeight="1" outlineLevel="2">
      <c r="A69" s="1571"/>
      <c r="B69" s="4528" t="s">
        <v>42</v>
      </c>
      <c r="C69" s="4513">
        <v>25000</v>
      </c>
      <c r="D69" s="4564"/>
      <c r="E69" s="4509">
        <f t="shared" si="275"/>
        <v>25000</v>
      </c>
      <c r="F69" s="4428">
        <f t="shared" si="276"/>
        <v>3.090212703048606E-3</v>
      </c>
      <c r="G69" s="2051">
        <v>0</v>
      </c>
      <c r="H69" s="4498">
        <v>0</v>
      </c>
      <c r="I69" s="3081">
        <f t="shared" si="257"/>
        <v>0</v>
      </c>
      <c r="J69" s="4428">
        <f t="shared" si="232"/>
        <v>0</v>
      </c>
      <c r="K69" s="4499"/>
      <c r="L69" s="2051">
        <f t="shared" si="258"/>
        <v>0</v>
      </c>
      <c r="M69" s="4498">
        <f t="shared" si="258"/>
        <v>0</v>
      </c>
      <c r="N69" s="3081">
        <f t="shared" si="259"/>
        <v>0</v>
      </c>
      <c r="O69" s="4428">
        <f t="shared" si="233"/>
        <v>0</v>
      </c>
      <c r="P69" s="4499"/>
      <c r="Q69" s="1986"/>
      <c r="R69" s="2011"/>
      <c r="S69" s="4498"/>
      <c r="T69" s="3081">
        <f t="shared" si="278"/>
        <v>0</v>
      </c>
      <c r="U69" s="4428">
        <f t="shared" si="234"/>
        <v>0</v>
      </c>
      <c r="V69" s="4491"/>
      <c r="W69" s="2011"/>
      <c r="X69" s="4498"/>
      <c r="Y69" s="3081">
        <f t="shared" si="279"/>
        <v>0</v>
      </c>
      <c r="Z69" s="4428">
        <f t="shared" si="235"/>
        <v>0</v>
      </c>
      <c r="AA69" s="4491"/>
      <c r="AB69" s="2011"/>
      <c r="AC69" s="4498"/>
      <c r="AD69" s="3081">
        <f t="shared" si="262"/>
        <v>0</v>
      </c>
      <c r="AE69" s="4428">
        <f t="shared" si="237"/>
        <v>0</v>
      </c>
      <c r="AF69" s="4491"/>
      <c r="AG69" s="2011"/>
      <c r="AH69" s="4498"/>
      <c r="AI69" s="3081">
        <f t="shared" si="263"/>
        <v>0</v>
      </c>
      <c r="AJ69" s="4428">
        <f t="shared" si="239"/>
        <v>0</v>
      </c>
      <c r="AK69" s="4491"/>
      <c r="AL69" s="2011"/>
      <c r="AM69" s="4498"/>
      <c r="AN69" s="3081">
        <f t="shared" si="264"/>
        <v>0</v>
      </c>
      <c r="AO69" s="4428">
        <f t="shared" si="241"/>
        <v>0</v>
      </c>
      <c r="AP69" s="4491"/>
      <c r="AQ69" s="2011"/>
      <c r="AR69" s="4498"/>
      <c r="AS69" s="3081">
        <f t="shared" si="265"/>
        <v>0</v>
      </c>
      <c r="AT69" s="4428">
        <f t="shared" si="243"/>
        <v>0</v>
      </c>
      <c r="AU69" s="4491"/>
      <c r="AV69" s="2011"/>
      <c r="AW69" s="4498"/>
      <c r="AX69" s="3081">
        <f t="shared" si="266"/>
        <v>0</v>
      </c>
      <c r="AY69" s="4428" t="e">
        <f t="shared" si="245"/>
        <v>#DIV/0!</v>
      </c>
      <c r="AZ69" s="4491"/>
      <c r="BA69" s="2011"/>
      <c r="BB69" s="4498"/>
      <c r="BC69" s="3081">
        <f t="shared" si="267"/>
        <v>0</v>
      </c>
      <c r="BD69" s="4428" t="e">
        <f t="shared" si="247"/>
        <v>#DIV/0!</v>
      </c>
      <c r="BE69" s="4491"/>
      <c r="BF69" s="2011"/>
      <c r="BG69" s="4498"/>
      <c r="BH69" s="3081">
        <f t="shared" si="268"/>
        <v>0</v>
      </c>
      <c r="BI69" s="4428" t="e">
        <f t="shared" si="249"/>
        <v>#DIV/0!</v>
      </c>
      <c r="BJ69" s="4491"/>
      <c r="BK69" s="2011"/>
      <c r="BL69" s="4498"/>
      <c r="BM69" s="3081">
        <f t="shared" si="269"/>
        <v>0</v>
      </c>
      <c r="BN69" s="4428" t="e">
        <f t="shared" si="251"/>
        <v>#DIV/0!</v>
      </c>
      <c r="BO69" s="4491"/>
      <c r="BP69" s="2011"/>
      <c r="BQ69" s="4498"/>
      <c r="BR69" s="3081">
        <f t="shared" si="270"/>
        <v>0</v>
      </c>
      <c r="BS69" s="4428" t="e">
        <f t="shared" si="253"/>
        <v>#DIV/0!</v>
      </c>
      <c r="BT69" s="4491"/>
      <c r="BU69" s="2011"/>
      <c r="BV69" s="4498"/>
      <c r="BW69" s="3081">
        <f t="shared" si="271"/>
        <v>0</v>
      </c>
      <c r="BX69" s="4428" t="e">
        <f t="shared" si="255"/>
        <v>#DIV/0!</v>
      </c>
      <c r="BY69" s="4491"/>
      <c r="BZ69" s="4498">
        <f t="shared" si="272"/>
        <v>0</v>
      </c>
      <c r="CA69" s="4498">
        <f t="shared" si="272"/>
        <v>0</v>
      </c>
      <c r="CB69" s="3081">
        <f t="shared" si="273"/>
        <v>0</v>
      </c>
      <c r="CC69" s="4428">
        <f t="shared" si="256"/>
        <v>0</v>
      </c>
      <c r="CD69" s="4432"/>
      <c r="CE69" s="1980">
        <f t="shared" si="274"/>
        <v>-25000</v>
      </c>
      <c r="CF69" s="3144"/>
      <c r="CG69" s="3145"/>
    </row>
    <row r="70" spans="1:86" s="1396" customFormat="1" ht="24.6" customHeight="1" outlineLevel="2">
      <c r="A70" s="1571"/>
      <c r="B70" s="4528" t="s">
        <v>6</v>
      </c>
      <c r="C70" s="4566"/>
      <c r="D70" s="4564"/>
      <c r="E70" s="4509">
        <f t="shared" si="275"/>
        <v>0</v>
      </c>
      <c r="F70" s="4428">
        <f t="shared" si="276"/>
        <v>0</v>
      </c>
      <c r="G70" s="2051">
        <v>0</v>
      </c>
      <c r="H70" s="4498">
        <v>5671.91</v>
      </c>
      <c r="I70" s="3081">
        <f t="shared" si="257"/>
        <v>5671.91</v>
      </c>
      <c r="J70" s="4428">
        <f t="shared" si="232"/>
        <v>1.8970946363312845E-3</v>
      </c>
      <c r="K70" s="4499"/>
      <c r="L70" s="2051">
        <f t="shared" si="258"/>
        <v>0</v>
      </c>
      <c r="M70" s="4498">
        <f t="shared" si="258"/>
        <v>0</v>
      </c>
      <c r="N70" s="3081">
        <f t="shared" si="259"/>
        <v>0</v>
      </c>
      <c r="O70" s="4428">
        <f t="shared" si="233"/>
        <v>0</v>
      </c>
      <c r="P70" s="4499"/>
      <c r="Q70" s="1986"/>
      <c r="R70" s="2011"/>
      <c r="S70" s="2051"/>
      <c r="T70" s="3081">
        <f t="shared" si="278"/>
        <v>0</v>
      </c>
      <c r="U70" s="4428">
        <f t="shared" si="234"/>
        <v>0</v>
      </c>
      <c r="V70" s="4499"/>
      <c r="W70" s="2011"/>
      <c r="X70" s="2051"/>
      <c r="Y70" s="3081">
        <f t="shared" si="279"/>
        <v>0</v>
      </c>
      <c r="Z70" s="4428">
        <f t="shared" si="235"/>
        <v>0</v>
      </c>
      <c r="AA70" s="4499"/>
      <c r="AB70" s="2011"/>
      <c r="AC70" s="2051"/>
      <c r="AD70" s="3081">
        <f t="shared" si="262"/>
        <v>0</v>
      </c>
      <c r="AE70" s="4428">
        <f t="shared" si="237"/>
        <v>0</v>
      </c>
      <c r="AF70" s="4499"/>
      <c r="AG70" s="2011"/>
      <c r="AH70" s="2051"/>
      <c r="AI70" s="3081">
        <f t="shared" si="263"/>
        <v>0</v>
      </c>
      <c r="AJ70" s="4428">
        <f t="shared" si="239"/>
        <v>0</v>
      </c>
      <c r="AK70" s="4499"/>
      <c r="AL70" s="2011"/>
      <c r="AM70" s="2051"/>
      <c r="AN70" s="3081">
        <f t="shared" si="264"/>
        <v>0</v>
      </c>
      <c r="AO70" s="4428">
        <f t="shared" si="241"/>
        <v>0</v>
      </c>
      <c r="AP70" s="4499"/>
      <c r="AQ70" s="2011"/>
      <c r="AR70" s="2051"/>
      <c r="AS70" s="3081">
        <f t="shared" si="265"/>
        <v>0</v>
      </c>
      <c r="AT70" s="4428">
        <f t="shared" si="243"/>
        <v>0</v>
      </c>
      <c r="AU70" s="4499"/>
      <c r="AV70" s="2011"/>
      <c r="AW70" s="2051"/>
      <c r="AX70" s="3081">
        <f t="shared" si="266"/>
        <v>0</v>
      </c>
      <c r="AY70" s="4428" t="e">
        <f t="shared" si="245"/>
        <v>#DIV/0!</v>
      </c>
      <c r="AZ70" s="4499"/>
      <c r="BA70" s="2011"/>
      <c r="BB70" s="2051"/>
      <c r="BC70" s="3081">
        <f t="shared" si="267"/>
        <v>0</v>
      </c>
      <c r="BD70" s="4428" t="e">
        <f t="shared" si="247"/>
        <v>#DIV/0!</v>
      </c>
      <c r="BE70" s="4499"/>
      <c r="BF70" s="2011"/>
      <c r="BG70" s="2051"/>
      <c r="BH70" s="3081">
        <f t="shared" si="268"/>
        <v>0</v>
      </c>
      <c r="BI70" s="4428" t="e">
        <f t="shared" si="249"/>
        <v>#DIV/0!</v>
      </c>
      <c r="BJ70" s="4499"/>
      <c r="BK70" s="2011"/>
      <c r="BL70" s="2051"/>
      <c r="BM70" s="3081">
        <f t="shared" si="269"/>
        <v>0</v>
      </c>
      <c r="BN70" s="4428" t="e">
        <f t="shared" si="251"/>
        <v>#DIV/0!</v>
      </c>
      <c r="BO70" s="4499"/>
      <c r="BP70" s="2011"/>
      <c r="BQ70" s="2051"/>
      <c r="BR70" s="3081">
        <f t="shared" si="270"/>
        <v>0</v>
      </c>
      <c r="BS70" s="4428" t="e">
        <f t="shared" si="253"/>
        <v>#DIV/0!</v>
      </c>
      <c r="BT70" s="4499"/>
      <c r="BU70" s="2011"/>
      <c r="BV70" s="2051"/>
      <c r="BW70" s="3081">
        <f t="shared" si="271"/>
        <v>0</v>
      </c>
      <c r="BX70" s="4428" t="e">
        <f t="shared" si="255"/>
        <v>#DIV/0!</v>
      </c>
      <c r="BY70" s="4499"/>
      <c r="BZ70" s="4498">
        <f t="shared" si="272"/>
        <v>0</v>
      </c>
      <c r="CA70" s="4498">
        <f t="shared" si="272"/>
        <v>5671.91</v>
      </c>
      <c r="CB70" s="3186">
        <f t="shared" si="273"/>
        <v>5671.91</v>
      </c>
      <c r="CC70" s="4428">
        <f>CB70/$CB$89</f>
        <v>8.4369699111197754E-4</v>
      </c>
      <c r="CD70" s="4432"/>
      <c r="CE70" s="1980">
        <f t="shared" si="274"/>
        <v>5671.91</v>
      </c>
      <c r="CF70" s="4500">
        <v>5671.91</v>
      </c>
      <c r="CG70" s="4501">
        <f t="shared" si="280"/>
        <v>0</v>
      </c>
      <c r="CH70" s="1396" t="s">
        <v>2143</v>
      </c>
    </row>
    <row r="71" spans="1:86" s="1396" customFormat="1" ht="24.6" customHeight="1" outlineLevel="2">
      <c r="A71" s="1571"/>
      <c r="B71" s="4528" t="s">
        <v>235</v>
      </c>
      <c r="C71" s="4566"/>
      <c r="D71" s="4564"/>
      <c r="E71" s="4509">
        <f t="shared" si="275"/>
        <v>0</v>
      </c>
      <c r="F71" s="4492">
        <f t="shared" si="276"/>
        <v>0</v>
      </c>
      <c r="G71" s="2051">
        <v>0</v>
      </c>
      <c r="H71" s="4498">
        <v>0</v>
      </c>
      <c r="I71" s="3081">
        <f t="shared" si="257"/>
        <v>0</v>
      </c>
      <c r="J71" s="4428">
        <f t="shared" si="232"/>
        <v>0</v>
      </c>
      <c r="K71" s="4499"/>
      <c r="L71" s="2051">
        <f t="shared" si="258"/>
        <v>0</v>
      </c>
      <c r="M71" s="4498">
        <f t="shared" si="258"/>
        <v>0</v>
      </c>
      <c r="N71" s="3081">
        <f t="shared" si="259"/>
        <v>0</v>
      </c>
      <c r="O71" s="4428">
        <f t="shared" si="233"/>
        <v>0</v>
      </c>
      <c r="P71" s="4499"/>
      <c r="Q71" s="1698"/>
      <c r="R71" s="2051"/>
      <c r="S71" s="4498"/>
      <c r="T71" s="3081">
        <f t="shared" si="278"/>
        <v>0</v>
      </c>
      <c r="U71" s="4428">
        <f t="shared" si="234"/>
        <v>0</v>
      </c>
      <c r="V71" s="4499"/>
      <c r="W71" s="2051"/>
      <c r="X71" s="4498"/>
      <c r="Y71" s="3081">
        <f t="shared" si="279"/>
        <v>0</v>
      </c>
      <c r="Z71" s="4428">
        <f t="shared" si="235"/>
        <v>0</v>
      </c>
      <c r="AA71" s="4499"/>
      <c r="AB71" s="2051"/>
      <c r="AC71" s="4498"/>
      <c r="AD71" s="3081">
        <f t="shared" si="262"/>
        <v>0</v>
      </c>
      <c r="AE71" s="4428">
        <f t="shared" si="237"/>
        <v>0</v>
      </c>
      <c r="AF71" s="4499"/>
      <c r="AG71" s="2051"/>
      <c r="AH71" s="4498"/>
      <c r="AI71" s="3081">
        <f t="shared" si="263"/>
        <v>0</v>
      </c>
      <c r="AJ71" s="4428">
        <f t="shared" si="239"/>
        <v>0</v>
      </c>
      <c r="AK71" s="4499"/>
      <c r="AL71" s="2051"/>
      <c r="AM71" s="4498"/>
      <c r="AN71" s="3081">
        <f t="shared" si="264"/>
        <v>0</v>
      </c>
      <c r="AO71" s="4428">
        <f t="shared" si="241"/>
        <v>0</v>
      </c>
      <c r="AP71" s="4499"/>
      <c r="AQ71" s="2051"/>
      <c r="AR71" s="4498"/>
      <c r="AS71" s="3081">
        <f t="shared" si="265"/>
        <v>0</v>
      </c>
      <c r="AT71" s="4428">
        <f t="shared" si="243"/>
        <v>0</v>
      </c>
      <c r="AU71" s="4499"/>
      <c r="AV71" s="2051"/>
      <c r="AW71" s="4498"/>
      <c r="AX71" s="3081">
        <f t="shared" si="266"/>
        <v>0</v>
      </c>
      <c r="AY71" s="4428" t="e">
        <f t="shared" si="245"/>
        <v>#DIV/0!</v>
      </c>
      <c r="AZ71" s="4499"/>
      <c r="BA71" s="2051"/>
      <c r="BB71" s="4498"/>
      <c r="BC71" s="3081">
        <f t="shared" si="267"/>
        <v>0</v>
      </c>
      <c r="BD71" s="4428" t="e">
        <f t="shared" si="247"/>
        <v>#DIV/0!</v>
      </c>
      <c r="BE71" s="4499"/>
      <c r="BF71" s="2051"/>
      <c r="BG71" s="4498"/>
      <c r="BH71" s="3081">
        <f t="shared" si="268"/>
        <v>0</v>
      </c>
      <c r="BI71" s="4428" t="e">
        <f t="shared" si="249"/>
        <v>#DIV/0!</v>
      </c>
      <c r="BJ71" s="4499"/>
      <c r="BK71" s="2051"/>
      <c r="BL71" s="4498"/>
      <c r="BM71" s="3081">
        <f t="shared" si="269"/>
        <v>0</v>
      </c>
      <c r="BN71" s="4428" t="e">
        <f t="shared" si="251"/>
        <v>#DIV/0!</v>
      </c>
      <c r="BO71" s="4499"/>
      <c r="BP71" s="2051"/>
      <c r="BQ71" s="4498"/>
      <c r="BR71" s="3081">
        <f t="shared" si="270"/>
        <v>0</v>
      </c>
      <c r="BS71" s="4428" t="e">
        <f t="shared" si="253"/>
        <v>#DIV/0!</v>
      </c>
      <c r="BT71" s="4499"/>
      <c r="BU71" s="2051"/>
      <c r="BV71" s="4498"/>
      <c r="BW71" s="3081">
        <f t="shared" si="271"/>
        <v>0</v>
      </c>
      <c r="BX71" s="4428" t="e">
        <f t="shared" si="255"/>
        <v>#DIV/0!</v>
      </c>
      <c r="BY71" s="4499"/>
      <c r="BZ71" s="4498">
        <f t="shared" si="272"/>
        <v>0</v>
      </c>
      <c r="CA71" s="4498">
        <f t="shared" si="272"/>
        <v>0</v>
      </c>
      <c r="CB71" s="3081">
        <f t="shared" si="273"/>
        <v>0</v>
      </c>
      <c r="CC71" s="4428">
        <f t="shared" si="256"/>
        <v>0</v>
      </c>
      <c r="CD71" s="4432"/>
      <c r="CE71" s="1980">
        <f t="shared" si="274"/>
        <v>0</v>
      </c>
      <c r="CF71" s="3144"/>
      <c r="CG71" s="3145"/>
    </row>
    <row r="72" spans="1:86" s="1396" customFormat="1" ht="24.6" customHeight="1" outlineLevel="2" thickBot="1">
      <c r="A72" s="1571"/>
      <c r="B72" s="4567"/>
      <c r="C72" s="4568"/>
      <c r="D72" s="4569"/>
      <c r="E72" s="4509"/>
      <c r="F72" s="4492"/>
      <c r="G72" s="2029"/>
      <c r="H72" s="2027"/>
      <c r="I72" s="3104"/>
      <c r="J72" s="4492"/>
      <c r="K72" s="4493"/>
      <c r="L72" s="2029"/>
      <c r="M72" s="2027"/>
      <c r="N72" s="3104"/>
      <c r="O72" s="4492"/>
      <c r="P72" s="4493"/>
      <c r="Q72" s="1698"/>
      <c r="R72" s="2029"/>
      <c r="S72" s="2027"/>
      <c r="T72" s="3104"/>
      <c r="U72" s="4492"/>
      <c r="V72" s="4493"/>
      <c r="W72" s="2029"/>
      <c r="X72" s="2027"/>
      <c r="Y72" s="3104"/>
      <c r="Z72" s="4492"/>
      <c r="AA72" s="4493"/>
      <c r="AB72" s="2029"/>
      <c r="AC72" s="2027"/>
      <c r="AD72" s="3104"/>
      <c r="AE72" s="4492"/>
      <c r="AF72" s="4493"/>
      <c r="AG72" s="2029"/>
      <c r="AH72" s="2027"/>
      <c r="AI72" s="3104"/>
      <c r="AJ72" s="4492"/>
      <c r="AK72" s="4493"/>
      <c r="AL72" s="2029"/>
      <c r="AM72" s="2027"/>
      <c r="AN72" s="3104"/>
      <c r="AO72" s="4492"/>
      <c r="AP72" s="4493"/>
      <c r="AQ72" s="2029"/>
      <c r="AR72" s="2027"/>
      <c r="AS72" s="3104"/>
      <c r="AT72" s="4492"/>
      <c r="AU72" s="4493"/>
      <c r="AV72" s="2029"/>
      <c r="AW72" s="2027"/>
      <c r="AX72" s="3104"/>
      <c r="AY72" s="4492"/>
      <c r="AZ72" s="4493"/>
      <c r="BA72" s="2029"/>
      <c r="BB72" s="2027"/>
      <c r="BC72" s="3104"/>
      <c r="BD72" s="4492"/>
      <c r="BE72" s="4493"/>
      <c r="BF72" s="2029"/>
      <c r="BG72" s="2027"/>
      <c r="BH72" s="3104"/>
      <c r="BI72" s="4492"/>
      <c r="BJ72" s="4493"/>
      <c r="BK72" s="2029"/>
      <c r="BL72" s="2027"/>
      <c r="BM72" s="3104"/>
      <c r="BN72" s="4492"/>
      <c r="BO72" s="4493"/>
      <c r="BP72" s="2029"/>
      <c r="BQ72" s="2027"/>
      <c r="BR72" s="3104"/>
      <c r="BS72" s="4492"/>
      <c r="BT72" s="4493"/>
      <c r="BU72" s="2029"/>
      <c r="BV72" s="2027"/>
      <c r="BW72" s="3104"/>
      <c r="BX72" s="4492"/>
      <c r="BY72" s="4493"/>
      <c r="BZ72" s="4498"/>
      <c r="CA72" s="4498"/>
      <c r="CB72" s="3104"/>
      <c r="CC72" s="4492">
        <f>CB72/$CB$89</f>
        <v>0</v>
      </c>
      <c r="CD72" s="4494"/>
      <c r="CE72" s="2213"/>
      <c r="CF72" s="3144"/>
      <c r="CG72" s="3145"/>
    </row>
    <row r="73" spans="1:86" s="1396" customFormat="1" ht="14.4" customHeight="1" outlineLevel="1" thickBot="1">
      <c r="A73" s="1571"/>
      <c r="B73" s="986" t="s">
        <v>4</v>
      </c>
      <c r="C73" s="1584">
        <f>C74</f>
        <v>330255</v>
      </c>
      <c r="D73" s="843">
        <f>D74</f>
        <v>0</v>
      </c>
      <c r="E73" s="843">
        <f>E74</f>
        <v>330255</v>
      </c>
      <c r="F73" s="838">
        <f>E73/$E$89</f>
        <v>4.0822327849812698E-2</v>
      </c>
      <c r="G73" s="1584">
        <f>G74</f>
        <v>0</v>
      </c>
      <c r="H73" s="1584">
        <f>H74</f>
        <v>0</v>
      </c>
      <c r="I73" s="1688">
        <f>I74</f>
        <v>0</v>
      </c>
      <c r="J73" s="1689">
        <f t="shared" ref="J73:J74" si="281">I73/I$89</f>
        <v>0</v>
      </c>
      <c r="K73" s="1732"/>
      <c r="L73" s="1584">
        <f>L74</f>
        <v>330855.25920000003</v>
      </c>
      <c r="M73" s="1584">
        <f>M74</f>
        <v>0</v>
      </c>
      <c r="N73" s="1688">
        <f>N74</f>
        <v>330855.25920000003</v>
      </c>
      <c r="O73" s="1689">
        <f t="shared" ref="O73:O74" si="282">N73/N$89</f>
        <v>8.863226844498287E-2</v>
      </c>
      <c r="P73" s="1732"/>
      <c r="Q73" s="2546"/>
      <c r="R73" s="1584">
        <f>R74</f>
        <v>0</v>
      </c>
      <c r="S73" s="1584">
        <f>S74</f>
        <v>0</v>
      </c>
      <c r="T73" s="1688">
        <f>T74</f>
        <v>0</v>
      </c>
      <c r="U73" s="1689">
        <f t="shared" ref="U73:U74" si="283">T73/T$89</f>
        <v>0</v>
      </c>
      <c r="V73" s="1732"/>
      <c r="W73" s="1584">
        <f>W74</f>
        <v>0</v>
      </c>
      <c r="X73" s="1584">
        <f>X74</f>
        <v>0</v>
      </c>
      <c r="Y73" s="1688">
        <f>Y74</f>
        <v>0</v>
      </c>
      <c r="Z73" s="1689">
        <f t="shared" ref="Z73:Z74" si="284">Y73/Y$89</f>
        <v>0</v>
      </c>
      <c r="AA73" s="1732"/>
      <c r="AB73" s="1584">
        <f t="shared" ref="AB73:AD73" si="285">AB74</f>
        <v>0</v>
      </c>
      <c r="AC73" s="1584">
        <f t="shared" si="285"/>
        <v>0</v>
      </c>
      <c r="AD73" s="1688">
        <f t="shared" si="285"/>
        <v>0</v>
      </c>
      <c r="AE73" s="1689">
        <f t="shared" ref="AE73:AE74" si="286">AD73/AD$89</f>
        <v>0</v>
      </c>
      <c r="AF73" s="1732"/>
      <c r="AG73" s="1584">
        <f t="shared" ref="AG73:AI73" si="287">AG74</f>
        <v>330855.25920000003</v>
      </c>
      <c r="AH73" s="1584">
        <f t="shared" si="287"/>
        <v>0</v>
      </c>
      <c r="AI73" s="1688">
        <f t="shared" si="287"/>
        <v>330855.25920000003</v>
      </c>
      <c r="AJ73" s="1689">
        <f t="shared" ref="AJ73:AJ74" si="288">AI73/AI$89</f>
        <v>0.71397653799513028</v>
      </c>
      <c r="AK73" s="1732"/>
      <c r="AL73" s="1584">
        <f t="shared" ref="AL73:AN73" si="289">AL74</f>
        <v>0</v>
      </c>
      <c r="AM73" s="1584">
        <f t="shared" si="289"/>
        <v>0</v>
      </c>
      <c r="AN73" s="1688">
        <f t="shared" si="289"/>
        <v>0</v>
      </c>
      <c r="AO73" s="1689">
        <f t="shared" ref="AO73:AO74" si="290">AN73/AN$89</f>
        <v>0</v>
      </c>
      <c r="AP73" s="1732"/>
      <c r="AQ73" s="1584">
        <f t="shared" ref="AQ73:AS73" si="291">AQ74</f>
        <v>0</v>
      </c>
      <c r="AR73" s="1584">
        <f t="shared" si="291"/>
        <v>0</v>
      </c>
      <c r="AS73" s="1688">
        <f t="shared" si="291"/>
        <v>0</v>
      </c>
      <c r="AT73" s="1689">
        <f t="shared" ref="AT73:AT74" si="292">AS73/AS$89</f>
        <v>0</v>
      </c>
      <c r="AU73" s="1732"/>
      <c r="AV73" s="1584">
        <f t="shared" ref="AV73:AX73" si="293">AV74</f>
        <v>0</v>
      </c>
      <c r="AW73" s="1584">
        <f t="shared" si="293"/>
        <v>0</v>
      </c>
      <c r="AX73" s="1688">
        <f t="shared" si="293"/>
        <v>0</v>
      </c>
      <c r="AY73" s="1689" t="e">
        <f t="shared" ref="AY73:AY74" si="294">AX73/AX$89</f>
        <v>#DIV/0!</v>
      </c>
      <c r="AZ73" s="1732"/>
      <c r="BA73" s="1584">
        <f t="shared" ref="BA73:BC73" si="295">BA74</f>
        <v>0</v>
      </c>
      <c r="BB73" s="1584">
        <f t="shared" si="295"/>
        <v>0</v>
      </c>
      <c r="BC73" s="1688">
        <f t="shared" si="295"/>
        <v>0</v>
      </c>
      <c r="BD73" s="1689" t="e">
        <f t="shared" ref="BD73:BD74" si="296">BC73/BC$89</f>
        <v>#DIV/0!</v>
      </c>
      <c r="BE73" s="1732"/>
      <c r="BF73" s="1584">
        <f t="shared" ref="BF73:BH73" si="297">BF74</f>
        <v>0</v>
      </c>
      <c r="BG73" s="1584">
        <f t="shared" si="297"/>
        <v>0</v>
      </c>
      <c r="BH73" s="1688">
        <f t="shared" si="297"/>
        <v>0</v>
      </c>
      <c r="BI73" s="1689" t="e">
        <f t="shared" ref="BI73:BI74" si="298">BH73/BH$89</f>
        <v>#DIV/0!</v>
      </c>
      <c r="BJ73" s="1732"/>
      <c r="BK73" s="1584">
        <f t="shared" ref="BK73:BM73" si="299">BK74</f>
        <v>0</v>
      </c>
      <c r="BL73" s="1584">
        <f t="shared" si="299"/>
        <v>0</v>
      </c>
      <c r="BM73" s="1688">
        <f t="shared" si="299"/>
        <v>0</v>
      </c>
      <c r="BN73" s="1689" t="e">
        <f t="shared" ref="BN73:BN74" si="300">BM73/BM$89</f>
        <v>#DIV/0!</v>
      </c>
      <c r="BO73" s="1732"/>
      <c r="BP73" s="1584">
        <f t="shared" ref="BP73:BR73" si="301">BP74</f>
        <v>0</v>
      </c>
      <c r="BQ73" s="1584">
        <f t="shared" si="301"/>
        <v>0</v>
      </c>
      <c r="BR73" s="1688">
        <f t="shared" si="301"/>
        <v>0</v>
      </c>
      <c r="BS73" s="1689" t="e">
        <f t="shared" ref="BS73:BS74" si="302">BR73/BR$89</f>
        <v>#DIV/0!</v>
      </c>
      <c r="BT73" s="1732"/>
      <c r="BU73" s="1584">
        <f t="shared" ref="BU73:BW73" si="303">BU74</f>
        <v>0</v>
      </c>
      <c r="BV73" s="1584">
        <f t="shared" si="303"/>
        <v>0</v>
      </c>
      <c r="BW73" s="1688">
        <f t="shared" si="303"/>
        <v>0</v>
      </c>
      <c r="BX73" s="1689" t="e">
        <f t="shared" ref="BX73:BX74" si="304">BW73/BW$89</f>
        <v>#DIV/0!</v>
      </c>
      <c r="BY73" s="1732"/>
      <c r="BZ73" s="1584">
        <f>BZ74</f>
        <v>330855.25920000003</v>
      </c>
      <c r="CA73" s="1689">
        <f>CA74</f>
        <v>0</v>
      </c>
      <c r="CB73" s="1688">
        <f>CB74</f>
        <v>330855.25920000003</v>
      </c>
      <c r="CC73" s="1689"/>
      <c r="CD73" s="1689"/>
      <c r="CE73" s="4570"/>
      <c r="CF73" s="3144"/>
      <c r="CG73" s="3145"/>
    </row>
    <row r="74" spans="1:86" s="1396" customFormat="1" ht="14.4" customHeight="1" outlineLevel="1" thickBot="1">
      <c r="A74" s="1413"/>
      <c r="B74" s="985" t="s">
        <v>64</v>
      </c>
      <c r="C74" s="3193">
        <v>330255</v>
      </c>
      <c r="D74" s="305"/>
      <c r="E74" s="1779">
        <f>C74+D74</f>
        <v>330255</v>
      </c>
      <c r="F74" s="307"/>
      <c r="G74" s="2028">
        <v>0</v>
      </c>
      <c r="H74" s="2025">
        <v>0</v>
      </c>
      <c r="I74" s="3090">
        <f>G74+H74*1</f>
        <v>0</v>
      </c>
      <c r="J74" s="4432">
        <f t="shared" si="281"/>
        <v>0</v>
      </c>
      <c r="K74" s="1675"/>
      <c r="L74" s="2028">
        <f t="shared" ref="L74:M74" si="305">R74+W74+AB74+AG74+AL74+AQ74+AV74+BA74+BF74+BK74+BP74+BU74</f>
        <v>330855.25920000003</v>
      </c>
      <c r="M74" s="2025">
        <f t="shared" si="305"/>
        <v>0</v>
      </c>
      <c r="N74" s="3090">
        <f>L74+M74*1</f>
        <v>330855.25920000003</v>
      </c>
      <c r="O74" s="4432">
        <f t="shared" si="282"/>
        <v>8.863226844498287E-2</v>
      </c>
      <c r="P74" s="1675"/>
      <c r="Q74" s="1725"/>
      <c r="R74" s="2028"/>
      <c r="S74" s="2025"/>
      <c r="T74" s="3090">
        <f>R74+S74*1</f>
        <v>0</v>
      </c>
      <c r="U74" s="1664">
        <f t="shared" si="283"/>
        <v>0</v>
      </c>
      <c r="V74" s="1675"/>
      <c r="W74" s="2028"/>
      <c r="X74" s="2025"/>
      <c r="Y74" s="3090">
        <f>W74+X74*1</f>
        <v>0</v>
      </c>
      <c r="Z74" s="1664">
        <f t="shared" si="284"/>
        <v>0</v>
      </c>
      <c r="AA74" s="1675"/>
      <c r="AB74" s="2028"/>
      <c r="AC74" s="2025"/>
      <c r="AD74" s="3090">
        <f t="shared" ref="AD74" si="306">AB74+AC74*1</f>
        <v>0</v>
      </c>
      <c r="AE74" s="1664">
        <f t="shared" si="286"/>
        <v>0</v>
      </c>
      <c r="AF74" s="1675"/>
      <c r="AG74" s="2028">
        <v>330855.25920000003</v>
      </c>
      <c r="AH74" s="2025"/>
      <c r="AI74" s="3090">
        <f t="shared" ref="AI74" si="307">AG74+AH74*1</f>
        <v>330855.25920000003</v>
      </c>
      <c r="AJ74" s="1664">
        <f t="shared" si="288"/>
        <v>0.71397653799513028</v>
      </c>
      <c r="AK74" s="1675"/>
      <c r="AL74" s="2028"/>
      <c r="AM74" s="2025"/>
      <c r="AN74" s="3090">
        <f t="shared" ref="AN74" si="308">AL74+AM74*1</f>
        <v>0</v>
      </c>
      <c r="AO74" s="1664">
        <f t="shared" si="290"/>
        <v>0</v>
      </c>
      <c r="AP74" s="1675"/>
      <c r="AQ74" s="2028"/>
      <c r="AR74" s="2025"/>
      <c r="AS74" s="3090">
        <f t="shared" ref="AS74" si="309">AQ74+AR74*1</f>
        <v>0</v>
      </c>
      <c r="AT74" s="1664">
        <f t="shared" si="292"/>
        <v>0</v>
      </c>
      <c r="AU74" s="1675"/>
      <c r="AV74" s="2028"/>
      <c r="AW74" s="2025"/>
      <c r="AX74" s="3090">
        <f t="shared" ref="AX74" si="310">AV74+AW74*1</f>
        <v>0</v>
      </c>
      <c r="AY74" s="1664" t="e">
        <f t="shared" si="294"/>
        <v>#DIV/0!</v>
      </c>
      <c r="AZ74" s="1675"/>
      <c r="BA74" s="2028"/>
      <c r="BB74" s="2025"/>
      <c r="BC74" s="3090">
        <f t="shared" ref="BC74" si="311">BA74+BB74*1</f>
        <v>0</v>
      </c>
      <c r="BD74" s="1664" t="e">
        <f t="shared" si="296"/>
        <v>#DIV/0!</v>
      </c>
      <c r="BE74" s="1675"/>
      <c r="BF74" s="2028"/>
      <c r="BG74" s="2025"/>
      <c r="BH74" s="3090">
        <f t="shared" ref="BH74" si="312">BF74+BG74*1</f>
        <v>0</v>
      </c>
      <c r="BI74" s="1664" t="e">
        <f t="shared" si="298"/>
        <v>#DIV/0!</v>
      </c>
      <c r="BJ74" s="1675"/>
      <c r="BK74" s="2028"/>
      <c r="BL74" s="2025"/>
      <c r="BM74" s="3090">
        <f t="shared" ref="BM74" si="313">BK74+BL74*1</f>
        <v>0</v>
      </c>
      <c r="BN74" s="1664" t="e">
        <f t="shared" si="300"/>
        <v>#DIV/0!</v>
      </c>
      <c r="BO74" s="1675"/>
      <c r="BP74" s="2028"/>
      <c r="BQ74" s="2025"/>
      <c r="BR74" s="3090">
        <f t="shared" ref="BR74" si="314">BP74+BQ74*1</f>
        <v>0</v>
      </c>
      <c r="BS74" s="1664" t="e">
        <f t="shared" si="302"/>
        <v>#DIV/0!</v>
      </c>
      <c r="BT74" s="1675"/>
      <c r="BU74" s="2028"/>
      <c r="BV74" s="2025"/>
      <c r="BW74" s="3090">
        <f t="shared" ref="BW74" si="315">BU74+BV74*1</f>
        <v>0</v>
      </c>
      <c r="BX74" s="1664" t="e">
        <f t="shared" si="304"/>
        <v>#DIV/0!</v>
      </c>
      <c r="BY74" s="1675"/>
      <c r="BZ74" s="4498">
        <f>G74+L74</f>
        <v>330855.25920000003</v>
      </c>
      <c r="CA74" s="4498">
        <f>H74+M74</f>
        <v>0</v>
      </c>
      <c r="CB74" s="3081">
        <f t="shared" ref="CB74" si="316">BZ74+CA74*1</f>
        <v>330855.25920000003</v>
      </c>
      <c r="CC74" s="1664">
        <f>CB74/$CB$89</f>
        <v>4.9214741891287675E-2</v>
      </c>
      <c r="CD74" s="1648"/>
      <c r="CE74" s="1980">
        <f>CB74-E74</f>
        <v>600.25920000002952</v>
      </c>
      <c r="CF74" s="4500">
        <v>330855.25920000003</v>
      </c>
      <c r="CG74" s="4501">
        <f t="shared" ref="CG74" si="317">CF74-CB74</f>
        <v>0</v>
      </c>
    </row>
    <row r="75" spans="1:86" s="1396" customFormat="1" ht="14.4" customHeight="1" thickBot="1">
      <c r="A75" s="1399"/>
      <c r="B75" s="971" t="s">
        <v>48</v>
      </c>
      <c r="C75" s="1958">
        <f>C38-C41-C50-C54</f>
        <v>6800834</v>
      </c>
      <c r="D75" s="1958">
        <f>D38-D41-D50-D54</f>
        <v>-3268455</v>
      </c>
      <c r="E75" s="1508">
        <f>E38-E41-E50-E54</f>
        <v>3532379</v>
      </c>
      <c r="F75" s="1536"/>
      <c r="G75" s="1450">
        <f>G38-G41-G50-G54</f>
        <v>2463416.6104000001</v>
      </c>
      <c r="H75" s="1450">
        <f>H38-H41-H50-H54</f>
        <v>-819711.65999999992</v>
      </c>
      <c r="I75" s="1508">
        <f>I38-I41-I50-I54</f>
        <v>1643704.9504</v>
      </c>
      <c r="J75" s="1953"/>
      <c r="K75" s="1660"/>
      <c r="L75" s="1450">
        <f>L38-L41-L50-L54</f>
        <v>4561033.47</v>
      </c>
      <c r="M75" s="1450">
        <f>M38-M41-M50-M54</f>
        <v>-1330976.1299999999</v>
      </c>
      <c r="N75" s="1508">
        <f>N38-N41-N50-N54</f>
        <v>3230057.3400000003</v>
      </c>
      <c r="O75" s="1953"/>
      <c r="P75" s="1660"/>
      <c r="Q75" s="1536"/>
      <c r="R75" s="1450">
        <f>R38-R41-R50-R54</f>
        <v>-124835.584</v>
      </c>
      <c r="S75" s="1450">
        <f>S38-S41-S50-S54</f>
        <v>-242080.8</v>
      </c>
      <c r="T75" s="1508">
        <f>T38-T41-T50-T54</f>
        <v>-366916.38400000002</v>
      </c>
      <c r="U75" s="1953"/>
      <c r="V75" s="1660"/>
      <c r="W75" s="1450">
        <f>W38-W41-W50-W54</f>
        <v>3071031.9080000003</v>
      </c>
      <c r="X75" s="1450">
        <f>X38-X41-X50-X54</f>
        <v>-604445</v>
      </c>
      <c r="Y75" s="1508">
        <f>Y38-Y41-Y50-Y54</f>
        <v>2467138.6580000003</v>
      </c>
      <c r="Z75" s="1953"/>
      <c r="AA75" s="1660"/>
      <c r="AB75" s="1450">
        <f t="shared" ref="AB75:AD75" si="318">AB38-AB41-AB50-AB54</f>
        <v>1632009.1900000006</v>
      </c>
      <c r="AC75" s="1450">
        <f t="shared" si="318"/>
        <v>-284012</v>
      </c>
      <c r="AD75" s="1508">
        <f t="shared" si="318"/>
        <v>1347997.1900000006</v>
      </c>
      <c r="AE75" s="1953"/>
      <c r="AF75" s="1660"/>
      <c r="AG75" s="1450">
        <f t="shared" ref="AG75:AI75" si="319">AG38-AG41-AG50-AG54</f>
        <v>-17172.044000000002</v>
      </c>
      <c r="AH75" s="1450">
        <f t="shared" si="319"/>
        <v>-90172</v>
      </c>
      <c r="AI75" s="1508">
        <f t="shared" si="319"/>
        <v>-107344.04400000001</v>
      </c>
      <c r="AJ75" s="1953"/>
      <c r="AK75" s="1660"/>
      <c r="AL75" s="1450">
        <f t="shared" ref="AL75:AN75" si="320">AL38-AL41-AL50-AL54</f>
        <v>0</v>
      </c>
      <c r="AM75" s="1450">
        <f t="shared" si="320"/>
        <v>-65000</v>
      </c>
      <c r="AN75" s="1508">
        <f t="shared" si="320"/>
        <v>-65000</v>
      </c>
      <c r="AO75" s="1953"/>
      <c r="AP75" s="1660"/>
      <c r="AQ75" s="1450">
        <f t="shared" ref="AQ75:AS75" si="321">AQ38-AQ41-AQ50-AQ54</f>
        <v>0</v>
      </c>
      <c r="AR75" s="1450">
        <f t="shared" si="321"/>
        <v>-45266.33</v>
      </c>
      <c r="AS75" s="1508">
        <f t="shared" si="321"/>
        <v>-45266.33</v>
      </c>
      <c r="AT75" s="1953"/>
      <c r="AU75" s="1660"/>
      <c r="AV75" s="1450">
        <f t="shared" ref="AV75:AX75" si="322">AV38-AV41-AV50-AV54</f>
        <v>0</v>
      </c>
      <c r="AW75" s="1450">
        <f t="shared" si="322"/>
        <v>0</v>
      </c>
      <c r="AX75" s="1508">
        <f t="shared" si="322"/>
        <v>0</v>
      </c>
      <c r="AY75" s="1953"/>
      <c r="AZ75" s="1660"/>
      <c r="BA75" s="1450">
        <f t="shared" ref="BA75:BC75" si="323">BA38-BA41-BA50-BA54</f>
        <v>0</v>
      </c>
      <c r="BB75" s="1450">
        <f t="shared" si="323"/>
        <v>0</v>
      </c>
      <c r="BC75" s="1508">
        <f t="shared" si="323"/>
        <v>0</v>
      </c>
      <c r="BD75" s="1953"/>
      <c r="BE75" s="1660"/>
      <c r="BF75" s="1450">
        <f t="shared" ref="BF75:BH75" si="324">BF38-BF41-BF50-BF54</f>
        <v>0</v>
      </c>
      <c r="BG75" s="1450">
        <f t="shared" si="324"/>
        <v>0</v>
      </c>
      <c r="BH75" s="1508">
        <f t="shared" si="324"/>
        <v>0</v>
      </c>
      <c r="BI75" s="1953"/>
      <c r="BJ75" s="1660"/>
      <c r="BK75" s="1450">
        <f t="shared" ref="BK75:BM75" si="325">BK38-BK41-BK50-BK54</f>
        <v>0</v>
      </c>
      <c r="BL75" s="1450">
        <f t="shared" si="325"/>
        <v>0</v>
      </c>
      <c r="BM75" s="1508">
        <f t="shared" si="325"/>
        <v>0</v>
      </c>
      <c r="BN75" s="1953"/>
      <c r="BO75" s="1660"/>
      <c r="BP75" s="1450">
        <f t="shared" ref="BP75:BR75" si="326">BP38-BP41-BP50-BP54</f>
        <v>0</v>
      </c>
      <c r="BQ75" s="1450">
        <f t="shared" si="326"/>
        <v>0</v>
      </c>
      <c r="BR75" s="1508">
        <f t="shared" si="326"/>
        <v>0</v>
      </c>
      <c r="BS75" s="1953"/>
      <c r="BT75" s="1660"/>
      <c r="BU75" s="1450">
        <f t="shared" ref="BU75:BW75" si="327">BU38-BU41-BU50-BU54</f>
        <v>0</v>
      </c>
      <c r="BV75" s="1450">
        <f t="shared" si="327"/>
        <v>0</v>
      </c>
      <c r="BW75" s="1508">
        <f t="shared" si="327"/>
        <v>0</v>
      </c>
      <c r="BX75" s="1953"/>
      <c r="BY75" s="1660"/>
      <c r="BZ75" s="1450">
        <f>BZ38-BZ41-BZ50-BZ54</f>
        <v>7024450.0804000003</v>
      </c>
      <c r="CA75" s="1450">
        <f>CA38-CA41-CA50-CA54</f>
        <v>-2150687.79</v>
      </c>
      <c r="CB75" s="1508">
        <f>CB38-CB41-CB50-CB54</f>
        <v>4873762.2904000003</v>
      </c>
      <c r="CC75" s="1953"/>
      <c r="CD75" s="1953"/>
      <c r="CE75" s="4571"/>
      <c r="CF75" s="3144"/>
      <c r="CG75" s="3145"/>
    </row>
    <row r="76" spans="1:86" s="1396" customFormat="1" ht="14.4" customHeight="1">
      <c r="A76" s="1566"/>
      <c r="B76" s="972" t="s">
        <v>49</v>
      </c>
      <c r="C76" s="1525">
        <f>C75/C5</f>
        <v>0.61777969952336875</v>
      </c>
      <c r="D76" s="1525" t="e">
        <f>D75/D5</f>
        <v>#DIV/0!</v>
      </c>
      <c r="E76" s="1526">
        <f>E75/E5</f>
        <v>0.32087712142696878</v>
      </c>
      <c r="F76" s="1531"/>
      <c r="G76" s="2003">
        <f>G75/G5</f>
        <v>0.54911979668197552</v>
      </c>
      <c r="H76" s="2003" t="e">
        <f>H75/H5</f>
        <v>#DIV/0!</v>
      </c>
      <c r="I76" s="2004">
        <f>I75/I5</f>
        <v>0.36639800363376024</v>
      </c>
      <c r="J76" s="2004"/>
      <c r="K76" s="1661"/>
      <c r="L76" s="2003">
        <f>L75/L5</f>
        <v>0.69715097077904198</v>
      </c>
      <c r="M76" s="2003" t="e">
        <f>M75/M5</f>
        <v>#DIV/0!</v>
      </c>
      <c r="N76" s="2004">
        <f>N75/N5</f>
        <v>0.49371214332548419</v>
      </c>
      <c r="O76" s="2004"/>
      <c r="P76" s="1661"/>
      <c r="Q76" s="1531"/>
      <c r="R76" s="2003" t="e">
        <f>R75/R5</f>
        <v>#DIV/0!</v>
      </c>
      <c r="S76" s="2003" t="e">
        <f>S75/S5</f>
        <v>#DIV/0!</v>
      </c>
      <c r="T76" s="2004" t="e">
        <f>T75/T5</f>
        <v>#DIV/0!</v>
      </c>
      <c r="U76" s="2004"/>
      <c r="V76" s="1661"/>
      <c r="W76" s="2003">
        <f>W75/W5</f>
        <v>0.8763609783825167</v>
      </c>
      <c r="X76" s="2003" t="e">
        <f>X75/X5</f>
        <v>#DIV/0!</v>
      </c>
      <c r="Y76" s="2004">
        <f>Y75/Y5</f>
        <v>0.7040317759310657</v>
      </c>
      <c r="Z76" s="2004"/>
      <c r="AA76" s="1661"/>
      <c r="AB76" s="2003">
        <f t="shared" ref="AB76:AD76" si="328">AB75/AB5</f>
        <v>0.54074218786589268</v>
      </c>
      <c r="AC76" s="2003" t="e">
        <f t="shared" si="328"/>
        <v>#DIV/0!</v>
      </c>
      <c r="AD76" s="2004">
        <f t="shared" si="328"/>
        <v>0.44663899825078524</v>
      </c>
      <c r="AE76" s="2004"/>
      <c r="AF76" s="1661"/>
      <c r="AG76" s="2003">
        <f t="shared" ref="AG76:AI76" si="329">AG75/AG5</f>
        <v>-0.85866058892004671</v>
      </c>
      <c r="AH76" s="2003" t="e">
        <f t="shared" si="329"/>
        <v>#DIV/0!</v>
      </c>
      <c r="AI76" s="2004">
        <f t="shared" si="329"/>
        <v>-5.3675671945692311</v>
      </c>
      <c r="AJ76" s="2004"/>
      <c r="AK76" s="1661"/>
      <c r="AL76" s="2003" t="e">
        <f t="shared" ref="AL76:AN76" si="330">AL75/AL5</f>
        <v>#DIV/0!</v>
      </c>
      <c r="AM76" s="2003" t="e">
        <f t="shared" si="330"/>
        <v>#DIV/0!</v>
      </c>
      <c r="AN76" s="2004" t="e">
        <f t="shared" si="330"/>
        <v>#DIV/0!</v>
      </c>
      <c r="AO76" s="2004"/>
      <c r="AP76" s="1661"/>
      <c r="AQ76" s="2003" t="e">
        <f t="shared" ref="AQ76:AS76" si="331">AQ75/AQ5</f>
        <v>#DIV/0!</v>
      </c>
      <c r="AR76" s="2003" t="e">
        <f t="shared" si="331"/>
        <v>#DIV/0!</v>
      </c>
      <c r="AS76" s="2004" t="e">
        <f t="shared" si="331"/>
        <v>#DIV/0!</v>
      </c>
      <c r="AT76" s="2004"/>
      <c r="AU76" s="1661"/>
      <c r="AV76" s="2003" t="e">
        <f t="shared" ref="AV76:AX76" si="332">AV75/AV5</f>
        <v>#DIV/0!</v>
      </c>
      <c r="AW76" s="2003" t="e">
        <f t="shared" si="332"/>
        <v>#DIV/0!</v>
      </c>
      <c r="AX76" s="2004" t="e">
        <f t="shared" si="332"/>
        <v>#DIV/0!</v>
      </c>
      <c r="AY76" s="2004"/>
      <c r="AZ76" s="1661"/>
      <c r="BA76" s="2003" t="e">
        <f t="shared" ref="BA76:BC76" si="333">BA75/BA5</f>
        <v>#DIV/0!</v>
      </c>
      <c r="BB76" s="2003" t="e">
        <f t="shared" si="333"/>
        <v>#DIV/0!</v>
      </c>
      <c r="BC76" s="2004" t="e">
        <f t="shared" si="333"/>
        <v>#DIV/0!</v>
      </c>
      <c r="BD76" s="2004"/>
      <c r="BE76" s="1661"/>
      <c r="BF76" s="2003" t="e">
        <f t="shared" ref="BF76:BH76" si="334">BF75/BF5</f>
        <v>#DIV/0!</v>
      </c>
      <c r="BG76" s="2003" t="e">
        <f t="shared" si="334"/>
        <v>#DIV/0!</v>
      </c>
      <c r="BH76" s="2004" t="e">
        <f t="shared" si="334"/>
        <v>#DIV/0!</v>
      </c>
      <c r="BI76" s="2004"/>
      <c r="BJ76" s="1661"/>
      <c r="BK76" s="2003" t="e">
        <f t="shared" ref="BK76:BM76" si="335">BK75/BK5</f>
        <v>#DIV/0!</v>
      </c>
      <c r="BL76" s="2003" t="e">
        <f t="shared" si="335"/>
        <v>#DIV/0!</v>
      </c>
      <c r="BM76" s="2004" t="e">
        <f t="shared" si="335"/>
        <v>#DIV/0!</v>
      </c>
      <c r="BN76" s="2004"/>
      <c r="BO76" s="1661"/>
      <c r="BP76" s="2003" t="e">
        <f t="shared" ref="BP76:BR76" si="336">BP75/BP5</f>
        <v>#DIV/0!</v>
      </c>
      <c r="BQ76" s="2003" t="e">
        <f t="shared" si="336"/>
        <v>#DIV/0!</v>
      </c>
      <c r="BR76" s="2004" t="e">
        <f t="shared" si="336"/>
        <v>#DIV/0!</v>
      </c>
      <c r="BS76" s="2004"/>
      <c r="BT76" s="1661"/>
      <c r="BU76" s="2003" t="e">
        <f t="shared" ref="BU76:BW76" si="337">BU75/BU5</f>
        <v>#DIV/0!</v>
      </c>
      <c r="BV76" s="2003" t="e">
        <f t="shared" si="337"/>
        <v>#DIV/0!</v>
      </c>
      <c r="BW76" s="2004" t="e">
        <f t="shared" si="337"/>
        <v>#DIV/0!</v>
      </c>
      <c r="BX76" s="2004"/>
      <c r="BY76" s="1661"/>
      <c r="BZ76" s="2003">
        <f>BZ75/BZ5</f>
        <v>0.63693562835164985</v>
      </c>
      <c r="CA76" s="2003" t="e">
        <f>CA75/CA5</f>
        <v>#DIV/0!</v>
      </c>
      <c r="CB76" s="2004">
        <f>CB75/CB5</f>
        <v>0.44192396719199561</v>
      </c>
      <c r="CC76" s="2004"/>
      <c r="CD76" s="2004"/>
      <c r="CE76" s="4572"/>
      <c r="CF76" s="3144"/>
      <c r="CG76" s="3145"/>
    </row>
    <row r="77" spans="1:86" s="1396" customFormat="1" ht="14.4" customHeight="1" outlineLevel="1" thickBot="1">
      <c r="A77" s="1566"/>
      <c r="B77" s="4573" t="s">
        <v>9</v>
      </c>
      <c r="C77" s="4457">
        <f>C78-C79</f>
        <v>-283672</v>
      </c>
      <c r="D77" s="4457">
        <f>D78-D79</f>
        <v>0</v>
      </c>
      <c r="E77" s="4458">
        <f>E78-E79</f>
        <v>-283672</v>
      </c>
      <c r="F77" s="4574"/>
      <c r="G77" s="4457">
        <f>G78-G79</f>
        <v>0</v>
      </c>
      <c r="H77" s="4457">
        <f>H78-H79</f>
        <v>0</v>
      </c>
      <c r="I77" s="4458">
        <f>I78-I79</f>
        <v>-57882.02</v>
      </c>
      <c r="J77" s="4459">
        <f t="shared" ref="J77:J78" si="338">I77/I$89</f>
        <v>-1.9359910450275152E-2</v>
      </c>
      <c r="K77" s="4575"/>
      <c r="L77" s="4457">
        <f>L78-L79</f>
        <v>-87821.65</v>
      </c>
      <c r="M77" s="4457">
        <f>M78-M79</f>
        <v>0</v>
      </c>
      <c r="N77" s="4458">
        <f>N78-N79</f>
        <v>-87821.65</v>
      </c>
      <c r="O77" s="4459">
        <f t="shared" ref="O77:O78" si="339">N77/N$89</f>
        <v>-2.3526396639129889E-2</v>
      </c>
      <c r="P77" s="4575"/>
      <c r="Q77" s="4574"/>
      <c r="R77" s="4457">
        <f>R78-R79</f>
        <v>-13449.82</v>
      </c>
      <c r="S77" s="4457">
        <f>S78-S79</f>
        <v>0</v>
      </c>
      <c r="T77" s="4458">
        <f>T78-T79</f>
        <v>-13449.82</v>
      </c>
      <c r="U77" s="4459">
        <f t="shared" ref="U77:U79" si="340">T77/T$89</f>
        <v>-3.5360186732047307E-2</v>
      </c>
      <c r="V77" s="4575"/>
      <c r="W77" s="4457">
        <f>W78-W79</f>
        <v>-37007.1</v>
      </c>
      <c r="X77" s="4457">
        <f>X78-X79</f>
        <v>0</v>
      </c>
      <c r="Y77" s="4458">
        <f>Y78-Y79</f>
        <v>-37007.1</v>
      </c>
      <c r="Z77" s="4459">
        <f t="shared" ref="Z77:Z79" si="341">Y77/Y$89</f>
        <v>-3.4391374843810399E-2</v>
      </c>
      <c r="AA77" s="4575"/>
      <c r="AB77" s="4457">
        <f t="shared" ref="AB77:AD77" si="342">AB78-AB79</f>
        <v>-32164.73</v>
      </c>
      <c r="AC77" s="4457">
        <f t="shared" si="342"/>
        <v>0</v>
      </c>
      <c r="AD77" s="4458">
        <f t="shared" si="342"/>
        <v>-32164.73</v>
      </c>
      <c r="AE77" s="4459">
        <f t="shared" ref="AE77:AE79" si="343">AD77/AD$89</f>
        <v>-1.8895324749855145E-2</v>
      </c>
      <c r="AF77" s="4575"/>
      <c r="AG77" s="4457">
        <f t="shared" ref="AG77:AI77" si="344">AG78-AG79</f>
        <v>-5200</v>
      </c>
      <c r="AH77" s="4457">
        <f t="shared" si="344"/>
        <v>0</v>
      </c>
      <c r="AI77" s="4458">
        <f t="shared" si="344"/>
        <v>-5200</v>
      </c>
      <c r="AJ77" s="4459">
        <f t="shared" ref="AJ77:AJ79" si="345">AI77/AI$89</f>
        <v>-1.1221456798213946E-2</v>
      </c>
      <c r="AK77" s="4575"/>
      <c r="AL77" s="4457">
        <f t="shared" ref="AL77:AN77" si="346">AL78-AL79</f>
        <v>0</v>
      </c>
      <c r="AM77" s="4457">
        <f t="shared" si="346"/>
        <v>0</v>
      </c>
      <c r="AN77" s="4458">
        <f t="shared" si="346"/>
        <v>0</v>
      </c>
      <c r="AO77" s="4459">
        <f t="shared" ref="AO77:AO79" si="347">AN77/AN$89</f>
        <v>0</v>
      </c>
      <c r="AP77" s="4575"/>
      <c r="AQ77" s="4457">
        <f t="shared" ref="AQ77:AS77" si="348">AQ78-AQ79</f>
        <v>0</v>
      </c>
      <c r="AR77" s="4457">
        <f t="shared" si="348"/>
        <v>0</v>
      </c>
      <c r="AS77" s="4458">
        <f t="shared" si="348"/>
        <v>0</v>
      </c>
      <c r="AT77" s="4459">
        <f t="shared" ref="AT77:AT79" si="349">AS77/AS$89</f>
        <v>0</v>
      </c>
      <c r="AU77" s="4575"/>
      <c r="AV77" s="4457">
        <f t="shared" ref="AV77:AX77" si="350">AV78-AV79</f>
        <v>0</v>
      </c>
      <c r="AW77" s="4457">
        <f t="shared" si="350"/>
        <v>0</v>
      </c>
      <c r="AX77" s="4458">
        <f t="shared" si="350"/>
        <v>0</v>
      </c>
      <c r="AY77" s="4459" t="e">
        <f t="shared" ref="AY77:AY79" si="351">AX77/AX$89</f>
        <v>#DIV/0!</v>
      </c>
      <c r="AZ77" s="4575"/>
      <c r="BA77" s="4457">
        <f t="shared" ref="BA77:BC77" si="352">BA78-BA79</f>
        <v>0</v>
      </c>
      <c r="BB77" s="4457">
        <f t="shared" si="352"/>
        <v>0</v>
      </c>
      <c r="BC77" s="4458">
        <f t="shared" si="352"/>
        <v>0</v>
      </c>
      <c r="BD77" s="4459" t="e">
        <f t="shared" ref="BD77:BD79" si="353">BC77/BC$89</f>
        <v>#DIV/0!</v>
      </c>
      <c r="BE77" s="4575"/>
      <c r="BF77" s="4457">
        <f t="shared" ref="BF77:BH77" si="354">BF78-BF79</f>
        <v>0</v>
      </c>
      <c r="BG77" s="4457">
        <f t="shared" si="354"/>
        <v>0</v>
      </c>
      <c r="BH77" s="4458">
        <f t="shared" si="354"/>
        <v>0</v>
      </c>
      <c r="BI77" s="4459" t="e">
        <f t="shared" ref="BI77:BI79" si="355">BH77/BH$89</f>
        <v>#DIV/0!</v>
      </c>
      <c r="BJ77" s="4575"/>
      <c r="BK77" s="4457">
        <f t="shared" ref="BK77:BM77" si="356">BK78-BK79</f>
        <v>0</v>
      </c>
      <c r="BL77" s="4457">
        <f t="shared" si="356"/>
        <v>0</v>
      </c>
      <c r="BM77" s="4458">
        <f t="shared" si="356"/>
        <v>0</v>
      </c>
      <c r="BN77" s="4459" t="e">
        <f t="shared" ref="BN77:BN79" si="357">BM77/BM$89</f>
        <v>#DIV/0!</v>
      </c>
      <c r="BO77" s="4575"/>
      <c r="BP77" s="4457">
        <f t="shared" ref="BP77:BR77" si="358">BP78-BP79</f>
        <v>0</v>
      </c>
      <c r="BQ77" s="4457">
        <f t="shared" si="358"/>
        <v>0</v>
      </c>
      <c r="BR77" s="4458">
        <f t="shared" si="358"/>
        <v>0</v>
      </c>
      <c r="BS77" s="4459" t="e">
        <f t="shared" ref="BS77:BS79" si="359">BR77/BR$89</f>
        <v>#DIV/0!</v>
      </c>
      <c r="BT77" s="4575"/>
      <c r="BU77" s="4457">
        <f t="shared" ref="BU77:BW77" si="360">BU78-BU79</f>
        <v>0</v>
      </c>
      <c r="BV77" s="4457">
        <f t="shared" si="360"/>
        <v>0</v>
      </c>
      <c r="BW77" s="4458">
        <f t="shared" si="360"/>
        <v>0</v>
      </c>
      <c r="BX77" s="4459" t="e">
        <f t="shared" ref="BX77:BX79" si="361">BW77/BW$89</f>
        <v>#DIV/0!</v>
      </c>
      <c r="BY77" s="4575"/>
      <c r="BZ77" s="4457">
        <f>BZ78-BZ79</f>
        <v>-87821.65</v>
      </c>
      <c r="CA77" s="4457">
        <f>CA79</f>
        <v>0</v>
      </c>
      <c r="CB77" s="4458">
        <f>CB78-CB79</f>
        <v>-145703.66999999998</v>
      </c>
      <c r="CC77" s="4459"/>
      <c r="CD77" s="4459"/>
      <c r="CE77" s="4563"/>
      <c r="CF77" s="3144"/>
      <c r="CG77" s="3145"/>
    </row>
    <row r="78" spans="1:86" s="1396" customFormat="1" ht="14.4" customHeight="1" outlineLevel="2">
      <c r="A78" s="1405"/>
      <c r="B78" s="1622" t="s">
        <v>43</v>
      </c>
      <c r="C78" s="1510"/>
      <c r="D78" s="1511"/>
      <c r="E78" s="4552">
        <f>C78+D78*1.15</f>
        <v>0</v>
      </c>
      <c r="F78" s="1547"/>
      <c r="G78" s="2051">
        <v>0</v>
      </c>
      <c r="H78" s="4498">
        <v>0</v>
      </c>
      <c r="I78" s="3081">
        <v>0</v>
      </c>
      <c r="J78" s="4432">
        <f t="shared" si="338"/>
        <v>0</v>
      </c>
      <c r="K78" s="1662"/>
      <c r="L78" s="2051">
        <f t="shared" ref="L78:N79" si="362">R78+W78+AB78+AG78+AL78+AQ78+AV78+BA78+BF78+BK78+BP78+BU78</f>
        <v>0</v>
      </c>
      <c r="M78" s="4498">
        <f t="shared" si="362"/>
        <v>0</v>
      </c>
      <c r="N78" s="3081">
        <f t="shared" si="362"/>
        <v>0</v>
      </c>
      <c r="O78" s="4432">
        <f t="shared" si="339"/>
        <v>0</v>
      </c>
      <c r="P78" s="1662"/>
      <c r="Q78" s="2549"/>
      <c r="R78" s="2051"/>
      <c r="S78" s="4498"/>
      <c r="T78" s="3081">
        <f t="shared" ref="T78:T79" si="363">R78+S78*1</f>
        <v>0</v>
      </c>
      <c r="U78" s="4428">
        <f t="shared" si="340"/>
        <v>0</v>
      </c>
      <c r="V78" s="1662"/>
      <c r="W78" s="1618"/>
      <c r="X78" s="4576"/>
      <c r="Y78" s="3081">
        <f t="shared" ref="Y78:Y79" si="364">W78+X78*1</f>
        <v>0</v>
      </c>
      <c r="Z78" s="4428">
        <f t="shared" si="341"/>
        <v>0</v>
      </c>
      <c r="AA78" s="1662"/>
      <c r="AB78" s="1618"/>
      <c r="AC78" s="4576"/>
      <c r="AD78" s="3081">
        <f t="shared" ref="AD78:AD79" si="365">AB78+AC78*1</f>
        <v>0</v>
      </c>
      <c r="AE78" s="4428">
        <f t="shared" si="343"/>
        <v>0</v>
      </c>
      <c r="AF78" s="1662"/>
      <c r="AG78" s="1618"/>
      <c r="AH78" s="4576"/>
      <c r="AI78" s="3081">
        <f t="shared" ref="AI78:AI79" si="366">AG78+AH78*1</f>
        <v>0</v>
      </c>
      <c r="AJ78" s="4428">
        <f t="shared" si="345"/>
        <v>0</v>
      </c>
      <c r="AK78" s="1662"/>
      <c r="AL78" s="1618"/>
      <c r="AM78" s="4576"/>
      <c r="AN78" s="3081">
        <f t="shared" ref="AN78:AN79" si="367">AL78+AM78*1</f>
        <v>0</v>
      </c>
      <c r="AO78" s="4428">
        <f t="shared" si="347"/>
        <v>0</v>
      </c>
      <c r="AP78" s="1662"/>
      <c r="AQ78" s="1618"/>
      <c r="AR78" s="4576"/>
      <c r="AS78" s="3081">
        <f t="shared" ref="AS78:AS79" si="368">AQ78+AR78*1</f>
        <v>0</v>
      </c>
      <c r="AT78" s="4428">
        <f t="shared" si="349"/>
        <v>0</v>
      </c>
      <c r="AU78" s="1662"/>
      <c r="AV78" s="1618"/>
      <c r="AW78" s="4576"/>
      <c r="AX78" s="3081">
        <f t="shared" ref="AX78:AX79" si="369">AV78+AW78*1</f>
        <v>0</v>
      </c>
      <c r="AY78" s="4428" t="e">
        <f t="shared" si="351"/>
        <v>#DIV/0!</v>
      </c>
      <c r="AZ78" s="1662"/>
      <c r="BA78" s="1618"/>
      <c r="BB78" s="4576"/>
      <c r="BC78" s="3081">
        <f t="shared" ref="BC78:BC79" si="370">BA78+BB78*1</f>
        <v>0</v>
      </c>
      <c r="BD78" s="4428" t="e">
        <f t="shared" si="353"/>
        <v>#DIV/0!</v>
      </c>
      <c r="BE78" s="1662"/>
      <c r="BF78" s="1618"/>
      <c r="BG78" s="4576"/>
      <c r="BH78" s="3081">
        <f t="shared" ref="BH78:BH79" si="371">BF78+BG78*1</f>
        <v>0</v>
      </c>
      <c r="BI78" s="4428" t="e">
        <f t="shared" si="355"/>
        <v>#DIV/0!</v>
      </c>
      <c r="BJ78" s="1662"/>
      <c r="BK78" s="1618"/>
      <c r="BL78" s="4576"/>
      <c r="BM78" s="3081">
        <f t="shared" ref="BM78:BM79" si="372">BK78+BL78*1</f>
        <v>0</v>
      </c>
      <c r="BN78" s="4428" t="e">
        <f t="shared" si="357"/>
        <v>#DIV/0!</v>
      </c>
      <c r="BO78" s="1662"/>
      <c r="BP78" s="1618"/>
      <c r="BQ78" s="4576"/>
      <c r="BR78" s="3081">
        <f t="shared" ref="BR78:BR79" si="373">BP78+BQ78*1</f>
        <v>0</v>
      </c>
      <c r="BS78" s="4428" t="e">
        <f t="shared" si="359"/>
        <v>#DIV/0!</v>
      </c>
      <c r="BT78" s="1662"/>
      <c r="BU78" s="1618"/>
      <c r="BV78" s="4576"/>
      <c r="BW78" s="3081">
        <f t="shared" ref="BW78:BW79" si="374">BU78+BV78*1</f>
        <v>0</v>
      </c>
      <c r="BX78" s="4428" t="e">
        <f t="shared" si="361"/>
        <v>#DIV/0!</v>
      </c>
      <c r="BY78" s="1662"/>
      <c r="BZ78" s="4498">
        <f t="shared" ref="BZ78:CB79" si="375">G78+L78</f>
        <v>0</v>
      </c>
      <c r="CA78" s="4498">
        <f t="shared" si="375"/>
        <v>0</v>
      </c>
      <c r="CB78" s="3081">
        <f t="shared" si="375"/>
        <v>0</v>
      </c>
      <c r="CC78" s="1452"/>
      <c r="CD78" s="1452"/>
      <c r="CE78" s="4536"/>
      <c r="CF78" s="3144"/>
      <c r="CG78" s="3145"/>
    </row>
    <row r="79" spans="1:86" s="1396" customFormat="1" ht="14.4" customHeight="1" outlineLevel="2">
      <c r="A79" s="1405"/>
      <c r="B79" s="4430" t="s">
        <v>79</v>
      </c>
      <c r="C79" s="4513">
        <v>283672</v>
      </c>
      <c r="D79" s="4552"/>
      <c r="E79" s="4552">
        <f>C79+D79</f>
        <v>283672</v>
      </c>
      <c r="F79" s="4531">
        <f>E79/$E$89</f>
        <v>3.5064272715968167E-2</v>
      </c>
      <c r="G79" s="2051">
        <v>0</v>
      </c>
      <c r="H79" s="4498">
        <v>0</v>
      </c>
      <c r="I79" s="4498">
        <v>57882.02</v>
      </c>
      <c r="J79" s="4432">
        <f>I79/I$89</f>
        <v>1.9359910450275152E-2</v>
      </c>
      <c r="K79" s="4558"/>
      <c r="L79" s="2051">
        <f t="shared" si="362"/>
        <v>87821.65</v>
      </c>
      <c r="M79" s="4498">
        <f t="shared" si="362"/>
        <v>0</v>
      </c>
      <c r="N79" s="4498">
        <f t="shared" si="362"/>
        <v>87821.65</v>
      </c>
      <c r="O79" s="4432">
        <f>N79/N$89</f>
        <v>2.3526396639129889E-2</v>
      </c>
      <c r="P79" s="4558"/>
      <c r="Q79" s="1721"/>
      <c r="R79" s="2051">
        <v>13449.82</v>
      </c>
      <c r="S79" s="4498"/>
      <c r="T79" s="3081">
        <f t="shared" si="363"/>
        <v>13449.82</v>
      </c>
      <c r="U79" s="4428">
        <f t="shared" si="340"/>
        <v>3.5360186732047307E-2</v>
      </c>
      <c r="V79" s="4577"/>
      <c r="W79" s="2051">
        <v>37007.1</v>
      </c>
      <c r="X79" s="4576"/>
      <c r="Y79" s="3081">
        <f t="shared" si="364"/>
        <v>37007.1</v>
      </c>
      <c r="Z79" s="4428">
        <f t="shared" si="341"/>
        <v>3.4391374843810399E-2</v>
      </c>
      <c r="AA79" s="4577"/>
      <c r="AB79" s="2051">
        <v>32164.73</v>
      </c>
      <c r="AC79" s="4576"/>
      <c r="AD79" s="3081">
        <f t="shared" si="365"/>
        <v>32164.73</v>
      </c>
      <c r="AE79" s="4428">
        <f t="shared" si="343"/>
        <v>1.8895324749855145E-2</v>
      </c>
      <c r="AF79" s="4577"/>
      <c r="AG79" s="2051">
        <v>5200</v>
      </c>
      <c r="AH79" s="4576"/>
      <c r="AI79" s="3081">
        <f t="shared" si="366"/>
        <v>5200</v>
      </c>
      <c r="AJ79" s="4428">
        <f t="shared" si="345"/>
        <v>1.1221456798213946E-2</v>
      </c>
      <c r="AK79" s="4577"/>
      <c r="AL79" s="1618"/>
      <c r="AM79" s="4576"/>
      <c r="AN79" s="3081">
        <f t="shared" si="367"/>
        <v>0</v>
      </c>
      <c r="AO79" s="4428">
        <f t="shared" si="347"/>
        <v>0</v>
      </c>
      <c r="AP79" s="4577"/>
      <c r="AQ79" s="1618"/>
      <c r="AR79" s="4576"/>
      <c r="AS79" s="3081">
        <f t="shared" si="368"/>
        <v>0</v>
      </c>
      <c r="AT79" s="4428">
        <f t="shared" si="349"/>
        <v>0</v>
      </c>
      <c r="AU79" s="4577"/>
      <c r="AV79" s="1618"/>
      <c r="AW79" s="4576"/>
      <c r="AX79" s="3081">
        <f t="shared" si="369"/>
        <v>0</v>
      </c>
      <c r="AY79" s="4428" t="e">
        <f t="shared" si="351"/>
        <v>#DIV/0!</v>
      </c>
      <c r="AZ79" s="4577"/>
      <c r="BA79" s="1618"/>
      <c r="BB79" s="4576"/>
      <c r="BC79" s="3081">
        <f t="shared" si="370"/>
        <v>0</v>
      </c>
      <c r="BD79" s="4428" t="e">
        <f t="shared" si="353"/>
        <v>#DIV/0!</v>
      </c>
      <c r="BE79" s="4577"/>
      <c r="BF79" s="1618"/>
      <c r="BG79" s="4576"/>
      <c r="BH79" s="3081">
        <f t="shared" si="371"/>
        <v>0</v>
      </c>
      <c r="BI79" s="4428" t="e">
        <f t="shared" si="355"/>
        <v>#DIV/0!</v>
      </c>
      <c r="BJ79" s="4577"/>
      <c r="BK79" s="1618"/>
      <c r="BL79" s="4576"/>
      <c r="BM79" s="3081">
        <f t="shared" si="372"/>
        <v>0</v>
      </c>
      <c r="BN79" s="4428" t="e">
        <f t="shared" si="357"/>
        <v>#DIV/0!</v>
      </c>
      <c r="BO79" s="4577"/>
      <c r="BP79" s="1618"/>
      <c r="BQ79" s="4576"/>
      <c r="BR79" s="3081">
        <f t="shared" si="373"/>
        <v>0</v>
      </c>
      <c r="BS79" s="4428" t="e">
        <f t="shared" si="359"/>
        <v>#DIV/0!</v>
      </c>
      <c r="BT79" s="4577"/>
      <c r="BU79" s="1618"/>
      <c r="BV79" s="4576"/>
      <c r="BW79" s="3081">
        <f t="shared" si="374"/>
        <v>0</v>
      </c>
      <c r="BX79" s="4428" t="e">
        <f t="shared" si="361"/>
        <v>#DIV/0!</v>
      </c>
      <c r="BY79" s="4577"/>
      <c r="BZ79" s="4498">
        <f t="shared" si="375"/>
        <v>87821.65</v>
      </c>
      <c r="CA79" s="4498">
        <f t="shared" si="375"/>
        <v>0</v>
      </c>
      <c r="CB79" s="4578">
        <f t="shared" si="375"/>
        <v>145703.66999999998</v>
      </c>
      <c r="CC79" s="4445"/>
      <c r="CD79" s="4445"/>
      <c r="CE79" s="1980">
        <f t="shared" ref="CE79" si="376">CB79-E79</f>
        <v>-137968.33000000002</v>
      </c>
      <c r="CF79" s="4500">
        <v>145703.66999999998</v>
      </c>
      <c r="CG79" s="4501">
        <f t="shared" ref="CG79" si="377">CF79-CB79</f>
        <v>0</v>
      </c>
    </row>
    <row r="80" spans="1:86" ht="14.4" customHeight="1" outlineLevel="2">
      <c r="A80" s="1397"/>
      <c r="B80" s="4579"/>
      <c r="C80" s="4580"/>
      <c r="D80" s="4581"/>
      <c r="E80" s="4582"/>
      <c r="F80" s="4583"/>
      <c r="G80" s="2051"/>
      <c r="H80" s="4498"/>
      <c r="I80" s="4464"/>
      <c r="J80" s="4464"/>
      <c r="K80" s="4465"/>
      <c r="L80" s="2051"/>
      <c r="M80" s="4498"/>
      <c r="N80" s="4464"/>
      <c r="O80" s="4464"/>
      <c r="P80" s="4465"/>
      <c r="Q80" s="1718"/>
      <c r="R80" s="1618"/>
      <c r="S80" s="4576"/>
      <c r="T80" s="4464"/>
      <c r="U80" s="4464"/>
      <c r="V80" s="4465"/>
      <c r="W80" s="1618"/>
      <c r="X80" s="4576"/>
      <c r="Y80" s="4464"/>
      <c r="Z80" s="4464"/>
      <c r="AA80" s="4465"/>
      <c r="AB80" s="1618"/>
      <c r="AC80" s="4576"/>
      <c r="AD80" s="4464"/>
      <c r="AE80" s="4464"/>
      <c r="AF80" s="4465"/>
      <c r="AG80" s="1618"/>
      <c r="AH80" s="4576"/>
      <c r="AI80" s="4464"/>
      <c r="AJ80" s="4464"/>
      <c r="AK80" s="4465"/>
      <c r="AL80" s="1618"/>
      <c r="AM80" s="4576"/>
      <c r="AN80" s="4464"/>
      <c r="AO80" s="4464"/>
      <c r="AP80" s="4465"/>
      <c r="AQ80" s="1618"/>
      <c r="AR80" s="4576"/>
      <c r="AS80" s="4464"/>
      <c r="AT80" s="4464"/>
      <c r="AU80" s="4465"/>
      <c r="AV80" s="1618"/>
      <c r="AW80" s="4576"/>
      <c r="AX80" s="4464"/>
      <c r="AY80" s="4464"/>
      <c r="AZ80" s="4465"/>
      <c r="BA80" s="1618"/>
      <c r="BB80" s="4576"/>
      <c r="BC80" s="4464"/>
      <c r="BD80" s="4464"/>
      <c r="BE80" s="4465"/>
      <c r="BF80" s="1618"/>
      <c r="BG80" s="4576"/>
      <c r="BH80" s="4464"/>
      <c r="BI80" s="4464"/>
      <c r="BJ80" s="4465"/>
      <c r="BK80" s="1618"/>
      <c r="BL80" s="4576"/>
      <c r="BM80" s="4464"/>
      <c r="BN80" s="4464"/>
      <c r="BO80" s="4465"/>
      <c r="BP80" s="1618"/>
      <c r="BQ80" s="4576"/>
      <c r="BR80" s="4464"/>
      <c r="BS80" s="4464"/>
      <c r="BT80" s="4465"/>
      <c r="BU80" s="1618"/>
      <c r="BV80" s="4576"/>
      <c r="BW80" s="4464"/>
      <c r="BX80" s="4464"/>
      <c r="BY80" s="4465"/>
      <c r="BZ80" s="4498"/>
      <c r="CA80" s="4498"/>
      <c r="CB80" s="4464"/>
      <c r="CC80" s="4464"/>
      <c r="CD80" s="4464"/>
      <c r="CE80" s="1980"/>
      <c r="CF80" s="3144"/>
      <c r="CG80" s="3145"/>
    </row>
    <row r="81" spans="1:86" s="1396" customFormat="1" ht="14.4" customHeight="1" outlineLevel="1" thickBot="1">
      <c r="A81" s="1419"/>
      <c r="B81" s="4573" t="s">
        <v>12</v>
      </c>
      <c r="C81" s="4457">
        <f>(C75+C78)-C79</f>
        <v>6517162</v>
      </c>
      <c r="D81" s="4457">
        <f>(D75+D78)-D79</f>
        <v>-3268455</v>
      </c>
      <c r="E81" s="4458">
        <f>(E75+E78)-E79</f>
        <v>3248707</v>
      </c>
      <c r="F81" s="4574"/>
      <c r="G81" s="4457">
        <f>(G75+G78)-G79</f>
        <v>2463416.6104000001</v>
      </c>
      <c r="H81" s="4457">
        <f>(H75+H78)-H79</f>
        <v>-819711.65999999992</v>
      </c>
      <c r="I81" s="4458">
        <f>(I75+I78)-I79</f>
        <v>1585822.9304</v>
      </c>
      <c r="J81" s="4459"/>
      <c r="K81" s="4575"/>
      <c r="L81" s="4457">
        <f>(L75+L78)-L79</f>
        <v>4473211.8199999994</v>
      </c>
      <c r="M81" s="4457">
        <f>(M75+M78)-M79</f>
        <v>-1330976.1299999999</v>
      </c>
      <c r="N81" s="4458">
        <f>(N75+N78)-N79</f>
        <v>3142235.6900000004</v>
      </c>
      <c r="O81" s="4459"/>
      <c r="P81" s="4575"/>
      <c r="Q81" s="4574"/>
      <c r="R81" s="4457">
        <f>(R75+R78)-R79</f>
        <v>-138285.40400000001</v>
      </c>
      <c r="S81" s="4457">
        <f>(S75+S78)-S79</f>
        <v>-242080.8</v>
      </c>
      <c r="T81" s="4458">
        <f>(T75+T78)-T79</f>
        <v>-380366.20400000003</v>
      </c>
      <c r="U81" s="4459"/>
      <c r="V81" s="4575"/>
      <c r="W81" s="4457">
        <f>(W75+W78)-W79</f>
        <v>3034024.8080000002</v>
      </c>
      <c r="X81" s="4457">
        <f>(X75+X78)-X79</f>
        <v>-604445</v>
      </c>
      <c r="Y81" s="4458">
        <f>(Y75+Y78)-Y79</f>
        <v>2430131.5580000002</v>
      </c>
      <c r="Z81" s="4459"/>
      <c r="AA81" s="4575"/>
      <c r="AB81" s="4457">
        <f t="shared" ref="AB81:AD81" si="378">(AB75+AB78)-AB79</f>
        <v>1599844.4600000007</v>
      </c>
      <c r="AC81" s="4457">
        <f t="shared" si="378"/>
        <v>-284012</v>
      </c>
      <c r="AD81" s="4458">
        <f t="shared" si="378"/>
        <v>1315832.4600000007</v>
      </c>
      <c r="AE81" s="4459"/>
      <c r="AF81" s="4575"/>
      <c r="AG81" s="4457">
        <f t="shared" ref="AG81:AI81" si="379">(AG75+AG78)-AG79</f>
        <v>-22372.044000000002</v>
      </c>
      <c r="AH81" s="4457">
        <f t="shared" si="379"/>
        <v>-90172</v>
      </c>
      <c r="AI81" s="4458">
        <f t="shared" si="379"/>
        <v>-112544.04400000001</v>
      </c>
      <c r="AJ81" s="4459"/>
      <c r="AK81" s="4575"/>
      <c r="AL81" s="4457">
        <f t="shared" ref="AL81:AN81" si="380">(AL75+AL78)-AL79</f>
        <v>0</v>
      </c>
      <c r="AM81" s="4457">
        <f t="shared" si="380"/>
        <v>-65000</v>
      </c>
      <c r="AN81" s="4458">
        <f t="shared" si="380"/>
        <v>-65000</v>
      </c>
      <c r="AO81" s="4459"/>
      <c r="AP81" s="4575"/>
      <c r="AQ81" s="4457">
        <f t="shared" ref="AQ81:AS81" si="381">(AQ75+AQ78)-AQ79</f>
        <v>0</v>
      </c>
      <c r="AR81" s="4457">
        <f t="shared" si="381"/>
        <v>-45266.33</v>
      </c>
      <c r="AS81" s="4458">
        <f t="shared" si="381"/>
        <v>-45266.33</v>
      </c>
      <c r="AT81" s="4459"/>
      <c r="AU81" s="4575"/>
      <c r="AV81" s="4457">
        <f t="shared" ref="AV81:AX81" si="382">(AV75+AV78)-AV79</f>
        <v>0</v>
      </c>
      <c r="AW81" s="4457">
        <f t="shared" si="382"/>
        <v>0</v>
      </c>
      <c r="AX81" s="4458">
        <f t="shared" si="382"/>
        <v>0</v>
      </c>
      <c r="AY81" s="4459"/>
      <c r="AZ81" s="4575"/>
      <c r="BA81" s="4457">
        <f t="shared" ref="BA81:BC81" si="383">(BA75+BA78)-BA79</f>
        <v>0</v>
      </c>
      <c r="BB81" s="4457">
        <f t="shared" si="383"/>
        <v>0</v>
      </c>
      <c r="BC81" s="4458">
        <f t="shared" si="383"/>
        <v>0</v>
      </c>
      <c r="BD81" s="4459"/>
      <c r="BE81" s="4575"/>
      <c r="BF81" s="4457">
        <f t="shared" ref="BF81:BH81" si="384">(BF75+BF78)-BF79</f>
        <v>0</v>
      </c>
      <c r="BG81" s="4457">
        <f t="shared" si="384"/>
        <v>0</v>
      </c>
      <c r="BH81" s="4458">
        <f t="shared" si="384"/>
        <v>0</v>
      </c>
      <c r="BI81" s="4459"/>
      <c r="BJ81" s="4575"/>
      <c r="BK81" s="4457">
        <f t="shared" ref="BK81:BM81" si="385">(BK75+BK78)-BK79</f>
        <v>0</v>
      </c>
      <c r="BL81" s="4457">
        <f t="shared" si="385"/>
        <v>0</v>
      </c>
      <c r="BM81" s="4458">
        <f t="shared" si="385"/>
        <v>0</v>
      </c>
      <c r="BN81" s="4459"/>
      <c r="BO81" s="4575"/>
      <c r="BP81" s="4457">
        <f t="shared" ref="BP81:BR81" si="386">(BP75+BP78)-BP79</f>
        <v>0</v>
      </c>
      <c r="BQ81" s="4457">
        <f t="shared" si="386"/>
        <v>0</v>
      </c>
      <c r="BR81" s="4458">
        <f t="shared" si="386"/>
        <v>0</v>
      </c>
      <c r="BS81" s="4459"/>
      <c r="BT81" s="4575"/>
      <c r="BU81" s="4457">
        <f t="shared" ref="BU81:BW81" si="387">(BU75+BU78)-BU79</f>
        <v>0</v>
      </c>
      <c r="BV81" s="4457">
        <f t="shared" si="387"/>
        <v>0</v>
      </c>
      <c r="BW81" s="4458">
        <f t="shared" si="387"/>
        <v>0</v>
      </c>
      <c r="BX81" s="4459"/>
      <c r="BY81" s="4575"/>
      <c r="BZ81" s="4458">
        <f>(BZ75+BZ78)-BZ79</f>
        <v>6936628.4304</v>
      </c>
      <c r="CA81" s="4458">
        <f>(CA75+CA78)-CA79</f>
        <v>-2150687.79</v>
      </c>
      <c r="CB81" s="4458">
        <f>(CB75+CB78)-CB79</f>
        <v>4728058.6204000004</v>
      </c>
      <c r="CC81" s="4459"/>
      <c r="CD81" s="4459"/>
      <c r="CE81" s="4563"/>
      <c r="CF81" s="3144"/>
      <c r="CG81" s="3145"/>
    </row>
    <row r="82" spans="1:86" s="1396" customFormat="1" ht="14.4" customHeight="1" outlineLevel="2">
      <c r="A82" s="1565"/>
      <c r="B82" s="1622" t="s">
        <v>38</v>
      </c>
      <c r="C82" s="1510"/>
      <c r="D82" s="1511"/>
      <c r="E82" s="1515">
        <f>C82+D82</f>
        <v>0</v>
      </c>
      <c r="F82" s="4531">
        <f>E82/$E$89</f>
        <v>0</v>
      </c>
      <c r="G82" s="2051">
        <v>0</v>
      </c>
      <c r="H82" s="4498">
        <v>0</v>
      </c>
      <c r="I82" s="1515">
        <f>G82+H82</f>
        <v>0</v>
      </c>
      <c r="J82" s="4584"/>
      <c r="K82" s="4585"/>
      <c r="L82" s="2051">
        <f t="shared" ref="L82:M82" si="388">R82+W82+AB82+AG82+AL82+AQ82+AV82+BA82+BF82+BK82+BP82+BU82</f>
        <v>0</v>
      </c>
      <c r="M82" s="4498">
        <f t="shared" si="388"/>
        <v>0</v>
      </c>
      <c r="N82" s="1515">
        <f>L82+M82</f>
        <v>0</v>
      </c>
      <c r="O82" s="4584"/>
      <c r="P82" s="4585"/>
      <c r="Q82" s="1721"/>
      <c r="R82" s="2051"/>
      <c r="S82" s="4498"/>
      <c r="T82" s="1515">
        <f>R82+S82</f>
        <v>0</v>
      </c>
      <c r="U82" s="4584"/>
      <c r="V82" s="4499"/>
      <c r="W82" s="2051"/>
      <c r="X82" s="4498"/>
      <c r="Y82" s="1515">
        <f>W82+X82</f>
        <v>0</v>
      </c>
      <c r="Z82" s="4584"/>
      <c r="AA82" s="4499"/>
      <c r="AB82" s="2051"/>
      <c r="AC82" s="4498"/>
      <c r="AD82" s="1515">
        <f t="shared" ref="AD82" si="389">AB82+AC82</f>
        <v>0</v>
      </c>
      <c r="AE82" s="4584"/>
      <c r="AF82" s="4499"/>
      <c r="AG82" s="2051"/>
      <c r="AH82" s="4498"/>
      <c r="AI82" s="1515">
        <f t="shared" ref="AI82" si="390">AG82+AH82</f>
        <v>0</v>
      </c>
      <c r="AJ82" s="4584"/>
      <c r="AK82" s="4499"/>
      <c r="AL82" s="2051"/>
      <c r="AM82" s="4498"/>
      <c r="AN82" s="1515">
        <f t="shared" ref="AN82" si="391">AL82+AM82</f>
        <v>0</v>
      </c>
      <c r="AO82" s="4584"/>
      <c r="AP82" s="4499"/>
      <c r="AQ82" s="2051"/>
      <c r="AR82" s="4498"/>
      <c r="AS82" s="1515">
        <f t="shared" ref="AS82" si="392">AQ82+AR82</f>
        <v>0</v>
      </c>
      <c r="AT82" s="4584"/>
      <c r="AU82" s="4499"/>
      <c r="AV82" s="2051"/>
      <c r="AW82" s="4498"/>
      <c r="AX82" s="1515">
        <f t="shared" ref="AX82" si="393">AV82+AW82</f>
        <v>0</v>
      </c>
      <c r="AY82" s="4584"/>
      <c r="AZ82" s="4499"/>
      <c r="BA82" s="2051"/>
      <c r="BB82" s="4498"/>
      <c r="BC82" s="1515">
        <f t="shared" ref="BC82" si="394">BA82+BB82</f>
        <v>0</v>
      </c>
      <c r="BD82" s="4584"/>
      <c r="BE82" s="4499"/>
      <c r="BF82" s="2051"/>
      <c r="BG82" s="4498"/>
      <c r="BH82" s="1515">
        <f t="shared" ref="BH82" si="395">BF82+BG82</f>
        <v>0</v>
      </c>
      <c r="BI82" s="4584"/>
      <c r="BJ82" s="4499"/>
      <c r="BK82" s="2051"/>
      <c r="BL82" s="4498"/>
      <c r="BM82" s="1515">
        <f t="shared" ref="BM82" si="396">BK82+BL82</f>
        <v>0</v>
      </c>
      <c r="BN82" s="4584"/>
      <c r="BO82" s="4499"/>
      <c r="BP82" s="2051"/>
      <c r="BQ82" s="4498"/>
      <c r="BR82" s="1515">
        <f t="shared" ref="BR82" si="397">BP82+BQ82</f>
        <v>0</v>
      </c>
      <c r="BS82" s="4584"/>
      <c r="BT82" s="4499"/>
      <c r="BU82" s="2051"/>
      <c r="BV82" s="4498"/>
      <c r="BW82" s="1515">
        <f t="shared" ref="BW82" si="398">BU82+BV82</f>
        <v>0</v>
      </c>
      <c r="BX82" s="4584"/>
      <c r="BY82" s="4499"/>
      <c r="BZ82" s="4498">
        <f>G82+L82</f>
        <v>0</v>
      </c>
      <c r="CA82" s="4498">
        <f>H82+M82</f>
        <v>0</v>
      </c>
      <c r="CB82" s="1515">
        <f>BZ82+CA82</f>
        <v>0</v>
      </c>
      <c r="CC82" s="4584"/>
      <c r="CD82" s="4584"/>
      <c r="CE82" s="4586"/>
      <c r="CF82" s="3144"/>
      <c r="CG82" s="3145"/>
    </row>
    <row r="83" spans="1:86" s="1396" customFormat="1" ht="14.4" customHeight="1" outlineLevel="1">
      <c r="A83" s="1405"/>
      <c r="B83" s="4587" t="s">
        <v>13</v>
      </c>
      <c r="C83" s="4467">
        <f t="shared" ref="C83:E83" si="399">(C81)-C36</f>
        <v>6517162</v>
      </c>
      <c r="D83" s="4467">
        <f t="shared" si="399"/>
        <v>-3268455</v>
      </c>
      <c r="E83" s="4467">
        <f t="shared" si="399"/>
        <v>3248707</v>
      </c>
      <c r="F83" s="4588"/>
      <c r="G83" s="4467">
        <f>(G81)-G36</f>
        <v>2373924.8304000003</v>
      </c>
      <c r="H83" s="4467">
        <f t="shared" ref="H83:I83" si="400">(H81)-H36</f>
        <v>-819711.65999999992</v>
      </c>
      <c r="I83" s="4468">
        <f t="shared" si="400"/>
        <v>1496331.1503999999</v>
      </c>
      <c r="J83" s="4469"/>
      <c r="K83" s="4589"/>
      <c r="L83" s="4467">
        <f>(L81)-L36</f>
        <v>4471322.8199999994</v>
      </c>
      <c r="M83" s="4467">
        <f t="shared" ref="M83:N83" si="401">(M81)-M36</f>
        <v>-1330976.1299999999</v>
      </c>
      <c r="N83" s="4468">
        <f t="shared" si="401"/>
        <v>3140346.6900000004</v>
      </c>
      <c r="O83" s="4469"/>
      <c r="P83" s="4589"/>
      <c r="Q83" s="4588"/>
      <c r="R83" s="4467">
        <f>(R81+R7)-R36</f>
        <v>-138285.40400000001</v>
      </c>
      <c r="S83" s="4467">
        <f>(S81+S7)-S36</f>
        <v>-242080.8</v>
      </c>
      <c r="T83" s="4468">
        <f>(T81+T7)-T36</f>
        <v>-380366.20400000003</v>
      </c>
      <c r="U83" s="4469"/>
      <c r="V83" s="4589"/>
      <c r="W83" s="4467">
        <f>(W81+W7)-W36</f>
        <v>3032135.8080000002</v>
      </c>
      <c r="X83" s="4467">
        <f>(X81+X7)-X36</f>
        <v>-604445</v>
      </c>
      <c r="Y83" s="4468">
        <f>(Y81+Y7)-Y36</f>
        <v>2428242.5580000002</v>
      </c>
      <c r="Z83" s="4469"/>
      <c r="AA83" s="4589"/>
      <c r="AB83" s="4467">
        <f t="shared" ref="AB83:AD83" si="402">(AB81+AB7)-AB36</f>
        <v>1599844.4600000007</v>
      </c>
      <c r="AC83" s="4467">
        <f t="shared" si="402"/>
        <v>-284012</v>
      </c>
      <c r="AD83" s="4468">
        <f t="shared" si="402"/>
        <v>1315832.4600000007</v>
      </c>
      <c r="AE83" s="4469"/>
      <c r="AF83" s="4589"/>
      <c r="AG83" s="4467">
        <f t="shared" ref="AG83:AI83" si="403">(AG81+AG7)-AG36</f>
        <v>-22372.044000000002</v>
      </c>
      <c r="AH83" s="4467">
        <f t="shared" si="403"/>
        <v>-90172</v>
      </c>
      <c r="AI83" s="4468">
        <f t="shared" si="403"/>
        <v>-112544.04400000001</v>
      </c>
      <c r="AJ83" s="4469"/>
      <c r="AK83" s="4589"/>
      <c r="AL83" s="4467">
        <f t="shared" ref="AL83:AN83" si="404">(AL81+AL7)-AL36</f>
        <v>0</v>
      </c>
      <c r="AM83" s="4467">
        <f t="shared" si="404"/>
        <v>-65000</v>
      </c>
      <c r="AN83" s="4468">
        <f t="shared" si="404"/>
        <v>-65000</v>
      </c>
      <c r="AO83" s="4469"/>
      <c r="AP83" s="4589"/>
      <c r="AQ83" s="4467">
        <f t="shared" ref="AQ83:AS83" si="405">(AQ81+AQ7)-AQ36</f>
        <v>0</v>
      </c>
      <c r="AR83" s="4467">
        <f t="shared" si="405"/>
        <v>-45266.33</v>
      </c>
      <c r="AS83" s="4468">
        <f t="shared" si="405"/>
        <v>-45266.33</v>
      </c>
      <c r="AT83" s="4469"/>
      <c r="AU83" s="4589"/>
      <c r="AV83" s="4467">
        <f t="shared" ref="AV83:AX83" si="406">(AV81+AV7)-AV36</f>
        <v>0</v>
      </c>
      <c r="AW83" s="4467">
        <f t="shared" si="406"/>
        <v>0</v>
      </c>
      <c r="AX83" s="4468">
        <f t="shared" si="406"/>
        <v>0</v>
      </c>
      <c r="AY83" s="4469"/>
      <c r="AZ83" s="4589"/>
      <c r="BA83" s="4467">
        <f t="shared" ref="BA83:BC83" si="407">(BA81+BA7)-BA36</f>
        <v>0</v>
      </c>
      <c r="BB83" s="4467">
        <f t="shared" si="407"/>
        <v>0</v>
      </c>
      <c r="BC83" s="4468">
        <f t="shared" si="407"/>
        <v>0</v>
      </c>
      <c r="BD83" s="4469"/>
      <c r="BE83" s="4589"/>
      <c r="BF83" s="4467">
        <f t="shared" ref="BF83:BH83" si="408">(BF81+BF7)-BF36</f>
        <v>0</v>
      </c>
      <c r="BG83" s="4467">
        <f t="shared" si="408"/>
        <v>0</v>
      </c>
      <c r="BH83" s="4468">
        <f t="shared" si="408"/>
        <v>0</v>
      </c>
      <c r="BI83" s="4469"/>
      <c r="BJ83" s="4589"/>
      <c r="BK83" s="4467">
        <f t="shared" ref="BK83:BM83" si="409">(BK81+BK7)-BK36</f>
        <v>0</v>
      </c>
      <c r="BL83" s="4467">
        <f t="shared" si="409"/>
        <v>0</v>
      </c>
      <c r="BM83" s="4468">
        <f t="shared" si="409"/>
        <v>0</v>
      </c>
      <c r="BN83" s="4469"/>
      <c r="BO83" s="4589"/>
      <c r="BP83" s="4467">
        <f t="shared" ref="BP83:BR83" si="410">(BP81+BP7)-BP36</f>
        <v>0</v>
      </c>
      <c r="BQ83" s="4467">
        <f t="shared" si="410"/>
        <v>0</v>
      </c>
      <c r="BR83" s="4468">
        <f t="shared" si="410"/>
        <v>0</v>
      </c>
      <c r="BS83" s="4469"/>
      <c r="BT83" s="4589"/>
      <c r="BU83" s="4467">
        <f t="shared" ref="BU83:BW83" si="411">(BU81+BU7)-BU36</f>
        <v>0</v>
      </c>
      <c r="BV83" s="4467">
        <f t="shared" si="411"/>
        <v>0</v>
      </c>
      <c r="BW83" s="4468">
        <f t="shared" si="411"/>
        <v>0</v>
      </c>
      <c r="BX83" s="4469"/>
      <c r="BY83" s="4589"/>
      <c r="BZ83" s="4467">
        <f>(BZ81)-BZ36</f>
        <v>6845247.6503999997</v>
      </c>
      <c r="CA83" s="4467">
        <f>(CA81)-CA36</f>
        <v>-2150687.79</v>
      </c>
      <c r="CB83" s="4468">
        <f>(CB81)-CB36</f>
        <v>4636677.8404000001</v>
      </c>
      <c r="CC83" s="4469"/>
      <c r="CD83" s="4469"/>
      <c r="CE83" s="4590"/>
      <c r="CF83" s="3144" t="s">
        <v>2144</v>
      </c>
      <c r="CG83" s="3145">
        <f>SUM(CG6:CG82)</f>
        <v>-167103.28960000019</v>
      </c>
      <c r="CH83" s="842" t="str">
        <f>CC96</f>
        <v>* долг по бетону - НДС не зарегестрирован</v>
      </c>
    </row>
    <row r="84" spans="1:86" s="1396" customFormat="1" ht="14.4" customHeight="1" outlineLevel="1" thickBot="1">
      <c r="A84" s="1405"/>
      <c r="B84" s="4591" t="s">
        <v>14</v>
      </c>
      <c r="C84" s="4592">
        <f>C83-C73-C82</f>
        <v>6186907</v>
      </c>
      <c r="D84" s="4592">
        <f>D83-D73-D82</f>
        <v>-3268455</v>
      </c>
      <c r="E84" s="4592">
        <f>E83-E73-E82</f>
        <v>2918452</v>
      </c>
      <c r="F84" s="4593"/>
      <c r="G84" s="4472">
        <f>G83-G73-G82</f>
        <v>2373924.8304000003</v>
      </c>
      <c r="H84" s="4472">
        <f>H83-H73-H82</f>
        <v>-819711.65999999992</v>
      </c>
      <c r="I84" s="4472">
        <f>I83-I73-I82</f>
        <v>1496331.1503999999</v>
      </c>
      <c r="J84" s="4594"/>
      <c r="K84" s="4595"/>
      <c r="L84" s="4472">
        <f>L83-L73-L82</f>
        <v>4140467.5607999992</v>
      </c>
      <c r="M84" s="4472">
        <f>M83-M73-M82</f>
        <v>-1330976.1299999999</v>
      </c>
      <c r="N84" s="4472">
        <f>N83-N73-N82</f>
        <v>2809491.4308000002</v>
      </c>
      <c r="O84" s="4594"/>
      <c r="P84" s="4595"/>
      <c r="Q84" s="4593"/>
      <c r="R84" s="4472">
        <f>R83-R73-R82</f>
        <v>-138285.40400000001</v>
      </c>
      <c r="S84" s="4472">
        <f>S83-S73-S82</f>
        <v>-242080.8</v>
      </c>
      <c r="T84" s="4472">
        <f>T83-T73-T82</f>
        <v>-380366.20400000003</v>
      </c>
      <c r="U84" s="4594"/>
      <c r="V84" s="4595"/>
      <c r="W84" s="4472">
        <f>W83-W73-W82</f>
        <v>3032135.8080000002</v>
      </c>
      <c r="X84" s="4472">
        <f>X83-X73-X82</f>
        <v>-604445</v>
      </c>
      <c r="Y84" s="4472">
        <f>Y83-Y73-Y82</f>
        <v>2428242.5580000002</v>
      </c>
      <c r="Z84" s="4594"/>
      <c r="AA84" s="4595"/>
      <c r="AB84" s="4472">
        <f t="shared" ref="AB84:AD84" si="412">AB83-AB73-AB82</f>
        <v>1599844.4600000007</v>
      </c>
      <c r="AC84" s="4472">
        <f t="shared" si="412"/>
        <v>-284012</v>
      </c>
      <c r="AD84" s="4472">
        <f t="shared" si="412"/>
        <v>1315832.4600000007</v>
      </c>
      <c r="AE84" s="4594"/>
      <c r="AF84" s="4595"/>
      <c r="AG84" s="4472">
        <f t="shared" ref="AG84:AI84" si="413">AG83-AG73-AG82</f>
        <v>-353227.30320000002</v>
      </c>
      <c r="AH84" s="4472">
        <f t="shared" si="413"/>
        <v>-90172</v>
      </c>
      <c r="AI84" s="4472">
        <f t="shared" si="413"/>
        <v>-443399.30320000002</v>
      </c>
      <c r="AJ84" s="4594"/>
      <c r="AK84" s="4595"/>
      <c r="AL84" s="4472">
        <f t="shared" ref="AL84:AN84" si="414">AL83-AL73-AL82</f>
        <v>0</v>
      </c>
      <c r="AM84" s="4472">
        <f t="shared" si="414"/>
        <v>-65000</v>
      </c>
      <c r="AN84" s="4472">
        <f t="shared" si="414"/>
        <v>-65000</v>
      </c>
      <c r="AO84" s="4594"/>
      <c r="AP84" s="4595"/>
      <c r="AQ84" s="4472">
        <f t="shared" ref="AQ84:AS84" si="415">AQ83-AQ73-AQ82</f>
        <v>0</v>
      </c>
      <c r="AR84" s="4472">
        <f t="shared" si="415"/>
        <v>-45266.33</v>
      </c>
      <c r="AS84" s="4472">
        <f t="shared" si="415"/>
        <v>-45266.33</v>
      </c>
      <c r="AT84" s="4594"/>
      <c r="AU84" s="4595"/>
      <c r="AV84" s="4472">
        <f t="shared" ref="AV84:AX84" si="416">AV83-AV73-AV82</f>
        <v>0</v>
      </c>
      <c r="AW84" s="4472">
        <f t="shared" si="416"/>
        <v>0</v>
      </c>
      <c r="AX84" s="4472">
        <f t="shared" si="416"/>
        <v>0</v>
      </c>
      <c r="AY84" s="4594"/>
      <c r="AZ84" s="4595"/>
      <c r="BA84" s="4472">
        <f t="shared" ref="BA84:BC84" si="417">BA83-BA73-BA82</f>
        <v>0</v>
      </c>
      <c r="BB84" s="4472">
        <f t="shared" si="417"/>
        <v>0</v>
      </c>
      <c r="BC84" s="4472">
        <f t="shared" si="417"/>
        <v>0</v>
      </c>
      <c r="BD84" s="4594"/>
      <c r="BE84" s="4595"/>
      <c r="BF84" s="4472">
        <f t="shared" ref="BF84:BH84" si="418">BF83-BF73-BF82</f>
        <v>0</v>
      </c>
      <c r="BG84" s="4472">
        <f t="shared" si="418"/>
        <v>0</v>
      </c>
      <c r="BH84" s="4472">
        <f t="shared" si="418"/>
        <v>0</v>
      </c>
      <c r="BI84" s="4594"/>
      <c r="BJ84" s="4595"/>
      <c r="BK84" s="4472">
        <f t="shared" ref="BK84:BM84" si="419">BK83-BK73-BK82</f>
        <v>0</v>
      </c>
      <c r="BL84" s="4472">
        <f t="shared" si="419"/>
        <v>0</v>
      </c>
      <c r="BM84" s="4472">
        <f t="shared" si="419"/>
        <v>0</v>
      </c>
      <c r="BN84" s="4594"/>
      <c r="BO84" s="4595"/>
      <c r="BP84" s="4472">
        <f t="shared" ref="BP84:BR84" si="420">BP83-BP73-BP82</f>
        <v>0</v>
      </c>
      <c r="BQ84" s="4472">
        <f t="shared" si="420"/>
        <v>0</v>
      </c>
      <c r="BR84" s="4472">
        <f t="shared" si="420"/>
        <v>0</v>
      </c>
      <c r="BS84" s="4594"/>
      <c r="BT84" s="4595"/>
      <c r="BU84" s="4472">
        <f t="shared" ref="BU84:BW84" si="421">BU83-BU73-BU82</f>
        <v>0</v>
      </c>
      <c r="BV84" s="4472">
        <f t="shared" si="421"/>
        <v>0</v>
      </c>
      <c r="BW84" s="4472">
        <f t="shared" si="421"/>
        <v>0</v>
      </c>
      <c r="BX84" s="4594"/>
      <c r="BY84" s="4595"/>
      <c r="BZ84" s="4472">
        <f>BZ83-BZ73-BZ82</f>
        <v>6514392.3911999995</v>
      </c>
      <c r="CA84" s="4472">
        <f>CA83-CA73-CA82</f>
        <v>-2150687.79</v>
      </c>
      <c r="CB84" s="4472">
        <f>CB83-CB73-CB82</f>
        <v>4305822.5811999999</v>
      </c>
      <c r="CC84" s="4594"/>
      <c r="CD84" s="4594"/>
      <c r="CE84" s="4596"/>
      <c r="CF84" s="3144"/>
      <c r="CG84" s="3145"/>
    </row>
    <row r="85" spans="1:86" s="1396" customFormat="1" ht="14.4" customHeight="1" outlineLevel="3" thickBot="1">
      <c r="A85" s="1565"/>
      <c r="B85" s="1424" t="s">
        <v>44</v>
      </c>
      <c r="C85" s="1486"/>
      <c r="D85" s="1091"/>
      <c r="E85" s="4597">
        <f>C85+D85</f>
        <v>0</v>
      </c>
      <c r="F85" s="4598">
        <f>E85/$E$89</f>
        <v>0</v>
      </c>
      <c r="G85" s="2051">
        <v>0</v>
      </c>
      <c r="H85" s="4498">
        <v>0</v>
      </c>
      <c r="I85" s="3081">
        <f>G85+H85*1</f>
        <v>0</v>
      </c>
      <c r="J85" s="4584"/>
      <c r="K85" s="4585"/>
      <c r="L85" s="2051">
        <f t="shared" ref="L85:M85" si="422">R85+W85+AB85+AG85+AL85+AQ85+AV85+BA85+BF85+BK85+BP85+BU85</f>
        <v>0</v>
      </c>
      <c r="M85" s="4498">
        <f t="shared" si="422"/>
        <v>0</v>
      </c>
      <c r="N85" s="3081">
        <f>L85+M85*1</f>
        <v>0</v>
      </c>
      <c r="O85" s="4584"/>
      <c r="P85" s="4585"/>
      <c r="Q85" s="1721"/>
      <c r="R85" s="2051"/>
      <c r="S85" s="4498"/>
      <c r="T85" s="3081">
        <f>R85+S85*1</f>
        <v>0</v>
      </c>
      <c r="U85" s="4584"/>
      <c r="V85" s="4585"/>
      <c r="W85" s="2051"/>
      <c r="X85" s="4498"/>
      <c r="Y85" s="3081">
        <f>W85+X85*1</f>
        <v>0</v>
      </c>
      <c r="Z85" s="4584"/>
      <c r="AA85" s="4585"/>
      <c r="AB85" s="2051"/>
      <c r="AC85" s="4498"/>
      <c r="AD85" s="3081">
        <f t="shared" ref="AD85" si="423">AB85+AC85*1</f>
        <v>0</v>
      </c>
      <c r="AE85" s="4584"/>
      <c r="AF85" s="4585"/>
      <c r="AG85" s="2051"/>
      <c r="AH85" s="4498"/>
      <c r="AI85" s="3081">
        <f t="shared" ref="AI85" si="424">AG85+AH85*1</f>
        <v>0</v>
      </c>
      <c r="AJ85" s="4584"/>
      <c r="AK85" s="4585"/>
      <c r="AL85" s="2051"/>
      <c r="AM85" s="4498"/>
      <c r="AN85" s="3081">
        <f t="shared" ref="AN85" si="425">AL85+AM85*1</f>
        <v>0</v>
      </c>
      <c r="AO85" s="4584"/>
      <c r="AP85" s="4585"/>
      <c r="AQ85" s="2051"/>
      <c r="AR85" s="4498"/>
      <c r="AS85" s="3081">
        <f t="shared" ref="AS85" si="426">AQ85+AR85*1</f>
        <v>0</v>
      </c>
      <c r="AT85" s="4584"/>
      <c r="AU85" s="4585"/>
      <c r="AV85" s="2051"/>
      <c r="AW85" s="4498"/>
      <c r="AX85" s="3081">
        <f t="shared" ref="AX85" si="427">AV85+AW85*1</f>
        <v>0</v>
      </c>
      <c r="AY85" s="4584"/>
      <c r="AZ85" s="4585"/>
      <c r="BA85" s="2051"/>
      <c r="BB85" s="4498"/>
      <c r="BC85" s="3081">
        <f t="shared" ref="BC85" si="428">BA85+BB85*1</f>
        <v>0</v>
      </c>
      <c r="BD85" s="4584"/>
      <c r="BE85" s="4585"/>
      <c r="BF85" s="2051"/>
      <c r="BG85" s="4498"/>
      <c r="BH85" s="3081">
        <f t="shared" ref="BH85" si="429">BF85+BG85*1</f>
        <v>0</v>
      </c>
      <c r="BI85" s="4584"/>
      <c r="BJ85" s="4585"/>
      <c r="BK85" s="2051"/>
      <c r="BL85" s="4498"/>
      <c r="BM85" s="3081">
        <f t="shared" ref="BM85" si="430">BK85+BL85*1</f>
        <v>0</v>
      </c>
      <c r="BN85" s="4584"/>
      <c r="BO85" s="4585"/>
      <c r="BP85" s="2051"/>
      <c r="BQ85" s="4498"/>
      <c r="BR85" s="3081">
        <f t="shared" ref="BR85" si="431">BP85+BQ85*1</f>
        <v>0</v>
      </c>
      <c r="BS85" s="4584"/>
      <c r="BT85" s="4585"/>
      <c r="BU85" s="2051"/>
      <c r="BV85" s="4498"/>
      <c r="BW85" s="3081">
        <f t="shared" ref="BW85" si="432">BU85+BV85*1</f>
        <v>0</v>
      </c>
      <c r="BX85" s="4584"/>
      <c r="BY85" s="4585"/>
      <c r="BZ85" s="4498">
        <f>G85+L85</f>
        <v>0</v>
      </c>
      <c r="CA85" s="4498">
        <f>H85+M85</f>
        <v>0</v>
      </c>
      <c r="CB85" s="3081">
        <f>BZ85+CA85*1.15</f>
        <v>0</v>
      </c>
      <c r="CC85" s="4584"/>
      <c r="CD85" s="4584"/>
      <c r="CE85" s="4586"/>
      <c r="CF85" s="3144"/>
      <c r="CG85" s="4195" t="s">
        <v>1913</v>
      </c>
    </row>
    <row r="86" spans="1:86" s="1396" customFormat="1" ht="14.4" customHeight="1" thickBot="1">
      <c r="A86" s="1405"/>
      <c r="B86" s="4599" t="s">
        <v>50</v>
      </c>
      <c r="C86" s="4600">
        <f>C84-C85</f>
        <v>6186907</v>
      </c>
      <c r="D86" s="4600">
        <f>D84-D85</f>
        <v>-3268455</v>
      </c>
      <c r="E86" s="4474">
        <f>E84-E85</f>
        <v>2918452</v>
      </c>
      <c r="F86" s="4601"/>
      <c r="G86" s="4474">
        <f>G84-G85</f>
        <v>2373924.8304000003</v>
      </c>
      <c r="H86" s="4474">
        <f>H84-H85</f>
        <v>-819711.65999999992</v>
      </c>
      <c r="I86" s="4474">
        <f>I84-I85</f>
        <v>1496331.1503999999</v>
      </c>
      <c r="J86" s="4475"/>
      <c r="K86" s="4589"/>
      <c r="L86" s="4474">
        <f>L84-L85</f>
        <v>4140467.5607999992</v>
      </c>
      <c r="M86" s="4474">
        <f>M84-M85</f>
        <v>-1330976.1299999999</v>
      </c>
      <c r="N86" s="4474">
        <f>N84-N85</f>
        <v>2809491.4308000002</v>
      </c>
      <c r="O86" s="4475"/>
      <c r="P86" s="4589"/>
      <c r="Q86" s="4601"/>
      <c r="R86" s="4474">
        <f>R84</f>
        <v>-138285.40400000001</v>
      </c>
      <c r="S86" s="4474">
        <f t="shared" ref="S86" si="433">S84</f>
        <v>-242080.8</v>
      </c>
      <c r="T86" s="4474">
        <f>T84</f>
        <v>-380366.20400000003</v>
      </c>
      <c r="U86" s="4475"/>
      <c r="V86" s="4589"/>
      <c r="W86" s="4474">
        <f>W84</f>
        <v>3032135.8080000002</v>
      </c>
      <c r="X86" s="4474">
        <f t="shared" ref="X86" si="434">X84</f>
        <v>-604445</v>
      </c>
      <c r="Y86" s="4474">
        <f>Y84</f>
        <v>2428242.5580000002</v>
      </c>
      <c r="Z86" s="4475"/>
      <c r="AA86" s="4589"/>
      <c r="AB86" s="4474">
        <f t="shared" ref="AB86:BW86" si="435">AB84</f>
        <v>1599844.4600000007</v>
      </c>
      <c r="AC86" s="4474">
        <f t="shared" si="435"/>
        <v>-284012</v>
      </c>
      <c r="AD86" s="4474">
        <f t="shared" si="435"/>
        <v>1315832.4600000007</v>
      </c>
      <c r="AE86" s="4475"/>
      <c r="AF86" s="4589"/>
      <c r="AG86" s="4474">
        <f t="shared" ref="AG86" si="436">AG84</f>
        <v>-353227.30320000002</v>
      </c>
      <c r="AH86" s="4474">
        <f t="shared" si="435"/>
        <v>-90172</v>
      </c>
      <c r="AI86" s="4474">
        <f t="shared" si="435"/>
        <v>-443399.30320000002</v>
      </c>
      <c r="AJ86" s="4475"/>
      <c r="AK86" s="4589"/>
      <c r="AL86" s="4474">
        <f t="shared" ref="AL86" si="437">AL84</f>
        <v>0</v>
      </c>
      <c r="AM86" s="4474">
        <f t="shared" si="435"/>
        <v>-65000</v>
      </c>
      <c r="AN86" s="4474">
        <f t="shared" si="435"/>
        <v>-65000</v>
      </c>
      <c r="AO86" s="4475"/>
      <c r="AP86" s="4589"/>
      <c r="AQ86" s="4474">
        <f t="shared" ref="AQ86" si="438">AQ84</f>
        <v>0</v>
      </c>
      <c r="AR86" s="4474">
        <f t="shared" si="435"/>
        <v>-45266.33</v>
      </c>
      <c r="AS86" s="4474">
        <f t="shared" si="435"/>
        <v>-45266.33</v>
      </c>
      <c r="AT86" s="4475"/>
      <c r="AU86" s="4589"/>
      <c r="AV86" s="4474">
        <f t="shared" ref="AV86" si="439">AV84</f>
        <v>0</v>
      </c>
      <c r="AW86" s="4474">
        <f t="shared" si="435"/>
        <v>0</v>
      </c>
      <c r="AX86" s="4474">
        <f t="shared" si="435"/>
        <v>0</v>
      </c>
      <c r="AY86" s="4475"/>
      <c r="AZ86" s="4589"/>
      <c r="BA86" s="4474">
        <f t="shared" ref="BA86" si="440">BA84</f>
        <v>0</v>
      </c>
      <c r="BB86" s="4474">
        <f t="shared" si="435"/>
        <v>0</v>
      </c>
      <c r="BC86" s="4474">
        <f t="shared" si="435"/>
        <v>0</v>
      </c>
      <c r="BD86" s="4475"/>
      <c r="BE86" s="4589"/>
      <c r="BF86" s="4474">
        <f t="shared" ref="BF86" si="441">BF84</f>
        <v>0</v>
      </c>
      <c r="BG86" s="4474">
        <f t="shared" si="435"/>
        <v>0</v>
      </c>
      <c r="BH86" s="4474">
        <f t="shared" si="435"/>
        <v>0</v>
      </c>
      <c r="BI86" s="4475"/>
      <c r="BJ86" s="4589"/>
      <c r="BK86" s="4474">
        <f t="shared" ref="BK86" si="442">BK84</f>
        <v>0</v>
      </c>
      <c r="BL86" s="4474">
        <f t="shared" si="435"/>
        <v>0</v>
      </c>
      <c r="BM86" s="4474">
        <f t="shared" si="435"/>
        <v>0</v>
      </c>
      <c r="BN86" s="4475"/>
      <c r="BO86" s="4589"/>
      <c r="BP86" s="4474">
        <f t="shared" ref="BP86" si="443">BP84</f>
        <v>0</v>
      </c>
      <c r="BQ86" s="4474">
        <f t="shared" si="435"/>
        <v>0</v>
      </c>
      <c r="BR86" s="4474">
        <f t="shared" si="435"/>
        <v>0</v>
      </c>
      <c r="BS86" s="4475"/>
      <c r="BT86" s="4589"/>
      <c r="BU86" s="4474">
        <f t="shared" ref="BU86" si="444">BU84</f>
        <v>0</v>
      </c>
      <c r="BV86" s="4474">
        <f t="shared" si="435"/>
        <v>0</v>
      </c>
      <c r="BW86" s="4474">
        <f t="shared" si="435"/>
        <v>0</v>
      </c>
      <c r="BX86" s="4475"/>
      <c r="BY86" s="4589"/>
      <c r="BZ86" s="4474">
        <f>BZ84-BZ85</f>
        <v>6514392.3911999995</v>
      </c>
      <c r="CA86" s="4474">
        <f>CA84-CA85</f>
        <v>-2150687.79</v>
      </c>
      <c r="CB86" s="4474">
        <f>CB84-CB85</f>
        <v>4305822.5811999999</v>
      </c>
      <c r="CC86" s="4475"/>
      <c r="CD86" s="4475"/>
      <c r="CE86" s="4602">
        <f t="shared" ref="CE86" si="445">CB86-E86</f>
        <v>1387370.5811999999</v>
      </c>
      <c r="CG86" s="1953">
        <v>2918452</v>
      </c>
    </row>
    <row r="87" spans="1:86" s="1396" customFormat="1" ht="14.4" customHeight="1" thickBot="1">
      <c r="A87" s="1567"/>
      <c r="B87" s="4603" t="s">
        <v>51</v>
      </c>
      <c r="C87" s="4477">
        <f>C86/C5</f>
        <v>0.56201129853177223</v>
      </c>
      <c r="D87" s="4478" t="e">
        <f>D86/D5</f>
        <v>#DIV/0!</v>
      </c>
      <c r="E87" s="4479">
        <f>E86/E5</f>
        <v>0.26510872043537226</v>
      </c>
      <c r="F87" s="4604"/>
      <c r="G87" s="4477">
        <f>G86/G5</f>
        <v>0.52917119853140582</v>
      </c>
      <c r="H87" s="4478" t="e">
        <f>H86/H5</f>
        <v>#DIV/0!</v>
      </c>
      <c r="I87" s="4479">
        <f>I86/I5</f>
        <v>0.33354693380229161</v>
      </c>
      <c r="J87" s="4480"/>
      <c r="K87" s="4605"/>
      <c r="L87" s="4477">
        <f>L86/L5</f>
        <v>0.63286774773236898</v>
      </c>
      <c r="M87" s="4478" t="e">
        <f>M86/M5</f>
        <v>#DIV/0!</v>
      </c>
      <c r="N87" s="4479">
        <f>N86/N5</f>
        <v>0.42942892027881124</v>
      </c>
      <c r="O87" s="4480"/>
      <c r="P87" s="4605"/>
      <c r="Q87" s="4604"/>
      <c r="R87" s="4477" t="e">
        <f>R86/R5</f>
        <v>#DIV/0!</v>
      </c>
      <c r="S87" s="4478" t="e">
        <f>S86/S5</f>
        <v>#DIV/0!</v>
      </c>
      <c r="T87" s="4479" t="e">
        <f>T86/T5</f>
        <v>#DIV/0!</v>
      </c>
      <c r="U87" s="4480"/>
      <c r="V87" s="4605"/>
      <c r="W87" s="4477">
        <f>W86/W5</f>
        <v>0.8652614440004518</v>
      </c>
      <c r="X87" s="4478" t="e">
        <f>X86/X5</f>
        <v>#DIV/0!</v>
      </c>
      <c r="Y87" s="4479">
        <f>Y86/Y5</f>
        <v>0.6929322415490009</v>
      </c>
      <c r="Z87" s="4480"/>
      <c r="AA87" s="4605"/>
      <c r="AB87" s="4477">
        <f t="shared" ref="AB87:AD87" si="446">AB86/AB5</f>
        <v>0.53008487871660059</v>
      </c>
      <c r="AC87" s="4478" t="e">
        <f t="shared" si="446"/>
        <v>#DIV/0!</v>
      </c>
      <c r="AD87" s="4479">
        <f t="shared" si="446"/>
        <v>0.43598168910149321</v>
      </c>
      <c r="AE87" s="4480"/>
      <c r="AF87" s="4605"/>
      <c r="AG87" s="4477">
        <f t="shared" ref="AG87:AI87" si="447">AG86/AG5</f>
        <v>-17.662566214502586</v>
      </c>
      <c r="AH87" s="4478" t="e">
        <f t="shared" si="447"/>
        <v>#DIV/0!</v>
      </c>
      <c r="AI87" s="4479">
        <f t="shared" si="447"/>
        <v>-22.171472820151774</v>
      </c>
      <c r="AJ87" s="4480"/>
      <c r="AK87" s="4605"/>
      <c r="AL87" s="4477" t="e">
        <f t="shared" ref="AL87:AN87" si="448">AL86/AL5</f>
        <v>#DIV/0!</v>
      </c>
      <c r="AM87" s="4478" t="e">
        <f t="shared" si="448"/>
        <v>#DIV/0!</v>
      </c>
      <c r="AN87" s="4479" t="e">
        <f t="shared" si="448"/>
        <v>#DIV/0!</v>
      </c>
      <c r="AO87" s="4480"/>
      <c r="AP87" s="4605"/>
      <c r="AQ87" s="4477" t="e">
        <f t="shared" ref="AQ87:AS87" si="449">AQ86/AQ5</f>
        <v>#DIV/0!</v>
      </c>
      <c r="AR87" s="4478" t="e">
        <f t="shared" si="449"/>
        <v>#DIV/0!</v>
      </c>
      <c r="AS87" s="4479" t="e">
        <f t="shared" si="449"/>
        <v>#DIV/0!</v>
      </c>
      <c r="AT87" s="4480"/>
      <c r="AU87" s="4605"/>
      <c r="AV87" s="4477" t="e">
        <f t="shared" ref="AV87:AX87" si="450">AV86/AV5</f>
        <v>#DIV/0!</v>
      </c>
      <c r="AW87" s="4478" t="e">
        <f t="shared" si="450"/>
        <v>#DIV/0!</v>
      </c>
      <c r="AX87" s="4479" t="e">
        <f t="shared" si="450"/>
        <v>#DIV/0!</v>
      </c>
      <c r="AY87" s="4480"/>
      <c r="AZ87" s="4605"/>
      <c r="BA87" s="4477" t="e">
        <f t="shared" ref="BA87:BC87" si="451">BA86/BA5</f>
        <v>#DIV/0!</v>
      </c>
      <c r="BB87" s="4478" t="e">
        <f t="shared" si="451"/>
        <v>#DIV/0!</v>
      </c>
      <c r="BC87" s="4479" t="e">
        <f t="shared" si="451"/>
        <v>#DIV/0!</v>
      </c>
      <c r="BD87" s="4480"/>
      <c r="BE87" s="4605"/>
      <c r="BF87" s="4477" t="e">
        <f t="shared" ref="BF87:BH87" si="452">BF86/BF5</f>
        <v>#DIV/0!</v>
      </c>
      <c r="BG87" s="4478" t="e">
        <f t="shared" si="452"/>
        <v>#DIV/0!</v>
      </c>
      <c r="BH87" s="4479" t="e">
        <f t="shared" si="452"/>
        <v>#DIV/0!</v>
      </c>
      <c r="BI87" s="4480"/>
      <c r="BJ87" s="4605"/>
      <c r="BK87" s="4477" t="e">
        <f t="shared" ref="BK87:BM87" si="453">BK86/BK5</f>
        <v>#DIV/0!</v>
      </c>
      <c r="BL87" s="4478" t="e">
        <f t="shared" si="453"/>
        <v>#DIV/0!</v>
      </c>
      <c r="BM87" s="4479" t="e">
        <f t="shared" si="453"/>
        <v>#DIV/0!</v>
      </c>
      <c r="BN87" s="4480"/>
      <c r="BO87" s="4605"/>
      <c r="BP87" s="4477" t="e">
        <f t="shared" ref="BP87:BR87" si="454">BP86/BP5</f>
        <v>#DIV/0!</v>
      </c>
      <c r="BQ87" s="4478" t="e">
        <f t="shared" si="454"/>
        <v>#DIV/0!</v>
      </c>
      <c r="BR87" s="4479" t="e">
        <f t="shared" si="454"/>
        <v>#DIV/0!</v>
      </c>
      <c r="BS87" s="4480"/>
      <c r="BT87" s="4605"/>
      <c r="BU87" s="4477" t="e">
        <f t="shared" ref="BU87:BW87" si="455">BU86/BU5</f>
        <v>#DIV/0!</v>
      </c>
      <c r="BV87" s="4478" t="e">
        <f t="shared" si="455"/>
        <v>#DIV/0!</v>
      </c>
      <c r="BW87" s="4479" t="e">
        <f t="shared" si="455"/>
        <v>#DIV/0!</v>
      </c>
      <c r="BX87" s="4480"/>
      <c r="BY87" s="4605"/>
      <c r="BZ87" s="4477">
        <f>BZ86/BZ5</f>
        <v>0.59068661084169938</v>
      </c>
      <c r="CA87" s="4478" t="e">
        <f>CA86/CA5</f>
        <v>#DIV/0!</v>
      </c>
      <c r="CB87" s="4479">
        <f>CB86/CB5</f>
        <v>0.39042655011240029</v>
      </c>
      <c r="CC87" s="4480"/>
      <c r="CD87" s="4480"/>
      <c r="CE87" s="4538"/>
      <c r="CG87" s="2469"/>
    </row>
    <row r="88" spans="1:86" ht="14.4" thickBot="1">
      <c r="A88" s="1423"/>
      <c r="B88" s="1423"/>
      <c r="C88" s="1521"/>
      <c r="D88" s="1521"/>
      <c r="E88" s="1521"/>
      <c r="F88" s="1549"/>
      <c r="G88" s="1954"/>
      <c r="H88" s="1954"/>
      <c r="I88" s="1954"/>
      <c r="J88" s="1954"/>
      <c r="K88" s="1605"/>
      <c r="L88" s="1954"/>
      <c r="M88" s="1954"/>
      <c r="N88" s="1954"/>
      <c r="O88" s="1954"/>
      <c r="P88" s="1605"/>
      <c r="Q88" s="1549"/>
      <c r="R88" s="1954"/>
      <c r="S88" s="1954"/>
      <c r="T88" s="1954"/>
      <c r="U88" s="1954"/>
      <c r="V88" s="1605"/>
      <c r="W88" s="1954"/>
      <c r="X88" s="1954"/>
      <c r="Y88" s="1954"/>
      <c r="Z88" s="1954"/>
      <c r="AA88" s="1605"/>
      <c r="AB88" s="1954"/>
      <c r="AC88" s="1954"/>
      <c r="AD88" s="1954"/>
      <c r="AE88" s="1954"/>
      <c r="AF88" s="1605"/>
      <c r="AG88" s="1954"/>
      <c r="AH88" s="1954"/>
      <c r="AI88" s="1954"/>
      <c r="AJ88" s="1954"/>
      <c r="AK88" s="1605"/>
      <c r="AL88" s="1954"/>
      <c r="AM88" s="1954"/>
      <c r="AN88" s="1954"/>
      <c r="AO88" s="1954"/>
      <c r="AP88" s="1605"/>
      <c r="AQ88" s="1954"/>
      <c r="AR88" s="1954"/>
      <c r="AS88" s="1954"/>
      <c r="AT88" s="1954"/>
      <c r="AU88" s="1605"/>
      <c r="AV88" s="1954"/>
      <c r="AW88" s="1954"/>
      <c r="AX88" s="1954"/>
      <c r="AY88" s="1954"/>
      <c r="AZ88" s="1605"/>
      <c r="BA88" s="1954"/>
      <c r="BB88" s="1954"/>
      <c r="BC88" s="1954"/>
      <c r="BD88" s="1954"/>
      <c r="BE88" s="1605"/>
      <c r="BF88" s="1954"/>
      <c r="BG88" s="1954"/>
      <c r="BH88" s="1954"/>
      <c r="BI88" s="1954"/>
      <c r="BJ88" s="1605"/>
      <c r="BK88" s="1954"/>
      <c r="BL88" s="1954"/>
      <c r="BM88" s="1954"/>
      <c r="BN88" s="1954"/>
      <c r="BO88" s="1605"/>
      <c r="BP88" s="1954"/>
      <c r="BQ88" s="1954"/>
      <c r="BR88" s="1954"/>
      <c r="BS88" s="1954"/>
      <c r="BT88" s="1605"/>
      <c r="BU88" s="1954"/>
      <c r="BV88" s="1954"/>
      <c r="BW88" s="1954"/>
      <c r="BX88" s="1954"/>
      <c r="BY88" s="1605"/>
      <c r="BZ88" s="1954"/>
      <c r="CA88" s="1954"/>
      <c r="CB88" s="1954"/>
      <c r="CC88" s="1954"/>
      <c r="CD88" s="1954"/>
      <c r="CE88" s="1954"/>
      <c r="CG88" s="4195" t="s">
        <v>2042</v>
      </c>
    </row>
    <row r="89" spans="1:86" ht="14.4" thickBot="1">
      <c r="B89" s="1562" t="s">
        <v>56</v>
      </c>
      <c r="C89" s="1522"/>
      <c r="D89" s="1522"/>
      <c r="E89" s="3112">
        <f>E8+E36+E41+E50+E54+E73+E79+E82+E85</f>
        <v>8090058</v>
      </c>
      <c r="F89" s="189"/>
      <c r="I89" s="3112">
        <f>I8+I36+I41+I50+I54+I73+I79+I82+I85</f>
        <v>2989787.5896000001</v>
      </c>
      <c r="K89" s="1606"/>
      <c r="N89" s="3112">
        <f>N8+N36+N41+N50+N54+N73+N79+N82+N85</f>
        <v>3732898.4692000002</v>
      </c>
      <c r="P89" s="1606"/>
      <c r="Q89" s="189"/>
      <c r="T89" s="3112">
        <f>T8+T36+T41+T50+T54+T73+T79+T82+T85</f>
        <v>380366.20400000003</v>
      </c>
      <c r="V89" s="1606"/>
      <c r="Y89" s="3112">
        <f t="shared" ref="Y89" si="456">Y8+Y36+Y41+Y50+Y54+Y73+Y79+Y82+Y85</f>
        <v>1076057.5920000002</v>
      </c>
      <c r="AA89" s="1606"/>
      <c r="AD89" s="3112">
        <f t="shared" ref="AD89" si="457">AD8+AD36+AD41+AD50+AD54+AD73+AD79+AD82+AD85</f>
        <v>1702258.6499999997</v>
      </c>
      <c r="AF89" s="1606"/>
      <c r="AI89" s="3112">
        <f t="shared" ref="AI89" si="458">AI8+AI36+AI41+AI50+AI54+AI73+AI79+AI82+AI85</f>
        <v>463397.94320000004</v>
      </c>
      <c r="AK89" s="1606"/>
      <c r="AN89" s="3112">
        <f t="shared" ref="AN89" si="459">AN8+AN36+AN41+AN50+AN54+AN73+AN79+AN82+AN85</f>
        <v>65000</v>
      </c>
      <c r="AP89" s="1606"/>
      <c r="AS89" s="3112">
        <f t="shared" ref="AS89" si="460">AS8+AS36+AS41+AS50+AS54+AS73+AS79+AS82+AS85</f>
        <v>45266.33</v>
      </c>
      <c r="AU89" s="1606"/>
      <c r="AX89" s="3112">
        <f t="shared" ref="AX89" si="461">AX8+AX36+AX41+AX50+AX54+AX73+AX79+AX82+AX85</f>
        <v>0</v>
      </c>
      <c r="AZ89" s="1606"/>
      <c r="BC89" s="3112">
        <f t="shared" ref="BC89" si="462">BC8+BC36+BC41+BC50+BC54+BC73+BC79+BC82+BC85</f>
        <v>0</v>
      </c>
      <c r="BE89" s="1606"/>
      <c r="BH89" s="3112">
        <f t="shared" ref="BH89" si="463">BH8+BH36+BH41+BH50+BH54+BH73+BH79+BH82+BH85</f>
        <v>0</v>
      </c>
      <c r="BJ89" s="1606"/>
      <c r="BM89" s="3112">
        <f t="shared" ref="BM89" si="464">BM8+BM36+BM41+BM50+BM54+BM73+BM79+BM82+BM85</f>
        <v>0</v>
      </c>
      <c r="BO89" s="1606"/>
      <c r="BR89" s="3112">
        <f>BR8+BR36+BR41+BR50+BR54+BR73+BR79+BR82+BR85</f>
        <v>0</v>
      </c>
      <c r="BT89" s="1606"/>
      <c r="BW89" s="3112">
        <f>BW8+BW36+BW41+BW50+BW54+BW73+BW79+BW82+BW85</f>
        <v>0</v>
      </c>
      <c r="BY89" s="1606"/>
      <c r="CB89" s="3112">
        <f>CB8+CB36+CB41+CB50+CB54+CB73+CB79+CB82+CB85-CB78</f>
        <v>6722686.0588000007</v>
      </c>
      <c r="CG89" s="4196">
        <f>CB86-CG86</f>
        <v>1387370.5811999999</v>
      </c>
    </row>
    <row r="90" spans="1:86" s="2470" customFormat="1" ht="13.95" customHeight="1">
      <c r="A90" s="1336"/>
      <c r="B90" s="1336"/>
      <c r="C90" s="1341"/>
      <c r="D90" s="1341"/>
      <c r="E90" s="1341"/>
      <c r="F90" s="2468"/>
      <c r="G90" s="2468"/>
      <c r="H90" s="2468"/>
      <c r="I90" s="2468"/>
      <c r="J90" s="2468"/>
      <c r="K90" s="1857"/>
      <c r="L90" s="2468"/>
      <c r="M90" s="2468"/>
      <c r="N90" s="2468"/>
      <c r="O90" s="2468"/>
      <c r="P90" s="1857"/>
      <c r="Q90" s="2468"/>
      <c r="R90" s="2468"/>
      <c r="S90" s="2468"/>
      <c r="T90" s="2468"/>
      <c r="U90" s="2468"/>
      <c r="V90" s="1857"/>
      <c r="W90" s="1857"/>
      <c r="X90" s="1857"/>
      <c r="Y90" s="1857"/>
      <c r="Z90" s="1857"/>
      <c r="AA90" s="1857"/>
      <c r="AB90" s="2468"/>
      <c r="AC90" s="2468"/>
      <c r="AD90" s="2468"/>
      <c r="AE90" s="2468"/>
      <c r="AF90" s="1857"/>
      <c r="AG90" s="2468"/>
      <c r="AH90" s="2468"/>
      <c r="AI90" s="2468"/>
      <c r="AJ90" s="2468"/>
      <c r="AK90" s="1857"/>
      <c r="AL90" s="2468"/>
      <c r="AM90" s="2468"/>
      <c r="AN90" s="2468"/>
      <c r="AO90" s="2468"/>
      <c r="AP90" s="1857"/>
      <c r="AQ90" s="2468"/>
      <c r="AR90" s="2468"/>
      <c r="AS90" s="2468"/>
      <c r="AT90" s="2468"/>
      <c r="AU90" s="1857"/>
      <c r="AV90" s="2468"/>
      <c r="AW90" s="2468"/>
      <c r="AX90" s="2468"/>
      <c r="AY90" s="2468"/>
      <c r="AZ90" s="1857"/>
      <c r="BA90" s="2468"/>
      <c r="BB90" s="2468"/>
      <c r="BC90" s="2468"/>
      <c r="BD90" s="2468"/>
      <c r="BE90" s="1857"/>
      <c r="BF90" s="2468"/>
      <c r="BG90" s="2468"/>
      <c r="BH90" s="2468"/>
      <c r="BI90" s="2468"/>
      <c r="BJ90" s="1857"/>
      <c r="BK90" s="2468"/>
      <c r="BL90" s="2468"/>
      <c r="BM90" s="2468"/>
      <c r="BN90" s="2468"/>
      <c r="BO90" s="1857"/>
      <c r="BP90" s="2468"/>
      <c r="BQ90" s="2468"/>
      <c r="BR90" s="2468"/>
      <c r="BS90" s="2468"/>
      <c r="BT90" s="1857"/>
      <c r="BU90" s="2468"/>
      <c r="BV90" s="2468"/>
      <c r="BW90" s="2468"/>
      <c r="BX90" s="2468"/>
      <c r="BY90" s="1857"/>
      <c r="BZ90" s="2468"/>
      <c r="CA90" s="2468"/>
      <c r="CB90" s="1592">
        <f>(I89+T89+Y89+BM89+BR89+BW89+AD89+AI89)-CB89</f>
        <v>-110818.08000000101</v>
      </c>
      <c r="CC90" s="2468"/>
      <c r="CD90" s="2468"/>
      <c r="CE90" s="2468"/>
      <c r="CF90" s="1162"/>
      <c r="CG90" s="4606">
        <f>CG89-CE86</f>
        <v>0</v>
      </c>
    </row>
    <row r="91" spans="1:86" s="2469" customFormat="1">
      <c r="A91" s="1336"/>
      <c r="B91" s="1336"/>
      <c r="C91" s="1336"/>
      <c r="D91" s="1336"/>
      <c r="E91" s="1336"/>
      <c r="F91" s="2468"/>
      <c r="G91" s="1586"/>
      <c r="H91" s="1586"/>
      <c r="I91" s="1586"/>
      <c r="J91" s="2468"/>
      <c r="K91" s="1857"/>
      <c r="L91" s="1586"/>
      <c r="M91" s="1586"/>
      <c r="N91" s="1586"/>
      <c r="O91" s="2468"/>
      <c r="P91" s="1857"/>
      <c r="Q91" s="1952"/>
      <c r="R91" s="2468"/>
      <c r="S91" s="1586"/>
      <c r="T91" s="1586"/>
      <c r="U91" s="1586"/>
      <c r="V91" s="1857"/>
      <c r="W91" s="1857"/>
      <c r="X91" s="1857"/>
      <c r="Y91" s="1857"/>
      <c r="Z91" s="1857"/>
      <c r="AA91" s="1857"/>
      <c r="AB91" s="2468"/>
      <c r="AC91" s="1586"/>
      <c r="AD91" s="1586"/>
      <c r="AE91" s="1586"/>
      <c r="AF91" s="1857"/>
      <c r="AG91" s="2468"/>
      <c r="AH91" s="1586"/>
      <c r="AI91" s="1586"/>
      <c r="AJ91" s="1586"/>
      <c r="AK91" s="1857"/>
      <c r="AL91" s="2468"/>
      <c r="AM91" s="1586"/>
      <c r="AN91" s="1586"/>
      <c r="AO91" s="1586"/>
      <c r="AP91" s="1857"/>
      <c r="AQ91" s="2468"/>
      <c r="AR91" s="1586"/>
      <c r="AS91" s="1586"/>
      <c r="AT91" s="1586"/>
      <c r="AU91" s="1857"/>
      <c r="AV91" s="2468"/>
      <c r="AW91" s="1586"/>
      <c r="AX91" s="1586"/>
      <c r="AY91" s="1586"/>
      <c r="AZ91" s="1857"/>
      <c r="BA91" s="2468"/>
      <c r="BB91" s="1586"/>
      <c r="BC91" s="1586"/>
      <c r="BD91" s="1586"/>
      <c r="BE91" s="1857"/>
      <c r="BF91" s="2468"/>
      <c r="BG91" s="1586"/>
      <c r="BH91" s="1586"/>
      <c r="BI91" s="1586"/>
      <c r="BJ91" s="1857"/>
      <c r="BK91" s="2468"/>
      <c r="BL91" s="1586"/>
      <c r="BM91" s="1586"/>
      <c r="BN91" s="1586"/>
      <c r="BO91" s="1857"/>
      <c r="BP91" s="2468"/>
      <c r="BQ91" s="1586"/>
      <c r="BR91" s="1586"/>
      <c r="BS91" s="1586"/>
      <c r="BT91" s="1857"/>
      <c r="BU91" s="2468"/>
      <c r="BV91" s="1586"/>
      <c r="BW91" s="1586"/>
      <c r="BX91" s="1586"/>
      <c r="BY91" s="1857"/>
      <c r="BZ91" s="2468"/>
      <c r="CA91" s="2468"/>
      <c r="CB91" s="2468"/>
      <c r="CC91" s="2468"/>
      <c r="CD91" s="2468"/>
      <c r="CE91" s="2468"/>
      <c r="CF91" s="1221"/>
    </row>
    <row r="92" spans="1:86">
      <c r="C92" s="1402"/>
      <c r="D92" s="1402"/>
      <c r="E92" s="1402"/>
      <c r="G92" s="1963"/>
      <c r="H92" s="1963"/>
      <c r="I92" s="1963"/>
      <c r="J92" s="1606"/>
      <c r="K92" s="1606"/>
      <c r="L92" s="1963"/>
      <c r="M92" s="1963"/>
      <c r="N92" s="1963"/>
      <c r="O92" s="1606"/>
      <c r="P92" s="1606"/>
      <c r="R92" s="2468"/>
      <c r="S92" s="1218"/>
      <c r="T92" s="1218"/>
      <c r="U92" s="1218"/>
      <c r="V92" s="1342"/>
      <c r="W92" s="1342"/>
      <c r="X92" s="1342"/>
      <c r="Y92" s="1342"/>
      <c r="Z92" s="1342"/>
      <c r="AA92" s="1342"/>
      <c r="AB92" s="2468"/>
      <c r="AC92" s="1218"/>
      <c r="AD92" s="1218"/>
      <c r="AE92" s="1218"/>
      <c r="AF92" s="1342"/>
      <c r="AG92" s="2468"/>
      <c r="AH92" s="1218"/>
      <c r="AI92" s="1218"/>
      <c r="AJ92" s="1218"/>
      <c r="AK92" s="1342"/>
      <c r="AL92" s="2468"/>
      <c r="AM92" s="1218"/>
      <c r="AN92" s="1218"/>
      <c r="AO92" s="1218"/>
      <c r="AP92" s="1342"/>
      <c r="AQ92" s="2468"/>
      <c r="AR92" s="1218"/>
      <c r="AS92" s="1218"/>
      <c r="AT92" s="1218"/>
      <c r="AU92" s="1342"/>
      <c r="AV92" s="2468"/>
      <c r="AW92" s="1218"/>
      <c r="AX92" s="1218"/>
      <c r="AY92" s="1218"/>
      <c r="AZ92" s="1342"/>
      <c r="BA92" s="2468"/>
      <c r="BB92" s="1218"/>
      <c r="BC92" s="1218"/>
      <c r="BD92" s="1218"/>
      <c r="BE92" s="1342"/>
      <c r="BF92" s="2468"/>
      <c r="BG92" s="1218"/>
      <c r="BH92" s="1218"/>
      <c r="BI92" s="1218"/>
      <c r="BJ92" s="1342"/>
      <c r="BK92" s="2468"/>
      <c r="BL92" s="1218"/>
      <c r="BM92" s="1218"/>
      <c r="BN92" s="1218"/>
      <c r="BO92" s="1342"/>
      <c r="BP92" s="2468"/>
      <c r="BQ92" s="1218"/>
      <c r="BR92" s="1218"/>
      <c r="BS92" s="1218"/>
      <c r="BT92" s="1342"/>
      <c r="BU92" s="2468"/>
      <c r="BV92" s="1586"/>
      <c r="BW92" s="1218"/>
      <c r="BX92" s="1218"/>
      <c r="BY92" s="1342"/>
      <c r="CA92" s="1065" t="s">
        <v>1374</v>
      </c>
      <c r="CB92" s="1952">
        <f>4472925.8708-45266.33</f>
        <v>4427659.5407999996</v>
      </c>
      <c r="CD92" s="1952">
        <f>CB86*0.03/2-20000</f>
        <v>44587.338717999999</v>
      </c>
    </row>
    <row r="93" spans="1:86" s="1396" customFormat="1">
      <c r="A93" s="1402"/>
      <c r="B93" s="1402"/>
      <c r="C93" s="1402"/>
      <c r="D93" s="1402"/>
      <c r="E93" s="1402"/>
      <c r="F93" s="1952"/>
      <c r="G93" s="1963"/>
      <c r="H93" s="1963"/>
      <c r="I93" s="1963"/>
      <c r="J93" s="1606"/>
      <c r="K93" s="1606"/>
      <c r="L93" s="1963"/>
      <c r="M93" s="1963"/>
      <c r="N93" s="1963"/>
      <c r="O93" s="1606"/>
      <c r="P93" s="1606"/>
      <c r="Q93" s="1952"/>
      <c r="R93" s="2468"/>
      <c r="S93" s="1218"/>
      <c r="T93" s="1218"/>
      <c r="U93" s="1218"/>
      <c r="V93" s="1036"/>
      <c r="W93" s="1036"/>
      <c r="X93" s="1036"/>
      <c r="Y93" s="1036"/>
      <c r="Z93" s="1036"/>
      <c r="AA93" s="1036"/>
      <c r="AB93" s="2468"/>
      <c r="AC93" s="1218"/>
      <c r="AD93" s="1218"/>
      <c r="AE93" s="1218"/>
      <c r="AF93" s="1036"/>
      <c r="AG93" s="2468"/>
      <c r="AH93" s="1218"/>
      <c r="AI93" s="1218"/>
      <c r="AJ93" s="1218"/>
      <c r="AK93" s="1036"/>
      <c r="AL93" s="2468"/>
      <c r="AM93" s="1218"/>
      <c r="AN93" s="1218"/>
      <c r="AO93" s="1218"/>
      <c r="AP93" s="1036"/>
      <c r="AQ93" s="2468"/>
      <c r="AR93" s="1218"/>
      <c r="AS93" s="1218"/>
      <c r="AT93" s="1218"/>
      <c r="AU93" s="1036"/>
      <c r="AV93" s="2468"/>
      <c r="AW93" s="1218"/>
      <c r="AX93" s="1218"/>
      <c r="AY93" s="1218"/>
      <c r="AZ93" s="1036"/>
      <c r="BA93" s="2468"/>
      <c r="BB93" s="1218"/>
      <c r="BC93" s="1218"/>
      <c r="BD93" s="1218"/>
      <c r="BE93" s="1036"/>
      <c r="BF93" s="2468"/>
      <c r="BG93" s="1218"/>
      <c r="BH93" s="1218"/>
      <c r="BI93" s="1218"/>
      <c r="BJ93" s="1036"/>
      <c r="BK93" s="2468"/>
      <c r="BL93" s="1218"/>
      <c r="BM93" s="1218"/>
      <c r="BN93" s="1218"/>
      <c r="BO93" s="1036"/>
      <c r="BP93" s="2468"/>
      <c r="BQ93" s="1218"/>
      <c r="BR93" s="1218"/>
      <c r="BS93" s="1218"/>
      <c r="BT93" s="1036"/>
      <c r="BU93" s="2468"/>
      <c r="BV93" s="1586"/>
      <c r="BW93" s="1218"/>
      <c r="BX93" s="1218"/>
      <c r="BY93" s="1036"/>
      <c r="BZ93" s="1952"/>
      <c r="CA93" s="1065" t="s">
        <v>1373</v>
      </c>
      <c r="CB93" s="1952">
        <f>CB92-CB86</f>
        <v>121836.95959999971</v>
      </c>
      <c r="CC93" s="1952"/>
      <c r="CD93" s="1952"/>
      <c r="CE93" s="1952"/>
      <c r="CF93" s="1162"/>
      <c r="CH93" s="1221"/>
    </row>
    <row r="94" spans="1:86" s="1396" customFormat="1">
      <c r="A94" s="1402"/>
      <c r="B94" s="1402"/>
      <c r="C94" s="1402"/>
      <c r="D94" s="1402"/>
      <c r="E94" s="1402"/>
      <c r="F94" s="1952"/>
      <c r="G94" s="1963"/>
      <c r="H94" s="1963"/>
      <c r="I94" s="1963"/>
      <c r="J94" s="1963"/>
      <c r="K94" s="1963"/>
      <c r="L94" s="1963"/>
      <c r="M94" s="1963"/>
      <c r="N94" s="1963"/>
      <c r="O94" s="1963"/>
      <c r="P94" s="1963"/>
      <c r="Q94" s="1952"/>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963"/>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2468"/>
      <c r="BV94" s="1586"/>
      <c r="BW94" s="1218"/>
      <c r="BX94" s="1963"/>
      <c r="BY94" s="1963"/>
      <c r="BZ94" s="1952"/>
      <c r="CA94" s="1065"/>
      <c r="CB94" s="1952"/>
      <c r="CC94" s="1952"/>
      <c r="CD94" s="1952"/>
      <c r="CE94" s="1952"/>
      <c r="CF94" s="1162"/>
      <c r="CG94" s="3955"/>
      <c r="CH94" s="1221"/>
    </row>
    <row r="95" spans="1:86" s="1396" customFormat="1">
      <c r="A95" s="1402"/>
      <c r="B95" s="1402"/>
      <c r="C95" s="1402"/>
      <c r="D95" s="1402"/>
      <c r="E95" s="1402"/>
      <c r="F95" s="1952"/>
      <c r="G95" s="1963"/>
      <c r="H95" s="1963"/>
      <c r="I95" s="1963"/>
      <c r="J95" s="1963"/>
      <c r="K95" s="1963"/>
      <c r="L95" s="1963"/>
      <c r="M95" s="1963"/>
      <c r="N95" s="1963"/>
      <c r="O95" s="1963"/>
      <c r="P95" s="1963"/>
      <c r="Q95" s="1952"/>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963"/>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2468"/>
      <c r="BV95" s="1586"/>
      <c r="BW95" s="1218"/>
      <c r="BX95" s="1963"/>
      <c r="BY95" s="1963"/>
      <c r="BZ95" s="1952"/>
      <c r="CA95" s="1065" t="s">
        <v>1400</v>
      </c>
      <c r="CB95" s="1952">
        <v>0</v>
      </c>
      <c r="CC95" s="1952"/>
      <c r="CD95" s="1952"/>
      <c r="CE95" s="1952"/>
      <c r="CF95" s="1162"/>
      <c r="CG95" s="2462"/>
      <c r="CH95" s="1221"/>
    </row>
    <row r="96" spans="1:86">
      <c r="A96" s="1395"/>
      <c r="B96" s="1395"/>
      <c r="C96" s="1952"/>
      <c r="D96" s="1952"/>
      <c r="G96" s="1963"/>
      <c r="H96" s="1963"/>
      <c r="I96" s="1963"/>
      <c r="J96" s="1963"/>
      <c r="K96" s="1963"/>
      <c r="L96" s="1963"/>
      <c r="M96" s="1963"/>
      <c r="N96" s="1963"/>
      <c r="O96" s="1963"/>
      <c r="P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963"/>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218"/>
      <c r="BW96" s="1218"/>
      <c r="BX96" s="1963"/>
      <c r="BY96" s="1963"/>
      <c r="CA96" s="1065" t="s">
        <v>2065</v>
      </c>
      <c r="CB96" s="1952">
        <v>-121836.96</v>
      </c>
      <c r="CC96" s="828" t="s">
        <v>2043</v>
      </c>
      <c r="CF96" s="1162"/>
      <c r="CG96" s="2462"/>
      <c r="CH96" s="1162"/>
    </row>
    <row r="97" spans="1:86">
      <c r="A97" s="1395"/>
      <c r="B97" s="1395"/>
      <c r="C97" s="1952"/>
      <c r="D97" s="1952"/>
      <c r="G97" s="1963"/>
      <c r="H97" s="1963"/>
      <c r="I97" s="1963"/>
      <c r="J97" s="1963"/>
      <c r="K97" s="1963"/>
      <c r="L97" s="1963"/>
      <c r="M97" s="1963"/>
      <c r="N97" s="1963"/>
      <c r="O97" s="1963"/>
      <c r="P97" s="1963"/>
      <c r="R97" s="1963"/>
      <c r="S97" s="1963"/>
      <c r="T97" s="1963"/>
      <c r="U97" s="1963"/>
      <c r="V97" s="1963"/>
      <c r="W97" s="1963"/>
      <c r="X97" s="1963"/>
      <c r="Y97" s="1963"/>
      <c r="Z97" s="1963"/>
      <c r="AA97" s="1963"/>
      <c r="AB97" s="1963"/>
      <c r="AC97" s="1963"/>
      <c r="AD97" s="1963"/>
      <c r="AE97" s="1963"/>
      <c r="AF97" s="1963"/>
      <c r="AG97" s="1963"/>
      <c r="AH97" s="1963"/>
      <c r="AI97" s="1963"/>
      <c r="AJ97" s="1963"/>
      <c r="AK97" s="1963"/>
      <c r="AL97" s="1963"/>
      <c r="AM97" s="1963"/>
      <c r="AN97" s="1963"/>
      <c r="AO97" s="1963"/>
      <c r="AP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218"/>
      <c r="BW97" s="1218"/>
      <c r="BX97" s="1963"/>
      <c r="BY97" s="1963"/>
      <c r="CA97" s="1065" t="s">
        <v>2038</v>
      </c>
      <c r="CC97" s="828" t="s">
        <v>2036</v>
      </c>
      <c r="CF97" s="1162"/>
      <c r="CG97" s="2462"/>
      <c r="CH97" s="1162"/>
    </row>
    <row r="98" spans="1:86">
      <c r="A98" s="1395"/>
      <c r="B98" s="1395"/>
      <c r="G98" s="1586"/>
      <c r="H98" s="1586"/>
      <c r="I98" s="1586"/>
      <c r="L98" s="1586"/>
      <c r="M98" s="1586"/>
      <c r="N98" s="1586"/>
      <c r="S98" s="1586"/>
      <c r="T98" s="1586"/>
      <c r="U98" s="1586"/>
      <c r="AC98" s="1586"/>
      <c r="AD98" s="1586"/>
      <c r="AE98" s="1586"/>
      <c r="AH98" s="1586"/>
      <c r="AI98" s="1586"/>
      <c r="AJ98" s="1586"/>
      <c r="AM98" s="1586"/>
      <c r="AN98" s="1586"/>
      <c r="AO98" s="1586"/>
      <c r="AR98" s="1586"/>
      <c r="AS98" s="1586"/>
      <c r="AT98" s="1586"/>
      <c r="AW98" s="1586"/>
      <c r="AX98" s="1586"/>
      <c r="AY98" s="1586"/>
      <c r="BB98" s="1586"/>
      <c r="BC98" s="1586"/>
      <c r="BD98" s="1586"/>
      <c r="BG98" s="1586"/>
      <c r="BH98" s="1586"/>
      <c r="BI98" s="1586"/>
      <c r="BL98" s="1586"/>
      <c r="BM98" s="1586"/>
      <c r="BN98" s="1586"/>
      <c r="BQ98" s="1586"/>
      <c r="BR98" s="1586"/>
      <c r="BS98" s="1586"/>
      <c r="BV98" s="1586"/>
      <c r="BW98" s="1586"/>
      <c r="BX98" s="1586"/>
      <c r="CA98" s="1065" t="s">
        <v>2044</v>
      </c>
      <c r="CC98" s="828" t="s">
        <v>2045</v>
      </c>
      <c r="CF98" s="1162"/>
      <c r="CG98" s="2462"/>
      <c r="CH98" s="1162"/>
    </row>
    <row r="99" spans="1:86">
      <c r="A99" s="1395"/>
      <c r="B99" s="1395"/>
      <c r="G99" s="1586"/>
      <c r="H99" s="1586"/>
      <c r="I99" s="1586"/>
      <c r="L99" s="1586"/>
      <c r="M99" s="1586"/>
      <c r="N99" s="1586"/>
      <c r="S99" s="1586"/>
      <c r="T99" s="1586"/>
      <c r="U99" s="1586"/>
      <c r="AC99" s="1586"/>
      <c r="AD99" s="1586"/>
      <c r="AE99" s="1586"/>
      <c r="AH99" s="1586"/>
      <c r="AI99" s="1586"/>
      <c r="AJ99" s="1586"/>
      <c r="AM99" s="1586"/>
      <c r="AN99" s="1586"/>
      <c r="AO99" s="1586"/>
      <c r="AR99" s="1586"/>
      <c r="AS99" s="1586"/>
      <c r="AT99" s="1586"/>
      <c r="AW99" s="1586"/>
      <c r="AX99" s="1586"/>
      <c r="AY99" s="1586"/>
      <c r="BB99" s="1586"/>
      <c r="BC99" s="1586"/>
      <c r="BD99" s="1586"/>
      <c r="BG99" s="1586"/>
      <c r="BH99" s="1586"/>
      <c r="BI99" s="1586"/>
      <c r="BL99" s="1586"/>
      <c r="BM99" s="1586"/>
      <c r="BN99" s="1586"/>
      <c r="BQ99" s="1586"/>
      <c r="BR99" s="1586"/>
      <c r="BS99" s="1586"/>
      <c r="BV99" s="1586"/>
      <c r="BW99" s="1586"/>
      <c r="BX99" s="1586"/>
      <c r="CA99" s="756" t="s">
        <v>1458</v>
      </c>
      <c r="CB99" s="756">
        <f>SUM(CB93:CB98)</f>
        <v>-4.0000029548536986E-4</v>
      </c>
      <c r="CF99" s="1162"/>
      <c r="CG99" s="2462"/>
      <c r="CH99" s="1162"/>
    </row>
    <row r="100" spans="1:86">
      <c r="A100" s="1395"/>
      <c r="B100" s="1395"/>
      <c r="G100" s="1586"/>
      <c r="H100" s="1586"/>
      <c r="I100" s="1586"/>
      <c r="L100" s="1586"/>
      <c r="M100" s="1586"/>
      <c r="N100" s="1586"/>
      <c r="S100" s="1586"/>
      <c r="T100" s="1586"/>
      <c r="U100" s="1586"/>
      <c r="AC100" s="1586"/>
      <c r="AD100" s="1586"/>
      <c r="AE100" s="1586"/>
      <c r="AH100" s="1586"/>
      <c r="AI100" s="1586"/>
      <c r="AJ100" s="1586"/>
      <c r="AM100" s="1586"/>
      <c r="AN100" s="1586"/>
      <c r="AO100" s="1586"/>
      <c r="AR100" s="1586"/>
      <c r="AS100" s="1586"/>
      <c r="AT100" s="1586"/>
      <c r="AW100" s="1586"/>
      <c r="AX100" s="1586"/>
      <c r="AY100" s="1586"/>
      <c r="BB100" s="1586"/>
      <c r="BC100" s="1586"/>
      <c r="BD100" s="1586"/>
      <c r="BG100" s="1586"/>
      <c r="BH100" s="1586"/>
      <c r="BI100" s="1586"/>
      <c r="BL100" s="1586"/>
      <c r="BM100" s="1586"/>
      <c r="BN100" s="1586"/>
      <c r="BQ100" s="1586"/>
      <c r="BR100" s="1586"/>
      <c r="BS100" s="1586"/>
      <c r="BV100" s="1586"/>
      <c r="BW100" s="1586"/>
      <c r="BX100" s="1586"/>
      <c r="CA100" s="1065"/>
      <c r="CF100" s="1162"/>
      <c r="CG100" s="2462"/>
      <c r="CH100" s="1162"/>
    </row>
    <row r="101" spans="1:86">
      <c r="A101" s="1395"/>
      <c r="B101" s="1395"/>
      <c r="S101" s="1586"/>
      <c r="T101" s="1586"/>
      <c r="U101" s="1586"/>
      <c r="AC101" s="1586"/>
      <c r="AD101" s="1586"/>
      <c r="AE101" s="1586"/>
      <c r="AH101" s="1586"/>
      <c r="AI101" s="1586"/>
      <c r="AJ101" s="1586"/>
      <c r="AM101" s="1586"/>
      <c r="AN101" s="1586"/>
      <c r="AO101" s="1586"/>
      <c r="AR101" s="1586"/>
      <c r="AS101" s="1586"/>
      <c r="AT101" s="1586"/>
      <c r="AW101" s="1586"/>
      <c r="AX101" s="1586"/>
      <c r="AY101" s="1586"/>
      <c r="BB101" s="1586"/>
      <c r="BC101" s="1586"/>
      <c r="BD101" s="1586"/>
      <c r="BG101" s="1586"/>
      <c r="BH101" s="1586"/>
      <c r="BI101" s="1586"/>
      <c r="BL101" s="1586"/>
      <c r="BM101" s="1586"/>
      <c r="BN101" s="1586"/>
      <c r="BQ101" s="1586"/>
      <c r="BR101" s="1586"/>
      <c r="BS101" s="1586"/>
      <c r="BV101" s="1586"/>
      <c r="BW101" s="1586"/>
      <c r="BX101" s="1586"/>
      <c r="CA101" s="1065"/>
      <c r="CF101" s="1162"/>
      <c r="CG101" s="2462"/>
      <c r="CH101" s="1162"/>
    </row>
    <row r="102" spans="1:86">
      <c r="A102" s="1395"/>
      <c r="B102" s="1395"/>
      <c r="S102" s="1586"/>
      <c r="T102" s="1586"/>
      <c r="U102" s="1586"/>
      <c r="AC102" s="1586"/>
      <c r="AD102" s="1586"/>
      <c r="AE102" s="1586"/>
      <c r="AH102" s="1586"/>
      <c r="AI102" s="1586"/>
      <c r="AJ102" s="1586"/>
      <c r="AM102" s="1586"/>
      <c r="AN102" s="1586"/>
      <c r="AO102" s="1586"/>
      <c r="AR102" s="1586"/>
      <c r="AS102" s="1586"/>
      <c r="AT102" s="1586"/>
      <c r="AW102" s="1586"/>
      <c r="AX102" s="1586"/>
      <c r="AY102" s="1586"/>
      <c r="BB102" s="1586"/>
      <c r="BC102" s="1586"/>
      <c r="BD102" s="1586"/>
      <c r="BG102" s="1586"/>
      <c r="BH102" s="1586"/>
      <c r="BI102" s="1586"/>
      <c r="BL102" s="1586"/>
      <c r="BM102" s="1586"/>
      <c r="BN102" s="1586"/>
      <c r="BQ102" s="1586"/>
      <c r="BR102" s="1586"/>
      <c r="BS102" s="1586"/>
      <c r="BV102" s="1586"/>
      <c r="BW102" s="1586"/>
      <c r="BX102" s="1586"/>
      <c r="CF102" s="1162"/>
      <c r="CG102" s="2462"/>
      <c r="CH102" s="1162"/>
    </row>
    <row r="103" spans="1:86">
      <c r="A103" s="1395"/>
      <c r="B103" s="1395"/>
      <c r="S103" s="1586"/>
      <c r="T103" s="1586"/>
      <c r="U103" s="1586"/>
      <c r="AC103" s="1586"/>
      <c r="AD103" s="1586"/>
      <c r="AE103" s="1586"/>
      <c r="AH103" s="1586"/>
      <c r="AI103" s="1586"/>
      <c r="AJ103" s="1586"/>
      <c r="AM103" s="1586"/>
      <c r="AN103" s="1586"/>
      <c r="AO103" s="1586"/>
      <c r="AR103" s="1586"/>
      <c r="AS103" s="1586"/>
      <c r="AT103" s="1586"/>
      <c r="AW103" s="1586"/>
      <c r="AX103" s="1586"/>
      <c r="AY103" s="1586"/>
      <c r="BB103" s="1586"/>
      <c r="BC103" s="1586"/>
      <c r="BD103" s="1586"/>
      <c r="BG103" s="1586"/>
      <c r="BH103" s="1586"/>
      <c r="BI103" s="1586"/>
      <c r="BL103" s="1586"/>
      <c r="BM103" s="1586"/>
      <c r="BN103" s="1586"/>
      <c r="BQ103" s="1586"/>
      <c r="BR103" s="1586"/>
      <c r="BS103" s="1586"/>
      <c r="BV103" s="1586"/>
      <c r="BW103" s="1586"/>
      <c r="BX103" s="1586"/>
      <c r="CA103" s="1395"/>
      <c r="CB103" s="1395"/>
      <c r="CF103" s="1162"/>
      <c r="CG103" s="2462"/>
      <c r="CH103" s="1162"/>
    </row>
    <row r="104" spans="1:86">
      <c r="A104" s="1395"/>
      <c r="B104" s="1395"/>
      <c r="S104" s="1586"/>
      <c r="T104" s="1586"/>
      <c r="U104" s="1586"/>
      <c r="AC104" s="1586"/>
      <c r="AD104" s="1586"/>
      <c r="AE104" s="1586"/>
      <c r="AH104" s="1586"/>
      <c r="AI104" s="1586"/>
      <c r="AJ104" s="1586"/>
      <c r="AM104" s="1586"/>
      <c r="AN104" s="1586"/>
      <c r="AO104" s="1586"/>
      <c r="AR104" s="1586"/>
      <c r="AS104" s="1586"/>
      <c r="AT104" s="1586"/>
      <c r="AW104" s="1586"/>
      <c r="AX104" s="1586"/>
      <c r="AY104" s="1586"/>
      <c r="BB104" s="1586"/>
      <c r="BC104" s="1586"/>
      <c r="BD104" s="1586"/>
      <c r="BG104" s="1586"/>
      <c r="BH104" s="1586"/>
      <c r="BI104" s="1586"/>
      <c r="BL104" s="1586"/>
      <c r="BM104" s="1586"/>
      <c r="BN104" s="1586"/>
      <c r="BQ104" s="1586"/>
      <c r="BR104" s="1586"/>
      <c r="BS104" s="1586"/>
      <c r="BV104" s="1586"/>
      <c r="BW104" s="1586"/>
      <c r="BX104" s="1586"/>
      <c r="CF104" s="1162"/>
      <c r="CG104" s="2462"/>
      <c r="CH104" s="1162"/>
    </row>
    <row r="105" spans="1:86">
      <c r="A105" s="1395"/>
      <c r="B105" s="1395"/>
      <c r="R105" s="1395"/>
      <c r="S105" s="1395"/>
      <c r="T105" s="1395"/>
      <c r="U105" s="1586"/>
      <c r="AB105" s="1395"/>
      <c r="AC105" s="1395"/>
      <c r="AD105" s="1395"/>
      <c r="AE105" s="1586"/>
      <c r="AG105" s="1395"/>
      <c r="AH105" s="1395"/>
      <c r="AI105" s="1395"/>
      <c r="AJ105" s="1586"/>
      <c r="AL105" s="1395"/>
      <c r="AM105" s="1395"/>
      <c r="AN105" s="1395"/>
      <c r="AO105" s="1586"/>
      <c r="AQ105" s="1395"/>
      <c r="AR105" s="1395"/>
      <c r="AS105" s="1395"/>
      <c r="AT105" s="1586"/>
      <c r="AV105" s="1395"/>
      <c r="AW105" s="1395"/>
      <c r="AX105" s="1395"/>
      <c r="AY105" s="1586"/>
      <c r="BA105" s="1395"/>
      <c r="BB105" s="1395"/>
      <c r="BC105" s="1395"/>
      <c r="BD105" s="1586"/>
      <c r="BF105" s="1395"/>
      <c r="BG105" s="1395"/>
      <c r="BH105" s="1395"/>
      <c r="BI105" s="1586"/>
      <c r="BK105" s="1395"/>
      <c r="BL105" s="1395"/>
      <c r="BM105" s="1395"/>
      <c r="BN105" s="1586"/>
      <c r="BP105" s="1395"/>
      <c r="BQ105" s="1395"/>
      <c r="BR105" s="1395"/>
      <c r="BS105" s="1586"/>
      <c r="BV105" s="1586"/>
      <c r="BW105" s="1586"/>
      <c r="BX105" s="1586"/>
      <c r="CF105" s="1162"/>
      <c r="CG105" s="2462"/>
      <c r="CH105" s="1162"/>
    </row>
    <row r="106" spans="1:86">
      <c r="A106" s="1395"/>
      <c r="B106" s="1395"/>
      <c r="R106" s="1395"/>
      <c r="S106" s="1395"/>
      <c r="T106" s="1395"/>
      <c r="U106" s="1586"/>
      <c r="AB106" s="1395"/>
      <c r="AC106" s="1395"/>
      <c r="AD106" s="1395"/>
      <c r="AE106" s="1586"/>
      <c r="AG106" s="1395"/>
      <c r="AH106" s="1395"/>
      <c r="AI106" s="1395"/>
      <c r="AJ106" s="1586"/>
      <c r="AL106" s="1395"/>
      <c r="AM106" s="1395"/>
      <c r="AN106" s="1395"/>
      <c r="AO106" s="1586"/>
      <c r="AQ106" s="1395"/>
      <c r="AR106" s="1395"/>
      <c r="AS106" s="1395"/>
      <c r="AT106" s="1586"/>
      <c r="AV106" s="1395"/>
      <c r="AW106" s="1395"/>
      <c r="AX106" s="1395"/>
      <c r="AY106" s="1586"/>
      <c r="BA106" s="1395"/>
      <c r="BB106" s="1395"/>
      <c r="BC106" s="1395"/>
      <c r="BD106" s="1586"/>
      <c r="BF106" s="1395"/>
      <c r="BG106" s="1395"/>
      <c r="BH106" s="1395"/>
      <c r="BI106" s="1586"/>
      <c r="BK106" s="1395"/>
      <c r="BL106" s="1395"/>
      <c r="BM106" s="1395"/>
      <c r="BN106" s="1586"/>
      <c r="BP106" s="1395"/>
      <c r="BQ106" s="1395"/>
      <c r="BR106" s="1395"/>
      <c r="BS106" s="1586"/>
      <c r="BV106" s="1586"/>
      <c r="BW106" s="1586"/>
      <c r="BX106" s="1586"/>
      <c r="CF106" s="1162"/>
      <c r="CG106" s="2462"/>
      <c r="CH106" s="1162"/>
    </row>
    <row r="107" spans="1:86">
      <c r="A107" s="1395"/>
      <c r="B107" s="1395"/>
      <c r="R107" s="1395"/>
      <c r="S107" s="1395"/>
      <c r="T107" s="1395"/>
      <c r="AB107" s="1395"/>
      <c r="AC107" s="1395"/>
      <c r="AD107" s="1395"/>
      <c r="AG107" s="1395"/>
      <c r="AH107" s="1395"/>
      <c r="AI107" s="1395"/>
      <c r="AL107" s="1395"/>
      <c r="AM107" s="1395"/>
      <c r="AN107" s="1395"/>
      <c r="AQ107" s="1395"/>
      <c r="AR107" s="1395"/>
      <c r="AS107" s="1395"/>
      <c r="AV107" s="1395"/>
      <c r="AW107" s="1395"/>
      <c r="AX107" s="1395"/>
      <c r="BA107" s="1395"/>
      <c r="BB107" s="1395"/>
      <c r="BC107" s="1395"/>
      <c r="BF107" s="1395"/>
      <c r="BG107" s="1395"/>
      <c r="BH107" s="1395"/>
      <c r="BK107" s="1395"/>
      <c r="BL107" s="1395"/>
      <c r="BM107" s="1395"/>
      <c r="BP107" s="1395"/>
      <c r="BQ107" s="1395"/>
      <c r="BR107" s="1395"/>
      <c r="BV107" s="1586"/>
      <c r="BW107" s="1586"/>
      <c r="BX107" s="1586"/>
      <c r="CF107" s="1162"/>
      <c r="CG107" s="2462"/>
    </row>
    <row r="108" spans="1:86">
      <c r="A108" s="1395"/>
      <c r="B108" s="1395"/>
      <c r="T108" s="1395"/>
      <c r="AD108" s="1395"/>
      <c r="AI108" s="1395"/>
      <c r="AN108" s="1395"/>
      <c r="AS108" s="1395"/>
      <c r="AX108" s="1395"/>
      <c r="BC108" s="1395"/>
      <c r="BH108" s="1395"/>
      <c r="BM108" s="1395"/>
      <c r="BR108" s="1395"/>
      <c r="CF108" s="1162"/>
      <c r="CG108" s="2462"/>
    </row>
    <row r="109" spans="1:86">
      <c r="A109" s="1395"/>
      <c r="B109" s="1395"/>
      <c r="T109" s="1395"/>
      <c r="AD109" s="1395"/>
      <c r="AI109" s="1395"/>
      <c r="AN109" s="1395"/>
      <c r="AS109" s="1395"/>
      <c r="AX109" s="1395"/>
      <c r="BC109" s="1395"/>
      <c r="BH109" s="1395"/>
      <c r="BM109" s="1395"/>
      <c r="BR109" s="1395"/>
      <c r="CF109" s="1162"/>
      <c r="CG109" s="2462"/>
    </row>
    <row r="110" spans="1:86">
      <c r="A110" s="1395"/>
      <c r="B110" s="1395"/>
      <c r="T110" s="1395"/>
      <c r="AD110" s="1395"/>
      <c r="AI110" s="1395"/>
      <c r="AN110" s="1395"/>
      <c r="AS110" s="1395"/>
      <c r="AX110" s="1395"/>
      <c r="BC110" s="1395"/>
      <c r="BH110" s="1395"/>
      <c r="BM110" s="1395"/>
      <c r="BR110" s="1395"/>
      <c r="CF110" s="1162"/>
      <c r="CG110" s="2462"/>
    </row>
    <row r="111" spans="1:86">
      <c r="A111" s="1395"/>
      <c r="B111" s="1395"/>
      <c r="C111" s="1395"/>
      <c r="D111" s="1395"/>
      <c r="E111" s="1395"/>
      <c r="F111" s="1395"/>
      <c r="G111" s="1395"/>
      <c r="H111" s="1395"/>
      <c r="I111" s="1395"/>
      <c r="J111" s="1395"/>
      <c r="K111" s="1395"/>
      <c r="L111" s="1395"/>
      <c r="M111" s="1395"/>
      <c r="N111" s="1395"/>
      <c r="O111" s="1395"/>
      <c r="P111" s="1395"/>
      <c r="Q111" s="1395"/>
      <c r="BZ111" s="1395"/>
      <c r="CA111" s="1395"/>
      <c r="CB111" s="1395"/>
      <c r="CC111" s="1395"/>
      <c r="CD111" s="1395"/>
      <c r="CE111" s="1395"/>
      <c r="CF111" s="1162"/>
      <c r="CG111" s="2462"/>
    </row>
    <row r="112" spans="1:86">
      <c r="A112" s="1395"/>
      <c r="B112" s="1395"/>
      <c r="C112" s="1395"/>
      <c r="D112" s="1395"/>
      <c r="E112" s="1395"/>
      <c r="F112" s="1395"/>
      <c r="G112" s="1395"/>
      <c r="H112" s="1395"/>
      <c r="I112" s="1395"/>
      <c r="J112" s="1395"/>
      <c r="K112" s="1395"/>
      <c r="L112" s="1395"/>
      <c r="M112" s="1395"/>
      <c r="N112" s="1395"/>
      <c r="O112" s="1395"/>
      <c r="P112" s="1395"/>
      <c r="Q112" s="1395"/>
      <c r="BZ112" s="1395"/>
      <c r="CA112" s="1395"/>
      <c r="CB112" s="1395"/>
      <c r="CC112" s="1395"/>
      <c r="CD112" s="1395"/>
      <c r="CE112" s="1395"/>
      <c r="CF112" s="1162"/>
      <c r="CG112" s="2462"/>
    </row>
    <row r="113" spans="1:85">
      <c r="A113" s="1395"/>
      <c r="B113" s="1395"/>
      <c r="C113" s="1395"/>
      <c r="D113" s="1395"/>
      <c r="E113" s="1395"/>
      <c r="F113" s="1395"/>
      <c r="G113" s="1395"/>
      <c r="H113" s="1395"/>
      <c r="I113" s="1395"/>
      <c r="J113" s="1395"/>
      <c r="K113" s="1395"/>
      <c r="L113" s="1395"/>
      <c r="M113" s="1395"/>
      <c r="N113" s="1395"/>
      <c r="O113" s="1395"/>
      <c r="P113" s="1395"/>
      <c r="Q113" s="1395"/>
      <c r="BZ113" s="1395"/>
      <c r="CA113" s="1395"/>
      <c r="CB113" s="1395"/>
      <c r="CC113" s="1395"/>
      <c r="CD113" s="1395"/>
      <c r="CE113" s="1395"/>
      <c r="CF113" s="1162"/>
      <c r="CG113" s="2462"/>
    </row>
    <row r="114" spans="1:85">
      <c r="A114" s="1395"/>
      <c r="B114" s="1395"/>
      <c r="C114" s="1395"/>
      <c r="D114" s="1395"/>
      <c r="E114" s="1395"/>
      <c r="F114" s="1395"/>
      <c r="G114" s="1395"/>
      <c r="H114" s="1395"/>
      <c r="I114" s="1395"/>
      <c r="J114" s="1395"/>
      <c r="K114" s="1395"/>
      <c r="L114" s="1395"/>
      <c r="M114" s="1395"/>
      <c r="N114" s="1395"/>
      <c r="O114" s="1395"/>
      <c r="P114" s="1395"/>
      <c r="Q114" s="1395"/>
      <c r="U114" s="1395"/>
      <c r="V114" s="1395"/>
      <c r="W114" s="1395"/>
      <c r="X114" s="1395"/>
      <c r="Y114" s="1395"/>
      <c r="Z114" s="1395"/>
      <c r="AA114" s="1395"/>
      <c r="AE114" s="1395"/>
      <c r="AF114" s="1395"/>
      <c r="AJ114" s="1395"/>
      <c r="AK114" s="1395"/>
      <c r="AO114" s="1395"/>
      <c r="AP114" s="1395"/>
      <c r="AT114" s="1395"/>
      <c r="AU114" s="1395"/>
      <c r="AY114" s="1395"/>
      <c r="AZ114" s="1395"/>
      <c r="BD114" s="1395"/>
      <c r="BE114" s="1395"/>
      <c r="BI114" s="1395"/>
      <c r="BJ114" s="1395"/>
      <c r="BN114" s="1395"/>
      <c r="BO114" s="1395"/>
      <c r="BS114" s="1395"/>
      <c r="BT114" s="1395"/>
      <c r="BZ114" s="1395"/>
      <c r="CA114" s="1395"/>
      <c r="CB114" s="1395"/>
      <c r="CC114" s="1395"/>
      <c r="CD114" s="1395"/>
      <c r="CE114" s="1395"/>
      <c r="CF114" s="1162"/>
      <c r="CG114" s="2462"/>
    </row>
    <row r="115" spans="1:85">
      <c r="A115" s="1395"/>
      <c r="B115" s="1395"/>
      <c r="C115" s="1395"/>
      <c r="D115" s="1395"/>
      <c r="E115" s="1395"/>
      <c r="F115" s="1395"/>
      <c r="G115" s="1395"/>
      <c r="H115" s="1395"/>
      <c r="I115" s="1395"/>
      <c r="J115" s="1395"/>
      <c r="K115" s="1395"/>
      <c r="L115" s="1395"/>
      <c r="M115" s="1395"/>
      <c r="N115" s="1395"/>
      <c r="O115" s="1395"/>
      <c r="P115" s="1395"/>
      <c r="Q115" s="1395"/>
      <c r="U115" s="1395"/>
      <c r="V115" s="1395"/>
      <c r="W115" s="1395"/>
      <c r="X115" s="1395"/>
      <c r="Y115" s="1395"/>
      <c r="Z115" s="1395"/>
      <c r="AA115" s="1395"/>
      <c r="AE115" s="1395"/>
      <c r="AF115" s="1395"/>
      <c r="AJ115" s="1395"/>
      <c r="AK115" s="1395"/>
      <c r="AO115" s="1395"/>
      <c r="AP115" s="1395"/>
      <c r="AT115" s="1395"/>
      <c r="AU115" s="1395"/>
      <c r="AY115" s="1395"/>
      <c r="AZ115" s="1395"/>
      <c r="BD115" s="1395"/>
      <c r="BE115" s="1395"/>
      <c r="BI115" s="1395"/>
      <c r="BJ115" s="1395"/>
      <c r="BN115" s="1395"/>
      <c r="BO115" s="1395"/>
      <c r="BS115" s="1395"/>
      <c r="BT115" s="1395"/>
      <c r="BU115" s="1395"/>
      <c r="BV115" s="1395"/>
      <c r="BW115" s="1395"/>
      <c r="BX115" s="1395"/>
      <c r="BY115" s="1395"/>
      <c r="BZ115" s="1395"/>
      <c r="CA115" s="1395"/>
      <c r="CB115" s="1395"/>
      <c r="CC115" s="1395"/>
      <c r="CD115" s="1395"/>
      <c r="CE115" s="1395"/>
      <c r="CF115" s="1162"/>
      <c r="CG115" s="2462"/>
    </row>
    <row r="116" spans="1:85">
      <c r="A116" s="1395"/>
      <c r="B116" s="1395"/>
      <c r="C116" s="1395"/>
      <c r="D116" s="1395"/>
      <c r="E116" s="1395"/>
      <c r="F116" s="1395"/>
      <c r="G116" s="1395"/>
      <c r="H116" s="1395"/>
      <c r="I116" s="1395"/>
      <c r="J116" s="1395"/>
      <c r="K116" s="1395"/>
      <c r="L116" s="1395"/>
      <c r="M116" s="1395"/>
      <c r="N116" s="1395"/>
      <c r="O116" s="1395"/>
      <c r="P116" s="1395"/>
      <c r="Q116" s="1395"/>
      <c r="U116" s="1395"/>
      <c r="V116" s="1395"/>
      <c r="W116" s="1395"/>
      <c r="X116" s="1395"/>
      <c r="Y116" s="1395"/>
      <c r="Z116" s="1395"/>
      <c r="AA116" s="1395"/>
      <c r="AE116" s="1395"/>
      <c r="AF116" s="1395"/>
      <c r="AJ116" s="1395"/>
      <c r="AK116" s="1395"/>
      <c r="AO116" s="1395"/>
      <c r="AP116" s="1395"/>
      <c r="AT116" s="1395"/>
      <c r="AU116" s="1395"/>
      <c r="AY116" s="1395"/>
      <c r="AZ116" s="1395"/>
      <c r="BD116" s="1395"/>
      <c r="BE116" s="1395"/>
      <c r="BI116" s="1395"/>
      <c r="BJ116" s="1395"/>
      <c r="BN116" s="1395"/>
      <c r="BO116" s="1395"/>
      <c r="BS116" s="1395"/>
      <c r="BT116" s="1395"/>
      <c r="BU116" s="1395"/>
      <c r="BV116" s="1395"/>
      <c r="BW116" s="1395"/>
      <c r="BX116" s="1395"/>
      <c r="BY116" s="1395"/>
      <c r="BZ116" s="1395"/>
      <c r="CA116" s="1395"/>
      <c r="CB116" s="1395"/>
      <c r="CC116" s="1395"/>
      <c r="CD116" s="1395"/>
      <c r="CE116" s="1395"/>
    </row>
    <row r="117" spans="1:85">
      <c r="A117" s="1395"/>
      <c r="B117" s="1395"/>
      <c r="C117" s="1395"/>
      <c r="D117" s="1395"/>
      <c r="E117" s="1395"/>
      <c r="F117" s="1395"/>
      <c r="G117" s="1395"/>
      <c r="H117" s="1395"/>
      <c r="I117" s="1395"/>
      <c r="J117" s="1395"/>
      <c r="K117" s="1395"/>
      <c r="L117" s="1395"/>
      <c r="M117" s="1395"/>
      <c r="N117" s="1395"/>
      <c r="O117" s="1395"/>
      <c r="P117" s="1395"/>
      <c r="Q117" s="1395"/>
      <c r="U117" s="1395"/>
      <c r="V117" s="1395"/>
      <c r="W117" s="1395"/>
      <c r="X117" s="1395"/>
      <c r="Y117" s="1395"/>
      <c r="Z117" s="1395"/>
      <c r="AA117" s="1395"/>
      <c r="AE117" s="1395"/>
      <c r="AF117" s="1395"/>
      <c r="AJ117" s="1395"/>
      <c r="AK117" s="1395"/>
      <c r="AO117" s="1395"/>
      <c r="AP117" s="1395"/>
      <c r="AT117" s="1395"/>
      <c r="AU117" s="1395"/>
      <c r="AY117" s="1395"/>
      <c r="AZ117" s="1395"/>
      <c r="BD117" s="1395"/>
      <c r="BE117" s="1395"/>
      <c r="BI117" s="1395"/>
      <c r="BJ117" s="1395"/>
      <c r="BN117" s="1395"/>
      <c r="BO117" s="1395"/>
      <c r="BS117" s="1395"/>
      <c r="BT117" s="1395"/>
      <c r="BU117" s="1395"/>
      <c r="BV117" s="1395"/>
      <c r="BW117" s="1395"/>
      <c r="BX117" s="1395"/>
      <c r="BY117" s="1395"/>
      <c r="BZ117" s="1395"/>
      <c r="CA117" s="1395"/>
      <c r="CB117" s="1395"/>
      <c r="CC117" s="1395"/>
      <c r="CD117" s="1395"/>
      <c r="CE117" s="1395"/>
    </row>
    <row r="118" spans="1:85">
      <c r="A118" s="1395"/>
      <c r="B118" s="1395"/>
      <c r="C118" s="1395"/>
      <c r="D118" s="1395"/>
      <c r="E118" s="1395"/>
      <c r="F118" s="1395"/>
      <c r="G118" s="1395"/>
      <c r="H118" s="1395"/>
      <c r="I118" s="1395"/>
      <c r="J118" s="1395"/>
      <c r="K118" s="1395"/>
      <c r="L118" s="1395"/>
      <c r="M118" s="1395"/>
      <c r="N118" s="1395"/>
      <c r="O118" s="1395"/>
      <c r="P118" s="1395"/>
      <c r="Q118" s="1395"/>
      <c r="U118" s="1395"/>
      <c r="V118" s="1395"/>
      <c r="W118" s="1395"/>
      <c r="X118" s="1395"/>
      <c r="Y118" s="1395"/>
      <c r="Z118" s="1395"/>
      <c r="AA118" s="1395"/>
      <c r="AE118" s="1395"/>
      <c r="AF118" s="1395"/>
      <c r="AJ118" s="1395"/>
      <c r="AK118" s="1395"/>
      <c r="AO118" s="1395"/>
      <c r="AP118" s="1395"/>
      <c r="AT118" s="1395"/>
      <c r="AU118" s="1395"/>
      <c r="AY118" s="1395"/>
      <c r="AZ118" s="1395"/>
      <c r="BD118" s="1395"/>
      <c r="BE118" s="1395"/>
      <c r="BI118" s="1395"/>
      <c r="BJ118" s="1395"/>
      <c r="BN118" s="1395"/>
      <c r="BO118" s="1395"/>
      <c r="BS118" s="1395"/>
      <c r="BT118" s="1395"/>
      <c r="BU118" s="1395"/>
      <c r="BV118" s="1395"/>
      <c r="BW118" s="1395"/>
      <c r="BX118" s="1395"/>
      <c r="BY118" s="1395"/>
      <c r="BZ118" s="1395"/>
      <c r="CA118" s="1395"/>
      <c r="CB118" s="1395"/>
      <c r="CC118" s="1395"/>
      <c r="CD118" s="1395"/>
      <c r="CE118" s="1395"/>
    </row>
    <row r="119" spans="1:85">
      <c r="A119" s="1395"/>
      <c r="B119" s="1395"/>
      <c r="C119" s="1395"/>
      <c r="D119" s="1395"/>
      <c r="E119" s="1395"/>
      <c r="F119" s="1395"/>
      <c r="G119" s="1395"/>
      <c r="H119" s="1395"/>
      <c r="I119" s="1395"/>
      <c r="J119" s="1395"/>
      <c r="K119" s="1395"/>
      <c r="L119" s="1395"/>
      <c r="M119" s="1395"/>
      <c r="N119" s="1395"/>
      <c r="O119" s="1395"/>
      <c r="P119" s="1395"/>
      <c r="Q119" s="1395"/>
      <c r="U119" s="1395"/>
      <c r="V119" s="1395"/>
      <c r="W119" s="1395"/>
      <c r="X119" s="1395"/>
      <c r="Y119" s="1395"/>
      <c r="Z119" s="1395"/>
      <c r="AA119" s="1395"/>
      <c r="AE119" s="1395"/>
      <c r="AF119" s="1395"/>
      <c r="AJ119" s="1395"/>
      <c r="AK119" s="1395"/>
      <c r="AO119" s="1395"/>
      <c r="AP119" s="1395"/>
      <c r="AT119" s="1395"/>
      <c r="AU119" s="1395"/>
      <c r="AY119" s="1395"/>
      <c r="AZ119" s="1395"/>
      <c r="BD119" s="1395"/>
      <c r="BE119" s="1395"/>
      <c r="BI119" s="1395"/>
      <c r="BJ119" s="1395"/>
      <c r="BN119" s="1395"/>
      <c r="BO119" s="1395"/>
      <c r="BS119" s="1395"/>
      <c r="BT119" s="1395"/>
      <c r="BU119" s="1395"/>
      <c r="BV119" s="1395"/>
      <c r="BW119" s="1395"/>
      <c r="BX119" s="1395"/>
      <c r="BY119" s="1395"/>
      <c r="BZ119" s="1395"/>
      <c r="CA119" s="1395"/>
      <c r="CB119" s="1395"/>
      <c r="CC119" s="1395"/>
      <c r="CD119" s="1395"/>
      <c r="CE119" s="1395"/>
    </row>
    <row r="120" spans="1:85">
      <c r="A120" s="1395"/>
      <c r="B120" s="1395"/>
      <c r="C120" s="1395"/>
      <c r="D120" s="1395"/>
      <c r="E120" s="1395"/>
      <c r="F120" s="1395"/>
      <c r="BU120" s="1395"/>
      <c r="BV120" s="1395"/>
      <c r="BW120" s="1395"/>
      <c r="BX120" s="1395"/>
      <c r="BY120" s="1395"/>
      <c r="BZ120" s="1395"/>
      <c r="CA120" s="1395"/>
      <c r="CB120" s="1395"/>
      <c r="CC120" s="1395"/>
      <c r="CD120" s="1395"/>
      <c r="CE120" s="1395"/>
    </row>
    <row r="121" spans="1:85">
      <c r="A121" s="1395"/>
      <c r="B121" s="1395"/>
      <c r="C121" s="1395"/>
      <c r="D121" s="1395"/>
      <c r="E121" s="1395"/>
      <c r="F121" s="1395"/>
      <c r="G121" s="1395"/>
      <c r="H121" s="1395"/>
      <c r="I121" s="1395"/>
      <c r="J121" s="1395"/>
      <c r="K121" s="1395"/>
      <c r="L121" s="1395"/>
      <c r="M121" s="1395"/>
      <c r="N121" s="1395"/>
      <c r="O121" s="1395"/>
      <c r="P121" s="1395"/>
      <c r="Q121" s="1395"/>
      <c r="BZ121" s="1395"/>
      <c r="CA121" s="1395"/>
      <c r="CB121" s="1395"/>
      <c r="CC121" s="1395"/>
      <c r="CD121" s="1395"/>
      <c r="CE121" s="1395"/>
    </row>
    <row r="122" spans="1:85">
      <c r="A122" s="1395"/>
      <c r="B122" s="1395"/>
      <c r="C122" s="1395"/>
      <c r="D122" s="1395"/>
      <c r="E122" s="1395"/>
      <c r="F122" s="1395"/>
      <c r="BZ122" s="1395"/>
      <c r="CA122" s="1395"/>
      <c r="CB122" s="1395"/>
      <c r="CC122" s="1395"/>
      <c r="CD122" s="1395"/>
      <c r="CE122" s="1395"/>
    </row>
    <row r="123" spans="1:85">
      <c r="A123" s="1395"/>
      <c r="B123" s="1395"/>
      <c r="C123" s="1395"/>
      <c r="D123" s="1395"/>
      <c r="E123" s="1395"/>
      <c r="F123" s="1395"/>
      <c r="G123" s="1395"/>
      <c r="H123" s="1395"/>
      <c r="I123" s="1395"/>
      <c r="J123" s="1395"/>
      <c r="K123" s="1395"/>
      <c r="L123" s="1395"/>
      <c r="M123" s="1395"/>
      <c r="N123" s="1395"/>
      <c r="O123" s="1395"/>
      <c r="P123" s="1395"/>
      <c r="Q123" s="1395"/>
      <c r="BZ123" s="1395"/>
      <c r="CA123" s="1395"/>
      <c r="CB123" s="1395"/>
      <c r="CC123" s="1395"/>
      <c r="CD123" s="1395"/>
      <c r="CE123" s="1395"/>
    </row>
    <row r="124" spans="1:85">
      <c r="A124" s="1395"/>
      <c r="B124" s="1395"/>
      <c r="C124" s="1395"/>
      <c r="D124" s="1395"/>
      <c r="E124" s="1395"/>
      <c r="F124" s="1395"/>
      <c r="BZ124" s="1395"/>
      <c r="CA124" s="1395"/>
      <c r="CB124" s="1395"/>
      <c r="CC124" s="1395"/>
      <c r="CD124" s="1395"/>
      <c r="CE124" s="1395"/>
    </row>
    <row r="125" spans="1:85">
      <c r="A125" s="1395"/>
      <c r="B125" s="1395"/>
      <c r="C125" s="1395"/>
      <c r="D125" s="1395"/>
      <c r="E125" s="1395"/>
      <c r="F125" s="1395"/>
      <c r="G125" s="1395"/>
      <c r="H125" s="1395"/>
      <c r="I125" s="1395"/>
      <c r="J125" s="1395"/>
      <c r="K125" s="1395"/>
      <c r="L125" s="1395"/>
      <c r="M125" s="1395"/>
      <c r="N125" s="1395"/>
      <c r="O125" s="1395"/>
      <c r="P125" s="1395"/>
      <c r="Q125" s="1395"/>
      <c r="BZ125" s="1395"/>
      <c r="CA125" s="1395"/>
      <c r="CB125" s="1395"/>
      <c r="CC125" s="1395"/>
      <c r="CD125" s="1395"/>
      <c r="CE125" s="1395"/>
    </row>
    <row r="126" spans="1:85">
      <c r="A126" s="1395"/>
      <c r="B126" s="1395"/>
      <c r="C126" s="1395"/>
      <c r="D126" s="1395"/>
      <c r="E126" s="1395"/>
      <c r="F126" s="1395"/>
      <c r="BZ126" s="1395"/>
      <c r="CA126" s="1395"/>
      <c r="CB126" s="1395"/>
      <c r="CC126" s="1395"/>
      <c r="CD126" s="1395"/>
      <c r="CE126" s="1395"/>
    </row>
    <row r="127" spans="1:85">
      <c r="A127" s="1395"/>
      <c r="B127" s="1395"/>
      <c r="C127" s="1395"/>
      <c r="D127" s="1395"/>
      <c r="E127" s="1395"/>
      <c r="F127" s="1395"/>
      <c r="G127" s="1395"/>
      <c r="H127" s="1395"/>
      <c r="I127" s="1395"/>
      <c r="J127" s="1395"/>
      <c r="K127" s="1395"/>
      <c r="L127" s="1395"/>
      <c r="M127" s="1395"/>
      <c r="N127" s="1395"/>
      <c r="O127" s="1395"/>
      <c r="P127" s="1395"/>
      <c r="Q127" s="1395"/>
      <c r="R127" s="1395"/>
      <c r="S127" s="1395"/>
      <c r="T127" s="1395"/>
      <c r="U127" s="1395"/>
      <c r="V127" s="1395"/>
      <c r="W127" s="1395"/>
      <c r="X127" s="1395"/>
      <c r="Y127" s="1395"/>
      <c r="Z127" s="1395"/>
      <c r="AA127" s="1395"/>
      <c r="AB127" s="1395"/>
      <c r="AC127" s="1395"/>
      <c r="AD127" s="1395"/>
      <c r="AE127" s="1395"/>
      <c r="AF127" s="1395"/>
      <c r="AG127" s="1395"/>
      <c r="AH127" s="1395"/>
      <c r="AI127" s="1395"/>
      <c r="AJ127" s="1395"/>
      <c r="AK127" s="1395"/>
      <c r="AL127" s="1395"/>
      <c r="AM127" s="1395"/>
      <c r="AN127" s="1395"/>
      <c r="AO127" s="1395"/>
      <c r="AP127" s="1395"/>
      <c r="AQ127" s="1395"/>
      <c r="AR127" s="1395"/>
      <c r="AS127" s="1395"/>
      <c r="AT127" s="1395"/>
      <c r="AU127" s="1395"/>
      <c r="AV127" s="1395"/>
      <c r="AW127" s="1395"/>
      <c r="AX127" s="1395"/>
      <c r="AY127" s="1395"/>
      <c r="AZ127" s="1395"/>
      <c r="BA127" s="1395"/>
      <c r="BB127" s="1395"/>
      <c r="BC127" s="1395"/>
      <c r="BD127" s="1395"/>
      <c r="BE127" s="1395"/>
      <c r="BF127" s="1395"/>
      <c r="BG127" s="1395"/>
      <c r="BH127" s="1395"/>
      <c r="BI127" s="1395"/>
      <c r="BJ127" s="1395"/>
      <c r="BK127" s="1395"/>
      <c r="BL127" s="1395"/>
      <c r="BM127" s="1395"/>
      <c r="BN127" s="1395"/>
      <c r="BO127" s="1395"/>
      <c r="BP127" s="1395"/>
      <c r="BQ127" s="1395"/>
      <c r="BR127" s="1395"/>
      <c r="BS127" s="1395"/>
      <c r="BT127" s="1395"/>
      <c r="BU127" s="1395"/>
      <c r="BV127" s="1395"/>
      <c r="BW127" s="1395"/>
      <c r="BX127" s="1395"/>
      <c r="BY127" s="1395"/>
      <c r="BZ127" s="1395"/>
      <c r="CA127" s="1395"/>
      <c r="CB127" s="1395"/>
      <c r="CC127" s="1395"/>
      <c r="CD127" s="1395"/>
      <c r="CE127" s="1395"/>
    </row>
    <row r="128" spans="1:85">
      <c r="A128" s="1395"/>
      <c r="B128" s="1395"/>
      <c r="C128" s="1395"/>
      <c r="D128" s="1395"/>
      <c r="E128" s="1395"/>
      <c r="F128" s="1395"/>
      <c r="R128" s="1395"/>
      <c r="S128" s="1395"/>
      <c r="T128" s="1395"/>
      <c r="U128" s="1395"/>
      <c r="V128" s="1395"/>
      <c r="W128" s="1395"/>
      <c r="X128" s="1395"/>
      <c r="Y128" s="1395"/>
      <c r="Z128" s="1395"/>
      <c r="AA128" s="1395"/>
      <c r="AB128" s="1395"/>
      <c r="AC128" s="1395"/>
      <c r="AD128" s="1395"/>
      <c r="AE128" s="1395"/>
      <c r="AF128" s="1395"/>
      <c r="AG128" s="1395"/>
      <c r="AH128" s="1395"/>
      <c r="AI128" s="1395"/>
      <c r="AJ128" s="1395"/>
      <c r="AK128" s="1395"/>
      <c r="AL128" s="1395"/>
      <c r="AM128" s="1395"/>
      <c r="AN128" s="1395"/>
      <c r="AO128" s="1395"/>
      <c r="AP128" s="1395"/>
      <c r="AQ128" s="1395"/>
      <c r="AR128" s="1395"/>
      <c r="AS128" s="1395"/>
      <c r="AT128" s="1395"/>
      <c r="AU128" s="1395"/>
      <c r="AV128" s="1395"/>
      <c r="AW128" s="1395"/>
      <c r="AX128" s="1395"/>
      <c r="AY128" s="1395"/>
      <c r="AZ128" s="1395"/>
      <c r="BA128" s="1395"/>
      <c r="BB128" s="1395"/>
      <c r="BC128" s="1395"/>
      <c r="BD128" s="1395"/>
      <c r="BE128" s="1395"/>
      <c r="BF128" s="1395"/>
      <c r="BG128" s="1395"/>
      <c r="BH128" s="1395"/>
      <c r="BI128" s="1395"/>
      <c r="BJ128" s="1395"/>
      <c r="BK128" s="1395"/>
      <c r="BL128" s="1395"/>
      <c r="BM128" s="1395"/>
      <c r="BN128" s="1395"/>
      <c r="BO128" s="1395"/>
      <c r="BP128" s="1395"/>
      <c r="BQ128" s="1395"/>
      <c r="BR128" s="1395"/>
      <c r="BS128" s="1395"/>
      <c r="BT128" s="1395"/>
      <c r="BU128" s="1395"/>
      <c r="BV128" s="1395"/>
      <c r="BW128" s="1395"/>
      <c r="BX128" s="1395"/>
      <c r="BY128" s="1395"/>
      <c r="BZ128" s="1395"/>
      <c r="CA128" s="1395"/>
      <c r="CB128" s="1395"/>
      <c r="CC128" s="1395"/>
      <c r="CD128" s="1395"/>
      <c r="CE128" s="1395"/>
    </row>
    <row r="129" spans="1:83">
      <c r="A129" s="1395"/>
      <c r="B129" s="1395"/>
      <c r="C129" s="1395"/>
      <c r="D129" s="1395"/>
      <c r="E129" s="1395"/>
      <c r="F129" s="1395"/>
      <c r="G129" s="1395"/>
      <c r="H129" s="1395"/>
      <c r="I129" s="1395"/>
      <c r="J129" s="1395"/>
      <c r="K129" s="1395"/>
      <c r="L129" s="1395"/>
      <c r="M129" s="1395"/>
      <c r="N129" s="1395"/>
      <c r="O129" s="1395"/>
      <c r="P129" s="1395"/>
      <c r="Q129" s="1395"/>
      <c r="R129" s="1395"/>
      <c r="S129" s="1395"/>
      <c r="T129" s="1395"/>
      <c r="U129" s="1395"/>
      <c r="V129" s="1395"/>
      <c r="W129" s="1395"/>
      <c r="X129" s="1395"/>
      <c r="Y129" s="1395"/>
      <c r="Z129" s="1395"/>
      <c r="AA129" s="1395"/>
      <c r="AB129" s="1395"/>
      <c r="AC129" s="1395"/>
      <c r="AD129" s="1395"/>
      <c r="AE129" s="1395"/>
      <c r="AF129" s="1395"/>
      <c r="AG129" s="1395"/>
      <c r="AH129" s="1395"/>
      <c r="AI129" s="1395"/>
      <c r="AJ129" s="1395"/>
      <c r="AK129" s="1395"/>
      <c r="AL129" s="1395"/>
      <c r="AM129" s="1395"/>
      <c r="AN129" s="1395"/>
      <c r="AO129" s="1395"/>
      <c r="AP129" s="1395"/>
      <c r="AQ129" s="1395"/>
      <c r="AR129" s="1395"/>
      <c r="AS129" s="1395"/>
      <c r="AT129" s="1395"/>
      <c r="AU129" s="1395"/>
      <c r="AV129" s="1395"/>
      <c r="AW129" s="1395"/>
      <c r="AX129" s="1395"/>
      <c r="AY129" s="1395"/>
      <c r="AZ129" s="1395"/>
      <c r="BA129" s="1395"/>
      <c r="BB129" s="1395"/>
      <c r="BC129" s="1395"/>
      <c r="BD129" s="1395"/>
      <c r="BE129" s="1395"/>
      <c r="BF129" s="1395"/>
      <c r="BG129" s="1395"/>
      <c r="BH129" s="1395"/>
      <c r="BI129" s="1395"/>
      <c r="BJ129" s="1395"/>
      <c r="BK129" s="1395"/>
      <c r="BL129" s="1395"/>
      <c r="BM129" s="1395"/>
      <c r="BN129" s="1395"/>
      <c r="BO129" s="1395"/>
      <c r="BP129" s="1395"/>
      <c r="BQ129" s="1395"/>
      <c r="BR129" s="1395"/>
      <c r="BS129" s="1395"/>
      <c r="BT129" s="1395"/>
      <c r="BU129" s="1395"/>
      <c r="BV129" s="1395"/>
      <c r="BW129" s="1395"/>
      <c r="BX129" s="1395"/>
      <c r="BY129" s="1395"/>
      <c r="BZ129" s="1395"/>
      <c r="CA129" s="1395"/>
      <c r="CB129" s="1395"/>
      <c r="CC129" s="1395"/>
      <c r="CD129" s="1395"/>
      <c r="CE129" s="1395"/>
    </row>
    <row r="130" spans="1:83">
      <c r="A130" s="1395"/>
      <c r="B130" s="1395"/>
      <c r="C130" s="1395"/>
      <c r="D130" s="1395"/>
      <c r="E130" s="1395"/>
      <c r="F130" s="1395"/>
      <c r="R130" s="1395"/>
      <c r="S130" s="1395"/>
      <c r="T130" s="1395"/>
      <c r="U130" s="1395"/>
      <c r="V130" s="1395"/>
      <c r="W130" s="1395"/>
      <c r="X130" s="1395"/>
      <c r="Y130" s="1395"/>
      <c r="Z130" s="1395"/>
      <c r="AA130" s="1395"/>
      <c r="AB130" s="1395"/>
      <c r="AC130" s="1395"/>
      <c r="AD130" s="1395"/>
      <c r="AE130" s="1395"/>
      <c r="AF130" s="1395"/>
      <c r="AG130" s="1395"/>
      <c r="AH130" s="1395"/>
      <c r="AI130" s="1395"/>
      <c r="AJ130" s="1395"/>
      <c r="AK130" s="1395"/>
      <c r="AL130" s="1395"/>
      <c r="AM130" s="1395"/>
      <c r="AN130" s="1395"/>
      <c r="AO130" s="1395"/>
      <c r="AP130" s="1395"/>
      <c r="AQ130" s="1395"/>
      <c r="AR130" s="1395"/>
      <c r="AS130" s="1395"/>
      <c r="AT130" s="1395"/>
      <c r="AU130" s="1395"/>
      <c r="AV130" s="1395"/>
      <c r="AW130" s="1395"/>
      <c r="AX130" s="1395"/>
      <c r="AY130" s="1395"/>
      <c r="AZ130" s="1395"/>
      <c r="BA130" s="1395"/>
      <c r="BB130" s="1395"/>
      <c r="BC130" s="1395"/>
      <c r="BD130" s="1395"/>
      <c r="BE130" s="1395"/>
      <c r="BF130" s="1395"/>
      <c r="BG130" s="1395"/>
      <c r="BH130" s="1395"/>
      <c r="BI130" s="1395"/>
      <c r="BJ130" s="1395"/>
      <c r="BK130" s="1395"/>
      <c r="BL130" s="1395"/>
      <c r="BM130" s="1395"/>
      <c r="BN130" s="1395"/>
      <c r="BO130" s="1395"/>
      <c r="BP130" s="1395"/>
      <c r="BQ130" s="1395"/>
      <c r="BR130" s="1395"/>
      <c r="BS130" s="1395"/>
      <c r="BT130" s="1395"/>
      <c r="BU130" s="1395"/>
      <c r="BV130" s="1395"/>
      <c r="BW130" s="1395"/>
      <c r="BX130" s="1395"/>
      <c r="BY130" s="1395"/>
      <c r="BZ130" s="1395"/>
      <c r="CA130" s="1395"/>
      <c r="CB130" s="1395"/>
      <c r="CC130" s="1395"/>
      <c r="CD130" s="1395"/>
      <c r="CE130" s="1395"/>
    </row>
    <row r="131" spans="1:83">
      <c r="A131" s="1395"/>
      <c r="B131" s="1395"/>
      <c r="C131" s="1395"/>
      <c r="D131" s="1395"/>
      <c r="E131" s="1395"/>
      <c r="F131" s="1395"/>
      <c r="G131" s="1395"/>
      <c r="H131" s="1395"/>
      <c r="I131" s="1395"/>
      <c r="J131" s="1395"/>
      <c r="K131" s="1395"/>
      <c r="L131" s="1395"/>
      <c r="M131" s="1395"/>
      <c r="N131" s="1395"/>
      <c r="O131" s="1395"/>
      <c r="P131" s="1395"/>
      <c r="Q131" s="1395"/>
      <c r="R131" s="1395"/>
      <c r="S131" s="1395"/>
      <c r="T131" s="1395"/>
      <c r="U131" s="1395"/>
      <c r="V131" s="1395"/>
      <c r="W131" s="1395"/>
      <c r="X131" s="1395"/>
      <c r="Y131" s="1395"/>
      <c r="Z131" s="1395"/>
      <c r="AA131" s="1395"/>
      <c r="AB131" s="1395"/>
      <c r="AC131" s="1395"/>
      <c r="AD131" s="1395"/>
      <c r="AE131" s="1395"/>
      <c r="AF131" s="1395"/>
      <c r="AG131" s="1395"/>
      <c r="AH131" s="1395"/>
      <c r="AI131" s="1395"/>
      <c r="AJ131" s="1395"/>
      <c r="AK131" s="1395"/>
      <c r="AL131" s="1395"/>
      <c r="AM131" s="1395"/>
      <c r="AN131" s="1395"/>
      <c r="AO131" s="1395"/>
      <c r="AP131" s="1395"/>
      <c r="AQ131" s="1395"/>
      <c r="AR131" s="1395"/>
      <c r="AS131" s="1395"/>
      <c r="AT131" s="1395"/>
      <c r="AU131" s="1395"/>
      <c r="AV131" s="1395"/>
      <c r="AW131" s="1395"/>
      <c r="AX131" s="1395"/>
      <c r="AY131" s="1395"/>
      <c r="AZ131" s="1395"/>
      <c r="BA131" s="1395"/>
      <c r="BB131" s="1395"/>
      <c r="BC131" s="1395"/>
      <c r="BD131" s="1395"/>
      <c r="BE131" s="1395"/>
      <c r="BF131" s="1395"/>
      <c r="BG131" s="1395"/>
      <c r="BH131" s="1395"/>
      <c r="BI131" s="1395"/>
      <c r="BJ131" s="1395"/>
      <c r="BK131" s="1395"/>
      <c r="BL131" s="1395"/>
      <c r="BM131" s="1395"/>
      <c r="BN131" s="1395"/>
      <c r="BO131" s="1395"/>
      <c r="BP131" s="1395"/>
      <c r="BQ131" s="1395"/>
      <c r="BR131" s="1395"/>
      <c r="BS131" s="1395"/>
      <c r="BT131" s="1395"/>
      <c r="BU131" s="1395"/>
      <c r="BV131" s="1395"/>
      <c r="BW131" s="1395"/>
      <c r="BX131" s="1395"/>
      <c r="BY131" s="1395"/>
      <c r="BZ131" s="1395"/>
      <c r="CA131" s="1395"/>
      <c r="CB131" s="1395"/>
      <c r="CC131" s="1395"/>
      <c r="CD131" s="1395"/>
      <c r="CE131" s="1395"/>
    </row>
    <row r="132" spans="1:83">
      <c r="A132" s="1395"/>
      <c r="B132" s="1395"/>
      <c r="C132" s="1395"/>
      <c r="D132" s="1395"/>
      <c r="E132" s="1395"/>
      <c r="F132" s="1395"/>
      <c r="R132" s="1395"/>
      <c r="S132" s="1395"/>
      <c r="T132" s="1395"/>
      <c r="U132" s="1395"/>
      <c r="V132" s="1395"/>
      <c r="W132" s="1395"/>
      <c r="X132" s="1395"/>
      <c r="Y132" s="1395"/>
      <c r="Z132" s="1395"/>
      <c r="AA132" s="1395"/>
      <c r="AB132" s="1395"/>
      <c r="AC132" s="1395"/>
      <c r="AD132" s="1395"/>
      <c r="AE132" s="1395"/>
      <c r="AF132" s="1395"/>
      <c r="AG132" s="1395"/>
      <c r="AH132" s="1395"/>
      <c r="AI132" s="1395"/>
      <c r="AJ132" s="1395"/>
      <c r="AK132" s="1395"/>
      <c r="AL132" s="1395"/>
      <c r="AM132" s="1395"/>
      <c r="AN132" s="1395"/>
      <c r="AO132" s="1395"/>
      <c r="AP132" s="1395"/>
      <c r="AQ132" s="1395"/>
      <c r="AR132" s="1395"/>
      <c r="AS132" s="1395"/>
      <c r="AT132" s="1395"/>
      <c r="AU132" s="1395"/>
      <c r="AV132" s="1395"/>
      <c r="AW132" s="1395"/>
      <c r="AX132" s="1395"/>
      <c r="AY132" s="1395"/>
      <c r="AZ132" s="1395"/>
      <c r="BA132" s="1395"/>
      <c r="BB132" s="1395"/>
      <c r="BC132" s="1395"/>
      <c r="BD132" s="1395"/>
      <c r="BE132" s="1395"/>
      <c r="BF132" s="1395"/>
      <c r="BG132" s="1395"/>
      <c r="BH132" s="1395"/>
      <c r="BI132" s="1395"/>
      <c r="BJ132" s="1395"/>
      <c r="BK132" s="1395"/>
      <c r="BL132" s="1395"/>
      <c r="BM132" s="1395"/>
      <c r="BN132" s="1395"/>
      <c r="BO132" s="1395"/>
      <c r="BP132" s="1395"/>
      <c r="BQ132" s="1395"/>
      <c r="BR132" s="1395"/>
      <c r="BS132" s="1395"/>
      <c r="BT132" s="1395"/>
      <c r="BU132" s="1395"/>
      <c r="BV132" s="1395"/>
      <c r="BW132" s="1395"/>
      <c r="BX132" s="1395"/>
      <c r="BY132" s="1395"/>
      <c r="BZ132" s="1395"/>
      <c r="CA132" s="1395"/>
      <c r="CB132" s="1395"/>
      <c r="CC132" s="1395"/>
      <c r="CD132" s="1395"/>
      <c r="CE132" s="1395"/>
    </row>
    <row r="133" spans="1:83">
      <c r="A133" s="1395"/>
      <c r="B133" s="1395"/>
      <c r="C133" s="1395"/>
      <c r="D133" s="1395"/>
      <c r="E133" s="1395"/>
      <c r="F133" s="1395"/>
      <c r="G133" s="1395"/>
      <c r="H133" s="1395"/>
      <c r="I133" s="1395"/>
      <c r="J133" s="1395"/>
      <c r="K133" s="1395"/>
      <c r="L133" s="1395"/>
      <c r="M133" s="1395"/>
      <c r="N133" s="1395"/>
      <c r="O133" s="1395"/>
      <c r="P133" s="1395"/>
      <c r="Q133" s="1395"/>
      <c r="R133" s="1395"/>
      <c r="S133" s="1395"/>
      <c r="T133" s="1395"/>
      <c r="U133" s="1395"/>
      <c r="V133" s="1395"/>
      <c r="W133" s="1395"/>
      <c r="X133" s="1395"/>
      <c r="Y133" s="1395"/>
      <c r="Z133" s="1395"/>
      <c r="AA133" s="1395"/>
      <c r="AB133" s="1395"/>
      <c r="AC133" s="1395"/>
      <c r="AD133" s="1395"/>
      <c r="AE133" s="1395"/>
      <c r="AF133" s="1395"/>
      <c r="AG133" s="1395"/>
      <c r="AH133" s="1395"/>
      <c r="AI133" s="1395"/>
      <c r="AJ133" s="1395"/>
      <c r="AK133" s="1395"/>
      <c r="AL133" s="1395"/>
      <c r="AM133" s="1395"/>
      <c r="AN133" s="1395"/>
      <c r="AO133" s="1395"/>
      <c r="AP133" s="1395"/>
      <c r="AQ133" s="1395"/>
      <c r="AR133" s="1395"/>
      <c r="AS133" s="1395"/>
      <c r="AT133" s="1395"/>
      <c r="AU133" s="1395"/>
      <c r="AV133" s="1395"/>
      <c r="AW133" s="1395"/>
      <c r="AX133" s="1395"/>
      <c r="AY133" s="1395"/>
      <c r="AZ133" s="1395"/>
      <c r="BA133" s="1395"/>
      <c r="BB133" s="1395"/>
      <c r="BC133" s="1395"/>
      <c r="BD133" s="1395"/>
      <c r="BE133" s="1395"/>
      <c r="BF133" s="1395"/>
      <c r="BG133" s="1395"/>
      <c r="BH133" s="1395"/>
      <c r="BI133" s="1395"/>
      <c r="BJ133" s="1395"/>
      <c r="BK133" s="1395"/>
      <c r="BL133" s="1395"/>
      <c r="BM133" s="1395"/>
      <c r="BN133" s="1395"/>
      <c r="BO133" s="1395"/>
      <c r="BP133" s="1395"/>
      <c r="BQ133" s="1395"/>
      <c r="BR133" s="1395"/>
      <c r="BS133" s="1395"/>
      <c r="BT133" s="1395"/>
      <c r="BU133" s="1395"/>
      <c r="BV133" s="1395"/>
      <c r="BW133" s="1395"/>
      <c r="BX133" s="1395"/>
      <c r="BY133" s="1395"/>
      <c r="BZ133" s="1395"/>
      <c r="CA133" s="1395"/>
      <c r="CB133" s="1395"/>
      <c r="CC133" s="1395"/>
      <c r="CD133" s="1395"/>
      <c r="CE133" s="1395"/>
    </row>
  </sheetData>
  <mergeCells count="18">
    <mergeCell ref="L2:P3"/>
    <mergeCell ref="W2:AA3"/>
    <mergeCell ref="A42:A48"/>
    <mergeCell ref="A2:F2"/>
    <mergeCell ref="BK2:BO3"/>
    <mergeCell ref="BZ2:CD3"/>
    <mergeCell ref="A3:F3"/>
    <mergeCell ref="BP2:BT3"/>
    <mergeCell ref="BU2:BY3"/>
    <mergeCell ref="G2:K3"/>
    <mergeCell ref="R2:V3"/>
    <mergeCell ref="BA2:BE3"/>
    <mergeCell ref="BF2:BJ3"/>
    <mergeCell ref="AB2:AF3"/>
    <mergeCell ref="AG2:AK3"/>
    <mergeCell ref="AL2:AP3"/>
    <mergeCell ref="AQ2:AU3"/>
    <mergeCell ref="AV2:AZ3"/>
  </mergeCells>
  <pageMargins left="0.7" right="0.7" top="0.75" bottom="0.75" header="0.3" footer="0.3"/>
  <pageSetup paperSize="9" orientation="portrait" horizontalDpi="300" verticalDpi="300"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AM115"/>
  <sheetViews>
    <sheetView zoomScale="70" zoomScaleNormal="70" workbookViewId="0">
      <pane xSplit="6" ySplit="4" topLeftCell="S32" activePane="bottomRight" state="frozen"/>
      <selection pane="topRight" activeCell="G1" sqref="G1"/>
      <selection pane="bottomLeft" activeCell="A5" sqref="A5"/>
      <selection pane="bottomRight" activeCell="E46" sqref="E46"/>
    </sheetView>
  </sheetViews>
  <sheetFormatPr defaultColWidth="7.44140625" defaultRowHeight="13.2" outlineLevelRow="3" outlineLevelCol="1"/>
  <cols>
    <col min="1" max="1" width="4.44140625" style="1402" customWidth="1"/>
    <col min="2" max="2" width="55" style="1402" customWidth="1"/>
    <col min="3" max="3" width="16.6640625" style="1459" customWidth="1" outlineLevel="1"/>
    <col min="4" max="4" width="15.5546875" style="1459" customWidth="1" outlineLevel="1"/>
    <col min="5" max="5" width="16.33203125" style="1952" customWidth="1" outlineLevel="1"/>
    <col min="6" max="6" width="9.5546875" style="1952" customWidth="1" outlineLevel="1"/>
    <col min="7" max="11" width="16.6640625" style="1952" customWidth="1" outlineLevel="1"/>
    <col min="12" max="16" width="16.88671875" style="1952" customWidth="1"/>
    <col min="17" max="20" width="16.6640625" style="1952" customWidth="1"/>
    <col min="21" max="21" width="17.88671875" style="1952" customWidth="1"/>
    <col min="22" max="30" width="16.6640625" style="1952" hidden="1" customWidth="1" outlineLevel="1"/>
    <col min="31" max="31" width="13.109375" style="1952" hidden="1" customWidth="1" outlineLevel="1"/>
    <col min="32" max="32" width="16.6640625" style="1952" customWidth="1" collapsed="1"/>
    <col min="33" max="36" width="16.6640625" style="1952" customWidth="1"/>
    <col min="37" max="37" width="7.44140625" style="1395"/>
    <col min="38" max="38" width="15.88671875" style="1459" bestFit="1" customWidth="1"/>
    <col min="39" max="39" width="13.33203125" style="1459" bestFit="1" customWidth="1"/>
    <col min="40" max="16384" width="7.44140625" style="1395"/>
  </cols>
  <sheetData>
    <row r="1" spans="1:39" ht="13.8" thickBot="1">
      <c r="C1" s="1952"/>
      <c r="D1" s="1952"/>
    </row>
    <row r="2" spans="1:39" ht="22.2" customHeight="1" thickBot="1">
      <c r="A2" s="4834" t="s">
        <v>1364</v>
      </c>
      <c r="B2" s="4835"/>
      <c r="C2" s="4835"/>
      <c r="D2" s="4835"/>
      <c r="E2" s="4835"/>
      <c r="F2" s="4836"/>
      <c r="G2" s="4934" t="s">
        <v>1335</v>
      </c>
      <c r="H2" s="4935"/>
      <c r="I2" s="4935"/>
      <c r="J2" s="4935"/>
      <c r="K2" s="4936"/>
      <c r="L2" s="4837" t="s">
        <v>1365</v>
      </c>
      <c r="M2" s="4838"/>
      <c r="N2" s="4838"/>
      <c r="O2" s="4838"/>
      <c r="P2" s="4953"/>
      <c r="Q2" s="4898" t="s">
        <v>1407</v>
      </c>
      <c r="R2" s="4899"/>
      <c r="S2" s="4899"/>
      <c r="T2" s="4899"/>
      <c r="U2" s="4900"/>
      <c r="V2" s="4910"/>
      <c r="W2" s="4911"/>
      <c r="X2" s="4911"/>
      <c r="Y2" s="4911"/>
      <c r="Z2" s="4912"/>
      <c r="AA2" s="4868"/>
      <c r="AB2" s="4869"/>
      <c r="AC2" s="4869"/>
      <c r="AD2" s="4869"/>
      <c r="AE2" s="4870"/>
      <c r="AF2" s="4874" t="s">
        <v>469</v>
      </c>
      <c r="AG2" s="4875"/>
      <c r="AH2" s="4875"/>
      <c r="AI2" s="4875"/>
      <c r="AJ2" s="4876"/>
    </row>
    <row r="3" spans="1:39" ht="14.4" customHeight="1" thickBot="1">
      <c r="A3" s="4834" t="s">
        <v>54</v>
      </c>
      <c r="B3" s="4835"/>
      <c r="C3" s="4835"/>
      <c r="D3" s="4835"/>
      <c r="E3" s="4835"/>
      <c r="F3" s="4836"/>
      <c r="G3" s="4937"/>
      <c r="H3" s="4938"/>
      <c r="I3" s="4938"/>
      <c r="J3" s="4938"/>
      <c r="K3" s="4939"/>
      <c r="L3" s="4839"/>
      <c r="M3" s="4840"/>
      <c r="N3" s="4840"/>
      <c r="O3" s="4840"/>
      <c r="P3" s="4954"/>
      <c r="Q3" s="4901"/>
      <c r="R3" s="4902"/>
      <c r="S3" s="4902"/>
      <c r="T3" s="4902"/>
      <c r="U3" s="4903"/>
      <c r="V3" s="4913"/>
      <c r="W3" s="4914"/>
      <c r="X3" s="4914"/>
      <c r="Y3" s="4914"/>
      <c r="Z3" s="4915"/>
      <c r="AA3" s="4871"/>
      <c r="AB3" s="4872"/>
      <c r="AC3" s="4872"/>
      <c r="AD3" s="4872"/>
      <c r="AE3" s="4873"/>
      <c r="AF3" s="4877"/>
      <c r="AG3" s="4878"/>
      <c r="AH3" s="4878"/>
      <c r="AI3" s="4878"/>
      <c r="AJ3" s="4879"/>
    </row>
    <row r="4" spans="1:39" ht="41.4" thickBot="1">
      <c r="A4" s="1471"/>
      <c r="B4" s="1474" t="s">
        <v>11</v>
      </c>
      <c r="C4" s="1573" t="s">
        <v>55</v>
      </c>
      <c r="D4" s="1573" t="s">
        <v>18</v>
      </c>
      <c r="E4" s="1574" t="s">
        <v>39</v>
      </c>
      <c r="F4" s="1962" t="s">
        <v>40</v>
      </c>
      <c r="G4" s="1956" t="s">
        <v>55</v>
      </c>
      <c r="H4" s="1956" t="s">
        <v>18</v>
      </c>
      <c r="I4" s="1474" t="s">
        <v>39</v>
      </c>
      <c r="J4" s="1962" t="s">
        <v>40</v>
      </c>
      <c r="K4" s="1474" t="s">
        <v>19</v>
      </c>
      <c r="L4" s="1956" t="s">
        <v>55</v>
      </c>
      <c r="M4" s="1956" t="s">
        <v>18</v>
      </c>
      <c r="N4" s="1474" t="s">
        <v>39</v>
      </c>
      <c r="O4" s="1962" t="s">
        <v>40</v>
      </c>
      <c r="P4" s="1474" t="s">
        <v>19</v>
      </c>
      <c r="Q4" s="1956" t="s">
        <v>55</v>
      </c>
      <c r="R4" s="1956" t="s">
        <v>18</v>
      </c>
      <c r="S4" s="1474" t="s">
        <v>39</v>
      </c>
      <c r="T4" s="1962" t="s">
        <v>40</v>
      </c>
      <c r="U4" s="1474" t="s">
        <v>19</v>
      </c>
      <c r="V4" s="1956" t="s">
        <v>55</v>
      </c>
      <c r="W4" s="1956" t="s">
        <v>18</v>
      </c>
      <c r="X4" s="1474" t="s">
        <v>39</v>
      </c>
      <c r="Y4" s="1962" t="s">
        <v>40</v>
      </c>
      <c r="Z4" s="1474" t="s">
        <v>19</v>
      </c>
      <c r="AA4" s="1956" t="s">
        <v>55</v>
      </c>
      <c r="AB4" s="1956" t="s">
        <v>18</v>
      </c>
      <c r="AC4" s="1474" t="s">
        <v>39</v>
      </c>
      <c r="AD4" s="1962" t="s">
        <v>40</v>
      </c>
      <c r="AE4" s="1474" t="s">
        <v>19</v>
      </c>
      <c r="AF4" s="1956" t="s">
        <v>55</v>
      </c>
      <c r="AG4" s="1956" t="s">
        <v>18</v>
      </c>
      <c r="AH4" s="1474" t="s">
        <v>39</v>
      </c>
      <c r="AI4" s="1962" t="s">
        <v>40</v>
      </c>
      <c r="AJ4" s="1474" t="s">
        <v>19</v>
      </c>
    </row>
    <row r="5" spans="1:39" s="2466" customFormat="1" ht="24.6" customHeight="1" thickBot="1">
      <c r="A5" s="1462"/>
      <c r="B5" s="970" t="s">
        <v>10</v>
      </c>
      <c r="C5" s="1464">
        <f t="shared" ref="C5:E5" si="0">C6+C7</f>
        <v>1596461.0765686878</v>
      </c>
      <c r="D5" s="1464">
        <f t="shared" si="0"/>
        <v>0</v>
      </c>
      <c r="E5" s="1955">
        <f t="shared" si="0"/>
        <v>1596461.0765686878</v>
      </c>
      <c r="F5" s="1466"/>
      <c r="G5" s="1955">
        <f t="shared" ref="G5:I5" si="1">G6+G7</f>
        <v>0</v>
      </c>
      <c r="H5" s="1466">
        <f t="shared" si="1"/>
        <v>0</v>
      </c>
      <c r="I5" s="1466">
        <f t="shared" si="1"/>
        <v>0</v>
      </c>
      <c r="J5" s="1466"/>
      <c r="K5" s="1466"/>
      <c r="L5" s="1955">
        <f t="shared" ref="L5:N5" si="2">L6+L7</f>
        <v>1596455.01</v>
      </c>
      <c r="M5" s="1466">
        <f t="shared" si="2"/>
        <v>0</v>
      </c>
      <c r="N5" s="1466">
        <f t="shared" si="2"/>
        <v>1596455.01</v>
      </c>
      <c r="O5" s="1466"/>
      <c r="P5" s="1466"/>
      <c r="Q5" s="1955">
        <f>SUM(Q6:Q7)</f>
        <v>0</v>
      </c>
      <c r="R5" s="1955">
        <f>SUM(R6:R7)</f>
        <v>0</v>
      </c>
      <c r="S5" s="1955">
        <f>SUM(S6:S7)</f>
        <v>0</v>
      </c>
      <c r="T5" s="1466"/>
      <c r="U5" s="1466"/>
      <c r="V5" s="1955">
        <f>V6</f>
        <v>0</v>
      </c>
      <c r="W5" s="1466">
        <f>W6</f>
        <v>0</v>
      </c>
      <c r="X5" s="1466">
        <f>X6</f>
        <v>0</v>
      </c>
      <c r="Y5" s="1466"/>
      <c r="Z5" s="1466"/>
      <c r="AA5" s="1955">
        <f>AA6</f>
        <v>0</v>
      </c>
      <c r="AB5" s="1466">
        <f>AB6</f>
        <v>0</v>
      </c>
      <c r="AC5" s="1466">
        <f>AC6</f>
        <v>0</v>
      </c>
      <c r="AD5" s="1466"/>
      <c r="AE5" s="1466"/>
      <c r="AF5" s="1466">
        <f>AF6+AF7</f>
        <v>1596455.01</v>
      </c>
      <c r="AG5" s="1466">
        <f>AG6+AG7</f>
        <v>0</v>
      </c>
      <c r="AH5" s="1466">
        <f>AH6+AH7</f>
        <v>1596455.01</v>
      </c>
      <c r="AI5" s="1466"/>
      <c r="AJ5" s="1466"/>
      <c r="AL5" s="2623">
        <v>1436809.51</v>
      </c>
      <c r="AM5" s="2623">
        <f>AL5-AH5</f>
        <v>-159645.5</v>
      </c>
    </row>
    <row r="6" spans="1:39" s="1396" customFormat="1" ht="24.6" customHeight="1" outlineLevel="1">
      <c r="A6" s="1572"/>
      <c r="B6" s="1424" t="s">
        <v>17</v>
      </c>
      <c r="C6" s="1974">
        <v>1596461.0765686878</v>
      </c>
      <c r="D6" s="2011"/>
      <c r="E6" s="2012">
        <f>C6+D6</f>
        <v>1596461.0765686878</v>
      </c>
      <c r="F6" s="2043"/>
      <c r="G6" s="2051"/>
      <c r="H6" s="2043"/>
      <c r="I6" s="2012">
        <f>G6+H6</f>
        <v>0</v>
      </c>
      <c r="J6" s="2043"/>
      <c r="K6" s="2046"/>
      <c r="L6" s="2051">
        <f>823868.05+772586.96</f>
        <v>1596455.01</v>
      </c>
      <c r="M6" s="2043"/>
      <c r="N6" s="2012">
        <f>L6+M6</f>
        <v>1596455.01</v>
      </c>
      <c r="O6" s="2043"/>
      <c r="P6" s="2046" t="s">
        <v>1391</v>
      </c>
      <c r="Q6" s="2051"/>
      <c r="R6" s="2043"/>
      <c r="S6" s="2012">
        <f>Q6+R6</f>
        <v>0</v>
      </c>
      <c r="T6" s="2043"/>
      <c r="U6" s="2043"/>
      <c r="V6" s="2051"/>
      <c r="W6" s="2043"/>
      <c r="X6" s="2012">
        <f>V6+W6</f>
        <v>0</v>
      </c>
      <c r="Y6" s="2043"/>
      <c r="Z6" s="2043"/>
      <c r="AA6" s="2051"/>
      <c r="AB6" s="2043"/>
      <c r="AC6" s="2012">
        <f>AA6+AB6</f>
        <v>0</v>
      </c>
      <c r="AD6" s="2043"/>
      <c r="AE6" s="2043"/>
      <c r="AF6" s="2043">
        <f>G6+L6+Q6</f>
        <v>1596455.01</v>
      </c>
      <c r="AG6" s="2043">
        <f>H6+M6+R6</f>
        <v>0</v>
      </c>
      <c r="AH6" s="2012">
        <f>AF6+AG6</f>
        <v>1596455.01</v>
      </c>
      <c r="AI6" s="2043"/>
      <c r="AJ6" s="2043"/>
      <c r="AL6" s="919"/>
      <c r="AM6" s="2624"/>
    </row>
    <row r="7" spans="1:39" s="1396" customFormat="1" ht="24.6" customHeight="1" outlineLevel="1" collapsed="1" thickBot="1">
      <c r="A7" s="1572"/>
      <c r="B7" s="2667" t="s">
        <v>41</v>
      </c>
      <c r="C7" s="2668"/>
      <c r="D7" s="2669"/>
      <c r="E7" s="2012">
        <f>C7+D7</f>
        <v>0</v>
      </c>
      <c r="F7" s="2670"/>
      <c r="G7" s="2051"/>
      <c r="H7" s="2043"/>
      <c r="I7" s="2012">
        <f>G7+H7</f>
        <v>0</v>
      </c>
      <c r="J7" s="2670"/>
      <c r="K7" s="2671"/>
      <c r="L7" s="2051"/>
      <c r="M7" s="2043"/>
      <c r="N7" s="2012">
        <f>L7+M7</f>
        <v>0</v>
      </c>
      <c r="O7" s="2670"/>
      <c r="P7" s="2671"/>
      <c r="Q7" s="2051"/>
      <c r="R7" s="2043"/>
      <c r="S7" s="2012">
        <f>Q7+R7</f>
        <v>0</v>
      </c>
      <c r="T7" s="2670"/>
      <c r="U7" s="2055"/>
      <c r="V7" s="2051"/>
      <c r="W7" s="2043"/>
      <c r="X7" s="2012">
        <f>V7+W7</f>
        <v>0</v>
      </c>
      <c r="Y7" s="2670"/>
      <c r="Z7" s="2671"/>
      <c r="AA7" s="2051"/>
      <c r="AB7" s="2043"/>
      <c r="AC7" s="2012">
        <f>AA7+AB7</f>
        <v>0</v>
      </c>
      <c r="AD7" s="2670"/>
      <c r="AE7" s="2671"/>
      <c r="AF7" s="2043">
        <f>G7+L7+Q7</f>
        <v>0</v>
      </c>
      <c r="AG7" s="2043">
        <f>H7+M7+R7</f>
        <v>0</v>
      </c>
      <c r="AH7" s="2012">
        <f>AF7+AG7</f>
        <v>0</v>
      </c>
      <c r="AI7" s="2670"/>
      <c r="AJ7" s="2670"/>
      <c r="AL7" s="919"/>
      <c r="AM7" s="919"/>
    </row>
    <row r="8" spans="1:39" s="2466" customFormat="1" ht="24.6" customHeight="1" thickBot="1">
      <c r="A8" s="1572"/>
      <c r="B8" s="970" t="s">
        <v>16</v>
      </c>
      <c r="C8" s="1957">
        <f>SUM(C9:C33)</f>
        <v>588620.21412208001</v>
      </c>
      <c r="D8" s="1957">
        <f>SUM(D9:D33)</f>
        <v>471923.4</v>
      </c>
      <c r="E8" s="1484">
        <f>SUM(E9:E33)</f>
        <v>1060543.6141220802</v>
      </c>
      <c r="F8" s="1528">
        <f t="shared" ref="F8:F33" si="3">E8/$E$89</f>
        <v>0.86826329413004733</v>
      </c>
      <c r="G8" s="1957">
        <f>SUM(G9:G33)</f>
        <v>15808</v>
      </c>
      <c r="H8" s="1957">
        <f>SUM(H9:H33)</f>
        <v>15700</v>
      </c>
      <c r="I8" s="1484">
        <f>SUM(I9:I33)</f>
        <v>31508</v>
      </c>
      <c r="J8" s="1528">
        <f>I8/$I$89</f>
        <v>0.93637508172627515</v>
      </c>
      <c r="K8" s="1600"/>
      <c r="L8" s="1957">
        <f>SUM(L9:L33)</f>
        <v>463300.38800000004</v>
      </c>
      <c r="M8" s="1957">
        <f>SUM(M9:M33)</f>
        <v>254111.6</v>
      </c>
      <c r="N8" s="1484">
        <f>SUM(N9:N33)</f>
        <v>717411.98800000001</v>
      </c>
      <c r="O8" s="1528">
        <f>N8/$N$89</f>
        <v>0.95115124486872493</v>
      </c>
      <c r="P8" s="1600"/>
      <c r="Q8" s="1957">
        <f>SUM(Q9:Q33)</f>
        <v>4979.7</v>
      </c>
      <c r="R8" s="1957">
        <f>SUM(R9:R33)</f>
        <v>0</v>
      </c>
      <c r="S8" s="1484">
        <f>SUM(S9:S33)</f>
        <v>4979.7</v>
      </c>
      <c r="T8" s="1528">
        <f>S8/S$89</f>
        <v>0.90134884663838177</v>
      </c>
      <c r="U8" s="1600"/>
      <c r="V8" s="1957">
        <f>SUM(V9:V33)</f>
        <v>0</v>
      </c>
      <c r="W8" s="1957">
        <f>SUM(W9:W33)</f>
        <v>0</v>
      </c>
      <c r="X8" s="1484">
        <f>SUM(X9:X33)</f>
        <v>0</v>
      </c>
      <c r="Y8" s="1528" t="e">
        <f>X8/$X$89</f>
        <v>#DIV/0!</v>
      </c>
      <c r="Z8" s="1600"/>
      <c r="AA8" s="1957">
        <f>SUM(AA9:AA33)</f>
        <v>0</v>
      </c>
      <c r="AB8" s="1957">
        <f>SUM(AB9:AB33)</f>
        <v>0</v>
      </c>
      <c r="AC8" s="1484">
        <f>SUM(AC9:AC33)</f>
        <v>0</v>
      </c>
      <c r="AD8" s="1528" t="e">
        <f>AC8/$AC$89</f>
        <v>#DIV/0!</v>
      </c>
      <c r="AE8" s="1600"/>
      <c r="AF8" s="1957">
        <f>SUM(AF9:AF33)</f>
        <v>484088.08800000005</v>
      </c>
      <c r="AG8" s="1957">
        <f>SUM(AG9:AG33)</f>
        <v>269811.59999999998</v>
      </c>
      <c r="AH8" s="1484">
        <f>SUM(AH9:AH33)</f>
        <v>753899.68799999997</v>
      </c>
      <c r="AI8" s="1528">
        <f>AH8/$AH$89</f>
        <v>0.95017781813719382</v>
      </c>
      <c r="AJ8" s="1466"/>
      <c r="AL8" s="918"/>
      <c r="AM8" s="918"/>
    </row>
    <row r="9" spans="1:39" s="1396" customFormat="1" ht="24.6" customHeight="1">
      <c r="A9" s="1572"/>
      <c r="B9" s="1424" t="s">
        <v>74</v>
      </c>
      <c r="C9" s="1485"/>
      <c r="D9" s="1486"/>
      <c r="E9" s="2012">
        <f t="shared" ref="E9:E33" si="4">C9+D9</f>
        <v>0</v>
      </c>
      <c r="F9" s="1976">
        <f t="shared" si="3"/>
        <v>0</v>
      </c>
      <c r="G9" s="2051"/>
      <c r="H9" s="2043"/>
      <c r="I9" s="2045">
        <f>G9+H9*1</f>
        <v>0</v>
      </c>
      <c r="J9" s="2672">
        <f t="shared" ref="J9:J37" si="5">I9/$I$89</f>
        <v>0</v>
      </c>
      <c r="K9" s="1434"/>
      <c r="L9" s="2051"/>
      <c r="M9" s="2043"/>
      <c r="N9" s="2045">
        <f>L9+M9*1</f>
        <v>0</v>
      </c>
      <c r="O9" s="2672">
        <f t="shared" ref="O9:O36" si="6">N9/$N$89</f>
        <v>0</v>
      </c>
      <c r="P9" s="1434"/>
      <c r="Q9" s="1695"/>
      <c r="R9" s="2467"/>
      <c r="S9" s="1561">
        <f>Q9+R9*1</f>
        <v>0</v>
      </c>
      <c r="T9" s="1559">
        <f t="shared" ref="T9:T33" si="7">S9/S$89</f>
        <v>0</v>
      </c>
      <c r="U9" s="1580"/>
      <c r="V9" s="2051"/>
      <c r="W9" s="2043"/>
      <c r="X9" s="2045">
        <f>V9+W9*1</f>
        <v>0</v>
      </c>
      <c r="Y9" s="2672" t="e">
        <f t="shared" ref="Y9:Y33" si="8">X9/$X$89</f>
        <v>#DIV/0!</v>
      </c>
      <c r="Z9" s="1434"/>
      <c r="AA9" s="2051"/>
      <c r="AB9" s="2043"/>
      <c r="AC9" s="2045">
        <f>AA9+AB9*1</f>
        <v>0</v>
      </c>
      <c r="AD9" s="2672" t="e">
        <f t="shared" ref="AD9:AD33" si="9">AC9/$AC$89</f>
        <v>#DIV/0!</v>
      </c>
      <c r="AE9" s="1434"/>
      <c r="AF9" s="2043">
        <f t="shared" ref="AF9:AG33" si="10">G9+L9+Q9</f>
        <v>0</v>
      </c>
      <c r="AG9" s="2043">
        <f t="shared" si="10"/>
        <v>0</v>
      </c>
      <c r="AH9" s="2045">
        <f t="shared" ref="AH9:AH33" si="11">AF9+AG9*1</f>
        <v>0</v>
      </c>
      <c r="AI9" s="2672">
        <f t="shared" ref="AI9:AI33" si="12">AH9/$AH$89</f>
        <v>0</v>
      </c>
      <c r="AJ9" s="1434"/>
      <c r="AL9" s="919"/>
      <c r="AM9" s="919"/>
    </row>
    <row r="10" spans="1:39" s="1396" customFormat="1" ht="24.6" customHeight="1">
      <c r="A10" s="1572"/>
      <c r="B10" s="1424" t="s">
        <v>72</v>
      </c>
      <c r="C10" s="1485"/>
      <c r="D10" s="1486"/>
      <c r="E10" s="2012">
        <f t="shared" si="4"/>
        <v>0</v>
      </c>
      <c r="F10" s="1976">
        <f t="shared" si="3"/>
        <v>0</v>
      </c>
      <c r="G10" s="2051"/>
      <c r="H10" s="2043"/>
      <c r="I10" s="2045">
        <f t="shared" ref="I10:I33" si="13">G10+H10*1</f>
        <v>0</v>
      </c>
      <c r="J10" s="2672">
        <f t="shared" si="5"/>
        <v>0</v>
      </c>
      <c r="K10" s="1615"/>
      <c r="L10" s="2051"/>
      <c r="M10" s="2043"/>
      <c r="N10" s="2045">
        <f t="shared" ref="N10:N33" si="14">L10+M10*1</f>
        <v>0</v>
      </c>
      <c r="O10" s="2672">
        <f t="shared" si="6"/>
        <v>0</v>
      </c>
      <c r="P10" s="1615"/>
      <c r="Q10" s="2051"/>
      <c r="R10" s="2043"/>
      <c r="S10" s="2045">
        <f t="shared" ref="S10:S33" si="15">Q10+R10*1</f>
        <v>0</v>
      </c>
      <c r="T10" s="2672">
        <f t="shared" si="7"/>
        <v>0</v>
      </c>
      <c r="U10" s="1615"/>
      <c r="V10" s="2051"/>
      <c r="W10" s="2043"/>
      <c r="X10" s="2045">
        <f t="shared" ref="X10:X33" si="16">V10+W10*1</f>
        <v>0</v>
      </c>
      <c r="Y10" s="2672" t="e">
        <f t="shared" si="8"/>
        <v>#DIV/0!</v>
      </c>
      <c r="Z10" s="1615"/>
      <c r="AA10" s="2051"/>
      <c r="AB10" s="2043"/>
      <c r="AC10" s="2045">
        <f t="shared" ref="AC10:AC33" si="17">AA10+AB10*1</f>
        <v>0</v>
      </c>
      <c r="AD10" s="2672" t="e">
        <f t="shared" si="9"/>
        <v>#DIV/0!</v>
      </c>
      <c r="AE10" s="1615"/>
      <c r="AF10" s="2043">
        <f t="shared" si="10"/>
        <v>0</v>
      </c>
      <c r="AG10" s="2043">
        <f t="shared" si="10"/>
        <v>0</v>
      </c>
      <c r="AH10" s="2045">
        <f t="shared" si="11"/>
        <v>0</v>
      </c>
      <c r="AI10" s="2672">
        <f t="shared" si="12"/>
        <v>0</v>
      </c>
      <c r="AJ10" s="1434"/>
      <c r="AL10" s="919"/>
      <c r="AM10" s="919"/>
    </row>
    <row r="11" spans="1:39" s="1396" customFormat="1" ht="24.6" customHeight="1">
      <c r="A11" s="1572"/>
      <c r="B11" s="1424" t="s">
        <v>69</v>
      </c>
      <c r="C11" s="1485"/>
      <c r="D11" s="1486"/>
      <c r="E11" s="2012">
        <f t="shared" si="4"/>
        <v>0</v>
      </c>
      <c r="F11" s="1976">
        <f t="shared" si="3"/>
        <v>0</v>
      </c>
      <c r="G11" s="2051"/>
      <c r="H11" s="2043"/>
      <c r="I11" s="2045">
        <f t="shared" si="13"/>
        <v>0</v>
      </c>
      <c r="J11" s="2672">
        <f t="shared" si="5"/>
        <v>0</v>
      </c>
      <c r="K11" s="1615"/>
      <c r="L11" s="2051"/>
      <c r="M11" s="2043"/>
      <c r="N11" s="2045">
        <f t="shared" si="14"/>
        <v>0</v>
      </c>
      <c r="O11" s="2672">
        <f t="shared" si="6"/>
        <v>0</v>
      </c>
      <c r="P11" s="1615"/>
      <c r="Q11" s="2051"/>
      <c r="R11" s="2043"/>
      <c r="S11" s="2045">
        <f t="shared" si="15"/>
        <v>0</v>
      </c>
      <c r="T11" s="2672">
        <f t="shared" si="7"/>
        <v>0</v>
      </c>
      <c r="U11" s="1615"/>
      <c r="V11" s="2051"/>
      <c r="W11" s="2043"/>
      <c r="X11" s="2045">
        <f t="shared" si="16"/>
        <v>0</v>
      </c>
      <c r="Y11" s="2672" t="e">
        <f t="shared" si="8"/>
        <v>#DIV/0!</v>
      </c>
      <c r="Z11" s="1615"/>
      <c r="AA11" s="2051"/>
      <c r="AB11" s="2043"/>
      <c r="AC11" s="2045">
        <f t="shared" si="17"/>
        <v>0</v>
      </c>
      <c r="AD11" s="2672" t="e">
        <f t="shared" si="9"/>
        <v>#DIV/0!</v>
      </c>
      <c r="AE11" s="1615"/>
      <c r="AF11" s="2043">
        <f t="shared" si="10"/>
        <v>0</v>
      </c>
      <c r="AG11" s="2043">
        <f t="shared" si="10"/>
        <v>0</v>
      </c>
      <c r="AH11" s="2045">
        <f t="shared" si="11"/>
        <v>0</v>
      </c>
      <c r="AI11" s="2672">
        <f t="shared" si="12"/>
        <v>0</v>
      </c>
      <c r="AJ11" s="1434"/>
      <c r="AL11" s="919"/>
      <c r="AM11" s="919"/>
    </row>
    <row r="12" spans="1:39" s="1396" customFormat="1" ht="24.6" customHeight="1">
      <c r="A12" s="1572"/>
      <c r="B12" s="1424" t="s">
        <v>73</v>
      </c>
      <c r="C12" s="1485">
        <v>9982</v>
      </c>
      <c r="D12" s="1486">
        <v>20018</v>
      </c>
      <c r="E12" s="2012">
        <f t="shared" si="4"/>
        <v>30000</v>
      </c>
      <c r="F12" s="1976">
        <f t="shared" si="3"/>
        <v>2.4560893561613603E-2</v>
      </c>
      <c r="G12" s="2051">
        <v>8372</v>
      </c>
      <c r="H12" s="2043">
        <v>15700</v>
      </c>
      <c r="I12" s="2045">
        <f t="shared" si="13"/>
        <v>24072</v>
      </c>
      <c r="J12" s="2672">
        <f t="shared" si="5"/>
        <v>0.71538723395058068</v>
      </c>
      <c r="K12" s="2049" t="s">
        <v>1366</v>
      </c>
      <c r="L12" s="2051">
        <v>6976.67</v>
      </c>
      <c r="M12" s="2043">
        <v>19500</v>
      </c>
      <c r="N12" s="2045">
        <f t="shared" si="14"/>
        <v>26476.67</v>
      </c>
      <c r="O12" s="2672">
        <f t="shared" si="6"/>
        <v>3.5103006433840664E-2</v>
      </c>
      <c r="P12" s="2049" t="s">
        <v>1366</v>
      </c>
      <c r="Q12" s="2051"/>
      <c r="R12" s="2043"/>
      <c r="S12" s="2045">
        <f t="shared" si="15"/>
        <v>0</v>
      </c>
      <c r="T12" s="2672">
        <f t="shared" si="7"/>
        <v>0</v>
      </c>
      <c r="U12" s="2048"/>
      <c r="V12" s="2051"/>
      <c r="W12" s="2043"/>
      <c r="X12" s="2045">
        <f t="shared" si="16"/>
        <v>0</v>
      </c>
      <c r="Y12" s="2672" t="e">
        <f t="shared" si="8"/>
        <v>#DIV/0!</v>
      </c>
      <c r="Z12" s="2048"/>
      <c r="AA12" s="2051"/>
      <c r="AB12" s="2043"/>
      <c r="AC12" s="2045">
        <f t="shared" si="17"/>
        <v>0</v>
      </c>
      <c r="AD12" s="2672" t="e">
        <f t="shared" si="9"/>
        <v>#DIV/0!</v>
      </c>
      <c r="AE12" s="2048"/>
      <c r="AF12" s="2043">
        <f t="shared" si="10"/>
        <v>15348.67</v>
      </c>
      <c r="AG12" s="2043">
        <f t="shared" si="10"/>
        <v>35200</v>
      </c>
      <c r="AH12" s="2045">
        <f t="shared" si="11"/>
        <v>50548.67</v>
      </c>
      <c r="AI12" s="2672">
        <f t="shared" si="12"/>
        <v>6.3709039458227007E-2</v>
      </c>
      <c r="AJ12" s="1434"/>
      <c r="AL12" s="920">
        <v>31048.67</v>
      </c>
      <c r="AM12" s="919">
        <f t="shared" ref="AM12:AM14" si="18">AH12-AL12</f>
        <v>19500</v>
      </c>
    </row>
    <row r="13" spans="1:39" s="1396" customFormat="1" ht="24.6" customHeight="1">
      <c r="A13" s="1572"/>
      <c r="B13" s="1424" t="s">
        <v>71</v>
      </c>
      <c r="C13" s="1485">
        <v>2418</v>
      </c>
      <c r="D13" s="1486"/>
      <c r="E13" s="2012">
        <f t="shared" si="4"/>
        <v>2418</v>
      </c>
      <c r="F13" s="1976">
        <f t="shared" si="3"/>
        <v>1.9796080210660563E-3</v>
      </c>
      <c r="G13" s="2051">
        <v>2028</v>
      </c>
      <c r="H13" s="2043"/>
      <c r="I13" s="2045">
        <f t="shared" si="13"/>
        <v>2028</v>
      </c>
      <c r="J13" s="2672">
        <f t="shared" si="5"/>
        <v>6.0269413029734861E-2</v>
      </c>
      <c r="K13" s="2048"/>
      <c r="L13" s="2051">
        <v>1690</v>
      </c>
      <c r="M13" s="2051"/>
      <c r="N13" s="2045">
        <f t="shared" si="14"/>
        <v>1690</v>
      </c>
      <c r="O13" s="2672">
        <f t="shared" si="6"/>
        <v>2.240617149860263E-3</v>
      </c>
      <c r="P13" s="2048"/>
      <c r="Q13" s="2051"/>
      <c r="R13" s="2043"/>
      <c r="S13" s="2045">
        <f t="shared" si="15"/>
        <v>0</v>
      </c>
      <c r="T13" s="2672">
        <f t="shared" si="7"/>
        <v>0</v>
      </c>
      <c r="U13" s="2048"/>
      <c r="V13" s="2051"/>
      <c r="W13" s="2043"/>
      <c r="X13" s="2045">
        <f t="shared" si="16"/>
        <v>0</v>
      </c>
      <c r="Y13" s="2672" t="e">
        <f t="shared" si="8"/>
        <v>#DIV/0!</v>
      </c>
      <c r="Z13" s="2048"/>
      <c r="AA13" s="2051"/>
      <c r="AB13" s="2043"/>
      <c r="AC13" s="2045">
        <f t="shared" si="17"/>
        <v>0</v>
      </c>
      <c r="AD13" s="2672" t="e">
        <f t="shared" si="9"/>
        <v>#DIV/0!</v>
      </c>
      <c r="AE13" s="2048"/>
      <c r="AF13" s="2043">
        <f t="shared" si="10"/>
        <v>3718</v>
      </c>
      <c r="AG13" s="2043">
        <f t="shared" si="10"/>
        <v>0</v>
      </c>
      <c r="AH13" s="2045">
        <f t="shared" si="11"/>
        <v>3718</v>
      </c>
      <c r="AI13" s="2672">
        <f t="shared" si="12"/>
        <v>4.6859830081718862E-3</v>
      </c>
      <c r="AJ13" s="1434"/>
      <c r="AL13" s="919">
        <v>3718</v>
      </c>
      <c r="AM13" s="919">
        <f t="shared" si="18"/>
        <v>0</v>
      </c>
    </row>
    <row r="14" spans="1:39" s="1396" customFormat="1" ht="24.6" customHeight="1">
      <c r="A14" s="1572"/>
      <c r="B14" s="1424" t="s">
        <v>70</v>
      </c>
      <c r="C14" s="1485">
        <v>2728</v>
      </c>
      <c r="D14" s="1486"/>
      <c r="E14" s="2012">
        <f t="shared" si="4"/>
        <v>2728</v>
      </c>
      <c r="F14" s="1976">
        <f t="shared" si="3"/>
        <v>2.2334039212027301E-3</v>
      </c>
      <c r="G14" s="2051">
        <v>2288</v>
      </c>
      <c r="H14" s="2043"/>
      <c r="I14" s="2045">
        <f t="shared" si="13"/>
        <v>2288</v>
      </c>
      <c r="J14" s="2672">
        <f t="shared" si="5"/>
        <v>6.799626085405984E-2</v>
      </c>
      <c r="K14" s="2048"/>
      <c r="L14" s="2051">
        <v>1906.67</v>
      </c>
      <c r="M14" s="2043"/>
      <c r="N14" s="2045">
        <f t="shared" si="14"/>
        <v>1906.67</v>
      </c>
      <c r="O14" s="2672">
        <f t="shared" si="6"/>
        <v>2.5278801781799215E-3</v>
      </c>
      <c r="P14" s="2048"/>
      <c r="Q14" s="2051"/>
      <c r="R14" s="2043"/>
      <c r="S14" s="2045">
        <f t="shared" si="15"/>
        <v>0</v>
      </c>
      <c r="T14" s="2672">
        <f t="shared" si="7"/>
        <v>0</v>
      </c>
      <c r="U14" s="2048"/>
      <c r="V14" s="2051"/>
      <c r="W14" s="2043"/>
      <c r="X14" s="2045">
        <f t="shared" si="16"/>
        <v>0</v>
      </c>
      <c r="Y14" s="2672" t="e">
        <f t="shared" si="8"/>
        <v>#DIV/0!</v>
      </c>
      <c r="Z14" s="2048"/>
      <c r="AA14" s="2051"/>
      <c r="AB14" s="2043"/>
      <c r="AC14" s="2045">
        <f t="shared" si="17"/>
        <v>0</v>
      </c>
      <c r="AD14" s="2672" t="e">
        <f t="shared" si="9"/>
        <v>#DIV/0!</v>
      </c>
      <c r="AE14" s="2048"/>
      <c r="AF14" s="2043">
        <f t="shared" si="10"/>
        <v>4194.67</v>
      </c>
      <c r="AG14" s="2043">
        <f t="shared" si="10"/>
        <v>0</v>
      </c>
      <c r="AH14" s="2045">
        <f t="shared" si="11"/>
        <v>4194.67</v>
      </c>
      <c r="AI14" s="2672">
        <f t="shared" si="12"/>
        <v>5.2867542616698137E-3</v>
      </c>
      <c r="AJ14" s="1434"/>
      <c r="AL14" s="919">
        <v>4194.67</v>
      </c>
      <c r="AM14" s="919">
        <f t="shared" si="18"/>
        <v>0</v>
      </c>
    </row>
    <row r="15" spans="1:39" s="1396" customFormat="1" ht="24.6" customHeight="1">
      <c r="A15" s="1572"/>
      <c r="B15" s="2747" t="s">
        <v>20</v>
      </c>
      <c r="C15" s="1485"/>
      <c r="D15" s="2674"/>
      <c r="E15" s="2012">
        <f t="shared" si="4"/>
        <v>0</v>
      </c>
      <c r="F15" s="1976">
        <f t="shared" si="3"/>
        <v>0</v>
      </c>
      <c r="G15" s="2051"/>
      <c r="H15" s="2043"/>
      <c r="I15" s="2045">
        <f t="shared" si="13"/>
        <v>0</v>
      </c>
      <c r="J15" s="2672">
        <f t="shared" si="5"/>
        <v>0</v>
      </c>
      <c r="K15" s="2048"/>
      <c r="L15" s="2051"/>
      <c r="M15" s="2043"/>
      <c r="N15" s="2045">
        <f t="shared" si="14"/>
        <v>0</v>
      </c>
      <c r="O15" s="2672">
        <f t="shared" si="6"/>
        <v>0</v>
      </c>
      <c r="P15" s="2048"/>
      <c r="Q15" s="2051"/>
      <c r="R15" s="2043"/>
      <c r="S15" s="2045">
        <f t="shared" si="15"/>
        <v>0</v>
      </c>
      <c r="T15" s="2672">
        <f t="shared" si="7"/>
        <v>0</v>
      </c>
      <c r="U15" s="1615"/>
      <c r="V15" s="2051"/>
      <c r="W15" s="2043"/>
      <c r="X15" s="2045">
        <f t="shared" si="16"/>
        <v>0</v>
      </c>
      <c r="Y15" s="2672" t="e">
        <f t="shared" si="8"/>
        <v>#DIV/0!</v>
      </c>
      <c r="Z15" s="2048"/>
      <c r="AA15" s="2051"/>
      <c r="AB15" s="2043"/>
      <c r="AC15" s="2045">
        <f t="shared" si="17"/>
        <v>0</v>
      </c>
      <c r="AD15" s="2672" t="e">
        <f t="shared" si="9"/>
        <v>#DIV/0!</v>
      </c>
      <c r="AE15" s="2048"/>
      <c r="AF15" s="2043">
        <f t="shared" si="10"/>
        <v>0</v>
      </c>
      <c r="AG15" s="2043">
        <f t="shared" si="10"/>
        <v>0</v>
      </c>
      <c r="AH15" s="2045">
        <f t="shared" si="11"/>
        <v>0</v>
      </c>
      <c r="AI15" s="2672">
        <f t="shared" si="12"/>
        <v>0</v>
      </c>
      <c r="AJ15" s="1434"/>
      <c r="AL15" s="919"/>
      <c r="AM15" s="919"/>
    </row>
    <row r="16" spans="1:39" s="1396" customFormat="1" ht="24.6" customHeight="1">
      <c r="A16" s="1572"/>
      <c r="B16" s="2747" t="s">
        <v>21</v>
      </c>
      <c r="C16" s="1485"/>
      <c r="D16" s="2674">
        <v>404405.4</v>
      </c>
      <c r="E16" s="2012">
        <f t="shared" si="4"/>
        <v>404405.4</v>
      </c>
      <c r="F16" s="1976">
        <f t="shared" si="3"/>
        <v>0.33108526617139244</v>
      </c>
      <c r="G16" s="2051"/>
      <c r="H16" s="2043"/>
      <c r="I16" s="2045">
        <f t="shared" si="13"/>
        <v>0</v>
      </c>
      <c r="J16" s="2672">
        <f t="shared" si="5"/>
        <v>0</v>
      </c>
      <c r="K16" s="2047"/>
      <c r="L16" s="2051"/>
      <c r="M16" s="2043">
        <f>100085+123520</f>
        <v>223605</v>
      </c>
      <c r="N16" s="2045">
        <f t="shared" si="14"/>
        <v>223605</v>
      </c>
      <c r="O16" s="2672">
        <f t="shared" si="6"/>
        <v>0.29645751348787225</v>
      </c>
      <c r="P16" s="2046" t="s">
        <v>1392</v>
      </c>
      <c r="Q16" s="2051"/>
      <c r="R16" s="2043"/>
      <c r="S16" s="2045">
        <f t="shared" si="15"/>
        <v>0</v>
      </c>
      <c r="T16" s="2672">
        <f t="shared" si="7"/>
        <v>0</v>
      </c>
      <c r="U16" s="2046"/>
      <c r="V16" s="2051"/>
      <c r="W16" s="2043"/>
      <c r="X16" s="2045">
        <f t="shared" si="16"/>
        <v>0</v>
      </c>
      <c r="Y16" s="2672" t="e">
        <f t="shared" si="8"/>
        <v>#DIV/0!</v>
      </c>
      <c r="Z16" s="2046"/>
      <c r="AA16" s="2051"/>
      <c r="AB16" s="2043"/>
      <c r="AC16" s="2045">
        <f t="shared" si="17"/>
        <v>0</v>
      </c>
      <c r="AD16" s="2672" t="e">
        <f t="shared" si="9"/>
        <v>#DIV/0!</v>
      </c>
      <c r="AE16" s="2046"/>
      <c r="AF16" s="2043">
        <f t="shared" si="10"/>
        <v>0</v>
      </c>
      <c r="AG16" s="2043">
        <f t="shared" si="10"/>
        <v>223605</v>
      </c>
      <c r="AH16" s="2045">
        <f t="shared" si="11"/>
        <v>223605</v>
      </c>
      <c r="AI16" s="2672">
        <f t="shared" si="12"/>
        <v>0.28182066448151549</v>
      </c>
      <c r="AJ16" s="1434"/>
      <c r="AL16" s="919"/>
      <c r="AM16" s="919"/>
    </row>
    <row r="17" spans="1:39" s="1396" customFormat="1" ht="24.6" customHeight="1">
      <c r="A17" s="1572"/>
      <c r="B17" s="2747" t="s">
        <v>22</v>
      </c>
      <c r="C17" s="1485"/>
      <c r="D17" s="2674"/>
      <c r="E17" s="2012">
        <f t="shared" si="4"/>
        <v>0</v>
      </c>
      <c r="F17" s="1976">
        <f t="shared" si="3"/>
        <v>0</v>
      </c>
      <c r="G17" s="2051"/>
      <c r="H17" s="2043"/>
      <c r="I17" s="2045">
        <f t="shared" si="13"/>
        <v>0</v>
      </c>
      <c r="J17" s="2672">
        <f t="shared" si="5"/>
        <v>0</v>
      </c>
      <c r="K17" s="2049"/>
      <c r="L17" s="2051"/>
      <c r="M17" s="2043"/>
      <c r="N17" s="2045">
        <f t="shared" si="14"/>
        <v>0</v>
      </c>
      <c r="O17" s="2672">
        <f t="shared" si="6"/>
        <v>0</v>
      </c>
      <c r="P17" s="2048"/>
      <c r="Q17" s="2051"/>
      <c r="R17" s="2043"/>
      <c r="S17" s="2045">
        <f t="shared" si="15"/>
        <v>0</v>
      </c>
      <c r="T17" s="2672">
        <f t="shared" si="7"/>
        <v>0</v>
      </c>
      <c r="U17" s="2048"/>
      <c r="V17" s="2051"/>
      <c r="W17" s="2043"/>
      <c r="X17" s="2045">
        <f t="shared" si="16"/>
        <v>0</v>
      </c>
      <c r="Y17" s="2672" t="e">
        <f t="shared" si="8"/>
        <v>#DIV/0!</v>
      </c>
      <c r="Z17" s="2048"/>
      <c r="AA17" s="2051"/>
      <c r="AB17" s="2043"/>
      <c r="AC17" s="2045">
        <f t="shared" si="17"/>
        <v>0</v>
      </c>
      <c r="AD17" s="2672" t="e">
        <f t="shared" si="9"/>
        <v>#DIV/0!</v>
      </c>
      <c r="AE17" s="2048"/>
      <c r="AF17" s="2043">
        <f t="shared" si="10"/>
        <v>0</v>
      </c>
      <c r="AG17" s="2043">
        <f t="shared" si="10"/>
        <v>0</v>
      </c>
      <c r="AH17" s="2045">
        <f t="shared" si="11"/>
        <v>0</v>
      </c>
      <c r="AI17" s="2672">
        <f t="shared" si="12"/>
        <v>0</v>
      </c>
      <c r="AJ17" s="1434"/>
      <c r="AL17" s="919"/>
      <c r="AM17" s="919"/>
    </row>
    <row r="18" spans="1:39" s="1396" customFormat="1" ht="24.6" customHeight="1">
      <c r="A18" s="1572"/>
      <c r="B18" s="2747" t="s">
        <v>0</v>
      </c>
      <c r="C18" s="1485"/>
      <c r="D18" s="2674"/>
      <c r="E18" s="2012">
        <f t="shared" si="4"/>
        <v>0</v>
      </c>
      <c r="F18" s="1976">
        <f t="shared" si="3"/>
        <v>0</v>
      </c>
      <c r="G18" s="2051"/>
      <c r="H18" s="2043"/>
      <c r="I18" s="2045">
        <f t="shared" si="13"/>
        <v>0</v>
      </c>
      <c r="J18" s="2672">
        <f t="shared" si="5"/>
        <v>0</v>
      </c>
      <c r="K18" s="2055"/>
      <c r="L18" s="2051"/>
      <c r="M18" s="2043"/>
      <c r="N18" s="2045">
        <f t="shared" si="14"/>
        <v>0</v>
      </c>
      <c r="O18" s="2672">
        <f t="shared" si="6"/>
        <v>0</v>
      </c>
      <c r="P18" s="2046"/>
      <c r="Q18" s="2051"/>
      <c r="R18" s="2043"/>
      <c r="S18" s="2045">
        <f t="shared" si="15"/>
        <v>0</v>
      </c>
      <c r="T18" s="2672">
        <f t="shared" si="7"/>
        <v>0</v>
      </c>
      <c r="U18" s="2055"/>
      <c r="V18" s="2051"/>
      <c r="W18" s="2043"/>
      <c r="X18" s="2045">
        <f t="shared" si="16"/>
        <v>0</v>
      </c>
      <c r="Y18" s="2672" t="e">
        <f t="shared" si="8"/>
        <v>#DIV/0!</v>
      </c>
      <c r="Z18" s="2046"/>
      <c r="AA18" s="2051"/>
      <c r="AB18" s="2043"/>
      <c r="AC18" s="2045">
        <f t="shared" si="17"/>
        <v>0</v>
      </c>
      <c r="AD18" s="2672" t="e">
        <f t="shared" si="9"/>
        <v>#DIV/0!</v>
      </c>
      <c r="AE18" s="2046"/>
      <c r="AF18" s="2043">
        <f t="shared" si="10"/>
        <v>0</v>
      </c>
      <c r="AG18" s="2043">
        <f t="shared" si="10"/>
        <v>0</v>
      </c>
      <c r="AH18" s="2045">
        <f t="shared" si="11"/>
        <v>0</v>
      </c>
      <c r="AI18" s="2672">
        <f t="shared" si="12"/>
        <v>0</v>
      </c>
      <c r="AJ18" s="1434"/>
      <c r="AL18" s="919"/>
      <c r="AM18" s="919"/>
    </row>
    <row r="19" spans="1:39" s="1396" customFormat="1" ht="24.6" customHeight="1">
      <c r="A19" s="1572"/>
      <c r="B19" s="2747" t="s">
        <v>53</v>
      </c>
      <c r="C19" s="2675"/>
      <c r="D19" s="2674"/>
      <c r="E19" s="2012">
        <f t="shared" si="4"/>
        <v>0</v>
      </c>
      <c r="F19" s="1976">
        <f t="shared" si="3"/>
        <v>0</v>
      </c>
      <c r="G19" s="2051"/>
      <c r="H19" s="2043"/>
      <c r="I19" s="2045">
        <f t="shared" si="13"/>
        <v>0</v>
      </c>
      <c r="J19" s="2672">
        <f t="shared" si="5"/>
        <v>0</v>
      </c>
      <c r="K19" s="2049"/>
      <c r="L19" s="2051"/>
      <c r="M19" s="2043"/>
      <c r="N19" s="2045">
        <f t="shared" si="14"/>
        <v>0</v>
      </c>
      <c r="O19" s="2672">
        <f t="shared" si="6"/>
        <v>0</v>
      </c>
      <c r="P19" s="2048"/>
      <c r="Q19" s="2051"/>
      <c r="R19" s="2043"/>
      <c r="S19" s="2045">
        <f t="shared" si="15"/>
        <v>0</v>
      </c>
      <c r="T19" s="2672">
        <f t="shared" si="7"/>
        <v>0</v>
      </c>
      <c r="U19" s="2048"/>
      <c r="V19" s="2051"/>
      <c r="W19" s="2043"/>
      <c r="X19" s="2045">
        <f t="shared" si="16"/>
        <v>0</v>
      </c>
      <c r="Y19" s="2672" t="e">
        <f t="shared" si="8"/>
        <v>#DIV/0!</v>
      </c>
      <c r="Z19" s="2048"/>
      <c r="AA19" s="2051"/>
      <c r="AB19" s="2043"/>
      <c r="AC19" s="2045">
        <f t="shared" si="17"/>
        <v>0</v>
      </c>
      <c r="AD19" s="2672" t="e">
        <f t="shared" si="9"/>
        <v>#DIV/0!</v>
      </c>
      <c r="AE19" s="2048"/>
      <c r="AF19" s="2043">
        <f t="shared" si="10"/>
        <v>0</v>
      </c>
      <c r="AG19" s="2043">
        <f t="shared" si="10"/>
        <v>0</v>
      </c>
      <c r="AH19" s="2045">
        <f t="shared" si="11"/>
        <v>0</v>
      </c>
      <c r="AI19" s="2672">
        <f t="shared" si="12"/>
        <v>0</v>
      </c>
      <c r="AJ19" s="1434"/>
      <c r="AL19" s="919"/>
      <c r="AM19" s="919"/>
    </row>
    <row r="20" spans="1:39" s="1396" customFormat="1" ht="24.6" customHeight="1">
      <c r="A20" s="1572"/>
      <c r="B20" s="2747" t="s">
        <v>57</v>
      </c>
      <c r="C20" s="2675"/>
      <c r="D20" s="2674"/>
      <c r="E20" s="2012">
        <f t="shared" si="4"/>
        <v>0</v>
      </c>
      <c r="F20" s="1976">
        <f t="shared" si="3"/>
        <v>0</v>
      </c>
      <c r="G20" s="2051"/>
      <c r="H20" s="2043"/>
      <c r="I20" s="2045">
        <f t="shared" si="13"/>
        <v>0</v>
      </c>
      <c r="J20" s="2672">
        <f t="shared" si="5"/>
        <v>0</v>
      </c>
      <c r="K20" s="2049"/>
      <c r="L20" s="2051"/>
      <c r="M20" s="2043"/>
      <c r="N20" s="2045">
        <f t="shared" si="14"/>
        <v>0</v>
      </c>
      <c r="O20" s="2672">
        <f t="shared" si="6"/>
        <v>0</v>
      </c>
      <c r="P20" s="2048"/>
      <c r="Q20" s="2051"/>
      <c r="R20" s="2043"/>
      <c r="S20" s="2045">
        <f t="shared" si="15"/>
        <v>0</v>
      </c>
      <c r="T20" s="2672">
        <f t="shared" si="7"/>
        <v>0</v>
      </c>
      <c r="U20" s="2048"/>
      <c r="V20" s="2051"/>
      <c r="W20" s="2043"/>
      <c r="X20" s="2045">
        <f t="shared" si="16"/>
        <v>0</v>
      </c>
      <c r="Y20" s="2672" t="e">
        <f t="shared" si="8"/>
        <v>#DIV/0!</v>
      </c>
      <c r="Z20" s="2048"/>
      <c r="AA20" s="2051"/>
      <c r="AB20" s="2043"/>
      <c r="AC20" s="2045">
        <f t="shared" si="17"/>
        <v>0</v>
      </c>
      <c r="AD20" s="2672" t="e">
        <f t="shared" si="9"/>
        <v>#DIV/0!</v>
      </c>
      <c r="AE20" s="2048"/>
      <c r="AF20" s="2043">
        <f t="shared" si="10"/>
        <v>0</v>
      </c>
      <c r="AG20" s="2043">
        <f t="shared" si="10"/>
        <v>0</v>
      </c>
      <c r="AH20" s="2045">
        <f t="shared" si="11"/>
        <v>0</v>
      </c>
      <c r="AI20" s="2672">
        <f t="shared" si="12"/>
        <v>0</v>
      </c>
      <c r="AJ20" s="1434"/>
      <c r="AL20" s="919"/>
      <c r="AM20" s="919"/>
    </row>
    <row r="21" spans="1:39" s="1396" customFormat="1" ht="24.6" customHeight="1">
      <c r="A21" s="1572"/>
      <c r="B21" s="2747" t="s">
        <v>58</v>
      </c>
      <c r="C21" s="2675"/>
      <c r="D21" s="2674"/>
      <c r="E21" s="2012">
        <f t="shared" si="4"/>
        <v>0</v>
      </c>
      <c r="F21" s="1976">
        <f t="shared" si="3"/>
        <v>0</v>
      </c>
      <c r="G21" s="2051"/>
      <c r="H21" s="2043"/>
      <c r="I21" s="2045">
        <f t="shared" si="13"/>
        <v>0</v>
      </c>
      <c r="J21" s="2672">
        <f t="shared" si="5"/>
        <v>0</v>
      </c>
      <c r="K21" s="2046"/>
      <c r="L21" s="2051"/>
      <c r="M21" s="2043"/>
      <c r="N21" s="2045">
        <f t="shared" si="14"/>
        <v>0</v>
      </c>
      <c r="O21" s="2672">
        <f t="shared" si="6"/>
        <v>0</v>
      </c>
      <c r="P21" s="2048"/>
      <c r="Q21" s="2051"/>
      <c r="R21" s="2043"/>
      <c r="S21" s="2045">
        <f t="shared" si="15"/>
        <v>0</v>
      </c>
      <c r="T21" s="2672">
        <f t="shared" si="7"/>
        <v>0</v>
      </c>
      <c r="U21" s="2048"/>
      <c r="V21" s="2051"/>
      <c r="W21" s="2043"/>
      <c r="X21" s="2045">
        <f t="shared" si="16"/>
        <v>0</v>
      </c>
      <c r="Y21" s="2672" t="e">
        <f t="shared" si="8"/>
        <v>#DIV/0!</v>
      </c>
      <c r="Z21" s="2048"/>
      <c r="AA21" s="2051"/>
      <c r="AB21" s="2043"/>
      <c r="AC21" s="2045">
        <f t="shared" si="17"/>
        <v>0</v>
      </c>
      <c r="AD21" s="2672" t="e">
        <f t="shared" si="9"/>
        <v>#DIV/0!</v>
      </c>
      <c r="AE21" s="2048"/>
      <c r="AF21" s="2043">
        <f t="shared" si="10"/>
        <v>0</v>
      </c>
      <c r="AG21" s="2043">
        <f t="shared" si="10"/>
        <v>0</v>
      </c>
      <c r="AH21" s="2045">
        <f t="shared" si="11"/>
        <v>0</v>
      </c>
      <c r="AI21" s="2672">
        <f t="shared" si="12"/>
        <v>0</v>
      </c>
      <c r="AJ21" s="1434"/>
      <c r="AL21" s="919"/>
      <c r="AM21" s="919"/>
    </row>
    <row r="22" spans="1:39" s="1396" customFormat="1" ht="24.6" customHeight="1">
      <c r="A22" s="1572"/>
      <c r="B22" s="2747" t="s">
        <v>621</v>
      </c>
      <c r="C22" s="2675">
        <v>9000</v>
      </c>
      <c r="D22" s="2674"/>
      <c r="E22" s="2012">
        <f t="shared" si="4"/>
        <v>9000</v>
      </c>
      <c r="F22" s="1976">
        <f t="shared" si="3"/>
        <v>7.3682680684840803E-3</v>
      </c>
      <c r="G22" s="2051"/>
      <c r="H22" s="2043"/>
      <c r="I22" s="2045">
        <f t="shared" si="13"/>
        <v>0</v>
      </c>
      <c r="J22" s="2672">
        <f t="shared" si="5"/>
        <v>0</v>
      </c>
      <c r="K22" s="2049"/>
      <c r="L22" s="2051"/>
      <c r="M22" s="2043"/>
      <c r="N22" s="2045">
        <f t="shared" si="14"/>
        <v>0</v>
      </c>
      <c r="O22" s="2672">
        <f t="shared" si="6"/>
        <v>0</v>
      </c>
      <c r="P22" s="2048"/>
      <c r="Q22" s="2051"/>
      <c r="R22" s="2043"/>
      <c r="S22" s="2045">
        <f t="shared" si="15"/>
        <v>0</v>
      </c>
      <c r="T22" s="2672">
        <f t="shared" si="7"/>
        <v>0</v>
      </c>
      <c r="U22" s="2048"/>
      <c r="V22" s="2051"/>
      <c r="W22" s="2043"/>
      <c r="X22" s="2045">
        <f t="shared" si="16"/>
        <v>0</v>
      </c>
      <c r="Y22" s="2672" t="e">
        <f t="shared" si="8"/>
        <v>#DIV/0!</v>
      </c>
      <c r="Z22" s="2048"/>
      <c r="AA22" s="2051"/>
      <c r="AB22" s="2043"/>
      <c r="AC22" s="2045">
        <f t="shared" si="17"/>
        <v>0</v>
      </c>
      <c r="AD22" s="2672" t="e">
        <f t="shared" si="9"/>
        <v>#DIV/0!</v>
      </c>
      <c r="AE22" s="2048"/>
      <c r="AF22" s="2043">
        <f t="shared" si="10"/>
        <v>0</v>
      </c>
      <c r="AG22" s="2043">
        <f t="shared" si="10"/>
        <v>0</v>
      </c>
      <c r="AH22" s="2045">
        <f t="shared" si="11"/>
        <v>0</v>
      </c>
      <c r="AI22" s="2672">
        <f t="shared" si="12"/>
        <v>0</v>
      </c>
      <c r="AJ22" s="1434"/>
      <c r="AL22" s="919"/>
      <c r="AM22" s="919"/>
    </row>
    <row r="23" spans="1:39" s="1396" customFormat="1" ht="24.6" customHeight="1">
      <c r="A23" s="1572"/>
      <c r="B23" s="2747" t="s">
        <v>630</v>
      </c>
      <c r="C23" s="2675"/>
      <c r="D23" s="2674"/>
      <c r="E23" s="2012">
        <f t="shared" si="4"/>
        <v>0</v>
      </c>
      <c r="F23" s="1976">
        <f t="shared" si="3"/>
        <v>0</v>
      </c>
      <c r="G23" s="2051"/>
      <c r="H23" s="2043"/>
      <c r="I23" s="2045">
        <f t="shared" si="13"/>
        <v>0</v>
      </c>
      <c r="J23" s="2672">
        <f t="shared" si="5"/>
        <v>0</v>
      </c>
      <c r="K23" s="2049"/>
      <c r="L23" s="2051"/>
      <c r="M23" s="2043"/>
      <c r="N23" s="2045">
        <f t="shared" si="14"/>
        <v>0</v>
      </c>
      <c r="O23" s="2672">
        <f t="shared" si="6"/>
        <v>0</v>
      </c>
      <c r="P23" s="2048"/>
      <c r="Q23" s="2051"/>
      <c r="R23" s="2043"/>
      <c r="S23" s="2045">
        <f t="shared" si="15"/>
        <v>0</v>
      </c>
      <c r="T23" s="2672">
        <f t="shared" si="7"/>
        <v>0</v>
      </c>
      <c r="U23" s="2048"/>
      <c r="V23" s="2051"/>
      <c r="W23" s="2043"/>
      <c r="X23" s="2045">
        <f t="shared" si="16"/>
        <v>0</v>
      </c>
      <c r="Y23" s="2672" t="e">
        <f t="shared" si="8"/>
        <v>#DIV/0!</v>
      </c>
      <c r="Z23" s="2048"/>
      <c r="AA23" s="2051"/>
      <c r="AB23" s="2043"/>
      <c r="AC23" s="2045">
        <f t="shared" si="17"/>
        <v>0</v>
      </c>
      <c r="AD23" s="2672" t="e">
        <f t="shared" si="9"/>
        <v>#DIV/0!</v>
      </c>
      <c r="AE23" s="2048"/>
      <c r="AF23" s="2043">
        <f t="shared" si="10"/>
        <v>0</v>
      </c>
      <c r="AG23" s="2043">
        <f t="shared" si="10"/>
        <v>0</v>
      </c>
      <c r="AH23" s="2045">
        <f t="shared" si="11"/>
        <v>0</v>
      </c>
      <c r="AI23" s="2672">
        <f t="shared" si="12"/>
        <v>0</v>
      </c>
      <c r="AJ23" s="1434"/>
      <c r="AL23" s="919"/>
      <c r="AM23" s="919"/>
    </row>
    <row r="24" spans="1:39" s="1396" customFormat="1" ht="24.6" customHeight="1">
      <c r="A24" s="1572"/>
      <c r="B24" s="2747" t="s">
        <v>23</v>
      </c>
      <c r="C24" s="2675"/>
      <c r="D24" s="2674"/>
      <c r="E24" s="2012">
        <f t="shared" si="4"/>
        <v>0</v>
      </c>
      <c r="F24" s="1976">
        <f t="shared" si="3"/>
        <v>0</v>
      </c>
      <c r="G24" s="2051"/>
      <c r="H24" s="2043"/>
      <c r="I24" s="2045">
        <f t="shared" si="13"/>
        <v>0</v>
      </c>
      <c r="J24" s="2672">
        <f t="shared" si="5"/>
        <v>0</v>
      </c>
      <c r="K24" s="2049"/>
      <c r="L24" s="2051"/>
      <c r="M24" s="2043"/>
      <c r="N24" s="2045">
        <f t="shared" si="14"/>
        <v>0</v>
      </c>
      <c r="O24" s="2672">
        <f t="shared" si="6"/>
        <v>0</v>
      </c>
      <c r="P24" s="2048"/>
      <c r="Q24" s="2051"/>
      <c r="R24" s="2043"/>
      <c r="S24" s="2045">
        <f t="shared" si="15"/>
        <v>0</v>
      </c>
      <c r="T24" s="2672">
        <f t="shared" si="7"/>
        <v>0</v>
      </c>
      <c r="U24" s="2046"/>
      <c r="V24" s="2051"/>
      <c r="W24" s="2043"/>
      <c r="X24" s="2045">
        <f t="shared" si="16"/>
        <v>0</v>
      </c>
      <c r="Y24" s="2672" t="e">
        <f t="shared" si="8"/>
        <v>#DIV/0!</v>
      </c>
      <c r="Z24" s="2048"/>
      <c r="AA24" s="2051"/>
      <c r="AB24" s="2043"/>
      <c r="AC24" s="2045">
        <f t="shared" si="17"/>
        <v>0</v>
      </c>
      <c r="AD24" s="2672" t="e">
        <f t="shared" si="9"/>
        <v>#DIV/0!</v>
      </c>
      <c r="AE24" s="2048"/>
      <c r="AF24" s="2043">
        <f t="shared" si="10"/>
        <v>0</v>
      </c>
      <c r="AG24" s="2043">
        <f t="shared" si="10"/>
        <v>0</v>
      </c>
      <c r="AH24" s="2045">
        <f t="shared" si="11"/>
        <v>0</v>
      </c>
      <c r="AI24" s="2672">
        <f t="shared" si="12"/>
        <v>0</v>
      </c>
      <c r="AJ24" s="1434"/>
      <c r="AL24" s="919"/>
      <c r="AM24" s="919"/>
    </row>
    <row r="25" spans="1:39" s="1396" customFormat="1" ht="24.6" customHeight="1">
      <c r="A25" s="1572"/>
      <c r="B25" s="2747" t="s">
        <v>24</v>
      </c>
      <c r="C25" s="2675">
        <v>22600</v>
      </c>
      <c r="D25" s="2674">
        <v>4000</v>
      </c>
      <c r="E25" s="2012">
        <f t="shared" si="4"/>
        <v>26600</v>
      </c>
      <c r="F25" s="1976">
        <f t="shared" si="3"/>
        <v>2.1777325624630726E-2</v>
      </c>
      <c r="G25" s="2051"/>
      <c r="H25" s="2043"/>
      <c r="I25" s="2045">
        <f t="shared" si="13"/>
        <v>0</v>
      </c>
      <c r="J25" s="2672">
        <f t="shared" si="5"/>
        <v>0</v>
      </c>
      <c r="K25" s="2055"/>
      <c r="L25" s="2051">
        <f>25992.45*1.2</f>
        <v>31190.94</v>
      </c>
      <c r="M25" s="2043">
        <v>3911.5</v>
      </c>
      <c r="N25" s="2045">
        <f t="shared" si="14"/>
        <v>35102.44</v>
      </c>
      <c r="O25" s="2672">
        <f t="shared" si="6"/>
        <v>4.6539129624817092E-2</v>
      </c>
      <c r="P25" s="2046"/>
      <c r="Q25" s="2051"/>
      <c r="R25" s="2043"/>
      <c r="S25" s="2045">
        <f t="shared" si="15"/>
        <v>0</v>
      </c>
      <c r="T25" s="2672">
        <f t="shared" si="7"/>
        <v>0</v>
      </c>
      <c r="U25" s="2046"/>
      <c r="V25" s="2051"/>
      <c r="W25" s="2043"/>
      <c r="X25" s="2045">
        <f t="shared" si="16"/>
        <v>0</v>
      </c>
      <c r="Y25" s="2672" t="e">
        <f t="shared" si="8"/>
        <v>#DIV/0!</v>
      </c>
      <c r="Z25" s="2046"/>
      <c r="AA25" s="2051"/>
      <c r="AB25" s="2043"/>
      <c r="AC25" s="2045">
        <f t="shared" si="17"/>
        <v>0</v>
      </c>
      <c r="AD25" s="2672" t="e">
        <f t="shared" si="9"/>
        <v>#DIV/0!</v>
      </c>
      <c r="AE25" s="2046"/>
      <c r="AF25" s="2043">
        <f t="shared" si="10"/>
        <v>31190.94</v>
      </c>
      <c r="AG25" s="2043">
        <f t="shared" si="10"/>
        <v>3911.5</v>
      </c>
      <c r="AH25" s="2045">
        <f t="shared" si="11"/>
        <v>35102.44</v>
      </c>
      <c r="AI25" s="2672">
        <f t="shared" si="12"/>
        <v>4.424137638121925E-2</v>
      </c>
      <c r="AJ25" s="1434"/>
      <c r="AL25" s="2624">
        <v>43862.46</v>
      </c>
      <c r="AM25" s="2624">
        <f>AH25-AL25</f>
        <v>-8760.0199999999968</v>
      </c>
    </row>
    <row r="26" spans="1:39" s="1396" customFormat="1" ht="24.6" customHeight="1">
      <c r="A26" s="1572"/>
      <c r="B26" s="2747" t="s">
        <v>45</v>
      </c>
      <c r="C26" s="2675">
        <v>467621.94412208005</v>
      </c>
      <c r="D26" s="2674"/>
      <c r="E26" s="2012">
        <f t="shared" si="4"/>
        <v>467621.94412208005</v>
      </c>
      <c r="F26" s="1976">
        <f t="shared" si="3"/>
        <v>0.38284042655524103</v>
      </c>
      <c r="G26" s="2051"/>
      <c r="H26" s="2043"/>
      <c r="I26" s="2045">
        <f t="shared" si="13"/>
        <v>0</v>
      </c>
      <c r="J26" s="2672">
        <f t="shared" si="5"/>
        <v>0</v>
      </c>
      <c r="K26" s="2126"/>
      <c r="L26" s="2051">
        <f>349005.09*1.2</f>
        <v>418806.10800000001</v>
      </c>
      <c r="M26" s="2043"/>
      <c r="N26" s="2045">
        <f t="shared" si="14"/>
        <v>418806.10800000001</v>
      </c>
      <c r="O26" s="2672">
        <f t="shared" si="6"/>
        <v>0.55525689233788722</v>
      </c>
      <c r="P26" s="2048"/>
      <c r="Q26" s="2051"/>
      <c r="R26" s="2043"/>
      <c r="S26" s="2045">
        <f t="shared" si="15"/>
        <v>0</v>
      </c>
      <c r="T26" s="2672">
        <f t="shared" si="7"/>
        <v>0</v>
      </c>
      <c r="U26" s="2048"/>
      <c r="V26" s="2051"/>
      <c r="W26" s="2043"/>
      <c r="X26" s="2045">
        <f t="shared" si="16"/>
        <v>0</v>
      </c>
      <c r="Y26" s="2672" t="e">
        <f t="shared" si="8"/>
        <v>#DIV/0!</v>
      </c>
      <c r="Z26" s="2048"/>
      <c r="AA26" s="2051"/>
      <c r="AB26" s="2043"/>
      <c r="AC26" s="2045">
        <f t="shared" si="17"/>
        <v>0</v>
      </c>
      <c r="AD26" s="2672" t="e">
        <f t="shared" si="9"/>
        <v>#DIV/0!</v>
      </c>
      <c r="AE26" s="2048"/>
      <c r="AF26" s="2043">
        <f t="shared" si="10"/>
        <v>418806.10800000001</v>
      </c>
      <c r="AG26" s="2043">
        <f t="shared" si="10"/>
        <v>0</v>
      </c>
      <c r="AH26" s="2045">
        <f t="shared" si="11"/>
        <v>418806.10800000001</v>
      </c>
      <c r="AI26" s="2672">
        <f t="shared" si="12"/>
        <v>0.52784247063114575</v>
      </c>
      <c r="AJ26" s="1434"/>
      <c r="AL26" s="2624">
        <v>426676.94999999995</v>
      </c>
      <c r="AM26" s="2624">
        <f>AH26-AL26</f>
        <v>-7870.841999999946</v>
      </c>
    </row>
    <row r="27" spans="1:39" s="1396" customFormat="1" ht="24.6" customHeight="1">
      <c r="A27" s="1572"/>
      <c r="B27" s="2747" t="s">
        <v>25</v>
      </c>
      <c r="C27" s="2675">
        <v>1500</v>
      </c>
      <c r="D27" s="2674"/>
      <c r="E27" s="2012">
        <f t="shared" si="4"/>
        <v>1500</v>
      </c>
      <c r="F27" s="1976">
        <f t="shared" si="3"/>
        <v>1.2280446780806801E-3</v>
      </c>
      <c r="G27" s="2051"/>
      <c r="H27" s="2043"/>
      <c r="I27" s="2045">
        <f t="shared" si="13"/>
        <v>0</v>
      </c>
      <c r="J27" s="2672">
        <f t="shared" si="5"/>
        <v>0</v>
      </c>
      <c r="K27" s="2055"/>
      <c r="L27" s="2051"/>
      <c r="M27" s="2043"/>
      <c r="N27" s="2045">
        <f t="shared" si="14"/>
        <v>0</v>
      </c>
      <c r="O27" s="2672">
        <f t="shared" si="6"/>
        <v>0</v>
      </c>
      <c r="P27" s="2046"/>
      <c r="Q27" s="2051"/>
      <c r="R27" s="2043"/>
      <c r="S27" s="2045">
        <f t="shared" si="15"/>
        <v>0</v>
      </c>
      <c r="T27" s="2672">
        <f t="shared" si="7"/>
        <v>0</v>
      </c>
      <c r="U27" s="2046"/>
      <c r="V27" s="2051"/>
      <c r="W27" s="2043"/>
      <c r="X27" s="2045">
        <f t="shared" si="16"/>
        <v>0</v>
      </c>
      <c r="Y27" s="2672" t="e">
        <f t="shared" si="8"/>
        <v>#DIV/0!</v>
      </c>
      <c r="Z27" s="2046"/>
      <c r="AA27" s="2051"/>
      <c r="AB27" s="2043"/>
      <c r="AC27" s="2045">
        <f t="shared" si="17"/>
        <v>0</v>
      </c>
      <c r="AD27" s="2672" t="e">
        <f t="shared" si="9"/>
        <v>#DIV/0!</v>
      </c>
      <c r="AE27" s="2046"/>
      <c r="AF27" s="2043">
        <f t="shared" si="10"/>
        <v>0</v>
      </c>
      <c r="AG27" s="2043">
        <f t="shared" si="10"/>
        <v>0</v>
      </c>
      <c r="AH27" s="2045">
        <f t="shared" si="11"/>
        <v>0</v>
      </c>
      <c r="AI27" s="2672">
        <f t="shared" si="12"/>
        <v>0</v>
      </c>
      <c r="AJ27" s="1434"/>
      <c r="AL27" s="919"/>
      <c r="AM27" s="919"/>
    </row>
    <row r="28" spans="1:39" s="1396" customFormat="1" ht="24.6" customHeight="1">
      <c r="A28" s="1572"/>
      <c r="B28" s="2747" t="s">
        <v>52</v>
      </c>
      <c r="C28" s="2675">
        <f>8000+22870.27</f>
        <v>30870.27</v>
      </c>
      <c r="D28" s="2674"/>
      <c r="E28" s="2012">
        <f t="shared" si="4"/>
        <v>30870.27</v>
      </c>
      <c r="F28" s="1976">
        <f t="shared" si="3"/>
        <v>2.5273380522942451E-2</v>
      </c>
      <c r="G28" s="2051"/>
      <c r="H28" s="2043"/>
      <c r="I28" s="2045">
        <f t="shared" si="13"/>
        <v>0</v>
      </c>
      <c r="J28" s="2672">
        <f t="shared" si="5"/>
        <v>0</v>
      </c>
      <c r="K28" s="2055"/>
      <c r="L28" s="2051"/>
      <c r="M28" s="2043"/>
      <c r="N28" s="2045">
        <f t="shared" si="14"/>
        <v>0</v>
      </c>
      <c r="O28" s="2672">
        <f t="shared" si="6"/>
        <v>0</v>
      </c>
      <c r="P28" s="2046"/>
      <c r="Q28" s="2051">
        <v>4979.7</v>
      </c>
      <c r="R28" s="2043"/>
      <c r="S28" s="2045">
        <f t="shared" si="15"/>
        <v>4979.7</v>
      </c>
      <c r="T28" s="2672">
        <f t="shared" si="7"/>
        <v>0.90134884663838177</v>
      </c>
      <c r="U28" s="2046" t="s">
        <v>1421</v>
      </c>
      <c r="V28" s="2051"/>
      <c r="W28" s="2043"/>
      <c r="X28" s="2045">
        <f t="shared" si="16"/>
        <v>0</v>
      </c>
      <c r="Y28" s="2672" t="e">
        <f t="shared" si="8"/>
        <v>#DIV/0!</v>
      </c>
      <c r="Z28" s="2046"/>
      <c r="AA28" s="2051"/>
      <c r="AB28" s="2043"/>
      <c r="AC28" s="2045">
        <f t="shared" si="17"/>
        <v>0</v>
      </c>
      <c r="AD28" s="2672" t="e">
        <f t="shared" si="9"/>
        <v>#DIV/0!</v>
      </c>
      <c r="AE28" s="2046"/>
      <c r="AF28" s="2043">
        <f t="shared" si="10"/>
        <v>4979.7</v>
      </c>
      <c r="AG28" s="2043">
        <f t="shared" si="10"/>
        <v>0</v>
      </c>
      <c r="AH28" s="2045">
        <f>AF28+AG28*1</f>
        <v>4979.7</v>
      </c>
      <c r="AI28" s="2672">
        <f t="shared" si="12"/>
        <v>6.2761671828384996E-3</v>
      </c>
      <c r="AJ28" s="1434"/>
      <c r="AK28" s="1665"/>
      <c r="AL28" s="919"/>
      <c r="AM28" s="919"/>
    </row>
    <row r="29" spans="1:39" s="1396" customFormat="1" ht="24.6" customHeight="1">
      <c r="A29" s="1572"/>
      <c r="B29" s="2747" t="s">
        <v>31</v>
      </c>
      <c r="C29" s="2675">
        <v>5900</v>
      </c>
      <c r="D29" s="2674"/>
      <c r="E29" s="2012">
        <f t="shared" si="4"/>
        <v>5900</v>
      </c>
      <c r="F29" s="2672">
        <f t="shared" si="3"/>
        <v>4.8303090671173417E-3</v>
      </c>
      <c r="G29" s="2051">
        <v>3120</v>
      </c>
      <c r="H29" s="2043"/>
      <c r="I29" s="2045">
        <f t="shared" si="13"/>
        <v>3120</v>
      </c>
      <c r="J29" s="2672">
        <f t="shared" si="5"/>
        <v>9.2722173891899781E-2</v>
      </c>
      <c r="K29" s="2046" t="s">
        <v>1366</v>
      </c>
      <c r="L29" s="2051">
        <v>2730</v>
      </c>
      <c r="M29" s="2043"/>
      <c r="N29" s="2045">
        <f t="shared" si="14"/>
        <v>2730</v>
      </c>
      <c r="O29" s="2672">
        <f t="shared" si="6"/>
        <v>3.6194584728511938E-3</v>
      </c>
      <c r="P29" s="2046" t="s">
        <v>1366</v>
      </c>
      <c r="Q29" s="2051"/>
      <c r="R29" s="2043"/>
      <c r="S29" s="2045">
        <f t="shared" si="15"/>
        <v>0</v>
      </c>
      <c r="T29" s="2672">
        <f t="shared" si="7"/>
        <v>0</v>
      </c>
      <c r="U29" s="2046"/>
      <c r="V29" s="2051"/>
      <c r="W29" s="2043"/>
      <c r="X29" s="2045">
        <f t="shared" si="16"/>
        <v>0</v>
      </c>
      <c r="Y29" s="2672" t="e">
        <f t="shared" si="8"/>
        <v>#DIV/0!</v>
      </c>
      <c r="Z29" s="2046"/>
      <c r="AA29" s="2051"/>
      <c r="AB29" s="2043"/>
      <c r="AC29" s="2045">
        <f t="shared" si="17"/>
        <v>0</v>
      </c>
      <c r="AD29" s="2672" t="e">
        <f t="shared" si="9"/>
        <v>#DIV/0!</v>
      </c>
      <c r="AE29" s="2046"/>
      <c r="AF29" s="2043">
        <f t="shared" si="10"/>
        <v>5850</v>
      </c>
      <c r="AG29" s="2043">
        <f t="shared" si="10"/>
        <v>0</v>
      </c>
      <c r="AH29" s="2045">
        <f t="shared" si="11"/>
        <v>5850</v>
      </c>
      <c r="AI29" s="2672">
        <f t="shared" si="12"/>
        <v>7.3730501876830383E-3</v>
      </c>
      <c r="AJ29" s="2673"/>
      <c r="AL29" s="919"/>
      <c r="AM29" s="919"/>
    </row>
    <row r="30" spans="1:39" s="1396" customFormat="1" ht="51" customHeight="1">
      <c r="A30" s="1572"/>
      <c r="B30" s="2747" t="s">
        <v>62</v>
      </c>
      <c r="C30" s="2675"/>
      <c r="D30" s="2674">
        <v>33500</v>
      </c>
      <c r="E30" s="2012">
        <f t="shared" si="4"/>
        <v>33500</v>
      </c>
      <c r="F30" s="2672">
        <f t="shared" si="3"/>
        <v>2.7426331143801858E-2</v>
      </c>
      <c r="G30" s="2051"/>
      <c r="H30" s="2043"/>
      <c r="I30" s="2045">
        <f t="shared" si="13"/>
        <v>0</v>
      </c>
      <c r="J30" s="2672">
        <f t="shared" si="5"/>
        <v>0</v>
      </c>
      <c r="K30" s="2046"/>
      <c r="L30" s="2051"/>
      <c r="M30" s="2043">
        <v>3200</v>
      </c>
      <c r="N30" s="2045">
        <f t="shared" si="14"/>
        <v>3200</v>
      </c>
      <c r="O30" s="2672">
        <f t="shared" si="6"/>
        <v>4.242588686125941E-3</v>
      </c>
      <c r="P30" s="2046"/>
      <c r="Q30" s="2051"/>
      <c r="R30" s="2043"/>
      <c r="S30" s="2045">
        <f t="shared" si="15"/>
        <v>0</v>
      </c>
      <c r="T30" s="2672">
        <f t="shared" si="7"/>
        <v>0</v>
      </c>
      <c r="U30" s="2046"/>
      <c r="V30" s="2051"/>
      <c r="W30" s="2043"/>
      <c r="X30" s="2045">
        <f t="shared" si="16"/>
        <v>0</v>
      </c>
      <c r="Y30" s="2672" t="e">
        <f t="shared" si="8"/>
        <v>#DIV/0!</v>
      </c>
      <c r="Z30" s="2046"/>
      <c r="AA30" s="2051"/>
      <c r="AB30" s="2043"/>
      <c r="AC30" s="2045">
        <f t="shared" si="17"/>
        <v>0</v>
      </c>
      <c r="AD30" s="2672" t="e">
        <f t="shared" si="9"/>
        <v>#DIV/0!</v>
      </c>
      <c r="AE30" s="2046"/>
      <c r="AF30" s="2043">
        <f t="shared" si="10"/>
        <v>0</v>
      </c>
      <c r="AG30" s="2043">
        <f t="shared" si="10"/>
        <v>3200</v>
      </c>
      <c r="AH30" s="2045">
        <f t="shared" si="11"/>
        <v>3200</v>
      </c>
      <c r="AI30" s="2672">
        <f t="shared" si="12"/>
        <v>4.0331214701855933E-3</v>
      </c>
      <c r="AJ30" s="2673"/>
      <c r="AL30" s="919"/>
      <c r="AM30" s="919"/>
    </row>
    <row r="31" spans="1:39" s="1396" customFormat="1" ht="24.6" customHeight="1">
      <c r="A31" s="1572"/>
      <c r="B31" s="2747" t="s">
        <v>34</v>
      </c>
      <c r="C31" s="2675">
        <v>36000</v>
      </c>
      <c r="D31" s="2674">
        <v>10000</v>
      </c>
      <c r="E31" s="2012">
        <f t="shared" si="4"/>
        <v>46000</v>
      </c>
      <c r="F31" s="2672">
        <f t="shared" si="3"/>
        <v>3.7660036794474189E-2</v>
      </c>
      <c r="G31" s="2051"/>
      <c r="H31" s="2043"/>
      <c r="I31" s="2045">
        <f t="shared" si="13"/>
        <v>0</v>
      </c>
      <c r="J31" s="2672">
        <f t="shared" si="5"/>
        <v>0</v>
      </c>
      <c r="K31" s="2046"/>
      <c r="L31" s="2051"/>
      <c r="M31" s="2043">
        <v>3895.1</v>
      </c>
      <c r="N31" s="2045">
        <f t="shared" si="14"/>
        <v>3895.1</v>
      </c>
      <c r="O31" s="2672">
        <f t="shared" si="6"/>
        <v>5.1641584972903602E-3</v>
      </c>
      <c r="P31" s="2046"/>
      <c r="Q31" s="2051"/>
      <c r="R31" s="2043"/>
      <c r="S31" s="2045">
        <f t="shared" si="15"/>
        <v>0</v>
      </c>
      <c r="T31" s="2672">
        <f t="shared" si="7"/>
        <v>0</v>
      </c>
      <c r="U31" s="2046"/>
      <c r="V31" s="2051"/>
      <c r="W31" s="2043"/>
      <c r="X31" s="2045">
        <f t="shared" si="16"/>
        <v>0</v>
      </c>
      <c r="Y31" s="2672" t="e">
        <f t="shared" si="8"/>
        <v>#DIV/0!</v>
      </c>
      <c r="Z31" s="2046"/>
      <c r="AA31" s="2051"/>
      <c r="AB31" s="2043"/>
      <c r="AC31" s="2045">
        <f t="shared" si="17"/>
        <v>0</v>
      </c>
      <c r="AD31" s="2672" t="e">
        <f t="shared" si="9"/>
        <v>#DIV/0!</v>
      </c>
      <c r="AE31" s="2046"/>
      <c r="AF31" s="2043">
        <f t="shared" si="10"/>
        <v>0</v>
      </c>
      <c r="AG31" s="2043">
        <f t="shared" si="10"/>
        <v>3895.1</v>
      </c>
      <c r="AH31" s="2045">
        <f t="shared" si="11"/>
        <v>3895.1</v>
      </c>
      <c r="AI31" s="2672">
        <f t="shared" si="12"/>
        <v>4.9091910745374702E-3</v>
      </c>
      <c r="AJ31" s="2673"/>
      <c r="AL31" s="919"/>
      <c r="AM31" s="919"/>
    </row>
    <row r="32" spans="1:39" s="1396" customFormat="1" ht="24.6" customHeight="1">
      <c r="A32" s="1572"/>
      <c r="B32" s="2779" t="s">
        <v>2</v>
      </c>
      <c r="C32" s="2676"/>
      <c r="D32" s="2677"/>
      <c r="E32" s="2012">
        <f t="shared" si="4"/>
        <v>0</v>
      </c>
      <c r="F32" s="2672">
        <f t="shared" si="3"/>
        <v>0</v>
      </c>
      <c r="G32" s="2051"/>
      <c r="H32" s="2043"/>
      <c r="I32" s="2045">
        <f t="shared" si="13"/>
        <v>0</v>
      </c>
      <c r="J32" s="2672">
        <f t="shared" si="5"/>
        <v>0</v>
      </c>
      <c r="K32" s="2046"/>
      <c r="L32" s="2051"/>
      <c r="M32" s="2043"/>
      <c r="N32" s="2045">
        <f t="shared" si="14"/>
        <v>0</v>
      </c>
      <c r="O32" s="2672">
        <f t="shared" si="6"/>
        <v>0</v>
      </c>
      <c r="P32" s="2046"/>
      <c r="Q32" s="2051"/>
      <c r="R32" s="2043"/>
      <c r="S32" s="2045">
        <f t="shared" si="15"/>
        <v>0</v>
      </c>
      <c r="T32" s="2672">
        <f t="shared" si="7"/>
        <v>0</v>
      </c>
      <c r="U32" s="2046"/>
      <c r="V32" s="2051"/>
      <c r="W32" s="2043"/>
      <c r="X32" s="2045">
        <f t="shared" si="16"/>
        <v>0</v>
      </c>
      <c r="Y32" s="2672" t="e">
        <f t="shared" si="8"/>
        <v>#DIV/0!</v>
      </c>
      <c r="Z32" s="2046"/>
      <c r="AA32" s="2051"/>
      <c r="AB32" s="2043"/>
      <c r="AC32" s="2045">
        <f t="shared" si="17"/>
        <v>0</v>
      </c>
      <c r="AD32" s="2672" t="e">
        <f t="shared" si="9"/>
        <v>#DIV/0!</v>
      </c>
      <c r="AE32" s="2046"/>
      <c r="AF32" s="2043">
        <f t="shared" si="10"/>
        <v>0</v>
      </c>
      <c r="AG32" s="2043">
        <f t="shared" si="10"/>
        <v>0</v>
      </c>
      <c r="AH32" s="2045">
        <f t="shared" si="11"/>
        <v>0</v>
      </c>
      <c r="AI32" s="2672">
        <f t="shared" si="12"/>
        <v>0</v>
      </c>
      <c r="AJ32" s="2673"/>
      <c r="AL32" s="919"/>
      <c r="AM32" s="919"/>
    </row>
    <row r="33" spans="1:39" s="1396" customFormat="1" ht="24.6" customHeight="1" thickBot="1">
      <c r="A33" s="1572"/>
      <c r="B33" s="2722" t="s">
        <v>75</v>
      </c>
      <c r="C33" s="2678"/>
      <c r="D33" s="2679"/>
      <c r="E33" s="1628">
        <f t="shared" si="4"/>
        <v>0</v>
      </c>
      <c r="F33" s="2680">
        <f t="shared" si="3"/>
        <v>0</v>
      </c>
      <c r="G33" s="2028"/>
      <c r="H33" s="2025"/>
      <c r="I33" s="2026">
        <f t="shared" si="13"/>
        <v>0</v>
      </c>
      <c r="J33" s="2680">
        <f t="shared" si="5"/>
        <v>0</v>
      </c>
      <c r="K33" s="1675"/>
      <c r="L33" s="2028"/>
      <c r="M33" s="2025"/>
      <c r="N33" s="2026">
        <f t="shared" si="14"/>
        <v>0</v>
      </c>
      <c r="O33" s="2680">
        <f t="shared" si="6"/>
        <v>0</v>
      </c>
      <c r="P33" s="1675"/>
      <c r="Q33" s="2028"/>
      <c r="R33" s="2025"/>
      <c r="S33" s="2026">
        <f t="shared" si="15"/>
        <v>0</v>
      </c>
      <c r="T33" s="2680">
        <f t="shared" si="7"/>
        <v>0</v>
      </c>
      <c r="U33" s="1675"/>
      <c r="V33" s="2028"/>
      <c r="W33" s="2025"/>
      <c r="X33" s="2026">
        <f t="shared" si="16"/>
        <v>0</v>
      </c>
      <c r="Y33" s="2680" t="e">
        <f t="shared" si="8"/>
        <v>#DIV/0!</v>
      </c>
      <c r="Z33" s="1675"/>
      <c r="AA33" s="2028"/>
      <c r="AB33" s="2025"/>
      <c r="AC33" s="2026">
        <f t="shared" si="17"/>
        <v>0</v>
      </c>
      <c r="AD33" s="2680" t="e">
        <f t="shared" si="9"/>
        <v>#DIV/0!</v>
      </c>
      <c r="AE33" s="1675"/>
      <c r="AF33" s="2681">
        <f t="shared" si="10"/>
        <v>0</v>
      </c>
      <c r="AG33" s="2682">
        <f t="shared" si="10"/>
        <v>0</v>
      </c>
      <c r="AH33" s="2683">
        <f t="shared" si="11"/>
        <v>0</v>
      </c>
      <c r="AI33" s="2680">
        <f t="shared" si="12"/>
        <v>0</v>
      </c>
      <c r="AJ33" s="2684"/>
      <c r="AL33" s="919"/>
      <c r="AM33" s="919"/>
    </row>
    <row r="34" spans="1:39" s="1396" customFormat="1" ht="24.6" customHeight="1">
      <c r="A34" s="1572"/>
      <c r="B34" s="1077"/>
      <c r="C34" s="1617"/>
      <c r="D34" s="1618"/>
      <c r="E34" s="2024"/>
      <c r="F34" s="1620"/>
      <c r="G34" s="2051"/>
      <c r="H34" s="2043"/>
      <c r="I34" s="2024"/>
      <c r="J34" s="1976">
        <f t="shared" si="5"/>
        <v>0</v>
      </c>
      <c r="K34" s="2024"/>
      <c r="L34" s="2051"/>
      <c r="M34" s="2043"/>
      <c r="N34" s="2024"/>
      <c r="O34" s="1976"/>
      <c r="P34" s="2024"/>
      <c r="Q34" s="2051"/>
      <c r="R34" s="2043"/>
      <c r="S34" s="2024"/>
      <c r="T34" s="1976"/>
      <c r="U34" s="2024"/>
      <c r="V34" s="2051"/>
      <c r="W34" s="2043"/>
      <c r="X34" s="2024"/>
      <c r="Y34" s="1976" t="e">
        <f>X34/#REF!</f>
        <v>#REF!</v>
      </c>
      <c r="Z34" s="2024"/>
      <c r="AA34" s="2051"/>
      <c r="AB34" s="2043"/>
      <c r="AC34" s="2024"/>
      <c r="AD34" s="1976" t="e">
        <f>AC34/#REF!</f>
        <v>#REF!</v>
      </c>
      <c r="AE34" s="2024"/>
      <c r="AF34" s="2043"/>
      <c r="AG34" s="2043"/>
      <c r="AH34" s="2024"/>
      <c r="AI34" s="2024"/>
      <c r="AJ34" s="2024"/>
      <c r="AL34" s="919"/>
      <c r="AM34" s="919"/>
    </row>
    <row r="35" spans="1:39" s="2466" customFormat="1" ht="24.6" customHeight="1">
      <c r="A35" s="1572"/>
      <c r="B35" s="2685" t="s">
        <v>80</v>
      </c>
      <c r="C35" s="2686">
        <f>C36</f>
        <v>0</v>
      </c>
      <c r="D35" s="2686">
        <f>D36</f>
        <v>0</v>
      </c>
      <c r="E35" s="2687">
        <f>E36</f>
        <v>0</v>
      </c>
      <c r="F35" s="2688">
        <f>E35/$E$89</f>
        <v>0</v>
      </c>
      <c r="G35" s="2686"/>
      <c r="H35" s="2686"/>
      <c r="I35" s="2687">
        <f>I36</f>
        <v>0</v>
      </c>
      <c r="J35" s="2672">
        <f t="shared" si="5"/>
        <v>0</v>
      </c>
      <c r="K35" s="2689"/>
      <c r="L35" s="2686"/>
      <c r="M35" s="2686"/>
      <c r="N35" s="2687">
        <f>N36</f>
        <v>0</v>
      </c>
      <c r="O35" s="2672">
        <f t="shared" si="6"/>
        <v>0</v>
      </c>
      <c r="P35" s="2689"/>
      <c r="Q35" s="2686"/>
      <c r="R35" s="2686"/>
      <c r="S35" s="2687">
        <f>S36</f>
        <v>0</v>
      </c>
      <c r="T35" s="2687">
        <f t="shared" ref="T35:T36" si="19">S35/S$89</f>
        <v>0</v>
      </c>
      <c r="U35" s="2689"/>
      <c r="V35" s="2686"/>
      <c r="W35" s="2686"/>
      <c r="X35" s="2687">
        <f>X36</f>
        <v>0</v>
      </c>
      <c r="Y35" s="2672" t="e">
        <f>X35/#REF!</f>
        <v>#REF!</v>
      </c>
      <c r="Z35" s="2689"/>
      <c r="AA35" s="2686"/>
      <c r="AB35" s="2686"/>
      <c r="AC35" s="2687">
        <f>AC36</f>
        <v>0</v>
      </c>
      <c r="AD35" s="2672" t="e">
        <f>AC35/#REF!</f>
        <v>#REF!</v>
      </c>
      <c r="AE35" s="2689"/>
      <c r="AF35" s="2686">
        <f t="shared" ref="AF35:AH35" si="20">AF36</f>
        <v>0</v>
      </c>
      <c r="AG35" s="2686">
        <f t="shared" si="20"/>
        <v>0</v>
      </c>
      <c r="AH35" s="2686">
        <f t="shared" si="20"/>
        <v>0</v>
      </c>
      <c r="AI35" s="2686">
        <f>AI36</f>
        <v>0</v>
      </c>
      <c r="AJ35" s="2687"/>
      <c r="AL35" s="918"/>
      <c r="AM35" s="918"/>
    </row>
    <row r="36" spans="1:39" s="1564" customFormat="1" ht="24.6" customHeight="1" outlineLevel="1">
      <c r="A36" s="1572"/>
      <c r="B36" s="2690" t="s">
        <v>81</v>
      </c>
      <c r="C36" s="2691"/>
      <c r="D36" s="2692"/>
      <c r="E36" s="2012">
        <f>C36+D36</f>
        <v>0</v>
      </c>
      <c r="F36" s="2693">
        <f>E36/$E$89</f>
        <v>0</v>
      </c>
      <c r="G36" s="2051"/>
      <c r="H36" s="2043"/>
      <c r="I36" s="2012">
        <f>G36+H36*1</f>
        <v>0</v>
      </c>
      <c r="J36" s="2672">
        <f t="shared" si="5"/>
        <v>0</v>
      </c>
      <c r="K36" s="2046"/>
      <c r="L36" s="2051"/>
      <c r="M36" s="2043"/>
      <c r="N36" s="2012">
        <f>L36+M36*1</f>
        <v>0</v>
      </c>
      <c r="O36" s="2672">
        <f t="shared" si="6"/>
        <v>0</v>
      </c>
      <c r="P36" s="2046"/>
      <c r="Q36" s="2051"/>
      <c r="R36" s="2043"/>
      <c r="S36" s="2012">
        <f>Q36+R36*1</f>
        <v>0</v>
      </c>
      <c r="T36" s="2672">
        <f t="shared" si="19"/>
        <v>0</v>
      </c>
      <c r="U36" s="2046"/>
      <c r="V36" s="2051"/>
      <c r="W36" s="2043"/>
      <c r="X36" s="2012">
        <f>V36+W36*1</f>
        <v>0</v>
      </c>
      <c r="Y36" s="2672" t="e">
        <f>X36/$X$89</f>
        <v>#DIV/0!</v>
      </c>
      <c r="Z36" s="2046"/>
      <c r="AA36" s="2051"/>
      <c r="AB36" s="2043"/>
      <c r="AC36" s="2012">
        <f>AA36+AB36*1</f>
        <v>0</v>
      </c>
      <c r="AD36" s="2672" t="e">
        <f>AC36/$X$89</f>
        <v>#DIV/0!</v>
      </c>
      <c r="AE36" s="2046"/>
      <c r="AF36" s="2043">
        <f t="shared" ref="AF36:AG36" si="21">G36+L36+Q36</f>
        <v>0</v>
      </c>
      <c r="AG36" s="2043">
        <f t="shared" si="21"/>
        <v>0</v>
      </c>
      <c r="AH36" s="2012">
        <f>AF36+AG36*1</f>
        <v>0</v>
      </c>
      <c r="AI36" s="2672">
        <f>AH36/$AH$89</f>
        <v>0</v>
      </c>
      <c r="AJ36" s="2694"/>
      <c r="AL36" s="922"/>
      <c r="AM36" s="922"/>
    </row>
    <row r="37" spans="1:39" s="1396" customFormat="1" ht="24.6" customHeight="1" thickBot="1">
      <c r="A37" s="1398"/>
      <c r="B37" s="2695"/>
      <c r="C37" s="2696"/>
      <c r="D37" s="2697"/>
      <c r="E37" s="2698"/>
      <c r="F37" s="2699"/>
      <c r="G37" s="2028"/>
      <c r="H37" s="2025"/>
      <c r="I37" s="2698"/>
      <c r="J37" s="2680">
        <f t="shared" si="5"/>
        <v>0</v>
      </c>
      <c r="K37" s="2700"/>
      <c r="L37" s="2028"/>
      <c r="M37" s="2025"/>
      <c r="N37" s="2698"/>
      <c r="O37" s="2680"/>
      <c r="P37" s="2700"/>
      <c r="Q37" s="2028"/>
      <c r="R37" s="2025"/>
      <c r="S37" s="2698"/>
      <c r="T37" s="2680"/>
      <c r="U37" s="2700"/>
      <c r="V37" s="2028"/>
      <c r="W37" s="2025"/>
      <c r="X37" s="2698"/>
      <c r="Y37" s="2680" t="e">
        <f>X37/#REF!</f>
        <v>#REF!</v>
      </c>
      <c r="Z37" s="2700"/>
      <c r="AA37" s="2028"/>
      <c r="AB37" s="2025"/>
      <c r="AC37" s="2698"/>
      <c r="AD37" s="2680" t="e">
        <f>AC37/#REF!</f>
        <v>#REF!</v>
      </c>
      <c r="AE37" s="2700"/>
      <c r="AF37" s="2043"/>
      <c r="AG37" s="2043"/>
      <c r="AH37" s="2698"/>
      <c r="AI37" s="2698"/>
      <c r="AJ37" s="2698"/>
      <c r="AL37" s="919"/>
      <c r="AM37" s="919"/>
    </row>
    <row r="38" spans="1:39" ht="24.6" customHeight="1" thickBot="1">
      <c r="A38" s="1426"/>
      <c r="B38" s="971" t="s">
        <v>46</v>
      </c>
      <c r="C38" s="2002">
        <f>(C5)-(C8)</f>
        <v>1007840.8624466078</v>
      </c>
      <c r="D38" s="2002">
        <f>(D5)-(D8)</f>
        <v>-471923.4</v>
      </c>
      <c r="E38" s="2002">
        <f>(E5)-(E8)</f>
        <v>535917.46244660765</v>
      </c>
      <c r="F38" s="1530"/>
      <c r="G38" s="2002">
        <f>(G5)-(G8)</f>
        <v>-15808</v>
      </c>
      <c r="H38" s="2002">
        <f>(H5)-(H8)</f>
        <v>-15700</v>
      </c>
      <c r="I38" s="2002">
        <f>(I5)-(I8)</f>
        <v>-31508</v>
      </c>
      <c r="J38" s="2002"/>
      <c r="K38" s="2021"/>
      <c r="L38" s="2002">
        <f>(L5)-(L8)</f>
        <v>1133154.622</v>
      </c>
      <c r="M38" s="2002">
        <f>(M5)-(M8)</f>
        <v>-254111.6</v>
      </c>
      <c r="N38" s="2002">
        <f>(N5)-(N8)</f>
        <v>879043.022</v>
      </c>
      <c r="O38" s="2002"/>
      <c r="P38" s="2021"/>
      <c r="Q38" s="2002">
        <f>(Q5)-(Q8)</f>
        <v>-4979.7</v>
      </c>
      <c r="R38" s="2002">
        <f>(R5)-(R8)</f>
        <v>0</v>
      </c>
      <c r="S38" s="2002">
        <f>(S5)-(S8)</f>
        <v>-4979.7</v>
      </c>
      <c r="T38" s="2002"/>
      <c r="U38" s="2021"/>
      <c r="V38" s="2002">
        <f>(V5)-(V8)</f>
        <v>0</v>
      </c>
      <c r="W38" s="2002">
        <f>(W5)-(W8)</f>
        <v>0</v>
      </c>
      <c r="X38" s="2002">
        <f>(X5)-(X8)</f>
        <v>0</v>
      </c>
      <c r="Y38" s="2002"/>
      <c r="Z38" s="2021"/>
      <c r="AA38" s="2002">
        <f>(AA5)-(AA8)</f>
        <v>0</v>
      </c>
      <c r="AB38" s="2002">
        <f>(AB5)-(AB8)</f>
        <v>0</v>
      </c>
      <c r="AC38" s="2002">
        <f>(AC5)-(AC8)</f>
        <v>0</v>
      </c>
      <c r="AD38" s="2002"/>
      <c r="AE38" s="2021"/>
      <c r="AF38" s="2002">
        <f>(AF5)-(AF8)</f>
        <v>1112366.922</v>
      </c>
      <c r="AG38" s="2002">
        <f>(AG5)-(AG8)</f>
        <v>-269811.59999999998</v>
      </c>
      <c r="AH38" s="2002">
        <f>(AH5)-(AH8)</f>
        <v>842555.32200000004</v>
      </c>
      <c r="AI38" s="2002"/>
      <c r="AJ38" s="2002"/>
    </row>
    <row r="39" spans="1:39" ht="24.6" customHeight="1">
      <c r="A39" s="1565"/>
      <c r="B39" s="972" t="s">
        <v>47</v>
      </c>
      <c r="C39" s="1525">
        <f>C38/(C5)</f>
        <v>0.63129685855716844</v>
      </c>
      <c r="D39" s="1525" t="e">
        <f>D38/(D5)</f>
        <v>#DIV/0!</v>
      </c>
      <c r="E39" s="1526">
        <f>E38/(E5)</f>
        <v>0.33569090428340914</v>
      </c>
      <c r="F39" s="1531"/>
      <c r="G39" s="2003" t="e">
        <f>G38/(G5)</f>
        <v>#DIV/0!</v>
      </c>
      <c r="H39" s="2003" t="e">
        <f>H38/(H5)</f>
        <v>#DIV/0!</v>
      </c>
      <c r="I39" s="2004" t="e">
        <f>I38/(I5)</f>
        <v>#DIV/0!</v>
      </c>
      <c r="J39" s="2004"/>
      <c r="K39" s="2022"/>
      <c r="L39" s="2003">
        <f>L38/(L5)</f>
        <v>0.70979427224823577</v>
      </c>
      <c r="M39" s="2003" t="e">
        <f>M38/(M5)</f>
        <v>#DIV/0!</v>
      </c>
      <c r="N39" s="2004">
        <f>N38/(N5)</f>
        <v>0.55062185686021936</v>
      </c>
      <c r="O39" s="2004"/>
      <c r="P39" s="2022"/>
      <c r="Q39" s="2003" t="e">
        <f>Q38/(Q5)</f>
        <v>#DIV/0!</v>
      </c>
      <c r="R39" s="2003" t="e">
        <f>R38/(R5)</f>
        <v>#DIV/0!</v>
      </c>
      <c r="S39" s="2004" t="e">
        <f>S38/(S5)</f>
        <v>#DIV/0!</v>
      </c>
      <c r="T39" s="2004"/>
      <c r="U39" s="2022"/>
      <c r="V39" s="2003" t="e">
        <f>V38/(V5)</f>
        <v>#DIV/0!</v>
      </c>
      <c r="W39" s="2003" t="e">
        <f>W38/(W5)</f>
        <v>#DIV/0!</v>
      </c>
      <c r="X39" s="2004" t="e">
        <f>X38/(X5)</f>
        <v>#DIV/0!</v>
      </c>
      <c r="Y39" s="2004"/>
      <c r="Z39" s="2022"/>
      <c r="AA39" s="2003" t="e">
        <f>AA38/(AA5)</f>
        <v>#DIV/0!</v>
      </c>
      <c r="AB39" s="2003" t="e">
        <f>AB38/(AB5)</f>
        <v>#DIV/0!</v>
      </c>
      <c r="AC39" s="2004" t="e">
        <f>AC38/(AC5)</f>
        <v>#DIV/0!</v>
      </c>
      <c r="AD39" s="2004"/>
      <c r="AE39" s="2022"/>
      <c r="AF39" s="2003">
        <f>AF38/(AF5)</f>
        <v>0.69677310981660545</v>
      </c>
      <c r="AG39" s="2003" t="e">
        <f>AG38/(AG5)</f>
        <v>#DIV/0!</v>
      </c>
      <c r="AH39" s="2004">
        <f>AH38/(AH5)</f>
        <v>0.5277664053934098</v>
      </c>
      <c r="AI39" s="2004"/>
      <c r="AJ39" s="2004"/>
    </row>
    <row r="40" spans="1:39" ht="24.6" customHeight="1" outlineLevel="1" thickBot="1">
      <c r="A40" s="1567"/>
      <c r="B40" s="2701"/>
      <c r="C40" s="2702"/>
      <c r="D40" s="2703"/>
      <c r="E40" s="2704"/>
      <c r="F40" s="2705"/>
      <c r="G40" s="2706"/>
      <c r="H40" s="2708"/>
      <c r="I40" s="2708"/>
      <c r="J40" s="2708"/>
      <c r="K40" s="2707"/>
      <c r="L40" s="2706"/>
      <c r="M40" s="2708"/>
      <c r="N40" s="2708"/>
      <c r="O40" s="2708"/>
      <c r="P40" s="2707"/>
      <c r="Q40" s="2706"/>
      <c r="R40" s="2708"/>
      <c r="S40" s="2708"/>
      <c r="T40" s="2708"/>
      <c r="U40" s="2707"/>
      <c r="V40" s="2706"/>
      <c r="W40" s="2708"/>
      <c r="X40" s="2708"/>
      <c r="Y40" s="2708"/>
      <c r="Z40" s="2707"/>
      <c r="AA40" s="2706"/>
      <c r="AB40" s="2708"/>
      <c r="AC40" s="2708"/>
      <c r="AD40" s="2708"/>
      <c r="AE40" s="2707"/>
      <c r="AF40" s="2043"/>
      <c r="AG40" s="2043"/>
      <c r="AH40" s="2708"/>
      <c r="AI40" s="2708"/>
      <c r="AJ40" s="2708"/>
    </row>
    <row r="41" spans="1:39" ht="24.6" customHeight="1" outlineLevel="1">
      <c r="A41" s="1405"/>
      <c r="B41" s="2709" t="s">
        <v>26</v>
      </c>
      <c r="C41" s="2710">
        <f>SUM(C42:C48)</f>
        <v>2500</v>
      </c>
      <c r="D41" s="2710">
        <f>SUM(D42:D48)</f>
        <v>1000</v>
      </c>
      <c r="E41" s="2711">
        <f>SUM(E42:E48)</f>
        <v>3500</v>
      </c>
      <c r="F41" s="2712">
        <f t="shared" ref="F41:F48" si="22">E41/$E$89</f>
        <v>2.8654375821882535E-3</v>
      </c>
      <c r="G41" s="2013">
        <f>SUM(G42:G48)</f>
        <v>0</v>
      </c>
      <c r="H41" s="2013">
        <f>SUM(H42:H48)</f>
        <v>0</v>
      </c>
      <c r="I41" s="2014">
        <f>SUM(I42:I48)</f>
        <v>0</v>
      </c>
      <c r="J41" s="2712">
        <f t="shared" ref="J41:J48" si="23">I41/$I$89</f>
        <v>0</v>
      </c>
      <c r="K41" s="2023"/>
      <c r="L41" s="2013">
        <f>SUM(L42:L48)</f>
        <v>0</v>
      </c>
      <c r="M41" s="2013">
        <f>SUM(M42:M48)</f>
        <v>0</v>
      </c>
      <c r="N41" s="2014">
        <f>SUM(N42:N48)</f>
        <v>0</v>
      </c>
      <c r="O41" s="2712">
        <f t="shared" ref="O41:O52" si="24">N41/$N$89</f>
        <v>0</v>
      </c>
      <c r="P41" s="2023"/>
      <c r="Q41" s="2013">
        <f>SUM(Q42:Q48)</f>
        <v>545.02</v>
      </c>
      <c r="R41" s="2013">
        <f>SUM(R42:R48)</f>
        <v>0</v>
      </c>
      <c r="S41" s="2014">
        <f>SUM(S42:S48)</f>
        <v>545.02</v>
      </c>
      <c r="T41" s="2712">
        <f t="shared" ref="T41:T48" si="25">S41/S$89</f>
        <v>9.8651153361618338E-2</v>
      </c>
      <c r="U41" s="2023"/>
      <c r="V41" s="2013">
        <f>SUM(V42:V48)</f>
        <v>0</v>
      </c>
      <c r="W41" s="2013">
        <f>SUM(W42:W48)</f>
        <v>0</v>
      </c>
      <c r="X41" s="2014">
        <f>SUM(X42:X48)</f>
        <v>0</v>
      </c>
      <c r="Y41" s="2712" t="e">
        <f t="shared" ref="Y41:Y48" si="26">X41/$X$89</f>
        <v>#DIV/0!</v>
      </c>
      <c r="Z41" s="2023"/>
      <c r="AA41" s="2013">
        <f>SUM(AA42:AA48)</f>
        <v>0</v>
      </c>
      <c r="AB41" s="2013">
        <f>SUM(AB42:AB48)</f>
        <v>0</v>
      </c>
      <c r="AC41" s="2014">
        <f>SUM(AC42:AC48)</f>
        <v>0</v>
      </c>
      <c r="AD41" s="2712" t="e">
        <f t="shared" ref="AD41:AD48" si="27">AC41/$AC$89</f>
        <v>#DIV/0!</v>
      </c>
      <c r="AE41" s="2023"/>
      <c r="AF41" s="2013">
        <f>SUM(AF42:AF48)</f>
        <v>545.02</v>
      </c>
      <c r="AG41" s="2013">
        <f>SUM(AG42:AG48)</f>
        <v>0</v>
      </c>
      <c r="AH41" s="2014">
        <f>SUM(AH42:AH48)</f>
        <v>545.02</v>
      </c>
      <c r="AI41" s="2712">
        <f t="shared" ref="AI41:AI49" si="28">AH41/$AH$89</f>
        <v>6.8691620740017254E-4</v>
      </c>
      <c r="AJ41" s="2006"/>
    </row>
    <row r="42" spans="1:39" ht="24.6" customHeight="1" outlineLevel="2">
      <c r="A42" s="4833"/>
      <c r="B42" s="2713" t="s">
        <v>7</v>
      </c>
      <c r="C42" s="2674"/>
      <c r="D42" s="2714"/>
      <c r="E42" s="2780">
        <f t="shared" ref="E42:E48" si="29">C42+D42</f>
        <v>0</v>
      </c>
      <c r="F42" s="2672">
        <f t="shared" si="22"/>
        <v>0</v>
      </c>
      <c r="G42" s="2051"/>
      <c r="H42" s="2043"/>
      <c r="I42" s="2012">
        <f t="shared" ref="I42:I48" si="30">G42+H42*1</f>
        <v>0</v>
      </c>
      <c r="J42" s="2672">
        <f t="shared" si="23"/>
        <v>0</v>
      </c>
      <c r="K42" s="2046"/>
      <c r="L42" s="2051"/>
      <c r="M42" s="2043"/>
      <c r="N42" s="2012">
        <f t="shared" ref="N42:N48" si="31">L42+M42*1</f>
        <v>0</v>
      </c>
      <c r="O42" s="2672">
        <f t="shared" si="24"/>
        <v>0</v>
      </c>
      <c r="P42" s="2046"/>
      <c r="Q42" s="2051"/>
      <c r="R42" s="2043"/>
      <c r="S42" s="2012">
        <f t="shared" ref="S42:S48" si="32">Q42+R42*1</f>
        <v>0</v>
      </c>
      <c r="T42" s="2672">
        <f t="shared" si="25"/>
        <v>0</v>
      </c>
      <c r="U42" s="2046"/>
      <c r="V42" s="2051"/>
      <c r="W42" s="2043"/>
      <c r="X42" s="2012">
        <f t="shared" ref="X42:X48" si="33">V42+W42*1</f>
        <v>0</v>
      </c>
      <c r="Y42" s="2672" t="e">
        <f t="shared" si="26"/>
        <v>#DIV/0!</v>
      </c>
      <c r="Z42" s="2046"/>
      <c r="AA42" s="2051"/>
      <c r="AB42" s="2043"/>
      <c r="AC42" s="2012">
        <f t="shared" ref="AC42:AC48" si="34">AA42+AB42*1</f>
        <v>0</v>
      </c>
      <c r="AD42" s="2672" t="e">
        <f t="shared" si="27"/>
        <v>#DIV/0!</v>
      </c>
      <c r="AE42" s="2046"/>
      <c r="AF42" s="2043">
        <f t="shared" ref="AF42:AG48" si="35">G42+L42+Q42</f>
        <v>0</v>
      </c>
      <c r="AG42" s="2043">
        <f t="shared" si="35"/>
        <v>0</v>
      </c>
      <c r="AH42" s="2012">
        <f t="shared" ref="AH42:AH48" si="36">AF42+AG42*1</f>
        <v>0</v>
      </c>
      <c r="AI42" s="2672">
        <f t="shared" si="28"/>
        <v>0</v>
      </c>
      <c r="AJ42" s="2673"/>
    </row>
    <row r="43" spans="1:39" ht="24.6" customHeight="1" outlineLevel="2">
      <c r="A43" s="4833"/>
      <c r="B43" s="2713" t="s">
        <v>27</v>
      </c>
      <c r="C43" s="2674"/>
      <c r="D43" s="2714">
        <v>1000</v>
      </c>
      <c r="E43" s="2780">
        <f t="shared" si="29"/>
        <v>1000</v>
      </c>
      <c r="F43" s="2672">
        <f t="shared" si="22"/>
        <v>8.1869645205378671E-4</v>
      </c>
      <c r="G43" s="2051"/>
      <c r="H43" s="2043"/>
      <c r="I43" s="2012">
        <f t="shared" si="30"/>
        <v>0</v>
      </c>
      <c r="J43" s="2672">
        <f t="shared" si="23"/>
        <v>0</v>
      </c>
      <c r="K43" s="2046"/>
      <c r="L43" s="2051"/>
      <c r="M43" s="2043"/>
      <c r="N43" s="2012">
        <f t="shared" si="31"/>
        <v>0</v>
      </c>
      <c r="O43" s="2672">
        <f t="shared" si="24"/>
        <v>0</v>
      </c>
      <c r="P43" s="2046"/>
      <c r="Q43" s="2051"/>
      <c r="R43" s="2043"/>
      <c r="S43" s="2012">
        <f t="shared" si="32"/>
        <v>0</v>
      </c>
      <c r="T43" s="2672">
        <f t="shared" si="25"/>
        <v>0</v>
      </c>
      <c r="U43" s="2046"/>
      <c r="V43" s="2051"/>
      <c r="W43" s="2043"/>
      <c r="X43" s="2012">
        <f t="shared" si="33"/>
        <v>0</v>
      </c>
      <c r="Y43" s="2672" t="e">
        <f t="shared" si="26"/>
        <v>#DIV/0!</v>
      </c>
      <c r="Z43" s="2046"/>
      <c r="AA43" s="2051"/>
      <c r="AB43" s="2043"/>
      <c r="AC43" s="2012">
        <f t="shared" si="34"/>
        <v>0</v>
      </c>
      <c r="AD43" s="2672" t="e">
        <f t="shared" si="27"/>
        <v>#DIV/0!</v>
      </c>
      <c r="AE43" s="2046"/>
      <c r="AF43" s="2043">
        <f t="shared" si="35"/>
        <v>0</v>
      </c>
      <c r="AG43" s="2043">
        <f t="shared" si="35"/>
        <v>0</v>
      </c>
      <c r="AH43" s="2012">
        <f t="shared" si="36"/>
        <v>0</v>
      </c>
      <c r="AI43" s="2672">
        <f t="shared" si="28"/>
        <v>0</v>
      </c>
      <c r="AJ43" s="2673"/>
    </row>
    <row r="44" spans="1:39" ht="24.6" customHeight="1" outlineLevel="2">
      <c r="A44" s="4833"/>
      <c r="B44" s="2690" t="s">
        <v>28</v>
      </c>
      <c r="C44" s="2674"/>
      <c r="D44" s="2714"/>
      <c r="E44" s="2780">
        <f t="shared" si="29"/>
        <v>0</v>
      </c>
      <c r="F44" s="2672">
        <f t="shared" si="22"/>
        <v>0</v>
      </c>
      <c r="G44" s="2051"/>
      <c r="H44" s="2043"/>
      <c r="I44" s="2012">
        <f t="shared" si="30"/>
        <v>0</v>
      </c>
      <c r="J44" s="2672">
        <f t="shared" si="23"/>
        <v>0</v>
      </c>
      <c r="K44" s="2046"/>
      <c r="L44" s="2051"/>
      <c r="M44" s="2043"/>
      <c r="N44" s="2012">
        <f t="shared" si="31"/>
        <v>0</v>
      </c>
      <c r="O44" s="2672">
        <f t="shared" si="24"/>
        <v>0</v>
      </c>
      <c r="P44" s="2046"/>
      <c r="Q44" s="2051"/>
      <c r="R44" s="2043"/>
      <c r="S44" s="2012">
        <f t="shared" si="32"/>
        <v>0</v>
      </c>
      <c r="T44" s="2672">
        <f t="shared" si="25"/>
        <v>0</v>
      </c>
      <c r="U44" s="2046"/>
      <c r="V44" s="2051"/>
      <c r="W44" s="2043"/>
      <c r="X44" s="2012">
        <f t="shared" si="33"/>
        <v>0</v>
      </c>
      <c r="Y44" s="2672" t="e">
        <f t="shared" si="26"/>
        <v>#DIV/0!</v>
      </c>
      <c r="Z44" s="2046"/>
      <c r="AA44" s="2051"/>
      <c r="AB44" s="2043"/>
      <c r="AC44" s="2012">
        <f t="shared" si="34"/>
        <v>0</v>
      </c>
      <c r="AD44" s="2672" t="e">
        <f t="shared" si="27"/>
        <v>#DIV/0!</v>
      </c>
      <c r="AE44" s="2046"/>
      <c r="AF44" s="2043">
        <f t="shared" si="35"/>
        <v>0</v>
      </c>
      <c r="AG44" s="2043">
        <f t="shared" si="35"/>
        <v>0</v>
      </c>
      <c r="AH44" s="2012">
        <f t="shared" si="36"/>
        <v>0</v>
      </c>
      <c r="AI44" s="2672">
        <f t="shared" si="28"/>
        <v>0</v>
      </c>
      <c r="AJ44" s="2673"/>
    </row>
    <row r="45" spans="1:39" ht="24.6" customHeight="1" outlineLevel="2">
      <c r="A45" s="4833"/>
      <c r="B45" s="2713" t="s">
        <v>8</v>
      </c>
      <c r="C45" s="2674">
        <v>1000</v>
      </c>
      <c r="D45" s="2714"/>
      <c r="E45" s="2780">
        <f t="shared" si="29"/>
        <v>1000</v>
      </c>
      <c r="F45" s="2672">
        <f t="shared" si="22"/>
        <v>8.1869645205378671E-4</v>
      </c>
      <c r="G45" s="2051"/>
      <c r="H45" s="2043"/>
      <c r="I45" s="2012">
        <f t="shared" si="30"/>
        <v>0</v>
      </c>
      <c r="J45" s="2672">
        <f t="shared" si="23"/>
        <v>0</v>
      </c>
      <c r="K45" s="2046"/>
      <c r="L45" s="2051"/>
      <c r="M45" s="2043"/>
      <c r="N45" s="2012">
        <f t="shared" si="31"/>
        <v>0</v>
      </c>
      <c r="O45" s="2672">
        <f t="shared" si="24"/>
        <v>0</v>
      </c>
      <c r="P45" s="2046"/>
      <c r="Q45" s="2051"/>
      <c r="R45" s="2043"/>
      <c r="S45" s="2012">
        <f t="shared" si="32"/>
        <v>0</v>
      </c>
      <c r="T45" s="2672">
        <f t="shared" si="25"/>
        <v>0</v>
      </c>
      <c r="U45" s="2046"/>
      <c r="V45" s="2051"/>
      <c r="W45" s="2043"/>
      <c r="X45" s="2012">
        <f t="shared" si="33"/>
        <v>0</v>
      </c>
      <c r="Y45" s="2672" t="e">
        <f t="shared" si="26"/>
        <v>#DIV/0!</v>
      </c>
      <c r="Z45" s="2046"/>
      <c r="AA45" s="2051"/>
      <c r="AB45" s="2043"/>
      <c r="AC45" s="2012">
        <f t="shared" si="34"/>
        <v>0</v>
      </c>
      <c r="AD45" s="2672" t="e">
        <f t="shared" si="27"/>
        <v>#DIV/0!</v>
      </c>
      <c r="AE45" s="2046"/>
      <c r="AF45" s="2043">
        <f t="shared" si="35"/>
        <v>0</v>
      </c>
      <c r="AG45" s="2043">
        <f t="shared" si="35"/>
        <v>0</v>
      </c>
      <c r="AH45" s="2012">
        <f t="shared" si="36"/>
        <v>0</v>
      </c>
      <c r="AI45" s="2672">
        <f t="shared" si="28"/>
        <v>0</v>
      </c>
      <c r="AJ45" s="2673"/>
    </row>
    <row r="46" spans="1:39" ht="24.6" customHeight="1" outlineLevel="2">
      <c r="A46" s="4833"/>
      <c r="B46" s="2713" t="s">
        <v>29</v>
      </c>
      <c r="C46" s="2674"/>
      <c r="D46" s="2714"/>
      <c r="E46" s="2780">
        <f t="shared" si="29"/>
        <v>0</v>
      </c>
      <c r="F46" s="2672">
        <f t="shared" si="22"/>
        <v>0</v>
      </c>
      <c r="G46" s="2051"/>
      <c r="H46" s="2043"/>
      <c r="I46" s="2012">
        <f t="shared" si="30"/>
        <v>0</v>
      </c>
      <c r="J46" s="2672">
        <f t="shared" si="23"/>
        <v>0</v>
      </c>
      <c r="K46" s="2046"/>
      <c r="L46" s="2051"/>
      <c r="M46" s="2043"/>
      <c r="N46" s="2012">
        <f t="shared" si="31"/>
        <v>0</v>
      </c>
      <c r="O46" s="2672">
        <f t="shared" si="24"/>
        <v>0</v>
      </c>
      <c r="P46" s="2046"/>
      <c r="Q46" s="2051"/>
      <c r="R46" s="2043"/>
      <c r="S46" s="2012">
        <f t="shared" si="32"/>
        <v>0</v>
      </c>
      <c r="T46" s="2672">
        <f t="shared" si="25"/>
        <v>0</v>
      </c>
      <c r="U46" s="2046"/>
      <c r="V46" s="2051"/>
      <c r="W46" s="2043"/>
      <c r="X46" s="2012">
        <f t="shared" si="33"/>
        <v>0</v>
      </c>
      <c r="Y46" s="2672" t="e">
        <f t="shared" si="26"/>
        <v>#DIV/0!</v>
      </c>
      <c r="Z46" s="2046"/>
      <c r="AA46" s="2051"/>
      <c r="AB46" s="2043"/>
      <c r="AC46" s="2012">
        <f t="shared" si="34"/>
        <v>0</v>
      </c>
      <c r="AD46" s="2672" t="e">
        <f t="shared" si="27"/>
        <v>#DIV/0!</v>
      </c>
      <c r="AE46" s="2046"/>
      <c r="AF46" s="2043">
        <f t="shared" si="35"/>
        <v>0</v>
      </c>
      <c r="AG46" s="2043">
        <f t="shared" si="35"/>
        <v>0</v>
      </c>
      <c r="AH46" s="2012">
        <f t="shared" si="36"/>
        <v>0</v>
      </c>
      <c r="AI46" s="2672">
        <f t="shared" si="28"/>
        <v>0</v>
      </c>
      <c r="AJ46" s="2673"/>
    </row>
    <row r="47" spans="1:39" ht="24.6" customHeight="1" outlineLevel="2">
      <c r="A47" s="4833"/>
      <c r="B47" s="2713" t="s">
        <v>30</v>
      </c>
      <c r="C47" s="2674"/>
      <c r="D47" s="2714"/>
      <c r="E47" s="2780">
        <f t="shared" si="29"/>
        <v>0</v>
      </c>
      <c r="F47" s="2672">
        <f t="shared" si="22"/>
        <v>0</v>
      </c>
      <c r="G47" s="2051"/>
      <c r="H47" s="2043"/>
      <c r="I47" s="2012">
        <f t="shared" si="30"/>
        <v>0</v>
      </c>
      <c r="J47" s="2672">
        <f t="shared" si="23"/>
        <v>0</v>
      </c>
      <c r="K47" s="2046"/>
      <c r="L47" s="2051"/>
      <c r="M47" s="2043"/>
      <c r="N47" s="2012">
        <f t="shared" si="31"/>
        <v>0</v>
      </c>
      <c r="O47" s="2672">
        <f t="shared" si="24"/>
        <v>0</v>
      </c>
      <c r="P47" s="2046"/>
      <c r="Q47" s="2051">
        <v>545.02</v>
      </c>
      <c r="R47" s="2043"/>
      <c r="S47" s="2012">
        <f t="shared" si="32"/>
        <v>545.02</v>
      </c>
      <c r="T47" s="2672">
        <f t="shared" si="25"/>
        <v>9.8651153361618338E-2</v>
      </c>
      <c r="U47" s="2046"/>
      <c r="V47" s="2051"/>
      <c r="W47" s="2043"/>
      <c r="X47" s="2012">
        <f t="shared" si="33"/>
        <v>0</v>
      </c>
      <c r="Y47" s="2672" t="e">
        <f t="shared" si="26"/>
        <v>#DIV/0!</v>
      </c>
      <c r="Z47" s="2046"/>
      <c r="AA47" s="2051"/>
      <c r="AB47" s="2043"/>
      <c r="AC47" s="2012">
        <f t="shared" si="34"/>
        <v>0</v>
      </c>
      <c r="AD47" s="2672" t="e">
        <f t="shared" si="27"/>
        <v>#DIV/0!</v>
      </c>
      <c r="AE47" s="2046"/>
      <c r="AF47" s="2043">
        <f t="shared" si="35"/>
        <v>545.02</v>
      </c>
      <c r="AG47" s="2043">
        <f t="shared" si="35"/>
        <v>0</v>
      </c>
      <c r="AH47" s="2012">
        <f t="shared" si="36"/>
        <v>545.02</v>
      </c>
      <c r="AI47" s="2672">
        <f t="shared" si="28"/>
        <v>6.8691620740017254E-4</v>
      </c>
      <c r="AJ47" s="2673"/>
    </row>
    <row r="48" spans="1:39" ht="24.6" customHeight="1" outlineLevel="2">
      <c r="A48" s="4833"/>
      <c r="B48" s="2713" t="s">
        <v>15</v>
      </c>
      <c r="C48" s="2674">
        <v>1500</v>
      </c>
      <c r="D48" s="2714"/>
      <c r="E48" s="2780">
        <f t="shared" si="29"/>
        <v>1500</v>
      </c>
      <c r="F48" s="2672">
        <f t="shared" si="22"/>
        <v>1.2280446780806801E-3</v>
      </c>
      <c r="G48" s="2051"/>
      <c r="H48" s="2043"/>
      <c r="I48" s="2012">
        <f t="shared" si="30"/>
        <v>0</v>
      </c>
      <c r="J48" s="2672">
        <f t="shared" si="23"/>
        <v>0</v>
      </c>
      <c r="K48" s="2715"/>
      <c r="L48" s="2051"/>
      <c r="M48" s="2043"/>
      <c r="N48" s="2012">
        <f t="shared" si="31"/>
        <v>0</v>
      </c>
      <c r="O48" s="2672">
        <f t="shared" si="24"/>
        <v>0</v>
      </c>
      <c r="P48" s="2715"/>
      <c r="Q48" s="2051"/>
      <c r="R48" s="2043"/>
      <c r="S48" s="2012">
        <f t="shared" si="32"/>
        <v>0</v>
      </c>
      <c r="T48" s="2672">
        <f t="shared" si="25"/>
        <v>0</v>
      </c>
      <c r="U48" s="2046"/>
      <c r="V48" s="2051"/>
      <c r="W48" s="2043"/>
      <c r="X48" s="2012">
        <f t="shared" si="33"/>
        <v>0</v>
      </c>
      <c r="Y48" s="2672" t="e">
        <f t="shared" si="26"/>
        <v>#DIV/0!</v>
      </c>
      <c r="Z48" s="2715"/>
      <c r="AA48" s="2051"/>
      <c r="AB48" s="2043"/>
      <c r="AC48" s="2012">
        <f t="shared" si="34"/>
        <v>0</v>
      </c>
      <c r="AD48" s="2672" t="e">
        <f t="shared" si="27"/>
        <v>#DIV/0!</v>
      </c>
      <c r="AE48" s="2046"/>
      <c r="AF48" s="2043">
        <f t="shared" si="35"/>
        <v>0</v>
      </c>
      <c r="AG48" s="2043">
        <f t="shared" si="35"/>
        <v>0</v>
      </c>
      <c r="AH48" s="2012">
        <f t="shared" si="36"/>
        <v>0</v>
      </c>
      <c r="AI48" s="2672">
        <f t="shared" si="28"/>
        <v>0</v>
      </c>
      <c r="AJ48" s="2673"/>
    </row>
    <row r="49" spans="1:39" s="1396" customFormat="1" ht="24.6" customHeight="1" outlineLevel="2" thickBot="1">
      <c r="A49" s="1405"/>
      <c r="B49" s="2716"/>
      <c r="C49" s="2677"/>
      <c r="D49" s="2717"/>
      <c r="E49" s="2718"/>
      <c r="F49" s="2719"/>
      <c r="G49" s="2051"/>
      <c r="H49" s="2043"/>
      <c r="I49" s="2698"/>
      <c r="J49" s="2672"/>
      <c r="K49" s="2720"/>
      <c r="L49" s="2051"/>
      <c r="M49" s="2043"/>
      <c r="N49" s="2698"/>
      <c r="O49" s="2672"/>
      <c r="P49" s="2720"/>
      <c r="Q49" s="2051"/>
      <c r="R49" s="2043"/>
      <c r="S49" s="2698"/>
      <c r="T49" s="2672"/>
      <c r="U49" s="2720"/>
      <c r="V49" s="2051"/>
      <c r="W49" s="2043"/>
      <c r="X49" s="2698"/>
      <c r="Y49" s="2672" t="e">
        <f>X49/#REF!</f>
        <v>#REF!</v>
      </c>
      <c r="Z49" s="2720"/>
      <c r="AA49" s="2051"/>
      <c r="AB49" s="2043"/>
      <c r="AC49" s="2698"/>
      <c r="AD49" s="2672" t="e">
        <f>AC49/#REF!</f>
        <v>#REF!</v>
      </c>
      <c r="AE49" s="2720"/>
      <c r="AF49" s="2043"/>
      <c r="AG49" s="2043"/>
      <c r="AH49" s="2698"/>
      <c r="AI49" s="2672">
        <f t="shared" si="28"/>
        <v>0</v>
      </c>
      <c r="AJ49" s="2698"/>
      <c r="AL49" s="919"/>
      <c r="AM49" s="919"/>
    </row>
    <row r="50" spans="1:39" s="1396" customFormat="1" ht="24.6" customHeight="1" outlineLevel="1">
      <c r="A50" s="1565"/>
      <c r="B50" s="983" t="s">
        <v>59</v>
      </c>
      <c r="C50" s="2015">
        <f>SUM(C51:C52)</f>
        <v>0</v>
      </c>
      <c r="D50" s="2015">
        <f>SUM(D51:D52)</f>
        <v>0</v>
      </c>
      <c r="E50" s="2015">
        <f>SUM(E51:E52)</f>
        <v>0</v>
      </c>
      <c r="F50" s="1534">
        <f>E50/$E$89</f>
        <v>0</v>
      </c>
      <c r="G50" s="2015">
        <f>G52+G51</f>
        <v>0</v>
      </c>
      <c r="H50" s="2015">
        <f>H52+H51</f>
        <v>0</v>
      </c>
      <c r="I50" s="2015">
        <f>SUM(I51:I52)</f>
        <v>0</v>
      </c>
      <c r="J50" s="2006">
        <f>I50/$I$89</f>
        <v>0</v>
      </c>
      <c r="K50" s="1984"/>
      <c r="L50" s="2015">
        <f>L52+L51</f>
        <v>0</v>
      </c>
      <c r="M50" s="2015">
        <f>M52+M51</f>
        <v>0</v>
      </c>
      <c r="N50" s="2015">
        <f>SUM(N51:N52)</f>
        <v>0</v>
      </c>
      <c r="O50" s="2006">
        <f t="shared" si="24"/>
        <v>0</v>
      </c>
      <c r="P50" s="1984"/>
      <c r="Q50" s="2015">
        <f>Q52+Q51</f>
        <v>0</v>
      </c>
      <c r="R50" s="2015">
        <f>R52+R51</f>
        <v>0</v>
      </c>
      <c r="S50" s="2015">
        <f>SUM(S51:S52)</f>
        <v>0</v>
      </c>
      <c r="T50" s="2006">
        <f t="shared" ref="T50:T52" si="37">S50/S$89</f>
        <v>0</v>
      </c>
      <c r="U50" s="1984"/>
      <c r="V50" s="2015">
        <f>V52+V51</f>
        <v>0</v>
      </c>
      <c r="W50" s="2015">
        <f>W52+W51</f>
        <v>0</v>
      </c>
      <c r="X50" s="2015">
        <f>SUM(X51:X52)</f>
        <v>0</v>
      </c>
      <c r="Y50" s="2006" t="e">
        <f>X50/#REF!</f>
        <v>#REF!</v>
      </c>
      <c r="Z50" s="1984"/>
      <c r="AA50" s="2015">
        <f>AA52+AA51</f>
        <v>0</v>
      </c>
      <c r="AB50" s="2015">
        <f>AB52+AB51</f>
        <v>0</v>
      </c>
      <c r="AC50" s="2015">
        <f>SUM(AC51:AC52)</f>
        <v>0</v>
      </c>
      <c r="AD50" s="2006" t="e">
        <f>AC50/#REF!</f>
        <v>#REF!</v>
      </c>
      <c r="AE50" s="1984"/>
      <c r="AF50" s="2015">
        <f>AF52+AF51</f>
        <v>0</v>
      </c>
      <c r="AG50" s="2015">
        <f>AG52+AG51</f>
        <v>0</v>
      </c>
      <c r="AH50" s="2015">
        <f>SUM(AH51:AH52)</f>
        <v>0</v>
      </c>
      <c r="AI50" s="2006"/>
      <c r="AJ50" s="2006"/>
      <c r="AL50" s="919"/>
      <c r="AM50" s="919"/>
    </row>
    <row r="51" spans="1:39" s="1564" customFormat="1" ht="24.6" customHeight="1" outlineLevel="1">
      <c r="A51" s="1568"/>
      <c r="B51" s="2713" t="s">
        <v>60</v>
      </c>
      <c r="C51" s="2674"/>
      <c r="D51" s="2714"/>
      <c r="E51" s="2714">
        <f>C51+D51</f>
        <v>0</v>
      </c>
      <c r="F51" s="2693">
        <f>E51/$E$89</f>
        <v>0</v>
      </c>
      <c r="G51" s="2051"/>
      <c r="H51" s="2043"/>
      <c r="I51" s="2012">
        <f>G51+H51*1</f>
        <v>0</v>
      </c>
      <c r="J51" s="2672">
        <f>I51/$I$89</f>
        <v>0</v>
      </c>
      <c r="K51" s="2721"/>
      <c r="L51" s="2051"/>
      <c r="M51" s="2043"/>
      <c r="N51" s="2012">
        <f>L51+M51*1</f>
        <v>0</v>
      </c>
      <c r="O51" s="2672">
        <f t="shared" si="24"/>
        <v>0</v>
      </c>
      <c r="P51" s="2721"/>
      <c r="Q51" s="2051"/>
      <c r="R51" s="2043"/>
      <c r="S51" s="2012">
        <f>Q51+R51*1</f>
        <v>0</v>
      </c>
      <c r="T51" s="2672">
        <f t="shared" si="37"/>
        <v>0</v>
      </c>
      <c r="U51" s="2721"/>
      <c r="V51" s="2051"/>
      <c r="W51" s="2043"/>
      <c r="X51" s="2012">
        <f>V51+W51*1</f>
        <v>0</v>
      </c>
      <c r="Y51" s="2672" t="e">
        <f>X51/#REF!</f>
        <v>#REF!</v>
      </c>
      <c r="Z51" s="2721"/>
      <c r="AA51" s="2051"/>
      <c r="AB51" s="2043"/>
      <c r="AC51" s="2012">
        <f>AA51+AB51*1</f>
        <v>0</v>
      </c>
      <c r="AD51" s="2672" t="e">
        <f>AC51/#REF!</f>
        <v>#REF!</v>
      </c>
      <c r="AE51" s="2721"/>
      <c r="AF51" s="2043">
        <f t="shared" ref="AF51:AG52" si="38">G51+L51+Q51</f>
        <v>0</v>
      </c>
      <c r="AG51" s="2043">
        <f t="shared" si="38"/>
        <v>0</v>
      </c>
      <c r="AH51" s="2012">
        <f>AF51+AG51*1</f>
        <v>0</v>
      </c>
      <c r="AI51" s="2672">
        <f>AH51/$AH$89</f>
        <v>0</v>
      </c>
      <c r="AJ51" s="2694"/>
      <c r="AL51" s="922"/>
      <c r="AM51" s="922"/>
    </row>
    <row r="52" spans="1:39" s="1569" customFormat="1" ht="24.6" customHeight="1" outlineLevel="2">
      <c r="A52" s="1568"/>
      <c r="B52" s="2713" t="s">
        <v>61</v>
      </c>
      <c r="C52" s="2674"/>
      <c r="D52" s="2714"/>
      <c r="E52" s="2714">
        <f>C52+D52</f>
        <v>0</v>
      </c>
      <c r="F52" s="2693">
        <f>E52/$E$89</f>
        <v>0</v>
      </c>
      <c r="G52" s="2051"/>
      <c r="H52" s="2043"/>
      <c r="I52" s="2012">
        <f>G52+H52*1</f>
        <v>0</v>
      </c>
      <c r="J52" s="2672">
        <f>I52/$I$89</f>
        <v>0</v>
      </c>
      <c r="K52" s="2046"/>
      <c r="L52" s="2051"/>
      <c r="M52" s="2043"/>
      <c r="N52" s="2012">
        <f>L52+M52*1</f>
        <v>0</v>
      </c>
      <c r="O52" s="2672">
        <f t="shared" si="24"/>
        <v>0</v>
      </c>
      <c r="P52" s="2046"/>
      <c r="Q52" s="2051"/>
      <c r="R52" s="2043"/>
      <c r="S52" s="2012">
        <f>Q52+R52*1</f>
        <v>0</v>
      </c>
      <c r="T52" s="2672">
        <f t="shared" si="37"/>
        <v>0</v>
      </c>
      <c r="U52" s="2046"/>
      <c r="V52" s="2051"/>
      <c r="W52" s="2043"/>
      <c r="X52" s="2012">
        <f>V52+W52*1</f>
        <v>0</v>
      </c>
      <c r="Y52" s="2672" t="e">
        <f>X52/#REF!</f>
        <v>#REF!</v>
      </c>
      <c r="Z52" s="2046"/>
      <c r="AA52" s="2051"/>
      <c r="AB52" s="2043"/>
      <c r="AC52" s="2012">
        <f>AA52+AB52*1</f>
        <v>0</v>
      </c>
      <c r="AD52" s="2672" t="e">
        <f>AC52/#REF!</f>
        <v>#REF!</v>
      </c>
      <c r="AE52" s="2046"/>
      <c r="AF52" s="2043">
        <f t="shared" si="38"/>
        <v>0</v>
      </c>
      <c r="AG52" s="2043">
        <f t="shared" si="38"/>
        <v>0</v>
      </c>
      <c r="AH52" s="2012">
        <f>AF52+AG52*1</f>
        <v>0</v>
      </c>
      <c r="AI52" s="2672">
        <f>AH52/$AH$89</f>
        <v>0</v>
      </c>
      <c r="AJ52" s="2694"/>
      <c r="AL52" s="923"/>
      <c r="AM52" s="923"/>
    </row>
    <row r="53" spans="1:39" ht="24.6" customHeight="1" outlineLevel="1" thickBot="1">
      <c r="A53" s="1413"/>
      <c r="B53" s="2722"/>
      <c r="C53" s="2723"/>
      <c r="D53" s="2724"/>
      <c r="E53" s="2725"/>
      <c r="F53" s="2726"/>
      <c r="G53" s="2051"/>
      <c r="H53" s="2043"/>
      <c r="I53" s="2728"/>
      <c r="J53" s="2728"/>
      <c r="K53" s="2727"/>
      <c r="L53" s="2051"/>
      <c r="M53" s="2043"/>
      <c r="N53" s="2728"/>
      <c r="O53" s="2728"/>
      <c r="P53" s="2727"/>
      <c r="Q53" s="2051"/>
      <c r="R53" s="2043"/>
      <c r="S53" s="2728"/>
      <c r="T53" s="2728"/>
      <c r="U53" s="2727"/>
      <c r="V53" s="2051"/>
      <c r="W53" s="2043"/>
      <c r="X53" s="2728"/>
      <c r="Y53" s="2728"/>
      <c r="Z53" s="2727"/>
      <c r="AA53" s="2051"/>
      <c r="AB53" s="2043"/>
      <c r="AC53" s="2728"/>
      <c r="AD53" s="2728"/>
      <c r="AE53" s="2727"/>
      <c r="AF53" s="2043"/>
      <c r="AG53" s="2043"/>
      <c r="AH53" s="2728"/>
      <c r="AI53" s="2728"/>
      <c r="AJ53" s="2728"/>
    </row>
    <row r="54" spans="1:39" ht="24.6" customHeight="1" outlineLevel="1">
      <c r="A54" s="1570"/>
      <c r="B54" s="983" t="s">
        <v>1</v>
      </c>
      <c r="C54" s="2015">
        <f>SUM(C55:C71)</f>
        <v>19480.5</v>
      </c>
      <c r="D54" s="2015">
        <f>SUM(D55:D71)</f>
        <v>16606.5</v>
      </c>
      <c r="E54" s="1975">
        <f>SUM(E55:E71)</f>
        <v>36087</v>
      </c>
      <c r="F54" s="1534">
        <f>E54/$E$89</f>
        <v>2.9544298865265002E-2</v>
      </c>
      <c r="G54" s="2015">
        <f>SUM(G55:G72)</f>
        <v>0</v>
      </c>
      <c r="H54" s="2015">
        <f>SUM(H55:H72)</f>
        <v>0</v>
      </c>
      <c r="I54" s="2015">
        <f>SUM(I55:I72)</f>
        <v>0</v>
      </c>
      <c r="J54" s="2712">
        <f t="shared" ref="J54:J71" si="39">I54/$I$89</f>
        <v>0</v>
      </c>
      <c r="K54" s="1984"/>
      <c r="L54" s="2015">
        <f>SUM(L55:L72)</f>
        <v>10832.01</v>
      </c>
      <c r="M54" s="2015">
        <f>SUM(M55:M72)</f>
        <v>0</v>
      </c>
      <c r="N54" s="2015">
        <f>SUM(N55:N72)</f>
        <v>10832.01</v>
      </c>
      <c r="O54" s="2712">
        <f t="shared" ref="O54:O71" si="40">N54/$N$89</f>
        <v>1.4361175960625956E-2</v>
      </c>
      <c r="P54" s="1984"/>
      <c r="Q54" s="2015">
        <f>SUM(Q55:Q72)</f>
        <v>0</v>
      </c>
      <c r="R54" s="2015">
        <f>SUM(R55:R72)</f>
        <v>0</v>
      </c>
      <c r="S54" s="2015">
        <f>SUM(S55:S72)</f>
        <v>0</v>
      </c>
      <c r="T54" s="2712">
        <f t="shared" ref="T54:T71" si="41">S54/S$89</f>
        <v>0</v>
      </c>
      <c r="U54" s="1984"/>
      <c r="V54" s="2015">
        <f>SUM(V55:V72)</f>
        <v>0</v>
      </c>
      <c r="W54" s="2015">
        <f>SUM(W55:W72)</f>
        <v>0</v>
      </c>
      <c r="X54" s="2015">
        <f>SUM(X55:X72)</f>
        <v>0</v>
      </c>
      <c r="Y54" s="2712" t="e">
        <f t="shared" ref="Y54:Y71" si="42">X54/$X$89</f>
        <v>#DIV/0!</v>
      </c>
      <c r="Z54" s="1984"/>
      <c r="AA54" s="2015">
        <f>SUM(AA55:AA72)</f>
        <v>0</v>
      </c>
      <c r="AB54" s="2015">
        <f>SUM(AB55:AB72)</f>
        <v>0</v>
      </c>
      <c r="AC54" s="2015">
        <f>SUM(AC55:AC72)</f>
        <v>0</v>
      </c>
      <c r="AD54" s="2712" t="e">
        <f t="shared" ref="AD54:AD71" si="43">AC54/$AC$89</f>
        <v>#DIV/0!</v>
      </c>
      <c r="AE54" s="1984"/>
      <c r="AF54" s="2015">
        <f>SUM(AF55:AF72)</f>
        <v>10832.01</v>
      </c>
      <c r="AG54" s="2015">
        <f>SUM(AG55:AG72)</f>
        <v>0</v>
      </c>
      <c r="AH54" s="2015">
        <f>SUM(AH55:AH72)</f>
        <v>10832.01</v>
      </c>
      <c r="AI54" s="2712">
        <f t="shared" ref="AI54:AI71" si="44">AH54/$AH$89</f>
        <v>1.3652128780082829E-2</v>
      </c>
      <c r="AJ54" s="2006"/>
    </row>
    <row r="55" spans="1:39" ht="24.6" customHeight="1" outlineLevel="2">
      <c r="A55" s="1571"/>
      <c r="B55" s="2690" t="s">
        <v>77</v>
      </c>
      <c r="C55" s="2674"/>
      <c r="D55" s="2729"/>
      <c r="E55" s="2780">
        <f t="shared" ref="E55:E71" si="45">C55+D55</f>
        <v>0</v>
      </c>
      <c r="F55" s="2672">
        <f>E55/$E$89</f>
        <v>0</v>
      </c>
      <c r="G55" s="2011"/>
      <c r="H55" s="2045"/>
      <c r="I55" s="2012">
        <f t="shared" ref="I55:I71" si="46">G55+H55*1</f>
        <v>0</v>
      </c>
      <c r="J55" s="2672">
        <f t="shared" si="39"/>
        <v>0</v>
      </c>
      <c r="K55" s="2046"/>
      <c r="L55" s="2011"/>
      <c r="M55" s="2045"/>
      <c r="N55" s="2012">
        <f t="shared" ref="N55:N71" si="47">L55+M55*1</f>
        <v>0</v>
      </c>
      <c r="O55" s="2672">
        <f t="shared" si="40"/>
        <v>0</v>
      </c>
      <c r="P55" s="2046"/>
      <c r="Q55" s="2011"/>
      <c r="R55" s="2045"/>
      <c r="S55" s="2012">
        <f t="shared" ref="S55:S62" si="48">Q55+R55*1</f>
        <v>0</v>
      </c>
      <c r="T55" s="2672">
        <f t="shared" si="41"/>
        <v>0</v>
      </c>
      <c r="U55" s="2046"/>
      <c r="V55" s="2011"/>
      <c r="W55" s="2045"/>
      <c r="X55" s="2012">
        <f t="shared" ref="X55:X71" si="49">V55+W55*1</f>
        <v>0</v>
      </c>
      <c r="Y55" s="2672" t="e">
        <f t="shared" si="42"/>
        <v>#DIV/0!</v>
      </c>
      <c r="Z55" s="2046"/>
      <c r="AA55" s="2011"/>
      <c r="AB55" s="2045"/>
      <c r="AC55" s="2012">
        <f t="shared" ref="AC55:AC71" si="50">AA55+AB55*1</f>
        <v>0</v>
      </c>
      <c r="AD55" s="2672" t="e">
        <f t="shared" si="43"/>
        <v>#DIV/0!</v>
      </c>
      <c r="AE55" s="2046"/>
      <c r="AF55" s="2043">
        <f t="shared" ref="AF55:AG71" si="51">G55+L55+Q55</f>
        <v>0</v>
      </c>
      <c r="AG55" s="2043">
        <f t="shared" si="51"/>
        <v>0</v>
      </c>
      <c r="AH55" s="2012">
        <f t="shared" ref="AH55:AH71" si="52">AF55+AG55*1</f>
        <v>0</v>
      </c>
      <c r="AI55" s="2672">
        <f t="shared" si="44"/>
        <v>0</v>
      </c>
      <c r="AJ55" s="2673"/>
    </row>
    <row r="56" spans="1:39" ht="24.6" customHeight="1" outlineLevel="2">
      <c r="A56" s="1571"/>
      <c r="B56" s="2690" t="s">
        <v>76</v>
      </c>
      <c r="C56" s="2674"/>
      <c r="D56" s="2729"/>
      <c r="E56" s="2780">
        <f t="shared" si="45"/>
        <v>0</v>
      </c>
      <c r="F56" s="2672">
        <f t="shared" ref="F56:F72" si="53">E56/$E$89</f>
        <v>0</v>
      </c>
      <c r="G56" s="2011"/>
      <c r="H56" s="2045"/>
      <c r="I56" s="2012">
        <f t="shared" si="46"/>
        <v>0</v>
      </c>
      <c r="J56" s="2672">
        <f t="shared" si="39"/>
        <v>0</v>
      </c>
      <c r="K56" s="2046"/>
      <c r="L56" s="2011"/>
      <c r="M56" s="2045"/>
      <c r="N56" s="2012">
        <f t="shared" si="47"/>
        <v>0</v>
      </c>
      <c r="O56" s="2672">
        <f t="shared" si="40"/>
        <v>0</v>
      </c>
      <c r="P56" s="2046"/>
      <c r="Q56" s="2011"/>
      <c r="R56" s="2045"/>
      <c r="S56" s="2012">
        <f t="shared" si="48"/>
        <v>0</v>
      </c>
      <c r="T56" s="2672">
        <f t="shared" si="41"/>
        <v>0</v>
      </c>
      <c r="U56" s="2046"/>
      <c r="V56" s="2011"/>
      <c r="W56" s="2045"/>
      <c r="X56" s="2012">
        <f t="shared" si="49"/>
        <v>0</v>
      </c>
      <c r="Y56" s="2672" t="e">
        <f t="shared" si="42"/>
        <v>#DIV/0!</v>
      </c>
      <c r="Z56" s="2046"/>
      <c r="AA56" s="2011"/>
      <c r="AB56" s="2045"/>
      <c r="AC56" s="2012">
        <f t="shared" si="50"/>
        <v>0</v>
      </c>
      <c r="AD56" s="2672" t="e">
        <f t="shared" si="43"/>
        <v>#DIV/0!</v>
      </c>
      <c r="AE56" s="2046"/>
      <c r="AF56" s="2043">
        <f t="shared" si="51"/>
        <v>0</v>
      </c>
      <c r="AG56" s="2043">
        <f t="shared" si="51"/>
        <v>0</v>
      </c>
      <c r="AH56" s="2012">
        <f t="shared" si="52"/>
        <v>0</v>
      </c>
      <c r="AI56" s="2672">
        <f t="shared" si="44"/>
        <v>0</v>
      </c>
      <c r="AJ56" s="2673"/>
    </row>
    <row r="57" spans="1:39" ht="24.6" customHeight="1" outlineLevel="2">
      <c r="A57" s="1571"/>
      <c r="B57" s="2690" t="s">
        <v>68</v>
      </c>
      <c r="C57" s="2674"/>
      <c r="D57" s="2729"/>
      <c r="E57" s="2780">
        <f t="shared" si="45"/>
        <v>0</v>
      </c>
      <c r="F57" s="2672">
        <f t="shared" si="53"/>
        <v>0</v>
      </c>
      <c r="G57" s="2011"/>
      <c r="H57" s="2045"/>
      <c r="I57" s="2012">
        <f t="shared" si="46"/>
        <v>0</v>
      </c>
      <c r="J57" s="2672">
        <f t="shared" si="39"/>
        <v>0</v>
      </c>
      <c r="K57" s="2046"/>
      <c r="L57" s="2011"/>
      <c r="M57" s="2045"/>
      <c r="N57" s="2012">
        <f t="shared" si="47"/>
        <v>0</v>
      </c>
      <c r="O57" s="2672">
        <f t="shared" si="40"/>
        <v>0</v>
      </c>
      <c r="P57" s="2046"/>
      <c r="Q57" s="2011"/>
      <c r="R57" s="2045"/>
      <c r="S57" s="2012">
        <f t="shared" si="48"/>
        <v>0</v>
      </c>
      <c r="T57" s="2672">
        <f t="shared" si="41"/>
        <v>0</v>
      </c>
      <c r="U57" s="2046"/>
      <c r="V57" s="2011"/>
      <c r="W57" s="2045"/>
      <c r="X57" s="2012">
        <f t="shared" si="49"/>
        <v>0</v>
      </c>
      <c r="Y57" s="2672" t="e">
        <f t="shared" si="42"/>
        <v>#DIV/0!</v>
      </c>
      <c r="Z57" s="2046"/>
      <c r="AA57" s="2011"/>
      <c r="AB57" s="2045"/>
      <c r="AC57" s="2012">
        <f t="shared" si="50"/>
        <v>0</v>
      </c>
      <c r="AD57" s="2672" t="e">
        <f t="shared" si="43"/>
        <v>#DIV/0!</v>
      </c>
      <c r="AE57" s="2046"/>
      <c r="AF57" s="2043">
        <f t="shared" si="51"/>
        <v>0</v>
      </c>
      <c r="AG57" s="2043">
        <f t="shared" si="51"/>
        <v>0</v>
      </c>
      <c r="AH57" s="2012">
        <f t="shared" si="52"/>
        <v>0</v>
      </c>
      <c r="AI57" s="2672">
        <f t="shared" si="44"/>
        <v>0</v>
      </c>
      <c r="AJ57" s="2673"/>
    </row>
    <row r="58" spans="1:39" ht="24.6" customHeight="1" outlineLevel="2">
      <c r="A58" s="1571"/>
      <c r="B58" s="2690" t="s">
        <v>67</v>
      </c>
      <c r="C58" s="2674">
        <v>5393.5</v>
      </c>
      <c r="D58" s="2729">
        <v>14606.5</v>
      </c>
      <c r="E58" s="2780">
        <f t="shared" si="45"/>
        <v>20000</v>
      </c>
      <c r="F58" s="2672">
        <f t="shared" si="53"/>
        <v>1.6373929041075735E-2</v>
      </c>
      <c r="G58" s="2011"/>
      <c r="H58" s="2045"/>
      <c r="I58" s="2012">
        <f t="shared" si="46"/>
        <v>0</v>
      </c>
      <c r="J58" s="2672">
        <f t="shared" si="39"/>
        <v>0</v>
      </c>
      <c r="K58" s="2046"/>
      <c r="L58" s="2011"/>
      <c r="M58" s="2045"/>
      <c r="N58" s="2012">
        <f t="shared" si="47"/>
        <v>0</v>
      </c>
      <c r="O58" s="2672">
        <f t="shared" si="40"/>
        <v>0</v>
      </c>
      <c r="P58" s="2046"/>
      <c r="Q58" s="2011"/>
      <c r="R58" s="2045"/>
      <c r="S58" s="2012">
        <f t="shared" si="48"/>
        <v>0</v>
      </c>
      <c r="T58" s="2672">
        <f t="shared" si="41"/>
        <v>0</v>
      </c>
      <c r="U58" s="2046"/>
      <c r="V58" s="2011"/>
      <c r="W58" s="2045"/>
      <c r="X58" s="2012">
        <f t="shared" si="49"/>
        <v>0</v>
      </c>
      <c r="Y58" s="2672" t="e">
        <f t="shared" si="42"/>
        <v>#DIV/0!</v>
      </c>
      <c r="Z58" s="2046"/>
      <c r="AA58" s="2011"/>
      <c r="AB58" s="2045"/>
      <c r="AC58" s="2012">
        <f t="shared" si="50"/>
        <v>0</v>
      </c>
      <c r="AD58" s="2672" t="e">
        <f t="shared" si="43"/>
        <v>#DIV/0!</v>
      </c>
      <c r="AE58" s="2046"/>
      <c r="AF58" s="2043">
        <f t="shared" si="51"/>
        <v>0</v>
      </c>
      <c r="AG58" s="2043">
        <f t="shared" si="51"/>
        <v>0</v>
      </c>
      <c r="AH58" s="2012">
        <f t="shared" si="52"/>
        <v>0</v>
      </c>
      <c r="AI58" s="2672">
        <f t="shared" si="44"/>
        <v>0</v>
      </c>
      <c r="AJ58" s="2673"/>
    </row>
    <row r="59" spans="1:39" ht="24.6" customHeight="1" outlineLevel="2">
      <c r="A59" s="1571"/>
      <c r="B59" s="2690" t="s">
        <v>66</v>
      </c>
      <c r="C59" s="2674">
        <v>2613</v>
      </c>
      <c r="D59" s="2729"/>
      <c r="E59" s="2780">
        <f t="shared" si="45"/>
        <v>2613</v>
      </c>
      <c r="F59" s="2672">
        <f t="shared" si="53"/>
        <v>2.1392538292165446E-3</v>
      </c>
      <c r="G59" s="2011"/>
      <c r="H59" s="2045"/>
      <c r="I59" s="2012">
        <f t="shared" si="46"/>
        <v>0</v>
      </c>
      <c r="J59" s="2672">
        <f t="shared" si="39"/>
        <v>0</v>
      </c>
      <c r="K59" s="2046"/>
      <c r="L59" s="2011"/>
      <c r="M59" s="2045"/>
      <c r="N59" s="2012">
        <f t="shared" si="47"/>
        <v>0</v>
      </c>
      <c r="O59" s="2672">
        <f t="shared" si="40"/>
        <v>0</v>
      </c>
      <c r="P59" s="2046"/>
      <c r="Q59" s="2011"/>
      <c r="R59" s="2045"/>
      <c r="S59" s="2012">
        <f t="shared" si="48"/>
        <v>0</v>
      </c>
      <c r="T59" s="2672">
        <f t="shared" si="41"/>
        <v>0</v>
      </c>
      <c r="U59" s="2046"/>
      <c r="V59" s="2011"/>
      <c r="W59" s="2045"/>
      <c r="X59" s="2012">
        <f t="shared" si="49"/>
        <v>0</v>
      </c>
      <c r="Y59" s="2672" t="e">
        <f t="shared" si="42"/>
        <v>#DIV/0!</v>
      </c>
      <c r="Z59" s="2046"/>
      <c r="AA59" s="2011"/>
      <c r="AB59" s="2045"/>
      <c r="AC59" s="2012">
        <f t="shared" si="50"/>
        <v>0</v>
      </c>
      <c r="AD59" s="2672" t="e">
        <f t="shared" si="43"/>
        <v>#DIV/0!</v>
      </c>
      <c r="AE59" s="2046"/>
      <c r="AF59" s="2043">
        <f t="shared" si="51"/>
        <v>0</v>
      </c>
      <c r="AG59" s="2043">
        <f t="shared" si="51"/>
        <v>0</v>
      </c>
      <c r="AH59" s="2012">
        <f t="shared" si="52"/>
        <v>0</v>
      </c>
      <c r="AI59" s="2672">
        <f t="shared" si="44"/>
        <v>0</v>
      </c>
      <c r="AJ59" s="2673"/>
    </row>
    <row r="60" spans="1:39" ht="24.6" customHeight="1" outlineLevel="2">
      <c r="A60" s="1571"/>
      <c r="B60" s="2690" t="s">
        <v>65</v>
      </c>
      <c r="C60" s="2674">
        <v>1474</v>
      </c>
      <c r="D60" s="2729"/>
      <c r="E60" s="2780">
        <f t="shared" si="45"/>
        <v>1474</v>
      </c>
      <c r="F60" s="2672">
        <f t="shared" si="53"/>
        <v>1.2067585703272818E-3</v>
      </c>
      <c r="G60" s="2011"/>
      <c r="H60" s="2045"/>
      <c r="I60" s="2012">
        <f t="shared" si="46"/>
        <v>0</v>
      </c>
      <c r="J60" s="2672">
        <f t="shared" si="39"/>
        <v>0</v>
      </c>
      <c r="K60" s="2046"/>
      <c r="L60" s="2011"/>
      <c r="M60" s="2045"/>
      <c r="N60" s="2012">
        <f t="shared" si="47"/>
        <v>0</v>
      </c>
      <c r="O60" s="2672">
        <f t="shared" si="40"/>
        <v>0</v>
      </c>
      <c r="P60" s="2046"/>
      <c r="Q60" s="2011"/>
      <c r="R60" s="2045"/>
      <c r="S60" s="2012">
        <f t="shared" si="48"/>
        <v>0</v>
      </c>
      <c r="T60" s="2672">
        <f t="shared" si="41"/>
        <v>0</v>
      </c>
      <c r="U60" s="2046"/>
      <c r="V60" s="2011"/>
      <c r="W60" s="2045"/>
      <c r="X60" s="2012">
        <f t="shared" si="49"/>
        <v>0</v>
      </c>
      <c r="Y60" s="2672" t="e">
        <f t="shared" si="42"/>
        <v>#DIV/0!</v>
      </c>
      <c r="Z60" s="2046"/>
      <c r="AA60" s="2011"/>
      <c r="AB60" s="2045"/>
      <c r="AC60" s="2012">
        <f t="shared" si="50"/>
        <v>0</v>
      </c>
      <c r="AD60" s="2672" t="e">
        <f t="shared" si="43"/>
        <v>#DIV/0!</v>
      </c>
      <c r="AE60" s="2046"/>
      <c r="AF60" s="2043">
        <f t="shared" si="51"/>
        <v>0</v>
      </c>
      <c r="AG60" s="2043">
        <f t="shared" si="51"/>
        <v>0</v>
      </c>
      <c r="AH60" s="2012">
        <f t="shared" si="52"/>
        <v>0</v>
      </c>
      <c r="AI60" s="2672">
        <f t="shared" si="44"/>
        <v>0</v>
      </c>
      <c r="AJ60" s="2673"/>
    </row>
    <row r="61" spans="1:39" ht="24.6" customHeight="1" outlineLevel="2">
      <c r="A61" s="1571"/>
      <c r="B61" s="2690" t="s">
        <v>32</v>
      </c>
      <c r="C61" s="2674"/>
      <c r="D61" s="2729"/>
      <c r="E61" s="2780">
        <f t="shared" si="45"/>
        <v>0</v>
      </c>
      <c r="F61" s="2672">
        <f t="shared" si="53"/>
        <v>0</v>
      </c>
      <c r="G61" s="2011"/>
      <c r="H61" s="2045"/>
      <c r="I61" s="2012">
        <f t="shared" si="46"/>
        <v>0</v>
      </c>
      <c r="J61" s="2672">
        <f t="shared" si="39"/>
        <v>0</v>
      </c>
      <c r="K61" s="2046"/>
      <c r="L61" s="2011"/>
      <c r="M61" s="2045"/>
      <c r="N61" s="2012">
        <f t="shared" si="47"/>
        <v>0</v>
      </c>
      <c r="O61" s="2672">
        <f t="shared" si="40"/>
        <v>0</v>
      </c>
      <c r="P61" s="2046"/>
      <c r="Q61" s="2011"/>
      <c r="R61" s="2045"/>
      <c r="S61" s="2012">
        <f t="shared" si="48"/>
        <v>0</v>
      </c>
      <c r="T61" s="2672">
        <f t="shared" si="41"/>
        <v>0</v>
      </c>
      <c r="U61" s="2046"/>
      <c r="V61" s="2011"/>
      <c r="W61" s="2045"/>
      <c r="X61" s="2012">
        <f t="shared" si="49"/>
        <v>0</v>
      </c>
      <c r="Y61" s="2672" t="e">
        <f t="shared" si="42"/>
        <v>#DIV/0!</v>
      </c>
      <c r="Z61" s="2046"/>
      <c r="AA61" s="2011"/>
      <c r="AB61" s="2045"/>
      <c r="AC61" s="2012">
        <f t="shared" si="50"/>
        <v>0</v>
      </c>
      <c r="AD61" s="2672" t="e">
        <f t="shared" si="43"/>
        <v>#DIV/0!</v>
      </c>
      <c r="AE61" s="2046"/>
      <c r="AF61" s="2043">
        <f t="shared" si="51"/>
        <v>0</v>
      </c>
      <c r="AG61" s="2043">
        <f t="shared" si="51"/>
        <v>0</v>
      </c>
      <c r="AH61" s="2012">
        <f t="shared" si="52"/>
        <v>0</v>
      </c>
      <c r="AI61" s="2672">
        <f t="shared" si="44"/>
        <v>0</v>
      </c>
      <c r="AJ61" s="2673"/>
    </row>
    <row r="62" spans="1:39" ht="24.6" customHeight="1" outlineLevel="2">
      <c r="A62" s="1571"/>
      <c r="B62" s="2690" t="s">
        <v>33</v>
      </c>
      <c r="C62" s="2731"/>
      <c r="D62" s="2729"/>
      <c r="E62" s="2780">
        <f t="shared" si="45"/>
        <v>0</v>
      </c>
      <c r="F62" s="2672">
        <f t="shared" si="53"/>
        <v>0</v>
      </c>
      <c r="G62" s="2011"/>
      <c r="H62" s="2045"/>
      <c r="I62" s="2012">
        <f t="shared" si="46"/>
        <v>0</v>
      </c>
      <c r="J62" s="2672">
        <f t="shared" si="39"/>
        <v>0</v>
      </c>
      <c r="K62" s="2046"/>
      <c r="L62" s="2011"/>
      <c r="M62" s="2045"/>
      <c r="N62" s="2012">
        <f t="shared" si="47"/>
        <v>0</v>
      </c>
      <c r="O62" s="2672">
        <f t="shared" si="40"/>
        <v>0</v>
      </c>
      <c r="P62" s="2046"/>
      <c r="Q62" s="2011"/>
      <c r="R62" s="2045"/>
      <c r="S62" s="2012">
        <f t="shared" si="48"/>
        <v>0</v>
      </c>
      <c r="T62" s="2672">
        <f t="shared" si="41"/>
        <v>0</v>
      </c>
      <c r="U62" s="2046"/>
      <c r="V62" s="2011"/>
      <c r="W62" s="2045"/>
      <c r="X62" s="2012">
        <f t="shared" si="49"/>
        <v>0</v>
      </c>
      <c r="Y62" s="2672" t="e">
        <f t="shared" si="42"/>
        <v>#DIV/0!</v>
      </c>
      <c r="Z62" s="2046"/>
      <c r="AA62" s="2011"/>
      <c r="AB62" s="2045"/>
      <c r="AC62" s="2012">
        <f t="shared" si="50"/>
        <v>0</v>
      </c>
      <c r="AD62" s="2672" t="e">
        <f t="shared" si="43"/>
        <v>#DIV/0!</v>
      </c>
      <c r="AE62" s="2046"/>
      <c r="AF62" s="2043">
        <f t="shared" si="51"/>
        <v>0</v>
      </c>
      <c r="AG62" s="2043">
        <f t="shared" si="51"/>
        <v>0</v>
      </c>
      <c r="AH62" s="2012">
        <f t="shared" si="52"/>
        <v>0</v>
      </c>
      <c r="AI62" s="2672">
        <f t="shared" si="44"/>
        <v>0</v>
      </c>
      <c r="AJ62" s="2673"/>
    </row>
    <row r="63" spans="1:39" ht="24.6" customHeight="1" outlineLevel="2">
      <c r="A63" s="1571"/>
      <c r="B63" s="2690" t="s">
        <v>35</v>
      </c>
      <c r="C63" s="2731">
        <v>10000</v>
      </c>
      <c r="D63" s="2729"/>
      <c r="E63" s="2780">
        <f t="shared" si="45"/>
        <v>10000</v>
      </c>
      <c r="F63" s="2672">
        <f t="shared" si="53"/>
        <v>8.1869645205378677E-3</v>
      </c>
      <c r="G63" s="2011"/>
      <c r="H63" s="2730"/>
      <c r="I63" s="2012">
        <f t="shared" si="46"/>
        <v>0</v>
      </c>
      <c r="J63" s="2672">
        <f t="shared" si="39"/>
        <v>0</v>
      </c>
      <c r="K63" s="2046"/>
      <c r="L63" s="2011">
        <v>10832.01</v>
      </c>
      <c r="M63" s="2730"/>
      <c r="N63" s="2012">
        <f t="shared" si="47"/>
        <v>10832.01</v>
      </c>
      <c r="O63" s="2672">
        <f t="shared" si="40"/>
        <v>1.4361175960625956E-2</v>
      </c>
      <c r="P63" s="2046" t="s">
        <v>1397</v>
      </c>
      <c r="Q63" s="2011"/>
      <c r="R63" s="2730"/>
      <c r="S63" s="2012">
        <f>Q63+R63*1</f>
        <v>0</v>
      </c>
      <c r="T63" s="2672">
        <f t="shared" si="41"/>
        <v>0</v>
      </c>
      <c r="U63" s="2046"/>
      <c r="V63" s="2011"/>
      <c r="W63" s="2730"/>
      <c r="X63" s="2012">
        <f t="shared" si="49"/>
        <v>0</v>
      </c>
      <c r="Y63" s="2672" t="e">
        <f t="shared" si="42"/>
        <v>#DIV/0!</v>
      </c>
      <c r="Z63" s="2046"/>
      <c r="AA63" s="2011"/>
      <c r="AB63" s="2730"/>
      <c r="AC63" s="2012">
        <f t="shared" si="50"/>
        <v>0</v>
      </c>
      <c r="AD63" s="2672" t="e">
        <f t="shared" si="43"/>
        <v>#DIV/0!</v>
      </c>
      <c r="AE63" s="2046"/>
      <c r="AF63" s="2043">
        <f t="shared" si="51"/>
        <v>10832.01</v>
      </c>
      <c r="AG63" s="2043">
        <f t="shared" si="51"/>
        <v>0</v>
      </c>
      <c r="AH63" s="2012">
        <f t="shared" si="52"/>
        <v>10832.01</v>
      </c>
      <c r="AI63" s="2672">
        <f t="shared" si="44"/>
        <v>1.3652128780082829E-2</v>
      </c>
      <c r="AJ63" s="2673"/>
    </row>
    <row r="64" spans="1:39" ht="24.6" customHeight="1" outlineLevel="2">
      <c r="A64" s="1571"/>
      <c r="B64" s="2690" t="s">
        <v>63</v>
      </c>
      <c r="C64" s="2731"/>
      <c r="D64" s="2729"/>
      <c r="E64" s="2780">
        <f t="shared" si="45"/>
        <v>0</v>
      </c>
      <c r="F64" s="2672">
        <f t="shared" si="53"/>
        <v>0</v>
      </c>
      <c r="G64" s="2011"/>
      <c r="H64" s="2045"/>
      <c r="I64" s="2012">
        <f t="shared" si="46"/>
        <v>0</v>
      </c>
      <c r="J64" s="2672">
        <f t="shared" si="39"/>
        <v>0</v>
      </c>
      <c r="K64" s="2046"/>
      <c r="L64" s="2011"/>
      <c r="M64" s="2045"/>
      <c r="N64" s="2012">
        <f t="shared" si="47"/>
        <v>0</v>
      </c>
      <c r="O64" s="2672">
        <f t="shared" si="40"/>
        <v>0</v>
      </c>
      <c r="P64" s="2046"/>
      <c r="Q64" s="2011"/>
      <c r="R64" s="2045"/>
      <c r="S64" s="2012">
        <f>Q64+R64*1</f>
        <v>0</v>
      </c>
      <c r="T64" s="2672">
        <f t="shared" si="41"/>
        <v>0</v>
      </c>
      <c r="U64" s="2046"/>
      <c r="V64" s="2011"/>
      <c r="W64" s="2045"/>
      <c r="X64" s="2012">
        <f t="shared" si="49"/>
        <v>0</v>
      </c>
      <c r="Y64" s="2672" t="e">
        <f t="shared" si="42"/>
        <v>#DIV/0!</v>
      </c>
      <c r="Z64" s="2046"/>
      <c r="AA64" s="2011"/>
      <c r="AB64" s="2045"/>
      <c r="AC64" s="2012">
        <f t="shared" si="50"/>
        <v>0</v>
      </c>
      <c r="AD64" s="2672" t="e">
        <f t="shared" si="43"/>
        <v>#DIV/0!</v>
      </c>
      <c r="AE64" s="2046"/>
      <c r="AF64" s="2043">
        <f t="shared" si="51"/>
        <v>0</v>
      </c>
      <c r="AG64" s="2043">
        <f t="shared" si="51"/>
        <v>0</v>
      </c>
      <c r="AH64" s="2012">
        <f t="shared" si="52"/>
        <v>0</v>
      </c>
      <c r="AI64" s="2672">
        <f t="shared" si="44"/>
        <v>0</v>
      </c>
      <c r="AJ64" s="2673"/>
    </row>
    <row r="65" spans="1:39" ht="24.6" customHeight="1" outlineLevel="2">
      <c r="A65" s="1571"/>
      <c r="B65" s="2690" t="s">
        <v>36</v>
      </c>
      <c r="C65" s="2731"/>
      <c r="D65" s="2729"/>
      <c r="E65" s="2780">
        <f t="shared" si="45"/>
        <v>0</v>
      </c>
      <c r="F65" s="2672">
        <f t="shared" si="53"/>
        <v>0</v>
      </c>
      <c r="G65" s="2051"/>
      <c r="H65" s="2045"/>
      <c r="I65" s="2012">
        <f t="shared" si="46"/>
        <v>0</v>
      </c>
      <c r="J65" s="2672">
        <f t="shared" si="39"/>
        <v>0</v>
      </c>
      <c r="K65" s="2046"/>
      <c r="L65" s="2011"/>
      <c r="M65" s="2045"/>
      <c r="N65" s="2012">
        <f t="shared" si="47"/>
        <v>0</v>
      </c>
      <c r="O65" s="2672">
        <f t="shared" si="40"/>
        <v>0</v>
      </c>
      <c r="P65" s="2046"/>
      <c r="Q65" s="2045"/>
      <c r="R65" s="2045"/>
      <c r="S65" s="2012">
        <f t="shared" ref="S65:S71" si="54">Q65+R65*1</f>
        <v>0</v>
      </c>
      <c r="T65" s="2672">
        <f t="shared" si="41"/>
        <v>0</v>
      </c>
      <c r="U65" s="2046"/>
      <c r="V65" s="2011"/>
      <c r="W65" s="2045"/>
      <c r="X65" s="2012">
        <f t="shared" si="49"/>
        <v>0</v>
      </c>
      <c r="Y65" s="2672" t="e">
        <f t="shared" si="42"/>
        <v>#DIV/0!</v>
      </c>
      <c r="Z65" s="2046"/>
      <c r="AA65" s="2011"/>
      <c r="AB65" s="2045"/>
      <c r="AC65" s="2012">
        <f t="shared" si="50"/>
        <v>0</v>
      </c>
      <c r="AD65" s="2672" t="e">
        <f t="shared" si="43"/>
        <v>#DIV/0!</v>
      </c>
      <c r="AE65" s="2046"/>
      <c r="AF65" s="2043">
        <f t="shared" si="51"/>
        <v>0</v>
      </c>
      <c r="AG65" s="2043">
        <f t="shared" si="51"/>
        <v>0</v>
      </c>
      <c r="AH65" s="2012">
        <f t="shared" si="52"/>
        <v>0</v>
      </c>
      <c r="AI65" s="2672">
        <f t="shared" si="44"/>
        <v>0</v>
      </c>
      <c r="AJ65" s="2673"/>
    </row>
    <row r="66" spans="1:39" s="1396" customFormat="1" ht="24.6" customHeight="1" outlineLevel="2">
      <c r="A66" s="1571"/>
      <c r="B66" s="2690" t="s">
        <v>37</v>
      </c>
      <c r="C66" s="2731"/>
      <c r="D66" s="2729"/>
      <c r="E66" s="2780">
        <f t="shared" si="45"/>
        <v>0</v>
      </c>
      <c r="F66" s="2672">
        <f t="shared" si="53"/>
        <v>0</v>
      </c>
      <c r="G66" s="2051"/>
      <c r="H66" s="2043"/>
      <c r="I66" s="2012">
        <f t="shared" si="46"/>
        <v>0</v>
      </c>
      <c r="J66" s="2672">
        <f t="shared" si="39"/>
        <v>0</v>
      </c>
      <c r="K66" s="2046"/>
      <c r="L66" s="2011"/>
      <c r="M66" s="2045"/>
      <c r="N66" s="2012">
        <f t="shared" si="47"/>
        <v>0</v>
      </c>
      <c r="O66" s="2672">
        <f t="shared" si="40"/>
        <v>0</v>
      </c>
      <c r="P66" s="2046"/>
      <c r="Q66" s="2011"/>
      <c r="R66" s="2043"/>
      <c r="S66" s="2012">
        <f t="shared" si="54"/>
        <v>0</v>
      </c>
      <c r="T66" s="2672">
        <f t="shared" si="41"/>
        <v>0</v>
      </c>
      <c r="U66" s="2046"/>
      <c r="V66" s="2011"/>
      <c r="W66" s="2043"/>
      <c r="X66" s="2012">
        <f t="shared" si="49"/>
        <v>0</v>
      </c>
      <c r="Y66" s="2672" t="e">
        <f t="shared" si="42"/>
        <v>#DIV/0!</v>
      </c>
      <c r="Z66" s="2046"/>
      <c r="AA66" s="2011"/>
      <c r="AB66" s="2043"/>
      <c r="AC66" s="2012">
        <f t="shared" si="50"/>
        <v>0</v>
      </c>
      <c r="AD66" s="2672" t="e">
        <f t="shared" si="43"/>
        <v>#DIV/0!</v>
      </c>
      <c r="AE66" s="2046"/>
      <c r="AF66" s="2043">
        <f t="shared" si="51"/>
        <v>0</v>
      </c>
      <c r="AG66" s="2043">
        <f t="shared" si="51"/>
        <v>0</v>
      </c>
      <c r="AH66" s="2012">
        <f t="shared" si="52"/>
        <v>0</v>
      </c>
      <c r="AI66" s="2672">
        <f t="shared" si="44"/>
        <v>0</v>
      </c>
      <c r="AJ66" s="2673"/>
      <c r="AL66" s="919"/>
      <c r="AM66" s="919"/>
    </row>
    <row r="67" spans="1:39" s="1396" customFormat="1" ht="24.6" customHeight="1" outlineLevel="2">
      <c r="A67" s="1571"/>
      <c r="B67" s="2690" t="s">
        <v>3</v>
      </c>
      <c r="C67" s="2731"/>
      <c r="D67" s="2729"/>
      <c r="E67" s="2780">
        <f t="shared" si="45"/>
        <v>0</v>
      </c>
      <c r="F67" s="2672">
        <f t="shared" si="53"/>
        <v>0</v>
      </c>
      <c r="G67" s="2051"/>
      <c r="H67" s="2051"/>
      <c r="I67" s="2012">
        <f t="shared" si="46"/>
        <v>0</v>
      </c>
      <c r="J67" s="2672">
        <f t="shared" si="39"/>
        <v>0</v>
      </c>
      <c r="K67" s="2046"/>
      <c r="L67" s="2011"/>
      <c r="M67" s="2045"/>
      <c r="N67" s="2012">
        <f t="shared" si="47"/>
        <v>0</v>
      </c>
      <c r="O67" s="2672">
        <f t="shared" si="40"/>
        <v>0</v>
      </c>
      <c r="P67" s="2046"/>
      <c r="Q67" s="2011"/>
      <c r="R67" s="2011"/>
      <c r="S67" s="2012">
        <f t="shared" si="54"/>
        <v>0</v>
      </c>
      <c r="T67" s="2672">
        <f t="shared" si="41"/>
        <v>0</v>
      </c>
      <c r="U67" s="2046"/>
      <c r="V67" s="2011"/>
      <c r="W67" s="2011"/>
      <c r="X67" s="2012">
        <f t="shared" si="49"/>
        <v>0</v>
      </c>
      <c r="Y67" s="2672" t="e">
        <f t="shared" si="42"/>
        <v>#DIV/0!</v>
      </c>
      <c r="Z67" s="2046"/>
      <c r="AA67" s="2011"/>
      <c r="AB67" s="2011"/>
      <c r="AC67" s="2012">
        <f t="shared" si="50"/>
        <v>0</v>
      </c>
      <c r="AD67" s="2672" t="e">
        <f t="shared" si="43"/>
        <v>#DIV/0!</v>
      </c>
      <c r="AE67" s="2046"/>
      <c r="AF67" s="2043">
        <f t="shared" si="51"/>
        <v>0</v>
      </c>
      <c r="AG67" s="2043">
        <f t="shared" si="51"/>
        <v>0</v>
      </c>
      <c r="AH67" s="2012">
        <f t="shared" si="52"/>
        <v>0</v>
      </c>
      <c r="AI67" s="2672">
        <f t="shared" si="44"/>
        <v>0</v>
      </c>
      <c r="AJ67" s="2673"/>
      <c r="AL67" s="919"/>
      <c r="AM67" s="919"/>
    </row>
    <row r="68" spans="1:39" s="1396" customFormat="1" ht="24.6" customHeight="1" outlineLevel="2">
      <c r="A68" s="1571"/>
      <c r="B68" s="2690" t="s">
        <v>5</v>
      </c>
      <c r="C68" s="2731"/>
      <c r="D68" s="2729">
        <v>2000.0000000000002</v>
      </c>
      <c r="E68" s="2780">
        <f t="shared" si="45"/>
        <v>2000.0000000000002</v>
      </c>
      <c r="F68" s="2672">
        <f t="shared" si="53"/>
        <v>1.6373929041075736E-3</v>
      </c>
      <c r="G68" s="2051"/>
      <c r="H68" s="2043"/>
      <c r="I68" s="2012">
        <f t="shared" si="46"/>
        <v>0</v>
      </c>
      <c r="J68" s="2672">
        <f t="shared" si="39"/>
        <v>0</v>
      </c>
      <c r="K68" s="2046"/>
      <c r="L68" s="2011"/>
      <c r="M68" s="2045"/>
      <c r="N68" s="2012">
        <f t="shared" si="47"/>
        <v>0</v>
      </c>
      <c r="O68" s="2672">
        <f t="shared" si="40"/>
        <v>0</v>
      </c>
      <c r="P68" s="2046"/>
      <c r="Q68" s="2011"/>
      <c r="R68" s="2043"/>
      <c r="S68" s="2012">
        <f t="shared" si="54"/>
        <v>0</v>
      </c>
      <c r="T68" s="2672">
        <f t="shared" si="41"/>
        <v>0</v>
      </c>
      <c r="U68" s="2046"/>
      <c r="V68" s="2011"/>
      <c r="W68" s="2043"/>
      <c r="X68" s="2012">
        <f t="shared" si="49"/>
        <v>0</v>
      </c>
      <c r="Y68" s="2672" t="e">
        <f t="shared" si="42"/>
        <v>#DIV/0!</v>
      </c>
      <c r="Z68" s="2046"/>
      <c r="AA68" s="2011"/>
      <c r="AB68" s="2043"/>
      <c r="AC68" s="2012">
        <f t="shared" si="50"/>
        <v>0</v>
      </c>
      <c r="AD68" s="2672" t="e">
        <f t="shared" si="43"/>
        <v>#DIV/0!</v>
      </c>
      <c r="AE68" s="2046"/>
      <c r="AF68" s="2043">
        <f t="shared" si="51"/>
        <v>0</v>
      </c>
      <c r="AG68" s="2043">
        <f t="shared" si="51"/>
        <v>0</v>
      </c>
      <c r="AH68" s="2012">
        <f t="shared" si="52"/>
        <v>0</v>
      </c>
      <c r="AI68" s="2672">
        <f t="shared" si="44"/>
        <v>0</v>
      </c>
      <c r="AJ68" s="2673"/>
      <c r="AL68" s="919"/>
      <c r="AM68" s="919"/>
    </row>
    <row r="69" spans="1:39" s="1396" customFormat="1" ht="24.6" customHeight="1" outlineLevel="2">
      <c r="A69" s="1571"/>
      <c r="B69" s="2690" t="s">
        <v>42</v>
      </c>
      <c r="C69" s="2731"/>
      <c r="D69" s="2729"/>
      <c r="E69" s="2780">
        <f t="shared" si="45"/>
        <v>0</v>
      </c>
      <c r="F69" s="2672">
        <f t="shared" si="53"/>
        <v>0</v>
      </c>
      <c r="G69" s="2051"/>
      <c r="H69" s="2043"/>
      <c r="I69" s="2012">
        <f t="shared" si="46"/>
        <v>0</v>
      </c>
      <c r="J69" s="2672">
        <f t="shared" si="39"/>
        <v>0</v>
      </c>
      <c r="K69" s="2046"/>
      <c r="L69" s="2011"/>
      <c r="M69" s="2045"/>
      <c r="N69" s="2012">
        <f t="shared" si="47"/>
        <v>0</v>
      </c>
      <c r="O69" s="2672">
        <f t="shared" si="40"/>
        <v>0</v>
      </c>
      <c r="P69" s="2046"/>
      <c r="Q69" s="2011"/>
      <c r="R69" s="2043"/>
      <c r="S69" s="2012">
        <f t="shared" si="54"/>
        <v>0</v>
      </c>
      <c r="T69" s="2672">
        <f t="shared" si="41"/>
        <v>0</v>
      </c>
      <c r="U69" s="2733"/>
      <c r="V69" s="2011"/>
      <c r="W69" s="2043"/>
      <c r="X69" s="2012">
        <f t="shared" si="49"/>
        <v>0</v>
      </c>
      <c r="Y69" s="2672" t="e">
        <f t="shared" si="42"/>
        <v>#DIV/0!</v>
      </c>
      <c r="Z69" s="2733"/>
      <c r="AA69" s="2011"/>
      <c r="AB69" s="2043"/>
      <c r="AC69" s="2012">
        <f t="shared" si="50"/>
        <v>0</v>
      </c>
      <c r="AD69" s="2672" t="e">
        <f t="shared" si="43"/>
        <v>#DIV/0!</v>
      </c>
      <c r="AE69" s="2733"/>
      <c r="AF69" s="2043">
        <f t="shared" si="51"/>
        <v>0</v>
      </c>
      <c r="AG69" s="2043">
        <f t="shared" si="51"/>
        <v>0</v>
      </c>
      <c r="AH69" s="2012">
        <f t="shared" si="52"/>
        <v>0</v>
      </c>
      <c r="AI69" s="2672">
        <f t="shared" si="44"/>
        <v>0</v>
      </c>
      <c r="AJ69" s="2673"/>
      <c r="AL69" s="919"/>
      <c r="AM69" s="919"/>
    </row>
    <row r="70" spans="1:39" s="1396" customFormat="1" ht="24.6" customHeight="1" outlineLevel="2">
      <c r="A70" s="1571"/>
      <c r="B70" s="2690" t="s">
        <v>6</v>
      </c>
      <c r="C70" s="2731"/>
      <c r="D70" s="2729"/>
      <c r="E70" s="2780">
        <f t="shared" si="45"/>
        <v>0</v>
      </c>
      <c r="F70" s="2672">
        <f t="shared" si="53"/>
        <v>0</v>
      </c>
      <c r="G70" s="2051"/>
      <c r="H70" s="2051"/>
      <c r="I70" s="2012">
        <f t="shared" si="46"/>
        <v>0</v>
      </c>
      <c r="J70" s="2672">
        <f t="shared" si="39"/>
        <v>0</v>
      </c>
      <c r="K70" s="2046"/>
      <c r="L70" s="2011"/>
      <c r="M70" s="2045"/>
      <c r="N70" s="2012">
        <f t="shared" si="47"/>
        <v>0</v>
      </c>
      <c r="O70" s="2672">
        <f t="shared" si="40"/>
        <v>0</v>
      </c>
      <c r="P70" s="2046"/>
      <c r="Q70" s="2011"/>
      <c r="R70" s="2051"/>
      <c r="S70" s="2012">
        <f t="shared" si="54"/>
        <v>0</v>
      </c>
      <c r="T70" s="2672">
        <f t="shared" si="41"/>
        <v>0</v>
      </c>
      <c r="U70" s="2046"/>
      <c r="V70" s="2011"/>
      <c r="W70" s="2051"/>
      <c r="X70" s="2012">
        <f t="shared" si="49"/>
        <v>0</v>
      </c>
      <c r="Y70" s="2672" t="e">
        <f t="shared" si="42"/>
        <v>#DIV/0!</v>
      </c>
      <c r="Z70" s="2046"/>
      <c r="AA70" s="2011"/>
      <c r="AB70" s="2051"/>
      <c r="AC70" s="2012">
        <f t="shared" si="50"/>
        <v>0</v>
      </c>
      <c r="AD70" s="2672" t="e">
        <f t="shared" si="43"/>
        <v>#DIV/0!</v>
      </c>
      <c r="AE70" s="2046"/>
      <c r="AF70" s="2043">
        <f t="shared" si="51"/>
        <v>0</v>
      </c>
      <c r="AG70" s="2043">
        <f t="shared" si="51"/>
        <v>0</v>
      </c>
      <c r="AH70" s="2012">
        <f t="shared" si="52"/>
        <v>0</v>
      </c>
      <c r="AI70" s="2672">
        <f>AH70/$AH$89</f>
        <v>0</v>
      </c>
      <c r="AJ70" s="2673"/>
      <c r="AL70" s="919"/>
      <c r="AM70" s="919"/>
    </row>
    <row r="71" spans="1:39" s="1396" customFormat="1" ht="24.6" customHeight="1" outlineLevel="2">
      <c r="A71" s="1571"/>
      <c r="B71" s="2690" t="s">
        <v>235</v>
      </c>
      <c r="C71" s="2731"/>
      <c r="D71" s="2729"/>
      <c r="E71" s="2780">
        <f t="shared" si="45"/>
        <v>0</v>
      </c>
      <c r="F71" s="2734">
        <f t="shared" si="53"/>
        <v>0</v>
      </c>
      <c r="G71" s="2051"/>
      <c r="H71" s="2043"/>
      <c r="I71" s="2012">
        <f t="shared" si="46"/>
        <v>0</v>
      </c>
      <c r="J71" s="2672">
        <f t="shared" si="39"/>
        <v>0</v>
      </c>
      <c r="K71" s="2046"/>
      <c r="L71" s="2011"/>
      <c r="M71" s="2045"/>
      <c r="N71" s="2012">
        <f t="shared" si="47"/>
        <v>0</v>
      </c>
      <c r="O71" s="2672">
        <f t="shared" si="40"/>
        <v>0</v>
      </c>
      <c r="P71" s="2046"/>
      <c r="Q71" s="2051"/>
      <c r="R71" s="2043"/>
      <c r="S71" s="2012">
        <f t="shared" si="54"/>
        <v>0</v>
      </c>
      <c r="T71" s="2672">
        <f t="shared" si="41"/>
        <v>0</v>
      </c>
      <c r="U71" s="2046"/>
      <c r="V71" s="2051"/>
      <c r="W71" s="2043"/>
      <c r="X71" s="2012">
        <f t="shared" si="49"/>
        <v>0</v>
      </c>
      <c r="Y71" s="2672" t="e">
        <f t="shared" si="42"/>
        <v>#DIV/0!</v>
      </c>
      <c r="Z71" s="2046"/>
      <c r="AA71" s="2051"/>
      <c r="AB71" s="2043"/>
      <c r="AC71" s="2012">
        <f t="shared" si="50"/>
        <v>0</v>
      </c>
      <c r="AD71" s="2672" t="e">
        <f t="shared" si="43"/>
        <v>#DIV/0!</v>
      </c>
      <c r="AE71" s="2046"/>
      <c r="AF71" s="2043">
        <f t="shared" si="51"/>
        <v>0</v>
      </c>
      <c r="AG71" s="2043">
        <f t="shared" si="51"/>
        <v>0</v>
      </c>
      <c r="AH71" s="2012">
        <f t="shared" si="52"/>
        <v>0</v>
      </c>
      <c r="AI71" s="2672">
        <f t="shared" si="44"/>
        <v>0</v>
      </c>
      <c r="AJ71" s="2673"/>
      <c r="AL71" s="919"/>
      <c r="AM71" s="919"/>
    </row>
    <row r="72" spans="1:39" s="1396" customFormat="1" ht="24.6" customHeight="1" outlineLevel="2" thickBot="1">
      <c r="A72" s="1571"/>
      <c r="B72" s="2735"/>
      <c r="C72" s="2736"/>
      <c r="D72" s="2737"/>
      <c r="E72" s="2738"/>
      <c r="F72" s="2734">
        <f t="shared" si="53"/>
        <v>0</v>
      </c>
      <c r="G72" s="2029"/>
      <c r="H72" s="2027"/>
      <c r="I72" s="2030"/>
      <c r="J72" s="2734"/>
      <c r="K72" s="2739"/>
      <c r="L72" s="2029"/>
      <c r="M72" s="2027"/>
      <c r="N72" s="2030"/>
      <c r="O72" s="2734"/>
      <c r="P72" s="2739"/>
      <c r="Q72" s="2029"/>
      <c r="R72" s="2027"/>
      <c r="S72" s="2030"/>
      <c r="T72" s="2734"/>
      <c r="U72" s="2739"/>
      <c r="V72" s="2029"/>
      <c r="W72" s="2027"/>
      <c r="X72" s="2030"/>
      <c r="Y72" s="2734" t="e">
        <f>X72/#REF!</f>
        <v>#REF!</v>
      </c>
      <c r="Z72" s="2739"/>
      <c r="AA72" s="2029"/>
      <c r="AB72" s="2027"/>
      <c r="AC72" s="2030"/>
      <c r="AD72" s="2734" t="e">
        <f>AC72/#REF!</f>
        <v>#REF!</v>
      </c>
      <c r="AE72" s="2739"/>
      <c r="AF72" s="2043"/>
      <c r="AG72" s="2043"/>
      <c r="AH72" s="2030"/>
      <c r="AI72" s="2734">
        <f>AH72/$AH$89</f>
        <v>0</v>
      </c>
      <c r="AJ72" s="2740"/>
      <c r="AL72" s="919"/>
      <c r="AM72" s="919"/>
    </row>
    <row r="73" spans="1:39" s="1396" customFormat="1" ht="14.4" customHeight="1" outlineLevel="1" thickBot="1">
      <c r="A73" s="1571"/>
      <c r="B73" s="986" t="s">
        <v>4</v>
      </c>
      <c r="C73" s="1584">
        <f>C74</f>
        <v>47893.832297060631</v>
      </c>
      <c r="D73" s="843">
        <f>D74</f>
        <v>0</v>
      </c>
      <c r="E73" s="1584">
        <f>E74</f>
        <v>47893.832297060631</v>
      </c>
      <c r="F73" s="838">
        <f>E73/$E$89</f>
        <v>3.9210510576862603E-2</v>
      </c>
      <c r="G73" s="1584">
        <f>G74</f>
        <v>0</v>
      </c>
      <c r="H73" s="1584">
        <f>H74</f>
        <v>0</v>
      </c>
      <c r="I73" s="1688">
        <f>I74</f>
        <v>0</v>
      </c>
      <c r="J73" s="1689"/>
      <c r="K73" s="1732"/>
      <c r="L73" s="1584">
        <f>L74</f>
        <v>0</v>
      </c>
      <c r="M73" s="1584">
        <f>M74</f>
        <v>0</v>
      </c>
      <c r="N73" s="1688">
        <f>N74</f>
        <v>0</v>
      </c>
      <c r="O73" s="1689"/>
      <c r="P73" s="1732"/>
      <c r="Q73" s="1584">
        <f>Q74</f>
        <v>0</v>
      </c>
      <c r="R73" s="1584">
        <f>R74</f>
        <v>0</v>
      </c>
      <c r="S73" s="1688">
        <f>S74</f>
        <v>0</v>
      </c>
      <c r="T73" s="1689">
        <f t="shared" ref="T73:T74" si="55">S73/S$89</f>
        <v>0</v>
      </c>
      <c r="U73" s="1732"/>
      <c r="V73" s="1584">
        <f>V74</f>
        <v>0</v>
      </c>
      <c r="W73" s="1584">
        <f>W74</f>
        <v>0</v>
      </c>
      <c r="X73" s="1688">
        <f>X74</f>
        <v>0</v>
      </c>
      <c r="Y73" s="1689"/>
      <c r="Z73" s="1732"/>
      <c r="AA73" s="1584">
        <f>AA74</f>
        <v>0</v>
      </c>
      <c r="AB73" s="1584">
        <f>AB74</f>
        <v>0</v>
      </c>
      <c r="AC73" s="1688">
        <f>AC74</f>
        <v>0</v>
      </c>
      <c r="AD73" s="1689" t="e">
        <f>AC73/$AC$89</f>
        <v>#DIV/0!</v>
      </c>
      <c r="AE73" s="1732"/>
      <c r="AF73" s="1584">
        <f>AF74</f>
        <v>0</v>
      </c>
      <c r="AG73" s="1689">
        <f>AG74</f>
        <v>0</v>
      </c>
      <c r="AH73" s="1688">
        <f>AH74</f>
        <v>0</v>
      </c>
      <c r="AI73" s="1689"/>
      <c r="AJ73" s="1689"/>
      <c r="AL73" s="919"/>
      <c r="AM73" s="919"/>
    </row>
    <row r="74" spans="1:39" s="1396" customFormat="1" ht="14.4" customHeight="1" outlineLevel="1" thickBot="1">
      <c r="A74" s="1413"/>
      <c r="B74" s="985" t="s">
        <v>64</v>
      </c>
      <c r="C74" s="304">
        <v>47893.832297060631</v>
      </c>
      <c r="D74" s="305"/>
      <c r="E74" s="306">
        <f>C74+D74</f>
        <v>47893.832297060631</v>
      </c>
      <c r="F74" s="307"/>
      <c r="G74" s="2028"/>
      <c r="H74" s="2025"/>
      <c r="I74" s="1628">
        <f>G74+H74*1</f>
        <v>0</v>
      </c>
      <c r="J74" s="1664">
        <f>I74/$I$89</f>
        <v>0</v>
      </c>
      <c r="K74" s="1675"/>
      <c r="L74" s="2028"/>
      <c r="M74" s="2025"/>
      <c r="N74" s="1628">
        <f>L74+M74*1</f>
        <v>0</v>
      </c>
      <c r="O74" s="2672">
        <f>N74/$N$89</f>
        <v>0</v>
      </c>
      <c r="P74" s="1675"/>
      <c r="Q74" s="2028"/>
      <c r="R74" s="2025"/>
      <c r="S74" s="1628">
        <f>Q74+R74*1</f>
        <v>0</v>
      </c>
      <c r="T74" s="1664">
        <f t="shared" si="55"/>
        <v>0</v>
      </c>
      <c r="U74" s="1675"/>
      <c r="V74" s="2028"/>
      <c r="W74" s="2025"/>
      <c r="X74" s="1628">
        <f>V74+W74*1</f>
        <v>0</v>
      </c>
      <c r="Y74" s="1664" t="e">
        <f>X74/$X$89</f>
        <v>#DIV/0!</v>
      </c>
      <c r="Z74" s="1675"/>
      <c r="AA74" s="2028"/>
      <c r="AB74" s="2025"/>
      <c r="AC74" s="1628">
        <f>AA74+AB74*1</f>
        <v>0</v>
      </c>
      <c r="AD74" s="1664" t="e">
        <f>AC74/$AC$89</f>
        <v>#DIV/0!</v>
      </c>
      <c r="AE74" s="1675"/>
      <c r="AF74" s="2043">
        <f t="shared" ref="AF74:AG74" si="56">G74+L74+Q74</f>
        <v>0</v>
      </c>
      <c r="AG74" s="2043">
        <f t="shared" si="56"/>
        <v>0</v>
      </c>
      <c r="AH74" s="1628">
        <f>AF74+AG74*1</f>
        <v>0</v>
      </c>
      <c r="AI74" s="1664">
        <f>AH74/$AH$89</f>
        <v>0</v>
      </c>
      <c r="AJ74" s="1648"/>
      <c r="AL74" s="919"/>
      <c r="AM74" s="919"/>
    </row>
    <row r="75" spans="1:39" s="1396" customFormat="1" ht="14.4" customHeight="1" thickBot="1">
      <c r="A75" s="1399"/>
      <c r="B75" s="971" t="s">
        <v>48</v>
      </c>
      <c r="C75" s="1958">
        <f>C38-C41-C50-C54</f>
        <v>985860.36244660779</v>
      </c>
      <c r="D75" s="1958">
        <f>D38-D41-D50-D54</f>
        <v>-489529.9</v>
      </c>
      <c r="E75" s="1508">
        <f>E38-E41-E50-E54</f>
        <v>496330.46244660765</v>
      </c>
      <c r="F75" s="1536"/>
      <c r="G75" s="1450">
        <f>G38-G41-G50-G54</f>
        <v>-15808</v>
      </c>
      <c r="H75" s="1450">
        <f>H38-H41-H50-H54</f>
        <v>-15700</v>
      </c>
      <c r="I75" s="1508">
        <f>I38-I41-I50-I54</f>
        <v>-31508</v>
      </c>
      <c r="J75" s="1953"/>
      <c r="K75" s="1660"/>
      <c r="L75" s="1450">
        <f>L38-L41-L50-L54</f>
        <v>1122322.612</v>
      </c>
      <c r="M75" s="1450">
        <f>M38-M41-M50-M54</f>
        <v>-254111.6</v>
      </c>
      <c r="N75" s="1508">
        <f>N38-N41-N50-N54</f>
        <v>868211.01199999999</v>
      </c>
      <c r="O75" s="1953"/>
      <c r="P75" s="1660"/>
      <c r="Q75" s="1450">
        <f>Q38-Q41-Q50-Q54</f>
        <v>-5524.7199999999993</v>
      </c>
      <c r="R75" s="1450">
        <f>R38-R41-R50-R54</f>
        <v>0</v>
      </c>
      <c r="S75" s="1508">
        <f>S38-S41-S50-S54</f>
        <v>-5524.7199999999993</v>
      </c>
      <c r="T75" s="1953"/>
      <c r="U75" s="1660"/>
      <c r="V75" s="1450">
        <f>V38-V41-V50-V54</f>
        <v>0</v>
      </c>
      <c r="W75" s="1450">
        <f>W38-W41-W50-W54</f>
        <v>0</v>
      </c>
      <c r="X75" s="1508">
        <f>X38-X41-X50-X54</f>
        <v>0</v>
      </c>
      <c r="Y75" s="1953"/>
      <c r="Z75" s="1660"/>
      <c r="AA75" s="1450">
        <f>AA38-AA41-AA50-AA54</f>
        <v>0</v>
      </c>
      <c r="AB75" s="1450">
        <f>AB38-AB41-AB50-AB54</f>
        <v>0</v>
      </c>
      <c r="AC75" s="1508">
        <f>AC38-AC41-AC50-AC54</f>
        <v>0</v>
      </c>
      <c r="AD75" s="1953"/>
      <c r="AE75" s="1660"/>
      <c r="AF75" s="1450">
        <f>AF38-AF41-AF50-AF54</f>
        <v>1100989.892</v>
      </c>
      <c r="AG75" s="1450">
        <f>AG38-AG41-AG50-AG54</f>
        <v>-269811.59999999998</v>
      </c>
      <c r="AH75" s="1508">
        <f>AH38-AH41-AH50-AH54</f>
        <v>831178.29200000002</v>
      </c>
      <c r="AI75" s="1953"/>
      <c r="AJ75" s="1953"/>
      <c r="AL75" s="919"/>
      <c r="AM75" s="919"/>
    </row>
    <row r="76" spans="1:39" s="1396" customFormat="1" ht="14.4" customHeight="1">
      <c r="A76" s="1566"/>
      <c r="B76" s="972" t="s">
        <v>49</v>
      </c>
      <c r="C76" s="1525">
        <f>C75/C5</f>
        <v>0.61752859303375007</v>
      </c>
      <c r="D76" s="1525" t="e">
        <f>D75/D5</f>
        <v>#DIV/0!</v>
      </c>
      <c r="E76" s="1526">
        <f>E75/E5</f>
        <v>0.31089418322267065</v>
      </c>
      <c r="F76" s="1531"/>
      <c r="G76" s="2003" t="e">
        <f>G75/G5</f>
        <v>#DIV/0!</v>
      </c>
      <c r="H76" s="2003" t="e">
        <f>H75/H5</f>
        <v>#DIV/0!</v>
      </c>
      <c r="I76" s="2004" t="e">
        <f>I75/I5</f>
        <v>#DIV/0!</v>
      </c>
      <c r="J76" s="2004"/>
      <c r="K76" s="1661"/>
      <c r="L76" s="2003">
        <f>L75/L5</f>
        <v>0.70300923293792039</v>
      </c>
      <c r="M76" s="2003" t="e">
        <f>M75/M5</f>
        <v>#DIV/0!</v>
      </c>
      <c r="N76" s="2004">
        <f>N75/N5</f>
        <v>0.54383681754990387</v>
      </c>
      <c r="O76" s="2004"/>
      <c r="P76" s="1661"/>
      <c r="Q76" s="2003" t="e">
        <f>Q75/Q5</f>
        <v>#DIV/0!</v>
      </c>
      <c r="R76" s="2003" t="e">
        <f>R75/R5</f>
        <v>#DIV/0!</v>
      </c>
      <c r="S76" s="2004" t="e">
        <f>S75/S5</f>
        <v>#DIV/0!</v>
      </c>
      <c r="T76" s="2004"/>
      <c r="U76" s="1661"/>
      <c r="V76" s="2003" t="e">
        <f>V75/V5</f>
        <v>#DIV/0!</v>
      </c>
      <c r="W76" s="2003" t="e">
        <f>W75/W5</f>
        <v>#DIV/0!</v>
      </c>
      <c r="X76" s="2004" t="e">
        <f>X75/X5</f>
        <v>#DIV/0!</v>
      </c>
      <c r="Y76" s="2004"/>
      <c r="Z76" s="1661"/>
      <c r="AA76" s="2003" t="e">
        <f>AA75/AA5</f>
        <v>#DIV/0!</v>
      </c>
      <c r="AB76" s="2003" t="e">
        <f>AB75/AB5</f>
        <v>#DIV/0!</v>
      </c>
      <c r="AC76" s="2004" t="e">
        <f>AC75/AC5</f>
        <v>#DIV/0!</v>
      </c>
      <c r="AD76" s="2004"/>
      <c r="AE76" s="1661"/>
      <c r="AF76" s="2003">
        <f>AF75/AF5</f>
        <v>0.68964667660756696</v>
      </c>
      <c r="AG76" s="2003" t="e">
        <f>AG75/AG5</f>
        <v>#DIV/0!</v>
      </c>
      <c r="AH76" s="2004">
        <f>AH75/AH5</f>
        <v>0.52063997218437119</v>
      </c>
      <c r="AI76" s="2004"/>
      <c r="AJ76" s="2004"/>
      <c r="AL76" s="919"/>
      <c r="AM76" s="919"/>
    </row>
    <row r="77" spans="1:39" s="1396" customFormat="1" ht="14.4" customHeight="1" outlineLevel="1" thickBot="1">
      <c r="A77" s="1566"/>
      <c r="B77" s="2741" t="s">
        <v>9</v>
      </c>
      <c r="C77" s="2742">
        <f>C78-C79</f>
        <v>-73429.485000000001</v>
      </c>
      <c r="D77" s="2742">
        <f>D78-D79</f>
        <v>0</v>
      </c>
      <c r="E77" s="2743">
        <f>E78-E79</f>
        <v>-73429.485000000001</v>
      </c>
      <c r="F77" s="2744"/>
      <c r="G77" s="2742">
        <f>G78-G79</f>
        <v>0</v>
      </c>
      <c r="H77" s="2742">
        <f>H78-H79</f>
        <v>0</v>
      </c>
      <c r="I77" s="2743">
        <f>I78-I79</f>
        <v>-2140.909090909091</v>
      </c>
      <c r="J77" s="2745"/>
      <c r="K77" s="2746"/>
      <c r="L77" s="2742">
        <f>L78-L79</f>
        <v>0</v>
      </c>
      <c r="M77" s="2742">
        <f>M78-M79</f>
        <v>0</v>
      </c>
      <c r="N77" s="2743">
        <f>N78-N79</f>
        <v>-26012.48</v>
      </c>
      <c r="O77" s="2745"/>
      <c r="P77" s="2746"/>
      <c r="Q77" s="2742">
        <f>Q78-Q79</f>
        <v>0</v>
      </c>
      <c r="R77" s="2742">
        <f>R78-R79</f>
        <v>0</v>
      </c>
      <c r="S77" s="2743">
        <f>S78-S79</f>
        <v>0</v>
      </c>
      <c r="T77" s="2745">
        <f t="shared" ref="T77" si="57">S77/S$89</f>
        <v>0</v>
      </c>
      <c r="U77" s="2746"/>
      <c r="V77" s="2742">
        <f>V78-V79</f>
        <v>0</v>
      </c>
      <c r="W77" s="2742">
        <f>W78-W79</f>
        <v>0</v>
      </c>
      <c r="X77" s="2743" t="e">
        <f>X78-X79</f>
        <v>#DIV/0!</v>
      </c>
      <c r="Y77" s="2745"/>
      <c r="Z77" s="2746"/>
      <c r="AA77" s="2742">
        <f>AA78-AA79</f>
        <v>0</v>
      </c>
      <c r="AB77" s="2742">
        <f>AB78-AB79</f>
        <v>0</v>
      </c>
      <c r="AC77" s="2743" t="e">
        <f>AC78-AC79</f>
        <v>#DIV/0!</v>
      </c>
      <c r="AD77" s="2745" t="e">
        <f>AC77/$AC$89</f>
        <v>#DIV/0!</v>
      </c>
      <c r="AE77" s="2746"/>
      <c r="AF77" s="2742">
        <f>AF78-AF79</f>
        <v>0</v>
      </c>
      <c r="AG77" s="2742">
        <f>AG79</f>
        <v>0</v>
      </c>
      <c r="AH77" s="2743">
        <f>AH78-AH79</f>
        <v>-28153.389090909091</v>
      </c>
      <c r="AI77" s="2745"/>
      <c r="AJ77" s="2745"/>
      <c r="AL77" s="919"/>
      <c r="AM77" s="919"/>
    </row>
    <row r="78" spans="1:39" s="1396" customFormat="1" ht="14.4" customHeight="1" outlineLevel="2">
      <c r="A78" s="1405"/>
      <c r="B78" s="1622" t="s">
        <v>43</v>
      </c>
      <c r="C78" s="1510"/>
      <c r="D78" s="1511"/>
      <c r="E78" s="2714">
        <f>C78+D78</f>
        <v>0</v>
      </c>
      <c r="F78" s="1547"/>
      <c r="G78" s="2051"/>
      <c r="H78" s="2043"/>
      <c r="I78" s="1452">
        <f>G78+H78*1.15</f>
        <v>0</v>
      </c>
      <c r="J78" s="2672">
        <f>I78/$I$89</f>
        <v>0</v>
      </c>
      <c r="K78" s="1662"/>
      <c r="L78" s="2051"/>
      <c r="M78" s="2043"/>
      <c r="N78" s="2115">
        <f>L78+M78</f>
        <v>0</v>
      </c>
      <c r="O78" s="2672"/>
      <c r="P78" s="1662"/>
      <c r="Q78" s="2051"/>
      <c r="R78" s="2043"/>
      <c r="S78" s="2115">
        <f>Q78+R78</f>
        <v>0</v>
      </c>
      <c r="T78" s="2672" t="e">
        <f>S78/$AN$89</f>
        <v>#DIV/0!</v>
      </c>
      <c r="U78" s="1662"/>
      <c r="V78" s="2051"/>
      <c r="W78" s="2043"/>
      <c r="X78" s="1452">
        <f>V78+W78*1.15</f>
        <v>0</v>
      </c>
      <c r="Y78" s="2672" t="e">
        <f>X78/#REF!</f>
        <v>#REF!</v>
      </c>
      <c r="Z78" s="1662"/>
      <c r="AA78" s="2051"/>
      <c r="AB78" s="2043"/>
      <c r="AC78" s="1452">
        <f>AA78+AB78*1.15</f>
        <v>0</v>
      </c>
      <c r="AD78" s="2672" t="e">
        <f>AC78/$AC$89</f>
        <v>#DIV/0!</v>
      </c>
      <c r="AE78" s="1662"/>
      <c r="AF78" s="2043">
        <f t="shared" ref="AF78:AG79" si="58">G78+L78+Q78</f>
        <v>0</v>
      </c>
      <c r="AG78" s="2043">
        <f t="shared" si="58"/>
        <v>0</v>
      </c>
      <c r="AH78" s="2012">
        <f>AF78+AG78*1.15</f>
        <v>0</v>
      </c>
      <c r="AI78" s="1452"/>
      <c r="AJ78" s="1452"/>
      <c r="AL78" s="919"/>
      <c r="AM78" s="919"/>
    </row>
    <row r="79" spans="1:39" s="1396" customFormat="1" ht="14.4" customHeight="1" outlineLevel="2">
      <c r="A79" s="1405"/>
      <c r="B79" s="2747" t="s">
        <v>79</v>
      </c>
      <c r="C79" s="2674">
        <v>73429.485000000001</v>
      </c>
      <c r="D79" s="2714"/>
      <c r="E79" s="2714">
        <f>C79+D79</f>
        <v>73429.485000000001</v>
      </c>
      <c r="F79" s="2693">
        <f>E79/$E$89</f>
        <v>6.0116458845636753E-2</v>
      </c>
      <c r="G79" s="2051"/>
      <c r="H79" s="2043">
        <v>0</v>
      </c>
      <c r="I79" s="2115">
        <f>(H8+H41+H50+H54)/(1-'расчет 2024'!E15)*'расчет 2024'!E15</f>
        <v>2140.909090909091</v>
      </c>
      <c r="J79" s="2672">
        <f>I79/$I$89</f>
        <v>6.3624918273724948E-2</v>
      </c>
      <c r="K79" s="2721"/>
      <c r="L79" s="2051"/>
      <c r="M79" s="2043"/>
      <c r="N79" s="2115">
        <f>28153.39-2140.91</f>
        <v>26012.48</v>
      </c>
      <c r="O79" s="2672">
        <f>N79/$N$89</f>
        <v>3.4487579170649166E-2</v>
      </c>
      <c r="P79" s="2721"/>
      <c r="Q79" s="2051"/>
      <c r="R79" s="2043"/>
      <c r="S79" s="2012">
        <f>(R8+R41+R50+R54)/(1-'расчет 2024'!E17)*'расчет 2024'!E17</f>
        <v>0</v>
      </c>
      <c r="T79" s="2672">
        <f t="shared" ref="T79" si="59">S79/S$89</f>
        <v>0</v>
      </c>
      <c r="U79" s="2721"/>
      <c r="V79" s="2051"/>
      <c r="W79" s="2043">
        <v>0</v>
      </c>
      <c r="X79" s="2012" t="e">
        <v>#DIV/0!</v>
      </c>
      <c r="Y79" s="2672" t="e">
        <f>X79/$X$89</f>
        <v>#DIV/0!</v>
      </c>
      <c r="Z79" s="2721"/>
      <c r="AA79" s="2051"/>
      <c r="AB79" s="2043">
        <v>0</v>
      </c>
      <c r="AC79" s="2012" t="e">
        <v>#DIV/0!</v>
      </c>
      <c r="AD79" s="2672" t="e">
        <f>AC79/$AC$89</f>
        <v>#DIV/0!</v>
      </c>
      <c r="AE79" s="2721"/>
      <c r="AF79" s="2043">
        <f t="shared" si="58"/>
        <v>0</v>
      </c>
      <c r="AG79" s="2043">
        <f t="shared" si="58"/>
        <v>0</v>
      </c>
      <c r="AH79" s="2043">
        <f>I79+N79+S79</f>
        <v>28153.389090909091</v>
      </c>
      <c r="AI79" s="2694"/>
      <c r="AJ79" s="2694"/>
      <c r="AL79" s="919"/>
      <c r="AM79" s="919"/>
    </row>
    <row r="80" spans="1:39" ht="14.4" customHeight="1" outlineLevel="2">
      <c r="A80" s="1397"/>
      <c r="B80" s="2748"/>
      <c r="C80" s="2749"/>
      <c r="D80" s="2750"/>
      <c r="E80" s="2751"/>
      <c r="F80" s="2752"/>
      <c r="G80" s="2051"/>
      <c r="H80" s="2043"/>
      <c r="I80" s="2754"/>
      <c r="J80" s="2754"/>
      <c r="K80" s="2753"/>
      <c r="L80" s="2051"/>
      <c r="M80" s="2043"/>
      <c r="N80" s="2754"/>
      <c r="O80" s="2754"/>
      <c r="P80" s="2753"/>
      <c r="Q80" s="2051"/>
      <c r="R80" s="2043"/>
      <c r="S80" s="2754"/>
      <c r="T80" s="2754"/>
      <c r="U80" s="2753"/>
      <c r="V80" s="2051"/>
      <c r="W80" s="2043"/>
      <c r="X80" s="2754"/>
      <c r="Y80" s="2754"/>
      <c r="Z80" s="2753"/>
      <c r="AA80" s="2051"/>
      <c r="AB80" s="2043"/>
      <c r="AC80" s="2754"/>
      <c r="AD80" s="2754"/>
      <c r="AE80" s="2753"/>
      <c r="AF80" s="2043"/>
      <c r="AG80" s="2043"/>
      <c r="AH80" s="2754"/>
      <c r="AI80" s="2754"/>
      <c r="AJ80" s="2754"/>
    </row>
    <row r="81" spans="1:39" s="1396" customFormat="1" ht="14.4" customHeight="1" outlineLevel="1" thickBot="1">
      <c r="A81" s="1419"/>
      <c r="B81" s="2741" t="s">
        <v>12</v>
      </c>
      <c r="C81" s="2742">
        <f>(C75+C78)-C79</f>
        <v>912430.8774466078</v>
      </c>
      <c r="D81" s="2742">
        <f>(D75+D78)-D79</f>
        <v>-489529.9</v>
      </c>
      <c r="E81" s="2743">
        <f>(E75+E78)-E79</f>
        <v>422900.97744660766</v>
      </c>
      <c r="F81" s="2744"/>
      <c r="G81" s="2742">
        <f>(G75+G78)-G79</f>
        <v>-15808</v>
      </c>
      <c r="H81" s="2742">
        <f>(H75+H78)-H79</f>
        <v>-15700</v>
      </c>
      <c r="I81" s="2743">
        <f>(I75+I78)-I79</f>
        <v>-33648.909090909088</v>
      </c>
      <c r="J81" s="2745"/>
      <c r="K81" s="2746"/>
      <c r="L81" s="2742">
        <f>(L75+L78)-L79</f>
        <v>1122322.612</v>
      </c>
      <c r="M81" s="2742">
        <f>(M75+M78)-M79</f>
        <v>-254111.6</v>
      </c>
      <c r="N81" s="2743">
        <f>(N75+N78)-N79</f>
        <v>842198.53200000001</v>
      </c>
      <c r="O81" s="2745"/>
      <c r="P81" s="2746"/>
      <c r="Q81" s="2742">
        <f>(Q75+Q78)-Q79</f>
        <v>-5524.7199999999993</v>
      </c>
      <c r="R81" s="2742">
        <f>(R75+R78)-R79</f>
        <v>0</v>
      </c>
      <c r="S81" s="2743">
        <f>(S75+S78)-S79</f>
        <v>-5524.7199999999993</v>
      </c>
      <c r="T81" s="2745"/>
      <c r="U81" s="2746"/>
      <c r="V81" s="2742">
        <f>(V75+V78)-V79</f>
        <v>0</v>
      </c>
      <c r="W81" s="2742">
        <f>(W75+W78)-W79</f>
        <v>0</v>
      </c>
      <c r="X81" s="2743" t="e">
        <f>(X75+X78)-X79</f>
        <v>#DIV/0!</v>
      </c>
      <c r="Y81" s="2745"/>
      <c r="Z81" s="2746"/>
      <c r="AA81" s="2742">
        <f>(AA75+AA78)-AA79</f>
        <v>0</v>
      </c>
      <c r="AB81" s="2742">
        <f>(AB75+AB78)-AB79</f>
        <v>0</v>
      </c>
      <c r="AC81" s="2743" t="e">
        <f>(AC75+AC78)-AC79</f>
        <v>#DIV/0!</v>
      </c>
      <c r="AD81" s="2745"/>
      <c r="AE81" s="2746"/>
      <c r="AF81" s="2743">
        <f>(AF75+AF78)-AF79</f>
        <v>1100989.892</v>
      </c>
      <c r="AG81" s="2743">
        <f>(AG75+AG78)-AG79</f>
        <v>-269811.59999999998</v>
      </c>
      <c r="AH81" s="2743">
        <f>(AH75+AH78)-AH79</f>
        <v>803024.90290909098</v>
      </c>
      <c r="AI81" s="2745"/>
      <c r="AJ81" s="2745"/>
      <c r="AL81" s="919"/>
      <c r="AM81" s="919"/>
    </row>
    <row r="82" spans="1:39" s="1396" customFormat="1" ht="14.4" customHeight="1" outlineLevel="2">
      <c r="A82" s="1565"/>
      <c r="B82" s="1622" t="s">
        <v>38</v>
      </c>
      <c r="C82" s="1510"/>
      <c r="D82" s="1511"/>
      <c r="E82" s="1515">
        <f>C82+D82</f>
        <v>0</v>
      </c>
      <c r="F82" s="2693">
        <f>E82/$E$89</f>
        <v>0</v>
      </c>
      <c r="G82" s="2051"/>
      <c r="H82" s="2043"/>
      <c r="I82" s="1515">
        <f>G82+H82</f>
        <v>0</v>
      </c>
      <c r="J82" s="1476"/>
      <c r="K82" s="2046"/>
      <c r="L82" s="2051"/>
      <c r="M82" s="2043"/>
      <c r="N82" s="1515">
        <f>L82+M82</f>
        <v>0</v>
      </c>
      <c r="O82" s="1476"/>
      <c r="P82" s="2046"/>
      <c r="Q82" s="2051"/>
      <c r="R82" s="2043"/>
      <c r="S82" s="1515">
        <f>Q82+R82</f>
        <v>0</v>
      </c>
      <c r="T82" s="1476"/>
      <c r="U82" s="2046"/>
      <c r="V82" s="2051"/>
      <c r="W82" s="2043"/>
      <c r="X82" s="1515">
        <f>V82+W82</f>
        <v>0</v>
      </c>
      <c r="Y82" s="1476"/>
      <c r="Z82" s="2046"/>
      <c r="AA82" s="2051"/>
      <c r="AB82" s="2043"/>
      <c r="AC82" s="1515">
        <f>AA82+AB82</f>
        <v>0</v>
      </c>
      <c r="AD82" s="1476"/>
      <c r="AE82" s="2046"/>
      <c r="AF82" s="2043">
        <f t="shared" ref="AF82:AG82" si="60">G82+L82+Q82</f>
        <v>0</v>
      </c>
      <c r="AG82" s="2043">
        <f t="shared" si="60"/>
        <v>0</v>
      </c>
      <c r="AH82" s="1515">
        <f>AF82+AG82</f>
        <v>0</v>
      </c>
      <c r="AI82" s="1476"/>
      <c r="AJ82" s="1476"/>
      <c r="AL82" s="919"/>
      <c r="AM82" s="919"/>
    </row>
    <row r="83" spans="1:39" s="1396" customFormat="1" ht="14.4" customHeight="1" outlineLevel="1">
      <c r="A83" s="1405"/>
      <c r="B83" s="2755" t="s">
        <v>13</v>
      </c>
      <c r="C83" s="2756">
        <f>(C81)-C36</f>
        <v>912430.8774466078</v>
      </c>
      <c r="D83" s="2756">
        <f>(D81)-D36</f>
        <v>-489529.9</v>
      </c>
      <c r="E83" s="2756">
        <f>(E81)-E36</f>
        <v>422900.97744660766</v>
      </c>
      <c r="F83" s="2757"/>
      <c r="G83" s="2756">
        <f>(G81)-G36</f>
        <v>-15808</v>
      </c>
      <c r="H83" s="2756">
        <f>(H81)-H36</f>
        <v>-15700</v>
      </c>
      <c r="I83" s="2758">
        <f>(I81)-I36</f>
        <v>-33648.909090909088</v>
      </c>
      <c r="J83" s="2759"/>
      <c r="K83" s="2760"/>
      <c r="L83" s="2756">
        <f>(L81)-L36</f>
        <v>1122322.612</v>
      </c>
      <c r="M83" s="2756">
        <f>(M81)-M36</f>
        <v>-254111.6</v>
      </c>
      <c r="N83" s="2758">
        <f>(N81)-N36</f>
        <v>842198.53200000001</v>
      </c>
      <c r="O83" s="2759"/>
      <c r="P83" s="2760"/>
      <c r="Q83" s="2756">
        <f>(Q81+Q7)-Q36</f>
        <v>-5524.7199999999993</v>
      </c>
      <c r="R83" s="2756">
        <f>(R81+R7)-R36</f>
        <v>0</v>
      </c>
      <c r="S83" s="2758">
        <f>(S81+S7)-S36</f>
        <v>-5524.7199999999993</v>
      </c>
      <c r="T83" s="2759"/>
      <c r="U83" s="2760"/>
      <c r="V83" s="2756">
        <f>(V81+V7)-V36</f>
        <v>0</v>
      </c>
      <c r="W83" s="2756">
        <f>(W81+W7)-W36</f>
        <v>0</v>
      </c>
      <c r="X83" s="2758" t="e">
        <f>(X81+X7)-X36</f>
        <v>#DIV/0!</v>
      </c>
      <c r="Y83" s="2759"/>
      <c r="Z83" s="2760"/>
      <c r="AA83" s="2756">
        <f>(AA81+AA7)-AA36</f>
        <v>0</v>
      </c>
      <c r="AB83" s="2756">
        <f>(AB81+AB7)-AB36</f>
        <v>0</v>
      </c>
      <c r="AC83" s="2758" t="e">
        <f>(AC81+AC7)-AC36</f>
        <v>#DIV/0!</v>
      </c>
      <c r="AD83" s="2759"/>
      <c r="AE83" s="2760"/>
      <c r="AF83" s="2756">
        <f>(AF81)-AF36</f>
        <v>1100989.892</v>
      </c>
      <c r="AG83" s="2756">
        <f>(AG81)-AG36</f>
        <v>-269811.59999999998</v>
      </c>
      <c r="AH83" s="2758">
        <f>(AH81)-AH36</f>
        <v>803024.90290909098</v>
      </c>
      <c r="AI83" s="2759"/>
      <c r="AJ83" s="2759"/>
      <c r="AL83" s="919"/>
      <c r="AM83" s="919"/>
    </row>
    <row r="84" spans="1:39" s="1396" customFormat="1" ht="14.4" customHeight="1" outlineLevel="1" thickBot="1">
      <c r="A84" s="1405"/>
      <c r="B84" s="2761" t="s">
        <v>14</v>
      </c>
      <c r="C84" s="2762">
        <f>C83-C73-C82</f>
        <v>864537.04514954716</v>
      </c>
      <c r="D84" s="2762">
        <f>D83-D73-D82</f>
        <v>-489529.9</v>
      </c>
      <c r="E84" s="2762">
        <f>E83-E73-E82</f>
        <v>375007.14514954702</v>
      </c>
      <c r="F84" s="2763"/>
      <c r="G84" s="2764">
        <f>G83-G73-G82</f>
        <v>-15808</v>
      </c>
      <c r="H84" s="2764">
        <f>H83-H73-H82</f>
        <v>-15700</v>
      </c>
      <c r="I84" s="2764">
        <f>I83-I73-I82</f>
        <v>-33648.909090909088</v>
      </c>
      <c r="J84" s="2765"/>
      <c r="K84" s="2766"/>
      <c r="L84" s="2764">
        <f>L83-L73-L82</f>
        <v>1122322.612</v>
      </c>
      <c r="M84" s="2764">
        <f>M83-M73-M82</f>
        <v>-254111.6</v>
      </c>
      <c r="N84" s="2764">
        <f>N83-N73-N82</f>
        <v>842198.53200000001</v>
      </c>
      <c r="O84" s="2765"/>
      <c r="P84" s="2766"/>
      <c r="Q84" s="2764">
        <f>Q83-Q73-Q82</f>
        <v>-5524.7199999999993</v>
      </c>
      <c r="R84" s="2764">
        <f>R83-R73-R82</f>
        <v>0</v>
      </c>
      <c r="S84" s="2764">
        <f>S83-S73-S82</f>
        <v>-5524.7199999999993</v>
      </c>
      <c r="T84" s="2765"/>
      <c r="U84" s="2766"/>
      <c r="V84" s="2764">
        <f>V83-V73-V82</f>
        <v>0</v>
      </c>
      <c r="W84" s="2764">
        <f>W83-W73-W82</f>
        <v>0</v>
      </c>
      <c r="X84" s="2764" t="e">
        <f>X83-X73-X82</f>
        <v>#DIV/0!</v>
      </c>
      <c r="Y84" s="2765"/>
      <c r="Z84" s="2766"/>
      <c r="AA84" s="2764">
        <f>AA83-AA73-AA82</f>
        <v>0</v>
      </c>
      <c r="AB84" s="2764">
        <f>AB83-AB73-AB82</f>
        <v>0</v>
      </c>
      <c r="AC84" s="2764" t="e">
        <f>AC83-AC73-AC82</f>
        <v>#DIV/0!</v>
      </c>
      <c r="AD84" s="2765"/>
      <c r="AE84" s="2766"/>
      <c r="AF84" s="2764">
        <f>AF83-AF73-AF82</f>
        <v>1100989.892</v>
      </c>
      <c r="AG84" s="2764">
        <f>AG83-AG73-AG82</f>
        <v>-269811.59999999998</v>
      </c>
      <c r="AH84" s="2764">
        <f>AH83-AH73-AH82</f>
        <v>803024.90290909098</v>
      </c>
      <c r="AI84" s="2765"/>
      <c r="AJ84" s="2765"/>
      <c r="AL84" s="919"/>
      <c r="AM84" s="919"/>
    </row>
    <row r="85" spans="1:39" s="1396" customFormat="1" ht="14.4" customHeight="1" outlineLevel="3">
      <c r="A85" s="1565"/>
      <c r="B85" s="1424" t="s">
        <v>44</v>
      </c>
      <c r="C85" s="1486"/>
      <c r="D85" s="1091"/>
      <c r="E85" s="1092">
        <f>C85+D85</f>
        <v>0</v>
      </c>
      <c r="F85" s="1587">
        <f>E85/$E$89</f>
        <v>0</v>
      </c>
      <c r="G85" s="2051"/>
      <c r="H85" s="2043"/>
      <c r="I85" s="2012">
        <f>G85+H85*1</f>
        <v>0</v>
      </c>
      <c r="J85" s="1476"/>
      <c r="K85" s="1748"/>
      <c r="L85" s="2051"/>
      <c r="M85" s="2043"/>
      <c r="N85" s="2012">
        <f>L85+M85*1</f>
        <v>0</v>
      </c>
      <c r="O85" s="1476"/>
      <c r="P85" s="1748"/>
      <c r="Q85" s="2051"/>
      <c r="R85" s="2043"/>
      <c r="S85" s="2012">
        <f>Q85+R85*1</f>
        <v>0</v>
      </c>
      <c r="T85" s="1476"/>
      <c r="U85" s="1748"/>
      <c r="V85" s="2051"/>
      <c r="W85" s="2043"/>
      <c r="X85" s="2012">
        <f>V85+W85*1</f>
        <v>0</v>
      </c>
      <c r="Y85" s="1476"/>
      <c r="Z85" s="1748"/>
      <c r="AA85" s="2051"/>
      <c r="AB85" s="2043"/>
      <c r="AC85" s="2012">
        <f>AA85+AB85*1</f>
        <v>0</v>
      </c>
      <c r="AD85" s="1476"/>
      <c r="AE85" s="1748"/>
      <c r="AF85" s="2043">
        <f t="shared" ref="AF85" si="61">G85+L85+Q85</f>
        <v>0</v>
      </c>
      <c r="AG85" s="2043">
        <f>H85+M85+R85</f>
        <v>0</v>
      </c>
      <c r="AH85" s="2012">
        <f>AF85+AG85*1.15</f>
        <v>0</v>
      </c>
      <c r="AI85" s="1476"/>
      <c r="AJ85" s="1476"/>
      <c r="AL85" s="919"/>
      <c r="AM85" s="919"/>
    </row>
    <row r="86" spans="1:39" s="1396" customFormat="1" ht="14.4" customHeight="1">
      <c r="A86" s="1405"/>
      <c r="B86" s="2767" t="s">
        <v>50</v>
      </c>
      <c r="C86" s="2768">
        <f>C84-C85</f>
        <v>864537.04514954716</v>
      </c>
      <c r="D86" s="2768">
        <f>D84-D85</f>
        <v>-489529.9</v>
      </c>
      <c r="E86" s="2769">
        <f>E84-E85</f>
        <v>375007.14514954702</v>
      </c>
      <c r="F86" s="2770"/>
      <c r="G86" s="2769">
        <f>G84-G85</f>
        <v>-15808</v>
      </c>
      <c r="H86" s="2769">
        <f>H84-H85</f>
        <v>-15700</v>
      </c>
      <c r="I86" s="2769">
        <f>I84-I85</f>
        <v>-33648.909090909088</v>
      </c>
      <c r="J86" s="2771"/>
      <c r="K86" s="2760"/>
      <c r="L86" s="2769">
        <f>L84-L85</f>
        <v>1122322.612</v>
      </c>
      <c r="M86" s="2769">
        <f>M84-M85</f>
        <v>-254111.6</v>
      </c>
      <c r="N86" s="2769">
        <f>N84-N85</f>
        <v>842198.53200000001</v>
      </c>
      <c r="O86" s="2771"/>
      <c r="P86" s="2760"/>
      <c r="Q86" s="2769">
        <f>Q84-Q85</f>
        <v>-5524.7199999999993</v>
      </c>
      <c r="R86" s="2769">
        <f>R84-R85</f>
        <v>0</v>
      </c>
      <c r="S86" s="2769">
        <f>S84-S85</f>
        <v>-5524.7199999999993</v>
      </c>
      <c r="T86" s="2771"/>
      <c r="U86" s="2760"/>
      <c r="V86" s="2769">
        <f>V84-V85</f>
        <v>0</v>
      </c>
      <c r="W86" s="2769">
        <f>W84-W85</f>
        <v>0</v>
      </c>
      <c r="X86" s="2769" t="e">
        <f>X84-X85</f>
        <v>#DIV/0!</v>
      </c>
      <c r="Y86" s="2771"/>
      <c r="Z86" s="2760"/>
      <c r="AA86" s="2769">
        <f>AA84-AA85</f>
        <v>0</v>
      </c>
      <c r="AB86" s="2769">
        <f>AB84-AB85</f>
        <v>0</v>
      </c>
      <c r="AC86" s="2769" t="e">
        <f>AC84-AC85</f>
        <v>#DIV/0!</v>
      </c>
      <c r="AD86" s="2771"/>
      <c r="AE86" s="2760"/>
      <c r="AF86" s="2769">
        <f>AF84-AF85</f>
        <v>1100989.892</v>
      </c>
      <c r="AG86" s="2769">
        <f>AG84-AG85</f>
        <v>-269811.59999999998</v>
      </c>
      <c r="AH86" s="2769">
        <f>AH84-AH85</f>
        <v>803024.90290909098</v>
      </c>
      <c r="AI86" s="2771"/>
      <c r="AJ86" s="2771"/>
      <c r="AL86" s="919"/>
      <c r="AM86" s="919"/>
    </row>
    <row r="87" spans="1:39" s="1396" customFormat="1" ht="14.4" customHeight="1" thickBot="1">
      <c r="A87" s="1567"/>
      <c r="B87" s="2772" t="s">
        <v>51</v>
      </c>
      <c r="C87" s="2773">
        <f>C86/C5</f>
        <v>0.54153343156208822</v>
      </c>
      <c r="D87" s="2774" t="e">
        <f>D86/D5</f>
        <v>#DIV/0!</v>
      </c>
      <c r="E87" s="2775">
        <f>E86/E5</f>
        <v>0.23489902175100874</v>
      </c>
      <c r="F87" s="2776"/>
      <c r="G87" s="2773" t="e">
        <f>G86/G5</f>
        <v>#DIV/0!</v>
      </c>
      <c r="H87" s="2774" t="e">
        <f>H86/H5</f>
        <v>#DIV/0!</v>
      </c>
      <c r="I87" s="2775" t="e">
        <f>I86/I5</f>
        <v>#DIV/0!</v>
      </c>
      <c r="J87" s="2777"/>
      <c r="K87" s="2778"/>
      <c r="L87" s="2773">
        <f>L86/L5</f>
        <v>0.70300923293792039</v>
      </c>
      <c r="M87" s="2774" t="e">
        <f>M86/M5</f>
        <v>#DIV/0!</v>
      </c>
      <c r="N87" s="2775">
        <f>N86/N5</f>
        <v>0.52754291647717655</v>
      </c>
      <c r="O87" s="2777"/>
      <c r="P87" s="2778"/>
      <c r="Q87" s="2773" t="e">
        <f>Q86/Q5</f>
        <v>#DIV/0!</v>
      </c>
      <c r="R87" s="2774" t="e">
        <f>R86/R5</f>
        <v>#DIV/0!</v>
      </c>
      <c r="S87" s="2775" t="e">
        <f>S86/S5</f>
        <v>#DIV/0!</v>
      </c>
      <c r="T87" s="2777"/>
      <c r="U87" s="2778"/>
      <c r="V87" s="2773" t="e">
        <f>V86/V5</f>
        <v>#DIV/0!</v>
      </c>
      <c r="W87" s="2774" t="e">
        <f>W86/W5</f>
        <v>#DIV/0!</v>
      </c>
      <c r="X87" s="2775" t="e">
        <f>X86/X5</f>
        <v>#DIV/0!</v>
      </c>
      <c r="Y87" s="2777"/>
      <c r="Z87" s="2778"/>
      <c r="AA87" s="2773" t="e">
        <f>AA86/AA5</f>
        <v>#DIV/0!</v>
      </c>
      <c r="AB87" s="2774" t="e">
        <f>AB86/AB5</f>
        <v>#DIV/0!</v>
      </c>
      <c r="AC87" s="2775" t="e">
        <f>AC86/AC5</f>
        <v>#DIV/0!</v>
      </c>
      <c r="AD87" s="2777"/>
      <c r="AE87" s="2778"/>
      <c r="AF87" s="2773">
        <f>AF86/AF5</f>
        <v>0.68964667660756696</v>
      </c>
      <c r="AG87" s="2774" t="e">
        <f>AG86/AG5</f>
        <v>#DIV/0!</v>
      </c>
      <c r="AH87" s="2775">
        <f>AH86/AH5</f>
        <v>0.50300503169775579</v>
      </c>
      <c r="AI87" s="2777"/>
      <c r="AJ87" s="2777"/>
      <c r="AL87" s="919"/>
      <c r="AM87" s="919"/>
    </row>
    <row r="88" spans="1:39" ht="13.8">
      <c r="A88" s="1423"/>
      <c r="B88" s="1423"/>
      <c r="C88" s="1521"/>
      <c r="D88" s="1521"/>
      <c r="E88" s="1521"/>
      <c r="F88" s="1549"/>
      <c r="G88" s="1954"/>
      <c r="H88" s="1954"/>
      <c r="I88" s="1954"/>
      <c r="J88" s="1954"/>
      <c r="K88" s="1605"/>
      <c r="L88" s="1954"/>
      <c r="M88" s="1954"/>
      <c r="N88" s="1954"/>
      <c r="O88" s="1954"/>
      <c r="P88" s="1605"/>
      <c r="Q88" s="1954"/>
      <c r="R88" s="1954"/>
      <c r="S88" s="1954"/>
      <c r="T88" s="1954"/>
      <c r="U88" s="1605"/>
      <c r="V88" s="1954"/>
      <c r="W88" s="1954"/>
      <c r="X88" s="1954"/>
      <c r="Y88" s="1954"/>
      <c r="Z88" s="1605"/>
      <c r="AA88" s="1954"/>
      <c r="AB88" s="1954"/>
      <c r="AC88" s="1954"/>
      <c r="AD88" s="1954"/>
      <c r="AE88" s="1605"/>
      <c r="AF88" s="1954"/>
      <c r="AG88" s="1954"/>
      <c r="AH88" s="1954"/>
      <c r="AI88" s="1954"/>
      <c r="AJ88" s="1954"/>
    </row>
    <row r="89" spans="1:39">
      <c r="B89" s="1562" t="s">
        <v>56</v>
      </c>
      <c r="C89" s="1522"/>
      <c r="D89" s="1522"/>
      <c r="E89" s="1960">
        <f>E8+E36+E41+E50+E54+E73+E79+E82+E85</f>
        <v>1221453.9314191409</v>
      </c>
      <c r="F89" s="189"/>
      <c r="I89" s="1960">
        <f>I8+I36+I41+I50+I54+I73+I79+I82+I85</f>
        <v>33648.909090909088</v>
      </c>
      <c r="K89" s="1606"/>
      <c r="N89" s="1960">
        <f>N8+N36+N41+N50+N54+N73+N79+N82+N85</f>
        <v>754256.478</v>
      </c>
      <c r="P89" s="1606"/>
      <c r="S89" s="1960">
        <f>S8+S36+S41+S50+S54+S73+S79+S82+S85</f>
        <v>5524.7199999999993</v>
      </c>
      <c r="U89" s="1606"/>
      <c r="X89" s="1960" t="e">
        <f>X8+X36+X41+X50+X54+X73+X79+X82+X85</f>
        <v>#DIV/0!</v>
      </c>
      <c r="Z89" s="1606"/>
      <c r="AC89" s="1960" t="e">
        <f>AC8+AC36+AC41+AC50+AC54+AC73+AC79+AC82+AC85</f>
        <v>#DIV/0!</v>
      </c>
      <c r="AE89" s="1606"/>
      <c r="AH89" s="1960">
        <f>AH8+AH36+AH41+AH50+AH54+AH73+AH79+AH82+AH85-AH78</f>
        <v>793430.10709090903</v>
      </c>
    </row>
    <row r="90" spans="1:39" s="2470" customFormat="1" ht="13.95" customHeight="1">
      <c r="A90" s="1336"/>
      <c r="B90" s="1336"/>
      <c r="C90" s="1341"/>
      <c r="D90" s="1341"/>
      <c r="E90" s="1341"/>
      <c r="F90" s="2468"/>
      <c r="G90" s="2468"/>
      <c r="H90" s="2468"/>
      <c r="I90" s="2468"/>
      <c r="J90" s="2468"/>
      <c r="K90" s="1857"/>
      <c r="L90" s="2468"/>
      <c r="M90" s="2468"/>
      <c r="N90" s="2468"/>
      <c r="O90" s="2468"/>
      <c r="P90" s="1857"/>
      <c r="Q90" s="2468"/>
      <c r="R90" s="2468"/>
      <c r="S90" s="2468"/>
      <c r="T90" s="2468"/>
      <c r="U90" s="1857"/>
      <c r="V90" s="2468"/>
      <c r="W90" s="2468"/>
      <c r="X90" s="2468"/>
      <c r="Y90" s="2468"/>
      <c r="Z90" s="1857"/>
      <c r="AA90" s="2468"/>
      <c r="AB90" s="2468"/>
      <c r="AC90" s="2468"/>
      <c r="AD90" s="2468"/>
      <c r="AE90" s="1857"/>
      <c r="AF90" s="2468"/>
      <c r="AG90" s="2468"/>
      <c r="AH90" s="1592" t="b">
        <f>(I89+N89+S89)=AH89</f>
        <v>1</v>
      </c>
      <c r="AI90" s="2468"/>
      <c r="AJ90" s="2468"/>
      <c r="AL90" s="2625"/>
      <c r="AM90" s="2625"/>
    </row>
    <row r="91" spans="1:39" s="2469" customFormat="1">
      <c r="A91" s="1336"/>
      <c r="B91" s="1336"/>
      <c r="C91" s="1341"/>
      <c r="D91" s="1341"/>
      <c r="E91" s="1341"/>
      <c r="F91" s="2468"/>
      <c r="G91" s="2468"/>
      <c r="H91" s="2468"/>
      <c r="I91" s="2468"/>
      <c r="J91" s="2468"/>
      <c r="K91" s="1857"/>
      <c r="L91" s="2468"/>
      <c r="M91" s="2468"/>
      <c r="N91" s="2468"/>
      <c r="O91" s="2468"/>
      <c r="P91" s="1857"/>
      <c r="Q91" s="2468"/>
      <c r="R91" s="1586"/>
      <c r="S91" s="1586"/>
      <c r="T91" s="1586"/>
      <c r="U91" s="1857"/>
      <c r="V91" s="2468"/>
      <c r="W91" s="2468"/>
      <c r="X91" s="2468"/>
      <c r="Y91" s="2468"/>
      <c r="Z91" s="1857"/>
      <c r="AA91" s="2468"/>
      <c r="AB91" s="2468"/>
      <c r="AC91" s="2468"/>
      <c r="AD91" s="2468"/>
      <c r="AE91" s="1857"/>
      <c r="AF91" s="2468"/>
      <c r="AG91" s="2468"/>
      <c r="AH91" s="2468"/>
      <c r="AI91" s="2468"/>
      <c r="AJ91" s="2468"/>
      <c r="AL91" s="2626"/>
      <c r="AM91" s="2626"/>
    </row>
    <row r="92" spans="1:39">
      <c r="C92" s="1952"/>
      <c r="D92" s="1952"/>
      <c r="G92" s="1606"/>
      <c r="H92" s="1606"/>
      <c r="I92" s="1606"/>
      <c r="J92" s="1606"/>
      <c r="K92" s="1606"/>
      <c r="L92" s="1606"/>
      <c r="M92" s="1606"/>
      <c r="N92" s="1606"/>
      <c r="O92" s="1606"/>
      <c r="P92" s="1606"/>
      <c r="Q92" s="1342"/>
      <c r="R92" s="1218"/>
      <c r="S92" s="1218"/>
      <c r="T92" s="1218"/>
      <c r="U92" s="1342"/>
      <c r="V92" s="1606"/>
      <c r="W92" s="1606"/>
      <c r="X92" s="1606"/>
      <c r="Y92" s="1606"/>
      <c r="Z92" s="1606"/>
      <c r="AA92" s="1606"/>
      <c r="AB92" s="1606"/>
      <c r="AC92" s="1606"/>
      <c r="AD92" s="1606"/>
      <c r="AE92" s="1606"/>
      <c r="AG92" s="1952" t="s">
        <v>1374</v>
      </c>
      <c r="AH92" s="1952">
        <v>739496.32970000012</v>
      </c>
    </row>
    <row r="93" spans="1:39" s="1396" customFormat="1">
      <c r="A93" s="1402"/>
      <c r="B93" s="1402"/>
      <c r="C93" s="1952"/>
      <c r="D93" s="1952"/>
      <c r="E93" s="1952"/>
      <c r="F93" s="1952"/>
      <c r="G93" s="1606"/>
      <c r="H93" s="1606"/>
      <c r="I93" s="1606"/>
      <c r="J93" s="1606"/>
      <c r="K93" s="1606"/>
      <c r="L93" s="1606"/>
      <c r="M93" s="1606"/>
      <c r="N93" s="1606"/>
      <c r="O93" s="1606"/>
      <c r="P93" s="1606"/>
      <c r="Q93" s="1036"/>
      <c r="R93" s="1218"/>
      <c r="S93" s="1218"/>
      <c r="T93" s="1218"/>
      <c r="U93" s="1036"/>
      <c r="V93" s="1606"/>
      <c r="W93" s="1606"/>
      <c r="X93" s="1606"/>
      <c r="Y93" s="1606"/>
      <c r="Z93" s="1606"/>
      <c r="AA93" s="1606"/>
      <c r="AB93" s="1606"/>
      <c r="AC93" s="1606"/>
      <c r="AD93" s="1606"/>
      <c r="AE93" s="1606"/>
      <c r="AF93" s="1952"/>
      <c r="AG93" s="1952" t="s">
        <v>1373</v>
      </c>
      <c r="AH93" s="1952">
        <f>AH86-AH92</f>
        <v>63528.573209090857</v>
      </c>
      <c r="AI93" s="1952"/>
      <c r="AJ93" s="1952"/>
      <c r="AL93" s="919"/>
      <c r="AM93" s="919"/>
    </row>
    <row r="94" spans="1:39" s="1396" customFormat="1">
      <c r="A94" s="1402"/>
      <c r="B94" s="1402"/>
      <c r="C94" s="1952"/>
      <c r="D94" s="1952"/>
      <c r="E94" s="1952"/>
      <c r="F94" s="1952"/>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52"/>
      <c r="AG94" s="1952"/>
      <c r="AI94" s="1952"/>
      <c r="AJ94" s="1952"/>
      <c r="AL94" s="919"/>
      <c r="AM94" s="919"/>
    </row>
    <row r="95" spans="1:39" s="1396" customFormat="1">
      <c r="A95" s="1402"/>
      <c r="B95" s="1402"/>
      <c r="C95" s="1952"/>
      <c r="D95" s="1952"/>
      <c r="E95" s="1952"/>
      <c r="F95" s="1952"/>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52"/>
      <c r="AH95" s="1952"/>
      <c r="AI95" s="1952"/>
      <c r="AJ95" s="1952"/>
      <c r="AL95" s="919"/>
      <c r="AM95" s="919"/>
    </row>
    <row r="96" spans="1:39" s="1396" customFormat="1">
      <c r="A96" s="1402"/>
      <c r="B96" s="1402"/>
      <c r="C96" s="1952"/>
      <c r="D96" s="1952"/>
      <c r="E96" s="1952"/>
      <c r="F96" s="1952"/>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52"/>
      <c r="AG96" s="1952" t="s">
        <v>1374</v>
      </c>
      <c r="AH96" s="1952">
        <f>AH92</f>
        <v>739496.32970000012</v>
      </c>
      <c r="AI96" s="1952"/>
      <c r="AJ96" s="1952"/>
      <c r="AL96" s="919"/>
      <c r="AM96" s="919"/>
    </row>
    <row r="97" spans="1:39">
      <c r="C97" s="1952"/>
      <c r="D97" s="1952"/>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G97" s="1065" t="s">
        <v>1371</v>
      </c>
      <c r="AH97" s="1952">
        <v>47893.650300000001</v>
      </c>
    </row>
    <row r="98" spans="1:39" s="1396" customFormat="1">
      <c r="A98" s="1402"/>
      <c r="B98" s="1402"/>
      <c r="C98" s="1952"/>
      <c r="D98" s="1952"/>
      <c r="E98" s="1952"/>
      <c r="F98" s="1952"/>
      <c r="G98" s="1952"/>
      <c r="H98" s="1952"/>
      <c r="I98" s="1952"/>
      <c r="J98" s="1952"/>
      <c r="K98" s="1952"/>
      <c r="L98" s="1952"/>
      <c r="M98" s="1952"/>
      <c r="N98" s="1952"/>
      <c r="O98" s="1952"/>
      <c r="P98" s="1952"/>
      <c r="Q98" s="1952"/>
      <c r="R98" s="1586"/>
      <c r="S98" s="1586"/>
      <c r="T98" s="1586"/>
      <c r="U98" s="1952"/>
      <c r="V98" s="1952"/>
      <c r="W98" s="1952"/>
      <c r="X98" s="1952"/>
      <c r="Y98" s="1952"/>
      <c r="Z98" s="1952"/>
      <c r="AA98" s="1952"/>
      <c r="AB98" s="1952"/>
      <c r="AC98" s="1952"/>
      <c r="AD98" s="1952"/>
      <c r="AE98" s="1952"/>
      <c r="AF98" s="1952"/>
      <c r="AG98" s="1065" t="s">
        <v>1426</v>
      </c>
      <c r="AH98" s="1952">
        <f>14330*1.2</f>
        <v>17196</v>
      </c>
      <c r="AI98" s="1952"/>
      <c r="AJ98" s="1952"/>
      <c r="AL98" s="919"/>
      <c r="AM98" s="919"/>
    </row>
    <row r="99" spans="1:39">
      <c r="R99" s="1586"/>
      <c r="S99" s="1586"/>
      <c r="T99" s="1586"/>
    </row>
    <row r="100" spans="1:39">
      <c r="R100" s="1586"/>
      <c r="S100" s="1586"/>
      <c r="T100" s="1586"/>
      <c r="AG100" s="1952" t="s">
        <v>1374</v>
      </c>
      <c r="AH100" s="1952">
        <f>SUM(AH96:AH98)</f>
        <v>804585.9800000001</v>
      </c>
    </row>
    <row r="101" spans="1:39">
      <c r="R101" s="1586"/>
      <c r="S101" s="1586"/>
      <c r="T101" s="1586"/>
    </row>
    <row r="102" spans="1:39">
      <c r="R102" s="1586"/>
      <c r="S102" s="1586"/>
      <c r="T102" s="1586"/>
      <c r="AG102" s="1952" t="s">
        <v>1398</v>
      </c>
      <c r="AH102" s="1952">
        <f>AH100-AH86</f>
        <v>1561.0770909091225</v>
      </c>
    </row>
    <row r="105" spans="1:39">
      <c r="AG105" s="1065"/>
    </row>
    <row r="110" spans="1:39">
      <c r="R110" s="1395"/>
      <c r="S110" s="1395"/>
      <c r="T110" s="1395"/>
    </row>
    <row r="111" spans="1:39">
      <c r="R111" s="1395"/>
      <c r="S111" s="1395"/>
      <c r="T111" s="1395"/>
    </row>
    <row r="112" spans="1:39">
      <c r="R112" s="1395"/>
      <c r="S112" s="1395"/>
      <c r="T112" s="1395"/>
    </row>
    <row r="113" spans="18:21">
      <c r="R113" s="1395"/>
      <c r="S113" s="1395"/>
      <c r="T113" s="1395"/>
    </row>
    <row r="114" spans="18:21">
      <c r="R114" s="1395"/>
      <c r="S114" s="1395"/>
      <c r="T114" s="1395"/>
    </row>
    <row r="115" spans="18:21">
      <c r="R115" s="1395"/>
      <c r="S115" s="1395"/>
      <c r="T115" s="1395"/>
      <c r="U115" s="1395"/>
    </row>
  </sheetData>
  <mergeCells count="9">
    <mergeCell ref="AF2:AJ3"/>
    <mergeCell ref="A3:F3"/>
    <mergeCell ref="A42:A48"/>
    <mergeCell ref="A2:F2"/>
    <mergeCell ref="G2:K3"/>
    <mergeCell ref="L2:P3"/>
    <mergeCell ref="Q2:U3"/>
    <mergeCell ref="V2:Z3"/>
    <mergeCell ref="AA2:AE3"/>
  </mergeCells>
  <pageMargins left="0.7" right="0.7" top="0.75" bottom="0.75" header="0.3" footer="0.3"/>
  <pageSetup paperSize="9"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AQ118"/>
  <sheetViews>
    <sheetView zoomScale="70" zoomScaleNormal="70" workbookViewId="0">
      <pane xSplit="6" ySplit="4" topLeftCell="AF71" activePane="bottomRight" state="frozen"/>
      <selection pane="topRight" activeCell="G1" sqref="G1"/>
      <selection pane="bottomLeft" activeCell="A5" sqref="A5"/>
      <selection pane="bottomRight" activeCell="AI90" sqref="AI90"/>
    </sheetView>
  </sheetViews>
  <sheetFormatPr defaultColWidth="7.44140625" defaultRowHeight="13.2" outlineLevelRow="3" outlineLevelCol="1"/>
  <cols>
    <col min="1" max="1" width="4.44140625" style="1402" customWidth="1"/>
    <col min="2" max="2" width="55" style="1402" customWidth="1"/>
    <col min="3" max="3" width="15" style="1459" customWidth="1" outlineLevel="1"/>
    <col min="4" max="4" width="15.5546875" style="1459" customWidth="1" outlineLevel="1"/>
    <col min="5" max="5" width="16.33203125" style="1952" customWidth="1" outlineLevel="1"/>
    <col min="6" max="6" width="9.5546875" style="1952" customWidth="1" outlineLevel="1"/>
    <col min="7" max="11" width="16.6640625" style="1952" customWidth="1" outlineLevel="1"/>
    <col min="12" max="12" width="16.88671875" style="1952" customWidth="1" outlineLevel="1" collapsed="1"/>
    <col min="13" max="16" width="16.88671875" style="1952" customWidth="1" outlineLevel="1"/>
    <col min="17" max="17" width="16.6640625" style="1952" customWidth="1" outlineLevel="1" collapsed="1"/>
    <col min="18" max="20" width="16.6640625" style="1952" customWidth="1" outlineLevel="1"/>
    <col min="21" max="21" width="17.88671875" style="1952" customWidth="1" outlineLevel="1"/>
    <col min="22" max="26" width="16.6640625" style="1952" customWidth="1" outlineLevel="1"/>
    <col min="27" max="27" width="16.6640625" style="1952" customWidth="1" outlineLevel="1" collapsed="1"/>
    <col min="28" max="30" width="16.6640625" style="1952" customWidth="1" outlineLevel="1"/>
    <col min="31" max="31" width="13.109375" style="1952" customWidth="1" outlineLevel="1"/>
    <col min="32" max="35" width="16.6640625" style="1952" customWidth="1" outlineLevel="1"/>
    <col min="36" max="36" width="17.88671875" style="1952" customWidth="1" outlineLevel="1"/>
    <col min="37" max="41" width="16.6640625" style="1952" customWidth="1"/>
    <col min="42" max="42" width="9.5546875" style="1395" bestFit="1" customWidth="1"/>
    <col min="43" max="43" width="15.6640625" style="1395" bestFit="1" customWidth="1"/>
    <col min="44" max="16384" width="7.44140625" style="1395"/>
  </cols>
  <sheetData>
    <row r="1" spans="1:43" ht="13.8" thickBot="1">
      <c r="C1" s="1952"/>
      <c r="D1" s="1952"/>
    </row>
    <row r="2" spans="1:43" ht="22.2" customHeight="1" thickBot="1">
      <c r="A2" s="4834" t="s">
        <v>1367</v>
      </c>
      <c r="B2" s="4835"/>
      <c r="C2" s="4835"/>
      <c r="D2" s="4835"/>
      <c r="E2" s="4835"/>
      <c r="F2" s="4836"/>
      <c r="G2" s="4934" t="s">
        <v>1335</v>
      </c>
      <c r="H2" s="4935"/>
      <c r="I2" s="4935"/>
      <c r="J2" s="4935"/>
      <c r="K2" s="4936"/>
      <c r="L2" s="4837" t="s">
        <v>1365</v>
      </c>
      <c r="M2" s="4838"/>
      <c r="N2" s="4838"/>
      <c r="O2" s="4838"/>
      <c r="P2" s="4953"/>
      <c r="Q2" s="4898" t="s">
        <v>1407</v>
      </c>
      <c r="R2" s="4899"/>
      <c r="S2" s="4899"/>
      <c r="T2" s="4899"/>
      <c r="U2" s="4900"/>
      <c r="V2" s="4910" t="s">
        <v>1466</v>
      </c>
      <c r="W2" s="4911"/>
      <c r="X2" s="4911"/>
      <c r="Y2" s="4911"/>
      <c r="Z2" s="4912"/>
      <c r="AA2" s="4868" t="s">
        <v>1623</v>
      </c>
      <c r="AB2" s="4869"/>
      <c r="AC2" s="4869"/>
      <c r="AD2" s="4869"/>
      <c r="AE2" s="4870"/>
      <c r="AF2" s="4880" t="s">
        <v>1748</v>
      </c>
      <c r="AG2" s="4881"/>
      <c r="AH2" s="4881"/>
      <c r="AI2" s="4881"/>
      <c r="AJ2" s="4882"/>
      <c r="AK2" s="4874" t="s">
        <v>469</v>
      </c>
      <c r="AL2" s="4875"/>
      <c r="AM2" s="4875"/>
      <c r="AN2" s="4875"/>
      <c r="AO2" s="4876"/>
      <c r="AP2" s="1952"/>
      <c r="AQ2" s="1952"/>
    </row>
    <row r="3" spans="1:43" ht="14.4" customHeight="1" thickBot="1">
      <c r="A3" s="4834" t="s">
        <v>54</v>
      </c>
      <c r="B3" s="4835"/>
      <c r="C3" s="4835"/>
      <c r="D3" s="4835"/>
      <c r="E3" s="4835"/>
      <c r="F3" s="4836"/>
      <c r="G3" s="4937"/>
      <c r="H3" s="4938"/>
      <c r="I3" s="4938"/>
      <c r="J3" s="4938"/>
      <c r="K3" s="4939"/>
      <c r="L3" s="4839"/>
      <c r="M3" s="4840"/>
      <c r="N3" s="4840"/>
      <c r="O3" s="4840"/>
      <c r="P3" s="4954"/>
      <c r="Q3" s="4901"/>
      <c r="R3" s="4902"/>
      <c r="S3" s="4902"/>
      <c r="T3" s="4902"/>
      <c r="U3" s="4903"/>
      <c r="V3" s="4913"/>
      <c r="W3" s="4914"/>
      <c r="X3" s="4914"/>
      <c r="Y3" s="4914"/>
      <c r="Z3" s="4915"/>
      <c r="AA3" s="4871"/>
      <c r="AB3" s="4872"/>
      <c r="AC3" s="4872"/>
      <c r="AD3" s="4872"/>
      <c r="AE3" s="4873"/>
      <c r="AF3" s="4883"/>
      <c r="AG3" s="4884"/>
      <c r="AH3" s="4884"/>
      <c r="AI3" s="4884"/>
      <c r="AJ3" s="4885"/>
      <c r="AK3" s="4877"/>
      <c r="AL3" s="4878"/>
      <c r="AM3" s="4878"/>
      <c r="AN3" s="4878"/>
      <c r="AO3" s="4879"/>
      <c r="AP3" s="1952"/>
      <c r="AQ3" s="1952"/>
    </row>
    <row r="4" spans="1:43" ht="41.4" thickBot="1">
      <c r="A4" s="1471"/>
      <c r="B4" s="1474" t="s">
        <v>11</v>
      </c>
      <c r="C4" s="1573" t="s">
        <v>55</v>
      </c>
      <c r="D4" s="1573" t="s">
        <v>18</v>
      </c>
      <c r="E4" s="1574" t="s">
        <v>39</v>
      </c>
      <c r="F4" s="1962" t="s">
        <v>40</v>
      </c>
      <c r="G4" s="1956" t="s">
        <v>55</v>
      </c>
      <c r="H4" s="1956" t="s">
        <v>18</v>
      </c>
      <c r="I4" s="1474" t="s">
        <v>39</v>
      </c>
      <c r="J4" s="1962" t="s">
        <v>40</v>
      </c>
      <c r="K4" s="1474" t="s">
        <v>19</v>
      </c>
      <c r="L4" s="1956" t="s">
        <v>55</v>
      </c>
      <c r="M4" s="1956" t="s">
        <v>18</v>
      </c>
      <c r="N4" s="1474" t="s">
        <v>39</v>
      </c>
      <c r="O4" s="1962" t="s">
        <v>40</v>
      </c>
      <c r="P4" s="1474" t="s">
        <v>19</v>
      </c>
      <c r="Q4" s="1956" t="s">
        <v>55</v>
      </c>
      <c r="R4" s="1956" t="s">
        <v>18</v>
      </c>
      <c r="S4" s="1474" t="s">
        <v>39</v>
      </c>
      <c r="T4" s="1962" t="s">
        <v>40</v>
      </c>
      <c r="U4" s="1474" t="s">
        <v>19</v>
      </c>
      <c r="V4" s="1956" t="s">
        <v>55</v>
      </c>
      <c r="W4" s="1956" t="s">
        <v>18</v>
      </c>
      <c r="X4" s="1474" t="s">
        <v>39</v>
      </c>
      <c r="Y4" s="1962" t="s">
        <v>40</v>
      </c>
      <c r="Z4" s="1474" t="s">
        <v>19</v>
      </c>
      <c r="AA4" s="1956" t="s">
        <v>55</v>
      </c>
      <c r="AB4" s="1956" t="s">
        <v>18</v>
      </c>
      <c r="AC4" s="1474" t="s">
        <v>39</v>
      </c>
      <c r="AD4" s="1962" t="s">
        <v>40</v>
      </c>
      <c r="AE4" s="1474" t="s">
        <v>19</v>
      </c>
      <c r="AF4" s="1956" t="s">
        <v>55</v>
      </c>
      <c r="AG4" s="1956" t="s">
        <v>18</v>
      </c>
      <c r="AH4" s="1474" t="s">
        <v>39</v>
      </c>
      <c r="AI4" s="1962" t="s">
        <v>40</v>
      </c>
      <c r="AJ4" s="1474" t="s">
        <v>19</v>
      </c>
      <c r="AK4" s="1956" t="s">
        <v>55</v>
      </c>
      <c r="AL4" s="1956" t="s">
        <v>18</v>
      </c>
      <c r="AM4" s="1474" t="s">
        <v>39</v>
      </c>
      <c r="AN4" s="1962" t="s">
        <v>40</v>
      </c>
      <c r="AO4" s="1474" t="s">
        <v>19</v>
      </c>
      <c r="AP4" s="1952"/>
      <c r="AQ4" s="1952"/>
    </row>
    <row r="5" spans="1:43" s="2466" customFormat="1" ht="24.6" customHeight="1" thickBot="1">
      <c r="A5" s="1462"/>
      <c r="B5" s="970" t="s">
        <v>10</v>
      </c>
      <c r="C5" s="1464">
        <f t="shared" ref="C5:E5" si="0">C6+C7</f>
        <v>922000</v>
      </c>
      <c r="D5" s="1464">
        <f t="shared" si="0"/>
        <v>0</v>
      </c>
      <c r="E5" s="1955">
        <f t="shared" si="0"/>
        <v>922000</v>
      </c>
      <c r="F5" s="1466"/>
      <c r="G5" s="1955">
        <f t="shared" ref="G5:I5" si="1">G6+G7</f>
        <v>0</v>
      </c>
      <c r="H5" s="1466">
        <f t="shared" si="1"/>
        <v>0</v>
      </c>
      <c r="I5" s="1466">
        <f t="shared" si="1"/>
        <v>0</v>
      </c>
      <c r="J5" s="1466"/>
      <c r="K5" s="1466"/>
      <c r="L5" s="1955">
        <f t="shared" ref="L5:N5" si="2">L6+L7</f>
        <v>0</v>
      </c>
      <c r="M5" s="1466">
        <f t="shared" si="2"/>
        <v>0</v>
      </c>
      <c r="N5" s="1466">
        <f t="shared" si="2"/>
        <v>0</v>
      </c>
      <c r="O5" s="1466"/>
      <c r="P5" s="1466"/>
      <c r="Q5" s="1955">
        <f>SUM(Q6:Q7)</f>
        <v>389430</v>
      </c>
      <c r="R5" s="1955">
        <f>SUM(R6:R7)</f>
        <v>0</v>
      </c>
      <c r="S5" s="1955">
        <f>SUM(S6:S7)</f>
        <v>389430</v>
      </c>
      <c r="T5" s="1466"/>
      <c r="U5" s="1466"/>
      <c r="V5" s="1955">
        <f>V6</f>
        <v>0</v>
      </c>
      <c r="W5" s="1466">
        <f>W6</f>
        <v>0</v>
      </c>
      <c r="X5" s="1466">
        <f>X6</f>
        <v>0</v>
      </c>
      <c r="Y5" s="1466"/>
      <c r="Z5" s="1466"/>
      <c r="AA5" s="1955">
        <f>AA6</f>
        <v>450000</v>
      </c>
      <c r="AB5" s="1466">
        <f>AB6</f>
        <v>0</v>
      </c>
      <c r="AC5" s="1466">
        <f>AC6</f>
        <v>450000</v>
      </c>
      <c r="AD5" s="1466"/>
      <c r="AE5" s="1466"/>
      <c r="AF5" s="1955">
        <f>SUM(AF6:AF7)</f>
        <v>0</v>
      </c>
      <c r="AG5" s="1955">
        <f>SUM(AG6:AG7)</f>
        <v>0</v>
      </c>
      <c r="AH5" s="1955">
        <f>SUM(AH6:AH7)</f>
        <v>0</v>
      </c>
      <c r="AI5" s="1466"/>
      <c r="AJ5" s="1466"/>
      <c r="AK5" s="1466">
        <f>AK6+AK7</f>
        <v>839430</v>
      </c>
      <c r="AL5" s="1466">
        <f>AL6+AL7</f>
        <v>0</v>
      </c>
      <c r="AM5" s="1466">
        <f>AM6+AM7</f>
        <v>839430</v>
      </c>
      <c r="AN5" s="1466"/>
      <c r="AO5" s="1466"/>
      <c r="AP5" s="2623"/>
      <c r="AQ5" s="2623"/>
    </row>
    <row r="6" spans="1:43" s="1396" customFormat="1" ht="24.6" customHeight="1" outlineLevel="1">
      <c r="A6" s="1572"/>
      <c r="B6" s="1424" t="s">
        <v>17</v>
      </c>
      <c r="C6" s="1974">
        <v>922000</v>
      </c>
      <c r="D6" s="2011"/>
      <c r="E6" s="3081">
        <f>C6+D6</f>
        <v>922000</v>
      </c>
      <c r="F6" s="2043"/>
      <c r="G6" s="2051"/>
      <c r="H6" s="2043"/>
      <c r="I6" s="3081">
        <f>G6+H6</f>
        <v>0</v>
      </c>
      <c r="J6" s="2043"/>
      <c r="K6" s="2046"/>
      <c r="L6" s="2051"/>
      <c r="M6" s="2043"/>
      <c r="N6" s="3081">
        <f>L6+M6</f>
        <v>0</v>
      </c>
      <c r="O6" s="2043"/>
      <c r="P6" s="2046"/>
      <c r="Q6" s="2051">
        <f>316360+3720+69350</f>
        <v>389430</v>
      </c>
      <c r="R6" s="2043"/>
      <c r="S6" s="3081">
        <f>Q6+R6</f>
        <v>389430</v>
      </c>
      <c r="T6" s="2043"/>
      <c r="U6" s="2055" t="s">
        <v>1783</v>
      </c>
      <c r="V6" s="2051"/>
      <c r="W6" s="2043"/>
      <c r="X6" s="3081">
        <f>V6+W6</f>
        <v>0</v>
      </c>
      <c r="Y6" s="2043"/>
      <c r="Z6" s="2043"/>
      <c r="AA6" s="2051">
        <f>45000+180000+225000</f>
        <v>450000</v>
      </c>
      <c r="AB6" s="2043"/>
      <c r="AC6" s="3081">
        <f>AA6+AB6</f>
        <v>450000</v>
      </c>
      <c r="AD6" s="2043"/>
      <c r="AE6" s="2046" t="s">
        <v>1634</v>
      </c>
      <c r="AF6" s="2051"/>
      <c r="AG6" s="2043"/>
      <c r="AH6" s="3081">
        <f>AF6+AG6</f>
        <v>0</v>
      </c>
      <c r="AI6" s="2043"/>
      <c r="AJ6" s="2043"/>
      <c r="AK6" s="2043">
        <f>G6+L6+Q6+V6+AA6+AF6</f>
        <v>839430</v>
      </c>
      <c r="AL6" s="2043">
        <f>H6+M6+R6+W6+AB6+AG6</f>
        <v>0</v>
      </c>
      <c r="AM6" s="3186">
        <f>AK6+AL6</f>
        <v>839430</v>
      </c>
      <c r="AN6" s="2043"/>
      <c r="AO6" s="2043"/>
      <c r="AP6" s="920"/>
      <c r="AQ6" s="920"/>
    </row>
    <row r="7" spans="1:43" s="1396" customFormat="1" ht="24.6" customHeight="1" outlineLevel="1" collapsed="1" thickBot="1">
      <c r="A7" s="1572"/>
      <c r="B7" s="3154" t="s">
        <v>41</v>
      </c>
      <c r="C7" s="2784"/>
      <c r="D7" s="2785"/>
      <c r="E7" s="3081">
        <f>C7+D7</f>
        <v>0</v>
      </c>
      <c r="F7" s="2786"/>
      <c r="G7" s="2051"/>
      <c r="H7" s="2043"/>
      <c r="I7" s="3081">
        <f>G7+H7</f>
        <v>0</v>
      </c>
      <c r="J7" s="2786"/>
      <c r="K7" s="2787"/>
      <c r="L7" s="2051"/>
      <c r="M7" s="2043"/>
      <c r="N7" s="3081">
        <f>L7+M7</f>
        <v>0</v>
      </c>
      <c r="O7" s="2786"/>
      <c r="P7" s="2787"/>
      <c r="Q7" s="2051"/>
      <c r="R7" s="2043"/>
      <c r="S7" s="3081">
        <f>Q7+R7</f>
        <v>0</v>
      </c>
      <c r="T7" s="2786"/>
      <c r="U7" s="2055"/>
      <c r="V7" s="2051"/>
      <c r="W7" s="2043"/>
      <c r="X7" s="3081">
        <f>V7+W7</f>
        <v>0</v>
      </c>
      <c r="Y7" s="2786"/>
      <c r="Z7" s="2787"/>
      <c r="AA7" s="2051"/>
      <c r="AB7" s="2043"/>
      <c r="AC7" s="3081">
        <f>AA7+AB7</f>
        <v>0</v>
      </c>
      <c r="AD7" s="2786"/>
      <c r="AE7" s="2787"/>
      <c r="AF7" s="2051"/>
      <c r="AG7" s="2043"/>
      <c r="AH7" s="3081">
        <f>AF7+AG7</f>
        <v>0</v>
      </c>
      <c r="AI7" s="2786"/>
      <c r="AJ7" s="2055"/>
      <c r="AK7" s="2043">
        <f>G7+L7+Q7+V7+AA7+AF7</f>
        <v>0</v>
      </c>
      <c r="AL7" s="2043">
        <f>H7+M7+R7+W7+AB7+AG7</f>
        <v>0</v>
      </c>
      <c r="AM7" s="3081">
        <f>AK7+AL7</f>
        <v>0</v>
      </c>
      <c r="AN7" s="2786"/>
      <c r="AO7" s="2786"/>
      <c r="AP7" s="920"/>
      <c r="AQ7" s="920"/>
    </row>
    <row r="8" spans="1:43" s="2466" customFormat="1" ht="24.6" customHeight="1" thickBot="1">
      <c r="A8" s="1572"/>
      <c r="B8" s="970" t="s">
        <v>16</v>
      </c>
      <c r="C8" s="1957">
        <f>SUM(C9:C33)</f>
        <v>278100</v>
      </c>
      <c r="D8" s="1957">
        <f>SUM(D9:D33)</f>
        <v>30000</v>
      </c>
      <c r="E8" s="1484">
        <f>SUM(E9:E33)</f>
        <v>308100</v>
      </c>
      <c r="F8" s="1528">
        <f t="shared" ref="F8:F33" si="3">E8/$E$89</f>
        <v>0.98560460652591175</v>
      </c>
      <c r="G8" s="1957">
        <f>SUM(G9:G33)</f>
        <v>0</v>
      </c>
      <c r="H8" s="1957">
        <f>SUM(H9:H33)</f>
        <v>8000</v>
      </c>
      <c r="I8" s="1484">
        <f>SUM(I9:I33)</f>
        <v>8000</v>
      </c>
      <c r="J8" s="1528">
        <f>I8/$I$89</f>
        <v>0.8928571428571429</v>
      </c>
      <c r="K8" s="1600"/>
      <c r="L8" s="1957">
        <f>SUM(L9:L33)</f>
        <v>0</v>
      </c>
      <c r="M8" s="1957">
        <f>SUM(M9:M33)</f>
        <v>13500</v>
      </c>
      <c r="N8" s="1484">
        <f>SUM(N9:N33)</f>
        <v>13500</v>
      </c>
      <c r="O8" s="1528">
        <f>N8/N$89</f>
        <v>0.9121479868893928</v>
      </c>
      <c r="P8" s="1600"/>
      <c r="Q8" s="1957">
        <f>SUM(Q9:Q33)</f>
        <v>49321.4</v>
      </c>
      <c r="R8" s="1957">
        <f>SUM(R9:R33)</f>
        <v>0</v>
      </c>
      <c r="S8" s="1484">
        <f>SUM(S9:S33)</f>
        <v>49321.4</v>
      </c>
      <c r="T8" s="1528">
        <f>S8/S$89</f>
        <v>0.99888590523288345</v>
      </c>
      <c r="U8" s="1600"/>
      <c r="V8" s="1957">
        <f>SUM(V9:V33)</f>
        <v>0</v>
      </c>
      <c r="W8" s="1957">
        <f>SUM(W9:W33)</f>
        <v>0</v>
      </c>
      <c r="X8" s="1484">
        <f>SUM(X9:X33)</f>
        <v>0</v>
      </c>
      <c r="Y8" s="1528">
        <f>X8/X$89</f>
        <v>0</v>
      </c>
      <c r="Z8" s="1600"/>
      <c r="AA8" s="1957">
        <f>SUM(AA9:AA33)</f>
        <v>0</v>
      </c>
      <c r="AB8" s="1957">
        <f>SUM(AB9:AB33)</f>
        <v>0</v>
      </c>
      <c r="AC8" s="1484">
        <f>SUM(AC9:AC33)</f>
        <v>0</v>
      </c>
      <c r="AD8" s="1528">
        <f>AC8/AC$89</f>
        <v>0</v>
      </c>
      <c r="AE8" s="1600"/>
      <c r="AF8" s="1957">
        <f>SUM(AF9:AF33)</f>
        <v>0</v>
      </c>
      <c r="AG8" s="1957">
        <f>SUM(AG9:AG33)</f>
        <v>0</v>
      </c>
      <c r="AH8" s="1484">
        <f>SUM(AH9:AH33)</f>
        <v>0</v>
      </c>
      <c r="AI8" s="1528" t="e">
        <f>AH8/AH$89</f>
        <v>#DIV/0!</v>
      </c>
      <c r="AJ8" s="1600"/>
      <c r="AK8" s="1957">
        <f>SUM(AK9:AK33)</f>
        <v>49321.4</v>
      </c>
      <c r="AL8" s="1957">
        <f>SUM(AL9:AL33)</f>
        <v>21500</v>
      </c>
      <c r="AM8" s="1484">
        <f>SUM(AM9:AM33)</f>
        <v>70821.399999999994</v>
      </c>
      <c r="AN8" s="1528">
        <f>AM8/$AM$89</f>
        <v>0.89803907495941959</v>
      </c>
      <c r="AO8" s="1466"/>
      <c r="AP8" s="2623"/>
      <c r="AQ8" s="2623"/>
    </row>
    <row r="9" spans="1:43" s="1396" customFormat="1" ht="24.6" customHeight="1">
      <c r="A9" s="1572"/>
      <c r="B9" s="1424" t="s">
        <v>74</v>
      </c>
      <c r="C9" s="1485"/>
      <c r="D9" s="1486"/>
      <c r="E9" s="3081">
        <f>C9+D9*1.15</f>
        <v>0</v>
      </c>
      <c r="F9" s="1976">
        <f t="shared" si="3"/>
        <v>0</v>
      </c>
      <c r="G9" s="2051"/>
      <c r="H9" s="2043"/>
      <c r="I9" s="2045">
        <f>G9+H9*1</f>
        <v>0</v>
      </c>
      <c r="J9" s="2788">
        <f t="shared" ref="J9:J37" si="4">I9/$I$89</f>
        <v>0</v>
      </c>
      <c r="K9" s="1434"/>
      <c r="L9" s="2051"/>
      <c r="M9" s="2043"/>
      <c r="N9" s="2045">
        <f>L9+M9*1</f>
        <v>0</v>
      </c>
      <c r="O9" s="2788">
        <f t="shared" ref="O9:O33" si="5">N9/N$89</f>
        <v>0</v>
      </c>
      <c r="P9" s="1434"/>
      <c r="Q9" s="1695"/>
      <c r="R9" s="2467"/>
      <c r="S9" s="1561">
        <f>Q9+R9*1</f>
        <v>0</v>
      </c>
      <c r="T9" s="1559">
        <f t="shared" ref="T9:T33" si="6">S9/S$89</f>
        <v>0</v>
      </c>
      <c r="U9" s="1580"/>
      <c r="V9" s="2051"/>
      <c r="W9" s="2043"/>
      <c r="X9" s="2045">
        <f>V9+W9*1</f>
        <v>0</v>
      </c>
      <c r="Y9" s="2788">
        <f t="shared" ref="Y9:Y33" si="7">X9/X$89</f>
        <v>0</v>
      </c>
      <c r="Z9" s="1434"/>
      <c r="AA9" s="2051"/>
      <c r="AB9" s="2043"/>
      <c r="AC9" s="2045">
        <f>AA9+AB9*1</f>
        <v>0</v>
      </c>
      <c r="AD9" s="2788">
        <f t="shared" ref="AD9:AD33" si="8">AC9/AC$89</f>
        <v>0</v>
      </c>
      <c r="AE9" s="1434"/>
      <c r="AF9" s="1695"/>
      <c r="AG9" s="2467"/>
      <c r="AH9" s="1561">
        <f>AF9+AG9*1</f>
        <v>0</v>
      </c>
      <c r="AI9" s="1559" t="e">
        <f t="shared" ref="AI9:AI33" si="9">AH9/AH$89</f>
        <v>#DIV/0!</v>
      </c>
      <c r="AJ9" s="1580"/>
      <c r="AK9" s="2043">
        <f t="shared" ref="AK9:AL33" si="10">G9+L9+Q9+V9+AA9+AF9</f>
        <v>0</v>
      </c>
      <c r="AL9" s="2043">
        <f t="shared" si="10"/>
        <v>0</v>
      </c>
      <c r="AM9" s="2045">
        <f t="shared" ref="AM9:AM33" si="11">AK9+AL9*1</f>
        <v>0</v>
      </c>
      <c r="AN9" s="2788">
        <f t="shared" ref="AN9:AN33" si="12">AM9/$AM$89</f>
        <v>0</v>
      </c>
      <c r="AO9" s="1434"/>
      <c r="AP9" s="920"/>
      <c r="AQ9" s="920"/>
    </row>
    <row r="10" spans="1:43" s="1396" customFormat="1" ht="24.6" customHeight="1">
      <c r="A10" s="1572"/>
      <c r="B10" s="1424" t="s">
        <v>72</v>
      </c>
      <c r="C10" s="1485"/>
      <c r="D10" s="1486"/>
      <c r="E10" s="3081">
        <f t="shared" ref="E10:E32" si="13">C10+D10*1.15</f>
        <v>0</v>
      </c>
      <c r="F10" s="1976">
        <f t="shared" si="3"/>
        <v>0</v>
      </c>
      <c r="G10" s="2051"/>
      <c r="H10" s="2043"/>
      <c r="I10" s="2045">
        <f t="shared" ref="I10:I33" si="14">G10+H10*1</f>
        <v>0</v>
      </c>
      <c r="J10" s="2788">
        <f t="shared" si="4"/>
        <v>0</v>
      </c>
      <c r="K10" s="1615"/>
      <c r="L10" s="2051"/>
      <c r="M10" s="2043"/>
      <c r="N10" s="2045">
        <f t="shared" ref="N10:N33" si="15">L10+M10*1</f>
        <v>0</v>
      </c>
      <c r="O10" s="2788">
        <f t="shared" si="5"/>
        <v>0</v>
      </c>
      <c r="P10" s="1615"/>
      <c r="Q10" s="2051"/>
      <c r="R10" s="2043"/>
      <c r="S10" s="2045">
        <f t="shared" ref="S10:S33" si="16">Q10+R10*1</f>
        <v>0</v>
      </c>
      <c r="T10" s="2788">
        <f t="shared" si="6"/>
        <v>0</v>
      </c>
      <c r="U10" s="1615"/>
      <c r="V10" s="2051"/>
      <c r="W10" s="2043"/>
      <c r="X10" s="2045">
        <f t="shared" ref="X10:X33" si="17">V10+W10*1</f>
        <v>0</v>
      </c>
      <c r="Y10" s="2788">
        <f t="shared" si="7"/>
        <v>0</v>
      </c>
      <c r="Z10" s="1615"/>
      <c r="AA10" s="2051"/>
      <c r="AB10" s="2043"/>
      <c r="AC10" s="2045">
        <f t="shared" ref="AC10:AC33" si="18">AA10+AB10*1</f>
        <v>0</v>
      </c>
      <c r="AD10" s="2788">
        <f t="shared" si="8"/>
        <v>0</v>
      </c>
      <c r="AE10" s="1615"/>
      <c r="AF10" s="2051"/>
      <c r="AG10" s="2043"/>
      <c r="AH10" s="2045">
        <f t="shared" ref="AH10:AH33" si="19">AF10+AG10*1</f>
        <v>0</v>
      </c>
      <c r="AI10" s="2788" t="e">
        <f t="shared" si="9"/>
        <v>#DIV/0!</v>
      </c>
      <c r="AJ10" s="1615"/>
      <c r="AK10" s="2043">
        <f t="shared" si="10"/>
        <v>0</v>
      </c>
      <c r="AL10" s="2043">
        <f t="shared" si="10"/>
        <v>0</v>
      </c>
      <c r="AM10" s="2045">
        <f t="shared" si="11"/>
        <v>0</v>
      </c>
      <c r="AN10" s="2788">
        <f t="shared" si="12"/>
        <v>0</v>
      </c>
      <c r="AO10" s="1434"/>
      <c r="AP10" s="920"/>
      <c r="AQ10" s="920"/>
    </row>
    <row r="11" spans="1:43" s="1396" customFormat="1" ht="24.6" customHeight="1">
      <c r="A11" s="1572"/>
      <c r="B11" s="1424" t="s">
        <v>69</v>
      </c>
      <c r="C11" s="1485"/>
      <c r="D11" s="1486"/>
      <c r="E11" s="3081">
        <f t="shared" si="13"/>
        <v>0</v>
      </c>
      <c r="F11" s="1976">
        <f t="shared" si="3"/>
        <v>0</v>
      </c>
      <c r="G11" s="2051"/>
      <c r="H11" s="2043"/>
      <c r="I11" s="2045">
        <f t="shared" si="14"/>
        <v>0</v>
      </c>
      <c r="J11" s="2788">
        <f t="shared" si="4"/>
        <v>0</v>
      </c>
      <c r="K11" s="1615"/>
      <c r="L11" s="2051"/>
      <c r="M11" s="2043"/>
      <c r="N11" s="2045">
        <f t="shared" si="15"/>
        <v>0</v>
      </c>
      <c r="O11" s="2788">
        <f t="shared" si="5"/>
        <v>0</v>
      </c>
      <c r="P11" s="1615"/>
      <c r="Q11" s="2051"/>
      <c r="R11" s="2043"/>
      <c r="S11" s="2045">
        <f t="shared" si="16"/>
        <v>0</v>
      </c>
      <c r="T11" s="2788">
        <f t="shared" si="6"/>
        <v>0</v>
      </c>
      <c r="U11" s="1615"/>
      <c r="V11" s="2051"/>
      <c r="W11" s="2043"/>
      <c r="X11" s="2045">
        <f t="shared" si="17"/>
        <v>0</v>
      </c>
      <c r="Y11" s="2788">
        <f t="shared" si="7"/>
        <v>0</v>
      </c>
      <c r="Z11" s="1615"/>
      <c r="AA11" s="2051"/>
      <c r="AB11" s="2043"/>
      <c r="AC11" s="2045">
        <f t="shared" si="18"/>
        <v>0</v>
      </c>
      <c r="AD11" s="2788">
        <f t="shared" si="8"/>
        <v>0</v>
      </c>
      <c r="AE11" s="1615"/>
      <c r="AF11" s="2051"/>
      <c r="AG11" s="2043"/>
      <c r="AH11" s="2045">
        <f t="shared" si="19"/>
        <v>0</v>
      </c>
      <c r="AI11" s="2788" t="e">
        <f t="shared" si="9"/>
        <v>#DIV/0!</v>
      </c>
      <c r="AJ11" s="1615"/>
      <c r="AK11" s="2043">
        <f t="shared" si="10"/>
        <v>0</v>
      </c>
      <c r="AL11" s="2043">
        <f t="shared" si="10"/>
        <v>0</v>
      </c>
      <c r="AM11" s="2045">
        <f t="shared" si="11"/>
        <v>0</v>
      </c>
      <c r="AN11" s="2788">
        <f t="shared" si="12"/>
        <v>0</v>
      </c>
      <c r="AO11" s="1434"/>
      <c r="AP11" s="920"/>
      <c r="AQ11" s="920"/>
    </row>
    <row r="12" spans="1:43" s="1396" customFormat="1" ht="24.6" customHeight="1">
      <c r="A12" s="1572"/>
      <c r="B12" s="1424" t="s">
        <v>73</v>
      </c>
      <c r="C12" s="1485"/>
      <c r="D12" s="1486"/>
      <c r="E12" s="3081">
        <f t="shared" si="13"/>
        <v>0</v>
      </c>
      <c r="F12" s="1976">
        <f t="shared" si="3"/>
        <v>0</v>
      </c>
      <c r="G12" s="2051"/>
      <c r="H12" s="2043"/>
      <c r="I12" s="2045">
        <f t="shared" si="14"/>
        <v>0</v>
      </c>
      <c r="J12" s="2788">
        <f t="shared" si="4"/>
        <v>0</v>
      </c>
      <c r="K12" s="2049"/>
      <c r="L12" s="2051"/>
      <c r="M12" s="2043"/>
      <c r="N12" s="2045">
        <f t="shared" si="15"/>
        <v>0</v>
      </c>
      <c r="O12" s="2788">
        <f t="shared" si="5"/>
        <v>0</v>
      </c>
      <c r="P12" s="2049"/>
      <c r="Q12" s="2051"/>
      <c r="R12" s="2043"/>
      <c r="S12" s="2045">
        <f t="shared" si="16"/>
        <v>0</v>
      </c>
      <c r="T12" s="2788">
        <f t="shared" si="6"/>
        <v>0</v>
      </c>
      <c r="U12" s="2048"/>
      <c r="V12" s="2051"/>
      <c r="W12" s="2043"/>
      <c r="X12" s="2045">
        <f t="shared" si="17"/>
        <v>0</v>
      </c>
      <c r="Y12" s="2788">
        <f t="shared" si="7"/>
        <v>0</v>
      </c>
      <c r="Z12" s="2048"/>
      <c r="AA12" s="2051"/>
      <c r="AB12" s="2043"/>
      <c r="AC12" s="2045">
        <f t="shared" si="18"/>
        <v>0</v>
      </c>
      <c r="AD12" s="2788">
        <f t="shared" si="8"/>
        <v>0</v>
      </c>
      <c r="AE12" s="2048"/>
      <c r="AF12" s="2051"/>
      <c r="AG12" s="2043"/>
      <c r="AH12" s="2045">
        <f t="shared" si="19"/>
        <v>0</v>
      </c>
      <c r="AI12" s="2788" t="e">
        <f t="shared" si="9"/>
        <v>#DIV/0!</v>
      </c>
      <c r="AJ12" s="2048"/>
      <c r="AK12" s="2043">
        <f t="shared" si="10"/>
        <v>0</v>
      </c>
      <c r="AL12" s="2043">
        <f t="shared" si="10"/>
        <v>0</v>
      </c>
      <c r="AM12" s="2045">
        <f t="shared" si="11"/>
        <v>0</v>
      </c>
      <c r="AN12" s="2788">
        <f t="shared" si="12"/>
        <v>0</v>
      </c>
      <c r="AO12" s="1434"/>
      <c r="AP12" s="920"/>
      <c r="AQ12" s="920"/>
    </row>
    <row r="13" spans="1:43" s="1396" customFormat="1" ht="24.6" customHeight="1">
      <c r="A13" s="1572"/>
      <c r="B13" s="1424" t="s">
        <v>71</v>
      </c>
      <c r="C13" s="1485"/>
      <c r="D13" s="1486"/>
      <c r="E13" s="3081">
        <f t="shared" si="13"/>
        <v>0</v>
      </c>
      <c r="F13" s="1976">
        <f t="shared" si="3"/>
        <v>0</v>
      </c>
      <c r="G13" s="2051"/>
      <c r="H13" s="2043"/>
      <c r="I13" s="2045">
        <f t="shared" si="14"/>
        <v>0</v>
      </c>
      <c r="J13" s="2788">
        <f t="shared" si="4"/>
        <v>0</v>
      </c>
      <c r="K13" s="2048"/>
      <c r="L13" s="2051"/>
      <c r="M13" s="2051"/>
      <c r="N13" s="2045">
        <f t="shared" si="15"/>
        <v>0</v>
      </c>
      <c r="O13" s="2788">
        <f t="shared" si="5"/>
        <v>0</v>
      </c>
      <c r="P13" s="2048"/>
      <c r="Q13" s="2051"/>
      <c r="R13" s="2043"/>
      <c r="S13" s="2045">
        <f t="shared" si="16"/>
        <v>0</v>
      </c>
      <c r="T13" s="2788">
        <f t="shared" si="6"/>
        <v>0</v>
      </c>
      <c r="U13" s="2048"/>
      <c r="V13" s="2051"/>
      <c r="W13" s="2043"/>
      <c r="X13" s="2045">
        <f t="shared" si="17"/>
        <v>0</v>
      </c>
      <c r="Y13" s="2788">
        <f t="shared" si="7"/>
        <v>0</v>
      </c>
      <c r="Z13" s="2048"/>
      <c r="AA13" s="2051"/>
      <c r="AB13" s="2043"/>
      <c r="AC13" s="2045">
        <f t="shared" si="18"/>
        <v>0</v>
      </c>
      <c r="AD13" s="2788">
        <f t="shared" si="8"/>
        <v>0</v>
      </c>
      <c r="AE13" s="2048"/>
      <c r="AF13" s="2051"/>
      <c r="AG13" s="2043"/>
      <c r="AH13" s="2045">
        <f t="shared" si="19"/>
        <v>0</v>
      </c>
      <c r="AI13" s="2788" t="e">
        <f t="shared" si="9"/>
        <v>#DIV/0!</v>
      </c>
      <c r="AJ13" s="2048"/>
      <c r="AK13" s="2043">
        <f t="shared" si="10"/>
        <v>0</v>
      </c>
      <c r="AL13" s="2043">
        <f t="shared" si="10"/>
        <v>0</v>
      </c>
      <c r="AM13" s="2045">
        <f t="shared" si="11"/>
        <v>0</v>
      </c>
      <c r="AN13" s="2788">
        <f t="shared" si="12"/>
        <v>0</v>
      </c>
      <c r="AO13" s="1434"/>
      <c r="AP13" s="920"/>
      <c r="AQ13" s="920"/>
    </row>
    <row r="14" spans="1:43" s="1396" customFormat="1" ht="24.6" customHeight="1">
      <c r="A14" s="1572"/>
      <c r="B14" s="1424" t="s">
        <v>70</v>
      </c>
      <c r="C14" s="1485"/>
      <c r="D14" s="1486"/>
      <c r="E14" s="3081">
        <f t="shared" si="13"/>
        <v>0</v>
      </c>
      <c r="F14" s="1976">
        <f t="shared" si="3"/>
        <v>0</v>
      </c>
      <c r="G14" s="2051"/>
      <c r="H14" s="2043"/>
      <c r="I14" s="2045">
        <f t="shared" si="14"/>
        <v>0</v>
      </c>
      <c r="J14" s="2788">
        <f t="shared" si="4"/>
        <v>0</v>
      </c>
      <c r="K14" s="2048"/>
      <c r="L14" s="2051"/>
      <c r="M14" s="2043"/>
      <c r="N14" s="2045">
        <f t="shared" si="15"/>
        <v>0</v>
      </c>
      <c r="O14" s="2788">
        <f t="shared" si="5"/>
        <v>0</v>
      </c>
      <c r="P14" s="2048"/>
      <c r="Q14" s="2051"/>
      <c r="R14" s="2043"/>
      <c r="S14" s="2045">
        <f t="shared" si="16"/>
        <v>0</v>
      </c>
      <c r="T14" s="2788">
        <f t="shared" si="6"/>
        <v>0</v>
      </c>
      <c r="U14" s="2048"/>
      <c r="V14" s="2051"/>
      <c r="W14" s="2043"/>
      <c r="X14" s="2045">
        <f t="shared" si="17"/>
        <v>0</v>
      </c>
      <c r="Y14" s="2788">
        <f t="shared" si="7"/>
        <v>0</v>
      </c>
      <c r="Z14" s="2048"/>
      <c r="AA14" s="2051"/>
      <c r="AB14" s="2043"/>
      <c r="AC14" s="2045">
        <f t="shared" si="18"/>
        <v>0</v>
      </c>
      <c r="AD14" s="2788">
        <f t="shared" si="8"/>
        <v>0</v>
      </c>
      <c r="AE14" s="2048"/>
      <c r="AF14" s="2051"/>
      <c r="AG14" s="2043"/>
      <c r="AH14" s="2045">
        <f t="shared" si="19"/>
        <v>0</v>
      </c>
      <c r="AI14" s="2788" t="e">
        <f t="shared" si="9"/>
        <v>#DIV/0!</v>
      </c>
      <c r="AJ14" s="2048"/>
      <c r="AK14" s="2043">
        <f t="shared" si="10"/>
        <v>0</v>
      </c>
      <c r="AL14" s="2043">
        <f t="shared" si="10"/>
        <v>0</v>
      </c>
      <c r="AM14" s="2045">
        <f t="shared" si="11"/>
        <v>0</v>
      </c>
      <c r="AN14" s="2788">
        <f t="shared" si="12"/>
        <v>0</v>
      </c>
      <c r="AO14" s="1434"/>
      <c r="AP14" s="920"/>
      <c r="AQ14" s="920"/>
    </row>
    <row r="15" spans="1:43" s="1396" customFormat="1" ht="24.6" customHeight="1">
      <c r="A15" s="1572"/>
      <c r="B15" s="2789" t="s">
        <v>20</v>
      </c>
      <c r="C15" s="1485"/>
      <c r="D15" s="2790"/>
      <c r="E15" s="3081">
        <f t="shared" si="13"/>
        <v>0</v>
      </c>
      <c r="F15" s="1976">
        <f t="shared" si="3"/>
        <v>0</v>
      </c>
      <c r="G15" s="2051"/>
      <c r="H15" s="2043"/>
      <c r="I15" s="2045">
        <f t="shared" si="14"/>
        <v>0</v>
      </c>
      <c r="J15" s="2788">
        <f t="shared" si="4"/>
        <v>0</v>
      </c>
      <c r="K15" s="2048"/>
      <c r="L15" s="2051"/>
      <c r="M15" s="2043"/>
      <c r="N15" s="2045">
        <f t="shared" si="15"/>
        <v>0</v>
      </c>
      <c r="O15" s="2788">
        <f t="shared" si="5"/>
        <v>0</v>
      </c>
      <c r="P15" s="2048"/>
      <c r="Q15" s="2051"/>
      <c r="R15" s="2043"/>
      <c r="S15" s="2045">
        <f t="shared" si="16"/>
        <v>0</v>
      </c>
      <c r="T15" s="2788">
        <f t="shared" si="6"/>
        <v>0</v>
      </c>
      <c r="U15" s="1615"/>
      <c r="V15" s="2051"/>
      <c r="W15" s="2043"/>
      <c r="X15" s="2045">
        <f t="shared" si="17"/>
        <v>0</v>
      </c>
      <c r="Y15" s="2788">
        <f t="shared" si="7"/>
        <v>0</v>
      </c>
      <c r="Z15" s="2048"/>
      <c r="AA15" s="2051"/>
      <c r="AB15" s="2043"/>
      <c r="AC15" s="2045">
        <f t="shared" si="18"/>
        <v>0</v>
      </c>
      <c r="AD15" s="2788">
        <f t="shared" si="8"/>
        <v>0</v>
      </c>
      <c r="AE15" s="2048"/>
      <c r="AF15" s="2051"/>
      <c r="AG15" s="2043"/>
      <c r="AH15" s="2045">
        <f t="shared" si="19"/>
        <v>0</v>
      </c>
      <c r="AI15" s="2788" t="e">
        <f t="shared" si="9"/>
        <v>#DIV/0!</v>
      </c>
      <c r="AJ15" s="1615"/>
      <c r="AK15" s="2043">
        <f t="shared" si="10"/>
        <v>0</v>
      </c>
      <c r="AL15" s="2043">
        <f t="shared" si="10"/>
        <v>0</v>
      </c>
      <c r="AM15" s="2045">
        <f t="shared" si="11"/>
        <v>0</v>
      </c>
      <c r="AN15" s="2788">
        <f t="shared" si="12"/>
        <v>0</v>
      </c>
      <c r="AO15" s="1434"/>
      <c r="AP15" s="920"/>
      <c r="AQ15" s="920"/>
    </row>
    <row r="16" spans="1:43" s="1396" customFormat="1" ht="24.6" customHeight="1">
      <c r="A16" s="1572"/>
      <c r="B16" s="2789" t="s">
        <v>21</v>
      </c>
      <c r="C16" s="1485"/>
      <c r="D16" s="2790"/>
      <c r="E16" s="3081">
        <f t="shared" si="13"/>
        <v>0</v>
      </c>
      <c r="F16" s="1976">
        <f t="shared" si="3"/>
        <v>0</v>
      </c>
      <c r="G16" s="2051"/>
      <c r="H16" s="2043"/>
      <c r="I16" s="2045">
        <f t="shared" si="14"/>
        <v>0</v>
      </c>
      <c r="J16" s="2788">
        <f t="shared" si="4"/>
        <v>0</v>
      </c>
      <c r="K16" s="2047"/>
      <c r="L16" s="2051"/>
      <c r="M16" s="2043"/>
      <c r="N16" s="2045">
        <f t="shared" si="15"/>
        <v>0</v>
      </c>
      <c r="O16" s="2788">
        <f t="shared" si="5"/>
        <v>0</v>
      </c>
      <c r="P16" s="2046"/>
      <c r="Q16" s="2051"/>
      <c r="R16" s="2043"/>
      <c r="S16" s="2045">
        <f t="shared" si="16"/>
        <v>0</v>
      </c>
      <c r="T16" s="2788">
        <f t="shared" si="6"/>
        <v>0</v>
      </c>
      <c r="U16" s="2046"/>
      <c r="V16" s="2051"/>
      <c r="W16" s="2043"/>
      <c r="X16" s="2045">
        <f t="shared" si="17"/>
        <v>0</v>
      </c>
      <c r="Y16" s="2788">
        <f t="shared" si="7"/>
        <v>0</v>
      </c>
      <c r="Z16" s="2046"/>
      <c r="AA16" s="2051"/>
      <c r="AB16" s="2043"/>
      <c r="AC16" s="2045">
        <f t="shared" si="18"/>
        <v>0</v>
      </c>
      <c r="AD16" s="2788">
        <f t="shared" si="8"/>
        <v>0</v>
      </c>
      <c r="AE16" s="2046"/>
      <c r="AF16" s="2051"/>
      <c r="AG16" s="2043"/>
      <c r="AH16" s="2045">
        <f t="shared" si="19"/>
        <v>0</v>
      </c>
      <c r="AI16" s="2788" t="e">
        <f t="shared" si="9"/>
        <v>#DIV/0!</v>
      </c>
      <c r="AJ16" s="2046"/>
      <c r="AK16" s="2043">
        <f t="shared" si="10"/>
        <v>0</v>
      </c>
      <c r="AL16" s="2043">
        <f t="shared" si="10"/>
        <v>0</v>
      </c>
      <c r="AM16" s="2045">
        <f t="shared" si="11"/>
        <v>0</v>
      </c>
      <c r="AN16" s="2788">
        <f t="shared" si="12"/>
        <v>0</v>
      </c>
      <c r="AO16" s="1434"/>
      <c r="AP16" s="920"/>
      <c r="AQ16" s="920"/>
    </row>
    <row r="17" spans="1:43" s="1396" customFormat="1" ht="24.6" customHeight="1">
      <c r="A17" s="1572"/>
      <c r="B17" s="2789" t="s">
        <v>22</v>
      </c>
      <c r="C17" s="1485"/>
      <c r="D17" s="2790"/>
      <c r="E17" s="3081">
        <f t="shared" si="13"/>
        <v>0</v>
      </c>
      <c r="F17" s="1976">
        <f t="shared" si="3"/>
        <v>0</v>
      </c>
      <c r="G17" s="2051"/>
      <c r="H17" s="2043"/>
      <c r="I17" s="2045">
        <f t="shared" si="14"/>
        <v>0</v>
      </c>
      <c r="J17" s="2788">
        <f t="shared" si="4"/>
        <v>0</v>
      </c>
      <c r="K17" s="2049"/>
      <c r="L17" s="2051"/>
      <c r="M17" s="2043"/>
      <c r="N17" s="2045">
        <f t="shared" si="15"/>
        <v>0</v>
      </c>
      <c r="O17" s="2788">
        <f t="shared" si="5"/>
        <v>0</v>
      </c>
      <c r="P17" s="2048"/>
      <c r="Q17" s="2051"/>
      <c r="R17" s="2043"/>
      <c r="S17" s="2045">
        <f t="shared" si="16"/>
        <v>0</v>
      </c>
      <c r="T17" s="2788">
        <f t="shared" si="6"/>
        <v>0</v>
      </c>
      <c r="U17" s="2048"/>
      <c r="V17" s="2051"/>
      <c r="W17" s="2043"/>
      <c r="X17" s="2045">
        <f t="shared" si="17"/>
        <v>0</v>
      </c>
      <c r="Y17" s="2788">
        <f t="shared" si="7"/>
        <v>0</v>
      </c>
      <c r="Z17" s="2048"/>
      <c r="AA17" s="2051"/>
      <c r="AB17" s="2043"/>
      <c r="AC17" s="2045">
        <f t="shared" si="18"/>
        <v>0</v>
      </c>
      <c r="AD17" s="2788">
        <f t="shared" si="8"/>
        <v>0</v>
      </c>
      <c r="AE17" s="2048"/>
      <c r="AF17" s="2051"/>
      <c r="AG17" s="2043"/>
      <c r="AH17" s="2045">
        <f t="shared" si="19"/>
        <v>0</v>
      </c>
      <c r="AI17" s="2788" t="e">
        <f t="shared" si="9"/>
        <v>#DIV/0!</v>
      </c>
      <c r="AJ17" s="2048"/>
      <c r="AK17" s="2043">
        <f t="shared" si="10"/>
        <v>0</v>
      </c>
      <c r="AL17" s="2043">
        <f t="shared" si="10"/>
        <v>0</v>
      </c>
      <c r="AM17" s="2045">
        <f t="shared" si="11"/>
        <v>0</v>
      </c>
      <c r="AN17" s="2788">
        <f t="shared" si="12"/>
        <v>0</v>
      </c>
      <c r="AO17" s="1434"/>
      <c r="AP17" s="920"/>
      <c r="AQ17" s="920"/>
    </row>
    <row r="18" spans="1:43" s="1396" customFormat="1" ht="27.6" customHeight="1">
      <c r="A18" s="1572"/>
      <c r="B18" s="2789" t="s">
        <v>0</v>
      </c>
      <c r="C18" s="1485">
        <v>278100</v>
      </c>
      <c r="D18" s="2790"/>
      <c r="E18" s="3081">
        <f t="shared" si="13"/>
        <v>278100</v>
      </c>
      <c r="F18" s="1976">
        <f t="shared" si="3"/>
        <v>0.88963531669865648</v>
      </c>
      <c r="G18" s="2051"/>
      <c r="H18" s="2043"/>
      <c r="I18" s="2045">
        <f t="shared" si="14"/>
        <v>0</v>
      </c>
      <c r="J18" s="2788">
        <f t="shared" si="4"/>
        <v>0</v>
      </c>
      <c r="K18" s="2055"/>
      <c r="L18" s="2051"/>
      <c r="M18" s="2043">
        <v>7500</v>
      </c>
      <c r="N18" s="2045">
        <f t="shared" si="15"/>
        <v>7500</v>
      </c>
      <c r="O18" s="2788">
        <f t="shared" si="5"/>
        <v>0.50674888160521825</v>
      </c>
      <c r="P18" s="2046" t="s">
        <v>1389</v>
      </c>
      <c r="Q18" s="2051">
        <f>30000+16000+3321.4</f>
        <v>49321.4</v>
      </c>
      <c r="R18" s="2043"/>
      <c r="S18" s="2045">
        <f t="shared" si="16"/>
        <v>49321.4</v>
      </c>
      <c r="T18" s="2788">
        <f t="shared" si="6"/>
        <v>0.99888590523288345</v>
      </c>
      <c r="U18" s="2055" t="s">
        <v>1424</v>
      </c>
      <c r="V18" s="2051"/>
      <c r="W18" s="2043"/>
      <c r="X18" s="2045">
        <f t="shared" si="17"/>
        <v>0</v>
      </c>
      <c r="Y18" s="2788">
        <f t="shared" si="7"/>
        <v>0</v>
      </c>
      <c r="Z18" s="2046"/>
      <c r="AA18" s="2051"/>
      <c r="AB18" s="2043"/>
      <c r="AC18" s="2045">
        <f t="shared" si="18"/>
        <v>0</v>
      </c>
      <c r="AD18" s="2788">
        <f t="shared" si="8"/>
        <v>0</v>
      </c>
      <c r="AE18" s="2046"/>
      <c r="AF18" s="1618"/>
      <c r="AG18" s="2043"/>
      <c r="AH18" s="2045">
        <f t="shared" si="19"/>
        <v>0</v>
      </c>
      <c r="AI18" s="2788" t="e">
        <f t="shared" si="9"/>
        <v>#DIV/0!</v>
      </c>
      <c r="AJ18" s="2055"/>
      <c r="AK18" s="2043">
        <f t="shared" si="10"/>
        <v>49321.4</v>
      </c>
      <c r="AL18" s="2043">
        <f t="shared" si="10"/>
        <v>7500</v>
      </c>
      <c r="AM18" s="1872">
        <f t="shared" si="11"/>
        <v>56821.4</v>
      </c>
      <c r="AN18" s="2788">
        <f t="shared" si="12"/>
        <v>0.72051438539621038</v>
      </c>
      <c r="AO18" s="1434"/>
      <c r="AP18" s="920"/>
      <c r="AQ18" s="920"/>
    </row>
    <row r="19" spans="1:43" s="1396" customFormat="1" ht="24.6" customHeight="1">
      <c r="A19" s="1572"/>
      <c r="B19" s="2789" t="s">
        <v>53</v>
      </c>
      <c r="C19" s="2675"/>
      <c r="D19" s="2790"/>
      <c r="E19" s="3081">
        <f t="shared" si="13"/>
        <v>0</v>
      </c>
      <c r="F19" s="1976">
        <f t="shared" si="3"/>
        <v>0</v>
      </c>
      <c r="G19" s="2051"/>
      <c r="H19" s="2043"/>
      <c r="I19" s="2045">
        <f t="shared" si="14"/>
        <v>0</v>
      </c>
      <c r="J19" s="2788">
        <f t="shared" si="4"/>
        <v>0</v>
      </c>
      <c r="K19" s="2049"/>
      <c r="L19" s="2051"/>
      <c r="M19" s="2043"/>
      <c r="N19" s="2045">
        <f t="shared" si="15"/>
        <v>0</v>
      </c>
      <c r="O19" s="2788">
        <f t="shared" si="5"/>
        <v>0</v>
      </c>
      <c r="P19" s="2048"/>
      <c r="Q19" s="2051"/>
      <c r="R19" s="2043"/>
      <c r="S19" s="2045">
        <f t="shared" si="16"/>
        <v>0</v>
      </c>
      <c r="T19" s="2788">
        <f t="shared" si="6"/>
        <v>0</v>
      </c>
      <c r="U19" s="2048"/>
      <c r="V19" s="2051"/>
      <c r="W19" s="2043"/>
      <c r="X19" s="2045">
        <f t="shared" si="17"/>
        <v>0</v>
      </c>
      <c r="Y19" s="2788">
        <f t="shared" si="7"/>
        <v>0</v>
      </c>
      <c r="Z19" s="2048"/>
      <c r="AA19" s="2051"/>
      <c r="AB19" s="2043"/>
      <c r="AC19" s="2045">
        <f t="shared" si="18"/>
        <v>0</v>
      </c>
      <c r="AD19" s="2788">
        <f t="shared" si="8"/>
        <v>0</v>
      </c>
      <c r="AE19" s="2048"/>
      <c r="AF19" s="2051"/>
      <c r="AG19" s="2043"/>
      <c r="AH19" s="2045">
        <f t="shared" si="19"/>
        <v>0</v>
      </c>
      <c r="AI19" s="2788" t="e">
        <f t="shared" si="9"/>
        <v>#DIV/0!</v>
      </c>
      <c r="AJ19" s="2048"/>
      <c r="AK19" s="2043">
        <f t="shared" si="10"/>
        <v>0</v>
      </c>
      <c r="AL19" s="2043">
        <f t="shared" si="10"/>
        <v>0</v>
      </c>
      <c r="AM19" s="2045">
        <f t="shared" si="11"/>
        <v>0</v>
      </c>
      <c r="AN19" s="2788">
        <f t="shared" si="12"/>
        <v>0</v>
      </c>
      <c r="AO19" s="1434"/>
      <c r="AP19" s="920"/>
      <c r="AQ19" s="920"/>
    </row>
    <row r="20" spans="1:43" s="1396" customFormat="1" ht="24.6" customHeight="1">
      <c r="A20" s="1572"/>
      <c r="B20" s="2789" t="s">
        <v>57</v>
      </c>
      <c r="C20" s="2675"/>
      <c r="D20" s="2790"/>
      <c r="E20" s="3081">
        <f t="shared" si="13"/>
        <v>0</v>
      </c>
      <c r="F20" s="1976">
        <f t="shared" si="3"/>
        <v>0</v>
      </c>
      <c r="G20" s="2051"/>
      <c r="H20" s="2043"/>
      <c r="I20" s="2045">
        <f t="shared" si="14"/>
        <v>0</v>
      </c>
      <c r="J20" s="2788">
        <f t="shared" si="4"/>
        <v>0</v>
      </c>
      <c r="K20" s="2049"/>
      <c r="L20" s="2051"/>
      <c r="M20" s="2043"/>
      <c r="N20" s="2045">
        <f t="shared" si="15"/>
        <v>0</v>
      </c>
      <c r="O20" s="2788">
        <f t="shared" si="5"/>
        <v>0</v>
      </c>
      <c r="P20" s="2048"/>
      <c r="Q20" s="2051"/>
      <c r="R20" s="2043"/>
      <c r="S20" s="2045">
        <f t="shared" si="16"/>
        <v>0</v>
      </c>
      <c r="T20" s="2788">
        <f t="shared" si="6"/>
        <v>0</v>
      </c>
      <c r="U20" s="2048"/>
      <c r="V20" s="2051"/>
      <c r="W20" s="2043"/>
      <c r="X20" s="2045">
        <f t="shared" si="17"/>
        <v>0</v>
      </c>
      <c r="Y20" s="2788">
        <f t="shared" si="7"/>
        <v>0</v>
      </c>
      <c r="Z20" s="2048"/>
      <c r="AA20" s="2051"/>
      <c r="AB20" s="2043"/>
      <c r="AC20" s="2045">
        <f t="shared" si="18"/>
        <v>0</v>
      </c>
      <c r="AD20" s="2788">
        <f t="shared" si="8"/>
        <v>0</v>
      </c>
      <c r="AE20" s="2048"/>
      <c r="AF20" s="2051"/>
      <c r="AG20" s="2043"/>
      <c r="AH20" s="2045">
        <f t="shared" si="19"/>
        <v>0</v>
      </c>
      <c r="AI20" s="2788" t="e">
        <f t="shared" si="9"/>
        <v>#DIV/0!</v>
      </c>
      <c r="AJ20" s="2048"/>
      <c r="AK20" s="2043">
        <f t="shared" si="10"/>
        <v>0</v>
      </c>
      <c r="AL20" s="2043">
        <f t="shared" si="10"/>
        <v>0</v>
      </c>
      <c r="AM20" s="2045">
        <f t="shared" si="11"/>
        <v>0</v>
      </c>
      <c r="AN20" s="2788">
        <f t="shared" si="12"/>
        <v>0</v>
      </c>
      <c r="AO20" s="1434"/>
      <c r="AP20" s="920"/>
      <c r="AQ20" s="920"/>
    </row>
    <row r="21" spans="1:43" s="1396" customFormat="1" ht="24.6" customHeight="1">
      <c r="A21" s="1572"/>
      <c r="B21" s="2789" t="s">
        <v>58</v>
      </c>
      <c r="C21" s="2675"/>
      <c r="D21" s="2790"/>
      <c r="E21" s="3081">
        <f t="shared" si="13"/>
        <v>0</v>
      </c>
      <c r="F21" s="1976">
        <f t="shared" si="3"/>
        <v>0</v>
      </c>
      <c r="G21" s="2051"/>
      <c r="H21" s="2043"/>
      <c r="I21" s="2045">
        <f t="shared" si="14"/>
        <v>0</v>
      </c>
      <c r="J21" s="2788">
        <f t="shared" si="4"/>
        <v>0</v>
      </c>
      <c r="K21" s="2046"/>
      <c r="L21" s="2051"/>
      <c r="M21" s="2043"/>
      <c r="N21" s="2045">
        <f t="shared" si="15"/>
        <v>0</v>
      </c>
      <c r="O21" s="2788">
        <f t="shared" si="5"/>
        <v>0</v>
      </c>
      <c r="P21" s="2048"/>
      <c r="Q21" s="2051"/>
      <c r="R21" s="2043"/>
      <c r="S21" s="2045">
        <f t="shared" si="16"/>
        <v>0</v>
      </c>
      <c r="T21" s="2788">
        <f t="shared" si="6"/>
        <v>0</v>
      </c>
      <c r="U21" s="2048"/>
      <c r="V21" s="2051"/>
      <c r="W21" s="2043"/>
      <c r="X21" s="2045">
        <f t="shared" si="17"/>
        <v>0</v>
      </c>
      <c r="Y21" s="2788">
        <f t="shared" si="7"/>
        <v>0</v>
      </c>
      <c r="Z21" s="2048"/>
      <c r="AA21" s="2051"/>
      <c r="AB21" s="2043"/>
      <c r="AC21" s="2045">
        <f t="shared" si="18"/>
        <v>0</v>
      </c>
      <c r="AD21" s="2788">
        <f t="shared" si="8"/>
        <v>0</v>
      </c>
      <c r="AE21" s="2048"/>
      <c r="AF21" s="2051"/>
      <c r="AG21" s="2043"/>
      <c r="AH21" s="2045">
        <f t="shared" si="19"/>
        <v>0</v>
      </c>
      <c r="AI21" s="2788" t="e">
        <f t="shared" si="9"/>
        <v>#DIV/0!</v>
      </c>
      <c r="AJ21" s="2048"/>
      <c r="AK21" s="2043">
        <f t="shared" si="10"/>
        <v>0</v>
      </c>
      <c r="AL21" s="2043">
        <f t="shared" si="10"/>
        <v>0</v>
      </c>
      <c r="AM21" s="2045">
        <f t="shared" si="11"/>
        <v>0</v>
      </c>
      <c r="AN21" s="2788">
        <f t="shared" si="12"/>
        <v>0</v>
      </c>
      <c r="AO21" s="1434"/>
      <c r="AP21" s="920"/>
      <c r="AQ21" s="920"/>
    </row>
    <row r="22" spans="1:43" s="1396" customFormat="1" ht="24.6" customHeight="1">
      <c r="A22" s="1572"/>
      <c r="B22" s="2789" t="s">
        <v>621</v>
      </c>
      <c r="C22" s="2675"/>
      <c r="D22" s="2790"/>
      <c r="E22" s="3081">
        <f t="shared" si="13"/>
        <v>0</v>
      </c>
      <c r="F22" s="1976">
        <f t="shared" si="3"/>
        <v>0</v>
      </c>
      <c r="G22" s="2051"/>
      <c r="H22" s="2043"/>
      <c r="I22" s="2045">
        <f t="shared" si="14"/>
        <v>0</v>
      </c>
      <c r="J22" s="2788">
        <f t="shared" si="4"/>
        <v>0</v>
      </c>
      <c r="K22" s="2049"/>
      <c r="L22" s="2051"/>
      <c r="M22" s="2043"/>
      <c r="N22" s="2045">
        <f t="shared" si="15"/>
        <v>0</v>
      </c>
      <c r="O22" s="2788">
        <f t="shared" si="5"/>
        <v>0</v>
      </c>
      <c r="P22" s="2048"/>
      <c r="Q22" s="2051"/>
      <c r="R22" s="2043"/>
      <c r="S22" s="2045">
        <f t="shared" si="16"/>
        <v>0</v>
      </c>
      <c r="T22" s="2788">
        <f t="shared" si="6"/>
        <v>0</v>
      </c>
      <c r="U22" s="2048"/>
      <c r="V22" s="2051"/>
      <c r="W22" s="2043"/>
      <c r="X22" s="2045">
        <f t="shared" si="17"/>
        <v>0</v>
      </c>
      <c r="Y22" s="2788">
        <f t="shared" si="7"/>
        <v>0</v>
      </c>
      <c r="Z22" s="2048"/>
      <c r="AA22" s="2051"/>
      <c r="AB22" s="2043"/>
      <c r="AC22" s="2045">
        <f t="shared" si="18"/>
        <v>0</v>
      </c>
      <c r="AD22" s="2788">
        <f t="shared" si="8"/>
        <v>0</v>
      </c>
      <c r="AE22" s="2048"/>
      <c r="AF22" s="2051"/>
      <c r="AG22" s="2043"/>
      <c r="AH22" s="2045">
        <f t="shared" si="19"/>
        <v>0</v>
      </c>
      <c r="AI22" s="2788" t="e">
        <f t="shared" si="9"/>
        <v>#DIV/0!</v>
      </c>
      <c r="AJ22" s="2048"/>
      <c r="AK22" s="2043">
        <f t="shared" si="10"/>
        <v>0</v>
      </c>
      <c r="AL22" s="2043">
        <f t="shared" si="10"/>
        <v>0</v>
      </c>
      <c r="AM22" s="2045">
        <f t="shared" si="11"/>
        <v>0</v>
      </c>
      <c r="AN22" s="2788">
        <f t="shared" si="12"/>
        <v>0</v>
      </c>
      <c r="AO22" s="1434"/>
      <c r="AP22" s="920"/>
      <c r="AQ22" s="920"/>
    </row>
    <row r="23" spans="1:43" s="1396" customFormat="1" ht="24.6" customHeight="1">
      <c r="A23" s="1572"/>
      <c r="B23" s="2789" t="s">
        <v>630</v>
      </c>
      <c r="C23" s="2675"/>
      <c r="D23" s="2790"/>
      <c r="E23" s="3081">
        <f t="shared" si="13"/>
        <v>0</v>
      </c>
      <c r="F23" s="1976">
        <f t="shared" si="3"/>
        <v>0</v>
      </c>
      <c r="G23" s="2051"/>
      <c r="H23" s="2043"/>
      <c r="I23" s="2045">
        <f t="shared" si="14"/>
        <v>0</v>
      </c>
      <c r="J23" s="2788">
        <f t="shared" si="4"/>
        <v>0</v>
      </c>
      <c r="K23" s="2049"/>
      <c r="L23" s="2051"/>
      <c r="M23" s="2043"/>
      <c r="N23" s="2045">
        <f t="shared" si="15"/>
        <v>0</v>
      </c>
      <c r="O23" s="2788">
        <f t="shared" si="5"/>
        <v>0</v>
      </c>
      <c r="P23" s="2048"/>
      <c r="Q23" s="2051"/>
      <c r="R23" s="2043"/>
      <c r="S23" s="2045">
        <f t="shared" si="16"/>
        <v>0</v>
      </c>
      <c r="T23" s="2788">
        <f t="shared" si="6"/>
        <v>0</v>
      </c>
      <c r="U23" s="2048"/>
      <c r="V23" s="2051"/>
      <c r="W23" s="2043"/>
      <c r="X23" s="2045">
        <f t="shared" si="17"/>
        <v>0</v>
      </c>
      <c r="Y23" s="2788">
        <f t="shared" si="7"/>
        <v>0</v>
      </c>
      <c r="Z23" s="2048"/>
      <c r="AA23" s="2051"/>
      <c r="AB23" s="2043"/>
      <c r="AC23" s="2045">
        <f t="shared" si="18"/>
        <v>0</v>
      </c>
      <c r="AD23" s="2788">
        <f t="shared" si="8"/>
        <v>0</v>
      </c>
      <c r="AE23" s="2048"/>
      <c r="AF23" s="2051"/>
      <c r="AG23" s="2043"/>
      <c r="AH23" s="2045">
        <f t="shared" si="19"/>
        <v>0</v>
      </c>
      <c r="AI23" s="2788" t="e">
        <f t="shared" si="9"/>
        <v>#DIV/0!</v>
      </c>
      <c r="AJ23" s="2048"/>
      <c r="AK23" s="2043">
        <f t="shared" si="10"/>
        <v>0</v>
      </c>
      <c r="AL23" s="2043">
        <f t="shared" si="10"/>
        <v>0</v>
      </c>
      <c r="AM23" s="2045">
        <f t="shared" si="11"/>
        <v>0</v>
      </c>
      <c r="AN23" s="2788">
        <f t="shared" si="12"/>
        <v>0</v>
      </c>
      <c r="AO23" s="1434"/>
      <c r="AP23" s="920"/>
      <c r="AQ23" s="920"/>
    </row>
    <row r="24" spans="1:43" s="1396" customFormat="1" ht="24.6" customHeight="1">
      <c r="A24" s="1572"/>
      <c r="B24" s="2789" t="s">
        <v>23</v>
      </c>
      <c r="C24" s="2675"/>
      <c r="D24" s="2790"/>
      <c r="E24" s="3081">
        <f t="shared" si="13"/>
        <v>0</v>
      </c>
      <c r="F24" s="1976">
        <f t="shared" si="3"/>
        <v>0</v>
      </c>
      <c r="G24" s="2051"/>
      <c r="H24" s="2043"/>
      <c r="I24" s="2045">
        <f t="shared" si="14"/>
        <v>0</v>
      </c>
      <c r="J24" s="2788">
        <f t="shared" si="4"/>
        <v>0</v>
      </c>
      <c r="K24" s="2049"/>
      <c r="L24" s="2051"/>
      <c r="M24" s="2043"/>
      <c r="N24" s="2045">
        <f t="shared" si="15"/>
        <v>0</v>
      </c>
      <c r="O24" s="2788">
        <f t="shared" si="5"/>
        <v>0</v>
      </c>
      <c r="P24" s="2048"/>
      <c r="Q24" s="2051"/>
      <c r="R24" s="2043"/>
      <c r="S24" s="2045">
        <f t="shared" si="16"/>
        <v>0</v>
      </c>
      <c r="T24" s="2788">
        <f t="shared" si="6"/>
        <v>0</v>
      </c>
      <c r="U24" s="2046"/>
      <c r="V24" s="2051"/>
      <c r="W24" s="2043"/>
      <c r="X24" s="2045">
        <f t="shared" si="17"/>
        <v>0</v>
      </c>
      <c r="Y24" s="2788">
        <f t="shared" si="7"/>
        <v>0</v>
      </c>
      <c r="Z24" s="2048"/>
      <c r="AA24" s="2051"/>
      <c r="AB24" s="2043"/>
      <c r="AC24" s="2045">
        <f t="shared" si="18"/>
        <v>0</v>
      </c>
      <c r="AD24" s="2788">
        <f t="shared" si="8"/>
        <v>0</v>
      </c>
      <c r="AE24" s="2048"/>
      <c r="AF24" s="2051"/>
      <c r="AG24" s="2043"/>
      <c r="AH24" s="2045">
        <f t="shared" si="19"/>
        <v>0</v>
      </c>
      <c r="AI24" s="2788" t="e">
        <f t="shared" si="9"/>
        <v>#DIV/0!</v>
      </c>
      <c r="AJ24" s="2046"/>
      <c r="AK24" s="2043">
        <f t="shared" si="10"/>
        <v>0</v>
      </c>
      <c r="AL24" s="2043">
        <f t="shared" si="10"/>
        <v>0</v>
      </c>
      <c r="AM24" s="2045">
        <f t="shared" si="11"/>
        <v>0</v>
      </c>
      <c r="AN24" s="2788">
        <f t="shared" si="12"/>
        <v>0</v>
      </c>
      <c r="AO24" s="1434"/>
      <c r="AP24" s="920"/>
      <c r="AQ24" s="920"/>
    </row>
    <row r="25" spans="1:43" s="1396" customFormat="1" ht="24.6" customHeight="1">
      <c r="A25" s="1572"/>
      <c r="B25" s="2789" t="s">
        <v>24</v>
      </c>
      <c r="C25" s="2675"/>
      <c r="D25" s="2790"/>
      <c r="E25" s="3081">
        <f t="shared" si="13"/>
        <v>0</v>
      </c>
      <c r="F25" s="1976">
        <f t="shared" si="3"/>
        <v>0</v>
      </c>
      <c r="G25" s="2051"/>
      <c r="H25" s="2043"/>
      <c r="I25" s="2045">
        <f t="shared" si="14"/>
        <v>0</v>
      </c>
      <c r="J25" s="2788">
        <f t="shared" si="4"/>
        <v>0</v>
      </c>
      <c r="K25" s="2055"/>
      <c r="L25" s="2051"/>
      <c r="M25" s="2043"/>
      <c r="N25" s="2045">
        <f t="shared" si="15"/>
        <v>0</v>
      </c>
      <c r="O25" s="2788">
        <f t="shared" si="5"/>
        <v>0</v>
      </c>
      <c r="P25" s="2046"/>
      <c r="Q25" s="2051"/>
      <c r="R25" s="2043"/>
      <c r="S25" s="2045">
        <f t="shared" si="16"/>
        <v>0</v>
      </c>
      <c r="T25" s="2788">
        <f t="shared" si="6"/>
        <v>0</v>
      </c>
      <c r="U25" s="2046"/>
      <c r="V25" s="2051"/>
      <c r="W25" s="2043"/>
      <c r="X25" s="2045">
        <f t="shared" si="17"/>
        <v>0</v>
      </c>
      <c r="Y25" s="2788">
        <f t="shared" si="7"/>
        <v>0</v>
      </c>
      <c r="Z25" s="2046"/>
      <c r="AA25" s="2051"/>
      <c r="AB25" s="2043"/>
      <c r="AC25" s="2045">
        <f t="shared" si="18"/>
        <v>0</v>
      </c>
      <c r="AD25" s="2788">
        <f t="shared" si="8"/>
        <v>0</v>
      </c>
      <c r="AE25" s="2046"/>
      <c r="AF25" s="2051"/>
      <c r="AG25" s="2043"/>
      <c r="AH25" s="2045">
        <f t="shared" si="19"/>
        <v>0</v>
      </c>
      <c r="AI25" s="2788" t="e">
        <f t="shared" si="9"/>
        <v>#DIV/0!</v>
      </c>
      <c r="AJ25" s="2046"/>
      <c r="AK25" s="2043">
        <f t="shared" si="10"/>
        <v>0</v>
      </c>
      <c r="AL25" s="2043">
        <f t="shared" si="10"/>
        <v>0</v>
      </c>
      <c r="AM25" s="2045">
        <f t="shared" si="11"/>
        <v>0</v>
      </c>
      <c r="AN25" s="2788">
        <f t="shared" si="12"/>
        <v>0</v>
      </c>
      <c r="AO25" s="1434"/>
      <c r="AP25" s="920"/>
      <c r="AQ25" s="920"/>
    </row>
    <row r="26" spans="1:43" s="1396" customFormat="1" ht="24.6" customHeight="1">
      <c r="A26" s="1572"/>
      <c r="B26" s="2789" t="s">
        <v>45</v>
      </c>
      <c r="C26" s="2675"/>
      <c r="D26" s="2790"/>
      <c r="E26" s="3081">
        <f t="shared" si="13"/>
        <v>0</v>
      </c>
      <c r="F26" s="1976">
        <f t="shared" si="3"/>
        <v>0</v>
      </c>
      <c r="G26" s="2051"/>
      <c r="H26" s="2043"/>
      <c r="I26" s="2045">
        <f t="shared" si="14"/>
        <v>0</v>
      </c>
      <c r="J26" s="2788">
        <f t="shared" si="4"/>
        <v>0</v>
      </c>
      <c r="K26" s="2126"/>
      <c r="L26" s="2051"/>
      <c r="M26" s="2043"/>
      <c r="N26" s="2045">
        <f t="shared" si="15"/>
        <v>0</v>
      </c>
      <c r="O26" s="2788">
        <f t="shared" si="5"/>
        <v>0</v>
      </c>
      <c r="P26" s="2048"/>
      <c r="Q26" s="2051"/>
      <c r="R26" s="2043"/>
      <c r="S26" s="2045">
        <f t="shared" si="16"/>
        <v>0</v>
      </c>
      <c r="T26" s="2788">
        <f t="shared" si="6"/>
        <v>0</v>
      </c>
      <c r="U26" s="2048"/>
      <c r="V26" s="2051"/>
      <c r="W26" s="2043"/>
      <c r="X26" s="2045">
        <f t="shared" si="17"/>
        <v>0</v>
      </c>
      <c r="Y26" s="2788">
        <f t="shared" si="7"/>
        <v>0</v>
      </c>
      <c r="Z26" s="2048"/>
      <c r="AA26" s="2051"/>
      <c r="AB26" s="2043"/>
      <c r="AC26" s="2045">
        <f t="shared" si="18"/>
        <v>0</v>
      </c>
      <c r="AD26" s="2788">
        <f t="shared" si="8"/>
        <v>0</v>
      </c>
      <c r="AE26" s="2048"/>
      <c r="AF26" s="2051"/>
      <c r="AG26" s="2043"/>
      <c r="AH26" s="2045">
        <f t="shared" si="19"/>
        <v>0</v>
      </c>
      <c r="AI26" s="2788" t="e">
        <f t="shared" si="9"/>
        <v>#DIV/0!</v>
      </c>
      <c r="AJ26" s="2048"/>
      <c r="AK26" s="2043">
        <f t="shared" si="10"/>
        <v>0</v>
      </c>
      <c r="AL26" s="2043">
        <f t="shared" si="10"/>
        <v>0</v>
      </c>
      <c r="AM26" s="2045">
        <f t="shared" si="11"/>
        <v>0</v>
      </c>
      <c r="AN26" s="2788">
        <f t="shared" si="12"/>
        <v>0</v>
      </c>
      <c r="AO26" s="1434"/>
      <c r="AP26" s="920"/>
      <c r="AQ26" s="920"/>
    </row>
    <row r="27" spans="1:43" s="1396" customFormat="1" ht="24.6" customHeight="1">
      <c r="A27" s="1572"/>
      <c r="B27" s="2789" t="s">
        <v>25</v>
      </c>
      <c r="C27" s="2675"/>
      <c r="D27" s="2790"/>
      <c r="E27" s="3081">
        <f t="shared" si="13"/>
        <v>0</v>
      </c>
      <c r="F27" s="1976">
        <f t="shared" si="3"/>
        <v>0</v>
      </c>
      <c r="G27" s="2051"/>
      <c r="H27" s="2043"/>
      <c r="I27" s="2045">
        <f t="shared" si="14"/>
        <v>0</v>
      </c>
      <c r="J27" s="2788">
        <f t="shared" si="4"/>
        <v>0</v>
      </c>
      <c r="K27" s="2055"/>
      <c r="L27" s="2051"/>
      <c r="M27" s="2043"/>
      <c r="N27" s="2045">
        <f t="shared" si="15"/>
        <v>0</v>
      </c>
      <c r="O27" s="2788">
        <f t="shared" si="5"/>
        <v>0</v>
      </c>
      <c r="P27" s="2046"/>
      <c r="Q27" s="2051"/>
      <c r="R27" s="2043"/>
      <c r="S27" s="2045">
        <f t="shared" si="16"/>
        <v>0</v>
      </c>
      <c r="T27" s="2788">
        <f t="shared" si="6"/>
        <v>0</v>
      </c>
      <c r="U27" s="2046"/>
      <c r="V27" s="2051"/>
      <c r="W27" s="2043"/>
      <c r="X27" s="2045">
        <f t="shared" si="17"/>
        <v>0</v>
      </c>
      <c r="Y27" s="2788">
        <f t="shared" si="7"/>
        <v>0</v>
      </c>
      <c r="Z27" s="2046"/>
      <c r="AA27" s="2051"/>
      <c r="AB27" s="2043"/>
      <c r="AC27" s="2045">
        <f t="shared" si="18"/>
        <v>0</v>
      </c>
      <c r="AD27" s="2788">
        <f t="shared" si="8"/>
        <v>0</v>
      </c>
      <c r="AE27" s="2046"/>
      <c r="AF27" s="2051"/>
      <c r="AG27" s="2043"/>
      <c r="AH27" s="2045">
        <f t="shared" si="19"/>
        <v>0</v>
      </c>
      <c r="AI27" s="2788" t="e">
        <f t="shared" si="9"/>
        <v>#DIV/0!</v>
      </c>
      <c r="AJ27" s="2046"/>
      <c r="AK27" s="2043">
        <f t="shared" si="10"/>
        <v>0</v>
      </c>
      <c r="AL27" s="2043">
        <f t="shared" si="10"/>
        <v>0</v>
      </c>
      <c r="AM27" s="2045">
        <f t="shared" si="11"/>
        <v>0</v>
      </c>
      <c r="AN27" s="2788">
        <f t="shared" si="12"/>
        <v>0</v>
      </c>
      <c r="AO27" s="1434"/>
      <c r="AP27" s="920"/>
      <c r="AQ27" s="920"/>
    </row>
    <row r="28" spans="1:43" s="1396" customFormat="1" ht="24.6" customHeight="1">
      <c r="A28" s="1572"/>
      <c r="B28" s="2789" t="s">
        <v>52</v>
      </c>
      <c r="C28" s="2675"/>
      <c r="D28" s="2790"/>
      <c r="E28" s="3081">
        <f t="shared" si="13"/>
        <v>0</v>
      </c>
      <c r="F28" s="1976">
        <f t="shared" si="3"/>
        <v>0</v>
      </c>
      <c r="G28" s="2051"/>
      <c r="H28" s="2043"/>
      <c r="I28" s="2045">
        <f t="shared" si="14"/>
        <v>0</v>
      </c>
      <c r="J28" s="2788">
        <f t="shared" si="4"/>
        <v>0</v>
      </c>
      <c r="K28" s="2055"/>
      <c r="L28" s="2051"/>
      <c r="M28" s="2043"/>
      <c r="N28" s="2045">
        <f t="shared" si="15"/>
        <v>0</v>
      </c>
      <c r="O28" s="2788">
        <f t="shared" si="5"/>
        <v>0</v>
      </c>
      <c r="P28" s="2046"/>
      <c r="Q28" s="2051"/>
      <c r="R28" s="2043"/>
      <c r="S28" s="2045">
        <f t="shared" si="16"/>
        <v>0</v>
      </c>
      <c r="T28" s="2788">
        <f t="shared" si="6"/>
        <v>0</v>
      </c>
      <c r="U28" s="2046"/>
      <c r="V28" s="2051"/>
      <c r="W28" s="2043"/>
      <c r="X28" s="2045">
        <f t="shared" si="17"/>
        <v>0</v>
      </c>
      <c r="Y28" s="2788">
        <f t="shared" si="7"/>
        <v>0</v>
      </c>
      <c r="Z28" s="2046"/>
      <c r="AA28" s="2051"/>
      <c r="AB28" s="2043"/>
      <c r="AC28" s="2045">
        <f t="shared" si="18"/>
        <v>0</v>
      </c>
      <c r="AD28" s="2788">
        <f t="shared" si="8"/>
        <v>0</v>
      </c>
      <c r="AE28" s="2046"/>
      <c r="AF28" s="2051"/>
      <c r="AG28" s="2043"/>
      <c r="AH28" s="2045">
        <f t="shared" si="19"/>
        <v>0</v>
      </c>
      <c r="AI28" s="2788" t="e">
        <f t="shared" si="9"/>
        <v>#DIV/0!</v>
      </c>
      <c r="AJ28" s="2046"/>
      <c r="AK28" s="2043">
        <f t="shared" si="10"/>
        <v>0</v>
      </c>
      <c r="AL28" s="2043">
        <f t="shared" si="10"/>
        <v>0</v>
      </c>
      <c r="AM28" s="2045">
        <f>AK28+AL28*1</f>
        <v>0</v>
      </c>
      <c r="AN28" s="2788">
        <f t="shared" si="12"/>
        <v>0</v>
      </c>
      <c r="AO28" s="1434"/>
      <c r="AP28" s="921"/>
      <c r="AQ28" s="920"/>
    </row>
    <row r="29" spans="1:43" s="1396" customFormat="1" ht="24.6" customHeight="1">
      <c r="A29" s="1572"/>
      <c r="B29" s="2789" t="s">
        <v>31</v>
      </c>
      <c r="C29" s="2675"/>
      <c r="D29" s="2790"/>
      <c r="E29" s="3081">
        <f t="shared" si="13"/>
        <v>0</v>
      </c>
      <c r="F29" s="2788">
        <f t="shared" si="3"/>
        <v>0</v>
      </c>
      <c r="G29" s="2051"/>
      <c r="H29" s="2043"/>
      <c r="I29" s="2045">
        <f t="shared" si="14"/>
        <v>0</v>
      </c>
      <c r="J29" s="2788">
        <f t="shared" si="4"/>
        <v>0</v>
      </c>
      <c r="K29" s="2046"/>
      <c r="L29" s="2051"/>
      <c r="M29" s="2043"/>
      <c r="N29" s="2045">
        <f t="shared" si="15"/>
        <v>0</v>
      </c>
      <c r="O29" s="2788">
        <f t="shared" si="5"/>
        <v>0</v>
      </c>
      <c r="P29" s="2046"/>
      <c r="Q29" s="2051"/>
      <c r="R29" s="2043"/>
      <c r="S29" s="2045">
        <f t="shared" si="16"/>
        <v>0</v>
      </c>
      <c r="T29" s="2788">
        <f t="shared" si="6"/>
        <v>0</v>
      </c>
      <c r="U29" s="2046"/>
      <c r="V29" s="2051"/>
      <c r="W29" s="2043"/>
      <c r="X29" s="2045">
        <f t="shared" si="17"/>
        <v>0</v>
      </c>
      <c r="Y29" s="2788">
        <f t="shared" si="7"/>
        <v>0</v>
      </c>
      <c r="Z29" s="2046"/>
      <c r="AA29" s="2051"/>
      <c r="AB29" s="2043"/>
      <c r="AC29" s="2045">
        <f t="shared" si="18"/>
        <v>0</v>
      </c>
      <c r="AD29" s="2788">
        <f t="shared" si="8"/>
        <v>0</v>
      </c>
      <c r="AE29" s="2046"/>
      <c r="AF29" s="2051"/>
      <c r="AG29" s="2043"/>
      <c r="AH29" s="2045">
        <f t="shared" si="19"/>
        <v>0</v>
      </c>
      <c r="AI29" s="2788" t="e">
        <f t="shared" si="9"/>
        <v>#DIV/0!</v>
      </c>
      <c r="AJ29" s="2046"/>
      <c r="AK29" s="2043">
        <f t="shared" si="10"/>
        <v>0</v>
      </c>
      <c r="AL29" s="2043">
        <f t="shared" si="10"/>
        <v>0</v>
      </c>
      <c r="AM29" s="2045">
        <f t="shared" si="11"/>
        <v>0</v>
      </c>
      <c r="AN29" s="2788">
        <f t="shared" si="12"/>
        <v>0</v>
      </c>
      <c r="AO29" s="2792"/>
      <c r="AP29" s="920"/>
      <c r="AQ29" s="920"/>
    </row>
    <row r="30" spans="1:43" s="1396" customFormat="1" ht="51" customHeight="1">
      <c r="A30" s="1572"/>
      <c r="B30" s="2789" t="s">
        <v>62</v>
      </c>
      <c r="C30" s="2675"/>
      <c r="D30" s="2790"/>
      <c r="E30" s="3081">
        <f t="shared" si="13"/>
        <v>0</v>
      </c>
      <c r="F30" s="2788">
        <f t="shared" si="3"/>
        <v>0</v>
      </c>
      <c r="G30" s="2051"/>
      <c r="H30" s="2043"/>
      <c r="I30" s="2045">
        <f t="shared" si="14"/>
        <v>0</v>
      </c>
      <c r="J30" s="2788">
        <f t="shared" si="4"/>
        <v>0</v>
      </c>
      <c r="K30" s="2046"/>
      <c r="L30" s="2051"/>
      <c r="M30" s="2043"/>
      <c r="N30" s="2045">
        <f t="shared" si="15"/>
        <v>0</v>
      </c>
      <c r="O30" s="2788">
        <f t="shared" si="5"/>
        <v>0</v>
      </c>
      <c r="P30" s="2046"/>
      <c r="Q30" s="2051"/>
      <c r="R30" s="2043"/>
      <c r="S30" s="2045">
        <f t="shared" si="16"/>
        <v>0</v>
      </c>
      <c r="T30" s="2788">
        <f t="shared" si="6"/>
        <v>0</v>
      </c>
      <c r="U30" s="2046"/>
      <c r="V30" s="2051"/>
      <c r="W30" s="2043"/>
      <c r="X30" s="2045">
        <f t="shared" si="17"/>
        <v>0</v>
      </c>
      <c r="Y30" s="2788">
        <f t="shared" si="7"/>
        <v>0</v>
      </c>
      <c r="Z30" s="2046"/>
      <c r="AA30" s="2051"/>
      <c r="AB30" s="2043"/>
      <c r="AC30" s="2045">
        <f t="shared" si="18"/>
        <v>0</v>
      </c>
      <c r="AD30" s="2788">
        <f t="shared" si="8"/>
        <v>0</v>
      </c>
      <c r="AE30" s="2046"/>
      <c r="AF30" s="2051"/>
      <c r="AG30" s="2043"/>
      <c r="AH30" s="2045">
        <f t="shared" si="19"/>
        <v>0</v>
      </c>
      <c r="AI30" s="2788" t="e">
        <f t="shared" si="9"/>
        <v>#DIV/0!</v>
      </c>
      <c r="AJ30" s="2046"/>
      <c r="AK30" s="2043">
        <f t="shared" si="10"/>
        <v>0</v>
      </c>
      <c r="AL30" s="2043">
        <f t="shared" si="10"/>
        <v>0</v>
      </c>
      <c r="AM30" s="2045">
        <f t="shared" si="11"/>
        <v>0</v>
      </c>
      <c r="AN30" s="2788">
        <f t="shared" si="12"/>
        <v>0</v>
      </c>
      <c r="AO30" s="2792"/>
      <c r="AP30" s="920"/>
      <c r="AQ30" s="920"/>
    </row>
    <row r="31" spans="1:43" s="1396" customFormat="1" ht="24.6" customHeight="1">
      <c r="A31" s="1572"/>
      <c r="B31" s="2789" t="s">
        <v>34</v>
      </c>
      <c r="C31" s="2675"/>
      <c r="D31" s="2790"/>
      <c r="E31" s="3081">
        <f t="shared" si="13"/>
        <v>0</v>
      </c>
      <c r="F31" s="2788">
        <f t="shared" si="3"/>
        <v>0</v>
      </c>
      <c r="G31" s="2051"/>
      <c r="H31" s="2043"/>
      <c r="I31" s="2045">
        <f t="shared" si="14"/>
        <v>0</v>
      </c>
      <c r="J31" s="2788">
        <f t="shared" si="4"/>
        <v>0</v>
      </c>
      <c r="K31" s="2046"/>
      <c r="L31" s="2051"/>
      <c r="M31" s="2043"/>
      <c r="N31" s="2045">
        <f t="shared" si="15"/>
        <v>0</v>
      </c>
      <c r="O31" s="2788">
        <f t="shared" si="5"/>
        <v>0</v>
      </c>
      <c r="P31" s="2046"/>
      <c r="Q31" s="2051"/>
      <c r="R31" s="2043"/>
      <c r="S31" s="2045">
        <f t="shared" si="16"/>
        <v>0</v>
      </c>
      <c r="T31" s="2788">
        <f t="shared" si="6"/>
        <v>0</v>
      </c>
      <c r="U31" s="2046"/>
      <c r="V31" s="2051"/>
      <c r="W31" s="2043"/>
      <c r="X31" s="2045">
        <f t="shared" si="17"/>
        <v>0</v>
      </c>
      <c r="Y31" s="2788">
        <f t="shared" si="7"/>
        <v>0</v>
      </c>
      <c r="Z31" s="2046"/>
      <c r="AA31" s="2051"/>
      <c r="AB31" s="2043"/>
      <c r="AC31" s="2045">
        <f t="shared" si="18"/>
        <v>0</v>
      </c>
      <c r="AD31" s="2788">
        <f t="shared" si="8"/>
        <v>0</v>
      </c>
      <c r="AE31" s="2046"/>
      <c r="AF31" s="2051"/>
      <c r="AG31" s="2043"/>
      <c r="AH31" s="2045">
        <f t="shared" si="19"/>
        <v>0</v>
      </c>
      <c r="AI31" s="2788" t="e">
        <f t="shared" si="9"/>
        <v>#DIV/0!</v>
      </c>
      <c r="AJ31" s="2046"/>
      <c r="AK31" s="2043">
        <f t="shared" si="10"/>
        <v>0</v>
      </c>
      <c r="AL31" s="2043">
        <f t="shared" si="10"/>
        <v>0</v>
      </c>
      <c r="AM31" s="2045">
        <f t="shared" si="11"/>
        <v>0</v>
      </c>
      <c r="AN31" s="2788">
        <f t="shared" si="12"/>
        <v>0</v>
      </c>
      <c r="AO31" s="2792"/>
      <c r="AP31" s="920"/>
      <c r="AQ31" s="920"/>
    </row>
    <row r="32" spans="1:43" s="1396" customFormat="1" ht="24.6" customHeight="1">
      <c r="A32" s="1572"/>
      <c r="B32" s="2794" t="s">
        <v>2</v>
      </c>
      <c r="C32" s="2795"/>
      <c r="D32" s="2796"/>
      <c r="E32" s="3081">
        <f t="shared" si="13"/>
        <v>0</v>
      </c>
      <c r="F32" s="2788">
        <f t="shared" si="3"/>
        <v>0</v>
      </c>
      <c r="G32" s="2051"/>
      <c r="H32" s="2043"/>
      <c r="I32" s="2045">
        <f t="shared" si="14"/>
        <v>0</v>
      </c>
      <c r="J32" s="2788">
        <f t="shared" si="4"/>
        <v>0</v>
      </c>
      <c r="K32" s="2046"/>
      <c r="L32" s="2051"/>
      <c r="M32" s="2043"/>
      <c r="N32" s="2045">
        <f t="shared" si="15"/>
        <v>0</v>
      </c>
      <c r="O32" s="2788">
        <f t="shared" si="5"/>
        <v>0</v>
      </c>
      <c r="P32" s="2046"/>
      <c r="Q32" s="2051"/>
      <c r="R32" s="2043"/>
      <c r="S32" s="2045">
        <f t="shared" si="16"/>
        <v>0</v>
      </c>
      <c r="T32" s="2788">
        <f t="shared" si="6"/>
        <v>0</v>
      </c>
      <c r="U32" s="2046"/>
      <c r="V32" s="2051"/>
      <c r="W32" s="2043"/>
      <c r="X32" s="2045">
        <f t="shared" si="17"/>
        <v>0</v>
      </c>
      <c r="Y32" s="2788">
        <f t="shared" si="7"/>
        <v>0</v>
      </c>
      <c r="Z32" s="2046"/>
      <c r="AA32" s="2051"/>
      <c r="AB32" s="2043"/>
      <c r="AC32" s="2045">
        <f t="shared" si="18"/>
        <v>0</v>
      </c>
      <c r="AD32" s="2788">
        <f t="shared" si="8"/>
        <v>0</v>
      </c>
      <c r="AE32" s="2046"/>
      <c r="AF32" s="2051"/>
      <c r="AG32" s="2043"/>
      <c r="AH32" s="2045">
        <f t="shared" si="19"/>
        <v>0</v>
      </c>
      <c r="AI32" s="2788" t="e">
        <f t="shared" si="9"/>
        <v>#DIV/0!</v>
      </c>
      <c r="AJ32" s="2046"/>
      <c r="AK32" s="2043">
        <f t="shared" si="10"/>
        <v>0</v>
      </c>
      <c r="AL32" s="2043">
        <f t="shared" si="10"/>
        <v>0</v>
      </c>
      <c r="AM32" s="2045">
        <f t="shared" si="11"/>
        <v>0</v>
      </c>
      <c r="AN32" s="2788">
        <f t="shared" si="12"/>
        <v>0</v>
      </c>
      <c r="AO32" s="2792"/>
      <c r="AP32" s="920"/>
      <c r="AQ32" s="920"/>
    </row>
    <row r="33" spans="1:43" s="1396" customFormat="1" ht="24.6" customHeight="1" thickBot="1">
      <c r="A33" s="1572"/>
      <c r="B33" s="2834" t="s">
        <v>75</v>
      </c>
      <c r="C33" s="2887"/>
      <c r="D33" s="2888">
        <v>30000</v>
      </c>
      <c r="E33" s="3090">
        <f>C33+D33</f>
        <v>30000</v>
      </c>
      <c r="F33" s="2889">
        <f t="shared" si="3"/>
        <v>9.5969289827255277E-2</v>
      </c>
      <c r="G33" s="2028"/>
      <c r="H33" s="2025">
        <v>8000</v>
      </c>
      <c r="I33" s="2026">
        <f t="shared" si="14"/>
        <v>8000</v>
      </c>
      <c r="J33" s="2889">
        <f t="shared" si="4"/>
        <v>0.8928571428571429</v>
      </c>
      <c r="K33" s="1675"/>
      <c r="L33" s="2028"/>
      <c r="M33" s="2025">
        <v>6000</v>
      </c>
      <c r="N33" s="2026">
        <f t="shared" si="15"/>
        <v>6000</v>
      </c>
      <c r="O33" s="2889">
        <f t="shared" si="5"/>
        <v>0.40539910528417461</v>
      </c>
      <c r="P33" s="1675"/>
      <c r="Q33" s="2028"/>
      <c r="R33" s="2025"/>
      <c r="S33" s="2026">
        <f t="shared" si="16"/>
        <v>0</v>
      </c>
      <c r="T33" s="2889">
        <f t="shared" si="6"/>
        <v>0</v>
      </c>
      <c r="U33" s="1675"/>
      <c r="V33" s="2028"/>
      <c r="W33" s="2025"/>
      <c r="X33" s="2026">
        <f t="shared" si="17"/>
        <v>0</v>
      </c>
      <c r="Y33" s="2889">
        <f t="shared" si="7"/>
        <v>0</v>
      </c>
      <c r="Z33" s="1675"/>
      <c r="AA33" s="2028"/>
      <c r="AB33" s="2025"/>
      <c r="AC33" s="2026">
        <f t="shared" si="18"/>
        <v>0</v>
      </c>
      <c r="AD33" s="2889">
        <f t="shared" si="8"/>
        <v>0</v>
      </c>
      <c r="AE33" s="1675"/>
      <c r="AF33" s="2028"/>
      <c r="AG33" s="2025"/>
      <c r="AH33" s="2026">
        <f t="shared" si="19"/>
        <v>0</v>
      </c>
      <c r="AI33" s="2889" t="e">
        <f t="shared" si="9"/>
        <v>#DIV/0!</v>
      </c>
      <c r="AJ33" s="1675"/>
      <c r="AK33" s="2836">
        <f t="shared" si="10"/>
        <v>0</v>
      </c>
      <c r="AL33" s="2892">
        <f t="shared" si="10"/>
        <v>14000</v>
      </c>
      <c r="AM33" s="3187">
        <f t="shared" si="11"/>
        <v>14000</v>
      </c>
      <c r="AN33" s="2889">
        <f t="shared" si="12"/>
        <v>0.17752468956320938</v>
      </c>
      <c r="AO33" s="2893"/>
      <c r="AP33" s="920"/>
      <c r="AQ33" s="920"/>
    </row>
    <row r="34" spans="1:43" s="1396" customFormat="1" ht="24.6" customHeight="1">
      <c r="A34" s="1572"/>
      <c r="B34" s="1077"/>
      <c r="C34" s="1617"/>
      <c r="D34" s="1618"/>
      <c r="E34" s="2024"/>
      <c r="F34" s="1620"/>
      <c r="G34" s="2051"/>
      <c r="H34" s="2043"/>
      <c r="I34" s="2024"/>
      <c r="J34" s="1976">
        <f t="shared" si="4"/>
        <v>0</v>
      </c>
      <c r="K34" s="2024"/>
      <c r="L34" s="2051"/>
      <c r="M34" s="2043"/>
      <c r="N34" s="2024"/>
      <c r="O34" s="1976"/>
      <c r="P34" s="2024"/>
      <c r="Q34" s="2051"/>
      <c r="R34" s="2043"/>
      <c r="S34" s="2024"/>
      <c r="T34" s="1976"/>
      <c r="U34" s="2024"/>
      <c r="V34" s="2051"/>
      <c r="W34" s="2043"/>
      <c r="X34" s="2024"/>
      <c r="Y34" s="1976"/>
      <c r="Z34" s="2024"/>
      <c r="AA34" s="2051"/>
      <c r="AB34" s="2043"/>
      <c r="AC34" s="2024"/>
      <c r="AD34" s="1976"/>
      <c r="AE34" s="2024"/>
      <c r="AF34" s="2051"/>
      <c r="AG34" s="2043"/>
      <c r="AH34" s="2024"/>
      <c r="AI34" s="1976"/>
      <c r="AJ34" s="2024"/>
      <c r="AK34" s="2043"/>
      <c r="AL34" s="2043"/>
      <c r="AM34" s="2024"/>
      <c r="AN34" s="2024"/>
      <c r="AO34" s="2024"/>
      <c r="AP34" s="920"/>
      <c r="AQ34" s="920"/>
    </row>
    <row r="35" spans="1:43" s="2466" customFormat="1" ht="24.6" customHeight="1">
      <c r="A35" s="1572"/>
      <c r="B35" s="3091" t="s">
        <v>80</v>
      </c>
      <c r="C35" s="2797">
        <f>C36</f>
        <v>0</v>
      </c>
      <c r="D35" s="2797">
        <f>D36</f>
        <v>0</v>
      </c>
      <c r="E35" s="2798">
        <f>E36</f>
        <v>0</v>
      </c>
      <c r="F35" s="2799">
        <f>E35/$E$89</f>
        <v>0</v>
      </c>
      <c r="G35" s="2797"/>
      <c r="H35" s="2797"/>
      <c r="I35" s="2798">
        <f>I36</f>
        <v>0</v>
      </c>
      <c r="J35" s="2788">
        <f t="shared" si="4"/>
        <v>0</v>
      </c>
      <c r="K35" s="2800"/>
      <c r="L35" s="2797"/>
      <c r="M35" s="2797"/>
      <c r="N35" s="2798">
        <f>N36</f>
        <v>0</v>
      </c>
      <c r="O35" s="2788">
        <f t="shared" ref="O35:O36" si="20">N35/N$89</f>
        <v>0</v>
      </c>
      <c r="P35" s="2800"/>
      <c r="Q35" s="2797"/>
      <c r="R35" s="2797"/>
      <c r="S35" s="2798">
        <f>S36</f>
        <v>0</v>
      </c>
      <c r="T35" s="2798">
        <f t="shared" ref="T35:T36" si="21">S35/S$89</f>
        <v>0</v>
      </c>
      <c r="U35" s="2800"/>
      <c r="V35" s="2797"/>
      <c r="W35" s="2797"/>
      <c r="X35" s="2798">
        <f>X36</f>
        <v>0</v>
      </c>
      <c r="Y35" s="2788">
        <f t="shared" ref="Y35:Y36" si="22">X35/X$89</f>
        <v>0</v>
      </c>
      <c r="Z35" s="2800"/>
      <c r="AA35" s="2797"/>
      <c r="AB35" s="2797"/>
      <c r="AC35" s="2798">
        <f>AC36</f>
        <v>0</v>
      </c>
      <c r="AD35" s="2788">
        <f t="shared" ref="AD35:AD36" si="23">AC35/AC$89</f>
        <v>0</v>
      </c>
      <c r="AE35" s="2800"/>
      <c r="AF35" s="2797"/>
      <c r="AG35" s="2797"/>
      <c r="AH35" s="2798">
        <f>AH36</f>
        <v>0</v>
      </c>
      <c r="AI35" s="2798" t="e">
        <f t="shared" ref="AI35:AI36" si="24">AH35/AH$89</f>
        <v>#DIV/0!</v>
      </c>
      <c r="AJ35" s="2800"/>
      <c r="AK35" s="2797">
        <f t="shared" ref="AK35:AM35" si="25">AK36</f>
        <v>0</v>
      </c>
      <c r="AL35" s="2797">
        <f t="shared" si="25"/>
        <v>0</v>
      </c>
      <c r="AM35" s="2797">
        <f t="shared" si="25"/>
        <v>0</v>
      </c>
      <c r="AN35" s="2797">
        <f>AN36</f>
        <v>0</v>
      </c>
      <c r="AO35" s="2798"/>
      <c r="AP35" s="2623"/>
      <c r="AQ35" s="2623"/>
    </row>
    <row r="36" spans="1:43" s="1564" customFormat="1" ht="24.6" customHeight="1" outlineLevel="1">
      <c r="A36" s="1572"/>
      <c r="B36" s="3092" t="s">
        <v>81</v>
      </c>
      <c r="C36" s="2801"/>
      <c r="D36" s="2802"/>
      <c r="E36" s="3188">
        <f>C36+D36*1.15</f>
        <v>0</v>
      </c>
      <c r="F36" s="2810">
        <f>E36/$E$89</f>
        <v>0</v>
      </c>
      <c r="G36" s="2051"/>
      <c r="H36" s="2043"/>
      <c r="I36" s="3081">
        <f>G36+H36*1</f>
        <v>0</v>
      </c>
      <c r="J36" s="2788">
        <f t="shared" si="4"/>
        <v>0</v>
      </c>
      <c r="K36" s="2046"/>
      <c r="L36" s="2051"/>
      <c r="M36" s="2043"/>
      <c r="N36" s="3081">
        <f>L36+M36*1</f>
        <v>0</v>
      </c>
      <c r="O36" s="2788">
        <f t="shared" si="20"/>
        <v>0</v>
      </c>
      <c r="P36" s="2046"/>
      <c r="Q36" s="2051"/>
      <c r="R36" s="2043"/>
      <c r="S36" s="3081">
        <f>Q36+R36*1</f>
        <v>0</v>
      </c>
      <c r="T36" s="2788">
        <f t="shared" si="21"/>
        <v>0</v>
      </c>
      <c r="U36" s="2046"/>
      <c r="V36" s="2051"/>
      <c r="W36" s="2043"/>
      <c r="X36" s="3081">
        <f>V36+W36*1</f>
        <v>0</v>
      </c>
      <c r="Y36" s="2788">
        <f t="shared" si="22"/>
        <v>0</v>
      </c>
      <c r="Z36" s="2046"/>
      <c r="AA36" s="2051"/>
      <c r="AB36" s="2043"/>
      <c r="AC36" s="3081">
        <f>AA36+AB36*1</f>
        <v>0</v>
      </c>
      <c r="AD36" s="2788">
        <f t="shared" si="23"/>
        <v>0</v>
      </c>
      <c r="AE36" s="2046"/>
      <c r="AF36" s="2051"/>
      <c r="AG36" s="2043"/>
      <c r="AH36" s="3081">
        <f>AF36+AG36*1</f>
        <v>0</v>
      </c>
      <c r="AI36" s="2788" t="e">
        <f t="shared" si="24"/>
        <v>#DIV/0!</v>
      </c>
      <c r="AJ36" s="2046"/>
      <c r="AK36" s="2043">
        <f>G36+L36+Q36+V36+AA36+AF36</f>
        <v>0</v>
      </c>
      <c r="AL36" s="2043">
        <f>H36+M36+R36+W36+AB36+AG36</f>
        <v>0</v>
      </c>
      <c r="AM36" s="3081">
        <f>AK36+AL36*1</f>
        <v>0</v>
      </c>
      <c r="AN36" s="2788">
        <f>AM36/$AM$89</f>
        <v>0</v>
      </c>
      <c r="AO36" s="2803"/>
      <c r="AP36" s="925"/>
      <c r="AQ36" s="925"/>
    </row>
    <row r="37" spans="1:43" s="1396" customFormat="1" ht="24.6" customHeight="1" thickBot="1">
      <c r="A37" s="1398"/>
      <c r="B37" s="2837"/>
      <c r="C37" s="2906"/>
      <c r="D37" s="2839"/>
      <c r="E37" s="2908"/>
      <c r="F37" s="2909"/>
      <c r="G37" s="2028"/>
      <c r="H37" s="2025"/>
      <c r="I37" s="2908"/>
      <c r="J37" s="2889">
        <f t="shared" si="4"/>
        <v>0</v>
      </c>
      <c r="K37" s="2910"/>
      <c r="L37" s="2028"/>
      <c r="M37" s="2025"/>
      <c r="N37" s="2908"/>
      <c r="O37" s="2889"/>
      <c r="P37" s="2910"/>
      <c r="Q37" s="2028"/>
      <c r="R37" s="2025"/>
      <c r="S37" s="2908"/>
      <c r="T37" s="2889"/>
      <c r="U37" s="2910"/>
      <c r="V37" s="2028"/>
      <c r="W37" s="2025"/>
      <c r="X37" s="2908"/>
      <c r="Y37" s="2889"/>
      <c r="Z37" s="2910"/>
      <c r="AA37" s="2028"/>
      <c r="AB37" s="2025"/>
      <c r="AC37" s="2908"/>
      <c r="AD37" s="2889"/>
      <c r="AE37" s="2910"/>
      <c r="AF37" s="2028"/>
      <c r="AG37" s="2025"/>
      <c r="AH37" s="2908"/>
      <c r="AI37" s="2889" t="e">
        <f t="shared" ref="AI37" si="26">AH37/$AN$89</f>
        <v>#DIV/0!</v>
      </c>
      <c r="AJ37" s="2910"/>
      <c r="AK37" s="2043"/>
      <c r="AL37" s="2043"/>
      <c r="AM37" s="2908"/>
      <c r="AN37" s="2908"/>
      <c r="AO37" s="2908"/>
      <c r="AP37" s="920"/>
      <c r="AQ37" s="920"/>
    </row>
    <row r="38" spans="1:43" ht="24.6" customHeight="1" thickBot="1">
      <c r="A38" s="1426"/>
      <c r="B38" s="971" t="s">
        <v>46</v>
      </c>
      <c r="C38" s="2002">
        <f>(C5)-(C8)</f>
        <v>643900</v>
      </c>
      <c r="D38" s="2002">
        <f>(D5)-(D8)</f>
        <v>-30000</v>
      </c>
      <c r="E38" s="2002">
        <f>(E5)-(E8)</f>
        <v>613900</v>
      </c>
      <c r="F38" s="1530"/>
      <c r="G38" s="2002">
        <f>(G5)-(G8)</f>
        <v>0</v>
      </c>
      <c r="H38" s="2002">
        <f>(H5)-(H8)</f>
        <v>-8000</v>
      </c>
      <c r="I38" s="2002">
        <f>(I5)-(I8)</f>
        <v>-8000</v>
      </c>
      <c r="J38" s="2002"/>
      <c r="K38" s="2021"/>
      <c r="L38" s="2002">
        <f>(L5)-(L8)</f>
        <v>0</v>
      </c>
      <c r="M38" s="2002">
        <f>(M5)-(M8)</f>
        <v>-13500</v>
      </c>
      <c r="N38" s="2002">
        <f>(N5)-(N8)</f>
        <v>-13500</v>
      </c>
      <c r="O38" s="2002"/>
      <c r="P38" s="2021"/>
      <c r="Q38" s="2002">
        <f>(Q5)-(Q8)</f>
        <v>340108.6</v>
      </c>
      <c r="R38" s="2002">
        <f>(R5)-(R8)</f>
        <v>0</v>
      </c>
      <c r="S38" s="2002">
        <f>(S5)-(S8)</f>
        <v>340108.6</v>
      </c>
      <c r="T38" s="2002"/>
      <c r="U38" s="2021"/>
      <c r="V38" s="2002">
        <f>(V5)-(V8)</f>
        <v>0</v>
      </c>
      <c r="W38" s="2002">
        <f>(W5)-(W8)</f>
        <v>0</v>
      </c>
      <c r="X38" s="2002">
        <f>(X5)-(X8)</f>
        <v>0</v>
      </c>
      <c r="Y38" s="2002"/>
      <c r="Z38" s="2021"/>
      <c r="AA38" s="2002">
        <f>(AA5)-(AA8)</f>
        <v>450000</v>
      </c>
      <c r="AB38" s="2002">
        <f>(AB5)-(AB8)</f>
        <v>0</v>
      </c>
      <c r="AC38" s="2002">
        <f>(AC5)-(AC8)</f>
        <v>450000</v>
      </c>
      <c r="AD38" s="2002"/>
      <c r="AE38" s="2021"/>
      <c r="AF38" s="2002">
        <f>(AF5)-(AF8)</f>
        <v>0</v>
      </c>
      <c r="AG38" s="2002">
        <f>(AG5)-(AG8)</f>
        <v>0</v>
      </c>
      <c r="AH38" s="2002">
        <f>(AH5)-(AH8)</f>
        <v>0</v>
      </c>
      <c r="AI38" s="2002"/>
      <c r="AJ38" s="2021"/>
      <c r="AK38" s="2002">
        <f>(AK5)-(AK8)</f>
        <v>790108.6</v>
      </c>
      <c r="AL38" s="2002">
        <f>(AL5)-(AL8)</f>
        <v>-21500</v>
      </c>
      <c r="AM38" s="2002">
        <f>(AM5)-(AM8)</f>
        <v>768608.6</v>
      </c>
      <c r="AN38" s="2002"/>
      <c r="AO38" s="2002"/>
      <c r="AP38" s="1952"/>
      <c r="AQ38" s="1952"/>
    </row>
    <row r="39" spans="1:43" ht="24.6" customHeight="1">
      <c r="A39" s="1565"/>
      <c r="B39" s="972" t="s">
        <v>47</v>
      </c>
      <c r="C39" s="1525">
        <f>C38/(C5)</f>
        <v>0.69837310195227764</v>
      </c>
      <c r="D39" s="1525" t="e">
        <f>D38/(D5)</f>
        <v>#DIV/0!</v>
      </c>
      <c r="E39" s="1526">
        <f>E38/(E5)</f>
        <v>0.66583514099783081</v>
      </c>
      <c r="F39" s="1531"/>
      <c r="G39" s="2003" t="e">
        <f>G38/(G5)</f>
        <v>#DIV/0!</v>
      </c>
      <c r="H39" s="2003" t="e">
        <f>H38/(H5)</f>
        <v>#DIV/0!</v>
      </c>
      <c r="I39" s="2004" t="e">
        <f>I38/(I5)</f>
        <v>#DIV/0!</v>
      </c>
      <c r="J39" s="2004"/>
      <c r="K39" s="2022"/>
      <c r="L39" s="2003" t="e">
        <f>L38/(L5)</f>
        <v>#DIV/0!</v>
      </c>
      <c r="M39" s="2003" t="e">
        <f>M38/(M5)</f>
        <v>#DIV/0!</v>
      </c>
      <c r="N39" s="2004" t="e">
        <f>N38/(N5)</f>
        <v>#DIV/0!</v>
      </c>
      <c r="O39" s="2004"/>
      <c r="P39" s="2022"/>
      <c r="Q39" s="2003">
        <f>Q38/(Q5)</f>
        <v>0.87334976760906957</v>
      </c>
      <c r="R39" s="2003" t="e">
        <f>R38/(R5)</f>
        <v>#DIV/0!</v>
      </c>
      <c r="S39" s="2004">
        <f>S38/(S5)</f>
        <v>0.87334976760906957</v>
      </c>
      <c r="T39" s="2004"/>
      <c r="U39" s="2022"/>
      <c r="V39" s="2003" t="e">
        <f>V38/(V5)</f>
        <v>#DIV/0!</v>
      </c>
      <c r="W39" s="2003" t="e">
        <f>W38/(W5)</f>
        <v>#DIV/0!</v>
      </c>
      <c r="X39" s="2004" t="e">
        <f>X38/(X5)</f>
        <v>#DIV/0!</v>
      </c>
      <c r="Y39" s="2004"/>
      <c r="Z39" s="2022"/>
      <c r="AA39" s="2003">
        <f>AA38/(AA5)</f>
        <v>1</v>
      </c>
      <c r="AB39" s="2003" t="e">
        <f>AB38/(AB5)</f>
        <v>#DIV/0!</v>
      </c>
      <c r="AC39" s="2004">
        <f>AC38/(AC5)</f>
        <v>1</v>
      </c>
      <c r="AD39" s="2004"/>
      <c r="AE39" s="2022"/>
      <c r="AF39" s="2003" t="e">
        <f>AF38/(AF5)</f>
        <v>#DIV/0!</v>
      </c>
      <c r="AG39" s="2003" t="e">
        <f>AG38/(AG5)</f>
        <v>#DIV/0!</v>
      </c>
      <c r="AH39" s="2004" t="e">
        <f>AH38/(AH5)</f>
        <v>#DIV/0!</v>
      </c>
      <c r="AI39" s="2004"/>
      <c r="AJ39" s="2022"/>
      <c r="AK39" s="2003">
        <f>AK38/(AK5)</f>
        <v>0.94124417759670254</v>
      </c>
      <c r="AL39" s="2003" t="e">
        <f>AL38/(AL5)</f>
        <v>#DIV/0!</v>
      </c>
      <c r="AM39" s="2004">
        <f>AM38/(AM5)</f>
        <v>0.91563155951062025</v>
      </c>
      <c r="AN39" s="2004"/>
      <c r="AO39" s="2004"/>
      <c r="AP39" s="1952"/>
      <c r="AQ39" s="1952"/>
    </row>
    <row r="40" spans="1:43" ht="24.6" customHeight="1" outlineLevel="1" thickBot="1">
      <c r="A40" s="1567"/>
      <c r="B40" s="3165"/>
      <c r="C40" s="3166"/>
      <c r="D40" s="3167"/>
      <c r="E40" s="3168"/>
      <c r="F40" s="3169"/>
      <c r="G40" s="2840"/>
      <c r="H40" s="2914"/>
      <c r="I40" s="2914"/>
      <c r="J40" s="2914"/>
      <c r="K40" s="2916"/>
      <c r="L40" s="2840"/>
      <c r="M40" s="2914"/>
      <c r="N40" s="2914"/>
      <c r="O40" s="2914"/>
      <c r="P40" s="2916"/>
      <c r="Q40" s="2840"/>
      <c r="R40" s="2914"/>
      <c r="S40" s="2914"/>
      <c r="T40" s="2914"/>
      <c r="U40" s="2916"/>
      <c r="V40" s="2840"/>
      <c r="W40" s="2914"/>
      <c r="X40" s="2914"/>
      <c r="Y40" s="2914"/>
      <c r="Z40" s="2916"/>
      <c r="AA40" s="2840"/>
      <c r="AB40" s="2914"/>
      <c r="AC40" s="2914"/>
      <c r="AD40" s="2914"/>
      <c r="AE40" s="2916"/>
      <c r="AF40" s="2840"/>
      <c r="AG40" s="2914"/>
      <c r="AH40" s="2914"/>
      <c r="AI40" s="2914"/>
      <c r="AJ40" s="2916"/>
      <c r="AK40" s="2043"/>
      <c r="AL40" s="2043"/>
      <c r="AM40" s="2914"/>
      <c r="AN40" s="2914"/>
      <c r="AO40" s="2914"/>
      <c r="AP40" s="1952"/>
      <c r="AQ40" s="1952"/>
    </row>
    <row r="41" spans="1:43" ht="24.6" customHeight="1" outlineLevel="1">
      <c r="A41" s="1405"/>
      <c r="B41" s="3094" t="s">
        <v>26</v>
      </c>
      <c r="C41" s="3095">
        <f>SUM(C42:C48)</f>
        <v>0</v>
      </c>
      <c r="D41" s="3095">
        <f>SUM(D42:D48)</f>
        <v>0</v>
      </c>
      <c r="E41" s="3096">
        <f>SUM(E42:E48)</f>
        <v>0</v>
      </c>
      <c r="F41" s="2804">
        <f t="shared" ref="F41:F48" si="27">E41/$E$89</f>
        <v>0</v>
      </c>
      <c r="G41" s="2013">
        <f>SUM(G42:G48)</f>
        <v>0</v>
      </c>
      <c r="H41" s="2013">
        <f>SUM(H42:H48)</f>
        <v>0</v>
      </c>
      <c r="I41" s="2014">
        <f>SUM(I42:I48)</f>
        <v>0</v>
      </c>
      <c r="J41" s="2804">
        <f t="shared" ref="J41:J48" si="28">I41/$I$89</f>
        <v>0</v>
      </c>
      <c r="K41" s="2023"/>
      <c r="L41" s="2013">
        <f>SUM(L42:L48)</f>
        <v>165.03</v>
      </c>
      <c r="M41" s="2013">
        <f>SUM(M42:M48)</f>
        <v>0</v>
      </c>
      <c r="N41" s="2014">
        <f>SUM(N42:N48)</f>
        <v>165.03</v>
      </c>
      <c r="O41" s="2804">
        <f t="shared" ref="O41:O48" si="29">N41/N$89</f>
        <v>1.1150502390841222E-2</v>
      </c>
      <c r="P41" s="2023"/>
      <c r="Q41" s="2013">
        <f>SUM(Q42:Q48)</f>
        <v>55.01</v>
      </c>
      <c r="R41" s="2013">
        <f>SUM(R42:R48)</f>
        <v>0</v>
      </c>
      <c r="S41" s="2014">
        <f>SUM(S42:S48)</f>
        <v>55.01</v>
      </c>
      <c r="T41" s="2804">
        <f t="shared" ref="T41:T48" si="30">S41/S$89</f>
        <v>1.1140947671165237E-3</v>
      </c>
      <c r="U41" s="2023"/>
      <c r="V41" s="2013">
        <f>SUM(V42:V48)</f>
        <v>0</v>
      </c>
      <c r="W41" s="2013">
        <f>SUM(W42:W48)</f>
        <v>0</v>
      </c>
      <c r="X41" s="2014">
        <f>SUM(X42:X48)</f>
        <v>0</v>
      </c>
      <c r="Y41" s="2804">
        <f t="shared" ref="Y41:Y48" si="31">X41/X$89</f>
        <v>0</v>
      </c>
      <c r="Z41" s="2023"/>
      <c r="AA41" s="2013">
        <f>SUM(AA42:AA48)</f>
        <v>165.03</v>
      </c>
      <c r="AB41" s="2013">
        <f>SUM(AB42:AB48)</f>
        <v>0</v>
      </c>
      <c r="AC41" s="2014">
        <f>SUM(AC42:AC48)</f>
        <v>165.03</v>
      </c>
      <c r="AD41" s="2804">
        <f t="shared" ref="AD41:AD48" si="32">AC41/AC$89</f>
        <v>1</v>
      </c>
      <c r="AE41" s="2023"/>
      <c r="AF41" s="2013">
        <f>SUM(AF42:AF48)</f>
        <v>0</v>
      </c>
      <c r="AG41" s="2013">
        <f>SUM(AG42:AG48)</f>
        <v>0</v>
      </c>
      <c r="AH41" s="2014">
        <f>SUM(AH42:AH48)</f>
        <v>0</v>
      </c>
      <c r="AI41" s="2804" t="e">
        <f t="shared" ref="AI41:AI48" si="33">AH41/AH$89</f>
        <v>#DIV/0!</v>
      </c>
      <c r="AJ41" s="2023"/>
      <c r="AK41" s="2013">
        <f>SUM(AK42:AK48)</f>
        <v>385.07</v>
      </c>
      <c r="AL41" s="2013">
        <f>SUM(AL42:AL48)</f>
        <v>0</v>
      </c>
      <c r="AM41" s="2014">
        <f>SUM(AM42:AM48)</f>
        <v>385.07</v>
      </c>
      <c r="AN41" s="2804">
        <f t="shared" ref="AN41:AN49" si="34">AM41/$AM$89</f>
        <v>4.8828165864360732E-3</v>
      </c>
      <c r="AO41" s="2006"/>
      <c r="AP41" s="1952"/>
      <c r="AQ41" s="1952"/>
    </row>
    <row r="42" spans="1:43" ht="24.6" customHeight="1" outlineLevel="2">
      <c r="A42" s="4833"/>
      <c r="B42" s="2791" t="s">
        <v>7</v>
      </c>
      <c r="C42" s="2790"/>
      <c r="D42" s="2805"/>
      <c r="E42" s="3108">
        <f t="shared" ref="E42:E48" si="35">C42+D42*1.15</f>
        <v>0</v>
      </c>
      <c r="F42" s="2788">
        <f t="shared" si="27"/>
        <v>0</v>
      </c>
      <c r="G42" s="2051"/>
      <c r="H42" s="2043"/>
      <c r="I42" s="3081">
        <f t="shared" ref="I42:I48" si="36">G42+H42*1</f>
        <v>0</v>
      </c>
      <c r="J42" s="2788">
        <f t="shared" si="28"/>
        <v>0</v>
      </c>
      <c r="K42" s="2046"/>
      <c r="L42" s="2051"/>
      <c r="M42" s="2043"/>
      <c r="N42" s="3081">
        <f t="shared" ref="N42:N48" si="37">L42+M42*1</f>
        <v>0</v>
      </c>
      <c r="O42" s="2788">
        <f t="shared" si="29"/>
        <v>0</v>
      </c>
      <c r="P42" s="2046"/>
      <c r="Q42" s="2051"/>
      <c r="R42" s="2043"/>
      <c r="S42" s="3081">
        <f t="shared" ref="S42:S48" si="38">Q42+R42*1</f>
        <v>0</v>
      </c>
      <c r="T42" s="2788">
        <f t="shared" si="30"/>
        <v>0</v>
      </c>
      <c r="U42" s="2046"/>
      <c r="V42" s="2051"/>
      <c r="W42" s="2043"/>
      <c r="X42" s="3081">
        <f t="shared" ref="X42:X48" si="39">V42+W42*1</f>
        <v>0</v>
      </c>
      <c r="Y42" s="2788">
        <f t="shared" si="31"/>
        <v>0</v>
      </c>
      <c r="Z42" s="2046"/>
      <c r="AA42" s="2051"/>
      <c r="AB42" s="2043"/>
      <c r="AC42" s="3081">
        <f t="shared" ref="AC42:AC48" si="40">AA42+AB42*1</f>
        <v>0</v>
      </c>
      <c r="AD42" s="2788">
        <f t="shared" si="32"/>
        <v>0</v>
      </c>
      <c r="AE42" s="2046"/>
      <c r="AF42" s="2051"/>
      <c r="AG42" s="2043"/>
      <c r="AH42" s="3081">
        <f t="shared" ref="AH42:AH48" si="41">AF42+AG42*1</f>
        <v>0</v>
      </c>
      <c r="AI42" s="2788" t="e">
        <f t="shared" si="33"/>
        <v>#DIV/0!</v>
      </c>
      <c r="AJ42" s="2046"/>
      <c r="AK42" s="2043">
        <f t="shared" ref="AK42:AL48" si="42">G42+L42+Q42+V42+AA42+AF42</f>
        <v>0</v>
      </c>
      <c r="AL42" s="2043">
        <f t="shared" si="42"/>
        <v>0</v>
      </c>
      <c r="AM42" s="3081">
        <f t="shared" ref="AM42:AM48" si="43">AK42+AL42*1</f>
        <v>0</v>
      </c>
      <c r="AN42" s="2788">
        <f t="shared" si="34"/>
        <v>0</v>
      </c>
      <c r="AO42" s="2792"/>
      <c r="AP42" s="1952"/>
      <c r="AQ42" s="1952"/>
    </row>
    <row r="43" spans="1:43" ht="24.6" customHeight="1" outlineLevel="2">
      <c r="A43" s="4833"/>
      <c r="B43" s="2791" t="s">
        <v>27</v>
      </c>
      <c r="C43" s="2790"/>
      <c r="D43" s="2805"/>
      <c r="E43" s="3108">
        <f t="shared" si="35"/>
        <v>0</v>
      </c>
      <c r="F43" s="2788">
        <f t="shared" si="27"/>
        <v>0</v>
      </c>
      <c r="G43" s="2051"/>
      <c r="H43" s="2043"/>
      <c r="I43" s="3081">
        <f t="shared" si="36"/>
        <v>0</v>
      </c>
      <c r="J43" s="2788">
        <f t="shared" si="28"/>
        <v>0</v>
      </c>
      <c r="K43" s="2046"/>
      <c r="L43" s="2051"/>
      <c r="M43" s="2043"/>
      <c r="N43" s="3081">
        <f t="shared" si="37"/>
        <v>0</v>
      </c>
      <c r="O43" s="2788">
        <f t="shared" si="29"/>
        <v>0</v>
      </c>
      <c r="P43" s="2046"/>
      <c r="Q43" s="2051"/>
      <c r="R43" s="2043"/>
      <c r="S43" s="3081">
        <f t="shared" si="38"/>
        <v>0</v>
      </c>
      <c r="T43" s="2788">
        <f t="shared" si="30"/>
        <v>0</v>
      </c>
      <c r="U43" s="2046"/>
      <c r="V43" s="2051"/>
      <c r="W43" s="2043"/>
      <c r="X43" s="3081">
        <f t="shared" si="39"/>
        <v>0</v>
      </c>
      <c r="Y43" s="2788">
        <f t="shared" si="31"/>
        <v>0</v>
      </c>
      <c r="Z43" s="2046"/>
      <c r="AA43" s="2051"/>
      <c r="AB43" s="2043"/>
      <c r="AC43" s="3081">
        <f t="shared" si="40"/>
        <v>0</v>
      </c>
      <c r="AD43" s="2788">
        <f t="shared" si="32"/>
        <v>0</v>
      </c>
      <c r="AE43" s="2046"/>
      <c r="AF43" s="2051"/>
      <c r="AG43" s="2043"/>
      <c r="AH43" s="3081">
        <f t="shared" si="41"/>
        <v>0</v>
      </c>
      <c r="AI43" s="2788" t="e">
        <f t="shared" si="33"/>
        <v>#DIV/0!</v>
      </c>
      <c r="AJ43" s="2046"/>
      <c r="AK43" s="2043">
        <f t="shared" si="42"/>
        <v>0</v>
      </c>
      <c r="AL43" s="2043">
        <f t="shared" si="42"/>
        <v>0</v>
      </c>
      <c r="AM43" s="3081">
        <f t="shared" si="43"/>
        <v>0</v>
      </c>
      <c r="AN43" s="2788">
        <f t="shared" si="34"/>
        <v>0</v>
      </c>
      <c r="AO43" s="2792"/>
      <c r="AP43" s="1952"/>
      <c r="AQ43" s="1952"/>
    </row>
    <row r="44" spans="1:43" ht="24.6" customHeight="1" outlineLevel="2">
      <c r="A44" s="4833"/>
      <c r="B44" s="3092" t="s">
        <v>28</v>
      </c>
      <c r="C44" s="2790"/>
      <c r="D44" s="2805"/>
      <c r="E44" s="3108">
        <f t="shared" si="35"/>
        <v>0</v>
      </c>
      <c r="F44" s="2788">
        <f t="shared" si="27"/>
        <v>0</v>
      </c>
      <c r="G44" s="2051"/>
      <c r="H44" s="2043"/>
      <c r="I44" s="3081">
        <f t="shared" si="36"/>
        <v>0</v>
      </c>
      <c r="J44" s="2788">
        <f t="shared" si="28"/>
        <v>0</v>
      </c>
      <c r="K44" s="2046"/>
      <c r="L44" s="2051"/>
      <c r="M44" s="2043"/>
      <c r="N44" s="3081">
        <f t="shared" si="37"/>
        <v>0</v>
      </c>
      <c r="O44" s="2788">
        <f t="shared" si="29"/>
        <v>0</v>
      </c>
      <c r="P44" s="2046"/>
      <c r="Q44" s="2051"/>
      <c r="R44" s="2043"/>
      <c r="S44" s="3081">
        <f t="shared" si="38"/>
        <v>0</v>
      </c>
      <c r="T44" s="2788">
        <f t="shared" si="30"/>
        <v>0</v>
      </c>
      <c r="U44" s="2046"/>
      <c r="V44" s="2051"/>
      <c r="W44" s="2043"/>
      <c r="X44" s="3081">
        <f t="shared" si="39"/>
        <v>0</v>
      </c>
      <c r="Y44" s="2788">
        <f t="shared" si="31"/>
        <v>0</v>
      </c>
      <c r="Z44" s="2046"/>
      <c r="AA44" s="2051"/>
      <c r="AB44" s="2043"/>
      <c r="AC44" s="3081">
        <f t="shared" si="40"/>
        <v>0</v>
      </c>
      <c r="AD44" s="2788">
        <f t="shared" si="32"/>
        <v>0</v>
      </c>
      <c r="AE44" s="2046"/>
      <c r="AF44" s="2051"/>
      <c r="AG44" s="2043"/>
      <c r="AH44" s="3081">
        <f t="shared" si="41"/>
        <v>0</v>
      </c>
      <c r="AI44" s="2788" t="e">
        <f t="shared" si="33"/>
        <v>#DIV/0!</v>
      </c>
      <c r="AJ44" s="2046"/>
      <c r="AK44" s="2043">
        <f t="shared" si="42"/>
        <v>0</v>
      </c>
      <c r="AL44" s="2043">
        <f t="shared" si="42"/>
        <v>0</v>
      </c>
      <c r="AM44" s="3081">
        <f t="shared" si="43"/>
        <v>0</v>
      </c>
      <c r="AN44" s="2788">
        <f t="shared" si="34"/>
        <v>0</v>
      </c>
      <c r="AO44" s="2792"/>
      <c r="AP44" s="1952"/>
      <c r="AQ44" s="1952"/>
    </row>
    <row r="45" spans="1:43" ht="24.6" customHeight="1" outlineLevel="2">
      <c r="A45" s="4833"/>
      <c r="B45" s="2791" t="s">
        <v>8</v>
      </c>
      <c r="C45" s="2790"/>
      <c r="D45" s="2805"/>
      <c r="E45" s="3108">
        <f t="shared" si="35"/>
        <v>0</v>
      </c>
      <c r="F45" s="2788">
        <f t="shared" si="27"/>
        <v>0</v>
      </c>
      <c r="G45" s="2051"/>
      <c r="H45" s="2043"/>
      <c r="I45" s="3081">
        <f t="shared" si="36"/>
        <v>0</v>
      </c>
      <c r="J45" s="2788">
        <f t="shared" si="28"/>
        <v>0</v>
      </c>
      <c r="K45" s="2046"/>
      <c r="L45" s="2051"/>
      <c r="M45" s="2043"/>
      <c r="N45" s="3081">
        <f t="shared" si="37"/>
        <v>0</v>
      </c>
      <c r="O45" s="2788">
        <f t="shared" si="29"/>
        <v>0</v>
      </c>
      <c r="P45" s="2046"/>
      <c r="Q45" s="2051"/>
      <c r="R45" s="2043"/>
      <c r="S45" s="3081">
        <f t="shared" si="38"/>
        <v>0</v>
      </c>
      <c r="T45" s="2788">
        <f t="shared" si="30"/>
        <v>0</v>
      </c>
      <c r="U45" s="2046"/>
      <c r="V45" s="2051"/>
      <c r="W45" s="2043"/>
      <c r="X45" s="3081">
        <f t="shared" si="39"/>
        <v>0</v>
      </c>
      <c r="Y45" s="2788">
        <f t="shared" si="31"/>
        <v>0</v>
      </c>
      <c r="Z45" s="2046"/>
      <c r="AA45" s="2051"/>
      <c r="AB45" s="2043"/>
      <c r="AC45" s="3081">
        <f t="shared" si="40"/>
        <v>0</v>
      </c>
      <c r="AD45" s="2788">
        <f t="shared" si="32"/>
        <v>0</v>
      </c>
      <c r="AE45" s="2046"/>
      <c r="AF45" s="2051"/>
      <c r="AG45" s="2043"/>
      <c r="AH45" s="3081">
        <f t="shared" si="41"/>
        <v>0</v>
      </c>
      <c r="AI45" s="2788" t="e">
        <f t="shared" si="33"/>
        <v>#DIV/0!</v>
      </c>
      <c r="AJ45" s="2046"/>
      <c r="AK45" s="2043">
        <f t="shared" si="42"/>
        <v>0</v>
      </c>
      <c r="AL45" s="2043">
        <f t="shared" si="42"/>
        <v>0</v>
      </c>
      <c r="AM45" s="3081">
        <f t="shared" si="43"/>
        <v>0</v>
      </c>
      <c r="AN45" s="2788">
        <f t="shared" si="34"/>
        <v>0</v>
      </c>
      <c r="AO45" s="2792"/>
      <c r="AP45" s="1952"/>
      <c r="AQ45" s="1952"/>
    </row>
    <row r="46" spans="1:43" ht="24.6" customHeight="1" outlineLevel="2">
      <c r="A46" s="4833"/>
      <c r="B46" s="2791" t="s">
        <v>29</v>
      </c>
      <c r="C46" s="2790"/>
      <c r="D46" s="2805"/>
      <c r="E46" s="3108">
        <f t="shared" si="35"/>
        <v>0</v>
      </c>
      <c r="F46" s="2788">
        <f t="shared" si="27"/>
        <v>0</v>
      </c>
      <c r="G46" s="2051"/>
      <c r="H46" s="2043"/>
      <c r="I46" s="3081">
        <f t="shared" si="36"/>
        <v>0</v>
      </c>
      <c r="J46" s="2788">
        <f t="shared" si="28"/>
        <v>0</v>
      </c>
      <c r="K46" s="2046"/>
      <c r="L46" s="2051"/>
      <c r="M46" s="2043"/>
      <c r="N46" s="3081">
        <f t="shared" si="37"/>
        <v>0</v>
      </c>
      <c r="O46" s="2788">
        <f t="shared" si="29"/>
        <v>0</v>
      </c>
      <c r="P46" s="2046"/>
      <c r="Q46" s="2051"/>
      <c r="R46" s="2043"/>
      <c r="S46" s="3081">
        <f t="shared" si="38"/>
        <v>0</v>
      </c>
      <c r="T46" s="2788">
        <f t="shared" si="30"/>
        <v>0</v>
      </c>
      <c r="U46" s="2046"/>
      <c r="V46" s="2051"/>
      <c r="W46" s="2043"/>
      <c r="X46" s="3081">
        <f t="shared" si="39"/>
        <v>0</v>
      </c>
      <c r="Y46" s="2788">
        <f t="shared" si="31"/>
        <v>0</v>
      </c>
      <c r="Z46" s="2046"/>
      <c r="AA46" s="2051"/>
      <c r="AB46" s="2043"/>
      <c r="AC46" s="3081">
        <f t="shared" si="40"/>
        <v>0</v>
      </c>
      <c r="AD46" s="2788">
        <f t="shared" si="32"/>
        <v>0</v>
      </c>
      <c r="AE46" s="2046"/>
      <c r="AF46" s="2051"/>
      <c r="AG46" s="2043"/>
      <c r="AH46" s="3081">
        <f t="shared" si="41"/>
        <v>0</v>
      </c>
      <c r="AI46" s="2788" t="e">
        <f t="shared" si="33"/>
        <v>#DIV/0!</v>
      </c>
      <c r="AJ46" s="2046"/>
      <c r="AK46" s="2043">
        <f t="shared" si="42"/>
        <v>0</v>
      </c>
      <c r="AL46" s="2043">
        <f t="shared" si="42"/>
        <v>0</v>
      </c>
      <c r="AM46" s="3081">
        <f t="shared" si="43"/>
        <v>0</v>
      </c>
      <c r="AN46" s="2788">
        <f t="shared" si="34"/>
        <v>0</v>
      </c>
      <c r="AO46" s="2792"/>
      <c r="AP46" s="1952"/>
      <c r="AQ46" s="1952"/>
    </row>
    <row r="47" spans="1:43" ht="24.6" customHeight="1" outlineLevel="2">
      <c r="A47" s="4833"/>
      <c r="B47" s="2791" t="s">
        <v>30</v>
      </c>
      <c r="C47" s="2790"/>
      <c r="D47" s="2805"/>
      <c r="E47" s="3108">
        <f t="shared" si="35"/>
        <v>0</v>
      </c>
      <c r="F47" s="2788">
        <f t="shared" si="27"/>
        <v>0</v>
      </c>
      <c r="G47" s="2051"/>
      <c r="H47" s="2043"/>
      <c r="I47" s="3081">
        <f t="shared" si="36"/>
        <v>0</v>
      </c>
      <c r="J47" s="2788">
        <f t="shared" si="28"/>
        <v>0</v>
      </c>
      <c r="K47" s="2046"/>
      <c r="L47" s="2051">
        <v>165.03</v>
      </c>
      <c r="M47" s="2043"/>
      <c r="N47" s="3081">
        <f t="shared" si="37"/>
        <v>165.03</v>
      </c>
      <c r="O47" s="2788">
        <f t="shared" si="29"/>
        <v>1.1150502390841222E-2</v>
      </c>
      <c r="P47" s="2046" t="s">
        <v>486</v>
      </c>
      <c r="Q47" s="2051">
        <v>55.01</v>
      </c>
      <c r="R47" s="2043"/>
      <c r="S47" s="3081">
        <f t="shared" si="38"/>
        <v>55.01</v>
      </c>
      <c r="T47" s="2788">
        <f t="shared" si="30"/>
        <v>1.1140947671165237E-3</v>
      </c>
      <c r="U47" s="2046" t="s">
        <v>486</v>
      </c>
      <c r="V47" s="2051"/>
      <c r="W47" s="2043"/>
      <c r="X47" s="3081">
        <f t="shared" si="39"/>
        <v>0</v>
      </c>
      <c r="Y47" s="2788">
        <f t="shared" si="31"/>
        <v>0</v>
      </c>
      <c r="Z47" s="2046"/>
      <c r="AA47" s="2051">
        <v>165.03</v>
      </c>
      <c r="AB47" s="2043"/>
      <c r="AC47" s="3081">
        <f t="shared" si="40"/>
        <v>165.03</v>
      </c>
      <c r="AD47" s="2788">
        <f t="shared" si="32"/>
        <v>1</v>
      </c>
      <c r="AE47" s="2046"/>
      <c r="AF47" s="2051"/>
      <c r="AG47" s="2043"/>
      <c r="AH47" s="3081">
        <f t="shared" si="41"/>
        <v>0</v>
      </c>
      <c r="AI47" s="2788" t="e">
        <f t="shared" si="33"/>
        <v>#DIV/0!</v>
      </c>
      <c r="AJ47" s="2046"/>
      <c r="AK47" s="2043">
        <f t="shared" si="42"/>
        <v>385.07</v>
      </c>
      <c r="AL47" s="2043">
        <f t="shared" si="42"/>
        <v>0</v>
      </c>
      <c r="AM47" s="3186">
        <f t="shared" si="43"/>
        <v>385.07</v>
      </c>
      <c r="AN47" s="2788">
        <f t="shared" si="34"/>
        <v>4.8828165864360732E-3</v>
      </c>
      <c r="AO47" s="2792"/>
      <c r="AP47" s="920"/>
      <c r="AQ47" s="920"/>
    </row>
    <row r="48" spans="1:43" ht="24.6" customHeight="1" outlineLevel="2">
      <c r="A48" s="4833"/>
      <c r="B48" s="2791" t="s">
        <v>15</v>
      </c>
      <c r="C48" s="2790"/>
      <c r="D48" s="2805"/>
      <c r="E48" s="3108">
        <f t="shared" si="35"/>
        <v>0</v>
      </c>
      <c r="F48" s="2788">
        <f t="shared" si="27"/>
        <v>0</v>
      </c>
      <c r="G48" s="2051"/>
      <c r="H48" s="2043"/>
      <c r="I48" s="3081">
        <f t="shared" si="36"/>
        <v>0</v>
      </c>
      <c r="J48" s="2788">
        <f t="shared" si="28"/>
        <v>0</v>
      </c>
      <c r="K48" s="2806"/>
      <c r="L48" s="2051"/>
      <c r="M48" s="2043"/>
      <c r="N48" s="3081">
        <f t="shared" si="37"/>
        <v>0</v>
      </c>
      <c r="O48" s="2788">
        <f t="shared" si="29"/>
        <v>0</v>
      </c>
      <c r="P48" s="2806"/>
      <c r="Q48" s="2051"/>
      <c r="R48" s="2043"/>
      <c r="S48" s="3081">
        <f t="shared" si="38"/>
        <v>0</v>
      </c>
      <c r="T48" s="2788">
        <f t="shared" si="30"/>
        <v>0</v>
      </c>
      <c r="U48" s="2046"/>
      <c r="V48" s="2051"/>
      <c r="W48" s="2043"/>
      <c r="X48" s="3081">
        <f t="shared" si="39"/>
        <v>0</v>
      </c>
      <c r="Y48" s="2788">
        <f t="shared" si="31"/>
        <v>0</v>
      </c>
      <c r="Z48" s="2806"/>
      <c r="AA48" s="2051"/>
      <c r="AB48" s="2043"/>
      <c r="AC48" s="3081">
        <f t="shared" si="40"/>
        <v>0</v>
      </c>
      <c r="AD48" s="2788">
        <f t="shared" si="32"/>
        <v>0</v>
      </c>
      <c r="AE48" s="2046"/>
      <c r="AF48" s="2051"/>
      <c r="AG48" s="2043"/>
      <c r="AH48" s="3081">
        <f t="shared" si="41"/>
        <v>0</v>
      </c>
      <c r="AI48" s="2788" t="e">
        <f t="shared" si="33"/>
        <v>#DIV/0!</v>
      </c>
      <c r="AJ48" s="2046"/>
      <c r="AK48" s="2043">
        <f t="shared" si="42"/>
        <v>0</v>
      </c>
      <c r="AL48" s="2043">
        <f t="shared" si="42"/>
        <v>0</v>
      </c>
      <c r="AM48" s="3081">
        <f t="shared" si="43"/>
        <v>0</v>
      </c>
      <c r="AN48" s="2788">
        <f t="shared" si="34"/>
        <v>0</v>
      </c>
      <c r="AO48" s="2792"/>
      <c r="AP48" s="1952"/>
      <c r="AQ48" s="1952"/>
    </row>
    <row r="49" spans="1:43" s="1396" customFormat="1" ht="24.6" customHeight="1" outlineLevel="2" thickBot="1">
      <c r="A49" s="1405"/>
      <c r="B49" s="3172"/>
      <c r="C49" s="2796"/>
      <c r="D49" s="2807"/>
      <c r="E49" s="2808"/>
      <c r="F49" s="2809"/>
      <c r="G49" s="2051"/>
      <c r="H49" s="2043"/>
      <c r="I49" s="2908"/>
      <c r="J49" s="2788"/>
      <c r="K49" s="2927"/>
      <c r="L49" s="2051"/>
      <c r="M49" s="2043"/>
      <c r="N49" s="2908"/>
      <c r="O49" s="2788"/>
      <c r="P49" s="2927"/>
      <c r="Q49" s="2051"/>
      <c r="R49" s="2043"/>
      <c r="S49" s="2908"/>
      <c r="T49" s="2788"/>
      <c r="U49" s="2927"/>
      <c r="V49" s="2051"/>
      <c r="W49" s="2043"/>
      <c r="X49" s="2908"/>
      <c r="Y49" s="2788"/>
      <c r="Z49" s="2927"/>
      <c r="AA49" s="2051"/>
      <c r="AB49" s="2043"/>
      <c r="AC49" s="2908"/>
      <c r="AD49" s="2788"/>
      <c r="AE49" s="2927"/>
      <c r="AF49" s="2051"/>
      <c r="AG49" s="2043"/>
      <c r="AH49" s="2908"/>
      <c r="AI49" s="2788"/>
      <c r="AJ49" s="2927"/>
      <c r="AK49" s="2043"/>
      <c r="AL49" s="2043"/>
      <c r="AM49" s="2908"/>
      <c r="AN49" s="2788">
        <f t="shared" si="34"/>
        <v>0</v>
      </c>
      <c r="AO49" s="2908"/>
      <c r="AP49" s="920"/>
      <c r="AQ49" s="920"/>
    </row>
    <row r="50" spans="1:43" s="1396" customFormat="1" ht="24.6" customHeight="1" outlineLevel="1">
      <c r="A50" s="1565"/>
      <c r="B50" s="983" t="s">
        <v>59</v>
      </c>
      <c r="C50" s="2015">
        <f>SUM(C51:C52)</f>
        <v>0</v>
      </c>
      <c r="D50" s="2015">
        <f>SUM(D51:D52)</f>
        <v>0</v>
      </c>
      <c r="E50" s="2015">
        <f>SUM(E51:E52)</f>
        <v>0</v>
      </c>
      <c r="F50" s="1534">
        <f>E50/$E$89</f>
        <v>0</v>
      </c>
      <c r="G50" s="2015">
        <f>G52+G51</f>
        <v>0</v>
      </c>
      <c r="H50" s="2015">
        <f>H52+H51</f>
        <v>0</v>
      </c>
      <c r="I50" s="2015">
        <f>SUM(I51:I52)</f>
        <v>0</v>
      </c>
      <c r="J50" s="2006">
        <f>I50/$I$89</f>
        <v>0</v>
      </c>
      <c r="K50" s="1984"/>
      <c r="L50" s="2015">
        <f>L52+L51</f>
        <v>0</v>
      </c>
      <c r="M50" s="2015">
        <f>M52+M51</f>
        <v>0</v>
      </c>
      <c r="N50" s="2015">
        <f>SUM(N51:N52)</f>
        <v>0</v>
      </c>
      <c r="O50" s="2006">
        <f t="shared" ref="O50:O52" si="44">N50/N$89</f>
        <v>0</v>
      </c>
      <c r="P50" s="1984"/>
      <c r="Q50" s="2015">
        <f>Q52+Q51</f>
        <v>0</v>
      </c>
      <c r="R50" s="2015">
        <f>R52+R51</f>
        <v>0</v>
      </c>
      <c r="S50" s="2015">
        <f>SUM(S51:S52)</f>
        <v>0</v>
      </c>
      <c r="T50" s="2006">
        <f t="shared" ref="T50:T52" si="45">S50/S$89</f>
        <v>0</v>
      </c>
      <c r="U50" s="1984"/>
      <c r="V50" s="2015">
        <f>V52+V51</f>
        <v>0</v>
      </c>
      <c r="W50" s="2015">
        <f>W52+W51</f>
        <v>0</v>
      </c>
      <c r="X50" s="2015">
        <f>SUM(X51:X52)</f>
        <v>0</v>
      </c>
      <c r="Y50" s="2006">
        <f t="shared" ref="Y50:Y52" si="46">X50/X$89</f>
        <v>0</v>
      </c>
      <c r="Z50" s="1984"/>
      <c r="AA50" s="2015">
        <f>AA52+AA51</f>
        <v>0</v>
      </c>
      <c r="AB50" s="2015">
        <f>AB52+AB51</f>
        <v>0</v>
      </c>
      <c r="AC50" s="2015">
        <f>SUM(AC51:AC52)</f>
        <v>0</v>
      </c>
      <c r="AD50" s="2006">
        <f t="shared" ref="AD50:AD52" si="47">AC50/AC$89</f>
        <v>0</v>
      </c>
      <c r="AE50" s="1984"/>
      <c r="AF50" s="2015">
        <f>AF52+AF51</f>
        <v>0</v>
      </c>
      <c r="AG50" s="2015">
        <f>AG52+AG51</f>
        <v>0</v>
      </c>
      <c r="AH50" s="2015">
        <f>SUM(AH51:AH52)</f>
        <v>0</v>
      </c>
      <c r="AI50" s="2006" t="e">
        <f t="shared" ref="AI50:AI52" si="48">AH50/AH$89</f>
        <v>#DIV/0!</v>
      </c>
      <c r="AJ50" s="1984"/>
      <c r="AK50" s="2015">
        <f>AK52+AK51</f>
        <v>0</v>
      </c>
      <c r="AL50" s="2015">
        <f>AL52+AL51</f>
        <v>0</v>
      </c>
      <c r="AM50" s="2015">
        <f>SUM(AM51:AM52)</f>
        <v>0</v>
      </c>
      <c r="AN50" s="2006"/>
      <c r="AO50" s="2006"/>
      <c r="AP50" s="920"/>
      <c r="AQ50" s="920"/>
    </row>
    <row r="51" spans="1:43" s="1564" customFormat="1" ht="24.6" customHeight="1" outlineLevel="1">
      <c r="A51" s="1568"/>
      <c r="B51" s="2791" t="s">
        <v>60</v>
      </c>
      <c r="C51" s="2790"/>
      <c r="D51" s="2805"/>
      <c r="E51" s="2805">
        <f>C51+D51*1.15</f>
        <v>0</v>
      </c>
      <c r="F51" s="2810">
        <f>E51/$E$89</f>
        <v>0</v>
      </c>
      <c r="G51" s="2051"/>
      <c r="H51" s="2043"/>
      <c r="I51" s="3081">
        <f>G51+H51*1</f>
        <v>0</v>
      </c>
      <c r="J51" s="2788">
        <f>I51/$I$89</f>
        <v>0</v>
      </c>
      <c r="K51" s="2811"/>
      <c r="L51" s="2051"/>
      <c r="M51" s="2043"/>
      <c r="N51" s="3081">
        <f>L51+M51*1</f>
        <v>0</v>
      </c>
      <c r="O51" s="2788">
        <f t="shared" si="44"/>
        <v>0</v>
      </c>
      <c r="P51" s="2811"/>
      <c r="Q51" s="2051"/>
      <c r="R51" s="2043"/>
      <c r="S51" s="3081">
        <f>Q51+R51*1</f>
        <v>0</v>
      </c>
      <c r="T51" s="2788">
        <f t="shared" si="45"/>
        <v>0</v>
      </c>
      <c r="U51" s="2811"/>
      <c r="V51" s="2051"/>
      <c r="W51" s="2043"/>
      <c r="X51" s="3081">
        <f>V51+W51*1</f>
        <v>0</v>
      </c>
      <c r="Y51" s="2788">
        <f t="shared" si="46"/>
        <v>0</v>
      </c>
      <c r="Z51" s="2811"/>
      <c r="AA51" s="2051"/>
      <c r="AB51" s="2043"/>
      <c r="AC51" s="3081">
        <f>AA51+AB51*1</f>
        <v>0</v>
      </c>
      <c r="AD51" s="2788">
        <f t="shared" si="47"/>
        <v>0</v>
      </c>
      <c r="AE51" s="2811"/>
      <c r="AF51" s="2051"/>
      <c r="AG51" s="2043"/>
      <c r="AH51" s="3081">
        <f>AF51+AG51*1</f>
        <v>0</v>
      </c>
      <c r="AI51" s="2788" t="e">
        <f t="shared" si="48"/>
        <v>#DIV/0!</v>
      </c>
      <c r="AJ51" s="2811"/>
      <c r="AK51" s="2043">
        <f t="shared" ref="AK51:AL52" si="49">G51+L51+Q51+V51+AA51+AF51</f>
        <v>0</v>
      </c>
      <c r="AL51" s="2043">
        <f t="shared" si="49"/>
        <v>0</v>
      </c>
      <c r="AM51" s="3081">
        <f>AK51+AL51*1</f>
        <v>0</v>
      </c>
      <c r="AN51" s="2788">
        <f>AM51/$AM$89</f>
        <v>0</v>
      </c>
      <c r="AO51" s="2803"/>
      <c r="AP51" s="925"/>
      <c r="AQ51" s="925"/>
    </row>
    <row r="52" spans="1:43" s="1569" customFormat="1" ht="24.6" customHeight="1" outlineLevel="2">
      <c r="A52" s="1568"/>
      <c r="B52" s="2791" t="s">
        <v>61</v>
      </c>
      <c r="C52" s="2790"/>
      <c r="D52" s="2805"/>
      <c r="E52" s="2805">
        <f>C52+D52*1.15</f>
        <v>0</v>
      </c>
      <c r="F52" s="2810">
        <f>E52/$E$89</f>
        <v>0</v>
      </c>
      <c r="G52" s="2051"/>
      <c r="H52" s="2043"/>
      <c r="I52" s="3081">
        <f>G52+H52*1</f>
        <v>0</v>
      </c>
      <c r="J52" s="2788">
        <f>I52/$I$89</f>
        <v>0</v>
      </c>
      <c r="K52" s="2046"/>
      <c r="L52" s="2051"/>
      <c r="M52" s="2043"/>
      <c r="N52" s="3081">
        <f>L52+M52*1</f>
        <v>0</v>
      </c>
      <c r="O52" s="2788">
        <f t="shared" si="44"/>
        <v>0</v>
      </c>
      <c r="P52" s="2046"/>
      <c r="Q52" s="2051"/>
      <c r="R52" s="2043"/>
      <c r="S52" s="3081">
        <f>Q52+R52*1</f>
        <v>0</v>
      </c>
      <c r="T52" s="2788">
        <f t="shared" si="45"/>
        <v>0</v>
      </c>
      <c r="U52" s="2046"/>
      <c r="V52" s="2051"/>
      <c r="W52" s="2043"/>
      <c r="X52" s="3081">
        <f>V52+W52*1</f>
        <v>0</v>
      </c>
      <c r="Y52" s="2788">
        <f t="shared" si="46"/>
        <v>0</v>
      </c>
      <c r="Z52" s="2046"/>
      <c r="AA52" s="2051"/>
      <c r="AB52" s="2043"/>
      <c r="AC52" s="3081">
        <f>AA52+AB52*1</f>
        <v>0</v>
      </c>
      <c r="AD52" s="2788">
        <f t="shared" si="47"/>
        <v>0</v>
      </c>
      <c r="AE52" s="2046"/>
      <c r="AF52" s="2051"/>
      <c r="AG52" s="2043"/>
      <c r="AH52" s="3081">
        <f>AF52+AG52*1</f>
        <v>0</v>
      </c>
      <c r="AI52" s="2788" t="e">
        <f t="shared" si="48"/>
        <v>#DIV/0!</v>
      </c>
      <c r="AJ52" s="2046"/>
      <c r="AK52" s="2043">
        <f t="shared" si="49"/>
        <v>0</v>
      </c>
      <c r="AL52" s="2043">
        <f t="shared" si="49"/>
        <v>0</v>
      </c>
      <c r="AM52" s="3081">
        <f>AK52+AL52*1</f>
        <v>0</v>
      </c>
      <c r="AN52" s="2788">
        <f>AM52/$AM$89</f>
        <v>0</v>
      </c>
      <c r="AO52" s="2803"/>
      <c r="AP52" s="1678"/>
      <c r="AQ52" s="1678"/>
    </row>
    <row r="53" spans="1:43" ht="24.6" customHeight="1" outlineLevel="1" thickBot="1">
      <c r="A53" s="1413"/>
      <c r="B53" s="2834"/>
      <c r="C53" s="2931"/>
      <c r="D53" s="2842"/>
      <c r="E53" s="2933"/>
      <c r="F53" s="2934"/>
      <c r="G53" s="2051"/>
      <c r="H53" s="2043"/>
      <c r="I53" s="2935"/>
      <c r="J53" s="2935"/>
      <c r="K53" s="2936"/>
      <c r="L53" s="2051"/>
      <c r="M53" s="2043"/>
      <c r="N53" s="2935"/>
      <c r="O53" s="2935"/>
      <c r="P53" s="2936"/>
      <c r="Q53" s="2051"/>
      <c r="R53" s="2043"/>
      <c r="S53" s="2935"/>
      <c r="T53" s="2935"/>
      <c r="U53" s="2936"/>
      <c r="V53" s="2051"/>
      <c r="W53" s="2043"/>
      <c r="X53" s="2935"/>
      <c r="Y53" s="2935"/>
      <c r="Z53" s="2936"/>
      <c r="AA53" s="2051"/>
      <c r="AB53" s="2043"/>
      <c r="AC53" s="2935"/>
      <c r="AD53" s="2935"/>
      <c r="AE53" s="2936"/>
      <c r="AF53" s="2051"/>
      <c r="AG53" s="2043"/>
      <c r="AH53" s="2935"/>
      <c r="AI53" s="2935"/>
      <c r="AJ53" s="2936"/>
      <c r="AK53" s="2043"/>
      <c r="AL53" s="2043"/>
      <c r="AM53" s="2935"/>
      <c r="AN53" s="2935"/>
      <c r="AO53" s="2935"/>
      <c r="AP53" s="1952"/>
      <c r="AQ53" s="1952"/>
    </row>
    <row r="54" spans="1:43" ht="24.6" customHeight="1" outlineLevel="1">
      <c r="A54" s="1570"/>
      <c r="B54" s="983" t="s">
        <v>1</v>
      </c>
      <c r="C54" s="2015">
        <f>SUM(C55:C71)</f>
        <v>0</v>
      </c>
      <c r="D54" s="2015">
        <f>SUM(D55:D71)</f>
        <v>0</v>
      </c>
      <c r="E54" s="1975">
        <f>SUM(E55:E71)</f>
        <v>0</v>
      </c>
      <c r="F54" s="1534">
        <f>E54/$E$89</f>
        <v>0</v>
      </c>
      <c r="G54" s="2015">
        <f>SUM(G55:G72)</f>
        <v>0</v>
      </c>
      <c r="H54" s="2015">
        <f>SUM(H55:H72)</f>
        <v>0</v>
      </c>
      <c r="I54" s="2015">
        <f>SUM(I55:I72)</f>
        <v>0</v>
      </c>
      <c r="J54" s="2804">
        <f t="shared" ref="J54:J71" si="50">I54/$I$89</f>
        <v>0</v>
      </c>
      <c r="K54" s="1984"/>
      <c r="L54" s="2015">
        <f>SUM(L55:L72)</f>
        <v>0</v>
      </c>
      <c r="M54" s="2015">
        <f>SUM(M55:M72)</f>
        <v>210</v>
      </c>
      <c r="N54" s="2015">
        <f>SUM(N55:N72)</f>
        <v>210</v>
      </c>
      <c r="O54" s="2804">
        <f t="shared" ref="O54:O71" si="51">N54/N$89</f>
        <v>1.4188968684946112E-2</v>
      </c>
      <c r="P54" s="1984"/>
      <c r="Q54" s="2015">
        <f>SUM(Q55:Q72)</f>
        <v>0</v>
      </c>
      <c r="R54" s="2015">
        <f>SUM(R55:R72)</f>
        <v>0</v>
      </c>
      <c r="S54" s="2015">
        <f>SUM(S55:S72)</f>
        <v>0</v>
      </c>
      <c r="T54" s="2804">
        <f t="shared" ref="T54:T71" si="52">S54/S$89</f>
        <v>0</v>
      </c>
      <c r="U54" s="1984"/>
      <c r="V54" s="2015">
        <f>SUM(V55:V72)</f>
        <v>0</v>
      </c>
      <c r="W54" s="2015">
        <f>SUM(W55:W72)</f>
        <v>0</v>
      </c>
      <c r="X54" s="2015">
        <f>SUM(X55:X72)</f>
        <v>0</v>
      </c>
      <c r="Y54" s="2804">
        <f t="shared" ref="Y54:Y71" si="53">X54/X$89</f>
        <v>0</v>
      </c>
      <c r="Z54" s="1984"/>
      <c r="AA54" s="2015">
        <f>SUM(AA55:AA72)</f>
        <v>0</v>
      </c>
      <c r="AB54" s="2015">
        <f>SUM(AB55:AB72)</f>
        <v>0</v>
      </c>
      <c r="AC54" s="2015">
        <f>SUM(AC55:AC72)</f>
        <v>0</v>
      </c>
      <c r="AD54" s="2804">
        <f t="shared" ref="AD54:AD71" si="54">AC54/AC$89</f>
        <v>0</v>
      </c>
      <c r="AE54" s="1984"/>
      <c r="AF54" s="2015">
        <f>SUM(AF55:AF72)</f>
        <v>0</v>
      </c>
      <c r="AG54" s="2015">
        <f>SUM(AG55:AG72)</f>
        <v>0</v>
      </c>
      <c r="AH54" s="2015">
        <f>SUM(AH55:AH72)</f>
        <v>0</v>
      </c>
      <c r="AI54" s="2804" t="e">
        <f t="shared" ref="AI54:AI71" si="55">AH54/AH$89</f>
        <v>#DIV/0!</v>
      </c>
      <c r="AJ54" s="1984"/>
      <c r="AK54" s="2015">
        <f>SUM(AK55:AK72)</f>
        <v>0</v>
      </c>
      <c r="AL54" s="2015">
        <f>SUM(AL55:AL72)</f>
        <v>210</v>
      </c>
      <c r="AM54" s="2015">
        <f>SUM(AM55:AM72)</f>
        <v>210</v>
      </c>
      <c r="AN54" s="2804">
        <f t="shared" ref="AN54:AN71" si="56">AM54/$AM$89</f>
        <v>2.6628703434481405E-3</v>
      </c>
      <c r="AO54" s="2006"/>
      <c r="AP54" s="1952"/>
      <c r="AQ54" s="1952"/>
    </row>
    <row r="55" spans="1:43" ht="24.6" customHeight="1" outlineLevel="2">
      <c r="A55" s="1571"/>
      <c r="B55" s="3092" t="s">
        <v>77</v>
      </c>
      <c r="C55" s="2790"/>
      <c r="D55" s="2793"/>
      <c r="E55" s="3108">
        <f t="shared" ref="E55:E70" si="57">C55+D55*1.15</f>
        <v>0</v>
      </c>
      <c r="F55" s="2788">
        <f>E55/$E$89</f>
        <v>0</v>
      </c>
      <c r="G55" s="2011"/>
      <c r="H55" s="2045"/>
      <c r="I55" s="3081">
        <f t="shared" ref="I55:I71" si="58">G55+H55*1</f>
        <v>0</v>
      </c>
      <c r="J55" s="2788">
        <f t="shared" si="50"/>
        <v>0</v>
      </c>
      <c r="K55" s="2046"/>
      <c r="L55" s="2011"/>
      <c r="M55" s="2045"/>
      <c r="N55" s="3081">
        <f t="shared" ref="N55:N71" si="59">L55+M55*1</f>
        <v>0</v>
      </c>
      <c r="O55" s="2788">
        <f t="shared" si="51"/>
        <v>0</v>
      </c>
      <c r="P55" s="2046"/>
      <c r="Q55" s="2011"/>
      <c r="R55" s="2045"/>
      <c r="S55" s="3081">
        <f t="shared" ref="S55:S62" si="60">Q55+R55*1</f>
        <v>0</v>
      </c>
      <c r="T55" s="2788">
        <f t="shared" si="52"/>
        <v>0</v>
      </c>
      <c r="U55" s="2046"/>
      <c r="V55" s="2011"/>
      <c r="W55" s="2045"/>
      <c r="X55" s="3081">
        <f t="shared" ref="X55:X71" si="61">V55+W55*1</f>
        <v>0</v>
      </c>
      <c r="Y55" s="2788">
        <f t="shared" si="53"/>
        <v>0</v>
      </c>
      <c r="Z55" s="2046"/>
      <c r="AA55" s="2011"/>
      <c r="AB55" s="2045"/>
      <c r="AC55" s="3081">
        <f t="shared" ref="AC55:AC71" si="62">AA55+AB55*1</f>
        <v>0</v>
      </c>
      <c r="AD55" s="2788">
        <f t="shared" si="54"/>
        <v>0</v>
      </c>
      <c r="AE55" s="2046"/>
      <c r="AF55" s="2011"/>
      <c r="AG55" s="2045"/>
      <c r="AH55" s="3081">
        <f t="shared" ref="AH55:AH62" si="63">AF55+AG55*1</f>
        <v>0</v>
      </c>
      <c r="AI55" s="2788" t="e">
        <f t="shared" si="55"/>
        <v>#DIV/0!</v>
      </c>
      <c r="AJ55" s="2046"/>
      <c r="AK55" s="2043">
        <f t="shared" ref="AK55:AL71" si="64">G55+L55+Q55+V55+AA55+AF55</f>
        <v>0</v>
      </c>
      <c r="AL55" s="2043">
        <f t="shared" si="64"/>
        <v>0</v>
      </c>
      <c r="AM55" s="3081">
        <f t="shared" ref="AM55:AM71" si="65">AK55+AL55*1</f>
        <v>0</v>
      </c>
      <c r="AN55" s="2788">
        <f t="shared" si="56"/>
        <v>0</v>
      </c>
      <c r="AO55" s="2792"/>
      <c r="AP55" s="1952"/>
      <c r="AQ55" s="1952"/>
    </row>
    <row r="56" spans="1:43" ht="24.6" customHeight="1" outlineLevel="2">
      <c r="A56" s="1571"/>
      <c r="B56" s="3092" t="s">
        <v>76</v>
      </c>
      <c r="C56" s="2790"/>
      <c r="D56" s="2793"/>
      <c r="E56" s="3108">
        <f t="shared" si="57"/>
        <v>0</v>
      </c>
      <c r="F56" s="2788">
        <f t="shared" ref="F56:F72" si="66">E56/$E$89</f>
        <v>0</v>
      </c>
      <c r="G56" s="2011"/>
      <c r="H56" s="2045"/>
      <c r="I56" s="3081">
        <f t="shared" si="58"/>
        <v>0</v>
      </c>
      <c r="J56" s="2788">
        <f t="shared" si="50"/>
        <v>0</v>
      </c>
      <c r="K56" s="2046"/>
      <c r="L56" s="2011"/>
      <c r="M56" s="2045"/>
      <c r="N56" s="3081">
        <f t="shared" si="59"/>
        <v>0</v>
      </c>
      <c r="O56" s="2788">
        <f t="shared" si="51"/>
        <v>0</v>
      </c>
      <c r="P56" s="2046"/>
      <c r="Q56" s="2011"/>
      <c r="R56" s="2045"/>
      <c r="S56" s="3081">
        <f t="shared" si="60"/>
        <v>0</v>
      </c>
      <c r="T56" s="2788">
        <f t="shared" si="52"/>
        <v>0</v>
      </c>
      <c r="U56" s="2046"/>
      <c r="V56" s="2011"/>
      <c r="W56" s="2045"/>
      <c r="X56" s="3081">
        <f t="shared" si="61"/>
        <v>0</v>
      </c>
      <c r="Y56" s="2788">
        <f t="shared" si="53"/>
        <v>0</v>
      </c>
      <c r="Z56" s="2046"/>
      <c r="AA56" s="2011"/>
      <c r="AB56" s="2045"/>
      <c r="AC56" s="3081">
        <f t="shared" si="62"/>
        <v>0</v>
      </c>
      <c r="AD56" s="2788">
        <f t="shared" si="54"/>
        <v>0</v>
      </c>
      <c r="AE56" s="2046"/>
      <c r="AF56" s="2011"/>
      <c r="AG56" s="2045"/>
      <c r="AH56" s="3081">
        <f t="shared" si="63"/>
        <v>0</v>
      </c>
      <c r="AI56" s="2788" t="e">
        <f t="shared" si="55"/>
        <v>#DIV/0!</v>
      </c>
      <c r="AJ56" s="2046"/>
      <c r="AK56" s="2043">
        <f t="shared" si="64"/>
        <v>0</v>
      </c>
      <c r="AL56" s="2043">
        <f t="shared" si="64"/>
        <v>0</v>
      </c>
      <c r="AM56" s="3081">
        <f t="shared" si="65"/>
        <v>0</v>
      </c>
      <c r="AN56" s="2788">
        <f t="shared" si="56"/>
        <v>0</v>
      </c>
      <c r="AO56" s="2792"/>
      <c r="AP56" s="1952"/>
      <c r="AQ56" s="1952"/>
    </row>
    <row r="57" spans="1:43" ht="24.6" customHeight="1" outlineLevel="2">
      <c r="A57" s="1571"/>
      <c r="B57" s="3092" t="s">
        <v>68</v>
      </c>
      <c r="C57" s="2790"/>
      <c r="D57" s="2793"/>
      <c r="E57" s="3108">
        <f t="shared" si="57"/>
        <v>0</v>
      </c>
      <c r="F57" s="2788">
        <f t="shared" si="66"/>
        <v>0</v>
      </c>
      <c r="G57" s="2011"/>
      <c r="H57" s="2045"/>
      <c r="I57" s="3081">
        <f t="shared" si="58"/>
        <v>0</v>
      </c>
      <c r="J57" s="2788">
        <f t="shared" si="50"/>
        <v>0</v>
      </c>
      <c r="K57" s="2046"/>
      <c r="L57" s="2011"/>
      <c r="M57" s="2045"/>
      <c r="N57" s="3081">
        <f t="shared" si="59"/>
        <v>0</v>
      </c>
      <c r="O57" s="2788">
        <f t="shared" si="51"/>
        <v>0</v>
      </c>
      <c r="P57" s="2046"/>
      <c r="Q57" s="2011"/>
      <c r="R57" s="2045"/>
      <c r="S57" s="3081">
        <f t="shared" si="60"/>
        <v>0</v>
      </c>
      <c r="T57" s="2788">
        <f t="shared" si="52"/>
        <v>0</v>
      </c>
      <c r="U57" s="2046"/>
      <c r="V57" s="2011"/>
      <c r="W57" s="2045"/>
      <c r="X57" s="3081">
        <f t="shared" si="61"/>
        <v>0</v>
      </c>
      <c r="Y57" s="2788">
        <f t="shared" si="53"/>
        <v>0</v>
      </c>
      <c r="Z57" s="2046"/>
      <c r="AA57" s="2011"/>
      <c r="AB57" s="2045"/>
      <c r="AC57" s="3081">
        <f t="shared" si="62"/>
        <v>0</v>
      </c>
      <c r="AD57" s="2788">
        <f t="shared" si="54"/>
        <v>0</v>
      </c>
      <c r="AE57" s="2046"/>
      <c r="AF57" s="2011"/>
      <c r="AG57" s="2045"/>
      <c r="AH57" s="3081">
        <f t="shared" si="63"/>
        <v>0</v>
      </c>
      <c r="AI57" s="2788" t="e">
        <f t="shared" si="55"/>
        <v>#DIV/0!</v>
      </c>
      <c r="AJ57" s="2046"/>
      <c r="AK57" s="2043">
        <f t="shared" si="64"/>
        <v>0</v>
      </c>
      <c r="AL57" s="2043">
        <f t="shared" si="64"/>
        <v>0</v>
      </c>
      <c r="AM57" s="3081">
        <f t="shared" si="65"/>
        <v>0</v>
      </c>
      <c r="AN57" s="2788">
        <f t="shared" si="56"/>
        <v>0</v>
      </c>
      <c r="AO57" s="2792"/>
      <c r="AP57" s="1952"/>
      <c r="AQ57" s="1952"/>
    </row>
    <row r="58" spans="1:43" ht="24.6" customHeight="1" outlineLevel="2">
      <c r="A58" s="1571"/>
      <c r="B58" s="3092" t="s">
        <v>67</v>
      </c>
      <c r="C58" s="2790"/>
      <c r="D58" s="2793"/>
      <c r="E58" s="3108">
        <f t="shared" si="57"/>
        <v>0</v>
      </c>
      <c r="F58" s="2788">
        <f t="shared" si="66"/>
        <v>0</v>
      </c>
      <c r="G58" s="2011"/>
      <c r="H58" s="2045"/>
      <c r="I58" s="3081">
        <f t="shared" si="58"/>
        <v>0</v>
      </c>
      <c r="J58" s="2788">
        <f t="shared" si="50"/>
        <v>0</v>
      </c>
      <c r="K58" s="2046"/>
      <c r="L58" s="2011"/>
      <c r="M58" s="2045"/>
      <c r="N58" s="3081">
        <f t="shared" si="59"/>
        <v>0</v>
      </c>
      <c r="O58" s="2788">
        <f t="shared" si="51"/>
        <v>0</v>
      </c>
      <c r="P58" s="2046"/>
      <c r="Q58" s="2011"/>
      <c r="R58" s="2045"/>
      <c r="S58" s="3081">
        <f t="shared" si="60"/>
        <v>0</v>
      </c>
      <c r="T58" s="2788">
        <f t="shared" si="52"/>
        <v>0</v>
      </c>
      <c r="U58" s="2046"/>
      <c r="V58" s="2011"/>
      <c r="W58" s="2045"/>
      <c r="X58" s="3081">
        <f t="shared" si="61"/>
        <v>0</v>
      </c>
      <c r="Y58" s="2788">
        <f t="shared" si="53"/>
        <v>0</v>
      </c>
      <c r="Z58" s="2046"/>
      <c r="AA58" s="2011"/>
      <c r="AB58" s="2045"/>
      <c r="AC58" s="3081">
        <f t="shared" si="62"/>
        <v>0</v>
      </c>
      <c r="AD58" s="2788">
        <f t="shared" si="54"/>
        <v>0</v>
      </c>
      <c r="AE58" s="2046"/>
      <c r="AF58" s="2011"/>
      <c r="AG58" s="2045"/>
      <c r="AH58" s="3081">
        <f t="shared" si="63"/>
        <v>0</v>
      </c>
      <c r="AI58" s="2788" t="e">
        <f t="shared" si="55"/>
        <v>#DIV/0!</v>
      </c>
      <c r="AJ58" s="2046"/>
      <c r="AK58" s="2043">
        <f t="shared" si="64"/>
        <v>0</v>
      </c>
      <c r="AL58" s="2043">
        <f t="shared" si="64"/>
        <v>0</v>
      </c>
      <c r="AM58" s="3081">
        <f t="shared" si="65"/>
        <v>0</v>
      </c>
      <c r="AN58" s="2788">
        <f t="shared" si="56"/>
        <v>0</v>
      </c>
      <c r="AO58" s="2792"/>
      <c r="AP58" s="1952"/>
      <c r="AQ58" s="1952"/>
    </row>
    <row r="59" spans="1:43" ht="24.6" customHeight="1" outlineLevel="2">
      <c r="A59" s="1571"/>
      <c r="B59" s="3092" t="s">
        <v>66</v>
      </c>
      <c r="C59" s="2790"/>
      <c r="D59" s="2793"/>
      <c r="E59" s="3108">
        <f t="shared" si="57"/>
        <v>0</v>
      </c>
      <c r="F59" s="2788">
        <f t="shared" si="66"/>
        <v>0</v>
      </c>
      <c r="G59" s="2011"/>
      <c r="H59" s="2045"/>
      <c r="I59" s="3081">
        <f t="shared" si="58"/>
        <v>0</v>
      </c>
      <c r="J59" s="2788">
        <f t="shared" si="50"/>
        <v>0</v>
      </c>
      <c r="K59" s="2046"/>
      <c r="L59" s="2011"/>
      <c r="M59" s="2045"/>
      <c r="N59" s="3081">
        <f t="shared" si="59"/>
        <v>0</v>
      </c>
      <c r="O59" s="2788">
        <f t="shared" si="51"/>
        <v>0</v>
      </c>
      <c r="P59" s="2046"/>
      <c r="Q59" s="2011"/>
      <c r="R59" s="2045"/>
      <c r="S59" s="3081">
        <f t="shared" si="60"/>
        <v>0</v>
      </c>
      <c r="T59" s="2788">
        <f t="shared" si="52"/>
        <v>0</v>
      </c>
      <c r="U59" s="2046"/>
      <c r="V59" s="2011"/>
      <c r="W59" s="2045"/>
      <c r="X59" s="3081">
        <f t="shared" si="61"/>
        <v>0</v>
      </c>
      <c r="Y59" s="2788">
        <f t="shared" si="53"/>
        <v>0</v>
      </c>
      <c r="Z59" s="2046"/>
      <c r="AA59" s="2011"/>
      <c r="AB59" s="2045"/>
      <c r="AC59" s="3081">
        <f t="shared" si="62"/>
        <v>0</v>
      </c>
      <c r="AD59" s="2788">
        <f t="shared" si="54"/>
        <v>0</v>
      </c>
      <c r="AE59" s="2046"/>
      <c r="AF59" s="2011"/>
      <c r="AG59" s="2045"/>
      <c r="AH59" s="3081">
        <f t="shared" si="63"/>
        <v>0</v>
      </c>
      <c r="AI59" s="2788" t="e">
        <f t="shared" si="55"/>
        <v>#DIV/0!</v>
      </c>
      <c r="AJ59" s="2046"/>
      <c r="AK59" s="2043">
        <f t="shared" si="64"/>
        <v>0</v>
      </c>
      <c r="AL59" s="2043">
        <f t="shared" si="64"/>
        <v>0</v>
      </c>
      <c r="AM59" s="3081">
        <f t="shared" si="65"/>
        <v>0</v>
      </c>
      <c r="AN59" s="2788">
        <f t="shared" si="56"/>
        <v>0</v>
      </c>
      <c r="AO59" s="2792"/>
      <c r="AP59" s="1952"/>
      <c r="AQ59" s="1952"/>
    </row>
    <row r="60" spans="1:43" ht="24.6" customHeight="1" outlineLevel="2">
      <c r="A60" s="1571"/>
      <c r="B60" s="3092" t="s">
        <v>65</v>
      </c>
      <c r="C60" s="2790"/>
      <c r="D60" s="2793"/>
      <c r="E60" s="3108">
        <f t="shared" si="57"/>
        <v>0</v>
      </c>
      <c r="F60" s="2788">
        <f t="shared" si="66"/>
        <v>0</v>
      </c>
      <c r="G60" s="2011"/>
      <c r="H60" s="2045"/>
      <c r="I60" s="3081">
        <f t="shared" si="58"/>
        <v>0</v>
      </c>
      <c r="J60" s="2788">
        <f t="shared" si="50"/>
        <v>0</v>
      </c>
      <c r="K60" s="2046"/>
      <c r="L60" s="2011"/>
      <c r="M60" s="2045"/>
      <c r="N60" s="3081">
        <f t="shared" si="59"/>
        <v>0</v>
      </c>
      <c r="O60" s="2788">
        <f t="shared" si="51"/>
        <v>0</v>
      </c>
      <c r="P60" s="2046"/>
      <c r="Q60" s="2011"/>
      <c r="R60" s="2045"/>
      <c r="S60" s="3081">
        <f t="shared" si="60"/>
        <v>0</v>
      </c>
      <c r="T60" s="2788">
        <f t="shared" si="52"/>
        <v>0</v>
      </c>
      <c r="U60" s="2046"/>
      <c r="V60" s="2011"/>
      <c r="W60" s="2045"/>
      <c r="X60" s="3081">
        <f t="shared" si="61"/>
        <v>0</v>
      </c>
      <c r="Y60" s="2788">
        <f t="shared" si="53"/>
        <v>0</v>
      </c>
      <c r="Z60" s="2046"/>
      <c r="AA60" s="2011"/>
      <c r="AB60" s="2045"/>
      <c r="AC60" s="3081">
        <f t="shared" si="62"/>
        <v>0</v>
      </c>
      <c r="AD60" s="2788">
        <f t="shared" si="54"/>
        <v>0</v>
      </c>
      <c r="AE60" s="2046"/>
      <c r="AF60" s="2011"/>
      <c r="AG60" s="2045"/>
      <c r="AH60" s="3081">
        <f t="shared" si="63"/>
        <v>0</v>
      </c>
      <c r="AI60" s="2788" t="e">
        <f t="shared" si="55"/>
        <v>#DIV/0!</v>
      </c>
      <c r="AJ60" s="2046"/>
      <c r="AK60" s="2043">
        <f t="shared" si="64"/>
        <v>0</v>
      </c>
      <c r="AL60" s="2043">
        <f t="shared" si="64"/>
        <v>0</v>
      </c>
      <c r="AM60" s="3081">
        <f t="shared" si="65"/>
        <v>0</v>
      </c>
      <c r="AN60" s="2788">
        <f t="shared" si="56"/>
        <v>0</v>
      </c>
      <c r="AO60" s="2792"/>
      <c r="AP60" s="1952"/>
      <c r="AQ60" s="1952"/>
    </row>
    <row r="61" spans="1:43" ht="24.6" customHeight="1" outlineLevel="2">
      <c r="A61" s="1571"/>
      <c r="B61" s="3092" t="s">
        <v>32</v>
      </c>
      <c r="C61" s="2790"/>
      <c r="D61" s="2793"/>
      <c r="E61" s="3108">
        <f t="shared" si="57"/>
        <v>0</v>
      </c>
      <c r="F61" s="2788">
        <f t="shared" si="66"/>
        <v>0</v>
      </c>
      <c r="G61" s="2011"/>
      <c r="H61" s="2045"/>
      <c r="I61" s="3081">
        <f t="shared" si="58"/>
        <v>0</v>
      </c>
      <c r="J61" s="2788">
        <f t="shared" si="50"/>
        <v>0</v>
      </c>
      <c r="K61" s="2046"/>
      <c r="L61" s="2011"/>
      <c r="M61" s="2045"/>
      <c r="N61" s="3081">
        <f t="shared" si="59"/>
        <v>0</v>
      </c>
      <c r="O61" s="2788">
        <f t="shared" si="51"/>
        <v>0</v>
      </c>
      <c r="P61" s="2046"/>
      <c r="Q61" s="2011"/>
      <c r="R61" s="2045"/>
      <c r="S61" s="3081">
        <f t="shared" si="60"/>
        <v>0</v>
      </c>
      <c r="T61" s="2788">
        <f t="shared" si="52"/>
        <v>0</v>
      </c>
      <c r="U61" s="2046"/>
      <c r="V61" s="2011"/>
      <c r="W61" s="2045"/>
      <c r="X61" s="3081">
        <f t="shared" si="61"/>
        <v>0</v>
      </c>
      <c r="Y61" s="2788">
        <f t="shared" si="53"/>
        <v>0</v>
      </c>
      <c r="Z61" s="2046"/>
      <c r="AA61" s="2011"/>
      <c r="AB61" s="2045"/>
      <c r="AC61" s="3081">
        <f t="shared" si="62"/>
        <v>0</v>
      </c>
      <c r="AD61" s="2788">
        <f t="shared" si="54"/>
        <v>0</v>
      </c>
      <c r="AE61" s="2046"/>
      <c r="AF61" s="2011"/>
      <c r="AG61" s="2045"/>
      <c r="AH61" s="3081">
        <f t="shared" si="63"/>
        <v>0</v>
      </c>
      <c r="AI61" s="2788" t="e">
        <f t="shared" si="55"/>
        <v>#DIV/0!</v>
      </c>
      <c r="AJ61" s="2046"/>
      <c r="AK61" s="2043">
        <f t="shared" si="64"/>
        <v>0</v>
      </c>
      <c r="AL61" s="2043">
        <f t="shared" si="64"/>
        <v>0</v>
      </c>
      <c r="AM61" s="3081">
        <f t="shared" si="65"/>
        <v>0</v>
      </c>
      <c r="AN61" s="2788">
        <f t="shared" si="56"/>
        <v>0</v>
      </c>
      <c r="AO61" s="2792"/>
      <c r="AP61" s="1952"/>
      <c r="AQ61" s="1952"/>
    </row>
    <row r="62" spans="1:43" ht="24.6" customHeight="1" outlineLevel="2">
      <c r="A62" s="1571"/>
      <c r="B62" s="3092" t="s">
        <v>33</v>
      </c>
      <c r="C62" s="2812"/>
      <c r="D62" s="2793"/>
      <c r="E62" s="3108">
        <f t="shared" si="57"/>
        <v>0</v>
      </c>
      <c r="F62" s="2788">
        <f t="shared" si="66"/>
        <v>0</v>
      </c>
      <c r="G62" s="2011"/>
      <c r="H62" s="2045"/>
      <c r="I62" s="3081">
        <f t="shared" si="58"/>
        <v>0</v>
      </c>
      <c r="J62" s="2788">
        <f t="shared" si="50"/>
        <v>0</v>
      </c>
      <c r="K62" s="2046"/>
      <c r="L62" s="2011"/>
      <c r="M62" s="2045"/>
      <c r="N62" s="3081">
        <f t="shared" si="59"/>
        <v>0</v>
      </c>
      <c r="O62" s="2788">
        <f t="shared" si="51"/>
        <v>0</v>
      </c>
      <c r="P62" s="2046"/>
      <c r="Q62" s="2011"/>
      <c r="R62" s="2045"/>
      <c r="S62" s="3081">
        <f t="shared" si="60"/>
        <v>0</v>
      </c>
      <c r="T62" s="2788">
        <f t="shared" si="52"/>
        <v>0</v>
      </c>
      <c r="U62" s="2046"/>
      <c r="V62" s="2011"/>
      <c r="W62" s="2045"/>
      <c r="X62" s="3081">
        <f t="shared" si="61"/>
        <v>0</v>
      </c>
      <c r="Y62" s="2788">
        <f t="shared" si="53"/>
        <v>0</v>
      </c>
      <c r="Z62" s="2046"/>
      <c r="AA62" s="2011"/>
      <c r="AB62" s="2045"/>
      <c r="AC62" s="3081">
        <f t="shared" si="62"/>
        <v>0</v>
      </c>
      <c r="AD62" s="2788">
        <f t="shared" si="54"/>
        <v>0</v>
      </c>
      <c r="AE62" s="2046"/>
      <c r="AF62" s="2011"/>
      <c r="AG62" s="2045"/>
      <c r="AH62" s="3081">
        <f t="shared" si="63"/>
        <v>0</v>
      </c>
      <c r="AI62" s="2788" t="e">
        <f t="shared" si="55"/>
        <v>#DIV/0!</v>
      </c>
      <c r="AJ62" s="2046"/>
      <c r="AK62" s="2043">
        <f t="shared" si="64"/>
        <v>0</v>
      </c>
      <c r="AL62" s="2043">
        <f t="shared" si="64"/>
        <v>0</v>
      </c>
      <c r="AM62" s="3081">
        <f t="shared" si="65"/>
        <v>0</v>
      </c>
      <c r="AN62" s="2788">
        <f t="shared" si="56"/>
        <v>0</v>
      </c>
      <c r="AO62" s="2792"/>
      <c r="AP62" s="1952"/>
      <c r="AQ62" s="1952"/>
    </row>
    <row r="63" spans="1:43" ht="24.6" customHeight="1" outlineLevel="2">
      <c r="A63" s="1571"/>
      <c r="B63" s="3092" t="s">
        <v>35</v>
      </c>
      <c r="C63" s="2812"/>
      <c r="D63" s="2793"/>
      <c r="E63" s="3108">
        <f t="shared" si="57"/>
        <v>0</v>
      </c>
      <c r="F63" s="2788">
        <f t="shared" si="66"/>
        <v>0</v>
      </c>
      <c r="G63" s="2011"/>
      <c r="H63" s="2940"/>
      <c r="I63" s="3081">
        <f t="shared" si="58"/>
        <v>0</v>
      </c>
      <c r="J63" s="2788">
        <f t="shared" si="50"/>
        <v>0</v>
      </c>
      <c r="K63" s="2046"/>
      <c r="L63" s="2011"/>
      <c r="M63" s="2940"/>
      <c r="N63" s="3081">
        <f t="shared" si="59"/>
        <v>0</v>
      </c>
      <c r="O63" s="2788">
        <f t="shared" si="51"/>
        <v>0</v>
      </c>
      <c r="P63" s="2046"/>
      <c r="Q63" s="2011"/>
      <c r="R63" s="2940"/>
      <c r="S63" s="3081">
        <f>Q63+R63*1</f>
        <v>0</v>
      </c>
      <c r="T63" s="2788">
        <f t="shared" si="52"/>
        <v>0</v>
      </c>
      <c r="U63" s="2046"/>
      <c r="V63" s="2011"/>
      <c r="W63" s="2940"/>
      <c r="X63" s="3081">
        <f t="shared" si="61"/>
        <v>0</v>
      </c>
      <c r="Y63" s="2788">
        <f t="shared" si="53"/>
        <v>0</v>
      </c>
      <c r="Z63" s="2046"/>
      <c r="AA63" s="2011"/>
      <c r="AB63" s="2940"/>
      <c r="AC63" s="3081">
        <f t="shared" si="62"/>
        <v>0</v>
      </c>
      <c r="AD63" s="2788">
        <f t="shared" si="54"/>
        <v>0</v>
      </c>
      <c r="AE63" s="2046"/>
      <c r="AF63" s="2011"/>
      <c r="AG63" s="2940"/>
      <c r="AH63" s="3081">
        <f>AF63+AG63*1</f>
        <v>0</v>
      </c>
      <c r="AI63" s="2788" t="e">
        <f t="shared" si="55"/>
        <v>#DIV/0!</v>
      </c>
      <c r="AJ63" s="2046"/>
      <c r="AK63" s="2043">
        <f t="shared" si="64"/>
        <v>0</v>
      </c>
      <c r="AL63" s="2043">
        <f t="shared" si="64"/>
        <v>0</v>
      </c>
      <c r="AM63" s="3081">
        <f t="shared" si="65"/>
        <v>0</v>
      </c>
      <c r="AN63" s="2788">
        <f t="shared" si="56"/>
        <v>0</v>
      </c>
      <c r="AO63" s="2792"/>
      <c r="AP63" s="1952"/>
      <c r="AQ63" s="1952"/>
    </row>
    <row r="64" spans="1:43" ht="24.6" customHeight="1" outlineLevel="2">
      <c r="A64" s="1571"/>
      <c r="B64" s="3092" t="s">
        <v>63</v>
      </c>
      <c r="C64" s="2812"/>
      <c r="D64" s="2793"/>
      <c r="E64" s="3108">
        <f t="shared" si="57"/>
        <v>0</v>
      </c>
      <c r="F64" s="2788">
        <f t="shared" si="66"/>
        <v>0</v>
      </c>
      <c r="G64" s="2011"/>
      <c r="H64" s="2045"/>
      <c r="I64" s="3081">
        <f t="shared" si="58"/>
        <v>0</v>
      </c>
      <c r="J64" s="2788">
        <f t="shared" si="50"/>
        <v>0</v>
      </c>
      <c r="K64" s="2046"/>
      <c r="L64" s="2011"/>
      <c r="M64" s="2045"/>
      <c r="N64" s="3081">
        <f t="shared" si="59"/>
        <v>0</v>
      </c>
      <c r="O64" s="2788">
        <f t="shared" si="51"/>
        <v>0</v>
      </c>
      <c r="P64" s="2046"/>
      <c r="Q64" s="2011"/>
      <c r="R64" s="2045"/>
      <c r="S64" s="3081">
        <f>Q64+R64*1</f>
        <v>0</v>
      </c>
      <c r="T64" s="2788">
        <f t="shared" si="52"/>
        <v>0</v>
      </c>
      <c r="U64" s="2046"/>
      <c r="V64" s="2011"/>
      <c r="W64" s="2045"/>
      <c r="X64" s="3081">
        <f t="shared" si="61"/>
        <v>0</v>
      </c>
      <c r="Y64" s="2788">
        <f t="shared" si="53"/>
        <v>0</v>
      </c>
      <c r="Z64" s="2046"/>
      <c r="AA64" s="2011"/>
      <c r="AB64" s="2045"/>
      <c r="AC64" s="3081">
        <f t="shared" si="62"/>
        <v>0</v>
      </c>
      <c r="AD64" s="2788">
        <f t="shared" si="54"/>
        <v>0</v>
      </c>
      <c r="AE64" s="2046"/>
      <c r="AF64" s="2011"/>
      <c r="AG64" s="2045"/>
      <c r="AH64" s="3081">
        <f>AF64+AG64*1</f>
        <v>0</v>
      </c>
      <c r="AI64" s="2788" t="e">
        <f t="shared" si="55"/>
        <v>#DIV/0!</v>
      </c>
      <c r="AJ64" s="2046"/>
      <c r="AK64" s="2043">
        <f t="shared" si="64"/>
        <v>0</v>
      </c>
      <c r="AL64" s="2043">
        <f t="shared" si="64"/>
        <v>0</v>
      </c>
      <c r="AM64" s="3081">
        <f t="shared" si="65"/>
        <v>0</v>
      </c>
      <c r="AN64" s="2788">
        <f t="shared" si="56"/>
        <v>0</v>
      </c>
      <c r="AO64" s="2792"/>
      <c r="AP64" s="1952"/>
      <c r="AQ64" s="1952"/>
    </row>
    <row r="65" spans="1:43" ht="24.6" customHeight="1" outlineLevel="2">
      <c r="A65" s="1571"/>
      <c r="B65" s="3092" t="s">
        <v>36</v>
      </c>
      <c r="C65" s="2812"/>
      <c r="D65" s="2793"/>
      <c r="E65" s="3108">
        <f t="shared" si="57"/>
        <v>0</v>
      </c>
      <c r="F65" s="2788">
        <f t="shared" si="66"/>
        <v>0</v>
      </c>
      <c r="G65" s="2051"/>
      <c r="H65" s="2045"/>
      <c r="I65" s="3081">
        <f t="shared" si="58"/>
        <v>0</v>
      </c>
      <c r="J65" s="2788">
        <f t="shared" si="50"/>
        <v>0</v>
      </c>
      <c r="K65" s="2046"/>
      <c r="L65" s="2011"/>
      <c r="M65" s="2045"/>
      <c r="N65" s="3081">
        <f t="shared" si="59"/>
        <v>0</v>
      </c>
      <c r="O65" s="2788">
        <f t="shared" si="51"/>
        <v>0</v>
      </c>
      <c r="P65" s="2046"/>
      <c r="Q65" s="2045"/>
      <c r="R65" s="2045"/>
      <c r="S65" s="3081">
        <f t="shared" ref="S65:S71" si="67">Q65+R65*1</f>
        <v>0</v>
      </c>
      <c r="T65" s="2788">
        <f t="shared" si="52"/>
        <v>0</v>
      </c>
      <c r="U65" s="2046"/>
      <c r="V65" s="2011"/>
      <c r="W65" s="2045"/>
      <c r="X65" s="3081">
        <f t="shared" si="61"/>
        <v>0</v>
      </c>
      <c r="Y65" s="2788">
        <f t="shared" si="53"/>
        <v>0</v>
      </c>
      <c r="Z65" s="2046"/>
      <c r="AA65" s="2011"/>
      <c r="AB65" s="2045"/>
      <c r="AC65" s="3081">
        <f t="shared" si="62"/>
        <v>0</v>
      </c>
      <c r="AD65" s="2788">
        <f t="shared" si="54"/>
        <v>0</v>
      </c>
      <c r="AE65" s="2046"/>
      <c r="AF65" s="2045"/>
      <c r="AG65" s="2045"/>
      <c r="AH65" s="3081">
        <f t="shared" ref="AH65:AH71" si="68">AF65+AG65*1</f>
        <v>0</v>
      </c>
      <c r="AI65" s="2788" t="e">
        <f t="shared" si="55"/>
        <v>#DIV/0!</v>
      </c>
      <c r="AJ65" s="2046"/>
      <c r="AK65" s="2043">
        <f t="shared" si="64"/>
        <v>0</v>
      </c>
      <c r="AL65" s="2043">
        <f t="shared" si="64"/>
        <v>0</v>
      </c>
      <c r="AM65" s="3081">
        <f t="shared" si="65"/>
        <v>0</v>
      </c>
      <c r="AN65" s="2788">
        <f t="shared" si="56"/>
        <v>0</v>
      </c>
      <c r="AO65" s="2792"/>
      <c r="AP65" s="1952"/>
      <c r="AQ65" s="1952"/>
    </row>
    <row r="66" spans="1:43" s="1396" customFormat="1" ht="24.6" customHeight="1" outlineLevel="2">
      <c r="A66" s="1571"/>
      <c r="B66" s="3092" t="s">
        <v>37</v>
      </c>
      <c r="C66" s="2812"/>
      <c r="D66" s="2793"/>
      <c r="E66" s="3108">
        <f t="shared" si="57"/>
        <v>0</v>
      </c>
      <c r="F66" s="2788">
        <f t="shared" si="66"/>
        <v>0</v>
      </c>
      <c r="G66" s="2051"/>
      <c r="H66" s="2043"/>
      <c r="I66" s="3081">
        <f t="shared" si="58"/>
        <v>0</v>
      </c>
      <c r="J66" s="2788">
        <f t="shared" si="50"/>
        <v>0</v>
      </c>
      <c r="K66" s="2046"/>
      <c r="L66" s="2011"/>
      <c r="M66" s="2045">
        <v>210</v>
      </c>
      <c r="N66" s="3081">
        <f t="shared" si="59"/>
        <v>210</v>
      </c>
      <c r="O66" s="2788">
        <f t="shared" si="51"/>
        <v>1.4188968684946112E-2</v>
      </c>
      <c r="P66" s="2046" t="s">
        <v>1390</v>
      </c>
      <c r="Q66" s="2011"/>
      <c r="R66" s="2043"/>
      <c r="S66" s="3081">
        <f t="shared" si="67"/>
        <v>0</v>
      </c>
      <c r="T66" s="2788">
        <f t="shared" si="52"/>
        <v>0</v>
      </c>
      <c r="U66" s="2046"/>
      <c r="V66" s="2011"/>
      <c r="W66" s="2043"/>
      <c r="X66" s="3081">
        <f t="shared" si="61"/>
        <v>0</v>
      </c>
      <c r="Y66" s="2788">
        <f t="shared" si="53"/>
        <v>0</v>
      </c>
      <c r="Z66" s="2046"/>
      <c r="AA66" s="2011"/>
      <c r="AB66" s="2043"/>
      <c r="AC66" s="3081">
        <f t="shared" si="62"/>
        <v>0</v>
      </c>
      <c r="AD66" s="2788">
        <f t="shared" si="54"/>
        <v>0</v>
      </c>
      <c r="AE66" s="2046"/>
      <c r="AF66" s="2011"/>
      <c r="AG66" s="2043"/>
      <c r="AH66" s="3081">
        <f t="shared" si="68"/>
        <v>0</v>
      </c>
      <c r="AI66" s="2788" t="e">
        <f t="shared" si="55"/>
        <v>#DIV/0!</v>
      </c>
      <c r="AJ66" s="2046"/>
      <c r="AK66" s="2043">
        <f t="shared" si="64"/>
        <v>0</v>
      </c>
      <c r="AL66" s="2043">
        <f t="shared" si="64"/>
        <v>210</v>
      </c>
      <c r="AM66" s="3186">
        <f t="shared" si="65"/>
        <v>210</v>
      </c>
      <c r="AN66" s="2788">
        <f t="shared" si="56"/>
        <v>2.6628703434481405E-3</v>
      </c>
      <c r="AO66" s="2792"/>
      <c r="AP66" s="920"/>
      <c r="AQ66" s="920"/>
    </row>
    <row r="67" spans="1:43" s="1396" customFormat="1" ht="24.6" customHeight="1" outlineLevel="2">
      <c r="A67" s="1571"/>
      <c r="B67" s="3092" t="s">
        <v>3</v>
      </c>
      <c r="C67" s="2812"/>
      <c r="D67" s="2793"/>
      <c r="E67" s="3108">
        <f t="shared" si="57"/>
        <v>0</v>
      </c>
      <c r="F67" s="2788">
        <f t="shared" si="66"/>
        <v>0</v>
      </c>
      <c r="G67" s="2051"/>
      <c r="H67" s="2051"/>
      <c r="I67" s="3081">
        <f t="shared" si="58"/>
        <v>0</v>
      </c>
      <c r="J67" s="2788">
        <f t="shared" si="50"/>
        <v>0</v>
      </c>
      <c r="K67" s="2046"/>
      <c r="L67" s="2011"/>
      <c r="M67" s="2045"/>
      <c r="N67" s="3081">
        <f t="shared" si="59"/>
        <v>0</v>
      </c>
      <c r="O67" s="2788">
        <f t="shared" si="51"/>
        <v>0</v>
      </c>
      <c r="P67" s="2046"/>
      <c r="Q67" s="2011"/>
      <c r="R67" s="2011"/>
      <c r="S67" s="3081">
        <f t="shared" si="67"/>
        <v>0</v>
      </c>
      <c r="T67" s="2788">
        <f t="shared" si="52"/>
        <v>0</v>
      </c>
      <c r="U67" s="2046"/>
      <c r="V67" s="2011"/>
      <c r="W67" s="2011"/>
      <c r="X67" s="3081">
        <f t="shared" si="61"/>
        <v>0</v>
      </c>
      <c r="Y67" s="2788">
        <f t="shared" si="53"/>
        <v>0</v>
      </c>
      <c r="Z67" s="2046"/>
      <c r="AA67" s="2011"/>
      <c r="AB67" s="2011"/>
      <c r="AC67" s="3081">
        <f t="shared" si="62"/>
        <v>0</v>
      </c>
      <c r="AD67" s="2788">
        <f t="shared" si="54"/>
        <v>0</v>
      </c>
      <c r="AE67" s="2046"/>
      <c r="AF67" s="2011"/>
      <c r="AG67" s="2011"/>
      <c r="AH67" s="3081">
        <f t="shared" si="68"/>
        <v>0</v>
      </c>
      <c r="AI67" s="2788" t="e">
        <f t="shared" si="55"/>
        <v>#DIV/0!</v>
      </c>
      <c r="AJ67" s="2046"/>
      <c r="AK67" s="2043">
        <f t="shared" si="64"/>
        <v>0</v>
      </c>
      <c r="AL67" s="2043">
        <f t="shared" si="64"/>
        <v>0</v>
      </c>
      <c r="AM67" s="3081">
        <f t="shared" si="65"/>
        <v>0</v>
      </c>
      <c r="AN67" s="2788">
        <f t="shared" si="56"/>
        <v>0</v>
      </c>
      <c r="AO67" s="2792"/>
      <c r="AP67" s="920"/>
      <c r="AQ67" s="920"/>
    </row>
    <row r="68" spans="1:43" s="1396" customFormat="1" ht="24.6" customHeight="1" outlineLevel="2">
      <c r="A68" s="1571"/>
      <c r="B68" s="3092" t="s">
        <v>5</v>
      </c>
      <c r="C68" s="2812"/>
      <c r="D68" s="2793"/>
      <c r="E68" s="3108">
        <f t="shared" si="57"/>
        <v>0</v>
      </c>
      <c r="F68" s="2788">
        <f t="shared" si="66"/>
        <v>0</v>
      </c>
      <c r="G68" s="2051"/>
      <c r="H68" s="2043"/>
      <c r="I68" s="3081">
        <f t="shared" si="58"/>
        <v>0</v>
      </c>
      <c r="J68" s="2788">
        <f t="shared" si="50"/>
        <v>0</v>
      </c>
      <c r="K68" s="2046"/>
      <c r="L68" s="2011"/>
      <c r="M68" s="2045"/>
      <c r="N68" s="3081">
        <f t="shared" si="59"/>
        <v>0</v>
      </c>
      <c r="O68" s="2788">
        <f t="shared" si="51"/>
        <v>0</v>
      </c>
      <c r="P68" s="2046"/>
      <c r="Q68" s="2011"/>
      <c r="R68" s="2043"/>
      <c r="S68" s="3081">
        <f t="shared" si="67"/>
        <v>0</v>
      </c>
      <c r="T68" s="2788">
        <f t="shared" si="52"/>
        <v>0</v>
      </c>
      <c r="U68" s="2046"/>
      <c r="V68" s="2011"/>
      <c r="W68" s="2043"/>
      <c r="X68" s="3081">
        <f t="shared" si="61"/>
        <v>0</v>
      </c>
      <c r="Y68" s="2788">
        <f t="shared" si="53"/>
        <v>0</v>
      </c>
      <c r="Z68" s="2046"/>
      <c r="AA68" s="2011"/>
      <c r="AB68" s="2043"/>
      <c r="AC68" s="3081">
        <f t="shared" si="62"/>
        <v>0</v>
      </c>
      <c r="AD68" s="2788">
        <f t="shared" si="54"/>
        <v>0</v>
      </c>
      <c r="AE68" s="2046"/>
      <c r="AF68" s="2043"/>
      <c r="AG68" s="2043"/>
      <c r="AH68" s="3081">
        <f t="shared" si="68"/>
        <v>0</v>
      </c>
      <c r="AI68" s="2788" t="e">
        <f t="shared" si="55"/>
        <v>#DIV/0!</v>
      </c>
      <c r="AJ68" s="2046"/>
      <c r="AK68" s="2043">
        <f t="shared" si="64"/>
        <v>0</v>
      </c>
      <c r="AL68" s="2043">
        <f t="shared" si="64"/>
        <v>0</v>
      </c>
      <c r="AM68" s="3081">
        <f t="shared" si="65"/>
        <v>0</v>
      </c>
      <c r="AN68" s="2788">
        <f t="shared" si="56"/>
        <v>0</v>
      </c>
      <c r="AO68" s="2792"/>
      <c r="AP68" s="920"/>
      <c r="AQ68" s="920"/>
    </row>
    <row r="69" spans="1:43" s="1396" customFormat="1" ht="24.6" customHeight="1" outlineLevel="2">
      <c r="A69" s="1571"/>
      <c r="B69" s="3092" t="s">
        <v>42</v>
      </c>
      <c r="C69" s="2812"/>
      <c r="D69" s="2793"/>
      <c r="E69" s="3108">
        <f t="shared" si="57"/>
        <v>0</v>
      </c>
      <c r="F69" s="2788">
        <f t="shared" si="66"/>
        <v>0</v>
      </c>
      <c r="G69" s="2051"/>
      <c r="H69" s="2043"/>
      <c r="I69" s="3081">
        <f t="shared" si="58"/>
        <v>0</v>
      </c>
      <c r="J69" s="2788">
        <f t="shared" si="50"/>
        <v>0</v>
      </c>
      <c r="K69" s="2046"/>
      <c r="L69" s="2011"/>
      <c r="M69" s="2045"/>
      <c r="N69" s="3081">
        <f t="shared" si="59"/>
        <v>0</v>
      </c>
      <c r="O69" s="2788">
        <f t="shared" si="51"/>
        <v>0</v>
      </c>
      <c r="P69" s="2046"/>
      <c r="Q69" s="2011"/>
      <c r="R69" s="2043"/>
      <c r="S69" s="3081">
        <f t="shared" si="67"/>
        <v>0</v>
      </c>
      <c r="T69" s="2788">
        <f t="shared" si="52"/>
        <v>0</v>
      </c>
      <c r="U69" s="2813"/>
      <c r="V69" s="2011"/>
      <c r="W69" s="2043"/>
      <c r="X69" s="3081">
        <f t="shared" si="61"/>
        <v>0</v>
      </c>
      <c r="Y69" s="2788">
        <f t="shared" si="53"/>
        <v>0</v>
      </c>
      <c r="Z69" s="2813"/>
      <c r="AA69" s="2011"/>
      <c r="AB69" s="2043"/>
      <c r="AC69" s="3081">
        <f t="shared" si="62"/>
        <v>0</v>
      </c>
      <c r="AD69" s="2788">
        <f t="shared" si="54"/>
        <v>0</v>
      </c>
      <c r="AE69" s="2813"/>
      <c r="AF69" s="2011"/>
      <c r="AG69" s="2043"/>
      <c r="AH69" s="3081">
        <f t="shared" si="68"/>
        <v>0</v>
      </c>
      <c r="AI69" s="2788" t="e">
        <f t="shared" si="55"/>
        <v>#DIV/0!</v>
      </c>
      <c r="AJ69" s="2813"/>
      <c r="AK69" s="2043">
        <f t="shared" si="64"/>
        <v>0</v>
      </c>
      <c r="AL69" s="2043">
        <f t="shared" si="64"/>
        <v>0</v>
      </c>
      <c r="AM69" s="3081">
        <f t="shared" si="65"/>
        <v>0</v>
      </c>
      <c r="AN69" s="2788">
        <f t="shared" si="56"/>
        <v>0</v>
      </c>
      <c r="AO69" s="2792"/>
      <c r="AP69" s="920"/>
      <c r="AQ69" s="920"/>
    </row>
    <row r="70" spans="1:43" s="1396" customFormat="1" ht="24.6" customHeight="1" outlineLevel="2">
      <c r="A70" s="1571"/>
      <c r="B70" s="3092" t="s">
        <v>6</v>
      </c>
      <c r="C70" s="2812"/>
      <c r="D70" s="2793"/>
      <c r="E70" s="3108">
        <f t="shared" si="57"/>
        <v>0</v>
      </c>
      <c r="F70" s="2788">
        <f t="shared" si="66"/>
        <v>0</v>
      </c>
      <c r="G70" s="2051"/>
      <c r="H70" s="2051"/>
      <c r="I70" s="3081">
        <f t="shared" si="58"/>
        <v>0</v>
      </c>
      <c r="J70" s="2788">
        <f t="shared" si="50"/>
        <v>0</v>
      </c>
      <c r="K70" s="2046"/>
      <c r="L70" s="2011"/>
      <c r="M70" s="2045"/>
      <c r="N70" s="3081">
        <f t="shared" si="59"/>
        <v>0</v>
      </c>
      <c r="O70" s="2788">
        <f t="shared" si="51"/>
        <v>0</v>
      </c>
      <c r="P70" s="2046"/>
      <c r="Q70" s="2011"/>
      <c r="R70" s="2051"/>
      <c r="S70" s="3081">
        <f t="shared" si="67"/>
        <v>0</v>
      </c>
      <c r="T70" s="2788">
        <f t="shared" si="52"/>
        <v>0</v>
      </c>
      <c r="U70" s="2046"/>
      <c r="V70" s="2011"/>
      <c r="W70" s="2051"/>
      <c r="X70" s="3081">
        <f t="shared" si="61"/>
        <v>0</v>
      </c>
      <c r="Y70" s="2788">
        <f t="shared" si="53"/>
        <v>0</v>
      </c>
      <c r="Z70" s="2046"/>
      <c r="AA70" s="2011"/>
      <c r="AB70" s="2051"/>
      <c r="AC70" s="3081">
        <f t="shared" si="62"/>
        <v>0</v>
      </c>
      <c r="AD70" s="2788">
        <f t="shared" si="54"/>
        <v>0</v>
      </c>
      <c r="AE70" s="2046"/>
      <c r="AF70" s="2011"/>
      <c r="AG70" s="2051"/>
      <c r="AH70" s="3081">
        <f t="shared" si="68"/>
        <v>0</v>
      </c>
      <c r="AI70" s="2788" t="e">
        <f t="shared" si="55"/>
        <v>#DIV/0!</v>
      </c>
      <c r="AJ70" s="2046"/>
      <c r="AK70" s="2043">
        <f t="shared" si="64"/>
        <v>0</v>
      </c>
      <c r="AL70" s="2043">
        <f t="shared" si="64"/>
        <v>0</v>
      </c>
      <c r="AM70" s="3081">
        <f t="shared" si="65"/>
        <v>0</v>
      </c>
      <c r="AN70" s="2788">
        <f>AM70/$AM$89</f>
        <v>0</v>
      </c>
      <c r="AO70" s="2792"/>
      <c r="AP70" s="920"/>
      <c r="AQ70" s="920"/>
    </row>
    <row r="71" spans="1:43" s="1396" customFormat="1" ht="24.6" customHeight="1" outlineLevel="2">
      <c r="A71" s="1571"/>
      <c r="B71" s="3092" t="s">
        <v>235</v>
      </c>
      <c r="C71" s="2812"/>
      <c r="D71" s="2793"/>
      <c r="E71" s="3108">
        <f>C71+D71*1.15</f>
        <v>0</v>
      </c>
      <c r="F71" s="2814">
        <f t="shared" si="66"/>
        <v>0</v>
      </c>
      <c r="G71" s="2051"/>
      <c r="H71" s="2043"/>
      <c r="I71" s="3081">
        <f t="shared" si="58"/>
        <v>0</v>
      </c>
      <c r="J71" s="2788">
        <f t="shared" si="50"/>
        <v>0</v>
      </c>
      <c r="K71" s="2046"/>
      <c r="L71" s="2011"/>
      <c r="M71" s="2045"/>
      <c r="N71" s="3081">
        <f t="shared" si="59"/>
        <v>0</v>
      </c>
      <c r="O71" s="2788">
        <f t="shared" si="51"/>
        <v>0</v>
      </c>
      <c r="P71" s="2046"/>
      <c r="Q71" s="2051"/>
      <c r="R71" s="2043"/>
      <c r="S71" s="3081">
        <f t="shared" si="67"/>
        <v>0</v>
      </c>
      <c r="T71" s="2788">
        <f t="shared" si="52"/>
        <v>0</v>
      </c>
      <c r="U71" s="2046"/>
      <c r="V71" s="2051"/>
      <c r="W71" s="2043"/>
      <c r="X71" s="3081">
        <f t="shared" si="61"/>
        <v>0</v>
      </c>
      <c r="Y71" s="2788">
        <f t="shared" si="53"/>
        <v>0</v>
      </c>
      <c r="Z71" s="2046"/>
      <c r="AA71" s="2051"/>
      <c r="AB71" s="2043"/>
      <c r="AC71" s="3081">
        <f t="shared" si="62"/>
        <v>0</v>
      </c>
      <c r="AD71" s="2788">
        <f t="shared" si="54"/>
        <v>0</v>
      </c>
      <c r="AE71" s="2046"/>
      <c r="AF71" s="2051"/>
      <c r="AG71" s="2043"/>
      <c r="AH71" s="3081">
        <f t="shared" si="68"/>
        <v>0</v>
      </c>
      <c r="AI71" s="2788" t="e">
        <f t="shared" si="55"/>
        <v>#DIV/0!</v>
      </c>
      <c r="AJ71" s="2046"/>
      <c r="AK71" s="2043">
        <f t="shared" si="64"/>
        <v>0</v>
      </c>
      <c r="AL71" s="2043">
        <f t="shared" si="64"/>
        <v>0</v>
      </c>
      <c r="AM71" s="3081">
        <f t="shared" si="65"/>
        <v>0</v>
      </c>
      <c r="AN71" s="2788">
        <f t="shared" si="56"/>
        <v>0</v>
      </c>
      <c r="AO71" s="2792"/>
      <c r="AP71" s="920"/>
      <c r="AQ71" s="920"/>
    </row>
    <row r="72" spans="1:43" s="1396" customFormat="1" ht="24.6" customHeight="1" outlineLevel="2" thickBot="1">
      <c r="A72" s="1571"/>
      <c r="B72" s="3176"/>
      <c r="C72" s="2815"/>
      <c r="D72" s="2816"/>
      <c r="E72" s="3177"/>
      <c r="F72" s="2814">
        <f t="shared" si="66"/>
        <v>0</v>
      </c>
      <c r="G72" s="2029"/>
      <c r="H72" s="2027"/>
      <c r="I72" s="3104"/>
      <c r="J72" s="2814"/>
      <c r="K72" s="2817"/>
      <c r="L72" s="2029"/>
      <c r="M72" s="2027"/>
      <c r="N72" s="3104"/>
      <c r="O72" s="2814"/>
      <c r="P72" s="2817"/>
      <c r="Q72" s="2029"/>
      <c r="R72" s="2027"/>
      <c r="S72" s="3104"/>
      <c r="T72" s="2814"/>
      <c r="U72" s="2817"/>
      <c r="V72" s="2029"/>
      <c r="W72" s="2027"/>
      <c r="X72" s="3104"/>
      <c r="Y72" s="2814"/>
      <c r="Z72" s="2817"/>
      <c r="AA72" s="2029"/>
      <c r="AB72" s="2027"/>
      <c r="AC72" s="3104"/>
      <c r="AD72" s="2814"/>
      <c r="AE72" s="2817"/>
      <c r="AF72" s="2029"/>
      <c r="AG72" s="2027"/>
      <c r="AH72" s="3104"/>
      <c r="AI72" s="2814"/>
      <c r="AJ72" s="2817"/>
      <c r="AK72" s="2043"/>
      <c r="AL72" s="2043"/>
      <c r="AM72" s="3104"/>
      <c r="AN72" s="2814">
        <f>AM72/$AM$89</f>
        <v>0</v>
      </c>
      <c r="AO72" s="2818"/>
      <c r="AP72" s="920"/>
      <c r="AQ72" s="920"/>
    </row>
    <row r="73" spans="1:43" s="1396" customFormat="1" ht="14.4" customHeight="1" outlineLevel="1" thickBot="1">
      <c r="A73" s="1571"/>
      <c r="B73" s="986" t="s">
        <v>4</v>
      </c>
      <c r="C73" s="1584">
        <f>C74</f>
        <v>0</v>
      </c>
      <c r="D73" s="843">
        <f>D74</f>
        <v>0</v>
      </c>
      <c r="E73" s="1584">
        <f>E74</f>
        <v>0</v>
      </c>
      <c r="F73" s="838">
        <f>E73/$E$89</f>
        <v>0</v>
      </c>
      <c r="G73" s="1584">
        <f>G74</f>
        <v>0</v>
      </c>
      <c r="H73" s="1584">
        <f>H74</f>
        <v>0</v>
      </c>
      <c r="I73" s="1688">
        <f>I74</f>
        <v>0</v>
      </c>
      <c r="J73" s="1689"/>
      <c r="K73" s="1732"/>
      <c r="L73" s="1584">
        <f>L74</f>
        <v>0</v>
      </c>
      <c r="M73" s="1584">
        <f>M74</f>
        <v>0</v>
      </c>
      <c r="N73" s="1688">
        <f>N74</f>
        <v>0</v>
      </c>
      <c r="O73" s="1689">
        <f t="shared" ref="O73:O74" si="69">N73/N$89</f>
        <v>0</v>
      </c>
      <c r="P73" s="1732"/>
      <c r="Q73" s="1584">
        <f>Q74</f>
        <v>0</v>
      </c>
      <c r="R73" s="1584">
        <f>R74</f>
        <v>0</v>
      </c>
      <c r="S73" s="1688">
        <f>S74</f>
        <v>0</v>
      </c>
      <c r="T73" s="1689">
        <f t="shared" ref="T73:T74" si="70">S73/S$89</f>
        <v>0</v>
      </c>
      <c r="U73" s="1732"/>
      <c r="V73" s="1584">
        <f>V74</f>
        <v>5560.6</v>
      </c>
      <c r="W73" s="1584">
        <f>W74</f>
        <v>0</v>
      </c>
      <c r="X73" s="1688">
        <f>X74</f>
        <v>5560.6</v>
      </c>
      <c r="Y73" s="1689">
        <f t="shared" ref="Y73:Y74" si="71">X73/X$89</f>
        <v>1</v>
      </c>
      <c r="Z73" s="1732"/>
      <c r="AA73" s="1584">
        <f>AA74</f>
        <v>0</v>
      </c>
      <c r="AB73" s="1584">
        <f>AB74</f>
        <v>0</v>
      </c>
      <c r="AC73" s="1688">
        <f>AC74</f>
        <v>0</v>
      </c>
      <c r="AD73" s="1689">
        <f t="shared" ref="AD73:AD74" si="72">AC73/AC$89</f>
        <v>0</v>
      </c>
      <c r="AE73" s="1732"/>
      <c r="AF73" s="1584">
        <f>AF74</f>
        <v>0</v>
      </c>
      <c r="AG73" s="1584">
        <f>AG74</f>
        <v>0</v>
      </c>
      <c r="AH73" s="1688">
        <f>AH74</f>
        <v>0</v>
      </c>
      <c r="AI73" s="1689" t="e">
        <f t="shared" ref="AI73:AI74" si="73">AH73/AH$89</f>
        <v>#DIV/0!</v>
      </c>
      <c r="AJ73" s="1732"/>
      <c r="AK73" s="1584">
        <f>AK74</f>
        <v>5560.6</v>
      </c>
      <c r="AL73" s="1689">
        <f>AL74</f>
        <v>0</v>
      </c>
      <c r="AM73" s="1688">
        <f>AM74</f>
        <v>5560.6</v>
      </c>
      <c r="AN73" s="1689"/>
      <c r="AO73" s="1689"/>
      <c r="AP73" s="920"/>
      <c r="AQ73" s="920"/>
    </row>
    <row r="74" spans="1:43" s="1396" customFormat="1" ht="14.4" customHeight="1" outlineLevel="1" thickBot="1">
      <c r="A74" s="1413"/>
      <c r="B74" s="985" t="s">
        <v>64</v>
      </c>
      <c r="C74" s="304"/>
      <c r="D74" s="305"/>
      <c r="E74" s="306">
        <f>C74+D74</f>
        <v>0</v>
      </c>
      <c r="F74" s="307"/>
      <c r="G74" s="2028"/>
      <c r="H74" s="2025"/>
      <c r="I74" s="3090">
        <f>G74+H74*1</f>
        <v>0</v>
      </c>
      <c r="J74" s="1664">
        <f>I74/$I$89</f>
        <v>0</v>
      </c>
      <c r="K74" s="1675"/>
      <c r="L74" s="2028"/>
      <c r="M74" s="2025"/>
      <c r="N74" s="3090">
        <f>L74+M74*1</f>
        <v>0</v>
      </c>
      <c r="O74" s="2788">
        <f t="shared" si="69"/>
        <v>0</v>
      </c>
      <c r="P74" s="1675"/>
      <c r="Q74" s="2028"/>
      <c r="R74" s="2025"/>
      <c r="S74" s="3090">
        <f>Q74+R74*1</f>
        <v>0</v>
      </c>
      <c r="T74" s="1664">
        <f t="shared" si="70"/>
        <v>0</v>
      </c>
      <c r="U74" s="1675"/>
      <c r="V74" s="2028">
        <v>5560.6</v>
      </c>
      <c r="W74" s="2025"/>
      <c r="X74" s="3090">
        <f>V74+W74*1</f>
        <v>5560.6</v>
      </c>
      <c r="Y74" s="1664">
        <f t="shared" si="71"/>
        <v>1</v>
      </c>
      <c r="Z74" s="1675"/>
      <c r="AA74" s="2028"/>
      <c r="AB74" s="2025"/>
      <c r="AC74" s="3090">
        <f>AA74+AB74*1</f>
        <v>0</v>
      </c>
      <c r="AD74" s="1664">
        <f t="shared" si="72"/>
        <v>0</v>
      </c>
      <c r="AE74" s="1675"/>
      <c r="AF74" s="2028"/>
      <c r="AG74" s="2025"/>
      <c r="AH74" s="3090">
        <f>AF74+AG74*1</f>
        <v>0</v>
      </c>
      <c r="AI74" s="1664" t="e">
        <f t="shared" si="73"/>
        <v>#DIV/0!</v>
      </c>
      <c r="AJ74" s="1675"/>
      <c r="AK74" s="2043">
        <f>G74+L74+Q74+V74+AA74+AF74</f>
        <v>5560.6</v>
      </c>
      <c r="AL74" s="2043">
        <f>H74+M74+R74+W74+AB74+AG74</f>
        <v>0</v>
      </c>
      <c r="AM74" s="3189">
        <f>AK74+AL74*1</f>
        <v>5560.6</v>
      </c>
      <c r="AN74" s="1664">
        <f>AM74/$AM$89</f>
        <v>7.0510270627513E-2</v>
      </c>
      <c r="AO74" s="1648"/>
      <c r="AP74" s="920"/>
      <c r="AQ74" s="920"/>
    </row>
    <row r="75" spans="1:43" s="1396" customFormat="1" ht="14.4" customHeight="1" thickBot="1">
      <c r="A75" s="1399"/>
      <c r="B75" s="971" t="s">
        <v>48</v>
      </c>
      <c r="C75" s="1958">
        <f>C38-C41-C50-C54</f>
        <v>643900</v>
      </c>
      <c r="D75" s="1958">
        <f>D38-D41-D50-D54</f>
        <v>-30000</v>
      </c>
      <c r="E75" s="1508">
        <f>E38-E41-E50-E54</f>
        <v>613900</v>
      </c>
      <c r="F75" s="1536"/>
      <c r="G75" s="1450">
        <f>G38-G41-G50-G54</f>
        <v>0</v>
      </c>
      <c r="H75" s="1450">
        <f>H38-H41-H50-H54</f>
        <v>-8000</v>
      </c>
      <c r="I75" s="1508">
        <f>I38-I41-I50-I54</f>
        <v>-8000</v>
      </c>
      <c r="J75" s="1953"/>
      <c r="K75" s="1660"/>
      <c r="L75" s="1450">
        <f>L38-L41-L50-L54</f>
        <v>-165.03</v>
      </c>
      <c r="M75" s="1450">
        <f>M38-M41-M50-M54</f>
        <v>-13710</v>
      </c>
      <c r="N75" s="1508">
        <f>N38-N41-N50-N54</f>
        <v>-13875.03</v>
      </c>
      <c r="O75" s="1953"/>
      <c r="P75" s="1660"/>
      <c r="Q75" s="1450">
        <f>Q38-Q41-Q50-Q54</f>
        <v>340053.58999999997</v>
      </c>
      <c r="R75" s="1450">
        <f>R38-R41-R50-R54</f>
        <v>0</v>
      </c>
      <c r="S75" s="1508">
        <f>S38-S41-S50-S54</f>
        <v>340053.58999999997</v>
      </c>
      <c r="T75" s="1953"/>
      <c r="U75" s="1660"/>
      <c r="V75" s="1450">
        <f>V38-V41-V50-V54</f>
        <v>0</v>
      </c>
      <c r="W75" s="1450">
        <f>W38-W41-W50-W54</f>
        <v>0</v>
      </c>
      <c r="X75" s="1508">
        <f>X38-X41-X50-X54</f>
        <v>0</v>
      </c>
      <c r="Y75" s="1953"/>
      <c r="Z75" s="1660"/>
      <c r="AA75" s="1450">
        <f>AA38-AA41-AA50-AA54</f>
        <v>449834.97</v>
      </c>
      <c r="AB75" s="1450">
        <f>AB38-AB41-AB50-AB54</f>
        <v>0</v>
      </c>
      <c r="AC75" s="1508">
        <f>AC38-AC41-AC50-AC54</f>
        <v>449834.97</v>
      </c>
      <c r="AD75" s="1953"/>
      <c r="AE75" s="1660"/>
      <c r="AF75" s="1450">
        <f>AF38-AF41-AF50-AF54</f>
        <v>0</v>
      </c>
      <c r="AG75" s="1450">
        <f>AG38-AG41-AG50-AG54</f>
        <v>0</v>
      </c>
      <c r="AH75" s="1508">
        <f>AH38-AH41-AH50-AH54</f>
        <v>0</v>
      </c>
      <c r="AI75" s="1953"/>
      <c r="AJ75" s="1660"/>
      <c r="AK75" s="1450">
        <f>AK38-AK41-AK50-AK54</f>
        <v>789723.53</v>
      </c>
      <c r="AL75" s="1450">
        <f>AL38-AL41-AL50-AL54</f>
        <v>-21710</v>
      </c>
      <c r="AM75" s="1508">
        <f>AM38-AM41-AM50-AM54</f>
        <v>768013.53</v>
      </c>
      <c r="AN75" s="1953"/>
      <c r="AO75" s="1953"/>
      <c r="AP75" s="920"/>
      <c r="AQ75" s="920"/>
    </row>
    <row r="76" spans="1:43" s="1396" customFormat="1" ht="14.4" customHeight="1">
      <c r="A76" s="1566"/>
      <c r="B76" s="972" t="s">
        <v>49</v>
      </c>
      <c r="C76" s="1525">
        <f>C75/C5</f>
        <v>0.69837310195227764</v>
      </c>
      <c r="D76" s="1525" t="e">
        <f>D75/D5</f>
        <v>#DIV/0!</v>
      </c>
      <c r="E76" s="1526">
        <f>E75/E5</f>
        <v>0.66583514099783081</v>
      </c>
      <c r="F76" s="1531"/>
      <c r="G76" s="2003" t="e">
        <f>G75/G5</f>
        <v>#DIV/0!</v>
      </c>
      <c r="H76" s="2003" t="e">
        <f>H75/H5</f>
        <v>#DIV/0!</v>
      </c>
      <c r="I76" s="2004" t="e">
        <f>I75/I5</f>
        <v>#DIV/0!</v>
      </c>
      <c r="J76" s="2004"/>
      <c r="K76" s="1661"/>
      <c r="L76" s="2003" t="e">
        <f>L75/L5</f>
        <v>#DIV/0!</v>
      </c>
      <c r="M76" s="2003" t="e">
        <f>M75/M5</f>
        <v>#DIV/0!</v>
      </c>
      <c r="N76" s="2004" t="e">
        <f>N75/N5</f>
        <v>#DIV/0!</v>
      </c>
      <c r="O76" s="2004"/>
      <c r="P76" s="1661"/>
      <c r="Q76" s="2003">
        <f>Q75/Q5</f>
        <v>0.87320850987340459</v>
      </c>
      <c r="R76" s="2003" t="e">
        <f>R75/R5</f>
        <v>#DIV/0!</v>
      </c>
      <c r="S76" s="2004">
        <f>S75/S5</f>
        <v>0.87320850987340459</v>
      </c>
      <c r="T76" s="2004"/>
      <c r="U76" s="1661"/>
      <c r="V76" s="2003" t="e">
        <f>V75/V5</f>
        <v>#DIV/0!</v>
      </c>
      <c r="W76" s="2003" t="e">
        <f>W75/W5</f>
        <v>#DIV/0!</v>
      </c>
      <c r="X76" s="2004" t="e">
        <f>X75/X5</f>
        <v>#DIV/0!</v>
      </c>
      <c r="Y76" s="2004"/>
      <c r="Z76" s="1661"/>
      <c r="AA76" s="2003">
        <f>AA75/AA5</f>
        <v>0.99963326666666663</v>
      </c>
      <c r="AB76" s="2003" t="e">
        <f>AB75/AB5</f>
        <v>#DIV/0!</v>
      </c>
      <c r="AC76" s="2004">
        <f>AC75/AC5</f>
        <v>0.99963326666666663</v>
      </c>
      <c r="AD76" s="2004"/>
      <c r="AE76" s="1661"/>
      <c r="AF76" s="2003" t="e">
        <f>AF75/AF5</f>
        <v>#DIV/0!</v>
      </c>
      <c r="AG76" s="2003" t="e">
        <f>AG75/AG5</f>
        <v>#DIV/0!</v>
      </c>
      <c r="AH76" s="2004" t="e">
        <f>AH75/AH5</f>
        <v>#DIV/0!</v>
      </c>
      <c r="AI76" s="2004"/>
      <c r="AJ76" s="1661"/>
      <c r="AK76" s="2003">
        <f>AK75/AK5</f>
        <v>0.94078544965035804</v>
      </c>
      <c r="AL76" s="2003" t="e">
        <f>AL75/AL5</f>
        <v>#DIV/0!</v>
      </c>
      <c r="AM76" s="2004">
        <f>AM75/AM5</f>
        <v>0.91492266180622572</v>
      </c>
      <c r="AN76" s="2004"/>
      <c r="AO76" s="2004"/>
      <c r="AP76" s="920"/>
      <c r="AQ76" s="920"/>
    </row>
    <row r="77" spans="1:43" s="1396" customFormat="1" ht="14.4" customHeight="1" outlineLevel="1" thickBot="1">
      <c r="A77" s="1566"/>
      <c r="B77" s="2843" t="s">
        <v>9</v>
      </c>
      <c r="C77" s="2953">
        <f>C78-C79</f>
        <v>-4500</v>
      </c>
      <c r="D77" s="2953">
        <f>D78-D79</f>
        <v>0</v>
      </c>
      <c r="E77" s="2845">
        <f>E78-E79</f>
        <v>-4500</v>
      </c>
      <c r="F77" s="2846"/>
      <c r="G77" s="2953">
        <f>G78-G79</f>
        <v>0</v>
      </c>
      <c r="H77" s="2953">
        <f>H78-H79</f>
        <v>0</v>
      </c>
      <c r="I77" s="2845">
        <f>I78-I79</f>
        <v>-960</v>
      </c>
      <c r="J77" s="2847"/>
      <c r="K77" s="2848"/>
      <c r="L77" s="2953">
        <f>L78-L79</f>
        <v>0</v>
      </c>
      <c r="M77" s="2953">
        <f>M78-M79</f>
        <v>0</v>
      </c>
      <c r="N77" s="2845">
        <f>N78-N79</f>
        <v>-925.2</v>
      </c>
      <c r="O77" s="2847"/>
      <c r="P77" s="2848"/>
      <c r="Q77" s="2953">
        <f>Q78-Q79</f>
        <v>0</v>
      </c>
      <c r="R77" s="2953">
        <f>R78-R79</f>
        <v>0</v>
      </c>
      <c r="S77" s="2845">
        <f>S78-S79</f>
        <v>0</v>
      </c>
      <c r="T77" s="2847">
        <f t="shared" ref="T77" si="74">S77/S$89</f>
        <v>0</v>
      </c>
      <c r="U77" s="2848"/>
      <c r="V77" s="2953">
        <f>V78-V79</f>
        <v>0</v>
      </c>
      <c r="W77" s="2953">
        <f>W78-W79</f>
        <v>0</v>
      </c>
      <c r="X77" s="2845">
        <f>X78-X79</f>
        <v>0</v>
      </c>
      <c r="Y77" s="2847"/>
      <c r="Z77" s="2848"/>
      <c r="AA77" s="2953">
        <f>AA78-AA79</f>
        <v>0</v>
      </c>
      <c r="AB77" s="2953">
        <f>AB78-AB79</f>
        <v>0</v>
      </c>
      <c r="AC77" s="2845">
        <f>AC78-AC79</f>
        <v>0</v>
      </c>
      <c r="AD77" s="2847"/>
      <c r="AE77" s="2848"/>
      <c r="AF77" s="2953">
        <f>AF78-AF79</f>
        <v>0</v>
      </c>
      <c r="AG77" s="2953">
        <f>AG78-AG79</f>
        <v>0</v>
      </c>
      <c r="AH77" s="2845">
        <f>AH78-AH79</f>
        <v>0</v>
      </c>
      <c r="AI77" s="2847" t="e">
        <f t="shared" ref="AI77" si="75">AH77/AH$89</f>
        <v>#DIV/0!</v>
      </c>
      <c r="AJ77" s="2848"/>
      <c r="AK77" s="2953">
        <f>AK78-AK79</f>
        <v>0</v>
      </c>
      <c r="AL77" s="2953">
        <f>AL79</f>
        <v>0</v>
      </c>
      <c r="AM77" s="2845">
        <f>AM78-AM79</f>
        <v>-1885.2</v>
      </c>
      <c r="AN77" s="2847"/>
      <c r="AO77" s="2847"/>
      <c r="AP77" s="920"/>
      <c r="AQ77" s="920"/>
    </row>
    <row r="78" spans="1:43" s="1396" customFormat="1" ht="14.4" customHeight="1" outlineLevel="2">
      <c r="A78" s="1405"/>
      <c r="B78" s="1622" t="s">
        <v>43</v>
      </c>
      <c r="C78" s="1510"/>
      <c r="D78" s="1511"/>
      <c r="E78" s="2805">
        <f>C78+D78*1.15</f>
        <v>0</v>
      </c>
      <c r="F78" s="1547"/>
      <c r="G78" s="2051"/>
      <c r="H78" s="2043"/>
      <c r="I78" s="1452">
        <f>G78+H78*1.15</f>
        <v>0</v>
      </c>
      <c r="J78" s="2788">
        <f>I78/$I$89</f>
        <v>0</v>
      </c>
      <c r="K78" s="1662"/>
      <c r="L78" s="2051"/>
      <c r="M78" s="2043"/>
      <c r="N78" s="3190">
        <f>L78+M78</f>
        <v>0</v>
      </c>
      <c r="O78" s="2788"/>
      <c r="P78" s="1662"/>
      <c r="Q78" s="2051"/>
      <c r="R78" s="2043"/>
      <c r="S78" s="3190">
        <f>Q78+R78</f>
        <v>0</v>
      </c>
      <c r="T78" s="2788" t="e">
        <f>S78/$AS$89</f>
        <v>#DIV/0!</v>
      </c>
      <c r="U78" s="1662"/>
      <c r="V78" s="2051"/>
      <c r="W78" s="2043"/>
      <c r="X78" s="1452">
        <f>V78+W78*1.15</f>
        <v>0</v>
      </c>
      <c r="Y78" s="2788"/>
      <c r="Z78" s="1662"/>
      <c r="AA78" s="2051"/>
      <c r="AB78" s="2043"/>
      <c r="AC78" s="1452">
        <f>AA78+AB78*1.15</f>
        <v>0</v>
      </c>
      <c r="AD78" s="2788"/>
      <c r="AE78" s="1662"/>
      <c r="AF78" s="1618"/>
      <c r="AG78" s="1674"/>
      <c r="AH78" s="1452">
        <f>AF78+AG78*1.15</f>
        <v>0</v>
      </c>
      <c r="AI78" s="2788" t="e">
        <f>AH78/$AN$89</f>
        <v>#DIV/0!</v>
      </c>
      <c r="AJ78" s="1662"/>
      <c r="AK78" s="2043">
        <f t="shared" ref="AK78:AM79" si="76">G78+L78+Q78+V78+AA78+AF78</f>
        <v>0</v>
      </c>
      <c r="AL78" s="2043">
        <f t="shared" si="76"/>
        <v>0</v>
      </c>
      <c r="AM78" s="3081">
        <f>AK78+AL78*1.15</f>
        <v>0</v>
      </c>
      <c r="AN78" s="1452"/>
      <c r="AO78" s="1452"/>
      <c r="AP78" s="920"/>
      <c r="AQ78" s="920"/>
    </row>
    <row r="79" spans="1:43" s="1396" customFormat="1" ht="14.4" customHeight="1" outlineLevel="2">
      <c r="A79" s="1405"/>
      <c r="B79" s="2789" t="s">
        <v>79</v>
      </c>
      <c r="C79" s="2790">
        <v>4500</v>
      </c>
      <c r="D79" s="2805"/>
      <c r="E79" s="2805">
        <f>C79+D79*1.15</f>
        <v>4500</v>
      </c>
      <c r="F79" s="2810">
        <f>E79/$E$89</f>
        <v>1.4395393474088292E-2</v>
      </c>
      <c r="G79" s="2051"/>
      <c r="H79" s="2043">
        <v>0</v>
      </c>
      <c r="I79" s="3190">
        <v>960</v>
      </c>
      <c r="J79" s="2788">
        <f>I79/$I$89</f>
        <v>0.10714285714285714</v>
      </c>
      <c r="K79" s="2811"/>
      <c r="L79" s="2051"/>
      <c r="M79" s="2043"/>
      <c r="N79" s="3190">
        <v>925.2</v>
      </c>
      <c r="O79" s="2788">
        <f>N79/N$89</f>
        <v>6.2512542034819721E-2</v>
      </c>
      <c r="P79" s="2811"/>
      <c r="Q79" s="2051"/>
      <c r="R79" s="2043"/>
      <c r="S79" s="3081">
        <f t="shared" ref="S79" si="77">Q79+R79*1</f>
        <v>0</v>
      </c>
      <c r="T79" s="2788">
        <f t="shared" ref="T79" si="78">S79/S$89</f>
        <v>0</v>
      </c>
      <c r="U79" s="2811"/>
      <c r="V79" s="2051"/>
      <c r="W79" s="2043">
        <v>0</v>
      </c>
      <c r="X79" s="3081">
        <f t="shared" ref="X79" si="79">V79+W79*1</f>
        <v>0</v>
      </c>
      <c r="Y79" s="2788">
        <f>X79/X$89</f>
        <v>0</v>
      </c>
      <c r="Z79" s="2811"/>
      <c r="AA79" s="2051"/>
      <c r="AB79" s="2043">
        <v>0</v>
      </c>
      <c r="AC79" s="3081">
        <f t="shared" ref="AC79" si="80">AA79+AB79*1</f>
        <v>0</v>
      </c>
      <c r="AD79" s="2788">
        <f>AC79/AC$89</f>
        <v>0</v>
      </c>
      <c r="AE79" s="2811"/>
      <c r="AF79" s="1618"/>
      <c r="AG79" s="1674"/>
      <c r="AH79" s="3081">
        <f t="shared" ref="AH79" si="81">AF79+AG79*1</f>
        <v>0</v>
      </c>
      <c r="AI79" s="2788" t="e">
        <f t="shared" ref="AI79" si="82">AH79/AH$89</f>
        <v>#DIV/0!</v>
      </c>
      <c r="AJ79" s="3191" t="s">
        <v>1419</v>
      </c>
      <c r="AK79" s="2043">
        <f t="shared" si="76"/>
        <v>0</v>
      </c>
      <c r="AL79" s="2043">
        <f t="shared" si="76"/>
        <v>0</v>
      </c>
      <c r="AM79" s="1871">
        <f t="shared" si="76"/>
        <v>1885.2</v>
      </c>
      <c r="AN79" s="2803"/>
      <c r="AO79" s="2803"/>
      <c r="AP79" s="920"/>
      <c r="AQ79" s="920"/>
    </row>
    <row r="80" spans="1:43" ht="14.4" customHeight="1" outlineLevel="2">
      <c r="A80" s="1397"/>
      <c r="B80" s="3109"/>
      <c r="C80" s="2819"/>
      <c r="D80" s="2820"/>
      <c r="E80" s="2821"/>
      <c r="F80" s="2822"/>
      <c r="G80" s="2051"/>
      <c r="H80" s="2043"/>
      <c r="I80" s="2823"/>
      <c r="J80" s="2823"/>
      <c r="K80" s="2824"/>
      <c r="L80" s="2051"/>
      <c r="M80" s="2043"/>
      <c r="N80" s="2823"/>
      <c r="O80" s="2823"/>
      <c r="P80" s="2824"/>
      <c r="Q80" s="2051"/>
      <c r="R80" s="2043"/>
      <c r="S80" s="2823"/>
      <c r="T80" s="2823"/>
      <c r="U80" s="2824"/>
      <c r="V80" s="2051"/>
      <c r="W80" s="2043"/>
      <c r="X80" s="2823"/>
      <c r="Y80" s="2823"/>
      <c r="Z80" s="2824"/>
      <c r="AA80" s="2051"/>
      <c r="AB80" s="2043"/>
      <c r="AC80" s="2823"/>
      <c r="AD80" s="2823"/>
      <c r="AE80" s="2824"/>
      <c r="AF80" s="2051"/>
      <c r="AG80" s="2043"/>
      <c r="AH80" s="2823"/>
      <c r="AI80" s="2823"/>
      <c r="AJ80" s="2824"/>
      <c r="AK80" s="2043"/>
      <c r="AL80" s="2043"/>
      <c r="AM80" s="2823"/>
      <c r="AN80" s="2823"/>
      <c r="AO80" s="2823"/>
      <c r="AP80" s="1952"/>
      <c r="AQ80" s="1952"/>
    </row>
    <row r="81" spans="1:43" s="1396" customFormat="1" ht="14.4" customHeight="1" outlineLevel="1" thickBot="1">
      <c r="A81" s="1419"/>
      <c r="B81" s="2843" t="s">
        <v>12</v>
      </c>
      <c r="C81" s="2953">
        <f>(C75+C78)-C79</f>
        <v>639400</v>
      </c>
      <c r="D81" s="2953">
        <f>(D75+D78)-D79</f>
        <v>-30000</v>
      </c>
      <c r="E81" s="2845">
        <f>(E75+E78)-E79</f>
        <v>609400</v>
      </c>
      <c r="F81" s="2846"/>
      <c r="G81" s="2953">
        <f>(G75+G78)-G79</f>
        <v>0</v>
      </c>
      <c r="H81" s="2953">
        <f>(H75+H78)-H79</f>
        <v>-8000</v>
      </c>
      <c r="I81" s="2845">
        <f>(I75+I78)-I79</f>
        <v>-8960</v>
      </c>
      <c r="J81" s="2847"/>
      <c r="K81" s="2848"/>
      <c r="L81" s="2953">
        <f>(L75+L78)-L79</f>
        <v>-165.03</v>
      </c>
      <c r="M81" s="2953">
        <f>(M75+M78)-M79</f>
        <v>-13710</v>
      </c>
      <c r="N81" s="2845">
        <f>(N75+N78)-N79</f>
        <v>-14800.230000000001</v>
      </c>
      <c r="O81" s="2847"/>
      <c r="P81" s="2848"/>
      <c r="Q81" s="2953">
        <f>(Q75+Q78)-Q79</f>
        <v>340053.58999999997</v>
      </c>
      <c r="R81" s="2953">
        <f>(R75+R78)-R79</f>
        <v>0</v>
      </c>
      <c r="S81" s="2845">
        <f>(S75+S78)-S79</f>
        <v>340053.58999999997</v>
      </c>
      <c r="T81" s="2847"/>
      <c r="U81" s="2848"/>
      <c r="V81" s="2953">
        <f>(V75+V78)-V79</f>
        <v>0</v>
      </c>
      <c r="W81" s="2953">
        <f>(W75+W78)-W79</f>
        <v>0</v>
      </c>
      <c r="X81" s="2845">
        <f>(X75+X78)-X79</f>
        <v>0</v>
      </c>
      <c r="Y81" s="2847"/>
      <c r="Z81" s="2848"/>
      <c r="AA81" s="2953">
        <f>(AA75+AA78)-AA79</f>
        <v>449834.97</v>
      </c>
      <c r="AB81" s="2953">
        <f>(AB75+AB78)-AB79</f>
        <v>0</v>
      </c>
      <c r="AC81" s="2845">
        <f>(AC75+AC78)-AC79</f>
        <v>449834.97</v>
      </c>
      <c r="AD81" s="2847"/>
      <c r="AE81" s="2848"/>
      <c r="AF81" s="2953">
        <f>(AF75+AF78)-AF79</f>
        <v>0</v>
      </c>
      <c r="AG81" s="2953">
        <f>(AG75+AG78)-AG79</f>
        <v>0</v>
      </c>
      <c r="AH81" s="2845">
        <f>(AH75+AH78)-AH79</f>
        <v>0</v>
      </c>
      <c r="AI81" s="2847"/>
      <c r="AJ81" s="2848"/>
      <c r="AK81" s="2845">
        <f>(AK75+AK78)-AK79</f>
        <v>789723.53</v>
      </c>
      <c r="AL81" s="2845">
        <f>(AL75+AL78)-AL79</f>
        <v>-21710</v>
      </c>
      <c r="AM81" s="2845">
        <f>(AM75+AM78)-AM79</f>
        <v>766128.33000000007</v>
      </c>
      <c r="AN81" s="2847"/>
      <c r="AO81" s="2847"/>
      <c r="AP81" s="920"/>
      <c r="AQ81" s="920"/>
    </row>
    <row r="82" spans="1:43" s="1396" customFormat="1" ht="14.4" customHeight="1" outlineLevel="2">
      <c r="A82" s="1565"/>
      <c r="B82" s="1622" t="s">
        <v>38</v>
      </c>
      <c r="C82" s="1510"/>
      <c r="D82" s="1511"/>
      <c r="E82" s="1515">
        <f>C82+D82</f>
        <v>0</v>
      </c>
      <c r="F82" s="2810">
        <f>E82/$E$89</f>
        <v>0</v>
      </c>
      <c r="G82" s="2051"/>
      <c r="H82" s="2043"/>
      <c r="I82" s="1515">
        <f>G82+H82</f>
        <v>0</v>
      </c>
      <c r="J82" s="1476"/>
      <c r="K82" s="2046"/>
      <c r="L82" s="2051"/>
      <c r="M82" s="2043"/>
      <c r="N82" s="1515">
        <f>L82+M82</f>
        <v>0</v>
      </c>
      <c r="O82" s="1476"/>
      <c r="P82" s="2046"/>
      <c r="Q82" s="2051"/>
      <c r="R82" s="2043"/>
      <c r="S82" s="1515">
        <f>Q82+R82</f>
        <v>0</v>
      </c>
      <c r="T82" s="1476"/>
      <c r="U82" s="2046"/>
      <c r="V82" s="2051"/>
      <c r="W82" s="2043"/>
      <c r="X82" s="1515">
        <f>V82+W82</f>
        <v>0</v>
      </c>
      <c r="Y82" s="1476"/>
      <c r="Z82" s="2046"/>
      <c r="AA82" s="2051"/>
      <c r="AB82" s="2043"/>
      <c r="AC82" s="1515">
        <f>AA82+AB82</f>
        <v>0</v>
      </c>
      <c r="AD82" s="1476"/>
      <c r="AE82" s="2046"/>
      <c r="AF82" s="2051"/>
      <c r="AG82" s="2043"/>
      <c r="AH82" s="1515">
        <f>AF82+AG82</f>
        <v>0</v>
      </c>
      <c r="AI82" s="1476"/>
      <c r="AJ82" s="2046"/>
      <c r="AK82" s="2043">
        <f t="shared" ref="AK82:AL82" si="83">G82+L82+Q82+V82+AA82+AF82</f>
        <v>0</v>
      </c>
      <c r="AL82" s="2043">
        <f t="shared" si="83"/>
        <v>0</v>
      </c>
      <c r="AM82" s="1515">
        <f>AK82+AL82</f>
        <v>0</v>
      </c>
      <c r="AN82" s="1476"/>
      <c r="AO82" s="1476"/>
      <c r="AP82" s="920"/>
      <c r="AQ82" s="920"/>
    </row>
    <row r="83" spans="1:43" s="1396" customFormat="1" ht="14.4" customHeight="1" outlineLevel="1">
      <c r="A83" s="1405"/>
      <c r="B83" s="3110" t="s">
        <v>13</v>
      </c>
      <c r="C83" s="2825">
        <f t="shared" ref="C83:E83" si="84">(C81)-C36</f>
        <v>639400</v>
      </c>
      <c r="D83" s="2825">
        <f t="shared" si="84"/>
        <v>-30000</v>
      </c>
      <c r="E83" s="2825">
        <f t="shared" si="84"/>
        <v>609400</v>
      </c>
      <c r="F83" s="2826"/>
      <c r="G83" s="2825">
        <f t="shared" ref="G83:I83" si="85">(G81)-G36</f>
        <v>0</v>
      </c>
      <c r="H83" s="2825">
        <f t="shared" si="85"/>
        <v>-8000</v>
      </c>
      <c r="I83" s="2827">
        <f t="shared" si="85"/>
        <v>-8960</v>
      </c>
      <c r="J83" s="2828"/>
      <c r="K83" s="2828"/>
      <c r="L83" s="2825">
        <f t="shared" ref="L83:N83" si="86">(L81)-L36</f>
        <v>-165.03</v>
      </c>
      <c r="M83" s="2825">
        <f t="shared" si="86"/>
        <v>-13710</v>
      </c>
      <c r="N83" s="2827">
        <f t="shared" si="86"/>
        <v>-14800.230000000001</v>
      </c>
      <c r="O83" s="2828"/>
      <c r="P83" s="2828"/>
      <c r="Q83" s="2825">
        <f>(Q81+Q7)-Q36</f>
        <v>340053.58999999997</v>
      </c>
      <c r="R83" s="2825">
        <f>(R81+R7)-R36</f>
        <v>0</v>
      </c>
      <c r="S83" s="2827">
        <f>(S81+S7)-S36</f>
        <v>340053.58999999997</v>
      </c>
      <c r="T83" s="2828"/>
      <c r="U83" s="2829"/>
      <c r="V83" s="2825">
        <f>(V81+V7)-V36</f>
        <v>0</v>
      </c>
      <c r="W83" s="2825">
        <f>(W81+W7)-W36</f>
        <v>0</v>
      </c>
      <c r="X83" s="2827">
        <f>(X81+X7)-X36</f>
        <v>0</v>
      </c>
      <c r="Y83" s="2828"/>
      <c r="Z83" s="2829"/>
      <c r="AA83" s="2825">
        <f>(AA81+AA7)-AA36</f>
        <v>449834.97</v>
      </c>
      <c r="AB83" s="2825">
        <f>(AB81+AB7)-AB36</f>
        <v>0</v>
      </c>
      <c r="AC83" s="2827">
        <f>(AC81+AC7)-AC36</f>
        <v>449834.97</v>
      </c>
      <c r="AD83" s="2828"/>
      <c r="AE83" s="2829"/>
      <c r="AF83" s="2825">
        <f>(AF81+AF7)-AF36</f>
        <v>0</v>
      </c>
      <c r="AG83" s="2825">
        <f>(AG81+AG7)-AG36</f>
        <v>0</v>
      </c>
      <c r="AH83" s="2827">
        <f>(AH81+AH7)-AH36</f>
        <v>0</v>
      </c>
      <c r="AI83" s="2828"/>
      <c r="AJ83" s="2829"/>
      <c r="AK83" s="2825">
        <f>(AK81)-AK36</f>
        <v>789723.53</v>
      </c>
      <c r="AL83" s="2825">
        <f>(AL81)-AL36</f>
        <v>-21710</v>
      </c>
      <c r="AM83" s="2827">
        <f>(AM81)-AM36</f>
        <v>766128.33000000007</v>
      </c>
      <c r="AN83" s="2828"/>
      <c r="AO83" s="2828"/>
      <c r="AP83" s="920"/>
      <c r="AQ83" s="920"/>
    </row>
    <row r="84" spans="1:43" s="1396" customFormat="1" ht="14.4" customHeight="1" outlineLevel="1" thickBot="1">
      <c r="A84" s="1405"/>
      <c r="B84" s="2849" t="s">
        <v>14</v>
      </c>
      <c r="C84" s="2976">
        <f>C83-C73-C82</f>
        <v>639400</v>
      </c>
      <c r="D84" s="2976">
        <f>D83-D73-D82</f>
        <v>-30000</v>
      </c>
      <c r="E84" s="2976">
        <f>E83-E73-E82</f>
        <v>609400</v>
      </c>
      <c r="F84" s="2851"/>
      <c r="G84" s="2852">
        <f>G83-G73-G82</f>
        <v>0</v>
      </c>
      <c r="H84" s="2852">
        <f>H83-H73-H82</f>
        <v>-8000</v>
      </c>
      <c r="I84" s="2852">
        <f>I83-I73-I82</f>
        <v>-8960</v>
      </c>
      <c r="J84" s="2853"/>
      <c r="K84" s="2854"/>
      <c r="L84" s="2852">
        <f>L83-L73-L82</f>
        <v>-165.03</v>
      </c>
      <c r="M84" s="2852">
        <f>M83-M73-M82</f>
        <v>-13710</v>
      </c>
      <c r="N84" s="2852">
        <f>N83-N73-N82</f>
        <v>-14800.230000000001</v>
      </c>
      <c r="O84" s="2853"/>
      <c r="P84" s="2854"/>
      <c r="Q84" s="2852">
        <f>Q83-Q73-Q82</f>
        <v>340053.58999999997</v>
      </c>
      <c r="R84" s="2852">
        <f>R83-R73-R82</f>
        <v>0</v>
      </c>
      <c r="S84" s="2852">
        <f>S83-S73-S82</f>
        <v>340053.58999999997</v>
      </c>
      <c r="T84" s="2853"/>
      <c r="U84" s="2854"/>
      <c r="V84" s="2852">
        <f>V83-V73-V82</f>
        <v>-5560.6</v>
      </c>
      <c r="W84" s="2852">
        <f>W83-W73-W82</f>
        <v>0</v>
      </c>
      <c r="X84" s="2852">
        <f>X83-X73-X82</f>
        <v>-5560.6</v>
      </c>
      <c r="Y84" s="2853"/>
      <c r="Z84" s="2854"/>
      <c r="AA84" s="2852">
        <f>AA83-AA73-AA82</f>
        <v>449834.97</v>
      </c>
      <c r="AB84" s="2852">
        <f>AB83-AB73-AB82</f>
        <v>0</v>
      </c>
      <c r="AC84" s="2852">
        <f>AC83-AC73-AC82</f>
        <v>449834.97</v>
      </c>
      <c r="AD84" s="2853"/>
      <c r="AE84" s="2854"/>
      <c r="AF84" s="2852">
        <f>AF83-AF73-AF82</f>
        <v>0</v>
      </c>
      <c r="AG84" s="2852">
        <f>AG83-AG73-AG82</f>
        <v>0</v>
      </c>
      <c r="AH84" s="2852">
        <f>AH83-AH73-AH82</f>
        <v>0</v>
      </c>
      <c r="AI84" s="2853"/>
      <c r="AJ84" s="2854"/>
      <c r="AK84" s="2852">
        <f>AK83-AK73-AK82</f>
        <v>784162.93</v>
      </c>
      <c r="AL84" s="2852">
        <f>AL83-AL73-AL82</f>
        <v>-21710</v>
      </c>
      <c r="AM84" s="2852">
        <f>AM83-AM73-AM82</f>
        <v>760567.7300000001</v>
      </c>
      <c r="AN84" s="2853"/>
      <c r="AO84" s="2853"/>
      <c r="AP84" s="920"/>
      <c r="AQ84" s="920"/>
    </row>
    <row r="85" spans="1:43" s="1396" customFormat="1" ht="14.4" customHeight="1" outlineLevel="3">
      <c r="A85" s="1565"/>
      <c r="B85" s="1424" t="s">
        <v>44</v>
      </c>
      <c r="C85" s="1486"/>
      <c r="D85" s="1091"/>
      <c r="E85" s="1092">
        <f>C85+D85</f>
        <v>0</v>
      </c>
      <c r="F85" s="1587">
        <f>E85/$E$89</f>
        <v>0</v>
      </c>
      <c r="G85" s="2051"/>
      <c r="H85" s="2043"/>
      <c r="I85" s="3081">
        <f>G85+H85*1</f>
        <v>0</v>
      </c>
      <c r="J85" s="1476"/>
      <c r="K85" s="1748"/>
      <c r="L85" s="2051"/>
      <c r="M85" s="2043"/>
      <c r="N85" s="3081">
        <f>L85+M85*1</f>
        <v>0</v>
      </c>
      <c r="O85" s="1476"/>
      <c r="P85" s="1748"/>
      <c r="Q85" s="2051"/>
      <c r="R85" s="2043"/>
      <c r="S85" s="3081">
        <f>Q85+R85*1</f>
        <v>0</v>
      </c>
      <c r="T85" s="1476"/>
      <c r="U85" s="1748"/>
      <c r="V85" s="2051"/>
      <c r="W85" s="2043"/>
      <c r="X85" s="3081">
        <f>V85+W85*1</f>
        <v>0</v>
      </c>
      <c r="Y85" s="1476"/>
      <c r="Z85" s="1748"/>
      <c r="AA85" s="2051"/>
      <c r="AB85" s="2043"/>
      <c r="AC85" s="3081">
        <f>AA85+AB85*1</f>
        <v>0</v>
      </c>
      <c r="AD85" s="1476"/>
      <c r="AE85" s="1748"/>
      <c r="AF85" s="2051"/>
      <c r="AG85" s="2043"/>
      <c r="AH85" s="3081">
        <f>AF85+AG85*1</f>
        <v>0</v>
      </c>
      <c r="AI85" s="1476"/>
      <c r="AJ85" s="1748"/>
      <c r="AK85" s="2043">
        <f t="shared" ref="AK85:AL85" si="87">G85+L85+Q85+V85+AA85+AF85</f>
        <v>0</v>
      </c>
      <c r="AL85" s="2043">
        <f t="shared" si="87"/>
        <v>0</v>
      </c>
      <c r="AM85" s="3081">
        <f>AK85+AL85*1.15</f>
        <v>0</v>
      </c>
      <c r="AN85" s="1476"/>
      <c r="AO85" s="1476"/>
      <c r="AP85" s="920"/>
      <c r="AQ85" s="920"/>
    </row>
    <row r="86" spans="1:43" s="1396" customFormat="1" ht="14.4" customHeight="1">
      <c r="A86" s="1405"/>
      <c r="B86" s="3111" t="s">
        <v>50</v>
      </c>
      <c r="C86" s="2830">
        <f>C84-C85</f>
        <v>639400</v>
      </c>
      <c r="D86" s="2830">
        <f>D84-D85</f>
        <v>-30000</v>
      </c>
      <c r="E86" s="2831">
        <f>E84-E85</f>
        <v>609400</v>
      </c>
      <c r="F86" s="2832"/>
      <c r="G86" s="2831">
        <f>G84-G85</f>
        <v>0</v>
      </c>
      <c r="H86" s="2831">
        <f>H84-H85</f>
        <v>-8000</v>
      </c>
      <c r="I86" s="2831">
        <f>I84-I85</f>
        <v>-8960</v>
      </c>
      <c r="J86" s="2833"/>
      <c r="K86" s="2829"/>
      <c r="L86" s="2831">
        <f>L84-L85</f>
        <v>-165.03</v>
      </c>
      <c r="M86" s="2831">
        <f>M84-M85</f>
        <v>-13710</v>
      </c>
      <c r="N86" s="2831">
        <f>N84-N85</f>
        <v>-14800.230000000001</v>
      </c>
      <c r="O86" s="2833"/>
      <c r="P86" s="2829"/>
      <c r="Q86" s="2831">
        <f>Q84-Q85</f>
        <v>340053.58999999997</v>
      </c>
      <c r="R86" s="2831">
        <f>R84-R85</f>
        <v>0</v>
      </c>
      <c r="S86" s="2831">
        <f>S84-S85</f>
        <v>340053.58999999997</v>
      </c>
      <c r="T86" s="2833"/>
      <c r="U86" s="2829"/>
      <c r="V86" s="2831">
        <f>V84-V85</f>
        <v>-5560.6</v>
      </c>
      <c r="W86" s="2831">
        <f>W84-W85</f>
        <v>0</v>
      </c>
      <c r="X86" s="2831">
        <f>X84-X85</f>
        <v>-5560.6</v>
      </c>
      <c r="Y86" s="2833"/>
      <c r="Z86" s="2829"/>
      <c r="AA86" s="2831">
        <f>AA84-AA85</f>
        <v>449834.97</v>
      </c>
      <c r="AB86" s="2831">
        <f>AB84-AB85</f>
        <v>0</v>
      </c>
      <c r="AC86" s="2831">
        <f>AC84-AC85</f>
        <v>449834.97</v>
      </c>
      <c r="AD86" s="2833"/>
      <c r="AE86" s="2829"/>
      <c r="AF86" s="2831">
        <f>AF84</f>
        <v>0</v>
      </c>
      <c r="AG86" s="2831">
        <f t="shared" ref="AG86" si="88">AG84</f>
        <v>0</v>
      </c>
      <c r="AH86" s="2831">
        <f>AH84</f>
        <v>0</v>
      </c>
      <c r="AI86" s="2833"/>
      <c r="AJ86" s="2829"/>
      <c r="AK86" s="2831">
        <f>AK84-AK85</f>
        <v>784162.93</v>
      </c>
      <c r="AL86" s="2831">
        <f>AL84-AL85</f>
        <v>-21710</v>
      </c>
      <c r="AM86" s="2831">
        <f>AM84-AM85</f>
        <v>760567.7300000001</v>
      </c>
      <c r="AN86" s="2833"/>
      <c r="AO86" s="2833"/>
      <c r="AP86" s="920"/>
      <c r="AQ86" s="920"/>
    </row>
    <row r="87" spans="1:43" s="1396" customFormat="1" ht="14.4" customHeight="1" thickBot="1">
      <c r="A87" s="1567"/>
      <c r="B87" s="2855" t="s">
        <v>51</v>
      </c>
      <c r="C87" s="2989">
        <f>C86/C5</f>
        <v>0.69349240780911059</v>
      </c>
      <c r="D87" s="2990" t="e">
        <f>D86/D5</f>
        <v>#DIV/0!</v>
      </c>
      <c r="E87" s="2858">
        <f>E86/E5</f>
        <v>0.66095444685466376</v>
      </c>
      <c r="F87" s="2859"/>
      <c r="G87" s="2989" t="e">
        <f>G86/G5</f>
        <v>#DIV/0!</v>
      </c>
      <c r="H87" s="2990" t="e">
        <f>H86/H5</f>
        <v>#DIV/0!</v>
      </c>
      <c r="I87" s="2858" t="e">
        <f>I86/I5</f>
        <v>#DIV/0!</v>
      </c>
      <c r="J87" s="2860"/>
      <c r="K87" s="2861"/>
      <c r="L87" s="2989" t="e">
        <f>L86/L5</f>
        <v>#DIV/0!</v>
      </c>
      <c r="M87" s="2990" t="e">
        <f>M86/M5</f>
        <v>#DIV/0!</v>
      </c>
      <c r="N87" s="2858" t="e">
        <f>N86/N5</f>
        <v>#DIV/0!</v>
      </c>
      <c r="O87" s="2860"/>
      <c r="P87" s="2861"/>
      <c r="Q87" s="2989">
        <f>Q86/Q5</f>
        <v>0.87320850987340459</v>
      </c>
      <c r="R87" s="2990" t="e">
        <f>R86/R5</f>
        <v>#DIV/0!</v>
      </c>
      <c r="S87" s="2858">
        <f>S86/S5</f>
        <v>0.87320850987340459</v>
      </c>
      <c r="T87" s="2860"/>
      <c r="U87" s="2861"/>
      <c r="V87" s="2989" t="e">
        <f>V86/V5</f>
        <v>#DIV/0!</v>
      </c>
      <c r="W87" s="2990" t="e">
        <f>W86/W5</f>
        <v>#DIV/0!</v>
      </c>
      <c r="X87" s="2858" t="e">
        <f>X86/X5</f>
        <v>#DIV/0!</v>
      </c>
      <c r="Y87" s="2860"/>
      <c r="Z87" s="2861"/>
      <c r="AA87" s="2989">
        <f>AA86/AA5</f>
        <v>0.99963326666666663</v>
      </c>
      <c r="AB87" s="2990" t="e">
        <f>AB86/AB5</f>
        <v>#DIV/0!</v>
      </c>
      <c r="AC87" s="2858">
        <f>AC86/AC5</f>
        <v>0.99963326666666663</v>
      </c>
      <c r="AD87" s="2860"/>
      <c r="AE87" s="2861"/>
      <c r="AF87" s="2989" t="e">
        <f>AF86/AF5</f>
        <v>#DIV/0!</v>
      </c>
      <c r="AG87" s="2990" t="e">
        <f>AG86/AG5</f>
        <v>#DIV/0!</v>
      </c>
      <c r="AH87" s="2858" t="e">
        <f>AH86/AH5</f>
        <v>#DIV/0!</v>
      </c>
      <c r="AI87" s="2860"/>
      <c r="AJ87" s="2861"/>
      <c r="AK87" s="2989">
        <f>AK86/AK5</f>
        <v>0.93416119271410369</v>
      </c>
      <c r="AL87" s="2990" t="e">
        <f>AL86/AL5</f>
        <v>#DIV/0!</v>
      </c>
      <c r="AM87" s="2858">
        <f>AM86/AM5</f>
        <v>0.90605259521341874</v>
      </c>
      <c r="AN87" s="2860"/>
      <c r="AO87" s="2860"/>
      <c r="AP87" s="920"/>
      <c r="AQ87" s="920"/>
    </row>
    <row r="88" spans="1:43" ht="13.8">
      <c r="A88" s="1423"/>
      <c r="B88" s="1423"/>
      <c r="C88" s="1521"/>
      <c r="D88" s="1521"/>
      <c r="E88" s="1521"/>
      <c r="F88" s="1549"/>
      <c r="G88" s="1954"/>
      <c r="H88" s="1954"/>
      <c r="I88" s="1954"/>
      <c r="J88" s="1954"/>
      <c r="K88" s="1605"/>
      <c r="L88" s="1954"/>
      <c r="M88" s="1954"/>
      <c r="N88" s="1954"/>
      <c r="O88" s="1954"/>
      <c r="P88" s="1605"/>
      <c r="Q88" s="1954"/>
      <c r="R88" s="1954"/>
      <c r="S88" s="1954"/>
      <c r="T88" s="1954"/>
      <c r="U88" s="1605"/>
      <c r="V88" s="1954"/>
      <c r="W88" s="1954"/>
      <c r="X88" s="1954"/>
      <c r="Y88" s="1954"/>
      <c r="Z88" s="1605"/>
      <c r="AA88" s="1954"/>
      <c r="AB88" s="1954"/>
      <c r="AC88" s="1954"/>
      <c r="AD88" s="1954"/>
      <c r="AE88" s="1605"/>
      <c r="AF88" s="1954"/>
      <c r="AG88" s="1954"/>
      <c r="AH88" s="1954"/>
      <c r="AI88" s="1954"/>
      <c r="AJ88" s="1605"/>
      <c r="AK88" s="1954"/>
      <c r="AL88" s="1954"/>
      <c r="AM88" s="1954"/>
      <c r="AN88" s="1954"/>
      <c r="AO88" s="1954"/>
      <c r="AP88" s="1952"/>
      <c r="AQ88" s="1952"/>
    </row>
    <row r="89" spans="1:43">
      <c r="B89" s="1562" t="s">
        <v>56</v>
      </c>
      <c r="C89" s="1522"/>
      <c r="D89" s="1522"/>
      <c r="E89" s="3112">
        <f>E8+E36+E41+E50+E54+E73+E79+E82+E85</f>
        <v>312600</v>
      </c>
      <c r="F89" s="189"/>
      <c r="I89" s="3112">
        <f>I8+I36+I41+I50+I54+I73+I79+I82+I85</f>
        <v>8960</v>
      </c>
      <c r="K89" s="1606"/>
      <c r="N89" s="3112">
        <f>N8+N36+N41+N50+N54+N73+N79+N82+N85</f>
        <v>14800.230000000001</v>
      </c>
      <c r="P89" s="1606"/>
      <c r="S89" s="3112">
        <f>S8+S36+S41+S50+S54+S73+S79+S82+S85</f>
        <v>49376.41</v>
      </c>
      <c r="U89" s="1606"/>
      <c r="X89" s="3112">
        <f>X8+X36+X41+X50+X54+X73+X79+X82+X85</f>
        <v>5560.6</v>
      </c>
      <c r="Z89" s="1606"/>
      <c r="AC89" s="3112">
        <f>AC8+AC36+AC41+AC50+AC54+AC73+AC79+AC82+AC85</f>
        <v>165.03</v>
      </c>
      <c r="AE89" s="1606"/>
      <c r="AH89" s="3112">
        <f>AH8+AH36+AH41+AH50+AH54+AH73+AH79+AH82+AH85</f>
        <v>0</v>
      </c>
      <c r="AJ89" s="1606"/>
      <c r="AM89" s="3112">
        <f>AM8+AM36+AM41+AM50+AM54+AM73+AM79+AM82+AM85-AM78</f>
        <v>78862.27</v>
      </c>
      <c r="AP89" s="1952"/>
      <c r="AQ89" s="1952"/>
    </row>
    <row r="90" spans="1:43" s="2470" customFormat="1" ht="13.95" customHeight="1">
      <c r="A90" s="1336"/>
      <c r="B90" s="1336"/>
      <c r="C90" s="1341"/>
      <c r="D90" s="1341"/>
      <c r="E90" s="1341"/>
      <c r="F90" s="2468"/>
      <c r="G90" s="2468"/>
      <c r="H90" s="2468"/>
      <c r="I90" s="2468"/>
      <c r="J90" s="2468"/>
      <c r="K90" s="1857"/>
      <c r="L90" s="2468"/>
      <c r="M90" s="2468"/>
      <c r="N90" s="2468"/>
      <c r="O90" s="2468"/>
      <c r="P90" s="1857"/>
      <c r="Q90" s="2468"/>
      <c r="R90" s="2468"/>
      <c r="S90" s="2468"/>
      <c r="T90" s="2468"/>
      <c r="U90" s="1857"/>
      <c r="V90" s="2468"/>
      <c r="W90" s="2468"/>
      <c r="X90" s="2468"/>
      <c r="Y90" s="2468"/>
      <c r="Z90" s="1857"/>
      <c r="AA90" s="2468"/>
      <c r="AB90" s="2468"/>
      <c r="AC90" s="2468"/>
      <c r="AD90" s="2468"/>
      <c r="AE90" s="1857"/>
      <c r="AF90" s="2468"/>
      <c r="AG90" s="2468"/>
      <c r="AH90" s="2468"/>
      <c r="AI90" s="2468"/>
      <c r="AJ90" s="1857"/>
      <c r="AK90" s="2468"/>
      <c r="AL90" s="2468"/>
      <c r="AM90" s="1592" t="b">
        <f>(I89+N89+S89+X89+AC89+AH89)=AM89</f>
        <v>1</v>
      </c>
      <c r="AN90" s="2468"/>
      <c r="AO90" s="2468"/>
      <c r="AP90" s="2468"/>
      <c r="AQ90" s="2468"/>
    </row>
    <row r="91" spans="1:43" s="2469" customFormat="1">
      <c r="A91" s="1336"/>
      <c r="B91" s="1336"/>
      <c r="C91" s="1341"/>
      <c r="D91" s="1341"/>
      <c r="E91" s="1341"/>
      <c r="F91" s="2468"/>
      <c r="G91" s="2468"/>
      <c r="H91" s="2468"/>
      <c r="I91" s="2468"/>
      <c r="J91" s="2468"/>
      <c r="K91" s="1857"/>
      <c r="L91" s="2468"/>
      <c r="M91" s="2468"/>
      <c r="N91" s="2468"/>
      <c r="O91" s="2468"/>
      <c r="P91" s="1857"/>
      <c r="Q91" s="2468"/>
      <c r="R91" s="1586"/>
      <c r="S91" s="1586"/>
      <c r="T91" s="1586"/>
      <c r="U91" s="1857"/>
      <c r="V91" s="2468"/>
      <c r="W91" s="2468"/>
      <c r="X91" s="2468"/>
      <c r="Y91" s="2468"/>
      <c r="Z91" s="1857"/>
      <c r="AA91" s="2468"/>
      <c r="AB91" s="2468"/>
      <c r="AC91" s="2468"/>
      <c r="AD91" s="2468"/>
      <c r="AE91" s="1857"/>
      <c r="AF91" s="2468"/>
      <c r="AG91" s="1586"/>
      <c r="AH91" s="1586"/>
      <c r="AI91" s="1586"/>
      <c r="AJ91" s="1857"/>
      <c r="AK91" s="2468"/>
      <c r="AL91" s="2468"/>
      <c r="AM91" s="2468"/>
      <c r="AN91" s="2468"/>
      <c r="AO91" s="2468"/>
    </row>
    <row r="92" spans="1:43">
      <c r="C92" s="1952"/>
      <c r="D92" s="1952"/>
      <c r="G92" s="1606"/>
      <c r="H92" s="1606"/>
      <c r="I92" s="1606"/>
      <c r="J92" s="1606"/>
      <c r="K92" s="1606"/>
      <c r="L92" s="1606"/>
      <c r="M92" s="1606"/>
      <c r="N92" s="1606"/>
      <c r="O92" s="1606"/>
      <c r="P92" s="1606"/>
      <c r="Q92" s="1342"/>
      <c r="R92" s="1218"/>
      <c r="S92" s="1218"/>
      <c r="T92" s="1218"/>
      <c r="U92" s="1342"/>
      <c r="V92" s="1606"/>
      <c r="W92" s="1606"/>
      <c r="X92" s="1606"/>
      <c r="Y92" s="1606"/>
      <c r="Z92" s="1606"/>
      <c r="AA92" s="1606"/>
      <c r="AB92" s="1606"/>
      <c r="AC92" s="1606"/>
      <c r="AD92" s="1606"/>
      <c r="AE92" s="1606"/>
      <c r="AF92" s="2468"/>
      <c r="AG92" s="1218"/>
      <c r="AH92" s="1218"/>
      <c r="AI92" s="1218"/>
      <c r="AJ92" s="1342"/>
      <c r="AL92" s="1952" t="s">
        <v>1374</v>
      </c>
      <c r="AM92" s="1952">
        <v>740945.43</v>
      </c>
    </row>
    <row r="93" spans="1:43" s="1396" customFormat="1">
      <c r="A93" s="1402"/>
      <c r="B93" s="1402"/>
      <c r="C93" s="1952"/>
      <c r="D93" s="1952"/>
      <c r="E93" s="1952"/>
      <c r="F93" s="1952"/>
      <c r="G93" s="1606"/>
      <c r="H93" s="1606"/>
      <c r="I93" s="1606"/>
      <c r="J93" s="1606"/>
      <c r="K93" s="1606"/>
      <c r="L93" s="1606"/>
      <c r="M93" s="1606"/>
      <c r="N93" s="1606"/>
      <c r="O93" s="1606"/>
      <c r="P93" s="1606"/>
      <c r="Q93" s="1036"/>
      <c r="R93" s="1218"/>
      <c r="S93" s="1218"/>
      <c r="T93" s="1218"/>
      <c r="U93" s="1036"/>
      <c r="V93" s="1606"/>
      <c r="W93" s="1606"/>
      <c r="X93" s="1606"/>
      <c r="Y93" s="1606"/>
      <c r="Z93" s="1606"/>
      <c r="AA93" s="1606"/>
      <c r="AB93" s="1606"/>
      <c r="AC93" s="1606"/>
      <c r="AD93" s="1606"/>
      <c r="AE93" s="1606"/>
      <c r="AF93" s="2468"/>
      <c r="AG93" s="1218"/>
      <c r="AH93" s="1218"/>
      <c r="AI93" s="1218"/>
      <c r="AJ93" s="1036"/>
      <c r="AK93" s="1952"/>
      <c r="AL93" s="1952" t="s">
        <v>1373</v>
      </c>
      <c r="AM93" s="1952">
        <f>AM92-AM86</f>
        <v>-19622.300000000047</v>
      </c>
      <c r="AN93" s="1952"/>
      <c r="AO93" s="1952"/>
    </row>
    <row r="94" spans="1:43" s="1396" customFormat="1">
      <c r="A94" s="1402"/>
      <c r="B94" s="1402"/>
      <c r="C94" s="1952"/>
      <c r="D94" s="1952"/>
      <c r="E94" s="1952"/>
      <c r="F94" s="1952"/>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52"/>
      <c r="AL94" s="1952"/>
      <c r="AM94" s="1952"/>
      <c r="AN94" s="1952"/>
      <c r="AO94" s="1952"/>
    </row>
    <row r="95" spans="1:43" s="1396" customFormat="1">
      <c r="A95" s="1402"/>
      <c r="B95" s="1402"/>
      <c r="C95" s="1952"/>
      <c r="D95" s="1952"/>
      <c r="E95" s="1952"/>
      <c r="F95" s="1952"/>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52"/>
      <c r="AL95" s="1952" t="s">
        <v>1371</v>
      </c>
      <c r="AM95" s="1952">
        <v>25182.899999999998</v>
      </c>
      <c r="AN95" s="1952"/>
      <c r="AO95" s="1952"/>
    </row>
    <row r="96" spans="1:43" s="1396" customFormat="1">
      <c r="A96" s="1402"/>
      <c r="B96" s="1402"/>
      <c r="C96" s="1952"/>
      <c r="D96" s="1952"/>
      <c r="E96" s="1952"/>
      <c r="F96" s="1952"/>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52"/>
      <c r="AL96" s="828" t="s">
        <v>1646</v>
      </c>
      <c r="AM96" s="1952">
        <f>-AM74</f>
        <v>-5560.6</v>
      </c>
      <c r="AN96" s="1952"/>
      <c r="AO96" s="1952"/>
    </row>
    <row r="97" spans="1:42">
      <c r="C97" s="1952"/>
      <c r="D97" s="1952"/>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1963"/>
      <c r="AH97" s="1963"/>
      <c r="AI97" s="1963"/>
      <c r="AJ97" s="1963"/>
    </row>
    <row r="98" spans="1:42" s="1396" customFormat="1">
      <c r="A98" s="1402"/>
      <c r="B98" s="1402"/>
      <c r="C98" s="1952"/>
      <c r="D98" s="1952"/>
      <c r="E98" s="1952"/>
      <c r="F98" s="1952"/>
      <c r="G98" s="1952"/>
      <c r="H98" s="1952"/>
      <c r="I98" s="1952"/>
      <c r="J98" s="1952"/>
      <c r="K98" s="1952"/>
      <c r="L98" s="1952"/>
      <c r="M98" s="1952"/>
      <c r="N98" s="1952"/>
      <c r="O98" s="1952"/>
      <c r="P98" s="1952"/>
      <c r="Q98" s="1952"/>
      <c r="R98" s="1586"/>
      <c r="S98" s="1586"/>
      <c r="T98" s="1586"/>
      <c r="U98" s="1952"/>
      <c r="V98" s="1952"/>
      <c r="W98" s="1952"/>
      <c r="X98" s="1952"/>
      <c r="Y98" s="1952"/>
      <c r="Z98" s="1952"/>
      <c r="AA98" s="1952"/>
      <c r="AB98" s="1952"/>
      <c r="AC98" s="1952"/>
      <c r="AD98" s="1952"/>
      <c r="AE98" s="1952"/>
      <c r="AF98" s="1952"/>
      <c r="AG98" s="1586"/>
      <c r="AH98" s="1586"/>
      <c r="AI98" s="1586"/>
      <c r="AJ98" s="1952"/>
      <c r="AK98" s="1952"/>
      <c r="AL98" s="1952"/>
      <c r="AM98" s="1952"/>
      <c r="AN98" s="1952"/>
      <c r="AO98" s="1952"/>
    </row>
    <row r="99" spans="1:42">
      <c r="C99" s="1952"/>
      <c r="D99" s="1952"/>
      <c r="R99" s="1586"/>
      <c r="S99" s="1586"/>
      <c r="T99" s="1586"/>
      <c r="AG99" s="1586"/>
      <c r="AH99" s="1586"/>
      <c r="AI99" s="1586"/>
      <c r="AL99" s="1952" t="s">
        <v>1644</v>
      </c>
      <c r="AM99" s="1952">
        <f>SUM(AM93:AM97)</f>
        <v>-4.9112713895738125E-11</v>
      </c>
      <c r="AP99" s="1396"/>
    </row>
    <row r="100" spans="1:42">
      <c r="R100" s="1586"/>
      <c r="S100" s="1586"/>
      <c r="T100" s="1586"/>
      <c r="AG100" s="1586"/>
      <c r="AH100" s="1586"/>
      <c r="AI100" s="1586"/>
    </row>
    <row r="101" spans="1:42">
      <c r="R101" s="1586"/>
      <c r="S101" s="1586"/>
      <c r="T101" s="1586"/>
      <c r="AG101" s="1586"/>
      <c r="AH101" s="1586"/>
      <c r="AI101" s="1586"/>
    </row>
    <row r="102" spans="1:42">
      <c r="R102" s="1586"/>
      <c r="S102" s="1586"/>
      <c r="T102" s="1586"/>
      <c r="AG102" s="1586"/>
      <c r="AH102" s="1586"/>
      <c r="AI102" s="1586"/>
    </row>
    <row r="103" spans="1:42">
      <c r="R103" s="1586"/>
      <c r="S103" s="1586"/>
      <c r="T103" s="1586"/>
      <c r="AG103" s="1586"/>
      <c r="AH103" s="1586"/>
      <c r="AI103" s="1586"/>
    </row>
    <row r="104" spans="1:42">
      <c r="R104" s="1586"/>
      <c r="S104" s="1586"/>
      <c r="T104" s="1586"/>
      <c r="AG104" s="1586"/>
      <c r="AH104" s="1586"/>
      <c r="AI104" s="1586"/>
    </row>
    <row r="105" spans="1:42">
      <c r="R105" s="1586"/>
      <c r="S105" s="1586"/>
      <c r="T105" s="1586"/>
      <c r="AG105" s="1586"/>
      <c r="AH105" s="1586"/>
      <c r="AI105" s="1586"/>
    </row>
    <row r="113" spans="18:36">
      <c r="R113" s="1395"/>
      <c r="S113" s="1395"/>
      <c r="T113" s="1395"/>
      <c r="AF113" s="1395"/>
      <c r="AG113" s="1395"/>
      <c r="AH113" s="1395"/>
      <c r="AI113" s="1395"/>
      <c r="AJ113" s="1395"/>
    </row>
    <row r="114" spans="18:36">
      <c r="R114" s="1395"/>
      <c r="S114" s="1395"/>
      <c r="T114" s="1395"/>
      <c r="AF114" s="1395"/>
      <c r="AG114" s="1395"/>
      <c r="AH114" s="1395"/>
      <c r="AI114" s="1395"/>
      <c r="AJ114" s="1395"/>
    </row>
    <row r="115" spans="18:36">
      <c r="R115" s="1395"/>
      <c r="S115" s="1395"/>
      <c r="T115" s="1395"/>
      <c r="AF115" s="1395"/>
      <c r="AG115" s="1395"/>
      <c r="AH115" s="1395"/>
      <c r="AI115" s="1395"/>
      <c r="AJ115" s="1395"/>
    </row>
    <row r="116" spans="18:36">
      <c r="R116" s="1395"/>
      <c r="S116" s="1395"/>
      <c r="T116" s="1395"/>
      <c r="AF116" s="1395"/>
      <c r="AG116" s="1395"/>
      <c r="AH116" s="1395"/>
      <c r="AI116" s="1395"/>
      <c r="AJ116" s="1395"/>
    </row>
    <row r="117" spans="18:36">
      <c r="R117" s="1395"/>
      <c r="S117" s="1395"/>
      <c r="T117" s="1395"/>
      <c r="AF117" s="1395"/>
      <c r="AG117" s="1395"/>
      <c r="AH117" s="1395"/>
      <c r="AI117" s="1395"/>
      <c r="AJ117" s="1395"/>
    </row>
    <row r="118" spans="18:36">
      <c r="R118" s="1395"/>
      <c r="S118" s="1395"/>
      <c r="T118" s="1395"/>
      <c r="U118" s="1395"/>
      <c r="AF118" s="1395"/>
      <c r="AG118" s="1395"/>
      <c r="AH118" s="1395"/>
      <c r="AI118" s="1395"/>
      <c r="AJ118" s="1395"/>
    </row>
  </sheetData>
  <mergeCells count="10">
    <mergeCell ref="AK2:AO3"/>
    <mergeCell ref="A3:F3"/>
    <mergeCell ref="A42:A48"/>
    <mergeCell ref="A2:F2"/>
    <mergeCell ref="G2:K3"/>
    <mergeCell ref="L2:P3"/>
    <mergeCell ref="Q2:U3"/>
    <mergeCell ref="V2:Z3"/>
    <mergeCell ref="AA2:AE3"/>
    <mergeCell ref="AF2:AJ3"/>
  </mergeCells>
  <pageMargins left="0.7" right="0.7" top="0.75" bottom="0.75" header="0.3" footer="0.3"/>
  <pageSetup paperSize="9" orientation="portrait"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pageSetUpPr fitToPage="1"/>
  </sheetPr>
  <dimension ref="A1:CP202"/>
  <sheetViews>
    <sheetView showZeros="0" zoomScale="70" zoomScaleNormal="70" workbookViewId="0">
      <pane xSplit="6" ySplit="5" topLeftCell="AQ78" activePane="bottomRight" state="frozen"/>
      <selection activeCell="C26" sqref="C25:C26"/>
      <selection pane="topRight" activeCell="C26" sqref="C25:C26"/>
      <selection pane="bottomLeft" activeCell="C26" sqref="C25:C26"/>
      <selection pane="bottomRight" activeCell="AT93" sqref="AT92:CJ93"/>
    </sheetView>
  </sheetViews>
  <sheetFormatPr defaultColWidth="7.44140625" defaultRowHeight="13.2" outlineLevelRow="3" outlineLevelCol="1"/>
  <cols>
    <col min="1" max="1" width="4.44140625" style="1402" customWidth="1"/>
    <col min="2" max="2" width="55" style="1402" customWidth="1"/>
    <col min="3" max="3" width="15" style="1459" hidden="1" customWidth="1" outlineLevel="1"/>
    <col min="4" max="4" width="15.5546875" style="1459" hidden="1" customWidth="1" outlineLevel="1"/>
    <col min="5" max="5" width="16.33203125" style="1952" hidden="1" customWidth="1" outlineLevel="1"/>
    <col min="6" max="6" width="9.5546875" style="1952" hidden="1" customWidth="1" outlineLevel="1"/>
    <col min="7" max="7" width="5.33203125" style="1952" hidden="1" customWidth="1" outlineLevel="1"/>
    <col min="8" max="22" width="16.6640625" style="1952" hidden="1" customWidth="1" outlineLevel="1"/>
    <col min="23" max="23" width="3.33203125" style="1952" customWidth="1" collapsed="1"/>
    <col min="24" max="27" width="16.6640625" style="1952" hidden="1" customWidth="1" outlineLevel="1"/>
    <col min="28" max="28" width="27" style="1952" hidden="1" customWidth="1" outlineLevel="1"/>
    <col min="29" max="29" width="16.6640625" style="1952" hidden="1" customWidth="1" outlineLevel="1" collapsed="1"/>
    <col min="30" max="33" width="16.6640625" style="1952" hidden="1" customWidth="1" outlineLevel="1"/>
    <col min="34" max="34" width="16.6640625" style="1952" hidden="1" customWidth="1" outlineLevel="1" collapsed="1"/>
    <col min="35" max="38" width="16.6640625" style="1952" hidden="1" customWidth="1" outlineLevel="1"/>
    <col min="39" max="39" width="16.6640625" style="1952" customWidth="1" collapsed="1"/>
    <col min="40" max="48" width="16.6640625" style="1952" customWidth="1"/>
    <col min="49" max="49" width="16.6640625" style="1952" hidden="1" customWidth="1" outlineLevel="1" collapsed="1"/>
    <col min="50" max="52" width="16.6640625" style="1952" hidden="1" customWidth="1" outlineLevel="1"/>
    <col min="53" max="53" width="17.88671875" style="1952" hidden="1" customWidth="1" outlineLevel="1"/>
    <col min="54" max="54" width="16.6640625" style="1952" hidden="1" customWidth="1" outlineLevel="1" collapsed="1"/>
    <col min="55" max="57" width="16.6640625" style="1952" hidden="1" customWidth="1" outlineLevel="1"/>
    <col min="58" max="58" width="13.109375" style="1952" hidden="1" customWidth="1" outlineLevel="1"/>
    <col min="59" max="62" width="16.6640625" style="1952" hidden="1" customWidth="1" outlineLevel="1"/>
    <col min="63" max="68" width="13.109375" style="1952" hidden="1" customWidth="1" outlineLevel="1"/>
    <col min="69" max="72" width="16.6640625" style="1952" hidden="1" customWidth="1" outlineLevel="1"/>
    <col min="73" max="73" width="17.88671875" style="1952" hidden="1" customWidth="1" outlineLevel="1"/>
    <col min="74" max="77" width="16.6640625" style="1952" hidden="1" customWidth="1" outlineLevel="1"/>
    <col min="78" max="78" width="17.88671875" style="1952" hidden="1" customWidth="1" outlineLevel="1"/>
    <col min="79" max="79" width="16.6640625" style="1952" hidden="1" customWidth="1" outlineLevel="1" collapsed="1"/>
    <col min="80" max="82" width="16.6640625" style="1952" hidden="1" customWidth="1" outlineLevel="1"/>
    <col min="83" max="83" width="17.88671875" style="1952" hidden="1" customWidth="1" outlineLevel="1"/>
    <col min="84" max="84" width="16.6640625" style="1952" customWidth="1" collapsed="1"/>
    <col min="85" max="86" width="16.6640625" style="1952" customWidth="1"/>
    <col min="87" max="87" width="18.109375" style="1952" customWidth="1"/>
    <col min="88" max="88" width="16.6640625" style="1952" customWidth="1"/>
    <col min="89" max="89" width="16.109375" style="1395" bestFit="1" customWidth="1"/>
    <col min="90" max="90" width="19.33203125" style="1395" bestFit="1" customWidth="1"/>
    <col min="91" max="91" width="13" style="1395" bestFit="1" customWidth="1"/>
    <col min="92" max="92" width="13.6640625" style="1395" bestFit="1" customWidth="1"/>
    <col min="93" max="93" width="22.6640625" style="1395" bestFit="1" customWidth="1"/>
    <col min="94" max="94" width="12" style="1395" bestFit="1" customWidth="1"/>
    <col min="95" max="16384" width="7.44140625" style="1395"/>
  </cols>
  <sheetData>
    <row r="1" spans="1:93" ht="13.8" thickBot="1">
      <c r="C1" s="1952"/>
      <c r="D1" s="1952"/>
    </row>
    <row r="2" spans="1:93" ht="22.2" customHeight="1" thickBot="1">
      <c r="A2" s="4947" t="s">
        <v>1195</v>
      </c>
      <c r="B2" s="4948"/>
      <c r="C2" s="4948"/>
      <c r="D2" s="4948"/>
      <c r="E2" s="4948"/>
      <c r="F2" s="4949"/>
      <c r="G2" s="3810"/>
      <c r="H2" s="4904" t="s">
        <v>1388</v>
      </c>
      <c r="I2" s="4905"/>
      <c r="J2" s="4905"/>
      <c r="K2" s="4905"/>
      <c r="L2" s="4906"/>
      <c r="M2" s="4904" t="s">
        <v>1851</v>
      </c>
      <c r="N2" s="4905"/>
      <c r="O2" s="4905"/>
      <c r="P2" s="4905"/>
      <c r="Q2" s="4906"/>
      <c r="R2" s="4904" t="s">
        <v>1852</v>
      </c>
      <c r="S2" s="4905"/>
      <c r="T2" s="4905"/>
      <c r="U2" s="4905"/>
      <c r="V2" s="4906"/>
      <c r="W2" s="3810"/>
      <c r="X2" s="5006">
        <v>45292</v>
      </c>
      <c r="Y2" s="5007"/>
      <c r="Z2" s="5007"/>
      <c r="AA2" s="5007"/>
      <c r="AB2" s="5008"/>
      <c r="AC2" s="5054">
        <v>45323</v>
      </c>
      <c r="AD2" s="5055"/>
      <c r="AE2" s="5055"/>
      <c r="AF2" s="5055"/>
      <c r="AG2" s="5056"/>
      <c r="AH2" s="5036">
        <v>45352</v>
      </c>
      <c r="AI2" s="5037"/>
      <c r="AJ2" s="5037"/>
      <c r="AK2" s="5037"/>
      <c r="AL2" s="5038"/>
      <c r="AM2" s="5042">
        <v>45383</v>
      </c>
      <c r="AN2" s="5043"/>
      <c r="AO2" s="5043"/>
      <c r="AP2" s="5043"/>
      <c r="AQ2" s="5044"/>
      <c r="AR2" s="5048">
        <v>45413</v>
      </c>
      <c r="AS2" s="5049"/>
      <c r="AT2" s="5049"/>
      <c r="AU2" s="5049"/>
      <c r="AV2" s="5050"/>
      <c r="AW2" s="5006">
        <v>45444</v>
      </c>
      <c r="AX2" s="5007"/>
      <c r="AY2" s="5007"/>
      <c r="AZ2" s="5007"/>
      <c r="BA2" s="5008"/>
      <c r="BB2" s="5012">
        <v>45474</v>
      </c>
      <c r="BC2" s="5013"/>
      <c r="BD2" s="5013"/>
      <c r="BE2" s="5013"/>
      <c r="BF2" s="5014"/>
      <c r="BG2" s="5024">
        <v>45505</v>
      </c>
      <c r="BH2" s="5025"/>
      <c r="BI2" s="5025"/>
      <c r="BJ2" s="5025"/>
      <c r="BK2" s="5026"/>
      <c r="BL2" s="5030">
        <v>45536</v>
      </c>
      <c r="BM2" s="5031"/>
      <c r="BN2" s="5031"/>
      <c r="BO2" s="5031"/>
      <c r="BP2" s="5032"/>
      <c r="BQ2" s="5006">
        <v>45566</v>
      </c>
      <c r="BR2" s="5007"/>
      <c r="BS2" s="5007"/>
      <c r="BT2" s="5007"/>
      <c r="BU2" s="5008"/>
      <c r="BV2" s="5012">
        <v>45597</v>
      </c>
      <c r="BW2" s="5013"/>
      <c r="BX2" s="5013"/>
      <c r="BY2" s="5013"/>
      <c r="BZ2" s="5014"/>
      <c r="CA2" s="5018">
        <v>45627</v>
      </c>
      <c r="CB2" s="5019"/>
      <c r="CC2" s="5019"/>
      <c r="CD2" s="5019"/>
      <c r="CE2" s="5020"/>
      <c r="CF2" s="4874" t="s">
        <v>171</v>
      </c>
      <c r="CG2" s="4875"/>
      <c r="CH2" s="4875"/>
      <c r="CI2" s="4875"/>
      <c r="CJ2" s="4876"/>
      <c r="CK2" s="2151"/>
      <c r="CL2" s="2151"/>
      <c r="CM2" s="3205"/>
      <c r="CN2" s="2154"/>
      <c r="CO2" s="2154"/>
    </row>
    <row r="3" spans="1:93" ht="14.4" customHeight="1" thickBot="1">
      <c r="A3" s="4947" t="s">
        <v>54</v>
      </c>
      <c r="B3" s="4948"/>
      <c r="C3" s="4948"/>
      <c r="D3" s="4948"/>
      <c r="E3" s="4948"/>
      <c r="F3" s="4949"/>
      <c r="G3" s="3206"/>
      <c r="H3" s="4907"/>
      <c r="I3" s="4908"/>
      <c r="J3" s="4908"/>
      <c r="K3" s="4908"/>
      <c r="L3" s="4909"/>
      <c r="M3" s="4907"/>
      <c r="N3" s="4908"/>
      <c r="O3" s="4908"/>
      <c r="P3" s="4908"/>
      <c r="Q3" s="4909"/>
      <c r="R3" s="4907"/>
      <c r="S3" s="4908"/>
      <c r="T3" s="4908"/>
      <c r="U3" s="4908"/>
      <c r="V3" s="4909"/>
      <c r="W3" s="3206"/>
      <c r="X3" s="5009"/>
      <c r="Y3" s="5010"/>
      <c r="Z3" s="5010"/>
      <c r="AA3" s="5010"/>
      <c r="AB3" s="5011"/>
      <c r="AC3" s="5057"/>
      <c r="AD3" s="5058"/>
      <c r="AE3" s="5058"/>
      <c r="AF3" s="5058"/>
      <c r="AG3" s="5059"/>
      <c r="AH3" s="5039"/>
      <c r="AI3" s="5040"/>
      <c r="AJ3" s="5040"/>
      <c r="AK3" s="5040"/>
      <c r="AL3" s="5041"/>
      <c r="AM3" s="5045"/>
      <c r="AN3" s="5046"/>
      <c r="AO3" s="5046"/>
      <c r="AP3" s="5046"/>
      <c r="AQ3" s="5047"/>
      <c r="AR3" s="5051"/>
      <c r="AS3" s="5052"/>
      <c r="AT3" s="5052"/>
      <c r="AU3" s="5052"/>
      <c r="AV3" s="5053"/>
      <c r="AW3" s="5009"/>
      <c r="AX3" s="5010"/>
      <c r="AY3" s="5010"/>
      <c r="AZ3" s="5010"/>
      <c r="BA3" s="5011"/>
      <c r="BB3" s="5015"/>
      <c r="BC3" s="5016"/>
      <c r="BD3" s="5016"/>
      <c r="BE3" s="5016"/>
      <c r="BF3" s="5017"/>
      <c r="BG3" s="5027"/>
      <c r="BH3" s="5028"/>
      <c r="BI3" s="5028"/>
      <c r="BJ3" s="5028"/>
      <c r="BK3" s="5029"/>
      <c r="BL3" s="5033"/>
      <c r="BM3" s="5034"/>
      <c r="BN3" s="5034"/>
      <c r="BO3" s="5034"/>
      <c r="BP3" s="5035"/>
      <c r="BQ3" s="5009"/>
      <c r="BR3" s="5010"/>
      <c r="BS3" s="5010"/>
      <c r="BT3" s="5010"/>
      <c r="BU3" s="5011"/>
      <c r="BV3" s="5015"/>
      <c r="BW3" s="5016"/>
      <c r="BX3" s="5016"/>
      <c r="BY3" s="5016"/>
      <c r="BZ3" s="5017"/>
      <c r="CA3" s="5021"/>
      <c r="CB3" s="5022"/>
      <c r="CC3" s="5022"/>
      <c r="CD3" s="5022"/>
      <c r="CE3" s="5023"/>
      <c r="CF3" s="4877"/>
      <c r="CG3" s="4878"/>
      <c r="CH3" s="4878"/>
      <c r="CI3" s="4878"/>
      <c r="CJ3" s="4879"/>
      <c r="CK3" s="2151"/>
      <c r="CL3" s="2151"/>
      <c r="CM3" s="3205"/>
      <c r="CN3" s="2154"/>
      <c r="CO3" s="2154"/>
    </row>
    <row r="4" spans="1:93" ht="46.95" customHeight="1" thickBot="1">
      <c r="A4" s="2156"/>
      <c r="B4" s="2162" t="s">
        <v>11</v>
      </c>
      <c r="C4" s="2158" t="s">
        <v>55</v>
      </c>
      <c r="D4" s="2158" t="s">
        <v>18</v>
      </c>
      <c r="E4" s="2159" t="s">
        <v>39</v>
      </c>
      <c r="F4" s="2160" t="s">
        <v>40</v>
      </c>
      <c r="G4" s="2163"/>
      <c r="H4" s="2161" t="s">
        <v>55</v>
      </c>
      <c r="I4" s="2161" t="s">
        <v>18</v>
      </c>
      <c r="J4" s="2162" t="s">
        <v>39</v>
      </c>
      <c r="K4" s="2160" t="s">
        <v>40</v>
      </c>
      <c r="L4" s="2162" t="s">
        <v>19</v>
      </c>
      <c r="M4" s="1956" t="s">
        <v>55</v>
      </c>
      <c r="N4" s="1956" t="s">
        <v>18</v>
      </c>
      <c r="O4" s="1474" t="s">
        <v>39</v>
      </c>
      <c r="P4" s="1962" t="s">
        <v>40</v>
      </c>
      <c r="Q4" s="1474" t="s">
        <v>19</v>
      </c>
      <c r="R4" s="1956" t="s">
        <v>55</v>
      </c>
      <c r="S4" s="1956" t="s">
        <v>18</v>
      </c>
      <c r="T4" s="1474" t="s">
        <v>39</v>
      </c>
      <c r="U4" s="1962" t="s">
        <v>40</v>
      </c>
      <c r="V4" s="1474" t="s">
        <v>19</v>
      </c>
      <c r="W4" s="2163"/>
      <c r="X4" s="2161" t="s">
        <v>55</v>
      </c>
      <c r="Y4" s="2161" t="s">
        <v>18</v>
      </c>
      <c r="Z4" s="2162" t="s">
        <v>39</v>
      </c>
      <c r="AA4" s="2160" t="s">
        <v>40</v>
      </c>
      <c r="AB4" s="2162" t="s">
        <v>19</v>
      </c>
      <c r="AC4" s="2161" t="s">
        <v>55</v>
      </c>
      <c r="AD4" s="2161" t="s">
        <v>18</v>
      </c>
      <c r="AE4" s="2162" t="s">
        <v>39</v>
      </c>
      <c r="AF4" s="2160" t="s">
        <v>40</v>
      </c>
      <c r="AG4" s="2162" t="s">
        <v>19</v>
      </c>
      <c r="AH4" s="2161" t="s">
        <v>55</v>
      </c>
      <c r="AI4" s="2161" t="s">
        <v>18</v>
      </c>
      <c r="AJ4" s="2162" t="s">
        <v>39</v>
      </c>
      <c r="AK4" s="2160" t="s">
        <v>40</v>
      </c>
      <c r="AL4" s="2162" t="s">
        <v>19</v>
      </c>
      <c r="AM4" s="2161" t="s">
        <v>55</v>
      </c>
      <c r="AN4" s="2161" t="s">
        <v>18</v>
      </c>
      <c r="AO4" s="2162" t="s">
        <v>39</v>
      </c>
      <c r="AP4" s="2160" t="s">
        <v>40</v>
      </c>
      <c r="AQ4" s="2162" t="s">
        <v>19</v>
      </c>
      <c r="AR4" s="2161" t="s">
        <v>55</v>
      </c>
      <c r="AS4" s="2161" t="s">
        <v>18</v>
      </c>
      <c r="AT4" s="2162" t="s">
        <v>39</v>
      </c>
      <c r="AU4" s="2160" t="s">
        <v>40</v>
      </c>
      <c r="AV4" s="2162" t="s">
        <v>19</v>
      </c>
      <c r="AW4" s="2161" t="s">
        <v>55</v>
      </c>
      <c r="AX4" s="2161" t="s">
        <v>18</v>
      </c>
      <c r="AY4" s="2162" t="s">
        <v>39</v>
      </c>
      <c r="AZ4" s="2160" t="s">
        <v>40</v>
      </c>
      <c r="BA4" s="2162" t="s">
        <v>19</v>
      </c>
      <c r="BB4" s="2161" t="s">
        <v>55</v>
      </c>
      <c r="BC4" s="2161" t="s">
        <v>18</v>
      </c>
      <c r="BD4" s="2162" t="s">
        <v>39</v>
      </c>
      <c r="BE4" s="2160" t="s">
        <v>40</v>
      </c>
      <c r="BF4" s="2162" t="s">
        <v>19</v>
      </c>
      <c r="BG4" s="2161" t="s">
        <v>55</v>
      </c>
      <c r="BH4" s="2161" t="s">
        <v>18</v>
      </c>
      <c r="BI4" s="2162" t="s">
        <v>39</v>
      </c>
      <c r="BJ4" s="2160" t="s">
        <v>40</v>
      </c>
      <c r="BK4" s="2162" t="s">
        <v>19</v>
      </c>
      <c r="BL4" s="2161" t="s">
        <v>55</v>
      </c>
      <c r="BM4" s="2161" t="s">
        <v>18</v>
      </c>
      <c r="BN4" s="2162" t="s">
        <v>39</v>
      </c>
      <c r="BO4" s="2160" t="s">
        <v>40</v>
      </c>
      <c r="BP4" s="2162" t="s">
        <v>19</v>
      </c>
      <c r="BQ4" s="2161" t="s">
        <v>55</v>
      </c>
      <c r="BR4" s="2161" t="s">
        <v>18</v>
      </c>
      <c r="BS4" s="2162" t="s">
        <v>39</v>
      </c>
      <c r="BT4" s="2160" t="s">
        <v>40</v>
      </c>
      <c r="BU4" s="2162" t="s">
        <v>19</v>
      </c>
      <c r="BV4" s="2161" t="s">
        <v>55</v>
      </c>
      <c r="BW4" s="2161" t="s">
        <v>18</v>
      </c>
      <c r="BX4" s="2162" t="s">
        <v>39</v>
      </c>
      <c r="BY4" s="2160" t="s">
        <v>40</v>
      </c>
      <c r="BZ4" s="2162" t="s">
        <v>19</v>
      </c>
      <c r="CA4" s="2161" t="s">
        <v>55</v>
      </c>
      <c r="CB4" s="2161" t="s">
        <v>18</v>
      </c>
      <c r="CC4" s="2162" t="s">
        <v>39</v>
      </c>
      <c r="CD4" s="2160" t="s">
        <v>40</v>
      </c>
      <c r="CE4" s="2162" t="s">
        <v>19</v>
      </c>
      <c r="CF4" s="2161" t="s">
        <v>55</v>
      </c>
      <c r="CG4" s="2161" t="s">
        <v>18</v>
      </c>
      <c r="CH4" s="2162" t="s">
        <v>39</v>
      </c>
      <c r="CI4" s="2160" t="s">
        <v>40</v>
      </c>
      <c r="CJ4" s="2162" t="s">
        <v>19</v>
      </c>
      <c r="CK4" s="2151"/>
      <c r="CL4" s="2151"/>
      <c r="CM4" s="3207" t="s">
        <v>1807</v>
      </c>
      <c r="CN4" s="3207" t="s">
        <v>1808</v>
      </c>
      <c r="CO4" s="2154" t="s">
        <v>1819</v>
      </c>
    </row>
    <row r="5" spans="1:93" s="2466" customFormat="1" ht="24.6" customHeight="1" thickBot="1">
      <c r="A5" s="2166"/>
      <c r="B5" s="3208" t="s">
        <v>10</v>
      </c>
      <c r="C5" s="2168">
        <f>C6</f>
        <v>7836472.7325390894</v>
      </c>
      <c r="D5" s="2168">
        <f>D6</f>
        <v>0</v>
      </c>
      <c r="E5" s="2169">
        <f>E6</f>
        <v>7836472.7325390894</v>
      </c>
      <c r="F5" s="2170"/>
      <c r="G5" s="2171"/>
      <c r="H5" s="2169">
        <f>SUM(H6:H7)</f>
        <v>0</v>
      </c>
      <c r="I5" s="2170">
        <f t="shared" ref="I5:J5" si="0">SUM(I6:I7)</f>
        <v>0</v>
      </c>
      <c r="J5" s="2170">
        <f t="shared" si="0"/>
        <v>0</v>
      </c>
      <c r="K5" s="2170"/>
      <c r="L5" s="2170"/>
      <c r="M5" s="1955">
        <f>SUM(M6:M7)</f>
        <v>8182714.6999999993</v>
      </c>
      <c r="N5" s="1466">
        <f t="shared" ref="N5:O5" si="1">SUM(N6:N7)</f>
        <v>0</v>
      </c>
      <c r="O5" s="1466">
        <f t="shared" si="1"/>
        <v>8182714.6999999993</v>
      </c>
      <c r="P5" s="1466"/>
      <c r="Q5" s="1466"/>
      <c r="R5" s="1955">
        <f>SUM(R6:R7)</f>
        <v>0</v>
      </c>
      <c r="S5" s="1466">
        <f t="shared" ref="S5:T5" si="2">SUM(S6:S7)</f>
        <v>0</v>
      </c>
      <c r="T5" s="1466">
        <f t="shared" si="2"/>
        <v>0</v>
      </c>
      <c r="U5" s="1466"/>
      <c r="V5" s="1466"/>
      <c r="W5" s="2171"/>
      <c r="X5" s="2169">
        <f t="shared" ref="X5:Z5" si="3">SUM(X6:X7)</f>
        <v>0</v>
      </c>
      <c r="Y5" s="2170">
        <f t="shared" si="3"/>
        <v>0</v>
      </c>
      <c r="Z5" s="2170">
        <f t="shared" si="3"/>
        <v>0</v>
      </c>
      <c r="AA5" s="2170"/>
      <c r="AB5" s="2170"/>
      <c r="AC5" s="2169">
        <f t="shared" ref="AC5:AE5" si="4">SUM(AC6:AC7)</f>
        <v>0</v>
      </c>
      <c r="AD5" s="2170">
        <f t="shared" si="4"/>
        <v>0</v>
      </c>
      <c r="AE5" s="2170">
        <f t="shared" si="4"/>
        <v>0</v>
      </c>
      <c r="AF5" s="2170"/>
      <c r="AG5" s="2170"/>
      <c r="AH5" s="2169">
        <f t="shared" ref="AH5:AJ5" si="5">SUM(AH6:AH7)</f>
        <v>0</v>
      </c>
      <c r="AI5" s="2170">
        <f t="shared" si="5"/>
        <v>0</v>
      </c>
      <c r="AJ5" s="2170">
        <f t="shared" si="5"/>
        <v>0</v>
      </c>
      <c r="AK5" s="2170"/>
      <c r="AL5" s="2170"/>
      <c r="AM5" s="2169">
        <f t="shared" ref="AM5:AO5" si="6">SUM(AM6:AM7)</f>
        <v>0</v>
      </c>
      <c r="AN5" s="2170">
        <f t="shared" si="6"/>
        <v>0</v>
      </c>
      <c r="AO5" s="2170">
        <f t="shared" si="6"/>
        <v>0</v>
      </c>
      <c r="AP5" s="2170"/>
      <c r="AQ5" s="2170"/>
      <c r="AR5" s="2169">
        <f t="shared" ref="AR5:AT5" si="7">SUM(AR6:AR7)</f>
        <v>0</v>
      </c>
      <c r="AS5" s="2170">
        <f t="shared" si="7"/>
        <v>0</v>
      </c>
      <c r="AT5" s="2170">
        <f t="shared" si="7"/>
        <v>0</v>
      </c>
      <c r="AU5" s="2170"/>
      <c r="AV5" s="2170"/>
      <c r="AW5" s="2169">
        <f t="shared" ref="AW5:AY5" si="8">SUM(AW6:AW7)</f>
        <v>0</v>
      </c>
      <c r="AX5" s="2170">
        <f t="shared" si="8"/>
        <v>0</v>
      </c>
      <c r="AY5" s="2170">
        <f t="shared" si="8"/>
        <v>0</v>
      </c>
      <c r="AZ5" s="2170"/>
      <c r="BA5" s="2170"/>
      <c r="BB5" s="2169">
        <f t="shared" ref="BB5:BD5" si="9">SUM(BB6:BB7)</f>
        <v>0</v>
      </c>
      <c r="BC5" s="2170">
        <f t="shared" si="9"/>
        <v>0</v>
      </c>
      <c r="BD5" s="2170">
        <f t="shared" si="9"/>
        <v>0</v>
      </c>
      <c r="BE5" s="2170"/>
      <c r="BF5" s="2170"/>
      <c r="BG5" s="2169">
        <f t="shared" ref="BG5:BI5" si="10">SUM(BG6:BG7)</f>
        <v>0</v>
      </c>
      <c r="BH5" s="2170">
        <f t="shared" si="10"/>
        <v>0</v>
      </c>
      <c r="BI5" s="2170">
        <f t="shared" si="10"/>
        <v>0</v>
      </c>
      <c r="BJ5" s="2170"/>
      <c r="BK5" s="2170"/>
      <c r="BL5" s="2169">
        <f t="shared" ref="BL5:BN5" si="11">SUM(BL6:BL7)</f>
        <v>0</v>
      </c>
      <c r="BM5" s="2170">
        <f t="shared" si="11"/>
        <v>0</v>
      </c>
      <c r="BN5" s="2170">
        <f t="shared" si="11"/>
        <v>0</v>
      </c>
      <c r="BO5" s="2170"/>
      <c r="BP5" s="2170"/>
      <c r="BQ5" s="2169">
        <f t="shared" ref="BQ5:BS5" si="12">SUM(BQ6:BQ7)</f>
        <v>0</v>
      </c>
      <c r="BR5" s="2170">
        <f t="shared" si="12"/>
        <v>0</v>
      </c>
      <c r="BS5" s="2170">
        <f t="shared" si="12"/>
        <v>0</v>
      </c>
      <c r="BT5" s="2170"/>
      <c r="BU5" s="2170"/>
      <c r="BV5" s="2169">
        <f t="shared" ref="BV5:BX5" si="13">SUM(BV6:BV7)</f>
        <v>0</v>
      </c>
      <c r="BW5" s="2170">
        <f t="shared" si="13"/>
        <v>0</v>
      </c>
      <c r="BX5" s="2170">
        <f t="shared" si="13"/>
        <v>0</v>
      </c>
      <c r="BY5" s="2170"/>
      <c r="BZ5" s="2170"/>
      <c r="CA5" s="2169">
        <f t="shared" ref="CA5:CC5" si="14">SUM(CA6:CA7)</f>
        <v>0</v>
      </c>
      <c r="CB5" s="2170">
        <f t="shared" si="14"/>
        <v>0</v>
      </c>
      <c r="CC5" s="2170">
        <f t="shared" si="14"/>
        <v>0</v>
      </c>
      <c r="CD5" s="2170"/>
      <c r="CE5" s="2170"/>
      <c r="CF5" s="2169">
        <f>CF6+CF7</f>
        <v>8182714.6999999993</v>
      </c>
      <c r="CG5" s="2170">
        <f>CG6+CG7</f>
        <v>0</v>
      </c>
      <c r="CH5" s="2170">
        <f>CH6+CH7</f>
        <v>8182714.6999999993</v>
      </c>
      <c r="CI5" s="2170"/>
      <c r="CJ5" s="2170"/>
      <c r="CK5" s="3209">
        <v>8069680.0899999999</v>
      </c>
      <c r="CL5" s="3209">
        <f>CK5-CH5</f>
        <v>-113034.6099999994</v>
      </c>
      <c r="CM5" s="3209">
        <v>-13200</v>
      </c>
      <c r="CN5" s="3209">
        <v>-5664</v>
      </c>
      <c r="CO5" s="3209">
        <f>CL5+CM5+CN5</f>
        <v>-131898.6099999994</v>
      </c>
    </row>
    <row r="6" spans="1:93" s="1396" customFormat="1" ht="24.6" customHeight="1" outlineLevel="1">
      <c r="A6" s="2193"/>
      <c r="B6" s="2214" t="s">
        <v>17</v>
      </c>
      <c r="C6" s="2178">
        <v>7836472.7325390894</v>
      </c>
      <c r="D6" s="2179"/>
      <c r="E6" s="2180">
        <f>C6+D6</f>
        <v>7836472.7325390894</v>
      </c>
      <c r="F6" s="2181"/>
      <c r="G6" s="2183"/>
      <c r="H6" s="2184">
        <v>0</v>
      </c>
      <c r="I6" s="2184">
        <v>0</v>
      </c>
      <c r="J6" s="2180">
        <f>H6+I6</f>
        <v>0</v>
      </c>
      <c r="K6" s="2181"/>
      <c r="L6" s="2181"/>
      <c r="M6" s="2051">
        <v>8155141.5299999993</v>
      </c>
      <c r="N6" s="2051">
        <v>0</v>
      </c>
      <c r="O6" s="2012">
        <f>M6+N6</f>
        <v>8155141.5299999993</v>
      </c>
      <c r="P6" s="2043"/>
      <c r="Q6" s="2046"/>
      <c r="R6" s="2051">
        <f>X6+AC6+AH6+AM6+AR6+AW6+BB6+BG6+BL6+BQ6+BV6+CA6</f>
        <v>0</v>
      </c>
      <c r="S6" s="2051">
        <f>Y6+AD6+AI6+AN6+AS6+AX6+BC6+BH6+BM6+BR6+BW6+CB6</f>
        <v>0</v>
      </c>
      <c r="T6" s="2012">
        <f>R6+S6</f>
        <v>0</v>
      </c>
      <c r="U6" s="2043"/>
      <c r="V6" s="2046"/>
      <c r="W6" s="2183"/>
      <c r="X6" s="2184"/>
      <c r="Y6" s="2181"/>
      <c r="Z6" s="2180">
        <f>X6+Y6</f>
        <v>0</v>
      </c>
      <c r="AA6" s="2181"/>
      <c r="AB6" s="2187"/>
      <c r="AC6" s="2184"/>
      <c r="AD6" s="2181"/>
      <c r="AE6" s="2180">
        <f>AC6+AD6</f>
        <v>0</v>
      </c>
      <c r="AF6" s="2181"/>
      <c r="AG6" s="2187"/>
      <c r="AH6" s="2184"/>
      <c r="AI6" s="2181"/>
      <c r="AJ6" s="2180">
        <f t="shared" ref="AJ6:AJ7" si="15">AH6+AI6</f>
        <v>0</v>
      </c>
      <c r="AK6" s="2181"/>
      <c r="AL6" s="2187"/>
      <c r="AM6" s="2184"/>
      <c r="AN6" s="2181"/>
      <c r="AO6" s="2180">
        <f t="shared" ref="AO6:AO7" si="16">AM6+AN6</f>
        <v>0</v>
      </c>
      <c r="AP6" s="2181"/>
      <c r="AQ6" s="2187"/>
      <c r="AR6" s="2184"/>
      <c r="AS6" s="2181"/>
      <c r="AT6" s="2180">
        <f t="shared" ref="AT6:AT7" si="17">AR6+AS6</f>
        <v>0</v>
      </c>
      <c r="AU6" s="2181"/>
      <c r="AV6" s="2187"/>
      <c r="AW6" s="2184"/>
      <c r="AX6" s="2181"/>
      <c r="AY6" s="2180">
        <f t="shared" ref="AY6:AY7" si="18">AW6+AX6</f>
        <v>0</v>
      </c>
      <c r="AZ6" s="2181"/>
      <c r="BA6" s="2187"/>
      <c r="BB6" s="2184"/>
      <c r="BC6" s="2181"/>
      <c r="BD6" s="2180">
        <f t="shared" ref="BD6:BD7" si="19">BB6+BC6</f>
        <v>0</v>
      </c>
      <c r="BE6" s="2181"/>
      <c r="BF6" s="2187"/>
      <c r="BG6" s="2184"/>
      <c r="BH6" s="2181"/>
      <c r="BI6" s="2180">
        <f t="shared" ref="BI6:BI7" si="20">BG6+BH6</f>
        <v>0</v>
      </c>
      <c r="BJ6" s="2181"/>
      <c r="BK6" s="2187"/>
      <c r="BL6" s="2184"/>
      <c r="BM6" s="2181"/>
      <c r="BN6" s="2180">
        <f t="shared" ref="BN6:BN7" si="21">BL6+BM6</f>
        <v>0</v>
      </c>
      <c r="BO6" s="2181"/>
      <c r="BP6" s="2187"/>
      <c r="BQ6" s="2184"/>
      <c r="BR6" s="2181"/>
      <c r="BS6" s="2180">
        <f t="shared" ref="BS6:BS7" si="22">BQ6+BR6</f>
        <v>0</v>
      </c>
      <c r="BT6" s="2181"/>
      <c r="BU6" s="2187"/>
      <c r="BV6" s="2184"/>
      <c r="BW6" s="2181"/>
      <c r="BX6" s="2180">
        <f t="shared" ref="BX6:BX7" si="23">BV6+BW6</f>
        <v>0</v>
      </c>
      <c r="BY6" s="2181"/>
      <c r="BZ6" s="2187"/>
      <c r="CA6" s="2184"/>
      <c r="CB6" s="2181"/>
      <c r="CC6" s="2180">
        <f t="shared" ref="CC6:CC7" si="24">CA6+CB6</f>
        <v>0</v>
      </c>
      <c r="CD6" s="2181"/>
      <c r="CE6" s="2187"/>
      <c r="CF6" s="2184">
        <f>H6+M6+R6</f>
        <v>8155141.5299999993</v>
      </c>
      <c r="CG6" s="2184">
        <f>I6+N6+S6</f>
        <v>0</v>
      </c>
      <c r="CH6" s="2180">
        <f>CF6+CG6</f>
        <v>8155141.5299999993</v>
      </c>
      <c r="CI6" s="2181"/>
      <c r="CJ6" s="2181"/>
      <c r="CK6" s="3210">
        <v>8023242.9199999999</v>
      </c>
      <c r="CL6" s="3210">
        <f t="shared" ref="CL6:CL7" si="25">CK6-CH6</f>
        <v>-131898.6099999994</v>
      </c>
      <c r="CM6" s="3211"/>
      <c r="CN6" s="2192"/>
      <c r="CO6" s="2192"/>
    </row>
    <row r="7" spans="1:93" s="1396" customFormat="1" ht="24.6" customHeight="1" outlineLevel="1" collapsed="1" thickBot="1">
      <c r="A7" s="2193"/>
      <c r="B7" s="3888" t="s">
        <v>41</v>
      </c>
      <c r="C7" s="3889"/>
      <c r="D7" s="3890">
        <v>5000</v>
      </c>
      <c r="E7" s="2180">
        <f>C7+D7</f>
        <v>5000</v>
      </c>
      <c r="F7" s="3891"/>
      <c r="G7" s="2188"/>
      <c r="H7" s="2184">
        <v>0</v>
      </c>
      <c r="I7" s="2184">
        <v>0</v>
      </c>
      <c r="J7" s="2180">
        <f>H7+I7</f>
        <v>0</v>
      </c>
      <c r="K7" s="3891"/>
      <c r="L7" s="3892"/>
      <c r="M7" s="2051">
        <v>27573.17</v>
      </c>
      <c r="N7" s="2043">
        <v>0</v>
      </c>
      <c r="O7" s="2012">
        <f>M7+N7</f>
        <v>27573.17</v>
      </c>
      <c r="P7" s="3813"/>
      <c r="Q7" s="3814"/>
      <c r="R7" s="2051">
        <f>X7+AC7+AH7+AM7+AR7+AW7+BB7+BG7+BL7+BQ7+BV7+CA7</f>
        <v>0</v>
      </c>
      <c r="S7" s="2043">
        <f>Y7+AD7+AI7+AN7+AS7+AX7+BC7+BH7+BM7+BR7+BW7+CB7</f>
        <v>0</v>
      </c>
      <c r="T7" s="2012">
        <f>R7+S7</f>
        <v>0</v>
      </c>
      <c r="U7" s="3813"/>
      <c r="V7" s="3814"/>
      <c r="W7" s="2188"/>
      <c r="X7" s="2184"/>
      <c r="Y7" s="2181"/>
      <c r="Z7" s="2180">
        <f>X7+Y7</f>
        <v>0</v>
      </c>
      <c r="AA7" s="3891"/>
      <c r="AB7" s="3892"/>
      <c r="AC7" s="2184"/>
      <c r="AD7" s="2181"/>
      <c r="AE7" s="2180">
        <f>AC7+AD7</f>
        <v>0</v>
      </c>
      <c r="AF7" s="3891"/>
      <c r="AG7" s="3892"/>
      <c r="AH7" s="2184"/>
      <c r="AI7" s="2181"/>
      <c r="AJ7" s="2180">
        <f t="shared" si="15"/>
        <v>0</v>
      </c>
      <c r="AK7" s="3891"/>
      <c r="AL7" s="3892"/>
      <c r="AM7" s="2184"/>
      <c r="AN7" s="2181"/>
      <c r="AO7" s="2180">
        <f t="shared" si="16"/>
        <v>0</v>
      </c>
      <c r="AP7" s="3891"/>
      <c r="AQ7" s="3892"/>
      <c r="AR7" s="2184"/>
      <c r="AS7" s="2181"/>
      <c r="AT7" s="2180">
        <f t="shared" si="17"/>
        <v>0</v>
      </c>
      <c r="AU7" s="3891"/>
      <c r="AV7" s="3892"/>
      <c r="AW7" s="2184"/>
      <c r="AX7" s="2181"/>
      <c r="AY7" s="2180">
        <f t="shared" si="18"/>
        <v>0</v>
      </c>
      <c r="AZ7" s="3891"/>
      <c r="BA7" s="3892"/>
      <c r="BB7" s="2184"/>
      <c r="BC7" s="2181"/>
      <c r="BD7" s="2180">
        <f t="shared" si="19"/>
        <v>0</v>
      </c>
      <c r="BE7" s="3891"/>
      <c r="BF7" s="3892"/>
      <c r="BG7" s="2184"/>
      <c r="BH7" s="2181"/>
      <c r="BI7" s="2180">
        <f t="shared" si="20"/>
        <v>0</v>
      </c>
      <c r="BJ7" s="3891"/>
      <c r="BK7" s="3892"/>
      <c r="BL7" s="2184"/>
      <c r="BM7" s="2181"/>
      <c r="BN7" s="2180">
        <f t="shared" si="21"/>
        <v>0</v>
      </c>
      <c r="BO7" s="3891"/>
      <c r="BP7" s="3892"/>
      <c r="BQ7" s="2184"/>
      <c r="BR7" s="2181"/>
      <c r="BS7" s="2180">
        <f t="shared" si="22"/>
        <v>0</v>
      </c>
      <c r="BT7" s="3891"/>
      <c r="BU7" s="3892"/>
      <c r="BV7" s="2184"/>
      <c r="BW7" s="2181"/>
      <c r="BX7" s="2180">
        <f t="shared" si="23"/>
        <v>0</v>
      </c>
      <c r="BY7" s="3891"/>
      <c r="BZ7" s="3892"/>
      <c r="CA7" s="2184"/>
      <c r="CB7" s="2181"/>
      <c r="CC7" s="2180">
        <f t="shared" si="24"/>
        <v>0</v>
      </c>
      <c r="CD7" s="3891"/>
      <c r="CE7" s="3892"/>
      <c r="CF7" s="2184">
        <f>H7+M7+R7</f>
        <v>27573.17</v>
      </c>
      <c r="CG7" s="2184">
        <f>I7+N7+S7</f>
        <v>0</v>
      </c>
      <c r="CH7" s="2180">
        <f>CF7+CG7</f>
        <v>27573.17</v>
      </c>
      <c r="CI7" s="3891"/>
      <c r="CJ7" s="3891"/>
      <c r="CK7" s="3210">
        <v>46437.17</v>
      </c>
      <c r="CL7" s="3210">
        <f t="shared" si="25"/>
        <v>18864</v>
      </c>
      <c r="CM7" s="3213">
        <f>CM5</f>
        <v>-13200</v>
      </c>
      <c r="CN7" s="3213">
        <f>CN5</f>
        <v>-5664</v>
      </c>
      <c r="CO7" s="2192">
        <f>CL7+CM7+CN7</f>
        <v>0</v>
      </c>
    </row>
    <row r="8" spans="1:93" s="2466" customFormat="1" ht="24.6" customHeight="1" thickBot="1">
      <c r="A8" s="2193"/>
      <c r="B8" s="3208" t="s">
        <v>16</v>
      </c>
      <c r="C8" s="2201">
        <f>SUM(C9:C33)</f>
        <v>4616719.3329824675</v>
      </c>
      <c r="D8" s="2201">
        <f>SUM(D9:D33)</f>
        <v>881244.17249999999</v>
      </c>
      <c r="E8" s="2202">
        <f>SUM(E9:E33)</f>
        <v>5497963.5054824678</v>
      </c>
      <c r="F8" s="1528">
        <f t="shared" ref="F8:F33" si="26">E8/$E$89</f>
        <v>0.92529130522728587</v>
      </c>
      <c r="G8" s="1576"/>
      <c r="H8" s="2201">
        <f>SUM(H9:H33)</f>
        <v>170658.34</v>
      </c>
      <c r="I8" s="2201">
        <f>SUM(I9:I33)</f>
        <v>71344</v>
      </c>
      <c r="J8" s="2202">
        <f>SUM(J9:J33)</f>
        <v>242002.34</v>
      </c>
      <c r="K8" s="1528">
        <f>J8/J$89</f>
        <v>0.70372230897664434</v>
      </c>
      <c r="L8" s="3214"/>
      <c r="M8" s="1957">
        <f>SUM(M9:M33)</f>
        <v>5726346.8160000006</v>
      </c>
      <c r="N8" s="1957">
        <f>SUM(N9:N33)</f>
        <v>1103926.17</v>
      </c>
      <c r="O8" s="1484">
        <f>SUM(O9:O33)</f>
        <v>6830272.9860000005</v>
      </c>
      <c r="P8" s="1528">
        <f>O8/O$89</f>
        <v>0.9340456673127896</v>
      </c>
      <c r="Q8" s="1600"/>
      <c r="R8" s="1957">
        <f>SUM(R9:R33)</f>
        <v>546624.06600000011</v>
      </c>
      <c r="S8" s="1957">
        <f>SUM(S9:S33)</f>
        <v>0</v>
      </c>
      <c r="T8" s="1484">
        <f>SUM(T9:T33)</f>
        <v>546624.06600000011</v>
      </c>
      <c r="U8" s="1528">
        <f>T8/T$89</f>
        <v>1</v>
      </c>
      <c r="V8" s="1600"/>
      <c r="W8" s="1576"/>
      <c r="X8" s="2201">
        <f>SUM(X9:X33)</f>
        <v>0</v>
      </c>
      <c r="Y8" s="2201">
        <f>SUM(Y9:Y33)</f>
        <v>0</v>
      </c>
      <c r="Z8" s="2202">
        <f>SUM(Z9:Z33)</f>
        <v>0</v>
      </c>
      <c r="AA8" s="1528" t="e">
        <f t="shared" ref="AA8:AA33" si="27">Z8/Z$89</f>
        <v>#DIV/0!</v>
      </c>
      <c r="AB8" s="3214"/>
      <c r="AC8" s="2201">
        <f>SUM(AC9:AC33)</f>
        <v>0</v>
      </c>
      <c r="AD8" s="2201">
        <f>SUM(AD9:AD33)</f>
        <v>0</v>
      </c>
      <c r="AE8" s="2202">
        <f>SUM(AE9:AE33)</f>
        <v>0</v>
      </c>
      <c r="AF8" s="1528" t="e">
        <f t="shared" ref="AF8:AF33" si="28">AE8/AE$89</f>
        <v>#DIV/0!</v>
      </c>
      <c r="AG8" s="3214"/>
      <c r="AH8" s="2201">
        <f t="shared" ref="AH8:AJ8" si="29">SUM(AH9:AH33)</f>
        <v>546624.06600000011</v>
      </c>
      <c r="AI8" s="2201">
        <f t="shared" si="29"/>
        <v>0</v>
      </c>
      <c r="AJ8" s="2202">
        <f t="shared" si="29"/>
        <v>546624.06600000011</v>
      </c>
      <c r="AK8" s="1528">
        <f t="shared" ref="AK8:AZ23" si="30">AJ8/AJ$89</f>
        <v>1</v>
      </c>
      <c r="AL8" s="3214"/>
      <c r="AM8" s="2201">
        <f t="shared" ref="AM8:AO8" si="31">SUM(AM9:AM33)</f>
        <v>0</v>
      </c>
      <c r="AN8" s="2201">
        <f t="shared" si="31"/>
        <v>0</v>
      </c>
      <c r="AO8" s="2202">
        <f t="shared" si="31"/>
        <v>0</v>
      </c>
      <c r="AP8" s="1528" t="e">
        <f t="shared" si="30"/>
        <v>#DIV/0!</v>
      </c>
      <c r="AQ8" s="3214"/>
      <c r="AR8" s="2201">
        <f t="shared" ref="AR8:AT8" si="32">SUM(AR9:AR33)</f>
        <v>0</v>
      </c>
      <c r="AS8" s="2201">
        <f t="shared" si="32"/>
        <v>0</v>
      </c>
      <c r="AT8" s="2202">
        <f t="shared" si="32"/>
        <v>0</v>
      </c>
      <c r="AU8" s="1528" t="e">
        <f t="shared" si="30"/>
        <v>#DIV/0!</v>
      </c>
      <c r="AV8" s="3214"/>
      <c r="AW8" s="2201">
        <f t="shared" ref="AW8:AY8" si="33">SUM(AW9:AW33)</f>
        <v>0</v>
      </c>
      <c r="AX8" s="2201">
        <f t="shared" si="33"/>
        <v>0</v>
      </c>
      <c r="AY8" s="2202">
        <f t="shared" si="33"/>
        <v>0</v>
      </c>
      <c r="AZ8" s="1528" t="e">
        <f t="shared" si="30"/>
        <v>#DIV/0!</v>
      </c>
      <c r="BA8" s="3214"/>
      <c r="BB8" s="2201">
        <f t="shared" ref="BB8:BD8" si="34">SUM(BB9:BB33)</f>
        <v>0</v>
      </c>
      <c r="BC8" s="2201">
        <f t="shared" si="34"/>
        <v>0</v>
      </c>
      <c r="BD8" s="2202">
        <f t="shared" si="34"/>
        <v>0</v>
      </c>
      <c r="BE8" s="1528" t="e">
        <f t="shared" ref="BE8:BT23" si="35">BD8/BD$89</f>
        <v>#DIV/0!</v>
      </c>
      <c r="BF8" s="3214"/>
      <c r="BG8" s="2201">
        <f t="shared" ref="BG8:BI8" si="36">SUM(BG9:BG33)</f>
        <v>0</v>
      </c>
      <c r="BH8" s="2201">
        <f t="shared" si="36"/>
        <v>0</v>
      </c>
      <c r="BI8" s="2202">
        <f t="shared" si="36"/>
        <v>0</v>
      </c>
      <c r="BJ8" s="1528" t="e">
        <f t="shared" si="35"/>
        <v>#DIV/0!</v>
      </c>
      <c r="BK8" s="3214"/>
      <c r="BL8" s="2201">
        <f t="shared" ref="BL8:BN8" si="37">SUM(BL9:BL33)</f>
        <v>0</v>
      </c>
      <c r="BM8" s="2201">
        <f t="shared" si="37"/>
        <v>0</v>
      </c>
      <c r="BN8" s="2202">
        <f t="shared" si="37"/>
        <v>0</v>
      </c>
      <c r="BO8" s="1528" t="e">
        <f t="shared" si="35"/>
        <v>#DIV/0!</v>
      </c>
      <c r="BP8" s="3214"/>
      <c r="BQ8" s="2201">
        <f t="shared" ref="BQ8:BS8" si="38">SUM(BQ9:BQ33)</f>
        <v>0</v>
      </c>
      <c r="BR8" s="2201">
        <f t="shared" si="38"/>
        <v>0</v>
      </c>
      <c r="BS8" s="2202">
        <f t="shared" si="38"/>
        <v>0</v>
      </c>
      <c r="BT8" s="1528" t="e">
        <f t="shared" si="35"/>
        <v>#DIV/0!</v>
      </c>
      <c r="BU8" s="3214"/>
      <c r="BV8" s="2201">
        <f t="shared" ref="BV8:BX8" si="39">SUM(BV9:BV33)</f>
        <v>0</v>
      </c>
      <c r="BW8" s="2201">
        <f t="shared" si="39"/>
        <v>0</v>
      </c>
      <c r="BX8" s="2202">
        <f t="shared" si="39"/>
        <v>0</v>
      </c>
      <c r="BY8" s="1528" t="e">
        <f t="shared" ref="BY8:CD23" si="40">BX8/BX$89</f>
        <v>#DIV/0!</v>
      </c>
      <c r="BZ8" s="3214"/>
      <c r="CA8" s="2201">
        <f t="shared" ref="CA8:CC8" si="41">SUM(CA9:CA33)</f>
        <v>0</v>
      </c>
      <c r="CB8" s="2201">
        <f t="shared" si="41"/>
        <v>0</v>
      </c>
      <c r="CC8" s="2202">
        <f t="shared" si="41"/>
        <v>0</v>
      </c>
      <c r="CD8" s="1528" t="e">
        <f t="shared" si="40"/>
        <v>#DIV/0!</v>
      </c>
      <c r="CE8" s="3214"/>
      <c r="CF8" s="2201">
        <f>SUM(CF9:CF33)</f>
        <v>6443629.2220000001</v>
      </c>
      <c r="CG8" s="2201">
        <f>SUM(CG9:CG33)</f>
        <v>1175270.17</v>
      </c>
      <c r="CH8" s="2202">
        <f>SUM(CH9:CH33)</f>
        <v>7618899.392</v>
      </c>
      <c r="CI8" s="1528">
        <f t="shared" ref="CI8:CI33" si="42">CH8/$CH$89</f>
        <v>0.92878503002364743</v>
      </c>
      <c r="CJ8" s="2170"/>
      <c r="CK8" s="3209"/>
      <c r="CL8" s="3209"/>
      <c r="CM8" s="3215"/>
      <c r="CN8" s="2175"/>
      <c r="CO8" s="2175"/>
    </row>
    <row r="9" spans="1:93" s="1396" customFormat="1" ht="24.6" customHeight="1">
      <c r="A9" s="2193"/>
      <c r="B9" s="2214" t="s">
        <v>74</v>
      </c>
      <c r="C9" s="2215"/>
      <c r="D9" s="2216"/>
      <c r="E9" s="2180">
        <f t="shared" ref="E9:E33" si="43">C9+D9</f>
        <v>0</v>
      </c>
      <c r="F9" s="1976">
        <f t="shared" si="26"/>
        <v>0</v>
      </c>
      <c r="G9" s="2541"/>
      <c r="H9" s="2184">
        <v>11169.880000000001</v>
      </c>
      <c r="I9" s="2181">
        <v>0</v>
      </c>
      <c r="J9" s="2212">
        <f>H9+I9*1</f>
        <v>11169.880000000001</v>
      </c>
      <c r="K9" s="3350">
        <f t="shared" ref="K9:K36" si="44">J9/J$89</f>
        <v>3.2481065036776259E-2</v>
      </c>
      <c r="L9" s="1434"/>
      <c r="M9" s="2051">
        <v>159961.56</v>
      </c>
      <c r="N9" s="2043">
        <v>0</v>
      </c>
      <c r="O9" s="2045">
        <f>M9+N9*1</f>
        <v>159961.56</v>
      </c>
      <c r="P9" s="3350">
        <f t="shared" ref="P9:P33" si="45">O9/O$89</f>
        <v>2.1874880017364335E-2</v>
      </c>
      <c r="Q9" s="1434"/>
      <c r="R9" s="2051">
        <f t="shared" ref="R9:S33" si="46">X9+AC9+AH9+AM9+AR9+AW9+BB9+BG9+BL9+BQ9+BV9+CA9</f>
        <v>0</v>
      </c>
      <c r="S9" s="2043">
        <f t="shared" si="46"/>
        <v>0</v>
      </c>
      <c r="T9" s="2045">
        <f>R9+S9*1</f>
        <v>0</v>
      </c>
      <c r="U9" s="3350">
        <f t="shared" ref="U9:U33" si="47">T9/T$89</f>
        <v>0</v>
      </c>
      <c r="V9" s="1434"/>
      <c r="W9" s="2541"/>
      <c r="X9" s="2184"/>
      <c r="Y9" s="2181"/>
      <c r="Z9" s="2212">
        <f>X9+Y9*1</f>
        <v>0</v>
      </c>
      <c r="AA9" s="3350" t="e">
        <f t="shared" si="27"/>
        <v>#DIV/0!</v>
      </c>
      <c r="AB9" s="1361"/>
      <c r="AC9" s="2184"/>
      <c r="AD9" s="2181"/>
      <c r="AE9" s="2212">
        <f>AC9+AD9*1</f>
        <v>0</v>
      </c>
      <c r="AF9" s="3350" t="e">
        <f t="shared" si="28"/>
        <v>#DIV/0!</v>
      </c>
      <c r="AG9" s="1361"/>
      <c r="AH9" s="2184"/>
      <c r="AI9" s="2181"/>
      <c r="AJ9" s="2212">
        <f t="shared" ref="AJ9:AJ33" si="48">AH9+AI9*1</f>
        <v>0</v>
      </c>
      <c r="AK9" s="3350">
        <f t="shared" si="30"/>
        <v>0</v>
      </c>
      <c r="AL9" s="1361"/>
      <c r="AM9" s="2184"/>
      <c r="AN9" s="2181"/>
      <c r="AO9" s="2212">
        <f t="shared" ref="AO9:AO33" si="49">AM9+AN9*1</f>
        <v>0</v>
      </c>
      <c r="AP9" s="3350" t="e">
        <f t="shared" si="30"/>
        <v>#DIV/0!</v>
      </c>
      <c r="AQ9" s="1361"/>
      <c r="AR9" s="2184"/>
      <c r="AS9" s="2181"/>
      <c r="AT9" s="2212">
        <f t="shared" ref="AT9:AT33" si="50">AR9+AS9*1</f>
        <v>0</v>
      </c>
      <c r="AU9" s="3350" t="e">
        <f t="shared" si="30"/>
        <v>#DIV/0!</v>
      </c>
      <c r="AV9" s="1361"/>
      <c r="AW9" s="2184"/>
      <c r="AX9" s="2181"/>
      <c r="AY9" s="2212">
        <f t="shared" ref="AY9:AY33" si="51">AW9+AX9*1</f>
        <v>0</v>
      </c>
      <c r="AZ9" s="3350" t="e">
        <f t="shared" si="30"/>
        <v>#DIV/0!</v>
      </c>
      <c r="BA9" s="1361"/>
      <c r="BB9" s="2184"/>
      <c r="BC9" s="2181"/>
      <c r="BD9" s="2212">
        <f t="shared" ref="BD9:BD33" si="52">BB9+BC9*1</f>
        <v>0</v>
      </c>
      <c r="BE9" s="3350" t="e">
        <f t="shared" si="35"/>
        <v>#DIV/0!</v>
      </c>
      <c r="BF9" s="1361"/>
      <c r="BG9" s="2184"/>
      <c r="BH9" s="2181"/>
      <c r="BI9" s="2212">
        <f t="shared" ref="BI9:BI33" si="53">BG9+BH9*1</f>
        <v>0</v>
      </c>
      <c r="BJ9" s="3350" t="e">
        <f t="shared" si="35"/>
        <v>#DIV/0!</v>
      </c>
      <c r="BK9" s="1361"/>
      <c r="BL9" s="2184"/>
      <c r="BM9" s="2181"/>
      <c r="BN9" s="2212">
        <f t="shared" ref="BN9:BN33" si="54">BL9+BM9*1</f>
        <v>0</v>
      </c>
      <c r="BO9" s="3350" t="e">
        <f t="shared" si="35"/>
        <v>#DIV/0!</v>
      </c>
      <c r="BP9" s="1361"/>
      <c r="BQ9" s="2184"/>
      <c r="BR9" s="2181"/>
      <c r="BS9" s="2212">
        <f t="shared" ref="BS9:BS33" si="55">BQ9+BR9*1</f>
        <v>0</v>
      </c>
      <c r="BT9" s="3350" t="e">
        <f t="shared" si="35"/>
        <v>#DIV/0!</v>
      </c>
      <c r="BU9" s="1361"/>
      <c r="BV9" s="2184"/>
      <c r="BW9" s="2181"/>
      <c r="BX9" s="2212">
        <f t="shared" ref="BX9:BX33" si="56">BV9+BW9*1</f>
        <v>0</v>
      </c>
      <c r="BY9" s="3350" t="e">
        <f t="shared" si="40"/>
        <v>#DIV/0!</v>
      </c>
      <c r="BZ9" s="1361"/>
      <c r="CA9" s="2184"/>
      <c r="CB9" s="2181"/>
      <c r="CC9" s="2212">
        <f t="shared" ref="CC9:CC33" si="57">CA9+CB9*1</f>
        <v>0</v>
      </c>
      <c r="CD9" s="3350" t="e">
        <f t="shared" si="40"/>
        <v>#DIV/0!</v>
      </c>
      <c r="CE9" s="1361"/>
      <c r="CF9" s="2184">
        <f t="shared" ref="CF9:CG33" si="58">H9+M9+R9</f>
        <v>171131.44</v>
      </c>
      <c r="CG9" s="2181">
        <f t="shared" si="58"/>
        <v>0</v>
      </c>
      <c r="CH9" s="2212">
        <f t="shared" ref="CH9:CH33" si="59">CF9+CG9*1</f>
        <v>171131.44</v>
      </c>
      <c r="CI9" s="3350">
        <f t="shared" si="42"/>
        <v>2.0861847815615574E-2</v>
      </c>
      <c r="CJ9" s="1434"/>
      <c r="CK9" s="3210">
        <v>171131.44</v>
      </c>
      <c r="CL9" s="3210">
        <f t="shared" ref="CL9:CL14" si="60">CH9-CK9</f>
        <v>0</v>
      </c>
      <c r="CM9" s="3211"/>
      <c r="CN9" s="2192"/>
      <c r="CO9" s="2192"/>
    </row>
    <row r="10" spans="1:93" s="1396" customFormat="1" ht="24.6" customHeight="1">
      <c r="A10" s="2193"/>
      <c r="B10" s="2214" t="s">
        <v>72</v>
      </c>
      <c r="C10" s="2215"/>
      <c r="D10" s="2216"/>
      <c r="E10" s="2180">
        <f t="shared" si="43"/>
        <v>0</v>
      </c>
      <c r="F10" s="1976">
        <f t="shared" si="26"/>
        <v>0</v>
      </c>
      <c r="G10" s="2541"/>
      <c r="H10" s="2184">
        <v>2859.88</v>
      </c>
      <c r="I10" s="2181">
        <v>0</v>
      </c>
      <c r="J10" s="2212">
        <f t="shared" ref="J10:J33" si="61">H10+I10*1</f>
        <v>2859.88</v>
      </c>
      <c r="K10" s="3350">
        <f t="shared" si="44"/>
        <v>8.3162888300837325E-3</v>
      </c>
      <c r="L10" s="1615"/>
      <c r="M10" s="2051">
        <v>38748.46</v>
      </c>
      <c r="N10" s="2043">
        <v>0</v>
      </c>
      <c r="O10" s="2045">
        <f t="shared" ref="O10:O33" si="62">M10+N10*1</f>
        <v>38748.46</v>
      </c>
      <c r="P10" s="3350">
        <f t="shared" si="45"/>
        <v>5.2988850156102576E-3</v>
      </c>
      <c r="Q10" s="1615"/>
      <c r="R10" s="2051">
        <f t="shared" si="46"/>
        <v>0</v>
      </c>
      <c r="S10" s="2043">
        <f t="shared" si="46"/>
        <v>0</v>
      </c>
      <c r="T10" s="2045">
        <f t="shared" ref="T10:T33" si="63">R10+S10*1</f>
        <v>0</v>
      </c>
      <c r="U10" s="3350">
        <f t="shared" si="47"/>
        <v>0</v>
      </c>
      <c r="V10" s="1615"/>
      <c r="W10" s="2541"/>
      <c r="X10" s="2184"/>
      <c r="Y10" s="2181"/>
      <c r="Z10" s="2212">
        <f t="shared" ref="Z10:Z33" si="64">X10+Y10*1</f>
        <v>0</v>
      </c>
      <c r="AA10" s="3350" t="e">
        <f t="shared" si="27"/>
        <v>#DIV/0!</v>
      </c>
      <c r="AB10" s="2049"/>
      <c r="AC10" s="2184"/>
      <c r="AD10" s="2181"/>
      <c r="AE10" s="2212">
        <f t="shared" ref="AE10:AE33" si="65">AC10+AD10*1</f>
        <v>0</v>
      </c>
      <c r="AF10" s="3350" t="e">
        <f t="shared" si="28"/>
        <v>#DIV/0!</v>
      </c>
      <c r="AG10" s="2049"/>
      <c r="AH10" s="2184"/>
      <c r="AI10" s="2181"/>
      <c r="AJ10" s="2212">
        <f t="shared" si="48"/>
        <v>0</v>
      </c>
      <c r="AK10" s="3350">
        <f t="shared" si="30"/>
        <v>0</v>
      </c>
      <c r="AL10" s="2049"/>
      <c r="AM10" s="2184"/>
      <c r="AN10" s="2181"/>
      <c r="AO10" s="2212">
        <f t="shared" si="49"/>
        <v>0</v>
      </c>
      <c r="AP10" s="3350" t="e">
        <f t="shared" si="30"/>
        <v>#DIV/0!</v>
      </c>
      <c r="AQ10" s="2049"/>
      <c r="AR10" s="2184"/>
      <c r="AS10" s="2181"/>
      <c r="AT10" s="2212">
        <f t="shared" si="50"/>
        <v>0</v>
      </c>
      <c r="AU10" s="3350" t="e">
        <f t="shared" si="30"/>
        <v>#DIV/0!</v>
      </c>
      <c r="AV10" s="2049"/>
      <c r="AW10" s="2184"/>
      <c r="AX10" s="2181"/>
      <c r="AY10" s="2212">
        <f t="shared" si="51"/>
        <v>0</v>
      </c>
      <c r="AZ10" s="3350" t="e">
        <f t="shared" si="30"/>
        <v>#DIV/0!</v>
      </c>
      <c r="BA10" s="2049"/>
      <c r="BB10" s="2184"/>
      <c r="BC10" s="2181"/>
      <c r="BD10" s="2212">
        <f t="shared" si="52"/>
        <v>0</v>
      </c>
      <c r="BE10" s="3350" t="e">
        <f t="shared" si="35"/>
        <v>#DIV/0!</v>
      </c>
      <c r="BF10" s="2049"/>
      <c r="BG10" s="2184"/>
      <c r="BH10" s="2181"/>
      <c r="BI10" s="2212">
        <f t="shared" si="53"/>
        <v>0</v>
      </c>
      <c r="BJ10" s="3350" t="e">
        <f t="shared" si="35"/>
        <v>#DIV/0!</v>
      </c>
      <c r="BK10" s="2049"/>
      <c r="BL10" s="2184"/>
      <c r="BM10" s="2181"/>
      <c r="BN10" s="2212">
        <f t="shared" si="54"/>
        <v>0</v>
      </c>
      <c r="BO10" s="3350" t="e">
        <f t="shared" si="35"/>
        <v>#DIV/0!</v>
      </c>
      <c r="BP10" s="2049"/>
      <c r="BQ10" s="2184"/>
      <c r="BR10" s="2181"/>
      <c r="BS10" s="2212">
        <f t="shared" si="55"/>
        <v>0</v>
      </c>
      <c r="BT10" s="3350" t="e">
        <f t="shared" si="35"/>
        <v>#DIV/0!</v>
      </c>
      <c r="BU10" s="2049"/>
      <c r="BV10" s="2184"/>
      <c r="BW10" s="2181"/>
      <c r="BX10" s="2212">
        <f t="shared" si="56"/>
        <v>0</v>
      </c>
      <c r="BY10" s="3350" t="e">
        <f t="shared" si="40"/>
        <v>#DIV/0!</v>
      </c>
      <c r="BZ10" s="2049"/>
      <c r="CA10" s="2184"/>
      <c r="CB10" s="2181"/>
      <c r="CC10" s="2212">
        <f t="shared" si="57"/>
        <v>0</v>
      </c>
      <c r="CD10" s="3350" t="e">
        <f t="shared" si="40"/>
        <v>#DIV/0!</v>
      </c>
      <c r="CE10" s="2049"/>
      <c r="CF10" s="2184">
        <f t="shared" si="58"/>
        <v>41608.339999999997</v>
      </c>
      <c r="CG10" s="2181">
        <f t="shared" si="58"/>
        <v>0</v>
      </c>
      <c r="CH10" s="2212">
        <f t="shared" si="59"/>
        <v>41608.339999999997</v>
      </c>
      <c r="CI10" s="3350">
        <f t="shared" si="42"/>
        <v>5.0722816154669765E-3</v>
      </c>
      <c r="CJ10" s="1434"/>
      <c r="CK10" s="3210">
        <v>41608.339999999997</v>
      </c>
      <c r="CL10" s="3210">
        <f t="shared" si="60"/>
        <v>0</v>
      </c>
      <c r="CM10" s="3216"/>
      <c r="CN10" s="2192"/>
      <c r="CO10" s="2192"/>
    </row>
    <row r="11" spans="1:93" s="1396" customFormat="1" ht="24.6" customHeight="1">
      <c r="A11" s="2193"/>
      <c r="B11" s="2214" t="s">
        <v>69</v>
      </c>
      <c r="C11" s="2215"/>
      <c r="D11" s="2216"/>
      <c r="E11" s="2180">
        <f t="shared" si="43"/>
        <v>0</v>
      </c>
      <c r="F11" s="1976">
        <f t="shared" si="26"/>
        <v>0</v>
      </c>
      <c r="G11" s="2541"/>
      <c r="H11" s="2184">
        <v>3576.65</v>
      </c>
      <c r="I11" s="2181">
        <v>0</v>
      </c>
      <c r="J11" s="2212">
        <f t="shared" si="61"/>
        <v>3576.65</v>
      </c>
      <c r="K11" s="3350">
        <f t="shared" si="44"/>
        <v>1.0400595285158461E-2</v>
      </c>
      <c r="L11" s="1615"/>
      <c r="M11" s="2051">
        <v>45303.06</v>
      </c>
      <c r="N11" s="2043">
        <v>0</v>
      </c>
      <c r="O11" s="2045">
        <f t="shared" si="62"/>
        <v>45303.06</v>
      </c>
      <c r="P11" s="3350">
        <f t="shared" si="45"/>
        <v>6.1952321665246163E-3</v>
      </c>
      <c r="Q11" s="1615"/>
      <c r="R11" s="2051">
        <f t="shared" si="46"/>
        <v>0</v>
      </c>
      <c r="S11" s="2043">
        <f t="shared" si="46"/>
        <v>0</v>
      </c>
      <c r="T11" s="2045">
        <f t="shared" si="63"/>
        <v>0</v>
      </c>
      <c r="U11" s="3350">
        <f t="shared" si="47"/>
        <v>0</v>
      </c>
      <c r="V11" s="1615"/>
      <c r="W11" s="2541"/>
      <c r="X11" s="2184"/>
      <c r="Y11" s="2181"/>
      <c r="Z11" s="2212">
        <f t="shared" si="64"/>
        <v>0</v>
      </c>
      <c r="AA11" s="3350" t="e">
        <f t="shared" si="27"/>
        <v>#DIV/0!</v>
      </c>
      <c r="AB11" s="2049"/>
      <c r="AC11" s="2184"/>
      <c r="AD11" s="2181"/>
      <c r="AE11" s="2212">
        <f t="shared" si="65"/>
        <v>0</v>
      </c>
      <c r="AF11" s="3350" t="e">
        <f t="shared" si="28"/>
        <v>#DIV/0!</v>
      </c>
      <c r="AG11" s="2049"/>
      <c r="AH11" s="2184"/>
      <c r="AI11" s="2181"/>
      <c r="AJ11" s="2212">
        <f t="shared" si="48"/>
        <v>0</v>
      </c>
      <c r="AK11" s="3350">
        <f t="shared" si="30"/>
        <v>0</v>
      </c>
      <c r="AL11" s="2049"/>
      <c r="AM11" s="2184"/>
      <c r="AN11" s="2181"/>
      <c r="AO11" s="2212">
        <f t="shared" si="49"/>
        <v>0</v>
      </c>
      <c r="AP11" s="3350" t="e">
        <f t="shared" si="30"/>
        <v>#DIV/0!</v>
      </c>
      <c r="AQ11" s="2049"/>
      <c r="AR11" s="2184"/>
      <c r="AS11" s="2181"/>
      <c r="AT11" s="2212">
        <f t="shared" si="50"/>
        <v>0</v>
      </c>
      <c r="AU11" s="3350" t="e">
        <f t="shared" si="30"/>
        <v>#DIV/0!</v>
      </c>
      <c r="AV11" s="2049"/>
      <c r="AW11" s="2184"/>
      <c r="AX11" s="2181"/>
      <c r="AY11" s="2212">
        <f t="shared" si="51"/>
        <v>0</v>
      </c>
      <c r="AZ11" s="3350" t="e">
        <f t="shared" si="30"/>
        <v>#DIV/0!</v>
      </c>
      <c r="BA11" s="2049"/>
      <c r="BB11" s="2184"/>
      <c r="BC11" s="2181"/>
      <c r="BD11" s="2212">
        <f t="shared" si="52"/>
        <v>0</v>
      </c>
      <c r="BE11" s="3350" t="e">
        <f t="shared" si="35"/>
        <v>#DIV/0!</v>
      </c>
      <c r="BF11" s="2049"/>
      <c r="BG11" s="2184"/>
      <c r="BH11" s="2181"/>
      <c r="BI11" s="2212">
        <f t="shared" si="53"/>
        <v>0</v>
      </c>
      <c r="BJ11" s="3350" t="e">
        <f t="shared" si="35"/>
        <v>#DIV/0!</v>
      </c>
      <c r="BK11" s="2049"/>
      <c r="BL11" s="2184"/>
      <c r="BM11" s="2181"/>
      <c r="BN11" s="2212">
        <f t="shared" si="54"/>
        <v>0</v>
      </c>
      <c r="BO11" s="3350" t="e">
        <f t="shared" si="35"/>
        <v>#DIV/0!</v>
      </c>
      <c r="BP11" s="2049"/>
      <c r="BQ11" s="2184"/>
      <c r="BR11" s="2181"/>
      <c r="BS11" s="2212">
        <f t="shared" si="55"/>
        <v>0</v>
      </c>
      <c r="BT11" s="3350" t="e">
        <f t="shared" si="35"/>
        <v>#DIV/0!</v>
      </c>
      <c r="BU11" s="2049"/>
      <c r="BV11" s="2184"/>
      <c r="BW11" s="2181"/>
      <c r="BX11" s="2212">
        <f t="shared" si="56"/>
        <v>0</v>
      </c>
      <c r="BY11" s="3350" t="e">
        <f t="shared" si="40"/>
        <v>#DIV/0!</v>
      </c>
      <c r="BZ11" s="2049"/>
      <c r="CA11" s="2184"/>
      <c r="CB11" s="2181"/>
      <c r="CC11" s="2212">
        <f t="shared" si="57"/>
        <v>0</v>
      </c>
      <c r="CD11" s="3350" t="e">
        <f t="shared" si="40"/>
        <v>#DIV/0!</v>
      </c>
      <c r="CE11" s="2049"/>
      <c r="CF11" s="2184">
        <f t="shared" si="58"/>
        <v>48879.71</v>
      </c>
      <c r="CG11" s="2181">
        <f t="shared" si="58"/>
        <v>0</v>
      </c>
      <c r="CH11" s="2212">
        <f t="shared" si="59"/>
        <v>48879.71</v>
      </c>
      <c r="CI11" s="3350">
        <f t="shared" si="42"/>
        <v>5.9587009335714276E-3</v>
      </c>
      <c r="CJ11" s="1434"/>
      <c r="CK11" s="3210">
        <v>48879.709999999992</v>
      </c>
      <c r="CL11" s="3210">
        <f t="shared" si="60"/>
        <v>0</v>
      </c>
      <c r="CM11" s="3211"/>
      <c r="CN11" s="2192"/>
      <c r="CO11" s="2192"/>
    </row>
    <row r="12" spans="1:93" s="1396" customFormat="1" ht="24.6" customHeight="1">
      <c r="A12" s="2193"/>
      <c r="B12" s="2214" t="s">
        <v>73</v>
      </c>
      <c r="C12" s="2215">
        <v>24955</v>
      </c>
      <c r="D12" s="2216">
        <v>50045</v>
      </c>
      <c r="E12" s="2180">
        <f t="shared" si="43"/>
        <v>75000</v>
      </c>
      <c r="F12" s="1976">
        <f t="shared" si="26"/>
        <v>1.2622282381984744E-2</v>
      </c>
      <c r="G12" s="2541"/>
      <c r="H12" s="2184"/>
      <c r="I12" s="2181"/>
      <c r="J12" s="2212">
        <f t="shared" si="61"/>
        <v>0</v>
      </c>
      <c r="K12" s="3350">
        <f t="shared" si="44"/>
        <v>0</v>
      </c>
      <c r="L12" s="2048"/>
      <c r="M12" s="2051">
        <v>98586.93</v>
      </c>
      <c r="N12" s="2043">
        <v>157457.54999999999</v>
      </c>
      <c r="O12" s="2045">
        <f t="shared" si="62"/>
        <v>256044.47999999998</v>
      </c>
      <c r="P12" s="3350">
        <f t="shared" si="45"/>
        <v>3.5014301430346402E-2</v>
      </c>
      <c r="Q12" s="2048"/>
      <c r="R12" s="2051">
        <f t="shared" si="46"/>
        <v>0</v>
      </c>
      <c r="S12" s="2043">
        <f t="shared" si="46"/>
        <v>0</v>
      </c>
      <c r="T12" s="2045">
        <f t="shared" si="63"/>
        <v>0</v>
      </c>
      <c r="U12" s="3350">
        <f t="shared" si="47"/>
        <v>0</v>
      </c>
      <c r="V12" s="2048"/>
      <c r="W12" s="2541"/>
      <c r="X12" s="2184"/>
      <c r="Y12" s="2181"/>
      <c r="Z12" s="2212">
        <f t="shared" si="64"/>
        <v>0</v>
      </c>
      <c r="AA12" s="3350" t="e">
        <f t="shared" si="27"/>
        <v>#DIV/0!</v>
      </c>
      <c r="AB12" s="3212"/>
      <c r="AC12" s="2184"/>
      <c r="AD12" s="2181"/>
      <c r="AE12" s="2212">
        <f t="shared" si="65"/>
        <v>0</v>
      </c>
      <c r="AF12" s="3350" t="e">
        <f t="shared" si="28"/>
        <v>#DIV/0!</v>
      </c>
      <c r="AG12" s="3212"/>
      <c r="AH12" s="2184"/>
      <c r="AI12" s="2181"/>
      <c r="AJ12" s="2212">
        <f t="shared" si="48"/>
        <v>0</v>
      </c>
      <c r="AK12" s="3350">
        <f t="shared" si="30"/>
        <v>0</v>
      </c>
      <c r="AL12" s="3212"/>
      <c r="AM12" s="2184"/>
      <c r="AN12" s="2181"/>
      <c r="AO12" s="2212">
        <f t="shared" si="49"/>
        <v>0</v>
      </c>
      <c r="AP12" s="3350" t="e">
        <f t="shared" si="30"/>
        <v>#DIV/0!</v>
      </c>
      <c r="AQ12" s="3212"/>
      <c r="AR12" s="2184"/>
      <c r="AS12" s="2181"/>
      <c r="AT12" s="2212">
        <f t="shared" si="50"/>
        <v>0</v>
      </c>
      <c r="AU12" s="3350" t="e">
        <f t="shared" si="30"/>
        <v>#DIV/0!</v>
      </c>
      <c r="AV12" s="3212"/>
      <c r="AW12" s="2184"/>
      <c r="AX12" s="2181"/>
      <c r="AY12" s="2212">
        <f t="shared" si="51"/>
        <v>0</v>
      </c>
      <c r="AZ12" s="3350" t="e">
        <f t="shared" si="30"/>
        <v>#DIV/0!</v>
      </c>
      <c r="BA12" s="3212"/>
      <c r="BB12" s="2184"/>
      <c r="BC12" s="2181"/>
      <c r="BD12" s="2212">
        <f t="shared" si="52"/>
        <v>0</v>
      </c>
      <c r="BE12" s="3350" t="e">
        <f t="shared" si="35"/>
        <v>#DIV/0!</v>
      </c>
      <c r="BF12" s="3212"/>
      <c r="BG12" s="2184"/>
      <c r="BH12" s="2181"/>
      <c r="BI12" s="2212">
        <f t="shared" si="53"/>
        <v>0</v>
      </c>
      <c r="BJ12" s="3350" t="e">
        <f t="shared" si="35"/>
        <v>#DIV/0!</v>
      </c>
      <c r="BK12" s="3212"/>
      <c r="BL12" s="2184"/>
      <c r="BM12" s="2181"/>
      <c r="BN12" s="2212">
        <f t="shared" si="54"/>
        <v>0</v>
      </c>
      <c r="BO12" s="3350" t="e">
        <f t="shared" si="35"/>
        <v>#DIV/0!</v>
      </c>
      <c r="BP12" s="3212"/>
      <c r="BQ12" s="2184"/>
      <c r="BR12" s="2181"/>
      <c r="BS12" s="2212">
        <f t="shared" si="55"/>
        <v>0</v>
      </c>
      <c r="BT12" s="3350" t="e">
        <f t="shared" si="35"/>
        <v>#DIV/0!</v>
      </c>
      <c r="BU12" s="3212"/>
      <c r="BV12" s="2184"/>
      <c r="BW12" s="2181"/>
      <c r="BX12" s="2212">
        <f t="shared" si="56"/>
        <v>0</v>
      </c>
      <c r="BY12" s="3350" t="e">
        <f t="shared" si="40"/>
        <v>#DIV/0!</v>
      </c>
      <c r="BZ12" s="3212"/>
      <c r="CA12" s="2184"/>
      <c r="CB12" s="2181"/>
      <c r="CC12" s="2212">
        <f t="shared" si="57"/>
        <v>0</v>
      </c>
      <c r="CD12" s="3350" t="e">
        <f t="shared" si="40"/>
        <v>#DIV/0!</v>
      </c>
      <c r="CE12" s="3212"/>
      <c r="CF12" s="2184">
        <f t="shared" si="58"/>
        <v>98586.93</v>
      </c>
      <c r="CG12" s="2181">
        <f t="shared" si="58"/>
        <v>157457.54999999999</v>
      </c>
      <c r="CH12" s="2212">
        <f t="shared" si="59"/>
        <v>256044.47999999998</v>
      </c>
      <c r="CI12" s="3350">
        <f t="shared" si="42"/>
        <v>3.1213206502489696E-2</v>
      </c>
      <c r="CJ12" s="1434"/>
      <c r="CK12" s="3210">
        <v>256044.47999999998</v>
      </c>
      <c r="CL12" s="3210">
        <f t="shared" si="60"/>
        <v>0</v>
      </c>
      <c r="CM12" s="3211"/>
      <c r="CN12" s="2192"/>
      <c r="CO12" s="2192"/>
    </row>
    <row r="13" spans="1:93" s="1396" customFormat="1" ht="24.6" customHeight="1">
      <c r="A13" s="2193"/>
      <c r="B13" s="2214" t="s">
        <v>71</v>
      </c>
      <c r="C13" s="2215">
        <v>35216</v>
      </c>
      <c r="D13" s="2216"/>
      <c r="E13" s="2180">
        <f t="shared" si="43"/>
        <v>35216</v>
      </c>
      <c r="F13" s="1976">
        <f t="shared" si="26"/>
        <v>5.92675061818633E-3</v>
      </c>
      <c r="G13" s="2541"/>
      <c r="H13" s="2184"/>
      <c r="I13" s="2181"/>
      <c r="J13" s="2212">
        <f t="shared" si="61"/>
        <v>0</v>
      </c>
      <c r="K13" s="3350">
        <f t="shared" si="44"/>
        <v>0</v>
      </c>
      <c r="L13" s="2048"/>
      <c r="M13" s="2051">
        <v>22661.65</v>
      </c>
      <c r="N13" s="2043">
        <v>0</v>
      </c>
      <c r="O13" s="2045">
        <f t="shared" si="62"/>
        <v>22661.65</v>
      </c>
      <c r="P13" s="3350">
        <f t="shared" si="45"/>
        <v>3.0990000019098618E-3</v>
      </c>
      <c r="Q13" s="2048"/>
      <c r="R13" s="2051">
        <f t="shared" si="46"/>
        <v>0</v>
      </c>
      <c r="S13" s="2043">
        <f t="shared" si="46"/>
        <v>0</v>
      </c>
      <c r="T13" s="2045">
        <f t="shared" si="63"/>
        <v>0</v>
      </c>
      <c r="U13" s="3350">
        <f t="shared" si="47"/>
        <v>0</v>
      </c>
      <c r="V13" s="2048"/>
      <c r="W13" s="2541"/>
      <c r="X13" s="2184"/>
      <c r="Y13" s="2181"/>
      <c r="Z13" s="2212">
        <f t="shared" si="64"/>
        <v>0</v>
      </c>
      <c r="AA13" s="3350" t="e">
        <f t="shared" si="27"/>
        <v>#DIV/0!</v>
      </c>
      <c r="AB13" s="2049"/>
      <c r="AC13" s="2184"/>
      <c r="AD13" s="2181"/>
      <c r="AE13" s="2212">
        <f t="shared" si="65"/>
        <v>0</v>
      </c>
      <c r="AF13" s="3350" t="e">
        <f t="shared" si="28"/>
        <v>#DIV/0!</v>
      </c>
      <c r="AG13" s="2049"/>
      <c r="AH13" s="2184"/>
      <c r="AI13" s="2181"/>
      <c r="AJ13" s="2212">
        <f t="shared" si="48"/>
        <v>0</v>
      </c>
      <c r="AK13" s="3350">
        <f t="shared" si="30"/>
        <v>0</v>
      </c>
      <c r="AL13" s="2049"/>
      <c r="AM13" s="2184"/>
      <c r="AN13" s="2181"/>
      <c r="AO13" s="2212">
        <f t="shared" si="49"/>
        <v>0</v>
      </c>
      <c r="AP13" s="3350" t="e">
        <f t="shared" si="30"/>
        <v>#DIV/0!</v>
      </c>
      <c r="AQ13" s="2049"/>
      <c r="AR13" s="2184"/>
      <c r="AS13" s="2181"/>
      <c r="AT13" s="2212">
        <f t="shared" si="50"/>
        <v>0</v>
      </c>
      <c r="AU13" s="3350" t="e">
        <f t="shared" si="30"/>
        <v>#DIV/0!</v>
      </c>
      <c r="AV13" s="2049"/>
      <c r="AW13" s="2184"/>
      <c r="AX13" s="2181"/>
      <c r="AY13" s="2212">
        <f t="shared" si="51"/>
        <v>0</v>
      </c>
      <c r="AZ13" s="3350" t="e">
        <f t="shared" si="30"/>
        <v>#DIV/0!</v>
      </c>
      <c r="BA13" s="2049"/>
      <c r="BB13" s="2184"/>
      <c r="BC13" s="2181"/>
      <c r="BD13" s="2212">
        <f t="shared" si="52"/>
        <v>0</v>
      </c>
      <c r="BE13" s="3350" t="e">
        <f t="shared" si="35"/>
        <v>#DIV/0!</v>
      </c>
      <c r="BF13" s="2049"/>
      <c r="BG13" s="2184"/>
      <c r="BH13" s="2181"/>
      <c r="BI13" s="2212">
        <f t="shared" si="53"/>
        <v>0</v>
      </c>
      <c r="BJ13" s="3350" t="e">
        <f t="shared" si="35"/>
        <v>#DIV/0!</v>
      </c>
      <c r="BK13" s="2049"/>
      <c r="BL13" s="2184"/>
      <c r="BM13" s="2181"/>
      <c r="BN13" s="2212">
        <f t="shared" si="54"/>
        <v>0</v>
      </c>
      <c r="BO13" s="3350" t="e">
        <f t="shared" si="35"/>
        <v>#DIV/0!</v>
      </c>
      <c r="BP13" s="2049"/>
      <c r="BQ13" s="2184"/>
      <c r="BR13" s="2181"/>
      <c r="BS13" s="2212">
        <f t="shared" si="55"/>
        <v>0</v>
      </c>
      <c r="BT13" s="3350" t="e">
        <f t="shared" si="35"/>
        <v>#DIV/0!</v>
      </c>
      <c r="BU13" s="2049"/>
      <c r="BV13" s="2184"/>
      <c r="BW13" s="2181"/>
      <c r="BX13" s="2212">
        <f t="shared" si="56"/>
        <v>0</v>
      </c>
      <c r="BY13" s="3350" t="e">
        <f t="shared" si="40"/>
        <v>#DIV/0!</v>
      </c>
      <c r="BZ13" s="2049"/>
      <c r="CA13" s="2184"/>
      <c r="CB13" s="2181"/>
      <c r="CC13" s="2212">
        <f t="shared" si="57"/>
        <v>0</v>
      </c>
      <c r="CD13" s="3350" t="e">
        <f t="shared" si="40"/>
        <v>#DIV/0!</v>
      </c>
      <c r="CE13" s="2049"/>
      <c r="CF13" s="2184">
        <f t="shared" si="58"/>
        <v>22661.65</v>
      </c>
      <c r="CG13" s="2181">
        <f t="shared" si="58"/>
        <v>0</v>
      </c>
      <c r="CH13" s="2212">
        <f t="shared" si="59"/>
        <v>22661.65</v>
      </c>
      <c r="CI13" s="3350">
        <f t="shared" si="42"/>
        <v>2.7625776628230599E-3</v>
      </c>
      <c r="CJ13" s="1434"/>
      <c r="CK13" s="3210">
        <v>22661.65</v>
      </c>
      <c r="CL13" s="3210">
        <f t="shared" si="60"/>
        <v>0</v>
      </c>
      <c r="CM13" s="3211"/>
      <c r="CN13" s="2192"/>
      <c r="CO13" s="2192"/>
    </row>
    <row r="14" spans="1:93" s="1396" customFormat="1" ht="24.6" customHeight="1">
      <c r="A14" s="2193"/>
      <c r="B14" s="2214" t="s">
        <v>70</v>
      </c>
      <c r="C14" s="2215">
        <v>6813.5</v>
      </c>
      <c r="D14" s="2216"/>
      <c r="E14" s="2180">
        <f t="shared" si="43"/>
        <v>6813.5</v>
      </c>
      <c r="F14" s="1976">
        <f t="shared" si="26"/>
        <v>1.1466922801287075E-3</v>
      </c>
      <c r="G14" s="2541"/>
      <c r="H14" s="2184"/>
      <c r="I14" s="2181"/>
      <c r="J14" s="2212">
        <f t="shared" si="61"/>
        <v>0</v>
      </c>
      <c r="K14" s="3350">
        <f t="shared" si="44"/>
        <v>0</v>
      </c>
      <c r="L14" s="2048"/>
      <c r="M14" s="2051">
        <v>25566.99</v>
      </c>
      <c r="N14" s="2043">
        <v>0</v>
      </c>
      <c r="O14" s="2045">
        <f t="shared" si="62"/>
        <v>25566.99</v>
      </c>
      <c r="P14" s="3350">
        <f t="shared" si="45"/>
        <v>3.49630772952673E-3</v>
      </c>
      <c r="Q14" s="2048"/>
      <c r="R14" s="2051">
        <f t="shared" si="46"/>
        <v>0</v>
      </c>
      <c r="S14" s="2043">
        <f t="shared" si="46"/>
        <v>0</v>
      </c>
      <c r="T14" s="2045">
        <f t="shared" si="63"/>
        <v>0</v>
      </c>
      <c r="U14" s="3350">
        <f t="shared" si="47"/>
        <v>0</v>
      </c>
      <c r="V14" s="2048"/>
      <c r="W14" s="2541"/>
      <c r="X14" s="2184"/>
      <c r="Y14" s="2181"/>
      <c r="Z14" s="2212">
        <f t="shared" si="64"/>
        <v>0</v>
      </c>
      <c r="AA14" s="3350" t="e">
        <f t="shared" si="27"/>
        <v>#DIV/0!</v>
      </c>
      <c r="AB14" s="2049"/>
      <c r="AC14" s="2184"/>
      <c r="AD14" s="2181"/>
      <c r="AE14" s="2212">
        <f t="shared" si="65"/>
        <v>0</v>
      </c>
      <c r="AF14" s="3350" t="e">
        <f t="shared" si="28"/>
        <v>#DIV/0!</v>
      </c>
      <c r="AG14" s="2049"/>
      <c r="AH14" s="2184"/>
      <c r="AI14" s="2181"/>
      <c r="AJ14" s="2212">
        <f t="shared" si="48"/>
        <v>0</v>
      </c>
      <c r="AK14" s="3350">
        <f t="shared" si="30"/>
        <v>0</v>
      </c>
      <c r="AL14" s="2049"/>
      <c r="AM14" s="2184"/>
      <c r="AN14" s="2181"/>
      <c r="AO14" s="2212">
        <f t="shared" si="49"/>
        <v>0</v>
      </c>
      <c r="AP14" s="3350" t="e">
        <f t="shared" si="30"/>
        <v>#DIV/0!</v>
      </c>
      <c r="AQ14" s="2049"/>
      <c r="AR14" s="2184"/>
      <c r="AS14" s="2181"/>
      <c r="AT14" s="2212">
        <f t="shared" si="50"/>
        <v>0</v>
      </c>
      <c r="AU14" s="3350" t="e">
        <f t="shared" si="30"/>
        <v>#DIV/0!</v>
      </c>
      <c r="AV14" s="2049"/>
      <c r="AW14" s="2184"/>
      <c r="AX14" s="2181"/>
      <c r="AY14" s="2212">
        <f t="shared" si="51"/>
        <v>0</v>
      </c>
      <c r="AZ14" s="3350" t="e">
        <f t="shared" si="30"/>
        <v>#DIV/0!</v>
      </c>
      <c r="BA14" s="2049"/>
      <c r="BB14" s="2184"/>
      <c r="BC14" s="2181"/>
      <c r="BD14" s="2212">
        <f t="shared" si="52"/>
        <v>0</v>
      </c>
      <c r="BE14" s="3350" t="e">
        <f t="shared" si="35"/>
        <v>#DIV/0!</v>
      </c>
      <c r="BF14" s="2049"/>
      <c r="BG14" s="2184"/>
      <c r="BH14" s="2181"/>
      <c r="BI14" s="2212">
        <f t="shared" si="53"/>
        <v>0</v>
      </c>
      <c r="BJ14" s="3350" t="e">
        <f t="shared" si="35"/>
        <v>#DIV/0!</v>
      </c>
      <c r="BK14" s="2049"/>
      <c r="BL14" s="2184"/>
      <c r="BM14" s="2181"/>
      <c r="BN14" s="2212">
        <f t="shared" si="54"/>
        <v>0</v>
      </c>
      <c r="BO14" s="3350" t="e">
        <f t="shared" si="35"/>
        <v>#DIV/0!</v>
      </c>
      <c r="BP14" s="2049"/>
      <c r="BQ14" s="2184"/>
      <c r="BR14" s="2181"/>
      <c r="BS14" s="2212">
        <f t="shared" si="55"/>
        <v>0</v>
      </c>
      <c r="BT14" s="3350" t="e">
        <f t="shared" si="35"/>
        <v>#DIV/0!</v>
      </c>
      <c r="BU14" s="2049"/>
      <c r="BV14" s="2184"/>
      <c r="BW14" s="2181"/>
      <c r="BX14" s="2212">
        <f t="shared" si="56"/>
        <v>0</v>
      </c>
      <c r="BY14" s="3350" t="e">
        <f t="shared" si="40"/>
        <v>#DIV/0!</v>
      </c>
      <c r="BZ14" s="2049"/>
      <c r="CA14" s="2184"/>
      <c r="CB14" s="2181"/>
      <c r="CC14" s="2212">
        <f t="shared" si="57"/>
        <v>0</v>
      </c>
      <c r="CD14" s="3350" t="e">
        <f t="shared" si="40"/>
        <v>#DIV/0!</v>
      </c>
      <c r="CE14" s="2049"/>
      <c r="CF14" s="2184">
        <f t="shared" si="58"/>
        <v>25566.99</v>
      </c>
      <c r="CG14" s="2181">
        <f t="shared" si="58"/>
        <v>0</v>
      </c>
      <c r="CH14" s="2212">
        <f t="shared" si="59"/>
        <v>25566.99</v>
      </c>
      <c r="CI14" s="3350">
        <f t="shared" si="42"/>
        <v>3.1167543175197104E-3</v>
      </c>
      <c r="CJ14" s="1434"/>
      <c r="CK14" s="3210">
        <v>25566.99</v>
      </c>
      <c r="CL14" s="3210">
        <f t="shared" si="60"/>
        <v>0</v>
      </c>
      <c r="CM14" s="3211"/>
      <c r="CN14" s="2192"/>
      <c r="CO14" s="2192"/>
    </row>
    <row r="15" spans="1:93" s="1396" customFormat="1" ht="24.6" customHeight="1">
      <c r="A15" s="2193"/>
      <c r="B15" s="3893" t="s">
        <v>20</v>
      </c>
      <c r="C15" s="2215"/>
      <c r="D15" s="3894"/>
      <c r="E15" s="2180">
        <f t="shared" si="43"/>
        <v>0</v>
      </c>
      <c r="F15" s="1976">
        <f t="shared" si="26"/>
        <v>0</v>
      </c>
      <c r="G15" s="2541"/>
      <c r="H15" s="2184">
        <v>0</v>
      </c>
      <c r="I15" s="2181">
        <v>0</v>
      </c>
      <c r="J15" s="2212">
        <f t="shared" si="61"/>
        <v>0</v>
      </c>
      <c r="K15" s="3350">
        <f t="shared" si="44"/>
        <v>0</v>
      </c>
      <c r="L15" s="2048"/>
      <c r="M15" s="2051">
        <v>0</v>
      </c>
      <c r="N15" s="2043">
        <v>4000</v>
      </c>
      <c r="O15" s="2045">
        <f t="shared" si="62"/>
        <v>4000</v>
      </c>
      <c r="P15" s="3350">
        <f t="shared" si="45"/>
        <v>5.4700341800528415E-4</v>
      </c>
      <c r="Q15" s="2048"/>
      <c r="R15" s="2051">
        <f t="shared" si="46"/>
        <v>0</v>
      </c>
      <c r="S15" s="2043">
        <f t="shared" si="46"/>
        <v>0</v>
      </c>
      <c r="T15" s="2045">
        <f t="shared" si="63"/>
        <v>0</v>
      </c>
      <c r="U15" s="3350">
        <f t="shared" si="47"/>
        <v>0</v>
      </c>
      <c r="V15" s="2048"/>
      <c r="W15" s="2541"/>
      <c r="X15" s="2184"/>
      <c r="Y15" s="2181"/>
      <c r="Z15" s="2212">
        <f t="shared" si="64"/>
        <v>0</v>
      </c>
      <c r="AA15" s="3350" t="e">
        <f t="shared" si="27"/>
        <v>#DIV/0!</v>
      </c>
      <c r="AB15" s="2048"/>
      <c r="AC15" s="2184"/>
      <c r="AD15" s="2181"/>
      <c r="AE15" s="2212">
        <f t="shared" si="65"/>
        <v>0</v>
      </c>
      <c r="AF15" s="3350" t="e">
        <f t="shared" si="28"/>
        <v>#DIV/0!</v>
      </c>
      <c r="AG15" s="2048"/>
      <c r="AH15" s="2184"/>
      <c r="AI15" s="2181"/>
      <c r="AJ15" s="2212">
        <f t="shared" si="48"/>
        <v>0</v>
      </c>
      <c r="AK15" s="3350">
        <f t="shared" si="30"/>
        <v>0</v>
      </c>
      <c r="AL15" s="2048"/>
      <c r="AM15" s="2184"/>
      <c r="AN15" s="2181"/>
      <c r="AO15" s="2212">
        <f t="shared" si="49"/>
        <v>0</v>
      </c>
      <c r="AP15" s="3350" t="e">
        <f t="shared" si="30"/>
        <v>#DIV/0!</v>
      </c>
      <c r="AQ15" s="2048"/>
      <c r="AR15" s="2184"/>
      <c r="AS15" s="2181"/>
      <c r="AT15" s="2212">
        <f t="shared" si="50"/>
        <v>0</v>
      </c>
      <c r="AU15" s="3350" t="e">
        <f t="shared" si="30"/>
        <v>#DIV/0!</v>
      </c>
      <c r="AV15" s="2048"/>
      <c r="AW15" s="2184"/>
      <c r="AX15" s="2181"/>
      <c r="AY15" s="2212">
        <f t="shared" si="51"/>
        <v>0</v>
      </c>
      <c r="AZ15" s="3350" t="e">
        <f t="shared" si="30"/>
        <v>#DIV/0!</v>
      </c>
      <c r="BA15" s="2048"/>
      <c r="BB15" s="2184"/>
      <c r="BC15" s="2181"/>
      <c r="BD15" s="2212">
        <f t="shared" si="52"/>
        <v>0</v>
      </c>
      <c r="BE15" s="3350" t="e">
        <f t="shared" si="35"/>
        <v>#DIV/0!</v>
      </c>
      <c r="BF15" s="2048"/>
      <c r="BG15" s="2184"/>
      <c r="BH15" s="2181"/>
      <c r="BI15" s="2212">
        <f t="shared" si="53"/>
        <v>0</v>
      </c>
      <c r="BJ15" s="3350" t="e">
        <f t="shared" si="35"/>
        <v>#DIV/0!</v>
      </c>
      <c r="BK15" s="2048"/>
      <c r="BL15" s="2184"/>
      <c r="BM15" s="2181"/>
      <c r="BN15" s="2212">
        <f t="shared" si="54"/>
        <v>0</v>
      </c>
      <c r="BO15" s="3350" t="e">
        <f t="shared" si="35"/>
        <v>#DIV/0!</v>
      </c>
      <c r="BP15" s="2048"/>
      <c r="BQ15" s="2184"/>
      <c r="BR15" s="2181"/>
      <c r="BS15" s="2212">
        <f t="shared" si="55"/>
        <v>0</v>
      </c>
      <c r="BT15" s="3350" t="e">
        <f t="shared" si="35"/>
        <v>#DIV/0!</v>
      </c>
      <c r="BU15" s="2048"/>
      <c r="BV15" s="2184"/>
      <c r="BW15" s="2181"/>
      <c r="BX15" s="2212">
        <f t="shared" si="56"/>
        <v>0</v>
      </c>
      <c r="BY15" s="3350" t="e">
        <f t="shared" si="40"/>
        <v>#DIV/0!</v>
      </c>
      <c r="BZ15" s="2048"/>
      <c r="CA15" s="2184"/>
      <c r="CB15" s="2181"/>
      <c r="CC15" s="2212">
        <f t="shared" si="57"/>
        <v>0</v>
      </c>
      <c r="CD15" s="3350" t="e">
        <f t="shared" si="40"/>
        <v>#DIV/0!</v>
      </c>
      <c r="CE15" s="2048"/>
      <c r="CF15" s="2184">
        <f t="shared" si="58"/>
        <v>0</v>
      </c>
      <c r="CG15" s="2181">
        <f t="shared" si="58"/>
        <v>4000</v>
      </c>
      <c r="CH15" s="2212">
        <f t="shared" si="59"/>
        <v>4000</v>
      </c>
      <c r="CI15" s="3350">
        <f t="shared" si="42"/>
        <v>4.8762162734365054E-4</v>
      </c>
      <c r="CJ15" s="1434"/>
      <c r="CK15" s="3210">
        <v>4000</v>
      </c>
      <c r="CL15" s="3210">
        <f>CH15-CK15</f>
        <v>0</v>
      </c>
      <c r="CM15" s="3211"/>
      <c r="CN15" s="2192"/>
      <c r="CO15" s="2192"/>
    </row>
    <row r="16" spans="1:93" s="1396" customFormat="1" ht="24.6" customHeight="1">
      <c r="A16" s="2193"/>
      <c r="B16" s="3893" t="s">
        <v>21</v>
      </c>
      <c r="C16" s="2215">
        <v>2005</v>
      </c>
      <c r="D16" s="3894">
        <v>743799.17249999999</v>
      </c>
      <c r="E16" s="2180">
        <f t="shared" si="43"/>
        <v>745804.17249999999</v>
      </c>
      <c r="F16" s="1976">
        <f t="shared" si="26"/>
        <v>0.12551667822609949</v>
      </c>
      <c r="G16" s="2541"/>
      <c r="H16" s="2184">
        <v>0</v>
      </c>
      <c r="I16" s="2181">
        <v>0</v>
      </c>
      <c r="J16" s="2212">
        <f t="shared" si="61"/>
        <v>0</v>
      </c>
      <c r="K16" s="3350">
        <f t="shared" si="44"/>
        <v>0</v>
      </c>
      <c r="L16" s="2187"/>
      <c r="M16" s="2051">
        <v>0</v>
      </c>
      <c r="N16" s="2043">
        <v>699988</v>
      </c>
      <c r="O16" s="2045">
        <f t="shared" si="62"/>
        <v>699988</v>
      </c>
      <c r="P16" s="3350">
        <f t="shared" si="45"/>
        <v>9.572395714067071E-2</v>
      </c>
      <c r="Q16" s="2047"/>
      <c r="R16" s="2051">
        <f t="shared" si="46"/>
        <v>0</v>
      </c>
      <c r="S16" s="2043">
        <f t="shared" si="46"/>
        <v>0</v>
      </c>
      <c r="T16" s="2045">
        <f t="shared" si="63"/>
        <v>0</v>
      </c>
      <c r="U16" s="3350">
        <f t="shared" si="47"/>
        <v>0</v>
      </c>
      <c r="V16" s="2047"/>
      <c r="W16" s="2541"/>
      <c r="X16" s="2184"/>
      <c r="Y16" s="2181"/>
      <c r="Z16" s="2212">
        <f t="shared" si="64"/>
        <v>0</v>
      </c>
      <c r="AA16" s="3350" t="e">
        <f t="shared" si="27"/>
        <v>#DIV/0!</v>
      </c>
      <c r="AB16" s="2187"/>
      <c r="AC16" s="2184"/>
      <c r="AD16" s="2181"/>
      <c r="AE16" s="2212">
        <f t="shared" si="65"/>
        <v>0</v>
      </c>
      <c r="AF16" s="3350" t="e">
        <f t="shared" si="28"/>
        <v>#DIV/0!</v>
      </c>
      <c r="AG16" s="2187"/>
      <c r="AH16" s="2184"/>
      <c r="AI16" s="2181"/>
      <c r="AJ16" s="2212">
        <f t="shared" si="48"/>
        <v>0</v>
      </c>
      <c r="AK16" s="3350">
        <f t="shared" si="30"/>
        <v>0</v>
      </c>
      <c r="AL16" s="2187"/>
      <c r="AM16" s="2184"/>
      <c r="AN16" s="2181"/>
      <c r="AO16" s="2212">
        <f t="shared" si="49"/>
        <v>0</v>
      </c>
      <c r="AP16" s="3350" t="e">
        <f t="shared" si="30"/>
        <v>#DIV/0!</v>
      </c>
      <c r="AQ16" s="2187"/>
      <c r="AR16" s="2184"/>
      <c r="AS16" s="2181"/>
      <c r="AT16" s="2212">
        <f t="shared" si="50"/>
        <v>0</v>
      </c>
      <c r="AU16" s="3350" t="e">
        <f t="shared" si="30"/>
        <v>#DIV/0!</v>
      </c>
      <c r="AV16" s="2187"/>
      <c r="AW16" s="2184"/>
      <c r="AX16" s="2181"/>
      <c r="AY16" s="2212">
        <f t="shared" si="51"/>
        <v>0</v>
      </c>
      <c r="AZ16" s="3350" t="e">
        <f t="shared" si="30"/>
        <v>#DIV/0!</v>
      </c>
      <c r="BA16" s="2187"/>
      <c r="BB16" s="2184"/>
      <c r="BC16" s="2181"/>
      <c r="BD16" s="2212">
        <f t="shared" si="52"/>
        <v>0</v>
      </c>
      <c r="BE16" s="3350" t="e">
        <f t="shared" si="35"/>
        <v>#DIV/0!</v>
      </c>
      <c r="BF16" s="2187"/>
      <c r="BG16" s="2184"/>
      <c r="BH16" s="2181"/>
      <c r="BI16" s="2212">
        <f t="shared" si="53"/>
        <v>0</v>
      </c>
      <c r="BJ16" s="3350" t="e">
        <f t="shared" si="35"/>
        <v>#DIV/0!</v>
      </c>
      <c r="BK16" s="2187"/>
      <c r="BL16" s="2184"/>
      <c r="BM16" s="2181"/>
      <c r="BN16" s="2212">
        <f t="shared" si="54"/>
        <v>0</v>
      </c>
      <c r="BO16" s="3350" t="e">
        <f t="shared" si="35"/>
        <v>#DIV/0!</v>
      </c>
      <c r="BP16" s="2187"/>
      <c r="BQ16" s="2184"/>
      <c r="BR16" s="2181"/>
      <c r="BS16" s="2212">
        <f t="shared" si="55"/>
        <v>0</v>
      </c>
      <c r="BT16" s="3350" t="e">
        <f t="shared" si="35"/>
        <v>#DIV/0!</v>
      </c>
      <c r="BU16" s="2187"/>
      <c r="BV16" s="2184"/>
      <c r="BW16" s="2181"/>
      <c r="BX16" s="2212">
        <f t="shared" si="56"/>
        <v>0</v>
      </c>
      <c r="BY16" s="3350" t="e">
        <f t="shared" si="40"/>
        <v>#DIV/0!</v>
      </c>
      <c r="BZ16" s="2187"/>
      <c r="CA16" s="2184"/>
      <c r="CB16" s="2181"/>
      <c r="CC16" s="2212">
        <f t="shared" si="57"/>
        <v>0</v>
      </c>
      <c r="CD16" s="3350" t="e">
        <f t="shared" si="40"/>
        <v>#DIV/0!</v>
      </c>
      <c r="CE16" s="2187"/>
      <c r="CF16" s="2184">
        <f t="shared" si="58"/>
        <v>0</v>
      </c>
      <c r="CG16" s="2181">
        <f t="shared" si="58"/>
        <v>699988</v>
      </c>
      <c r="CH16" s="2212">
        <f t="shared" si="59"/>
        <v>699988</v>
      </c>
      <c r="CI16" s="3350">
        <f t="shared" si="42"/>
        <v>8.5332321920256818E-2</v>
      </c>
      <c r="CJ16" s="1434"/>
      <c r="CK16" s="3210">
        <v>699988</v>
      </c>
      <c r="CL16" s="3210">
        <f>CH16-CK16</f>
        <v>0</v>
      </c>
      <c r="CM16" s="3211"/>
      <c r="CN16" s="2192"/>
      <c r="CO16" s="2192"/>
    </row>
    <row r="17" spans="1:94" s="1396" customFormat="1" ht="24.6" customHeight="1">
      <c r="A17" s="2193"/>
      <c r="B17" s="3893" t="s">
        <v>22</v>
      </c>
      <c r="C17" s="2215"/>
      <c r="D17" s="3894"/>
      <c r="E17" s="2180">
        <f t="shared" si="43"/>
        <v>0</v>
      </c>
      <c r="F17" s="1976">
        <f t="shared" si="26"/>
        <v>0</v>
      </c>
      <c r="G17" s="2541"/>
      <c r="H17" s="2184">
        <v>0</v>
      </c>
      <c r="I17" s="2181">
        <v>0</v>
      </c>
      <c r="J17" s="2212">
        <f t="shared" si="61"/>
        <v>0</v>
      </c>
      <c r="K17" s="3350">
        <f t="shared" si="44"/>
        <v>0</v>
      </c>
      <c r="L17" s="2048"/>
      <c r="M17" s="2051">
        <v>0</v>
      </c>
      <c r="N17" s="2043">
        <v>0</v>
      </c>
      <c r="O17" s="2045">
        <f t="shared" si="62"/>
        <v>0</v>
      </c>
      <c r="P17" s="3350">
        <f t="shared" si="45"/>
        <v>0</v>
      </c>
      <c r="Q17" s="2048"/>
      <c r="R17" s="2051">
        <f t="shared" si="46"/>
        <v>0</v>
      </c>
      <c r="S17" s="2043">
        <f t="shared" si="46"/>
        <v>0</v>
      </c>
      <c r="T17" s="2045">
        <f t="shared" si="63"/>
        <v>0</v>
      </c>
      <c r="U17" s="3350">
        <f t="shared" si="47"/>
        <v>0</v>
      </c>
      <c r="V17" s="2048"/>
      <c r="W17" s="2541"/>
      <c r="X17" s="2184"/>
      <c r="Y17" s="2181"/>
      <c r="Z17" s="2212">
        <f t="shared" si="64"/>
        <v>0</v>
      </c>
      <c r="AA17" s="3350" t="e">
        <f t="shared" si="27"/>
        <v>#DIV/0!</v>
      </c>
      <c r="AB17" s="2048"/>
      <c r="AC17" s="2184"/>
      <c r="AD17" s="2181"/>
      <c r="AE17" s="2212">
        <f t="shared" si="65"/>
        <v>0</v>
      </c>
      <c r="AF17" s="3350" t="e">
        <f t="shared" si="28"/>
        <v>#DIV/0!</v>
      </c>
      <c r="AG17" s="2048"/>
      <c r="AH17" s="2184"/>
      <c r="AI17" s="2181"/>
      <c r="AJ17" s="2212">
        <f t="shared" si="48"/>
        <v>0</v>
      </c>
      <c r="AK17" s="3350">
        <f t="shared" si="30"/>
        <v>0</v>
      </c>
      <c r="AL17" s="2048"/>
      <c r="AM17" s="2184"/>
      <c r="AN17" s="2181"/>
      <c r="AO17" s="2212">
        <f t="shared" si="49"/>
        <v>0</v>
      </c>
      <c r="AP17" s="3350" t="e">
        <f t="shared" si="30"/>
        <v>#DIV/0!</v>
      </c>
      <c r="AQ17" s="2048"/>
      <c r="AR17" s="2184"/>
      <c r="AS17" s="2181"/>
      <c r="AT17" s="2212">
        <f t="shared" si="50"/>
        <v>0</v>
      </c>
      <c r="AU17" s="3350" t="e">
        <f t="shared" si="30"/>
        <v>#DIV/0!</v>
      </c>
      <c r="AV17" s="2048"/>
      <c r="AW17" s="2184"/>
      <c r="AX17" s="2181"/>
      <c r="AY17" s="2212">
        <f t="shared" si="51"/>
        <v>0</v>
      </c>
      <c r="AZ17" s="3350" t="e">
        <f t="shared" si="30"/>
        <v>#DIV/0!</v>
      </c>
      <c r="BA17" s="2048"/>
      <c r="BB17" s="2184"/>
      <c r="BC17" s="2181"/>
      <c r="BD17" s="2212">
        <f t="shared" si="52"/>
        <v>0</v>
      </c>
      <c r="BE17" s="3350" t="e">
        <f t="shared" si="35"/>
        <v>#DIV/0!</v>
      </c>
      <c r="BF17" s="2048"/>
      <c r="BG17" s="2184"/>
      <c r="BH17" s="2181"/>
      <c r="BI17" s="2212">
        <f t="shared" si="53"/>
        <v>0</v>
      </c>
      <c r="BJ17" s="3350" t="e">
        <f t="shared" si="35"/>
        <v>#DIV/0!</v>
      </c>
      <c r="BK17" s="2048"/>
      <c r="BL17" s="2184"/>
      <c r="BM17" s="2181"/>
      <c r="BN17" s="2212">
        <f t="shared" si="54"/>
        <v>0</v>
      </c>
      <c r="BO17" s="3350" t="e">
        <f t="shared" si="35"/>
        <v>#DIV/0!</v>
      </c>
      <c r="BP17" s="2048"/>
      <c r="BQ17" s="2184"/>
      <c r="BR17" s="2181"/>
      <c r="BS17" s="2212">
        <f t="shared" si="55"/>
        <v>0</v>
      </c>
      <c r="BT17" s="3350" t="e">
        <f t="shared" si="35"/>
        <v>#DIV/0!</v>
      </c>
      <c r="BU17" s="2048"/>
      <c r="BV17" s="2184"/>
      <c r="BW17" s="2181"/>
      <c r="BX17" s="2212">
        <f t="shared" si="56"/>
        <v>0</v>
      </c>
      <c r="BY17" s="3350" t="e">
        <f t="shared" si="40"/>
        <v>#DIV/0!</v>
      </c>
      <c r="BZ17" s="2048"/>
      <c r="CA17" s="2184"/>
      <c r="CB17" s="2181"/>
      <c r="CC17" s="2212">
        <f t="shared" si="57"/>
        <v>0</v>
      </c>
      <c r="CD17" s="3350" t="e">
        <f t="shared" si="40"/>
        <v>#DIV/0!</v>
      </c>
      <c r="CE17" s="2048"/>
      <c r="CF17" s="2184">
        <f t="shared" si="58"/>
        <v>0</v>
      </c>
      <c r="CG17" s="2181">
        <f t="shared" si="58"/>
        <v>0</v>
      </c>
      <c r="CH17" s="2212">
        <f t="shared" si="59"/>
        <v>0</v>
      </c>
      <c r="CI17" s="3350">
        <f t="shared" si="42"/>
        <v>0</v>
      </c>
      <c r="CJ17" s="1434"/>
      <c r="CK17" s="3213"/>
      <c r="CL17" s="3213"/>
      <c r="CM17" s="3211"/>
      <c r="CN17" s="2192"/>
      <c r="CO17" s="2192"/>
    </row>
    <row r="18" spans="1:94" s="1396" customFormat="1" ht="24.6" customHeight="1">
      <c r="A18" s="2193"/>
      <c r="B18" s="3893" t="s">
        <v>0</v>
      </c>
      <c r="C18" s="2215"/>
      <c r="D18" s="3894"/>
      <c r="E18" s="2180">
        <f t="shared" si="43"/>
        <v>0</v>
      </c>
      <c r="F18" s="1976">
        <f t="shared" si="26"/>
        <v>0</v>
      </c>
      <c r="G18" s="2541"/>
      <c r="H18" s="2184">
        <v>0</v>
      </c>
      <c r="I18" s="2181">
        <v>0</v>
      </c>
      <c r="J18" s="2212">
        <f t="shared" si="61"/>
        <v>0</v>
      </c>
      <c r="K18" s="3350">
        <f t="shared" si="44"/>
        <v>0</v>
      </c>
      <c r="L18" s="2187"/>
      <c r="M18" s="2051">
        <v>0</v>
      </c>
      <c r="N18" s="2043">
        <v>3000</v>
      </c>
      <c r="O18" s="2045">
        <f t="shared" si="62"/>
        <v>3000</v>
      </c>
      <c r="P18" s="3350">
        <f t="shared" si="45"/>
        <v>4.1025256350396311E-4</v>
      </c>
      <c r="Q18" s="2046"/>
      <c r="R18" s="2051">
        <f t="shared" si="46"/>
        <v>0</v>
      </c>
      <c r="S18" s="2043">
        <f t="shared" si="46"/>
        <v>0</v>
      </c>
      <c r="T18" s="2045">
        <f t="shared" si="63"/>
        <v>0</v>
      </c>
      <c r="U18" s="3350">
        <f t="shared" si="47"/>
        <v>0</v>
      </c>
      <c r="V18" s="2046"/>
      <c r="W18" s="2541"/>
      <c r="X18" s="2184"/>
      <c r="Y18" s="2181"/>
      <c r="Z18" s="2212">
        <f t="shared" si="64"/>
        <v>0</v>
      </c>
      <c r="AA18" s="3350" t="e">
        <f t="shared" si="27"/>
        <v>#DIV/0!</v>
      </c>
      <c r="AB18" s="2187"/>
      <c r="AC18" s="2184"/>
      <c r="AD18" s="2181"/>
      <c r="AE18" s="2212">
        <f t="shared" si="65"/>
        <v>0</v>
      </c>
      <c r="AF18" s="3350" t="e">
        <f t="shared" si="28"/>
        <v>#DIV/0!</v>
      </c>
      <c r="AG18" s="2187"/>
      <c r="AH18" s="2184"/>
      <c r="AI18" s="2181"/>
      <c r="AJ18" s="2212">
        <f t="shared" si="48"/>
        <v>0</v>
      </c>
      <c r="AK18" s="3350">
        <f t="shared" si="30"/>
        <v>0</v>
      </c>
      <c r="AL18" s="2187"/>
      <c r="AM18" s="2184"/>
      <c r="AN18" s="2181"/>
      <c r="AO18" s="2212">
        <f t="shared" si="49"/>
        <v>0</v>
      </c>
      <c r="AP18" s="3350" t="e">
        <f t="shared" si="30"/>
        <v>#DIV/0!</v>
      </c>
      <c r="AQ18" s="2187"/>
      <c r="AR18" s="2184"/>
      <c r="AS18" s="2181"/>
      <c r="AT18" s="2212">
        <f t="shared" si="50"/>
        <v>0</v>
      </c>
      <c r="AU18" s="3350" t="e">
        <f t="shared" si="30"/>
        <v>#DIV/0!</v>
      </c>
      <c r="AV18" s="2187"/>
      <c r="AW18" s="2184"/>
      <c r="AX18" s="2181"/>
      <c r="AY18" s="2212">
        <f t="shared" si="51"/>
        <v>0</v>
      </c>
      <c r="AZ18" s="3350" t="e">
        <f t="shared" si="30"/>
        <v>#DIV/0!</v>
      </c>
      <c r="BA18" s="2187"/>
      <c r="BB18" s="2184"/>
      <c r="BC18" s="2181"/>
      <c r="BD18" s="2212">
        <f t="shared" si="52"/>
        <v>0</v>
      </c>
      <c r="BE18" s="3350" t="e">
        <f t="shared" si="35"/>
        <v>#DIV/0!</v>
      </c>
      <c r="BF18" s="2187"/>
      <c r="BG18" s="2184"/>
      <c r="BH18" s="2181"/>
      <c r="BI18" s="2212">
        <f t="shared" si="53"/>
        <v>0</v>
      </c>
      <c r="BJ18" s="3350" t="e">
        <f t="shared" si="35"/>
        <v>#DIV/0!</v>
      </c>
      <c r="BK18" s="2187"/>
      <c r="BL18" s="2184"/>
      <c r="BM18" s="2181"/>
      <c r="BN18" s="2212">
        <f t="shared" si="54"/>
        <v>0</v>
      </c>
      <c r="BO18" s="3350" t="e">
        <f t="shared" si="35"/>
        <v>#DIV/0!</v>
      </c>
      <c r="BP18" s="2187"/>
      <c r="BQ18" s="2184"/>
      <c r="BR18" s="2181"/>
      <c r="BS18" s="2212">
        <f t="shared" si="55"/>
        <v>0</v>
      </c>
      <c r="BT18" s="3350" t="e">
        <f t="shared" si="35"/>
        <v>#DIV/0!</v>
      </c>
      <c r="BU18" s="2187"/>
      <c r="BV18" s="2184"/>
      <c r="BW18" s="2181"/>
      <c r="BX18" s="2212">
        <f t="shared" si="56"/>
        <v>0</v>
      </c>
      <c r="BY18" s="3350" t="e">
        <f t="shared" si="40"/>
        <v>#DIV/0!</v>
      </c>
      <c r="BZ18" s="2187"/>
      <c r="CA18" s="2184"/>
      <c r="CB18" s="2181"/>
      <c r="CC18" s="2212">
        <f t="shared" si="57"/>
        <v>0</v>
      </c>
      <c r="CD18" s="3350" t="e">
        <f t="shared" si="40"/>
        <v>#DIV/0!</v>
      </c>
      <c r="CE18" s="2187"/>
      <c r="CF18" s="2184">
        <f t="shared" si="58"/>
        <v>0</v>
      </c>
      <c r="CG18" s="2181">
        <f t="shared" si="58"/>
        <v>3000</v>
      </c>
      <c r="CH18" s="2212">
        <f t="shared" si="59"/>
        <v>3000</v>
      </c>
      <c r="CI18" s="3350">
        <f t="shared" si="42"/>
        <v>3.6571622050773792E-4</v>
      </c>
      <c r="CJ18" s="1434"/>
      <c r="CK18" s="3210">
        <v>3000</v>
      </c>
      <c r="CL18" s="3210">
        <f>CH18-CK18</f>
        <v>0</v>
      </c>
      <c r="CM18" s="3211"/>
      <c r="CN18" s="2192"/>
      <c r="CO18" s="2192"/>
    </row>
    <row r="19" spans="1:94" s="1396" customFormat="1" ht="24.6" customHeight="1">
      <c r="A19" s="2193"/>
      <c r="B19" s="3893" t="s">
        <v>53</v>
      </c>
      <c r="C19" s="3895">
        <v>2745.27</v>
      </c>
      <c r="D19" s="3894">
        <v>10000</v>
      </c>
      <c r="E19" s="2180">
        <f t="shared" si="43"/>
        <v>12745.27</v>
      </c>
      <c r="F19" s="1976">
        <f t="shared" si="26"/>
        <v>2.1449919596618497E-3</v>
      </c>
      <c r="G19" s="2541"/>
      <c r="H19" s="2184">
        <v>0</v>
      </c>
      <c r="I19" s="2181">
        <v>0</v>
      </c>
      <c r="J19" s="2212">
        <f t="shared" si="61"/>
        <v>0</v>
      </c>
      <c r="K19" s="3350">
        <f t="shared" si="44"/>
        <v>0</v>
      </c>
      <c r="L19" s="2048"/>
      <c r="M19" s="2051">
        <v>0</v>
      </c>
      <c r="N19" s="2043">
        <v>2000</v>
      </c>
      <c r="O19" s="2045">
        <f t="shared" si="62"/>
        <v>2000</v>
      </c>
      <c r="P19" s="3350">
        <f t="shared" si="45"/>
        <v>2.7350170900264207E-4</v>
      </c>
      <c r="Q19" s="2048"/>
      <c r="R19" s="2051">
        <f t="shared" si="46"/>
        <v>0</v>
      </c>
      <c r="S19" s="2043">
        <f t="shared" si="46"/>
        <v>0</v>
      </c>
      <c r="T19" s="2045">
        <f t="shared" si="63"/>
        <v>0</v>
      </c>
      <c r="U19" s="3350">
        <f t="shared" si="47"/>
        <v>0</v>
      </c>
      <c r="V19" s="2048"/>
      <c r="W19" s="2541"/>
      <c r="X19" s="2184"/>
      <c r="Y19" s="2181"/>
      <c r="Z19" s="2212">
        <f t="shared" si="64"/>
        <v>0</v>
      </c>
      <c r="AA19" s="3350" t="e">
        <f t="shared" si="27"/>
        <v>#DIV/0!</v>
      </c>
      <c r="AB19" s="2048"/>
      <c r="AC19" s="2184"/>
      <c r="AD19" s="2181"/>
      <c r="AE19" s="2212">
        <f t="shared" si="65"/>
        <v>0</v>
      </c>
      <c r="AF19" s="3350" t="e">
        <f t="shared" si="28"/>
        <v>#DIV/0!</v>
      </c>
      <c r="AG19" s="2048"/>
      <c r="AH19" s="2184"/>
      <c r="AI19" s="2181"/>
      <c r="AJ19" s="2212">
        <f t="shared" si="48"/>
        <v>0</v>
      </c>
      <c r="AK19" s="3350">
        <f t="shared" si="30"/>
        <v>0</v>
      </c>
      <c r="AL19" s="2048"/>
      <c r="AM19" s="2184"/>
      <c r="AN19" s="2181"/>
      <c r="AO19" s="2212">
        <f t="shared" si="49"/>
        <v>0</v>
      </c>
      <c r="AP19" s="3350" t="e">
        <f t="shared" si="30"/>
        <v>#DIV/0!</v>
      </c>
      <c r="AQ19" s="2048"/>
      <c r="AR19" s="2184"/>
      <c r="AS19" s="2181"/>
      <c r="AT19" s="2212">
        <f t="shared" si="50"/>
        <v>0</v>
      </c>
      <c r="AU19" s="3350" t="e">
        <f t="shared" si="30"/>
        <v>#DIV/0!</v>
      </c>
      <c r="AV19" s="2048"/>
      <c r="AW19" s="2184"/>
      <c r="AX19" s="2181"/>
      <c r="AY19" s="2212">
        <f t="shared" si="51"/>
        <v>0</v>
      </c>
      <c r="AZ19" s="3350" t="e">
        <f t="shared" si="30"/>
        <v>#DIV/0!</v>
      </c>
      <c r="BA19" s="2048"/>
      <c r="BB19" s="2184"/>
      <c r="BC19" s="2181"/>
      <c r="BD19" s="2212">
        <f t="shared" si="52"/>
        <v>0</v>
      </c>
      <c r="BE19" s="3350" t="e">
        <f t="shared" si="35"/>
        <v>#DIV/0!</v>
      </c>
      <c r="BF19" s="2048"/>
      <c r="BG19" s="2184"/>
      <c r="BH19" s="2181"/>
      <c r="BI19" s="2212">
        <f t="shared" si="53"/>
        <v>0</v>
      </c>
      <c r="BJ19" s="3350" t="e">
        <f t="shared" si="35"/>
        <v>#DIV/0!</v>
      </c>
      <c r="BK19" s="2048"/>
      <c r="BL19" s="2184"/>
      <c r="BM19" s="2181"/>
      <c r="BN19" s="2212">
        <f t="shared" si="54"/>
        <v>0</v>
      </c>
      <c r="BO19" s="3350" t="e">
        <f t="shared" si="35"/>
        <v>#DIV/0!</v>
      </c>
      <c r="BP19" s="2048"/>
      <c r="BQ19" s="2184"/>
      <c r="BR19" s="2181"/>
      <c r="BS19" s="2212">
        <f t="shared" si="55"/>
        <v>0</v>
      </c>
      <c r="BT19" s="3350" t="e">
        <f t="shared" si="35"/>
        <v>#DIV/0!</v>
      </c>
      <c r="BU19" s="2048"/>
      <c r="BV19" s="2184"/>
      <c r="BW19" s="2181"/>
      <c r="BX19" s="2212">
        <f t="shared" si="56"/>
        <v>0</v>
      </c>
      <c r="BY19" s="3350" t="e">
        <f t="shared" si="40"/>
        <v>#DIV/0!</v>
      </c>
      <c r="BZ19" s="2048"/>
      <c r="CA19" s="2184"/>
      <c r="CB19" s="2181"/>
      <c r="CC19" s="2212">
        <f t="shared" si="57"/>
        <v>0</v>
      </c>
      <c r="CD19" s="3350" t="e">
        <f t="shared" si="40"/>
        <v>#DIV/0!</v>
      </c>
      <c r="CE19" s="2048"/>
      <c r="CF19" s="2184">
        <f t="shared" si="58"/>
        <v>0</v>
      </c>
      <c r="CG19" s="2181">
        <f t="shared" si="58"/>
        <v>2000</v>
      </c>
      <c r="CH19" s="2212">
        <f t="shared" si="59"/>
        <v>2000</v>
      </c>
      <c r="CI19" s="3350">
        <f t="shared" si="42"/>
        <v>2.4381081367182527E-4</v>
      </c>
      <c r="CJ19" s="1434"/>
      <c r="CK19" s="3217">
        <v>15200</v>
      </c>
      <c r="CL19" s="3217">
        <f>CH19-CK19</f>
        <v>-13200</v>
      </c>
      <c r="CM19" s="3211" t="s">
        <v>1809</v>
      </c>
      <c r="CN19" s="2192"/>
      <c r="CO19" s="2192"/>
    </row>
    <row r="20" spans="1:94" s="1396" customFormat="1" ht="24.6" customHeight="1">
      <c r="A20" s="2193"/>
      <c r="B20" s="3893" t="s">
        <v>57</v>
      </c>
      <c r="C20" s="3895"/>
      <c r="D20" s="3894"/>
      <c r="E20" s="2180">
        <f t="shared" si="43"/>
        <v>0</v>
      </c>
      <c r="F20" s="1976">
        <f t="shared" si="26"/>
        <v>0</v>
      </c>
      <c r="G20" s="2541"/>
      <c r="H20" s="2184">
        <v>0</v>
      </c>
      <c r="I20" s="2181">
        <v>0</v>
      </c>
      <c r="J20" s="2212">
        <f t="shared" si="61"/>
        <v>0</v>
      </c>
      <c r="K20" s="3350">
        <f t="shared" si="44"/>
        <v>0</v>
      </c>
      <c r="L20" s="2048"/>
      <c r="M20" s="2051">
        <v>0</v>
      </c>
      <c r="N20" s="2043">
        <v>0</v>
      </c>
      <c r="O20" s="2045">
        <f t="shared" si="62"/>
        <v>0</v>
      </c>
      <c r="P20" s="3350">
        <f t="shared" si="45"/>
        <v>0</v>
      </c>
      <c r="Q20" s="2048"/>
      <c r="R20" s="2051">
        <f t="shared" si="46"/>
        <v>0</v>
      </c>
      <c r="S20" s="2043">
        <f t="shared" si="46"/>
        <v>0</v>
      </c>
      <c r="T20" s="2045">
        <f t="shared" si="63"/>
        <v>0</v>
      </c>
      <c r="U20" s="3350">
        <f t="shared" si="47"/>
        <v>0</v>
      </c>
      <c r="V20" s="2048"/>
      <c r="W20" s="2541"/>
      <c r="X20" s="2184"/>
      <c r="Y20" s="2181"/>
      <c r="Z20" s="2212">
        <f t="shared" si="64"/>
        <v>0</v>
      </c>
      <c r="AA20" s="3350" t="e">
        <f t="shared" si="27"/>
        <v>#DIV/0!</v>
      </c>
      <c r="AB20" s="2048"/>
      <c r="AC20" s="2184"/>
      <c r="AD20" s="2181"/>
      <c r="AE20" s="2212">
        <f t="shared" si="65"/>
        <v>0</v>
      </c>
      <c r="AF20" s="3350" t="e">
        <f t="shared" si="28"/>
        <v>#DIV/0!</v>
      </c>
      <c r="AG20" s="2048"/>
      <c r="AH20" s="2184"/>
      <c r="AI20" s="2181"/>
      <c r="AJ20" s="2212">
        <f t="shared" si="48"/>
        <v>0</v>
      </c>
      <c r="AK20" s="3350">
        <f t="shared" si="30"/>
        <v>0</v>
      </c>
      <c r="AL20" s="2048"/>
      <c r="AM20" s="2184"/>
      <c r="AN20" s="2181"/>
      <c r="AO20" s="2212">
        <f t="shared" si="49"/>
        <v>0</v>
      </c>
      <c r="AP20" s="3350" t="e">
        <f t="shared" si="30"/>
        <v>#DIV/0!</v>
      </c>
      <c r="AQ20" s="2048"/>
      <c r="AR20" s="2184"/>
      <c r="AS20" s="2181"/>
      <c r="AT20" s="2212">
        <f t="shared" si="50"/>
        <v>0</v>
      </c>
      <c r="AU20" s="3350" t="e">
        <f t="shared" si="30"/>
        <v>#DIV/0!</v>
      </c>
      <c r="AV20" s="2048"/>
      <c r="AW20" s="2184"/>
      <c r="AX20" s="2181"/>
      <c r="AY20" s="2212">
        <f t="shared" si="51"/>
        <v>0</v>
      </c>
      <c r="AZ20" s="3350" t="e">
        <f t="shared" si="30"/>
        <v>#DIV/0!</v>
      </c>
      <c r="BA20" s="2048"/>
      <c r="BB20" s="2184"/>
      <c r="BC20" s="2181"/>
      <c r="BD20" s="2212">
        <f t="shared" si="52"/>
        <v>0</v>
      </c>
      <c r="BE20" s="3350" t="e">
        <f t="shared" si="35"/>
        <v>#DIV/0!</v>
      </c>
      <c r="BF20" s="2048"/>
      <c r="BG20" s="2184"/>
      <c r="BH20" s="2181"/>
      <c r="BI20" s="2212">
        <f t="shared" si="53"/>
        <v>0</v>
      </c>
      <c r="BJ20" s="3350" t="e">
        <f t="shared" si="35"/>
        <v>#DIV/0!</v>
      </c>
      <c r="BK20" s="2048"/>
      <c r="BL20" s="2184"/>
      <c r="BM20" s="2181"/>
      <c r="BN20" s="2212">
        <f t="shared" si="54"/>
        <v>0</v>
      </c>
      <c r="BO20" s="3350" t="e">
        <f t="shared" si="35"/>
        <v>#DIV/0!</v>
      </c>
      <c r="BP20" s="2048"/>
      <c r="BQ20" s="2184"/>
      <c r="BR20" s="2181"/>
      <c r="BS20" s="2212">
        <f t="shared" si="55"/>
        <v>0</v>
      </c>
      <c r="BT20" s="3350" t="e">
        <f t="shared" si="35"/>
        <v>#DIV/0!</v>
      </c>
      <c r="BU20" s="2048"/>
      <c r="BV20" s="2184"/>
      <c r="BW20" s="2181"/>
      <c r="BX20" s="2212">
        <f t="shared" si="56"/>
        <v>0</v>
      </c>
      <c r="BY20" s="3350" t="e">
        <f t="shared" si="40"/>
        <v>#DIV/0!</v>
      </c>
      <c r="BZ20" s="2048"/>
      <c r="CA20" s="2184"/>
      <c r="CB20" s="2181"/>
      <c r="CC20" s="2212">
        <f t="shared" si="57"/>
        <v>0</v>
      </c>
      <c r="CD20" s="3350" t="e">
        <f t="shared" si="40"/>
        <v>#DIV/0!</v>
      </c>
      <c r="CE20" s="2048"/>
      <c r="CF20" s="2184">
        <f t="shared" si="58"/>
        <v>0</v>
      </c>
      <c r="CG20" s="2181">
        <f t="shared" si="58"/>
        <v>0</v>
      </c>
      <c r="CH20" s="2212">
        <f t="shared" si="59"/>
        <v>0</v>
      </c>
      <c r="CI20" s="3350">
        <f t="shared" si="42"/>
        <v>0</v>
      </c>
      <c r="CJ20" s="1434"/>
      <c r="CK20" s="3213"/>
      <c r="CL20" s="3213"/>
      <c r="CM20" s="3211"/>
      <c r="CN20" s="2192"/>
      <c r="CO20" s="2192"/>
    </row>
    <row r="21" spans="1:94" s="1396" customFormat="1" ht="24.6" customHeight="1">
      <c r="A21" s="2193"/>
      <c r="B21" s="3893" t="s">
        <v>58</v>
      </c>
      <c r="C21" s="3895">
        <v>384575.17000000004</v>
      </c>
      <c r="D21" s="3894"/>
      <c r="E21" s="2180">
        <f t="shared" si="43"/>
        <v>384575.17000000004</v>
      </c>
      <c r="F21" s="1976">
        <f t="shared" si="26"/>
        <v>6.4722885237863848E-2</v>
      </c>
      <c r="G21" s="2541"/>
      <c r="H21" s="2184">
        <f>100083.35+37966.58</f>
        <v>138049.93</v>
      </c>
      <c r="I21" s="2181">
        <v>0</v>
      </c>
      <c r="J21" s="2212">
        <f t="shared" si="61"/>
        <v>138049.93</v>
      </c>
      <c r="K21" s="3350">
        <f t="shared" si="44"/>
        <v>0.40143750466902145</v>
      </c>
      <c r="L21" s="2048"/>
      <c r="M21" s="2051">
        <v>840578.09000000008</v>
      </c>
      <c r="N21" s="2043">
        <v>0</v>
      </c>
      <c r="O21" s="2045">
        <f t="shared" si="62"/>
        <v>840578.09000000008</v>
      </c>
      <c r="P21" s="3350">
        <f t="shared" si="45"/>
        <v>0.11494977208258834</v>
      </c>
      <c r="Q21" s="2048"/>
      <c r="R21" s="2051">
        <f t="shared" si="46"/>
        <v>0</v>
      </c>
      <c r="S21" s="2043">
        <f t="shared" si="46"/>
        <v>0</v>
      </c>
      <c r="T21" s="2045">
        <f t="shared" si="63"/>
        <v>0</v>
      </c>
      <c r="U21" s="3350">
        <f t="shared" si="47"/>
        <v>0</v>
      </c>
      <c r="V21" s="2048"/>
      <c r="W21" s="2541"/>
      <c r="X21" s="2184"/>
      <c r="Y21" s="2181"/>
      <c r="Z21" s="2212">
        <f t="shared" si="64"/>
        <v>0</v>
      </c>
      <c r="AA21" s="3350" t="e">
        <f>Z21/Z$89</f>
        <v>#DIV/0!</v>
      </c>
      <c r="AB21" s="2187"/>
      <c r="AC21" s="2184"/>
      <c r="AD21" s="2181"/>
      <c r="AE21" s="2212">
        <f t="shared" si="65"/>
        <v>0</v>
      </c>
      <c r="AF21" s="3350" t="e">
        <f>AE21/AE$89</f>
        <v>#DIV/0!</v>
      </c>
      <c r="AG21" s="2187"/>
      <c r="AH21" s="2184"/>
      <c r="AI21" s="2181"/>
      <c r="AJ21" s="2212">
        <f t="shared" si="48"/>
        <v>0</v>
      </c>
      <c r="AK21" s="3350">
        <f t="shared" si="30"/>
        <v>0</v>
      </c>
      <c r="AL21" s="2187"/>
      <c r="AM21" s="2184"/>
      <c r="AN21" s="2181"/>
      <c r="AO21" s="2212">
        <f t="shared" si="49"/>
        <v>0</v>
      </c>
      <c r="AP21" s="3350" t="e">
        <f t="shared" si="30"/>
        <v>#DIV/0!</v>
      </c>
      <c r="AQ21" s="2187"/>
      <c r="AR21" s="2184"/>
      <c r="AS21" s="2181"/>
      <c r="AT21" s="2212">
        <f t="shared" si="50"/>
        <v>0</v>
      </c>
      <c r="AU21" s="3350" t="e">
        <f t="shared" si="30"/>
        <v>#DIV/0!</v>
      </c>
      <c r="AV21" s="2187"/>
      <c r="AW21" s="2184"/>
      <c r="AX21" s="2181"/>
      <c r="AY21" s="2212">
        <f t="shared" si="51"/>
        <v>0</v>
      </c>
      <c r="AZ21" s="3350" t="e">
        <f t="shared" si="30"/>
        <v>#DIV/0!</v>
      </c>
      <c r="BA21" s="2187"/>
      <c r="BB21" s="2184"/>
      <c r="BC21" s="2181"/>
      <c r="BD21" s="2212">
        <f t="shared" si="52"/>
        <v>0</v>
      </c>
      <c r="BE21" s="3350" t="e">
        <f t="shared" si="35"/>
        <v>#DIV/0!</v>
      </c>
      <c r="BF21" s="2187"/>
      <c r="BG21" s="2184"/>
      <c r="BH21" s="2181"/>
      <c r="BI21" s="2212">
        <f t="shared" si="53"/>
        <v>0</v>
      </c>
      <c r="BJ21" s="3350" t="e">
        <f t="shared" si="35"/>
        <v>#DIV/0!</v>
      </c>
      <c r="BK21" s="2187"/>
      <c r="BL21" s="2184"/>
      <c r="BM21" s="2181"/>
      <c r="BN21" s="2212">
        <f t="shared" si="54"/>
        <v>0</v>
      </c>
      <c r="BO21" s="3350" t="e">
        <f t="shared" si="35"/>
        <v>#DIV/0!</v>
      </c>
      <c r="BP21" s="2187"/>
      <c r="BQ21" s="2184"/>
      <c r="BR21" s="2181"/>
      <c r="BS21" s="2212">
        <f t="shared" si="55"/>
        <v>0</v>
      </c>
      <c r="BT21" s="3350" t="e">
        <f t="shared" si="35"/>
        <v>#DIV/0!</v>
      </c>
      <c r="BU21" s="2187"/>
      <c r="BV21" s="2184"/>
      <c r="BW21" s="2181"/>
      <c r="BX21" s="2212">
        <f t="shared" si="56"/>
        <v>0</v>
      </c>
      <c r="BY21" s="3350" t="e">
        <f t="shared" si="40"/>
        <v>#DIV/0!</v>
      </c>
      <c r="BZ21" s="2187"/>
      <c r="CA21" s="2184"/>
      <c r="CB21" s="2181"/>
      <c r="CC21" s="2212">
        <f t="shared" si="57"/>
        <v>0</v>
      </c>
      <c r="CD21" s="3350" t="e">
        <f t="shared" si="40"/>
        <v>#DIV/0!</v>
      </c>
      <c r="CE21" s="2187"/>
      <c r="CF21" s="2184">
        <f t="shared" si="58"/>
        <v>978628.02</v>
      </c>
      <c r="CG21" s="2181">
        <f t="shared" si="58"/>
        <v>0</v>
      </c>
      <c r="CH21" s="2181">
        <f t="shared" si="59"/>
        <v>978628.02</v>
      </c>
      <c r="CI21" s="3350">
        <f t="shared" si="42"/>
        <v>0.11930004691912366</v>
      </c>
      <c r="CJ21" s="1434"/>
      <c r="CK21" s="3210">
        <v>978628.02</v>
      </c>
      <c r="CL21" s="3210">
        <f>CH21-CK21</f>
        <v>0</v>
      </c>
      <c r="CM21" s="3211" t="s">
        <v>1810</v>
      </c>
      <c r="CN21" s="2192"/>
      <c r="CO21" s="2192"/>
    </row>
    <row r="22" spans="1:94" s="1396" customFormat="1" ht="24.6" customHeight="1">
      <c r="A22" s="2193"/>
      <c r="B22" s="3893" t="s">
        <v>621</v>
      </c>
      <c r="C22" s="3895"/>
      <c r="D22" s="3894"/>
      <c r="E22" s="2180">
        <f t="shared" si="43"/>
        <v>0</v>
      </c>
      <c r="F22" s="1976">
        <f t="shared" si="26"/>
        <v>0</v>
      </c>
      <c r="G22" s="2541"/>
      <c r="H22" s="2184">
        <f>3840+7392</f>
        <v>11232</v>
      </c>
      <c r="I22" s="2181">
        <v>0</v>
      </c>
      <c r="J22" s="2212">
        <f t="shared" si="61"/>
        <v>11232</v>
      </c>
      <c r="K22" s="3350">
        <f t="shared" si="44"/>
        <v>3.2661704735688378E-2</v>
      </c>
      <c r="L22" s="2048"/>
      <c r="M22" s="2051">
        <v>79488</v>
      </c>
      <c r="N22" s="2043">
        <v>3000</v>
      </c>
      <c r="O22" s="2045">
        <f t="shared" si="62"/>
        <v>82488</v>
      </c>
      <c r="P22" s="3350">
        <f t="shared" si="45"/>
        <v>1.128030448610497E-2</v>
      </c>
      <c r="Q22" s="2048"/>
      <c r="R22" s="2051">
        <f t="shared" si="46"/>
        <v>0</v>
      </c>
      <c r="S22" s="2043">
        <f t="shared" si="46"/>
        <v>0</v>
      </c>
      <c r="T22" s="2045">
        <f t="shared" si="63"/>
        <v>0</v>
      </c>
      <c r="U22" s="3350">
        <f t="shared" si="47"/>
        <v>0</v>
      </c>
      <c r="V22" s="2048"/>
      <c r="W22" s="2541"/>
      <c r="X22" s="2184"/>
      <c r="Y22" s="2181"/>
      <c r="Z22" s="2212">
        <f t="shared" si="64"/>
        <v>0</v>
      </c>
      <c r="AA22" s="3350" t="e">
        <f t="shared" si="27"/>
        <v>#DIV/0!</v>
      </c>
      <c r="AB22" s="2187"/>
      <c r="AC22" s="2184"/>
      <c r="AD22" s="2181"/>
      <c r="AE22" s="2212">
        <f t="shared" si="65"/>
        <v>0</v>
      </c>
      <c r="AF22" s="3350" t="e">
        <f t="shared" si="28"/>
        <v>#DIV/0!</v>
      </c>
      <c r="AG22" s="2187"/>
      <c r="AH22" s="2184"/>
      <c r="AI22" s="2181"/>
      <c r="AJ22" s="2212">
        <f t="shared" si="48"/>
        <v>0</v>
      </c>
      <c r="AK22" s="3350">
        <f t="shared" si="30"/>
        <v>0</v>
      </c>
      <c r="AL22" s="2187"/>
      <c r="AM22" s="2184"/>
      <c r="AN22" s="2181"/>
      <c r="AO22" s="2212">
        <f t="shared" si="49"/>
        <v>0</v>
      </c>
      <c r="AP22" s="3350" t="e">
        <f t="shared" si="30"/>
        <v>#DIV/0!</v>
      </c>
      <c r="AQ22" s="2187"/>
      <c r="AR22" s="2184"/>
      <c r="AS22" s="2181"/>
      <c r="AT22" s="2212">
        <f t="shared" si="50"/>
        <v>0</v>
      </c>
      <c r="AU22" s="3350" t="e">
        <f t="shared" si="30"/>
        <v>#DIV/0!</v>
      </c>
      <c r="AV22" s="2187"/>
      <c r="AW22" s="2184"/>
      <c r="AX22" s="2181"/>
      <c r="AY22" s="2212">
        <f t="shared" si="51"/>
        <v>0</v>
      </c>
      <c r="AZ22" s="3350" t="e">
        <f t="shared" si="30"/>
        <v>#DIV/0!</v>
      </c>
      <c r="BA22" s="2187"/>
      <c r="BB22" s="2184"/>
      <c r="BC22" s="2181"/>
      <c r="BD22" s="2212">
        <f t="shared" si="52"/>
        <v>0</v>
      </c>
      <c r="BE22" s="3350" t="e">
        <f t="shared" si="35"/>
        <v>#DIV/0!</v>
      </c>
      <c r="BF22" s="2187"/>
      <c r="BG22" s="2184"/>
      <c r="BH22" s="2181"/>
      <c r="BI22" s="2212">
        <f t="shared" si="53"/>
        <v>0</v>
      </c>
      <c r="BJ22" s="3350" t="e">
        <f t="shared" si="35"/>
        <v>#DIV/0!</v>
      </c>
      <c r="BK22" s="2187"/>
      <c r="BL22" s="2184"/>
      <c r="BM22" s="2181"/>
      <c r="BN22" s="2212">
        <f t="shared" si="54"/>
        <v>0</v>
      </c>
      <c r="BO22" s="3350" t="e">
        <f t="shared" si="35"/>
        <v>#DIV/0!</v>
      </c>
      <c r="BP22" s="2187"/>
      <c r="BQ22" s="2184"/>
      <c r="BR22" s="2181"/>
      <c r="BS22" s="2212">
        <f t="shared" si="55"/>
        <v>0</v>
      </c>
      <c r="BT22" s="3350" t="e">
        <f t="shared" si="35"/>
        <v>#DIV/0!</v>
      </c>
      <c r="BU22" s="2187"/>
      <c r="BV22" s="2184"/>
      <c r="BW22" s="2181"/>
      <c r="BX22" s="2212">
        <f t="shared" si="56"/>
        <v>0</v>
      </c>
      <c r="BY22" s="3350" t="e">
        <f t="shared" si="40"/>
        <v>#DIV/0!</v>
      </c>
      <c r="BZ22" s="2187"/>
      <c r="CA22" s="2184"/>
      <c r="CB22" s="2181"/>
      <c r="CC22" s="2212">
        <f t="shared" si="57"/>
        <v>0</v>
      </c>
      <c r="CD22" s="3350" t="e">
        <f t="shared" si="40"/>
        <v>#DIV/0!</v>
      </c>
      <c r="CE22" s="2187"/>
      <c r="CF22" s="2184">
        <f t="shared" si="58"/>
        <v>90720</v>
      </c>
      <c r="CG22" s="2181">
        <f t="shared" si="58"/>
        <v>3000</v>
      </c>
      <c r="CH22" s="2212">
        <f t="shared" si="59"/>
        <v>93720</v>
      </c>
      <c r="CI22" s="3350">
        <f t="shared" si="42"/>
        <v>1.1424974728661733E-2</v>
      </c>
      <c r="CJ22" s="1434"/>
      <c r="CK22" s="3210">
        <v>93720</v>
      </c>
      <c r="CL22" s="3210">
        <f>CH22-CK22</f>
        <v>0</v>
      </c>
      <c r="CM22" s="3211"/>
      <c r="CN22" s="2192"/>
      <c r="CO22" s="2192"/>
    </row>
    <row r="23" spans="1:94" s="1396" customFormat="1" ht="24.6" customHeight="1">
      <c r="A23" s="2193"/>
      <c r="B23" s="3893" t="s">
        <v>630</v>
      </c>
      <c r="C23" s="3895"/>
      <c r="D23" s="3894"/>
      <c r="E23" s="2180">
        <f t="shared" si="43"/>
        <v>0</v>
      </c>
      <c r="F23" s="1976">
        <f t="shared" si="26"/>
        <v>0</v>
      </c>
      <c r="G23" s="2541"/>
      <c r="H23" s="2184">
        <v>0</v>
      </c>
      <c r="I23" s="2181">
        <v>0</v>
      </c>
      <c r="J23" s="2212">
        <f t="shared" si="61"/>
        <v>0</v>
      </c>
      <c r="K23" s="3350">
        <f t="shared" si="44"/>
        <v>0</v>
      </c>
      <c r="L23" s="2048"/>
      <c r="M23" s="2051">
        <v>0</v>
      </c>
      <c r="N23" s="2043">
        <v>0</v>
      </c>
      <c r="O23" s="2045">
        <f t="shared" si="62"/>
        <v>0</v>
      </c>
      <c r="P23" s="3350">
        <f t="shared" si="45"/>
        <v>0</v>
      </c>
      <c r="Q23" s="2048"/>
      <c r="R23" s="2051">
        <f t="shared" si="46"/>
        <v>0</v>
      </c>
      <c r="S23" s="2043">
        <f t="shared" si="46"/>
        <v>0</v>
      </c>
      <c r="T23" s="2045">
        <f t="shared" si="63"/>
        <v>0</v>
      </c>
      <c r="U23" s="3350">
        <f t="shared" si="47"/>
        <v>0</v>
      </c>
      <c r="V23" s="2048"/>
      <c r="W23" s="2541"/>
      <c r="X23" s="2184"/>
      <c r="Y23" s="2181"/>
      <c r="Z23" s="2212">
        <f t="shared" si="64"/>
        <v>0</v>
      </c>
      <c r="AA23" s="3350" t="e">
        <f t="shared" si="27"/>
        <v>#DIV/0!</v>
      </c>
      <c r="AB23" s="2048"/>
      <c r="AC23" s="2184"/>
      <c r="AD23" s="2181"/>
      <c r="AE23" s="2212">
        <f t="shared" si="65"/>
        <v>0</v>
      </c>
      <c r="AF23" s="3350" t="e">
        <f t="shared" si="28"/>
        <v>#DIV/0!</v>
      </c>
      <c r="AG23" s="2048"/>
      <c r="AH23" s="2184"/>
      <c r="AI23" s="2181"/>
      <c r="AJ23" s="2212">
        <f t="shared" si="48"/>
        <v>0</v>
      </c>
      <c r="AK23" s="3350">
        <f t="shared" si="30"/>
        <v>0</v>
      </c>
      <c r="AL23" s="2048"/>
      <c r="AM23" s="2184"/>
      <c r="AN23" s="2181"/>
      <c r="AO23" s="2212">
        <f t="shared" si="49"/>
        <v>0</v>
      </c>
      <c r="AP23" s="3350" t="e">
        <f t="shared" si="30"/>
        <v>#DIV/0!</v>
      </c>
      <c r="AQ23" s="2048"/>
      <c r="AR23" s="2184"/>
      <c r="AS23" s="2181"/>
      <c r="AT23" s="2212">
        <f t="shared" si="50"/>
        <v>0</v>
      </c>
      <c r="AU23" s="3350" t="e">
        <f t="shared" si="30"/>
        <v>#DIV/0!</v>
      </c>
      <c r="AV23" s="2048"/>
      <c r="AW23" s="2184"/>
      <c r="AX23" s="2181"/>
      <c r="AY23" s="2212">
        <f t="shared" si="51"/>
        <v>0</v>
      </c>
      <c r="AZ23" s="3350" t="e">
        <f t="shared" si="30"/>
        <v>#DIV/0!</v>
      </c>
      <c r="BA23" s="2048"/>
      <c r="BB23" s="2184"/>
      <c r="BC23" s="2181"/>
      <c r="BD23" s="2212">
        <f t="shared" si="52"/>
        <v>0</v>
      </c>
      <c r="BE23" s="3350" t="e">
        <f t="shared" si="35"/>
        <v>#DIV/0!</v>
      </c>
      <c r="BF23" s="2048"/>
      <c r="BG23" s="2184"/>
      <c r="BH23" s="2181"/>
      <c r="BI23" s="2212">
        <f t="shared" si="53"/>
        <v>0</v>
      </c>
      <c r="BJ23" s="3350" t="e">
        <f t="shared" si="35"/>
        <v>#DIV/0!</v>
      </c>
      <c r="BK23" s="2048"/>
      <c r="BL23" s="2184"/>
      <c r="BM23" s="2181"/>
      <c r="BN23" s="2212">
        <f t="shared" si="54"/>
        <v>0</v>
      </c>
      <c r="BO23" s="3350" t="e">
        <f t="shared" si="35"/>
        <v>#DIV/0!</v>
      </c>
      <c r="BP23" s="2048"/>
      <c r="BQ23" s="2184"/>
      <c r="BR23" s="2181"/>
      <c r="BS23" s="2212">
        <f t="shared" si="55"/>
        <v>0</v>
      </c>
      <c r="BT23" s="3350" t="e">
        <f t="shared" si="35"/>
        <v>#DIV/0!</v>
      </c>
      <c r="BU23" s="2048"/>
      <c r="BV23" s="2184"/>
      <c r="BW23" s="2181"/>
      <c r="BX23" s="2212">
        <f t="shared" si="56"/>
        <v>0</v>
      </c>
      <c r="BY23" s="3350" t="e">
        <f t="shared" si="40"/>
        <v>#DIV/0!</v>
      </c>
      <c r="BZ23" s="2048"/>
      <c r="CA23" s="2184"/>
      <c r="CB23" s="2181"/>
      <c r="CC23" s="2212">
        <f t="shared" si="57"/>
        <v>0</v>
      </c>
      <c r="CD23" s="3350" t="e">
        <f t="shared" si="40"/>
        <v>#DIV/0!</v>
      </c>
      <c r="CE23" s="2048"/>
      <c r="CF23" s="2184">
        <f t="shared" si="58"/>
        <v>0</v>
      </c>
      <c r="CG23" s="2181">
        <f t="shared" si="58"/>
        <v>0</v>
      </c>
      <c r="CH23" s="2212">
        <f t="shared" si="59"/>
        <v>0</v>
      </c>
      <c r="CI23" s="3350">
        <f t="shared" si="42"/>
        <v>0</v>
      </c>
      <c r="CJ23" s="1434"/>
      <c r="CK23" s="3213"/>
      <c r="CL23" s="3213"/>
      <c r="CM23" s="3211"/>
      <c r="CN23" s="2192"/>
      <c r="CO23" s="2192"/>
    </row>
    <row r="24" spans="1:94" s="1396" customFormat="1" ht="24.6" customHeight="1">
      <c r="A24" s="2193"/>
      <c r="B24" s="3893" t="s">
        <v>23</v>
      </c>
      <c r="C24" s="3895"/>
      <c r="D24" s="3894"/>
      <c r="E24" s="2180">
        <f t="shared" si="43"/>
        <v>0</v>
      </c>
      <c r="F24" s="1976">
        <f t="shared" si="26"/>
        <v>0</v>
      </c>
      <c r="G24" s="2541"/>
      <c r="H24" s="2184"/>
      <c r="I24" s="2181">
        <v>0</v>
      </c>
      <c r="J24" s="2212">
        <f t="shared" si="61"/>
        <v>0</v>
      </c>
      <c r="K24" s="3350">
        <f t="shared" si="44"/>
        <v>0</v>
      </c>
      <c r="L24" s="2048"/>
      <c r="M24" s="2051">
        <v>5365</v>
      </c>
      <c r="N24" s="2043">
        <v>0</v>
      </c>
      <c r="O24" s="2045">
        <f t="shared" si="62"/>
        <v>5365</v>
      </c>
      <c r="P24" s="3350">
        <f t="shared" si="45"/>
        <v>7.3366833439958738E-4</v>
      </c>
      <c r="Q24" s="2048"/>
      <c r="R24" s="2051">
        <f t="shared" si="46"/>
        <v>3000</v>
      </c>
      <c r="S24" s="2043">
        <f t="shared" si="46"/>
        <v>0</v>
      </c>
      <c r="T24" s="2045">
        <f t="shared" si="63"/>
        <v>3000</v>
      </c>
      <c r="U24" s="3350">
        <f t="shared" si="47"/>
        <v>5.4882325653038471E-3</v>
      </c>
      <c r="V24" s="2048"/>
      <c r="W24" s="2541"/>
      <c r="X24" s="2184"/>
      <c r="Y24" s="2181"/>
      <c r="Z24" s="2212">
        <f t="shared" si="64"/>
        <v>0</v>
      </c>
      <c r="AA24" s="3350" t="e">
        <f t="shared" si="27"/>
        <v>#DIV/0!</v>
      </c>
      <c r="AB24" s="2048"/>
      <c r="AC24" s="2184"/>
      <c r="AD24" s="2181"/>
      <c r="AE24" s="2212">
        <f t="shared" si="65"/>
        <v>0</v>
      </c>
      <c r="AF24" s="3350" t="e">
        <f t="shared" si="28"/>
        <v>#DIV/0!</v>
      </c>
      <c r="AG24" s="2048"/>
      <c r="AH24" s="2184">
        <f>2500*1.2</f>
        <v>3000</v>
      </c>
      <c r="AI24" s="2181"/>
      <c r="AJ24" s="2212">
        <f t="shared" si="48"/>
        <v>3000</v>
      </c>
      <c r="AK24" s="3350">
        <f t="shared" ref="AK24:AZ33" si="66">AJ24/AJ$89</f>
        <v>5.4882325653038471E-3</v>
      </c>
      <c r="AL24" s="2187" t="s">
        <v>2019</v>
      </c>
      <c r="AM24" s="2184"/>
      <c r="AN24" s="2181"/>
      <c r="AO24" s="2212">
        <f t="shared" si="49"/>
        <v>0</v>
      </c>
      <c r="AP24" s="3350" t="e">
        <f t="shared" si="66"/>
        <v>#DIV/0!</v>
      </c>
      <c r="AQ24" s="2048"/>
      <c r="AR24" s="2184"/>
      <c r="AS24" s="2181"/>
      <c r="AT24" s="2212">
        <f t="shared" si="50"/>
        <v>0</v>
      </c>
      <c r="AU24" s="3350" t="e">
        <f t="shared" si="66"/>
        <v>#DIV/0!</v>
      </c>
      <c r="AV24" s="2048"/>
      <c r="AW24" s="2184"/>
      <c r="AX24" s="2181"/>
      <c r="AY24" s="2212">
        <f t="shared" si="51"/>
        <v>0</v>
      </c>
      <c r="AZ24" s="3350" t="e">
        <f t="shared" si="66"/>
        <v>#DIV/0!</v>
      </c>
      <c r="BA24" s="2048"/>
      <c r="BB24" s="2184"/>
      <c r="BC24" s="2181"/>
      <c r="BD24" s="2212">
        <f t="shared" si="52"/>
        <v>0</v>
      </c>
      <c r="BE24" s="3350" t="e">
        <f t="shared" ref="BE24:BT33" si="67">BD24/BD$89</f>
        <v>#DIV/0!</v>
      </c>
      <c r="BF24" s="2048"/>
      <c r="BG24" s="2184"/>
      <c r="BH24" s="2181"/>
      <c r="BI24" s="2212">
        <f t="shared" si="53"/>
        <v>0</v>
      </c>
      <c r="BJ24" s="3350" t="e">
        <f t="shared" si="67"/>
        <v>#DIV/0!</v>
      </c>
      <c r="BK24" s="2048"/>
      <c r="BL24" s="2184"/>
      <c r="BM24" s="2181"/>
      <c r="BN24" s="2212">
        <f t="shared" si="54"/>
        <v>0</v>
      </c>
      <c r="BO24" s="3350" t="e">
        <f t="shared" si="67"/>
        <v>#DIV/0!</v>
      </c>
      <c r="BP24" s="2048"/>
      <c r="BQ24" s="2184"/>
      <c r="BR24" s="2181"/>
      <c r="BS24" s="2212">
        <f t="shared" si="55"/>
        <v>0</v>
      </c>
      <c r="BT24" s="3350" t="e">
        <f t="shared" si="67"/>
        <v>#DIV/0!</v>
      </c>
      <c r="BU24" s="2048"/>
      <c r="BV24" s="2184"/>
      <c r="BW24" s="2181"/>
      <c r="BX24" s="2212">
        <f t="shared" si="56"/>
        <v>0</v>
      </c>
      <c r="BY24" s="3350" t="e">
        <f t="shared" ref="BY24:CD33" si="68">BX24/BX$89</f>
        <v>#DIV/0!</v>
      </c>
      <c r="BZ24" s="2048"/>
      <c r="CA24" s="2184"/>
      <c r="CB24" s="2181"/>
      <c r="CC24" s="2212">
        <f t="shared" si="57"/>
        <v>0</v>
      </c>
      <c r="CD24" s="3350" t="e">
        <f t="shared" si="68"/>
        <v>#DIV/0!</v>
      </c>
      <c r="CE24" s="2048"/>
      <c r="CF24" s="2184">
        <f t="shared" si="58"/>
        <v>8365</v>
      </c>
      <c r="CG24" s="2181">
        <f t="shared" si="58"/>
        <v>0</v>
      </c>
      <c r="CH24" s="2212">
        <f t="shared" si="59"/>
        <v>8365</v>
      </c>
      <c r="CI24" s="3350">
        <f t="shared" si="42"/>
        <v>1.0197387281824092E-3</v>
      </c>
      <c r="CJ24" s="1434"/>
      <c r="CK24" s="3210">
        <v>8365</v>
      </c>
      <c r="CL24" s="3210">
        <f>CH24-CK24</f>
        <v>0</v>
      </c>
      <c r="CM24" s="3211"/>
      <c r="CN24" s="2192"/>
      <c r="CO24" s="2192"/>
    </row>
    <row r="25" spans="1:94" s="1396" customFormat="1" ht="32.4" customHeight="1">
      <c r="A25" s="2193"/>
      <c r="B25" s="3893" t="s">
        <v>24</v>
      </c>
      <c r="C25" s="3895">
        <v>67315.899999999994</v>
      </c>
      <c r="D25" s="3894">
        <v>8000</v>
      </c>
      <c r="E25" s="2180">
        <f t="shared" si="43"/>
        <v>75315.899999999994</v>
      </c>
      <c r="F25" s="1976">
        <f t="shared" si="26"/>
        <v>1.2675447435377664E-2</v>
      </c>
      <c r="G25" s="2541"/>
      <c r="H25" s="2184">
        <v>0</v>
      </c>
      <c r="I25" s="2181">
        <v>644</v>
      </c>
      <c r="J25" s="2212">
        <f t="shared" si="61"/>
        <v>644</v>
      </c>
      <c r="K25" s="3350">
        <f t="shared" si="44"/>
        <v>1.872697458135979E-3</v>
      </c>
      <c r="L25" s="2187"/>
      <c r="M25" s="2051">
        <v>52960.29</v>
      </c>
      <c r="N25" s="2043">
        <v>6794.5</v>
      </c>
      <c r="O25" s="2045">
        <f t="shared" si="62"/>
        <v>59754.79</v>
      </c>
      <c r="P25" s="3350">
        <f t="shared" si="45"/>
        <v>8.1715185930469926E-3</v>
      </c>
      <c r="Q25" s="2046"/>
      <c r="R25" s="2051">
        <f t="shared" si="46"/>
        <v>0</v>
      </c>
      <c r="S25" s="2043">
        <f t="shared" si="46"/>
        <v>0</v>
      </c>
      <c r="T25" s="2045">
        <f t="shared" si="63"/>
        <v>0</v>
      </c>
      <c r="U25" s="3350">
        <f t="shared" si="47"/>
        <v>0</v>
      </c>
      <c r="V25" s="2046"/>
      <c r="W25" s="2541"/>
      <c r="X25" s="2184"/>
      <c r="Y25" s="2181"/>
      <c r="Z25" s="2212">
        <f t="shared" si="64"/>
        <v>0</v>
      </c>
      <c r="AA25" s="3350" t="e">
        <f t="shared" si="27"/>
        <v>#DIV/0!</v>
      </c>
      <c r="AB25" s="2187"/>
      <c r="AC25" s="2184"/>
      <c r="AD25" s="2181"/>
      <c r="AE25" s="2212">
        <f t="shared" si="65"/>
        <v>0</v>
      </c>
      <c r="AF25" s="3350" t="e">
        <f t="shared" si="28"/>
        <v>#DIV/0!</v>
      </c>
      <c r="AG25" s="2187"/>
      <c r="AH25" s="2184"/>
      <c r="AI25" s="2181"/>
      <c r="AJ25" s="2212">
        <f t="shared" si="48"/>
        <v>0</v>
      </c>
      <c r="AK25" s="3350">
        <f t="shared" si="66"/>
        <v>0</v>
      </c>
      <c r="AL25" s="2187"/>
      <c r="AM25" s="2184"/>
      <c r="AN25" s="2181"/>
      <c r="AO25" s="2212">
        <f t="shared" si="49"/>
        <v>0</v>
      </c>
      <c r="AP25" s="3350" t="e">
        <f t="shared" si="66"/>
        <v>#DIV/0!</v>
      </c>
      <c r="AQ25" s="2187"/>
      <c r="AR25" s="2184"/>
      <c r="AS25" s="2181"/>
      <c r="AT25" s="2212">
        <f t="shared" si="50"/>
        <v>0</v>
      </c>
      <c r="AU25" s="3350" t="e">
        <f t="shared" si="66"/>
        <v>#DIV/0!</v>
      </c>
      <c r="AV25" s="2187"/>
      <c r="AW25" s="2184"/>
      <c r="AX25" s="2181"/>
      <c r="AY25" s="2212">
        <f t="shared" si="51"/>
        <v>0</v>
      </c>
      <c r="AZ25" s="3350" t="e">
        <f t="shared" si="66"/>
        <v>#DIV/0!</v>
      </c>
      <c r="BA25" s="2187"/>
      <c r="BB25" s="2184"/>
      <c r="BC25" s="2181"/>
      <c r="BD25" s="2212">
        <f t="shared" si="52"/>
        <v>0</v>
      </c>
      <c r="BE25" s="3350" t="e">
        <f t="shared" si="67"/>
        <v>#DIV/0!</v>
      </c>
      <c r="BF25" s="2187"/>
      <c r="BG25" s="2184"/>
      <c r="BH25" s="2181"/>
      <c r="BI25" s="2212">
        <f t="shared" si="53"/>
        <v>0</v>
      </c>
      <c r="BJ25" s="3350" t="e">
        <f t="shared" si="67"/>
        <v>#DIV/0!</v>
      </c>
      <c r="BK25" s="2187"/>
      <c r="BL25" s="2184"/>
      <c r="BM25" s="2181"/>
      <c r="BN25" s="2212">
        <f t="shared" si="54"/>
        <v>0</v>
      </c>
      <c r="BO25" s="3350" t="e">
        <f t="shared" si="67"/>
        <v>#DIV/0!</v>
      </c>
      <c r="BP25" s="2187"/>
      <c r="BQ25" s="2184"/>
      <c r="BR25" s="2181"/>
      <c r="BS25" s="2212">
        <f t="shared" si="55"/>
        <v>0</v>
      </c>
      <c r="BT25" s="3350" t="e">
        <f t="shared" si="67"/>
        <v>#DIV/0!</v>
      </c>
      <c r="BU25" s="2187"/>
      <c r="BV25" s="2184"/>
      <c r="BW25" s="2181"/>
      <c r="BX25" s="2212">
        <f t="shared" si="56"/>
        <v>0</v>
      </c>
      <c r="BY25" s="3350" t="e">
        <f t="shared" si="68"/>
        <v>#DIV/0!</v>
      </c>
      <c r="BZ25" s="2187"/>
      <c r="CA25" s="2184"/>
      <c r="CB25" s="2181"/>
      <c r="CC25" s="2212">
        <f t="shared" si="57"/>
        <v>0</v>
      </c>
      <c r="CD25" s="3350" t="e">
        <f t="shared" si="68"/>
        <v>#DIV/0!</v>
      </c>
      <c r="CE25" s="2187"/>
      <c r="CF25" s="2184">
        <f t="shared" si="58"/>
        <v>52960.29</v>
      </c>
      <c r="CG25" s="2181">
        <f t="shared" si="58"/>
        <v>7438.5</v>
      </c>
      <c r="CH25" s="2212">
        <f t="shared" si="59"/>
        <v>60398.79</v>
      </c>
      <c r="CI25" s="3350">
        <f t="shared" si="42"/>
        <v>7.3629390673468518E-3</v>
      </c>
      <c r="CJ25" s="1434"/>
      <c r="CK25" s="3210">
        <v>60398.79</v>
      </c>
      <c r="CL25" s="3218">
        <f>CH25-CK25</f>
        <v>0</v>
      </c>
      <c r="CM25" s="3219" t="s">
        <v>1811</v>
      </c>
      <c r="CN25" s="3219" t="s">
        <v>1812</v>
      </c>
      <c r="CO25" s="3219" t="s">
        <v>1813</v>
      </c>
    </row>
    <row r="26" spans="1:94" s="1396" customFormat="1" ht="42" customHeight="1">
      <c r="A26" s="2193"/>
      <c r="B26" s="3893" t="s">
        <v>45</v>
      </c>
      <c r="C26" s="3895">
        <v>3947654.6009074673</v>
      </c>
      <c r="D26" s="3894"/>
      <c r="E26" s="2180">
        <f t="shared" si="43"/>
        <v>3947654.6009074673</v>
      </c>
      <c r="F26" s="1976">
        <f t="shared" si="26"/>
        <v>0.66437881492260453</v>
      </c>
      <c r="G26" s="2541"/>
      <c r="H26" s="2184">
        <v>0</v>
      </c>
      <c r="I26" s="2181">
        <v>0</v>
      </c>
      <c r="J26" s="2212">
        <f t="shared" si="61"/>
        <v>0</v>
      </c>
      <c r="K26" s="3350">
        <f t="shared" si="44"/>
        <v>0</v>
      </c>
      <c r="L26" s="2048"/>
      <c r="M26" s="2051">
        <v>4319096.7860000003</v>
      </c>
      <c r="N26" s="2043">
        <v>0</v>
      </c>
      <c r="O26" s="2045">
        <f t="shared" si="62"/>
        <v>4319096.7860000003</v>
      </c>
      <c r="P26" s="3350">
        <f t="shared" si="45"/>
        <v>0.59064017615940934</v>
      </c>
      <c r="Q26" s="2046"/>
      <c r="R26" s="2051">
        <f t="shared" si="46"/>
        <v>543624.06600000011</v>
      </c>
      <c r="S26" s="2043">
        <f t="shared" si="46"/>
        <v>0</v>
      </c>
      <c r="T26" s="2045">
        <f t="shared" si="63"/>
        <v>543624.06600000011</v>
      </c>
      <c r="U26" s="3350">
        <f t="shared" si="47"/>
        <v>0.99451176743469616</v>
      </c>
      <c r="V26" s="2046"/>
      <c r="W26" s="2541"/>
      <c r="X26" s="2184"/>
      <c r="Y26" s="2181"/>
      <c r="Z26" s="2212">
        <f t="shared" si="64"/>
        <v>0</v>
      </c>
      <c r="AA26" s="3350" t="e">
        <f t="shared" si="27"/>
        <v>#DIV/0!</v>
      </c>
      <c r="AB26" s="2187"/>
      <c r="AC26" s="2184"/>
      <c r="AD26" s="2181"/>
      <c r="AE26" s="2212">
        <f t="shared" si="65"/>
        <v>0</v>
      </c>
      <c r="AF26" s="3350" t="e">
        <f t="shared" si="28"/>
        <v>#DIV/0!</v>
      </c>
      <c r="AG26" s="2187"/>
      <c r="AH26" s="2184">
        <f>(415027.69+36096.31+17159.856-23559.47)+98899.68</f>
        <v>543624.06600000011</v>
      </c>
      <c r="AI26" s="2181"/>
      <c r="AJ26" s="2212">
        <f t="shared" si="48"/>
        <v>543624.06600000011</v>
      </c>
      <c r="AK26" s="3350">
        <f t="shared" si="66"/>
        <v>0.99451176743469616</v>
      </c>
      <c r="AL26" s="2187" t="s">
        <v>1966</v>
      </c>
      <c r="AM26" s="2184"/>
      <c r="AN26" s="2181"/>
      <c r="AO26" s="2212">
        <f t="shared" si="49"/>
        <v>0</v>
      </c>
      <c r="AP26" s="3350" t="e">
        <f t="shared" si="66"/>
        <v>#DIV/0!</v>
      </c>
      <c r="AQ26" s="2187"/>
      <c r="AR26" s="2184"/>
      <c r="AS26" s="2181"/>
      <c r="AT26" s="2212">
        <f t="shared" si="50"/>
        <v>0</v>
      </c>
      <c r="AU26" s="3350" t="e">
        <f t="shared" si="66"/>
        <v>#DIV/0!</v>
      </c>
      <c r="AV26" s="2187"/>
      <c r="AW26" s="2184"/>
      <c r="AX26" s="2181"/>
      <c r="AY26" s="2212">
        <f t="shared" si="51"/>
        <v>0</v>
      </c>
      <c r="AZ26" s="3350" t="e">
        <f t="shared" si="66"/>
        <v>#DIV/0!</v>
      </c>
      <c r="BA26" s="2187"/>
      <c r="BB26" s="2184"/>
      <c r="BC26" s="2181"/>
      <c r="BD26" s="2212">
        <f t="shared" si="52"/>
        <v>0</v>
      </c>
      <c r="BE26" s="3350" t="e">
        <f t="shared" si="67"/>
        <v>#DIV/0!</v>
      </c>
      <c r="BF26" s="2187"/>
      <c r="BG26" s="2184"/>
      <c r="BH26" s="2181"/>
      <c r="BI26" s="2212">
        <f t="shared" si="53"/>
        <v>0</v>
      </c>
      <c r="BJ26" s="3350" t="e">
        <f t="shared" si="67"/>
        <v>#DIV/0!</v>
      </c>
      <c r="BK26" s="2187"/>
      <c r="BL26" s="2184"/>
      <c r="BM26" s="2181"/>
      <c r="BN26" s="2212">
        <f t="shared" si="54"/>
        <v>0</v>
      </c>
      <c r="BO26" s="3350" t="e">
        <f t="shared" si="67"/>
        <v>#DIV/0!</v>
      </c>
      <c r="BP26" s="2187"/>
      <c r="BQ26" s="2184"/>
      <c r="BR26" s="2181"/>
      <c r="BS26" s="2212">
        <f t="shared" si="55"/>
        <v>0</v>
      </c>
      <c r="BT26" s="3350" t="e">
        <f t="shared" si="67"/>
        <v>#DIV/0!</v>
      </c>
      <c r="BU26" s="2187"/>
      <c r="BV26" s="2184"/>
      <c r="BW26" s="2181"/>
      <c r="BX26" s="2212">
        <f t="shared" si="56"/>
        <v>0</v>
      </c>
      <c r="BY26" s="3350" t="e">
        <f t="shared" si="68"/>
        <v>#DIV/0!</v>
      </c>
      <c r="BZ26" s="2187"/>
      <c r="CA26" s="2184"/>
      <c r="CB26" s="2181"/>
      <c r="CC26" s="2212">
        <f t="shared" si="57"/>
        <v>0</v>
      </c>
      <c r="CD26" s="3350" t="e">
        <f t="shared" si="68"/>
        <v>#DIV/0!</v>
      </c>
      <c r="CE26" s="2187"/>
      <c r="CF26" s="2184">
        <f t="shared" si="58"/>
        <v>4862720.852</v>
      </c>
      <c r="CG26" s="2181">
        <f t="shared" si="58"/>
        <v>0</v>
      </c>
      <c r="CH26" s="2212">
        <f t="shared" si="59"/>
        <v>4862720.852</v>
      </c>
      <c r="CI26" s="3350">
        <f t="shared" si="42"/>
        <v>0.59279196379253574</v>
      </c>
      <c r="CJ26" s="1434"/>
      <c r="CK26" s="3217">
        <f>4785627.77+75140.68</f>
        <v>4860768.4499999993</v>
      </c>
      <c r="CL26" s="3217">
        <f>CH26-CK26</f>
        <v>1952.4020000007004</v>
      </c>
      <c r="CM26" s="3213">
        <f>CH95</f>
        <v>0</v>
      </c>
      <c r="CN26" s="3213">
        <f>-CN7</f>
        <v>5664</v>
      </c>
      <c r="CO26" s="3213">
        <f>-82757.08+75140.68</f>
        <v>-7616.4000000000087</v>
      </c>
      <c r="CP26" s="842">
        <f>CL26+CN26+CO26</f>
        <v>2.000000691623427E-3</v>
      </c>
    </row>
    <row r="27" spans="1:94" s="1396" customFormat="1" ht="24.6" customHeight="1">
      <c r="A27" s="2193"/>
      <c r="B27" s="3893" t="s">
        <v>25</v>
      </c>
      <c r="C27" s="3895">
        <v>4000</v>
      </c>
      <c r="D27" s="3894"/>
      <c r="E27" s="2180">
        <f t="shared" si="43"/>
        <v>4000</v>
      </c>
      <c r="F27" s="1976">
        <f t="shared" si="26"/>
        <v>6.731883937058531E-4</v>
      </c>
      <c r="G27" s="2541"/>
      <c r="H27" s="2184">
        <v>0</v>
      </c>
      <c r="I27" s="2181">
        <v>0</v>
      </c>
      <c r="J27" s="2212">
        <f t="shared" si="61"/>
        <v>0</v>
      </c>
      <c r="K27" s="3350">
        <f t="shared" si="44"/>
        <v>0</v>
      </c>
      <c r="L27" s="2187"/>
      <c r="M27" s="2051">
        <v>12680</v>
      </c>
      <c r="N27" s="2043">
        <v>600</v>
      </c>
      <c r="O27" s="2045">
        <f t="shared" si="62"/>
        <v>13280</v>
      </c>
      <c r="P27" s="3350">
        <f t="shared" si="45"/>
        <v>1.8160513477775433E-3</v>
      </c>
      <c r="Q27" s="2046"/>
      <c r="R27" s="2051">
        <f t="shared" si="46"/>
        <v>0</v>
      </c>
      <c r="S27" s="2043">
        <f t="shared" si="46"/>
        <v>0</v>
      </c>
      <c r="T27" s="2045">
        <f t="shared" si="63"/>
        <v>0</v>
      </c>
      <c r="U27" s="3350">
        <f t="shared" si="47"/>
        <v>0</v>
      </c>
      <c r="V27" s="2046"/>
      <c r="W27" s="2541"/>
      <c r="X27" s="2184"/>
      <c r="Y27" s="2181"/>
      <c r="Z27" s="2212">
        <f t="shared" si="64"/>
        <v>0</v>
      </c>
      <c r="AA27" s="3350" t="e">
        <f t="shared" si="27"/>
        <v>#DIV/0!</v>
      </c>
      <c r="AB27" s="2187"/>
      <c r="AC27" s="2184"/>
      <c r="AD27" s="2181"/>
      <c r="AE27" s="2212">
        <f t="shared" si="65"/>
        <v>0</v>
      </c>
      <c r="AF27" s="3350" t="e">
        <f t="shared" si="28"/>
        <v>#DIV/0!</v>
      </c>
      <c r="AG27" s="2187"/>
      <c r="AH27" s="2184"/>
      <c r="AI27" s="2181"/>
      <c r="AJ27" s="2212">
        <f t="shared" si="48"/>
        <v>0</v>
      </c>
      <c r="AK27" s="3350">
        <f t="shared" si="66"/>
        <v>0</v>
      </c>
      <c r="AL27" s="2187"/>
      <c r="AM27" s="2184"/>
      <c r="AN27" s="2181"/>
      <c r="AO27" s="2212">
        <f t="shared" si="49"/>
        <v>0</v>
      </c>
      <c r="AP27" s="3350" t="e">
        <f t="shared" si="66"/>
        <v>#DIV/0!</v>
      </c>
      <c r="AQ27" s="2187"/>
      <c r="AR27" s="2184"/>
      <c r="AS27" s="2181"/>
      <c r="AT27" s="2212">
        <f t="shared" si="50"/>
        <v>0</v>
      </c>
      <c r="AU27" s="3350" t="e">
        <f t="shared" si="66"/>
        <v>#DIV/0!</v>
      </c>
      <c r="AV27" s="2187"/>
      <c r="AW27" s="2184"/>
      <c r="AX27" s="2181"/>
      <c r="AY27" s="2212">
        <f t="shared" si="51"/>
        <v>0</v>
      </c>
      <c r="AZ27" s="3350" t="e">
        <f t="shared" si="66"/>
        <v>#DIV/0!</v>
      </c>
      <c r="BA27" s="2187"/>
      <c r="BB27" s="2184"/>
      <c r="BC27" s="2181"/>
      <c r="BD27" s="2212">
        <f t="shared" si="52"/>
        <v>0</v>
      </c>
      <c r="BE27" s="3350" t="e">
        <f t="shared" si="67"/>
        <v>#DIV/0!</v>
      </c>
      <c r="BF27" s="2187"/>
      <c r="BG27" s="2184"/>
      <c r="BH27" s="2181"/>
      <c r="BI27" s="2212">
        <f t="shared" si="53"/>
        <v>0</v>
      </c>
      <c r="BJ27" s="3350" t="e">
        <f t="shared" si="67"/>
        <v>#DIV/0!</v>
      </c>
      <c r="BK27" s="2187"/>
      <c r="BL27" s="2184"/>
      <c r="BM27" s="2181"/>
      <c r="BN27" s="2212">
        <f t="shared" si="54"/>
        <v>0</v>
      </c>
      <c r="BO27" s="3350" t="e">
        <f t="shared" si="67"/>
        <v>#DIV/0!</v>
      </c>
      <c r="BP27" s="2187"/>
      <c r="BQ27" s="2184"/>
      <c r="BR27" s="2181"/>
      <c r="BS27" s="2212">
        <f t="shared" si="55"/>
        <v>0</v>
      </c>
      <c r="BT27" s="3350" t="e">
        <f t="shared" si="67"/>
        <v>#DIV/0!</v>
      </c>
      <c r="BU27" s="2187"/>
      <c r="BV27" s="2184"/>
      <c r="BW27" s="2181"/>
      <c r="BX27" s="2212">
        <f t="shared" si="56"/>
        <v>0</v>
      </c>
      <c r="BY27" s="3350" t="e">
        <f t="shared" si="68"/>
        <v>#DIV/0!</v>
      </c>
      <c r="BZ27" s="2187"/>
      <c r="CA27" s="2184"/>
      <c r="CB27" s="2181"/>
      <c r="CC27" s="2212">
        <f t="shared" si="57"/>
        <v>0</v>
      </c>
      <c r="CD27" s="3350" t="e">
        <f t="shared" si="68"/>
        <v>#DIV/0!</v>
      </c>
      <c r="CE27" s="2187"/>
      <c r="CF27" s="2184">
        <f t="shared" si="58"/>
        <v>12680</v>
      </c>
      <c r="CG27" s="2181">
        <f t="shared" si="58"/>
        <v>600</v>
      </c>
      <c r="CH27" s="2212">
        <f t="shared" si="59"/>
        <v>13280</v>
      </c>
      <c r="CI27" s="3350">
        <f t="shared" si="42"/>
        <v>1.61890380278092E-3</v>
      </c>
      <c r="CJ27" s="1434"/>
      <c r="CK27" s="3217">
        <v>12344</v>
      </c>
      <c r="CL27" s="3217">
        <f>-CH27+CK27</f>
        <v>-936</v>
      </c>
      <c r="CM27" s="3211" t="s">
        <v>1814</v>
      </c>
      <c r="CN27" s="2192"/>
      <c r="CO27" s="2192"/>
    </row>
    <row r="28" spans="1:94" s="1396" customFormat="1" ht="24.6" customHeight="1">
      <c r="A28" s="2193"/>
      <c r="B28" s="3893" t="s">
        <v>52</v>
      </c>
      <c r="C28" s="3895">
        <f>23798.892075+40270</f>
        <v>64068.892074999996</v>
      </c>
      <c r="D28" s="3894"/>
      <c r="E28" s="2180">
        <f t="shared" si="43"/>
        <v>64068.892074999996</v>
      </c>
      <c r="F28" s="1976">
        <f t="shared" si="26"/>
        <v>1.0782608635620727E-2</v>
      </c>
      <c r="G28" s="2541"/>
      <c r="H28" s="2184">
        <v>0</v>
      </c>
      <c r="I28" s="2181">
        <v>2000</v>
      </c>
      <c r="J28" s="2212">
        <f t="shared" si="61"/>
        <v>2000</v>
      </c>
      <c r="K28" s="3350">
        <f t="shared" si="44"/>
        <v>5.8158306153291272E-3</v>
      </c>
      <c r="L28" s="2187"/>
      <c r="M28" s="2051">
        <v>0</v>
      </c>
      <c r="N28" s="2043">
        <v>0</v>
      </c>
      <c r="O28" s="2045">
        <f t="shared" si="62"/>
        <v>0</v>
      </c>
      <c r="P28" s="3350">
        <f t="shared" si="45"/>
        <v>0</v>
      </c>
      <c r="Q28" s="2046"/>
      <c r="R28" s="2051">
        <f t="shared" si="46"/>
        <v>0</v>
      </c>
      <c r="S28" s="2043">
        <f t="shared" si="46"/>
        <v>0</v>
      </c>
      <c r="T28" s="2045">
        <f t="shared" si="63"/>
        <v>0</v>
      </c>
      <c r="U28" s="3350">
        <f t="shared" si="47"/>
        <v>0</v>
      </c>
      <c r="V28" s="2046"/>
      <c r="W28" s="2541"/>
      <c r="X28" s="2184"/>
      <c r="Y28" s="2181"/>
      <c r="Z28" s="2212">
        <f t="shared" si="64"/>
        <v>0</v>
      </c>
      <c r="AA28" s="3350" t="e">
        <f t="shared" si="27"/>
        <v>#DIV/0!</v>
      </c>
      <c r="AB28" s="2187"/>
      <c r="AC28" s="2184"/>
      <c r="AD28" s="2181"/>
      <c r="AE28" s="2212">
        <f t="shared" si="65"/>
        <v>0</v>
      </c>
      <c r="AF28" s="3350" t="e">
        <f t="shared" si="28"/>
        <v>#DIV/0!</v>
      </c>
      <c r="AG28" s="2187"/>
      <c r="AH28" s="2184"/>
      <c r="AI28" s="2181"/>
      <c r="AJ28" s="2212">
        <f t="shared" si="48"/>
        <v>0</v>
      </c>
      <c r="AK28" s="3350">
        <f t="shared" si="66"/>
        <v>0</v>
      </c>
      <c r="AL28" s="2187"/>
      <c r="AM28" s="2184"/>
      <c r="AN28" s="2181"/>
      <c r="AO28" s="2212">
        <f t="shared" si="49"/>
        <v>0</v>
      </c>
      <c r="AP28" s="3350" t="e">
        <f t="shared" si="66"/>
        <v>#DIV/0!</v>
      </c>
      <c r="AQ28" s="2187"/>
      <c r="AR28" s="2184"/>
      <c r="AS28" s="2181"/>
      <c r="AT28" s="2212">
        <f t="shared" si="50"/>
        <v>0</v>
      </c>
      <c r="AU28" s="3350" t="e">
        <f t="shared" si="66"/>
        <v>#DIV/0!</v>
      </c>
      <c r="AV28" s="2187"/>
      <c r="AW28" s="2184"/>
      <c r="AX28" s="2181"/>
      <c r="AY28" s="2212">
        <f t="shared" si="51"/>
        <v>0</v>
      </c>
      <c r="AZ28" s="3350" t="e">
        <f t="shared" si="66"/>
        <v>#DIV/0!</v>
      </c>
      <c r="BA28" s="2187"/>
      <c r="BB28" s="2184"/>
      <c r="BC28" s="2181"/>
      <c r="BD28" s="2212">
        <f t="shared" si="52"/>
        <v>0</v>
      </c>
      <c r="BE28" s="3350" t="e">
        <f t="shared" si="67"/>
        <v>#DIV/0!</v>
      </c>
      <c r="BF28" s="2187"/>
      <c r="BG28" s="2184"/>
      <c r="BH28" s="2181"/>
      <c r="BI28" s="2212">
        <f t="shared" si="53"/>
        <v>0</v>
      </c>
      <c r="BJ28" s="3350" t="e">
        <f t="shared" si="67"/>
        <v>#DIV/0!</v>
      </c>
      <c r="BK28" s="2187"/>
      <c r="BL28" s="2184"/>
      <c r="BM28" s="2181"/>
      <c r="BN28" s="2212">
        <f t="shared" si="54"/>
        <v>0</v>
      </c>
      <c r="BO28" s="3350" t="e">
        <f t="shared" si="67"/>
        <v>#DIV/0!</v>
      </c>
      <c r="BP28" s="2187"/>
      <c r="BQ28" s="2184"/>
      <c r="BR28" s="2181"/>
      <c r="BS28" s="2212">
        <f t="shared" si="55"/>
        <v>0</v>
      </c>
      <c r="BT28" s="3350" t="e">
        <f t="shared" si="67"/>
        <v>#DIV/0!</v>
      </c>
      <c r="BU28" s="2187"/>
      <c r="BV28" s="2184"/>
      <c r="BW28" s="2181"/>
      <c r="BX28" s="2212">
        <f t="shared" si="56"/>
        <v>0</v>
      </c>
      <c r="BY28" s="3350" t="e">
        <f t="shared" si="68"/>
        <v>#DIV/0!</v>
      </c>
      <c r="BZ28" s="2187"/>
      <c r="CA28" s="2184"/>
      <c r="CB28" s="2181"/>
      <c r="CC28" s="2212">
        <f t="shared" si="57"/>
        <v>0</v>
      </c>
      <c r="CD28" s="3350" t="e">
        <f t="shared" si="68"/>
        <v>#DIV/0!</v>
      </c>
      <c r="CE28" s="2187"/>
      <c r="CF28" s="2184">
        <f t="shared" si="58"/>
        <v>0</v>
      </c>
      <c r="CG28" s="2181">
        <f t="shared" si="58"/>
        <v>2000</v>
      </c>
      <c r="CH28" s="2212">
        <f>CF28+CG28*1</f>
        <v>2000</v>
      </c>
      <c r="CI28" s="3350">
        <f t="shared" si="42"/>
        <v>2.4381081367182527E-4</v>
      </c>
      <c r="CJ28" s="1434"/>
      <c r="CK28" s="3210">
        <v>2000</v>
      </c>
      <c r="CL28" s="3210">
        <f t="shared" ref="CL28:CL30" si="69">CH28-CK28</f>
        <v>0</v>
      </c>
      <c r="CM28" s="3211"/>
      <c r="CN28" s="2192"/>
      <c r="CO28" s="2192"/>
    </row>
    <row r="29" spans="1:94" s="1396" customFormat="1" ht="24.6" customHeight="1">
      <c r="A29" s="2193"/>
      <c r="B29" s="3893" t="s">
        <v>31</v>
      </c>
      <c r="C29" s="3895">
        <v>23250</v>
      </c>
      <c r="D29" s="3894">
        <v>8500</v>
      </c>
      <c r="E29" s="2180">
        <f t="shared" si="43"/>
        <v>31750</v>
      </c>
      <c r="F29" s="3350">
        <f t="shared" si="26"/>
        <v>5.3434328750402082E-3</v>
      </c>
      <c r="G29" s="2541"/>
      <c r="H29" s="2184">
        <v>3770</v>
      </c>
      <c r="I29" s="2181">
        <v>2500</v>
      </c>
      <c r="J29" s="2212">
        <f t="shared" si="61"/>
        <v>6270</v>
      </c>
      <c r="K29" s="3350">
        <f t="shared" si="44"/>
        <v>1.8232628979056816E-2</v>
      </c>
      <c r="L29" s="2187"/>
      <c r="M29" s="2051">
        <v>25350</v>
      </c>
      <c r="N29" s="2043">
        <v>5000</v>
      </c>
      <c r="O29" s="2045">
        <f t="shared" si="62"/>
        <v>30350</v>
      </c>
      <c r="P29" s="3350">
        <f t="shared" si="45"/>
        <v>4.1503884341150933E-3</v>
      </c>
      <c r="Q29" s="2046"/>
      <c r="R29" s="2051">
        <f t="shared" si="46"/>
        <v>0</v>
      </c>
      <c r="S29" s="2043">
        <f t="shared" si="46"/>
        <v>0</v>
      </c>
      <c r="T29" s="2045">
        <f t="shared" si="63"/>
        <v>0</v>
      </c>
      <c r="U29" s="3350">
        <f t="shared" si="47"/>
        <v>0</v>
      </c>
      <c r="V29" s="2046"/>
      <c r="W29" s="2541"/>
      <c r="X29" s="2184"/>
      <c r="Y29" s="2181"/>
      <c r="Z29" s="2212">
        <f t="shared" si="64"/>
        <v>0</v>
      </c>
      <c r="AA29" s="3350" t="e">
        <f t="shared" si="27"/>
        <v>#DIV/0!</v>
      </c>
      <c r="AB29" s="2187"/>
      <c r="AC29" s="2184"/>
      <c r="AD29" s="2181"/>
      <c r="AE29" s="2212">
        <f t="shared" si="65"/>
        <v>0</v>
      </c>
      <c r="AF29" s="3350" t="e">
        <f t="shared" si="28"/>
        <v>#DIV/0!</v>
      </c>
      <c r="AG29" s="2187"/>
      <c r="AH29" s="2184"/>
      <c r="AI29" s="2181"/>
      <c r="AJ29" s="2212">
        <f t="shared" si="48"/>
        <v>0</v>
      </c>
      <c r="AK29" s="3350">
        <f t="shared" si="66"/>
        <v>0</v>
      </c>
      <c r="AL29" s="2187"/>
      <c r="AM29" s="2184"/>
      <c r="AN29" s="2181"/>
      <c r="AO29" s="2212">
        <f t="shared" si="49"/>
        <v>0</v>
      </c>
      <c r="AP29" s="3350" t="e">
        <f t="shared" si="66"/>
        <v>#DIV/0!</v>
      </c>
      <c r="AQ29" s="2187"/>
      <c r="AR29" s="2184"/>
      <c r="AS29" s="2181"/>
      <c r="AT29" s="2212">
        <f t="shared" si="50"/>
        <v>0</v>
      </c>
      <c r="AU29" s="3350" t="e">
        <f t="shared" si="66"/>
        <v>#DIV/0!</v>
      </c>
      <c r="AV29" s="2187"/>
      <c r="AW29" s="2184"/>
      <c r="AX29" s="2181"/>
      <c r="AY29" s="2212">
        <f t="shared" si="51"/>
        <v>0</v>
      </c>
      <c r="AZ29" s="3350" t="e">
        <f t="shared" si="66"/>
        <v>#DIV/0!</v>
      </c>
      <c r="BA29" s="2187"/>
      <c r="BB29" s="2184"/>
      <c r="BC29" s="2181"/>
      <c r="BD29" s="2212">
        <f t="shared" si="52"/>
        <v>0</v>
      </c>
      <c r="BE29" s="3350" t="e">
        <f t="shared" si="67"/>
        <v>#DIV/0!</v>
      </c>
      <c r="BF29" s="2187"/>
      <c r="BG29" s="2184"/>
      <c r="BH29" s="2181"/>
      <c r="BI29" s="2212">
        <f t="shared" si="53"/>
        <v>0</v>
      </c>
      <c r="BJ29" s="3350" t="e">
        <f t="shared" si="67"/>
        <v>#DIV/0!</v>
      </c>
      <c r="BK29" s="2187"/>
      <c r="BL29" s="2184"/>
      <c r="BM29" s="2181"/>
      <c r="BN29" s="2212">
        <f t="shared" si="54"/>
        <v>0</v>
      </c>
      <c r="BO29" s="3350" t="e">
        <f t="shared" si="67"/>
        <v>#DIV/0!</v>
      </c>
      <c r="BP29" s="2187"/>
      <c r="BQ29" s="2184"/>
      <c r="BR29" s="2181"/>
      <c r="BS29" s="2212">
        <f t="shared" si="55"/>
        <v>0</v>
      </c>
      <c r="BT29" s="3350" t="e">
        <f t="shared" si="67"/>
        <v>#DIV/0!</v>
      </c>
      <c r="BU29" s="2187"/>
      <c r="BV29" s="2184"/>
      <c r="BW29" s="2181"/>
      <c r="BX29" s="2212">
        <f t="shared" si="56"/>
        <v>0</v>
      </c>
      <c r="BY29" s="3350" t="e">
        <f t="shared" si="68"/>
        <v>#DIV/0!</v>
      </c>
      <c r="BZ29" s="2187"/>
      <c r="CA29" s="2184"/>
      <c r="CB29" s="2181"/>
      <c r="CC29" s="2212">
        <f t="shared" si="57"/>
        <v>0</v>
      </c>
      <c r="CD29" s="3350" t="e">
        <f t="shared" si="68"/>
        <v>#DIV/0!</v>
      </c>
      <c r="CE29" s="2187"/>
      <c r="CF29" s="2184">
        <f t="shared" si="58"/>
        <v>29120</v>
      </c>
      <c r="CG29" s="2181">
        <f t="shared" si="58"/>
        <v>7500</v>
      </c>
      <c r="CH29" s="2212">
        <f t="shared" si="59"/>
        <v>36620</v>
      </c>
      <c r="CI29" s="3350">
        <f t="shared" si="42"/>
        <v>4.4641759983311208E-3</v>
      </c>
      <c r="CJ29" s="3360"/>
      <c r="CK29" s="3217">
        <v>139619.44</v>
      </c>
      <c r="CL29" s="3217">
        <f t="shared" si="69"/>
        <v>-102999.44</v>
      </c>
      <c r="CM29" s="3216" t="s">
        <v>1815</v>
      </c>
      <c r="CN29" s="2192"/>
      <c r="CO29" s="2192"/>
    </row>
    <row r="30" spans="1:94" s="1396" customFormat="1" ht="24" customHeight="1">
      <c r="A30" s="2193"/>
      <c r="B30" s="3893" t="s">
        <v>62</v>
      </c>
      <c r="C30" s="3895"/>
      <c r="D30" s="3894">
        <v>60900</v>
      </c>
      <c r="E30" s="2180">
        <f t="shared" si="43"/>
        <v>60900</v>
      </c>
      <c r="F30" s="3350">
        <f t="shared" si="26"/>
        <v>1.0249293294171612E-2</v>
      </c>
      <c r="G30" s="2541"/>
      <c r="H30" s="2184">
        <v>0</v>
      </c>
      <c r="I30" s="2181">
        <f>66200</f>
        <v>66200</v>
      </c>
      <c r="J30" s="2212">
        <f t="shared" si="61"/>
        <v>66200</v>
      </c>
      <c r="K30" s="3350">
        <f t="shared" si="44"/>
        <v>0.19250399336739413</v>
      </c>
      <c r="L30" s="2187"/>
      <c r="M30" s="2051">
        <v>0</v>
      </c>
      <c r="N30" s="2043">
        <v>220586.12</v>
      </c>
      <c r="O30" s="2045">
        <f t="shared" si="62"/>
        <v>220586.12</v>
      </c>
      <c r="P30" s="3350">
        <f t="shared" si="45"/>
        <v>3.016534040113094E-2</v>
      </c>
      <c r="Q30" s="2046"/>
      <c r="R30" s="2051">
        <f t="shared" si="46"/>
        <v>0</v>
      </c>
      <c r="S30" s="2043">
        <f t="shared" si="46"/>
        <v>0</v>
      </c>
      <c r="T30" s="2045">
        <f t="shared" si="63"/>
        <v>0</v>
      </c>
      <c r="U30" s="3350">
        <f t="shared" si="47"/>
        <v>0</v>
      </c>
      <c r="V30" s="2046"/>
      <c r="W30" s="2541"/>
      <c r="X30" s="2184"/>
      <c r="Y30" s="2181"/>
      <c r="Z30" s="2212">
        <f t="shared" si="64"/>
        <v>0</v>
      </c>
      <c r="AA30" s="3350" t="e">
        <f t="shared" si="27"/>
        <v>#DIV/0!</v>
      </c>
      <c r="AB30" s="2187"/>
      <c r="AC30" s="2184"/>
      <c r="AD30" s="2181"/>
      <c r="AE30" s="2212">
        <f t="shared" si="65"/>
        <v>0</v>
      </c>
      <c r="AF30" s="3350" t="e">
        <f t="shared" si="28"/>
        <v>#DIV/0!</v>
      </c>
      <c r="AG30" s="2187"/>
      <c r="AH30" s="2184"/>
      <c r="AI30" s="2181"/>
      <c r="AJ30" s="2212">
        <f t="shared" si="48"/>
        <v>0</v>
      </c>
      <c r="AK30" s="3350">
        <f t="shared" si="66"/>
        <v>0</v>
      </c>
      <c r="AL30" s="2187"/>
      <c r="AM30" s="2184"/>
      <c r="AN30" s="2181"/>
      <c r="AO30" s="2212">
        <f t="shared" si="49"/>
        <v>0</v>
      </c>
      <c r="AP30" s="3350" t="e">
        <f t="shared" si="66"/>
        <v>#DIV/0!</v>
      </c>
      <c r="AQ30" s="2187"/>
      <c r="AR30" s="2184"/>
      <c r="AS30" s="2181"/>
      <c r="AT30" s="2212">
        <f t="shared" si="50"/>
        <v>0</v>
      </c>
      <c r="AU30" s="3350" t="e">
        <f t="shared" si="66"/>
        <v>#DIV/0!</v>
      </c>
      <c r="AV30" s="2187"/>
      <c r="AW30" s="2184"/>
      <c r="AX30" s="2181"/>
      <c r="AY30" s="2212">
        <f t="shared" si="51"/>
        <v>0</v>
      </c>
      <c r="AZ30" s="3350" t="e">
        <f t="shared" si="66"/>
        <v>#DIV/0!</v>
      </c>
      <c r="BA30" s="2187"/>
      <c r="BB30" s="2184"/>
      <c r="BC30" s="2181"/>
      <c r="BD30" s="2212">
        <f t="shared" si="52"/>
        <v>0</v>
      </c>
      <c r="BE30" s="3350" t="e">
        <f t="shared" si="67"/>
        <v>#DIV/0!</v>
      </c>
      <c r="BF30" s="2187"/>
      <c r="BG30" s="2184"/>
      <c r="BH30" s="2181"/>
      <c r="BI30" s="2212">
        <f t="shared" si="53"/>
        <v>0</v>
      </c>
      <c r="BJ30" s="3350" t="e">
        <f t="shared" si="67"/>
        <v>#DIV/0!</v>
      </c>
      <c r="BK30" s="2187"/>
      <c r="BL30" s="2184"/>
      <c r="BM30" s="2181"/>
      <c r="BN30" s="2212">
        <f t="shared" si="54"/>
        <v>0</v>
      </c>
      <c r="BO30" s="3350" t="e">
        <f t="shared" si="67"/>
        <v>#DIV/0!</v>
      </c>
      <c r="BP30" s="2187"/>
      <c r="BQ30" s="2184"/>
      <c r="BR30" s="2181"/>
      <c r="BS30" s="2212">
        <f t="shared" si="55"/>
        <v>0</v>
      </c>
      <c r="BT30" s="3350" t="e">
        <f t="shared" si="67"/>
        <v>#DIV/0!</v>
      </c>
      <c r="BU30" s="2187"/>
      <c r="BV30" s="2184"/>
      <c r="BW30" s="2181"/>
      <c r="BX30" s="2212">
        <f t="shared" si="56"/>
        <v>0</v>
      </c>
      <c r="BY30" s="3350" t="e">
        <f t="shared" si="68"/>
        <v>#DIV/0!</v>
      </c>
      <c r="BZ30" s="2187"/>
      <c r="CA30" s="2184"/>
      <c r="CB30" s="2181"/>
      <c r="CC30" s="2212">
        <f t="shared" si="57"/>
        <v>0</v>
      </c>
      <c r="CD30" s="3350" t="e">
        <f t="shared" si="68"/>
        <v>#DIV/0!</v>
      </c>
      <c r="CE30" s="2187"/>
      <c r="CF30" s="2184">
        <f t="shared" si="58"/>
        <v>0</v>
      </c>
      <c r="CG30" s="2181">
        <f t="shared" si="58"/>
        <v>286786.12</v>
      </c>
      <c r="CH30" s="2212">
        <f t="shared" si="59"/>
        <v>286786.12</v>
      </c>
      <c r="CI30" s="3350">
        <f t="shared" si="42"/>
        <v>3.496077863349286E-2</v>
      </c>
      <c r="CJ30" s="3360"/>
      <c r="CK30" s="3210">
        <v>286786.12</v>
      </c>
      <c r="CL30" s="3210">
        <f t="shared" si="69"/>
        <v>0</v>
      </c>
      <c r="CM30" s="3216"/>
      <c r="CN30" s="3211"/>
      <c r="CO30" s="2192"/>
    </row>
    <row r="31" spans="1:94" s="1396" customFormat="1" ht="24.6" customHeight="1">
      <c r="A31" s="2193"/>
      <c r="B31" s="3893" t="s">
        <v>34</v>
      </c>
      <c r="C31" s="3895">
        <v>48000</v>
      </c>
      <c r="D31" s="3894"/>
      <c r="E31" s="2180">
        <f t="shared" si="43"/>
        <v>48000</v>
      </c>
      <c r="F31" s="3350">
        <f t="shared" si="26"/>
        <v>8.0782607244702358E-3</v>
      </c>
      <c r="G31" s="2541"/>
      <c r="H31" s="2184">
        <v>0</v>
      </c>
      <c r="I31" s="2181">
        <v>0</v>
      </c>
      <c r="J31" s="2212">
        <f t="shared" si="61"/>
        <v>0</v>
      </c>
      <c r="K31" s="3350">
        <f t="shared" si="44"/>
        <v>0</v>
      </c>
      <c r="L31" s="2187"/>
      <c r="M31" s="2051">
        <v>0</v>
      </c>
      <c r="N31" s="2043">
        <v>0</v>
      </c>
      <c r="O31" s="2045">
        <f t="shared" si="62"/>
        <v>0</v>
      </c>
      <c r="P31" s="3350">
        <f t="shared" si="45"/>
        <v>0</v>
      </c>
      <c r="Q31" s="2046"/>
      <c r="R31" s="2051">
        <f t="shared" si="46"/>
        <v>0</v>
      </c>
      <c r="S31" s="2043">
        <f t="shared" si="46"/>
        <v>0</v>
      </c>
      <c r="T31" s="2045">
        <f t="shared" si="63"/>
        <v>0</v>
      </c>
      <c r="U31" s="3350">
        <f t="shared" si="47"/>
        <v>0</v>
      </c>
      <c r="V31" s="2046"/>
      <c r="W31" s="2541"/>
      <c r="X31" s="2184"/>
      <c r="Y31" s="2181"/>
      <c r="Z31" s="2212">
        <f t="shared" si="64"/>
        <v>0</v>
      </c>
      <c r="AA31" s="3350" t="e">
        <f t="shared" si="27"/>
        <v>#DIV/0!</v>
      </c>
      <c r="AB31" s="2187"/>
      <c r="AC31" s="2184"/>
      <c r="AD31" s="2181"/>
      <c r="AE31" s="2212">
        <f t="shared" si="65"/>
        <v>0</v>
      </c>
      <c r="AF31" s="3350" t="e">
        <f t="shared" si="28"/>
        <v>#DIV/0!</v>
      </c>
      <c r="AG31" s="2187"/>
      <c r="AH31" s="2184"/>
      <c r="AI31" s="2181"/>
      <c r="AJ31" s="2212">
        <f t="shared" si="48"/>
        <v>0</v>
      </c>
      <c r="AK31" s="3350">
        <f t="shared" si="66"/>
        <v>0</v>
      </c>
      <c r="AL31" s="2187"/>
      <c r="AM31" s="2184"/>
      <c r="AN31" s="2181"/>
      <c r="AO31" s="2212">
        <f t="shared" si="49"/>
        <v>0</v>
      </c>
      <c r="AP31" s="3350" t="e">
        <f t="shared" si="66"/>
        <v>#DIV/0!</v>
      </c>
      <c r="AQ31" s="2187"/>
      <c r="AR31" s="2184"/>
      <c r="AS31" s="2181"/>
      <c r="AT31" s="2212">
        <f t="shared" si="50"/>
        <v>0</v>
      </c>
      <c r="AU31" s="3350" t="e">
        <f t="shared" si="66"/>
        <v>#DIV/0!</v>
      </c>
      <c r="AV31" s="2187"/>
      <c r="AW31" s="2184"/>
      <c r="AX31" s="2181"/>
      <c r="AY31" s="2212">
        <f t="shared" si="51"/>
        <v>0</v>
      </c>
      <c r="AZ31" s="3350" t="e">
        <f t="shared" si="66"/>
        <v>#DIV/0!</v>
      </c>
      <c r="BA31" s="2187"/>
      <c r="BB31" s="2184"/>
      <c r="BC31" s="2181"/>
      <c r="BD31" s="2212">
        <f t="shared" si="52"/>
        <v>0</v>
      </c>
      <c r="BE31" s="3350" t="e">
        <f t="shared" si="67"/>
        <v>#DIV/0!</v>
      </c>
      <c r="BF31" s="2187"/>
      <c r="BG31" s="2184"/>
      <c r="BH31" s="2181"/>
      <c r="BI31" s="2212">
        <f t="shared" si="53"/>
        <v>0</v>
      </c>
      <c r="BJ31" s="3350" t="e">
        <f t="shared" si="67"/>
        <v>#DIV/0!</v>
      </c>
      <c r="BK31" s="2187"/>
      <c r="BL31" s="2184"/>
      <c r="BM31" s="2181"/>
      <c r="BN31" s="2212">
        <f t="shared" si="54"/>
        <v>0</v>
      </c>
      <c r="BO31" s="3350" t="e">
        <f t="shared" si="67"/>
        <v>#DIV/0!</v>
      </c>
      <c r="BP31" s="2187"/>
      <c r="BQ31" s="2184"/>
      <c r="BR31" s="2181"/>
      <c r="BS31" s="2212">
        <f t="shared" si="55"/>
        <v>0</v>
      </c>
      <c r="BT31" s="3350" t="e">
        <f t="shared" si="67"/>
        <v>#DIV/0!</v>
      </c>
      <c r="BU31" s="2187"/>
      <c r="BV31" s="2184"/>
      <c r="BW31" s="2181"/>
      <c r="BX31" s="2212">
        <f t="shared" si="56"/>
        <v>0</v>
      </c>
      <c r="BY31" s="3350" t="e">
        <f t="shared" si="68"/>
        <v>#DIV/0!</v>
      </c>
      <c r="BZ31" s="2187"/>
      <c r="CA31" s="2184"/>
      <c r="CB31" s="2181"/>
      <c r="CC31" s="2212">
        <f t="shared" si="57"/>
        <v>0</v>
      </c>
      <c r="CD31" s="3350" t="e">
        <f t="shared" si="68"/>
        <v>#DIV/0!</v>
      </c>
      <c r="CE31" s="2187"/>
      <c r="CF31" s="2184">
        <f t="shared" si="58"/>
        <v>0</v>
      </c>
      <c r="CG31" s="2181">
        <f t="shared" si="58"/>
        <v>0</v>
      </c>
      <c r="CH31" s="2212">
        <f t="shared" si="59"/>
        <v>0</v>
      </c>
      <c r="CI31" s="3350">
        <f t="shared" si="42"/>
        <v>0</v>
      </c>
      <c r="CJ31" s="3360"/>
      <c r="CK31" s="3213"/>
      <c r="CL31" s="3213"/>
      <c r="CM31" s="3211"/>
      <c r="CN31" s="2192"/>
      <c r="CO31" s="2192"/>
    </row>
    <row r="32" spans="1:94" s="1396" customFormat="1" ht="24.6" customHeight="1">
      <c r="A32" s="2193"/>
      <c r="B32" s="3896" t="s">
        <v>2</v>
      </c>
      <c r="C32" s="3897">
        <v>6120</v>
      </c>
      <c r="D32" s="3898"/>
      <c r="E32" s="2180">
        <f t="shared" si="43"/>
        <v>6120</v>
      </c>
      <c r="F32" s="3350">
        <f t="shared" si="26"/>
        <v>1.0299782423699552E-3</v>
      </c>
      <c r="G32" s="2541"/>
      <c r="H32" s="2184">
        <v>0</v>
      </c>
      <c r="I32" s="2181">
        <v>0</v>
      </c>
      <c r="J32" s="2212">
        <f t="shared" si="61"/>
        <v>0</v>
      </c>
      <c r="K32" s="3350">
        <f t="shared" si="44"/>
        <v>0</v>
      </c>
      <c r="L32" s="2187"/>
      <c r="M32" s="2051">
        <v>0</v>
      </c>
      <c r="N32" s="2043">
        <v>0</v>
      </c>
      <c r="O32" s="2045">
        <f t="shared" si="62"/>
        <v>0</v>
      </c>
      <c r="P32" s="3350">
        <f t="shared" si="45"/>
        <v>0</v>
      </c>
      <c r="Q32" s="2046"/>
      <c r="R32" s="2051">
        <f t="shared" si="46"/>
        <v>0</v>
      </c>
      <c r="S32" s="2043">
        <f t="shared" si="46"/>
        <v>0</v>
      </c>
      <c r="T32" s="2045">
        <f t="shared" si="63"/>
        <v>0</v>
      </c>
      <c r="U32" s="3350">
        <f t="shared" si="47"/>
        <v>0</v>
      </c>
      <c r="V32" s="2046"/>
      <c r="W32" s="2541"/>
      <c r="X32" s="2184"/>
      <c r="Y32" s="2181"/>
      <c r="Z32" s="2212">
        <f t="shared" si="64"/>
        <v>0</v>
      </c>
      <c r="AA32" s="3350" t="e">
        <f t="shared" si="27"/>
        <v>#DIV/0!</v>
      </c>
      <c r="AB32" s="2187"/>
      <c r="AC32" s="2184"/>
      <c r="AD32" s="2181"/>
      <c r="AE32" s="2212">
        <f t="shared" si="65"/>
        <v>0</v>
      </c>
      <c r="AF32" s="3350" t="e">
        <f t="shared" si="28"/>
        <v>#DIV/0!</v>
      </c>
      <c r="AG32" s="2187"/>
      <c r="AH32" s="2184"/>
      <c r="AI32" s="2181"/>
      <c r="AJ32" s="2212">
        <f t="shared" si="48"/>
        <v>0</v>
      </c>
      <c r="AK32" s="3350">
        <f t="shared" si="66"/>
        <v>0</v>
      </c>
      <c r="AL32" s="2187"/>
      <c r="AM32" s="2184"/>
      <c r="AN32" s="2181"/>
      <c r="AO32" s="2212">
        <f t="shared" si="49"/>
        <v>0</v>
      </c>
      <c r="AP32" s="3350" t="e">
        <f t="shared" si="66"/>
        <v>#DIV/0!</v>
      </c>
      <c r="AQ32" s="2187"/>
      <c r="AR32" s="2184"/>
      <c r="AS32" s="2181"/>
      <c r="AT32" s="2212">
        <f t="shared" si="50"/>
        <v>0</v>
      </c>
      <c r="AU32" s="3350" t="e">
        <f t="shared" si="66"/>
        <v>#DIV/0!</v>
      </c>
      <c r="AV32" s="2187"/>
      <c r="AW32" s="2184"/>
      <c r="AX32" s="2181"/>
      <c r="AY32" s="2212">
        <f t="shared" si="51"/>
        <v>0</v>
      </c>
      <c r="AZ32" s="3350" t="e">
        <f t="shared" si="66"/>
        <v>#DIV/0!</v>
      </c>
      <c r="BA32" s="2187"/>
      <c r="BB32" s="2184"/>
      <c r="BC32" s="2181"/>
      <c r="BD32" s="2212">
        <f t="shared" si="52"/>
        <v>0</v>
      </c>
      <c r="BE32" s="3350" t="e">
        <f t="shared" si="67"/>
        <v>#DIV/0!</v>
      </c>
      <c r="BF32" s="2187"/>
      <c r="BG32" s="2184"/>
      <c r="BH32" s="2181"/>
      <c r="BI32" s="2212">
        <f t="shared" si="53"/>
        <v>0</v>
      </c>
      <c r="BJ32" s="3350" t="e">
        <f t="shared" si="67"/>
        <v>#DIV/0!</v>
      </c>
      <c r="BK32" s="2187"/>
      <c r="BL32" s="2184"/>
      <c r="BM32" s="2181"/>
      <c r="BN32" s="2212">
        <f t="shared" si="54"/>
        <v>0</v>
      </c>
      <c r="BO32" s="3350" t="e">
        <f t="shared" si="67"/>
        <v>#DIV/0!</v>
      </c>
      <c r="BP32" s="2187"/>
      <c r="BQ32" s="2184"/>
      <c r="BR32" s="2181"/>
      <c r="BS32" s="2212">
        <f t="shared" si="55"/>
        <v>0</v>
      </c>
      <c r="BT32" s="3350" t="e">
        <f t="shared" si="67"/>
        <v>#DIV/0!</v>
      </c>
      <c r="BU32" s="2187"/>
      <c r="BV32" s="2184"/>
      <c r="BW32" s="2181"/>
      <c r="BX32" s="2212">
        <f t="shared" si="56"/>
        <v>0</v>
      </c>
      <c r="BY32" s="3350" t="e">
        <f t="shared" si="68"/>
        <v>#DIV/0!</v>
      </c>
      <c r="BZ32" s="2187"/>
      <c r="CA32" s="2184"/>
      <c r="CB32" s="2181"/>
      <c r="CC32" s="2212">
        <f t="shared" si="57"/>
        <v>0</v>
      </c>
      <c r="CD32" s="3350" t="e">
        <f t="shared" si="68"/>
        <v>#DIV/0!</v>
      </c>
      <c r="CE32" s="2187"/>
      <c r="CF32" s="2184">
        <f t="shared" si="58"/>
        <v>0</v>
      </c>
      <c r="CG32" s="2181">
        <f t="shared" si="58"/>
        <v>0</v>
      </c>
      <c r="CH32" s="2212">
        <f t="shared" si="59"/>
        <v>0</v>
      </c>
      <c r="CI32" s="3350">
        <f t="shared" si="42"/>
        <v>0</v>
      </c>
      <c r="CJ32" s="3360"/>
      <c r="CK32" s="3213"/>
      <c r="CL32" s="3213"/>
      <c r="CM32" s="3211"/>
      <c r="CN32" s="2192"/>
      <c r="CO32" s="2192"/>
    </row>
    <row r="33" spans="1:93" s="1396" customFormat="1" ht="24.6" customHeight="1" thickBot="1">
      <c r="A33" s="2193"/>
      <c r="B33" s="3220" t="s">
        <v>75</v>
      </c>
      <c r="C33" s="3899"/>
      <c r="D33" s="3221"/>
      <c r="E33" s="2243">
        <f t="shared" si="43"/>
        <v>0</v>
      </c>
      <c r="F33" s="2862">
        <f t="shared" si="26"/>
        <v>0</v>
      </c>
      <c r="G33" s="1351"/>
      <c r="H33" s="2247">
        <v>0</v>
      </c>
      <c r="I33" s="2244">
        <v>0</v>
      </c>
      <c r="J33" s="2245">
        <f t="shared" si="61"/>
        <v>0</v>
      </c>
      <c r="K33" s="2862">
        <f t="shared" si="44"/>
        <v>0</v>
      </c>
      <c r="L33" s="3222"/>
      <c r="M33" s="2028">
        <v>0</v>
      </c>
      <c r="N33" s="2025">
        <v>1500</v>
      </c>
      <c r="O33" s="2026">
        <f t="shared" si="62"/>
        <v>1500</v>
      </c>
      <c r="P33" s="2862">
        <f t="shared" si="45"/>
        <v>2.0512628175198156E-4</v>
      </c>
      <c r="Q33" s="2863"/>
      <c r="R33" s="2028">
        <f t="shared" si="46"/>
        <v>0</v>
      </c>
      <c r="S33" s="2025">
        <f t="shared" si="46"/>
        <v>0</v>
      </c>
      <c r="T33" s="2026">
        <f t="shared" si="63"/>
        <v>0</v>
      </c>
      <c r="U33" s="2862">
        <f t="shared" si="47"/>
        <v>0</v>
      </c>
      <c r="V33" s="2863"/>
      <c r="W33" s="1351"/>
      <c r="X33" s="2247"/>
      <c r="Y33" s="2244"/>
      <c r="Z33" s="3900">
        <f t="shared" si="64"/>
        <v>0</v>
      </c>
      <c r="AA33" s="2862" t="e">
        <f t="shared" si="27"/>
        <v>#DIV/0!</v>
      </c>
      <c r="AB33" s="2863"/>
      <c r="AC33" s="2247"/>
      <c r="AD33" s="2244"/>
      <c r="AE33" s="3900">
        <f t="shared" si="65"/>
        <v>0</v>
      </c>
      <c r="AF33" s="2862" t="e">
        <f t="shared" si="28"/>
        <v>#DIV/0!</v>
      </c>
      <c r="AG33" s="2863"/>
      <c r="AH33" s="2247"/>
      <c r="AI33" s="2244"/>
      <c r="AJ33" s="3900">
        <f t="shared" si="48"/>
        <v>0</v>
      </c>
      <c r="AK33" s="2862">
        <f t="shared" si="66"/>
        <v>0</v>
      </c>
      <c r="AL33" s="2863"/>
      <c r="AM33" s="2247"/>
      <c r="AN33" s="2244"/>
      <c r="AO33" s="3900">
        <f t="shared" si="49"/>
        <v>0</v>
      </c>
      <c r="AP33" s="2862" t="e">
        <f t="shared" si="66"/>
        <v>#DIV/0!</v>
      </c>
      <c r="AQ33" s="2863"/>
      <c r="AR33" s="2247"/>
      <c r="AS33" s="2244"/>
      <c r="AT33" s="3900">
        <f t="shared" si="50"/>
        <v>0</v>
      </c>
      <c r="AU33" s="2862" t="e">
        <f t="shared" si="66"/>
        <v>#DIV/0!</v>
      </c>
      <c r="AV33" s="2863"/>
      <c r="AW33" s="2247"/>
      <c r="AX33" s="2244"/>
      <c r="AY33" s="3900">
        <f t="shared" si="51"/>
        <v>0</v>
      </c>
      <c r="AZ33" s="2862" t="e">
        <f t="shared" si="66"/>
        <v>#DIV/0!</v>
      </c>
      <c r="BA33" s="2863"/>
      <c r="BB33" s="2247"/>
      <c r="BC33" s="2244"/>
      <c r="BD33" s="3900">
        <f t="shared" si="52"/>
        <v>0</v>
      </c>
      <c r="BE33" s="2862" t="e">
        <f t="shared" si="67"/>
        <v>#DIV/0!</v>
      </c>
      <c r="BF33" s="2863"/>
      <c r="BG33" s="2247"/>
      <c r="BH33" s="2244"/>
      <c r="BI33" s="3900">
        <f t="shared" si="53"/>
        <v>0</v>
      </c>
      <c r="BJ33" s="2862" t="e">
        <f t="shared" si="67"/>
        <v>#DIV/0!</v>
      </c>
      <c r="BK33" s="2863"/>
      <c r="BL33" s="2247"/>
      <c r="BM33" s="2244"/>
      <c r="BN33" s="3900">
        <f t="shared" si="54"/>
        <v>0</v>
      </c>
      <c r="BO33" s="2862" t="e">
        <f t="shared" si="67"/>
        <v>#DIV/0!</v>
      </c>
      <c r="BP33" s="2863"/>
      <c r="BQ33" s="2247"/>
      <c r="BR33" s="2244"/>
      <c r="BS33" s="3900">
        <f t="shared" si="55"/>
        <v>0</v>
      </c>
      <c r="BT33" s="2862" t="e">
        <f t="shared" si="67"/>
        <v>#DIV/0!</v>
      </c>
      <c r="BU33" s="2863"/>
      <c r="BV33" s="2247"/>
      <c r="BW33" s="2244"/>
      <c r="BX33" s="3900">
        <f t="shared" si="56"/>
        <v>0</v>
      </c>
      <c r="BY33" s="2862" t="e">
        <f t="shared" si="68"/>
        <v>#DIV/0!</v>
      </c>
      <c r="BZ33" s="2863"/>
      <c r="CA33" s="2247"/>
      <c r="CB33" s="2244"/>
      <c r="CC33" s="3900">
        <f t="shared" si="57"/>
        <v>0</v>
      </c>
      <c r="CD33" s="2862" t="e">
        <f t="shared" si="68"/>
        <v>#DIV/0!</v>
      </c>
      <c r="CE33" s="2863"/>
      <c r="CF33" s="3223">
        <f t="shared" si="58"/>
        <v>0</v>
      </c>
      <c r="CG33" s="3224">
        <f t="shared" si="58"/>
        <v>1500</v>
      </c>
      <c r="CH33" s="3225">
        <f t="shared" si="59"/>
        <v>1500</v>
      </c>
      <c r="CI33" s="2862">
        <f t="shared" si="42"/>
        <v>1.8285811025386896E-4</v>
      </c>
      <c r="CJ33" s="2864"/>
      <c r="CK33" s="3210">
        <v>1500</v>
      </c>
      <c r="CL33" s="3210">
        <f t="shared" ref="CL33" si="70">CH33-CK33</f>
        <v>0</v>
      </c>
      <c r="CM33" s="3211"/>
      <c r="CN33" s="2192"/>
      <c r="CO33" s="2192"/>
    </row>
    <row r="34" spans="1:93" s="1396" customFormat="1" ht="24.6" customHeight="1">
      <c r="A34" s="2193"/>
      <c r="B34" s="3226"/>
      <c r="C34" s="2252"/>
      <c r="D34" s="2253"/>
      <c r="E34" s="2254"/>
      <c r="F34" s="2255"/>
      <c r="G34" s="3227"/>
      <c r="H34" s="2184"/>
      <c r="I34" s="2181"/>
      <c r="J34" s="2254"/>
      <c r="K34" s="1976"/>
      <c r="L34" s="2254"/>
      <c r="M34" s="2051"/>
      <c r="N34" s="2043"/>
      <c r="O34" s="2024"/>
      <c r="P34" s="1976"/>
      <c r="Q34" s="2024"/>
      <c r="R34" s="2051"/>
      <c r="S34" s="2043"/>
      <c r="T34" s="2024"/>
      <c r="U34" s="1976"/>
      <c r="V34" s="2024"/>
      <c r="W34" s="3227"/>
      <c r="X34" s="2184"/>
      <c r="Y34" s="2181"/>
      <c r="Z34" s="2254"/>
      <c r="AA34" s="1976"/>
      <c r="AB34" s="2254"/>
      <c r="AC34" s="2184"/>
      <c r="AD34" s="2181"/>
      <c r="AE34" s="2254"/>
      <c r="AF34" s="1976"/>
      <c r="AG34" s="2254"/>
      <c r="AH34" s="2184"/>
      <c r="AI34" s="2181"/>
      <c r="AJ34" s="2254"/>
      <c r="AK34" s="1976"/>
      <c r="AL34" s="2254"/>
      <c r="AM34" s="2184"/>
      <c r="AN34" s="2181"/>
      <c r="AO34" s="2254"/>
      <c r="AP34" s="1976"/>
      <c r="AQ34" s="2254"/>
      <c r="AR34" s="2184"/>
      <c r="AS34" s="2181"/>
      <c r="AT34" s="2254"/>
      <c r="AU34" s="1976"/>
      <c r="AV34" s="2254"/>
      <c r="AW34" s="2184"/>
      <c r="AX34" s="2181"/>
      <c r="AY34" s="2254"/>
      <c r="AZ34" s="1976"/>
      <c r="BA34" s="2254"/>
      <c r="BB34" s="2184"/>
      <c r="BC34" s="2181"/>
      <c r="BD34" s="2254"/>
      <c r="BE34" s="1976"/>
      <c r="BF34" s="2254"/>
      <c r="BG34" s="2184"/>
      <c r="BH34" s="2181"/>
      <c r="BI34" s="2254"/>
      <c r="BJ34" s="1976"/>
      <c r="BK34" s="2254"/>
      <c r="BL34" s="2184"/>
      <c r="BM34" s="2181"/>
      <c r="BN34" s="2254"/>
      <c r="BO34" s="1976"/>
      <c r="BP34" s="2254"/>
      <c r="BQ34" s="2184"/>
      <c r="BR34" s="2181"/>
      <c r="BS34" s="2254"/>
      <c r="BT34" s="1976"/>
      <c r="BU34" s="2254"/>
      <c r="BV34" s="2184"/>
      <c r="BW34" s="2181"/>
      <c r="BX34" s="2254"/>
      <c r="BY34" s="1976"/>
      <c r="BZ34" s="2254"/>
      <c r="CA34" s="2184"/>
      <c r="CB34" s="2181"/>
      <c r="CC34" s="2254"/>
      <c r="CD34" s="1976"/>
      <c r="CE34" s="2254"/>
      <c r="CF34" s="2184"/>
      <c r="CG34" s="2181"/>
      <c r="CH34" s="2254"/>
      <c r="CI34" s="2254"/>
      <c r="CJ34" s="2254"/>
      <c r="CK34" s="3213"/>
      <c r="CL34" s="3213"/>
      <c r="CM34" s="3211"/>
      <c r="CN34" s="2192"/>
      <c r="CO34" s="2192"/>
    </row>
    <row r="35" spans="1:93" s="2466" customFormat="1" ht="24.6" customHeight="1">
      <c r="A35" s="2193"/>
      <c r="B35" s="3901" t="s">
        <v>80</v>
      </c>
      <c r="C35" s="3902">
        <f>C36</f>
        <v>0</v>
      </c>
      <c r="D35" s="3902">
        <f>D36</f>
        <v>0</v>
      </c>
      <c r="E35" s="3903">
        <f>E36</f>
        <v>0</v>
      </c>
      <c r="F35" s="3904">
        <f>E35/$E$89</f>
        <v>0</v>
      </c>
      <c r="G35" s="3905"/>
      <c r="H35" s="3902">
        <v>0</v>
      </c>
      <c r="I35" s="3902">
        <v>0</v>
      </c>
      <c r="J35" s="3903">
        <f>J36</f>
        <v>0</v>
      </c>
      <c r="K35" s="3350">
        <f t="shared" si="44"/>
        <v>0</v>
      </c>
      <c r="L35" s="3906"/>
      <c r="M35" s="3370">
        <f>M36</f>
        <v>0</v>
      </c>
      <c r="N35" s="3370">
        <f>N36</f>
        <v>0</v>
      </c>
      <c r="O35" s="3371">
        <f>O36</f>
        <v>0</v>
      </c>
      <c r="P35" s="3350">
        <f t="shared" ref="P35:P36" si="71">O35/O$89</f>
        <v>0</v>
      </c>
      <c r="Q35" s="3822"/>
      <c r="R35" s="3370">
        <f>R36</f>
        <v>0</v>
      </c>
      <c r="S35" s="3370">
        <f>S36</f>
        <v>0</v>
      </c>
      <c r="T35" s="3371">
        <f>T36</f>
        <v>0</v>
      </c>
      <c r="U35" s="3350">
        <f t="shared" ref="U35:U36" si="72">T35/T$89</f>
        <v>0</v>
      </c>
      <c r="V35" s="3822"/>
      <c r="W35" s="3905"/>
      <c r="X35" s="3902"/>
      <c r="Y35" s="3902"/>
      <c r="Z35" s="3903">
        <f>Z36</f>
        <v>0</v>
      </c>
      <c r="AA35" s="3903">
        <f>AA36</f>
        <v>0</v>
      </c>
      <c r="AB35" s="3906"/>
      <c r="AC35" s="3902"/>
      <c r="AD35" s="3902"/>
      <c r="AE35" s="3903">
        <f>AE36</f>
        <v>0</v>
      </c>
      <c r="AF35" s="3903">
        <f>AF36</f>
        <v>0</v>
      </c>
      <c r="AG35" s="3906"/>
      <c r="AH35" s="3902"/>
      <c r="AI35" s="3902"/>
      <c r="AJ35" s="3903">
        <f t="shared" ref="AJ35:AK35" si="73">AJ36</f>
        <v>0</v>
      </c>
      <c r="AK35" s="3903">
        <f t="shared" si="73"/>
        <v>0</v>
      </c>
      <c r="AL35" s="3906"/>
      <c r="AM35" s="3902"/>
      <c r="AN35" s="3902"/>
      <c r="AO35" s="3903">
        <f t="shared" ref="AO35:AP35" si="74">AO36</f>
        <v>0</v>
      </c>
      <c r="AP35" s="3903">
        <f t="shared" si="74"/>
        <v>0</v>
      </c>
      <c r="AQ35" s="3906"/>
      <c r="AR35" s="3902"/>
      <c r="AS35" s="3902"/>
      <c r="AT35" s="3903">
        <f t="shared" ref="AT35:AU35" si="75">AT36</f>
        <v>0</v>
      </c>
      <c r="AU35" s="3903">
        <f t="shared" si="75"/>
        <v>0</v>
      </c>
      <c r="AV35" s="3906"/>
      <c r="AW35" s="3902"/>
      <c r="AX35" s="3902"/>
      <c r="AY35" s="3903">
        <f t="shared" ref="AY35:AZ35" si="76">AY36</f>
        <v>0</v>
      </c>
      <c r="AZ35" s="3903">
        <f t="shared" si="76"/>
        <v>0</v>
      </c>
      <c r="BA35" s="3906"/>
      <c r="BB35" s="3902"/>
      <c r="BC35" s="3902"/>
      <c r="BD35" s="3903">
        <f t="shared" ref="BD35:BE35" si="77">BD36</f>
        <v>0</v>
      </c>
      <c r="BE35" s="3903">
        <f t="shared" si="77"/>
        <v>0</v>
      </c>
      <c r="BF35" s="3906"/>
      <c r="BG35" s="3902"/>
      <c r="BH35" s="3902"/>
      <c r="BI35" s="3903">
        <f t="shared" ref="BI35:BJ35" si="78">BI36</f>
        <v>0</v>
      </c>
      <c r="BJ35" s="3903">
        <f t="shared" si="78"/>
        <v>0</v>
      </c>
      <c r="BK35" s="3906"/>
      <c r="BL35" s="3902"/>
      <c r="BM35" s="3902"/>
      <c r="BN35" s="3903">
        <f t="shared" ref="BN35:BO35" si="79">BN36</f>
        <v>0</v>
      </c>
      <c r="BO35" s="3903">
        <f t="shared" si="79"/>
        <v>0</v>
      </c>
      <c r="BP35" s="3906"/>
      <c r="BQ35" s="3902"/>
      <c r="BR35" s="3902"/>
      <c r="BS35" s="3903">
        <f t="shared" ref="BS35:BT35" si="80">BS36</f>
        <v>0</v>
      </c>
      <c r="BT35" s="3903">
        <f t="shared" si="80"/>
        <v>0</v>
      </c>
      <c r="BU35" s="3906"/>
      <c r="BV35" s="3902"/>
      <c r="BW35" s="3902"/>
      <c r="BX35" s="3903">
        <f t="shared" ref="BX35:BY35" si="81">BX36</f>
        <v>0</v>
      </c>
      <c r="BY35" s="3903">
        <f t="shared" si="81"/>
        <v>0</v>
      </c>
      <c r="BZ35" s="3906"/>
      <c r="CA35" s="3902"/>
      <c r="CB35" s="3902"/>
      <c r="CC35" s="3903">
        <f t="shared" ref="CC35:CD35" si="82">CC36</f>
        <v>0</v>
      </c>
      <c r="CD35" s="3903">
        <f t="shared" si="82"/>
        <v>0</v>
      </c>
      <c r="CE35" s="3906"/>
      <c r="CF35" s="3902">
        <f>SUM(CF36)</f>
        <v>0</v>
      </c>
      <c r="CG35" s="3902">
        <f>SUM(CG36)</f>
        <v>0</v>
      </c>
      <c r="CH35" s="3902">
        <f>SUM(CH36)</f>
        <v>0</v>
      </c>
      <c r="CI35" s="3902">
        <f>CI36</f>
        <v>0</v>
      </c>
      <c r="CJ35" s="3903"/>
      <c r="CK35" s="3209"/>
      <c r="CL35" s="3209"/>
      <c r="CM35" s="3215"/>
      <c r="CN35" s="2175"/>
      <c r="CO35" s="2175"/>
    </row>
    <row r="36" spans="1:93" s="1564" customFormat="1" ht="24.6" customHeight="1" outlineLevel="1">
      <c r="A36" s="2193"/>
      <c r="B36" s="3907" t="s">
        <v>81</v>
      </c>
      <c r="C36" s="3908"/>
      <c r="D36" s="3909"/>
      <c r="E36" s="3910">
        <f>C36+D36</f>
        <v>0</v>
      </c>
      <c r="F36" s="3911">
        <f>E36/$E$89</f>
        <v>0</v>
      </c>
      <c r="G36" s="3228"/>
      <c r="H36" s="2184">
        <v>0</v>
      </c>
      <c r="I36" s="2181">
        <v>0</v>
      </c>
      <c r="J36" s="2180">
        <f>H36+I36*1</f>
        <v>0</v>
      </c>
      <c r="K36" s="3350">
        <f t="shared" si="44"/>
        <v>0</v>
      </c>
      <c r="L36" s="2187"/>
      <c r="M36" s="2051">
        <f t="shared" ref="M36:N36" si="83">X36+AC36+AH36+AM36+AR36+AW36+BB36+BG36+BL36+BQ36+BV36+CA36</f>
        <v>0</v>
      </c>
      <c r="N36" s="2043">
        <f t="shared" si="83"/>
        <v>0</v>
      </c>
      <c r="O36" s="2012">
        <f>M36+N36*1</f>
        <v>0</v>
      </c>
      <c r="P36" s="3350">
        <f t="shared" si="71"/>
        <v>0</v>
      </c>
      <c r="Q36" s="2046"/>
      <c r="R36" s="2051">
        <f t="shared" ref="R36:S36" si="84">X36+AC36+AH36+AM36+AR36+AW36+BB36+BG36+BL36+BQ36+BV36+CA36</f>
        <v>0</v>
      </c>
      <c r="S36" s="2043">
        <f t="shared" si="84"/>
        <v>0</v>
      </c>
      <c r="T36" s="2012">
        <f>R36+S36*1</f>
        <v>0</v>
      </c>
      <c r="U36" s="3350">
        <f t="shared" si="72"/>
        <v>0</v>
      </c>
      <c r="V36" s="2046"/>
      <c r="W36" s="3228"/>
      <c r="X36" s="2184"/>
      <c r="Y36" s="2181"/>
      <c r="Z36" s="2180">
        <f>X36+Y36*1</f>
        <v>0</v>
      </c>
      <c r="AA36" s="3350"/>
      <c r="AB36" s="2187"/>
      <c r="AC36" s="2184"/>
      <c r="AD36" s="2181"/>
      <c r="AE36" s="2180">
        <f>AC36+AD36*1</f>
        <v>0</v>
      </c>
      <c r="AF36" s="3350"/>
      <c r="AG36" s="2187"/>
      <c r="AH36" s="2184"/>
      <c r="AI36" s="2181"/>
      <c r="AJ36" s="2180">
        <f t="shared" ref="AJ36" si="85">AH36+AI36*1</f>
        <v>0</v>
      </c>
      <c r="AK36" s="3350"/>
      <c r="AL36" s="2187"/>
      <c r="AM36" s="2184"/>
      <c r="AN36" s="2181"/>
      <c r="AO36" s="2180">
        <f t="shared" ref="AO36" si="86">AM36+AN36*1</f>
        <v>0</v>
      </c>
      <c r="AP36" s="3350"/>
      <c r="AQ36" s="2187"/>
      <c r="AR36" s="2184"/>
      <c r="AS36" s="2181"/>
      <c r="AT36" s="2180">
        <f t="shared" ref="AT36" si="87">AR36+AS36*1</f>
        <v>0</v>
      </c>
      <c r="AU36" s="3350"/>
      <c r="AV36" s="2187"/>
      <c r="AW36" s="2184"/>
      <c r="AX36" s="2181"/>
      <c r="AY36" s="2180">
        <f t="shared" ref="AY36" si="88">AW36+AX36*1</f>
        <v>0</v>
      </c>
      <c r="AZ36" s="3350"/>
      <c r="BA36" s="2187"/>
      <c r="BB36" s="2184"/>
      <c r="BC36" s="2181"/>
      <c r="BD36" s="2180">
        <f t="shared" ref="BD36" si="89">BB36+BC36*1</f>
        <v>0</v>
      </c>
      <c r="BE36" s="3350"/>
      <c r="BF36" s="2187"/>
      <c r="BG36" s="2184"/>
      <c r="BH36" s="2181"/>
      <c r="BI36" s="2180">
        <f t="shared" ref="BI36" si="90">BG36+BH36*1</f>
        <v>0</v>
      </c>
      <c r="BJ36" s="3350"/>
      <c r="BK36" s="2187"/>
      <c r="BL36" s="2184"/>
      <c r="BM36" s="2181"/>
      <c r="BN36" s="2180">
        <f t="shared" ref="BN36" si="91">BL36+BM36*1</f>
        <v>0</v>
      </c>
      <c r="BO36" s="3350"/>
      <c r="BP36" s="2187"/>
      <c r="BQ36" s="2184"/>
      <c r="BR36" s="2181"/>
      <c r="BS36" s="2180">
        <f t="shared" ref="BS36" si="92">BQ36+BR36*1</f>
        <v>0</v>
      </c>
      <c r="BT36" s="3350"/>
      <c r="BU36" s="2187"/>
      <c r="BV36" s="2184"/>
      <c r="BW36" s="2181"/>
      <c r="BX36" s="2180">
        <f t="shared" ref="BX36" si="93">BV36+BW36*1</f>
        <v>0</v>
      </c>
      <c r="BY36" s="3350"/>
      <c r="BZ36" s="2187"/>
      <c r="CA36" s="2184"/>
      <c r="CB36" s="2181"/>
      <c r="CC36" s="2180">
        <f t="shared" ref="CC36" si="94">CA36+CB36*1</f>
        <v>0</v>
      </c>
      <c r="CD36" s="3350"/>
      <c r="CE36" s="2187"/>
      <c r="CF36" s="2184">
        <f>H36+M36+R36</f>
        <v>0</v>
      </c>
      <c r="CG36" s="2181">
        <f>I36+N36+S36</f>
        <v>0</v>
      </c>
      <c r="CH36" s="2180">
        <f>CF36+CG36*1</f>
        <v>0</v>
      </c>
      <c r="CI36" s="3350">
        <f>CH36/$CH$89</f>
        <v>0</v>
      </c>
      <c r="CJ36" s="3912"/>
      <c r="CK36" s="3229"/>
      <c r="CL36" s="3229"/>
      <c r="CM36" s="3230"/>
      <c r="CN36" s="2234"/>
      <c r="CO36" s="2234"/>
    </row>
    <row r="37" spans="1:93" s="1396" customFormat="1" ht="24.6" customHeight="1" thickBot="1">
      <c r="A37" s="1398"/>
      <c r="B37" s="3231"/>
      <c r="C37" s="3232"/>
      <c r="D37" s="3233"/>
      <c r="E37" s="3234"/>
      <c r="F37" s="3235"/>
      <c r="G37" s="3236"/>
      <c r="H37" s="2247"/>
      <c r="I37" s="2244"/>
      <c r="J37" s="3234"/>
      <c r="K37" s="2862"/>
      <c r="L37" s="3237"/>
      <c r="M37" s="2028"/>
      <c r="N37" s="2025"/>
      <c r="O37" s="3828"/>
      <c r="P37" s="2862"/>
      <c r="Q37" s="3830"/>
      <c r="R37" s="2028"/>
      <c r="S37" s="2025"/>
      <c r="T37" s="3828"/>
      <c r="U37" s="2862"/>
      <c r="V37" s="3830"/>
      <c r="W37" s="3236"/>
      <c r="X37" s="2247"/>
      <c r="Y37" s="2244"/>
      <c r="Z37" s="3234"/>
      <c r="AA37" s="2862"/>
      <c r="AB37" s="3237"/>
      <c r="AC37" s="2247"/>
      <c r="AD37" s="2244"/>
      <c r="AE37" s="3234"/>
      <c r="AF37" s="2862"/>
      <c r="AG37" s="3237"/>
      <c r="AH37" s="2247"/>
      <c r="AI37" s="2244"/>
      <c r="AJ37" s="3234"/>
      <c r="AK37" s="2862"/>
      <c r="AL37" s="3237"/>
      <c r="AM37" s="2247"/>
      <c r="AN37" s="2244"/>
      <c r="AO37" s="3234"/>
      <c r="AP37" s="2862"/>
      <c r="AQ37" s="3237"/>
      <c r="AR37" s="2247"/>
      <c r="AS37" s="2244"/>
      <c r="AT37" s="3234"/>
      <c r="AU37" s="2862"/>
      <c r="AV37" s="3237"/>
      <c r="AW37" s="2247"/>
      <c r="AX37" s="2244"/>
      <c r="AY37" s="3234"/>
      <c r="AZ37" s="2862"/>
      <c r="BA37" s="3237"/>
      <c r="BB37" s="2247"/>
      <c r="BC37" s="2244"/>
      <c r="BD37" s="3234"/>
      <c r="BE37" s="2862"/>
      <c r="BF37" s="3237"/>
      <c r="BG37" s="2247"/>
      <c r="BH37" s="2244"/>
      <c r="BI37" s="3234"/>
      <c r="BJ37" s="2862"/>
      <c r="BK37" s="3237"/>
      <c r="BL37" s="2247"/>
      <c r="BM37" s="2244"/>
      <c r="BN37" s="3234"/>
      <c r="BO37" s="2862"/>
      <c r="BP37" s="3237"/>
      <c r="BQ37" s="2247"/>
      <c r="BR37" s="2244"/>
      <c r="BS37" s="3234"/>
      <c r="BT37" s="2862"/>
      <c r="BU37" s="3237"/>
      <c r="BV37" s="2247"/>
      <c r="BW37" s="2244"/>
      <c r="BX37" s="3234"/>
      <c r="BY37" s="2862"/>
      <c r="BZ37" s="3237"/>
      <c r="CA37" s="2247"/>
      <c r="CB37" s="2244"/>
      <c r="CC37" s="3234"/>
      <c r="CD37" s="2862"/>
      <c r="CE37" s="3237"/>
      <c r="CF37" s="2247"/>
      <c r="CG37" s="2244"/>
      <c r="CH37" s="3234"/>
      <c r="CI37" s="3234"/>
      <c r="CJ37" s="3234"/>
      <c r="CK37" s="3213"/>
      <c r="CL37" s="3213"/>
      <c r="CM37" s="3211"/>
      <c r="CN37" s="2192"/>
      <c r="CO37" s="2192"/>
    </row>
    <row r="38" spans="1:93" ht="24.6" customHeight="1" thickBot="1">
      <c r="A38" s="2284"/>
      <c r="B38" s="3238" t="s">
        <v>46</v>
      </c>
      <c r="C38" s="2286">
        <f>(C5)-(C8)</f>
        <v>3219753.3995566219</v>
      </c>
      <c r="D38" s="2286">
        <f>(D5)-(D8)</f>
        <v>-881244.17249999999</v>
      </c>
      <c r="E38" s="2286">
        <f>(E5)-(E8)</f>
        <v>2338509.2270566216</v>
      </c>
      <c r="F38" s="2287"/>
      <c r="G38" s="3239"/>
      <c r="H38" s="2286">
        <f>(H5)-(H8)</f>
        <v>-170658.34</v>
      </c>
      <c r="I38" s="2286">
        <f>(I5)-(I8)</f>
        <v>-71344</v>
      </c>
      <c r="J38" s="2286">
        <f>(J5)-(J8)</f>
        <v>-242002.34</v>
      </c>
      <c r="K38" s="2286"/>
      <c r="L38" s="2288"/>
      <c r="M38" s="2002">
        <f>(M5)-(M8)</f>
        <v>2456367.8839999987</v>
      </c>
      <c r="N38" s="2002">
        <f>(N5)-(N8)</f>
        <v>-1103926.17</v>
      </c>
      <c r="O38" s="2002">
        <f>(O5)-(O8)</f>
        <v>1352441.7139999988</v>
      </c>
      <c r="P38" s="2002"/>
      <c r="Q38" s="2021"/>
      <c r="R38" s="2002">
        <f>(R5)-(R8)</f>
        <v>-546624.06600000011</v>
      </c>
      <c r="S38" s="2002">
        <f>(S5)-(S8)</f>
        <v>0</v>
      </c>
      <c r="T38" s="2002">
        <f>(T5)-(T8)</f>
        <v>-546624.06600000011</v>
      </c>
      <c r="U38" s="2002"/>
      <c r="V38" s="2021"/>
      <c r="W38" s="3239"/>
      <c r="X38" s="2286">
        <f>(X5)-(X8)</f>
        <v>0</v>
      </c>
      <c r="Y38" s="2286">
        <f>(Y5)-(Y8)</f>
        <v>0</v>
      </c>
      <c r="Z38" s="2286">
        <f>(Z5)-(Z8)</f>
        <v>0</v>
      </c>
      <c r="AA38" s="2286"/>
      <c r="AB38" s="2288"/>
      <c r="AC38" s="2286">
        <f>(AC5)-(AC8)</f>
        <v>0</v>
      </c>
      <c r="AD38" s="2286">
        <f>(AD5)-(AD8)</f>
        <v>0</v>
      </c>
      <c r="AE38" s="2286">
        <f>(AE5)-(AE8)</f>
        <v>0</v>
      </c>
      <c r="AF38" s="2286"/>
      <c r="AG38" s="2288"/>
      <c r="AH38" s="2286">
        <f t="shared" ref="AH38:AJ38" si="95">(AH5)-(AH8)</f>
        <v>-546624.06600000011</v>
      </c>
      <c r="AI38" s="2286">
        <f t="shared" si="95"/>
        <v>0</v>
      </c>
      <c r="AJ38" s="2286">
        <f t="shared" si="95"/>
        <v>-546624.06600000011</v>
      </c>
      <c r="AK38" s="2286"/>
      <c r="AL38" s="2288"/>
      <c r="AM38" s="2286">
        <f t="shared" ref="AM38:AO38" si="96">(AM5)-(AM8)</f>
        <v>0</v>
      </c>
      <c r="AN38" s="2286">
        <f t="shared" si="96"/>
        <v>0</v>
      </c>
      <c r="AO38" s="2286">
        <f t="shared" si="96"/>
        <v>0</v>
      </c>
      <c r="AP38" s="2286"/>
      <c r="AQ38" s="2288"/>
      <c r="AR38" s="2286">
        <f t="shared" ref="AR38:AT38" si="97">(AR5)-(AR8)</f>
        <v>0</v>
      </c>
      <c r="AS38" s="2286">
        <f t="shared" si="97"/>
        <v>0</v>
      </c>
      <c r="AT38" s="2286">
        <f t="shared" si="97"/>
        <v>0</v>
      </c>
      <c r="AU38" s="2286"/>
      <c r="AV38" s="2288"/>
      <c r="AW38" s="2286">
        <f t="shared" ref="AW38:AY38" si="98">(AW5)-(AW8)</f>
        <v>0</v>
      </c>
      <c r="AX38" s="2286">
        <f t="shared" si="98"/>
        <v>0</v>
      </c>
      <c r="AY38" s="2286">
        <f t="shared" si="98"/>
        <v>0</v>
      </c>
      <c r="AZ38" s="2286"/>
      <c r="BA38" s="2288"/>
      <c r="BB38" s="2286">
        <f t="shared" ref="BB38:BD38" si="99">(BB5)-(BB8)</f>
        <v>0</v>
      </c>
      <c r="BC38" s="2286">
        <f t="shared" si="99"/>
        <v>0</v>
      </c>
      <c r="BD38" s="2286">
        <f t="shared" si="99"/>
        <v>0</v>
      </c>
      <c r="BE38" s="2286"/>
      <c r="BF38" s="2288"/>
      <c r="BG38" s="2286">
        <f t="shared" ref="BG38:BI38" si="100">(BG5)-(BG8)</f>
        <v>0</v>
      </c>
      <c r="BH38" s="2286">
        <f t="shared" si="100"/>
        <v>0</v>
      </c>
      <c r="BI38" s="2286">
        <f t="shared" si="100"/>
        <v>0</v>
      </c>
      <c r="BJ38" s="2286"/>
      <c r="BK38" s="2288"/>
      <c r="BL38" s="2286">
        <f t="shared" ref="BL38:BN38" si="101">(BL5)-(BL8)</f>
        <v>0</v>
      </c>
      <c r="BM38" s="2286">
        <f t="shared" si="101"/>
        <v>0</v>
      </c>
      <c r="BN38" s="2286">
        <f t="shared" si="101"/>
        <v>0</v>
      </c>
      <c r="BO38" s="2286"/>
      <c r="BP38" s="2288"/>
      <c r="BQ38" s="2286">
        <f t="shared" ref="BQ38:BS38" si="102">(BQ5)-(BQ8)</f>
        <v>0</v>
      </c>
      <c r="BR38" s="2286">
        <f t="shared" si="102"/>
        <v>0</v>
      </c>
      <c r="BS38" s="2286">
        <f t="shared" si="102"/>
        <v>0</v>
      </c>
      <c r="BT38" s="2286"/>
      <c r="BU38" s="2288"/>
      <c r="BV38" s="2286">
        <f t="shared" ref="BV38:BX38" si="103">(BV5)-(BV8)</f>
        <v>0</v>
      </c>
      <c r="BW38" s="2286">
        <f t="shared" si="103"/>
        <v>0</v>
      </c>
      <c r="BX38" s="2286">
        <f t="shared" si="103"/>
        <v>0</v>
      </c>
      <c r="BY38" s="2286"/>
      <c r="BZ38" s="2288"/>
      <c r="CA38" s="2286">
        <f t="shared" ref="CA38:CC38" si="104">(CA5)-(CA8)</f>
        <v>0</v>
      </c>
      <c r="CB38" s="2286">
        <f t="shared" si="104"/>
        <v>0</v>
      </c>
      <c r="CC38" s="2286">
        <f t="shared" si="104"/>
        <v>0</v>
      </c>
      <c r="CD38" s="2286"/>
      <c r="CE38" s="2288"/>
      <c r="CF38" s="2286">
        <f>(CF5)-(CF8)</f>
        <v>1739085.4779999992</v>
      </c>
      <c r="CG38" s="2286">
        <f>(CG5)-(CG8)</f>
        <v>-1175270.17</v>
      </c>
      <c r="CH38" s="2286">
        <f>(CH5)-(CH8)</f>
        <v>563815.30799999926</v>
      </c>
      <c r="CI38" s="2286"/>
      <c r="CJ38" s="2286"/>
      <c r="CK38" s="2151"/>
      <c r="CL38" s="2151"/>
      <c r="CM38" s="3205"/>
      <c r="CN38" s="2154"/>
      <c r="CO38" s="2154"/>
    </row>
    <row r="39" spans="1:93" ht="24.6" customHeight="1">
      <c r="A39" s="2291"/>
      <c r="B39" s="3240" t="s">
        <v>47</v>
      </c>
      <c r="C39" s="1525">
        <f>C38/(C5)</f>
        <v>0.41086768364386206</v>
      </c>
      <c r="D39" s="1525" t="e">
        <f>D38/(D5)</f>
        <v>#DIV/0!</v>
      </c>
      <c r="E39" s="1526">
        <f>E38/(E5)</f>
        <v>0.29841349633573255</v>
      </c>
      <c r="F39" s="2293"/>
      <c r="G39" s="2297"/>
      <c r="H39" s="2294" t="e">
        <f>H38/(H5)</f>
        <v>#DIV/0!</v>
      </c>
      <c r="I39" s="2294" t="e">
        <f>I38/(I5)</f>
        <v>#DIV/0!</v>
      </c>
      <c r="J39" s="2295" t="e">
        <f>J38/(J5)</f>
        <v>#DIV/0!</v>
      </c>
      <c r="K39" s="2295"/>
      <c r="L39" s="2296"/>
      <c r="M39" s="2003">
        <f>M38/(M5)</f>
        <v>0.30018984824192868</v>
      </c>
      <c r="N39" s="2003" t="e">
        <f>N38/(N5)</f>
        <v>#DIV/0!</v>
      </c>
      <c r="O39" s="2004">
        <f>O38/(O5)</f>
        <v>0.16528032121173661</v>
      </c>
      <c r="P39" s="2004"/>
      <c r="Q39" s="2022"/>
      <c r="R39" s="2003" t="e">
        <f>R38/(R5)</f>
        <v>#DIV/0!</v>
      </c>
      <c r="S39" s="2003" t="e">
        <f>S38/(S5)</f>
        <v>#DIV/0!</v>
      </c>
      <c r="T39" s="2004" t="e">
        <f>T38/(T5)</f>
        <v>#DIV/0!</v>
      </c>
      <c r="U39" s="2004"/>
      <c r="V39" s="2022"/>
      <c r="W39" s="2297"/>
      <c r="X39" s="2294" t="e">
        <f>X38/(X5)</f>
        <v>#DIV/0!</v>
      </c>
      <c r="Y39" s="2294" t="e">
        <f>Y38/(Y5)</f>
        <v>#DIV/0!</v>
      </c>
      <c r="Z39" s="2295" t="e">
        <f>Z38/(Z5)</f>
        <v>#DIV/0!</v>
      </c>
      <c r="AA39" s="2295"/>
      <c r="AB39" s="2296"/>
      <c r="AC39" s="2294" t="e">
        <f>AC38/(AC5)</f>
        <v>#DIV/0!</v>
      </c>
      <c r="AD39" s="2294" t="e">
        <f>AD38/(AD5)</f>
        <v>#DIV/0!</v>
      </c>
      <c r="AE39" s="2295" t="e">
        <f>AE38/(AE5)</f>
        <v>#DIV/0!</v>
      </c>
      <c r="AF39" s="2295"/>
      <c r="AG39" s="2296"/>
      <c r="AH39" s="2294" t="e">
        <f t="shared" ref="AH39:AJ39" si="105">AH38/(AH5)</f>
        <v>#DIV/0!</v>
      </c>
      <c r="AI39" s="2294" t="e">
        <f t="shared" si="105"/>
        <v>#DIV/0!</v>
      </c>
      <c r="AJ39" s="2295" t="e">
        <f t="shared" si="105"/>
        <v>#DIV/0!</v>
      </c>
      <c r="AK39" s="2295"/>
      <c r="AL39" s="2296"/>
      <c r="AM39" s="2294" t="e">
        <f t="shared" ref="AM39:AO39" si="106">AM38/(AM5)</f>
        <v>#DIV/0!</v>
      </c>
      <c r="AN39" s="2294" t="e">
        <f t="shared" si="106"/>
        <v>#DIV/0!</v>
      </c>
      <c r="AO39" s="2295" t="e">
        <f t="shared" si="106"/>
        <v>#DIV/0!</v>
      </c>
      <c r="AP39" s="2295"/>
      <c r="AQ39" s="2296"/>
      <c r="AR39" s="2294" t="e">
        <f t="shared" ref="AR39:AT39" si="107">AR38/(AR5)</f>
        <v>#DIV/0!</v>
      </c>
      <c r="AS39" s="2294" t="e">
        <f t="shared" si="107"/>
        <v>#DIV/0!</v>
      </c>
      <c r="AT39" s="2295" t="e">
        <f t="shared" si="107"/>
        <v>#DIV/0!</v>
      </c>
      <c r="AU39" s="2295"/>
      <c r="AV39" s="2296"/>
      <c r="AW39" s="2294" t="e">
        <f t="shared" ref="AW39:AY39" si="108">AW38/(AW5)</f>
        <v>#DIV/0!</v>
      </c>
      <c r="AX39" s="2294" t="e">
        <f t="shared" si="108"/>
        <v>#DIV/0!</v>
      </c>
      <c r="AY39" s="2295" t="e">
        <f t="shared" si="108"/>
        <v>#DIV/0!</v>
      </c>
      <c r="AZ39" s="2295"/>
      <c r="BA39" s="2296"/>
      <c r="BB39" s="2294" t="e">
        <f t="shared" ref="BB39:BD39" si="109">BB38/(BB5)</f>
        <v>#DIV/0!</v>
      </c>
      <c r="BC39" s="2294" t="e">
        <f t="shared" si="109"/>
        <v>#DIV/0!</v>
      </c>
      <c r="BD39" s="2295" t="e">
        <f t="shared" si="109"/>
        <v>#DIV/0!</v>
      </c>
      <c r="BE39" s="2295"/>
      <c r="BF39" s="2296"/>
      <c r="BG39" s="2294" t="e">
        <f t="shared" ref="BG39:BI39" si="110">BG38/(BG5)</f>
        <v>#DIV/0!</v>
      </c>
      <c r="BH39" s="2294" t="e">
        <f t="shared" si="110"/>
        <v>#DIV/0!</v>
      </c>
      <c r="BI39" s="2295" t="e">
        <f t="shared" si="110"/>
        <v>#DIV/0!</v>
      </c>
      <c r="BJ39" s="2295"/>
      <c r="BK39" s="2296"/>
      <c r="BL39" s="2294" t="e">
        <f t="shared" ref="BL39:BN39" si="111">BL38/(BL5)</f>
        <v>#DIV/0!</v>
      </c>
      <c r="BM39" s="2294" t="e">
        <f t="shared" si="111"/>
        <v>#DIV/0!</v>
      </c>
      <c r="BN39" s="2295" t="e">
        <f t="shared" si="111"/>
        <v>#DIV/0!</v>
      </c>
      <c r="BO39" s="2295"/>
      <c r="BP39" s="2296"/>
      <c r="BQ39" s="2294" t="e">
        <f t="shared" ref="BQ39:BS39" si="112">BQ38/(BQ5)</f>
        <v>#DIV/0!</v>
      </c>
      <c r="BR39" s="2294" t="e">
        <f t="shared" si="112"/>
        <v>#DIV/0!</v>
      </c>
      <c r="BS39" s="2295" t="e">
        <f t="shared" si="112"/>
        <v>#DIV/0!</v>
      </c>
      <c r="BT39" s="2295"/>
      <c r="BU39" s="2296"/>
      <c r="BV39" s="2294" t="e">
        <f t="shared" ref="BV39:BX39" si="113">BV38/(BV5)</f>
        <v>#DIV/0!</v>
      </c>
      <c r="BW39" s="2294" t="e">
        <f t="shared" si="113"/>
        <v>#DIV/0!</v>
      </c>
      <c r="BX39" s="2295" t="e">
        <f t="shared" si="113"/>
        <v>#DIV/0!</v>
      </c>
      <c r="BY39" s="2295"/>
      <c r="BZ39" s="2296"/>
      <c r="CA39" s="2294" t="e">
        <f t="shared" ref="CA39:CC39" si="114">CA38/(CA5)</f>
        <v>#DIV/0!</v>
      </c>
      <c r="CB39" s="2294" t="e">
        <f t="shared" si="114"/>
        <v>#DIV/0!</v>
      </c>
      <c r="CC39" s="2295" t="e">
        <f t="shared" si="114"/>
        <v>#DIV/0!</v>
      </c>
      <c r="CD39" s="2295"/>
      <c r="CE39" s="2296"/>
      <c r="CF39" s="2294">
        <f>CF38/(CF5)</f>
        <v>0.21253160372315064</v>
      </c>
      <c r="CG39" s="2294" t="e">
        <f>CG38/(CG5)</f>
        <v>#DIV/0!</v>
      </c>
      <c r="CH39" s="2295">
        <f>CH38/(CH5)</f>
        <v>6.8903209835728396E-2</v>
      </c>
      <c r="CI39" s="2295"/>
      <c r="CJ39" s="2295"/>
      <c r="CK39" s="2151"/>
      <c r="CL39" s="2151"/>
      <c r="CM39" s="3205"/>
      <c r="CN39" s="2154"/>
      <c r="CO39" s="2154"/>
    </row>
    <row r="40" spans="1:93" ht="24.6" customHeight="1" outlineLevel="1" thickBot="1">
      <c r="A40" s="2300"/>
      <c r="B40" s="3913"/>
      <c r="C40" s="3914"/>
      <c r="D40" s="3915"/>
      <c r="E40" s="3916"/>
      <c r="F40" s="3917"/>
      <c r="G40" s="3918"/>
      <c r="H40" s="3241"/>
      <c r="I40" s="3242"/>
      <c r="J40" s="3242"/>
      <c r="K40" s="3242"/>
      <c r="L40" s="3243"/>
      <c r="M40" s="2840"/>
      <c r="N40" s="3831"/>
      <c r="O40" s="3831"/>
      <c r="P40" s="3831"/>
      <c r="Q40" s="3832"/>
      <c r="R40" s="2840"/>
      <c r="S40" s="3831"/>
      <c r="T40" s="3831"/>
      <c r="U40" s="3831"/>
      <c r="V40" s="3832"/>
      <c r="W40" s="3918"/>
      <c r="X40" s="3241"/>
      <c r="Y40" s="3242"/>
      <c r="Z40" s="3242"/>
      <c r="AA40" s="3242"/>
      <c r="AB40" s="3243"/>
      <c r="AC40" s="3241"/>
      <c r="AD40" s="3242"/>
      <c r="AE40" s="3242"/>
      <c r="AF40" s="3242"/>
      <c r="AG40" s="3243"/>
      <c r="AH40" s="3241"/>
      <c r="AI40" s="3242"/>
      <c r="AJ40" s="3242"/>
      <c r="AK40" s="3242"/>
      <c r="AL40" s="3243"/>
      <c r="AM40" s="3241"/>
      <c r="AN40" s="3242"/>
      <c r="AO40" s="3242"/>
      <c r="AP40" s="3242"/>
      <c r="AQ40" s="3243"/>
      <c r="AR40" s="3241"/>
      <c r="AS40" s="3242"/>
      <c r="AT40" s="3242"/>
      <c r="AU40" s="3242"/>
      <c r="AV40" s="3243"/>
      <c r="AW40" s="3241"/>
      <c r="AX40" s="3242"/>
      <c r="AY40" s="3242"/>
      <c r="AZ40" s="3242"/>
      <c r="BA40" s="3243"/>
      <c r="BB40" s="3241"/>
      <c r="BC40" s="3242"/>
      <c r="BD40" s="3242"/>
      <c r="BE40" s="3242"/>
      <c r="BF40" s="3243"/>
      <c r="BG40" s="3241"/>
      <c r="BH40" s="3242"/>
      <c r="BI40" s="3242"/>
      <c r="BJ40" s="3242"/>
      <c r="BK40" s="3243"/>
      <c r="BL40" s="3241"/>
      <c r="BM40" s="3242"/>
      <c r="BN40" s="3242"/>
      <c r="BO40" s="3242"/>
      <c r="BP40" s="3243"/>
      <c r="BQ40" s="3241"/>
      <c r="BR40" s="3242"/>
      <c r="BS40" s="3242"/>
      <c r="BT40" s="3242"/>
      <c r="BU40" s="3243"/>
      <c r="BV40" s="3241"/>
      <c r="BW40" s="3242"/>
      <c r="BX40" s="3242"/>
      <c r="BY40" s="3242"/>
      <c r="BZ40" s="3243"/>
      <c r="CA40" s="3241"/>
      <c r="CB40" s="3242"/>
      <c r="CC40" s="3242"/>
      <c r="CD40" s="3242"/>
      <c r="CE40" s="3243"/>
      <c r="CF40" s="3241"/>
      <c r="CG40" s="3242"/>
      <c r="CH40" s="3242"/>
      <c r="CI40" s="3242"/>
      <c r="CJ40" s="3242"/>
      <c r="CK40" s="2151"/>
      <c r="CL40" s="2151"/>
      <c r="CM40" s="3205"/>
      <c r="CN40" s="2154"/>
      <c r="CO40" s="2154"/>
    </row>
    <row r="41" spans="1:93" ht="24.6" customHeight="1" outlineLevel="1">
      <c r="A41" s="2309"/>
      <c r="B41" s="3919" t="s">
        <v>26</v>
      </c>
      <c r="C41" s="3920">
        <f>SUM(C42:C48)</f>
        <v>9600</v>
      </c>
      <c r="D41" s="3920">
        <f>SUM(D42:D48)</f>
        <v>4000</v>
      </c>
      <c r="E41" s="3921">
        <f>SUM(E42:E48)</f>
        <v>13600</v>
      </c>
      <c r="F41" s="3378">
        <f t="shared" ref="F41:F48" si="115">E41/$E$89</f>
        <v>2.2888405385999002E-3</v>
      </c>
      <c r="G41" s="1577"/>
      <c r="H41" s="2311">
        <f>SUM(H42:H48)</f>
        <v>2866.1400000000003</v>
      </c>
      <c r="I41" s="2311">
        <f>SUM(I42:I48)</f>
        <v>80</v>
      </c>
      <c r="J41" s="2312">
        <f>SUM(J42:J48)</f>
        <v>2946.1400000000003</v>
      </c>
      <c r="K41" s="3378">
        <f t="shared" ref="K41:K71" si="116">J41/J$89</f>
        <v>8.567125604522878E-3</v>
      </c>
      <c r="L41" s="2313"/>
      <c r="M41" s="2013">
        <f>SUM(M42:M48)</f>
        <v>13851.230000000001</v>
      </c>
      <c r="N41" s="2013">
        <f>SUM(N42:N48)</f>
        <v>0</v>
      </c>
      <c r="O41" s="2014">
        <f>SUM(O42:O48)</f>
        <v>13851.230000000001</v>
      </c>
      <c r="P41" s="3378">
        <f t="shared" ref="P41:P48" si="117">O41/O$89</f>
        <v>1.8941675383943332E-3</v>
      </c>
      <c r="Q41" s="2023"/>
      <c r="R41" s="2013">
        <f>SUM(R42:R48)</f>
        <v>0</v>
      </c>
      <c r="S41" s="2013">
        <f>SUM(S42:S48)</f>
        <v>0</v>
      </c>
      <c r="T41" s="2014">
        <f>SUM(T42:T48)</f>
        <v>0</v>
      </c>
      <c r="U41" s="3378">
        <f t="shared" ref="U41:U48" si="118">T41/T$89</f>
        <v>0</v>
      </c>
      <c r="V41" s="2023"/>
      <c r="W41" s="1577"/>
      <c r="X41" s="2311">
        <f>SUM(X42:X48)</f>
        <v>0</v>
      </c>
      <c r="Y41" s="2311">
        <f>SUM(Y42:Y48)</f>
        <v>0</v>
      </c>
      <c r="Z41" s="2312">
        <f>SUM(Z42:Z48)</f>
        <v>0</v>
      </c>
      <c r="AA41" s="3378" t="e">
        <f t="shared" ref="AA41:AA48" si="119">Z41/Z$89</f>
        <v>#DIV/0!</v>
      </c>
      <c r="AB41" s="2313"/>
      <c r="AC41" s="2311">
        <f>SUM(AC42:AC48)</f>
        <v>0</v>
      </c>
      <c r="AD41" s="2311">
        <f>SUM(AD42:AD48)</f>
        <v>0</v>
      </c>
      <c r="AE41" s="2312">
        <f>SUM(AE42:AE48)</f>
        <v>0</v>
      </c>
      <c r="AF41" s="3378" t="e">
        <f t="shared" ref="AF41:AF48" si="120">AE41/AE$89</f>
        <v>#DIV/0!</v>
      </c>
      <c r="AG41" s="2313"/>
      <c r="AH41" s="2311">
        <f t="shared" ref="AH41:AJ41" si="121">SUM(AH42:AH48)</f>
        <v>0</v>
      </c>
      <c r="AI41" s="2311">
        <f t="shared" si="121"/>
        <v>0</v>
      </c>
      <c r="AJ41" s="2312">
        <f t="shared" si="121"/>
        <v>0</v>
      </c>
      <c r="AK41" s="3378">
        <f t="shared" ref="AK41:AZ48" si="122">AJ41/AJ$89</f>
        <v>0</v>
      </c>
      <c r="AL41" s="2313"/>
      <c r="AM41" s="2311">
        <f t="shared" ref="AM41:AO41" si="123">SUM(AM42:AM48)</f>
        <v>0</v>
      </c>
      <c r="AN41" s="2311">
        <f t="shared" si="123"/>
        <v>0</v>
      </c>
      <c r="AO41" s="2312">
        <f t="shared" si="123"/>
        <v>0</v>
      </c>
      <c r="AP41" s="3378" t="e">
        <f t="shared" si="122"/>
        <v>#DIV/0!</v>
      </c>
      <c r="AQ41" s="2313"/>
      <c r="AR41" s="2311">
        <f t="shared" ref="AR41:AT41" si="124">SUM(AR42:AR48)</f>
        <v>0</v>
      </c>
      <c r="AS41" s="2311">
        <f t="shared" si="124"/>
        <v>0</v>
      </c>
      <c r="AT41" s="2312">
        <f t="shared" si="124"/>
        <v>0</v>
      </c>
      <c r="AU41" s="3378" t="e">
        <f t="shared" si="122"/>
        <v>#DIV/0!</v>
      </c>
      <c r="AV41" s="2313"/>
      <c r="AW41" s="2311">
        <f t="shared" ref="AW41:AY41" si="125">SUM(AW42:AW48)</f>
        <v>0</v>
      </c>
      <c r="AX41" s="2311">
        <f t="shared" si="125"/>
        <v>0</v>
      </c>
      <c r="AY41" s="2312">
        <f t="shared" si="125"/>
        <v>0</v>
      </c>
      <c r="AZ41" s="3378" t="e">
        <f t="shared" si="122"/>
        <v>#DIV/0!</v>
      </c>
      <c r="BA41" s="2313"/>
      <c r="BB41" s="2311">
        <f t="shared" ref="BB41:BD41" si="126">SUM(BB42:BB48)</f>
        <v>0</v>
      </c>
      <c r="BC41" s="2311">
        <f t="shared" si="126"/>
        <v>0</v>
      </c>
      <c r="BD41" s="2312">
        <f t="shared" si="126"/>
        <v>0</v>
      </c>
      <c r="BE41" s="3378" t="e">
        <f t="shared" ref="BE41:BT48" si="127">BD41/BD$89</f>
        <v>#DIV/0!</v>
      </c>
      <c r="BF41" s="2313"/>
      <c r="BG41" s="2311">
        <f t="shared" ref="BG41:BI41" si="128">SUM(BG42:BG48)</f>
        <v>0</v>
      </c>
      <c r="BH41" s="2311">
        <f t="shared" si="128"/>
        <v>0</v>
      </c>
      <c r="BI41" s="2312">
        <f t="shared" si="128"/>
        <v>0</v>
      </c>
      <c r="BJ41" s="3378" t="e">
        <f t="shared" si="127"/>
        <v>#DIV/0!</v>
      </c>
      <c r="BK41" s="2313"/>
      <c r="BL41" s="2311">
        <f t="shared" ref="BL41:BN41" si="129">SUM(BL42:BL48)</f>
        <v>0</v>
      </c>
      <c r="BM41" s="2311">
        <f t="shared" si="129"/>
        <v>0</v>
      </c>
      <c r="BN41" s="2312">
        <f t="shared" si="129"/>
        <v>0</v>
      </c>
      <c r="BO41" s="3378" t="e">
        <f t="shared" si="127"/>
        <v>#DIV/0!</v>
      </c>
      <c r="BP41" s="2313"/>
      <c r="BQ41" s="2311">
        <f t="shared" ref="BQ41:BS41" si="130">SUM(BQ42:BQ48)</f>
        <v>0</v>
      </c>
      <c r="BR41" s="2311">
        <f t="shared" si="130"/>
        <v>0</v>
      </c>
      <c r="BS41" s="2312">
        <f t="shared" si="130"/>
        <v>0</v>
      </c>
      <c r="BT41" s="3378" t="e">
        <f t="shared" si="127"/>
        <v>#DIV/0!</v>
      </c>
      <c r="BU41" s="2313"/>
      <c r="BV41" s="2311">
        <f t="shared" ref="BV41:BX41" si="131">SUM(BV42:BV48)</f>
        <v>0</v>
      </c>
      <c r="BW41" s="2311">
        <f t="shared" si="131"/>
        <v>0</v>
      </c>
      <c r="BX41" s="2312">
        <f t="shared" si="131"/>
        <v>0</v>
      </c>
      <c r="BY41" s="3378" t="e">
        <f t="shared" ref="BY41:CD48" si="132">BX41/BX$89</f>
        <v>#DIV/0!</v>
      </c>
      <c r="BZ41" s="2313"/>
      <c r="CA41" s="2311">
        <f t="shared" ref="CA41:CC41" si="133">SUM(CA42:CA48)</f>
        <v>0</v>
      </c>
      <c r="CB41" s="2311">
        <f t="shared" si="133"/>
        <v>0</v>
      </c>
      <c r="CC41" s="2312">
        <f t="shared" si="133"/>
        <v>0</v>
      </c>
      <c r="CD41" s="3378" t="e">
        <f t="shared" si="132"/>
        <v>#DIV/0!</v>
      </c>
      <c r="CE41" s="2313"/>
      <c r="CF41" s="2311">
        <f>SUM(CF42:CF48)</f>
        <v>16717.370000000003</v>
      </c>
      <c r="CG41" s="2311">
        <f>SUM(CG42:CG48)</f>
        <v>80</v>
      </c>
      <c r="CH41" s="2312">
        <f>SUM(CH42:CH48)</f>
        <v>16797.370000000003</v>
      </c>
      <c r="CI41" s="3378">
        <f t="shared" ref="CI41:CI48" si="134">CH41/$CH$89</f>
        <v>2.0476902236233542E-3</v>
      </c>
      <c r="CJ41" s="2315"/>
      <c r="CK41" s="2151"/>
      <c r="CL41" s="2151"/>
      <c r="CM41" s="3205"/>
      <c r="CN41" s="2154"/>
      <c r="CO41" s="2154"/>
    </row>
    <row r="42" spans="1:93" ht="24.6" customHeight="1" outlineLevel="2">
      <c r="A42" s="4946"/>
      <c r="B42" s="3922" t="s">
        <v>7</v>
      </c>
      <c r="C42" s="3894"/>
      <c r="D42" s="3923"/>
      <c r="E42" s="3924">
        <f t="shared" ref="E42:E48" si="135">C42+D42</f>
        <v>0</v>
      </c>
      <c r="F42" s="3350">
        <f t="shared" si="115"/>
        <v>0</v>
      </c>
      <c r="G42" s="2541"/>
      <c r="H42" s="2184">
        <v>0</v>
      </c>
      <c r="I42" s="2181">
        <v>0</v>
      </c>
      <c r="J42" s="2180">
        <f t="shared" ref="J42:J48" si="136">H42+I42*1</f>
        <v>0</v>
      </c>
      <c r="K42" s="3350">
        <f t="shared" si="116"/>
        <v>0</v>
      </c>
      <c r="L42" s="2187"/>
      <c r="M42" s="2051">
        <v>0</v>
      </c>
      <c r="N42" s="2043">
        <v>0</v>
      </c>
      <c r="O42" s="2012">
        <f t="shared" ref="O42:O48" si="137">M42+N42*1</f>
        <v>0</v>
      </c>
      <c r="P42" s="3350">
        <f t="shared" si="117"/>
        <v>0</v>
      </c>
      <c r="Q42" s="2046"/>
      <c r="R42" s="2051">
        <f t="shared" ref="R42:S48" si="138">X42+AC42+AH42+AM42+AR42+AW42+BB42+BG42+BL42+BQ42+BV42+CA42</f>
        <v>0</v>
      </c>
      <c r="S42" s="2043">
        <f t="shared" si="138"/>
        <v>0</v>
      </c>
      <c r="T42" s="2012">
        <f t="shared" ref="T42:T48" si="139">R42+S42*1</f>
        <v>0</v>
      </c>
      <c r="U42" s="3350">
        <f t="shared" si="118"/>
        <v>0</v>
      </c>
      <c r="V42" s="2046"/>
      <c r="W42" s="2541"/>
      <c r="X42" s="2184"/>
      <c r="Y42" s="2181"/>
      <c r="Z42" s="2180">
        <f t="shared" ref="Z42:Z48" si="140">X42+Y42*1</f>
        <v>0</v>
      </c>
      <c r="AA42" s="3350" t="e">
        <f t="shared" si="119"/>
        <v>#DIV/0!</v>
      </c>
      <c r="AB42" s="2187"/>
      <c r="AC42" s="2184"/>
      <c r="AD42" s="2181"/>
      <c r="AE42" s="2180">
        <f t="shared" ref="AE42:AE48" si="141">AC42+AD42*1</f>
        <v>0</v>
      </c>
      <c r="AF42" s="3350" t="e">
        <f t="shared" si="120"/>
        <v>#DIV/0!</v>
      </c>
      <c r="AG42" s="2187"/>
      <c r="AH42" s="2184"/>
      <c r="AI42" s="2181"/>
      <c r="AJ42" s="2180">
        <f t="shared" ref="AJ42:AJ48" si="142">AH42+AI42*1</f>
        <v>0</v>
      </c>
      <c r="AK42" s="3350">
        <f t="shared" si="122"/>
        <v>0</v>
      </c>
      <c r="AL42" s="2187"/>
      <c r="AM42" s="2184"/>
      <c r="AN42" s="2181"/>
      <c r="AO42" s="2180">
        <f t="shared" ref="AO42:AO48" si="143">AM42+AN42*1</f>
        <v>0</v>
      </c>
      <c r="AP42" s="3350" t="e">
        <f t="shared" si="122"/>
        <v>#DIV/0!</v>
      </c>
      <c r="AQ42" s="2187"/>
      <c r="AR42" s="2184"/>
      <c r="AS42" s="2181"/>
      <c r="AT42" s="2180">
        <f t="shared" ref="AT42:AT48" si="144">AR42+AS42*1</f>
        <v>0</v>
      </c>
      <c r="AU42" s="3350" t="e">
        <f t="shared" si="122"/>
        <v>#DIV/0!</v>
      </c>
      <c r="AV42" s="2187"/>
      <c r="AW42" s="2184"/>
      <c r="AX42" s="2181"/>
      <c r="AY42" s="2180">
        <f t="shared" ref="AY42:AY48" si="145">AW42+AX42*1</f>
        <v>0</v>
      </c>
      <c r="AZ42" s="3350" t="e">
        <f t="shared" si="122"/>
        <v>#DIV/0!</v>
      </c>
      <c r="BA42" s="2187"/>
      <c r="BB42" s="2184"/>
      <c r="BC42" s="2181"/>
      <c r="BD42" s="2180">
        <f t="shared" ref="BD42:BD48" si="146">BB42+BC42*1</f>
        <v>0</v>
      </c>
      <c r="BE42" s="3350" t="e">
        <f t="shared" si="127"/>
        <v>#DIV/0!</v>
      </c>
      <c r="BF42" s="2187"/>
      <c r="BG42" s="2184"/>
      <c r="BH42" s="2181"/>
      <c r="BI42" s="2180">
        <f t="shared" ref="BI42:BI48" si="147">BG42+BH42*1</f>
        <v>0</v>
      </c>
      <c r="BJ42" s="3350" t="e">
        <f t="shared" si="127"/>
        <v>#DIV/0!</v>
      </c>
      <c r="BK42" s="2187"/>
      <c r="BL42" s="2184"/>
      <c r="BM42" s="2181"/>
      <c r="BN42" s="2180">
        <f t="shared" ref="BN42:BN48" si="148">BL42+BM42*1</f>
        <v>0</v>
      </c>
      <c r="BO42" s="3350" t="e">
        <f t="shared" si="127"/>
        <v>#DIV/0!</v>
      </c>
      <c r="BP42" s="2187"/>
      <c r="BQ42" s="2184"/>
      <c r="BR42" s="2181"/>
      <c r="BS42" s="2180">
        <f t="shared" ref="BS42:BS48" si="149">BQ42+BR42*1</f>
        <v>0</v>
      </c>
      <c r="BT42" s="3350" t="e">
        <f t="shared" si="127"/>
        <v>#DIV/0!</v>
      </c>
      <c r="BU42" s="2187"/>
      <c r="BV42" s="2184"/>
      <c r="BW42" s="2181"/>
      <c r="BX42" s="2180">
        <f t="shared" ref="BX42:BX48" si="150">BV42+BW42*1</f>
        <v>0</v>
      </c>
      <c r="BY42" s="3350" t="e">
        <f t="shared" si="132"/>
        <v>#DIV/0!</v>
      </c>
      <c r="BZ42" s="2187"/>
      <c r="CA42" s="2184"/>
      <c r="CB42" s="2181"/>
      <c r="CC42" s="2180">
        <f t="shared" ref="CC42:CC48" si="151">CA42+CB42*1</f>
        <v>0</v>
      </c>
      <c r="CD42" s="3350" t="e">
        <f t="shared" si="132"/>
        <v>#DIV/0!</v>
      </c>
      <c r="CE42" s="2187"/>
      <c r="CF42" s="2184">
        <f t="shared" ref="CF42:CG48" si="152">H42+M42+R42</f>
        <v>0</v>
      </c>
      <c r="CG42" s="2181">
        <f t="shared" si="152"/>
        <v>0</v>
      </c>
      <c r="CH42" s="2180">
        <f t="shared" ref="CH42:CH48" si="153">CF42+CG42*1</f>
        <v>0</v>
      </c>
      <c r="CI42" s="3350">
        <f t="shared" si="134"/>
        <v>0</v>
      </c>
      <c r="CJ42" s="3360"/>
      <c r="CK42" s="2151"/>
      <c r="CL42" s="2151"/>
      <c r="CM42" s="3205"/>
      <c r="CN42" s="2154"/>
      <c r="CO42" s="2154"/>
    </row>
    <row r="43" spans="1:93" ht="24.6" customHeight="1" outlineLevel="2">
      <c r="A43" s="4946"/>
      <c r="B43" s="3922" t="s">
        <v>27</v>
      </c>
      <c r="C43" s="3894"/>
      <c r="D43" s="3923">
        <v>2000.0000000000002</v>
      </c>
      <c r="E43" s="3924">
        <f t="shared" si="135"/>
        <v>2000.0000000000002</v>
      </c>
      <c r="F43" s="3350">
        <f t="shared" si="115"/>
        <v>3.3659419685292655E-4</v>
      </c>
      <c r="G43" s="2541"/>
      <c r="H43" s="2184">
        <v>0</v>
      </c>
      <c r="I43" s="2181">
        <v>0</v>
      </c>
      <c r="J43" s="2180">
        <f t="shared" si="136"/>
        <v>0</v>
      </c>
      <c r="K43" s="3350">
        <f t="shared" si="116"/>
        <v>0</v>
      </c>
      <c r="L43" s="2187"/>
      <c r="M43" s="2051">
        <v>0</v>
      </c>
      <c r="N43" s="2043">
        <v>0</v>
      </c>
      <c r="O43" s="2012">
        <f t="shared" si="137"/>
        <v>0</v>
      </c>
      <c r="P43" s="3350">
        <f t="shared" si="117"/>
        <v>0</v>
      </c>
      <c r="Q43" s="2046"/>
      <c r="R43" s="2051">
        <f t="shared" si="138"/>
        <v>0</v>
      </c>
      <c r="S43" s="2043">
        <f t="shared" si="138"/>
        <v>0</v>
      </c>
      <c r="T43" s="2012">
        <f t="shared" si="139"/>
        <v>0</v>
      </c>
      <c r="U43" s="3350">
        <f t="shared" si="118"/>
        <v>0</v>
      </c>
      <c r="V43" s="2046"/>
      <c r="W43" s="2541"/>
      <c r="X43" s="2184"/>
      <c r="Y43" s="2181"/>
      <c r="Z43" s="2180">
        <f t="shared" si="140"/>
        <v>0</v>
      </c>
      <c r="AA43" s="3350" t="e">
        <f t="shared" si="119"/>
        <v>#DIV/0!</v>
      </c>
      <c r="AB43" s="2187"/>
      <c r="AC43" s="2184"/>
      <c r="AD43" s="2181"/>
      <c r="AE43" s="2180">
        <f t="shared" si="141"/>
        <v>0</v>
      </c>
      <c r="AF43" s="3350" t="e">
        <f t="shared" si="120"/>
        <v>#DIV/0!</v>
      </c>
      <c r="AG43" s="2187"/>
      <c r="AH43" s="2184"/>
      <c r="AI43" s="2181"/>
      <c r="AJ43" s="2180">
        <f t="shared" si="142"/>
        <v>0</v>
      </c>
      <c r="AK43" s="3350">
        <f t="shared" si="122"/>
        <v>0</v>
      </c>
      <c r="AL43" s="2187"/>
      <c r="AM43" s="2184"/>
      <c r="AN43" s="2181"/>
      <c r="AO43" s="2180">
        <f t="shared" si="143"/>
        <v>0</v>
      </c>
      <c r="AP43" s="3350" t="e">
        <f t="shared" si="122"/>
        <v>#DIV/0!</v>
      </c>
      <c r="AQ43" s="2187"/>
      <c r="AR43" s="2184"/>
      <c r="AS43" s="2181"/>
      <c r="AT43" s="2180">
        <f t="shared" si="144"/>
        <v>0</v>
      </c>
      <c r="AU43" s="3350" t="e">
        <f t="shared" si="122"/>
        <v>#DIV/0!</v>
      </c>
      <c r="AV43" s="2187"/>
      <c r="AW43" s="2184"/>
      <c r="AX43" s="2181"/>
      <c r="AY43" s="2180">
        <f t="shared" si="145"/>
        <v>0</v>
      </c>
      <c r="AZ43" s="3350" t="e">
        <f t="shared" si="122"/>
        <v>#DIV/0!</v>
      </c>
      <c r="BA43" s="2187"/>
      <c r="BB43" s="2184"/>
      <c r="BC43" s="2181"/>
      <c r="BD43" s="2180">
        <f t="shared" si="146"/>
        <v>0</v>
      </c>
      <c r="BE43" s="3350" t="e">
        <f t="shared" si="127"/>
        <v>#DIV/0!</v>
      </c>
      <c r="BF43" s="2187"/>
      <c r="BG43" s="2184"/>
      <c r="BH43" s="2181"/>
      <c r="BI43" s="2180">
        <f t="shared" si="147"/>
        <v>0</v>
      </c>
      <c r="BJ43" s="3350" t="e">
        <f t="shared" si="127"/>
        <v>#DIV/0!</v>
      </c>
      <c r="BK43" s="2187"/>
      <c r="BL43" s="2184"/>
      <c r="BM43" s="2181"/>
      <c r="BN43" s="2180">
        <f t="shared" si="148"/>
        <v>0</v>
      </c>
      <c r="BO43" s="3350" t="e">
        <f t="shared" si="127"/>
        <v>#DIV/0!</v>
      </c>
      <c r="BP43" s="2187"/>
      <c r="BQ43" s="2184"/>
      <c r="BR43" s="2181"/>
      <c r="BS43" s="2180">
        <f t="shared" si="149"/>
        <v>0</v>
      </c>
      <c r="BT43" s="3350" t="e">
        <f t="shared" si="127"/>
        <v>#DIV/0!</v>
      </c>
      <c r="BU43" s="2187"/>
      <c r="BV43" s="2184"/>
      <c r="BW43" s="2181"/>
      <c r="BX43" s="2180">
        <f t="shared" si="150"/>
        <v>0</v>
      </c>
      <c r="BY43" s="3350" t="e">
        <f t="shared" si="132"/>
        <v>#DIV/0!</v>
      </c>
      <c r="BZ43" s="2187"/>
      <c r="CA43" s="2184"/>
      <c r="CB43" s="2181"/>
      <c r="CC43" s="2180">
        <f t="shared" si="151"/>
        <v>0</v>
      </c>
      <c r="CD43" s="3350" t="e">
        <f t="shared" si="132"/>
        <v>#DIV/0!</v>
      </c>
      <c r="CE43" s="2187"/>
      <c r="CF43" s="2184">
        <f t="shared" si="152"/>
        <v>0</v>
      </c>
      <c r="CG43" s="2181">
        <f t="shared" si="152"/>
        <v>0</v>
      </c>
      <c r="CH43" s="2180">
        <f t="shared" si="153"/>
        <v>0</v>
      </c>
      <c r="CI43" s="3350">
        <f t="shared" si="134"/>
        <v>0</v>
      </c>
      <c r="CJ43" s="3360"/>
      <c r="CK43" s="2151"/>
      <c r="CL43" s="2151"/>
      <c r="CM43" s="3205"/>
      <c r="CN43" s="2154"/>
      <c r="CO43" s="2154"/>
    </row>
    <row r="44" spans="1:93" ht="24.6" customHeight="1" outlineLevel="2">
      <c r="A44" s="4946"/>
      <c r="B44" s="3907" t="s">
        <v>28</v>
      </c>
      <c r="C44" s="3894">
        <v>600</v>
      </c>
      <c r="D44" s="3923"/>
      <c r="E44" s="3924">
        <f t="shared" si="135"/>
        <v>600</v>
      </c>
      <c r="F44" s="3350">
        <f t="shared" si="115"/>
        <v>1.0097825905587795E-4</v>
      </c>
      <c r="G44" s="2541"/>
      <c r="H44" s="2184">
        <v>0</v>
      </c>
      <c r="I44" s="2181">
        <v>0</v>
      </c>
      <c r="J44" s="2180">
        <f t="shared" si="136"/>
        <v>0</v>
      </c>
      <c r="K44" s="3350">
        <f t="shared" si="116"/>
        <v>0</v>
      </c>
      <c r="L44" s="2187"/>
      <c r="M44" s="2051">
        <v>0</v>
      </c>
      <c r="N44" s="2043">
        <v>0</v>
      </c>
      <c r="O44" s="2012">
        <f t="shared" si="137"/>
        <v>0</v>
      </c>
      <c r="P44" s="3350">
        <f t="shared" si="117"/>
        <v>0</v>
      </c>
      <c r="Q44" s="2046"/>
      <c r="R44" s="2051">
        <f t="shared" si="138"/>
        <v>0</v>
      </c>
      <c r="S44" s="2043">
        <f t="shared" si="138"/>
        <v>0</v>
      </c>
      <c r="T44" s="2012">
        <f t="shared" si="139"/>
        <v>0</v>
      </c>
      <c r="U44" s="3350">
        <f t="shared" si="118"/>
        <v>0</v>
      </c>
      <c r="V44" s="2046"/>
      <c r="W44" s="2541"/>
      <c r="X44" s="2184"/>
      <c r="Y44" s="2181"/>
      <c r="Z44" s="2180">
        <f t="shared" si="140"/>
        <v>0</v>
      </c>
      <c r="AA44" s="3350" t="e">
        <f t="shared" si="119"/>
        <v>#DIV/0!</v>
      </c>
      <c r="AB44" s="2187"/>
      <c r="AC44" s="2184"/>
      <c r="AD44" s="2181"/>
      <c r="AE44" s="2180">
        <f t="shared" si="141"/>
        <v>0</v>
      </c>
      <c r="AF44" s="3350" t="e">
        <f t="shared" si="120"/>
        <v>#DIV/0!</v>
      </c>
      <c r="AG44" s="2187"/>
      <c r="AH44" s="2184"/>
      <c r="AI44" s="2181"/>
      <c r="AJ44" s="2180">
        <f t="shared" si="142"/>
        <v>0</v>
      </c>
      <c r="AK44" s="3350">
        <f t="shared" si="122"/>
        <v>0</v>
      </c>
      <c r="AL44" s="2187"/>
      <c r="AM44" s="2184"/>
      <c r="AN44" s="2181"/>
      <c r="AO44" s="2180">
        <f t="shared" si="143"/>
        <v>0</v>
      </c>
      <c r="AP44" s="3350" t="e">
        <f t="shared" si="122"/>
        <v>#DIV/0!</v>
      </c>
      <c r="AQ44" s="2187"/>
      <c r="AR44" s="2184"/>
      <c r="AS44" s="2181"/>
      <c r="AT44" s="2180">
        <f t="shared" si="144"/>
        <v>0</v>
      </c>
      <c r="AU44" s="3350" t="e">
        <f t="shared" si="122"/>
        <v>#DIV/0!</v>
      </c>
      <c r="AV44" s="2187"/>
      <c r="AW44" s="2184"/>
      <c r="AX44" s="2181"/>
      <c r="AY44" s="2180">
        <f t="shared" si="145"/>
        <v>0</v>
      </c>
      <c r="AZ44" s="3350" t="e">
        <f t="shared" si="122"/>
        <v>#DIV/0!</v>
      </c>
      <c r="BA44" s="2187"/>
      <c r="BB44" s="2184"/>
      <c r="BC44" s="2181"/>
      <c r="BD44" s="2180">
        <f t="shared" si="146"/>
        <v>0</v>
      </c>
      <c r="BE44" s="3350" t="e">
        <f t="shared" si="127"/>
        <v>#DIV/0!</v>
      </c>
      <c r="BF44" s="2187"/>
      <c r="BG44" s="2184"/>
      <c r="BH44" s="2181"/>
      <c r="BI44" s="2180">
        <f t="shared" si="147"/>
        <v>0</v>
      </c>
      <c r="BJ44" s="3350" t="e">
        <f t="shared" si="127"/>
        <v>#DIV/0!</v>
      </c>
      <c r="BK44" s="2187"/>
      <c r="BL44" s="2184"/>
      <c r="BM44" s="2181"/>
      <c r="BN44" s="2180">
        <f t="shared" si="148"/>
        <v>0</v>
      </c>
      <c r="BO44" s="3350" t="e">
        <f t="shared" si="127"/>
        <v>#DIV/0!</v>
      </c>
      <c r="BP44" s="2187"/>
      <c r="BQ44" s="2184"/>
      <c r="BR44" s="2181"/>
      <c r="BS44" s="2180">
        <f t="shared" si="149"/>
        <v>0</v>
      </c>
      <c r="BT44" s="3350" t="e">
        <f t="shared" si="127"/>
        <v>#DIV/0!</v>
      </c>
      <c r="BU44" s="2187"/>
      <c r="BV44" s="2184"/>
      <c r="BW44" s="2181"/>
      <c r="BX44" s="2180">
        <f t="shared" si="150"/>
        <v>0</v>
      </c>
      <c r="BY44" s="3350" t="e">
        <f t="shared" si="132"/>
        <v>#DIV/0!</v>
      </c>
      <c r="BZ44" s="2187"/>
      <c r="CA44" s="2184"/>
      <c r="CB44" s="2181"/>
      <c r="CC44" s="2180">
        <f t="shared" si="151"/>
        <v>0</v>
      </c>
      <c r="CD44" s="3350" t="e">
        <f t="shared" si="132"/>
        <v>#DIV/0!</v>
      </c>
      <c r="CE44" s="2187"/>
      <c r="CF44" s="2184">
        <f t="shared" si="152"/>
        <v>0</v>
      </c>
      <c r="CG44" s="2181">
        <f t="shared" si="152"/>
        <v>0</v>
      </c>
      <c r="CH44" s="2180">
        <f t="shared" si="153"/>
        <v>0</v>
      </c>
      <c r="CI44" s="3350">
        <f t="shared" si="134"/>
        <v>0</v>
      </c>
      <c r="CJ44" s="3360"/>
      <c r="CK44" s="2151"/>
      <c r="CL44" s="2151"/>
      <c r="CM44" s="3205"/>
      <c r="CN44" s="2154"/>
      <c r="CO44" s="2154"/>
    </row>
    <row r="45" spans="1:93" ht="24.6" customHeight="1" outlineLevel="2">
      <c r="A45" s="4946"/>
      <c r="B45" s="3922" t="s">
        <v>8</v>
      </c>
      <c r="C45" s="3894">
        <v>4000</v>
      </c>
      <c r="D45" s="3923"/>
      <c r="E45" s="3924">
        <f t="shared" si="135"/>
        <v>4000</v>
      </c>
      <c r="F45" s="3350">
        <f t="shared" si="115"/>
        <v>6.731883937058531E-4</v>
      </c>
      <c r="G45" s="2541"/>
      <c r="H45" s="2184">
        <v>0</v>
      </c>
      <c r="I45" s="2181">
        <v>0</v>
      </c>
      <c r="J45" s="2180">
        <f t="shared" si="136"/>
        <v>0</v>
      </c>
      <c r="K45" s="3350">
        <f t="shared" si="116"/>
        <v>0</v>
      </c>
      <c r="L45" s="2187"/>
      <c r="M45" s="2051">
        <v>540</v>
      </c>
      <c r="N45" s="2043">
        <v>0</v>
      </c>
      <c r="O45" s="2012">
        <f t="shared" si="137"/>
        <v>540</v>
      </c>
      <c r="P45" s="3350">
        <f t="shared" si="117"/>
        <v>7.3845461430713363E-5</v>
      </c>
      <c r="Q45" s="2046"/>
      <c r="R45" s="2051">
        <f t="shared" si="138"/>
        <v>0</v>
      </c>
      <c r="S45" s="2043">
        <f t="shared" si="138"/>
        <v>0</v>
      </c>
      <c r="T45" s="2012">
        <f t="shared" si="139"/>
        <v>0</v>
      </c>
      <c r="U45" s="3350">
        <f t="shared" si="118"/>
        <v>0</v>
      </c>
      <c r="V45" s="2046"/>
      <c r="W45" s="2541"/>
      <c r="X45" s="2184"/>
      <c r="Y45" s="2181"/>
      <c r="Z45" s="2180">
        <f t="shared" si="140"/>
        <v>0</v>
      </c>
      <c r="AA45" s="3350" t="e">
        <f t="shared" si="119"/>
        <v>#DIV/0!</v>
      </c>
      <c r="AB45" s="2187"/>
      <c r="AC45" s="2184"/>
      <c r="AD45" s="2181"/>
      <c r="AE45" s="2180">
        <f t="shared" si="141"/>
        <v>0</v>
      </c>
      <c r="AF45" s="3350" t="e">
        <f t="shared" si="120"/>
        <v>#DIV/0!</v>
      </c>
      <c r="AG45" s="2187"/>
      <c r="AH45" s="2184"/>
      <c r="AI45" s="2181"/>
      <c r="AJ45" s="2180">
        <f t="shared" si="142"/>
        <v>0</v>
      </c>
      <c r="AK45" s="3350">
        <f t="shared" si="122"/>
        <v>0</v>
      </c>
      <c r="AL45" s="2187"/>
      <c r="AM45" s="2184"/>
      <c r="AN45" s="2181"/>
      <c r="AO45" s="2180">
        <f t="shared" si="143"/>
        <v>0</v>
      </c>
      <c r="AP45" s="3350" t="e">
        <f t="shared" si="122"/>
        <v>#DIV/0!</v>
      </c>
      <c r="AQ45" s="2187"/>
      <c r="AR45" s="2184"/>
      <c r="AS45" s="2181"/>
      <c r="AT45" s="2180">
        <f t="shared" si="144"/>
        <v>0</v>
      </c>
      <c r="AU45" s="3350" t="e">
        <f t="shared" si="122"/>
        <v>#DIV/0!</v>
      </c>
      <c r="AV45" s="2187"/>
      <c r="AW45" s="2184"/>
      <c r="AX45" s="2181"/>
      <c r="AY45" s="2180">
        <f t="shared" si="145"/>
        <v>0</v>
      </c>
      <c r="AZ45" s="3350" t="e">
        <f t="shared" si="122"/>
        <v>#DIV/0!</v>
      </c>
      <c r="BA45" s="2187"/>
      <c r="BB45" s="2184"/>
      <c r="BC45" s="2181"/>
      <c r="BD45" s="2180">
        <f t="shared" si="146"/>
        <v>0</v>
      </c>
      <c r="BE45" s="3350" t="e">
        <f t="shared" si="127"/>
        <v>#DIV/0!</v>
      </c>
      <c r="BF45" s="2187"/>
      <c r="BG45" s="2184"/>
      <c r="BH45" s="2181"/>
      <c r="BI45" s="2180">
        <f t="shared" si="147"/>
        <v>0</v>
      </c>
      <c r="BJ45" s="3350" t="e">
        <f t="shared" si="127"/>
        <v>#DIV/0!</v>
      </c>
      <c r="BK45" s="2187"/>
      <c r="BL45" s="2184"/>
      <c r="BM45" s="2181"/>
      <c r="BN45" s="2180">
        <f t="shared" si="148"/>
        <v>0</v>
      </c>
      <c r="BO45" s="3350" t="e">
        <f t="shared" si="127"/>
        <v>#DIV/0!</v>
      </c>
      <c r="BP45" s="2187"/>
      <c r="BQ45" s="2184"/>
      <c r="BR45" s="2181"/>
      <c r="BS45" s="2180">
        <f t="shared" si="149"/>
        <v>0</v>
      </c>
      <c r="BT45" s="3350" t="e">
        <f t="shared" si="127"/>
        <v>#DIV/0!</v>
      </c>
      <c r="BU45" s="2187"/>
      <c r="BV45" s="2184"/>
      <c r="BW45" s="2181"/>
      <c r="BX45" s="2180">
        <f t="shared" si="150"/>
        <v>0</v>
      </c>
      <c r="BY45" s="3350" t="e">
        <f t="shared" si="132"/>
        <v>#DIV/0!</v>
      </c>
      <c r="BZ45" s="2187"/>
      <c r="CA45" s="2184"/>
      <c r="CB45" s="2181"/>
      <c r="CC45" s="2180">
        <f t="shared" si="151"/>
        <v>0</v>
      </c>
      <c r="CD45" s="3350" t="e">
        <f t="shared" si="132"/>
        <v>#DIV/0!</v>
      </c>
      <c r="CE45" s="2187"/>
      <c r="CF45" s="2184">
        <f t="shared" si="152"/>
        <v>540</v>
      </c>
      <c r="CG45" s="2181">
        <f t="shared" si="152"/>
        <v>0</v>
      </c>
      <c r="CH45" s="2180">
        <f t="shared" si="153"/>
        <v>540</v>
      </c>
      <c r="CI45" s="3350">
        <f t="shared" si="134"/>
        <v>6.582891969139282E-5</v>
      </c>
      <c r="CJ45" s="3360"/>
      <c r="CK45" s="3210">
        <v>540</v>
      </c>
      <c r="CL45" s="3210">
        <f>-CH45+CK45</f>
        <v>0</v>
      </c>
      <c r="CM45" s="3211" t="s">
        <v>1816</v>
      </c>
      <c r="CN45" s="2154"/>
      <c r="CO45" s="2154"/>
    </row>
    <row r="46" spans="1:93" ht="24.6" customHeight="1" outlineLevel="2">
      <c r="A46" s="4946"/>
      <c r="B46" s="3922" t="s">
        <v>29</v>
      </c>
      <c r="C46" s="3894"/>
      <c r="D46" s="3923"/>
      <c r="E46" s="3924">
        <f t="shared" si="135"/>
        <v>0</v>
      </c>
      <c r="F46" s="3350">
        <f t="shared" si="115"/>
        <v>0</v>
      </c>
      <c r="G46" s="2541"/>
      <c r="H46" s="2184">
        <v>0</v>
      </c>
      <c r="I46" s="2181">
        <v>0</v>
      </c>
      <c r="J46" s="2180">
        <f t="shared" si="136"/>
        <v>0</v>
      </c>
      <c r="K46" s="3350">
        <f t="shared" si="116"/>
        <v>0</v>
      </c>
      <c r="L46" s="2187"/>
      <c r="M46" s="2051">
        <v>0</v>
      </c>
      <c r="N46" s="2043">
        <v>0</v>
      </c>
      <c r="O46" s="2012">
        <f t="shared" si="137"/>
        <v>0</v>
      </c>
      <c r="P46" s="3350">
        <f t="shared" si="117"/>
        <v>0</v>
      </c>
      <c r="Q46" s="2046"/>
      <c r="R46" s="2051">
        <f t="shared" si="138"/>
        <v>0</v>
      </c>
      <c r="S46" s="2043">
        <f t="shared" si="138"/>
        <v>0</v>
      </c>
      <c r="T46" s="2012">
        <f t="shared" si="139"/>
        <v>0</v>
      </c>
      <c r="U46" s="3350">
        <f t="shared" si="118"/>
        <v>0</v>
      </c>
      <c r="V46" s="2046"/>
      <c r="W46" s="2541"/>
      <c r="X46" s="2184"/>
      <c r="Y46" s="2181"/>
      <c r="Z46" s="2180">
        <f t="shared" si="140"/>
        <v>0</v>
      </c>
      <c r="AA46" s="3350" t="e">
        <f t="shared" si="119"/>
        <v>#DIV/0!</v>
      </c>
      <c r="AB46" s="2187"/>
      <c r="AC46" s="2184"/>
      <c r="AD46" s="2181"/>
      <c r="AE46" s="2180">
        <f t="shared" si="141"/>
        <v>0</v>
      </c>
      <c r="AF46" s="3350" t="e">
        <f t="shared" si="120"/>
        <v>#DIV/0!</v>
      </c>
      <c r="AG46" s="2187"/>
      <c r="AH46" s="2184"/>
      <c r="AI46" s="2181"/>
      <c r="AJ46" s="2180">
        <f t="shared" si="142"/>
        <v>0</v>
      </c>
      <c r="AK46" s="3350">
        <f t="shared" si="122"/>
        <v>0</v>
      </c>
      <c r="AL46" s="2187"/>
      <c r="AM46" s="2184"/>
      <c r="AN46" s="2181"/>
      <c r="AO46" s="2180">
        <f t="shared" si="143"/>
        <v>0</v>
      </c>
      <c r="AP46" s="3350" t="e">
        <f t="shared" si="122"/>
        <v>#DIV/0!</v>
      </c>
      <c r="AQ46" s="2187"/>
      <c r="AR46" s="2184"/>
      <c r="AS46" s="2181"/>
      <c r="AT46" s="2180">
        <f t="shared" si="144"/>
        <v>0</v>
      </c>
      <c r="AU46" s="3350" t="e">
        <f t="shared" si="122"/>
        <v>#DIV/0!</v>
      </c>
      <c r="AV46" s="2187"/>
      <c r="AW46" s="2184"/>
      <c r="AX46" s="2181"/>
      <c r="AY46" s="2180">
        <f t="shared" si="145"/>
        <v>0</v>
      </c>
      <c r="AZ46" s="3350" t="e">
        <f t="shared" si="122"/>
        <v>#DIV/0!</v>
      </c>
      <c r="BA46" s="2187"/>
      <c r="BB46" s="2184"/>
      <c r="BC46" s="2181"/>
      <c r="BD46" s="2180">
        <f t="shared" si="146"/>
        <v>0</v>
      </c>
      <c r="BE46" s="3350" t="e">
        <f t="shared" si="127"/>
        <v>#DIV/0!</v>
      </c>
      <c r="BF46" s="2187"/>
      <c r="BG46" s="2184"/>
      <c r="BH46" s="2181"/>
      <c r="BI46" s="2180">
        <f t="shared" si="147"/>
        <v>0</v>
      </c>
      <c r="BJ46" s="3350" t="e">
        <f t="shared" si="127"/>
        <v>#DIV/0!</v>
      </c>
      <c r="BK46" s="2187"/>
      <c r="BL46" s="2184"/>
      <c r="BM46" s="2181"/>
      <c r="BN46" s="2180">
        <f t="shared" si="148"/>
        <v>0</v>
      </c>
      <c r="BO46" s="3350" t="e">
        <f t="shared" si="127"/>
        <v>#DIV/0!</v>
      </c>
      <c r="BP46" s="2187"/>
      <c r="BQ46" s="2184"/>
      <c r="BR46" s="2181"/>
      <c r="BS46" s="2180">
        <f t="shared" si="149"/>
        <v>0</v>
      </c>
      <c r="BT46" s="3350" t="e">
        <f t="shared" si="127"/>
        <v>#DIV/0!</v>
      </c>
      <c r="BU46" s="2187"/>
      <c r="BV46" s="2184"/>
      <c r="BW46" s="2181"/>
      <c r="BX46" s="2180">
        <f t="shared" si="150"/>
        <v>0</v>
      </c>
      <c r="BY46" s="3350" t="e">
        <f t="shared" si="132"/>
        <v>#DIV/0!</v>
      </c>
      <c r="BZ46" s="2187"/>
      <c r="CA46" s="2184"/>
      <c r="CB46" s="2181"/>
      <c r="CC46" s="2180">
        <f t="shared" si="151"/>
        <v>0</v>
      </c>
      <c r="CD46" s="3350" t="e">
        <f t="shared" si="132"/>
        <v>#DIV/0!</v>
      </c>
      <c r="CE46" s="2187"/>
      <c r="CF46" s="2184">
        <f t="shared" si="152"/>
        <v>0</v>
      </c>
      <c r="CG46" s="2181">
        <f t="shared" si="152"/>
        <v>0</v>
      </c>
      <c r="CH46" s="2180">
        <f t="shared" si="153"/>
        <v>0</v>
      </c>
      <c r="CI46" s="3350">
        <f t="shared" si="134"/>
        <v>0</v>
      </c>
      <c r="CJ46" s="3360"/>
      <c r="CK46" s="2151"/>
      <c r="CL46" s="2151"/>
      <c r="CM46" s="3205"/>
      <c r="CN46" s="2154"/>
      <c r="CO46" s="2154"/>
    </row>
    <row r="47" spans="1:93" ht="24.6" customHeight="1" outlineLevel="2">
      <c r="A47" s="4946"/>
      <c r="B47" s="3922" t="s">
        <v>30</v>
      </c>
      <c r="C47" s="3894"/>
      <c r="D47" s="3923">
        <v>2000</v>
      </c>
      <c r="E47" s="3924">
        <f t="shared" si="135"/>
        <v>2000</v>
      </c>
      <c r="F47" s="3350">
        <f t="shared" si="115"/>
        <v>3.3659419685292655E-4</v>
      </c>
      <c r="G47" s="2541"/>
      <c r="H47" s="2184">
        <f>2216.07+650.07</f>
        <v>2866.1400000000003</v>
      </c>
      <c r="I47" s="2181">
        <v>80</v>
      </c>
      <c r="J47" s="2180">
        <f t="shared" si="136"/>
        <v>2946.1400000000003</v>
      </c>
      <c r="K47" s="3350">
        <f t="shared" si="116"/>
        <v>8.567125604522878E-3</v>
      </c>
      <c r="L47" s="2187"/>
      <c r="M47" s="2051">
        <v>13311.230000000001</v>
      </c>
      <c r="N47" s="2043">
        <v>0</v>
      </c>
      <c r="O47" s="2012">
        <f t="shared" si="137"/>
        <v>13311.230000000001</v>
      </c>
      <c r="P47" s="3350">
        <f t="shared" si="117"/>
        <v>1.8203220769636198E-3</v>
      </c>
      <c r="Q47" s="2046"/>
      <c r="R47" s="2051">
        <f t="shared" si="138"/>
        <v>0</v>
      </c>
      <c r="S47" s="2043">
        <f t="shared" si="138"/>
        <v>0</v>
      </c>
      <c r="T47" s="2012">
        <f t="shared" si="139"/>
        <v>0</v>
      </c>
      <c r="U47" s="3350">
        <f t="shared" si="118"/>
        <v>0</v>
      </c>
      <c r="V47" s="2046"/>
      <c r="W47" s="2541"/>
      <c r="X47" s="2184"/>
      <c r="Y47" s="2181"/>
      <c r="Z47" s="2180">
        <f t="shared" si="140"/>
        <v>0</v>
      </c>
      <c r="AA47" s="3350" t="e">
        <f t="shared" si="119"/>
        <v>#DIV/0!</v>
      </c>
      <c r="AB47" s="2187"/>
      <c r="AC47" s="2184"/>
      <c r="AD47" s="2181"/>
      <c r="AE47" s="2180">
        <f t="shared" si="141"/>
        <v>0</v>
      </c>
      <c r="AF47" s="3350" t="e">
        <f t="shared" si="120"/>
        <v>#DIV/0!</v>
      </c>
      <c r="AG47" s="2187"/>
      <c r="AH47" s="2184"/>
      <c r="AI47" s="2181"/>
      <c r="AJ47" s="2180">
        <f t="shared" si="142"/>
        <v>0</v>
      </c>
      <c r="AK47" s="3350">
        <f t="shared" si="122"/>
        <v>0</v>
      </c>
      <c r="AL47" s="2187"/>
      <c r="AM47" s="2184"/>
      <c r="AN47" s="2181"/>
      <c r="AO47" s="2180">
        <f t="shared" si="143"/>
        <v>0</v>
      </c>
      <c r="AP47" s="3350" t="e">
        <f t="shared" si="122"/>
        <v>#DIV/0!</v>
      </c>
      <c r="AQ47" s="2187"/>
      <c r="AR47" s="2184"/>
      <c r="AS47" s="2181"/>
      <c r="AT47" s="2180">
        <f t="shared" si="144"/>
        <v>0</v>
      </c>
      <c r="AU47" s="3350" t="e">
        <f t="shared" si="122"/>
        <v>#DIV/0!</v>
      </c>
      <c r="AV47" s="2187"/>
      <c r="AW47" s="2184"/>
      <c r="AX47" s="2181"/>
      <c r="AY47" s="2180">
        <f t="shared" si="145"/>
        <v>0</v>
      </c>
      <c r="AZ47" s="3350" t="e">
        <f t="shared" si="122"/>
        <v>#DIV/0!</v>
      </c>
      <c r="BA47" s="2187"/>
      <c r="BB47" s="2184"/>
      <c r="BC47" s="2181"/>
      <c r="BD47" s="2180">
        <f t="shared" si="146"/>
        <v>0</v>
      </c>
      <c r="BE47" s="3350" t="e">
        <f t="shared" si="127"/>
        <v>#DIV/0!</v>
      </c>
      <c r="BF47" s="2187"/>
      <c r="BG47" s="2184"/>
      <c r="BH47" s="2181"/>
      <c r="BI47" s="2180">
        <f t="shared" si="147"/>
        <v>0</v>
      </c>
      <c r="BJ47" s="3350" t="e">
        <f t="shared" si="127"/>
        <v>#DIV/0!</v>
      </c>
      <c r="BK47" s="2187"/>
      <c r="BL47" s="2184"/>
      <c r="BM47" s="2181"/>
      <c r="BN47" s="2180">
        <f t="shared" si="148"/>
        <v>0</v>
      </c>
      <c r="BO47" s="3350" t="e">
        <f t="shared" si="127"/>
        <v>#DIV/0!</v>
      </c>
      <c r="BP47" s="2187"/>
      <c r="BQ47" s="2184"/>
      <c r="BR47" s="2181"/>
      <c r="BS47" s="2180">
        <f t="shared" si="149"/>
        <v>0</v>
      </c>
      <c r="BT47" s="3350" t="e">
        <f t="shared" si="127"/>
        <v>#DIV/0!</v>
      </c>
      <c r="BU47" s="2187"/>
      <c r="BV47" s="2184"/>
      <c r="BW47" s="2181"/>
      <c r="BX47" s="2180">
        <f t="shared" si="150"/>
        <v>0</v>
      </c>
      <c r="BY47" s="3350" t="e">
        <f t="shared" si="132"/>
        <v>#DIV/0!</v>
      </c>
      <c r="BZ47" s="2187"/>
      <c r="CA47" s="2184"/>
      <c r="CB47" s="2181"/>
      <c r="CC47" s="2180">
        <f t="shared" si="151"/>
        <v>0</v>
      </c>
      <c r="CD47" s="3350" t="e">
        <f t="shared" si="132"/>
        <v>#DIV/0!</v>
      </c>
      <c r="CE47" s="2187"/>
      <c r="CF47" s="2184">
        <f t="shared" si="152"/>
        <v>16177.370000000003</v>
      </c>
      <c r="CG47" s="2181">
        <f t="shared" si="152"/>
        <v>80</v>
      </c>
      <c r="CH47" s="2180">
        <f t="shared" si="153"/>
        <v>16257.370000000003</v>
      </c>
      <c r="CI47" s="3350">
        <f t="shared" si="134"/>
        <v>1.9818613039319613E-3</v>
      </c>
      <c r="CJ47" s="3360"/>
      <c r="CK47" s="3210">
        <v>16257.37</v>
      </c>
      <c r="CL47" s="3210">
        <f t="shared" ref="CL47" si="154">CH47-CK47</f>
        <v>0</v>
      </c>
      <c r="CM47" s="3205"/>
      <c r="CN47" s="2154"/>
      <c r="CO47" s="2154"/>
    </row>
    <row r="48" spans="1:93" ht="24.6" customHeight="1" outlineLevel="2">
      <c r="A48" s="4946"/>
      <c r="B48" s="3922" t="s">
        <v>15</v>
      </c>
      <c r="C48" s="3894">
        <v>5000</v>
      </c>
      <c r="D48" s="3923"/>
      <c r="E48" s="3924">
        <f t="shared" si="135"/>
        <v>5000</v>
      </c>
      <c r="F48" s="3350">
        <f t="shared" si="115"/>
        <v>8.4148549213231634E-4</v>
      </c>
      <c r="G48" s="2541"/>
      <c r="H48" s="2184">
        <v>0</v>
      </c>
      <c r="I48" s="2181">
        <v>0</v>
      </c>
      <c r="J48" s="2180">
        <f t="shared" si="136"/>
        <v>0</v>
      </c>
      <c r="K48" s="3350">
        <f t="shared" si="116"/>
        <v>0</v>
      </c>
      <c r="L48" s="3445"/>
      <c r="M48" s="2051">
        <v>0</v>
      </c>
      <c r="N48" s="2043">
        <v>0</v>
      </c>
      <c r="O48" s="2012">
        <f t="shared" si="137"/>
        <v>0</v>
      </c>
      <c r="P48" s="3350">
        <f t="shared" si="117"/>
        <v>0</v>
      </c>
      <c r="Q48" s="3445"/>
      <c r="R48" s="2051">
        <f t="shared" si="138"/>
        <v>0</v>
      </c>
      <c r="S48" s="2043">
        <f t="shared" si="138"/>
        <v>0</v>
      </c>
      <c r="T48" s="2012">
        <f t="shared" si="139"/>
        <v>0</v>
      </c>
      <c r="U48" s="3350">
        <f t="shared" si="118"/>
        <v>0</v>
      </c>
      <c r="V48" s="3445"/>
      <c r="W48" s="2541"/>
      <c r="X48" s="2184"/>
      <c r="Y48" s="2181"/>
      <c r="Z48" s="2180">
        <f t="shared" si="140"/>
        <v>0</v>
      </c>
      <c r="AA48" s="3350" t="e">
        <f t="shared" si="119"/>
        <v>#DIV/0!</v>
      </c>
      <c r="AB48" s="3445"/>
      <c r="AC48" s="2184"/>
      <c r="AD48" s="2181"/>
      <c r="AE48" s="2180">
        <f t="shared" si="141"/>
        <v>0</v>
      </c>
      <c r="AF48" s="3350" t="e">
        <f t="shared" si="120"/>
        <v>#DIV/0!</v>
      </c>
      <c r="AG48" s="3445"/>
      <c r="AH48" s="2184"/>
      <c r="AI48" s="2181"/>
      <c r="AJ48" s="2180">
        <f t="shared" si="142"/>
        <v>0</v>
      </c>
      <c r="AK48" s="3350">
        <f t="shared" si="122"/>
        <v>0</v>
      </c>
      <c r="AL48" s="3445"/>
      <c r="AM48" s="2184"/>
      <c r="AN48" s="2181"/>
      <c r="AO48" s="2180">
        <f t="shared" si="143"/>
        <v>0</v>
      </c>
      <c r="AP48" s="3350" t="e">
        <f t="shared" si="122"/>
        <v>#DIV/0!</v>
      </c>
      <c r="AQ48" s="3445"/>
      <c r="AR48" s="2184"/>
      <c r="AS48" s="2181"/>
      <c r="AT48" s="2180">
        <f t="shared" si="144"/>
        <v>0</v>
      </c>
      <c r="AU48" s="3350" t="e">
        <f t="shared" si="122"/>
        <v>#DIV/0!</v>
      </c>
      <c r="AV48" s="3445"/>
      <c r="AW48" s="2184"/>
      <c r="AX48" s="2181"/>
      <c r="AY48" s="2180">
        <f t="shared" si="145"/>
        <v>0</v>
      </c>
      <c r="AZ48" s="3350" t="e">
        <f t="shared" si="122"/>
        <v>#DIV/0!</v>
      </c>
      <c r="BA48" s="3445"/>
      <c r="BB48" s="2184"/>
      <c r="BC48" s="2181"/>
      <c r="BD48" s="2180">
        <f t="shared" si="146"/>
        <v>0</v>
      </c>
      <c r="BE48" s="3350" t="e">
        <f t="shared" si="127"/>
        <v>#DIV/0!</v>
      </c>
      <c r="BF48" s="3445"/>
      <c r="BG48" s="2184"/>
      <c r="BH48" s="2181"/>
      <c r="BI48" s="2180">
        <f t="shared" si="147"/>
        <v>0</v>
      </c>
      <c r="BJ48" s="3350" t="e">
        <f t="shared" si="127"/>
        <v>#DIV/0!</v>
      </c>
      <c r="BK48" s="3445"/>
      <c r="BL48" s="2184"/>
      <c r="BM48" s="2181"/>
      <c r="BN48" s="2180">
        <f t="shared" si="148"/>
        <v>0</v>
      </c>
      <c r="BO48" s="3350" t="e">
        <f t="shared" si="127"/>
        <v>#DIV/0!</v>
      </c>
      <c r="BP48" s="3445"/>
      <c r="BQ48" s="2184"/>
      <c r="BR48" s="2181"/>
      <c r="BS48" s="2180">
        <f t="shared" si="149"/>
        <v>0</v>
      </c>
      <c r="BT48" s="3350" t="e">
        <f t="shared" si="127"/>
        <v>#DIV/0!</v>
      </c>
      <c r="BU48" s="3445"/>
      <c r="BV48" s="2184"/>
      <c r="BW48" s="2181"/>
      <c r="BX48" s="2180">
        <f t="shared" si="150"/>
        <v>0</v>
      </c>
      <c r="BY48" s="3350" t="e">
        <f t="shared" si="132"/>
        <v>#DIV/0!</v>
      </c>
      <c r="BZ48" s="3445"/>
      <c r="CA48" s="2184"/>
      <c r="CB48" s="2181"/>
      <c r="CC48" s="2180">
        <f t="shared" si="151"/>
        <v>0</v>
      </c>
      <c r="CD48" s="3350" t="e">
        <f t="shared" si="132"/>
        <v>#DIV/0!</v>
      </c>
      <c r="CE48" s="3445"/>
      <c r="CF48" s="2184">
        <f t="shared" si="152"/>
        <v>0</v>
      </c>
      <c r="CG48" s="2181">
        <f t="shared" si="152"/>
        <v>0</v>
      </c>
      <c r="CH48" s="2180">
        <f t="shared" si="153"/>
        <v>0</v>
      </c>
      <c r="CI48" s="3350">
        <f t="shared" si="134"/>
        <v>0</v>
      </c>
      <c r="CJ48" s="3360"/>
      <c r="CK48" s="2151"/>
      <c r="CL48" s="2151"/>
      <c r="CM48" s="3205"/>
      <c r="CN48" s="2154"/>
      <c r="CO48" s="2154"/>
    </row>
    <row r="49" spans="1:93" s="1396" customFormat="1" ht="24.6" customHeight="1" outlineLevel="2" thickBot="1">
      <c r="A49" s="2309"/>
      <c r="B49" s="3925"/>
      <c r="C49" s="3898"/>
      <c r="D49" s="3926"/>
      <c r="E49" s="3927"/>
      <c r="F49" s="3928"/>
      <c r="G49" s="3245"/>
      <c r="H49" s="2184"/>
      <c r="I49" s="2181"/>
      <c r="J49" s="3234"/>
      <c r="K49" s="3350"/>
      <c r="L49" s="3246"/>
      <c r="M49" s="2051"/>
      <c r="N49" s="2043"/>
      <c r="O49" s="3828"/>
      <c r="P49" s="3350"/>
      <c r="Q49" s="3838"/>
      <c r="R49" s="2051"/>
      <c r="S49" s="2043"/>
      <c r="T49" s="3828"/>
      <c r="U49" s="3350"/>
      <c r="V49" s="3838"/>
      <c r="W49" s="3245"/>
      <c r="X49" s="2184"/>
      <c r="Y49" s="2181"/>
      <c r="Z49" s="3234"/>
      <c r="AA49" s="3350"/>
      <c r="AB49" s="3246"/>
      <c r="AC49" s="2184"/>
      <c r="AD49" s="2181"/>
      <c r="AE49" s="3234"/>
      <c r="AF49" s="3350"/>
      <c r="AG49" s="3246"/>
      <c r="AH49" s="2184"/>
      <c r="AI49" s="2181"/>
      <c r="AJ49" s="3234"/>
      <c r="AK49" s="3350"/>
      <c r="AL49" s="3246"/>
      <c r="AM49" s="2184"/>
      <c r="AN49" s="2181"/>
      <c r="AO49" s="3234"/>
      <c r="AP49" s="3350"/>
      <c r="AQ49" s="3246"/>
      <c r="AR49" s="2184"/>
      <c r="AS49" s="2181"/>
      <c r="AT49" s="3234"/>
      <c r="AU49" s="3350"/>
      <c r="AV49" s="3246"/>
      <c r="AW49" s="2184"/>
      <c r="AX49" s="2181"/>
      <c r="AY49" s="3234"/>
      <c r="AZ49" s="3350"/>
      <c r="BA49" s="3246"/>
      <c r="BB49" s="2184"/>
      <c r="BC49" s="2181"/>
      <c r="BD49" s="3234"/>
      <c r="BE49" s="3350"/>
      <c r="BF49" s="3246"/>
      <c r="BG49" s="2184"/>
      <c r="BH49" s="2181"/>
      <c r="BI49" s="3234"/>
      <c r="BJ49" s="3350"/>
      <c r="BK49" s="3246"/>
      <c r="BL49" s="2184"/>
      <c r="BM49" s="2181"/>
      <c r="BN49" s="3234"/>
      <c r="BO49" s="3350"/>
      <c r="BP49" s="3246"/>
      <c r="BQ49" s="2184"/>
      <c r="BR49" s="2181"/>
      <c r="BS49" s="3234"/>
      <c r="BT49" s="3350"/>
      <c r="BU49" s="3246"/>
      <c r="BV49" s="2184"/>
      <c r="BW49" s="2181"/>
      <c r="BX49" s="3234"/>
      <c r="BY49" s="3350"/>
      <c r="BZ49" s="3246"/>
      <c r="CA49" s="2184"/>
      <c r="CB49" s="2181"/>
      <c r="CC49" s="3234"/>
      <c r="CD49" s="3350"/>
      <c r="CE49" s="3246"/>
      <c r="CF49" s="2184"/>
      <c r="CG49" s="2181"/>
      <c r="CH49" s="3234"/>
      <c r="CI49" s="3350"/>
      <c r="CJ49" s="3234"/>
      <c r="CK49" s="3213"/>
      <c r="CL49" s="3213"/>
      <c r="CM49" s="3211"/>
      <c r="CN49" s="2192"/>
      <c r="CO49" s="2192"/>
    </row>
    <row r="50" spans="1:93" s="1396" customFormat="1" ht="24.6" customHeight="1" outlineLevel="1">
      <c r="A50" s="2291"/>
      <c r="B50" s="3247" t="s">
        <v>59</v>
      </c>
      <c r="C50" s="2328">
        <f>SUM(C51:C52)</f>
        <v>0</v>
      </c>
      <c r="D50" s="2328">
        <f>SUM(D51:D52)</f>
        <v>0</v>
      </c>
      <c r="E50" s="2328">
        <f>SUM(E51:E52)</f>
        <v>0</v>
      </c>
      <c r="F50" s="1534">
        <f>E50/$E$89</f>
        <v>0</v>
      </c>
      <c r="G50" s="1578"/>
      <c r="H50" s="2328">
        <f>H52+H51</f>
        <v>0</v>
      </c>
      <c r="I50" s="2328">
        <f>I52+I51</f>
        <v>0</v>
      </c>
      <c r="J50" s="2328">
        <f>SUM(J51:J52)</f>
        <v>0</v>
      </c>
      <c r="K50" s="2315">
        <f t="shared" si="116"/>
        <v>0</v>
      </c>
      <c r="L50" s="3248"/>
      <c r="M50" s="2015">
        <f>M52+M51</f>
        <v>0</v>
      </c>
      <c r="N50" s="2015">
        <f>N52+N51</f>
        <v>0</v>
      </c>
      <c r="O50" s="2015">
        <f>SUM(O51:O52)</f>
        <v>0</v>
      </c>
      <c r="P50" s="2006">
        <f t="shared" ref="P50:P52" si="155">O50/O$89</f>
        <v>0</v>
      </c>
      <c r="Q50" s="1984"/>
      <c r="R50" s="2015">
        <f>R52+R51</f>
        <v>0</v>
      </c>
      <c r="S50" s="2015">
        <f>S52+S51</f>
        <v>0</v>
      </c>
      <c r="T50" s="2015">
        <f>SUM(T51:T52)</f>
        <v>0</v>
      </c>
      <c r="U50" s="2006">
        <f t="shared" ref="U50:U52" si="156">T50/T$89</f>
        <v>0</v>
      </c>
      <c r="V50" s="1984"/>
      <c r="W50" s="1578"/>
      <c r="X50" s="2328">
        <f>X52+X51</f>
        <v>0</v>
      </c>
      <c r="Y50" s="2328">
        <f>Y52+Y51</f>
        <v>0</v>
      </c>
      <c r="Z50" s="2328">
        <f>SUM(Z51:Z52)</f>
        <v>0</v>
      </c>
      <c r="AA50" s="2315" t="e">
        <f t="shared" ref="AA50:AA52" si="157">Z50/Z$89</f>
        <v>#DIV/0!</v>
      </c>
      <c r="AB50" s="3248"/>
      <c r="AC50" s="2328">
        <f>AC52+AC51</f>
        <v>0</v>
      </c>
      <c r="AD50" s="2328">
        <f>AD52+AD51</f>
        <v>0</v>
      </c>
      <c r="AE50" s="2328">
        <f>SUM(AE51:AE52)</f>
        <v>0</v>
      </c>
      <c r="AF50" s="2315" t="e">
        <f t="shared" ref="AF50:AF52" si="158">AE50/AE$89</f>
        <v>#DIV/0!</v>
      </c>
      <c r="AG50" s="3248"/>
      <c r="AH50" s="2328">
        <f t="shared" ref="AH50:AI50" si="159">AH52+AH51</f>
        <v>0</v>
      </c>
      <c r="AI50" s="2328">
        <f t="shared" si="159"/>
        <v>0</v>
      </c>
      <c r="AJ50" s="2328">
        <f t="shared" ref="AJ50" si="160">SUM(AJ51:AJ52)</f>
        <v>0</v>
      </c>
      <c r="AK50" s="2315">
        <f t="shared" ref="AK50:AZ52" si="161">AJ50/AJ$89</f>
        <v>0</v>
      </c>
      <c r="AL50" s="3248"/>
      <c r="AM50" s="2328">
        <f t="shared" ref="AM50:AN50" si="162">AM52+AM51</f>
        <v>0</v>
      </c>
      <c r="AN50" s="2328">
        <f t="shared" si="162"/>
        <v>0</v>
      </c>
      <c r="AO50" s="2328">
        <f t="shared" ref="AO50" si="163">SUM(AO51:AO52)</f>
        <v>0</v>
      </c>
      <c r="AP50" s="2315" t="e">
        <f t="shared" si="161"/>
        <v>#DIV/0!</v>
      </c>
      <c r="AQ50" s="3248"/>
      <c r="AR50" s="2328">
        <f t="shared" ref="AR50:AS50" si="164">AR52+AR51</f>
        <v>0</v>
      </c>
      <c r="AS50" s="2328">
        <f t="shared" si="164"/>
        <v>0</v>
      </c>
      <c r="AT50" s="2328">
        <f t="shared" ref="AT50" si="165">SUM(AT51:AT52)</f>
        <v>0</v>
      </c>
      <c r="AU50" s="2315" t="e">
        <f t="shared" si="161"/>
        <v>#DIV/0!</v>
      </c>
      <c r="AV50" s="3248"/>
      <c r="AW50" s="2328">
        <f t="shared" ref="AW50:AX50" si="166">AW52+AW51</f>
        <v>0</v>
      </c>
      <c r="AX50" s="2328">
        <f t="shared" si="166"/>
        <v>0</v>
      </c>
      <c r="AY50" s="2328">
        <f t="shared" ref="AY50" si="167">SUM(AY51:AY52)</f>
        <v>0</v>
      </c>
      <c r="AZ50" s="2315" t="e">
        <f t="shared" si="161"/>
        <v>#DIV/0!</v>
      </c>
      <c r="BA50" s="3248"/>
      <c r="BB50" s="2328">
        <f t="shared" ref="BB50:BC50" si="168">BB52+BB51</f>
        <v>0</v>
      </c>
      <c r="BC50" s="2328">
        <f t="shared" si="168"/>
        <v>0</v>
      </c>
      <c r="BD50" s="2328">
        <f t="shared" ref="BD50" si="169">SUM(BD51:BD52)</f>
        <v>0</v>
      </c>
      <c r="BE50" s="2315" t="e">
        <f t="shared" ref="BE50:BT52" si="170">BD50/BD$89</f>
        <v>#DIV/0!</v>
      </c>
      <c r="BF50" s="3248"/>
      <c r="BG50" s="2328">
        <f t="shared" ref="BG50:BH50" si="171">BG52+BG51</f>
        <v>0</v>
      </c>
      <c r="BH50" s="2328">
        <f t="shared" si="171"/>
        <v>0</v>
      </c>
      <c r="BI50" s="2328">
        <f t="shared" ref="BI50" si="172">SUM(BI51:BI52)</f>
        <v>0</v>
      </c>
      <c r="BJ50" s="2315" t="e">
        <f t="shared" si="170"/>
        <v>#DIV/0!</v>
      </c>
      <c r="BK50" s="3248"/>
      <c r="BL50" s="2328">
        <f t="shared" ref="BL50:BM50" si="173">BL52+BL51</f>
        <v>0</v>
      </c>
      <c r="BM50" s="2328">
        <f t="shared" si="173"/>
        <v>0</v>
      </c>
      <c r="BN50" s="2328">
        <f t="shared" ref="BN50" si="174">SUM(BN51:BN52)</f>
        <v>0</v>
      </c>
      <c r="BO50" s="2315" t="e">
        <f t="shared" si="170"/>
        <v>#DIV/0!</v>
      </c>
      <c r="BP50" s="3248"/>
      <c r="BQ50" s="2328">
        <f t="shared" ref="BQ50:BR50" si="175">BQ52+BQ51</f>
        <v>0</v>
      </c>
      <c r="BR50" s="2328">
        <f t="shared" si="175"/>
        <v>0</v>
      </c>
      <c r="BS50" s="2328">
        <f t="shared" ref="BS50" si="176">SUM(BS51:BS52)</f>
        <v>0</v>
      </c>
      <c r="BT50" s="2315" t="e">
        <f t="shared" si="170"/>
        <v>#DIV/0!</v>
      </c>
      <c r="BU50" s="3248"/>
      <c r="BV50" s="2328">
        <f t="shared" ref="BV50:BW50" si="177">BV52+BV51</f>
        <v>0</v>
      </c>
      <c r="BW50" s="2328">
        <f t="shared" si="177"/>
        <v>0</v>
      </c>
      <c r="BX50" s="2328">
        <f t="shared" ref="BX50" si="178">SUM(BX51:BX52)</f>
        <v>0</v>
      </c>
      <c r="BY50" s="2315" t="e">
        <f t="shared" ref="BY50:CD52" si="179">BX50/BX$89</f>
        <v>#DIV/0!</v>
      </c>
      <c r="BZ50" s="3248"/>
      <c r="CA50" s="2328">
        <f t="shared" ref="CA50:CB50" si="180">CA52+CA51</f>
        <v>0</v>
      </c>
      <c r="CB50" s="2328">
        <f t="shared" si="180"/>
        <v>0</v>
      </c>
      <c r="CC50" s="2328">
        <f t="shared" ref="CC50" si="181">SUM(CC51:CC52)</f>
        <v>0</v>
      </c>
      <c r="CD50" s="2315" t="e">
        <f t="shared" si="179"/>
        <v>#DIV/0!</v>
      </c>
      <c r="CE50" s="3248"/>
      <c r="CF50" s="2328">
        <f>CF52+CF51</f>
        <v>0</v>
      </c>
      <c r="CG50" s="2328">
        <f>CG52+CG51</f>
        <v>0</v>
      </c>
      <c r="CH50" s="2328">
        <f>SUM(CH51:CH52)</f>
        <v>0</v>
      </c>
      <c r="CI50" s="2315"/>
      <c r="CJ50" s="2315"/>
      <c r="CK50" s="3213"/>
      <c r="CL50" s="3213"/>
      <c r="CM50" s="3211"/>
      <c r="CN50" s="2192"/>
      <c r="CO50" s="2192"/>
    </row>
    <row r="51" spans="1:93" s="1564" customFormat="1" ht="24.6" customHeight="1" outlineLevel="1">
      <c r="A51" s="2329"/>
      <c r="B51" s="3922" t="s">
        <v>60</v>
      </c>
      <c r="C51" s="3894"/>
      <c r="D51" s="3923"/>
      <c r="E51" s="3923">
        <f t="shared" ref="E51:E52" si="182">C51+D51</f>
        <v>0</v>
      </c>
      <c r="F51" s="3911">
        <f>E51/$E$89</f>
        <v>0</v>
      </c>
      <c r="G51" s="3228"/>
      <c r="H51" s="2184">
        <v>0</v>
      </c>
      <c r="I51" s="2181">
        <v>0</v>
      </c>
      <c r="J51" s="2180">
        <f>H51+I51*1</f>
        <v>0</v>
      </c>
      <c r="K51" s="3350">
        <f t="shared" si="116"/>
        <v>0</v>
      </c>
      <c r="L51" s="3929"/>
      <c r="M51" s="2051">
        <v>0</v>
      </c>
      <c r="N51" s="2043">
        <v>0</v>
      </c>
      <c r="O51" s="2012">
        <f>M51+N51*1</f>
        <v>0</v>
      </c>
      <c r="P51" s="3350">
        <f t="shared" si="155"/>
        <v>0</v>
      </c>
      <c r="Q51" s="3839"/>
      <c r="R51" s="2051">
        <f t="shared" ref="R51:S52" si="183">X51+AC51+AH51+AM51+AR51+AW51+BB51+BG51+BL51+BQ51+BV51+CA51</f>
        <v>0</v>
      </c>
      <c r="S51" s="2043">
        <f t="shared" si="183"/>
        <v>0</v>
      </c>
      <c r="T51" s="2012">
        <f>R51+S51*1</f>
        <v>0</v>
      </c>
      <c r="U51" s="3350">
        <f t="shared" si="156"/>
        <v>0</v>
      </c>
      <c r="V51" s="3839"/>
      <c r="W51" s="3228"/>
      <c r="X51" s="2184"/>
      <c r="Y51" s="2181"/>
      <c r="Z51" s="2180">
        <f>X51+Y51*1</f>
        <v>0</v>
      </c>
      <c r="AA51" s="3350" t="e">
        <f t="shared" si="157"/>
        <v>#DIV/0!</v>
      </c>
      <c r="AB51" s="3929"/>
      <c r="AC51" s="2184"/>
      <c r="AD51" s="2181"/>
      <c r="AE51" s="2180">
        <f>AC51+AD51*1</f>
        <v>0</v>
      </c>
      <c r="AF51" s="3350" t="e">
        <f t="shared" si="158"/>
        <v>#DIV/0!</v>
      </c>
      <c r="AG51" s="3929"/>
      <c r="AH51" s="2184"/>
      <c r="AI51" s="2181"/>
      <c r="AJ51" s="2180">
        <f t="shared" ref="AJ51:AJ52" si="184">AH51+AI51*1</f>
        <v>0</v>
      </c>
      <c r="AK51" s="3350">
        <f t="shared" si="161"/>
        <v>0</v>
      </c>
      <c r="AL51" s="3929"/>
      <c r="AM51" s="2184"/>
      <c r="AN51" s="2181"/>
      <c r="AO51" s="2180">
        <f t="shared" ref="AO51:AO52" si="185">AM51+AN51*1</f>
        <v>0</v>
      </c>
      <c r="AP51" s="3350" t="e">
        <f t="shared" si="161"/>
        <v>#DIV/0!</v>
      </c>
      <c r="AQ51" s="3929"/>
      <c r="AR51" s="2184"/>
      <c r="AS51" s="2181"/>
      <c r="AT51" s="2180">
        <f t="shared" ref="AT51:AT52" si="186">AR51+AS51*1</f>
        <v>0</v>
      </c>
      <c r="AU51" s="3350" t="e">
        <f t="shared" si="161"/>
        <v>#DIV/0!</v>
      </c>
      <c r="AV51" s="3929"/>
      <c r="AW51" s="2184"/>
      <c r="AX51" s="2181"/>
      <c r="AY51" s="2180">
        <f t="shared" ref="AY51:AY52" si="187">AW51+AX51*1</f>
        <v>0</v>
      </c>
      <c r="AZ51" s="3350" t="e">
        <f t="shared" si="161"/>
        <v>#DIV/0!</v>
      </c>
      <c r="BA51" s="3929"/>
      <c r="BB51" s="2184"/>
      <c r="BC51" s="2181"/>
      <c r="BD51" s="2180">
        <f t="shared" ref="BD51:BD52" si="188">BB51+BC51*1</f>
        <v>0</v>
      </c>
      <c r="BE51" s="3350" t="e">
        <f t="shared" si="170"/>
        <v>#DIV/0!</v>
      </c>
      <c r="BF51" s="3929"/>
      <c r="BG51" s="2184"/>
      <c r="BH51" s="2181"/>
      <c r="BI51" s="2180">
        <f t="shared" ref="BI51:BI52" si="189">BG51+BH51*1</f>
        <v>0</v>
      </c>
      <c r="BJ51" s="3350" t="e">
        <f t="shared" si="170"/>
        <v>#DIV/0!</v>
      </c>
      <c r="BK51" s="3929"/>
      <c r="BL51" s="2184"/>
      <c r="BM51" s="2181"/>
      <c r="BN51" s="2180">
        <f t="shared" ref="BN51:BN52" si="190">BL51+BM51*1</f>
        <v>0</v>
      </c>
      <c r="BO51" s="3350" t="e">
        <f t="shared" si="170"/>
        <v>#DIV/0!</v>
      </c>
      <c r="BP51" s="3929"/>
      <c r="BQ51" s="2184"/>
      <c r="BR51" s="2181"/>
      <c r="BS51" s="2180">
        <f t="shared" ref="BS51:BS52" si="191">BQ51+BR51*1</f>
        <v>0</v>
      </c>
      <c r="BT51" s="3350" t="e">
        <f t="shared" si="170"/>
        <v>#DIV/0!</v>
      </c>
      <c r="BU51" s="3929"/>
      <c r="BV51" s="2184"/>
      <c r="BW51" s="2181"/>
      <c r="BX51" s="2180">
        <f t="shared" ref="BX51:BX52" si="192">BV51+BW51*1</f>
        <v>0</v>
      </c>
      <c r="BY51" s="3350" t="e">
        <f t="shared" si="179"/>
        <v>#DIV/0!</v>
      </c>
      <c r="BZ51" s="3929"/>
      <c r="CA51" s="2184"/>
      <c r="CB51" s="2181"/>
      <c r="CC51" s="2180">
        <f t="shared" ref="CC51:CC52" si="193">CA51+CB51*1</f>
        <v>0</v>
      </c>
      <c r="CD51" s="3350" t="e">
        <f t="shared" si="179"/>
        <v>#DIV/0!</v>
      </c>
      <c r="CE51" s="3929"/>
      <c r="CF51" s="2184">
        <f t="shared" ref="CF51:CG52" si="194">H51+M51+R51</f>
        <v>0</v>
      </c>
      <c r="CG51" s="2181">
        <f t="shared" si="194"/>
        <v>0</v>
      </c>
      <c r="CH51" s="2180">
        <f>CF51+CG51*1</f>
        <v>0</v>
      </c>
      <c r="CI51" s="3350">
        <f>CH51/$CH$89</f>
        <v>0</v>
      </c>
      <c r="CJ51" s="3912"/>
      <c r="CK51" s="3229"/>
      <c r="CL51" s="3229"/>
      <c r="CM51" s="3230"/>
      <c r="CN51" s="2234"/>
      <c r="CO51" s="2234"/>
    </row>
    <row r="52" spans="1:93" s="1569" customFormat="1" ht="24.6" customHeight="1" outlineLevel="2">
      <c r="A52" s="2329"/>
      <c r="B52" s="3922" t="s">
        <v>61</v>
      </c>
      <c r="C52" s="3894"/>
      <c r="D52" s="3923"/>
      <c r="E52" s="3923">
        <f t="shared" si="182"/>
        <v>0</v>
      </c>
      <c r="F52" s="3911">
        <f>E52/$E$89</f>
        <v>0</v>
      </c>
      <c r="G52" s="3228"/>
      <c r="H52" s="2184">
        <v>0</v>
      </c>
      <c r="I52" s="2181">
        <v>0</v>
      </c>
      <c r="J52" s="2180">
        <f>H52+I52*1</f>
        <v>0</v>
      </c>
      <c r="K52" s="3350">
        <f t="shared" si="116"/>
        <v>0</v>
      </c>
      <c r="L52" s="2187"/>
      <c r="M52" s="2051">
        <v>0</v>
      </c>
      <c r="N52" s="2043">
        <v>0</v>
      </c>
      <c r="O52" s="2012">
        <f>M52+N52*1</f>
        <v>0</v>
      </c>
      <c r="P52" s="3350">
        <f t="shared" si="155"/>
        <v>0</v>
      </c>
      <c r="Q52" s="2046"/>
      <c r="R52" s="2051">
        <f t="shared" si="183"/>
        <v>0</v>
      </c>
      <c r="S52" s="2043">
        <f t="shared" si="183"/>
        <v>0</v>
      </c>
      <c r="T52" s="2012">
        <f>R52+S52*1</f>
        <v>0</v>
      </c>
      <c r="U52" s="3350">
        <f t="shared" si="156"/>
        <v>0</v>
      </c>
      <c r="V52" s="2046"/>
      <c r="W52" s="3228"/>
      <c r="X52" s="2184"/>
      <c r="Y52" s="2181"/>
      <c r="Z52" s="2180">
        <f>X52+Y52*1</f>
        <v>0</v>
      </c>
      <c r="AA52" s="3350" t="e">
        <f t="shared" si="157"/>
        <v>#DIV/0!</v>
      </c>
      <c r="AB52" s="2187"/>
      <c r="AC52" s="2184"/>
      <c r="AD52" s="2181"/>
      <c r="AE52" s="2180">
        <f>AC52+AD52*1</f>
        <v>0</v>
      </c>
      <c r="AF52" s="3350" t="e">
        <f t="shared" si="158"/>
        <v>#DIV/0!</v>
      </c>
      <c r="AG52" s="2187"/>
      <c r="AH52" s="2184"/>
      <c r="AI52" s="2181"/>
      <c r="AJ52" s="2180">
        <f t="shared" si="184"/>
        <v>0</v>
      </c>
      <c r="AK52" s="3350">
        <f t="shared" si="161"/>
        <v>0</v>
      </c>
      <c r="AL52" s="2187"/>
      <c r="AM52" s="2184"/>
      <c r="AN52" s="2181"/>
      <c r="AO52" s="2180">
        <f t="shared" si="185"/>
        <v>0</v>
      </c>
      <c r="AP52" s="3350" t="e">
        <f t="shared" si="161"/>
        <v>#DIV/0!</v>
      </c>
      <c r="AQ52" s="2187"/>
      <c r="AR52" s="2184"/>
      <c r="AS52" s="2181"/>
      <c r="AT52" s="2180">
        <f t="shared" si="186"/>
        <v>0</v>
      </c>
      <c r="AU52" s="3350" t="e">
        <f t="shared" si="161"/>
        <v>#DIV/0!</v>
      </c>
      <c r="AV52" s="2187"/>
      <c r="AW52" s="2184"/>
      <c r="AX52" s="2181"/>
      <c r="AY52" s="2180">
        <f t="shared" si="187"/>
        <v>0</v>
      </c>
      <c r="AZ52" s="3350" t="e">
        <f t="shared" si="161"/>
        <v>#DIV/0!</v>
      </c>
      <c r="BA52" s="2187"/>
      <c r="BB52" s="2184"/>
      <c r="BC52" s="2181"/>
      <c r="BD52" s="2180">
        <f t="shared" si="188"/>
        <v>0</v>
      </c>
      <c r="BE52" s="3350" t="e">
        <f t="shared" si="170"/>
        <v>#DIV/0!</v>
      </c>
      <c r="BF52" s="2187"/>
      <c r="BG52" s="2184"/>
      <c r="BH52" s="2181"/>
      <c r="BI52" s="2180">
        <f t="shared" si="189"/>
        <v>0</v>
      </c>
      <c r="BJ52" s="3350" t="e">
        <f t="shared" si="170"/>
        <v>#DIV/0!</v>
      </c>
      <c r="BK52" s="2187"/>
      <c r="BL52" s="2184"/>
      <c r="BM52" s="2181"/>
      <c r="BN52" s="2180">
        <f t="shared" si="190"/>
        <v>0</v>
      </c>
      <c r="BO52" s="3350" t="e">
        <f t="shared" si="170"/>
        <v>#DIV/0!</v>
      </c>
      <c r="BP52" s="2187"/>
      <c r="BQ52" s="2184"/>
      <c r="BR52" s="2181"/>
      <c r="BS52" s="2180">
        <f t="shared" si="191"/>
        <v>0</v>
      </c>
      <c r="BT52" s="3350" t="e">
        <f t="shared" si="170"/>
        <v>#DIV/0!</v>
      </c>
      <c r="BU52" s="2187"/>
      <c r="BV52" s="2184"/>
      <c r="BW52" s="2181"/>
      <c r="BX52" s="2180">
        <f t="shared" si="192"/>
        <v>0</v>
      </c>
      <c r="BY52" s="3350" t="e">
        <f t="shared" si="179"/>
        <v>#DIV/0!</v>
      </c>
      <c r="BZ52" s="2187"/>
      <c r="CA52" s="2184"/>
      <c r="CB52" s="2181"/>
      <c r="CC52" s="2180">
        <f t="shared" si="193"/>
        <v>0</v>
      </c>
      <c r="CD52" s="3350" t="e">
        <f t="shared" si="179"/>
        <v>#DIV/0!</v>
      </c>
      <c r="CE52" s="2187"/>
      <c r="CF52" s="2184">
        <f t="shared" si="194"/>
        <v>0</v>
      </c>
      <c r="CG52" s="2181">
        <f t="shared" si="194"/>
        <v>0</v>
      </c>
      <c r="CH52" s="2180">
        <f>CF52+CG52*1</f>
        <v>0</v>
      </c>
      <c r="CI52" s="3350">
        <f>CH52/$CH$89</f>
        <v>0</v>
      </c>
      <c r="CJ52" s="3912"/>
      <c r="CK52" s="3249"/>
      <c r="CL52" s="3249"/>
      <c r="CM52" s="3250"/>
      <c r="CN52" s="2333"/>
      <c r="CO52" s="2333"/>
    </row>
    <row r="53" spans="1:93" ht="24.6" customHeight="1" outlineLevel="1" thickBot="1">
      <c r="A53" s="2334"/>
      <c r="B53" s="3220"/>
      <c r="C53" s="3251"/>
      <c r="D53" s="3252"/>
      <c r="E53" s="3253"/>
      <c r="F53" s="3254"/>
      <c r="G53" s="3255"/>
      <c r="H53" s="2184"/>
      <c r="I53" s="2181"/>
      <c r="J53" s="3256"/>
      <c r="K53" s="3256"/>
      <c r="L53" s="3257"/>
      <c r="M53" s="2051"/>
      <c r="N53" s="2043"/>
      <c r="O53" s="3302"/>
      <c r="P53" s="3302"/>
      <c r="Q53" s="3756"/>
      <c r="R53" s="2051"/>
      <c r="S53" s="2043"/>
      <c r="T53" s="3302"/>
      <c r="U53" s="3302"/>
      <c r="V53" s="3756"/>
      <c r="W53" s="3255"/>
      <c r="X53" s="2184"/>
      <c r="Y53" s="2181"/>
      <c r="Z53" s="3256"/>
      <c r="AA53" s="3256"/>
      <c r="AB53" s="3257"/>
      <c r="AC53" s="2184"/>
      <c r="AD53" s="2181"/>
      <c r="AE53" s="3256"/>
      <c r="AF53" s="3256"/>
      <c r="AG53" s="3257"/>
      <c r="AH53" s="2184"/>
      <c r="AI53" s="2181"/>
      <c r="AJ53" s="3256"/>
      <c r="AK53" s="3256"/>
      <c r="AL53" s="3257"/>
      <c r="AM53" s="2184"/>
      <c r="AN53" s="2181"/>
      <c r="AO53" s="3256"/>
      <c r="AP53" s="3256"/>
      <c r="AQ53" s="3257"/>
      <c r="AR53" s="2184"/>
      <c r="AS53" s="2181"/>
      <c r="AT53" s="3256"/>
      <c r="AU53" s="3256"/>
      <c r="AV53" s="3257"/>
      <c r="AW53" s="2184"/>
      <c r="AX53" s="2181"/>
      <c r="AY53" s="3256"/>
      <c r="AZ53" s="3256"/>
      <c r="BA53" s="3257"/>
      <c r="BB53" s="2184"/>
      <c r="BC53" s="2181"/>
      <c r="BD53" s="3256"/>
      <c r="BE53" s="3256"/>
      <c r="BF53" s="3257"/>
      <c r="BG53" s="2184"/>
      <c r="BH53" s="2181"/>
      <c r="BI53" s="3256"/>
      <c r="BJ53" s="3256"/>
      <c r="BK53" s="3257"/>
      <c r="BL53" s="2184"/>
      <c r="BM53" s="2181"/>
      <c r="BN53" s="3256"/>
      <c r="BO53" s="3256"/>
      <c r="BP53" s="3257"/>
      <c r="BQ53" s="2184"/>
      <c r="BR53" s="2181"/>
      <c r="BS53" s="3256"/>
      <c r="BT53" s="3256"/>
      <c r="BU53" s="3257"/>
      <c r="BV53" s="2184"/>
      <c r="BW53" s="2181"/>
      <c r="BX53" s="3256"/>
      <c r="BY53" s="3256"/>
      <c r="BZ53" s="3257"/>
      <c r="CA53" s="2184"/>
      <c r="CB53" s="2181"/>
      <c r="CC53" s="3256"/>
      <c r="CD53" s="3256"/>
      <c r="CE53" s="3257"/>
      <c r="CF53" s="2184"/>
      <c r="CG53" s="2181"/>
      <c r="CH53" s="3256"/>
      <c r="CI53" s="3256"/>
      <c r="CJ53" s="3256"/>
      <c r="CK53" s="2151"/>
      <c r="CL53" s="2151"/>
      <c r="CM53" s="3205"/>
      <c r="CN53" s="2154"/>
      <c r="CO53" s="2154"/>
    </row>
    <row r="54" spans="1:93" ht="24.6" customHeight="1" outlineLevel="1">
      <c r="A54" s="2344"/>
      <c r="B54" s="3247" t="s">
        <v>1</v>
      </c>
      <c r="C54" s="2328">
        <f>SUM(C55:C71)</f>
        <v>48368.945465078184</v>
      </c>
      <c r="D54" s="2328">
        <f>SUM(D55:D71)</f>
        <v>63426</v>
      </c>
      <c r="E54" s="2345">
        <f>SUM(E55:E71)</f>
        <v>111794.94546507818</v>
      </c>
      <c r="F54" s="1534">
        <f>E54/$E$89</f>
        <v>1.8814764940517356E-2</v>
      </c>
      <c r="G54" s="1578"/>
      <c r="H54" s="2328">
        <f>SUM(H55:H72)</f>
        <v>37914.550000000003</v>
      </c>
      <c r="I54" s="2328">
        <f>SUM(I55:I72)</f>
        <v>41627</v>
      </c>
      <c r="J54" s="2328">
        <f>SUM(J55:J72)</f>
        <v>79541.55</v>
      </c>
      <c r="K54" s="3378">
        <f t="shared" si="116"/>
        <v>0.23130009084036629</v>
      </c>
      <c r="L54" s="3248"/>
      <c r="M54" s="2015">
        <f>SUM(M55:M72)</f>
        <v>230380.33000000002</v>
      </c>
      <c r="N54" s="2015">
        <f>SUM(N55:N72)</f>
        <v>123714.66</v>
      </c>
      <c r="O54" s="2015">
        <f>SUM(O55:O72)</f>
        <v>354094.98999999993</v>
      </c>
      <c r="P54" s="2099">
        <f t="shared" ref="P54:P71" si="195">O54/O$89</f>
        <v>4.8422792457136717E-2</v>
      </c>
      <c r="Q54" s="1984"/>
      <c r="R54" s="2015">
        <f>SUM(R55:R72)</f>
        <v>0</v>
      </c>
      <c r="S54" s="2015">
        <f>SUM(S55:S72)</f>
        <v>0</v>
      </c>
      <c r="T54" s="2015">
        <f>SUM(T55:T72)</f>
        <v>0</v>
      </c>
      <c r="U54" s="2099">
        <f t="shared" ref="U54:U71" si="196">T54/T$89</f>
        <v>0</v>
      </c>
      <c r="V54" s="1984"/>
      <c r="W54" s="1578"/>
      <c r="X54" s="2328">
        <f>SUM(X55:X72)</f>
        <v>0</v>
      </c>
      <c r="Y54" s="2328">
        <f>SUM(Y55:Y72)</f>
        <v>0</v>
      </c>
      <c r="Z54" s="2345">
        <f>SUM(Z55:Z72)</f>
        <v>0</v>
      </c>
      <c r="AA54" s="3378" t="e">
        <f t="shared" ref="AA54:AA68" si="197">Z54/Z$89</f>
        <v>#DIV/0!</v>
      </c>
      <c r="AB54" s="3248"/>
      <c r="AC54" s="2328">
        <f>SUM(AC55:AC72)</f>
        <v>0</v>
      </c>
      <c r="AD54" s="2328">
        <f>SUM(AD55:AD72)</f>
        <v>0</v>
      </c>
      <c r="AE54" s="2345">
        <f>SUM(AE55:AE72)</f>
        <v>0</v>
      </c>
      <c r="AF54" s="3378" t="e">
        <f t="shared" ref="AF54:AF68" si="198">AE54/AE$89</f>
        <v>#DIV/0!</v>
      </c>
      <c r="AG54" s="3248"/>
      <c r="AH54" s="2328">
        <f t="shared" ref="AH54:AJ54" si="199">SUM(AH55:AH72)</f>
        <v>0</v>
      </c>
      <c r="AI54" s="2328">
        <f t="shared" si="199"/>
        <v>0</v>
      </c>
      <c r="AJ54" s="2345">
        <f t="shared" si="199"/>
        <v>0</v>
      </c>
      <c r="AK54" s="3378">
        <f t="shared" ref="AK54:AZ69" si="200">AJ54/AJ$89</f>
        <v>0</v>
      </c>
      <c r="AL54" s="3248"/>
      <c r="AM54" s="2328">
        <f t="shared" ref="AM54:AO54" si="201">SUM(AM55:AM72)</f>
        <v>0</v>
      </c>
      <c r="AN54" s="2328">
        <f t="shared" si="201"/>
        <v>0</v>
      </c>
      <c r="AO54" s="2345">
        <f t="shared" si="201"/>
        <v>0</v>
      </c>
      <c r="AP54" s="3378" t="e">
        <f t="shared" si="200"/>
        <v>#DIV/0!</v>
      </c>
      <c r="AQ54" s="3248"/>
      <c r="AR54" s="2328">
        <f t="shared" ref="AR54:AT54" si="202">SUM(AR55:AR72)</f>
        <v>0</v>
      </c>
      <c r="AS54" s="2328">
        <f t="shared" si="202"/>
        <v>0</v>
      </c>
      <c r="AT54" s="2345">
        <f t="shared" si="202"/>
        <v>0</v>
      </c>
      <c r="AU54" s="3378" t="e">
        <f t="shared" si="200"/>
        <v>#DIV/0!</v>
      </c>
      <c r="AV54" s="3248"/>
      <c r="AW54" s="2328">
        <f t="shared" ref="AW54:AY54" si="203">SUM(AW55:AW72)</f>
        <v>0</v>
      </c>
      <c r="AX54" s="2328">
        <f t="shared" si="203"/>
        <v>0</v>
      </c>
      <c r="AY54" s="2345">
        <f t="shared" si="203"/>
        <v>0</v>
      </c>
      <c r="AZ54" s="3378" t="e">
        <f t="shared" si="200"/>
        <v>#DIV/0!</v>
      </c>
      <c r="BA54" s="3248"/>
      <c r="BB54" s="2328">
        <f t="shared" ref="BB54:BD54" si="204">SUM(BB55:BB72)</f>
        <v>0</v>
      </c>
      <c r="BC54" s="2328">
        <f t="shared" si="204"/>
        <v>0</v>
      </c>
      <c r="BD54" s="2345">
        <f t="shared" si="204"/>
        <v>0</v>
      </c>
      <c r="BE54" s="3378" t="e">
        <f t="shared" ref="BE54:BT69" si="205">BD54/BD$89</f>
        <v>#DIV/0!</v>
      </c>
      <c r="BF54" s="3248"/>
      <c r="BG54" s="2328">
        <f t="shared" ref="BG54:BI54" si="206">SUM(BG55:BG72)</f>
        <v>0</v>
      </c>
      <c r="BH54" s="2328">
        <f t="shared" si="206"/>
        <v>0</v>
      </c>
      <c r="BI54" s="2345">
        <f t="shared" si="206"/>
        <v>0</v>
      </c>
      <c r="BJ54" s="3378" t="e">
        <f t="shared" si="205"/>
        <v>#DIV/0!</v>
      </c>
      <c r="BK54" s="3248"/>
      <c r="BL54" s="2328">
        <f t="shared" ref="BL54:BN54" si="207">SUM(BL55:BL72)</f>
        <v>0</v>
      </c>
      <c r="BM54" s="2328">
        <f t="shared" si="207"/>
        <v>0</v>
      </c>
      <c r="BN54" s="2345">
        <f t="shared" si="207"/>
        <v>0</v>
      </c>
      <c r="BO54" s="3378" t="e">
        <f t="shared" si="205"/>
        <v>#DIV/0!</v>
      </c>
      <c r="BP54" s="3248"/>
      <c r="BQ54" s="2328">
        <f t="shared" ref="BQ54:BS54" si="208">SUM(BQ55:BQ72)</f>
        <v>0</v>
      </c>
      <c r="BR54" s="2328">
        <f t="shared" si="208"/>
        <v>0</v>
      </c>
      <c r="BS54" s="2345">
        <f t="shared" si="208"/>
        <v>0</v>
      </c>
      <c r="BT54" s="3378" t="e">
        <f t="shared" si="205"/>
        <v>#DIV/0!</v>
      </c>
      <c r="BU54" s="3248"/>
      <c r="BV54" s="2328">
        <f t="shared" ref="BV54:BX54" si="209">SUM(BV55:BV72)</f>
        <v>0</v>
      </c>
      <c r="BW54" s="2328">
        <f t="shared" si="209"/>
        <v>0</v>
      </c>
      <c r="BX54" s="2345">
        <f t="shared" si="209"/>
        <v>0</v>
      </c>
      <c r="BY54" s="3378" t="e">
        <f t="shared" ref="BY54:CD69" si="210">BX54/BX$89</f>
        <v>#DIV/0!</v>
      </c>
      <c r="BZ54" s="3248"/>
      <c r="CA54" s="2328">
        <f t="shared" ref="CA54:CC54" si="211">SUM(CA55:CA72)</f>
        <v>0</v>
      </c>
      <c r="CB54" s="2328">
        <f t="shared" si="211"/>
        <v>0</v>
      </c>
      <c r="CC54" s="2345">
        <f t="shared" si="211"/>
        <v>0</v>
      </c>
      <c r="CD54" s="3378" t="e">
        <f t="shared" si="210"/>
        <v>#DIV/0!</v>
      </c>
      <c r="CE54" s="3248"/>
      <c r="CF54" s="2328">
        <f>SUM(CF55:CF72)</f>
        <v>268294.88</v>
      </c>
      <c r="CG54" s="2328">
        <f>SUM(CG55:CG72)</f>
        <v>165341.66</v>
      </c>
      <c r="CH54" s="2328">
        <f>SUM(CH55:CH72)</f>
        <v>433636.54</v>
      </c>
      <c r="CI54" s="3378">
        <f t="shared" ref="CI54:CI71" si="212">CH54/$CH$89</f>
        <v>5.2862638827617499E-2</v>
      </c>
      <c r="CJ54" s="2315"/>
      <c r="CK54" s="2151"/>
      <c r="CL54" s="2151"/>
      <c r="CM54" s="3205"/>
      <c r="CN54" s="2154"/>
      <c r="CO54" s="2154"/>
    </row>
    <row r="55" spans="1:93" ht="24.6" customHeight="1" outlineLevel="2">
      <c r="A55" s="2346"/>
      <c r="B55" s="3907" t="s">
        <v>77</v>
      </c>
      <c r="C55" s="3894"/>
      <c r="D55" s="3930"/>
      <c r="E55" s="3924">
        <f t="shared" ref="E55:E71" si="213">C55+D55</f>
        <v>0</v>
      </c>
      <c r="F55" s="3350">
        <f>E55/$E$89</f>
        <v>0</v>
      </c>
      <c r="G55" s="2541"/>
      <c r="H55" s="2179">
        <v>0</v>
      </c>
      <c r="I55" s="2212">
        <v>0</v>
      </c>
      <c r="J55" s="2180">
        <f t="shared" ref="J55:J62" si="214">H55+I55*1</f>
        <v>0</v>
      </c>
      <c r="K55" s="3350">
        <f t="shared" si="116"/>
        <v>0</v>
      </c>
      <c r="L55" s="2187"/>
      <c r="M55" s="2011">
        <v>0</v>
      </c>
      <c r="N55" s="2045">
        <v>0</v>
      </c>
      <c r="O55" s="2012">
        <f t="shared" ref="O55:O71" si="215">M55+N55*1</f>
        <v>0</v>
      </c>
      <c r="P55" s="3350">
        <f t="shared" si="195"/>
        <v>0</v>
      </c>
      <c r="Q55" s="2046"/>
      <c r="R55" s="2011">
        <f t="shared" ref="R55:S71" si="216">X55+AC55+AH55+AM55+AR55+AW55+BB55+BG55+BL55+BQ55+BV55+CA55</f>
        <v>0</v>
      </c>
      <c r="S55" s="2045">
        <f t="shared" si="216"/>
        <v>0</v>
      </c>
      <c r="T55" s="2012">
        <f t="shared" ref="T55:T71" si="217">R55+S55*1</f>
        <v>0</v>
      </c>
      <c r="U55" s="3350">
        <f t="shared" si="196"/>
        <v>0</v>
      </c>
      <c r="V55" s="2046"/>
      <c r="W55" s="2541"/>
      <c r="X55" s="2179"/>
      <c r="Y55" s="2212"/>
      <c r="Z55" s="2180">
        <f t="shared" ref="Z55:Z71" si="218">X55+Y55*1</f>
        <v>0</v>
      </c>
      <c r="AA55" s="3350" t="e">
        <f t="shared" si="197"/>
        <v>#DIV/0!</v>
      </c>
      <c r="AB55" s="2187"/>
      <c r="AC55" s="2179"/>
      <c r="AD55" s="2212"/>
      <c r="AE55" s="2180">
        <f t="shared" ref="AE55:AE71" si="219">AC55+AD55*1</f>
        <v>0</v>
      </c>
      <c r="AF55" s="3350" t="e">
        <f t="shared" si="198"/>
        <v>#DIV/0!</v>
      </c>
      <c r="AG55" s="2187"/>
      <c r="AH55" s="2179"/>
      <c r="AI55" s="2212"/>
      <c r="AJ55" s="2180">
        <f t="shared" ref="AJ55:AJ71" si="220">AH55+AI55*1</f>
        <v>0</v>
      </c>
      <c r="AK55" s="3350">
        <f t="shared" si="200"/>
        <v>0</v>
      </c>
      <c r="AL55" s="2187"/>
      <c r="AM55" s="2179"/>
      <c r="AN55" s="2212"/>
      <c r="AO55" s="2180">
        <f t="shared" ref="AO55:AO71" si="221">AM55+AN55*1</f>
        <v>0</v>
      </c>
      <c r="AP55" s="3350" t="e">
        <f t="shared" si="200"/>
        <v>#DIV/0!</v>
      </c>
      <c r="AQ55" s="2187"/>
      <c r="AR55" s="2179"/>
      <c r="AS55" s="2212"/>
      <c r="AT55" s="2180">
        <f t="shared" ref="AT55:AT71" si="222">AR55+AS55*1</f>
        <v>0</v>
      </c>
      <c r="AU55" s="3350" t="e">
        <f t="shared" si="200"/>
        <v>#DIV/0!</v>
      </c>
      <c r="AV55" s="2187"/>
      <c r="AW55" s="2179"/>
      <c r="AX55" s="2212"/>
      <c r="AY55" s="2180">
        <f t="shared" ref="AY55:AY71" si="223">AW55+AX55*1</f>
        <v>0</v>
      </c>
      <c r="AZ55" s="3350" t="e">
        <f t="shared" si="200"/>
        <v>#DIV/0!</v>
      </c>
      <c r="BA55" s="2187"/>
      <c r="BB55" s="2179"/>
      <c r="BC55" s="2212"/>
      <c r="BD55" s="2180">
        <f t="shared" ref="BD55:BD71" si="224">BB55+BC55*1</f>
        <v>0</v>
      </c>
      <c r="BE55" s="3350" t="e">
        <f t="shared" si="205"/>
        <v>#DIV/0!</v>
      </c>
      <c r="BF55" s="2187"/>
      <c r="BG55" s="2179"/>
      <c r="BH55" s="2212"/>
      <c r="BI55" s="2180">
        <f t="shared" ref="BI55:BI71" si="225">BG55+BH55*1</f>
        <v>0</v>
      </c>
      <c r="BJ55" s="3350" t="e">
        <f t="shared" si="205"/>
        <v>#DIV/0!</v>
      </c>
      <c r="BK55" s="2187"/>
      <c r="BL55" s="2179"/>
      <c r="BM55" s="2212"/>
      <c r="BN55" s="2180">
        <f t="shared" ref="BN55:BN71" si="226">BL55+BM55*1</f>
        <v>0</v>
      </c>
      <c r="BO55" s="3350" t="e">
        <f t="shared" si="205"/>
        <v>#DIV/0!</v>
      </c>
      <c r="BP55" s="2187"/>
      <c r="BQ55" s="2179"/>
      <c r="BR55" s="2212"/>
      <c r="BS55" s="2180">
        <f t="shared" ref="BS55:BS71" si="227">BQ55+BR55*1</f>
        <v>0</v>
      </c>
      <c r="BT55" s="3350" t="e">
        <f t="shared" si="205"/>
        <v>#DIV/0!</v>
      </c>
      <c r="BU55" s="2187"/>
      <c r="BV55" s="2179"/>
      <c r="BW55" s="2212"/>
      <c r="BX55" s="2180">
        <f t="shared" ref="BX55:BX71" si="228">BV55+BW55*1</f>
        <v>0</v>
      </c>
      <c r="BY55" s="3350" t="e">
        <f t="shared" si="210"/>
        <v>#DIV/0!</v>
      </c>
      <c r="BZ55" s="2187"/>
      <c r="CA55" s="2179"/>
      <c r="CB55" s="2212"/>
      <c r="CC55" s="2180">
        <f t="shared" ref="CC55:CC71" si="229">CA55+CB55*1</f>
        <v>0</v>
      </c>
      <c r="CD55" s="3350" t="e">
        <f t="shared" si="210"/>
        <v>#DIV/0!</v>
      </c>
      <c r="CE55" s="2187"/>
      <c r="CF55" s="2184">
        <f t="shared" ref="CF55:CG71" si="230">H55+M55+R55</f>
        <v>0</v>
      </c>
      <c r="CG55" s="2181">
        <f t="shared" si="230"/>
        <v>0</v>
      </c>
      <c r="CH55" s="2180">
        <f t="shared" ref="CH55:CH71" si="231">CF55+CG55*1</f>
        <v>0</v>
      </c>
      <c r="CI55" s="3350">
        <f t="shared" si="212"/>
        <v>0</v>
      </c>
      <c r="CJ55" s="3360"/>
      <c r="CK55" s="2151"/>
      <c r="CL55" s="2151"/>
      <c r="CM55" s="3205"/>
      <c r="CN55" s="2154"/>
      <c r="CO55" s="2154"/>
    </row>
    <row r="56" spans="1:93" ht="24.6" customHeight="1" outlineLevel="2">
      <c r="A56" s="2346"/>
      <c r="B56" s="3907" t="s">
        <v>76</v>
      </c>
      <c r="C56" s="3894"/>
      <c r="D56" s="3930"/>
      <c r="E56" s="3924">
        <f t="shared" si="213"/>
        <v>0</v>
      </c>
      <c r="F56" s="3350">
        <f t="shared" ref="F56:F71" si="232">E56/$E$89</f>
        <v>0</v>
      </c>
      <c r="G56" s="2541"/>
      <c r="H56" s="2179">
        <v>0</v>
      </c>
      <c r="I56" s="2212">
        <v>0</v>
      </c>
      <c r="J56" s="2180">
        <f t="shared" si="214"/>
        <v>0</v>
      </c>
      <c r="K56" s="3350">
        <f t="shared" si="116"/>
        <v>0</v>
      </c>
      <c r="L56" s="2187"/>
      <c r="M56" s="2011">
        <v>0</v>
      </c>
      <c r="N56" s="2045">
        <v>0</v>
      </c>
      <c r="O56" s="2012">
        <f t="shared" si="215"/>
        <v>0</v>
      </c>
      <c r="P56" s="3350">
        <f t="shared" si="195"/>
        <v>0</v>
      </c>
      <c r="Q56" s="2046"/>
      <c r="R56" s="2011">
        <f t="shared" si="216"/>
        <v>0</v>
      </c>
      <c r="S56" s="2045">
        <f t="shared" si="216"/>
        <v>0</v>
      </c>
      <c r="T56" s="2012">
        <f t="shared" si="217"/>
        <v>0</v>
      </c>
      <c r="U56" s="3350">
        <f t="shared" si="196"/>
        <v>0</v>
      </c>
      <c r="V56" s="2046"/>
      <c r="W56" s="2541"/>
      <c r="X56" s="2179"/>
      <c r="Y56" s="2212"/>
      <c r="Z56" s="2180">
        <f t="shared" si="218"/>
        <v>0</v>
      </c>
      <c r="AA56" s="3350" t="e">
        <f t="shared" si="197"/>
        <v>#DIV/0!</v>
      </c>
      <c r="AB56" s="2187"/>
      <c r="AC56" s="2179"/>
      <c r="AD56" s="2212"/>
      <c r="AE56" s="2180">
        <f t="shared" si="219"/>
        <v>0</v>
      </c>
      <c r="AF56" s="3350" t="e">
        <f t="shared" si="198"/>
        <v>#DIV/0!</v>
      </c>
      <c r="AG56" s="2187"/>
      <c r="AH56" s="2179"/>
      <c r="AI56" s="2212"/>
      <c r="AJ56" s="2180">
        <f t="shared" si="220"/>
        <v>0</v>
      </c>
      <c r="AK56" s="3350">
        <f t="shared" si="200"/>
        <v>0</v>
      </c>
      <c r="AL56" s="2187"/>
      <c r="AM56" s="2179"/>
      <c r="AN56" s="2212"/>
      <c r="AO56" s="2180">
        <f t="shared" si="221"/>
        <v>0</v>
      </c>
      <c r="AP56" s="3350" t="e">
        <f t="shared" si="200"/>
        <v>#DIV/0!</v>
      </c>
      <c r="AQ56" s="2187"/>
      <c r="AR56" s="2179"/>
      <c r="AS56" s="2212"/>
      <c r="AT56" s="2180">
        <f t="shared" si="222"/>
        <v>0</v>
      </c>
      <c r="AU56" s="3350" t="e">
        <f t="shared" si="200"/>
        <v>#DIV/0!</v>
      </c>
      <c r="AV56" s="2187"/>
      <c r="AW56" s="2179"/>
      <c r="AX56" s="2212"/>
      <c r="AY56" s="2180">
        <f t="shared" si="223"/>
        <v>0</v>
      </c>
      <c r="AZ56" s="3350" t="e">
        <f t="shared" si="200"/>
        <v>#DIV/0!</v>
      </c>
      <c r="BA56" s="2187"/>
      <c r="BB56" s="2179"/>
      <c r="BC56" s="2212"/>
      <c r="BD56" s="2180">
        <f t="shared" si="224"/>
        <v>0</v>
      </c>
      <c r="BE56" s="3350" t="e">
        <f t="shared" si="205"/>
        <v>#DIV/0!</v>
      </c>
      <c r="BF56" s="2187"/>
      <c r="BG56" s="2179"/>
      <c r="BH56" s="2212"/>
      <c r="BI56" s="2180">
        <f t="shared" si="225"/>
        <v>0</v>
      </c>
      <c r="BJ56" s="3350" t="e">
        <f t="shared" si="205"/>
        <v>#DIV/0!</v>
      </c>
      <c r="BK56" s="2187"/>
      <c r="BL56" s="2179"/>
      <c r="BM56" s="2212"/>
      <c r="BN56" s="2180">
        <f t="shared" si="226"/>
        <v>0</v>
      </c>
      <c r="BO56" s="3350" t="e">
        <f t="shared" si="205"/>
        <v>#DIV/0!</v>
      </c>
      <c r="BP56" s="2187"/>
      <c r="BQ56" s="2179"/>
      <c r="BR56" s="2212"/>
      <c r="BS56" s="2180">
        <f t="shared" si="227"/>
        <v>0</v>
      </c>
      <c r="BT56" s="3350" t="e">
        <f t="shared" si="205"/>
        <v>#DIV/0!</v>
      </c>
      <c r="BU56" s="2187"/>
      <c r="BV56" s="2179"/>
      <c r="BW56" s="2212"/>
      <c r="BX56" s="2180">
        <f t="shared" si="228"/>
        <v>0</v>
      </c>
      <c r="BY56" s="3350" t="e">
        <f t="shared" si="210"/>
        <v>#DIV/0!</v>
      </c>
      <c r="BZ56" s="2187"/>
      <c r="CA56" s="2179"/>
      <c r="CB56" s="2212"/>
      <c r="CC56" s="2180">
        <f t="shared" si="229"/>
        <v>0</v>
      </c>
      <c r="CD56" s="3350" t="e">
        <f t="shared" si="210"/>
        <v>#DIV/0!</v>
      </c>
      <c r="CE56" s="2187"/>
      <c r="CF56" s="2184">
        <f t="shared" si="230"/>
        <v>0</v>
      </c>
      <c r="CG56" s="2181">
        <f t="shared" si="230"/>
        <v>0</v>
      </c>
      <c r="CH56" s="2180">
        <f t="shared" si="231"/>
        <v>0</v>
      </c>
      <c r="CI56" s="3350">
        <f t="shared" si="212"/>
        <v>0</v>
      </c>
      <c r="CJ56" s="3360"/>
      <c r="CK56" s="2151"/>
      <c r="CL56" s="2151"/>
      <c r="CM56" s="3205"/>
      <c r="CN56" s="2154"/>
      <c r="CO56" s="2154"/>
    </row>
    <row r="57" spans="1:93" ht="24.6" customHeight="1" outlineLevel="2">
      <c r="A57" s="2346"/>
      <c r="B57" s="3907" t="s">
        <v>68</v>
      </c>
      <c r="C57" s="3894"/>
      <c r="D57" s="3930"/>
      <c r="E57" s="3924">
        <f t="shared" si="213"/>
        <v>0</v>
      </c>
      <c r="F57" s="3350">
        <f t="shared" si="232"/>
        <v>0</v>
      </c>
      <c r="G57" s="2541"/>
      <c r="H57" s="2179">
        <v>0</v>
      </c>
      <c r="I57" s="2212">
        <v>0</v>
      </c>
      <c r="J57" s="2180">
        <f t="shared" si="214"/>
        <v>0</v>
      </c>
      <c r="K57" s="3350">
        <f t="shared" si="116"/>
        <v>0</v>
      </c>
      <c r="L57" s="2187"/>
      <c r="M57" s="2011">
        <v>0</v>
      </c>
      <c r="N57" s="2045">
        <v>0</v>
      </c>
      <c r="O57" s="2012">
        <f t="shared" si="215"/>
        <v>0</v>
      </c>
      <c r="P57" s="3350">
        <f t="shared" si="195"/>
        <v>0</v>
      </c>
      <c r="Q57" s="2046"/>
      <c r="R57" s="2011">
        <f t="shared" si="216"/>
        <v>0</v>
      </c>
      <c r="S57" s="2045">
        <f t="shared" si="216"/>
        <v>0</v>
      </c>
      <c r="T57" s="2012">
        <f t="shared" si="217"/>
        <v>0</v>
      </c>
      <c r="U57" s="3350">
        <f t="shared" si="196"/>
        <v>0</v>
      </c>
      <c r="V57" s="2046"/>
      <c r="W57" s="2541"/>
      <c r="X57" s="2179"/>
      <c r="Y57" s="2212"/>
      <c r="Z57" s="2180">
        <f t="shared" si="218"/>
        <v>0</v>
      </c>
      <c r="AA57" s="3350" t="e">
        <f t="shared" si="197"/>
        <v>#DIV/0!</v>
      </c>
      <c r="AB57" s="2187"/>
      <c r="AC57" s="2179"/>
      <c r="AD57" s="2212"/>
      <c r="AE57" s="2180">
        <f t="shared" si="219"/>
        <v>0</v>
      </c>
      <c r="AF57" s="3350" t="e">
        <f t="shared" si="198"/>
        <v>#DIV/0!</v>
      </c>
      <c r="AG57" s="2187"/>
      <c r="AH57" s="2179"/>
      <c r="AI57" s="2212"/>
      <c r="AJ57" s="2180">
        <f t="shared" si="220"/>
        <v>0</v>
      </c>
      <c r="AK57" s="3350">
        <f t="shared" si="200"/>
        <v>0</v>
      </c>
      <c r="AL57" s="2187"/>
      <c r="AM57" s="2179"/>
      <c r="AN57" s="2212"/>
      <c r="AO57" s="2180">
        <f t="shared" si="221"/>
        <v>0</v>
      </c>
      <c r="AP57" s="3350" t="e">
        <f t="shared" si="200"/>
        <v>#DIV/0!</v>
      </c>
      <c r="AQ57" s="2187"/>
      <c r="AR57" s="2179"/>
      <c r="AS57" s="2212"/>
      <c r="AT57" s="2180">
        <f t="shared" si="222"/>
        <v>0</v>
      </c>
      <c r="AU57" s="3350" t="e">
        <f t="shared" si="200"/>
        <v>#DIV/0!</v>
      </c>
      <c r="AV57" s="2187"/>
      <c r="AW57" s="2179"/>
      <c r="AX57" s="2212"/>
      <c r="AY57" s="2180">
        <f t="shared" si="223"/>
        <v>0</v>
      </c>
      <c r="AZ57" s="3350" t="e">
        <f t="shared" si="200"/>
        <v>#DIV/0!</v>
      </c>
      <c r="BA57" s="2187"/>
      <c r="BB57" s="2179"/>
      <c r="BC57" s="2212"/>
      <c r="BD57" s="2180">
        <f t="shared" si="224"/>
        <v>0</v>
      </c>
      <c r="BE57" s="3350" t="e">
        <f t="shared" si="205"/>
        <v>#DIV/0!</v>
      </c>
      <c r="BF57" s="2187"/>
      <c r="BG57" s="2179"/>
      <c r="BH57" s="2212"/>
      <c r="BI57" s="2180">
        <f t="shared" si="225"/>
        <v>0</v>
      </c>
      <c r="BJ57" s="3350" t="e">
        <f t="shared" si="205"/>
        <v>#DIV/0!</v>
      </c>
      <c r="BK57" s="2187"/>
      <c r="BL57" s="2179"/>
      <c r="BM57" s="2212"/>
      <c r="BN57" s="2180">
        <f t="shared" si="226"/>
        <v>0</v>
      </c>
      <c r="BO57" s="3350" t="e">
        <f t="shared" si="205"/>
        <v>#DIV/0!</v>
      </c>
      <c r="BP57" s="2187"/>
      <c r="BQ57" s="2179"/>
      <c r="BR57" s="2212"/>
      <c r="BS57" s="2180">
        <f t="shared" si="227"/>
        <v>0</v>
      </c>
      <c r="BT57" s="3350" t="e">
        <f t="shared" si="205"/>
        <v>#DIV/0!</v>
      </c>
      <c r="BU57" s="2187"/>
      <c r="BV57" s="2179"/>
      <c r="BW57" s="2212"/>
      <c r="BX57" s="2180">
        <f t="shared" si="228"/>
        <v>0</v>
      </c>
      <c r="BY57" s="3350" t="e">
        <f t="shared" si="210"/>
        <v>#DIV/0!</v>
      </c>
      <c r="BZ57" s="2187"/>
      <c r="CA57" s="2179"/>
      <c r="CB57" s="2212"/>
      <c r="CC57" s="2180">
        <f t="shared" si="229"/>
        <v>0</v>
      </c>
      <c r="CD57" s="3350" t="e">
        <f t="shared" si="210"/>
        <v>#DIV/0!</v>
      </c>
      <c r="CE57" s="2187"/>
      <c r="CF57" s="2184">
        <f t="shared" si="230"/>
        <v>0</v>
      </c>
      <c r="CG57" s="2181">
        <f t="shared" si="230"/>
        <v>0</v>
      </c>
      <c r="CH57" s="2180">
        <f t="shared" si="231"/>
        <v>0</v>
      </c>
      <c r="CI57" s="3350">
        <f t="shared" si="212"/>
        <v>0</v>
      </c>
      <c r="CJ57" s="3360"/>
      <c r="CK57" s="2151"/>
      <c r="CL57" s="2151"/>
      <c r="CM57" s="3205"/>
      <c r="CN57" s="2154"/>
      <c r="CO57" s="2154"/>
    </row>
    <row r="58" spans="1:93" ht="24.6" customHeight="1" outlineLevel="2">
      <c r="A58" s="2346"/>
      <c r="B58" s="3907" t="s">
        <v>67</v>
      </c>
      <c r="C58" s="3894">
        <v>21574</v>
      </c>
      <c r="D58" s="3930">
        <v>58426</v>
      </c>
      <c r="E58" s="3924">
        <f t="shared" si="213"/>
        <v>80000</v>
      </c>
      <c r="F58" s="3350">
        <f t="shared" si="232"/>
        <v>1.3463767874117061E-2</v>
      </c>
      <c r="G58" s="2541"/>
      <c r="H58" s="2179">
        <v>14855.91</v>
      </c>
      <c r="I58" s="2212">
        <v>39690</v>
      </c>
      <c r="J58" s="2180">
        <f t="shared" si="214"/>
        <v>54545.91</v>
      </c>
      <c r="K58" s="3350">
        <f t="shared" si="116"/>
        <v>0.15861488665949361</v>
      </c>
      <c r="L58" s="2187"/>
      <c r="M58" s="2011">
        <v>52125</v>
      </c>
      <c r="N58" s="2045">
        <v>114893</v>
      </c>
      <c r="O58" s="2012">
        <f t="shared" si="215"/>
        <v>167018</v>
      </c>
      <c r="P58" s="3350">
        <f t="shared" si="195"/>
        <v>2.2839854217101635E-2</v>
      </c>
      <c r="Q58" s="2046"/>
      <c r="R58" s="2011">
        <f t="shared" si="216"/>
        <v>0</v>
      </c>
      <c r="S58" s="2045">
        <f t="shared" si="216"/>
        <v>0</v>
      </c>
      <c r="T58" s="2012">
        <f t="shared" si="217"/>
        <v>0</v>
      </c>
      <c r="U58" s="3350">
        <f t="shared" si="196"/>
        <v>0</v>
      </c>
      <c r="V58" s="2046"/>
      <c r="W58" s="2541"/>
      <c r="X58" s="2179"/>
      <c r="Y58" s="2212"/>
      <c r="Z58" s="2180">
        <f t="shared" si="218"/>
        <v>0</v>
      </c>
      <c r="AA58" s="3350" t="e">
        <f t="shared" si="197"/>
        <v>#DIV/0!</v>
      </c>
      <c r="AB58" s="2187"/>
      <c r="AC58" s="2179"/>
      <c r="AD58" s="2212"/>
      <c r="AE58" s="2180">
        <f t="shared" si="219"/>
        <v>0</v>
      </c>
      <c r="AF58" s="3350" t="e">
        <f t="shared" si="198"/>
        <v>#DIV/0!</v>
      </c>
      <c r="AG58" s="2187"/>
      <c r="AH58" s="2179"/>
      <c r="AI58" s="2212"/>
      <c r="AJ58" s="2180">
        <f t="shared" si="220"/>
        <v>0</v>
      </c>
      <c r="AK58" s="3350">
        <f t="shared" si="200"/>
        <v>0</v>
      </c>
      <c r="AL58" s="2187"/>
      <c r="AM58" s="2179"/>
      <c r="AN58" s="2212"/>
      <c r="AO58" s="2180">
        <f t="shared" si="221"/>
        <v>0</v>
      </c>
      <c r="AP58" s="3350" t="e">
        <f t="shared" si="200"/>
        <v>#DIV/0!</v>
      </c>
      <c r="AQ58" s="2187"/>
      <c r="AR58" s="2179"/>
      <c r="AS58" s="2212"/>
      <c r="AT58" s="2180">
        <f t="shared" si="222"/>
        <v>0</v>
      </c>
      <c r="AU58" s="3350" t="e">
        <f t="shared" si="200"/>
        <v>#DIV/0!</v>
      </c>
      <c r="AV58" s="2187"/>
      <c r="AW58" s="2179"/>
      <c r="AX58" s="2212"/>
      <c r="AY58" s="2180">
        <f t="shared" si="223"/>
        <v>0</v>
      </c>
      <c r="AZ58" s="3350" t="e">
        <f t="shared" si="200"/>
        <v>#DIV/0!</v>
      </c>
      <c r="BA58" s="2187"/>
      <c r="BB58" s="2179"/>
      <c r="BC58" s="2212"/>
      <c r="BD58" s="2180">
        <f t="shared" si="224"/>
        <v>0</v>
      </c>
      <c r="BE58" s="3350" t="e">
        <f t="shared" si="205"/>
        <v>#DIV/0!</v>
      </c>
      <c r="BF58" s="2187"/>
      <c r="BG58" s="2179"/>
      <c r="BH58" s="2212"/>
      <c r="BI58" s="2180">
        <f t="shared" si="225"/>
        <v>0</v>
      </c>
      <c r="BJ58" s="3350" t="e">
        <f t="shared" si="205"/>
        <v>#DIV/0!</v>
      </c>
      <c r="BK58" s="2187"/>
      <c r="BL58" s="2179"/>
      <c r="BM58" s="2212"/>
      <c r="BN58" s="2180">
        <f t="shared" si="226"/>
        <v>0</v>
      </c>
      <c r="BO58" s="3350" t="e">
        <f t="shared" si="205"/>
        <v>#DIV/0!</v>
      </c>
      <c r="BP58" s="2187"/>
      <c r="BQ58" s="2179"/>
      <c r="BR58" s="2212"/>
      <c r="BS58" s="2180">
        <f t="shared" si="227"/>
        <v>0</v>
      </c>
      <c r="BT58" s="3350" t="e">
        <f t="shared" si="205"/>
        <v>#DIV/0!</v>
      </c>
      <c r="BU58" s="2187"/>
      <c r="BV58" s="2179"/>
      <c r="BW58" s="2212"/>
      <c r="BX58" s="2180">
        <f t="shared" si="228"/>
        <v>0</v>
      </c>
      <c r="BY58" s="3350" t="e">
        <f t="shared" si="210"/>
        <v>#DIV/0!</v>
      </c>
      <c r="BZ58" s="2187"/>
      <c r="CA58" s="2179"/>
      <c r="CB58" s="2212"/>
      <c r="CC58" s="2180">
        <f t="shared" si="229"/>
        <v>0</v>
      </c>
      <c r="CD58" s="3350" t="e">
        <f t="shared" si="210"/>
        <v>#DIV/0!</v>
      </c>
      <c r="CE58" s="2187"/>
      <c r="CF58" s="2184">
        <f t="shared" si="230"/>
        <v>66980.91</v>
      </c>
      <c r="CG58" s="2181">
        <f t="shared" si="230"/>
        <v>154583</v>
      </c>
      <c r="CH58" s="2180">
        <f t="shared" si="231"/>
        <v>221563.91</v>
      </c>
      <c r="CI58" s="3350">
        <f t="shared" si="212"/>
        <v>2.7009838588705534E-2</v>
      </c>
      <c r="CJ58" s="3360"/>
      <c r="CK58" s="3210">
        <v>221563.91</v>
      </c>
      <c r="CL58" s="3210">
        <f t="shared" ref="CL58:CL60" si="233">CH58-CK58</f>
        <v>0</v>
      </c>
      <c r="CM58" s="3205"/>
      <c r="CN58" s="2154"/>
      <c r="CO58" s="2154"/>
    </row>
    <row r="59" spans="1:93" ht="24.6" customHeight="1" outlineLevel="2">
      <c r="A59" s="2346"/>
      <c r="B59" s="3907" t="s">
        <v>66</v>
      </c>
      <c r="C59" s="3894">
        <v>5226</v>
      </c>
      <c r="D59" s="3930"/>
      <c r="E59" s="3924">
        <f t="shared" si="213"/>
        <v>5226</v>
      </c>
      <c r="F59" s="3350">
        <f t="shared" si="232"/>
        <v>8.7952063637669706E-4</v>
      </c>
      <c r="G59" s="2541"/>
      <c r="H59" s="2179">
        <v>3598.64</v>
      </c>
      <c r="I59" s="2212">
        <v>0</v>
      </c>
      <c r="J59" s="2180">
        <f t="shared" si="214"/>
        <v>3598.64</v>
      </c>
      <c r="K59" s="3350">
        <f t="shared" si="116"/>
        <v>1.0464540342774005E-2</v>
      </c>
      <c r="L59" s="2187"/>
      <c r="M59" s="2011">
        <v>12626.55</v>
      </c>
      <c r="N59" s="2045">
        <v>0</v>
      </c>
      <c r="O59" s="2012">
        <f t="shared" si="215"/>
        <v>12626.55</v>
      </c>
      <c r="P59" s="3350">
        <f t="shared" si="195"/>
        <v>1.726691501903655E-3</v>
      </c>
      <c r="Q59" s="2046"/>
      <c r="R59" s="2011">
        <f t="shared" si="216"/>
        <v>0</v>
      </c>
      <c r="S59" s="2045">
        <f t="shared" si="216"/>
        <v>0</v>
      </c>
      <c r="T59" s="2012">
        <f t="shared" si="217"/>
        <v>0</v>
      </c>
      <c r="U59" s="3350">
        <f t="shared" si="196"/>
        <v>0</v>
      </c>
      <c r="V59" s="2046"/>
      <c r="W59" s="2541"/>
      <c r="X59" s="2179"/>
      <c r="Y59" s="2212"/>
      <c r="Z59" s="2180">
        <f t="shared" si="218"/>
        <v>0</v>
      </c>
      <c r="AA59" s="3350" t="e">
        <f t="shared" si="197"/>
        <v>#DIV/0!</v>
      </c>
      <c r="AB59" s="2187"/>
      <c r="AC59" s="2179"/>
      <c r="AD59" s="2212"/>
      <c r="AE59" s="2180">
        <f t="shared" si="219"/>
        <v>0</v>
      </c>
      <c r="AF59" s="3350" t="e">
        <f t="shared" si="198"/>
        <v>#DIV/0!</v>
      </c>
      <c r="AG59" s="2187"/>
      <c r="AH59" s="2179"/>
      <c r="AI59" s="2212"/>
      <c r="AJ59" s="2180">
        <f t="shared" si="220"/>
        <v>0</v>
      </c>
      <c r="AK59" s="3350">
        <f t="shared" si="200"/>
        <v>0</v>
      </c>
      <c r="AL59" s="2187"/>
      <c r="AM59" s="2179"/>
      <c r="AN59" s="2212"/>
      <c r="AO59" s="2180">
        <f t="shared" si="221"/>
        <v>0</v>
      </c>
      <c r="AP59" s="3350" t="e">
        <f t="shared" si="200"/>
        <v>#DIV/0!</v>
      </c>
      <c r="AQ59" s="2187"/>
      <c r="AR59" s="2179"/>
      <c r="AS59" s="2212"/>
      <c r="AT59" s="2180">
        <f t="shared" si="222"/>
        <v>0</v>
      </c>
      <c r="AU59" s="3350" t="e">
        <f t="shared" si="200"/>
        <v>#DIV/0!</v>
      </c>
      <c r="AV59" s="2187"/>
      <c r="AW59" s="2179"/>
      <c r="AX59" s="2212"/>
      <c r="AY59" s="2180">
        <f t="shared" si="223"/>
        <v>0</v>
      </c>
      <c r="AZ59" s="3350" t="e">
        <f t="shared" si="200"/>
        <v>#DIV/0!</v>
      </c>
      <c r="BA59" s="2187"/>
      <c r="BB59" s="2179"/>
      <c r="BC59" s="2212"/>
      <c r="BD59" s="2180">
        <f t="shared" si="224"/>
        <v>0</v>
      </c>
      <c r="BE59" s="3350" t="e">
        <f t="shared" si="205"/>
        <v>#DIV/0!</v>
      </c>
      <c r="BF59" s="2187"/>
      <c r="BG59" s="2179"/>
      <c r="BH59" s="2212"/>
      <c r="BI59" s="2180">
        <f t="shared" si="225"/>
        <v>0</v>
      </c>
      <c r="BJ59" s="3350" t="e">
        <f t="shared" si="205"/>
        <v>#DIV/0!</v>
      </c>
      <c r="BK59" s="2187"/>
      <c r="BL59" s="2179"/>
      <c r="BM59" s="2212"/>
      <c r="BN59" s="2180">
        <f t="shared" si="226"/>
        <v>0</v>
      </c>
      <c r="BO59" s="3350" t="e">
        <f t="shared" si="205"/>
        <v>#DIV/0!</v>
      </c>
      <c r="BP59" s="2187"/>
      <c r="BQ59" s="2179"/>
      <c r="BR59" s="2212"/>
      <c r="BS59" s="2180">
        <f t="shared" si="227"/>
        <v>0</v>
      </c>
      <c r="BT59" s="3350" t="e">
        <f t="shared" si="205"/>
        <v>#DIV/0!</v>
      </c>
      <c r="BU59" s="2187"/>
      <c r="BV59" s="2179"/>
      <c r="BW59" s="2212"/>
      <c r="BX59" s="2180">
        <f t="shared" si="228"/>
        <v>0</v>
      </c>
      <c r="BY59" s="3350" t="e">
        <f t="shared" si="210"/>
        <v>#DIV/0!</v>
      </c>
      <c r="BZ59" s="2187"/>
      <c r="CA59" s="2179"/>
      <c r="CB59" s="2212"/>
      <c r="CC59" s="2180">
        <f t="shared" si="229"/>
        <v>0</v>
      </c>
      <c r="CD59" s="3350" t="e">
        <f t="shared" si="210"/>
        <v>#DIV/0!</v>
      </c>
      <c r="CE59" s="2187"/>
      <c r="CF59" s="2184">
        <f t="shared" si="230"/>
        <v>16225.189999999999</v>
      </c>
      <c r="CG59" s="2181">
        <f t="shared" si="230"/>
        <v>0</v>
      </c>
      <c r="CH59" s="2180">
        <f t="shared" si="231"/>
        <v>16225.189999999999</v>
      </c>
      <c r="CI59" s="3350">
        <f t="shared" si="212"/>
        <v>1.9779383879399812E-3</v>
      </c>
      <c r="CJ59" s="3360"/>
      <c r="CK59" s="3210">
        <v>16225.189999999999</v>
      </c>
      <c r="CL59" s="3210">
        <f t="shared" si="233"/>
        <v>0</v>
      </c>
      <c r="CM59" s="3205"/>
      <c r="CN59" s="2154"/>
      <c r="CO59" s="2154"/>
    </row>
    <row r="60" spans="1:93" ht="24.6" customHeight="1" outlineLevel="2">
      <c r="A60" s="2346"/>
      <c r="B60" s="3907" t="s">
        <v>65</v>
      </c>
      <c r="C60" s="3894">
        <v>5896</v>
      </c>
      <c r="D60" s="3930"/>
      <c r="E60" s="3924">
        <f t="shared" si="213"/>
        <v>5896</v>
      </c>
      <c r="F60" s="3350">
        <f t="shared" si="232"/>
        <v>9.9227969232242746E-4</v>
      </c>
      <c r="G60" s="2541"/>
      <c r="H60" s="2179">
        <v>4060</v>
      </c>
      <c r="I60" s="2212">
        <v>0</v>
      </c>
      <c r="J60" s="2180">
        <f t="shared" si="214"/>
        <v>4060</v>
      </c>
      <c r="K60" s="3350">
        <f t="shared" si="116"/>
        <v>1.1806136149118129E-2</v>
      </c>
      <c r="L60" s="2187"/>
      <c r="M60" s="2011">
        <v>14245.34</v>
      </c>
      <c r="N60" s="2045">
        <v>0</v>
      </c>
      <c r="O60" s="2012">
        <f t="shared" si="215"/>
        <v>14245.34</v>
      </c>
      <c r="P60" s="3350">
        <f t="shared" si="195"/>
        <v>1.9480624176618487E-3</v>
      </c>
      <c r="Q60" s="2046"/>
      <c r="R60" s="2011">
        <f t="shared" si="216"/>
        <v>0</v>
      </c>
      <c r="S60" s="2045">
        <f t="shared" si="216"/>
        <v>0</v>
      </c>
      <c r="T60" s="2012">
        <f t="shared" si="217"/>
        <v>0</v>
      </c>
      <c r="U60" s="3350">
        <f t="shared" si="196"/>
        <v>0</v>
      </c>
      <c r="V60" s="2046"/>
      <c r="W60" s="2541"/>
      <c r="X60" s="2179"/>
      <c r="Y60" s="2212"/>
      <c r="Z60" s="2180">
        <f t="shared" si="218"/>
        <v>0</v>
      </c>
      <c r="AA60" s="3350" t="e">
        <f t="shared" si="197"/>
        <v>#DIV/0!</v>
      </c>
      <c r="AB60" s="2187"/>
      <c r="AC60" s="2179"/>
      <c r="AD60" s="2212"/>
      <c r="AE60" s="2180">
        <f t="shared" si="219"/>
        <v>0</v>
      </c>
      <c r="AF60" s="3350" t="e">
        <f t="shared" si="198"/>
        <v>#DIV/0!</v>
      </c>
      <c r="AG60" s="2187"/>
      <c r="AH60" s="2179"/>
      <c r="AI60" s="2212"/>
      <c r="AJ60" s="2180">
        <f t="shared" si="220"/>
        <v>0</v>
      </c>
      <c r="AK60" s="3350">
        <f t="shared" si="200"/>
        <v>0</v>
      </c>
      <c r="AL60" s="2187"/>
      <c r="AM60" s="2179"/>
      <c r="AN60" s="2212"/>
      <c r="AO60" s="2180">
        <f t="shared" si="221"/>
        <v>0</v>
      </c>
      <c r="AP60" s="3350" t="e">
        <f t="shared" si="200"/>
        <v>#DIV/0!</v>
      </c>
      <c r="AQ60" s="2187"/>
      <c r="AR60" s="2179"/>
      <c r="AS60" s="2212"/>
      <c r="AT60" s="2180">
        <f t="shared" si="222"/>
        <v>0</v>
      </c>
      <c r="AU60" s="3350" t="e">
        <f t="shared" si="200"/>
        <v>#DIV/0!</v>
      </c>
      <c r="AV60" s="2187"/>
      <c r="AW60" s="2179"/>
      <c r="AX60" s="2212"/>
      <c r="AY60" s="2180">
        <f t="shared" si="223"/>
        <v>0</v>
      </c>
      <c r="AZ60" s="3350" t="e">
        <f t="shared" si="200"/>
        <v>#DIV/0!</v>
      </c>
      <c r="BA60" s="2187"/>
      <c r="BB60" s="2179"/>
      <c r="BC60" s="2212"/>
      <c r="BD60" s="2180">
        <f t="shared" si="224"/>
        <v>0</v>
      </c>
      <c r="BE60" s="3350" t="e">
        <f t="shared" si="205"/>
        <v>#DIV/0!</v>
      </c>
      <c r="BF60" s="2187"/>
      <c r="BG60" s="2179"/>
      <c r="BH60" s="2212"/>
      <c r="BI60" s="2180">
        <f t="shared" si="225"/>
        <v>0</v>
      </c>
      <c r="BJ60" s="3350" t="e">
        <f t="shared" si="205"/>
        <v>#DIV/0!</v>
      </c>
      <c r="BK60" s="2187"/>
      <c r="BL60" s="2179"/>
      <c r="BM60" s="2212"/>
      <c r="BN60" s="2180">
        <f t="shared" si="226"/>
        <v>0</v>
      </c>
      <c r="BO60" s="3350" t="e">
        <f t="shared" si="205"/>
        <v>#DIV/0!</v>
      </c>
      <c r="BP60" s="2187"/>
      <c r="BQ60" s="2179"/>
      <c r="BR60" s="2212"/>
      <c r="BS60" s="2180">
        <f t="shared" si="227"/>
        <v>0</v>
      </c>
      <c r="BT60" s="3350" t="e">
        <f t="shared" si="205"/>
        <v>#DIV/0!</v>
      </c>
      <c r="BU60" s="2187"/>
      <c r="BV60" s="2179"/>
      <c r="BW60" s="2212"/>
      <c r="BX60" s="2180">
        <f t="shared" si="228"/>
        <v>0</v>
      </c>
      <c r="BY60" s="3350" t="e">
        <f t="shared" si="210"/>
        <v>#DIV/0!</v>
      </c>
      <c r="BZ60" s="2187"/>
      <c r="CA60" s="2179"/>
      <c r="CB60" s="2212"/>
      <c r="CC60" s="2180">
        <f t="shared" si="229"/>
        <v>0</v>
      </c>
      <c r="CD60" s="3350" t="e">
        <f t="shared" si="210"/>
        <v>#DIV/0!</v>
      </c>
      <c r="CE60" s="2187"/>
      <c r="CF60" s="2184">
        <f t="shared" si="230"/>
        <v>18305.34</v>
      </c>
      <c r="CG60" s="2181">
        <f t="shared" si="230"/>
        <v>0</v>
      </c>
      <c r="CH60" s="2180">
        <f t="shared" si="231"/>
        <v>18305.34</v>
      </c>
      <c r="CI60" s="3350">
        <f t="shared" si="212"/>
        <v>2.231519919969705E-3</v>
      </c>
      <c r="CJ60" s="3360"/>
      <c r="CK60" s="3210">
        <v>18305.34</v>
      </c>
      <c r="CL60" s="3210">
        <f t="shared" si="233"/>
        <v>0</v>
      </c>
      <c r="CM60" s="3205"/>
      <c r="CN60" s="2154"/>
      <c r="CO60" s="2154"/>
    </row>
    <row r="61" spans="1:93" ht="24.6" customHeight="1" outlineLevel="2">
      <c r="A61" s="2346"/>
      <c r="B61" s="3907" t="s">
        <v>32</v>
      </c>
      <c r="C61" s="3894"/>
      <c r="D61" s="3930"/>
      <c r="E61" s="3924">
        <f t="shared" si="213"/>
        <v>0</v>
      </c>
      <c r="F61" s="3350">
        <f t="shared" si="232"/>
        <v>0</v>
      </c>
      <c r="G61" s="2541"/>
      <c r="H61" s="2179">
        <v>0</v>
      </c>
      <c r="I61" s="2212">
        <v>0</v>
      </c>
      <c r="J61" s="2180">
        <f t="shared" si="214"/>
        <v>0</v>
      </c>
      <c r="K61" s="3350">
        <f t="shared" si="116"/>
        <v>0</v>
      </c>
      <c r="L61" s="2187"/>
      <c r="M61" s="2011">
        <v>0</v>
      </c>
      <c r="N61" s="2045">
        <v>0</v>
      </c>
      <c r="O61" s="2012">
        <f t="shared" si="215"/>
        <v>0</v>
      </c>
      <c r="P61" s="3350">
        <f t="shared" si="195"/>
        <v>0</v>
      </c>
      <c r="Q61" s="2046"/>
      <c r="R61" s="2011">
        <f t="shared" si="216"/>
        <v>0</v>
      </c>
      <c r="S61" s="2045">
        <f t="shared" si="216"/>
        <v>0</v>
      </c>
      <c r="T61" s="2012">
        <f t="shared" si="217"/>
        <v>0</v>
      </c>
      <c r="U61" s="3350">
        <f t="shared" si="196"/>
        <v>0</v>
      </c>
      <c r="V61" s="2046"/>
      <c r="W61" s="2541"/>
      <c r="X61" s="2179"/>
      <c r="Y61" s="2212"/>
      <c r="Z61" s="2180">
        <f t="shared" si="218"/>
        <v>0</v>
      </c>
      <c r="AA61" s="3350" t="e">
        <f t="shared" si="197"/>
        <v>#DIV/0!</v>
      </c>
      <c r="AB61" s="2187"/>
      <c r="AC61" s="2179"/>
      <c r="AD61" s="2212"/>
      <c r="AE61" s="2180">
        <f t="shared" si="219"/>
        <v>0</v>
      </c>
      <c r="AF61" s="3350" t="e">
        <f t="shared" si="198"/>
        <v>#DIV/0!</v>
      </c>
      <c r="AG61" s="2187"/>
      <c r="AH61" s="2179"/>
      <c r="AI61" s="2212"/>
      <c r="AJ61" s="2180">
        <f t="shared" si="220"/>
        <v>0</v>
      </c>
      <c r="AK61" s="3350">
        <f t="shared" si="200"/>
        <v>0</v>
      </c>
      <c r="AL61" s="2187"/>
      <c r="AM61" s="2179"/>
      <c r="AN61" s="2212"/>
      <c r="AO61" s="2180">
        <f t="shared" si="221"/>
        <v>0</v>
      </c>
      <c r="AP61" s="3350" t="e">
        <f t="shared" si="200"/>
        <v>#DIV/0!</v>
      </c>
      <c r="AQ61" s="2187"/>
      <c r="AR61" s="2179"/>
      <c r="AS61" s="2212"/>
      <c r="AT61" s="2180">
        <f t="shared" si="222"/>
        <v>0</v>
      </c>
      <c r="AU61" s="3350" t="e">
        <f t="shared" si="200"/>
        <v>#DIV/0!</v>
      </c>
      <c r="AV61" s="2187"/>
      <c r="AW61" s="2179"/>
      <c r="AX61" s="2212"/>
      <c r="AY61" s="2180">
        <f t="shared" si="223"/>
        <v>0</v>
      </c>
      <c r="AZ61" s="3350" t="e">
        <f t="shared" si="200"/>
        <v>#DIV/0!</v>
      </c>
      <c r="BA61" s="2187"/>
      <c r="BB61" s="2179"/>
      <c r="BC61" s="2212"/>
      <c r="BD61" s="2180">
        <f t="shared" si="224"/>
        <v>0</v>
      </c>
      <c r="BE61" s="3350" t="e">
        <f t="shared" si="205"/>
        <v>#DIV/0!</v>
      </c>
      <c r="BF61" s="2187"/>
      <c r="BG61" s="2179"/>
      <c r="BH61" s="2212"/>
      <c r="BI61" s="2180">
        <f t="shared" si="225"/>
        <v>0</v>
      </c>
      <c r="BJ61" s="3350" t="e">
        <f t="shared" si="205"/>
        <v>#DIV/0!</v>
      </c>
      <c r="BK61" s="2187"/>
      <c r="BL61" s="2179"/>
      <c r="BM61" s="2212"/>
      <c r="BN61" s="2180">
        <f t="shared" si="226"/>
        <v>0</v>
      </c>
      <c r="BO61" s="3350" t="e">
        <f t="shared" si="205"/>
        <v>#DIV/0!</v>
      </c>
      <c r="BP61" s="2187"/>
      <c r="BQ61" s="2179"/>
      <c r="BR61" s="2212"/>
      <c r="BS61" s="2180">
        <f t="shared" si="227"/>
        <v>0</v>
      </c>
      <c r="BT61" s="3350" t="e">
        <f t="shared" si="205"/>
        <v>#DIV/0!</v>
      </c>
      <c r="BU61" s="2187"/>
      <c r="BV61" s="2179"/>
      <c r="BW61" s="2212"/>
      <c r="BX61" s="2180">
        <f t="shared" si="228"/>
        <v>0</v>
      </c>
      <c r="BY61" s="3350" t="e">
        <f t="shared" si="210"/>
        <v>#DIV/0!</v>
      </c>
      <c r="BZ61" s="2187"/>
      <c r="CA61" s="2179"/>
      <c r="CB61" s="2212"/>
      <c r="CC61" s="2180">
        <f t="shared" si="229"/>
        <v>0</v>
      </c>
      <c r="CD61" s="3350" t="e">
        <f t="shared" si="210"/>
        <v>#DIV/0!</v>
      </c>
      <c r="CE61" s="2187"/>
      <c r="CF61" s="2184">
        <f t="shared" si="230"/>
        <v>0</v>
      </c>
      <c r="CG61" s="2181">
        <f t="shared" si="230"/>
        <v>0</v>
      </c>
      <c r="CH61" s="2180">
        <f t="shared" si="231"/>
        <v>0</v>
      </c>
      <c r="CI61" s="3350">
        <f t="shared" si="212"/>
        <v>0</v>
      </c>
      <c r="CJ61" s="3360"/>
      <c r="CK61" s="2151"/>
      <c r="CL61" s="2151"/>
      <c r="CM61" s="3205"/>
      <c r="CN61" s="2154"/>
      <c r="CO61" s="2154"/>
    </row>
    <row r="62" spans="1:93" ht="24.6" customHeight="1" outlineLevel="2">
      <c r="A62" s="2346"/>
      <c r="B62" s="3907" t="s">
        <v>33</v>
      </c>
      <c r="C62" s="3931"/>
      <c r="D62" s="3930"/>
      <c r="E62" s="3924">
        <f t="shared" si="213"/>
        <v>0</v>
      </c>
      <c r="F62" s="3350">
        <f t="shared" si="232"/>
        <v>0</v>
      </c>
      <c r="G62" s="2541"/>
      <c r="H62" s="2179">
        <v>0</v>
      </c>
      <c r="I62" s="2212">
        <v>0</v>
      </c>
      <c r="J62" s="2180">
        <f t="shared" si="214"/>
        <v>0</v>
      </c>
      <c r="K62" s="3350">
        <f t="shared" si="116"/>
        <v>0</v>
      </c>
      <c r="L62" s="2187"/>
      <c r="M62" s="2011">
        <v>0</v>
      </c>
      <c r="N62" s="2045">
        <v>0</v>
      </c>
      <c r="O62" s="2012">
        <f t="shared" si="215"/>
        <v>0</v>
      </c>
      <c r="P62" s="3350">
        <f t="shared" si="195"/>
        <v>0</v>
      </c>
      <c r="Q62" s="2046"/>
      <c r="R62" s="2011">
        <f t="shared" si="216"/>
        <v>0</v>
      </c>
      <c r="S62" s="2045">
        <f t="shared" si="216"/>
        <v>0</v>
      </c>
      <c r="T62" s="2012">
        <f t="shared" si="217"/>
        <v>0</v>
      </c>
      <c r="U62" s="3350">
        <f t="shared" si="196"/>
        <v>0</v>
      </c>
      <c r="V62" s="2046"/>
      <c r="W62" s="2541"/>
      <c r="X62" s="2179"/>
      <c r="Y62" s="2212"/>
      <c r="Z62" s="2180">
        <f t="shared" si="218"/>
        <v>0</v>
      </c>
      <c r="AA62" s="3350" t="e">
        <f t="shared" si="197"/>
        <v>#DIV/0!</v>
      </c>
      <c r="AB62" s="2187"/>
      <c r="AC62" s="2179"/>
      <c r="AD62" s="2212"/>
      <c r="AE62" s="2180">
        <f t="shared" si="219"/>
        <v>0</v>
      </c>
      <c r="AF62" s="3350" t="e">
        <f t="shared" si="198"/>
        <v>#DIV/0!</v>
      </c>
      <c r="AG62" s="2187"/>
      <c r="AH62" s="2179"/>
      <c r="AI62" s="2212"/>
      <c r="AJ62" s="2180">
        <f t="shared" si="220"/>
        <v>0</v>
      </c>
      <c r="AK62" s="3350">
        <f t="shared" si="200"/>
        <v>0</v>
      </c>
      <c r="AL62" s="2187"/>
      <c r="AM62" s="2179"/>
      <c r="AN62" s="2212"/>
      <c r="AO62" s="2180">
        <f t="shared" si="221"/>
        <v>0</v>
      </c>
      <c r="AP62" s="3350" t="e">
        <f t="shared" si="200"/>
        <v>#DIV/0!</v>
      </c>
      <c r="AQ62" s="2187"/>
      <c r="AR62" s="2179"/>
      <c r="AS62" s="2212"/>
      <c r="AT62" s="2180">
        <f t="shared" si="222"/>
        <v>0</v>
      </c>
      <c r="AU62" s="3350" t="e">
        <f t="shared" si="200"/>
        <v>#DIV/0!</v>
      </c>
      <c r="AV62" s="2187"/>
      <c r="AW62" s="2179"/>
      <c r="AX62" s="2212"/>
      <c r="AY62" s="2180">
        <f t="shared" si="223"/>
        <v>0</v>
      </c>
      <c r="AZ62" s="3350" t="e">
        <f t="shared" si="200"/>
        <v>#DIV/0!</v>
      </c>
      <c r="BA62" s="2187"/>
      <c r="BB62" s="2179"/>
      <c r="BC62" s="2212"/>
      <c r="BD62" s="2180">
        <f t="shared" si="224"/>
        <v>0</v>
      </c>
      <c r="BE62" s="3350" t="e">
        <f t="shared" si="205"/>
        <v>#DIV/0!</v>
      </c>
      <c r="BF62" s="2187"/>
      <c r="BG62" s="2179"/>
      <c r="BH62" s="2212"/>
      <c r="BI62" s="2180">
        <f t="shared" si="225"/>
        <v>0</v>
      </c>
      <c r="BJ62" s="3350" t="e">
        <f t="shared" si="205"/>
        <v>#DIV/0!</v>
      </c>
      <c r="BK62" s="2187"/>
      <c r="BL62" s="2179"/>
      <c r="BM62" s="2212"/>
      <c r="BN62" s="2180">
        <f t="shared" si="226"/>
        <v>0</v>
      </c>
      <c r="BO62" s="3350" t="e">
        <f t="shared" si="205"/>
        <v>#DIV/0!</v>
      </c>
      <c r="BP62" s="2187"/>
      <c r="BQ62" s="2179"/>
      <c r="BR62" s="2212"/>
      <c r="BS62" s="2180">
        <f t="shared" si="227"/>
        <v>0</v>
      </c>
      <c r="BT62" s="3350" t="e">
        <f t="shared" si="205"/>
        <v>#DIV/0!</v>
      </c>
      <c r="BU62" s="2187"/>
      <c r="BV62" s="2179"/>
      <c r="BW62" s="2212"/>
      <c r="BX62" s="2180">
        <f t="shared" si="228"/>
        <v>0</v>
      </c>
      <c r="BY62" s="3350" t="e">
        <f t="shared" si="210"/>
        <v>#DIV/0!</v>
      </c>
      <c r="BZ62" s="2187"/>
      <c r="CA62" s="2179"/>
      <c r="CB62" s="2212"/>
      <c r="CC62" s="2180">
        <f t="shared" si="229"/>
        <v>0</v>
      </c>
      <c r="CD62" s="3350" t="e">
        <f t="shared" si="210"/>
        <v>#DIV/0!</v>
      </c>
      <c r="CE62" s="2187"/>
      <c r="CF62" s="2184">
        <f t="shared" si="230"/>
        <v>0</v>
      </c>
      <c r="CG62" s="2181">
        <f t="shared" si="230"/>
        <v>0</v>
      </c>
      <c r="CH62" s="2180">
        <f t="shared" si="231"/>
        <v>0</v>
      </c>
      <c r="CI62" s="3350">
        <f t="shared" si="212"/>
        <v>0</v>
      </c>
      <c r="CJ62" s="3360"/>
      <c r="CK62" s="2151"/>
      <c r="CL62" s="2151"/>
      <c r="CM62" s="3205"/>
      <c r="CN62" s="2154"/>
      <c r="CO62" s="2154"/>
    </row>
    <row r="63" spans="1:93" ht="24.6" customHeight="1" outlineLevel="2">
      <c r="A63" s="2346"/>
      <c r="B63" s="3907" t="s">
        <v>35</v>
      </c>
      <c r="C63" s="3931"/>
      <c r="D63" s="3930"/>
      <c r="E63" s="3924">
        <f t="shared" si="213"/>
        <v>0</v>
      </c>
      <c r="F63" s="3350">
        <f t="shared" si="232"/>
        <v>0</v>
      </c>
      <c r="G63" s="2541"/>
      <c r="H63" s="2179">
        <v>11000</v>
      </c>
      <c r="I63" s="3843"/>
      <c r="J63" s="2180">
        <f>H63+I63*1</f>
        <v>11000</v>
      </c>
      <c r="K63" s="3350">
        <f t="shared" si="116"/>
        <v>3.1987068384310202E-2</v>
      </c>
      <c r="L63" s="2187"/>
      <c r="M63" s="2011">
        <v>60599.44</v>
      </c>
      <c r="N63" s="2045">
        <v>0</v>
      </c>
      <c r="O63" s="2012">
        <f t="shared" si="215"/>
        <v>60599.44</v>
      </c>
      <c r="P63" s="3350">
        <f t="shared" si="195"/>
        <v>8.2870252023015348E-3</v>
      </c>
      <c r="Q63" s="2046"/>
      <c r="R63" s="2011">
        <f t="shared" si="216"/>
        <v>0</v>
      </c>
      <c r="S63" s="2045">
        <f t="shared" si="216"/>
        <v>0</v>
      </c>
      <c r="T63" s="2012">
        <f t="shared" si="217"/>
        <v>0</v>
      </c>
      <c r="U63" s="3350">
        <f t="shared" si="196"/>
        <v>0</v>
      </c>
      <c r="V63" s="2046"/>
      <c r="W63" s="2541"/>
      <c r="X63" s="2179"/>
      <c r="Y63" s="2212"/>
      <c r="Z63" s="2180">
        <f t="shared" si="218"/>
        <v>0</v>
      </c>
      <c r="AA63" s="3350" t="e">
        <f t="shared" si="197"/>
        <v>#DIV/0!</v>
      </c>
      <c r="AB63" s="2187"/>
      <c r="AC63" s="2179"/>
      <c r="AD63" s="2212"/>
      <c r="AE63" s="2180">
        <f t="shared" si="219"/>
        <v>0</v>
      </c>
      <c r="AF63" s="3350" t="e">
        <f t="shared" si="198"/>
        <v>#DIV/0!</v>
      </c>
      <c r="AG63" s="2187"/>
      <c r="AH63" s="2179"/>
      <c r="AI63" s="2212"/>
      <c r="AJ63" s="2180">
        <f t="shared" si="220"/>
        <v>0</v>
      </c>
      <c r="AK63" s="3350">
        <f t="shared" si="200"/>
        <v>0</v>
      </c>
      <c r="AL63" s="2187"/>
      <c r="AM63" s="2179"/>
      <c r="AN63" s="2212"/>
      <c r="AO63" s="2180">
        <f t="shared" si="221"/>
        <v>0</v>
      </c>
      <c r="AP63" s="3350" t="e">
        <f t="shared" si="200"/>
        <v>#DIV/0!</v>
      </c>
      <c r="AQ63" s="2187"/>
      <c r="AR63" s="2179"/>
      <c r="AS63" s="2212"/>
      <c r="AT63" s="2180">
        <f t="shared" si="222"/>
        <v>0</v>
      </c>
      <c r="AU63" s="3350" t="e">
        <f t="shared" si="200"/>
        <v>#DIV/0!</v>
      </c>
      <c r="AV63" s="2187"/>
      <c r="AW63" s="2179"/>
      <c r="AX63" s="2212"/>
      <c r="AY63" s="2180">
        <f t="shared" si="223"/>
        <v>0</v>
      </c>
      <c r="AZ63" s="3350" t="e">
        <f t="shared" si="200"/>
        <v>#DIV/0!</v>
      </c>
      <c r="BA63" s="2187"/>
      <c r="BB63" s="2179"/>
      <c r="BC63" s="2212"/>
      <c r="BD63" s="2180">
        <f t="shared" si="224"/>
        <v>0</v>
      </c>
      <c r="BE63" s="3350" t="e">
        <f t="shared" si="205"/>
        <v>#DIV/0!</v>
      </c>
      <c r="BF63" s="2187"/>
      <c r="BG63" s="2179"/>
      <c r="BH63" s="2212"/>
      <c r="BI63" s="2180">
        <f t="shared" si="225"/>
        <v>0</v>
      </c>
      <c r="BJ63" s="3350" t="e">
        <f t="shared" si="205"/>
        <v>#DIV/0!</v>
      </c>
      <c r="BK63" s="2187"/>
      <c r="BL63" s="2179"/>
      <c r="BM63" s="2212"/>
      <c r="BN63" s="2180">
        <f t="shared" si="226"/>
        <v>0</v>
      </c>
      <c r="BO63" s="3350" t="e">
        <f t="shared" si="205"/>
        <v>#DIV/0!</v>
      </c>
      <c r="BP63" s="2187"/>
      <c r="BQ63" s="2179"/>
      <c r="BR63" s="2212"/>
      <c r="BS63" s="2180">
        <f t="shared" si="227"/>
        <v>0</v>
      </c>
      <c r="BT63" s="3350" t="e">
        <f t="shared" si="205"/>
        <v>#DIV/0!</v>
      </c>
      <c r="BU63" s="2187"/>
      <c r="BV63" s="2179"/>
      <c r="BW63" s="2212"/>
      <c r="BX63" s="2180">
        <f t="shared" si="228"/>
        <v>0</v>
      </c>
      <c r="BY63" s="3350" t="e">
        <f t="shared" si="210"/>
        <v>#DIV/0!</v>
      </c>
      <c r="BZ63" s="2187"/>
      <c r="CA63" s="2179"/>
      <c r="CB63" s="2212"/>
      <c r="CC63" s="2180">
        <f t="shared" si="229"/>
        <v>0</v>
      </c>
      <c r="CD63" s="3350" t="e">
        <f t="shared" si="210"/>
        <v>#DIV/0!</v>
      </c>
      <c r="CE63" s="2187"/>
      <c r="CF63" s="2184">
        <f t="shared" si="230"/>
        <v>71599.44</v>
      </c>
      <c r="CG63" s="2181">
        <f t="shared" si="230"/>
        <v>0</v>
      </c>
      <c r="CH63" s="2180">
        <f t="shared" si="231"/>
        <v>71599.44</v>
      </c>
      <c r="CI63" s="3350">
        <f t="shared" si="212"/>
        <v>8.7283588624235166E-3</v>
      </c>
      <c r="CJ63" s="3360"/>
      <c r="CK63" s="3244"/>
      <c r="CL63" s="3217">
        <f t="shared" ref="CL63" si="234">CH63-CK63</f>
        <v>71599.44</v>
      </c>
      <c r="CM63" s="3211" t="s">
        <v>1817</v>
      </c>
      <c r="CN63" s="2154"/>
      <c r="CO63" s="2154"/>
    </row>
    <row r="64" spans="1:93" ht="24.6" customHeight="1" outlineLevel="2">
      <c r="A64" s="2346"/>
      <c r="B64" s="3907" t="s">
        <v>63</v>
      </c>
      <c r="C64" s="3931"/>
      <c r="D64" s="3930"/>
      <c r="E64" s="3924">
        <f t="shared" si="213"/>
        <v>0</v>
      </c>
      <c r="F64" s="3350">
        <f t="shared" si="232"/>
        <v>0</v>
      </c>
      <c r="G64" s="3616"/>
      <c r="H64" s="2179">
        <v>0</v>
      </c>
      <c r="I64" s="2212">
        <v>0</v>
      </c>
      <c r="J64" s="2180">
        <f t="shared" ref="J64:J66" si="235">H64+I64*1</f>
        <v>0</v>
      </c>
      <c r="K64" s="3350">
        <f t="shared" si="116"/>
        <v>0</v>
      </c>
      <c r="L64" s="2187"/>
      <c r="M64" s="2011">
        <v>0</v>
      </c>
      <c r="N64" s="2045">
        <v>0</v>
      </c>
      <c r="O64" s="2012">
        <f t="shared" si="215"/>
        <v>0</v>
      </c>
      <c r="P64" s="3350">
        <f t="shared" si="195"/>
        <v>0</v>
      </c>
      <c r="Q64" s="2046"/>
      <c r="R64" s="2011">
        <f t="shared" si="216"/>
        <v>0</v>
      </c>
      <c r="S64" s="2045">
        <f t="shared" si="216"/>
        <v>0</v>
      </c>
      <c r="T64" s="2012">
        <f t="shared" si="217"/>
        <v>0</v>
      </c>
      <c r="U64" s="3350">
        <f t="shared" si="196"/>
        <v>0</v>
      </c>
      <c r="V64" s="2046"/>
      <c r="W64" s="3616"/>
      <c r="X64" s="2179"/>
      <c r="Y64" s="2212"/>
      <c r="Z64" s="2180">
        <f t="shared" si="218"/>
        <v>0</v>
      </c>
      <c r="AA64" s="3350" t="e">
        <f t="shared" si="197"/>
        <v>#DIV/0!</v>
      </c>
      <c r="AB64" s="2187"/>
      <c r="AC64" s="2179"/>
      <c r="AD64" s="2212"/>
      <c r="AE64" s="2180">
        <f t="shared" si="219"/>
        <v>0</v>
      </c>
      <c r="AF64" s="3350" t="e">
        <f t="shared" si="198"/>
        <v>#DIV/0!</v>
      </c>
      <c r="AG64" s="2187"/>
      <c r="AH64" s="2179"/>
      <c r="AI64" s="2212"/>
      <c r="AJ64" s="2180">
        <f t="shared" si="220"/>
        <v>0</v>
      </c>
      <c r="AK64" s="3350">
        <f t="shared" si="200"/>
        <v>0</v>
      </c>
      <c r="AL64" s="2187"/>
      <c r="AM64" s="2179"/>
      <c r="AN64" s="2212"/>
      <c r="AO64" s="2180">
        <f t="shared" si="221"/>
        <v>0</v>
      </c>
      <c r="AP64" s="3350" t="e">
        <f t="shared" si="200"/>
        <v>#DIV/0!</v>
      </c>
      <c r="AQ64" s="2187"/>
      <c r="AR64" s="2179"/>
      <c r="AS64" s="2212"/>
      <c r="AT64" s="2180">
        <f t="shared" si="222"/>
        <v>0</v>
      </c>
      <c r="AU64" s="3350" t="e">
        <f t="shared" si="200"/>
        <v>#DIV/0!</v>
      </c>
      <c r="AV64" s="2187"/>
      <c r="AW64" s="2179"/>
      <c r="AX64" s="2212"/>
      <c r="AY64" s="2180">
        <f t="shared" si="223"/>
        <v>0</v>
      </c>
      <c r="AZ64" s="3350" t="e">
        <f t="shared" si="200"/>
        <v>#DIV/0!</v>
      </c>
      <c r="BA64" s="2187"/>
      <c r="BB64" s="2179"/>
      <c r="BC64" s="2212"/>
      <c r="BD64" s="2180">
        <f t="shared" si="224"/>
        <v>0</v>
      </c>
      <c r="BE64" s="3350" t="e">
        <f t="shared" si="205"/>
        <v>#DIV/0!</v>
      </c>
      <c r="BF64" s="2187"/>
      <c r="BG64" s="2179"/>
      <c r="BH64" s="2212"/>
      <c r="BI64" s="2180">
        <f t="shared" si="225"/>
        <v>0</v>
      </c>
      <c r="BJ64" s="3350" t="e">
        <f t="shared" si="205"/>
        <v>#DIV/0!</v>
      </c>
      <c r="BK64" s="2187"/>
      <c r="BL64" s="2179"/>
      <c r="BM64" s="2212"/>
      <c r="BN64" s="2180">
        <f t="shared" si="226"/>
        <v>0</v>
      </c>
      <c r="BO64" s="3350" t="e">
        <f t="shared" si="205"/>
        <v>#DIV/0!</v>
      </c>
      <c r="BP64" s="2187"/>
      <c r="BQ64" s="2179"/>
      <c r="BR64" s="2212"/>
      <c r="BS64" s="2180">
        <f t="shared" si="227"/>
        <v>0</v>
      </c>
      <c r="BT64" s="3350" t="e">
        <f t="shared" si="205"/>
        <v>#DIV/0!</v>
      </c>
      <c r="BU64" s="2187"/>
      <c r="BV64" s="2179"/>
      <c r="BW64" s="2212"/>
      <c r="BX64" s="2180">
        <f t="shared" si="228"/>
        <v>0</v>
      </c>
      <c r="BY64" s="3350" t="e">
        <f t="shared" si="210"/>
        <v>#DIV/0!</v>
      </c>
      <c r="BZ64" s="2187"/>
      <c r="CA64" s="2179"/>
      <c r="CB64" s="2212"/>
      <c r="CC64" s="2180">
        <f t="shared" si="229"/>
        <v>0</v>
      </c>
      <c r="CD64" s="3350" t="e">
        <f t="shared" si="210"/>
        <v>#DIV/0!</v>
      </c>
      <c r="CE64" s="2187"/>
      <c r="CF64" s="2184">
        <f t="shared" si="230"/>
        <v>0</v>
      </c>
      <c r="CG64" s="2181">
        <f t="shared" si="230"/>
        <v>0</v>
      </c>
      <c r="CH64" s="2180">
        <f t="shared" si="231"/>
        <v>0</v>
      </c>
      <c r="CI64" s="3350">
        <f t="shared" si="212"/>
        <v>0</v>
      </c>
      <c r="CJ64" s="3360"/>
      <c r="CK64" s="2151"/>
      <c r="CL64" s="2151"/>
      <c r="CM64" s="3211"/>
      <c r="CN64" s="2154"/>
      <c r="CO64" s="2154"/>
    </row>
    <row r="65" spans="1:93" ht="24.6" customHeight="1" outlineLevel="2">
      <c r="A65" s="2346"/>
      <c r="B65" s="3907" t="s">
        <v>36</v>
      </c>
      <c r="C65" s="3931"/>
      <c r="D65" s="3930"/>
      <c r="E65" s="3924">
        <f t="shared" si="213"/>
        <v>0</v>
      </c>
      <c r="F65" s="3350">
        <f t="shared" si="232"/>
        <v>0</v>
      </c>
      <c r="G65" s="2541"/>
      <c r="H65" s="2179">
        <v>4400</v>
      </c>
      <c r="I65" s="2212">
        <v>1500</v>
      </c>
      <c r="J65" s="2180">
        <f t="shared" si="235"/>
        <v>5900</v>
      </c>
      <c r="K65" s="3350">
        <f t="shared" si="116"/>
        <v>1.7156700315220926E-2</v>
      </c>
      <c r="L65" s="2187"/>
      <c r="M65" s="2011">
        <v>19200</v>
      </c>
      <c r="N65" s="2045">
        <v>6300</v>
      </c>
      <c r="O65" s="2012">
        <f t="shared" si="215"/>
        <v>25500</v>
      </c>
      <c r="P65" s="3350">
        <f t="shared" si="195"/>
        <v>3.4871467897836864E-3</v>
      </c>
      <c r="Q65" s="2046"/>
      <c r="R65" s="2011">
        <f t="shared" si="216"/>
        <v>0</v>
      </c>
      <c r="S65" s="2045">
        <f t="shared" si="216"/>
        <v>0</v>
      </c>
      <c r="T65" s="2012">
        <f t="shared" si="217"/>
        <v>0</v>
      </c>
      <c r="U65" s="3350">
        <f t="shared" si="196"/>
        <v>0</v>
      </c>
      <c r="V65" s="2046"/>
      <c r="W65" s="2541"/>
      <c r="X65" s="2179"/>
      <c r="Y65" s="2212"/>
      <c r="Z65" s="2180">
        <f t="shared" si="218"/>
        <v>0</v>
      </c>
      <c r="AA65" s="3350" t="e">
        <f t="shared" si="197"/>
        <v>#DIV/0!</v>
      </c>
      <c r="AB65" s="2187"/>
      <c r="AC65" s="2179"/>
      <c r="AD65" s="2212"/>
      <c r="AE65" s="2180">
        <f t="shared" si="219"/>
        <v>0</v>
      </c>
      <c r="AF65" s="3350" t="e">
        <f t="shared" si="198"/>
        <v>#DIV/0!</v>
      </c>
      <c r="AG65" s="2187"/>
      <c r="AH65" s="2179"/>
      <c r="AI65" s="2212"/>
      <c r="AJ65" s="2180">
        <f t="shared" si="220"/>
        <v>0</v>
      </c>
      <c r="AK65" s="3350">
        <f t="shared" si="200"/>
        <v>0</v>
      </c>
      <c r="AL65" s="2187"/>
      <c r="AM65" s="2179"/>
      <c r="AN65" s="2212"/>
      <c r="AO65" s="2180">
        <f t="shared" si="221"/>
        <v>0</v>
      </c>
      <c r="AP65" s="3350" t="e">
        <f t="shared" si="200"/>
        <v>#DIV/0!</v>
      </c>
      <c r="AQ65" s="2187"/>
      <c r="AR65" s="2179"/>
      <c r="AS65" s="2212"/>
      <c r="AT65" s="2180">
        <f t="shared" si="222"/>
        <v>0</v>
      </c>
      <c r="AU65" s="3350" t="e">
        <f t="shared" si="200"/>
        <v>#DIV/0!</v>
      </c>
      <c r="AV65" s="2187"/>
      <c r="AW65" s="2179"/>
      <c r="AX65" s="2212"/>
      <c r="AY65" s="2180">
        <f t="shared" si="223"/>
        <v>0</v>
      </c>
      <c r="AZ65" s="3350" t="e">
        <f t="shared" si="200"/>
        <v>#DIV/0!</v>
      </c>
      <c r="BA65" s="2187"/>
      <c r="BB65" s="2179"/>
      <c r="BC65" s="2212"/>
      <c r="BD65" s="2180">
        <f t="shared" si="224"/>
        <v>0</v>
      </c>
      <c r="BE65" s="3350" t="e">
        <f t="shared" si="205"/>
        <v>#DIV/0!</v>
      </c>
      <c r="BF65" s="2187"/>
      <c r="BG65" s="2179"/>
      <c r="BH65" s="2212"/>
      <c r="BI65" s="2180">
        <f t="shared" si="225"/>
        <v>0</v>
      </c>
      <c r="BJ65" s="3350" t="e">
        <f t="shared" si="205"/>
        <v>#DIV/0!</v>
      </c>
      <c r="BK65" s="2187"/>
      <c r="BL65" s="2179"/>
      <c r="BM65" s="2212"/>
      <c r="BN65" s="2180">
        <f t="shared" si="226"/>
        <v>0</v>
      </c>
      <c r="BO65" s="3350" t="e">
        <f t="shared" si="205"/>
        <v>#DIV/0!</v>
      </c>
      <c r="BP65" s="2187"/>
      <c r="BQ65" s="2179"/>
      <c r="BR65" s="2212"/>
      <c r="BS65" s="2180">
        <f t="shared" si="227"/>
        <v>0</v>
      </c>
      <c r="BT65" s="3350" t="e">
        <f t="shared" si="205"/>
        <v>#DIV/0!</v>
      </c>
      <c r="BU65" s="2187"/>
      <c r="BV65" s="2179"/>
      <c r="BW65" s="2212"/>
      <c r="BX65" s="2180">
        <f t="shared" si="228"/>
        <v>0</v>
      </c>
      <c r="BY65" s="3350" t="e">
        <f t="shared" si="210"/>
        <v>#DIV/0!</v>
      </c>
      <c r="BZ65" s="2187"/>
      <c r="CA65" s="2179"/>
      <c r="CB65" s="2212"/>
      <c r="CC65" s="2180">
        <f t="shared" si="229"/>
        <v>0</v>
      </c>
      <c r="CD65" s="3350" t="e">
        <f t="shared" si="210"/>
        <v>#DIV/0!</v>
      </c>
      <c r="CE65" s="2187"/>
      <c r="CF65" s="2184">
        <f t="shared" si="230"/>
        <v>23600</v>
      </c>
      <c r="CG65" s="2181">
        <f t="shared" si="230"/>
        <v>7800</v>
      </c>
      <c r="CH65" s="2180">
        <f t="shared" si="231"/>
        <v>31400</v>
      </c>
      <c r="CI65" s="3350">
        <f t="shared" si="212"/>
        <v>3.8278297746476568E-3</v>
      </c>
      <c r="CJ65" s="3360"/>
      <c r="CK65" s="3244"/>
      <c r="CL65" s="3217">
        <f t="shared" ref="CL65" si="236">CH65-CK65</f>
        <v>31400</v>
      </c>
      <c r="CM65" s="3211" t="s">
        <v>1817</v>
      </c>
      <c r="CN65" s="2154"/>
      <c r="CO65" s="2154"/>
    </row>
    <row r="66" spans="1:93" s="1396" customFormat="1" ht="24.6" customHeight="1" outlineLevel="2">
      <c r="A66" s="2346"/>
      <c r="B66" s="3907" t="s">
        <v>37</v>
      </c>
      <c r="C66" s="3931"/>
      <c r="D66" s="3930"/>
      <c r="E66" s="3924">
        <f t="shared" si="213"/>
        <v>0</v>
      </c>
      <c r="F66" s="3350">
        <f t="shared" si="232"/>
        <v>0</v>
      </c>
      <c r="G66" s="2541"/>
      <c r="H66" s="2179">
        <v>0</v>
      </c>
      <c r="I66" s="2181">
        <v>0</v>
      </c>
      <c r="J66" s="2180">
        <f t="shared" si="235"/>
        <v>0</v>
      </c>
      <c r="K66" s="3350">
        <f t="shared" si="116"/>
        <v>0</v>
      </c>
      <c r="L66" s="2187"/>
      <c r="M66" s="2011">
        <v>0</v>
      </c>
      <c r="N66" s="2045">
        <v>0</v>
      </c>
      <c r="O66" s="2012">
        <f t="shared" si="215"/>
        <v>0</v>
      </c>
      <c r="P66" s="3350">
        <f t="shared" si="195"/>
        <v>0</v>
      </c>
      <c r="Q66" s="2046"/>
      <c r="R66" s="2011">
        <f t="shared" si="216"/>
        <v>0</v>
      </c>
      <c r="S66" s="2045">
        <f t="shared" si="216"/>
        <v>0</v>
      </c>
      <c r="T66" s="2012">
        <f t="shared" si="217"/>
        <v>0</v>
      </c>
      <c r="U66" s="3350">
        <f t="shared" si="196"/>
        <v>0</v>
      </c>
      <c r="V66" s="2046"/>
      <c r="W66" s="2541"/>
      <c r="X66" s="2179"/>
      <c r="Y66" s="2212"/>
      <c r="Z66" s="2180">
        <f t="shared" si="218"/>
        <v>0</v>
      </c>
      <c r="AA66" s="3350" t="e">
        <f t="shared" si="197"/>
        <v>#DIV/0!</v>
      </c>
      <c r="AB66" s="2187"/>
      <c r="AC66" s="2179"/>
      <c r="AD66" s="2212"/>
      <c r="AE66" s="2180">
        <f t="shared" si="219"/>
        <v>0</v>
      </c>
      <c r="AF66" s="3350" t="e">
        <f t="shared" si="198"/>
        <v>#DIV/0!</v>
      </c>
      <c r="AG66" s="2187"/>
      <c r="AH66" s="2179"/>
      <c r="AI66" s="2212"/>
      <c r="AJ66" s="2180">
        <f t="shared" si="220"/>
        <v>0</v>
      </c>
      <c r="AK66" s="3350">
        <f t="shared" si="200"/>
        <v>0</v>
      </c>
      <c r="AL66" s="2187"/>
      <c r="AM66" s="2179"/>
      <c r="AN66" s="2212"/>
      <c r="AO66" s="2180">
        <f t="shared" si="221"/>
        <v>0</v>
      </c>
      <c r="AP66" s="3350" t="e">
        <f t="shared" si="200"/>
        <v>#DIV/0!</v>
      </c>
      <c r="AQ66" s="2187"/>
      <c r="AR66" s="2179"/>
      <c r="AS66" s="2212"/>
      <c r="AT66" s="2180">
        <f t="shared" si="222"/>
        <v>0</v>
      </c>
      <c r="AU66" s="3350" t="e">
        <f t="shared" si="200"/>
        <v>#DIV/0!</v>
      </c>
      <c r="AV66" s="2187"/>
      <c r="AW66" s="2179"/>
      <c r="AX66" s="2212"/>
      <c r="AY66" s="2180">
        <f t="shared" si="223"/>
        <v>0</v>
      </c>
      <c r="AZ66" s="3350" t="e">
        <f t="shared" si="200"/>
        <v>#DIV/0!</v>
      </c>
      <c r="BA66" s="2187"/>
      <c r="BB66" s="2179"/>
      <c r="BC66" s="2212"/>
      <c r="BD66" s="2180">
        <f t="shared" si="224"/>
        <v>0</v>
      </c>
      <c r="BE66" s="3350" t="e">
        <f t="shared" si="205"/>
        <v>#DIV/0!</v>
      </c>
      <c r="BF66" s="2187"/>
      <c r="BG66" s="2179"/>
      <c r="BH66" s="2212"/>
      <c r="BI66" s="2180">
        <f t="shared" si="225"/>
        <v>0</v>
      </c>
      <c r="BJ66" s="3350" t="e">
        <f t="shared" si="205"/>
        <v>#DIV/0!</v>
      </c>
      <c r="BK66" s="2187"/>
      <c r="BL66" s="2179"/>
      <c r="BM66" s="2212"/>
      <c r="BN66" s="2180">
        <f t="shared" si="226"/>
        <v>0</v>
      </c>
      <c r="BO66" s="3350" t="e">
        <f t="shared" si="205"/>
        <v>#DIV/0!</v>
      </c>
      <c r="BP66" s="2187"/>
      <c r="BQ66" s="2179"/>
      <c r="BR66" s="2212"/>
      <c r="BS66" s="2180">
        <f t="shared" si="227"/>
        <v>0</v>
      </c>
      <c r="BT66" s="3350" t="e">
        <f t="shared" si="205"/>
        <v>#DIV/0!</v>
      </c>
      <c r="BU66" s="2187"/>
      <c r="BV66" s="2179"/>
      <c r="BW66" s="2212"/>
      <c r="BX66" s="2180">
        <f t="shared" si="228"/>
        <v>0</v>
      </c>
      <c r="BY66" s="3350" t="e">
        <f t="shared" si="210"/>
        <v>#DIV/0!</v>
      </c>
      <c r="BZ66" s="2187"/>
      <c r="CA66" s="2179"/>
      <c r="CB66" s="2212"/>
      <c r="CC66" s="2180">
        <f t="shared" si="229"/>
        <v>0</v>
      </c>
      <c r="CD66" s="3350" t="e">
        <f t="shared" si="210"/>
        <v>#DIV/0!</v>
      </c>
      <c r="CE66" s="2187"/>
      <c r="CF66" s="2184">
        <f t="shared" si="230"/>
        <v>0</v>
      </c>
      <c r="CG66" s="2181">
        <f t="shared" si="230"/>
        <v>0</v>
      </c>
      <c r="CH66" s="2180">
        <f t="shared" si="231"/>
        <v>0</v>
      </c>
      <c r="CI66" s="3350">
        <f t="shared" si="212"/>
        <v>0</v>
      </c>
      <c r="CJ66" s="3360"/>
      <c r="CK66" s="3213"/>
      <c r="CL66" s="3213"/>
      <c r="CM66" s="3211"/>
      <c r="CN66" s="2192"/>
      <c r="CO66" s="2192"/>
    </row>
    <row r="67" spans="1:93" s="1396" customFormat="1" ht="24.6" customHeight="1" outlineLevel="2">
      <c r="A67" s="2346"/>
      <c r="B67" s="3907" t="s">
        <v>3</v>
      </c>
      <c r="C67" s="3931"/>
      <c r="D67" s="3930"/>
      <c r="E67" s="3924">
        <f t="shared" si="213"/>
        <v>0</v>
      </c>
      <c r="F67" s="3350">
        <f t="shared" si="232"/>
        <v>0</v>
      </c>
      <c r="G67" s="2541"/>
      <c r="H67" s="2179">
        <v>0</v>
      </c>
      <c r="I67" s="2179">
        <v>0</v>
      </c>
      <c r="J67" s="2180">
        <f>H67+I67*1</f>
        <v>0</v>
      </c>
      <c r="K67" s="3350">
        <f t="shared" si="116"/>
        <v>0</v>
      </c>
      <c r="L67" s="2187"/>
      <c r="M67" s="2011">
        <v>0</v>
      </c>
      <c r="N67" s="2045">
        <v>0</v>
      </c>
      <c r="O67" s="2012">
        <f t="shared" si="215"/>
        <v>0</v>
      </c>
      <c r="P67" s="3350">
        <f t="shared" si="195"/>
        <v>0</v>
      </c>
      <c r="Q67" s="2046"/>
      <c r="R67" s="2011">
        <f t="shared" si="216"/>
        <v>0</v>
      </c>
      <c r="S67" s="2045">
        <f t="shared" si="216"/>
        <v>0</v>
      </c>
      <c r="T67" s="2012">
        <f t="shared" si="217"/>
        <v>0</v>
      </c>
      <c r="U67" s="3350">
        <f t="shared" si="196"/>
        <v>0</v>
      </c>
      <c r="V67" s="2046"/>
      <c r="W67" s="2541"/>
      <c r="X67" s="2179"/>
      <c r="Y67" s="2212"/>
      <c r="Z67" s="2180">
        <f t="shared" si="218"/>
        <v>0</v>
      </c>
      <c r="AA67" s="3350" t="e">
        <f t="shared" si="197"/>
        <v>#DIV/0!</v>
      </c>
      <c r="AB67" s="2187"/>
      <c r="AC67" s="2179"/>
      <c r="AD67" s="2212"/>
      <c r="AE67" s="2180">
        <f t="shared" si="219"/>
        <v>0</v>
      </c>
      <c r="AF67" s="3350" t="e">
        <f t="shared" si="198"/>
        <v>#DIV/0!</v>
      </c>
      <c r="AG67" s="2187"/>
      <c r="AH67" s="2179"/>
      <c r="AI67" s="2212"/>
      <c r="AJ67" s="2180">
        <f t="shared" si="220"/>
        <v>0</v>
      </c>
      <c r="AK67" s="3350">
        <f t="shared" si="200"/>
        <v>0</v>
      </c>
      <c r="AL67" s="2187"/>
      <c r="AM67" s="2179"/>
      <c r="AN67" s="2212"/>
      <c r="AO67" s="2180">
        <f t="shared" si="221"/>
        <v>0</v>
      </c>
      <c r="AP67" s="3350" t="e">
        <f t="shared" si="200"/>
        <v>#DIV/0!</v>
      </c>
      <c r="AQ67" s="2187"/>
      <c r="AR67" s="2179"/>
      <c r="AS67" s="2212"/>
      <c r="AT67" s="2180">
        <f t="shared" si="222"/>
        <v>0</v>
      </c>
      <c r="AU67" s="3350" t="e">
        <f t="shared" si="200"/>
        <v>#DIV/0!</v>
      </c>
      <c r="AV67" s="2187"/>
      <c r="AW67" s="2179"/>
      <c r="AX67" s="2212"/>
      <c r="AY67" s="2180">
        <f t="shared" si="223"/>
        <v>0</v>
      </c>
      <c r="AZ67" s="3350" t="e">
        <f t="shared" si="200"/>
        <v>#DIV/0!</v>
      </c>
      <c r="BA67" s="2187"/>
      <c r="BB67" s="2179"/>
      <c r="BC67" s="2212"/>
      <c r="BD67" s="2180">
        <f t="shared" si="224"/>
        <v>0</v>
      </c>
      <c r="BE67" s="3350" t="e">
        <f t="shared" si="205"/>
        <v>#DIV/0!</v>
      </c>
      <c r="BF67" s="2187"/>
      <c r="BG67" s="2179"/>
      <c r="BH67" s="2212"/>
      <c r="BI67" s="2180">
        <f t="shared" si="225"/>
        <v>0</v>
      </c>
      <c r="BJ67" s="3350" t="e">
        <f t="shared" si="205"/>
        <v>#DIV/0!</v>
      </c>
      <c r="BK67" s="2187"/>
      <c r="BL67" s="2179"/>
      <c r="BM67" s="2212"/>
      <c r="BN67" s="2180">
        <f t="shared" si="226"/>
        <v>0</v>
      </c>
      <c r="BO67" s="3350" t="e">
        <f t="shared" si="205"/>
        <v>#DIV/0!</v>
      </c>
      <c r="BP67" s="2187"/>
      <c r="BQ67" s="2179"/>
      <c r="BR67" s="2212"/>
      <c r="BS67" s="2180">
        <f t="shared" si="227"/>
        <v>0</v>
      </c>
      <c r="BT67" s="3350" t="e">
        <f t="shared" si="205"/>
        <v>#DIV/0!</v>
      </c>
      <c r="BU67" s="2187"/>
      <c r="BV67" s="2179"/>
      <c r="BW67" s="2212"/>
      <c r="BX67" s="2180">
        <f t="shared" si="228"/>
        <v>0</v>
      </c>
      <c r="BY67" s="3350" t="e">
        <f t="shared" si="210"/>
        <v>#DIV/0!</v>
      </c>
      <c r="BZ67" s="2187"/>
      <c r="CA67" s="2179"/>
      <c r="CB67" s="2212"/>
      <c r="CC67" s="2180">
        <f t="shared" si="229"/>
        <v>0</v>
      </c>
      <c r="CD67" s="3350" t="e">
        <f t="shared" si="210"/>
        <v>#DIV/0!</v>
      </c>
      <c r="CE67" s="2187"/>
      <c r="CF67" s="2184">
        <f t="shared" si="230"/>
        <v>0</v>
      </c>
      <c r="CG67" s="2181">
        <f t="shared" si="230"/>
        <v>0</v>
      </c>
      <c r="CH67" s="2180">
        <f t="shared" si="231"/>
        <v>0</v>
      </c>
      <c r="CI67" s="3350">
        <f t="shared" si="212"/>
        <v>0</v>
      </c>
      <c r="CJ67" s="3360"/>
      <c r="CK67" s="3213"/>
      <c r="CL67" s="3213"/>
      <c r="CM67" s="3211"/>
      <c r="CN67" s="2192"/>
      <c r="CO67" s="2192"/>
    </row>
    <row r="68" spans="1:93" s="1396" customFormat="1" ht="24.6" customHeight="1" outlineLevel="2">
      <c r="A68" s="2346"/>
      <c r="B68" s="3907" t="s">
        <v>5</v>
      </c>
      <c r="C68" s="3931"/>
      <c r="D68" s="3930">
        <v>5000</v>
      </c>
      <c r="E68" s="3924">
        <f t="shared" si="213"/>
        <v>5000</v>
      </c>
      <c r="F68" s="3350">
        <f t="shared" si="232"/>
        <v>8.4148549213231634E-4</v>
      </c>
      <c r="G68" s="2541"/>
      <c r="H68" s="2179">
        <v>0</v>
      </c>
      <c r="I68" s="2181">
        <v>437</v>
      </c>
      <c r="J68" s="2180">
        <f t="shared" ref="J68:J71" si="237">H68+I68*1</f>
        <v>437</v>
      </c>
      <c r="K68" s="3350">
        <f t="shared" si="116"/>
        <v>1.2707589894494144E-3</v>
      </c>
      <c r="L68" s="2187"/>
      <c r="M68" s="2011">
        <v>0</v>
      </c>
      <c r="N68" s="2045">
        <v>2521.66</v>
      </c>
      <c r="O68" s="2012">
        <f t="shared" si="215"/>
        <v>2521.66</v>
      </c>
      <c r="P68" s="3350">
        <f t="shared" si="195"/>
        <v>3.4483915976180117E-4</v>
      </c>
      <c r="Q68" s="2046"/>
      <c r="R68" s="2011">
        <f t="shared" si="216"/>
        <v>0</v>
      </c>
      <c r="S68" s="2045">
        <f t="shared" si="216"/>
        <v>0</v>
      </c>
      <c r="T68" s="2012">
        <f t="shared" si="217"/>
        <v>0</v>
      </c>
      <c r="U68" s="3350">
        <f t="shared" si="196"/>
        <v>0</v>
      </c>
      <c r="V68" s="2046"/>
      <c r="W68" s="2541"/>
      <c r="X68" s="2179"/>
      <c r="Y68" s="2212"/>
      <c r="Z68" s="2180">
        <f t="shared" si="218"/>
        <v>0</v>
      </c>
      <c r="AA68" s="3350" t="e">
        <f t="shared" si="197"/>
        <v>#DIV/0!</v>
      </c>
      <c r="AB68" s="2187"/>
      <c r="AC68" s="2179"/>
      <c r="AD68" s="2212"/>
      <c r="AE68" s="2180">
        <f t="shared" si="219"/>
        <v>0</v>
      </c>
      <c r="AF68" s="3350" t="e">
        <f t="shared" si="198"/>
        <v>#DIV/0!</v>
      </c>
      <c r="AG68" s="2187"/>
      <c r="AH68" s="2179"/>
      <c r="AI68" s="2212"/>
      <c r="AJ68" s="2180">
        <f t="shared" si="220"/>
        <v>0</v>
      </c>
      <c r="AK68" s="3350">
        <f t="shared" si="200"/>
        <v>0</v>
      </c>
      <c r="AL68" s="2187"/>
      <c r="AM68" s="2179"/>
      <c r="AN68" s="2212"/>
      <c r="AO68" s="2180">
        <f t="shared" si="221"/>
        <v>0</v>
      </c>
      <c r="AP68" s="3350" t="e">
        <f t="shared" si="200"/>
        <v>#DIV/0!</v>
      </c>
      <c r="AQ68" s="2187"/>
      <c r="AR68" s="2179"/>
      <c r="AS68" s="2212"/>
      <c r="AT68" s="2180">
        <f t="shared" si="222"/>
        <v>0</v>
      </c>
      <c r="AU68" s="3350" t="e">
        <f t="shared" si="200"/>
        <v>#DIV/0!</v>
      </c>
      <c r="AV68" s="2187"/>
      <c r="AW68" s="2179"/>
      <c r="AX68" s="2212"/>
      <c r="AY68" s="2180">
        <f t="shared" si="223"/>
        <v>0</v>
      </c>
      <c r="AZ68" s="3350" t="e">
        <f t="shared" si="200"/>
        <v>#DIV/0!</v>
      </c>
      <c r="BA68" s="2187"/>
      <c r="BB68" s="2179"/>
      <c r="BC68" s="2212"/>
      <c r="BD68" s="2180">
        <f t="shared" si="224"/>
        <v>0</v>
      </c>
      <c r="BE68" s="3350" t="e">
        <f t="shared" si="205"/>
        <v>#DIV/0!</v>
      </c>
      <c r="BF68" s="2187"/>
      <c r="BG68" s="2179"/>
      <c r="BH68" s="2212"/>
      <c r="BI68" s="2180">
        <f t="shared" si="225"/>
        <v>0</v>
      </c>
      <c r="BJ68" s="3350" t="e">
        <f t="shared" si="205"/>
        <v>#DIV/0!</v>
      </c>
      <c r="BK68" s="2187"/>
      <c r="BL68" s="2179"/>
      <c r="BM68" s="2212"/>
      <c r="BN68" s="2180">
        <f t="shared" si="226"/>
        <v>0</v>
      </c>
      <c r="BO68" s="3350" t="e">
        <f t="shared" si="205"/>
        <v>#DIV/0!</v>
      </c>
      <c r="BP68" s="2187"/>
      <c r="BQ68" s="2179"/>
      <c r="BR68" s="2212"/>
      <c r="BS68" s="2180">
        <f t="shared" si="227"/>
        <v>0</v>
      </c>
      <c r="BT68" s="3350" t="e">
        <f t="shared" si="205"/>
        <v>#DIV/0!</v>
      </c>
      <c r="BU68" s="2187"/>
      <c r="BV68" s="2179"/>
      <c r="BW68" s="2212"/>
      <c r="BX68" s="2180">
        <f t="shared" si="228"/>
        <v>0</v>
      </c>
      <c r="BY68" s="3350" t="e">
        <f t="shared" si="210"/>
        <v>#DIV/0!</v>
      </c>
      <c r="BZ68" s="2187"/>
      <c r="CA68" s="2179"/>
      <c r="CB68" s="2212"/>
      <c r="CC68" s="2180">
        <f t="shared" si="229"/>
        <v>0</v>
      </c>
      <c r="CD68" s="3350" t="e">
        <f t="shared" si="210"/>
        <v>#DIV/0!</v>
      </c>
      <c r="CE68" s="2187"/>
      <c r="CF68" s="2184">
        <f t="shared" si="230"/>
        <v>0</v>
      </c>
      <c r="CG68" s="2181">
        <f t="shared" si="230"/>
        <v>2958.66</v>
      </c>
      <c r="CH68" s="2180">
        <f t="shared" si="231"/>
        <v>2958.66</v>
      </c>
      <c r="CI68" s="3350">
        <f t="shared" si="212"/>
        <v>3.6067665098914127E-4</v>
      </c>
      <c r="CJ68" s="3360"/>
      <c r="CK68" s="3210">
        <v>2958.66</v>
      </c>
      <c r="CL68" s="3210">
        <f t="shared" ref="CL68:CL69" si="238">CH68-CK68</f>
        <v>0</v>
      </c>
      <c r="CM68" s="3211"/>
      <c r="CN68" s="2192"/>
      <c r="CO68" s="2192"/>
    </row>
    <row r="69" spans="1:93" s="1396" customFormat="1" ht="24.6" customHeight="1" outlineLevel="2">
      <c r="A69" s="2346"/>
      <c r="B69" s="3907" t="s">
        <v>42</v>
      </c>
      <c r="C69" s="3931">
        <v>15672.945465078181</v>
      </c>
      <c r="D69" s="3930"/>
      <c r="E69" s="3924">
        <f t="shared" si="213"/>
        <v>15672.945465078181</v>
      </c>
      <c r="F69" s="3350">
        <f t="shared" si="232"/>
        <v>2.6377112455688535E-3</v>
      </c>
      <c r="G69" s="2541"/>
      <c r="H69" s="2179">
        <v>0</v>
      </c>
      <c r="I69" s="2181">
        <v>0</v>
      </c>
      <c r="J69" s="2180">
        <f t="shared" si="237"/>
        <v>0</v>
      </c>
      <c r="K69" s="3350">
        <f t="shared" si="116"/>
        <v>0</v>
      </c>
      <c r="L69" s="3421"/>
      <c r="M69" s="2011">
        <v>22584</v>
      </c>
      <c r="N69" s="2045">
        <v>0</v>
      </c>
      <c r="O69" s="2012">
        <f t="shared" si="215"/>
        <v>22584</v>
      </c>
      <c r="P69" s="3350">
        <f t="shared" si="195"/>
        <v>3.0883812980578343E-3</v>
      </c>
      <c r="Q69" s="2046"/>
      <c r="R69" s="2011">
        <f t="shared" si="216"/>
        <v>0</v>
      </c>
      <c r="S69" s="2045">
        <f t="shared" si="216"/>
        <v>0</v>
      </c>
      <c r="T69" s="2012">
        <f t="shared" si="217"/>
        <v>0</v>
      </c>
      <c r="U69" s="3350">
        <f t="shared" si="196"/>
        <v>0</v>
      </c>
      <c r="V69" s="2046"/>
      <c r="W69" s="2541"/>
      <c r="X69" s="2179"/>
      <c r="Y69" s="2212"/>
      <c r="Z69" s="2180">
        <f t="shared" si="218"/>
        <v>0</v>
      </c>
      <c r="AA69" s="3350" t="e">
        <f>Z69/Z$89</f>
        <v>#DIV/0!</v>
      </c>
      <c r="AB69" s="2187"/>
      <c r="AC69" s="2179"/>
      <c r="AD69" s="2212"/>
      <c r="AE69" s="2180">
        <f t="shared" si="219"/>
        <v>0</v>
      </c>
      <c r="AF69" s="3350" t="e">
        <f>AE69/AE$89</f>
        <v>#DIV/0!</v>
      </c>
      <c r="AG69" s="2187"/>
      <c r="AH69" s="2179"/>
      <c r="AI69" s="2212"/>
      <c r="AJ69" s="2180">
        <f t="shared" si="220"/>
        <v>0</v>
      </c>
      <c r="AK69" s="3350">
        <f t="shared" si="200"/>
        <v>0</v>
      </c>
      <c r="AL69" s="2187"/>
      <c r="AM69" s="2179"/>
      <c r="AN69" s="2212"/>
      <c r="AO69" s="2180">
        <f t="shared" si="221"/>
        <v>0</v>
      </c>
      <c r="AP69" s="3350" t="e">
        <f t="shared" si="200"/>
        <v>#DIV/0!</v>
      </c>
      <c r="AQ69" s="2187"/>
      <c r="AR69" s="2179"/>
      <c r="AS69" s="2212"/>
      <c r="AT69" s="2180">
        <f t="shared" si="222"/>
        <v>0</v>
      </c>
      <c r="AU69" s="3350" t="e">
        <f t="shared" si="200"/>
        <v>#DIV/0!</v>
      </c>
      <c r="AV69" s="2187"/>
      <c r="AW69" s="2179"/>
      <c r="AX69" s="2212"/>
      <c r="AY69" s="2180">
        <f t="shared" si="223"/>
        <v>0</v>
      </c>
      <c r="AZ69" s="3350" t="e">
        <f t="shared" si="200"/>
        <v>#DIV/0!</v>
      </c>
      <c r="BA69" s="2187"/>
      <c r="BB69" s="2179"/>
      <c r="BC69" s="2212"/>
      <c r="BD69" s="2180">
        <f t="shared" si="224"/>
        <v>0</v>
      </c>
      <c r="BE69" s="3350" t="e">
        <f t="shared" si="205"/>
        <v>#DIV/0!</v>
      </c>
      <c r="BF69" s="2187"/>
      <c r="BG69" s="2179"/>
      <c r="BH69" s="2212"/>
      <c r="BI69" s="2180">
        <f t="shared" si="225"/>
        <v>0</v>
      </c>
      <c r="BJ69" s="3350" t="e">
        <f t="shared" si="205"/>
        <v>#DIV/0!</v>
      </c>
      <c r="BK69" s="2187"/>
      <c r="BL69" s="2179"/>
      <c r="BM69" s="2212"/>
      <c r="BN69" s="2180">
        <f t="shared" si="226"/>
        <v>0</v>
      </c>
      <c r="BO69" s="3350" t="e">
        <f t="shared" si="205"/>
        <v>#DIV/0!</v>
      </c>
      <c r="BP69" s="2187"/>
      <c r="BQ69" s="2179"/>
      <c r="BR69" s="2212"/>
      <c r="BS69" s="2180">
        <f t="shared" si="227"/>
        <v>0</v>
      </c>
      <c r="BT69" s="3350" t="e">
        <f t="shared" si="205"/>
        <v>#DIV/0!</v>
      </c>
      <c r="BU69" s="2187"/>
      <c r="BV69" s="2179"/>
      <c r="BW69" s="2212"/>
      <c r="BX69" s="2180">
        <f t="shared" si="228"/>
        <v>0</v>
      </c>
      <c r="BY69" s="3350" t="e">
        <f t="shared" si="210"/>
        <v>#DIV/0!</v>
      </c>
      <c r="BZ69" s="2187"/>
      <c r="CA69" s="2179"/>
      <c r="CB69" s="2212"/>
      <c r="CC69" s="2180">
        <f t="shared" si="229"/>
        <v>0</v>
      </c>
      <c r="CD69" s="3350" t="e">
        <f t="shared" si="210"/>
        <v>#DIV/0!</v>
      </c>
      <c r="CE69" s="2187"/>
      <c r="CF69" s="2184">
        <f t="shared" si="230"/>
        <v>22584</v>
      </c>
      <c r="CG69" s="2181">
        <f t="shared" si="230"/>
        <v>0</v>
      </c>
      <c r="CH69" s="2180">
        <f t="shared" si="231"/>
        <v>22584</v>
      </c>
      <c r="CI69" s="3350">
        <f t="shared" si="212"/>
        <v>2.7531117079822509E-3</v>
      </c>
      <c r="CJ69" s="3360"/>
      <c r="CK69" s="3210">
        <v>22584</v>
      </c>
      <c r="CL69" s="3210">
        <f t="shared" si="238"/>
        <v>0</v>
      </c>
      <c r="CM69" s="3211"/>
      <c r="CN69" s="2192"/>
      <c r="CO69" s="2192"/>
    </row>
    <row r="70" spans="1:93" s="1396" customFormat="1" ht="24.6" customHeight="1" outlineLevel="2">
      <c r="A70" s="2346"/>
      <c r="B70" s="3907" t="s">
        <v>6</v>
      </c>
      <c r="C70" s="3931"/>
      <c r="D70" s="3930"/>
      <c r="E70" s="3924">
        <f t="shared" si="213"/>
        <v>0</v>
      </c>
      <c r="F70" s="3350">
        <f t="shared" si="232"/>
        <v>0</v>
      </c>
      <c r="G70" s="2541"/>
      <c r="H70" s="2179">
        <v>0</v>
      </c>
      <c r="I70" s="2184">
        <v>0</v>
      </c>
      <c r="J70" s="2180">
        <f t="shared" si="237"/>
        <v>0</v>
      </c>
      <c r="K70" s="3350">
        <f t="shared" si="116"/>
        <v>0</v>
      </c>
      <c r="L70" s="2187"/>
      <c r="M70" s="2011">
        <v>0</v>
      </c>
      <c r="N70" s="2045">
        <v>0</v>
      </c>
      <c r="O70" s="2012">
        <f t="shared" si="215"/>
        <v>0</v>
      </c>
      <c r="P70" s="3350">
        <f t="shared" si="195"/>
        <v>0</v>
      </c>
      <c r="Q70" s="2046"/>
      <c r="R70" s="2011">
        <f t="shared" si="216"/>
        <v>0</v>
      </c>
      <c r="S70" s="2045">
        <f t="shared" si="216"/>
        <v>0</v>
      </c>
      <c r="T70" s="2012">
        <f t="shared" si="217"/>
        <v>0</v>
      </c>
      <c r="U70" s="3350">
        <f t="shared" si="196"/>
        <v>0</v>
      </c>
      <c r="V70" s="2046"/>
      <c r="W70" s="2541"/>
      <c r="X70" s="2179"/>
      <c r="Y70" s="2212"/>
      <c r="Z70" s="2180">
        <f t="shared" si="218"/>
        <v>0</v>
      </c>
      <c r="AA70" s="3350" t="e">
        <f t="shared" ref="AA70:AA71" si="239">Z70/Z$89</f>
        <v>#DIV/0!</v>
      </c>
      <c r="AB70" s="2187"/>
      <c r="AC70" s="2179"/>
      <c r="AD70" s="2212"/>
      <c r="AE70" s="2180">
        <f t="shared" si="219"/>
        <v>0</v>
      </c>
      <c r="AF70" s="3350" t="e">
        <f t="shared" ref="AF70:AF71" si="240">AE70/AE$89</f>
        <v>#DIV/0!</v>
      </c>
      <c r="AG70" s="2187"/>
      <c r="AH70" s="2179"/>
      <c r="AI70" s="2212"/>
      <c r="AJ70" s="2180">
        <f t="shared" si="220"/>
        <v>0</v>
      </c>
      <c r="AK70" s="3350">
        <f t="shared" ref="AK70:AZ71" si="241">AJ70/AJ$89</f>
        <v>0</v>
      </c>
      <c r="AL70" s="2187"/>
      <c r="AM70" s="2179"/>
      <c r="AN70" s="2212"/>
      <c r="AO70" s="2180">
        <f t="shared" si="221"/>
        <v>0</v>
      </c>
      <c r="AP70" s="3350" t="e">
        <f t="shared" si="241"/>
        <v>#DIV/0!</v>
      </c>
      <c r="AQ70" s="2187"/>
      <c r="AR70" s="2179"/>
      <c r="AS70" s="2212"/>
      <c r="AT70" s="2180">
        <f t="shared" si="222"/>
        <v>0</v>
      </c>
      <c r="AU70" s="3350" t="e">
        <f t="shared" si="241"/>
        <v>#DIV/0!</v>
      </c>
      <c r="AV70" s="2187"/>
      <c r="AW70" s="2179"/>
      <c r="AX70" s="2212"/>
      <c r="AY70" s="2180">
        <f t="shared" si="223"/>
        <v>0</v>
      </c>
      <c r="AZ70" s="3350" t="e">
        <f t="shared" si="241"/>
        <v>#DIV/0!</v>
      </c>
      <c r="BA70" s="2187"/>
      <c r="BB70" s="2179"/>
      <c r="BC70" s="2212"/>
      <c r="BD70" s="2180">
        <f t="shared" si="224"/>
        <v>0</v>
      </c>
      <c r="BE70" s="3350" t="e">
        <f t="shared" ref="BE70:BT71" si="242">BD70/BD$89</f>
        <v>#DIV/0!</v>
      </c>
      <c r="BF70" s="2187"/>
      <c r="BG70" s="2179"/>
      <c r="BH70" s="2212"/>
      <c r="BI70" s="2180">
        <f t="shared" si="225"/>
        <v>0</v>
      </c>
      <c r="BJ70" s="3350" t="e">
        <f t="shared" si="242"/>
        <v>#DIV/0!</v>
      </c>
      <c r="BK70" s="2187"/>
      <c r="BL70" s="2179"/>
      <c r="BM70" s="2212"/>
      <c r="BN70" s="2180">
        <f t="shared" si="226"/>
        <v>0</v>
      </c>
      <c r="BO70" s="3350" t="e">
        <f t="shared" si="242"/>
        <v>#DIV/0!</v>
      </c>
      <c r="BP70" s="2187"/>
      <c r="BQ70" s="2179"/>
      <c r="BR70" s="2212"/>
      <c r="BS70" s="2180">
        <f t="shared" si="227"/>
        <v>0</v>
      </c>
      <c r="BT70" s="3350" t="e">
        <f t="shared" si="242"/>
        <v>#DIV/0!</v>
      </c>
      <c r="BU70" s="2187"/>
      <c r="BV70" s="2179"/>
      <c r="BW70" s="2212"/>
      <c r="BX70" s="2180">
        <f t="shared" si="228"/>
        <v>0</v>
      </c>
      <c r="BY70" s="3350" t="e">
        <f t="shared" ref="BY70:CD71" si="243">BX70/BX$89</f>
        <v>#DIV/0!</v>
      </c>
      <c r="BZ70" s="2187"/>
      <c r="CA70" s="2179"/>
      <c r="CB70" s="2212"/>
      <c r="CC70" s="2180">
        <f t="shared" si="229"/>
        <v>0</v>
      </c>
      <c r="CD70" s="3350" t="e">
        <f t="shared" si="243"/>
        <v>#DIV/0!</v>
      </c>
      <c r="CE70" s="2187"/>
      <c r="CF70" s="2184">
        <f t="shared" si="230"/>
        <v>0</v>
      </c>
      <c r="CG70" s="2181">
        <f t="shared" si="230"/>
        <v>0</v>
      </c>
      <c r="CH70" s="2180">
        <f t="shared" si="231"/>
        <v>0</v>
      </c>
      <c r="CI70" s="3350">
        <f>CH70/$CH$89</f>
        <v>0</v>
      </c>
      <c r="CJ70" s="3360"/>
      <c r="CK70" s="3213"/>
      <c r="CL70" s="3213"/>
      <c r="CM70" s="3211"/>
      <c r="CN70" s="2192"/>
      <c r="CO70" s="2192"/>
    </row>
    <row r="71" spans="1:93" s="1396" customFormat="1" ht="24.6" customHeight="1" outlineLevel="2">
      <c r="A71" s="2346"/>
      <c r="B71" s="3907" t="s">
        <v>235</v>
      </c>
      <c r="C71" s="3931"/>
      <c r="D71" s="3930"/>
      <c r="E71" s="3924">
        <f t="shared" si="213"/>
        <v>0</v>
      </c>
      <c r="F71" s="3303">
        <f t="shared" si="232"/>
        <v>0</v>
      </c>
      <c r="G71" s="2542"/>
      <c r="H71" s="2184">
        <v>0</v>
      </c>
      <c r="I71" s="2181">
        <v>0</v>
      </c>
      <c r="J71" s="2180">
        <f t="shared" si="237"/>
        <v>0</v>
      </c>
      <c r="K71" s="3350">
        <f t="shared" si="116"/>
        <v>0</v>
      </c>
      <c r="L71" s="2187"/>
      <c r="M71" s="2011">
        <v>49000</v>
      </c>
      <c r="N71" s="2045">
        <v>0</v>
      </c>
      <c r="O71" s="2012">
        <f t="shared" si="215"/>
        <v>49000</v>
      </c>
      <c r="P71" s="3350">
        <f t="shared" si="195"/>
        <v>6.7007918705647308E-3</v>
      </c>
      <c r="Q71" s="2046"/>
      <c r="R71" s="2011">
        <f t="shared" si="216"/>
        <v>0</v>
      </c>
      <c r="S71" s="2045">
        <f t="shared" si="216"/>
        <v>0</v>
      </c>
      <c r="T71" s="2012">
        <f t="shared" si="217"/>
        <v>0</v>
      </c>
      <c r="U71" s="3350">
        <f t="shared" si="196"/>
        <v>0</v>
      </c>
      <c r="V71" s="2046"/>
      <c r="W71" s="2542"/>
      <c r="X71" s="2179"/>
      <c r="Y71" s="2212"/>
      <c r="Z71" s="2180">
        <f t="shared" si="218"/>
        <v>0</v>
      </c>
      <c r="AA71" s="3350" t="e">
        <f t="shared" si="239"/>
        <v>#DIV/0!</v>
      </c>
      <c r="AB71" s="2187"/>
      <c r="AC71" s="2179"/>
      <c r="AD71" s="2212"/>
      <c r="AE71" s="2180">
        <f t="shared" si="219"/>
        <v>0</v>
      </c>
      <c r="AF71" s="3350" t="e">
        <f t="shared" si="240"/>
        <v>#DIV/0!</v>
      </c>
      <c r="AG71" s="2187"/>
      <c r="AH71" s="2179"/>
      <c r="AI71" s="2212"/>
      <c r="AJ71" s="2180">
        <f t="shared" si="220"/>
        <v>0</v>
      </c>
      <c r="AK71" s="3350">
        <f t="shared" si="241"/>
        <v>0</v>
      </c>
      <c r="AL71" s="2187"/>
      <c r="AM71" s="2179"/>
      <c r="AN71" s="2212"/>
      <c r="AO71" s="2180">
        <f t="shared" si="221"/>
        <v>0</v>
      </c>
      <c r="AP71" s="3350" t="e">
        <f t="shared" si="241"/>
        <v>#DIV/0!</v>
      </c>
      <c r="AQ71" s="2187"/>
      <c r="AR71" s="2179"/>
      <c r="AS71" s="2212"/>
      <c r="AT71" s="2180">
        <f t="shared" si="222"/>
        <v>0</v>
      </c>
      <c r="AU71" s="3350" t="e">
        <f t="shared" si="241"/>
        <v>#DIV/0!</v>
      </c>
      <c r="AV71" s="2187"/>
      <c r="AW71" s="2179"/>
      <c r="AX71" s="2212"/>
      <c r="AY71" s="2180">
        <f t="shared" si="223"/>
        <v>0</v>
      </c>
      <c r="AZ71" s="3350" t="e">
        <f t="shared" si="241"/>
        <v>#DIV/0!</v>
      </c>
      <c r="BA71" s="2187"/>
      <c r="BB71" s="2179"/>
      <c r="BC71" s="2212"/>
      <c r="BD71" s="2180">
        <f t="shared" si="224"/>
        <v>0</v>
      </c>
      <c r="BE71" s="3350" t="e">
        <f t="shared" si="242"/>
        <v>#DIV/0!</v>
      </c>
      <c r="BF71" s="2187"/>
      <c r="BG71" s="2179"/>
      <c r="BH71" s="2212"/>
      <c r="BI71" s="2180">
        <f t="shared" si="225"/>
        <v>0</v>
      </c>
      <c r="BJ71" s="3350" t="e">
        <f t="shared" si="242"/>
        <v>#DIV/0!</v>
      </c>
      <c r="BK71" s="2187"/>
      <c r="BL71" s="2179"/>
      <c r="BM71" s="2212"/>
      <c r="BN71" s="2180">
        <f t="shared" si="226"/>
        <v>0</v>
      </c>
      <c r="BO71" s="3350" t="e">
        <f t="shared" si="242"/>
        <v>#DIV/0!</v>
      </c>
      <c r="BP71" s="2187"/>
      <c r="BQ71" s="2179"/>
      <c r="BR71" s="2212"/>
      <c r="BS71" s="2180">
        <f t="shared" si="227"/>
        <v>0</v>
      </c>
      <c r="BT71" s="3350" t="e">
        <f t="shared" si="242"/>
        <v>#DIV/0!</v>
      </c>
      <c r="BU71" s="2187"/>
      <c r="BV71" s="2179"/>
      <c r="BW71" s="2212"/>
      <c r="BX71" s="2180">
        <f t="shared" si="228"/>
        <v>0</v>
      </c>
      <c r="BY71" s="3350" t="e">
        <f t="shared" si="243"/>
        <v>#DIV/0!</v>
      </c>
      <c r="BZ71" s="2187"/>
      <c r="CA71" s="2179"/>
      <c r="CB71" s="2212"/>
      <c r="CC71" s="2180">
        <f t="shared" si="229"/>
        <v>0</v>
      </c>
      <c r="CD71" s="3350" t="e">
        <f t="shared" si="243"/>
        <v>#DIV/0!</v>
      </c>
      <c r="CE71" s="2187"/>
      <c r="CF71" s="2184">
        <f t="shared" si="230"/>
        <v>49000</v>
      </c>
      <c r="CG71" s="2181">
        <f t="shared" si="230"/>
        <v>0</v>
      </c>
      <c r="CH71" s="2180">
        <f t="shared" si="231"/>
        <v>49000</v>
      </c>
      <c r="CI71" s="3350">
        <f t="shared" si="212"/>
        <v>5.9733649349597191E-3</v>
      </c>
      <c r="CJ71" s="3360"/>
      <c r="CK71" s="3210">
        <v>49000</v>
      </c>
      <c r="CL71" s="3210">
        <f t="shared" ref="CL71" si="244">CH71-CK71</f>
        <v>0</v>
      </c>
      <c r="CM71" s="3211"/>
      <c r="CN71" s="2192"/>
      <c r="CO71" s="2192"/>
    </row>
    <row r="72" spans="1:93" s="1396" customFormat="1" ht="24.6" customHeight="1" outlineLevel="2" thickBot="1">
      <c r="A72" s="2346"/>
      <c r="B72" s="3932"/>
      <c r="C72" s="3933"/>
      <c r="D72" s="3934"/>
      <c r="E72" s="3252"/>
      <c r="F72" s="3303"/>
      <c r="G72" s="2542"/>
      <c r="H72" s="2354"/>
      <c r="I72" s="2198"/>
      <c r="J72" s="2353"/>
      <c r="K72" s="3303"/>
      <c r="L72" s="3846"/>
      <c r="M72" s="2029"/>
      <c r="N72" s="2027"/>
      <c r="O72" s="2030"/>
      <c r="P72" s="3303"/>
      <c r="Q72" s="3846"/>
      <c r="R72" s="2029"/>
      <c r="S72" s="2027"/>
      <c r="T72" s="2030"/>
      <c r="U72" s="3303"/>
      <c r="V72" s="3846"/>
      <c r="W72" s="2542"/>
      <c r="X72" s="2354"/>
      <c r="Y72" s="2198"/>
      <c r="Z72" s="2353"/>
      <c r="AA72" s="2353"/>
      <c r="AB72" s="3846"/>
      <c r="AC72" s="2354"/>
      <c r="AD72" s="2198"/>
      <c r="AE72" s="2353"/>
      <c r="AF72" s="2353"/>
      <c r="AG72" s="3846"/>
      <c r="AH72" s="2354"/>
      <c r="AI72" s="2198"/>
      <c r="AJ72" s="2353"/>
      <c r="AK72" s="2353"/>
      <c r="AL72" s="3846"/>
      <c r="AM72" s="2354"/>
      <c r="AN72" s="2198"/>
      <c r="AO72" s="2353"/>
      <c r="AP72" s="2353"/>
      <c r="AQ72" s="3846"/>
      <c r="AR72" s="2354"/>
      <c r="AS72" s="2198"/>
      <c r="AT72" s="2353"/>
      <c r="AU72" s="2353"/>
      <c r="AV72" s="3846"/>
      <c r="AW72" s="2354"/>
      <c r="AX72" s="2198"/>
      <c r="AY72" s="2353"/>
      <c r="AZ72" s="2353"/>
      <c r="BA72" s="3846"/>
      <c r="BB72" s="2354"/>
      <c r="BC72" s="2198"/>
      <c r="BD72" s="2353"/>
      <c r="BE72" s="2353"/>
      <c r="BF72" s="3846"/>
      <c r="BG72" s="2354"/>
      <c r="BH72" s="2198"/>
      <c r="BI72" s="2353"/>
      <c r="BJ72" s="2353"/>
      <c r="BK72" s="3846"/>
      <c r="BL72" s="2354"/>
      <c r="BM72" s="2198"/>
      <c r="BN72" s="2353"/>
      <c r="BO72" s="2353"/>
      <c r="BP72" s="3846"/>
      <c r="BQ72" s="2354"/>
      <c r="BR72" s="2198"/>
      <c r="BS72" s="2353"/>
      <c r="BT72" s="2353"/>
      <c r="BU72" s="3846"/>
      <c r="BV72" s="2354"/>
      <c r="BW72" s="2198"/>
      <c r="BX72" s="2353"/>
      <c r="BY72" s="2353"/>
      <c r="BZ72" s="3846"/>
      <c r="CA72" s="2354"/>
      <c r="CB72" s="2198"/>
      <c r="CC72" s="2353"/>
      <c r="CD72" s="2353"/>
      <c r="CE72" s="3846"/>
      <c r="CF72" s="2354"/>
      <c r="CG72" s="2198"/>
      <c r="CH72" s="2353"/>
      <c r="CI72" s="3303">
        <f>CH72/$CH$89</f>
        <v>0</v>
      </c>
      <c r="CJ72" s="3304"/>
      <c r="CK72" s="3213"/>
      <c r="CL72" s="3213"/>
      <c r="CM72" s="3211"/>
      <c r="CN72" s="2192"/>
      <c r="CO72" s="2192"/>
    </row>
    <row r="73" spans="1:93" s="1396" customFormat="1" ht="14.4" customHeight="1" outlineLevel="1" thickBot="1">
      <c r="A73" s="2346"/>
      <c r="B73" s="3258" t="s">
        <v>4</v>
      </c>
      <c r="C73" s="2356">
        <f>C74</f>
        <v>235094.18197617267</v>
      </c>
      <c r="D73" s="2357">
        <f>D74</f>
        <v>0</v>
      </c>
      <c r="E73" s="2356">
        <f>E74</f>
        <v>235094.18197617267</v>
      </c>
      <c r="F73" s="838">
        <f>E73/$E$89</f>
        <v>3.9565668683532798E-2</v>
      </c>
      <c r="G73" s="969"/>
      <c r="H73" s="2356">
        <f>H74</f>
        <v>0</v>
      </c>
      <c r="I73" s="2356">
        <f>I74</f>
        <v>0</v>
      </c>
      <c r="J73" s="2359">
        <f>J74</f>
        <v>0</v>
      </c>
      <c r="K73" s="2358"/>
      <c r="L73" s="3259"/>
      <c r="M73" s="1584">
        <f>M74</f>
        <v>0</v>
      </c>
      <c r="N73" s="1584">
        <f>N74</f>
        <v>0</v>
      </c>
      <c r="O73" s="1688">
        <f>O74</f>
        <v>0</v>
      </c>
      <c r="P73" s="1689">
        <f t="shared" ref="P73:P74" si="245">O73/O$89</f>
        <v>0</v>
      </c>
      <c r="Q73" s="1732"/>
      <c r="R73" s="1584">
        <f>R74</f>
        <v>0</v>
      </c>
      <c r="S73" s="1584">
        <f>S74</f>
        <v>0</v>
      </c>
      <c r="T73" s="1688">
        <f>T74</f>
        <v>0</v>
      </c>
      <c r="U73" s="1689">
        <f t="shared" ref="U73:U74" si="246">T73/T$89</f>
        <v>0</v>
      </c>
      <c r="V73" s="1732"/>
      <c r="W73" s="969"/>
      <c r="X73" s="2356">
        <f>X74</f>
        <v>0</v>
      </c>
      <c r="Y73" s="2356">
        <f>Y74</f>
        <v>0</v>
      </c>
      <c r="Z73" s="2359">
        <f>Z74</f>
        <v>0</v>
      </c>
      <c r="AA73" s="2358"/>
      <c r="AB73" s="3259"/>
      <c r="AC73" s="2356">
        <f>AC74</f>
        <v>0</v>
      </c>
      <c r="AD73" s="2356">
        <f>AD74</f>
        <v>0</v>
      </c>
      <c r="AE73" s="2359">
        <f>AE74</f>
        <v>0</v>
      </c>
      <c r="AF73" s="2358"/>
      <c r="AG73" s="3259"/>
      <c r="AH73" s="2356">
        <f t="shared" ref="AH73:AJ73" si="247">AH74</f>
        <v>0</v>
      </c>
      <c r="AI73" s="2356">
        <f t="shared" si="247"/>
        <v>0</v>
      </c>
      <c r="AJ73" s="2359">
        <f t="shared" si="247"/>
        <v>0</v>
      </c>
      <c r="AK73" s="2358"/>
      <c r="AL73" s="3259"/>
      <c r="AM73" s="2356">
        <f t="shared" ref="AM73:AO73" si="248">AM74</f>
        <v>0</v>
      </c>
      <c r="AN73" s="2356">
        <f t="shared" si="248"/>
        <v>0</v>
      </c>
      <c r="AO73" s="2359">
        <f t="shared" si="248"/>
        <v>0</v>
      </c>
      <c r="AP73" s="2358"/>
      <c r="AQ73" s="3259"/>
      <c r="AR73" s="2356">
        <f t="shared" ref="AR73:AT73" si="249">AR74</f>
        <v>0</v>
      </c>
      <c r="AS73" s="2356">
        <f t="shared" si="249"/>
        <v>0</v>
      </c>
      <c r="AT73" s="2359">
        <f t="shared" si="249"/>
        <v>0</v>
      </c>
      <c r="AU73" s="2358"/>
      <c r="AV73" s="3259"/>
      <c r="AW73" s="2356">
        <f t="shared" ref="AW73:AY73" si="250">AW74</f>
        <v>0</v>
      </c>
      <c r="AX73" s="2356">
        <f t="shared" si="250"/>
        <v>0</v>
      </c>
      <c r="AY73" s="2359">
        <f t="shared" si="250"/>
        <v>0</v>
      </c>
      <c r="AZ73" s="2358"/>
      <c r="BA73" s="3259"/>
      <c r="BB73" s="2356">
        <f t="shared" ref="BB73:BD73" si="251">BB74</f>
        <v>0</v>
      </c>
      <c r="BC73" s="2356">
        <f t="shared" si="251"/>
        <v>0</v>
      </c>
      <c r="BD73" s="2359">
        <f t="shared" si="251"/>
        <v>0</v>
      </c>
      <c r="BE73" s="2358"/>
      <c r="BF73" s="3259"/>
      <c r="BG73" s="2356">
        <f t="shared" ref="BG73:BI73" si="252">BG74</f>
        <v>0</v>
      </c>
      <c r="BH73" s="2356">
        <f t="shared" si="252"/>
        <v>0</v>
      </c>
      <c r="BI73" s="2359">
        <f t="shared" si="252"/>
        <v>0</v>
      </c>
      <c r="BJ73" s="2358"/>
      <c r="BK73" s="3259"/>
      <c r="BL73" s="2356">
        <f t="shared" ref="BL73:BN73" si="253">BL74</f>
        <v>0</v>
      </c>
      <c r="BM73" s="2356">
        <f t="shared" si="253"/>
        <v>0</v>
      </c>
      <c r="BN73" s="2359">
        <f t="shared" si="253"/>
        <v>0</v>
      </c>
      <c r="BO73" s="2358"/>
      <c r="BP73" s="3259"/>
      <c r="BQ73" s="2356">
        <f t="shared" ref="BQ73:BS73" si="254">BQ74</f>
        <v>0</v>
      </c>
      <c r="BR73" s="2356">
        <f t="shared" si="254"/>
        <v>0</v>
      </c>
      <c r="BS73" s="2359">
        <f t="shared" si="254"/>
        <v>0</v>
      </c>
      <c r="BT73" s="2358"/>
      <c r="BU73" s="3259"/>
      <c r="BV73" s="2356">
        <f t="shared" ref="BV73:BX73" si="255">BV74</f>
        <v>0</v>
      </c>
      <c r="BW73" s="2356">
        <f t="shared" si="255"/>
        <v>0</v>
      </c>
      <c r="BX73" s="2359">
        <f t="shared" si="255"/>
        <v>0</v>
      </c>
      <c r="BY73" s="2358"/>
      <c r="BZ73" s="3259"/>
      <c r="CA73" s="2356">
        <f t="shared" ref="CA73:CC73" si="256">CA74</f>
        <v>0</v>
      </c>
      <c r="CB73" s="2356">
        <f t="shared" si="256"/>
        <v>0</v>
      </c>
      <c r="CC73" s="2359">
        <f t="shared" si="256"/>
        <v>0</v>
      </c>
      <c r="CD73" s="2358"/>
      <c r="CE73" s="3259"/>
      <c r="CF73" s="2356">
        <f>CF74</f>
        <v>0</v>
      </c>
      <c r="CG73" s="2358">
        <f>CG74</f>
        <v>0</v>
      </c>
      <c r="CH73" s="2359">
        <f>CH74</f>
        <v>0</v>
      </c>
      <c r="CI73" s="2358"/>
      <c r="CJ73" s="2358"/>
      <c r="CK73" s="3213"/>
      <c r="CL73" s="3213"/>
      <c r="CM73" s="3211"/>
      <c r="CN73" s="2192"/>
      <c r="CO73" s="2192"/>
    </row>
    <row r="74" spans="1:93" s="1396" customFormat="1" ht="14.4" customHeight="1" outlineLevel="1" thickBot="1">
      <c r="A74" s="2334"/>
      <c r="B74" s="3260" t="s">
        <v>64</v>
      </c>
      <c r="C74" s="3261">
        <v>235094.18197617267</v>
      </c>
      <c r="D74" s="2365"/>
      <c r="E74" s="2366">
        <f>C74+D74</f>
        <v>235094.18197617267</v>
      </c>
      <c r="F74" s="2367"/>
      <c r="G74" s="3262"/>
      <c r="H74" s="2247"/>
      <c r="I74" s="2244"/>
      <c r="J74" s="2243"/>
      <c r="K74" s="1664" t="e">
        <f>J74/$Z$89</f>
        <v>#DIV/0!</v>
      </c>
      <c r="L74" s="3222"/>
      <c r="M74" s="2028">
        <v>0</v>
      </c>
      <c r="N74" s="2025">
        <v>0</v>
      </c>
      <c r="O74" s="1628">
        <f>M74+N74*1</f>
        <v>0</v>
      </c>
      <c r="P74" s="3360">
        <f t="shared" si="245"/>
        <v>0</v>
      </c>
      <c r="Q74" s="1675"/>
      <c r="R74" s="2028">
        <f t="shared" ref="R74:S74" si="257">X74+AC74+AH74+AM74+AR74+AW74+BB74+BG74+BL74+BQ74+BV74+CA74</f>
        <v>0</v>
      </c>
      <c r="S74" s="2025">
        <f t="shared" si="257"/>
        <v>0</v>
      </c>
      <c r="T74" s="1628">
        <f>R74+S74*1</f>
        <v>0</v>
      </c>
      <c r="U74" s="3360">
        <f t="shared" si="246"/>
        <v>0</v>
      </c>
      <c r="V74" s="1675"/>
      <c r="W74" s="3262"/>
      <c r="X74" s="2247"/>
      <c r="Y74" s="2244"/>
      <c r="Z74" s="2243">
        <f>X74+Y74*1</f>
        <v>0</v>
      </c>
      <c r="AA74" s="1664"/>
      <c r="AB74" s="3222"/>
      <c r="AC74" s="2247"/>
      <c r="AD74" s="2244"/>
      <c r="AE74" s="2243">
        <f>AC74+AD74*1</f>
        <v>0</v>
      </c>
      <c r="AF74" s="1664"/>
      <c r="AG74" s="3222"/>
      <c r="AH74" s="2247"/>
      <c r="AI74" s="2244"/>
      <c r="AJ74" s="2243">
        <f t="shared" ref="AJ74" si="258">AH74+AI74*1</f>
        <v>0</v>
      </c>
      <c r="AK74" s="1664"/>
      <c r="AL74" s="3222"/>
      <c r="AM74" s="2247"/>
      <c r="AN74" s="2244"/>
      <c r="AO74" s="2243">
        <f t="shared" ref="AO74" si="259">AM74+AN74*1</f>
        <v>0</v>
      </c>
      <c r="AP74" s="1664"/>
      <c r="AQ74" s="3222"/>
      <c r="AR74" s="2247"/>
      <c r="AS74" s="2244"/>
      <c r="AT74" s="2243">
        <f t="shared" ref="AT74" si="260">AR74+AS74*1</f>
        <v>0</v>
      </c>
      <c r="AU74" s="1664"/>
      <c r="AV74" s="3222"/>
      <c r="AW74" s="2247"/>
      <c r="AX74" s="2244"/>
      <c r="AY74" s="2243">
        <f t="shared" ref="AY74" si="261">AW74+AX74*1</f>
        <v>0</v>
      </c>
      <c r="AZ74" s="1664"/>
      <c r="BA74" s="3222"/>
      <c r="BB74" s="2247"/>
      <c r="BC74" s="2244"/>
      <c r="BD74" s="2243">
        <f t="shared" ref="BD74" si="262">BB74+BC74*1</f>
        <v>0</v>
      </c>
      <c r="BE74" s="1664"/>
      <c r="BF74" s="3222"/>
      <c r="BG74" s="2247"/>
      <c r="BH74" s="2244"/>
      <c r="BI74" s="2243">
        <f t="shared" ref="BI74" si="263">BG74+BH74*1</f>
        <v>0</v>
      </c>
      <c r="BJ74" s="1664"/>
      <c r="BK74" s="3222"/>
      <c r="BL74" s="2247"/>
      <c r="BM74" s="2244"/>
      <c r="BN74" s="2243">
        <f t="shared" ref="BN74" si="264">BL74+BM74*1</f>
        <v>0</v>
      </c>
      <c r="BO74" s="1664"/>
      <c r="BP74" s="3222"/>
      <c r="BQ74" s="2247"/>
      <c r="BR74" s="2244"/>
      <c r="BS74" s="2243">
        <f t="shared" ref="BS74" si="265">BQ74+BR74*1</f>
        <v>0</v>
      </c>
      <c r="BT74" s="1664"/>
      <c r="BU74" s="3222"/>
      <c r="BV74" s="2247"/>
      <c r="BW74" s="2244"/>
      <c r="BX74" s="2243">
        <f t="shared" ref="BX74" si="266">BV74+BW74*1</f>
        <v>0</v>
      </c>
      <c r="BY74" s="1664"/>
      <c r="BZ74" s="3222"/>
      <c r="CA74" s="2247"/>
      <c r="CB74" s="2244"/>
      <c r="CC74" s="2243">
        <f t="shared" ref="CC74" si="267">CA74+CB74*1</f>
        <v>0</v>
      </c>
      <c r="CD74" s="1664"/>
      <c r="CE74" s="3222"/>
      <c r="CF74" s="2184">
        <f>H74+M74+R74</f>
        <v>0</v>
      </c>
      <c r="CG74" s="2181">
        <f>I74+N74+S74</f>
        <v>0</v>
      </c>
      <c r="CH74" s="2243">
        <f>CF74+CG74*1</f>
        <v>0</v>
      </c>
      <c r="CI74" s="1664">
        <f>CH74/$CH$89</f>
        <v>0</v>
      </c>
      <c r="CJ74" s="2369"/>
      <c r="CK74" s="3210">
        <v>240697.28759999998</v>
      </c>
      <c r="CL74" s="3210">
        <f>CH74-CK74</f>
        <v>-240697.28759999998</v>
      </c>
      <c r="CM74" s="3211"/>
      <c r="CN74" s="2192"/>
      <c r="CO74" s="2192"/>
    </row>
    <row r="75" spans="1:93" s="1396" customFormat="1" ht="14.4" customHeight="1" thickBot="1">
      <c r="A75" s="1399"/>
      <c r="B75" s="3238" t="s">
        <v>48</v>
      </c>
      <c r="C75" s="2373">
        <f>C38-C41-C50-C54</f>
        <v>3161784.4540915438</v>
      </c>
      <c r="D75" s="2373">
        <f>D38-D41-D50-D54</f>
        <v>-948670.17249999999</v>
      </c>
      <c r="E75" s="2374">
        <f>E38-E41-E50-E54</f>
        <v>2213114.2815915435</v>
      </c>
      <c r="F75" s="2375"/>
      <c r="G75" s="2379"/>
      <c r="H75" s="2376">
        <f>H38-H41-H50-H54</f>
        <v>-211439.03000000003</v>
      </c>
      <c r="I75" s="2376">
        <f>I38-I41-I50-I54</f>
        <v>-113051</v>
      </c>
      <c r="J75" s="2374">
        <f>J38-J41-J50-J54</f>
        <v>-324490.03000000003</v>
      </c>
      <c r="K75" s="2377"/>
      <c r="L75" s="3263"/>
      <c r="M75" s="1450">
        <f>M38-M41-M50-M54</f>
        <v>2212136.3239999986</v>
      </c>
      <c r="N75" s="1450">
        <f>N38-N41-N50-N54</f>
        <v>-1227640.8299999998</v>
      </c>
      <c r="O75" s="1508">
        <f>O38-O41-O50-O54</f>
        <v>984495.49399999878</v>
      </c>
      <c r="P75" s="1953"/>
      <c r="Q75" s="1660"/>
      <c r="R75" s="1450">
        <f>R38-R41-R50-R54</f>
        <v>-546624.06600000011</v>
      </c>
      <c r="S75" s="1450">
        <f>S38-S41-S50-S54</f>
        <v>0</v>
      </c>
      <c r="T75" s="1508">
        <f>T38-T41-T50-T54</f>
        <v>-546624.06600000011</v>
      </c>
      <c r="U75" s="1953"/>
      <c r="V75" s="1660"/>
      <c r="W75" s="2379"/>
      <c r="X75" s="2376">
        <f>X38-X41-X50-X54</f>
        <v>0</v>
      </c>
      <c r="Y75" s="2376">
        <f>Y38-Y41-Y50-Y54</f>
        <v>0</v>
      </c>
      <c r="Z75" s="2374">
        <f>Z38-Z41-Z50-Z54</f>
        <v>0</v>
      </c>
      <c r="AA75" s="2377"/>
      <c r="AB75" s="3263"/>
      <c r="AC75" s="2376">
        <f>AC38-AC41-AC50-AC54</f>
        <v>0</v>
      </c>
      <c r="AD75" s="2376">
        <f>AD38-AD41-AD50-AD54</f>
        <v>0</v>
      </c>
      <c r="AE75" s="2374">
        <f>AE38-AE41-AE50-AE54</f>
        <v>0</v>
      </c>
      <c r="AF75" s="2377"/>
      <c r="AG75" s="3263"/>
      <c r="AH75" s="2376">
        <f t="shared" ref="AH75:AJ75" si="268">AH38-AH41-AH50-AH54</f>
        <v>-546624.06600000011</v>
      </c>
      <c r="AI75" s="2376">
        <f t="shared" si="268"/>
        <v>0</v>
      </c>
      <c r="AJ75" s="2374">
        <f t="shared" si="268"/>
        <v>-546624.06600000011</v>
      </c>
      <c r="AK75" s="2377"/>
      <c r="AL75" s="3263"/>
      <c r="AM75" s="2376">
        <f t="shared" ref="AM75:AO75" si="269">AM38-AM41-AM50-AM54</f>
        <v>0</v>
      </c>
      <c r="AN75" s="2376">
        <f t="shared" si="269"/>
        <v>0</v>
      </c>
      <c r="AO75" s="2374">
        <f t="shared" si="269"/>
        <v>0</v>
      </c>
      <c r="AP75" s="2377"/>
      <c r="AQ75" s="3263"/>
      <c r="AR75" s="2376">
        <f t="shared" ref="AR75:AT75" si="270">AR38-AR41-AR50-AR54</f>
        <v>0</v>
      </c>
      <c r="AS75" s="2376">
        <f t="shared" si="270"/>
        <v>0</v>
      </c>
      <c r="AT75" s="2374">
        <f t="shared" si="270"/>
        <v>0</v>
      </c>
      <c r="AU75" s="2377"/>
      <c r="AV75" s="3263"/>
      <c r="AW75" s="2376">
        <f t="shared" ref="AW75:AY75" si="271">AW38-AW41-AW50-AW54</f>
        <v>0</v>
      </c>
      <c r="AX75" s="2376">
        <f t="shared" si="271"/>
        <v>0</v>
      </c>
      <c r="AY75" s="2374">
        <f t="shared" si="271"/>
        <v>0</v>
      </c>
      <c r="AZ75" s="2377"/>
      <c r="BA75" s="3263"/>
      <c r="BB75" s="2376">
        <f t="shared" ref="BB75:BD75" si="272">BB38-BB41-BB50-BB54</f>
        <v>0</v>
      </c>
      <c r="BC75" s="2376">
        <f t="shared" si="272"/>
        <v>0</v>
      </c>
      <c r="BD75" s="2374">
        <f t="shared" si="272"/>
        <v>0</v>
      </c>
      <c r="BE75" s="2377"/>
      <c r="BF75" s="3263"/>
      <c r="BG75" s="2376">
        <f t="shared" ref="BG75:BI75" si="273">BG38-BG41-BG50-BG54</f>
        <v>0</v>
      </c>
      <c r="BH75" s="2376">
        <f t="shared" si="273"/>
        <v>0</v>
      </c>
      <c r="BI75" s="2374">
        <f t="shared" si="273"/>
        <v>0</v>
      </c>
      <c r="BJ75" s="2377"/>
      <c r="BK75" s="3263"/>
      <c r="BL75" s="2376">
        <f t="shared" ref="BL75:BN75" si="274">BL38-BL41-BL50-BL54</f>
        <v>0</v>
      </c>
      <c r="BM75" s="2376">
        <f t="shared" si="274"/>
        <v>0</v>
      </c>
      <c r="BN75" s="2374">
        <f t="shared" si="274"/>
        <v>0</v>
      </c>
      <c r="BO75" s="2377"/>
      <c r="BP75" s="3263"/>
      <c r="BQ75" s="2376">
        <f t="shared" ref="BQ75:BS75" si="275">BQ38-BQ41-BQ50-BQ54</f>
        <v>0</v>
      </c>
      <c r="BR75" s="2376">
        <f t="shared" si="275"/>
        <v>0</v>
      </c>
      <c r="BS75" s="2374">
        <f t="shared" si="275"/>
        <v>0</v>
      </c>
      <c r="BT75" s="2377"/>
      <c r="BU75" s="3263"/>
      <c r="BV75" s="2376">
        <f t="shared" ref="BV75:BX75" si="276">BV38-BV41-BV50-BV54</f>
        <v>0</v>
      </c>
      <c r="BW75" s="2376">
        <f t="shared" si="276"/>
        <v>0</v>
      </c>
      <c r="BX75" s="2374">
        <f t="shared" si="276"/>
        <v>0</v>
      </c>
      <c r="BY75" s="2377"/>
      <c r="BZ75" s="3263"/>
      <c r="CA75" s="2376">
        <f t="shared" ref="CA75:CC75" si="277">CA38-CA41-CA50-CA54</f>
        <v>0</v>
      </c>
      <c r="CB75" s="2376">
        <f t="shared" si="277"/>
        <v>0</v>
      </c>
      <c r="CC75" s="2374">
        <f t="shared" si="277"/>
        <v>0</v>
      </c>
      <c r="CD75" s="2377"/>
      <c r="CE75" s="3263"/>
      <c r="CF75" s="2376">
        <f>CF38-CF41-CF50-CF54</f>
        <v>1454073.2279999992</v>
      </c>
      <c r="CG75" s="2376">
        <f>CG38-CG41-CG50-CG54</f>
        <v>-1340691.8299999998</v>
      </c>
      <c r="CH75" s="2374">
        <f>CH38-CH41-CH50-CH54</f>
        <v>113381.39799999929</v>
      </c>
      <c r="CI75" s="2377"/>
      <c r="CJ75" s="2377"/>
      <c r="CK75" s="3213"/>
      <c r="CL75" s="3213"/>
      <c r="CM75" s="3211"/>
      <c r="CN75" s="2192"/>
      <c r="CO75" s="2192"/>
    </row>
    <row r="76" spans="1:93" s="1396" customFormat="1" ht="14.4" customHeight="1">
      <c r="A76" s="2382"/>
      <c r="B76" s="3240" t="s">
        <v>49</v>
      </c>
      <c r="C76" s="1525">
        <f>C75/C5</f>
        <v>0.4034703573921703</v>
      </c>
      <c r="D76" s="1525" t="e">
        <f>D75/D5</f>
        <v>#DIV/0!</v>
      </c>
      <c r="E76" s="1526">
        <f>E75/E5</f>
        <v>0.28241204392916636</v>
      </c>
      <c r="F76" s="2293"/>
      <c r="G76" s="2297"/>
      <c r="H76" s="2294" t="e">
        <f>H75/H5</f>
        <v>#DIV/0!</v>
      </c>
      <c r="I76" s="2294" t="e">
        <f>I75/I5</f>
        <v>#DIV/0!</v>
      </c>
      <c r="J76" s="2295" t="e">
        <f>J75/J5</f>
        <v>#DIV/0!</v>
      </c>
      <c r="K76" s="2295"/>
      <c r="L76" s="3264"/>
      <c r="M76" s="2003">
        <f>M75/M5</f>
        <v>0.27034259473814953</v>
      </c>
      <c r="N76" s="2003" t="e">
        <f>N75/N5</f>
        <v>#DIV/0!</v>
      </c>
      <c r="O76" s="2004">
        <f>O75/O5</f>
        <v>0.12031404369994703</v>
      </c>
      <c r="P76" s="2004"/>
      <c r="Q76" s="1661"/>
      <c r="R76" s="2003" t="e">
        <f>R75/R5</f>
        <v>#DIV/0!</v>
      </c>
      <c r="S76" s="2003" t="e">
        <f>S75/S5</f>
        <v>#DIV/0!</v>
      </c>
      <c r="T76" s="2004" t="e">
        <f>T75/T5</f>
        <v>#DIV/0!</v>
      </c>
      <c r="U76" s="2004"/>
      <c r="V76" s="1661"/>
      <c r="W76" s="2297"/>
      <c r="X76" s="2294" t="e">
        <f>X75/X5</f>
        <v>#DIV/0!</v>
      </c>
      <c r="Y76" s="2294" t="e">
        <f>Y75/Y5</f>
        <v>#DIV/0!</v>
      </c>
      <c r="Z76" s="2295" t="e">
        <f>Z75/Z5</f>
        <v>#DIV/0!</v>
      </c>
      <c r="AA76" s="2295"/>
      <c r="AB76" s="3264"/>
      <c r="AC76" s="2294" t="e">
        <f>AC75/AC5</f>
        <v>#DIV/0!</v>
      </c>
      <c r="AD76" s="2294" t="e">
        <f>AD75/AD5</f>
        <v>#DIV/0!</v>
      </c>
      <c r="AE76" s="2295" t="e">
        <f>AE75/AE5</f>
        <v>#DIV/0!</v>
      </c>
      <c r="AF76" s="2295"/>
      <c r="AG76" s="3264"/>
      <c r="AH76" s="2294" t="e">
        <f t="shared" ref="AH76:AJ76" si="278">AH75/AH5</f>
        <v>#DIV/0!</v>
      </c>
      <c r="AI76" s="2294" t="e">
        <f t="shared" si="278"/>
        <v>#DIV/0!</v>
      </c>
      <c r="AJ76" s="2295" t="e">
        <f t="shared" si="278"/>
        <v>#DIV/0!</v>
      </c>
      <c r="AK76" s="2295"/>
      <c r="AL76" s="3264"/>
      <c r="AM76" s="2294" t="e">
        <f t="shared" ref="AM76:AO76" si="279">AM75/AM5</f>
        <v>#DIV/0!</v>
      </c>
      <c r="AN76" s="2294" t="e">
        <f t="shared" si="279"/>
        <v>#DIV/0!</v>
      </c>
      <c r="AO76" s="2295" t="e">
        <f t="shared" si="279"/>
        <v>#DIV/0!</v>
      </c>
      <c r="AP76" s="2295"/>
      <c r="AQ76" s="3264"/>
      <c r="AR76" s="2294" t="e">
        <f t="shared" ref="AR76:AT76" si="280">AR75/AR5</f>
        <v>#DIV/0!</v>
      </c>
      <c r="AS76" s="2294" t="e">
        <f t="shared" si="280"/>
        <v>#DIV/0!</v>
      </c>
      <c r="AT76" s="2295" t="e">
        <f t="shared" si="280"/>
        <v>#DIV/0!</v>
      </c>
      <c r="AU76" s="2295"/>
      <c r="AV76" s="3264"/>
      <c r="AW76" s="2294" t="e">
        <f t="shared" ref="AW76:AY76" si="281">AW75/AW5</f>
        <v>#DIV/0!</v>
      </c>
      <c r="AX76" s="2294" t="e">
        <f t="shared" si="281"/>
        <v>#DIV/0!</v>
      </c>
      <c r="AY76" s="2295" t="e">
        <f t="shared" si="281"/>
        <v>#DIV/0!</v>
      </c>
      <c r="AZ76" s="2295"/>
      <c r="BA76" s="3264"/>
      <c r="BB76" s="2294" t="e">
        <f t="shared" ref="BB76:BD76" si="282">BB75/BB5</f>
        <v>#DIV/0!</v>
      </c>
      <c r="BC76" s="2294" t="e">
        <f t="shared" si="282"/>
        <v>#DIV/0!</v>
      </c>
      <c r="BD76" s="2295" t="e">
        <f t="shared" si="282"/>
        <v>#DIV/0!</v>
      </c>
      <c r="BE76" s="2295"/>
      <c r="BF76" s="3264"/>
      <c r="BG76" s="2294" t="e">
        <f t="shared" ref="BG76:BI76" si="283">BG75/BG5</f>
        <v>#DIV/0!</v>
      </c>
      <c r="BH76" s="2294" t="e">
        <f t="shared" si="283"/>
        <v>#DIV/0!</v>
      </c>
      <c r="BI76" s="2295" t="e">
        <f t="shared" si="283"/>
        <v>#DIV/0!</v>
      </c>
      <c r="BJ76" s="2295"/>
      <c r="BK76" s="3264"/>
      <c r="BL76" s="2294" t="e">
        <f t="shared" ref="BL76:BN76" si="284">BL75/BL5</f>
        <v>#DIV/0!</v>
      </c>
      <c r="BM76" s="2294" t="e">
        <f t="shared" si="284"/>
        <v>#DIV/0!</v>
      </c>
      <c r="BN76" s="2295" t="e">
        <f t="shared" si="284"/>
        <v>#DIV/0!</v>
      </c>
      <c r="BO76" s="2295"/>
      <c r="BP76" s="3264"/>
      <c r="BQ76" s="2294" t="e">
        <f t="shared" ref="BQ76:BS76" si="285">BQ75/BQ5</f>
        <v>#DIV/0!</v>
      </c>
      <c r="BR76" s="2294" t="e">
        <f t="shared" si="285"/>
        <v>#DIV/0!</v>
      </c>
      <c r="BS76" s="2295" t="e">
        <f t="shared" si="285"/>
        <v>#DIV/0!</v>
      </c>
      <c r="BT76" s="2295"/>
      <c r="BU76" s="3264"/>
      <c r="BV76" s="2294" t="e">
        <f t="shared" ref="BV76:BX76" si="286">BV75/BV5</f>
        <v>#DIV/0!</v>
      </c>
      <c r="BW76" s="2294" t="e">
        <f t="shared" si="286"/>
        <v>#DIV/0!</v>
      </c>
      <c r="BX76" s="2295" t="e">
        <f t="shared" si="286"/>
        <v>#DIV/0!</v>
      </c>
      <c r="BY76" s="2295"/>
      <c r="BZ76" s="3264"/>
      <c r="CA76" s="2294" t="e">
        <f t="shared" ref="CA76:CC76" si="287">CA75/CA5</f>
        <v>#DIV/0!</v>
      </c>
      <c r="CB76" s="2294" t="e">
        <f t="shared" si="287"/>
        <v>#DIV/0!</v>
      </c>
      <c r="CC76" s="2295" t="e">
        <f t="shared" si="287"/>
        <v>#DIV/0!</v>
      </c>
      <c r="CD76" s="2295"/>
      <c r="CE76" s="3264"/>
      <c r="CF76" s="2294">
        <f>CF75/CF5</f>
        <v>0.17770058975659989</v>
      </c>
      <c r="CG76" s="2294" t="e">
        <f>CG75/CG5</f>
        <v>#DIV/0!</v>
      </c>
      <c r="CH76" s="2295">
        <f>CH75/CH5</f>
        <v>1.3856208135913537E-2</v>
      </c>
      <c r="CI76" s="2295"/>
      <c r="CJ76" s="2295"/>
      <c r="CK76" s="3213"/>
      <c r="CL76" s="3213"/>
      <c r="CM76" s="3211"/>
      <c r="CN76" s="2192"/>
      <c r="CO76" s="2192"/>
    </row>
    <row r="77" spans="1:93" s="1396" customFormat="1" ht="14.4" customHeight="1" outlineLevel="1" thickBot="1">
      <c r="A77" s="2382"/>
      <c r="B77" s="3265" t="s">
        <v>9</v>
      </c>
      <c r="C77" s="3266">
        <f>C78-C79</f>
        <v>-83420.455499999996</v>
      </c>
      <c r="D77" s="3266">
        <f>D78-D79</f>
        <v>0</v>
      </c>
      <c r="E77" s="3267">
        <f>E78-E79</f>
        <v>-83420.455499999996</v>
      </c>
      <c r="F77" s="3268"/>
      <c r="G77" s="3269"/>
      <c r="H77" s="3266">
        <f>H78-H79</f>
        <v>0</v>
      </c>
      <c r="I77" s="3266">
        <f>I78-I79</f>
        <v>0</v>
      </c>
      <c r="J77" s="3267">
        <f>J78-J79</f>
        <v>-19398.939999999999</v>
      </c>
      <c r="K77" s="3270"/>
      <c r="L77" s="3271"/>
      <c r="M77" s="2844">
        <f>M78-M79</f>
        <v>0</v>
      </c>
      <c r="N77" s="2844">
        <f>N78-N79</f>
        <v>0</v>
      </c>
      <c r="O77" s="2845">
        <f>O78-O79</f>
        <v>-114349.36</v>
      </c>
      <c r="P77" s="2847">
        <f t="shared" ref="P77:P78" si="288">O77/O$89</f>
        <v>-1.5637372691679179E-2</v>
      </c>
      <c r="Q77" s="2848"/>
      <c r="R77" s="2844">
        <f>R78-R79</f>
        <v>0</v>
      </c>
      <c r="S77" s="2844">
        <f>S78-S79</f>
        <v>0</v>
      </c>
      <c r="T77" s="2845">
        <f>T78-T79</f>
        <v>0</v>
      </c>
      <c r="U77" s="2847">
        <f t="shared" ref="U77:U78" si="289">T77/T$89</f>
        <v>0</v>
      </c>
      <c r="V77" s="2848"/>
      <c r="W77" s="3269"/>
      <c r="X77" s="3266">
        <f>X78-X79</f>
        <v>0</v>
      </c>
      <c r="Y77" s="3266">
        <f>Y78-Y79</f>
        <v>0</v>
      </c>
      <c r="Z77" s="3267">
        <f>Z78-Z79</f>
        <v>0</v>
      </c>
      <c r="AA77" s="3270"/>
      <c r="AB77" s="3271"/>
      <c r="AC77" s="3266">
        <f>AC78-AC79</f>
        <v>0</v>
      </c>
      <c r="AD77" s="3266">
        <f>AD78-AD79</f>
        <v>0</v>
      </c>
      <c r="AE77" s="3267">
        <f>AE78-AE79</f>
        <v>0</v>
      </c>
      <c r="AF77" s="3270"/>
      <c r="AG77" s="3271"/>
      <c r="AH77" s="3266">
        <f t="shared" ref="AH77:AJ77" si="290">AH78-AH79</f>
        <v>0</v>
      </c>
      <c r="AI77" s="3266">
        <f t="shared" si="290"/>
        <v>0</v>
      </c>
      <c r="AJ77" s="3267">
        <f t="shared" si="290"/>
        <v>0</v>
      </c>
      <c r="AK77" s="3270"/>
      <c r="AL77" s="3271"/>
      <c r="AM77" s="3266">
        <f t="shared" ref="AM77:AO77" si="291">AM78-AM79</f>
        <v>0</v>
      </c>
      <c r="AN77" s="3266">
        <f t="shared" si="291"/>
        <v>0</v>
      </c>
      <c r="AO77" s="3267">
        <f t="shared" si="291"/>
        <v>0</v>
      </c>
      <c r="AP77" s="3270"/>
      <c r="AQ77" s="3271"/>
      <c r="AR77" s="3266">
        <f t="shared" ref="AR77:AT77" si="292">AR78-AR79</f>
        <v>0</v>
      </c>
      <c r="AS77" s="3266">
        <f t="shared" si="292"/>
        <v>0</v>
      </c>
      <c r="AT77" s="3267">
        <f t="shared" si="292"/>
        <v>0</v>
      </c>
      <c r="AU77" s="3270"/>
      <c r="AV77" s="3271"/>
      <c r="AW77" s="3266">
        <f t="shared" ref="AW77:AY77" si="293">AW78-AW79</f>
        <v>0</v>
      </c>
      <c r="AX77" s="3266">
        <f t="shared" si="293"/>
        <v>0</v>
      </c>
      <c r="AY77" s="3267">
        <f t="shared" si="293"/>
        <v>0</v>
      </c>
      <c r="AZ77" s="3270"/>
      <c r="BA77" s="3271"/>
      <c r="BB77" s="3266">
        <f t="shared" ref="BB77:BD77" si="294">BB78-BB79</f>
        <v>0</v>
      </c>
      <c r="BC77" s="3266">
        <f t="shared" si="294"/>
        <v>0</v>
      </c>
      <c r="BD77" s="3267">
        <f t="shared" si="294"/>
        <v>0</v>
      </c>
      <c r="BE77" s="3270"/>
      <c r="BF77" s="3271"/>
      <c r="BG77" s="3266">
        <f t="shared" ref="BG77:BI77" si="295">BG78-BG79</f>
        <v>0</v>
      </c>
      <c r="BH77" s="3266">
        <f t="shared" si="295"/>
        <v>0</v>
      </c>
      <c r="BI77" s="3267">
        <f t="shared" si="295"/>
        <v>0</v>
      </c>
      <c r="BJ77" s="3270"/>
      <c r="BK77" s="3271"/>
      <c r="BL77" s="3266">
        <f t="shared" ref="BL77:BN77" si="296">BL78-BL79</f>
        <v>0</v>
      </c>
      <c r="BM77" s="3266">
        <f t="shared" si="296"/>
        <v>0</v>
      </c>
      <c r="BN77" s="3267">
        <f t="shared" si="296"/>
        <v>0</v>
      </c>
      <c r="BO77" s="3270"/>
      <c r="BP77" s="3271"/>
      <c r="BQ77" s="3266">
        <f t="shared" ref="BQ77:BS77" si="297">BQ78-BQ79</f>
        <v>0</v>
      </c>
      <c r="BR77" s="3266">
        <f t="shared" si="297"/>
        <v>0</v>
      </c>
      <c r="BS77" s="3267">
        <f t="shared" si="297"/>
        <v>0</v>
      </c>
      <c r="BT77" s="3270"/>
      <c r="BU77" s="3271"/>
      <c r="BV77" s="3266">
        <f t="shared" ref="BV77:BX77" si="298">BV78-BV79</f>
        <v>0</v>
      </c>
      <c r="BW77" s="3266">
        <f t="shared" si="298"/>
        <v>0</v>
      </c>
      <c r="BX77" s="3267">
        <f t="shared" si="298"/>
        <v>0</v>
      </c>
      <c r="BY77" s="3270"/>
      <c r="BZ77" s="3271"/>
      <c r="CA77" s="3266">
        <f t="shared" ref="CA77:CC77" si="299">CA78-CA79</f>
        <v>0</v>
      </c>
      <c r="CB77" s="3266">
        <f t="shared" si="299"/>
        <v>0</v>
      </c>
      <c r="CC77" s="3267">
        <f t="shared" si="299"/>
        <v>0</v>
      </c>
      <c r="CD77" s="3270"/>
      <c r="CE77" s="3271"/>
      <c r="CF77" s="3266">
        <f>CF78-CF79</f>
        <v>0</v>
      </c>
      <c r="CG77" s="3266">
        <f>CG79</f>
        <v>0</v>
      </c>
      <c r="CH77" s="3267">
        <f>CH78-CH79</f>
        <v>-133748.29999999999</v>
      </c>
      <c r="CI77" s="3270"/>
      <c r="CJ77" s="3270"/>
      <c r="CK77" s="3213"/>
      <c r="CL77" s="3213"/>
      <c r="CM77" s="3211"/>
      <c r="CN77" s="2192"/>
      <c r="CO77" s="2192"/>
    </row>
    <row r="78" spans="1:93" s="1396" customFormat="1" ht="14.4" customHeight="1" outlineLevel="2">
      <c r="A78" s="2309"/>
      <c r="B78" s="2203" t="s">
        <v>43</v>
      </c>
      <c r="C78" s="2205"/>
      <c r="D78" s="2393"/>
      <c r="E78" s="3923">
        <f t="shared" ref="E78:E79" si="300">C78+D78</f>
        <v>0</v>
      </c>
      <c r="F78" s="2394"/>
      <c r="G78" s="3272"/>
      <c r="H78" s="2184">
        <v>0</v>
      </c>
      <c r="I78" s="2181">
        <v>0</v>
      </c>
      <c r="J78" s="2395">
        <v>0</v>
      </c>
      <c r="K78" s="3350"/>
      <c r="L78" s="3273"/>
      <c r="M78" s="2051">
        <v>0</v>
      </c>
      <c r="N78" s="2043">
        <v>0</v>
      </c>
      <c r="O78" s="2012">
        <v>0</v>
      </c>
      <c r="P78" s="3360">
        <f t="shared" si="288"/>
        <v>0</v>
      </c>
      <c r="Q78" s="1662"/>
      <c r="R78" s="2051">
        <f t="shared" ref="R78:T79" si="301">X78+AC78+AH78+AM78+AR78+AW78+BB78+BG78+BL78+BQ78+BV78+CA78</f>
        <v>0</v>
      </c>
      <c r="S78" s="2043">
        <f t="shared" si="301"/>
        <v>0</v>
      </c>
      <c r="T78" s="2012">
        <f t="shared" si="301"/>
        <v>0</v>
      </c>
      <c r="U78" s="3360">
        <f t="shared" si="289"/>
        <v>0</v>
      </c>
      <c r="V78" s="1662"/>
      <c r="W78" s="3272"/>
      <c r="X78" s="2184"/>
      <c r="Y78" s="2181"/>
      <c r="Z78" s="2180">
        <f t="shared" ref="Z78:Z79" si="302">X78+Y78*1</f>
        <v>0</v>
      </c>
      <c r="AA78" s="3350" t="e">
        <f>Z78/Z$89</f>
        <v>#DIV/0!</v>
      </c>
      <c r="AB78" s="3273"/>
      <c r="AC78" s="2184"/>
      <c r="AD78" s="2181"/>
      <c r="AE78" s="2395">
        <f>AC78+AD78*1.15</f>
        <v>0</v>
      </c>
      <c r="AF78" s="3350"/>
      <c r="AG78" s="3273"/>
      <c r="AH78" s="2184"/>
      <c r="AI78" s="2181"/>
      <c r="AJ78" s="2395">
        <f t="shared" ref="AJ78" si="303">AH78+AI78*1.15</f>
        <v>0</v>
      </c>
      <c r="AK78" s="3350"/>
      <c r="AL78" s="3273"/>
      <c r="AM78" s="2184"/>
      <c r="AN78" s="2181"/>
      <c r="AO78" s="2395">
        <f t="shared" ref="AO78" si="304">AM78+AN78*1.15</f>
        <v>0</v>
      </c>
      <c r="AP78" s="3350"/>
      <c r="AQ78" s="3273"/>
      <c r="AR78" s="2184"/>
      <c r="AS78" s="2181"/>
      <c r="AT78" s="2395">
        <f t="shared" ref="AT78" si="305">AR78+AS78*1.15</f>
        <v>0</v>
      </c>
      <c r="AU78" s="3350"/>
      <c r="AV78" s="3273"/>
      <c r="AW78" s="2184"/>
      <c r="AX78" s="2181"/>
      <c r="AY78" s="2395">
        <f t="shared" ref="AY78" si="306">AW78+AX78*1.15</f>
        <v>0</v>
      </c>
      <c r="AZ78" s="3350"/>
      <c r="BA78" s="3273"/>
      <c r="BB78" s="2184"/>
      <c r="BC78" s="2181"/>
      <c r="BD78" s="2395">
        <f t="shared" ref="BD78" si="307">BB78+BC78*1.15</f>
        <v>0</v>
      </c>
      <c r="BE78" s="3350"/>
      <c r="BF78" s="3273"/>
      <c r="BG78" s="2184"/>
      <c r="BH78" s="2181"/>
      <c r="BI78" s="2395">
        <f t="shared" ref="BI78" si="308">BG78+BH78*1.15</f>
        <v>0</v>
      </c>
      <c r="BJ78" s="3350"/>
      <c r="BK78" s="3273"/>
      <c r="BL78" s="2184"/>
      <c r="BM78" s="2181"/>
      <c r="BN78" s="2395">
        <f t="shared" ref="BN78" si="309">BL78+BM78*1.15</f>
        <v>0</v>
      </c>
      <c r="BO78" s="3350"/>
      <c r="BP78" s="3273"/>
      <c r="BQ78" s="2184"/>
      <c r="BR78" s="2181"/>
      <c r="BS78" s="2395">
        <f t="shared" ref="BS78" si="310">BQ78+BR78*1.15</f>
        <v>0</v>
      </c>
      <c r="BT78" s="3350"/>
      <c r="BU78" s="3273"/>
      <c r="BV78" s="2184"/>
      <c r="BW78" s="2181"/>
      <c r="BX78" s="2395">
        <f t="shared" ref="BX78" si="311">BV78+BW78*1.15</f>
        <v>0</v>
      </c>
      <c r="BY78" s="3350"/>
      <c r="BZ78" s="3273"/>
      <c r="CA78" s="2184"/>
      <c r="CB78" s="2181"/>
      <c r="CC78" s="2395">
        <f t="shared" ref="CC78" si="312">CA78+CB78*1.15</f>
        <v>0</v>
      </c>
      <c r="CD78" s="3350"/>
      <c r="CE78" s="3273"/>
      <c r="CF78" s="2184">
        <f t="shared" ref="CF78:CH79" si="313">H78+M78+R78</f>
        <v>0</v>
      </c>
      <c r="CG78" s="2181">
        <f t="shared" si="313"/>
        <v>0</v>
      </c>
      <c r="CH78" s="2180">
        <f t="shared" si="313"/>
        <v>0</v>
      </c>
      <c r="CI78" s="2395"/>
      <c r="CJ78" s="2395"/>
      <c r="CK78" s="3213"/>
      <c r="CL78" s="3213"/>
      <c r="CM78" s="3211"/>
      <c r="CN78" s="2192"/>
      <c r="CO78" s="2192"/>
    </row>
    <row r="79" spans="1:93" s="1396" customFormat="1" ht="14.4" customHeight="1" outlineLevel="2">
      <c r="A79" s="2309"/>
      <c r="B79" s="3893" t="s">
        <v>79</v>
      </c>
      <c r="C79" s="3894">
        <v>83420.455499999996</v>
      </c>
      <c r="D79" s="3923"/>
      <c r="E79" s="3923">
        <f t="shared" si="300"/>
        <v>83420.455499999996</v>
      </c>
      <c r="F79" s="3911">
        <f>E79/$E$89</f>
        <v>1.4039420610063897E-2</v>
      </c>
      <c r="G79" s="3228"/>
      <c r="H79" s="2184">
        <v>0</v>
      </c>
      <c r="I79" s="2181">
        <v>0</v>
      </c>
      <c r="J79" s="2180">
        <v>19398.939999999999</v>
      </c>
      <c r="K79" s="3350">
        <f t="shared" ref="K79" si="314">J79/J$89</f>
        <v>5.6410474578466409E-2</v>
      </c>
      <c r="L79" s="3929"/>
      <c r="M79" s="2051">
        <v>0</v>
      </c>
      <c r="N79" s="2043">
        <v>0</v>
      </c>
      <c r="O79" s="2043">
        <v>114349.36</v>
      </c>
      <c r="P79" s="3360">
        <f>O79/O$89</f>
        <v>1.5637372691679179E-2</v>
      </c>
      <c r="Q79" s="3839"/>
      <c r="R79" s="2051">
        <f t="shared" si="301"/>
        <v>0</v>
      </c>
      <c r="S79" s="2043">
        <f t="shared" si="301"/>
        <v>0</v>
      </c>
      <c r="T79" s="2043">
        <f t="shared" si="301"/>
        <v>0</v>
      </c>
      <c r="U79" s="3360">
        <f>T79/T$89</f>
        <v>0</v>
      </c>
      <c r="V79" s="3839"/>
      <c r="W79" s="3228"/>
      <c r="X79" s="2184">
        <f>(Y8+Y41+Y50+Y54)/(1-'расчет 2024'!E24)*'расчет 2024'!E24</f>
        <v>0</v>
      </c>
      <c r="Y79" s="2181"/>
      <c r="Z79" s="2180">
        <f t="shared" si="302"/>
        <v>0</v>
      </c>
      <c r="AA79" s="3350" t="e">
        <f>Z79/Z$89</f>
        <v>#DIV/0!</v>
      </c>
      <c r="AB79" s="3929"/>
      <c r="AC79" s="2184"/>
      <c r="AD79" s="2181"/>
      <c r="AE79" s="2012"/>
      <c r="AF79" s="3350" t="e">
        <f>AE79/AE$89</f>
        <v>#DIV/0!</v>
      </c>
      <c r="AG79" s="3929"/>
      <c r="AH79" s="2051">
        <f>(AI8+AI41+AI50+AI54)/(1-'расчет 2024'!E26)*'расчет 2024'!E26</f>
        <v>0</v>
      </c>
      <c r="AI79" s="3978"/>
      <c r="AJ79" s="3081">
        <f t="shared" ref="AJ79" si="315">AH79+AI79*1</f>
        <v>0</v>
      </c>
      <c r="AK79" s="3956">
        <f t="shared" ref="AK79" si="316">AJ79/AJ$89</f>
        <v>0</v>
      </c>
      <c r="AL79" s="3979"/>
      <c r="AM79" s="2051">
        <f>(AN8+AN41+AN50+AN54)/(1-'расчет 2024'!E27)*'расчет 2024'!E27</f>
        <v>0</v>
      </c>
      <c r="AN79" s="3978"/>
      <c r="AO79" s="3081">
        <f t="shared" ref="AO79" si="317">AM79+AN79*1</f>
        <v>0</v>
      </c>
      <c r="AP79" s="3956" t="e">
        <f t="shared" ref="AP79" si="318">AO79/AO$89</f>
        <v>#DIV/0!</v>
      </c>
      <c r="AQ79" s="3929"/>
      <c r="AR79" s="2184"/>
      <c r="AS79" s="2181"/>
      <c r="AT79" s="2012"/>
      <c r="AU79" s="3350" t="e">
        <f t="shared" ref="AU79" si="319">AT79/AT$89</f>
        <v>#DIV/0!</v>
      </c>
      <c r="AV79" s="3929"/>
      <c r="AW79" s="2184"/>
      <c r="AX79" s="2181"/>
      <c r="AY79" s="2012"/>
      <c r="AZ79" s="3350" t="e">
        <f t="shared" ref="AZ79" si="320">AY79/AY$89</f>
        <v>#DIV/0!</v>
      </c>
      <c r="BA79" s="3929"/>
      <c r="BB79" s="2184"/>
      <c r="BC79" s="2181"/>
      <c r="BD79" s="2012"/>
      <c r="BE79" s="3350" t="e">
        <f t="shared" ref="BE79" si="321">BD79/BD$89</f>
        <v>#DIV/0!</v>
      </c>
      <c r="BF79" s="3929"/>
      <c r="BG79" s="2184"/>
      <c r="BH79" s="2181"/>
      <c r="BI79" s="2012"/>
      <c r="BJ79" s="3350" t="e">
        <f t="shared" ref="BJ79" si="322">BI79/BI$89</f>
        <v>#DIV/0!</v>
      </c>
      <c r="BK79" s="3929"/>
      <c r="BL79" s="2184"/>
      <c r="BM79" s="2181"/>
      <c r="BN79" s="2012"/>
      <c r="BO79" s="3350" t="e">
        <f t="shared" ref="BO79" si="323">BN79/BN$89</f>
        <v>#DIV/0!</v>
      </c>
      <c r="BP79" s="3929"/>
      <c r="BQ79" s="2184"/>
      <c r="BR79" s="2181"/>
      <c r="BS79" s="2012"/>
      <c r="BT79" s="3350" t="e">
        <f t="shared" ref="BT79" si="324">BS79/BS$89</f>
        <v>#DIV/0!</v>
      </c>
      <c r="BU79" s="3929"/>
      <c r="BV79" s="2184"/>
      <c r="BW79" s="2181"/>
      <c r="BX79" s="2012"/>
      <c r="BY79" s="3350" t="e">
        <f t="shared" ref="BY79" si="325">BX79/BX$89</f>
        <v>#DIV/0!</v>
      </c>
      <c r="BZ79" s="3929"/>
      <c r="CA79" s="2184"/>
      <c r="CB79" s="2181"/>
      <c r="CC79" s="2012"/>
      <c r="CD79" s="3350" t="e">
        <f t="shared" ref="CD79" si="326">CC79/CC$89</f>
        <v>#DIV/0!</v>
      </c>
      <c r="CE79" s="3929"/>
      <c r="CF79" s="2184">
        <f t="shared" si="313"/>
        <v>0</v>
      </c>
      <c r="CG79" s="2181">
        <f t="shared" si="313"/>
        <v>0</v>
      </c>
      <c r="CH79" s="2181">
        <f t="shared" si="313"/>
        <v>133748.29999999999</v>
      </c>
      <c r="CI79" s="3912"/>
      <c r="CJ79" s="3912"/>
      <c r="CK79" s="3210">
        <v>133748.29999999999</v>
      </c>
      <c r="CL79" s="3210">
        <f>CH79-CK79</f>
        <v>0</v>
      </c>
      <c r="CM79" s="3211"/>
      <c r="CN79" s="2192"/>
      <c r="CO79" s="2192"/>
    </row>
    <row r="80" spans="1:93" ht="14.4" customHeight="1" outlineLevel="2">
      <c r="A80" s="1397"/>
      <c r="B80" s="3935"/>
      <c r="C80" s="3936"/>
      <c r="D80" s="3937"/>
      <c r="E80" s="3938"/>
      <c r="F80" s="3939"/>
      <c r="G80" s="3227"/>
      <c r="H80" s="2184">
        <v>0</v>
      </c>
      <c r="I80" s="2181">
        <v>0</v>
      </c>
      <c r="J80" s="3940"/>
      <c r="K80" s="3940"/>
      <c r="L80" s="3941"/>
      <c r="M80" s="2051"/>
      <c r="N80" s="2043"/>
      <c r="O80" s="3852"/>
      <c r="P80" s="3852"/>
      <c r="Q80" s="3853"/>
      <c r="R80" s="2051"/>
      <c r="S80" s="2043"/>
      <c r="T80" s="3852"/>
      <c r="U80" s="3852"/>
      <c r="V80" s="3853"/>
      <c r="W80" s="3227"/>
      <c r="X80" s="2184"/>
      <c r="Y80" s="2181"/>
      <c r="Z80" s="3940"/>
      <c r="AA80" s="3940"/>
      <c r="AB80" s="3941"/>
      <c r="AC80" s="2184"/>
      <c r="AD80" s="2181"/>
      <c r="AE80" s="3940"/>
      <c r="AF80" s="3940"/>
      <c r="AG80" s="3941"/>
      <c r="AH80" s="2184"/>
      <c r="AI80" s="2181"/>
      <c r="AJ80" s="3940"/>
      <c r="AK80" s="3940"/>
      <c r="AL80" s="3941"/>
      <c r="AM80" s="2184"/>
      <c r="AN80" s="2181"/>
      <c r="AO80" s="3940"/>
      <c r="AP80" s="3940"/>
      <c r="AQ80" s="3941"/>
      <c r="AR80" s="2184"/>
      <c r="AS80" s="2181"/>
      <c r="AT80" s="3940"/>
      <c r="AU80" s="3940"/>
      <c r="AV80" s="3941"/>
      <c r="AW80" s="2184"/>
      <c r="AX80" s="2181"/>
      <c r="AY80" s="3940"/>
      <c r="AZ80" s="3940"/>
      <c r="BA80" s="3941"/>
      <c r="BB80" s="2184"/>
      <c r="BC80" s="2181"/>
      <c r="BD80" s="3940"/>
      <c r="BE80" s="3940"/>
      <c r="BF80" s="3941"/>
      <c r="BG80" s="2184"/>
      <c r="BH80" s="2181"/>
      <c r="BI80" s="3940"/>
      <c r="BJ80" s="3940"/>
      <c r="BK80" s="3941"/>
      <c r="BL80" s="2184"/>
      <c r="BM80" s="2181"/>
      <c r="BN80" s="3940"/>
      <c r="BO80" s="3940"/>
      <c r="BP80" s="3941"/>
      <c r="BQ80" s="2184"/>
      <c r="BR80" s="2181"/>
      <c r="BS80" s="3940"/>
      <c r="BT80" s="3940"/>
      <c r="BU80" s="3941"/>
      <c r="BV80" s="2184"/>
      <c r="BW80" s="2181"/>
      <c r="BX80" s="3940"/>
      <c r="BY80" s="3940"/>
      <c r="BZ80" s="3941"/>
      <c r="CA80" s="2184"/>
      <c r="CB80" s="2181"/>
      <c r="CC80" s="3940"/>
      <c r="CD80" s="3940"/>
      <c r="CE80" s="3941"/>
      <c r="CF80" s="2184"/>
      <c r="CG80" s="2181"/>
      <c r="CH80" s="3940"/>
      <c r="CI80" s="3940"/>
      <c r="CJ80" s="3940"/>
      <c r="CK80" s="2151"/>
      <c r="CL80" s="2151"/>
      <c r="CM80" s="3205"/>
      <c r="CN80" s="2154"/>
      <c r="CO80" s="2154"/>
    </row>
    <row r="81" spans="1:93" s="1396" customFormat="1" ht="14.4" customHeight="1" outlineLevel="1" thickBot="1">
      <c r="A81" s="2407"/>
      <c r="B81" s="3265" t="s">
        <v>12</v>
      </c>
      <c r="C81" s="3266">
        <f>(C75+C78)-C79</f>
        <v>3078363.9985915436</v>
      </c>
      <c r="D81" s="3266">
        <f>(D75+D78)-D79</f>
        <v>-948670.17249999999</v>
      </c>
      <c r="E81" s="3267">
        <f>(E75+E78)-E79</f>
        <v>2129693.8260915433</v>
      </c>
      <c r="F81" s="3268"/>
      <c r="G81" s="3269"/>
      <c r="H81" s="3266">
        <f>(H75+H78)-H79</f>
        <v>-211439.03000000003</v>
      </c>
      <c r="I81" s="3266">
        <f>(I75+I78)-I79</f>
        <v>-113051</v>
      </c>
      <c r="J81" s="3267">
        <f>(J75+J78)-J79</f>
        <v>-343888.97000000003</v>
      </c>
      <c r="K81" s="3270"/>
      <c r="L81" s="3271"/>
      <c r="M81" s="2844">
        <f>(M75+M78)-M79</f>
        <v>2212136.3239999986</v>
      </c>
      <c r="N81" s="2844">
        <f>(N75+N78)-N79</f>
        <v>-1227640.8299999998</v>
      </c>
      <c r="O81" s="2845">
        <f>(O75+O78)-O79</f>
        <v>870146.1339999988</v>
      </c>
      <c r="P81" s="2847"/>
      <c r="Q81" s="2848"/>
      <c r="R81" s="2844">
        <f>(R75+R78)-R79</f>
        <v>-546624.06600000011</v>
      </c>
      <c r="S81" s="2844">
        <f>(S75+S78)-S79</f>
        <v>0</v>
      </c>
      <c r="T81" s="2845">
        <f>(T75+T78)-T79</f>
        <v>-546624.06600000011</v>
      </c>
      <c r="U81" s="2847"/>
      <c r="V81" s="2848"/>
      <c r="W81" s="3269"/>
      <c r="X81" s="3266">
        <f>(X75+X78)-X79</f>
        <v>0</v>
      </c>
      <c r="Y81" s="3266">
        <f>(Y75+Y78)-Y79</f>
        <v>0</v>
      </c>
      <c r="Z81" s="3267">
        <f>(Z75+Z78)-Z79</f>
        <v>0</v>
      </c>
      <c r="AA81" s="3270"/>
      <c r="AB81" s="3271"/>
      <c r="AC81" s="3266">
        <f>(AC75+AC78)-AC79</f>
        <v>0</v>
      </c>
      <c r="AD81" s="3266">
        <f>(AD75+AD78)-AD79</f>
        <v>0</v>
      </c>
      <c r="AE81" s="3267">
        <f>(AE75+AE78)-AE79</f>
        <v>0</v>
      </c>
      <c r="AF81" s="3270"/>
      <c r="AG81" s="3271"/>
      <c r="AH81" s="3266">
        <f t="shared" ref="AH81:AJ81" si="327">(AH75+AH78)-AH79</f>
        <v>-546624.06600000011</v>
      </c>
      <c r="AI81" s="3266">
        <f t="shared" si="327"/>
        <v>0</v>
      </c>
      <c r="AJ81" s="3267">
        <f t="shared" si="327"/>
        <v>-546624.06600000011</v>
      </c>
      <c r="AK81" s="3270"/>
      <c r="AL81" s="3271"/>
      <c r="AM81" s="3266">
        <f t="shared" ref="AM81:AO81" si="328">(AM75+AM78)-AM79</f>
        <v>0</v>
      </c>
      <c r="AN81" s="3266">
        <f t="shared" si="328"/>
        <v>0</v>
      </c>
      <c r="AO81" s="3267">
        <f t="shared" si="328"/>
        <v>0</v>
      </c>
      <c r="AP81" s="3270"/>
      <c r="AQ81" s="3271"/>
      <c r="AR81" s="3266">
        <f t="shared" ref="AR81:AT81" si="329">(AR75+AR78)-AR79</f>
        <v>0</v>
      </c>
      <c r="AS81" s="3266">
        <f t="shared" si="329"/>
        <v>0</v>
      </c>
      <c r="AT81" s="3267">
        <f t="shared" si="329"/>
        <v>0</v>
      </c>
      <c r="AU81" s="3270"/>
      <c r="AV81" s="3271"/>
      <c r="AW81" s="3266">
        <f t="shared" ref="AW81:AY81" si="330">(AW75+AW78)-AW79</f>
        <v>0</v>
      </c>
      <c r="AX81" s="3266">
        <f t="shared" si="330"/>
        <v>0</v>
      </c>
      <c r="AY81" s="3267">
        <f t="shared" si="330"/>
        <v>0</v>
      </c>
      <c r="AZ81" s="3270"/>
      <c r="BA81" s="3271"/>
      <c r="BB81" s="3266">
        <f t="shared" ref="BB81:BD81" si="331">(BB75+BB78)-BB79</f>
        <v>0</v>
      </c>
      <c r="BC81" s="3266">
        <f t="shared" si="331"/>
        <v>0</v>
      </c>
      <c r="BD81" s="3267">
        <f t="shared" si="331"/>
        <v>0</v>
      </c>
      <c r="BE81" s="3270"/>
      <c r="BF81" s="3271"/>
      <c r="BG81" s="3266">
        <f t="shared" ref="BG81:BI81" si="332">(BG75+BG78)-BG79</f>
        <v>0</v>
      </c>
      <c r="BH81" s="3266">
        <f t="shared" si="332"/>
        <v>0</v>
      </c>
      <c r="BI81" s="3267">
        <f t="shared" si="332"/>
        <v>0</v>
      </c>
      <c r="BJ81" s="3270"/>
      <c r="BK81" s="3271"/>
      <c r="BL81" s="3266">
        <f t="shared" ref="BL81:BN81" si="333">(BL75+BL78)-BL79</f>
        <v>0</v>
      </c>
      <c r="BM81" s="3266">
        <f t="shared" si="333"/>
        <v>0</v>
      </c>
      <c r="BN81" s="3267">
        <f t="shared" si="333"/>
        <v>0</v>
      </c>
      <c r="BO81" s="3270"/>
      <c r="BP81" s="3271"/>
      <c r="BQ81" s="3266">
        <f t="shared" ref="BQ81:BS81" si="334">(BQ75+BQ78)-BQ79</f>
        <v>0</v>
      </c>
      <c r="BR81" s="3266">
        <f t="shared" si="334"/>
        <v>0</v>
      </c>
      <c r="BS81" s="3267">
        <f t="shared" si="334"/>
        <v>0</v>
      </c>
      <c r="BT81" s="3270"/>
      <c r="BU81" s="3271"/>
      <c r="BV81" s="3266">
        <f t="shared" ref="BV81:BX81" si="335">(BV75+BV78)-BV79</f>
        <v>0</v>
      </c>
      <c r="BW81" s="3266">
        <f t="shared" si="335"/>
        <v>0</v>
      </c>
      <c r="BX81" s="3267">
        <f t="shared" si="335"/>
        <v>0</v>
      </c>
      <c r="BY81" s="3270"/>
      <c r="BZ81" s="3271"/>
      <c r="CA81" s="3266">
        <f t="shared" ref="CA81:CC81" si="336">(CA75+CA78)-CA79</f>
        <v>0</v>
      </c>
      <c r="CB81" s="3266">
        <f t="shared" si="336"/>
        <v>0</v>
      </c>
      <c r="CC81" s="3267">
        <f t="shared" si="336"/>
        <v>0</v>
      </c>
      <c r="CD81" s="3270"/>
      <c r="CE81" s="3271"/>
      <c r="CF81" s="3267">
        <f>(CF75+CF78)-CF79</f>
        <v>1454073.2279999992</v>
      </c>
      <c r="CG81" s="3267">
        <f>(CG75+CG78)-CG79</f>
        <v>-1340691.8299999998</v>
      </c>
      <c r="CH81" s="3267">
        <f>(CH75+CH78)-CH79</f>
        <v>-20366.9020000007</v>
      </c>
      <c r="CI81" s="3270"/>
      <c r="CJ81" s="3270"/>
      <c r="CK81" s="3213"/>
      <c r="CL81" s="3213"/>
      <c r="CM81" s="3211"/>
      <c r="CN81" s="2192"/>
      <c r="CO81" s="2192"/>
    </row>
    <row r="82" spans="1:93" s="1396" customFormat="1" ht="14.4" customHeight="1" outlineLevel="2">
      <c r="A82" s="2291"/>
      <c r="B82" s="2203" t="s">
        <v>38</v>
      </c>
      <c r="C82" s="2205"/>
      <c r="D82" s="2393"/>
      <c r="E82" s="2408">
        <f>C82+D82</f>
        <v>0</v>
      </c>
      <c r="F82" s="3911">
        <f>E82/$E$89</f>
        <v>0</v>
      </c>
      <c r="G82" s="3228"/>
      <c r="H82" s="2184">
        <v>0</v>
      </c>
      <c r="I82" s="2181">
        <v>0</v>
      </c>
      <c r="J82" s="2408">
        <f>H82+I82</f>
        <v>0</v>
      </c>
      <c r="K82" s="2409"/>
      <c r="L82" s="2187"/>
      <c r="M82" s="2051">
        <v>0</v>
      </c>
      <c r="N82" s="2043">
        <v>0</v>
      </c>
      <c r="O82" s="1515">
        <f>M82+N82</f>
        <v>0</v>
      </c>
      <c r="P82" s="1476"/>
      <c r="Q82" s="1748"/>
      <c r="R82" s="2051">
        <f t="shared" ref="R82:S82" si="337">X82+AC82+AH82+AM82+AR82+AW82+BB82+BG82+BL82+BQ82+BV82+CA82</f>
        <v>0</v>
      </c>
      <c r="S82" s="2043">
        <f t="shared" si="337"/>
        <v>0</v>
      </c>
      <c r="T82" s="1515">
        <f>R82+S82</f>
        <v>0</v>
      </c>
      <c r="U82" s="1476"/>
      <c r="V82" s="1748"/>
      <c r="W82" s="3228"/>
      <c r="X82" s="2184"/>
      <c r="Y82" s="2181"/>
      <c r="Z82" s="2408">
        <f>X82+Y82</f>
        <v>0</v>
      </c>
      <c r="AA82" s="2409"/>
      <c r="AB82" s="3274"/>
      <c r="AC82" s="2184"/>
      <c r="AD82" s="2181"/>
      <c r="AE82" s="2408">
        <f>AC82+AD82</f>
        <v>0</v>
      </c>
      <c r="AF82" s="2409"/>
      <c r="AG82" s="3274"/>
      <c r="AH82" s="2184"/>
      <c r="AI82" s="2181"/>
      <c r="AJ82" s="2408">
        <f t="shared" ref="AJ82" si="338">AH82+AI82</f>
        <v>0</v>
      </c>
      <c r="AK82" s="2409"/>
      <c r="AL82" s="3274"/>
      <c r="AM82" s="2184"/>
      <c r="AN82" s="2181"/>
      <c r="AO82" s="2408">
        <f t="shared" ref="AO82" si="339">AM82+AN82</f>
        <v>0</v>
      </c>
      <c r="AP82" s="2409"/>
      <c r="AQ82" s="3274"/>
      <c r="AR82" s="2184"/>
      <c r="AS82" s="2181"/>
      <c r="AT82" s="2408">
        <f t="shared" ref="AT82" si="340">AR82+AS82</f>
        <v>0</v>
      </c>
      <c r="AU82" s="2409"/>
      <c r="AV82" s="3274"/>
      <c r="AW82" s="2184"/>
      <c r="AX82" s="2181"/>
      <c r="AY82" s="2408">
        <f t="shared" ref="AY82" si="341">AW82+AX82</f>
        <v>0</v>
      </c>
      <c r="AZ82" s="2409"/>
      <c r="BA82" s="3274"/>
      <c r="BB82" s="2184"/>
      <c r="BC82" s="2181"/>
      <c r="BD82" s="2408">
        <f t="shared" ref="BD82" si="342">BB82+BC82</f>
        <v>0</v>
      </c>
      <c r="BE82" s="2409"/>
      <c r="BF82" s="3274"/>
      <c r="BG82" s="2184"/>
      <c r="BH82" s="2181"/>
      <c r="BI82" s="2408">
        <f t="shared" ref="BI82" si="343">BG82+BH82</f>
        <v>0</v>
      </c>
      <c r="BJ82" s="2409"/>
      <c r="BK82" s="3274"/>
      <c r="BL82" s="2184"/>
      <c r="BM82" s="2181"/>
      <c r="BN82" s="2408">
        <f t="shared" ref="BN82" si="344">BL82+BM82</f>
        <v>0</v>
      </c>
      <c r="BO82" s="2409"/>
      <c r="BP82" s="3274"/>
      <c r="BQ82" s="2184"/>
      <c r="BR82" s="2181"/>
      <c r="BS82" s="2408">
        <f t="shared" ref="BS82" si="345">BQ82+BR82</f>
        <v>0</v>
      </c>
      <c r="BT82" s="2409"/>
      <c r="BU82" s="3274"/>
      <c r="BV82" s="2184"/>
      <c r="BW82" s="2181"/>
      <c r="BX82" s="2408">
        <f t="shared" ref="BX82" si="346">BV82+BW82</f>
        <v>0</v>
      </c>
      <c r="BY82" s="2409"/>
      <c r="BZ82" s="3274"/>
      <c r="CA82" s="2184"/>
      <c r="CB82" s="2181"/>
      <c r="CC82" s="2408">
        <f t="shared" ref="CC82" si="347">CA82+CB82</f>
        <v>0</v>
      </c>
      <c r="CD82" s="2409"/>
      <c r="CE82" s="3274"/>
      <c r="CF82" s="2184">
        <f t="shared" ref="CF82:CG82" si="348">H82+M82+R82</f>
        <v>0</v>
      </c>
      <c r="CG82" s="2181">
        <f t="shared" si="348"/>
        <v>0</v>
      </c>
      <c r="CH82" s="2180">
        <f>CF82+CG82*1</f>
        <v>0</v>
      </c>
      <c r="CI82" s="2409"/>
      <c r="CJ82" s="2409"/>
      <c r="CK82" s="3213"/>
      <c r="CL82" s="3213"/>
      <c r="CM82" s="3211"/>
      <c r="CN82" s="2192"/>
      <c r="CO82" s="2192"/>
    </row>
    <row r="83" spans="1:93" s="1396" customFormat="1" ht="14.4" customHeight="1" outlineLevel="1">
      <c r="A83" s="2309"/>
      <c r="B83" s="3942" t="s">
        <v>13</v>
      </c>
      <c r="C83" s="3943">
        <f>(C81+C7)-C36</f>
        <v>3078363.9985915436</v>
      </c>
      <c r="D83" s="3943">
        <f>(D81+D7)-D36</f>
        <v>-943670.17249999999</v>
      </c>
      <c r="E83" s="3943">
        <f>(E81+E7)-E36</f>
        <v>2134693.8260915433</v>
      </c>
      <c r="F83" s="3944"/>
      <c r="G83" s="3945"/>
      <c r="H83" s="3943">
        <f>(H81)-H36</f>
        <v>-211439.03000000003</v>
      </c>
      <c r="I83" s="3943">
        <f t="shared" ref="I83:J83" si="349">(I81)-I36</f>
        <v>-113051</v>
      </c>
      <c r="J83" s="3946">
        <f t="shared" si="349"/>
        <v>-343888.97000000003</v>
      </c>
      <c r="K83" s="3947"/>
      <c r="L83" s="3948"/>
      <c r="M83" s="3396">
        <f>(M81)-M36</f>
        <v>2212136.3239999986</v>
      </c>
      <c r="N83" s="3396">
        <f t="shared" ref="N83:O83" si="350">(N81)-N36</f>
        <v>-1227640.8299999998</v>
      </c>
      <c r="O83" s="3397">
        <f t="shared" si="350"/>
        <v>870146.1339999988</v>
      </c>
      <c r="P83" s="3398"/>
      <c r="Q83" s="3854"/>
      <c r="R83" s="3396">
        <f>(R81)-R36</f>
        <v>-546624.06600000011</v>
      </c>
      <c r="S83" s="3396">
        <f t="shared" ref="S83:T83" si="351">(S81)-S36</f>
        <v>0</v>
      </c>
      <c r="T83" s="3397">
        <f t="shared" si="351"/>
        <v>-546624.06600000011</v>
      </c>
      <c r="U83" s="3398"/>
      <c r="V83" s="3854"/>
      <c r="W83" s="3945"/>
      <c r="X83" s="3943">
        <f t="shared" ref="X83:CH83" si="352">(X81)-X36</f>
        <v>0</v>
      </c>
      <c r="Y83" s="3943">
        <f t="shared" si="352"/>
        <v>0</v>
      </c>
      <c r="Z83" s="3946">
        <f t="shared" si="352"/>
        <v>0</v>
      </c>
      <c r="AA83" s="3947"/>
      <c r="AB83" s="3948"/>
      <c r="AC83" s="3943">
        <f t="shared" ref="AC83:AE83" si="353">(AC81)-AC36</f>
        <v>0</v>
      </c>
      <c r="AD83" s="3943">
        <f t="shared" si="353"/>
        <v>0</v>
      </c>
      <c r="AE83" s="3946">
        <f t="shared" si="353"/>
        <v>0</v>
      </c>
      <c r="AF83" s="3947"/>
      <c r="AG83" s="3948"/>
      <c r="AH83" s="3943">
        <f t="shared" ref="AH83:AJ83" si="354">(AH81)-AH36</f>
        <v>-546624.06600000011</v>
      </c>
      <c r="AI83" s="3943">
        <f t="shared" si="354"/>
        <v>0</v>
      </c>
      <c r="AJ83" s="3946">
        <f t="shared" si="354"/>
        <v>-546624.06600000011</v>
      </c>
      <c r="AK83" s="3947"/>
      <c r="AL83" s="3948"/>
      <c r="AM83" s="3943">
        <f t="shared" ref="AM83:AO83" si="355">(AM81)-AM36</f>
        <v>0</v>
      </c>
      <c r="AN83" s="3943">
        <f t="shared" si="355"/>
        <v>0</v>
      </c>
      <c r="AO83" s="3946">
        <f t="shared" si="355"/>
        <v>0</v>
      </c>
      <c r="AP83" s="3947"/>
      <c r="AQ83" s="3948"/>
      <c r="AR83" s="3943">
        <f t="shared" ref="AR83:AT83" si="356">(AR81)-AR36</f>
        <v>0</v>
      </c>
      <c r="AS83" s="3943">
        <f t="shared" si="356"/>
        <v>0</v>
      </c>
      <c r="AT83" s="3946">
        <f t="shared" si="356"/>
        <v>0</v>
      </c>
      <c r="AU83" s="3947"/>
      <c r="AV83" s="3948"/>
      <c r="AW83" s="3943">
        <f t="shared" ref="AW83:AY83" si="357">(AW81)-AW36</f>
        <v>0</v>
      </c>
      <c r="AX83" s="3943">
        <f t="shared" si="357"/>
        <v>0</v>
      </c>
      <c r="AY83" s="3946">
        <f t="shared" si="357"/>
        <v>0</v>
      </c>
      <c r="AZ83" s="3947"/>
      <c r="BA83" s="3948"/>
      <c r="BB83" s="3943">
        <f t="shared" ref="BB83:BD83" si="358">(BB81)-BB36</f>
        <v>0</v>
      </c>
      <c r="BC83" s="3943">
        <f t="shared" si="358"/>
        <v>0</v>
      </c>
      <c r="BD83" s="3946">
        <f t="shared" si="358"/>
        <v>0</v>
      </c>
      <c r="BE83" s="3947"/>
      <c r="BF83" s="3948"/>
      <c r="BG83" s="3943">
        <f t="shared" ref="BG83:BI83" si="359">(BG81)-BG36</f>
        <v>0</v>
      </c>
      <c r="BH83" s="3943">
        <f t="shared" si="359"/>
        <v>0</v>
      </c>
      <c r="BI83" s="3946">
        <f t="shared" si="359"/>
        <v>0</v>
      </c>
      <c r="BJ83" s="3947"/>
      <c r="BK83" s="3948"/>
      <c r="BL83" s="3943">
        <f t="shared" ref="BL83:BN83" si="360">(BL81)-BL36</f>
        <v>0</v>
      </c>
      <c r="BM83" s="3943">
        <f t="shared" si="360"/>
        <v>0</v>
      </c>
      <c r="BN83" s="3946">
        <f t="shared" si="360"/>
        <v>0</v>
      </c>
      <c r="BO83" s="3947"/>
      <c r="BP83" s="3948"/>
      <c r="BQ83" s="3943">
        <f t="shared" ref="BQ83:BS83" si="361">(BQ81)-BQ36</f>
        <v>0</v>
      </c>
      <c r="BR83" s="3943">
        <f t="shared" si="361"/>
        <v>0</v>
      </c>
      <c r="BS83" s="3946">
        <f t="shared" si="361"/>
        <v>0</v>
      </c>
      <c r="BT83" s="3947"/>
      <c r="BU83" s="3948"/>
      <c r="BV83" s="3943">
        <f t="shared" ref="BV83:BX83" si="362">(BV81)-BV36</f>
        <v>0</v>
      </c>
      <c r="BW83" s="3943">
        <f t="shared" si="362"/>
        <v>0</v>
      </c>
      <c r="BX83" s="3946">
        <f t="shared" si="362"/>
        <v>0</v>
      </c>
      <c r="BY83" s="3947"/>
      <c r="BZ83" s="3948"/>
      <c r="CA83" s="3943">
        <f t="shared" ref="CA83:CC83" si="363">(CA81)-CA36</f>
        <v>0</v>
      </c>
      <c r="CB83" s="3943">
        <f t="shared" si="363"/>
        <v>0</v>
      </c>
      <c r="CC83" s="3946">
        <f t="shared" si="363"/>
        <v>0</v>
      </c>
      <c r="CD83" s="3947"/>
      <c r="CE83" s="3948"/>
      <c r="CF83" s="3943">
        <f t="shared" ref="CF83" si="364">(CF81)-CF36</f>
        <v>1454073.2279999992</v>
      </c>
      <c r="CG83" s="3943">
        <f t="shared" si="352"/>
        <v>-1340691.8299999998</v>
      </c>
      <c r="CH83" s="3946">
        <f t="shared" si="352"/>
        <v>-20366.9020000007</v>
      </c>
      <c r="CI83" s="3947"/>
      <c r="CJ83" s="3948"/>
      <c r="CK83" s="3213"/>
      <c r="CL83" s="3213"/>
      <c r="CM83" s="3211"/>
      <c r="CN83" s="2192"/>
      <c r="CO83" s="2192"/>
    </row>
    <row r="84" spans="1:93" s="1396" customFormat="1" ht="14.4" customHeight="1" outlineLevel="1" thickBot="1">
      <c r="A84" s="2309"/>
      <c r="B84" s="3275" t="s">
        <v>14</v>
      </c>
      <c r="C84" s="3276">
        <f>C83-C73-C82</f>
        <v>2843269.816615371</v>
      </c>
      <c r="D84" s="3276">
        <f>D83-D73-D82</f>
        <v>-943670.17249999999</v>
      </c>
      <c r="E84" s="3276">
        <f>E83-E73-E82</f>
        <v>1899599.6441153707</v>
      </c>
      <c r="F84" s="3277"/>
      <c r="G84" s="3278"/>
      <c r="H84" s="3279">
        <f>H83-H73-H82</f>
        <v>-211439.03000000003</v>
      </c>
      <c r="I84" s="3279">
        <f>I83-I73-I82</f>
        <v>-113051</v>
      </c>
      <c r="J84" s="3279">
        <f>J83-J73-J82</f>
        <v>-343888.97000000003</v>
      </c>
      <c r="K84" s="3280"/>
      <c r="L84" s="3281"/>
      <c r="M84" s="2852">
        <f>M83-M73-M82</f>
        <v>2212136.3239999986</v>
      </c>
      <c r="N84" s="2852">
        <f>N83-N73-N82</f>
        <v>-1227640.8299999998</v>
      </c>
      <c r="O84" s="2852">
        <f>O83-O73-O82</f>
        <v>870146.1339999988</v>
      </c>
      <c r="P84" s="2853"/>
      <c r="Q84" s="2854"/>
      <c r="R84" s="2852">
        <f>R83-R73-R82</f>
        <v>-546624.06600000011</v>
      </c>
      <c r="S84" s="2852">
        <f>S83-S73-S82</f>
        <v>0</v>
      </c>
      <c r="T84" s="2852">
        <f>T83-T73-T82</f>
        <v>-546624.06600000011</v>
      </c>
      <c r="U84" s="2853"/>
      <c r="V84" s="2854"/>
      <c r="W84" s="3278"/>
      <c r="X84" s="3279">
        <f>X83-X73-X82</f>
        <v>0</v>
      </c>
      <c r="Y84" s="3279">
        <f>Y83-Y73-Y82</f>
        <v>0</v>
      </c>
      <c r="Z84" s="3279">
        <f>Z83-Z73-Z82</f>
        <v>0</v>
      </c>
      <c r="AA84" s="3280"/>
      <c r="AB84" s="3281"/>
      <c r="AC84" s="3279">
        <f>AC83-AC73-AC82</f>
        <v>0</v>
      </c>
      <c r="AD84" s="3279">
        <f>AD83-AD73-AD82</f>
        <v>0</v>
      </c>
      <c r="AE84" s="3279">
        <f>AE83-AE73-AE82</f>
        <v>0</v>
      </c>
      <c r="AF84" s="3280"/>
      <c r="AG84" s="3281"/>
      <c r="AH84" s="3279">
        <f t="shared" ref="AH84:AJ84" si="365">AH83-AH73-AH82</f>
        <v>-546624.06600000011</v>
      </c>
      <c r="AI84" s="3279">
        <f t="shared" si="365"/>
        <v>0</v>
      </c>
      <c r="AJ84" s="3279">
        <f t="shared" si="365"/>
        <v>-546624.06600000011</v>
      </c>
      <c r="AK84" s="3280"/>
      <c r="AL84" s="3281"/>
      <c r="AM84" s="3279">
        <f t="shared" ref="AM84:AO84" si="366">AM83-AM73-AM82</f>
        <v>0</v>
      </c>
      <c r="AN84" s="3279">
        <f t="shared" si="366"/>
        <v>0</v>
      </c>
      <c r="AO84" s="3279">
        <f t="shared" si="366"/>
        <v>0</v>
      </c>
      <c r="AP84" s="3280"/>
      <c r="AQ84" s="3281"/>
      <c r="AR84" s="3279">
        <f t="shared" ref="AR84:AT84" si="367">AR83-AR73-AR82</f>
        <v>0</v>
      </c>
      <c r="AS84" s="3279">
        <f t="shared" si="367"/>
        <v>0</v>
      </c>
      <c r="AT84" s="3279">
        <f t="shared" si="367"/>
        <v>0</v>
      </c>
      <c r="AU84" s="3280"/>
      <c r="AV84" s="3281"/>
      <c r="AW84" s="3279">
        <f t="shared" ref="AW84:AY84" si="368">AW83-AW73-AW82</f>
        <v>0</v>
      </c>
      <c r="AX84" s="3279">
        <f t="shared" si="368"/>
        <v>0</v>
      </c>
      <c r="AY84" s="3279">
        <f t="shared" si="368"/>
        <v>0</v>
      </c>
      <c r="AZ84" s="3280"/>
      <c r="BA84" s="3281"/>
      <c r="BB84" s="3279">
        <f t="shared" ref="BB84:BD84" si="369">BB83-BB73-BB82</f>
        <v>0</v>
      </c>
      <c r="BC84" s="3279">
        <f t="shared" si="369"/>
        <v>0</v>
      </c>
      <c r="BD84" s="3279">
        <f t="shared" si="369"/>
        <v>0</v>
      </c>
      <c r="BE84" s="3280"/>
      <c r="BF84" s="3281"/>
      <c r="BG84" s="3279">
        <f t="shared" ref="BG84:BI84" si="370">BG83-BG73-BG82</f>
        <v>0</v>
      </c>
      <c r="BH84" s="3279">
        <f t="shared" si="370"/>
        <v>0</v>
      </c>
      <c r="BI84" s="3279">
        <f t="shared" si="370"/>
        <v>0</v>
      </c>
      <c r="BJ84" s="3280"/>
      <c r="BK84" s="3281"/>
      <c r="BL84" s="3279">
        <f t="shared" ref="BL84:BN84" si="371">BL83-BL73-BL82</f>
        <v>0</v>
      </c>
      <c r="BM84" s="3279">
        <f t="shared" si="371"/>
        <v>0</v>
      </c>
      <c r="BN84" s="3279">
        <f t="shared" si="371"/>
        <v>0</v>
      </c>
      <c r="BO84" s="3280"/>
      <c r="BP84" s="3281"/>
      <c r="BQ84" s="3279">
        <f t="shared" ref="BQ84:BS84" si="372">BQ83-BQ73-BQ82</f>
        <v>0</v>
      </c>
      <c r="BR84" s="3279">
        <f t="shared" si="372"/>
        <v>0</v>
      </c>
      <c r="BS84" s="3279">
        <f t="shared" si="372"/>
        <v>0</v>
      </c>
      <c r="BT84" s="3280"/>
      <c r="BU84" s="3281"/>
      <c r="BV84" s="3279">
        <f t="shared" ref="BV84:BX84" si="373">BV83-BV73-BV82</f>
        <v>0</v>
      </c>
      <c r="BW84" s="3279">
        <f t="shared" si="373"/>
        <v>0</v>
      </c>
      <c r="BX84" s="3279">
        <f t="shared" si="373"/>
        <v>0</v>
      </c>
      <c r="BY84" s="3280"/>
      <c r="BZ84" s="3281"/>
      <c r="CA84" s="3279">
        <f t="shared" ref="CA84:CC84" si="374">CA83-CA73-CA82</f>
        <v>0</v>
      </c>
      <c r="CB84" s="3279">
        <f t="shared" si="374"/>
        <v>0</v>
      </c>
      <c r="CC84" s="3279">
        <f t="shared" si="374"/>
        <v>0</v>
      </c>
      <c r="CD84" s="3280"/>
      <c r="CE84" s="3281"/>
      <c r="CF84" s="3279">
        <f>CF83-CF73-CF82</f>
        <v>1454073.2279999992</v>
      </c>
      <c r="CG84" s="3279">
        <f>CG83-CG73-CG82</f>
        <v>-1340691.8299999998</v>
      </c>
      <c r="CH84" s="3279">
        <f>CH83-CH73-CH82</f>
        <v>-20366.9020000007</v>
      </c>
      <c r="CI84" s="3280"/>
      <c r="CJ84" s="3280"/>
      <c r="CK84" s="3213"/>
      <c r="CL84" s="2151"/>
      <c r="CM84" s="3211"/>
      <c r="CN84" s="2192"/>
      <c r="CO84" s="2192"/>
    </row>
    <row r="85" spans="1:93" s="1396" customFormat="1" ht="14.4" customHeight="1" outlineLevel="3">
      <c r="A85" s="2291"/>
      <c r="B85" s="2214" t="s">
        <v>44</v>
      </c>
      <c r="C85" s="2216"/>
      <c r="D85" s="2430"/>
      <c r="E85" s="2431">
        <f>C85+D85</f>
        <v>0</v>
      </c>
      <c r="F85" s="2331">
        <f>E85/$E$89</f>
        <v>0</v>
      </c>
      <c r="G85" s="3228"/>
      <c r="H85" s="2184">
        <v>0</v>
      </c>
      <c r="I85" s="2181">
        <v>0</v>
      </c>
      <c r="J85" s="2180">
        <f>H85+I85*1</f>
        <v>0</v>
      </c>
      <c r="K85" s="2409"/>
      <c r="L85" s="3274"/>
      <c r="M85" s="2051">
        <v>0</v>
      </c>
      <c r="N85" s="2043">
        <v>0</v>
      </c>
      <c r="O85" s="2012">
        <f>M85+N85*1</f>
        <v>0</v>
      </c>
      <c r="P85" s="1476"/>
      <c r="Q85" s="1748"/>
      <c r="R85" s="2051">
        <f t="shared" ref="R85:S85" si="375">X85+AC85+AH85+AM85+AR85+AW85+BB85+BG85+BL85+BQ85+BV85+CA85</f>
        <v>0</v>
      </c>
      <c r="S85" s="2043">
        <f t="shared" si="375"/>
        <v>0</v>
      </c>
      <c r="T85" s="2012">
        <f>R85+S85*1</f>
        <v>0</v>
      </c>
      <c r="U85" s="1476"/>
      <c r="V85" s="1748"/>
      <c r="W85" s="3228"/>
      <c r="X85" s="2184"/>
      <c r="Y85" s="2181"/>
      <c r="Z85" s="2180">
        <f>X85+Y85*1</f>
        <v>0</v>
      </c>
      <c r="AA85" s="2409"/>
      <c r="AB85" s="3274"/>
      <c r="AC85" s="2184"/>
      <c r="AD85" s="2181"/>
      <c r="AE85" s="2180">
        <f>AC85+AD85*1</f>
        <v>0</v>
      </c>
      <c r="AF85" s="2409"/>
      <c r="AG85" s="3274"/>
      <c r="AH85" s="2184"/>
      <c r="AI85" s="2181"/>
      <c r="AJ85" s="2180">
        <f t="shared" ref="AJ85" si="376">AH85+AI85*1</f>
        <v>0</v>
      </c>
      <c r="AK85" s="2409"/>
      <c r="AL85" s="3274"/>
      <c r="AM85" s="2184"/>
      <c r="AN85" s="2181"/>
      <c r="AO85" s="2180">
        <f t="shared" ref="AO85" si="377">AM85+AN85*1</f>
        <v>0</v>
      </c>
      <c r="AP85" s="2409"/>
      <c r="AQ85" s="3274"/>
      <c r="AR85" s="2184"/>
      <c r="AS85" s="2181"/>
      <c r="AT85" s="2180">
        <f t="shared" ref="AT85" si="378">AR85+AS85*1</f>
        <v>0</v>
      </c>
      <c r="AU85" s="2409"/>
      <c r="AV85" s="3274"/>
      <c r="AW85" s="2184"/>
      <c r="AX85" s="2181"/>
      <c r="AY85" s="2180">
        <f t="shared" ref="AY85" si="379">AW85+AX85*1</f>
        <v>0</v>
      </c>
      <c r="AZ85" s="2409"/>
      <c r="BA85" s="3274"/>
      <c r="BB85" s="2184"/>
      <c r="BC85" s="2181"/>
      <c r="BD85" s="2180">
        <f t="shared" ref="BD85" si="380">BB85+BC85*1</f>
        <v>0</v>
      </c>
      <c r="BE85" s="2409"/>
      <c r="BF85" s="3274"/>
      <c r="BG85" s="2184"/>
      <c r="BH85" s="2181"/>
      <c r="BI85" s="2180">
        <f t="shared" ref="BI85" si="381">BG85+BH85*1</f>
        <v>0</v>
      </c>
      <c r="BJ85" s="2409"/>
      <c r="BK85" s="3274"/>
      <c r="BL85" s="2184"/>
      <c r="BM85" s="2181"/>
      <c r="BN85" s="2180">
        <f t="shared" ref="BN85" si="382">BL85+BM85*1</f>
        <v>0</v>
      </c>
      <c r="BO85" s="2409"/>
      <c r="BP85" s="3274"/>
      <c r="BQ85" s="2184"/>
      <c r="BR85" s="2181"/>
      <c r="BS85" s="2180">
        <f t="shared" ref="BS85" si="383">BQ85+BR85*1</f>
        <v>0</v>
      </c>
      <c r="BT85" s="2409"/>
      <c r="BU85" s="3274"/>
      <c r="BV85" s="2184"/>
      <c r="BW85" s="2181"/>
      <c r="BX85" s="2180">
        <f t="shared" ref="BX85" si="384">BV85+BW85*1</f>
        <v>0</v>
      </c>
      <c r="BY85" s="2409"/>
      <c r="BZ85" s="3274"/>
      <c r="CA85" s="2184"/>
      <c r="CB85" s="2181"/>
      <c r="CC85" s="2180">
        <f t="shared" ref="CC85" si="385">CA85+CB85*1</f>
        <v>0</v>
      </c>
      <c r="CD85" s="2409"/>
      <c r="CE85" s="3274"/>
      <c r="CF85" s="2184">
        <f t="shared" ref="CF85:CG85" si="386">H85+M85+R85</f>
        <v>0</v>
      </c>
      <c r="CG85" s="2181">
        <f t="shared" si="386"/>
        <v>0</v>
      </c>
      <c r="CH85" s="2180">
        <f>CF85+CG85*1.15</f>
        <v>0</v>
      </c>
      <c r="CI85" s="2409"/>
      <c r="CJ85" s="2409"/>
      <c r="CK85" s="3213"/>
      <c r="CL85" s="2151"/>
      <c r="CM85" s="3211"/>
      <c r="CN85" s="2192"/>
      <c r="CO85" s="2192"/>
    </row>
    <row r="86" spans="1:93" s="1396" customFormat="1" ht="22.95" customHeight="1">
      <c r="A86" s="2309"/>
      <c r="B86" s="3949" t="s">
        <v>50</v>
      </c>
      <c r="C86" s="3950">
        <f>C84-C85</f>
        <v>2843269.816615371</v>
      </c>
      <c r="D86" s="3950">
        <f>D84-D85</f>
        <v>-943670.17249999999</v>
      </c>
      <c r="E86" s="3951">
        <f>E84-E85</f>
        <v>1899599.6441153707</v>
      </c>
      <c r="F86" s="3952"/>
      <c r="G86" s="3953"/>
      <c r="H86" s="3951">
        <f>H84-H85</f>
        <v>-211439.03000000003</v>
      </c>
      <c r="I86" s="3951">
        <f>I84-I85</f>
        <v>-113051</v>
      </c>
      <c r="J86" s="3951">
        <f>J84-J85</f>
        <v>-343888.97000000003</v>
      </c>
      <c r="K86" s="3954"/>
      <c r="L86" s="3948"/>
      <c r="M86" s="3406">
        <f>M84-M85</f>
        <v>2212136.3239999986</v>
      </c>
      <c r="N86" s="3406">
        <f>N84-N85</f>
        <v>-1227640.8299999998</v>
      </c>
      <c r="O86" s="3406">
        <f>O84-O85</f>
        <v>870146.1339999988</v>
      </c>
      <c r="P86" s="3407"/>
      <c r="Q86" s="3854"/>
      <c r="R86" s="3406">
        <f>R84-R85</f>
        <v>-546624.06600000011</v>
      </c>
      <c r="S86" s="3406">
        <f>S84-S85</f>
        <v>0</v>
      </c>
      <c r="T86" s="3406">
        <f>T84-T85</f>
        <v>-546624.06600000011</v>
      </c>
      <c r="U86" s="3407"/>
      <c r="V86" s="3854"/>
      <c r="W86" s="3953"/>
      <c r="X86" s="3951">
        <f>X84-X85</f>
        <v>0</v>
      </c>
      <c r="Y86" s="3951">
        <f>Y84-Y85</f>
        <v>0</v>
      </c>
      <c r="Z86" s="3951">
        <f>Z84-Z85</f>
        <v>0</v>
      </c>
      <c r="AA86" s="3954"/>
      <c r="AB86" s="3948"/>
      <c r="AC86" s="3951">
        <f>AC84-AC85</f>
        <v>0</v>
      </c>
      <c r="AD86" s="3951">
        <f>AD84-AD85</f>
        <v>0</v>
      </c>
      <c r="AE86" s="3951">
        <f>AE84-AE85</f>
        <v>0</v>
      </c>
      <c r="AF86" s="3954"/>
      <c r="AG86" s="3948"/>
      <c r="AH86" s="3951">
        <f t="shared" ref="AH86:AJ86" si="387">AH84-AH85</f>
        <v>-546624.06600000011</v>
      </c>
      <c r="AI86" s="3951">
        <f t="shared" si="387"/>
        <v>0</v>
      </c>
      <c r="AJ86" s="3951">
        <f t="shared" si="387"/>
        <v>-546624.06600000011</v>
      </c>
      <c r="AK86" s="3954"/>
      <c r="AL86" s="3948"/>
      <c r="AM86" s="3951">
        <f t="shared" ref="AM86:AO86" si="388">AM84-AM85</f>
        <v>0</v>
      </c>
      <c r="AN86" s="3951">
        <f t="shared" si="388"/>
        <v>0</v>
      </c>
      <c r="AO86" s="3951">
        <f t="shared" si="388"/>
        <v>0</v>
      </c>
      <c r="AP86" s="3954"/>
      <c r="AQ86" s="3948"/>
      <c r="AR86" s="3951">
        <f t="shared" ref="AR86:AT86" si="389">AR84-AR85</f>
        <v>0</v>
      </c>
      <c r="AS86" s="3951">
        <f t="shared" si="389"/>
        <v>0</v>
      </c>
      <c r="AT86" s="3951">
        <f t="shared" si="389"/>
        <v>0</v>
      </c>
      <c r="AU86" s="3954"/>
      <c r="AV86" s="3948"/>
      <c r="AW86" s="3951">
        <f t="shared" ref="AW86:AY86" si="390">AW84-AW85</f>
        <v>0</v>
      </c>
      <c r="AX86" s="3951">
        <f t="shared" si="390"/>
        <v>0</v>
      </c>
      <c r="AY86" s="3951">
        <f t="shared" si="390"/>
        <v>0</v>
      </c>
      <c r="AZ86" s="3954"/>
      <c r="BA86" s="3948"/>
      <c r="BB86" s="3951">
        <f t="shared" ref="BB86:BD86" si="391">BB84-BB85</f>
        <v>0</v>
      </c>
      <c r="BC86" s="3951">
        <f t="shared" si="391"/>
        <v>0</v>
      </c>
      <c r="BD86" s="3951">
        <f t="shared" si="391"/>
        <v>0</v>
      </c>
      <c r="BE86" s="3954"/>
      <c r="BF86" s="3948"/>
      <c r="BG86" s="3951">
        <f t="shared" ref="BG86:BI86" si="392">BG84-BG85</f>
        <v>0</v>
      </c>
      <c r="BH86" s="3951">
        <f t="shared" si="392"/>
        <v>0</v>
      </c>
      <c r="BI86" s="3951">
        <f t="shared" si="392"/>
        <v>0</v>
      </c>
      <c r="BJ86" s="3954"/>
      <c r="BK86" s="3948"/>
      <c r="BL86" s="3951">
        <f t="shared" ref="BL86:BN86" si="393">BL84-BL85</f>
        <v>0</v>
      </c>
      <c r="BM86" s="3951">
        <f t="shared" si="393"/>
        <v>0</v>
      </c>
      <c r="BN86" s="3951">
        <f t="shared" si="393"/>
        <v>0</v>
      </c>
      <c r="BO86" s="3954"/>
      <c r="BP86" s="3948"/>
      <c r="BQ86" s="3951">
        <f t="shared" ref="BQ86:BS86" si="394">BQ84-BQ85</f>
        <v>0</v>
      </c>
      <c r="BR86" s="3951">
        <f t="shared" si="394"/>
        <v>0</v>
      </c>
      <c r="BS86" s="3951">
        <f t="shared" si="394"/>
        <v>0</v>
      </c>
      <c r="BT86" s="3954"/>
      <c r="BU86" s="3948"/>
      <c r="BV86" s="3951">
        <f t="shared" ref="BV86:BX86" si="395">BV84-BV85</f>
        <v>0</v>
      </c>
      <c r="BW86" s="3951">
        <f t="shared" si="395"/>
        <v>0</v>
      </c>
      <c r="BX86" s="3951">
        <f t="shared" si="395"/>
        <v>0</v>
      </c>
      <c r="BY86" s="3954"/>
      <c r="BZ86" s="3948"/>
      <c r="CA86" s="3951">
        <f t="shared" ref="CA86:CC86" si="396">CA84-CA85</f>
        <v>0</v>
      </c>
      <c r="CB86" s="3951">
        <f t="shared" si="396"/>
        <v>0</v>
      </c>
      <c r="CC86" s="3951">
        <f t="shared" si="396"/>
        <v>0</v>
      </c>
      <c r="CD86" s="3954"/>
      <c r="CE86" s="3948"/>
      <c r="CF86" s="3951">
        <f t="shared" ref="CF86:CG86" si="397">CF84-CF85</f>
        <v>1454073.2279999992</v>
      </c>
      <c r="CG86" s="3951">
        <f t="shared" si="397"/>
        <v>-1340691.8299999998</v>
      </c>
      <c r="CH86" s="3951">
        <f>CH84-CH85</f>
        <v>-20366.9020000007</v>
      </c>
      <c r="CI86" s="3954"/>
      <c r="CJ86" s="3954"/>
      <c r="CK86" s="3213"/>
      <c r="CL86" s="2151"/>
      <c r="CM86" s="3211"/>
      <c r="CN86" s="2192"/>
      <c r="CO86" s="2192"/>
    </row>
    <row r="87" spans="1:93" s="1396" customFormat="1" ht="14.4" customHeight="1" thickBot="1">
      <c r="A87" s="2300"/>
      <c r="B87" s="3282" t="s">
        <v>51</v>
      </c>
      <c r="C87" s="2856">
        <f>C86/C5</f>
        <v>0.36282520384577738</v>
      </c>
      <c r="D87" s="3283" t="e">
        <f>D86/D5</f>
        <v>#DIV/0!</v>
      </c>
      <c r="E87" s="2858">
        <f>E86/E5</f>
        <v>0.24240493254417067</v>
      </c>
      <c r="F87" s="3284"/>
      <c r="G87" s="3285"/>
      <c r="H87" s="2856" t="e">
        <f>H86/H5</f>
        <v>#DIV/0!</v>
      </c>
      <c r="I87" s="3283" t="e">
        <f>I86/I5</f>
        <v>#DIV/0!</v>
      </c>
      <c r="J87" s="2858" t="e">
        <f>J86/J5</f>
        <v>#DIV/0!</v>
      </c>
      <c r="K87" s="3286"/>
      <c r="L87" s="3287"/>
      <c r="M87" s="2856">
        <f>M86/M5</f>
        <v>0.27034259473814953</v>
      </c>
      <c r="N87" s="2857" t="e">
        <f>N86/N5</f>
        <v>#DIV/0!</v>
      </c>
      <c r="O87" s="2858">
        <f>O86/O5</f>
        <v>0.10633954205931179</v>
      </c>
      <c r="P87" s="2860"/>
      <c r="Q87" s="2861"/>
      <c r="R87" s="2856" t="e">
        <f>R86/R5</f>
        <v>#DIV/0!</v>
      </c>
      <c r="S87" s="2857" t="e">
        <f>S86/S5</f>
        <v>#DIV/0!</v>
      </c>
      <c r="T87" s="2858" t="e">
        <f>T86/T5</f>
        <v>#DIV/0!</v>
      </c>
      <c r="U87" s="2860"/>
      <c r="V87" s="2861"/>
      <c r="W87" s="3285"/>
      <c r="X87" s="2856" t="e">
        <f>X86/X5</f>
        <v>#DIV/0!</v>
      </c>
      <c r="Y87" s="3283" t="e">
        <f>Y86/Y5</f>
        <v>#DIV/0!</v>
      </c>
      <c r="Z87" s="2858" t="e">
        <f>Z86/Z5</f>
        <v>#DIV/0!</v>
      </c>
      <c r="AA87" s="3286"/>
      <c r="AB87" s="3287"/>
      <c r="AC87" s="2856" t="e">
        <f>AC86/AC5</f>
        <v>#DIV/0!</v>
      </c>
      <c r="AD87" s="3283" t="e">
        <f>AD86/AD5</f>
        <v>#DIV/0!</v>
      </c>
      <c r="AE87" s="2858" t="e">
        <f>AE86/AE5</f>
        <v>#DIV/0!</v>
      </c>
      <c r="AF87" s="3286"/>
      <c r="AG87" s="3287"/>
      <c r="AH87" s="2856" t="e">
        <f t="shared" ref="AH87:AJ87" si="398">AH86/AH5</f>
        <v>#DIV/0!</v>
      </c>
      <c r="AI87" s="3283" t="e">
        <f t="shared" si="398"/>
        <v>#DIV/0!</v>
      </c>
      <c r="AJ87" s="2858" t="e">
        <f t="shared" si="398"/>
        <v>#DIV/0!</v>
      </c>
      <c r="AK87" s="3286"/>
      <c r="AL87" s="3287"/>
      <c r="AM87" s="2856" t="e">
        <f t="shared" ref="AM87:AO87" si="399">AM86/AM5</f>
        <v>#DIV/0!</v>
      </c>
      <c r="AN87" s="3283" t="e">
        <f t="shared" si="399"/>
        <v>#DIV/0!</v>
      </c>
      <c r="AO87" s="2858" t="e">
        <f t="shared" si="399"/>
        <v>#DIV/0!</v>
      </c>
      <c r="AP87" s="3286"/>
      <c r="AQ87" s="3287"/>
      <c r="AR87" s="2856" t="e">
        <f t="shared" ref="AR87:AT87" si="400">AR86/AR5</f>
        <v>#DIV/0!</v>
      </c>
      <c r="AS87" s="3283" t="e">
        <f t="shared" si="400"/>
        <v>#DIV/0!</v>
      </c>
      <c r="AT87" s="2858" t="e">
        <f t="shared" si="400"/>
        <v>#DIV/0!</v>
      </c>
      <c r="AU87" s="3286"/>
      <c r="AV87" s="3287"/>
      <c r="AW87" s="2856" t="e">
        <f t="shared" ref="AW87:AY87" si="401">AW86/AW5</f>
        <v>#DIV/0!</v>
      </c>
      <c r="AX87" s="3283" t="e">
        <f t="shared" si="401"/>
        <v>#DIV/0!</v>
      </c>
      <c r="AY87" s="2858" t="e">
        <f t="shared" si="401"/>
        <v>#DIV/0!</v>
      </c>
      <c r="AZ87" s="3286"/>
      <c r="BA87" s="3287"/>
      <c r="BB87" s="2856" t="e">
        <f t="shared" ref="BB87:BD87" si="402">BB86/BB5</f>
        <v>#DIV/0!</v>
      </c>
      <c r="BC87" s="3283" t="e">
        <f t="shared" si="402"/>
        <v>#DIV/0!</v>
      </c>
      <c r="BD87" s="2858" t="e">
        <f t="shared" si="402"/>
        <v>#DIV/0!</v>
      </c>
      <c r="BE87" s="3286"/>
      <c r="BF87" s="3287"/>
      <c r="BG87" s="2856" t="e">
        <f t="shared" ref="BG87:BI87" si="403">BG86/BG5</f>
        <v>#DIV/0!</v>
      </c>
      <c r="BH87" s="3283" t="e">
        <f t="shared" si="403"/>
        <v>#DIV/0!</v>
      </c>
      <c r="BI87" s="2858" t="e">
        <f t="shared" si="403"/>
        <v>#DIV/0!</v>
      </c>
      <c r="BJ87" s="3286"/>
      <c r="BK87" s="3287"/>
      <c r="BL87" s="2856" t="e">
        <f t="shared" ref="BL87:BN87" si="404">BL86/BL5</f>
        <v>#DIV/0!</v>
      </c>
      <c r="BM87" s="3283" t="e">
        <f t="shared" si="404"/>
        <v>#DIV/0!</v>
      </c>
      <c r="BN87" s="2858" t="e">
        <f t="shared" si="404"/>
        <v>#DIV/0!</v>
      </c>
      <c r="BO87" s="3286"/>
      <c r="BP87" s="3287"/>
      <c r="BQ87" s="2856" t="e">
        <f t="shared" ref="BQ87:BS87" si="405">BQ86/BQ5</f>
        <v>#DIV/0!</v>
      </c>
      <c r="BR87" s="3283" t="e">
        <f t="shared" si="405"/>
        <v>#DIV/0!</v>
      </c>
      <c r="BS87" s="2858" t="e">
        <f t="shared" si="405"/>
        <v>#DIV/0!</v>
      </c>
      <c r="BT87" s="3286"/>
      <c r="BU87" s="3287"/>
      <c r="BV87" s="2856" t="e">
        <f t="shared" ref="BV87:BX87" si="406">BV86/BV5</f>
        <v>#DIV/0!</v>
      </c>
      <c r="BW87" s="3283" t="e">
        <f t="shared" si="406"/>
        <v>#DIV/0!</v>
      </c>
      <c r="BX87" s="2858" t="e">
        <f t="shared" si="406"/>
        <v>#DIV/0!</v>
      </c>
      <c r="BY87" s="3286"/>
      <c r="BZ87" s="3287"/>
      <c r="CA87" s="2856" t="e">
        <f t="shared" ref="CA87:CC87" si="407">CA86/CA5</f>
        <v>#DIV/0!</v>
      </c>
      <c r="CB87" s="3283" t="e">
        <f t="shared" si="407"/>
        <v>#DIV/0!</v>
      </c>
      <c r="CC87" s="2858" t="e">
        <f t="shared" si="407"/>
        <v>#DIV/0!</v>
      </c>
      <c r="CD87" s="3286"/>
      <c r="CE87" s="3287"/>
      <c r="CF87" s="2856">
        <f>CF86/CF5</f>
        <v>0.17770058975659989</v>
      </c>
      <c r="CG87" s="3283" t="e">
        <f>CG86/CG5</f>
        <v>#DIV/0!</v>
      </c>
      <c r="CH87" s="2858">
        <f>CH86/CH5</f>
        <v>-2.4890152897547196E-3</v>
      </c>
      <c r="CI87" s="3286"/>
      <c r="CJ87" s="3286"/>
      <c r="CK87" s="3213"/>
      <c r="CL87" s="2151"/>
      <c r="CM87" s="3211"/>
      <c r="CN87" s="2192"/>
      <c r="CO87" s="2192"/>
    </row>
    <row r="88" spans="1:93" ht="13.8">
      <c r="A88" s="2444"/>
      <c r="B88" s="2444"/>
      <c r="C88" s="2445"/>
      <c r="D88" s="2445"/>
      <c r="E88" s="2445"/>
      <c r="F88" s="2446"/>
      <c r="G88" s="2446"/>
      <c r="H88" s="2447"/>
      <c r="I88" s="2447"/>
      <c r="J88" s="2447"/>
      <c r="K88" s="2447"/>
      <c r="L88" s="3288"/>
      <c r="M88" s="1954"/>
      <c r="N88" s="1954"/>
      <c r="O88" s="1954"/>
      <c r="P88" s="1954"/>
      <c r="Q88" s="1605"/>
      <c r="R88" s="1954"/>
      <c r="S88" s="1954"/>
      <c r="T88" s="1954"/>
      <c r="U88" s="1954"/>
      <c r="V88" s="1605"/>
      <c r="W88" s="2446"/>
      <c r="X88" s="2447"/>
      <c r="Y88" s="2447"/>
      <c r="Z88" s="2447"/>
      <c r="AA88" s="2447"/>
      <c r="AB88" s="3288"/>
      <c r="AC88" s="2447"/>
      <c r="AD88" s="2447"/>
      <c r="AE88" s="2447"/>
      <c r="AF88" s="2447"/>
      <c r="AG88" s="3288"/>
      <c r="AH88" s="2447"/>
      <c r="AI88" s="2447"/>
      <c r="AJ88" s="2447"/>
      <c r="AK88" s="2447"/>
      <c r="AL88" s="3288"/>
      <c r="AM88" s="2447"/>
      <c r="AN88" s="2447"/>
      <c r="AO88" s="2447"/>
      <c r="AP88" s="2447"/>
      <c r="AQ88" s="3288"/>
      <c r="AR88" s="2447"/>
      <c r="AS88" s="2447"/>
      <c r="AT88" s="2447"/>
      <c r="AU88" s="2447"/>
      <c r="AV88" s="3288"/>
      <c r="AW88" s="2447"/>
      <c r="AX88" s="2447"/>
      <c r="AY88" s="2447"/>
      <c r="AZ88" s="2447"/>
      <c r="BA88" s="3288"/>
      <c r="BB88" s="2447"/>
      <c r="BC88" s="2447"/>
      <c r="BD88" s="2447"/>
      <c r="BE88" s="2447"/>
      <c r="BF88" s="3288"/>
      <c r="BG88" s="2447"/>
      <c r="BH88" s="2447"/>
      <c r="BI88" s="2447"/>
      <c r="BJ88" s="2447"/>
      <c r="BK88" s="3288"/>
      <c r="BL88" s="3288"/>
      <c r="BM88" s="3288"/>
      <c r="BN88" s="3288"/>
      <c r="BO88" s="3288"/>
      <c r="BP88" s="3288"/>
      <c r="BQ88" s="2447"/>
      <c r="BR88" s="2447"/>
      <c r="BS88" s="2447"/>
      <c r="BT88" s="2447"/>
      <c r="BU88" s="3288"/>
      <c r="BV88" s="2447"/>
      <c r="BW88" s="2447"/>
      <c r="BX88" s="2447"/>
      <c r="BY88" s="2447"/>
      <c r="BZ88" s="3288"/>
      <c r="CA88" s="1954"/>
      <c r="CB88" s="1954"/>
      <c r="CC88" s="1954"/>
      <c r="CD88" s="1954"/>
      <c r="CE88" s="1605"/>
      <c r="CF88" s="2447"/>
      <c r="CG88" s="2447"/>
      <c r="CH88" s="2447"/>
      <c r="CI88" s="2447"/>
      <c r="CJ88" s="2447"/>
      <c r="CK88" s="2151"/>
      <c r="CL88" s="2151"/>
      <c r="CM88" s="3205"/>
      <c r="CN88" s="2154"/>
      <c r="CO88" s="2154"/>
    </row>
    <row r="89" spans="1:93">
      <c r="A89" s="2150"/>
      <c r="B89" s="2449" t="s">
        <v>56</v>
      </c>
      <c r="C89" s="2450"/>
      <c r="D89" s="2450"/>
      <c r="E89" s="2451">
        <f>E8+E36+E41+E50+E54+E73+E79+E82+E85</f>
        <v>5941873.0884237196</v>
      </c>
      <c r="F89" s="2452"/>
      <c r="G89" s="2452"/>
      <c r="H89" s="2151"/>
      <c r="I89" s="2151"/>
      <c r="J89" s="2451">
        <f>J8+J36+J41+J50+J54+J73+J79+J82+J85</f>
        <v>343888.97000000003</v>
      </c>
      <c r="K89" s="2151"/>
      <c r="L89" s="3289"/>
      <c r="O89" s="1960">
        <f>O8+O36+O41+O50+O54+O73+O79+O82+O85</f>
        <v>7312568.5660000015</v>
      </c>
      <c r="Q89" s="1606"/>
      <c r="T89" s="1960">
        <f>T8+T36+T41+T50+T54+T73+T79+T82+T85</f>
        <v>546624.06600000011</v>
      </c>
      <c r="V89" s="1606"/>
      <c r="W89" s="2452"/>
      <c r="X89" s="2151"/>
      <c r="Y89" s="2151"/>
      <c r="Z89" s="2451">
        <f>Z8+Z36+Z41+Z50+Z54+Z73+Z79+Z82+Z85</f>
        <v>0</v>
      </c>
      <c r="AA89" s="2151"/>
      <c r="AB89" s="3289"/>
      <c r="AC89" s="2151"/>
      <c r="AD89" s="2151"/>
      <c r="AE89" s="2451">
        <f>AE8+AE36+AE41+AE50+AE54+AE73+AE79+AE82+AE85</f>
        <v>0</v>
      </c>
      <c r="AF89" s="2151"/>
      <c r="AG89" s="3289"/>
      <c r="AH89" s="2151"/>
      <c r="AI89" s="2151"/>
      <c r="AJ89" s="2451">
        <f>AJ8+AJ36+AJ41+AJ50+AJ54+AJ73+AJ79+AJ82+AJ85</f>
        <v>546624.06600000011</v>
      </c>
      <c r="AK89" s="2151"/>
      <c r="AL89" s="3289"/>
      <c r="AM89" s="2151"/>
      <c r="AN89" s="2151"/>
      <c r="AO89" s="2451">
        <f>AO8+AO36+AO41+AO50+AO54+AO73+AO79+AO82+AO85</f>
        <v>0</v>
      </c>
      <c r="AP89" s="2151"/>
      <c r="AQ89" s="3289"/>
      <c r="AR89" s="2151"/>
      <c r="AS89" s="2151"/>
      <c r="AT89" s="2451">
        <f>AT8+AT36+AT41+AT50+AT54+AT73+AT79+AT82+AT85</f>
        <v>0</v>
      </c>
      <c r="AU89" s="2151"/>
      <c r="AV89" s="3289"/>
      <c r="AW89" s="2151"/>
      <c r="AX89" s="2151"/>
      <c r="AY89" s="2451">
        <f>AY8+AY36+AY41+AY50+AY54+AY73+AY79+AY82+AY85</f>
        <v>0</v>
      </c>
      <c r="AZ89" s="2151"/>
      <c r="BA89" s="3289"/>
      <c r="BB89" s="3289"/>
      <c r="BC89" s="3289"/>
      <c r="BD89" s="2451">
        <f>BD8+BD36+BD41+BD50+BD54+BD73+BD79+BD82+BD85</f>
        <v>0</v>
      </c>
      <c r="BE89" s="3289"/>
      <c r="BF89" s="3289"/>
      <c r="BG89" s="3289"/>
      <c r="BH89" s="3289"/>
      <c r="BI89" s="2451">
        <f>BI8+BI36+BI41+BI50+BI54+BI73+BI79+BI82+BI85</f>
        <v>0</v>
      </c>
      <c r="BJ89" s="3289"/>
      <c r="BK89" s="3289"/>
      <c r="BL89" s="3289"/>
      <c r="BM89" s="3289"/>
      <c r="BN89" s="3289"/>
      <c r="BO89" s="3289"/>
      <c r="BP89" s="3289"/>
      <c r="BQ89" s="2151"/>
      <c r="BR89" s="2151"/>
      <c r="BS89" s="2451">
        <f>BS8+BS36+BS41+BS50+BS54+BS73+BS79+BS82+BS85</f>
        <v>0</v>
      </c>
      <c r="BT89" s="2151"/>
      <c r="BU89" s="3289"/>
      <c r="BV89" s="2151"/>
      <c r="BW89" s="2151"/>
      <c r="BX89" s="2451">
        <f>BX8+BX36+BX41+BX50+BX54+BX73+BX79+BX82+BX85</f>
        <v>0</v>
      </c>
      <c r="BY89" s="2151"/>
      <c r="BZ89" s="3289"/>
      <c r="CC89" s="1960">
        <f>CC8+CC36+CC41+CC50+CC54+CC73+CC79+CC82+CC85</f>
        <v>0</v>
      </c>
      <c r="CE89" s="1606"/>
      <c r="CF89" s="3289"/>
      <c r="CG89" s="3289"/>
      <c r="CH89" s="2451">
        <f>CH8+CH36+CH41+CH50+CH54+CH73+CH79+CH82+CH85-CH78</f>
        <v>8203081.602</v>
      </c>
      <c r="CI89" s="2151"/>
      <c r="CJ89" s="2151"/>
      <c r="CK89" s="2151"/>
      <c r="CL89" s="2151">
        <f>SUM(CL7:CL87)+CH96+CH95</f>
        <v>-242569.2855999993</v>
      </c>
      <c r="CM89" s="3205"/>
      <c r="CN89" s="2154"/>
      <c r="CO89" s="2154"/>
    </row>
    <row r="90" spans="1:93" s="2470" customFormat="1" ht="13.95" customHeight="1">
      <c r="A90" s="2454"/>
      <c r="B90" s="2454"/>
      <c r="C90" s="2455"/>
      <c r="D90" s="2455"/>
      <c r="E90" s="2455"/>
      <c r="F90" s="2456"/>
      <c r="G90" s="2456"/>
      <c r="H90" s="2456"/>
      <c r="I90" s="2456"/>
      <c r="J90" s="2456"/>
      <c r="K90" s="2456"/>
      <c r="L90" s="3290"/>
      <c r="M90" s="2468"/>
      <c r="N90" s="2468"/>
      <c r="O90" s="2468"/>
      <c r="P90" s="2468"/>
      <c r="Q90" s="1857"/>
      <c r="R90" s="2468"/>
      <c r="S90" s="2468"/>
      <c r="T90" s="2468"/>
      <c r="U90" s="2468"/>
      <c r="V90" s="1857"/>
      <c r="W90" s="2456"/>
      <c r="X90" s="2456"/>
      <c r="Y90" s="2456"/>
      <c r="Z90" s="2456"/>
      <c r="AA90" s="2456"/>
      <c r="AB90" s="3290"/>
      <c r="AC90" s="2456"/>
      <c r="AD90" s="2456"/>
      <c r="AE90" s="2456"/>
      <c r="AF90" s="2456"/>
      <c r="AG90" s="3290"/>
      <c r="AH90" s="2456"/>
      <c r="AI90" s="2456"/>
      <c r="AJ90" s="2456"/>
      <c r="AK90" s="2456"/>
      <c r="AL90" s="3290"/>
      <c r="AM90" s="2456"/>
      <c r="AN90" s="2456"/>
      <c r="AO90" s="2456"/>
      <c r="AP90" s="2456"/>
      <c r="AQ90" s="3290"/>
      <c r="AR90" s="2456"/>
      <c r="AS90" s="2456"/>
      <c r="AT90" s="2456"/>
      <c r="AU90" s="2456"/>
      <c r="AV90" s="3290"/>
      <c r="AW90" s="2456"/>
      <c r="AX90" s="2456"/>
      <c r="AY90" s="2456"/>
      <c r="AZ90" s="2456"/>
      <c r="BA90" s="3290"/>
      <c r="BB90" s="2456"/>
      <c r="BC90" s="2456"/>
      <c r="BD90" s="2456"/>
      <c r="BE90" s="2456"/>
      <c r="BF90" s="3290"/>
      <c r="BG90" s="2456"/>
      <c r="BH90" s="2456"/>
      <c r="BI90" s="2456"/>
      <c r="BJ90" s="2456"/>
      <c r="BK90" s="3290"/>
      <c r="BL90" s="3290"/>
      <c r="BM90" s="3290"/>
      <c r="BN90" s="3290"/>
      <c r="BO90" s="3290"/>
      <c r="BP90" s="3290"/>
      <c r="BQ90" s="2456"/>
      <c r="BR90" s="2456"/>
      <c r="BS90" s="2456"/>
      <c r="BT90" s="2456"/>
      <c r="BU90" s="3290"/>
      <c r="BV90" s="2456"/>
      <c r="BW90" s="2456"/>
      <c r="BX90" s="2456"/>
      <c r="BY90" s="2456"/>
      <c r="BZ90" s="3290"/>
      <c r="CA90" s="2468"/>
      <c r="CB90" s="2468"/>
      <c r="CC90" s="2468"/>
      <c r="CD90" s="2468"/>
      <c r="CE90" s="1857"/>
      <c r="CF90" s="2456"/>
      <c r="CG90" s="2456"/>
      <c r="CH90" s="2453">
        <f>(J89+O89+Z89+AE89+AJ89+AO89+AT89+AY89+BD89+BI89+BS89+BX89+CC89)-CH89</f>
        <v>0</v>
      </c>
      <c r="CI90" s="2456"/>
      <c r="CJ90" s="2456"/>
      <c r="CK90" s="2456"/>
      <c r="CL90" s="2151"/>
      <c r="CM90" s="3291"/>
      <c r="CN90" s="2457"/>
      <c r="CO90" s="2457"/>
    </row>
    <row r="91" spans="1:93" s="2469" customFormat="1" ht="13.8" thickBot="1">
      <c r="A91" s="2454"/>
      <c r="B91" s="2454"/>
      <c r="C91" s="2455"/>
      <c r="D91" s="2455"/>
      <c r="E91" s="2455"/>
      <c r="F91" s="2456"/>
      <c r="G91" s="2456"/>
      <c r="H91" s="2228"/>
      <c r="I91" s="2228"/>
      <c r="J91" s="2228"/>
      <c r="K91" s="2456"/>
      <c r="L91" s="3290"/>
      <c r="M91" s="1586"/>
      <c r="N91" s="1586"/>
      <c r="O91" s="1586"/>
      <c r="P91" s="2468"/>
      <c r="Q91" s="1857"/>
      <c r="R91" s="1586"/>
      <c r="S91" s="1586"/>
      <c r="T91" s="1586"/>
      <c r="U91" s="2468"/>
      <c r="V91" s="1857"/>
      <c r="W91" s="2456"/>
      <c r="X91" s="2456"/>
      <c r="Y91" s="2456"/>
      <c r="Z91" s="2456"/>
      <c r="AA91" s="2456"/>
      <c r="AB91" s="3290"/>
      <c r="AC91" s="2151"/>
      <c r="AD91" s="2151"/>
      <c r="AE91" s="2151"/>
      <c r="AF91" s="2456"/>
      <c r="AG91" s="3290"/>
      <c r="AH91" s="2456"/>
      <c r="AI91" s="2456"/>
      <c r="AJ91" s="2456"/>
      <c r="AK91" s="2456"/>
      <c r="AL91" s="3290"/>
      <c r="AM91" s="2456"/>
      <c r="AN91" s="2456"/>
      <c r="AO91" s="2456"/>
      <c r="AP91" s="2456"/>
      <c r="AQ91" s="3290"/>
      <c r="AR91" s="2456"/>
      <c r="AS91" s="2456"/>
      <c r="AT91" s="2456"/>
      <c r="AU91" s="2456"/>
      <c r="AV91" s="3290"/>
      <c r="AW91" s="2456"/>
      <c r="AX91" s="2228"/>
      <c r="AY91" s="2228"/>
      <c r="AZ91" s="2228"/>
      <c r="BA91" s="3290"/>
      <c r="BB91" s="2456"/>
      <c r="BC91" s="2456"/>
      <c r="BD91" s="2456"/>
      <c r="BE91" s="2456"/>
      <c r="BF91" s="3290"/>
      <c r="BG91" s="2456"/>
      <c r="BH91" s="2456"/>
      <c r="BI91" s="2456"/>
      <c r="BJ91" s="2456"/>
      <c r="BK91" s="3290"/>
      <c r="BL91" s="3290"/>
      <c r="BM91" s="3290"/>
      <c r="BN91" s="3290"/>
      <c r="BO91" s="3290"/>
      <c r="BP91" s="3290"/>
      <c r="BQ91" s="2456"/>
      <c r="BR91" s="2228"/>
      <c r="BS91" s="2228"/>
      <c r="BT91" s="2228"/>
      <c r="BU91" s="3290"/>
      <c r="BV91" s="2456"/>
      <c r="BW91" s="2228"/>
      <c r="BX91" s="2228"/>
      <c r="BY91" s="2228"/>
      <c r="BZ91" s="3290"/>
      <c r="CA91" s="2468"/>
      <c r="CB91" s="1586"/>
      <c r="CC91" s="1586"/>
      <c r="CD91" s="1586"/>
      <c r="CE91" s="1857"/>
      <c r="CF91" s="2456"/>
      <c r="CG91" s="2456"/>
      <c r="CH91" s="2151"/>
      <c r="CI91" s="2456"/>
      <c r="CJ91" s="2456"/>
      <c r="CK91" s="3292"/>
      <c r="CL91" s="2151"/>
      <c r="CM91" s="3293"/>
      <c r="CN91" s="2458"/>
      <c r="CO91" s="2458"/>
    </row>
    <row r="92" spans="1:93" ht="15" thickBot="1">
      <c r="A92" s="2150"/>
      <c r="B92" s="2150"/>
      <c r="C92" s="2151"/>
      <c r="D92" s="2151"/>
      <c r="E92" s="2151"/>
      <c r="F92" s="2151"/>
      <c r="G92" s="2151"/>
      <c r="H92" s="3294"/>
      <c r="I92" s="3294"/>
      <c r="J92" s="3294"/>
      <c r="K92" s="3289"/>
      <c r="L92" s="3289"/>
      <c r="M92" s="1963"/>
      <c r="N92" s="1963"/>
      <c r="O92" s="1963"/>
      <c r="P92" s="1606"/>
      <c r="Q92" s="1606"/>
      <c r="R92" s="1963"/>
      <c r="S92" s="1963"/>
      <c r="T92" s="1963"/>
      <c r="U92" s="1606"/>
      <c r="V92" s="1606"/>
      <c r="W92" s="2151"/>
      <c r="X92" s="3289"/>
      <c r="Y92" s="3289"/>
      <c r="Z92" s="3289"/>
      <c r="AA92" s="3289"/>
      <c r="AB92" s="3289"/>
      <c r="AC92" s="2151"/>
      <c r="AD92" s="2151"/>
      <c r="AE92" s="2151"/>
      <c r="AF92" s="3289"/>
      <c r="AG92" s="3289"/>
      <c r="AH92" s="3289"/>
      <c r="AI92" s="3289"/>
      <c r="AJ92" s="3289"/>
      <c r="AK92" s="3289"/>
      <c r="AL92" s="3289"/>
      <c r="AM92" s="2151"/>
      <c r="AN92" s="2151"/>
      <c r="AO92" s="2151"/>
      <c r="AP92" s="3289"/>
      <c r="AQ92" s="3289"/>
      <c r="AR92" s="3289"/>
      <c r="AS92" s="3289"/>
      <c r="AT92" s="3289"/>
      <c r="AU92" s="3289"/>
      <c r="AV92" s="3289"/>
      <c r="AW92" s="3295"/>
      <c r="AX92" s="3296"/>
      <c r="AY92" s="3296"/>
      <c r="AZ92" s="3296"/>
      <c r="BA92" s="3295"/>
      <c r="BB92" s="3289"/>
      <c r="BC92" s="3289"/>
      <c r="BD92" s="3289"/>
      <c r="BE92" s="3289"/>
      <c r="BF92" s="3289"/>
      <c r="BG92" s="3289"/>
      <c r="BH92" s="3289"/>
      <c r="BI92" s="3289"/>
      <c r="BJ92" s="3289"/>
      <c r="BK92" s="3289"/>
      <c r="BL92" s="3289"/>
      <c r="BM92" s="3289"/>
      <c r="BN92" s="3289"/>
      <c r="BO92" s="3289"/>
      <c r="BP92" s="3289"/>
      <c r="BQ92" s="2456"/>
      <c r="BR92" s="3296"/>
      <c r="BS92" s="3296"/>
      <c r="BT92" s="3296"/>
      <c r="BU92" s="3295"/>
      <c r="BV92" s="2456"/>
      <c r="BW92" s="3296"/>
      <c r="BX92" s="3296"/>
      <c r="BY92" s="3296"/>
      <c r="BZ92" s="3295"/>
      <c r="CA92" s="2468"/>
      <c r="CB92" s="1218"/>
      <c r="CC92" s="1218"/>
      <c r="CD92" s="1218"/>
      <c r="CE92" s="1342"/>
      <c r="CF92" s="2151"/>
      <c r="CG92" s="2151" t="s">
        <v>1374</v>
      </c>
      <c r="CH92" s="2151">
        <v>-252511.78759999899</v>
      </c>
      <c r="CI92" s="2456"/>
      <c r="CJ92" s="3297">
        <v>1899600.0756153699</v>
      </c>
      <c r="CK92" s="2151"/>
      <c r="CL92" s="2151"/>
      <c r="CM92" s="3205"/>
      <c r="CN92" s="2154"/>
      <c r="CO92" s="2154"/>
    </row>
    <row r="93" spans="1:93" s="1396" customFormat="1">
      <c r="A93" s="2150"/>
      <c r="B93" s="2150"/>
      <c r="C93" s="2151"/>
      <c r="D93" s="2151"/>
      <c r="E93" s="2151"/>
      <c r="F93" s="2151"/>
      <c r="G93" s="2151"/>
      <c r="H93" s="3294"/>
      <c r="I93" s="3294"/>
      <c r="J93" s="3294"/>
      <c r="K93" s="3289"/>
      <c r="L93" s="3289"/>
      <c r="M93" s="1963"/>
      <c r="N93" s="1963"/>
      <c r="O93" s="1963"/>
      <c r="P93" s="1606"/>
      <c r="Q93" s="1606"/>
      <c r="R93" s="1963"/>
      <c r="S93" s="1963"/>
      <c r="T93" s="1963"/>
      <c r="U93" s="1606"/>
      <c r="V93" s="1606"/>
      <c r="W93" s="2151"/>
      <c r="X93" s="3289"/>
      <c r="Y93" s="3289"/>
      <c r="Z93" s="3289"/>
      <c r="AA93" s="3289"/>
      <c r="AB93" s="3289"/>
      <c r="AC93" s="2151"/>
      <c r="AD93" s="2151"/>
      <c r="AE93" s="2151"/>
      <c r="AF93" s="3289"/>
      <c r="AG93" s="3289"/>
      <c r="AH93" s="3289"/>
      <c r="AI93" s="3289"/>
      <c r="AJ93" s="3289"/>
      <c r="AK93" s="3289"/>
      <c r="AL93" s="3289"/>
      <c r="AM93" s="2192"/>
      <c r="AN93" s="2192"/>
      <c r="AO93" s="2192"/>
      <c r="AP93" s="3289"/>
      <c r="AQ93" s="3289"/>
      <c r="AR93" s="3289"/>
      <c r="AS93" s="3289"/>
      <c r="AT93" s="3289"/>
      <c r="AU93" s="3289"/>
      <c r="AV93" s="3289"/>
      <c r="AW93" s="3298"/>
      <c r="AX93" s="3296"/>
      <c r="AY93" s="3296"/>
      <c r="AZ93" s="3296"/>
      <c r="BA93" s="3298"/>
      <c r="BB93" s="3289"/>
      <c r="BC93" s="3289"/>
      <c r="BD93" s="3289"/>
      <c r="BE93" s="3289"/>
      <c r="BF93" s="3289"/>
      <c r="BG93" s="3289"/>
      <c r="BH93" s="3289"/>
      <c r="BI93" s="3289"/>
      <c r="BJ93" s="3289"/>
      <c r="BK93" s="3289"/>
      <c r="BL93" s="3289"/>
      <c r="BM93" s="3289"/>
      <c r="BN93" s="3289"/>
      <c r="BO93" s="3289"/>
      <c r="BP93" s="3289"/>
      <c r="BQ93" s="2456"/>
      <c r="BR93" s="3296"/>
      <c r="BS93" s="3296"/>
      <c r="BT93" s="3296"/>
      <c r="BU93" s="3298"/>
      <c r="BV93" s="2456"/>
      <c r="BW93" s="3296"/>
      <c r="BX93" s="3296"/>
      <c r="BY93" s="3296"/>
      <c r="BZ93" s="3298"/>
      <c r="CA93" s="2468"/>
      <c r="CB93" s="1218"/>
      <c r="CC93" s="1218"/>
      <c r="CD93" s="1218"/>
      <c r="CE93" s="1036"/>
      <c r="CF93" s="2151"/>
      <c r="CG93" s="2151" t="s">
        <v>1373</v>
      </c>
      <c r="CH93" s="2151">
        <f>CH92-CH86</f>
        <v>-232144.88559999829</v>
      </c>
      <c r="CI93" s="2456"/>
      <c r="CJ93" s="2456"/>
      <c r="CK93" s="3213"/>
      <c r="CL93" s="2151"/>
      <c r="CM93" s="3211"/>
      <c r="CN93" s="2192"/>
      <c r="CO93" s="2192"/>
    </row>
    <row r="94" spans="1:93" s="1396" customFormat="1">
      <c r="A94" s="2150"/>
      <c r="B94" s="2150"/>
      <c r="C94" s="2151"/>
      <c r="D94" s="2151"/>
      <c r="E94" s="2151"/>
      <c r="F94" s="2151"/>
      <c r="G94" s="2151"/>
      <c r="H94" s="3294"/>
      <c r="I94" s="3294"/>
      <c r="J94" s="3294"/>
      <c r="K94" s="3294"/>
      <c r="L94" s="3294"/>
      <c r="M94" s="1963"/>
      <c r="N94" s="1963"/>
      <c r="O94" s="1963"/>
      <c r="P94" s="1963"/>
      <c r="Q94" s="1963"/>
      <c r="R94" s="1963"/>
      <c r="S94" s="1963"/>
      <c r="T94" s="1963"/>
      <c r="U94" s="1963"/>
      <c r="V94" s="1963"/>
      <c r="W94" s="2151"/>
      <c r="X94" s="3294"/>
      <c r="Y94" s="3294"/>
      <c r="Z94" s="3294"/>
      <c r="AA94" s="3294"/>
      <c r="AB94" s="3294"/>
      <c r="AC94" s="2151"/>
      <c r="AD94" s="2151"/>
      <c r="AE94" s="2151"/>
      <c r="AF94" s="3294"/>
      <c r="AG94" s="3294"/>
      <c r="AH94" s="3294"/>
      <c r="AI94" s="3294"/>
      <c r="AJ94" s="3294"/>
      <c r="AK94" s="3294"/>
      <c r="AL94" s="3294"/>
      <c r="AM94" s="2192"/>
      <c r="AN94" s="2192"/>
      <c r="AO94" s="2192"/>
      <c r="AP94" s="3294"/>
      <c r="AQ94" s="3294"/>
      <c r="AR94" s="3294"/>
      <c r="AS94" s="3294"/>
      <c r="AT94" s="3294"/>
      <c r="AU94" s="3294"/>
      <c r="AV94" s="3294"/>
      <c r="AW94" s="3294"/>
      <c r="AX94" s="3294"/>
      <c r="AY94" s="3294"/>
      <c r="AZ94" s="3294"/>
      <c r="BA94" s="3294"/>
      <c r="BB94" s="3294"/>
      <c r="BC94" s="3294"/>
      <c r="BD94" s="3294"/>
      <c r="BE94" s="3294"/>
      <c r="BF94" s="3294"/>
      <c r="BG94" s="3294"/>
      <c r="BH94" s="3294"/>
      <c r="BI94" s="3294"/>
      <c r="BJ94" s="3294"/>
      <c r="BK94" s="3294"/>
      <c r="BL94" s="3294"/>
      <c r="BM94" s="3294"/>
      <c r="BN94" s="3294"/>
      <c r="BO94" s="3294"/>
      <c r="BP94" s="3294"/>
      <c r="BQ94" s="3294"/>
      <c r="BR94" s="3294"/>
      <c r="BS94" s="3294"/>
      <c r="BT94" s="3294"/>
      <c r="BU94" s="3294"/>
      <c r="BV94" s="3294"/>
      <c r="BW94" s="3294"/>
      <c r="BX94" s="3294"/>
      <c r="BY94" s="3294"/>
      <c r="BZ94" s="3294"/>
      <c r="CA94" s="1963"/>
      <c r="CB94" s="1963"/>
      <c r="CC94" s="1963"/>
      <c r="CD94" s="1963"/>
      <c r="CE94" s="1963"/>
      <c r="CF94" s="2151"/>
      <c r="CG94" s="3299"/>
      <c r="CH94" s="2151"/>
      <c r="CI94" s="2456"/>
      <c r="CJ94" s="2151"/>
      <c r="CK94" s="3213"/>
      <c r="CL94" s="2151"/>
      <c r="CM94" s="3211"/>
      <c r="CN94" s="2192"/>
      <c r="CO94" s="2192"/>
    </row>
    <row r="95" spans="1:93" s="1396" customFormat="1">
      <c r="A95" s="2150"/>
      <c r="B95" s="2150"/>
      <c r="C95" s="2151"/>
      <c r="D95" s="2151"/>
      <c r="E95" s="2151"/>
      <c r="F95" s="2151"/>
      <c r="G95" s="2151"/>
      <c r="H95" s="3294"/>
      <c r="I95" s="3294"/>
      <c r="J95" s="3294"/>
      <c r="K95" s="3294"/>
      <c r="L95" s="3294"/>
      <c r="M95" s="1963"/>
      <c r="N95" s="1963"/>
      <c r="O95" s="1963"/>
      <c r="P95" s="1963"/>
      <c r="Q95" s="1963"/>
      <c r="R95" s="1963"/>
      <c r="S95" s="1963"/>
      <c r="T95" s="1963"/>
      <c r="U95" s="1963"/>
      <c r="V95" s="1963"/>
      <c r="W95" s="2151"/>
      <c r="X95" s="3294"/>
      <c r="Y95" s="3294"/>
      <c r="Z95" s="3294"/>
      <c r="AA95" s="3294"/>
      <c r="AB95" s="3294"/>
      <c r="AC95" s="2151"/>
      <c r="AD95" s="2151"/>
      <c r="AE95" s="2151"/>
      <c r="AF95" s="3294"/>
      <c r="AG95" s="3294"/>
      <c r="AH95" s="3294"/>
      <c r="AI95" s="3294"/>
      <c r="AJ95" s="3294"/>
      <c r="AK95" s="3294"/>
      <c r="AL95" s="3294"/>
      <c r="AM95" s="2192"/>
      <c r="AN95" s="2192"/>
      <c r="AO95" s="2192"/>
      <c r="AP95" s="3294"/>
      <c r="AQ95" s="3294"/>
      <c r="AR95" s="3294"/>
      <c r="AS95" s="3294"/>
      <c r="AT95" s="3294"/>
      <c r="AU95" s="3294"/>
      <c r="AV95" s="3294"/>
      <c r="AW95" s="3294"/>
      <c r="AX95" s="3294"/>
      <c r="AY95" s="3294"/>
      <c r="AZ95" s="3294"/>
      <c r="BA95" s="3294"/>
      <c r="BB95" s="3294"/>
      <c r="BC95" s="3294"/>
      <c r="BD95" s="3294"/>
      <c r="BE95" s="3294"/>
      <c r="BF95" s="3294"/>
      <c r="BG95" s="3294"/>
      <c r="BH95" s="3294"/>
      <c r="BI95" s="3294"/>
      <c r="BJ95" s="3294"/>
      <c r="BK95" s="3294"/>
      <c r="BL95" s="3294"/>
      <c r="BM95" s="3294"/>
      <c r="BN95" s="3294"/>
      <c r="BO95" s="3294"/>
      <c r="BP95" s="3294"/>
      <c r="BQ95" s="3294"/>
      <c r="BR95" s="3294"/>
      <c r="BS95" s="3294"/>
      <c r="BT95" s="3294"/>
      <c r="BU95" s="3294"/>
      <c r="BV95" s="3294"/>
      <c r="BW95" s="3294"/>
      <c r="BX95" s="3294"/>
      <c r="BY95" s="3294"/>
      <c r="BZ95" s="3294"/>
      <c r="CA95" s="1963"/>
      <c r="CB95" s="1963"/>
      <c r="CC95" s="1963"/>
      <c r="CD95" s="1963"/>
      <c r="CE95" s="1963"/>
      <c r="CF95" s="2151"/>
      <c r="CG95" s="3300" t="s">
        <v>1402</v>
      </c>
      <c r="CH95" s="2151">
        <f>CK95</f>
        <v>0</v>
      </c>
      <c r="CI95" s="2228"/>
      <c r="CJ95" s="3300"/>
      <c r="CK95" s="2151">
        <f>SUM(CK97:CK98)</f>
        <v>0</v>
      </c>
      <c r="CL95" s="2151"/>
      <c r="CM95" s="3211"/>
      <c r="CN95" s="2192"/>
      <c r="CO95" s="2192"/>
    </row>
    <row r="96" spans="1:93" s="1396" customFormat="1">
      <c r="A96" s="2150"/>
      <c r="B96" s="2150"/>
      <c r="C96" s="2151"/>
      <c r="D96" s="2151"/>
      <c r="E96" s="2151"/>
      <c r="F96" s="2151"/>
      <c r="G96" s="2151"/>
      <c r="H96" s="3294"/>
      <c r="I96" s="3294"/>
      <c r="J96" s="3294"/>
      <c r="K96" s="3294"/>
      <c r="L96" s="3294"/>
      <c r="M96" s="1963"/>
      <c r="N96" s="1963"/>
      <c r="O96" s="1963"/>
      <c r="P96" s="1963"/>
      <c r="Q96" s="1963"/>
      <c r="R96" s="1963"/>
      <c r="S96" s="1963"/>
      <c r="T96" s="1963"/>
      <c r="U96" s="1963"/>
      <c r="V96" s="1963"/>
      <c r="W96" s="2151"/>
      <c r="X96" s="3294"/>
      <c r="Y96" s="3294"/>
      <c r="Z96" s="3294"/>
      <c r="AA96" s="3294"/>
      <c r="AB96" s="3294"/>
      <c r="AC96" s="2151"/>
      <c r="AD96" s="2151"/>
      <c r="AE96" s="2151"/>
      <c r="AF96" s="3294"/>
      <c r="AG96" s="3294"/>
      <c r="AH96" s="3294"/>
      <c r="AI96" s="3294"/>
      <c r="AJ96" s="3294"/>
      <c r="AK96" s="3294"/>
      <c r="AL96" s="3294"/>
      <c r="AM96" s="2192"/>
      <c r="AN96" s="2192"/>
      <c r="AO96" s="2192"/>
      <c r="AP96" s="3294"/>
      <c r="AQ96" s="3294"/>
      <c r="AR96" s="3294"/>
      <c r="AS96" s="3294"/>
      <c r="AT96" s="3294"/>
      <c r="AU96" s="3294"/>
      <c r="AV96" s="3294"/>
      <c r="AW96" s="3294"/>
      <c r="AX96" s="3294"/>
      <c r="AY96" s="3294"/>
      <c r="AZ96" s="3294"/>
      <c r="BA96" s="3294"/>
      <c r="BB96" s="3294"/>
      <c r="BC96" s="3294"/>
      <c r="BD96" s="3294"/>
      <c r="BE96" s="3294"/>
      <c r="BF96" s="3294"/>
      <c r="BG96" s="3294"/>
      <c r="BH96" s="3294"/>
      <c r="BI96" s="3294"/>
      <c r="BJ96" s="3294"/>
      <c r="BK96" s="3294"/>
      <c r="BL96" s="3294"/>
      <c r="BM96" s="3294"/>
      <c r="BN96" s="3294"/>
      <c r="BO96" s="3294"/>
      <c r="BP96" s="3294"/>
      <c r="BQ96" s="3294"/>
      <c r="BR96" s="3294"/>
      <c r="BS96" s="3294"/>
      <c r="BT96" s="3294"/>
      <c r="BU96" s="3294"/>
      <c r="BV96" s="3294"/>
      <c r="BW96" s="3294"/>
      <c r="BX96" s="3294"/>
      <c r="BY96" s="3294"/>
      <c r="BZ96" s="3294"/>
      <c r="CA96" s="1963"/>
      <c r="CB96" s="1963"/>
      <c r="CC96" s="1963"/>
      <c r="CD96" s="1963"/>
      <c r="CE96" s="1963"/>
      <c r="CF96" s="2151"/>
      <c r="CG96" s="3300" t="s">
        <v>1818</v>
      </c>
      <c r="CH96" s="2151">
        <f>CO26+CL27+CL45</f>
        <v>-8552.4000000000087</v>
      </c>
      <c r="CI96" s="2228"/>
      <c r="CJ96" s="3300"/>
      <c r="CK96" s="2151"/>
      <c r="CL96" s="2151"/>
      <c r="CM96" s="3211"/>
      <c r="CN96" s="2192"/>
      <c r="CO96" s="2192"/>
    </row>
    <row r="97" spans="1:93">
      <c r="A97" s="2150"/>
      <c r="B97" s="2150"/>
      <c r="C97" s="2151"/>
      <c r="D97" s="2151"/>
      <c r="E97" s="2151"/>
      <c r="F97" s="2151"/>
      <c r="G97" s="2151"/>
      <c r="H97" s="3294"/>
      <c r="I97" s="3294"/>
      <c r="J97" s="3294"/>
      <c r="K97" s="3294"/>
      <c r="L97" s="3294"/>
      <c r="M97" s="1963"/>
      <c r="N97" s="1963"/>
      <c r="O97" s="1963"/>
      <c r="P97" s="1963"/>
      <c r="Q97" s="1963"/>
      <c r="R97" s="1963"/>
      <c r="S97" s="1963"/>
      <c r="T97" s="1963"/>
      <c r="U97" s="1963"/>
      <c r="V97" s="1963"/>
      <c r="W97" s="2151"/>
      <c r="X97" s="3294"/>
      <c r="Y97" s="3294"/>
      <c r="Z97" s="3294"/>
      <c r="AA97" s="3294"/>
      <c r="AB97" s="3294"/>
      <c r="AC97" s="2151"/>
      <c r="AD97" s="2151"/>
      <c r="AE97" s="2151"/>
      <c r="AF97" s="3294"/>
      <c r="AG97" s="3294"/>
      <c r="AH97" s="3294"/>
      <c r="AI97" s="3294"/>
      <c r="AJ97" s="3294"/>
      <c r="AK97" s="3294"/>
      <c r="AL97" s="3294"/>
      <c r="AM97" s="2151"/>
      <c r="AN97" s="2151"/>
      <c r="AO97" s="2151"/>
      <c r="AP97" s="3294"/>
      <c r="AQ97" s="3294"/>
      <c r="AR97" s="3294"/>
      <c r="AS97" s="3294"/>
      <c r="AT97" s="3294"/>
      <c r="AU97" s="3294"/>
      <c r="AV97" s="3294"/>
      <c r="AW97" s="3294"/>
      <c r="AX97" s="3294"/>
      <c r="AY97" s="3294"/>
      <c r="AZ97" s="3294"/>
      <c r="BA97" s="3294"/>
      <c r="BB97" s="3294"/>
      <c r="BC97" s="3294"/>
      <c r="BD97" s="3294"/>
      <c r="BE97" s="3294"/>
      <c r="BF97" s="3294"/>
      <c r="BG97" s="3294"/>
      <c r="BH97" s="3294"/>
      <c r="BI97" s="3294"/>
      <c r="BJ97" s="3294"/>
      <c r="BK97" s="3294"/>
      <c r="BL97" s="3294"/>
      <c r="BM97" s="3294"/>
      <c r="BN97" s="3294"/>
      <c r="BO97" s="3294"/>
      <c r="BP97" s="3294"/>
      <c r="BQ97" s="3294"/>
      <c r="BR97" s="3294"/>
      <c r="BS97" s="3294"/>
      <c r="BT97" s="3294"/>
      <c r="BU97" s="3294"/>
      <c r="BV97" s="3294"/>
      <c r="BW97" s="3294"/>
      <c r="BX97" s="3294"/>
      <c r="BY97" s="3294"/>
      <c r="BZ97" s="3294"/>
      <c r="CA97" s="1963"/>
      <c r="CB97" s="1963"/>
      <c r="CC97" s="1963"/>
      <c r="CD97" s="1963"/>
      <c r="CE97" s="1963"/>
      <c r="CF97" s="2151"/>
      <c r="CG97" s="3300" t="s">
        <v>1400</v>
      </c>
      <c r="CH97" s="2151">
        <f>-CL74</f>
        <v>240697.28759999998</v>
      </c>
      <c r="CI97" s="2228"/>
      <c r="CJ97" s="3300"/>
      <c r="CK97" s="2151">
        <f>458353.07*1.2*0</f>
        <v>0</v>
      </c>
      <c r="CL97" s="2151"/>
      <c r="CM97" s="3211"/>
      <c r="CN97" s="2154"/>
      <c r="CO97" s="2154"/>
    </row>
    <row r="98" spans="1:93" s="1396" customFormat="1">
      <c r="A98" s="2150"/>
      <c r="B98" s="2150"/>
      <c r="C98" s="2151"/>
      <c r="D98" s="2151"/>
      <c r="E98" s="2151"/>
      <c r="F98" s="2151"/>
      <c r="G98" s="2151"/>
      <c r="H98" s="2228"/>
      <c r="I98" s="2228"/>
      <c r="J98" s="2228"/>
      <c r="K98" s="2151"/>
      <c r="L98" s="2151"/>
      <c r="M98" s="1586"/>
      <c r="N98" s="1586"/>
      <c r="O98" s="1586"/>
      <c r="P98" s="1952"/>
      <c r="Q98" s="1952"/>
      <c r="R98" s="1586"/>
      <c r="S98" s="1586"/>
      <c r="T98" s="1586"/>
      <c r="U98" s="1952"/>
      <c r="V98" s="1952"/>
      <c r="W98" s="2151"/>
      <c r="X98" s="2151"/>
      <c r="Y98" s="2151"/>
      <c r="Z98" s="2151"/>
      <c r="AA98" s="2151"/>
      <c r="AB98" s="2151"/>
      <c r="AC98" s="2151"/>
      <c r="AD98" s="2151"/>
      <c r="AE98" s="2151"/>
      <c r="AF98" s="2151"/>
      <c r="AG98" s="2151"/>
      <c r="AH98" s="2151"/>
      <c r="AI98" s="2151"/>
      <c r="AJ98" s="2151"/>
      <c r="AK98" s="2151"/>
      <c r="AL98" s="2151"/>
      <c r="AM98" s="2192"/>
      <c r="AN98" s="2192"/>
      <c r="AO98" s="2192"/>
      <c r="AP98" s="2151"/>
      <c r="AQ98" s="2151"/>
      <c r="AR98" s="2151"/>
      <c r="AS98" s="2151"/>
      <c r="AT98" s="2151"/>
      <c r="AU98" s="2151"/>
      <c r="AV98" s="2151"/>
      <c r="AW98" s="2151"/>
      <c r="AX98" s="2228"/>
      <c r="AY98" s="2228"/>
      <c r="AZ98" s="2228"/>
      <c r="BA98" s="2151"/>
      <c r="BB98" s="2151"/>
      <c r="BC98" s="2151"/>
      <c r="BD98" s="2151"/>
      <c r="BE98" s="2151"/>
      <c r="BF98" s="2151"/>
      <c r="BG98" s="2151"/>
      <c r="BH98" s="2151"/>
      <c r="BI98" s="2151"/>
      <c r="BJ98" s="2151"/>
      <c r="BK98" s="2151"/>
      <c r="BL98" s="2151"/>
      <c r="BM98" s="2151"/>
      <c r="BN98" s="2151"/>
      <c r="BO98" s="2151"/>
      <c r="BP98" s="2151"/>
      <c r="BQ98" s="2151"/>
      <c r="BR98" s="2228"/>
      <c r="BS98" s="2228"/>
      <c r="BT98" s="2228"/>
      <c r="BU98" s="2151"/>
      <c r="BV98" s="2151"/>
      <c r="BW98" s="2228"/>
      <c r="BX98" s="2228"/>
      <c r="BY98" s="2228"/>
      <c r="BZ98" s="2151"/>
      <c r="CA98" s="1952"/>
      <c r="CB98" s="1586"/>
      <c r="CC98" s="1586"/>
      <c r="CD98" s="1586"/>
      <c r="CE98" s="1952"/>
      <c r="CF98" s="2151"/>
      <c r="CG98" s="3300" t="s">
        <v>2020</v>
      </c>
      <c r="CH98" s="2151"/>
      <c r="CI98" s="2228"/>
      <c r="CJ98" s="3300"/>
      <c r="CK98" s="2151">
        <f>14299.88*1.2*0</f>
        <v>0</v>
      </c>
      <c r="CL98" s="2151"/>
      <c r="CM98" s="3211"/>
      <c r="CN98" s="2192"/>
      <c r="CO98" s="2192"/>
    </row>
    <row r="99" spans="1:93">
      <c r="A99" s="2150"/>
      <c r="B99" s="2150"/>
      <c r="C99" s="2151"/>
      <c r="D99" s="2151"/>
      <c r="E99" s="2151"/>
      <c r="F99" s="2151"/>
      <c r="G99" s="2151"/>
      <c r="H99" s="2228"/>
      <c r="I99" s="2228"/>
      <c r="J99" s="2228"/>
      <c r="K99" s="2151"/>
      <c r="L99" s="2151"/>
      <c r="M99" s="1586"/>
      <c r="N99" s="1586"/>
      <c r="O99" s="1586"/>
      <c r="R99" s="1586"/>
      <c r="S99" s="1586"/>
      <c r="T99" s="1586"/>
      <c r="W99" s="2151"/>
      <c r="X99" s="2151"/>
      <c r="Y99" s="2151"/>
      <c r="Z99" s="2151"/>
      <c r="AA99" s="2151"/>
      <c r="AB99" s="2151"/>
      <c r="AC99" s="2151"/>
      <c r="AD99" s="2151"/>
      <c r="AE99" s="2151"/>
      <c r="AF99" s="2151"/>
      <c r="AG99" s="2151"/>
      <c r="AH99" s="2151"/>
      <c r="AI99" s="2151"/>
      <c r="AJ99" s="2151"/>
      <c r="AK99" s="2151"/>
      <c r="AL99" s="2151"/>
      <c r="AM99" s="2151"/>
      <c r="AN99" s="2151"/>
      <c r="AO99" s="2151"/>
      <c r="AP99" s="2151"/>
      <c r="AQ99" s="2151"/>
      <c r="AR99" s="2151"/>
      <c r="AS99" s="2151"/>
      <c r="AT99" s="2151"/>
      <c r="AU99" s="2151"/>
      <c r="AV99" s="2151"/>
      <c r="AW99" s="2151"/>
      <c r="AX99" s="2228"/>
      <c r="AY99" s="2228"/>
      <c r="AZ99" s="2228"/>
      <c r="BA99" s="2151"/>
      <c r="BB99" s="2151"/>
      <c r="BC99" s="2151"/>
      <c r="BD99" s="2151"/>
      <c r="BE99" s="2151"/>
      <c r="BF99" s="2151"/>
      <c r="BG99" s="2151"/>
      <c r="BH99" s="2151"/>
      <c r="BI99" s="2151"/>
      <c r="BJ99" s="2151"/>
      <c r="BK99" s="2151"/>
      <c r="BL99" s="2151"/>
      <c r="BM99" s="2151"/>
      <c r="BN99" s="2151"/>
      <c r="BO99" s="2151"/>
      <c r="BP99" s="2151"/>
      <c r="BQ99" s="2151"/>
      <c r="BR99" s="2228"/>
      <c r="BS99" s="2228"/>
      <c r="BT99" s="2228"/>
      <c r="BU99" s="2151"/>
      <c r="BV99" s="2151"/>
      <c r="BW99" s="2228"/>
      <c r="BX99" s="2228"/>
      <c r="BY99" s="2228"/>
      <c r="BZ99" s="2151"/>
      <c r="CB99" s="1586"/>
      <c r="CC99" s="1586"/>
      <c r="CD99" s="1586"/>
      <c r="CF99" s="2151"/>
      <c r="CI99" s="2456"/>
      <c r="CJ99" s="2151"/>
      <c r="CK99" s="2151"/>
      <c r="CL99" s="2151"/>
      <c r="CM99" s="3211"/>
      <c r="CN99" s="2154"/>
      <c r="CO99" s="2154"/>
    </row>
    <row r="100" spans="1:93">
      <c r="A100" s="2150"/>
      <c r="B100" s="2150"/>
      <c r="C100" s="2461"/>
      <c r="D100" s="2461"/>
      <c r="E100" s="2151"/>
      <c r="F100" s="2151"/>
      <c r="G100" s="2151"/>
      <c r="H100" s="2228"/>
      <c r="I100" s="2228"/>
      <c r="J100" s="2228"/>
      <c r="K100" s="2151"/>
      <c r="L100" s="2151"/>
      <c r="M100" s="1586"/>
      <c r="N100" s="1586"/>
      <c r="O100" s="1586"/>
      <c r="R100" s="1586"/>
      <c r="S100" s="1586"/>
      <c r="T100" s="1586"/>
      <c r="W100" s="2151"/>
      <c r="X100" s="2151"/>
      <c r="Y100" s="2151"/>
      <c r="Z100" s="2151"/>
      <c r="AA100" s="2151"/>
      <c r="AB100" s="2151"/>
      <c r="AC100" s="2151"/>
      <c r="AD100" s="2151"/>
      <c r="AE100" s="2151"/>
      <c r="AF100" s="2151"/>
      <c r="AG100" s="2151"/>
      <c r="AH100" s="2151"/>
      <c r="AI100" s="2151"/>
      <c r="AJ100" s="2151"/>
      <c r="AK100" s="2151"/>
      <c r="AL100" s="2151"/>
      <c r="AM100" s="2151"/>
      <c r="AN100" s="2151"/>
      <c r="AO100" s="2151"/>
      <c r="AP100" s="2151"/>
      <c r="AQ100" s="2151"/>
      <c r="AR100" s="2151"/>
      <c r="AS100" s="2151"/>
      <c r="AT100" s="2151"/>
      <c r="AU100" s="2151"/>
      <c r="AV100" s="2151"/>
      <c r="AW100" s="2151"/>
      <c r="AX100" s="2228"/>
      <c r="AY100" s="2228"/>
      <c r="AZ100" s="2228"/>
      <c r="BA100" s="2151"/>
      <c r="BB100" s="2151"/>
      <c r="BC100" s="2151"/>
      <c r="BD100" s="2151"/>
      <c r="BE100" s="2151"/>
      <c r="BF100" s="2151"/>
      <c r="BG100" s="2151"/>
      <c r="BH100" s="2151"/>
      <c r="BI100" s="2151"/>
      <c r="BJ100" s="2151"/>
      <c r="BK100" s="2151"/>
      <c r="BL100" s="2151"/>
      <c r="BM100" s="2151"/>
      <c r="BN100" s="2151"/>
      <c r="BO100" s="2151"/>
      <c r="BP100" s="2151"/>
      <c r="BQ100" s="2151"/>
      <c r="BR100" s="2228"/>
      <c r="BS100" s="2228"/>
      <c r="BT100" s="2228"/>
      <c r="BU100" s="2151"/>
      <c r="BV100" s="2151"/>
      <c r="BW100" s="2228"/>
      <c r="BX100" s="2228"/>
      <c r="BY100" s="2228"/>
      <c r="BZ100" s="2151"/>
      <c r="CB100" s="1586"/>
      <c r="CC100" s="1586"/>
      <c r="CD100" s="1586"/>
      <c r="CF100" s="2151"/>
      <c r="CG100" s="1065" t="s">
        <v>1404</v>
      </c>
      <c r="CH100" s="1952">
        <f>SUM(CH93:CH98)</f>
        <v>2.0000016666017473E-3</v>
      </c>
      <c r="CI100" s="2456"/>
      <c r="CJ100" s="2151"/>
      <c r="CK100" s="2151"/>
      <c r="CL100" s="2151"/>
      <c r="CM100" s="3211"/>
      <c r="CN100" s="2154"/>
      <c r="CO100" s="2154"/>
    </row>
    <row r="101" spans="1:93">
      <c r="A101" s="2150"/>
      <c r="B101" s="2150"/>
      <c r="C101" s="2461"/>
      <c r="D101" s="2461"/>
      <c r="E101" s="2151"/>
      <c r="F101" s="2151"/>
      <c r="G101" s="2151"/>
      <c r="H101" s="2151"/>
      <c r="I101" s="2151"/>
      <c r="J101" s="2151"/>
      <c r="K101" s="2151"/>
      <c r="L101" s="2151"/>
      <c r="M101" s="1586"/>
      <c r="N101" s="1586"/>
      <c r="O101" s="1586"/>
      <c r="R101" s="1586"/>
      <c r="S101" s="1586"/>
      <c r="T101" s="1586"/>
      <c r="W101" s="2151"/>
      <c r="X101" s="2151"/>
      <c r="Y101" s="2151"/>
      <c r="Z101" s="2151"/>
      <c r="AA101" s="2151"/>
      <c r="AB101" s="2151"/>
      <c r="AC101" s="2151"/>
      <c r="AD101" s="2151"/>
      <c r="AE101" s="2151"/>
      <c r="AF101" s="2151"/>
      <c r="AG101" s="2151"/>
      <c r="AH101" s="2151"/>
      <c r="AI101" s="2151"/>
      <c r="AJ101" s="2151"/>
      <c r="AK101" s="2151"/>
      <c r="AL101" s="2151"/>
      <c r="AM101" s="2151"/>
      <c r="AN101" s="2151"/>
      <c r="AO101" s="2151"/>
      <c r="AP101" s="2151"/>
      <c r="AQ101" s="2151"/>
      <c r="AR101" s="2151"/>
      <c r="AS101" s="2151"/>
      <c r="AT101" s="2151"/>
      <c r="AU101" s="2151"/>
      <c r="AV101" s="2151"/>
      <c r="AW101" s="2151"/>
      <c r="AX101" s="2228"/>
      <c r="AY101" s="2228"/>
      <c r="AZ101" s="2228"/>
      <c r="BA101" s="2151"/>
      <c r="BB101" s="2151"/>
      <c r="BC101" s="2151"/>
      <c r="BD101" s="2151"/>
      <c r="BE101" s="2151"/>
      <c r="BF101" s="2151"/>
      <c r="BG101" s="2151"/>
      <c r="BH101" s="2151"/>
      <c r="BI101" s="2151"/>
      <c r="BJ101" s="2151"/>
      <c r="BK101" s="2151"/>
      <c r="BL101" s="2151"/>
      <c r="BM101" s="2151"/>
      <c r="BN101" s="2151"/>
      <c r="BO101" s="2151"/>
      <c r="BP101" s="2151"/>
      <c r="BQ101" s="2151"/>
      <c r="BR101" s="2228"/>
      <c r="BS101" s="2228"/>
      <c r="BT101" s="2228"/>
      <c r="BU101" s="2151"/>
      <c r="BV101" s="2151"/>
      <c r="BW101" s="2228"/>
      <c r="BX101" s="2228"/>
      <c r="BY101" s="2228"/>
      <c r="BZ101" s="2151"/>
      <c r="CB101" s="1586"/>
      <c r="CC101" s="1586"/>
      <c r="CD101" s="1586"/>
      <c r="CF101" s="2151"/>
      <c r="CG101" s="3300"/>
      <c r="CH101" s="2151"/>
      <c r="CI101" s="2456"/>
      <c r="CJ101" s="2151"/>
      <c r="CK101" s="2151"/>
      <c r="CL101" s="2151"/>
      <c r="CM101" s="3211"/>
      <c r="CN101" s="2154"/>
      <c r="CO101" s="2154"/>
    </row>
    <row r="102" spans="1:93">
      <c r="AX102" s="1586"/>
      <c r="AY102" s="1586"/>
      <c r="AZ102" s="1586"/>
      <c r="BR102" s="1586"/>
      <c r="BS102" s="1586"/>
      <c r="BT102" s="1586"/>
      <c r="BW102" s="1586"/>
      <c r="BX102" s="1586"/>
      <c r="BY102" s="1586"/>
      <c r="CB102" s="1586"/>
      <c r="CC102" s="1586"/>
      <c r="CD102" s="1586"/>
      <c r="CI102" s="2468"/>
      <c r="CJ102" s="2151"/>
      <c r="CK102" s="2151"/>
      <c r="CL102" s="2151"/>
    </row>
    <row r="103" spans="1:93">
      <c r="AX103" s="1586"/>
      <c r="AY103" s="1586"/>
      <c r="AZ103" s="1586"/>
      <c r="BR103" s="1586"/>
      <c r="BS103" s="1586"/>
      <c r="BT103" s="1586"/>
      <c r="BW103" s="1586"/>
      <c r="BX103" s="1586"/>
      <c r="BY103" s="1586"/>
      <c r="CB103" s="1586"/>
      <c r="CC103" s="1586"/>
      <c r="CD103" s="1586"/>
      <c r="CH103" s="1586"/>
      <c r="CI103" s="1586"/>
      <c r="CJ103" s="2151"/>
      <c r="CK103" s="2151"/>
      <c r="CL103" s="2151"/>
    </row>
    <row r="104" spans="1:93">
      <c r="AX104" s="1586"/>
      <c r="AY104" s="1586"/>
      <c r="AZ104" s="1586"/>
      <c r="BR104" s="1586"/>
      <c r="BS104" s="1586"/>
      <c r="BT104" s="1586"/>
      <c r="BW104" s="1586"/>
      <c r="BX104" s="1586"/>
      <c r="BY104" s="1586"/>
      <c r="CB104" s="1586"/>
      <c r="CC104" s="1586"/>
      <c r="CD104" s="1586"/>
      <c r="CG104" s="1065"/>
      <c r="CH104" s="1586"/>
      <c r="CI104" s="1586"/>
      <c r="CJ104" s="2151"/>
      <c r="CK104" s="2151"/>
      <c r="CL104" s="2151"/>
    </row>
    <row r="105" spans="1:93">
      <c r="AX105" s="1586"/>
      <c r="AY105" s="1586"/>
      <c r="AZ105" s="1586"/>
      <c r="BR105" s="1586"/>
      <c r="BS105" s="1586"/>
      <c r="BT105" s="1586"/>
      <c r="BW105" s="1586"/>
      <c r="BX105" s="1586"/>
      <c r="BY105" s="1586"/>
      <c r="CB105" s="1586"/>
      <c r="CC105" s="1586"/>
      <c r="CD105" s="1586"/>
      <c r="CG105" s="1065"/>
      <c r="CH105" s="1586"/>
      <c r="CI105" s="1586"/>
      <c r="CJ105" s="2228"/>
      <c r="CK105" s="2151"/>
      <c r="CL105" s="2151"/>
    </row>
    <row r="106" spans="1:93">
      <c r="CG106" s="1065"/>
      <c r="CH106" s="1586"/>
      <c r="CI106" s="1586"/>
      <c r="CJ106" s="2228"/>
      <c r="CK106" s="2151"/>
      <c r="CL106" s="2151"/>
    </row>
    <row r="107" spans="1:93">
      <c r="CG107" s="1065"/>
      <c r="CH107" s="1586"/>
      <c r="CI107" s="1586"/>
      <c r="CJ107" s="1586"/>
    </row>
    <row r="108" spans="1:93">
      <c r="CG108" s="1065"/>
      <c r="CH108" s="1586"/>
      <c r="CI108" s="1586"/>
      <c r="CJ108" s="1586"/>
    </row>
    <row r="109" spans="1:93">
      <c r="CG109" s="1065"/>
      <c r="CH109" s="1586"/>
      <c r="CI109" s="1586"/>
      <c r="CJ109" s="1586"/>
    </row>
    <row r="110" spans="1:93">
      <c r="CG110" s="1065"/>
      <c r="CH110" s="1586"/>
      <c r="CI110" s="1586"/>
      <c r="CJ110" s="1586"/>
    </row>
    <row r="111" spans="1:93">
      <c r="CG111" s="2468"/>
      <c r="CH111" s="1586"/>
      <c r="CI111" s="1586"/>
      <c r="CJ111" s="1586"/>
    </row>
    <row r="112" spans="1:93">
      <c r="M112" s="1395"/>
      <c r="N112" s="1395"/>
      <c r="O112" s="1395"/>
      <c r="P112" s="1395"/>
      <c r="Q112" s="1395"/>
      <c r="R112" s="1395"/>
      <c r="S112" s="1395"/>
      <c r="T112" s="1395"/>
      <c r="U112" s="1395"/>
      <c r="V112" s="1395"/>
      <c r="CG112" s="2468"/>
      <c r="CH112" s="1586"/>
      <c r="CI112" s="1586"/>
      <c r="CJ112" s="1586"/>
    </row>
    <row r="113" spans="13:88" s="1395" customFormat="1">
      <c r="AW113" s="1952"/>
      <c r="BA113" s="1952"/>
      <c r="CG113" s="2468"/>
      <c r="CH113" s="1586"/>
      <c r="CI113" s="1586"/>
      <c r="CJ113" s="1586"/>
    </row>
    <row r="114" spans="13:88" s="1395" customFormat="1">
      <c r="AW114" s="1952"/>
      <c r="BA114" s="1952"/>
      <c r="CG114" s="2468"/>
      <c r="CH114" s="1586"/>
      <c r="CI114" s="1586"/>
      <c r="CJ114" s="1586"/>
    </row>
    <row r="115" spans="13:88" s="1395" customFormat="1">
      <c r="AW115" s="1952"/>
      <c r="BA115" s="1952"/>
      <c r="BB115" s="1952"/>
      <c r="BC115" s="1952"/>
      <c r="BD115" s="1952"/>
      <c r="BE115" s="1952"/>
      <c r="BF115" s="1952"/>
      <c r="BG115" s="1952"/>
      <c r="BH115" s="1952"/>
      <c r="BI115" s="1952"/>
      <c r="BJ115" s="1952"/>
      <c r="BK115" s="1952"/>
      <c r="BL115" s="1952"/>
      <c r="BM115" s="1952"/>
      <c r="BN115" s="1952"/>
      <c r="BO115" s="1952"/>
      <c r="BP115" s="1952"/>
      <c r="CF115" s="1952"/>
      <c r="CG115" s="2468"/>
      <c r="CH115" s="1586"/>
      <c r="CI115" s="1586"/>
      <c r="CJ115" s="1586"/>
    </row>
    <row r="116" spans="13:88" s="1395" customFormat="1">
      <c r="AW116" s="1952"/>
      <c r="BA116" s="1952"/>
      <c r="BB116" s="1952"/>
      <c r="BC116" s="1952"/>
      <c r="BD116" s="1952"/>
      <c r="BE116" s="1952"/>
      <c r="BF116" s="1952"/>
      <c r="BG116" s="1952"/>
      <c r="BH116" s="1952"/>
      <c r="BI116" s="1952"/>
      <c r="BJ116" s="1952"/>
      <c r="BK116" s="1952"/>
      <c r="BL116" s="1952"/>
      <c r="BM116" s="1952"/>
      <c r="BN116" s="1952"/>
      <c r="BO116" s="1952"/>
      <c r="BP116" s="1952"/>
      <c r="CF116" s="1952"/>
      <c r="CG116" s="2468"/>
      <c r="CH116" s="1586"/>
      <c r="CI116" s="1586"/>
      <c r="CJ116" s="1586"/>
    </row>
    <row r="117" spans="13:88" s="1395" customFormat="1">
      <c r="AW117" s="1952"/>
      <c r="BA117" s="1952"/>
      <c r="BB117" s="1952"/>
      <c r="BC117" s="1952"/>
      <c r="BD117" s="1952"/>
      <c r="BE117" s="1952"/>
      <c r="BF117" s="1952"/>
      <c r="BG117" s="1952"/>
      <c r="BH117" s="1952"/>
      <c r="BI117" s="1952"/>
      <c r="BJ117" s="1952"/>
      <c r="BK117" s="1952"/>
      <c r="BL117" s="1952"/>
      <c r="BM117" s="1952"/>
      <c r="BN117" s="1952"/>
      <c r="BO117" s="1952"/>
      <c r="BP117" s="1952"/>
      <c r="CF117" s="1952"/>
      <c r="CG117" s="2468"/>
      <c r="CH117" s="1586"/>
      <c r="CI117" s="1586"/>
      <c r="CJ117" s="1586"/>
    </row>
    <row r="118" spans="13:88" s="1395" customFormat="1">
      <c r="AW118" s="1952"/>
      <c r="BB118" s="1952"/>
      <c r="BC118" s="1952"/>
      <c r="BD118" s="1952"/>
      <c r="BE118" s="1952"/>
      <c r="BF118" s="1952"/>
      <c r="BG118" s="1952"/>
      <c r="BH118" s="1952"/>
      <c r="BI118" s="1952"/>
      <c r="BJ118" s="1952"/>
      <c r="BK118" s="1952"/>
      <c r="BL118" s="1952"/>
      <c r="BM118" s="1952"/>
      <c r="BN118" s="1952"/>
      <c r="BO118" s="1952"/>
      <c r="BP118" s="1952"/>
      <c r="CF118" s="1952"/>
      <c r="CG118" s="2468"/>
      <c r="CH118" s="1586"/>
      <c r="CI118" s="1586"/>
      <c r="CJ118" s="1586"/>
    </row>
    <row r="119" spans="13:88" s="1395" customFormat="1">
      <c r="AW119" s="1952"/>
      <c r="AX119" s="1952"/>
      <c r="AY119" s="1952"/>
      <c r="AZ119" s="1952"/>
      <c r="BA119" s="1952"/>
      <c r="BB119" s="1952"/>
      <c r="BC119" s="1952"/>
      <c r="BD119" s="1952"/>
      <c r="BE119" s="1952"/>
      <c r="BF119" s="1952"/>
      <c r="BG119" s="1952"/>
      <c r="BH119" s="1952"/>
      <c r="BI119" s="1952"/>
      <c r="BJ119" s="1952"/>
      <c r="BK119" s="1952"/>
      <c r="BL119" s="1952"/>
      <c r="BM119" s="1952"/>
      <c r="BN119" s="1952"/>
      <c r="BO119" s="1952"/>
      <c r="BP119" s="1952"/>
      <c r="BQ119" s="1952"/>
      <c r="BR119" s="1952"/>
      <c r="BS119" s="1952"/>
      <c r="BT119" s="1952"/>
      <c r="BU119" s="1952"/>
      <c r="BV119" s="1952"/>
      <c r="BW119" s="1952"/>
      <c r="BX119" s="1952"/>
      <c r="BY119" s="1952"/>
      <c r="BZ119" s="1952"/>
      <c r="CA119" s="1952"/>
      <c r="CB119" s="1952"/>
      <c r="CC119" s="1952"/>
      <c r="CD119" s="1952"/>
      <c r="CE119" s="1952"/>
      <c r="CF119" s="1952"/>
      <c r="CG119" s="2468"/>
      <c r="CH119" s="1586"/>
      <c r="CI119" s="1586"/>
      <c r="CJ119" s="1586"/>
    </row>
    <row r="120" spans="13:88" s="1395" customFormat="1">
      <c r="AW120" s="1952"/>
      <c r="AX120" s="1952"/>
      <c r="AY120" s="1952"/>
      <c r="AZ120" s="1952"/>
      <c r="BA120" s="1952"/>
      <c r="BB120" s="1952"/>
      <c r="BC120" s="1952"/>
      <c r="BD120" s="1952"/>
      <c r="BE120" s="1952"/>
      <c r="BF120" s="1952"/>
      <c r="BG120" s="1952"/>
      <c r="BH120" s="1952"/>
      <c r="BI120" s="1952"/>
      <c r="BJ120" s="1952"/>
      <c r="BK120" s="1952"/>
      <c r="BL120" s="1952"/>
      <c r="BM120" s="1952"/>
      <c r="BN120" s="1952"/>
      <c r="BO120" s="1952"/>
      <c r="BP120" s="1952"/>
      <c r="BQ120" s="1952"/>
      <c r="BR120" s="1952"/>
      <c r="BS120" s="1952"/>
      <c r="BT120" s="1952"/>
      <c r="BU120" s="1952"/>
      <c r="BV120" s="1952"/>
      <c r="BW120" s="1952"/>
      <c r="BX120" s="1952"/>
      <c r="BY120" s="1952"/>
      <c r="BZ120" s="1952"/>
      <c r="CA120" s="1952"/>
      <c r="CB120" s="1952"/>
      <c r="CC120" s="1952"/>
      <c r="CD120" s="1952"/>
      <c r="CE120" s="1952"/>
      <c r="CF120" s="1952"/>
      <c r="CG120" s="2468"/>
      <c r="CH120" s="1586"/>
      <c r="CI120" s="1586"/>
      <c r="CJ120" s="1586"/>
    </row>
    <row r="121" spans="13:88" s="1395" customFormat="1">
      <c r="M121" s="1952"/>
      <c r="N121" s="1952"/>
      <c r="O121" s="1952"/>
      <c r="P121" s="1952"/>
      <c r="Q121" s="1952"/>
      <c r="R121" s="1952"/>
      <c r="S121" s="1952"/>
      <c r="T121" s="1952"/>
      <c r="U121" s="1952"/>
      <c r="V121" s="1952"/>
      <c r="AW121" s="1952"/>
      <c r="AX121" s="1952"/>
      <c r="AY121" s="1952"/>
      <c r="AZ121" s="1952"/>
      <c r="BA121" s="1952"/>
      <c r="BB121" s="1952"/>
      <c r="BC121" s="1952"/>
      <c r="BD121" s="1952"/>
      <c r="BE121" s="1952"/>
      <c r="BF121" s="1952"/>
      <c r="BG121" s="1952"/>
      <c r="BH121" s="1952"/>
      <c r="BI121" s="1952"/>
      <c r="BJ121" s="1952"/>
      <c r="BK121" s="1952"/>
      <c r="BL121" s="1952"/>
      <c r="BM121" s="1952"/>
      <c r="BN121" s="1952"/>
      <c r="BO121" s="1952"/>
      <c r="BP121" s="1952"/>
      <c r="BQ121" s="1952"/>
      <c r="BR121" s="1952"/>
      <c r="BS121" s="1952"/>
      <c r="BT121" s="1952"/>
      <c r="BU121" s="1952"/>
      <c r="BV121" s="1952"/>
      <c r="BW121" s="1952"/>
      <c r="BX121" s="1952"/>
      <c r="BY121" s="1952"/>
      <c r="BZ121" s="1952"/>
      <c r="CA121" s="1952"/>
      <c r="CB121" s="1952"/>
      <c r="CC121" s="1952"/>
      <c r="CD121" s="1952"/>
      <c r="CE121" s="1952"/>
      <c r="CF121" s="1952"/>
      <c r="CG121" s="2468"/>
      <c r="CH121" s="1586"/>
      <c r="CI121" s="1586"/>
      <c r="CJ121" s="1586"/>
    </row>
    <row r="122" spans="13:88" s="1395" customFormat="1">
      <c r="AW122" s="1952"/>
      <c r="AX122" s="1952"/>
      <c r="AY122" s="1952"/>
      <c r="AZ122" s="1952"/>
      <c r="BA122" s="1952"/>
      <c r="BB122" s="1952"/>
      <c r="BC122" s="1952"/>
      <c r="BD122" s="1952"/>
      <c r="BE122" s="1952"/>
      <c r="BF122" s="1952"/>
      <c r="BG122" s="1952"/>
      <c r="BH122" s="1952"/>
      <c r="BI122" s="1952"/>
      <c r="BJ122" s="1952"/>
      <c r="BK122" s="1952"/>
      <c r="BL122" s="1952"/>
      <c r="BM122" s="1952"/>
      <c r="BN122" s="1952"/>
      <c r="BO122" s="1952"/>
      <c r="BP122" s="1952"/>
      <c r="BQ122" s="1952"/>
      <c r="BR122" s="1952"/>
      <c r="BS122" s="1952"/>
      <c r="BT122" s="1952"/>
      <c r="BU122" s="1952"/>
      <c r="BV122" s="1952"/>
      <c r="BW122" s="1952"/>
      <c r="BX122" s="1952"/>
      <c r="BY122" s="1952"/>
      <c r="BZ122" s="1952"/>
      <c r="CA122" s="1952"/>
      <c r="CB122" s="1952"/>
      <c r="CC122" s="1952"/>
      <c r="CD122" s="1952"/>
      <c r="CE122" s="1952"/>
      <c r="CF122" s="1952"/>
      <c r="CG122" s="2468"/>
      <c r="CH122" s="1586"/>
      <c r="CI122" s="1586"/>
      <c r="CJ122" s="1586"/>
    </row>
    <row r="123" spans="13:88" s="1395" customFormat="1">
      <c r="M123" s="1952"/>
      <c r="N123" s="1952"/>
      <c r="O123" s="1952"/>
      <c r="P123" s="1952"/>
      <c r="Q123" s="1952"/>
      <c r="R123" s="1952"/>
      <c r="S123" s="1952"/>
      <c r="T123" s="1952"/>
      <c r="U123" s="1952"/>
      <c r="V123" s="1952"/>
      <c r="AW123" s="1952"/>
      <c r="AX123" s="1952"/>
      <c r="AY123" s="1952"/>
      <c r="AZ123" s="1952"/>
      <c r="BA123" s="1952"/>
      <c r="BB123" s="1952"/>
      <c r="BC123" s="1952"/>
      <c r="BD123" s="1952"/>
      <c r="BE123" s="1952"/>
      <c r="BF123" s="1952"/>
      <c r="BG123" s="1952"/>
      <c r="BH123" s="1952"/>
      <c r="BI123" s="1952"/>
      <c r="BJ123" s="1952"/>
      <c r="BK123" s="1952"/>
      <c r="BL123" s="1952"/>
      <c r="BM123" s="1952"/>
      <c r="BN123" s="1952"/>
      <c r="BO123" s="1952"/>
      <c r="BP123" s="1952"/>
      <c r="BQ123" s="1952"/>
      <c r="BR123" s="1952"/>
      <c r="BS123" s="1952"/>
      <c r="BT123" s="1952"/>
      <c r="BU123" s="1952"/>
      <c r="BV123" s="1952"/>
      <c r="BW123" s="1952"/>
      <c r="BX123" s="1952"/>
      <c r="BY123" s="1952"/>
      <c r="BZ123" s="1952"/>
      <c r="CA123" s="1952"/>
      <c r="CB123" s="1952"/>
      <c r="CC123" s="1952"/>
      <c r="CD123" s="1952"/>
      <c r="CE123" s="1952"/>
      <c r="CF123" s="1952"/>
      <c r="CG123" s="2468"/>
      <c r="CH123" s="1586"/>
      <c r="CI123" s="1586"/>
      <c r="CJ123" s="1586"/>
    </row>
    <row r="124" spans="13:88" s="1395" customFormat="1">
      <c r="AW124" s="1952"/>
      <c r="AX124" s="1952"/>
      <c r="AY124" s="1952"/>
      <c r="AZ124" s="1952"/>
      <c r="BA124" s="1952"/>
      <c r="BB124" s="1952"/>
      <c r="BC124" s="1952"/>
      <c r="BD124" s="1952"/>
      <c r="BE124" s="1952"/>
      <c r="BF124" s="1952"/>
      <c r="BG124" s="1952"/>
      <c r="BH124" s="1952"/>
      <c r="BI124" s="1952"/>
      <c r="BJ124" s="1952"/>
      <c r="BK124" s="1952"/>
      <c r="BL124" s="1952"/>
      <c r="BM124" s="1952"/>
      <c r="BN124" s="1952"/>
      <c r="BO124" s="1952"/>
      <c r="BP124" s="1952"/>
      <c r="BQ124" s="1952"/>
      <c r="BR124" s="1952"/>
      <c r="BS124" s="1952"/>
      <c r="BT124" s="1952"/>
      <c r="BU124" s="1952"/>
      <c r="BV124" s="1952"/>
      <c r="BW124" s="1952"/>
      <c r="BX124" s="1952"/>
      <c r="BY124" s="1952"/>
      <c r="BZ124" s="1952"/>
      <c r="CA124" s="1952"/>
      <c r="CB124" s="1952"/>
      <c r="CC124" s="1952"/>
      <c r="CD124" s="1952"/>
      <c r="CE124" s="1952"/>
      <c r="CF124" s="1952"/>
      <c r="CG124" s="2468"/>
      <c r="CH124" s="1586"/>
      <c r="CI124" s="1586"/>
      <c r="CJ124" s="1586"/>
    </row>
    <row r="125" spans="13:88" s="1395" customFormat="1">
      <c r="M125" s="1952"/>
      <c r="N125" s="1952"/>
      <c r="O125" s="1952"/>
      <c r="P125" s="1952"/>
      <c r="Q125" s="1952"/>
      <c r="R125" s="1952"/>
      <c r="S125" s="1952"/>
      <c r="T125" s="1952"/>
      <c r="U125" s="1952"/>
      <c r="V125" s="1952"/>
      <c r="AW125" s="1952"/>
      <c r="AX125" s="1952"/>
      <c r="AY125" s="1952"/>
      <c r="AZ125" s="1952"/>
      <c r="BA125" s="1952"/>
      <c r="BB125" s="1952"/>
      <c r="BC125" s="1952"/>
      <c r="BD125" s="1952"/>
      <c r="BE125" s="1952"/>
      <c r="BF125" s="1952"/>
      <c r="BG125" s="1952"/>
      <c r="BH125" s="1952"/>
      <c r="BI125" s="1952"/>
      <c r="BJ125" s="1952"/>
      <c r="BK125" s="1952"/>
      <c r="BL125" s="1952"/>
      <c r="BM125" s="1952"/>
      <c r="BN125" s="1952"/>
      <c r="BO125" s="1952"/>
      <c r="BP125" s="1952"/>
      <c r="BQ125" s="1952"/>
      <c r="BR125" s="1952"/>
      <c r="BS125" s="1952"/>
      <c r="BT125" s="1952"/>
      <c r="BU125" s="1952"/>
      <c r="BV125" s="1952"/>
      <c r="BW125" s="1952"/>
      <c r="BX125" s="1952"/>
      <c r="BY125" s="1952"/>
      <c r="BZ125" s="1952"/>
      <c r="CA125" s="1952"/>
      <c r="CB125" s="1952"/>
      <c r="CC125" s="1952"/>
      <c r="CD125" s="1952"/>
      <c r="CE125" s="1952"/>
      <c r="CF125" s="1952"/>
      <c r="CG125" s="2468"/>
      <c r="CH125" s="1586"/>
      <c r="CI125" s="1586"/>
      <c r="CJ125" s="1586"/>
    </row>
    <row r="126" spans="13:88" s="1395" customFormat="1">
      <c r="AW126" s="1952"/>
      <c r="AX126" s="1952"/>
      <c r="AY126" s="1952"/>
      <c r="AZ126" s="1952"/>
      <c r="BA126" s="1952"/>
      <c r="BB126" s="1952"/>
      <c r="BC126" s="1952"/>
      <c r="BD126" s="1952"/>
      <c r="BE126" s="1952"/>
      <c r="BF126" s="1952"/>
      <c r="BG126" s="1952"/>
      <c r="BH126" s="1952"/>
      <c r="BI126" s="1952"/>
      <c r="BJ126" s="1952"/>
      <c r="BK126" s="1952"/>
      <c r="BL126" s="1952"/>
      <c r="BM126" s="1952"/>
      <c r="BN126" s="1952"/>
      <c r="BO126" s="1952"/>
      <c r="BP126" s="1952"/>
      <c r="BQ126" s="1952"/>
      <c r="BR126" s="1952"/>
      <c r="BS126" s="1952"/>
      <c r="BT126" s="1952"/>
      <c r="BU126" s="1952"/>
      <c r="BV126" s="1952"/>
      <c r="BW126" s="1952"/>
      <c r="BX126" s="1952"/>
      <c r="BY126" s="1952"/>
      <c r="BZ126" s="1952"/>
      <c r="CA126" s="1952"/>
      <c r="CB126" s="1952"/>
      <c r="CC126" s="1952"/>
      <c r="CD126" s="1952"/>
      <c r="CE126" s="1952"/>
      <c r="CF126" s="1952"/>
      <c r="CG126" s="2468"/>
      <c r="CH126" s="2468"/>
      <c r="CI126" s="2468"/>
      <c r="CJ126" s="2468"/>
    </row>
    <row r="127" spans="13:88" s="1395" customFormat="1">
      <c r="M127" s="1952"/>
      <c r="N127" s="1952"/>
      <c r="O127" s="1952"/>
      <c r="P127" s="1952"/>
      <c r="Q127" s="1952"/>
      <c r="R127" s="1952"/>
      <c r="S127" s="1952"/>
      <c r="T127" s="1952"/>
      <c r="U127" s="1952"/>
      <c r="V127" s="1952"/>
      <c r="AW127" s="1952"/>
      <c r="AX127" s="1952"/>
      <c r="AY127" s="1952"/>
      <c r="AZ127" s="1952"/>
      <c r="BA127" s="1952"/>
      <c r="BB127" s="1952"/>
      <c r="BC127" s="1952"/>
      <c r="BD127" s="1952"/>
      <c r="BE127" s="1952"/>
      <c r="BF127" s="1952"/>
      <c r="BG127" s="1952"/>
      <c r="BH127" s="1952"/>
      <c r="BI127" s="1952"/>
      <c r="BJ127" s="1952"/>
      <c r="BK127" s="1952"/>
      <c r="BL127" s="1952"/>
      <c r="BM127" s="1952"/>
      <c r="BN127" s="1952"/>
      <c r="BO127" s="1952"/>
      <c r="BP127" s="1952"/>
      <c r="BQ127" s="1952"/>
      <c r="BR127" s="1952"/>
      <c r="BS127" s="1952"/>
      <c r="BT127" s="1952"/>
      <c r="BU127" s="1952"/>
      <c r="BV127" s="1952"/>
      <c r="BW127" s="1952"/>
      <c r="BX127" s="1952"/>
      <c r="BY127" s="1952"/>
      <c r="BZ127" s="1952"/>
      <c r="CA127" s="1952"/>
      <c r="CB127" s="1952"/>
      <c r="CC127" s="1952"/>
      <c r="CD127" s="1952"/>
      <c r="CE127" s="1952"/>
      <c r="CF127" s="1952"/>
      <c r="CG127" s="2468"/>
      <c r="CH127" s="2468"/>
      <c r="CI127" s="2468"/>
      <c r="CJ127" s="2468"/>
    </row>
    <row r="128" spans="13:88" s="1395" customFormat="1">
      <c r="AW128" s="1952"/>
      <c r="AX128" s="1952"/>
      <c r="AY128" s="1952"/>
      <c r="AZ128" s="1952"/>
      <c r="BA128" s="1952"/>
      <c r="BB128" s="1952"/>
      <c r="BC128" s="1952"/>
      <c r="BD128" s="1952"/>
      <c r="BE128" s="1952"/>
      <c r="BF128" s="1952"/>
      <c r="BG128" s="1952"/>
      <c r="BH128" s="1952"/>
      <c r="BI128" s="1952"/>
      <c r="BJ128" s="1952"/>
      <c r="BK128" s="1952"/>
      <c r="BL128" s="1952"/>
      <c r="BM128" s="1952"/>
      <c r="BN128" s="1952"/>
      <c r="BO128" s="1952"/>
      <c r="BP128" s="1952"/>
      <c r="BQ128" s="1952"/>
      <c r="BR128" s="1952"/>
      <c r="BS128" s="1952"/>
      <c r="BT128" s="1952"/>
      <c r="BU128" s="1952"/>
      <c r="BV128" s="1952"/>
      <c r="BW128" s="1952"/>
      <c r="BX128" s="1952"/>
      <c r="BY128" s="1952"/>
      <c r="BZ128" s="1952"/>
      <c r="CA128" s="1952"/>
      <c r="CB128" s="1952"/>
      <c r="CC128" s="1952"/>
      <c r="CD128" s="1952"/>
      <c r="CE128" s="1952"/>
      <c r="CF128" s="1952"/>
      <c r="CG128" s="2468"/>
      <c r="CH128" s="2468"/>
      <c r="CI128" s="2468"/>
      <c r="CJ128" s="2468"/>
    </row>
    <row r="129" spans="13:88" s="1395" customFormat="1">
      <c r="M129" s="1952"/>
      <c r="N129" s="1952"/>
      <c r="O129" s="1952"/>
      <c r="P129" s="1952"/>
      <c r="Q129" s="1952"/>
      <c r="R129" s="1952"/>
      <c r="S129" s="1952"/>
      <c r="T129" s="1952"/>
      <c r="U129" s="1952"/>
      <c r="V129" s="1952"/>
      <c r="BQ129" s="1952"/>
      <c r="BR129" s="1952"/>
      <c r="BS129" s="1952"/>
      <c r="BT129" s="1952"/>
      <c r="BU129" s="1952"/>
      <c r="BV129" s="1952"/>
      <c r="BW129" s="1952"/>
      <c r="BX129" s="1952"/>
      <c r="BY129" s="1952"/>
      <c r="BZ129" s="1952"/>
      <c r="CA129" s="1952"/>
      <c r="CB129" s="1952"/>
      <c r="CC129" s="1952"/>
      <c r="CD129" s="1952"/>
      <c r="CE129" s="1952"/>
      <c r="CG129" s="2468"/>
      <c r="CH129" s="2468"/>
      <c r="CI129" s="2468"/>
      <c r="CJ129" s="2468"/>
    </row>
    <row r="130" spans="13:88" s="1395" customFormat="1">
      <c r="BQ130" s="1952"/>
      <c r="BR130" s="1952"/>
      <c r="BS130" s="1952"/>
      <c r="BT130" s="1952"/>
      <c r="BU130" s="1952"/>
      <c r="BV130" s="1952"/>
      <c r="BW130" s="1952"/>
      <c r="BX130" s="1952"/>
      <c r="BY130" s="1952"/>
      <c r="BZ130" s="1952"/>
      <c r="CA130" s="1952"/>
      <c r="CB130" s="1952"/>
      <c r="CC130" s="1952"/>
      <c r="CD130" s="1952"/>
      <c r="CE130" s="1952"/>
      <c r="CG130" s="2468"/>
      <c r="CH130" s="2468"/>
      <c r="CI130" s="2468"/>
      <c r="CJ130" s="2468"/>
    </row>
    <row r="131" spans="13:88" s="1395" customFormat="1">
      <c r="M131" s="1952"/>
      <c r="N131" s="1952"/>
      <c r="O131" s="1952"/>
      <c r="P131" s="1952"/>
      <c r="Q131" s="1952"/>
      <c r="R131" s="1952"/>
      <c r="S131" s="1952"/>
      <c r="T131" s="1952"/>
      <c r="U131" s="1952"/>
      <c r="V131" s="1952"/>
      <c r="BQ131" s="1952"/>
      <c r="BR131" s="1952"/>
      <c r="BS131" s="1952"/>
      <c r="BT131" s="1952"/>
      <c r="BU131" s="1952"/>
      <c r="BV131" s="1952"/>
      <c r="BW131" s="1952"/>
      <c r="BX131" s="1952"/>
      <c r="BY131" s="1952"/>
      <c r="BZ131" s="1952"/>
      <c r="CA131" s="1952"/>
      <c r="CB131" s="1952"/>
      <c r="CC131" s="1952"/>
      <c r="CD131" s="1952"/>
      <c r="CE131" s="1952"/>
      <c r="CG131" s="2468"/>
      <c r="CH131" s="2468"/>
      <c r="CI131" s="2468"/>
      <c r="CJ131" s="2468"/>
    </row>
    <row r="132" spans="13:88" s="1395" customFormat="1">
      <c r="BQ132" s="1952"/>
      <c r="BR132" s="1952"/>
      <c r="BS132" s="1952"/>
      <c r="BT132" s="1952"/>
      <c r="BU132" s="1952"/>
      <c r="BV132" s="1952"/>
      <c r="BW132" s="1952"/>
      <c r="BX132" s="1952"/>
      <c r="BY132" s="1952"/>
      <c r="BZ132" s="1952"/>
      <c r="CA132" s="1952"/>
      <c r="CB132" s="1952"/>
      <c r="CC132" s="1952"/>
      <c r="CD132" s="1952"/>
      <c r="CE132" s="1952"/>
      <c r="CG132" s="2468"/>
      <c r="CH132" s="2468"/>
      <c r="CI132" s="2468"/>
      <c r="CJ132" s="2468"/>
    </row>
    <row r="133" spans="13:88" s="1395" customFormat="1">
      <c r="M133" s="1952"/>
      <c r="N133" s="1952"/>
      <c r="O133" s="1952"/>
      <c r="P133" s="1952"/>
      <c r="Q133" s="1952"/>
      <c r="R133" s="1952"/>
      <c r="S133" s="1952"/>
      <c r="T133" s="1952"/>
      <c r="U133" s="1952"/>
      <c r="V133" s="1952"/>
      <c r="BQ133" s="1952"/>
      <c r="BR133" s="1952"/>
      <c r="BS133" s="1952"/>
      <c r="BT133" s="1952"/>
      <c r="BU133" s="1952"/>
      <c r="BV133" s="1952"/>
      <c r="BW133" s="1952"/>
      <c r="BX133" s="1952"/>
      <c r="BY133" s="1952"/>
      <c r="BZ133" s="1952"/>
      <c r="CA133" s="1952"/>
      <c r="CB133" s="1952"/>
      <c r="CC133" s="1952"/>
      <c r="CD133" s="1952"/>
      <c r="CE133" s="1952"/>
      <c r="CG133" s="2468"/>
      <c r="CH133" s="2468"/>
      <c r="CI133" s="2468"/>
      <c r="CJ133" s="2468"/>
    </row>
    <row r="134" spans="13:88" s="1395" customFormat="1">
      <c r="BQ134" s="1952"/>
      <c r="BR134" s="1952"/>
      <c r="BS134" s="1952"/>
      <c r="BT134" s="1952"/>
      <c r="BU134" s="1952"/>
      <c r="BV134" s="1952"/>
      <c r="BW134" s="1952"/>
      <c r="BX134" s="1952"/>
      <c r="BY134" s="1952"/>
      <c r="BZ134" s="1952"/>
      <c r="CA134" s="1952"/>
      <c r="CB134" s="1952"/>
      <c r="CC134" s="1952"/>
      <c r="CD134" s="1952"/>
      <c r="CE134" s="1952"/>
      <c r="CG134" s="2468"/>
      <c r="CH134" s="2468"/>
      <c r="CI134" s="2468"/>
      <c r="CJ134" s="2468"/>
    </row>
    <row r="135" spans="13:88" s="1395" customFormat="1">
      <c r="M135" s="1952"/>
      <c r="N135" s="1952"/>
      <c r="O135" s="1952"/>
      <c r="P135" s="1952"/>
      <c r="Q135" s="1952"/>
      <c r="R135" s="1952"/>
      <c r="S135" s="1952"/>
      <c r="T135" s="1952"/>
      <c r="U135" s="1952"/>
      <c r="V135" s="1952"/>
      <c r="BQ135" s="1952"/>
      <c r="BR135" s="1952"/>
      <c r="BS135" s="1952"/>
      <c r="BT135" s="1952"/>
      <c r="BU135" s="1952"/>
      <c r="BV135" s="1952"/>
      <c r="BW135" s="1952"/>
      <c r="BX135" s="1952"/>
      <c r="BY135" s="1952"/>
      <c r="BZ135" s="1952"/>
      <c r="CA135" s="1952"/>
      <c r="CB135" s="1952"/>
      <c r="CC135" s="1952"/>
      <c r="CD135" s="1952"/>
      <c r="CE135" s="1952"/>
      <c r="CG135" s="2468"/>
      <c r="CH135" s="2468"/>
      <c r="CI135" s="2468"/>
      <c r="CJ135" s="2468"/>
    </row>
    <row r="136" spans="13:88" s="1395" customFormat="1">
      <c r="M136" s="1952"/>
      <c r="N136" s="1952"/>
      <c r="O136" s="1952"/>
      <c r="P136" s="1952"/>
      <c r="Q136" s="1952"/>
      <c r="R136" s="1952"/>
      <c r="S136" s="1952"/>
      <c r="T136" s="1952"/>
      <c r="U136" s="1952"/>
      <c r="V136" s="1952"/>
      <c r="BQ136" s="1952"/>
      <c r="BR136" s="1952"/>
      <c r="BS136" s="1952"/>
      <c r="BT136" s="1952"/>
      <c r="BU136" s="1952"/>
      <c r="BV136" s="1952"/>
      <c r="BW136" s="1952"/>
      <c r="BX136" s="1952"/>
      <c r="BY136" s="1952"/>
      <c r="BZ136" s="1952"/>
      <c r="CA136" s="1952"/>
      <c r="CB136" s="1952"/>
      <c r="CC136" s="1952"/>
      <c r="CD136" s="1952"/>
      <c r="CE136" s="1952"/>
      <c r="CG136" s="2468"/>
      <c r="CH136" s="2468"/>
      <c r="CI136" s="2468"/>
      <c r="CJ136" s="2468"/>
    </row>
    <row r="137" spans="13:88" s="1395" customFormat="1">
      <c r="M137" s="1952"/>
      <c r="N137" s="1952"/>
      <c r="O137" s="1952"/>
      <c r="P137" s="1952"/>
      <c r="Q137" s="1952"/>
      <c r="R137" s="1952"/>
      <c r="S137" s="1952"/>
      <c r="T137" s="1952"/>
      <c r="U137" s="1952"/>
      <c r="V137" s="1952"/>
      <c r="BQ137" s="1952"/>
      <c r="BR137" s="1952"/>
      <c r="BS137" s="1952"/>
      <c r="BT137" s="1952"/>
      <c r="BU137" s="1952"/>
      <c r="BV137" s="1952"/>
      <c r="BW137" s="1952"/>
      <c r="BX137" s="1952"/>
      <c r="BY137" s="1952"/>
      <c r="BZ137" s="1952"/>
      <c r="CA137" s="1952"/>
      <c r="CB137" s="1952"/>
      <c r="CC137" s="1952"/>
      <c r="CD137" s="1952"/>
      <c r="CE137" s="1952"/>
      <c r="CG137" s="2468"/>
      <c r="CH137" s="2468"/>
      <c r="CI137" s="2468"/>
      <c r="CJ137" s="2468"/>
    </row>
    <row r="138" spans="13:88" s="1395" customFormat="1">
      <c r="M138" s="1952"/>
      <c r="N138" s="1952"/>
      <c r="O138" s="1952"/>
      <c r="P138" s="1952"/>
      <c r="Q138" s="1952"/>
      <c r="R138" s="1952"/>
      <c r="S138" s="1952"/>
      <c r="T138" s="1952"/>
      <c r="U138" s="1952"/>
      <c r="V138" s="1952"/>
      <c r="BQ138" s="1952"/>
      <c r="BR138" s="1952"/>
      <c r="BS138" s="1952"/>
      <c r="BT138" s="1952"/>
      <c r="BU138" s="1952"/>
      <c r="BV138" s="1952"/>
      <c r="BW138" s="1952"/>
      <c r="BX138" s="1952"/>
      <c r="BY138" s="1952"/>
      <c r="BZ138" s="1952"/>
      <c r="CA138" s="1952"/>
      <c r="CB138" s="1952"/>
      <c r="CC138" s="1952"/>
      <c r="CD138" s="1952"/>
      <c r="CE138" s="1952"/>
      <c r="CG138" s="2468"/>
      <c r="CH138" s="2468"/>
      <c r="CI138" s="2468"/>
      <c r="CJ138" s="2468"/>
    </row>
    <row r="139" spans="13:88" s="1395" customFormat="1">
      <c r="M139" s="1952"/>
      <c r="N139" s="1952"/>
      <c r="O139" s="1952"/>
      <c r="P139" s="1952"/>
      <c r="Q139" s="1952"/>
      <c r="R139" s="1952"/>
      <c r="S139" s="1952"/>
      <c r="T139" s="1952"/>
      <c r="U139" s="1952"/>
      <c r="V139" s="1952"/>
      <c r="BQ139" s="1952"/>
      <c r="BR139" s="1952"/>
      <c r="BS139" s="1952"/>
      <c r="BT139" s="1952"/>
      <c r="BU139" s="1952"/>
      <c r="BV139" s="1952"/>
      <c r="BW139" s="1952"/>
      <c r="BX139" s="1952"/>
      <c r="BY139" s="1952"/>
      <c r="BZ139" s="1952"/>
      <c r="CA139" s="1952"/>
      <c r="CB139" s="1952"/>
      <c r="CC139" s="1952"/>
      <c r="CD139" s="1952"/>
      <c r="CE139" s="1952"/>
      <c r="CG139" s="2468"/>
      <c r="CH139" s="2468"/>
      <c r="CI139" s="2468"/>
      <c r="CJ139" s="2468"/>
    </row>
    <row r="140" spans="13:88" s="1395" customFormat="1">
      <c r="M140" s="1952"/>
      <c r="N140" s="1952"/>
      <c r="O140" s="1952"/>
      <c r="P140" s="1952"/>
      <c r="Q140" s="1952"/>
      <c r="R140" s="1952"/>
      <c r="S140" s="1952"/>
      <c r="T140" s="1952"/>
      <c r="U140" s="1952"/>
      <c r="V140" s="1952"/>
      <c r="BQ140" s="1952"/>
      <c r="BR140" s="1952"/>
      <c r="BS140" s="1952"/>
      <c r="BT140" s="1952"/>
      <c r="BU140" s="1952"/>
      <c r="BV140" s="1952"/>
      <c r="BW140" s="1952"/>
      <c r="BX140" s="1952"/>
      <c r="BY140" s="1952"/>
      <c r="BZ140" s="1952"/>
      <c r="CA140" s="1952"/>
      <c r="CB140" s="1952"/>
      <c r="CC140" s="1952"/>
      <c r="CD140" s="1952"/>
      <c r="CE140" s="1952"/>
      <c r="CG140" s="2468"/>
      <c r="CH140" s="2468"/>
      <c r="CI140" s="2468"/>
      <c r="CJ140" s="2468"/>
    </row>
    <row r="141" spans="13:88" s="1395" customFormat="1">
      <c r="M141" s="1952"/>
      <c r="N141" s="1952"/>
      <c r="O141" s="1952"/>
      <c r="P141" s="1952"/>
      <c r="Q141" s="1952"/>
      <c r="R141" s="1952"/>
      <c r="S141" s="1952"/>
      <c r="T141" s="1952"/>
      <c r="U141" s="1952"/>
      <c r="V141" s="1952"/>
      <c r="BQ141" s="1952"/>
      <c r="BR141" s="1952"/>
      <c r="BS141" s="1952"/>
      <c r="BT141" s="1952"/>
      <c r="BU141" s="1952"/>
      <c r="BV141" s="1952"/>
      <c r="BW141" s="1952"/>
      <c r="BX141" s="1952"/>
      <c r="BY141" s="1952"/>
      <c r="BZ141" s="1952"/>
      <c r="CA141" s="1952"/>
      <c r="CB141" s="1952"/>
      <c r="CC141" s="1952"/>
      <c r="CD141" s="1952"/>
      <c r="CE141" s="1952"/>
      <c r="CG141" s="2468"/>
      <c r="CH141" s="2468"/>
      <c r="CI141" s="2468"/>
      <c r="CJ141" s="2468"/>
    </row>
    <row r="142" spans="13:88" s="1395" customFormat="1">
      <c r="M142" s="1952"/>
      <c r="N142" s="1952"/>
      <c r="O142" s="1952"/>
      <c r="P142" s="1952"/>
      <c r="Q142" s="1952"/>
      <c r="R142" s="1952"/>
      <c r="S142" s="1952"/>
      <c r="T142" s="1952"/>
      <c r="U142" s="1952"/>
      <c r="V142" s="1952"/>
      <c r="BQ142" s="1952"/>
      <c r="BR142" s="1952"/>
      <c r="BS142" s="1952"/>
      <c r="BT142" s="1952"/>
      <c r="BU142" s="1952"/>
      <c r="BV142" s="1952"/>
      <c r="BW142" s="1952"/>
      <c r="BX142" s="1952"/>
      <c r="BY142" s="1952"/>
      <c r="BZ142" s="1952"/>
      <c r="CA142" s="1952"/>
      <c r="CB142" s="1952"/>
      <c r="CC142" s="1952"/>
      <c r="CD142" s="1952"/>
      <c r="CE142" s="1952"/>
      <c r="CG142" s="2468"/>
      <c r="CH142" s="2468"/>
      <c r="CI142" s="2468"/>
      <c r="CJ142" s="2468"/>
    </row>
    <row r="143" spans="13:88" s="1395" customFormat="1">
      <c r="M143" s="1952"/>
      <c r="N143" s="1952"/>
      <c r="O143" s="1952"/>
      <c r="P143" s="1952"/>
      <c r="Q143" s="1952"/>
      <c r="R143" s="1952"/>
      <c r="S143" s="1952"/>
      <c r="T143" s="1952"/>
      <c r="U143" s="1952"/>
      <c r="V143" s="1952"/>
      <c r="BQ143" s="1952"/>
      <c r="BR143" s="1952"/>
      <c r="BS143" s="1952"/>
      <c r="BT143" s="1952"/>
      <c r="BU143" s="1952"/>
      <c r="BV143" s="1952"/>
      <c r="BW143" s="1952"/>
      <c r="BX143" s="1952"/>
      <c r="BY143" s="1952"/>
      <c r="BZ143" s="1952"/>
      <c r="CA143" s="1952"/>
      <c r="CB143" s="1952"/>
      <c r="CC143" s="1952"/>
      <c r="CD143" s="1952"/>
      <c r="CE143" s="1952"/>
      <c r="CG143" s="2468"/>
      <c r="CH143" s="2468"/>
      <c r="CI143" s="2468"/>
      <c r="CJ143" s="2468"/>
    </row>
    <row r="144" spans="13:88" s="1395" customFormat="1">
      <c r="M144" s="1952"/>
      <c r="N144" s="1952"/>
      <c r="O144" s="1952"/>
      <c r="P144" s="1952"/>
      <c r="Q144" s="1952"/>
      <c r="R144" s="1952"/>
      <c r="S144" s="1952"/>
      <c r="T144" s="1952"/>
      <c r="U144" s="1952"/>
      <c r="V144" s="1952"/>
      <c r="BQ144" s="1952"/>
      <c r="BR144" s="1952"/>
      <c r="BS144" s="1952"/>
      <c r="BT144" s="1952"/>
      <c r="BU144" s="1952"/>
      <c r="BV144" s="1952"/>
      <c r="BW144" s="1952"/>
      <c r="BX144" s="1952"/>
      <c r="BY144" s="1952"/>
      <c r="BZ144" s="1952"/>
      <c r="CA144" s="1952"/>
      <c r="CB144" s="1952"/>
      <c r="CC144" s="1952"/>
      <c r="CD144" s="1952"/>
      <c r="CE144" s="1952"/>
      <c r="CG144" s="2468"/>
      <c r="CH144" s="2468"/>
      <c r="CI144" s="2468"/>
      <c r="CJ144" s="2468"/>
    </row>
    <row r="145" spans="13:88" s="1395" customFormat="1">
      <c r="M145" s="1952"/>
      <c r="N145" s="1952"/>
      <c r="O145" s="1952"/>
      <c r="P145" s="1952"/>
      <c r="Q145" s="1952"/>
      <c r="R145" s="1952"/>
      <c r="S145" s="1952"/>
      <c r="T145" s="1952"/>
      <c r="U145" s="1952"/>
      <c r="V145" s="1952"/>
      <c r="BQ145" s="1952"/>
      <c r="BR145" s="1952"/>
      <c r="BS145" s="1952"/>
      <c r="BT145" s="1952"/>
      <c r="BU145" s="1952"/>
      <c r="BV145" s="1952"/>
      <c r="BW145" s="1952"/>
      <c r="BX145" s="1952"/>
      <c r="BY145" s="1952"/>
      <c r="BZ145" s="1952"/>
      <c r="CA145" s="1952"/>
      <c r="CB145" s="1952"/>
      <c r="CC145" s="1952"/>
      <c r="CD145" s="1952"/>
      <c r="CE145" s="1952"/>
      <c r="CG145" s="2468"/>
      <c r="CH145" s="2468"/>
      <c r="CI145" s="2468"/>
      <c r="CJ145" s="2468"/>
    </row>
    <row r="146" spans="13:88" s="1395" customFormat="1">
      <c r="M146" s="1952"/>
      <c r="N146" s="1952"/>
      <c r="O146" s="1952"/>
      <c r="P146" s="1952"/>
      <c r="Q146" s="1952"/>
      <c r="R146" s="1952"/>
      <c r="S146" s="1952"/>
      <c r="T146" s="1952"/>
      <c r="U146" s="1952"/>
      <c r="V146" s="1952"/>
      <c r="BQ146" s="1952"/>
      <c r="BR146" s="1952"/>
      <c r="BS146" s="1952"/>
      <c r="BT146" s="1952"/>
      <c r="BU146" s="1952"/>
      <c r="BV146" s="1952"/>
      <c r="BW146" s="1952"/>
      <c r="BX146" s="1952"/>
      <c r="BY146" s="1952"/>
      <c r="BZ146" s="1952"/>
      <c r="CA146" s="1952"/>
      <c r="CB146" s="1952"/>
      <c r="CC146" s="1952"/>
      <c r="CD146" s="1952"/>
      <c r="CE146" s="1952"/>
      <c r="CG146" s="2468"/>
      <c r="CH146" s="2468"/>
      <c r="CI146" s="2468"/>
      <c r="CJ146" s="2468"/>
    </row>
    <row r="147" spans="13:88" s="1395" customFormat="1">
      <c r="M147" s="1952"/>
      <c r="N147" s="1952"/>
      <c r="O147" s="1952"/>
      <c r="P147" s="1952"/>
      <c r="Q147" s="1952"/>
      <c r="R147" s="1952"/>
      <c r="S147" s="1952"/>
      <c r="T147" s="1952"/>
      <c r="U147" s="1952"/>
      <c r="V147" s="1952"/>
      <c r="BQ147" s="1952"/>
      <c r="BR147" s="1952"/>
      <c r="BS147" s="1952"/>
      <c r="BT147" s="1952"/>
      <c r="BU147" s="1952"/>
      <c r="BV147" s="1952"/>
      <c r="BW147" s="1952"/>
      <c r="BX147" s="1952"/>
      <c r="BY147" s="1952"/>
      <c r="BZ147" s="1952"/>
      <c r="CA147" s="1952"/>
      <c r="CB147" s="1952"/>
      <c r="CC147" s="1952"/>
      <c r="CD147" s="1952"/>
      <c r="CE147" s="1952"/>
      <c r="CG147" s="2468"/>
      <c r="CH147" s="2468"/>
      <c r="CI147" s="2468"/>
      <c r="CJ147" s="2468"/>
    </row>
    <row r="148" spans="13:88" s="1395" customFormat="1">
      <c r="M148" s="1952"/>
      <c r="N148" s="1952"/>
      <c r="O148" s="1952"/>
      <c r="P148" s="1952"/>
      <c r="Q148" s="1952"/>
      <c r="R148" s="1952"/>
      <c r="S148" s="1952"/>
      <c r="T148" s="1952"/>
      <c r="U148" s="1952"/>
      <c r="V148" s="1952"/>
      <c r="BQ148" s="1952"/>
      <c r="BR148" s="1952"/>
      <c r="BS148" s="1952"/>
      <c r="BT148" s="1952"/>
      <c r="BU148" s="1952"/>
      <c r="BV148" s="1952"/>
      <c r="BW148" s="1952"/>
      <c r="BX148" s="1952"/>
      <c r="BY148" s="1952"/>
      <c r="BZ148" s="1952"/>
      <c r="CA148" s="1952"/>
      <c r="CB148" s="1952"/>
      <c r="CC148" s="1952"/>
      <c r="CD148" s="1952"/>
      <c r="CE148" s="1952"/>
      <c r="CG148" s="2468"/>
      <c r="CH148" s="2468"/>
      <c r="CI148" s="2468"/>
      <c r="CJ148" s="2468"/>
    </row>
    <row r="149" spans="13:88" s="1395" customFormat="1">
      <c r="M149" s="1952"/>
      <c r="N149" s="1952"/>
      <c r="O149" s="1952"/>
      <c r="P149" s="1952"/>
      <c r="Q149" s="1952"/>
      <c r="R149" s="1952"/>
      <c r="S149" s="1952"/>
      <c r="T149" s="1952"/>
      <c r="U149" s="1952"/>
      <c r="V149" s="1952"/>
      <c r="BQ149" s="1952"/>
      <c r="BR149" s="1952"/>
      <c r="BS149" s="1952"/>
      <c r="BT149" s="1952"/>
      <c r="BU149" s="1952"/>
      <c r="BV149" s="1952"/>
      <c r="BW149" s="1952"/>
      <c r="BX149" s="1952"/>
      <c r="BY149" s="1952"/>
      <c r="BZ149" s="1952"/>
      <c r="CA149" s="1952"/>
      <c r="CB149" s="1952"/>
      <c r="CC149" s="1952"/>
      <c r="CD149" s="1952"/>
      <c r="CE149" s="1952"/>
      <c r="CG149" s="2468"/>
      <c r="CH149" s="2468"/>
      <c r="CI149" s="2468"/>
      <c r="CJ149" s="2468"/>
    </row>
    <row r="150" spans="13:88" s="1395" customFormat="1">
      <c r="M150" s="1952"/>
      <c r="N150" s="1952"/>
      <c r="O150" s="1952"/>
      <c r="P150" s="1952"/>
      <c r="Q150" s="1952"/>
      <c r="R150" s="1952"/>
      <c r="S150" s="1952"/>
      <c r="T150" s="1952"/>
      <c r="U150" s="1952"/>
      <c r="V150" s="1952"/>
      <c r="BQ150" s="1952"/>
      <c r="BR150" s="1952"/>
      <c r="BS150" s="1952"/>
      <c r="BT150" s="1952"/>
      <c r="BU150" s="1952"/>
      <c r="BV150" s="1952"/>
      <c r="BW150" s="1952"/>
      <c r="BX150" s="1952"/>
      <c r="BY150" s="1952"/>
      <c r="BZ150" s="1952"/>
      <c r="CA150" s="1952"/>
      <c r="CB150" s="1952"/>
      <c r="CC150" s="1952"/>
      <c r="CD150" s="1952"/>
      <c r="CE150" s="1952"/>
      <c r="CG150" s="2468"/>
      <c r="CH150" s="2468"/>
      <c r="CI150" s="2468"/>
      <c r="CJ150" s="2468"/>
    </row>
    <row r="151" spans="13:88" s="1395" customFormat="1">
      <c r="M151" s="1952"/>
      <c r="N151" s="1952"/>
      <c r="O151" s="1952"/>
      <c r="P151" s="1952"/>
      <c r="Q151" s="1952"/>
      <c r="R151" s="1952"/>
      <c r="S151" s="1952"/>
      <c r="T151" s="1952"/>
      <c r="U151" s="1952"/>
      <c r="V151" s="1952"/>
      <c r="BQ151" s="1952"/>
      <c r="BR151" s="1952"/>
      <c r="BS151" s="1952"/>
      <c r="BT151" s="1952"/>
      <c r="BU151" s="1952"/>
      <c r="BV151" s="1952"/>
      <c r="BW151" s="1952"/>
      <c r="BX151" s="1952"/>
      <c r="BY151" s="1952"/>
      <c r="BZ151" s="1952"/>
      <c r="CA151" s="1952"/>
      <c r="CB151" s="1952"/>
      <c r="CC151" s="1952"/>
      <c r="CD151" s="1952"/>
      <c r="CE151" s="1952"/>
      <c r="CG151" s="2468"/>
      <c r="CH151" s="2468"/>
      <c r="CI151" s="2468"/>
      <c r="CJ151" s="2468"/>
    </row>
    <row r="152" spans="13:88" s="1395" customFormat="1">
      <c r="M152" s="1952"/>
      <c r="N152" s="1952"/>
      <c r="O152" s="1952"/>
      <c r="P152" s="1952"/>
      <c r="Q152" s="1952"/>
      <c r="R152" s="1952"/>
      <c r="S152" s="1952"/>
      <c r="T152" s="1952"/>
      <c r="U152" s="1952"/>
      <c r="V152" s="1952"/>
      <c r="BQ152" s="1952"/>
      <c r="BR152" s="1952"/>
      <c r="BS152" s="1952"/>
      <c r="BT152" s="1952"/>
      <c r="BU152" s="1952"/>
      <c r="BV152" s="1952"/>
      <c r="BW152" s="1952"/>
      <c r="BX152" s="1952"/>
      <c r="BY152" s="1952"/>
      <c r="BZ152" s="1952"/>
      <c r="CA152" s="1952"/>
      <c r="CB152" s="1952"/>
      <c r="CC152" s="1952"/>
      <c r="CD152" s="1952"/>
      <c r="CE152" s="1952"/>
      <c r="CG152" s="2468"/>
      <c r="CH152" s="2468"/>
      <c r="CI152" s="2468"/>
      <c r="CJ152" s="2468"/>
    </row>
    <row r="153" spans="13:88" s="1395" customFormat="1">
      <c r="M153" s="1952"/>
      <c r="N153" s="1952"/>
      <c r="O153" s="1952"/>
      <c r="P153" s="1952"/>
      <c r="Q153" s="1952"/>
      <c r="R153" s="1952"/>
      <c r="S153" s="1952"/>
      <c r="T153" s="1952"/>
      <c r="U153" s="1952"/>
      <c r="V153" s="1952"/>
      <c r="BQ153" s="1952"/>
      <c r="BR153" s="1952"/>
      <c r="BS153" s="1952"/>
      <c r="BT153" s="1952"/>
      <c r="BU153" s="1952"/>
      <c r="BV153" s="1952"/>
      <c r="BW153" s="1952"/>
      <c r="BX153" s="1952"/>
      <c r="BY153" s="1952"/>
      <c r="BZ153" s="1952"/>
      <c r="CA153" s="1952"/>
      <c r="CB153" s="1952"/>
      <c r="CC153" s="1952"/>
      <c r="CD153" s="1952"/>
      <c r="CE153" s="1952"/>
      <c r="CG153" s="2468"/>
      <c r="CH153" s="2468"/>
      <c r="CI153" s="2468"/>
      <c r="CJ153" s="2468"/>
    </row>
    <row r="154" spans="13:88" s="1395" customFormat="1">
      <c r="M154" s="1952"/>
      <c r="N154" s="1952"/>
      <c r="O154" s="1952"/>
      <c r="P154" s="1952"/>
      <c r="Q154" s="1952"/>
      <c r="R154" s="1952"/>
      <c r="S154" s="1952"/>
      <c r="T154" s="1952"/>
      <c r="U154" s="1952"/>
      <c r="V154" s="1952"/>
      <c r="BQ154" s="1952"/>
      <c r="BR154" s="1952"/>
      <c r="BS154" s="1952"/>
      <c r="BT154" s="1952"/>
      <c r="BU154" s="1952"/>
      <c r="BV154" s="1952"/>
      <c r="BW154" s="1952"/>
      <c r="BX154" s="1952"/>
      <c r="BY154" s="1952"/>
      <c r="BZ154" s="1952"/>
      <c r="CA154" s="1952"/>
      <c r="CB154" s="1952"/>
      <c r="CC154" s="1952"/>
      <c r="CD154" s="1952"/>
      <c r="CE154" s="1952"/>
      <c r="CG154" s="2468"/>
      <c r="CH154" s="2468"/>
      <c r="CI154" s="2468"/>
      <c r="CJ154" s="2468"/>
    </row>
    <row r="155" spans="13:88" s="1395" customFormat="1">
      <c r="M155" s="1952"/>
      <c r="N155" s="1952"/>
      <c r="O155" s="1952"/>
      <c r="P155" s="1952"/>
      <c r="Q155" s="1952"/>
      <c r="R155" s="1952"/>
      <c r="S155" s="1952"/>
      <c r="T155" s="1952"/>
      <c r="U155" s="1952"/>
      <c r="V155" s="1952"/>
      <c r="BQ155" s="1952"/>
      <c r="BR155" s="1952"/>
      <c r="BS155" s="1952"/>
      <c r="BT155" s="1952"/>
      <c r="BU155" s="1952"/>
      <c r="BV155" s="1952"/>
      <c r="BW155" s="1952"/>
      <c r="BX155" s="1952"/>
      <c r="BY155" s="1952"/>
      <c r="BZ155" s="1952"/>
      <c r="CA155" s="1952"/>
      <c r="CB155" s="1952"/>
      <c r="CC155" s="1952"/>
      <c r="CD155" s="1952"/>
      <c r="CE155" s="1952"/>
      <c r="CG155" s="2468"/>
      <c r="CH155" s="2468"/>
      <c r="CI155" s="2468"/>
      <c r="CJ155" s="2468"/>
    </row>
    <row r="156" spans="13:88" s="1395" customFormat="1">
      <c r="M156" s="1952"/>
      <c r="N156" s="1952"/>
      <c r="O156" s="1952"/>
      <c r="P156" s="1952"/>
      <c r="Q156" s="1952"/>
      <c r="R156" s="1952"/>
      <c r="S156" s="1952"/>
      <c r="T156" s="1952"/>
      <c r="U156" s="1952"/>
      <c r="V156" s="1952"/>
      <c r="BQ156" s="1952"/>
      <c r="BR156" s="1952"/>
      <c r="BS156" s="1952"/>
      <c r="BT156" s="1952"/>
      <c r="BU156" s="1952"/>
      <c r="BV156" s="1952"/>
      <c r="BW156" s="1952"/>
      <c r="BX156" s="1952"/>
      <c r="BY156" s="1952"/>
      <c r="BZ156" s="1952"/>
      <c r="CA156" s="1952"/>
      <c r="CB156" s="1952"/>
      <c r="CC156" s="1952"/>
      <c r="CD156" s="1952"/>
      <c r="CE156" s="1952"/>
      <c r="CG156" s="2468"/>
      <c r="CH156" s="2468"/>
      <c r="CI156" s="2468"/>
      <c r="CJ156" s="2468"/>
    </row>
    <row r="157" spans="13:88" s="1395" customFormat="1">
      <c r="M157" s="1952"/>
      <c r="N157" s="1952"/>
      <c r="O157" s="1952"/>
      <c r="P157" s="1952"/>
      <c r="Q157" s="1952"/>
      <c r="R157" s="1952"/>
      <c r="S157" s="1952"/>
      <c r="T157" s="1952"/>
      <c r="U157" s="1952"/>
      <c r="V157" s="1952"/>
      <c r="BQ157" s="1952"/>
      <c r="BR157" s="1952"/>
      <c r="BS157" s="1952"/>
      <c r="BT157" s="1952"/>
      <c r="BU157" s="1952"/>
      <c r="BV157" s="1952"/>
      <c r="BW157" s="1952"/>
      <c r="BX157" s="1952"/>
      <c r="BY157" s="1952"/>
      <c r="BZ157" s="1952"/>
      <c r="CA157" s="1952"/>
      <c r="CB157" s="1952"/>
      <c r="CC157" s="1952"/>
      <c r="CD157" s="1952"/>
      <c r="CE157" s="1952"/>
      <c r="CG157" s="2468"/>
      <c r="CH157" s="2468"/>
      <c r="CI157" s="2468"/>
      <c r="CJ157" s="2468"/>
    </row>
    <row r="158" spans="13:88" s="1395" customFormat="1">
      <c r="M158" s="1952"/>
      <c r="N158" s="1952"/>
      <c r="O158" s="1952"/>
      <c r="P158" s="1952"/>
      <c r="Q158" s="1952"/>
      <c r="R158" s="1952"/>
      <c r="S158" s="1952"/>
      <c r="T158" s="1952"/>
      <c r="U158" s="1952"/>
      <c r="V158" s="1952"/>
      <c r="BQ158" s="1952"/>
      <c r="BR158" s="1952"/>
      <c r="BS158" s="1952"/>
      <c r="BT158" s="1952"/>
      <c r="BU158" s="1952"/>
      <c r="BV158" s="1952"/>
      <c r="BW158" s="1952"/>
      <c r="BX158" s="1952"/>
      <c r="BY158" s="1952"/>
      <c r="BZ158" s="1952"/>
      <c r="CA158" s="1952"/>
      <c r="CB158" s="1952"/>
      <c r="CC158" s="1952"/>
      <c r="CD158" s="1952"/>
      <c r="CE158" s="1952"/>
      <c r="CG158" s="2468"/>
      <c r="CH158" s="2468"/>
      <c r="CI158" s="2468"/>
      <c r="CJ158" s="2468"/>
    </row>
    <row r="159" spans="13:88" s="1395" customFormat="1">
      <c r="M159" s="1952"/>
      <c r="N159" s="1952"/>
      <c r="O159" s="1952"/>
      <c r="P159" s="1952"/>
      <c r="Q159" s="1952"/>
      <c r="R159" s="1952"/>
      <c r="S159" s="1952"/>
      <c r="T159" s="1952"/>
      <c r="U159" s="1952"/>
      <c r="V159" s="1952"/>
      <c r="BQ159" s="1952"/>
      <c r="BR159" s="1952"/>
      <c r="BS159" s="1952"/>
      <c r="BT159" s="1952"/>
      <c r="BU159" s="1952"/>
      <c r="BV159" s="1952"/>
      <c r="BW159" s="1952"/>
      <c r="BX159" s="1952"/>
      <c r="BY159" s="1952"/>
      <c r="BZ159" s="1952"/>
      <c r="CA159" s="1952"/>
      <c r="CB159" s="1952"/>
      <c r="CC159" s="1952"/>
      <c r="CD159" s="1952"/>
      <c r="CE159" s="1952"/>
      <c r="CG159" s="2468"/>
      <c r="CH159" s="2468"/>
      <c r="CI159" s="2468"/>
      <c r="CJ159" s="2468"/>
    </row>
    <row r="160" spans="13:88" s="1395" customFormat="1">
      <c r="M160" s="1952"/>
      <c r="N160" s="1952"/>
      <c r="O160" s="1952"/>
      <c r="P160" s="1952"/>
      <c r="Q160" s="1952"/>
      <c r="R160" s="1952"/>
      <c r="S160" s="1952"/>
      <c r="T160" s="1952"/>
      <c r="U160" s="1952"/>
      <c r="V160" s="1952"/>
      <c r="BQ160" s="1952"/>
      <c r="BR160" s="1952"/>
      <c r="BS160" s="1952"/>
      <c r="BT160" s="1952"/>
      <c r="BU160" s="1952"/>
      <c r="BV160" s="1952"/>
      <c r="BW160" s="1952"/>
      <c r="BX160" s="1952"/>
      <c r="BY160" s="1952"/>
      <c r="BZ160" s="1952"/>
      <c r="CA160" s="1952"/>
      <c r="CB160" s="1952"/>
      <c r="CC160" s="1952"/>
      <c r="CD160" s="1952"/>
      <c r="CE160" s="1952"/>
      <c r="CG160" s="2468"/>
      <c r="CH160" s="2468"/>
      <c r="CI160" s="2468"/>
      <c r="CJ160" s="2468"/>
    </row>
    <row r="161" spans="13:88" s="1395" customFormat="1">
      <c r="M161" s="1952"/>
      <c r="N161" s="1952"/>
      <c r="O161" s="1952"/>
      <c r="P161" s="1952"/>
      <c r="Q161" s="1952"/>
      <c r="R161" s="1952"/>
      <c r="S161" s="1952"/>
      <c r="T161" s="1952"/>
      <c r="U161" s="1952"/>
      <c r="V161" s="1952"/>
      <c r="BQ161" s="1952"/>
      <c r="BR161" s="1952"/>
      <c r="BS161" s="1952"/>
      <c r="BT161" s="1952"/>
      <c r="BU161" s="1952"/>
      <c r="BV161" s="1952"/>
      <c r="BW161" s="1952"/>
      <c r="BX161" s="1952"/>
      <c r="BY161" s="1952"/>
      <c r="BZ161" s="1952"/>
      <c r="CA161" s="1952"/>
      <c r="CB161" s="1952"/>
      <c r="CC161" s="1952"/>
      <c r="CD161" s="1952"/>
      <c r="CE161" s="1952"/>
      <c r="CG161" s="2468"/>
      <c r="CH161" s="2468"/>
      <c r="CI161" s="2468"/>
      <c r="CJ161" s="2468"/>
    </row>
    <row r="162" spans="13:88" s="1395" customFormat="1">
      <c r="M162" s="1952"/>
      <c r="N162" s="1952"/>
      <c r="O162" s="1952"/>
      <c r="P162" s="1952"/>
      <c r="Q162" s="1952"/>
      <c r="R162" s="1952"/>
      <c r="S162" s="1952"/>
      <c r="T162" s="1952"/>
      <c r="U162" s="1952"/>
      <c r="V162" s="1952"/>
      <c r="BQ162" s="1952"/>
      <c r="BR162" s="1952"/>
      <c r="BS162" s="1952"/>
      <c r="BT162" s="1952"/>
      <c r="BU162" s="1952"/>
      <c r="BV162" s="1952"/>
      <c r="BW162" s="1952"/>
      <c r="BX162" s="1952"/>
      <c r="BY162" s="1952"/>
      <c r="BZ162" s="1952"/>
      <c r="CA162" s="1952"/>
      <c r="CB162" s="1952"/>
      <c r="CC162" s="1952"/>
      <c r="CD162" s="1952"/>
      <c r="CE162" s="1952"/>
      <c r="CG162" s="2468"/>
      <c r="CH162" s="2468"/>
      <c r="CI162" s="2468"/>
      <c r="CJ162" s="2468"/>
    </row>
    <row r="163" spans="13:88" s="1395" customFormat="1">
      <c r="M163" s="1952"/>
      <c r="N163" s="1952"/>
      <c r="O163" s="1952"/>
      <c r="P163" s="1952"/>
      <c r="Q163" s="1952"/>
      <c r="R163" s="1952"/>
      <c r="S163" s="1952"/>
      <c r="T163" s="1952"/>
      <c r="U163" s="1952"/>
      <c r="V163" s="1952"/>
      <c r="BQ163" s="1952"/>
      <c r="BR163" s="1952"/>
      <c r="BS163" s="1952"/>
      <c r="BT163" s="1952"/>
      <c r="BU163" s="1952"/>
      <c r="BV163" s="1952"/>
      <c r="BW163" s="1952"/>
      <c r="BX163" s="1952"/>
      <c r="BY163" s="1952"/>
      <c r="BZ163" s="1952"/>
      <c r="CA163" s="1952"/>
      <c r="CB163" s="1952"/>
      <c r="CC163" s="1952"/>
      <c r="CD163" s="1952"/>
      <c r="CE163" s="1952"/>
      <c r="CG163" s="2468"/>
      <c r="CH163" s="2468"/>
      <c r="CI163" s="2468"/>
      <c r="CJ163" s="2468"/>
    </row>
    <row r="164" spans="13:88" s="1395" customFormat="1">
      <c r="M164" s="1952"/>
      <c r="N164" s="1952"/>
      <c r="O164" s="1952"/>
      <c r="P164" s="1952"/>
      <c r="Q164" s="1952"/>
      <c r="R164" s="1952"/>
      <c r="S164" s="1952"/>
      <c r="T164" s="1952"/>
      <c r="U164" s="1952"/>
      <c r="V164" s="1952"/>
      <c r="BQ164" s="1952"/>
      <c r="BR164" s="1952"/>
      <c r="BS164" s="1952"/>
      <c r="BT164" s="1952"/>
      <c r="BU164" s="1952"/>
      <c r="BV164" s="1952"/>
      <c r="BW164" s="1952"/>
      <c r="BX164" s="1952"/>
      <c r="BY164" s="1952"/>
      <c r="BZ164" s="1952"/>
      <c r="CA164" s="1952"/>
      <c r="CB164" s="1952"/>
      <c r="CC164" s="1952"/>
      <c r="CD164" s="1952"/>
      <c r="CE164" s="1952"/>
      <c r="CG164" s="2468"/>
      <c r="CH164" s="2468"/>
      <c r="CI164" s="2468"/>
      <c r="CJ164" s="2468"/>
    </row>
    <row r="165" spans="13:88" s="1395" customFormat="1">
      <c r="M165" s="1952"/>
      <c r="N165" s="1952"/>
      <c r="O165" s="1952"/>
      <c r="P165" s="1952"/>
      <c r="Q165" s="1952"/>
      <c r="R165" s="1952"/>
      <c r="S165" s="1952"/>
      <c r="T165" s="1952"/>
      <c r="U165" s="1952"/>
      <c r="V165" s="1952"/>
      <c r="BQ165" s="1952"/>
      <c r="BR165" s="1952"/>
      <c r="BS165" s="1952"/>
      <c r="BT165" s="1952"/>
      <c r="BU165" s="1952"/>
      <c r="BV165" s="1952"/>
      <c r="BW165" s="1952"/>
      <c r="BX165" s="1952"/>
      <c r="BY165" s="1952"/>
      <c r="BZ165" s="1952"/>
      <c r="CA165" s="1952"/>
      <c r="CB165" s="1952"/>
      <c r="CC165" s="1952"/>
      <c r="CD165" s="1952"/>
      <c r="CE165" s="1952"/>
      <c r="CG165" s="2468"/>
      <c r="CH165" s="2468"/>
      <c r="CI165" s="2468"/>
      <c r="CJ165" s="2468"/>
    </row>
    <row r="166" spans="13:88" s="1395" customFormat="1">
      <c r="M166" s="1952"/>
      <c r="N166" s="1952"/>
      <c r="O166" s="1952"/>
      <c r="P166" s="1952"/>
      <c r="Q166" s="1952"/>
      <c r="R166" s="1952"/>
      <c r="S166" s="1952"/>
      <c r="T166" s="1952"/>
      <c r="U166" s="1952"/>
      <c r="V166" s="1952"/>
      <c r="BQ166" s="1952"/>
      <c r="BR166" s="1952"/>
      <c r="BS166" s="1952"/>
      <c r="BT166" s="1952"/>
      <c r="BU166" s="1952"/>
      <c r="BV166" s="1952"/>
      <c r="BW166" s="1952"/>
      <c r="BX166" s="1952"/>
      <c r="BY166" s="1952"/>
      <c r="BZ166" s="1952"/>
      <c r="CA166" s="1952"/>
      <c r="CB166" s="1952"/>
      <c r="CC166" s="1952"/>
      <c r="CD166" s="1952"/>
      <c r="CE166" s="1952"/>
      <c r="CG166" s="2468"/>
      <c r="CH166" s="2468"/>
      <c r="CI166" s="2468"/>
      <c r="CJ166" s="2468"/>
    </row>
    <row r="167" spans="13:88" s="1395" customFormat="1">
      <c r="M167" s="1952"/>
      <c r="N167" s="1952"/>
      <c r="O167" s="1952"/>
      <c r="P167" s="1952"/>
      <c r="Q167" s="1952"/>
      <c r="R167" s="1952"/>
      <c r="S167" s="1952"/>
      <c r="T167" s="1952"/>
      <c r="U167" s="1952"/>
      <c r="V167" s="1952"/>
      <c r="BQ167" s="1952"/>
      <c r="BR167" s="1952"/>
      <c r="BS167" s="1952"/>
      <c r="BT167" s="1952"/>
      <c r="BU167" s="1952"/>
      <c r="BV167" s="1952"/>
      <c r="BW167" s="1952"/>
      <c r="BX167" s="1952"/>
      <c r="BY167" s="1952"/>
      <c r="BZ167" s="1952"/>
      <c r="CA167" s="1952"/>
      <c r="CB167" s="1952"/>
      <c r="CC167" s="1952"/>
      <c r="CD167" s="1952"/>
      <c r="CE167" s="1952"/>
      <c r="CG167" s="2468"/>
      <c r="CH167" s="2468"/>
      <c r="CI167" s="2468"/>
      <c r="CJ167" s="2468"/>
    </row>
    <row r="168" spans="13:88" s="1395" customFormat="1">
      <c r="M168" s="1952"/>
      <c r="N168" s="1952"/>
      <c r="O168" s="1952"/>
      <c r="P168" s="1952"/>
      <c r="Q168" s="1952"/>
      <c r="R168" s="1952"/>
      <c r="S168" s="1952"/>
      <c r="T168" s="1952"/>
      <c r="U168" s="1952"/>
      <c r="V168" s="1952"/>
      <c r="BQ168" s="1952"/>
      <c r="BR168" s="1952"/>
      <c r="BS168" s="1952"/>
      <c r="BT168" s="1952"/>
      <c r="BU168" s="1952"/>
      <c r="BV168" s="1952"/>
      <c r="BW168" s="1952"/>
      <c r="BX168" s="1952"/>
      <c r="BY168" s="1952"/>
      <c r="BZ168" s="1952"/>
      <c r="CA168" s="1952"/>
      <c r="CB168" s="1952"/>
      <c r="CC168" s="1952"/>
      <c r="CD168" s="1952"/>
      <c r="CE168" s="1952"/>
      <c r="CG168" s="2468"/>
      <c r="CH168" s="2468"/>
      <c r="CI168" s="2468"/>
      <c r="CJ168" s="2468"/>
    </row>
    <row r="169" spans="13:88" s="1395" customFormat="1">
      <c r="M169" s="1952"/>
      <c r="N169" s="1952"/>
      <c r="O169" s="1952"/>
      <c r="P169" s="1952"/>
      <c r="Q169" s="1952"/>
      <c r="R169" s="1952"/>
      <c r="S169" s="1952"/>
      <c r="T169" s="1952"/>
      <c r="U169" s="1952"/>
      <c r="V169" s="1952"/>
      <c r="BQ169" s="1952"/>
      <c r="BR169" s="1952"/>
      <c r="BS169" s="1952"/>
      <c r="BT169" s="1952"/>
      <c r="BU169" s="1952"/>
      <c r="BV169" s="1952"/>
      <c r="BW169" s="1952"/>
      <c r="BX169" s="1952"/>
      <c r="BY169" s="1952"/>
      <c r="BZ169" s="1952"/>
      <c r="CA169" s="1952"/>
      <c r="CB169" s="1952"/>
      <c r="CC169" s="1952"/>
      <c r="CD169" s="1952"/>
      <c r="CE169" s="1952"/>
      <c r="CG169" s="2468"/>
      <c r="CH169" s="2468"/>
      <c r="CI169" s="2468"/>
      <c r="CJ169" s="2468"/>
    </row>
    <row r="170" spans="13:88" s="1395" customFormat="1">
      <c r="M170" s="1952"/>
      <c r="N170" s="1952"/>
      <c r="O170" s="1952"/>
      <c r="P170" s="1952"/>
      <c r="Q170" s="1952"/>
      <c r="R170" s="1952"/>
      <c r="S170" s="1952"/>
      <c r="T170" s="1952"/>
      <c r="U170" s="1952"/>
      <c r="V170" s="1952"/>
      <c r="BQ170" s="1952"/>
      <c r="BR170" s="1952"/>
      <c r="BS170" s="1952"/>
      <c r="BT170" s="1952"/>
      <c r="BU170" s="1952"/>
      <c r="BV170" s="1952"/>
      <c r="BW170" s="1952"/>
      <c r="BX170" s="1952"/>
      <c r="BY170" s="1952"/>
      <c r="BZ170" s="1952"/>
      <c r="CA170" s="1952"/>
      <c r="CB170" s="1952"/>
      <c r="CC170" s="1952"/>
      <c r="CD170" s="1952"/>
      <c r="CE170" s="1952"/>
      <c r="CG170" s="2468"/>
      <c r="CH170" s="2468"/>
      <c r="CI170" s="2468"/>
      <c r="CJ170" s="2468"/>
    </row>
    <row r="171" spans="13:88" s="1395" customFormat="1">
      <c r="M171" s="1952"/>
      <c r="N171" s="1952"/>
      <c r="O171" s="1952"/>
      <c r="P171" s="1952"/>
      <c r="Q171" s="1952"/>
      <c r="R171" s="1952"/>
      <c r="S171" s="1952"/>
      <c r="T171" s="1952"/>
      <c r="U171" s="1952"/>
      <c r="V171" s="1952"/>
      <c r="BQ171" s="1952"/>
      <c r="BR171" s="1952"/>
      <c r="BS171" s="1952"/>
      <c r="BT171" s="1952"/>
      <c r="BU171" s="1952"/>
      <c r="BV171" s="1952"/>
      <c r="BW171" s="1952"/>
      <c r="BX171" s="1952"/>
      <c r="BY171" s="1952"/>
      <c r="BZ171" s="1952"/>
      <c r="CA171" s="1952"/>
      <c r="CB171" s="1952"/>
      <c r="CC171" s="1952"/>
      <c r="CD171" s="1952"/>
      <c r="CE171" s="1952"/>
      <c r="CG171" s="2468"/>
      <c r="CH171" s="2468"/>
      <c r="CI171" s="2468"/>
      <c r="CJ171" s="2468"/>
    </row>
    <row r="172" spans="13:88" s="1395" customFormat="1">
      <c r="M172" s="1952"/>
      <c r="N172" s="1952"/>
      <c r="O172" s="1952"/>
      <c r="P172" s="1952"/>
      <c r="Q172" s="1952"/>
      <c r="R172" s="1952"/>
      <c r="S172" s="1952"/>
      <c r="T172" s="1952"/>
      <c r="U172" s="1952"/>
      <c r="V172" s="1952"/>
      <c r="BQ172" s="1952"/>
      <c r="BR172" s="1952"/>
      <c r="BS172" s="1952"/>
      <c r="BT172" s="1952"/>
      <c r="BU172" s="1952"/>
      <c r="BV172" s="1952"/>
      <c r="BW172" s="1952"/>
      <c r="BX172" s="1952"/>
      <c r="BY172" s="1952"/>
      <c r="BZ172" s="1952"/>
      <c r="CA172" s="1952"/>
      <c r="CB172" s="1952"/>
      <c r="CC172" s="1952"/>
      <c r="CD172" s="1952"/>
      <c r="CE172" s="1952"/>
      <c r="CG172" s="2468"/>
      <c r="CH172" s="2468"/>
      <c r="CI172" s="2468"/>
      <c r="CJ172" s="2468"/>
    </row>
    <row r="173" spans="13:88" s="1395" customFormat="1">
      <c r="M173" s="1952"/>
      <c r="N173" s="1952"/>
      <c r="O173" s="1952"/>
      <c r="P173" s="1952"/>
      <c r="Q173" s="1952"/>
      <c r="R173" s="1952"/>
      <c r="S173" s="1952"/>
      <c r="T173" s="1952"/>
      <c r="U173" s="1952"/>
      <c r="V173" s="1952"/>
      <c r="BQ173" s="1952"/>
      <c r="BR173" s="1952"/>
      <c r="BS173" s="1952"/>
      <c r="BT173" s="1952"/>
      <c r="BU173" s="1952"/>
      <c r="BV173" s="1952"/>
      <c r="BW173" s="1952"/>
      <c r="BX173" s="1952"/>
      <c r="BY173" s="1952"/>
      <c r="BZ173" s="1952"/>
      <c r="CA173" s="1952"/>
      <c r="CB173" s="1952"/>
      <c r="CC173" s="1952"/>
      <c r="CD173" s="1952"/>
      <c r="CE173" s="1952"/>
      <c r="CG173" s="2468"/>
      <c r="CH173" s="2468"/>
      <c r="CI173" s="2468"/>
      <c r="CJ173" s="2468"/>
    </row>
    <row r="174" spans="13:88" s="1395" customFormat="1">
      <c r="M174" s="1952"/>
      <c r="N174" s="1952"/>
      <c r="O174" s="1952"/>
      <c r="P174" s="1952"/>
      <c r="Q174" s="1952"/>
      <c r="R174" s="1952"/>
      <c r="S174" s="1952"/>
      <c r="T174" s="1952"/>
      <c r="U174" s="1952"/>
      <c r="V174" s="1952"/>
      <c r="BQ174" s="1952"/>
      <c r="BR174" s="1952"/>
      <c r="BS174" s="1952"/>
      <c r="BT174" s="1952"/>
      <c r="BU174" s="1952"/>
      <c r="BV174" s="1952"/>
      <c r="BW174" s="1952"/>
      <c r="BX174" s="1952"/>
      <c r="BY174" s="1952"/>
      <c r="BZ174" s="1952"/>
      <c r="CA174" s="1952"/>
      <c r="CB174" s="1952"/>
      <c r="CC174" s="1952"/>
      <c r="CD174" s="1952"/>
      <c r="CE174" s="1952"/>
      <c r="CG174" s="2468"/>
      <c r="CH174" s="2468"/>
      <c r="CI174" s="2468"/>
      <c r="CJ174" s="2468"/>
    </row>
    <row r="175" spans="13:88" s="1395" customFormat="1">
      <c r="M175" s="1952"/>
      <c r="N175" s="1952"/>
      <c r="O175" s="1952"/>
      <c r="P175" s="1952"/>
      <c r="Q175" s="1952"/>
      <c r="R175" s="1952"/>
      <c r="S175" s="1952"/>
      <c r="T175" s="1952"/>
      <c r="U175" s="1952"/>
      <c r="V175" s="1952"/>
      <c r="BQ175" s="1952"/>
      <c r="BR175" s="1952"/>
      <c r="BS175" s="1952"/>
      <c r="BT175" s="1952"/>
      <c r="BU175" s="1952"/>
      <c r="BV175" s="1952"/>
      <c r="BW175" s="1952"/>
      <c r="BX175" s="1952"/>
      <c r="BY175" s="1952"/>
      <c r="BZ175" s="1952"/>
      <c r="CA175" s="1952"/>
      <c r="CB175" s="1952"/>
      <c r="CC175" s="1952"/>
      <c r="CD175" s="1952"/>
      <c r="CE175" s="1952"/>
      <c r="CG175" s="2468"/>
      <c r="CH175" s="2468"/>
      <c r="CI175" s="2468"/>
      <c r="CJ175" s="2468"/>
    </row>
    <row r="176" spans="13:88" s="1395" customFormat="1">
      <c r="M176" s="1952"/>
      <c r="N176" s="1952"/>
      <c r="O176" s="1952"/>
      <c r="P176" s="1952"/>
      <c r="Q176" s="1952"/>
      <c r="R176" s="1952"/>
      <c r="S176" s="1952"/>
      <c r="T176" s="1952"/>
      <c r="U176" s="1952"/>
      <c r="V176" s="1952"/>
      <c r="BQ176" s="1952"/>
      <c r="BR176" s="1952"/>
      <c r="BS176" s="1952"/>
      <c r="BT176" s="1952"/>
      <c r="BU176" s="1952"/>
      <c r="BV176" s="1952"/>
      <c r="BW176" s="1952"/>
      <c r="BX176" s="1952"/>
      <c r="BY176" s="1952"/>
      <c r="BZ176" s="1952"/>
      <c r="CA176" s="1952"/>
      <c r="CB176" s="1952"/>
      <c r="CC176" s="1952"/>
      <c r="CD176" s="1952"/>
      <c r="CE176" s="1952"/>
      <c r="CG176" s="2468"/>
      <c r="CH176" s="2468"/>
      <c r="CI176" s="2468"/>
      <c r="CJ176" s="2468"/>
    </row>
    <row r="177" spans="13:88" s="1395" customFormat="1">
      <c r="M177" s="1952"/>
      <c r="N177" s="1952"/>
      <c r="O177" s="1952"/>
      <c r="P177" s="1952"/>
      <c r="Q177" s="1952"/>
      <c r="R177" s="1952"/>
      <c r="S177" s="1952"/>
      <c r="T177" s="1952"/>
      <c r="U177" s="1952"/>
      <c r="V177" s="1952"/>
      <c r="BQ177" s="1952"/>
      <c r="BR177" s="1952"/>
      <c r="BS177" s="1952"/>
      <c r="BT177" s="1952"/>
      <c r="BU177" s="1952"/>
      <c r="BV177" s="1952"/>
      <c r="BW177" s="1952"/>
      <c r="BX177" s="1952"/>
      <c r="BY177" s="1952"/>
      <c r="BZ177" s="1952"/>
      <c r="CA177" s="1952"/>
      <c r="CB177" s="1952"/>
      <c r="CC177" s="1952"/>
      <c r="CD177" s="1952"/>
      <c r="CE177" s="1952"/>
      <c r="CG177" s="2468"/>
      <c r="CH177" s="2468"/>
      <c r="CI177" s="2468"/>
      <c r="CJ177" s="2468"/>
    </row>
    <row r="178" spans="13:88" s="1395" customFormat="1">
      <c r="M178" s="1952"/>
      <c r="N178" s="1952"/>
      <c r="O178" s="1952"/>
      <c r="P178" s="1952"/>
      <c r="Q178" s="1952"/>
      <c r="R178" s="1952"/>
      <c r="S178" s="1952"/>
      <c r="T178" s="1952"/>
      <c r="U178" s="1952"/>
      <c r="V178" s="1952"/>
      <c r="BQ178" s="1952"/>
      <c r="BR178" s="1952"/>
      <c r="BS178" s="1952"/>
      <c r="BT178" s="1952"/>
      <c r="BU178" s="1952"/>
      <c r="BV178" s="1952"/>
      <c r="BW178" s="1952"/>
      <c r="BX178" s="1952"/>
      <c r="BY178" s="1952"/>
      <c r="BZ178" s="1952"/>
      <c r="CA178" s="1952"/>
      <c r="CB178" s="1952"/>
      <c r="CC178" s="1952"/>
      <c r="CD178" s="1952"/>
      <c r="CE178" s="1952"/>
      <c r="CG178" s="2468"/>
      <c r="CH178" s="2468"/>
      <c r="CI178" s="2468"/>
      <c r="CJ178" s="2468"/>
    </row>
    <row r="179" spans="13:88" s="1395" customFormat="1">
      <c r="M179" s="1952"/>
      <c r="N179" s="1952"/>
      <c r="O179" s="1952"/>
      <c r="P179" s="1952"/>
      <c r="Q179" s="1952"/>
      <c r="R179" s="1952"/>
      <c r="S179" s="1952"/>
      <c r="T179" s="1952"/>
      <c r="U179" s="1952"/>
      <c r="V179" s="1952"/>
      <c r="BQ179" s="1952"/>
      <c r="BR179" s="1952"/>
      <c r="BS179" s="1952"/>
      <c r="BT179" s="1952"/>
      <c r="BU179" s="1952"/>
      <c r="BV179" s="1952"/>
      <c r="BW179" s="1952"/>
      <c r="BX179" s="1952"/>
      <c r="BY179" s="1952"/>
      <c r="BZ179" s="1952"/>
      <c r="CA179" s="1952"/>
      <c r="CB179" s="1952"/>
      <c r="CC179" s="1952"/>
      <c r="CD179" s="1952"/>
      <c r="CE179" s="1952"/>
      <c r="CG179" s="2468"/>
      <c r="CH179" s="2468"/>
      <c r="CI179" s="2468"/>
      <c r="CJ179" s="2468"/>
    </row>
    <row r="180" spans="13:88" s="1395" customFormat="1">
      <c r="M180" s="1952"/>
      <c r="N180" s="1952"/>
      <c r="O180" s="1952"/>
      <c r="P180" s="1952"/>
      <c r="Q180" s="1952"/>
      <c r="R180" s="1952"/>
      <c r="S180" s="1952"/>
      <c r="T180" s="1952"/>
      <c r="U180" s="1952"/>
      <c r="V180" s="1952"/>
      <c r="BQ180" s="1952"/>
      <c r="BR180" s="1952"/>
      <c r="BS180" s="1952"/>
      <c r="BT180" s="1952"/>
      <c r="BU180" s="1952"/>
      <c r="BV180" s="1952"/>
      <c r="BW180" s="1952"/>
      <c r="BX180" s="1952"/>
      <c r="BY180" s="1952"/>
      <c r="BZ180" s="1952"/>
      <c r="CA180" s="1952"/>
      <c r="CB180" s="1952"/>
      <c r="CC180" s="1952"/>
      <c r="CD180" s="1952"/>
      <c r="CE180" s="1952"/>
      <c r="CG180" s="2468"/>
      <c r="CH180" s="2468"/>
      <c r="CI180" s="2468"/>
      <c r="CJ180" s="2468"/>
    </row>
    <row r="181" spans="13:88" s="1395" customFormat="1">
      <c r="M181" s="1952"/>
      <c r="N181" s="1952"/>
      <c r="O181" s="1952"/>
      <c r="P181" s="1952"/>
      <c r="Q181" s="1952"/>
      <c r="R181" s="1952"/>
      <c r="S181" s="1952"/>
      <c r="T181" s="1952"/>
      <c r="U181" s="1952"/>
      <c r="V181" s="1952"/>
      <c r="BQ181" s="1952"/>
      <c r="BR181" s="1952"/>
      <c r="BS181" s="1952"/>
      <c r="BT181" s="1952"/>
      <c r="BU181" s="1952"/>
      <c r="BV181" s="1952"/>
      <c r="BW181" s="1952"/>
      <c r="BX181" s="1952"/>
      <c r="BY181" s="1952"/>
      <c r="BZ181" s="1952"/>
      <c r="CA181" s="1952"/>
      <c r="CB181" s="1952"/>
      <c r="CC181" s="1952"/>
      <c r="CD181" s="1952"/>
      <c r="CE181" s="1952"/>
      <c r="CG181" s="2468"/>
      <c r="CH181" s="2468"/>
      <c r="CI181" s="2468"/>
      <c r="CJ181" s="2468"/>
    </row>
    <row r="182" spans="13:88" s="1395" customFormat="1">
      <c r="M182" s="1952"/>
      <c r="N182" s="1952"/>
      <c r="O182" s="1952"/>
      <c r="P182" s="1952"/>
      <c r="Q182" s="1952"/>
      <c r="R182" s="1952"/>
      <c r="S182" s="1952"/>
      <c r="T182" s="1952"/>
      <c r="U182" s="1952"/>
      <c r="V182" s="1952"/>
      <c r="BQ182" s="1952"/>
      <c r="BR182" s="1952"/>
      <c r="BS182" s="1952"/>
      <c r="BT182" s="1952"/>
      <c r="BU182" s="1952"/>
      <c r="BV182" s="1952"/>
      <c r="BW182" s="1952"/>
      <c r="BX182" s="1952"/>
      <c r="BY182" s="1952"/>
      <c r="BZ182" s="1952"/>
      <c r="CA182" s="1952"/>
      <c r="CB182" s="1952"/>
      <c r="CC182" s="1952"/>
      <c r="CD182" s="1952"/>
      <c r="CE182" s="1952"/>
      <c r="CG182" s="2468"/>
      <c r="CH182" s="2468"/>
      <c r="CI182" s="2468"/>
      <c r="CJ182" s="2468"/>
    </row>
    <row r="183" spans="13:88" s="1395" customFormat="1">
      <c r="M183" s="1952"/>
      <c r="N183" s="1952"/>
      <c r="O183" s="1952"/>
      <c r="P183" s="1952"/>
      <c r="Q183" s="1952"/>
      <c r="R183" s="1952"/>
      <c r="S183" s="1952"/>
      <c r="T183" s="1952"/>
      <c r="U183" s="1952"/>
      <c r="V183" s="1952"/>
      <c r="BQ183" s="1952"/>
      <c r="BR183" s="1952"/>
      <c r="BS183" s="1952"/>
      <c r="BT183" s="1952"/>
      <c r="BU183" s="1952"/>
      <c r="BV183" s="1952"/>
      <c r="BW183" s="1952"/>
      <c r="BX183" s="1952"/>
      <c r="BY183" s="1952"/>
      <c r="BZ183" s="1952"/>
      <c r="CA183" s="1952"/>
      <c r="CB183" s="1952"/>
      <c r="CC183" s="1952"/>
      <c r="CD183" s="1952"/>
      <c r="CE183" s="1952"/>
      <c r="CG183" s="2468"/>
      <c r="CH183" s="2468"/>
      <c r="CI183" s="2468"/>
      <c r="CJ183" s="2468"/>
    </row>
    <row r="184" spans="13:88" s="1395" customFormat="1">
      <c r="M184" s="1952"/>
      <c r="N184" s="1952"/>
      <c r="O184" s="1952"/>
      <c r="P184" s="1952"/>
      <c r="Q184" s="1952"/>
      <c r="R184" s="1952"/>
      <c r="S184" s="1952"/>
      <c r="T184" s="1952"/>
      <c r="U184" s="1952"/>
      <c r="V184" s="1952"/>
      <c r="BQ184" s="1952"/>
      <c r="BR184" s="1952"/>
      <c r="BS184" s="1952"/>
      <c r="BT184" s="1952"/>
      <c r="BU184" s="1952"/>
      <c r="BV184" s="1952"/>
      <c r="BW184" s="1952"/>
      <c r="BX184" s="1952"/>
      <c r="BY184" s="1952"/>
      <c r="BZ184" s="1952"/>
      <c r="CA184" s="1952"/>
      <c r="CB184" s="1952"/>
      <c r="CC184" s="1952"/>
      <c r="CD184" s="1952"/>
      <c r="CE184" s="1952"/>
      <c r="CG184" s="2468"/>
      <c r="CH184" s="2468"/>
      <c r="CI184" s="2468"/>
      <c r="CJ184" s="2468"/>
    </row>
    <row r="185" spans="13:88" s="1395" customFormat="1">
      <c r="M185" s="1952"/>
      <c r="N185" s="1952"/>
      <c r="O185" s="1952"/>
      <c r="P185" s="1952"/>
      <c r="Q185" s="1952"/>
      <c r="R185" s="1952"/>
      <c r="S185" s="1952"/>
      <c r="T185" s="1952"/>
      <c r="U185" s="1952"/>
      <c r="V185" s="1952"/>
      <c r="BQ185" s="1952"/>
      <c r="BR185" s="1952"/>
      <c r="BS185" s="1952"/>
      <c r="BT185" s="1952"/>
      <c r="BU185" s="1952"/>
      <c r="BV185" s="1952"/>
      <c r="BW185" s="1952"/>
      <c r="BX185" s="1952"/>
      <c r="BY185" s="1952"/>
      <c r="BZ185" s="1952"/>
      <c r="CA185" s="1952"/>
      <c r="CB185" s="1952"/>
      <c r="CC185" s="1952"/>
      <c r="CD185" s="1952"/>
      <c r="CE185" s="1952"/>
      <c r="CG185" s="2468"/>
      <c r="CH185" s="2468"/>
      <c r="CI185" s="2468"/>
      <c r="CJ185" s="2468"/>
    </row>
    <row r="186" spans="13:88" s="1395" customFormat="1">
      <c r="M186" s="1952"/>
      <c r="N186" s="1952"/>
      <c r="O186" s="1952"/>
      <c r="P186" s="1952"/>
      <c r="Q186" s="1952"/>
      <c r="R186" s="1952"/>
      <c r="S186" s="1952"/>
      <c r="T186" s="1952"/>
      <c r="U186" s="1952"/>
      <c r="V186" s="1952"/>
      <c r="BQ186" s="1952"/>
      <c r="BR186" s="1952"/>
      <c r="BS186" s="1952"/>
      <c r="BT186" s="1952"/>
      <c r="BU186" s="1952"/>
      <c r="BV186" s="1952"/>
      <c r="BW186" s="1952"/>
      <c r="BX186" s="1952"/>
      <c r="BY186" s="1952"/>
      <c r="BZ186" s="1952"/>
      <c r="CA186" s="1952"/>
      <c r="CB186" s="1952"/>
      <c r="CC186" s="1952"/>
      <c r="CD186" s="1952"/>
      <c r="CE186" s="1952"/>
      <c r="CG186" s="2468"/>
      <c r="CH186" s="2468"/>
      <c r="CI186" s="2468"/>
      <c r="CJ186" s="2468"/>
    </row>
    <row r="187" spans="13:88" s="1395" customFormat="1">
      <c r="M187" s="1952"/>
      <c r="N187" s="1952"/>
      <c r="O187" s="1952"/>
      <c r="P187" s="1952"/>
      <c r="Q187" s="1952"/>
      <c r="R187" s="1952"/>
      <c r="S187" s="1952"/>
      <c r="T187" s="1952"/>
      <c r="U187" s="1952"/>
      <c r="V187" s="1952"/>
      <c r="BQ187" s="1952"/>
      <c r="BR187" s="1952"/>
      <c r="BS187" s="1952"/>
      <c r="BT187" s="1952"/>
      <c r="BU187" s="1952"/>
      <c r="BV187" s="1952"/>
      <c r="BW187" s="1952"/>
      <c r="BX187" s="1952"/>
      <c r="BY187" s="1952"/>
      <c r="BZ187" s="1952"/>
      <c r="CA187" s="1952"/>
      <c r="CB187" s="1952"/>
      <c r="CC187" s="1952"/>
      <c r="CD187" s="1952"/>
      <c r="CE187" s="1952"/>
      <c r="CG187" s="2468"/>
      <c r="CH187" s="2468"/>
      <c r="CI187" s="2468"/>
      <c r="CJ187" s="2468"/>
    </row>
    <row r="188" spans="13:88" s="1395" customFormat="1">
      <c r="M188" s="1952"/>
      <c r="N188" s="1952"/>
      <c r="O188" s="1952"/>
      <c r="P188" s="1952"/>
      <c r="Q188" s="1952"/>
      <c r="R188" s="1952"/>
      <c r="S188" s="1952"/>
      <c r="T188" s="1952"/>
      <c r="U188" s="1952"/>
      <c r="V188" s="1952"/>
      <c r="BQ188" s="1952"/>
      <c r="BR188" s="1952"/>
      <c r="BS188" s="1952"/>
      <c r="BT188" s="1952"/>
      <c r="BU188" s="1952"/>
      <c r="BV188" s="1952"/>
      <c r="BW188" s="1952"/>
      <c r="BX188" s="1952"/>
      <c r="BY188" s="1952"/>
      <c r="BZ188" s="1952"/>
      <c r="CA188" s="1952"/>
      <c r="CB188" s="1952"/>
      <c r="CC188" s="1952"/>
      <c r="CD188" s="1952"/>
      <c r="CE188" s="1952"/>
      <c r="CG188" s="2468"/>
      <c r="CH188" s="2468"/>
      <c r="CI188" s="2468"/>
      <c r="CJ188" s="2468"/>
    </row>
    <row r="189" spans="13:88" s="1395" customFormat="1">
      <c r="M189" s="1952"/>
      <c r="N189" s="1952"/>
      <c r="O189" s="1952"/>
      <c r="P189" s="1952"/>
      <c r="Q189" s="1952"/>
      <c r="R189" s="1952"/>
      <c r="S189" s="1952"/>
      <c r="T189" s="1952"/>
      <c r="U189" s="1952"/>
      <c r="V189" s="1952"/>
      <c r="BQ189" s="1952"/>
      <c r="BR189" s="1952"/>
      <c r="BS189" s="1952"/>
      <c r="BT189" s="1952"/>
      <c r="BU189" s="1952"/>
      <c r="BV189" s="1952"/>
      <c r="BW189" s="1952"/>
      <c r="BX189" s="1952"/>
      <c r="BY189" s="1952"/>
      <c r="BZ189" s="1952"/>
      <c r="CA189" s="1952"/>
      <c r="CB189" s="1952"/>
      <c r="CC189" s="1952"/>
      <c r="CD189" s="1952"/>
      <c r="CE189" s="1952"/>
      <c r="CG189" s="2468"/>
      <c r="CH189" s="2468"/>
      <c r="CI189" s="2468"/>
      <c r="CJ189" s="2468"/>
    </row>
    <row r="190" spans="13:88" s="1395" customFormat="1">
      <c r="M190" s="1952"/>
      <c r="N190" s="1952"/>
      <c r="O190" s="1952"/>
      <c r="P190" s="1952"/>
      <c r="Q190" s="1952"/>
      <c r="R190" s="1952"/>
      <c r="S190" s="1952"/>
      <c r="T190" s="1952"/>
      <c r="U190" s="1952"/>
      <c r="V190" s="1952"/>
      <c r="BQ190" s="1952"/>
      <c r="BR190" s="1952"/>
      <c r="BS190" s="1952"/>
      <c r="BT190" s="1952"/>
      <c r="BU190" s="1952"/>
      <c r="BV190" s="1952"/>
      <c r="BW190" s="1952"/>
      <c r="BX190" s="1952"/>
      <c r="BY190" s="1952"/>
      <c r="BZ190" s="1952"/>
      <c r="CA190" s="1952"/>
      <c r="CB190" s="1952"/>
      <c r="CC190" s="1952"/>
      <c r="CD190" s="1952"/>
      <c r="CE190" s="1952"/>
      <c r="CG190" s="2468"/>
      <c r="CH190" s="2468"/>
      <c r="CI190" s="2468"/>
      <c r="CJ190" s="2468"/>
    </row>
    <row r="191" spans="13:88" s="1395" customFormat="1">
      <c r="M191" s="1952"/>
      <c r="N191" s="1952"/>
      <c r="O191" s="1952"/>
      <c r="P191" s="1952"/>
      <c r="Q191" s="1952"/>
      <c r="R191" s="1952"/>
      <c r="S191" s="1952"/>
      <c r="T191" s="1952"/>
      <c r="U191" s="1952"/>
      <c r="V191" s="1952"/>
      <c r="BQ191" s="1952"/>
      <c r="BR191" s="1952"/>
      <c r="BS191" s="1952"/>
      <c r="BT191" s="1952"/>
      <c r="BU191" s="1952"/>
      <c r="BV191" s="1952"/>
      <c r="BW191" s="1952"/>
      <c r="BX191" s="1952"/>
      <c r="BY191" s="1952"/>
      <c r="BZ191" s="1952"/>
      <c r="CA191" s="1952"/>
      <c r="CB191" s="1952"/>
      <c r="CC191" s="1952"/>
      <c r="CD191" s="1952"/>
      <c r="CE191" s="1952"/>
      <c r="CG191" s="2468"/>
      <c r="CH191" s="2468"/>
      <c r="CI191" s="2468"/>
      <c r="CJ191" s="2468"/>
    </row>
    <row r="192" spans="13:88" s="1395" customFormat="1">
      <c r="M192" s="1952"/>
      <c r="N192" s="1952"/>
      <c r="O192" s="1952"/>
      <c r="P192" s="1952"/>
      <c r="Q192" s="1952"/>
      <c r="R192" s="1952"/>
      <c r="S192" s="1952"/>
      <c r="T192" s="1952"/>
      <c r="U192" s="1952"/>
      <c r="V192" s="1952"/>
      <c r="BQ192" s="1952"/>
      <c r="BR192" s="1952"/>
      <c r="BS192" s="1952"/>
      <c r="BT192" s="1952"/>
      <c r="BU192" s="1952"/>
      <c r="BV192" s="1952"/>
      <c r="BW192" s="1952"/>
      <c r="BX192" s="1952"/>
      <c r="BY192" s="1952"/>
      <c r="BZ192" s="1952"/>
      <c r="CA192" s="1952"/>
      <c r="CB192" s="1952"/>
      <c r="CC192" s="1952"/>
      <c r="CD192" s="1952"/>
      <c r="CE192" s="1952"/>
      <c r="CG192" s="2468"/>
      <c r="CH192" s="2468"/>
      <c r="CI192" s="2468"/>
      <c r="CJ192" s="2468"/>
    </row>
    <row r="193" spans="13:88" s="1395" customFormat="1">
      <c r="M193" s="1952"/>
      <c r="N193" s="1952"/>
      <c r="O193" s="1952"/>
      <c r="P193" s="1952"/>
      <c r="Q193" s="1952"/>
      <c r="R193" s="1952"/>
      <c r="S193" s="1952"/>
      <c r="T193" s="1952"/>
      <c r="U193" s="1952"/>
      <c r="V193" s="1952"/>
      <c r="BQ193" s="1952"/>
      <c r="BR193" s="1952"/>
      <c r="BS193" s="1952"/>
      <c r="BT193" s="1952"/>
      <c r="BU193" s="1952"/>
      <c r="BV193" s="1952"/>
      <c r="BW193" s="1952"/>
      <c r="BX193" s="1952"/>
      <c r="BY193" s="1952"/>
      <c r="BZ193" s="1952"/>
      <c r="CA193" s="1952"/>
      <c r="CB193" s="1952"/>
      <c r="CC193" s="1952"/>
      <c r="CD193" s="1952"/>
      <c r="CE193" s="1952"/>
      <c r="CG193" s="2468"/>
      <c r="CH193" s="2468"/>
      <c r="CI193" s="2468"/>
      <c r="CJ193" s="2468"/>
    </row>
    <row r="194" spans="13:88" s="1395" customFormat="1">
      <c r="M194" s="1952"/>
      <c r="N194" s="1952"/>
      <c r="O194" s="1952"/>
      <c r="P194" s="1952"/>
      <c r="Q194" s="1952"/>
      <c r="R194" s="1952"/>
      <c r="S194" s="1952"/>
      <c r="T194" s="1952"/>
      <c r="U194" s="1952"/>
      <c r="V194" s="1952"/>
      <c r="BQ194" s="1952"/>
      <c r="BR194" s="1952"/>
      <c r="BS194" s="1952"/>
      <c r="BT194" s="1952"/>
      <c r="BU194" s="1952"/>
      <c r="BV194" s="1952"/>
      <c r="BW194" s="1952"/>
      <c r="BX194" s="1952"/>
      <c r="BY194" s="1952"/>
      <c r="BZ194" s="1952"/>
      <c r="CA194" s="1952"/>
      <c r="CB194" s="1952"/>
      <c r="CC194" s="1952"/>
      <c r="CD194" s="1952"/>
      <c r="CE194" s="1952"/>
      <c r="CG194" s="2468"/>
      <c r="CH194" s="2468"/>
      <c r="CI194" s="2468"/>
      <c r="CJ194" s="2468"/>
    </row>
    <row r="195" spans="13:88" s="1395" customFormat="1">
      <c r="M195" s="1952"/>
      <c r="N195" s="1952"/>
      <c r="O195" s="1952"/>
      <c r="P195" s="1952"/>
      <c r="Q195" s="1952"/>
      <c r="R195" s="1952"/>
      <c r="S195" s="1952"/>
      <c r="T195" s="1952"/>
      <c r="U195" s="1952"/>
      <c r="V195" s="1952"/>
      <c r="BQ195" s="1952"/>
      <c r="BR195" s="1952"/>
      <c r="BS195" s="1952"/>
      <c r="BT195" s="1952"/>
      <c r="BU195" s="1952"/>
      <c r="BV195" s="1952"/>
      <c r="BW195" s="1952"/>
      <c r="BX195" s="1952"/>
      <c r="BY195" s="1952"/>
      <c r="BZ195" s="1952"/>
      <c r="CA195" s="1952"/>
      <c r="CB195" s="1952"/>
      <c r="CC195" s="1952"/>
      <c r="CD195" s="1952"/>
      <c r="CE195" s="1952"/>
      <c r="CG195" s="2468"/>
      <c r="CH195" s="2468"/>
      <c r="CI195" s="2468"/>
      <c r="CJ195" s="2468"/>
    </row>
    <row r="196" spans="13:88" s="1395" customFormat="1">
      <c r="M196" s="1952"/>
      <c r="N196" s="1952"/>
      <c r="O196" s="1952"/>
      <c r="P196" s="1952"/>
      <c r="Q196" s="1952"/>
      <c r="R196" s="1952"/>
      <c r="S196" s="1952"/>
      <c r="T196" s="1952"/>
      <c r="U196" s="1952"/>
      <c r="V196" s="1952"/>
      <c r="BQ196" s="1952"/>
      <c r="BR196" s="1952"/>
      <c r="BS196" s="1952"/>
      <c r="BT196" s="1952"/>
      <c r="BU196" s="1952"/>
      <c r="BV196" s="1952"/>
      <c r="BW196" s="1952"/>
      <c r="BX196" s="1952"/>
      <c r="BY196" s="1952"/>
      <c r="BZ196" s="1952"/>
      <c r="CA196" s="1952"/>
      <c r="CB196" s="1952"/>
      <c r="CC196" s="1952"/>
      <c r="CD196" s="1952"/>
      <c r="CE196" s="1952"/>
      <c r="CG196" s="2468"/>
      <c r="CH196" s="2468"/>
      <c r="CI196" s="2468"/>
      <c r="CJ196" s="2468"/>
    </row>
    <row r="197" spans="13:88" s="1395" customFormat="1">
      <c r="M197" s="1952"/>
      <c r="N197" s="1952"/>
      <c r="O197" s="1952"/>
      <c r="P197" s="1952"/>
      <c r="Q197" s="1952"/>
      <c r="R197" s="1952"/>
      <c r="S197" s="1952"/>
      <c r="T197" s="1952"/>
      <c r="U197" s="1952"/>
      <c r="V197" s="1952"/>
      <c r="BQ197" s="1952"/>
      <c r="BR197" s="1952"/>
      <c r="BS197" s="1952"/>
      <c r="BT197" s="1952"/>
      <c r="BU197" s="1952"/>
      <c r="BV197" s="1952"/>
      <c r="BW197" s="1952"/>
      <c r="BX197" s="1952"/>
      <c r="BY197" s="1952"/>
      <c r="BZ197" s="1952"/>
      <c r="CA197" s="1952"/>
      <c r="CB197" s="1952"/>
      <c r="CC197" s="1952"/>
      <c r="CD197" s="1952"/>
      <c r="CE197" s="1952"/>
      <c r="CG197" s="2468"/>
      <c r="CH197" s="2468"/>
      <c r="CI197" s="2468"/>
      <c r="CJ197" s="2468"/>
    </row>
    <row r="198" spans="13:88" s="1395" customFormat="1">
      <c r="M198" s="1952"/>
      <c r="N198" s="1952"/>
      <c r="O198" s="1952"/>
      <c r="P198" s="1952"/>
      <c r="Q198" s="1952"/>
      <c r="R198" s="1952"/>
      <c r="S198" s="1952"/>
      <c r="T198" s="1952"/>
      <c r="U198" s="1952"/>
      <c r="V198" s="1952"/>
      <c r="BQ198" s="1952"/>
      <c r="BR198" s="1952"/>
      <c r="BS198" s="1952"/>
      <c r="BT198" s="1952"/>
      <c r="BU198" s="1952"/>
      <c r="BV198" s="1952"/>
      <c r="BW198" s="1952"/>
      <c r="BX198" s="1952"/>
      <c r="BY198" s="1952"/>
      <c r="BZ198" s="1952"/>
      <c r="CA198" s="1952"/>
      <c r="CB198" s="1952"/>
      <c r="CC198" s="1952"/>
      <c r="CD198" s="1952"/>
      <c r="CE198" s="1952"/>
      <c r="CG198" s="2468"/>
      <c r="CH198" s="2468"/>
      <c r="CI198" s="2468"/>
      <c r="CJ198" s="2468"/>
    </row>
    <row r="199" spans="13:88" s="1395" customFormat="1">
      <c r="M199" s="1952"/>
      <c r="N199" s="1952"/>
      <c r="O199" s="1952"/>
      <c r="P199" s="1952"/>
      <c r="Q199" s="1952"/>
      <c r="R199" s="1952"/>
      <c r="S199" s="1952"/>
      <c r="T199" s="1952"/>
      <c r="U199" s="1952"/>
      <c r="V199" s="1952"/>
      <c r="BQ199" s="1952"/>
      <c r="BR199" s="1952"/>
      <c r="BS199" s="1952"/>
      <c r="BT199" s="1952"/>
      <c r="BU199" s="1952"/>
      <c r="BV199" s="1952"/>
      <c r="BW199" s="1952"/>
      <c r="BX199" s="1952"/>
      <c r="BY199" s="1952"/>
      <c r="BZ199" s="1952"/>
      <c r="CA199" s="1952"/>
      <c r="CB199" s="1952"/>
      <c r="CC199" s="1952"/>
      <c r="CD199" s="1952"/>
      <c r="CE199" s="1952"/>
      <c r="CG199" s="2468"/>
      <c r="CH199" s="2468"/>
      <c r="CI199" s="2468"/>
      <c r="CJ199" s="2468"/>
    </row>
    <row r="200" spans="13:88" s="1395" customFormat="1">
      <c r="M200" s="1952"/>
      <c r="N200" s="1952"/>
      <c r="O200" s="1952"/>
      <c r="P200" s="1952"/>
      <c r="Q200" s="1952"/>
      <c r="R200" s="1952"/>
      <c r="S200" s="1952"/>
      <c r="T200" s="1952"/>
      <c r="U200" s="1952"/>
      <c r="V200" s="1952"/>
      <c r="BQ200" s="1952"/>
      <c r="BR200" s="1952"/>
      <c r="BS200" s="1952"/>
      <c r="BT200" s="1952"/>
      <c r="BU200" s="1952"/>
      <c r="BV200" s="1952"/>
      <c r="BW200" s="1952"/>
      <c r="BX200" s="1952"/>
      <c r="BY200" s="1952"/>
      <c r="BZ200" s="1952"/>
      <c r="CA200" s="1952"/>
      <c r="CB200" s="1952"/>
      <c r="CC200" s="1952"/>
      <c r="CD200" s="1952"/>
      <c r="CE200" s="1952"/>
      <c r="CG200" s="2468"/>
      <c r="CH200" s="2468"/>
      <c r="CI200" s="2468"/>
      <c r="CJ200" s="2468"/>
    </row>
    <row r="201" spans="13:88" s="1395" customFormat="1">
      <c r="M201" s="1952"/>
      <c r="N201" s="1952"/>
      <c r="O201" s="1952"/>
      <c r="P201" s="1952"/>
      <c r="Q201" s="1952"/>
      <c r="R201" s="1952"/>
      <c r="S201" s="1952"/>
      <c r="T201" s="1952"/>
      <c r="U201" s="1952"/>
      <c r="V201" s="1952"/>
      <c r="BQ201" s="1952"/>
      <c r="BR201" s="1952"/>
      <c r="BS201" s="1952"/>
      <c r="BT201" s="1952"/>
      <c r="BU201" s="1952"/>
      <c r="BV201" s="1952"/>
      <c r="BW201" s="1952"/>
      <c r="BX201" s="1952"/>
      <c r="BY201" s="1952"/>
      <c r="BZ201" s="1952"/>
      <c r="CA201" s="1952"/>
      <c r="CB201" s="1952"/>
      <c r="CC201" s="1952"/>
      <c r="CD201" s="1952"/>
      <c r="CE201" s="1952"/>
      <c r="CG201" s="2468"/>
      <c r="CH201" s="2468"/>
      <c r="CI201" s="2468"/>
      <c r="CJ201" s="2468"/>
    </row>
    <row r="202" spans="13:88" s="1395" customFormat="1">
      <c r="M202" s="1952"/>
      <c r="N202" s="1952"/>
      <c r="O202" s="1952"/>
      <c r="P202" s="1952"/>
      <c r="Q202" s="1952"/>
      <c r="R202" s="1952"/>
      <c r="S202" s="1952"/>
      <c r="T202" s="1952"/>
      <c r="U202" s="1952"/>
      <c r="V202" s="1952"/>
      <c r="BQ202" s="1952"/>
      <c r="BR202" s="1952"/>
      <c r="BS202" s="1952"/>
      <c r="BT202" s="1952"/>
      <c r="BU202" s="1952"/>
      <c r="BV202" s="1952"/>
      <c r="BW202" s="1952"/>
      <c r="BX202" s="1952"/>
      <c r="BY202" s="1952"/>
      <c r="BZ202" s="1952"/>
      <c r="CA202" s="1952"/>
      <c r="CB202" s="1952"/>
      <c r="CC202" s="1952"/>
      <c r="CD202" s="1952"/>
      <c r="CE202" s="1952"/>
      <c r="CG202" s="2468"/>
      <c r="CH202" s="2468"/>
      <c r="CI202" s="2468"/>
      <c r="CJ202" s="2468"/>
    </row>
  </sheetData>
  <mergeCells count="19">
    <mergeCell ref="A42:A48"/>
    <mergeCell ref="A3:F3"/>
    <mergeCell ref="A2:F2"/>
    <mergeCell ref="H2:L3"/>
    <mergeCell ref="X2:AB3"/>
    <mergeCell ref="M2:Q3"/>
    <mergeCell ref="R2:V3"/>
    <mergeCell ref="BL2:BP3"/>
    <mergeCell ref="BV2:BZ3"/>
    <mergeCell ref="CF2:CJ3"/>
    <mergeCell ref="AC2:AG3"/>
    <mergeCell ref="BB2:BF3"/>
    <mergeCell ref="AH2:AL3"/>
    <mergeCell ref="AM2:AQ3"/>
    <mergeCell ref="AR2:AV3"/>
    <mergeCell ref="AW2:BA3"/>
    <mergeCell ref="BG2:BK3"/>
    <mergeCell ref="BQ2:BU3"/>
    <mergeCell ref="CA2:CE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CA118"/>
  <sheetViews>
    <sheetView zoomScale="70" zoomScaleNormal="70" workbookViewId="0">
      <pane xSplit="2" ySplit="5" topLeftCell="BK84" activePane="bottomRight" state="frozen"/>
      <selection activeCell="C26" sqref="C25:C26"/>
      <selection pane="topRight" activeCell="C26" sqref="C25:C26"/>
      <selection pane="bottomLeft" activeCell="C26" sqref="C25:C26"/>
      <selection pane="bottomRight" activeCell="BQ97" sqref="BQ97"/>
    </sheetView>
  </sheetViews>
  <sheetFormatPr defaultColWidth="7.44140625" defaultRowHeight="13.2" outlineLevelCol="1"/>
  <cols>
    <col min="1" max="1" width="5.5546875" style="1402" customWidth="1"/>
    <col min="2" max="2" width="47.44140625" style="1402" customWidth="1"/>
    <col min="3" max="3" width="14.6640625" style="1459" customWidth="1"/>
    <col min="4" max="4" width="15.44140625" style="1459" customWidth="1"/>
    <col min="5" max="5" width="15.33203125" style="1952" customWidth="1"/>
    <col min="6" max="6" width="9.5546875" style="1952" customWidth="1"/>
    <col min="7" max="7" width="14.5546875" style="1952" hidden="1" customWidth="1" outlineLevel="1"/>
    <col min="8" max="8" width="13" style="1952" hidden="1" customWidth="1" outlineLevel="1"/>
    <col min="9" max="9" width="13.109375" style="1952" hidden="1" customWidth="1" outlineLevel="1"/>
    <col min="10" max="11" width="9.5546875" style="1952" hidden="1" customWidth="1" outlineLevel="1"/>
    <col min="12" max="16" width="16.6640625" style="1952" hidden="1" customWidth="1" outlineLevel="1"/>
    <col min="17" max="17" width="3.5546875" style="1952" customWidth="1" collapsed="1"/>
    <col min="18" max="22" width="15.109375" style="1952" hidden="1" customWidth="1" outlineLevel="1"/>
    <col min="23" max="23" width="16.6640625" style="1952" hidden="1" customWidth="1" outlineLevel="1" collapsed="1"/>
    <col min="24" max="37" width="16.6640625" style="1952" hidden="1" customWidth="1" outlineLevel="1"/>
    <col min="38" max="38" width="16.6640625" style="1952" hidden="1" customWidth="1" outlineLevel="1" collapsed="1"/>
    <col min="39" max="46" width="16.6640625" style="1952" hidden="1" customWidth="1" outlineLevel="1"/>
    <col min="47" max="47" width="17.88671875" style="1952" hidden="1" customWidth="1" outlineLevel="1"/>
    <col min="48" max="48" width="16.6640625" style="1952" hidden="1" customWidth="1" outlineLevel="1" collapsed="1"/>
    <col min="49" max="51" width="16.6640625" style="1952" hidden="1" customWidth="1" outlineLevel="1"/>
    <col min="52" max="52" width="17.88671875" style="1952" hidden="1" customWidth="1" outlineLevel="1"/>
    <col min="53" max="56" width="16.6640625" style="1952" hidden="1" customWidth="1" outlineLevel="1"/>
    <col min="57" max="57" width="17.88671875" style="1952" hidden="1" customWidth="1" outlineLevel="1"/>
    <col min="58" max="61" width="16.6640625" style="1952" hidden="1" customWidth="1" outlineLevel="1"/>
    <col min="62" max="62" width="17.88671875" style="1952" hidden="1" customWidth="1" outlineLevel="1"/>
    <col min="63" max="63" width="16.6640625" style="1952" customWidth="1" collapsed="1"/>
    <col min="64" max="66" width="16.6640625" style="1952" customWidth="1"/>
    <col min="67" max="67" width="17.88671875" style="1952" customWidth="1"/>
    <col min="68" max="68" width="16.6640625" style="1952" customWidth="1" collapsed="1"/>
    <col min="69" max="71" width="16.6640625" style="1952" customWidth="1"/>
    <col min="72" max="72" width="17.88671875" style="1952" customWidth="1"/>
    <col min="73" max="77" width="15.109375" style="1952" customWidth="1"/>
    <col min="78" max="78" width="10.109375" style="1395" bestFit="1" customWidth="1"/>
    <col min="79" max="79" width="12.44140625" style="1395" bestFit="1" customWidth="1"/>
    <col min="80" max="16384" width="7.44140625" style="1395"/>
  </cols>
  <sheetData>
    <row r="1" spans="1:79" ht="13.8" thickBot="1">
      <c r="C1" s="1952"/>
      <c r="D1" s="1952"/>
    </row>
    <row r="2" spans="1:79" ht="14.4" customHeight="1">
      <c r="A2" s="4834" t="s">
        <v>938</v>
      </c>
      <c r="B2" s="4835"/>
      <c r="C2" s="4835"/>
      <c r="D2" s="4835"/>
      <c r="E2" s="4835"/>
      <c r="F2" s="4836"/>
      <c r="G2" s="4834" t="s">
        <v>1393</v>
      </c>
      <c r="H2" s="4835"/>
      <c r="I2" s="4835"/>
      <c r="J2" s="4835"/>
      <c r="K2" s="4836"/>
      <c r="L2" s="5066" t="s">
        <v>1388</v>
      </c>
      <c r="M2" s="5067"/>
      <c r="N2" s="5067"/>
      <c r="O2" s="5067"/>
      <c r="P2" s="5068"/>
      <c r="Q2" s="2606"/>
      <c r="R2" s="4940" t="s">
        <v>1270</v>
      </c>
      <c r="S2" s="4941"/>
      <c r="T2" s="4941"/>
      <c r="U2" s="4941"/>
      <c r="V2" s="4942"/>
      <c r="W2" s="4955" t="s">
        <v>1293</v>
      </c>
      <c r="X2" s="4956"/>
      <c r="Y2" s="4956"/>
      <c r="Z2" s="4956"/>
      <c r="AA2" s="4957"/>
      <c r="AB2" s="4898" t="s">
        <v>1316</v>
      </c>
      <c r="AC2" s="4899"/>
      <c r="AD2" s="4899"/>
      <c r="AE2" s="4899"/>
      <c r="AF2" s="4900"/>
      <c r="AG2" s="4837" t="s">
        <v>1335</v>
      </c>
      <c r="AH2" s="4838"/>
      <c r="AI2" s="4838"/>
      <c r="AJ2" s="4838"/>
      <c r="AK2" s="4953"/>
      <c r="AL2" s="5060" t="s">
        <v>1365</v>
      </c>
      <c r="AM2" s="5061"/>
      <c r="AN2" s="5061"/>
      <c r="AO2" s="5061"/>
      <c r="AP2" s="5062"/>
      <c r="AQ2" s="4886" t="s">
        <v>1407</v>
      </c>
      <c r="AR2" s="4887"/>
      <c r="AS2" s="4887"/>
      <c r="AT2" s="4887"/>
      <c r="AU2" s="4888"/>
      <c r="AV2" s="4898" t="s">
        <v>1466</v>
      </c>
      <c r="AW2" s="4899"/>
      <c r="AX2" s="4899"/>
      <c r="AY2" s="4899"/>
      <c r="AZ2" s="4900"/>
      <c r="BA2" s="4868" t="s">
        <v>1623</v>
      </c>
      <c r="BB2" s="4869"/>
      <c r="BC2" s="4869"/>
      <c r="BD2" s="4869"/>
      <c r="BE2" s="4870"/>
      <c r="BF2" s="4880" t="s">
        <v>1748</v>
      </c>
      <c r="BG2" s="4881"/>
      <c r="BH2" s="4881"/>
      <c r="BI2" s="4881"/>
      <c r="BJ2" s="4882"/>
      <c r="BK2" s="4904" t="s">
        <v>1757</v>
      </c>
      <c r="BL2" s="4905"/>
      <c r="BM2" s="4905"/>
      <c r="BN2" s="4905"/>
      <c r="BO2" s="4906"/>
      <c r="BP2" s="5012">
        <v>45231</v>
      </c>
      <c r="BQ2" s="5013"/>
      <c r="BR2" s="5013"/>
      <c r="BS2" s="5013"/>
      <c r="BT2" s="5014"/>
      <c r="BU2" s="4874" t="s">
        <v>469</v>
      </c>
      <c r="BV2" s="4875"/>
      <c r="BW2" s="4875"/>
      <c r="BX2" s="4875"/>
      <c r="BY2" s="4876"/>
    </row>
    <row r="3" spans="1:79" ht="15" customHeight="1" thickBot="1">
      <c r="A3" s="4853" t="s">
        <v>54</v>
      </c>
      <c r="B3" s="4854"/>
      <c r="C3" s="4854"/>
      <c r="D3" s="4854"/>
      <c r="E3" s="4854"/>
      <c r="F3" s="4855"/>
      <c r="G3" s="4979"/>
      <c r="H3" s="4980"/>
      <c r="I3" s="4980"/>
      <c r="J3" s="4980"/>
      <c r="K3" s="4981"/>
      <c r="L3" s="5069"/>
      <c r="M3" s="5070"/>
      <c r="N3" s="5070"/>
      <c r="O3" s="5070"/>
      <c r="P3" s="5071"/>
      <c r="Q3" s="2607"/>
      <c r="R3" s="4943"/>
      <c r="S3" s="4944"/>
      <c r="T3" s="4944"/>
      <c r="U3" s="4944"/>
      <c r="V3" s="4945"/>
      <c r="W3" s="4958"/>
      <c r="X3" s="4959"/>
      <c r="Y3" s="4959"/>
      <c r="Z3" s="4959"/>
      <c r="AA3" s="4960"/>
      <c r="AB3" s="4901"/>
      <c r="AC3" s="4902"/>
      <c r="AD3" s="4902"/>
      <c r="AE3" s="4902"/>
      <c r="AF3" s="4903"/>
      <c r="AG3" s="4839"/>
      <c r="AH3" s="4840"/>
      <c r="AI3" s="4840"/>
      <c r="AJ3" s="4840"/>
      <c r="AK3" s="4954"/>
      <c r="AL3" s="5063"/>
      <c r="AM3" s="5064"/>
      <c r="AN3" s="5064"/>
      <c r="AO3" s="5064"/>
      <c r="AP3" s="5065"/>
      <c r="AQ3" s="4889"/>
      <c r="AR3" s="4890"/>
      <c r="AS3" s="4890"/>
      <c r="AT3" s="4890"/>
      <c r="AU3" s="4891"/>
      <c r="AV3" s="4901"/>
      <c r="AW3" s="4902"/>
      <c r="AX3" s="4902"/>
      <c r="AY3" s="4902"/>
      <c r="AZ3" s="4903"/>
      <c r="BA3" s="4871"/>
      <c r="BB3" s="4872"/>
      <c r="BC3" s="4872"/>
      <c r="BD3" s="4872"/>
      <c r="BE3" s="4873"/>
      <c r="BF3" s="4883"/>
      <c r="BG3" s="4884"/>
      <c r="BH3" s="4884"/>
      <c r="BI3" s="4884"/>
      <c r="BJ3" s="4885"/>
      <c r="BK3" s="4907"/>
      <c r="BL3" s="4908"/>
      <c r="BM3" s="4908"/>
      <c r="BN3" s="4908"/>
      <c r="BO3" s="4909"/>
      <c r="BP3" s="5015"/>
      <c r="BQ3" s="5016"/>
      <c r="BR3" s="5016"/>
      <c r="BS3" s="5016"/>
      <c r="BT3" s="5017"/>
      <c r="BU3" s="4877"/>
      <c r="BV3" s="4878"/>
      <c r="BW3" s="4878"/>
      <c r="BX3" s="4878"/>
      <c r="BY3" s="4879"/>
    </row>
    <row r="4" spans="1:79" ht="41.4" thickBot="1">
      <c r="A4" s="1471"/>
      <c r="B4" s="1472" t="s">
        <v>11</v>
      </c>
      <c r="C4" s="1573" t="s">
        <v>55</v>
      </c>
      <c r="D4" s="1573" t="s">
        <v>18</v>
      </c>
      <c r="E4" s="1574" t="s">
        <v>39</v>
      </c>
      <c r="F4" s="1962" t="s">
        <v>40</v>
      </c>
      <c r="G4" s="1575" t="s">
        <v>968</v>
      </c>
      <c r="H4" s="1575" t="s">
        <v>18</v>
      </c>
      <c r="I4" s="1575" t="s">
        <v>39</v>
      </c>
      <c r="J4" s="1575" t="s">
        <v>40</v>
      </c>
      <c r="K4" s="1575"/>
      <c r="L4" s="1956" t="s">
        <v>55</v>
      </c>
      <c r="M4" s="1956" t="s">
        <v>18</v>
      </c>
      <c r="N4" s="1474" t="s">
        <v>39</v>
      </c>
      <c r="O4" s="1962" t="s">
        <v>40</v>
      </c>
      <c r="P4" s="1474" t="s">
        <v>19</v>
      </c>
      <c r="Q4" s="2608"/>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row>
    <row r="5" spans="1:79" s="2466" customFormat="1" ht="14.4" thickBot="1">
      <c r="A5" s="1462"/>
      <c r="B5" s="1463" t="s">
        <v>10</v>
      </c>
      <c r="C5" s="1464">
        <f>C6</f>
        <v>6235578.7528207581</v>
      </c>
      <c r="D5" s="1464">
        <f>D6</f>
        <v>0</v>
      </c>
      <c r="E5" s="1955">
        <f>E6</f>
        <v>6235578.7528207581</v>
      </c>
      <c r="F5" s="1466"/>
      <c r="G5" s="1466">
        <f>SUM(G6:G7)</f>
        <v>3244767.73</v>
      </c>
      <c r="H5" s="1466">
        <f t="shared" ref="H5:I5" si="0">SUM(H6:H7)</f>
        <v>0</v>
      </c>
      <c r="I5" s="1466">
        <f t="shared" si="0"/>
        <v>3244767.73</v>
      </c>
      <c r="J5" s="1466"/>
      <c r="K5" s="1466"/>
      <c r="L5" s="1955">
        <f t="shared" ref="L5:N5" si="1">SUM(L6:L7)</f>
        <v>4500288.3800000008</v>
      </c>
      <c r="M5" s="1955">
        <f t="shared" si="1"/>
        <v>0</v>
      </c>
      <c r="N5" s="1955">
        <f t="shared" si="1"/>
        <v>4500288.3800000008</v>
      </c>
      <c r="O5" s="1466"/>
      <c r="P5" s="1466"/>
      <c r="Q5" s="1955"/>
      <c r="R5" s="1955">
        <f t="shared" ref="R5:T5" si="2">SUM(R6:R7)</f>
        <v>0</v>
      </c>
      <c r="S5" s="1955">
        <f t="shared" si="2"/>
        <v>0</v>
      </c>
      <c r="T5" s="1955">
        <f t="shared" si="2"/>
        <v>0</v>
      </c>
      <c r="U5" s="1466"/>
      <c r="V5" s="1466"/>
      <c r="W5" s="1955">
        <f t="shared" ref="W5:Y5" si="3">SUM(W6:W7)</f>
        <v>331192.69</v>
      </c>
      <c r="X5" s="1955">
        <f t="shared" si="3"/>
        <v>0</v>
      </c>
      <c r="Y5" s="1955">
        <f t="shared" si="3"/>
        <v>331192.69</v>
      </c>
      <c r="Z5" s="1466"/>
      <c r="AA5" s="1466"/>
      <c r="AB5" s="1955">
        <f t="shared" ref="AB5:AD5" si="4">SUM(AB6:AB7)</f>
        <v>110882.83</v>
      </c>
      <c r="AC5" s="1955">
        <f t="shared" si="4"/>
        <v>0</v>
      </c>
      <c r="AD5" s="1955">
        <f t="shared" si="4"/>
        <v>110882.83</v>
      </c>
      <c r="AE5" s="1466"/>
      <c r="AF5" s="1466"/>
      <c r="AG5" s="1955">
        <f t="shared" ref="AG5:AI5" si="5">SUM(AG6:AG7)</f>
        <v>0</v>
      </c>
      <c r="AH5" s="1955">
        <f t="shared" si="5"/>
        <v>0</v>
      </c>
      <c r="AI5" s="1955">
        <f t="shared" si="5"/>
        <v>0</v>
      </c>
      <c r="AJ5" s="1466"/>
      <c r="AK5" s="1466"/>
      <c r="AL5" s="1955">
        <f t="shared" ref="AL5:AN5" si="6">SUM(AL6:AL7)</f>
        <v>35464.44</v>
      </c>
      <c r="AM5" s="1955">
        <f t="shared" si="6"/>
        <v>0</v>
      </c>
      <c r="AN5" s="1955">
        <f t="shared" si="6"/>
        <v>35464.44</v>
      </c>
      <c r="AO5" s="1466"/>
      <c r="AP5" s="1466"/>
      <c r="AQ5" s="1955">
        <f>SUM(AQ6:AQ7)</f>
        <v>0</v>
      </c>
      <c r="AR5" s="1955">
        <f>SUM(AR6:AR7)</f>
        <v>0</v>
      </c>
      <c r="AS5" s="1955">
        <f>SUM(AS6:AS7)</f>
        <v>0</v>
      </c>
      <c r="AT5" s="1466"/>
      <c r="AU5" s="1466"/>
      <c r="AV5" s="1955">
        <f>SUM(AV6:AV7)</f>
        <v>189235</v>
      </c>
      <c r="AW5" s="1955">
        <f>SUM(AW6:AW7)</f>
        <v>0</v>
      </c>
      <c r="AX5" s="1955">
        <f>SUM(AX6:AX7)</f>
        <v>189235</v>
      </c>
      <c r="AY5" s="1466"/>
      <c r="AZ5" s="1466"/>
      <c r="BA5" s="1955">
        <f>SUM(BA6:BA7)</f>
        <v>0</v>
      </c>
      <c r="BB5" s="1955">
        <f>SUM(BB6:BB7)</f>
        <v>0</v>
      </c>
      <c r="BC5" s="1955">
        <f>SUM(BC6:BC7)</f>
        <v>0</v>
      </c>
      <c r="BD5" s="1466"/>
      <c r="BE5" s="1466"/>
      <c r="BF5" s="1955">
        <f>SUM(BF6:BF7)</f>
        <v>0</v>
      </c>
      <c r="BG5" s="1955">
        <f>SUM(BG6:BG7)</f>
        <v>0</v>
      </c>
      <c r="BH5" s="1955">
        <f>SUM(BH6:BH7)</f>
        <v>0</v>
      </c>
      <c r="BI5" s="1466"/>
      <c r="BJ5" s="1466"/>
      <c r="BK5" s="1955">
        <f>SUM(BK6:BK7)</f>
        <v>0</v>
      </c>
      <c r="BL5" s="1955">
        <f>SUM(BL6:BL7)</f>
        <v>0</v>
      </c>
      <c r="BM5" s="1955">
        <f>SUM(BM6:BM7)</f>
        <v>0</v>
      </c>
      <c r="BN5" s="1466"/>
      <c r="BO5" s="1466"/>
      <c r="BP5" s="1955">
        <f>SUM(BP6:BP7)</f>
        <v>0</v>
      </c>
      <c r="BQ5" s="1955">
        <f>SUM(BQ6:BQ7)</f>
        <v>0</v>
      </c>
      <c r="BR5" s="1955">
        <f>SUM(BR6:BR7)</f>
        <v>0</v>
      </c>
      <c r="BS5" s="1466"/>
      <c r="BT5" s="1466"/>
      <c r="BU5" s="1955">
        <f t="shared" ref="BU5:BW5" si="7">SUM(BU6:BU7)</f>
        <v>8411831.0700000022</v>
      </c>
      <c r="BV5" s="1955">
        <f t="shared" si="7"/>
        <v>0</v>
      </c>
      <c r="BW5" s="1955">
        <f t="shared" si="7"/>
        <v>8411831.0700000022</v>
      </c>
      <c r="BX5" s="1466"/>
      <c r="BY5" s="1466"/>
    </row>
    <row r="6" spans="1:79" s="1396" customFormat="1" ht="42.6" customHeight="1">
      <c r="A6" s="330"/>
      <c r="B6" s="1403" t="s">
        <v>17</v>
      </c>
      <c r="C6" s="1974">
        <v>6235578.7528207581</v>
      </c>
      <c r="D6" s="2011"/>
      <c r="E6" s="2012">
        <f>C6+D6</f>
        <v>6235578.7528207581</v>
      </c>
      <c r="F6" s="2043"/>
      <c r="G6" s="2043">
        <v>3244767.73</v>
      </c>
      <c r="H6" s="2043">
        <v>0</v>
      </c>
      <c r="I6" s="2043">
        <v>3244767.73</v>
      </c>
      <c r="J6" s="2043"/>
      <c r="K6" s="2043"/>
      <c r="L6" s="2051">
        <v>4500288.3800000008</v>
      </c>
      <c r="M6" s="2051">
        <v>0</v>
      </c>
      <c r="N6" s="2012">
        <f>L6+M6</f>
        <v>4500288.3800000008</v>
      </c>
      <c r="O6" s="2043"/>
      <c r="P6" s="2046"/>
      <c r="Q6" s="2051"/>
      <c r="R6" s="2051"/>
      <c r="S6" s="2043"/>
      <c r="T6" s="2012">
        <f>R6+S6</f>
        <v>0</v>
      </c>
      <c r="U6" s="2043"/>
      <c r="V6" s="1749"/>
      <c r="W6" s="2051">
        <f>170714.08+35355.09+125123.52</f>
        <v>331192.69</v>
      </c>
      <c r="X6" s="2043"/>
      <c r="Y6" s="2012">
        <f>W6+X6</f>
        <v>331192.69</v>
      </c>
      <c r="Z6" s="2043"/>
      <c r="AA6" s="2046" t="s">
        <v>1306</v>
      </c>
      <c r="AB6" s="2051">
        <f>55678.46+55204.37</f>
        <v>110882.83</v>
      </c>
      <c r="AC6" s="2043"/>
      <c r="AD6" s="2012">
        <f>AB6+AC6</f>
        <v>110882.83</v>
      </c>
      <c r="AE6" s="2043"/>
      <c r="AF6" s="2046" t="s">
        <v>1322</v>
      </c>
      <c r="AG6" s="2051"/>
      <c r="AH6" s="2043"/>
      <c r="AI6" s="2012">
        <f>AG6+AH6</f>
        <v>0</v>
      </c>
      <c r="AJ6" s="2043"/>
      <c r="AK6" s="2046"/>
      <c r="AL6" s="2051">
        <v>33484.44</v>
      </c>
      <c r="AM6" s="2043"/>
      <c r="AN6" s="2012">
        <f>AL6+AM6</f>
        <v>33484.44</v>
      </c>
      <c r="AO6" s="2043"/>
      <c r="AP6" s="2046" t="s">
        <v>1394</v>
      </c>
      <c r="AQ6" s="2051"/>
      <c r="AR6" s="2043"/>
      <c r="AS6" s="2012">
        <f>AQ6+AR6</f>
        <v>0</v>
      </c>
      <c r="AT6" s="2043"/>
      <c r="AU6" s="2043"/>
      <c r="AV6" s="2051">
        <f>149899+7236+32100</f>
        <v>189235</v>
      </c>
      <c r="AW6" s="2043"/>
      <c r="AX6" s="2012">
        <f>AV6+AW6</f>
        <v>189235</v>
      </c>
      <c r="AY6" s="2043"/>
      <c r="AZ6" s="2046" t="s">
        <v>1479</v>
      </c>
      <c r="BA6" s="2051"/>
      <c r="BB6" s="2043"/>
      <c r="BC6" s="2012">
        <f>BA6+BB6</f>
        <v>0</v>
      </c>
      <c r="BD6" s="2043"/>
      <c r="BE6" s="2187"/>
      <c r="BF6" s="2051"/>
      <c r="BG6" s="2043"/>
      <c r="BH6" s="2012">
        <f>BF6+BG6</f>
        <v>0</v>
      </c>
      <c r="BI6" s="2043"/>
      <c r="BJ6" s="2043"/>
      <c r="BK6" s="2051"/>
      <c r="BL6" s="2043"/>
      <c r="BM6" s="2012">
        <f>BK6+BL6</f>
        <v>0</v>
      </c>
      <c r="BN6" s="2043"/>
      <c r="BO6" s="2043"/>
      <c r="BP6" s="2051"/>
      <c r="BQ6" s="2043"/>
      <c r="BR6" s="2012">
        <f>BP6+BQ6</f>
        <v>0</v>
      </c>
      <c r="BS6" s="2043"/>
      <c r="BT6" s="2043"/>
      <c r="BU6" s="2043">
        <f>G6+L6+R6+W6+AB6+AG6+AL6+AQ6+AV6+BA6+BF6+BK6+BP6</f>
        <v>8409851.0700000022</v>
      </c>
      <c r="BV6" s="2043">
        <f>H6+M6+S6+X6+AC6+AH6+AM6+AR6+AW6+BB6+BG6+BL6+BQ6</f>
        <v>0</v>
      </c>
      <c r="BW6" s="2012">
        <f>BU6+BV6</f>
        <v>8409851.0700000022</v>
      </c>
      <c r="BX6" s="2043"/>
      <c r="BY6" s="2043"/>
      <c r="BZ6" s="2865">
        <v>8422193.6200000029</v>
      </c>
      <c r="CA6" s="842">
        <f>BU6-BZ6</f>
        <v>-12342.550000000745</v>
      </c>
    </row>
    <row r="7" spans="1:79" s="1396" customFormat="1" ht="30.6" customHeight="1" thickBot="1">
      <c r="A7" s="1572"/>
      <c r="B7" s="2866" t="s">
        <v>41</v>
      </c>
      <c r="C7" s="2867"/>
      <c r="D7" s="2868"/>
      <c r="E7" s="2012">
        <f>C7+D7</f>
        <v>0</v>
      </c>
      <c r="F7" s="2869"/>
      <c r="G7" s="2027">
        <v>0</v>
      </c>
      <c r="H7" s="2027">
        <v>0</v>
      </c>
      <c r="I7" s="2027">
        <v>0</v>
      </c>
      <c r="J7" s="2027"/>
      <c r="K7" s="2027"/>
      <c r="L7" s="2051">
        <v>0</v>
      </c>
      <c r="M7" s="2043">
        <v>0</v>
      </c>
      <c r="N7" s="2012">
        <f>L7+M7</f>
        <v>0</v>
      </c>
      <c r="O7" s="2869"/>
      <c r="P7" s="2870"/>
      <c r="Q7" s="2029"/>
      <c r="R7" s="2051"/>
      <c r="S7" s="2043"/>
      <c r="T7" s="2012">
        <f>R7+S7</f>
        <v>0</v>
      </c>
      <c r="U7" s="2869"/>
      <c r="V7" s="2869"/>
      <c r="W7" s="2051"/>
      <c r="X7" s="2043"/>
      <c r="Y7" s="2012">
        <f>W7+X7</f>
        <v>0</v>
      </c>
      <c r="Z7" s="2869"/>
      <c r="AA7" s="2870"/>
      <c r="AB7" s="2051"/>
      <c r="AC7" s="2043"/>
      <c r="AD7" s="2012">
        <f>AB7+AC7</f>
        <v>0</v>
      </c>
      <c r="AE7" s="2869"/>
      <c r="AF7" s="2870"/>
      <c r="AG7" s="2051"/>
      <c r="AH7" s="2043"/>
      <c r="AI7" s="2012">
        <f>AG7+AH7</f>
        <v>0</v>
      </c>
      <c r="AJ7" s="2869"/>
      <c r="AK7" s="2870"/>
      <c r="AL7" s="2051">
        <v>1980</v>
      </c>
      <c r="AM7" s="2043"/>
      <c r="AN7" s="2012">
        <f>AL7+AM7</f>
        <v>1980</v>
      </c>
      <c r="AO7" s="2869"/>
      <c r="AP7" s="2870" t="s">
        <v>1395</v>
      </c>
      <c r="AQ7" s="2051"/>
      <c r="AR7" s="2043"/>
      <c r="AS7" s="2012">
        <f>AQ7+AR7</f>
        <v>0</v>
      </c>
      <c r="AT7" s="2869"/>
      <c r="AU7" s="2055"/>
      <c r="AV7" s="2051"/>
      <c r="AW7" s="2043"/>
      <c r="AX7" s="2012">
        <f>AV7+AW7</f>
        <v>0</v>
      </c>
      <c r="AY7" s="2869"/>
      <c r="AZ7" s="2055"/>
      <c r="BA7" s="2051"/>
      <c r="BB7" s="2043"/>
      <c r="BC7" s="2012">
        <f>BA7+BB7</f>
        <v>0</v>
      </c>
      <c r="BD7" s="2869"/>
      <c r="BE7" s="2055"/>
      <c r="BF7" s="2051"/>
      <c r="BG7" s="2043"/>
      <c r="BH7" s="2012">
        <f>BF7+BG7</f>
        <v>0</v>
      </c>
      <c r="BI7" s="1905"/>
      <c r="BJ7" s="2055"/>
      <c r="BK7" s="2051"/>
      <c r="BL7" s="2043"/>
      <c r="BM7" s="2012">
        <f>BK7+BL7</f>
        <v>0</v>
      </c>
      <c r="BN7" s="1905"/>
      <c r="BO7" s="2055"/>
      <c r="BP7" s="2051"/>
      <c r="BQ7" s="2043"/>
      <c r="BR7" s="2012">
        <f>BP7+BQ7</f>
        <v>0</v>
      </c>
      <c r="BS7" s="1905"/>
      <c r="BT7" s="2055"/>
      <c r="BU7" s="2043">
        <f>G7+L7+R7+W7+AB7+AG7+AL7+AQ7+AV7+BA7+BF7+BK7+BP7</f>
        <v>1980</v>
      </c>
      <c r="BV7" s="2043">
        <f>H7+M7+S7+X7+AC7+AH7+AM7+AR7+AW7+BB7+BG7+BL7+BQ7</f>
        <v>0</v>
      </c>
      <c r="BW7" s="2012">
        <f>BU7+BV7</f>
        <v>1980</v>
      </c>
      <c r="BX7" s="2869"/>
      <c r="BY7" s="2869"/>
    </row>
    <row r="8" spans="1:79" s="2466" customFormat="1" ht="14.4" thickBot="1">
      <c r="A8" s="1572"/>
      <c r="B8" s="1463" t="s">
        <v>16</v>
      </c>
      <c r="C8" s="1957">
        <f>SUM(C9:C33)</f>
        <v>3490825.0325189997</v>
      </c>
      <c r="D8" s="1957">
        <f>SUM(D9:D33)</f>
        <v>1192084.6782608696</v>
      </c>
      <c r="E8" s="1484">
        <f>SUM(E9:E33)</f>
        <v>4682909.7107798699</v>
      </c>
      <c r="F8" s="1528">
        <f t="shared" ref="F8:F21" si="8">E8/$E$89</f>
        <v>0.91298282834799305</v>
      </c>
      <c r="G8" s="1957">
        <f>SUM(G9:G33)</f>
        <v>2315001.3459999999</v>
      </c>
      <c r="H8" s="1957">
        <f t="shared" ref="H8:I8" si="9">SUM(H9:H33)</f>
        <v>776164.24</v>
      </c>
      <c r="I8" s="1484">
        <f t="shared" si="9"/>
        <v>3091165.5860000001</v>
      </c>
      <c r="J8" s="1528">
        <v>0.92642776169933672</v>
      </c>
      <c r="K8" s="1576"/>
      <c r="L8" s="1957">
        <f t="shared" ref="L8:N8" si="10">SUM(L9:L33)</f>
        <v>2819017.5444</v>
      </c>
      <c r="M8" s="1957">
        <f t="shared" si="10"/>
        <v>669025.35000000009</v>
      </c>
      <c r="N8" s="1484">
        <f t="shared" si="10"/>
        <v>3488042.8943999996</v>
      </c>
      <c r="O8" s="1528">
        <f>N8/N$89</f>
        <v>0.93955694253533339</v>
      </c>
      <c r="P8" s="1600"/>
      <c r="Q8" s="2609"/>
      <c r="R8" s="1957">
        <f>SUM(R9:R33)</f>
        <v>0</v>
      </c>
      <c r="S8" s="1957">
        <f>SUM(S9:S33)</f>
        <v>5000</v>
      </c>
      <c r="T8" s="1484">
        <f>SUM(T9:T33)</f>
        <v>5000</v>
      </c>
      <c r="U8" s="1528">
        <f>T8/$T$89</f>
        <v>0.79336051377489003</v>
      </c>
      <c r="V8" s="1466"/>
      <c r="W8" s="1957">
        <f>SUM(W9:W33)</f>
        <v>89069.724000000002</v>
      </c>
      <c r="X8" s="1957">
        <f>SUM(X9:X33)</f>
        <v>41575</v>
      </c>
      <c r="Y8" s="1484">
        <f>SUM(Y9:Y33)</f>
        <v>130644.724</v>
      </c>
      <c r="Z8" s="1528">
        <f t="shared" ref="Z8:Z33" si="11">Y8/$Y$89</f>
        <v>0.96029022237566353</v>
      </c>
      <c r="AA8" s="1600"/>
      <c r="AB8" s="1957">
        <f>SUM(AB9:AB33)</f>
        <v>66333.432000000001</v>
      </c>
      <c r="AC8" s="1957">
        <f>SUM(AC9:AC33)</f>
        <v>19480</v>
      </c>
      <c r="AD8" s="1484">
        <f>SUM(AD9:AD33)</f>
        <v>85813.432000000001</v>
      </c>
      <c r="AE8" s="1528">
        <f>AD8/$AD$89</f>
        <v>0.96870271194269986</v>
      </c>
      <c r="AF8" s="1600"/>
      <c r="AG8" s="1957">
        <f>SUM(AG9:AG33)</f>
        <v>12053.6</v>
      </c>
      <c r="AH8" s="1957">
        <f>SUM(AH9:AH33)</f>
        <v>0</v>
      </c>
      <c r="AI8" s="1484">
        <f>SUM(AI9:AI33)</f>
        <v>12053.6</v>
      </c>
      <c r="AJ8" s="1528">
        <f>AI8/AI$89</f>
        <v>0.93254189998160797</v>
      </c>
      <c r="AK8" s="1600"/>
      <c r="AL8" s="1957">
        <f>SUM(AL9:AL33)</f>
        <v>42368.724000000002</v>
      </c>
      <c r="AM8" s="1957">
        <f>SUM(AM9:AM33)</f>
        <v>55080</v>
      </c>
      <c r="AN8" s="1484">
        <f>SUM(AN9:AN33)</f>
        <v>97448.724000000002</v>
      </c>
      <c r="AO8" s="1528">
        <f>AN8/AN$89</f>
        <v>0.9295565638689347</v>
      </c>
      <c r="AP8" s="1600"/>
      <c r="AQ8" s="1957">
        <f>SUM(AQ9:AQ33)</f>
        <v>0</v>
      </c>
      <c r="AR8" s="1957">
        <f>SUM(AR9:AR33)</f>
        <v>500</v>
      </c>
      <c r="AS8" s="1484">
        <f>SUM(AS9:AS33)</f>
        <v>500</v>
      </c>
      <c r="AT8" s="1528">
        <f>AS8/AS$89</f>
        <v>0.8761268888996403</v>
      </c>
      <c r="AU8" s="1600"/>
      <c r="AV8" s="1957">
        <f>SUM(AV9:AV33)</f>
        <v>2240.172</v>
      </c>
      <c r="AW8" s="1957">
        <f>SUM(AW9:AW33)</f>
        <v>22394.7</v>
      </c>
      <c r="AX8" s="1484">
        <f>SUM(AX9:AX33)</f>
        <v>24634.872000000003</v>
      </c>
      <c r="AY8" s="1528">
        <f>AX8/AX$89</f>
        <v>0.89991955579299321</v>
      </c>
      <c r="AZ8" s="1600"/>
      <c r="BA8" s="1957">
        <f>SUM(BA9:BA33)</f>
        <v>0</v>
      </c>
      <c r="BB8" s="1957">
        <f>SUM(BB9:BB33)</f>
        <v>0</v>
      </c>
      <c r="BC8" s="1484">
        <f>SUM(BC9:BC33)</f>
        <v>0</v>
      </c>
      <c r="BD8" s="1528" t="e">
        <f>BC8/BC$89</f>
        <v>#DIV/0!</v>
      </c>
      <c r="BE8" s="1600"/>
      <c r="BF8" s="1957">
        <f>SUM(BF9:BF33)</f>
        <v>477.59999999999997</v>
      </c>
      <c r="BG8" s="1957">
        <f>SUM(BG9:BG33)</f>
        <v>0</v>
      </c>
      <c r="BH8" s="1484">
        <f>SUM(BH9:BH33)</f>
        <v>477.59999999999997</v>
      </c>
      <c r="BI8" s="1528">
        <f>BH8/BH$89</f>
        <v>1</v>
      </c>
      <c r="BJ8" s="1600"/>
      <c r="BK8" s="1957">
        <f>SUM(BK9:BK33)</f>
        <v>0</v>
      </c>
      <c r="BL8" s="1957">
        <f>SUM(BL9:BL33)</f>
        <v>10390</v>
      </c>
      <c r="BM8" s="1484">
        <f>SUM(BM9:BM33)</f>
        <v>10390</v>
      </c>
      <c r="BN8" s="1528">
        <f>BM8/BM$89</f>
        <v>0.88420929298391926</v>
      </c>
      <c r="BO8" s="1600"/>
      <c r="BP8" s="1957">
        <f>SUM(BP9:BP33)</f>
        <v>0</v>
      </c>
      <c r="BQ8" s="1957">
        <f>SUM(BQ9:BQ33)</f>
        <v>0</v>
      </c>
      <c r="BR8" s="1484">
        <f>SUM(BR9:BR33)</f>
        <v>0</v>
      </c>
      <c r="BS8" s="1528">
        <f>BR8/BR$89</f>
        <v>0</v>
      </c>
      <c r="BT8" s="1600"/>
      <c r="BU8" s="1957">
        <f>SUM(BU9:BU33)</f>
        <v>5346562.1423999993</v>
      </c>
      <c r="BV8" s="1957">
        <f>SUM(BV9:BV33)</f>
        <v>1599609.29</v>
      </c>
      <c r="BW8" s="1484">
        <f>SUM(BW9:BW33)</f>
        <v>6946171.4324000003</v>
      </c>
      <c r="BX8" s="1528">
        <f t="shared" ref="BX8:BX33" si="12">BW8/$BW$89</f>
        <v>0.93484001974822895</v>
      </c>
      <c r="BY8" s="1466"/>
    </row>
    <row r="9" spans="1:79" s="1396" customFormat="1" ht="33.6" customHeight="1">
      <c r="A9" s="1572"/>
      <c r="B9" s="1622" t="s">
        <v>74</v>
      </c>
      <c r="C9" s="1964"/>
      <c r="D9" s="1510"/>
      <c r="E9" s="2124">
        <f t="shared" ref="E9:E33" si="13">C9+D9</f>
        <v>0</v>
      </c>
      <c r="F9" s="1559">
        <f t="shared" si="8"/>
        <v>0</v>
      </c>
      <c r="G9" s="2467">
        <v>44770.18</v>
      </c>
      <c r="H9" s="2467">
        <v>0</v>
      </c>
      <c r="I9" s="1561">
        <f>G9+H9*1</f>
        <v>44770.18</v>
      </c>
      <c r="J9" s="1559">
        <v>1.3861404278330585E-2</v>
      </c>
      <c r="K9" s="1559"/>
      <c r="L9" s="2051">
        <v>51723.05</v>
      </c>
      <c r="M9" s="2043">
        <v>0</v>
      </c>
      <c r="N9" s="2045">
        <f>L9+M9*1</f>
        <v>51723.05</v>
      </c>
      <c r="O9" s="2871">
        <f t="shared" ref="O9:O33" si="14">N9/N$89</f>
        <v>1.3932383341564845E-2</v>
      </c>
      <c r="P9" s="1434"/>
      <c r="Q9" s="2610"/>
      <c r="R9" s="2083"/>
      <c r="S9" s="1995"/>
      <c r="T9" s="1996">
        <f>R9+S9*1</f>
        <v>0</v>
      </c>
      <c r="U9" s="1999">
        <f t="shared" ref="U9:U33" si="15">T9/$T$89</f>
        <v>0</v>
      </c>
      <c r="V9" s="1998"/>
      <c r="W9" s="2051"/>
      <c r="X9" s="2043"/>
      <c r="Y9" s="2045">
        <f>W9+X9*1</f>
        <v>0</v>
      </c>
      <c r="Z9" s="2871">
        <f t="shared" si="11"/>
        <v>0</v>
      </c>
      <c r="AA9" s="1434"/>
      <c r="AB9" s="2051"/>
      <c r="AC9" s="2043"/>
      <c r="AD9" s="2045">
        <f>AB9+AC9*1</f>
        <v>0</v>
      </c>
      <c r="AE9" s="2871">
        <f t="shared" ref="AE9:AE33" si="16">AD9/$AD$89</f>
        <v>0</v>
      </c>
      <c r="AF9" s="1434"/>
      <c r="AG9" s="2051">
        <v>7953.4</v>
      </c>
      <c r="AH9" s="2043"/>
      <c r="AI9" s="2045">
        <f>AG9+AH9*1</f>
        <v>7953.4</v>
      </c>
      <c r="AJ9" s="2871">
        <f t="shared" ref="AJ9:AJ33" si="17">AI9/AI$89</f>
        <v>0.61532477826655274</v>
      </c>
      <c r="AK9" s="1434" t="s">
        <v>1347</v>
      </c>
      <c r="AL9" s="2051"/>
      <c r="AM9" s="2043"/>
      <c r="AN9" s="2045">
        <f>AL9+AM9*1</f>
        <v>0</v>
      </c>
      <c r="AO9" s="2871">
        <f t="shared" ref="AO9:AO33" si="18">AN9/AN$89</f>
        <v>0</v>
      </c>
      <c r="AP9" s="1434"/>
      <c r="AQ9" s="1695"/>
      <c r="AR9" s="2467"/>
      <c r="AS9" s="1561">
        <f>AQ9+AR9*1</f>
        <v>0</v>
      </c>
      <c r="AT9" s="1559">
        <f t="shared" ref="AT9:AT33" si="19">AS9/AS$89</f>
        <v>0</v>
      </c>
      <c r="AU9" s="1580"/>
      <c r="AV9" s="1695"/>
      <c r="AW9" s="2467"/>
      <c r="AX9" s="1561">
        <f>AV9+AW9*1</f>
        <v>0</v>
      </c>
      <c r="AY9" s="1559">
        <f t="shared" ref="AY9:AY33" si="20">AX9/AX$89</f>
        <v>0</v>
      </c>
      <c r="AZ9" s="1580"/>
      <c r="BA9" s="1695"/>
      <c r="BB9" s="2467"/>
      <c r="BC9" s="1561">
        <f>BA9+BB9*1</f>
        <v>0</v>
      </c>
      <c r="BD9" s="1559" t="e">
        <f t="shared" ref="BD9:BD33" si="21">BC9/BC$89</f>
        <v>#DIV/0!</v>
      </c>
      <c r="BE9" s="1580"/>
      <c r="BF9" s="1695"/>
      <c r="BG9" s="2467"/>
      <c r="BH9" s="1561">
        <f>BF9+BG9*1</f>
        <v>0</v>
      </c>
      <c r="BI9" s="1559">
        <f t="shared" ref="BI9:BI33" si="22">BH9/BH$89</f>
        <v>0</v>
      </c>
      <c r="BJ9" s="1580"/>
      <c r="BK9" s="1695"/>
      <c r="BL9" s="2467"/>
      <c r="BM9" s="1561">
        <f>BK9+BL9*1</f>
        <v>0</v>
      </c>
      <c r="BN9" s="1559">
        <f t="shared" ref="BN9:BN33" si="23">BM9/BM$89</f>
        <v>0</v>
      </c>
      <c r="BO9" s="1580"/>
      <c r="BP9" s="1695"/>
      <c r="BQ9" s="2467"/>
      <c r="BR9" s="1561">
        <f>BP9+BQ9*1</f>
        <v>0</v>
      </c>
      <c r="BS9" s="1559">
        <f t="shared" ref="BS9:BS33" si="24">BR9/BR$89</f>
        <v>0</v>
      </c>
      <c r="BT9" s="1580"/>
      <c r="BU9" s="2043">
        <f t="shared" ref="BU9:BU32" si="25">G9+L9+R9+W9+AB9+AG9+AL9+AQ9+AV9+BA9+BF9+BK9+BP9</f>
        <v>104446.63</v>
      </c>
      <c r="BV9" s="2043">
        <f t="shared" ref="BV9:BV32" si="26">H9+M9+S9+X9+AC9+AH9+AM9+AR9+AW9+BB9+BG9+BL9+BQ9</f>
        <v>0</v>
      </c>
      <c r="BW9" s="1561">
        <f>BU9+BV9*1</f>
        <v>104446.63</v>
      </c>
      <c r="BX9" s="1559">
        <f t="shared" si="12"/>
        <v>1.4056792378661415E-2</v>
      </c>
      <c r="BY9" s="1580"/>
    </row>
    <row r="10" spans="1:79" s="1396" customFormat="1" ht="16.2" customHeight="1">
      <c r="A10" s="1572"/>
      <c r="B10" s="1424" t="s">
        <v>72</v>
      </c>
      <c r="C10" s="1485"/>
      <c r="D10" s="1486"/>
      <c r="E10" s="2012">
        <f t="shared" si="13"/>
        <v>0</v>
      </c>
      <c r="F10" s="1976">
        <f t="shared" si="8"/>
        <v>0</v>
      </c>
      <c r="G10" s="2043">
        <v>18037.25</v>
      </c>
      <c r="H10" s="2043">
        <v>0</v>
      </c>
      <c r="I10" s="2045">
        <f t="shared" ref="I10:I33" si="27">G10+H10*1</f>
        <v>18037.25</v>
      </c>
      <c r="J10" s="2871">
        <v>5.58455682597922E-3</v>
      </c>
      <c r="K10" s="1976"/>
      <c r="L10" s="2051">
        <v>14334.100000000002</v>
      </c>
      <c r="M10" s="2043">
        <v>0</v>
      </c>
      <c r="N10" s="2045">
        <f t="shared" ref="N10:N33" si="28">L10+M10*1</f>
        <v>14334.100000000002</v>
      </c>
      <c r="O10" s="2871">
        <f t="shared" si="14"/>
        <v>3.8611059490174047E-3</v>
      </c>
      <c r="P10" s="1615"/>
      <c r="Q10" s="2611"/>
      <c r="R10" s="2000"/>
      <c r="S10" s="1993"/>
      <c r="T10" s="1997">
        <f t="shared" ref="T10:T33" si="29">R10+S10*1</f>
        <v>0</v>
      </c>
      <c r="U10" s="2872">
        <f t="shared" si="15"/>
        <v>0</v>
      </c>
      <c r="V10" s="1994"/>
      <c r="W10" s="2051"/>
      <c r="X10" s="2043"/>
      <c r="Y10" s="2045">
        <f t="shared" ref="Y10:Y33" si="30">W10+X10*1</f>
        <v>0</v>
      </c>
      <c r="Z10" s="2871">
        <f t="shared" si="11"/>
        <v>0</v>
      </c>
      <c r="AA10" s="1615"/>
      <c r="AB10" s="2051"/>
      <c r="AC10" s="2043"/>
      <c r="AD10" s="2045">
        <f t="shared" ref="AD10:AD33" si="31">AB10+AC10*1</f>
        <v>0</v>
      </c>
      <c r="AE10" s="2871">
        <f t="shared" si="16"/>
        <v>0</v>
      </c>
      <c r="AF10" s="1615"/>
      <c r="AG10" s="2051">
        <v>1926.6</v>
      </c>
      <c r="AH10" s="2043"/>
      <c r="AI10" s="2045">
        <f t="shared" ref="AI10:AI33" si="32">AG10+AH10*1</f>
        <v>1926.6</v>
      </c>
      <c r="AJ10" s="2871">
        <f t="shared" si="17"/>
        <v>0.14905382827574881</v>
      </c>
      <c r="AK10" s="1615"/>
      <c r="AL10" s="2051"/>
      <c r="AM10" s="2043"/>
      <c r="AN10" s="2045">
        <f t="shared" ref="AN10:AN33" si="33">AL10+AM10*1</f>
        <v>0</v>
      </c>
      <c r="AO10" s="2871">
        <f t="shared" si="18"/>
        <v>0</v>
      </c>
      <c r="AP10" s="1615"/>
      <c r="AQ10" s="2051"/>
      <c r="AR10" s="2043"/>
      <c r="AS10" s="2045">
        <f t="shared" ref="AS10:AS33" si="34">AQ10+AR10*1</f>
        <v>0</v>
      </c>
      <c r="AT10" s="2871">
        <f t="shared" si="19"/>
        <v>0</v>
      </c>
      <c r="AU10" s="1615"/>
      <c r="AV10" s="2051"/>
      <c r="AW10" s="2043"/>
      <c r="AX10" s="2045">
        <f t="shared" ref="AX10:AX33" si="35">AV10+AW10*1</f>
        <v>0</v>
      </c>
      <c r="AY10" s="2871">
        <f t="shared" si="20"/>
        <v>0</v>
      </c>
      <c r="AZ10" s="1615"/>
      <c r="BA10" s="2051"/>
      <c r="BB10" s="2043"/>
      <c r="BC10" s="2045">
        <f t="shared" ref="BC10:BC33" si="36">BA10+BB10*1</f>
        <v>0</v>
      </c>
      <c r="BD10" s="2871" t="e">
        <f t="shared" si="21"/>
        <v>#DIV/0!</v>
      </c>
      <c r="BE10" s="1615"/>
      <c r="BF10" s="2051"/>
      <c r="BG10" s="2043"/>
      <c r="BH10" s="2045">
        <f t="shared" ref="BH10:BH33" si="37">BF10+BG10*1</f>
        <v>0</v>
      </c>
      <c r="BI10" s="2138">
        <f t="shared" si="22"/>
        <v>0</v>
      </c>
      <c r="BJ10" s="1615"/>
      <c r="BK10" s="2051"/>
      <c r="BL10" s="2043"/>
      <c r="BM10" s="2045">
        <f t="shared" ref="BM10:BM33" si="38">BK10+BL10*1</f>
        <v>0</v>
      </c>
      <c r="BN10" s="2138">
        <f t="shared" si="23"/>
        <v>0</v>
      </c>
      <c r="BO10" s="1615"/>
      <c r="BP10" s="2051"/>
      <c r="BQ10" s="2043"/>
      <c r="BR10" s="2045">
        <f t="shared" ref="BR10:BR33" si="39">BP10+BQ10*1</f>
        <v>0</v>
      </c>
      <c r="BS10" s="2138">
        <f t="shared" si="24"/>
        <v>0</v>
      </c>
      <c r="BT10" s="1615"/>
      <c r="BU10" s="2043">
        <f t="shared" si="25"/>
        <v>34297.950000000004</v>
      </c>
      <c r="BV10" s="2043">
        <f t="shared" si="26"/>
        <v>0</v>
      </c>
      <c r="BW10" s="2045">
        <f t="shared" ref="BW10:BW33" si="40">BU10+BV10*1</f>
        <v>34297.950000000004</v>
      </c>
      <c r="BX10" s="2871">
        <f t="shared" si="12"/>
        <v>4.615937940397984E-3</v>
      </c>
      <c r="BY10" s="1434"/>
    </row>
    <row r="11" spans="1:79" s="1396" customFormat="1" ht="16.2" customHeight="1">
      <c r="A11" s="1572"/>
      <c r="B11" s="1424" t="s">
        <v>69</v>
      </c>
      <c r="C11" s="1485"/>
      <c r="D11" s="1486"/>
      <c r="E11" s="2012">
        <f t="shared" si="13"/>
        <v>0</v>
      </c>
      <c r="F11" s="1976">
        <f t="shared" si="8"/>
        <v>0</v>
      </c>
      <c r="G11" s="2043">
        <v>20349.730000000003</v>
      </c>
      <c r="H11" s="2043">
        <v>0</v>
      </c>
      <c r="I11" s="2045">
        <f t="shared" si="27"/>
        <v>20349.730000000003</v>
      </c>
      <c r="J11" s="2871">
        <v>6.3005293810494464E-3</v>
      </c>
      <c r="K11" s="1976"/>
      <c r="L11" s="2051">
        <v>16171.81</v>
      </c>
      <c r="M11" s="2043">
        <v>0</v>
      </c>
      <c r="N11" s="2045">
        <f t="shared" si="28"/>
        <v>16171.81</v>
      </c>
      <c r="O11" s="2871">
        <f t="shared" si="14"/>
        <v>4.3561208445161634E-3</v>
      </c>
      <c r="P11" s="1615"/>
      <c r="Q11" s="2611"/>
      <c r="R11" s="2000"/>
      <c r="S11" s="1993"/>
      <c r="T11" s="1997">
        <f t="shared" si="29"/>
        <v>0</v>
      </c>
      <c r="U11" s="2872">
        <f t="shared" si="15"/>
        <v>0</v>
      </c>
      <c r="V11" s="1994"/>
      <c r="W11" s="2051"/>
      <c r="X11" s="2043"/>
      <c r="Y11" s="2045">
        <f t="shared" si="30"/>
        <v>0</v>
      </c>
      <c r="Z11" s="2871">
        <f t="shared" si="11"/>
        <v>0</v>
      </c>
      <c r="AA11" s="1615"/>
      <c r="AB11" s="2051"/>
      <c r="AC11" s="2043"/>
      <c r="AD11" s="2045">
        <f t="shared" si="31"/>
        <v>0</v>
      </c>
      <c r="AE11" s="2871">
        <f t="shared" si="16"/>
        <v>0</v>
      </c>
      <c r="AF11" s="1615"/>
      <c r="AG11" s="2051">
        <v>2173.6</v>
      </c>
      <c r="AH11" s="2043"/>
      <c r="AI11" s="2045">
        <f t="shared" si="32"/>
        <v>2173.6</v>
      </c>
      <c r="AJ11" s="2871">
        <f t="shared" si="17"/>
        <v>0.16816329343930633</v>
      </c>
      <c r="AK11" s="1615"/>
      <c r="AL11" s="2051"/>
      <c r="AM11" s="2043"/>
      <c r="AN11" s="2045">
        <f t="shared" si="33"/>
        <v>0</v>
      </c>
      <c r="AO11" s="2871">
        <f t="shared" si="18"/>
        <v>0</v>
      </c>
      <c r="AP11" s="1615"/>
      <c r="AQ11" s="2051"/>
      <c r="AR11" s="2043"/>
      <c r="AS11" s="2045">
        <f t="shared" si="34"/>
        <v>0</v>
      </c>
      <c r="AT11" s="2871">
        <f t="shared" si="19"/>
        <v>0</v>
      </c>
      <c r="AU11" s="1615"/>
      <c r="AV11" s="2051"/>
      <c r="AW11" s="2043"/>
      <c r="AX11" s="2045">
        <f t="shared" si="35"/>
        <v>0</v>
      </c>
      <c r="AY11" s="2871">
        <f t="shared" si="20"/>
        <v>0</v>
      </c>
      <c r="AZ11" s="1615"/>
      <c r="BA11" s="2051"/>
      <c r="BB11" s="2043"/>
      <c r="BC11" s="2045">
        <f t="shared" si="36"/>
        <v>0</v>
      </c>
      <c r="BD11" s="2871" t="e">
        <f t="shared" si="21"/>
        <v>#DIV/0!</v>
      </c>
      <c r="BE11" s="1615"/>
      <c r="BF11" s="2051"/>
      <c r="BG11" s="2043"/>
      <c r="BH11" s="2045">
        <f t="shared" si="37"/>
        <v>0</v>
      </c>
      <c r="BI11" s="2138">
        <f t="shared" si="22"/>
        <v>0</v>
      </c>
      <c r="BJ11" s="1615"/>
      <c r="BK11" s="2051"/>
      <c r="BL11" s="2043"/>
      <c r="BM11" s="2045">
        <f t="shared" si="38"/>
        <v>0</v>
      </c>
      <c r="BN11" s="2138">
        <f t="shared" si="23"/>
        <v>0</v>
      </c>
      <c r="BO11" s="1615"/>
      <c r="BP11" s="2051"/>
      <c r="BQ11" s="2043"/>
      <c r="BR11" s="2045">
        <f t="shared" si="39"/>
        <v>0</v>
      </c>
      <c r="BS11" s="2138">
        <f t="shared" si="24"/>
        <v>0</v>
      </c>
      <c r="BT11" s="1615"/>
      <c r="BU11" s="2043">
        <f t="shared" si="25"/>
        <v>38695.14</v>
      </c>
      <c r="BV11" s="2043">
        <f t="shared" si="26"/>
        <v>0</v>
      </c>
      <c r="BW11" s="2045">
        <f t="shared" si="40"/>
        <v>38695.14</v>
      </c>
      <c r="BX11" s="2871">
        <f t="shared" si="12"/>
        <v>5.2077271334004405E-3</v>
      </c>
      <c r="BY11" s="1434"/>
    </row>
    <row r="12" spans="1:79" s="1396" customFormat="1" ht="37.950000000000003" customHeight="1">
      <c r="A12" s="1572"/>
      <c r="B12" s="1424" t="s">
        <v>73</v>
      </c>
      <c r="C12" s="1485">
        <v>64722</v>
      </c>
      <c r="D12" s="1486">
        <v>139600</v>
      </c>
      <c r="E12" s="2012">
        <f t="shared" si="13"/>
        <v>204322</v>
      </c>
      <c r="F12" s="1976">
        <f t="shared" si="8"/>
        <v>3.983473715589804E-2</v>
      </c>
      <c r="G12" s="2043">
        <v>44517.94</v>
      </c>
      <c r="H12" s="2043">
        <v>92755.58</v>
      </c>
      <c r="I12" s="2045">
        <f t="shared" si="27"/>
        <v>137273.52000000002</v>
      </c>
      <c r="J12" s="2871">
        <v>4.2501588276605079E-2</v>
      </c>
      <c r="K12" s="1976"/>
      <c r="L12" s="2051">
        <v>34909.32</v>
      </c>
      <c r="M12" s="2043">
        <v>42876</v>
      </c>
      <c r="N12" s="2045">
        <f t="shared" si="28"/>
        <v>77785.320000000007</v>
      </c>
      <c r="O12" s="2871">
        <f t="shared" si="14"/>
        <v>2.0952648704712713E-2</v>
      </c>
      <c r="P12" s="2048"/>
      <c r="Q12" s="2611"/>
      <c r="R12" s="2000"/>
      <c r="S12" s="1993"/>
      <c r="T12" s="1997">
        <f t="shared" si="29"/>
        <v>0</v>
      </c>
      <c r="U12" s="2872">
        <f t="shared" si="15"/>
        <v>0</v>
      </c>
      <c r="V12" s="1994"/>
      <c r="W12" s="2051"/>
      <c r="X12" s="2043"/>
      <c r="Y12" s="2045">
        <f t="shared" si="30"/>
        <v>0</v>
      </c>
      <c r="Z12" s="2871">
        <f t="shared" si="11"/>
        <v>0</v>
      </c>
      <c r="AA12" s="2048"/>
      <c r="AB12" s="2051"/>
      <c r="AC12" s="2043"/>
      <c r="AD12" s="2045">
        <f t="shared" si="31"/>
        <v>0</v>
      </c>
      <c r="AE12" s="2871">
        <f t="shared" si="16"/>
        <v>0</v>
      </c>
      <c r="AF12" s="2048"/>
      <c r="AG12" s="2051"/>
      <c r="AH12" s="2043"/>
      <c r="AI12" s="2045">
        <f t="shared" si="32"/>
        <v>0</v>
      </c>
      <c r="AJ12" s="2871">
        <f t="shared" si="17"/>
        <v>0</v>
      </c>
      <c r="AK12" s="2048"/>
      <c r="AL12" s="2051"/>
      <c r="AM12" s="2043"/>
      <c r="AN12" s="2045">
        <f t="shared" si="33"/>
        <v>0</v>
      </c>
      <c r="AO12" s="2871">
        <f t="shared" si="18"/>
        <v>0</v>
      </c>
      <c r="AP12" s="2048"/>
      <c r="AQ12" s="2051"/>
      <c r="AR12" s="2043"/>
      <c r="AS12" s="2045">
        <f t="shared" si="34"/>
        <v>0</v>
      </c>
      <c r="AT12" s="2871">
        <f t="shared" si="19"/>
        <v>0</v>
      </c>
      <c r="AU12" s="2048"/>
      <c r="AV12" s="2051"/>
      <c r="AW12" s="2043"/>
      <c r="AX12" s="2045">
        <f t="shared" si="35"/>
        <v>0</v>
      </c>
      <c r="AY12" s="2871">
        <f t="shared" si="20"/>
        <v>0</v>
      </c>
      <c r="AZ12" s="2048"/>
      <c r="BA12" s="2051"/>
      <c r="BB12" s="2043"/>
      <c r="BC12" s="2045">
        <f t="shared" si="36"/>
        <v>0</v>
      </c>
      <c r="BD12" s="2871" t="e">
        <f t="shared" si="21"/>
        <v>#DIV/0!</v>
      </c>
      <c r="BE12" s="2048"/>
      <c r="BF12" s="2051"/>
      <c r="BG12" s="2043"/>
      <c r="BH12" s="2045">
        <f t="shared" si="37"/>
        <v>0</v>
      </c>
      <c r="BI12" s="2138">
        <f t="shared" si="22"/>
        <v>0</v>
      </c>
      <c r="BJ12" s="2048"/>
      <c r="BK12" s="2051"/>
      <c r="BL12" s="2043"/>
      <c r="BM12" s="2045">
        <f t="shared" si="38"/>
        <v>0</v>
      </c>
      <c r="BN12" s="2138">
        <f t="shared" si="23"/>
        <v>0</v>
      </c>
      <c r="BO12" s="2048"/>
      <c r="BP12" s="2051"/>
      <c r="BQ12" s="2043"/>
      <c r="BR12" s="2045">
        <f t="shared" si="39"/>
        <v>0</v>
      </c>
      <c r="BS12" s="2138">
        <f t="shared" si="24"/>
        <v>0</v>
      </c>
      <c r="BT12" s="2048"/>
      <c r="BU12" s="2043">
        <f t="shared" si="25"/>
        <v>79427.260000000009</v>
      </c>
      <c r="BV12" s="2043">
        <f t="shared" si="26"/>
        <v>135631.58000000002</v>
      </c>
      <c r="BW12" s="2045">
        <f t="shared" si="40"/>
        <v>215058.84000000003</v>
      </c>
      <c r="BX12" s="2871">
        <f t="shared" si="12"/>
        <v>2.8943370054886067E-2</v>
      </c>
      <c r="BY12" s="1434"/>
    </row>
    <row r="13" spans="1:79" s="1396" customFormat="1" ht="16.2" customHeight="1">
      <c r="A13" s="1572"/>
      <c r="B13" s="1424" t="s">
        <v>71</v>
      </c>
      <c r="C13" s="1485">
        <v>15678</v>
      </c>
      <c r="D13" s="1486">
        <v>0</v>
      </c>
      <c r="E13" s="2012">
        <f t="shared" si="13"/>
        <v>15678</v>
      </c>
      <c r="F13" s="1976">
        <f t="shared" si="8"/>
        <v>3.0565920905735529E-3</v>
      </c>
      <c r="G13" s="2043">
        <v>11992.85</v>
      </c>
      <c r="H13" s="2043">
        <v>0</v>
      </c>
      <c r="I13" s="2045">
        <f t="shared" si="27"/>
        <v>11992.85</v>
      </c>
      <c r="J13" s="2871">
        <v>3.713135446392598E-3</v>
      </c>
      <c r="K13" s="1976"/>
      <c r="L13" s="2051">
        <v>8456.31</v>
      </c>
      <c r="M13" s="2043">
        <v>0</v>
      </c>
      <c r="N13" s="2045">
        <f t="shared" si="28"/>
        <v>8456.31</v>
      </c>
      <c r="O13" s="2871">
        <f t="shared" si="14"/>
        <v>2.2778345935730434E-3</v>
      </c>
      <c r="P13" s="2048"/>
      <c r="Q13" s="2611"/>
      <c r="R13" s="2000"/>
      <c r="S13" s="1993"/>
      <c r="T13" s="1997">
        <f t="shared" si="29"/>
        <v>0</v>
      </c>
      <c r="U13" s="2872">
        <f t="shared" si="15"/>
        <v>0</v>
      </c>
      <c r="V13" s="1994"/>
      <c r="W13" s="2051"/>
      <c r="X13" s="2043"/>
      <c r="Y13" s="2045">
        <f t="shared" si="30"/>
        <v>0</v>
      </c>
      <c r="Z13" s="2871">
        <f t="shared" si="11"/>
        <v>0</v>
      </c>
      <c r="AA13" s="2048"/>
      <c r="AB13" s="2051"/>
      <c r="AC13" s="2043"/>
      <c r="AD13" s="2045">
        <f t="shared" si="31"/>
        <v>0</v>
      </c>
      <c r="AE13" s="2871">
        <f t="shared" si="16"/>
        <v>0</v>
      </c>
      <c r="AF13" s="2048"/>
      <c r="AG13" s="2051"/>
      <c r="AH13" s="2043"/>
      <c r="AI13" s="2045">
        <f t="shared" si="32"/>
        <v>0</v>
      </c>
      <c r="AJ13" s="2871">
        <f t="shared" si="17"/>
        <v>0</v>
      </c>
      <c r="AK13" s="2048"/>
      <c r="AL13" s="2051"/>
      <c r="AM13" s="2043"/>
      <c r="AN13" s="2045">
        <f t="shared" si="33"/>
        <v>0</v>
      </c>
      <c r="AO13" s="2871">
        <f t="shared" si="18"/>
        <v>0</v>
      </c>
      <c r="AP13" s="2048"/>
      <c r="AQ13" s="2051"/>
      <c r="AR13" s="2043"/>
      <c r="AS13" s="2045">
        <f t="shared" si="34"/>
        <v>0</v>
      </c>
      <c r="AT13" s="2871">
        <f t="shared" si="19"/>
        <v>0</v>
      </c>
      <c r="AU13" s="2048"/>
      <c r="AV13" s="2051"/>
      <c r="AW13" s="2043"/>
      <c r="AX13" s="2045">
        <f t="shared" si="35"/>
        <v>0</v>
      </c>
      <c r="AY13" s="2871">
        <f t="shared" si="20"/>
        <v>0</v>
      </c>
      <c r="AZ13" s="2048"/>
      <c r="BA13" s="2051"/>
      <c r="BB13" s="2043"/>
      <c r="BC13" s="2045">
        <f t="shared" si="36"/>
        <v>0</v>
      </c>
      <c r="BD13" s="2871" t="e">
        <f t="shared" si="21"/>
        <v>#DIV/0!</v>
      </c>
      <c r="BE13" s="2048"/>
      <c r="BF13" s="2051"/>
      <c r="BG13" s="2043"/>
      <c r="BH13" s="2045">
        <f t="shared" si="37"/>
        <v>0</v>
      </c>
      <c r="BI13" s="2138">
        <f t="shared" si="22"/>
        <v>0</v>
      </c>
      <c r="BJ13" s="2048"/>
      <c r="BK13" s="2051"/>
      <c r="BL13" s="2043"/>
      <c r="BM13" s="2045">
        <f t="shared" si="38"/>
        <v>0</v>
      </c>
      <c r="BN13" s="2138">
        <f t="shared" si="23"/>
        <v>0</v>
      </c>
      <c r="BO13" s="2048"/>
      <c r="BP13" s="2051"/>
      <c r="BQ13" s="2043"/>
      <c r="BR13" s="2045">
        <f t="shared" si="39"/>
        <v>0</v>
      </c>
      <c r="BS13" s="2138">
        <f t="shared" si="24"/>
        <v>0</v>
      </c>
      <c r="BT13" s="2048"/>
      <c r="BU13" s="2043">
        <f t="shared" si="25"/>
        <v>20449.16</v>
      </c>
      <c r="BV13" s="2043">
        <f t="shared" si="26"/>
        <v>0</v>
      </c>
      <c r="BW13" s="2045">
        <f t="shared" si="40"/>
        <v>20449.16</v>
      </c>
      <c r="BX13" s="2871">
        <f t="shared" si="12"/>
        <v>2.7521193976103187E-3</v>
      </c>
      <c r="BY13" s="1434"/>
    </row>
    <row r="14" spans="1:79" s="1396" customFormat="1" ht="16.2" customHeight="1">
      <c r="A14" s="1572"/>
      <c r="B14" s="1424" t="s">
        <v>70</v>
      </c>
      <c r="C14" s="1485">
        <v>17688</v>
      </c>
      <c r="D14" s="1486">
        <v>0</v>
      </c>
      <c r="E14" s="2012">
        <f t="shared" si="13"/>
        <v>17688</v>
      </c>
      <c r="F14" s="1976">
        <f t="shared" si="8"/>
        <v>3.4484628714163161E-3</v>
      </c>
      <c r="G14" s="2043">
        <v>13530.39</v>
      </c>
      <c r="H14" s="2043">
        <v>0</v>
      </c>
      <c r="I14" s="2045">
        <f t="shared" si="27"/>
        <v>13530.39</v>
      </c>
      <c r="J14" s="2871">
        <v>4.1891769439721116E-3</v>
      </c>
      <c r="K14" s="1976"/>
      <c r="L14" s="2051">
        <v>9540.44</v>
      </c>
      <c r="M14" s="2043">
        <v>0</v>
      </c>
      <c r="N14" s="2045">
        <f t="shared" si="28"/>
        <v>9540.44</v>
      </c>
      <c r="O14" s="2871">
        <f t="shared" si="14"/>
        <v>2.5698613544096667E-3</v>
      </c>
      <c r="P14" s="2048"/>
      <c r="Q14" s="2611"/>
      <c r="R14" s="2000"/>
      <c r="S14" s="1993"/>
      <c r="T14" s="1997">
        <f t="shared" si="29"/>
        <v>0</v>
      </c>
      <c r="U14" s="2872">
        <f t="shared" si="15"/>
        <v>0</v>
      </c>
      <c r="V14" s="1994"/>
      <c r="W14" s="2051"/>
      <c r="X14" s="2043"/>
      <c r="Y14" s="2045">
        <f t="shared" si="30"/>
        <v>0</v>
      </c>
      <c r="Z14" s="2871">
        <f t="shared" si="11"/>
        <v>0</v>
      </c>
      <c r="AA14" s="2048"/>
      <c r="AB14" s="2051"/>
      <c r="AC14" s="2043"/>
      <c r="AD14" s="2045">
        <f t="shared" si="31"/>
        <v>0</v>
      </c>
      <c r="AE14" s="2871">
        <f t="shared" si="16"/>
        <v>0</v>
      </c>
      <c r="AF14" s="2048"/>
      <c r="AG14" s="2051"/>
      <c r="AH14" s="2043"/>
      <c r="AI14" s="2045">
        <f t="shared" si="32"/>
        <v>0</v>
      </c>
      <c r="AJ14" s="2871">
        <f t="shared" si="17"/>
        <v>0</v>
      </c>
      <c r="AK14" s="2048"/>
      <c r="AL14" s="2051"/>
      <c r="AM14" s="2043"/>
      <c r="AN14" s="2045">
        <f t="shared" si="33"/>
        <v>0</v>
      </c>
      <c r="AO14" s="2871">
        <f t="shared" si="18"/>
        <v>0</v>
      </c>
      <c r="AP14" s="2048"/>
      <c r="AQ14" s="2051"/>
      <c r="AR14" s="2043"/>
      <c r="AS14" s="2045">
        <f t="shared" si="34"/>
        <v>0</v>
      </c>
      <c r="AT14" s="2871">
        <f t="shared" si="19"/>
        <v>0</v>
      </c>
      <c r="AU14" s="2048"/>
      <c r="AV14" s="2051"/>
      <c r="AW14" s="2043"/>
      <c r="AX14" s="2045">
        <f t="shared" si="35"/>
        <v>0</v>
      </c>
      <c r="AY14" s="2871">
        <f t="shared" si="20"/>
        <v>0</v>
      </c>
      <c r="AZ14" s="2048"/>
      <c r="BA14" s="2051"/>
      <c r="BB14" s="2043"/>
      <c r="BC14" s="2045">
        <f t="shared" si="36"/>
        <v>0</v>
      </c>
      <c r="BD14" s="2871" t="e">
        <f t="shared" si="21"/>
        <v>#DIV/0!</v>
      </c>
      <c r="BE14" s="2048"/>
      <c r="BF14" s="2051"/>
      <c r="BG14" s="2043"/>
      <c r="BH14" s="2045">
        <f t="shared" si="37"/>
        <v>0</v>
      </c>
      <c r="BI14" s="2138">
        <f t="shared" si="22"/>
        <v>0</v>
      </c>
      <c r="BJ14" s="2048"/>
      <c r="BK14" s="2051"/>
      <c r="BL14" s="2043"/>
      <c r="BM14" s="2045">
        <f t="shared" si="38"/>
        <v>0</v>
      </c>
      <c r="BN14" s="2138">
        <f t="shared" si="23"/>
        <v>0</v>
      </c>
      <c r="BO14" s="2048"/>
      <c r="BP14" s="2051"/>
      <c r="BQ14" s="2043"/>
      <c r="BR14" s="2045">
        <f t="shared" si="39"/>
        <v>0</v>
      </c>
      <c r="BS14" s="2138">
        <f t="shared" si="24"/>
        <v>0</v>
      </c>
      <c r="BT14" s="2048"/>
      <c r="BU14" s="2043">
        <f t="shared" si="25"/>
        <v>23070.83</v>
      </c>
      <c r="BV14" s="2043">
        <f t="shared" si="26"/>
        <v>0</v>
      </c>
      <c r="BW14" s="2045">
        <f t="shared" si="40"/>
        <v>23070.83</v>
      </c>
      <c r="BX14" s="2871">
        <f t="shared" si="12"/>
        <v>3.1049529057413641E-3</v>
      </c>
      <c r="BY14" s="1434"/>
    </row>
    <row r="15" spans="1:79" s="1396" customFormat="1" ht="16.2" customHeight="1">
      <c r="A15" s="1572"/>
      <c r="B15" s="2873" t="s">
        <v>20</v>
      </c>
      <c r="C15" s="1485"/>
      <c r="D15" s="2874"/>
      <c r="E15" s="2012">
        <f t="shared" si="13"/>
        <v>0</v>
      </c>
      <c r="F15" s="1976">
        <f t="shared" si="8"/>
        <v>0</v>
      </c>
      <c r="G15" s="2043">
        <v>0</v>
      </c>
      <c r="H15" s="2043">
        <v>0</v>
      </c>
      <c r="I15" s="2045">
        <f t="shared" si="27"/>
        <v>0</v>
      </c>
      <c r="J15" s="2871">
        <v>0</v>
      </c>
      <c r="K15" s="1976"/>
      <c r="L15" s="2051">
        <v>0</v>
      </c>
      <c r="M15" s="2043">
        <v>3500</v>
      </c>
      <c r="N15" s="2045">
        <f t="shared" si="28"/>
        <v>3500</v>
      </c>
      <c r="O15" s="2871">
        <f t="shared" si="14"/>
        <v>9.4277776920496676E-4</v>
      </c>
      <c r="P15" s="2048"/>
      <c r="Q15" s="2611"/>
      <c r="R15" s="2000"/>
      <c r="S15" s="1993"/>
      <c r="T15" s="1997">
        <f t="shared" si="29"/>
        <v>0</v>
      </c>
      <c r="U15" s="2872">
        <f t="shared" si="15"/>
        <v>0</v>
      </c>
      <c r="V15" s="1994"/>
      <c r="W15" s="2051"/>
      <c r="X15" s="2043"/>
      <c r="Y15" s="2045">
        <f t="shared" si="30"/>
        <v>0</v>
      </c>
      <c r="Z15" s="2871">
        <f t="shared" si="11"/>
        <v>0</v>
      </c>
      <c r="AA15" s="2048"/>
      <c r="AB15" s="2051"/>
      <c r="AC15" s="2043"/>
      <c r="AD15" s="2045">
        <f t="shared" si="31"/>
        <v>0</v>
      </c>
      <c r="AE15" s="2871">
        <f t="shared" si="16"/>
        <v>0</v>
      </c>
      <c r="AF15" s="2048"/>
      <c r="AG15" s="2051"/>
      <c r="AH15" s="2043"/>
      <c r="AI15" s="2045">
        <f t="shared" si="32"/>
        <v>0</v>
      </c>
      <c r="AJ15" s="2871">
        <f t="shared" si="17"/>
        <v>0</v>
      </c>
      <c r="AK15" s="2048"/>
      <c r="AL15" s="2051"/>
      <c r="AM15" s="2043"/>
      <c r="AN15" s="2045">
        <f t="shared" si="33"/>
        <v>0</v>
      </c>
      <c r="AO15" s="2871">
        <f t="shared" si="18"/>
        <v>0</v>
      </c>
      <c r="AP15" s="2048"/>
      <c r="AQ15" s="2051"/>
      <c r="AR15" s="2043"/>
      <c r="AS15" s="2045">
        <f t="shared" si="34"/>
        <v>0</v>
      </c>
      <c r="AT15" s="2871">
        <f t="shared" si="19"/>
        <v>0</v>
      </c>
      <c r="AU15" s="1615"/>
      <c r="AV15" s="2051"/>
      <c r="AW15" s="2043"/>
      <c r="AX15" s="2045">
        <f t="shared" si="35"/>
        <v>0</v>
      </c>
      <c r="AY15" s="2871">
        <f t="shared" si="20"/>
        <v>0</v>
      </c>
      <c r="AZ15" s="1615"/>
      <c r="BA15" s="2051"/>
      <c r="BB15" s="2043"/>
      <c r="BC15" s="2045">
        <f t="shared" si="36"/>
        <v>0</v>
      </c>
      <c r="BD15" s="2871" t="e">
        <f t="shared" si="21"/>
        <v>#DIV/0!</v>
      </c>
      <c r="BE15" s="1615"/>
      <c r="BF15" s="2051"/>
      <c r="BG15" s="2043"/>
      <c r="BH15" s="2045">
        <f t="shared" si="37"/>
        <v>0</v>
      </c>
      <c r="BI15" s="2138">
        <f t="shared" si="22"/>
        <v>0</v>
      </c>
      <c r="BJ15" s="1615"/>
      <c r="BK15" s="2051"/>
      <c r="BL15" s="2043"/>
      <c r="BM15" s="2045">
        <f t="shared" si="38"/>
        <v>0</v>
      </c>
      <c r="BN15" s="2138">
        <f t="shared" si="23"/>
        <v>0</v>
      </c>
      <c r="BO15" s="1615"/>
      <c r="BP15" s="2051"/>
      <c r="BQ15" s="2043"/>
      <c r="BR15" s="2045">
        <f t="shared" si="39"/>
        <v>0</v>
      </c>
      <c r="BS15" s="2138">
        <f t="shared" si="24"/>
        <v>0</v>
      </c>
      <c r="BT15" s="1615"/>
      <c r="BU15" s="2043">
        <f t="shared" si="25"/>
        <v>0</v>
      </c>
      <c r="BV15" s="2043">
        <f t="shared" si="26"/>
        <v>3500</v>
      </c>
      <c r="BW15" s="2045">
        <f t="shared" si="40"/>
        <v>3500</v>
      </c>
      <c r="BX15" s="2871">
        <f t="shared" si="12"/>
        <v>4.7104222822043134E-4</v>
      </c>
      <c r="BY15" s="1434"/>
    </row>
    <row r="16" spans="1:79" s="1396" customFormat="1" ht="96" customHeight="1">
      <c r="A16" s="1583"/>
      <c r="B16" s="2873" t="s">
        <v>21</v>
      </c>
      <c r="C16" s="1485"/>
      <c r="D16" s="2874">
        <v>634937.2869565218</v>
      </c>
      <c r="E16" s="2012">
        <f t="shared" si="13"/>
        <v>634937.2869565218</v>
      </c>
      <c r="F16" s="1976">
        <f t="shared" si="8"/>
        <v>0.12378774648051631</v>
      </c>
      <c r="G16" s="2043">
        <v>0</v>
      </c>
      <c r="H16" s="2043">
        <v>448853.66</v>
      </c>
      <c r="I16" s="2045">
        <f t="shared" si="27"/>
        <v>448853.66</v>
      </c>
      <c r="J16" s="2871">
        <v>0.13897067295839197</v>
      </c>
      <c r="K16" s="1976"/>
      <c r="L16" s="2051">
        <v>0</v>
      </c>
      <c r="M16" s="2043">
        <f>428199.46+5942</f>
        <v>434141.46</v>
      </c>
      <c r="N16" s="2045">
        <f t="shared" si="28"/>
        <v>434141.46</v>
      </c>
      <c r="O16" s="2871">
        <f t="shared" si="14"/>
        <v>0.11694254776519637</v>
      </c>
      <c r="P16" s="2047"/>
      <c r="Q16" s="2611"/>
      <c r="R16" s="2000"/>
      <c r="S16" s="1993"/>
      <c r="T16" s="1997">
        <f t="shared" si="29"/>
        <v>0</v>
      </c>
      <c r="U16" s="2872">
        <f t="shared" si="15"/>
        <v>0</v>
      </c>
      <c r="V16" s="1994"/>
      <c r="W16" s="2051"/>
      <c r="X16" s="2043">
        <v>40075</v>
      </c>
      <c r="Y16" s="2045">
        <f t="shared" si="30"/>
        <v>40075</v>
      </c>
      <c r="Z16" s="2871">
        <f t="shared" si="11"/>
        <v>0.29456704781820897</v>
      </c>
      <c r="AA16" s="2047" t="s">
        <v>1348</v>
      </c>
      <c r="AB16" s="2051"/>
      <c r="AC16" s="2043">
        <f>6400+13080</f>
        <v>19480</v>
      </c>
      <c r="AD16" s="2045">
        <f t="shared" si="31"/>
        <v>19480</v>
      </c>
      <c r="AE16" s="2871">
        <f t="shared" si="16"/>
        <v>0.21989947714296981</v>
      </c>
      <c r="AF16" s="2047" t="s">
        <v>1323</v>
      </c>
      <c r="AG16" s="2051"/>
      <c r="AH16" s="2043"/>
      <c r="AI16" s="2045">
        <f t="shared" si="32"/>
        <v>0</v>
      </c>
      <c r="AJ16" s="2871">
        <f t="shared" si="17"/>
        <v>0</v>
      </c>
      <c r="AK16" s="2047"/>
      <c r="AL16" s="2051"/>
      <c r="AM16" s="2043">
        <v>55080</v>
      </c>
      <c r="AN16" s="2045">
        <f t="shared" si="33"/>
        <v>55080</v>
      </c>
      <c r="AO16" s="2871">
        <f t="shared" si="18"/>
        <v>0.52540426838119425</v>
      </c>
      <c r="AP16" s="2047" t="s">
        <v>1410</v>
      </c>
      <c r="AQ16" s="2051"/>
      <c r="AR16" s="2043"/>
      <c r="AS16" s="2045">
        <f t="shared" si="34"/>
        <v>0</v>
      </c>
      <c r="AT16" s="2871">
        <f t="shared" si="19"/>
        <v>0</v>
      </c>
      <c r="AU16" s="2046"/>
      <c r="AV16" s="2051"/>
      <c r="AW16" s="2043">
        <f>4394.7+18000</f>
        <v>22394.7</v>
      </c>
      <c r="AX16" s="2045">
        <f t="shared" si="35"/>
        <v>22394.7</v>
      </c>
      <c r="AY16" s="2871">
        <f t="shared" si="20"/>
        <v>0.81808537410372351</v>
      </c>
      <c r="AZ16" s="2046" t="s">
        <v>1636</v>
      </c>
      <c r="BA16" s="2051"/>
      <c r="BB16" s="2043"/>
      <c r="BC16" s="2045">
        <f t="shared" si="36"/>
        <v>0</v>
      </c>
      <c r="BD16" s="2871" t="e">
        <f t="shared" si="21"/>
        <v>#DIV/0!</v>
      </c>
      <c r="BE16" s="2046"/>
      <c r="BF16" s="2051"/>
      <c r="BG16" s="2043"/>
      <c r="BH16" s="2045">
        <f t="shared" si="37"/>
        <v>0</v>
      </c>
      <c r="BI16" s="2138">
        <f t="shared" si="22"/>
        <v>0</v>
      </c>
      <c r="BJ16" s="2046"/>
      <c r="BK16" s="2051"/>
      <c r="BL16" s="2043">
        <f>4830+5560</f>
        <v>10390</v>
      </c>
      <c r="BM16" s="2045">
        <f t="shared" si="38"/>
        <v>10390</v>
      </c>
      <c r="BN16" s="2138">
        <f t="shared" si="23"/>
        <v>0.88420929298391926</v>
      </c>
      <c r="BO16" s="2046" t="s">
        <v>1793</v>
      </c>
      <c r="BP16" s="2051"/>
      <c r="BQ16" s="2043"/>
      <c r="BR16" s="2045">
        <f t="shared" si="39"/>
        <v>0</v>
      </c>
      <c r="BS16" s="2138">
        <f t="shared" si="24"/>
        <v>0</v>
      </c>
      <c r="BT16" s="2046"/>
      <c r="BU16" s="2043">
        <f t="shared" si="25"/>
        <v>0</v>
      </c>
      <c r="BV16" s="2043">
        <f t="shared" si="26"/>
        <v>1030414.82</v>
      </c>
      <c r="BW16" s="2045">
        <f t="shared" si="40"/>
        <v>1030414.82</v>
      </c>
      <c r="BX16" s="2871">
        <f t="shared" si="12"/>
        <v>0.13867682651547275</v>
      </c>
      <c r="BY16" s="1434"/>
      <c r="BZ16" s="2875">
        <v>1002024.84</v>
      </c>
      <c r="CA16" s="933">
        <f>BZ16-BW16</f>
        <v>-28389.979999999981</v>
      </c>
    </row>
    <row r="17" spans="1:79" s="1396" customFormat="1" ht="34.950000000000003" customHeight="1">
      <c r="A17" s="1572"/>
      <c r="B17" s="2873" t="s">
        <v>22</v>
      </c>
      <c r="C17" s="1485"/>
      <c r="D17" s="2874"/>
      <c r="E17" s="2012">
        <f t="shared" si="13"/>
        <v>0</v>
      </c>
      <c r="F17" s="1976">
        <f t="shared" si="8"/>
        <v>0</v>
      </c>
      <c r="G17" s="2043">
        <v>0</v>
      </c>
      <c r="H17" s="2043">
        <v>0</v>
      </c>
      <c r="I17" s="2045">
        <f t="shared" si="27"/>
        <v>0</v>
      </c>
      <c r="J17" s="2871">
        <v>0</v>
      </c>
      <c r="K17" s="1976"/>
      <c r="L17" s="2051">
        <v>0</v>
      </c>
      <c r="M17" s="2043">
        <v>0</v>
      </c>
      <c r="N17" s="2045">
        <f t="shared" si="28"/>
        <v>0</v>
      </c>
      <c r="O17" s="2871">
        <f t="shared" si="14"/>
        <v>0</v>
      </c>
      <c r="P17" s="2048"/>
      <c r="Q17" s="2611"/>
      <c r="R17" s="2051"/>
      <c r="S17" s="2043"/>
      <c r="T17" s="2045">
        <f t="shared" si="29"/>
        <v>0</v>
      </c>
      <c r="U17" s="2871">
        <f t="shared" si="15"/>
        <v>0</v>
      </c>
      <c r="V17" s="2046"/>
      <c r="W17" s="2051"/>
      <c r="X17" s="2043"/>
      <c r="Y17" s="2045">
        <f t="shared" si="30"/>
        <v>0</v>
      </c>
      <c r="Z17" s="2871">
        <f t="shared" si="11"/>
        <v>0</v>
      </c>
      <c r="AA17" s="2048"/>
      <c r="AB17" s="2051"/>
      <c r="AC17" s="2043"/>
      <c r="AD17" s="2045">
        <f t="shared" si="31"/>
        <v>0</v>
      </c>
      <c r="AE17" s="2871">
        <f t="shared" si="16"/>
        <v>0</v>
      </c>
      <c r="AF17" s="2048"/>
      <c r="AG17" s="2051"/>
      <c r="AH17" s="2043"/>
      <c r="AI17" s="2045">
        <f t="shared" si="32"/>
        <v>0</v>
      </c>
      <c r="AJ17" s="2871">
        <f t="shared" si="17"/>
        <v>0</v>
      </c>
      <c r="AK17" s="2048"/>
      <c r="AL17" s="2051"/>
      <c r="AM17" s="2043"/>
      <c r="AN17" s="2045">
        <f t="shared" si="33"/>
        <v>0</v>
      </c>
      <c r="AO17" s="2871">
        <f t="shared" si="18"/>
        <v>0</v>
      </c>
      <c r="AP17" s="2048"/>
      <c r="AQ17" s="2051"/>
      <c r="AR17" s="2043"/>
      <c r="AS17" s="2045">
        <f t="shared" si="34"/>
        <v>0</v>
      </c>
      <c r="AT17" s="2871">
        <f t="shared" si="19"/>
        <v>0</v>
      </c>
      <c r="AU17" s="2048"/>
      <c r="AV17" s="2051"/>
      <c r="AW17" s="2043"/>
      <c r="AX17" s="2045">
        <f t="shared" si="35"/>
        <v>0</v>
      </c>
      <c r="AY17" s="2871">
        <f t="shared" si="20"/>
        <v>0</v>
      </c>
      <c r="AZ17" s="2048"/>
      <c r="BA17" s="2051"/>
      <c r="BB17" s="2043"/>
      <c r="BC17" s="2045">
        <f t="shared" si="36"/>
        <v>0</v>
      </c>
      <c r="BD17" s="2871" t="e">
        <f t="shared" si="21"/>
        <v>#DIV/0!</v>
      </c>
      <c r="BE17" s="2048"/>
      <c r="BF17" s="2051"/>
      <c r="BG17" s="2043"/>
      <c r="BH17" s="2045">
        <f t="shared" si="37"/>
        <v>0</v>
      </c>
      <c r="BI17" s="2138">
        <f t="shared" si="22"/>
        <v>0</v>
      </c>
      <c r="BJ17" s="2048"/>
      <c r="BK17" s="2051"/>
      <c r="BL17" s="2043"/>
      <c r="BM17" s="2045">
        <f t="shared" si="38"/>
        <v>0</v>
      </c>
      <c r="BN17" s="2138">
        <f t="shared" si="23"/>
        <v>0</v>
      </c>
      <c r="BO17" s="2048"/>
      <c r="BP17" s="2051"/>
      <c r="BQ17" s="2043"/>
      <c r="BR17" s="2045">
        <f t="shared" si="39"/>
        <v>0</v>
      </c>
      <c r="BS17" s="2138">
        <f t="shared" si="24"/>
        <v>0</v>
      </c>
      <c r="BT17" s="2048"/>
      <c r="BU17" s="2043">
        <f t="shared" si="25"/>
        <v>0</v>
      </c>
      <c r="BV17" s="2043">
        <f t="shared" si="26"/>
        <v>0</v>
      </c>
      <c r="BW17" s="2045">
        <f t="shared" si="40"/>
        <v>0</v>
      </c>
      <c r="BX17" s="2871">
        <f t="shared" si="12"/>
        <v>0</v>
      </c>
      <c r="BY17" s="1434"/>
    </row>
    <row r="18" spans="1:79" s="1396" customFormat="1" ht="28.95" customHeight="1">
      <c r="A18" s="1572"/>
      <c r="B18" s="2873" t="s">
        <v>0</v>
      </c>
      <c r="C18" s="1485"/>
      <c r="D18" s="2874">
        <v>173697.39130434784</v>
      </c>
      <c r="E18" s="2012">
        <f t="shared" si="13"/>
        <v>173697.39130434784</v>
      </c>
      <c r="F18" s="1976">
        <f t="shared" si="8"/>
        <v>3.3864145453127249E-2</v>
      </c>
      <c r="G18" s="2043">
        <v>262848.96999999997</v>
      </c>
      <c r="H18" s="2043">
        <v>5000</v>
      </c>
      <c r="I18" s="2045">
        <f t="shared" si="27"/>
        <v>267848.96999999997</v>
      </c>
      <c r="J18" s="2871">
        <v>8.2929370815673295E-2</v>
      </c>
      <c r="K18" s="1976"/>
      <c r="L18" s="2051">
        <v>61543.607999999993</v>
      </c>
      <c r="M18" s="2043">
        <v>0</v>
      </c>
      <c r="N18" s="2045">
        <f t="shared" si="28"/>
        <v>61543.607999999993</v>
      </c>
      <c r="O18" s="2871">
        <f t="shared" si="14"/>
        <v>1.6577698702589981E-2</v>
      </c>
      <c r="P18" s="2055"/>
      <c r="Q18" s="2611"/>
      <c r="R18" s="2051"/>
      <c r="S18" s="2043"/>
      <c r="T18" s="2045">
        <f t="shared" si="29"/>
        <v>0</v>
      </c>
      <c r="U18" s="2871">
        <f t="shared" si="15"/>
        <v>0</v>
      </c>
      <c r="V18" s="2046"/>
      <c r="W18" s="2051"/>
      <c r="X18" s="2043"/>
      <c r="Y18" s="2045">
        <f t="shared" si="30"/>
        <v>0</v>
      </c>
      <c r="Z18" s="2871">
        <f t="shared" si="11"/>
        <v>0</v>
      </c>
      <c r="AA18" s="2046"/>
      <c r="AB18" s="2051">
        <v>6930.36</v>
      </c>
      <c r="AC18" s="2043"/>
      <c r="AD18" s="2045">
        <f t="shared" si="31"/>
        <v>6930.36</v>
      </c>
      <c r="AE18" s="2871" t="e">
        <f>AD18/#REF!</f>
        <v>#REF!</v>
      </c>
      <c r="AF18" s="2055" t="s">
        <v>1324</v>
      </c>
      <c r="AG18" s="2051"/>
      <c r="AH18" s="2043"/>
      <c r="AI18" s="2045">
        <f t="shared" si="32"/>
        <v>0</v>
      </c>
      <c r="AJ18" s="2871">
        <f t="shared" si="17"/>
        <v>0</v>
      </c>
      <c r="AK18" s="2055"/>
      <c r="AL18" s="2051"/>
      <c r="AM18" s="2043"/>
      <c r="AN18" s="2045">
        <f t="shared" si="33"/>
        <v>0</v>
      </c>
      <c r="AO18" s="2871">
        <f t="shared" si="18"/>
        <v>0</v>
      </c>
      <c r="AP18" s="2055"/>
      <c r="AQ18" s="2051"/>
      <c r="AR18" s="2043"/>
      <c r="AS18" s="2045">
        <f t="shared" si="34"/>
        <v>0</v>
      </c>
      <c r="AT18" s="2871">
        <f t="shared" si="19"/>
        <v>0</v>
      </c>
      <c r="AU18" s="2055"/>
      <c r="AV18" s="2051"/>
      <c r="AW18" s="2043"/>
      <c r="AX18" s="2045">
        <f t="shared" si="35"/>
        <v>0</v>
      </c>
      <c r="AY18" s="2871">
        <f t="shared" si="20"/>
        <v>0</v>
      </c>
      <c r="AZ18" s="2055"/>
      <c r="BA18" s="2051"/>
      <c r="BB18" s="2043"/>
      <c r="BC18" s="2045">
        <f t="shared" si="36"/>
        <v>0</v>
      </c>
      <c r="BD18" s="2871" t="e">
        <f t="shared" si="21"/>
        <v>#DIV/0!</v>
      </c>
      <c r="BE18" s="2055"/>
      <c r="BF18" s="1618"/>
      <c r="BG18" s="2043"/>
      <c r="BH18" s="2045">
        <f t="shared" si="37"/>
        <v>0</v>
      </c>
      <c r="BI18" s="2138">
        <f t="shared" si="22"/>
        <v>0</v>
      </c>
      <c r="BJ18" s="2055"/>
      <c r="BK18" s="1618"/>
      <c r="BL18" s="2043"/>
      <c r="BM18" s="2045">
        <f t="shared" si="38"/>
        <v>0</v>
      </c>
      <c r="BN18" s="2138">
        <f t="shared" si="23"/>
        <v>0</v>
      </c>
      <c r="BO18" s="2055"/>
      <c r="BP18" s="1618"/>
      <c r="BQ18" s="2043"/>
      <c r="BR18" s="2045">
        <f t="shared" si="39"/>
        <v>0</v>
      </c>
      <c r="BS18" s="2138">
        <f t="shared" si="24"/>
        <v>0</v>
      </c>
      <c r="BT18" s="2055"/>
      <c r="BU18" s="2043">
        <f t="shared" si="25"/>
        <v>331322.93799999997</v>
      </c>
      <c r="BV18" s="2043">
        <f t="shared" si="26"/>
        <v>5000</v>
      </c>
      <c r="BW18" s="2045">
        <f t="shared" si="40"/>
        <v>336322.93799999997</v>
      </c>
      <c r="BX18" s="2871">
        <f t="shared" si="12"/>
        <v>4.5263516033474845E-2</v>
      </c>
      <c r="BY18" s="1434"/>
      <c r="BZ18" s="2876">
        <v>-294769.56</v>
      </c>
      <c r="CA18" s="920">
        <f>BZ18+BW18</f>
        <v>41553.377999999968</v>
      </c>
    </row>
    <row r="19" spans="1:79" s="1396" customFormat="1" ht="16.2" customHeight="1">
      <c r="A19" s="1572"/>
      <c r="B19" s="2873" t="s">
        <v>53</v>
      </c>
      <c r="C19" s="2877"/>
      <c r="D19" s="2874"/>
      <c r="E19" s="2012">
        <f t="shared" si="13"/>
        <v>0</v>
      </c>
      <c r="F19" s="1976">
        <f t="shared" si="8"/>
        <v>0</v>
      </c>
      <c r="G19" s="2043">
        <v>0</v>
      </c>
      <c r="H19" s="2043">
        <v>0</v>
      </c>
      <c r="I19" s="2045">
        <f t="shared" si="27"/>
        <v>0</v>
      </c>
      <c r="J19" s="2871">
        <v>0</v>
      </c>
      <c r="K19" s="1976"/>
      <c r="L19" s="2051">
        <v>0</v>
      </c>
      <c r="M19" s="2043">
        <v>0</v>
      </c>
      <c r="N19" s="2045">
        <f t="shared" si="28"/>
        <v>0</v>
      </c>
      <c r="O19" s="2871">
        <f t="shared" si="14"/>
        <v>0</v>
      </c>
      <c r="P19" s="2048"/>
      <c r="Q19" s="2611"/>
      <c r="R19" s="2051"/>
      <c r="S19" s="2043"/>
      <c r="T19" s="2045">
        <f t="shared" si="29"/>
        <v>0</v>
      </c>
      <c r="U19" s="2871">
        <f t="shared" si="15"/>
        <v>0</v>
      </c>
      <c r="V19" s="2046"/>
      <c r="W19" s="2051"/>
      <c r="X19" s="2043"/>
      <c r="Y19" s="2045">
        <f t="shared" si="30"/>
        <v>0</v>
      </c>
      <c r="Z19" s="2871">
        <f t="shared" si="11"/>
        <v>0</v>
      </c>
      <c r="AA19" s="2048"/>
      <c r="AB19" s="2051"/>
      <c r="AC19" s="2043"/>
      <c r="AD19" s="2045">
        <f t="shared" si="31"/>
        <v>0</v>
      </c>
      <c r="AE19" s="2871">
        <f t="shared" si="16"/>
        <v>0</v>
      </c>
      <c r="AF19" s="2048"/>
      <c r="AG19" s="2051"/>
      <c r="AH19" s="2043"/>
      <c r="AI19" s="2045">
        <f t="shared" si="32"/>
        <v>0</v>
      </c>
      <c r="AJ19" s="2871">
        <f t="shared" si="17"/>
        <v>0</v>
      </c>
      <c r="AK19" s="2048"/>
      <c r="AL19" s="2051"/>
      <c r="AM19" s="2043"/>
      <c r="AN19" s="2045">
        <f t="shared" si="33"/>
        <v>0</v>
      </c>
      <c r="AO19" s="2871">
        <f t="shared" si="18"/>
        <v>0</v>
      </c>
      <c r="AP19" s="2048"/>
      <c r="AQ19" s="2051"/>
      <c r="AR19" s="2043">
        <v>500</v>
      </c>
      <c r="AS19" s="2045">
        <f t="shared" si="34"/>
        <v>500</v>
      </c>
      <c r="AT19" s="2871">
        <f t="shared" si="19"/>
        <v>0.8761268888996403</v>
      </c>
      <c r="AU19" s="2048" t="s">
        <v>1418</v>
      </c>
      <c r="AV19" s="2051"/>
      <c r="AW19" s="2043"/>
      <c r="AX19" s="2045">
        <f t="shared" si="35"/>
        <v>0</v>
      </c>
      <c r="AY19" s="2871">
        <f t="shared" si="20"/>
        <v>0</v>
      </c>
      <c r="AZ19" s="2048"/>
      <c r="BA19" s="2051"/>
      <c r="BB19" s="2043"/>
      <c r="BC19" s="2045">
        <f t="shared" si="36"/>
        <v>0</v>
      </c>
      <c r="BD19" s="2871" t="e">
        <f t="shared" si="21"/>
        <v>#DIV/0!</v>
      </c>
      <c r="BE19" s="2048"/>
      <c r="BF19" s="2051"/>
      <c r="BG19" s="2043"/>
      <c r="BH19" s="2045">
        <f t="shared" si="37"/>
        <v>0</v>
      </c>
      <c r="BI19" s="2138">
        <f t="shared" si="22"/>
        <v>0</v>
      </c>
      <c r="BJ19" s="2048"/>
      <c r="BK19" s="2051"/>
      <c r="BL19" s="2043"/>
      <c r="BM19" s="2045">
        <f t="shared" si="38"/>
        <v>0</v>
      </c>
      <c r="BN19" s="2138">
        <f t="shared" si="23"/>
        <v>0</v>
      </c>
      <c r="BO19" s="2048"/>
      <c r="BP19" s="2051"/>
      <c r="BQ19" s="2043"/>
      <c r="BR19" s="2045">
        <f t="shared" si="39"/>
        <v>0</v>
      </c>
      <c r="BS19" s="2138">
        <f t="shared" si="24"/>
        <v>0</v>
      </c>
      <c r="BT19" s="2048"/>
      <c r="BU19" s="2043">
        <f t="shared" si="25"/>
        <v>0</v>
      </c>
      <c r="BV19" s="2043">
        <f t="shared" si="26"/>
        <v>500</v>
      </c>
      <c r="BW19" s="2045">
        <f t="shared" si="40"/>
        <v>500</v>
      </c>
      <c r="BX19" s="2871">
        <f t="shared" si="12"/>
        <v>6.7291746888633043E-5</v>
      </c>
      <c r="BY19" s="1434"/>
    </row>
    <row r="20" spans="1:79" s="1396" customFormat="1" ht="52.2" customHeight="1">
      <c r="A20" s="1572"/>
      <c r="B20" s="2873" t="s">
        <v>57</v>
      </c>
      <c r="C20" s="2877"/>
      <c r="D20" s="2874"/>
      <c r="E20" s="2012">
        <f t="shared" si="13"/>
        <v>0</v>
      </c>
      <c r="F20" s="1976">
        <f t="shared" si="8"/>
        <v>0</v>
      </c>
      <c r="G20" s="2043">
        <v>0</v>
      </c>
      <c r="H20" s="2043">
        <v>0</v>
      </c>
      <c r="I20" s="2045">
        <f t="shared" si="27"/>
        <v>0</v>
      </c>
      <c r="J20" s="2871">
        <v>0</v>
      </c>
      <c r="K20" s="1976"/>
      <c r="L20" s="2051">
        <v>45900.504000000001</v>
      </c>
      <c r="M20" s="2043">
        <v>0</v>
      </c>
      <c r="N20" s="2045">
        <f t="shared" si="28"/>
        <v>45900.504000000001</v>
      </c>
      <c r="O20" s="2871">
        <f t="shared" si="14"/>
        <v>1.2363992790429615E-2</v>
      </c>
      <c r="P20" s="2048"/>
      <c r="Q20" s="2611"/>
      <c r="R20" s="2051"/>
      <c r="S20" s="2043"/>
      <c r="T20" s="2045">
        <f t="shared" si="29"/>
        <v>0</v>
      </c>
      <c r="U20" s="2871">
        <f t="shared" si="15"/>
        <v>0</v>
      </c>
      <c r="V20" s="2046"/>
      <c r="W20" s="2051"/>
      <c r="X20" s="2043"/>
      <c r="Y20" s="2045">
        <f t="shared" si="30"/>
        <v>0</v>
      </c>
      <c r="Z20" s="2871">
        <f t="shared" si="11"/>
        <v>0</v>
      </c>
      <c r="AA20" s="2048"/>
      <c r="AB20" s="2051"/>
      <c r="AC20" s="2043"/>
      <c r="AD20" s="2045">
        <f t="shared" si="31"/>
        <v>0</v>
      </c>
      <c r="AE20" s="2871">
        <f t="shared" si="16"/>
        <v>0</v>
      </c>
      <c r="AF20" s="2048"/>
      <c r="AG20" s="2051"/>
      <c r="AH20" s="2043"/>
      <c r="AI20" s="2045">
        <f t="shared" si="32"/>
        <v>0</v>
      </c>
      <c r="AJ20" s="2871">
        <f t="shared" si="17"/>
        <v>0</v>
      </c>
      <c r="AK20" s="2048"/>
      <c r="AL20" s="2051"/>
      <c r="AM20" s="2043"/>
      <c r="AN20" s="2045">
        <f t="shared" si="33"/>
        <v>0</v>
      </c>
      <c r="AO20" s="2871">
        <f t="shared" si="18"/>
        <v>0</v>
      </c>
      <c r="AP20" s="2048"/>
      <c r="AQ20" s="2051"/>
      <c r="AR20" s="2043"/>
      <c r="AS20" s="2045">
        <f t="shared" si="34"/>
        <v>0</v>
      </c>
      <c r="AT20" s="2871">
        <f t="shared" si="19"/>
        <v>0</v>
      </c>
      <c r="AU20" s="2048"/>
      <c r="AV20" s="2051"/>
      <c r="AW20" s="2043"/>
      <c r="AX20" s="2045">
        <f t="shared" si="35"/>
        <v>0</v>
      </c>
      <c r="AY20" s="2871">
        <f t="shared" si="20"/>
        <v>0</v>
      </c>
      <c r="AZ20" s="2048"/>
      <c r="BA20" s="2051"/>
      <c r="BB20" s="2043"/>
      <c r="BC20" s="2045">
        <f t="shared" si="36"/>
        <v>0</v>
      </c>
      <c r="BD20" s="2871" t="e">
        <f t="shared" si="21"/>
        <v>#DIV/0!</v>
      </c>
      <c r="BE20" s="2048"/>
      <c r="BF20" s="2051"/>
      <c r="BG20" s="2043"/>
      <c r="BH20" s="2045">
        <f t="shared" si="37"/>
        <v>0</v>
      </c>
      <c r="BI20" s="2138">
        <f t="shared" si="22"/>
        <v>0</v>
      </c>
      <c r="BJ20" s="2048"/>
      <c r="BK20" s="2051"/>
      <c r="BL20" s="2043"/>
      <c r="BM20" s="2045">
        <f t="shared" si="38"/>
        <v>0</v>
      </c>
      <c r="BN20" s="2138">
        <f t="shared" si="23"/>
        <v>0</v>
      </c>
      <c r="BO20" s="2048"/>
      <c r="BP20" s="2051"/>
      <c r="BQ20" s="2043"/>
      <c r="BR20" s="2045">
        <f t="shared" si="39"/>
        <v>0</v>
      </c>
      <c r="BS20" s="2138">
        <f t="shared" si="24"/>
        <v>0</v>
      </c>
      <c r="BT20" s="2048"/>
      <c r="BU20" s="2043">
        <f t="shared" si="25"/>
        <v>45900.504000000001</v>
      </c>
      <c r="BV20" s="2043">
        <f t="shared" si="26"/>
        <v>0</v>
      </c>
      <c r="BW20" s="2045">
        <f t="shared" si="40"/>
        <v>45900.504000000001</v>
      </c>
      <c r="BX20" s="2871">
        <f t="shared" si="12"/>
        <v>6.1774501944573774E-3</v>
      </c>
      <c r="BY20" s="1434"/>
    </row>
    <row r="21" spans="1:79" s="1396" customFormat="1" ht="51.6" customHeight="1">
      <c r="A21" s="1572"/>
      <c r="B21" s="2873" t="s">
        <v>58</v>
      </c>
      <c r="C21" s="2877">
        <v>645640.25999999989</v>
      </c>
      <c r="D21" s="2874"/>
      <c r="E21" s="2012">
        <f t="shared" si="13"/>
        <v>645640.25999999989</v>
      </c>
      <c r="F21" s="1976">
        <f t="shared" si="8"/>
        <v>0.12587440439289782</v>
      </c>
      <c r="G21" s="2043">
        <v>362526.95999999996</v>
      </c>
      <c r="H21" s="2043">
        <v>0</v>
      </c>
      <c r="I21" s="2045">
        <f t="shared" si="27"/>
        <v>362526.95999999996</v>
      </c>
      <c r="J21" s="2871">
        <v>0.11224285348761565</v>
      </c>
      <c r="K21" s="1976"/>
      <c r="L21" s="2051">
        <v>472452.51999999996</v>
      </c>
      <c r="M21" s="2043">
        <v>0</v>
      </c>
      <c r="N21" s="2045">
        <f t="shared" si="28"/>
        <v>472452.51999999996</v>
      </c>
      <c r="O21" s="2871">
        <f t="shared" si="14"/>
        <v>0.12726220938881855</v>
      </c>
      <c r="P21" s="2048"/>
      <c r="Q21" s="2611"/>
      <c r="R21" s="2051"/>
      <c r="S21" s="2043"/>
      <c r="T21" s="2045">
        <f t="shared" si="29"/>
        <v>0</v>
      </c>
      <c r="U21" s="2871">
        <f t="shared" si="15"/>
        <v>0</v>
      </c>
      <c r="V21" s="2046"/>
      <c r="W21" s="2051"/>
      <c r="X21" s="2043"/>
      <c r="Y21" s="2045">
        <f t="shared" si="30"/>
        <v>0</v>
      </c>
      <c r="Z21" s="2871">
        <f t="shared" si="11"/>
        <v>0</v>
      </c>
      <c r="AA21" s="2048"/>
      <c r="AB21" s="2051"/>
      <c r="AC21" s="2043"/>
      <c r="AD21" s="2045">
        <f t="shared" si="31"/>
        <v>0</v>
      </c>
      <c r="AE21" s="2871">
        <f t="shared" si="16"/>
        <v>0</v>
      </c>
      <c r="AF21" s="2048"/>
      <c r="AG21" s="2051"/>
      <c r="AH21" s="2043"/>
      <c r="AI21" s="2045">
        <f t="shared" si="32"/>
        <v>0</v>
      </c>
      <c r="AJ21" s="2871">
        <f t="shared" si="17"/>
        <v>0</v>
      </c>
      <c r="AK21" s="2048"/>
      <c r="AL21" s="2051"/>
      <c r="AM21" s="2043"/>
      <c r="AN21" s="2045">
        <f t="shared" si="33"/>
        <v>0</v>
      </c>
      <c r="AO21" s="2871">
        <f t="shared" si="18"/>
        <v>0</v>
      </c>
      <c r="AP21" s="2048"/>
      <c r="AQ21" s="2051"/>
      <c r="AR21" s="2043"/>
      <c r="AS21" s="2045">
        <f t="shared" si="34"/>
        <v>0</v>
      </c>
      <c r="AT21" s="2871">
        <f t="shared" si="19"/>
        <v>0</v>
      </c>
      <c r="AU21" s="2048"/>
      <c r="AV21" s="2051"/>
      <c r="AW21" s="2043"/>
      <c r="AX21" s="2045">
        <f t="shared" si="35"/>
        <v>0</v>
      </c>
      <c r="AY21" s="2871">
        <f t="shared" si="20"/>
        <v>0</v>
      </c>
      <c r="AZ21" s="2048"/>
      <c r="BA21" s="2051"/>
      <c r="BB21" s="2043"/>
      <c r="BC21" s="2045">
        <f t="shared" si="36"/>
        <v>0</v>
      </c>
      <c r="BD21" s="2871" t="e">
        <f t="shared" si="21"/>
        <v>#DIV/0!</v>
      </c>
      <c r="BE21" s="2048"/>
      <c r="BF21" s="2051"/>
      <c r="BG21" s="2043"/>
      <c r="BH21" s="2045">
        <f t="shared" si="37"/>
        <v>0</v>
      </c>
      <c r="BI21" s="2138">
        <f t="shared" si="22"/>
        <v>0</v>
      </c>
      <c r="BJ21" s="2048"/>
      <c r="BK21" s="2051"/>
      <c r="BL21" s="2043"/>
      <c r="BM21" s="2045">
        <f t="shared" si="38"/>
        <v>0</v>
      </c>
      <c r="BN21" s="2138">
        <f t="shared" si="23"/>
        <v>0</v>
      </c>
      <c r="BO21" s="2048"/>
      <c r="BP21" s="2051"/>
      <c r="BQ21" s="2043"/>
      <c r="BR21" s="2045">
        <f t="shared" si="39"/>
        <v>0</v>
      </c>
      <c r="BS21" s="2138">
        <f t="shared" si="24"/>
        <v>0</v>
      </c>
      <c r="BT21" s="2048"/>
      <c r="BU21" s="2043">
        <f t="shared" si="25"/>
        <v>834979.48</v>
      </c>
      <c r="BV21" s="2043">
        <f t="shared" si="26"/>
        <v>0</v>
      </c>
      <c r="BW21" s="2045">
        <f t="shared" si="40"/>
        <v>834979.48</v>
      </c>
      <c r="BX21" s="2871">
        <f t="shared" si="12"/>
        <v>0.11237445565072487</v>
      </c>
      <c r="BY21" s="1434"/>
      <c r="BZ21" s="2876">
        <v>-834979.12</v>
      </c>
      <c r="CA21" s="920">
        <f>BZ21+BW21</f>
        <v>0.35999999998603016</v>
      </c>
    </row>
    <row r="22" spans="1:79" s="1396" customFormat="1" ht="42.6" customHeight="1">
      <c r="A22" s="1572"/>
      <c r="B22" s="2873" t="s">
        <v>621</v>
      </c>
      <c r="C22" s="2877">
        <v>124795.3</v>
      </c>
      <c r="D22" s="2874"/>
      <c r="E22" s="2012">
        <f t="shared" si="13"/>
        <v>124795.3</v>
      </c>
      <c r="F22" s="1976"/>
      <c r="G22" s="2043">
        <f>33550+48948</f>
        <v>82498</v>
      </c>
      <c r="H22" s="2043">
        <v>0</v>
      </c>
      <c r="I22" s="2045">
        <f t="shared" si="27"/>
        <v>82498</v>
      </c>
      <c r="J22" s="2871">
        <v>1.0387497069209708E-2</v>
      </c>
      <c r="K22" s="1976"/>
      <c r="L22" s="2051">
        <f>55650</f>
        <v>55650</v>
      </c>
      <c r="M22" s="2043">
        <v>600</v>
      </c>
      <c r="N22" s="2045">
        <f t="shared" si="28"/>
        <v>56250</v>
      </c>
      <c r="O22" s="2871">
        <f t="shared" si="14"/>
        <v>1.5151785576508394E-2</v>
      </c>
      <c r="P22" s="2046"/>
      <c r="Q22" s="2611"/>
      <c r="R22" s="2051"/>
      <c r="S22" s="2043"/>
      <c r="T22" s="2045">
        <f t="shared" si="29"/>
        <v>0</v>
      </c>
      <c r="U22" s="2871">
        <f t="shared" si="15"/>
        <v>0</v>
      </c>
      <c r="V22" s="2046"/>
      <c r="W22" s="2051"/>
      <c r="X22" s="2043"/>
      <c r="Y22" s="2045">
        <f t="shared" si="30"/>
        <v>0</v>
      </c>
      <c r="Z22" s="2871">
        <f t="shared" si="11"/>
        <v>0</v>
      </c>
      <c r="AA22" s="2046"/>
      <c r="AB22" s="2051"/>
      <c r="AC22" s="2043"/>
      <c r="AD22" s="2045">
        <f t="shared" si="31"/>
        <v>0</v>
      </c>
      <c r="AE22" s="2871">
        <f t="shared" si="16"/>
        <v>0</v>
      </c>
      <c r="AF22" s="2046"/>
      <c r="AG22" s="2051"/>
      <c r="AH22" s="2043"/>
      <c r="AI22" s="2045">
        <f t="shared" si="32"/>
        <v>0</v>
      </c>
      <c r="AJ22" s="2871">
        <f t="shared" si="17"/>
        <v>0</v>
      </c>
      <c r="AK22" s="2046"/>
      <c r="AL22" s="2051"/>
      <c r="AM22" s="2043"/>
      <c r="AN22" s="2045">
        <f t="shared" si="33"/>
        <v>0</v>
      </c>
      <c r="AO22" s="2871">
        <f t="shared" si="18"/>
        <v>0</v>
      </c>
      <c r="AP22" s="2046"/>
      <c r="AQ22" s="2051"/>
      <c r="AR22" s="2043"/>
      <c r="AS22" s="2045">
        <f t="shared" si="34"/>
        <v>0</v>
      </c>
      <c r="AT22" s="2871">
        <f t="shared" si="19"/>
        <v>0</v>
      </c>
      <c r="AU22" s="2048"/>
      <c r="AV22" s="2051"/>
      <c r="AW22" s="2043"/>
      <c r="AX22" s="2045">
        <f t="shared" si="35"/>
        <v>0</v>
      </c>
      <c r="AY22" s="2871">
        <f t="shared" si="20"/>
        <v>0</v>
      </c>
      <c r="AZ22" s="2048"/>
      <c r="BA22" s="2051"/>
      <c r="BB22" s="2043"/>
      <c r="BC22" s="2045">
        <f t="shared" si="36"/>
        <v>0</v>
      </c>
      <c r="BD22" s="2871" t="e">
        <f t="shared" si="21"/>
        <v>#DIV/0!</v>
      </c>
      <c r="BE22" s="2048"/>
      <c r="BF22" s="2051"/>
      <c r="BG22" s="2043"/>
      <c r="BH22" s="2045">
        <f t="shared" si="37"/>
        <v>0</v>
      </c>
      <c r="BI22" s="2138">
        <f t="shared" si="22"/>
        <v>0</v>
      </c>
      <c r="BJ22" s="2048"/>
      <c r="BK22" s="2051"/>
      <c r="BL22" s="2043"/>
      <c r="BM22" s="2045">
        <f t="shared" si="38"/>
        <v>0</v>
      </c>
      <c r="BN22" s="2138">
        <f t="shared" si="23"/>
        <v>0</v>
      </c>
      <c r="BO22" s="2048"/>
      <c r="BP22" s="2051"/>
      <c r="BQ22" s="2043"/>
      <c r="BR22" s="2045">
        <f t="shared" si="39"/>
        <v>0</v>
      </c>
      <c r="BS22" s="2138">
        <f t="shared" si="24"/>
        <v>0</v>
      </c>
      <c r="BT22" s="2048"/>
      <c r="BU22" s="2043">
        <f t="shared" si="25"/>
        <v>138148</v>
      </c>
      <c r="BV22" s="2043">
        <f t="shared" si="26"/>
        <v>600</v>
      </c>
      <c r="BW22" s="2045">
        <f t="shared" si="40"/>
        <v>138748</v>
      </c>
      <c r="BX22" s="2871">
        <f t="shared" si="12"/>
        <v>1.8673190594608115E-2</v>
      </c>
      <c r="BY22" s="1434"/>
      <c r="BZ22" s="2876"/>
      <c r="CA22" s="920"/>
    </row>
    <row r="23" spans="1:79" s="1396" customFormat="1" ht="16.2" customHeight="1">
      <c r="A23" s="1572"/>
      <c r="B23" s="2873" t="s">
        <v>630</v>
      </c>
      <c r="C23" s="2877"/>
      <c r="D23" s="2874"/>
      <c r="E23" s="2012">
        <f t="shared" si="13"/>
        <v>0</v>
      </c>
      <c r="F23" s="1976"/>
      <c r="G23" s="2043">
        <v>0</v>
      </c>
      <c r="H23" s="2043">
        <v>0</v>
      </c>
      <c r="I23" s="2045"/>
      <c r="J23" s="2871">
        <v>0</v>
      </c>
      <c r="K23" s="1976"/>
      <c r="L23" s="2051">
        <v>0</v>
      </c>
      <c r="M23" s="2043">
        <v>0</v>
      </c>
      <c r="N23" s="2045">
        <f t="shared" si="28"/>
        <v>0</v>
      </c>
      <c r="O23" s="2871">
        <f t="shared" si="14"/>
        <v>0</v>
      </c>
      <c r="P23" s="2048"/>
      <c r="Q23" s="2611"/>
      <c r="R23" s="2051"/>
      <c r="S23" s="2043"/>
      <c r="T23" s="2045">
        <f t="shared" si="29"/>
        <v>0</v>
      </c>
      <c r="U23" s="2871">
        <f t="shared" si="15"/>
        <v>0</v>
      </c>
      <c r="V23" s="2046"/>
      <c r="W23" s="2051"/>
      <c r="X23" s="2043"/>
      <c r="Y23" s="2045">
        <f t="shared" si="30"/>
        <v>0</v>
      </c>
      <c r="Z23" s="2871">
        <f t="shared" si="11"/>
        <v>0</v>
      </c>
      <c r="AA23" s="2048"/>
      <c r="AB23" s="2051"/>
      <c r="AC23" s="2043"/>
      <c r="AD23" s="2045">
        <f t="shared" si="31"/>
        <v>0</v>
      </c>
      <c r="AE23" s="2871">
        <f t="shared" si="16"/>
        <v>0</v>
      </c>
      <c r="AF23" s="2048"/>
      <c r="AG23" s="2051"/>
      <c r="AH23" s="2043"/>
      <c r="AI23" s="2045">
        <f t="shared" si="32"/>
        <v>0</v>
      </c>
      <c r="AJ23" s="2871">
        <f t="shared" si="17"/>
        <v>0</v>
      </c>
      <c r="AK23" s="2048"/>
      <c r="AL23" s="2051"/>
      <c r="AM23" s="2043"/>
      <c r="AN23" s="2045">
        <f t="shared" si="33"/>
        <v>0</v>
      </c>
      <c r="AO23" s="2871">
        <f t="shared" si="18"/>
        <v>0</v>
      </c>
      <c r="AP23" s="2048"/>
      <c r="AQ23" s="2051"/>
      <c r="AR23" s="2043"/>
      <c r="AS23" s="2045">
        <f t="shared" si="34"/>
        <v>0</v>
      </c>
      <c r="AT23" s="2871">
        <f t="shared" si="19"/>
        <v>0</v>
      </c>
      <c r="AU23" s="2048"/>
      <c r="AV23" s="2051"/>
      <c r="AW23" s="2043"/>
      <c r="AX23" s="2045">
        <f t="shared" si="35"/>
        <v>0</v>
      </c>
      <c r="AY23" s="2871">
        <f t="shared" si="20"/>
        <v>0</v>
      </c>
      <c r="AZ23" s="2048"/>
      <c r="BA23" s="2051"/>
      <c r="BB23" s="2043"/>
      <c r="BC23" s="2045">
        <f t="shared" si="36"/>
        <v>0</v>
      </c>
      <c r="BD23" s="2871" t="e">
        <f t="shared" si="21"/>
        <v>#DIV/0!</v>
      </c>
      <c r="BE23" s="2048"/>
      <c r="BF23" s="2051"/>
      <c r="BG23" s="2043"/>
      <c r="BH23" s="2045">
        <f t="shared" si="37"/>
        <v>0</v>
      </c>
      <c r="BI23" s="2138">
        <f t="shared" si="22"/>
        <v>0</v>
      </c>
      <c r="BJ23" s="2048"/>
      <c r="BK23" s="2051"/>
      <c r="BL23" s="2043"/>
      <c r="BM23" s="2045">
        <f t="shared" si="38"/>
        <v>0</v>
      </c>
      <c r="BN23" s="2138">
        <f t="shared" si="23"/>
        <v>0</v>
      </c>
      <c r="BO23" s="2048"/>
      <c r="BP23" s="2051"/>
      <c r="BQ23" s="2043"/>
      <c r="BR23" s="2045">
        <f t="shared" si="39"/>
        <v>0</v>
      </c>
      <c r="BS23" s="2138">
        <f t="shared" si="24"/>
        <v>0</v>
      </c>
      <c r="BT23" s="2048"/>
      <c r="BU23" s="2043">
        <f t="shared" si="25"/>
        <v>0</v>
      </c>
      <c r="BV23" s="2043">
        <f t="shared" si="26"/>
        <v>0</v>
      </c>
      <c r="BW23" s="2045">
        <f t="shared" si="40"/>
        <v>0</v>
      </c>
      <c r="BX23" s="2871">
        <f t="shared" si="12"/>
        <v>0</v>
      </c>
      <c r="BY23" s="1434"/>
    </row>
    <row r="24" spans="1:79" s="1396" customFormat="1" ht="51.6" customHeight="1">
      <c r="A24" s="1572"/>
      <c r="B24" s="2873" t="s">
        <v>23</v>
      </c>
      <c r="C24" s="2877">
        <v>159993.60000000001</v>
      </c>
      <c r="D24" s="2874"/>
      <c r="E24" s="2012">
        <f t="shared" si="13"/>
        <v>159993.60000000001</v>
      </c>
      <c r="F24" s="1976">
        <f t="shared" ref="F24:F33" si="41">E24/$E$89</f>
        <v>3.1192446249673988E-2</v>
      </c>
      <c r="G24" s="2043">
        <v>128799.988</v>
      </c>
      <c r="H24" s="2043">
        <v>0</v>
      </c>
      <c r="I24" s="2045">
        <f t="shared" si="27"/>
        <v>128799.988</v>
      </c>
      <c r="J24" s="2871">
        <v>3.9878077432615372E-2</v>
      </c>
      <c r="K24" s="1976"/>
      <c r="L24" s="2051">
        <v>36240</v>
      </c>
      <c r="M24" s="2043">
        <v>0</v>
      </c>
      <c r="N24" s="2045">
        <f t="shared" si="28"/>
        <v>36240</v>
      </c>
      <c r="O24" s="2871">
        <f t="shared" si="14"/>
        <v>9.7617903874251417E-3</v>
      </c>
      <c r="P24" s="2048"/>
      <c r="Q24" s="2611"/>
      <c r="R24" s="2051"/>
      <c r="S24" s="2043"/>
      <c r="T24" s="2045">
        <f t="shared" si="29"/>
        <v>0</v>
      </c>
      <c r="U24" s="2871">
        <f t="shared" si="15"/>
        <v>0</v>
      </c>
      <c r="V24" s="2043"/>
      <c r="W24" s="2051"/>
      <c r="X24" s="2043"/>
      <c r="Y24" s="2045">
        <f t="shared" si="30"/>
        <v>0</v>
      </c>
      <c r="Z24" s="2871">
        <f t="shared" si="11"/>
        <v>0</v>
      </c>
      <c r="AA24" s="2048"/>
      <c r="AB24" s="2051"/>
      <c r="AC24" s="2043"/>
      <c r="AD24" s="2045">
        <f t="shared" si="31"/>
        <v>0</v>
      </c>
      <c r="AE24" s="2871">
        <f t="shared" si="16"/>
        <v>0</v>
      </c>
      <c r="AF24" s="2048"/>
      <c r="AG24" s="2051"/>
      <c r="AH24" s="2043"/>
      <c r="AI24" s="2045">
        <f t="shared" si="32"/>
        <v>0</v>
      </c>
      <c r="AJ24" s="2871">
        <f t="shared" si="17"/>
        <v>0</v>
      </c>
      <c r="AK24" s="2048"/>
      <c r="AL24" s="2051"/>
      <c r="AM24" s="2043"/>
      <c r="AN24" s="2045">
        <f t="shared" si="33"/>
        <v>0</v>
      </c>
      <c r="AO24" s="2871">
        <f t="shared" si="18"/>
        <v>0</v>
      </c>
      <c r="AP24" s="2048"/>
      <c r="AQ24" s="2051"/>
      <c r="AR24" s="2043"/>
      <c r="AS24" s="2045">
        <f t="shared" si="34"/>
        <v>0</v>
      </c>
      <c r="AT24" s="2871">
        <f t="shared" si="19"/>
        <v>0</v>
      </c>
      <c r="AU24" s="2046"/>
      <c r="AV24" s="2051"/>
      <c r="AW24" s="2043"/>
      <c r="AX24" s="2045">
        <f t="shared" si="35"/>
        <v>0</v>
      </c>
      <c r="AY24" s="2871">
        <f t="shared" si="20"/>
        <v>0</v>
      </c>
      <c r="AZ24" s="2046"/>
      <c r="BA24" s="2051"/>
      <c r="BB24" s="2043"/>
      <c r="BC24" s="2045">
        <f t="shared" si="36"/>
        <v>0</v>
      </c>
      <c r="BD24" s="2871" t="e">
        <f t="shared" si="21"/>
        <v>#DIV/0!</v>
      </c>
      <c r="BE24" s="2046"/>
      <c r="BF24" s="2051"/>
      <c r="BG24" s="2043"/>
      <c r="BH24" s="2045">
        <f t="shared" si="37"/>
        <v>0</v>
      </c>
      <c r="BI24" s="2138">
        <f t="shared" si="22"/>
        <v>0</v>
      </c>
      <c r="BJ24" s="2046"/>
      <c r="BK24" s="2051"/>
      <c r="BL24" s="2043"/>
      <c r="BM24" s="2045">
        <f t="shared" si="38"/>
        <v>0</v>
      </c>
      <c r="BN24" s="2138">
        <f t="shared" si="23"/>
        <v>0</v>
      </c>
      <c r="BO24" s="2046"/>
      <c r="BP24" s="2051"/>
      <c r="BQ24" s="2043"/>
      <c r="BR24" s="2045">
        <f t="shared" si="39"/>
        <v>0</v>
      </c>
      <c r="BS24" s="2138">
        <f t="shared" si="24"/>
        <v>0</v>
      </c>
      <c r="BT24" s="2046"/>
      <c r="BU24" s="2043">
        <f t="shared" si="25"/>
        <v>165039.98800000001</v>
      </c>
      <c r="BV24" s="2043">
        <f t="shared" si="26"/>
        <v>0</v>
      </c>
      <c r="BW24" s="2045">
        <f t="shared" si="40"/>
        <v>165039.98800000001</v>
      </c>
      <c r="BX24" s="2871">
        <f t="shared" si="12"/>
        <v>2.2211658197998072E-2</v>
      </c>
      <c r="BY24" s="1434"/>
      <c r="BZ24" s="2876"/>
      <c r="CA24" s="920"/>
    </row>
    <row r="25" spans="1:79" s="1396" customFormat="1" ht="51.6" customHeight="1">
      <c r="A25" s="1572"/>
      <c r="B25" s="2873" t="s">
        <v>24</v>
      </c>
      <c r="C25" s="2877">
        <v>275446.44999999995</v>
      </c>
      <c r="D25" s="2874"/>
      <c r="E25" s="2012">
        <f t="shared" si="13"/>
        <v>275446.44999999995</v>
      </c>
      <c r="F25" s="1976">
        <f t="shared" si="41"/>
        <v>5.3701201712371693E-2</v>
      </c>
      <c r="G25" s="2043">
        <f>96859.88</f>
        <v>96859.88</v>
      </c>
      <c r="H25" s="2043">
        <v>5639</v>
      </c>
      <c r="I25" s="2045">
        <f t="shared" si="27"/>
        <v>102498.88</v>
      </c>
      <c r="J25" s="2871">
        <v>1.6254305875910348E-2</v>
      </c>
      <c r="K25" s="1976"/>
      <c r="L25" s="2051">
        <v>16501.166399999998</v>
      </c>
      <c r="M25" s="2043">
        <v>1012.32</v>
      </c>
      <c r="N25" s="2045">
        <f t="shared" si="28"/>
        <v>17513.486399999998</v>
      </c>
      <c r="O25" s="2871">
        <f t="shared" si="14"/>
        <v>4.7175216111981491E-3</v>
      </c>
      <c r="P25" s="2046"/>
      <c r="Q25" s="2611"/>
      <c r="R25" s="2051"/>
      <c r="S25" s="2043"/>
      <c r="T25" s="2045">
        <f t="shared" si="29"/>
        <v>0</v>
      </c>
      <c r="U25" s="2871">
        <f t="shared" si="15"/>
        <v>0</v>
      </c>
      <c r="V25" s="2046"/>
      <c r="W25" s="2051"/>
      <c r="X25" s="2043"/>
      <c r="Y25" s="2045">
        <f t="shared" si="30"/>
        <v>0</v>
      </c>
      <c r="Z25" s="2871">
        <f t="shared" si="11"/>
        <v>0</v>
      </c>
      <c r="AA25" s="2046"/>
      <c r="AB25" s="2051">
        <f>511.08*1.2</f>
        <v>613.29599999999994</v>
      </c>
      <c r="AC25" s="2043"/>
      <c r="AD25" s="2045">
        <f t="shared" si="31"/>
        <v>613.29599999999994</v>
      </c>
      <c r="AE25" s="2871">
        <f t="shared" si="16"/>
        <v>6.9231760643672889E-3</v>
      </c>
      <c r="AF25" s="2046"/>
      <c r="AG25" s="2051"/>
      <c r="AH25" s="2043"/>
      <c r="AI25" s="2045">
        <f t="shared" si="32"/>
        <v>0</v>
      </c>
      <c r="AJ25" s="2871">
        <f t="shared" si="17"/>
        <v>0</v>
      </c>
      <c r="AK25" s="2046"/>
      <c r="AL25" s="2051">
        <f>121.5*1.2</f>
        <v>145.79999999999998</v>
      </c>
      <c r="AM25" s="2043"/>
      <c r="AN25" s="2045">
        <f t="shared" si="33"/>
        <v>145.79999999999998</v>
      </c>
      <c r="AO25" s="2871">
        <f t="shared" si="18"/>
        <v>1.3907760045384551E-3</v>
      </c>
      <c r="AP25" s="2046"/>
      <c r="AQ25" s="2051"/>
      <c r="AR25" s="2043"/>
      <c r="AS25" s="2045">
        <f t="shared" si="34"/>
        <v>0</v>
      </c>
      <c r="AT25" s="2871">
        <f t="shared" si="19"/>
        <v>0</v>
      </c>
      <c r="AU25" s="2046"/>
      <c r="AV25" s="2051">
        <f>49.6*1.2</f>
        <v>59.519999999999996</v>
      </c>
      <c r="AW25" s="2043"/>
      <c r="AX25" s="2045">
        <f t="shared" si="35"/>
        <v>59.519999999999996</v>
      </c>
      <c r="AY25" s="2871">
        <f t="shared" si="20"/>
        <v>2.1742841594954887E-3</v>
      </c>
      <c r="AZ25" s="2046"/>
      <c r="BA25" s="2051"/>
      <c r="BB25" s="2043"/>
      <c r="BC25" s="2045">
        <f t="shared" si="36"/>
        <v>0</v>
      </c>
      <c r="BD25" s="2871" t="e">
        <f t="shared" si="21"/>
        <v>#DIV/0!</v>
      </c>
      <c r="BE25" s="2046"/>
      <c r="BF25" s="2051"/>
      <c r="BG25" s="2043"/>
      <c r="BH25" s="2045">
        <f t="shared" si="37"/>
        <v>0</v>
      </c>
      <c r="BI25" s="2138">
        <f t="shared" si="22"/>
        <v>0</v>
      </c>
      <c r="BJ25" s="2046"/>
      <c r="BK25" s="2051"/>
      <c r="BL25" s="2043"/>
      <c r="BM25" s="2045">
        <f t="shared" si="38"/>
        <v>0</v>
      </c>
      <c r="BN25" s="2138">
        <f t="shared" si="23"/>
        <v>0</v>
      </c>
      <c r="BO25" s="2046"/>
      <c r="BP25" s="2051"/>
      <c r="BQ25" s="2043"/>
      <c r="BR25" s="2045">
        <f t="shared" si="39"/>
        <v>0</v>
      </c>
      <c r="BS25" s="2138">
        <f t="shared" si="24"/>
        <v>0</v>
      </c>
      <c r="BT25" s="2046"/>
      <c r="BU25" s="2043">
        <f t="shared" si="25"/>
        <v>114179.66240000002</v>
      </c>
      <c r="BV25" s="2043">
        <f t="shared" si="26"/>
        <v>6651.32</v>
      </c>
      <c r="BW25" s="2045">
        <f t="shared" si="40"/>
        <v>120830.98240000001</v>
      </c>
      <c r="BX25" s="2871">
        <f t="shared" si="12"/>
        <v>1.6261855767931349E-2</v>
      </c>
      <c r="BY25" s="1434"/>
      <c r="BZ25" s="2876"/>
      <c r="CA25" s="920"/>
    </row>
    <row r="26" spans="1:79" s="1396" customFormat="1" ht="51.6" customHeight="1">
      <c r="A26" s="1572"/>
      <c r="B26" s="2873" t="s">
        <v>45</v>
      </c>
      <c r="C26" s="2877">
        <v>2026892.63</v>
      </c>
      <c r="D26" s="2874"/>
      <c r="E26" s="2012">
        <f t="shared" si="13"/>
        <v>2026892.63</v>
      </c>
      <c r="F26" s="1976">
        <f t="shared" si="41"/>
        <v>0.39516417791171238</v>
      </c>
      <c r="G26" s="2043">
        <v>1177833.2879999999</v>
      </c>
      <c r="H26" s="2043">
        <v>0</v>
      </c>
      <c r="I26" s="2045">
        <f t="shared" si="27"/>
        <v>1177833.2879999999</v>
      </c>
      <c r="J26" s="2871">
        <v>0.36467182793197123</v>
      </c>
      <c r="K26" s="1976"/>
      <c r="L26" s="2051">
        <v>1960608.3359999997</v>
      </c>
      <c r="M26" s="2043">
        <v>0</v>
      </c>
      <c r="N26" s="2045">
        <f t="shared" si="28"/>
        <v>1960608.3359999997</v>
      </c>
      <c r="O26" s="2871">
        <f t="shared" si="14"/>
        <v>0.52811941522821182</v>
      </c>
      <c r="P26" s="2046"/>
      <c r="Q26" s="2611"/>
      <c r="R26" s="2051"/>
      <c r="S26" s="2043"/>
      <c r="T26" s="2045">
        <f t="shared" si="29"/>
        <v>0</v>
      </c>
      <c r="U26" s="2871">
        <f t="shared" si="15"/>
        <v>0</v>
      </c>
      <c r="V26" s="2046"/>
      <c r="W26" s="2051">
        <f>74224.77*1.2</f>
        <v>89069.724000000002</v>
      </c>
      <c r="X26" s="2043"/>
      <c r="Y26" s="2045">
        <f t="shared" si="30"/>
        <v>89069.724000000002</v>
      </c>
      <c r="Z26" s="2871">
        <f t="shared" si="11"/>
        <v>0.65469758324797689</v>
      </c>
      <c r="AA26" s="2046" t="s">
        <v>1307</v>
      </c>
      <c r="AB26" s="2051">
        <f>45592.98*1.2+3398.5*1.2</f>
        <v>58789.775999999998</v>
      </c>
      <c r="AC26" s="2043"/>
      <c r="AD26" s="2045">
        <f t="shared" si="31"/>
        <v>58789.775999999998</v>
      </c>
      <c r="AE26" s="2871">
        <f t="shared" si="16"/>
        <v>0.66364686877578616</v>
      </c>
      <c r="AF26" s="2046" t="s">
        <v>1325</v>
      </c>
      <c r="AG26" s="2051"/>
      <c r="AH26" s="2043"/>
      <c r="AI26" s="2045">
        <f t="shared" si="32"/>
        <v>0</v>
      </c>
      <c r="AJ26" s="2871">
        <f t="shared" si="17"/>
        <v>0</v>
      </c>
      <c r="AK26" s="2046"/>
      <c r="AL26" s="2051">
        <f>31585.77*1.2+4320</f>
        <v>42222.923999999999</v>
      </c>
      <c r="AM26" s="2043"/>
      <c r="AN26" s="2045">
        <f t="shared" si="33"/>
        <v>42222.923999999999</v>
      </c>
      <c r="AO26" s="2871">
        <f t="shared" si="18"/>
        <v>0.40276151948320199</v>
      </c>
      <c r="AP26" s="2046" t="s">
        <v>1396</v>
      </c>
      <c r="AQ26" s="2051"/>
      <c r="AR26" s="2043"/>
      <c r="AS26" s="2045">
        <f t="shared" si="34"/>
        <v>0</v>
      </c>
      <c r="AT26" s="2871">
        <f t="shared" si="19"/>
        <v>0</v>
      </c>
      <c r="AU26" s="2048"/>
      <c r="AV26" s="2051">
        <f>1817.21*1.2</f>
        <v>2180.652</v>
      </c>
      <c r="AW26" s="2043"/>
      <c r="AX26" s="2045">
        <f t="shared" si="35"/>
        <v>2180.652</v>
      </c>
      <c r="AY26" s="2871">
        <f t="shared" si="20"/>
        <v>7.9659897529774135E-2</v>
      </c>
      <c r="AZ26" s="2048"/>
      <c r="BA26" s="2051"/>
      <c r="BB26" s="2043"/>
      <c r="BC26" s="2045">
        <f t="shared" si="36"/>
        <v>0</v>
      </c>
      <c r="BD26" s="2871" t="e">
        <f t="shared" si="21"/>
        <v>#DIV/0!</v>
      </c>
      <c r="BE26" s="2048"/>
      <c r="BF26" s="2051">
        <f>398*1.2</f>
        <v>477.59999999999997</v>
      </c>
      <c r="BG26" s="2043"/>
      <c r="BH26" s="2045">
        <f t="shared" si="37"/>
        <v>477.59999999999997</v>
      </c>
      <c r="BI26" s="2138">
        <f t="shared" si="22"/>
        <v>1</v>
      </c>
      <c r="BJ26" s="3063" t="s">
        <v>1749</v>
      </c>
      <c r="BK26" s="2051"/>
      <c r="BL26" s="2043"/>
      <c r="BM26" s="2045">
        <f t="shared" si="38"/>
        <v>0</v>
      </c>
      <c r="BN26" s="2138">
        <f t="shared" si="23"/>
        <v>0</v>
      </c>
      <c r="BO26" s="3063"/>
      <c r="BP26" s="2051"/>
      <c r="BQ26" s="2043"/>
      <c r="BR26" s="2045">
        <f t="shared" si="39"/>
        <v>0</v>
      </c>
      <c r="BS26" s="2138">
        <f t="shared" si="24"/>
        <v>0</v>
      </c>
      <c r="BT26" s="3063"/>
      <c r="BU26" s="2043">
        <f t="shared" si="25"/>
        <v>3331182.3</v>
      </c>
      <c r="BV26" s="2043">
        <f t="shared" si="26"/>
        <v>0</v>
      </c>
      <c r="BW26" s="2045">
        <f t="shared" si="40"/>
        <v>3331182.3</v>
      </c>
      <c r="BX26" s="2871">
        <f t="shared" si="12"/>
        <v>0.44832215234298894</v>
      </c>
      <c r="BY26" s="1434"/>
      <c r="BZ26" s="2878">
        <v>-3464727.59</v>
      </c>
      <c r="CA26" s="920">
        <f>BZ26+BW26</f>
        <v>-133545.29000000004</v>
      </c>
    </row>
    <row r="27" spans="1:79" s="1396" customFormat="1" ht="51.6" customHeight="1">
      <c r="A27" s="1572"/>
      <c r="B27" s="2873" t="s">
        <v>25</v>
      </c>
      <c r="C27" s="2877"/>
      <c r="D27" s="2874"/>
      <c r="E27" s="2012">
        <f t="shared" si="13"/>
        <v>0</v>
      </c>
      <c r="F27" s="1976">
        <f t="shared" si="41"/>
        <v>0</v>
      </c>
      <c r="G27" s="2043">
        <v>0</v>
      </c>
      <c r="H27" s="2043">
        <v>416</v>
      </c>
      <c r="I27" s="2045">
        <f t="shared" si="27"/>
        <v>416</v>
      </c>
      <c r="J27" s="2871">
        <v>1.2879877140957493E-4</v>
      </c>
      <c r="K27" s="1976"/>
      <c r="L27" s="2051">
        <v>0</v>
      </c>
      <c r="M27" s="2043">
        <v>2061</v>
      </c>
      <c r="N27" s="2045">
        <f t="shared" si="28"/>
        <v>2061</v>
      </c>
      <c r="O27" s="2871">
        <f t="shared" si="14"/>
        <v>5.5516142352326754E-4</v>
      </c>
      <c r="P27" s="2046"/>
      <c r="Q27" s="2611"/>
      <c r="R27" s="2051"/>
      <c r="S27" s="2043"/>
      <c r="T27" s="2045">
        <f t="shared" si="29"/>
        <v>0</v>
      </c>
      <c r="U27" s="2871">
        <f t="shared" si="15"/>
        <v>0</v>
      </c>
      <c r="V27" s="2046"/>
      <c r="W27" s="2051"/>
      <c r="X27" s="2043"/>
      <c r="Y27" s="2045">
        <f t="shared" si="30"/>
        <v>0</v>
      </c>
      <c r="Z27" s="2871">
        <f t="shared" si="11"/>
        <v>0</v>
      </c>
      <c r="AA27" s="2046"/>
      <c r="AB27" s="2051"/>
      <c r="AC27" s="2043"/>
      <c r="AD27" s="2045">
        <f t="shared" si="31"/>
        <v>0</v>
      </c>
      <c r="AE27" s="2871">
        <f t="shared" si="16"/>
        <v>0</v>
      </c>
      <c r="AF27" s="2046"/>
      <c r="AG27" s="2051"/>
      <c r="AH27" s="2043"/>
      <c r="AI27" s="2045">
        <f t="shared" si="32"/>
        <v>0</v>
      </c>
      <c r="AJ27" s="2871">
        <f t="shared" si="17"/>
        <v>0</v>
      </c>
      <c r="AK27" s="2046"/>
      <c r="AL27" s="2051"/>
      <c r="AM27" s="2043"/>
      <c r="AN27" s="2045">
        <f t="shared" si="33"/>
        <v>0</v>
      </c>
      <c r="AO27" s="2871">
        <f t="shared" si="18"/>
        <v>0</v>
      </c>
      <c r="AP27" s="2046"/>
      <c r="AQ27" s="2051"/>
      <c r="AR27" s="2043"/>
      <c r="AS27" s="2045">
        <f t="shared" si="34"/>
        <v>0</v>
      </c>
      <c r="AT27" s="2871">
        <f t="shared" si="19"/>
        <v>0</v>
      </c>
      <c r="AU27" s="2046"/>
      <c r="AV27" s="2051"/>
      <c r="AW27" s="2043"/>
      <c r="AX27" s="2045">
        <f t="shared" si="35"/>
        <v>0</v>
      </c>
      <c r="AY27" s="2871">
        <f t="shared" si="20"/>
        <v>0</v>
      </c>
      <c r="AZ27" s="2046"/>
      <c r="BA27" s="2051"/>
      <c r="BB27" s="2043"/>
      <c r="BC27" s="2045">
        <f t="shared" si="36"/>
        <v>0</v>
      </c>
      <c r="BD27" s="2871" t="e">
        <f t="shared" si="21"/>
        <v>#DIV/0!</v>
      </c>
      <c r="BE27" s="2046"/>
      <c r="BF27" s="2051"/>
      <c r="BG27" s="2043"/>
      <c r="BH27" s="2045">
        <f t="shared" si="37"/>
        <v>0</v>
      </c>
      <c r="BI27" s="2138">
        <f t="shared" si="22"/>
        <v>0</v>
      </c>
      <c r="BJ27" s="2046"/>
      <c r="BK27" s="2051"/>
      <c r="BL27" s="2043"/>
      <c r="BM27" s="2045">
        <f t="shared" si="38"/>
        <v>0</v>
      </c>
      <c r="BN27" s="2138">
        <f t="shared" si="23"/>
        <v>0</v>
      </c>
      <c r="BO27" s="2046"/>
      <c r="BP27" s="2051"/>
      <c r="BQ27" s="2043"/>
      <c r="BR27" s="2045">
        <f t="shared" si="39"/>
        <v>0</v>
      </c>
      <c r="BS27" s="2138">
        <f t="shared" si="24"/>
        <v>0</v>
      </c>
      <c r="BT27" s="2046"/>
      <c r="BU27" s="2043">
        <f t="shared" si="25"/>
        <v>0</v>
      </c>
      <c r="BV27" s="2043">
        <f t="shared" si="26"/>
        <v>2477</v>
      </c>
      <c r="BW27" s="2045">
        <f t="shared" si="40"/>
        <v>2477</v>
      </c>
      <c r="BX27" s="2871">
        <f t="shared" si="12"/>
        <v>3.3336331408628811E-4</v>
      </c>
      <c r="BY27" s="1434"/>
    </row>
    <row r="28" spans="1:79" s="1564" customFormat="1" ht="51.6" customHeight="1">
      <c r="A28" s="1572"/>
      <c r="B28" s="2879" t="s">
        <v>52</v>
      </c>
      <c r="C28" s="2877">
        <v>144368.79251899998</v>
      </c>
      <c r="D28" s="2874"/>
      <c r="E28" s="2012">
        <f t="shared" si="13"/>
        <v>144368.79251899998</v>
      </c>
      <c r="F28" s="1976">
        <f t="shared" si="41"/>
        <v>2.8146224603854422E-2</v>
      </c>
      <c r="G28" s="2043">
        <v>0</v>
      </c>
      <c r="H28" s="2043">
        <v>1760</v>
      </c>
      <c r="I28" s="2045">
        <f t="shared" si="27"/>
        <v>1760</v>
      </c>
      <c r="J28" s="2871">
        <v>5.4491787904050934E-4</v>
      </c>
      <c r="K28" s="1976"/>
      <c r="L28" s="2051">
        <v>4539.41</v>
      </c>
      <c r="M28" s="2043">
        <v>2837</v>
      </c>
      <c r="N28" s="2045">
        <f t="shared" si="28"/>
        <v>7376.41</v>
      </c>
      <c r="O28" s="2871">
        <f t="shared" si="14"/>
        <v>1.9869472470117741E-3</v>
      </c>
      <c r="P28" s="2046"/>
      <c r="Q28" s="2611"/>
      <c r="R28" s="2051"/>
      <c r="S28" s="2043"/>
      <c r="T28" s="2045">
        <f t="shared" si="29"/>
        <v>0</v>
      </c>
      <c r="U28" s="2871">
        <f t="shared" si="15"/>
        <v>0</v>
      </c>
      <c r="V28" s="2046"/>
      <c r="W28" s="2051"/>
      <c r="X28" s="2043">
        <v>1500</v>
      </c>
      <c r="Y28" s="2045">
        <f t="shared" si="30"/>
        <v>1500</v>
      </c>
      <c r="Z28" s="2871">
        <f t="shared" si="11"/>
        <v>1.1025591309477566E-2</v>
      </c>
      <c r="AA28" s="2046" t="s">
        <v>1308</v>
      </c>
      <c r="AB28" s="2051"/>
      <c r="AC28" s="2043"/>
      <c r="AD28" s="2045">
        <f t="shared" si="31"/>
        <v>0</v>
      </c>
      <c r="AE28" s="2871">
        <f t="shared" si="16"/>
        <v>0</v>
      </c>
      <c r="AF28" s="2046"/>
      <c r="AG28" s="2051"/>
      <c r="AH28" s="2043"/>
      <c r="AI28" s="2045">
        <f t="shared" si="32"/>
        <v>0</v>
      </c>
      <c r="AJ28" s="2871">
        <f t="shared" si="17"/>
        <v>0</v>
      </c>
      <c r="AK28" s="2046"/>
      <c r="AL28" s="2051"/>
      <c r="AM28" s="2043"/>
      <c r="AN28" s="2045">
        <f t="shared" si="33"/>
        <v>0</v>
      </c>
      <c r="AO28" s="2871">
        <f t="shared" si="18"/>
        <v>0</v>
      </c>
      <c r="AP28" s="2046"/>
      <c r="AQ28" s="2051"/>
      <c r="AR28" s="2043"/>
      <c r="AS28" s="2045">
        <f t="shared" si="34"/>
        <v>0</v>
      </c>
      <c r="AT28" s="2871">
        <f t="shared" si="19"/>
        <v>0</v>
      </c>
      <c r="AU28" s="2046"/>
      <c r="AV28" s="2051"/>
      <c r="AW28" s="2043"/>
      <c r="AX28" s="2045">
        <f t="shared" si="35"/>
        <v>0</v>
      </c>
      <c r="AY28" s="2871">
        <f t="shared" si="20"/>
        <v>0</v>
      </c>
      <c r="AZ28" s="2046"/>
      <c r="BA28" s="2051"/>
      <c r="BB28" s="2043"/>
      <c r="BC28" s="2045">
        <f t="shared" si="36"/>
        <v>0</v>
      </c>
      <c r="BD28" s="2871" t="e">
        <f t="shared" si="21"/>
        <v>#DIV/0!</v>
      </c>
      <c r="BE28" s="2046"/>
      <c r="BF28" s="2051"/>
      <c r="BG28" s="2043"/>
      <c r="BH28" s="2045">
        <f t="shared" si="37"/>
        <v>0</v>
      </c>
      <c r="BI28" s="2138">
        <f t="shared" si="22"/>
        <v>0</v>
      </c>
      <c r="BJ28" s="2046"/>
      <c r="BK28" s="2051"/>
      <c r="BL28" s="2043"/>
      <c r="BM28" s="2045">
        <f t="shared" si="38"/>
        <v>0</v>
      </c>
      <c r="BN28" s="2138">
        <f t="shared" si="23"/>
        <v>0</v>
      </c>
      <c r="BO28" s="2046"/>
      <c r="BP28" s="2051"/>
      <c r="BQ28" s="2043"/>
      <c r="BR28" s="2045">
        <f t="shared" si="39"/>
        <v>0</v>
      </c>
      <c r="BS28" s="2138">
        <f t="shared" si="24"/>
        <v>0</v>
      </c>
      <c r="BT28" s="2046"/>
      <c r="BU28" s="2043">
        <f t="shared" si="25"/>
        <v>4539.41</v>
      </c>
      <c r="BV28" s="2043">
        <f t="shared" si="26"/>
        <v>6097</v>
      </c>
      <c r="BW28" s="2045">
        <f t="shared" si="40"/>
        <v>10636.41</v>
      </c>
      <c r="BX28" s="2871">
        <f t="shared" si="12"/>
        <v>1.4314852190474509E-3</v>
      </c>
      <c r="BY28" s="1434"/>
    </row>
    <row r="29" spans="1:79" s="1396" customFormat="1" ht="51.6" customHeight="1">
      <c r="A29" s="1572"/>
      <c r="B29" s="2873" t="s">
        <v>31</v>
      </c>
      <c r="C29" s="2877">
        <v>15600</v>
      </c>
      <c r="D29" s="2874">
        <f>35200+98000</f>
        <v>133200</v>
      </c>
      <c r="E29" s="2012">
        <f t="shared" si="13"/>
        <v>148800</v>
      </c>
      <c r="F29" s="2871">
        <f t="shared" si="41"/>
        <v>2.9010135417613513E-2</v>
      </c>
      <c r="G29" s="2043">
        <v>31790</v>
      </c>
      <c r="H29" s="2043">
        <v>41540</v>
      </c>
      <c r="I29" s="2045">
        <f t="shared" si="27"/>
        <v>73330</v>
      </c>
      <c r="J29" s="2871">
        <v>2.270387958525031E-2</v>
      </c>
      <c r="K29" s="1976"/>
      <c r="L29" s="2051">
        <v>17302</v>
      </c>
      <c r="M29" s="2043">
        <v>39180</v>
      </c>
      <c r="N29" s="2045">
        <f t="shared" si="28"/>
        <v>56482</v>
      </c>
      <c r="O29" s="2871">
        <f t="shared" si="14"/>
        <v>1.5214278274352837E-2</v>
      </c>
      <c r="P29" s="2046"/>
      <c r="Q29" s="2611"/>
      <c r="R29" s="2051"/>
      <c r="S29" s="2043"/>
      <c r="T29" s="2045">
        <f t="shared" si="29"/>
        <v>0</v>
      </c>
      <c r="U29" s="2871">
        <f t="shared" si="15"/>
        <v>0</v>
      </c>
      <c r="V29" s="2046"/>
      <c r="W29" s="2051"/>
      <c r="X29" s="2043"/>
      <c r="Y29" s="2045">
        <f t="shared" si="30"/>
        <v>0</v>
      </c>
      <c r="Z29" s="2871">
        <f t="shared" si="11"/>
        <v>0</v>
      </c>
      <c r="AA29" s="2046"/>
      <c r="AB29" s="2051"/>
      <c r="AC29" s="2043"/>
      <c r="AD29" s="2045">
        <f t="shared" si="31"/>
        <v>0</v>
      </c>
      <c r="AE29" s="2871">
        <f t="shared" si="16"/>
        <v>0</v>
      </c>
      <c r="AF29" s="2046"/>
      <c r="AG29" s="2051"/>
      <c r="AH29" s="2043"/>
      <c r="AI29" s="2045">
        <f t="shared" si="32"/>
        <v>0</v>
      </c>
      <c r="AJ29" s="2871">
        <f t="shared" si="17"/>
        <v>0</v>
      </c>
      <c r="AK29" s="2046"/>
      <c r="AL29" s="2051"/>
      <c r="AM29" s="2043"/>
      <c r="AN29" s="2045">
        <f t="shared" si="33"/>
        <v>0</v>
      </c>
      <c r="AO29" s="2871">
        <f t="shared" si="18"/>
        <v>0</v>
      </c>
      <c r="AP29" s="2046"/>
      <c r="AQ29" s="2051"/>
      <c r="AR29" s="2043"/>
      <c r="AS29" s="2045">
        <f t="shared" si="34"/>
        <v>0</v>
      </c>
      <c r="AT29" s="2871">
        <f t="shared" si="19"/>
        <v>0</v>
      </c>
      <c r="AU29" s="2046"/>
      <c r="AV29" s="2051"/>
      <c r="AW29" s="2043"/>
      <c r="AX29" s="2045">
        <f t="shared" si="35"/>
        <v>0</v>
      </c>
      <c r="AY29" s="2871">
        <f t="shared" si="20"/>
        <v>0</v>
      </c>
      <c r="AZ29" s="2046"/>
      <c r="BA29" s="2051"/>
      <c r="BB29" s="2043"/>
      <c r="BC29" s="2045">
        <f t="shared" si="36"/>
        <v>0</v>
      </c>
      <c r="BD29" s="2871" t="e">
        <f t="shared" si="21"/>
        <v>#DIV/0!</v>
      </c>
      <c r="BE29" s="2046"/>
      <c r="BF29" s="2051"/>
      <c r="BG29" s="2043"/>
      <c r="BH29" s="2045">
        <f t="shared" si="37"/>
        <v>0</v>
      </c>
      <c r="BI29" s="2138">
        <f t="shared" si="22"/>
        <v>0</v>
      </c>
      <c r="BJ29" s="2046"/>
      <c r="BK29" s="2051"/>
      <c r="BL29" s="2043"/>
      <c r="BM29" s="2045">
        <f t="shared" si="38"/>
        <v>0</v>
      </c>
      <c r="BN29" s="2138">
        <f t="shared" si="23"/>
        <v>0</v>
      </c>
      <c r="BO29" s="2046"/>
      <c r="BP29" s="2051"/>
      <c r="BQ29" s="2043"/>
      <c r="BR29" s="2045">
        <f t="shared" si="39"/>
        <v>0</v>
      </c>
      <c r="BS29" s="2138">
        <f t="shared" si="24"/>
        <v>0</v>
      </c>
      <c r="BT29" s="2046"/>
      <c r="BU29" s="2043">
        <f t="shared" si="25"/>
        <v>49092</v>
      </c>
      <c r="BV29" s="2043">
        <f t="shared" si="26"/>
        <v>80720</v>
      </c>
      <c r="BW29" s="2045">
        <f t="shared" si="40"/>
        <v>129812</v>
      </c>
      <c r="BX29" s="2871">
        <f t="shared" si="12"/>
        <v>1.7470552494214465E-2</v>
      </c>
      <c r="BY29" s="2880"/>
    </row>
    <row r="30" spans="1:79" s="1396" customFormat="1" ht="51.6" customHeight="1">
      <c r="A30" s="1572"/>
      <c r="B30" s="2873" t="s">
        <v>62</v>
      </c>
      <c r="C30" s="2877"/>
      <c r="D30" s="2874">
        <v>110650</v>
      </c>
      <c r="E30" s="2012">
        <f t="shared" si="13"/>
        <v>110650</v>
      </c>
      <c r="F30" s="2871">
        <f t="shared" si="41"/>
        <v>2.1572389005100372E-2</v>
      </c>
      <c r="G30" s="2043">
        <v>0</v>
      </c>
      <c r="H30" s="2043">
        <v>154660</v>
      </c>
      <c r="I30" s="2045">
        <f t="shared" si="27"/>
        <v>154660</v>
      </c>
      <c r="J30" s="2871">
        <v>4.7884658620684757E-2</v>
      </c>
      <c r="K30" s="1976"/>
      <c r="L30" s="2051">
        <v>0</v>
      </c>
      <c r="M30" s="2043">
        <v>129367.55</v>
      </c>
      <c r="N30" s="2045">
        <f t="shared" si="28"/>
        <v>129367.55</v>
      </c>
      <c r="O30" s="2871">
        <f t="shared" si="14"/>
        <v>3.4847100056146288E-2</v>
      </c>
      <c r="P30" s="2046"/>
      <c r="Q30" s="2611"/>
      <c r="R30" s="2051"/>
      <c r="S30" s="2043">
        <v>5000</v>
      </c>
      <c r="T30" s="2045">
        <f t="shared" si="29"/>
        <v>5000</v>
      </c>
      <c r="U30" s="2871">
        <f t="shared" si="15"/>
        <v>0.79336051377489003</v>
      </c>
      <c r="V30" s="2046" t="s">
        <v>1284</v>
      </c>
      <c r="W30" s="2051"/>
      <c r="X30" s="2043"/>
      <c r="Y30" s="2045">
        <f t="shared" si="30"/>
        <v>0</v>
      </c>
      <c r="Z30" s="2871">
        <f t="shared" si="11"/>
        <v>0</v>
      </c>
      <c r="AA30" s="2046"/>
      <c r="AB30" s="2051"/>
      <c r="AC30" s="2043"/>
      <c r="AD30" s="2045">
        <f t="shared" si="31"/>
        <v>0</v>
      </c>
      <c r="AE30" s="2871">
        <f t="shared" si="16"/>
        <v>0</v>
      </c>
      <c r="AF30" s="2046"/>
      <c r="AG30" s="2051"/>
      <c r="AH30" s="2043"/>
      <c r="AI30" s="2045">
        <f t="shared" si="32"/>
        <v>0</v>
      </c>
      <c r="AJ30" s="2871">
        <f t="shared" si="17"/>
        <v>0</v>
      </c>
      <c r="AK30" s="2046"/>
      <c r="AL30" s="2051"/>
      <c r="AM30" s="2043"/>
      <c r="AN30" s="2045">
        <f t="shared" si="33"/>
        <v>0</v>
      </c>
      <c r="AO30" s="2871">
        <f t="shared" si="18"/>
        <v>0</v>
      </c>
      <c r="AP30" s="2046"/>
      <c r="AQ30" s="2051"/>
      <c r="AR30" s="2043"/>
      <c r="AS30" s="2045">
        <f t="shared" si="34"/>
        <v>0</v>
      </c>
      <c r="AT30" s="2871">
        <f t="shared" si="19"/>
        <v>0</v>
      </c>
      <c r="AU30" s="2046"/>
      <c r="AV30" s="2051"/>
      <c r="AW30" s="2043"/>
      <c r="AX30" s="2045">
        <f t="shared" si="35"/>
        <v>0</v>
      </c>
      <c r="AY30" s="2871">
        <f t="shared" si="20"/>
        <v>0</v>
      </c>
      <c r="AZ30" s="2046"/>
      <c r="BA30" s="2051"/>
      <c r="BB30" s="2043"/>
      <c r="BC30" s="2045">
        <f t="shared" si="36"/>
        <v>0</v>
      </c>
      <c r="BD30" s="2871" t="e">
        <f t="shared" si="21"/>
        <v>#DIV/0!</v>
      </c>
      <c r="BE30" s="2046"/>
      <c r="BF30" s="2051"/>
      <c r="BG30" s="2043"/>
      <c r="BH30" s="2045">
        <f t="shared" si="37"/>
        <v>0</v>
      </c>
      <c r="BI30" s="2138">
        <f t="shared" si="22"/>
        <v>0</v>
      </c>
      <c r="BJ30" s="2046"/>
      <c r="BK30" s="2051"/>
      <c r="BL30" s="2043"/>
      <c r="BM30" s="2045">
        <f t="shared" si="38"/>
        <v>0</v>
      </c>
      <c r="BN30" s="2138">
        <f t="shared" si="23"/>
        <v>0</v>
      </c>
      <c r="BO30" s="2046"/>
      <c r="BP30" s="2051"/>
      <c r="BQ30" s="2043"/>
      <c r="BR30" s="2045">
        <f t="shared" si="39"/>
        <v>0</v>
      </c>
      <c r="BS30" s="2138">
        <f t="shared" si="24"/>
        <v>0</v>
      </c>
      <c r="BT30" s="2046"/>
      <c r="BU30" s="2043">
        <f t="shared" si="25"/>
        <v>0</v>
      </c>
      <c r="BV30" s="2043">
        <f t="shared" si="26"/>
        <v>289027.55</v>
      </c>
      <c r="BW30" s="2045">
        <f t="shared" si="40"/>
        <v>289027.55</v>
      </c>
      <c r="BX30" s="2871">
        <f t="shared" si="12"/>
        <v>3.8898337476883461E-2</v>
      </c>
      <c r="BY30" s="2880"/>
    </row>
    <row r="31" spans="1:79" s="1396" customFormat="1" ht="51.6" customHeight="1">
      <c r="A31" s="1572"/>
      <c r="B31" s="2873" t="s">
        <v>34</v>
      </c>
      <c r="C31" s="2877"/>
      <c r="D31" s="2881"/>
      <c r="E31" s="2012">
        <f t="shared" si="13"/>
        <v>0</v>
      </c>
      <c r="F31" s="2871">
        <f t="shared" si="41"/>
        <v>0</v>
      </c>
      <c r="G31" s="2043">
        <v>18645.919999999998</v>
      </c>
      <c r="H31" s="2043">
        <v>25540</v>
      </c>
      <c r="I31" s="2045">
        <f t="shared" si="27"/>
        <v>44185.919999999998</v>
      </c>
      <c r="J31" s="2871">
        <v>1.3680510119235011E-2</v>
      </c>
      <c r="K31" s="1976"/>
      <c r="L31" s="2051">
        <v>13144.970000000001</v>
      </c>
      <c r="M31" s="2043">
        <v>13450.02</v>
      </c>
      <c r="N31" s="2045">
        <f t="shared" si="28"/>
        <v>26594.99</v>
      </c>
      <c r="O31" s="2871">
        <f t="shared" si="14"/>
        <v>7.1637615269224001E-3</v>
      </c>
      <c r="P31" s="2046"/>
      <c r="Q31" s="2611"/>
      <c r="R31" s="2051"/>
      <c r="S31" s="2043"/>
      <c r="T31" s="2045">
        <f t="shared" si="29"/>
        <v>0</v>
      </c>
      <c r="U31" s="2871">
        <f t="shared" si="15"/>
        <v>0</v>
      </c>
      <c r="V31" s="2046"/>
      <c r="W31" s="2051"/>
      <c r="X31" s="2043"/>
      <c r="Y31" s="2045">
        <f t="shared" si="30"/>
        <v>0</v>
      </c>
      <c r="Z31" s="2871">
        <f t="shared" si="11"/>
        <v>0</v>
      </c>
      <c r="AA31" s="2046"/>
      <c r="AB31" s="2051"/>
      <c r="AC31" s="2043"/>
      <c r="AD31" s="2045">
        <f t="shared" si="31"/>
        <v>0</v>
      </c>
      <c r="AE31" s="2871">
        <f t="shared" si="16"/>
        <v>0</v>
      </c>
      <c r="AF31" s="2046"/>
      <c r="AG31" s="2051"/>
      <c r="AH31" s="2043"/>
      <c r="AI31" s="2045">
        <f t="shared" si="32"/>
        <v>0</v>
      </c>
      <c r="AJ31" s="2871">
        <f t="shared" si="17"/>
        <v>0</v>
      </c>
      <c r="AK31" s="2046"/>
      <c r="AL31" s="2051"/>
      <c r="AM31" s="2043"/>
      <c r="AN31" s="2045">
        <f t="shared" si="33"/>
        <v>0</v>
      </c>
      <c r="AO31" s="2871">
        <f t="shared" si="18"/>
        <v>0</v>
      </c>
      <c r="AP31" s="2046"/>
      <c r="AQ31" s="2051"/>
      <c r="AR31" s="2043"/>
      <c r="AS31" s="2045">
        <f t="shared" si="34"/>
        <v>0</v>
      </c>
      <c r="AT31" s="2871">
        <f t="shared" si="19"/>
        <v>0</v>
      </c>
      <c r="AU31" s="2046"/>
      <c r="AV31" s="2051"/>
      <c r="AW31" s="2043"/>
      <c r="AX31" s="2045">
        <f t="shared" si="35"/>
        <v>0</v>
      </c>
      <c r="AY31" s="2871">
        <f t="shared" si="20"/>
        <v>0</v>
      </c>
      <c r="AZ31" s="2046"/>
      <c r="BA31" s="2051"/>
      <c r="BB31" s="2043"/>
      <c r="BC31" s="2045">
        <f t="shared" si="36"/>
        <v>0</v>
      </c>
      <c r="BD31" s="2871" t="e">
        <f t="shared" si="21"/>
        <v>#DIV/0!</v>
      </c>
      <c r="BE31" s="2046"/>
      <c r="BF31" s="2051"/>
      <c r="BG31" s="2043"/>
      <c r="BH31" s="2045">
        <f t="shared" si="37"/>
        <v>0</v>
      </c>
      <c r="BI31" s="2138">
        <f t="shared" si="22"/>
        <v>0</v>
      </c>
      <c r="BJ31" s="2046"/>
      <c r="BK31" s="2051"/>
      <c r="BL31" s="2043"/>
      <c r="BM31" s="2045">
        <f t="shared" si="38"/>
        <v>0</v>
      </c>
      <c r="BN31" s="2138">
        <f t="shared" si="23"/>
        <v>0</v>
      </c>
      <c r="BO31" s="2046"/>
      <c r="BP31" s="2051"/>
      <c r="BQ31" s="2043"/>
      <c r="BR31" s="2045">
        <f t="shared" si="39"/>
        <v>0</v>
      </c>
      <c r="BS31" s="2138">
        <f t="shared" si="24"/>
        <v>0</v>
      </c>
      <c r="BT31" s="2046"/>
      <c r="BU31" s="2043">
        <f t="shared" si="25"/>
        <v>31790.89</v>
      </c>
      <c r="BV31" s="2043">
        <f t="shared" si="26"/>
        <v>38990.020000000004</v>
      </c>
      <c r="BW31" s="2045">
        <f t="shared" si="40"/>
        <v>70780.91</v>
      </c>
      <c r="BX31" s="2871">
        <f t="shared" si="12"/>
        <v>9.5259421605342325E-3</v>
      </c>
      <c r="BY31" s="2880"/>
    </row>
    <row r="32" spans="1:79" s="1396" customFormat="1" ht="16.2" customHeight="1">
      <c r="A32" s="1572"/>
      <c r="B32" s="2882" t="s">
        <v>2</v>
      </c>
      <c r="C32" s="2883"/>
      <c r="D32" s="2884"/>
      <c r="E32" s="2012">
        <f t="shared" si="13"/>
        <v>0</v>
      </c>
      <c r="F32" s="2871">
        <f t="shared" si="41"/>
        <v>0</v>
      </c>
      <c r="G32" s="2043">
        <v>0</v>
      </c>
      <c r="H32" s="2043">
        <v>0</v>
      </c>
      <c r="I32" s="2045">
        <f t="shared" si="27"/>
        <v>0</v>
      </c>
      <c r="J32" s="2871">
        <v>0</v>
      </c>
      <c r="K32" s="1976"/>
      <c r="L32" s="2051">
        <v>0</v>
      </c>
      <c r="M32" s="2043">
        <v>0</v>
      </c>
      <c r="N32" s="2045">
        <f t="shared" si="28"/>
        <v>0</v>
      </c>
      <c r="O32" s="2871">
        <f t="shared" si="14"/>
        <v>0</v>
      </c>
      <c r="P32" s="2046"/>
      <c r="Q32" s="2611"/>
      <c r="R32" s="2051"/>
      <c r="S32" s="2043"/>
      <c r="T32" s="2045">
        <f t="shared" si="29"/>
        <v>0</v>
      </c>
      <c r="U32" s="2871">
        <f t="shared" si="15"/>
        <v>0</v>
      </c>
      <c r="V32" s="2885"/>
      <c r="W32" s="2051"/>
      <c r="X32" s="2043"/>
      <c r="Y32" s="2045">
        <f t="shared" si="30"/>
        <v>0</v>
      </c>
      <c r="Z32" s="2871">
        <f t="shared" si="11"/>
        <v>0</v>
      </c>
      <c r="AA32" s="2046"/>
      <c r="AB32" s="2051"/>
      <c r="AC32" s="2043"/>
      <c r="AD32" s="2045">
        <f t="shared" si="31"/>
        <v>0</v>
      </c>
      <c r="AE32" s="2871">
        <f t="shared" si="16"/>
        <v>0</v>
      </c>
      <c r="AF32" s="2046"/>
      <c r="AG32" s="2051"/>
      <c r="AH32" s="2043"/>
      <c r="AI32" s="2045">
        <f t="shared" si="32"/>
        <v>0</v>
      </c>
      <c r="AJ32" s="2871">
        <f t="shared" si="17"/>
        <v>0</v>
      </c>
      <c r="AK32" s="2046"/>
      <c r="AL32" s="2051"/>
      <c r="AM32" s="2043"/>
      <c r="AN32" s="2045">
        <f t="shared" si="33"/>
        <v>0</v>
      </c>
      <c r="AO32" s="2871">
        <f t="shared" si="18"/>
        <v>0</v>
      </c>
      <c r="AP32" s="2046"/>
      <c r="AQ32" s="2051"/>
      <c r="AR32" s="2043"/>
      <c r="AS32" s="2045">
        <f t="shared" si="34"/>
        <v>0</v>
      </c>
      <c r="AT32" s="2871">
        <f t="shared" si="19"/>
        <v>0</v>
      </c>
      <c r="AU32" s="2046"/>
      <c r="AV32" s="2051"/>
      <c r="AW32" s="2043"/>
      <c r="AX32" s="2045">
        <f t="shared" si="35"/>
        <v>0</v>
      </c>
      <c r="AY32" s="2871">
        <f t="shared" si="20"/>
        <v>0</v>
      </c>
      <c r="AZ32" s="2046"/>
      <c r="BA32" s="2051"/>
      <c r="BB32" s="2043"/>
      <c r="BC32" s="2045">
        <f t="shared" si="36"/>
        <v>0</v>
      </c>
      <c r="BD32" s="2871" t="e">
        <f t="shared" si="21"/>
        <v>#DIV/0!</v>
      </c>
      <c r="BE32" s="2046"/>
      <c r="BF32" s="2051"/>
      <c r="BG32" s="2043"/>
      <c r="BH32" s="2045">
        <f t="shared" si="37"/>
        <v>0</v>
      </c>
      <c r="BI32" s="2138">
        <f t="shared" si="22"/>
        <v>0</v>
      </c>
      <c r="BJ32" s="2046"/>
      <c r="BK32" s="2051"/>
      <c r="BL32" s="2043"/>
      <c r="BM32" s="2045">
        <f t="shared" si="38"/>
        <v>0</v>
      </c>
      <c r="BN32" s="2138">
        <f t="shared" si="23"/>
        <v>0</v>
      </c>
      <c r="BO32" s="2046"/>
      <c r="BP32" s="2051"/>
      <c r="BQ32" s="2043"/>
      <c r="BR32" s="2045">
        <f t="shared" si="39"/>
        <v>0</v>
      </c>
      <c r="BS32" s="2138">
        <f t="shared" si="24"/>
        <v>0</v>
      </c>
      <c r="BT32" s="2046"/>
      <c r="BU32" s="2043">
        <f t="shared" si="25"/>
        <v>0</v>
      </c>
      <c r="BV32" s="2043">
        <f t="shared" si="26"/>
        <v>0</v>
      </c>
      <c r="BW32" s="2045">
        <f t="shared" si="40"/>
        <v>0</v>
      </c>
      <c r="BX32" s="2871">
        <f t="shared" si="12"/>
        <v>0</v>
      </c>
      <c r="BY32" s="2880"/>
    </row>
    <row r="33" spans="1:77" s="1396" customFormat="1" ht="16.2" customHeight="1" thickBot="1">
      <c r="A33" s="1572"/>
      <c r="B33" s="2886" t="s">
        <v>75</v>
      </c>
      <c r="C33" s="2887"/>
      <c r="D33" s="2888"/>
      <c r="E33" s="1628">
        <f t="shared" si="13"/>
        <v>0</v>
      </c>
      <c r="F33" s="2889">
        <f t="shared" si="41"/>
        <v>0</v>
      </c>
      <c r="G33" s="2025">
        <v>0</v>
      </c>
      <c r="H33" s="2025">
        <v>0</v>
      </c>
      <c r="I33" s="2026">
        <f t="shared" si="27"/>
        <v>0</v>
      </c>
      <c r="J33" s="2889">
        <v>0</v>
      </c>
      <c r="K33" s="1664"/>
      <c r="L33" s="2028">
        <v>0</v>
      </c>
      <c r="M33" s="2025">
        <v>0</v>
      </c>
      <c r="N33" s="2026">
        <f t="shared" si="28"/>
        <v>0</v>
      </c>
      <c r="O33" s="2889">
        <f t="shared" si="14"/>
        <v>0</v>
      </c>
      <c r="P33" s="2890"/>
      <c r="Q33" s="2612"/>
      <c r="R33" s="2028"/>
      <c r="S33" s="2025"/>
      <c r="T33" s="2026">
        <f t="shared" si="29"/>
        <v>0</v>
      </c>
      <c r="U33" s="2889">
        <f t="shared" si="15"/>
        <v>0</v>
      </c>
      <c r="V33" s="2890"/>
      <c r="W33" s="2028"/>
      <c r="X33" s="2025"/>
      <c r="Y33" s="2026">
        <f t="shared" si="30"/>
        <v>0</v>
      </c>
      <c r="Z33" s="2889">
        <f t="shared" si="11"/>
        <v>0</v>
      </c>
      <c r="AA33" s="2890"/>
      <c r="AB33" s="2028"/>
      <c r="AC33" s="2025"/>
      <c r="AD33" s="2026">
        <f t="shared" si="31"/>
        <v>0</v>
      </c>
      <c r="AE33" s="2889">
        <f t="shared" si="16"/>
        <v>0</v>
      </c>
      <c r="AF33" s="2890"/>
      <c r="AG33" s="2028"/>
      <c r="AH33" s="2025"/>
      <c r="AI33" s="2026">
        <f t="shared" si="32"/>
        <v>0</v>
      </c>
      <c r="AJ33" s="2889">
        <f t="shared" si="17"/>
        <v>0</v>
      </c>
      <c r="AK33" s="2890"/>
      <c r="AL33" s="2028"/>
      <c r="AM33" s="2025"/>
      <c r="AN33" s="2026">
        <f t="shared" si="33"/>
        <v>0</v>
      </c>
      <c r="AO33" s="2889">
        <f t="shared" si="18"/>
        <v>0</v>
      </c>
      <c r="AP33" s="2890"/>
      <c r="AQ33" s="2028"/>
      <c r="AR33" s="2025"/>
      <c r="AS33" s="2026">
        <f t="shared" si="34"/>
        <v>0</v>
      </c>
      <c r="AT33" s="2889">
        <f t="shared" si="19"/>
        <v>0</v>
      </c>
      <c r="AU33" s="1675"/>
      <c r="AV33" s="2028"/>
      <c r="AW33" s="2025"/>
      <c r="AX33" s="2026">
        <f t="shared" si="35"/>
        <v>0</v>
      </c>
      <c r="AY33" s="2889">
        <f t="shared" si="20"/>
        <v>0</v>
      </c>
      <c r="AZ33" s="1675"/>
      <c r="BA33" s="2028"/>
      <c r="BB33" s="2025"/>
      <c r="BC33" s="2026">
        <f t="shared" si="36"/>
        <v>0</v>
      </c>
      <c r="BD33" s="2889" t="e">
        <f t="shared" si="21"/>
        <v>#DIV/0!</v>
      </c>
      <c r="BE33" s="1675"/>
      <c r="BF33" s="2028"/>
      <c r="BG33" s="2025"/>
      <c r="BH33" s="2026">
        <f t="shared" si="37"/>
        <v>0</v>
      </c>
      <c r="BI33" s="2503">
        <f t="shared" si="22"/>
        <v>0</v>
      </c>
      <c r="BJ33" s="1675"/>
      <c r="BK33" s="2028"/>
      <c r="BL33" s="2025"/>
      <c r="BM33" s="2026">
        <f t="shared" si="38"/>
        <v>0</v>
      </c>
      <c r="BN33" s="2503">
        <f t="shared" si="23"/>
        <v>0</v>
      </c>
      <c r="BO33" s="1675"/>
      <c r="BP33" s="2028"/>
      <c r="BQ33" s="2025"/>
      <c r="BR33" s="2026">
        <f t="shared" si="39"/>
        <v>0</v>
      </c>
      <c r="BS33" s="2503">
        <f t="shared" si="24"/>
        <v>0</v>
      </c>
      <c r="BT33" s="1675"/>
      <c r="BU33" s="2891">
        <f>G33+L33+R33+W33+AB33+AG33+AL33+AQ33+AV33+BA33+BF33+BK33+BP33</f>
        <v>0</v>
      </c>
      <c r="BV33" s="2892">
        <f>H33+M33+S33+X33+AC33+AH33+AM33+AR33+AW33+BB33+BG33+BL33+BQ33</f>
        <v>0</v>
      </c>
      <c r="BW33" s="2026">
        <f t="shared" si="40"/>
        <v>0</v>
      </c>
      <c r="BX33" s="2889">
        <f t="shared" si="12"/>
        <v>0</v>
      </c>
      <c r="BY33" s="2893"/>
    </row>
    <row r="34" spans="1:77" s="1396" customFormat="1" ht="16.2" customHeight="1">
      <c r="A34" s="1572"/>
      <c r="B34" s="1616"/>
      <c r="C34" s="1617"/>
      <c r="D34" s="1618"/>
      <c r="E34" s="2024"/>
      <c r="F34" s="1620"/>
      <c r="G34" s="2043"/>
      <c r="H34" s="2043"/>
      <c r="I34" s="2024"/>
      <c r="J34" s="2024"/>
      <c r="K34" s="1620"/>
      <c r="L34" s="2051"/>
      <c r="M34" s="2043"/>
      <c r="N34" s="2024"/>
      <c r="O34" s="1976"/>
      <c r="P34" s="2024"/>
      <c r="Q34" s="2613"/>
      <c r="R34" s="2051"/>
      <c r="S34" s="2043"/>
      <c r="T34" s="2024"/>
      <c r="U34" s="2024"/>
      <c r="V34" s="2024"/>
      <c r="W34" s="2051"/>
      <c r="X34" s="2043"/>
      <c r="Y34" s="2024"/>
      <c r="Z34" s="1976"/>
      <c r="AA34" s="2024"/>
      <c r="AB34" s="2051"/>
      <c r="AC34" s="2043"/>
      <c r="AD34" s="2024"/>
      <c r="AE34" s="1976"/>
      <c r="AF34" s="2024"/>
      <c r="AG34" s="2051"/>
      <c r="AH34" s="2043"/>
      <c r="AI34" s="2024"/>
      <c r="AJ34" s="1976"/>
      <c r="AK34" s="2024"/>
      <c r="AL34" s="2051"/>
      <c r="AM34" s="2043"/>
      <c r="AN34" s="2024"/>
      <c r="AO34" s="1976"/>
      <c r="AP34" s="2024"/>
      <c r="AQ34" s="2051"/>
      <c r="AR34" s="2043"/>
      <c r="AS34" s="2024"/>
      <c r="AT34" s="1976"/>
      <c r="AU34" s="2024"/>
      <c r="AV34" s="2051"/>
      <c r="AW34" s="2043"/>
      <c r="AX34" s="2024"/>
      <c r="AY34" s="1976"/>
      <c r="AZ34" s="2024"/>
      <c r="BA34" s="2051"/>
      <c r="BB34" s="2043"/>
      <c r="BC34" s="2024"/>
      <c r="BD34" s="1976"/>
      <c r="BE34" s="2024"/>
      <c r="BF34" s="2051"/>
      <c r="BG34" s="2043"/>
      <c r="BH34" s="2024"/>
      <c r="BI34" s="1976"/>
      <c r="BJ34" s="2024"/>
      <c r="BK34" s="2051"/>
      <c r="BL34" s="2043"/>
      <c r="BM34" s="2024"/>
      <c r="BN34" s="1976"/>
      <c r="BO34" s="2024"/>
      <c r="BP34" s="2051"/>
      <c r="BQ34" s="2043"/>
      <c r="BR34" s="2024"/>
      <c r="BS34" s="1976"/>
      <c r="BT34" s="2024"/>
      <c r="BU34" s="2043"/>
      <c r="BV34" s="2043"/>
      <c r="BW34" s="2024"/>
      <c r="BX34" s="2024"/>
      <c r="BY34" s="2024"/>
    </row>
    <row r="35" spans="1:77" s="2466" customFormat="1" ht="16.2" customHeight="1">
      <c r="A35" s="1572"/>
      <c r="B35" s="2894" t="s">
        <v>80</v>
      </c>
      <c r="C35" s="2895">
        <f>C36</f>
        <v>0</v>
      </c>
      <c r="D35" s="2895">
        <f>D36</f>
        <v>0</v>
      </c>
      <c r="E35" s="2896">
        <f>E36</f>
        <v>0</v>
      </c>
      <c r="F35" s="2897">
        <f>E35/$E$89</f>
        <v>0</v>
      </c>
      <c r="G35" s="2895">
        <v>0</v>
      </c>
      <c r="H35" s="2895">
        <v>0</v>
      </c>
      <c r="I35" s="2896">
        <v>0</v>
      </c>
      <c r="J35" s="2896"/>
      <c r="K35" s="2898"/>
      <c r="L35" s="2895"/>
      <c r="M35" s="2895"/>
      <c r="N35" s="2896">
        <f>N36</f>
        <v>0</v>
      </c>
      <c r="O35" s="2871">
        <f t="shared" ref="O35:O36" si="42">N35/N$89</f>
        <v>0</v>
      </c>
      <c r="P35" s="2899"/>
      <c r="Q35" s="2897"/>
      <c r="R35" s="2895">
        <f>R36</f>
        <v>0</v>
      </c>
      <c r="S35" s="2895">
        <f>S36</f>
        <v>0</v>
      </c>
      <c r="T35" s="2896">
        <f>T36</f>
        <v>0</v>
      </c>
      <c r="U35" s="2896"/>
      <c r="V35" s="2899"/>
      <c r="W35" s="2895"/>
      <c r="X35" s="2895"/>
      <c r="Y35" s="2896">
        <f>Y36</f>
        <v>0</v>
      </c>
      <c r="Z35" s="2871">
        <f>Y35/$Y$89</f>
        <v>0</v>
      </c>
      <c r="AA35" s="2899"/>
      <c r="AB35" s="2895"/>
      <c r="AC35" s="2895"/>
      <c r="AD35" s="2896">
        <f>AD36</f>
        <v>0</v>
      </c>
      <c r="AE35" s="2871">
        <f>AD35/$AD$89</f>
        <v>0</v>
      </c>
      <c r="AF35" s="2899"/>
      <c r="AG35" s="2895"/>
      <c r="AH35" s="2895"/>
      <c r="AI35" s="2896">
        <f>AI36</f>
        <v>0</v>
      </c>
      <c r="AJ35" s="2871">
        <f t="shared" ref="AJ35:AJ36" si="43">AI35/AI$89</f>
        <v>0</v>
      </c>
      <c r="AK35" s="2899"/>
      <c r="AL35" s="2895"/>
      <c r="AM35" s="2895"/>
      <c r="AN35" s="2896">
        <f>AN36</f>
        <v>0</v>
      </c>
      <c r="AO35" s="2871">
        <f t="shared" ref="AO35:AO36" si="44">AN35/AN$89</f>
        <v>0</v>
      </c>
      <c r="AP35" s="2899"/>
      <c r="AQ35" s="2895"/>
      <c r="AR35" s="2895"/>
      <c r="AS35" s="2896">
        <f>AS36</f>
        <v>0</v>
      </c>
      <c r="AT35" s="2896">
        <f t="shared" ref="AT35:AT36" si="45">AS35/AS$89</f>
        <v>0</v>
      </c>
      <c r="AU35" s="2899"/>
      <c r="AV35" s="2895"/>
      <c r="AW35" s="2895"/>
      <c r="AX35" s="2896">
        <f>AX36</f>
        <v>0</v>
      </c>
      <c r="AY35" s="2896">
        <f t="shared" ref="AY35:AY36" si="46">AX35/AX$89</f>
        <v>0</v>
      </c>
      <c r="AZ35" s="2899"/>
      <c r="BA35" s="2895"/>
      <c r="BB35" s="2895"/>
      <c r="BC35" s="2896">
        <f>BC36</f>
        <v>0</v>
      </c>
      <c r="BD35" s="2896" t="e">
        <f t="shared" ref="BD35:BD36" si="47">BC35/BC$89</f>
        <v>#DIV/0!</v>
      </c>
      <c r="BE35" s="2899"/>
      <c r="BF35" s="2495"/>
      <c r="BG35" s="2495"/>
      <c r="BH35" s="2505">
        <f>BH36</f>
        <v>0</v>
      </c>
      <c r="BI35" s="2505">
        <f t="shared" ref="BI35:BI36" si="48">BH35/BH$89</f>
        <v>0</v>
      </c>
      <c r="BJ35" s="2506"/>
      <c r="BK35" s="2495"/>
      <c r="BL35" s="2495"/>
      <c r="BM35" s="2505">
        <f>BM36</f>
        <v>0</v>
      </c>
      <c r="BN35" s="2505">
        <f t="shared" ref="BN35:BN36" si="49">BM35/BM$89</f>
        <v>0</v>
      </c>
      <c r="BO35" s="2506"/>
      <c r="BP35" s="2495"/>
      <c r="BQ35" s="2495"/>
      <c r="BR35" s="2505">
        <f>BR36</f>
        <v>0</v>
      </c>
      <c r="BS35" s="2505">
        <f t="shared" ref="BS35:BS36" si="50">BR35/BR$89</f>
        <v>0</v>
      </c>
      <c r="BT35" s="2506"/>
      <c r="BU35" s="2895">
        <f>BU36</f>
        <v>0</v>
      </c>
      <c r="BV35" s="2895">
        <f>BV36</f>
        <v>0</v>
      </c>
      <c r="BW35" s="2896">
        <f>BW36</f>
        <v>0</v>
      </c>
      <c r="BX35" s="2896"/>
      <c r="BY35" s="2896"/>
    </row>
    <row r="36" spans="1:77" s="1564" customFormat="1" ht="16.2" customHeight="1">
      <c r="A36" s="1572"/>
      <c r="B36" s="2900" t="s">
        <v>81</v>
      </c>
      <c r="C36" s="2901"/>
      <c r="D36" s="2902"/>
      <c r="E36" s="2012">
        <f>C36+D36</f>
        <v>0</v>
      </c>
      <c r="F36" s="2871">
        <f>E36/$E$89</f>
        <v>0</v>
      </c>
      <c r="G36" s="2043">
        <v>0</v>
      </c>
      <c r="H36" s="2043">
        <v>0</v>
      </c>
      <c r="I36" s="2012">
        <v>0</v>
      </c>
      <c r="J36" s="2871">
        <v>0</v>
      </c>
      <c r="K36" s="1976"/>
      <c r="L36" s="2051"/>
      <c r="M36" s="2043"/>
      <c r="N36" s="2012">
        <f>L36+M36*1</f>
        <v>0</v>
      </c>
      <c r="O36" s="2871">
        <f t="shared" si="42"/>
        <v>0</v>
      </c>
      <c r="P36" s="2046"/>
      <c r="Q36" s="2611"/>
      <c r="R36" s="2051"/>
      <c r="S36" s="2043"/>
      <c r="T36" s="2012">
        <f>R36+S36*1</f>
        <v>0</v>
      </c>
      <c r="U36" s="2871">
        <f>T36/$T$89</f>
        <v>0</v>
      </c>
      <c r="V36" s="2903"/>
      <c r="W36" s="2051"/>
      <c r="X36" s="2043"/>
      <c r="Y36" s="2012">
        <f>W36+X36*1</f>
        <v>0</v>
      </c>
      <c r="Z36" s="2871">
        <f>Y36/$Y$89</f>
        <v>0</v>
      </c>
      <c r="AA36" s="2046"/>
      <c r="AB36" s="2051"/>
      <c r="AC36" s="2043"/>
      <c r="AD36" s="2012">
        <f>AB36+AC36*1</f>
        <v>0</v>
      </c>
      <c r="AE36" s="2871">
        <f>AD36/$AD$89</f>
        <v>0</v>
      </c>
      <c r="AF36" s="2046"/>
      <c r="AG36" s="2051"/>
      <c r="AH36" s="2043"/>
      <c r="AI36" s="2012">
        <f>AG36+AH36*1</f>
        <v>0</v>
      </c>
      <c r="AJ36" s="2871">
        <f t="shared" si="43"/>
        <v>0</v>
      </c>
      <c r="AK36" s="2046"/>
      <c r="AL36" s="2051"/>
      <c r="AM36" s="2043"/>
      <c r="AN36" s="2012">
        <f>AL36+AM36*1</f>
        <v>0</v>
      </c>
      <c r="AO36" s="2871">
        <f t="shared" si="44"/>
        <v>0</v>
      </c>
      <c r="AP36" s="2046"/>
      <c r="AQ36" s="2051"/>
      <c r="AR36" s="2043"/>
      <c r="AS36" s="2012">
        <f>AQ36+AR36*1</f>
        <v>0</v>
      </c>
      <c r="AT36" s="2871">
        <f t="shared" si="45"/>
        <v>0</v>
      </c>
      <c r="AU36" s="2046"/>
      <c r="AV36" s="2051"/>
      <c r="AW36" s="2043"/>
      <c r="AX36" s="2012">
        <f>AV36+AW36*1</f>
        <v>0</v>
      </c>
      <c r="AY36" s="2871">
        <f t="shared" si="46"/>
        <v>0</v>
      </c>
      <c r="AZ36" s="2046"/>
      <c r="BA36" s="2051"/>
      <c r="BB36" s="2043"/>
      <c r="BC36" s="2012">
        <f>BA36+BB36*1</f>
        <v>0</v>
      </c>
      <c r="BD36" s="2871" t="e">
        <f t="shared" si="47"/>
        <v>#DIV/0!</v>
      </c>
      <c r="BE36" s="2046"/>
      <c r="BF36" s="2051"/>
      <c r="BG36" s="2043"/>
      <c r="BH36" s="2012">
        <f>BF36+BG36*1</f>
        <v>0</v>
      </c>
      <c r="BI36" s="2138">
        <f t="shared" si="48"/>
        <v>0</v>
      </c>
      <c r="BJ36" s="2046"/>
      <c r="BK36" s="2051"/>
      <c r="BL36" s="2043"/>
      <c r="BM36" s="2012">
        <f>BK36+BL36*1</f>
        <v>0</v>
      </c>
      <c r="BN36" s="2138">
        <f t="shared" si="49"/>
        <v>0</v>
      </c>
      <c r="BO36" s="2046"/>
      <c r="BP36" s="2051"/>
      <c r="BQ36" s="2043"/>
      <c r="BR36" s="2012">
        <f>BP36+BQ36*1</f>
        <v>0</v>
      </c>
      <c r="BS36" s="2138">
        <f t="shared" si="50"/>
        <v>0</v>
      </c>
      <c r="BT36" s="2046"/>
      <c r="BU36" s="2043">
        <f>G36+L36+R36+W36+AB36+AG36+AL36+AQ36+AV36+BA36+BF36+BK36+BP36</f>
        <v>0</v>
      </c>
      <c r="BV36" s="2043">
        <f>H36+M36+S36+X36+AC36+AH36+AM36+AR36+AW36+BB36+BG36+BL36+BQ36</f>
        <v>0</v>
      </c>
      <c r="BW36" s="2012">
        <f>BU36+BV36*1</f>
        <v>0</v>
      </c>
      <c r="BX36" s="2871">
        <f>BW36/$BW$89</f>
        <v>0</v>
      </c>
      <c r="BY36" s="2904"/>
    </row>
    <row r="37" spans="1:77" s="1396" customFormat="1" ht="16.2" customHeight="1" thickBot="1">
      <c r="A37" s="1398"/>
      <c r="B37" s="2905"/>
      <c r="C37" s="2906"/>
      <c r="D37" s="2907"/>
      <c r="E37" s="2908"/>
      <c r="F37" s="2909"/>
      <c r="G37" s="2043"/>
      <c r="H37" s="2043"/>
      <c r="I37" s="2908"/>
      <c r="J37" s="2908"/>
      <c r="K37" s="1708"/>
      <c r="L37" s="2028"/>
      <c r="M37" s="2025"/>
      <c r="N37" s="2908"/>
      <c r="O37" s="2889"/>
      <c r="P37" s="2910"/>
      <c r="Q37" s="2614"/>
      <c r="R37" s="2051"/>
      <c r="S37" s="2043"/>
      <c r="T37" s="2908"/>
      <c r="U37" s="2908"/>
      <c r="V37" s="2910"/>
      <c r="W37" s="2028"/>
      <c r="X37" s="2025"/>
      <c r="Y37" s="2908"/>
      <c r="Z37" s="2889"/>
      <c r="AA37" s="2910"/>
      <c r="AB37" s="2028"/>
      <c r="AC37" s="2025"/>
      <c r="AD37" s="2908"/>
      <c r="AE37" s="2889"/>
      <c r="AF37" s="2910"/>
      <c r="AG37" s="2028"/>
      <c r="AH37" s="2025"/>
      <c r="AI37" s="2908"/>
      <c r="AJ37" s="2889"/>
      <c r="AK37" s="2910"/>
      <c r="AL37" s="2028"/>
      <c r="AM37" s="2025"/>
      <c r="AN37" s="2908"/>
      <c r="AO37" s="2889"/>
      <c r="AP37" s="2910"/>
      <c r="AQ37" s="2028"/>
      <c r="AR37" s="2025"/>
      <c r="AS37" s="2908"/>
      <c r="AT37" s="2889"/>
      <c r="AU37" s="2910"/>
      <c r="AV37" s="2028"/>
      <c r="AW37" s="2025"/>
      <c r="AX37" s="2908"/>
      <c r="AY37" s="2889"/>
      <c r="AZ37" s="2910"/>
      <c r="BA37" s="2028"/>
      <c r="BB37" s="2025"/>
      <c r="BC37" s="2908"/>
      <c r="BD37" s="2889"/>
      <c r="BE37" s="2910"/>
      <c r="BF37" s="2028"/>
      <c r="BG37" s="2025"/>
      <c r="BH37" s="2507"/>
      <c r="BI37" s="2503">
        <f t="shared" ref="BI37" si="51">BH37/$AN$89</f>
        <v>0</v>
      </c>
      <c r="BJ37" s="2508"/>
      <c r="BK37" s="2028"/>
      <c r="BL37" s="2025"/>
      <c r="BM37" s="2507"/>
      <c r="BN37" s="2503">
        <f t="shared" ref="BN37" si="52">BM37/$AN$89</f>
        <v>0</v>
      </c>
      <c r="BO37" s="2508"/>
      <c r="BP37" s="2028"/>
      <c r="BQ37" s="2025"/>
      <c r="BR37" s="2507"/>
      <c r="BS37" s="2503">
        <f t="shared" ref="BS37" si="53">BR37/$AN$89</f>
        <v>0</v>
      </c>
      <c r="BT37" s="2508"/>
      <c r="BU37" s="2043"/>
      <c r="BV37" s="2043"/>
      <c r="BW37" s="2908"/>
      <c r="BX37" s="2908"/>
      <c r="BY37" s="2908"/>
    </row>
    <row r="38" spans="1:77" ht="16.2" customHeight="1" thickBot="1">
      <c r="A38" s="1426"/>
      <c r="B38" s="1427" t="s">
        <v>46</v>
      </c>
      <c r="C38" s="2002">
        <f>(C5)-(C8)</f>
        <v>2744753.7203017585</v>
      </c>
      <c r="D38" s="2002">
        <f>(D5)-(D8)</f>
        <v>-1192084.6782608696</v>
      </c>
      <c r="E38" s="2002">
        <f>(E5)-(E8)</f>
        <v>1552669.0420408882</v>
      </c>
      <c r="F38" s="1530"/>
      <c r="G38" s="2002">
        <f>(G5)-(G8)</f>
        <v>929766.38400000008</v>
      </c>
      <c r="H38" s="2002">
        <f>(H5)-(H8)</f>
        <v>-776164.24</v>
      </c>
      <c r="I38" s="2002">
        <f>(I5)-(I8)</f>
        <v>153602.14399999985</v>
      </c>
      <c r="J38" s="2002"/>
      <c r="K38" s="1530"/>
      <c r="L38" s="2002">
        <f>(L5)-(L8)</f>
        <v>1681270.8356000008</v>
      </c>
      <c r="M38" s="2002">
        <f>(M5)-(M8)</f>
        <v>-669025.35000000009</v>
      </c>
      <c r="N38" s="2002">
        <f>(N5)-(N8)</f>
        <v>1012245.4856000012</v>
      </c>
      <c r="O38" s="2002"/>
      <c r="P38" s="2021"/>
      <c r="Q38" s="1530"/>
      <c r="R38" s="2002">
        <f>(R5)-(R8)</f>
        <v>0</v>
      </c>
      <c r="S38" s="2002">
        <f>(S5)-(S8)</f>
        <v>-5000</v>
      </c>
      <c r="T38" s="2002">
        <f>(T5)-(T8)</f>
        <v>-5000</v>
      </c>
      <c r="U38" s="2002"/>
      <c r="V38" s="2021"/>
      <c r="W38" s="2002">
        <f>(W5)-(W8)</f>
        <v>242122.96600000001</v>
      </c>
      <c r="X38" s="2002">
        <f>(X5)-(X8)</f>
        <v>-41575</v>
      </c>
      <c r="Y38" s="2002">
        <f>(Y5)-(Y8)</f>
        <v>200547.96600000001</v>
      </c>
      <c r="Z38" s="2002"/>
      <c r="AA38" s="2021"/>
      <c r="AB38" s="2002">
        <f>(AB5)-(AB8)</f>
        <v>44549.398000000001</v>
      </c>
      <c r="AC38" s="2002">
        <f>(AC5)-(AC8)</f>
        <v>-19480</v>
      </c>
      <c r="AD38" s="2002">
        <f>(AD5)-(AD8)</f>
        <v>25069.398000000001</v>
      </c>
      <c r="AE38" s="2002"/>
      <c r="AF38" s="2021"/>
      <c r="AG38" s="2002">
        <f>(AG5)-(AG8)</f>
        <v>-12053.6</v>
      </c>
      <c r="AH38" s="2002">
        <f>(AH5)-(AH8)</f>
        <v>0</v>
      </c>
      <c r="AI38" s="2002">
        <f>(AI5)-(AI8)</f>
        <v>-12053.6</v>
      </c>
      <c r="AJ38" s="2002"/>
      <c r="AK38" s="2021"/>
      <c r="AL38" s="2002">
        <f>(AL5)-(AL8)</f>
        <v>-6904.2839999999997</v>
      </c>
      <c r="AM38" s="2002">
        <f>(AM5)-(AM8)</f>
        <v>-55080</v>
      </c>
      <c r="AN38" s="2002">
        <f>(AN5)-(AN8)</f>
        <v>-61984.284</v>
      </c>
      <c r="AO38" s="2002"/>
      <c r="AP38" s="2021"/>
      <c r="AQ38" s="2002">
        <f>(AQ5)-(AQ8)</f>
        <v>0</v>
      </c>
      <c r="AR38" s="2002">
        <f>(AR5)-(AR8)</f>
        <v>-500</v>
      </c>
      <c r="AS38" s="2002">
        <f>(AS5)-(AS8)</f>
        <v>-500</v>
      </c>
      <c r="AT38" s="2002"/>
      <c r="AU38" s="2021"/>
      <c r="AV38" s="2002">
        <f>(AV5)-(AV8)</f>
        <v>186994.82800000001</v>
      </c>
      <c r="AW38" s="2002">
        <f>(AW5)-(AW8)</f>
        <v>-22394.7</v>
      </c>
      <c r="AX38" s="2002">
        <f>(AX5)-(AX8)</f>
        <v>164600.128</v>
      </c>
      <c r="AY38" s="2002"/>
      <c r="AZ38" s="2021"/>
      <c r="BA38" s="2002">
        <f>(BA5)-(BA8)</f>
        <v>0</v>
      </c>
      <c r="BB38" s="2002">
        <f>(BB5)-(BB8)</f>
        <v>0</v>
      </c>
      <c r="BC38" s="2002">
        <f>(BC5)-(BC8)</f>
        <v>0</v>
      </c>
      <c r="BD38" s="2002"/>
      <c r="BE38" s="2021"/>
      <c r="BF38" s="2002">
        <f>(BF5)-(BF8)</f>
        <v>-477.59999999999997</v>
      </c>
      <c r="BG38" s="2002">
        <f>(BG5)-(BG8)</f>
        <v>0</v>
      </c>
      <c r="BH38" s="2002">
        <f>(BH5)-(BH8)</f>
        <v>-477.59999999999997</v>
      </c>
      <c r="BI38" s="2002"/>
      <c r="BJ38" s="2021"/>
      <c r="BK38" s="2002">
        <f>(BK5)-(BK8)</f>
        <v>0</v>
      </c>
      <c r="BL38" s="2002">
        <f>(BL5)-(BL8)</f>
        <v>-10390</v>
      </c>
      <c r="BM38" s="2002">
        <f>(BM5)-(BM8)</f>
        <v>-10390</v>
      </c>
      <c r="BN38" s="2002"/>
      <c r="BO38" s="2021"/>
      <c r="BP38" s="2002">
        <f>(BP5)-(BP8)</f>
        <v>0</v>
      </c>
      <c r="BQ38" s="2002">
        <f>(BQ5)-(BQ8)</f>
        <v>0</v>
      </c>
      <c r="BR38" s="2002">
        <f>(BR5)-(BR8)</f>
        <v>0</v>
      </c>
      <c r="BS38" s="2002"/>
      <c r="BT38" s="2021"/>
      <c r="BU38" s="2002">
        <f>(BU5)-(BU8)</f>
        <v>3065268.9276000028</v>
      </c>
      <c r="BV38" s="2002">
        <f>(BV5)-(BV8)</f>
        <v>-1599609.29</v>
      </c>
      <c r="BW38" s="2002">
        <f>(BW5)-(BW8)</f>
        <v>1465659.6376000019</v>
      </c>
      <c r="BX38" s="2002"/>
      <c r="BY38" s="2002"/>
    </row>
    <row r="39" spans="1:77" ht="16.2" customHeight="1">
      <c r="A39" s="1565"/>
      <c r="B39" s="1408" t="s">
        <v>47</v>
      </c>
      <c r="C39" s="1525">
        <f>C38/(C5)</f>
        <v>0.44017625774674529</v>
      </c>
      <c r="D39" s="1525" t="e">
        <f>D38/(D5)</f>
        <v>#DIV/0!</v>
      </c>
      <c r="E39" s="1526">
        <f>E38/(E5)</f>
        <v>0.24900159288959584</v>
      </c>
      <c r="F39" s="1531"/>
      <c r="G39" s="2003">
        <v>0.31703791137000742</v>
      </c>
      <c r="H39" s="2003" t="e">
        <v>#DIV/0!</v>
      </c>
      <c r="I39" s="2004">
        <v>7.7833042305311739E-2</v>
      </c>
      <c r="J39" s="2004"/>
      <c r="K39" s="1709"/>
      <c r="L39" s="2003">
        <f>L38/(L5)</f>
        <v>0.37359179982150398</v>
      </c>
      <c r="M39" s="2003" t="e">
        <f>M38/(M5)</f>
        <v>#DIV/0!</v>
      </c>
      <c r="N39" s="2004">
        <f>N38/(N5)</f>
        <v>0.22492902679272322</v>
      </c>
      <c r="O39" s="2004"/>
      <c r="P39" s="2022"/>
      <c r="Q39" s="2615"/>
      <c r="R39" s="2003" t="e">
        <f>R38/(R5)</f>
        <v>#DIV/0!</v>
      </c>
      <c r="S39" s="2003" t="e">
        <f>S38/(S5)</f>
        <v>#DIV/0!</v>
      </c>
      <c r="T39" s="2004" t="e">
        <f>T38/(T5)</f>
        <v>#DIV/0!</v>
      </c>
      <c r="U39" s="2004"/>
      <c r="V39" s="2022"/>
      <c r="W39" s="2003">
        <f>W38/(W5)</f>
        <v>0.73106373815195014</v>
      </c>
      <c r="X39" s="2003" t="e">
        <f>X38/(X5)</f>
        <v>#DIV/0!</v>
      </c>
      <c r="Y39" s="2004">
        <f>Y38/(Y5)</f>
        <v>0.60553258587923553</v>
      </c>
      <c r="Z39" s="2004"/>
      <c r="AA39" s="2022"/>
      <c r="AB39" s="2003">
        <f>AB38/(AB5)</f>
        <v>0.40177003058092942</v>
      </c>
      <c r="AC39" s="2003" t="e">
        <f>AC38/(AC5)</f>
        <v>#DIV/0!</v>
      </c>
      <c r="AD39" s="2004">
        <f>AD38/(AD5)</f>
        <v>0.22608908881564441</v>
      </c>
      <c r="AE39" s="2004"/>
      <c r="AF39" s="2022"/>
      <c r="AG39" s="2003" t="e">
        <f>AG38/(AG5)</f>
        <v>#DIV/0!</v>
      </c>
      <c r="AH39" s="2003" t="e">
        <f>AH38/(AH5)</f>
        <v>#DIV/0!</v>
      </c>
      <c r="AI39" s="2004" t="e">
        <f>AI38/(AI5)</f>
        <v>#DIV/0!</v>
      </c>
      <c r="AJ39" s="2004"/>
      <c r="AK39" s="2022"/>
      <c r="AL39" s="2003">
        <f>AL38/(AL5)</f>
        <v>-0.19468188416340423</v>
      </c>
      <c r="AM39" s="2003" t="e">
        <f>AM38/(AM5)</f>
        <v>#DIV/0!</v>
      </c>
      <c r="AN39" s="2004">
        <f>AN38/(AN5)</f>
        <v>-1.7477869099300594</v>
      </c>
      <c r="AO39" s="2004"/>
      <c r="AP39" s="2022"/>
      <c r="AQ39" s="2003" t="e">
        <f>AQ38/(AQ5)</f>
        <v>#DIV/0!</v>
      </c>
      <c r="AR39" s="2003" t="e">
        <f>AR38/(AR5)</f>
        <v>#DIV/0!</v>
      </c>
      <c r="AS39" s="2004" t="e">
        <f>AS38/(AS5)</f>
        <v>#DIV/0!</v>
      </c>
      <c r="AT39" s="2004"/>
      <c r="AU39" s="2022"/>
      <c r="AV39" s="2003">
        <f>AV38/(AV5)</f>
        <v>0.98816195735461199</v>
      </c>
      <c r="AW39" s="2003" t="e">
        <f>AW38/(AW5)</f>
        <v>#DIV/0!</v>
      </c>
      <c r="AX39" s="2004">
        <f>AX38/(AX5)</f>
        <v>0.86981862763230899</v>
      </c>
      <c r="AY39" s="2004"/>
      <c r="AZ39" s="2022"/>
      <c r="BA39" s="2003" t="e">
        <f>BA38/(BA5)</f>
        <v>#DIV/0!</v>
      </c>
      <c r="BB39" s="2003" t="e">
        <f>BB38/(BB5)</f>
        <v>#DIV/0!</v>
      </c>
      <c r="BC39" s="2004" t="e">
        <f>BC38/(BC5)</f>
        <v>#DIV/0!</v>
      </c>
      <c r="BD39" s="2004"/>
      <c r="BE39" s="2022"/>
      <c r="BF39" s="2003" t="e">
        <f>BF38/(BF5)</f>
        <v>#DIV/0!</v>
      </c>
      <c r="BG39" s="2003" t="e">
        <f>BG38/(BG5)</f>
        <v>#DIV/0!</v>
      </c>
      <c r="BH39" s="2004" t="e">
        <f>BH38/(BH5)</f>
        <v>#DIV/0!</v>
      </c>
      <c r="BI39" s="2004"/>
      <c r="BJ39" s="2022"/>
      <c r="BK39" s="2003" t="e">
        <f>BK38/(BK5)</f>
        <v>#DIV/0!</v>
      </c>
      <c r="BL39" s="2003" t="e">
        <f>BL38/(BL5)</f>
        <v>#DIV/0!</v>
      </c>
      <c r="BM39" s="2004" t="e">
        <f>BM38/(BM5)</f>
        <v>#DIV/0!</v>
      </c>
      <c r="BN39" s="2004"/>
      <c r="BO39" s="2022"/>
      <c r="BP39" s="2003" t="e">
        <f>BP38/(BP5)</f>
        <v>#DIV/0!</v>
      </c>
      <c r="BQ39" s="2003" t="e">
        <f>BQ38/(BQ5)</f>
        <v>#DIV/0!</v>
      </c>
      <c r="BR39" s="2004" t="e">
        <f>BR38/(BR5)</f>
        <v>#DIV/0!</v>
      </c>
      <c r="BS39" s="2004"/>
      <c r="BT39" s="2022"/>
      <c r="BU39" s="2003">
        <f>BU38/(BU5)</f>
        <v>0.36439972487464634</v>
      </c>
      <c r="BV39" s="2003" t="e">
        <f>BV38/(BV5)</f>
        <v>#DIV/0!</v>
      </c>
      <c r="BW39" s="2004">
        <f>BW38/(BW5)</f>
        <v>0.17423788297736245</v>
      </c>
      <c r="BX39" s="2004"/>
      <c r="BY39" s="2004"/>
    </row>
    <row r="40" spans="1:77" ht="16.2" customHeight="1" thickBot="1">
      <c r="A40" s="1567"/>
      <c r="B40" s="2911"/>
      <c r="C40" s="2912"/>
      <c r="D40" s="2913"/>
      <c r="E40" s="2914"/>
      <c r="F40" s="2915"/>
      <c r="G40" s="2914"/>
      <c r="H40" s="2914"/>
      <c r="I40" s="2914"/>
      <c r="J40" s="2914"/>
      <c r="K40" s="2915"/>
      <c r="L40" s="2913"/>
      <c r="M40" s="2914"/>
      <c r="N40" s="2914"/>
      <c r="O40" s="2914"/>
      <c r="P40" s="2916"/>
      <c r="Q40" s="2917"/>
      <c r="R40" s="2913"/>
      <c r="S40" s="2914"/>
      <c r="T40" s="2914"/>
      <c r="U40" s="2914"/>
      <c r="V40" s="2916"/>
      <c r="W40" s="2913"/>
      <c r="X40" s="2914"/>
      <c r="Y40" s="2914"/>
      <c r="Z40" s="2914"/>
      <c r="AA40" s="2916"/>
      <c r="AB40" s="2913"/>
      <c r="AC40" s="2914"/>
      <c r="AD40" s="2914"/>
      <c r="AE40" s="2914"/>
      <c r="AF40" s="2916"/>
      <c r="AG40" s="2913"/>
      <c r="AH40" s="2914"/>
      <c r="AI40" s="2914"/>
      <c r="AJ40" s="2914"/>
      <c r="AK40" s="2916"/>
      <c r="AL40" s="2913"/>
      <c r="AM40" s="2914"/>
      <c r="AN40" s="2914"/>
      <c r="AO40" s="2914"/>
      <c r="AP40" s="2916"/>
      <c r="AQ40" s="2913"/>
      <c r="AR40" s="2914"/>
      <c r="AS40" s="2914"/>
      <c r="AT40" s="2914"/>
      <c r="AU40" s="2916"/>
      <c r="AV40" s="2913"/>
      <c r="AW40" s="2914"/>
      <c r="AX40" s="2914"/>
      <c r="AY40" s="2914"/>
      <c r="AZ40" s="2916"/>
      <c r="BA40" s="2913"/>
      <c r="BB40" s="2914"/>
      <c r="BC40" s="2914"/>
      <c r="BD40" s="2914"/>
      <c r="BE40" s="2916"/>
      <c r="BF40" s="2509"/>
      <c r="BG40" s="2496"/>
      <c r="BH40" s="2496"/>
      <c r="BI40" s="2496"/>
      <c r="BJ40" s="2510"/>
      <c r="BK40" s="2509"/>
      <c r="BL40" s="2496"/>
      <c r="BM40" s="2496"/>
      <c r="BN40" s="2496"/>
      <c r="BO40" s="2510"/>
      <c r="BP40" s="2509"/>
      <c r="BQ40" s="2496"/>
      <c r="BR40" s="2496"/>
      <c r="BS40" s="2496"/>
      <c r="BT40" s="2510"/>
      <c r="BU40" s="2914"/>
      <c r="BV40" s="2914"/>
      <c r="BW40" s="2914"/>
      <c r="BX40" s="2914"/>
      <c r="BY40" s="2914"/>
    </row>
    <row r="41" spans="1:77" ht="16.2" customHeight="1">
      <c r="A41" s="1405"/>
      <c r="B41" s="1415" t="s">
        <v>26</v>
      </c>
      <c r="C41" s="2013">
        <f>SUM(C42:C48)</f>
        <v>0</v>
      </c>
      <c r="D41" s="2013">
        <f>SUM(D42:D48)</f>
        <v>0</v>
      </c>
      <c r="E41" s="2014">
        <f>SUM(E42:E48)</f>
        <v>0</v>
      </c>
      <c r="F41" s="2918">
        <f t="shared" ref="F41:F48" si="54">E41/$E$89</f>
        <v>0</v>
      </c>
      <c r="G41" s="2013">
        <f>SUM(G42:G48)</f>
        <v>13865.04</v>
      </c>
      <c r="H41" s="2013">
        <f t="shared" ref="H41:I41" si="55">SUM(H42:H48)</f>
        <v>800</v>
      </c>
      <c r="I41" s="2014">
        <f t="shared" si="55"/>
        <v>14665.04</v>
      </c>
      <c r="J41" s="2918">
        <v>4.54047868911604E-3</v>
      </c>
      <c r="K41" s="1577"/>
      <c r="L41" s="2013">
        <f>SUM(L42:L48)</f>
        <v>13680.957999999999</v>
      </c>
      <c r="M41" s="2013">
        <f>SUM(M42:M48)</f>
        <v>2830</v>
      </c>
      <c r="N41" s="2014">
        <f>SUM(N42:N48)</f>
        <v>16510.957999999999</v>
      </c>
      <c r="O41" s="2918">
        <f t="shared" ref="O41:O48" si="56">N41/N$89</f>
        <v>4.4474754716219709E-3</v>
      </c>
      <c r="P41" s="2023"/>
      <c r="Q41" s="2616"/>
      <c r="R41" s="2013">
        <f>SUM(R42:R48)</f>
        <v>0</v>
      </c>
      <c r="S41" s="2013">
        <f>SUM(S42:S48)</f>
        <v>0</v>
      </c>
      <c r="T41" s="2014">
        <f>SUM(T42:T48)</f>
        <v>0</v>
      </c>
      <c r="U41" s="2918">
        <f t="shared" ref="U41:U49" si="57">T41/$T$89</f>
        <v>0</v>
      </c>
      <c r="V41" s="2023"/>
      <c r="W41" s="2013">
        <f>SUM(W42:W48)</f>
        <v>0</v>
      </c>
      <c r="X41" s="2013">
        <f>SUM(X42:X48)</f>
        <v>0</v>
      </c>
      <c r="Y41" s="2014">
        <f>SUM(Y42:Y48)</f>
        <v>0</v>
      </c>
      <c r="Z41" s="2918">
        <f t="shared" ref="Z41:Z48" si="58">Y41/$Y$89</f>
        <v>0</v>
      </c>
      <c r="AA41" s="2023"/>
      <c r="AB41" s="2013">
        <f>SUM(AB42:AB48)</f>
        <v>241.2</v>
      </c>
      <c r="AC41" s="2013">
        <f>SUM(AC42:AC48)</f>
        <v>0</v>
      </c>
      <c r="AD41" s="2014">
        <f>SUM(AD42:AD48)</f>
        <v>241.2</v>
      </c>
      <c r="AE41" s="2918">
        <f t="shared" ref="AE41:AE48" si="59">AD41/$AD$89</f>
        <v>2.7227799736593591E-3</v>
      </c>
      <c r="AF41" s="2023"/>
      <c r="AG41" s="2013">
        <f>SUM(AG42:AG48)</f>
        <v>0</v>
      </c>
      <c r="AH41" s="2013">
        <f>SUM(AH42:AH48)</f>
        <v>0</v>
      </c>
      <c r="AI41" s="2014">
        <f>SUM(AI42:AI48)</f>
        <v>0</v>
      </c>
      <c r="AJ41" s="2918">
        <f t="shared" ref="AJ41:AJ48" si="60">AI41/AI$89</f>
        <v>0</v>
      </c>
      <c r="AK41" s="2023"/>
      <c r="AL41" s="2013">
        <f>SUM(AL42:AL48)</f>
        <v>0</v>
      </c>
      <c r="AM41" s="2013">
        <f>SUM(AM42:AM48)</f>
        <v>0</v>
      </c>
      <c r="AN41" s="2014">
        <f>SUM(AN42:AN48)</f>
        <v>0</v>
      </c>
      <c r="AO41" s="2918">
        <f t="shared" ref="AO41:AO48" si="61">AN41/AN$89</f>
        <v>0</v>
      </c>
      <c r="AP41" s="2023"/>
      <c r="AQ41" s="2013">
        <f>SUM(AQ42:AQ48)</f>
        <v>0</v>
      </c>
      <c r="AR41" s="2013">
        <f>SUM(AR42:AR48)</f>
        <v>0</v>
      </c>
      <c r="AS41" s="2014">
        <f>SUM(AS42:AS48)</f>
        <v>0</v>
      </c>
      <c r="AT41" s="2918">
        <f t="shared" ref="AT41:AT48" si="62">AS41/AS$89</f>
        <v>0</v>
      </c>
      <c r="AU41" s="2023"/>
      <c r="AV41" s="2013">
        <f>SUM(AV42:AV48)</f>
        <v>0</v>
      </c>
      <c r="AW41" s="2013">
        <f>SUM(AW42:AW48)</f>
        <v>0</v>
      </c>
      <c r="AX41" s="2014">
        <f>SUM(AX42:AX48)</f>
        <v>0</v>
      </c>
      <c r="AY41" s="2918">
        <f t="shared" ref="AY41:AY48" si="63">AX41/AX$89</f>
        <v>0</v>
      </c>
      <c r="AZ41" s="2023"/>
      <c r="BA41" s="2013">
        <f>SUM(BA42:BA48)</f>
        <v>0</v>
      </c>
      <c r="BB41" s="2013">
        <f>SUM(BB42:BB48)</f>
        <v>0</v>
      </c>
      <c r="BC41" s="2014">
        <f>SUM(BC42:BC48)</f>
        <v>0</v>
      </c>
      <c r="BD41" s="2918" t="e">
        <f t="shared" ref="BD41:BD48" si="64">BC41/BC$89</f>
        <v>#DIV/0!</v>
      </c>
      <c r="BE41" s="2023"/>
      <c r="BF41" s="2013">
        <f>SUM(BF42:BF48)</f>
        <v>0</v>
      </c>
      <c r="BG41" s="2013">
        <f>SUM(BG42:BG48)</f>
        <v>0</v>
      </c>
      <c r="BH41" s="2014">
        <f>SUM(BH42:BH48)</f>
        <v>0</v>
      </c>
      <c r="BI41" s="2464">
        <f t="shared" ref="BI41:BI48" si="65">BH41/BH$89</f>
        <v>0</v>
      </c>
      <c r="BJ41" s="2023"/>
      <c r="BK41" s="2013">
        <f>SUM(BK42:BK48)</f>
        <v>0</v>
      </c>
      <c r="BL41" s="2013">
        <f>SUM(BL42:BL48)</f>
        <v>0</v>
      </c>
      <c r="BM41" s="2014">
        <f>SUM(BM42:BM48)</f>
        <v>0</v>
      </c>
      <c r="BN41" s="2464">
        <f t="shared" ref="BN41:BN48" si="66">BM41/BM$89</f>
        <v>0</v>
      </c>
      <c r="BO41" s="2023"/>
      <c r="BP41" s="2013">
        <f>SUM(BP42:BP48)</f>
        <v>0</v>
      </c>
      <c r="BQ41" s="2013">
        <f>SUM(BQ42:BQ48)</f>
        <v>0</v>
      </c>
      <c r="BR41" s="2014">
        <f>SUM(BR42:BR48)</f>
        <v>0</v>
      </c>
      <c r="BS41" s="2464">
        <f t="shared" ref="BS41:BS48" si="67">BR41/BR$89</f>
        <v>0</v>
      </c>
      <c r="BT41" s="2023"/>
      <c r="BU41" s="2013">
        <f>SUM(BU42:BU48)</f>
        <v>27787.198</v>
      </c>
      <c r="BV41" s="2013">
        <f>SUM(BV42:BV48)</f>
        <v>3630</v>
      </c>
      <c r="BW41" s="2014">
        <f>SUM(BW42:BW48)</f>
        <v>31417.198</v>
      </c>
      <c r="BX41" s="2918">
        <f>BW41/$BW$89</f>
        <v>4.2282362715321369E-3</v>
      </c>
      <c r="BY41" s="2006"/>
    </row>
    <row r="42" spans="1:77" ht="16.2" customHeight="1">
      <c r="A42" s="4833"/>
      <c r="B42" s="2919" t="s">
        <v>7</v>
      </c>
      <c r="C42" s="2874"/>
      <c r="D42" s="2920"/>
      <c r="E42" s="2921">
        <f t="shared" ref="E42:E48" si="68">C42+D42</f>
        <v>0</v>
      </c>
      <c r="F42" s="2871">
        <f t="shared" si="54"/>
        <v>0</v>
      </c>
      <c r="G42" s="2043">
        <v>0</v>
      </c>
      <c r="H42" s="2043">
        <v>0</v>
      </c>
      <c r="I42" s="2012">
        <v>0</v>
      </c>
      <c r="J42" s="2871">
        <v>0</v>
      </c>
      <c r="K42" s="1976"/>
      <c r="L42" s="2051">
        <v>0</v>
      </c>
      <c r="M42" s="2043">
        <v>0</v>
      </c>
      <c r="N42" s="2012">
        <f t="shared" ref="N42:N48" si="69">L42+M42*1</f>
        <v>0</v>
      </c>
      <c r="O42" s="2871">
        <f t="shared" si="56"/>
        <v>0</v>
      </c>
      <c r="P42" s="2046"/>
      <c r="Q42" s="2611"/>
      <c r="R42" s="2051"/>
      <c r="S42" s="2043"/>
      <c r="T42" s="2012">
        <f t="shared" ref="T42:T48" si="70">R42+S42*1</f>
        <v>0</v>
      </c>
      <c r="U42" s="2871">
        <f t="shared" si="57"/>
        <v>0</v>
      </c>
      <c r="V42" s="2885"/>
      <c r="W42" s="2051"/>
      <c r="X42" s="2043"/>
      <c r="Y42" s="2012">
        <f t="shared" ref="Y42:Y48" si="71">W42+X42*1</f>
        <v>0</v>
      </c>
      <c r="Z42" s="2871">
        <f t="shared" si="58"/>
        <v>0</v>
      </c>
      <c r="AA42" s="2046"/>
      <c r="AB42" s="2051"/>
      <c r="AC42" s="2043"/>
      <c r="AD42" s="2012">
        <f t="shared" ref="AD42:AD48" si="72">AB42+AC42*1</f>
        <v>0</v>
      </c>
      <c r="AE42" s="2871">
        <f t="shared" si="59"/>
        <v>0</v>
      </c>
      <c r="AF42" s="2046"/>
      <c r="AG42" s="2051"/>
      <c r="AH42" s="2043"/>
      <c r="AI42" s="2012">
        <f t="shared" ref="AI42:AI48" si="73">AG42+AH42*1</f>
        <v>0</v>
      </c>
      <c r="AJ42" s="2871">
        <f t="shared" si="60"/>
        <v>0</v>
      </c>
      <c r="AK42" s="2046"/>
      <c r="AL42" s="2051"/>
      <c r="AM42" s="2043"/>
      <c r="AN42" s="2012">
        <f t="shared" ref="AN42:AN48" si="74">AL42+AM42*1</f>
        <v>0</v>
      </c>
      <c r="AO42" s="2871">
        <f t="shared" si="61"/>
        <v>0</v>
      </c>
      <c r="AP42" s="2046"/>
      <c r="AQ42" s="2051"/>
      <c r="AR42" s="2043"/>
      <c r="AS42" s="2012">
        <f t="shared" ref="AS42:AS48" si="75">AQ42+AR42*1</f>
        <v>0</v>
      </c>
      <c r="AT42" s="2871">
        <f t="shared" si="62"/>
        <v>0</v>
      </c>
      <c r="AU42" s="2046"/>
      <c r="AV42" s="2051"/>
      <c r="AW42" s="2043"/>
      <c r="AX42" s="2012">
        <f t="shared" ref="AX42:AX48" si="76">AV42+AW42*1</f>
        <v>0</v>
      </c>
      <c r="AY42" s="2871">
        <f t="shared" si="63"/>
        <v>0</v>
      </c>
      <c r="AZ42" s="2046"/>
      <c r="BA42" s="2051"/>
      <c r="BB42" s="2043"/>
      <c r="BC42" s="2012">
        <f t="shared" ref="BC42:BC48" si="77">BA42+BB42*1</f>
        <v>0</v>
      </c>
      <c r="BD42" s="2871" t="e">
        <f t="shared" si="64"/>
        <v>#DIV/0!</v>
      </c>
      <c r="BE42" s="2046"/>
      <c r="BF42" s="2051"/>
      <c r="BG42" s="2043"/>
      <c r="BH42" s="2012">
        <f t="shared" ref="BH42:BH48" si="78">BF42+BG42*1</f>
        <v>0</v>
      </c>
      <c r="BI42" s="2138">
        <f t="shared" si="65"/>
        <v>0</v>
      </c>
      <c r="BJ42" s="2046"/>
      <c r="BK42" s="2051"/>
      <c r="BL42" s="2043"/>
      <c r="BM42" s="2012">
        <f t="shared" ref="BM42:BM48" si="79">BK42+BL42*1</f>
        <v>0</v>
      </c>
      <c r="BN42" s="2138">
        <f t="shared" si="66"/>
        <v>0</v>
      </c>
      <c r="BO42" s="2046"/>
      <c r="BP42" s="2051"/>
      <c r="BQ42" s="2043"/>
      <c r="BR42" s="2012">
        <f t="shared" ref="BR42:BR48" si="80">BP42+BQ42*1</f>
        <v>0</v>
      </c>
      <c r="BS42" s="2138">
        <f t="shared" si="67"/>
        <v>0</v>
      </c>
      <c r="BT42" s="2046"/>
      <c r="BU42" s="2043">
        <f t="shared" ref="BU42:BU48" si="81">G42+L42+R42+W42+AB42+AG42+AL42+AQ42+AV42+BA42+BF42+BK42+BP42</f>
        <v>0</v>
      </c>
      <c r="BV42" s="2043">
        <f t="shared" ref="BV42:BV48" si="82">H42+M42+S42+X42+AC42+AH42+AM42+AR42+AW42+BB42+BG42+BL42+BQ42</f>
        <v>0</v>
      </c>
      <c r="BW42" s="2012">
        <f t="shared" ref="BW42:BW48" si="83">BU42+BV42*1</f>
        <v>0</v>
      </c>
      <c r="BX42" s="2871">
        <f t="shared" ref="BX42:BX72" si="84">BW42/$BW$89</f>
        <v>0</v>
      </c>
      <c r="BY42" s="2880"/>
    </row>
    <row r="43" spans="1:77" ht="16.2" customHeight="1">
      <c r="A43" s="4833"/>
      <c r="B43" s="2919" t="s">
        <v>27</v>
      </c>
      <c r="C43" s="2874"/>
      <c r="D43" s="2920"/>
      <c r="E43" s="2921">
        <f t="shared" si="68"/>
        <v>0</v>
      </c>
      <c r="F43" s="2871">
        <f t="shared" si="54"/>
        <v>0</v>
      </c>
      <c r="G43" s="2043">
        <v>0</v>
      </c>
      <c r="H43" s="2043">
        <v>800</v>
      </c>
      <c r="I43" s="2012">
        <v>800</v>
      </c>
      <c r="J43" s="2871">
        <v>2.4768994501841334E-4</v>
      </c>
      <c r="K43" s="1976"/>
      <c r="L43" s="2051">
        <v>0</v>
      </c>
      <c r="M43" s="2043">
        <v>2100</v>
      </c>
      <c r="N43" s="2012">
        <f t="shared" si="69"/>
        <v>2100</v>
      </c>
      <c r="O43" s="2871">
        <f t="shared" si="56"/>
        <v>5.6566666152297999E-4</v>
      </c>
      <c r="P43" s="2046"/>
      <c r="Q43" s="2611"/>
      <c r="R43" s="2051"/>
      <c r="S43" s="2043"/>
      <c r="T43" s="2012">
        <f t="shared" si="70"/>
        <v>0</v>
      </c>
      <c r="U43" s="2871">
        <f t="shared" si="57"/>
        <v>0</v>
      </c>
      <c r="V43" s="2885"/>
      <c r="W43" s="2051"/>
      <c r="X43" s="2043"/>
      <c r="Y43" s="2012">
        <f t="shared" si="71"/>
        <v>0</v>
      </c>
      <c r="Z43" s="2871">
        <f t="shared" si="58"/>
        <v>0</v>
      </c>
      <c r="AA43" s="2046"/>
      <c r="AB43" s="2051"/>
      <c r="AC43" s="2043"/>
      <c r="AD43" s="2012">
        <f t="shared" si="72"/>
        <v>0</v>
      </c>
      <c r="AE43" s="2871">
        <f t="shared" si="59"/>
        <v>0</v>
      </c>
      <c r="AF43" s="2046"/>
      <c r="AG43" s="2051"/>
      <c r="AH43" s="2043"/>
      <c r="AI43" s="2012">
        <f t="shared" si="73"/>
        <v>0</v>
      </c>
      <c r="AJ43" s="2871">
        <f t="shared" si="60"/>
        <v>0</v>
      </c>
      <c r="AK43" s="2046"/>
      <c r="AL43" s="2051"/>
      <c r="AM43" s="2043"/>
      <c r="AN43" s="2012">
        <f t="shared" si="74"/>
        <v>0</v>
      </c>
      <c r="AO43" s="2871">
        <f t="shared" si="61"/>
        <v>0</v>
      </c>
      <c r="AP43" s="2046"/>
      <c r="AQ43" s="2051"/>
      <c r="AR43" s="2043"/>
      <c r="AS43" s="2012">
        <f t="shared" si="75"/>
        <v>0</v>
      </c>
      <c r="AT43" s="2871">
        <f t="shared" si="62"/>
        <v>0</v>
      </c>
      <c r="AU43" s="2046"/>
      <c r="AV43" s="2051"/>
      <c r="AW43" s="2043"/>
      <c r="AX43" s="2012">
        <f t="shared" si="76"/>
        <v>0</v>
      </c>
      <c r="AY43" s="2871">
        <f t="shared" si="63"/>
        <v>0</v>
      </c>
      <c r="AZ43" s="2046"/>
      <c r="BA43" s="2051"/>
      <c r="BB43" s="2043"/>
      <c r="BC43" s="2012">
        <f t="shared" si="77"/>
        <v>0</v>
      </c>
      <c r="BD43" s="2871" t="e">
        <f t="shared" si="64"/>
        <v>#DIV/0!</v>
      </c>
      <c r="BE43" s="2046"/>
      <c r="BF43" s="2051"/>
      <c r="BG43" s="2043"/>
      <c r="BH43" s="2012">
        <f t="shared" si="78"/>
        <v>0</v>
      </c>
      <c r="BI43" s="2138">
        <f t="shared" si="65"/>
        <v>0</v>
      </c>
      <c r="BJ43" s="2046"/>
      <c r="BK43" s="2051"/>
      <c r="BL43" s="2043"/>
      <c r="BM43" s="2012">
        <f t="shared" si="79"/>
        <v>0</v>
      </c>
      <c r="BN43" s="2138">
        <f t="shared" si="66"/>
        <v>0</v>
      </c>
      <c r="BO43" s="2046"/>
      <c r="BP43" s="2051"/>
      <c r="BQ43" s="2043"/>
      <c r="BR43" s="2012">
        <f t="shared" si="80"/>
        <v>0</v>
      </c>
      <c r="BS43" s="2138">
        <f t="shared" si="67"/>
        <v>0</v>
      </c>
      <c r="BT43" s="2046"/>
      <c r="BU43" s="2043">
        <f t="shared" si="81"/>
        <v>0</v>
      </c>
      <c r="BV43" s="2043">
        <f t="shared" si="82"/>
        <v>2900</v>
      </c>
      <c r="BW43" s="2012">
        <f t="shared" si="83"/>
        <v>2900</v>
      </c>
      <c r="BX43" s="2871">
        <f t="shared" si="84"/>
        <v>3.9029213195407168E-4</v>
      </c>
      <c r="BY43" s="2880"/>
    </row>
    <row r="44" spans="1:77" ht="16.2" customHeight="1">
      <c r="A44" s="4833"/>
      <c r="B44" s="2900" t="s">
        <v>28</v>
      </c>
      <c r="C44" s="2874"/>
      <c r="D44" s="2920"/>
      <c r="E44" s="2921">
        <f t="shared" si="68"/>
        <v>0</v>
      </c>
      <c r="F44" s="2871">
        <f t="shared" si="54"/>
        <v>0</v>
      </c>
      <c r="G44" s="2043">
        <v>0</v>
      </c>
      <c r="H44" s="2043">
        <v>0</v>
      </c>
      <c r="I44" s="2012">
        <v>0</v>
      </c>
      <c r="J44" s="2871">
        <v>0</v>
      </c>
      <c r="K44" s="1976"/>
      <c r="L44" s="2051">
        <v>0</v>
      </c>
      <c r="M44" s="2043">
        <v>520</v>
      </c>
      <c r="N44" s="2012">
        <f t="shared" si="69"/>
        <v>520</v>
      </c>
      <c r="O44" s="2871">
        <f t="shared" si="56"/>
        <v>1.400698399961665E-4</v>
      </c>
      <c r="P44" s="2046"/>
      <c r="Q44" s="2611"/>
      <c r="R44" s="2051"/>
      <c r="S44" s="2043"/>
      <c r="T44" s="2012">
        <f t="shared" si="70"/>
        <v>0</v>
      </c>
      <c r="U44" s="2871">
        <f t="shared" si="57"/>
        <v>0</v>
      </c>
      <c r="V44" s="2885"/>
      <c r="W44" s="2051"/>
      <c r="X44" s="2043"/>
      <c r="Y44" s="2012">
        <f t="shared" si="71"/>
        <v>0</v>
      </c>
      <c r="Z44" s="2871">
        <f t="shared" si="58"/>
        <v>0</v>
      </c>
      <c r="AA44" s="2046"/>
      <c r="AB44" s="2051"/>
      <c r="AC44" s="2043"/>
      <c r="AD44" s="2012">
        <f t="shared" si="72"/>
        <v>0</v>
      </c>
      <c r="AE44" s="2871">
        <f t="shared" si="59"/>
        <v>0</v>
      </c>
      <c r="AF44" s="2046"/>
      <c r="AG44" s="2051"/>
      <c r="AH44" s="2043"/>
      <c r="AI44" s="2012">
        <f t="shared" si="73"/>
        <v>0</v>
      </c>
      <c r="AJ44" s="2871">
        <f t="shared" si="60"/>
        <v>0</v>
      </c>
      <c r="AK44" s="2046"/>
      <c r="AL44" s="2051"/>
      <c r="AM44" s="2043"/>
      <c r="AN44" s="2012">
        <f t="shared" si="74"/>
        <v>0</v>
      </c>
      <c r="AO44" s="2871">
        <f t="shared" si="61"/>
        <v>0</v>
      </c>
      <c r="AP44" s="2046"/>
      <c r="AQ44" s="2051"/>
      <c r="AR44" s="2043"/>
      <c r="AS44" s="2012">
        <f t="shared" si="75"/>
        <v>0</v>
      </c>
      <c r="AT44" s="2871">
        <f t="shared" si="62"/>
        <v>0</v>
      </c>
      <c r="AU44" s="2046"/>
      <c r="AV44" s="2051"/>
      <c r="AW44" s="2043"/>
      <c r="AX44" s="2012">
        <f t="shared" si="76"/>
        <v>0</v>
      </c>
      <c r="AY44" s="2871">
        <f t="shared" si="63"/>
        <v>0</v>
      </c>
      <c r="AZ44" s="2046"/>
      <c r="BA44" s="2051"/>
      <c r="BB44" s="2043"/>
      <c r="BC44" s="2012">
        <f t="shared" si="77"/>
        <v>0</v>
      </c>
      <c r="BD44" s="2871" t="e">
        <f t="shared" si="64"/>
        <v>#DIV/0!</v>
      </c>
      <c r="BE44" s="2046"/>
      <c r="BF44" s="2051"/>
      <c r="BG44" s="2043"/>
      <c r="BH44" s="2012">
        <f t="shared" si="78"/>
        <v>0</v>
      </c>
      <c r="BI44" s="2138">
        <f t="shared" si="65"/>
        <v>0</v>
      </c>
      <c r="BJ44" s="2046"/>
      <c r="BK44" s="2051"/>
      <c r="BL44" s="2043"/>
      <c r="BM44" s="2012">
        <f t="shared" si="79"/>
        <v>0</v>
      </c>
      <c r="BN44" s="2138">
        <f t="shared" si="66"/>
        <v>0</v>
      </c>
      <c r="BO44" s="2046"/>
      <c r="BP44" s="2051"/>
      <c r="BQ44" s="2043"/>
      <c r="BR44" s="2012">
        <f t="shared" si="80"/>
        <v>0</v>
      </c>
      <c r="BS44" s="2138">
        <f t="shared" si="67"/>
        <v>0</v>
      </c>
      <c r="BT44" s="2046"/>
      <c r="BU44" s="2043">
        <f t="shared" si="81"/>
        <v>0</v>
      </c>
      <c r="BV44" s="2043">
        <f t="shared" si="82"/>
        <v>520</v>
      </c>
      <c r="BW44" s="2012">
        <f t="shared" si="83"/>
        <v>520</v>
      </c>
      <c r="BX44" s="2871">
        <f t="shared" si="84"/>
        <v>6.9983416764178368E-5</v>
      </c>
      <c r="BY44" s="2880"/>
    </row>
    <row r="45" spans="1:77" ht="16.2" customHeight="1">
      <c r="A45" s="4833"/>
      <c r="B45" s="2919" t="s">
        <v>8</v>
      </c>
      <c r="C45" s="2874"/>
      <c r="D45" s="2920"/>
      <c r="E45" s="2921">
        <f t="shared" si="68"/>
        <v>0</v>
      </c>
      <c r="F45" s="2871">
        <f t="shared" si="54"/>
        <v>0</v>
      </c>
      <c r="G45" s="2043">
        <v>235</v>
      </c>
      <c r="H45" s="2043">
        <v>0</v>
      </c>
      <c r="I45" s="2012">
        <v>235</v>
      </c>
      <c r="J45" s="2871">
        <v>7.275892134915891E-5</v>
      </c>
      <c r="K45" s="1976"/>
      <c r="L45" s="2051">
        <v>141</v>
      </c>
      <c r="M45" s="2043">
        <v>0</v>
      </c>
      <c r="N45" s="2012">
        <f t="shared" si="69"/>
        <v>141</v>
      </c>
      <c r="O45" s="2871">
        <f t="shared" si="56"/>
        <v>3.7980475845114375E-5</v>
      </c>
      <c r="P45" s="2046"/>
      <c r="Q45" s="2611"/>
      <c r="R45" s="2051"/>
      <c r="S45" s="2043"/>
      <c r="T45" s="2012">
        <f t="shared" si="70"/>
        <v>0</v>
      </c>
      <c r="U45" s="2871">
        <f t="shared" si="57"/>
        <v>0</v>
      </c>
      <c r="V45" s="2885"/>
      <c r="W45" s="2051"/>
      <c r="X45" s="2043"/>
      <c r="Y45" s="2012">
        <f t="shared" si="71"/>
        <v>0</v>
      </c>
      <c r="Z45" s="2871">
        <f t="shared" si="58"/>
        <v>0</v>
      </c>
      <c r="AA45" s="2046"/>
      <c r="AB45" s="2051">
        <f>201*1.2</f>
        <v>241.2</v>
      </c>
      <c r="AC45" s="2043"/>
      <c r="AD45" s="2012">
        <f t="shared" si="72"/>
        <v>241.2</v>
      </c>
      <c r="AE45" s="2871">
        <f t="shared" si="59"/>
        <v>2.7227799736593591E-3</v>
      </c>
      <c r="AF45" s="2046"/>
      <c r="AG45" s="2051"/>
      <c r="AH45" s="2043"/>
      <c r="AI45" s="2012">
        <f t="shared" si="73"/>
        <v>0</v>
      </c>
      <c r="AJ45" s="2871">
        <f t="shared" si="60"/>
        <v>0</v>
      </c>
      <c r="AK45" s="2046"/>
      <c r="AL45" s="2051"/>
      <c r="AM45" s="2043"/>
      <c r="AN45" s="2012">
        <f t="shared" si="74"/>
        <v>0</v>
      </c>
      <c r="AO45" s="2871">
        <f t="shared" si="61"/>
        <v>0</v>
      </c>
      <c r="AP45" s="2046"/>
      <c r="AQ45" s="2051"/>
      <c r="AR45" s="2043"/>
      <c r="AS45" s="2012">
        <f t="shared" si="75"/>
        <v>0</v>
      </c>
      <c r="AT45" s="2871">
        <f t="shared" si="62"/>
        <v>0</v>
      </c>
      <c r="AU45" s="2046"/>
      <c r="AV45" s="2051"/>
      <c r="AW45" s="2043"/>
      <c r="AX45" s="2012">
        <f t="shared" si="76"/>
        <v>0</v>
      </c>
      <c r="AY45" s="2871">
        <f t="shared" si="63"/>
        <v>0</v>
      </c>
      <c r="AZ45" s="2046"/>
      <c r="BA45" s="2051"/>
      <c r="BB45" s="2043"/>
      <c r="BC45" s="2012">
        <f t="shared" si="77"/>
        <v>0</v>
      </c>
      <c r="BD45" s="2871" t="e">
        <f t="shared" si="64"/>
        <v>#DIV/0!</v>
      </c>
      <c r="BE45" s="2046"/>
      <c r="BF45" s="2051"/>
      <c r="BG45" s="2043"/>
      <c r="BH45" s="2012">
        <f t="shared" si="78"/>
        <v>0</v>
      </c>
      <c r="BI45" s="2138">
        <f t="shared" si="65"/>
        <v>0</v>
      </c>
      <c r="BJ45" s="2046"/>
      <c r="BK45" s="2051"/>
      <c r="BL45" s="2043"/>
      <c r="BM45" s="2012">
        <f t="shared" si="79"/>
        <v>0</v>
      </c>
      <c r="BN45" s="2138">
        <f t="shared" si="66"/>
        <v>0</v>
      </c>
      <c r="BO45" s="2046"/>
      <c r="BP45" s="2051"/>
      <c r="BQ45" s="2043"/>
      <c r="BR45" s="2012">
        <f t="shared" si="80"/>
        <v>0</v>
      </c>
      <c r="BS45" s="2138">
        <f t="shared" si="67"/>
        <v>0</v>
      </c>
      <c r="BT45" s="2046"/>
      <c r="BU45" s="2043">
        <f t="shared" si="81"/>
        <v>617.20000000000005</v>
      </c>
      <c r="BV45" s="2043">
        <f t="shared" si="82"/>
        <v>0</v>
      </c>
      <c r="BW45" s="2012">
        <f t="shared" si="83"/>
        <v>617.20000000000005</v>
      </c>
      <c r="BX45" s="2871">
        <f t="shared" si="84"/>
        <v>8.3064932359328634E-5</v>
      </c>
      <c r="BY45" s="2880"/>
    </row>
    <row r="46" spans="1:77" ht="16.2" customHeight="1">
      <c r="A46" s="4833"/>
      <c r="B46" s="2919" t="s">
        <v>29</v>
      </c>
      <c r="C46" s="2874"/>
      <c r="D46" s="2920"/>
      <c r="E46" s="2921">
        <f t="shared" si="68"/>
        <v>0</v>
      </c>
      <c r="F46" s="2871">
        <f t="shared" si="54"/>
        <v>0</v>
      </c>
      <c r="G46" s="2043">
        <v>0</v>
      </c>
      <c r="H46" s="2043">
        <v>0</v>
      </c>
      <c r="I46" s="2012">
        <v>0</v>
      </c>
      <c r="J46" s="2871">
        <v>0</v>
      </c>
      <c r="K46" s="1976"/>
      <c r="L46" s="2051">
        <v>0</v>
      </c>
      <c r="M46" s="2043">
        <v>0</v>
      </c>
      <c r="N46" s="2012">
        <f t="shared" si="69"/>
        <v>0</v>
      </c>
      <c r="O46" s="2871">
        <f t="shared" si="56"/>
        <v>0</v>
      </c>
      <c r="P46" s="2046"/>
      <c r="Q46" s="2611"/>
      <c r="R46" s="2051"/>
      <c r="S46" s="2043"/>
      <c r="T46" s="2012">
        <f t="shared" si="70"/>
        <v>0</v>
      </c>
      <c r="U46" s="2871">
        <f t="shared" si="57"/>
        <v>0</v>
      </c>
      <c r="V46" s="2885"/>
      <c r="W46" s="2051"/>
      <c r="X46" s="2043"/>
      <c r="Y46" s="2012">
        <f t="shared" si="71"/>
        <v>0</v>
      </c>
      <c r="Z46" s="2871">
        <f t="shared" si="58"/>
        <v>0</v>
      </c>
      <c r="AA46" s="2046"/>
      <c r="AB46" s="2051"/>
      <c r="AC46" s="2043"/>
      <c r="AD46" s="2012">
        <f t="shared" si="72"/>
        <v>0</v>
      </c>
      <c r="AE46" s="2871">
        <f t="shared" si="59"/>
        <v>0</v>
      </c>
      <c r="AF46" s="2046"/>
      <c r="AG46" s="2051"/>
      <c r="AH46" s="2043"/>
      <c r="AI46" s="2012">
        <f t="shared" si="73"/>
        <v>0</v>
      </c>
      <c r="AJ46" s="2871">
        <f t="shared" si="60"/>
        <v>0</v>
      </c>
      <c r="AK46" s="2046"/>
      <c r="AL46" s="2051"/>
      <c r="AM46" s="2043"/>
      <c r="AN46" s="2012">
        <f t="shared" si="74"/>
        <v>0</v>
      </c>
      <c r="AO46" s="2871">
        <f t="shared" si="61"/>
        <v>0</v>
      </c>
      <c r="AP46" s="2046"/>
      <c r="AQ46" s="2051"/>
      <c r="AR46" s="2043"/>
      <c r="AS46" s="2012">
        <f t="shared" si="75"/>
        <v>0</v>
      </c>
      <c r="AT46" s="2871">
        <f t="shared" si="62"/>
        <v>0</v>
      </c>
      <c r="AU46" s="2046"/>
      <c r="AV46" s="2051"/>
      <c r="AW46" s="2043"/>
      <c r="AX46" s="2012">
        <f t="shared" si="76"/>
        <v>0</v>
      </c>
      <c r="AY46" s="2871">
        <f t="shared" si="63"/>
        <v>0</v>
      </c>
      <c r="AZ46" s="2046"/>
      <c r="BA46" s="2051"/>
      <c r="BB46" s="2043"/>
      <c r="BC46" s="2012">
        <f t="shared" si="77"/>
        <v>0</v>
      </c>
      <c r="BD46" s="2871" t="e">
        <f t="shared" si="64"/>
        <v>#DIV/0!</v>
      </c>
      <c r="BE46" s="2046"/>
      <c r="BF46" s="2051"/>
      <c r="BG46" s="2043"/>
      <c r="BH46" s="2012">
        <f t="shared" si="78"/>
        <v>0</v>
      </c>
      <c r="BI46" s="2138">
        <f t="shared" si="65"/>
        <v>0</v>
      </c>
      <c r="BJ46" s="2046"/>
      <c r="BK46" s="2051"/>
      <c r="BL46" s="2043"/>
      <c r="BM46" s="2012">
        <f t="shared" si="79"/>
        <v>0</v>
      </c>
      <c r="BN46" s="2138">
        <f t="shared" si="66"/>
        <v>0</v>
      </c>
      <c r="BO46" s="2046"/>
      <c r="BP46" s="2051"/>
      <c r="BQ46" s="2043"/>
      <c r="BR46" s="2012">
        <f t="shared" si="80"/>
        <v>0</v>
      </c>
      <c r="BS46" s="2138">
        <f t="shared" si="67"/>
        <v>0</v>
      </c>
      <c r="BT46" s="2046"/>
      <c r="BU46" s="2043">
        <f t="shared" si="81"/>
        <v>0</v>
      </c>
      <c r="BV46" s="2043">
        <f t="shared" si="82"/>
        <v>0</v>
      </c>
      <c r="BW46" s="2012">
        <f t="shared" si="83"/>
        <v>0</v>
      </c>
      <c r="BX46" s="2871">
        <f t="shared" si="84"/>
        <v>0</v>
      </c>
      <c r="BY46" s="2880"/>
    </row>
    <row r="47" spans="1:77" ht="16.2" customHeight="1">
      <c r="A47" s="4833"/>
      <c r="B47" s="2919" t="s">
        <v>30</v>
      </c>
      <c r="C47" s="2874"/>
      <c r="D47" s="2920"/>
      <c r="E47" s="2921">
        <f t="shared" si="68"/>
        <v>0</v>
      </c>
      <c r="F47" s="2871">
        <f t="shared" si="54"/>
        <v>0</v>
      </c>
      <c r="G47" s="2043">
        <v>12748.04</v>
      </c>
      <c r="H47" s="2043">
        <v>0</v>
      </c>
      <c r="I47" s="2012">
        <v>12748.04</v>
      </c>
      <c r="J47" s="2871">
        <v>3.9469516583656673E-3</v>
      </c>
      <c r="K47" s="1976"/>
      <c r="L47" s="2051">
        <v>11346.417999999998</v>
      </c>
      <c r="M47" s="2043">
        <v>210</v>
      </c>
      <c r="N47" s="2012">
        <f t="shared" si="69"/>
        <v>11556.417999999998</v>
      </c>
      <c r="O47" s="2871">
        <f t="shared" si="56"/>
        <v>3.1128954234400348E-3</v>
      </c>
      <c r="P47" s="2046"/>
      <c r="Q47" s="2611"/>
      <c r="R47" s="2051"/>
      <c r="S47" s="2043"/>
      <c r="T47" s="2012">
        <f t="shared" si="70"/>
        <v>0</v>
      </c>
      <c r="U47" s="2871">
        <f t="shared" si="57"/>
        <v>0</v>
      </c>
      <c r="V47" s="2885"/>
      <c r="W47" s="2051"/>
      <c r="X47" s="2043"/>
      <c r="Y47" s="2012">
        <f t="shared" si="71"/>
        <v>0</v>
      </c>
      <c r="Z47" s="2871">
        <f t="shared" si="58"/>
        <v>0</v>
      </c>
      <c r="AA47" s="2046"/>
      <c r="AB47" s="2051"/>
      <c r="AC47" s="2043"/>
      <c r="AD47" s="2012">
        <f t="shared" si="72"/>
        <v>0</v>
      </c>
      <c r="AE47" s="2871">
        <f t="shared" si="59"/>
        <v>0</v>
      </c>
      <c r="AF47" s="2046"/>
      <c r="AG47" s="2051"/>
      <c r="AH47" s="2043"/>
      <c r="AI47" s="2012">
        <f t="shared" si="73"/>
        <v>0</v>
      </c>
      <c r="AJ47" s="2871">
        <f t="shared" si="60"/>
        <v>0</v>
      </c>
      <c r="AK47" s="2046"/>
      <c r="AL47" s="2051"/>
      <c r="AM47" s="2043"/>
      <c r="AN47" s="2012">
        <f t="shared" si="74"/>
        <v>0</v>
      </c>
      <c r="AO47" s="2871">
        <f t="shared" si="61"/>
        <v>0</v>
      </c>
      <c r="AP47" s="2046"/>
      <c r="AQ47" s="2051"/>
      <c r="AR47" s="2043"/>
      <c r="AS47" s="2012">
        <f t="shared" si="75"/>
        <v>0</v>
      </c>
      <c r="AT47" s="2871">
        <f t="shared" si="62"/>
        <v>0</v>
      </c>
      <c r="AU47" s="2046"/>
      <c r="AV47" s="2051"/>
      <c r="AW47" s="2043"/>
      <c r="AX47" s="2012">
        <f t="shared" si="76"/>
        <v>0</v>
      </c>
      <c r="AY47" s="2871">
        <f t="shared" si="63"/>
        <v>0</v>
      </c>
      <c r="AZ47" s="2046"/>
      <c r="BA47" s="2051"/>
      <c r="BB47" s="2043"/>
      <c r="BC47" s="2012">
        <f t="shared" si="77"/>
        <v>0</v>
      </c>
      <c r="BD47" s="2871" t="e">
        <f t="shared" si="64"/>
        <v>#DIV/0!</v>
      </c>
      <c r="BE47" s="2046"/>
      <c r="BF47" s="2051"/>
      <c r="BG47" s="2043"/>
      <c r="BH47" s="2012">
        <f t="shared" si="78"/>
        <v>0</v>
      </c>
      <c r="BI47" s="2138">
        <f t="shared" si="65"/>
        <v>0</v>
      </c>
      <c r="BJ47" s="2046"/>
      <c r="BK47" s="2051"/>
      <c r="BL47" s="2043"/>
      <c r="BM47" s="2012">
        <f t="shared" si="79"/>
        <v>0</v>
      </c>
      <c r="BN47" s="2138">
        <f t="shared" si="66"/>
        <v>0</v>
      </c>
      <c r="BO47" s="2046"/>
      <c r="BP47" s="2051"/>
      <c r="BQ47" s="2043"/>
      <c r="BR47" s="2012">
        <f t="shared" si="80"/>
        <v>0</v>
      </c>
      <c r="BS47" s="2138">
        <f t="shared" si="67"/>
        <v>0</v>
      </c>
      <c r="BT47" s="2046"/>
      <c r="BU47" s="2043">
        <f t="shared" si="81"/>
        <v>24094.457999999999</v>
      </c>
      <c r="BV47" s="2043">
        <f t="shared" si="82"/>
        <v>210</v>
      </c>
      <c r="BW47" s="2012">
        <f t="shared" si="83"/>
        <v>24304.457999999999</v>
      </c>
      <c r="BX47" s="2871">
        <f t="shared" si="84"/>
        <v>3.2709788720028249E-3</v>
      </c>
      <c r="BY47" s="2880"/>
    </row>
    <row r="48" spans="1:77" ht="16.2" customHeight="1">
      <c r="A48" s="4833"/>
      <c r="B48" s="2919" t="s">
        <v>15</v>
      </c>
      <c r="C48" s="2874"/>
      <c r="D48" s="2920"/>
      <c r="E48" s="2921">
        <f t="shared" si="68"/>
        <v>0</v>
      </c>
      <c r="F48" s="2871">
        <f t="shared" si="54"/>
        <v>0</v>
      </c>
      <c r="G48" s="2043">
        <v>882</v>
      </c>
      <c r="H48" s="2043">
        <v>0</v>
      </c>
      <c r="I48" s="2012">
        <v>882</v>
      </c>
      <c r="J48" s="2871">
        <v>2.7307816438280067E-4</v>
      </c>
      <c r="K48" s="1976"/>
      <c r="L48" s="2051">
        <v>2193.54</v>
      </c>
      <c r="M48" s="2043">
        <v>0</v>
      </c>
      <c r="N48" s="2012">
        <f t="shared" si="69"/>
        <v>2193.54</v>
      </c>
      <c r="O48" s="2871">
        <f t="shared" si="56"/>
        <v>5.9086307081767503E-4</v>
      </c>
      <c r="P48" s="2922"/>
      <c r="Q48" s="2611"/>
      <c r="R48" s="2051"/>
      <c r="S48" s="2043"/>
      <c r="T48" s="2012">
        <f t="shared" si="70"/>
        <v>0</v>
      </c>
      <c r="U48" s="2871">
        <f t="shared" si="57"/>
        <v>0</v>
      </c>
      <c r="V48" s="2885"/>
      <c r="W48" s="2051"/>
      <c r="X48" s="2043"/>
      <c r="Y48" s="2012">
        <f t="shared" si="71"/>
        <v>0</v>
      </c>
      <c r="Z48" s="2871">
        <f t="shared" si="58"/>
        <v>0</v>
      </c>
      <c r="AA48" s="2922"/>
      <c r="AB48" s="2051"/>
      <c r="AC48" s="2043"/>
      <c r="AD48" s="2012">
        <f t="shared" si="72"/>
        <v>0</v>
      </c>
      <c r="AE48" s="2871">
        <f t="shared" si="59"/>
        <v>0</v>
      </c>
      <c r="AF48" s="2922"/>
      <c r="AG48" s="2051"/>
      <c r="AH48" s="2043"/>
      <c r="AI48" s="2012">
        <f t="shared" si="73"/>
        <v>0</v>
      </c>
      <c r="AJ48" s="2871">
        <f t="shared" si="60"/>
        <v>0</v>
      </c>
      <c r="AK48" s="2922"/>
      <c r="AL48" s="2051"/>
      <c r="AM48" s="2043"/>
      <c r="AN48" s="2012">
        <f t="shared" si="74"/>
        <v>0</v>
      </c>
      <c r="AO48" s="2871">
        <f t="shared" si="61"/>
        <v>0</v>
      </c>
      <c r="AP48" s="2922"/>
      <c r="AQ48" s="2051"/>
      <c r="AR48" s="2043"/>
      <c r="AS48" s="2012">
        <f t="shared" si="75"/>
        <v>0</v>
      </c>
      <c r="AT48" s="2871">
        <f t="shared" si="62"/>
        <v>0</v>
      </c>
      <c r="AU48" s="2046"/>
      <c r="AV48" s="2051"/>
      <c r="AW48" s="2043"/>
      <c r="AX48" s="2012">
        <f t="shared" si="76"/>
        <v>0</v>
      </c>
      <c r="AY48" s="2871">
        <f t="shared" si="63"/>
        <v>0</v>
      </c>
      <c r="AZ48" s="2046"/>
      <c r="BA48" s="2051"/>
      <c r="BB48" s="2043"/>
      <c r="BC48" s="2012">
        <f t="shared" si="77"/>
        <v>0</v>
      </c>
      <c r="BD48" s="2871" t="e">
        <f t="shared" si="64"/>
        <v>#DIV/0!</v>
      </c>
      <c r="BE48" s="2046"/>
      <c r="BF48" s="2051"/>
      <c r="BG48" s="2043"/>
      <c r="BH48" s="2012">
        <f t="shared" si="78"/>
        <v>0</v>
      </c>
      <c r="BI48" s="2138">
        <f t="shared" si="65"/>
        <v>0</v>
      </c>
      <c r="BJ48" s="2046"/>
      <c r="BK48" s="2051"/>
      <c r="BL48" s="2043"/>
      <c r="BM48" s="2012">
        <f t="shared" si="79"/>
        <v>0</v>
      </c>
      <c r="BN48" s="2138">
        <f t="shared" si="66"/>
        <v>0</v>
      </c>
      <c r="BO48" s="2046"/>
      <c r="BP48" s="2051"/>
      <c r="BQ48" s="2043"/>
      <c r="BR48" s="2012">
        <f t="shared" si="80"/>
        <v>0</v>
      </c>
      <c r="BS48" s="2138">
        <f t="shared" si="67"/>
        <v>0</v>
      </c>
      <c r="BT48" s="2046"/>
      <c r="BU48" s="2043">
        <f t="shared" si="81"/>
        <v>3075.54</v>
      </c>
      <c r="BV48" s="2043">
        <f t="shared" si="82"/>
        <v>0</v>
      </c>
      <c r="BW48" s="2012">
        <f t="shared" si="83"/>
        <v>3075.54</v>
      </c>
      <c r="BX48" s="2871">
        <f t="shared" si="84"/>
        <v>4.1391691845173297E-4</v>
      </c>
      <c r="BY48" s="2880"/>
    </row>
    <row r="49" spans="1:77" s="1396" customFormat="1" ht="14.4" thickBot="1">
      <c r="A49" s="1405"/>
      <c r="B49" s="2923"/>
      <c r="C49" s="2884"/>
      <c r="D49" s="2924"/>
      <c r="E49" s="2925"/>
      <c r="F49" s="2926"/>
      <c r="G49" s="2043"/>
      <c r="H49" s="2043"/>
      <c r="I49" s="2908"/>
      <c r="J49" s="2871">
        <v>0</v>
      </c>
      <c r="K49" s="1708"/>
      <c r="L49" s="2051"/>
      <c r="M49" s="2043"/>
      <c r="N49" s="2908"/>
      <c r="O49" s="2871"/>
      <c r="P49" s="2927"/>
      <c r="Q49" s="2614"/>
      <c r="R49" s="2051"/>
      <c r="S49" s="2043"/>
      <c r="T49" s="2908"/>
      <c r="U49" s="2871">
        <f t="shared" si="57"/>
        <v>0</v>
      </c>
      <c r="V49" s="2910"/>
      <c r="W49" s="2051"/>
      <c r="X49" s="2043"/>
      <c r="Y49" s="2908"/>
      <c r="Z49" s="2871"/>
      <c r="AA49" s="2927"/>
      <c r="AB49" s="2051"/>
      <c r="AC49" s="2043"/>
      <c r="AD49" s="2908"/>
      <c r="AE49" s="2871"/>
      <c r="AF49" s="2927"/>
      <c r="AG49" s="2051"/>
      <c r="AH49" s="2043"/>
      <c r="AI49" s="2908"/>
      <c r="AJ49" s="2871"/>
      <c r="AK49" s="2927"/>
      <c r="AL49" s="2051"/>
      <c r="AM49" s="2043"/>
      <c r="AN49" s="2908"/>
      <c r="AO49" s="2871"/>
      <c r="AP49" s="2927"/>
      <c r="AQ49" s="2051"/>
      <c r="AR49" s="2043"/>
      <c r="AS49" s="2908"/>
      <c r="AT49" s="2871"/>
      <c r="AU49" s="2927"/>
      <c r="AV49" s="2051"/>
      <c r="AW49" s="2043"/>
      <c r="AX49" s="2908"/>
      <c r="AY49" s="2871"/>
      <c r="AZ49" s="2927"/>
      <c r="BA49" s="2051"/>
      <c r="BB49" s="2043"/>
      <c r="BC49" s="2908"/>
      <c r="BD49" s="2871"/>
      <c r="BE49" s="2927"/>
      <c r="BF49" s="2051"/>
      <c r="BG49" s="2043"/>
      <c r="BH49" s="2507"/>
      <c r="BI49" s="2138"/>
      <c r="BJ49" s="2511"/>
      <c r="BK49" s="2051"/>
      <c r="BL49" s="2043"/>
      <c r="BM49" s="2507"/>
      <c r="BN49" s="2138"/>
      <c r="BO49" s="2511"/>
      <c r="BP49" s="2051"/>
      <c r="BQ49" s="2043"/>
      <c r="BR49" s="2507"/>
      <c r="BS49" s="2138"/>
      <c r="BT49" s="2511"/>
      <c r="BU49" s="2043"/>
      <c r="BV49" s="2043"/>
      <c r="BW49" s="2908"/>
      <c r="BX49" s="2871">
        <f t="shared" si="84"/>
        <v>0</v>
      </c>
      <c r="BY49" s="2908"/>
    </row>
    <row r="50" spans="1:77" s="1396" customFormat="1" ht="13.8">
      <c r="A50" s="1565"/>
      <c r="B50" s="1410" t="s">
        <v>59</v>
      </c>
      <c r="C50" s="2015"/>
      <c r="D50" s="2015"/>
      <c r="E50" s="2015">
        <f>SUM(E51:E52)</f>
        <v>0</v>
      </c>
      <c r="F50" s="1534">
        <f>E50/$E$89</f>
        <v>0</v>
      </c>
      <c r="G50" s="2015">
        <v>0</v>
      </c>
      <c r="H50" s="2015">
        <v>0</v>
      </c>
      <c r="I50" s="2015">
        <v>0</v>
      </c>
      <c r="J50" s="2006"/>
      <c r="K50" s="1578"/>
      <c r="L50" s="2015">
        <f>L52+L51</f>
        <v>0</v>
      </c>
      <c r="M50" s="2015">
        <f>M52+M51</f>
        <v>0</v>
      </c>
      <c r="N50" s="2015">
        <f>SUM(N51:N52)</f>
        <v>0</v>
      </c>
      <c r="O50" s="2006">
        <f t="shared" ref="O50:O52" si="85">N50/N$89</f>
        <v>0</v>
      </c>
      <c r="P50" s="1984"/>
      <c r="Q50" s="2617"/>
      <c r="R50" s="2015">
        <f>R52+R51</f>
        <v>0</v>
      </c>
      <c r="S50" s="2015">
        <f>S52+S51</f>
        <v>0</v>
      </c>
      <c r="T50" s="2015">
        <f>SUM(T51:T52)</f>
        <v>0</v>
      </c>
      <c r="U50" s="2006">
        <f>T50/$T$89</f>
        <v>0</v>
      </c>
      <c r="V50" s="2023"/>
      <c r="W50" s="2015">
        <f>W52+W51</f>
        <v>0</v>
      </c>
      <c r="X50" s="2015">
        <f>X52+X51</f>
        <v>0</v>
      </c>
      <c r="Y50" s="2015">
        <f>SUM(Y51:Y52)</f>
        <v>0</v>
      </c>
      <c r="Z50" s="2006">
        <f>Y50/$Y$89</f>
        <v>0</v>
      </c>
      <c r="AA50" s="1984"/>
      <c r="AB50" s="2015">
        <f>AB52+AB51</f>
        <v>0</v>
      </c>
      <c r="AC50" s="2015">
        <f>AC52+AC51</f>
        <v>0</v>
      </c>
      <c r="AD50" s="2015">
        <f>SUM(AD51:AD52)</f>
        <v>0</v>
      </c>
      <c r="AE50" s="2006">
        <f>AD50/$AD$89</f>
        <v>0</v>
      </c>
      <c r="AF50" s="1984"/>
      <c r="AG50" s="2015">
        <f>AG52+AG51</f>
        <v>0</v>
      </c>
      <c r="AH50" s="2015">
        <f>AH52+AH51</f>
        <v>0</v>
      </c>
      <c r="AI50" s="2015">
        <f>SUM(AI51:AI52)</f>
        <v>0</v>
      </c>
      <c r="AJ50" s="2006">
        <f t="shared" ref="AJ50:AJ52" si="86">AI50/AI$89</f>
        <v>0</v>
      </c>
      <c r="AK50" s="1984"/>
      <c r="AL50" s="2015">
        <f>AL52+AL51</f>
        <v>0</v>
      </c>
      <c r="AM50" s="2015">
        <f>AM52+AM51</f>
        <v>0</v>
      </c>
      <c r="AN50" s="2015">
        <f>SUM(AN51:AN52)</f>
        <v>0</v>
      </c>
      <c r="AO50" s="2006">
        <f t="shared" ref="AO50:AO52" si="87">AN50/AN$89</f>
        <v>0</v>
      </c>
      <c r="AP50" s="1984"/>
      <c r="AQ50" s="2015">
        <f>AQ52+AQ51</f>
        <v>0</v>
      </c>
      <c r="AR50" s="2015">
        <f>AR52+AR51</f>
        <v>0</v>
      </c>
      <c r="AS50" s="2015">
        <f>SUM(AS51:AS52)</f>
        <v>0</v>
      </c>
      <c r="AT50" s="2006">
        <f t="shared" ref="AT50:AT52" si="88">AS50/AS$89</f>
        <v>0</v>
      </c>
      <c r="AU50" s="1984"/>
      <c r="AV50" s="2015">
        <f>AV52+AV51</f>
        <v>0</v>
      </c>
      <c r="AW50" s="2015">
        <f>AW52+AW51</f>
        <v>0</v>
      </c>
      <c r="AX50" s="2015">
        <f>SUM(AX51:AX52)</f>
        <v>0</v>
      </c>
      <c r="AY50" s="2006">
        <f t="shared" ref="AY50:AY52" si="89">AX50/AX$89</f>
        <v>0</v>
      </c>
      <c r="AZ50" s="1984"/>
      <c r="BA50" s="2015">
        <f>BA52+BA51</f>
        <v>0</v>
      </c>
      <c r="BB50" s="2015">
        <f>BB52+BB51</f>
        <v>0</v>
      </c>
      <c r="BC50" s="2015">
        <f>SUM(BC51:BC52)</f>
        <v>0</v>
      </c>
      <c r="BD50" s="2006" t="e">
        <f t="shared" ref="BD50:BD52" si="90">BC50/BC$89</f>
        <v>#DIV/0!</v>
      </c>
      <c r="BE50" s="1984"/>
      <c r="BF50" s="2015">
        <f>BF52+BF51</f>
        <v>0</v>
      </c>
      <c r="BG50" s="2015">
        <f>BG52+BG51</f>
        <v>0</v>
      </c>
      <c r="BH50" s="2015">
        <f>SUM(BH51:BH52)</f>
        <v>0</v>
      </c>
      <c r="BI50" s="2006">
        <f t="shared" ref="BI50:BI52" si="91">BH50/BH$89</f>
        <v>0</v>
      </c>
      <c r="BJ50" s="1984"/>
      <c r="BK50" s="2015">
        <f>BK52+BK51</f>
        <v>0</v>
      </c>
      <c r="BL50" s="2015">
        <f>BL52+BL51</f>
        <v>0</v>
      </c>
      <c r="BM50" s="2015">
        <f>SUM(BM51:BM52)</f>
        <v>0</v>
      </c>
      <c r="BN50" s="2006">
        <f t="shared" ref="BN50:BN52" si="92">BM50/BM$89</f>
        <v>0</v>
      </c>
      <c r="BO50" s="1984"/>
      <c r="BP50" s="2015">
        <f>BP52+BP51</f>
        <v>0</v>
      </c>
      <c r="BQ50" s="2015">
        <f>BQ52+BQ51</f>
        <v>0</v>
      </c>
      <c r="BR50" s="2015">
        <f>SUM(BR51:BR52)</f>
        <v>0</v>
      </c>
      <c r="BS50" s="2006">
        <f t="shared" ref="BS50:BS52" si="93">BR50/BR$89</f>
        <v>0</v>
      </c>
      <c r="BT50" s="1984"/>
      <c r="BU50" s="2015">
        <f>BU52+BU51</f>
        <v>0</v>
      </c>
      <c r="BV50" s="2015">
        <f>BV52+BV51</f>
        <v>0</v>
      </c>
      <c r="BW50" s="2015">
        <f>SUM(BW51:BW52)</f>
        <v>0</v>
      </c>
      <c r="BX50" s="2006"/>
      <c r="BY50" s="2006"/>
    </row>
    <row r="51" spans="1:77" s="1564" customFormat="1" ht="13.8">
      <c r="A51" s="1568"/>
      <c r="B51" s="2919" t="s">
        <v>60</v>
      </c>
      <c r="C51" s="2874"/>
      <c r="D51" s="2920"/>
      <c r="E51" s="2920">
        <f>C51+D51</f>
        <v>0</v>
      </c>
      <c r="F51" s="2928">
        <f>E51/$E$89</f>
        <v>0</v>
      </c>
      <c r="G51" s="2043">
        <v>0</v>
      </c>
      <c r="H51" s="2043">
        <v>0</v>
      </c>
      <c r="I51" s="2012">
        <v>0</v>
      </c>
      <c r="J51" s="2871">
        <v>0</v>
      </c>
      <c r="K51" s="1587"/>
      <c r="L51" s="2051">
        <v>0</v>
      </c>
      <c r="M51" s="2043">
        <v>0</v>
      </c>
      <c r="N51" s="2012">
        <f>L51+M51*1</f>
        <v>0</v>
      </c>
      <c r="O51" s="2871">
        <f t="shared" si="85"/>
        <v>0</v>
      </c>
      <c r="P51" s="2929"/>
      <c r="Q51" s="2618"/>
      <c r="R51" s="2051"/>
      <c r="S51" s="2043"/>
      <c r="T51" s="2012">
        <f>R51+S51*1</f>
        <v>0</v>
      </c>
      <c r="U51" s="2871">
        <f>T51/$T$89</f>
        <v>0</v>
      </c>
      <c r="V51" s="2903"/>
      <c r="W51" s="2051"/>
      <c r="X51" s="2043"/>
      <c r="Y51" s="2012">
        <f>W51+X51*1</f>
        <v>0</v>
      </c>
      <c r="Z51" s="2871">
        <f>Y51/$Y$89</f>
        <v>0</v>
      </c>
      <c r="AA51" s="2929"/>
      <c r="AB51" s="2051"/>
      <c r="AC51" s="2043"/>
      <c r="AD51" s="2012">
        <f>AB51+AC51*1</f>
        <v>0</v>
      </c>
      <c r="AE51" s="2871">
        <f>AD51/$AD$89</f>
        <v>0</v>
      </c>
      <c r="AF51" s="2929"/>
      <c r="AG51" s="2051"/>
      <c r="AH51" s="2043"/>
      <c r="AI51" s="2012">
        <f>AG51+AH51*1</f>
        <v>0</v>
      </c>
      <c r="AJ51" s="2871">
        <f t="shared" si="86"/>
        <v>0</v>
      </c>
      <c r="AK51" s="2929"/>
      <c r="AL51" s="2051"/>
      <c r="AM51" s="2043"/>
      <c r="AN51" s="2012">
        <f>AL51+AM51*1</f>
        <v>0</v>
      </c>
      <c r="AO51" s="2871">
        <f t="shared" si="87"/>
        <v>0</v>
      </c>
      <c r="AP51" s="2929"/>
      <c r="AQ51" s="2051"/>
      <c r="AR51" s="2043"/>
      <c r="AS51" s="2012">
        <f>AQ51+AR51*1</f>
        <v>0</v>
      </c>
      <c r="AT51" s="2871">
        <f t="shared" si="88"/>
        <v>0</v>
      </c>
      <c r="AU51" s="2929"/>
      <c r="AV51" s="2051"/>
      <c r="AW51" s="2043"/>
      <c r="AX51" s="2012">
        <f>AV51+AW51*1</f>
        <v>0</v>
      </c>
      <c r="AY51" s="2871">
        <f t="shared" si="89"/>
        <v>0</v>
      </c>
      <c r="AZ51" s="2929"/>
      <c r="BA51" s="2051"/>
      <c r="BB51" s="2043"/>
      <c r="BC51" s="2012">
        <f>BA51+BB51*1</f>
        <v>0</v>
      </c>
      <c r="BD51" s="2871" t="e">
        <f t="shared" si="90"/>
        <v>#DIV/0!</v>
      </c>
      <c r="BE51" s="2929"/>
      <c r="BF51" s="2051"/>
      <c r="BG51" s="2043"/>
      <c r="BH51" s="2012">
        <f>BF51+BG51*1</f>
        <v>0</v>
      </c>
      <c r="BI51" s="2138">
        <f t="shared" si="91"/>
        <v>0</v>
      </c>
      <c r="BJ51" s="2512"/>
      <c r="BK51" s="2051"/>
      <c r="BL51" s="2043"/>
      <c r="BM51" s="2012">
        <f>BK51+BL51*1</f>
        <v>0</v>
      </c>
      <c r="BN51" s="2138">
        <f t="shared" si="92"/>
        <v>0</v>
      </c>
      <c r="BO51" s="2512"/>
      <c r="BP51" s="2051"/>
      <c r="BQ51" s="2043"/>
      <c r="BR51" s="2012">
        <f>BP51+BQ51*1</f>
        <v>0</v>
      </c>
      <c r="BS51" s="2138">
        <f t="shared" si="93"/>
        <v>0</v>
      </c>
      <c r="BT51" s="2512"/>
      <c r="BU51" s="2043">
        <f t="shared" ref="BU51:BU52" si="94">G51+L51+R51+W51+AB51+AG51+AL51+AQ51+AV51+BA51+BF51+BK51+BP51</f>
        <v>0</v>
      </c>
      <c r="BV51" s="2043">
        <f t="shared" ref="BV51:BV52" si="95">H51+M51+S51+X51+AC51+AH51+AM51+AR51+AW51+BB51+BG51+BL51+BQ51</f>
        <v>0</v>
      </c>
      <c r="BW51" s="2012">
        <f>BU51+BV51*1</f>
        <v>0</v>
      </c>
      <c r="BX51" s="2871">
        <f t="shared" si="84"/>
        <v>0</v>
      </c>
      <c r="BY51" s="2904"/>
    </row>
    <row r="52" spans="1:77" s="1569" customFormat="1" ht="13.8">
      <c r="A52" s="1568"/>
      <c r="B52" s="2919" t="s">
        <v>61</v>
      </c>
      <c r="C52" s="2874"/>
      <c r="D52" s="2920"/>
      <c r="E52" s="2920">
        <f>C52+D52</f>
        <v>0</v>
      </c>
      <c r="F52" s="2928">
        <f>E52/$E$89</f>
        <v>0</v>
      </c>
      <c r="G52" s="2043">
        <v>0</v>
      </c>
      <c r="H52" s="2043">
        <v>0</v>
      </c>
      <c r="I52" s="2012">
        <v>0</v>
      </c>
      <c r="J52" s="2871">
        <v>0</v>
      </c>
      <c r="K52" s="1587"/>
      <c r="L52" s="2051">
        <v>0</v>
      </c>
      <c r="M52" s="2043">
        <v>0</v>
      </c>
      <c r="N52" s="2012">
        <f>L52+M52*1</f>
        <v>0</v>
      </c>
      <c r="O52" s="2871">
        <f t="shared" si="85"/>
        <v>0</v>
      </c>
      <c r="P52" s="2046"/>
      <c r="Q52" s="2618"/>
      <c r="R52" s="2051"/>
      <c r="S52" s="2043"/>
      <c r="T52" s="2012">
        <f>R52+S52*1</f>
        <v>0</v>
      </c>
      <c r="U52" s="2871">
        <f>T52/$T$89</f>
        <v>0</v>
      </c>
      <c r="V52" s="2903"/>
      <c r="W52" s="2051"/>
      <c r="X52" s="2043"/>
      <c r="Y52" s="2012">
        <f>W52+X52*1</f>
        <v>0</v>
      </c>
      <c r="Z52" s="2871">
        <f>Y52/$Y$89</f>
        <v>0</v>
      </c>
      <c r="AA52" s="2046"/>
      <c r="AB52" s="2051"/>
      <c r="AC52" s="2043"/>
      <c r="AD52" s="2012">
        <f>AB52+AC52*1</f>
        <v>0</v>
      </c>
      <c r="AE52" s="2871">
        <f>AD52/$AD$89</f>
        <v>0</v>
      </c>
      <c r="AF52" s="2046"/>
      <c r="AG52" s="2051"/>
      <c r="AH52" s="2043"/>
      <c r="AI52" s="2012">
        <f>AG52+AH52*1</f>
        <v>0</v>
      </c>
      <c r="AJ52" s="2871">
        <f t="shared" si="86"/>
        <v>0</v>
      </c>
      <c r="AK52" s="2046"/>
      <c r="AL52" s="2051"/>
      <c r="AM52" s="2043"/>
      <c r="AN52" s="2012">
        <f>AL52+AM52*1</f>
        <v>0</v>
      </c>
      <c r="AO52" s="2871">
        <f t="shared" si="87"/>
        <v>0</v>
      </c>
      <c r="AP52" s="2046"/>
      <c r="AQ52" s="2051"/>
      <c r="AR52" s="2043"/>
      <c r="AS52" s="2012">
        <f>AQ52+AR52*1</f>
        <v>0</v>
      </c>
      <c r="AT52" s="2871">
        <f t="shared" si="88"/>
        <v>0</v>
      </c>
      <c r="AU52" s="2046"/>
      <c r="AV52" s="2051"/>
      <c r="AW52" s="2043"/>
      <c r="AX52" s="2012">
        <f>AV52+AW52*1</f>
        <v>0</v>
      </c>
      <c r="AY52" s="2871">
        <f t="shared" si="89"/>
        <v>0</v>
      </c>
      <c r="AZ52" s="2046"/>
      <c r="BA52" s="2051"/>
      <c r="BB52" s="2043"/>
      <c r="BC52" s="2012">
        <f>BA52+BB52*1</f>
        <v>0</v>
      </c>
      <c r="BD52" s="2871" t="e">
        <f t="shared" si="90"/>
        <v>#DIV/0!</v>
      </c>
      <c r="BE52" s="2046"/>
      <c r="BF52" s="2051"/>
      <c r="BG52" s="2043"/>
      <c r="BH52" s="2012">
        <f>BF52+BG52*1</f>
        <v>0</v>
      </c>
      <c r="BI52" s="2138">
        <f t="shared" si="91"/>
        <v>0</v>
      </c>
      <c r="BJ52" s="2046"/>
      <c r="BK52" s="2051"/>
      <c r="BL52" s="2043"/>
      <c r="BM52" s="2012">
        <f>BK52+BL52*1</f>
        <v>0</v>
      </c>
      <c r="BN52" s="2138">
        <f t="shared" si="92"/>
        <v>0</v>
      </c>
      <c r="BO52" s="2046"/>
      <c r="BP52" s="2051"/>
      <c r="BQ52" s="2043"/>
      <c r="BR52" s="2012">
        <f>BP52+BQ52*1</f>
        <v>0</v>
      </c>
      <c r="BS52" s="2138">
        <f t="shared" si="93"/>
        <v>0</v>
      </c>
      <c r="BT52" s="2046"/>
      <c r="BU52" s="2043">
        <f t="shared" si="94"/>
        <v>0</v>
      </c>
      <c r="BV52" s="2043">
        <f t="shared" si="95"/>
        <v>0</v>
      </c>
      <c r="BW52" s="2012">
        <f>BU52+BV52*1</f>
        <v>0</v>
      </c>
      <c r="BX52" s="2871">
        <f t="shared" si="84"/>
        <v>0</v>
      </c>
      <c r="BY52" s="2904"/>
    </row>
    <row r="53" spans="1:77" ht="14.4" thickBot="1">
      <c r="A53" s="1413"/>
      <c r="B53" s="2930"/>
      <c r="C53" s="2931"/>
      <c r="D53" s="2932"/>
      <c r="E53" s="2933"/>
      <c r="F53" s="2934"/>
      <c r="G53" s="2043"/>
      <c r="H53" s="2043"/>
      <c r="I53" s="2935"/>
      <c r="J53" s="2935"/>
      <c r="K53" s="1710"/>
      <c r="L53" s="2051"/>
      <c r="M53" s="2043"/>
      <c r="N53" s="2935"/>
      <c r="O53" s="2935"/>
      <c r="P53" s="2936"/>
      <c r="Q53" s="2619"/>
      <c r="R53" s="2051"/>
      <c r="S53" s="2043"/>
      <c r="T53" s="2935"/>
      <c r="U53" s="2935"/>
      <c r="V53" s="2935"/>
      <c r="W53" s="2051"/>
      <c r="X53" s="2043"/>
      <c r="Y53" s="2935"/>
      <c r="Z53" s="2935"/>
      <c r="AA53" s="2936"/>
      <c r="AB53" s="2051"/>
      <c r="AC53" s="2043"/>
      <c r="AD53" s="2935"/>
      <c r="AE53" s="2935"/>
      <c r="AF53" s="2936"/>
      <c r="AG53" s="2051"/>
      <c r="AH53" s="2043"/>
      <c r="AI53" s="2935"/>
      <c r="AJ53" s="2935"/>
      <c r="AK53" s="2936"/>
      <c r="AL53" s="2051"/>
      <c r="AM53" s="2043"/>
      <c r="AN53" s="2935"/>
      <c r="AO53" s="2935"/>
      <c r="AP53" s="2936"/>
      <c r="AQ53" s="2051"/>
      <c r="AR53" s="2043"/>
      <c r="AS53" s="2935"/>
      <c r="AT53" s="2935"/>
      <c r="AU53" s="2936"/>
      <c r="AV53" s="2051"/>
      <c r="AW53" s="2043"/>
      <c r="AX53" s="2935"/>
      <c r="AY53" s="2935"/>
      <c r="AZ53" s="2936"/>
      <c r="BA53" s="2051"/>
      <c r="BB53" s="2043"/>
      <c r="BC53" s="2935"/>
      <c r="BD53" s="2935"/>
      <c r="BE53" s="2936"/>
      <c r="BF53" s="2051"/>
      <c r="BG53" s="2043"/>
      <c r="BH53" s="2513"/>
      <c r="BI53" s="2513"/>
      <c r="BJ53" s="2514"/>
      <c r="BK53" s="2051"/>
      <c r="BL53" s="2043"/>
      <c r="BM53" s="2513"/>
      <c r="BN53" s="2513"/>
      <c r="BO53" s="2514"/>
      <c r="BP53" s="2051"/>
      <c r="BQ53" s="2043"/>
      <c r="BR53" s="2513"/>
      <c r="BS53" s="2513"/>
      <c r="BT53" s="2514"/>
      <c r="BU53" s="2043"/>
      <c r="BV53" s="2043"/>
      <c r="BW53" s="2935"/>
      <c r="BX53" s="2935"/>
      <c r="BY53" s="2935"/>
    </row>
    <row r="54" spans="1:77" ht="13.8">
      <c r="A54" s="1570"/>
      <c r="B54" s="1410" t="s">
        <v>1</v>
      </c>
      <c r="C54" s="2015">
        <f>SUM(C55:C71)</f>
        <v>46857.102208083787</v>
      </c>
      <c r="D54" s="2015">
        <f>SUM(D55:D71)</f>
        <v>29213</v>
      </c>
      <c r="E54" s="1975">
        <f>SUM(E55:E71)</f>
        <v>76070.102208083787</v>
      </c>
      <c r="F54" s="1534">
        <f>E54/$E$89</f>
        <v>1.4830671816453034E-2</v>
      </c>
      <c r="G54" s="2015">
        <f>SUM(G55:G72)</f>
        <v>41505.306080000002</v>
      </c>
      <c r="H54" s="2015">
        <f>SUM(H55:H72)</f>
        <v>58520.63</v>
      </c>
      <c r="I54" s="2015">
        <f>SUM(I55:I72)</f>
        <v>100025.93608</v>
      </c>
      <c r="J54" s="2918">
        <v>3.0969273260088158E-2</v>
      </c>
      <c r="K54" s="1578"/>
      <c r="L54" s="2015">
        <f>SUM(L55:L72)</f>
        <v>72109.73</v>
      </c>
      <c r="M54" s="2015">
        <f>SUM(M55:M72)</f>
        <v>33900.18</v>
      </c>
      <c r="N54" s="2015">
        <f>SUM(N55:N72)</f>
        <v>106009.91</v>
      </c>
      <c r="O54" s="2918">
        <f t="shared" ref="O54:O71" si="96">N54/N$89</f>
        <v>2.8555367560976944E-2</v>
      </c>
      <c r="P54" s="1984"/>
      <c r="Q54" s="2617"/>
      <c r="R54" s="2015">
        <f>SUM(R55:R72)</f>
        <v>0</v>
      </c>
      <c r="S54" s="2015">
        <f>SUM(S55:S72)</f>
        <v>577.54</v>
      </c>
      <c r="T54" s="2015">
        <f>SUM(T55:T72)</f>
        <v>577.54</v>
      </c>
      <c r="U54" s="2918">
        <f t="shared" ref="U54:U71" si="97">T54/$T$89</f>
        <v>9.1639486225109992E-2</v>
      </c>
      <c r="V54" s="2023"/>
      <c r="W54" s="2015">
        <f>SUM(W55:W72)</f>
        <v>0</v>
      </c>
      <c r="X54" s="2015">
        <f>SUM(X55:X72)</f>
        <v>0</v>
      </c>
      <c r="Y54" s="2015">
        <f>SUM(Y55:Y72)</f>
        <v>0</v>
      </c>
      <c r="Z54" s="2918">
        <f t="shared" ref="Z54:Z71" si="98">Y54/$Y$89</f>
        <v>0</v>
      </c>
      <c r="AA54" s="1984"/>
      <c r="AB54" s="2015">
        <f>SUM(AB55:AB72)</f>
        <v>0</v>
      </c>
      <c r="AC54" s="2015">
        <f>SUM(AC55:AC72)</f>
        <v>0</v>
      </c>
      <c r="AD54" s="2015">
        <f>SUM(AD55:AD72)</f>
        <v>0</v>
      </c>
      <c r="AE54" s="2918">
        <f t="shared" ref="AE54:AE71" si="99">AD54/$AD$89</f>
        <v>0</v>
      </c>
      <c r="AF54" s="1984"/>
      <c r="AG54" s="2015">
        <f>SUM(AG55:AG72)</f>
        <v>0</v>
      </c>
      <c r="AH54" s="2015">
        <f>SUM(AH55:AH72)</f>
        <v>767.3</v>
      </c>
      <c r="AI54" s="2015">
        <f>SUM(AI55:AI72)</f>
        <v>767.3</v>
      </c>
      <c r="AJ54" s="2918">
        <f t="shared" ref="AJ54:AJ71" si="100">AI54/AI$89</f>
        <v>5.936312801618502E-2</v>
      </c>
      <c r="AK54" s="1984"/>
      <c r="AL54" s="2015">
        <f>SUM(AL55:AL72)</f>
        <v>0</v>
      </c>
      <c r="AM54" s="2015">
        <f>SUM(AM55:AM72)</f>
        <v>0</v>
      </c>
      <c r="AN54" s="2015">
        <f>SUM(AN55:AN72)</f>
        <v>0</v>
      </c>
      <c r="AO54" s="2918">
        <f t="shared" ref="AO54:AO71" si="101">AN54/AN$89</f>
        <v>0</v>
      </c>
      <c r="AP54" s="1984"/>
      <c r="AQ54" s="2015">
        <f>SUM(AQ55:AQ72)</f>
        <v>0</v>
      </c>
      <c r="AR54" s="2015">
        <f>SUM(AR55:AR72)</f>
        <v>0</v>
      </c>
      <c r="AS54" s="2015">
        <f>SUM(AS55:AS72)</f>
        <v>0</v>
      </c>
      <c r="AT54" s="2918">
        <f t="shared" ref="AT54:AT71" si="102">AS54/AS$89</f>
        <v>0</v>
      </c>
      <c r="AU54" s="1984"/>
      <c r="AV54" s="2015">
        <f>SUM(AV55:AV72)</f>
        <v>0</v>
      </c>
      <c r="AW54" s="2015">
        <f>SUM(AW55:AW72)</f>
        <v>0</v>
      </c>
      <c r="AX54" s="2015">
        <f>SUM(AX55:AX72)</f>
        <v>0</v>
      </c>
      <c r="AY54" s="2918">
        <f t="shared" ref="AY54:AY71" si="103">AX54/AX$89</f>
        <v>0</v>
      </c>
      <c r="AZ54" s="1984"/>
      <c r="BA54" s="2015">
        <f>SUM(BA55:BA72)</f>
        <v>0</v>
      </c>
      <c r="BB54" s="2015">
        <f>SUM(BB55:BB72)</f>
        <v>0</v>
      </c>
      <c r="BC54" s="2015">
        <f>SUM(BC55:BC72)</f>
        <v>0</v>
      </c>
      <c r="BD54" s="2918" t="e">
        <f t="shared" ref="BD54:BD71" si="104">BC54/BC$89</f>
        <v>#DIV/0!</v>
      </c>
      <c r="BE54" s="1984"/>
      <c r="BF54" s="2015">
        <f>SUM(BF55:BF72)</f>
        <v>0</v>
      </c>
      <c r="BG54" s="2015">
        <f>SUM(BG55:BG72)</f>
        <v>0</v>
      </c>
      <c r="BH54" s="2015">
        <f>SUM(BH55:BH72)</f>
        <v>0</v>
      </c>
      <c r="BI54" s="2464">
        <f t="shared" ref="BI54:BI71" si="105">BH54/BH$89</f>
        <v>0</v>
      </c>
      <c r="BJ54" s="1984"/>
      <c r="BK54" s="2015">
        <f>SUM(BK55:BK72)</f>
        <v>0</v>
      </c>
      <c r="BL54" s="2015">
        <f>SUM(BL55:BL72)</f>
        <v>0</v>
      </c>
      <c r="BM54" s="2015">
        <f>SUM(BM55:BM72)</f>
        <v>0</v>
      </c>
      <c r="BN54" s="2464">
        <f t="shared" ref="BN54:BN71" si="106">BM54/BM$89</f>
        <v>0</v>
      </c>
      <c r="BO54" s="1984"/>
      <c r="BP54" s="2015">
        <f>SUM(BP55:BP72)</f>
        <v>0</v>
      </c>
      <c r="BQ54" s="2015">
        <f>SUM(BQ55:BQ72)</f>
        <v>237.6</v>
      </c>
      <c r="BR54" s="2015">
        <f>SUM(BR55:BR72)</f>
        <v>237.6</v>
      </c>
      <c r="BS54" s="2464">
        <f t="shared" ref="BS54:BS71" si="107">BR54/BR$89</f>
        <v>1</v>
      </c>
      <c r="BT54" s="1984"/>
      <c r="BU54" s="2015">
        <f>SUM(BU55:BU72)</f>
        <v>113615.03607999999</v>
      </c>
      <c r="BV54" s="2015">
        <f>SUM(BV55:BV72)</f>
        <v>94003.25</v>
      </c>
      <c r="BW54" s="2015">
        <f>SUM(BW55:BW72)</f>
        <v>207618.28608000002</v>
      </c>
      <c r="BX54" s="2918">
        <f t="shared" si="84"/>
        <v>2.7941994312694333E-2</v>
      </c>
      <c r="BY54" s="2006"/>
    </row>
    <row r="55" spans="1:77" ht="13.8">
      <c r="A55" s="1571"/>
      <c r="B55" s="2900" t="s">
        <v>77</v>
      </c>
      <c r="C55" s="2874"/>
      <c r="D55" s="2881"/>
      <c r="E55" s="2921">
        <f t="shared" ref="E55:E71" si="108">C55+D55</f>
        <v>0</v>
      </c>
      <c r="F55" s="2871">
        <f>E55/$E$89</f>
        <v>0</v>
      </c>
      <c r="G55" s="2045">
        <v>0</v>
      </c>
      <c r="H55" s="2045">
        <v>0</v>
      </c>
      <c r="I55" s="2012">
        <v>0</v>
      </c>
      <c r="J55" s="2871">
        <v>0</v>
      </c>
      <c r="K55" s="1976"/>
      <c r="L55" s="2011">
        <v>0</v>
      </c>
      <c r="M55" s="2045">
        <v>0</v>
      </c>
      <c r="N55" s="2012">
        <f t="shared" ref="N55:N71" si="109">L55+M55*1</f>
        <v>0</v>
      </c>
      <c r="O55" s="2871">
        <f t="shared" si="96"/>
        <v>0</v>
      </c>
      <c r="P55" s="2046"/>
      <c r="Q55" s="2611"/>
      <c r="R55" s="2011"/>
      <c r="S55" s="2045"/>
      <c r="T55" s="2012">
        <f t="shared" ref="T55:T71" si="110">R55+S55*1</f>
        <v>0</v>
      </c>
      <c r="U55" s="2871">
        <f t="shared" si="97"/>
        <v>0</v>
      </c>
      <c r="V55" s="2885"/>
      <c r="W55" s="2011"/>
      <c r="X55" s="2045"/>
      <c r="Y55" s="2012">
        <f t="shared" ref="Y55:Y71" si="111">W55+X55*1</f>
        <v>0</v>
      </c>
      <c r="Z55" s="2871">
        <f t="shared" si="98"/>
        <v>0</v>
      </c>
      <c r="AA55" s="2046"/>
      <c r="AB55" s="2011"/>
      <c r="AC55" s="2045"/>
      <c r="AD55" s="2012">
        <f t="shared" ref="AD55:AD71" si="112">AB55+AC55*1</f>
        <v>0</v>
      </c>
      <c r="AE55" s="2871">
        <f t="shared" si="99"/>
        <v>0</v>
      </c>
      <c r="AF55" s="2046"/>
      <c r="AG55" s="2011"/>
      <c r="AH55" s="2045"/>
      <c r="AI55" s="2012">
        <f t="shared" ref="AI55:AI71" si="113">AG55+AH55*1</f>
        <v>0</v>
      </c>
      <c r="AJ55" s="2871">
        <f t="shared" si="100"/>
        <v>0</v>
      </c>
      <c r="AK55" s="2046"/>
      <c r="AL55" s="2011"/>
      <c r="AM55" s="2045"/>
      <c r="AN55" s="2012">
        <f t="shared" ref="AN55:AN71" si="114">AL55+AM55*1</f>
        <v>0</v>
      </c>
      <c r="AO55" s="2871">
        <f t="shared" si="101"/>
        <v>0</v>
      </c>
      <c r="AP55" s="2046"/>
      <c r="AQ55" s="2011"/>
      <c r="AR55" s="2045"/>
      <c r="AS55" s="2012">
        <f t="shared" ref="AS55:AS62" si="115">AQ55+AR55*1</f>
        <v>0</v>
      </c>
      <c r="AT55" s="2871">
        <f t="shared" si="102"/>
        <v>0</v>
      </c>
      <c r="AU55" s="2046"/>
      <c r="AV55" s="2011"/>
      <c r="AW55" s="2045"/>
      <c r="AX55" s="2012">
        <f t="shared" ref="AX55:AX62" si="116">AV55+AW55*1</f>
        <v>0</v>
      </c>
      <c r="AY55" s="2871">
        <f t="shared" si="103"/>
        <v>0</v>
      </c>
      <c r="AZ55" s="2046"/>
      <c r="BA55" s="2011"/>
      <c r="BB55" s="2045"/>
      <c r="BC55" s="2012">
        <f t="shared" ref="BC55:BC62" si="117">BA55+BB55*1</f>
        <v>0</v>
      </c>
      <c r="BD55" s="2871" t="e">
        <f t="shared" si="104"/>
        <v>#DIV/0!</v>
      </c>
      <c r="BE55" s="2046"/>
      <c r="BF55" s="2011"/>
      <c r="BG55" s="2045"/>
      <c r="BH55" s="2012">
        <f t="shared" ref="BH55:BH62" si="118">BF55+BG55*1</f>
        <v>0</v>
      </c>
      <c r="BI55" s="2138">
        <f t="shared" si="105"/>
        <v>0</v>
      </c>
      <c r="BJ55" s="2046"/>
      <c r="BK55" s="2011"/>
      <c r="BL55" s="2045"/>
      <c r="BM55" s="2012">
        <f t="shared" ref="BM55:BM62" si="119">BK55+BL55*1</f>
        <v>0</v>
      </c>
      <c r="BN55" s="2138">
        <f t="shared" si="106"/>
        <v>0</v>
      </c>
      <c r="BO55" s="2046"/>
      <c r="BP55" s="2011"/>
      <c r="BQ55" s="2045"/>
      <c r="BR55" s="2012">
        <f t="shared" ref="BR55:BR62" si="120">BP55+BQ55*1</f>
        <v>0</v>
      </c>
      <c r="BS55" s="2138">
        <f t="shared" si="107"/>
        <v>0</v>
      </c>
      <c r="BT55" s="2046"/>
      <c r="BU55" s="2043">
        <f t="shared" ref="BU55:BU71" si="121">G55+L55+R55+W55+AB55+AG55+AL55+AQ55+AV55+BA55+BF55+BK55+BP55</f>
        <v>0</v>
      </c>
      <c r="BV55" s="2043">
        <f t="shared" ref="BV55:BV71" si="122">H55+M55+S55+X55+AC55+AH55+AM55+AR55+AW55+BB55+BG55+BL55+BQ55</f>
        <v>0</v>
      </c>
      <c r="BW55" s="2012">
        <f t="shared" ref="BW55:BW71" si="123">BU55+BV55*1</f>
        <v>0</v>
      </c>
      <c r="BX55" s="2871">
        <f t="shared" si="84"/>
        <v>0</v>
      </c>
      <c r="BY55" s="2880"/>
    </row>
    <row r="56" spans="1:77" ht="13.8">
      <c r="A56" s="1571"/>
      <c r="B56" s="2900" t="s">
        <v>76</v>
      </c>
      <c r="C56" s="2874"/>
      <c r="D56" s="2881"/>
      <c r="E56" s="2921">
        <f t="shared" si="108"/>
        <v>0</v>
      </c>
      <c r="F56" s="2871">
        <f t="shared" ref="F56:F72" si="124">E56/$E$89</f>
        <v>0</v>
      </c>
      <c r="G56" s="2045">
        <v>0</v>
      </c>
      <c r="H56" s="2045">
        <v>0</v>
      </c>
      <c r="I56" s="2012">
        <v>0</v>
      </c>
      <c r="J56" s="2871">
        <v>0</v>
      </c>
      <c r="K56" s="1976"/>
      <c r="L56" s="2011">
        <v>0</v>
      </c>
      <c r="M56" s="2045">
        <v>0</v>
      </c>
      <c r="N56" s="2012">
        <f t="shared" si="109"/>
        <v>0</v>
      </c>
      <c r="O56" s="2871">
        <f t="shared" si="96"/>
        <v>0</v>
      </c>
      <c r="P56" s="2046"/>
      <c r="Q56" s="2611"/>
      <c r="R56" s="2011"/>
      <c r="S56" s="2045"/>
      <c r="T56" s="2012">
        <f t="shared" si="110"/>
        <v>0</v>
      </c>
      <c r="U56" s="2871">
        <f t="shared" si="97"/>
        <v>0</v>
      </c>
      <c r="V56" s="2885"/>
      <c r="W56" s="2011"/>
      <c r="X56" s="2045"/>
      <c r="Y56" s="2012">
        <f t="shared" si="111"/>
        <v>0</v>
      </c>
      <c r="Z56" s="2871">
        <f t="shared" si="98"/>
        <v>0</v>
      </c>
      <c r="AA56" s="2046"/>
      <c r="AB56" s="2011"/>
      <c r="AC56" s="2045"/>
      <c r="AD56" s="2012">
        <f t="shared" si="112"/>
        <v>0</v>
      </c>
      <c r="AE56" s="2871">
        <f t="shared" si="99"/>
        <v>0</v>
      </c>
      <c r="AF56" s="2046"/>
      <c r="AG56" s="2011"/>
      <c r="AH56" s="2045"/>
      <c r="AI56" s="2012">
        <f t="shared" si="113"/>
        <v>0</v>
      </c>
      <c r="AJ56" s="2871">
        <f t="shared" si="100"/>
        <v>0</v>
      </c>
      <c r="AK56" s="2046"/>
      <c r="AL56" s="2011"/>
      <c r="AM56" s="2045"/>
      <c r="AN56" s="2012">
        <f t="shared" si="114"/>
        <v>0</v>
      </c>
      <c r="AO56" s="2871">
        <f t="shared" si="101"/>
        <v>0</v>
      </c>
      <c r="AP56" s="2046"/>
      <c r="AQ56" s="2011"/>
      <c r="AR56" s="2045"/>
      <c r="AS56" s="2012">
        <f t="shared" si="115"/>
        <v>0</v>
      </c>
      <c r="AT56" s="2871">
        <f t="shared" si="102"/>
        <v>0</v>
      </c>
      <c r="AU56" s="2046"/>
      <c r="AV56" s="2011"/>
      <c r="AW56" s="2045"/>
      <c r="AX56" s="2012">
        <f t="shared" si="116"/>
        <v>0</v>
      </c>
      <c r="AY56" s="2871">
        <f t="shared" si="103"/>
        <v>0</v>
      </c>
      <c r="AZ56" s="2046"/>
      <c r="BA56" s="2011"/>
      <c r="BB56" s="2045"/>
      <c r="BC56" s="2012">
        <f t="shared" si="117"/>
        <v>0</v>
      </c>
      <c r="BD56" s="2871" t="e">
        <f t="shared" si="104"/>
        <v>#DIV/0!</v>
      </c>
      <c r="BE56" s="2046"/>
      <c r="BF56" s="2011"/>
      <c r="BG56" s="2045"/>
      <c r="BH56" s="2012">
        <f t="shared" si="118"/>
        <v>0</v>
      </c>
      <c r="BI56" s="2138">
        <f t="shared" si="105"/>
        <v>0</v>
      </c>
      <c r="BJ56" s="2046"/>
      <c r="BK56" s="2011"/>
      <c r="BL56" s="2045"/>
      <c r="BM56" s="2012">
        <f t="shared" si="119"/>
        <v>0</v>
      </c>
      <c r="BN56" s="2138">
        <f t="shared" si="106"/>
        <v>0</v>
      </c>
      <c r="BO56" s="2046"/>
      <c r="BP56" s="2011"/>
      <c r="BQ56" s="2045"/>
      <c r="BR56" s="2012">
        <f t="shared" si="120"/>
        <v>0</v>
      </c>
      <c r="BS56" s="2138">
        <f t="shared" si="107"/>
        <v>0</v>
      </c>
      <c r="BT56" s="2046"/>
      <c r="BU56" s="2043">
        <f t="shared" si="121"/>
        <v>0</v>
      </c>
      <c r="BV56" s="2043">
        <f t="shared" si="122"/>
        <v>0</v>
      </c>
      <c r="BW56" s="2012">
        <f t="shared" si="123"/>
        <v>0</v>
      </c>
      <c r="BX56" s="2871">
        <f t="shared" si="84"/>
        <v>0</v>
      </c>
      <c r="BY56" s="2880"/>
    </row>
    <row r="57" spans="1:77" ht="13.8">
      <c r="A57" s="1571"/>
      <c r="B57" s="2937" t="s">
        <v>68</v>
      </c>
      <c r="C57" s="2874"/>
      <c r="D57" s="2881"/>
      <c r="E57" s="2921">
        <f t="shared" si="108"/>
        <v>0</v>
      </c>
      <c r="F57" s="2871">
        <f t="shared" si="124"/>
        <v>0</v>
      </c>
      <c r="G57" s="2045">
        <v>0</v>
      </c>
      <c r="H57" s="2045">
        <v>0</v>
      </c>
      <c r="I57" s="2012">
        <v>0</v>
      </c>
      <c r="J57" s="2871">
        <v>0</v>
      </c>
      <c r="K57" s="1976"/>
      <c r="L57" s="2011">
        <v>0</v>
      </c>
      <c r="M57" s="2045">
        <v>0</v>
      </c>
      <c r="N57" s="2012">
        <f t="shared" si="109"/>
        <v>0</v>
      </c>
      <c r="O57" s="2871">
        <f t="shared" si="96"/>
        <v>0</v>
      </c>
      <c r="P57" s="2046"/>
      <c r="Q57" s="2611"/>
      <c r="R57" s="2011"/>
      <c r="S57" s="2045"/>
      <c r="T57" s="2012">
        <f t="shared" si="110"/>
        <v>0</v>
      </c>
      <c r="U57" s="2871">
        <f t="shared" si="97"/>
        <v>0</v>
      </c>
      <c r="V57" s="2885"/>
      <c r="W57" s="2011"/>
      <c r="X57" s="2045"/>
      <c r="Y57" s="2012">
        <f t="shared" si="111"/>
        <v>0</v>
      </c>
      <c r="Z57" s="2871">
        <f t="shared" si="98"/>
        <v>0</v>
      </c>
      <c r="AA57" s="2046"/>
      <c r="AB57" s="2011"/>
      <c r="AC57" s="2045"/>
      <c r="AD57" s="2012">
        <f t="shared" si="112"/>
        <v>0</v>
      </c>
      <c r="AE57" s="2871">
        <f t="shared" si="99"/>
        <v>0</v>
      </c>
      <c r="AF57" s="2046"/>
      <c r="AG57" s="2011"/>
      <c r="AH57" s="2045"/>
      <c r="AI57" s="2012">
        <f t="shared" si="113"/>
        <v>0</v>
      </c>
      <c r="AJ57" s="2871">
        <f t="shared" si="100"/>
        <v>0</v>
      </c>
      <c r="AK57" s="2046"/>
      <c r="AL57" s="2011"/>
      <c r="AM57" s="2045"/>
      <c r="AN57" s="2012">
        <f t="shared" si="114"/>
        <v>0</v>
      </c>
      <c r="AO57" s="2871">
        <f t="shared" si="101"/>
        <v>0</v>
      </c>
      <c r="AP57" s="2046"/>
      <c r="AQ57" s="2011"/>
      <c r="AR57" s="2045"/>
      <c r="AS57" s="2012">
        <f t="shared" si="115"/>
        <v>0</v>
      </c>
      <c r="AT57" s="2871">
        <f t="shared" si="102"/>
        <v>0</v>
      </c>
      <c r="AU57" s="2046"/>
      <c r="AV57" s="2011"/>
      <c r="AW57" s="2045"/>
      <c r="AX57" s="2012">
        <f t="shared" si="116"/>
        <v>0</v>
      </c>
      <c r="AY57" s="2871">
        <f t="shared" si="103"/>
        <v>0</v>
      </c>
      <c r="AZ57" s="2046"/>
      <c r="BA57" s="2011"/>
      <c r="BB57" s="2045"/>
      <c r="BC57" s="2012">
        <f t="shared" si="117"/>
        <v>0</v>
      </c>
      <c r="BD57" s="2871" t="e">
        <f t="shared" si="104"/>
        <v>#DIV/0!</v>
      </c>
      <c r="BE57" s="2046"/>
      <c r="BF57" s="2011"/>
      <c r="BG57" s="2045"/>
      <c r="BH57" s="2012">
        <f t="shared" si="118"/>
        <v>0</v>
      </c>
      <c r="BI57" s="2138">
        <f t="shared" si="105"/>
        <v>0</v>
      </c>
      <c r="BJ57" s="2046"/>
      <c r="BK57" s="2011"/>
      <c r="BL57" s="2045"/>
      <c r="BM57" s="2012">
        <f t="shared" si="119"/>
        <v>0</v>
      </c>
      <c r="BN57" s="2138">
        <f t="shared" si="106"/>
        <v>0</v>
      </c>
      <c r="BO57" s="2046"/>
      <c r="BP57" s="2011"/>
      <c r="BQ57" s="2045"/>
      <c r="BR57" s="2012">
        <f t="shared" si="120"/>
        <v>0</v>
      </c>
      <c r="BS57" s="2138">
        <f t="shared" si="107"/>
        <v>0</v>
      </c>
      <c r="BT57" s="2046"/>
      <c r="BU57" s="2043">
        <f t="shared" si="121"/>
        <v>0</v>
      </c>
      <c r="BV57" s="2043">
        <f t="shared" si="122"/>
        <v>0</v>
      </c>
      <c r="BW57" s="2012">
        <f t="shared" si="123"/>
        <v>0</v>
      </c>
      <c r="BX57" s="2871">
        <f t="shared" si="84"/>
        <v>0</v>
      </c>
      <c r="BY57" s="2880"/>
    </row>
    <row r="58" spans="1:77" ht="13.8">
      <c r="A58" s="1571"/>
      <c r="B58" s="2937" t="s">
        <v>67</v>
      </c>
      <c r="C58" s="2874">
        <v>10787</v>
      </c>
      <c r="D58" s="2881">
        <v>29213</v>
      </c>
      <c r="E58" s="2921">
        <f t="shared" si="108"/>
        <v>40000</v>
      </c>
      <c r="F58" s="2871">
        <f t="shared" si="124"/>
        <v>7.7984234993584717E-3</v>
      </c>
      <c r="G58" s="2045">
        <v>16180.5</v>
      </c>
      <c r="H58" s="2045">
        <v>56511</v>
      </c>
      <c r="I58" s="2012">
        <v>72691.5</v>
      </c>
      <c r="J58" s="2871">
        <v>2.2506192047882491E-2</v>
      </c>
      <c r="K58" s="1976"/>
      <c r="L58" s="2011">
        <v>40841</v>
      </c>
      <c r="M58" s="2045">
        <v>29213</v>
      </c>
      <c r="N58" s="2012">
        <f t="shared" si="109"/>
        <v>70054</v>
      </c>
      <c r="O58" s="2871">
        <f t="shared" si="96"/>
        <v>1.8870101098252781E-2</v>
      </c>
      <c r="P58" s="2046"/>
      <c r="Q58" s="2611"/>
      <c r="R58" s="2011"/>
      <c r="S58" s="2045"/>
      <c r="T58" s="2012">
        <f t="shared" si="110"/>
        <v>0</v>
      </c>
      <c r="U58" s="2871">
        <f t="shared" si="97"/>
        <v>0</v>
      </c>
      <c r="V58" s="2938"/>
      <c r="W58" s="2011"/>
      <c r="X58" s="2045"/>
      <c r="Y58" s="2012">
        <f t="shared" si="111"/>
        <v>0</v>
      </c>
      <c r="Z58" s="2871">
        <f t="shared" si="98"/>
        <v>0</v>
      </c>
      <c r="AA58" s="2046"/>
      <c r="AB58" s="2011"/>
      <c r="AC58" s="2045"/>
      <c r="AD58" s="2012">
        <f t="shared" si="112"/>
        <v>0</v>
      </c>
      <c r="AE58" s="2871">
        <f t="shared" si="99"/>
        <v>0</v>
      </c>
      <c r="AF58" s="2046"/>
      <c r="AG58" s="2011"/>
      <c r="AH58" s="2045"/>
      <c r="AI58" s="2012">
        <f t="shared" si="113"/>
        <v>0</v>
      </c>
      <c r="AJ58" s="2871">
        <f t="shared" si="100"/>
        <v>0</v>
      </c>
      <c r="AK58" s="2046"/>
      <c r="AL58" s="2011"/>
      <c r="AM58" s="2045"/>
      <c r="AN58" s="2012">
        <f t="shared" si="114"/>
        <v>0</v>
      </c>
      <c r="AO58" s="2871">
        <f t="shared" si="101"/>
        <v>0</v>
      </c>
      <c r="AP58" s="2046"/>
      <c r="AQ58" s="2011"/>
      <c r="AR58" s="2045"/>
      <c r="AS58" s="2012">
        <f t="shared" si="115"/>
        <v>0</v>
      </c>
      <c r="AT58" s="2871">
        <f t="shared" si="102"/>
        <v>0</v>
      </c>
      <c r="AU58" s="2046"/>
      <c r="AV58" s="2011"/>
      <c r="AW58" s="2045"/>
      <c r="AX58" s="2012">
        <f t="shared" si="116"/>
        <v>0</v>
      </c>
      <c r="AY58" s="2871">
        <f t="shared" si="103"/>
        <v>0</v>
      </c>
      <c r="AZ58" s="2046"/>
      <c r="BA58" s="2011"/>
      <c r="BB58" s="2045"/>
      <c r="BC58" s="2012">
        <f t="shared" si="117"/>
        <v>0</v>
      </c>
      <c r="BD58" s="2871" t="e">
        <f t="shared" si="104"/>
        <v>#DIV/0!</v>
      </c>
      <c r="BE58" s="2046"/>
      <c r="BF58" s="2011"/>
      <c r="BG58" s="2045"/>
      <c r="BH58" s="2012">
        <f t="shared" si="118"/>
        <v>0</v>
      </c>
      <c r="BI58" s="2138">
        <f t="shared" si="105"/>
        <v>0</v>
      </c>
      <c r="BJ58" s="2046"/>
      <c r="BK58" s="2011"/>
      <c r="BL58" s="2045"/>
      <c r="BM58" s="2012">
        <f t="shared" si="119"/>
        <v>0</v>
      </c>
      <c r="BN58" s="2138">
        <f t="shared" si="106"/>
        <v>0</v>
      </c>
      <c r="BO58" s="2046"/>
      <c r="BP58" s="2011"/>
      <c r="BQ58" s="2045"/>
      <c r="BR58" s="2012">
        <f t="shared" si="120"/>
        <v>0</v>
      </c>
      <c r="BS58" s="2138">
        <f t="shared" si="107"/>
        <v>0</v>
      </c>
      <c r="BT58" s="2046"/>
      <c r="BU58" s="2043">
        <f t="shared" si="121"/>
        <v>57021.5</v>
      </c>
      <c r="BV58" s="2043">
        <f t="shared" si="122"/>
        <v>85724</v>
      </c>
      <c r="BW58" s="2012">
        <f t="shared" si="123"/>
        <v>142745.5</v>
      </c>
      <c r="BX58" s="2871">
        <f t="shared" si="84"/>
        <v>1.9211188110982737E-2</v>
      </c>
      <c r="BY58" s="2880"/>
    </row>
    <row r="59" spans="1:77" ht="13.8">
      <c r="A59" s="1571"/>
      <c r="B59" s="2937" t="s">
        <v>66</v>
      </c>
      <c r="C59" s="2874">
        <v>2613</v>
      </c>
      <c r="D59" s="2881">
        <v>0</v>
      </c>
      <c r="E59" s="2921">
        <f t="shared" si="108"/>
        <v>2613</v>
      </c>
      <c r="F59" s="2871">
        <f t="shared" si="124"/>
        <v>5.0943201509559219E-4</v>
      </c>
      <c r="G59" s="2045">
        <v>3919.5</v>
      </c>
      <c r="H59" s="2045">
        <v>0</v>
      </c>
      <c r="I59" s="2012">
        <v>3919.5</v>
      </c>
      <c r="J59" s="2871">
        <v>1.2135259243745888E-3</v>
      </c>
      <c r="K59" s="1976"/>
      <c r="L59" s="2011">
        <v>5242.45</v>
      </c>
      <c r="M59" s="2045">
        <v>0</v>
      </c>
      <c r="N59" s="2012">
        <f t="shared" si="109"/>
        <v>5242.45</v>
      </c>
      <c r="O59" s="2871">
        <f t="shared" si="96"/>
        <v>1.4121329474767366E-3</v>
      </c>
      <c r="P59" s="2046"/>
      <c r="Q59" s="2611"/>
      <c r="R59" s="2011"/>
      <c r="S59" s="2045"/>
      <c r="T59" s="2012">
        <f t="shared" si="110"/>
        <v>0</v>
      </c>
      <c r="U59" s="2871">
        <f t="shared" si="97"/>
        <v>0</v>
      </c>
      <c r="V59" s="2885"/>
      <c r="W59" s="2011"/>
      <c r="X59" s="2045"/>
      <c r="Y59" s="2012">
        <f t="shared" si="111"/>
        <v>0</v>
      </c>
      <c r="Z59" s="2871">
        <f t="shared" si="98"/>
        <v>0</v>
      </c>
      <c r="AA59" s="2046"/>
      <c r="AB59" s="2011"/>
      <c r="AC59" s="2045"/>
      <c r="AD59" s="2012">
        <f t="shared" si="112"/>
        <v>0</v>
      </c>
      <c r="AE59" s="2871">
        <f t="shared" si="99"/>
        <v>0</v>
      </c>
      <c r="AF59" s="2046"/>
      <c r="AG59" s="2011"/>
      <c r="AH59" s="2045"/>
      <c r="AI59" s="2012">
        <f t="shared" si="113"/>
        <v>0</v>
      </c>
      <c r="AJ59" s="2871">
        <f t="shared" si="100"/>
        <v>0</v>
      </c>
      <c r="AK59" s="2046"/>
      <c r="AL59" s="2011"/>
      <c r="AM59" s="2045"/>
      <c r="AN59" s="2012">
        <f t="shared" si="114"/>
        <v>0</v>
      </c>
      <c r="AO59" s="2871">
        <f t="shared" si="101"/>
        <v>0</v>
      </c>
      <c r="AP59" s="2046"/>
      <c r="AQ59" s="2011"/>
      <c r="AR59" s="2045"/>
      <c r="AS59" s="2012">
        <f t="shared" si="115"/>
        <v>0</v>
      </c>
      <c r="AT59" s="2871">
        <f t="shared" si="102"/>
        <v>0</v>
      </c>
      <c r="AU59" s="2046"/>
      <c r="AV59" s="2011"/>
      <c r="AW59" s="2045"/>
      <c r="AX59" s="2012">
        <f t="shared" si="116"/>
        <v>0</v>
      </c>
      <c r="AY59" s="2871">
        <f t="shared" si="103"/>
        <v>0</v>
      </c>
      <c r="AZ59" s="2046"/>
      <c r="BA59" s="2011"/>
      <c r="BB59" s="2045"/>
      <c r="BC59" s="2012">
        <f t="shared" si="117"/>
        <v>0</v>
      </c>
      <c r="BD59" s="2871" t="e">
        <f t="shared" si="104"/>
        <v>#DIV/0!</v>
      </c>
      <c r="BE59" s="2046"/>
      <c r="BF59" s="2011"/>
      <c r="BG59" s="2045"/>
      <c r="BH59" s="2012">
        <f t="shared" si="118"/>
        <v>0</v>
      </c>
      <c r="BI59" s="2138">
        <f t="shared" si="105"/>
        <v>0</v>
      </c>
      <c r="BJ59" s="2046"/>
      <c r="BK59" s="2011"/>
      <c r="BL59" s="2045"/>
      <c r="BM59" s="2012">
        <f t="shared" si="119"/>
        <v>0</v>
      </c>
      <c r="BN59" s="2138">
        <f t="shared" si="106"/>
        <v>0</v>
      </c>
      <c r="BO59" s="2046"/>
      <c r="BP59" s="2011"/>
      <c r="BQ59" s="2045"/>
      <c r="BR59" s="2012">
        <f t="shared" si="120"/>
        <v>0</v>
      </c>
      <c r="BS59" s="2138">
        <f t="shared" si="107"/>
        <v>0</v>
      </c>
      <c r="BT59" s="2046"/>
      <c r="BU59" s="2043">
        <f t="shared" si="121"/>
        <v>9161.9500000000007</v>
      </c>
      <c r="BV59" s="2043">
        <f t="shared" si="122"/>
        <v>0</v>
      </c>
      <c r="BW59" s="2012">
        <f t="shared" si="123"/>
        <v>9161.9500000000007</v>
      </c>
      <c r="BX59" s="2871">
        <f t="shared" si="84"/>
        <v>1.2330472408126232E-3</v>
      </c>
      <c r="BY59" s="2880"/>
    </row>
    <row r="60" spans="1:77" ht="13.8">
      <c r="A60" s="1571"/>
      <c r="B60" s="2937" t="s">
        <v>65</v>
      </c>
      <c r="C60" s="2874">
        <v>2948</v>
      </c>
      <c r="D60" s="2881">
        <v>0</v>
      </c>
      <c r="E60" s="2921">
        <f t="shared" si="108"/>
        <v>2948</v>
      </c>
      <c r="F60" s="2871">
        <f t="shared" si="124"/>
        <v>5.7474381190271938E-4</v>
      </c>
      <c r="G60" s="2045">
        <v>4422</v>
      </c>
      <c r="H60" s="2045">
        <v>0</v>
      </c>
      <c r="I60" s="2012">
        <v>4422</v>
      </c>
      <c r="J60" s="2871">
        <v>1.3691061710892796E-3</v>
      </c>
      <c r="K60" s="1976"/>
      <c r="L60" s="2011">
        <v>5914.5599999999995</v>
      </c>
      <c r="M60" s="2045">
        <v>0</v>
      </c>
      <c r="N60" s="2012">
        <f t="shared" si="109"/>
        <v>5914.5599999999995</v>
      </c>
      <c r="O60" s="2871">
        <f t="shared" si="96"/>
        <v>1.5931759093225507E-3</v>
      </c>
      <c r="P60" s="2046"/>
      <c r="Q60" s="2611"/>
      <c r="R60" s="2011"/>
      <c r="S60" s="2045"/>
      <c r="T60" s="2012">
        <f t="shared" si="110"/>
        <v>0</v>
      </c>
      <c r="U60" s="2871">
        <f t="shared" si="97"/>
        <v>0</v>
      </c>
      <c r="V60" s="2885"/>
      <c r="W60" s="2011"/>
      <c r="X60" s="2045"/>
      <c r="Y60" s="2012">
        <f t="shared" si="111"/>
        <v>0</v>
      </c>
      <c r="Z60" s="2871">
        <f t="shared" si="98"/>
        <v>0</v>
      </c>
      <c r="AA60" s="2046"/>
      <c r="AB60" s="2011"/>
      <c r="AC60" s="2045"/>
      <c r="AD60" s="2012">
        <f t="shared" si="112"/>
        <v>0</v>
      </c>
      <c r="AE60" s="2871">
        <f t="shared" si="99"/>
        <v>0</v>
      </c>
      <c r="AF60" s="2046"/>
      <c r="AG60" s="2011"/>
      <c r="AH60" s="2045"/>
      <c r="AI60" s="2012">
        <f t="shared" si="113"/>
        <v>0</v>
      </c>
      <c r="AJ60" s="2871">
        <f t="shared" si="100"/>
        <v>0</v>
      </c>
      <c r="AK60" s="2046"/>
      <c r="AL60" s="2011"/>
      <c r="AM60" s="2045"/>
      <c r="AN60" s="2012">
        <f t="shared" si="114"/>
        <v>0</v>
      </c>
      <c r="AO60" s="2871">
        <f t="shared" si="101"/>
        <v>0</v>
      </c>
      <c r="AP60" s="2046"/>
      <c r="AQ60" s="2011"/>
      <c r="AR60" s="2045"/>
      <c r="AS60" s="2012">
        <f t="shared" si="115"/>
        <v>0</v>
      </c>
      <c r="AT60" s="2871">
        <f t="shared" si="102"/>
        <v>0</v>
      </c>
      <c r="AU60" s="2046"/>
      <c r="AV60" s="2011"/>
      <c r="AW60" s="2045"/>
      <c r="AX60" s="2012">
        <f t="shared" si="116"/>
        <v>0</v>
      </c>
      <c r="AY60" s="2871">
        <f t="shared" si="103"/>
        <v>0</v>
      </c>
      <c r="AZ60" s="2046"/>
      <c r="BA60" s="2011"/>
      <c r="BB60" s="2045"/>
      <c r="BC60" s="2012">
        <f t="shared" si="117"/>
        <v>0</v>
      </c>
      <c r="BD60" s="2871" t="e">
        <f t="shared" si="104"/>
        <v>#DIV/0!</v>
      </c>
      <c r="BE60" s="2046"/>
      <c r="BF60" s="2011"/>
      <c r="BG60" s="2045"/>
      <c r="BH60" s="2012">
        <f t="shared" si="118"/>
        <v>0</v>
      </c>
      <c r="BI60" s="2138">
        <f t="shared" si="105"/>
        <v>0</v>
      </c>
      <c r="BJ60" s="2046"/>
      <c r="BK60" s="2011"/>
      <c r="BL60" s="2045"/>
      <c r="BM60" s="2012">
        <f t="shared" si="119"/>
        <v>0</v>
      </c>
      <c r="BN60" s="2138">
        <f t="shared" si="106"/>
        <v>0</v>
      </c>
      <c r="BO60" s="2046"/>
      <c r="BP60" s="2011"/>
      <c r="BQ60" s="2045"/>
      <c r="BR60" s="2012">
        <f t="shared" si="120"/>
        <v>0</v>
      </c>
      <c r="BS60" s="2138">
        <f t="shared" si="107"/>
        <v>0</v>
      </c>
      <c r="BT60" s="2046"/>
      <c r="BU60" s="2043">
        <f t="shared" si="121"/>
        <v>10336.56</v>
      </c>
      <c r="BV60" s="2043">
        <f t="shared" si="122"/>
        <v>0</v>
      </c>
      <c r="BW60" s="2012">
        <f t="shared" si="123"/>
        <v>10336.56</v>
      </c>
      <c r="BX60" s="2871">
        <f t="shared" si="84"/>
        <v>1.3911303584383376E-3</v>
      </c>
      <c r="BY60" s="2880"/>
    </row>
    <row r="61" spans="1:77" ht="13.8">
      <c r="A61" s="1571"/>
      <c r="B61" s="2937" t="s">
        <v>32</v>
      </c>
      <c r="C61" s="2874"/>
      <c r="D61" s="2881"/>
      <c r="E61" s="2921">
        <f t="shared" si="108"/>
        <v>0</v>
      </c>
      <c r="F61" s="2871">
        <f t="shared" si="124"/>
        <v>0</v>
      </c>
      <c r="G61" s="2045">
        <v>0</v>
      </c>
      <c r="H61" s="2045">
        <v>0</v>
      </c>
      <c r="I61" s="2012">
        <v>0</v>
      </c>
      <c r="J61" s="2871">
        <v>0</v>
      </c>
      <c r="K61" s="1976"/>
      <c r="L61" s="2011">
        <v>0</v>
      </c>
      <c r="M61" s="2045">
        <v>0</v>
      </c>
      <c r="N61" s="2012">
        <f t="shared" si="109"/>
        <v>0</v>
      </c>
      <c r="O61" s="2871">
        <f t="shared" si="96"/>
        <v>0</v>
      </c>
      <c r="P61" s="2046"/>
      <c r="Q61" s="2611"/>
      <c r="R61" s="2011"/>
      <c r="S61" s="2045"/>
      <c r="T61" s="2012">
        <f t="shared" si="110"/>
        <v>0</v>
      </c>
      <c r="U61" s="2871">
        <f t="shared" si="97"/>
        <v>0</v>
      </c>
      <c r="V61" s="2885"/>
      <c r="W61" s="2011"/>
      <c r="X61" s="2045"/>
      <c r="Y61" s="2012">
        <f t="shared" si="111"/>
        <v>0</v>
      </c>
      <c r="Z61" s="2871">
        <f t="shared" si="98"/>
        <v>0</v>
      </c>
      <c r="AA61" s="2046"/>
      <c r="AB61" s="2011"/>
      <c r="AC61" s="2045"/>
      <c r="AD61" s="2012">
        <f t="shared" si="112"/>
        <v>0</v>
      </c>
      <c r="AE61" s="2871">
        <f t="shared" si="99"/>
        <v>0</v>
      </c>
      <c r="AF61" s="2046"/>
      <c r="AG61" s="2011"/>
      <c r="AH61" s="2045"/>
      <c r="AI61" s="2012">
        <f t="shared" si="113"/>
        <v>0</v>
      </c>
      <c r="AJ61" s="2871">
        <f t="shared" si="100"/>
        <v>0</v>
      </c>
      <c r="AK61" s="2046"/>
      <c r="AL61" s="2011"/>
      <c r="AM61" s="2045"/>
      <c r="AN61" s="2012">
        <f t="shared" si="114"/>
        <v>0</v>
      </c>
      <c r="AO61" s="2871">
        <f t="shared" si="101"/>
        <v>0</v>
      </c>
      <c r="AP61" s="2046"/>
      <c r="AQ61" s="2011"/>
      <c r="AR61" s="2045"/>
      <c r="AS61" s="2012">
        <f t="shared" si="115"/>
        <v>0</v>
      </c>
      <c r="AT61" s="2871">
        <f t="shared" si="102"/>
        <v>0</v>
      </c>
      <c r="AU61" s="2046"/>
      <c r="AV61" s="2011"/>
      <c r="AW61" s="2045"/>
      <c r="AX61" s="2012">
        <f t="shared" si="116"/>
        <v>0</v>
      </c>
      <c r="AY61" s="2871">
        <f t="shared" si="103"/>
        <v>0</v>
      </c>
      <c r="AZ61" s="2046"/>
      <c r="BA61" s="2011"/>
      <c r="BB61" s="2045"/>
      <c r="BC61" s="2012">
        <f t="shared" si="117"/>
        <v>0</v>
      </c>
      <c r="BD61" s="2871" t="e">
        <f t="shared" si="104"/>
        <v>#DIV/0!</v>
      </c>
      <c r="BE61" s="2046"/>
      <c r="BF61" s="2011"/>
      <c r="BG61" s="2045"/>
      <c r="BH61" s="2012">
        <f t="shared" si="118"/>
        <v>0</v>
      </c>
      <c r="BI61" s="2138">
        <f t="shared" si="105"/>
        <v>0</v>
      </c>
      <c r="BJ61" s="2046"/>
      <c r="BK61" s="2011"/>
      <c r="BL61" s="2045"/>
      <c r="BM61" s="2012">
        <f t="shared" si="119"/>
        <v>0</v>
      </c>
      <c r="BN61" s="2138">
        <f t="shared" si="106"/>
        <v>0</v>
      </c>
      <c r="BO61" s="2046"/>
      <c r="BP61" s="2011"/>
      <c r="BQ61" s="2045"/>
      <c r="BR61" s="2012">
        <f t="shared" si="120"/>
        <v>0</v>
      </c>
      <c r="BS61" s="2138">
        <f t="shared" si="107"/>
        <v>0</v>
      </c>
      <c r="BT61" s="2046"/>
      <c r="BU61" s="2043">
        <f t="shared" si="121"/>
        <v>0</v>
      </c>
      <c r="BV61" s="2043">
        <f t="shared" si="122"/>
        <v>0</v>
      </c>
      <c r="BW61" s="2012">
        <f t="shared" si="123"/>
        <v>0</v>
      </c>
      <c r="BX61" s="2871">
        <f t="shared" si="84"/>
        <v>0</v>
      </c>
      <c r="BY61" s="2880"/>
    </row>
    <row r="62" spans="1:77" ht="13.8">
      <c r="A62" s="1571"/>
      <c r="B62" s="2937" t="s">
        <v>33</v>
      </c>
      <c r="C62" s="2939"/>
      <c r="D62" s="2881"/>
      <c r="E62" s="2921">
        <f t="shared" si="108"/>
        <v>0</v>
      </c>
      <c r="F62" s="2871">
        <f t="shared" si="124"/>
        <v>0</v>
      </c>
      <c r="G62" s="2045">
        <v>0</v>
      </c>
      <c r="H62" s="2045">
        <v>0</v>
      </c>
      <c r="I62" s="2012">
        <v>0</v>
      </c>
      <c r="J62" s="2871">
        <v>0</v>
      </c>
      <c r="K62" s="1976"/>
      <c r="L62" s="2011">
        <v>0</v>
      </c>
      <c r="M62" s="2045">
        <v>0</v>
      </c>
      <c r="N62" s="2012">
        <f t="shared" si="109"/>
        <v>0</v>
      </c>
      <c r="O62" s="2871">
        <f t="shared" si="96"/>
        <v>0</v>
      </c>
      <c r="P62" s="2046"/>
      <c r="Q62" s="2611"/>
      <c r="R62" s="2011"/>
      <c r="S62" s="2045"/>
      <c r="T62" s="2012">
        <f t="shared" si="110"/>
        <v>0</v>
      </c>
      <c r="U62" s="2871">
        <f t="shared" si="97"/>
        <v>0</v>
      </c>
      <c r="V62" s="2885"/>
      <c r="W62" s="2011"/>
      <c r="X62" s="2045"/>
      <c r="Y62" s="2012">
        <f t="shared" si="111"/>
        <v>0</v>
      </c>
      <c r="Z62" s="2871">
        <f t="shared" si="98"/>
        <v>0</v>
      </c>
      <c r="AA62" s="2046"/>
      <c r="AB62" s="2011"/>
      <c r="AC62" s="2045"/>
      <c r="AD62" s="2012">
        <f t="shared" si="112"/>
        <v>0</v>
      </c>
      <c r="AE62" s="2871">
        <f t="shared" si="99"/>
        <v>0</v>
      </c>
      <c r="AF62" s="2046"/>
      <c r="AG62" s="2011"/>
      <c r="AH62" s="2045"/>
      <c r="AI62" s="2012">
        <f t="shared" si="113"/>
        <v>0</v>
      </c>
      <c r="AJ62" s="2871">
        <f t="shared" si="100"/>
        <v>0</v>
      </c>
      <c r="AK62" s="2046"/>
      <c r="AL62" s="2011"/>
      <c r="AM62" s="2045"/>
      <c r="AN62" s="2012">
        <f t="shared" si="114"/>
        <v>0</v>
      </c>
      <c r="AO62" s="2871">
        <f t="shared" si="101"/>
        <v>0</v>
      </c>
      <c r="AP62" s="2046"/>
      <c r="AQ62" s="2011"/>
      <c r="AR62" s="2045"/>
      <c r="AS62" s="2012">
        <f t="shared" si="115"/>
        <v>0</v>
      </c>
      <c r="AT62" s="2871">
        <f t="shared" si="102"/>
        <v>0</v>
      </c>
      <c r="AU62" s="2046"/>
      <c r="AV62" s="2011"/>
      <c r="AW62" s="2045"/>
      <c r="AX62" s="2012">
        <f t="shared" si="116"/>
        <v>0</v>
      </c>
      <c r="AY62" s="2871">
        <f t="shared" si="103"/>
        <v>0</v>
      </c>
      <c r="AZ62" s="2046"/>
      <c r="BA62" s="2011"/>
      <c r="BB62" s="2045"/>
      <c r="BC62" s="2012">
        <f t="shared" si="117"/>
        <v>0</v>
      </c>
      <c r="BD62" s="2871" t="e">
        <f t="shared" si="104"/>
        <v>#DIV/0!</v>
      </c>
      <c r="BE62" s="2046"/>
      <c r="BF62" s="2011"/>
      <c r="BG62" s="2045"/>
      <c r="BH62" s="2012">
        <f t="shared" si="118"/>
        <v>0</v>
      </c>
      <c r="BI62" s="2138">
        <f t="shared" si="105"/>
        <v>0</v>
      </c>
      <c r="BJ62" s="2046"/>
      <c r="BK62" s="2011"/>
      <c r="BL62" s="2045"/>
      <c r="BM62" s="2012">
        <f t="shared" si="119"/>
        <v>0</v>
      </c>
      <c r="BN62" s="2138">
        <f t="shared" si="106"/>
        <v>0</v>
      </c>
      <c r="BO62" s="2046"/>
      <c r="BP62" s="2011"/>
      <c r="BQ62" s="2045"/>
      <c r="BR62" s="2012">
        <f t="shared" si="120"/>
        <v>0</v>
      </c>
      <c r="BS62" s="2138">
        <f t="shared" si="107"/>
        <v>0</v>
      </c>
      <c r="BT62" s="2046"/>
      <c r="BU62" s="2043">
        <f t="shared" si="121"/>
        <v>0</v>
      </c>
      <c r="BV62" s="2043">
        <f t="shared" si="122"/>
        <v>0</v>
      </c>
      <c r="BW62" s="2012">
        <f t="shared" si="123"/>
        <v>0</v>
      </c>
      <c r="BX62" s="2871">
        <f t="shared" si="84"/>
        <v>0</v>
      </c>
      <c r="BY62" s="2880"/>
    </row>
    <row r="63" spans="1:77" ht="13.8">
      <c r="A63" s="1571"/>
      <c r="B63" s="2937" t="s">
        <v>35</v>
      </c>
      <c r="C63" s="2939"/>
      <c r="D63" s="2881"/>
      <c r="E63" s="2921">
        <f t="shared" si="108"/>
        <v>0</v>
      </c>
      <c r="F63" s="2871">
        <f t="shared" si="124"/>
        <v>0</v>
      </c>
      <c r="G63" s="2045">
        <v>9608.3060800000003</v>
      </c>
      <c r="H63" s="2045">
        <v>0</v>
      </c>
      <c r="I63" s="2012">
        <v>9608.3060800000003</v>
      </c>
      <c r="J63" s="2871">
        <v>2.9748510058441083E-3</v>
      </c>
      <c r="K63" s="1976"/>
      <c r="L63" s="2011">
        <v>18331.72</v>
      </c>
      <c r="M63" s="2045">
        <v>0</v>
      </c>
      <c r="N63" s="2012">
        <f t="shared" si="109"/>
        <v>18331.72</v>
      </c>
      <c r="O63" s="2871">
        <f t="shared" si="96"/>
        <v>4.9379251677971643E-3</v>
      </c>
      <c r="P63" s="2046"/>
      <c r="Q63" s="2611"/>
      <c r="R63" s="2051"/>
      <c r="S63" s="2045"/>
      <c r="T63" s="2012">
        <f t="shared" si="110"/>
        <v>0</v>
      </c>
      <c r="U63" s="2871">
        <f t="shared" si="97"/>
        <v>0</v>
      </c>
      <c r="V63" s="2938"/>
      <c r="W63" s="2011"/>
      <c r="X63" s="2045"/>
      <c r="Y63" s="2012">
        <f t="shared" si="111"/>
        <v>0</v>
      </c>
      <c r="Z63" s="2871">
        <f t="shared" si="98"/>
        <v>0</v>
      </c>
      <c r="AA63" s="2046"/>
      <c r="AB63" s="2011"/>
      <c r="AC63" s="2045"/>
      <c r="AD63" s="2012">
        <f t="shared" si="112"/>
        <v>0</v>
      </c>
      <c r="AE63" s="2871">
        <f t="shared" si="99"/>
        <v>0</v>
      </c>
      <c r="AF63" s="2046"/>
      <c r="AG63" s="2011"/>
      <c r="AH63" s="2045"/>
      <c r="AI63" s="2012">
        <f t="shared" si="113"/>
        <v>0</v>
      </c>
      <c r="AJ63" s="2871">
        <f t="shared" si="100"/>
        <v>0</v>
      </c>
      <c r="AK63" s="2046"/>
      <c r="AL63" s="2011"/>
      <c r="AM63" s="2045"/>
      <c r="AN63" s="2012">
        <f t="shared" si="114"/>
        <v>0</v>
      </c>
      <c r="AO63" s="2871">
        <f t="shared" si="101"/>
        <v>0</v>
      </c>
      <c r="AP63" s="2046"/>
      <c r="AQ63" s="2011"/>
      <c r="AR63" s="2940"/>
      <c r="AS63" s="2012">
        <f>AQ63+AR63*1</f>
        <v>0</v>
      </c>
      <c r="AT63" s="2871">
        <f t="shared" si="102"/>
        <v>0</v>
      </c>
      <c r="AU63" s="2046"/>
      <c r="AV63" s="2011"/>
      <c r="AW63" s="2940"/>
      <c r="AX63" s="2012">
        <f>AV63+AW63*1</f>
        <v>0</v>
      </c>
      <c r="AY63" s="2871">
        <f t="shared" si="103"/>
        <v>0</v>
      </c>
      <c r="AZ63" s="2046"/>
      <c r="BA63" s="2011"/>
      <c r="BB63" s="2940"/>
      <c r="BC63" s="2012">
        <f>BA63+BB63*1</f>
        <v>0</v>
      </c>
      <c r="BD63" s="2871" t="e">
        <f t="shared" si="104"/>
        <v>#DIV/0!</v>
      </c>
      <c r="BE63" s="2046"/>
      <c r="BF63" s="2011"/>
      <c r="BG63" s="1951"/>
      <c r="BH63" s="2012">
        <f>BF63+BG63*1</f>
        <v>0</v>
      </c>
      <c r="BI63" s="2138">
        <f t="shared" si="105"/>
        <v>0</v>
      </c>
      <c r="BJ63" s="2046"/>
      <c r="BK63" s="2011"/>
      <c r="BL63" s="1951"/>
      <c r="BM63" s="2012">
        <f>BK63+BL63*1</f>
        <v>0</v>
      </c>
      <c r="BN63" s="2138">
        <f t="shared" si="106"/>
        <v>0</v>
      </c>
      <c r="BO63" s="2046"/>
      <c r="BP63" s="2011"/>
      <c r="BQ63" s="1951"/>
      <c r="BR63" s="2012">
        <f>BP63+BQ63*1</f>
        <v>0</v>
      </c>
      <c r="BS63" s="2138">
        <f t="shared" si="107"/>
        <v>0</v>
      </c>
      <c r="BT63" s="2046"/>
      <c r="BU63" s="2043">
        <f t="shared" si="121"/>
        <v>27940.026080000003</v>
      </c>
      <c r="BV63" s="2043">
        <f t="shared" si="122"/>
        <v>0</v>
      </c>
      <c r="BW63" s="2012">
        <f t="shared" si="123"/>
        <v>27940.026080000003</v>
      </c>
      <c r="BX63" s="2871">
        <f t="shared" si="84"/>
        <v>3.7602663260743329E-3</v>
      </c>
      <c r="BY63" s="2880"/>
    </row>
    <row r="64" spans="1:77" ht="13.8">
      <c r="A64" s="1571"/>
      <c r="B64" s="2937" t="s">
        <v>63</v>
      </c>
      <c r="C64" s="2939"/>
      <c r="D64" s="2881"/>
      <c r="E64" s="2921">
        <f t="shared" si="108"/>
        <v>0</v>
      </c>
      <c r="F64" s="2871">
        <f t="shared" si="124"/>
        <v>0</v>
      </c>
      <c r="G64" s="2045">
        <v>0</v>
      </c>
      <c r="H64" s="2045">
        <v>0</v>
      </c>
      <c r="I64" s="2012">
        <v>0</v>
      </c>
      <c r="J64" s="2871">
        <v>0</v>
      </c>
      <c r="K64" s="1976"/>
      <c r="L64" s="2011">
        <v>0</v>
      </c>
      <c r="M64" s="2045">
        <v>0</v>
      </c>
      <c r="N64" s="2012">
        <f t="shared" si="109"/>
        <v>0</v>
      </c>
      <c r="O64" s="2871">
        <f t="shared" si="96"/>
        <v>0</v>
      </c>
      <c r="P64" s="2046"/>
      <c r="Q64" s="2611"/>
      <c r="R64" s="2011"/>
      <c r="S64" s="2045"/>
      <c r="T64" s="2012">
        <f t="shared" si="110"/>
        <v>0</v>
      </c>
      <c r="U64" s="2871">
        <f t="shared" si="97"/>
        <v>0</v>
      </c>
      <c r="V64" s="2885"/>
      <c r="W64" s="2011"/>
      <c r="X64" s="2045"/>
      <c r="Y64" s="2012">
        <f t="shared" si="111"/>
        <v>0</v>
      </c>
      <c r="Z64" s="2871">
        <f t="shared" si="98"/>
        <v>0</v>
      </c>
      <c r="AA64" s="2046"/>
      <c r="AB64" s="2011"/>
      <c r="AC64" s="2045"/>
      <c r="AD64" s="2012">
        <f t="shared" si="112"/>
        <v>0</v>
      </c>
      <c r="AE64" s="2871">
        <f t="shared" si="99"/>
        <v>0</v>
      </c>
      <c r="AF64" s="2046"/>
      <c r="AG64" s="2011"/>
      <c r="AH64" s="2045"/>
      <c r="AI64" s="2012">
        <f t="shared" si="113"/>
        <v>0</v>
      </c>
      <c r="AJ64" s="2871">
        <f t="shared" si="100"/>
        <v>0</v>
      </c>
      <c r="AK64" s="2046"/>
      <c r="AL64" s="2011"/>
      <c r="AM64" s="2045"/>
      <c r="AN64" s="2012">
        <f t="shared" si="114"/>
        <v>0</v>
      </c>
      <c r="AO64" s="2871">
        <f t="shared" si="101"/>
        <v>0</v>
      </c>
      <c r="AP64" s="2046"/>
      <c r="AQ64" s="2011"/>
      <c r="AR64" s="2045"/>
      <c r="AS64" s="2012">
        <f>AQ64+AR64*1</f>
        <v>0</v>
      </c>
      <c r="AT64" s="2871">
        <f t="shared" si="102"/>
        <v>0</v>
      </c>
      <c r="AU64" s="2046"/>
      <c r="AV64" s="2011"/>
      <c r="AW64" s="2045"/>
      <c r="AX64" s="2012">
        <f>AV64+AW64*1</f>
        <v>0</v>
      </c>
      <c r="AY64" s="2871">
        <f t="shared" si="103"/>
        <v>0</v>
      </c>
      <c r="AZ64" s="2046"/>
      <c r="BA64" s="2011"/>
      <c r="BB64" s="2045"/>
      <c r="BC64" s="2012">
        <f>BA64+BB64*1</f>
        <v>0</v>
      </c>
      <c r="BD64" s="2871" t="e">
        <f t="shared" si="104"/>
        <v>#DIV/0!</v>
      </c>
      <c r="BE64" s="2046"/>
      <c r="BF64" s="2011"/>
      <c r="BG64" s="2045"/>
      <c r="BH64" s="2012">
        <f>BF64+BG64*1</f>
        <v>0</v>
      </c>
      <c r="BI64" s="2138">
        <f t="shared" si="105"/>
        <v>0</v>
      </c>
      <c r="BJ64" s="2046"/>
      <c r="BK64" s="2011"/>
      <c r="BL64" s="2045"/>
      <c r="BM64" s="2012">
        <f>BK64+BL64*1</f>
        <v>0</v>
      </c>
      <c r="BN64" s="2138">
        <f t="shared" si="106"/>
        <v>0</v>
      </c>
      <c r="BO64" s="2046"/>
      <c r="BP64" s="2011"/>
      <c r="BQ64" s="2045"/>
      <c r="BR64" s="2012">
        <f>BP64+BQ64*1</f>
        <v>0</v>
      </c>
      <c r="BS64" s="2138">
        <f t="shared" si="107"/>
        <v>0</v>
      </c>
      <c r="BT64" s="2046"/>
      <c r="BU64" s="2043">
        <f t="shared" si="121"/>
        <v>0</v>
      </c>
      <c r="BV64" s="2043">
        <f t="shared" si="122"/>
        <v>0</v>
      </c>
      <c r="BW64" s="2012">
        <f t="shared" si="123"/>
        <v>0</v>
      </c>
      <c r="BX64" s="2871">
        <f t="shared" si="84"/>
        <v>0</v>
      </c>
      <c r="BY64" s="2880"/>
    </row>
    <row r="65" spans="1:79" ht="27.6">
      <c r="A65" s="1571"/>
      <c r="B65" s="2937" t="s">
        <v>36</v>
      </c>
      <c r="C65" s="2939"/>
      <c r="D65" s="2881"/>
      <c r="E65" s="2921">
        <f t="shared" si="108"/>
        <v>0</v>
      </c>
      <c r="F65" s="2871">
        <f t="shared" si="124"/>
        <v>0</v>
      </c>
      <c r="G65" s="2043">
        <v>1960</v>
      </c>
      <c r="H65" s="2043">
        <v>0</v>
      </c>
      <c r="I65" s="2012">
        <v>1960</v>
      </c>
      <c r="J65" s="2871">
        <v>6.0684036529511261E-4</v>
      </c>
      <c r="K65" s="1976"/>
      <c r="L65" s="2011">
        <v>1780</v>
      </c>
      <c r="M65" s="2045">
        <v>0</v>
      </c>
      <c r="N65" s="2012">
        <f t="shared" si="109"/>
        <v>1780</v>
      </c>
      <c r="O65" s="2871">
        <f t="shared" si="96"/>
        <v>4.7946983690995453E-4</v>
      </c>
      <c r="P65" s="2046"/>
      <c r="Q65" s="2611"/>
      <c r="R65" s="2051"/>
      <c r="S65" s="2043"/>
      <c r="T65" s="2012">
        <f t="shared" si="110"/>
        <v>0</v>
      </c>
      <c r="U65" s="2871">
        <f t="shared" si="97"/>
        <v>0</v>
      </c>
      <c r="V65" s="2885"/>
      <c r="W65" s="2011"/>
      <c r="X65" s="2045"/>
      <c r="Y65" s="2012">
        <f t="shared" si="111"/>
        <v>0</v>
      </c>
      <c r="Z65" s="2871">
        <f t="shared" si="98"/>
        <v>0</v>
      </c>
      <c r="AA65" s="2046"/>
      <c r="AB65" s="2011"/>
      <c r="AC65" s="2045"/>
      <c r="AD65" s="2012">
        <f t="shared" si="112"/>
        <v>0</v>
      </c>
      <c r="AE65" s="2871">
        <f t="shared" si="99"/>
        <v>0</v>
      </c>
      <c r="AF65" s="2046"/>
      <c r="AG65" s="2011"/>
      <c r="AH65" s="2045"/>
      <c r="AI65" s="2012">
        <f t="shared" si="113"/>
        <v>0</v>
      </c>
      <c r="AJ65" s="2871">
        <f t="shared" si="100"/>
        <v>0</v>
      </c>
      <c r="AK65" s="2046"/>
      <c r="AL65" s="2011"/>
      <c r="AM65" s="2045"/>
      <c r="AN65" s="2012">
        <f t="shared" si="114"/>
        <v>0</v>
      </c>
      <c r="AO65" s="2871">
        <f t="shared" si="101"/>
        <v>0</v>
      </c>
      <c r="AP65" s="2046"/>
      <c r="AQ65" s="2045"/>
      <c r="AR65" s="2045"/>
      <c r="AS65" s="2012">
        <f t="shared" ref="AS65:AS71" si="125">AQ65+AR65*1</f>
        <v>0</v>
      </c>
      <c r="AT65" s="2871">
        <f t="shared" si="102"/>
        <v>0</v>
      </c>
      <c r="AU65" s="2046"/>
      <c r="AV65" s="2045"/>
      <c r="AW65" s="2045"/>
      <c r="AX65" s="2012">
        <f t="shared" ref="AX65:AX71" si="126">AV65+AW65*1</f>
        <v>0</v>
      </c>
      <c r="AY65" s="2871">
        <f t="shared" si="103"/>
        <v>0</v>
      </c>
      <c r="AZ65" s="2046"/>
      <c r="BA65" s="2045"/>
      <c r="BB65" s="2045"/>
      <c r="BC65" s="2012">
        <f t="shared" ref="BC65:BC71" si="127">BA65+BB65*1</f>
        <v>0</v>
      </c>
      <c r="BD65" s="2871" t="e">
        <f t="shared" si="104"/>
        <v>#DIV/0!</v>
      </c>
      <c r="BE65" s="2046"/>
      <c r="BF65" s="2045"/>
      <c r="BG65" s="2045"/>
      <c r="BH65" s="2012">
        <f t="shared" ref="BH65:BH71" si="128">BF65+BG65*1</f>
        <v>0</v>
      </c>
      <c r="BI65" s="2138">
        <f t="shared" si="105"/>
        <v>0</v>
      </c>
      <c r="BJ65" s="2046"/>
      <c r="BK65" s="2045"/>
      <c r="BL65" s="2045"/>
      <c r="BM65" s="2012">
        <f t="shared" ref="BM65:BM71" si="129">BK65+BL65*1</f>
        <v>0</v>
      </c>
      <c r="BN65" s="2138">
        <f t="shared" si="106"/>
        <v>0</v>
      </c>
      <c r="BO65" s="2046"/>
      <c r="BP65" s="2045"/>
      <c r="BQ65" s="2045"/>
      <c r="BR65" s="2012">
        <f t="shared" ref="BR65:BR71" si="130">BP65+BQ65*1</f>
        <v>0</v>
      </c>
      <c r="BS65" s="2138">
        <f t="shared" si="107"/>
        <v>0</v>
      </c>
      <c r="BT65" s="2046"/>
      <c r="BU65" s="2043">
        <f t="shared" si="121"/>
        <v>3740</v>
      </c>
      <c r="BV65" s="2043">
        <f t="shared" si="122"/>
        <v>0</v>
      </c>
      <c r="BW65" s="2012">
        <f t="shared" si="123"/>
        <v>3740</v>
      </c>
      <c r="BX65" s="2871">
        <f t="shared" si="84"/>
        <v>5.0334226672697519E-4</v>
      </c>
      <c r="BY65" s="2880"/>
    </row>
    <row r="66" spans="1:79" s="1396" customFormat="1" ht="13.8">
      <c r="A66" s="1571"/>
      <c r="B66" s="2937" t="s">
        <v>37</v>
      </c>
      <c r="C66" s="2939"/>
      <c r="D66" s="2881"/>
      <c r="E66" s="2921">
        <f t="shared" si="108"/>
        <v>0</v>
      </c>
      <c r="F66" s="2871">
        <f t="shared" si="124"/>
        <v>0</v>
      </c>
      <c r="G66" s="2043">
        <v>0</v>
      </c>
      <c r="H66" s="2043">
        <v>0</v>
      </c>
      <c r="I66" s="2012">
        <v>0</v>
      </c>
      <c r="J66" s="2871">
        <v>0</v>
      </c>
      <c r="K66" s="1976"/>
      <c r="L66" s="2011">
        <v>0</v>
      </c>
      <c r="M66" s="2045">
        <v>0</v>
      </c>
      <c r="N66" s="2012">
        <f t="shared" si="109"/>
        <v>0</v>
      </c>
      <c r="O66" s="2871">
        <f t="shared" si="96"/>
        <v>0</v>
      </c>
      <c r="P66" s="2046"/>
      <c r="Q66" s="2611"/>
      <c r="R66" s="2051"/>
      <c r="S66" s="2043"/>
      <c r="T66" s="2012">
        <f t="shared" si="110"/>
        <v>0</v>
      </c>
      <c r="U66" s="2871">
        <f t="shared" si="97"/>
        <v>0</v>
      </c>
      <c r="V66" s="2885"/>
      <c r="W66" s="2011"/>
      <c r="X66" s="2045"/>
      <c r="Y66" s="2012">
        <f t="shared" si="111"/>
        <v>0</v>
      </c>
      <c r="Z66" s="2871">
        <f t="shared" si="98"/>
        <v>0</v>
      </c>
      <c r="AA66" s="2046"/>
      <c r="AB66" s="2011"/>
      <c r="AC66" s="2045"/>
      <c r="AD66" s="2012">
        <f t="shared" si="112"/>
        <v>0</v>
      </c>
      <c r="AE66" s="2871">
        <f t="shared" si="99"/>
        <v>0</v>
      </c>
      <c r="AF66" s="2046"/>
      <c r="AG66" s="2011"/>
      <c r="AH66" s="2045"/>
      <c r="AI66" s="2012">
        <f t="shared" si="113"/>
        <v>0</v>
      </c>
      <c r="AJ66" s="2871">
        <f t="shared" si="100"/>
        <v>0</v>
      </c>
      <c r="AK66" s="2046"/>
      <c r="AL66" s="2011"/>
      <c r="AM66" s="2045"/>
      <c r="AN66" s="2012">
        <f t="shared" si="114"/>
        <v>0</v>
      </c>
      <c r="AO66" s="2871">
        <f t="shared" si="101"/>
        <v>0</v>
      </c>
      <c r="AP66" s="2046"/>
      <c r="AQ66" s="2011"/>
      <c r="AR66" s="2043"/>
      <c r="AS66" s="2012">
        <f t="shared" si="125"/>
        <v>0</v>
      </c>
      <c r="AT66" s="2871">
        <f t="shared" si="102"/>
        <v>0</v>
      </c>
      <c r="AU66" s="2046"/>
      <c r="AV66" s="2011"/>
      <c r="AW66" s="2043"/>
      <c r="AX66" s="2012">
        <f t="shared" si="126"/>
        <v>0</v>
      </c>
      <c r="AY66" s="2871">
        <f t="shared" si="103"/>
        <v>0</v>
      </c>
      <c r="AZ66" s="2046"/>
      <c r="BA66" s="2011"/>
      <c r="BB66" s="2043"/>
      <c r="BC66" s="2012">
        <f t="shared" si="127"/>
        <v>0</v>
      </c>
      <c r="BD66" s="2871" t="e">
        <f t="shared" si="104"/>
        <v>#DIV/0!</v>
      </c>
      <c r="BE66" s="2046"/>
      <c r="BF66" s="2011"/>
      <c r="BG66" s="2043"/>
      <c r="BH66" s="2012">
        <f t="shared" si="128"/>
        <v>0</v>
      </c>
      <c r="BI66" s="2138">
        <f t="shared" si="105"/>
        <v>0</v>
      </c>
      <c r="BJ66" s="2046"/>
      <c r="BK66" s="2011"/>
      <c r="BL66" s="2043"/>
      <c r="BM66" s="2012">
        <f t="shared" si="129"/>
        <v>0</v>
      </c>
      <c r="BN66" s="2138">
        <f t="shared" si="106"/>
        <v>0</v>
      </c>
      <c r="BO66" s="2046"/>
      <c r="BP66" s="2011"/>
      <c r="BQ66" s="2043"/>
      <c r="BR66" s="2012">
        <f t="shared" si="130"/>
        <v>0</v>
      </c>
      <c r="BS66" s="2138">
        <f t="shared" si="107"/>
        <v>0</v>
      </c>
      <c r="BT66" s="2046"/>
      <c r="BU66" s="2043">
        <f t="shared" si="121"/>
        <v>0</v>
      </c>
      <c r="BV66" s="2043">
        <f t="shared" si="122"/>
        <v>0</v>
      </c>
      <c r="BW66" s="2012">
        <f t="shared" si="123"/>
        <v>0</v>
      </c>
      <c r="BX66" s="2871">
        <f t="shared" si="84"/>
        <v>0</v>
      </c>
      <c r="BY66" s="2880"/>
    </row>
    <row r="67" spans="1:79" s="1396" customFormat="1" ht="13.8">
      <c r="A67" s="1571"/>
      <c r="B67" s="2937" t="s">
        <v>3</v>
      </c>
      <c r="C67" s="2939"/>
      <c r="D67" s="2881"/>
      <c r="E67" s="2921">
        <f t="shared" si="108"/>
        <v>0</v>
      </c>
      <c r="F67" s="2871">
        <f t="shared" si="124"/>
        <v>0</v>
      </c>
      <c r="G67" s="2043">
        <v>0</v>
      </c>
      <c r="H67" s="2043">
        <v>0</v>
      </c>
      <c r="I67" s="2012">
        <v>0</v>
      </c>
      <c r="J67" s="2871">
        <v>0</v>
      </c>
      <c r="K67" s="1976"/>
      <c r="L67" s="2011">
        <v>0</v>
      </c>
      <c r="M67" s="2045">
        <v>0</v>
      </c>
      <c r="N67" s="2012">
        <f t="shared" si="109"/>
        <v>0</v>
      </c>
      <c r="O67" s="2871">
        <f t="shared" si="96"/>
        <v>0</v>
      </c>
      <c r="P67" s="2046"/>
      <c r="Q67" s="2611"/>
      <c r="R67" s="2051"/>
      <c r="S67" s="2043"/>
      <c r="T67" s="2012">
        <f t="shared" si="110"/>
        <v>0</v>
      </c>
      <c r="U67" s="2871">
        <f t="shared" si="97"/>
        <v>0</v>
      </c>
      <c r="V67" s="2885"/>
      <c r="W67" s="2011"/>
      <c r="X67" s="2045"/>
      <c r="Y67" s="2012">
        <f t="shared" si="111"/>
        <v>0</v>
      </c>
      <c r="Z67" s="2871">
        <f t="shared" si="98"/>
        <v>0</v>
      </c>
      <c r="AA67" s="2046"/>
      <c r="AB67" s="2011"/>
      <c r="AC67" s="2045"/>
      <c r="AD67" s="2012">
        <f t="shared" si="112"/>
        <v>0</v>
      </c>
      <c r="AE67" s="2871">
        <f t="shared" si="99"/>
        <v>0</v>
      </c>
      <c r="AF67" s="2046"/>
      <c r="AG67" s="2011"/>
      <c r="AH67" s="2045"/>
      <c r="AI67" s="2012">
        <f t="shared" si="113"/>
        <v>0</v>
      </c>
      <c r="AJ67" s="2871">
        <f t="shared" si="100"/>
        <v>0</v>
      </c>
      <c r="AK67" s="2046"/>
      <c r="AL67" s="2011"/>
      <c r="AM67" s="2045"/>
      <c r="AN67" s="2012">
        <f t="shared" si="114"/>
        <v>0</v>
      </c>
      <c r="AO67" s="2871">
        <f t="shared" si="101"/>
        <v>0</v>
      </c>
      <c r="AP67" s="2046"/>
      <c r="AQ67" s="2011"/>
      <c r="AR67" s="2011"/>
      <c r="AS67" s="2012">
        <f t="shared" si="125"/>
        <v>0</v>
      </c>
      <c r="AT67" s="2871">
        <f t="shared" si="102"/>
        <v>0</v>
      </c>
      <c r="AU67" s="2046"/>
      <c r="AV67" s="2011"/>
      <c r="AW67" s="2011"/>
      <c r="AX67" s="2012">
        <f t="shared" si="126"/>
        <v>0</v>
      </c>
      <c r="AY67" s="2871">
        <f t="shared" si="103"/>
        <v>0</v>
      </c>
      <c r="AZ67" s="2046"/>
      <c r="BA67" s="2011"/>
      <c r="BB67" s="2011"/>
      <c r="BC67" s="2012">
        <f t="shared" si="127"/>
        <v>0</v>
      </c>
      <c r="BD67" s="2871" t="e">
        <f t="shared" si="104"/>
        <v>#DIV/0!</v>
      </c>
      <c r="BE67" s="2046"/>
      <c r="BF67" s="2011"/>
      <c r="BG67" s="2011"/>
      <c r="BH67" s="2012">
        <f t="shared" si="128"/>
        <v>0</v>
      </c>
      <c r="BI67" s="2138">
        <f t="shared" si="105"/>
        <v>0</v>
      </c>
      <c r="BJ67" s="2046"/>
      <c r="BK67" s="2011"/>
      <c r="BL67" s="2011"/>
      <c r="BM67" s="2012">
        <f t="shared" si="129"/>
        <v>0</v>
      </c>
      <c r="BN67" s="2138">
        <f t="shared" si="106"/>
        <v>0</v>
      </c>
      <c r="BO67" s="2046"/>
      <c r="BP67" s="2011"/>
      <c r="BQ67" s="2011"/>
      <c r="BR67" s="2012">
        <f t="shared" si="130"/>
        <v>0</v>
      </c>
      <c r="BS67" s="2138">
        <f t="shared" si="107"/>
        <v>0</v>
      </c>
      <c r="BT67" s="2046"/>
      <c r="BU67" s="2043">
        <f t="shared" si="121"/>
        <v>0</v>
      </c>
      <c r="BV67" s="2043">
        <f t="shared" si="122"/>
        <v>0</v>
      </c>
      <c r="BW67" s="2012">
        <f t="shared" si="123"/>
        <v>0</v>
      </c>
      <c r="BX67" s="2871">
        <f t="shared" si="84"/>
        <v>0</v>
      </c>
      <c r="BY67" s="2880"/>
    </row>
    <row r="68" spans="1:79" s="1396" customFormat="1" ht="55.2">
      <c r="A68" s="1571"/>
      <c r="B68" s="2937" t="s">
        <v>5</v>
      </c>
      <c r="C68" s="2939"/>
      <c r="D68" s="2881"/>
      <c r="E68" s="2921">
        <f t="shared" si="108"/>
        <v>0</v>
      </c>
      <c r="F68" s="2871">
        <f t="shared" si="124"/>
        <v>0</v>
      </c>
      <c r="G68" s="2043">
        <v>0</v>
      </c>
      <c r="H68" s="2043">
        <v>2009.63</v>
      </c>
      <c r="I68" s="2012">
        <v>2009.63</v>
      </c>
      <c r="J68" s="2871">
        <v>6.2220643025919246E-4</v>
      </c>
      <c r="K68" s="1976"/>
      <c r="L68" s="2051">
        <v>0</v>
      </c>
      <c r="M68" s="2043">
        <v>4687.18</v>
      </c>
      <c r="N68" s="2012">
        <f t="shared" si="109"/>
        <v>4687.18</v>
      </c>
      <c r="O68" s="2871">
        <f t="shared" si="96"/>
        <v>1.2625626012177532E-3</v>
      </c>
      <c r="P68" s="2046"/>
      <c r="Q68" s="2611"/>
      <c r="R68" s="2051"/>
      <c r="S68" s="2043">
        <v>577.54</v>
      </c>
      <c r="T68" s="2012">
        <f t="shared" si="110"/>
        <v>577.54</v>
      </c>
      <c r="U68" s="2871">
        <f t="shared" si="97"/>
        <v>9.1639486225109992E-2</v>
      </c>
      <c r="V68" s="2941" t="s">
        <v>1283</v>
      </c>
      <c r="W68" s="2051"/>
      <c r="X68" s="2043"/>
      <c r="Y68" s="2012">
        <f t="shared" si="111"/>
        <v>0</v>
      </c>
      <c r="Z68" s="2871">
        <f t="shared" si="98"/>
        <v>0</v>
      </c>
      <c r="AA68" s="2046"/>
      <c r="AB68" s="2051"/>
      <c r="AC68" s="2043"/>
      <c r="AD68" s="2012">
        <f t="shared" si="112"/>
        <v>0</v>
      </c>
      <c r="AE68" s="2871">
        <f t="shared" si="99"/>
        <v>0</v>
      </c>
      <c r="AF68" s="2046"/>
      <c r="AG68" s="2051"/>
      <c r="AH68" s="2043">
        <v>767.3</v>
      </c>
      <c r="AI68" s="2012">
        <f t="shared" si="113"/>
        <v>767.3</v>
      </c>
      <c r="AJ68" s="2871">
        <f t="shared" si="100"/>
        <v>5.936312801618502E-2</v>
      </c>
      <c r="AK68" s="2046" t="s">
        <v>562</v>
      </c>
      <c r="AL68" s="2051"/>
      <c r="AM68" s="2043"/>
      <c r="AN68" s="2012">
        <f t="shared" si="114"/>
        <v>0</v>
      </c>
      <c r="AO68" s="2871">
        <f t="shared" si="101"/>
        <v>0</v>
      </c>
      <c r="AP68" s="2046"/>
      <c r="AQ68" s="2011"/>
      <c r="AR68" s="2043"/>
      <c r="AS68" s="2012">
        <f t="shared" si="125"/>
        <v>0</v>
      </c>
      <c r="AT68" s="2871">
        <f t="shared" si="102"/>
        <v>0</v>
      </c>
      <c r="AU68" s="2046"/>
      <c r="AV68" s="2011"/>
      <c r="AW68" s="2043"/>
      <c r="AX68" s="2012">
        <f t="shared" si="126"/>
        <v>0</v>
      </c>
      <c r="AY68" s="2871">
        <f t="shared" si="103"/>
        <v>0</v>
      </c>
      <c r="AZ68" s="2046"/>
      <c r="BA68" s="2011"/>
      <c r="BB68" s="2043"/>
      <c r="BC68" s="2012">
        <f t="shared" si="127"/>
        <v>0</v>
      </c>
      <c r="BD68" s="2871" t="e">
        <f t="shared" si="104"/>
        <v>#DIV/0!</v>
      </c>
      <c r="BE68" s="2046"/>
      <c r="BF68" s="2043"/>
      <c r="BG68" s="2043"/>
      <c r="BH68" s="2012">
        <f t="shared" si="128"/>
        <v>0</v>
      </c>
      <c r="BI68" s="2138">
        <f t="shared" si="105"/>
        <v>0</v>
      </c>
      <c r="BJ68" s="2046"/>
      <c r="BK68" s="2043"/>
      <c r="BL68" s="2043"/>
      <c r="BM68" s="2012">
        <f t="shared" si="129"/>
        <v>0</v>
      </c>
      <c r="BN68" s="2138">
        <f t="shared" si="106"/>
        <v>0</v>
      </c>
      <c r="BO68" s="2046"/>
      <c r="BP68" s="2043"/>
      <c r="BQ68" s="2043">
        <v>237.6</v>
      </c>
      <c r="BR68" s="2012">
        <f t="shared" si="130"/>
        <v>237.6</v>
      </c>
      <c r="BS68" s="2138">
        <f t="shared" si="107"/>
        <v>1</v>
      </c>
      <c r="BT68" s="2046" t="s">
        <v>562</v>
      </c>
      <c r="BU68" s="2043">
        <f t="shared" si="121"/>
        <v>0</v>
      </c>
      <c r="BV68" s="2043">
        <f t="shared" si="122"/>
        <v>8279.25</v>
      </c>
      <c r="BW68" s="2012">
        <f t="shared" si="123"/>
        <v>8279.25</v>
      </c>
      <c r="BX68" s="2871">
        <f t="shared" si="84"/>
        <v>1.1142503908554303E-3</v>
      </c>
      <c r="BY68" s="2880"/>
    </row>
    <row r="69" spans="1:79" s="1396" customFormat="1" ht="13.8">
      <c r="A69" s="1571"/>
      <c r="B69" s="2937" t="s">
        <v>42</v>
      </c>
      <c r="C69" s="2939">
        <v>30509.10220808379</v>
      </c>
      <c r="D69" s="2881"/>
      <c r="E69" s="2921">
        <f t="shared" si="108"/>
        <v>30509.10220808379</v>
      </c>
      <c r="F69" s="2871">
        <f t="shared" si="124"/>
        <v>5.9480724900962513E-3</v>
      </c>
      <c r="G69" s="2043">
        <v>5415</v>
      </c>
      <c r="H69" s="2043">
        <v>0</v>
      </c>
      <c r="I69" s="2012">
        <v>5415</v>
      </c>
      <c r="J69" s="2871">
        <v>1.6765513153433852E-3</v>
      </c>
      <c r="K69" s="1976"/>
      <c r="L69" s="2051">
        <v>0</v>
      </c>
      <c r="M69" s="2043">
        <v>0</v>
      </c>
      <c r="N69" s="2012">
        <f t="shared" si="109"/>
        <v>0</v>
      </c>
      <c r="O69" s="2871">
        <f t="shared" si="96"/>
        <v>0</v>
      </c>
      <c r="P69" s="2046"/>
      <c r="Q69" s="2611"/>
      <c r="R69" s="2051"/>
      <c r="S69" s="2043"/>
      <c r="T69" s="2012">
        <f t="shared" si="110"/>
        <v>0</v>
      </c>
      <c r="U69" s="2871">
        <f t="shared" si="97"/>
        <v>0</v>
      </c>
      <c r="V69" s="2938"/>
      <c r="W69" s="2051"/>
      <c r="X69" s="2043"/>
      <c r="Y69" s="2012">
        <f t="shared" si="111"/>
        <v>0</v>
      </c>
      <c r="Z69" s="2871">
        <f t="shared" si="98"/>
        <v>0</v>
      </c>
      <c r="AA69" s="2046"/>
      <c r="AB69" s="2051"/>
      <c r="AC69" s="2043"/>
      <c r="AD69" s="2012">
        <f t="shared" si="112"/>
        <v>0</v>
      </c>
      <c r="AE69" s="2871">
        <f t="shared" si="99"/>
        <v>0</v>
      </c>
      <c r="AF69" s="2046"/>
      <c r="AG69" s="2051"/>
      <c r="AH69" s="2043"/>
      <c r="AI69" s="2012">
        <f t="shared" si="113"/>
        <v>0</v>
      </c>
      <c r="AJ69" s="2871">
        <f t="shared" si="100"/>
        <v>0</v>
      </c>
      <c r="AK69" s="2046"/>
      <c r="AL69" s="2051"/>
      <c r="AM69" s="2043"/>
      <c r="AN69" s="2012">
        <f t="shared" si="114"/>
        <v>0</v>
      </c>
      <c r="AO69" s="2871">
        <f t="shared" si="101"/>
        <v>0</v>
      </c>
      <c r="AP69" s="2046"/>
      <c r="AQ69" s="2011"/>
      <c r="AR69" s="2043"/>
      <c r="AS69" s="2012">
        <f t="shared" si="125"/>
        <v>0</v>
      </c>
      <c r="AT69" s="2871">
        <f t="shared" si="102"/>
        <v>0</v>
      </c>
      <c r="AU69" s="2942"/>
      <c r="AV69" s="2011"/>
      <c r="AW69" s="2043"/>
      <c r="AX69" s="2012">
        <f t="shared" si="126"/>
        <v>0</v>
      </c>
      <c r="AY69" s="2871">
        <f t="shared" si="103"/>
        <v>0</v>
      </c>
      <c r="AZ69" s="2942"/>
      <c r="BA69" s="2011"/>
      <c r="BB69" s="2043"/>
      <c r="BC69" s="2012">
        <f t="shared" si="127"/>
        <v>0</v>
      </c>
      <c r="BD69" s="2871" t="e">
        <f t="shared" si="104"/>
        <v>#DIV/0!</v>
      </c>
      <c r="BE69" s="2942"/>
      <c r="BF69" s="2011"/>
      <c r="BG69" s="2043"/>
      <c r="BH69" s="2012">
        <f t="shared" si="128"/>
        <v>0</v>
      </c>
      <c r="BI69" s="2138">
        <f t="shared" si="105"/>
        <v>0</v>
      </c>
      <c r="BJ69" s="2485"/>
      <c r="BK69" s="2011"/>
      <c r="BL69" s="2043"/>
      <c r="BM69" s="2012">
        <f t="shared" si="129"/>
        <v>0</v>
      </c>
      <c r="BN69" s="2138">
        <f t="shared" si="106"/>
        <v>0</v>
      </c>
      <c r="BO69" s="2485"/>
      <c r="BP69" s="2011"/>
      <c r="BQ69" s="2043"/>
      <c r="BR69" s="2012">
        <f t="shared" si="130"/>
        <v>0</v>
      </c>
      <c r="BS69" s="2138">
        <f t="shared" si="107"/>
        <v>0</v>
      </c>
      <c r="BT69" s="2485"/>
      <c r="BU69" s="2043">
        <f t="shared" si="121"/>
        <v>5415</v>
      </c>
      <c r="BV69" s="2043">
        <f t="shared" si="122"/>
        <v>0</v>
      </c>
      <c r="BW69" s="2012">
        <f t="shared" si="123"/>
        <v>5415</v>
      </c>
      <c r="BX69" s="2871">
        <f t="shared" si="84"/>
        <v>7.2876961880389592E-4</v>
      </c>
      <c r="BY69" s="2880"/>
    </row>
    <row r="70" spans="1:79" s="1396" customFormat="1" ht="13.8">
      <c r="A70" s="1571"/>
      <c r="B70" s="2937" t="s">
        <v>6</v>
      </c>
      <c r="C70" s="2939"/>
      <c r="D70" s="2881"/>
      <c r="E70" s="2921">
        <f t="shared" si="108"/>
        <v>0</v>
      </c>
      <c r="F70" s="2871">
        <f t="shared" si="124"/>
        <v>0</v>
      </c>
      <c r="G70" s="2043">
        <v>0</v>
      </c>
      <c r="H70" s="2043">
        <v>0</v>
      </c>
      <c r="I70" s="2012">
        <v>0</v>
      </c>
      <c r="J70" s="2871">
        <v>0</v>
      </c>
      <c r="K70" s="1976"/>
      <c r="L70" s="2051">
        <v>0</v>
      </c>
      <c r="M70" s="2043">
        <v>0</v>
      </c>
      <c r="N70" s="2012">
        <f t="shared" si="109"/>
        <v>0</v>
      </c>
      <c r="O70" s="2871">
        <f t="shared" si="96"/>
        <v>0</v>
      </c>
      <c r="P70" s="2046"/>
      <c r="Q70" s="2611"/>
      <c r="R70" s="2051"/>
      <c r="S70" s="2043"/>
      <c r="T70" s="2012">
        <f t="shared" si="110"/>
        <v>0</v>
      </c>
      <c r="U70" s="2871">
        <f t="shared" si="97"/>
        <v>0</v>
      </c>
      <c r="V70" s="2885"/>
      <c r="W70" s="2051"/>
      <c r="X70" s="2043"/>
      <c r="Y70" s="2012">
        <f t="shared" si="111"/>
        <v>0</v>
      </c>
      <c r="Z70" s="2871">
        <f t="shared" si="98"/>
        <v>0</v>
      </c>
      <c r="AA70" s="2046"/>
      <c r="AB70" s="2051"/>
      <c r="AC70" s="2043"/>
      <c r="AD70" s="2012">
        <f t="shared" si="112"/>
        <v>0</v>
      </c>
      <c r="AE70" s="2871">
        <f t="shared" si="99"/>
        <v>0</v>
      </c>
      <c r="AF70" s="2046"/>
      <c r="AG70" s="2051"/>
      <c r="AH70" s="2043"/>
      <c r="AI70" s="2012">
        <f t="shared" si="113"/>
        <v>0</v>
      </c>
      <c r="AJ70" s="2871">
        <f t="shared" si="100"/>
        <v>0</v>
      </c>
      <c r="AK70" s="2046"/>
      <c r="AL70" s="2051"/>
      <c r="AM70" s="2043"/>
      <c r="AN70" s="2012">
        <f t="shared" si="114"/>
        <v>0</v>
      </c>
      <c r="AO70" s="2871">
        <f t="shared" si="101"/>
        <v>0</v>
      </c>
      <c r="AP70" s="2046"/>
      <c r="AQ70" s="2011"/>
      <c r="AR70" s="2051"/>
      <c r="AS70" s="2012">
        <f t="shared" si="125"/>
        <v>0</v>
      </c>
      <c r="AT70" s="2871">
        <f t="shared" si="102"/>
        <v>0</v>
      </c>
      <c r="AU70" s="2046"/>
      <c r="AV70" s="2011"/>
      <c r="AW70" s="2051"/>
      <c r="AX70" s="2012">
        <f t="shared" si="126"/>
        <v>0</v>
      </c>
      <c r="AY70" s="2871">
        <f t="shared" si="103"/>
        <v>0</v>
      </c>
      <c r="AZ70" s="2046"/>
      <c r="BA70" s="2011"/>
      <c r="BB70" s="2051"/>
      <c r="BC70" s="2012">
        <f t="shared" si="127"/>
        <v>0</v>
      </c>
      <c r="BD70" s="2871" t="e">
        <f t="shared" si="104"/>
        <v>#DIV/0!</v>
      </c>
      <c r="BE70" s="2046"/>
      <c r="BF70" s="2011"/>
      <c r="BG70" s="2051"/>
      <c r="BH70" s="2012">
        <f t="shared" si="128"/>
        <v>0</v>
      </c>
      <c r="BI70" s="2138">
        <f t="shared" si="105"/>
        <v>0</v>
      </c>
      <c r="BJ70" s="2046"/>
      <c r="BK70" s="2011"/>
      <c r="BL70" s="2051"/>
      <c r="BM70" s="2012">
        <f t="shared" si="129"/>
        <v>0</v>
      </c>
      <c r="BN70" s="2138">
        <f t="shared" si="106"/>
        <v>0</v>
      </c>
      <c r="BO70" s="2046"/>
      <c r="BP70" s="2011"/>
      <c r="BQ70" s="2051"/>
      <c r="BR70" s="2012">
        <f t="shared" si="130"/>
        <v>0</v>
      </c>
      <c r="BS70" s="2138">
        <f t="shared" si="107"/>
        <v>0</v>
      </c>
      <c r="BT70" s="2046"/>
      <c r="BU70" s="2043">
        <f t="shared" si="121"/>
        <v>0</v>
      </c>
      <c r="BV70" s="2043">
        <f t="shared" si="122"/>
        <v>0</v>
      </c>
      <c r="BW70" s="2012">
        <f t="shared" si="123"/>
        <v>0</v>
      </c>
      <c r="BX70" s="2871">
        <f t="shared" si="84"/>
        <v>0</v>
      </c>
      <c r="BY70" s="2880"/>
    </row>
    <row r="71" spans="1:79" s="1396" customFormat="1" ht="13.8">
      <c r="A71" s="1571"/>
      <c r="B71" s="2937" t="s">
        <v>78</v>
      </c>
      <c r="C71" s="2939"/>
      <c r="D71" s="2881"/>
      <c r="E71" s="2921">
        <f t="shared" si="108"/>
        <v>0</v>
      </c>
      <c r="F71" s="2943">
        <f t="shared" si="124"/>
        <v>0</v>
      </c>
      <c r="G71" s="2043">
        <v>0</v>
      </c>
      <c r="H71" s="2043">
        <v>0</v>
      </c>
      <c r="I71" s="2012">
        <v>0</v>
      </c>
      <c r="J71" s="2871">
        <v>0</v>
      </c>
      <c r="K71" s="1690"/>
      <c r="L71" s="2051">
        <v>0</v>
      </c>
      <c r="M71" s="2043">
        <v>0</v>
      </c>
      <c r="N71" s="2012">
        <f t="shared" si="109"/>
        <v>0</v>
      </c>
      <c r="O71" s="2871">
        <f t="shared" si="96"/>
        <v>0</v>
      </c>
      <c r="P71" s="2046"/>
      <c r="Q71" s="2944"/>
      <c r="R71" s="2051"/>
      <c r="S71" s="2043"/>
      <c r="T71" s="2012">
        <f t="shared" si="110"/>
        <v>0</v>
      </c>
      <c r="U71" s="2871">
        <f t="shared" si="97"/>
        <v>0</v>
      </c>
      <c r="V71" s="2885"/>
      <c r="W71" s="2051"/>
      <c r="X71" s="2043"/>
      <c r="Y71" s="2012">
        <f t="shared" si="111"/>
        <v>0</v>
      </c>
      <c r="Z71" s="2871">
        <f t="shared" si="98"/>
        <v>0</v>
      </c>
      <c r="AA71" s="2046"/>
      <c r="AB71" s="2051"/>
      <c r="AC71" s="2043"/>
      <c r="AD71" s="2012">
        <f t="shared" si="112"/>
        <v>0</v>
      </c>
      <c r="AE71" s="2871">
        <f t="shared" si="99"/>
        <v>0</v>
      </c>
      <c r="AF71" s="2046"/>
      <c r="AG71" s="2051"/>
      <c r="AH71" s="2043"/>
      <c r="AI71" s="2012">
        <f t="shared" si="113"/>
        <v>0</v>
      </c>
      <c r="AJ71" s="2871">
        <f t="shared" si="100"/>
        <v>0</v>
      </c>
      <c r="AK71" s="2046"/>
      <c r="AL71" s="2051"/>
      <c r="AM71" s="2043"/>
      <c r="AN71" s="2012">
        <f t="shared" si="114"/>
        <v>0</v>
      </c>
      <c r="AO71" s="2871">
        <f t="shared" si="101"/>
        <v>0</v>
      </c>
      <c r="AP71" s="2046"/>
      <c r="AQ71" s="2051"/>
      <c r="AR71" s="2043"/>
      <c r="AS71" s="2012">
        <f t="shared" si="125"/>
        <v>0</v>
      </c>
      <c r="AT71" s="2871">
        <f t="shared" si="102"/>
        <v>0</v>
      </c>
      <c r="AU71" s="2046"/>
      <c r="AV71" s="2051"/>
      <c r="AW71" s="2043"/>
      <c r="AX71" s="2012">
        <f t="shared" si="126"/>
        <v>0</v>
      </c>
      <c r="AY71" s="2871">
        <f t="shared" si="103"/>
        <v>0</v>
      </c>
      <c r="AZ71" s="2046"/>
      <c r="BA71" s="2051"/>
      <c r="BB71" s="2043"/>
      <c r="BC71" s="2012">
        <f t="shared" si="127"/>
        <v>0</v>
      </c>
      <c r="BD71" s="2871" t="e">
        <f t="shared" si="104"/>
        <v>#DIV/0!</v>
      </c>
      <c r="BE71" s="2046"/>
      <c r="BF71" s="2051"/>
      <c r="BG71" s="2043"/>
      <c r="BH71" s="2012">
        <f t="shared" si="128"/>
        <v>0</v>
      </c>
      <c r="BI71" s="2138">
        <f t="shared" si="105"/>
        <v>0</v>
      </c>
      <c r="BJ71" s="2046"/>
      <c r="BK71" s="2051"/>
      <c r="BL71" s="2043"/>
      <c r="BM71" s="2012">
        <f t="shared" si="129"/>
        <v>0</v>
      </c>
      <c r="BN71" s="2138">
        <f t="shared" si="106"/>
        <v>0</v>
      </c>
      <c r="BO71" s="2046"/>
      <c r="BP71" s="2051"/>
      <c r="BQ71" s="2043"/>
      <c r="BR71" s="2012">
        <f t="shared" si="130"/>
        <v>0</v>
      </c>
      <c r="BS71" s="2138">
        <f t="shared" si="107"/>
        <v>0</v>
      </c>
      <c r="BT71" s="2046"/>
      <c r="BU71" s="2043">
        <f t="shared" si="121"/>
        <v>0</v>
      </c>
      <c r="BV71" s="2043">
        <f t="shared" si="122"/>
        <v>0</v>
      </c>
      <c r="BW71" s="2012">
        <f t="shared" si="123"/>
        <v>0</v>
      </c>
      <c r="BX71" s="2871">
        <f t="shared" si="84"/>
        <v>0</v>
      </c>
      <c r="BY71" s="2880"/>
    </row>
    <row r="72" spans="1:79" s="1396" customFormat="1" ht="14.4" thickBot="1">
      <c r="A72" s="1571"/>
      <c r="B72" s="2945"/>
      <c r="C72" s="2946"/>
      <c r="D72" s="2947"/>
      <c r="E72" s="2948"/>
      <c r="F72" s="2943">
        <f t="shared" si="124"/>
        <v>0</v>
      </c>
      <c r="G72" s="2027"/>
      <c r="H72" s="2027"/>
      <c r="I72" s="2030"/>
      <c r="J72" s="2943">
        <v>0</v>
      </c>
      <c r="K72" s="1690"/>
      <c r="L72" s="2029"/>
      <c r="M72" s="2027"/>
      <c r="N72" s="2030"/>
      <c r="O72" s="2943"/>
      <c r="P72" s="2949"/>
      <c r="Q72" s="2620"/>
      <c r="R72" s="2029"/>
      <c r="S72" s="2027"/>
      <c r="T72" s="2030"/>
      <c r="U72" s="2943"/>
      <c r="V72" s="2950"/>
      <c r="W72" s="2029"/>
      <c r="X72" s="2027"/>
      <c r="Y72" s="2030"/>
      <c r="Z72" s="2943"/>
      <c r="AA72" s="2949"/>
      <c r="AB72" s="2029"/>
      <c r="AC72" s="2027"/>
      <c r="AD72" s="2030"/>
      <c r="AE72" s="2943"/>
      <c r="AF72" s="2949"/>
      <c r="AG72" s="2029"/>
      <c r="AH72" s="2027"/>
      <c r="AI72" s="2030"/>
      <c r="AJ72" s="2943"/>
      <c r="AK72" s="2949"/>
      <c r="AL72" s="2029"/>
      <c r="AM72" s="2027"/>
      <c r="AN72" s="2030"/>
      <c r="AO72" s="2943"/>
      <c r="AP72" s="2949"/>
      <c r="AQ72" s="2029"/>
      <c r="AR72" s="2027"/>
      <c r="AS72" s="2030"/>
      <c r="AT72" s="2943"/>
      <c r="AU72" s="2949"/>
      <c r="AV72" s="2029"/>
      <c r="AW72" s="2027"/>
      <c r="AX72" s="2030"/>
      <c r="AY72" s="2943"/>
      <c r="AZ72" s="2949"/>
      <c r="BA72" s="2029"/>
      <c r="BB72" s="2027"/>
      <c r="BC72" s="2030"/>
      <c r="BD72" s="2943"/>
      <c r="BE72" s="2949"/>
      <c r="BF72" s="2029"/>
      <c r="BG72" s="2027"/>
      <c r="BH72" s="2030"/>
      <c r="BI72" s="2017"/>
      <c r="BJ72" s="1990"/>
      <c r="BK72" s="2029"/>
      <c r="BL72" s="2027"/>
      <c r="BM72" s="2030"/>
      <c r="BN72" s="2017"/>
      <c r="BO72" s="1990"/>
      <c r="BP72" s="2029"/>
      <c r="BQ72" s="2027"/>
      <c r="BR72" s="2030"/>
      <c r="BS72" s="2017"/>
      <c r="BT72" s="1990"/>
      <c r="BU72" s="2027"/>
      <c r="BV72" s="2027"/>
      <c r="BW72" s="2030"/>
      <c r="BX72" s="2943">
        <f t="shared" si="84"/>
        <v>0</v>
      </c>
      <c r="BY72" s="2951"/>
    </row>
    <row r="73" spans="1:79" s="1396" customFormat="1" ht="14.4" thickBot="1">
      <c r="A73" s="1571"/>
      <c r="B73" s="903" t="s">
        <v>4</v>
      </c>
      <c r="C73" s="1584">
        <f>C74</f>
        <v>187067.36258462275</v>
      </c>
      <c r="D73" s="843">
        <f>D74</f>
        <v>0</v>
      </c>
      <c r="E73" s="1584">
        <f>E74</f>
        <v>187067.36258462275</v>
      </c>
      <c r="F73" s="838">
        <f>E73/$E$89</f>
        <v>3.6470762908573345E-2</v>
      </c>
      <c r="G73" s="1584">
        <v>0</v>
      </c>
      <c r="H73" s="1689">
        <v>0</v>
      </c>
      <c r="I73" s="1688">
        <v>0</v>
      </c>
      <c r="J73" s="1689"/>
      <c r="K73" s="969"/>
      <c r="L73" s="1584">
        <f>L74</f>
        <v>0</v>
      </c>
      <c r="M73" s="1584">
        <f>M74</f>
        <v>0</v>
      </c>
      <c r="N73" s="1688">
        <f>N74</f>
        <v>0</v>
      </c>
      <c r="O73" s="1689">
        <f t="shared" ref="O73:O74" si="131">N73/N$89</f>
        <v>0</v>
      </c>
      <c r="P73" s="1732"/>
      <c r="Q73" s="2621"/>
      <c r="R73" s="1584">
        <f>R74</f>
        <v>0</v>
      </c>
      <c r="S73" s="1689">
        <f>S74</f>
        <v>0</v>
      </c>
      <c r="T73" s="1688">
        <f>T74</f>
        <v>0</v>
      </c>
      <c r="U73" s="1689"/>
      <c r="V73" s="1697"/>
      <c r="W73" s="1584">
        <f>W74</f>
        <v>0</v>
      </c>
      <c r="X73" s="1584">
        <f>X74</f>
        <v>0</v>
      </c>
      <c r="Y73" s="1688">
        <f>Y74</f>
        <v>0</v>
      </c>
      <c r="Z73" s="1689">
        <f>Y73/$Y$89</f>
        <v>0</v>
      </c>
      <c r="AA73" s="1732"/>
      <c r="AB73" s="1584">
        <f>AB74</f>
        <v>0</v>
      </c>
      <c r="AC73" s="1584">
        <f>AC74</f>
        <v>0</v>
      </c>
      <c r="AD73" s="1688">
        <f>AD74</f>
        <v>0</v>
      </c>
      <c r="AE73" s="1689">
        <f>AD73/$AD$89</f>
        <v>0</v>
      </c>
      <c r="AF73" s="1732"/>
      <c r="AG73" s="1584">
        <f>AG74</f>
        <v>0</v>
      </c>
      <c r="AH73" s="1584">
        <f>AH74</f>
        <v>0</v>
      </c>
      <c r="AI73" s="1688">
        <f>AI74</f>
        <v>0</v>
      </c>
      <c r="AJ73" s="1689">
        <f t="shared" ref="AJ73:AJ74" si="132">AI73/AI$89</f>
        <v>0</v>
      </c>
      <c r="AK73" s="1732"/>
      <c r="AL73" s="1584">
        <f>AL74</f>
        <v>0</v>
      </c>
      <c r="AM73" s="1584">
        <f>AM74</f>
        <v>0</v>
      </c>
      <c r="AN73" s="1688">
        <f>AN74</f>
        <v>0</v>
      </c>
      <c r="AO73" s="1689">
        <f t="shared" ref="AO73:AO74" si="133">AN73/AN$89</f>
        <v>0</v>
      </c>
      <c r="AP73" s="1732"/>
      <c r="AQ73" s="1584">
        <f>AQ74</f>
        <v>0</v>
      </c>
      <c r="AR73" s="1584">
        <f>AR74</f>
        <v>0</v>
      </c>
      <c r="AS73" s="1688">
        <f>AS74</f>
        <v>0</v>
      </c>
      <c r="AT73" s="1689">
        <f t="shared" ref="AT73:AT74" si="134">AS73/AS$89</f>
        <v>0</v>
      </c>
      <c r="AU73" s="1732"/>
      <c r="AV73" s="1584">
        <f>AV74</f>
        <v>0</v>
      </c>
      <c r="AW73" s="1584">
        <f>AW74</f>
        <v>0</v>
      </c>
      <c r="AX73" s="1688">
        <f>AX74</f>
        <v>0</v>
      </c>
      <c r="AY73" s="1689">
        <f t="shared" ref="AY73:AY74" si="135">AX73/AX$89</f>
        <v>0</v>
      </c>
      <c r="AZ73" s="1732"/>
      <c r="BA73" s="1584">
        <f>BA74</f>
        <v>0</v>
      </c>
      <c r="BB73" s="1584">
        <f>BB74</f>
        <v>0</v>
      </c>
      <c r="BC73" s="1688">
        <f>BC74</f>
        <v>0</v>
      </c>
      <c r="BD73" s="1689" t="e">
        <f t="shared" ref="BD73:BD74" si="136">BC73/BC$89</f>
        <v>#DIV/0!</v>
      </c>
      <c r="BE73" s="1732"/>
      <c r="BF73" s="1584">
        <f>BF74</f>
        <v>0</v>
      </c>
      <c r="BG73" s="1584">
        <f>BG74</f>
        <v>0</v>
      </c>
      <c r="BH73" s="1688">
        <f>BH74</f>
        <v>0</v>
      </c>
      <c r="BI73" s="1689">
        <f t="shared" ref="BI73:BI74" si="137">BH73/BH$89</f>
        <v>0</v>
      </c>
      <c r="BJ73" s="1732"/>
      <c r="BK73" s="1584">
        <f>BK74</f>
        <v>0</v>
      </c>
      <c r="BL73" s="1584">
        <f>BL74</f>
        <v>0</v>
      </c>
      <c r="BM73" s="1688">
        <f>BM74</f>
        <v>0</v>
      </c>
      <c r="BN73" s="1689">
        <f t="shared" ref="BN73:BN74" si="138">BM73/BM$89</f>
        <v>0</v>
      </c>
      <c r="BO73" s="1732"/>
      <c r="BP73" s="1584">
        <f>BP74</f>
        <v>0</v>
      </c>
      <c r="BQ73" s="1584">
        <f>BQ74</f>
        <v>0</v>
      </c>
      <c r="BR73" s="1688">
        <f>BR74</f>
        <v>0</v>
      </c>
      <c r="BS73" s="1689">
        <f t="shared" ref="BS73:BS74" si="139">BR73/BR$89</f>
        <v>0</v>
      </c>
      <c r="BT73" s="1732"/>
      <c r="BU73" s="1584">
        <f>BU74</f>
        <v>0</v>
      </c>
      <c r="BV73" s="1689">
        <f>BV74</f>
        <v>0</v>
      </c>
      <c r="BW73" s="1688">
        <f>BW74</f>
        <v>0</v>
      </c>
      <c r="BX73" s="1689"/>
      <c r="BY73" s="1689"/>
    </row>
    <row r="74" spans="1:79" s="1396" customFormat="1" ht="14.4" thickBot="1">
      <c r="A74" s="1413"/>
      <c r="B74" s="1070" t="s">
        <v>64</v>
      </c>
      <c r="C74" s="1099">
        <v>187067.36258462275</v>
      </c>
      <c r="D74" s="305"/>
      <c r="E74" s="306">
        <f>C74+D74</f>
        <v>187067.36258462275</v>
      </c>
      <c r="F74" s="307"/>
      <c r="G74" s="2043">
        <v>0</v>
      </c>
      <c r="H74" s="2043">
        <v>0</v>
      </c>
      <c r="I74" s="1648">
        <v>0</v>
      </c>
      <c r="J74" s="1648"/>
      <c r="K74" s="1712"/>
      <c r="L74" s="2028"/>
      <c r="M74" s="2025"/>
      <c r="N74" s="1628">
        <f>L74+M74*1</f>
        <v>0</v>
      </c>
      <c r="O74" s="1664">
        <f t="shared" si="131"/>
        <v>0</v>
      </c>
      <c r="P74" s="1675"/>
      <c r="Q74" s="2622"/>
      <c r="R74" s="2051"/>
      <c r="S74" s="2043"/>
      <c r="T74" s="841">
        <f>R74+S74*1</f>
        <v>0</v>
      </c>
      <c r="U74" s="1648"/>
      <c r="V74" s="1648"/>
      <c r="W74" s="2028"/>
      <c r="X74" s="2025"/>
      <c r="Y74" s="1628">
        <f>W74+X74*1</f>
        <v>0</v>
      </c>
      <c r="Z74" s="1664">
        <f>Y74/$Y$89</f>
        <v>0</v>
      </c>
      <c r="AA74" s="1675"/>
      <c r="AB74" s="2028"/>
      <c r="AC74" s="2025"/>
      <c r="AD74" s="1628">
        <f>AB74+AC74*1</f>
        <v>0</v>
      </c>
      <c r="AE74" s="1664">
        <f>AD74/$AD$89</f>
        <v>0</v>
      </c>
      <c r="AF74" s="1675"/>
      <c r="AG74" s="2028"/>
      <c r="AH74" s="2025"/>
      <c r="AI74" s="1628">
        <f>AG74+AH74*1</f>
        <v>0</v>
      </c>
      <c r="AJ74" s="1664">
        <f t="shared" si="132"/>
        <v>0</v>
      </c>
      <c r="AK74" s="1675"/>
      <c r="AL74" s="2028"/>
      <c r="AM74" s="2025"/>
      <c r="AN74" s="1628">
        <f>AL74+AM74*1</f>
        <v>0</v>
      </c>
      <c r="AO74" s="1664">
        <f t="shared" si="133"/>
        <v>0</v>
      </c>
      <c r="AP74" s="1675"/>
      <c r="AQ74" s="2028"/>
      <c r="AR74" s="2025"/>
      <c r="AS74" s="1628">
        <f>AQ74+AR74*1</f>
        <v>0</v>
      </c>
      <c r="AT74" s="1664">
        <f t="shared" si="134"/>
        <v>0</v>
      </c>
      <c r="AU74" s="1675"/>
      <c r="AV74" s="2028"/>
      <c r="AW74" s="2025"/>
      <c r="AX74" s="1628">
        <f>AV74+AW74*1</f>
        <v>0</v>
      </c>
      <c r="AY74" s="1664">
        <f t="shared" si="135"/>
        <v>0</v>
      </c>
      <c r="AZ74" s="1675"/>
      <c r="BA74" s="2028"/>
      <c r="BB74" s="2025"/>
      <c r="BC74" s="1628">
        <f>BA74+BB74*1</f>
        <v>0</v>
      </c>
      <c r="BD74" s="1664" t="e">
        <f t="shared" si="136"/>
        <v>#DIV/0!</v>
      </c>
      <c r="BE74" s="1675"/>
      <c r="BF74" s="2028"/>
      <c r="BG74" s="2025"/>
      <c r="BH74" s="1628">
        <f>BF74+BG74*1</f>
        <v>0</v>
      </c>
      <c r="BI74" s="1664">
        <f t="shared" si="137"/>
        <v>0</v>
      </c>
      <c r="BJ74" s="1675"/>
      <c r="BK74" s="2028"/>
      <c r="BL74" s="2025"/>
      <c r="BM74" s="1628">
        <f>BK74+BL74*1</f>
        <v>0</v>
      </c>
      <c r="BN74" s="1664">
        <f t="shared" si="138"/>
        <v>0</v>
      </c>
      <c r="BO74" s="1675"/>
      <c r="BP74" s="2028"/>
      <c r="BQ74" s="2025"/>
      <c r="BR74" s="1628">
        <f>BP74+BQ74*1</f>
        <v>0</v>
      </c>
      <c r="BS74" s="1664">
        <f t="shared" si="139"/>
        <v>0</v>
      </c>
      <c r="BT74" s="1675"/>
      <c r="BU74" s="2043">
        <f>G74+L74+R74+W74+AB74+AG74+AL74+AQ74+AV74+BA74+BF74+BK74+BP74</f>
        <v>0</v>
      </c>
      <c r="BV74" s="2043">
        <f>H74+M74+S74+X74+AC74+AH74+AM74+AR74+AW74+BB74+BG74+BL74+BQ74</f>
        <v>0</v>
      </c>
      <c r="BW74" s="841">
        <f>BU74+BV74*1</f>
        <v>0</v>
      </c>
      <c r="BX74" s="1648"/>
      <c r="BY74" s="1648"/>
    </row>
    <row r="75" spans="1:79" s="1396" customFormat="1" ht="14.4" thickBot="1">
      <c r="A75" s="1399"/>
      <c r="B75" s="1416" t="s">
        <v>48</v>
      </c>
      <c r="C75" s="1958">
        <f>C38-C41-C50-C54</f>
        <v>2697896.6180936745</v>
      </c>
      <c r="D75" s="1958">
        <f>D38-D41-D50-D54</f>
        <v>-1221297.6782608696</v>
      </c>
      <c r="E75" s="1508">
        <f>E38-E41-E50-E54</f>
        <v>1476598.9398328045</v>
      </c>
      <c r="F75" s="1536"/>
      <c r="G75" s="1450">
        <f t="shared" ref="G75:I75" si="140">G38-G41-G50-G54</f>
        <v>874396.03792000003</v>
      </c>
      <c r="H75" s="1450">
        <f t="shared" si="140"/>
        <v>-835484.87</v>
      </c>
      <c r="I75" s="1508">
        <f t="shared" si="140"/>
        <v>38911.167919999847</v>
      </c>
      <c r="J75" s="1953"/>
      <c r="K75" s="1713"/>
      <c r="L75" s="1450">
        <f t="shared" ref="L75:N75" si="141">L38-L41-L50-L54</f>
        <v>1595480.1476000007</v>
      </c>
      <c r="M75" s="1450">
        <f t="shared" si="141"/>
        <v>-705755.53000000014</v>
      </c>
      <c r="N75" s="1508">
        <f t="shared" si="141"/>
        <v>889724.61760000116</v>
      </c>
      <c r="O75" s="1953"/>
      <c r="P75" s="1660"/>
      <c r="Q75" s="1536"/>
      <c r="R75" s="1450">
        <f t="shared" ref="R75:T75" si="142">R38-R41-R50-R54</f>
        <v>0</v>
      </c>
      <c r="S75" s="1450">
        <f t="shared" si="142"/>
        <v>-5577.54</v>
      </c>
      <c r="T75" s="1508">
        <f t="shared" si="142"/>
        <v>-5577.54</v>
      </c>
      <c r="U75" s="1953"/>
      <c r="V75" s="1599"/>
      <c r="W75" s="1450">
        <f t="shared" ref="W75:Y75" si="143">W38-W41-W50-W54</f>
        <v>242122.96600000001</v>
      </c>
      <c r="X75" s="1450">
        <f t="shared" si="143"/>
        <v>-41575</v>
      </c>
      <c r="Y75" s="1508">
        <f t="shared" si="143"/>
        <v>200547.96600000001</v>
      </c>
      <c r="Z75" s="1953"/>
      <c r="AA75" s="1660"/>
      <c r="AB75" s="1450">
        <f t="shared" ref="AB75:AD75" si="144">AB38-AB41-AB50-AB54</f>
        <v>44308.198000000004</v>
      </c>
      <c r="AC75" s="1450">
        <f t="shared" si="144"/>
        <v>-19480</v>
      </c>
      <c r="AD75" s="1508">
        <f t="shared" si="144"/>
        <v>24828.198</v>
      </c>
      <c r="AE75" s="1953"/>
      <c r="AF75" s="1660"/>
      <c r="AG75" s="1450">
        <f t="shared" ref="AG75:AI75" si="145">AG38-AG41-AG50-AG54</f>
        <v>-12053.6</v>
      </c>
      <c r="AH75" s="1450">
        <f t="shared" si="145"/>
        <v>-767.3</v>
      </c>
      <c r="AI75" s="1508">
        <f t="shared" si="145"/>
        <v>-12820.9</v>
      </c>
      <c r="AJ75" s="1953"/>
      <c r="AK75" s="1660"/>
      <c r="AL75" s="1450">
        <f t="shared" ref="AL75:AN75" si="146">AL38-AL41-AL50-AL54</f>
        <v>-6904.2839999999997</v>
      </c>
      <c r="AM75" s="1450">
        <f t="shared" si="146"/>
        <v>-55080</v>
      </c>
      <c r="AN75" s="1508">
        <f t="shared" si="146"/>
        <v>-61984.284</v>
      </c>
      <c r="AO75" s="1953"/>
      <c r="AP75" s="1660"/>
      <c r="AQ75" s="1450">
        <f>AQ38-AQ41-AQ50-AQ54</f>
        <v>0</v>
      </c>
      <c r="AR75" s="1450">
        <f>AR38-AR41-AR50-AR54</f>
        <v>-500</v>
      </c>
      <c r="AS75" s="1508">
        <f>AS38-AS41-AS50-AS54</f>
        <v>-500</v>
      </c>
      <c r="AT75" s="1953"/>
      <c r="AU75" s="1660"/>
      <c r="AV75" s="1450">
        <f>AV38-AV41-AV50-AV54</f>
        <v>186994.82800000001</v>
      </c>
      <c r="AW75" s="1450">
        <f>AW38-AW41-AW50-AW54</f>
        <v>-22394.7</v>
      </c>
      <c r="AX75" s="1508">
        <f>AX38-AX41-AX50-AX54</f>
        <v>164600.128</v>
      </c>
      <c r="AY75" s="1953"/>
      <c r="AZ75" s="1660"/>
      <c r="BA75" s="1450">
        <f>BA38-BA41-BA50-BA54</f>
        <v>0</v>
      </c>
      <c r="BB75" s="1450">
        <f>BB38-BB41-BB50-BB54</f>
        <v>0</v>
      </c>
      <c r="BC75" s="1508">
        <f>BC38-BC41-BC50-BC54</f>
        <v>0</v>
      </c>
      <c r="BD75" s="1953"/>
      <c r="BE75" s="1660"/>
      <c r="BF75" s="1450">
        <f>BF38-BF41-BF50-BF54</f>
        <v>-477.59999999999997</v>
      </c>
      <c r="BG75" s="1450">
        <f>BG38-BG41-BG50-BG54</f>
        <v>0</v>
      </c>
      <c r="BH75" s="1508">
        <f>BH38-BH41-BH50-BH54</f>
        <v>-477.59999999999997</v>
      </c>
      <c r="BI75" s="1953"/>
      <c r="BJ75" s="1660"/>
      <c r="BK75" s="1450">
        <f>BK38-BK41-BK50-BK54</f>
        <v>0</v>
      </c>
      <c r="BL75" s="1450">
        <f>BL38-BL41-BL50-BL54</f>
        <v>-10390</v>
      </c>
      <c r="BM75" s="1508">
        <f>BM38-BM41-BM50-BM54</f>
        <v>-10390</v>
      </c>
      <c r="BN75" s="1953"/>
      <c r="BO75" s="1660"/>
      <c r="BP75" s="1450">
        <f>BP38-BP41-BP50-BP54</f>
        <v>0</v>
      </c>
      <c r="BQ75" s="1450">
        <f>BQ38-BQ41-BQ50-BQ54</f>
        <v>-237.6</v>
      </c>
      <c r="BR75" s="1508">
        <f>BR38-BR41-BR50-BR54</f>
        <v>-237.6</v>
      </c>
      <c r="BS75" s="1953"/>
      <c r="BT75" s="1660"/>
      <c r="BU75" s="1450">
        <f>BU38-BU41-BU50-BU54</f>
        <v>2923866.693520003</v>
      </c>
      <c r="BV75" s="1450">
        <f>BV38-BV41-BV50-BV54</f>
        <v>-1697242.54</v>
      </c>
      <c r="BW75" s="1508">
        <f>BW38-BW41-BW50-BW54</f>
        <v>1226624.1535200018</v>
      </c>
      <c r="BX75" s="1953"/>
      <c r="BY75" s="1953"/>
    </row>
    <row r="76" spans="1:79" s="1396" customFormat="1" ht="13.8">
      <c r="A76" s="1566"/>
      <c r="B76" s="1429" t="s">
        <v>49</v>
      </c>
      <c r="C76" s="1525">
        <f>C75/C5</f>
        <v>0.43266178249665121</v>
      </c>
      <c r="D76" s="1525" t="e">
        <f>D75/D5</f>
        <v>#DIV/0!</v>
      </c>
      <c r="E76" s="1526">
        <f>E75/E5</f>
        <v>0.23680222772663126</v>
      </c>
      <c r="F76" s="1531"/>
      <c r="G76" s="2003">
        <v>0.29997340916602372</v>
      </c>
      <c r="H76" s="2003" t="e">
        <v>#DIV/0!</v>
      </c>
      <c r="I76" s="2004">
        <v>4.2486605942669529E-2</v>
      </c>
      <c r="J76" s="2004"/>
      <c r="K76" s="1709"/>
      <c r="L76" s="2003">
        <f>L75/L5</f>
        <v>0.35452842415400954</v>
      </c>
      <c r="M76" s="2003" t="e">
        <f>M75/M5</f>
        <v>#DIV/0!</v>
      </c>
      <c r="N76" s="2004">
        <f>N75/N5</f>
        <v>0.19770391194352771</v>
      </c>
      <c r="O76" s="2004"/>
      <c r="P76" s="1661"/>
      <c r="Q76" s="2615"/>
      <c r="R76" s="2003" t="e">
        <f>R75/R5</f>
        <v>#DIV/0!</v>
      </c>
      <c r="S76" s="2003" t="e">
        <f>S75/S5</f>
        <v>#DIV/0!</v>
      </c>
      <c r="T76" s="2004" t="e">
        <f>T75/T5</f>
        <v>#DIV/0!</v>
      </c>
      <c r="U76" s="2004"/>
      <c r="V76" s="2022"/>
      <c r="W76" s="2003">
        <f>W75/W5</f>
        <v>0.73106373815195014</v>
      </c>
      <c r="X76" s="2003" t="e">
        <f>X75/X5</f>
        <v>#DIV/0!</v>
      </c>
      <c r="Y76" s="2004">
        <f>Y75/Y5</f>
        <v>0.60553258587923553</v>
      </c>
      <c r="Z76" s="2004"/>
      <c r="AA76" s="1661"/>
      <c r="AB76" s="2003">
        <f>AB75/AB5</f>
        <v>0.3995947614251909</v>
      </c>
      <c r="AC76" s="2003" t="e">
        <f>AC75/AC5</f>
        <v>#DIV/0!</v>
      </c>
      <c r="AD76" s="2004">
        <f>AD75/AD5</f>
        <v>0.22391381965990587</v>
      </c>
      <c r="AE76" s="2004"/>
      <c r="AF76" s="1661"/>
      <c r="AG76" s="2003" t="e">
        <f>AG75/AG5</f>
        <v>#DIV/0!</v>
      </c>
      <c r="AH76" s="2003" t="e">
        <f>AH75/AH5</f>
        <v>#DIV/0!</v>
      </c>
      <c r="AI76" s="2004" t="e">
        <f>AI75/AI5</f>
        <v>#DIV/0!</v>
      </c>
      <c r="AJ76" s="2004"/>
      <c r="AK76" s="1661"/>
      <c r="AL76" s="2003">
        <f>AL75/AL5</f>
        <v>-0.19468188416340423</v>
      </c>
      <c r="AM76" s="2003" t="e">
        <f>AM75/AM5</f>
        <v>#DIV/0!</v>
      </c>
      <c r="AN76" s="2004">
        <f>AN75/AN5</f>
        <v>-1.7477869099300594</v>
      </c>
      <c r="AO76" s="2004"/>
      <c r="AP76" s="1661"/>
      <c r="AQ76" s="2003" t="e">
        <f>AQ75/AQ5</f>
        <v>#DIV/0!</v>
      </c>
      <c r="AR76" s="2003" t="e">
        <f>AR75/AR5</f>
        <v>#DIV/0!</v>
      </c>
      <c r="AS76" s="2004" t="e">
        <f>AS75/AS5</f>
        <v>#DIV/0!</v>
      </c>
      <c r="AT76" s="2004"/>
      <c r="AU76" s="1661"/>
      <c r="AV76" s="2003">
        <f>AV75/AV5</f>
        <v>0.98816195735461199</v>
      </c>
      <c r="AW76" s="2003" t="e">
        <f>AW75/AW5</f>
        <v>#DIV/0!</v>
      </c>
      <c r="AX76" s="2004">
        <f>AX75/AX5</f>
        <v>0.86981862763230899</v>
      </c>
      <c r="AY76" s="2004"/>
      <c r="AZ76" s="1661"/>
      <c r="BA76" s="2003" t="e">
        <f>BA75/BA5</f>
        <v>#DIV/0!</v>
      </c>
      <c r="BB76" s="2003" t="e">
        <f>BB75/BB5</f>
        <v>#DIV/0!</v>
      </c>
      <c r="BC76" s="2004" t="e">
        <f>BC75/BC5</f>
        <v>#DIV/0!</v>
      </c>
      <c r="BD76" s="2004"/>
      <c r="BE76" s="1661"/>
      <c r="BF76" s="2003" t="e">
        <f>BF75/BF5</f>
        <v>#DIV/0!</v>
      </c>
      <c r="BG76" s="2003" t="e">
        <f>BG75/BG5</f>
        <v>#DIV/0!</v>
      </c>
      <c r="BH76" s="2004" t="e">
        <f>BH75/BH5</f>
        <v>#DIV/0!</v>
      </c>
      <c r="BI76" s="2004"/>
      <c r="BJ76" s="1661"/>
      <c r="BK76" s="2003" t="e">
        <f>BK75/BK5</f>
        <v>#DIV/0!</v>
      </c>
      <c r="BL76" s="2003" t="e">
        <f>BL75/BL5</f>
        <v>#DIV/0!</v>
      </c>
      <c r="BM76" s="2004" t="e">
        <f>BM75/BM5</f>
        <v>#DIV/0!</v>
      </c>
      <c r="BN76" s="2004"/>
      <c r="BO76" s="1661"/>
      <c r="BP76" s="2003" t="e">
        <f>BP75/BP5</f>
        <v>#DIV/0!</v>
      </c>
      <c r="BQ76" s="2003" t="e">
        <f>BQ75/BQ5</f>
        <v>#DIV/0!</v>
      </c>
      <c r="BR76" s="2004" t="e">
        <f>BR75/BR5</f>
        <v>#DIV/0!</v>
      </c>
      <c r="BS76" s="2004"/>
      <c r="BT76" s="1661"/>
      <c r="BU76" s="2003">
        <f>BU75/BU5</f>
        <v>0.34758980169581583</v>
      </c>
      <c r="BV76" s="2003" t="e">
        <f>BV75/BV5</f>
        <v>#DIV/0!</v>
      </c>
      <c r="BW76" s="2004">
        <f>BW75/BW5</f>
        <v>0.14582130136857366</v>
      </c>
      <c r="BX76" s="2004"/>
      <c r="BY76" s="2004"/>
    </row>
    <row r="77" spans="1:79" s="1396" customFormat="1" ht="14.4" thickBot="1">
      <c r="A77" s="1566"/>
      <c r="B77" s="2952" t="s">
        <v>9</v>
      </c>
      <c r="C77" s="2953">
        <f>C78-C79</f>
        <v>-183194.65173913044</v>
      </c>
      <c r="D77" s="2953">
        <f>D78-D79</f>
        <v>0</v>
      </c>
      <c r="E77" s="2954">
        <f>E78-E79</f>
        <v>-183194.65173913044</v>
      </c>
      <c r="F77" s="2955"/>
      <c r="G77" s="2953">
        <v>0</v>
      </c>
      <c r="H77" s="2953">
        <v>0</v>
      </c>
      <c r="I77" s="2954">
        <v>-122935.91118082579</v>
      </c>
      <c r="J77" s="2956"/>
      <c r="K77" s="2957"/>
      <c r="L77" s="2953" t="e">
        <f>#REF!+#REF!+#REF!+#REF!+#REF!+#REF!+#REF!+#REF!</f>
        <v>#REF!</v>
      </c>
      <c r="M77" s="2953" t="e">
        <f>#REF!+#REF!+#REF!+#REF!+#REF!+#REF!+#REF!+#REF!</f>
        <v>#REF!</v>
      </c>
      <c r="N77" s="2954">
        <f>N78-N79</f>
        <v>-101869.97789863721</v>
      </c>
      <c r="O77" s="2956">
        <f t="shared" ref="O77:O79" si="147">N77/N$89</f>
        <v>-2.744021443206756E-2</v>
      </c>
      <c r="P77" s="2958"/>
      <c r="Q77" s="2955"/>
      <c r="R77" s="2953">
        <f>R78-R79</f>
        <v>0</v>
      </c>
      <c r="S77" s="2953">
        <f>S78-S79</f>
        <v>0</v>
      </c>
      <c r="T77" s="2954">
        <f>T78-T79</f>
        <v>-724.76508474576269</v>
      </c>
      <c r="U77" s="2956"/>
      <c r="V77" s="2959"/>
      <c r="W77" s="2953">
        <f>W78-W79</f>
        <v>0</v>
      </c>
      <c r="X77" s="2953">
        <f>X78-X79</f>
        <v>0</v>
      </c>
      <c r="Y77" s="2954">
        <f>Y78-Y79</f>
        <v>-5402.4010834959145</v>
      </c>
      <c r="Z77" s="2956">
        <f>Y77/$Y$89</f>
        <v>-3.9709777624336494E-2</v>
      </c>
      <c r="AA77" s="2958"/>
      <c r="AB77" s="2953">
        <f>AB78-AB79</f>
        <v>0</v>
      </c>
      <c r="AC77" s="2953">
        <f>AC78-AC79</f>
        <v>0</v>
      </c>
      <c r="AD77" s="2954">
        <f>AD78-AD79</f>
        <v>-2531.2994132651938</v>
      </c>
      <c r="AE77" s="2956">
        <f>AD77/$AD$89</f>
        <v>-2.857450808364078E-2</v>
      </c>
      <c r="AF77" s="2958"/>
      <c r="AG77" s="2953">
        <f>AG78-AG79</f>
        <v>0</v>
      </c>
      <c r="AH77" s="2953">
        <f>AH78-AH79</f>
        <v>0</v>
      </c>
      <c r="AI77" s="2954">
        <f>AI78-AI79</f>
        <v>-104.63181818181818</v>
      </c>
      <c r="AJ77" s="2956">
        <f t="shared" ref="AJ77:AJ78" si="148">AI77/AI$89</f>
        <v>-8.0949720022070477E-3</v>
      </c>
      <c r="AK77" s="2958"/>
      <c r="AL77" s="2953">
        <f>AL78-AL79</f>
        <v>0</v>
      </c>
      <c r="AM77" s="2953">
        <f>AM78-AM79</f>
        <v>0</v>
      </c>
      <c r="AN77" s="2954">
        <f>AN78-AN79</f>
        <v>-7384.8362025182887</v>
      </c>
      <c r="AO77" s="2956">
        <f t="shared" ref="AO77:AO79" si="149">AN77/AN$89</f>
        <v>-7.0443436131065323E-2</v>
      </c>
      <c r="AP77" s="2958"/>
      <c r="AQ77" s="2953">
        <f>AQ78-AQ79</f>
        <v>0</v>
      </c>
      <c r="AR77" s="2953">
        <f>AR78-AR79</f>
        <v>0</v>
      </c>
      <c r="AS77" s="2954">
        <f>AS78-AS79</f>
        <v>-70.693590545963261</v>
      </c>
      <c r="AT77" s="2956">
        <f t="shared" ref="AT77" si="150">AS77/AS$89</f>
        <v>-0.12387311110035963</v>
      </c>
      <c r="AU77" s="2958"/>
      <c r="AV77" s="2953">
        <f>AV78-AV79</f>
        <v>0</v>
      </c>
      <c r="AW77" s="2953">
        <f>AW78-AW79</f>
        <v>0</v>
      </c>
      <c r="AX77" s="2954">
        <f>AX78-AX79</f>
        <v>-2739.6548023342229</v>
      </c>
      <c r="AY77" s="2956">
        <f t="shared" ref="AY77" si="151">AX77/AX$89</f>
        <v>-0.10008044420700681</v>
      </c>
      <c r="AZ77" s="2958"/>
      <c r="BA77" s="2953">
        <f>BA78-BA79</f>
        <v>0</v>
      </c>
      <c r="BB77" s="2953">
        <f>BB78-BB79</f>
        <v>0</v>
      </c>
      <c r="BC77" s="2954">
        <f>BC78-BC79</f>
        <v>0</v>
      </c>
      <c r="BD77" s="2956" t="e">
        <f t="shared" ref="BD77" si="152">BC77/BC$89</f>
        <v>#DIV/0!</v>
      </c>
      <c r="BE77" s="2958"/>
      <c r="BF77" s="2515">
        <f>BF78-BF79</f>
        <v>0</v>
      </c>
      <c r="BG77" s="2515">
        <f>BG78-BG79</f>
        <v>0</v>
      </c>
      <c r="BH77" s="2516">
        <f>BH78-BH79</f>
        <v>0</v>
      </c>
      <c r="BI77" s="2517">
        <f t="shared" ref="BI77" si="153">BH77/BH$89</f>
        <v>0</v>
      </c>
      <c r="BJ77" s="2518"/>
      <c r="BK77" s="2515">
        <f>BK78-BK79</f>
        <v>0</v>
      </c>
      <c r="BL77" s="2515">
        <f>BL78-BL79</f>
        <v>0</v>
      </c>
      <c r="BM77" s="2516">
        <f>BM78-BM79</f>
        <v>-1360.6116283138406</v>
      </c>
      <c r="BN77" s="2517">
        <f t="shared" ref="BN77" si="154">BM77/BM$89</f>
        <v>-0.11579070701608085</v>
      </c>
      <c r="BO77" s="2518"/>
      <c r="BP77" s="2515">
        <f>BP78-BP79</f>
        <v>0</v>
      </c>
      <c r="BQ77" s="2515">
        <f>BQ78-BQ79</f>
        <v>0</v>
      </c>
      <c r="BR77" s="2516">
        <f>BR78-BR79</f>
        <v>0</v>
      </c>
      <c r="BS77" s="2517">
        <f t="shared" ref="BS77" si="155">BR77/BR$89</f>
        <v>0</v>
      </c>
      <c r="BT77" s="2518"/>
      <c r="BU77" s="2953">
        <f>BU78-BU79</f>
        <v>0</v>
      </c>
      <c r="BV77" s="2953">
        <f>BV78-BV79</f>
        <v>0</v>
      </c>
      <c r="BW77" s="2954">
        <f>BW78-BW79</f>
        <v>-245124.78270286421</v>
      </c>
      <c r="BX77" s="2956"/>
      <c r="BY77" s="2956"/>
    </row>
    <row r="78" spans="1:79" s="1396" customFormat="1" ht="13.8">
      <c r="A78" s="1405"/>
      <c r="B78" s="1400" t="s">
        <v>43</v>
      </c>
      <c r="C78" s="1510"/>
      <c r="D78" s="1511"/>
      <c r="E78" s="2920">
        <f>C78+D78</f>
        <v>0</v>
      </c>
      <c r="F78" s="1547"/>
      <c r="G78" s="2043">
        <v>0</v>
      </c>
      <c r="H78" s="2043">
        <v>0</v>
      </c>
      <c r="I78" s="1452">
        <v>0</v>
      </c>
      <c r="J78" s="1452"/>
      <c r="K78" s="1715"/>
      <c r="L78" s="2051">
        <v>0</v>
      </c>
      <c r="M78" s="2043">
        <v>0</v>
      </c>
      <c r="N78" s="2012"/>
      <c r="O78" s="2871">
        <f t="shared" si="147"/>
        <v>0</v>
      </c>
      <c r="P78" s="1662"/>
      <c r="Q78" s="2618"/>
      <c r="R78" s="2051"/>
      <c r="S78" s="2043"/>
      <c r="T78" s="1452">
        <f>R78+S78*1.15</f>
        <v>0</v>
      </c>
      <c r="U78" s="1452"/>
      <c r="V78" s="1436"/>
      <c r="W78" s="2051"/>
      <c r="X78" s="2043"/>
      <c r="Y78" s="2012">
        <f>W78+X78*1.15</f>
        <v>0</v>
      </c>
      <c r="Z78" s="2871">
        <f>Y78/$Y$89</f>
        <v>0</v>
      </c>
      <c r="AA78" s="1662"/>
      <c r="AB78" s="2051"/>
      <c r="AC78" s="2043"/>
      <c r="AD78" s="2012">
        <f>AB78+AC78*1.15</f>
        <v>0</v>
      </c>
      <c r="AE78" s="2871">
        <f>AD78/$AD$89</f>
        <v>0</v>
      </c>
      <c r="AF78" s="1662"/>
      <c r="AG78" s="2051"/>
      <c r="AH78" s="2043"/>
      <c r="AI78" s="2012">
        <f>AG78+AH78*1.15</f>
        <v>0</v>
      </c>
      <c r="AJ78" s="2871">
        <f t="shared" si="148"/>
        <v>0</v>
      </c>
      <c r="AK78" s="1662"/>
      <c r="AL78" s="2051"/>
      <c r="AM78" s="2043"/>
      <c r="AN78" s="2012">
        <f>AL78+AM78</f>
        <v>0</v>
      </c>
      <c r="AO78" s="2871">
        <f t="shared" si="149"/>
        <v>0</v>
      </c>
      <c r="AP78" s="1662"/>
      <c r="AQ78" s="2051"/>
      <c r="AR78" s="2043"/>
      <c r="AS78" s="2012">
        <f>AQ78+AR78</f>
        <v>0</v>
      </c>
      <c r="AT78" s="2871">
        <f>AS78/$AN$89</f>
        <v>0</v>
      </c>
      <c r="AU78" s="1662"/>
      <c r="AV78" s="2051"/>
      <c r="AW78" s="2043"/>
      <c r="AX78" s="2012">
        <f>AV78+AW78</f>
        <v>0</v>
      </c>
      <c r="AY78" s="2871">
        <f>AX78/$AN$89</f>
        <v>0</v>
      </c>
      <c r="AZ78" s="1662"/>
      <c r="BA78" s="2051"/>
      <c r="BB78" s="2043"/>
      <c r="BC78" s="2012">
        <f>BA78+BB78</f>
        <v>0</v>
      </c>
      <c r="BD78" s="2871">
        <f>BC78/$AN$89</f>
        <v>0</v>
      </c>
      <c r="BE78" s="1662"/>
      <c r="BF78" s="1618"/>
      <c r="BG78" s="1674"/>
      <c r="BH78" s="2012">
        <f>BF78+BG78*1.15</f>
        <v>0</v>
      </c>
      <c r="BI78" s="2138">
        <f>BH78/$AN$89</f>
        <v>0</v>
      </c>
      <c r="BJ78" s="1662"/>
      <c r="BK78" s="1618"/>
      <c r="BL78" s="1674"/>
      <c r="BM78" s="2012">
        <f>BK78+BL78*1.15</f>
        <v>0</v>
      </c>
      <c r="BN78" s="2138">
        <f>BM78/$AN$89</f>
        <v>0</v>
      </c>
      <c r="BO78" s="1662"/>
      <c r="BP78" s="1618"/>
      <c r="BQ78" s="1674"/>
      <c r="BR78" s="2012">
        <f>BP78+BQ78*1.15</f>
        <v>0</v>
      </c>
      <c r="BS78" s="2138">
        <f>BR78/$AN$89</f>
        <v>0</v>
      </c>
      <c r="BT78" s="1662"/>
      <c r="BU78" s="2043">
        <f t="shared" ref="BU78:BU79" si="156">G78+L78+R78+W78+AB78+AG78+AL78+AQ78+AV78+BA78+BF78+BK78+BP78</f>
        <v>0</v>
      </c>
      <c r="BV78" s="2043">
        <f t="shared" ref="BV78:BW79" si="157">H78+M78+S78+X78+AC78+AH78+AM78+AR78+AW78+BB78+BG78+BL78+BQ78</f>
        <v>0</v>
      </c>
      <c r="BW78" s="2012">
        <f t="shared" ref="BW78" si="158">BU78+BV78*1</f>
        <v>0</v>
      </c>
      <c r="BX78" s="1452"/>
      <c r="BY78" s="1452"/>
    </row>
    <row r="79" spans="1:79" s="1396" customFormat="1" ht="13.8">
      <c r="A79" s="1405"/>
      <c r="B79" s="2960" t="s">
        <v>79</v>
      </c>
      <c r="C79" s="2874">
        <v>183194.65173913044</v>
      </c>
      <c r="D79" s="2920"/>
      <c r="E79" s="2920">
        <f>C79+D79</f>
        <v>183194.65173913044</v>
      </c>
      <c r="F79" s="2928">
        <f>E79/$E$89</f>
        <v>3.571573692698065E-2</v>
      </c>
      <c r="G79" s="2043">
        <v>0</v>
      </c>
      <c r="H79" s="2043">
        <v>0</v>
      </c>
      <c r="I79" s="2012">
        <f>122935.911180826</f>
        <v>122935.91118082601</v>
      </c>
      <c r="J79" s="2880"/>
      <c r="K79" s="1587"/>
      <c r="L79" s="2051">
        <v>0</v>
      </c>
      <c r="M79" s="2043">
        <v>0</v>
      </c>
      <c r="N79" s="2043">
        <v>101869.97789863721</v>
      </c>
      <c r="O79" s="2880">
        <f t="shared" si="147"/>
        <v>2.744021443206756E-2</v>
      </c>
      <c r="P79" s="2929"/>
      <c r="Q79" s="2618"/>
      <c r="R79" s="2051"/>
      <c r="S79" s="2043"/>
      <c r="T79" s="2033">
        <f>(S8+S41+S50+S54)/(1-'расчет 2024'!E11)*'расчет 2024'!E11</f>
        <v>724.76508474576269</v>
      </c>
      <c r="U79" s="2672" t="e">
        <f>T79/$O$89</f>
        <v>#DIV/0!</v>
      </c>
      <c r="V79" s="2721"/>
      <c r="W79" s="2051"/>
      <c r="X79" s="2043">
        <v>0</v>
      </c>
      <c r="Y79" s="2033">
        <f>(X8+X41+X50+X54)/(1-'расчет 2024'!E13)*'расчет 2024'!E13</f>
        <v>5402.4010834959145</v>
      </c>
      <c r="Z79" s="2672">
        <f>Y79/$T$89</f>
        <v>0.85721033984406825</v>
      </c>
      <c r="AA79" s="2721"/>
      <c r="AB79" s="2051"/>
      <c r="AC79" s="2043">
        <v>0</v>
      </c>
      <c r="AD79" s="2033">
        <f>(AC8+AC41+AC50+AC54)/(1-'расчет 2024'!E13)*'расчет 2024'!E13</f>
        <v>2531.2994132651938</v>
      </c>
      <c r="AE79" s="2672">
        <f>AD79/$Y$89</f>
        <v>1.8606048541721588E-2</v>
      </c>
      <c r="AF79" s="2721"/>
      <c r="AG79" s="2051"/>
      <c r="AH79" s="2043">
        <v>0</v>
      </c>
      <c r="AI79" s="2033">
        <f>(AH8+AH41+AH50+AH54)/(1-'расчет 2024'!E15)*'расчет 2024'!E15</f>
        <v>104.63181818181818</v>
      </c>
      <c r="AJ79" s="2672">
        <f>AI79/$AD$89</f>
        <v>1.1811335785780338E-3</v>
      </c>
      <c r="AK79" s="2721"/>
      <c r="AL79" s="2051"/>
      <c r="AM79" s="2043">
        <v>0</v>
      </c>
      <c r="AN79" s="2033">
        <f>(AM8+AM41+AM50+AM54)/(1-'расчет 2024'!E16)*'расчет 2024'!E16</f>
        <v>7384.8362025182887</v>
      </c>
      <c r="AO79" s="2672">
        <f t="shared" si="149"/>
        <v>7.0443436131065323E-2</v>
      </c>
      <c r="AP79" s="2721"/>
      <c r="AQ79" s="2051"/>
      <c r="AR79" s="2043">
        <v>0</v>
      </c>
      <c r="AS79" s="2033">
        <f>(AR8+AR41+AR50+AR54)/(1-'расчет 2024'!E17)*'расчет 2024'!E17</f>
        <v>70.693590545963261</v>
      </c>
      <c r="AT79" s="2672">
        <f t="shared" ref="AT79" si="159">AS79/AS$89</f>
        <v>0.12387311110035963</v>
      </c>
      <c r="AU79" s="2721"/>
      <c r="AV79" s="2051"/>
      <c r="AW79" s="2043">
        <v>0</v>
      </c>
      <c r="AX79" s="2033">
        <f>(AW8+AW41+AW50+AW54)/(1-'расчет 2024'!E18)*'расчет 2024'!E18</f>
        <v>2739.6548023342229</v>
      </c>
      <c r="AY79" s="2871">
        <f t="shared" ref="AY79" si="160">AX79/AX$89</f>
        <v>0.10008044420700681</v>
      </c>
      <c r="AZ79" s="2929"/>
      <c r="BA79" s="2051"/>
      <c r="BB79" s="2043">
        <v>0</v>
      </c>
      <c r="BC79" s="2033">
        <f>(BB8+BB41+BB50+BB54)/(1-'расчет 2024'!E18)*'расчет 2024'!E18</f>
        <v>0</v>
      </c>
      <c r="BD79" s="2871" t="e">
        <f t="shared" ref="BD79" si="161">BC79/BC$89</f>
        <v>#DIV/0!</v>
      </c>
      <c r="BE79" s="2929"/>
      <c r="BF79" s="1618"/>
      <c r="BG79" s="1674"/>
      <c r="BH79" s="2012">
        <f>(BG8+BG41+BG50+BG54)/(1-'расчет 2024'!E20)*'расчет 2024'!E20</f>
        <v>0</v>
      </c>
      <c r="BI79" s="2138">
        <f t="shared" ref="BI79" si="162">BH79/BH$89</f>
        <v>0</v>
      </c>
      <c r="BJ79" s="2633"/>
      <c r="BK79" s="1618"/>
      <c r="BL79" s="1674"/>
      <c r="BM79" s="2012">
        <f>(BL8+BL41+BL50+BL54)/(1-'расчет 2024'!E21)*'расчет 2024'!E21</f>
        <v>1360.6116283138406</v>
      </c>
      <c r="BN79" s="2138">
        <f t="shared" ref="BN79" si="163">BM79/BM$89</f>
        <v>0.11579070701608085</v>
      </c>
      <c r="BO79" s="2633"/>
      <c r="BP79" s="1618"/>
      <c r="BQ79" s="1674"/>
      <c r="BR79" s="2012">
        <f>(BQ8+BQ41+BQ50+BQ54)/(1-'расчет 2024'!J21)*'расчет 2024'!J21</f>
        <v>0</v>
      </c>
      <c r="BS79" s="2138">
        <f t="shared" ref="BS79" si="164">BR79/BR$89</f>
        <v>0</v>
      </c>
      <c r="BT79" s="2633"/>
      <c r="BU79" s="2043">
        <f t="shared" si="156"/>
        <v>0</v>
      </c>
      <c r="BV79" s="2043">
        <f t="shared" si="157"/>
        <v>0</v>
      </c>
      <c r="BW79" s="2043">
        <f t="shared" si="157"/>
        <v>245124.78270286421</v>
      </c>
      <c r="BX79" s="2904"/>
      <c r="BY79" s="2904"/>
      <c r="BZ79" s="2876">
        <v>-188832.4</v>
      </c>
      <c r="CA79" s="842">
        <f>BW79+BZ79</f>
        <v>56292.382702864212</v>
      </c>
    </row>
    <row r="80" spans="1:79" ht="13.8">
      <c r="A80" s="1397"/>
      <c r="B80" s="2961"/>
      <c r="C80" s="2962"/>
      <c r="D80" s="2963"/>
      <c r="E80" s="2964"/>
      <c r="F80" s="2965"/>
      <c r="G80" s="2043"/>
      <c r="H80" s="2043"/>
      <c r="I80" s="2966"/>
      <c r="J80" s="2966"/>
      <c r="K80" s="1620"/>
      <c r="L80" s="2051"/>
      <c r="M80" s="2043"/>
      <c r="N80" s="2966"/>
      <c r="O80" s="2966"/>
      <c r="P80" s="2967"/>
      <c r="Q80" s="2613"/>
      <c r="R80" s="2051"/>
      <c r="S80" s="2043"/>
      <c r="T80" s="2966"/>
      <c r="U80" s="2966"/>
      <c r="V80" s="2966"/>
      <c r="W80" s="2051"/>
      <c r="X80" s="2043"/>
      <c r="Y80" s="2966"/>
      <c r="Z80" s="2966"/>
      <c r="AA80" s="2967"/>
      <c r="AB80" s="2051"/>
      <c r="AC80" s="2043"/>
      <c r="AD80" s="2966"/>
      <c r="AE80" s="2966"/>
      <c r="AF80" s="2967"/>
      <c r="AG80" s="2051"/>
      <c r="AH80" s="2043"/>
      <c r="AI80" s="2966"/>
      <c r="AJ80" s="2966"/>
      <c r="AK80" s="2967"/>
      <c r="AL80" s="2051"/>
      <c r="AM80" s="2043"/>
      <c r="AN80" s="2966"/>
      <c r="AO80" s="2966"/>
      <c r="AP80" s="2967"/>
      <c r="AQ80" s="2051"/>
      <c r="AR80" s="2043"/>
      <c r="AS80" s="2966"/>
      <c r="AT80" s="2966"/>
      <c r="AU80" s="2967"/>
      <c r="AV80" s="2051"/>
      <c r="AW80" s="2043"/>
      <c r="AX80" s="2966"/>
      <c r="AY80" s="2966"/>
      <c r="AZ80" s="2967"/>
      <c r="BA80" s="2051"/>
      <c r="BB80" s="2043"/>
      <c r="BC80" s="2966"/>
      <c r="BD80" s="2966"/>
      <c r="BE80" s="2967"/>
      <c r="BF80" s="2051"/>
      <c r="BG80" s="2043"/>
      <c r="BH80" s="2465"/>
      <c r="BI80" s="2465"/>
      <c r="BJ80" s="2519"/>
      <c r="BK80" s="2051"/>
      <c r="BL80" s="2043"/>
      <c r="BM80" s="2465"/>
      <c r="BN80" s="2465"/>
      <c r="BO80" s="2519"/>
      <c r="BP80" s="2051"/>
      <c r="BQ80" s="2043"/>
      <c r="BR80" s="2465"/>
      <c r="BS80" s="2465"/>
      <c r="BT80" s="2519"/>
      <c r="BU80" s="2043"/>
      <c r="BV80" s="2043"/>
      <c r="BW80" s="2966"/>
      <c r="BX80" s="2966"/>
      <c r="BY80" s="2966"/>
    </row>
    <row r="81" spans="1:77" s="1396" customFormat="1" ht="14.4" thickBot="1">
      <c r="A81" s="1419"/>
      <c r="B81" s="2952" t="s">
        <v>12</v>
      </c>
      <c r="C81" s="2953">
        <f>(C75+C78)-C79</f>
        <v>2514701.9663545443</v>
      </c>
      <c r="D81" s="2953">
        <f>(D75+D78)-D79</f>
        <v>-1221297.6782608696</v>
      </c>
      <c r="E81" s="2954">
        <f>(E75+E78)-E79</f>
        <v>1293404.288093674</v>
      </c>
      <c r="F81" s="2955"/>
      <c r="G81" s="2953">
        <f>(G75+G78)-G79</f>
        <v>874396.03792000003</v>
      </c>
      <c r="H81" s="2953">
        <f>(H75+H78)-H79</f>
        <v>-835484.87</v>
      </c>
      <c r="I81" s="2954">
        <f>(I75+I78)-I79</f>
        <v>-84024.743260826159</v>
      </c>
      <c r="J81" s="2956"/>
      <c r="K81" s="2957"/>
      <c r="L81" s="2953">
        <f>(L75+L78)-L79</f>
        <v>1595480.1476000007</v>
      </c>
      <c r="M81" s="2953">
        <f>(M75+M78)-M79</f>
        <v>-705755.53000000014</v>
      </c>
      <c r="N81" s="2954">
        <f>(N75+N78)-N79</f>
        <v>787854.63970136398</v>
      </c>
      <c r="O81" s="2956"/>
      <c r="P81" s="2958"/>
      <c r="Q81" s="2955"/>
      <c r="R81" s="2953">
        <f>(R75+R78)-R79</f>
        <v>0</v>
      </c>
      <c r="S81" s="2953">
        <f>(S75+S78)-S79</f>
        <v>-5577.54</v>
      </c>
      <c r="T81" s="2954">
        <f>(T75+T78)-T79</f>
        <v>-6302.3050847457625</v>
      </c>
      <c r="U81" s="2956"/>
      <c r="V81" s="2959"/>
      <c r="W81" s="2953">
        <f>(W75+W78)-W79</f>
        <v>242122.96600000001</v>
      </c>
      <c r="X81" s="2953">
        <f>(X75+X78)-X79</f>
        <v>-41575</v>
      </c>
      <c r="Y81" s="2954">
        <f>(Y75+Y78)-Y79</f>
        <v>195145.56491650411</v>
      </c>
      <c r="Z81" s="2956"/>
      <c r="AA81" s="2958"/>
      <c r="AB81" s="2953">
        <f>(AB75+AB78)-AB79</f>
        <v>44308.198000000004</v>
      </c>
      <c r="AC81" s="2953">
        <f>(AC75+AC78)-AC79</f>
        <v>-19480</v>
      </c>
      <c r="AD81" s="2954">
        <f>(AD75+AD78)-AD79</f>
        <v>22296.898586734806</v>
      </c>
      <c r="AE81" s="2956"/>
      <c r="AF81" s="2958"/>
      <c r="AG81" s="2953">
        <f>(AG75+AG78)-AG79</f>
        <v>-12053.6</v>
      </c>
      <c r="AH81" s="2953">
        <f>(AH75+AH78)-AH79</f>
        <v>-767.3</v>
      </c>
      <c r="AI81" s="2954">
        <f>(AI75+AI78)-AI79</f>
        <v>-12925.531818181818</v>
      </c>
      <c r="AJ81" s="2956"/>
      <c r="AK81" s="2958"/>
      <c r="AL81" s="2953">
        <f>(AL75+AL78)-AL79</f>
        <v>-6904.2839999999997</v>
      </c>
      <c r="AM81" s="2953">
        <f>(AM75+AM78)-AM79</f>
        <v>-55080</v>
      </c>
      <c r="AN81" s="2954">
        <f>(AN75+AN78)-AN79</f>
        <v>-69369.120202518287</v>
      </c>
      <c r="AO81" s="2956"/>
      <c r="AP81" s="2958"/>
      <c r="AQ81" s="2953">
        <f>(AQ75+AQ78)-AQ79</f>
        <v>0</v>
      </c>
      <c r="AR81" s="2953">
        <f>(AR75+AR78)-AR79</f>
        <v>-500</v>
      </c>
      <c r="AS81" s="2954">
        <f>(AS75+AS78)-AS79</f>
        <v>-570.69359054596327</v>
      </c>
      <c r="AT81" s="2956"/>
      <c r="AU81" s="2958"/>
      <c r="AV81" s="2953">
        <f>(AV75+AV78)-AV79</f>
        <v>186994.82800000001</v>
      </c>
      <c r="AW81" s="2953">
        <f>(AW75+AW78)-AW79</f>
        <v>-22394.7</v>
      </c>
      <c r="AX81" s="2954">
        <f>(AX75+AX78)-AX79</f>
        <v>161860.47319766576</v>
      </c>
      <c r="AY81" s="2956"/>
      <c r="AZ81" s="2958"/>
      <c r="BA81" s="2953">
        <f>(BA75+BA78)-BA79</f>
        <v>0</v>
      </c>
      <c r="BB81" s="2953">
        <f>(BB75+BB78)-BB79</f>
        <v>0</v>
      </c>
      <c r="BC81" s="2954">
        <f>(BC75+BC78)-BC79</f>
        <v>0</v>
      </c>
      <c r="BD81" s="2956"/>
      <c r="BE81" s="2958"/>
      <c r="BF81" s="2515">
        <f>(BF75+BF78)-BF79</f>
        <v>-477.59999999999997</v>
      </c>
      <c r="BG81" s="2515">
        <f>(BG75+BG78)-BG79</f>
        <v>0</v>
      </c>
      <c r="BH81" s="2516">
        <f>(BH75+BH78)-BH79</f>
        <v>-477.59999999999997</v>
      </c>
      <c r="BI81" s="2517"/>
      <c r="BJ81" s="2518"/>
      <c r="BK81" s="2515">
        <f>(BK75+BK78)-BK79</f>
        <v>0</v>
      </c>
      <c r="BL81" s="2515">
        <f>(BL75+BL78)-BL79</f>
        <v>-10390</v>
      </c>
      <c r="BM81" s="2516">
        <f>(BM75+BM78)-BM79</f>
        <v>-11750.61162831384</v>
      </c>
      <c r="BN81" s="2517"/>
      <c r="BO81" s="2518"/>
      <c r="BP81" s="2515">
        <f>(BP75+BP78)-BP79</f>
        <v>0</v>
      </c>
      <c r="BQ81" s="2515">
        <f>(BQ75+BQ78)-BQ79</f>
        <v>-237.6</v>
      </c>
      <c r="BR81" s="2516">
        <f>(BR75+BR78)-BR79</f>
        <v>-237.6</v>
      </c>
      <c r="BS81" s="2517"/>
      <c r="BT81" s="2518"/>
      <c r="BU81" s="2953">
        <f>(BU75+BU78)-BU79</f>
        <v>2923866.693520003</v>
      </c>
      <c r="BV81" s="2953">
        <f>(BV75+BV78)-BV79</f>
        <v>-1697242.54</v>
      </c>
      <c r="BW81" s="2954">
        <f>(BW75+BW78)-BW79</f>
        <v>981499.37081713765</v>
      </c>
      <c r="BX81" s="2956"/>
      <c r="BY81" s="2956"/>
    </row>
    <row r="82" spans="1:77" s="1396" customFormat="1" ht="13.8">
      <c r="A82" s="1565"/>
      <c r="B82" s="1400" t="s">
        <v>38</v>
      </c>
      <c r="C82" s="1510"/>
      <c r="D82" s="1511"/>
      <c r="E82" s="1515">
        <f>C82+D82</f>
        <v>0</v>
      </c>
      <c r="F82" s="2928">
        <f>E82/$E$89</f>
        <v>0</v>
      </c>
      <c r="G82" s="2043">
        <v>0</v>
      </c>
      <c r="H82" s="2043">
        <v>0</v>
      </c>
      <c r="I82" s="1515">
        <v>0</v>
      </c>
      <c r="J82" s="1476"/>
      <c r="K82" s="1587"/>
      <c r="L82" s="2051">
        <v>0</v>
      </c>
      <c r="M82" s="2043">
        <v>0</v>
      </c>
      <c r="N82" s="1515">
        <v>0</v>
      </c>
      <c r="O82" s="1476"/>
      <c r="P82" s="1748"/>
      <c r="Q82" s="2618"/>
      <c r="R82" s="2051"/>
      <c r="S82" s="2043"/>
      <c r="T82" s="1515">
        <f>R82+S82</f>
        <v>0</v>
      </c>
      <c r="U82" s="1476"/>
      <c r="V82" s="1612"/>
      <c r="W82" s="2051"/>
      <c r="X82" s="2043"/>
      <c r="Y82" s="1515">
        <f>W82+X82</f>
        <v>0</v>
      </c>
      <c r="Z82" s="1476"/>
      <c r="AA82" s="1748"/>
      <c r="AB82" s="2051"/>
      <c r="AC82" s="2043"/>
      <c r="AD82" s="1515">
        <f>AB82+AC82</f>
        <v>0</v>
      </c>
      <c r="AE82" s="1476"/>
      <c r="AF82" s="1748"/>
      <c r="AG82" s="2051"/>
      <c r="AH82" s="2043"/>
      <c r="AI82" s="1515">
        <f>AG82+AH82</f>
        <v>0</v>
      </c>
      <c r="AJ82" s="1476"/>
      <c r="AK82" s="1748"/>
      <c r="AL82" s="2051"/>
      <c r="AM82" s="2043"/>
      <c r="AN82" s="1515">
        <f>AL82+AM82</f>
        <v>0</v>
      </c>
      <c r="AO82" s="1476"/>
      <c r="AP82" s="1748"/>
      <c r="AQ82" s="2051"/>
      <c r="AR82" s="2043"/>
      <c r="AS82" s="1515">
        <f>AQ82+AR82</f>
        <v>0</v>
      </c>
      <c r="AT82" s="1476"/>
      <c r="AU82" s="2046"/>
      <c r="AV82" s="2051"/>
      <c r="AW82" s="2043"/>
      <c r="AX82" s="1515">
        <f>AV82+AW82</f>
        <v>0</v>
      </c>
      <c r="AY82" s="1476"/>
      <c r="AZ82" s="2046"/>
      <c r="BA82" s="2051"/>
      <c r="BB82" s="2043"/>
      <c r="BC82" s="1515">
        <f>BA82+BB82</f>
        <v>0</v>
      </c>
      <c r="BD82" s="1476"/>
      <c r="BE82" s="2046"/>
      <c r="BF82" s="2051"/>
      <c r="BG82" s="2043"/>
      <c r="BH82" s="1515">
        <f>BF82+BG82</f>
        <v>0</v>
      </c>
      <c r="BI82" s="1476"/>
      <c r="BJ82" s="2046"/>
      <c r="BK82" s="2051"/>
      <c r="BL82" s="2043"/>
      <c r="BM82" s="1515">
        <f>BK82+BL82</f>
        <v>0</v>
      </c>
      <c r="BN82" s="1476"/>
      <c r="BO82" s="2046"/>
      <c r="BP82" s="2051"/>
      <c r="BQ82" s="2043"/>
      <c r="BR82" s="1515">
        <f>BP82+BQ82</f>
        <v>0</v>
      </c>
      <c r="BS82" s="1476"/>
      <c r="BT82" s="2046"/>
      <c r="BU82" s="2043">
        <f>G82+L82+R82+W82+AB82+AG82+AL82+AQ82+AV82+BA82+BF82+BK82+BP82</f>
        <v>0</v>
      </c>
      <c r="BV82" s="2043">
        <f>H82+M82+S82+X82+AC82+AH82+AM82+AR82+AW82+BB82+BG82+BL82+BQ82</f>
        <v>0</v>
      </c>
      <c r="BW82" s="2012">
        <f t="shared" ref="BW82" si="165">BU82+BV82*1</f>
        <v>0</v>
      </c>
      <c r="BX82" s="1476"/>
      <c r="BY82" s="1476"/>
    </row>
    <row r="83" spans="1:77" s="1396" customFormat="1" ht="13.8">
      <c r="A83" s="1405"/>
      <c r="B83" s="2968" t="s">
        <v>13</v>
      </c>
      <c r="C83" s="2969">
        <f>(C81+C7)-C36</f>
        <v>2514701.9663545443</v>
      </c>
      <c r="D83" s="2969">
        <f>(D81+D7)-D36</f>
        <v>-1221297.6782608696</v>
      </c>
      <c r="E83" s="2969">
        <f>(E81+E7)-E36</f>
        <v>1293404.288093674</v>
      </c>
      <c r="F83" s="2970"/>
      <c r="G83" s="2969">
        <f t="shared" ref="G83:I83" si="166">(G81)-G36</f>
        <v>874396.03792000003</v>
      </c>
      <c r="H83" s="2969">
        <f t="shared" si="166"/>
        <v>-835484.87</v>
      </c>
      <c r="I83" s="2971">
        <f t="shared" si="166"/>
        <v>-84024.743260826159</v>
      </c>
      <c r="J83" s="2972"/>
      <c r="K83" s="2973"/>
      <c r="L83" s="2969">
        <f t="shared" ref="L83:N83" si="167">(L81)-L36</f>
        <v>1595480.1476000007</v>
      </c>
      <c r="M83" s="2969">
        <f t="shared" si="167"/>
        <v>-705755.53000000014</v>
      </c>
      <c r="N83" s="2969">
        <f t="shared" si="167"/>
        <v>787854.63970136398</v>
      </c>
      <c r="O83" s="2972"/>
      <c r="P83" s="2974"/>
      <c r="Q83" s="2970"/>
      <c r="R83" s="2969">
        <f t="shared" ref="R83:AN83" si="168">(R81)-R36</f>
        <v>0</v>
      </c>
      <c r="S83" s="2969">
        <f t="shared" si="168"/>
        <v>-5577.54</v>
      </c>
      <c r="T83" s="2969">
        <f t="shared" si="168"/>
        <v>-6302.3050847457625</v>
      </c>
      <c r="U83" s="2972"/>
      <c r="V83" s="2974"/>
      <c r="W83" s="2969">
        <f t="shared" ref="W83" si="169">(W81)-W36</f>
        <v>242122.96600000001</v>
      </c>
      <c r="X83" s="2969">
        <f t="shared" si="168"/>
        <v>-41575</v>
      </c>
      <c r="Y83" s="2969">
        <f t="shared" si="168"/>
        <v>195145.56491650411</v>
      </c>
      <c r="Z83" s="2972"/>
      <c r="AA83" s="2974"/>
      <c r="AB83" s="2969">
        <f t="shared" ref="AB83" si="170">(AB81)-AB36</f>
        <v>44308.198000000004</v>
      </c>
      <c r="AC83" s="2969">
        <f t="shared" si="168"/>
        <v>-19480</v>
      </c>
      <c r="AD83" s="2969">
        <f t="shared" si="168"/>
        <v>22296.898586734806</v>
      </c>
      <c r="AE83" s="2972"/>
      <c r="AF83" s="2974"/>
      <c r="AG83" s="2969">
        <f t="shared" ref="AG83" si="171">(AG81)-AG36</f>
        <v>-12053.6</v>
      </c>
      <c r="AH83" s="2969">
        <f t="shared" si="168"/>
        <v>-767.3</v>
      </c>
      <c r="AI83" s="2969">
        <f t="shared" si="168"/>
        <v>-12925.531818181818</v>
      </c>
      <c r="AJ83" s="2972"/>
      <c r="AK83" s="2974"/>
      <c r="AL83" s="2969">
        <f t="shared" ref="AL83" si="172">(AL81)-AL36</f>
        <v>-6904.2839999999997</v>
      </c>
      <c r="AM83" s="2969">
        <f t="shared" si="168"/>
        <v>-55080</v>
      </c>
      <c r="AN83" s="2969">
        <f t="shared" si="168"/>
        <v>-69369.120202518287</v>
      </c>
      <c r="AO83" s="2972"/>
      <c r="AP83" s="2974"/>
      <c r="AQ83" s="2969">
        <f>(AQ81+AQ7)-AQ36</f>
        <v>0</v>
      </c>
      <c r="AR83" s="2969">
        <f>(AR81+AR7)-AR36</f>
        <v>-500</v>
      </c>
      <c r="AS83" s="2971">
        <f>(AS81+AS7)-AS36</f>
        <v>-570.69359054596327</v>
      </c>
      <c r="AT83" s="2972"/>
      <c r="AU83" s="2974"/>
      <c r="AV83" s="2969">
        <f>(AV81+AV7)-AV36</f>
        <v>186994.82800000001</v>
      </c>
      <c r="AW83" s="2969">
        <f>(AW81+AW7)-AW36</f>
        <v>-22394.7</v>
      </c>
      <c r="AX83" s="2971">
        <f>(AX81+AX7)-AX36</f>
        <v>161860.47319766576</v>
      </c>
      <c r="AY83" s="2972"/>
      <c r="AZ83" s="2974"/>
      <c r="BA83" s="2969">
        <f>(BA81+BA7)-BA36</f>
        <v>0</v>
      </c>
      <c r="BB83" s="2969">
        <f>(BB81+BB7)-BB36</f>
        <v>0</v>
      </c>
      <c r="BC83" s="2971">
        <f>(BC81+BC7)-BC36</f>
        <v>0</v>
      </c>
      <c r="BD83" s="2972"/>
      <c r="BE83" s="2974"/>
      <c r="BF83" s="2520">
        <f>(BF81+BF7)-BF36</f>
        <v>-477.59999999999997</v>
      </c>
      <c r="BG83" s="2520">
        <f>(BG81+BG7)-BG36</f>
        <v>0</v>
      </c>
      <c r="BH83" s="2521">
        <f>(BH81+BH7)-BH36</f>
        <v>-477.59999999999997</v>
      </c>
      <c r="BI83" s="2522"/>
      <c r="BJ83" s="2523"/>
      <c r="BK83" s="2520">
        <f>(BK81+BK7)-BK36</f>
        <v>0</v>
      </c>
      <c r="BL83" s="2520">
        <f>(BL81+BL7)-BL36</f>
        <v>-10390</v>
      </c>
      <c r="BM83" s="2521">
        <f>(BM81+BM7)-BM36</f>
        <v>-11750.61162831384</v>
      </c>
      <c r="BN83" s="2522"/>
      <c r="BO83" s="2523"/>
      <c r="BP83" s="2520">
        <f>(BP81+BP7)-BP36</f>
        <v>0</v>
      </c>
      <c r="BQ83" s="2520">
        <f>(BQ81+BQ7)-BQ36</f>
        <v>-237.6</v>
      </c>
      <c r="BR83" s="2521">
        <f>(BR81+BR7)-BR36</f>
        <v>-237.6</v>
      </c>
      <c r="BS83" s="2522"/>
      <c r="BT83" s="2523"/>
      <c r="BU83" s="2969">
        <f t="shared" ref="BU83:BW83" si="173">(BU81)-BU36</f>
        <v>2923866.693520003</v>
      </c>
      <c r="BV83" s="2969">
        <f t="shared" si="173"/>
        <v>-1697242.54</v>
      </c>
      <c r="BW83" s="2969">
        <f t="shared" si="173"/>
        <v>981499.37081713765</v>
      </c>
      <c r="BX83" s="2972"/>
      <c r="BY83" s="2974"/>
    </row>
    <row r="84" spans="1:77" s="1396" customFormat="1" ht="14.4" thickBot="1">
      <c r="A84" s="822"/>
      <c r="B84" s="2975" t="s">
        <v>14</v>
      </c>
      <c r="C84" s="2976">
        <f>C83-C73-C82</f>
        <v>2327634.6037699217</v>
      </c>
      <c r="D84" s="2976">
        <f>D83-D73-D82</f>
        <v>-1221297.6782608696</v>
      </c>
      <c r="E84" s="2976">
        <f>E83-E73-E82</f>
        <v>1106336.9255090512</v>
      </c>
      <c r="F84" s="2977"/>
      <c r="G84" s="2978">
        <f>G83-G73-G82</f>
        <v>874396.03792000003</v>
      </c>
      <c r="H84" s="2978">
        <f>H83-H73-H82</f>
        <v>-835484.87</v>
      </c>
      <c r="I84" s="2978">
        <f>I83-I73-I82</f>
        <v>-84024.743260826159</v>
      </c>
      <c r="J84" s="2979"/>
      <c r="K84" s="2977"/>
      <c r="L84" s="2978">
        <f>L83-L73-L82</f>
        <v>1595480.1476000007</v>
      </c>
      <c r="M84" s="2978">
        <f>M83-M73-M82</f>
        <v>-705755.53000000014</v>
      </c>
      <c r="N84" s="2978">
        <f>N83-N73-N82</f>
        <v>787854.63970136398</v>
      </c>
      <c r="O84" s="2979"/>
      <c r="P84" s="2980"/>
      <c r="Q84" s="2977"/>
      <c r="R84" s="2978">
        <f>R83-R73-R82</f>
        <v>0</v>
      </c>
      <c r="S84" s="2978">
        <f>S83-S73-S82</f>
        <v>-5577.54</v>
      </c>
      <c r="T84" s="2978">
        <f>T83-T73-T82</f>
        <v>-6302.3050847457625</v>
      </c>
      <c r="U84" s="2979"/>
      <c r="V84" s="2981"/>
      <c r="W84" s="2978">
        <f>W83-W73-W82</f>
        <v>242122.96600000001</v>
      </c>
      <c r="X84" s="2978">
        <f>X83-X73-X82</f>
        <v>-41575</v>
      </c>
      <c r="Y84" s="2978">
        <f>Y83-Y73-Y82</f>
        <v>195145.56491650411</v>
      </c>
      <c r="Z84" s="2979"/>
      <c r="AA84" s="2980"/>
      <c r="AB84" s="2978">
        <f>AB83-AB73-AB82</f>
        <v>44308.198000000004</v>
      </c>
      <c r="AC84" s="2978">
        <f>AC83-AC73-AC82</f>
        <v>-19480</v>
      </c>
      <c r="AD84" s="2978">
        <f>AD83-AD73-AD82</f>
        <v>22296.898586734806</v>
      </c>
      <c r="AE84" s="2979"/>
      <c r="AF84" s="2980"/>
      <c r="AG84" s="2978">
        <f>AG83-AG73-AG82</f>
        <v>-12053.6</v>
      </c>
      <c r="AH84" s="2978">
        <f>AH83-AH73-AH82</f>
        <v>-767.3</v>
      </c>
      <c r="AI84" s="2978">
        <f>AI83-AI73-AI82</f>
        <v>-12925.531818181818</v>
      </c>
      <c r="AJ84" s="2979"/>
      <c r="AK84" s="2980"/>
      <c r="AL84" s="2978">
        <f>AL83-AL73-AL82</f>
        <v>-6904.2839999999997</v>
      </c>
      <c r="AM84" s="2978">
        <f>AM83-AM73-AM82</f>
        <v>-55080</v>
      </c>
      <c r="AN84" s="2978">
        <f>AN83-AN73-AN82</f>
        <v>-69369.120202518287</v>
      </c>
      <c r="AO84" s="2979"/>
      <c r="AP84" s="2980"/>
      <c r="AQ84" s="2978">
        <f>AQ83-AQ73-AQ82</f>
        <v>0</v>
      </c>
      <c r="AR84" s="2978">
        <f>AR83-AR73-AR82</f>
        <v>-500</v>
      </c>
      <c r="AS84" s="2978">
        <f>AS83-AS73-AS82</f>
        <v>-570.69359054596327</v>
      </c>
      <c r="AT84" s="2979"/>
      <c r="AU84" s="2980"/>
      <c r="AV84" s="2978">
        <f>AV83-AV73-AV82</f>
        <v>186994.82800000001</v>
      </c>
      <c r="AW84" s="2978">
        <f>AW83-AW73-AW82</f>
        <v>-22394.7</v>
      </c>
      <c r="AX84" s="2978">
        <f>AX83-AX73-AX82</f>
        <v>161860.47319766576</v>
      </c>
      <c r="AY84" s="2979"/>
      <c r="AZ84" s="2980"/>
      <c r="BA84" s="2978">
        <f>BA83-BA73-BA82</f>
        <v>0</v>
      </c>
      <c r="BB84" s="2978">
        <f>BB83-BB73-BB82</f>
        <v>0</v>
      </c>
      <c r="BC84" s="2978">
        <f>BC83-BC73-BC82</f>
        <v>0</v>
      </c>
      <c r="BD84" s="2979"/>
      <c r="BE84" s="2980"/>
      <c r="BF84" s="2497">
        <f>BF83-BF73-BF82</f>
        <v>-477.59999999999997</v>
      </c>
      <c r="BG84" s="2497">
        <f>BG83-BG73-BG82</f>
        <v>0</v>
      </c>
      <c r="BH84" s="2497">
        <f>BH83-BH73-BH82</f>
        <v>-477.59999999999997</v>
      </c>
      <c r="BI84" s="2498"/>
      <c r="BJ84" s="2524"/>
      <c r="BK84" s="2497">
        <f>BK83-BK73-BK82</f>
        <v>0</v>
      </c>
      <c r="BL84" s="2497">
        <f>BL83-BL73-BL82</f>
        <v>-10390</v>
      </c>
      <c r="BM84" s="2497">
        <f>BM83-BM73-BM82</f>
        <v>-11750.61162831384</v>
      </c>
      <c r="BN84" s="2498"/>
      <c r="BO84" s="2524"/>
      <c r="BP84" s="2497">
        <f>BP83-BP73-BP82</f>
        <v>0</v>
      </c>
      <c r="BQ84" s="2497">
        <f>BQ83-BQ73-BQ82</f>
        <v>-237.6</v>
      </c>
      <c r="BR84" s="2497">
        <f>BR83-BR73-BR82</f>
        <v>-237.6</v>
      </c>
      <c r="BS84" s="2498"/>
      <c r="BT84" s="2524"/>
      <c r="BU84" s="2978">
        <f>BU83-BU73-BU82</f>
        <v>2923866.693520003</v>
      </c>
      <c r="BV84" s="2978">
        <f>BV83-BV73-BV82</f>
        <v>-1697242.54</v>
      </c>
      <c r="BW84" s="2978">
        <f>BW83-BW73-BW82</f>
        <v>981499.37081713765</v>
      </c>
      <c r="BX84" s="2979"/>
      <c r="BY84" s="2979"/>
    </row>
    <row r="85" spans="1:77" s="1396" customFormat="1" ht="13.8">
      <c r="A85" s="1566"/>
      <c r="B85" s="1403" t="s">
        <v>44</v>
      </c>
      <c r="C85" s="1486"/>
      <c r="D85" s="1091"/>
      <c r="E85" s="1092">
        <f>C85+D85</f>
        <v>0</v>
      </c>
      <c r="F85" s="1587">
        <f>E85/$E$89</f>
        <v>0</v>
      </c>
      <c r="G85" s="2043">
        <v>0</v>
      </c>
      <c r="H85" s="2043">
        <v>0</v>
      </c>
      <c r="I85" s="2012">
        <v>0</v>
      </c>
      <c r="J85" s="1476"/>
      <c r="K85" s="1587"/>
      <c r="L85" s="2051"/>
      <c r="M85" s="2043"/>
      <c r="N85" s="2012">
        <f>L85+M85*1.15</f>
        <v>0</v>
      </c>
      <c r="O85" s="1476"/>
      <c r="P85" s="1748"/>
      <c r="Q85" s="2618"/>
      <c r="R85" s="2051"/>
      <c r="S85" s="2043"/>
      <c r="T85" s="2012">
        <f>R85+S85*1.15</f>
        <v>0</v>
      </c>
      <c r="U85" s="1476"/>
      <c r="V85" s="1612"/>
      <c r="W85" s="2051"/>
      <c r="X85" s="2043"/>
      <c r="Y85" s="2012">
        <f>W85+X85*1</f>
        <v>0</v>
      </c>
      <c r="Z85" s="1476"/>
      <c r="AA85" s="1748"/>
      <c r="AB85" s="2051"/>
      <c r="AC85" s="2043"/>
      <c r="AD85" s="2012">
        <f>AB85+AC85*1</f>
        <v>0</v>
      </c>
      <c r="AE85" s="1476"/>
      <c r="AF85" s="1748"/>
      <c r="AG85" s="2051"/>
      <c r="AH85" s="2043"/>
      <c r="AI85" s="2012">
        <f>AG85+AH85*1</f>
        <v>0</v>
      </c>
      <c r="AJ85" s="1476"/>
      <c r="AK85" s="1748"/>
      <c r="AL85" s="2051"/>
      <c r="AM85" s="2043"/>
      <c r="AN85" s="2012">
        <f>AL85+AM85*1</f>
        <v>0</v>
      </c>
      <c r="AO85" s="1476"/>
      <c r="AP85" s="1748"/>
      <c r="AQ85" s="2051"/>
      <c r="AR85" s="2043"/>
      <c r="AS85" s="2012">
        <f>AQ85+AR85*1</f>
        <v>0</v>
      </c>
      <c r="AT85" s="1476"/>
      <c r="AU85" s="1748"/>
      <c r="AV85" s="2051"/>
      <c r="AW85" s="2043"/>
      <c r="AX85" s="2012">
        <f>AV85+AW85*1</f>
        <v>0</v>
      </c>
      <c r="AY85" s="1476"/>
      <c r="AZ85" s="1748"/>
      <c r="BA85" s="2051"/>
      <c r="BB85" s="2043"/>
      <c r="BC85" s="2012">
        <f>BA85+BB85*1</f>
        <v>0</v>
      </c>
      <c r="BD85" s="1476"/>
      <c r="BE85" s="1748"/>
      <c r="BF85" s="2051"/>
      <c r="BG85" s="2043"/>
      <c r="BH85" s="2012">
        <f>BF85+BG85*1</f>
        <v>0</v>
      </c>
      <c r="BI85" s="1476"/>
      <c r="BJ85" s="1748"/>
      <c r="BK85" s="2051"/>
      <c r="BL85" s="2043"/>
      <c r="BM85" s="2012">
        <f>BK85+BL85*1</f>
        <v>0</v>
      </c>
      <c r="BN85" s="1476"/>
      <c r="BO85" s="1748"/>
      <c r="BP85" s="2051"/>
      <c r="BQ85" s="2043"/>
      <c r="BR85" s="2012">
        <f>BP85+BQ85*1</f>
        <v>0</v>
      </c>
      <c r="BS85" s="1476"/>
      <c r="BT85" s="1748"/>
      <c r="BU85" s="2043">
        <f>G85+L85+R85+W85+AB85+AG85+AL85+AQ85+AV85+BA85+BF85+BK85+BP85</f>
        <v>0</v>
      </c>
      <c r="BV85" s="2043">
        <f>H85+M85+S85+X85+AC85+AH85+AM85+AR85+AW85+BB85+BG85+BL85+BQ85</f>
        <v>0</v>
      </c>
      <c r="BW85" s="2012">
        <f>BU85+BV85*1.15</f>
        <v>0</v>
      </c>
      <c r="BX85" s="1476"/>
      <c r="BY85" s="1476"/>
    </row>
    <row r="86" spans="1:77" s="1396" customFormat="1" ht="27.6">
      <c r="A86" s="1405"/>
      <c r="B86" s="2982" t="s">
        <v>50</v>
      </c>
      <c r="C86" s="2983">
        <f>C84-C85</f>
        <v>2327634.6037699217</v>
      </c>
      <c r="D86" s="2983">
        <f>D84-D85</f>
        <v>-1221297.6782608696</v>
      </c>
      <c r="E86" s="2984">
        <f>E84-E85</f>
        <v>1106336.9255090512</v>
      </c>
      <c r="F86" s="2985"/>
      <c r="G86" s="2984">
        <f>G84-G85</f>
        <v>874396.03792000003</v>
      </c>
      <c r="H86" s="2984">
        <f>H84-H85</f>
        <v>-835484.87</v>
      </c>
      <c r="I86" s="2984">
        <f>I84-I85</f>
        <v>-84024.743260826159</v>
      </c>
      <c r="J86" s="2986"/>
      <c r="K86" s="2985"/>
      <c r="L86" s="2984">
        <f>L84-L85</f>
        <v>1595480.1476000007</v>
      </c>
      <c r="M86" s="2984">
        <f>M84-M85</f>
        <v>-705755.53000000014</v>
      </c>
      <c r="N86" s="2984">
        <f>N84-N85</f>
        <v>787854.63970136398</v>
      </c>
      <c r="O86" s="2986"/>
      <c r="P86" s="2974"/>
      <c r="Q86" s="2985"/>
      <c r="R86" s="2984">
        <f>R84-R85</f>
        <v>0</v>
      </c>
      <c r="S86" s="2984">
        <f>S84-S85</f>
        <v>-5577.54</v>
      </c>
      <c r="T86" s="2984">
        <f>T84-T85</f>
        <v>-6302.3050847457625</v>
      </c>
      <c r="U86" s="2986"/>
      <c r="V86" s="2987"/>
      <c r="W86" s="2984">
        <f>W84-W85</f>
        <v>242122.96600000001</v>
      </c>
      <c r="X86" s="2984">
        <f>X84-X85</f>
        <v>-41575</v>
      </c>
      <c r="Y86" s="2984">
        <f>Y84-Y85</f>
        <v>195145.56491650411</v>
      </c>
      <c r="Z86" s="2986"/>
      <c r="AA86" s="2974"/>
      <c r="AB86" s="2984">
        <f>AB84-AB85</f>
        <v>44308.198000000004</v>
      </c>
      <c r="AC86" s="2984">
        <f>AC84-AC85</f>
        <v>-19480</v>
      </c>
      <c r="AD86" s="2984">
        <f>AD84-AD85</f>
        <v>22296.898586734806</v>
      </c>
      <c r="AE86" s="2986"/>
      <c r="AF86" s="2974"/>
      <c r="AG86" s="2984">
        <f>AG84-AG85</f>
        <v>-12053.6</v>
      </c>
      <c r="AH86" s="2984">
        <f>AH84-AH85</f>
        <v>-767.3</v>
      </c>
      <c r="AI86" s="2984">
        <f>AI84-AI85</f>
        <v>-12925.531818181818</v>
      </c>
      <c r="AJ86" s="2986"/>
      <c r="AK86" s="2974"/>
      <c r="AL86" s="2984">
        <f>AL84-AL85</f>
        <v>-6904.2839999999997</v>
      </c>
      <c r="AM86" s="2984">
        <f>AM84-AM85</f>
        <v>-55080</v>
      </c>
      <c r="AN86" s="2984">
        <f>AN84-AN85</f>
        <v>-69369.120202518287</v>
      </c>
      <c r="AO86" s="2986"/>
      <c r="AP86" s="2974"/>
      <c r="AQ86" s="2984">
        <f>AQ84-AQ85</f>
        <v>0</v>
      </c>
      <c r="AR86" s="2984">
        <f>AR84-AR85</f>
        <v>-500</v>
      </c>
      <c r="AS86" s="2984">
        <f>AS84-AS85</f>
        <v>-570.69359054596327</v>
      </c>
      <c r="AT86" s="2986"/>
      <c r="AU86" s="2974"/>
      <c r="AV86" s="2984">
        <f>AV84-AV85</f>
        <v>186994.82800000001</v>
      </c>
      <c r="AW86" s="2984">
        <f>AW84-AW85</f>
        <v>-22394.7</v>
      </c>
      <c r="AX86" s="2984">
        <f>AX84-AX85</f>
        <v>161860.47319766576</v>
      </c>
      <c r="AY86" s="2986"/>
      <c r="AZ86" s="2974"/>
      <c r="BA86" s="2984">
        <f>BA84-BA85</f>
        <v>0</v>
      </c>
      <c r="BB86" s="2984">
        <f>BB84-BB85</f>
        <v>0</v>
      </c>
      <c r="BC86" s="2984">
        <f>BC84-BC85</f>
        <v>0</v>
      </c>
      <c r="BD86" s="2986"/>
      <c r="BE86" s="2974"/>
      <c r="BF86" s="2525">
        <f>BF84</f>
        <v>-477.59999999999997</v>
      </c>
      <c r="BG86" s="2525">
        <f t="shared" ref="BG86" si="174">BG84</f>
        <v>0</v>
      </c>
      <c r="BH86" s="2525">
        <f>BH84</f>
        <v>-477.59999999999997</v>
      </c>
      <c r="BI86" s="2526"/>
      <c r="BJ86" s="2523"/>
      <c r="BK86" s="2525">
        <f>BK84</f>
        <v>0</v>
      </c>
      <c r="BL86" s="2525">
        <f t="shared" ref="BL86" si="175">BL84</f>
        <v>-10390</v>
      </c>
      <c r="BM86" s="2525">
        <f>BM84</f>
        <v>-11750.61162831384</v>
      </c>
      <c r="BN86" s="2526"/>
      <c r="BO86" s="2523"/>
      <c r="BP86" s="2525">
        <f>BP84</f>
        <v>0</v>
      </c>
      <c r="BQ86" s="2525">
        <f t="shared" ref="BQ86" si="176">BQ84</f>
        <v>-237.6</v>
      </c>
      <c r="BR86" s="2525">
        <f>BR84</f>
        <v>-237.6</v>
      </c>
      <c r="BS86" s="2526"/>
      <c r="BT86" s="2523"/>
      <c r="BU86" s="2984">
        <f>BU84-BU85</f>
        <v>2923866.693520003</v>
      </c>
      <c r="BV86" s="2984">
        <f>BV84-BV85</f>
        <v>-1697242.54</v>
      </c>
      <c r="BW86" s="2984">
        <f>BW84-BW85</f>
        <v>981499.37081713765</v>
      </c>
      <c r="BX86" s="2986"/>
      <c r="BY86" s="2986"/>
    </row>
    <row r="87" spans="1:77" s="1396" customFormat="1" ht="14.4" thickBot="1">
      <c r="A87" s="1567"/>
      <c r="B87" s="2988" t="s">
        <v>51</v>
      </c>
      <c r="C87" s="2989">
        <f>C86/C5</f>
        <v>0.3732828492811483</v>
      </c>
      <c r="D87" s="2990" t="e">
        <f>D86/D5</f>
        <v>#DIV/0!</v>
      </c>
      <c r="E87" s="2991">
        <f>E86/E5</f>
        <v>0.17742329451112826</v>
      </c>
      <c r="F87" s="2992"/>
      <c r="G87" s="2989">
        <v>0.29997340916602372</v>
      </c>
      <c r="H87" s="2990" t="e">
        <v>#DIV/0!</v>
      </c>
      <c r="I87" s="2991">
        <v>4.5991756516804792E-3</v>
      </c>
      <c r="J87" s="2993"/>
      <c r="K87" s="2994"/>
      <c r="L87" s="2989">
        <f>L86/L5</f>
        <v>0.35452842415400954</v>
      </c>
      <c r="M87" s="2990" t="e">
        <f>M86/M5</f>
        <v>#DIV/0!</v>
      </c>
      <c r="N87" s="2991">
        <f>N86/N5</f>
        <v>0.1750675897132983</v>
      </c>
      <c r="O87" s="2993"/>
      <c r="P87" s="2995"/>
      <c r="Q87" s="2996"/>
      <c r="R87" s="2989" t="e">
        <f>R86/R5</f>
        <v>#DIV/0!</v>
      </c>
      <c r="S87" s="2990" t="e">
        <f>S86/S5</f>
        <v>#DIV/0!</v>
      </c>
      <c r="T87" s="2991" t="e">
        <f>T86/T5</f>
        <v>#DIV/0!</v>
      </c>
      <c r="U87" s="2993"/>
      <c r="V87" s="2997"/>
      <c r="W87" s="2989">
        <f>W86/W5</f>
        <v>0.73106373815195014</v>
      </c>
      <c r="X87" s="2990" t="e">
        <f>X86/X5</f>
        <v>#DIV/0!</v>
      </c>
      <c r="Y87" s="2991">
        <f>Y86/Y5</f>
        <v>0.5892206283795216</v>
      </c>
      <c r="Z87" s="2993"/>
      <c r="AA87" s="2995"/>
      <c r="AB87" s="2989">
        <f>AB86/AB5</f>
        <v>0.3995947614251909</v>
      </c>
      <c r="AC87" s="2990" t="e">
        <f>AC86/AC5</f>
        <v>#DIV/0!</v>
      </c>
      <c r="AD87" s="2991">
        <f>AD86/AD5</f>
        <v>0.20108522290362543</v>
      </c>
      <c r="AE87" s="2993"/>
      <c r="AF87" s="2995"/>
      <c r="AG87" s="2989" t="e">
        <f>AG86/AG5</f>
        <v>#DIV/0!</v>
      </c>
      <c r="AH87" s="2990" t="e">
        <f>AH86/AH5</f>
        <v>#DIV/0!</v>
      </c>
      <c r="AI87" s="2991" t="e">
        <f>AI86/AI5</f>
        <v>#DIV/0!</v>
      </c>
      <c r="AJ87" s="2993"/>
      <c r="AK87" s="2995"/>
      <c r="AL87" s="2989">
        <f>AL86/AL5</f>
        <v>-0.19468188416340423</v>
      </c>
      <c r="AM87" s="2990" t="e">
        <f>AM86/AM5</f>
        <v>#DIV/0!</v>
      </c>
      <c r="AN87" s="2991">
        <f>AN86/AN5</f>
        <v>-1.9560190490112992</v>
      </c>
      <c r="AO87" s="2993"/>
      <c r="AP87" s="2995"/>
      <c r="AQ87" s="2989" t="e">
        <f>AQ86/AQ5</f>
        <v>#DIV/0!</v>
      </c>
      <c r="AR87" s="2990" t="e">
        <f>AR86/AR5</f>
        <v>#DIV/0!</v>
      </c>
      <c r="AS87" s="2991" t="e">
        <f>AS86/AS5</f>
        <v>#DIV/0!</v>
      </c>
      <c r="AT87" s="2993"/>
      <c r="AU87" s="2995"/>
      <c r="AV87" s="2989">
        <f>AV86/AV5</f>
        <v>0.98816195735461199</v>
      </c>
      <c r="AW87" s="2990" t="e">
        <f>AW86/AW5</f>
        <v>#DIV/0!</v>
      </c>
      <c r="AX87" s="2991">
        <f>AX86/AX5</f>
        <v>0.85534110073541236</v>
      </c>
      <c r="AY87" s="2993"/>
      <c r="AZ87" s="2995"/>
      <c r="BA87" s="2989" t="e">
        <f>BA86/BA5</f>
        <v>#DIV/0!</v>
      </c>
      <c r="BB87" s="2990" t="e">
        <f>BB86/BB5</f>
        <v>#DIV/0!</v>
      </c>
      <c r="BC87" s="2991" t="e">
        <f>BC86/BC5</f>
        <v>#DIV/0!</v>
      </c>
      <c r="BD87" s="2993"/>
      <c r="BE87" s="2995"/>
      <c r="BF87" s="2527" t="e">
        <f>BF86/BF5</f>
        <v>#DIV/0!</v>
      </c>
      <c r="BG87" s="2528" t="e">
        <f>BG86/BG5</f>
        <v>#DIV/0!</v>
      </c>
      <c r="BH87" s="2529" t="e">
        <f>BH86/BH5</f>
        <v>#DIV/0!</v>
      </c>
      <c r="BI87" s="2530"/>
      <c r="BJ87" s="2531"/>
      <c r="BK87" s="2527" t="e">
        <f>BK86/BK5</f>
        <v>#DIV/0!</v>
      </c>
      <c r="BL87" s="2528" t="e">
        <f>BL86/BL5</f>
        <v>#DIV/0!</v>
      </c>
      <c r="BM87" s="2529" t="e">
        <f>BM86/BM5</f>
        <v>#DIV/0!</v>
      </c>
      <c r="BN87" s="2530"/>
      <c r="BO87" s="2531"/>
      <c r="BP87" s="2527" t="e">
        <f>BP86/BP5</f>
        <v>#DIV/0!</v>
      </c>
      <c r="BQ87" s="2528" t="e">
        <f>BQ86/BQ5</f>
        <v>#DIV/0!</v>
      </c>
      <c r="BR87" s="2529" t="e">
        <f>BR86/BR5</f>
        <v>#DIV/0!</v>
      </c>
      <c r="BS87" s="2530"/>
      <c r="BT87" s="2531"/>
      <c r="BU87" s="2989">
        <f>BU86/BU5</f>
        <v>0.34758980169581583</v>
      </c>
      <c r="BV87" s="2990" t="e">
        <f>BV86/BV5</f>
        <v>#DIV/0!</v>
      </c>
      <c r="BW87" s="2991">
        <f>BW86/BW5</f>
        <v>0.11668082283743929</v>
      </c>
      <c r="BX87" s="2993"/>
      <c r="BY87" s="2993"/>
    </row>
    <row r="88" spans="1:77" ht="13.8">
      <c r="A88" s="1423"/>
      <c r="B88" s="1423"/>
      <c r="C88" s="1521"/>
      <c r="D88" s="1521"/>
      <c r="E88" s="1521"/>
      <c r="F88" s="1549"/>
      <c r="G88" s="1954"/>
      <c r="H88" s="1954"/>
      <c r="I88" s="1954"/>
      <c r="J88" s="1954"/>
      <c r="K88" s="1549"/>
      <c r="L88" s="1954"/>
      <c r="M88" s="1954"/>
      <c r="N88" s="1954"/>
      <c r="O88" s="1954"/>
      <c r="P88" s="1605"/>
      <c r="Q88" s="1549"/>
      <c r="R88" s="1954"/>
      <c r="S88" s="1954"/>
      <c r="T88" s="1954"/>
      <c r="U88" s="1954"/>
      <c r="V88" s="1613"/>
      <c r="W88" s="1954"/>
      <c r="X88" s="1954"/>
      <c r="Y88" s="1954"/>
      <c r="Z88" s="1954"/>
      <c r="AA88" s="1605"/>
      <c r="AB88" s="1954"/>
      <c r="AC88" s="1954"/>
      <c r="AD88" s="1954"/>
      <c r="AE88" s="1954"/>
      <c r="AF88" s="1605"/>
      <c r="AG88" s="1954"/>
      <c r="AH88" s="1954"/>
      <c r="AI88" s="1954"/>
      <c r="AJ88" s="1954"/>
      <c r="AK88" s="1605"/>
      <c r="AL88" s="1954"/>
      <c r="AM88" s="1954"/>
      <c r="AN88" s="1954"/>
      <c r="AO88" s="1954"/>
      <c r="AP88" s="1605"/>
      <c r="AQ88" s="1954"/>
      <c r="AR88" s="1954"/>
      <c r="AS88" s="1954"/>
      <c r="AT88" s="1954"/>
      <c r="AU88" s="1605"/>
      <c r="AV88" s="1954"/>
      <c r="AW88" s="1954"/>
      <c r="AX88" s="1954"/>
      <c r="AY88" s="1954"/>
      <c r="AZ88" s="1605"/>
      <c r="BA88" s="1954"/>
      <c r="BB88" s="1954"/>
      <c r="BC88" s="1954"/>
      <c r="BD88" s="1954"/>
      <c r="BE88" s="1605"/>
      <c r="BF88" s="1954"/>
      <c r="BG88" s="1954"/>
      <c r="BH88" s="1954"/>
      <c r="BI88" s="1954"/>
      <c r="BJ88" s="1605"/>
      <c r="BK88" s="1954"/>
      <c r="BL88" s="1954"/>
      <c r="BM88" s="1954"/>
      <c r="BN88" s="1954"/>
      <c r="BO88" s="1605"/>
      <c r="BP88" s="1954"/>
      <c r="BQ88" s="1954"/>
      <c r="BR88" s="1954"/>
      <c r="BS88" s="1954"/>
      <c r="BT88" s="1605"/>
      <c r="BU88" s="1954"/>
      <c r="BV88" s="1954"/>
      <c r="BW88" s="1954"/>
      <c r="BX88" s="1954"/>
      <c r="BY88" s="1954"/>
    </row>
    <row r="89" spans="1:77">
      <c r="B89" s="1562" t="s">
        <v>56</v>
      </c>
      <c r="C89" s="1522"/>
      <c r="D89" s="1522"/>
      <c r="E89" s="1960">
        <f>E8+E36+E41+E50+E54+E73+E79+E82+E85</f>
        <v>5129241.8273117067</v>
      </c>
      <c r="F89" s="189"/>
      <c r="I89" s="1960">
        <f>I8+I36+I41+I50+I54+I73+I79+I82+I85</f>
        <v>3328792.473260826</v>
      </c>
      <c r="K89" s="189"/>
      <c r="N89" s="1960">
        <f>N8+N36+N41+N50+N54+N73+N79+N82+N85</f>
        <v>3712433.7402986372</v>
      </c>
      <c r="P89" s="1606"/>
      <c r="Q89" s="189"/>
      <c r="T89" s="1960">
        <f>T8+T36+T41+T50+T54+T73+T79+T82+T85</f>
        <v>6302.3050847457625</v>
      </c>
      <c r="V89" s="1592"/>
      <c r="Y89" s="1960">
        <f>Y8+Y36+Y41+Y50+Y54+Y73+Y79+Y82+Y85</f>
        <v>136047.12508349592</v>
      </c>
      <c r="AA89" s="1606"/>
      <c r="AD89" s="1960">
        <f>AD8+AD36+AD41+AD50+AD54+AD73+AD79+AD82+AD85</f>
        <v>88585.931413265193</v>
      </c>
      <c r="AF89" s="1606"/>
      <c r="AI89" s="1960">
        <f>AI8+AI36+AI41+AI50+AI54+AI73+AI79+AI82+AI85</f>
        <v>12925.531818181818</v>
      </c>
      <c r="AK89" s="1606"/>
      <c r="AN89" s="1960">
        <f>AN8+AN36+AN41+AN50+AN54+AN73+AN79+AN82+AN85</f>
        <v>104833.56020251829</v>
      </c>
      <c r="AP89" s="1606"/>
      <c r="AS89" s="1960">
        <f>AS8+AS36+AS41+AS50+AS54+AS73+AS79+AS82+AS85</f>
        <v>570.69359054596327</v>
      </c>
      <c r="AU89" s="1606"/>
      <c r="AX89" s="1960">
        <f>AX8+AX36+AX41+AX50+AX54+AX73+AX79+AX82+AX85</f>
        <v>27374.526802334225</v>
      </c>
      <c r="AZ89" s="1606"/>
      <c r="BC89" s="1960">
        <f>BC8+BC36+BC41+BC50+BC54+BC73+BC79+BC82+BC85</f>
        <v>0</v>
      </c>
      <c r="BE89" s="1606"/>
      <c r="BH89" s="1960">
        <f>BH8+BH36+BH41+BH50+BH54+BH73+BH79+BH82+BH85</f>
        <v>477.59999999999997</v>
      </c>
      <c r="BJ89" s="1606"/>
      <c r="BM89" s="1960">
        <f>BM8+BM36+BM41+BM50+BM54+BM73+BM79+BM82+BM85</f>
        <v>11750.61162831384</v>
      </c>
      <c r="BO89" s="1606"/>
      <c r="BR89" s="1960">
        <f>BR8+BR36+BR41+BR50+BR54+BR73+BR79+BR82+BR85</f>
        <v>237.6</v>
      </c>
      <c r="BT89" s="1606"/>
      <c r="BU89" s="1606"/>
      <c r="BV89" s="1606"/>
      <c r="BW89" s="1960">
        <f>BW8+BW36+BW41+BW50+BW54+BW73+BW79+BW82+BW85</f>
        <v>7430331.6991828643</v>
      </c>
    </row>
    <row r="90" spans="1:77" s="2470" customFormat="1">
      <c r="A90" s="1336"/>
      <c r="B90" s="1336"/>
      <c r="C90" s="1341"/>
      <c r="D90" s="1341"/>
      <c r="E90" s="1341"/>
      <c r="F90" s="2468"/>
      <c r="G90" s="2468"/>
      <c r="H90" s="2468"/>
      <c r="I90" s="2468"/>
      <c r="J90" s="2468"/>
      <c r="K90" s="2468"/>
      <c r="L90" s="2468"/>
      <c r="M90" s="2468"/>
      <c r="N90" s="2468"/>
      <c r="O90" s="2468"/>
      <c r="P90" s="1857"/>
      <c r="Q90" s="2468"/>
      <c r="R90" s="2468"/>
      <c r="S90" s="2468"/>
      <c r="T90" s="2468"/>
      <c r="U90" s="2468"/>
      <c r="V90" s="2468"/>
      <c r="W90" s="2468"/>
      <c r="X90" s="2468"/>
      <c r="Y90" s="2468"/>
      <c r="Z90" s="2468"/>
      <c r="AA90" s="1857"/>
      <c r="AB90" s="2468"/>
      <c r="AC90" s="2468"/>
      <c r="AD90" s="2468"/>
      <c r="AE90" s="2468"/>
      <c r="AF90" s="1857"/>
      <c r="AG90" s="2468"/>
      <c r="AH90" s="2468"/>
      <c r="AI90" s="2468"/>
      <c r="AJ90" s="2468"/>
      <c r="AK90" s="1857"/>
      <c r="AL90" s="2468"/>
      <c r="AM90" s="2468"/>
      <c r="AN90" s="2468"/>
      <c r="AO90" s="2468"/>
      <c r="AP90" s="1857"/>
      <c r="AQ90" s="2468"/>
      <c r="AR90" s="2468"/>
      <c r="AS90" s="2468"/>
      <c r="AT90" s="2468"/>
      <c r="AU90" s="1857"/>
      <c r="AV90" s="2468"/>
      <c r="AW90" s="2468"/>
      <c r="AX90" s="2468"/>
      <c r="AY90" s="2468"/>
      <c r="AZ90" s="1857"/>
      <c r="BA90" s="2468"/>
      <c r="BB90" s="2468"/>
      <c r="BC90" s="2468"/>
      <c r="BD90" s="2468"/>
      <c r="BE90" s="1857"/>
      <c r="BF90" s="2468"/>
      <c r="BG90" s="2468"/>
      <c r="BH90" s="2468"/>
      <c r="BI90" s="2468"/>
      <c r="BJ90" s="1857"/>
      <c r="BK90" s="2468"/>
      <c r="BL90" s="2468"/>
      <c r="BM90" s="2468"/>
      <c r="BN90" s="2468"/>
      <c r="BO90" s="1857"/>
      <c r="BP90" s="2468"/>
      <c r="BQ90" s="2468"/>
      <c r="BR90" s="2468"/>
      <c r="BS90" s="2468"/>
      <c r="BT90" s="1857"/>
      <c r="BU90" s="1606"/>
      <c r="BV90" s="1606"/>
      <c r="BW90" s="1606">
        <f>(I89+N89+T89+Y89+AD89+AI89+AN89+AS89+AX89+BC89+BH89+BM89+BR89)-BW89</f>
        <v>0</v>
      </c>
      <c r="BX90" s="2468"/>
      <c r="BY90" s="2468"/>
    </row>
    <row r="91" spans="1:77" s="1396" customFormat="1">
      <c r="A91" s="1402"/>
      <c r="B91" s="1402"/>
      <c r="C91" s="1522"/>
      <c r="D91" s="1522"/>
      <c r="E91" s="1522"/>
      <c r="F91" s="1952"/>
      <c r="G91" s="1952"/>
      <c r="H91" s="1952"/>
      <c r="I91" s="1952"/>
      <c r="J91" s="1952"/>
      <c r="K91" s="1952"/>
      <c r="L91" s="1586"/>
      <c r="M91" s="1586"/>
      <c r="N91" s="1586"/>
      <c r="O91" s="1586"/>
      <c r="P91" s="1963"/>
      <c r="Q91" s="1952"/>
      <c r="R91" s="1592"/>
      <c r="S91" s="1592"/>
      <c r="T91" s="1592"/>
      <c r="U91" s="1592"/>
      <c r="V91" s="1592"/>
      <c r="W91" s="1586" t="s">
        <v>1309</v>
      </c>
      <c r="X91" s="1586"/>
      <c r="Y91" s="1586"/>
      <c r="Z91" s="2468"/>
      <c r="AA91" s="1857"/>
      <c r="AB91" s="1586" t="s">
        <v>1326</v>
      </c>
      <c r="AC91" s="1586"/>
      <c r="AD91" s="1586"/>
      <c r="AE91" s="2468"/>
      <c r="AF91" s="1857"/>
      <c r="AG91" s="1586"/>
      <c r="AH91" s="1586"/>
      <c r="AI91" s="1586"/>
      <c r="AJ91" s="2468"/>
      <c r="AK91" s="1857"/>
      <c r="AL91" s="1586"/>
      <c r="AM91" s="1586"/>
      <c r="AN91" s="1586"/>
      <c r="AO91" s="2468"/>
      <c r="AP91" s="1857"/>
      <c r="AQ91" s="2468"/>
      <c r="AR91" s="1586"/>
      <c r="AS91" s="1586"/>
      <c r="AT91" s="1586"/>
      <c r="AU91" s="1857"/>
      <c r="AV91" s="2468"/>
      <c r="AW91" s="1586"/>
      <c r="AX91" s="1586"/>
      <c r="AY91" s="1586"/>
      <c r="AZ91" s="1857"/>
      <c r="BA91" s="2468"/>
      <c r="BB91" s="1586"/>
      <c r="BC91" s="1586"/>
      <c r="BD91" s="1586"/>
      <c r="BE91" s="1857"/>
      <c r="BF91" s="2468"/>
      <c r="BG91" s="1586"/>
      <c r="BH91" s="1586"/>
      <c r="BI91" s="1586"/>
      <c r="BJ91" s="1857"/>
      <c r="BK91" s="2468"/>
      <c r="BL91" s="1586"/>
      <c r="BM91" s="1586"/>
      <c r="BN91" s="1586"/>
      <c r="BO91" s="1857"/>
      <c r="BP91" s="2468"/>
      <c r="BQ91" s="1586"/>
      <c r="BR91" s="1586"/>
      <c r="BS91" s="1586"/>
      <c r="BT91" s="1857"/>
      <c r="BU91" s="1952"/>
      <c r="BV91" s="1606"/>
      <c r="BW91" s="1952"/>
      <c r="BX91" s="1952"/>
      <c r="BY91" s="1952"/>
    </row>
    <row r="92" spans="1:77">
      <c r="C92" s="1952"/>
      <c r="D92" s="1952"/>
      <c r="L92" s="1963"/>
      <c r="M92" s="1963"/>
      <c r="N92" s="1963"/>
      <c r="O92" s="1963"/>
      <c r="P92" s="1963"/>
      <c r="R92" s="1592"/>
      <c r="S92" s="1592"/>
      <c r="T92" s="1592"/>
      <c r="U92" s="1592"/>
      <c r="V92" s="1592"/>
      <c r="W92" s="1963" t="s">
        <v>1310</v>
      </c>
      <c r="X92" s="1963">
        <f>13786.37*1.2</f>
        <v>16543.644</v>
      </c>
      <c r="Y92" s="1963"/>
      <c r="Z92" s="1606"/>
      <c r="AA92" s="1606"/>
      <c r="AB92" s="1963" t="s">
        <v>1310</v>
      </c>
      <c r="AC92" s="1963">
        <f>13786.37*1.2</f>
        <v>16543.644</v>
      </c>
      <c r="AD92" s="1963"/>
      <c r="AE92" s="1606"/>
      <c r="AF92" s="1606"/>
      <c r="AG92" s="1963"/>
      <c r="AH92" s="1963"/>
      <c r="AI92" s="1963"/>
      <c r="AJ92" s="1606"/>
      <c r="AK92" s="1606"/>
      <c r="AL92" s="1963"/>
      <c r="AM92" s="1963"/>
      <c r="AN92" s="1963"/>
      <c r="AO92" s="1606"/>
      <c r="AP92" s="1606"/>
      <c r="AQ92" s="1342"/>
      <c r="AR92" s="1218"/>
      <c r="AS92" s="1218"/>
      <c r="AT92" s="1218"/>
      <c r="AU92" s="1342"/>
      <c r="AV92" s="1342"/>
      <c r="AW92" s="1218"/>
      <c r="AX92" s="1218"/>
      <c r="AY92" s="1218"/>
      <c r="AZ92" s="1342"/>
      <c r="BA92" s="1342"/>
      <c r="BB92" s="1218"/>
      <c r="BC92" s="1218"/>
      <c r="BD92" s="1218"/>
      <c r="BE92" s="1342"/>
      <c r="BF92" s="2468"/>
      <c r="BG92" s="1218"/>
      <c r="BH92" s="1218"/>
      <c r="BI92" s="1218"/>
      <c r="BJ92" s="1342"/>
      <c r="BK92" s="2468"/>
      <c r="BL92" s="1218"/>
      <c r="BM92" s="1218"/>
      <c r="BN92" s="1218"/>
      <c r="BO92" s="1342"/>
      <c r="BP92" s="2468"/>
      <c r="BQ92" s="1218"/>
      <c r="BR92" s="1218"/>
      <c r="BS92" s="1218"/>
      <c r="BT92" s="1342"/>
      <c r="BV92" s="1952" t="s">
        <v>1374</v>
      </c>
      <c r="BW92" s="1952">
        <v>550965.06789999735</v>
      </c>
    </row>
    <row r="93" spans="1:77" s="1396" customFormat="1">
      <c r="A93" s="1402"/>
      <c r="B93" s="1655"/>
      <c r="C93" s="1952"/>
      <c r="D93" s="1952"/>
      <c r="E93" s="1952"/>
      <c r="F93" s="1952"/>
      <c r="G93" s="1952"/>
      <c r="H93" s="1952"/>
      <c r="I93" s="1952"/>
      <c r="J93" s="1952"/>
      <c r="K93" s="1952"/>
      <c r="L93" s="1963"/>
      <c r="M93" s="1963"/>
      <c r="N93" s="1963"/>
      <c r="O93" s="1963"/>
      <c r="P93" s="1963"/>
      <c r="Q93" s="1952"/>
      <c r="R93" s="1592"/>
      <c r="S93" s="1592"/>
      <c r="T93" s="687"/>
      <c r="U93" s="1592"/>
      <c r="V93" s="1592"/>
      <c r="W93" s="1963" t="s">
        <v>1311</v>
      </c>
      <c r="X93" s="1963">
        <f>3886.27*1.2</f>
        <v>4663.5239999999994</v>
      </c>
      <c r="Y93" s="1963"/>
      <c r="Z93" s="1606"/>
      <c r="AA93" s="1606"/>
      <c r="AB93" s="1963"/>
      <c r="AC93" s="1963"/>
      <c r="AD93" s="1963"/>
      <c r="AE93" s="1606"/>
      <c r="AF93" s="1606"/>
      <c r="AG93" s="1963"/>
      <c r="AH93" s="1963"/>
      <c r="AI93" s="1963"/>
      <c r="AJ93" s="1606"/>
      <c r="AK93" s="1606"/>
      <c r="AL93" s="1963"/>
      <c r="AM93" s="1963"/>
      <c r="AN93" s="1963"/>
      <c r="AO93" s="1606"/>
      <c r="AP93" s="1606"/>
      <c r="AQ93" s="1036"/>
      <c r="AR93" s="1218"/>
      <c r="AS93" s="1218"/>
      <c r="AT93" s="1218"/>
      <c r="AU93" s="1036"/>
      <c r="AV93" s="1036"/>
      <c r="AW93" s="1218"/>
      <c r="AX93" s="1218"/>
      <c r="AY93" s="1218"/>
      <c r="AZ93" s="1036"/>
      <c r="BA93" s="1036"/>
      <c r="BB93" s="1218"/>
      <c r="BC93" s="1218"/>
      <c r="BD93" s="1218"/>
      <c r="BE93" s="1036"/>
      <c r="BF93" s="2468"/>
      <c r="BG93" s="1218"/>
      <c r="BH93" s="1218"/>
      <c r="BI93" s="1218"/>
      <c r="BJ93" s="1036"/>
      <c r="BK93" s="2468"/>
      <c r="BL93" s="1218"/>
      <c r="BM93" s="1218"/>
      <c r="BN93" s="1218"/>
      <c r="BO93" s="1036"/>
      <c r="BP93" s="2468"/>
      <c r="BQ93" s="1218"/>
      <c r="BR93" s="1218"/>
      <c r="BS93" s="1218"/>
      <c r="BT93" s="1036"/>
      <c r="BU93" s="1952"/>
      <c r="BV93" s="1952" t="s">
        <v>1373</v>
      </c>
      <c r="BW93" s="1952">
        <f>BW92-BW84</f>
        <v>-430534.3029171403</v>
      </c>
    </row>
    <row r="94" spans="1:77" s="1396" customFormat="1">
      <c r="A94" s="1402"/>
      <c r="B94" s="1655"/>
      <c r="C94" s="1952"/>
      <c r="D94" s="1952"/>
      <c r="E94" s="1952"/>
      <c r="F94" s="1952"/>
      <c r="G94" s="1952"/>
      <c r="H94" s="1952"/>
      <c r="I94" s="1952"/>
      <c r="J94" s="1952"/>
      <c r="K94" s="1952"/>
      <c r="L94" s="2111"/>
      <c r="M94" s="2111"/>
      <c r="N94" s="1963"/>
      <c r="O94" s="1963"/>
      <c r="P94" s="1963"/>
      <c r="Q94" s="1952"/>
      <c r="R94" s="1592"/>
      <c r="S94" s="1592"/>
      <c r="T94" s="1592"/>
      <c r="U94" s="1592"/>
      <c r="V94" s="1592"/>
      <c r="W94" s="2111" t="s">
        <v>1312</v>
      </c>
      <c r="X94" s="2111">
        <f>SUM(X92:X93)</f>
        <v>21207.167999999998</v>
      </c>
      <c r="Y94" s="1963"/>
      <c r="Z94" s="1963"/>
      <c r="AA94" s="1963"/>
      <c r="AB94" s="2111" t="s">
        <v>1312</v>
      </c>
      <c r="AC94" s="2111">
        <f>SUM(AC92:AC93)</f>
        <v>16543.644</v>
      </c>
      <c r="AD94" s="1963"/>
      <c r="AE94" s="1963"/>
      <c r="AF94" s="1963"/>
      <c r="AG94" s="2111"/>
      <c r="AH94" s="2111"/>
      <c r="AI94" s="1963"/>
      <c r="AJ94" s="1963"/>
      <c r="AK94" s="1963"/>
      <c r="AL94" s="2111"/>
      <c r="AM94" s="2111"/>
      <c r="AN94" s="1963"/>
      <c r="AO94" s="1606"/>
      <c r="AP94" s="1963"/>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654"/>
      <c r="BV94" s="1221"/>
      <c r="BW94" s="1952"/>
    </row>
    <row r="95" spans="1:77" s="1396" customFormat="1">
      <c r="A95" s="1402"/>
      <c r="B95" s="1655"/>
      <c r="C95" s="1952"/>
      <c r="D95" s="1952"/>
      <c r="E95" s="1952"/>
      <c r="F95" s="1952"/>
      <c r="G95" s="1952"/>
      <c r="H95" s="1952"/>
      <c r="I95" s="1952"/>
      <c r="J95" s="1952"/>
      <c r="K95" s="1952"/>
      <c r="L95" s="1963"/>
      <c r="M95" s="1963"/>
      <c r="N95" s="1963"/>
      <c r="O95" s="1963"/>
      <c r="P95" s="1963"/>
      <c r="Q95" s="1952"/>
      <c r="R95" s="1592"/>
      <c r="S95" s="1592"/>
      <c r="T95" s="1592"/>
      <c r="U95" s="1592"/>
      <c r="V95" s="1592"/>
      <c r="W95" s="1963"/>
      <c r="X95" s="1963"/>
      <c r="Y95" s="1963"/>
      <c r="Z95" s="1963"/>
      <c r="AA95" s="1963"/>
      <c r="AB95" s="1963"/>
      <c r="AC95" s="1963"/>
      <c r="AD95" s="1963"/>
      <c r="AE95" s="1963"/>
      <c r="AF95" s="1963"/>
      <c r="AG95" s="1963"/>
      <c r="AH95" s="1963"/>
      <c r="AI95" s="1963"/>
      <c r="AJ95" s="1963"/>
      <c r="AK95" s="1963"/>
      <c r="AL95" s="1963"/>
      <c r="AM95" s="1963"/>
      <c r="AN95" s="1963"/>
      <c r="AO95" s="1606"/>
      <c r="AP95" s="1963"/>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52"/>
      <c r="BV95" s="1065" t="s">
        <v>1400</v>
      </c>
      <c r="BW95" s="1952">
        <v>252295.53209999995</v>
      </c>
    </row>
    <row r="96" spans="1:77" s="1396" customFormat="1">
      <c r="A96" s="1402"/>
      <c r="B96" s="1655"/>
      <c r="C96" s="1952"/>
      <c r="D96" s="1952"/>
      <c r="E96" s="1952"/>
      <c r="F96" s="1952"/>
      <c r="G96" s="1952"/>
      <c r="H96" s="1952"/>
      <c r="I96" s="1952"/>
      <c r="J96" s="1952"/>
      <c r="K96" s="1952"/>
      <c r="L96" s="1963"/>
      <c r="M96" s="1963"/>
      <c r="N96" s="1963"/>
      <c r="O96" s="1963"/>
      <c r="P96" s="1963"/>
      <c r="Q96" s="1952"/>
      <c r="R96" s="1592"/>
      <c r="S96" s="1592"/>
      <c r="T96" s="1592"/>
      <c r="U96" s="1592"/>
      <c r="V96" s="1592"/>
      <c r="W96" s="1963"/>
      <c r="X96" s="1963"/>
      <c r="Y96" s="1963"/>
      <c r="Z96" s="1963"/>
      <c r="AA96" s="1963"/>
      <c r="AB96" s="1963"/>
      <c r="AC96" s="1963"/>
      <c r="AD96" s="1963"/>
      <c r="AE96" s="1963"/>
      <c r="AF96" s="1963"/>
      <c r="AG96" s="1963"/>
      <c r="AH96" s="1963"/>
      <c r="AI96" s="1963"/>
      <c r="AJ96" s="1963"/>
      <c r="AK96" s="1963"/>
      <c r="AL96" s="1963"/>
      <c r="AM96" s="1963"/>
      <c r="AN96" s="1963"/>
      <c r="AO96" s="1606"/>
      <c r="AP96" s="1963"/>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52"/>
      <c r="BV96" s="1065" t="s">
        <v>1401</v>
      </c>
      <c r="BW96" s="1952"/>
    </row>
    <row r="97" spans="1:79">
      <c r="C97" s="1952"/>
      <c r="D97" s="1952"/>
      <c r="L97" s="1963"/>
      <c r="M97" s="1963"/>
      <c r="N97" s="1963"/>
      <c r="O97" s="1963"/>
      <c r="P97" s="1963"/>
      <c r="R97" s="1592"/>
      <c r="S97" s="1592"/>
      <c r="T97" s="1592"/>
      <c r="U97" s="1592"/>
      <c r="V97" s="1592"/>
      <c r="W97" s="1963"/>
      <c r="X97" s="1963"/>
      <c r="Y97" s="1963"/>
      <c r="Z97" s="1963"/>
      <c r="AA97" s="1963"/>
      <c r="AB97" s="1963"/>
      <c r="AC97" s="1963"/>
      <c r="AD97" s="1963"/>
      <c r="AE97" s="1963"/>
      <c r="AF97" s="1963"/>
      <c r="AG97" s="1963"/>
      <c r="AH97" s="1963"/>
      <c r="AI97" s="1963"/>
      <c r="AJ97" s="1963"/>
      <c r="AK97" s="1963"/>
      <c r="AL97" s="1963"/>
      <c r="AM97" s="1963"/>
      <c r="AN97" s="1963"/>
      <c r="AO97" s="1606"/>
      <c r="AP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V97" s="1065" t="s">
        <v>1405</v>
      </c>
      <c r="BW97" s="1952">
        <f>CA6</f>
        <v>-12342.550000000745</v>
      </c>
      <c r="BY97" s="1396"/>
      <c r="BZ97" s="1396"/>
      <c r="CA97" s="1396"/>
    </row>
    <row r="98" spans="1:79" s="1396" customFormat="1">
      <c r="A98" s="1402"/>
      <c r="B98" s="1402"/>
      <c r="C98" s="1952"/>
      <c r="D98" s="1952"/>
      <c r="E98" s="1952"/>
      <c r="F98" s="1952"/>
      <c r="G98" s="1952"/>
      <c r="H98" s="1952"/>
      <c r="I98" s="1952"/>
      <c r="J98" s="1952"/>
      <c r="K98" s="1952"/>
      <c r="L98" s="1586"/>
      <c r="M98" s="1586"/>
      <c r="N98" s="1963"/>
      <c r="O98" s="1586"/>
      <c r="P98" s="1586"/>
      <c r="Q98" s="1952"/>
      <c r="R98" s="1592"/>
      <c r="S98" s="1592"/>
      <c r="T98" s="1592"/>
      <c r="U98" s="1592"/>
      <c r="V98" s="1592"/>
      <c r="W98" s="1586"/>
      <c r="X98" s="1586"/>
      <c r="Y98" s="1586"/>
      <c r="Z98" s="1952"/>
      <c r="AA98" s="1952"/>
      <c r="AB98" s="1586"/>
      <c r="AC98" s="1586"/>
      <c r="AD98" s="1586"/>
      <c r="AE98" s="1952"/>
      <c r="AF98" s="1952"/>
      <c r="AG98" s="1586"/>
      <c r="AH98" s="1586"/>
      <c r="AI98" s="1963"/>
      <c r="AJ98" s="1952"/>
      <c r="AK98" s="1952"/>
      <c r="AL98" s="1586"/>
      <c r="AM98" s="1586"/>
      <c r="AN98" s="1963"/>
      <c r="AO98" s="1606"/>
      <c r="AP98" s="1952"/>
      <c r="AQ98" s="1952"/>
      <c r="AR98" s="1586"/>
      <c r="AS98" s="1586"/>
      <c r="AT98" s="1586"/>
      <c r="AU98" s="1952"/>
      <c r="AV98" s="1952"/>
      <c r="AW98" s="1586"/>
      <c r="AX98" s="1586"/>
      <c r="AY98" s="1586"/>
      <c r="AZ98" s="1952"/>
      <c r="BA98" s="1952"/>
      <c r="BB98" s="1586"/>
      <c r="BC98" s="1586"/>
      <c r="BD98" s="1586"/>
      <c r="BE98" s="1952"/>
      <c r="BF98" s="1952"/>
      <c r="BG98" s="1586"/>
      <c r="BH98" s="1586"/>
      <c r="BI98" s="1586"/>
      <c r="BJ98" s="1952"/>
      <c r="BK98" s="1952"/>
      <c r="BL98" s="1586"/>
      <c r="BM98" s="1586"/>
      <c r="BN98" s="1586"/>
      <c r="BO98" s="1952"/>
      <c r="BP98" s="1952"/>
      <c r="BQ98" s="1586"/>
      <c r="BR98" s="1586"/>
      <c r="BS98" s="1586"/>
      <c r="BT98" s="1952"/>
      <c r="BU98" s="1952"/>
      <c r="BV98" s="1065" t="s">
        <v>1375</v>
      </c>
      <c r="BW98" s="1952">
        <f>-CA26</f>
        <v>133545.29000000004</v>
      </c>
      <c r="BX98" s="842"/>
    </row>
    <row r="99" spans="1:79">
      <c r="C99" s="1952"/>
      <c r="D99" s="1952"/>
      <c r="L99" s="1586"/>
      <c r="M99" s="1586"/>
      <c r="N99" s="1586"/>
      <c r="O99" s="1586"/>
      <c r="P99" s="1586"/>
      <c r="AO99" s="1606"/>
      <c r="AR99" s="1586"/>
      <c r="AS99" s="1586"/>
      <c r="AT99" s="1586"/>
      <c r="AW99" s="1586"/>
      <c r="AX99" s="1586"/>
      <c r="AY99" s="1586"/>
      <c r="BB99" s="1586"/>
      <c r="BC99" s="1586"/>
      <c r="BD99" s="1586"/>
      <c r="BG99" s="1586"/>
      <c r="BH99" s="1586"/>
      <c r="BI99" s="1586"/>
      <c r="BL99" s="1586"/>
      <c r="BM99" s="1586"/>
      <c r="BN99" s="1586"/>
      <c r="BQ99" s="1586"/>
      <c r="BR99" s="1586"/>
      <c r="BS99" s="1586"/>
      <c r="BV99" s="1065" t="s">
        <v>1403</v>
      </c>
      <c r="BW99" s="1952">
        <f>CA79</f>
        <v>56292.382702864212</v>
      </c>
      <c r="BY99" s="1396"/>
      <c r="BZ99" s="1396"/>
      <c r="CA99" s="1396"/>
    </row>
    <row r="100" spans="1:79">
      <c r="L100" s="1586"/>
      <c r="M100" s="1586"/>
      <c r="N100" s="1586"/>
      <c r="O100" s="1586"/>
      <c r="P100" s="1586"/>
      <c r="AO100" s="1606"/>
      <c r="AR100" s="1586"/>
      <c r="AS100" s="1586"/>
      <c r="AT100" s="1586"/>
      <c r="AW100" s="1586"/>
      <c r="AX100" s="1586"/>
      <c r="AY100" s="1586"/>
      <c r="BB100" s="1586"/>
      <c r="BC100" s="1586"/>
      <c r="BD100" s="1586"/>
      <c r="BG100" s="1586"/>
      <c r="BH100" s="1586"/>
      <c r="BI100" s="1586"/>
      <c r="BL100" s="1586"/>
      <c r="BM100" s="1586"/>
      <c r="BN100" s="1586"/>
      <c r="BQ100" s="1586"/>
      <c r="BR100" s="1586"/>
      <c r="BS100" s="1586"/>
      <c r="BV100" s="1065"/>
      <c r="BY100" s="1396"/>
      <c r="BZ100" s="1396"/>
      <c r="CA100" s="1396"/>
    </row>
    <row r="101" spans="1:79">
      <c r="L101" s="1586"/>
      <c r="M101" s="1586"/>
      <c r="N101" s="1586"/>
      <c r="O101" s="1586"/>
      <c r="P101" s="1586"/>
      <c r="AO101" s="1606"/>
      <c r="AR101" s="1586"/>
      <c r="AS101" s="1586"/>
      <c r="AT101" s="1586"/>
      <c r="AW101" s="1586"/>
      <c r="AX101" s="1586"/>
      <c r="AY101" s="1586"/>
      <c r="BB101" s="1586"/>
      <c r="BC101" s="1586"/>
      <c r="BD101" s="1586"/>
      <c r="BG101" s="1586"/>
      <c r="BH101" s="1586"/>
      <c r="BI101" s="1586"/>
      <c r="BL101" s="1586"/>
      <c r="BM101" s="1586"/>
      <c r="BN101" s="1586"/>
      <c r="BQ101" s="1586"/>
      <c r="BR101" s="1586"/>
      <c r="BS101" s="1586"/>
      <c r="BV101" s="1065"/>
      <c r="BY101" s="1396"/>
      <c r="BZ101" s="1396"/>
      <c r="CA101" s="1396"/>
    </row>
    <row r="102" spans="1:79">
      <c r="L102" s="1586"/>
      <c r="M102" s="1586"/>
      <c r="N102" s="1586"/>
      <c r="O102" s="1586"/>
      <c r="P102" s="1586"/>
      <c r="AO102" s="1606"/>
      <c r="AR102" s="1586"/>
      <c r="AS102" s="1586"/>
      <c r="AT102" s="1586"/>
      <c r="AW102" s="1586"/>
      <c r="AX102" s="1586"/>
      <c r="AY102" s="1586"/>
      <c r="BB102" s="1586"/>
      <c r="BC102" s="1586"/>
      <c r="BD102" s="1586"/>
      <c r="BG102" s="1586"/>
      <c r="BH102" s="1586"/>
      <c r="BI102" s="1586"/>
      <c r="BL102" s="1586"/>
      <c r="BM102" s="1586"/>
      <c r="BN102" s="1586"/>
      <c r="BQ102" s="1586"/>
      <c r="BR102" s="1586"/>
      <c r="BS102" s="1586"/>
      <c r="BY102" s="1396"/>
      <c r="BZ102" s="1396"/>
      <c r="CA102" s="1396"/>
    </row>
    <row r="103" spans="1:79">
      <c r="AR103" s="1586"/>
      <c r="AS103" s="1586"/>
      <c r="AT103" s="1586"/>
      <c r="AW103" s="1586"/>
      <c r="AX103" s="1586"/>
      <c r="AY103" s="1586"/>
      <c r="BB103" s="1586"/>
      <c r="BC103" s="1586"/>
      <c r="BD103" s="1586"/>
      <c r="BG103" s="1586"/>
      <c r="BH103" s="1586"/>
      <c r="BI103" s="1586"/>
      <c r="BL103" s="1586"/>
      <c r="BM103" s="1586"/>
      <c r="BN103" s="1586"/>
      <c r="BQ103" s="1586"/>
      <c r="BR103" s="1586"/>
      <c r="BS103" s="1586"/>
      <c r="BY103" s="1396"/>
      <c r="BZ103" s="1396"/>
      <c r="CA103" s="1396"/>
    </row>
    <row r="104" spans="1:79">
      <c r="AR104" s="1586"/>
      <c r="AS104" s="1586"/>
      <c r="AT104" s="1586"/>
      <c r="AW104" s="1586"/>
      <c r="AX104" s="1586"/>
      <c r="AY104" s="1586"/>
      <c r="BB104" s="1586"/>
      <c r="BC104" s="1586"/>
      <c r="BD104" s="1586"/>
      <c r="BG104" s="1586"/>
      <c r="BH104" s="1586"/>
      <c r="BI104" s="1586"/>
      <c r="BL104" s="1586"/>
      <c r="BM104" s="1586"/>
      <c r="BN104" s="1586"/>
      <c r="BQ104" s="1586"/>
      <c r="BR104" s="1586"/>
      <c r="BS104" s="1586"/>
      <c r="BV104" s="1952" t="s">
        <v>1404</v>
      </c>
      <c r="BW104" s="1952">
        <f>SUM(BW93:BW103)</f>
        <v>-743.64811427684617</v>
      </c>
      <c r="BY104" s="1396"/>
      <c r="BZ104" s="1396"/>
      <c r="CA104" s="1396"/>
    </row>
    <row r="105" spans="1:79">
      <c r="AR105" s="1586"/>
      <c r="AS105" s="1586"/>
      <c r="AT105" s="1586"/>
      <c r="AW105" s="1586"/>
      <c r="AX105" s="1586"/>
      <c r="AY105" s="1586"/>
      <c r="BB105" s="1586"/>
      <c r="BC105" s="1586"/>
      <c r="BD105" s="1586"/>
      <c r="BG105" s="1586"/>
      <c r="BH105" s="1586"/>
      <c r="BI105" s="1586"/>
      <c r="BL105" s="1586"/>
      <c r="BM105" s="1586"/>
      <c r="BN105" s="1586"/>
      <c r="BQ105" s="1586"/>
      <c r="BR105" s="1586"/>
      <c r="BS105" s="1586"/>
      <c r="BY105" s="1396"/>
      <c r="BZ105" s="1396"/>
      <c r="CA105" s="1396"/>
    </row>
    <row r="106" spans="1:79">
      <c r="BY106" s="1396"/>
      <c r="BZ106" s="1396"/>
      <c r="CA106" s="1396"/>
    </row>
    <row r="107" spans="1:79">
      <c r="BY107" s="1396"/>
      <c r="BZ107" s="1396"/>
      <c r="CA107" s="1396"/>
    </row>
    <row r="108" spans="1:79">
      <c r="BY108" s="1396"/>
      <c r="BZ108" s="1396"/>
      <c r="CA108" s="1396"/>
    </row>
    <row r="113" spans="47:57" s="1395" customFormat="1">
      <c r="AU113" s="1952"/>
      <c r="AV113" s="1952"/>
      <c r="AZ113" s="1952"/>
      <c r="BA113" s="1952"/>
      <c r="BE113" s="1952"/>
    </row>
    <row r="114" spans="47:57" s="1395" customFormat="1">
      <c r="AU114" s="1952"/>
      <c r="AV114" s="1952"/>
      <c r="AZ114" s="1952"/>
      <c r="BA114" s="1952"/>
      <c r="BE114" s="1952"/>
    </row>
    <row r="115" spans="47:57" s="1395" customFormat="1">
      <c r="AU115" s="1952"/>
      <c r="AV115" s="1952"/>
      <c r="AZ115" s="1952"/>
      <c r="BA115" s="1952"/>
      <c r="BE115" s="1952"/>
    </row>
    <row r="116" spans="47:57" s="1395" customFormat="1">
      <c r="AU116" s="1952"/>
      <c r="AV116" s="1952"/>
      <c r="AZ116" s="1952"/>
      <c r="BA116" s="1952"/>
      <c r="BE116" s="1952"/>
    </row>
    <row r="117" spans="47:57" s="1395" customFormat="1">
      <c r="AU117" s="1952"/>
      <c r="AV117" s="1952"/>
      <c r="AZ117" s="1952"/>
      <c r="BA117" s="1952"/>
      <c r="BE117" s="1952"/>
    </row>
    <row r="118" spans="47:57" s="1395" customFormat="1">
      <c r="AV118" s="1952"/>
      <c r="BA118" s="1952"/>
    </row>
  </sheetData>
  <mergeCells count="17">
    <mergeCell ref="A42:A48"/>
    <mergeCell ref="A2:F2"/>
    <mergeCell ref="L2:P3"/>
    <mergeCell ref="G2:K3"/>
    <mergeCell ref="R2:V3"/>
    <mergeCell ref="BU2:BY3"/>
    <mergeCell ref="W2:AA3"/>
    <mergeCell ref="A3:F3"/>
    <mergeCell ref="AB2:AF3"/>
    <mergeCell ref="AG2:AK3"/>
    <mergeCell ref="AL2:AP3"/>
    <mergeCell ref="AQ2:AU3"/>
    <mergeCell ref="AV2:AZ3"/>
    <mergeCell ref="BA2:BE3"/>
    <mergeCell ref="BF2:BJ3"/>
    <mergeCell ref="BK2:BO3"/>
    <mergeCell ref="BP2:BT3"/>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AC118"/>
  <sheetViews>
    <sheetView zoomScale="85" zoomScaleNormal="85" workbookViewId="0">
      <pane xSplit="6" ySplit="4" topLeftCell="S83" activePane="bottomRight" state="frozen"/>
      <selection pane="topRight" activeCell="G1" sqref="G1"/>
      <selection pane="bottomLeft" activeCell="A5" sqref="A5"/>
      <selection pane="bottomRight" activeCell="X92" sqref="X92"/>
    </sheetView>
  </sheetViews>
  <sheetFormatPr defaultColWidth="7.44140625" defaultRowHeight="13.2" outlineLevelRow="3" outlineLevelCol="1"/>
  <cols>
    <col min="1" max="1" width="4.44140625" style="1402" customWidth="1"/>
    <col min="2" max="2" width="55" style="1402" customWidth="1"/>
    <col min="3" max="3" width="15" style="1459" hidden="1" customWidth="1" outlineLevel="1"/>
    <col min="4" max="4" width="15.6640625" style="1459" hidden="1" customWidth="1" outlineLevel="1"/>
    <col min="5" max="5" width="15" style="1952" hidden="1" customWidth="1" outlineLevel="1"/>
    <col min="6" max="6" width="11" style="1952" hidden="1" customWidth="1" outlineLevel="1"/>
    <col min="7" max="7" width="16.6640625" style="1952" hidden="1" customWidth="1" outlineLevel="1" collapsed="1"/>
    <col min="8" max="10" width="16.6640625" style="1952" hidden="1" customWidth="1" outlineLevel="1"/>
    <col min="11" max="11" width="17.88671875" style="1952" hidden="1" customWidth="1" outlineLevel="1"/>
    <col min="12" max="12" width="16.6640625" style="1952" hidden="1" customWidth="1" outlineLevel="1" collapsed="1"/>
    <col min="13" max="15" width="16.6640625" style="1952" hidden="1" customWidth="1" outlineLevel="1"/>
    <col min="16" max="16" width="17.88671875" style="1952" hidden="1" customWidth="1" outlineLevel="1"/>
    <col min="17" max="17" width="16.6640625" style="1952" customWidth="1" collapsed="1"/>
    <col min="18" max="20" width="16.6640625" style="1952" customWidth="1"/>
    <col min="21" max="21" width="17.88671875" style="1952" customWidth="1"/>
    <col min="22" max="26" width="16.6640625" style="1952" customWidth="1"/>
    <col min="27" max="27" width="15.6640625" style="1395" bestFit="1" customWidth="1"/>
    <col min="28" max="28" width="16.6640625" style="1395" bestFit="1" customWidth="1"/>
    <col min="29" max="16384" width="7.44140625" style="1395"/>
  </cols>
  <sheetData>
    <row r="1" spans="1:28" ht="13.8" thickBot="1">
      <c r="C1" s="1952"/>
      <c r="D1" s="1952"/>
      <c r="AA1" s="928"/>
    </row>
    <row r="2" spans="1:28" ht="22.2" customHeight="1" thickBot="1">
      <c r="A2" s="4834" t="s">
        <v>1785</v>
      </c>
      <c r="B2" s="4835"/>
      <c r="C2" s="4835"/>
      <c r="D2" s="4835"/>
      <c r="E2" s="4835"/>
      <c r="F2" s="4836"/>
      <c r="G2" s="4898" t="s">
        <v>1757</v>
      </c>
      <c r="H2" s="4899"/>
      <c r="I2" s="4899"/>
      <c r="J2" s="4899"/>
      <c r="K2" s="4900"/>
      <c r="L2" s="5012">
        <v>45231</v>
      </c>
      <c r="M2" s="5013"/>
      <c r="N2" s="5013"/>
      <c r="O2" s="5013"/>
      <c r="P2" s="5014"/>
      <c r="Q2" s="5018" t="s">
        <v>1823</v>
      </c>
      <c r="R2" s="5019"/>
      <c r="S2" s="5019"/>
      <c r="T2" s="5019"/>
      <c r="U2" s="5020"/>
      <c r="V2" s="4874" t="s">
        <v>469</v>
      </c>
      <c r="W2" s="4875"/>
      <c r="X2" s="4875"/>
      <c r="Y2" s="4875"/>
      <c r="Z2" s="4876"/>
      <c r="AA2" s="928"/>
    </row>
    <row r="3" spans="1:28" ht="14.4" customHeight="1" thickBot="1">
      <c r="A3" s="4834" t="s">
        <v>54</v>
      </c>
      <c r="B3" s="4835"/>
      <c r="C3" s="4835"/>
      <c r="D3" s="4835"/>
      <c r="E3" s="4835"/>
      <c r="F3" s="4836"/>
      <c r="G3" s="4901"/>
      <c r="H3" s="4902"/>
      <c r="I3" s="4902"/>
      <c r="J3" s="4902"/>
      <c r="K3" s="4903"/>
      <c r="L3" s="5015"/>
      <c r="M3" s="5016"/>
      <c r="N3" s="5016"/>
      <c r="O3" s="5016"/>
      <c r="P3" s="5017"/>
      <c r="Q3" s="5021"/>
      <c r="R3" s="5022"/>
      <c r="S3" s="5022"/>
      <c r="T3" s="5022"/>
      <c r="U3" s="5023"/>
      <c r="V3" s="4877"/>
      <c r="W3" s="4878"/>
      <c r="X3" s="4878"/>
      <c r="Y3" s="4878"/>
      <c r="Z3" s="4879"/>
      <c r="AA3" s="928"/>
    </row>
    <row r="4" spans="1:28" ht="31.2" thickBot="1">
      <c r="A4" s="1471"/>
      <c r="B4" s="1474" t="s">
        <v>11</v>
      </c>
      <c r="C4" s="1573" t="s">
        <v>55</v>
      </c>
      <c r="D4" s="1573" t="s">
        <v>18</v>
      </c>
      <c r="E4" s="1574" t="s">
        <v>39</v>
      </c>
      <c r="F4" s="1962" t="s">
        <v>40</v>
      </c>
      <c r="G4" s="1956" t="s">
        <v>55</v>
      </c>
      <c r="H4" s="1956" t="s">
        <v>18</v>
      </c>
      <c r="I4" s="1474" t="s">
        <v>39</v>
      </c>
      <c r="J4" s="1962" t="s">
        <v>40</v>
      </c>
      <c r="K4" s="1474" t="s">
        <v>19</v>
      </c>
      <c r="L4" s="1956" t="s">
        <v>55</v>
      </c>
      <c r="M4" s="1956" t="s">
        <v>18</v>
      </c>
      <c r="N4" s="1474" t="s">
        <v>39</v>
      </c>
      <c r="O4" s="1962" t="s">
        <v>40</v>
      </c>
      <c r="P4" s="1474" t="s">
        <v>19</v>
      </c>
      <c r="Q4" s="1956" t="s">
        <v>55</v>
      </c>
      <c r="R4" s="1956" t="s">
        <v>18</v>
      </c>
      <c r="S4" s="1474" t="s">
        <v>39</v>
      </c>
      <c r="T4" s="1962" t="s">
        <v>40</v>
      </c>
      <c r="U4" s="1474" t="s">
        <v>19</v>
      </c>
      <c r="V4" s="1956" t="s">
        <v>55</v>
      </c>
      <c r="W4" s="1956" t="s">
        <v>18</v>
      </c>
      <c r="X4" s="1474" t="s">
        <v>39</v>
      </c>
      <c r="Y4" s="1962" t="s">
        <v>40</v>
      </c>
      <c r="Z4" s="1474" t="s">
        <v>19</v>
      </c>
      <c r="AA4" s="928"/>
    </row>
    <row r="5" spans="1:28" s="2466" customFormat="1" ht="24.6" customHeight="1" thickBot="1">
      <c r="A5" s="1462"/>
      <c r="B5" s="970" t="s">
        <v>10</v>
      </c>
      <c r="C5" s="1464">
        <f>C6</f>
        <v>0</v>
      </c>
      <c r="D5" s="1464">
        <f>D6</f>
        <v>0</v>
      </c>
      <c r="E5" s="1955">
        <f>E6</f>
        <v>0</v>
      </c>
      <c r="F5" s="1466"/>
      <c r="G5" s="1955">
        <f>SUM(G6:G7)</f>
        <v>122000</v>
      </c>
      <c r="H5" s="1955">
        <f>SUM(H6:H7)</f>
        <v>0</v>
      </c>
      <c r="I5" s="1955">
        <f>SUM(I6:I7)</f>
        <v>122000</v>
      </c>
      <c r="J5" s="1466"/>
      <c r="K5" s="1466"/>
      <c r="L5" s="1955">
        <f>SUM(L6:L7)</f>
        <v>0</v>
      </c>
      <c r="M5" s="1955">
        <f>SUM(M6:M7)</f>
        <v>0</v>
      </c>
      <c r="N5" s="1955">
        <f>SUM(N6:N7)</f>
        <v>0</v>
      </c>
      <c r="O5" s="1466"/>
      <c r="P5" s="1466"/>
      <c r="Q5" s="1955">
        <f>SUM(Q6:Q7)</f>
        <v>0</v>
      </c>
      <c r="R5" s="1955">
        <f>SUM(R6:R7)</f>
        <v>0</v>
      </c>
      <c r="S5" s="1955">
        <f>SUM(S6:S7)</f>
        <v>0</v>
      </c>
      <c r="T5" s="1466"/>
      <c r="U5" s="1466"/>
      <c r="V5" s="1466">
        <f>V6+V7</f>
        <v>122000</v>
      </c>
      <c r="W5" s="1466">
        <f>W6+W7</f>
        <v>0</v>
      </c>
      <c r="X5" s="1466">
        <f>X6+X7</f>
        <v>122000</v>
      </c>
      <c r="Y5" s="1466"/>
      <c r="Z5" s="1466"/>
      <c r="AA5" s="929">
        <v>122000</v>
      </c>
      <c r="AB5" s="929">
        <f>X5-AA5</f>
        <v>0</v>
      </c>
    </row>
    <row r="6" spans="1:28" s="1396" customFormat="1" ht="24.6" customHeight="1" outlineLevel="1">
      <c r="A6" s="1572"/>
      <c r="B6" s="1424" t="s">
        <v>17</v>
      </c>
      <c r="C6" s="1974"/>
      <c r="D6" s="2011"/>
      <c r="E6" s="2012">
        <f>C6+D6</f>
        <v>0</v>
      </c>
      <c r="F6" s="2043"/>
      <c r="G6" s="2051">
        <v>122000</v>
      </c>
      <c r="H6" s="2043"/>
      <c r="I6" s="2012">
        <f>G6+H6</f>
        <v>122000</v>
      </c>
      <c r="J6" s="2043"/>
      <c r="K6" s="2046" t="s">
        <v>1786</v>
      </c>
      <c r="L6" s="2051"/>
      <c r="M6" s="2043"/>
      <c r="N6" s="2012">
        <f>L6+M6</f>
        <v>0</v>
      </c>
      <c r="O6" s="2043"/>
      <c r="P6" s="2046"/>
      <c r="Q6" s="2051"/>
      <c r="R6" s="2043"/>
      <c r="S6" s="2012">
        <f>Q6+R6</f>
        <v>0</v>
      </c>
      <c r="T6" s="2043"/>
      <c r="U6" s="2043"/>
      <c r="V6" s="2043">
        <f>G6+L6+Q6</f>
        <v>122000</v>
      </c>
      <c r="W6" s="2043">
        <f>H6+M6+R6</f>
        <v>0</v>
      </c>
      <c r="X6" s="2012">
        <f>V6+W6</f>
        <v>122000</v>
      </c>
      <c r="Y6" s="2043"/>
      <c r="Z6" s="2043"/>
      <c r="AA6" s="3144"/>
      <c r="AB6" s="3145"/>
    </row>
    <row r="7" spans="1:28" s="1396" customFormat="1" ht="24.6" customHeight="1" outlineLevel="1" collapsed="1" thickBot="1">
      <c r="A7" s="1572"/>
      <c r="B7" s="2586" t="s">
        <v>41</v>
      </c>
      <c r="C7" s="2476"/>
      <c r="D7" s="2477"/>
      <c r="E7" s="2012">
        <f>C7+D7</f>
        <v>0</v>
      </c>
      <c r="F7" s="1905"/>
      <c r="G7" s="2051"/>
      <c r="H7" s="2043"/>
      <c r="I7" s="2012">
        <f>G7+H7</f>
        <v>0</v>
      </c>
      <c r="J7" s="1905"/>
      <c r="K7" s="2055"/>
      <c r="L7" s="2051"/>
      <c r="M7" s="2043"/>
      <c r="N7" s="2012">
        <f>L7+M7</f>
        <v>0</v>
      </c>
      <c r="O7" s="1905"/>
      <c r="P7" s="2055"/>
      <c r="Q7" s="2051"/>
      <c r="R7" s="2043"/>
      <c r="S7" s="2012">
        <f>Q7+R7</f>
        <v>0</v>
      </c>
      <c r="T7" s="1905"/>
      <c r="U7" s="2055"/>
      <c r="V7" s="2043">
        <f>G7+L7+Q7</f>
        <v>0</v>
      </c>
      <c r="W7" s="2043">
        <f>H7+M7+R7</f>
        <v>0</v>
      </c>
      <c r="X7" s="2012">
        <f>V7+W7</f>
        <v>0</v>
      </c>
      <c r="Y7" s="1905"/>
      <c r="Z7" s="1905"/>
      <c r="AA7" s="842"/>
    </row>
    <row r="8" spans="1:28" s="2466" customFormat="1" ht="24.6" customHeight="1" thickBot="1">
      <c r="A8" s="1572"/>
      <c r="B8" s="970" t="s">
        <v>16</v>
      </c>
      <c r="C8" s="1957">
        <f>SUM(C9:C33)</f>
        <v>0</v>
      </c>
      <c r="D8" s="1957">
        <f>SUM(D9:D33)</f>
        <v>0</v>
      </c>
      <c r="E8" s="1484">
        <f>SUM(E9:E33)</f>
        <v>0</v>
      </c>
      <c r="F8" s="1528" t="e">
        <f t="shared" ref="F8:F33" si="0">E8/$E$89</f>
        <v>#DIV/0!</v>
      </c>
      <c r="G8" s="1957">
        <f>SUM(G9:G33)</f>
        <v>54672</v>
      </c>
      <c r="H8" s="1957">
        <f>SUM(H9:H33)</f>
        <v>0</v>
      </c>
      <c r="I8" s="1484">
        <f>SUM(I9:I33)</f>
        <v>54672</v>
      </c>
      <c r="J8" s="1528">
        <f>I8/I$89</f>
        <v>1</v>
      </c>
      <c r="K8" s="1600"/>
      <c r="L8" s="1957">
        <f>SUM(L9:L33)</f>
        <v>0</v>
      </c>
      <c r="M8" s="1957">
        <f>SUM(M9:M33)</f>
        <v>0</v>
      </c>
      <c r="N8" s="1484">
        <f>SUM(N9:N33)</f>
        <v>0</v>
      </c>
      <c r="O8" s="1528" t="e">
        <f>N8/N$89</f>
        <v>#DIV/0!</v>
      </c>
      <c r="P8" s="1600"/>
      <c r="Q8" s="1957">
        <f>SUM(Q9:Q33)</f>
        <v>0</v>
      </c>
      <c r="R8" s="1957">
        <f>SUM(R9:R33)</f>
        <v>0</v>
      </c>
      <c r="S8" s="1484">
        <f>SUM(S9:S33)</f>
        <v>0</v>
      </c>
      <c r="T8" s="1528" t="e">
        <f>S8/S$89</f>
        <v>#DIV/0!</v>
      </c>
      <c r="U8" s="1600"/>
      <c r="V8" s="1957">
        <f>SUM(V9:V33)</f>
        <v>54672</v>
      </c>
      <c r="W8" s="1957">
        <f>SUM(W9:W33)</f>
        <v>0</v>
      </c>
      <c r="X8" s="1484">
        <f>SUM(X9:X33)</f>
        <v>54672</v>
      </c>
      <c r="Y8" s="1528">
        <f>X8/$X$89</f>
        <v>1</v>
      </c>
      <c r="Z8" s="1466"/>
      <c r="AA8" s="929"/>
    </row>
    <row r="9" spans="1:28" s="1396" customFormat="1" ht="24.6" customHeight="1">
      <c r="A9" s="1572"/>
      <c r="B9" s="1424" t="s">
        <v>74</v>
      </c>
      <c r="C9" s="1485"/>
      <c r="D9" s="1486"/>
      <c r="E9" s="2571">
        <f t="shared" ref="E9:E33" si="1">C9+D9</f>
        <v>0</v>
      </c>
      <c r="F9" s="1976" t="e">
        <f t="shared" si="0"/>
        <v>#DIV/0!</v>
      </c>
      <c r="G9" s="1695"/>
      <c r="H9" s="2467"/>
      <c r="I9" s="1561">
        <f>G9+H9*1</f>
        <v>0</v>
      </c>
      <c r="J9" s="1559">
        <f t="shared" ref="J9:J33" si="2">I9/I$89</f>
        <v>0</v>
      </c>
      <c r="K9" s="1580"/>
      <c r="L9" s="1695"/>
      <c r="M9" s="2467"/>
      <c r="N9" s="1561">
        <f>L9+M9*1</f>
        <v>0</v>
      </c>
      <c r="O9" s="1559" t="e">
        <f t="shared" ref="O9:O33" si="3">N9/N$89</f>
        <v>#DIV/0!</v>
      </c>
      <c r="P9" s="1580"/>
      <c r="Q9" s="1695"/>
      <c r="R9" s="2467"/>
      <c r="S9" s="1561">
        <f>Q9+R9*1</f>
        <v>0</v>
      </c>
      <c r="T9" s="1559" t="e">
        <f t="shared" ref="T9:T33" si="4">S9/S$89</f>
        <v>#DIV/0!</v>
      </c>
      <c r="U9" s="1580"/>
      <c r="V9" s="2043">
        <f t="shared" ref="V9:V33" si="5">G9+L9+Q9</f>
        <v>0</v>
      </c>
      <c r="W9" s="2043">
        <f t="shared" ref="W9:W33" si="6">H9+M9+R9</f>
        <v>0</v>
      </c>
      <c r="X9" s="2045">
        <f t="shared" ref="X9:X33" si="7">V9+W9*1</f>
        <v>0</v>
      </c>
      <c r="Y9" s="2138">
        <f t="shared" ref="Y9:Y33" si="8">X9/$X$89</f>
        <v>0</v>
      </c>
      <c r="Z9" s="1434"/>
      <c r="AA9" s="3144"/>
      <c r="AB9" s="3145"/>
    </row>
    <row r="10" spans="1:28" s="1396" customFormat="1" ht="24.6" customHeight="1">
      <c r="A10" s="1572"/>
      <c r="B10" s="1424" t="s">
        <v>72</v>
      </c>
      <c r="C10" s="1485"/>
      <c r="D10" s="1486"/>
      <c r="E10" s="2571">
        <f t="shared" si="1"/>
        <v>0</v>
      </c>
      <c r="F10" s="1976" t="e">
        <f t="shared" si="0"/>
        <v>#DIV/0!</v>
      </c>
      <c r="G10" s="2051"/>
      <c r="H10" s="2043"/>
      <c r="I10" s="2045">
        <f t="shared" ref="I10:I33" si="9">G10+H10*1</f>
        <v>0</v>
      </c>
      <c r="J10" s="2138">
        <f t="shared" si="2"/>
        <v>0</v>
      </c>
      <c r="K10" s="1615"/>
      <c r="L10" s="2051"/>
      <c r="M10" s="2043"/>
      <c r="N10" s="2045">
        <f t="shared" ref="N10:N33" si="10">L10+M10*1</f>
        <v>0</v>
      </c>
      <c r="O10" s="2138" t="e">
        <f t="shared" si="3"/>
        <v>#DIV/0!</v>
      </c>
      <c r="P10" s="1615"/>
      <c r="Q10" s="2051"/>
      <c r="R10" s="2043"/>
      <c r="S10" s="2045">
        <f t="shared" ref="S10:S33" si="11">Q10+R10*1</f>
        <v>0</v>
      </c>
      <c r="T10" s="2138" t="e">
        <f t="shared" si="4"/>
        <v>#DIV/0!</v>
      </c>
      <c r="U10" s="1615"/>
      <c r="V10" s="2043">
        <f t="shared" si="5"/>
        <v>0</v>
      </c>
      <c r="W10" s="2043">
        <f t="shared" si="6"/>
        <v>0</v>
      </c>
      <c r="X10" s="2045">
        <f t="shared" si="7"/>
        <v>0</v>
      </c>
      <c r="Y10" s="2138">
        <f t="shared" si="8"/>
        <v>0</v>
      </c>
      <c r="Z10" s="1434"/>
      <c r="AA10" s="3144"/>
      <c r="AB10" s="3145"/>
    </row>
    <row r="11" spans="1:28" s="1396" customFormat="1" ht="24.6" customHeight="1">
      <c r="A11" s="1572"/>
      <c r="B11" s="1424" t="s">
        <v>69</v>
      </c>
      <c r="C11" s="1485"/>
      <c r="D11" s="1486"/>
      <c r="E11" s="2571">
        <f t="shared" si="1"/>
        <v>0</v>
      </c>
      <c r="F11" s="1976" t="e">
        <f t="shared" si="0"/>
        <v>#DIV/0!</v>
      </c>
      <c r="G11" s="2051"/>
      <c r="H11" s="2043"/>
      <c r="I11" s="2045">
        <f t="shared" si="9"/>
        <v>0</v>
      </c>
      <c r="J11" s="2138">
        <f t="shared" si="2"/>
        <v>0</v>
      </c>
      <c r="K11" s="1615"/>
      <c r="L11" s="2051"/>
      <c r="M11" s="2043"/>
      <c r="N11" s="2045">
        <f t="shared" si="10"/>
        <v>0</v>
      </c>
      <c r="O11" s="2138" t="e">
        <f t="shared" si="3"/>
        <v>#DIV/0!</v>
      </c>
      <c r="P11" s="1615"/>
      <c r="Q11" s="2051"/>
      <c r="R11" s="2043"/>
      <c r="S11" s="2045">
        <f t="shared" si="11"/>
        <v>0</v>
      </c>
      <c r="T11" s="2138" t="e">
        <f t="shared" si="4"/>
        <v>#DIV/0!</v>
      </c>
      <c r="U11" s="1615"/>
      <c r="V11" s="2043">
        <f t="shared" si="5"/>
        <v>0</v>
      </c>
      <c r="W11" s="2043">
        <f t="shared" si="6"/>
        <v>0</v>
      </c>
      <c r="X11" s="2045">
        <f t="shared" si="7"/>
        <v>0</v>
      </c>
      <c r="Y11" s="2138">
        <f t="shared" si="8"/>
        <v>0</v>
      </c>
      <c r="Z11" s="1434"/>
      <c r="AA11" s="3144"/>
      <c r="AB11" s="3145"/>
    </row>
    <row r="12" spans="1:28" s="1396" customFormat="1" ht="24.6" customHeight="1">
      <c r="A12" s="1572"/>
      <c r="B12" s="1424" t="s">
        <v>73</v>
      </c>
      <c r="C12" s="1485"/>
      <c r="D12" s="1486"/>
      <c r="E12" s="2571">
        <f t="shared" si="1"/>
        <v>0</v>
      </c>
      <c r="F12" s="1976" t="e">
        <f t="shared" si="0"/>
        <v>#DIV/0!</v>
      </c>
      <c r="G12" s="2051"/>
      <c r="H12" s="2043"/>
      <c r="I12" s="2045">
        <f t="shared" si="9"/>
        <v>0</v>
      </c>
      <c r="J12" s="2138">
        <f t="shared" si="2"/>
        <v>0</v>
      </c>
      <c r="K12" s="3063"/>
      <c r="L12" s="2051"/>
      <c r="M12" s="2043"/>
      <c r="N12" s="2045">
        <f t="shared" si="10"/>
        <v>0</v>
      </c>
      <c r="O12" s="2138" t="e">
        <f t="shared" si="3"/>
        <v>#DIV/0!</v>
      </c>
      <c r="P12" s="3063"/>
      <c r="Q12" s="2051"/>
      <c r="R12" s="2043"/>
      <c r="S12" s="2045">
        <f t="shared" si="11"/>
        <v>0</v>
      </c>
      <c r="T12" s="2138" t="e">
        <f t="shared" si="4"/>
        <v>#DIV/0!</v>
      </c>
      <c r="U12" s="2048"/>
      <c r="V12" s="2043">
        <f t="shared" si="5"/>
        <v>0</v>
      </c>
      <c r="W12" s="2043">
        <f t="shared" si="6"/>
        <v>0</v>
      </c>
      <c r="X12" s="2045">
        <f t="shared" si="7"/>
        <v>0</v>
      </c>
      <c r="Y12" s="2138">
        <f t="shared" si="8"/>
        <v>0</v>
      </c>
      <c r="Z12" s="1434"/>
      <c r="AA12" s="3144"/>
      <c r="AB12" s="3145"/>
    </row>
    <row r="13" spans="1:28" s="1396" customFormat="1" ht="24.6" customHeight="1">
      <c r="A13" s="1572"/>
      <c r="B13" s="1424" t="s">
        <v>71</v>
      </c>
      <c r="C13" s="1485"/>
      <c r="D13" s="1486"/>
      <c r="E13" s="2571">
        <f t="shared" si="1"/>
        <v>0</v>
      </c>
      <c r="F13" s="1976" t="e">
        <f t="shared" si="0"/>
        <v>#DIV/0!</v>
      </c>
      <c r="G13" s="2051"/>
      <c r="H13" s="2043"/>
      <c r="I13" s="2045">
        <f t="shared" si="9"/>
        <v>0</v>
      </c>
      <c r="J13" s="2138">
        <f t="shared" si="2"/>
        <v>0</v>
      </c>
      <c r="K13" s="2048"/>
      <c r="L13" s="2051"/>
      <c r="M13" s="2043"/>
      <c r="N13" s="2045">
        <f t="shared" si="10"/>
        <v>0</v>
      </c>
      <c r="O13" s="2138" t="e">
        <f t="shared" si="3"/>
        <v>#DIV/0!</v>
      </c>
      <c r="P13" s="2048"/>
      <c r="Q13" s="2051"/>
      <c r="R13" s="2043"/>
      <c r="S13" s="2045">
        <f t="shared" si="11"/>
        <v>0</v>
      </c>
      <c r="T13" s="2138" t="e">
        <f t="shared" si="4"/>
        <v>#DIV/0!</v>
      </c>
      <c r="U13" s="2048"/>
      <c r="V13" s="2043">
        <f t="shared" si="5"/>
        <v>0</v>
      </c>
      <c r="W13" s="2043">
        <f t="shared" si="6"/>
        <v>0</v>
      </c>
      <c r="X13" s="2045">
        <f t="shared" si="7"/>
        <v>0</v>
      </c>
      <c r="Y13" s="2138">
        <f t="shared" si="8"/>
        <v>0</v>
      </c>
      <c r="Z13" s="1434"/>
      <c r="AA13" s="3144"/>
      <c r="AB13" s="3145"/>
    </row>
    <row r="14" spans="1:28" s="1396" customFormat="1" ht="24.6" customHeight="1">
      <c r="A14" s="1572"/>
      <c r="B14" s="1424" t="s">
        <v>70</v>
      </c>
      <c r="C14" s="1485"/>
      <c r="D14" s="1486"/>
      <c r="E14" s="2571">
        <f t="shared" si="1"/>
        <v>0</v>
      </c>
      <c r="F14" s="1976" t="e">
        <f t="shared" si="0"/>
        <v>#DIV/0!</v>
      </c>
      <c r="G14" s="2051"/>
      <c r="H14" s="2043"/>
      <c r="I14" s="2045">
        <f t="shared" si="9"/>
        <v>0</v>
      </c>
      <c r="J14" s="2138">
        <f t="shared" si="2"/>
        <v>0</v>
      </c>
      <c r="K14" s="2048"/>
      <c r="L14" s="2051"/>
      <c r="M14" s="2043"/>
      <c r="N14" s="2045">
        <f t="shared" si="10"/>
        <v>0</v>
      </c>
      <c r="O14" s="2138" t="e">
        <f t="shared" si="3"/>
        <v>#DIV/0!</v>
      </c>
      <c r="P14" s="2048"/>
      <c r="Q14" s="2051"/>
      <c r="R14" s="2043"/>
      <c r="S14" s="2045">
        <f t="shared" si="11"/>
        <v>0</v>
      </c>
      <c r="T14" s="2138" t="e">
        <f t="shared" si="4"/>
        <v>#DIV/0!</v>
      </c>
      <c r="U14" s="2048"/>
      <c r="V14" s="2043">
        <f t="shared" si="5"/>
        <v>0</v>
      </c>
      <c r="W14" s="2043">
        <f t="shared" si="6"/>
        <v>0</v>
      </c>
      <c r="X14" s="2045">
        <f t="shared" si="7"/>
        <v>0</v>
      </c>
      <c r="Y14" s="2138">
        <f t="shared" si="8"/>
        <v>0</v>
      </c>
      <c r="Z14" s="1434"/>
      <c r="AA14" s="3144"/>
      <c r="AB14" s="3145"/>
    </row>
    <row r="15" spans="1:28" s="1396" customFormat="1" ht="24.6" customHeight="1">
      <c r="A15" s="1572"/>
      <c r="B15" s="2557" t="s">
        <v>20</v>
      </c>
      <c r="C15" s="1485"/>
      <c r="D15" s="2558"/>
      <c r="E15" s="2571">
        <f t="shared" si="1"/>
        <v>0</v>
      </c>
      <c r="F15" s="1976" t="e">
        <f t="shared" si="0"/>
        <v>#DIV/0!</v>
      </c>
      <c r="G15" s="2051"/>
      <c r="H15" s="2043"/>
      <c r="I15" s="2045">
        <f t="shared" si="9"/>
        <v>0</v>
      </c>
      <c r="J15" s="2138">
        <f t="shared" si="2"/>
        <v>0</v>
      </c>
      <c r="K15" s="1615"/>
      <c r="L15" s="2051"/>
      <c r="M15" s="2043"/>
      <c r="N15" s="2045">
        <f t="shared" si="10"/>
        <v>0</v>
      </c>
      <c r="O15" s="2138" t="e">
        <f t="shared" si="3"/>
        <v>#DIV/0!</v>
      </c>
      <c r="P15" s="1615"/>
      <c r="Q15" s="2051"/>
      <c r="R15" s="2043"/>
      <c r="S15" s="2045">
        <f t="shared" si="11"/>
        <v>0</v>
      </c>
      <c r="T15" s="2138" t="e">
        <f t="shared" si="4"/>
        <v>#DIV/0!</v>
      </c>
      <c r="U15" s="1615"/>
      <c r="V15" s="2043">
        <f t="shared" si="5"/>
        <v>0</v>
      </c>
      <c r="W15" s="2043">
        <f t="shared" si="6"/>
        <v>0</v>
      </c>
      <c r="X15" s="2045">
        <f t="shared" si="7"/>
        <v>0</v>
      </c>
      <c r="Y15" s="2138">
        <f t="shared" si="8"/>
        <v>0</v>
      </c>
      <c r="Z15" s="1434"/>
      <c r="AA15" s="3144"/>
      <c r="AB15" s="3145"/>
    </row>
    <row r="16" spans="1:28" s="1396" customFormat="1" ht="24.6" customHeight="1">
      <c r="A16" s="1572"/>
      <c r="B16" s="2557" t="s">
        <v>21</v>
      </c>
      <c r="C16" s="1485"/>
      <c r="D16" s="2558"/>
      <c r="E16" s="2571">
        <f t="shared" si="1"/>
        <v>0</v>
      </c>
      <c r="F16" s="1976" t="e">
        <f t="shared" si="0"/>
        <v>#DIV/0!</v>
      </c>
      <c r="G16" s="2051"/>
      <c r="H16" s="2043"/>
      <c r="I16" s="2045">
        <f t="shared" si="9"/>
        <v>0</v>
      </c>
      <c r="J16" s="2138">
        <f t="shared" si="2"/>
        <v>0</v>
      </c>
      <c r="K16" s="2046"/>
      <c r="L16" s="2051"/>
      <c r="M16" s="2043"/>
      <c r="N16" s="2045">
        <f t="shared" si="10"/>
        <v>0</v>
      </c>
      <c r="O16" s="2138" t="e">
        <f t="shared" si="3"/>
        <v>#DIV/0!</v>
      </c>
      <c r="P16" s="2046"/>
      <c r="Q16" s="2051"/>
      <c r="R16" s="2043"/>
      <c r="S16" s="2045">
        <f t="shared" si="11"/>
        <v>0</v>
      </c>
      <c r="T16" s="2138" t="e">
        <f t="shared" si="4"/>
        <v>#DIV/0!</v>
      </c>
      <c r="U16" s="2046"/>
      <c r="V16" s="2043">
        <f t="shared" si="5"/>
        <v>0</v>
      </c>
      <c r="W16" s="2043">
        <f t="shared" si="6"/>
        <v>0</v>
      </c>
      <c r="X16" s="2045">
        <f t="shared" si="7"/>
        <v>0</v>
      </c>
      <c r="Y16" s="2138">
        <f t="shared" si="8"/>
        <v>0</v>
      </c>
      <c r="Z16" s="1434"/>
      <c r="AA16" s="3144"/>
      <c r="AB16" s="3145"/>
    </row>
    <row r="17" spans="1:29" s="1396" customFormat="1" ht="24.6" customHeight="1">
      <c r="A17" s="1572"/>
      <c r="B17" s="2557" t="s">
        <v>22</v>
      </c>
      <c r="C17" s="1485"/>
      <c r="D17" s="2558"/>
      <c r="E17" s="2571">
        <f t="shared" si="1"/>
        <v>0</v>
      </c>
      <c r="F17" s="1976" t="e">
        <f t="shared" si="0"/>
        <v>#DIV/0!</v>
      </c>
      <c r="G17" s="2051"/>
      <c r="H17" s="2043"/>
      <c r="I17" s="2045">
        <f t="shared" si="9"/>
        <v>0</v>
      </c>
      <c r="J17" s="2138">
        <f t="shared" si="2"/>
        <v>0</v>
      </c>
      <c r="K17" s="2048"/>
      <c r="L17" s="2051"/>
      <c r="M17" s="2043"/>
      <c r="N17" s="2045">
        <f t="shared" si="10"/>
        <v>0</v>
      </c>
      <c r="O17" s="2138" t="e">
        <f t="shared" si="3"/>
        <v>#DIV/0!</v>
      </c>
      <c r="P17" s="2048"/>
      <c r="Q17" s="2051"/>
      <c r="R17" s="2043"/>
      <c r="S17" s="2045">
        <f t="shared" si="11"/>
        <v>0</v>
      </c>
      <c r="T17" s="2138" t="e">
        <f t="shared" si="4"/>
        <v>#DIV/0!</v>
      </c>
      <c r="U17" s="2048"/>
      <c r="V17" s="2043">
        <f t="shared" si="5"/>
        <v>0</v>
      </c>
      <c r="W17" s="2043">
        <f t="shared" si="6"/>
        <v>0</v>
      </c>
      <c r="X17" s="2045">
        <f t="shared" si="7"/>
        <v>0</v>
      </c>
      <c r="Y17" s="2138">
        <f t="shared" si="8"/>
        <v>0</v>
      </c>
      <c r="Z17" s="1434"/>
      <c r="AA17" s="842"/>
    </row>
    <row r="18" spans="1:29" s="1396" customFormat="1" ht="24.6" customHeight="1">
      <c r="A18" s="1572"/>
      <c r="B18" s="2557" t="s">
        <v>0</v>
      </c>
      <c r="C18" s="1485"/>
      <c r="D18" s="2558"/>
      <c r="E18" s="2571">
        <f t="shared" si="1"/>
        <v>0</v>
      </c>
      <c r="F18" s="1976" t="e">
        <f t="shared" si="0"/>
        <v>#DIV/0!</v>
      </c>
      <c r="G18" s="2051">
        <f>54672</f>
        <v>54672</v>
      </c>
      <c r="H18" s="2043"/>
      <c r="I18" s="2045">
        <f t="shared" si="9"/>
        <v>54672</v>
      </c>
      <c r="J18" s="2138">
        <f t="shared" si="2"/>
        <v>1</v>
      </c>
      <c r="K18" s="2046" t="s">
        <v>1794</v>
      </c>
      <c r="L18" s="2051"/>
      <c r="M18" s="2043"/>
      <c r="N18" s="2045">
        <f t="shared" si="10"/>
        <v>0</v>
      </c>
      <c r="O18" s="2138" t="e">
        <f t="shared" si="3"/>
        <v>#DIV/0!</v>
      </c>
      <c r="P18" s="2046"/>
      <c r="Q18" s="1618"/>
      <c r="R18" s="2043"/>
      <c r="S18" s="2045">
        <f t="shared" si="11"/>
        <v>0</v>
      </c>
      <c r="T18" s="2138" t="e">
        <f t="shared" si="4"/>
        <v>#DIV/0!</v>
      </c>
      <c r="U18" s="2055"/>
      <c r="V18" s="2043">
        <f t="shared" si="5"/>
        <v>54672</v>
      </c>
      <c r="W18" s="2043">
        <f t="shared" si="6"/>
        <v>0</v>
      </c>
      <c r="X18" s="2045">
        <f t="shared" si="7"/>
        <v>54672</v>
      </c>
      <c r="Y18" s="2138">
        <f t="shared" si="8"/>
        <v>1</v>
      </c>
      <c r="Z18" s="1434"/>
      <c r="AA18" s="3144">
        <v>54672</v>
      </c>
      <c r="AB18" s="3145">
        <f>AA18-X18</f>
        <v>0</v>
      </c>
    </row>
    <row r="19" spans="1:29" s="1396" customFormat="1" ht="24.6" customHeight="1">
      <c r="A19" s="1572"/>
      <c r="B19" s="2557" t="s">
        <v>53</v>
      </c>
      <c r="C19" s="2139"/>
      <c r="D19" s="2558"/>
      <c r="E19" s="2571">
        <f t="shared" si="1"/>
        <v>0</v>
      </c>
      <c r="F19" s="1976" t="e">
        <f t="shared" si="0"/>
        <v>#DIV/0!</v>
      </c>
      <c r="G19" s="2051"/>
      <c r="H19" s="2043"/>
      <c r="I19" s="2045">
        <f t="shared" si="9"/>
        <v>0</v>
      </c>
      <c r="J19" s="2138">
        <f t="shared" si="2"/>
        <v>0</v>
      </c>
      <c r="K19" s="2048"/>
      <c r="L19" s="2051"/>
      <c r="M19" s="2043"/>
      <c r="N19" s="2045">
        <f t="shared" si="10"/>
        <v>0</v>
      </c>
      <c r="O19" s="2138" t="e">
        <f t="shared" si="3"/>
        <v>#DIV/0!</v>
      </c>
      <c r="P19" s="2048"/>
      <c r="Q19" s="2051"/>
      <c r="R19" s="2043"/>
      <c r="S19" s="2045">
        <f t="shared" si="11"/>
        <v>0</v>
      </c>
      <c r="T19" s="2138" t="e">
        <f t="shared" si="4"/>
        <v>#DIV/0!</v>
      </c>
      <c r="U19" s="2048"/>
      <c r="V19" s="2043">
        <f t="shared" si="5"/>
        <v>0</v>
      </c>
      <c r="W19" s="2043">
        <f t="shared" si="6"/>
        <v>0</v>
      </c>
      <c r="X19" s="2045">
        <f t="shared" si="7"/>
        <v>0</v>
      </c>
      <c r="Y19" s="2138">
        <f t="shared" si="8"/>
        <v>0</v>
      </c>
      <c r="Z19" s="1434"/>
      <c r="AA19" s="3144"/>
      <c r="AB19" s="3145"/>
    </row>
    <row r="20" spans="1:29" s="1396" customFormat="1" ht="24.6" customHeight="1">
      <c r="A20" s="1572"/>
      <c r="B20" s="2557" t="s">
        <v>57</v>
      </c>
      <c r="C20" s="2139"/>
      <c r="D20" s="2558"/>
      <c r="E20" s="2571">
        <f t="shared" si="1"/>
        <v>0</v>
      </c>
      <c r="F20" s="1976" t="e">
        <f t="shared" si="0"/>
        <v>#DIV/0!</v>
      </c>
      <c r="G20" s="2051"/>
      <c r="H20" s="2043"/>
      <c r="I20" s="2045">
        <f t="shared" si="9"/>
        <v>0</v>
      </c>
      <c r="J20" s="2138">
        <f t="shared" si="2"/>
        <v>0</v>
      </c>
      <c r="K20" s="2046"/>
      <c r="L20" s="2051"/>
      <c r="M20" s="2043"/>
      <c r="N20" s="2045">
        <f t="shared" si="10"/>
        <v>0</v>
      </c>
      <c r="O20" s="2138" t="e">
        <f t="shared" si="3"/>
        <v>#DIV/0!</v>
      </c>
      <c r="P20" s="2046"/>
      <c r="Q20" s="2051"/>
      <c r="R20" s="2043"/>
      <c r="S20" s="2045">
        <f t="shared" si="11"/>
        <v>0</v>
      </c>
      <c r="T20" s="2138" t="e">
        <f t="shared" si="4"/>
        <v>#DIV/0!</v>
      </c>
      <c r="U20" s="2048"/>
      <c r="V20" s="2043">
        <f t="shared" si="5"/>
        <v>0</v>
      </c>
      <c r="W20" s="2043">
        <f t="shared" si="6"/>
        <v>0</v>
      </c>
      <c r="X20" s="2045">
        <f t="shared" si="7"/>
        <v>0</v>
      </c>
      <c r="Y20" s="2138">
        <f t="shared" si="8"/>
        <v>0</v>
      </c>
      <c r="Z20" s="1434"/>
      <c r="AA20" s="3144"/>
      <c r="AB20" s="3145"/>
    </row>
    <row r="21" spans="1:29" s="1396" customFormat="1" ht="24.6" customHeight="1">
      <c r="A21" s="1572"/>
      <c r="B21" s="2557" t="s">
        <v>58</v>
      </c>
      <c r="C21" s="2139"/>
      <c r="D21" s="2558"/>
      <c r="E21" s="2571">
        <f t="shared" si="1"/>
        <v>0</v>
      </c>
      <c r="F21" s="1976" t="e">
        <f t="shared" si="0"/>
        <v>#DIV/0!</v>
      </c>
      <c r="G21" s="2051"/>
      <c r="H21" s="2043"/>
      <c r="I21" s="2045">
        <f t="shared" si="9"/>
        <v>0</v>
      </c>
      <c r="J21" s="2138">
        <f t="shared" si="2"/>
        <v>0</v>
      </c>
      <c r="K21" s="2046"/>
      <c r="L21" s="2051"/>
      <c r="M21" s="2043"/>
      <c r="N21" s="2045">
        <f t="shared" si="10"/>
        <v>0</v>
      </c>
      <c r="O21" s="2138" t="e">
        <f t="shared" si="3"/>
        <v>#DIV/0!</v>
      </c>
      <c r="P21" s="2046"/>
      <c r="Q21" s="2051"/>
      <c r="R21" s="2043"/>
      <c r="S21" s="2045">
        <f t="shared" si="11"/>
        <v>0</v>
      </c>
      <c r="T21" s="2138" t="e">
        <f t="shared" si="4"/>
        <v>#DIV/0!</v>
      </c>
      <c r="U21" s="2048"/>
      <c r="V21" s="2043">
        <f t="shared" si="5"/>
        <v>0</v>
      </c>
      <c r="W21" s="2043">
        <f t="shared" si="6"/>
        <v>0</v>
      </c>
      <c r="X21" s="2045">
        <f t="shared" si="7"/>
        <v>0</v>
      </c>
      <c r="Y21" s="2138">
        <f t="shared" si="8"/>
        <v>0</v>
      </c>
      <c r="Z21" s="1434"/>
      <c r="AA21" s="3144"/>
      <c r="AB21" s="3145"/>
      <c r="AC21" s="3146"/>
    </row>
    <row r="22" spans="1:29" s="1396" customFormat="1" ht="24.6" customHeight="1">
      <c r="A22" s="1572"/>
      <c r="B22" s="2557" t="s">
        <v>621</v>
      </c>
      <c r="C22" s="2139"/>
      <c r="D22" s="2558"/>
      <c r="E22" s="2571">
        <f t="shared" si="1"/>
        <v>0</v>
      </c>
      <c r="F22" s="1976" t="e">
        <f t="shared" si="0"/>
        <v>#DIV/0!</v>
      </c>
      <c r="G22" s="2051"/>
      <c r="H22" s="2043"/>
      <c r="I22" s="2045">
        <f t="shared" si="9"/>
        <v>0</v>
      </c>
      <c r="J22" s="2138">
        <f t="shared" si="2"/>
        <v>0</v>
      </c>
      <c r="K22" s="2046"/>
      <c r="L22" s="2051"/>
      <c r="M22" s="2043"/>
      <c r="N22" s="2045">
        <f t="shared" si="10"/>
        <v>0</v>
      </c>
      <c r="O22" s="2138" t="e">
        <f t="shared" si="3"/>
        <v>#DIV/0!</v>
      </c>
      <c r="P22" s="2046"/>
      <c r="Q22" s="2051"/>
      <c r="R22" s="2043"/>
      <c r="S22" s="2045">
        <f t="shared" si="11"/>
        <v>0</v>
      </c>
      <c r="T22" s="2138" t="e">
        <f t="shared" si="4"/>
        <v>#DIV/0!</v>
      </c>
      <c r="U22" s="2048"/>
      <c r="V22" s="2043">
        <f t="shared" si="5"/>
        <v>0</v>
      </c>
      <c r="W22" s="2043">
        <f t="shared" si="6"/>
        <v>0</v>
      </c>
      <c r="X22" s="2045">
        <f t="shared" si="7"/>
        <v>0</v>
      </c>
      <c r="Y22" s="2138">
        <f t="shared" si="8"/>
        <v>0</v>
      </c>
      <c r="Z22" s="1434"/>
      <c r="AA22" s="3144"/>
      <c r="AB22" s="3145"/>
    </row>
    <row r="23" spans="1:29" s="1396" customFormat="1" ht="24.6" customHeight="1">
      <c r="A23" s="1572"/>
      <c r="B23" s="2557" t="s">
        <v>630</v>
      </c>
      <c r="C23" s="2139"/>
      <c r="D23" s="2558"/>
      <c r="E23" s="2571">
        <f t="shared" si="1"/>
        <v>0</v>
      </c>
      <c r="F23" s="1976" t="e">
        <f t="shared" si="0"/>
        <v>#DIV/0!</v>
      </c>
      <c r="G23" s="2051"/>
      <c r="H23" s="2043"/>
      <c r="I23" s="2045">
        <f t="shared" si="9"/>
        <v>0</v>
      </c>
      <c r="J23" s="2138">
        <f t="shared" si="2"/>
        <v>0</v>
      </c>
      <c r="K23" s="2048"/>
      <c r="L23" s="2051"/>
      <c r="M23" s="2043"/>
      <c r="N23" s="2045">
        <f t="shared" si="10"/>
        <v>0</v>
      </c>
      <c r="O23" s="2138" t="e">
        <f t="shared" si="3"/>
        <v>#DIV/0!</v>
      </c>
      <c r="P23" s="2048"/>
      <c r="Q23" s="2051"/>
      <c r="R23" s="2043"/>
      <c r="S23" s="2045">
        <f t="shared" si="11"/>
        <v>0</v>
      </c>
      <c r="T23" s="2138" t="e">
        <f t="shared" si="4"/>
        <v>#DIV/0!</v>
      </c>
      <c r="U23" s="2048"/>
      <c r="V23" s="2043">
        <f t="shared" si="5"/>
        <v>0</v>
      </c>
      <c r="W23" s="2043">
        <f t="shared" si="6"/>
        <v>0</v>
      </c>
      <c r="X23" s="2045">
        <f t="shared" si="7"/>
        <v>0</v>
      </c>
      <c r="Y23" s="2138">
        <f t="shared" si="8"/>
        <v>0</v>
      </c>
      <c r="Z23" s="1434"/>
      <c r="AA23" s="3144"/>
      <c r="AB23" s="3145"/>
    </row>
    <row r="24" spans="1:29" s="1396" customFormat="1" ht="24.6" customHeight="1">
      <c r="A24" s="1572"/>
      <c r="B24" s="2557" t="s">
        <v>23</v>
      </c>
      <c r="C24" s="2139"/>
      <c r="D24" s="2558"/>
      <c r="E24" s="2571">
        <f t="shared" si="1"/>
        <v>0</v>
      </c>
      <c r="F24" s="1976" t="e">
        <f t="shared" si="0"/>
        <v>#DIV/0!</v>
      </c>
      <c r="G24" s="2051"/>
      <c r="H24" s="2043"/>
      <c r="I24" s="2045">
        <f t="shared" si="9"/>
        <v>0</v>
      </c>
      <c r="J24" s="2138">
        <f t="shared" si="2"/>
        <v>0</v>
      </c>
      <c r="K24" s="2046"/>
      <c r="L24" s="2051"/>
      <c r="M24" s="2043"/>
      <c r="N24" s="2045">
        <f t="shared" si="10"/>
        <v>0</v>
      </c>
      <c r="O24" s="2138" t="e">
        <f t="shared" si="3"/>
        <v>#DIV/0!</v>
      </c>
      <c r="P24" s="2046"/>
      <c r="Q24" s="2051"/>
      <c r="R24" s="2043"/>
      <c r="S24" s="2045">
        <f t="shared" si="11"/>
        <v>0</v>
      </c>
      <c r="T24" s="2138" t="e">
        <f t="shared" si="4"/>
        <v>#DIV/0!</v>
      </c>
      <c r="U24" s="2046"/>
      <c r="V24" s="2043">
        <f t="shared" si="5"/>
        <v>0</v>
      </c>
      <c r="W24" s="2043">
        <f t="shared" si="6"/>
        <v>0</v>
      </c>
      <c r="X24" s="2045">
        <f t="shared" si="7"/>
        <v>0</v>
      </c>
      <c r="Y24" s="2138">
        <f t="shared" si="8"/>
        <v>0</v>
      </c>
      <c r="Z24" s="1434"/>
      <c r="AA24" s="3144"/>
      <c r="AB24" s="3145"/>
    </row>
    <row r="25" spans="1:29" s="1396" customFormat="1" ht="24.6" customHeight="1">
      <c r="A25" s="1572"/>
      <c r="B25" s="2557" t="s">
        <v>24</v>
      </c>
      <c r="C25" s="2139"/>
      <c r="D25" s="2558"/>
      <c r="E25" s="2571">
        <f t="shared" si="1"/>
        <v>0</v>
      </c>
      <c r="F25" s="1976" t="e">
        <f t="shared" si="0"/>
        <v>#DIV/0!</v>
      </c>
      <c r="G25" s="2051"/>
      <c r="H25" s="2043"/>
      <c r="I25" s="2045">
        <f t="shared" si="9"/>
        <v>0</v>
      </c>
      <c r="J25" s="2138">
        <f t="shared" si="2"/>
        <v>0</v>
      </c>
      <c r="K25" s="2046"/>
      <c r="L25" s="2051"/>
      <c r="M25" s="2043"/>
      <c r="N25" s="2045">
        <f t="shared" si="10"/>
        <v>0</v>
      </c>
      <c r="O25" s="2138" t="e">
        <f t="shared" si="3"/>
        <v>#DIV/0!</v>
      </c>
      <c r="P25" s="2046"/>
      <c r="Q25" s="2051"/>
      <c r="R25" s="2043"/>
      <c r="S25" s="2045">
        <f t="shared" si="11"/>
        <v>0</v>
      </c>
      <c r="T25" s="2138" t="e">
        <f t="shared" si="4"/>
        <v>#DIV/0!</v>
      </c>
      <c r="U25" s="2046"/>
      <c r="V25" s="2043">
        <f t="shared" si="5"/>
        <v>0</v>
      </c>
      <c r="W25" s="2043">
        <f t="shared" si="6"/>
        <v>0</v>
      </c>
      <c r="X25" s="2045">
        <f t="shared" si="7"/>
        <v>0</v>
      </c>
      <c r="Y25" s="2138">
        <f t="shared" si="8"/>
        <v>0</v>
      </c>
      <c r="Z25" s="1434"/>
      <c r="AA25" s="3144"/>
      <c r="AB25" s="3145"/>
    </row>
    <row r="26" spans="1:29" s="1396" customFormat="1" ht="24.6" customHeight="1">
      <c r="A26" s="1572"/>
      <c r="B26" s="2557" t="s">
        <v>45</v>
      </c>
      <c r="C26" s="2139"/>
      <c r="D26" s="2558"/>
      <c r="E26" s="2571">
        <f t="shared" si="1"/>
        <v>0</v>
      </c>
      <c r="F26" s="1976" t="e">
        <f t="shared" si="0"/>
        <v>#DIV/0!</v>
      </c>
      <c r="G26" s="2051"/>
      <c r="H26" s="2043"/>
      <c r="I26" s="2045">
        <f t="shared" si="9"/>
        <v>0</v>
      </c>
      <c r="J26" s="2138">
        <f t="shared" si="2"/>
        <v>0</v>
      </c>
      <c r="K26" s="2048"/>
      <c r="L26" s="2051"/>
      <c r="M26" s="2043"/>
      <c r="N26" s="2045">
        <f t="shared" si="10"/>
        <v>0</v>
      </c>
      <c r="O26" s="2138" t="e">
        <f t="shared" si="3"/>
        <v>#DIV/0!</v>
      </c>
      <c r="P26" s="2048"/>
      <c r="Q26" s="2051"/>
      <c r="R26" s="2043"/>
      <c r="S26" s="2045">
        <f t="shared" si="11"/>
        <v>0</v>
      </c>
      <c r="T26" s="2138" t="e">
        <f t="shared" si="4"/>
        <v>#DIV/0!</v>
      </c>
      <c r="U26" s="2048"/>
      <c r="V26" s="2043">
        <f t="shared" si="5"/>
        <v>0</v>
      </c>
      <c r="W26" s="2043">
        <f t="shared" si="6"/>
        <v>0</v>
      </c>
      <c r="X26" s="2045">
        <f t="shared" si="7"/>
        <v>0</v>
      </c>
      <c r="Y26" s="2138">
        <f t="shared" si="8"/>
        <v>0</v>
      </c>
      <c r="Z26" s="1434"/>
      <c r="AA26" s="3144"/>
      <c r="AB26" s="3145"/>
    </row>
    <row r="27" spans="1:29" s="1396" customFormat="1" ht="24.6" customHeight="1">
      <c r="A27" s="1572"/>
      <c r="B27" s="2557" t="s">
        <v>25</v>
      </c>
      <c r="C27" s="2139"/>
      <c r="D27" s="2558"/>
      <c r="E27" s="2571">
        <f t="shared" si="1"/>
        <v>0</v>
      </c>
      <c r="F27" s="1976" t="e">
        <f t="shared" si="0"/>
        <v>#DIV/0!</v>
      </c>
      <c r="G27" s="2051"/>
      <c r="H27" s="2043"/>
      <c r="I27" s="2045">
        <f t="shared" si="9"/>
        <v>0</v>
      </c>
      <c r="J27" s="2138">
        <f t="shared" si="2"/>
        <v>0</v>
      </c>
      <c r="K27" s="2046"/>
      <c r="L27" s="2051"/>
      <c r="M27" s="2043"/>
      <c r="N27" s="2045">
        <f t="shared" si="10"/>
        <v>0</v>
      </c>
      <c r="O27" s="2138" t="e">
        <f t="shared" si="3"/>
        <v>#DIV/0!</v>
      </c>
      <c r="P27" s="2046"/>
      <c r="Q27" s="2051"/>
      <c r="R27" s="2043"/>
      <c r="S27" s="2045">
        <f t="shared" si="11"/>
        <v>0</v>
      </c>
      <c r="T27" s="2138" t="e">
        <f t="shared" si="4"/>
        <v>#DIV/0!</v>
      </c>
      <c r="U27" s="2046"/>
      <c r="V27" s="2043">
        <f t="shared" si="5"/>
        <v>0</v>
      </c>
      <c r="W27" s="2043">
        <f t="shared" si="6"/>
        <v>0</v>
      </c>
      <c r="X27" s="2045">
        <f t="shared" si="7"/>
        <v>0</v>
      </c>
      <c r="Y27" s="2138">
        <f t="shared" si="8"/>
        <v>0</v>
      </c>
      <c r="Z27" s="1434"/>
      <c r="AA27" s="842"/>
    </row>
    <row r="28" spans="1:29" s="1396" customFormat="1" ht="24.6" customHeight="1">
      <c r="A28" s="1572"/>
      <c r="B28" s="2557" t="s">
        <v>52</v>
      </c>
      <c r="C28" s="2139"/>
      <c r="D28" s="2558"/>
      <c r="E28" s="2571">
        <f t="shared" si="1"/>
        <v>0</v>
      </c>
      <c r="F28" s="1976" t="e">
        <f t="shared" si="0"/>
        <v>#DIV/0!</v>
      </c>
      <c r="G28" s="2051"/>
      <c r="H28" s="2043"/>
      <c r="I28" s="2045">
        <f t="shared" si="9"/>
        <v>0</v>
      </c>
      <c r="J28" s="2138">
        <f t="shared" si="2"/>
        <v>0</v>
      </c>
      <c r="K28" s="2046"/>
      <c r="L28" s="2051"/>
      <c r="M28" s="2043"/>
      <c r="N28" s="2045">
        <f t="shared" si="10"/>
        <v>0</v>
      </c>
      <c r="O28" s="2138" t="e">
        <f t="shared" si="3"/>
        <v>#DIV/0!</v>
      </c>
      <c r="P28" s="2046"/>
      <c r="Q28" s="2051"/>
      <c r="R28" s="2043"/>
      <c r="S28" s="2045">
        <f t="shared" si="11"/>
        <v>0</v>
      </c>
      <c r="T28" s="2138" t="e">
        <f t="shared" si="4"/>
        <v>#DIV/0!</v>
      </c>
      <c r="U28" s="2046"/>
      <c r="V28" s="2043">
        <f t="shared" si="5"/>
        <v>0</v>
      </c>
      <c r="W28" s="2043">
        <f t="shared" si="6"/>
        <v>0</v>
      </c>
      <c r="X28" s="2045">
        <f>V28+W28*1</f>
        <v>0</v>
      </c>
      <c r="Y28" s="2138">
        <f t="shared" si="8"/>
        <v>0</v>
      </c>
      <c r="Z28" s="1434"/>
      <c r="AA28" s="1665"/>
    </row>
    <row r="29" spans="1:29" s="1396" customFormat="1" ht="24.6" customHeight="1">
      <c r="A29" s="1572"/>
      <c r="B29" s="2557" t="s">
        <v>31</v>
      </c>
      <c r="C29" s="2139"/>
      <c r="D29" s="2558"/>
      <c r="E29" s="2571">
        <f t="shared" si="1"/>
        <v>0</v>
      </c>
      <c r="F29" s="2138" t="e">
        <f t="shared" si="0"/>
        <v>#DIV/0!</v>
      </c>
      <c r="G29" s="2051"/>
      <c r="H29" s="2043"/>
      <c r="I29" s="2045">
        <f t="shared" si="9"/>
        <v>0</v>
      </c>
      <c r="J29" s="2138">
        <f t="shared" si="2"/>
        <v>0</v>
      </c>
      <c r="K29" s="2046"/>
      <c r="L29" s="2051"/>
      <c r="M29" s="2043"/>
      <c r="N29" s="2045">
        <f t="shared" si="10"/>
        <v>0</v>
      </c>
      <c r="O29" s="2138" t="e">
        <f t="shared" si="3"/>
        <v>#DIV/0!</v>
      </c>
      <c r="P29" s="2046"/>
      <c r="Q29" s="2051"/>
      <c r="R29" s="2043"/>
      <c r="S29" s="2045">
        <f t="shared" si="11"/>
        <v>0</v>
      </c>
      <c r="T29" s="2138" t="e">
        <f t="shared" si="4"/>
        <v>#DIV/0!</v>
      </c>
      <c r="U29" s="2046"/>
      <c r="V29" s="2043">
        <f t="shared" si="5"/>
        <v>0</v>
      </c>
      <c r="W29" s="2043">
        <f t="shared" si="6"/>
        <v>0</v>
      </c>
      <c r="X29" s="2045">
        <f t="shared" si="7"/>
        <v>0</v>
      </c>
      <c r="Y29" s="2138">
        <f t="shared" si="8"/>
        <v>0</v>
      </c>
      <c r="Z29" s="2140"/>
    </row>
    <row r="30" spans="1:29" s="1396" customFormat="1" ht="13.8">
      <c r="A30" s="1572"/>
      <c r="B30" s="2557" t="s">
        <v>62</v>
      </c>
      <c r="C30" s="2139"/>
      <c r="D30" s="2558"/>
      <c r="E30" s="2571">
        <f t="shared" si="1"/>
        <v>0</v>
      </c>
      <c r="F30" s="2138" t="e">
        <f t="shared" si="0"/>
        <v>#DIV/0!</v>
      </c>
      <c r="G30" s="2051"/>
      <c r="H30" s="2043"/>
      <c r="I30" s="2045">
        <f t="shared" si="9"/>
        <v>0</v>
      </c>
      <c r="J30" s="2138">
        <f t="shared" si="2"/>
        <v>0</v>
      </c>
      <c r="K30" s="2046"/>
      <c r="L30" s="2051"/>
      <c r="M30" s="2043"/>
      <c r="N30" s="2045">
        <f t="shared" si="10"/>
        <v>0</v>
      </c>
      <c r="O30" s="2138" t="e">
        <f t="shared" si="3"/>
        <v>#DIV/0!</v>
      </c>
      <c r="P30" s="2046"/>
      <c r="Q30" s="2051"/>
      <c r="R30" s="2043"/>
      <c r="S30" s="2045">
        <f t="shared" si="11"/>
        <v>0</v>
      </c>
      <c r="T30" s="2138" t="e">
        <f t="shared" si="4"/>
        <v>#DIV/0!</v>
      </c>
      <c r="U30" s="2046"/>
      <c r="V30" s="2043">
        <f t="shared" si="5"/>
        <v>0</v>
      </c>
      <c r="W30" s="2043">
        <f t="shared" si="6"/>
        <v>0</v>
      </c>
      <c r="X30" s="2045">
        <f t="shared" si="7"/>
        <v>0</v>
      </c>
      <c r="Y30" s="2138">
        <f t="shared" si="8"/>
        <v>0</v>
      </c>
      <c r="Z30" s="2140"/>
    </row>
    <row r="31" spans="1:29" s="1396" customFormat="1" ht="24.6" customHeight="1">
      <c r="A31" s="1572"/>
      <c r="B31" s="2557" t="s">
        <v>34</v>
      </c>
      <c r="C31" s="2139"/>
      <c r="D31" s="2558"/>
      <c r="E31" s="2571">
        <f t="shared" si="1"/>
        <v>0</v>
      </c>
      <c r="F31" s="2138" t="e">
        <f t="shared" si="0"/>
        <v>#DIV/0!</v>
      </c>
      <c r="G31" s="2051"/>
      <c r="H31" s="2043"/>
      <c r="I31" s="2045">
        <f t="shared" si="9"/>
        <v>0</v>
      </c>
      <c r="J31" s="2138">
        <f t="shared" si="2"/>
        <v>0</v>
      </c>
      <c r="K31" s="2046"/>
      <c r="L31" s="2051"/>
      <c r="M31" s="2043"/>
      <c r="N31" s="2045">
        <f t="shared" si="10"/>
        <v>0</v>
      </c>
      <c r="O31" s="2138" t="e">
        <f t="shared" si="3"/>
        <v>#DIV/0!</v>
      </c>
      <c r="P31" s="2046"/>
      <c r="Q31" s="2051"/>
      <c r="R31" s="2043"/>
      <c r="S31" s="2045">
        <f t="shared" si="11"/>
        <v>0</v>
      </c>
      <c r="T31" s="2138" t="e">
        <f t="shared" si="4"/>
        <v>#DIV/0!</v>
      </c>
      <c r="U31" s="2046"/>
      <c r="V31" s="2043">
        <f t="shared" si="5"/>
        <v>0</v>
      </c>
      <c r="W31" s="2043">
        <f t="shared" si="6"/>
        <v>0</v>
      </c>
      <c r="X31" s="2045">
        <f t="shared" si="7"/>
        <v>0</v>
      </c>
      <c r="Y31" s="2138">
        <f t="shared" si="8"/>
        <v>0</v>
      </c>
      <c r="Z31" s="2140"/>
    </row>
    <row r="32" spans="1:29" s="1396" customFormat="1" ht="24.6" customHeight="1">
      <c r="A32" s="1572"/>
      <c r="B32" s="2561" t="s">
        <v>2</v>
      </c>
      <c r="C32" s="2141"/>
      <c r="D32" s="2479"/>
      <c r="E32" s="2571">
        <f t="shared" si="1"/>
        <v>0</v>
      </c>
      <c r="F32" s="2138" t="e">
        <f t="shared" si="0"/>
        <v>#DIV/0!</v>
      </c>
      <c r="G32" s="2051"/>
      <c r="H32" s="2043"/>
      <c r="I32" s="2045">
        <f t="shared" si="9"/>
        <v>0</v>
      </c>
      <c r="J32" s="2138">
        <f t="shared" si="2"/>
        <v>0</v>
      </c>
      <c r="K32" s="2046"/>
      <c r="L32" s="2051"/>
      <c r="M32" s="2043"/>
      <c r="N32" s="2045">
        <f t="shared" si="10"/>
        <v>0</v>
      </c>
      <c r="O32" s="2138" t="e">
        <f t="shared" si="3"/>
        <v>#DIV/0!</v>
      </c>
      <c r="P32" s="2046"/>
      <c r="Q32" s="2051"/>
      <c r="R32" s="2043"/>
      <c r="S32" s="2045">
        <f t="shared" si="11"/>
        <v>0</v>
      </c>
      <c r="T32" s="2138" t="e">
        <f t="shared" si="4"/>
        <v>#DIV/0!</v>
      </c>
      <c r="U32" s="2046"/>
      <c r="V32" s="2043">
        <f t="shared" si="5"/>
        <v>0</v>
      </c>
      <c r="W32" s="2043">
        <f t="shared" si="6"/>
        <v>0</v>
      </c>
      <c r="X32" s="2045">
        <f t="shared" si="7"/>
        <v>0</v>
      </c>
      <c r="Y32" s="2138">
        <f t="shared" si="8"/>
        <v>0</v>
      </c>
      <c r="Z32" s="2140"/>
      <c r="AB32" s="933"/>
    </row>
    <row r="33" spans="1:26" s="1396" customFormat="1" ht="24.6" customHeight="1" thickBot="1">
      <c r="A33" s="1572"/>
      <c r="B33" s="2562" t="s">
        <v>75</v>
      </c>
      <c r="C33" s="2144"/>
      <c r="D33" s="2563"/>
      <c r="E33" s="3192">
        <f t="shared" si="1"/>
        <v>0</v>
      </c>
      <c r="F33" s="2503" t="e">
        <f t="shared" si="0"/>
        <v>#DIV/0!</v>
      </c>
      <c r="G33" s="2028"/>
      <c r="H33" s="2025"/>
      <c r="I33" s="2026">
        <f t="shared" si="9"/>
        <v>0</v>
      </c>
      <c r="J33" s="2503">
        <f t="shared" si="2"/>
        <v>0</v>
      </c>
      <c r="K33" s="1675"/>
      <c r="L33" s="2028"/>
      <c r="M33" s="2025"/>
      <c r="N33" s="2026">
        <f t="shared" si="10"/>
        <v>0</v>
      </c>
      <c r="O33" s="2503" t="e">
        <f t="shared" si="3"/>
        <v>#DIV/0!</v>
      </c>
      <c r="P33" s="1675"/>
      <c r="Q33" s="2028"/>
      <c r="R33" s="2025"/>
      <c r="S33" s="2026">
        <f t="shared" si="11"/>
        <v>0</v>
      </c>
      <c r="T33" s="2503" t="e">
        <f t="shared" si="4"/>
        <v>#DIV/0!</v>
      </c>
      <c r="U33" s="1675"/>
      <c r="V33" s="2500">
        <f t="shared" si="5"/>
        <v>0</v>
      </c>
      <c r="W33" s="2501">
        <f t="shared" si="6"/>
        <v>0</v>
      </c>
      <c r="X33" s="2537">
        <f t="shared" si="7"/>
        <v>0</v>
      </c>
      <c r="Y33" s="2503">
        <f t="shared" si="8"/>
        <v>0</v>
      </c>
      <c r="Z33" s="2504"/>
    </row>
    <row r="34" spans="1:26" s="1396" customFormat="1" ht="24.6" customHeight="1">
      <c r="A34" s="1572"/>
      <c r="B34" s="1077"/>
      <c r="C34" s="1617"/>
      <c r="D34" s="1618"/>
      <c r="E34" s="2024"/>
      <c r="F34" s="1620"/>
      <c r="G34" s="2051"/>
      <c r="H34" s="2043"/>
      <c r="I34" s="2024"/>
      <c r="J34" s="1976"/>
      <c r="K34" s="2024"/>
      <c r="L34" s="2051"/>
      <c r="M34" s="2043"/>
      <c r="N34" s="2024"/>
      <c r="O34" s="1976"/>
      <c r="P34" s="2024"/>
      <c r="Q34" s="2051"/>
      <c r="R34" s="2043"/>
      <c r="S34" s="2024"/>
      <c r="T34" s="1976"/>
      <c r="U34" s="2024"/>
      <c r="V34" s="2043"/>
      <c r="W34" s="2043"/>
      <c r="X34" s="2024"/>
      <c r="Y34" s="2024"/>
      <c r="Z34" s="2024"/>
    </row>
    <row r="35" spans="1:26" s="2466" customFormat="1" ht="24.6" customHeight="1">
      <c r="A35" s="1572"/>
      <c r="B35" s="2587" t="s">
        <v>80</v>
      </c>
      <c r="C35" s="2495">
        <f>C36</f>
        <v>0</v>
      </c>
      <c r="D35" s="2495">
        <f>D36</f>
        <v>0</v>
      </c>
      <c r="E35" s="2505">
        <f>E36</f>
        <v>0</v>
      </c>
      <c r="F35" s="2544" t="e">
        <f>E35/$E$89</f>
        <v>#DIV/0!</v>
      </c>
      <c r="G35" s="2495"/>
      <c r="H35" s="2495"/>
      <c r="I35" s="2505">
        <f>I36</f>
        <v>0</v>
      </c>
      <c r="J35" s="2505">
        <f t="shared" ref="J35:J36" si="12">I35/I$89</f>
        <v>0</v>
      </c>
      <c r="K35" s="2506"/>
      <c r="L35" s="2495"/>
      <c r="M35" s="2495"/>
      <c r="N35" s="2505">
        <f>N36</f>
        <v>0</v>
      </c>
      <c r="O35" s="2505" t="e">
        <f t="shared" ref="O35:O36" si="13">N35/N$89</f>
        <v>#DIV/0!</v>
      </c>
      <c r="P35" s="2506"/>
      <c r="Q35" s="2495"/>
      <c r="R35" s="2495"/>
      <c r="S35" s="2505">
        <f>S36</f>
        <v>0</v>
      </c>
      <c r="T35" s="2505" t="e">
        <f t="shared" ref="T35:T36" si="14">S35/S$89</f>
        <v>#DIV/0!</v>
      </c>
      <c r="U35" s="2506"/>
      <c r="V35" s="2495">
        <f t="shared" ref="V35:W35" si="15">V36</f>
        <v>0</v>
      </c>
      <c r="W35" s="2495">
        <f t="shared" si="15"/>
        <v>0</v>
      </c>
      <c r="X35" s="2505">
        <f>X36</f>
        <v>0</v>
      </c>
      <c r="Y35" s="2495">
        <f>Y36</f>
        <v>0</v>
      </c>
      <c r="Z35" s="2505"/>
    </row>
    <row r="36" spans="1:26" s="1564" customFormat="1" ht="24.6" customHeight="1" outlineLevel="1">
      <c r="A36" s="1572"/>
      <c r="B36" s="2588" t="s">
        <v>81</v>
      </c>
      <c r="C36" s="2564"/>
      <c r="D36" s="2565"/>
      <c r="E36" s="2571">
        <f>C36+D36</f>
        <v>0</v>
      </c>
      <c r="F36" s="2484" t="e">
        <f>E36/$E$89</f>
        <v>#DIV/0!</v>
      </c>
      <c r="G36" s="2051"/>
      <c r="H36" s="2043"/>
      <c r="I36" s="2012">
        <f>G36+H36*1</f>
        <v>0</v>
      </c>
      <c r="J36" s="2138">
        <f t="shared" si="12"/>
        <v>0</v>
      </c>
      <c r="K36" s="2046"/>
      <c r="L36" s="2051"/>
      <c r="M36" s="2043"/>
      <c r="N36" s="2012">
        <f>L36+M36*1</f>
        <v>0</v>
      </c>
      <c r="O36" s="2138" t="e">
        <f t="shared" si="13"/>
        <v>#DIV/0!</v>
      </c>
      <c r="P36" s="2046"/>
      <c r="Q36" s="2051"/>
      <c r="R36" s="2043"/>
      <c r="S36" s="2012">
        <f>Q36+R36*1</f>
        <v>0</v>
      </c>
      <c r="T36" s="2138" t="e">
        <f t="shared" si="14"/>
        <v>#DIV/0!</v>
      </c>
      <c r="U36" s="2046"/>
      <c r="V36" s="2043">
        <f>G36+L36+Q36</f>
        <v>0</v>
      </c>
      <c r="W36" s="2043">
        <f>H36+M36+R36</f>
        <v>0</v>
      </c>
      <c r="X36" s="2012">
        <f>V36+W36*1</f>
        <v>0</v>
      </c>
      <c r="Y36" s="2138">
        <f>X36/$X$89</f>
        <v>0</v>
      </c>
      <c r="Z36" s="2147"/>
    </row>
    <row r="37" spans="1:26" s="1396" customFormat="1" ht="24.6" customHeight="1" thickBot="1">
      <c r="A37" s="1398"/>
      <c r="B37" s="2589"/>
      <c r="C37" s="2566"/>
      <c r="D37" s="2567"/>
      <c r="E37" s="2507"/>
      <c r="F37" s="2568"/>
      <c r="G37" s="2028"/>
      <c r="H37" s="2025"/>
      <c r="I37" s="2507"/>
      <c r="J37" s="2503" t="e">
        <f t="shared" ref="J37" si="16">I37/$AS$89</f>
        <v>#DIV/0!</v>
      </c>
      <c r="K37" s="2508"/>
      <c r="L37" s="2028"/>
      <c r="M37" s="2025"/>
      <c r="N37" s="2507"/>
      <c r="O37" s="2503"/>
      <c r="P37" s="2508"/>
      <c r="Q37" s="2028"/>
      <c r="R37" s="2025"/>
      <c r="S37" s="2507"/>
      <c r="T37" s="2503" t="e">
        <f t="shared" ref="T37" si="17">S37/$BC$89</f>
        <v>#DIV/0!</v>
      </c>
      <c r="U37" s="2508"/>
      <c r="V37" s="2043"/>
      <c r="W37" s="2043"/>
      <c r="X37" s="2507"/>
      <c r="Y37" s="2507"/>
      <c r="Z37" s="2507"/>
    </row>
    <row r="38" spans="1:26" ht="24.6" customHeight="1" thickBot="1">
      <c r="A38" s="1426"/>
      <c r="B38" s="971" t="s">
        <v>46</v>
      </c>
      <c r="C38" s="2002">
        <f>(C5)-(C8)</f>
        <v>0</v>
      </c>
      <c r="D38" s="2002">
        <f>(D5)-(D8)</f>
        <v>0</v>
      </c>
      <c r="E38" s="2002">
        <f>(E5)-(E8)</f>
        <v>0</v>
      </c>
      <c r="F38" s="1530"/>
      <c r="G38" s="2002">
        <f>(G5)-(G8)</f>
        <v>67328</v>
      </c>
      <c r="H38" s="2002">
        <f>(H5)-(H8)</f>
        <v>0</v>
      </c>
      <c r="I38" s="2002">
        <f>(I5)-(I8)</f>
        <v>67328</v>
      </c>
      <c r="J38" s="2002"/>
      <c r="K38" s="2021"/>
      <c r="L38" s="2002">
        <f>(L5)-(L8)</f>
        <v>0</v>
      </c>
      <c r="M38" s="2002">
        <f>(M5)-(M8)</f>
        <v>0</v>
      </c>
      <c r="N38" s="2002">
        <f>(N5)-(N8)</f>
        <v>0</v>
      </c>
      <c r="O38" s="2002"/>
      <c r="P38" s="2021"/>
      <c r="Q38" s="2002">
        <f>(Q5)-(Q8)</f>
        <v>0</v>
      </c>
      <c r="R38" s="2002">
        <f>(R5)-(R8)</f>
        <v>0</v>
      </c>
      <c r="S38" s="2002">
        <f>(S5)-(S8)</f>
        <v>0</v>
      </c>
      <c r="T38" s="2002"/>
      <c r="U38" s="2021"/>
      <c r="V38" s="2002">
        <f>(V5)-(V8)</f>
        <v>67328</v>
      </c>
      <c r="W38" s="2002">
        <f>(W5)-(W8)</f>
        <v>0</v>
      </c>
      <c r="X38" s="2002">
        <f>(X5)-(X8)</f>
        <v>67328</v>
      </c>
      <c r="Y38" s="2002"/>
      <c r="Z38" s="2002"/>
    </row>
    <row r="39" spans="1:26" ht="24.6" customHeight="1">
      <c r="A39" s="1565"/>
      <c r="B39" s="972" t="s">
        <v>47</v>
      </c>
      <c r="C39" s="1525" t="e">
        <f>C38/(C5)</f>
        <v>#DIV/0!</v>
      </c>
      <c r="D39" s="1525" t="e">
        <f>D38/(D5)</f>
        <v>#DIV/0!</v>
      </c>
      <c r="E39" s="1526" t="e">
        <f>E38/(E5)</f>
        <v>#DIV/0!</v>
      </c>
      <c r="F39" s="1531"/>
      <c r="G39" s="2003">
        <f>G38/(G5)</f>
        <v>0.5518688524590164</v>
      </c>
      <c r="H39" s="2003" t="e">
        <f>H38/(H5)</f>
        <v>#DIV/0!</v>
      </c>
      <c r="I39" s="2004">
        <f>I38/(I5)</f>
        <v>0.5518688524590164</v>
      </c>
      <c r="J39" s="2004"/>
      <c r="K39" s="2022"/>
      <c r="L39" s="2003" t="e">
        <f>L38/(L5)</f>
        <v>#DIV/0!</v>
      </c>
      <c r="M39" s="2003" t="e">
        <f>M38/(M5)</f>
        <v>#DIV/0!</v>
      </c>
      <c r="N39" s="2004" t="e">
        <f>N38/(N5)</f>
        <v>#DIV/0!</v>
      </c>
      <c r="O39" s="2004"/>
      <c r="P39" s="2022"/>
      <c r="Q39" s="2003" t="e">
        <f>Q38/(Q5)</f>
        <v>#DIV/0!</v>
      </c>
      <c r="R39" s="2003" t="e">
        <f>R38/(R5)</f>
        <v>#DIV/0!</v>
      </c>
      <c r="S39" s="2004" t="e">
        <f>S38/(S5)</f>
        <v>#DIV/0!</v>
      </c>
      <c r="T39" s="2004"/>
      <c r="U39" s="2022"/>
      <c r="V39" s="2003">
        <f>V38/(V5)</f>
        <v>0.5518688524590164</v>
      </c>
      <c r="W39" s="2003" t="e">
        <f>W38/(W5)</f>
        <v>#DIV/0!</v>
      </c>
      <c r="X39" s="2004">
        <f>X38/(X5)</f>
        <v>0.5518688524590164</v>
      </c>
      <c r="Y39" s="2004"/>
      <c r="Z39" s="2004"/>
    </row>
    <row r="40" spans="1:26" ht="24.6" customHeight="1" outlineLevel="1" thickBot="1">
      <c r="A40" s="1567"/>
      <c r="B40" s="2590"/>
      <c r="C40" s="2591"/>
      <c r="D40" s="2592"/>
      <c r="E40" s="2090"/>
      <c r="F40" s="2127"/>
      <c r="G40" s="2509"/>
      <c r="H40" s="2496"/>
      <c r="I40" s="2496"/>
      <c r="J40" s="2496"/>
      <c r="K40" s="2510"/>
      <c r="L40" s="2509"/>
      <c r="M40" s="2496"/>
      <c r="N40" s="2496"/>
      <c r="O40" s="2496"/>
      <c r="P40" s="2510"/>
      <c r="Q40" s="2509"/>
      <c r="R40" s="2496"/>
      <c r="S40" s="2496"/>
      <c r="T40" s="2496"/>
      <c r="U40" s="2510"/>
      <c r="V40" s="2043"/>
      <c r="W40" s="2043"/>
      <c r="X40" s="2496"/>
      <c r="Y40" s="2496"/>
      <c r="Z40" s="2496"/>
    </row>
    <row r="41" spans="1:26" ht="24.6" customHeight="1" outlineLevel="1">
      <c r="A41" s="1405"/>
      <c r="B41" s="2593" t="s">
        <v>26</v>
      </c>
      <c r="C41" s="2594">
        <f>SUM(C42:C48)</f>
        <v>0</v>
      </c>
      <c r="D41" s="2594">
        <f>SUM(D42:D48)</f>
        <v>0</v>
      </c>
      <c r="E41" s="2595">
        <f>SUM(E42:E48)</f>
        <v>0</v>
      </c>
      <c r="F41" s="2464" t="e">
        <f t="shared" ref="F41:F48" si="18">E41/$E$89</f>
        <v>#DIV/0!</v>
      </c>
      <c r="G41" s="2013">
        <f>SUM(G42:G48)</f>
        <v>0</v>
      </c>
      <c r="H41" s="2013">
        <f>SUM(H42:H48)</f>
        <v>0</v>
      </c>
      <c r="I41" s="2014">
        <f>SUM(I42:I48)</f>
        <v>0</v>
      </c>
      <c r="J41" s="2464">
        <f t="shared" ref="J41:J48" si="19">I41/I$89</f>
        <v>0</v>
      </c>
      <c r="K41" s="2023"/>
      <c r="L41" s="2013">
        <f>SUM(L42:L48)</f>
        <v>0</v>
      </c>
      <c r="M41" s="2013">
        <f>SUM(M42:M48)</f>
        <v>0</v>
      </c>
      <c r="N41" s="2014">
        <f>SUM(N42:N48)</f>
        <v>0</v>
      </c>
      <c r="O41" s="2464" t="e">
        <f t="shared" ref="O41:O48" si="20">N41/N$89</f>
        <v>#DIV/0!</v>
      </c>
      <c r="P41" s="2023"/>
      <c r="Q41" s="2013">
        <f>SUM(Q42:Q48)</f>
        <v>0</v>
      </c>
      <c r="R41" s="2013">
        <f>SUM(R42:R48)</f>
        <v>0</v>
      </c>
      <c r="S41" s="2014">
        <f>SUM(S42:S48)</f>
        <v>0</v>
      </c>
      <c r="T41" s="2464" t="e">
        <f t="shared" ref="T41:T48" si="21">S41/S$89</f>
        <v>#DIV/0!</v>
      </c>
      <c r="U41" s="2023"/>
      <c r="V41" s="2013">
        <f>SUM(V42:V48)</f>
        <v>0</v>
      </c>
      <c r="W41" s="2013">
        <f>SUM(W42:W48)</f>
        <v>0</v>
      </c>
      <c r="X41" s="2014">
        <f>SUM(X42:X48)</f>
        <v>0</v>
      </c>
      <c r="Y41" s="2464">
        <f t="shared" ref="Y41:Y49" si="22">X41/$X$89</f>
        <v>0</v>
      </c>
      <c r="Z41" s="2006"/>
    </row>
    <row r="42" spans="1:26" ht="24.6" customHeight="1" outlineLevel="2">
      <c r="A42" s="4833"/>
      <c r="B42" s="2559" t="s">
        <v>7</v>
      </c>
      <c r="C42" s="2558"/>
      <c r="D42" s="2502"/>
      <c r="E42" s="2571">
        <f t="shared" ref="E42:E48" si="23">C42+D42</f>
        <v>0</v>
      </c>
      <c r="F42" s="2138" t="e">
        <f t="shared" si="18"/>
        <v>#DIV/0!</v>
      </c>
      <c r="G42" s="2051"/>
      <c r="H42" s="2043"/>
      <c r="I42" s="2012">
        <f t="shared" ref="I42:I48" si="24">G42+H42*1</f>
        <v>0</v>
      </c>
      <c r="J42" s="2138">
        <f t="shared" si="19"/>
        <v>0</v>
      </c>
      <c r="K42" s="2046"/>
      <c r="L42" s="2051"/>
      <c r="M42" s="2043"/>
      <c r="N42" s="2012">
        <f t="shared" ref="N42:N48" si="25">L42+M42*1</f>
        <v>0</v>
      </c>
      <c r="O42" s="2138" t="e">
        <f t="shared" si="20"/>
        <v>#DIV/0!</v>
      </c>
      <c r="P42" s="2046"/>
      <c r="Q42" s="2051"/>
      <c r="R42" s="2043"/>
      <c r="S42" s="2012">
        <f t="shared" ref="S42:S48" si="26">Q42+R42*1</f>
        <v>0</v>
      </c>
      <c r="T42" s="2138" t="e">
        <f t="shared" si="21"/>
        <v>#DIV/0!</v>
      </c>
      <c r="U42" s="2046"/>
      <c r="V42" s="2043">
        <f t="shared" ref="V42:V48" si="27">G42+L42+Q42</f>
        <v>0</v>
      </c>
      <c r="W42" s="2043">
        <f t="shared" ref="W42:W48" si="28">H42+M42+R42</f>
        <v>0</v>
      </c>
      <c r="X42" s="2012">
        <f t="shared" ref="X42:X48" si="29">V42+W42*1</f>
        <v>0</v>
      </c>
      <c r="Y42" s="2138">
        <f t="shared" si="22"/>
        <v>0</v>
      </c>
      <c r="Z42" s="2140"/>
    </row>
    <row r="43" spans="1:26" ht="24.6" customHeight="1" outlineLevel="2">
      <c r="A43" s="4833"/>
      <c r="B43" s="2559" t="s">
        <v>27</v>
      </c>
      <c r="C43" s="2558"/>
      <c r="D43" s="2502"/>
      <c r="E43" s="2571">
        <f t="shared" si="23"/>
        <v>0</v>
      </c>
      <c r="F43" s="2138" t="e">
        <f t="shared" si="18"/>
        <v>#DIV/0!</v>
      </c>
      <c r="G43" s="2051"/>
      <c r="H43" s="2043"/>
      <c r="I43" s="2012">
        <f t="shared" si="24"/>
        <v>0</v>
      </c>
      <c r="J43" s="2138">
        <f t="shared" si="19"/>
        <v>0</v>
      </c>
      <c r="K43" s="2046"/>
      <c r="L43" s="2051"/>
      <c r="M43" s="2043"/>
      <c r="N43" s="2012">
        <f t="shared" si="25"/>
        <v>0</v>
      </c>
      <c r="O43" s="2138" t="e">
        <f t="shared" si="20"/>
        <v>#DIV/0!</v>
      </c>
      <c r="P43" s="2046"/>
      <c r="Q43" s="2051"/>
      <c r="R43" s="2043"/>
      <c r="S43" s="2012">
        <f t="shared" si="26"/>
        <v>0</v>
      </c>
      <c r="T43" s="2138" t="e">
        <f t="shared" si="21"/>
        <v>#DIV/0!</v>
      </c>
      <c r="U43" s="2046"/>
      <c r="V43" s="2043">
        <f t="shared" si="27"/>
        <v>0</v>
      </c>
      <c r="W43" s="2043">
        <f t="shared" si="28"/>
        <v>0</v>
      </c>
      <c r="X43" s="2012">
        <f t="shared" si="29"/>
        <v>0</v>
      </c>
      <c r="Y43" s="2138">
        <f t="shared" si="22"/>
        <v>0</v>
      </c>
      <c r="Z43" s="2140"/>
    </row>
    <row r="44" spans="1:26" ht="24.6" customHeight="1" outlineLevel="2">
      <c r="A44" s="4833"/>
      <c r="B44" s="2588" t="s">
        <v>28</v>
      </c>
      <c r="C44" s="2558"/>
      <c r="D44" s="2502"/>
      <c r="E44" s="2571">
        <f t="shared" si="23"/>
        <v>0</v>
      </c>
      <c r="F44" s="2138" t="e">
        <f t="shared" si="18"/>
        <v>#DIV/0!</v>
      </c>
      <c r="G44" s="2051"/>
      <c r="H44" s="2043"/>
      <c r="I44" s="2012">
        <f t="shared" si="24"/>
        <v>0</v>
      </c>
      <c r="J44" s="2138">
        <f t="shared" si="19"/>
        <v>0</v>
      </c>
      <c r="K44" s="2046"/>
      <c r="L44" s="2051"/>
      <c r="M44" s="2043"/>
      <c r="N44" s="2012">
        <f t="shared" si="25"/>
        <v>0</v>
      </c>
      <c r="O44" s="2138" t="e">
        <f t="shared" si="20"/>
        <v>#DIV/0!</v>
      </c>
      <c r="P44" s="2046"/>
      <c r="Q44" s="2051"/>
      <c r="R44" s="2043"/>
      <c r="S44" s="2012">
        <f t="shared" si="26"/>
        <v>0</v>
      </c>
      <c r="T44" s="2138" t="e">
        <f t="shared" si="21"/>
        <v>#DIV/0!</v>
      </c>
      <c r="U44" s="2046"/>
      <c r="V44" s="2043">
        <f t="shared" si="27"/>
        <v>0</v>
      </c>
      <c r="W44" s="2043">
        <f t="shared" si="28"/>
        <v>0</v>
      </c>
      <c r="X44" s="2012">
        <f t="shared" si="29"/>
        <v>0</v>
      </c>
      <c r="Y44" s="2138">
        <f t="shared" si="22"/>
        <v>0</v>
      </c>
      <c r="Z44" s="2140"/>
    </row>
    <row r="45" spans="1:26" ht="24.6" customHeight="1" outlineLevel="2">
      <c r="A45" s="4833"/>
      <c r="B45" s="2559" t="s">
        <v>8</v>
      </c>
      <c r="C45" s="2558"/>
      <c r="D45" s="2502"/>
      <c r="E45" s="2571">
        <f t="shared" si="23"/>
        <v>0</v>
      </c>
      <c r="F45" s="2138" t="e">
        <f t="shared" si="18"/>
        <v>#DIV/0!</v>
      </c>
      <c r="G45" s="2051"/>
      <c r="H45" s="2043"/>
      <c r="I45" s="2012">
        <f t="shared" si="24"/>
        <v>0</v>
      </c>
      <c r="J45" s="2138">
        <f t="shared" si="19"/>
        <v>0</v>
      </c>
      <c r="K45" s="2046"/>
      <c r="L45" s="2051"/>
      <c r="M45" s="2043"/>
      <c r="N45" s="2012">
        <f t="shared" si="25"/>
        <v>0</v>
      </c>
      <c r="O45" s="2138" t="e">
        <f t="shared" si="20"/>
        <v>#DIV/0!</v>
      </c>
      <c r="P45" s="2046"/>
      <c r="Q45" s="2051"/>
      <c r="R45" s="2043"/>
      <c r="S45" s="2012">
        <f t="shared" si="26"/>
        <v>0</v>
      </c>
      <c r="T45" s="2138" t="e">
        <f t="shared" si="21"/>
        <v>#DIV/0!</v>
      </c>
      <c r="U45" s="2046"/>
      <c r="V45" s="2043">
        <f t="shared" si="27"/>
        <v>0</v>
      </c>
      <c r="W45" s="2043">
        <f t="shared" si="28"/>
        <v>0</v>
      </c>
      <c r="X45" s="2012">
        <f t="shared" si="29"/>
        <v>0</v>
      </c>
      <c r="Y45" s="2138">
        <f t="shared" si="22"/>
        <v>0</v>
      </c>
      <c r="Z45" s="2140"/>
    </row>
    <row r="46" spans="1:26" ht="24.6" customHeight="1" outlineLevel="2">
      <c r="A46" s="4833"/>
      <c r="B46" s="2559" t="s">
        <v>29</v>
      </c>
      <c r="C46" s="2558"/>
      <c r="D46" s="2502"/>
      <c r="E46" s="2571">
        <f t="shared" si="23"/>
        <v>0</v>
      </c>
      <c r="F46" s="2138" t="e">
        <f t="shared" si="18"/>
        <v>#DIV/0!</v>
      </c>
      <c r="G46" s="2051"/>
      <c r="H46" s="2043"/>
      <c r="I46" s="2012">
        <f t="shared" si="24"/>
        <v>0</v>
      </c>
      <c r="J46" s="2138">
        <f t="shared" si="19"/>
        <v>0</v>
      </c>
      <c r="K46" s="2046"/>
      <c r="L46" s="2051"/>
      <c r="M46" s="2043"/>
      <c r="N46" s="2012">
        <f t="shared" si="25"/>
        <v>0</v>
      </c>
      <c r="O46" s="2138" t="e">
        <f t="shared" si="20"/>
        <v>#DIV/0!</v>
      </c>
      <c r="P46" s="2046"/>
      <c r="Q46" s="2051"/>
      <c r="R46" s="2043"/>
      <c r="S46" s="2012">
        <f t="shared" si="26"/>
        <v>0</v>
      </c>
      <c r="T46" s="2138" t="e">
        <f t="shared" si="21"/>
        <v>#DIV/0!</v>
      </c>
      <c r="U46" s="2046"/>
      <c r="V46" s="2043">
        <f t="shared" si="27"/>
        <v>0</v>
      </c>
      <c r="W46" s="2043">
        <f t="shared" si="28"/>
        <v>0</v>
      </c>
      <c r="X46" s="2012">
        <f t="shared" si="29"/>
        <v>0</v>
      </c>
      <c r="Y46" s="2138">
        <f t="shared" si="22"/>
        <v>0</v>
      </c>
      <c r="Z46" s="2140"/>
    </row>
    <row r="47" spans="1:26" ht="24.6" customHeight="1" outlineLevel="2">
      <c r="A47" s="4833"/>
      <c r="B47" s="2559" t="s">
        <v>30</v>
      </c>
      <c r="C47" s="2558"/>
      <c r="D47" s="2502"/>
      <c r="E47" s="2571">
        <f t="shared" si="23"/>
        <v>0</v>
      </c>
      <c r="F47" s="2138" t="e">
        <f t="shared" si="18"/>
        <v>#DIV/0!</v>
      </c>
      <c r="G47" s="2051"/>
      <c r="H47" s="2043"/>
      <c r="I47" s="2012">
        <f t="shared" si="24"/>
        <v>0</v>
      </c>
      <c r="J47" s="2138">
        <f t="shared" si="19"/>
        <v>0</v>
      </c>
      <c r="K47" s="2046" t="s">
        <v>486</v>
      </c>
      <c r="L47" s="2051"/>
      <c r="M47" s="2043"/>
      <c r="N47" s="2012">
        <f t="shared" si="25"/>
        <v>0</v>
      </c>
      <c r="O47" s="2138" t="e">
        <f t="shared" si="20"/>
        <v>#DIV/0!</v>
      </c>
      <c r="P47" s="2046" t="s">
        <v>486</v>
      </c>
      <c r="Q47" s="2051"/>
      <c r="R47" s="2043"/>
      <c r="S47" s="2012">
        <f t="shared" si="26"/>
        <v>0</v>
      </c>
      <c r="T47" s="2138" t="e">
        <f t="shared" si="21"/>
        <v>#DIV/0!</v>
      </c>
      <c r="U47" s="2046"/>
      <c r="V47" s="2043">
        <f t="shared" si="27"/>
        <v>0</v>
      </c>
      <c r="W47" s="2043">
        <f t="shared" si="28"/>
        <v>0</v>
      </c>
      <c r="X47" s="2012">
        <f t="shared" si="29"/>
        <v>0</v>
      </c>
      <c r="Y47" s="2138">
        <f t="shared" si="22"/>
        <v>0</v>
      </c>
      <c r="Z47" s="2140"/>
    </row>
    <row r="48" spans="1:26" ht="24.6" customHeight="1" outlineLevel="2">
      <c r="A48" s="4833"/>
      <c r="B48" s="2559" t="s">
        <v>15</v>
      </c>
      <c r="C48" s="2558"/>
      <c r="D48" s="2502"/>
      <c r="E48" s="2571">
        <f t="shared" si="23"/>
        <v>0</v>
      </c>
      <c r="F48" s="2138" t="e">
        <f t="shared" si="18"/>
        <v>#DIV/0!</v>
      </c>
      <c r="G48" s="2051"/>
      <c r="H48" s="2043"/>
      <c r="I48" s="2012">
        <f t="shared" si="24"/>
        <v>0</v>
      </c>
      <c r="J48" s="2138">
        <f t="shared" si="19"/>
        <v>0</v>
      </c>
      <c r="K48" s="2046"/>
      <c r="L48" s="2051"/>
      <c r="M48" s="2043"/>
      <c r="N48" s="2012">
        <f t="shared" si="25"/>
        <v>0</v>
      </c>
      <c r="O48" s="2138" t="e">
        <f t="shared" si="20"/>
        <v>#DIV/0!</v>
      </c>
      <c r="P48" s="2046"/>
      <c r="Q48" s="2051"/>
      <c r="R48" s="2043"/>
      <c r="S48" s="2012">
        <f t="shared" si="26"/>
        <v>0</v>
      </c>
      <c r="T48" s="2138" t="e">
        <f t="shared" si="21"/>
        <v>#DIV/0!</v>
      </c>
      <c r="U48" s="2046"/>
      <c r="V48" s="2043">
        <f t="shared" si="27"/>
        <v>0</v>
      </c>
      <c r="W48" s="2043">
        <f t="shared" si="28"/>
        <v>0</v>
      </c>
      <c r="X48" s="2012">
        <f t="shared" si="29"/>
        <v>0</v>
      </c>
      <c r="Y48" s="2138">
        <f t="shared" si="22"/>
        <v>0</v>
      </c>
      <c r="Z48" s="2140"/>
    </row>
    <row r="49" spans="1:28" s="1396" customFormat="1" ht="24.6" customHeight="1" outlineLevel="2" thickBot="1">
      <c r="A49" s="1405"/>
      <c r="B49" s="2596"/>
      <c r="C49" s="2479"/>
      <c r="D49" s="2483"/>
      <c r="E49" s="2128"/>
      <c r="F49" s="2129"/>
      <c r="G49" s="2051"/>
      <c r="H49" s="2043"/>
      <c r="I49" s="2507"/>
      <c r="J49" s="2138"/>
      <c r="K49" s="2511"/>
      <c r="L49" s="2051"/>
      <c r="M49" s="2043"/>
      <c r="N49" s="2507"/>
      <c r="O49" s="2138"/>
      <c r="P49" s="2511"/>
      <c r="Q49" s="2051"/>
      <c r="R49" s="2043"/>
      <c r="S49" s="2507"/>
      <c r="T49" s="2138"/>
      <c r="U49" s="2511"/>
      <c r="V49" s="2043"/>
      <c r="W49" s="2043"/>
      <c r="X49" s="2507"/>
      <c r="Y49" s="2138">
        <f t="shared" si="22"/>
        <v>0</v>
      </c>
      <c r="Z49" s="2507"/>
    </row>
    <row r="50" spans="1:28" s="1396" customFormat="1" ht="24.6" customHeight="1" outlineLevel="1">
      <c r="A50" s="1565"/>
      <c r="B50" s="983" t="s">
        <v>59</v>
      </c>
      <c r="C50" s="2015">
        <f>SUM(C51:C52)</f>
        <v>0</v>
      </c>
      <c r="D50" s="2015">
        <f>SUM(D51:D52)</f>
        <v>0</v>
      </c>
      <c r="E50" s="2015">
        <f>SUM(E51:E52)</f>
        <v>0</v>
      </c>
      <c r="F50" s="1534" t="e">
        <f>E50/$E$89</f>
        <v>#DIV/0!</v>
      </c>
      <c r="G50" s="2015">
        <f>G52+G51</f>
        <v>0</v>
      </c>
      <c r="H50" s="2015">
        <f>H52+H51</f>
        <v>0</v>
      </c>
      <c r="I50" s="2015">
        <f>SUM(I51:I52)</f>
        <v>0</v>
      </c>
      <c r="J50" s="2006">
        <f t="shared" ref="J50:J52" si="30">I50/I$89</f>
        <v>0</v>
      </c>
      <c r="K50" s="1984"/>
      <c r="L50" s="2015">
        <f>L52+L51</f>
        <v>0</v>
      </c>
      <c r="M50" s="2015">
        <f>M52+M51</f>
        <v>0</v>
      </c>
      <c r="N50" s="2015">
        <f>SUM(N51:N52)</f>
        <v>0</v>
      </c>
      <c r="O50" s="2006" t="e">
        <f t="shared" ref="O50:O52" si="31">N50/N$89</f>
        <v>#DIV/0!</v>
      </c>
      <c r="P50" s="1984"/>
      <c r="Q50" s="2015">
        <f>Q52+Q51</f>
        <v>0</v>
      </c>
      <c r="R50" s="2015">
        <f>R52+R51</f>
        <v>0</v>
      </c>
      <c r="S50" s="2015">
        <f>SUM(S51:S52)</f>
        <v>0</v>
      </c>
      <c r="T50" s="2006" t="e">
        <f t="shared" ref="T50:T52" si="32">S50/S$89</f>
        <v>#DIV/0!</v>
      </c>
      <c r="U50" s="1984"/>
      <c r="V50" s="2015">
        <f>V52+V51</f>
        <v>0</v>
      </c>
      <c r="W50" s="2015">
        <f>W52+W51</f>
        <v>0</v>
      </c>
      <c r="X50" s="2015">
        <f>SUM(X51:X52)</f>
        <v>0</v>
      </c>
      <c r="Y50" s="2006"/>
      <c r="Z50" s="2006"/>
    </row>
    <row r="51" spans="1:28" s="1564" customFormat="1" ht="24.6" customHeight="1" outlineLevel="1">
      <c r="A51" s="1568"/>
      <c r="B51" s="2559" t="s">
        <v>60</v>
      </c>
      <c r="C51" s="2558"/>
      <c r="D51" s="2502"/>
      <c r="E51" s="2571">
        <f>C51+D51</f>
        <v>0</v>
      </c>
      <c r="F51" s="2484" t="e">
        <f>E51/$E$89</f>
        <v>#DIV/0!</v>
      </c>
      <c r="G51" s="2051"/>
      <c r="H51" s="2043"/>
      <c r="I51" s="2012">
        <f>G51+H51*1</f>
        <v>0</v>
      </c>
      <c r="J51" s="2138">
        <f t="shared" si="30"/>
        <v>0</v>
      </c>
      <c r="K51" s="2512"/>
      <c r="L51" s="2051"/>
      <c r="M51" s="2043"/>
      <c r="N51" s="2012">
        <f>L51+M51*1</f>
        <v>0</v>
      </c>
      <c r="O51" s="2138" t="e">
        <f t="shared" si="31"/>
        <v>#DIV/0!</v>
      </c>
      <c r="P51" s="2512"/>
      <c r="Q51" s="2051"/>
      <c r="R51" s="2043"/>
      <c r="S51" s="2012">
        <f>Q51+R51*1</f>
        <v>0</v>
      </c>
      <c r="T51" s="2138" t="e">
        <f t="shared" si="32"/>
        <v>#DIV/0!</v>
      </c>
      <c r="U51" s="2512"/>
      <c r="V51" s="2043">
        <f t="shared" ref="V51:V52" si="33">G51+L51+Q51</f>
        <v>0</v>
      </c>
      <c r="W51" s="2043">
        <f t="shared" ref="W51:W52" si="34">H51+M51+R51</f>
        <v>0</v>
      </c>
      <c r="X51" s="2012">
        <f>V51+W51*1</f>
        <v>0</v>
      </c>
      <c r="Y51" s="2138">
        <f>X51/$X$89</f>
        <v>0</v>
      </c>
      <c r="Z51" s="2147"/>
    </row>
    <row r="52" spans="1:28" s="1569" customFormat="1" ht="24.6" customHeight="1" outlineLevel="2">
      <c r="A52" s="1568"/>
      <c r="B52" s="2559" t="s">
        <v>61</v>
      </c>
      <c r="C52" s="2558"/>
      <c r="D52" s="2502"/>
      <c r="E52" s="2571">
        <f>C52+D52</f>
        <v>0</v>
      </c>
      <c r="F52" s="2484" t="e">
        <f>E52/$E$89</f>
        <v>#DIV/0!</v>
      </c>
      <c r="G52" s="2051"/>
      <c r="H52" s="2043"/>
      <c r="I52" s="2012">
        <f>G52+H52*1</f>
        <v>0</v>
      </c>
      <c r="J52" s="2138">
        <f t="shared" si="30"/>
        <v>0</v>
      </c>
      <c r="K52" s="2046"/>
      <c r="L52" s="2051"/>
      <c r="M52" s="2043"/>
      <c r="N52" s="2012">
        <f>L52+M52*1</f>
        <v>0</v>
      </c>
      <c r="O52" s="2138" t="e">
        <f t="shared" si="31"/>
        <v>#DIV/0!</v>
      </c>
      <c r="P52" s="2046"/>
      <c r="Q52" s="2051"/>
      <c r="R52" s="2043"/>
      <c r="S52" s="2012">
        <f>Q52+R52*1</f>
        <v>0</v>
      </c>
      <c r="T52" s="2138" t="e">
        <f t="shared" si="32"/>
        <v>#DIV/0!</v>
      </c>
      <c r="U52" s="2046"/>
      <c r="V52" s="2043">
        <f t="shared" si="33"/>
        <v>0</v>
      </c>
      <c r="W52" s="2043">
        <f t="shared" si="34"/>
        <v>0</v>
      </c>
      <c r="X52" s="2012">
        <f>V52+W52*1</f>
        <v>0</v>
      </c>
      <c r="Y52" s="2138">
        <f>X52/$X$89</f>
        <v>0</v>
      </c>
      <c r="Z52" s="2147"/>
    </row>
    <row r="53" spans="1:28" ht="24.6" customHeight="1" outlineLevel="1" thickBot="1">
      <c r="A53" s="1413"/>
      <c r="B53" s="2562"/>
      <c r="C53" s="2573"/>
      <c r="D53" s="2574"/>
      <c r="E53" s="2575"/>
      <c r="F53" s="2576"/>
      <c r="G53" s="2051"/>
      <c r="H53" s="2043"/>
      <c r="I53" s="2513"/>
      <c r="J53" s="2513"/>
      <c r="K53" s="2514"/>
      <c r="L53" s="2051"/>
      <c r="M53" s="2043"/>
      <c r="N53" s="2513"/>
      <c r="O53" s="2513"/>
      <c r="P53" s="2514"/>
      <c r="Q53" s="2051"/>
      <c r="R53" s="2043"/>
      <c r="S53" s="2513"/>
      <c r="T53" s="2513"/>
      <c r="U53" s="2514"/>
      <c r="V53" s="2043"/>
      <c r="W53" s="2043"/>
      <c r="X53" s="2513"/>
      <c r="Y53" s="2513"/>
      <c r="Z53" s="2513"/>
    </row>
    <row r="54" spans="1:28" ht="24.6" customHeight="1" outlineLevel="1">
      <c r="A54" s="1570"/>
      <c r="B54" s="983" t="s">
        <v>1</v>
      </c>
      <c r="C54" s="2015">
        <f>SUM(C55:C71)</f>
        <v>0</v>
      </c>
      <c r="D54" s="2015">
        <f>SUM(D55:D71)</f>
        <v>0</v>
      </c>
      <c r="E54" s="1975">
        <f>SUM(E55:E71)</f>
        <v>0</v>
      </c>
      <c r="F54" s="1534" t="e">
        <f>E54/$E$89</f>
        <v>#DIV/0!</v>
      </c>
      <c r="G54" s="2015">
        <f>SUM(G55:G72)</f>
        <v>0</v>
      </c>
      <c r="H54" s="2015">
        <f>SUM(H55:H72)</f>
        <v>0</v>
      </c>
      <c r="I54" s="2015">
        <f>SUM(I55:I72)</f>
        <v>0</v>
      </c>
      <c r="J54" s="2464">
        <f t="shared" ref="J54:J71" si="35">I54/I$89</f>
        <v>0</v>
      </c>
      <c r="K54" s="1984"/>
      <c r="L54" s="2015">
        <f>SUM(L55:L72)</f>
        <v>0</v>
      </c>
      <c r="M54" s="2015">
        <f>SUM(M55:M72)</f>
        <v>0</v>
      </c>
      <c r="N54" s="2015">
        <f>SUM(N55:N72)</f>
        <v>0</v>
      </c>
      <c r="O54" s="2464" t="e">
        <f t="shared" ref="O54:O71" si="36">N54/N$89</f>
        <v>#DIV/0!</v>
      </c>
      <c r="P54" s="1984"/>
      <c r="Q54" s="2015">
        <f>SUM(Q55:Q72)</f>
        <v>0</v>
      </c>
      <c r="R54" s="2015">
        <f>SUM(R55:R72)</f>
        <v>0</v>
      </c>
      <c r="S54" s="2015">
        <f>SUM(S55:S72)</f>
        <v>0</v>
      </c>
      <c r="T54" s="2464" t="e">
        <f t="shared" ref="T54:T71" si="37">S54/S$89</f>
        <v>#DIV/0!</v>
      </c>
      <c r="U54" s="1984"/>
      <c r="V54" s="2015">
        <f>SUM(V55:V72)</f>
        <v>0</v>
      </c>
      <c r="W54" s="2015">
        <f>SUM(W55:W72)</f>
        <v>0</v>
      </c>
      <c r="X54" s="2015">
        <f>SUM(X55:X72)</f>
        <v>0</v>
      </c>
      <c r="Y54" s="2464">
        <f t="shared" ref="Y54:Y71" si="38">X54/$X$89</f>
        <v>0</v>
      </c>
      <c r="Z54" s="2006"/>
    </row>
    <row r="55" spans="1:28" ht="24.6" customHeight="1" outlineLevel="2">
      <c r="A55" s="1571"/>
      <c r="B55" s="2588" t="s">
        <v>77</v>
      </c>
      <c r="C55" s="2558"/>
      <c r="D55" s="2560"/>
      <c r="E55" s="2571">
        <f>C55+D55</f>
        <v>0</v>
      </c>
      <c r="F55" s="2138" t="e">
        <f>E55/$E$89</f>
        <v>#DIV/0!</v>
      </c>
      <c r="G55" s="2011"/>
      <c r="H55" s="2045"/>
      <c r="I55" s="2012">
        <f t="shared" ref="I55:I62" si="39">G55+H55*1</f>
        <v>0</v>
      </c>
      <c r="J55" s="2138">
        <f t="shared" si="35"/>
        <v>0</v>
      </c>
      <c r="K55" s="2046"/>
      <c r="L55" s="2011"/>
      <c r="M55" s="2045"/>
      <c r="N55" s="2012">
        <f t="shared" ref="N55:N62" si="40">L55+M55*1</f>
        <v>0</v>
      </c>
      <c r="O55" s="2138" t="e">
        <f t="shared" si="36"/>
        <v>#DIV/0!</v>
      </c>
      <c r="P55" s="2046"/>
      <c r="Q55" s="2011"/>
      <c r="R55" s="2045"/>
      <c r="S55" s="2012">
        <f t="shared" ref="S55:S62" si="41">Q55+R55*1</f>
        <v>0</v>
      </c>
      <c r="T55" s="2138" t="e">
        <f t="shared" si="37"/>
        <v>#DIV/0!</v>
      </c>
      <c r="U55" s="2046"/>
      <c r="V55" s="2043">
        <f t="shared" ref="V55:V71" si="42">G55+L55+Q55</f>
        <v>0</v>
      </c>
      <c r="W55" s="2043">
        <f t="shared" ref="W55:W71" si="43">H55+M55+R55</f>
        <v>0</v>
      </c>
      <c r="X55" s="2012">
        <f t="shared" ref="X55:X71" si="44">V55+W55*1</f>
        <v>0</v>
      </c>
      <c r="Y55" s="2138">
        <f t="shared" si="38"/>
        <v>0</v>
      </c>
      <c r="Z55" s="2140"/>
    </row>
    <row r="56" spans="1:28" ht="24.6" customHeight="1" outlineLevel="2">
      <c r="A56" s="1571"/>
      <c r="B56" s="2588" t="s">
        <v>76</v>
      </c>
      <c r="C56" s="2558"/>
      <c r="D56" s="2560"/>
      <c r="E56" s="2571">
        <f t="shared" ref="E56:E71" si="45">C56+D56</f>
        <v>0</v>
      </c>
      <c r="F56" s="2138" t="e">
        <f t="shared" ref="F56:F72" si="46">E56/$E$89</f>
        <v>#DIV/0!</v>
      </c>
      <c r="G56" s="2011"/>
      <c r="H56" s="2045"/>
      <c r="I56" s="2012">
        <f t="shared" si="39"/>
        <v>0</v>
      </c>
      <c r="J56" s="2138">
        <f t="shared" si="35"/>
        <v>0</v>
      </c>
      <c r="K56" s="2046"/>
      <c r="L56" s="2011"/>
      <c r="M56" s="2045"/>
      <c r="N56" s="2012">
        <f t="shared" si="40"/>
        <v>0</v>
      </c>
      <c r="O56" s="2138" t="e">
        <f t="shared" si="36"/>
        <v>#DIV/0!</v>
      </c>
      <c r="P56" s="2046"/>
      <c r="Q56" s="2011"/>
      <c r="R56" s="2045"/>
      <c r="S56" s="2012">
        <f t="shared" si="41"/>
        <v>0</v>
      </c>
      <c r="T56" s="2138" t="e">
        <f t="shared" si="37"/>
        <v>#DIV/0!</v>
      </c>
      <c r="U56" s="2046"/>
      <c r="V56" s="2043">
        <f t="shared" si="42"/>
        <v>0</v>
      </c>
      <c r="W56" s="2043">
        <f t="shared" si="43"/>
        <v>0</v>
      </c>
      <c r="X56" s="2012">
        <f t="shared" si="44"/>
        <v>0</v>
      </c>
      <c r="Y56" s="2138">
        <f t="shared" si="38"/>
        <v>0</v>
      </c>
      <c r="Z56" s="2140"/>
    </row>
    <row r="57" spans="1:28" ht="24.6" customHeight="1" outlineLevel="2">
      <c r="A57" s="1571"/>
      <c r="B57" s="2588" t="s">
        <v>68</v>
      </c>
      <c r="C57" s="2558"/>
      <c r="D57" s="2560"/>
      <c r="E57" s="2571">
        <f t="shared" si="45"/>
        <v>0</v>
      </c>
      <c r="F57" s="2138" t="e">
        <f t="shared" si="46"/>
        <v>#DIV/0!</v>
      </c>
      <c r="G57" s="2011"/>
      <c r="H57" s="2045"/>
      <c r="I57" s="2012">
        <f t="shared" si="39"/>
        <v>0</v>
      </c>
      <c r="J57" s="2138">
        <f t="shared" si="35"/>
        <v>0</v>
      </c>
      <c r="K57" s="2046"/>
      <c r="L57" s="2011"/>
      <c r="M57" s="2045"/>
      <c r="N57" s="2012">
        <f t="shared" si="40"/>
        <v>0</v>
      </c>
      <c r="O57" s="2138" t="e">
        <f t="shared" si="36"/>
        <v>#DIV/0!</v>
      </c>
      <c r="P57" s="2046"/>
      <c r="Q57" s="2011"/>
      <c r="R57" s="2045"/>
      <c r="S57" s="2012">
        <f t="shared" si="41"/>
        <v>0</v>
      </c>
      <c r="T57" s="2138" t="e">
        <f t="shared" si="37"/>
        <v>#DIV/0!</v>
      </c>
      <c r="U57" s="2046"/>
      <c r="V57" s="2043">
        <f t="shared" si="42"/>
        <v>0</v>
      </c>
      <c r="W57" s="2043">
        <f t="shared" si="43"/>
        <v>0</v>
      </c>
      <c r="X57" s="2012">
        <f t="shared" si="44"/>
        <v>0</v>
      </c>
      <c r="Y57" s="2138">
        <f t="shared" si="38"/>
        <v>0</v>
      </c>
      <c r="Z57" s="2140"/>
    </row>
    <row r="58" spans="1:28" ht="24.6" customHeight="1" outlineLevel="2">
      <c r="A58" s="1571"/>
      <c r="B58" s="2588" t="s">
        <v>67</v>
      </c>
      <c r="C58" s="2558"/>
      <c r="D58" s="2560"/>
      <c r="E58" s="2571">
        <f t="shared" si="45"/>
        <v>0</v>
      </c>
      <c r="F58" s="2138" t="e">
        <f t="shared" si="46"/>
        <v>#DIV/0!</v>
      </c>
      <c r="G58" s="2011"/>
      <c r="H58" s="2045"/>
      <c r="I58" s="2012">
        <f t="shared" si="39"/>
        <v>0</v>
      </c>
      <c r="J58" s="2138">
        <f t="shared" si="35"/>
        <v>0</v>
      </c>
      <c r="K58" s="2046"/>
      <c r="L58" s="2011"/>
      <c r="M58" s="2045"/>
      <c r="N58" s="2012">
        <f t="shared" si="40"/>
        <v>0</v>
      </c>
      <c r="O58" s="2138" t="e">
        <f t="shared" si="36"/>
        <v>#DIV/0!</v>
      </c>
      <c r="P58" s="2046"/>
      <c r="Q58" s="2011"/>
      <c r="R58" s="2045"/>
      <c r="S58" s="2012">
        <f t="shared" si="41"/>
        <v>0</v>
      </c>
      <c r="T58" s="2138" t="e">
        <f t="shared" si="37"/>
        <v>#DIV/0!</v>
      </c>
      <c r="U58" s="2046"/>
      <c r="V58" s="2043">
        <f t="shared" si="42"/>
        <v>0</v>
      </c>
      <c r="W58" s="2043">
        <f t="shared" si="43"/>
        <v>0</v>
      </c>
      <c r="X58" s="2012">
        <f t="shared" si="44"/>
        <v>0</v>
      </c>
      <c r="Y58" s="2138">
        <f t="shared" si="38"/>
        <v>0</v>
      </c>
      <c r="Z58" s="2140"/>
      <c r="AA58" s="3144"/>
      <c r="AB58" s="3145"/>
    </row>
    <row r="59" spans="1:28" ht="24.6" customHeight="1" outlineLevel="2">
      <c r="A59" s="1571"/>
      <c r="B59" s="2588" t="s">
        <v>66</v>
      </c>
      <c r="C59" s="2558"/>
      <c r="D59" s="2560"/>
      <c r="E59" s="2571">
        <f t="shared" si="45"/>
        <v>0</v>
      </c>
      <c r="F59" s="2138" t="e">
        <f t="shared" si="46"/>
        <v>#DIV/0!</v>
      </c>
      <c r="G59" s="2011"/>
      <c r="H59" s="2045"/>
      <c r="I59" s="2012">
        <f t="shared" si="39"/>
        <v>0</v>
      </c>
      <c r="J59" s="2138">
        <f t="shared" si="35"/>
        <v>0</v>
      </c>
      <c r="K59" s="2046"/>
      <c r="L59" s="2011"/>
      <c r="M59" s="2045"/>
      <c r="N59" s="2012">
        <f t="shared" si="40"/>
        <v>0</v>
      </c>
      <c r="O59" s="2138" t="e">
        <f t="shared" si="36"/>
        <v>#DIV/0!</v>
      </c>
      <c r="P59" s="2046"/>
      <c r="Q59" s="2011"/>
      <c r="R59" s="2045"/>
      <c r="S59" s="2012">
        <f t="shared" si="41"/>
        <v>0</v>
      </c>
      <c r="T59" s="2138" t="e">
        <f t="shared" si="37"/>
        <v>#DIV/0!</v>
      </c>
      <c r="U59" s="2046"/>
      <c r="V59" s="2043">
        <f t="shared" si="42"/>
        <v>0</v>
      </c>
      <c r="W59" s="2043">
        <f t="shared" si="43"/>
        <v>0</v>
      </c>
      <c r="X59" s="2012">
        <f t="shared" si="44"/>
        <v>0</v>
      </c>
      <c r="Y59" s="2138">
        <f t="shared" si="38"/>
        <v>0</v>
      </c>
      <c r="Z59" s="2140"/>
      <c r="AA59" s="3144"/>
      <c r="AB59" s="3145"/>
    </row>
    <row r="60" spans="1:28" ht="24.6" customHeight="1" outlineLevel="2">
      <c r="A60" s="1571"/>
      <c r="B60" s="2588" t="s">
        <v>65</v>
      </c>
      <c r="C60" s="2558"/>
      <c r="D60" s="2560"/>
      <c r="E60" s="2571">
        <f t="shared" si="45"/>
        <v>0</v>
      </c>
      <c r="F60" s="2138" t="e">
        <f t="shared" si="46"/>
        <v>#DIV/0!</v>
      </c>
      <c r="G60" s="2011"/>
      <c r="H60" s="2045"/>
      <c r="I60" s="2012">
        <f t="shared" si="39"/>
        <v>0</v>
      </c>
      <c r="J60" s="2138">
        <f t="shared" si="35"/>
        <v>0</v>
      </c>
      <c r="K60" s="2046"/>
      <c r="L60" s="2011"/>
      <c r="M60" s="2045"/>
      <c r="N60" s="2012">
        <f t="shared" si="40"/>
        <v>0</v>
      </c>
      <c r="O60" s="2138" t="e">
        <f t="shared" si="36"/>
        <v>#DIV/0!</v>
      </c>
      <c r="P60" s="2046"/>
      <c r="Q60" s="2011"/>
      <c r="R60" s="2045"/>
      <c r="S60" s="2012">
        <f t="shared" si="41"/>
        <v>0</v>
      </c>
      <c r="T60" s="2138" t="e">
        <f t="shared" si="37"/>
        <v>#DIV/0!</v>
      </c>
      <c r="U60" s="2046"/>
      <c r="V60" s="2043">
        <f t="shared" si="42"/>
        <v>0</v>
      </c>
      <c r="W60" s="2043">
        <f t="shared" si="43"/>
        <v>0</v>
      </c>
      <c r="X60" s="2012">
        <f t="shared" si="44"/>
        <v>0</v>
      </c>
      <c r="Y60" s="2138">
        <f t="shared" si="38"/>
        <v>0</v>
      </c>
      <c r="Z60" s="2140"/>
      <c r="AA60" s="3144"/>
      <c r="AB60" s="3145"/>
    </row>
    <row r="61" spans="1:28" ht="24.6" customHeight="1" outlineLevel="2">
      <c r="A61" s="1571"/>
      <c r="B61" s="2588" t="s">
        <v>32</v>
      </c>
      <c r="C61" s="2558"/>
      <c r="D61" s="2560"/>
      <c r="E61" s="2571">
        <f t="shared" si="45"/>
        <v>0</v>
      </c>
      <c r="F61" s="2138" t="e">
        <f t="shared" si="46"/>
        <v>#DIV/0!</v>
      </c>
      <c r="G61" s="2011"/>
      <c r="H61" s="2045"/>
      <c r="I61" s="2012">
        <f t="shared" si="39"/>
        <v>0</v>
      </c>
      <c r="J61" s="2138">
        <f t="shared" si="35"/>
        <v>0</v>
      </c>
      <c r="K61" s="2046"/>
      <c r="L61" s="2011"/>
      <c r="M61" s="2045"/>
      <c r="N61" s="2012">
        <f t="shared" si="40"/>
        <v>0</v>
      </c>
      <c r="O61" s="2138" t="e">
        <f t="shared" si="36"/>
        <v>#DIV/0!</v>
      </c>
      <c r="P61" s="2046"/>
      <c r="Q61" s="2011"/>
      <c r="R61" s="2045"/>
      <c r="S61" s="2012">
        <f t="shared" si="41"/>
        <v>0</v>
      </c>
      <c r="T61" s="2138" t="e">
        <f t="shared" si="37"/>
        <v>#DIV/0!</v>
      </c>
      <c r="U61" s="2046"/>
      <c r="V61" s="2043">
        <f t="shared" si="42"/>
        <v>0</v>
      </c>
      <c r="W61" s="2043">
        <f t="shared" si="43"/>
        <v>0</v>
      </c>
      <c r="X61" s="2012">
        <f t="shared" si="44"/>
        <v>0</v>
      </c>
      <c r="Y61" s="2138">
        <f t="shared" si="38"/>
        <v>0</v>
      </c>
      <c r="Z61" s="2140"/>
    </row>
    <row r="62" spans="1:28" ht="24.6" customHeight="1" outlineLevel="2">
      <c r="A62" s="1571"/>
      <c r="B62" s="2588" t="s">
        <v>33</v>
      </c>
      <c r="C62" s="2558"/>
      <c r="D62" s="2560"/>
      <c r="E62" s="2571">
        <f t="shared" si="45"/>
        <v>0</v>
      </c>
      <c r="F62" s="2138" t="e">
        <f t="shared" si="46"/>
        <v>#DIV/0!</v>
      </c>
      <c r="G62" s="2011"/>
      <c r="H62" s="2045"/>
      <c r="I62" s="2012">
        <f t="shared" si="39"/>
        <v>0</v>
      </c>
      <c r="J62" s="2138">
        <f t="shared" si="35"/>
        <v>0</v>
      </c>
      <c r="K62" s="2046"/>
      <c r="L62" s="2011"/>
      <c r="M62" s="2045"/>
      <c r="N62" s="2012">
        <f t="shared" si="40"/>
        <v>0</v>
      </c>
      <c r="O62" s="2138" t="e">
        <f t="shared" si="36"/>
        <v>#DIV/0!</v>
      </c>
      <c r="P62" s="2046"/>
      <c r="Q62" s="2011"/>
      <c r="R62" s="2045"/>
      <c r="S62" s="2012">
        <f t="shared" si="41"/>
        <v>0</v>
      </c>
      <c r="T62" s="2138" t="e">
        <f t="shared" si="37"/>
        <v>#DIV/0!</v>
      </c>
      <c r="U62" s="2046"/>
      <c r="V62" s="2043">
        <f t="shared" si="42"/>
        <v>0</v>
      </c>
      <c r="W62" s="2043">
        <f t="shared" si="43"/>
        <v>0</v>
      </c>
      <c r="X62" s="2012">
        <f t="shared" si="44"/>
        <v>0</v>
      </c>
      <c r="Y62" s="2138">
        <f t="shared" si="38"/>
        <v>0</v>
      </c>
      <c r="Z62" s="2140"/>
    </row>
    <row r="63" spans="1:28" ht="24.6" customHeight="1" outlineLevel="2">
      <c r="A63" s="1571"/>
      <c r="B63" s="2588" t="s">
        <v>35</v>
      </c>
      <c r="C63" s="2558"/>
      <c r="D63" s="2560"/>
      <c r="E63" s="2571">
        <f t="shared" si="45"/>
        <v>0</v>
      </c>
      <c r="F63" s="2138" t="e">
        <f t="shared" si="46"/>
        <v>#DIV/0!</v>
      </c>
      <c r="G63" s="2011"/>
      <c r="H63" s="1951"/>
      <c r="I63" s="2012">
        <f>G63+H63*1</f>
        <v>0</v>
      </c>
      <c r="J63" s="2138">
        <f t="shared" si="35"/>
        <v>0</v>
      </c>
      <c r="K63" s="2046"/>
      <c r="L63" s="2011"/>
      <c r="M63" s="1951"/>
      <c r="N63" s="2012">
        <f>L63+M63*1</f>
        <v>0</v>
      </c>
      <c r="O63" s="2138" t="e">
        <f t="shared" si="36"/>
        <v>#DIV/0!</v>
      </c>
      <c r="P63" s="2046"/>
      <c r="Q63" s="2011"/>
      <c r="R63" s="1951"/>
      <c r="S63" s="2012">
        <f>Q63+R63*1</f>
        <v>0</v>
      </c>
      <c r="T63" s="2138" t="e">
        <f t="shared" si="37"/>
        <v>#DIV/0!</v>
      </c>
      <c r="U63" s="2046"/>
      <c r="V63" s="2043">
        <f t="shared" si="42"/>
        <v>0</v>
      </c>
      <c r="W63" s="2043">
        <f t="shared" si="43"/>
        <v>0</v>
      </c>
      <c r="X63" s="2012">
        <f t="shared" si="44"/>
        <v>0</v>
      </c>
      <c r="Y63" s="2138">
        <f t="shared" si="38"/>
        <v>0</v>
      </c>
      <c r="Z63" s="2140"/>
    </row>
    <row r="64" spans="1:28" ht="24.6" customHeight="1" outlineLevel="2">
      <c r="A64" s="1571"/>
      <c r="B64" s="2588" t="s">
        <v>63</v>
      </c>
      <c r="C64" s="2558"/>
      <c r="D64" s="2560"/>
      <c r="E64" s="2571">
        <f t="shared" si="45"/>
        <v>0</v>
      </c>
      <c r="F64" s="2138" t="e">
        <f t="shared" si="46"/>
        <v>#DIV/0!</v>
      </c>
      <c r="G64" s="2011"/>
      <c r="H64" s="2045"/>
      <c r="I64" s="2012">
        <f>G64+H64*1</f>
        <v>0</v>
      </c>
      <c r="J64" s="2138">
        <f t="shared" si="35"/>
        <v>0</v>
      </c>
      <c r="K64" s="2046"/>
      <c r="L64" s="2011"/>
      <c r="M64" s="2045"/>
      <c r="N64" s="2012">
        <f>L64+M64*1</f>
        <v>0</v>
      </c>
      <c r="O64" s="2138" t="e">
        <f t="shared" si="36"/>
        <v>#DIV/0!</v>
      </c>
      <c r="P64" s="2046"/>
      <c r="Q64" s="2011"/>
      <c r="R64" s="2045"/>
      <c r="S64" s="2012">
        <f>Q64+R64*1</f>
        <v>0</v>
      </c>
      <c r="T64" s="2138" t="e">
        <f t="shared" si="37"/>
        <v>#DIV/0!</v>
      </c>
      <c r="U64" s="2046"/>
      <c r="V64" s="2043">
        <f t="shared" si="42"/>
        <v>0</v>
      </c>
      <c r="W64" s="2043">
        <f t="shared" si="43"/>
        <v>0</v>
      </c>
      <c r="X64" s="2012">
        <f t="shared" si="44"/>
        <v>0</v>
      </c>
      <c r="Y64" s="2138">
        <f t="shared" si="38"/>
        <v>0</v>
      </c>
      <c r="Z64" s="2140"/>
    </row>
    <row r="65" spans="1:28" ht="24.6" customHeight="1" outlineLevel="2">
      <c r="A65" s="1571"/>
      <c r="B65" s="2588" t="s">
        <v>36</v>
      </c>
      <c r="C65" s="2558"/>
      <c r="D65" s="2560"/>
      <c r="E65" s="2571">
        <f t="shared" si="45"/>
        <v>0</v>
      </c>
      <c r="F65" s="2138" t="e">
        <f t="shared" si="46"/>
        <v>#DIV/0!</v>
      </c>
      <c r="G65" s="2045"/>
      <c r="H65" s="2045"/>
      <c r="I65" s="2012">
        <f t="shared" ref="I65:I71" si="47">G65+H65*1</f>
        <v>0</v>
      </c>
      <c r="J65" s="2138">
        <f t="shared" si="35"/>
        <v>0</v>
      </c>
      <c r="K65" s="2046"/>
      <c r="L65" s="2045"/>
      <c r="M65" s="2045"/>
      <c r="N65" s="2012">
        <f t="shared" ref="N65:N71" si="48">L65+M65*1</f>
        <v>0</v>
      </c>
      <c r="O65" s="2138" t="e">
        <f t="shared" si="36"/>
        <v>#DIV/0!</v>
      </c>
      <c r="P65" s="2046"/>
      <c r="Q65" s="2045"/>
      <c r="R65" s="2045"/>
      <c r="S65" s="2012">
        <f t="shared" ref="S65:S71" si="49">Q65+R65*1</f>
        <v>0</v>
      </c>
      <c r="T65" s="2138" t="e">
        <f t="shared" si="37"/>
        <v>#DIV/0!</v>
      </c>
      <c r="U65" s="2046"/>
      <c r="V65" s="2043">
        <f t="shared" si="42"/>
        <v>0</v>
      </c>
      <c r="W65" s="2043">
        <f t="shared" si="43"/>
        <v>0</v>
      </c>
      <c r="X65" s="2012">
        <f t="shared" si="44"/>
        <v>0</v>
      </c>
      <c r="Y65" s="2138">
        <f t="shared" si="38"/>
        <v>0</v>
      </c>
      <c r="Z65" s="2140"/>
    </row>
    <row r="66" spans="1:28" s="1396" customFormat="1" ht="24.6" customHeight="1" outlineLevel="2">
      <c r="A66" s="1571"/>
      <c r="B66" s="2588" t="s">
        <v>37</v>
      </c>
      <c r="C66" s="2558"/>
      <c r="D66" s="2560"/>
      <c r="E66" s="2571">
        <f t="shared" si="45"/>
        <v>0</v>
      </c>
      <c r="F66" s="2138" t="e">
        <f t="shared" si="46"/>
        <v>#DIV/0!</v>
      </c>
      <c r="G66" s="2011"/>
      <c r="H66" s="2043"/>
      <c r="I66" s="2012">
        <f t="shared" si="47"/>
        <v>0</v>
      </c>
      <c r="J66" s="2138">
        <f t="shared" si="35"/>
        <v>0</v>
      </c>
      <c r="K66" s="2046"/>
      <c r="L66" s="2011"/>
      <c r="M66" s="2043"/>
      <c r="N66" s="2012">
        <f t="shared" si="48"/>
        <v>0</v>
      </c>
      <c r="O66" s="2138" t="e">
        <f t="shared" si="36"/>
        <v>#DIV/0!</v>
      </c>
      <c r="P66" s="2046"/>
      <c r="Q66" s="2011"/>
      <c r="R66" s="2043"/>
      <c r="S66" s="2012">
        <f t="shared" si="49"/>
        <v>0</v>
      </c>
      <c r="T66" s="2138" t="e">
        <f t="shared" si="37"/>
        <v>#DIV/0!</v>
      </c>
      <c r="U66" s="2046"/>
      <c r="V66" s="2043">
        <f t="shared" si="42"/>
        <v>0</v>
      </c>
      <c r="W66" s="2043">
        <f t="shared" si="43"/>
        <v>0</v>
      </c>
      <c r="X66" s="2012">
        <f t="shared" si="44"/>
        <v>0</v>
      </c>
      <c r="Y66" s="2138">
        <f t="shared" si="38"/>
        <v>0</v>
      </c>
      <c r="Z66" s="2140"/>
    </row>
    <row r="67" spans="1:28" s="1396" customFormat="1" ht="24.6" customHeight="1" outlineLevel="2">
      <c r="A67" s="1571"/>
      <c r="B67" s="2588" t="s">
        <v>3</v>
      </c>
      <c r="C67" s="2558"/>
      <c r="D67" s="2560"/>
      <c r="E67" s="2571">
        <f t="shared" si="45"/>
        <v>0</v>
      </c>
      <c r="F67" s="2138" t="e">
        <f t="shared" si="46"/>
        <v>#DIV/0!</v>
      </c>
      <c r="G67" s="2011"/>
      <c r="H67" s="2011"/>
      <c r="I67" s="2012">
        <f t="shared" si="47"/>
        <v>0</v>
      </c>
      <c r="J67" s="2138">
        <f t="shared" si="35"/>
        <v>0</v>
      </c>
      <c r="K67" s="2046"/>
      <c r="L67" s="2011"/>
      <c r="M67" s="2011"/>
      <c r="N67" s="2012">
        <f t="shared" si="48"/>
        <v>0</v>
      </c>
      <c r="O67" s="2138" t="e">
        <f t="shared" si="36"/>
        <v>#DIV/0!</v>
      </c>
      <c r="P67" s="2046"/>
      <c r="Q67" s="2011"/>
      <c r="R67" s="2011"/>
      <c r="S67" s="2012">
        <f t="shared" si="49"/>
        <v>0</v>
      </c>
      <c r="T67" s="2138" t="e">
        <f t="shared" si="37"/>
        <v>#DIV/0!</v>
      </c>
      <c r="U67" s="2046"/>
      <c r="V67" s="2043">
        <f t="shared" si="42"/>
        <v>0</v>
      </c>
      <c r="W67" s="2043">
        <f t="shared" si="43"/>
        <v>0</v>
      </c>
      <c r="X67" s="2012">
        <f t="shared" si="44"/>
        <v>0</v>
      </c>
      <c r="Y67" s="2138">
        <f t="shared" si="38"/>
        <v>0</v>
      </c>
      <c r="Z67" s="2140"/>
    </row>
    <row r="68" spans="1:28" s="1396" customFormat="1" ht="24.6" customHeight="1" outlineLevel="2">
      <c r="A68" s="1571"/>
      <c r="B68" s="2588" t="s">
        <v>5</v>
      </c>
      <c r="C68" s="2558"/>
      <c r="D68" s="2560"/>
      <c r="E68" s="2571">
        <f t="shared" si="45"/>
        <v>0</v>
      </c>
      <c r="F68" s="2138" t="e">
        <f t="shared" si="46"/>
        <v>#DIV/0!</v>
      </c>
      <c r="G68" s="2043"/>
      <c r="H68" s="2043"/>
      <c r="I68" s="2012">
        <f t="shared" si="47"/>
        <v>0</v>
      </c>
      <c r="J68" s="2138">
        <f t="shared" si="35"/>
        <v>0</v>
      </c>
      <c r="K68" s="2046"/>
      <c r="L68" s="2043"/>
      <c r="M68" s="2043"/>
      <c r="N68" s="2012">
        <f t="shared" si="48"/>
        <v>0</v>
      </c>
      <c r="O68" s="2138" t="e">
        <f t="shared" si="36"/>
        <v>#DIV/0!</v>
      </c>
      <c r="P68" s="2046"/>
      <c r="Q68" s="2043"/>
      <c r="R68" s="2043"/>
      <c r="S68" s="2012">
        <f t="shared" si="49"/>
        <v>0</v>
      </c>
      <c r="T68" s="2138" t="e">
        <f t="shared" si="37"/>
        <v>#DIV/0!</v>
      </c>
      <c r="U68" s="2046"/>
      <c r="V68" s="2043">
        <f t="shared" si="42"/>
        <v>0</v>
      </c>
      <c r="W68" s="2043">
        <f t="shared" si="43"/>
        <v>0</v>
      </c>
      <c r="X68" s="2012">
        <f t="shared" si="44"/>
        <v>0</v>
      </c>
      <c r="Y68" s="2138">
        <f t="shared" si="38"/>
        <v>0</v>
      </c>
      <c r="Z68" s="2140"/>
    </row>
    <row r="69" spans="1:28" s="1396" customFormat="1" ht="24.6" customHeight="1" outlineLevel="2">
      <c r="A69" s="1571"/>
      <c r="B69" s="2588" t="s">
        <v>42</v>
      </c>
      <c r="C69" s="2558"/>
      <c r="D69" s="2560"/>
      <c r="E69" s="2571">
        <f t="shared" si="45"/>
        <v>0</v>
      </c>
      <c r="F69" s="2138" t="e">
        <f t="shared" si="46"/>
        <v>#DIV/0!</v>
      </c>
      <c r="G69" s="2011"/>
      <c r="H69" s="2043"/>
      <c r="I69" s="2012">
        <f t="shared" si="47"/>
        <v>0</v>
      </c>
      <c r="J69" s="2138">
        <f t="shared" si="35"/>
        <v>0</v>
      </c>
      <c r="K69" s="2485"/>
      <c r="L69" s="2011"/>
      <c r="M69" s="2043"/>
      <c r="N69" s="2012">
        <f t="shared" si="48"/>
        <v>0</v>
      </c>
      <c r="O69" s="2138" t="e">
        <f t="shared" si="36"/>
        <v>#DIV/0!</v>
      </c>
      <c r="P69" s="2485"/>
      <c r="Q69" s="2011"/>
      <c r="R69" s="2043"/>
      <c r="S69" s="2012">
        <f t="shared" si="49"/>
        <v>0</v>
      </c>
      <c r="T69" s="2138" t="e">
        <f t="shared" si="37"/>
        <v>#DIV/0!</v>
      </c>
      <c r="U69" s="2485"/>
      <c r="V69" s="2043">
        <f t="shared" si="42"/>
        <v>0</v>
      </c>
      <c r="W69" s="2043">
        <f t="shared" si="43"/>
        <v>0</v>
      </c>
      <c r="X69" s="2012">
        <f t="shared" si="44"/>
        <v>0</v>
      </c>
      <c r="Y69" s="2138">
        <f t="shared" si="38"/>
        <v>0</v>
      </c>
      <c r="Z69" s="2140"/>
    </row>
    <row r="70" spans="1:28" s="1396" customFormat="1" ht="24.6" customHeight="1" outlineLevel="2">
      <c r="A70" s="1571"/>
      <c r="B70" s="2588" t="s">
        <v>6</v>
      </c>
      <c r="C70" s="2577"/>
      <c r="D70" s="2560"/>
      <c r="E70" s="2571">
        <f t="shared" si="45"/>
        <v>0</v>
      </c>
      <c r="F70" s="2138" t="e">
        <f t="shared" si="46"/>
        <v>#DIV/0!</v>
      </c>
      <c r="G70" s="2011"/>
      <c r="H70" s="2051"/>
      <c r="I70" s="2012">
        <f t="shared" si="47"/>
        <v>0</v>
      </c>
      <c r="J70" s="2138">
        <f t="shared" si="35"/>
        <v>0</v>
      </c>
      <c r="K70" s="2046"/>
      <c r="L70" s="2011"/>
      <c r="M70" s="2051"/>
      <c r="N70" s="2012">
        <f t="shared" si="48"/>
        <v>0</v>
      </c>
      <c r="O70" s="2138" t="e">
        <f t="shared" si="36"/>
        <v>#DIV/0!</v>
      </c>
      <c r="P70" s="2046"/>
      <c r="Q70" s="2011"/>
      <c r="R70" s="2051"/>
      <c r="S70" s="2012">
        <f t="shared" si="49"/>
        <v>0</v>
      </c>
      <c r="T70" s="2138" t="e">
        <f t="shared" si="37"/>
        <v>#DIV/0!</v>
      </c>
      <c r="U70" s="2046"/>
      <c r="V70" s="2043">
        <f t="shared" si="42"/>
        <v>0</v>
      </c>
      <c r="W70" s="2043">
        <f t="shared" si="43"/>
        <v>0</v>
      </c>
      <c r="X70" s="2012">
        <f t="shared" si="44"/>
        <v>0</v>
      </c>
      <c r="Y70" s="2138">
        <f>X70/$X$89</f>
        <v>0</v>
      </c>
      <c r="Z70" s="2140"/>
    </row>
    <row r="71" spans="1:28" s="1396" customFormat="1" ht="24.6" customHeight="1" outlineLevel="2">
      <c r="A71" s="1571"/>
      <c r="B71" s="2588" t="s">
        <v>235</v>
      </c>
      <c r="C71" s="2577"/>
      <c r="D71" s="2560"/>
      <c r="E71" s="2571">
        <f t="shared" si="45"/>
        <v>0</v>
      </c>
      <c r="F71" s="2017" t="e">
        <f t="shared" si="46"/>
        <v>#DIV/0!</v>
      </c>
      <c r="G71" s="2051"/>
      <c r="H71" s="2043"/>
      <c r="I71" s="2012">
        <f t="shared" si="47"/>
        <v>0</v>
      </c>
      <c r="J71" s="2138">
        <f t="shared" si="35"/>
        <v>0</v>
      </c>
      <c r="K71" s="2046"/>
      <c r="L71" s="2051"/>
      <c r="M71" s="2043"/>
      <c r="N71" s="2012">
        <f t="shared" si="48"/>
        <v>0</v>
      </c>
      <c r="O71" s="2138" t="e">
        <f t="shared" si="36"/>
        <v>#DIV/0!</v>
      </c>
      <c r="P71" s="2046"/>
      <c r="Q71" s="2051"/>
      <c r="R71" s="2043"/>
      <c r="S71" s="2012">
        <f t="shared" si="49"/>
        <v>0</v>
      </c>
      <c r="T71" s="2138" t="e">
        <f t="shared" si="37"/>
        <v>#DIV/0!</v>
      </c>
      <c r="U71" s="2046"/>
      <c r="V71" s="2043">
        <f t="shared" si="42"/>
        <v>0</v>
      </c>
      <c r="W71" s="2043">
        <f t="shared" si="43"/>
        <v>0</v>
      </c>
      <c r="X71" s="2012">
        <f t="shared" si="44"/>
        <v>0</v>
      </c>
      <c r="Y71" s="2138">
        <f t="shared" si="38"/>
        <v>0</v>
      </c>
      <c r="Z71" s="2140"/>
    </row>
    <row r="72" spans="1:28" s="1396" customFormat="1" ht="24.6" customHeight="1" outlineLevel="2" thickBot="1">
      <c r="A72" s="1571"/>
      <c r="B72" s="2597"/>
      <c r="C72" s="2488"/>
      <c r="D72" s="2489"/>
      <c r="E72" s="2571"/>
      <c r="F72" s="2017" t="e">
        <f t="shared" si="46"/>
        <v>#DIV/0!</v>
      </c>
      <c r="G72" s="2029"/>
      <c r="H72" s="2027"/>
      <c r="I72" s="2030"/>
      <c r="J72" s="2017"/>
      <c r="K72" s="1990"/>
      <c r="L72" s="2029"/>
      <c r="M72" s="2027"/>
      <c r="N72" s="2030"/>
      <c r="O72" s="2017"/>
      <c r="P72" s="1990"/>
      <c r="Q72" s="2029"/>
      <c r="R72" s="2027"/>
      <c r="S72" s="2030"/>
      <c r="T72" s="2017"/>
      <c r="U72" s="1990"/>
      <c r="V72" s="2043"/>
      <c r="W72" s="2043"/>
      <c r="X72" s="2030"/>
      <c r="Y72" s="2017">
        <f>X72/$X$89</f>
        <v>0</v>
      </c>
      <c r="Z72" s="1928"/>
    </row>
    <row r="73" spans="1:28" s="1396" customFormat="1" ht="14.4" customHeight="1" outlineLevel="1" thickBot="1">
      <c r="A73" s="1571"/>
      <c r="B73" s="986" t="s">
        <v>4</v>
      </c>
      <c r="C73" s="1584">
        <f>C74</f>
        <v>0</v>
      </c>
      <c r="D73" s="843">
        <f>D74</f>
        <v>0</v>
      </c>
      <c r="E73" s="1584">
        <f>E74</f>
        <v>0</v>
      </c>
      <c r="F73" s="838" t="e">
        <f>E73/$E$89</f>
        <v>#DIV/0!</v>
      </c>
      <c r="G73" s="1584">
        <f>G74</f>
        <v>0</v>
      </c>
      <c r="H73" s="1584">
        <f>H74</f>
        <v>0</v>
      </c>
      <c r="I73" s="1688">
        <f>I74</f>
        <v>0</v>
      </c>
      <c r="J73" s="1689">
        <f t="shared" ref="J73:J74" si="50">I73/I$89</f>
        <v>0</v>
      </c>
      <c r="K73" s="1732"/>
      <c r="L73" s="1584">
        <f>L74</f>
        <v>0</v>
      </c>
      <c r="M73" s="1584">
        <f>M74</f>
        <v>0</v>
      </c>
      <c r="N73" s="1688">
        <f>N74</f>
        <v>0</v>
      </c>
      <c r="O73" s="1689" t="e">
        <f t="shared" ref="O73:O74" si="51">N73/N$89</f>
        <v>#DIV/0!</v>
      </c>
      <c r="P73" s="1732"/>
      <c r="Q73" s="1584">
        <f>Q74</f>
        <v>0</v>
      </c>
      <c r="R73" s="1584">
        <f>R74</f>
        <v>0</v>
      </c>
      <c r="S73" s="1688">
        <f>S74</f>
        <v>0</v>
      </c>
      <c r="T73" s="1689" t="e">
        <f t="shared" ref="T73:T74" si="52">S73/S$89</f>
        <v>#DIV/0!</v>
      </c>
      <c r="U73" s="1732"/>
      <c r="V73" s="1584">
        <f>V74</f>
        <v>0</v>
      </c>
      <c r="W73" s="1689">
        <f>W74</f>
        <v>0</v>
      </c>
      <c r="X73" s="1688">
        <f>X74</f>
        <v>0</v>
      </c>
      <c r="Y73" s="1689"/>
      <c r="Z73" s="1689"/>
    </row>
    <row r="74" spans="1:28" s="1396" customFormat="1" ht="14.4" customHeight="1" outlineLevel="1" thickBot="1">
      <c r="A74" s="1413"/>
      <c r="B74" s="985" t="s">
        <v>64</v>
      </c>
      <c r="C74" s="304"/>
      <c r="D74" s="305"/>
      <c r="E74" s="306">
        <f>C74+D74</f>
        <v>0</v>
      </c>
      <c r="F74" s="307"/>
      <c r="G74" s="2028"/>
      <c r="H74" s="2025"/>
      <c r="I74" s="1628">
        <f>G74+H74*1</f>
        <v>0</v>
      </c>
      <c r="J74" s="1664">
        <f t="shared" si="50"/>
        <v>0</v>
      </c>
      <c r="K74" s="1675"/>
      <c r="L74" s="2028"/>
      <c r="M74" s="2025"/>
      <c r="N74" s="1628">
        <f>L74+M74*1</f>
        <v>0</v>
      </c>
      <c r="O74" s="1664" t="e">
        <f t="shared" si="51"/>
        <v>#DIV/0!</v>
      </c>
      <c r="P74" s="1675"/>
      <c r="Q74" s="2028"/>
      <c r="R74" s="2025"/>
      <c r="S74" s="1628">
        <f>Q74+R74*1</f>
        <v>0</v>
      </c>
      <c r="T74" s="1664" t="e">
        <f t="shared" si="52"/>
        <v>#DIV/0!</v>
      </c>
      <c r="U74" s="1675"/>
      <c r="V74" s="2043">
        <f t="shared" ref="V74" si="53">G74+L74+Q74</f>
        <v>0</v>
      </c>
      <c r="W74" s="2043">
        <f t="shared" ref="W74" si="54">H74+M74+R74</f>
        <v>0</v>
      </c>
      <c r="X74" s="1628">
        <f>V74+W74*1</f>
        <v>0</v>
      </c>
      <c r="Y74" s="1664">
        <f>X74/$X$89</f>
        <v>0</v>
      </c>
      <c r="Z74" s="1648"/>
    </row>
    <row r="75" spans="1:28" s="1396" customFormat="1" ht="14.4" customHeight="1" thickBot="1">
      <c r="A75" s="1399"/>
      <c r="B75" s="971" t="s">
        <v>48</v>
      </c>
      <c r="C75" s="1958">
        <f>C38-C41-C50-C54</f>
        <v>0</v>
      </c>
      <c r="D75" s="1958">
        <f>D38-D41-D50-D54</f>
        <v>0</v>
      </c>
      <c r="E75" s="1508">
        <f>E38-E41-E50-E54</f>
        <v>0</v>
      </c>
      <c r="F75" s="1536"/>
      <c r="G75" s="1450">
        <f>G38-G41-G50-G54</f>
        <v>67328</v>
      </c>
      <c r="H75" s="1450">
        <f>H38-H41-H50-H54</f>
        <v>0</v>
      </c>
      <c r="I75" s="1508">
        <f>I38-I41-I50-I54</f>
        <v>67328</v>
      </c>
      <c r="J75" s="1953"/>
      <c r="K75" s="1660"/>
      <c r="L75" s="1450">
        <f>L38-L41-L50-L54</f>
        <v>0</v>
      </c>
      <c r="M75" s="1450">
        <f>M38-M41-M50-M54</f>
        <v>0</v>
      </c>
      <c r="N75" s="1508">
        <f>N38-N41-N50-N54</f>
        <v>0</v>
      </c>
      <c r="O75" s="1953"/>
      <c r="P75" s="1660"/>
      <c r="Q75" s="1450">
        <f>Q38-Q41-Q50-Q54</f>
        <v>0</v>
      </c>
      <c r="R75" s="1450">
        <f>R38-R41-R50-R54</f>
        <v>0</v>
      </c>
      <c r="S75" s="1508">
        <f>S38-S41-S50-S54</f>
        <v>0</v>
      </c>
      <c r="T75" s="1953"/>
      <c r="U75" s="1660"/>
      <c r="V75" s="1450">
        <f>V38-V41-V50-V54</f>
        <v>67328</v>
      </c>
      <c r="W75" s="1450">
        <f>W38-W41-W50-W54</f>
        <v>0</v>
      </c>
      <c r="X75" s="1508">
        <f>X38-X41-X50-X54</f>
        <v>67328</v>
      </c>
      <c r="Y75" s="1953"/>
      <c r="Z75" s="1953"/>
    </row>
    <row r="76" spans="1:28" s="1396" customFormat="1" ht="14.4" customHeight="1">
      <c r="A76" s="1566"/>
      <c r="B76" s="972" t="s">
        <v>49</v>
      </c>
      <c r="C76" s="1525" t="e">
        <f>C75/C5</f>
        <v>#DIV/0!</v>
      </c>
      <c r="D76" s="1525" t="e">
        <f>D75/D5</f>
        <v>#DIV/0!</v>
      </c>
      <c r="E76" s="1526" t="e">
        <f>E75/E5</f>
        <v>#DIV/0!</v>
      </c>
      <c r="F76" s="1531"/>
      <c r="G76" s="2003">
        <f>G75/G5</f>
        <v>0.5518688524590164</v>
      </c>
      <c r="H76" s="2003" t="e">
        <f>H75/H5</f>
        <v>#DIV/0!</v>
      </c>
      <c r="I76" s="2004">
        <f>I75/I5</f>
        <v>0.5518688524590164</v>
      </c>
      <c r="J76" s="2004"/>
      <c r="K76" s="1661"/>
      <c r="L76" s="2003" t="e">
        <f>L75/L5</f>
        <v>#DIV/0!</v>
      </c>
      <c r="M76" s="2003" t="e">
        <f>M75/M5</f>
        <v>#DIV/0!</v>
      </c>
      <c r="N76" s="2004" t="e">
        <f>N75/N5</f>
        <v>#DIV/0!</v>
      </c>
      <c r="O76" s="2004"/>
      <c r="P76" s="1661"/>
      <c r="Q76" s="2003" t="e">
        <f>Q75/Q5</f>
        <v>#DIV/0!</v>
      </c>
      <c r="R76" s="2003" t="e">
        <f>R75/R5</f>
        <v>#DIV/0!</v>
      </c>
      <c r="S76" s="2004" t="e">
        <f>S75/S5</f>
        <v>#DIV/0!</v>
      </c>
      <c r="T76" s="2004"/>
      <c r="U76" s="1661"/>
      <c r="V76" s="2003">
        <f>V75/V5</f>
        <v>0.5518688524590164</v>
      </c>
      <c r="W76" s="2003" t="e">
        <f>W75/W5</f>
        <v>#DIV/0!</v>
      </c>
      <c r="X76" s="2004">
        <f>X75/X5</f>
        <v>0.5518688524590164</v>
      </c>
      <c r="Y76" s="2004"/>
      <c r="Z76" s="2004"/>
    </row>
    <row r="77" spans="1:28" s="1396" customFormat="1" ht="14.4" customHeight="1" outlineLevel="1" thickBot="1">
      <c r="A77" s="1566"/>
      <c r="B77" s="2598" t="s">
        <v>9</v>
      </c>
      <c r="C77" s="2515">
        <f>C78-C79</f>
        <v>0</v>
      </c>
      <c r="D77" s="2515">
        <f>D78-D79</f>
        <v>0</v>
      </c>
      <c r="E77" s="2516">
        <f>E78-E79</f>
        <v>0</v>
      </c>
      <c r="F77" s="2547"/>
      <c r="G77" s="2515">
        <f>G78-G79</f>
        <v>0</v>
      </c>
      <c r="H77" s="2515">
        <f>H78-H79</f>
        <v>0</v>
      </c>
      <c r="I77" s="2516">
        <f>I78-I79</f>
        <v>0</v>
      </c>
      <c r="J77" s="2517">
        <f t="shared" ref="J77" si="55">I77/I$89</f>
        <v>0</v>
      </c>
      <c r="K77" s="2518"/>
      <c r="L77" s="2515">
        <f>L78-L79</f>
        <v>0</v>
      </c>
      <c r="M77" s="2515">
        <f>M78-M79</f>
        <v>0</v>
      </c>
      <c r="N77" s="2516">
        <f>N78-N79</f>
        <v>0</v>
      </c>
      <c r="O77" s="2517" t="e">
        <f t="shared" ref="O77" si="56">N77/N$89</f>
        <v>#DIV/0!</v>
      </c>
      <c r="P77" s="2518"/>
      <c r="Q77" s="2515">
        <f>Q78-Q79</f>
        <v>0</v>
      </c>
      <c r="R77" s="2515">
        <f>R78-R79</f>
        <v>0</v>
      </c>
      <c r="S77" s="2516">
        <f>S78-S79</f>
        <v>0</v>
      </c>
      <c r="T77" s="2517" t="e">
        <f t="shared" ref="T77" si="57">S77/S$89</f>
        <v>#DIV/0!</v>
      </c>
      <c r="U77" s="2518"/>
      <c r="V77" s="2515">
        <f>V78-V79</f>
        <v>0</v>
      </c>
      <c r="W77" s="2515">
        <f>W79</f>
        <v>0</v>
      </c>
      <c r="X77" s="2516">
        <f>X78-X79</f>
        <v>0</v>
      </c>
      <c r="Y77" s="2517"/>
      <c r="Z77" s="2517"/>
    </row>
    <row r="78" spans="1:28" s="1396" customFormat="1" ht="14.4" customHeight="1" outlineLevel="2">
      <c r="A78" s="1405"/>
      <c r="B78" s="1622" t="s">
        <v>43</v>
      </c>
      <c r="C78" s="1510"/>
      <c r="D78" s="1511"/>
      <c r="E78" s="2502">
        <f>C78+D78*1.15</f>
        <v>0</v>
      </c>
      <c r="F78" s="1547"/>
      <c r="G78" s="1618"/>
      <c r="H78" s="1674"/>
      <c r="I78" s="2012">
        <f>G78+H78*1.15</f>
        <v>0</v>
      </c>
      <c r="J78" s="2138" t="e">
        <f>I78/$AS$89</f>
        <v>#DIV/0!</v>
      </c>
      <c r="K78" s="1662"/>
      <c r="L78" s="1618"/>
      <c r="M78" s="1674"/>
      <c r="N78" s="2012">
        <f>L78+M78*1.15</f>
        <v>0</v>
      </c>
      <c r="O78" s="2138" t="e">
        <f>N78/$AS$89</f>
        <v>#DIV/0!</v>
      </c>
      <c r="P78" s="1662"/>
      <c r="Q78" s="1618"/>
      <c r="R78" s="1674"/>
      <c r="S78" s="2012">
        <f>Q78+R78*1.15</f>
        <v>0</v>
      </c>
      <c r="T78" s="2138" t="e">
        <f>S78/$BC$89</f>
        <v>#DIV/0!</v>
      </c>
      <c r="U78" s="1662"/>
      <c r="V78" s="2043">
        <f t="shared" ref="V78:V79" si="58">G78+L78+Q78</f>
        <v>0</v>
      </c>
      <c r="W78" s="2043">
        <f t="shared" ref="W78:W79" si="59">H78+M78+R78</f>
        <v>0</v>
      </c>
      <c r="X78" s="2012">
        <f>V78+W78*1</f>
        <v>0</v>
      </c>
      <c r="Y78" s="1452"/>
      <c r="Z78" s="1452"/>
    </row>
    <row r="79" spans="1:28" s="1396" customFormat="1" ht="14.4" customHeight="1" outlineLevel="2">
      <c r="A79" s="1405"/>
      <c r="B79" s="2557" t="s">
        <v>79</v>
      </c>
      <c r="C79" s="2558"/>
      <c r="D79" s="2502"/>
      <c r="E79" s="2502">
        <f>C79+D79</f>
        <v>0</v>
      </c>
      <c r="F79" s="2484" t="e">
        <f>E79/$E$89</f>
        <v>#DIV/0!</v>
      </c>
      <c r="G79" s="1618"/>
      <c r="H79" s="1674"/>
      <c r="I79" s="2012">
        <f>(H8+H41+H50+H54)/(1-'расчет 2024'!E21)*'расчет 2024'!E21</f>
        <v>0</v>
      </c>
      <c r="J79" s="2138">
        <f t="shared" ref="J79" si="60">I79/I$89</f>
        <v>0</v>
      </c>
      <c r="K79" s="2633"/>
      <c r="L79" s="1618"/>
      <c r="M79" s="1674"/>
      <c r="N79" s="2012">
        <f>(M8+M41+M50+M54)/(1-'расчет 2024'!E22)*'расчет 2024'!E22</f>
        <v>0</v>
      </c>
      <c r="O79" s="2138" t="e">
        <f t="shared" ref="O79" si="61">N79/N$89</f>
        <v>#DIV/0!</v>
      </c>
      <c r="P79" s="2633"/>
      <c r="Q79" s="1618"/>
      <c r="R79" s="1674"/>
      <c r="S79" s="2012">
        <f>(R8+R41+R50+R54)/(1-'расчет 2024'!E23)*'расчет 2024'!E23</f>
        <v>0</v>
      </c>
      <c r="T79" s="2138" t="e">
        <f t="shared" ref="T79" si="62">S79/S$89</f>
        <v>#DIV/0!</v>
      </c>
      <c r="U79" s="2633"/>
      <c r="V79" s="2043">
        <f t="shared" si="58"/>
        <v>0</v>
      </c>
      <c r="W79" s="2043">
        <f t="shared" si="59"/>
        <v>0</v>
      </c>
      <c r="X79" s="2043">
        <f t="shared" ref="X79" si="63">I79+N79</f>
        <v>0</v>
      </c>
      <c r="Y79" s="2147"/>
      <c r="Z79" s="2147"/>
      <c r="AA79" s="3144"/>
      <c r="AB79" s="3145"/>
    </row>
    <row r="80" spans="1:28" ht="14.4" customHeight="1" outlineLevel="2">
      <c r="A80" s="1397"/>
      <c r="B80" s="2599"/>
      <c r="C80" s="2582"/>
      <c r="D80" s="2583"/>
      <c r="E80" s="2491"/>
      <c r="F80" s="2492"/>
      <c r="G80" s="2051"/>
      <c r="H80" s="2043"/>
      <c r="I80" s="2465"/>
      <c r="J80" s="2465"/>
      <c r="K80" s="2519"/>
      <c r="L80" s="2051"/>
      <c r="M80" s="2043"/>
      <c r="N80" s="2465"/>
      <c r="O80" s="2465"/>
      <c r="P80" s="2519"/>
      <c r="Q80" s="1618"/>
      <c r="R80" s="1674"/>
      <c r="S80" s="2465"/>
      <c r="T80" s="2465"/>
      <c r="U80" s="2519"/>
      <c r="V80" s="2043"/>
      <c r="W80" s="2043"/>
      <c r="X80" s="2465"/>
      <c r="Y80" s="2465"/>
      <c r="Z80" s="2465"/>
      <c r="AA80" s="3144"/>
      <c r="AB80" s="3145"/>
    </row>
    <row r="81" spans="1:26" s="1396" customFormat="1" ht="14.4" customHeight="1" outlineLevel="1" thickBot="1">
      <c r="A81" s="1419"/>
      <c r="B81" s="2598" t="s">
        <v>12</v>
      </c>
      <c r="C81" s="2515">
        <f>(C75+C78)-C79</f>
        <v>0</v>
      </c>
      <c r="D81" s="2515">
        <f>(D75+D78)-D79</f>
        <v>0</v>
      </c>
      <c r="E81" s="2516">
        <f>(E75+E78)-E79</f>
        <v>0</v>
      </c>
      <c r="F81" s="2547"/>
      <c r="G81" s="2515">
        <f>(G75+G78)-G79</f>
        <v>67328</v>
      </c>
      <c r="H81" s="2515">
        <f>(H75+H78)-H79</f>
        <v>0</v>
      </c>
      <c r="I81" s="2516">
        <f>(I75+I78)-I79</f>
        <v>67328</v>
      </c>
      <c r="J81" s="2517"/>
      <c r="K81" s="2518"/>
      <c r="L81" s="2515">
        <f>(L75+L78)-L79</f>
        <v>0</v>
      </c>
      <c r="M81" s="2515">
        <f>(M75+M78)-M79</f>
        <v>0</v>
      </c>
      <c r="N81" s="2516">
        <f>(N75+N78)-N79</f>
        <v>0</v>
      </c>
      <c r="O81" s="2517"/>
      <c r="P81" s="2518"/>
      <c r="Q81" s="2515">
        <f>(Q75+Q78)-Q79</f>
        <v>0</v>
      </c>
      <c r="R81" s="2515">
        <f>(R75+R78)-R79</f>
        <v>0</v>
      </c>
      <c r="S81" s="2516">
        <f>(S75+S78)-S79</f>
        <v>0</v>
      </c>
      <c r="T81" s="2517"/>
      <c r="U81" s="2518"/>
      <c r="V81" s="2516">
        <f>(V75+V78)-V79</f>
        <v>67328</v>
      </c>
      <c r="W81" s="2516">
        <f>(W75+W78)-W79</f>
        <v>0</v>
      </c>
      <c r="X81" s="2516">
        <f>(X75+X78)-X79</f>
        <v>67328</v>
      </c>
      <c r="Y81" s="2517"/>
      <c r="Z81" s="2517"/>
    </row>
    <row r="82" spans="1:26" s="1396" customFormat="1" ht="14.4" customHeight="1" outlineLevel="2">
      <c r="A82" s="1565"/>
      <c r="B82" s="1622" t="s">
        <v>38</v>
      </c>
      <c r="C82" s="1510"/>
      <c r="D82" s="1511"/>
      <c r="E82" s="1515">
        <f>C82+D82</f>
        <v>0</v>
      </c>
      <c r="F82" s="2484" t="e">
        <f>E82/$E$89</f>
        <v>#DIV/0!</v>
      </c>
      <c r="G82" s="2051"/>
      <c r="H82" s="2043"/>
      <c r="I82" s="1515">
        <f>G82+H82</f>
        <v>0</v>
      </c>
      <c r="J82" s="1476"/>
      <c r="K82" s="2046"/>
      <c r="L82" s="2051"/>
      <c r="M82" s="2043"/>
      <c r="N82" s="1515">
        <f>L82+M82</f>
        <v>0</v>
      </c>
      <c r="O82" s="1476"/>
      <c r="P82" s="2046"/>
      <c r="Q82" s="2051"/>
      <c r="R82" s="2043"/>
      <c r="S82" s="1515">
        <f>Q82+R82</f>
        <v>0</v>
      </c>
      <c r="T82" s="1476"/>
      <c r="U82" s="2046"/>
      <c r="V82" s="2043">
        <f t="shared" ref="V82" si="64">G82+L82+Q82</f>
        <v>0</v>
      </c>
      <c r="W82" s="2043">
        <f t="shared" ref="W82" si="65">H82+M82+R82</f>
        <v>0</v>
      </c>
      <c r="X82" s="1515">
        <f>V82+W82</f>
        <v>0</v>
      </c>
      <c r="Y82" s="1476"/>
      <c r="Z82" s="1476"/>
    </row>
    <row r="83" spans="1:26" s="1396" customFormat="1" ht="14.4" customHeight="1" outlineLevel="1">
      <c r="A83" s="1405"/>
      <c r="B83" s="2600" t="s">
        <v>13</v>
      </c>
      <c r="C83" s="2520">
        <f t="shared" ref="C83:E83" si="66">(C81)-C36</f>
        <v>0</v>
      </c>
      <c r="D83" s="2520">
        <f t="shared" si="66"/>
        <v>0</v>
      </c>
      <c r="E83" s="2520">
        <f t="shared" si="66"/>
        <v>0</v>
      </c>
      <c r="F83" s="2550"/>
      <c r="G83" s="2520">
        <f>(G81+G7)-G36</f>
        <v>67328</v>
      </c>
      <c r="H83" s="2520">
        <f>(H81+H7)-H36</f>
        <v>0</v>
      </c>
      <c r="I83" s="2521">
        <f>(I81+I7)-I36</f>
        <v>67328</v>
      </c>
      <c r="J83" s="2522"/>
      <c r="K83" s="2523"/>
      <c r="L83" s="2520">
        <f>(L81+L7)-L36</f>
        <v>0</v>
      </c>
      <c r="M83" s="2520">
        <f>(M81+M7)-M36</f>
        <v>0</v>
      </c>
      <c r="N83" s="2521">
        <f>(N81+N7)-N36</f>
        <v>0</v>
      </c>
      <c r="O83" s="2522"/>
      <c r="P83" s="2523"/>
      <c r="Q83" s="2520">
        <f>(Q81+Q7)-Q36</f>
        <v>0</v>
      </c>
      <c r="R83" s="2520">
        <f>(R81+R7)-R36</f>
        <v>0</v>
      </c>
      <c r="S83" s="2521">
        <f>(S81+S7)-S36</f>
        <v>0</v>
      </c>
      <c r="T83" s="2522"/>
      <c r="U83" s="2523"/>
      <c r="V83" s="2520">
        <f>(V81)-V36</f>
        <v>67328</v>
      </c>
      <c r="W83" s="2520">
        <f>(W81)-W36</f>
        <v>0</v>
      </c>
      <c r="X83" s="2521">
        <f>(X81)-X36</f>
        <v>67328</v>
      </c>
      <c r="Y83" s="2522"/>
      <c r="Z83" s="2522"/>
    </row>
    <row r="84" spans="1:26" s="1396" customFormat="1" ht="14.4" customHeight="1" outlineLevel="1" thickBot="1">
      <c r="A84" s="1405"/>
      <c r="B84" s="2601" t="s">
        <v>14</v>
      </c>
      <c r="C84" s="2539">
        <f>C83-C73-C82</f>
        <v>0</v>
      </c>
      <c r="D84" s="2539">
        <f>D83-D73-D82</f>
        <v>0</v>
      </c>
      <c r="E84" s="2539">
        <f>E83-E73-E82</f>
        <v>0</v>
      </c>
      <c r="F84" s="2551"/>
      <c r="G84" s="2497">
        <f>G83-G73-G82</f>
        <v>67328</v>
      </c>
      <c r="H84" s="2497">
        <f>H83-H73-H82</f>
        <v>0</v>
      </c>
      <c r="I84" s="2497">
        <f>I83-I73-I82</f>
        <v>67328</v>
      </c>
      <c r="J84" s="2498"/>
      <c r="K84" s="2524"/>
      <c r="L84" s="2497">
        <f>L83-L73-L82</f>
        <v>0</v>
      </c>
      <c r="M84" s="2497">
        <f>M83-M73-M82</f>
        <v>0</v>
      </c>
      <c r="N84" s="2497">
        <f>N83-N73-N82</f>
        <v>0</v>
      </c>
      <c r="O84" s="2498"/>
      <c r="P84" s="2524"/>
      <c r="Q84" s="2497">
        <f>Q83-Q73-Q82</f>
        <v>0</v>
      </c>
      <c r="R84" s="2497">
        <f>R83-R73-R82</f>
        <v>0</v>
      </c>
      <c r="S84" s="2497">
        <f>S83-S73-S82</f>
        <v>0</v>
      </c>
      <c r="T84" s="2498"/>
      <c r="U84" s="2524"/>
      <c r="V84" s="2497">
        <f>V83-V73-V82</f>
        <v>67328</v>
      </c>
      <c r="W84" s="2497">
        <f>W83-W73-W82</f>
        <v>0</v>
      </c>
      <c r="X84" s="2497">
        <f>X83-X73-X82</f>
        <v>67328</v>
      </c>
      <c r="Y84" s="2498"/>
      <c r="Z84" s="2498"/>
    </row>
    <row r="85" spans="1:26" s="1396" customFormat="1" ht="14.4" customHeight="1" outlineLevel="3">
      <c r="A85" s="1565"/>
      <c r="B85" s="1424" t="s">
        <v>44</v>
      </c>
      <c r="C85" s="1486"/>
      <c r="D85" s="1091"/>
      <c r="E85" s="1092">
        <f>C85+D85</f>
        <v>0</v>
      </c>
      <c r="F85" s="1587" t="e">
        <f>E85/$E$89</f>
        <v>#DIV/0!</v>
      </c>
      <c r="G85" s="2051"/>
      <c r="H85" s="2043"/>
      <c r="I85" s="2012">
        <f>G85+H85*1</f>
        <v>0</v>
      </c>
      <c r="J85" s="1476"/>
      <c r="K85" s="1748"/>
      <c r="L85" s="2051"/>
      <c r="M85" s="2043"/>
      <c r="N85" s="2012">
        <f>L85+M85*1</f>
        <v>0</v>
      </c>
      <c r="O85" s="1476"/>
      <c r="P85" s="1748"/>
      <c r="Q85" s="2051"/>
      <c r="R85" s="2043"/>
      <c r="S85" s="2012">
        <f>Q85+R85*1</f>
        <v>0</v>
      </c>
      <c r="T85" s="1476"/>
      <c r="U85" s="1748"/>
      <c r="V85" s="2043">
        <f t="shared" ref="V85" si="67">G85+L85+Q85</f>
        <v>0</v>
      </c>
      <c r="W85" s="2043">
        <f t="shared" ref="W85" si="68">H85+M85+R85</f>
        <v>0</v>
      </c>
      <c r="X85" s="2012">
        <f>V85+W85*1.15</f>
        <v>0</v>
      </c>
      <c r="Y85" s="1476"/>
      <c r="Z85" s="1476"/>
    </row>
    <row r="86" spans="1:26" s="1396" customFormat="1" ht="14.4" customHeight="1">
      <c r="A86" s="1405"/>
      <c r="B86" s="2602" t="s">
        <v>50</v>
      </c>
      <c r="C86" s="2540">
        <f>C84-C85</f>
        <v>0</v>
      </c>
      <c r="D86" s="2540">
        <f>D84-D85</f>
        <v>0</v>
      </c>
      <c r="E86" s="2525">
        <f>E84-E85</f>
        <v>0</v>
      </c>
      <c r="F86" s="2553"/>
      <c r="G86" s="2525">
        <f>G84</f>
        <v>67328</v>
      </c>
      <c r="H86" s="2525">
        <f t="shared" ref="H86" si="69">H84</f>
        <v>0</v>
      </c>
      <c r="I86" s="2525">
        <f>I84</f>
        <v>67328</v>
      </c>
      <c r="J86" s="2526"/>
      <c r="K86" s="2523"/>
      <c r="L86" s="2525">
        <f>L84</f>
        <v>0</v>
      </c>
      <c r="M86" s="2525">
        <f t="shared" ref="M86" si="70">M84</f>
        <v>0</v>
      </c>
      <c r="N86" s="2525">
        <f>N84</f>
        <v>0</v>
      </c>
      <c r="O86" s="2526"/>
      <c r="P86" s="2523"/>
      <c r="Q86" s="2525">
        <f>Q84</f>
        <v>0</v>
      </c>
      <c r="R86" s="2525">
        <f t="shared" ref="R86" si="71">R84</f>
        <v>0</v>
      </c>
      <c r="S86" s="2525">
        <f>S84</f>
        <v>0</v>
      </c>
      <c r="T86" s="2526"/>
      <c r="U86" s="2523"/>
      <c r="V86" s="2525">
        <f>V84-V85</f>
        <v>67328</v>
      </c>
      <c r="W86" s="2525">
        <f>W84-W85</f>
        <v>0</v>
      </c>
      <c r="X86" s="2525">
        <f>X84-X85</f>
        <v>67328</v>
      </c>
      <c r="Y86" s="2526"/>
      <c r="Z86" s="2526"/>
    </row>
    <row r="87" spans="1:26" s="1396" customFormat="1" ht="14.4" customHeight="1" thickBot="1">
      <c r="A87" s="1567"/>
      <c r="B87" s="2603" t="s">
        <v>51</v>
      </c>
      <c r="C87" s="2527" t="e">
        <f>C86/C5</f>
        <v>#DIV/0!</v>
      </c>
      <c r="D87" s="2528" t="e">
        <f>D86/D5</f>
        <v>#DIV/0!</v>
      </c>
      <c r="E87" s="2529" t="e">
        <f>E86/E5</f>
        <v>#DIV/0!</v>
      </c>
      <c r="F87" s="2555"/>
      <c r="G87" s="2527">
        <f>G86/G5</f>
        <v>0.5518688524590164</v>
      </c>
      <c r="H87" s="2528" t="e">
        <f>H86/H5</f>
        <v>#DIV/0!</v>
      </c>
      <c r="I87" s="2529">
        <f>I86/I5</f>
        <v>0.5518688524590164</v>
      </c>
      <c r="J87" s="2530"/>
      <c r="K87" s="2531"/>
      <c r="L87" s="2527" t="e">
        <f>L86/L5</f>
        <v>#DIV/0!</v>
      </c>
      <c r="M87" s="2528" t="e">
        <f>M86/M5</f>
        <v>#DIV/0!</v>
      </c>
      <c r="N87" s="2529" t="e">
        <f>N86/N5</f>
        <v>#DIV/0!</v>
      </c>
      <c r="O87" s="2530"/>
      <c r="P87" s="2531"/>
      <c r="Q87" s="2527" t="e">
        <f>Q86/Q5</f>
        <v>#DIV/0!</v>
      </c>
      <c r="R87" s="2528" t="e">
        <f>R86/R5</f>
        <v>#DIV/0!</v>
      </c>
      <c r="S87" s="2529" t="e">
        <f>S86/S5</f>
        <v>#DIV/0!</v>
      </c>
      <c r="T87" s="2530"/>
      <c r="U87" s="2531"/>
      <c r="V87" s="2527">
        <f>V86/V5</f>
        <v>0.5518688524590164</v>
      </c>
      <c r="W87" s="2528" t="e">
        <f>W86/W5</f>
        <v>#DIV/0!</v>
      </c>
      <c r="X87" s="2529">
        <f>X86/X5</f>
        <v>0.5518688524590164</v>
      </c>
      <c r="Y87" s="2530"/>
      <c r="Z87" s="2530"/>
    </row>
    <row r="88" spans="1:26" ht="13.8">
      <c r="A88" s="1423"/>
      <c r="B88" s="1423"/>
      <c r="C88" s="1521"/>
      <c r="D88" s="1521"/>
      <c r="E88" s="1521"/>
      <c r="F88" s="1549"/>
      <c r="G88" s="1954"/>
      <c r="H88" s="1954"/>
      <c r="I88" s="1954"/>
      <c r="J88" s="1954"/>
      <c r="K88" s="1605"/>
      <c r="L88" s="1954"/>
      <c r="M88" s="1954"/>
      <c r="N88" s="1954"/>
      <c r="O88" s="1954"/>
      <c r="P88" s="1605"/>
      <c r="Q88" s="1954"/>
      <c r="R88" s="1954"/>
      <c r="S88" s="1954"/>
      <c r="T88" s="1954"/>
      <c r="U88" s="1605"/>
      <c r="V88" s="1954"/>
      <c r="W88" s="1954"/>
      <c r="X88" s="1954"/>
      <c r="Y88" s="1954"/>
      <c r="Z88" s="1954"/>
    </row>
    <row r="89" spans="1:26">
      <c r="B89" s="1562" t="s">
        <v>56</v>
      </c>
      <c r="C89" s="1522"/>
      <c r="D89" s="1522"/>
      <c r="E89" s="1960">
        <f>E8+E36+E41+E50+E54+E73+E79+E82+E85</f>
        <v>0</v>
      </c>
      <c r="F89" s="189"/>
      <c r="I89" s="1960">
        <f>I8+I36+I41+I50+I54+I73+I79+I82+I85</f>
        <v>54672</v>
      </c>
      <c r="K89" s="1606"/>
      <c r="N89" s="1960">
        <f>N8+N36+N41+N50+N54+N73+N79+N82+N85</f>
        <v>0</v>
      </c>
      <c r="P89" s="1606"/>
      <c r="S89" s="1960">
        <f>S8+S36+S41+S50+S54+S73+S79+S82+S85</f>
        <v>0</v>
      </c>
      <c r="U89" s="1606"/>
      <c r="X89" s="1960">
        <f>X8+X36+X41+X50+X54+X73+X79+X82+X85-X78</f>
        <v>54672</v>
      </c>
    </row>
    <row r="90" spans="1:26" s="2470" customFormat="1" ht="13.95" customHeight="1">
      <c r="A90" s="1336"/>
      <c r="B90" s="1336"/>
      <c r="C90" s="1341"/>
      <c r="D90" s="1341"/>
      <c r="E90" s="1341"/>
      <c r="F90" s="2468"/>
      <c r="G90" s="2468"/>
      <c r="H90" s="2468"/>
      <c r="I90" s="2468"/>
      <c r="J90" s="2468"/>
      <c r="K90" s="1857"/>
      <c r="L90" s="2468"/>
      <c r="M90" s="2468"/>
      <c r="N90" s="2468"/>
      <c r="O90" s="2468"/>
      <c r="P90" s="1857"/>
      <c r="Q90" s="2468"/>
      <c r="R90" s="2468"/>
      <c r="S90" s="2468"/>
      <c r="T90" s="2468"/>
      <c r="U90" s="1857"/>
      <c r="V90" s="2468"/>
      <c r="W90" s="2468"/>
      <c r="X90" s="1592">
        <f>(I89+N89)-X89</f>
        <v>0</v>
      </c>
      <c r="Y90" s="2468"/>
      <c r="Z90" s="2468"/>
    </row>
    <row r="91" spans="1:26" s="2469" customFormat="1">
      <c r="A91" s="1336"/>
      <c r="B91" s="1336"/>
      <c r="C91" s="1336"/>
      <c r="D91" s="1336"/>
      <c r="E91" s="1336"/>
      <c r="F91" s="2468"/>
      <c r="G91" s="2468"/>
      <c r="H91" s="1586"/>
      <c r="I91" s="1586"/>
      <c r="J91" s="1586"/>
      <c r="K91" s="1857"/>
      <c r="L91" s="2468"/>
      <c r="M91" s="1586"/>
      <c r="N91" s="1586"/>
      <c r="O91" s="1586"/>
      <c r="P91" s="1857"/>
      <c r="Q91" s="2468"/>
      <c r="R91" s="1586"/>
      <c r="S91" s="1586"/>
      <c r="T91" s="1586"/>
      <c r="U91" s="1857"/>
      <c r="V91" s="2468"/>
      <c r="W91" s="2468"/>
      <c r="X91" s="2468"/>
      <c r="Y91" s="2468"/>
      <c r="Z91" s="2468"/>
    </row>
    <row r="92" spans="1:26">
      <c r="C92" s="1402"/>
      <c r="D92" s="1402"/>
      <c r="E92" s="1402"/>
      <c r="G92" s="2468"/>
      <c r="H92" s="1218"/>
      <c r="I92" s="1218"/>
      <c r="J92" s="1218"/>
      <c r="K92" s="1342"/>
      <c r="L92" s="2468"/>
      <c r="M92" s="1218"/>
      <c r="N92" s="1218"/>
      <c r="O92" s="1218"/>
      <c r="P92" s="1342"/>
      <c r="Q92" s="2468"/>
      <c r="R92" s="1218"/>
      <c r="S92" s="1218"/>
      <c r="T92" s="1218"/>
      <c r="U92" s="1342"/>
      <c r="W92" s="1065" t="s">
        <v>1374</v>
      </c>
      <c r="X92" s="1952">
        <v>63668</v>
      </c>
    </row>
    <row r="93" spans="1:26" s="1396" customFormat="1">
      <c r="A93" s="1402"/>
      <c r="B93" s="1402"/>
      <c r="C93" s="1402"/>
      <c r="D93" s="1402"/>
      <c r="E93" s="1402"/>
      <c r="F93" s="1952"/>
      <c r="G93" s="2468"/>
      <c r="H93" s="1218"/>
      <c r="I93" s="1218"/>
      <c r="J93" s="1218"/>
      <c r="K93" s="1036"/>
      <c r="L93" s="2468"/>
      <c r="M93" s="1218"/>
      <c r="N93" s="1218"/>
      <c r="O93" s="1218"/>
      <c r="P93" s="1036"/>
      <c r="Q93" s="2468"/>
      <c r="R93" s="1218"/>
      <c r="S93" s="1218"/>
      <c r="T93" s="1218"/>
      <c r="U93" s="1036"/>
      <c r="V93" s="1952"/>
      <c r="W93" s="1065" t="s">
        <v>1373</v>
      </c>
      <c r="X93" s="1952">
        <f>X92-X86</f>
        <v>-3660</v>
      </c>
      <c r="Y93" s="1952"/>
      <c r="Z93" s="1952"/>
    </row>
    <row r="94" spans="1:26" s="1396" customFormat="1">
      <c r="A94" s="1402"/>
      <c r="B94" s="1402"/>
      <c r="C94" s="1402"/>
      <c r="D94" s="1402"/>
      <c r="E94" s="1402"/>
      <c r="F94" s="1952"/>
      <c r="G94" s="1963"/>
      <c r="H94" s="1963"/>
      <c r="I94" s="1963"/>
      <c r="J94" s="1963"/>
      <c r="K94" s="1963"/>
      <c r="L94" s="1963"/>
      <c r="M94" s="1963"/>
      <c r="N94" s="1963"/>
      <c r="O94" s="1963"/>
      <c r="P94" s="1963"/>
      <c r="Q94" s="1963"/>
      <c r="R94" s="1963"/>
      <c r="S94" s="1963"/>
      <c r="T94" s="1963"/>
      <c r="U94" s="1963"/>
      <c r="V94" s="1952"/>
      <c r="W94" s="1065"/>
      <c r="X94" s="1952"/>
      <c r="Y94" s="1952"/>
      <c r="Z94" s="1952"/>
    </row>
    <row r="95" spans="1:26" s="1396" customFormat="1">
      <c r="A95" s="1402"/>
      <c r="B95" s="1402"/>
      <c r="C95" s="1402"/>
      <c r="D95" s="1402"/>
      <c r="E95" s="1402"/>
      <c r="F95" s="1952"/>
      <c r="G95" s="1963"/>
      <c r="H95" s="1963"/>
      <c r="I95" s="1963"/>
      <c r="J95" s="1963"/>
      <c r="K95" s="1963"/>
      <c r="L95" s="1963"/>
      <c r="M95" s="1963"/>
      <c r="N95" s="1963"/>
      <c r="O95" s="1963"/>
      <c r="P95" s="1963"/>
      <c r="Q95" s="1963"/>
      <c r="R95" s="1963"/>
      <c r="S95" s="1963"/>
      <c r="T95" s="1963"/>
      <c r="U95" s="1963"/>
      <c r="V95" s="1952"/>
      <c r="W95" s="1065" t="s">
        <v>1400</v>
      </c>
      <c r="X95" s="1952">
        <v>3660</v>
      </c>
      <c r="Y95" s="1952"/>
      <c r="Z95" s="1952"/>
    </row>
    <row r="96" spans="1:26">
      <c r="H96" s="1586"/>
      <c r="I96" s="1586"/>
      <c r="J96" s="1586"/>
      <c r="M96" s="1586"/>
      <c r="N96" s="1586"/>
      <c r="O96" s="1586"/>
      <c r="Q96" s="1963"/>
      <c r="R96" s="1963"/>
      <c r="S96" s="1963"/>
      <c r="T96" s="1963"/>
      <c r="U96" s="1963"/>
    </row>
    <row r="97" spans="7:24">
      <c r="H97" s="1586"/>
      <c r="I97" s="1586"/>
      <c r="J97" s="1586"/>
      <c r="M97" s="1586"/>
      <c r="N97" s="1586"/>
      <c r="O97" s="1586"/>
      <c r="Q97" s="1963"/>
      <c r="R97" s="1963"/>
      <c r="S97" s="1963"/>
      <c r="T97" s="1963"/>
      <c r="U97" s="1963"/>
      <c r="W97" s="756" t="s">
        <v>1458</v>
      </c>
      <c r="X97" s="756">
        <f>SUM(X93:X96)</f>
        <v>0</v>
      </c>
    </row>
    <row r="98" spans="7:24">
      <c r="H98" s="1586"/>
      <c r="I98" s="1586"/>
      <c r="J98" s="1586"/>
      <c r="M98" s="1586"/>
      <c r="N98" s="1586"/>
      <c r="O98" s="1586"/>
      <c r="R98" s="1586"/>
      <c r="S98" s="1586"/>
      <c r="T98" s="1586"/>
    </row>
    <row r="99" spans="7:24">
      <c r="G99" s="1395"/>
      <c r="H99" s="1395"/>
      <c r="I99" s="1395"/>
      <c r="J99" s="1586"/>
      <c r="L99" s="1395"/>
      <c r="M99" s="1395"/>
      <c r="N99" s="1395"/>
      <c r="O99" s="1586"/>
      <c r="R99" s="1586"/>
      <c r="S99" s="1586"/>
      <c r="T99" s="1586"/>
    </row>
    <row r="100" spans="7:24">
      <c r="G100" s="1395"/>
      <c r="H100" s="1395"/>
      <c r="I100" s="1395"/>
      <c r="J100" s="1586"/>
      <c r="L100" s="1395"/>
      <c r="M100" s="1395"/>
      <c r="N100" s="1395"/>
      <c r="O100" s="1586"/>
      <c r="R100" s="1586"/>
      <c r="S100" s="1586"/>
      <c r="T100" s="1586"/>
    </row>
    <row r="101" spans="7:24">
      <c r="G101" s="1395"/>
      <c r="H101" s="1395"/>
      <c r="I101" s="1395"/>
      <c r="L101" s="1395"/>
      <c r="M101" s="1395"/>
      <c r="N101" s="1395"/>
      <c r="R101" s="1586"/>
      <c r="S101" s="1586"/>
      <c r="T101" s="1586"/>
    </row>
    <row r="102" spans="7:24">
      <c r="I102" s="1395"/>
      <c r="N102" s="1395"/>
      <c r="R102" s="1586"/>
      <c r="S102" s="1586"/>
      <c r="T102" s="1586"/>
    </row>
    <row r="103" spans="7:24">
      <c r="I103" s="1395"/>
      <c r="N103" s="1395"/>
      <c r="R103" s="1586"/>
      <c r="S103" s="1586"/>
      <c r="T103" s="1586"/>
    </row>
    <row r="104" spans="7:24">
      <c r="I104" s="1395"/>
      <c r="N104" s="1395"/>
      <c r="R104" s="1586"/>
      <c r="S104" s="1586"/>
      <c r="T104" s="1586"/>
    </row>
    <row r="105" spans="7:24">
      <c r="R105" s="1586"/>
      <c r="S105" s="1586"/>
      <c r="T105" s="1586"/>
    </row>
    <row r="108" spans="7:24">
      <c r="J108" s="1395"/>
      <c r="K108" s="1395"/>
      <c r="O108" s="1395"/>
      <c r="P108" s="1395"/>
    </row>
    <row r="109" spans="7:24">
      <c r="J109" s="1395"/>
      <c r="K109" s="1395"/>
      <c r="O109" s="1395"/>
      <c r="P109" s="1395"/>
    </row>
    <row r="110" spans="7:24">
      <c r="J110" s="1395"/>
      <c r="K110" s="1395"/>
      <c r="O110" s="1395"/>
      <c r="P110" s="1395"/>
    </row>
    <row r="111" spans="7:24">
      <c r="J111" s="1395"/>
      <c r="K111" s="1395"/>
      <c r="O111" s="1395"/>
      <c r="P111" s="1395"/>
    </row>
    <row r="112" spans="7:24">
      <c r="J112" s="1395"/>
      <c r="K112" s="1395"/>
      <c r="O112" s="1395"/>
      <c r="P112" s="1395"/>
    </row>
    <row r="113" spans="10:21">
      <c r="J113" s="1395"/>
      <c r="K113" s="1395"/>
      <c r="O113" s="1395"/>
      <c r="P113" s="1395"/>
      <c r="Q113" s="1395"/>
      <c r="R113" s="1395"/>
      <c r="S113" s="1395"/>
      <c r="T113" s="1395"/>
      <c r="U113" s="1395"/>
    </row>
    <row r="114" spans="10:21">
      <c r="Q114" s="1395"/>
      <c r="R114" s="1395"/>
      <c r="S114" s="1395"/>
      <c r="T114" s="1395"/>
      <c r="U114" s="1395"/>
    </row>
    <row r="115" spans="10:21">
      <c r="Q115" s="1395"/>
      <c r="R115" s="1395"/>
      <c r="S115" s="1395"/>
      <c r="T115" s="1395"/>
      <c r="U115" s="1395"/>
    </row>
    <row r="116" spans="10:21">
      <c r="Q116" s="1395"/>
      <c r="R116" s="1395"/>
      <c r="S116" s="1395"/>
      <c r="T116" s="1395"/>
      <c r="U116" s="1395"/>
    </row>
    <row r="117" spans="10:21">
      <c r="Q117" s="1395"/>
      <c r="R117" s="1395"/>
      <c r="S117" s="1395"/>
      <c r="T117" s="1395"/>
      <c r="U117" s="1395"/>
    </row>
    <row r="118" spans="10:21">
      <c r="Q118" s="1395"/>
      <c r="R118" s="1395"/>
      <c r="S118" s="1395"/>
      <c r="T118" s="1395"/>
      <c r="U118" s="1395"/>
    </row>
  </sheetData>
  <mergeCells count="7">
    <mergeCell ref="A2:F2"/>
    <mergeCell ref="G2:K3"/>
    <mergeCell ref="V2:Z3"/>
    <mergeCell ref="A3:F3"/>
    <mergeCell ref="A42:A48"/>
    <mergeCell ref="L2:P3"/>
    <mergeCell ref="Q2:U3"/>
  </mergeCells>
  <pageMargins left="0.7" right="0.7" top="0.75" bottom="0.75" header="0.3" footer="0.3"/>
  <pageSetup paperSize="9" orientation="portrait" horizontalDpi="300"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CK118"/>
  <sheetViews>
    <sheetView zoomScale="85" zoomScaleNormal="85" workbookViewId="0">
      <pane xSplit="2" ySplit="5" topLeftCell="F33" activePane="bottomRight" state="frozen"/>
      <selection activeCell="C26" sqref="C25:C26"/>
      <selection pane="topRight" activeCell="C26" sqref="C25:C26"/>
      <selection pane="bottomLeft" activeCell="C26" sqref="C25:C26"/>
      <selection pane="bottomRight" activeCell="BV47" sqref="BV47"/>
    </sheetView>
  </sheetViews>
  <sheetFormatPr defaultColWidth="7.44140625" defaultRowHeight="13.2" outlineLevelCol="1"/>
  <cols>
    <col min="1" max="1" width="5.5546875" style="1402" customWidth="1"/>
    <col min="2" max="2" width="47.44140625" style="1402" customWidth="1"/>
    <col min="3" max="3" width="14.6640625" style="1459" customWidth="1"/>
    <col min="4" max="4" width="15.44140625" style="1459" customWidth="1"/>
    <col min="5" max="5" width="15.33203125" style="1952" customWidth="1"/>
    <col min="6" max="6" width="9.5546875" style="1952" customWidth="1"/>
    <col min="7" max="7" width="14.5546875" style="1952" hidden="1" customWidth="1" outlineLevel="1"/>
    <col min="8" max="8" width="13.33203125" style="1952" hidden="1" customWidth="1" outlineLevel="1"/>
    <col min="9" max="9" width="14.5546875" style="1952" hidden="1" customWidth="1" outlineLevel="1"/>
    <col min="10" max="11" width="9.5546875" style="1952" hidden="1" customWidth="1" outlineLevel="1"/>
    <col min="12" max="15" width="15.33203125" style="1952" hidden="1" customWidth="1" outlineLevel="1"/>
    <col min="16" max="16" width="8.88671875" style="1952" hidden="1" customWidth="1" outlineLevel="1"/>
    <col min="17" max="17" width="4" style="1952" customWidth="1" collapsed="1"/>
    <col min="18" max="18" width="18.33203125" style="1952" hidden="1" customWidth="1" outlineLevel="1"/>
    <col min="19" max="19" width="18.6640625" style="1952" hidden="1" customWidth="1" outlineLevel="1"/>
    <col min="20" max="20" width="19.6640625" style="1952" hidden="1" customWidth="1" outlineLevel="1"/>
    <col min="21" max="21" width="9.6640625" style="1952" hidden="1" customWidth="1" outlineLevel="1"/>
    <col min="22" max="22" width="29.6640625" style="1952" hidden="1" customWidth="1" outlineLevel="1"/>
    <col min="23" max="23" width="15.33203125" style="1952" hidden="1" customWidth="1" outlineLevel="1" collapsed="1"/>
    <col min="24" max="31" width="15.33203125" style="1952" hidden="1" customWidth="1" outlineLevel="1"/>
    <col min="32" max="32" width="24.109375" style="1952" hidden="1" customWidth="1" outlineLevel="1"/>
    <col min="33" max="36" width="15.33203125" style="1952" hidden="1" customWidth="1" outlineLevel="1"/>
    <col min="37" max="37" width="24.109375" style="1952" hidden="1" customWidth="1" outlineLevel="1"/>
    <col min="38" max="41" width="15.33203125" style="1952" hidden="1" customWidth="1" outlineLevel="1"/>
    <col min="42" max="42" width="24.109375" style="1952" hidden="1" customWidth="1" outlineLevel="1"/>
    <col min="43" max="43" width="16.6640625" style="1952" hidden="1" customWidth="1" outlineLevel="1" collapsed="1"/>
    <col min="44" max="46" width="16.6640625" style="1952" hidden="1" customWidth="1" outlineLevel="1"/>
    <col min="47" max="47" width="17.88671875" style="1952" hidden="1" customWidth="1" outlineLevel="1"/>
    <col min="48" max="48" width="16.6640625" style="1952" hidden="1" customWidth="1" outlineLevel="1" collapsed="1"/>
    <col min="49" max="51" width="16.6640625" style="1952" hidden="1" customWidth="1" outlineLevel="1"/>
    <col min="52" max="52" width="17.88671875" style="1952" hidden="1" customWidth="1" outlineLevel="1"/>
    <col min="53" max="56" width="16.6640625" style="1952" hidden="1" customWidth="1" outlineLevel="1"/>
    <col min="57" max="57" width="17.88671875" style="1952" hidden="1" customWidth="1" outlineLevel="1"/>
    <col min="58" max="61" width="16.6640625" style="1952" hidden="1" customWidth="1" outlineLevel="1"/>
    <col min="62" max="62" width="17.88671875" style="1952" hidden="1" customWidth="1" outlineLevel="1"/>
    <col min="63" max="63" width="16.6640625" style="1952" hidden="1" customWidth="1" outlineLevel="1" collapsed="1"/>
    <col min="64" max="66" width="16.6640625" style="1952" hidden="1" customWidth="1" outlineLevel="1"/>
    <col min="67" max="67" width="17.88671875" style="1952" hidden="1" customWidth="1" outlineLevel="1"/>
    <col min="68" max="71" width="16.6640625" style="1952" hidden="1" customWidth="1" outlineLevel="1"/>
    <col min="72" max="72" width="17.88671875" style="1952" hidden="1" customWidth="1" outlineLevel="1"/>
    <col min="73" max="73" width="16.6640625" style="1952" customWidth="1" collapsed="1"/>
    <col min="74" max="76" width="16.6640625" style="1952" customWidth="1"/>
    <col min="77" max="77" width="17.88671875" style="1952" customWidth="1"/>
    <col min="78" max="82" width="15.33203125" style="1952" customWidth="1"/>
    <col min="83" max="83" width="15" style="928" bestFit="1" customWidth="1"/>
    <col min="84" max="84" width="16.6640625" style="928" bestFit="1" customWidth="1"/>
    <col min="85" max="85" width="16.6640625" style="1395" bestFit="1" customWidth="1"/>
    <col min="86" max="86" width="16.33203125" style="1395" customWidth="1"/>
    <col min="87" max="87" width="15.6640625" style="1395" bestFit="1" customWidth="1"/>
    <col min="88" max="16384" width="7.44140625" style="1395"/>
  </cols>
  <sheetData>
    <row r="1" spans="1:85" ht="13.8" thickBot="1">
      <c r="C1" s="1952"/>
      <c r="D1" s="1952"/>
    </row>
    <row r="2" spans="1:85" ht="14.4" customHeight="1">
      <c r="A2" s="4834" t="s">
        <v>894</v>
      </c>
      <c r="B2" s="4835"/>
      <c r="C2" s="4835"/>
      <c r="D2" s="4835"/>
      <c r="E2" s="4835"/>
      <c r="F2" s="4836"/>
      <c r="G2" s="4834" t="s">
        <v>1393</v>
      </c>
      <c r="H2" s="4835"/>
      <c r="I2" s="4835"/>
      <c r="J2" s="4835"/>
      <c r="K2" s="4836"/>
      <c r="L2" s="5066" t="s">
        <v>1388</v>
      </c>
      <c r="M2" s="5067"/>
      <c r="N2" s="5067"/>
      <c r="O2" s="5067"/>
      <c r="P2" s="5068"/>
      <c r="Q2" s="2543"/>
      <c r="R2" s="4904" t="s">
        <v>1270</v>
      </c>
      <c r="S2" s="4905"/>
      <c r="T2" s="4905"/>
      <c r="U2" s="4905"/>
      <c r="V2" s="4906"/>
      <c r="W2" s="4904" t="s">
        <v>1293</v>
      </c>
      <c r="X2" s="4905"/>
      <c r="Y2" s="4905"/>
      <c r="Z2" s="4905"/>
      <c r="AA2" s="4906"/>
      <c r="AB2" s="4898" t="s">
        <v>1316</v>
      </c>
      <c r="AC2" s="4899"/>
      <c r="AD2" s="4899"/>
      <c r="AE2" s="4899"/>
      <c r="AF2" s="4900"/>
      <c r="AG2" s="4837" t="s">
        <v>1335</v>
      </c>
      <c r="AH2" s="4838"/>
      <c r="AI2" s="4838"/>
      <c r="AJ2" s="4838"/>
      <c r="AK2" s="4953"/>
      <c r="AL2" s="4940" t="s">
        <v>1365</v>
      </c>
      <c r="AM2" s="4941"/>
      <c r="AN2" s="4941"/>
      <c r="AO2" s="4941"/>
      <c r="AP2" s="4942"/>
      <c r="AQ2" s="4898" t="s">
        <v>1407</v>
      </c>
      <c r="AR2" s="4899"/>
      <c r="AS2" s="4899"/>
      <c r="AT2" s="4899"/>
      <c r="AU2" s="4900"/>
      <c r="AV2" s="4886" t="s">
        <v>1466</v>
      </c>
      <c r="AW2" s="4887"/>
      <c r="AX2" s="4887"/>
      <c r="AY2" s="4887"/>
      <c r="AZ2" s="4888"/>
      <c r="BA2" s="4868" t="s">
        <v>1623</v>
      </c>
      <c r="BB2" s="4869"/>
      <c r="BC2" s="4869"/>
      <c r="BD2" s="4869"/>
      <c r="BE2" s="4870"/>
      <c r="BF2" s="4880" t="s">
        <v>1748</v>
      </c>
      <c r="BG2" s="4881"/>
      <c r="BH2" s="4881"/>
      <c r="BI2" s="4881"/>
      <c r="BJ2" s="4882"/>
      <c r="BK2" s="4904" t="s">
        <v>1757</v>
      </c>
      <c r="BL2" s="4905"/>
      <c r="BM2" s="4905"/>
      <c r="BN2" s="4905"/>
      <c r="BO2" s="4906"/>
      <c r="BP2" s="5012">
        <v>45231</v>
      </c>
      <c r="BQ2" s="5013"/>
      <c r="BR2" s="5013"/>
      <c r="BS2" s="5013"/>
      <c r="BT2" s="5014"/>
      <c r="BU2" s="5018" t="s">
        <v>1823</v>
      </c>
      <c r="BV2" s="5019"/>
      <c r="BW2" s="5019"/>
      <c r="BX2" s="5019"/>
      <c r="BY2" s="5020"/>
      <c r="BZ2" s="4988" t="s">
        <v>469</v>
      </c>
      <c r="CA2" s="4989"/>
      <c r="CB2" s="4989"/>
      <c r="CC2" s="4989"/>
      <c r="CD2" s="1588"/>
    </row>
    <row r="3" spans="1:85" ht="15" customHeight="1" thickBot="1">
      <c r="A3" s="4853" t="s">
        <v>54</v>
      </c>
      <c r="B3" s="4854"/>
      <c r="C3" s="4854"/>
      <c r="D3" s="4854"/>
      <c r="E3" s="4854"/>
      <c r="F3" s="4855"/>
      <c r="G3" s="4979"/>
      <c r="H3" s="4980"/>
      <c r="I3" s="4980"/>
      <c r="J3" s="4980"/>
      <c r="K3" s="4981"/>
      <c r="L3" s="5069"/>
      <c r="M3" s="5070"/>
      <c r="N3" s="5070"/>
      <c r="O3" s="5070"/>
      <c r="P3" s="5071"/>
      <c r="Q3" s="2604"/>
      <c r="R3" s="4907"/>
      <c r="S3" s="4908"/>
      <c r="T3" s="4908"/>
      <c r="U3" s="4908"/>
      <c r="V3" s="4909"/>
      <c r="W3" s="4907"/>
      <c r="X3" s="4908"/>
      <c r="Y3" s="4908"/>
      <c r="Z3" s="4908"/>
      <c r="AA3" s="4909"/>
      <c r="AB3" s="4901"/>
      <c r="AC3" s="4902"/>
      <c r="AD3" s="4902"/>
      <c r="AE3" s="4902"/>
      <c r="AF3" s="4903"/>
      <c r="AG3" s="4839"/>
      <c r="AH3" s="4840"/>
      <c r="AI3" s="4840"/>
      <c r="AJ3" s="4840"/>
      <c r="AK3" s="4954"/>
      <c r="AL3" s="4943"/>
      <c r="AM3" s="4944"/>
      <c r="AN3" s="4944"/>
      <c r="AO3" s="4944"/>
      <c r="AP3" s="4945"/>
      <c r="AQ3" s="4901"/>
      <c r="AR3" s="4902"/>
      <c r="AS3" s="4902"/>
      <c r="AT3" s="4902"/>
      <c r="AU3" s="4903"/>
      <c r="AV3" s="4889"/>
      <c r="AW3" s="4890"/>
      <c r="AX3" s="4890"/>
      <c r="AY3" s="4890"/>
      <c r="AZ3" s="4891"/>
      <c r="BA3" s="4871"/>
      <c r="BB3" s="4872"/>
      <c r="BC3" s="4872"/>
      <c r="BD3" s="4872"/>
      <c r="BE3" s="4873"/>
      <c r="BF3" s="4883"/>
      <c r="BG3" s="4884"/>
      <c r="BH3" s="4884"/>
      <c r="BI3" s="4884"/>
      <c r="BJ3" s="4885"/>
      <c r="BK3" s="4907"/>
      <c r="BL3" s="4908"/>
      <c r="BM3" s="4908"/>
      <c r="BN3" s="4908"/>
      <c r="BO3" s="4909"/>
      <c r="BP3" s="5015"/>
      <c r="BQ3" s="5016"/>
      <c r="BR3" s="5016"/>
      <c r="BS3" s="5016"/>
      <c r="BT3" s="5017"/>
      <c r="BU3" s="5021"/>
      <c r="BV3" s="5022"/>
      <c r="BW3" s="5022"/>
      <c r="BX3" s="5022"/>
      <c r="BY3" s="5023"/>
      <c r="BZ3" s="4990"/>
      <c r="CA3" s="4991"/>
      <c r="CB3" s="4991"/>
      <c r="CC3" s="4991"/>
      <c r="CD3" s="1589"/>
    </row>
    <row r="4" spans="1:85" ht="41.4" thickBot="1">
      <c r="A4" s="1471"/>
      <c r="B4" s="1472" t="s">
        <v>11</v>
      </c>
      <c r="C4" s="1573" t="s">
        <v>55</v>
      </c>
      <c r="D4" s="1573" t="s">
        <v>18</v>
      </c>
      <c r="E4" s="1574" t="s">
        <v>39</v>
      </c>
      <c r="F4" s="1962" t="s">
        <v>40</v>
      </c>
      <c r="G4" s="1575" t="s">
        <v>968</v>
      </c>
      <c r="H4" s="1575" t="s">
        <v>18</v>
      </c>
      <c r="I4" s="1575" t="s">
        <v>39</v>
      </c>
      <c r="J4" s="1575" t="s">
        <v>40</v>
      </c>
      <c r="K4" s="1575"/>
      <c r="L4" s="1956" t="s">
        <v>55</v>
      </c>
      <c r="M4" s="1956" t="s">
        <v>18</v>
      </c>
      <c r="N4" s="1474" t="s">
        <v>39</v>
      </c>
      <c r="O4" s="1962" t="s">
        <v>40</v>
      </c>
      <c r="P4" s="1474" t="s">
        <v>19</v>
      </c>
      <c r="Q4" s="1962"/>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row>
    <row r="5" spans="1:85" s="2466" customFormat="1" ht="14.4" customHeight="1" thickBot="1">
      <c r="A5" s="1462"/>
      <c r="B5" s="1463" t="s">
        <v>10</v>
      </c>
      <c r="C5" s="1464">
        <f>C6</f>
        <v>0</v>
      </c>
      <c r="D5" s="1464">
        <f>D6</f>
        <v>0</v>
      </c>
      <c r="E5" s="1955">
        <f>E6</f>
        <v>0</v>
      </c>
      <c r="F5" s="1466"/>
      <c r="G5" s="1466">
        <v>13040759.33</v>
      </c>
      <c r="H5" s="1466">
        <v>0</v>
      </c>
      <c r="I5" s="1466">
        <v>13040759.33</v>
      </c>
      <c r="J5" s="1466"/>
      <c r="K5" s="1466"/>
      <c r="L5" s="1466">
        <f>L6+L7</f>
        <v>11762423.530000001</v>
      </c>
      <c r="M5" s="1466">
        <f>M6+M7</f>
        <v>0</v>
      </c>
      <c r="N5" s="1466">
        <f>N6+N7</f>
        <v>11762423.530000001</v>
      </c>
      <c r="O5" s="1466"/>
      <c r="P5" s="1466"/>
      <c r="Q5" s="1955"/>
      <c r="R5" s="1466">
        <f>R6</f>
        <v>0</v>
      </c>
      <c r="S5" s="1466">
        <f>S6</f>
        <v>0</v>
      </c>
      <c r="T5" s="1466">
        <f>T6</f>
        <v>0</v>
      </c>
      <c r="U5" s="1466"/>
      <c r="V5" s="1466"/>
      <c r="W5" s="1466">
        <f>W6+W7</f>
        <v>0</v>
      </c>
      <c r="X5" s="1466">
        <f>X6+X7</f>
        <v>0</v>
      </c>
      <c r="Y5" s="1466">
        <f>Y6+Y7</f>
        <v>0</v>
      </c>
      <c r="Z5" s="1466"/>
      <c r="AA5" s="1466"/>
      <c r="AB5" s="1466">
        <f>AB6+AB7</f>
        <v>0</v>
      </c>
      <c r="AC5" s="1466">
        <f>AC6+AC7</f>
        <v>0</v>
      </c>
      <c r="AD5" s="1466">
        <f>AD6+AD7</f>
        <v>0</v>
      </c>
      <c r="AE5" s="1466"/>
      <c r="AF5" s="1466"/>
      <c r="AG5" s="1466">
        <f>AG6+AG7</f>
        <v>0</v>
      </c>
      <c r="AH5" s="1466">
        <f>AH6+AH7</f>
        <v>0</v>
      </c>
      <c r="AI5" s="1466">
        <f>AI6+AI7</f>
        <v>0</v>
      </c>
      <c r="AJ5" s="1466"/>
      <c r="AK5" s="1466"/>
      <c r="AL5" s="1466">
        <f>AL6+AL7</f>
        <v>10323962.52</v>
      </c>
      <c r="AM5" s="1466">
        <f>AM6+AM7</f>
        <v>0</v>
      </c>
      <c r="AN5" s="1466">
        <f>AN6+AN7</f>
        <v>10323962.52</v>
      </c>
      <c r="AO5" s="1466"/>
      <c r="AP5" s="1466"/>
      <c r="AQ5" s="1955">
        <f>SUM(AQ6:AQ7)</f>
        <v>0</v>
      </c>
      <c r="AR5" s="1955">
        <f>SUM(AR6:AR7)</f>
        <v>0</v>
      </c>
      <c r="AS5" s="1955">
        <f>SUM(AS6:AS7)</f>
        <v>0</v>
      </c>
      <c r="AT5" s="1466"/>
      <c r="AU5" s="1466"/>
      <c r="AV5" s="1955">
        <f>SUM(AV6:AV7)</f>
        <v>837468.26</v>
      </c>
      <c r="AW5" s="1955">
        <f>SUM(AW6:AW7)</f>
        <v>0</v>
      </c>
      <c r="AX5" s="1955">
        <f>SUM(AX6:AX7)</f>
        <v>837468.26</v>
      </c>
      <c r="AY5" s="1466"/>
      <c r="AZ5" s="1466"/>
      <c r="BA5" s="1955">
        <f>SUM(BA6:BA7)</f>
        <v>0</v>
      </c>
      <c r="BB5" s="1955">
        <f>SUM(BB6:BB7)</f>
        <v>0</v>
      </c>
      <c r="BC5" s="1955">
        <f>SUM(BC6:BC7)</f>
        <v>0</v>
      </c>
      <c r="BD5" s="1466"/>
      <c r="BE5" s="1466"/>
      <c r="BF5" s="1955">
        <f>SUM(BF6:BF7)</f>
        <v>0</v>
      </c>
      <c r="BG5" s="1955">
        <f>SUM(BG6:BG7)</f>
        <v>0</v>
      </c>
      <c r="BH5" s="1955">
        <f>SUM(BH6:BH7)</f>
        <v>0</v>
      </c>
      <c r="BI5" s="1466"/>
      <c r="BJ5" s="1466"/>
      <c r="BK5" s="1955">
        <f>SUM(BK6:BK7)</f>
        <v>0</v>
      </c>
      <c r="BL5" s="1955">
        <f>SUM(BL6:BL7)</f>
        <v>0</v>
      </c>
      <c r="BM5" s="1955">
        <f>SUM(BM6:BM7)</f>
        <v>0</v>
      </c>
      <c r="BN5" s="1466"/>
      <c r="BO5" s="1466"/>
      <c r="BP5" s="1955">
        <f>SUM(BP6:BP7)</f>
        <v>0</v>
      </c>
      <c r="BQ5" s="1955">
        <f>SUM(BQ6:BQ7)</f>
        <v>0</v>
      </c>
      <c r="BR5" s="1955">
        <f>SUM(BR6:BR7)</f>
        <v>0</v>
      </c>
      <c r="BS5" s="1466"/>
      <c r="BT5" s="1466"/>
      <c r="BU5" s="1955">
        <f>SUM(BU6:BU7)</f>
        <v>0</v>
      </c>
      <c r="BV5" s="1955">
        <f>SUM(BV6:BV7)</f>
        <v>0</v>
      </c>
      <c r="BW5" s="1955">
        <f>SUM(BW6:BW7)</f>
        <v>0</v>
      </c>
      <c r="BX5" s="1466"/>
      <c r="BY5" s="1466"/>
      <c r="BZ5" s="1955">
        <f>BZ6+BZ7</f>
        <v>43802501.659999996</v>
      </c>
      <c r="CA5" s="1955">
        <f>CA6+CA7</f>
        <v>0</v>
      </c>
      <c r="CB5" s="1955">
        <f>CB6+CB7</f>
        <v>43802501.659999996</v>
      </c>
      <c r="CC5" s="1466"/>
      <c r="CD5" s="1466"/>
      <c r="CE5" s="929"/>
      <c r="CF5" s="929"/>
    </row>
    <row r="6" spans="1:85" s="1396" customFormat="1" ht="19.95" customHeight="1" thickBot="1">
      <c r="A6" s="330">
        <v>0</v>
      </c>
      <c r="B6" s="1400" t="s">
        <v>17</v>
      </c>
      <c r="C6" s="1014"/>
      <c r="D6" s="1667"/>
      <c r="E6" s="2124">
        <f>C6+D6</f>
        <v>0</v>
      </c>
      <c r="F6" s="2467"/>
      <c r="G6" s="2467">
        <v>13040759.33</v>
      </c>
      <c r="H6" s="2467">
        <v>0</v>
      </c>
      <c r="I6" s="2467">
        <v>13040759.33</v>
      </c>
      <c r="J6" s="2467"/>
      <c r="K6" s="2467"/>
      <c r="L6" s="2043">
        <v>9391557.9900000002</v>
      </c>
      <c r="M6" s="2043">
        <v>0</v>
      </c>
      <c r="N6" s="2012">
        <f>L6+M6</f>
        <v>9391557.9900000002</v>
      </c>
      <c r="O6" s="2043"/>
      <c r="P6" s="2043"/>
      <c r="Q6" s="1695"/>
      <c r="R6" s="2467"/>
      <c r="S6" s="2467"/>
      <c r="T6" s="2124">
        <f>R6+S6</f>
        <v>0</v>
      </c>
      <c r="U6" s="2467"/>
      <c r="V6" s="2467"/>
      <c r="W6" s="1146"/>
      <c r="X6" s="2043"/>
      <c r="Y6" s="2012">
        <f>W6+X6</f>
        <v>0</v>
      </c>
      <c r="Z6" s="2043"/>
      <c r="AA6" s="2043"/>
      <c r="AB6" s="2043"/>
      <c r="AC6" s="2043"/>
      <c r="AD6" s="2012">
        <f>AB6+AC6</f>
        <v>0</v>
      </c>
      <c r="AE6" s="2043"/>
      <c r="AF6" s="2043"/>
      <c r="AG6" s="2043"/>
      <c r="AH6" s="2043"/>
      <c r="AI6" s="2012">
        <f>AG6+AH6</f>
        <v>0</v>
      </c>
      <c r="AJ6" s="2043"/>
      <c r="AK6" s="2043"/>
      <c r="AL6" s="2043">
        <f>(1565332.8+3547773.32+125312.33+47010.52+97233.49+4530.67+580258.56+745256.44+2331990.71+505717.75+577062.43+196483.5)</f>
        <v>10323962.52</v>
      </c>
      <c r="AM6" s="2043"/>
      <c r="AN6" s="2012">
        <f>AL6+AM6</f>
        <v>10323962.52</v>
      </c>
      <c r="AO6" s="2043"/>
      <c r="AP6" s="2043"/>
      <c r="AQ6" s="2051"/>
      <c r="AR6" s="2043"/>
      <c r="AS6" s="2012">
        <f>AQ6+AR6</f>
        <v>0</v>
      </c>
      <c r="AT6" s="2043"/>
      <c r="AU6" s="2043"/>
      <c r="AV6" s="2051">
        <f>46922.66+463500+327045.6</f>
        <v>837468.26</v>
      </c>
      <c r="AW6" s="2043"/>
      <c r="AX6" s="2012">
        <f>AV6+AW6</f>
        <v>837468.26</v>
      </c>
      <c r="AY6" s="2043"/>
      <c r="AZ6" s="2043"/>
      <c r="BA6" s="2051"/>
      <c r="BB6" s="2043"/>
      <c r="BC6" s="2012">
        <f>BA6+BB6</f>
        <v>0</v>
      </c>
      <c r="BD6" s="2043"/>
      <c r="BE6" s="2043"/>
      <c r="BF6" s="2051"/>
      <c r="BG6" s="2043"/>
      <c r="BH6" s="2012">
        <f>BF6+BG6</f>
        <v>0</v>
      </c>
      <c r="BI6" s="2043"/>
      <c r="BJ6" s="2043"/>
      <c r="BK6" s="2051"/>
      <c r="BL6" s="2043"/>
      <c r="BM6" s="2012">
        <f>BK6+BL6</f>
        <v>0</v>
      </c>
      <c r="BN6" s="2043"/>
      <c r="BO6" s="2043"/>
      <c r="BP6" s="2051"/>
      <c r="BQ6" s="2043"/>
      <c r="BR6" s="2012">
        <f>BP6+BQ6</f>
        <v>0</v>
      </c>
      <c r="BS6" s="2043"/>
      <c r="BT6" s="2043"/>
      <c r="BU6" s="2051"/>
      <c r="BV6" s="2043"/>
      <c r="BW6" s="2012">
        <f>BU6+BV6</f>
        <v>0</v>
      </c>
      <c r="BX6" s="2043"/>
      <c r="BY6" s="2043"/>
      <c r="BZ6" s="1695">
        <f>G6+L6+R6+W6+AB6+AG6+AL6+AQ6+AV6+BA6+BF6+BK6+BP6+BU6</f>
        <v>33593748.100000001</v>
      </c>
      <c r="CA6" s="1695">
        <f>H6+M6+S6+X6+AC6+AH6+AM6+AR6+AW6+BB6+BG6+BL6+BQ6+BV6</f>
        <v>0</v>
      </c>
      <c r="CB6" s="2124">
        <f>BZ6+CA6</f>
        <v>33593748.100000001</v>
      </c>
      <c r="CC6" s="2467"/>
      <c r="CD6" s="2467"/>
      <c r="CE6" s="842"/>
      <c r="CF6" s="842"/>
      <c r="CG6" s="842"/>
    </row>
    <row r="7" spans="1:85" s="1396" customFormat="1" ht="14.4" customHeight="1" thickBot="1">
      <c r="A7" s="1572"/>
      <c r="B7" s="3857" t="s">
        <v>41</v>
      </c>
      <c r="C7" s="3811"/>
      <c r="D7" s="3812"/>
      <c r="E7" s="2030">
        <f>C7+D7</f>
        <v>0</v>
      </c>
      <c r="F7" s="3813"/>
      <c r="G7" s="2027">
        <v>0</v>
      </c>
      <c r="H7" s="2027">
        <v>0</v>
      </c>
      <c r="I7" s="2027">
        <v>0</v>
      </c>
      <c r="J7" s="2027"/>
      <c r="K7" s="2027"/>
      <c r="L7" s="2043">
        <v>2370865.54</v>
      </c>
      <c r="M7" s="2043">
        <v>0</v>
      </c>
      <c r="N7" s="2012">
        <f>L7+M7</f>
        <v>2370865.54</v>
      </c>
      <c r="O7" s="3813"/>
      <c r="P7" s="3858"/>
      <c r="Q7" s="2029"/>
      <c r="R7" s="2027">
        <v>7837888.0199999996</v>
      </c>
      <c r="S7" s="2027"/>
      <c r="T7" s="2030">
        <f>R7+S7</f>
        <v>7837888.0199999996</v>
      </c>
      <c r="U7" s="3813"/>
      <c r="V7" s="3858" t="s">
        <v>1286</v>
      </c>
      <c r="W7" s="2043"/>
      <c r="X7" s="2043"/>
      <c r="Y7" s="2012">
        <f>W7+X7</f>
        <v>0</v>
      </c>
      <c r="Z7" s="3813"/>
      <c r="AA7" s="3813"/>
      <c r="AB7" s="2043">
        <f>(463500+1565332.8+3547773.32+327045.6+97233.49+580258.56+745256.44+2327781.91+125312.33+47010.52)*0</f>
        <v>0</v>
      </c>
      <c r="AC7" s="2043"/>
      <c r="AD7" s="2012">
        <f>AB7+AC7</f>
        <v>0</v>
      </c>
      <c r="AE7" s="3813"/>
      <c r="AF7" s="3858" t="s">
        <v>1317</v>
      </c>
      <c r="AG7" s="2043"/>
      <c r="AH7" s="2043"/>
      <c r="AI7" s="2012">
        <f>AG7+AH7</f>
        <v>0</v>
      </c>
      <c r="AJ7" s="3813"/>
      <c r="AK7" s="3858" t="s">
        <v>1361</v>
      </c>
      <c r="AL7" s="2043"/>
      <c r="AM7" s="2043"/>
      <c r="AN7" s="2012">
        <f>AL7+AM7</f>
        <v>0</v>
      </c>
      <c r="AO7" s="3813"/>
      <c r="AP7" s="3858"/>
      <c r="AQ7" s="2051"/>
      <c r="AR7" s="2043"/>
      <c r="AS7" s="2012">
        <f>AQ7+AR7</f>
        <v>0</v>
      </c>
      <c r="AT7" s="3813"/>
      <c r="AU7" s="2055"/>
      <c r="AV7" s="2051"/>
      <c r="AW7" s="2043"/>
      <c r="AX7" s="2012">
        <f>AV7+AW7</f>
        <v>0</v>
      </c>
      <c r="AY7" s="3813"/>
      <c r="AZ7" s="2055"/>
      <c r="BA7" s="2051"/>
      <c r="BB7" s="2043"/>
      <c r="BC7" s="2012">
        <f>BA7+BB7</f>
        <v>0</v>
      </c>
      <c r="BD7" s="3813"/>
      <c r="BE7" s="2055"/>
      <c r="BF7" s="2051"/>
      <c r="BG7" s="2043"/>
      <c r="BH7" s="2012">
        <f>BF7+BG7</f>
        <v>0</v>
      </c>
      <c r="BI7" s="3813"/>
      <c r="BJ7" s="2055"/>
      <c r="BK7" s="2051"/>
      <c r="BL7" s="2043"/>
      <c r="BM7" s="2012">
        <f>BK7+BL7</f>
        <v>0</v>
      </c>
      <c r="BN7" s="3813"/>
      <c r="BO7" s="2055"/>
      <c r="BP7" s="2051"/>
      <c r="BQ7" s="2043"/>
      <c r="BR7" s="2012">
        <f>BP7+BQ7</f>
        <v>0</v>
      </c>
      <c r="BS7" s="3813"/>
      <c r="BT7" s="2055"/>
      <c r="BU7" s="2051"/>
      <c r="BV7" s="2043"/>
      <c r="BW7" s="2012">
        <f>BU7+BV7</f>
        <v>0</v>
      </c>
      <c r="BX7" s="3813"/>
      <c r="BY7" s="2055"/>
      <c r="BZ7" s="1695">
        <f>G7+L7+R7+W7+AB7+AG7+AL7+AQ7+AV7+BA7+BF7+BK7+BP7+BU7</f>
        <v>10208753.559999999</v>
      </c>
      <c r="CA7" s="1695">
        <f>H7+M7+S7+X7+AC7+AH7+AM7+AR7+AW7+BB7+BG7+BL7+BQ7+BV7</f>
        <v>0</v>
      </c>
      <c r="CB7" s="2030">
        <f>BZ7+CA7</f>
        <v>10208753.559999999</v>
      </c>
      <c r="CC7" s="3813"/>
      <c r="CD7" s="3813"/>
      <c r="CE7" s="842"/>
      <c r="CF7" s="842"/>
    </row>
    <row r="8" spans="1:85" s="2466" customFormat="1" ht="14.4" customHeight="1" thickBot="1">
      <c r="A8" s="1004"/>
      <c r="B8" s="1463" t="s">
        <v>16</v>
      </c>
      <c r="C8" s="1957">
        <f>SUM(C9:C33)</f>
        <v>0</v>
      </c>
      <c r="D8" s="1957">
        <f>SUM(D9:D33)</f>
        <v>0</v>
      </c>
      <c r="E8" s="1484">
        <f>SUM(E9:E33)</f>
        <v>0</v>
      </c>
      <c r="F8" s="1528" t="e">
        <f t="shared" ref="F8:F21" si="0">E8/$E$89</f>
        <v>#DIV/0!</v>
      </c>
      <c r="G8" s="1957">
        <f>SUM(G9:G33)</f>
        <v>12022123.852107069</v>
      </c>
      <c r="H8" s="1957">
        <f>SUM(H9:H33)</f>
        <v>885539.92419090902</v>
      </c>
      <c r="I8" s="1484">
        <f>SUM(I9:I33)</f>
        <v>12907663.776297977</v>
      </c>
      <c r="J8" s="1576">
        <v>0.94332731344179099</v>
      </c>
      <c r="K8" s="1576"/>
      <c r="L8" s="1957">
        <f>SUM(L9:L33)</f>
        <v>2073966.3287599999</v>
      </c>
      <c r="M8" s="1957">
        <f>SUM(M9:M33)</f>
        <v>1329954.73</v>
      </c>
      <c r="N8" s="1484">
        <f>SUM(N9:N33)</f>
        <v>3403921.0587599999</v>
      </c>
      <c r="O8" s="1528">
        <f>N8/N$89</f>
        <v>0.91050192030013632</v>
      </c>
      <c r="P8" s="1466"/>
      <c r="Q8" s="1969"/>
      <c r="R8" s="1957">
        <f>SUM(R9:R33)</f>
        <v>5977252.04</v>
      </c>
      <c r="S8" s="1957">
        <f>SUM(S9:S33)</f>
        <v>0</v>
      </c>
      <c r="T8" s="1484">
        <f>SUM(T9:T33)</f>
        <v>5977252.04</v>
      </c>
      <c r="U8" s="1528">
        <f t="shared" ref="U8:U33" si="1">T8/$T$89</f>
        <v>1</v>
      </c>
      <c r="V8" s="1466"/>
      <c r="W8" s="1957">
        <f>SUM(W9:W33)</f>
        <v>27000</v>
      </c>
      <c r="X8" s="1957">
        <f>SUM(X9:X33)</f>
        <v>0</v>
      </c>
      <c r="Y8" s="1484">
        <f>SUM(Y9:Y33)</f>
        <v>27000</v>
      </c>
      <c r="Z8" s="1528">
        <f t="shared" ref="Z8:Z36" si="2">Y8/$Y$89</f>
        <v>1</v>
      </c>
      <c r="AA8" s="1466"/>
      <c r="AB8" s="1957">
        <f>SUM(AB9:AB33)</f>
        <v>0</v>
      </c>
      <c r="AC8" s="1957">
        <f>SUM(AC9:AC33)</f>
        <v>0</v>
      </c>
      <c r="AD8" s="1484">
        <f>SUM(AD9:AD33)</f>
        <v>0</v>
      </c>
      <c r="AE8" s="1528">
        <f t="shared" ref="AE8:AE33" si="3">AD8/$AD$89</f>
        <v>0</v>
      </c>
      <c r="AF8" s="1466"/>
      <c r="AG8" s="1957">
        <f>SUM(AG9:AG33)</f>
        <v>0</v>
      </c>
      <c r="AH8" s="1957">
        <f>SUM(AH9:AH33)</f>
        <v>0</v>
      </c>
      <c r="AI8" s="1484">
        <f>SUM(AI9:AI33)</f>
        <v>0</v>
      </c>
      <c r="AJ8" s="1528" t="e">
        <f>AI8/AI$89</f>
        <v>#DIV/0!</v>
      </c>
      <c r="AK8" s="1466"/>
      <c r="AL8" s="1957">
        <f>SUM(AL9:AL33)</f>
        <v>9112217.0399999991</v>
      </c>
      <c r="AM8" s="1957">
        <f>SUM(AM9:AM33)</f>
        <v>0</v>
      </c>
      <c r="AN8" s="1484">
        <f>SUM(AN9:AN33)</f>
        <v>9112217.0399999991</v>
      </c>
      <c r="AO8" s="1528">
        <f>AN8/AN$89</f>
        <v>1</v>
      </c>
      <c r="AP8" s="1466"/>
      <c r="AQ8" s="1957">
        <f>SUM(AQ9:AQ33)</f>
        <v>0</v>
      </c>
      <c r="AR8" s="1957">
        <f>SUM(AR9:AR33)</f>
        <v>0</v>
      </c>
      <c r="AS8" s="1484">
        <f>SUM(AS9:AS33)</f>
        <v>0</v>
      </c>
      <c r="AT8" s="1528" t="e">
        <f>AS8/AS$89</f>
        <v>#DIV/0!</v>
      </c>
      <c r="AU8" s="1600"/>
      <c r="AV8" s="1957">
        <f>SUM(AV9:AV33)</f>
        <v>832347</v>
      </c>
      <c r="AW8" s="1957">
        <f>SUM(AW9:AW33)</f>
        <v>0</v>
      </c>
      <c r="AX8" s="1484">
        <f>SUM(AX9:AX33)</f>
        <v>832347</v>
      </c>
      <c r="AY8" s="1528">
        <f>AX8/AX$89</f>
        <v>1</v>
      </c>
      <c r="AZ8" s="1600"/>
      <c r="BA8" s="1957">
        <f>SUM(BA9:BA33)</f>
        <v>0</v>
      </c>
      <c r="BB8" s="1957">
        <f>SUM(BB9:BB33)</f>
        <v>0</v>
      </c>
      <c r="BC8" s="1484">
        <f>SUM(BC9:BC33)</f>
        <v>0</v>
      </c>
      <c r="BD8" s="1528">
        <f>BC8/BC$89</f>
        <v>0</v>
      </c>
      <c r="BE8" s="1600"/>
      <c r="BF8" s="1957">
        <f>SUM(BF9:BF33)</f>
        <v>0</v>
      </c>
      <c r="BG8" s="1957">
        <f>SUM(BG9:BG33)</f>
        <v>0</v>
      </c>
      <c r="BH8" s="1484">
        <f>SUM(BH9:BH33)</f>
        <v>0</v>
      </c>
      <c r="BI8" s="1528">
        <f>BH8/BH$89</f>
        <v>0</v>
      </c>
      <c r="BJ8" s="1600"/>
      <c r="BK8" s="1957">
        <f>SUM(BK9:BK33)</f>
        <v>0</v>
      </c>
      <c r="BL8" s="1957">
        <f>SUM(BL9:BL33)</f>
        <v>0</v>
      </c>
      <c r="BM8" s="1484">
        <f>SUM(BM9:BM33)</f>
        <v>0</v>
      </c>
      <c r="BN8" s="1528">
        <f>BM8/BM$89</f>
        <v>0</v>
      </c>
      <c r="BO8" s="1600"/>
      <c r="BP8" s="1957">
        <f>SUM(BP9:BP33)</f>
        <v>0</v>
      </c>
      <c r="BQ8" s="1957">
        <f>SUM(BQ9:BQ33)</f>
        <v>0</v>
      </c>
      <c r="BR8" s="1484">
        <f>SUM(BR9:BR33)</f>
        <v>0</v>
      </c>
      <c r="BS8" s="1528">
        <f>BR8/BR$89</f>
        <v>0</v>
      </c>
      <c r="BT8" s="1600"/>
      <c r="BU8" s="1957">
        <f>SUM(BU9:BU33)</f>
        <v>0</v>
      </c>
      <c r="BV8" s="1957">
        <f>SUM(BV9:BV33)</f>
        <v>0</v>
      </c>
      <c r="BW8" s="1484">
        <f>SUM(BW9:BW33)</f>
        <v>0</v>
      </c>
      <c r="BX8" s="1528">
        <f>BW8/BW$89</f>
        <v>0</v>
      </c>
      <c r="BY8" s="1600"/>
      <c r="BZ8" s="1957">
        <f>SUM(BZ9:BZ33)</f>
        <v>30044906.260867067</v>
      </c>
      <c r="CA8" s="1957">
        <f>SUM(CA9:CA33)</f>
        <v>2215494.6541909091</v>
      </c>
      <c r="CB8" s="1484">
        <f>SUM(CB9:CB33)</f>
        <v>32260400.91505798</v>
      </c>
      <c r="CC8" s="1528">
        <f t="shared" ref="CC8:CC33" si="4">CB8/$CB$89</f>
        <v>0.97614298157632806</v>
      </c>
      <c r="CD8" s="1466"/>
      <c r="CE8" s="929"/>
      <c r="CF8" s="929"/>
    </row>
    <row r="9" spans="1:85" s="1396" customFormat="1" ht="12" customHeight="1">
      <c r="A9" s="1572"/>
      <c r="B9" s="1153" t="s">
        <v>74</v>
      </c>
      <c r="C9" s="1485"/>
      <c r="D9" s="1486"/>
      <c r="E9" s="2012">
        <f t="shared" ref="E9:E33" si="5">C9+D9</f>
        <v>0</v>
      </c>
      <c r="F9" s="1976" t="e">
        <f t="shared" si="0"/>
        <v>#DIV/0!</v>
      </c>
      <c r="G9" s="2043">
        <v>37307.4</v>
      </c>
      <c r="H9" s="2043">
        <v>0</v>
      </c>
      <c r="I9" s="2045">
        <f>G9+H9</f>
        <v>37307.4</v>
      </c>
      <c r="J9" s="1976">
        <v>4.6904414022065216E-3</v>
      </c>
      <c r="K9" s="1976"/>
      <c r="L9" s="2467">
        <v>19933.440000000002</v>
      </c>
      <c r="M9" s="2467">
        <v>2660</v>
      </c>
      <c r="N9" s="1561">
        <f>L9+M9*1</f>
        <v>22593.440000000002</v>
      </c>
      <c r="O9" s="1559">
        <f t="shared" ref="O9:O71" si="6">N9/N$89</f>
        <v>6.0434334848175862E-3</v>
      </c>
      <c r="P9" s="1727"/>
      <c r="Q9" s="1986"/>
      <c r="R9" s="2043"/>
      <c r="S9" s="2043"/>
      <c r="T9" s="2045">
        <f>R9+S9*1</f>
        <v>0</v>
      </c>
      <c r="U9" s="1976">
        <f t="shared" si="1"/>
        <v>0</v>
      </c>
      <c r="V9" s="2046"/>
      <c r="W9" s="2467"/>
      <c r="X9" s="2467"/>
      <c r="Y9" s="1561">
        <f>W9+X9*1</f>
        <v>0</v>
      </c>
      <c r="Z9" s="1559">
        <f t="shared" si="2"/>
        <v>0</v>
      </c>
      <c r="AA9" s="1727"/>
      <c r="AB9" s="2467"/>
      <c r="AC9" s="2467"/>
      <c r="AD9" s="1561">
        <f>AB9+AC9*1</f>
        <v>0</v>
      </c>
      <c r="AE9" s="1559">
        <f t="shared" si="3"/>
        <v>0</v>
      </c>
      <c r="AF9" s="1727"/>
      <c r="AG9" s="2467"/>
      <c r="AH9" s="2467"/>
      <c r="AI9" s="1561">
        <f>AG9+AH9*1</f>
        <v>0</v>
      </c>
      <c r="AJ9" s="1559" t="e">
        <f t="shared" ref="AJ9:AJ71" si="7">AI9/AI$89</f>
        <v>#DIV/0!</v>
      </c>
      <c r="AK9" s="1727"/>
      <c r="AL9" s="2467"/>
      <c r="AM9" s="2467"/>
      <c r="AN9" s="1561">
        <f>AL9+AM9*1</f>
        <v>0</v>
      </c>
      <c r="AO9" s="1559">
        <f t="shared" ref="AO9:AO71" si="8">AN9/AN$89</f>
        <v>0</v>
      </c>
      <c r="AP9" s="1727"/>
      <c r="AQ9" s="1695"/>
      <c r="AR9" s="2467"/>
      <c r="AS9" s="1561">
        <f>AQ9+AR9*1</f>
        <v>0</v>
      </c>
      <c r="AT9" s="1559" t="e">
        <f t="shared" ref="AT9:AT33" si="9">AS9/AS$89</f>
        <v>#DIV/0!</v>
      </c>
      <c r="AU9" s="1580"/>
      <c r="AV9" s="1695"/>
      <c r="AW9" s="2467"/>
      <c r="AX9" s="1561">
        <f>AV9+AW9*1</f>
        <v>0</v>
      </c>
      <c r="AY9" s="1559">
        <f t="shared" ref="AY9:AY33" si="10">AX9/AX$89</f>
        <v>0</v>
      </c>
      <c r="AZ9" s="1580"/>
      <c r="BA9" s="1695"/>
      <c r="BB9" s="2467"/>
      <c r="BC9" s="1561">
        <f>BA9+BB9*1</f>
        <v>0</v>
      </c>
      <c r="BD9" s="1559">
        <f t="shared" ref="BD9:BD33" si="11">BC9/BC$89</f>
        <v>0</v>
      </c>
      <c r="BE9" s="1580"/>
      <c r="BF9" s="1695"/>
      <c r="BG9" s="2467"/>
      <c r="BH9" s="1561">
        <f>BF9+BG9*1</f>
        <v>0</v>
      </c>
      <c r="BI9" s="1559">
        <f t="shared" ref="BI9:BI33" si="12">BH9/BH$89</f>
        <v>0</v>
      </c>
      <c r="BJ9" s="1580"/>
      <c r="BK9" s="1695"/>
      <c r="BL9" s="2467"/>
      <c r="BM9" s="1561">
        <f>BK9+BL9*1</f>
        <v>0</v>
      </c>
      <c r="BN9" s="1559">
        <f t="shared" ref="BN9:BN33" si="13">BM9/BM$89</f>
        <v>0</v>
      </c>
      <c r="BO9" s="1580"/>
      <c r="BP9" s="1695"/>
      <c r="BQ9" s="2467"/>
      <c r="BR9" s="1561">
        <f>BP9+BQ9*1</f>
        <v>0</v>
      </c>
      <c r="BS9" s="1559">
        <f t="shared" ref="BS9:BS33" si="14">BR9/BR$89</f>
        <v>0</v>
      </c>
      <c r="BT9" s="1580"/>
      <c r="BU9" s="1695"/>
      <c r="BV9" s="2467"/>
      <c r="BW9" s="1561">
        <f>BU9+BV9*1</f>
        <v>0</v>
      </c>
      <c r="BX9" s="1559">
        <f t="shared" ref="BX9:BX33" si="15">BW9/BW$89</f>
        <v>0</v>
      </c>
      <c r="BY9" s="1580"/>
      <c r="BZ9" s="2043">
        <f t="shared" ref="BZ9:CA33" si="16">G9+L9+R9+W9+AB9+AG9+AL9+AQ9+AV9+BA9+BF9+BK9+BP9+BU9</f>
        <v>57240.840000000004</v>
      </c>
      <c r="CA9" s="2043">
        <f t="shared" si="16"/>
        <v>2660</v>
      </c>
      <c r="CB9" s="2045">
        <f>BZ9+CA9*1</f>
        <v>59900.840000000004</v>
      </c>
      <c r="CC9" s="1976">
        <f t="shared" si="4"/>
        <v>1.8124940452687952E-3</v>
      </c>
      <c r="CD9" s="1434"/>
      <c r="CE9" s="842"/>
      <c r="CF9" s="842"/>
    </row>
    <row r="10" spans="1:85" s="1396" customFormat="1" ht="12" customHeight="1">
      <c r="A10" s="1572"/>
      <c r="B10" s="1153" t="s">
        <v>72</v>
      </c>
      <c r="C10" s="1485"/>
      <c r="D10" s="1486"/>
      <c r="E10" s="2012">
        <f t="shared" si="5"/>
        <v>0</v>
      </c>
      <c r="F10" s="1976" t="e">
        <f t="shared" si="0"/>
        <v>#DIV/0!</v>
      </c>
      <c r="G10" s="2043">
        <v>10787.740000000002</v>
      </c>
      <c r="H10" s="2043">
        <v>0</v>
      </c>
      <c r="I10" s="2045">
        <f t="shared" ref="I10:I33" si="17">G10+H10</f>
        <v>10787.740000000002</v>
      </c>
      <c r="J10" s="1976">
        <v>1.3562795137758029E-3</v>
      </c>
      <c r="K10" s="1976"/>
      <c r="L10" s="2043">
        <v>5111</v>
      </c>
      <c r="M10" s="2043">
        <v>0</v>
      </c>
      <c r="N10" s="1982">
        <f t="shared" ref="N10:N33" si="18">L10+M10*1</f>
        <v>5111</v>
      </c>
      <c r="O10" s="3350">
        <f t="shared" si="6"/>
        <v>1.3671219850055008E-3</v>
      </c>
      <c r="P10" s="3859"/>
      <c r="Q10" s="1986"/>
      <c r="R10" s="2043"/>
      <c r="S10" s="2043"/>
      <c r="T10" s="2045">
        <f t="shared" ref="T10:T33" si="19">R10+S10*1</f>
        <v>0</v>
      </c>
      <c r="U10" s="3350">
        <f t="shared" si="1"/>
        <v>0</v>
      </c>
      <c r="V10" s="2046"/>
      <c r="W10" s="2043"/>
      <c r="X10" s="2043"/>
      <c r="Y10" s="1982">
        <f t="shared" ref="Y10:Y33" si="20">W10+X10*1</f>
        <v>0</v>
      </c>
      <c r="Z10" s="3350">
        <f t="shared" si="2"/>
        <v>0</v>
      </c>
      <c r="AA10" s="3859"/>
      <c r="AB10" s="2043"/>
      <c r="AC10" s="2043"/>
      <c r="AD10" s="1982">
        <f t="shared" ref="AD10:AD33" si="21">AB10+AC10*1</f>
        <v>0</v>
      </c>
      <c r="AE10" s="3350">
        <f t="shared" si="3"/>
        <v>0</v>
      </c>
      <c r="AF10" s="3859"/>
      <c r="AG10" s="2043"/>
      <c r="AH10" s="2043"/>
      <c r="AI10" s="1982">
        <f t="shared" ref="AI10:AI33" si="22">AG10+AH10*1</f>
        <v>0</v>
      </c>
      <c r="AJ10" s="3350" t="e">
        <f t="shared" si="7"/>
        <v>#DIV/0!</v>
      </c>
      <c r="AK10" s="3859"/>
      <c r="AL10" s="2043"/>
      <c r="AM10" s="2043"/>
      <c r="AN10" s="1982">
        <f t="shared" ref="AN10:AN33" si="23">AL10+AM10*1</f>
        <v>0</v>
      </c>
      <c r="AO10" s="3350">
        <f t="shared" si="8"/>
        <v>0</v>
      </c>
      <c r="AP10" s="3859"/>
      <c r="AQ10" s="2051"/>
      <c r="AR10" s="2043"/>
      <c r="AS10" s="2045">
        <f t="shared" ref="AS10:AS33" si="24">AQ10+AR10*1</f>
        <v>0</v>
      </c>
      <c r="AT10" s="3350" t="e">
        <f t="shared" si="9"/>
        <v>#DIV/0!</v>
      </c>
      <c r="AU10" s="1615"/>
      <c r="AV10" s="2051"/>
      <c r="AW10" s="2043"/>
      <c r="AX10" s="2045">
        <f t="shared" ref="AX10:AX33" si="25">AV10+AW10*1</f>
        <v>0</v>
      </c>
      <c r="AY10" s="3350">
        <f t="shared" si="10"/>
        <v>0</v>
      </c>
      <c r="AZ10" s="1615"/>
      <c r="BA10" s="2051"/>
      <c r="BB10" s="2043"/>
      <c r="BC10" s="2045">
        <f t="shared" ref="BC10:BC33" si="26">BA10+BB10*1</f>
        <v>0</v>
      </c>
      <c r="BD10" s="3350">
        <f t="shared" si="11"/>
        <v>0</v>
      </c>
      <c r="BE10" s="1615"/>
      <c r="BF10" s="2051"/>
      <c r="BG10" s="2043"/>
      <c r="BH10" s="2045">
        <f t="shared" ref="BH10:BH33" si="27">BF10+BG10*1</f>
        <v>0</v>
      </c>
      <c r="BI10" s="3350">
        <f t="shared" si="12"/>
        <v>0</v>
      </c>
      <c r="BJ10" s="1615"/>
      <c r="BK10" s="2051"/>
      <c r="BL10" s="2043"/>
      <c r="BM10" s="2045">
        <f t="shared" ref="BM10:BM33" si="28">BK10+BL10*1</f>
        <v>0</v>
      </c>
      <c r="BN10" s="3350">
        <f t="shared" si="13"/>
        <v>0</v>
      </c>
      <c r="BO10" s="1615"/>
      <c r="BP10" s="2051"/>
      <c r="BQ10" s="2043"/>
      <c r="BR10" s="2045">
        <f t="shared" ref="BR10:BR33" si="29">BP10+BQ10*1</f>
        <v>0</v>
      </c>
      <c r="BS10" s="3350">
        <f t="shared" si="14"/>
        <v>0</v>
      </c>
      <c r="BT10" s="1615"/>
      <c r="BU10" s="2051"/>
      <c r="BV10" s="2043"/>
      <c r="BW10" s="2045">
        <f t="shared" ref="BW10:BW33" si="30">BU10+BV10*1</f>
        <v>0</v>
      </c>
      <c r="BX10" s="3350">
        <f t="shared" si="15"/>
        <v>0</v>
      </c>
      <c r="BY10" s="1615"/>
      <c r="BZ10" s="2043">
        <f t="shared" si="16"/>
        <v>15898.740000000002</v>
      </c>
      <c r="CA10" s="2043">
        <f t="shared" si="16"/>
        <v>0</v>
      </c>
      <c r="CB10" s="2045">
        <f t="shared" ref="CB10:CB33" si="31">BZ10+CA10*1</f>
        <v>15898.740000000002</v>
      </c>
      <c r="CC10" s="3350">
        <f t="shared" si="4"/>
        <v>4.8106790451146937E-4</v>
      </c>
      <c r="CD10" s="1434"/>
      <c r="CE10" s="842"/>
      <c r="CF10" s="842"/>
    </row>
    <row r="11" spans="1:85" s="1396" customFormat="1" ht="12" customHeight="1">
      <c r="A11" s="1572"/>
      <c r="B11" s="1153" t="s">
        <v>69</v>
      </c>
      <c r="C11" s="1485"/>
      <c r="D11" s="1486"/>
      <c r="E11" s="2012">
        <f t="shared" si="5"/>
        <v>0</v>
      </c>
      <c r="F11" s="1976" t="e">
        <f t="shared" si="0"/>
        <v>#DIV/0!</v>
      </c>
      <c r="G11" s="2043">
        <v>12169.8</v>
      </c>
      <c r="H11" s="2043">
        <v>0</v>
      </c>
      <c r="I11" s="2045">
        <f t="shared" si="17"/>
        <v>12169.8</v>
      </c>
      <c r="J11" s="1976">
        <v>1.5300378417304054E-3</v>
      </c>
      <c r="K11" s="1976"/>
      <c r="L11" s="2043">
        <v>5766</v>
      </c>
      <c r="M11" s="2043">
        <v>0</v>
      </c>
      <c r="N11" s="2045">
        <f t="shared" si="18"/>
        <v>5766</v>
      </c>
      <c r="O11" s="3350">
        <f t="shared" si="6"/>
        <v>1.542325448159209E-3</v>
      </c>
      <c r="P11" s="3859"/>
      <c r="Q11" s="1986"/>
      <c r="R11" s="2043"/>
      <c r="S11" s="2043"/>
      <c r="T11" s="2045">
        <f t="shared" si="19"/>
        <v>0</v>
      </c>
      <c r="U11" s="3350">
        <f t="shared" si="1"/>
        <v>0</v>
      </c>
      <c r="V11" s="2046"/>
      <c r="W11" s="2043"/>
      <c r="X11" s="2043"/>
      <c r="Y11" s="2045">
        <f t="shared" si="20"/>
        <v>0</v>
      </c>
      <c r="Z11" s="3350">
        <f t="shared" si="2"/>
        <v>0</v>
      </c>
      <c r="AA11" s="3859"/>
      <c r="AB11" s="2043"/>
      <c r="AC11" s="2043"/>
      <c r="AD11" s="2045">
        <f t="shared" si="21"/>
        <v>0</v>
      </c>
      <c r="AE11" s="3350">
        <f t="shared" si="3"/>
        <v>0</v>
      </c>
      <c r="AF11" s="3859"/>
      <c r="AG11" s="2043"/>
      <c r="AH11" s="2043"/>
      <c r="AI11" s="2045">
        <f t="shared" si="22"/>
        <v>0</v>
      </c>
      <c r="AJ11" s="3350" t="e">
        <f t="shared" si="7"/>
        <v>#DIV/0!</v>
      </c>
      <c r="AK11" s="3859"/>
      <c r="AL11" s="2043"/>
      <c r="AM11" s="2043"/>
      <c r="AN11" s="2045">
        <f t="shared" si="23"/>
        <v>0</v>
      </c>
      <c r="AO11" s="3350">
        <f t="shared" si="8"/>
        <v>0</v>
      </c>
      <c r="AP11" s="3859"/>
      <c r="AQ11" s="2051"/>
      <c r="AR11" s="2043"/>
      <c r="AS11" s="2045">
        <f t="shared" si="24"/>
        <v>0</v>
      </c>
      <c r="AT11" s="3350" t="e">
        <f t="shared" si="9"/>
        <v>#DIV/0!</v>
      </c>
      <c r="AU11" s="1615"/>
      <c r="AV11" s="2051"/>
      <c r="AW11" s="2043"/>
      <c r="AX11" s="2045">
        <f t="shared" si="25"/>
        <v>0</v>
      </c>
      <c r="AY11" s="3350">
        <f t="shared" si="10"/>
        <v>0</v>
      </c>
      <c r="AZ11" s="1615"/>
      <c r="BA11" s="2051"/>
      <c r="BB11" s="2043"/>
      <c r="BC11" s="2045">
        <f t="shared" si="26"/>
        <v>0</v>
      </c>
      <c r="BD11" s="3350">
        <f t="shared" si="11"/>
        <v>0</v>
      </c>
      <c r="BE11" s="1615"/>
      <c r="BF11" s="2051"/>
      <c r="BG11" s="2043"/>
      <c r="BH11" s="2045">
        <f t="shared" si="27"/>
        <v>0</v>
      </c>
      <c r="BI11" s="3350">
        <f t="shared" si="12"/>
        <v>0</v>
      </c>
      <c r="BJ11" s="1615"/>
      <c r="BK11" s="2051"/>
      <c r="BL11" s="2043"/>
      <c r="BM11" s="2045">
        <f t="shared" si="28"/>
        <v>0</v>
      </c>
      <c r="BN11" s="3350">
        <f t="shared" si="13"/>
        <v>0</v>
      </c>
      <c r="BO11" s="1615"/>
      <c r="BP11" s="2051"/>
      <c r="BQ11" s="2043"/>
      <c r="BR11" s="2045">
        <f t="shared" si="29"/>
        <v>0</v>
      </c>
      <c r="BS11" s="3350">
        <f t="shared" si="14"/>
        <v>0</v>
      </c>
      <c r="BT11" s="1615"/>
      <c r="BU11" s="2051"/>
      <c r="BV11" s="2043"/>
      <c r="BW11" s="2045">
        <f t="shared" si="30"/>
        <v>0</v>
      </c>
      <c r="BX11" s="3350">
        <f t="shared" si="15"/>
        <v>0</v>
      </c>
      <c r="BY11" s="1615"/>
      <c r="BZ11" s="2043">
        <f t="shared" si="16"/>
        <v>17935.8</v>
      </c>
      <c r="CA11" s="2043">
        <f t="shared" si="16"/>
        <v>0</v>
      </c>
      <c r="CB11" s="2045">
        <f t="shared" si="31"/>
        <v>17935.8</v>
      </c>
      <c r="CC11" s="3350">
        <f t="shared" si="4"/>
        <v>5.4270575666605099E-4</v>
      </c>
      <c r="CD11" s="1434"/>
      <c r="CE11" s="842"/>
      <c r="CF11" s="842"/>
    </row>
    <row r="12" spans="1:85" s="1396" customFormat="1" ht="12" customHeight="1">
      <c r="A12" s="1572"/>
      <c r="B12" s="1153" t="s">
        <v>73</v>
      </c>
      <c r="C12" s="1485"/>
      <c r="D12" s="1486"/>
      <c r="E12" s="2012">
        <f t="shared" si="5"/>
        <v>0</v>
      </c>
      <c r="F12" s="1976" t="e">
        <f t="shared" si="0"/>
        <v>#DIV/0!</v>
      </c>
      <c r="G12" s="2043">
        <v>68424.23</v>
      </c>
      <c r="H12" s="2043">
        <f>98099.6741909091+8000</f>
        <v>106099.67419090911</v>
      </c>
      <c r="I12" s="2045">
        <f t="shared" si="17"/>
        <v>174523.90419090912</v>
      </c>
      <c r="J12" s="1976">
        <v>2.0936077418263189E-2</v>
      </c>
      <c r="K12" s="1976"/>
      <c r="L12" s="2043">
        <v>75480.58</v>
      </c>
      <c r="M12" s="2043">
        <v>36036</v>
      </c>
      <c r="N12" s="2045">
        <f t="shared" si="18"/>
        <v>111516.58</v>
      </c>
      <c r="O12" s="3860">
        <f t="shared" si="6"/>
        <v>2.9829146587874139E-2</v>
      </c>
      <c r="P12" s="3859"/>
      <c r="Q12" s="1986"/>
      <c r="R12" s="2043"/>
      <c r="S12" s="2043"/>
      <c r="T12" s="2045">
        <f t="shared" si="19"/>
        <v>0</v>
      </c>
      <c r="U12" s="3350">
        <f t="shared" si="1"/>
        <v>0</v>
      </c>
      <c r="V12" s="2046"/>
      <c r="W12" s="2043"/>
      <c r="X12" s="2043"/>
      <c r="Y12" s="2045">
        <f t="shared" si="20"/>
        <v>0</v>
      </c>
      <c r="Z12" s="3509">
        <f t="shared" si="2"/>
        <v>0</v>
      </c>
      <c r="AA12" s="3859"/>
      <c r="AB12" s="2043"/>
      <c r="AC12" s="2043"/>
      <c r="AD12" s="2045">
        <f t="shared" si="21"/>
        <v>0</v>
      </c>
      <c r="AE12" s="3509">
        <f t="shared" si="3"/>
        <v>0</v>
      </c>
      <c r="AF12" s="3859"/>
      <c r="AG12" s="2043"/>
      <c r="AH12" s="2043"/>
      <c r="AI12" s="2045">
        <f t="shared" si="22"/>
        <v>0</v>
      </c>
      <c r="AJ12" s="3860" t="e">
        <f t="shared" si="7"/>
        <v>#DIV/0!</v>
      </c>
      <c r="AK12" s="3859"/>
      <c r="AL12" s="2043"/>
      <c r="AM12" s="2043"/>
      <c r="AN12" s="2045">
        <f t="shared" si="23"/>
        <v>0</v>
      </c>
      <c r="AO12" s="3860">
        <f t="shared" si="8"/>
        <v>0</v>
      </c>
      <c r="AP12" s="3859"/>
      <c r="AQ12" s="2051"/>
      <c r="AR12" s="2043"/>
      <c r="AS12" s="2045">
        <f t="shared" si="24"/>
        <v>0</v>
      </c>
      <c r="AT12" s="3350" t="e">
        <f t="shared" si="9"/>
        <v>#DIV/0!</v>
      </c>
      <c r="AU12" s="2048"/>
      <c r="AV12" s="2051"/>
      <c r="AW12" s="2043"/>
      <c r="AX12" s="2045">
        <f t="shared" si="25"/>
        <v>0</v>
      </c>
      <c r="AY12" s="3350">
        <f t="shared" si="10"/>
        <v>0</v>
      </c>
      <c r="AZ12" s="2048"/>
      <c r="BA12" s="2051"/>
      <c r="BB12" s="2043"/>
      <c r="BC12" s="2045">
        <f t="shared" si="26"/>
        <v>0</v>
      </c>
      <c r="BD12" s="3350">
        <f t="shared" si="11"/>
        <v>0</v>
      </c>
      <c r="BE12" s="2048"/>
      <c r="BF12" s="2051"/>
      <c r="BG12" s="2043"/>
      <c r="BH12" s="2045">
        <f t="shared" si="27"/>
        <v>0</v>
      </c>
      <c r="BI12" s="3350">
        <f t="shared" si="12"/>
        <v>0</v>
      </c>
      <c r="BJ12" s="2048"/>
      <c r="BK12" s="2051"/>
      <c r="BL12" s="2043"/>
      <c r="BM12" s="2045">
        <f t="shared" si="28"/>
        <v>0</v>
      </c>
      <c r="BN12" s="3350">
        <f t="shared" si="13"/>
        <v>0</v>
      </c>
      <c r="BO12" s="2048"/>
      <c r="BP12" s="2051"/>
      <c r="BQ12" s="2043"/>
      <c r="BR12" s="2045">
        <f t="shared" si="29"/>
        <v>0</v>
      </c>
      <c r="BS12" s="3350">
        <f t="shared" si="14"/>
        <v>0</v>
      </c>
      <c r="BT12" s="2048"/>
      <c r="BU12" s="2051"/>
      <c r="BV12" s="2043"/>
      <c r="BW12" s="2045">
        <f t="shared" si="30"/>
        <v>0</v>
      </c>
      <c r="BX12" s="3350">
        <f t="shared" si="15"/>
        <v>0</v>
      </c>
      <c r="BY12" s="2048"/>
      <c r="BZ12" s="2043">
        <f t="shared" si="16"/>
        <v>143904.81</v>
      </c>
      <c r="CA12" s="2043">
        <f t="shared" si="16"/>
        <v>142135.67419090911</v>
      </c>
      <c r="CB12" s="2045">
        <f t="shared" si="31"/>
        <v>286040.48419090908</v>
      </c>
      <c r="CC12" s="3350">
        <f t="shared" si="4"/>
        <v>8.6550818703347993E-3</v>
      </c>
      <c r="CD12" s="1434"/>
      <c r="CE12" s="842"/>
      <c r="CF12" s="842"/>
    </row>
    <row r="13" spans="1:85" s="1396" customFormat="1" ht="12" customHeight="1">
      <c r="A13" s="1572"/>
      <c r="B13" s="1153" t="s">
        <v>71</v>
      </c>
      <c r="C13" s="1485"/>
      <c r="D13" s="1486"/>
      <c r="E13" s="2012">
        <f t="shared" si="5"/>
        <v>0</v>
      </c>
      <c r="F13" s="1976" t="e">
        <f t="shared" si="0"/>
        <v>#DIV/0!</v>
      </c>
      <c r="G13" s="2043">
        <v>15019.84</v>
      </c>
      <c r="H13" s="2043">
        <v>0</v>
      </c>
      <c r="I13" s="2045">
        <f t="shared" si="17"/>
        <v>15019.84</v>
      </c>
      <c r="J13" s="1976">
        <v>1.8883567171799054E-3</v>
      </c>
      <c r="K13" s="1976"/>
      <c r="L13" s="2043">
        <v>9376.39</v>
      </c>
      <c r="M13" s="2043">
        <v>0</v>
      </c>
      <c r="N13" s="2045">
        <f t="shared" si="18"/>
        <v>9376.39</v>
      </c>
      <c r="O13" s="3860">
        <f t="shared" si="6"/>
        <v>2.5080549616485477E-3</v>
      </c>
      <c r="P13" s="3859"/>
      <c r="Q13" s="1986"/>
      <c r="R13" s="2043"/>
      <c r="S13" s="2043"/>
      <c r="T13" s="2045">
        <f t="shared" si="19"/>
        <v>0</v>
      </c>
      <c r="U13" s="3350">
        <f t="shared" si="1"/>
        <v>0</v>
      </c>
      <c r="V13" s="2046"/>
      <c r="W13" s="2043"/>
      <c r="X13" s="2043"/>
      <c r="Y13" s="2045">
        <f t="shared" si="20"/>
        <v>0</v>
      </c>
      <c r="Z13" s="3509">
        <f t="shared" si="2"/>
        <v>0</v>
      </c>
      <c r="AA13" s="3859"/>
      <c r="AB13" s="2043"/>
      <c r="AC13" s="2043"/>
      <c r="AD13" s="2045">
        <f t="shared" si="21"/>
        <v>0</v>
      </c>
      <c r="AE13" s="3509">
        <f t="shared" si="3"/>
        <v>0</v>
      </c>
      <c r="AF13" s="3859"/>
      <c r="AG13" s="2043"/>
      <c r="AH13" s="2043"/>
      <c r="AI13" s="2045">
        <f t="shared" si="22"/>
        <v>0</v>
      </c>
      <c r="AJ13" s="3860" t="e">
        <f t="shared" si="7"/>
        <v>#DIV/0!</v>
      </c>
      <c r="AK13" s="3859"/>
      <c r="AL13" s="2043"/>
      <c r="AM13" s="2043"/>
      <c r="AN13" s="2045">
        <f t="shared" si="23"/>
        <v>0</v>
      </c>
      <c r="AO13" s="3860">
        <f t="shared" si="8"/>
        <v>0</v>
      </c>
      <c r="AP13" s="3859"/>
      <c r="AQ13" s="2051"/>
      <c r="AR13" s="2043"/>
      <c r="AS13" s="2045">
        <f t="shared" si="24"/>
        <v>0</v>
      </c>
      <c r="AT13" s="3350" t="e">
        <f t="shared" si="9"/>
        <v>#DIV/0!</v>
      </c>
      <c r="AU13" s="2048"/>
      <c r="AV13" s="2051"/>
      <c r="AW13" s="2043"/>
      <c r="AX13" s="2045">
        <f t="shared" si="25"/>
        <v>0</v>
      </c>
      <c r="AY13" s="3350">
        <f t="shared" si="10"/>
        <v>0</v>
      </c>
      <c r="AZ13" s="2048"/>
      <c r="BA13" s="2051"/>
      <c r="BB13" s="2043"/>
      <c r="BC13" s="2045">
        <f t="shared" si="26"/>
        <v>0</v>
      </c>
      <c r="BD13" s="3350">
        <f t="shared" si="11"/>
        <v>0</v>
      </c>
      <c r="BE13" s="2048"/>
      <c r="BF13" s="2051"/>
      <c r="BG13" s="2043"/>
      <c r="BH13" s="2045">
        <f t="shared" si="27"/>
        <v>0</v>
      </c>
      <c r="BI13" s="3350">
        <f t="shared" si="12"/>
        <v>0</v>
      </c>
      <c r="BJ13" s="2048"/>
      <c r="BK13" s="2051"/>
      <c r="BL13" s="2043"/>
      <c r="BM13" s="2045">
        <f t="shared" si="28"/>
        <v>0</v>
      </c>
      <c r="BN13" s="3350">
        <f t="shared" si="13"/>
        <v>0</v>
      </c>
      <c r="BO13" s="2048"/>
      <c r="BP13" s="2051"/>
      <c r="BQ13" s="2043"/>
      <c r="BR13" s="2045">
        <f t="shared" si="29"/>
        <v>0</v>
      </c>
      <c r="BS13" s="3350">
        <f t="shared" si="14"/>
        <v>0</v>
      </c>
      <c r="BT13" s="2048"/>
      <c r="BU13" s="2051"/>
      <c r="BV13" s="2043"/>
      <c r="BW13" s="2045">
        <f t="shared" si="30"/>
        <v>0</v>
      </c>
      <c r="BX13" s="3350">
        <f t="shared" si="15"/>
        <v>0</v>
      </c>
      <c r="BY13" s="2048"/>
      <c r="BZ13" s="2043">
        <f t="shared" si="16"/>
        <v>24396.23</v>
      </c>
      <c r="CA13" s="2043">
        <f t="shared" si="16"/>
        <v>0</v>
      </c>
      <c r="CB13" s="2045">
        <f t="shared" si="31"/>
        <v>24396.23</v>
      </c>
      <c r="CC13" s="3350">
        <f t="shared" si="4"/>
        <v>7.3818700375500473E-4</v>
      </c>
      <c r="CD13" s="1434"/>
      <c r="CE13" s="842"/>
      <c r="CF13" s="842"/>
    </row>
    <row r="14" spans="1:85" s="1396" customFormat="1" ht="12" customHeight="1">
      <c r="A14" s="1572"/>
      <c r="B14" s="1153" t="s">
        <v>70</v>
      </c>
      <c r="C14" s="1485"/>
      <c r="D14" s="1486"/>
      <c r="E14" s="2012">
        <f t="shared" si="5"/>
        <v>0</v>
      </c>
      <c r="F14" s="1976" t="e">
        <f t="shared" si="0"/>
        <v>#DIV/0!</v>
      </c>
      <c r="G14" s="2043">
        <v>15845.490000000002</v>
      </c>
      <c r="H14" s="2043">
        <v>0</v>
      </c>
      <c r="I14" s="2045">
        <f t="shared" si="17"/>
        <v>15845.490000000002</v>
      </c>
      <c r="J14" s="1976">
        <v>1.9921608671268818E-3</v>
      </c>
      <c r="K14" s="1976"/>
      <c r="L14" s="2043">
        <v>7413.84</v>
      </c>
      <c r="M14" s="2043">
        <v>0</v>
      </c>
      <c r="N14" s="2045">
        <f t="shared" si="18"/>
        <v>7413.84</v>
      </c>
      <c r="O14" s="3860">
        <f t="shared" si="6"/>
        <v>1.9830999133854787E-3</v>
      </c>
      <c r="P14" s="3859"/>
      <c r="Q14" s="1986"/>
      <c r="R14" s="2043"/>
      <c r="S14" s="2043"/>
      <c r="T14" s="2045">
        <f t="shared" si="19"/>
        <v>0</v>
      </c>
      <c r="U14" s="3350">
        <f t="shared" si="1"/>
        <v>0</v>
      </c>
      <c r="V14" s="2046"/>
      <c r="W14" s="2043"/>
      <c r="X14" s="2043"/>
      <c r="Y14" s="2045">
        <f t="shared" si="20"/>
        <v>0</v>
      </c>
      <c r="Z14" s="3509">
        <f t="shared" si="2"/>
        <v>0</v>
      </c>
      <c r="AA14" s="3859"/>
      <c r="AB14" s="2043"/>
      <c r="AC14" s="2043"/>
      <c r="AD14" s="2045">
        <f t="shared" si="21"/>
        <v>0</v>
      </c>
      <c r="AE14" s="3509">
        <f t="shared" si="3"/>
        <v>0</v>
      </c>
      <c r="AF14" s="3859"/>
      <c r="AG14" s="2043"/>
      <c r="AH14" s="2043"/>
      <c r="AI14" s="2045">
        <f t="shared" si="22"/>
        <v>0</v>
      </c>
      <c r="AJ14" s="3860" t="e">
        <f t="shared" si="7"/>
        <v>#DIV/0!</v>
      </c>
      <c r="AK14" s="3859"/>
      <c r="AL14" s="2043"/>
      <c r="AM14" s="2043"/>
      <c r="AN14" s="2045">
        <f t="shared" si="23"/>
        <v>0</v>
      </c>
      <c r="AO14" s="3860">
        <f t="shared" si="8"/>
        <v>0</v>
      </c>
      <c r="AP14" s="3859"/>
      <c r="AQ14" s="2051"/>
      <c r="AR14" s="2043"/>
      <c r="AS14" s="2045">
        <f t="shared" si="24"/>
        <v>0</v>
      </c>
      <c r="AT14" s="3350" t="e">
        <f t="shared" si="9"/>
        <v>#DIV/0!</v>
      </c>
      <c r="AU14" s="2048"/>
      <c r="AV14" s="2051"/>
      <c r="AW14" s="2043"/>
      <c r="AX14" s="2045">
        <f t="shared" si="25"/>
        <v>0</v>
      </c>
      <c r="AY14" s="3350">
        <f t="shared" si="10"/>
        <v>0</v>
      </c>
      <c r="AZ14" s="2048"/>
      <c r="BA14" s="2051"/>
      <c r="BB14" s="2043"/>
      <c r="BC14" s="2045">
        <f t="shared" si="26"/>
        <v>0</v>
      </c>
      <c r="BD14" s="3350">
        <f t="shared" si="11"/>
        <v>0</v>
      </c>
      <c r="BE14" s="2048"/>
      <c r="BF14" s="2051"/>
      <c r="BG14" s="2043"/>
      <c r="BH14" s="2045">
        <f t="shared" si="27"/>
        <v>0</v>
      </c>
      <c r="BI14" s="3350">
        <f t="shared" si="12"/>
        <v>0</v>
      </c>
      <c r="BJ14" s="2048"/>
      <c r="BK14" s="2051"/>
      <c r="BL14" s="2043"/>
      <c r="BM14" s="2045">
        <f t="shared" si="28"/>
        <v>0</v>
      </c>
      <c r="BN14" s="3350">
        <f t="shared" si="13"/>
        <v>0</v>
      </c>
      <c r="BO14" s="2048"/>
      <c r="BP14" s="2051"/>
      <c r="BQ14" s="2043"/>
      <c r="BR14" s="2045">
        <f t="shared" si="29"/>
        <v>0</v>
      </c>
      <c r="BS14" s="3350">
        <f t="shared" si="14"/>
        <v>0</v>
      </c>
      <c r="BT14" s="2048"/>
      <c r="BU14" s="2051"/>
      <c r="BV14" s="2043"/>
      <c r="BW14" s="2045">
        <f t="shared" si="30"/>
        <v>0</v>
      </c>
      <c r="BX14" s="3350">
        <f t="shared" si="15"/>
        <v>0</v>
      </c>
      <c r="BY14" s="2048"/>
      <c r="BZ14" s="2043">
        <f t="shared" si="16"/>
        <v>23259.33</v>
      </c>
      <c r="CA14" s="2043">
        <f t="shared" si="16"/>
        <v>0</v>
      </c>
      <c r="CB14" s="2045">
        <f t="shared" si="31"/>
        <v>23259.33</v>
      </c>
      <c r="CC14" s="3350">
        <f t="shared" si="4"/>
        <v>7.0378640970547069E-4</v>
      </c>
      <c r="CD14" s="1434"/>
      <c r="CE14" s="842"/>
      <c r="CF14" s="842"/>
    </row>
    <row r="15" spans="1:85" s="1396" customFormat="1" ht="12" customHeight="1">
      <c r="A15" s="1572"/>
      <c r="B15" s="3861" t="s">
        <v>20</v>
      </c>
      <c r="C15" s="1485"/>
      <c r="D15" s="3815"/>
      <c r="E15" s="2012">
        <f t="shared" si="5"/>
        <v>0</v>
      </c>
      <c r="F15" s="1976" t="e">
        <f t="shared" si="0"/>
        <v>#DIV/0!</v>
      </c>
      <c r="G15" s="2043">
        <v>0</v>
      </c>
      <c r="H15" s="2043">
        <v>62750</v>
      </c>
      <c r="I15" s="2045">
        <f t="shared" si="17"/>
        <v>62750</v>
      </c>
      <c r="J15" s="1976">
        <v>7.8891908304641774E-3</v>
      </c>
      <c r="K15" s="1976"/>
      <c r="L15" s="2043">
        <v>0</v>
      </c>
      <c r="M15" s="2043">
        <v>33500</v>
      </c>
      <c r="N15" s="2045">
        <f t="shared" si="18"/>
        <v>33500</v>
      </c>
      <c r="O15" s="3860">
        <f t="shared" si="6"/>
        <v>8.9607878101514923E-3</v>
      </c>
      <c r="P15" s="3859"/>
      <c r="Q15" s="1986"/>
      <c r="R15" s="2043"/>
      <c r="S15" s="2043"/>
      <c r="T15" s="2045">
        <f t="shared" si="19"/>
        <v>0</v>
      </c>
      <c r="U15" s="3350">
        <f t="shared" si="1"/>
        <v>0</v>
      </c>
      <c r="V15" s="2046"/>
      <c r="W15" s="2043"/>
      <c r="X15" s="2043"/>
      <c r="Y15" s="2045">
        <f t="shared" si="20"/>
        <v>0</v>
      </c>
      <c r="Z15" s="3509">
        <f t="shared" si="2"/>
        <v>0</v>
      </c>
      <c r="AA15" s="3859"/>
      <c r="AB15" s="2043"/>
      <c r="AC15" s="2043"/>
      <c r="AD15" s="2045">
        <f t="shared" si="21"/>
        <v>0</v>
      </c>
      <c r="AE15" s="3509">
        <f t="shared" si="3"/>
        <v>0</v>
      </c>
      <c r="AF15" s="3859"/>
      <c r="AG15" s="2043"/>
      <c r="AH15" s="2043"/>
      <c r="AI15" s="2045">
        <f t="shared" si="22"/>
        <v>0</v>
      </c>
      <c r="AJ15" s="3860" t="e">
        <f t="shared" si="7"/>
        <v>#DIV/0!</v>
      </c>
      <c r="AK15" s="3859"/>
      <c r="AL15" s="2043"/>
      <c r="AM15" s="2043"/>
      <c r="AN15" s="2045">
        <f t="shared" si="23"/>
        <v>0</v>
      </c>
      <c r="AO15" s="3860">
        <f t="shared" si="8"/>
        <v>0</v>
      </c>
      <c r="AP15" s="3859"/>
      <c r="AQ15" s="2051"/>
      <c r="AR15" s="2043"/>
      <c r="AS15" s="2045">
        <f t="shared" si="24"/>
        <v>0</v>
      </c>
      <c r="AT15" s="3350" t="e">
        <f t="shared" si="9"/>
        <v>#DIV/0!</v>
      </c>
      <c r="AU15" s="1615"/>
      <c r="AV15" s="2051"/>
      <c r="AW15" s="2043"/>
      <c r="AX15" s="2045">
        <f t="shared" si="25"/>
        <v>0</v>
      </c>
      <c r="AY15" s="3350">
        <f t="shared" si="10"/>
        <v>0</v>
      </c>
      <c r="AZ15" s="1615"/>
      <c r="BA15" s="2051"/>
      <c r="BB15" s="2043"/>
      <c r="BC15" s="2045">
        <f t="shared" si="26"/>
        <v>0</v>
      </c>
      <c r="BD15" s="3350">
        <f t="shared" si="11"/>
        <v>0</v>
      </c>
      <c r="BE15" s="1615"/>
      <c r="BF15" s="2051"/>
      <c r="BG15" s="2043"/>
      <c r="BH15" s="2045">
        <f t="shared" si="27"/>
        <v>0</v>
      </c>
      <c r="BI15" s="3350">
        <f t="shared" si="12"/>
        <v>0</v>
      </c>
      <c r="BJ15" s="1615"/>
      <c r="BK15" s="2051"/>
      <c r="BL15" s="2043"/>
      <c r="BM15" s="2045">
        <f t="shared" si="28"/>
        <v>0</v>
      </c>
      <c r="BN15" s="3350">
        <f t="shared" si="13"/>
        <v>0</v>
      </c>
      <c r="BO15" s="1615"/>
      <c r="BP15" s="2051"/>
      <c r="BQ15" s="2043"/>
      <c r="BR15" s="2045">
        <f t="shared" si="29"/>
        <v>0</v>
      </c>
      <c r="BS15" s="3350">
        <f t="shared" si="14"/>
        <v>0</v>
      </c>
      <c r="BT15" s="1615"/>
      <c r="BU15" s="2051"/>
      <c r="BV15" s="2043"/>
      <c r="BW15" s="2045">
        <f t="shared" si="30"/>
        <v>0</v>
      </c>
      <c r="BX15" s="3350">
        <f t="shared" si="15"/>
        <v>0</v>
      </c>
      <c r="BY15" s="1615"/>
      <c r="BZ15" s="2043">
        <f t="shared" si="16"/>
        <v>0</v>
      </c>
      <c r="CA15" s="2043">
        <f t="shared" si="16"/>
        <v>96250</v>
      </c>
      <c r="CB15" s="2045">
        <f t="shared" si="31"/>
        <v>96250</v>
      </c>
      <c r="CC15" s="3350">
        <f t="shared" si="4"/>
        <v>2.9123556841126356E-3</v>
      </c>
      <c r="CD15" s="1434"/>
      <c r="CE15" s="842"/>
      <c r="CF15" s="842"/>
    </row>
    <row r="16" spans="1:85" s="1396" customFormat="1" ht="12" customHeight="1">
      <c r="A16" s="1583"/>
      <c r="B16" s="3861" t="s">
        <v>21</v>
      </c>
      <c r="C16" s="1485"/>
      <c r="D16" s="3815"/>
      <c r="E16" s="2012">
        <f t="shared" si="5"/>
        <v>0</v>
      </c>
      <c r="F16" s="1976" t="e">
        <f t="shared" si="0"/>
        <v>#DIV/0!</v>
      </c>
      <c r="G16" s="2043">
        <v>0</v>
      </c>
      <c r="H16" s="2043">
        <f>272828.78+135447.2</f>
        <v>408275.98000000004</v>
      </c>
      <c r="I16" s="2045">
        <f t="shared" si="17"/>
        <v>408275.98000000004</v>
      </c>
      <c r="J16" s="1976">
        <v>3.4301168278290495E-2</v>
      </c>
      <c r="K16" s="1976"/>
      <c r="L16" s="1752">
        <v>0</v>
      </c>
      <c r="M16" s="1752">
        <v>545300.19999999995</v>
      </c>
      <c r="N16" s="1753">
        <f t="shared" si="18"/>
        <v>545300.19999999995</v>
      </c>
      <c r="O16" s="3862">
        <f t="shared" si="6"/>
        <v>0.14586028015024388</v>
      </c>
      <c r="P16" s="3859"/>
      <c r="Q16" s="1986"/>
      <c r="R16" s="2043"/>
      <c r="S16" s="2043"/>
      <c r="T16" s="2045">
        <f t="shared" si="19"/>
        <v>0</v>
      </c>
      <c r="U16" s="3350">
        <f t="shared" si="1"/>
        <v>0</v>
      </c>
      <c r="V16" s="2046"/>
      <c r="W16" s="1752"/>
      <c r="X16" s="1752"/>
      <c r="Y16" s="1753">
        <f t="shared" si="20"/>
        <v>0</v>
      </c>
      <c r="Z16" s="3863">
        <f t="shared" si="2"/>
        <v>0</v>
      </c>
      <c r="AA16" s="3864"/>
      <c r="AB16" s="1752"/>
      <c r="AC16" s="1752"/>
      <c r="AD16" s="1753">
        <f t="shared" si="21"/>
        <v>0</v>
      </c>
      <c r="AE16" s="3863">
        <f t="shared" si="3"/>
        <v>0</v>
      </c>
      <c r="AF16" s="3859"/>
      <c r="AG16" s="1752"/>
      <c r="AH16" s="1752"/>
      <c r="AI16" s="1753">
        <f t="shared" si="22"/>
        <v>0</v>
      </c>
      <c r="AJ16" s="3862" t="e">
        <f t="shared" si="7"/>
        <v>#DIV/0!</v>
      </c>
      <c r="AK16" s="3859"/>
      <c r="AL16" s="1752"/>
      <c r="AM16" s="1752"/>
      <c r="AN16" s="1753">
        <f t="shared" si="23"/>
        <v>0</v>
      </c>
      <c r="AO16" s="3862">
        <f t="shared" si="8"/>
        <v>0</v>
      </c>
      <c r="AP16" s="3859"/>
      <c r="AQ16" s="2051"/>
      <c r="AR16" s="2043"/>
      <c r="AS16" s="2045">
        <f t="shared" si="24"/>
        <v>0</v>
      </c>
      <c r="AT16" s="3350" t="e">
        <f t="shared" si="9"/>
        <v>#DIV/0!</v>
      </c>
      <c r="AU16" s="2046"/>
      <c r="AV16" s="2051"/>
      <c r="AW16" s="2043"/>
      <c r="AX16" s="2045">
        <f t="shared" si="25"/>
        <v>0</v>
      </c>
      <c r="AY16" s="3350">
        <f t="shared" si="10"/>
        <v>0</v>
      </c>
      <c r="AZ16" s="2046"/>
      <c r="BA16" s="2051"/>
      <c r="BB16" s="2043"/>
      <c r="BC16" s="2045">
        <f t="shared" si="26"/>
        <v>0</v>
      </c>
      <c r="BD16" s="3350">
        <f t="shared" si="11"/>
        <v>0</v>
      </c>
      <c r="BE16" s="2046"/>
      <c r="BF16" s="2051"/>
      <c r="BG16" s="2043"/>
      <c r="BH16" s="2045">
        <f t="shared" si="27"/>
        <v>0</v>
      </c>
      <c r="BI16" s="3350">
        <f t="shared" si="12"/>
        <v>0</v>
      </c>
      <c r="BJ16" s="2046"/>
      <c r="BK16" s="2051"/>
      <c r="BL16" s="2043"/>
      <c r="BM16" s="2045">
        <f t="shared" si="28"/>
        <v>0</v>
      </c>
      <c r="BN16" s="3350">
        <f t="shared" si="13"/>
        <v>0</v>
      </c>
      <c r="BO16" s="2046"/>
      <c r="BP16" s="2051"/>
      <c r="BQ16" s="2043"/>
      <c r="BR16" s="2045">
        <f t="shared" si="29"/>
        <v>0</v>
      </c>
      <c r="BS16" s="3350">
        <f t="shared" si="14"/>
        <v>0</v>
      </c>
      <c r="BT16" s="2046"/>
      <c r="BU16" s="2051"/>
      <c r="BV16" s="2043"/>
      <c r="BW16" s="2045">
        <f t="shared" si="30"/>
        <v>0</v>
      </c>
      <c r="BX16" s="3350">
        <f t="shared" si="15"/>
        <v>0</v>
      </c>
      <c r="BY16" s="2046"/>
      <c r="BZ16" s="2043">
        <f t="shared" si="16"/>
        <v>0</v>
      </c>
      <c r="CA16" s="2043">
        <f t="shared" si="16"/>
        <v>953576.17999999993</v>
      </c>
      <c r="CB16" s="2045">
        <f t="shared" si="31"/>
        <v>953576.17999999993</v>
      </c>
      <c r="CC16" s="3350">
        <f t="shared" si="4"/>
        <v>2.8853537746051049E-2</v>
      </c>
      <c r="CD16" s="1434"/>
      <c r="CE16" s="842"/>
      <c r="CF16" s="842"/>
    </row>
    <row r="17" spans="1:89" s="1396" customFormat="1" ht="12" customHeight="1">
      <c r="A17" s="1572"/>
      <c r="B17" s="3444" t="s">
        <v>22</v>
      </c>
      <c r="C17" s="1485"/>
      <c r="D17" s="3815"/>
      <c r="E17" s="2012">
        <f t="shared" si="5"/>
        <v>0</v>
      </c>
      <c r="F17" s="1976" t="e">
        <f t="shared" si="0"/>
        <v>#DIV/0!</v>
      </c>
      <c r="G17" s="2043">
        <v>0</v>
      </c>
      <c r="H17" s="2043">
        <v>28000</v>
      </c>
      <c r="I17" s="2045">
        <f t="shared" si="17"/>
        <v>28000</v>
      </c>
      <c r="J17" s="1976">
        <v>3.5202763865019434E-3</v>
      </c>
      <c r="K17" s="1976"/>
      <c r="L17" s="2043">
        <v>0</v>
      </c>
      <c r="M17" s="2043">
        <v>0</v>
      </c>
      <c r="N17" s="2045">
        <f t="shared" si="18"/>
        <v>0</v>
      </c>
      <c r="O17" s="3860">
        <f t="shared" si="6"/>
        <v>0</v>
      </c>
      <c r="P17" s="3859"/>
      <c r="Q17" s="1986"/>
      <c r="R17" s="2043"/>
      <c r="S17" s="2043"/>
      <c r="T17" s="2045">
        <f t="shared" si="19"/>
        <v>0</v>
      </c>
      <c r="U17" s="3350">
        <f t="shared" si="1"/>
        <v>0</v>
      </c>
      <c r="V17" s="2046"/>
      <c r="W17" s="2043"/>
      <c r="X17" s="2043"/>
      <c r="Y17" s="2045">
        <f t="shared" si="20"/>
        <v>0</v>
      </c>
      <c r="Z17" s="3509">
        <f t="shared" si="2"/>
        <v>0</v>
      </c>
      <c r="AA17" s="3859"/>
      <c r="AB17" s="2043"/>
      <c r="AC17" s="2043"/>
      <c r="AD17" s="2045">
        <f t="shared" si="21"/>
        <v>0</v>
      </c>
      <c r="AE17" s="3509">
        <f t="shared" si="3"/>
        <v>0</v>
      </c>
      <c r="AF17" s="3859"/>
      <c r="AG17" s="2043"/>
      <c r="AH17" s="2043"/>
      <c r="AI17" s="2045">
        <f t="shared" si="22"/>
        <v>0</v>
      </c>
      <c r="AJ17" s="3860" t="e">
        <f t="shared" si="7"/>
        <v>#DIV/0!</v>
      </c>
      <c r="AK17" s="3859"/>
      <c r="AL17" s="2043"/>
      <c r="AM17" s="2043"/>
      <c r="AN17" s="2045">
        <f t="shared" si="23"/>
        <v>0</v>
      </c>
      <c r="AO17" s="3860">
        <f t="shared" si="8"/>
        <v>0</v>
      </c>
      <c r="AP17" s="3859"/>
      <c r="AQ17" s="2051"/>
      <c r="AR17" s="2043"/>
      <c r="AS17" s="2045">
        <f t="shared" si="24"/>
        <v>0</v>
      </c>
      <c r="AT17" s="3350" t="e">
        <f t="shared" si="9"/>
        <v>#DIV/0!</v>
      </c>
      <c r="AU17" s="2048"/>
      <c r="AV17" s="2051"/>
      <c r="AW17" s="2043"/>
      <c r="AX17" s="2045">
        <f t="shared" si="25"/>
        <v>0</v>
      </c>
      <c r="AY17" s="3350">
        <f t="shared" si="10"/>
        <v>0</v>
      </c>
      <c r="AZ17" s="2048"/>
      <c r="BA17" s="2051"/>
      <c r="BB17" s="2043"/>
      <c r="BC17" s="2045">
        <f t="shared" si="26"/>
        <v>0</v>
      </c>
      <c r="BD17" s="3350">
        <f t="shared" si="11"/>
        <v>0</v>
      </c>
      <c r="BE17" s="2048"/>
      <c r="BF17" s="2051"/>
      <c r="BG17" s="2043"/>
      <c r="BH17" s="2045">
        <f t="shared" si="27"/>
        <v>0</v>
      </c>
      <c r="BI17" s="3350">
        <f t="shared" si="12"/>
        <v>0</v>
      </c>
      <c r="BJ17" s="2048"/>
      <c r="BK17" s="2051"/>
      <c r="BL17" s="2043"/>
      <c r="BM17" s="2045">
        <f t="shared" si="28"/>
        <v>0</v>
      </c>
      <c r="BN17" s="3350">
        <f t="shared" si="13"/>
        <v>0</v>
      </c>
      <c r="BO17" s="2048"/>
      <c r="BP17" s="2051"/>
      <c r="BQ17" s="2043"/>
      <c r="BR17" s="2045">
        <f t="shared" si="29"/>
        <v>0</v>
      </c>
      <c r="BS17" s="3350">
        <f t="shared" si="14"/>
        <v>0</v>
      </c>
      <c r="BT17" s="2048"/>
      <c r="BU17" s="2051"/>
      <c r="BV17" s="2043"/>
      <c r="BW17" s="2045">
        <f t="shared" si="30"/>
        <v>0</v>
      </c>
      <c r="BX17" s="3350">
        <f t="shared" si="15"/>
        <v>0</v>
      </c>
      <c r="BY17" s="2048"/>
      <c r="BZ17" s="2043">
        <f t="shared" si="16"/>
        <v>0</v>
      </c>
      <c r="CA17" s="2043">
        <f t="shared" si="16"/>
        <v>28000</v>
      </c>
      <c r="CB17" s="2045">
        <f t="shared" si="31"/>
        <v>28000</v>
      </c>
      <c r="CC17" s="3350">
        <f t="shared" si="4"/>
        <v>8.4723074446913036E-4</v>
      </c>
      <c r="CD17" s="1434"/>
      <c r="CE17" s="842"/>
      <c r="CF17" s="842"/>
    </row>
    <row r="18" spans="1:89" s="1396" customFormat="1" ht="12" customHeight="1">
      <c r="A18" s="1572"/>
      <c r="B18" s="3444" t="s">
        <v>0</v>
      </c>
      <c r="C18" s="1485"/>
      <c r="D18" s="3815"/>
      <c r="E18" s="2012">
        <f t="shared" si="5"/>
        <v>0</v>
      </c>
      <c r="F18" s="1976" t="e">
        <f t="shared" si="0"/>
        <v>#DIV/0!</v>
      </c>
      <c r="G18" s="2043">
        <v>2718467.9559999998</v>
      </c>
      <c r="H18" s="2043">
        <v>51050</v>
      </c>
      <c r="I18" s="2045">
        <f t="shared" si="17"/>
        <v>2769517.9559999998</v>
      </c>
      <c r="J18" s="1976">
        <v>0.20989873704813539</v>
      </c>
      <c r="K18" s="1976"/>
      <c r="L18" s="2043">
        <v>63782.256000000001</v>
      </c>
      <c r="M18" s="2043">
        <v>2700</v>
      </c>
      <c r="N18" s="2045">
        <f t="shared" si="18"/>
        <v>66482.255999999994</v>
      </c>
      <c r="O18" s="3860">
        <f t="shared" si="6"/>
        <v>1.7783086243467788E-2</v>
      </c>
      <c r="P18" s="3859"/>
      <c r="Q18" s="1986"/>
      <c r="R18" s="2043"/>
      <c r="S18" s="2043"/>
      <c r="T18" s="2045">
        <f t="shared" si="19"/>
        <v>0</v>
      </c>
      <c r="U18" s="3350">
        <f t="shared" si="1"/>
        <v>0</v>
      </c>
      <c r="V18" s="2046"/>
      <c r="W18" s="2043"/>
      <c r="X18" s="2043"/>
      <c r="Y18" s="2045">
        <f t="shared" si="20"/>
        <v>0</v>
      </c>
      <c r="Z18" s="3509">
        <f t="shared" si="2"/>
        <v>0</v>
      </c>
      <c r="AA18" s="3859"/>
      <c r="AB18" s="2043"/>
      <c r="AC18" s="2043"/>
      <c r="AD18" s="2045">
        <f t="shared" si="21"/>
        <v>0</v>
      </c>
      <c r="AE18" s="3509">
        <f t="shared" si="3"/>
        <v>0</v>
      </c>
      <c r="AF18" s="3859"/>
      <c r="AG18" s="2043"/>
      <c r="AH18" s="2043"/>
      <c r="AI18" s="2045">
        <f t="shared" si="22"/>
        <v>0</v>
      </c>
      <c r="AJ18" s="3860" t="e">
        <f t="shared" si="7"/>
        <v>#DIV/0!</v>
      </c>
      <c r="AK18" s="3859"/>
      <c r="AL18" s="2043"/>
      <c r="AM18" s="2043"/>
      <c r="AN18" s="2045">
        <f t="shared" si="23"/>
        <v>0</v>
      </c>
      <c r="AO18" s="3860">
        <f t="shared" si="8"/>
        <v>0</v>
      </c>
      <c r="AP18" s="3859"/>
      <c r="AQ18" s="2051"/>
      <c r="AR18" s="2043"/>
      <c r="AS18" s="2045">
        <f t="shared" si="24"/>
        <v>0</v>
      </c>
      <c r="AT18" s="3350" t="e">
        <f t="shared" si="9"/>
        <v>#DIV/0!</v>
      </c>
      <c r="AU18" s="2055"/>
      <c r="AV18" s="2051"/>
      <c r="AW18" s="2043"/>
      <c r="AX18" s="2045">
        <f t="shared" si="25"/>
        <v>0</v>
      </c>
      <c r="AY18" s="3350">
        <f t="shared" si="10"/>
        <v>0</v>
      </c>
      <c r="AZ18" s="2055"/>
      <c r="BA18" s="2051"/>
      <c r="BB18" s="2043"/>
      <c r="BC18" s="2045">
        <f t="shared" si="26"/>
        <v>0</v>
      </c>
      <c r="BD18" s="3350">
        <f t="shared" si="11"/>
        <v>0</v>
      </c>
      <c r="BE18" s="2055"/>
      <c r="BF18" s="1618"/>
      <c r="BG18" s="2043"/>
      <c r="BH18" s="2045">
        <f t="shared" si="27"/>
        <v>0</v>
      </c>
      <c r="BI18" s="3350">
        <f t="shared" si="12"/>
        <v>0</v>
      </c>
      <c r="BJ18" s="2055"/>
      <c r="BK18" s="1618"/>
      <c r="BL18" s="2043"/>
      <c r="BM18" s="2045">
        <f t="shared" si="28"/>
        <v>0</v>
      </c>
      <c r="BN18" s="3350">
        <f t="shared" si="13"/>
        <v>0</v>
      </c>
      <c r="BO18" s="2055"/>
      <c r="BP18" s="1618"/>
      <c r="BQ18" s="2043"/>
      <c r="BR18" s="2045">
        <f t="shared" si="29"/>
        <v>0</v>
      </c>
      <c r="BS18" s="3350">
        <f t="shared" si="14"/>
        <v>0</v>
      </c>
      <c r="BT18" s="2055"/>
      <c r="BU18" s="1618"/>
      <c r="BV18" s="2043"/>
      <c r="BW18" s="2045">
        <f t="shared" si="30"/>
        <v>0</v>
      </c>
      <c r="BX18" s="3350">
        <f t="shared" si="15"/>
        <v>0</v>
      </c>
      <c r="BY18" s="2055"/>
      <c r="BZ18" s="2043">
        <f t="shared" si="16"/>
        <v>2782250.2119999998</v>
      </c>
      <c r="CA18" s="2043">
        <f t="shared" si="16"/>
        <v>53750</v>
      </c>
      <c r="CB18" s="2045">
        <f t="shared" si="31"/>
        <v>2836000.2119999998</v>
      </c>
      <c r="CC18" s="3350">
        <f t="shared" si="4"/>
        <v>8.5812377533120404E-2</v>
      </c>
      <c r="CD18" s="1434"/>
      <c r="CE18" s="842"/>
      <c r="CF18" s="842"/>
      <c r="CG18" s="842"/>
    </row>
    <row r="19" spans="1:89" s="1396" customFormat="1" ht="12" customHeight="1">
      <c r="A19" s="1572"/>
      <c r="B19" s="3444" t="s">
        <v>53</v>
      </c>
      <c r="C19" s="3816"/>
      <c r="D19" s="3815"/>
      <c r="E19" s="2012">
        <f t="shared" si="5"/>
        <v>0</v>
      </c>
      <c r="F19" s="1976" t="e">
        <f t="shared" si="0"/>
        <v>#DIV/0!</v>
      </c>
      <c r="G19" s="2043">
        <v>33146.004000000001</v>
      </c>
      <c r="H19" s="2043">
        <v>1950</v>
      </c>
      <c r="I19" s="2045">
        <f t="shared" si="17"/>
        <v>35096.004000000001</v>
      </c>
      <c r="J19" s="1976">
        <v>4.4124155050634913E-3</v>
      </c>
      <c r="K19" s="1976"/>
      <c r="L19" s="2043">
        <v>7179.5999999999995</v>
      </c>
      <c r="M19" s="2043">
        <v>2400</v>
      </c>
      <c r="N19" s="2045">
        <f t="shared" si="18"/>
        <v>9579.5999999999985</v>
      </c>
      <c r="O19" s="3860">
        <f t="shared" si="6"/>
        <v>2.5624108330187228E-3</v>
      </c>
      <c r="P19" s="3859"/>
      <c r="Q19" s="1986"/>
      <c r="R19" s="2043"/>
      <c r="S19" s="2043"/>
      <c r="T19" s="2045">
        <f t="shared" si="19"/>
        <v>0</v>
      </c>
      <c r="U19" s="3350">
        <f t="shared" si="1"/>
        <v>0</v>
      </c>
      <c r="V19" s="2046"/>
      <c r="W19" s="2043"/>
      <c r="X19" s="2043"/>
      <c r="Y19" s="2045">
        <f t="shared" si="20"/>
        <v>0</v>
      </c>
      <c r="Z19" s="3509">
        <f t="shared" si="2"/>
        <v>0</v>
      </c>
      <c r="AA19" s="3859"/>
      <c r="AB19" s="2043"/>
      <c r="AC19" s="2043"/>
      <c r="AD19" s="2045">
        <f t="shared" si="21"/>
        <v>0</v>
      </c>
      <c r="AE19" s="3509">
        <f t="shared" si="3"/>
        <v>0</v>
      </c>
      <c r="AF19" s="3859"/>
      <c r="AG19" s="2043"/>
      <c r="AH19" s="2043"/>
      <c r="AI19" s="2045">
        <f t="shared" si="22"/>
        <v>0</v>
      </c>
      <c r="AJ19" s="3860" t="e">
        <f t="shared" si="7"/>
        <v>#DIV/0!</v>
      </c>
      <c r="AK19" s="3859"/>
      <c r="AL19" s="2043"/>
      <c r="AM19" s="2043"/>
      <c r="AN19" s="2045">
        <f t="shared" si="23"/>
        <v>0</v>
      </c>
      <c r="AO19" s="3860">
        <f t="shared" si="8"/>
        <v>0</v>
      </c>
      <c r="AP19" s="3859"/>
      <c r="AQ19" s="2051"/>
      <c r="AR19" s="2043"/>
      <c r="AS19" s="2045">
        <f t="shared" si="24"/>
        <v>0</v>
      </c>
      <c r="AT19" s="3350" t="e">
        <f t="shared" si="9"/>
        <v>#DIV/0!</v>
      </c>
      <c r="AU19" s="2048"/>
      <c r="AV19" s="2051"/>
      <c r="AW19" s="2043"/>
      <c r="AX19" s="2045">
        <f t="shared" si="25"/>
        <v>0</v>
      </c>
      <c r="AY19" s="3350">
        <f t="shared" si="10"/>
        <v>0</v>
      </c>
      <c r="AZ19" s="2048"/>
      <c r="BA19" s="2051"/>
      <c r="BB19" s="2043"/>
      <c r="BC19" s="2045">
        <f t="shared" si="26"/>
        <v>0</v>
      </c>
      <c r="BD19" s="3350">
        <f t="shared" si="11"/>
        <v>0</v>
      </c>
      <c r="BE19" s="2048"/>
      <c r="BF19" s="2051"/>
      <c r="BG19" s="2043"/>
      <c r="BH19" s="2045">
        <f t="shared" si="27"/>
        <v>0</v>
      </c>
      <c r="BI19" s="3350">
        <f t="shared" si="12"/>
        <v>0</v>
      </c>
      <c r="BJ19" s="2048"/>
      <c r="BK19" s="2051"/>
      <c r="BL19" s="2043"/>
      <c r="BM19" s="2045">
        <f t="shared" si="28"/>
        <v>0</v>
      </c>
      <c r="BN19" s="3350">
        <f t="shared" si="13"/>
        <v>0</v>
      </c>
      <c r="BO19" s="2048"/>
      <c r="BP19" s="2051"/>
      <c r="BQ19" s="2043"/>
      <c r="BR19" s="2045">
        <f t="shared" si="29"/>
        <v>0</v>
      </c>
      <c r="BS19" s="3350">
        <f t="shared" si="14"/>
        <v>0</v>
      </c>
      <c r="BT19" s="2048"/>
      <c r="BU19" s="2051"/>
      <c r="BV19" s="2043"/>
      <c r="BW19" s="2045">
        <f t="shared" si="30"/>
        <v>0</v>
      </c>
      <c r="BX19" s="3350">
        <f t="shared" si="15"/>
        <v>0</v>
      </c>
      <c r="BY19" s="2048"/>
      <c r="BZ19" s="2043">
        <f t="shared" si="16"/>
        <v>40325.603999999999</v>
      </c>
      <c r="CA19" s="2043">
        <f t="shared" si="16"/>
        <v>4350</v>
      </c>
      <c r="CB19" s="2045">
        <f t="shared" si="31"/>
        <v>44675.603999999999</v>
      </c>
      <c r="CC19" s="3350">
        <f t="shared" si="4"/>
        <v>1.3518051870188591E-3</v>
      </c>
      <c r="CD19" s="1434"/>
      <c r="CE19" s="842"/>
      <c r="CF19" s="842"/>
    </row>
    <row r="20" spans="1:89" s="1396" customFormat="1" ht="12" customHeight="1">
      <c r="A20" s="1572"/>
      <c r="B20" s="3444" t="s">
        <v>57</v>
      </c>
      <c r="C20" s="3816"/>
      <c r="D20" s="3815"/>
      <c r="E20" s="2012">
        <f t="shared" si="5"/>
        <v>0</v>
      </c>
      <c r="F20" s="1976" t="e">
        <f t="shared" si="0"/>
        <v>#DIV/0!</v>
      </c>
      <c r="G20" s="2043">
        <v>0</v>
      </c>
      <c r="H20" s="2043">
        <v>0</v>
      </c>
      <c r="I20" s="2045">
        <f t="shared" si="17"/>
        <v>0</v>
      </c>
      <c r="J20" s="1976">
        <v>0</v>
      </c>
      <c r="K20" s="1976"/>
      <c r="L20" s="2043">
        <v>4730.4719999999998</v>
      </c>
      <c r="M20" s="2043">
        <v>0</v>
      </c>
      <c r="N20" s="2045">
        <f t="shared" si="18"/>
        <v>4730.4719999999998</v>
      </c>
      <c r="O20" s="3860">
        <f t="shared" si="6"/>
        <v>1.2653359950406849E-3</v>
      </c>
      <c r="P20" s="3859"/>
      <c r="Q20" s="1986"/>
      <c r="R20" s="2043"/>
      <c r="S20" s="2043"/>
      <c r="T20" s="2045">
        <f t="shared" si="19"/>
        <v>0</v>
      </c>
      <c r="U20" s="3350">
        <f t="shared" si="1"/>
        <v>0</v>
      </c>
      <c r="V20" s="2046"/>
      <c r="W20" s="2043"/>
      <c r="X20" s="2043"/>
      <c r="Y20" s="2045">
        <f t="shared" si="20"/>
        <v>0</v>
      </c>
      <c r="Z20" s="3509">
        <f t="shared" si="2"/>
        <v>0</v>
      </c>
      <c r="AA20" s="3859"/>
      <c r="AB20" s="2043"/>
      <c r="AC20" s="2043"/>
      <c r="AD20" s="2045">
        <f t="shared" si="21"/>
        <v>0</v>
      </c>
      <c r="AE20" s="3509">
        <f t="shared" si="3"/>
        <v>0</v>
      </c>
      <c r="AF20" s="3859"/>
      <c r="AG20" s="2043"/>
      <c r="AH20" s="2043"/>
      <c r="AI20" s="2045">
        <f t="shared" si="22"/>
        <v>0</v>
      </c>
      <c r="AJ20" s="3860" t="e">
        <f t="shared" si="7"/>
        <v>#DIV/0!</v>
      </c>
      <c r="AK20" s="3859"/>
      <c r="AL20" s="2043"/>
      <c r="AM20" s="2043"/>
      <c r="AN20" s="2045">
        <f t="shared" si="23"/>
        <v>0</v>
      </c>
      <c r="AO20" s="3860">
        <f t="shared" si="8"/>
        <v>0</v>
      </c>
      <c r="AP20" s="3859"/>
      <c r="AQ20" s="2051"/>
      <c r="AR20" s="2043"/>
      <c r="AS20" s="2045">
        <f t="shared" si="24"/>
        <v>0</v>
      </c>
      <c r="AT20" s="3350" t="e">
        <f t="shared" si="9"/>
        <v>#DIV/0!</v>
      </c>
      <c r="AU20" s="2048"/>
      <c r="AV20" s="2051"/>
      <c r="AW20" s="2043"/>
      <c r="AX20" s="2045">
        <f t="shared" si="25"/>
        <v>0</v>
      </c>
      <c r="AY20" s="3350">
        <f t="shared" si="10"/>
        <v>0</v>
      </c>
      <c r="AZ20" s="2048"/>
      <c r="BA20" s="2051"/>
      <c r="BB20" s="2043"/>
      <c r="BC20" s="2045">
        <f t="shared" si="26"/>
        <v>0</v>
      </c>
      <c r="BD20" s="3350">
        <f t="shared" si="11"/>
        <v>0</v>
      </c>
      <c r="BE20" s="2048"/>
      <c r="BF20" s="2051"/>
      <c r="BG20" s="2043"/>
      <c r="BH20" s="2045">
        <f t="shared" si="27"/>
        <v>0</v>
      </c>
      <c r="BI20" s="3350">
        <f t="shared" si="12"/>
        <v>0</v>
      </c>
      <c r="BJ20" s="2048"/>
      <c r="BK20" s="2051"/>
      <c r="BL20" s="2043"/>
      <c r="BM20" s="2045">
        <f t="shared" si="28"/>
        <v>0</v>
      </c>
      <c r="BN20" s="3350">
        <f t="shared" si="13"/>
        <v>0</v>
      </c>
      <c r="BO20" s="2048"/>
      <c r="BP20" s="2051"/>
      <c r="BQ20" s="2043"/>
      <c r="BR20" s="2045">
        <f t="shared" si="29"/>
        <v>0</v>
      </c>
      <c r="BS20" s="3350">
        <f t="shared" si="14"/>
        <v>0</v>
      </c>
      <c r="BT20" s="2048"/>
      <c r="BU20" s="2051"/>
      <c r="BV20" s="2043"/>
      <c r="BW20" s="2045">
        <f t="shared" si="30"/>
        <v>0</v>
      </c>
      <c r="BX20" s="3350">
        <f t="shared" si="15"/>
        <v>0</v>
      </c>
      <c r="BY20" s="2048"/>
      <c r="BZ20" s="2043">
        <f t="shared" si="16"/>
        <v>4730.4719999999998</v>
      </c>
      <c r="CA20" s="2043">
        <f t="shared" si="16"/>
        <v>0</v>
      </c>
      <c r="CB20" s="2045">
        <f t="shared" si="31"/>
        <v>4730.4719999999998</v>
      </c>
      <c r="CC20" s="3350">
        <f t="shared" si="4"/>
        <v>1.431357612232277E-4</v>
      </c>
      <c r="CD20" s="1434"/>
      <c r="CE20" s="842"/>
      <c r="CF20" s="842"/>
    </row>
    <row r="21" spans="1:89" s="1396" customFormat="1" ht="12" customHeight="1">
      <c r="A21" s="1572"/>
      <c r="B21" s="3444" t="s">
        <v>58</v>
      </c>
      <c r="C21" s="3816"/>
      <c r="D21" s="3815"/>
      <c r="E21" s="2012">
        <f t="shared" si="5"/>
        <v>0</v>
      </c>
      <c r="F21" s="1976" t="e">
        <f t="shared" si="0"/>
        <v>#DIV/0!</v>
      </c>
      <c r="G21" s="2043">
        <v>404892.20999999996</v>
      </c>
      <c r="H21" s="2043">
        <v>0</v>
      </c>
      <c r="I21" s="2045">
        <f t="shared" si="17"/>
        <v>404892.20999999996</v>
      </c>
      <c r="J21" s="1976">
        <v>5.0904731640770924E-2</v>
      </c>
      <c r="K21" s="1976"/>
      <c r="L21" s="2043">
        <v>121723.73999999999</v>
      </c>
      <c r="M21" s="2043">
        <v>0</v>
      </c>
      <c r="N21" s="2045">
        <f t="shared" si="18"/>
        <v>121723.73999999999</v>
      </c>
      <c r="O21" s="3860">
        <f t="shared" si="6"/>
        <v>3.2559421062628345E-2</v>
      </c>
      <c r="P21" s="3859"/>
      <c r="Q21" s="1986"/>
      <c r="R21" s="2043"/>
      <c r="S21" s="2043"/>
      <c r="T21" s="2045">
        <f t="shared" si="19"/>
        <v>0</v>
      </c>
      <c r="U21" s="3350">
        <f t="shared" si="1"/>
        <v>0</v>
      </c>
      <c r="V21" s="2046"/>
      <c r="W21" s="2043"/>
      <c r="X21" s="2043"/>
      <c r="Y21" s="2045">
        <f t="shared" si="20"/>
        <v>0</v>
      </c>
      <c r="Z21" s="3509">
        <f t="shared" si="2"/>
        <v>0</v>
      </c>
      <c r="AA21" s="3859"/>
      <c r="AB21" s="2043"/>
      <c r="AC21" s="2043"/>
      <c r="AD21" s="2045">
        <f t="shared" si="21"/>
        <v>0</v>
      </c>
      <c r="AE21" s="3509">
        <f t="shared" si="3"/>
        <v>0</v>
      </c>
      <c r="AF21" s="3859"/>
      <c r="AG21" s="2043"/>
      <c r="AH21" s="2043"/>
      <c r="AI21" s="2045">
        <f t="shared" si="22"/>
        <v>0</v>
      </c>
      <c r="AJ21" s="3860" t="e">
        <f t="shared" si="7"/>
        <v>#DIV/0!</v>
      </c>
      <c r="AK21" s="3859"/>
      <c r="AL21" s="2043"/>
      <c r="AM21" s="2043"/>
      <c r="AN21" s="2045">
        <f t="shared" si="23"/>
        <v>0</v>
      </c>
      <c r="AO21" s="3860">
        <f t="shared" si="8"/>
        <v>0</v>
      </c>
      <c r="AP21" s="3859"/>
      <c r="AQ21" s="2051"/>
      <c r="AR21" s="2043"/>
      <c r="AS21" s="2045">
        <f t="shared" si="24"/>
        <v>0</v>
      </c>
      <c r="AT21" s="3350" t="e">
        <f t="shared" si="9"/>
        <v>#DIV/0!</v>
      </c>
      <c r="AU21" s="2048"/>
      <c r="AV21" s="2051"/>
      <c r="AW21" s="2043"/>
      <c r="AX21" s="2045">
        <f t="shared" si="25"/>
        <v>0</v>
      </c>
      <c r="AY21" s="3350">
        <f t="shared" si="10"/>
        <v>0</v>
      </c>
      <c r="AZ21" s="2048"/>
      <c r="BA21" s="2051"/>
      <c r="BB21" s="2043"/>
      <c r="BC21" s="2045">
        <f t="shared" si="26"/>
        <v>0</v>
      </c>
      <c r="BD21" s="3350">
        <f t="shared" si="11"/>
        <v>0</v>
      </c>
      <c r="BE21" s="2048"/>
      <c r="BF21" s="2051"/>
      <c r="BG21" s="2043"/>
      <c r="BH21" s="2045">
        <f t="shared" si="27"/>
        <v>0</v>
      </c>
      <c r="BI21" s="3350">
        <f t="shared" si="12"/>
        <v>0</v>
      </c>
      <c r="BJ21" s="2048"/>
      <c r="BK21" s="2051"/>
      <c r="BL21" s="2043"/>
      <c r="BM21" s="2045">
        <f t="shared" si="28"/>
        <v>0</v>
      </c>
      <c r="BN21" s="3350">
        <f t="shared" si="13"/>
        <v>0</v>
      </c>
      <c r="BO21" s="2048"/>
      <c r="BP21" s="2051"/>
      <c r="BQ21" s="2043"/>
      <c r="BR21" s="2045">
        <f t="shared" si="29"/>
        <v>0</v>
      </c>
      <c r="BS21" s="3350">
        <f t="shared" si="14"/>
        <v>0</v>
      </c>
      <c r="BT21" s="2048"/>
      <c r="BU21" s="2051"/>
      <c r="BV21" s="2043"/>
      <c r="BW21" s="2045">
        <f t="shared" si="30"/>
        <v>0</v>
      </c>
      <c r="BX21" s="3350">
        <f t="shared" si="15"/>
        <v>0</v>
      </c>
      <c r="BY21" s="2048"/>
      <c r="BZ21" s="2043">
        <f t="shared" si="16"/>
        <v>526615.94999999995</v>
      </c>
      <c r="CA21" s="2043">
        <f t="shared" si="16"/>
        <v>0</v>
      </c>
      <c r="CB21" s="2045">
        <f t="shared" si="31"/>
        <v>526615.94999999995</v>
      </c>
      <c r="CC21" s="3350">
        <f t="shared" si="4"/>
        <v>1.5934472263136368E-2</v>
      </c>
      <c r="CD21" s="1434"/>
      <c r="CE21" s="842"/>
      <c r="CF21" s="842"/>
    </row>
    <row r="22" spans="1:89" s="1396" customFormat="1" ht="12" customHeight="1">
      <c r="A22" s="1572"/>
      <c r="B22" s="3444" t="s">
        <v>621</v>
      </c>
      <c r="C22" s="3816"/>
      <c r="D22" s="3815"/>
      <c r="E22" s="2012"/>
      <c r="F22" s="1976"/>
      <c r="G22" s="2043">
        <v>139599.984</v>
      </c>
      <c r="H22" s="2043">
        <v>800</v>
      </c>
      <c r="I22" s="2045">
        <f t="shared" si="17"/>
        <v>140399.984</v>
      </c>
      <c r="J22" s="1976">
        <v>1.7651669583587524E-2</v>
      </c>
      <c r="K22" s="1976"/>
      <c r="L22" s="2043">
        <v>181170</v>
      </c>
      <c r="M22" s="2043">
        <v>0</v>
      </c>
      <c r="N22" s="2045">
        <f t="shared" si="18"/>
        <v>181170</v>
      </c>
      <c r="O22" s="3860">
        <f t="shared" si="6"/>
        <v>4.8460475449705845E-2</v>
      </c>
      <c r="P22" s="3859"/>
      <c r="Q22" s="1986"/>
      <c r="R22" s="2043"/>
      <c r="S22" s="2043"/>
      <c r="T22" s="2045">
        <f t="shared" si="19"/>
        <v>0</v>
      </c>
      <c r="U22" s="3350">
        <f t="shared" si="1"/>
        <v>0</v>
      </c>
      <c r="V22" s="2046"/>
      <c r="W22" s="2043"/>
      <c r="X22" s="2043"/>
      <c r="Y22" s="2045">
        <f t="shared" si="20"/>
        <v>0</v>
      </c>
      <c r="Z22" s="3509">
        <f t="shared" si="2"/>
        <v>0</v>
      </c>
      <c r="AA22" s="3859"/>
      <c r="AB22" s="2043"/>
      <c r="AC22" s="2043"/>
      <c r="AD22" s="2045">
        <f t="shared" si="21"/>
        <v>0</v>
      </c>
      <c r="AE22" s="3509">
        <f t="shared" si="3"/>
        <v>0</v>
      </c>
      <c r="AF22" s="3859"/>
      <c r="AG22" s="2043"/>
      <c r="AH22" s="2043"/>
      <c r="AI22" s="2045">
        <f t="shared" si="22"/>
        <v>0</v>
      </c>
      <c r="AJ22" s="3860" t="e">
        <f t="shared" si="7"/>
        <v>#DIV/0!</v>
      </c>
      <c r="AK22" s="3859"/>
      <c r="AL22" s="2043"/>
      <c r="AM22" s="2043"/>
      <c r="AN22" s="2045">
        <f t="shared" si="23"/>
        <v>0</v>
      </c>
      <c r="AO22" s="3860">
        <f t="shared" si="8"/>
        <v>0</v>
      </c>
      <c r="AP22" s="3859"/>
      <c r="AQ22" s="2051"/>
      <c r="AR22" s="2043"/>
      <c r="AS22" s="2045">
        <f t="shared" si="24"/>
        <v>0</v>
      </c>
      <c r="AT22" s="3350" t="e">
        <f t="shared" si="9"/>
        <v>#DIV/0!</v>
      </c>
      <c r="AU22" s="2048"/>
      <c r="AV22" s="2051"/>
      <c r="AW22" s="2043"/>
      <c r="AX22" s="2045">
        <f t="shared" si="25"/>
        <v>0</v>
      </c>
      <c r="AY22" s="3350">
        <f t="shared" si="10"/>
        <v>0</v>
      </c>
      <c r="AZ22" s="2048"/>
      <c r="BA22" s="2051"/>
      <c r="BB22" s="2043"/>
      <c r="BC22" s="2045">
        <f t="shared" si="26"/>
        <v>0</v>
      </c>
      <c r="BD22" s="3350">
        <f t="shared" si="11"/>
        <v>0</v>
      </c>
      <c r="BE22" s="2048"/>
      <c r="BF22" s="2051"/>
      <c r="BG22" s="2043"/>
      <c r="BH22" s="2045">
        <f t="shared" si="27"/>
        <v>0</v>
      </c>
      <c r="BI22" s="3350">
        <f t="shared" si="12"/>
        <v>0</v>
      </c>
      <c r="BJ22" s="2048"/>
      <c r="BK22" s="2051"/>
      <c r="BL22" s="2043"/>
      <c r="BM22" s="2045">
        <f t="shared" si="28"/>
        <v>0</v>
      </c>
      <c r="BN22" s="3350">
        <f t="shared" si="13"/>
        <v>0</v>
      </c>
      <c r="BO22" s="2048"/>
      <c r="BP22" s="2051"/>
      <c r="BQ22" s="2043"/>
      <c r="BR22" s="2045">
        <f t="shared" si="29"/>
        <v>0</v>
      </c>
      <c r="BS22" s="3350">
        <f t="shared" si="14"/>
        <v>0</v>
      </c>
      <c r="BT22" s="2048"/>
      <c r="BU22" s="2051"/>
      <c r="BV22" s="2043"/>
      <c r="BW22" s="2045">
        <f t="shared" si="30"/>
        <v>0</v>
      </c>
      <c r="BX22" s="3350">
        <f t="shared" si="15"/>
        <v>0</v>
      </c>
      <c r="BY22" s="2048"/>
      <c r="BZ22" s="2043">
        <f t="shared" si="16"/>
        <v>320769.984</v>
      </c>
      <c r="CA22" s="2043">
        <f t="shared" si="16"/>
        <v>800</v>
      </c>
      <c r="CB22" s="2045">
        <f t="shared" si="31"/>
        <v>321569.984</v>
      </c>
      <c r="CC22" s="3350">
        <f t="shared" si="4"/>
        <v>9.7301420336873695E-3</v>
      </c>
      <c r="CD22" s="1434"/>
      <c r="CE22" s="842"/>
      <c r="CF22" s="842"/>
    </row>
    <row r="23" spans="1:89" s="1396" customFormat="1" ht="12" customHeight="1">
      <c r="A23" s="1572"/>
      <c r="B23" s="3444" t="s">
        <v>630</v>
      </c>
      <c r="C23" s="3816"/>
      <c r="D23" s="3815"/>
      <c r="E23" s="2012"/>
      <c r="F23" s="1976"/>
      <c r="G23" s="2043">
        <v>0</v>
      </c>
      <c r="H23" s="2043">
        <v>0</v>
      </c>
      <c r="I23" s="2045">
        <f t="shared" si="17"/>
        <v>0</v>
      </c>
      <c r="J23" s="1976">
        <v>0</v>
      </c>
      <c r="K23" s="1976"/>
      <c r="L23" s="2043">
        <v>0</v>
      </c>
      <c r="M23" s="2043">
        <v>0</v>
      </c>
      <c r="N23" s="2045">
        <f t="shared" si="18"/>
        <v>0</v>
      </c>
      <c r="O23" s="3860">
        <f t="shared" si="6"/>
        <v>0</v>
      </c>
      <c r="P23" s="3859"/>
      <c r="Q23" s="1986"/>
      <c r="R23" s="2043"/>
      <c r="S23" s="2043"/>
      <c r="T23" s="2045">
        <f t="shared" si="19"/>
        <v>0</v>
      </c>
      <c r="U23" s="3350">
        <f t="shared" si="1"/>
        <v>0</v>
      </c>
      <c r="V23" s="2046"/>
      <c r="W23" s="2043"/>
      <c r="X23" s="2043"/>
      <c r="Y23" s="2045">
        <f t="shared" si="20"/>
        <v>0</v>
      </c>
      <c r="Z23" s="3509">
        <f t="shared" si="2"/>
        <v>0</v>
      </c>
      <c r="AA23" s="3859"/>
      <c r="AB23" s="2043"/>
      <c r="AC23" s="2043"/>
      <c r="AD23" s="2045">
        <f t="shared" si="21"/>
        <v>0</v>
      </c>
      <c r="AE23" s="3509">
        <f t="shared" si="3"/>
        <v>0</v>
      </c>
      <c r="AF23" s="3859"/>
      <c r="AG23" s="2043"/>
      <c r="AH23" s="2043"/>
      <c r="AI23" s="2045">
        <f t="shared" si="22"/>
        <v>0</v>
      </c>
      <c r="AJ23" s="3860" t="e">
        <f t="shared" si="7"/>
        <v>#DIV/0!</v>
      </c>
      <c r="AK23" s="3859"/>
      <c r="AL23" s="2043"/>
      <c r="AM23" s="2043"/>
      <c r="AN23" s="2045">
        <f t="shared" si="23"/>
        <v>0</v>
      </c>
      <c r="AO23" s="3860">
        <f t="shared" si="8"/>
        <v>0</v>
      </c>
      <c r="AP23" s="3859"/>
      <c r="AQ23" s="2051"/>
      <c r="AR23" s="2043"/>
      <c r="AS23" s="2045">
        <f t="shared" si="24"/>
        <v>0</v>
      </c>
      <c r="AT23" s="3350" t="e">
        <f t="shared" si="9"/>
        <v>#DIV/0!</v>
      </c>
      <c r="AU23" s="2048"/>
      <c r="AV23" s="2051"/>
      <c r="AW23" s="2043"/>
      <c r="AX23" s="2045">
        <f t="shared" si="25"/>
        <v>0</v>
      </c>
      <c r="AY23" s="3350">
        <f t="shared" si="10"/>
        <v>0</v>
      </c>
      <c r="AZ23" s="2048"/>
      <c r="BA23" s="2051"/>
      <c r="BB23" s="2043"/>
      <c r="BC23" s="2045">
        <f t="shared" si="26"/>
        <v>0</v>
      </c>
      <c r="BD23" s="3350">
        <f t="shared" si="11"/>
        <v>0</v>
      </c>
      <c r="BE23" s="2048"/>
      <c r="BF23" s="2051"/>
      <c r="BG23" s="2043"/>
      <c r="BH23" s="2045">
        <f t="shared" si="27"/>
        <v>0</v>
      </c>
      <c r="BI23" s="3350">
        <f t="shared" si="12"/>
        <v>0</v>
      </c>
      <c r="BJ23" s="2048"/>
      <c r="BK23" s="2051"/>
      <c r="BL23" s="2043"/>
      <c r="BM23" s="2045">
        <f t="shared" si="28"/>
        <v>0</v>
      </c>
      <c r="BN23" s="3350">
        <f t="shared" si="13"/>
        <v>0</v>
      </c>
      <c r="BO23" s="2048"/>
      <c r="BP23" s="2051"/>
      <c r="BQ23" s="2043"/>
      <c r="BR23" s="2045">
        <f t="shared" si="29"/>
        <v>0</v>
      </c>
      <c r="BS23" s="3350">
        <f t="shared" si="14"/>
        <v>0</v>
      </c>
      <c r="BT23" s="2048"/>
      <c r="BU23" s="2051"/>
      <c r="BV23" s="2043"/>
      <c r="BW23" s="2045">
        <f t="shared" si="30"/>
        <v>0</v>
      </c>
      <c r="BX23" s="3350">
        <f t="shared" si="15"/>
        <v>0</v>
      </c>
      <c r="BY23" s="2048"/>
      <c r="BZ23" s="2043">
        <f t="shared" si="16"/>
        <v>0</v>
      </c>
      <c r="CA23" s="2043">
        <f t="shared" si="16"/>
        <v>0</v>
      </c>
      <c r="CB23" s="2045">
        <f t="shared" si="31"/>
        <v>0</v>
      </c>
      <c r="CC23" s="3350">
        <f t="shared" si="4"/>
        <v>0</v>
      </c>
      <c r="CD23" s="1434"/>
      <c r="CE23" s="842"/>
      <c r="CF23" s="842"/>
    </row>
    <row r="24" spans="1:89" s="1396" customFormat="1" ht="12" customHeight="1">
      <c r="A24" s="1572"/>
      <c r="B24" s="3444" t="s">
        <v>23</v>
      </c>
      <c r="C24" s="3816"/>
      <c r="D24" s="3815"/>
      <c r="E24" s="2012">
        <f t="shared" si="5"/>
        <v>0</v>
      </c>
      <c r="F24" s="1976" t="e">
        <f t="shared" ref="F24:F33" si="32">E24/$E$89</f>
        <v>#DIV/0!</v>
      </c>
      <c r="G24" s="2043">
        <v>367998.91200000001</v>
      </c>
      <c r="H24" s="2043">
        <v>0</v>
      </c>
      <c r="I24" s="2045">
        <f t="shared" si="17"/>
        <v>367998.91200000001</v>
      </c>
      <c r="J24" s="1976">
        <v>4.6266352863285953E-2</v>
      </c>
      <c r="K24" s="1976"/>
      <c r="L24" s="2043">
        <v>197449.97999999998</v>
      </c>
      <c r="M24" s="2043">
        <v>1810</v>
      </c>
      <c r="N24" s="2045">
        <f t="shared" si="18"/>
        <v>199259.97999999998</v>
      </c>
      <c r="O24" s="3860">
        <f t="shared" si="6"/>
        <v>5.3299295517463582E-2</v>
      </c>
      <c r="P24" s="3859"/>
      <c r="Q24" s="1986"/>
      <c r="R24" s="2043"/>
      <c r="S24" s="2043"/>
      <c r="T24" s="2045">
        <f t="shared" si="19"/>
        <v>0</v>
      </c>
      <c r="U24" s="3350">
        <f t="shared" si="1"/>
        <v>0</v>
      </c>
      <c r="V24" s="2046"/>
      <c r="W24" s="2043">
        <v>27000</v>
      </c>
      <c r="X24" s="2043"/>
      <c r="Y24" s="2045">
        <f t="shared" si="20"/>
        <v>27000</v>
      </c>
      <c r="Z24" s="3509">
        <f t="shared" si="2"/>
        <v>1</v>
      </c>
      <c r="AA24" s="3859" t="s">
        <v>1313</v>
      </c>
      <c r="AB24" s="2043"/>
      <c r="AC24" s="2043"/>
      <c r="AD24" s="2045">
        <f t="shared" si="21"/>
        <v>0</v>
      </c>
      <c r="AE24" s="3509">
        <f t="shared" si="3"/>
        <v>0</v>
      </c>
      <c r="AF24" s="3859"/>
      <c r="AG24" s="2043"/>
      <c r="AH24" s="2043"/>
      <c r="AI24" s="2045">
        <f t="shared" si="22"/>
        <v>0</v>
      </c>
      <c r="AJ24" s="3860" t="e">
        <f t="shared" si="7"/>
        <v>#DIV/0!</v>
      </c>
      <c r="AK24" s="3859"/>
      <c r="AL24" s="2043"/>
      <c r="AM24" s="2043"/>
      <c r="AN24" s="2045">
        <f t="shared" si="23"/>
        <v>0</v>
      </c>
      <c r="AO24" s="3860">
        <f t="shared" si="8"/>
        <v>0</v>
      </c>
      <c r="AP24" s="3859"/>
      <c r="AQ24" s="2051"/>
      <c r="AR24" s="2043"/>
      <c r="AS24" s="2045">
        <f t="shared" si="24"/>
        <v>0</v>
      </c>
      <c r="AT24" s="3350" t="e">
        <f t="shared" si="9"/>
        <v>#DIV/0!</v>
      </c>
      <c r="AU24" s="2046"/>
      <c r="AV24" s="2051"/>
      <c r="AW24" s="2043"/>
      <c r="AX24" s="2045">
        <f t="shared" si="25"/>
        <v>0</v>
      </c>
      <c r="AY24" s="3350">
        <f t="shared" si="10"/>
        <v>0</v>
      </c>
      <c r="AZ24" s="2046"/>
      <c r="BA24" s="2051"/>
      <c r="BB24" s="2043"/>
      <c r="BC24" s="2045">
        <f t="shared" si="26"/>
        <v>0</v>
      </c>
      <c r="BD24" s="3350">
        <f t="shared" si="11"/>
        <v>0</v>
      </c>
      <c r="BE24" s="2046"/>
      <c r="BF24" s="2051"/>
      <c r="BG24" s="2043"/>
      <c r="BH24" s="2045">
        <f t="shared" si="27"/>
        <v>0</v>
      </c>
      <c r="BI24" s="3350">
        <f t="shared" si="12"/>
        <v>0</v>
      </c>
      <c r="BJ24" s="2046"/>
      <c r="BK24" s="2051"/>
      <c r="BL24" s="2043"/>
      <c r="BM24" s="2045">
        <f t="shared" si="28"/>
        <v>0</v>
      </c>
      <c r="BN24" s="3350">
        <f t="shared" si="13"/>
        <v>0</v>
      </c>
      <c r="BO24" s="2046"/>
      <c r="BP24" s="2051"/>
      <c r="BQ24" s="2043"/>
      <c r="BR24" s="2045">
        <f t="shared" si="29"/>
        <v>0</v>
      </c>
      <c r="BS24" s="3350">
        <f t="shared" si="14"/>
        <v>0</v>
      </c>
      <c r="BT24" s="2046"/>
      <c r="BU24" s="2051"/>
      <c r="BV24" s="2043"/>
      <c r="BW24" s="2045">
        <f t="shared" si="30"/>
        <v>0</v>
      </c>
      <c r="BX24" s="3350">
        <f t="shared" si="15"/>
        <v>0</v>
      </c>
      <c r="BY24" s="2046"/>
      <c r="BZ24" s="2043">
        <f t="shared" si="16"/>
        <v>592448.89199999999</v>
      </c>
      <c r="CA24" s="2043">
        <f t="shared" si="16"/>
        <v>1810</v>
      </c>
      <c r="CB24" s="2045">
        <f t="shared" si="31"/>
        <v>594258.89199999999</v>
      </c>
      <c r="CC24" s="3350">
        <f t="shared" si="4"/>
        <v>1.7981228695591447E-2</v>
      </c>
      <c r="CD24" s="1434"/>
      <c r="CE24" s="842"/>
      <c r="CF24" s="842"/>
    </row>
    <row r="25" spans="1:89" s="1396" customFormat="1" ht="12" customHeight="1">
      <c r="A25" s="1572"/>
      <c r="B25" s="3444" t="s">
        <v>24</v>
      </c>
      <c r="C25" s="3816"/>
      <c r="D25" s="3815"/>
      <c r="E25" s="2012">
        <f t="shared" si="5"/>
        <v>0</v>
      </c>
      <c r="F25" s="1976" t="e">
        <f t="shared" si="32"/>
        <v>#DIV/0!</v>
      </c>
      <c r="G25" s="2043">
        <v>367076.56800000003</v>
      </c>
      <c r="H25" s="2043">
        <v>7027.7</v>
      </c>
      <c r="I25" s="2045">
        <f t="shared" si="17"/>
        <v>374104.26800000004</v>
      </c>
      <c r="J25" s="1976">
        <v>9.3166965992646997E-3</v>
      </c>
      <c r="K25" s="1976"/>
      <c r="L25" s="2043">
        <v>89949.54</v>
      </c>
      <c r="M25" s="2043">
        <v>787</v>
      </c>
      <c r="N25" s="2045">
        <f t="shared" si="18"/>
        <v>90736.54</v>
      </c>
      <c r="O25" s="3860">
        <f t="shared" si="6"/>
        <v>2.4270772584099199E-2</v>
      </c>
      <c r="P25" s="3859"/>
      <c r="Q25" s="1986"/>
      <c r="R25" s="2043"/>
      <c r="S25" s="2043"/>
      <c r="T25" s="2045">
        <f t="shared" si="19"/>
        <v>0</v>
      </c>
      <c r="U25" s="3350">
        <f t="shared" si="1"/>
        <v>0</v>
      </c>
      <c r="V25" s="2046"/>
      <c r="W25" s="2043"/>
      <c r="X25" s="2043"/>
      <c r="Y25" s="2045">
        <f t="shared" si="20"/>
        <v>0</v>
      </c>
      <c r="Z25" s="3509">
        <f t="shared" si="2"/>
        <v>0</v>
      </c>
      <c r="AA25" s="3859"/>
      <c r="AB25" s="2043"/>
      <c r="AC25" s="2043"/>
      <c r="AD25" s="2045">
        <f t="shared" si="21"/>
        <v>0</v>
      </c>
      <c r="AE25" s="3509">
        <f t="shared" si="3"/>
        <v>0</v>
      </c>
      <c r="AF25" s="3859"/>
      <c r="AG25" s="2043"/>
      <c r="AH25" s="2043"/>
      <c r="AI25" s="2045">
        <f t="shared" si="22"/>
        <v>0</v>
      </c>
      <c r="AJ25" s="3860" t="e">
        <f t="shared" si="7"/>
        <v>#DIV/0!</v>
      </c>
      <c r="AK25" s="3859"/>
      <c r="AL25" s="2043"/>
      <c r="AM25" s="2043"/>
      <c r="AN25" s="2045">
        <f t="shared" si="23"/>
        <v>0</v>
      </c>
      <c r="AO25" s="3860">
        <f t="shared" si="8"/>
        <v>0</v>
      </c>
      <c r="AP25" s="3859"/>
      <c r="AQ25" s="2051"/>
      <c r="AR25" s="2043"/>
      <c r="AS25" s="2045">
        <f t="shared" si="24"/>
        <v>0</v>
      </c>
      <c r="AT25" s="3350" t="e">
        <f t="shared" si="9"/>
        <v>#DIV/0!</v>
      </c>
      <c r="AU25" s="2046"/>
      <c r="AV25" s="2051"/>
      <c r="AW25" s="2043"/>
      <c r="AX25" s="2045">
        <f t="shared" si="25"/>
        <v>0</v>
      </c>
      <c r="AY25" s="3350">
        <f t="shared" si="10"/>
        <v>0</v>
      </c>
      <c r="AZ25" s="2046"/>
      <c r="BA25" s="2051"/>
      <c r="BB25" s="2043"/>
      <c r="BC25" s="2045">
        <f t="shared" si="26"/>
        <v>0</v>
      </c>
      <c r="BD25" s="3350">
        <f t="shared" si="11"/>
        <v>0</v>
      </c>
      <c r="BE25" s="2046"/>
      <c r="BF25" s="2051"/>
      <c r="BG25" s="2043"/>
      <c r="BH25" s="2045">
        <f t="shared" si="27"/>
        <v>0</v>
      </c>
      <c r="BI25" s="3350">
        <f t="shared" si="12"/>
        <v>0</v>
      </c>
      <c r="BJ25" s="2046"/>
      <c r="BK25" s="2051"/>
      <c r="BL25" s="2043"/>
      <c r="BM25" s="2045">
        <f t="shared" si="28"/>
        <v>0</v>
      </c>
      <c r="BN25" s="3350">
        <f t="shared" si="13"/>
        <v>0</v>
      </c>
      <c r="BO25" s="2046"/>
      <c r="BP25" s="2051"/>
      <c r="BQ25" s="2043"/>
      <c r="BR25" s="2045">
        <f t="shared" si="29"/>
        <v>0</v>
      </c>
      <c r="BS25" s="3350">
        <f t="shared" si="14"/>
        <v>0</v>
      </c>
      <c r="BT25" s="2046"/>
      <c r="BU25" s="2051"/>
      <c r="BV25" s="2043"/>
      <c r="BW25" s="2045">
        <f t="shared" si="30"/>
        <v>0</v>
      </c>
      <c r="BX25" s="3350">
        <f t="shared" si="15"/>
        <v>0</v>
      </c>
      <c r="BY25" s="2046"/>
      <c r="BZ25" s="2043">
        <f t="shared" si="16"/>
        <v>457026.10800000001</v>
      </c>
      <c r="CA25" s="2043">
        <f t="shared" si="16"/>
        <v>7814.7</v>
      </c>
      <c r="CB25" s="2045">
        <f t="shared" si="31"/>
        <v>464840.80800000002</v>
      </c>
      <c r="CC25" s="3350">
        <f t="shared" si="4"/>
        <v>1.4065265136481146E-2</v>
      </c>
      <c r="CD25" s="1434"/>
      <c r="CE25" s="842"/>
      <c r="CF25" s="842"/>
      <c r="CG25" s="842"/>
    </row>
    <row r="26" spans="1:89" s="1396" customFormat="1" ht="12" customHeight="1">
      <c r="A26" s="1572"/>
      <c r="B26" s="3444" t="s">
        <v>45</v>
      </c>
      <c r="C26" s="3816"/>
      <c r="D26" s="3815"/>
      <c r="E26" s="2012">
        <f t="shared" si="5"/>
        <v>0</v>
      </c>
      <c r="F26" s="1976" t="e">
        <f t="shared" si="32"/>
        <v>#DIV/0!</v>
      </c>
      <c r="G26" s="2043">
        <f>7935476.83048577-145391.292378701</f>
        <v>7790085.5381070683</v>
      </c>
      <c r="H26" s="2043">
        <v>0</v>
      </c>
      <c r="I26" s="2045">
        <f t="shared" si="17"/>
        <v>7790085.5381070683</v>
      </c>
      <c r="J26" s="1976">
        <v>0.49397270287010753</v>
      </c>
      <c r="K26" s="1976"/>
      <c r="L26" s="2043">
        <f>1235709.06076-280809.9</f>
        <v>954899.16076</v>
      </c>
      <c r="M26" s="2043">
        <v>0</v>
      </c>
      <c r="N26" s="2045">
        <f t="shared" si="18"/>
        <v>954899.16076</v>
      </c>
      <c r="O26" s="3860">
        <f t="shared" si="6"/>
        <v>0.25542235103468947</v>
      </c>
      <c r="P26" s="3859"/>
      <c r="Q26" s="1986"/>
      <c r="R26" s="2043">
        <v>5977252.04</v>
      </c>
      <c r="S26" s="2043"/>
      <c r="T26" s="2045">
        <f t="shared" si="19"/>
        <v>5977252.04</v>
      </c>
      <c r="U26" s="3350">
        <f t="shared" si="1"/>
        <v>1</v>
      </c>
      <c r="V26" s="2046" t="s">
        <v>1287</v>
      </c>
      <c r="W26" s="1650"/>
      <c r="X26" s="2043"/>
      <c r="Y26" s="2045">
        <f t="shared" si="20"/>
        <v>0</v>
      </c>
      <c r="Z26" s="3509">
        <f t="shared" si="2"/>
        <v>0</v>
      </c>
      <c r="AA26" s="3859"/>
      <c r="AB26" s="2043">
        <f>8062487.91*1.2*0</f>
        <v>0</v>
      </c>
      <c r="AC26" s="2043"/>
      <c r="AD26" s="2045">
        <f t="shared" si="21"/>
        <v>0</v>
      </c>
      <c r="AE26" s="3509">
        <f t="shared" si="3"/>
        <v>0</v>
      </c>
      <c r="AF26" s="3859" t="s">
        <v>1317</v>
      </c>
      <c r="AG26" s="2043"/>
      <c r="AH26" s="2043"/>
      <c r="AI26" s="2045">
        <f t="shared" si="22"/>
        <v>0</v>
      </c>
      <c r="AJ26" s="3860" t="e">
        <f t="shared" si="7"/>
        <v>#DIV/0!</v>
      </c>
      <c r="AK26" s="3859" t="s">
        <v>1361</v>
      </c>
      <c r="AL26" s="2043">
        <f>7593514.2*1.2</f>
        <v>9112217.0399999991</v>
      </c>
      <c r="AM26" s="2043"/>
      <c r="AN26" s="2045">
        <f t="shared" si="23"/>
        <v>9112217.0399999991</v>
      </c>
      <c r="AO26" s="3860">
        <f t="shared" si="8"/>
        <v>1</v>
      </c>
      <c r="AP26" s="3859"/>
      <c r="AQ26" s="2051"/>
      <c r="AR26" s="2043"/>
      <c r="AS26" s="2045">
        <f t="shared" si="24"/>
        <v>0</v>
      </c>
      <c r="AT26" s="3350" t="e">
        <f t="shared" si="9"/>
        <v>#DIV/0!</v>
      </c>
      <c r="AU26" s="2048"/>
      <c r="AV26" s="2051">
        <f>450000*1.2+132885*1.2+132885</f>
        <v>832347</v>
      </c>
      <c r="AW26" s="2043"/>
      <c r="AX26" s="2045">
        <f t="shared" si="25"/>
        <v>832347</v>
      </c>
      <c r="AY26" s="3350">
        <f t="shared" si="10"/>
        <v>1</v>
      </c>
      <c r="AZ26" s="2781" t="s">
        <v>1480</v>
      </c>
      <c r="BA26" s="2051"/>
      <c r="BB26" s="2043"/>
      <c r="BC26" s="2045">
        <f t="shared" si="26"/>
        <v>0</v>
      </c>
      <c r="BD26" s="3350">
        <f t="shared" si="11"/>
        <v>0</v>
      </c>
      <c r="BE26" s="2781"/>
      <c r="BF26" s="2051"/>
      <c r="BG26" s="2043"/>
      <c r="BH26" s="2045">
        <f t="shared" si="27"/>
        <v>0</v>
      </c>
      <c r="BI26" s="3350">
        <f t="shared" si="12"/>
        <v>0</v>
      </c>
      <c r="BJ26" s="2048"/>
      <c r="BK26" s="2051"/>
      <c r="BL26" s="2043"/>
      <c r="BM26" s="2045">
        <f t="shared" si="28"/>
        <v>0</v>
      </c>
      <c r="BN26" s="3350">
        <f t="shared" si="13"/>
        <v>0</v>
      </c>
      <c r="BO26" s="2048"/>
      <c r="BP26" s="2051"/>
      <c r="BQ26" s="2043"/>
      <c r="BR26" s="2045">
        <f t="shared" si="29"/>
        <v>0</v>
      </c>
      <c r="BS26" s="3350">
        <f t="shared" si="14"/>
        <v>0</v>
      </c>
      <c r="BT26" s="2048"/>
      <c r="BU26" s="2051"/>
      <c r="BV26" s="2043"/>
      <c r="BW26" s="2045">
        <f t="shared" si="30"/>
        <v>0</v>
      </c>
      <c r="BX26" s="3350">
        <f t="shared" si="15"/>
        <v>0</v>
      </c>
      <c r="BY26" s="2048"/>
      <c r="BZ26" s="2043">
        <f t="shared" si="16"/>
        <v>24666800.778867066</v>
      </c>
      <c r="CA26" s="2043">
        <f t="shared" si="16"/>
        <v>0</v>
      </c>
      <c r="CB26" s="2045">
        <f t="shared" si="31"/>
        <v>24666800.778867066</v>
      </c>
      <c r="CC26" s="3350">
        <f t="shared" si="4"/>
        <v>0.7463739995554024</v>
      </c>
      <c r="CD26" s="1434"/>
      <c r="CE26" s="842"/>
      <c r="CF26" s="842"/>
      <c r="CG26" s="842"/>
    </row>
    <row r="27" spans="1:89" s="1396" customFormat="1" ht="12" customHeight="1">
      <c r="A27" s="1572"/>
      <c r="B27" s="3444" t="s">
        <v>25</v>
      </c>
      <c r="C27" s="3816"/>
      <c r="D27" s="3815"/>
      <c r="E27" s="2012">
        <f t="shared" si="5"/>
        <v>0</v>
      </c>
      <c r="F27" s="1976" t="e">
        <f t="shared" si="32"/>
        <v>#DIV/0!</v>
      </c>
      <c r="G27" s="2043">
        <v>5622.1799999999994</v>
      </c>
      <c r="H27" s="2043">
        <v>200</v>
      </c>
      <c r="I27" s="2045">
        <f t="shared" si="17"/>
        <v>5822.1799999999994</v>
      </c>
      <c r="J27" s="1976">
        <v>7.3198867042728155E-4</v>
      </c>
      <c r="K27" s="1976"/>
      <c r="L27" s="2043">
        <v>1171.8</v>
      </c>
      <c r="M27" s="2043">
        <v>0</v>
      </c>
      <c r="N27" s="2045">
        <f t="shared" si="18"/>
        <v>1171.8</v>
      </c>
      <c r="O27" s="3860">
        <f t="shared" si="6"/>
        <v>3.1344033301300054E-4</v>
      </c>
      <c r="P27" s="3859"/>
      <c r="Q27" s="1986"/>
      <c r="R27" s="2043"/>
      <c r="S27" s="2043"/>
      <c r="T27" s="2045">
        <f t="shared" si="19"/>
        <v>0</v>
      </c>
      <c r="U27" s="3350">
        <f t="shared" si="1"/>
        <v>0</v>
      </c>
      <c r="V27" s="2046"/>
      <c r="W27" s="2043"/>
      <c r="X27" s="2043"/>
      <c r="Y27" s="2045">
        <f t="shared" si="20"/>
        <v>0</v>
      </c>
      <c r="Z27" s="3509">
        <f t="shared" si="2"/>
        <v>0</v>
      </c>
      <c r="AA27" s="3865"/>
      <c r="AB27" s="2043"/>
      <c r="AC27" s="2043"/>
      <c r="AD27" s="2045">
        <f t="shared" si="21"/>
        <v>0</v>
      </c>
      <c r="AE27" s="3509">
        <f t="shared" si="3"/>
        <v>0</v>
      </c>
      <c r="AF27" s="3859"/>
      <c r="AG27" s="2043"/>
      <c r="AH27" s="2043"/>
      <c r="AI27" s="2045">
        <f t="shared" si="22"/>
        <v>0</v>
      </c>
      <c r="AJ27" s="3860" t="e">
        <f t="shared" si="7"/>
        <v>#DIV/0!</v>
      </c>
      <c r="AK27" s="3859"/>
      <c r="AL27" s="2043"/>
      <c r="AM27" s="2043"/>
      <c r="AN27" s="2045">
        <f t="shared" si="23"/>
        <v>0</v>
      </c>
      <c r="AO27" s="3860">
        <f t="shared" si="8"/>
        <v>0</v>
      </c>
      <c r="AP27" s="3859"/>
      <c r="AQ27" s="2051"/>
      <c r="AR27" s="2043"/>
      <c r="AS27" s="2045">
        <f t="shared" si="24"/>
        <v>0</v>
      </c>
      <c r="AT27" s="3350" t="e">
        <f t="shared" si="9"/>
        <v>#DIV/0!</v>
      </c>
      <c r="AU27" s="2046"/>
      <c r="AV27" s="2051"/>
      <c r="AW27" s="2043"/>
      <c r="AX27" s="2045">
        <f t="shared" si="25"/>
        <v>0</v>
      </c>
      <c r="AY27" s="3350">
        <f t="shared" si="10"/>
        <v>0</v>
      </c>
      <c r="AZ27" s="2046"/>
      <c r="BA27" s="2051"/>
      <c r="BB27" s="2043"/>
      <c r="BC27" s="2045">
        <f t="shared" si="26"/>
        <v>0</v>
      </c>
      <c r="BD27" s="3350">
        <f t="shared" si="11"/>
        <v>0</v>
      </c>
      <c r="BE27" s="2046"/>
      <c r="BF27" s="2051"/>
      <c r="BG27" s="2043"/>
      <c r="BH27" s="2045">
        <f t="shared" si="27"/>
        <v>0</v>
      </c>
      <c r="BI27" s="3350">
        <f t="shared" si="12"/>
        <v>0</v>
      </c>
      <c r="BJ27" s="2046"/>
      <c r="BK27" s="2051"/>
      <c r="BL27" s="2043"/>
      <c r="BM27" s="2045">
        <f t="shared" si="28"/>
        <v>0</v>
      </c>
      <c r="BN27" s="3350">
        <f t="shared" si="13"/>
        <v>0</v>
      </c>
      <c r="BO27" s="2046"/>
      <c r="BP27" s="2051"/>
      <c r="BQ27" s="2043"/>
      <c r="BR27" s="2045">
        <f t="shared" si="29"/>
        <v>0</v>
      </c>
      <c r="BS27" s="3350">
        <f t="shared" si="14"/>
        <v>0</v>
      </c>
      <c r="BT27" s="2046"/>
      <c r="BU27" s="2051"/>
      <c r="BV27" s="2043"/>
      <c r="BW27" s="2045">
        <f t="shared" si="30"/>
        <v>0</v>
      </c>
      <c r="BX27" s="3350">
        <f t="shared" si="15"/>
        <v>0</v>
      </c>
      <c r="BY27" s="2046"/>
      <c r="BZ27" s="2043">
        <f t="shared" si="16"/>
        <v>6793.98</v>
      </c>
      <c r="CA27" s="2043">
        <f t="shared" si="16"/>
        <v>200</v>
      </c>
      <c r="CB27" s="2045">
        <f t="shared" si="31"/>
        <v>6993.98</v>
      </c>
      <c r="CC27" s="3350">
        <f t="shared" si="4"/>
        <v>2.1162553150722171E-4</v>
      </c>
      <c r="CD27" s="1434"/>
      <c r="CE27" s="842"/>
      <c r="CF27" s="842"/>
    </row>
    <row r="28" spans="1:89" s="1564" customFormat="1" ht="12" customHeight="1">
      <c r="A28" s="1572"/>
      <c r="B28" s="3833" t="s">
        <v>52</v>
      </c>
      <c r="C28" s="3816"/>
      <c r="D28" s="3815"/>
      <c r="E28" s="2012">
        <f t="shared" si="5"/>
        <v>0</v>
      </c>
      <c r="F28" s="1976" t="e">
        <f t="shared" si="32"/>
        <v>#DIV/0!</v>
      </c>
      <c r="G28" s="2043">
        <v>90</v>
      </c>
      <c r="H28" s="2043">
        <v>8300</v>
      </c>
      <c r="I28" s="2045">
        <f t="shared" si="17"/>
        <v>8390</v>
      </c>
      <c r="J28" s="1976">
        <v>1.0548256743839752E-3</v>
      </c>
      <c r="K28" s="1976"/>
      <c r="L28" s="2043">
        <v>1980.16</v>
      </c>
      <c r="M28" s="2043">
        <v>1200</v>
      </c>
      <c r="N28" s="2045">
        <f t="shared" si="18"/>
        <v>3180.16</v>
      </c>
      <c r="O28" s="3860">
        <f t="shared" si="6"/>
        <v>8.5064892424869751E-4</v>
      </c>
      <c r="P28" s="3859"/>
      <c r="Q28" s="1986"/>
      <c r="R28" s="2043"/>
      <c r="S28" s="2043"/>
      <c r="T28" s="2045">
        <f t="shared" si="19"/>
        <v>0</v>
      </c>
      <c r="U28" s="3350">
        <f t="shared" si="1"/>
        <v>0</v>
      </c>
      <c r="V28" s="2046"/>
      <c r="W28" s="2043"/>
      <c r="X28" s="2043"/>
      <c r="Y28" s="2045">
        <f t="shared" si="20"/>
        <v>0</v>
      </c>
      <c r="Z28" s="3509">
        <f t="shared" si="2"/>
        <v>0</v>
      </c>
      <c r="AA28" s="2046"/>
      <c r="AB28" s="2043"/>
      <c r="AC28" s="2043"/>
      <c r="AD28" s="2045">
        <f t="shared" si="21"/>
        <v>0</v>
      </c>
      <c r="AE28" s="3509">
        <f t="shared" si="3"/>
        <v>0</v>
      </c>
      <c r="AF28" s="3859"/>
      <c r="AG28" s="2043"/>
      <c r="AH28" s="2043"/>
      <c r="AI28" s="2045">
        <f t="shared" si="22"/>
        <v>0</v>
      </c>
      <c r="AJ28" s="3860" t="e">
        <f t="shared" si="7"/>
        <v>#DIV/0!</v>
      </c>
      <c r="AK28" s="3859"/>
      <c r="AL28" s="2043"/>
      <c r="AM28" s="2043"/>
      <c r="AN28" s="2045">
        <f t="shared" si="23"/>
        <v>0</v>
      </c>
      <c r="AO28" s="3860">
        <f t="shared" si="8"/>
        <v>0</v>
      </c>
      <c r="AP28" s="3859"/>
      <c r="AQ28" s="2051"/>
      <c r="AR28" s="2043"/>
      <c r="AS28" s="2045">
        <f t="shared" si="24"/>
        <v>0</v>
      </c>
      <c r="AT28" s="3350" t="e">
        <f t="shared" si="9"/>
        <v>#DIV/0!</v>
      </c>
      <c r="AU28" s="2046"/>
      <c r="AV28" s="2051"/>
      <c r="AW28" s="2043"/>
      <c r="AX28" s="2045">
        <f t="shared" si="25"/>
        <v>0</v>
      </c>
      <c r="AY28" s="3350">
        <f t="shared" si="10"/>
        <v>0</v>
      </c>
      <c r="AZ28" s="2046"/>
      <c r="BA28" s="2051"/>
      <c r="BB28" s="2043"/>
      <c r="BC28" s="2045">
        <f t="shared" si="26"/>
        <v>0</v>
      </c>
      <c r="BD28" s="3350">
        <f t="shared" si="11"/>
        <v>0</v>
      </c>
      <c r="BE28" s="2046"/>
      <c r="BF28" s="2051"/>
      <c r="BG28" s="2043"/>
      <c r="BH28" s="2045">
        <f t="shared" si="27"/>
        <v>0</v>
      </c>
      <c r="BI28" s="3350">
        <f t="shared" si="12"/>
        <v>0</v>
      </c>
      <c r="BJ28" s="2046"/>
      <c r="BK28" s="2051"/>
      <c r="BL28" s="2043"/>
      <c r="BM28" s="2045">
        <f t="shared" si="28"/>
        <v>0</v>
      </c>
      <c r="BN28" s="3350">
        <f t="shared" si="13"/>
        <v>0</v>
      </c>
      <c r="BO28" s="2046"/>
      <c r="BP28" s="2051"/>
      <c r="BQ28" s="2043"/>
      <c r="BR28" s="2045">
        <f t="shared" si="29"/>
        <v>0</v>
      </c>
      <c r="BS28" s="3350">
        <f t="shared" si="14"/>
        <v>0</v>
      </c>
      <c r="BT28" s="2046"/>
      <c r="BU28" s="2051"/>
      <c r="BV28" s="2043"/>
      <c r="BW28" s="2045">
        <f t="shared" si="30"/>
        <v>0</v>
      </c>
      <c r="BX28" s="3350">
        <f t="shared" si="15"/>
        <v>0</v>
      </c>
      <c r="BY28" s="2046"/>
      <c r="BZ28" s="2043">
        <f t="shared" si="16"/>
        <v>2070.16</v>
      </c>
      <c r="CA28" s="2043">
        <f t="shared" si="16"/>
        <v>9500</v>
      </c>
      <c r="CB28" s="2045">
        <f t="shared" si="31"/>
        <v>11570.16</v>
      </c>
      <c r="CC28" s="3350">
        <f t="shared" si="4"/>
        <v>3.5009268822953405E-4</v>
      </c>
      <c r="CD28" s="1434"/>
      <c r="CE28" s="916"/>
      <c r="CF28" s="842"/>
    </row>
    <row r="29" spans="1:89" s="1396" customFormat="1" ht="12" customHeight="1">
      <c r="A29" s="1572"/>
      <c r="B29" s="3444" t="s">
        <v>31</v>
      </c>
      <c r="C29" s="3816"/>
      <c r="D29" s="3815"/>
      <c r="E29" s="2012">
        <f t="shared" si="5"/>
        <v>0</v>
      </c>
      <c r="F29" s="3350" t="e">
        <f t="shared" si="32"/>
        <v>#DIV/0!</v>
      </c>
      <c r="G29" s="2043">
        <v>35590</v>
      </c>
      <c r="H29" s="2043">
        <v>47300</v>
      </c>
      <c r="I29" s="2045">
        <f t="shared" si="17"/>
        <v>82890</v>
      </c>
      <c r="J29" s="1976">
        <v>1.0421275345612361E-2</v>
      </c>
      <c r="K29" s="1976"/>
      <c r="L29" s="2043">
        <v>17670</v>
      </c>
      <c r="M29" s="2043">
        <v>43730</v>
      </c>
      <c r="N29" s="2045">
        <f t="shared" si="18"/>
        <v>61400</v>
      </c>
      <c r="O29" s="3860">
        <f t="shared" si="6"/>
        <v>1.64236528818896E-2</v>
      </c>
      <c r="P29" s="3859"/>
      <c r="Q29" s="1986"/>
      <c r="R29" s="2043"/>
      <c r="S29" s="2043"/>
      <c r="T29" s="2045">
        <f t="shared" si="19"/>
        <v>0</v>
      </c>
      <c r="U29" s="3350">
        <f t="shared" si="1"/>
        <v>0</v>
      </c>
      <c r="V29" s="2046"/>
      <c r="W29" s="2043"/>
      <c r="X29" s="2043"/>
      <c r="Y29" s="2045">
        <f t="shared" si="20"/>
        <v>0</v>
      </c>
      <c r="Z29" s="3509">
        <f t="shared" si="2"/>
        <v>0</v>
      </c>
      <c r="AA29" s="3859"/>
      <c r="AB29" s="2043"/>
      <c r="AC29" s="2043"/>
      <c r="AD29" s="2045">
        <f t="shared" si="21"/>
        <v>0</v>
      </c>
      <c r="AE29" s="3509">
        <f t="shared" si="3"/>
        <v>0</v>
      </c>
      <c r="AF29" s="3859"/>
      <c r="AG29" s="2043"/>
      <c r="AH29" s="2043"/>
      <c r="AI29" s="2045">
        <f t="shared" si="22"/>
        <v>0</v>
      </c>
      <c r="AJ29" s="3860" t="e">
        <f t="shared" si="7"/>
        <v>#DIV/0!</v>
      </c>
      <c r="AK29" s="3859"/>
      <c r="AL29" s="2043"/>
      <c r="AM29" s="2043"/>
      <c r="AN29" s="2045">
        <f t="shared" si="23"/>
        <v>0</v>
      </c>
      <c r="AO29" s="3860">
        <f t="shared" si="8"/>
        <v>0</v>
      </c>
      <c r="AP29" s="3859"/>
      <c r="AQ29" s="2051"/>
      <c r="AR29" s="2043"/>
      <c r="AS29" s="2045">
        <f t="shared" si="24"/>
        <v>0</v>
      </c>
      <c r="AT29" s="3350" t="e">
        <f t="shared" si="9"/>
        <v>#DIV/0!</v>
      </c>
      <c r="AU29" s="2046"/>
      <c r="AV29" s="2051"/>
      <c r="AW29" s="2043"/>
      <c r="AX29" s="2045">
        <f t="shared" si="25"/>
        <v>0</v>
      </c>
      <c r="AY29" s="3350">
        <f t="shared" si="10"/>
        <v>0</v>
      </c>
      <c r="AZ29" s="2046"/>
      <c r="BA29" s="2051"/>
      <c r="BB29" s="2043"/>
      <c r="BC29" s="2045">
        <f t="shared" si="26"/>
        <v>0</v>
      </c>
      <c r="BD29" s="3350">
        <f t="shared" si="11"/>
        <v>0</v>
      </c>
      <c r="BE29" s="2046"/>
      <c r="BF29" s="2051"/>
      <c r="BG29" s="2043"/>
      <c r="BH29" s="2045">
        <f t="shared" si="27"/>
        <v>0</v>
      </c>
      <c r="BI29" s="3350">
        <f t="shared" si="12"/>
        <v>0</v>
      </c>
      <c r="BJ29" s="2046"/>
      <c r="BK29" s="2051"/>
      <c r="BL29" s="2043"/>
      <c r="BM29" s="2045">
        <f t="shared" si="28"/>
        <v>0</v>
      </c>
      <c r="BN29" s="3350">
        <f t="shared" si="13"/>
        <v>0</v>
      </c>
      <c r="BO29" s="2046"/>
      <c r="BP29" s="2051"/>
      <c r="BQ29" s="2043"/>
      <c r="BR29" s="2045">
        <f t="shared" si="29"/>
        <v>0</v>
      </c>
      <c r="BS29" s="3350">
        <f t="shared" si="14"/>
        <v>0</v>
      </c>
      <c r="BT29" s="2046"/>
      <c r="BU29" s="2051"/>
      <c r="BV29" s="2043"/>
      <c r="BW29" s="2045">
        <f t="shared" si="30"/>
        <v>0</v>
      </c>
      <c r="BX29" s="3350">
        <f t="shared" si="15"/>
        <v>0</v>
      </c>
      <c r="BY29" s="2046"/>
      <c r="BZ29" s="2043">
        <f t="shared" si="16"/>
        <v>53260</v>
      </c>
      <c r="CA29" s="2043">
        <f t="shared" si="16"/>
        <v>91030</v>
      </c>
      <c r="CB29" s="2045">
        <f t="shared" si="31"/>
        <v>144290</v>
      </c>
      <c r="CC29" s="3350">
        <f t="shared" si="4"/>
        <v>4.3659615756946723E-3</v>
      </c>
      <c r="CD29" s="3360"/>
      <c r="CE29" s="842"/>
      <c r="CF29" s="842"/>
      <c r="CK29" s="1564"/>
    </row>
    <row r="30" spans="1:89" s="1396" customFormat="1" ht="12" customHeight="1">
      <c r="A30" s="1572"/>
      <c r="B30" s="3444" t="s">
        <v>62</v>
      </c>
      <c r="C30" s="3816"/>
      <c r="D30" s="3815"/>
      <c r="E30" s="2012">
        <f t="shared" si="5"/>
        <v>0</v>
      </c>
      <c r="F30" s="3350" t="e">
        <f t="shared" si="32"/>
        <v>#DIV/0!</v>
      </c>
      <c r="G30" s="2043">
        <v>0</v>
      </c>
      <c r="H30" s="2043">
        <v>123380</v>
      </c>
      <c r="I30" s="2045">
        <f t="shared" si="17"/>
        <v>123380</v>
      </c>
      <c r="J30" s="1976">
        <v>1.5511846448807492E-2</v>
      </c>
      <c r="K30" s="1976"/>
      <c r="L30" s="2043">
        <v>0</v>
      </c>
      <c r="M30" s="2043">
        <v>82824</v>
      </c>
      <c r="N30" s="2045">
        <f t="shared" si="18"/>
        <v>82824</v>
      </c>
      <c r="O30" s="3860">
        <f t="shared" si="6"/>
        <v>2.2154277301133944E-2</v>
      </c>
      <c r="P30" s="3859"/>
      <c r="Q30" s="1986"/>
      <c r="R30" s="2043"/>
      <c r="S30" s="2043"/>
      <c r="T30" s="2045">
        <f t="shared" si="19"/>
        <v>0</v>
      </c>
      <c r="U30" s="3350">
        <f t="shared" si="1"/>
        <v>0</v>
      </c>
      <c r="V30" s="2046"/>
      <c r="W30" s="2043"/>
      <c r="X30" s="2043"/>
      <c r="Y30" s="2045">
        <f t="shared" si="20"/>
        <v>0</v>
      </c>
      <c r="Z30" s="3509">
        <f t="shared" si="2"/>
        <v>0</v>
      </c>
      <c r="AA30" s="3859"/>
      <c r="AB30" s="2043"/>
      <c r="AC30" s="2043"/>
      <c r="AD30" s="2045">
        <f t="shared" si="21"/>
        <v>0</v>
      </c>
      <c r="AE30" s="3509">
        <f t="shared" si="3"/>
        <v>0</v>
      </c>
      <c r="AF30" s="3859"/>
      <c r="AG30" s="2043"/>
      <c r="AH30" s="2043"/>
      <c r="AI30" s="2045">
        <f t="shared" si="22"/>
        <v>0</v>
      </c>
      <c r="AJ30" s="3860" t="e">
        <f t="shared" si="7"/>
        <v>#DIV/0!</v>
      </c>
      <c r="AK30" s="3859"/>
      <c r="AL30" s="2043"/>
      <c r="AM30" s="2043"/>
      <c r="AN30" s="2045">
        <f t="shared" si="23"/>
        <v>0</v>
      </c>
      <c r="AO30" s="3860">
        <f t="shared" si="8"/>
        <v>0</v>
      </c>
      <c r="AP30" s="3859"/>
      <c r="AQ30" s="2051"/>
      <c r="AR30" s="2043"/>
      <c r="AS30" s="2045">
        <f t="shared" si="24"/>
        <v>0</v>
      </c>
      <c r="AT30" s="3350" t="e">
        <f t="shared" si="9"/>
        <v>#DIV/0!</v>
      </c>
      <c r="AU30" s="2046"/>
      <c r="AV30" s="2051"/>
      <c r="AW30" s="2043"/>
      <c r="AX30" s="2045">
        <f t="shared" si="25"/>
        <v>0</v>
      </c>
      <c r="AY30" s="3350">
        <f t="shared" si="10"/>
        <v>0</v>
      </c>
      <c r="AZ30" s="2046"/>
      <c r="BA30" s="2051"/>
      <c r="BB30" s="2043"/>
      <c r="BC30" s="2045">
        <f t="shared" si="26"/>
        <v>0</v>
      </c>
      <c r="BD30" s="3350">
        <f t="shared" si="11"/>
        <v>0</v>
      </c>
      <c r="BE30" s="2046"/>
      <c r="BF30" s="2051"/>
      <c r="BG30" s="2043"/>
      <c r="BH30" s="2045">
        <f t="shared" si="27"/>
        <v>0</v>
      </c>
      <c r="BI30" s="3350">
        <f t="shared" si="12"/>
        <v>0</v>
      </c>
      <c r="BJ30" s="2046"/>
      <c r="BK30" s="2051"/>
      <c r="BL30" s="2043"/>
      <c r="BM30" s="2045">
        <f t="shared" si="28"/>
        <v>0</v>
      </c>
      <c r="BN30" s="3350">
        <f t="shared" si="13"/>
        <v>0</v>
      </c>
      <c r="BO30" s="2046"/>
      <c r="BP30" s="2051"/>
      <c r="BQ30" s="2043"/>
      <c r="BR30" s="2045">
        <f t="shared" si="29"/>
        <v>0</v>
      </c>
      <c r="BS30" s="3350">
        <f t="shared" si="14"/>
        <v>0</v>
      </c>
      <c r="BT30" s="2046"/>
      <c r="BU30" s="2051"/>
      <c r="BV30" s="2043"/>
      <c r="BW30" s="2045">
        <f t="shared" si="30"/>
        <v>0</v>
      </c>
      <c r="BX30" s="3350">
        <f t="shared" si="15"/>
        <v>0</v>
      </c>
      <c r="BY30" s="2046"/>
      <c r="BZ30" s="2043">
        <f t="shared" si="16"/>
        <v>0</v>
      </c>
      <c r="CA30" s="2043">
        <f t="shared" si="16"/>
        <v>206204</v>
      </c>
      <c r="CB30" s="2045">
        <f t="shared" si="31"/>
        <v>206204</v>
      </c>
      <c r="CC30" s="3350">
        <f t="shared" si="4"/>
        <v>6.2393703011611621E-3</v>
      </c>
      <c r="CD30" s="3360"/>
      <c r="CE30" s="842"/>
      <c r="CF30" s="842"/>
      <c r="CK30" s="1564"/>
    </row>
    <row r="31" spans="1:89" s="1396" customFormat="1" ht="12" customHeight="1">
      <c r="A31" s="1572"/>
      <c r="B31" s="3444" t="s">
        <v>34</v>
      </c>
      <c r="C31" s="3816"/>
      <c r="D31" s="3841"/>
      <c r="E31" s="2012">
        <f t="shared" si="5"/>
        <v>0</v>
      </c>
      <c r="F31" s="3350" t="e">
        <f t="shared" si="32"/>
        <v>#DIV/0!</v>
      </c>
      <c r="G31" s="2043">
        <v>0</v>
      </c>
      <c r="H31" s="2043">
        <v>25407.57</v>
      </c>
      <c r="I31" s="2045">
        <f t="shared" si="17"/>
        <v>25407.57</v>
      </c>
      <c r="J31" s="1976">
        <v>3.1943453110498282E-3</v>
      </c>
      <c r="K31" s="1976"/>
      <c r="L31" s="2043">
        <v>0</v>
      </c>
      <c r="M31" s="2043">
        <v>17007.53</v>
      </c>
      <c r="N31" s="2045">
        <f t="shared" si="18"/>
        <v>17007.53</v>
      </c>
      <c r="O31" s="3860">
        <f t="shared" si="6"/>
        <v>4.5492796270085309E-3</v>
      </c>
      <c r="P31" s="3859"/>
      <c r="Q31" s="1986"/>
      <c r="R31" s="2043"/>
      <c r="S31" s="2043"/>
      <c r="T31" s="2045">
        <f t="shared" si="19"/>
        <v>0</v>
      </c>
      <c r="U31" s="3350">
        <f t="shared" si="1"/>
        <v>0</v>
      </c>
      <c r="V31" s="2046"/>
      <c r="W31" s="2043"/>
      <c r="X31" s="2043"/>
      <c r="Y31" s="2045">
        <f t="shared" si="20"/>
        <v>0</v>
      </c>
      <c r="Z31" s="3509">
        <f t="shared" si="2"/>
        <v>0</v>
      </c>
      <c r="AA31" s="2046"/>
      <c r="AB31" s="2043"/>
      <c r="AC31" s="2043"/>
      <c r="AD31" s="2045">
        <f t="shared" si="21"/>
        <v>0</v>
      </c>
      <c r="AE31" s="3509">
        <f t="shared" si="3"/>
        <v>0</v>
      </c>
      <c r="AF31" s="3859"/>
      <c r="AG31" s="2043"/>
      <c r="AH31" s="2043"/>
      <c r="AI31" s="2045">
        <f t="shared" si="22"/>
        <v>0</v>
      </c>
      <c r="AJ31" s="3860" t="e">
        <f t="shared" si="7"/>
        <v>#DIV/0!</v>
      </c>
      <c r="AK31" s="3859"/>
      <c r="AL31" s="2043"/>
      <c r="AM31" s="2043"/>
      <c r="AN31" s="2045">
        <f t="shared" si="23"/>
        <v>0</v>
      </c>
      <c r="AO31" s="3860">
        <f t="shared" si="8"/>
        <v>0</v>
      </c>
      <c r="AP31" s="3859"/>
      <c r="AQ31" s="2051"/>
      <c r="AR31" s="2043"/>
      <c r="AS31" s="2045">
        <f t="shared" si="24"/>
        <v>0</v>
      </c>
      <c r="AT31" s="3350" t="e">
        <f t="shared" si="9"/>
        <v>#DIV/0!</v>
      </c>
      <c r="AU31" s="2046"/>
      <c r="AV31" s="2051"/>
      <c r="AW31" s="2043"/>
      <c r="AX31" s="2045">
        <f t="shared" si="25"/>
        <v>0</v>
      </c>
      <c r="AY31" s="3350">
        <f t="shared" si="10"/>
        <v>0</v>
      </c>
      <c r="AZ31" s="2046"/>
      <c r="BA31" s="2051"/>
      <c r="BB31" s="2043"/>
      <c r="BC31" s="2045">
        <f t="shared" si="26"/>
        <v>0</v>
      </c>
      <c r="BD31" s="3350">
        <f t="shared" si="11"/>
        <v>0</v>
      </c>
      <c r="BE31" s="2046"/>
      <c r="BF31" s="2051"/>
      <c r="BG31" s="2043"/>
      <c r="BH31" s="2045">
        <f t="shared" si="27"/>
        <v>0</v>
      </c>
      <c r="BI31" s="3350">
        <f t="shared" si="12"/>
        <v>0</v>
      </c>
      <c r="BJ31" s="2046"/>
      <c r="BK31" s="2051"/>
      <c r="BL31" s="2043"/>
      <c r="BM31" s="2045">
        <f t="shared" si="28"/>
        <v>0</v>
      </c>
      <c r="BN31" s="3350">
        <f t="shared" si="13"/>
        <v>0</v>
      </c>
      <c r="BO31" s="2046"/>
      <c r="BP31" s="2051"/>
      <c r="BQ31" s="2043"/>
      <c r="BR31" s="2045">
        <f t="shared" si="29"/>
        <v>0</v>
      </c>
      <c r="BS31" s="3350">
        <f t="shared" si="14"/>
        <v>0</v>
      </c>
      <c r="BT31" s="2046"/>
      <c r="BU31" s="2051"/>
      <c r="BV31" s="2043"/>
      <c r="BW31" s="2045">
        <f t="shared" si="30"/>
        <v>0</v>
      </c>
      <c r="BX31" s="3350">
        <f t="shared" si="15"/>
        <v>0</v>
      </c>
      <c r="BY31" s="2046"/>
      <c r="BZ31" s="2043">
        <f t="shared" si="16"/>
        <v>0</v>
      </c>
      <c r="CA31" s="2043">
        <f t="shared" si="16"/>
        <v>42415.1</v>
      </c>
      <c r="CB31" s="2045">
        <f t="shared" si="31"/>
        <v>42415.1</v>
      </c>
      <c r="CC31" s="3350">
        <f t="shared" si="4"/>
        <v>1.2834063124904504E-3</v>
      </c>
      <c r="CD31" s="3360"/>
      <c r="CE31" s="842"/>
      <c r="CF31" s="842"/>
      <c r="CK31" s="1564"/>
    </row>
    <row r="32" spans="1:89" s="1396" customFormat="1" ht="12" customHeight="1">
      <c r="A32" s="1572"/>
      <c r="B32" s="3446" t="s">
        <v>2</v>
      </c>
      <c r="C32" s="3817"/>
      <c r="D32" s="3818"/>
      <c r="E32" s="2012">
        <f t="shared" si="5"/>
        <v>0</v>
      </c>
      <c r="F32" s="3350" t="e">
        <f t="shared" si="32"/>
        <v>#DIV/0!</v>
      </c>
      <c r="G32" s="2043">
        <v>0</v>
      </c>
      <c r="H32" s="2043">
        <v>0</v>
      </c>
      <c r="I32" s="2045">
        <f t="shared" si="17"/>
        <v>0</v>
      </c>
      <c r="J32" s="1976">
        <v>0</v>
      </c>
      <c r="K32" s="1976"/>
      <c r="L32" s="2043">
        <v>0</v>
      </c>
      <c r="M32" s="2043">
        <v>0</v>
      </c>
      <c r="N32" s="2045">
        <f t="shared" si="18"/>
        <v>0</v>
      </c>
      <c r="O32" s="3860">
        <f t="shared" si="6"/>
        <v>0</v>
      </c>
      <c r="P32" s="3859"/>
      <c r="Q32" s="1986"/>
      <c r="R32" s="2043"/>
      <c r="S32" s="2043"/>
      <c r="T32" s="2045">
        <f t="shared" si="19"/>
        <v>0</v>
      </c>
      <c r="U32" s="3350">
        <f t="shared" si="1"/>
        <v>0</v>
      </c>
      <c r="V32" s="3361"/>
      <c r="W32" s="2043"/>
      <c r="X32" s="2043"/>
      <c r="Y32" s="2045">
        <f t="shared" si="20"/>
        <v>0</v>
      </c>
      <c r="Z32" s="3509">
        <f t="shared" si="2"/>
        <v>0</v>
      </c>
      <c r="AA32" s="3859"/>
      <c r="AB32" s="2043"/>
      <c r="AC32" s="2043"/>
      <c r="AD32" s="2045">
        <f t="shared" si="21"/>
        <v>0</v>
      </c>
      <c r="AE32" s="3509">
        <f t="shared" si="3"/>
        <v>0</v>
      </c>
      <c r="AF32" s="3859"/>
      <c r="AG32" s="2043"/>
      <c r="AH32" s="2043"/>
      <c r="AI32" s="2045">
        <f t="shared" si="22"/>
        <v>0</v>
      </c>
      <c r="AJ32" s="3860" t="e">
        <f t="shared" si="7"/>
        <v>#DIV/0!</v>
      </c>
      <c r="AK32" s="3859"/>
      <c r="AL32" s="2043"/>
      <c r="AM32" s="2043"/>
      <c r="AN32" s="2045">
        <f t="shared" si="23"/>
        <v>0</v>
      </c>
      <c r="AO32" s="3860">
        <f t="shared" si="8"/>
        <v>0</v>
      </c>
      <c r="AP32" s="3859"/>
      <c r="AQ32" s="2051"/>
      <c r="AR32" s="2043"/>
      <c r="AS32" s="2045">
        <f t="shared" si="24"/>
        <v>0</v>
      </c>
      <c r="AT32" s="3350" t="e">
        <f t="shared" si="9"/>
        <v>#DIV/0!</v>
      </c>
      <c r="AU32" s="2046"/>
      <c r="AV32" s="2051"/>
      <c r="AW32" s="2043"/>
      <c r="AX32" s="2045">
        <f t="shared" si="25"/>
        <v>0</v>
      </c>
      <c r="AY32" s="3350">
        <f t="shared" si="10"/>
        <v>0</v>
      </c>
      <c r="AZ32" s="2046"/>
      <c r="BA32" s="2051"/>
      <c r="BB32" s="2043"/>
      <c r="BC32" s="2045">
        <f t="shared" si="26"/>
        <v>0</v>
      </c>
      <c r="BD32" s="3350">
        <f t="shared" si="11"/>
        <v>0</v>
      </c>
      <c r="BE32" s="2046"/>
      <c r="BF32" s="2051"/>
      <c r="BG32" s="2043"/>
      <c r="BH32" s="2045">
        <f t="shared" si="27"/>
        <v>0</v>
      </c>
      <c r="BI32" s="3350">
        <f t="shared" si="12"/>
        <v>0</v>
      </c>
      <c r="BJ32" s="2046"/>
      <c r="BK32" s="2051"/>
      <c r="BL32" s="2043"/>
      <c r="BM32" s="2045">
        <f t="shared" si="28"/>
        <v>0</v>
      </c>
      <c r="BN32" s="3350">
        <f t="shared" si="13"/>
        <v>0</v>
      </c>
      <c r="BO32" s="2046"/>
      <c r="BP32" s="2051"/>
      <c r="BQ32" s="2043"/>
      <c r="BR32" s="2045">
        <f t="shared" si="29"/>
        <v>0</v>
      </c>
      <c r="BS32" s="3350">
        <f t="shared" si="14"/>
        <v>0</v>
      </c>
      <c r="BT32" s="2046"/>
      <c r="BU32" s="2051"/>
      <c r="BV32" s="2043"/>
      <c r="BW32" s="2045">
        <f t="shared" si="30"/>
        <v>0</v>
      </c>
      <c r="BX32" s="3350">
        <f t="shared" si="15"/>
        <v>0</v>
      </c>
      <c r="BY32" s="2046"/>
      <c r="BZ32" s="2043">
        <f t="shared" si="16"/>
        <v>0</v>
      </c>
      <c r="CA32" s="2043">
        <f t="shared" si="16"/>
        <v>0</v>
      </c>
      <c r="CB32" s="2045">
        <f t="shared" si="31"/>
        <v>0</v>
      </c>
      <c r="CC32" s="3350">
        <f t="shared" si="4"/>
        <v>0</v>
      </c>
      <c r="CD32" s="3360"/>
      <c r="CE32" s="842"/>
      <c r="CF32" s="842"/>
      <c r="CK32" s="1564"/>
    </row>
    <row r="33" spans="1:89" s="1396" customFormat="1" ht="12" customHeight="1" thickBot="1">
      <c r="A33" s="1572"/>
      <c r="B33" s="2834" t="s">
        <v>75</v>
      </c>
      <c r="C33" s="3819"/>
      <c r="D33" s="2835"/>
      <c r="E33" s="1628">
        <f t="shared" si="5"/>
        <v>0</v>
      </c>
      <c r="F33" s="2862" t="e">
        <f t="shared" si="32"/>
        <v>#DIV/0!</v>
      </c>
      <c r="G33" s="2025">
        <v>0</v>
      </c>
      <c r="H33" s="2025">
        <v>14999</v>
      </c>
      <c r="I33" s="2026">
        <f t="shared" si="17"/>
        <v>14999</v>
      </c>
      <c r="J33" s="1664">
        <v>1.8857366257550947E-3</v>
      </c>
      <c r="K33" s="1664"/>
      <c r="L33" s="2836">
        <v>309178.37</v>
      </c>
      <c r="M33" s="3820">
        <v>560000</v>
      </c>
      <c r="N33" s="2026">
        <f t="shared" si="18"/>
        <v>869178.37</v>
      </c>
      <c r="O33" s="3866">
        <f t="shared" si="6"/>
        <v>0.23249322217144308</v>
      </c>
      <c r="P33" s="3820"/>
      <c r="Q33" s="1972"/>
      <c r="R33" s="2025"/>
      <c r="S33" s="2025"/>
      <c r="T33" s="2026">
        <f t="shared" si="19"/>
        <v>0</v>
      </c>
      <c r="U33" s="2862">
        <f t="shared" si="1"/>
        <v>0</v>
      </c>
      <c r="V33" s="2863"/>
      <c r="W33" s="2836"/>
      <c r="X33" s="3820"/>
      <c r="Y33" s="2026">
        <f t="shared" si="20"/>
        <v>0</v>
      </c>
      <c r="Z33" s="3867">
        <f t="shared" si="2"/>
        <v>0</v>
      </c>
      <c r="AA33" s="3820"/>
      <c r="AB33" s="2836"/>
      <c r="AC33" s="3820"/>
      <c r="AD33" s="2026">
        <f t="shared" si="21"/>
        <v>0</v>
      </c>
      <c r="AE33" s="3867">
        <f t="shared" si="3"/>
        <v>0</v>
      </c>
      <c r="AF33" s="3820"/>
      <c r="AG33" s="2836"/>
      <c r="AH33" s="3820"/>
      <c r="AI33" s="2026">
        <f t="shared" si="22"/>
        <v>0</v>
      </c>
      <c r="AJ33" s="3866" t="e">
        <f t="shared" si="7"/>
        <v>#DIV/0!</v>
      </c>
      <c r="AK33" s="3820"/>
      <c r="AL33" s="2836"/>
      <c r="AM33" s="3820"/>
      <c r="AN33" s="2026">
        <f t="shared" si="23"/>
        <v>0</v>
      </c>
      <c r="AO33" s="3866">
        <f t="shared" si="8"/>
        <v>0</v>
      </c>
      <c r="AP33" s="3820"/>
      <c r="AQ33" s="2028"/>
      <c r="AR33" s="2025"/>
      <c r="AS33" s="2026">
        <f t="shared" si="24"/>
        <v>0</v>
      </c>
      <c r="AT33" s="2862" t="e">
        <f t="shared" si="9"/>
        <v>#DIV/0!</v>
      </c>
      <c r="AU33" s="1675"/>
      <c r="AV33" s="2028"/>
      <c r="AW33" s="2025"/>
      <c r="AX33" s="2026">
        <f t="shared" si="25"/>
        <v>0</v>
      </c>
      <c r="AY33" s="2862">
        <f t="shared" si="10"/>
        <v>0</v>
      </c>
      <c r="AZ33" s="1675"/>
      <c r="BA33" s="2028"/>
      <c r="BB33" s="2025"/>
      <c r="BC33" s="2026">
        <f t="shared" si="26"/>
        <v>0</v>
      </c>
      <c r="BD33" s="2862">
        <f t="shared" si="11"/>
        <v>0</v>
      </c>
      <c r="BE33" s="1675"/>
      <c r="BF33" s="2028"/>
      <c r="BG33" s="2025"/>
      <c r="BH33" s="2026">
        <f t="shared" si="27"/>
        <v>0</v>
      </c>
      <c r="BI33" s="2862">
        <f t="shared" si="12"/>
        <v>0</v>
      </c>
      <c r="BJ33" s="1675"/>
      <c r="BK33" s="2028"/>
      <c r="BL33" s="2025"/>
      <c r="BM33" s="2026">
        <f t="shared" si="28"/>
        <v>0</v>
      </c>
      <c r="BN33" s="2862">
        <f t="shared" si="13"/>
        <v>0</v>
      </c>
      <c r="BO33" s="1675"/>
      <c r="BP33" s="2028"/>
      <c r="BQ33" s="2025"/>
      <c r="BR33" s="2026">
        <f t="shared" si="29"/>
        <v>0</v>
      </c>
      <c r="BS33" s="2862">
        <f t="shared" si="14"/>
        <v>0</v>
      </c>
      <c r="BT33" s="1675"/>
      <c r="BU33" s="2028"/>
      <c r="BV33" s="2025"/>
      <c r="BW33" s="2026">
        <f t="shared" si="30"/>
        <v>0</v>
      </c>
      <c r="BX33" s="2862">
        <f t="shared" si="15"/>
        <v>0</v>
      </c>
      <c r="BY33" s="1675"/>
      <c r="BZ33" s="2025">
        <f t="shared" si="16"/>
        <v>309178.37</v>
      </c>
      <c r="CA33" s="2025">
        <f t="shared" si="16"/>
        <v>574999</v>
      </c>
      <c r="CB33" s="2026">
        <f t="shared" si="31"/>
        <v>884177.37</v>
      </c>
      <c r="CC33" s="2862">
        <f t="shared" si="4"/>
        <v>2.6753651836709202E-2</v>
      </c>
      <c r="CD33" s="2864"/>
      <c r="CE33" s="842"/>
      <c r="CF33" s="842"/>
      <c r="CG33" s="842"/>
      <c r="CK33" s="1564"/>
    </row>
    <row r="34" spans="1:89" s="1396" customFormat="1" ht="12" customHeight="1">
      <c r="A34" s="1572"/>
      <c r="B34" s="1616"/>
      <c r="C34" s="1617"/>
      <c r="D34" s="1618"/>
      <c r="E34" s="2024"/>
      <c r="F34" s="1620"/>
      <c r="G34" s="2043"/>
      <c r="H34" s="2043"/>
      <c r="I34" s="2024"/>
      <c r="J34" s="1620"/>
      <c r="K34" s="1620"/>
      <c r="L34" s="2043"/>
      <c r="M34" s="2043"/>
      <c r="N34" s="2024"/>
      <c r="O34" s="2024"/>
      <c r="P34" s="2024"/>
      <c r="Q34" s="1718"/>
      <c r="R34" s="2043"/>
      <c r="S34" s="2043"/>
      <c r="T34" s="2024"/>
      <c r="U34" s="2024"/>
      <c r="V34" s="2024"/>
      <c r="W34" s="2043"/>
      <c r="X34" s="2043"/>
      <c r="Y34" s="2024"/>
      <c r="Z34" s="2024"/>
      <c r="AA34" s="2024"/>
      <c r="AB34" s="2043"/>
      <c r="AC34" s="2043"/>
      <c r="AD34" s="2024"/>
      <c r="AE34" s="2024"/>
      <c r="AF34" s="2024"/>
      <c r="AG34" s="2043"/>
      <c r="AH34" s="2043"/>
      <c r="AI34" s="2024"/>
      <c r="AJ34" s="2024"/>
      <c r="AK34" s="2024"/>
      <c r="AL34" s="2043"/>
      <c r="AM34" s="2043"/>
      <c r="AN34" s="2024"/>
      <c r="AO34" s="2024"/>
      <c r="AP34" s="2024"/>
      <c r="AQ34" s="2051"/>
      <c r="AR34" s="2043"/>
      <c r="AS34" s="2024"/>
      <c r="AT34" s="1976"/>
      <c r="AU34" s="2024"/>
      <c r="AV34" s="2051"/>
      <c r="AW34" s="2043"/>
      <c r="AX34" s="2024"/>
      <c r="AY34" s="1976"/>
      <c r="AZ34" s="2024"/>
      <c r="BA34" s="2051"/>
      <c r="BB34" s="2043"/>
      <c r="BC34" s="2024"/>
      <c r="BD34" s="1976"/>
      <c r="BE34" s="2024"/>
      <c r="BF34" s="2051"/>
      <c r="BG34" s="2043"/>
      <c r="BH34" s="2024"/>
      <c r="BI34" s="1976"/>
      <c r="BJ34" s="2024"/>
      <c r="BK34" s="2051"/>
      <c r="BL34" s="2043"/>
      <c r="BM34" s="2024"/>
      <c r="BN34" s="1976"/>
      <c r="BO34" s="2024"/>
      <c r="BP34" s="2051"/>
      <c r="BQ34" s="2043"/>
      <c r="BR34" s="2024"/>
      <c r="BS34" s="1976"/>
      <c r="BT34" s="2024"/>
      <c r="BU34" s="2051"/>
      <c r="BV34" s="2043"/>
      <c r="BW34" s="2024"/>
      <c r="BX34" s="1976"/>
      <c r="BY34" s="2024"/>
      <c r="BZ34" s="2043"/>
      <c r="CA34" s="2043"/>
      <c r="CB34" s="2024"/>
      <c r="CC34" s="2024"/>
      <c r="CD34" s="2024"/>
      <c r="CE34" s="842"/>
      <c r="CF34" s="842"/>
    </row>
    <row r="35" spans="1:89" s="2466" customFormat="1" ht="12" customHeight="1">
      <c r="A35" s="1572"/>
      <c r="B35" s="3369" t="s">
        <v>80</v>
      </c>
      <c r="C35" s="3370">
        <f>C36</f>
        <v>0</v>
      </c>
      <c r="D35" s="3370">
        <f>D36</f>
        <v>0</v>
      </c>
      <c r="E35" s="3371">
        <f>E36</f>
        <v>0</v>
      </c>
      <c r="F35" s="3821" t="e">
        <f>E35/$E$89</f>
        <v>#DIV/0!</v>
      </c>
      <c r="G35" s="3370">
        <v>0</v>
      </c>
      <c r="H35" s="3370">
        <v>0</v>
      </c>
      <c r="I35" s="3371">
        <v>0</v>
      </c>
      <c r="J35" s="3823"/>
      <c r="K35" s="3823"/>
      <c r="L35" s="3370">
        <f>L36</f>
        <v>0</v>
      </c>
      <c r="M35" s="3370">
        <f>M36</f>
        <v>0</v>
      </c>
      <c r="N35" s="3371">
        <f>N36</f>
        <v>0</v>
      </c>
      <c r="O35" s="3371">
        <f t="shared" si="6"/>
        <v>0</v>
      </c>
      <c r="P35" s="3371"/>
      <c r="Q35" s="3821"/>
      <c r="R35" s="3370">
        <f>R36</f>
        <v>0</v>
      </c>
      <c r="S35" s="3370">
        <f>S36</f>
        <v>0</v>
      </c>
      <c r="T35" s="3371">
        <f>T36</f>
        <v>0</v>
      </c>
      <c r="U35" s="3371"/>
      <c r="V35" s="3822"/>
      <c r="W35" s="3370">
        <f>W36</f>
        <v>0</v>
      </c>
      <c r="X35" s="3370">
        <f>X36</f>
        <v>0</v>
      </c>
      <c r="Y35" s="3371">
        <f>Y36</f>
        <v>0</v>
      </c>
      <c r="Z35" s="3371">
        <f t="shared" si="2"/>
        <v>0</v>
      </c>
      <c r="AA35" s="3371"/>
      <c r="AB35" s="3370">
        <f>AB36</f>
        <v>0</v>
      </c>
      <c r="AC35" s="3370">
        <f>AC36</f>
        <v>0</v>
      </c>
      <c r="AD35" s="3371">
        <f>AD36</f>
        <v>0</v>
      </c>
      <c r="AE35" s="3371">
        <f>AD35/$AD$89</f>
        <v>0</v>
      </c>
      <c r="AF35" s="3371"/>
      <c r="AG35" s="3370">
        <f>AG36</f>
        <v>0</v>
      </c>
      <c r="AH35" s="3370">
        <f>AH36</f>
        <v>0</v>
      </c>
      <c r="AI35" s="3371">
        <f>AI36</f>
        <v>0</v>
      </c>
      <c r="AJ35" s="3371" t="e">
        <f t="shared" si="7"/>
        <v>#DIV/0!</v>
      </c>
      <c r="AK35" s="3371"/>
      <c r="AL35" s="3370">
        <f>AL36</f>
        <v>0</v>
      </c>
      <c r="AM35" s="3370">
        <f>AM36</f>
        <v>0</v>
      </c>
      <c r="AN35" s="3371">
        <f>AN36</f>
        <v>0</v>
      </c>
      <c r="AO35" s="3371">
        <f t="shared" si="8"/>
        <v>0</v>
      </c>
      <c r="AP35" s="3371"/>
      <c r="AQ35" s="3370"/>
      <c r="AR35" s="3370"/>
      <c r="AS35" s="3371">
        <f>AS36</f>
        <v>0</v>
      </c>
      <c r="AT35" s="3371" t="e">
        <f t="shared" ref="AT35:AT36" si="33">AS35/AS$89</f>
        <v>#DIV/0!</v>
      </c>
      <c r="AU35" s="3822"/>
      <c r="AV35" s="3370"/>
      <c r="AW35" s="3370"/>
      <c r="AX35" s="3371">
        <f>AX36</f>
        <v>0</v>
      </c>
      <c r="AY35" s="3371">
        <f t="shared" ref="AY35:AY36" si="34">AX35/AX$89</f>
        <v>0</v>
      </c>
      <c r="AZ35" s="3822"/>
      <c r="BA35" s="3370"/>
      <c r="BB35" s="3370"/>
      <c r="BC35" s="3371">
        <f>BC36</f>
        <v>0</v>
      </c>
      <c r="BD35" s="3371">
        <f t="shared" ref="BD35:BD36" si="35">BC35/BC$89</f>
        <v>0</v>
      </c>
      <c r="BE35" s="3822"/>
      <c r="BF35" s="3370"/>
      <c r="BG35" s="3370"/>
      <c r="BH35" s="3371">
        <f>BH36</f>
        <v>0</v>
      </c>
      <c r="BI35" s="3371">
        <f t="shared" ref="BI35:BI36" si="36">BH35/BH$89</f>
        <v>0</v>
      </c>
      <c r="BJ35" s="3822"/>
      <c r="BK35" s="3370"/>
      <c r="BL35" s="3370"/>
      <c r="BM35" s="3371">
        <f>BM36</f>
        <v>0</v>
      </c>
      <c r="BN35" s="3371">
        <f t="shared" ref="BN35:BN36" si="37">BM35/BM$89</f>
        <v>0</v>
      </c>
      <c r="BO35" s="3822"/>
      <c r="BP35" s="3370"/>
      <c r="BQ35" s="3370"/>
      <c r="BR35" s="3371">
        <f>BR36</f>
        <v>2639.52</v>
      </c>
      <c r="BS35" s="3371">
        <f t="shared" ref="BS35:BS36" si="38">BR35/BR$89</f>
        <v>1</v>
      </c>
      <c r="BT35" s="3822"/>
      <c r="BU35" s="3370"/>
      <c r="BV35" s="3370"/>
      <c r="BW35" s="3371">
        <f>BW36</f>
        <v>0</v>
      </c>
      <c r="BX35" s="3371">
        <f t="shared" ref="BX35:BX36" si="39">BW35/BW$89</f>
        <v>0</v>
      </c>
      <c r="BY35" s="3822"/>
      <c r="BZ35" s="3370">
        <f>BZ36</f>
        <v>2639.52</v>
      </c>
      <c r="CA35" s="3370">
        <f>CA36</f>
        <v>0</v>
      </c>
      <c r="CB35" s="3371">
        <f>CB36</f>
        <v>2639.52</v>
      </c>
      <c r="CC35" s="3371"/>
      <c r="CD35" s="3371"/>
      <c r="CE35" s="929"/>
      <c r="CF35" s="929"/>
    </row>
    <row r="36" spans="1:89" s="1564" customFormat="1" ht="12" customHeight="1">
      <c r="A36" s="1572"/>
      <c r="B36" s="3868" t="s">
        <v>81</v>
      </c>
      <c r="C36" s="3824"/>
      <c r="D36" s="3825"/>
      <c r="E36" s="2012">
        <f>C36+D36</f>
        <v>0</v>
      </c>
      <c r="F36" s="3350" t="e">
        <f>E36/$E$89</f>
        <v>#DIV/0!</v>
      </c>
      <c r="G36" s="2043">
        <v>0</v>
      </c>
      <c r="H36" s="2043">
        <v>0</v>
      </c>
      <c r="I36" s="2012">
        <v>0</v>
      </c>
      <c r="J36" s="1976">
        <v>0</v>
      </c>
      <c r="K36" s="1976"/>
      <c r="L36" s="2043">
        <v>0</v>
      </c>
      <c r="M36" s="2043">
        <v>0</v>
      </c>
      <c r="N36" s="2012">
        <f>L36+M36*1</f>
        <v>0</v>
      </c>
      <c r="O36" s="3350">
        <f t="shared" si="6"/>
        <v>0</v>
      </c>
      <c r="P36" s="3827"/>
      <c r="Q36" s="1986"/>
      <c r="R36" s="2043"/>
      <c r="S36" s="2043"/>
      <c r="T36" s="2012">
        <f>R36+S36*1</f>
        <v>0</v>
      </c>
      <c r="U36" s="3350">
        <f>T36/$T$89</f>
        <v>0</v>
      </c>
      <c r="V36" s="3869"/>
      <c r="W36" s="2043"/>
      <c r="X36" s="2043"/>
      <c r="Y36" s="2012">
        <f>W36+X36*1</f>
        <v>0</v>
      </c>
      <c r="Z36" s="3350">
        <f t="shared" si="2"/>
        <v>0</v>
      </c>
      <c r="AA36" s="3827"/>
      <c r="AB36" s="2043"/>
      <c r="AC36" s="2043"/>
      <c r="AD36" s="2012">
        <f>AB36+AC36*1</f>
        <v>0</v>
      </c>
      <c r="AE36" s="3350">
        <f>AD36/$AD$89</f>
        <v>0</v>
      </c>
      <c r="AF36" s="3827"/>
      <c r="AG36" s="2043"/>
      <c r="AH36" s="2043"/>
      <c r="AI36" s="2012">
        <f>AG36+AH36*1</f>
        <v>0</v>
      </c>
      <c r="AJ36" s="3350" t="e">
        <f t="shared" si="7"/>
        <v>#DIV/0!</v>
      </c>
      <c r="AK36" s="3827"/>
      <c r="AL36" s="2043"/>
      <c r="AM36" s="2043"/>
      <c r="AN36" s="2012">
        <f>AL36+AM36*1</f>
        <v>0</v>
      </c>
      <c r="AO36" s="3350">
        <f t="shared" si="8"/>
        <v>0</v>
      </c>
      <c r="AP36" s="3827"/>
      <c r="AQ36" s="2051"/>
      <c r="AR36" s="2043"/>
      <c r="AS36" s="2012">
        <f>AQ36+AR36*1</f>
        <v>0</v>
      </c>
      <c r="AT36" s="3350" t="e">
        <f t="shared" si="33"/>
        <v>#DIV/0!</v>
      </c>
      <c r="AU36" s="2046"/>
      <c r="AV36" s="2051"/>
      <c r="AW36" s="2043"/>
      <c r="AX36" s="2012">
        <f>AV36+AW36*1</f>
        <v>0</v>
      </c>
      <c r="AY36" s="3350">
        <f t="shared" si="34"/>
        <v>0</v>
      </c>
      <c r="AZ36" s="2046"/>
      <c r="BA36" s="2051"/>
      <c r="BB36" s="2043"/>
      <c r="BC36" s="2012">
        <f>BA36+BB36*1</f>
        <v>0</v>
      </c>
      <c r="BD36" s="3350">
        <f t="shared" si="35"/>
        <v>0</v>
      </c>
      <c r="BE36" s="2046"/>
      <c r="BF36" s="2051"/>
      <c r="BG36" s="2043"/>
      <c r="BH36" s="2012">
        <f>BF36+BG36*1</f>
        <v>0</v>
      </c>
      <c r="BI36" s="3350">
        <f t="shared" si="36"/>
        <v>0</v>
      </c>
      <c r="BJ36" s="2046"/>
      <c r="BK36" s="2051"/>
      <c r="BL36" s="2043"/>
      <c r="BM36" s="2012">
        <f>BK36+BL36*1</f>
        <v>0</v>
      </c>
      <c r="BN36" s="3350">
        <f t="shared" si="37"/>
        <v>0</v>
      </c>
      <c r="BO36" s="2046"/>
      <c r="BP36" s="2051">
        <f>2199.6*1.2</f>
        <v>2639.52</v>
      </c>
      <c r="BQ36" s="2043"/>
      <c r="BR36" s="2012">
        <f>BP36+BQ36*1</f>
        <v>2639.52</v>
      </c>
      <c r="BS36" s="3350">
        <f t="shared" si="38"/>
        <v>1</v>
      </c>
      <c r="BT36" s="2046" t="s">
        <v>1802</v>
      </c>
      <c r="BU36" s="2051"/>
      <c r="BV36" s="2043"/>
      <c r="BW36" s="2012">
        <f>BU36+BV36*1</f>
        <v>0</v>
      </c>
      <c r="BX36" s="3350">
        <f t="shared" si="39"/>
        <v>0</v>
      </c>
      <c r="BY36" s="2046"/>
      <c r="BZ36" s="2043">
        <f>G36+L36+R36+W36+AB36+AG36+AL36+AQ36+AV36+BA36+BF36+BK36+BP36+BU36</f>
        <v>2639.52</v>
      </c>
      <c r="CA36" s="2043">
        <f>H36+M36+S36+X36+AC36+AH36+AM36+AR36+AW36+BB36+BG36+BL36+BQ36+BV36</f>
        <v>0</v>
      </c>
      <c r="CB36" s="2012">
        <f>BZ36+CA36*1</f>
        <v>2639.52</v>
      </c>
      <c r="CC36" s="3350">
        <f>CB36/$CB$89</f>
        <v>7.9867231951469953E-5</v>
      </c>
      <c r="CD36" s="3827"/>
      <c r="CE36" s="916"/>
      <c r="CF36" s="916"/>
    </row>
    <row r="37" spans="1:89" s="1396" customFormat="1" ht="12" customHeight="1" thickBot="1">
      <c r="A37" s="1398"/>
      <c r="B37" s="3715"/>
      <c r="C37" s="2838"/>
      <c r="D37" s="2839"/>
      <c r="E37" s="3828"/>
      <c r="F37" s="3829"/>
      <c r="G37" s="2043"/>
      <c r="H37" s="2043"/>
      <c r="I37" s="3828"/>
      <c r="J37" s="1708"/>
      <c r="K37" s="1708"/>
      <c r="L37" s="2043"/>
      <c r="M37" s="2043"/>
      <c r="N37" s="3828"/>
      <c r="O37" s="3828"/>
      <c r="P37" s="3828"/>
      <c r="Q37" s="1719"/>
      <c r="R37" s="2043"/>
      <c r="S37" s="2043"/>
      <c r="T37" s="3828"/>
      <c r="U37" s="3828"/>
      <c r="V37" s="3830"/>
      <c r="W37" s="2043"/>
      <c r="X37" s="2043"/>
      <c r="Y37" s="3828"/>
      <c r="Z37" s="3828"/>
      <c r="AA37" s="3828"/>
      <c r="AB37" s="2043"/>
      <c r="AC37" s="2043"/>
      <c r="AD37" s="3828"/>
      <c r="AE37" s="3828"/>
      <c r="AF37" s="3828"/>
      <c r="AG37" s="2043"/>
      <c r="AH37" s="2043"/>
      <c r="AI37" s="3828"/>
      <c r="AJ37" s="3828"/>
      <c r="AK37" s="3828"/>
      <c r="AL37" s="2043"/>
      <c r="AM37" s="2043"/>
      <c r="AN37" s="3828"/>
      <c r="AO37" s="3828"/>
      <c r="AP37" s="3828"/>
      <c r="AQ37" s="2028"/>
      <c r="AR37" s="2025"/>
      <c r="AS37" s="3828"/>
      <c r="AT37" s="2862"/>
      <c r="AU37" s="3830"/>
      <c r="AV37" s="2028"/>
      <c r="AW37" s="2025"/>
      <c r="AX37" s="3828"/>
      <c r="AY37" s="2862"/>
      <c r="AZ37" s="3830"/>
      <c r="BA37" s="2028"/>
      <c r="BB37" s="2025"/>
      <c r="BC37" s="3828"/>
      <c r="BD37" s="2862"/>
      <c r="BE37" s="3830"/>
      <c r="BF37" s="2028"/>
      <c r="BG37" s="2025"/>
      <c r="BH37" s="3828"/>
      <c r="BI37" s="2862">
        <f t="shared" ref="BI37" si="40">BH37/$AN$89</f>
        <v>0</v>
      </c>
      <c r="BJ37" s="3830"/>
      <c r="BK37" s="2028"/>
      <c r="BL37" s="2025"/>
      <c r="BM37" s="3828"/>
      <c r="BN37" s="2862">
        <f t="shared" ref="BN37" si="41">BM37/$AN$89</f>
        <v>0</v>
      </c>
      <c r="BO37" s="3830"/>
      <c r="BP37" s="2028"/>
      <c r="BQ37" s="2025"/>
      <c r="BR37" s="3828"/>
      <c r="BS37" s="2862">
        <f t="shared" ref="BS37" si="42">BR37/$AN$89</f>
        <v>0</v>
      </c>
      <c r="BT37" s="3830"/>
      <c r="BU37" s="2028"/>
      <c r="BV37" s="2025"/>
      <c r="BW37" s="3828"/>
      <c r="BX37" s="2862">
        <f t="shared" ref="BX37" si="43">BW37/$BC$89</f>
        <v>0</v>
      </c>
      <c r="BY37" s="3830"/>
      <c r="BZ37" s="2043"/>
      <c r="CA37" s="2043"/>
      <c r="CB37" s="3828"/>
      <c r="CC37" s="3828"/>
      <c r="CD37" s="3828"/>
      <c r="CE37" s="842"/>
      <c r="CF37" s="842"/>
    </row>
    <row r="38" spans="1:89" ht="12" customHeight="1" thickBot="1">
      <c r="A38" s="1426"/>
      <c r="B38" s="1427" t="s">
        <v>46</v>
      </c>
      <c r="C38" s="2002">
        <f>(C5)-(C8)</f>
        <v>0</v>
      </c>
      <c r="D38" s="2002">
        <f>(D5)-(D8)</f>
        <v>0</v>
      </c>
      <c r="E38" s="2002">
        <f>(E5)-(E8)</f>
        <v>0</v>
      </c>
      <c r="F38" s="1530"/>
      <c r="G38" s="2002">
        <v>6279701.2000000002</v>
      </c>
      <c r="H38" s="2002">
        <v>-742092.72419090907</v>
      </c>
      <c r="I38" s="2002">
        <v>5537608.4758090898</v>
      </c>
      <c r="J38" s="1530"/>
      <c r="K38" s="1530"/>
      <c r="L38" s="2002">
        <f>(L5)-(L8)</f>
        <v>9688457.2012400012</v>
      </c>
      <c r="M38" s="2002">
        <f>(M5)-(M8)</f>
        <v>-1329954.73</v>
      </c>
      <c r="N38" s="2002">
        <f>(N5)-(N8)</f>
        <v>8358502.4712400008</v>
      </c>
      <c r="O38" s="2002">
        <f t="shared" si="6"/>
        <v>2.2357840912062246</v>
      </c>
      <c r="P38" s="2002"/>
      <c r="Q38" s="1530"/>
      <c r="R38" s="2002">
        <f>(R5)-(R8)</f>
        <v>-5977252.04</v>
      </c>
      <c r="S38" s="2002">
        <f>(S5)-(S8)</f>
        <v>0</v>
      </c>
      <c r="T38" s="2002">
        <f>(T5)-(T8)</f>
        <v>-5977252.04</v>
      </c>
      <c r="U38" s="2002"/>
      <c r="V38" s="2021"/>
      <c r="W38" s="2002">
        <f>(W5)-(W8)</f>
        <v>-27000</v>
      </c>
      <c r="X38" s="2002">
        <f>(X5)-(X8)</f>
        <v>0</v>
      </c>
      <c r="Y38" s="2002">
        <f>(Y5)-(Y8)</f>
        <v>-27000</v>
      </c>
      <c r="Z38" s="2002" t="e">
        <f>Y38/#REF!</f>
        <v>#REF!</v>
      </c>
      <c r="AA38" s="2002"/>
      <c r="AB38" s="2002">
        <f>(AB5)-(AB8)</f>
        <v>0</v>
      </c>
      <c r="AC38" s="2002">
        <f>(AC5)-(AC8)</f>
        <v>0</v>
      </c>
      <c r="AD38" s="2002">
        <f>(AD5)-(AD8)</f>
        <v>0</v>
      </c>
      <c r="AE38" s="2002" t="e">
        <f>AD38/#REF!</f>
        <v>#REF!</v>
      </c>
      <c r="AF38" s="2002"/>
      <c r="AG38" s="2002">
        <f>(AG5)-(AG8)</f>
        <v>0</v>
      </c>
      <c r="AH38" s="2002">
        <f>(AH5)-(AH8)</f>
        <v>0</v>
      </c>
      <c r="AI38" s="2002">
        <f>(AI5)-(AI8)</f>
        <v>0</v>
      </c>
      <c r="AJ38" s="2002" t="e">
        <f t="shared" si="7"/>
        <v>#DIV/0!</v>
      </c>
      <c r="AK38" s="2002"/>
      <c r="AL38" s="2002">
        <f>(AL5)-(AL8)</f>
        <v>1211745.4800000004</v>
      </c>
      <c r="AM38" s="2002">
        <f>(AM5)-(AM8)</f>
        <v>0</v>
      </c>
      <c r="AN38" s="2002">
        <f>(AN5)-(AN8)</f>
        <v>1211745.4800000004</v>
      </c>
      <c r="AO38" s="2002">
        <f t="shared" si="8"/>
        <v>0.13298031364713855</v>
      </c>
      <c r="AP38" s="2002"/>
      <c r="AQ38" s="2002">
        <f>(AQ5)-(AQ8)</f>
        <v>0</v>
      </c>
      <c r="AR38" s="2002">
        <f>(AR5)-(AR8)</f>
        <v>0</v>
      </c>
      <c r="AS38" s="2002">
        <f>(AS5)-(AS8)</f>
        <v>0</v>
      </c>
      <c r="AT38" s="2002"/>
      <c r="AU38" s="2021"/>
      <c r="AV38" s="2002">
        <f>(AV5)-(AV8)</f>
        <v>5121.2600000000093</v>
      </c>
      <c r="AW38" s="2002">
        <f>(AW5)-(AW8)</f>
        <v>0</v>
      </c>
      <c r="AX38" s="2002">
        <f>(AX5)-(AX8)</f>
        <v>5121.2600000000093</v>
      </c>
      <c r="AY38" s="2002"/>
      <c r="AZ38" s="2021"/>
      <c r="BA38" s="2002">
        <f>(BA5)-(BA8)</f>
        <v>0</v>
      </c>
      <c r="BB38" s="2002">
        <f>(BB5)-(BB8)</f>
        <v>0</v>
      </c>
      <c r="BC38" s="2002">
        <f>(BC5)-(BC8)</f>
        <v>0</v>
      </c>
      <c r="BD38" s="2002"/>
      <c r="BE38" s="2021"/>
      <c r="BF38" s="2002">
        <f>(BF5)-(BF8)</f>
        <v>0</v>
      </c>
      <c r="BG38" s="2002">
        <f>(BG5)-(BG8)</f>
        <v>0</v>
      </c>
      <c r="BH38" s="2002">
        <f>(BH5)-(BH8)</f>
        <v>0</v>
      </c>
      <c r="BI38" s="2002"/>
      <c r="BJ38" s="2021"/>
      <c r="BK38" s="2002">
        <f>(BK5)-(BK8)</f>
        <v>0</v>
      </c>
      <c r="BL38" s="2002">
        <f>(BL5)-(BL8)</f>
        <v>0</v>
      </c>
      <c r="BM38" s="2002">
        <f>(BM5)-(BM8)</f>
        <v>0</v>
      </c>
      <c r="BN38" s="2002"/>
      <c r="BO38" s="2021"/>
      <c r="BP38" s="2002">
        <f>(BP5)-(BP8)</f>
        <v>0</v>
      </c>
      <c r="BQ38" s="2002">
        <f>(BQ5)-(BQ8)</f>
        <v>0</v>
      </c>
      <c r="BR38" s="2002">
        <f>(BR5)-(BR8)</f>
        <v>0</v>
      </c>
      <c r="BS38" s="2002"/>
      <c r="BT38" s="2021"/>
      <c r="BU38" s="2002">
        <f>(BU5)-(BU8)</f>
        <v>0</v>
      </c>
      <c r="BV38" s="2002">
        <f>(BV5)-(BV8)</f>
        <v>0</v>
      </c>
      <c r="BW38" s="2002">
        <f>(BW5)-(BW8)</f>
        <v>0</v>
      </c>
      <c r="BX38" s="2002"/>
      <c r="BY38" s="2021"/>
      <c r="BZ38" s="2002">
        <f>(BZ5)-(BZ8)</f>
        <v>13757595.39913293</v>
      </c>
      <c r="CA38" s="2002">
        <f>(CA5)-(CA8)</f>
        <v>-2215494.6541909091</v>
      </c>
      <c r="CB38" s="2002">
        <f>(CB5)-(CB8)</f>
        <v>11542100.744942017</v>
      </c>
      <c r="CC38" s="2002"/>
      <c r="CD38" s="2002"/>
    </row>
    <row r="39" spans="1:89" ht="12" customHeight="1">
      <c r="A39" s="1565"/>
      <c r="B39" s="1408" t="s">
        <v>47</v>
      </c>
      <c r="C39" s="1525" t="e">
        <f>C38/(C5)</f>
        <v>#DIV/0!</v>
      </c>
      <c r="D39" s="1525" t="e">
        <f>D38/(D5)</f>
        <v>#DIV/0!</v>
      </c>
      <c r="E39" s="1526" t="e">
        <f>E38/(E5)</f>
        <v>#DIV/0!</v>
      </c>
      <c r="F39" s="1531"/>
      <c r="G39" s="2003">
        <v>0.48154413720017636</v>
      </c>
      <c r="H39" s="2003" t="e">
        <v>#DIV/0!</v>
      </c>
      <c r="I39" s="2004">
        <v>0.42463849962094879</v>
      </c>
      <c r="J39" s="1709"/>
      <c r="K39" s="1709"/>
      <c r="L39" s="2003">
        <f>L38/(L5)</f>
        <v>0.82367865572342647</v>
      </c>
      <c r="M39" s="2003" t="e">
        <f>M38/(M5)</f>
        <v>#DIV/0!</v>
      </c>
      <c r="N39" s="2004">
        <f>N38/(N5)</f>
        <v>0.71061056847015269</v>
      </c>
      <c r="O39" s="2004">
        <f t="shared" si="6"/>
        <v>1.9007852297648259E-7</v>
      </c>
      <c r="P39" s="2004"/>
      <c r="Q39" s="1531"/>
      <c r="R39" s="2003" t="e">
        <f>R38/(R5)</f>
        <v>#DIV/0!</v>
      </c>
      <c r="S39" s="2003" t="e">
        <f>S38/(S5)</f>
        <v>#DIV/0!</v>
      </c>
      <c r="T39" s="2004" t="e">
        <f>T38/(T5)</f>
        <v>#DIV/0!</v>
      </c>
      <c r="U39" s="2004"/>
      <c r="V39" s="2022"/>
      <c r="W39" s="2003" t="e">
        <f>W38/(W5)</f>
        <v>#DIV/0!</v>
      </c>
      <c r="X39" s="2003" t="e">
        <f>X38/(X5)</f>
        <v>#DIV/0!</v>
      </c>
      <c r="Y39" s="2004" t="e">
        <f>Y38/(Y5)</f>
        <v>#DIV/0!</v>
      </c>
      <c r="Z39" s="2004" t="e">
        <f>Y39/#REF!</f>
        <v>#DIV/0!</v>
      </c>
      <c r="AA39" s="2004"/>
      <c r="AB39" s="2003" t="e">
        <f>AB38/(AB5)</f>
        <v>#DIV/0!</v>
      </c>
      <c r="AC39" s="2003" t="e">
        <f>AC38/(AC5)</f>
        <v>#DIV/0!</v>
      </c>
      <c r="AD39" s="2004" t="e">
        <f>AD38/(AD5)</f>
        <v>#DIV/0!</v>
      </c>
      <c r="AE39" s="2004" t="e">
        <f>AD39/#REF!</f>
        <v>#DIV/0!</v>
      </c>
      <c r="AF39" s="2004"/>
      <c r="AG39" s="2003" t="e">
        <f>AG38/(AG5)</f>
        <v>#DIV/0!</v>
      </c>
      <c r="AH39" s="2003" t="e">
        <f>AH38/(AH5)</f>
        <v>#DIV/0!</v>
      </c>
      <c r="AI39" s="2004" t="e">
        <f>AI38/(AI5)</f>
        <v>#DIV/0!</v>
      </c>
      <c r="AJ39" s="2004" t="e">
        <f t="shared" si="7"/>
        <v>#DIV/0!</v>
      </c>
      <c r="AK39" s="2004"/>
      <c r="AL39" s="2003">
        <f>AL38/(AL5)</f>
        <v>0.11737213087054102</v>
      </c>
      <c r="AM39" s="2003" t="e">
        <f>AM38/(AM5)</f>
        <v>#DIV/0!</v>
      </c>
      <c r="AN39" s="2004">
        <f>AN38/(AN5)</f>
        <v>0.11737213087054102</v>
      </c>
      <c r="AO39" s="2004">
        <f t="shared" si="8"/>
        <v>1.2880743550698067E-8</v>
      </c>
      <c r="AP39" s="2004"/>
      <c r="AQ39" s="2003" t="e">
        <f>AQ38/(AQ5)</f>
        <v>#DIV/0!</v>
      </c>
      <c r="AR39" s="2003" t="e">
        <f>AR38/(AR5)</f>
        <v>#DIV/0!</v>
      </c>
      <c r="AS39" s="2004" t="e">
        <f>AS38/(AS5)</f>
        <v>#DIV/0!</v>
      </c>
      <c r="AT39" s="2004"/>
      <c r="AU39" s="2022"/>
      <c r="AV39" s="2003">
        <f>AV38/(AV5)</f>
        <v>6.115169069213452E-3</v>
      </c>
      <c r="AW39" s="2003" t="e">
        <f>AW38/(AW5)</f>
        <v>#DIV/0!</v>
      </c>
      <c r="AX39" s="2004">
        <f>AX38/(AX5)</f>
        <v>6.115169069213452E-3</v>
      </c>
      <c r="AY39" s="2004"/>
      <c r="AZ39" s="2022"/>
      <c r="BA39" s="2003" t="e">
        <f>BA38/(BA5)</f>
        <v>#DIV/0!</v>
      </c>
      <c r="BB39" s="2003" t="e">
        <f>BB38/(BB5)</f>
        <v>#DIV/0!</v>
      </c>
      <c r="BC39" s="2004" t="e">
        <f>BC38/(BC5)</f>
        <v>#DIV/0!</v>
      </c>
      <c r="BD39" s="2004"/>
      <c r="BE39" s="2022"/>
      <c r="BF39" s="2003" t="e">
        <f>BF38/(BF5)</f>
        <v>#DIV/0!</v>
      </c>
      <c r="BG39" s="2003" t="e">
        <f>BG38/(BG5)</f>
        <v>#DIV/0!</v>
      </c>
      <c r="BH39" s="2004" t="e">
        <f>BH38/(BH5)</f>
        <v>#DIV/0!</v>
      </c>
      <c r="BI39" s="2004"/>
      <c r="BJ39" s="2022"/>
      <c r="BK39" s="2003" t="e">
        <f>BK38/(BK5)</f>
        <v>#DIV/0!</v>
      </c>
      <c r="BL39" s="2003" t="e">
        <f>BL38/(BL5)</f>
        <v>#DIV/0!</v>
      </c>
      <c r="BM39" s="2004" t="e">
        <f>BM38/(BM5)</f>
        <v>#DIV/0!</v>
      </c>
      <c r="BN39" s="2004"/>
      <c r="BO39" s="2022"/>
      <c r="BP39" s="2003" t="e">
        <f>BP38/(BP5)</f>
        <v>#DIV/0!</v>
      </c>
      <c r="BQ39" s="2003" t="e">
        <f>BQ38/(BQ5)</f>
        <v>#DIV/0!</v>
      </c>
      <c r="BR39" s="2004" t="e">
        <f>BR38/(BR5)</f>
        <v>#DIV/0!</v>
      </c>
      <c r="BS39" s="2004"/>
      <c r="BT39" s="2022"/>
      <c r="BU39" s="2003" t="e">
        <f>BU38/(BU5)</f>
        <v>#DIV/0!</v>
      </c>
      <c r="BV39" s="2003" t="e">
        <f>BV38/(BV5)</f>
        <v>#DIV/0!</v>
      </c>
      <c r="BW39" s="2004" t="e">
        <f>BW38/(BW5)</f>
        <v>#DIV/0!</v>
      </c>
      <c r="BX39" s="2004"/>
      <c r="BY39" s="2022"/>
      <c r="BZ39" s="2003">
        <f>BZ38/(BZ5)</f>
        <v>0.31408241259645286</v>
      </c>
      <c r="CA39" s="2003" t="e">
        <f>CA38/(CA5)</f>
        <v>#DIV/0!</v>
      </c>
      <c r="CB39" s="2004">
        <f>CB38/(CB5)</f>
        <v>0.26350323172254214</v>
      </c>
      <c r="CC39" s="2004"/>
      <c r="CD39" s="2004"/>
    </row>
    <row r="40" spans="1:89" ht="12" customHeight="1" thickBot="1">
      <c r="A40" s="1567"/>
      <c r="B40" s="3870"/>
      <c r="C40" s="3871"/>
      <c r="D40" s="2840"/>
      <c r="E40" s="3831"/>
      <c r="F40" s="3872"/>
      <c r="G40" s="3831"/>
      <c r="H40" s="3831"/>
      <c r="I40" s="3831"/>
      <c r="J40" s="3872"/>
      <c r="K40" s="3872"/>
      <c r="L40" s="3831"/>
      <c r="M40" s="3831"/>
      <c r="N40" s="3831"/>
      <c r="O40" s="3831"/>
      <c r="P40" s="3831"/>
      <c r="Q40" s="3873"/>
      <c r="R40" s="3831"/>
      <c r="S40" s="3831"/>
      <c r="T40" s="3831"/>
      <c r="U40" s="3831"/>
      <c r="V40" s="3832"/>
      <c r="W40" s="3831"/>
      <c r="X40" s="3831"/>
      <c r="Y40" s="3831"/>
      <c r="Z40" s="3831"/>
      <c r="AA40" s="3831"/>
      <c r="AB40" s="3831"/>
      <c r="AC40" s="3831"/>
      <c r="AD40" s="3831"/>
      <c r="AE40" s="3831"/>
      <c r="AF40" s="3831"/>
      <c r="AG40" s="3831"/>
      <c r="AH40" s="3831"/>
      <c r="AI40" s="3831"/>
      <c r="AJ40" s="3831"/>
      <c r="AK40" s="3831"/>
      <c r="AL40" s="3831"/>
      <c r="AM40" s="3831"/>
      <c r="AN40" s="3831"/>
      <c r="AO40" s="3831"/>
      <c r="AP40" s="3831"/>
      <c r="AQ40" s="2840"/>
      <c r="AR40" s="3831"/>
      <c r="AS40" s="3831"/>
      <c r="AT40" s="3831"/>
      <c r="AU40" s="3832"/>
      <c r="AV40" s="2840"/>
      <c r="AW40" s="3831"/>
      <c r="AX40" s="3831"/>
      <c r="AY40" s="3831"/>
      <c r="AZ40" s="3832"/>
      <c r="BA40" s="2840"/>
      <c r="BB40" s="3831"/>
      <c r="BC40" s="3831"/>
      <c r="BD40" s="3831"/>
      <c r="BE40" s="3832"/>
      <c r="BF40" s="2840"/>
      <c r="BG40" s="3831"/>
      <c r="BH40" s="3831"/>
      <c r="BI40" s="3831"/>
      <c r="BJ40" s="3832"/>
      <c r="BK40" s="2840"/>
      <c r="BL40" s="3831"/>
      <c r="BM40" s="3831"/>
      <c r="BN40" s="3831"/>
      <c r="BO40" s="3832"/>
      <c r="BP40" s="2840"/>
      <c r="BQ40" s="3831"/>
      <c r="BR40" s="3831"/>
      <c r="BS40" s="3831"/>
      <c r="BT40" s="3832"/>
      <c r="BU40" s="2840"/>
      <c r="BV40" s="3831"/>
      <c r="BW40" s="3831"/>
      <c r="BX40" s="3831"/>
      <c r="BY40" s="3832"/>
      <c r="BZ40" s="3831"/>
      <c r="CA40" s="3831"/>
      <c r="CB40" s="3831"/>
      <c r="CC40" s="3831"/>
      <c r="CD40" s="3831"/>
    </row>
    <row r="41" spans="1:89" ht="12" customHeight="1">
      <c r="A41" s="1405"/>
      <c r="B41" s="1415" t="s">
        <v>26</v>
      </c>
      <c r="C41" s="2013">
        <f>SUM(C42:C48)</f>
        <v>0</v>
      </c>
      <c r="D41" s="2013">
        <f>SUM(D42:D48)</f>
        <v>0</v>
      </c>
      <c r="E41" s="2014">
        <f>SUM(E42:E48)</f>
        <v>0</v>
      </c>
      <c r="F41" s="3378" t="e">
        <f t="shared" ref="F41:F48" si="44">E41/$E$89</f>
        <v>#DIV/0!</v>
      </c>
      <c r="G41" s="2013">
        <v>23894.7</v>
      </c>
      <c r="H41" s="2013">
        <v>3352.02</v>
      </c>
      <c r="I41" s="2014">
        <v>27246.720000000001</v>
      </c>
      <c r="J41" s="1577">
        <v>3.4255708937725084E-3</v>
      </c>
      <c r="K41" s="1577"/>
      <c r="L41" s="2013">
        <f>SUM(L42:L48)</f>
        <v>18535.46</v>
      </c>
      <c r="M41" s="2013">
        <f>SUM(M42:M48)</f>
        <v>915</v>
      </c>
      <c r="N41" s="2014">
        <f>SUM(N42:N48)</f>
        <v>19450.46</v>
      </c>
      <c r="O41" s="3378">
        <f t="shared" si="6"/>
        <v>5.2027296976071393E-3</v>
      </c>
      <c r="P41" s="2006"/>
      <c r="Q41" s="2545"/>
      <c r="R41" s="2013">
        <f>SUM(R42:R48)</f>
        <v>0</v>
      </c>
      <c r="S41" s="2013">
        <f>SUM(S42:S48)</f>
        <v>0</v>
      </c>
      <c r="T41" s="2014">
        <f>SUM(T42:T48)</f>
        <v>0</v>
      </c>
      <c r="U41" s="3378">
        <f t="shared" ref="U41:U49" si="45">T41/$T$89</f>
        <v>0</v>
      </c>
      <c r="V41" s="2023"/>
      <c r="W41" s="2013">
        <f>SUM(W42:W48)</f>
        <v>0</v>
      </c>
      <c r="X41" s="2013">
        <f>SUM(X42:X48)</f>
        <v>0</v>
      </c>
      <c r="Y41" s="2014">
        <f>SUM(Y42:Y48)</f>
        <v>0</v>
      </c>
      <c r="Z41" s="3378">
        <f t="shared" ref="Z41:Z52" si="46">Y41/$Y$89</f>
        <v>0</v>
      </c>
      <c r="AA41" s="2006"/>
      <c r="AB41" s="2013">
        <f>SUM(AB42:AB48)</f>
        <v>0</v>
      </c>
      <c r="AC41" s="2013">
        <f>SUM(AC42:AC48)</f>
        <v>40</v>
      </c>
      <c r="AD41" s="2014">
        <f>SUM(AD42:AD48)</f>
        <v>40</v>
      </c>
      <c r="AE41" s="3378">
        <f t="shared" ref="AE41:AE52" si="47">AD41/$AD$89</f>
        <v>0.88125609156366047</v>
      </c>
      <c r="AF41" s="2006"/>
      <c r="AG41" s="2013">
        <f>SUM(AG42:AG48)</f>
        <v>0</v>
      </c>
      <c r="AH41" s="2013">
        <f>SUM(AH42:AH48)</f>
        <v>0</v>
      </c>
      <c r="AI41" s="2014">
        <f>SUM(AI42:AI48)</f>
        <v>0</v>
      </c>
      <c r="AJ41" s="3378" t="e">
        <f t="shared" si="7"/>
        <v>#DIV/0!</v>
      </c>
      <c r="AK41" s="2006"/>
      <c r="AL41" s="2013">
        <f>SUM(AL42:AL48)</f>
        <v>0</v>
      </c>
      <c r="AM41" s="2013">
        <f>SUM(AM42:AM48)</f>
        <v>0</v>
      </c>
      <c r="AN41" s="2014">
        <f>SUM(AN42:AN48)</f>
        <v>0</v>
      </c>
      <c r="AO41" s="3378">
        <f t="shared" si="8"/>
        <v>0</v>
      </c>
      <c r="AP41" s="2006"/>
      <c r="AQ41" s="2013">
        <f>SUM(AQ42:AQ48)</f>
        <v>0</v>
      </c>
      <c r="AR41" s="2013">
        <f>SUM(AR42:AR48)</f>
        <v>0</v>
      </c>
      <c r="AS41" s="2014">
        <f>SUM(AS42:AS48)</f>
        <v>0</v>
      </c>
      <c r="AT41" s="3378" t="e">
        <f t="shared" ref="AT41:AT48" si="48">AS41/AS$89</f>
        <v>#DIV/0!</v>
      </c>
      <c r="AU41" s="2023"/>
      <c r="AV41" s="2013">
        <f>SUM(AV42:AV48)</f>
        <v>0</v>
      </c>
      <c r="AW41" s="2013">
        <f>SUM(AW42:AW48)</f>
        <v>0</v>
      </c>
      <c r="AX41" s="2014">
        <f>SUM(AX42:AX48)</f>
        <v>0</v>
      </c>
      <c r="AY41" s="3378">
        <f t="shared" ref="AY41:AY48" si="49">AX41/AX$89</f>
        <v>0</v>
      </c>
      <c r="AZ41" s="2023"/>
      <c r="BA41" s="2013">
        <f>SUM(BA42:BA48)</f>
        <v>55.01</v>
      </c>
      <c r="BB41" s="2013">
        <f>SUM(BB42:BB48)</f>
        <v>80</v>
      </c>
      <c r="BC41" s="2014">
        <f>SUM(BC42:BC48)</f>
        <v>135.01</v>
      </c>
      <c r="BD41" s="3378">
        <f t="shared" ref="BD41:BD48" si="50">BC41/BC$89</f>
        <v>0.93535849930593495</v>
      </c>
      <c r="BE41" s="2023"/>
      <c r="BF41" s="2013">
        <f>SUM(BF42:BF48)</f>
        <v>55.01</v>
      </c>
      <c r="BG41" s="2013">
        <f>SUM(BG42:BG48)</f>
        <v>0</v>
      </c>
      <c r="BH41" s="2014">
        <f>SUM(BH42:BH48)</f>
        <v>55.01</v>
      </c>
      <c r="BI41" s="3378">
        <f t="shared" ref="BI41:BI48" si="51">BH41/BH$89</f>
        <v>1</v>
      </c>
      <c r="BJ41" s="2023"/>
      <c r="BK41" s="2013">
        <f>SUM(BK42:BK48)</f>
        <v>55.01</v>
      </c>
      <c r="BL41" s="2013">
        <f>SUM(BL42:BL48)</f>
        <v>0</v>
      </c>
      <c r="BM41" s="2014">
        <f>SUM(BM42:BM48)</f>
        <v>55.01</v>
      </c>
      <c r="BN41" s="3378">
        <f t="shared" ref="BN41:BN48" si="52">BM41/BM$89</f>
        <v>1</v>
      </c>
      <c r="BO41" s="2023"/>
      <c r="BP41" s="2013">
        <f>SUM(BP42:BP48)</f>
        <v>0</v>
      </c>
      <c r="BQ41" s="2013">
        <f>SUM(BQ42:BQ48)</f>
        <v>0</v>
      </c>
      <c r="BR41" s="2014">
        <f>SUM(BR42:BR48)</f>
        <v>0</v>
      </c>
      <c r="BS41" s="3378">
        <f t="shared" ref="BS41:BS48" si="53">BR41/BR$89</f>
        <v>0</v>
      </c>
      <c r="BT41" s="2023"/>
      <c r="BU41" s="2013">
        <f>SUM(BU42:BU48)</f>
        <v>0</v>
      </c>
      <c r="BV41" s="2013">
        <f>SUM(BV42:BV48)</f>
        <v>129.5</v>
      </c>
      <c r="BW41" s="2014">
        <f>SUM(BW42:BW48)</f>
        <v>129.5</v>
      </c>
      <c r="BX41" s="3378">
        <f t="shared" ref="BX41:BX48" si="54">BW41/BW$89</f>
        <v>0.87430290166385205</v>
      </c>
      <c r="BY41" s="2023"/>
      <c r="BZ41" s="2013">
        <f>SUM(BZ42:BZ48)</f>
        <v>42595.19</v>
      </c>
      <c r="CA41" s="2013">
        <f>SUM(CA42:CA48)</f>
        <v>4516.5200000000004</v>
      </c>
      <c r="CB41" s="2014">
        <f>SUM(CB42:CB48)</f>
        <v>47111.710000000006</v>
      </c>
      <c r="CC41" s="3378">
        <f>CB41/$CB$89</f>
        <v>1.4255174691612063E-3</v>
      </c>
      <c r="CD41" s="2006"/>
    </row>
    <row r="42" spans="1:89" ht="12" customHeight="1">
      <c r="A42" s="4833"/>
      <c r="B42" s="3874" t="s">
        <v>7</v>
      </c>
      <c r="C42" s="3815"/>
      <c r="D42" s="3834"/>
      <c r="E42" s="3463">
        <f t="shared" ref="E42:E48" si="55">C42+D42</f>
        <v>0</v>
      </c>
      <c r="F42" s="3350" t="e">
        <f t="shared" si="44"/>
        <v>#DIV/0!</v>
      </c>
      <c r="G42" s="2043">
        <v>0</v>
      </c>
      <c r="H42" s="2043">
        <v>0</v>
      </c>
      <c r="I42" s="2012">
        <v>0</v>
      </c>
      <c r="J42" s="1976">
        <v>0</v>
      </c>
      <c r="K42" s="1976"/>
      <c r="L42" s="2043">
        <v>0</v>
      </c>
      <c r="M42" s="2043">
        <v>0</v>
      </c>
      <c r="N42" s="2012">
        <f t="shared" ref="N42:N48" si="56">L42+M42*1</f>
        <v>0</v>
      </c>
      <c r="O42" s="3350">
        <f t="shared" si="6"/>
        <v>0</v>
      </c>
      <c r="P42" s="3360"/>
      <c r="Q42" s="1986"/>
      <c r="R42" s="2043"/>
      <c r="S42" s="2043"/>
      <c r="T42" s="2012">
        <f t="shared" ref="T42:T48" si="57">R42+S42*1</f>
        <v>0</v>
      </c>
      <c r="U42" s="3350">
        <f t="shared" si="45"/>
        <v>0</v>
      </c>
      <c r="V42" s="3361"/>
      <c r="W42" s="2043"/>
      <c r="X42" s="2043"/>
      <c r="Y42" s="2012">
        <f t="shared" ref="Y42:Y48" si="58">W42+X42*1</f>
        <v>0</v>
      </c>
      <c r="Z42" s="3350">
        <f t="shared" si="46"/>
        <v>0</v>
      </c>
      <c r="AA42" s="3360"/>
      <c r="AB42" s="2043"/>
      <c r="AC42" s="2043"/>
      <c r="AD42" s="2012">
        <f t="shared" ref="AD42:AD48" si="59">AB42+AC42*1</f>
        <v>0</v>
      </c>
      <c r="AE42" s="3350">
        <f t="shared" si="47"/>
        <v>0</v>
      </c>
      <c r="AF42" s="3360"/>
      <c r="AG42" s="2043"/>
      <c r="AH42" s="2043"/>
      <c r="AI42" s="2012">
        <f t="shared" ref="AI42:AI48" si="60">AG42+AH42*1</f>
        <v>0</v>
      </c>
      <c r="AJ42" s="3350" t="e">
        <f t="shared" si="7"/>
        <v>#DIV/0!</v>
      </c>
      <c r="AK42" s="3360"/>
      <c r="AL42" s="2043"/>
      <c r="AM42" s="2043"/>
      <c r="AN42" s="2012">
        <f t="shared" ref="AN42:AN48" si="61">AL42+AM42*1</f>
        <v>0</v>
      </c>
      <c r="AO42" s="3350">
        <f t="shared" si="8"/>
        <v>0</v>
      </c>
      <c r="AP42" s="3360"/>
      <c r="AQ42" s="2051"/>
      <c r="AR42" s="2043"/>
      <c r="AS42" s="2012">
        <f t="shared" ref="AS42:AS48" si="62">AQ42+AR42*1</f>
        <v>0</v>
      </c>
      <c r="AT42" s="3350" t="e">
        <f t="shared" si="48"/>
        <v>#DIV/0!</v>
      </c>
      <c r="AU42" s="2046"/>
      <c r="AV42" s="2051"/>
      <c r="AW42" s="2043"/>
      <c r="AX42" s="2012">
        <f t="shared" ref="AX42:AX48" si="63">AV42+AW42*1</f>
        <v>0</v>
      </c>
      <c r="AY42" s="3350">
        <f t="shared" si="49"/>
        <v>0</v>
      </c>
      <c r="AZ42" s="2046"/>
      <c r="BA42" s="2051"/>
      <c r="BB42" s="2043"/>
      <c r="BC42" s="2012">
        <f t="shared" ref="BC42:BC48" si="64">BA42+BB42*1</f>
        <v>0</v>
      </c>
      <c r="BD42" s="3350">
        <f t="shared" si="50"/>
        <v>0</v>
      </c>
      <c r="BE42" s="2046"/>
      <c r="BF42" s="2051"/>
      <c r="BG42" s="2043"/>
      <c r="BH42" s="2012">
        <f t="shared" ref="BH42:BH48" si="65">BF42+BG42*1</f>
        <v>0</v>
      </c>
      <c r="BI42" s="3350">
        <f t="shared" si="51"/>
        <v>0</v>
      </c>
      <c r="BJ42" s="2046"/>
      <c r="BK42" s="2051"/>
      <c r="BL42" s="2043"/>
      <c r="BM42" s="2012">
        <f t="shared" ref="BM42:BM48" si="66">BK42+BL42*1</f>
        <v>0</v>
      </c>
      <c r="BN42" s="3350">
        <f t="shared" si="52"/>
        <v>0</v>
      </c>
      <c r="BO42" s="2046"/>
      <c r="BP42" s="2051"/>
      <c r="BQ42" s="2043"/>
      <c r="BR42" s="2012">
        <f t="shared" ref="BR42:BR48" si="67">BP42+BQ42*1</f>
        <v>0</v>
      </c>
      <c r="BS42" s="3350">
        <f t="shared" si="53"/>
        <v>0</v>
      </c>
      <c r="BT42" s="2046"/>
      <c r="BU42" s="2051"/>
      <c r="BV42" s="2043"/>
      <c r="BW42" s="2012">
        <f t="shared" ref="BW42:BW48" si="68">BU42+BV42*1</f>
        <v>0</v>
      </c>
      <c r="BX42" s="3350">
        <f t="shared" si="54"/>
        <v>0</v>
      </c>
      <c r="BY42" s="2046"/>
      <c r="BZ42" s="2043">
        <f t="shared" ref="BZ42:CA48" si="69">G42+L42+R42+W42+AB42+AG42+AL42+AQ42+AV42+BA42+BF42+BK42+BP42+BU42</f>
        <v>0</v>
      </c>
      <c r="CA42" s="2043">
        <f t="shared" si="69"/>
        <v>0</v>
      </c>
      <c r="CB42" s="2012">
        <f t="shared" ref="CB42:CB48" si="70">BZ42+CA42*1</f>
        <v>0</v>
      </c>
      <c r="CC42" s="3350">
        <f t="shared" ref="CC42:CC72" si="71">CB42/$CB$89</f>
        <v>0</v>
      </c>
      <c r="CD42" s="3360"/>
    </row>
    <row r="43" spans="1:89" ht="12" customHeight="1">
      <c r="A43" s="4833"/>
      <c r="B43" s="3874" t="s">
        <v>27</v>
      </c>
      <c r="C43" s="3815"/>
      <c r="D43" s="3834"/>
      <c r="E43" s="3463">
        <f t="shared" si="55"/>
        <v>0</v>
      </c>
      <c r="F43" s="3350" t="e">
        <f t="shared" si="44"/>
        <v>#DIV/0!</v>
      </c>
      <c r="G43" s="2043">
        <v>0</v>
      </c>
      <c r="H43" s="2043">
        <v>2252.02</v>
      </c>
      <c r="I43" s="2012">
        <v>2252.02</v>
      </c>
      <c r="J43" s="1976">
        <v>2.8313331528321813E-4</v>
      </c>
      <c r="K43" s="1976"/>
      <c r="L43" s="2043">
        <v>0</v>
      </c>
      <c r="M43" s="2043">
        <v>850</v>
      </c>
      <c r="N43" s="2012">
        <f t="shared" si="56"/>
        <v>850</v>
      </c>
      <c r="O43" s="3350">
        <f t="shared" si="6"/>
        <v>2.2736327279488861E-4</v>
      </c>
      <c r="P43" s="3360"/>
      <c r="Q43" s="1986"/>
      <c r="R43" s="2043"/>
      <c r="S43" s="2043"/>
      <c r="T43" s="2012">
        <f t="shared" si="57"/>
        <v>0</v>
      </c>
      <c r="U43" s="3350">
        <f t="shared" si="45"/>
        <v>0</v>
      </c>
      <c r="V43" s="3361"/>
      <c r="W43" s="2043"/>
      <c r="X43" s="2043"/>
      <c r="Y43" s="2012">
        <f t="shared" si="58"/>
        <v>0</v>
      </c>
      <c r="Z43" s="3350">
        <f t="shared" si="46"/>
        <v>0</v>
      </c>
      <c r="AA43" s="3360"/>
      <c r="AB43" s="2043"/>
      <c r="AC43" s="2043"/>
      <c r="AD43" s="2012">
        <f t="shared" si="59"/>
        <v>0</v>
      </c>
      <c r="AE43" s="3350">
        <f t="shared" si="47"/>
        <v>0</v>
      </c>
      <c r="AF43" s="3360"/>
      <c r="AG43" s="2043"/>
      <c r="AH43" s="2043"/>
      <c r="AI43" s="2012">
        <f t="shared" si="60"/>
        <v>0</v>
      </c>
      <c r="AJ43" s="3350" t="e">
        <f t="shared" si="7"/>
        <v>#DIV/0!</v>
      </c>
      <c r="AK43" s="3360"/>
      <c r="AL43" s="2043"/>
      <c r="AM43" s="2043"/>
      <c r="AN43" s="2012">
        <f t="shared" si="61"/>
        <v>0</v>
      </c>
      <c r="AO43" s="3350">
        <f t="shared" si="8"/>
        <v>0</v>
      </c>
      <c r="AP43" s="3360"/>
      <c r="AQ43" s="2051"/>
      <c r="AR43" s="2043"/>
      <c r="AS43" s="2012">
        <f t="shared" si="62"/>
        <v>0</v>
      </c>
      <c r="AT43" s="3350" t="e">
        <f t="shared" si="48"/>
        <v>#DIV/0!</v>
      </c>
      <c r="AU43" s="2046"/>
      <c r="AV43" s="2051"/>
      <c r="AW43" s="2043"/>
      <c r="AX43" s="2012">
        <f t="shared" si="63"/>
        <v>0</v>
      </c>
      <c r="AY43" s="3350">
        <f t="shared" si="49"/>
        <v>0</v>
      </c>
      <c r="AZ43" s="2046"/>
      <c r="BA43" s="2051"/>
      <c r="BB43" s="2043"/>
      <c r="BC43" s="2012">
        <f t="shared" si="64"/>
        <v>0</v>
      </c>
      <c r="BD43" s="3350">
        <f t="shared" si="50"/>
        <v>0</v>
      </c>
      <c r="BE43" s="2046"/>
      <c r="BF43" s="2051"/>
      <c r="BG43" s="2043"/>
      <c r="BH43" s="2012">
        <f t="shared" si="65"/>
        <v>0</v>
      </c>
      <c r="BI43" s="3350">
        <f t="shared" si="51"/>
        <v>0</v>
      </c>
      <c r="BJ43" s="2046"/>
      <c r="BK43" s="2051"/>
      <c r="BL43" s="2043"/>
      <c r="BM43" s="2012">
        <f t="shared" si="66"/>
        <v>0</v>
      </c>
      <c r="BN43" s="3350">
        <f t="shared" si="52"/>
        <v>0</v>
      </c>
      <c r="BO43" s="2046"/>
      <c r="BP43" s="2051"/>
      <c r="BQ43" s="2043"/>
      <c r="BR43" s="2012">
        <f t="shared" si="67"/>
        <v>0</v>
      </c>
      <c r="BS43" s="3350">
        <f t="shared" si="53"/>
        <v>0</v>
      </c>
      <c r="BT43" s="2046"/>
      <c r="BU43" s="2051"/>
      <c r="BV43" s="2043"/>
      <c r="BW43" s="2012">
        <f t="shared" si="68"/>
        <v>0</v>
      </c>
      <c r="BX43" s="3350">
        <f t="shared" si="54"/>
        <v>0</v>
      </c>
      <c r="BY43" s="2046"/>
      <c r="BZ43" s="2043">
        <f t="shared" si="69"/>
        <v>0</v>
      </c>
      <c r="CA43" s="2043">
        <f t="shared" si="69"/>
        <v>3102.02</v>
      </c>
      <c r="CB43" s="2012">
        <f t="shared" si="70"/>
        <v>3102.02</v>
      </c>
      <c r="CC43" s="3350">
        <f t="shared" si="71"/>
        <v>9.3861668355647561E-5</v>
      </c>
      <c r="CD43" s="3360"/>
    </row>
    <row r="44" spans="1:89" ht="12" customHeight="1">
      <c r="A44" s="4833"/>
      <c r="B44" s="3868" t="s">
        <v>28</v>
      </c>
      <c r="C44" s="3815"/>
      <c r="D44" s="3834"/>
      <c r="E44" s="3463">
        <f t="shared" si="55"/>
        <v>0</v>
      </c>
      <c r="F44" s="3350" t="e">
        <f t="shared" si="44"/>
        <v>#DIV/0!</v>
      </c>
      <c r="G44" s="2043">
        <v>0</v>
      </c>
      <c r="H44" s="2043">
        <v>1000</v>
      </c>
      <c r="I44" s="2012">
        <v>1000</v>
      </c>
      <c r="J44" s="1976">
        <v>1.257241566607837E-4</v>
      </c>
      <c r="K44" s="1976"/>
      <c r="L44" s="2043">
        <v>0</v>
      </c>
      <c r="M44" s="2043">
        <v>0</v>
      </c>
      <c r="N44" s="2012">
        <f t="shared" si="56"/>
        <v>0</v>
      </c>
      <c r="O44" s="3350">
        <f t="shared" si="6"/>
        <v>0</v>
      </c>
      <c r="P44" s="3360"/>
      <c r="Q44" s="1986"/>
      <c r="R44" s="2043"/>
      <c r="S44" s="2043"/>
      <c r="T44" s="2012">
        <f t="shared" si="57"/>
        <v>0</v>
      </c>
      <c r="U44" s="3350">
        <f t="shared" si="45"/>
        <v>0</v>
      </c>
      <c r="V44" s="3361"/>
      <c r="W44" s="2043"/>
      <c r="X44" s="2043"/>
      <c r="Y44" s="2012">
        <f t="shared" si="58"/>
        <v>0</v>
      </c>
      <c r="Z44" s="3350">
        <f t="shared" si="46"/>
        <v>0</v>
      </c>
      <c r="AA44" s="3360"/>
      <c r="AB44" s="2043"/>
      <c r="AC44" s="2043"/>
      <c r="AD44" s="2012">
        <f t="shared" si="59"/>
        <v>0</v>
      </c>
      <c r="AE44" s="3350">
        <f t="shared" si="47"/>
        <v>0</v>
      </c>
      <c r="AF44" s="3360"/>
      <c r="AG44" s="2043"/>
      <c r="AH44" s="2043"/>
      <c r="AI44" s="2012">
        <f t="shared" si="60"/>
        <v>0</v>
      </c>
      <c r="AJ44" s="3350" t="e">
        <f t="shared" si="7"/>
        <v>#DIV/0!</v>
      </c>
      <c r="AK44" s="3360"/>
      <c r="AL44" s="2043"/>
      <c r="AM44" s="2043"/>
      <c r="AN44" s="2012">
        <f t="shared" si="61"/>
        <v>0</v>
      </c>
      <c r="AO44" s="3350">
        <f t="shared" si="8"/>
        <v>0</v>
      </c>
      <c r="AP44" s="3360"/>
      <c r="AQ44" s="2051"/>
      <c r="AR44" s="2043"/>
      <c r="AS44" s="2012">
        <f t="shared" si="62"/>
        <v>0</v>
      </c>
      <c r="AT44" s="3350" t="e">
        <f t="shared" si="48"/>
        <v>#DIV/0!</v>
      </c>
      <c r="AU44" s="2046"/>
      <c r="AV44" s="2051"/>
      <c r="AW44" s="2043"/>
      <c r="AX44" s="2012">
        <f t="shared" si="63"/>
        <v>0</v>
      </c>
      <c r="AY44" s="3350">
        <f t="shared" si="49"/>
        <v>0</v>
      </c>
      <c r="AZ44" s="2046"/>
      <c r="BA44" s="2051"/>
      <c r="BB44" s="2043"/>
      <c r="BC44" s="2012">
        <f t="shared" si="64"/>
        <v>0</v>
      </c>
      <c r="BD44" s="3350">
        <f t="shared" si="50"/>
        <v>0</v>
      </c>
      <c r="BE44" s="2046"/>
      <c r="BF44" s="2051"/>
      <c r="BG44" s="2043"/>
      <c r="BH44" s="2012">
        <f t="shared" si="65"/>
        <v>0</v>
      </c>
      <c r="BI44" s="3350">
        <f t="shared" si="51"/>
        <v>0</v>
      </c>
      <c r="BJ44" s="2046"/>
      <c r="BK44" s="2051"/>
      <c r="BL44" s="2043"/>
      <c r="BM44" s="2012">
        <f t="shared" si="66"/>
        <v>0</v>
      </c>
      <c r="BN44" s="3350">
        <f t="shared" si="52"/>
        <v>0</v>
      </c>
      <c r="BO44" s="2046"/>
      <c r="BP44" s="2051"/>
      <c r="BQ44" s="2043"/>
      <c r="BR44" s="2012">
        <f t="shared" si="67"/>
        <v>0</v>
      </c>
      <c r="BS44" s="3350">
        <f t="shared" si="53"/>
        <v>0</v>
      </c>
      <c r="BT44" s="2046"/>
      <c r="BU44" s="2051"/>
      <c r="BV44" s="2043"/>
      <c r="BW44" s="2012">
        <f t="shared" si="68"/>
        <v>0</v>
      </c>
      <c r="BX44" s="3350">
        <f t="shared" si="54"/>
        <v>0</v>
      </c>
      <c r="BY44" s="2046"/>
      <c r="BZ44" s="2043">
        <f t="shared" si="69"/>
        <v>0</v>
      </c>
      <c r="CA44" s="2043">
        <f t="shared" si="69"/>
        <v>1000</v>
      </c>
      <c r="CB44" s="2012">
        <f t="shared" si="70"/>
        <v>1000</v>
      </c>
      <c r="CC44" s="3350">
        <f t="shared" si="71"/>
        <v>3.0258240873897512E-5</v>
      </c>
      <c r="CD44" s="3360"/>
    </row>
    <row r="45" spans="1:89" ht="12" customHeight="1">
      <c r="A45" s="4833"/>
      <c r="B45" s="3874" t="s">
        <v>8</v>
      </c>
      <c r="C45" s="3815"/>
      <c r="D45" s="3834"/>
      <c r="E45" s="3463">
        <f t="shared" si="55"/>
        <v>0</v>
      </c>
      <c r="F45" s="3350" t="e">
        <f t="shared" si="44"/>
        <v>#DIV/0!</v>
      </c>
      <c r="G45" s="2043">
        <v>937.5</v>
      </c>
      <c r="H45" s="2043">
        <v>0</v>
      </c>
      <c r="I45" s="2012">
        <v>937.5</v>
      </c>
      <c r="J45" s="1976">
        <v>1.1786639686948472E-4</v>
      </c>
      <c r="K45" s="1976"/>
      <c r="L45" s="2043">
        <v>412.5</v>
      </c>
      <c r="M45" s="2043">
        <v>0</v>
      </c>
      <c r="N45" s="2012">
        <f t="shared" si="56"/>
        <v>412.5</v>
      </c>
      <c r="O45" s="3350">
        <f t="shared" si="6"/>
        <v>1.10338058856343E-4</v>
      </c>
      <c r="P45" s="3360"/>
      <c r="Q45" s="1986"/>
      <c r="R45" s="2043"/>
      <c r="S45" s="2043"/>
      <c r="T45" s="2012">
        <f t="shared" si="57"/>
        <v>0</v>
      </c>
      <c r="U45" s="3350">
        <f t="shared" si="45"/>
        <v>0</v>
      </c>
      <c r="V45" s="3361"/>
      <c r="W45" s="2043"/>
      <c r="X45" s="2043"/>
      <c r="Y45" s="2012">
        <f t="shared" si="58"/>
        <v>0</v>
      </c>
      <c r="Z45" s="3350">
        <f t="shared" si="46"/>
        <v>0</v>
      </c>
      <c r="AA45" s="3360"/>
      <c r="AB45" s="2043"/>
      <c r="AC45" s="2043"/>
      <c r="AD45" s="2012">
        <f t="shared" si="59"/>
        <v>0</v>
      </c>
      <c r="AE45" s="3350">
        <f t="shared" si="47"/>
        <v>0</v>
      </c>
      <c r="AF45" s="3360"/>
      <c r="AG45" s="2043"/>
      <c r="AH45" s="2043"/>
      <c r="AI45" s="2012">
        <f t="shared" si="60"/>
        <v>0</v>
      </c>
      <c r="AJ45" s="3350" t="e">
        <f t="shared" si="7"/>
        <v>#DIV/0!</v>
      </c>
      <c r="AK45" s="3360"/>
      <c r="AL45" s="2043"/>
      <c r="AM45" s="2043"/>
      <c r="AN45" s="2012">
        <f t="shared" si="61"/>
        <v>0</v>
      </c>
      <c r="AO45" s="3350">
        <f t="shared" si="8"/>
        <v>0</v>
      </c>
      <c r="AP45" s="3360"/>
      <c r="AQ45" s="2051"/>
      <c r="AR45" s="2043"/>
      <c r="AS45" s="2012">
        <f t="shared" si="62"/>
        <v>0</v>
      </c>
      <c r="AT45" s="3350" t="e">
        <f t="shared" si="48"/>
        <v>#DIV/0!</v>
      </c>
      <c r="AU45" s="2046"/>
      <c r="AV45" s="2051"/>
      <c r="AW45" s="2043"/>
      <c r="AX45" s="2012">
        <f t="shared" si="63"/>
        <v>0</v>
      </c>
      <c r="AY45" s="3350">
        <f t="shared" si="49"/>
        <v>0</v>
      </c>
      <c r="AZ45" s="2046"/>
      <c r="BA45" s="2051"/>
      <c r="BB45" s="2043"/>
      <c r="BC45" s="2012">
        <f t="shared" si="64"/>
        <v>0</v>
      </c>
      <c r="BD45" s="3350">
        <f t="shared" si="50"/>
        <v>0</v>
      </c>
      <c r="BE45" s="2046"/>
      <c r="BF45" s="2051"/>
      <c r="BG45" s="2043"/>
      <c r="BH45" s="2012">
        <f t="shared" si="65"/>
        <v>0</v>
      </c>
      <c r="BI45" s="3350">
        <f t="shared" si="51"/>
        <v>0</v>
      </c>
      <c r="BJ45" s="2046"/>
      <c r="BK45" s="2051"/>
      <c r="BL45" s="2043"/>
      <c r="BM45" s="2012">
        <f t="shared" si="66"/>
        <v>0</v>
      </c>
      <c r="BN45" s="3350">
        <f t="shared" si="52"/>
        <v>0</v>
      </c>
      <c r="BO45" s="2046"/>
      <c r="BP45" s="2051"/>
      <c r="BQ45" s="2043"/>
      <c r="BR45" s="2012">
        <f t="shared" si="67"/>
        <v>0</v>
      </c>
      <c r="BS45" s="3350">
        <f t="shared" si="53"/>
        <v>0</v>
      </c>
      <c r="BT45" s="2046"/>
      <c r="BU45" s="2051"/>
      <c r="BV45" s="2043"/>
      <c r="BW45" s="2012">
        <f t="shared" si="68"/>
        <v>0</v>
      </c>
      <c r="BX45" s="3350">
        <f t="shared" si="54"/>
        <v>0</v>
      </c>
      <c r="BY45" s="2046"/>
      <c r="BZ45" s="2043">
        <f t="shared" si="69"/>
        <v>1350</v>
      </c>
      <c r="CA45" s="2043">
        <f t="shared" si="69"/>
        <v>0</v>
      </c>
      <c r="CB45" s="2012">
        <f t="shared" si="70"/>
        <v>1350</v>
      </c>
      <c r="CC45" s="3350">
        <f t="shared" si="71"/>
        <v>4.0848625179761644E-5</v>
      </c>
      <c r="CD45" s="3360"/>
    </row>
    <row r="46" spans="1:89" ht="12" customHeight="1">
      <c r="A46" s="4833"/>
      <c r="B46" s="3874" t="s">
        <v>29</v>
      </c>
      <c r="C46" s="3815"/>
      <c r="D46" s="3834"/>
      <c r="E46" s="3463">
        <f t="shared" si="55"/>
        <v>0</v>
      </c>
      <c r="F46" s="3350" t="e">
        <f t="shared" si="44"/>
        <v>#DIV/0!</v>
      </c>
      <c r="G46" s="2043">
        <v>0</v>
      </c>
      <c r="H46" s="2043">
        <v>0</v>
      </c>
      <c r="I46" s="2012">
        <v>0</v>
      </c>
      <c r="J46" s="1976">
        <v>0</v>
      </c>
      <c r="K46" s="1976"/>
      <c r="L46" s="2043">
        <v>0</v>
      </c>
      <c r="M46" s="2043">
        <v>0</v>
      </c>
      <c r="N46" s="2012">
        <f t="shared" si="56"/>
        <v>0</v>
      </c>
      <c r="O46" s="3350">
        <f t="shared" si="6"/>
        <v>0</v>
      </c>
      <c r="P46" s="3360"/>
      <c r="Q46" s="1986"/>
      <c r="R46" s="2043"/>
      <c r="S46" s="2043"/>
      <c r="T46" s="2012">
        <f t="shared" si="57"/>
        <v>0</v>
      </c>
      <c r="U46" s="3350">
        <f t="shared" si="45"/>
        <v>0</v>
      </c>
      <c r="V46" s="3361"/>
      <c r="W46" s="2043"/>
      <c r="X46" s="2043"/>
      <c r="Y46" s="2012">
        <f t="shared" si="58"/>
        <v>0</v>
      </c>
      <c r="Z46" s="3350">
        <f t="shared" si="46"/>
        <v>0</v>
      </c>
      <c r="AA46" s="3360"/>
      <c r="AB46" s="2043"/>
      <c r="AC46" s="2043"/>
      <c r="AD46" s="2012">
        <f t="shared" si="59"/>
        <v>0</v>
      </c>
      <c r="AE46" s="3350">
        <f t="shared" si="47"/>
        <v>0</v>
      </c>
      <c r="AF46" s="3360"/>
      <c r="AG46" s="2043"/>
      <c r="AH46" s="2043"/>
      <c r="AI46" s="2012">
        <f t="shared" si="60"/>
        <v>0</v>
      </c>
      <c r="AJ46" s="3350" t="e">
        <f t="shared" si="7"/>
        <v>#DIV/0!</v>
      </c>
      <c r="AK46" s="3360"/>
      <c r="AL46" s="2043"/>
      <c r="AM46" s="2043"/>
      <c r="AN46" s="2012">
        <f t="shared" si="61"/>
        <v>0</v>
      </c>
      <c r="AO46" s="3350">
        <f t="shared" si="8"/>
        <v>0</v>
      </c>
      <c r="AP46" s="3360"/>
      <c r="AQ46" s="2051"/>
      <c r="AR46" s="2043"/>
      <c r="AS46" s="2012">
        <f t="shared" si="62"/>
        <v>0</v>
      </c>
      <c r="AT46" s="3350" t="e">
        <f t="shared" si="48"/>
        <v>#DIV/0!</v>
      </c>
      <c r="AU46" s="2046"/>
      <c r="AV46" s="2051"/>
      <c r="AW46" s="2043"/>
      <c r="AX46" s="2012">
        <f t="shared" si="63"/>
        <v>0</v>
      </c>
      <c r="AY46" s="3350">
        <f t="shared" si="49"/>
        <v>0</v>
      </c>
      <c r="AZ46" s="2046"/>
      <c r="BA46" s="2051"/>
      <c r="BB46" s="2043"/>
      <c r="BC46" s="2012">
        <f t="shared" si="64"/>
        <v>0</v>
      </c>
      <c r="BD46" s="3350">
        <f t="shared" si="50"/>
        <v>0</v>
      </c>
      <c r="BE46" s="2046"/>
      <c r="BF46" s="2051"/>
      <c r="BG46" s="2043"/>
      <c r="BH46" s="2012">
        <f t="shared" si="65"/>
        <v>0</v>
      </c>
      <c r="BI46" s="3350">
        <f t="shared" si="51"/>
        <v>0</v>
      </c>
      <c r="BJ46" s="2046"/>
      <c r="BK46" s="2051"/>
      <c r="BL46" s="2043"/>
      <c r="BM46" s="2012">
        <f t="shared" si="66"/>
        <v>0</v>
      </c>
      <c r="BN46" s="3350">
        <f t="shared" si="52"/>
        <v>0</v>
      </c>
      <c r="BO46" s="2046"/>
      <c r="BP46" s="2051"/>
      <c r="BQ46" s="2043"/>
      <c r="BR46" s="2012">
        <f t="shared" si="67"/>
        <v>0</v>
      </c>
      <c r="BS46" s="3350">
        <f t="shared" si="53"/>
        <v>0</v>
      </c>
      <c r="BT46" s="2046"/>
      <c r="BU46" s="2051"/>
      <c r="BV46" s="2043"/>
      <c r="BW46" s="2012">
        <f t="shared" si="68"/>
        <v>0</v>
      </c>
      <c r="BX46" s="3350">
        <f t="shared" si="54"/>
        <v>0</v>
      </c>
      <c r="BY46" s="2046"/>
      <c r="BZ46" s="2043">
        <f t="shared" si="69"/>
        <v>0</v>
      </c>
      <c r="CA46" s="2043">
        <f t="shared" si="69"/>
        <v>0</v>
      </c>
      <c r="CB46" s="2012">
        <f t="shared" si="70"/>
        <v>0</v>
      </c>
      <c r="CC46" s="3350">
        <f t="shared" si="71"/>
        <v>0</v>
      </c>
      <c r="CD46" s="3360"/>
    </row>
    <row r="47" spans="1:89" ht="12" customHeight="1">
      <c r="A47" s="4833"/>
      <c r="B47" s="3874" t="s">
        <v>30</v>
      </c>
      <c r="C47" s="3815"/>
      <c r="D47" s="3834"/>
      <c r="E47" s="3463">
        <f t="shared" si="55"/>
        <v>0</v>
      </c>
      <c r="F47" s="3350" t="e">
        <f t="shared" si="44"/>
        <v>#DIV/0!</v>
      </c>
      <c r="G47" s="2043">
        <v>20747.14</v>
      </c>
      <c r="H47" s="2043">
        <v>0</v>
      </c>
      <c r="I47" s="2012">
        <v>20747.14</v>
      </c>
      <c r="J47" s="1976">
        <v>2.608416679623212E-3</v>
      </c>
      <c r="K47" s="1976"/>
      <c r="L47" s="2043">
        <v>18122.96</v>
      </c>
      <c r="M47" s="2043">
        <v>65</v>
      </c>
      <c r="N47" s="2012">
        <f t="shared" si="56"/>
        <v>18187.96</v>
      </c>
      <c r="O47" s="3350">
        <f t="shared" si="6"/>
        <v>4.8650283659559083E-3</v>
      </c>
      <c r="P47" s="3875"/>
      <c r="Q47" s="1986"/>
      <c r="R47" s="2043"/>
      <c r="S47" s="2043"/>
      <c r="T47" s="2012">
        <f t="shared" si="57"/>
        <v>0</v>
      </c>
      <c r="U47" s="3350">
        <f t="shared" si="45"/>
        <v>0</v>
      </c>
      <c r="V47" s="3361"/>
      <c r="W47" s="2043"/>
      <c r="X47" s="2043"/>
      <c r="Y47" s="2012">
        <f t="shared" si="58"/>
        <v>0</v>
      </c>
      <c r="Z47" s="3350">
        <f t="shared" si="46"/>
        <v>0</v>
      </c>
      <c r="AA47" s="3360"/>
      <c r="AB47" s="2043"/>
      <c r="AC47" s="2043">
        <v>40</v>
      </c>
      <c r="AD47" s="2012">
        <f t="shared" si="59"/>
        <v>40</v>
      </c>
      <c r="AE47" s="3350">
        <f t="shared" si="47"/>
        <v>0.88125609156366047</v>
      </c>
      <c r="AF47" s="3875" t="s">
        <v>1318</v>
      </c>
      <c r="AG47" s="2043"/>
      <c r="AH47" s="2043"/>
      <c r="AI47" s="2012">
        <f t="shared" si="60"/>
        <v>0</v>
      </c>
      <c r="AJ47" s="3350" t="e">
        <f t="shared" si="7"/>
        <v>#DIV/0!</v>
      </c>
      <c r="AK47" s="3875"/>
      <c r="AL47" s="2043"/>
      <c r="AM47" s="2043"/>
      <c r="AN47" s="2012">
        <f t="shared" si="61"/>
        <v>0</v>
      </c>
      <c r="AO47" s="3350">
        <f t="shared" si="8"/>
        <v>0</v>
      </c>
      <c r="AP47" s="3875"/>
      <c r="AQ47" s="2051"/>
      <c r="AR47" s="2043"/>
      <c r="AS47" s="2012">
        <f t="shared" si="62"/>
        <v>0</v>
      </c>
      <c r="AT47" s="3350" t="e">
        <f t="shared" si="48"/>
        <v>#DIV/0!</v>
      </c>
      <c r="AU47" s="2046"/>
      <c r="AV47" s="2051"/>
      <c r="AW47" s="2043"/>
      <c r="AX47" s="2012">
        <f t="shared" si="63"/>
        <v>0</v>
      </c>
      <c r="AY47" s="3350">
        <f t="shared" si="49"/>
        <v>0</v>
      </c>
      <c r="AZ47" s="2046"/>
      <c r="BA47" s="2051">
        <v>55.01</v>
      </c>
      <c r="BB47" s="2043">
        <v>80</v>
      </c>
      <c r="BC47" s="2012">
        <f t="shared" si="64"/>
        <v>135.01</v>
      </c>
      <c r="BD47" s="3350">
        <f t="shared" si="50"/>
        <v>0.93535849930593495</v>
      </c>
      <c r="BE47" s="2046" t="s">
        <v>1633</v>
      </c>
      <c r="BF47" s="2051">
        <v>55.01</v>
      </c>
      <c r="BG47" s="2043"/>
      <c r="BH47" s="2012">
        <f t="shared" si="65"/>
        <v>55.01</v>
      </c>
      <c r="BI47" s="3350">
        <f t="shared" si="51"/>
        <v>1</v>
      </c>
      <c r="BJ47" s="2046"/>
      <c r="BK47" s="2051">
        <v>55.01</v>
      </c>
      <c r="BL47" s="2043"/>
      <c r="BM47" s="2012">
        <f t="shared" si="66"/>
        <v>55.01</v>
      </c>
      <c r="BN47" s="3350">
        <f t="shared" si="52"/>
        <v>1</v>
      </c>
      <c r="BO47" s="2046"/>
      <c r="BP47" s="2051"/>
      <c r="BQ47" s="2043"/>
      <c r="BR47" s="2012">
        <f t="shared" si="67"/>
        <v>0</v>
      </c>
      <c r="BS47" s="3350">
        <f t="shared" si="53"/>
        <v>0</v>
      </c>
      <c r="BT47" s="2046"/>
      <c r="BU47" s="2051"/>
      <c r="BV47" s="2043">
        <v>129.5</v>
      </c>
      <c r="BW47" s="2012">
        <f t="shared" si="68"/>
        <v>129.5</v>
      </c>
      <c r="BX47" s="3350">
        <f t="shared" si="54"/>
        <v>0.87430290166385205</v>
      </c>
      <c r="BY47" s="2046" t="s">
        <v>1824</v>
      </c>
      <c r="BZ47" s="2043">
        <f t="shared" si="69"/>
        <v>39035.130000000005</v>
      </c>
      <c r="CA47" s="2043">
        <f>H47+M47+S47+X47+AC47+AH47+AM47+AR47+AW47+BB47+BG47+BL47+BQ47+BV47</f>
        <v>314.5</v>
      </c>
      <c r="CB47" s="2012">
        <f t="shared" si="70"/>
        <v>39349.630000000005</v>
      </c>
      <c r="CC47" s="3350">
        <f t="shared" si="71"/>
        <v>1.190650582838744E-3</v>
      </c>
      <c r="CD47" s="3360"/>
    </row>
    <row r="48" spans="1:89" ht="12" customHeight="1">
      <c r="A48" s="4833"/>
      <c r="B48" s="3874" t="s">
        <v>15</v>
      </c>
      <c r="C48" s="3815"/>
      <c r="D48" s="3834"/>
      <c r="E48" s="3463">
        <f t="shared" si="55"/>
        <v>0</v>
      </c>
      <c r="F48" s="3350" t="e">
        <f t="shared" si="44"/>
        <v>#DIV/0!</v>
      </c>
      <c r="G48" s="2043">
        <v>2210.06</v>
      </c>
      <c r="H48" s="2043">
        <v>100</v>
      </c>
      <c r="I48" s="2012">
        <v>2310.06</v>
      </c>
      <c r="J48" s="1976">
        <v>2.9043034533580997E-4</v>
      </c>
      <c r="K48" s="1976"/>
      <c r="L48" s="2043">
        <v>0</v>
      </c>
      <c r="M48" s="2043">
        <v>0</v>
      </c>
      <c r="N48" s="2012">
        <f t="shared" si="56"/>
        <v>0</v>
      </c>
      <c r="O48" s="3350">
        <f t="shared" si="6"/>
        <v>0</v>
      </c>
      <c r="P48" s="3360"/>
      <c r="Q48" s="1986"/>
      <c r="R48" s="2043"/>
      <c r="S48" s="2043"/>
      <c r="T48" s="2012">
        <f t="shared" si="57"/>
        <v>0</v>
      </c>
      <c r="U48" s="3350">
        <f t="shared" si="45"/>
        <v>0</v>
      </c>
      <c r="V48" s="3361"/>
      <c r="W48" s="2043"/>
      <c r="X48" s="2043"/>
      <c r="Y48" s="2012">
        <f t="shared" si="58"/>
        <v>0</v>
      </c>
      <c r="Z48" s="3350">
        <f t="shared" si="46"/>
        <v>0</v>
      </c>
      <c r="AA48" s="3360"/>
      <c r="AB48" s="2043"/>
      <c r="AC48" s="2043"/>
      <c r="AD48" s="2012">
        <f t="shared" si="59"/>
        <v>0</v>
      </c>
      <c r="AE48" s="3350">
        <f t="shared" si="47"/>
        <v>0</v>
      </c>
      <c r="AF48" s="3360"/>
      <c r="AG48" s="2043"/>
      <c r="AH48" s="2043"/>
      <c r="AI48" s="2012">
        <f t="shared" si="60"/>
        <v>0</v>
      </c>
      <c r="AJ48" s="3350" t="e">
        <f t="shared" si="7"/>
        <v>#DIV/0!</v>
      </c>
      <c r="AK48" s="3360"/>
      <c r="AL48" s="2043"/>
      <c r="AM48" s="2043"/>
      <c r="AN48" s="2012">
        <f t="shared" si="61"/>
        <v>0</v>
      </c>
      <c r="AO48" s="3350">
        <f t="shared" si="8"/>
        <v>0</v>
      </c>
      <c r="AP48" s="3360"/>
      <c r="AQ48" s="2051"/>
      <c r="AR48" s="2043"/>
      <c r="AS48" s="2012">
        <f t="shared" si="62"/>
        <v>0</v>
      </c>
      <c r="AT48" s="3350" t="e">
        <f t="shared" si="48"/>
        <v>#DIV/0!</v>
      </c>
      <c r="AU48" s="2046"/>
      <c r="AV48" s="2051"/>
      <c r="AW48" s="2043"/>
      <c r="AX48" s="2012">
        <f t="shared" si="63"/>
        <v>0</v>
      </c>
      <c r="AY48" s="3350">
        <f t="shared" si="49"/>
        <v>0</v>
      </c>
      <c r="AZ48" s="2046"/>
      <c r="BA48" s="2051"/>
      <c r="BB48" s="2043"/>
      <c r="BC48" s="2012">
        <f t="shared" si="64"/>
        <v>0</v>
      </c>
      <c r="BD48" s="3350">
        <f t="shared" si="50"/>
        <v>0</v>
      </c>
      <c r="BE48" s="2046"/>
      <c r="BF48" s="2051"/>
      <c r="BG48" s="2043"/>
      <c r="BH48" s="2012">
        <f t="shared" si="65"/>
        <v>0</v>
      </c>
      <c r="BI48" s="3350">
        <f t="shared" si="51"/>
        <v>0</v>
      </c>
      <c r="BJ48" s="2046"/>
      <c r="BK48" s="2051"/>
      <c r="BL48" s="2043"/>
      <c r="BM48" s="2012">
        <f t="shared" si="66"/>
        <v>0</v>
      </c>
      <c r="BN48" s="3350">
        <f t="shared" si="52"/>
        <v>0</v>
      </c>
      <c r="BO48" s="2046"/>
      <c r="BP48" s="2051"/>
      <c r="BQ48" s="2043"/>
      <c r="BR48" s="2012">
        <f t="shared" si="67"/>
        <v>0</v>
      </c>
      <c r="BS48" s="3350">
        <f t="shared" si="53"/>
        <v>0</v>
      </c>
      <c r="BT48" s="2046"/>
      <c r="BU48" s="2051"/>
      <c r="BV48" s="2043"/>
      <c r="BW48" s="2012">
        <f t="shared" si="68"/>
        <v>0</v>
      </c>
      <c r="BX48" s="3350">
        <f t="shared" si="54"/>
        <v>0</v>
      </c>
      <c r="BY48" s="2046"/>
      <c r="BZ48" s="2043">
        <f t="shared" si="69"/>
        <v>2210.06</v>
      </c>
      <c r="CA48" s="2043">
        <f t="shared" si="69"/>
        <v>100</v>
      </c>
      <c r="CB48" s="2012">
        <f t="shared" si="70"/>
        <v>2310.06</v>
      </c>
      <c r="CC48" s="3350">
        <f t="shared" si="71"/>
        <v>6.9898351913155681E-5</v>
      </c>
      <c r="CD48" s="3360"/>
    </row>
    <row r="49" spans="1:84" s="1396" customFormat="1" ht="12" customHeight="1" thickBot="1">
      <c r="A49" s="1405"/>
      <c r="B49" s="3876"/>
      <c r="C49" s="3818"/>
      <c r="D49" s="3835"/>
      <c r="E49" s="3836"/>
      <c r="F49" s="3837"/>
      <c r="G49" s="2043"/>
      <c r="H49" s="2043"/>
      <c r="I49" s="3828"/>
      <c r="J49" s="1708">
        <v>0</v>
      </c>
      <c r="K49" s="1708"/>
      <c r="L49" s="2043"/>
      <c r="M49" s="2043"/>
      <c r="N49" s="3828"/>
      <c r="O49" s="3350"/>
      <c r="P49" s="3828"/>
      <c r="Q49" s="1719"/>
      <c r="R49" s="2043"/>
      <c r="S49" s="2043"/>
      <c r="T49" s="3828"/>
      <c r="U49" s="3350">
        <f t="shared" si="45"/>
        <v>0</v>
      </c>
      <c r="V49" s="3830"/>
      <c r="W49" s="2043"/>
      <c r="X49" s="2043"/>
      <c r="Y49" s="3828"/>
      <c r="Z49" s="3350">
        <f t="shared" si="46"/>
        <v>0</v>
      </c>
      <c r="AA49" s="3828"/>
      <c r="AB49" s="2043"/>
      <c r="AC49" s="2043"/>
      <c r="AD49" s="3828"/>
      <c r="AE49" s="3350">
        <f t="shared" si="47"/>
        <v>0</v>
      </c>
      <c r="AF49" s="3828"/>
      <c r="AG49" s="2043"/>
      <c r="AH49" s="2043"/>
      <c r="AI49" s="3828"/>
      <c r="AJ49" s="3350"/>
      <c r="AK49" s="3828"/>
      <c r="AL49" s="2043"/>
      <c r="AM49" s="2043"/>
      <c r="AN49" s="3828"/>
      <c r="AO49" s="3350"/>
      <c r="AP49" s="3828"/>
      <c r="AQ49" s="2051"/>
      <c r="AR49" s="2043"/>
      <c r="AS49" s="3828"/>
      <c r="AT49" s="3350"/>
      <c r="AU49" s="3838"/>
      <c r="AV49" s="2051"/>
      <c r="AW49" s="2043"/>
      <c r="AX49" s="3828"/>
      <c r="AY49" s="3350"/>
      <c r="AZ49" s="3838"/>
      <c r="BA49" s="2051"/>
      <c r="BB49" s="2043"/>
      <c r="BC49" s="3828"/>
      <c r="BD49" s="3350"/>
      <c r="BE49" s="3838"/>
      <c r="BF49" s="2051"/>
      <c r="BG49" s="2043"/>
      <c r="BH49" s="3828"/>
      <c r="BI49" s="3350"/>
      <c r="BJ49" s="3838"/>
      <c r="BK49" s="2051"/>
      <c r="BL49" s="2043"/>
      <c r="BM49" s="3828"/>
      <c r="BN49" s="3350"/>
      <c r="BO49" s="3838"/>
      <c r="BP49" s="2051"/>
      <c r="BQ49" s="2043"/>
      <c r="BR49" s="3828"/>
      <c r="BS49" s="3350"/>
      <c r="BT49" s="3838"/>
      <c r="BU49" s="2051"/>
      <c r="BV49" s="2043"/>
      <c r="BW49" s="3828"/>
      <c r="BX49" s="3350"/>
      <c r="BY49" s="3838"/>
      <c r="BZ49" s="2043"/>
      <c r="CA49" s="2043"/>
      <c r="CB49" s="3828"/>
      <c r="CC49" s="3350">
        <f t="shared" si="71"/>
        <v>0</v>
      </c>
      <c r="CD49" s="3828"/>
      <c r="CE49" s="842"/>
      <c r="CF49" s="842"/>
    </row>
    <row r="50" spans="1:84" s="1396" customFormat="1" ht="14.4" customHeight="1" thickBot="1">
      <c r="A50" s="1426"/>
      <c r="B50" s="1003" t="s">
        <v>59</v>
      </c>
      <c r="C50" s="1584"/>
      <c r="D50" s="1584"/>
      <c r="E50" s="1584">
        <f>SUM(E51:E52)</f>
        <v>0</v>
      </c>
      <c r="F50" s="838" t="e">
        <f>E50/$E$89</f>
        <v>#DIV/0!</v>
      </c>
      <c r="G50" s="1584">
        <v>0</v>
      </c>
      <c r="H50" s="1584">
        <v>0</v>
      </c>
      <c r="I50" s="1584">
        <v>0</v>
      </c>
      <c r="J50" s="969"/>
      <c r="K50" s="969"/>
      <c r="L50" s="2015">
        <f>L52+L51</f>
        <v>0</v>
      </c>
      <c r="M50" s="2015">
        <f>M52+M51</f>
        <v>0</v>
      </c>
      <c r="N50" s="2015">
        <f>SUM(N51:N52)</f>
        <v>0</v>
      </c>
      <c r="O50" s="2006">
        <f t="shared" si="6"/>
        <v>0</v>
      </c>
      <c r="P50" s="2006"/>
      <c r="Q50" s="2546"/>
      <c r="R50" s="1584">
        <f>R52+R51</f>
        <v>0</v>
      </c>
      <c r="S50" s="1584">
        <f>S52+S51</f>
        <v>0</v>
      </c>
      <c r="T50" s="1584">
        <f>SUM(T51:T52)</f>
        <v>0</v>
      </c>
      <c r="U50" s="1688"/>
      <c r="V50" s="1737"/>
      <c r="W50" s="2015">
        <f>W52+W51</f>
        <v>0</v>
      </c>
      <c r="X50" s="2015">
        <f>X52+X51</f>
        <v>0</v>
      </c>
      <c r="Y50" s="2015">
        <f>SUM(Y51:Y52)</f>
        <v>0</v>
      </c>
      <c r="Z50" s="2006">
        <f t="shared" si="46"/>
        <v>0</v>
      </c>
      <c r="AA50" s="2006"/>
      <c r="AB50" s="2015">
        <f>AB52+AB51</f>
        <v>0</v>
      </c>
      <c r="AC50" s="2015">
        <f>AC52+AC51</f>
        <v>0</v>
      </c>
      <c r="AD50" s="2015">
        <f>SUM(AD51:AD52)</f>
        <v>0</v>
      </c>
      <c r="AE50" s="2006">
        <f t="shared" si="47"/>
        <v>0</v>
      </c>
      <c r="AF50" s="2006"/>
      <c r="AG50" s="2015">
        <f>AG52+AG51</f>
        <v>0</v>
      </c>
      <c r="AH50" s="2015">
        <f>AH52+AH51</f>
        <v>0</v>
      </c>
      <c r="AI50" s="2015">
        <f>SUM(AI51:AI52)</f>
        <v>0</v>
      </c>
      <c r="AJ50" s="2006" t="e">
        <f t="shared" si="7"/>
        <v>#DIV/0!</v>
      </c>
      <c r="AK50" s="2006"/>
      <c r="AL50" s="2015">
        <f>AL52+AL51</f>
        <v>0</v>
      </c>
      <c r="AM50" s="2015">
        <f>AM52+AM51</f>
        <v>0</v>
      </c>
      <c r="AN50" s="2015">
        <f>SUM(AN51:AN52)</f>
        <v>0</v>
      </c>
      <c r="AO50" s="2006">
        <f t="shared" si="8"/>
        <v>0</v>
      </c>
      <c r="AP50" s="2006"/>
      <c r="AQ50" s="2015">
        <f>AQ52+AQ51</f>
        <v>0</v>
      </c>
      <c r="AR50" s="2015">
        <f>AR52+AR51</f>
        <v>0</v>
      </c>
      <c r="AS50" s="2015">
        <f>SUM(AS51:AS52)</f>
        <v>0</v>
      </c>
      <c r="AT50" s="2006" t="e">
        <f t="shared" ref="AT50:AT52" si="72">AS50/AS$89</f>
        <v>#DIV/0!</v>
      </c>
      <c r="AU50" s="1984"/>
      <c r="AV50" s="2015">
        <f>AV52+AV51</f>
        <v>0</v>
      </c>
      <c r="AW50" s="2015">
        <f>AW52+AW51</f>
        <v>0</v>
      </c>
      <c r="AX50" s="2015">
        <f>SUM(AX51:AX52)</f>
        <v>0</v>
      </c>
      <c r="AY50" s="2006">
        <f t="shared" ref="AY50:AY52" si="73">AX50/AX$89</f>
        <v>0</v>
      </c>
      <c r="AZ50" s="1984"/>
      <c r="BA50" s="2015">
        <f>BA52+BA51</f>
        <v>0</v>
      </c>
      <c r="BB50" s="2015">
        <f>BB52+BB51</f>
        <v>0</v>
      </c>
      <c r="BC50" s="2015">
        <f>SUM(BC51:BC52)</f>
        <v>0</v>
      </c>
      <c r="BD50" s="2006">
        <f t="shared" ref="BD50:BD52" si="74">BC50/BC$89</f>
        <v>0</v>
      </c>
      <c r="BE50" s="1984"/>
      <c r="BF50" s="2015">
        <f>BF52+BF51</f>
        <v>0</v>
      </c>
      <c r="BG50" s="2015">
        <f>BG52+BG51</f>
        <v>0</v>
      </c>
      <c r="BH50" s="2015">
        <f>SUM(BH51:BH52)</f>
        <v>0</v>
      </c>
      <c r="BI50" s="2006">
        <f t="shared" ref="BI50:BI52" si="75">BH50/BH$89</f>
        <v>0</v>
      </c>
      <c r="BJ50" s="1984"/>
      <c r="BK50" s="2015">
        <f>BK52+BK51</f>
        <v>0</v>
      </c>
      <c r="BL50" s="2015">
        <f>BL52+BL51</f>
        <v>0</v>
      </c>
      <c r="BM50" s="2015">
        <f>SUM(BM51:BM52)</f>
        <v>0</v>
      </c>
      <c r="BN50" s="2006">
        <f t="shared" ref="BN50:BN52" si="76">BM50/BM$89</f>
        <v>0</v>
      </c>
      <c r="BO50" s="1984"/>
      <c r="BP50" s="2015">
        <f>BP52+BP51</f>
        <v>0</v>
      </c>
      <c r="BQ50" s="2015">
        <f>BQ52+BQ51</f>
        <v>0</v>
      </c>
      <c r="BR50" s="2015">
        <f>SUM(BR51:BR52)</f>
        <v>0</v>
      </c>
      <c r="BS50" s="2006">
        <f t="shared" ref="BS50:BS52" si="77">BR50/BR$89</f>
        <v>0</v>
      </c>
      <c r="BT50" s="1984"/>
      <c r="BU50" s="2015">
        <f>BU52+BU51</f>
        <v>0</v>
      </c>
      <c r="BV50" s="2015">
        <f>BV52+BV51</f>
        <v>0</v>
      </c>
      <c r="BW50" s="2015">
        <f>SUM(BW51:BW52)</f>
        <v>0</v>
      </c>
      <c r="BX50" s="2006">
        <f t="shared" ref="BX50:BX52" si="78">BW50/BW$89</f>
        <v>0</v>
      </c>
      <c r="BY50" s="1984"/>
      <c r="BZ50" s="1584">
        <f>BZ52+BZ51</f>
        <v>0</v>
      </c>
      <c r="CA50" s="1584">
        <f>CA52+CA51</f>
        <v>0</v>
      </c>
      <c r="CB50" s="1584">
        <f>SUM(CB51:CB52)</f>
        <v>0</v>
      </c>
      <c r="CC50" s="1688"/>
      <c r="CD50" s="1688"/>
      <c r="CE50" s="842"/>
      <c r="CF50" s="842"/>
    </row>
    <row r="51" spans="1:84" s="1564" customFormat="1" ht="14.4" customHeight="1">
      <c r="A51" s="1568"/>
      <c r="B51" s="1154" t="s">
        <v>60</v>
      </c>
      <c r="C51" s="1486"/>
      <c r="D51" s="1091"/>
      <c r="E51" s="1091">
        <f>C51+D51</f>
        <v>0</v>
      </c>
      <c r="F51" s="1587" t="e">
        <f>E51/$E$89</f>
        <v>#DIV/0!</v>
      </c>
      <c r="G51" s="2043">
        <v>0</v>
      </c>
      <c r="H51" s="2043">
        <v>0</v>
      </c>
      <c r="I51" s="2012">
        <v>0</v>
      </c>
      <c r="J51" s="1587">
        <v>0</v>
      </c>
      <c r="K51" s="1587"/>
      <c r="L51" s="2043">
        <v>0</v>
      </c>
      <c r="M51" s="2043">
        <v>0</v>
      </c>
      <c r="N51" s="2012">
        <f>L51+M51*1</f>
        <v>0</v>
      </c>
      <c r="O51" s="3350">
        <f t="shared" si="6"/>
        <v>0</v>
      </c>
      <c r="P51" s="3827"/>
      <c r="Q51" s="1721"/>
      <c r="R51" s="2043"/>
      <c r="S51" s="2043"/>
      <c r="T51" s="2012">
        <f>R51+S51*1</f>
        <v>0</v>
      </c>
      <c r="U51" s="1976">
        <f>T51/$T$89</f>
        <v>0</v>
      </c>
      <c r="V51" s="1612"/>
      <c r="W51" s="2043"/>
      <c r="X51" s="2043"/>
      <c r="Y51" s="2012">
        <f>W51+X51*1</f>
        <v>0</v>
      </c>
      <c r="Z51" s="3350">
        <f t="shared" si="46"/>
        <v>0</v>
      </c>
      <c r="AA51" s="3827"/>
      <c r="AB51" s="2043"/>
      <c r="AC51" s="2043"/>
      <c r="AD51" s="2012">
        <f>AB51+AC51*1</f>
        <v>0</v>
      </c>
      <c r="AE51" s="3350">
        <f t="shared" si="47"/>
        <v>0</v>
      </c>
      <c r="AF51" s="3827"/>
      <c r="AG51" s="2043"/>
      <c r="AH51" s="2043"/>
      <c r="AI51" s="2012">
        <f>AG51+AH51*1</f>
        <v>0</v>
      </c>
      <c r="AJ51" s="3350" t="e">
        <f t="shared" si="7"/>
        <v>#DIV/0!</v>
      </c>
      <c r="AK51" s="3827"/>
      <c r="AL51" s="2043"/>
      <c r="AM51" s="2043"/>
      <c r="AN51" s="2012">
        <f>AL51+AM51*1</f>
        <v>0</v>
      </c>
      <c r="AO51" s="3350">
        <f t="shared" si="8"/>
        <v>0</v>
      </c>
      <c r="AP51" s="3827"/>
      <c r="AQ51" s="2051"/>
      <c r="AR51" s="2043"/>
      <c r="AS51" s="2012">
        <f>AQ51+AR51*1</f>
        <v>0</v>
      </c>
      <c r="AT51" s="3350" t="e">
        <f t="shared" si="72"/>
        <v>#DIV/0!</v>
      </c>
      <c r="AU51" s="3839"/>
      <c r="AV51" s="2051"/>
      <c r="AW51" s="2043"/>
      <c r="AX51" s="2012">
        <f>AV51+AW51*1</f>
        <v>0</v>
      </c>
      <c r="AY51" s="3350">
        <f t="shared" si="73"/>
        <v>0</v>
      </c>
      <c r="AZ51" s="3839"/>
      <c r="BA51" s="2051"/>
      <c r="BB51" s="2043"/>
      <c r="BC51" s="2012">
        <f>BA51+BB51*1</f>
        <v>0</v>
      </c>
      <c r="BD51" s="3350">
        <f t="shared" si="74"/>
        <v>0</v>
      </c>
      <c r="BE51" s="3839"/>
      <c r="BF51" s="2051"/>
      <c r="BG51" s="2043"/>
      <c r="BH51" s="2012">
        <f>BF51+BG51*1</f>
        <v>0</v>
      </c>
      <c r="BI51" s="3350">
        <f t="shared" si="75"/>
        <v>0</v>
      </c>
      <c r="BJ51" s="3839"/>
      <c r="BK51" s="2051"/>
      <c r="BL51" s="2043"/>
      <c r="BM51" s="2012">
        <f>BK51+BL51*1</f>
        <v>0</v>
      </c>
      <c r="BN51" s="3350">
        <f t="shared" si="76"/>
        <v>0</v>
      </c>
      <c r="BO51" s="3839"/>
      <c r="BP51" s="2051"/>
      <c r="BQ51" s="2043"/>
      <c r="BR51" s="2012">
        <f>BP51+BQ51*1</f>
        <v>0</v>
      </c>
      <c r="BS51" s="3350">
        <f t="shared" si="77"/>
        <v>0</v>
      </c>
      <c r="BT51" s="3839"/>
      <c r="BU51" s="2051"/>
      <c r="BV51" s="2043"/>
      <c r="BW51" s="2012">
        <f>BU51+BV51*1</f>
        <v>0</v>
      </c>
      <c r="BX51" s="3350">
        <f t="shared" si="78"/>
        <v>0</v>
      </c>
      <c r="BY51" s="3839"/>
      <c r="BZ51" s="2043">
        <f t="shared" ref="BZ51:CA52" si="79">G51+L51+R51+W51+AB51+AG51+AL51+AQ51+AV51+BA51+BF51+BK51+BP51+BU51</f>
        <v>0</v>
      </c>
      <c r="CA51" s="2043">
        <f t="shared" si="79"/>
        <v>0</v>
      </c>
      <c r="CB51" s="2012">
        <f>BZ51+CA51*1</f>
        <v>0</v>
      </c>
      <c r="CC51" s="1976">
        <f t="shared" si="71"/>
        <v>0</v>
      </c>
      <c r="CD51" s="1476"/>
      <c r="CE51" s="916"/>
      <c r="CF51" s="916"/>
    </row>
    <row r="52" spans="1:84" s="1569" customFormat="1" ht="14.4" customHeight="1">
      <c r="A52" s="1568"/>
      <c r="B52" s="3874" t="s">
        <v>61</v>
      </c>
      <c r="C52" s="3815"/>
      <c r="D52" s="3834"/>
      <c r="E52" s="3834">
        <f>C52+D52</f>
        <v>0</v>
      </c>
      <c r="F52" s="3826" t="e">
        <f>E52/$E$89</f>
        <v>#DIV/0!</v>
      </c>
      <c r="G52" s="2043">
        <v>0</v>
      </c>
      <c r="H52" s="2043">
        <v>0</v>
      </c>
      <c r="I52" s="2012">
        <v>0</v>
      </c>
      <c r="J52" s="1587">
        <v>0</v>
      </c>
      <c r="K52" s="1587"/>
      <c r="L52" s="2043">
        <v>0</v>
      </c>
      <c r="M52" s="2043">
        <v>0</v>
      </c>
      <c r="N52" s="2012">
        <f>L52+M52*1</f>
        <v>0</v>
      </c>
      <c r="O52" s="3350">
        <f t="shared" si="6"/>
        <v>0</v>
      </c>
      <c r="P52" s="3827"/>
      <c r="Q52" s="1721"/>
      <c r="R52" s="2043"/>
      <c r="S52" s="2043"/>
      <c r="T52" s="2012">
        <f>R52+S52*1</f>
        <v>0</v>
      </c>
      <c r="U52" s="3350">
        <f>T52/$T$89</f>
        <v>0</v>
      </c>
      <c r="V52" s="3869"/>
      <c r="W52" s="2043"/>
      <c r="X52" s="2043"/>
      <c r="Y52" s="2012">
        <f>W52+X52*1</f>
        <v>0</v>
      </c>
      <c r="Z52" s="3350">
        <f t="shared" si="46"/>
        <v>0</v>
      </c>
      <c r="AA52" s="3827"/>
      <c r="AB52" s="2043"/>
      <c r="AC52" s="2043"/>
      <c r="AD52" s="2012">
        <f>AB52+AC52*1</f>
        <v>0</v>
      </c>
      <c r="AE52" s="3350">
        <f t="shared" si="47"/>
        <v>0</v>
      </c>
      <c r="AF52" s="3827"/>
      <c r="AG52" s="2043"/>
      <c r="AH52" s="2043"/>
      <c r="AI52" s="2012">
        <f>AG52+AH52*1</f>
        <v>0</v>
      </c>
      <c r="AJ52" s="3350" t="e">
        <f t="shared" si="7"/>
        <v>#DIV/0!</v>
      </c>
      <c r="AK52" s="3827"/>
      <c r="AL52" s="2043"/>
      <c r="AM52" s="2043"/>
      <c r="AN52" s="2012">
        <f>AL52+AM52*1</f>
        <v>0</v>
      </c>
      <c r="AO52" s="3350">
        <f t="shared" si="8"/>
        <v>0</v>
      </c>
      <c r="AP52" s="3827"/>
      <c r="AQ52" s="2051"/>
      <c r="AR52" s="2043"/>
      <c r="AS52" s="2012">
        <f>AQ52+AR52*1</f>
        <v>0</v>
      </c>
      <c r="AT52" s="3350" t="e">
        <f t="shared" si="72"/>
        <v>#DIV/0!</v>
      </c>
      <c r="AU52" s="2046"/>
      <c r="AV52" s="2051"/>
      <c r="AW52" s="2043"/>
      <c r="AX52" s="2012">
        <f>AV52+AW52*1</f>
        <v>0</v>
      </c>
      <c r="AY52" s="3350">
        <f t="shared" si="73"/>
        <v>0</v>
      </c>
      <c r="AZ52" s="2046"/>
      <c r="BA52" s="2051"/>
      <c r="BB52" s="2043"/>
      <c r="BC52" s="2012">
        <f>BA52+BB52*1</f>
        <v>0</v>
      </c>
      <c r="BD52" s="3350">
        <f t="shared" si="74"/>
        <v>0</v>
      </c>
      <c r="BE52" s="2046"/>
      <c r="BF52" s="2051"/>
      <c r="BG52" s="2043"/>
      <c r="BH52" s="2012">
        <f>BF52+BG52*1</f>
        <v>0</v>
      </c>
      <c r="BI52" s="3350">
        <f t="shared" si="75"/>
        <v>0</v>
      </c>
      <c r="BJ52" s="2046"/>
      <c r="BK52" s="2051"/>
      <c r="BL52" s="2043"/>
      <c r="BM52" s="2012">
        <f>BK52+BL52*1</f>
        <v>0</v>
      </c>
      <c r="BN52" s="3350">
        <f t="shared" si="76"/>
        <v>0</v>
      </c>
      <c r="BO52" s="2046"/>
      <c r="BP52" s="2051"/>
      <c r="BQ52" s="2043"/>
      <c r="BR52" s="2012">
        <f>BP52+BQ52*1</f>
        <v>0</v>
      </c>
      <c r="BS52" s="3350">
        <f t="shared" si="77"/>
        <v>0</v>
      </c>
      <c r="BT52" s="2046"/>
      <c r="BU52" s="2051"/>
      <c r="BV52" s="2043"/>
      <c r="BW52" s="2012">
        <f>BU52+BV52*1</f>
        <v>0</v>
      </c>
      <c r="BX52" s="3350">
        <f t="shared" si="78"/>
        <v>0</v>
      </c>
      <c r="BY52" s="2046"/>
      <c r="BZ52" s="2043">
        <f t="shared" si="79"/>
        <v>0</v>
      </c>
      <c r="CA52" s="2043">
        <f t="shared" si="79"/>
        <v>0</v>
      </c>
      <c r="CB52" s="2012">
        <f>BZ52+CA52*1</f>
        <v>0</v>
      </c>
      <c r="CC52" s="3350">
        <f t="shared" si="71"/>
        <v>0</v>
      </c>
      <c r="CD52" s="3827"/>
      <c r="CE52" s="930"/>
      <c r="CF52" s="930"/>
    </row>
    <row r="53" spans="1:84" ht="14.4" customHeight="1" thickBot="1">
      <c r="A53" s="1413"/>
      <c r="B53" s="3717"/>
      <c r="C53" s="2841"/>
      <c r="D53" s="2842"/>
      <c r="E53" s="3787"/>
      <c r="F53" s="3840"/>
      <c r="G53" s="2043"/>
      <c r="H53" s="2043"/>
      <c r="I53" s="3302"/>
      <c r="J53" s="1710"/>
      <c r="K53" s="1710"/>
      <c r="L53" s="2043"/>
      <c r="M53" s="2043"/>
      <c r="N53" s="3302"/>
      <c r="O53" s="3302"/>
      <c r="P53" s="3302"/>
      <c r="Q53" s="1722"/>
      <c r="R53" s="2043"/>
      <c r="S53" s="2043"/>
      <c r="T53" s="3302"/>
      <c r="U53" s="3302"/>
      <c r="V53" s="3302"/>
      <c r="W53" s="2043"/>
      <c r="X53" s="2043"/>
      <c r="Y53" s="3302"/>
      <c r="Z53" s="3302"/>
      <c r="AA53" s="3302"/>
      <c r="AB53" s="2043"/>
      <c r="AC53" s="2043"/>
      <c r="AD53" s="3302"/>
      <c r="AE53" s="3302"/>
      <c r="AF53" s="3302"/>
      <c r="AG53" s="2043"/>
      <c r="AH53" s="2043"/>
      <c r="AI53" s="3302"/>
      <c r="AJ53" s="3302"/>
      <c r="AK53" s="3302"/>
      <c r="AL53" s="2043"/>
      <c r="AM53" s="2043"/>
      <c r="AN53" s="3302"/>
      <c r="AO53" s="3302"/>
      <c r="AP53" s="3302"/>
      <c r="AQ53" s="2051"/>
      <c r="AR53" s="2043"/>
      <c r="AS53" s="3302"/>
      <c r="AT53" s="3302"/>
      <c r="AU53" s="3756"/>
      <c r="AV53" s="2051"/>
      <c r="AW53" s="2043"/>
      <c r="AX53" s="3302"/>
      <c r="AY53" s="3302"/>
      <c r="AZ53" s="3756"/>
      <c r="BA53" s="2051"/>
      <c r="BB53" s="2043"/>
      <c r="BC53" s="3302"/>
      <c r="BD53" s="3302"/>
      <c r="BE53" s="3756"/>
      <c r="BF53" s="2051"/>
      <c r="BG53" s="2043"/>
      <c r="BH53" s="3302"/>
      <c r="BI53" s="3302"/>
      <c r="BJ53" s="3756"/>
      <c r="BK53" s="2051"/>
      <c r="BL53" s="2043"/>
      <c r="BM53" s="3302"/>
      <c r="BN53" s="3302"/>
      <c r="BO53" s="3756"/>
      <c r="BP53" s="2051"/>
      <c r="BQ53" s="2043"/>
      <c r="BR53" s="3302"/>
      <c r="BS53" s="3302"/>
      <c r="BT53" s="3756"/>
      <c r="BU53" s="2051"/>
      <c r="BV53" s="2043"/>
      <c r="BW53" s="3302"/>
      <c r="BX53" s="3302"/>
      <c r="BY53" s="3756"/>
      <c r="BZ53" s="2043"/>
      <c r="CA53" s="2043"/>
      <c r="CB53" s="3302"/>
      <c r="CC53" s="3302"/>
      <c r="CD53" s="3302"/>
    </row>
    <row r="54" spans="1:84" ht="14.4" customHeight="1" thickBot="1">
      <c r="A54" s="980"/>
      <c r="B54" s="1003" t="s">
        <v>1</v>
      </c>
      <c r="C54" s="1584">
        <f>SUM(C55:C71)</f>
        <v>0</v>
      </c>
      <c r="D54" s="1584">
        <f>SUM(D55:D71)</f>
        <v>0</v>
      </c>
      <c r="E54" s="843">
        <f>SUM(E55:E71)</f>
        <v>0</v>
      </c>
      <c r="F54" s="838" t="e">
        <f>E54/$E$89</f>
        <v>#DIV/0!</v>
      </c>
      <c r="G54" s="1584">
        <v>138304.07999999999</v>
      </c>
      <c r="H54" s="1584">
        <v>153225.25</v>
      </c>
      <c r="I54" s="1584">
        <v>291529.33</v>
      </c>
      <c r="J54" s="969">
        <v>3.6652279156133311E-2</v>
      </c>
      <c r="K54" s="969"/>
      <c r="L54" s="2015">
        <f>SUM(L55:L72)</f>
        <v>91195.19</v>
      </c>
      <c r="M54" s="2015">
        <f>SUM(M55:M72)</f>
        <v>33540.400000000001</v>
      </c>
      <c r="N54" s="2015">
        <f>SUM(N55:N72)</f>
        <v>124735.59</v>
      </c>
      <c r="O54" s="3378">
        <f t="shared" si="6"/>
        <v>3.3365049384001623E-2</v>
      </c>
      <c r="P54" s="2006"/>
      <c r="Q54" s="2546"/>
      <c r="R54" s="1584">
        <f>SUM(R55:R72)</f>
        <v>0</v>
      </c>
      <c r="S54" s="1584">
        <f>SUM(S55:S72)</f>
        <v>0</v>
      </c>
      <c r="T54" s="1584">
        <f>SUM(T55:T72)</f>
        <v>0</v>
      </c>
      <c r="U54" s="838">
        <f t="shared" ref="U54:U72" si="80">T54/$T$89</f>
        <v>0</v>
      </c>
      <c r="V54" s="1737"/>
      <c r="W54" s="2015">
        <f>SUM(W55:W72)</f>
        <v>0</v>
      </c>
      <c r="X54" s="2015">
        <f>SUM(X55:X72)</f>
        <v>0</v>
      </c>
      <c r="Y54" s="2015">
        <f>SUM(Y55:Y72)</f>
        <v>0</v>
      </c>
      <c r="Z54" s="3378">
        <f t="shared" ref="Z54:Z72" si="81">Y54/$Y$89</f>
        <v>0</v>
      </c>
      <c r="AA54" s="2006"/>
      <c r="AB54" s="2015">
        <f>SUM(AB55:AB72)</f>
        <v>0</v>
      </c>
      <c r="AC54" s="2015">
        <f>SUM(AC55:AC72)</f>
        <v>0</v>
      </c>
      <c r="AD54" s="2015">
        <f>SUM(AD55:AD72)</f>
        <v>0</v>
      </c>
      <c r="AE54" s="3378">
        <f t="shared" ref="AE54:AE72" si="82">AD54/$AD$89</f>
        <v>0</v>
      </c>
      <c r="AF54" s="2006"/>
      <c r="AG54" s="2015">
        <f>SUM(AG55:AG72)</f>
        <v>0</v>
      </c>
      <c r="AH54" s="2015">
        <f>SUM(AH55:AH72)</f>
        <v>0</v>
      </c>
      <c r="AI54" s="2015">
        <f>SUM(AI55:AI72)</f>
        <v>0</v>
      </c>
      <c r="AJ54" s="3378" t="e">
        <f t="shared" si="7"/>
        <v>#DIV/0!</v>
      </c>
      <c r="AK54" s="2006"/>
      <c r="AL54" s="2015">
        <f>SUM(AL55:AL72)</f>
        <v>0</v>
      </c>
      <c r="AM54" s="2015">
        <f>SUM(AM55:AM72)</f>
        <v>0</v>
      </c>
      <c r="AN54" s="2015">
        <f>SUM(AN55:AN72)</f>
        <v>0</v>
      </c>
      <c r="AO54" s="3378">
        <f t="shared" si="8"/>
        <v>0</v>
      </c>
      <c r="AP54" s="2006"/>
      <c r="AQ54" s="2015">
        <f>SUM(AQ55:AQ72)</f>
        <v>0</v>
      </c>
      <c r="AR54" s="2015">
        <f>SUM(AR55:AR72)</f>
        <v>0</v>
      </c>
      <c r="AS54" s="2015">
        <f>SUM(AS55:AS72)</f>
        <v>0</v>
      </c>
      <c r="AT54" s="3378" t="e">
        <f t="shared" ref="AT54:AT71" si="83">AS54/AS$89</f>
        <v>#DIV/0!</v>
      </c>
      <c r="AU54" s="1984"/>
      <c r="AV54" s="2015">
        <f>SUM(AV55:AV72)</f>
        <v>0</v>
      </c>
      <c r="AW54" s="2015">
        <f>SUM(AW55:AW72)</f>
        <v>0</v>
      </c>
      <c r="AX54" s="2015">
        <f>SUM(AX55:AX72)</f>
        <v>0</v>
      </c>
      <c r="AY54" s="3378">
        <f t="shared" ref="AY54:AY71" si="84">AX54/AX$89</f>
        <v>0</v>
      </c>
      <c r="AZ54" s="1984"/>
      <c r="BA54" s="2015">
        <f>SUM(BA55:BA72)</f>
        <v>0</v>
      </c>
      <c r="BB54" s="2015">
        <f>SUM(BB55:BB72)</f>
        <v>0</v>
      </c>
      <c r="BC54" s="2015">
        <f>SUM(BC55:BC72)</f>
        <v>0</v>
      </c>
      <c r="BD54" s="3378">
        <f t="shared" ref="BD54:BD71" si="85">BC54/BC$89</f>
        <v>0</v>
      </c>
      <c r="BE54" s="1984"/>
      <c r="BF54" s="2015">
        <f>SUM(BF55:BF72)</f>
        <v>0</v>
      </c>
      <c r="BG54" s="2015">
        <f>SUM(BG55:BG72)</f>
        <v>0</v>
      </c>
      <c r="BH54" s="2015">
        <f>SUM(BH55:BH72)</f>
        <v>0</v>
      </c>
      <c r="BI54" s="3378">
        <f t="shared" ref="BI54:BI71" si="86">BH54/BH$89</f>
        <v>0</v>
      </c>
      <c r="BJ54" s="1984"/>
      <c r="BK54" s="2015">
        <f>SUM(BK55:BK72)</f>
        <v>0</v>
      </c>
      <c r="BL54" s="2015">
        <f>SUM(BL55:BL72)</f>
        <v>0</v>
      </c>
      <c r="BM54" s="2015">
        <f>SUM(BM55:BM72)</f>
        <v>0</v>
      </c>
      <c r="BN54" s="3378">
        <f t="shared" ref="BN54:BN71" si="87">BM54/BM$89</f>
        <v>0</v>
      </c>
      <c r="BO54" s="1984"/>
      <c r="BP54" s="2015">
        <f>SUM(BP55:BP72)</f>
        <v>0</v>
      </c>
      <c r="BQ54" s="2015">
        <f>SUM(BQ55:BQ72)</f>
        <v>0</v>
      </c>
      <c r="BR54" s="2015">
        <f>SUM(BR55:BR72)</f>
        <v>0</v>
      </c>
      <c r="BS54" s="3378">
        <f t="shared" ref="BS54:BS71" si="88">BR54/BR$89</f>
        <v>0</v>
      </c>
      <c r="BT54" s="1984"/>
      <c r="BU54" s="2015">
        <f>SUM(BU55:BU72)</f>
        <v>0</v>
      </c>
      <c r="BV54" s="2015">
        <f>SUM(BV55:BV72)</f>
        <v>0</v>
      </c>
      <c r="BW54" s="2015">
        <f>SUM(BW55:BW72)</f>
        <v>0</v>
      </c>
      <c r="BX54" s="3378">
        <f t="shared" ref="BX54:BX71" si="89">BW54/BW$89</f>
        <v>0</v>
      </c>
      <c r="BY54" s="1984"/>
      <c r="BZ54" s="1584">
        <f>SUM(BZ55:BZ72)</f>
        <v>229499.27</v>
      </c>
      <c r="CA54" s="1584">
        <f>SUM(CA55:CA72)</f>
        <v>186765.65</v>
      </c>
      <c r="CB54" s="1584">
        <f>SUM(CB55:CB72)</f>
        <v>416264.92000000004</v>
      </c>
      <c r="CC54" s="838">
        <f t="shared" si="71"/>
        <v>1.2595444216713679E-2</v>
      </c>
      <c r="CD54" s="1688"/>
    </row>
    <row r="55" spans="1:84" ht="14.4" customHeight="1">
      <c r="A55" s="1571"/>
      <c r="B55" s="1155" t="s">
        <v>77</v>
      </c>
      <c r="C55" s="1486"/>
      <c r="D55" s="1156"/>
      <c r="E55" s="2012">
        <f t="shared" ref="E55:E71" si="90">C55+D55</f>
        <v>0</v>
      </c>
      <c r="F55" s="1976" t="e">
        <f>E55/$E$89</f>
        <v>#DIV/0!</v>
      </c>
      <c r="G55" s="2045">
        <v>0</v>
      </c>
      <c r="H55" s="2045">
        <v>0</v>
      </c>
      <c r="I55" s="2012">
        <v>0</v>
      </c>
      <c r="J55" s="1976">
        <v>0</v>
      </c>
      <c r="K55" s="1976"/>
      <c r="L55" s="2045">
        <v>0</v>
      </c>
      <c r="M55" s="2045">
        <v>0</v>
      </c>
      <c r="N55" s="2012">
        <f t="shared" ref="N55:N71" si="91">L55+M55*1</f>
        <v>0</v>
      </c>
      <c r="O55" s="3350">
        <f t="shared" si="6"/>
        <v>0</v>
      </c>
      <c r="P55" s="3360"/>
      <c r="Q55" s="1986"/>
      <c r="R55" s="2045"/>
      <c r="S55" s="2045"/>
      <c r="T55" s="2012">
        <f t="shared" ref="T55:T71" si="92">R55+S55*1</f>
        <v>0</v>
      </c>
      <c r="U55" s="1976">
        <f t="shared" si="80"/>
        <v>0</v>
      </c>
      <c r="V55" s="1593"/>
      <c r="W55" s="2045"/>
      <c r="X55" s="2045"/>
      <c r="Y55" s="2012">
        <f t="shared" ref="Y55:Y71" si="93">W55+X55*1</f>
        <v>0</v>
      </c>
      <c r="Z55" s="3350">
        <f t="shared" si="81"/>
        <v>0</v>
      </c>
      <c r="AA55" s="3360"/>
      <c r="AB55" s="2045"/>
      <c r="AC55" s="2045"/>
      <c r="AD55" s="2012">
        <f t="shared" ref="AD55:AD71" si="94">AB55+AC55*1</f>
        <v>0</v>
      </c>
      <c r="AE55" s="3350">
        <f t="shared" si="82"/>
        <v>0</v>
      </c>
      <c r="AF55" s="3360"/>
      <c r="AG55" s="2045"/>
      <c r="AH55" s="2045"/>
      <c r="AI55" s="2012">
        <f t="shared" ref="AI55:AI71" si="95">AG55+AH55*1</f>
        <v>0</v>
      </c>
      <c r="AJ55" s="3350" t="e">
        <f t="shared" si="7"/>
        <v>#DIV/0!</v>
      </c>
      <c r="AK55" s="3360"/>
      <c r="AL55" s="2045"/>
      <c r="AM55" s="2045"/>
      <c r="AN55" s="2012">
        <f t="shared" ref="AN55:AN71" si="96">AL55+AM55*1</f>
        <v>0</v>
      </c>
      <c r="AO55" s="3350">
        <f t="shared" si="8"/>
        <v>0</v>
      </c>
      <c r="AP55" s="3360"/>
      <c r="AQ55" s="2011"/>
      <c r="AR55" s="2045"/>
      <c r="AS55" s="2012">
        <f t="shared" ref="AS55:AS62" si="97">AQ55+AR55*1</f>
        <v>0</v>
      </c>
      <c r="AT55" s="3350" t="e">
        <f t="shared" si="83"/>
        <v>#DIV/0!</v>
      </c>
      <c r="AU55" s="2046"/>
      <c r="AV55" s="2011"/>
      <c r="AW55" s="2045"/>
      <c r="AX55" s="2012">
        <f t="shared" ref="AX55:AX62" si="98">AV55+AW55*1</f>
        <v>0</v>
      </c>
      <c r="AY55" s="3350">
        <f t="shared" si="84"/>
        <v>0</v>
      </c>
      <c r="AZ55" s="2046"/>
      <c r="BA55" s="2011"/>
      <c r="BB55" s="2045"/>
      <c r="BC55" s="2012">
        <f t="shared" ref="BC55:BC62" si="99">BA55+BB55*1</f>
        <v>0</v>
      </c>
      <c r="BD55" s="3350">
        <f t="shared" si="85"/>
        <v>0</v>
      </c>
      <c r="BE55" s="2046"/>
      <c r="BF55" s="2011"/>
      <c r="BG55" s="2045"/>
      <c r="BH55" s="2012">
        <f t="shared" ref="BH55:BH62" si="100">BF55+BG55*1</f>
        <v>0</v>
      </c>
      <c r="BI55" s="3350">
        <f t="shared" si="86"/>
        <v>0</v>
      </c>
      <c r="BJ55" s="2046"/>
      <c r="BK55" s="2011"/>
      <c r="BL55" s="2045"/>
      <c r="BM55" s="2012">
        <f t="shared" ref="BM55:BM62" si="101">BK55+BL55*1</f>
        <v>0</v>
      </c>
      <c r="BN55" s="3350">
        <f t="shared" si="87"/>
        <v>0</v>
      </c>
      <c r="BO55" s="2046"/>
      <c r="BP55" s="2011"/>
      <c r="BQ55" s="2045"/>
      <c r="BR55" s="2012">
        <f t="shared" ref="BR55:BR62" si="102">BP55+BQ55*1</f>
        <v>0</v>
      </c>
      <c r="BS55" s="3350">
        <f t="shared" si="88"/>
        <v>0</v>
      </c>
      <c r="BT55" s="2046"/>
      <c r="BU55" s="2011"/>
      <c r="BV55" s="2045"/>
      <c r="BW55" s="2012">
        <f t="shared" ref="BW55:BW62" si="103">BU55+BV55*1</f>
        <v>0</v>
      </c>
      <c r="BX55" s="3350">
        <f t="shared" si="89"/>
        <v>0</v>
      </c>
      <c r="BY55" s="2046"/>
      <c r="BZ55" s="2043">
        <f t="shared" ref="BZ55:CA71" si="104">G55+L55+R55+W55+AB55+AG55+AL55+AQ55+AV55+BA55+BF55+BK55+BP55+BU55</f>
        <v>0</v>
      </c>
      <c r="CA55" s="2043">
        <f t="shared" si="104"/>
        <v>0</v>
      </c>
      <c r="CB55" s="2012">
        <f t="shared" ref="CB55:CB71" si="105">BZ55+CA55*1</f>
        <v>0</v>
      </c>
      <c r="CC55" s="1976">
        <f t="shared" si="71"/>
        <v>0</v>
      </c>
      <c r="CD55" s="1434"/>
    </row>
    <row r="56" spans="1:84" ht="14.4" customHeight="1">
      <c r="A56" s="1571"/>
      <c r="B56" s="3868" t="s">
        <v>76</v>
      </c>
      <c r="C56" s="3815"/>
      <c r="D56" s="3841"/>
      <c r="E56" s="3463">
        <f t="shared" si="90"/>
        <v>0</v>
      </c>
      <c r="F56" s="3350" t="e">
        <f t="shared" ref="F56:F72" si="106">E56/$E$89</f>
        <v>#DIV/0!</v>
      </c>
      <c r="G56" s="2045">
        <v>0</v>
      </c>
      <c r="H56" s="2045">
        <v>0</v>
      </c>
      <c r="I56" s="2012">
        <v>0</v>
      </c>
      <c r="J56" s="1976">
        <v>0</v>
      </c>
      <c r="K56" s="1976"/>
      <c r="L56" s="2045">
        <v>0</v>
      </c>
      <c r="M56" s="2045">
        <v>0</v>
      </c>
      <c r="N56" s="2012">
        <f t="shared" si="91"/>
        <v>0</v>
      </c>
      <c r="O56" s="3350">
        <f t="shared" si="6"/>
        <v>0</v>
      </c>
      <c r="P56" s="3360"/>
      <c r="Q56" s="1986"/>
      <c r="R56" s="2045"/>
      <c r="S56" s="2045"/>
      <c r="T56" s="2012">
        <f t="shared" si="92"/>
        <v>0</v>
      </c>
      <c r="U56" s="3350">
        <f t="shared" si="80"/>
        <v>0</v>
      </c>
      <c r="V56" s="3361"/>
      <c r="W56" s="2045"/>
      <c r="X56" s="2045"/>
      <c r="Y56" s="2012">
        <f t="shared" si="93"/>
        <v>0</v>
      </c>
      <c r="Z56" s="3350">
        <f t="shared" si="81"/>
        <v>0</v>
      </c>
      <c r="AA56" s="3360"/>
      <c r="AB56" s="2045"/>
      <c r="AC56" s="2045"/>
      <c r="AD56" s="2012">
        <f t="shared" si="94"/>
        <v>0</v>
      </c>
      <c r="AE56" s="3350">
        <f t="shared" si="82"/>
        <v>0</v>
      </c>
      <c r="AF56" s="3360"/>
      <c r="AG56" s="2045"/>
      <c r="AH56" s="2045"/>
      <c r="AI56" s="2012">
        <f t="shared" si="95"/>
        <v>0</v>
      </c>
      <c r="AJ56" s="3350" t="e">
        <f t="shared" si="7"/>
        <v>#DIV/0!</v>
      </c>
      <c r="AK56" s="3360"/>
      <c r="AL56" s="2045"/>
      <c r="AM56" s="2045"/>
      <c r="AN56" s="2012">
        <f t="shared" si="96"/>
        <v>0</v>
      </c>
      <c r="AO56" s="3350">
        <f t="shared" si="8"/>
        <v>0</v>
      </c>
      <c r="AP56" s="3360"/>
      <c r="AQ56" s="2011"/>
      <c r="AR56" s="2045"/>
      <c r="AS56" s="2012">
        <f t="shared" si="97"/>
        <v>0</v>
      </c>
      <c r="AT56" s="3350" t="e">
        <f t="shared" si="83"/>
        <v>#DIV/0!</v>
      </c>
      <c r="AU56" s="2046"/>
      <c r="AV56" s="2011"/>
      <c r="AW56" s="2045"/>
      <c r="AX56" s="2012">
        <f t="shared" si="98"/>
        <v>0</v>
      </c>
      <c r="AY56" s="3350">
        <f t="shared" si="84"/>
        <v>0</v>
      </c>
      <c r="AZ56" s="2046"/>
      <c r="BA56" s="2011"/>
      <c r="BB56" s="2045"/>
      <c r="BC56" s="2012">
        <f t="shared" si="99"/>
        <v>0</v>
      </c>
      <c r="BD56" s="3350">
        <f t="shared" si="85"/>
        <v>0</v>
      </c>
      <c r="BE56" s="2046"/>
      <c r="BF56" s="2011"/>
      <c r="BG56" s="2045"/>
      <c r="BH56" s="2012">
        <f t="shared" si="100"/>
        <v>0</v>
      </c>
      <c r="BI56" s="3350">
        <f t="shared" si="86"/>
        <v>0</v>
      </c>
      <c r="BJ56" s="2046"/>
      <c r="BK56" s="2011"/>
      <c r="BL56" s="2045"/>
      <c r="BM56" s="2012">
        <f t="shared" si="101"/>
        <v>0</v>
      </c>
      <c r="BN56" s="3350">
        <f t="shared" si="87"/>
        <v>0</v>
      </c>
      <c r="BO56" s="2046"/>
      <c r="BP56" s="2011"/>
      <c r="BQ56" s="2045"/>
      <c r="BR56" s="2012">
        <f t="shared" si="102"/>
        <v>0</v>
      </c>
      <c r="BS56" s="3350">
        <f t="shared" si="88"/>
        <v>0</v>
      </c>
      <c r="BT56" s="2046"/>
      <c r="BU56" s="2011"/>
      <c r="BV56" s="2045"/>
      <c r="BW56" s="2012">
        <f t="shared" si="103"/>
        <v>0</v>
      </c>
      <c r="BX56" s="3350">
        <f t="shared" si="89"/>
        <v>0</v>
      </c>
      <c r="BY56" s="2046"/>
      <c r="BZ56" s="2043">
        <f t="shared" si="104"/>
        <v>0</v>
      </c>
      <c r="CA56" s="2043">
        <f t="shared" si="104"/>
        <v>0</v>
      </c>
      <c r="CB56" s="2012">
        <f t="shared" si="105"/>
        <v>0</v>
      </c>
      <c r="CC56" s="3350">
        <f t="shared" si="71"/>
        <v>0</v>
      </c>
      <c r="CD56" s="3360"/>
    </row>
    <row r="57" spans="1:84" ht="14.4" customHeight="1">
      <c r="A57" s="1571"/>
      <c r="B57" s="3877" t="s">
        <v>68</v>
      </c>
      <c r="C57" s="3815"/>
      <c r="D57" s="3841"/>
      <c r="E57" s="3463">
        <f t="shared" si="90"/>
        <v>0</v>
      </c>
      <c r="F57" s="3350" t="e">
        <f t="shared" si="106"/>
        <v>#DIV/0!</v>
      </c>
      <c r="G57" s="2045">
        <v>0</v>
      </c>
      <c r="H57" s="2045">
        <v>0</v>
      </c>
      <c r="I57" s="2012">
        <v>0</v>
      </c>
      <c r="J57" s="1976">
        <v>0</v>
      </c>
      <c r="K57" s="1976"/>
      <c r="L57" s="2045">
        <v>0</v>
      </c>
      <c r="M57" s="2045">
        <v>0</v>
      </c>
      <c r="N57" s="2012">
        <f t="shared" si="91"/>
        <v>0</v>
      </c>
      <c r="O57" s="3350">
        <f t="shared" si="6"/>
        <v>0</v>
      </c>
      <c r="P57" s="3859"/>
      <c r="Q57" s="1986"/>
      <c r="R57" s="2045"/>
      <c r="S57" s="2045"/>
      <c r="T57" s="2012">
        <f t="shared" si="92"/>
        <v>0</v>
      </c>
      <c r="U57" s="3350">
        <f t="shared" si="80"/>
        <v>0</v>
      </c>
      <c r="V57" s="3361"/>
      <c r="W57" s="2045"/>
      <c r="X57" s="2045"/>
      <c r="Y57" s="2012">
        <f t="shared" si="93"/>
        <v>0</v>
      </c>
      <c r="Z57" s="3350">
        <f t="shared" si="81"/>
        <v>0</v>
      </c>
      <c r="AA57" s="3859"/>
      <c r="AB57" s="2045"/>
      <c r="AC57" s="2045"/>
      <c r="AD57" s="2012">
        <f t="shared" si="94"/>
        <v>0</v>
      </c>
      <c r="AE57" s="3350">
        <f t="shared" si="82"/>
        <v>0</v>
      </c>
      <c r="AF57" s="3859"/>
      <c r="AG57" s="2045"/>
      <c r="AH57" s="2045"/>
      <c r="AI57" s="2012">
        <f t="shared" si="95"/>
        <v>0</v>
      </c>
      <c r="AJ57" s="3350" t="e">
        <f t="shared" si="7"/>
        <v>#DIV/0!</v>
      </c>
      <c r="AK57" s="3859"/>
      <c r="AL57" s="2045"/>
      <c r="AM57" s="2045"/>
      <c r="AN57" s="2012">
        <f t="shared" si="96"/>
        <v>0</v>
      </c>
      <c r="AO57" s="3350">
        <f t="shared" si="8"/>
        <v>0</v>
      </c>
      <c r="AP57" s="3859"/>
      <c r="AQ57" s="2011"/>
      <c r="AR57" s="2045"/>
      <c r="AS57" s="2012">
        <f t="shared" si="97"/>
        <v>0</v>
      </c>
      <c r="AT57" s="3350" t="e">
        <f t="shared" si="83"/>
        <v>#DIV/0!</v>
      </c>
      <c r="AU57" s="2046"/>
      <c r="AV57" s="2011"/>
      <c r="AW57" s="2045"/>
      <c r="AX57" s="2012">
        <f t="shared" si="98"/>
        <v>0</v>
      </c>
      <c r="AY57" s="3350">
        <f t="shared" si="84"/>
        <v>0</v>
      </c>
      <c r="AZ57" s="2046"/>
      <c r="BA57" s="2011"/>
      <c r="BB57" s="2045"/>
      <c r="BC57" s="2012">
        <f t="shared" si="99"/>
        <v>0</v>
      </c>
      <c r="BD57" s="3350">
        <f t="shared" si="85"/>
        <v>0</v>
      </c>
      <c r="BE57" s="2046"/>
      <c r="BF57" s="2011"/>
      <c r="BG57" s="2045"/>
      <c r="BH57" s="2012">
        <f t="shared" si="100"/>
        <v>0</v>
      </c>
      <c r="BI57" s="3350">
        <f t="shared" si="86"/>
        <v>0</v>
      </c>
      <c r="BJ57" s="2046"/>
      <c r="BK57" s="2011"/>
      <c r="BL57" s="2045"/>
      <c r="BM57" s="2012">
        <f t="shared" si="101"/>
        <v>0</v>
      </c>
      <c r="BN57" s="3350">
        <f t="shared" si="87"/>
        <v>0</v>
      </c>
      <c r="BO57" s="2046"/>
      <c r="BP57" s="2011"/>
      <c r="BQ57" s="2045"/>
      <c r="BR57" s="2012">
        <f t="shared" si="102"/>
        <v>0</v>
      </c>
      <c r="BS57" s="3350">
        <f t="shared" si="88"/>
        <v>0</v>
      </c>
      <c r="BT57" s="2046"/>
      <c r="BU57" s="2011"/>
      <c r="BV57" s="2045"/>
      <c r="BW57" s="2012">
        <f t="shared" si="103"/>
        <v>0</v>
      </c>
      <c r="BX57" s="3350">
        <f t="shared" si="89"/>
        <v>0</v>
      </c>
      <c r="BY57" s="2046"/>
      <c r="BZ57" s="2043">
        <f t="shared" si="104"/>
        <v>0</v>
      </c>
      <c r="CA57" s="2043">
        <f t="shared" si="104"/>
        <v>0</v>
      </c>
      <c r="CB57" s="2012">
        <f t="shared" si="105"/>
        <v>0</v>
      </c>
      <c r="CC57" s="3350">
        <f t="shared" si="71"/>
        <v>0</v>
      </c>
      <c r="CD57" s="3360"/>
    </row>
    <row r="58" spans="1:84" ht="14.4" customHeight="1">
      <c r="A58" s="1571"/>
      <c r="B58" s="3877" t="s">
        <v>67</v>
      </c>
      <c r="C58" s="3815"/>
      <c r="D58" s="3841"/>
      <c r="E58" s="3463">
        <f t="shared" si="90"/>
        <v>0</v>
      </c>
      <c r="F58" s="3350" t="e">
        <f t="shared" si="106"/>
        <v>#DIV/0!</v>
      </c>
      <c r="G58" s="2045">
        <v>53935</v>
      </c>
      <c r="H58" s="2045">
        <v>133398</v>
      </c>
      <c r="I58" s="2012">
        <v>187333</v>
      </c>
      <c r="J58" s="1976">
        <v>2.3552283439734593E-2</v>
      </c>
      <c r="K58" s="1976"/>
      <c r="L58" s="2045">
        <v>43734</v>
      </c>
      <c r="M58" s="2045">
        <v>29213</v>
      </c>
      <c r="N58" s="2012">
        <f t="shared" si="91"/>
        <v>72947</v>
      </c>
      <c r="O58" s="3350">
        <f t="shared" si="6"/>
        <v>1.9512316071257339E-2</v>
      </c>
      <c r="P58" s="3859"/>
      <c r="Q58" s="1986"/>
      <c r="R58" s="2045"/>
      <c r="S58" s="2045"/>
      <c r="T58" s="2012">
        <f t="shared" si="92"/>
        <v>0</v>
      </c>
      <c r="U58" s="3350">
        <f t="shared" si="80"/>
        <v>0</v>
      </c>
      <c r="V58" s="3534"/>
      <c r="W58" s="2045"/>
      <c r="X58" s="2045"/>
      <c r="Y58" s="2012">
        <f t="shared" si="93"/>
        <v>0</v>
      </c>
      <c r="Z58" s="3350">
        <f t="shared" si="81"/>
        <v>0</v>
      </c>
      <c r="AA58" s="3859"/>
      <c r="AB58" s="2045"/>
      <c r="AC58" s="2045"/>
      <c r="AD58" s="2012">
        <f t="shared" si="94"/>
        <v>0</v>
      </c>
      <c r="AE58" s="3350">
        <f t="shared" si="82"/>
        <v>0</v>
      </c>
      <c r="AF58" s="3859"/>
      <c r="AG58" s="2045"/>
      <c r="AH58" s="2045"/>
      <c r="AI58" s="2012">
        <f t="shared" si="95"/>
        <v>0</v>
      </c>
      <c r="AJ58" s="3350" t="e">
        <f t="shared" si="7"/>
        <v>#DIV/0!</v>
      </c>
      <c r="AK58" s="3859"/>
      <c r="AL58" s="2045"/>
      <c r="AM58" s="2045"/>
      <c r="AN58" s="2012">
        <f t="shared" si="96"/>
        <v>0</v>
      </c>
      <c r="AO58" s="3350">
        <f t="shared" si="8"/>
        <v>0</v>
      </c>
      <c r="AP58" s="3859"/>
      <c r="AQ58" s="2011"/>
      <c r="AR58" s="2045"/>
      <c r="AS58" s="2012">
        <f t="shared" si="97"/>
        <v>0</v>
      </c>
      <c r="AT58" s="3350" t="e">
        <f t="shared" si="83"/>
        <v>#DIV/0!</v>
      </c>
      <c r="AU58" s="2046"/>
      <c r="AV58" s="2011"/>
      <c r="AW58" s="2045"/>
      <c r="AX58" s="2012">
        <f t="shared" si="98"/>
        <v>0</v>
      </c>
      <c r="AY58" s="3350">
        <f t="shared" si="84"/>
        <v>0</v>
      </c>
      <c r="AZ58" s="2046"/>
      <c r="BA58" s="2011"/>
      <c r="BB58" s="2045"/>
      <c r="BC58" s="2012">
        <f t="shared" si="99"/>
        <v>0</v>
      </c>
      <c r="BD58" s="3350">
        <f t="shared" si="85"/>
        <v>0</v>
      </c>
      <c r="BE58" s="2046"/>
      <c r="BF58" s="2011"/>
      <c r="BG58" s="2045"/>
      <c r="BH58" s="2012">
        <f t="shared" si="100"/>
        <v>0</v>
      </c>
      <c r="BI58" s="3350">
        <f t="shared" si="86"/>
        <v>0</v>
      </c>
      <c r="BJ58" s="2046"/>
      <c r="BK58" s="2011"/>
      <c r="BL58" s="2045"/>
      <c r="BM58" s="2012">
        <f t="shared" si="101"/>
        <v>0</v>
      </c>
      <c r="BN58" s="3350">
        <f t="shared" si="87"/>
        <v>0</v>
      </c>
      <c r="BO58" s="2046"/>
      <c r="BP58" s="2011"/>
      <c r="BQ58" s="2045"/>
      <c r="BR58" s="2012">
        <f t="shared" si="102"/>
        <v>0</v>
      </c>
      <c r="BS58" s="3350">
        <f t="shared" si="88"/>
        <v>0</v>
      </c>
      <c r="BT58" s="2046"/>
      <c r="BU58" s="2011"/>
      <c r="BV58" s="2045"/>
      <c r="BW58" s="2012">
        <f t="shared" si="103"/>
        <v>0</v>
      </c>
      <c r="BX58" s="3350">
        <f t="shared" si="89"/>
        <v>0</v>
      </c>
      <c r="BY58" s="2046"/>
      <c r="BZ58" s="2043">
        <f t="shared" si="104"/>
        <v>97669</v>
      </c>
      <c r="CA58" s="2043">
        <f t="shared" si="104"/>
        <v>162611</v>
      </c>
      <c r="CB58" s="2012">
        <f t="shared" si="105"/>
        <v>260280</v>
      </c>
      <c r="CC58" s="3350">
        <f t="shared" si="71"/>
        <v>7.8756149346580449E-3</v>
      </c>
      <c r="CD58" s="3360"/>
    </row>
    <row r="59" spans="1:84" ht="14.4" customHeight="1">
      <c r="A59" s="1571"/>
      <c r="B59" s="3877" t="s">
        <v>66</v>
      </c>
      <c r="C59" s="3815"/>
      <c r="D59" s="3841"/>
      <c r="E59" s="3463">
        <f t="shared" si="90"/>
        <v>0</v>
      </c>
      <c r="F59" s="3350" t="e">
        <f t="shared" si="106"/>
        <v>#DIV/0!</v>
      </c>
      <c r="G59" s="2045">
        <v>13065</v>
      </c>
      <c r="H59" s="2045">
        <v>0</v>
      </c>
      <c r="I59" s="2012">
        <v>13065</v>
      </c>
      <c r="J59" s="1976">
        <v>1.6425861067731391E-3</v>
      </c>
      <c r="K59" s="1976"/>
      <c r="L59" s="2045">
        <v>5749.45</v>
      </c>
      <c r="M59" s="2045">
        <v>0</v>
      </c>
      <c r="N59" s="2012">
        <f t="shared" si="91"/>
        <v>5749.45</v>
      </c>
      <c r="O59" s="3350">
        <f t="shared" si="6"/>
        <v>1.5378985514947908E-3</v>
      </c>
      <c r="P59" s="3859"/>
      <c r="Q59" s="1986"/>
      <c r="R59" s="2045"/>
      <c r="S59" s="2045"/>
      <c r="T59" s="2012">
        <f t="shared" si="92"/>
        <v>0</v>
      </c>
      <c r="U59" s="3350">
        <f t="shared" si="80"/>
        <v>0</v>
      </c>
      <c r="V59" s="3361"/>
      <c r="W59" s="2045"/>
      <c r="X59" s="2045"/>
      <c r="Y59" s="2012">
        <f t="shared" si="93"/>
        <v>0</v>
      </c>
      <c r="Z59" s="3350">
        <f t="shared" si="81"/>
        <v>0</v>
      </c>
      <c r="AA59" s="3859"/>
      <c r="AB59" s="2045"/>
      <c r="AC59" s="2045"/>
      <c r="AD59" s="2012">
        <f t="shared" si="94"/>
        <v>0</v>
      </c>
      <c r="AE59" s="3350">
        <f t="shared" si="82"/>
        <v>0</v>
      </c>
      <c r="AF59" s="3859"/>
      <c r="AG59" s="2045"/>
      <c r="AH59" s="2045"/>
      <c r="AI59" s="2012">
        <f t="shared" si="95"/>
        <v>0</v>
      </c>
      <c r="AJ59" s="3350" t="e">
        <f t="shared" si="7"/>
        <v>#DIV/0!</v>
      </c>
      <c r="AK59" s="3859"/>
      <c r="AL59" s="2045"/>
      <c r="AM59" s="2045"/>
      <c r="AN59" s="2012">
        <f t="shared" si="96"/>
        <v>0</v>
      </c>
      <c r="AO59" s="3350">
        <f t="shared" si="8"/>
        <v>0</v>
      </c>
      <c r="AP59" s="3859"/>
      <c r="AQ59" s="2011"/>
      <c r="AR59" s="2045"/>
      <c r="AS59" s="2012">
        <f t="shared" si="97"/>
        <v>0</v>
      </c>
      <c r="AT59" s="3350" t="e">
        <f t="shared" si="83"/>
        <v>#DIV/0!</v>
      </c>
      <c r="AU59" s="2046"/>
      <c r="AV59" s="2011"/>
      <c r="AW59" s="2045"/>
      <c r="AX59" s="2012">
        <f t="shared" si="98"/>
        <v>0</v>
      </c>
      <c r="AY59" s="3350">
        <f t="shared" si="84"/>
        <v>0</v>
      </c>
      <c r="AZ59" s="2046"/>
      <c r="BA59" s="2011"/>
      <c r="BB59" s="2045"/>
      <c r="BC59" s="2012">
        <f t="shared" si="99"/>
        <v>0</v>
      </c>
      <c r="BD59" s="3350">
        <f t="shared" si="85"/>
        <v>0</v>
      </c>
      <c r="BE59" s="2046"/>
      <c r="BF59" s="2011"/>
      <c r="BG59" s="2045"/>
      <c r="BH59" s="2012">
        <f t="shared" si="100"/>
        <v>0</v>
      </c>
      <c r="BI59" s="3350">
        <f t="shared" si="86"/>
        <v>0</v>
      </c>
      <c r="BJ59" s="2046"/>
      <c r="BK59" s="2011"/>
      <c r="BL59" s="2045"/>
      <c r="BM59" s="2012">
        <f t="shared" si="101"/>
        <v>0</v>
      </c>
      <c r="BN59" s="3350">
        <f t="shared" si="87"/>
        <v>0</v>
      </c>
      <c r="BO59" s="2046"/>
      <c r="BP59" s="2011"/>
      <c r="BQ59" s="2045"/>
      <c r="BR59" s="2012">
        <f t="shared" si="102"/>
        <v>0</v>
      </c>
      <c r="BS59" s="3350">
        <f t="shared" si="88"/>
        <v>0</v>
      </c>
      <c r="BT59" s="2046"/>
      <c r="BU59" s="2011"/>
      <c r="BV59" s="2045"/>
      <c r="BW59" s="2012">
        <f t="shared" si="103"/>
        <v>0</v>
      </c>
      <c r="BX59" s="3350">
        <f t="shared" si="89"/>
        <v>0</v>
      </c>
      <c r="BY59" s="2046"/>
      <c r="BZ59" s="2043">
        <f t="shared" si="104"/>
        <v>18814.45</v>
      </c>
      <c r="CA59" s="2043">
        <f t="shared" si="104"/>
        <v>0</v>
      </c>
      <c r="CB59" s="2012">
        <f t="shared" si="105"/>
        <v>18814.45</v>
      </c>
      <c r="CC59" s="3350">
        <f t="shared" si="71"/>
        <v>5.6929216000990105E-4</v>
      </c>
      <c r="CD59" s="3360"/>
    </row>
    <row r="60" spans="1:84" ht="14.4" customHeight="1">
      <c r="A60" s="1571"/>
      <c r="B60" s="3877" t="s">
        <v>65</v>
      </c>
      <c r="C60" s="3815"/>
      <c r="D60" s="3841"/>
      <c r="E60" s="3463">
        <f t="shared" si="90"/>
        <v>0</v>
      </c>
      <c r="F60" s="3350" t="e">
        <f t="shared" si="106"/>
        <v>#DIV/0!</v>
      </c>
      <c r="G60" s="2045">
        <v>14740</v>
      </c>
      <c r="H60" s="2045">
        <v>0</v>
      </c>
      <c r="I60" s="2012">
        <v>14740</v>
      </c>
      <c r="J60" s="1976">
        <v>1.8531740691799517E-3</v>
      </c>
      <c r="K60" s="1976"/>
      <c r="L60" s="2045">
        <v>6486.5599999999995</v>
      </c>
      <c r="M60" s="2045">
        <v>0</v>
      </c>
      <c r="N60" s="2012">
        <f t="shared" si="91"/>
        <v>6486.5599999999995</v>
      </c>
      <c r="O60" s="3350">
        <f t="shared" si="6"/>
        <v>1.7350653068004852E-3</v>
      </c>
      <c r="P60" s="3859"/>
      <c r="Q60" s="1986"/>
      <c r="R60" s="2045"/>
      <c r="S60" s="2045"/>
      <c r="T60" s="2012">
        <f t="shared" si="92"/>
        <v>0</v>
      </c>
      <c r="U60" s="3350">
        <f t="shared" si="80"/>
        <v>0</v>
      </c>
      <c r="V60" s="3361"/>
      <c r="W60" s="2045"/>
      <c r="X60" s="2045"/>
      <c r="Y60" s="2012">
        <f t="shared" si="93"/>
        <v>0</v>
      </c>
      <c r="Z60" s="3350">
        <f t="shared" si="81"/>
        <v>0</v>
      </c>
      <c r="AA60" s="3859"/>
      <c r="AB60" s="2045"/>
      <c r="AC60" s="2045"/>
      <c r="AD60" s="2012">
        <f t="shared" si="94"/>
        <v>0</v>
      </c>
      <c r="AE60" s="3350">
        <f t="shared" si="82"/>
        <v>0</v>
      </c>
      <c r="AF60" s="3859"/>
      <c r="AG60" s="2045"/>
      <c r="AH60" s="2045"/>
      <c r="AI60" s="2012">
        <f t="shared" si="95"/>
        <v>0</v>
      </c>
      <c r="AJ60" s="3350" t="e">
        <f t="shared" si="7"/>
        <v>#DIV/0!</v>
      </c>
      <c r="AK60" s="3859"/>
      <c r="AL60" s="2045"/>
      <c r="AM60" s="2045"/>
      <c r="AN60" s="2012">
        <f t="shared" si="96"/>
        <v>0</v>
      </c>
      <c r="AO60" s="3350">
        <f t="shared" si="8"/>
        <v>0</v>
      </c>
      <c r="AP60" s="3859"/>
      <c r="AQ60" s="2011"/>
      <c r="AR60" s="2045"/>
      <c r="AS60" s="2012">
        <f t="shared" si="97"/>
        <v>0</v>
      </c>
      <c r="AT60" s="3350" t="e">
        <f t="shared" si="83"/>
        <v>#DIV/0!</v>
      </c>
      <c r="AU60" s="2046"/>
      <c r="AV60" s="2011"/>
      <c r="AW60" s="2045"/>
      <c r="AX60" s="2012">
        <f t="shared" si="98"/>
        <v>0</v>
      </c>
      <c r="AY60" s="3350">
        <f t="shared" si="84"/>
        <v>0</v>
      </c>
      <c r="AZ60" s="2046"/>
      <c r="BA60" s="2011"/>
      <c r="BB60" s="2045"/>
      <c r="BC60" s="2012">
        <f t="shared" si="99"/>
        <v>0</v>
      </c>
      <c r="BD60" s="3350">
        <f t="shared" si="85"/>
        <v>0</v>
      </c>
      <c r="BE60" s="2046"/>
      <c r="BF60" s="2011"/>
      <c r="BG60" s="2045"/>
      <c r="BH60" s="2012">
        <f t="shared" si="100"/>
        <v>0</v>
      </c>
      <c r="BI60" s="3350">
        <f t="shared" si="86"/>
        <v>0</v>
      </c>
      <c r="BJ60" s="2046"/>
      <c r="BK60" s="2011"/>
      <c r="BL60" s="2045"/>
      <c r="BM60" s="2012">
        <f t="shared" si="101"/>
        <v>0</v>
      </c>
      <c r="BN60" s="3350">
        <f t="shared" si="87"/>
        <v>0</v>
      </c>
      <c r="BO60" s="2046"/>
      <c r="BP60" s="2011"/>
      <c r="BQ60" s="2045"/>
      <c r="BR60" s="2012">
        <f t="shared" si="102"/>
        <v>0</v>
      </c>
      <c r="BS60" s="3350">
        <f t="shared" si="88"/>
        <v>0</v>
      </c>
      <c r="BT60" s="2046"/>
      <c r="BU60" s="2011"/>
      <c r="BV60" s="2045"/>
      <c r="BW60" s="2012">
        <f t="shared" si="103"/>
        <v>0</v>
      </c>
      <c r="BX60" s="3350">
        <f t="shared" si="89"/>
        <v>0</v>
      </c>
      <c r="BY60" s="2046"/>
      <c r="BZ60" s="2043">
        <f t="shared" si="104"/>
        <v>21226.559999999998</v>
      </c>
      <c r="CA60" s="2043">
        <f t="shared" si="104"/>
        <v>0</v>
      </c>
      <c r="CB60" s="2012">
        <f t="shared" si="105"/>
        <v>21226.559999999998</v>
      </c>
      <c r="CC60" s="3350">
        <f t="shared" si="71"/>
        <v>6.4227836540423793E-4</v>
      </c>
      <c r="CD60" s="3360"/>
    </row>
    <row r="61" spans="1:84" ht="14.4" customHeight="1">
      <c r="A61" s="1571"/>
      <c r="B61" s="3877" t="s">
        <v>32</v>
      </c>
      <c r="C61" s="3815"/>
      <c r="D61" s="3841"/>
      <c r="E61" s="3463">
        <f t="shared" si="90"/>
        <v>0</v>
      </c>
      <c r="F61" s="3350" t="e">
        <f t="shared" si="106"/>
        <v>#DIV/0!</v>
      </c>
      <c r="G61" s="2045">
        <v>0</v>
      </c>
      <c r="H61" s="2045">
        <v>0</v>
      </c>
      <c r="I61" s="2012">
        <v>0</v>
      </c>
      <c r="J61" s="1976">
        <v>0</v>
      </c>
      <c r="K61" s="1976"/>
      <c r="L61" s="2045">
        <v>0</v>
      </c>
      <c r="M61" s="2045">
        <v>0</v>
      </c>
      <c r="N61" s="2012">
        <f t="shared" si="91"/>
        <v>0</v>
      </c>
      <c r="O61" s="3350">
        <f t="shared" si="6"/>
        <v>0</v>
      </c>
      <c r="P61" s="3859"/>
      <c r="Q61" s="1986"/>
      <c r="R61" s="2045"/>
      <c r="S61" s="2045"/>
      <c r="T61" s="2012">
        <f t="shared" si="92"/>
        <v>0</v>
      </c>
      <c r="U61" s="3350">
        <f t="shared" si="80"/>
        <v>0</v>
      </c>
      <c r="V61" s="3361"/>
      <c r="W61" s="2045"/>
      <c r="X61" s="2045"/>
      <c r="Y61" s="2012">
        <f t="shared" si="93"/>
        <v>0</v>
      </c>
      <c r="Z61" s="3350">
        <f t="shared" si="81"/>
        <v>0</v>
      </c>
      <c r="AA61" s="3859"/>
      <c r="AB61" s="2045"/>
      <c r="AC61" s="2045"/>
      <c r="AD61" s="2012">
        <f t="shared" si="94"/>
        <v>0</v>
      </c>
      <c r="AE61" s="3350">
        <f t="shared" si="82"/>
        <v>0</v>
      </c>
      <c r="AF61" s="3859"/>
      <c r="AG61" s="2045"/>
      <c r="AH61" s="2045"/>
      <c r="AI61" s="2012">
        <f t="shared" si="95"/>
        <v>0</v>
      </c>
      <c r="AJ61" s="3350" t="e">
        <f t="shared" si="7"/>
        <v>#DIV/0!</v>
      </c>
      <c r="AK61" s="3859"/>
      <c r="AL61" s="2045"/>
      <c r="AM61" s="2045"/>
      <c r="AN61" s="2012">
        <f t="shared" si="96"/>
        <v>0</v>
      </c>
      <c r="AO61" s="3350">
        <f t="shared" si="8"/>
        <v>0</v>
      </c>
      <c r="AP61" s="3859"/>
      <c r="AQ61" s="2011"/>
      <c r="AR61" s="2045"/>
      <c r="AS61" s="2012">
        <f t="shared" si="97"/>
        <v>0</v>
      </c>
      <c r="AT61" s="3350" t="e">
        <f t="shared" si="83"/>
        <v>#DIV/0!</v>
      </c>
      <c r="AU61" s="2046"/>
      <c r="AV61" s="2011"/>
      <c r="AW61" s="2045"/>
      <c r="AX61" s="2012">
        <f t="shared" si="98"/>
        <v>0</v>
      </c>
      <c r="AY61" s="3350">
        <f t="shared" si="84"/>
        <v>0</v>
      </c>
      <c r="AZ61" s="2046"/>
      <c r="BA61" s="2011"/>
      <c r="BB61" s="2045"/>
      <c r="BC61" s="2012">
        <f t="shared" si="99"/>
        <v>0</v>
      </c>
      <c r="BD61" s="3350">
        <f t="shared" si="85"/>
        <v>0</v>
      </c>
      <c r="BE61" s="2046"/>
      <c r="BF61" s="2011"/>
      <c r="BG61" s="2045"/>
      <c r="BH61" s="2012">
        <f t="shared" si="100"/>
        <v>0</v>
      </c>
      <c r="BI61" s="3350">
        <f t="shared" si="86"/>
        <v>0</v>
      </c>
      <c r="BJ61" s="2046"/>
      <c r="BK61" s="2011"/>
      <c r="BL61" s="2045"/>
      <c r="BM61" s="2012">
        <f t="shared" si="101"/>
        <v>0</v>
      </c>
      <c r="BN61" s="3350">
        <f t="shared" si="87"/>
        <v>0</v>
      </c>
      <c r="BO61" s="2046"/>
      <c r="BP61" s="2011"/>
      <c r="BQ61" s="2045"/>
      <c r="BR61" s="2012">
        <f t="shared" si="102"/>
        <v>0</v>
      </c>
      <c r="BS61" s="3350">
        <f t="shared" si="88"/>
        <v>0</v>
      </c>
      <c r="BT61" s="2046"/>
      <c r="BU61" s="2011"/>
      <c r="BV61" s="2045"/>
      <c r="BW61" s="2012">
        <f t="shared" si="103"/>
        <v>0</v>
      </c>
      <c r="BX61" s="3350">
        <f t="shared" si="89"/>
        <v>0</v>
      </c>
      <c r="BY61" s="2046"/>
      <c r="BZ61" s="2043">
        <f t="shared" si="104"/>
        <v>0</v>
      </c>
      <c r="CA61" s="2043">
        <f t="shared" si="104"/>
        <v>0</v>
      </c>
      <c r="CB61" s="2012">
        <f t="shared" si="105"/>
        <v>0</v>
      </c>
      <c r="CC61" s="3350">
        <f t="shared" si="71"/>
        <v>0</v>
      </c>
      <c r="CD61" s="3360"/>
    </row>
    <row r="62" spans="1:84" ht="14.4" customHeight="1">
      <c r="A62" s="1571"/>
      <c r="B62" s="3877" t="s">
        <v>33</v>
      </c>
      <c r="C62" s="3842"/>
      <c r="D62" s="3841"/>
      <c r="E62" s="3463">
        <f t="shared" si="90"/>
        <v>0</v>
      </c>
      <c r="F62" s="3350" t="e">
        <f t="shared" si="106"/>
        <v>#DIV/0!</v>
      </c>
      <c r="G62" s="2045">
        <v>0</v>
      </c>
      <c r="H62" s="2045">
        <v>0</v>
      </c>
      <c r="I62" s="2012">
        <v>0</v>
      </c>
      <c r="J62" s="1976">
        <v>0</v>
      </c>
      <c r="K62" s="1976"/>
      <c r="L62" s="2045">
        <v>0</v>
      </c>
      <c r="M62" s="2045">
        <v>0</v>
      </c>
      <c r="N62" s="2012">
        <f t="shared" si="91"/>
        <v>0</v>
      </c>
      <c r="O62" s="3350">
        <f t="shared" si="6"/>
        <v>0</v>
      </c>
      <c r="P62" s="3859"/>
      <c r="Q62" s="1986"/>
      <c r="R62" s="2045"/>
      <c r="S62" s="2045"/>
      <c r="T62" s="2012">
        <f t="shared" si="92"/>
        <v>0</v>
      </c>
      <c r="U62" s="3350">
        <f t="shared" si="80"/>
        <v>0</v>
      </c>
      <c r="V62" s="3361"/>
      <c r="W62" s="2045"/>
      <c r="X62" s="2045"/>
      <c r="Y62" s="2012">
        <f t="shared" si="93"/>
        <v>0</v>
      </c>
      <c r="Z62" s="3350">
        <f t="shared" si="81"/>
        <v>0</v>
      </c>
      <c r="AA62" s="3859"/>
      <c r="AB62" s="2045"/>
      <c r="AC62" s="2045"/>
      <c r="AD62" s="2012">
        <f t="shared" si="94"/>
        <v>0</v>
      </c>
      <c r="AE62" s="3350">
        <f t="shared" si="82"/>
        <v>0</v>
      </c>
      <c r="AF62" s="3859"/>
      <c r="AG62" s="2045"/>
      <c r="AH62" s="2045"/>
      <c r="AI62" s="2012">
        <f t="shared" si="95"/>
        <v>0</v>
      </c>
      <c r="AJ62" s="3350" t="e">
        <f t="shared" si="7"/>
        <v>#DIV/0!</v>
      </c>
      <c r="AK62" s="3859"/>
      <c r="AL62" s="2045"/>
      <c r="AM62" s="2045"/>
      <c r="AN62" s="2012">
        <f t="shared" si="96"/>
        <v>0</v>
      </c>
      <c r="AO62" s="3350">
        <f t="shared" si="8"/>
        <v>0</v>
      </c>
      <c r="AP62" s="3859"/>
      <c r="AQ62" s="2011"/>
      <c r="AR62" s="2045"/>
      <c r="AS62" s="2012">
        <f t="shared" si="97"/>
        <v>0</v>
      </c>
      <c r="AT62" s="3350" t="e">
        <f t="shared" si="83"/>
        <v>#DIV/0!</v>
      </c>
      <c r="AU62" s="2046"/>
      <c r="AV62" s="2011"/>
      <c r="AW62" s="2045"/>
      <c r="AX62" s="2012">
        <f t="shared" si="98"/>
        <v>0</v>
      </c>
      <c r="AY62" s="3350">
        <f t="shared" si="84"/>
        <v>0</v>
      </c>
      <c r="AZ62" s="2046"/>
      <c r="BA62" s="2011"/>
      <c r="BB62" s="2045"/>
      <c r="BC62" s="2012">
        <f t="shared" si="99"/>
        <v>0</v>
      </c>
      <c r="BD62" s="3350">
        <f t="shared" si="85"/>
        <v>0</v>
      </c>
      <c r="BE62" s="2046"/>
      <c r="BF62" s="2011"/>
      <c r="BG62" s="2045"/>
      <c r="BH62" s="2012">
        <f t="shared" si="100"/>
        <v>0</v>
      </c>
      <c r="BI62" s="3350">
        <f t="shared" si="86"/>
        <v>0</v>
      </c>
      <c r="BJ62" s="2046"/>
      <c r="BK62" s="2011"/>
      <c r="BL62" s="2045"/>
      <c r="BM62" s="2012">
        <f t="shared" si="101"/>
        <v>0</v>
      </c>
      <c r="BN62" s="3350">
        <f t="shared" si="87"/>
        <v>0</v>
      </c>
      <c r="BO62" s="2046"/>
      <c r="BP62" s="2011"/>
      <c r="BQ62" s="2045"/>
      <c r="BR62" s="2012">
        <f t="shared" si="102"/>
        <v>0</v>
      </c>
      <c r="BS62" s="3350">
        <f t="shared" si="88"/>
        <v>0</v>
      </c>
      <c r="BT62" s="2046"/>
      <c r="BU62" s="2011"/>
      <c r="BV62" s="2045"/>
      <c r="BW62" s="2012">
        <f t="shared" si="103"/>
        <v>0</v>
      </c>
      <c r="BX62" s="3350">
        <f t="shared" si="89"/>
        <v>0</v>
      </c>
      <c r="BY62" s="2046"/>
      <c r="BZ62" s="2043">
        <f t="shared" si="104"/>
        <v>0</v>
      </c>
      <c r="CA62" s="2043">
        <f t="shared" si="104"/>
        <v>0</v>
      </c>
      <c r="CB62" s="2012">
        <f t="shared" si="105"/>
        <v>0</v>
      </c>
      <c r="CC62" s="3350">
        <f t="shared" si="71"/>
        <v>0</v>
      </c>
      <c r="CD62" s="3360"/>
    </row>
    <row r="63" spans="1:84" ht="14.4" customHeight="1">
      <c r="A63" s="1571"/>
      <c r="B63" s="3877" t="s">
        <v>35</v>
      </c>
      <c r="C63" s="3842"/>
      <c r="D63" s="3841"/>
      <c r="E63" s="3463">
        <f t="shared" si="90"/>
        <v>0</v>
      </c>
      <c r="F63" s="3350" t="e">
        <f t="shared" si="106"/>
        <v>#DIV/0!</v>
      </c>
      <c r="G63" s="2045">
        <v>37781.589999999997</v>
      </c>
      <c r="H63" s="2045">
        <v>11377.79</v>
      </c>
      <c r="I63" s="2012">
        <v>49159.38</v>
      </c>
      <c r="J63" s="1976">
        <v>6.1805215924669969E-3</v>
      </c>
      <c r="K63" s="1976"/>
      <c r="L63" s="2043">
        <v>26844.02</v>
      </c>
      <c r="M63" s="2045">
        <v>0</v>
      </c>
      <c r="N63" s="2012">
        <f t="shared" si="91"/>
        <v>26844.02</v>
      </c>
      <c r="O63" s="3350">
        <f t="shared" si="6"/>
        <v>7.1804049907899358E-3</v>
      </c>
      <c r="P63" s="3859"/>
      <c r="Q63" s="1986"/>
      <c r="R63" s="2043"/>
      <c r="S63" s="2045"/>
      <c r="T63" s="2012">
        <f t="shared" si="92"/>
        <v>0</v>
      </c>
      <c r="U63" s="3350">
        <f t="shared" si="80"/>
        <v>0</v>
      </c>
      <c r="V63" s="3359"/>
      <c r="W63" s="2043"/>
      <c r="X63" s="2045"/>
      <c r="Y63" s="2012">
        <f t="shared" si="93"/>
        <v>0</v>
      </c>
      <c r="Z63" s="3350">
        <f t="shared" si="81"/>
        <v>0</v>
      </c>
      <c r="AA63" s="3859"/>
      <c r="AB63" s="2043"/>
      <c r="AC63" s="2045"/>
      <c r="AD63" s="2012">
        <f t="shared" si="94"/>
        <v>0</v>
      </c>
      <c r="AE63" s="3350">
        <f t="shared" si="82"/>
        <v>0</v>
      </c>
      <c r="AF63" s="3859"/>
      <c r="AG63" s="2043"/>
      <c r="AH63" s="2045"/>
      <c r="AI63" s="2012">
        <f t="shared" si="95"/>
        <v>0</v>
      </c>
      <c r="AJ63" s="3350" t="e">
        <f t="shared" si="7"/>
        <v>#DIV/0!</v>
      </c>
      <c r="AK63" s="3859"/>
      <c r="AL63" s="2043"/>
      <c r="AM63" s="2045"/>
      <c r="AN63" s="2012">
        <f t="shared" si="96"/>
        <v>0</v>
      </c>
      <c r="AO63" s="3350">
        <f t="shared" si="8"/>
        <v>0</v>
      </c>
      <c r="AP63" s="3859"/>
      <c r="AQ63" s="2011"/>
      <c r="AR63" s="3843"/>
      <c r="AS63" s="2012">
        <f>AQ63+AR63*1</f>
        <v>0</v>
      </c>
      <c r="AT63" s="3350" t="e">
        <f t="shared" si="83"/>
        <v>#DIV/0!</v>
      </c>
      <c r="AU63" s="2046"/>
      <c r="AV63" s="2011"/>
      <c r="AW63" s="3843"/>
      <c r="AX63" s="2012">
        <f>AV63+AW63*1</f>
        <v>0</v>
      </c>
      <c r="AY63" s="3350">
        <f t="shared" si="84"/>
        <v>0</v>
      </c>
      <c r="AZ63" s="2046"/>
      <c r="BA63" s="2011"/>
      <c r="BB63" s="3843"/>
      <c r="BC63" s="2012">
        <f>BA63+BB63*1</f>
        <v>0</v>
      </c>
      <c r="BD63" s="3350">
        <f t="shared" si="85"/>
        <v>0</v>
      </c>
      <c r="BE63" s="2046"/>
      <c r="BF63" s="2011"/>
      <c r="BG63" s="3843"/>
      <c r="BH63" s="2012">
        <f>BF63+BG63*1</f>
        <v>0</v>
      </c>
      <c r="BI63" s="3350">
        <f t="shared" si="86"/>
        <v>0</v>
      </c>
      <c r="BJ63" s="2046"/>
      <c r="BK63" s="2011"/>
      <c r="BL63" s="3843"/>
      <c r="BM63" s="2012">
        <f>BK63+BL63*1</f>
        <v>0</v>
      </c>
      <c r="BN63" s="3350">
        <f t="shared" si="87"/>
        <v>0</v>
      </c>
      <c r="BO63" s="2046"/>
      <c r="BP63" s="2011"/>
      <c r="BQ63" s="3843"/>
      <c r="BR63" s="2012">
        <f>BP63+BQ63*1</f>
        <v>0</v>
      </c>
      <c r="BS63" s="3350">
        <f t="shared" si="88"/>
        <v>0</v>
      </c>
      <c r="BT63" s="2046"/>
      <c r="BU63" s="2011"/>
      <c r="BV63" s="3843"/>
      <c r="BW63" s="2012">
        <f>BU63+BV63*1</f>
        <v>0</v>
      </c>
      <c r="BX63" s="3350">
        <f t="shared" si="89"/>
        <v>0</v>
      </c>
      <c r="BY63" s="2046"/>
      <c r="BZ63" s="2043">
        <f t="shared" si="104"/>
        <v>64625.61</v>
      </c>
      <c r="CA63" s="2043">
        <f t="shared" si="104"/>
        <v>11377.79</v>
      </c>
      <c r="CB63" s="2012">
        <f t="shared" si="105"/>
        <v>76003.399999999994</v>
      </c>
      <c r="CC63" s="3350">
        <f t="shared" si="71"/>
        <v>2.2997291844351819E-3</v>
      </c>
      <c r="CD63" s="3360"/>
    </row>
    <row r="64" spans="1:84" ht="14.4" customHeight="1">
      <c r="A64" s="1571"/>
      <c r="B64" s="3877" t="s">
        <v>63</v>
      </c>
      <c r="C64" s="3842"/>
      <c r="D64" s="3841"/>
      <c r="E64" s="3463">
        <f t="shared" si="90"/>
        <v>0</v>
      </c>
      <c r="F64" s="3350" t="e">
        <f t="shared" si="106"/>
        <v>#DIV/0!</v>
      </c>
      <c r="G64" s="2045">
        <v>0</v>
      </c>
      <c r="H64" s="2045">
        <v>0</v>
      </c>
      <c r="I64" s="2012">
        <v>0</v>
      </c>
      <c r="J64" s="1976">
        <v>0</v>
      </c>
      <c r="K64" s="1976"/>
      <c r="L64" s="2045">
        <v>0</v>
      </c>
      <c r="M64" s="2045">
        <v>0</v>
      </c>
      <c r="N64" s="2012">
        <f t="shared" si="91"/>
        <v>0</v>
      </c>
      <c r="O64" s="3350">
        <f t="shared" si="6"/>
        <v>0</v>
      </c>
      <c r="P64" s="3859"/>
      <c r="Q64" s="1986"/>
      <c r="R64" s="2045"/>
      <c r="S64" s="2045"/>
      <c r="T64" s="2012">
        <f t="shared" si="92"/>
        <v>0</v>
      </c>
      <c r="U64" s="3350">
        <f t="shared" si="80"/>
        <v>0</v>
      </c>
      <c r="V64" s="3361"/>
      <c r="W64" s="2045"/>
      <c r="X64" s="2045"/>
      <c r="Y64" s="2012">
        <f t="shared" si="93"/>
        <v>0</v>
      </c>
      <c r="Z64" s="3350">
        <f t="shared" si="81"/>
        <v>0</v>
      </c>
      <c r="AA64" s="3859"/>
      <c r="AB64" s="2045"/>
      <c r="AC64" s="2045"/>
      <c r="AD64" s="2012">
        <f t="shared" si="94"/>
        <v>0</v>
      </c>
      <c r="AE64" s="3350">
        <f t="shared" si="82"/>
        <v>0</v>
      </c>
      <c r="AF64" s="3859"/>
      <c r="AG64" s="2045"/>
      <c r="AH64" s="2045"/>
      <c r="AI64" s="2012">
        <f t="shared" si="95"/>
        <v>0</v>
      </c>
      <c r="AJ64" s="3350" t="e">
        <f t="shared" si="7"/>
        <v>#DIV/0!</v>
      </c>
      <c r="AK64" s="3859"/>
      <c r="AL64" s="2045"/>
      <c r="AM64" s="2045"/>
      <c r="AN64" s="2012">
        <f t="shared" si="96"/>
        <v>0</v>
      </c>
      <c r="AO64" s="3350">
        <f t="shared" si="8"/>
        <v>0</v>
      </c>
      <c r="AP64" s="3859"/>
      <c r="AQ64" s="2011"/>
      <c r="AR64" s="2045"/>
      <c r="AS64" s="2012">
        <f>AQ64+AR64*1</f>
        <v>0</v>
      </c>
      <c r="AT64" s="3350" t="e">
        <f t="shared" si="83"/>
        <v>#DIV/0!</v>
      </c>
      <c r="AU64" s="2046"/>
      <c r="AV64" s="2011"/>
      <c r="AW64" s="2045"/>
      <c r="AX64" s="2012">
        <f>AV64+AW64*1</f>
        <v>0</v>
      </c>
      <c r="AY64" s="3350">
        <f t="shared" si="84"/>
        <v>0</v>
      </c>
      <c r="AZ64" s="2046"/>
      <c r="BA64" s="2011"/>
      <c r="BB64" s="2045"/>
      <c r="BC64" s="2012">
        <f>BA64+BB64*1</f>
        <v>0</v>
      </c>
      <c r="BD64" s="3350">
        <f t="shared" si="85"/>
        <v>0</v>
      </c>
      <c r="BE64" s="2046"/>
      <c r="BF64" s="2011"/>
      <c r="BG64" s="2045"/>
      <c r="BH64" s="2012">
        <f>BF64+BG64*1</f>
        <v>0</v>
      </c>
      <c r="BI64" s="3350">
        <f t="shared" si="86"/>
        <v>0</v>
      </c>
      <c r="BJ64" s="2046"/>
      <c r="BK64" s="2011"/>
      <c r="BL64" s="2045"/>
      <c r="BM64" s="2012">
        <f>BK64+BL64*1</f>
        <v>0</v>
      </c>
      <c r="BN64" s="3350">
        <f t="shared" si="87"/>
        <v>0</v>
      </c>
      <c r="BO64" s="2046"/>
      <c r="BP64" s="2011"/>
      <c r="BQ64" s="2045"/>
      <c r="BR64" s="2012">
        <f>BP64+BQ64*1</f>
        <v>0</v>
      </c>
      <c r="BS64" s="3350">
        <f t="shared" si="88"/>
        <v>0</v>
      </c>
      <c r="BT64" s="2046"/>
      <c r="BU64" s="2011"/>
      <c r="BV64" s="2045"/>
      <c r="BW64" s="2012">
        <f>BU64+BV64*1</f>
        <v>0</v>
      </c>
      <c r="BX64" s="3350">
        <f t="shared" si="89"/>
        <v>0</v>
      </c>
      <c r="BY64" s="2046"/>
      <c r="BZ64" s="2043">
        <f t="shared" si="104"/>
        <v>0</v>
      </c>
      <c r="CA64" s="2043">
        <f t="shared" si="104"/>
        <v>0</v>
      </c>
      <c r="CB64" s="2012">
        <f t="shared" si="105"/>
        <v>0</v>
      </c>
      <c r="CC64" s="3350">
        <f t="shared" si="71"/>
        <v>0</v>
      </c>
      <c r="CD64" s="3360"/>
    </row>
    <row r="65" spans="1:84" ht="14.4" customHeight="1">
      <c r="A65" s="1571"/>
      <c r="B65" s="3877" t="s">
        <v>36</v>
      </c>
      <c r="C65" s="3842"/>
      <c r="D65" s="3841"/>
      <c r="E65" s="3463">
        <f t="shared" si="90"/>
        <v>0</v>
      </c>
      <c r="F65" s="3350" t="e">
        <f t="shared" si="106"/>
        <v>#DIV/0!</v>
      </c>
      <c r="G65" s="2043">
        <v>17757.490000000002</v>
      </c>
      <c r="H65" s="2043">
        <v>5499</v>
      </c>
      <c r="I65" s="2012">
        <v>23256.49</v>
      </c>
      <c r="J65" s="1976">
        <v>2.9239025921399498E-3</v>
      </c>
      <c r="K65" s="1976"/>
      <c r="L65" s="2043">
        <v>3352.08</v>
      </c>
      <c r="M65" s="2045">
        <v>0</v>
      </c>
      <c r="N65" s="2012">
        <f t="shared" si="91"/>
        <v>3352.08</v>
      </c>
      <c r="O65" s="3350">
        <f t="shared" si="6"/>
        <v>8.9663515231798842E-4</v>
      </c>
      <c r="P65" s="3859"/>
      <c r="Q65" s="1986"/>
      <c r="R65" s="2043"/>
      <c r="S65" s="2043"/>
      <c r="T65" s="2012">
        <f t="shared" si="92"/>
        <v>0</v>
      </c>
      <c r="U65" s="3350">
        <f t="shared" si="80"/>
        <v>0</v>
      </c>
      <c r="V65" s="3361"/>
      <c r="W65" s="2043"/>
      <c r="X65" s="2045"/>
      <c r="Y65" s="2012">
        <f t="shared" si="93"/>
        <v>0</v>
      </c>
      <c r="Z65" s="3350">
        <f t="shared" si="81"/>
        <v>0</v>
      </c>
      <c r="AA65" s="3859"/>
      <c r="AB65" s="2043"/>
      <c r="AC65" s="2045"/>
      <c r="AD65" s="2012">
        <f t="shared" si="94"/>
        <v>0</v>
      </c>
      <c r="AE65" s="3350">
        <f t="shared" si="82"/>
        <v>0</v>
      </c>
      <c r="AF65" s="3859"/>
      <c r="AG65" s="2043"/>
      <c r="AH65" s="2045"/>
      <c r="AI65" s="2012">
        <f t="shared" si="95"/>
        <v>0</v>
      </c>
      <c r="AJ65" s="3350" t="e">
        <f t="shared" si="7"/>
        <v>#DIV/0!</v>
      </c>
      <c r="AK65" s="3859"/>
      <c r="AL65" s="2043"/>
      <c r="AM65" s="2045"/>
      <c r="AN65" s="2012">
        <f t="shared" si="96"/>
        <v>0</v>
      </c>
      <c r="AO65" s="3350">
        <f t="shared" si="8"/>
        <v>0</v>
      </c>
      <c r="AP65" s="3859"/>
      <c r="AQ65" s="2045"/>
      <c r="AR65" s="2045"/>
      <c r="AS65" s="2012">
        <f t="shared" ref="AS65:AS71" si="107">AQ65+AR65*1</f>
        <v>0</v>
      </c>
      <c r="AT65" s="3350" t="e">
        <f t="shared" si="83"/>
        <v>#DIV/0!</v>
      </c>
      <c r="AU65" s="2046"/>
      <c r="AV65" s="2045"/>
      <c r="AW65" s="2045"/>
      <c r="AX65" s="2012">
        <f t="shared" ref="AX65:AX71" si="108">AV65+AW65*1</f>
        <v>0</v>
      </c>
      <c r="AY65" s="3350">
        <f t="shared" si="84"/>
        <v>0</v>
      </c>
      <c r="AZ65" s="2046"/>
      <c r="BA65" s="2045"/>
      <c r="BB65" s="2045"/>
      <c r="BC65" s="2012">
        <f t="shared" ref="BC65:BC71" si="109">BA65+BB65*1</f>
        <v>0</v>
      </c>
      <c r="BD65" s="3350">
        <f t="shared" si="85"/>
        <v>0</v>
      </c>
      <c r="BE65" s="2046"/>
      <c r="BF65" s="2045"/>
      <c r="BG65" s="2045"/>
      <c r="BH65" s="2012">
        <f t="shared" ref="BH65:BH71" si="110">BF65+BG65*1</f>
        <v>0</v>
      </c>
      <c r="BI65" s="3350">
        <f t="shared" si="86"/>
        <v>0</v>
      </c>
      <c r="BJ65" s="2046"/>
      <c r="BK65" s="2045"/>
      <c r="BL65" s="2045"/>
      <c r="BM65" s="2012">
        <f t="shared" ref="BM65:BM71" si="111">BK65+BL65*1</f>
        <v>0</v>
      </c>
      <c r="BN65" s="3350">
        <f t="shared" si="87"/>
        <v>0</v>
      </c>
      <c r="BO65" s="2046"/>
      <c r="BP65" s="2045"/>
      <c r="BQ65" s="2045"/>
      <c r="BR65" s="2012">
        <f t="shared" ref="BR65:BR71" si="112">BP65+BQ65*1</f>
        <v>0</v>
      </c>
      <c r="BS65" s="3350">
        <f t="shared" si="88"/>
        <v>0</v>
      </c>
      <c r="BT65" s="2046"/>
      <c r="BU65" s="2045"/>
      <c r="BV65" s="2045"/>
      <c r="BW65" s="2012">
        <f t="shared" ref="BW65:BW71" si="113">BU65+BV65*1</f>
        <v>0</v>
      </c>
      <c r="BX65" s="3350">
        <f t="shared" si="89"/>
        <v>0</v>
      </c>
      <c r="BY65" s="2046"/>
      <c r="BZ65" s="2043">
        <f t="shared" si="104"/>
        <v>21109.57</v>
      </c>
      <c r="CA65" s="2043">
        <f t="shared" si="104"/>
        <v>5499</v>
      </c>
      <c r="CB65" s="2012">
        <f t="shared" si="105"/>
        <v>26608.57</v>
      </c>
      <c r="CC65" s="3350">
        <f t="shared" si="71"/>
        <v>8.0512852036996306E-4</v>
      </c>
      <c r="CD65" s="3360"/>
    </row>
    <row r="66" spans="1:84" s="1396" customFormat="1" ht="28.95" customHeight="1">
      <c r="A66" s="1571"/>
      <c r="B66" s="3877" t="s">
        <v>37</v>
      </c>
      <c r="C66" s="3842"/>
      <c r="D66" s="3841"/>
      <c r="E66" s="3463">
        <f t="shared" si="90"/>
        <v>0</v>
      </c>
      <c r="F66" s="3350" t="e">
        <f t="shared" si="106"/>
        <v>#DIV/0!</v>
      </c>
      <c r="G66" s="2043">
        <v>0</v>
      </c>
      <c r="H66" s="2043">
        <v>0</v>
      </c>
      <c r="I66" s="2012">
        <v>0</v>
      </c>
      <c r="J66" s="1976">
        <v>0</v>
      </c>
      <c r="K66" s="1976"/>
      <c r="L66" s="2043">
        <v>5029.079999999999</v>
      </c>
      <c r="M66" s="2043">
        <v>0</v>
      </c>
      <c r="N66" s="2012">
        <f t="shared" si="91"/>
        <v>5029.079999999999</v>
      </c>
      <c r="O66" s="3350">
        <f t="shared" si="6"/>
        <v>1.3452095152321391E-3</v>
      </c>
      <c r="P66" s="3859"/>
      <c r="Q66" s="1986"/>
      <c r="R66" s="2043"/>
      <c r="S66" s="2043"/>
      <c r="T66" s="2012">
        <f t="shared" si="92"/>
        <v>0</v>
      </c>
      <c r="U66" s="3350">
        <f t="shared" si="80"/>
        <v>0</v>
      </c>
      <c r="V66" s="3361"/>
      <c r="W66" s="2043"/>
      <c r="X66" s="2043"/>
      <c r="Y66" s="2012">
        <f t="shared" si="93"/>
        <v>0</v>
      </c>
      <c r="Z66" s="3350">
        <f t="shared" si="81"/>
        <v>0</v>
      </c>
      <c r="AA66" s="3859"/>
      <c r="AB66" s="2043"/>
      <c r="AC66" s="2043"/>
      <c r="AD66" s="2012">
        <f t="shared" si="94"/>
        <v>0</v>
      </c>
      <c r="AE66" s="3350">
        <f t="shared" si="82"/>
        <v>0</v>
      </c>
      <c r="AF66" s="3859"/>
      <c r="AG66" s="2043"/>
      <c r="AH66" s="2043"/>
      <c r="AI66" s="2012">
        <f t="shared" si="95"/>
        <v>0</v>
      </c>
      <c r="AJ66" s="3350" t="e">
        <f t="shared" si="7"/>
        <v>#DIV/0!</v>
      </c>
      <c r="AK66" s="3859"/>
      <c r="AL66" s="2043"/>
      <c r="AM66" s="2043"/>
      <c r="AN66" s="2012">
        <f t="shared" si="96"/>
        <v>0</v>
      </c>
      <c r="AO66" s="3350">
        <f t="shared" si="8"/>
        <v>0</v>
      </c>
      <c r="AP66" s="3859"/>
      <c r="AQ66" s="2011"/>
      <c r="AR66" s="2043"/>
      <c r="AS66" s="2012">
        <f t="shared" si="107"/>
        <v>0</v>
      </c>
      <c r="AT66" s="3350" t="e">
        <f t="shared" si="83"/>
        <v>#DIV/0!</v>
      </c>
      <c r="AU66" s="2046"/>
      <c r="AV66" s="2011"/>
      <c r="AW66" s="2043"/>
      <c r="AX66" s="2012">
        <f t="shared" si="108"/>
        <v>0</v>
      </c>
      <c r="AY66" s="3350">
        <f t="shared" si="84"/>
        <v>0</v>
      </c>
      <c r="AZ66" s="2046"/>
      <c r="BA66" s="2011"/>
      <c r="BB66" s="2043"/>
      <c r="BC66" s="2012">
        <f t="shared" si="109"/>
        <v>0</v>
      </c>
      <c r="BD66" s="3350">
        <f t="shared" si="85"/>
        <v>0</v>
      </c>
      <c r="BE66" s="2046"/>
      <c r="BF66" s="2011"/>
      <c r="BG66" s="2043"/>
      <c r="BH66" s="2012">
        <f t="shared" si="110"/>
        <v>0</v>
      </c>
      <c r="BI66" s="3350">
        <f t="shared" si="86"/>
        <v>0</v>
      </c>
      <c r="BJ66" s="2046"/>
      <c r="BK66" s="2011"/>
      <c r="BL66" s="2043"/>
      <c r="BM66" s="2012">
        <f t="shared" si="111"/>
        <v>0</v>
      </c>
      <c r="BN66" s="3350">
        <f t="shared" si="87"/>
        <v>0</v>
      </c>
      <c r="BO66" s="2046"/>
      <c r="BP66" s="2011"/>
      <c r="BQ66" s="2043"/>
      <c r="BR66" s="2012">
        <f t="shared" si="112"/>
        <v>0</v>
      </c>
      <c r="BS66" s="3350">
        <f t="shared" si="88"/>
        <v>0</v>
      </c>
      <c r="BT66" s="2046"/>
      <c r="BU66" s="2011"/>
      <c r="BV66" s="2043"/>
      <c r="BW66" s="2012">
        <f t="shared" si="113"/>
        <v>0</v>
      </c>
      <c r="BX66" s="3350">
        <f t="shared" si="89"/>
        <v>0</v>
      </c>
      <c r="BY66" s="2046"/>
      <c r="BZ66" s="2043">
        <f t="shared" si="104"/>
        <v>5029.079999999999</v>
      </c>
      <c r="CA66" s="2043">
        <f t="shared" si="104"/>
        <v>0</v>
      </c>
      <c r="CB66" s="2012">
        <f t="shared" si="105"/>
        <v>5029.079999999999</v>
      </c>
      <c r="CC66" s="3350">
        <f t="shared" si="71"/>
        <v>1.5217111401410048E-4</v>
      </c>
      <c r="CD66" s="3360"/>
      <c r="CE66" s="842"/>
      <c r="CF66" s="842"/>
    </row>
    <row r="67" spans="1:84" s="1396" customFormat="1" ht="14.4" customHeight="1">
      <c r="A67" s="1571"/>
      <c r="B67" s="3877" t="s">
        <v>3</v>
      </c>
      <c r="C67" s="3842"/>
      <c r="D67" s="3841"/>
      <c r="E67" s="3463">
        <f t="shared" si="90"/>
        <v>0</v>
      </c>
      <c r="F67" s="3350" t="e">
        <f t="shared" si="106"/>
        <v>#DIV/0!</v>
      </c>
      <c r="G67" s="2043">
        <v>0</v>
      </c>
      <c r="H67" s="2043">
        <v>140</v>
      </c>
      <c r="I67" s="2012">
        <v>140</v>
      </c>
      <c r="J67" s="1976">
        <v>1.7601381932509717E-5</v>
      </c>
      <c r="K67" s="1976"/>
      <c r="L67" s="2043">
        <v>0</v>
      </c>
      <c r="M67" s="2043">
        <v>125</v>
      </c>
      <c r="N67" s="2012">
        <f t="shared" si="91"/>
        <v>125</v>
      </c>
      <c r="O67" s="3350">
        <f t="shared" si="6"/>
        <v>3.3435775411013028E-5</v>
      </c>
      <c r="P67" s="3859"/>
      <c r="Q67" s="1986"/>
      <c r="R67" s="2043"/>
      <c r="S67" s="2043"/>
      <c r="T67" s="2012">
        <f t="shared" si="92"/>
        <v>0</v>
      </c>
      <c r="U67" s="3350">
        <f t="shared" si="80"/>
        <v>0</v>
      </c>
      <c r="V67" s="3361"/>
      <c r="W67" s="2043"/>
      <c r="X67" s="2043"/>
      <c r="Y67" s="2012">
        <f t="shared" si="93"/>
        <v>0</v>
      </c>
      <c r="Z67" s="3350">
        <f t="shared" si="81"/>
        <v>0</v>
      </c>
      <c r="AA67" s="3859"/>
      <c r="AB67" s="2043"/>
      <c r="AC67" s="2043"/>
      <c r="AD67" s="2012">
        <f t="shared" si="94"/>
        <v>0</v>
      </c>
      <c r="AE67" s="3350">
        <f t="shared" si="82"/>
        <v>0</v>
      </c>
      <c r="AF67" s="3859"/>
      <c r="AG67" s="2043"/>
      <c r="AH67" s="2043"/>
      <c r="AI67" s="2012">
        <f t="shared" si="95"/>
        <v>0</v>
      </c>
      <c r="AJ67" s="3350" t="e">
        <f t="shared" si="7"/>
        <v>#DIV/0!</v>
      </c>
      <c r="AK67" s="3859"/>
      <c r="AL67" s="2043"/>
      <c r="AM67" s="2043"/>
      <c r="AN67" s="2012">
        <f t="shared" si="96"/>
        <v>0</v>
      </c>
      <c r="AO67" s="3350">
        <f t="shared" si="8"/>
        <v>0</v>
      </c>
      <c r="AP67" s="3859"/>
      <c r="AQ67" s="2011"/>
      <c r="AR67" s="2011"/>
      <c r="AS67" s="2012">
        <f t="shared" si="107"/>
        <v>0</v>
      </c>
      <c r="AT67" s="3350" t="e">
        <f t="shared" si="83"/>
        <v>#DIV/0!</v>
      </c>
      <c r="AU67" s="2046"/>
      <c r="AV67" s="2011"/>
      <c r="AW67" s="2011"/>
      <c r="AX67" s="2012">
        <f t="shared" si="108"/>
        <v>0</v>
      </c>
      <c r="AY67" s="3350">
        <f t="shared" si="84"/>
        <v>0</v>
      </c>
      <c r="AZ67" s="2046"/>
      <c r="BA67" s="2011"/>
      <c r="BB67" s="2011"/>
      <c r="BC67" s="2012">
        <f t="shared" si="109"/>
        <v>0</v>
      </c>
      <c r="BD67" s="3350">
        <f t="shared" si="85"/>
        <v>0</v>
      </c>
      <c r="BE67" s="2046"/>
      <c r="BF67" s="2011"/>
      <c r="BG67" s="2011"/>
      <c r="BH67" s="2012">
        <f t="shared" si="110"/>
        <v>0</v>
      </c>
      <c r="BI67" s="3350">
        <f t="shared" si="86"/>
        <v>0</v>
      </c>
      <c r="BJ67" s="2046"/>
      <c r="BK67" s="2011"/>
      <c r="BL67" s="2011"/>
      <c r="BM67" s="2012">
        <f t="shared" si="111"/>
        <v>0</v>
      </c>
      <c r="BN67" s="3350">
        <f t="shared" si="87"/>
        <v>0</v>
      </c>
      <c r="BO67" s="2046"/>
      <c r="BP67" s="2011"/>
      <c r="BQ67" s="2011"/>
      <c r="BR67" s="2012">
        <f t="shared" si="112"/>
        <v>0</v>
      </c>
      <c r="BS67" s="3350">
        <f t="shared" si="88"/>
        <v>0</v>
      </c>
      <c r="BT67" s="2046"/>
      <c r="BU67" s="2011"/>
      <c r="BV67" s="2011"/>
      <c r="BW67" s="2012">
        <f t="shared" si="113"/>
        <v>0</v>
      </c>
      <c r="BX67" s="3350">
        <f t="shared" si="89"/>
        <v>0</v>
      </c>
      <c r="BY67" s="2046"/>
      <c r="BZ67" s="2043">
        <f t="shared" si="104"/>
        <v>0</v>
      </c>
      <c r="CA67" s="2043">
        <f t="shared" si="104"/>
        <v>265</v>
      </c>
      <c r="CB67" s="2012">
        <f t="shared" si="105"/>
        <v>265</v>
      </c>
      <c r="CC67" s="3350">
        <f t="shared" si="71"/>
        <v>8.0184338315828406E-6</v>
      </c>
      <c r="CD67" s="3360"/>
      <c r="CE67" s="842"/>
      <c r="CF67" s="842"/>
    </row>
    <row r="68" spans="1:84" s="1396" customFormat="1" ht="14.4" customHeight="1">
      <c r="A68" s="1571"/>
      <c r="B68" s="3877" t="s">
        <v>5</v>
      </c>
      <c r="C68" s="3842"/>
      <c r="D68" s="3841"/>
      <c r="E68" s="3463">
        <f t="shared" si="90"/>
        <v>0</v>
      </c>
      <c r="F68" s="3350" t="e">
        <f t="shared" si="106"/>
        <v>#DIV/0!</v>
      </c>
      <c r="G68" s="2043">
        <v>0</v>
      </c>
      <c r="H68" s="2043">
        <v>2810.46</v>
      </c>
      <c r="I68" s="2012">
        <v>2810.46</v>
      </c>
      <c r="J68" s="1976">
        <v>3.5334271332886617E-4</v>
      </c>
      <c r="K68" s="1976"/>
      <c r="L68" s="2043">
        <v>0</v>
      </c>
      <c r="M68" s="2043">
        <v>4202.3999999999996</v>
      </c>
      <c r="N68" s="2012">
        <f t="shared" si="91"/>
        <v>4202.3999999999996</v>
      </c>
      <c r="O68" s="3350">
        <f t="shared" si="6"/>
        <v>1.1240840206979291E-3</v>
      </c>
      <c r="P68" s="3859"/>
      <c r="Q68" s="1986"/>
      <c r="R68" s="2043"/>
      <c r="S68" s="2043"/>
      <c r="T68" s="2012">
        <f t="shared" si="92"/>
        <v>0</v>
      </c>
      <c r="U68" s="3350">
        <f t="shared" si="80"/>
        <v>0</v>
      </c>
      <c r="V68" s="3361"/>
      <c r="W68" s="2043"/>
      <c r="X68" s="2043"/>
      <c r="Y68" s="2012">
        <f t="shared" si="93"/>
        <v>0</v>
      </c>
      <c r="Z68" s="3350">
        <f t="shared" si="81"/>
        <v>0</v>
      </c>
      <c r="AA68" s="3859"/>
      <c r="AB68" s="2043"/>
      <c r="AC68" s="2043"/>
      <c r="AD68" s="2012">
        <f t="shared" si="94"/>
        <v>0</v>
      </c>
      <c r="AE68" s="3350">
        <f t="shared" si="82"/>
        <v>0</v>
      </c>
      <c r="AF68" s="3859"/>
      <c r="AG68" s="2043"/>
      <c r="AH68" s="2043"/>
      <c r="AI68" s="2012">
        <f t="shared" si="95"/>
        <v>0</v>
      </c>
      <c r="AJ68" s="3350" t="e">
        <f t="shared" si="7"/>
        <v>#DIV/0!</v>
      </c>
      <c r="AK68" s="3859"/>
      <c r="AL68" s="2043"/>
      <c r="AM68" s="2043"/>
      <c r="AN68" s="2012">
        <f t="shared" si="96"/>
        <v>0</v>
      </c>
      <c r="AO68" s="3350">
        <f t="shared" si="8"/>
        <v>0</v>
      </c>
      <c r="AP68" s="3859"/>
      <c r="AQ68" s="2011"/>
      <c r="AR68" s="2043"/>
      <c r="AS68" s="2012">
        <f t="shared" si="107"/>
        <v>0</v>
      </c>
      <c r="AT68" s="3350" t="e">
        <f t="shared" si="83"/>
        <v>#DIV/0!</v>
      </c>
      <c r="AU68" s="2046"/>
      <c r="AV68" s="2011"/>
      <c r="AW68" s="2043"/>
      <c r="AX68" s="2012">
        <f t="shared" si="108"/>
        <v>0</v>
      </c>
      <c r="AY68" s="3350">
        <f t="shared" si="84"/>
        <v>0</v>
      </c>
      <c r="AZ68" s="2046"/>
      <c r="BA68" s="2011"/>
      <c r="BB68" s="2043"/>
      <c r="BC68" s="2012">
        <f t="shared" si="109"/>
        <v>0</v>
      </c>
      <c r="BD68" s="3350">
        <f t="shared" si="85"/>
        <v>0</v>
      </c>
      <c r="BE68" s="2046"/>
      <c r="BF68" s="2043"/>
      <c r="BG68" s="2043"/>
      <c r="BH68" s="2012">
        <f t="shared" si="110"/>
        <v>0</v>
      </c>
      <c r="BI68" s="3350">
        <f t="shared" si="86"/>
        <v>0</v>
      </c>
      <c r="BJ68" s="2046"/>
      <c r="BK68" s="2043"/>
      <c r="BL68" s="2043"/>
      <c r="BM68" s="2012">
        <f t="shared" si="111"/>
        <v>0</v>
      </c>
      <c r="BN68" s="3350">
        <f t="shared" si="87"/>
        <v>0</v>
      </c>
      <c r="BO68" s="2046"/>
      <c r="BP68" s="2043"/>
      <c r="BQ68" s="2043"/>
      <c r="BR68" s="2012">
        <f t="shared" si="112"/>
        <v>0</v>
      </c>
      <c r="BS68" s="3350">
        <f t="shared" si="88"/>
        <v>0</v>
      </c>
      <c r="BT68" s="2046"/>
      <c r="BU68" s="2043"/>
      <c r="BV68" s="2043"/>
      <c r="BW68" s="2012">
        <f t="shared" si="113"/>
        <v>0</v>
      </c>
      <c r="BX68" s="3350">
        <f t="shared" si="89"/>
        <v>0</v>
      </c>
      <c r="BY68" s="2046"/>
      <c r="BZ68" s="2043">
        <f t="shared" si="104"/>
        <v>0</v>
      </c>
      <c r="CA68" s="2043">
        <f t="shared" si="104"/>
        <v>7012.86</v>
      </c>
      <c r="CB68" s="2012">
        <f t="shared" si="105"/>
        <v>7012.86</v>
      </c>
      <c r="CC68" s="3350">
        <f t="shared" si="71"/>
        <v>2.121968070949209E-4</v>
      </c>
      <c r="CD68" s="3360"/>
      <c r="CE68" s="842"/>
      <c r="CF68" s="842"/>
    </row>
    <row r="69" spans="1:84" s="1396" customFormat="1" ht="14.4" customHeight="1">
      <c r="A69" s="1571"/>
      <c r="B69" s="3877" t="s">
        <v>42</v>
      </c>
      <c r="C69" s="3842"/>
      <c r="D69" s="3841"/>
      <c r="E69" s="3463">
        <f t="shared" si="90"/>
        <v>0</v>
      </c>
      <c r="F69" s="3350" t="e">
        <f t="shared" si="106"/>
        <v>#DIV/0!</v>
      </c>
      <c r="G69" s="2043">
        <v>1025</v>
      </c>
      <c r="H69" s="2043">
        <v>0</v>
      </c>
      <c r="I69" s="2012">
        <v>1025</v>
      </c>
      <c r="J69" s="1976">
        <v>1.2886726057730329E-4</v>
      </c>
      <c r="K69" s="1976"/>
      <c r="L69" s="2043">
        <v>0</v>
      </c>
      <c r="M69" s="2043">
        <v>0</v>
      </c>
      <c r="N69" s="2012">
        <f t="shared" si="91"/>
        <v>0</v>
      </c>
      <c r="O69" s="3350">
        <f t="shared" si="6"/>
        <v>0</v>
      </c>
      <c r="P69" s="3859"/>
      <c r="Q69" s="1986"/>
      <c r="R69" s="2043"/>
      <c r="S69" s="2043"/>
      <c r="T69" s="2012">
        <f t="shared" si="92"/>
        <v>0</v>
      </c>
      <c r="U69" s="3350">
        <f t="shared" si="80"/>
        <v>0</v>
      </c>
      <c r="V69" s="3534"/>
      <c r="W69" s="2043"/>
      <c r="X69" s="2043"/>
      <c r="Y69" s="2012">
        <f t="shared" si="93"/>
        <v>0</v>
      </c>
      <c r="Z69" s="3350">
        <f t="shared" si="81"/>
        <v>0</v>
      </c>
      <c r="AA69" s="3859"/>
      <c r="AB69" s="2043"/>
      <c r="AC69" s="2043"/>
      <c r="AD69" s="2012">
        <f t="shared" si="94"/>
        <v>0</v>
      </c>
      <c r="AE69" s="3350">
        <f t="shared" si="82"/>
        <v>0</v>
      </c>
      <c r="AF69" s="3859"/>
      <c r="AG69" s="2043"/>
      <c r="AH69" s="2043"/>
      <c r="AI69" s="2012">
        <f t="shared" si="95"/>
        <v>0</v>
      </c>
      <c r="AJ69" s="3350" t="e">
        <f t="shared" si="7"/>
        <v>#DIV/0!</v>
      </c>
      <c r="AK69" s="3859"/>
      <c r="AL69" s="2043"/>
      <c r="AM69" s="2043"/>
      <c r="AN69" s="2012">
        <f t="shared" si="96"/>
        <v>0</v>
      </c>
      <c r="AO69" s="3350">
        <f t="shared" si="8"/>
        <v>0</v>
      </c>
      <c r="AP69" s="3859"/>
      <c r="AQ69" s="2011"/>
      <c r="AR69" s="2043"/>
      <c r="AS69" s="2012">
        <f t="shared" si="107"/>
        <v>0</v>
      </c>
      <c r="AT69" s="3350" t="e">
        <f t="shared" si="83"/>
        <v>#DIV/0!</v>
      </c>
      <c r="AU69" s="3421"/>
      <c r="AV69" s="2011"/>
      <c r="AW69" s="2043"/>
      <c r="AX69" s="2012">
        <f t="shared" si="108"/>
        <v>0</v>
      </c>
      <c r="AY69" s="3350">
        <f t="shared" si="84"/>
        <v>0</v>
      </c>
      <c r="AZ69" s="3421"/>
      <c r="BA69" s="2011"/>
      <c r="BB69" s="2043"/>
      <c r="BC69" s="2012">
        <f t="shared" si="109"/>
        <v>0</v>
      </c>
      <c r="BD69" s="3350">
        <f t="shared" si="85"/>
        <v>0</v>
      </c>
      <c r="BE69" s="3421"/>
      <c r="BF69" s="2011"/>
      <c r="BG69" s="2043"/>
      <c r="BH69" s="2012">
        <f t="shared" si="110"/>
        <v>0</v>
      </c>
      <c r="BI69" s="3350">
        <f t="shared" si="86"/>
        <v>0</v>
      </c>
      <c r="BJ69" s="3421"/>
      <c r="BK69" s="2011"/>
      <c r="BL69" s="2043"/>
      <c r="BM69" s="2012">
        <f t="shared" si="111"/>
        <v>0</v>
      </c>
      <c r="BN69" s="3350">
        <f t="shared" si="87"/>
        <v>0</v>
      </c>
      <c r="BO69" s="3421"/>
      <c r="BP69" s="2011"/>
      <c r="BQ69" s="2043"/>
      <c r="BR69" s="2012">
        <f t="shared" si="112"/>
        <v>0</v>
      </c>
      <c r="BS69" s="3350">
        <f t="shared" si="88"/>
        <v>0</v>
      </c>
      <c r="BT69" s="3421"/>
      <c r="BU69" s="2011"/>
      <c r="BV69" s="2043"/>
      <c r="BW69" s="2012">
        <f t="shared" si="113"/>
        <v>0</v>
      </c>
      <c r="BX69" s="3350">
        <f t="shared" si="89"/>
        <v>0</v>
      </c>
      <c r="BY69" s="3421"/>
      <c r="BZ69" s="2043">
        <f t="shared" si="104"/>
        <v>1025</v>
      </c>
      <c r="CA69" s="2043">
        <f t="shared" si="104"/>
        <v>0</v>
      </c>
      <c r="CB69" s="2012">
        <f t="shared" si="105"/>
        <v>1025</v>
      </c>
      <c r="CC69" s="3350">
        <f t="shared" si="71"/>
        <v>3.1014696895744947E-5</v>
      </c>
      <c r="CD69" s="3360"/>
      <c r="CE69" s="842"/>
      <c r="CF69" s="842"/>
    </row>
    <row r="70" spans="1:84" s="1396" customFormat="1" ht="14.4" customHeight="1">
      <c r="A70" s="1571"/>
      <c r="B70" s="3877" t="s">
        <v>6</v>
      </c>
      <c r="C70" s="3842"/>
      <c r="D70" s="3841"/>
      <c r="E70" s="3463">
        <f t="shared" si="90"/>
        <v>0</v>
      </c>
      <c r="F70" s="3350" t="e">
        <f t="shared" si="106"/>
        <v>#DIV/0!</v>
      </c>
      <c r="G70" s="2043">
        <v>0</v>
      </c>
      <c r="H70" s="2043">
        <v>0</v>
      </c>
      <c r="I70" s="2012">
        <v>0</v>
      </c>
      <c r="J70" s="1976">
        <v>0</v>
      </c>
      <c r="K70" s="1976"/>
      <c r="L70" s="2043">
        <v>0</v>
      </c>
      <c r="M70" s="2043">
        <v>0</v>
      </c>
      <c r="N70" s="2012">
        <f t="shared" si="91"/>
        <v>0</v>
      </c>
      <c r="O70" s="3350">
        <f t="shared" si="6"/>
        <v>0</v>
      </c>
      <c r="P70" s="3859"/>
      <c r="Q70" s="1986"/>
      <c r="R70" s="2043"/>
      <c r="S70" s="2043"/>
      <c r="T70" s="2012">
        <f t="shared" si="92"/>
        <v>0</v>
      </c>
      <c r="U70" s="3350">
        <f t="shared" si="80"/>
        <v>0</v>
      </c>
      <c r="V70" s="3361"/>
      <c r="W70" s="2043"/>
      <c r="X70" s="2043"/>
      <c r="Y70" s="2012">
        <f t="shared" si="93"/>
        <v>0</v>
      </c>
      <c r="Z70" s="3350">
        <f t="shared" si="81"/>
        <v>0</v>
      </c>
      <c r="AA70" s="3859"/>
      <c r="AB70" s="2043"/>
      <c r="AC70" s="2043"/>
      <c r="AD70" s="2012">
        <f t="shared" si="94"/>
        <v>0</v>
      </c>
      <c r="AE70" s="3350">
        <f t="shared" si="82"/>
        <v>0</v>
      </c>
      <c r="AF70" s="3859"/>
      <c r="AG70" s="2043"/>
      <c r="AH70" s="2043"/>
      <c r="AI70" s="2012">
        <f t="shared" si="95"/>
        <v>0</v>
      </c>
      <c r="AJ70" s="3350" t="e">
        <f t="shared" si="7"/>
        <v>#DIV/0!</v>
      </c>
      <c r="AK70" s="3859"/>
      <c r="AL70" s="2043"/>
      <c r="AM70" s="2043"/>
      <c r="AN70" s="2012">
        <f t="shared" si="96"/>
        <v>0</v>
      </c>
      <c r="AO70" s="3350">
        <f t="shared" si="8"/>
        <v>0</v>
      </c>
      <c r="AP70" s="3859"/>
      <c r="AQ70" s="2011"/>
      <c r="AR70" s="2051"/>
      <c r="AS70" s="2012">
        <f t="shared" si="107"/>
        <v>0</v>
      </c>
      <c r="AT70" s="3350" t="e">
        <f t="shared" si="83"/>
        <v>#DIV/0!</v>
      </c>
      <c r="AU70" s="2046"/>
      <c r="AV70" s="2011"/>
      <c r="AW70" s="2051"/>
      <c r="AX70" s="2012">
        <f t="shared" si="108"/>
        <v>0</v>
      </c>
      <c r="AY70" s="3350">
        <f t="shared" si="84"/>
        <v>0</v>
      </c>
      <c r="AZ70" s="2046"/>
      <c r="BA70" s="2011"/>
      <c r="BB70" s="2051"/>
      <c r="BC70" s="2012">
        <f t="shared" si="109"/>
        <v>0</v>
      </c>
      <c r="BD70" s="3350">
        <f>BC70/BC$89</f>
        <v>0</v>
      </c>
      <c r="BE70" s="2046"/>
      <c r="BF70" s="2011"/>
      <c r="BG70" s="2051"/>
      <c r="BH70" s="2012">
        <f t="shared" si="110"/>
        <v>0</v>
      </c>
      <c r="BI70" s="3350">
        <f t="shared" si="86"/>
        <v>0</v>
      </c>
      <c r="BJ70" s="2046"/>
      <c r="BK70" s="2011"/>
      <c r="BL70" s="2051"/>
      <c r="BM70" s="2012">
        <f t="shared" si="111"/>
        <v>0</v>
      </c>
      <c r="BN70" s="3350">
        <f t="shared" si="87"/>
        <v>0</v>
      </c>
      <c r="BO70" s="2046"/>
      <c r="BP70" s="2011"/>
      <c r="BQ70" s="2051"/>
      <c r="BR70" s="2012">
        <f t="shared" si="112"/>
        <v>0</v>
      </c>
      <c r="BS70" s="3350">
        <f t="shared" si="88"/>
        <v>0</v>
      </c>
      <c r="BT70" s="2046"/>
      <c r="BU70" s="2011"/>
      <c r="BV70" s="2051"/>
      <c r="BW70" s="2012">
        <f t="shared" si="113"/>
        <v>0</v>
      </c>
      <c r="BX70" s="3350">
        <f t="shared" si="89"/>
        <v>0</v>
      </c>
      <c r="BY70" s="2046"/>
      <c r="BZ70" s="2043">
        <f t="shared" si="104"/>
        <v>0</v>
      </c>
      <c r="CA70" s="2043">
        <f t="shared" si="104"/>
        <v>0</v>
      </c>
      <c r="CB70" s="2012">
        <f t="shared" si="105"/>
        <v>0</v>
      </c>
      <c r="CC70" s="3350">
        <f t="shared" si="71"/>
        <v>0</v>
      </c>
      <c r="CD70" s="3360"/>
      <c r="CE70" s="842"/>
      <c r="CF70" s="842"/>
    </row>
    <row r="71" spans="1:84" s="1396" customFormat="1" ht="14.4" customHeight="1">
      <c r="A71" s="1571"/>
      <c r="B71" s="3877" t="s">
        <v>78</v>
      </c>
      <c r="C71" s="3842"/>
      <c r="D71" s="3841"/>
      <c r="E71" s="3463">
        <f t="shared" si="90"/>
        <v>0</v>
      </c>
      <c r="F71" s="3303" t="e">
        <f t="shared" si="106"/>
        <v>#DIV/0!</v>
      </c>
      <c r="G71" s="2043">
        <v>0</v>
      </c>
      <c r="H71" s="2043">
        <v>0</v>
      </c>
      <c r="I71" s="2012">
        <v>0</v>
      </c>
      <c r="J71" s="3432">
        <v>0</v>
      </c>
      <c r="K71" s="1976"/>
      <c r="L71" s="2043">
        <v>0</v>
      </c>
      <c r="M71" s="2043">
        <v>0</v>
      </c>
      <c r="N71" s="2012">
        <f t="shared" si="91"/>
        <v>0</v>
      </c>
      <c r="O71" s="3350">
        <f t="shared" si="6"/>
        <v>0</v>
      </c>
      <c r="P71" s="3859"/>
      <c r="Q71" s="1698"/>
      <c r="R71" s="2043"/>
      <c r="S71" s="2043"/>
      <c r="T71" s="2012">
        <f t="shared" si="92"/>
        <v>0</v>
      </c>
      <c r="U71" s="3350">
        <f t="shared" si="80"/>
        <v>0</v>
      </c>
      <c r="V71" s="3361"/>
      <c r="W71" s="2043"/>
      <c r="X71" s="2043"/>
      <c r="Y71" s="2012">
        <f t="shared" si="93"/>
        <v>0</v>
      </c>
      <c r="Z71" s="3350">
        <f t="shared" si="81"/>
        <v>0</v>
      </c>
      <c r="AA71" s="3859"/>
      <c r="AB71" s="2043"/>
      <c r="AC71" s="2043"/>
      <c r="AD71" s="2012">
        <f t="shared" si="94"/>
        <v>0</v>
      </c>
      <c r="AE71" s="3350">
        <f t="shared" si="82"/>
        <v>0</v>
      </c>
      <c r="AF71" s="3859"/>
      <c r="AG71" s="2043"/>
      <c r="AH71" s="2043"/>
      <c r="AI71" s="2012">
        <f t="shared" si="95"/>
        <v>0</v>
      </c>
      <c r="AJ71" s="3350" t="e">
        <f t="shared" si="7"/>
        <v>#DIV/0!</v>
      </c>
      <c r="AK71" s="3859"/>
      <c r="AL71" s="2043"/>
      <c r="AM71" s="2043"/>
      <c r="AN71" s="2012">
        <f t="shared" si="96"/>
        <v>0</v>
      </c>
      <c r="AO71" s="3350">
        <f t="shared" si="8"/>
        <v>0</v>
      </c>
      <c r="AP71" s="3859"/>
      <c r="AQ71" s="2051"/>
      <c r="AR71" s="2043"/>
      <c r="AS71" s="2012">
        <f t="shared" si="107"/>
        <v>0</v>
      </c>
      <c r="AT71" s="3350" t="e">
        <f t="shared" si="83"/>
        <v>#DIV/0!</v>
      </c>
      <c r="AU71" s="2046"/>
      <c r="AV71" s="2051"/>
      <c r="AW71" s="2043"/>
      <c r="AX71" s="2012">
        <f t="shared" si="108"/>
        <v>0</v>
      </c>
      <c r="AY71" s="3350">
        <f t="shared" si="84"/>
        <v>0</v>
      </c>
      <c r="AZ71" s="2046"/>
      <c r="BA71" s="2051"/>
      <c r="BB71" s="2043"/>
      <c r="BC71" s="2012">
        <f t="shared" si="109"/>
        <v>0</v>
      </c>
      <c r="BD71" s="3350">
        <f t="shared" si="85"/>
        <v>0</v>
      </c>
      <c r="BE71" s="2046"/>
      <c r="BF71" s="2051"/>
      <c r="BG71" s="2043"/>
      <c r="BH71" s="2012">
        <f t="shared" si="110"/>
        <v>0</v>
      </c>
      <c r="BI71" s="3350">
        <f t="shared" si="86"/>
        <v>0</v>
      </c>
      <c r="BJ71" s="2046"/>
      <c r="BK71" s="2051"/>
      <c r="BL71" s="2043"/>
      <c r="BM71" s="2012">
        <f t="shared" si="111"/>
        <v>0</v>
      </c>
      <c r="BN71" s="3350">
        <f t="shared" si="87"/>
        <v>0</v>
      </c>
      <c r="BO71" s="2046"/>
      <c r="BP71" s="2051"/>
      <c r="BQ71" s="2043"/>
      <c r="BR71" s="2012">
        <f t="shared" si="112"/>
        <v>0</v>
      </c>
      <c r="BS71" s="3350">
        <f t="shared" si="88"/>
        <v>0</v>
      </c>
      <c r="BT71" s="2046"/>
      <c r="BU71" s="2051"/>
      <c r="BV71" s="2043"/>
      <c r="BW71" s="2012">
        <f t="shared" si="113"/>
        <v>0</v>
      </c>
      <c r="BX71" s="3350">
        <f t="shared" si="89"/>
        <v>0</v>
      </c>
      <c r="BY71" s="2046"/>
      <c r="BZ71" s="2043">
        <f t="shared" si="104"/>
        <v>0</v>
      </c>
      <c r="CA71" s="2043">
        <f t="shared" si="104"/>
        <v>0</v>
      </c>
      <c r="CB71" s="2012">
        <f t="shared" si="105"/>
        <v>0</v>
      </c>
      <c r="CC71" s="3350">
        <f t="shared" si="71"/>
        <v>0</v>
      </c>
      <c r="CD71" s="3360"/>
      <c r="CE71" s="842"/>
      <c r="CF71" s="842"/>
    </row>
    <row r="72" spans="1:84" s="1396" customFormat="1" ht="14.4" customHeight="1" thickBot="1">
      <c r="A72" s="1571"/>
      <c r="B72" s="3878"/>
      <c r="C72" s="3844"/>
      <c r="D72" s="3845"/>
      <c r="E72" s="3879"/>
      <c r="F72" s="3303" t="e">
        <f t="shared" si="106"/>
        <v>#DIV/0!</v>
      </c>
      <c r="G72" s="2027"/>
      <c r="H72" s="2027"/>
      <c r="I72" s="2030"/>
      <c r="J72" s="1690">
        <v>0</v>
      </c>
      <c r="K72" s="1690"/>
      <c r="L72" s="2027"/>
      <c r="M72" s="2027"/>
      <c r="N72" s="2030"/>
      <c r="O72" s="3303"/>
      <c r="P72" s="3304"/>
      <c r="Q72" s="1698"/>
      <c r="R72" s="2027"/>
      <c r="S72" s="2027"/>
      <c r="T72" s="2030"/>
      <c r="U72" s="3303">
        <f t="shared" si="80"/>
        <v>0</v>
      </c>
      <c r="V72" s="3880"/>
      <c r="W72" s="2027"/>
      <c r="X72" s="2027"/>
      <c r="Y72" s="2030"/>
      <c r="Z72" s="3303">
        <f t="shared" si="81"/>
        <v>0</v>
      </c>
      <c r="AA72" s="3304"/>
      <c r="AB72" s="2027"/>
      <c r="AC72" s="2027"/>
      <c r="AD72" s="2030"/>
      <c r="AE72" s="3303">
        <f t="shared" si="82"/>
        <v>0</v>
      </c>
      <c r="AF72" s="3304"/>
      <c r="AG72" s="2027"/>
      <c r="AH72" s="2027"/>
      <c r="AI72" s="2030"/>
      <c r="AJ72" s="3303"/>
      <c r="AK72" s="3304"/>
      <c r="AL72" s="2027"/>
      <c r="AM72" s="2027"/>
      <c r="AN72" s="2030"/>
      <c r="AO72" s="3303"/>
      <c r="AP72" s="3304"/>
      <c r="AQ72" s="2029"/>
      <c r="AR72" s="2027"/>
      <c r="AS72" s="2030"/>
      <c r="AT72" s="3303"/>
      <c r="AU72" s="3846"/>
      <c r="AV72" s="2029"/>
      <c r="AW72" s="2027"/>
      <c r="AX72" s="2030"/>
      <c r="AY72" s="3303"/>
      <c r="AZ72" s="3846"/>
      <c r="BA72" s="2029"/>
      <c r="BB72" s="2027"/>
      <c r="BC72" s="2030"/>
      <c r="BD72" s="3303"/>
      <c r="BE72" s="3846"/>
      <c r="BF72" s="2029"/>
      <c r="BG72" s="2027"/>
      <c r="BH72" s="2030"/>
      <c r="BI72" s="3303"/>
      <c r="BJ72" s="3846"/>
      <c r="BK72" s="2029"/>
      <c r="BL72" s="2027"/>
      <c r="BM72" s="2030"/>
      <c r="BN72" s="3303"/>
      <c r="BO72" s="3846"/>
      <c r="BP72" s="2029"/>
      <c r="BQ72" s="2027"/>
      <c r="BR72" s="2030"/>
      <c r="BS72" s="3303"/>
      <c r="BT72" s="3846"/>
      <c r="BU72" s="2029"/>
      <c r="BV72" s="2027"/>
      <c r="BW72" s="2030"/>
      <c r="BX72" s="3303"/>
      <c r="BY72" s="3846"/>
      <c r="BZ72" s="2027"/>
      <c r="CA72" s="2027"/>
      <c r="CB72" s="2030"/>
      <c r="CC72" s="3303">
        <f t="shared" si="71"/>
        <v>0</v>
      </c>
      <c r="CD72" s="3304"/>
      <c r="CE72" s="842"/>
      <c r="CF72" s="842"/>
    </row>
    <row r="73" spans="1:84" s="1396" customFormat="1" ht="14.4" customHeight="1" thickBot="1">
      <c r="A73" s="1571"/>
      <c r="B73" s="903" t="s">
        <v>4</v>
      </c>
      <c r="C73" s="1584">
        <f>C74</f>
        <v>0</v>
      </c>
      <c r="D73" s="843">
        <f>D74</f>
        <v>0</v>
      </c>
      <c r="E73" s="1584">
        <f>E74</f>
        <v>0</v>
      </c>
      <c r="F73" s="838" t="e">
        <f>E73/$E$89</f>
        <v>#DIV/0!</v>
      </c>
      <c r="G73" s="1584">
        <v>0</v>
      </c>
      <c r="H73" s="1689">
        <v>0</v>
      </c>
      <c r="I73" s="1688">
        <v>0</v>
      </c>
      <c r="J73" s="969"/>
      <c r="K73" s="969"/>
      <c r="L73" s="1584">
        <f>L74</f>
        <v>0</v>
      </c>
      <c r="M73" s="1689">
        <f>M74</f>
        <v>0</v>
      </c>
      <c r="N73" s="1688">
        <f>N74</f>
        <v>0</v>
      </c>
      <c r="O73" s="1689"/>
      <c r="P73" s="1689"/>
      <c r="Q73" s="2546"/>
      <c r="R73" s="1584">
        <f>R74</f>
        <v>0</v>
      </c>
      <c r="S73" s="1689">
        <f>S74</f>
        <v>0</v>
      </c>
      <c r="T73" s="1688">
        <f>T74</f>
        <v>0</v>
      </c>
      <c r="U73" s="1689"/>
      <c r="V73" s="1697"/>
      <c r="W73" s="1584">
        <f>W74</f>
        <v>0</v>
      </c>
      <c r="X73" s="1689">
        <f>X74</f>
        <v>0</v>
      </c>
      <c r="Y73" s="1688">
        <f>Y74</f>
        <v>0</v>
      </c>
      <c r="Z73" s="1689"/>
      <c r="AA73" s="1689"/>
      <c r="AB73" s="1584">
        <f>AB74</f>
        <v>0</v>
      </c>
      <c r="AC73" s="1689">
        <f>AC74</f>
        <v>0</v>
      </c>
      <c r="AD73" s="1688">
        <f>AD74</f>
        <v>0</v>
      </c>
      <c r="AE73" s="1689"/>
      <c r="AF73" s="1689"/>
      <c r="AG73" s="1584">
        <f>AG74</f>
        <v>0</v>
      </c>
      <c r="AH73" s="1689">
        <f>AH74</f>
        <v>0</v>
      </c>
      <c r="AI73" s="1688">
        <f>AI74</f>
        <v>0</v>
      </c>
      <c r="AJ73" s="1689"/>
      <c r="AK73" s="1689"/>
      <c r="AL73" s="1584">
        <f>AL74</f>
        <v>0</v>
      </c>
      <c r="AM73" s="1689">
        <f>AM74</f>
        <v>0</v>
      </c>
      <c r="AN73" s="1688">
        <f>AN74</f>
        <v>0</v>
      </c>
      <c r="AO73" s="1689"/>
      <c r="AP73" s="1689"/>
      <c r="AQ73" s="1584">
        <f>AQ74</f>
        <v>0</v>
      </c>
      <c r="AR73" s="1584">
        <f>AR74</f>
        <v>0</v>
      </c>
      <c r="AS73" s="1688">
        <f>AS74</f>
        <v>0</v>
      </c>
      <c r="AT73" s="1689" t="e">
        <f t="shared" ref="AT73:AT74" si="114">AS73/AS$89</f>
        <v>#DIV/0!</v>
      </c>
      <c r="AU73" s="1732"/>
      <c r="AV73" s="1584">
        <f>AV74</f>
        <v>0</v>
      </c>
      <c r="AW73" s="1584">
        <f>AW74</f>
        <v>0</v>
      </c>
      <c r="AX73" s="1688">
        <f>AX74</f>
        <v>0</v>
      </c>
      <c r="AY73" s="1689">
        <f t="shared" ref="AY73:AY74" si="115">AX73/AX$89</f>
        <v>0</v>
      </c>
      <c r="AZ73" s="1732"/>
      <c r="BA73" s="1584">
        <f>BA74</f>
        <v>0</v>
      </c>
      <c r="BB73" s="1584">
        <f>BB74</f>
        <v>0</v>
      </c>
      <c r="BC73" s="1688">
        <f>BC74</f>
        <v>0</v>
      </c>
      <c r="BD73" s="1689">
        <f t="shared" ref="BD73:BD74" si="116">BC73/BC$89</f>
        <v>0</v>
      </c>
      <c r="BE73" s="1732"/>
      <c r="BF73" s="1584">
        <f>BF74</f>
        <v>0</v>
      </c>
      <c r="BG73" s="1584">
        <f>BG74</f>
        <v>0</v>
      </c>
      <c r="BH73" s="1688">
        <f>BH74</f>
        <v>0</v>
      </c>
      <c r="BI73" s="1689">
        <f t="shared" ref="BI73:BI74" si="117">BH73/BH$89</f>
        <v>0</v>
      </c>
      <c r="BJ73" s="1732"/>
      <c r="BK73" s="1584">
        <f>BK74</f>
        <v>0</v>
      </c>
      <c r="BL73" s="1584">
        <f>BL74</f>
        <v>0</v>
      </c>
      <c r="BM73" s="1688">
        <f>BM74</f>
        <v>0</v>
      </c>
      <c r="BN73" s="1689">
        <f t="shared" ref="BN73:BN74" si="118">BM73/BM$89</f>
        <v>0</v>
      </c>
      <c r="BO73" s="1732"/>
      <c r="BP73" s="1584">
        <f>BP74</f>
        <v>0</v>
      </c>
      <c r="BQ73" s="1584">
        <f>BQ74</f>
        <v>0</v>
      </c>
      <c r="BR73" s="1688">
        <f>BR74</f>
        <v>0</v>
      </c>
      <c r="BS73" s="1689">
        <f t="shared" ref="BS73:BS74" si="119">BR73/BR$89</f>
        <v>0</v>
      </c>
      <c r="BT73" s="1732"/>
      <c r="BU73" s="1584">
        <f>BU74</f>
        <v>0</v>
      </c>
      <c r="BV73" s="1584">
        <f>BV74</f>
        <v>0</v>
      </c>
      <c r="BW73" s="1688">
        <f>BW74</f>
        <v>0</v>
      </c>
      <c r="BX73" s="1689">
        <f t="shared" ref="BX73:BX74" si="120">BW73/BW$89</f>
        <v>0</v>
      </c>
      <c r="BY73" s="1732"/>
      <c r="BZ73" s="1584">
        <f>BZ74</f>
        <v>0</v>
      </c>
      <c r="CA73" s="1689">
        <f>CA74</f>
        <v>0</v>
      </c>
      <c r="CB73" s="1688">
        <f>CB74</f>
        <v>0</v>
      </c>
      <c r="CC73" s="1689"/>
      <c r="CD73" s="1689"/>
      <c r="CE73" s="842"/>
      <c r="CF73" s="842"/>
    </row>
    <row r="74" spans="1:84" s="1396" customFormat="1" ht="14.4" customHeight="1" thickBot="1">
      <c r="A74" s="1413"/>
      <c r="B74" s="1070" t="s">
        <v>64</v>
      </c>
      <c r="C74" s="1099">
        <f>C6*3%</f>
        <v>0</v>
      </c>
      <c r="D74" s="305"/>
      <c r="E74" s="306">
        <f>C74+D74</f>
        <v>0</v>
      </c>
      <c r="F74" s="307"/>
      <c r="G74" s="2043">
        <v>0</v>
      </c>
      <c r="H74" s="2043">
        <v>0</v>
      </c>
      <c r="I74" s="1648">
        <v>0</v>
      </c>
      <c r="J74" s="1712"/>
      <c r="K74" s="1712"/>
      <c r="L74" s="2043"/>
      <c r="M74" s="2043"/>
      <c r="N74" s="1739">
        <f>L74+M74*1</f>
        <v>0</v>
      </c>
      <c r="O74" s="1648"/>
      <c r="P74" s="1648"/>
      <c r="Q74" s="1725"/>
      <c r="R74" s="2043"/>
      <c r="S74" s="2043"/>
      <c r="T74" s="841">
        <f>R74+S74*1</f>
        <v>0</v>
      </c>
      <c r="U74" s="1648"/>
      <c r="V74" s="1648"/>
      <c r="W74" s="2043"/>
      <c r="X74" s="2043"/>
      <c r="Y74" s="1739">
        <f>W74+X74*1</f>
        <v>0</v>
      </c>
      <c r="Z74" s="1648"/>
      <c r="AA74" s="1648"/>
      <c r="AB74" s="2043"/>
      <c r="AC74" s="2043"/>
      <c r="AD74" s="1739">
        <f>AB74+AC74*1</f>
        <v>0</v>
      </c>
      <c r="AE74" s="1648"/>
      <c r="AF74" s="1648"/>
      <c r="AG74" s="2043"/>
      <c r="AH74" s="2043"/>
      <c r="AI74" s="1739">
        <f>AG74+AH74*1</f>
        <v>0</v>
      </c>
      <c r="AJ74" s="1648"/>
      <c r="AK74" s="1648"/>
      <c r="AL74" s="2043"/>
      <c r="AM74" s="2043"/>
      <c r="AN74" s="1739">
        <f>AL74+AM74*1</f>
        <v>0</v>
      </c>
      <c r="AO74" s="1648"/>
      <c r="AP74" s="1648"/>
      <c r="AQ74" s="2028"/>
      <c r="AR74" s="2025"/>
      <c r="AS74" s="1628">
        <f>AQ74+AR74*1</f>
        <v>0</v>
      </c>
      <c r="AT74" s="1664" t="e">
        <f t="shared" si="114"/>
        <v>#DIV/0!</v>
      </c>
      <c r="AU74" s="1675"/>
      <c r="AV74" s="2028"/>
      <c r="AW74" s="2025"/>
      <c r="AX74" s="1628">
        <f>AV74+AW74*1</f>
        <v>0</v>
      </c>
      <c r="AY74" s="1664">
        <f t="shared" si="115"/>
        <v>0</v>
      </c>
      <c r="AZ74" s="1675"/>
      <c r="BA74" s="2028"/>
      <c r="BB74" s="2025"/>
      <c r="BC74" s="1628">
        <f>BA74+BB74*1</f>
        <v>0</v>
      </c>
      <c r="BD74" s="1664">
        <f t="shared" si="116"/>
        <v>0</v>
      </c>
      <c r="BE74" s="1675"/>
      <c r="BF74" s="2028"/>
      <c r="BG74" s="2025"/>
      <c r="BH74" s="1628">
        <f>BF74+BG74*1</f>
        <v>0</v>
      </c>
      <c r="BI74" s="1664">
        <f t="shared" si="117"/>
        <v>0</v>
      </c>
      <c r="BJ74" s="1675"/>
      <c r="BK74" s="2028"/>
      <c r="BL74" s="2025"/>
      <c r="BM74" s="1628">
        <f>BK74+BL74*1</f>
        <v>0</v>
      </c>
      <c r="BN74" s="1664">
        <f t="shared" si="118"/>
        <v>0</v>
      </c>
      <c r="BO74" s="1675"/>
      <c r="BP74" s="2028"/>
      <c r="BQ74" s="2025"/>
      <c r="BR74" s="1628">
        <f>BP74+BQ74*1</f>
        <v>0</v>
      </c>
      <c r="BS74" s="1664">
        <f t="shared" si="119"/>
        <v>0</v>
      </c>
      <c r="BT74" s="1675"/>
      <c r="BU74" s="2028"/>
      <c r="BV74" s="2025"/>
      <c r="BW74" s="1628">
        <f>BU74+BV74*1</f>
        <v>0</v>
      </c>
      <c r="BX74" s="1664">
        <f t="shared" si="120"/>
        <v>0</v>
      </c>
      <c r="BY74" s="1675"/>
      <c r="BZ74" s="2043">
        <f t="shared" ref="BZ74" si="121">G74+L74+R74+W74+AB74+AG74+AL74+AQ74+AV74+BA74+BF74+BK74+BP74+BU74</f>
        <v>0</v>
      </c>
      <c r="CA74" s="2043">
        <f>H74+M74+S74+X74+AC74+AH74+AM74+AR74+AW74+BB74+BG74+BL74+BQ74+BV74</f>
        <v>0</v>
      </c>
      <c r="CB74" s="841">
        <f>BZ74+CA74*1</f>
        <v>0</v>
      </c>
      <c r="CC74" s="1648"/>
      <c r="CD74" s="1648"/>
      <c r="CE74" s="842"/>
      <c r="CF74" s="842"/>
    </row>
    <row r="75" spans="1:84" s="1396" customFormat="1" ht="14.4" customHeight="1" thickBot="1">
      <c r="A75" s="1399"/>
      <c r="B75" s="1416" t="s">
        <v>48</v>
      </c>
      <c r="C75" s="1958">
        <f>C38-C41-C50-C54</f>
        <v>0</v>
      </c>
      <c r="D75" s="1958">
        <f>D38-D41-D50-D54</f>
        <v>0</v>
      </c>
      <c r="E75" s="1508">
        <f>E38-E41-E50-E54</f>
        <v>0</v>
      </c>
      <c r="F75" s="1536"/>
      <c r="G75" s="1450">
        <v>6117502.4199999999</v>
      </c>
      <c r="H75" s="1450">
        <v>-898669.99419090908</v>
      </c>
      <c r="I75" s="1508">
        <v>5218832.42580909</v>
      </c>
      <c r="J75" s="1713"/>
      <c r="K75" s="1713"/>
      <c r="L75" s="1450">
        <f>L38-L41-L50-L54</f>
        <v>9578726.5512400009</v>
      </c>
      <c r="M75" s="1450">
        <f>M38-M41-M50-M54</f>
        <v>-1364410.13</v>
      </c>
      <c r="N75" s="1508">
        <f>N38-N41-N50-N54</f>
        <v>8214316.421240001</v>
      </c>
      <c r="O75" s="1953"/>
      <c r="P75" s="1953"/>
      <c r="Q75" s="1536"/>
      <c r="R75" s="1450">
        <f>R38-R41-R50-R54</f>
        <v>-5977252.04</v>
      </c>
      <c r="S75" s="1450">
        <f>S38-S41-S50-S54</f>
        <v>0</v>
      </c>
      <c r="T75" s="1508">
        <f>T38-T41-T50-T54</f>
        <v>-5977252.04</v>
      </c>
      <c r="U75" s="1953"/>
      <c r="V75" s="1599"/>
      <c r="W75" s="1450">
        <f>W38-W41-W50-W54</f>
        <v>-27000</v>
      </c>
      <c r="X75" s="1450">
        <f>X38-X41-X50-X54</f>
        <v>0</v>
      </c>
      <c r="Y75" s="1508">
        <f>Y38-Y41-Y50-Y54</f>
        <v>-27000</v>
      </c>
      <c r="Z75" s="1953"/>
      <c r="AA75" s="1953"/>
      <c r="AB75" s="1450">
        <f>AB38-AB41-AB50-AB54</f>
        <v>0</v>
      </c>
      <c r="AC75" s="1450">
        <f>AC38-AC41-AC50-AC54</f>
        <v>-40</v>
      </c>
      <c r="AD75" s="1508">
        <f>AD38-AD41-AD50-AD54</f>
        <v>-40</v>
      </c>
      <c r="AE75" s="1953"/>
      <c r="AF75" s="1953"/>
      <c r="AG75" s="1450">
        <f>AG38-AG41-AG50-AG54</f>
        <v>0</v>
      </c>
      <c r="AH75" s="1450">
        <f>AH38-AH41-AH50-AH54</f>
        <v>0</v>
      </c>
      <c r="AI75" s="1508">
        <f>AI38-AI41-AI50-AI54</f>
        <v>0</v>
      </c>
      <c r="AJ75" s="1953"/>
      <c r="AK75" s="1953"/>
      <c r="AL75" s="1450">
        <f>AL38-AL41-AL50-AL54</f>
        <v>1211745.4800000004</v>
      </c>
      <c r="AM75" s="1450">
        <f>AM38-AM41-AM50-AM54</f>
        <v>0</v>
      </c>
      <c r="AN75" s="1508">
        <f>AN38-AN41-AN50-AN54</f>
        <v>1211745.4800000004</v>
      </c>
      <c r="AO75" s="1953"/>
      <c r="AP75" s="1953"/>
      <c r="AQ75" s="1450">
        <f>AQ38-AQ41-AQ50-AQ54</f>
        <v>0</v>
      </c>
      <c r="AR75" s="1450">
        <f>AR38-AR41-AR50-AR54</f>
        <v>0</v>
      </c>
      <c r="AS75" s="1508">
        <f>AS38-AS41-AS50-AS54</f>
        <v>0</v>
      </c>
      <c r="AT75" s="1953"/>
      <c r="AU75" s="1660"/>
      <c r="AV75" s="1450">
        <f>AV38-AV41-AV50-AV54</f>
        <v>5121.2600000000093</v>
      </c>
      <c r="AW75" s="1450">
        <f>AW38-AW41-AW50-AW54</f>
        <v>0</v>
      </c>
      <c r="AX75" s="1508">
        <f>AX38-AX41-AX50-AX54</f>
        <v>5121.2600000000093</v>
      </c>
      <c r="AY75" s="1953"/>
      <c r="AZ75" s="1660"/>
      <c r="BA75" s="1450">
        <f>BA38-BA41-BA50-BA54</f>
        <v>-55.01</v>
      </c>
      <c r="BB75" s="1450">
        <f>BB38-BB41-BB50-BB54</f>
        <v>-80</v>
      </c>
      <c r="BC75" s="1508">
        <f>BC38-BC41-BC50-BC54</f>
        <v>-135.01</v>
      </c>
      <c r="BD75" s="1953"/>
      <c r="BE75" s="1660"/>
      <c r="BF75" s="1450">
        <f>BF38-BF41-BF50-BF54</f>
        <v>-55.01</v>
      </c>
      <c r="BG75" s="1450">
        <f>BG38-BG41-BG50-BG54</f>
        <v>0</v>
      </c>
      <c r="BH75" s="1508">
        <f>BH38-BH41-BH50-BH54</f>
        <v>-55.01</v>
      </c>
      <c r="BI75" s="1953"/>
      <c r="BJ75" s="1660"/>
      <c r="BK75" s="1450">
        <f>BK38-BK41-BK50-BK54</f>
        <v>-55.01</v>
      </c>
      <c r="BL75" s="1450">
        <f>BL38-BL41-BL50-BL54</f>
        <v>0</v>
      </c>
      <c r="BM75" s="1508">
        <f>BM38-BM41-BM50-BM54</f>
        <v>-55.01</v>
      </c>
      <c r="BN75" s="1953"/>
      <c r="BO75" s="1660"/>
      <c r="BP75" s="1450">
        <f>BP38-BP41-BP50-BP54</f>
        <v>0</v>
      </c>
      <c r="BQ75" s="1450">
        <f>BQ38-BQ41-BQ50-BQ54</f>
        <v>0</v>
      </c>
      <c r="BR75" s="1508">
        <f>BR38-BR41-BR50-BR54</f>
        <v>0</v>
      </c>
      <c r="BS75" s="1953"/>
      <c r="BT75" s="1660"/>
      <c r="BU75" s="1450">
        <f>BU38-BU41-BU50-BU54</f>
        <v>0</v>
      </c>
      <c r="BV75" s="1450">
        <f>BV38-BV41-BV50-BV54</f>
        <v>-129.5</v>
      </c>
      <c r="BW75" s="1508">
        <f>BW38-BW41-BW50-BW54</f>
        <v>-129.5</v>
      </c>
      <c r="BX75" s="1953"/>
      <c r="BY75" s="1660"/>
      <c r="BZ75" s="1450">
        <f>BZ38-BZ41-BZ50-BZ54</f>
        <v>13485500.939132931</v>
      </c>
      <c r="CA75" s="1450">
        <f>CA38-CA41-CA50-CA54</f>
        <v>-2406776.824190909</v>
      </c>
      <c r="CB75" s="1508">
        <f>CB38-CB41-CB50-CB54</f>
        <v>11078724.114942016</v>
      </c>
      <c r="CC75" s="1953"/>
      <c r="CD75" s="1953"/>
      <c r="CE75" s="842"/>
      <c r="CF75" s="842"/>
    </row>
    <row r="76" spans="1:84" s="1396" customFormat="1" ht="14.4" customHeight="1">
      <c r="A76" s="1566"/>
      <c r="B76" s="1429" t="s">
        <v>49</v>
      </c>
      <c r="C76" s="1525" t="e">
        <f>C75/C5</f>
        <v>#DIV/0!</v>
      </c>
      <c r="D76" s="1525" t="e">
        <f>D75/D5</f>
        <v>#DIV/0!</v>
      </c>
      <c r="E76" s="1526" t="e">
        <f>E75/E5</f>
        <v>#DIV/0!</v>
      </c>
      <c r="F76" s="1531"/>
      <c r="G76" s="2003">
        <v>0.46910630471699688</v>
      </c>
      <c r="H76" s="2003" t="e">
        <v>#DIV/0!</v>
      </c>
      <c r="I76" s="2004">
        <v>0.40019390694553136</v>
      </c>
      <c r="J76" s="1709"/>
      <c r="K76" s="1709"/>
      <c r="L76" s="2003">
        <f>L75/L5</f>
        <v>0.81434974066437138</v>
      </c>
      <c r="M76" s="2003" t="e">
        <f>M75/M5</f>
        <v>#DIV/0!</v>
      </c>
      <c r="N76" s="2004">
        <f>N75/N5</f>
        <v>0.69835237613145185</v>
      </c>
      <c r="O76" s="2004"/>
      <c r="P76" s="2004"/>
      <c r="Q76" s="1531"/>
      <c r="R76" s="2003" t="e">
        <f>R75/R5</f>
        <v>#DIV/0!</v>
      </c>
      <c r="S76" s="2003" t="e">
        <f>S75/S5</f>
        <v>#DIV/0!</v>
      </c>
      <c r="T76" s="2004" t="e">
        <f>T75/T5</f>
        <v>#DIV/0!</v>
      </c>
      <c r="U76" s="2004"/>
      <c r="V76" s="2022"/>
      <c r="W76" s="2003" t="e">
        <f>W75/W5</f>
        <v>#DIV/0!</v>
      </c>
      <c r="X76" s="2003" t="e">
        <f>X75/X5</f>
        <v>#DIV/0!</v>
      </c>
      <c r="Y76" s="2004" t="e">
        <f>Y75/Y5</f>
        <v>#DIV/0!</v>
      </c>
      <c r="Z76" s="2004"/>
      <c r="AA76" s="2004"/>
      <c r="AB76" s="2003" t="e">
        <f>AB75/AB5</f>
        <v>#DIV/0!</v>
      </c>
      <c r="AC76" s="2003" t="e">
        <f>AC75/AC5</f>
        <v>#DIV/0!</v>
      </c>
      <c r="AD76" s="2004" t="e">
        <f>AD75/AD5</f>
        <v>#DIV/0!</v>
      </c>
      <c r="AE76" s="2004"/>
      <c r="AF76" s="2004"/>
      <c r="AG76" s="2003" t="e">
        <f>AG75/AG5</f>
        <v>#DIV/0!</v>
      </c>
      <c r="AH76" s="2003" t="e">
        <f>AH75/AH5</f>
        <v>#DIV/0!</v>
      </c>
      <c r="AI76" s="2004" t="e">
        <f>AI75/AI5</f>
        <v>#DIV/0!</v>
      </c>
      <c r="AJ76" s="2004"/>
      <c r="AK76" s="2004"/>
      <c r="AL76" s="2003">
        <f>AL75/AL5</f>
        <v>0.11737213087054102</v>
      </c>
      <c r="AM76" s="2003" t="e">
        <f>AM75/AM5</f>
        <v>#DIV/0!</v>
      </c>
      <c r="AN76" s="2004">
        <f>AN75/AN5</f>
        <v>0.11737213087054102</v>
      </c>
      <c r="AO76" s="2004"/>
      <c r="AP76" s="2004"/>
      <c r="AQ76" s="2003" t="e">
        <f>AQ75/AQ5</f>
        <v>#DIV/0!</v>
      </c>
      <c r="AR76" s="2003" t="e">
        <f>AR75/AR5</f>
        <v>#DIV/0!</v>
      </c>
      <c r="AS76" s="2004" t="e">
        <f>AS75/AS5</f>
        <v>#DIV/0!</v>
      </c>
      <c r="AT76" s="2004"/>
      <c r="AU76" s="1661"/>
      <c r="AV76" s="2003">
        <f>AV75/AV5</f>
        <v>6.115169069213452E-3</v>
      </c>
      <c r="AW76" s="2003" t="e">
        <f>AW75/AW5</f>
        <v>#DIV/0!</v>
      </c>
      <c r="AX76" s="2004">
        <f>AX75/AX5</f>
        <v>6.115169069213452E-3</v>
      </c>
      <c r="AY76" s="2004"/>
      <c r="AZ76" s="1661"/>
      <c r="BA76" s="2003" t="e">
        <f>BA75/BA5</f>
        <v>#DIV/0!</v>
      </c>
      <c r="BB76" s="2003" t="e">
        <f>BB75/BB5</f>
        <v>#DIV/0!</v>
      </c>
      <c r="BC76" s="2004" t="e">
        <f>BC75/BC5</f>
        <v>#DIV/0!</v>
      </c>
      <c r="BD76" s="2004"/>
      <c r="BE76" s="1661"/>
      <c r="BF76" s="2003" t="e">
        <f>BF75/BF5</f>
        <v>#DIV/0!</v>
      </c>
      <c r="BG76" s="2003" t="e">
        <f>BG75/BG5</f>
        <v>#DIV/0!</v>
      </c>
      <c r="BH76" s="2004" t="e">
        <f>BH75/BH5</f>
        <v>#DIV/0!</v>
      </c>
      <c r="BI76" s="2004"/>
      <c r="BJ76" s="1661"/>
      <c r="BK76" s="2003" t="e">
        <f>BK75/BK5</f>
        <v>#DIV/0!</v>
      </c>
      <c r="BL76" s="2003" t="e">
        <f>BL75/BL5</f>
        <v>#DIV/0!</v>
      </c>
      <c r="BM76" s="2004" t="e">
        <f>BM75/BM5</f>
        <v>#DIV/0!</v>
      </c>
      <c r="BN76" s="2004"/>
      <c r="BO76" s="1661"/>
      <c r="BP76" s="2003" t="e">
        <f>BP75/BP5</f>
        <v>#DIV/0!</v>
      </c>
      <c r="BQ76" s="2003" t="e">
        <f>BQ75/BQ5</f>
        <v>#DIV/0!</v>
      </c>
      <c r="BR76" s="2004" t="e">
        <f>BR75/BR5</f>
        <v>#DIV/0!</v>
      </c>
      <c r="BS76" s="2004"/>
      <c r="BT76" s="1661"/>
      <c r="BU76" s="2003" t="e">
        <f>BU75/BU5</f>
        <v>#DIV/0!</v>
      </c>
      <c r="BV76" s="2003" t="e">
        <f>BV75/BV5</f>
        <v>#DIV/0!</v>
      </c>
      <c r="BW76" s="2004" t="e">
        <f>BW75/BW5</f>
        <v>#DIV/0!</v>
      </c>
      <c r="BX76" s="2004"/>
      <c r="BY76" s="1661"/>
      <c r="BZ76" s="2003">
        <f>BZ75/BZ5</f>
        <v>0.30787056510627919</v>
      </c>
      <c r="CA76" s="2003" t="e">
        <f>CA75/CA5</f>
        <v>#DIV/0!</v>
      </c>
      <c r="CB76" s="2004">
        <f>CB75/CB5</f>
        <v>0.25292446082044201</v>
      </c>
      <c r="CC76" s="2004"/>
      <c r="CD76" s="2004"/>
      <c r="CE76" s="842"/>
      <c r="CF76" s="842"/>
    </row>
    <row r="77" spans="1:84" s="1396" customFormat="1" ht="14.4" customHeight="1" thickBot="1">
      <c r="A77" s="1566"/>
      <c r="B77" s="3389" t="s">
        <v>9</v>
      </c>
      <c r="C77" s="2844">
        <f>C78-C79</f>
        <v>0</v>
      </c>
      <c r="D77" s="2844">
        <f>D78-D79</f>
        <v>0</v>
      </c>
      <c r="E77" s="2845">
        <f>E78-E79</f>
        <v>0</v>
      </c>
      <c r="F77" s="2846"/>
      <c r="G77" s="2844">
        <v>0</v>
      </c>
      <c r="H77" s="2844">
        <v>0</v>
      </c>
      <c r="I77" s="2845">
        <v>-131994.01729198068</v>
      </c>
      <c r="J77" s="3847"/>
      <c r="K77" s="3847"/>
      <c r="L77" s="2844">
        <f>L78-L79</f>
        <v>0</v>
      </c>
      <c r="M77" s="2844">
        <f>M78-M79</f>
        <v>0</v>
      </c>
      <c r="N77" s="2845">
        <f>N78-N79</f>
        <v>-190403.46751416908</v>
      </c>
      <c r="O77" s="2847"/>
      <c r="P77" s="2847"/>
      <c r="Q77" s="2846"/>
      <c r="R77" s="2844">
        <f>R78-R79</f>
        <v>0</v>
      </c>
      <c r="S77" s="2844">
        <f>S78-S79</f>
        <v>0</v>
      </c>
      <c r="T77" s="2845">
        <f>T78-T79</f>
        <v>0</v>
      </c>
      <c r="U77" s="2847"/>
      <c r="V77" s="3881"/>
      <c r="W77" s="2844">
        <f>W78-W79</f>
        <v>0</v>
      </c>
      <c r="X77" s="2844">
        <f>X78-X79</f>
        <v>0</v>
      </c>
      <c r="Y77" s="2845">
        <f>Y78-Y79</f>
        <v>0</v>
      </c>
      <c r="Z77" s="2847"/>
      <c r="AA77" s="2847"/>
      <c r="AB77" s="2844">
        <f>AB78-AB79</f>
        <v>0</v>
      </c>
      <c r="AC77" s="2844">
        <f>AC78-AC79</f>
        <v>0</v>
      </c>
      <c r="AD77" s="2845">
        <f>AD78-AD79</f>
        <v>-5.3897571692535289</v>
      </c>
      <c r="AE77" s="2847"/>
      <c r="AF77" s="2847"/>
      <c r="AG77" s="2844">
        <f>AG78-AG79</f>
        <v>0</v>
      </c>
      <c r="AH77" s="2844">
        <f>AH78-AH79</f>
        <v>0</v>
      </c>
      <c r="AI77" s="2845">
        <f>AI78-AI79</f>
        <v>0</v>
      </c>
      <c r="AJ77" s="2847"/>
      <c r="AK77" s="2847"/>
      <c r="AL77" s="2844">
        <f>AL78-AL79</f>
        <v>0</v>
      </c>
      <c r="AM77" s="2844">
        <f>AM78-AM79</f>
        <v>0</v>
      </c>
      <c r="AN77" s="2845">
        <f>AN78-AN79</f>
        <v>0</v>
      </c>
      <c r="AO77" s="2847"/>
      <c r="AP77" s="2847"/>
      <c r="AQ77" s="2844">
        <f>AQ78-AQ79</f>
        <v>0</v>
      </c>
      <c r="AR77" s="2844">
        <f>AR78-AR79</f>
        <v>0</v>
      </c>
      <c r="AS77" s="2845">
        <f>AS78-AS79</f>
        <v>0</v>
      </c>
      <c r="AT77" s="2847" t="e">
        <f t="shared" ref="AT77" si="122">AS77/AS$89</f>
        <v>#DIV/0!</v>
      </c>
      <c r="AU77" s="2848"/>
      <c r="AV77" s="2844">
        <f>AV78-AV79</f>
        <v>0</v>
      </c>
      <c r="AW77" s="2844">
        <f>AW78-AW79</f>
        <v>0</v>
      </c>
      <c r="AX77" s="2845">
        <f>AX78-AX79</f>
        <v>0</v>
      </c>
      <c r="AY77" s="2847">
        <f t="shared" ref="AY77" si="123">AX77/AX$89</f>
        <v>0</v>
      </c>
      <c r="AZ77" s="2848"/>
      <c r="BA77" s="2844">
        <f>BA78-BA79</f>
        <v>0</v>
      </c>
      <c r="BB77" s="2844">
        <f>BB78-BB79</f>
        <v>0</v>
      </c>
      <c r="BC77" s="2845">
        <f>BC78-BC79</f>
        <v>-9.3303786892208898</v>
      </c>
      <c r="BD77" s="2847">
        <f t="shared" ref="BD77" si="124">BC77/BC$89</f>
        <v>-6.4641500694065102E-2</v>
      </c>
      <c r="BE77" s="2848"/>
      <c r="BF77" s="2844">
        <f>BF78-BF79</f>
        <v>0</v>
      </c>
      <c r="BG77" s="2844">
        <f>BG78-BG79</f>
        <v>0</v>
      </c>
      <c r="BH77" s="2845">
        <f>BH78-BH79</f>
        <v>0</v>
      </c>
      <c r="BI77" s="2847">
        <f t="shared" ref="BI77" si="125">BH77/BH$89</f>
        <v>0</v>
      </c>
      <c r="BJ77" s="2848"/>
      <c r="BK77" s="2844">
        <f>BK78-BK79</f>
        <v>0</v>
      </c>
      <c r="BL77" s="2844">
        <f>BL78-BL79</f>
        <v>0</v>
      </c>
      <c r="BM77" s="2845">
        <f>BM78-BM79</f>
        <v>0</v>
      </c>
      <c r="BN77" s="2847">
        <f t="shared" ref="BN77" si="126">BM77/BM$89</f>
        <v>0</v>
      </c>
      <c r="BO77" s="2848"/>
      <c r="BP77" s="2844">
        <f>BP78-BP79</f>
        <v>0</v>
      </c>
      <c r="BQ77" s="2844">
        <f>BQ78-BQ79</f>
        <v>0</v>
      </c>
      <c r="BR77" s="2845">
        <f>BR78-BR79</f>
        <v>0</v>
      </c>
      <c r="BS77" s="2847">
        <f t="shared" ref="BS77" si="127">BR77/BR$89</f>
        <v>0</v>
      </c>
      <c r="BT77" s="2848"/>
      <c r="BU77" s="2844">
        <f>BU78-BU79</f>
        <v>-18.618003215537286</v>
      </c>
      <c r="BV77" s="2844">
        <f>BV78-BV79</f>
        <v>0</v>
      </c>
      <c r="BW77" s="2845">
        <f>BW78-BW79</f>
        <v>-18.618003215537286</v>
      </c>
      <c r="BX77" s="2847">
        <f t="shared" ref="BX77" si="128">BW77/BW$89</f>
        <v>-0.12569709833614809</v>
      </c>
      <c r="BY77" s="2848"/>
      <c r="BZ77" s="2844">
        <f>BZ78-BZ79</f>
        <v>-18.618003215537286</v>
      </c>
      <c r="CA77" s="2844">
        <f>CA78-CA79</f>
        <v>0</v>
      </c>
      <c r="CB77" s="2845">
        <f>CB78-CB79</f>
        <v>-322430.82294522371</v>
      </c>
      <c r="CC77" s="2847"/>
      <c r="CD77" s="2847"/>
      <c r="CE77" s="842"/>
      <c r="CF77" s="842"/>
    </row>
    <row r="78" spans="1:84" s="1396" customFormat="1" ht="14.4" customHeight="1">
      <c r="A78" s="1405"/>
      <c r="B78" s="1400" t="s">
        <v>43</v>
      </c>
      <c r="C78" s="1510"/>
      <c r="D78" s="1511"/>
      <c r="E78" s="3834">
        <f>C78+D78*1.15</f>
        <v>0</v>
      </c>
      <c r="F78" s="1547"/>
      <c r="G78" s="2043">
        <v>0</v>
      </c>
      <c r="H78" s="2043">
        <v>0</v>
      </c>
      <c r="I78" s="1452">
        <v>0</v>
      </c>
      <c r="J78" s="1715"/>
      <c r="K78" s="1715"/>
      <c r="L78" s="2043"/>
      <c r="M78" s="2043"/>
      <c r="N78" s="2113">
        <v>0</v>
      </c>
      <c r="O78" s="3882">
        <f t="shared" ref="O78:O79" si="129">N78/N$89</f>
        <v>0</v>
      </c>
      <c r="P78" s="1452"/>
      <c r="Q78" s="2549"/>
      <c r="R78" s="2043"/>
      <c r="S78" s="2043"/>
      <c r="T78" s="2012">
        <f>R78+S78*1.15</f>
        <v>0</v>
      </c>
      <c r="U78" s="1452"/>
      <c r="V78" s="1436"/>
      <c r="W78" s="2043"/>
      <c r="X78" s="2043"/>
      <c r="Y78" s="2113">
        <f>W78+X78*1.15</f>
        <v>0</v>
      </c>
      <c r="Z78" s="2114"/>
      <c r="AA78" s="1452"/>
      <c r="AB78" s="2043"/>
      <c r="AC78" s="2043"/>
      <c r="AD78" s="2113">
        <f>AB78+AC78*1.15</f>
        <v>0</v>
      </c>
      <c r="AE78" s="2114"/>
      <c r="AF78" s="1452"/>
      <c r="AG78" s="2043"/>
      <c r="AH78" s="2043"/>
      <c r="AI78" s="2113">
        <f>AG78+AH78*1.15</f>
        <v>0</v>
      </c>
      <c r="AJ78" s="3882" t="e">
        <f t="shared" ref="AJ78:AJ79" si="130">AI78/AI$89</f>
        <v>#DIV/0!</v>
      </c>
      <c r="AK78" s="1452"/>
      <c r="AL78" s="2043"/>
      <c r="AM78" s="2043"/>
      <c r="AN78" s="2113">
        <f>AL78+AM78</f>
        <v>0</v>
      </c>
      <c r="AO78" s="3882">
        <f t="shared" ref="AO78:AO79" si="131">AN78/AN$89</f>
        <v>0</v>
      </c>
      <c r="AP78" s="1452"/>
      <c r="AQ78" s="2051"/>
      <c r="AR78" s="2043"/>
      <c r="AS78" s="2113">
        <f>AQ78+AR78</f>
        <v>0</v>
      </c>
      <c r="AT78" s="3350">
        <f>AS78/$AN$89</f>
        <v>0</v>
      </c>
      <c r="AU78" s="1662"/>
      <c r="AV78" s="2051"/>
      <c r="AW78" s="2043"/>
      <c r="AX78" s="2113">
        <f>AV78+AW78</f>
        <v>0</v>
      </c>
      <c r="AY78" s="3350">
        <f>AX78/$AN$89</f>
        <v>0</v>
      </c>
      <c r="AZ78" s="1662"/>
      <c r="BA78" s="2051"/>
      <c r="BB78" s="2043"/>
      <c r="BC78" s="2113">
        <f>BA78+BB78</f>
        <v>0</v>
      </c>
      <c r="BD78" s="3350">
        <f>BC78/$AN$89</f>
        <v>0</v>
      </c>
      <c r="BE78" s="1662"/>
      <c r="BF78" s="1618"/>
      <c r="BG78" s="1674"/>
      <c r="BH78" s="1452">
        <f>BF78+BG78*1.15</f>
        <v>0</v>
      </c>
      <c r="BI78" s="3350">
        <f>BH78/$AN$89</f>
        <v>0</v>
      </c>
      <c r="BJ78" s="1662"/>
      <c r="BK78" s="1618"/>
      <c r="BL78" s="1674"/>
      <c r="BM78" s="1452">
        <f>BK78+BL78*1.15</f>
        <v>0</v>
      </c>
      <c r="BN78" s="3350">
        <f>BM78/$AN$89</f>
        <v>0</v>
      </c>
      <c r="BO78" s="1662"/>
      <c r="BP78" s="1618"/>
      <c r="BQ78" s="1674"/>
      <c r="BR78" s="1452">
        <f>BP78+BQ78*1.15</f>
        <v>0</v>
      </c>
      <c r="BS78" s="3350">
        <f>BR78/$AN$89</f>
        <v>0</v>
      </c>
      <c r="BT78" s="1662"/>
      <c r="BU78" s="2011"/>
      <c r="BV78" s="2011"/>
      <c r="BW78" s="2012">
        <f t="shared" ref="BW78:BW79" si="132">BU78+BV78*1</f>
        <v>0</v>
      </c>
      <c r="BX78" s="3350">
        <f>BW78/$BC$89</f>
        <v>0</v>
      </c>
      <c r="BY78" s="1662"/>
      <c r="BZ78" s="2043">
        <f t="shared" ref="BZ78:CB79" si="133">G78+L78+R78+W78+AB78+AG78+AL78+AQ78+AV78+BA78+BF78+BK78+BP78+BU78</f>
        <v>0</v>
      </c>
      <c r="CA78" s="2043">
        <f t="shared" si="133"/>
        <v>0</v>
      </c>
      <c r="CB78" s="2012">
        <f>BZ78+CA78*1.15</f>
        <v>0</v>
      </c>
      <c r="CC78" s="1452"/>
      <c r="CD78" s="1452"/>
      <c r="CE78" s="842"/>
      <c r="CF78" s="842"/>
    </row>
    <row r="79" spans="1:84" s="1396" customFormat="1" ht="14.4" customHeight="1">
      <c r="A79" s="1405"/>
      <c r="B79" s="3355" t="s">
        <v>79</v>
      </c>
      <c r="C79" s="3815"/>
      <c r="D79" s="3834"/>
      <c r="E79" s="3834">
        <f>C79+D79*1.15</f>
        <v>0</v>
      </c>
      <c r="F79" s="3826" t="e">
        <f>E79/$E$89</f>
        <v>#DIV/0!</v>
      </c>
      <c r="G79" s="2043">
        <v>0</v>
      </c>
      <c r="H79" s="2043">
        <v>0</v>
      </c>
      <c r="I79" s="2012">
        <v>131994.01729198068</v>
      </c>
      <c r="J79" s="1587"/>
      <c r="K79" s="1587"/>
      <c r="L79" s="2043">
        <v>0</v>
      </c>
      <c r="M79" s="2043">
        <v>0</v>
      </c>
      <c r="N79" s="2043">
        <v>190403.46751416908</v>
      </c>
      <c r="O79" s="3882">
        <f t="shared" si="129"/>
        <v>5.093030061825498E-2</v>
      </c>
      <c r="P79" s="3827"/>
      <c r="Q79" s="1721"/>
      <c r="R79" s="2043"/>
      <c r="S79" s="2043"/>
      <c r="T79" s="2012">
        <v>0</v>
      </c>
      <c r="U79" s="3827"/>
      <c r="V79" s="3869"/>
      <c r="W79" s="2043"/>
      <c r="X79" s="2043"/>
      <c r="Y79" s="2115">
        <v>0</v>
      </c>
      <c r="Z79" s="3882">
        <f>Y79/$Y$89</f>
        <v>0</v>
      </c>
      <c r="AA79" s="3827"/>
      <c r="AB79" s="2043"/>
      <c r="AC79" s="2043"/>
      <c r="AD79" s="2033">
        <v>5.3897571692535289</v>
      </c>
      <c r="AE79" s="3882">
        <f>AD79/$AD$89</f>
        <v>0.11874390843633958</v>
      </c>
      <c r="AF79" s="3827"/>
      <c r="AG79" s="2043"/>
      <c r="AH79" s="2043"/>
      <c r="AI79" s="2033">
        <v>0</v>
      </c>
      <c r="AJ79" s="3882" t="e">
        <f t="shared" si="130"/>
        <v>#DIV/0!</v>
      </c>
      <c r="AK79" s="3827"/>
      <c r="AL79" s="2043"/>
      <c r="AM79" s="2043"/>
      <c r="AN79" s="2033">
        <v>0</v>
      </c>
      <c r="AO79" s="3882">
        <f t="shared" si="131"/>
        <v>0</v>
      </c>
      <c r="AP79" s="3827"/>
      <c r="AQ79" s="2051"/>
      <c r="AR79" s="2043"/>
      <c r="AS79" s="2033">
        <v>0</v>
      </c>
      <c r="AT79" s="3350" t="e">
        <f t="shared" ref="AT79" si="134">AS79/AS$89</f>
        <v>#DIV/0!</v>
      </c>
      <c r="AU79" s="3839"/>
      <c r="AV79" s="2051"/>
      <c r="AW79" s="2043"/>
      <c r="AX79" s="2033">
        <v>0</v>
      </c>
      <c r="AY79" s="3350">
        <f t="shared" ref="AY79" si="135">AX79/AX$89</f>
        <v>0</v>
      </c>
      <c r="AZ79" s="3839"/>
      <c r="BA79" s="2051"/>
      <c r="BB79" s="2043"/>
      <c r="BC79" s="2033">
        <v>9.3303786892208898</v>
      </c>
      <c r="BD79" s="3350">
        <f t="shared" ref="BD79" si="136">BC79/BC$89</f>
        <v>6.4641500694065102E-2</v>
      </c>
      <c r="BE79" s="3839"/>
      <c r="BF79" s="1618"/>
      <c r="BG79" s="1674"/>
      <c r="BH79" s="2012">
        <v>0</v>
      </c>
      <c r="BI79" s="3350">
        <f t="shared" ref="BI79" si="137">BH79/BH$89</f>
        <v>0</v>
      </c>
      <c r="BJ79" s="3883"/>
      <c r="BK79" s="1618"/>
      <c r="BL79" s="1674"/>
      <c r="BM79" s="2012">
        <v>0</v>
      </c>
      <c r="BN79" s="3350">
        <f t="shared" ref="BN79" si="138">BM79/BM$89</f>
        <v>0</v>
      </c>
      <c r="BO79" s="3883"/>
      <c r="BP79" s="1618"/>
      <c r="BQ79" s="1674"/>
      <c r="BR79" s="2012">
        <v>0</v>
      </c>
      <c r="BS79" s="3350">
        <f t="shared" ref="BS79" si="139">BR79/BR$89</f>
        <v>0</v>
      </c>
      <c r="BT79" s="3883"/>
      <c r="BU79" s="2011">
        <f>(BV8+BV41+BV50+BV54)/(1-'расчет 2024'!E24)*'расчет 2024'!E24</f>
        <v>18.618003215537286</v>
      </c>
      <c r="BV79" s="2011"/>
      <c r="BW79" s="2012">
        <f t="shared" si="132"/>
        <v>18.618003215537286</v>
      </c>
      <c r="BX79" s="3350">
        <f t="shared" ref="BX79" si="140">BW79/BW$89</f>
        <v>0.12569709833614809</v>
      </c>
      <c r="BY79" s="3883"/>
      <c r="BZ79" s="2043">
        <f t="shared" si="133"/>
        <v>18.618003215537286</v>
      </c>
      <c r="CA79" s="2043">
        <f t="shared" si="133"/>
        <v>0</v>
      </c>
      <c r="CB79" s="2043">
        <f t="shared" si="133"/>
        <v>322430.82294522371</v>
      </c>
      <c r="CC79" s="3827"/>
      <c r="CD79" s="3827"/>
      <c r="CE79" s="842"/>
      <c r="CF79" s="842"/>
    </row>
    <row r="80" spans="1:84" ht="14.4" customHeight="1">
      <c r="A80" s="1397"/>
      <c r="B80" s="3393"/>
      <c r="C80" s="3848"/>
      <c r="D80" s="3849"/>
      <c r="E80" s="3850"/>
      <c r="F80" s="3851"/>
      <c r="G80" s="2043"/>
      <c r="H80" s="2043"/>
      <c r="I80" s="3852"/>
      <c r="J80" s="1620"/>
      <c r="K80" s="1620"/>
      <c r="L80" s="2043"/>
      <c r="M80" s="2043"/>
      <c r="N80" s="3852"/>
      <c r="O80" s="3852"/>
      <c r="P80" s="3852"/>
      <c r="Q80" s="1718"/>
      <c r="R80" s="2043"/>
      <c r="S80" s="2043"/>
      <c r="T80" s="3852"/>
      <c r="U80" s="3852"/>
      <c r="V80" s="3852"/>
      <c r="W80" s="2043"/>
      <c r="X80" s="2043"/>
      <c r="Y80" s="3852"/>
      <c r="Z80" s="3852"/>
      <c r="AA80" s="3852"/>
      <c r="AB80" s="2043"/>
      <c r="AC80" s="2043"/>
      <c r="AD80" s="3852"/>
      <c r="AE80" s="3852"/>
      <c r="AF80" s="3852"/>
      <c r="AG80" s="2043"/>
      <c r="AH80" s="2043"/>
      <c r="AI80" s="3852"/>
      <c r="AJ80" s="3852"/>
      <c r="AK80" s="3852"/>
      <c r="AL80" s="2043"/>
      <c r="AM80" s="2043"/>
      <c r="AN80" s="3852"/>
      <c r="AO80" s="3852"/>
      <c r="AP80" s="3852"/>
      <c r="AQ80" s="2051"/>
      <c r="AR80" s="2043"/>
      <c r="AS80" s="3852"/>
      <c r="AT80" s="3852"/>
      <c r="AU80" s="3853"/>
      <c r="AV80" s="2051"/>
      <c r="AW80" s="2043"/>
      <c r="AX80" s="3852"/>
      <c r="AY80" s="3852"/>
      <c r="AZ80" s="3853"/>
      <c r="BA80" s="2051"/>
      <c r="BB80" s="2043"/>
      <c r="BC80" s="3852"/>
      <c r="BD80" s="3852"/>
      <c r="BE80" s="3853"/>
      <c r="BF80" s="2051"/>
      <c r="BG80" s="2043"/>
      <c r="BH80" s="3852"/>
      <c r="BI80" s="3852"/>
      <c r="BJ80" s="3853"/>
      <c r="BK80" s="2051"/>
      <c r="BL80" s="2043"/>
      <c r="BM80" s="3852"/>
      <c r="BN80" s="3852"/>
      <c r="BO80" s="3853"/>
      <c r="BP80" s="2051"/>
      <c r="BQ80" s="2043"/>
      <c r="BR80" s="3852"/>
      <c r="BS80" s="3852"/>
      <c r="BT80" s="3853"/>
      <c r="BU80" s="1618"/>
      <c r="BV80" s="1674"/>
      <c r="BW80" s="3852"/>
      <c r="BX80" s="3852"/>
      <c r="BY80" s="3853"/>
      <c r="BZ80" s="2043"/>
      <c r="CA80" s="2043"/>
      <c r="CB80" s="3852"/>
      <c r="CC80" s="3852"/>
      <c r="CD80" s="3852"/>
    </row>
    <row r="81" spans="1:86" s="1396" customFormat="1" ht="14.4" customHeight="1" thickBot="1">
      <c r="A81" s="1419"/>
      <c r="B81" s="3389" t="s">
        <v>12</v>
      </c>
      <c r="C81" s="2844">
        <f>(C75+C78)-C79</f>
        <v>0</v>
      </c>
      <c r="D81" s="2844">
        <f>(D75+D78)-D79</f>
        <v>0</v>
      </c>
      <c r="E81" s="2845">
        <f>(E75+E78)-E79</f>
        <v>0</v>
      </c>
      <c r="F81" s="2846"/>
      <c r="G81" s="2844">
        <v>6117502.4199999999</v>
      </c>
      <c r="H81" s="2844">
        <v>-898669.99419090908</v>
      </c>
      <c r="I81" s="2845">
        <v>5086838.4085171092</v>
      </c>
      <c r="J81" s="3847"/>
      <c r="K81" s="3847"/>
      <c r="L81" s="2844">
        <f>(L75+L78)-L79</f>
        <v>9578726.5512400009</v>
      </c>
      <c r="M81" s="2844">
        <f>(M75+M78)-M79</f>
        <v>-1364410.13</v>
      </c>
      <c r="N81" s="2845">
        <f>(N75+N78)-N79</f>
        <v>8023912.9537258316</v>
      </c>
      <c r="O81" s="2847"/>
      <c r="P81" s="2847"/>
      <c r="Q81" s="2846"/>
      <c r="R81" s="2844">
        <f>(R75+R78)-R79</f>
        <v>-5977252.04</v>
      </c>
      <c r="S81" s="2844">
        <f>(S75+S78)-S79</f>
        <v>0</v>
      </c>
      <c r="T81" s="2845">
        <f>(T75+T78)-T79</f>
        <v>-5977252.04</v>
      </c>
      <c r="U81" s="2847"/>
      <c r="V81" s="3881"/>
      <c r="W81" s="2844">
        <f>(W75+W78)-W79</f>
        <v>-27000</v>
      </c>
      <c r="X81" s="2844">
        <f>(X75+X78)-X79</f>
        <v>0</v>
      </c>
      <c r="Y81" s="2845">
        <f>(Y75+Y78)-Y79</f>
        <v>-27000</v>
      </c>
      <c r="Z81" s="2847"/>
      <c r="AA81" s="2847"/>
      <c r="AB81" s="2844">
        <f>(AB75+AB78)-AB79</f>
        <v>0</v>
      </c>
      <c r="AC81" s="2844">
        <f>(AC75+AC78)-AC79</f>
        <v>-40</v>
      </c>
      <c r="AD81" s="2845">
        <f>(AD75+AD78)-AD79</f>
        <v>-45.389757169253528</v>
      </c>
      <c r="AE81" s="2847"/>
      <c r="AF81" s="2847"/>
      <c r="AG81" s="2844">
        <f>(AG75+AG78)-AG79</f>
        <v>0</v>
      </c>
      <c r="AH81" s="2844">
        <f>(AH75+AH78)-AH79</f>
        <v>0</v>
      </c>
      <c r="AI81" s="2845">
        <f>(AI75+AI78)-AI79</f>
        <v>0</v>
      </c>
      <c r="AJ81" s="2847"/>
      <c r="AK81" s="2847"/>
      <c r="AL81" s="2844">
        <f>(AL75+AL78)-AL79</f>
        <v>1211745.4800000004</v>
      </c>
      <c r="AM81" s="2844">
        <f>(AM75+AM78)-AM79</f>
        <v>0</v>
      </c>
      <c r="AN81" s="2845">
        <f>(AN75+AN78)-AN79</f>
        <v>1211745.4800000004</v>
      </c>
      <c r="AO81" s="2847"/>
      <c r="AP81" s="2847"/>
      <c r="AQ81" s="2844">
        <f>(AQ75+AQ78)-AQ79</f>
        <v>0</v>
      </c>
      <c r="AR81" s="2844">
        <f>(AR75+AR78)-AR79</f>
        <v>0</v>
      </c>
      <c r="AS81" s="2845">
        <f>(AS75+AS78)-AS79</f>
        <v>0</v>
      </c>
      <c r="AT81" s="2847"/>
      <c r="AU81" s="2848"/>
      <c r="AV81" s="2844">
        <f>(AV75+AV78)-AV79</f>
        <v>5121.2600000000093</v>
      </c>
      <c r="AW81" s="2844">
        <f>(AW75+AW78)-AW79</f>
        <v>0</v>
      </c>
      <c r="AX81" s="2845">
        <f>(AX75+AX78)-AX79</f>
        <v>5121.2600000000093</v>
      </c>
      <c r="AY81" s="2847"/>
      <c r="AZ81" s="2848"/>
      <c r="BA81" s="2844">
        <f>(BA75+BA78)-BA79</f>
        <v>-55.01</v>
      </c>
      <c r="BB81" s="2844">
        <f>(BB75+BB78)-BB79</f>
        <v>-80</v>
      </c>
      <c r="BC81" s="2845">
        <f>(BC75+BC78)-BC79</f>
        <v>-144.34037868922087</v>
      </c>
      <c r="BD81" s="2847"/>
      <c r="BE81" s="2848"/>
      <c r="BF81" s="2844">
        <f>(BF75+BF78)-BF79</f>
        <v>-55.01</v>
      </c>
      <c r="BG81" s="2844">
        <f>(BG75+BG78)-BG79</f>
        <v>0</v>
      </c>
      <c r="BH81" s="2845">
        <f>(BH75+BH78)-BH79</f>
        <v>-55.01</v>
      </c>
      <c r="BI81" s="2847"/>
      <c r="BJ81" s="2848"/>
      <c r="BK81" s="2844">
        <f>(BK75+BK78)-BK79</f>
        <v>-55.01</v>
      </c>
      <c r="BL81" s="2844">
        <f>(BL75+BL78)-BL79</f>
        <v>0</v>
      </c>
      <c r="BM81" s="2845">
        <f>(BM75+BM78)-BM79</f>
        <v>-55.01</v>
      </c>
      <c r="BN81" s="2847"/>
      <c r="BO81" s="2848"/>
      <c r="BP81" s="2844">
        <f>(BP75+BP78)-BP79</f>
        <v>0</v>
      </c>
      <c r="BQ81" s="2844">
        <f>(BQ75+BQ78)-BQ79</f>
        <v>0</v>
      </c>
      <c r="BR81" s="2845">
        <f>(BR75+BR78)-BR79</f>
        <v>0</v>
      </c>
      <c r="BS81" s="2847"/>
      <c r="BT81" s="2848"/>
      <c r="BU81" s="2844">
        <f>(BU75+BU78)-BU79</f>
        <v>-18.618003215537286</v>
      </c>
      <c r="BV81" s="2844">
        <f>(BV75+BV78)-BV79</f>
        <v>-129.5</v>
      </c>
      <c r="BW81" s="2845">
        <f>(BW75+BW78)-BW79</f>
        <v>-148.11800321553727</v>
      </c>
      <c r="BX81" s="2847"/>
      <c r="BY81" s="2848"/>
      <c r="BZ81" s="2844">
        <f>(BZ75+BZ78)-BZ79</f>
        <v>13485482.321129715</v>
      </c>
      <c r="CA81" s="2844">
        <f>(CA75+CA78)-CA79</f>
        <v>-2406776.824190909</v>
      </c>
      <c r="CB81" s="2845">
        <f>(CB75+CB78)-CB79</f>
        <v>10756293.291996792</v>
      </c>
      <c r="CC81" s="2847"/>
      <c r="CD81" s="2847"/>
      <c r="CE81" s="842"/>
      <c r="CF81" s="842"/>
    </row>
    <row r="82" spans="1:86" s="1396" customFormat="1" ht="14.4" customHeight="1" thickBot="1">
      <c r="A82" s="1565"/>
      <c r="B82" s="991" t="s">
        <v>38</v>
      </c>
      <c r="C82" s="992"/>
      <c r="D82" s="993"/>
      <c r="E82" s="994">
        <f>C82+D82</f>
        <v>0</v>
      </c>
      <c r="F82" s="3884" t="e">
        <f>E82/$E$89</f>
        <v>#DIV/0!</v>
      </c>
      <c r="G82" s="2027">
        <v>0</v>
      </c>
      <c r="H82" s="2027">
        <v>0</v>
      </c>
      <c r="I82" s="994">
        <v>0</v>
      </c>
      <c r="J82" s="995"/>
      <c r="K82" s="995"/>
      <c r="L82" s="2043">
        <v>0</v>
      </c>
      <c r="M82" s="2043">
        <v>0</v>
      </c>
      <c r="N82" s="1515">
        <f>L82+M82</f>
        <v>0</v>
      </c>
      <c r="O82" s="1476"/>
      <c r="P82" s="1476"/>
      <c r="Q82" s="2605"/>
      <c r="R82" s="2027"/>
      <c r="S82" s="2027"/>
      <c r="T82" s="994">
        <f>R82+S82</f>
        <v>0</v>
      </c>
      <c r="U82" s="996"/>
      <c r="V82" s="1735"/>
      <c r="W82" s="2043"/>
      <c r="X82" s="2043"/>
      <c r="Y82" s="1515">
        <f>W82+X82</f>
        <v>0</v>
      </c>
      <c r="Z82" s="1476"/>
      <c r="AA82" s="1476"/>
      <c r="AB82" s="2043"/>
      <c r="AC82" s="2043"/>
      <c r="AD82" s="1515">
        <f>AB82+AC82</f>
        <v>0</v>
      </c>
      <c r="AE82" s="1476"/>
      <c r="AF82" s="1476"/>
      <c r="AG82" s="2043"/>
      <c r="AH82" s="2043"/>
      <c r="AI82" s="1515">
        <f>AG82+AH82</f>
        <v>0</v>
      </c>
      <c r="AJ82" s="1476"/>
      <c r="AK82" s="1476"/>
      <c r="AL82" s="2043"/>
      <c r="AM82" s="2043"/>
      <c r="AN82" s="1515">
        <f>AL82+AM82</f>
        <v>0</v>
      </c>
      <c r="AO82" s="1476"/>
      <c r="AP82" s="1476"/>
      <c r="AQ82" s="2051"/>
      <c r="AR82" s="2043"/>
      <c r="AS82" s="1515">
        <f>AQ82+AR82</f>
        <v>0</v>
      </c>
      <c r="AT82" s="1476"/>
      <c r="AU82" s="2046"/>
      <c r="AV82" s="2051"/>
      <c r="AW82" s="2043"/>
      <c r="AX82" s="1515">
        <f>AV82+AW82</f>
        <v>0</v>
      </c>
      <c r="AY82" s="1476"/>
      <c r="AZ82" s="2046"/>
      <c r="BA82" s="2051"/>
      <c r="BB82" s="2043"/>
      <c r="BC82" s="1515">
        <f>BA82+BB82</f>
        <v>0</v>
      </c>
      <c r="BD82" s="1476"/>
      <c r="BE82" s="2046"/>
      <c r="BF82" s="2051"/>
      <c r="BG82" s="2043"/>
      <c r="BH82" s="1515">
        <f>BF82+BG82</f>
        <v>0</v>
      </c>
      <c r="BI82" s="1476"/>
      <c r="BJ82" s="2046"/>
      <c r="BK82" s="2051"/>
      <c r="BL82" s="2043"/>
      <c r="BM82" s="1515">
        <f>BK82+BL82</f>
        <v>0</v>
      </c>
      <c r="BN82" s="1476"/>
      <c r="BO82" s="2046"/>
      <c r="BP82" s="2051"/>
      <c r="BQ82" s="2043"/>
      <c r="BR82" s="1515">
        <f>BP82+BQ82</f>
        <v>0</v>
      </c>
      <c r="BS82" s="1476"/>
      <c r="BT82" s="2046"/>
      <c r="BU82" s="2051"/>
      <c r="BV82" s="2043"/>
      <c r="BW82" s="1515">
        <f>BU82+BV82</f>
        <v>0</v>
      </c>
      <c r="BX82" s="1476"/>
      <c r="BY82" s="2046"/>
      <c r="BZ82" s="2027">
        <f t="shared" ref="BZ82" si="141">G82+L82+R82+W82+AB82+AG82+AL82+AQ82+AV82+BA82+BF82+BK82+BP82+BU82</f>
        <v>0</v>
      </c>
      <c r="CA82" s="2027">
        <f>H82+M82+S82+X82+AC82+AH82+AM82+AR82+AW82+BB82+BG82+BL82+BQ82+BV82</f>
        <v>0</v>
      </c>
      <c r="CB82" s="994">
        <f>BZ82+CA82</f>
        <v>0</v>
      </c>
      <c r="CC82" s="996"/>
      <c r="CD82" s="996"/>
      <c r="CE82" s="842"/>
      <c r="CF82" s="842"/>
    </row>
    <row r="83" spans="1:86" s="1396" customFormat="1" ht="14.4" customHeight="1">
      <c r="A83" s="821"/>
      <c r="B83" s="997" t="s">
        <v>13</v>
      </c>
      <c r="C83" s="998">
        <f>(C81+C7)-C36</f>
        <v>0</v>
      </c>
      <c r="D83" s="998">
        <f>(D81+D7)-D36</f>
        <v>0</v>
      </c>
      <c r="E83" s="998">
        <f>(E81+E7)-E36</f>
        <v>0</v>
      </c>
      <c r="F83" s="999"/>
      <c r="G83" s="998">
        <v>6117502.4199999999</v>
      </c>
      <c r="H83" s="998">
        <v>-898669.99419090908</v>
      </c>
      <c r="I83" s="1000">
        <v>5086838.4085171092</v>
      </c>
      <c r="J83" s="1001"/>
      <c r="K83" s="1001"/>
      <c r="L83" s="3396">
        <f>(L81)-L36</f>
        <v>9578726.5512400009</v>
      </c>
      <c r="M83" s="3396">
        <f>(M81)-M36</f>
        <v>-1364410.13</v>
      </c>
      <c r="N83" s="3397">
        <f>(N81)-N36</f>
        <v>8023912.9537258316</v>
      </c>
      <c r="O83" s="3398"/>
      <c r="P83" s="3398"/>
      <c r="Q83" s="999"/>
      <c r="R83" s="998">
        <f>(R81+R7)-R36</f>
        <v>1860635.9799999995</v>
      </c>
      <c r="S83" s="998">
        <f>(S81+S7)-S36</f>
        <v>0</v>
      </c>
      <c r="T83" s="1000">
        <f>(T81+T7)-T36</f>
        <v>1860635.9799999995</v>
      </c>
      <c r="U83" s="1002"/>
      <c r="V83" s="1736"/>
      <c r="W83" s="3396">
        <f>(W81)-W36</f>
        <v>-27000</v>
      </c>
      <c r="X83" s="3396">
        <f>(X81)-X36</f>
        <v>0</v>
      </c>
      <c r="Y83" s="3397">
        <f>(Y81)-Y36</f>
        <v>-27000</v>
      </c>
      <c r="Z83" s="3398"/>
      <c r="AA83" s="3398"/>
      <c r="AB83" s="3396">
        <f>(AB81)-AB36</f>
        <v>0</v>
      </c>
      <c r="AC83" s="3396">
        <f>(AC81)-AC36</f>
        <v>-40</v>
      </c>
      <c r="AD83" s="3397">
        <f>(AD81)-AD36</f>
        <v>-45.389757169253528</v>
      </c>
      <c r="AE83" s="3398"/>
      <c r="AF83" s="3398"/>
      <c r="AG83" s="3396">
        <f>(AG81)-AG36</f>
        <v>0</v>
      </c>
      <c r="AH83" s="3396">
        <f>(AH81)-AH36</f>
        <v>0</v>
      </c>
      <c r="AI83" s="3397">
        <f>(AI81)-AI36</f>
        <v>0</v>
      </c>
      <c r="AJ83" s="3398"/>
      <c r="AK83" s="3398"/>
      <c r="AL83" s="3396">
        <f>(AL81)-AL36</f>
        <v>1211745.4800000004</v>
      </c>
      <c r="AM83" s="3396">
        <f>(AM81)-AM36</f>
        <v>0</v>
      </c>
      <c r="AN83" s="3397">
        <f>(AN81)-AN36</f>
        <v>1211745.4800000004</v>
      </c>
      <c r="AO83" s="3398"/>
      <c r="AP83" s="3398"/>
      <c r="AQ83" s="3396">
        <f>(AQ81+AQ7)-AQ36</f>
        <v>0</v>
      </c>
      <c r="AR83" s="3396">
        <f>(AR81+AR7)-AR36</f>
        <v>0</v>
      </c>
      <c r="AS83" s="3397">
        <f>(AS81+AS7)-AS36</f>
        <v>0</v>
      </c>
      <c r="AT83" s="3398"/>
      <c r="AU83" s="3854"/>
      <c r="AV83" s="3396">
        <f>(AV81+AV7)-AV36</f>
        <v>5121.2600000000093</v>
      </c>
      <c r="AW83" s="3396">
        <f>(AW81+AW7)-AW36</f>
        <v>0</v>
      </c>
      <c r="AX83" s="3397">
        <f>(AX81+AX7)-AX36</f>
        <v>5121.2600000000093</v>
      </c>
      <c r="AY83" s="3398"/>
      <c r="AZ83" s="3854"/>
      <c r="BA83" s="3396">
        <f>(BA81+BA7)-BA36</f>
        <v>-55.01</v>
      </c>
      <c r="BB83" s="3396">
        <f>(BB81+BB7)-BB36</f>
        <v>-80</v>
      </c>
      <c r="BC83" s="3397">
        <f>(BC81+BC7)-BC36</f>
        <v>-144.34037868922087</v>
      </c>
      <c r="BD83" s="3398"/>
      <c r="BE83" s="3854"/>
      <c r="BF83" s="3396">
        <f>(BF81+BF7)-BF36</f>
        <v>-55.01</v>
      </c>
      <c r="BG83" s="3396">
        <f>(BG81+BG7)-BG36</f>
        <v>0</v>
      </c>
      <c r="BH83" s="3397">
        <f>(BH81+BH7)-BH36</f>
        <v>-55.01</v>
      </c>
      <c r="BI83" s="3398"/>
      <c r="BJ83" s="3854"/>
      <c r="BK83" s="3396">
        <f>(BK81+BK7)-BK36</f>
        <v>-55.01</v>
      </c>
      <c r="BL83" s="3396">
        <f>(BL81+BL7)-BL36</f>
        <v>0</v>
      </c>
      <c r="BM83" s="3397">
        <f>(BM81+BM7)-BM36</f>
        <v>-55.01</v>
      </c>
      <c r="BN83" s="3398"/>
      <c r="BO83" s="3854"/>
      <c r="BP83" s="3396">
        <f>(BP81+BP7)-BP36</f>
        <v>-2639.52</v>
      </c>
      <c r="BQ83" s="3396">
        <f>(BQ81+BQ7)-BQ36</f>
        <v>0</v>
      </c>
      <c r="BR83" s="3397">
        <f>(BR81+BR7)-BR36</f>
        <v>-2639.52</v>
      </c>
      <c r="BS83" s="3398"/>
      <c r="BT83" s="3854"/>
      <c r="BU83" s="3396">
        <f>(BU81+BU7)-BU36</f>
        <v>-18.618003215537286</v>
      </c>
      <c r="BV83" s="3396">
        <f>(BV81+BV7)-BV36</f>
        <v>-129.5</v>
      </c>
      <c r="BW83" s="3397">
        <f>(BW81+BW7)-BW36</f>
        <v>-148.11800321553727</v>
      </c>
      <c r="BX83" s="3398"/>
      <c r="BY83" s="3854"/>
      <c r="BZ83" s="998">
        <f>(BZ81)-BZ36</f>
        <v>13482842.801129716</v>
      </c>
      <c r="CA83" s="998">
        <f>(CA81)-CA36</f>
        <v>-2406776.824190909</v>
      </c>
      <c r="CB83" s="1000">
        <f>(CB81)-CB36</f>
        <v>10753653.771996792</v>
      </c>
      <c r="CC83" s="1002"/>
      <c r="CD83" s="1002"/>
      <c r="CE83" s="842"/>
      <c r="CF83" s="842"/>
    </row>
    <row r="84" spans="1:86" s="1396" customFormat="1" ht="14.4" customHeight="1" thickBot="1">
      <c r="A84" s="822"/>
      <c r="B84" s="3123" t="s">
        <v>14</v>
      </c>
      <c r="C84" s="2850">
        <f>C83-C73-C82</f>
        <v>0</v>
      </c>
      <c r="D84" s="2850">
        <f>D83-D73-D82</f>
        <v>0</v>
      </c>
      <c r="E84" s="2850">
        <f>E83-E73-E82</f>
        <v>0</v>
      </c>
      <c r="F84" s="2851"/>
      <c r="G84" s="2852">
        <v>6117502.4199999999</v>
      </c>
      <c r="H84" s="2852">
        <v>-898669.99419090908</v>
      </c>
      <c r="I84" s="2852">
        <v>5086838.4085171092</v>
      </c>
      <c r="J84" s="2851"/>
      <c r="K84" s="2851"/>
      <c r="L84" s="2852">
        <f>L83-L73-L82</f>
        <v>9578726.5512400009</v>
      </c>
      <c r="M84" s="2852">
        <f>M83-M73-M82</f>
        <v>-1364410.13</v>
      </c>
      <c r="N84" s="3400">
        <f>N83-N73-N82</f>
        <v>8023912.9537258316</v>
      </c>
      <c r="O84" s="3401"/>
      <c r="P84" s="3401"/>
      <c r="Q84" s="2851"/>
      <c r="R84" s="2852">
        <f>R83-R73-R82</f>
        <v>1860635.9799999995</v>
      </c>
      <c r="S84" s="2852">
        <f>S83-S73-S82</f>
        <v>0</v>
      </c>
      <c r="T84" s="2852">
        <f>T83-T73-T82</f>
        <v>1860635.9799999995</v>
      </c>
      <c r="U84" s="2853"/>
      <c r="V84" s="3885"/>
      <c r="W84" s="3400">
        <f>W83-W73-W82</f>
        <v>-27000</v>
      </c>
      <c r="X84" s="3400">
        <f>X83-X73-X82</f>
        <v>0</v>
      </c>
      <c r="Y84" s="3400">
        <f>Y83-Y73-Y82</f>
        <v>-27000</v>
      </c>
      <c r="Z84" s="3401"/>
      <c r="AA84" s="3401"/>
      <c r="AB84" s="2852">
        <f>AB83-AB73-AB82</f>
        <v>0</v>
      </c>
      <c r="AC84" s="2852">
        <f>AC83-AC73-AC82</f>
        <v>-40</v>
      </c>
      <c r="AD84" s="3400">
        <f>AD83-AD73-AD82</f>
        <v>-45.389757169253528</v>
      </c>
      <c r="AE84" s="3401"/>
      <c r="AF84" s="3401"/>
      <c r="AG84" s="2852">
        <f>AG83-AG73-AG82</f>
        <v>0</v>
      </c>
      <c r="AH84" s="2852">
        <f>AH83-AH73-AH82</f>
        <v>0</v>
      </c>
      <c r="AI84" s="3400">
        <f>AI83-AI73-AI82</f>
        <v>0</v>
      </c>
      <c r="AJ84" s="3401"/>
      <c r="AK84" s="3401"/>
      <c r="AL84" s="2852">
        <f>AL83-AL73-AL82</f>
        <v>1211745.4800000004</v>
      </c>
      <c r="AM84" s="2852">
        <f>AM83-AM73-AM82</f>
        <v>0</v>
      </c>
      <c r="AN84" s="3400">
        <f>AN83-AN73-AN82</f>
        <v>1211745.4800000004</v>
      </c>
      <c r="AO84" s="3401"/>
      <c r="AP84" s="3401"/>
      <c r="AQ84" s="2852">
        <f>AQ83-AQ73-AQ82</f>
        <v>0</v>
      </c>
      <c r="AR84" s="2852">
        <f>AR83-AR73-AR82</f>
        <v>0</v>
      </c>
      <c r="AS84" s="2852">
        <f>AS83-AS73-AS82</f>
        <v>0</v>
      </c>
      <c r="AT84" s="2853"/>
      <c r="AU84" s="2854"/>
      <c r="AV84" s="2852">
        <f>AV83-AV73-AV82</f>
        <v>5121.2600000000093</v>
      </c>
      <c r="AW84" s="2852">
        <f>AW83-AW73-AW82</f>
        <v>0</v>
      </c>
      <c r="AX84" s="2852">
        <f>AX83-AX73-AX82</f>
        <v>5121.2600000000093</v>
      </c>
      <c r="AY84" s="2853"/>
      <c r="AZ84" s="2854"/>
      <c r="BA84" s="2852">
        <f>BA83-BA73-BA82</f>
        <v>-55.01</v>
      </c>
      <c r="BB84" s="2852">
        <f>BB83-BB73-BB82</f>
        <v>-80</v>
      </c>
      <c r="BC84" s="2852">
        <f>BC83-BC73-BC82</f>
        <v>-144.34037868922087</v>
      </c>
      <c r="BD84" s="2853"/>
      <c r="BE84" s="2854"/>
      <c r="BF84" s="2852">
        <f>BF83-BF73-BF82</f>
        <v>-55.01</v>
      </c>
      <c r="BG84" s="2852">
        <f>BG83-BG73-BG82</f>
        <v>0</v>
      </c>
      <c r="BH84" s="2852">
        <f>BH83-BH73-BH82</f>
        <v>-55.01</v>
      </c>
      <c r="BI84" s="2853"/>
      <c r="BJ84" s="2854"/>
      <c r="BK84" s="2852">
        <f>BK83-BK73-BK82</f>
        <v>-55.01</v>
      </c>
      <c r="BL84" s="2852">
        <f>BL83-BL73-BL82</f>
        <v>0</v>
      </c>
      <c r="BM84" s="2852">
        <f>BM83-BM73-BM82</f>
        <v>-55.01</v>
      </c>
      <c r="BN84" s="2853"/>
      <c r="BO84" s="2854"/>
      <c r="BP84" s="2852">
        <f>BP83-BP73-BP82</f>
        <v>-2639.52</v>
      </c>
      <c r="BQ84" s="2852">
        <f>BQ83-BQ73-BQ82</f>
        <v>0</v>
      </c>
      <c r="BR84" s="2852">
        <f>BR83-BR73-BR82</f>
        <v>-2639.52</v>
      </c>
      <c r="BS84" s="2853"/>
      <c r="BT84" s="2854"/>
      <c r="BU84" s="2852">
        <f>BU83-BU73-BU82</f>
        <v>-18.618003215537286</v>
      </c>
      <c r="BV84" s="2852">
        <f>BV83-BV73-BV82</f>
        <v>-129.5</v>
      </c>
      <c r="BW84" s="2852">
        <f>BW83-BW73-BW82</f>
        <v>-148.11800321553727</v>
      </c>
      <c r="BX84" s="2853"/>
      <c r="BY84" s="2854"/>
      <c r="BZ84" s="2852">
        <f>BZ83-BZ73-BZ82</f>
        <v>13482842.801129716</v>
      </c>
      <c r="CA84" s="2852">
        <f>CA83-CA73-CA82</f>
        <v>-2406776.824190909</v>
      </c>
      <c r="CB84" s="2852">
        <f>CB83-CB73-CB82</f>
        <v>10753653.771996792</v>
      </c>
      <c r="CC84" s="2853"/>
      <c r="CD84" s="2853"/>
      <c r="CE84" s="842"/>
      <c r="CF84" s="842"/>
    </row>
    <row r="85" spans="1:86" s="1396" customFormat="1" ht="14.4" customHeight="1">
      <c r="A85" s="1566"/>
      <c r="B85" s="1403" t="s">
        <v>44</v>
      </c>
      <c r="C85" s="1486"/>
      <c r="D85" s="1091"/>
      <c r="E85" s="1092">
        <f>C85+D85</f>
        <v>0</v>
      </c>
      <c r="F85" s="1587" t="e">
        <f>E85/$E$89</f>
        <v>#DIV/0!</v>
      </c>
      <c r="G85" s="2043">
        <v>0</v>
      </c>
      <c r="H85" s="2043">
        <v>0</v>
      </c>
      <c r="I85" s="2012">
        <v>0</v>
      </c>
      <c r="J85" s="1587"/>
      <c r="K85" s="1587"/>
      <c r="L85" s="2043">
        <v>0</v>
      </c>
      <c r="M85" s="2043">
        <v>0</v>
      </c>
      <c r="N85" s="2124">
        <f>L85+M85*1.15</f>
        <v>0</v>
      </c>
      <c r="O85" s="1477"/>
      <c r="P85" s="1477"/>
      <c r="Q85" s="1721"/>
      <c r="R85" s="2043"/>
      <c r="S85" s="2043"/>
      <c r="T85" s="2012">
        <f>R85+S85*1.15</f>
        <v>0</v>
      </c>
      <c r="U85" s="1476"/>
      <c r="V85" s="1612"/>
      <c r="W85" s="2043"/>
      <c r="X85" s="2043"/>
      <c r="Y85" s="2124">
        <f>W85+X85*1.15</f>
        <v>0</v>
      </c>
      <c r="Z85" s="1477"/>
      <c r="AA85" s="1477"/>
      <c r="AB85" s="2043"/>
      <c r="AC85" s="2043"/>
      <c r="AD85" s="2124">
        <f>AB85+AC85*1.15</f>
        <v>0</v>
      </c>
      <c r="AE85" s="1477"/>
      <c r="AF85" s="1477"/>
      <c r="AG85" s="2043"/>
      <c r="AH85" s="2043"/>
      <c r="AI85" s="2124">
        <f>AG85+AH85*1.15</f>
        <v>0</v>
      </c>
      <c r="AJ85" s="1477"/>
      <c r="AK85" s="1477"/>
      <c r="AL85" s="2043"/>
      <c r="AM85" s="2043"/>
      <c r="AN85" s="2124">
        <f>AL85+AM85*1.15</f>
        <v>0</v>
      </c>
      <c r="AO85" s="1477"/>
      <c r="AP85" s="1477"/>
      <c r="AQ85" s="2051"/>
      <c r="AR85" s="2043"/>
      <c r="AS85" s="2012">
        <f>AQ85+AR85*1</f>
        <v>0</v>
      </c>
      <c r="AT85" s="1476"/>
      <c r="AU85" s="1748"/>
      <c r="AV85" s="2051"/>
      <c r="AW85" s="2043"/>
      <c r="AX85" s="2012">
        <f>AV85+AW85*1</f>
        <v>0</v>
      </c>
      <c r="AY85" s="1476"/>
      <c r="AZ85" s="1748"/>
      <c r="BA85" s="2051"/>
      <c r="BB85" s="2043"/>
      <c r="BC85" s="2012">
        <f>BA85+BB85*1</f>
        <v>0</v>
      </c>
      <c r="BD85" s="1476"/>
      <c r="BE85" s="1748"/>
      <c r="BF85" s="2051"/>
      <c r="BG85" s="2043"/>
      <c r="BH85" s="2012">
        <f>BF85+BG85*1</f>
        <v>0</v>
      </c>
      <c r="BI85" s="1476"/>
      <c r="BJ85" s="1748"/>
      <c r="BK85" s="2051"/>
      <c r="BL85" s="2043"/>
      <c r="BM85" s="2012">
        <f>BK85+BL85*1</f>
        <v>0</v>
      </c>
      <c r="BN85" s="1476"/>
      <c r="BO85" s="1748"/>
      <c r="BP85" s="2051"/>
      <c r="BQ85" s="2043"/>
      <c r="BR85" s="2012">
        <f>BP85+BQ85*1</f>
        <v>0</v>
      </c>
      <c r="BS85" s="1476"/>
      <c r="BT85" s="1748"/>
      <c r="BU85" s="2051"/>
      <c r="BV85" s="2043"/>
      <c r="BW85" s="2012">
        <f>BU85+BV85*1</f>
        <v>0</v>
      </c>
      <c r="BX85" s="1476"/>
      <c r="BY85" s="1748"/>
      <c r="BZ85" s="2043">
        <f t="shared" ref="BZ85" si="142">G85+L85+R85+W85+AB85+AG85+AL85+AQ85+AV85+BA85+BF85+BK85+BP85+BU85</f>
        <v>0</v>
      </c>
      <c r="CA85" s="2043">
        <f>H85+M85+S85+X85+AC85+AH85+AM85+AR85+AW85+BB85+BG85+BL85+BQ85+BV85</f>
        <v>0</v>
      </c>
      <c r="CB85" s="2012">
        <f>BZ85+CA85*1.15</f>
        <v>0</v>
      </c>
      <c r="CC85" s="1476"/>
      <c r="CD85" s="1476"/>
      <c r="CE85" s="842"/>
      <c r="CF85" s="842"/>
    </row>
    <row r="86" spans="1:86" s="1396" customFormat="1" ht="21" customHeight="1">
      <c r="A86" s="1405"/>
      <c r="B86" s="3438" t="s">
        <v>50</v>
      </c>
      <c r="C86" s="3435">
        <f>C84-C85</f>
        <v>0</v>
      </c>
      <c r="D86" s="3435">
        <f>D84-D85</f>
        <v>0</v>
      </c>
      <c r="E86" s="3406">
        <f>E84-E85</f>
        <v>0</v>
      </c>
      <c r="F86" s="3855"/>
      <c r="G86" s="3406">
        <v>6117502.4199999999</v>
      </c>
      <c r="H86" s="3406">
        <v>-898669.99419090908</v>
      </c>
      <c r="I86" s="3406">
        <v>5086838.4085171092</v>
      </c>
      <c r="J86" s="3855"/>
      <c r="K86" s="3855"/>
      <c r="L86" s="3406">
        <f>L84-L85</f>
        <v>9578726.5512400009</v>
      </c>
      <c r="M86" s="3406">
        <f>M84-M85</f>
        <v>-1364410.13</v>
      </c>
      <c r="N86" s="3406">
        <f>N84-N85</f>
        <v>8023912.9537258316</v>
      </c>
      <c r="O86" s="3407"/>
      <c r="P86" s="3407"/>
      <c r="Q86" s="3855"/>
      <c r="R86" s="3406">
        <f>R84-R85</f>
        <v>1860635.9799999995</v>
      </c>
      <c r="S86" s="3406">
        <f>S84-S85</f>
        <v>0</v>
      </c>
      <c r="T86" s="3406">
        <f>T84-T85</f>
        <v>1860635.9799999995</v>
      </c>
      <c r="U86" s="3407"/>
      <c r="V86" s="3886"/>
      <c r="W86" s="3406">
        <f>W84-W85</f>
        <v>-27000</v>
      </c>
      <c r="X86" s="3406">
        <f>X84-X85</f>
        <v>0</v>
      </c>
      <c r="Y86" s="3406">
        <f>Y84-Y85</f>
        <v>-27000</v>
      </c>
      <c r="Z86" s="3407"/>
      <c r="AA86" s="3407"/>
      <c r="AB86" s="3406">
        <f>AB84-AB85</f>
        <v>0</v>
      </c>
      <c r="AC86" s="3406">
        <f>AC84-AC85</f>
        <v>-40</v>
      </c>
      <c r="AD86" s="3406">
        <f>AD84-AD85</f>
        <v>-45.389757169253528</v>
      </c>
      <c r="AE86" s="3407"/>
      <c r="AF86" s="3407"/>
      <c r="AG86" s="3406">
        <f>AG84-AG85</f>
        <v>0</v>
      </c>
      <c r="AH86" s="3406">
        <f>AH84-AH85</f>
        <v>0</v>
      </c>
      <c r="AI86" s="3406">
        <f>AI84-AI85</f>
        <v>0</v>
      </c>
      <c r="AJ86" s="3407"/>
      <c r="AK86" s="3407"/>
      <c r="AL86" s="3406">
        <f>AL84-AL85</f>
        <v>1211745.4800000004</v>
      </c>
      <c r="AM86" s="3406">
        <f>AM84-AM85</f>
        <v>0</v>
      </c>
      <c r="AN86" s="3406">
        <f>AN84-AN85</f>
        <v>1211745.4800000004</v>
      </c>
      <c r="AO86" s="3407"/>
      <c r="AP86" s="3407"/>
      <c r="AQ86" s="3406">
        <f>AQ84-AQ85</f>
        <v>0</v>
      </c>
      <c r="AR86" s="3406">
        <f>AR84-AR85</f>
        <v>0</v>
      </c>
      <c r="AS86" s="3406">
        <f>AS84-AS85</f>
        <v>0</v>
      </c>
      <c r="AT86" s="3407"/>
      <c r="AU86" s="3854"/>
      <c r="AV86" s="3406">
        <f>AV84-AV85</f>
        <v>5121.2600000000093</v>
      </c>
      <c r="AW86" s="3406">
        <f>AW84-AW85</f>
        <v>0</v>
      </c>
      <c r="AX86" s="3406">
        <f>AX84-AX85</f>
        <v>5121.2600000000093</v>
      </c>
      <c r="AY86" s="3407"/>
      <c r="AZ86" s="3854"/>
      <c r="BA86" s="3406">
        <f>BA84-BA85</f>
        <v>-55.01</v>
      </c>
      <c r="BB86" s="3406">
        <f>BB84-BB85</f>
        <v>-80</v>
      </c>
      <c r="BC86" s="3406">
        <f>BC84-BC85</f>
        <v>-144.34037868922087</v>
      </c>
      <c r="BD86" s="3407"/>
      <c r="BE86" s="3854"/>
      <c r="BF86" s="3406">
        <f>BF84</f>
        <v>-55.01</v>
      </c>
      <c r="BG86" s="3406">
        <f t="shared" ref="BG86" si="143">BG84</f>
        <v>0</v>
      </c>
      <c r="BH86" s="3406">
        <f>BH84</f>
        <v>-55.01</v>
      </c>
      <c r="BI86" s="3407"/>
      <c r="BJ86" s="3854"/>
      <c r="BK86" s="3406">
        <f>BK84</f>
        <v>-55.01</v>
      </c>
      <c r="BL86" s="3406">
        <f t="shared" ref="BL86" si="144">BL84</f>
        <v>0</v>
      </c>
      <c r="BM86" s="3406">
        <f>BM84</f>
        <v>-55.01</v>
      </c>
      <c r="BN86" s="3407"/>
      <c r="BO86" s="3854"/>
      <c r="BP86" s="3406">
        <f>BP84</f>
        <v>-2639.52</v>
      </c>
      <c r="BQ86" s="3406">
        <f t="shared" ref="BQ86" si="145">BQ84</f>
        <v>0</v>
      </c>
      <c r="BR86" s="3406">
        <f>BR84</f>
        <v>-2639.52</v>
      </c>
      <c r="BS86" s="3407"/>
      <c r="BT86" s="3854"/>
      <c r="BU86" s="3406">
        <f>BU84</f>
        <v>-18.618003215537286</v>
      </c>
      <c r="BV86" s="3406">
        <f t="shared" ref="BV86" si="146">BV84</f>
        <v>-129.5</v>
      </c>
      <c r="BW86" s="3406">
        <f>BW84</f>
        <v>-148.11800321553727</v>
      </c>
      <c r="BX86" s="3407"/>
      <c r="BY86" s="3854"/>
      <c r="BZ86" s="3406">
        <f>BZ84-BZ85</f>
        <v>13482842.801129716</v>
      </c>
      <c r="CA86" s="3406">
        <f>CA84-CA85</f>
        <v>-2406776.824190909</v>
      </c>
      <c r="CB86" s="3406">
        <f>CB84-CB85</f>
        <v>10753653.771996792</v>
      </c>
      <c r="CC86" s="3407"/>
      <c r="CD86" s="3407"/>
      <c r="CE86" s="842"/>
      <c r="CF86" s="842"/>
      <c r="CG86" s="842"/>
    </row>
    <row r="87" spans="1:86" s="1396" customFormat="1" ht="18" customHeight="1" thickBot="1">
      <c r="A87" s="1567"/>
      <c r="B87" s="3728" t="s">
        <v>51</v>
      </c>
      <c r="C87" s="2856" t="e">
        <f>C86/C5</f>
        <v>#DIV/0!</v>
      </c>
      <c r="D87" s="2857" t="e">
        <f>D86/D5</f>
        <v>#DIV/0!</v>
      </c>
      <c r="E87" s="2858" t="e">
        <f>E86/E5</f>
        <v>#DIV/0!</v>
      </c>
      <c r="F87" s="2859"/>
      <c r="G87" s="2856">
        <v>0.46910630471699688</v>
      </c>
      <c r="H87" s="2857" t="e">
        <v>#DIV/0!</v>
      </c>
      <c r="I87" s="2858">
        <v>0.39007225574778776</v>
      </c>
      <c r="J87" s="3856"/>
      <c r="K87" s="3856"/>
      <c r="L87" s="2856">
        <f>L86/L5</f>
        <v>0.81434974066437138</v>
      </c>
      <c r="M87" s="2857" t="e">
        <f>M86/M5</f>
        <v>#DIV/0!</v>
      </c>
      <c r="N87" s="2858">
        <f>N86/N5</f>
        <v>0.68216494103114744</v>
      </c>
      <c r="O87" s="2860"/>
      <c r="P87" s="2860"/>
      <c r="Q87" s="2859"/>
      <c r="R87" s="2856" t="e">
        <f>R86/R5</f>
        <v>#DIV/0!</v>
      </c>
      <c r="S87" s="2857" t="e">
        <f>S86/S5</f>
        <v>#DIV/0!</v>
      </c>
      <c r="T87" s="2858" t="e">
        <f>T86/T5</f>
        <v>#DIV/0!</v>
      </c>
      <c r="U87" s="2860"/>
      <c r="V87" s="3887"/>
      <c r="W87" s="2856" t="e">
        <f>W86/W5</f>
        <v>#DIV/0!</v>
      </c>
      <c r="X87" s="2857" t="e">
        <f>X86/X5</f>
        <v>#DIV/0!</v>
      </c>
      <c r="Y87" s="2858" t="e">
        <f>Y86/Y5</f>
        <v>#DIV/0!</v>
      </c>
      <c r="Z87" s="2860"/>
      <c r="AA87" s="2860"/>
      <c r="AB87" s="2856" t="e">
        <f>AB86/AB5</f>
        <v>#DIV/0!</v>
      </c>
      <c r="AC87" s="2857" t="e">
        <f>AC86/AC5</f>
        <v>#DIV/0!</v>
      </c>
      <c r="AD87" s="2858" t="e">
        <f>AD86/AD5</f>
        <v>#DIV/0!</v>
      </c>
      <c r="AE87" s="2860"/>
      <c r="AF87" s="2860"/>
      <c r="AG87" s="2856" t="e">
        <f>AG86/AG5</f>
        <v>#DIV/0!</v>
      </c>
      <c r="AH87" s="2857" t="e">
        <f>AH86/AH5</f>
        <v>#DIV/0!</v>
      </c>
      <c r="AI87" s="2858" t="e">
        <f>AI86/AI5</f>
        <v>#DIV/0!</v>
      </c>
      <c r="AJ87" s="2860"/>
      <c r="AK87" s="2860"/>
      <c r="AL87" s="2856">
        <f>AL86/AL5</f>
        <v>0.11737213087054102</v>
      </c>
      <c r="AM87" s="2857" t="e">
        <f>AM86/AM5</f>
        <v>#DIV/0!</v>
      </c>
      <c r="AN87" s="2858">
        <f>AN86/AN5</f>
        <v>0.11737213087054102</v>
      </c>
      <c r="AO87" s="2860"/>
      <c r="AP87" s="2860"/>
      <c r="AQ87" s="2856" t="e">
        <f>AQ86/AQ5</f>
        <v>#DIV/0!</v>
      </c>
      <c r="AR87" s="2857" t="e">
        <f>AR86/AR5</f>
        <v>#DIV/0!</v>
      </c>
      <c r="AS87" s="2858" t="e">
        <f>AS86/AS5</f>
        <v>#DIV/0!</v>
      </c>
      <c r="AT87" s="2860"/>
      <c r="AU87" s="2861"/>
      <c r="AV87" s="2856">
        <f>AV86/AV5</f>
        <v>6.115169069213452E-3</v>
      </c>
      <c r="AW87" s="2857" t="e">
        <f>AW86/AW5</f>
        <v>#DIV/0!</v>
      </c>
      <c r="AX87" s="2858">
        <f>AX86/AX5</f>
        <v>6.115169069213452E-3</v>
      </c>
      <c r="AY87" s="2860"/>
      <c r="AZ87" s="2861"/>
      <c r="BA87" s="2856" t="e">
        <f>BA86/BA5</f>
        <v>#DIV/0!</v>
      </c>
      <c r="BB87" s="2857" t="e">
        <f>BB86/BB5</f>
        <v>#DIV/0!</v>
      </c>
      <c r="BC87" s="2858" t="e">
        <f>BC86/BC5</f>
        <v>#DIV/0!</v>
      </c>
      <c r="BD87" s="2860"/>
      <c r="BE87" s="2861"/>
      <c r="BF87" s="2856" t="e">
        <f>BF86/BF5</f>
        <v>#DIV/0!</v>
      </c>
      <c r="BG87" s="2857" t="e">
        <f>BG86/BG5</f>
        <v>#DIV/0!</v>
      </c>
      <c r="BH87" s="2858" t="e">
        <f>BH86/BH5</f>
        <v>#DIV/0!</v>
      </c>
      <c r="BI87" s="2860"/>
      <c r="BJ87" s="2861"/>
      <c r="BK87" s="2856" t="e">
        <f>BK86/BK5</f>
        <v>#DIV/0!</v>
      </c>
      <c r="BL87" s="2857" t="e">
        <f>BL86/BL5</f>
        <v>#DIV/0!</v>
      </c>
      <c r="BM87" s="2858" t="e">
        <f>BM86/BM5</f>
        <v>#DIV/0!</v>
      </c>
      <c r="BN87" s="2860"/>
      <c r="BO87" s="2861"/>
      <c r="BP87" s="2856" t="e">
        <f>BP86/BP5</f>
        <v>#DIV/0!</v>
      </c>
      <c r="BQ87" s="2857" t="e">
        <f>BQ86/BQ5</f>
        <v>#DIV/0!</v>
      </c>
      <c r="BR87" s="2858" t="e">
        <f>BR86/BR5</f>
        <v>#DIV/0!</v>
      </c>
      <c r="BS87" s="2860"/>
      <c r="BT87" s="2861"/>
      <c r="BU87" s="2856" t="e">
        <f>BU86/BU5</f>
        <v>#DIV/0!</v>
      </c>
      <c r="BV87" s="2857" t="e">
        <f>BV86/BV5</f>
        <v>#DIV/0!</v>
      </c>
      <c r="BW87" s="2858" t="e">
        <f>BW86/BW5</f>
        <v>#DIV/0!</v>
      </c>
      <c r="BX87" s="2860"/>
      <c r="BY87" s="2861"/>
      <c r="BZ87" s="2856">
        <f>BZ86/BZ5</f>
        <v>0.3078098804900477</v>
      </c>
      <c r="CA87" s="2857" t="e">
        <f>CA86/CA5</f>
        <v>#DIV/0!</v>
      </c>
      <c r="CB87" s="2858">
        <f>CB86/CB5</f>
        <v>0.24550318736285606</v>
      </c>
      <c r="CC87" s="2860"/>
      <c r="CD87" s="2860"/>
      <c r="CE87" s="842"/>
      <c r="CF87" s="842"/>
      <c r="CG87" s="933"/>
    </row>
    <row r="88" spans="1:86" ht="13.8">
      <c r="A88" s="1423"/>
      <c r="B88" s="1423"/>
      <c r="C88" s="1521"/>
      <c r="D88" s="1521"/>
      <c r="E88" s="1521"/>
      <c r="F88" s="1549"/>
      <c r="G88" s="1954"/>
      <c r="H88" s="1954"/>
      <c r="I88" s="1954"/>
      <c r="J88" s="1549"/>
      <c r="K88" s="1549"/>
      <c r="L88" s="1954"/>
      <c r="M88" s="1954"/>
      <c r="N88" s="1954"/>
      <c r="O88" s="1954"/>
      <c r="P88" s="1954"/>
      <c r="Q88" s="1549"/>
      <c r="R88" s="1954"/>
      <c r="S88" s="1954"/>
      <c r="T88" s="1954"/>
      <c r="U88" s="1954"/>
      <c r="V88" s="1613"/>
      <c r="W88" s="1954"/>
      <c r="X88" s="1954"/>
      <c r="Y88" s="1954"/>
      <c r="Z88" s="1954"/>
      <c r="AA88" s="1954"/>
      <c r="AB88" s="1954"/>
      <c r="AC88" s="1954"/>
      <c r="AD88" s="1954"/>
      <c r="AE88" s="1954"/>
      <c r="AF88" s="1954"/>
      <c r="AG88" s="1954"/>
      <c r="AH88" s="1954"/>
      <c r="AI88" s="1954"/>
      <c r="AJ88" s="1954"/>
      <c r="AK88" s="1954"/>
      <c r="AL88" s="1954"/>
      <c r="AM88" s="1954"/>
      <c r="AN88" s="1954"/>
      <c r="AO88" s="1954"/>
      <c r="AP88" s="1954"/>
      <c r="AQ88" s="1954"/>
      <c r="AR88" s="1954"/>
      <c r="AS88" s="1954"/>
      <c r="AT88" s="1954"/>
      <c r="AU88" s="1605"/>
      <c r="AV88" s="1954"/>
      <c r="AW88" s="1954"/>
      <c r="AX88" s="1954"/>
      <c r="AY88" s="1954"/>
      <c r="AZ88" s="1605"/>
      <c r="BA88" s="1954"/>
      <c r="BB88" s="1954"/>
      <c r="BC88" s="1954"/>
      <c r="BD88" s="1954"/>
      <c r="BE88" s="1605"/>
      <c r="BF88" s="1954"/>
      <c r="BG88" s="1954"/>
      <c r="BH88" s="1954"/>
      <c r="BI88" s="1954"/>
      <c r="BJ88" s="1605"/>
      <c r="BK88" s="1954"/>
      <c r="BL88" s="1954"/>
      <c r="BM88" s="1954"/>
      <c r="BN88" s="1954"/>
      <c r="BO88" s="1605"/>
      <c r="BP88" s="1954"/>
      <c r="BQ88" s="1954"/>
      <c r="BR88" s="1954"/>
      <c r="BS88" s="1954"/>
      <c r="BT88" s="1605"/>
      <c r="BU88" s="1954"/>
      <c r="BV88" s="1954"/>
      <c r="BW88" s="1954"/>
      <c r="BX88" s="1954"/>
      <c r="BY88" s="1605"/>
      <c r="BZ88" s="1954"/>
      <c r="CA88" s="1954"/>
      <c r="CB88" s="1954"/>
      <c r="CC88" s="1954"/>
      <c r="CD88" s="1954"/>
      <c r="CF88" s="1952"/>
      <c r="CG88" s="1952"/>
    </row>
    <row r="89" spans="1:86">
      <c r="B89" s="1562" t="s">
        <v>56</v>
      </c>
      <c r="C89" s="1522"/>
      <c r="D89" s="1522"/>
      <c r="E89" s="1960">
        <f>E8+E36+E41+E50+E54+E73+E79+E82+E85</f>
        <v>0</v>
      </c>
      <c r="F89" s="189"/>
      <c r="I89" s="1960">
        <f>I8+I36+I41+I50+I54+I73+I79+I82+I85</f>
        <v>13358433.843589958</v>
      </c>
      <c r="J89" s="189"/>
      <c r="K89" s="189"/>
      <c r="N89" s="1960">
        <f>N8+N36+N41+N50+N54+N73+N79+N82+N85</f>
        <v>3738510.5762741687</v>
      </c>
      <c r="Q89" s="189"/>
      <c r="T89" s="1960">
        <f>T8+T36+T41+T50+T54+T73+T79+T82+T85</f>
        <v>5977252.04</v>
      </c>
      <c r="V89" s="1592"/>
      <c r="Y89" s="1960">
        <f>Y8+Y36+Y41+Y50+Y54+Y73+Y79+Y82+Y85</f>
        <v>27000</v>
      </c>
      <c r="AD89" s="1960">
        <f>AD8+AD36+AD41+AD50+AD54+AD73+AD79+AD82+AD85</f>
        <v>45.389757169253528</v>
      </c>
      <c r="AI89" s="1960">
        <f>AI8+AI36+AI41+AI50+AI54+AI73+AI79+AI82+AI85</f>
        <v>0</v>
      </c>
      <c r="AN89" s="1960">
        <f>AN8+AN36+AN41+AN50+AN54+AN73+AN79+AN82+AN85</f>
        <v>9112217.0399999991</v>
      </c>
      <c r="AS89" s="1960">
        <f>AS8+AS36+AS41+AS50+AS54+AS73+AS79+AS82+AS85</f>
        <v>0</v>
      </c>
      <c r="AU89" s="1606"/>
      <c r="AX89" s="1960">
        <f>AX8+AX36+AX41+AX50+AX54+AX73+AX79+AX82+AX85</f>
        <v>832347</v>
      </c>
      <c r="AZ89" s="1606"/>
      <c r="BC89" s="1960">
        <f>BC8+BC36+BC41+BC50+BC54+BC73+BC79+BC82+BC85</f>
        <v>144.34037868922087</v>
      </c>
      <c r="BE89" s="1606"/>
      <c r="BH89" s="1960">
        <f>BH8+BH36+BH41+BH50+BH54+BH73+BH79+BH82+BH85</f>
        <v>55.01</v>
      </c>
      <c r="BJ89" s="1606"/>
      <c r="BM89" s="1960">
        <f>BM8+BM36+BM41+BM50+BM54+BM73+BM79+BM82+BM85</f>
        <v>55.01</v>
      </c>
      <c r="BO89" s="1606"/>
      <c r="BR89" s="1960">
        <f>BR8+BR36+BR41+BR50+BR54+BR73+BR79+BR82+BR85</f>
        <v>2639.52</v>
      </c>
      <c r="BT89" s="1606"/>
      <c r="BW89" s="1960">
        <f>BW8+BW36+BW41+BW50+BW54+BW73+BW79+BW82+BW85</f>
        <v>148.11800321553727</v>
      </c>
      <c r="BY89" s="1606"/>
      <c r="CB89" s="1960">
        <f>CB8+CB36+CB41+CB50+CB54+CB73+CB79+CB82+CB85</f>
        <v>33048847.888003204</v>
      </c>
      <c r="CG89" s="688"/>
    </row>
    <row r="90" spans="1:86" s="2470" customFormat="1">
      <c r="A90" s="1336"/>
      <c r="B90" s="1336"/>
      <c r="C90" s="1341"/>
      <c r="D90" s="1341"/>
      <c r="E90" s="1341"/>
      <c r="F90" s="2468"/>
      <c r="G90" s="2468"/>
      <c r="H90" s="2468"/>
      <c r="I90" s="2468"/>
      <c r="J90" s="2468"/>
      <c r="K90" s="2468"/>
      <c r="L90" s="1586"/>
      <c r="M90" s="1586"/>
      <c r="N90" s="1586"/>
      <c r="O90" s="1586"/>
      <c r="P90" s="2468"/>
      <c r="Q90" s="2468"/>
      <c r="R90" s="2468"/>
      <c r="S90" s="2468"/>
      <c r="T90" s="2468"/>
      <c r="U90" s="2468"/>
      <c r="V90" s="2468"/>
      <c r="W90" s="2468"/>
      <c r="X90" s="2468"/>
      <c r="Y90" s="2468"/>
      <c r="Z90" s="2468"/>
      <c r="AA90" s="2468"/>
      <c r="AB90" s="2468"/>
      <c r="AC90" s="2468"/>
      <c r="AD90" s="2468"/>
      <c r="AE90" s="2468"/>
      <c r="AF90" s="2468"/>
      <c r="AG90" s="2468"/>
      <c r="AH90" s="2468"/>
      <c r="AI90" s="2468"/>
      <c r="AJ90" s="2468"/>
      <c r="AK90" s="2468"/>
      <c r="AL90" s="2468"/>
      <c r="AM90" s="2468"/>
      <c r="AN90" s="2468"/>
      <c r="AO90" s="2468"/>
      <c r="AP90" s="2468"/>
      <c r="AQ90" s="2468"/>
      <c r="AR90" s="2468"/>
      <c r="AS90" s="2468"/>
      <c r="AT90" s="2468"/>
      <c r="AU90" s="1857"/>
      <c r="AV90" s="2468"/>
      <c r="AW90" s="2468"/>
      <c r="AX90" s="2468"/>
      <c r="AY90" s="2468"/>
      <c r="AZ90" s="1857"/>
      <c r="BA90" s="2468"/>
      <c r="BB90" s="2468"/>
      <c r="BC90" s="2468"/>
      <c r="BD90" s="2468"/>
      <c r="BE90" s="1857"/>
      <c r="BF90" s="2468"/>
      <c r="BG90" s="2468"/>
      <c r="BH90" s="2468"/>
      <c r="BI90" s="2468"/>
      <c r="BJ90" s="1857"/>
      <c r="BK90" s="2468"/>
      <c r="BL90" s="2468"/>
      <c r="BM90" s="2468"/>
      <c r="BN90" s="2468"/>
      <c r="BO90" s="1857"/>
      <c r="BP90" s="2468"/>
      <c r="BQ90" s="2468"/>
      <c r="BR90" s="2468"/>
      <c r="BS90" s="2468"/>
      <c r="BT90" s="1857"/>
      <c r="BU90" s="2468"/>
      <c r="BV90" s="2468"/>
      <c r="BW90" s="2468"/>
      <c r="BX90" s="2468"/>
      <c r="BY90" s="1857"/>
      <c r="BZ90" s="2468"/>
      <c r="CA90" s="2468"/>
      <c r="CB90" s="1606">
        <f>(I89+N89+T89+Y89+AD89+AI89+AN89+AS89+AX89+BC89+BH89+BM89+BR89+BW89)-CB89</f>
        <v>0</v>
      </c>
      <c r="CC90" s="1586"/>
      <c r="CD90" s="1586"/>
      <c r="CE90" s="2462"/>
      <c r="CG90" s="2471"/>
    </row>
    <row r="91" spans="1:86" s="2469" customFormat="1" ht="13.95" customHeight="1">
      <c r="A91" s="1336"/>
      <c r="B91" s="1336"/>
      <c r="C91" s="1341"/>
      <c r="D91" s="1341"/>
      <c r="E91" s="1341"/>
      <c r="F91" s="2468"/>
      <c r="G91" s="2468"/>
      <c r="H91" s="2468"/>
      <c r="I91" s="2468"/>
      <c r="J91" s="2468"/>
      <c r="K91" s="2468"/>
      <c r="L91" s="1586"/>
      <c r="M91" s="1586"/>
      <c r="N91" s="1586"/>
      <c r="O91" s="1586"/>
      <c r="P91" s="2468"/>
      <c r="Q91" s="2468"/>
      <c r="R91" s="2468"/>
      <c r="S91" s="2468"/>
      <c r="T91" s="2468"/>
      <c r="U91" s="2468"/>
      <c r="V91" s="2468"/>
      <c r="W91" s="2468"/>
      <c r="X91" s="2468"/>
      <c r="Y91" s="2468"/>
      <c r="Z91" s="2468"/>
      <c r="AA91" s="2468"/>
      <c r="AB91" s="2468"/>
      <c r="AC91" s="2468"/>
      <c r="AD91" s="2468"/>
      <c r="AE91" s="2468"/>
      <c r="AF91" s="2468"/>
      <c r="AG91" s="2468"/>
      <c r="AH91" s="2468"/>
      <c r="AI91" s="2468"/>
      <c r="AJ91" s="2468"/>
      <c r="AK91" s="2468"/>
      <c r="AL91" s="2468"/>
      <c r="AM91" s="2468"/>
      <c r="AN91" s="2468"/>
      <c r="AO91" s="2468"/>
      <c r="AP91" s="2468"/>
      <c r="AQ91" s="2468"/>
      <c r="AR91" s="1586"/>
      <c r="AS91" s="1586"/>
      <c r="AT91" s="1586"/>
      <c r="AU91" s="1857"/>
      <c r="AV91" s="2468"/>
      <c r="AW91" s="1586"/>
      <c r="AX91" s="1586"/>
      <c r="AY91" s="1586"/>
      <c r="AZ91" s="1857"/>
      <c r="BA91" s="2468"/>
      <c r="BB91" s="1586"/>
      <c r="BC91" s="1586"/>
      <c r="BD91" s="1586"/>
      <c r="BE91" s="1857"/>
      <c r="BF91" s="2468"/>
      <c r="BG91" s="1586"/>
      <c r="BH91" s="1586"/>
      <c r="BI91" s="1586"/>
      <c r="BJ91" s="1857"/>
      <c r="BK91" s="2468"/>
      <c r="BL91" s="1586"/>
      <c r="BM91" s="1586"/>
      <c r="BN91" s="1586"/>
      <c r="BO91" s="1857"/>
      <c r="BP91" s="2468"/>
      <c r="BQ91" s="1586"/>
      <c r="BR91" s="1586"/>
      <c r="BS91" s="1586"/>
      <c r="BT91" s="1857"/>
      <c r="BU91" s="2468"/>
      <c r="BV91" s="1586"/>
      <c r="BW91" s="1586"/>
      <c r="BX91" s="1586"/>
      <c r="BY91" s="1857"/>
      <c r="BZ91" s="2468"/>
      <c r="CA91" s="2468"/>
      <c r="CB91" s="2468"/>
      <c r="CC91" s="2468"/>
      <c r="CD91" s="2468"/>
      <c r="CE91" s="2468"/>
      <c r="CF91" s="2468"/>
      <c r="CG91" s="2468"/>
    </row>
    <row r="92" spans="1:86" s="2470" customFormat="1">
      <c r="A92" s="1336"/>
      <c r="B92" s="1336"/>
      <c r="C92" s="2468"/>
      <c r="D92" s="2468"/>
      <c r="E92" s="2468"/>
      <c r="F92" s="2468"/>
      <c r="G92" s="2468"/>
      <c r="H92" s="2468"/>
      <c r="I92" s="2468"/>
      <c r="J92" s="2468"/>
      <c r="K92" s="2468"/>
      <c r="L92" s="1586"/>
      <c r="M92" s="1586"/>
      <c r="N92" s="1586"/>
      <c r="O92" s="1586"/>
      <c r="P92" s="2468"/>
      <c r="Q92" s="2468"/>
      <c r="R92" s="2468"/>
      <c r="S92" s="2468"/>
      <c r="T92" s="2468"/>
      <c r="U92" s="2468"/>
      <c r="V92" s="2468"/>
      <c r="W92" s="2468"/>
      <c r="X92" s="2468"/>
      <c r="Y92" s="2468">
        <f>Y5-Y89</f>
        <v>-27000</v>
      </c>
      <c r="Z92" s="2468"/>
      <c r="AA92" s="2468"/>
      <c r="AB92" s="2468"/>
      <c r="AC92" s="2468"/>
      <c r="AD92" s="2468">
        <f>AD5-AD89</f>
        <v>-45.389757169253528</v>
      </c>
      <c r="AE92" s="2468"/>
      <c r="AF92" s="2468"/>
      <c r="AG92" s="2468"/>
      <c r="AH92" s="2468"/>
      <c r="AI92" s="2468">
        <f>AI5-AI89</f>
        <v>0</v>
      </c>
      <c r="AJ92" s="2468"/>
      <c r="AK92" s="2468"/>
      <c r="AL92" s="2468"/>
      <c r="AM92" s="2468"/>
      <c r="AN92" s="2468">
        <f>AN5-AN89</f>
        <v>1211745.4800000004</v>
      </c>
      <c r="AO92" s="2468"/>
      <c r="AP92" s="2468"/>
      <c r="AQ92" s="1342"/>
      <c r="AR92" s="1218"/>
      <c r="AS92" s="1218"/>
      <c r="AT92" s="1218"/>
      <c r="AU92" s="1342"/>
      <c r="AV92" s="1342"/>
      <c r="AW92" s="1218"/>
      <c r="AX92" s="1218"/>
      <c r="AY92" s="1218"/>
      <c r="AZ92" s="1342"/>
      <c r="BA92" s="1342"/>
      <c r="BB92" s="1218"/>
      <c r="BC92" s="1218"/>
      <c r="BD92" s="1218"/>
      <c r="BE92" s="1342"/>
      <c r="BF92" s="2468"/>
      <c r="BG92" s="1218"/>
      <c r="BH92" s="1218"/>
      <c r="BI92" s="1218"/>
      <c r="BJ92" s="1342"/>
      <c r="BK92" s="2468"/>
      <c r="BL92" s="1218"/>
      <c r="BM92" s="1218"/>
      <c r="BN92" s="1218"/>
      <c r="BO92" s="1342"/>
      <c r="BP92" s="2468"/>
      <c r="BQ92" s="1218"/>
      <c r="BR92" s="1218"/>
      <c r="BS92" s="1218"/>
      <c r="BT92" s="1342"/>
      <c r="BU92" s="2468"/>
      <c r="BV92" s="1218"/>
      <c r="BW92" s="1218"/>
      <c r="BX92" s="1218"/>
      <c r="BY92" s="1342"/>
      <c r="BZ92" s="2468"/>
      <c r="CA92" s="1952" t="s">
        <v>1374</v>
      </c>
      <c r="CB92" s="1952">
        <v>9414050.8500000015</v>
      </c>
      <c r="CC92" s="2468"/>
      <c r="CD92" s="2468"/>
      <c r="CE92" s="2468"/>
      <c r="CF92" s="2468"/>
      <c r="CG92" s="2468"/>
    </row>
    <row r="93" spans="1:86" s="2469" customFormat="1">
      <c r="A93" s="1336"/>
      <c r="B93" s="1344"/>
      <c r="C93" s="2468"/>
      <c r="D93" s="2468"/>
      <c r="E93" s="2468"/>
      <c r="F93" s="2468"/>
      <c r="G93" s="2468"/>
      <c r="H93" s="2468"/>
      <c r="I93" s="2468"/>
      <c r="J93" s="2468"/>
      <c r="K93" s="2468"/>
      <c r="L93" s="1586"/>
      <c r="M93" s="1586"/>
      <c r="N93" s="1586"/>
      <c r="O93" s="1586"/>
      <c r="P93" s="1952"/>
      <c r="Q93" s="2468"/>
      <c r="R93" s="2468"/>
      <c r="S93" s="2468"/>
      <c r="T93" s="1592"/>
      <c r="U93" s="2468"/>
      <c r="V93" s="2468"/>
      <c r="W93" s="1952"/>
      <c r="X93" s="1952"/>
      <c r="Y93" s="1952"/>
      <c r="Z93" s="1952"/>
      <c r="AA93" s="1952"/>
      <c r="AB93" s="1952"/>
      <c r="AC93" s="1952"/>
      <c r="AD93" s="1952"/>
      <c r="AE93" s="1952"/>
      <c r="AF93" s="1952"/>
      <c r="AG93" s="1952"/>
      <c r="AH93" s="1952"/>
      <c r="AI93" s="1952"/>
      <c r="AJ93" s="1952"/>
      <c r="AK93" s="1952"/>
      <c r="AL93" s="1952"/>
      <c r="AM93" s="1952"/>
      <c r="AN93" s="1952"/>
      <c r="AO93" s="1952"/>
      <c r="AP93" s="1952"/>
      <c r="AQ93" s="1036"/>
      <c r="AR93" s="1218"/>
      <c r="AS93" s="1218"/>
      <c r="AT93" s="1218"/>
      <c r="AU93" s="1036"/>
      <c r="AV93" s="1036"/>
      <c r="AW93" s="1218"/>
      <c r="AX93" s="1218"/>
      <c r="AY93" s="1218"/>
      <c r="AZ93" s="1036"/>
      <c r="BA93" s="1036"/>
      <c r="BB93" s="1218"/>
      <c r="BC93" s="1218"/>
      <c r="BD93" s="1218"/>
      <c r="BE93" s="1036"/>
      <c r="BF93" s="2468"/>
      <c r="BG93" s="1218"/>
      <c r="BH93" s="1218"/>
      <c r="BI93" s="1218"/>
      <c r="BJ93" s="1036"/>
      <c r="BK93" s="2468"/>
      <c r="BL93" s="1218"/>
      <c r="BM93" s="1218"/>
      <c r="BN93" s="1218"/>
      <c r="BO93" s="1036"/>
      <c r="BP93" s="2468"/>
      <c r="BQ93" s="1218"/>
      <c r="BR93" s="1218"/>
      <c r="BS93" s="1218"/>
      <c r="BT93" s="1036"/>
      <c r="BU93" s="2468"/>
      <c r="BV93" s="1218"/>
      <c r="BW93" s="1218"/>
      <c r="BX93" s="1218"/>
      <c r="BY93" s="1036"/>
      <c r="BZ93" s="2468"/>
      <c r="CA93" s="1952" t="s">
        <v>1373</v>
      </c>
      <c r="CB93" s="1952">
        <f>CB92-CB86</f>
        <v>-1339602.9219967909</v>
      </c>
      <c r="CC93" s="1952"/>
      <c r="CD93" s="1952"/>
      <c r="CE93" s="1952"/>
      <c r="CF93" s="1952"/>
      <c r="CG93" s="1952"/>
    </row>
    <row r="94" spans="1:86" s="1396" customFormat="1">
      <c r="A94" s="1402"/>
      <c r="B94" s="1655"/>
      <c r="C94" s="1952"/>
      <c r="D94" s="1952"/>
      <c r="E94" s="1952"/>
      <c r="F94" s="1952"/>
      <c r="G94" s="1952"/>
      <c r="H94" s="1952"/>
      <c r="I94" s="1952"/>
      <c r="J94" s="1952"/>
      <c r="K94" s="1952"/>
      <c r="L94" s="1586"/>
      <c r="M94" s="1586"/>
      <c r="N94" s="1586"/>
      <c r="O94" s="1586"/>
      <c r="P94" s="1952"/>
      <c r="Q94" s="1952"/>
      <c r="R94" s="1952"/>
      <c r="S94" s="1952"/>
      <c r="T94" s="1952"/>
      <c r="U94" s="1952"/>
      <c r="V94" s="1592"/>
      <c r="W94" s="1952"/>
      <c r="X94" s="1952"/>
      <c r="Y94" s="1952"/>
      <c r="Z94" s="1952"/>
      <c r="AA94" s="1952"/>
      <c r="AB94" s="1952"/>
      <c r="AC94" s="1952"/>
      <c r="AD94" s="1952"/>
      <c r="AE94" s="1952"/>
      <c r="AF94" s="1952"/>
      <c r="AG94" s="1952"/>
      <c r="AH94" s="1952"/>
      <c r="AI94" s="1952"/>
      <c r="AJ94" s="1952"/>
      <c r="AK94" s="1952"/>
      <c r="AL94" s="1952"/>
      <c r="AM94" s="1952"/>
      <c r="AN94" s="1952"/>
      <c r="AO94" s="1952"/>
      <c r="AP94" s="1952"/>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654"/>
      <c r="CA94" s="1952"/>
      <c r="CB94" s="1952"/>
      <c r="CC94" s="1952"/>
      <c r="CD94" s="1952"/>
      <c r="CE94" s="1952"/>
      <c r="CF94" s="1952"/>
      <c r="CG94" s="1952"/>
    </row>
    <row r="95" spans="1:86" s="1396" customFormat="1">
      <c r="A95" s="1402"/>
      <c r="B95" s="1655"/>
      <c r="C95" s="1952"/>
      <c r="D95" s="1952"/>
      <c r="E95" s="1952"/>
      <c r="F95" s="1952"/>
      <c r="G95" s="1952"/>
      <c r="H95" s="1952"/>
      <c r="I95" s="1952"/>
      <c r="J95" s="1952"/>
      <c r="K95" s="1952"/>
      <c r="L95" s="1586"/>
      <c r="M95" s="1586"/>
      <c r="N95" s="1586"/>
      <c r="O95" s="1586"/>
      <c r="P95" s="1952"/>
      <c r="Q95" s="1952"/>
      <c r="R95" s="1952"/>
      <c r="S95" s="1952"/>
      <c r="T95" s="1952"/>
      <c r="U95" s="1952"/>
      <c r="V95" s="1592"/>
      <c r="W95" s="1952"/>
      <c r="X95" s="1952"/>
      <c r="Y95" s="1952"/>
      <c r="Z95" s="1952"/>
      <c r="AA95" s="1952"/>
      <c r="AB95" s="1952"/>
      <c r="AC95" s="1952"/>
      <c r="AD95" s="1952"/>
      <c r="AE95" s="1952"/>
      <c r="AF95" s="1952"/>
      <c r="AG95" s="1952"/>
      <c r="AH95" s="1952"/>
      <c r="AI95" s="1952"/>
      <c r="AJ95" s="1952"/>
      <c r="AK95" s="1952"/>
      <c r="AL95" s="1952"/>
      <c r="AM95" s="1952"/>
      <c r="AN95" s="1952"/>
      <c r="AO95" s="1952"/>
      <c r="AP95" s="1952"/>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52"/>
      <c r="CC95" s="1952"/>
      <c r="CD95" s="1952"/>
      <c r="CE95" s="1952"/>
      <c r="CF95" s="1952"/>
      <c r="CG95" s="1952"/>
    </row>
    <row r="96" spans="1:86" s="1396" customFormat="1">
      <c r="A96" s="1402"/>
      <c r="B96" s="1655"/>
      <c r="C96" s="1952"/>
      <c r="D96" s="1952"/>
      <c r="E96" s="1952"/>
      <c r="F96" s="1952"/>
      <c r="G96" s="1952"/>
      <c r="H96" s="1952"/>
      <c r="I96" s="1952"/>
      <c r="J96" s="1952"/>
      <c r="K96" s="1952"/>
      <c r="L96" s="1586"/>
      <c r="M96" s="1586"/>
      <c r="N96" s="1586"/>
      <c r="O96" s="1586"/>
      <c r="P96" s="1952"/>
      <c r="Q96" s="1952"/>
      <c r="R96" s="1952"/>
      <c r="S96" s="1952"/>
      <c r="T96" s="1952"/>
      <c r="U96" s="1952"/>
      <c r="V96" s="1592"/>
      <c r="W96" s="1952"/>
      <c r="X96" s="1952"/>
      <c r="Y96" s="1952"/>
      <c r="Z96" s="1952"/>
      <c r="AA96" s="1952"/>
      <c r="AB96" s="1952"/>
      <c r="AC96" s="1952"/>
      <c r="AD96" s="1952"/>
      <c r="AE96" s="1952"/>
      <c r="AF96" s="1952"/>
      <c r="AG96" s="1952"/>
      <c r="AH96" s="1952"/>
      <c r="AI96" s="1952"/>
      <c r="AL96" s="1952"/>
      <c r="AM96" s="1952"/>
      <c r="AN96" s="1952"/>
      <c r="AO96" s="1952"/>
      <c r="AP96" s="1952"/>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CA96" s="1065" t="s">
        <v>1368</v>
      </c>
      <c r="CB96" s="1952">
        <v>1339621.44</v>
      </c>
      <c r="CC96" s="1952"/>
      <c r="CD96" s="1952"/>
      <c r="CE96" s="1952"/>
      <c r="CF96" s="1952"/>
      <c r="CG96" s="1952"/>
      <c r="CH96" s="842"/>
    </row>
    <row r="97" spans="1:85">
      <c r="C97" s="1952"/>
      <c r="D97" s="1952"/>
      <c r="L97" s="1586"/>
      <c r="M97" s="1586"/>
      <c r="N97" s="1586"/>
      <c r="O97" s="1586"/>
      <c r="V97" s="1592"/>
      <c r="AJ97" s="1952" t="s">
        <v>1369</v>
      </c>
      <c r="AK97" s="1396"/>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CA97" s="1065" t="s">
        <v>1406</v>
      </c>
      <c r="CE97" s="1952"/>
      <c r="CF97" s="1952"/>
      <c r="CG97" s="1952"/>
    </row>
    <row r="98" spans="1:85">
      <c r="L98" s="1586"/>
      <c r="M98" s="1586"/>
      <c r="N98" s="1586"/>
      <c r="O98" s="1586"/>
      <c r="AK98" s="1396"/>
      <c r="AR98" s="1586"/>
      <c r="AS98" s="1586"/>
      <c r="AT98" s="1586"/>
      <c r="AW98" s="1586"/>
      <c r="AX98" s="1586"/>
      <c r="AY98" s="1586"/>
      <c r="BB98" s="1586"/>
      <c r="BC98" s="1586"/>
      <c r="BD98" s="1586"/>
      <c r="BG98" s="1586"/>
      <c r="BH98" s="1586"/>
      <c r="BI98" s="1586"/>
      <c r="BL98" s="1586"/>
      <c r="BM98" s="1586"/>
      <c r="BN98" s="1586"/>
      <c r="BQ98" s="1586"/>
      <c r="BR98" s="1586"/>
      <c r="BS98" s="1586"/>
      <c r="BV98" s="1586"/>
      <c r="BW98" s="1586"/>
      <c r="BX98" s="1586"/>
      <c r="CA98" s="1065"/>
      <c r="CE98" s="1952"/>
      <c r="CF98" s="1952"/>
      <c r="CG98" s="1952"/>
    </row>
    <row r="99" spans="1:85">
      <c r="L99" s="1586"/>
      <c r="M99" s="1586"/>
      <c r="N99" s="1586"/>
      <c r="O99" s="1586"/>
      <c r="AR99" s="1586"/>
      <c r="AS99" s="1586"/>
      <c r="AT99" s="1586"/>
      <c r="AW99" s="1586"/>
      <c r="AX99" s="1586"/>
      <c r="AY99" s="1586"/>
      <c r="BB99" s="1586"/>
      <c r="BC99" s="1586"/>
      <c r="BD99" s="1586"/>
      <c r="BG99" s="1586"/>
      <c r="BH99" s="1586"/>
      <c r="BI99" s="1586"/>
      <c r="BL99" s="1586"/>
      <c r="BM99" s="1586"/>
      <c r="BN99" s="1586"/>
      <c r="BQ99" s="1586"/>
      <c r="BR99" s="1586"/>
      <c r="BS99" s="1586"/>
      <c r="BV99" s="1586"/>
      <c r="BW99" s="1586"/>
      <c r="BX99" s="1586"/>
      <c r="CA99" s="1065"/>
      <c r="CE99" s="1952"/>
      <c r="CF99" s="1952"/>
      <c r="CG99" s="1952"/>
    </row>
    <row r="100" spans="1:85">
      <c r="L100" s="1586"/>
      <c r="M100" s="1586"/>
      <c r="N100" s="1586"/>
      <c r="O100" s="1586"/>
      <c r="AR100" s="1586"/>
      <c r="AS100" s="1586"/>
      <c r="AT100" s="1586"/>
      <c r="AW100" s="1586"/>
      <c r="AX100" s="1586"/>
      <c r="AY100" s="1586"/>
      <c r="BB100" s="1586"/>
      <c r="BC100" s="1586"/>
      <c r="BD100" s="1586"/>
      <c r="BG100" s="1586"/>
      <c r="BH100" s="1586"/>
      <c r="BI100" s="1586"/>
      <c r="BL100" s="1586"/>
      <c r="BM100" s="1586"/>
      <c r="BN100" s="1586"/>
      <c r="BQ100" s="1586"/>
      <c r="BR100" s="1586"/>
      <c r="BS100" s="1586"/>
      <c r="BV100" s="1586"/>
      <c r="BW100" s="1586"/>
      <c r="BX100" s="1586"/>
      <c r="CA100" s="1065" t="s">
        <v>1489</v>
      </c>
      <c r="CB100" s="1952">
        <f>SUM(CB93:CB99)</f>
        <v>18.518003209028393</v>
      </c>
      <c r="CC100" s="1952">
        <f>CB100/CB92</f>
        <v>1.9670600365440337E-6</v>
      </c>
      <c r="CE100" s="1952"/>
      <c r="CF100" s="1952"/>
      <c r="CG100" s="1952"/>
    </row>
    <row r="101" spans="1:85">
      <c r="AR101" s="1586"/>
      <c r="AS101" s="1586"/>
      <c r="AT101" s="1586"/>
      <c r="AW101" s="1586"/>
      <c r="AX101" s="1586"/>
      <c r="AY101" s="1586"/>
      <c r="BB101" s="1586"/>
      <c r="BC101" s="1586"/>
      <c r="BD101" s="1586"/>
      <c r="BG101" s="1586"/>
      <c r="BH101" s="1586"/>
      <c r="BI101" s="1586"/>
      <c r="BL101" s="1586"/>
      <c r="BM101" s="1586"/>
      <c r="BN101" s="1586"/>
      <c r="BQ101" s="1586"/>
      <c r="BR101" s="1586"/>
      <c r="BS101" s="1586"/>
      <c r="BV101" s="1586"/>
      <c r="BW101" s="1586"/>
      <c r="BX101" s="1586"/>
      <c r="CA101" s="1065"/>
      <c r="CE101" s="1952"/>
      <c r="CF101" s="1952"/>
      <c r="CG101" s="1952"/>
    </row>
    <row r="102" spans="1:85">
      <c r="AR102" s="1586"/>
      <c r="AS102" s="1586"/>
      <c r="AT102" s="1586"/>
      <c r="AW102" s="1586"/>
      <c r="AX102" s="1586"/>
      <c r="AY102" s="1586"/>
      <c r="BB102" s="1586"/>
      <c r="BC102" s="1586"/>
      <c r="BD102" s="1586"/>
      <c r="BG102" s="1586"/>
      <c r="BH102" s="1586"/>
      <c r="BI102" s="1586"/>
      <c r="BL102" s="1586"/>
      <c r="BM102" s="1586"/>
      <c r="BN102" s="1586"/>
      <c r="BQ102" s="1586"/>
      <c r="BR102" s="1586"/>
      <c r="BS102" s="1586"/>
      <c r="BV102" s="1586"/>
      <c r="BW102" s="1586"/>
      <c r="BX102" s="1586"/>
      <c r="CA102" s="1065"/>
      <c r="CE102" s="1952"/>
      <c r="CF102" s="1952"/>
      <c r="CG102" s="1952"/>
    </row>
    <row r="103" spans="1:85">
      <c r="BV103" s="1586"/>
      <c r="BW103" s="1586"/>
      <c r="BX103" s="1586"/>
      <c r="CA103" s="1065"/>
      <c r="CE103" s="1952"/>
      <c r="CF103" s="1952"/>
      <c r="CG103" s="1952"/>
    </row>
    <row r="104" spans="1:85">
      <c r="BV104" s="1586"/>
      <c r="BW104" s="1586"/>
      <c r="BX104" s="1586"/>
      <c r="CA104" s="1065"/>
      <c r="CE104" s="1952"/>
      <c r="CF104" s="1952"/>
      <c r="CG104" s="1952"/>
    </row>
    <row r="105" spans="1:85">
      <c r="BV105" s="1586"/>
      <c r="BW105" s="1586"/>
      <c r="BX105" s="1586"/>
      <c r="CA105" s="1065"/>
      <c r="CE105" s="1952"/>
      <c r="CF105" s="1952"/>
      <c r="CG105" s="1952"/>
    </row>
    <row r="106" spans="1:85">
      <c r="CA106" s="1065"/>
    </row>
    <row r="107" spans="1:85">
      <c r="CA107" s="1065"/>
    </row>
    <row r="108" spans="1:85">
      <c r="CA108" s="1065"/>
    </row>
    <row r="110" spans="1:85">
      <c r="A110" s="1395"/>
      <c r="B110" s="1395"/>
      <c r="C110" s="1395"/>
      <c r="D110" s="1395"/>
      <c r="E110" s="1395"/>
      <c r="F110" s="1395"/>
      <c r="G110" s="1395"/>
      <c r="H110" s="1395"/>
      <c r="I110" s="1395"/>
      <c r="J110" s="1395"/>
      <c r="K110" s="1395"/>
      <c r="L110" s="1395"/>
      <c r="M110" s="1395"/>
      <c r="N110" s="1395"/>
      <c r="O110" s="1395"/>
      <c r="P110" s="1395"/>
      <c r="Q110" s="1395"/>
      <c r="R110" s="1395"/>
      <c r="S110" s="1395"/>
      <c r="T110" s="1395"/>
      <c r="U110" s="1395"/>
      <c r="V110" s="1395"/>
      <c r="W110" s="1395"/>
      <c r="X110" s="1395"/>
      <c r="Y110" s="1395"/>
      <c r="Z110" s="1395"/>
      <c r="AA110" s="1395"/>
      <c r="AB110" s="1395"/>
      <c r="AC110" s="1395"/>
      <c r="AD110" s="1395"/>
      <c r="AE110" s="1395"/>
      <c r="AF110" s="1395"/>
      <c r="AG110" s="1395"/>
      <c r="AH110" s="1395"/>
      <c r="AI110" s="1395"/>
      <c r="AJ110" s="1395"/>
      <c r="AK110" s="1395"/>
      <c r="AL110" s="1395"/>
      <c r="AM110" s="1395"/>
      <c r="AN110" s="1395"/>
      <c r="AO110" s="1395"/>
      <c r="AP110" s="1395"/>
      <c r="AQ110" s="1395"/>
      <c r="AR110" s="1395"/>
      <c r="AS110" s="1395"/>
      <c r="AT110" s="1395"/>
      <c r="AW110" s="1395"/>
      <c r="AX110" s="1395"/>
      <c r="AY110" s="1395"/>
      <c r="BB110" s="1395"/>
      <c r="BC110" s="1395"/>
      <c r="BD110" s="1395"/>
      <c r="BF110" s="1395"/>
      <c r="BG110" s="1395"/>
      <c r="BH110" s="1395"/>
      <c r="BI110" s="1395"/>
      <c r="BJ110" s="1395"/>
      <c r="BK110" s="1395"/>
      <c r="BL110" s="1395"/>
      <c r="BM110" s="1395"/>
      <c r="BN110" s="1395"/>
      <c r="BO110" s="1395"/>
      <c r="BP110" s="1395"/>
      <c r="BQ110" s="1395"/>
      <c r="BR110" s="1395"/>
      <c r="BS110" s="1395"/>
      <c r="BT110" s="1395"/>
      <c r="BZ110" s="1395"/>
      <c r="CA110" s="1395"/>
      <c r="CB110" s="1395"/>
      <c r="CC110" s="1395"/>
      <c r="CD110" s="1395"/>
      <c r="CE110" s="1395"/>
      <c r="CF110" s="1395"/>
    </row>
    <row r="111" spans="1:85">
      <c r="A111" s="1395"/>
      <c r="B111" s="1395"/>
      <c r="C111" s="1395"/>
      <c r="D111" s="1395"/>
      <c r="E111" s="1395"/>
      <c r="F111" s="1395"/>
      <c r="G111" s="1395"/>
      <c r="H111" s="1395"/>
      <c r="I111" s="1395"/>
      <c r="J111" s="1395"/>
      <c r="K111" s="1395"/>
      <c r="L111" s="1395"/>
      <c r="M111" s="1395"/>
      <c r="N111" s="1395"/>
      <c r="O111" s="1395"/>
      <c r="P111" s="1395"/>
      <c r="Q111" s="1395"/>
      <c r="R111" s="1395"/>
      <c r="S111" s="1395"/>
      <c r="T111" s="1395"/>
      <c r="U111" s="1395"/>
      <c r="V111" s="1395"/>
      <c r="W111" s="1395"/>
      <c r="X111" s="1395"/>
      <c r="Y111" s="1395"/>
      <c r="Z111" s="1395"/>
      <c r="AA111" s="1395"/>
      <c r="AB111" s="1395"/>
      <c r="AC111" s="1395"/>
      <c r="AD111" s="1395"/>
      <c r="AE111" s="1395"/>
      <c r="AF111" s="1395"/>
      <c r="AG111" s="1395"/>
      <c r="AH111" s="1395"/>
      <c r="AI111" s="1395"/>
      <c r="AJ111" s="1395"/>
      <c r="AK111" s="1395"/>
      <c r="AL111" s="1395"/>
      <c r="AM111" s="1395"/>
      <c r="AN111" s="1395"/>
      <c r="AO111" s="1395"/>
      <c r="AP111" s="1395"/>
      <c r="AQ111" s="1395"/>
      <c r="AR111" s="1395"/>
      <c r="AS111" s="1395"/>
      <c r="AT111" s="1395"/>
      <c r="AW111" s="1395"/>
      <c r="AX111" s="1395"/>
      <c r="AY111" s="1395"/>
      <c r="BB111" s="1395"/>
      <c r="BC111" s="1395"/>
      <c r="BD111" s="1395"/>
      <c r="BF111" s="1395"/>
      <c r="BG111" s="1395"/>
      <c r="BH111" s="1395"/>
      <c r="BI111" s="1395"/>
      <c r="BJ111" s="1395"/>
      <c r="BK111" s="1395"/>
      <c r="BL111" s="1395"/>
      <c r="BM111" s="1395"/>
      <c r="BN111" s="1395"/>
      <c r="BO111" s="1395"/>
      <c r="BP111" s="1395"/>
      <c r="BQ111" s="1395"/>
      <c r="BR111" s="1395"/>
      <c r="BS111" s="1395"/>
      <c r="BT111" s="1395"/>
      <c r="BZ111" s="1395"/>
      <c r="CA111" s="1395"/>
      <c r="CB111" s="1395"/>
      <c r="CC111" s="1395"/>
      <c r="CD111" s="1395"/>
      <c r="CE111" s="1395"/>
      <c r="CF111" s="1395"/>
    </row>
    <row r="112" spans="1:85">
      <c r="A112" s="1395"/>
      <c r="B112" s="1395"/>
      <c r="C112" s="1395"/>
      <c r="D112" s="1395"/>
      <c r="E112" s="1395"/>
      <c r="F112" s="1395"/>
      <c r="G112" s="1395"/>
      <c r="H112" s="1395"/>
      <c r="I112" s="1395"/>
      <c r="J112" s="1395"/>
      <c r="K112" s="1395"/>
      <c r="L112" s="1395"/>
      <c r="M112" s="1395"/>
      <c r="N112" s="1395"/>
      <c r="O112" s="1395"/>
      <c r="P112" s="1395"/>
      <c r="Q112" s="1395"/>
      <c r="R112" s="1395"/>
      <c r="S112" s="1395"/>
      <c r="T112" s="1395"/>
      <c r="U112" s="1395"/>
      <c r="V112" s="1395"/>
      <c r="W112" s="1395"/>
      <c r="X112" s="1395"/>
      <c r="Y112" s="1395"/>
      <c r="Z112" s="1395"/>
      <c r="AA112" s="1395"/>
      <c r="AB112" s="1395"/>
      <c r="AC112" s="1395"/>
      <c r="AD112" s="1395"/>
      <c r="AE112" s="1395"/>
      <c r="AF112" s="1395"/>
      <c r="AG112" s="1395"/>
      <c r="AH112" s="1395"/>
      <c r="AI112" s="1395"/>
      <c r="AJ112" s="1395"/>
      <c r="AK112" s="1395"/>
      <c r="AL112" s="1395"/>
      <c r="AM112" s="1395"/>
      <c r="AN112" s="1395"/>
      <c r="AO112" s="1395"/>
      <c r="AP112" s="1395"/>
      <c r="AQ112" s="1395"/>
      <c r="AR112" s="1395"/>
      <c r="AS112" s="1395"/>
      <c r="AT112" s="1395"/>
      <c r="AW112" s="1395"/>
      <c r="AX112" s="1395"/>
      <c r="AY112" s="1395"/>
      <c r="BB112" s="1395"/>
      <c r="BC112" s="1395"/>
      <c r="BD112" s="1395"/>
      <c r="BF112" s="1395"/>
      <c r="BG112" s="1395"/>
      <c r="BH112" s="1395"/>
      <c r="BI112" s="1395"/>
      <c r="BJ112" s="1395"/>
      <c r="BK112" s="1395"/>
      <c r="BL112" s="1395"/>
      <c r="BM112" s="1395"/>
      <c r="BN112" s="1395"/>
      <c r="BO112" s="1395"/>
      <c r="BP112" s="1395"/>
      <c r="BQ112" s="1395"/>
      <c r="BR112" s="1395"/>
      <c r="BS112" s="1395"/>
      <c r="BT112" s="1395"/>
      <c r="BZ112" s="1395"/>
      <c r="CA112" s="1395"/>
      <c r="CB112" s="1395"/>
      <c r="CC112" s="1395"/>
      <c r="CD112" s="1395"/>
      <c r="CE112" s="1395"/>
      <c r="CF112" s="1395"/>
    </row>
    <row r="113" spans="1:84">
      <c r="A113" s="1395"/>
      <c r="B113" s="1395"/>
      <c r="C113" s="1395"/>
      <c r="D113" s="1395"/>
      <c r="E113" s="1395"/>
      <c r="F113" s="1395"/>
      <c r="G113" s="1395"/>
      <c r="H113" s="1395"/>
      <c r="I113" s="1395"/>
      <c r="J113" s="1395"/>
      <c r="K113" s="1395"/>
      <c r="L113" s="1395"/>
      <c r="M113" s="1395"/>
      <c r="N113" s="1395"/>
      <c r="O113" s="1395"/>
      <c r="P113" s="1395"/>
      <c r="Q113" s="1395"/>
      <c r="R113" s="1395"/>
      <c r="S113" s="1395"/>
      <c r="T113" s="1395"/>
      <c r="U113" s="1395"/>
      <c r="V113" s="1395"/>
      <c r="W113" s="1395"/>
      <c r="X113" s="1395"/>
      <c r="Y113" s="1395"/>
      <c r="Z113" s="1395"/>
      <c r="AA113" s="1395"/>
      <c r="AB113" s="1395"/>
      <c r="AC113" s="1395"/>
      <c r="AD113" s="1395"/>
      <c r="AE113" s="1395"/>
      <c r="AF113" s="1395"/>
      <c r="AG113" s="1395"/>
      <c r="AH113" s="1395"/>
      <c r="AI113" s="1395"/>
      <c r="AJ113" s="1395"/>
      <c r="AK113" s="1395"/>
      <c r="AL113" s="1395"/>
      <c r="AM113" s="1395"/>
      <c r="AN113" s="1395"/>
      <c r="AO113" s="1395"/>
      <c r="AP113" s="1395"/>
      <c r="AQ113" s="1395"/>
      <c r="AR113" s="1395"/>
      <c r="AS113" s="1395"/>
      <c r="AT113" s="1395"/>
      <c r="AW113" s="1395"/>
      <c r="AX113" s="1395"/>
      <c r="AY113" s="1395"/>
      <c r="BB113" s="1395"/>
      <c r="BC113" s="1395"/>
      <c r="BD113" s="1395"/>
      <c r="BF113" s="1395"/>
      <c r="BG113" s="1395"/>
      <c r="BH113" s="1395"/>
      <c r="BI113" s="1395"/>
      <c r="BJ113" s="1395"/>
      <c r="BK113" s="1395"/>
      <c r="BL113" s="1395"/>
      <c r="BM113" s="1395"/>
      <c r="BN113" s="1395"/>
      <c r="BO113" s="1395"/>
      <c r="BP113" s="1395"/>
      <c r="BQ113" s="1395"/>
      <c r="BR113" s="1395"/>
      <c r="BS113" s="1395"/>
      <c r="BT113" s="1395"/>
      <c r="BU113" s="1395"/>
      <c r="BV113" s="1395"/>
      <c r="BW113" s="1395"/>
      <c r="BX113" s="1395"/>
      <c r="BY113" s="1395"/>
      <c r="BZ113" s="1395"/>
      <c r="CA113" s="1395"/>
      <c r="CB113" s="1395"/>
      <c r="CC113" s="1395"/>
      <c r="CD113" s="1395"/>
      <c r="CE113" s="1395"/>
      <c r="CF113" s="1395"/>
    </row>
    <row r="114" spans="1:84">
      <c r="A114" s="1395"/>
      <c r="B114" s="1395"/>
      <c r="C114" s="1395"/>
      <c r="D114" s="1395"/>
      <c r="E114" s="1395"/>
      <c r="F114" s="1395"/>
      <c r="G114" s="1395"/>
      <c r="H114" s="1395"/>
      <c r="I114" s="1395"/>
      <c r="J114" s="1395"/>
      <c r="K114" s="1395"/>
      <c r="L114" s="1395"/>
      <c r="M114" s="1395"/>
      <c r="N114" s="1395"/>
      <c r="O114" s="1395"/>
      <c r="P114" s="1395"/>
      <c r="Q114" s="1395"/>
      <c r="R114" s="1395"/>
      <c r="S114" s="1395"/>
      <c r="T114" s="1395"/>
      <c r="U114" s="1395"/>
      <c r="V114" s="1395"/>
      <c r="W114" s="1395"/>
      <c r="X114" s="1395"/>
      <c r="Y114" s="1395"/>
      <c r="Z114" s="1395"/>
      <c r="AA114" s="1395"/>
      <c r="AB114" s="1395"/>
      <c r="AC114" s="1395"/>
      <c r="AD114" s="1395"/>
      <c r="AE114" s="1395"/>
      <c r="AF114" s="1395"/>
      <c r="AG114" s="1395"/>
      <c r="AH114" s="1395"/>
      <c r="AI114" s="1395"/>
      <c r="AJ114" s="1395"/>
      <c r="AK114" s="1395"/>
      <c r="AL114" s="1395"/>
      <c r="AM114" s="1395"/>
      <c r="AN114" s="1395"/>
      <c r="AO114" s="1395"/>
      <c r="AP114" s="1395"/>
      <c r="AQ114" s="1395"/>
      <c r="AR114" s="1395"/>
      <c r="AS114" s="1395"/>
      <c r="AT114" s="1395"/>
      <c r="AW114" s="1395"/>
      <c r="AX114" s="1395"/>
      <c r="AY114" s="1395"/>
      <c r="BB114" s="1395"/>
      <c r="BC114" s="1395"/>
      <c r="BD114" s="1395"/>
      <c r="BF114" s="1395"/>
      <c r="BG114" s="1395"/>
      <c r="BH114" s="1395"/>
      <c r="BI114" s="1395"/>
      <c r="BJ114" s="1395"/>
      <c r="BK114" s="1395"/>
      <c r="BL114" s="1395"/>
      <c r="BM114" s="1395"/>
      <c r="BN114" s="1395"/>
      <c r="BO114" s="1395"/>
      <c r="BP114" s="1395"/>
      <c r="BQ114" s="1395"/>
      <c r="BR114" s="1395"/>
      <c r="BS114" s="1395"/>
      <c r="BT114" s="1395"/>
      <c r="BU114" s="1395"/>
      <c r="BV114" s="1395"/>
      <c r="BW114" s="1395"/>
      <c r="BX114" s="1395"/>
      <c r="BY114" s="1395"/>
      <c r="BZ114" s="1395"/>
      <c r="CA114" s="1395"/>
      <c r="CB114" s="1395"/>
      <c r="CC114" s="1395"/>
      <c r="CD114" s="1395"/>
      <c r="CE114" s="1395"/>
      <c r="CF114" s="1395"/>
    </row>
    <row r="115" spans="1:84">
      <c r="A115" s="1395"/>
      <c r="B115" s="1395"/>
      <c r="C115" s="1395"/>
      <c r="D115" s="1395"/>
      <c r="E115" s="1395"/>
      <c r="F115" s="1395"/>
      <c r="G115" s="1395"/>
      <c r="H115" s="1395"/>
      <c r="I115" s="1395"/>
      <c r="J115" s="1395"/>
      <c r="K115" s="1395"/>
      <c r="L115" s="1395"/>
      <c r="M115" s="1395"/>
      <c r="N115" s="1395"/>
      <c r="O115" s="1395"/>
      <c r="P115" s="1395"/>
      <c r="Q115" s="1395"/>
      <c r="R115" s="1395"/>
      <c r="S115" s="1395"/>
      <c r="T115" s="1395"/>
      <c r="U115" s="1395"/>
      <c r="V115" s="1395"/>
      <c r="W115" s="1395"/>
      <c r="X115" s="1395"/>
      <c r="Y115" s="1395"/>
      <c r="Z115" s="1395"/>
      <c r="AA115" s="1395"/>
      <c r="AB115" s="1395"/>
      <c r="AC115" s="1395"/>
      <c r="AD115" s="1395"/>
      <c r="AE115" s="1395"/>
      <c r="AF115" s="1395"/>
      <c r="AG115" s="1395"/>
      <c r="AH115" s="1395"/>
      <c r="AI115" s="1395"/>
      <c r="AJ115" s="1395"/>
      <c r="AK115" s="1395"/>
      <c r="AL115" s="1395"/>
      <c r="AM115" s="1395"/>
      <c r="AN115" s="1395"/>
      <c r="AO115" s="1395"/>
      <c r="AP115" s="1395"/>
      <c r="AQ115" s="1395"/>
      <c r="AR115" s="1395"/>
      <c r="AS115" s="1395"/>
      <c r="AT115" s="1395"/>
      <c r="AU115" s="1395"/>
      <c r="AW115" s="1395"/>
      <c r="AX115" s="1395"/>
      <c r="AY115" s="1395"/>
      <c r="AZ115" s="1395"/>
      <c r="BB115" s="1395"/>
      <c r="BC115" s="1395"/>
      <c r="BD115" s="1395"/>
      <c r="BE115" s="1395"/>
      <c r="BF115" s="1395"/>
      <c r="BG115" s="1395"/>
      <c r="BH115" s="1395"/>
      <c r="BI115" s="1395"/>
      <c r="BJ115" s="1395"/>
      <c r="BK115" s="1395"/>
      <c r="BL115" s="1395"/>
      <c r="BM115" s="1395"/>
      <c r="BN115" s="1395"/>
      <c r="BO115" s="1395"/>
      <c r="BP115" s="1395"/>
      <c r="BQ115" s="1395"/>
      <c r="BR115" s="1395"/>
      <c r="BS115" s="1395"/>
      <c r="BT115" s="1395"/>
      <c r="BU115" s="1395"/>
      <c r="BV115" s="1395"/>
      <c r="BW115" s="1395"/>
      <c r="BX115" s="1395"/>
      <c r="BY115" s="1395"/>
      <c r="BZ115" s="1395"/>
      <c r="CA115" s="1395"/>
      <c r="CB115" s="1395"/>
      <c r="CC115" s="1395"/>
      <c r="CD115" s="1395"/>
      <c r="CE115" s="1395"/>
      <c r="CF115" s="1395"/>
    </row>
    <row r="116" spans="1:84">
      <c r="BU116" s="1395"/>
      <c r="BV116" s="1395"/>
      <c r="BW116" s="1395"/>
      <c r="BX116" s="1395"/>
      <c r="BY116" s="1395"/>
    </row>
    <row r="117" spans="1:84">
      <c r="BU117" s="1395"/>
      <c r="BV117" s="1395"/>
      <c r="BW117" s="1395"/>
      <c r="BX117" s="1395"/>
      <c r="BY117" s="1395"/>
    </row>
    <row r="118" spans="1:84">
      <c r="BU118" s="1395"/>
      <c r="BV118" s="1395"/>
      <c r="BW118" s="1395"/>
      <c r="BX118" s="1395"/>
      <c r="BY118" s="1395"/>
    </row>
  </sheetData>
  <mergeCells count="18">
    <mergeCell ref="A42:A48"/>
    <mergeCell ref="L2:P3"/>
    <mergeCell ref="A2:F2"/>
    <mergeCell ref="R2:V3"/>
    <mergeCell ref="W2:AA3"/>
    <mergeCell ref="AB2:AF3"/>
    <mergeCell ref="AG2:AK3"/>
    <mergeCell ref="AL2:AP3"/>
    <mergeCell ref="BZ2:CC3"/>
    <mergeCell ref="A3:F3"/>
    <mergeCell ref="G2:K3"/>
    <mergeCell ref="AQ2:AU3"/>
    <mergeCell ref="AV2:AZ3"/>
    <mergeCell ref="BA2:BE3"/>
    <mergeCell ref="BF2:BJ3"/>
    <mergeCell ref="BK2:BO3"/>
    <mergeCell ref="BP2:BT3"/>
    <mergeCell ref="BU2:BY3"/>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77D7"/>
  </sheetPr>
  <dimension ref="A1:AO118"/>
  <sheetViews>
    <sheetView zoomScale="85" zoomScaleNormal="85" workbookViewId="0">
      <pane xSplit="2" ySplit="5" topLeftCell="AF24" activePane="bottomRight" state="frozen"/>
      <selection activeCell="B10" sqref="B10"/>
      <selection pane="topRight" activeCell="B10" sqref="B10"/>
      <selection pane="bottomLeft" activeCell="B10" sqref="B10"/>
      <selection pane="bottomRight" activeCell="AJ42" sqref="AJ42"/>
    </sheetView>
  </sheetViews>
  <sheetFormatPr defaultColWidth="7.44140625" defaultRowHeight="13.2" outlineLevelCol="1"/>
  <cols>
    <col min="1" max="1" width="5.5546875" style="1402" customWidth="1"/>
    <col min="2" max="2" width="47.44140625" style="1402" customWidth="1"/>
    <col min="3" max="3" width="14.6640625" style="1459" hidden="1" customWidth="1" outlineLevel="1"/>
    <col min="4" max="4" width="15.44140625" style="1459" hidden="1" customWidth="1" outlineLevel="1"/>
    <col min="5" max="5" width="15.33203125" style="1952" hidden="1" customWidth="1" outlineLevel="1"/>
    <col min="6" max="6" width="9.5546875" style="1952" hidden="1" customWidth="1" outlineLevel="1"/>
    <col min="7" max="7" width="18.33203125" style="1952" hidden="1" customWidth="1" outlineLevel="1"/>
    <col min="8" max="8" width="18.6640625" style="1952" hidden="1" customWidth="1" outlineLevel="1"/>
    <col min="9" max="9" width="19.6640625" style="1952" hidden="1" customWidth="1" outlineLevel="1"/>
    <col min="10" max="10" width="9.6640625" style="1952" hidden="1" customWidth="1" outlineLevel="1"/>
    <col min="11" max="11" width="29.6640625" style="1952" hidden="1" customWidth="1" outlineLevel="1"/>
    <col min="12" max="12" width="18.6640625" style="1952" hidden="1" customWidth="1" outlineLevel="1" collapsed="1"/>
    <col min="13" max="13" width="18.33203125" style="1952" hidden="1" customWidth="1" outlineLevel="1"/>
    <col min="14" max="14" width="23.88671875" style="1952" hidden="1" customWidth="1" outlineLevel="1"/>
    <col min="15" max="15" width="12.6640625" style="1952" hidden="1" customWidth="1" outlineLevel="1"/>
    <col min="16" max="16" width="15" style="1952" hidden="1" customWidth="1" outlineLevel="1"/>
    <col min="17" max="17" width="16.6640625" style="1952" hidden="1" customWidth="1" outlineLevel="1" collapsed="1"/>
    <col min="18" max="20" width="16.6640625" style="1952" hidden="1" customWidth="1" outlineLevel="1"/>
    <col min="21" max="21" width="17.88671875" style="1952" hidden="1" customWidth="1" outlineLevel="1"/>
    <col min="22" max="22" width="16.44140625" style="1952" customWidth="1" collapsed="1"/>
    <col min="23" max="30" width="16.44140625" style="1952" customWidth="1"/>
    <col min="31" max="31" width="19" style="1952" customWidth="1"/>
    <col min="32" max="36" width="19" style="1952" customWidth="1" outlineLevel="1"/>
    <col min="37" max="39" width="16.33203125" style="1952" customWidth="1"/>
    <col min="40" max="40" width="12.44140625" style="1952" bestFit="1" customWidth="1"/>
    <col min="41" max="41" width="16.33203125" style="1952" customWidth="1"/>
    <col min="42" max="16384" width="7.44140625" style="1395"/>
  </cols>
  <sheetData>
    <row r="1" spans="1:41" ht="13.8" thickBot="1">
      <c r="C1" s="1952"/>
      <c r="D1" s="1952"/>
    </row>
    <row r="2" spans="1:41" ht="14.4" customHeight="1">
      <c r="A2" s="4834" t="s">
        <v>946</v>
      </c>
      <c r="B2" s="4835"/>
      <c r="C2" s="4835"/>
      <c r="D2" s="4835"/>
      <c r="E2" s="4835"/>
      <c r="F2" s="4836"/>
      <c r="G2" s="4904" t="s">
        <v>1335</v>
      </c>
      <c r="H2" s="4905"/>
      <c r="I2" s="4905"/>
      <c r="J2" s="4905"/>
      <c r="K2" s="4906"/>
      <c r="L2" s="4837" t="s">
        <v>1365</v>
      </c>
      <c r="M2" s="4838"/>
      <c r="N2" s="4838"/>
      <c r="O2" s="4838"/>
      <c r="P2" s="4953"/>
      <c r="Q2" s="4898" t="s">
        <v>1407</v>
      </c>
      <c r="R2" s="4899"/>
      <c r="S2" s="4899"/>
      <c r="T2" s="4899"/>
      <c r="U2" s="4900"/>
      <c r="V2" s="4922" t="s">
        <v>1466</v>
      </c>
      <c r="W2" s="4923"/>
      <c r="X2" s="4923"/>
      <c r="Y2" s="4923"/>
      <c r="Z2" s="4924"/>
      <c r="AA2" s="4955" t="s">
        <v>1623</v>
      </c>
      <c r="AB2" s="4956"/>
      <c r="AC2" s="4956"/>
      <c r="AD2" s="4956"/>
      <c r="AE2" s="4957"/>
      <c r="AF2" s="4934" t="s">
        <v>1748</v>
      </c>
      <c r="AG2" s="4935"/>
      <c r="AH2" s="4935"/>
      <c r="AI2" s="4935"/>
      <c r="AJ2" s="4936"/>
      <c r="AK2" s="4988" t="s">
        <v>469</v>
      </c>
      <c r="AL2" s="4989"/>
      <c r="AM2" s="4989"/>
      <c r="AN2" s="4989"/>
      <c r="AO2" s="1588"/>
    </row>
    <row r="3" spans="1:41" ht="15" customHeight="1" thickBot="1">
      <c r="A3" s="4853" t="s">
        <v>54</v>
      </c>
      <c r="B3" s="4854"/>
      <c r="C3" s="4854"/>
      <c r="D3" s="4854"/>
      <c r="E3" s="4854"/>
      <c r="F3" s="4855"/>
      <c r="G3" s="4907"/>
      <c r="H3" s="4908"/>
      <c r="I3" s="4908"/>
      <c r="J3" s="4908"/>
      <c r="K3" s="4909"/>
      <c r="L3" s="4839"/>
      <c r="M3" s="4840"/>
      <c r="N3" s="4840"/>
      <c r="O3" s="4840"/>
      <c r="P3" s="4954"/>
      <c r="Q3" s="4901"/>
      <c r="R3" s="4902"/>
      <c r="S3" s="4902"/>
      <c r="T3" s="4902"/>
      <c r="U3" s="4903"/>
      <c r="V3" s="4925"/>
      <c r="W3" s="4926"/>
      <c r="X3" s="4926"/>
      <c r="Y3" s="4926"/>
      <c r="Z3" s="4927"/>
      <c r="AA3" s="4958"/>
      <c r="AB3" s="4959"/>
      <c r="AC3" s="4959"/>
      <c r="AD3" s="4959"/>
      <c r="AE3" s="4960"/>
      <c r="AF3" s="4937"/>
      <c r="AG3" s="4938"/>
      <c r="AH3" s="4938"/>
      <c r="AI3" s="4938"/>
      <c r="AJ3" s="4939"/>
      <c r="AK3" s="4990"/>
      <c r="AL3" s="4991"/>
      <c r="AM3" s="4991"/>
      <c r="AN3" s="4991"/>
      <c r="AO3" s="1589"/>
    </row>
    <row r="4" spans="1:41" ht="41.4" thickBot="1">
      <c r="A4" s="1471"/>
      <c r="B4" s="1472" t="s">
        <v>11</v>
      </c>
      <c r="C4" s="1573" t="s">
        <v>55</v>
      </c>
      <c r="D4" s="1573" t="s">
        <v>18</v>
      </c>
      <c r="E4" s="1574" t="s">
        <v>39</v>
      </c>
      <c r="F4" s="1962" t="s">
        <v>40</v>
      </c>
      <c r="G4" s="1956" t="s">
        <v>55</v>
      </c>
      <c r="H4" s="1956" t="s">
        <v>18</v>
      </c>
      <c r="I4" s="1474" t="s">
        <v>39</v>
      </c>
      <c r="J4" s="1962" t="s">
        <v>40</v>
      </c>
      <c r="K4" s="1474" t="s">
        <v>19</v>
      </c>
      <c r="L4" s="1956" t="s">
        <v>55</v>
      </c>
      <c r="M4" s="1956" t="s">
        <v>18</v>
      </c>
      <c r="N4" s="1474" t="s">
        <v>39</v>
      </c>
      <c r="O4" s="1962" t="s">
        <v>40</v>
      </c>
      <c r="P4" s="1474" t="s">
        <v>19</v>
      </c>
      <c r="Q4" s="1956" t="s">
        <v>55</v>
      </c>
      <c r="R4" s="1956" t="s">
        <v>18</v>
      </c>
      <c r="S4" s="1474" t="s">
        <v>39</v>
      </c>
      <c r="T4" s="1962" t="s">
        <v>40</v>
      </c>
      <c r="U4" s="1474" t="s">
        <v>19</v>
      </c>
      <c r="V4" s="1956" t="s">
        <v>55</v>
      </c>
      <c r="W4" s="1956" t="s">
        <v>18</v>
      </c>
      <c r="X4" s="1474" t="s">
        <v>39</v>
      </c>
      <c r="Y4" s="1962" t="s">
        <v>40</v>
      </c>
      <c r="Z4" s="1474" t="s">
        <v>19</v>
      </c>
      <c r="AA4" s="1956" t="s">
        <v>55</v>
      </c>
      <c r="AB4" s="1956" t="s">
        <v>18</v>
      </c>
      <c r="AC4" s="1474" t="s">
        <v>39</v>
      </c>
      <c r="AD4" s="1962" t="s">
        <v>40</v>
      </c>
      <c r="AE4" s="1474" t="s">
        <v>19</v>
      </c>
      <c r="AF4" s="1956" t="s">
        <v>55</v>
      </c>
      <c r="AG4" s="1956" t="s">
        <v>18</v>
      </c>
      <c r="AH4" s="1474" t="s">
        <v>39</v>
      </c>
      <c r="AI4" s="1962" t="s">
        <v>40</v>
      </c>
      <c r="AJ4" s="1474" t="s">
        <v>19</v>
      </c>
      <c r="AK4" s="1956" t="s">
        <v>55</v>
      </c>
      <c r="AL4" s="1956" t="s">
        <v>18</v>
      </c>
      <c r="AM4" s="1474" t="s">
        <v>39</v>
      </c>
      <c r="AN4" s="1962" t="s">
        <v>40</v>
      </c>
      <c r="AO4" s="1474" t="s">
        <v>19</v>
      </c>
    </row>
    <row r="5" spans="1:41" s="2466" customFormat="1" ht="14.4" thickBot="1">
      <c r="A5" s="1462"/>
      <c r="B5" s="1463" t="s">
        <v>10</v>
      </c>
      <c r="C5" s="1464">
        <f>C6</f>
        <v>0</v>
      </c>
      <c r="D5" s="1464">
        <f>D6</f>
        <v>0</v>
      </c>
      <c r="E5" s="1955">
        <f>E6</f>
        <v>0</v>
      </c>
      <c r="F5" s="1466"/>
      <c r="G5" s="1466">
        <f>G6</f>
        <v>0</v>
      </c>
      <c r="H5" s="1466">
        <f>H6</f>
        <v>0</v>
      </c>
      <c r="I5" s="1466">
        <f>I6</f>
        <v>0</v>
      </c>
      <c r="J5" s="1466"/>
      <c r="K5" s="1466"/>
      <c r="L5" s="1466">
        <f>L6</f>
        <v>0</v>
      </c>
      <c r="M5" s="1466">
        <f>M6</f>
        <v>0</v>
      </c>
      <c r="N5" s="1466">
        <f>N6</f>
        <v>0</v>
      </c>
      <c r="O5" s="1466"/>
      <c r="P5" s="1466"/>
      <c r="Q5" s="1955">
        <f>SUM(Q6:Q7)</f>
        <v>0</v>
      </c>
      <c r="R5" s="1955">
        <f>SUM(R6:R7)</f>
        <v>0</v>
      </c>
      <c r="S5" s="1955">
        <f>SUM(S6:S7)</f>
        <v>0</v>
      </c>
      <c r="T5" s="1466"/>
      <c r="U5" s="1466"/>
      <c r="V5" s="1955">
        <f>V6</f>
        <v>0</v>
      </c>
      <c r="W5" s="1466">
        <f>W6</f>
        <v>0</v>
      </c>
      <c r="X5" s="1466">
        <f>X6</f>
        <v>0</v>
      </c>
      <c r="Y5" s="1466"/>
      <c r="Z5" s="1466"/>
      <c r="AA5" s="1955">
        <f>AA6</f>
        <v>0</v>
      </c>
      <c r="AB5" s="1466">
        <f>AB6</f>
        <v>0</v>
      </c>
      <c r="AC5" s="1466">
        <f>AC6</f>
        <v>0</v>
      </c>
      <c r="AD5" s="1466"/>
      <c r="AE5" s="1466"/>
      <c r="AF5" s="1955">
        <f>AF6</f>
        <v>0</v>
      </c>
      <c r="AG5" s="1466">
        <f>AG6</f>
        <v>0</v>
      </c>
      <c r="AH5" s="1466">
        <f>AH6</f>
        <v>0</v>
      </c>
      <c r="AI5" s="1466"/>
      <c r="AJ5" s="1466"/>
      <c r="AK5" s="1466">
        <f>AK6</f>
        <v>0</v>
      </c>
      <c r="AL5" s="1466">
        <f>AL6</f>
        <v>0</v>
      </c>
      <c r="AM5" s="1466">
        <f>AM6</f>
        <v>0</v>
      </c>
      <c r="AN5" s="1466"/>
      <c r="AO5" s="1466"/>
    </row>
    <row r="6" spans="1:41" s="1396" customFormat="1" ht="13.8">
      <c r="A6" s="330"/>
      <c r="B6" s="1403" t="s">
        <v>17</v>
      </c>
      <c r="C6" s="1974"/>
      <c r="D6" s="2011"/>
      <c r="E6" s="2012">
        <f>C6+D6</f>
        <v>0</v>
      </c>
      <c r="F6" s="2043"/>
      <c r="G6" s="2043"/>
      <c r="H6" s="2043"/>
      <c r="I6" s="2012">
        <f>G6+H6</f>
        <v>0</v>
      </c>
      <c r="J6" s="2043"/>
      <c r="K6" s="2043"/>
      <c r="L6" s="2043"/>
      <c r="M6" s="2043"/>
      <c r="N6" s="2012">
        <f>L6+M6</f>
        <v>0</v>
      </c>
      <c r="O6" s="2043"/>
      <c r="P6" s="2043"/>
      <c r="Q6" s="2051"/>
      <c r="R6" s="2043"/>
      <c r="S6" s="2012">
        <f>Q6+R6</f>
        <v>0</v>
      </c>
      <c r="T6" s="2043"/>
      <c r="U6" s="2043"/>
      <c r="V6" s="2051"/>
      <c r="W6" s="2043"/>
      <c r="X6" s="2012">
        <f>V6+W6</f>
        <v>0</v>
      </c>
      <c r="Y6" s="2043"/>
      <c r="Z6" s="2043"/>
      <c r="AA6" s="2051"/>
      <c r="AB6" s="2043"/>
      <c r="AC6" s="2012">
        <f>AA6+AB6</f>
        <v>0</v>
      </c>
      <c r="AD6" s="2043"/>
      <c r="AE6" s="2043"/>
      <c r="AF6" s="2051"/>
      <c r="AG6" s="2043"/>
      <c r="AH6" s="2012">
        <f>AF6+AG6</f>
        <v>0</v>
      </c>
      <c r="AI6" s="2043"/>
      <c r="AJ6" s="2043"/>
      <c r="AK6" s="2043">
        <f>G6+L6+Q6+V6+AA6+AF6</f>
        <v>0</v>
      </c>
      <c r="AL6" s="2043">
        <f>H6+M6+R6+W6+AB6+AG6</f>
        <v>0</v>
      </c>
      <c r="AM6" s="2012">
        <f>AK6+AL6</f>
        <v>0</v>
      </c>
      <c r="AN6" s="2043"/>
      <c r="AO6" s="2043"/>
    </row>
    <row r="7" spans="1:41" s="1396" customFormat="1" ht="14.4" thickBot="1">
      <c r="A7" s="1572"/>
      <c r="B7" s="2475" t="s">
        <v>41</v>
      </c>
      <c r="C7" s="2476"/>
      <c r="D7" s="2477"/>
      <c r="E7" s="2012">
        <f>C7+D7</f>
        <v>0</v>
      </c>
      <c r="F7" s="1905"/>
      <c r="G7" s="2043"/>
      <c r="H7" s="2043"/>
      <c r="I7" s="2012">
        <f>G7+H7</f>
        <v>0</v>
      </c>
      <c r="J7" s="1905"/>
      <c r="K7" s="1905"/>
      <c r="L7" s="2043"/>
      <c r="M7" s="2043"/>
      <c r="N7" s="2012">
        <f>L7+M7</f>
        <v>0</v>
      </c>
      <c r="O7" s="1905"/>
      <c r="P7" s="1905"/>
      <c r="Q7" s="2051"/>
      <c r="R7" s="2043"/>
      <c r="S7" s="2012">
        <f>Q7+R7</f>
        <v>0</v>
      </c>
      <c r="T7" s="1905"/>
      <c r="U7" s="2055"/>
      <c r="V7" s="2051"/>
      <c r="W7" s="2043"/>
      <c r="X7" s="2012">
        <f>V7+W7</f>
        <v>0</v>
      </c>
      <c r="Y7" s="1905"/>
      <c r="Z7" s="1905"/>
      <c r="AA7" s="2051"/>
      <c r="AB7" s="2043"/>
      <c r="AC7" s="2012">
        <f>AA7+AB7</f>
        <v>0</v>
      </c>
      <c r="AD7" s="1905"/>
      <c r="AE7" s="1905"/>
      <c r="AF7" s="2051"/>
      <c r="AG7" s="2043"/>
      <c r="AH7" s="2012">
        <f>AF7+AG7</f>
        <v>0</v>
      </c>
      <c r="AI7" s="1905"/>
      <c r="AJ7" s="1905"/>
      <c r="AK7" s="2043">
        <f>G7+L7+Q7+V7+AA7+AF7</f>
        <v>0</v>
      </c>
      <c r="AL7" s="2043">
        <f>H7+M7+R7+W7+AB7+AG7</f>
        <v>0</v>
      </c>
      <c r="AM7" s="2012">
        <f>AK7+AL7</f>
        <v>0</v>
      </c>
      <c r="AN7" s="1905"/>
      <c r="AO7" s="1905"/>
    </row>
    <row r="8" spans="1:41" s="2466" customFormat="1" ht="14.4" thickBot="1">
      <c r="A8" s="1572"/>
      <c r="B8" s="1463" t="s">
        <v>16</v>
      </c>
      <c r="C8" s="1957">
        <f>SUM(C9:C33)</f>
        <v>0</v>
      </c>
      <c r="D8" s="1957">
        <f>SUM(D9:D33)</f>
        <v>0</v>
      </c>
      <c r="E8" s="1484">
        <f>SUM(E9:E33)</f>
        <v>0</v>
      </c>
      <c r="F8" s="1528" t="e">
        <f>E8/$E$89</f>
        <v>#DIV/0!</v>
      </c>
      <c r="G8" s="1957">
        <f>SUM(G9:G33)</f>
        <v>0</v>
      </c>
      <c r="H8" s="1957">
        <f>SUM(H9:H33)</f>
        <v>0</v>
      </c>
      <c r="I8" s="1484">
        <f>SUM(I9:I33)</f>
        <v>0</v>
      </c>
      <c r="J8" s="1528">
        <f>I8/$I$89</f>
        <v>0</v>
      </c>
      <c r="K8" s="1466"/>
      <c r="L8" s="1957">
        <f>SUM(L9:L33)</f>
        <v>0</v>
      </c>
      <c r="M8" s="1957">
        <f>SUM(M9:M33)</f>
        <v>0</v>
      </c>
      <c r="N8" s="1484">
        <f>SUM(N9:N33)</f>
        <v>0</v>
      </c>
      <c r="O8" s="1528" t="e">
        <f>N8/N$89</f>
        <v>#DIV/0!</v>
      </c>
      <c r="P8" s="1466"/>
      <c r="Q8" s="1957">
        <f>SUM(Q9:Q33)</f>
        <v>17250</v>
      </c>
      <c r="R8" s="1957">
        <f>SUM(R9:R33)</f>
        <v>0</v>
      </c>
      <c r="S8" s="1484">
        <f>SUM(S9:S33)</f>
        <v>17250</v>
      </c>
      <c r="T8" s="1528">
        <f>S8/S$89</f>
        <v>1</v>
      </c>
      <c r="U8" s="1600"/>
      <c r="V8" s="1957">
        <f>SUM(V9:V33)</f>
        <v>0</v>
      </c>
      <c r="W8" s="1957">
        <f>SUM(W9:W33)</f>
        <v>0</v>
      </c>
      <c r="X8" s="1484">
        <f>SUM(X9:X33)</f>
        <v>0</v>
      </c>
      <c r="Y8" s="1528" t="e">
        <f>X8/X$89</f>
        <v>#DIV/0!</v>
      </c>
      <c r="Z8" s="1466"/>
      <c r="AA8" s="1957">
        <f>SUM(AA9:AA33)</f>
        <v>0</v>
      </c>
      <c r="AB8" s="1957">
        <f>SUM(AB9:AB33)</f>
        <v>0</v>
      </c>
      <c r="AC8" s="1484">
        <f>SUM(AC9:AC33)</f>
        <v>0</v>
      </c>
      <c r="AD8" s="1528" t="e">
        <f>AC8/AC$89</f>
        <v>#DIV/0!</v>
      </c>
      <c r="AE8" s="1466"/>
      <c r="AF8" s="1957">
        <f>SUM(AF9:AF33)</f>
        <v>0</v>
      </c>
      <c r="AG8" s="1957">
        <f>SUM(AG9:AG33)</f>
        <v>0</v>
      </c>
      <c r="AH8" s="1484">
        <f>SUM(AH9:AH33)</f>
        <v>0</v>
      </c>
      <c r="AI8" s="1528" t="e">
        <f>AH8/AH$89</f>
        <v>#DIV/0!</v>
      </c>
      <c r="AJ8" s="1466"/>
      <c r="AK8" s="1957">
        <f>SUM(AK9:AK33)</f>
        <v>17250</v>
      </c>
      <c r="AL8" s="1957">
        <f>SUM(AL9:AL33)</f>
        <v>0</v>
      </c>
      <c r="AM8" s="1484">
        <f>SUM(AM9:AM33)</f>
        <v>17250</v>
      </c>
      <c r="AN8" s="1528">
        <f t="shared" ref="AN8:AN33" si="0">AM8/$AM$89</f>
        <v>0.98795964855190377</v>
      </c>
      <c r="AO8" s="1466"/>
    </row>
    <row r="9" spans="1:41" s="1396" customFormat="1" ht="13.8">
      <c r="A9" s="1572"/>
      <c r="B9" s="1622" t="s">
        <v>74</v>
      </c>
      <c r="C9" s="1964"/>
      <c r="D9" s="1510"/>
      <c r="E9" s="2124">
        <f t="shared" ref="E9:E33" si="1">C9+D9</f>
        <v>0</v>
      </c>
      <c r="F9" s="1559" t="e">
        <f t="shared" ref="F9:F21" si="2">E9/$E$89</f>
        <v>#DIV/0!</v>
      </c>
      <c r="G9" s="2467"/>
      <c r="H9" s="2467"/>
      <c r="I9" s="1561">
        <f>G9+H9*1</f>
        <v>0</v>
      </c>
      <c r="J9" s="1559">
        <f>I9/$I$89</f>
        <v>0</v>
      </c>
      <c r="K9" s="1694"/>
      <c r="L9" s="2467"/>
      <c r="M9" s="2467"/>
      <c r="N9" s="1561">
        <f>L9+M9*1</f>
        <v>0</v>
      </c>
      <c r="O9" s="1559" t="e">
        <f t="shared" ref="O9:O33" si="3">N9/N$89</f>
        <v>#DIV/0!</v>
      </c>
      <c r="P9" s="1694"/>
      <c r="Q9" s="1695"/>
      <c r="R9" s="2467"/>
      <c r="S9" s="1561">
        <f>Q9+R9*1</f>
        <v>0</v>
      </c>
      <c r="T9" s="1559">
        <f t="shared" ref="T9:T33" si="4">S9/S$89</f>
        <v>0</v>
      </c>
      <c r="U9" s="1580"/>
      <c r="V9" s="1695"/>
      <c r="W9" s="2467"/>
      <c r="X9" s="1561">
        <f>V9+W9*1</f>
        <v>0</v>
      </c>
      <c r="Y9" s="1559" t="e">
        <f t="shared" ref="Y9:Y33" si="5">X9/X$89</f>
        <v>#DIV/0!</v>
      </c>
      <c r="Z9" s="1694"/>
      <c r="AA9" s="1695"/>
      <c r="AB9" s="2467"/>
      <c r="AC9" s="1561">
        <f>AA9+AB9*1</f>
        <v>0</v>
      </c>
      <c r="AD9" s="1559" t="e">
        <f t="shared" ref="AD9:AD33" si="6">AC9/AC$89</f>
        <v>#DIV/0!</v>
      </c>
      <c r="AE9" s="1694"/>
      <c r="AF9" s="1695"/>
      <c r="AG9" s="2467"/>
      <c r="AH9" s="1561">
        <f>AF9+AG9*1</f>
        <v>0</v>
      </c>
      <c r="AI9" s="1559" t="e">
        <f t="shared" ref="AI9:AI33" si="7">AH9/AH$89</f>
        <v>#DIV/0!</v>
      </c>
      <c r="AJ9" s="1694"/>
      <c r="AK9" s="2467">
        <f t="shared" ref="AK9:AL33" si="8">G9+L9+Q9+V9+AA9+AF9</f>
        <v>0</v>
      </c>
      <c r="AL9" s="2467">
        <f t="shared" si="8"/>
        <v>0</v>
      </c>
      <c r="AM9" s="1561">
        <f>AK9+AL9*1</f>
        <v>0</v>
      </c>
      <c r="AN9" s="1559">
        <f t="shared" si="0"/>
        <v>0</v>
      </c>
      <c r="AO9" s="1580"/>
    </row>
    <row r="10" spans="1:41" s="1396" customFormat="1" ht="13.8">
      <c r="A10" s="1572"/>
      <c r="B10" s="1424" t="s">
        <v>72</v>
      </c>
      <c r="C10" s="1485"/>
      <c r="D10" s="1486"/>
      <c r="E10" s="2012">
        <f t="shared" si="1"/>
        <v>0</v>
      </c>
      <c r="F10" s="1976" t="e">
        <f t="shared" si="2"/>
        <v>#DIV/0!</v>
      </c>
      <c r="G10" s="2043"/>
      <c r="H10" s="2043"/>
      <c r="I10" s="2045">
        <f t="shared" ref="I10:I33" si="9">G10+H10*1</f>
        <v>0</v>
      </c>
      <c r="J10" s="2138">
        <f>I10/$I$89</f>
        <v>0</v>
      </c>
      <c r="K10" s="2046"/>
      <c r="L10" s="2043"/>
      <c r="M10" s="2043"/>
      <c r="N10" s="2045">
        <f t="shared" ref="N10:N33" si="10">L10+M10*1</f>
        <v>0</v>
      </c>
      <c r="O10" s="2138" t="e">
        <f t="shared" si="3"/>
        <v>#DIV/0!</v>
      </c>
      <c r="P10" s="2046"/>
      <c r="Q10" s="2051"/>
      <c r="R10" s="2043"/>
      <c r="S10" s="2045">
        <f t="shared" ref="S10:S33" si="11">Q10+R10*1</f>
        <v>0</v>
      </c>
      <c r="T10" s="2138">
        <f t="shared" si="4"/>
        <v>0</v>
      </c>
      <c r="U10" s="1615"/>
      <c r="V10" s="2051"/>
      <c r="W10" s="2043"/>
      <c r="X10" s="2045">
        <f t="shared" ref="X10:X33" si="12">V10+W10*1</f>
        <v>0</v>
      </c>
      <c r="Y10" s="2138" t="e">
        <f t="shared" si="5"/>
        <v>#DIV/0!</v>
      </c>
      <c r="Z10" s="2046"/>
      <c r="AA10" s="2051"/>
      <c r="AB10" s="2043"/>
      <c r="AC10" s="2045">
        <f t="shared" ref="AC10:AC33" si="13">AA10+AB10*1</f>
        <v>0</v>
      </c>
      <c r="AD10" s="2138" t="e">
        <f t="shared" si="6"/>
        <v>#DIV/0!</v>
      </c>
      <c r="AE10" s="2046"/>
      <c r="AF10" s="2051"/>
      <c r="AG10" s="2043"/>
      <c r="AH10" s="2045">
        <f t="shared" ref="AH10:AH33" si="14">AF10+AG10*1</f>
        <v>0</v>
      </c>
      <c r="AI10" s="2138" t="e">
        <f t="shared" si="7"/>
        <v>#DIV/0!</v>
      </c>
      <c r="AJ10" s="2046"/>
      <c r="AK10" s="2043">
        <f t="shared" si="8"/>
        <v>0</v>
      </c>
      <c r="AL10" s="2043">
        <f t="shared" si="8"/>
        <v>0</v>
      </c>
      <c r="AM10" s="2045">
        <f t="shared" ref="AM10:AM33" si="15">AK10+AL10*1</f>
        <v>0</v>
      </c>
      <c r="AN10" s="2138">
        <f t="shared" si="0"/>
        <v>0</v>
      </c>
      <c r="AO10" s="1434"/>
    </row>
    <row r="11" spans="1:41" s="1396" customFormat="1" ht="13.8">
      <c r="A11" s="1572"/>
      <c r="B11" s="1424" t="s">
        <v>69</v>
      </c>
      <c r="C11" s="1485"/>
      <c r="D11" s="1486"/>
      <c r="E11" s="2012">
        <f t="shared" si="1"/>
        <v>0</v>
      </c>
      <c r="F11" s="1976" t="e">
        <f t="shared" si="2"/>
        <v>#DIV/0!</v>
      </c>
      <c r="G11" s="2043"/>
      <c r="H11" s="2043"/>
      <c r="I11" s="2045">
        <f t="shared" si="9"/>
        <v>0</v>
      </c>
      <c r="J11" s="2138">
        <f t="shared" ref="J11:J33" si="16">I11/$I$89</f>
        <v>0</v>
      </c>
      <c r="K11" s="2046"/>
      <c r="L11" s="2043"/>
      <c r="M11" s="2043"/>
      <c r="N11" s="2045">
        <f t="shared" si="10"/>
        <v>0</v>
      </c>
      <c r="O11" s="2138" t="e">
        <f t="shared" si="3"/>
        <v>#DIV/0!</v>
      </c>
      <c r="P11" s="2046"/>
      <c r="Q11" s="2051"/>
      <c r="R11" s="2043"/>
      <c r="S11" s="2045">
        <f t="shared" si="11"/>
        <v>0</v>
      </c>
      <c r="T11" s="2138">
        <f t="shared" si="4"/>
        <v>0</v>
      </c>
      <c r="U11" s="1615"/>
      <c r="V11" s="2051"/>
      <c r="W11" s="2043"/>
      <c r="X11" s="2045">
        <f t="shared" si="12"/>
        <v>0</v>
      </c>
      <c r="Y11" s="2138" t="e">
        <f t="shared" si="5"/>
        <v>#DIV/0!</v>
      </c>
      <c r="Z11" s="2046"/>
      <c r="AA11" s="2051"/>
      <c r="AB11" s="2043"/>
      <c r="AC11" s="2045">
        <f t="shared" si="13"/>
        <v>0</v>
      </c>
      <c r="AD11" s="2138" t="e">
        <f t="shared" si="6"/>
        <v>#DIV/0!</v>
      </c>
      <c r="AE11" s="2046"/>
      <c r="AF11" s="2051"/>
      <c r="AG11" s="2043"/>
      <c r="AH11" s="2045">
        <f t="shared" si="14"/>
        <v>0</v>
      </c>
      <c r="AI11" s="2138" t="e">
        <f t="shared" si="7"/>
        <v>#DIV/0!</v>
      </c>
      <c r="AJ11" s="2046"/>
      <c r="AK11" s="2043">
        <f t="shared" si="8"/>
        <v>0</v>
      </c>
      <c r="AL11" s="2043">
        <f t="shared" si="8"/>
        <v>0</v>
      </c>
      <c r="AM11" s="2045">
        <f t="shared" si="15"/>
        <v>0</v>
      </c>
      <c r="AN11" s="2138">
        <f t="shared" si="0"/>
        <v>0</v>
      </c>
      <c r="AO11" s="1434"/>
    </row>
    <row r="12" spans="1:41" s="1396" customFormat="1" ht="13.8">
      <c r="A12" s="1572"/>
      <c r="B12" s="1424" t="s">
        <v>73</v>
      </c>
      <c r="C12" s="1485"/>
      <c r="D12" s="1486"/>
      <c r="E12" s="2012">
        <f t="shared" si="1"/>
        <v>0</v>
      </c>
      <c r="F12" s="1976" t="e">
        <f t="shared" si="2"/>
        <v>#DIV/0!</v>
      </c>
      <c r="G12" s="2043"/>
      <c r="H12" s="2043"/>
      <c r="I12" s="2045">
        <f t="shared" si="9"/>
        <v>0</v>
      </c>
      <c r="J12" s="2138">
        <f t="shared" si="16"/>
        <v>0</v>
      </c>
      <c r="K12" s="2046"/>
      <c r="L12" s="2043"/>
      <c r="M12" s="2043"/>
      <c r="N12" s="2045">
        <f t="shared" si="10"/>
        <v>0</v>
      </c>
      <c r="O12" s="2138" t="e">
        <f t="shared" si="3"/>
        <v>#DIV/0!</v>
      </c>
      <c r="P12" s="2046"/>
      <c r="Q12" s="2051"/>
      <c r="R12" s="2043"/>
      <c r="S12" s="2045">
        <f t="shared" si="11"/>
        <v>0</v>
      </c>
      <c r="T12" s="2138">
        <f t="shared" si="4"/>
        <v>0</v>
      </c>
      <c r="U12" s="2048"/>
      <c r="V12" s="2051"/>
      <c r="W12" s="2043"/>
      <c r="X12" s="2045">
        <f t="shared" si="12"/>
        <v>0</v>
      </c>
      <c r="Y12" s="2138" t="e">
        <f t="shared" si="5"/>
        <v>#DIV/0!</v>
      </c>
      <c r="Z12" s="2046"/>
      <c r="AA12" s="2051"/>
      <c r="AB12" s="2043"/>
      <c r="AC12" s="2045">
        <f t="shared" si="13"/>
        <v>0</v>
      </c>
      <c r="AD12" s="2138" t="e">
        <f t="shared" si="6"/>
        <v>#DIV/0!</v>
      </c>
      <c r="AE12" s="2046"/>
      <c r="AF12" s="2051"/>
      <c r="AG12" s="2043"/>
      <c r="AH12" s="2045">
        <f t="shared" si="14"/>
        <v>0</v>
      </c>
      <c r="AI12" s="2138" t="e">
        <f t="shared" si="7"/>
        <v>#DIV/0!</v>
      </c>
      <c r="AJ12" s="2046"/>
      <c r="AK12" s="2043">
        <f t="shared" si="8"/>
        <v>0</v>
      </c>
      <c r="AL12" s="2043">
        <f t="shared" si="8"/>
        <v>0</v>
      </c>
      <c r="AM12" s="2045">
        <f t="shared" si="15"/>
        <v>0</v>
      </c>
      <c r="AN12" s="2138">
        <f t="shared" si="0"/>
        <v>0</v>
      </c>
      <c r="AO12" s="1434"/>
    </row>
    <row r="13" spans="1:41" s="1396" customFormat="1" ht="13.8">
      <c r="A13" s="1572"/>
      <c r="B13" s="1424" t="s">
        <v>71</v>
      </c>
      <c r="C13" s="1485"/>
      <c r="D13" s="1486"/>
      <c r="E13" s="2012">
        <f t="shared" si="1"/>
        <v>0</v>
      </c>
      <c r="F13" s="1976" t="e">
        <f t="shared" si="2"/>
        <v>#DIV/0!</v>
      </c>
      <c r="G13" s="2043"/>
      <c r="H13" s="2043"/>
      <c r="I13" s="2045">
        <f t="shared" si="9"/>
        <v>0</v>
      </c>
      <c r="J13" s="2138">
        <f t="shared" si="16"/>
        <v>0</v>
      </c>
      <c r="K13" s="2046"/>
      <c r="L13" s="2043"/>
      <c r="M13" s="2043"/>
      <c r="N13" s="2045">
        <f t="shared" si="10"/>
        <v>0</v>
      </c>
      <c r="O13" s="2138" t="e">
        <f t="shared" si="3"/>
        <v>#DIV/0!</v>
      </c>
      <c r="P13" s="2046"/>
      <c r="Q13" s="2051"/>
      <c r="R13" s="2043"/>
      <c r="S13" s="2045">
        <f t="shared" si="11"/>
        <v>0</v>
      </c>
      <c r="T13" s="2138">
        <f t="shared" si="4"/>
        <v>0</v>
      </c>
      <c r="U13" s="2048"/>
      <c r="V13" s="2051"/>
      <c r="W13" s="2043"/>
      <c r="X13" s="2045">
        <f t="shared" si="12"/>
        <v>0</v>
      </c>
      <c r="Y13" s="2138" t="e">
        <f t="shared" si="5"/>
        <v>#DIV/0!</v>
      </c>
      <c r="Z13" s="2046"/>
      <c r="AA13" s="2051"/>
      <c r="AB13" s="2043"/>
      <c r="AC13" s="2045">
        <f t="shared" si="13"/>
        <v>0</v>
      </c>
      <c r="AD13" s="2138" t="e">
        <f t="shared" si="6"/>
        <v>#DIV/0!</v>
      </c>
      <c r="AE13" s="2046"/>
      <c r="AF13" s="2051"/>
      <c r="AG13" s="2043"/>
      <c r="AH13" s="2045">
        <f t="shared" si="14"/>
        <v>0</v>
      </c>
      <c r="AI13" s="2138" t="e">
        <f t="shared" si="7"/>
        <v>#DIV/0!</v>
      </c>
      <c r="AJ13" s="2046"/>
      <c r="AK13" s="2043">
        <f t="shared" si="8"/>
        <v>0</v>
      </c>
      <c r="AL13" s="2043">
        <f t="shared" si="8"/>
        <v>0</v>
      </c>
      <c r="AM13" s="2045">
        <f t="shared" si="15"/>
        <v>0</v>
      </c>
      <c r="AN13" s="2138">
        <f t="shared" si="0"/>
        <v>0</v>
      </c>
      <c r="AO13" s="1434"/>
    </row>
    <row r="14" spans="1:41" s="1396" customFormat="1" ht="13.8">
      <c r="A14" s="1572"/>
      <c r="B14" s="1424" t="s">
        <v>70</v>
      </c>
      <c r="C14" s="1485"/>
      <c r="D14" s="1486"/>
      <c r="E14" s="2012">
        <f t="shared" si="1"/>
        <v>0</v>
      </c>
      <c r="F14" s="1976" t="e">
        <f t="shared" si="2"/>
        <v>#DIV/0!</v>
      </c>
      <c r="G14" s="2043"/>
      <c r="H14" s="2043"/>
      <c r="I14" s="2045">
        <f t="shared" si="9"/>
        <v>0</v>
      </c>
      <c r="J14" s="2138">
        <f t="shared" si="16"/>
        <v>0</v>
      </c>
      <c r="K14" s="2046"/>
      <c r="L14" s="2043"/>
      <c r="M14" s="2043"/>
      <c r="N14" s="2045">
        <f t="shared" si="10"/>
        <v>0</v>
      </c>
      <c r="O14" s="2138" t="e">
        <f t="shared" si="3"/>
        <v>#DIV/0!</v>
      </c>
      <c r="P14" s="2046"/>
      <c r="Q14" s="2051"/>
      <c r="R14" s="2043"/>
      <c r="S14" s="2045">
        <f t="shared" si="11"/>
        <v>0</v>
      </c>
      <c r="T14" s="2138">
        <f t="shared" si="4"/>
        <v>0</v>
      </c>
      <c r="U14" s="2048"/>
      <c r="V14" s="2051"/>
      <c r="W14" s="2043"/>
      <c r="X14" s="2045">
        <f t="shared" si="12"/>
        <v>0</v>
      </c>
      <c r="Y14" s="2138" t="e">
        <f t="shared" si="5"/>
        <v>#DIV/0!</v>
      </c>
      <c r="Z14" s="2046"/>
      <c r="AA14" s="2051"/>
      <c r="AB14" s="2043"/>
      <c r="AC14" s="2045">
        <f t="shared" si="13"/>
        <v>0</v>
      </c>
      <c r="AD14" s="2138" t="e">
        <f t="shared" si="6"/>
        <v>#DIV/0!</v>
      </c>
      <c r="AE14" s="2046"/>
      <c r="AF14" s="2051"/>
      <c r="AG14" s="2043"/>
      <c r="AH14" s="2045">
        <f t="shared" si="14"/>
        <v>0</v>
      </c>
      <c r="AI14" s="2138" t="e">
        <f t="shared" si="7"/>
        <v>#DIV/0!</v>
      </c>
      <c r="AJ14" s="2046"/>
      <c r="AK14" s="2043">
        <f t="shared" si="8"/>
        <v>0</v>
      </c>
      <c r="AL14" s="2043">
        <f t="shared" si="8"/>
        <v>0</v>
      </c>
      <c r="AM14" s="2045">
        <f t="shared" si="15"/>
        <v>0</v>
      </c>
      <c r="AN14" s="2138">
        <f t="shared" si="0"/>
        <v>0</v>
      </c>
      <c r="AO14" s="1434"/>
    </row>
    <row r="15" spans="1:41" s="1396" customFormat="1" ht="13.8">
      <c r="A15" s="1572"/>
      <c r="B15" s="2557" t="s">
        <v>20</v>
      </c>
      <c r="C15" s="1485"/>
      <c r="D15" s="2558"/>
      <c r="E15" s="2012">
        <f t="shared" si="1"/>
        <v>0</v>
      </c>
      <c r="F15" s="1976" t="e">
        <f t="shared" si="2"/>
        <v>#DIV/0!</v>
      </c>
      <c r="G15" s="2043"/>
      <c r="H15" s="2043"/>
      <c r="I15" s="2045">
        <f t="shared" si="9"/>
        <v>0</v>
      </c>
      <c r="J15" s="2138">
        <f t="shared" si="16"/>
        <v>0</v>
      </c>
      <c r="K15" s="2046"/>
      <c r="L15" s="2043"/>
      <c r="M15" s="2043"/>
      <c r="N15" s="2045">
        <f t="shared" si="10"/>
        <v>0</v>
      </c>
      <c r="O15" s="2138" t="e">
        <f t="shared" si="3"/>
        <v>#DIV/0!</v>
      </c>
      <c r="P15" s="2046"/>
      <c r="Q15" s="2051"/>
      <c r="R15" s="2043"/>
      <c r="S15" s="2045">
        <f t="shared" si="11"/>
        <v>0</v>
      </c>
      <c r="T15" s="2138">
        <f t="shared" si="4"/>
        <v>0</v>
      </c>
      <c r="U15" s="1615"/>
      <c r="V15" s="2051"/>
      <c r="W15" s="2043"/>
      <c r="X15" s="2045">
        <f t="shared" si="12"/>
        <v>0</v>
      </c>
      <c r="Y15" s="2138" t="e">
        <f t="shared" si="5"/>
        <v>#DIV/0!</v>
      </c>
      <c r="Z15" s="2046"/>
      <c r="AA15" s="2051"/>
      <c r="AB15" s="2043"/>
      <c r="AC15" s="2045">
        <f t="shared" si="13"/>
        <v>0</v>
      </c>
      <c r="AD15" s="2138" t="e">
        <f t="shared" si="6"/>
        <v>#DIV/0!</v>
      </c>
      <c r="AE15" s="2046"/>
      <c r="AF15" s="2051"/>
      <c r="AG15" s="2043"/>
      <c r="AH15" s="2045">
        <f t="shared" si="14"/>
        <v>0</v>
      </c>
      <c r="AI15" s="2138" t="e">
        <f t="shared" si="7"/>
        <v>#DIV/0!</v>
      </c>
      <c r="AJ15" s="2046"/>
      <c r="AK15" s="2043">
        <f t="shared" si="8"/>
        <v>0</v>
      </c>
      <c r="AL15" s="2043">
        <f t="shared" si="8"/>
        <v>0</v>
      </c>
      <c r="AM15" s="2045">
        <f t="shared" si="15"/>
        <v>0</v>
      </c>
      <c r="AN15" s="2138">
        <f t="shared" si="0"/>
        <v>0</v>
      </c>
      <c r="AO15" s="1434"/>
    </row>
    <row r="16" spans="1:41" s="1396" customFormat="1" ht="13.8">
      <c r="A16" s="1583"/>
      <c r="B16" s="2557" t="s">
        <v>21</v>
      </c>
      <c r="C16" s="1485"/>
      <c r="D16" s="2558"/>
      <c r="E16" s="2012">
        <f t="shared" si="1"/>
        <v>0</v>
      </c>
      <c r="F16" s="1976" t="e">
        <f t="shared" si="2"/>
        <v>#DIV/0!</v>
      </c>
      <c r="G16" s="2043"/>
      <c r="H16" s="2043"/>
      <c r="I16" s="2045">
        <f t="shared" si="9"/>
        <v>0</v>
      </c>
      <c r="J16" s="2138">
        <f t="shared" si="16"/>
        <v>0</v>
      </c>
      <c r="K16" s="2046"/>
      <c r="L16" s="2043"/>
      <c r="M16" s="2043"/>
      <c r="N16" s="2045">
        <f t="shared" si="10"/>
        <v>0</v>
      </c>
      <c r="O16" s="2138" t="e">
        <f t="shared" si="3"/>
        <v>#DIV/0!</v>
      </c>
      <c r="P16" s="2046"/>
      <c r="Q16" s="2051"/>
      <c r="R16" s="2043"/>
      <c r="S16" s="2045">
        <f t="shared" si="11"/>
        <v>0</v>
      </c>
      <c r="T16" s="2138">
        <f t="shared" si="4"/>
        <v>0</v>
      </c>
      <c r="U16" s="2046"/>
      <c r="V16" s="2051"/>
      <c r="W16" s="2043"/>
      <c r="X16" s="2045">
        <f t="shared" si="12"/>
        <v>0</v>
      </c>
      <c r="Y16" s="2138" t="e">
        <f t="shared" si="5"/>
        <v>#DIV/0!</v>
      </c>
      <c r="Z16" s="2046"/>
      <c r="AA16" s="2051"/>
      <c r="AB16" s="2043"/>
      <c r="AC16" s="2045">
        <f t="shared" si="13"/>
        <v>0</v>
      </c>
      <c r="AD16" s="2138" t="e">
        <f t="shared" si="6"/>
        <v>#DIV/0!</v>
      </c>
      <c r="AE16" s="2046"/>
      <c r="AF16" s="2051"/>
      <c r="AG16" s="2043"/>
      <c r="AH16" s="2045">
        <f t="shared" si="14"/>
        <v>0</v>
      </c>
      <c r="AI16" s="2138" t="e">
        <f t="shared" si="7"/>
        <v>#DIV/0!</v>
      </c>
      <c r="AJ16" s="2046"/>
      <c r="AK16" s="2043">
        <f t="shared" si="8"/>
        <v>0</v>
      </c>
      <c r="AL16" s="2043">
        <f t="shared" si="8"/>
        <v>0</v>
      </c>
      <c r="AM16" s="2045">
        <f t="shared" si="15"/>
        <v>0</v>
      </c>
      <c r="AN16" s="2138">
        <f t="shared" si="0"/>
        <v>0</v>
      </c>
      <c r="AO16" s="1434"/>
    </row>
    <row r="17" spans="1:41" s="1396" customFormat="1" ht="13.8">
      <c r="A17" s="1572"/>
      <c r="B17" s="2557" t="s">
        <v>22</v>
      </c>
      <c r="C17" s="1485"/>
      <c r="D17" s="2558"/>
      <c r="E17" s="2012">
        <f t="shared" si="1"/>
        <v>0</v>
      </c>
      <c r="F17" s="1976" t="e">
        <f t="shared" si="2"/>
        <v>#DIV/0!</v>
      </c>
      <c r="G17" s="2043"/>
      <c r="H17" s="2043"/>
      <c r="I17" s="2045">
        <f t="shared" si="9"/>
        <v>0</v>
      </c>
      <c r="J17" s="2138">
        <f t="shared" si="16"/>
        <v>0</v>
      </c>
      <c r="K17" s="2046"/>
      <c r="L17" s="2043"/>
      <c r="M17" s="2043"/>
      <c r="N17" s="2045">
        <f t="shared" si="10"/>
        <v>0</v>
      </c>
      <c r="O17" s="2138" t="e">
        <f t="shared" si="3"/>
        <v>#DIV/0!</v>
      </c>
      <c r="P17" s="2046"/>
      <c r="Q17" s="2051"/>
      <c r="R17" s="2043"/>
      <c r="S17" s="2045">
        <f t="shared" si="11"/>
        <v>0</v>
      </c>
      <c r="T17" s="2138">
        <f t="shared" si="4"/>
        <v>0</v>
      </c>
      <c r="U17" s="2048"/>
      <c r="V17" s="2051"/>
      <c r="W17" s="2043"/>
      <c r="X17" s="2045">
        <f t="shared" si="12"/>
        <v>0</v>
      </c>
      <c r="Y17" s="2138" t="e">
        <f t="shared" si="5"/>
        <v>#DIV/0!</v>
      </c>
      <c r="Z17" s="2046"/>
      <c r="AA17" s="2051"/>
      <c r="AB17" s="2043"/>
      <c r="AC17" s="2045">
        <f t="shared" si="13"/>
        <v>0</v>
      </c>
      <c r="AD17" s="2138" t="e">
        <f t="shared" si="6"/>
        <v>#DIV/0!</v>
      </c>
      <c r="AE17" s="2046"/>
      <c r="AF17" s="2051"/>
      <c r="AG17" s="2043"/>
      <c r="AH17" s="2045">
        <f t="shared" si="14"/>
        <v>0</v>
      </c>
      <c r="AI17" s="2138" t="e">
        <f t="shared" si="7"/>
        <v>#DIV/0!</v>
      </c>
      <c r="AJ17" s="2046"/>
      <c r="AK17" s="2043">
        <f t="shared" si="8"/>
        <v>0</v>
      </c>
      <c r="AL17" s="2043">
        <f t="shared" si="8"/>
        <v>0</v>
      </c>
      <c r="AM17" s="2045">
        <f t="shared" si="15"/>
        <v>0</v>
      </c>
      <c r="AN17" s="2138">
        <f t="shared" si="0"/>
        <v>0</v>
      </c>
      <c r="AO17" s="1434"/>
    </row>
    <row r="18" spans="1:41" s="1396" customFormat="1" ht="34.200000000000003" customHeight="1">
      <c r="A18" s="1572"/>
      <c r="B18" s="2557" t="s">
        <v>0</v>
      </c>
      <c r="C18" s="1485"/>
      <c r="D18" s="2558"/>
      <c r="E18" s="2012">
        <f t="shared" si="1"/>
        <v>0</v>
      </c>
      <c r="F18" s="1976" t="e">
        <f t="shared" si="2"/>
        <v>#DIV/0!</v>
      </c>
      <c r="G18" s="2043">
        <f>600000*0</f>
        <v>0</v>
      </c>
      <c r="H18" s="2043"/>
      <c r="I18" s="2045">
        <f t="shared" si="9"/>
        <v>0</v>
      </c>
      <c r="J18" s="2138">
        <f t="shared" si="16"/>
        <v>0</v>
      </c>
      <c r="K18" s="2046" t="s">
        <v>1362</v>
      </c>
      <c r="L18" s="2043"/>
      <c r="M18" s="2043"/>
      <c r="N18" s="2045">
        <f t="shared" si="10"/>
        <v>0</v>
      </c>
      <c r="O18" s="2138" t="e">
        <f t="shared" si="3"/>
        <v>#DIV/0!</v>
      </c>
      <c r="P18" s="2046"/>
      <c r="Q18" s="2051">
        <v>17250</v>
      </c>
      <c r="R18" s="2043"/>
      <c r="S18" s="2045">
        <f t="shared" si="11"/>
        <v>17250</v>
      </c>
      <c r="T18" s="2138">
        <f t="shared" si="4"/>
        <v>1</v>
      </c>
      <c r="U18" s="2055" t="s">
        <v>1425</v>
      </c>
      <c r="V18" s="2051"/>
      <c r="W18" s="2043"/>
      <c r="X18" s="2045">
        <f t="shared" si="12"/>
        <v>0</v>
      </c>
      <c r="Y18" s="2138" t="e">
        <f t="shared" si="5"/>
        <v>#DIV/0!</v>
      </c>
      <c r="Z18" s="2046"/>
      <c r="AA18" s="2051"/>
      <c r="AB18" s="2043"/>
      <c r="AC18" s="2045">
        <f t="shared" si="13"/>
        <v>0</v>
      </c>
      <c r="AD18" s="2138" t="e">
        <f t="shared" si="6"/>
        <v>#DIV/0!</v>
      </c>
      <c r="AE18" s="2046"/>
      <c r="AF18" s="2051"/>
      <c r="AG18" s="2043"/>
      <c r="AH18" s="2045">
        <f t="shared" si="14"/>
        <v>0</v>
      </c>
      <c r="AI18" s="2138" t="e">
        <f t="shared" si="7"/>
        <v>#DIV/0!</v>
      </c>
      <c r="AJ18" s="2046"/>
      <c r="AK18" s="2043">
        <f t="shared" si="8"/>
        <v>17250</v>
      </c>
      <c r="AL18" s="2043">
        <f t="shared" si="8"/>
        <v>0</v>
      </c>
      <c r="AM18" s="2045">
        <f t="shared" si="15"/>
        <v>17250</v>
      </c>
      <c r="AN18" s="2138">
        <f t="shared" si="0"/>
        <v>0.98795964855190377</v>
      </c>
      <c r="AO18" s="1434"/>
    </row>
    <row r="19" spans="1:41" s="1396" customFormat="1" ht="13.8">
      <c r="A19" s="1572"/>
      <c r="B19" s="2557" t="s">
        <v>53</v>
      </c>
      <c r="C19" s="2139"/>
      <c r="D19" s="2558"/>
      <c r="E19" s="2012">
        <f t="shared" si="1"/>
        <v>0</v>
      </c>
      <c r="F19" s="1976" t="e">
        <f t="shared" si="2"/>
        <v>#DIV/0!</v>
      </c>
      <c r="G19" s="2043"/>
      <c r="H19" s="2043"/>
      <c r="I19" s="2045">
        <f t="shared" si="9"/>
        <v>0</v>
      </c>
      <c r="J19" s="2138">
        <f t="shared" si="16"/>
        <v>0</v>
      </c>
      <c r="K19" s="2046"/>
      <c r="L19" s="2043"/>
      <c r="M19" s="2043"/>
      <c r="N19" s="2045">
        <f t="shared" si="10"/>
        <v>0</v>
      </c>
      <c r="O19" s="2138" t="e">
        <f t="shared" si="3"/>
        <v>#DIV/0!</v>
      </c>
      <c r="P19" s="2046"/>
      <c r="Q19" s="2051"/>
      <c r="R19" s="2043"/>
      <c r="S19" s="2045">
        <f t="shared" si="11"/>
        <v>0</v>
      </c>
      <c r="T19" s="2138">
        <f t="shared" si="4"/>
        <v>0</v>
      </c>
      <c r="U19" s="2048"/>
      <c r="V19" s="2051"/>
      <c r="W19" s="2043"/>
      <c r="X19" s="2045">
        <f t="shared" si="12"/>
        <v>0</v>
      </c>
      <c r="Y19" s="2138" t="e">
        <f t="shared" si="5"/>
        <v>#DIV/0!</v>
      </c>
      <c r="Z19" s="2046"/>
      <c r="AA19" s="2051"/>
      <c r="AB19" s="2043"/>
      <c r="AC19" s="2045">
        <f t="shared" si="13"/>
        <v>0</v>
      </c>
      <c r="AD19" s="2138" t="e">
        <f t="shared" si="6"/>
        <v>#DIV/0!</v>
      </c>
      <c r="AE19" s="2046"/>
      <c r="AF19" s="2051"/>
      <c r="AG19" s="2043"/>
      <c r="AH19" s="2045">
        <f t="shared" si="14"/>
        <v>0</v>
      </c>
      <c r="AI19" s="2138" t="e">
        <f t="shared" si="7"/>
        <v>#DIV/0!</v>
      </c>
      <c r="AJ19" s="2046"/>
      <c r="AK19" s="2043">
        <f t="shared" si="8"/>
        <v>0</v>
      </c>
      <c r="AL19" s="2043">
        <f t="shared" si="8"/>
        <v>0</v>
      </c>
      <c r="AM19" s="2045">
        <f t="shared" si="15"/>
        <v>0</v>
      </c>
      <c r="AN19" s="2138">
        <f t="shared" si="0"/>
        <v>0</v>
      </c>
      <c r="AO19" s="1434"/>
    </row>
    <row r="20" spans="1:41" s="1396" customFormat="1" ht="13.8">
      <c r="A20" s="1572"/>
      <c r="B20" s="2557" t="s">
        <v>57</v>
      </c>
      <c r="C20" s="2139"/>
      <c r="D20" s="2558"/>
      <c r="E20" s="2012">
        <f t="shared" si="1"/>
        <v>0</v>
      </c>
      <c r="F20" s="1976" t="e">
        <f t="shared" si="2"/>
        <v>#DIV/0!</v>
      </c>
      <c r="G20" s="2043"/>
      <c r="H20" s="2043"/>
      <c r="I20" s="2045">
        <f t="shared" si="9"/>
        <v>0</v>
      </c>
      <c r="J20" s="2138">
        <f t="shared" si="16"/>
        <v>0</v>
      </c>
      <c r="K20" s="2046"/>
      <c r="L20" s="2043"/>
      <c r="M20" s="2043"/>
      <c r="N20" s="2045">
        <f t="shared" si="10"/>
        <v>0</v>
      </c>
      <c r="O20" s="2138" t="e">
        <f t="shared" si="3"/>
        <v>#DIV/0!</v>
      </c>
      <c r="P20" s="2046"/>
      <c r="Q20" s="2051"/>
      <c r="R20" s="2043"/>
      <c r="S20" s="2045">
        <f t="shared" si="11"/>
        <v>0</v>
      </c>
      <c r="T20" s="2138">
        <f t="shared" si="4"/>
        <v>0</v>
      </c>
      <c r="U20" s="2048"/>
      <c r="V20" s="2051"/>
      <c r="W20" s="2043"/>
      <c r="X20" s="2045">
        <f t="shared" si="12"/>
        <v>0</v>
      </c>
      <c r="Y20" s="2138" t="e">
        <f t="shared" si="5"/>
        <v>#DIV/0!</v>
      </c>
      <c r="Z20" s="2046"/>
      <c r="AA20" s="2051"/>
      <c r="AB20" s="2043"/>
      <c r="AC20" s="2045">
        <f t="shared" si="13"/>
        <v>0</v>
      </c>
      <c r="AD20" s="2138" t="e">
        <f t="shared" si="6"/>
        <v>#DIV/0!</v>
      </c>
      <c r="AE20" s="2046"/>
      <c r="AF20" s="2051"/>
      <c r="AG20" s="2043"/>
      <c r="AH20" s="2045">
        <f t="shared" si="14"/>
        <v>0</v>
      </c>
      <c r="AI20" s="2138" t="e">
        <f t="shared" si="7"/>
        <v>#DIV/0!</v>
      </c>
      <c r="AJ20" s="2046"/>
      <c r="AK20" s="2043">
        <f t="shared" si="8"/>
        <v>0</v>
      </c>
      <c r="AL20" s="2043">
        <f t="shared" si="8"/>
        <v>0</v>
      </c>
      <c r="AM20" s="2045">
        <f t="shared" si="15"/>
        <v>0</v>
      </c>
      <c r="AN20" s="2138">
        <f t="shared" si="0"/>
        <v>0</v>
      </c>
      <c r="AO20" s="1434"/>
    </row>
    <row r="21" spans="1:41" s="1396" customFormat="1" ht="41.4">
      <c r="A21" s="1572"/>
      <c r="B21" s="2557" t="s">
        <v>58</v>
      </c>
      <c r="C21" s="2139"/>
      <c r="D21" s="2558"/>
      <c r="E21" s="2012">
        <f t="shared" si="1"/>
        <v>0</v>
      </c>
      <c r="F21" s="1976" t="e">
        <f t="shared" si="2"/>
        <v>#DIV/0!</v>
      </c>
      <c r="G21" s="2043"/>
      <c r="H21" s="2043"/>
      <c r="I21" s="2045">
        <f t="shared" si="9"/>
        <v>0</v>
      </c>
      <c r="J21" s="2138">
        <f t="shared" si="16"/>
        <v>0</v>
      </c>
      <c r="K21" s="2046"/>
      <c r="L21" s="2043"/>
      <c r="M21" s="2043"/>
      <c r="N21" s="2045">
        <f t="shared" si="10"/>
        <v>0</v>
      </c>
      <c r="O21" s="2138" t="e">
        <f t="shared" si="3"/>
        <v>#DIV/0!</v>
      </c>
      <c r="P21" s="2046"/>
      <c r="Q21" s="2051"/>
      <c r="R21" s="2043"/>
      <c r="S21" s="2045">
        <f t="shared" si="11"/>
        <v>0</v>
      </c>
      <c r="T21" s="2138">
        <f t="shared" si="4"/>
        <v>0</v>
      </c>
      <c r="U21" s="2048"/>
      <c r="V21" s="2051"/>
      <c r="W21" s="2043"/>
      <c r="X21" s="2045">
        <f t="shared" si="12"/>
        <v>0</v>
      </c>
      <c r="Y21" s="2138" t="e">
        <f t="shared" si="5"/>
        <v>#DIV/0!</v>
      </c>
      <c r="Z21" s="2046"/>
      <c r="AA21" s="2051"/>
      <c r="AB21" s="2043"/>
      <c r="AC21" s="2045">
        <f t="shared" si="13"/>
        <v>0</v>
      </c>
      <c r="AD21" s="2138" t="e">
        <f t="shared" si="6"/>
        <v>#DIV/0!</v>
      </c>
      <c r="AE21" s="2046" t="s">
        <v>1635</v>
      </c>
      <c r="AF21" s="2051"/>
      <c r="AG21" s="2043"/>
      <c r="AH21" s="2045">
        <f t="shared" si="14"/>
        <v>0</v>
      </c>
      <c r="AI21" s="2138" t="e">
        <f t="shared" si="7"/>
        <v>#DIV/0!</v>
      </c>
      <c r="AJ21" s="2046"/>
      <c r="AK21" s="2043">
        <f t="shared" si="8"/>
        <v>0</v>
      </c>
      <c r="AL21" s="2043">
        <f t="shared" si="8"/>
        <v>0</v>
      </c>
      <c r="AM21" s="2045">
        <f t="shared" si="15"/>
        <v>0</v>
      </c>
      <c r="AN21" s="2138">
        <f t="shared" si="0"/>
        <v>0</v>
      </c>
      <c r="AO21" s="1434"/>
    </row>
    <row r="22" spans="1:41" s="1396" customFormat="1" ht="13.8">
      <c r="A22" s="1572"/>
      <c r="B22" s="2557" t="s">
        <v>621</v>
      </c>
      <c r="C22" s="2139"/>
      <c r="D22" s="2558"/>
      <c r="E22" s="2012"/>
      <c r="F22" s="1976"/>
      <c r="G22" s="2043"/>
      <c r="H22" s="2043"/>
      <c r="I22" s="2045">
        <f t="shared" si="9"/>
        <v>0</v>
      </c>
      <c r="J22" s="2138">
        <f t="shared" si="16"/>
        <v>0</v>
      </c>
      <c r="K22" s="2046"/>
      <c r="L22" s="2043"/>
      <c r="M22" s="2043"/>
      <c r="N22" s="2045">
        <f t="shared" si="10"/>
        <v>0</v>
      </c>
      <c r="O22" s="2138" t="e">
        <f t="shared" si="3"/>
        <v>#DIV/0!</v>
      </c>
      <c r="P22" s="2046"/>
      <c r="Q22" s="2051"/>
      <c r="R22" s="2043"/>
      <c r="S22" s="2045">
        <f t="shared" si="11"/>
        <v>0</v>
      </c>
      <c r="T22" s="2138">
        <f t="shared" si="4"/>
        <v>0</v>
      </c>
      <c r="U22" s="2048"/>
      <c r="V22" s="2051"/>
      <c r="W22" s="2043"/>
      <c r="X22" s="2045">
        <f t="shared" si="12"/>
        <v>0</v>
      </c>
      <c r="Y22" s="2138" t="e">
        <f t="shared" si="5"/>
        <v>#DIV/0!</v>
      </c>
      <c r="Z22" s="2046"/>
      <c r="AA22" s="2051"/>
      <c r="AB22" s="2043"/>
      <c r="AC22" s="2045">
        <f t="shared" si="13"/>
        <v>0</v>
      </c>
      <c r="AD22" s="2138" t="e">
        <f t="shared" si="6"/>
        <v>#DIV/0!</v>
      </c>
      <c r="AE22" s="2046"/>
      <c r="AF22" s="2051"/>
      <c r="AG22" s="2043"/>
      <c r="AH22" s="2045">
        <f t="shared" si="14"/>
        <v>0</v>
      </c>
      <c r="AI22" s="2138" t="e">
        <f t="shared" si="7"/>
        <v>#DIV/0!</v>
      </c>
      <c r="AJ22" s="2046"/>
      <c r="AK22" s="2043">
        <f t="shared" si="8"/>
        <v>0</v>
      </c>
      <c r="AL22" s="2043">
        <f t="shared" si="8"/>
        <v>0</v>
      </c>
      <c r="AM22" s="2045">
        <f t="shared" si="15"/>
        <v>0</v>
      </c>
      <c r="AN22" s="2138">
        <f t="shared" si="0"/>
        <v>0</v>
      </c>
      <c r="AO22" s="1434"/>
    </row>
    <row r="23" spans="1:41" s="1396" customFormat="1" ht="13.8">
      <c r="A23" s="1572"/>
      <c r="B23" s="2557" t="s">
        <v>630</v>
      </c>
      <c r="C23" s="2139"/>
      <c r="D23" s="2558"/>
      <c r="E23" s="2012"/>
      <c r="F23" s="1976"/>
      <c r="G23" s="2043"/>
      <c r="H23" s="2043"/>
      <c r="I23" s="2045">
        <f t="shared" si="9"/>
        <v>0</v>
      </c>
      <c r="J23" s="2138">
        <f t="shared" si="16"/>
        <v>0</v>
      </c>
      <c r="K23" s="2046"/>
      <c r="L23" s="2043"/>
      <c r="M23" s="2043"/>
      <c r="N23" s="2045">
        <f t="shared" si="10"/>
        <v>0</v>
      </c>
      <c r="O23" s="2138" t="e">
        <f t="shared" si="3"/>
        <v>#DIV/0!</v>
      </c>
      <c r="P23" s="2046"/>
      <c r="Q23" s="2051"/>
      <c r="R23" s="2043"/>
      <c r="S23" s="2045">
        <f t="shared" si="11"/>
        <v>0</v>
      </c>
      <c r="T23" s="2138">
        <f t="shared" si="4"/>
        <v>0</v>
      </c>
      <c r="U23" s="2048"/>
      <c r="V23" s="2051"/>
      <c r="W23" s="2043"/>
      <c r="X23" s="2045">
        <f t="shared" si="12"/>
        <v>0</v>
      </c>
      <c r="Y23" s="2138" t="e">
        <f t="shared" si="5"/>
        <v>#DIV/0!</v>
      </c>
      <c r="Z23" s="2046"/>
      <c r="AA23" s="2051"/>
      <c r="AB23" s="2043"/>
      <c r="AC23" s="2045">
        <f t="shared" si="13"/>
        <v>0</v>
      </c>
      <c r="AD23" s="2138" t="e">
        <f t="shared" si="6"/>
        <v>#DIV/0!</v>
      </c>
      <c r="AE23" s="2046"/>
      <c r="AF23" s="2051"/>
      <c r="AG23" s="2043"/>
      <c r="AH23" s="2045">
        <f t="shared" si="14"/>
        <v>0</v>
      </c>
      <c r="AI23" s="2138" t="e">
        <f t="shared" si="7"/>
        <v>#DIV/0!</v>
      </c>
      <c r="AJ23" s="2046"/>
      <c r="AK23" s="2043">
        <f t="shared" si="8"/>
        <v>0</v>
      </c>
      <c r="AL23" s="2043">
        <f t="shared" si="8"/>
        <v>0</v>
      </c>
      <c r="AM23" s="2045">
        <f t="shared" si="15"/>
        <v>0</v>
      </c>
      <c r="AN23" s="2138">
        <f t="shared" si="0"/>
        <v>0</v>
      </c>
      <c r="AO23" s="1434"/>
    </row>
    <row r="24" spans="1:41" s="1396" customFormat="1" ht="13.8">
      <c r="A24" s="1572"/>
      <c r="B24" s="2557" t="s">
        <v>23</v>
      </c>
      <c r="C24" s="2139"/>
      <c r="D24" s="2558"/>
      <c r="E24" s="2012">
        <f t="shared" si="1"/>
        <v>0</v>
      </c>
      <c r="F24" s="1976" t="e">
        <f t="shared" ref="F24:F33" si="17">E24/$E$89</f>
        <v>#DIV/0!</v>
      </c>
      <c r="G24" s="2043"/>
      <c r="H24" s="2043"/>
      <c r="I24" s="2045">
        <f t="shared" si="9"/>
        <v>0</v>
      </c>
      <c r="J24" s="2138">
        <f t="shared" si="16"/>
        <v>0</v>
      </c>
      <c r="K24" s="2046"/>
      <c r="L24" s="2043"/>
      <c r="M24" s="2043"/>
      <c r="N24" s="2045">
        <f t="shared" si="10"/>
        <v>0</v>
      </c>
      <c r="O24" s="2138" t="e">
        <f t="shared" si="3"/>
        <v>#DIV/0!</v>
      </c>
      <c r="P24" s="2046"/>
      <c r="Q24" s="2051"/>
      <c r="R24" s="2043"/>
      <c r="S24" s="2045">
        <f t="shared" si="11"/>
        <v>0</v>
      </c>
      <c r="T24" s="2138">
        <f t="shared" si="4"/>
        <v>0</v>
      </c>
      <c r="U24" s="2046"/>
      <c r="V24" s="2051"/>
      <c r="W24" s="2043"/>
      <c r="X24" s="2045">
        <f t="shared" si="12"/>
        <v>0</v>
      </c>
      <c r="Y24" s="2138" t="e">
        <f t="shared" si="5"/>
        <v>#DIV/0!</v>
      </c>
      <c r="Z24" s="2046"/>
      <c r="AA24" s="2051"/>
      <c r="AB24" s="2043"/>
      <c r="AC24" s="2045">
        <f t="shared" si="13"/>
        <v>0</v>
      </c>
      <c r="AD24" s="2138" t="e">
        <f t="shared" si="6"/>
        <v>#DIV/0!</v>
      </c>
      <c r="AE24" s="2043" t="s">
        <v>1642</v>
      </c>
      <c r="AF24" s="2051"/>
      <c r="AG24" s="2043"/>
      <c r="AH24" s="2045">
        <f t="shared" si="14"/>
        <v>0</v>
      </c>
      <c r="AI24" s="2138" t="e">
        <f t="shared" si="7"/>
        <v>#DIV/0!</v>
      </c>
      <c r="AJ24" s="2043"/>
      <c r="AK24" s="2043">
        <f t="shared" si="8"/>
        <v>0</v>
      </c>
      <c r="AL24" s="2043">
        <f t="shared" si="8"/>
        <v>0</v>
      </c>
      <c r="AM24" s="2045">
        <f t="shared" si="15"/>
        <v>0</v>
      </c>
      <c r="AN24" s="2138">
        <f t="shared" si="0"/>
        <v>0</v>
      </c>
      <c r="AO24" s="1434"/>
    </row>
    <row r="25" spans="1:41" s="1396" customFormat="1" ht="13.8">
      <c r="A25" s="1572"/>
      <c r="B25" s="2557" t="s">
        <v>24</v>
      </c>
      <c r="C25" s="2139"/>
      <c r="D25" s="2558"/>
      <c r="E25" s="2012">
        <f t="shared" si="1"/>
        <v>0</v>
      </c>
      <c r="F25" s="1976" t="e">
        <f t="shared" si="17"/>
        <v>#DIV/0!</v>
      </c>
      <c r="G25" s="2043"/>
      <c r="H25" s="2043"/>
      <c r="I25" s="2045">
        <f t="shared" si="9"/>
        <v>0</v>
      </c>
      <c r="J25" s="2138">
        <f t="shared" si="16"/>
        <v>0</v>
      </c>
      <c r="K25" s="2046"/>
      <c r="L25" s="2043"/>
      <c r="M25" s="2043"/>
      <c r="N25" s="2045">
        <f t="shared" si="10"/>
        <v>0</v>
      </c>
      <c r="O25" s="2138" t="e">
        <f t="shared" si="3"/>
        <v>#DIV/0!</v>
      </c>
      <c r="P25" s="2046"/>
      <c r="Q25" s="2051"/>
      <c r="R25" s="2043"/>
      <c r="S25" s="2045">
        <f t="shared" si="11"/>
        <v>0</v>
      </c>
      <c r="T25" s="2138">
        <f t="shared" si="4"/>
        <v>0</v>
      </c>
      <c r="U25" s="2046"/>
      <c r="V25" s="2051"/>
      <c r="W25" s="2043"/>
      <c r="X25" s="2045">
        <f t="shared" si="12"/>
        <v>0</v>
      </c>
      <c r="Y25" s="2138" t="e">
        <f t="shared" si="5"/>
        <v>#DIV/0!</v>
      </c>
      <c r="Z25" s="2046"/>
      <c r="AA25" s="2051"/>
      <c r="AB25" s="2043"/>
      <c r="AC25" s="2045">
        <f t="shared" si="13"/>
        <v>0</v>
      </c>
      <c r="AD25" s="2138" t="e">
        <f t="shared" si="6"/>
        <v>#DIV/0!</v>
      </c>
      <c r="AE25" s="2046"/>
      <c r="AF25" s="2051"/>
      <c r="AG25" s="2043"/>
      <c r="AH25" s="2045">
        <f t="shared" si="14"/>
        <v>0</v>
      </c>
      <c r="AI25" s="2138" t="e">
        <f t="shared" si="7"/>
        <v>#DIV/0!</v>
      </c>
      <c r="AJ25" s="2046"/>
      <c r="AK25" s="2043">
        <f t="shared" si="8"/>
        <v>0</v>
      </c>
      <c r="AL25" s="2043">
        <f t="shared" si="8"/>
        <v>0</v>
      </c>
      <c r="AM25" s="2045">
        <f t="shared" si="15"/>
        <v>0</v>
      </c>
      <c r="AN25" s="2138">
        <f t="shared" si="0"/>
        <v>0</v>
      </c>
      <c r="AO25" s="1434"/>
    </row>
    <row r="26" spans="1:41" s="1396" customFormat="1" ht="13.8">
      <c r="A26" s="1572"/>
      <c r="B26" s="2557" t="s">
        <v>45</v>
      </c>
      <c r="C26" s="2139"/>
      <c r="D26" s="2558"/>
      <c r="E26" s="2012">
        <f t="shared" si="1"/>
        <v>0</v>
      </c>
      <c r="F26" s="1976" t="e">
        <f t="shared" si="17"/>
        <v>#DIV/0!</v>
      </c>
      <c r="G26" s="2043"/>
      <c r="H26" s="2043"/>
      <c r="I26" s="2045">
        <f t="shared" si="9"/>
        <v>0</v>
      </c>
      <c r="J26" s="2138">
        <f t="shared" si="16"/>
        <v>0</v>
      </c>
      <c r="K26" s="2046"/>
      <c r="L26" s="2043"/>
      <c r="M26" s="2043"/>
      <c r="N26" s="2045">
        <f t="shared" si="10"/>
        <v>0</v>
      </c>
      <c r="O26" s="2138" t="e">
        <f t="shared" si="3"/>
        <v>#DIV/0!</v>
      </c>
      <c r="P26" s="2046"/>
      <c r="Q26" s="2051"/>
      <c r="R26" s="2043"/>
      <c r="S26" s="2045">
        <f t="shared" si="11"/>
        <v>0</v>
      </c>
      <c r="T26" s="2138">
        <f t="shared" si="4"/>
        <v>0</v>
      </c>
      <c r="U26" s="2048"/>
      <c r="V26" s="2051"/>
      <c r="W26" s="2043"/>
      <c r="X26" s="2045">
        <f t="shared" si="12"/>
        <v>0</v>
      </c>
      <c r="Y26" s="2138" t="e">
        <f t="shared" si="5"/>
        <v>#DIV/0!</v>
      </c>
      <c r="Z26" s="2046"/>
      <c r="AA26" s="2051"/>
      <c r="AB26" s="2043"/>
      <c r="AC26" s="2045">
        <f t="shared" si="13"/>
        <v>0</v>
      </c>
      <c r="AD26" s="2138" t="e">
        <f t="shared" si="6"/>
        <v>#DIV/0!</v>
      </c>
      <c r="AE26" s="2046"/>
      <c r="AF26" s="2051"/>
      <c r="AG26" s="2043"/>
      <c r="AH26" s="2045">
        <f t="shared" si="14"/>
        <v>0</v>
      </c>
      <c r="AI26" s="2138" t="e">
        <f t="shared" si="7"/>
        <v>#DIV/0!</v>
      </c>
      <c r="AJ26" s="2046"/>
      <c r="AK26" s="2043">
        <f t="shared" si="8"/>
        <v>0</v>
      </c>
      <c r="AL26" s="2043">
        <f t="shared" si="8"/>
        <v>0</v>
      </c>
      <c r="AM26" s="2045">
        <f t="shared" si="15"/>
        <v>0</v>
      </c>
      <c r="AN26" s="2138">
        <f t="shared" si="0"/>
        <v>0</v>
      </c>
      <c r="AO26" s="1434"/>
    </row>
    <row r="27" spans="1:41" s="1396" customFormat="1" ht="13.8">
      <c r="A27" s="1572"/>
      <c r="B27" s="2557" t="s">
        <v>25</v>
      </c>
      <c r="C27" s="2139"/>
      <c r="D27" s="2558"/>
      <c r="E27" s="2012">
        <f t="shared" si="1"/>
        <v>0</v>
      </c>
      <c r="F27" s="1976" t="e">
        <f t="shared" si="17"/>
        <v>#DIV/0!</v>
      </c>
      <c r="G27" s="2043"/>
      <c r="H27" s="2043"/>
      <c r="I27" s="2045">
        <f t="shared" si="9"/>
        <v>0</v>
      </c>
      <c r="J27" s="2138">
        <f t="shared" si="16"/>
        <v>0</v>
      </c>
      <c r="K27" s="2046"/>
      <c r="L27" s="2043"/>
      <c r="M27" s="2043"/>
      <c r="N27" s="2045">
        <f t="shared" si="10"/>
        <v>0</v>
      </c>
      <c r="O27" s="2138" t="e">
        <f t="shared" si="3"/>
        <v>#DIV/0!</v>
      </c>
      <c r="P27" s="2046"/>
      <c r="Q27" s="2051"/>
      <c r="R27" s="2043"/>
      <c r="S27" s="2045">
        <f t="shared" si="11"/>
        <v>0</v>
      </c>
      <c r="T27" s="2138">
        <f t="shared" si="4"/>
        <v>0</v>
      </c>
      <c r="U27" s="2046"/>
      <c r="V27" s="2051"/>
      <c r="W27" s="2043"/>
      <c r="X27" s="2045">
        <f t="shared" si="12"/>
        <v>0</v>
      </c>
      <c r="Y27" s="2138" t="e">
        <f t="shared" si="5"/>
        <v>#DIV/0!</v>
      </c>
      <c r="Z27" s="2046"/>
      <c r="AA27" s="2051"/>
      <c r="AB27" s="2043"/>
      <c r="AC27" s="2045">
        <f t="shared" si="13"/>
        <v>0</v>
      </c>
      <c r="AD27" s="2138" t="e">
        <f t="shared" si="6"/>
        <v>#DIV/0!</v>
      </c>
      <c r="AE27" s="2046"/>
      <c r="AF27" s="2051"/>
      <c r="AG27" s="2043"/>
      <c r="AH27" s="2045">
        <f t="shared" si="14"/>
        <v>0</v>
      </c>
      <c r="AI27" s="2138" t="e">
        <f t="shared" si="7"/>
        <v>#DIV/0!</v>
      </c>
      <c r="AJ27" s="2046"/>
      <c r="AK27" s="2043">
        <f t="shared" si="8"/>
        <v>0</v>
      </c>
      <c r="AL27" s="2043">
        <f t="shared" si="8"/>
        <v>0</v>
      </c>
      <c r="AM27" s="2045">
        <f t="shared" si="15"/>
        <v>0</v>
      </c>
      <c r="AN27" s="2138">
        <f t="shared" si="0"/>
        <v>0</v>
      </c>
      <c r="AO27" s="1434"/>
    </row>
    <row r="28" spans="1:41" s="1564" customFormat="1" ht="13.8">
      <c r="A28" s="1572"/>
      <c r="B28" s="2559" t="s">
        <v>52</v>
      </c>
      <c r="C28" s="2139"/>
      <c r="D28" s="2558"/>
      <c r="E28" s="2012">
        <f t="shared" si="1"/>
        <v>0</v>
      </c>
      <c r="F28" s="1976" t="e">
        <f t="shared" si="17"/>
        <v>#DIV/0!</v>
      </c>
      <c r="G28" s="2043"/>
      <c r="H28" s="2043"/>
      <c r="I28" s="2045">
        <f t="shared" si="9"/>
        <v>0</v>
      </c>
      <c r="J28" s="2138">
        <f t="shared" si="16"/>
        <v>0</v>
      </c>
      <c r="K28" s="2046"/>
      <c r="L28" s="2043"/>
      <c r="M28" s="2043"/>
      <c r="N28" s="2045">
        <f t="shared" si="10"/>
        <v>0</v>
      </c>
      <c r="O28" s="2138" t="e">
        <f t="shared" si="3"/>
        <v>#DIV/0!</v>
      </c>
      <c r="P28" s="2046"/>
      <c r="Q28" s="2051"/>
      <c r="R28" s="2043"/>
      <c r="S28" s="2045">
        <f t="shared" si="11"/>
        <v>0</v>
      </c>
      <c r="T28" s="2138">
        <f t="shared" si="4"/>
        <v>0</v>
      </c>
      <c r="U28" s="2046"/>
      <c r="V28" s="2051"/>
      <c r="W28" s="2043"/>
      <c r="X28" s="2045">
        <f t="shared" si="12"/>
        <v>0</v>
      </c>
      <c r="Y28" s="2138" t="e">
        <f t="shared" si="5"/>
        <v>#DIV/0!</v>
      </c>
      <c r="Z28" s="2046"/>
      <c r="AA28" s="2051"/>
      <c r="AB28" s="2043"/>
      <c r="AC28" s="2045">
        <f t="shared" si="13"/>
        <v>0</v>
      </c>
      <c r="AD28" s="2138" t="e">
        <f t="shared" si="6"/>
        <v>#DIV/0!</v>
      </c>
      <c r="AE28" s="2046"/>
      <c r="AF28" s="2051"/>
      <c r="AG28" s="2043"/>
      <c r="AH28" s="2045">
        <f t="shared" si="14"/>
        <v>0</v>
      </c>
      <c r="AI28" s="2138" t="e">
        <f t="shared" si="7"/>
        <v>#DIV/0!</v>
      </c>
      <c r="AJ28" s="2046"/>
      <c r="AK28" s="2043">
        <f t="shared" si="8"/>
        <v>0</v>
      </c>
      <c r="AL28" s="2043">
        <f t="shared" si="8"/>
        <v>0</v>
      </c>
      <c r="AM28" s="2045">
        <f t="shared" si="15"/>
        <v>0</v>
      </c>
      <c r="AN28" s="2138">
        <f t="shared" si="0"/>
        <v>0</v>
      </c>
      <c r="AO28" s="1434"/>
    </row>
    <row r="29" spans="1:41" s="1396" customFormat="1" ht="13.8">
      <c r="A29" s="1572"/>
      <c r="B29" s="2557" t="s">
        <v>31</v>
      </c>
      <c r="C29" s="2139"/>
      <c r="D29" s="2558"/>
      <c r="E29" s="2012">
        <f t="shared" si="1"/>
        <v>0</v>
      </c>
      <c r="F29" s="2138" t="e">
        <f t="shared" si="17"/>
        <v>#DIV/0!</v>
      </c>
      <c r="G29" s="2043"/>
      <c r="H29" s="2043"/>
      <c r="I29" s="2045">
        <f t="shared" si="9"/>
        <v>0</v>
      </c>
      <c r="J29" s="2138">
        <f t="shared" si="16"/>
        <v>0</v>
      </c>
      <c r="K29" s="2046"/>
      <c r="L29" s="2043"/>
      <c r="M29" s="2043"/>
      <c r="N29" s="2045">
        <f t="shared" si="10"/>
        <v>0</v>
      </c>
      <c r="O29" s="2138" t="e">
        <f t="shared" si="3"/>
        <v>#DIV/0!</v>
      </c>
      <c r="P29" s="2046"/>
      <c r="Q29" s="2051"/>
      <c r="R29" s="2043"/>
      <c r="S29" s="2045">
        <f t="shared" si="11"/>
        <v>0</v>
      </c>
      <c r="T29" s="2138">
        <f t="shared" si="4"/>
        <v>0</v>
      </c>
      <c r="U29" s="2046"/>
      <c r="V29" s="2051"/>
      <c r="W29" s="2043"/>
      <c r="X29" s="2045">
        <f t="shared" si="12"/>
        <v>0</v>
      </c>
      <c r="Y29" s="2138" t="e">
        <f t="shared" si="5"/>
        <v>#DIV/0!</v>
      </c>
      <c r="Z29" s="2046"/>
      <c r="AA29" s="2051"/>
      <c r="AB29" s="2043"/>
      <c r="AC29" s="2045">
        <f t="shared" si="13"/>
        <v>0</v>
      </c>
      <c r="AD29" s="2138" t="e">
        <f t="shared" si="6"/>
        <v>#DIV/0!</v>
      </c>
      <c r="AE29" s="2046"/>
      <c r="AF29" s="2051"/>
      <c r="AG29" s="2043"/>
      <c r="AH29" s="2045">
        <f t="shared" si="14"/>
        <v>0</v>
      </c>
      <c r="AI29" s="2138" t="e">
        <f t="shared" si="7"/>
        <v>#DIV/0!</v>
      </c>
      <c r="AJ29" s="2046"/>
      <c r="AK29" s="2043">
        <f t="shared" si="8"/>
        <v>0</v>
      </c>
      <c r="AL29" s="2043">
        <f t="shared" si="8"/>
        <v>0</v>
      </c>
      <c r="AM29" s="2045">
        <f t="shared" si="15"/>
        <v>0</v>
      </c>
      <c r="AN29" s="2138">
        <f t="shared" si="0"/>
        <v>0</v>
      </c>
      <c r="AO29" s="2140"/>
    </row>
    <row r="30" spans="1:41" s="1396" customFormat="1" ht="13.8">
      <c r="A30" s="1572"/>
      <c r="B30" s="2557" t="s">
        <v>62</v>
      </c>
      <c r="C30" s="2139"/>
      <c r="D30" s="2558"/>
      <c r="E30" s="2012">
        <f t="shared" si="1"/>
        <v>0</v>
      </c>
      <c r="F30" s="2138" t="e">
        <f t="shared" si="17"/>
        <v>#DIV/0!</v>
      </c>
      <c r="G30" s="2043"/>
      <c r="H30" s="2043"/>
      <c r="I30" s="2045">
        <f t="shared" si="9"/>
        <v>0</v>
      </c>
      <c r="J30" s="2138">
        <f t="shared" si="16"/>
        <v>0</v>
      </c>
      <c r="K30" s="2046"/>
      <c r="L30" s="2043"/>
      <c r="M30" s="2043"/>
      <c r="N30" s="2045">
        <f t="shared" si="10"/>
        <v>0</v>
      </c>
      <c r="O30" s="2138" t="e">
        <f t="shared" si="3"/>
        <v>#DIV/0!</v>
      </c>
      <c r="P30" s="2046"/>
      <c r="Q30" s="2051"/>
      <c r="R30" s="2043"/>
      <c r="S30" s="2045">
        <f t="shared" si="11"/>
        <v>0</v>
      </c>
      <c r="T30" s="2138">
        <f t="shared" si="4"/>
        <v>0</v>
      </c>
      <c r="U30" s="2046"/>
      <c r="V30" s="2051"/>
      <c r="W30" s="2043"/>
      <c r="X30" s="2045">
        <f t="shared" si="12"/>
        <v>0</v>
      </c>
      <c r="Y30" s="2138" t="e">
        <f t="shared" si="5"/>
        <v>#DIV/0!</v>
      </c>
      <c r="Z30" s="2046"/>
      <c r="AA30" s="2051"/>
      <c r="AB30" s="2043"/>
      <c r="AC30" s="2045">
        <f t="shared" si="13"/>
        <v>0</v>
      </c>
      <c r="AD30" s="2138" t="e">
        <f t="shared" si="6"/>
        <v>#DIV/0!</v>
      </c>
      <c r="AE30" s="2046"/>
      <c r="AF30" s="2051"/>
      <c r="AG30" s="2043"/>
      <c r="AH30" s="2045">
        <f t="shared" si="14"/>
        <v>0</v>
      </c>
      <c r="AI30" s="2138" t="e">
        <f t="shared" si="7"/>
        <v>#DIV/0!</v>
      </c>
      <c r="AJ30" s="2046"/>
      <c r="AK30" s="2043">
        <f t="shared" si="8"/>
        <v>0</v>
      </c>
      <c r="AL30" s="2043">
        <f t="shared" si="8"/>
        <v>0</v>
      </c>
      <c r="AM30" s="2045">
        <f t="shared" si="15"/>
        <v>0</v>
      </c>
      <c r="AN30" s="2138">
        <f t="shared" si="0"/>
        <v>0</v>
      </c>
      <c r="AO30" s="2140"/>
    </row>
    <row r="31" spans="1:41" s="1396" customFormat="1" ht="13.8">
      <c r="A31" s="1572"/>
      <c r="B31" s="2557" t="s">
        <v>34</v>
      </c>
      <c r="C31" s="2139"/>
      <c r="D31" s="2560"/>
      <c r="E31" s="2012">
        <f t="shared" si="1"/>
        <v>0</v>
      </c>
      <c r="F31" s="2138" t="e">
        <f t="shared" si="17"/>
        <v>#DIV/0!</v>
      </c>
      <c r="G31" s="2043"/>
      <c r="H31" s="2043"/>
      <c r="I31" s="2045">
        <f t="shared" si="9"/>
        <v>0</v>
      </c>
      <c r="J31" s="2138">
        <f t="shared" si="16"/>
        <v>0</v>
      </c>
      <c r="K31" s="2046"/>
      <c r="L31" s="2043"/>
      <c r="M31" s="2043"/>
      <c r="N31" s="2045">
        <f t="shared" si="10"/>
        <v>0</v>
      </c>
      <c r="O31" s="2138" t="e">
        <f t="shared" si="3"/>
        <v>#DIV/0!</v>
      </c>
      <c r="P31" s="2046"/>
      <c r="Q31" s="2051"/>
      <c r="R31" s="2043"/>
      <c r="S31" s="2045">
        <f t="shared" si="11"/>
        <v>0</v>
      </c>
      <c r="T31" s="2138">
        <f t="shared" si="4"/>
        <v>0</v>
      </c>
      <c r="U31" s="2046"/>
      <c r="V31" s="2051"/>
      <c r="W31" s="2043"/>
      <c r="X31" s="2045">
        <f t="shared" si="12"/>
        <v>0</v>
      </c>
      <c r="Y31" s="2138" t="e">
        <f t="shared" si="5"/>
        <v>#DIV/0!</v>
      </c>
      <c r="Z31" s="2046"/>
      <c r="AA31" s="2051"/>
      <c r="AB31" s="2043"/>
      <c r="AC31" s="2045">
        <f t="shared" si="13"/>
        <v>0</v>
      </c>
      <c r="AD31" s="2138" t="e">
        <f t="shared" si="6"/>
        <v>#DIV/0!</v>
      </c>
      <c r="AE31" s="2046"/>
      <c r="AF31" s="2051"/>
      <c r="AG31" s="2043"/>
      <c r="AH31" s="2045">
        <f t="shared" si="14"/>
        <v>0</v>
      </c>
      <c r="AI31" s="2138" t="e">
        <f t="shared" si="7"/>
        <v>#DIV/0!</v>
      </c>
      <c r="AJ31" s="2046"/>
      <c r="AK31" s="2043">
        <f t="shared" si="8"/>
        <v>0</v>
      </c>
      <c r="AL31" s="2043">
        <f t="shared" si="8"/>
        <v>0</v>
      </c>
      <c r="AM31" s="2045">
        <f t="shared" si="15"/>
        <v>0</v>
      </c>
      <c r="AN31" s="2138">
        <f t="shared" si="0"/>
        <v>0</v>
      </c>
      <c r="AO31" s="2140"/>
    </row>
    <row r="32" spans="1:41" s="1396" customFormat="1" ht="13.8">
      <c r="A32" s="1572"/>
      <c r="B32" s="2561" t="s">
        <v>2</v>
      </c>
      <c r="C32" s="2141"/>
      <c r="D32" s="2479"/>
      <c r="E32" s="2012">
        <f t="shared" si="1"/>
        <v>0</v>
      </c>
      <c r="F32" s="2138" t="e">
        <f t="shared" si="17"/>
        <v>#DIV/0!</v>
      </c>
      <c r="G32" s="2043"/>
      <c r="H32" s="2043"/>
      <c r="I32" s="2045">
        <f t="shared" si="9"/>
        <v>0</v>
      </c>
      <c r="J32" s="2138">
        <f t="shared" si="16"/>
        <v>0</v>
      </c>
      <c r="K32" s="2142"/>
      <c r="L32" s="2043"/>
      <c r="M32" s="2043"/>
      <c r="N32" s="2045">
        <f t="shared" si="10"/>
        <v>0</v>
      </c>
      <c r="O32" s="2138" t="e">
        <f t="shared" si="3"/>
        <v>#DIV/0!</v>
      </c>
      <c r="P32" s="2142"/>
      <c r="Q32" s="2051"/>
      <c r="R32" s="2043"/>
      <c r="S32" s="2045">
        <f t="shared" si="11"/>
        <v>0</v>
      </c>
      <c r="T32" s="2138">
        <f t="shared" si="4"/>
        <v>0</v>
      </c>
      <c r="U32" s="2046"/>
      <c r="V32" s="2051"/>
      <c r="W32" s="2043"/>
      <c r="X32" s="2045">
        <f t="shared" si="12"/>
        <v>0</v>
      </c>
      <c r="Y32" s="2138" t="e">
        <f t="shared" si="5"/>
        <v>#DIV/0!</v>
      </c>
      <c r="Z32" s="2142"/>
      <c r="AA32" s="2051"/>
      <c r="AB32" s="2043"/>
      <c r="AC32" s="2045">
        <f t="shared" si="13"/>
        <v>0</v>
      </c>
      <c r="AD32" s="2138" t="e">
        <f t="shared" si="6"/>
        <v>#DIV/0!</v>
      </c>
      <c r="AE32" s="2142"/>
      <c r="AF32" s="2051"/>
      <c r="AG32" s="2043"/>
      <c r="AH32" s="2045">
        <f t="shared" si="14"/>
        <v>0</v>
      </c>
      <c r="AI32" s="2138" t="e">
        <f t="shared" si="7"/>
        <v>#DIV/0!</v>
      </c>
      <c r="AJ32" s="2142"/>
      <c r="AK32" s="2043">
        <f t="shared" si="8"/>
        <v>0</v>
      </c>
      <c r="AL32" s="2043">
        <f t="shared" si="8"/>
        <v>0</v>
      </c>
      <c r="AM32" s="2045">
        <f t="shared" si="15"/>
        <v>0</v>
      </c>
      <c r="AN32" s="2138">
        <f t="shared" si="0"/>
        <v>0</v>
      </c>
      <c r="AO32" s="2140"/>
    </row>
    <row r="33" spans="1:41" s="1396" customFormat="1" ht="14.4" thickBot="1">
      <c r="A33" s="1572"/>
      <c r="B33" s="2562" t="s">
        <v>75</v>
      </c>
      <c r="C33" s="2144"/>
      <c r="D33" s="2563"/>
      <c r="E33" s="1628">
        <f t="shared" si="1"/>
        <v>0</v>
      </c>
      <c r="F33" s="2503" t="e">
        <f t="shared" si="17"/>
        <v>#DIV/0!</v>
      </c>
      <c r="G33" s="2025"/>
      <c r="H33" s="2025"/>
      <c r="I33" s="2026">
        <f t="shared" si="9"/>
        <v>0</v>
      </c>
      <c r="J33" s="2503">
        <f t="shared" si="16"/>
        <v>0</v>
      </c>
      <c r="K33" s="2536"/>
      <c r="L33" s="2025"/>
      <c r="M33" s="2025"/>
      <c r="N33" s="2026">
        <f t="shared" si="10"/>
        <v>0</v>
      </c>
      <c r="O33" s="2503" t="e">
        <f t="shared" si="3"/>
        <v>#DIV/0!</v>
      </c>
      <c r="P33" s="2536"/>
      <c r="Q33" s="2028"/>
      <c r="R33" s="2025"/>
      <c r="S33" s="2026">
        <f t="shared" si="11"/>
        <v>0</v>
      </c>
      <c r="T33" s="2503">
        <f t="shared" si="4"/>
        <v>0</v>
      </c>
      <c r="U33" s="1675"/>
      <c r="V33" s="2028"/>
      <c r="W33" s="2025"/>
      <c r="X33" s="2026">
        <f t="shared" si="12"/>
        <v>0</v>
      </c>
      <c r="Y33" s="2503" t="e">
        <f t="shared" si="5"/>
        <v>#DIV/0!</v>
      </c>
      <c r="Z33" s="2536"/>
      <c r="AA33" s="2028"/>
      <c r="AB33" s="2025"/>
      <c r="AC33" s="2026">
        <f t="shared" si="13"/>
        <v>0</v>
      </c>
      <c r="AD33" s="2503" t="e">
        <f t="shared" si="6"/>
        <v>#DIV/0!</v>
      </c>
      <c r="AE33" s="2536"/>
      <c r="AF33" s="2028"/>
      <c r="AG33" s="2025"/>
      <c r="AH33" s="2026">
        <f t="shared" si="14"/>
        <v>0</v>
      </c>
      <c r="AI33" s="2503" t="e">
        <f t="shared" si="7"/>
        <v>#DIV/0!</v>
      </c>
      <c r="AJ33" s="2536"/>
      <c r="AK33" s="2025">
        <f t="shared" si="8"/>
        <v>0</v>
      </c>
      <c r="AL33" s="2025">
        <f t="shared" si="8"/>
        <v>0</v>
      </c>
      <c r="AM33" s="2026">
        <f t="shared" si="15"/>
        <v>0</v>
      </c>
      <c r="AN33" s="2503">
        <f t="shared" si="0"/>
        <v>0</v>
      </c>
      <c r="AO33" s="2504"/>
    </row>
    <row r="34" spans="1:41" s="1396" customFormat="1" ht="13.8">
      <c r="A34" s="1572"/>
      <c r="B34" s="1616"/>
      <c r="C34" s="1617"/>
      <c r="D34" s="1618"/>
      <c r="E34" s="2024"/>
      <c r="F34" s="1620"/>
      <c r="G34" s="2043"/>
      <c r="H34" s="2043"/>
      <c r="I34" s="2024"/>
      <c r="J34" s="2024"/>
      <c r="K34" s="2024"/>
      <c r="L34" s="2043"/>
      <c r="M34" s="2043"/>
      <c r="N34" s="2024"/>
      <c r="O34" s="2024"/>
      <c r="P34" s="2024"/>
      <c r="Q34" s="2051"/>
      <c r="R34" s="2043"/>
      <c r="S34" s="2024"/>
      <c r="T34" s="1976"/>
      <c r="U34" s="2024"/>
      <c r="V34" s="2051"/>
      <c r="W34" s="2043"/>
      <c r="X34" s="2024"/>
      <c r="Y34" s="2024"/>
      <c r="Z34" s="2024"/>
      <c r="AA34" s="2051"/>
      <c r="AB34" s="2043"/>
      <c r="AC34" s="2024"/>
      <c r="AD34" s="2024"/>
      <c r="AE34" s="2024"/>
      <c r="AF34" s="2051"/>
      <c r="AG34" s="2043"/>
      <c r="AH34" s="2024"/>
      <c r="AI34" s="2024"/>
      <c r="AJ34" s="2024"/>
      <c r="AK34" s="2043"/>
      <c r="AL34" s="2043"/>
      <c r="AM34" s="2024"/>
      <c r="AN34" s="2024"/>
      <c r="AO34" s="2024"/>
    </row>
    <row r="35" spans="1:41" s="2466" customFormat="1" ht="13.8">
      <c r="A35" s="1572"/>
      <c r="B35" s="2145" t="s">
        <v>80</v>
      </c>
      <c r="C35" s="2495">
        <f>C36</f>
        <v>0</v>
      </c>
      <c r="D35" s="2495">
        <f>D36</f>
        <v>0</v>
      </c>
      <c r="E35" s="2505">
        <f>E36</f>
        <v>0</v>
      </c>
      <c r="F35" s="2544" t="e">
        <f>E35/$E$89</f>
        <v>#DIV/0!</v>
      </c>
      <c r="G35" s="2495">
        <f>G36</f>
        <v>0</v>
      </c>
      <c r="H35" s="2495">
        <f>H36</f>
        <v>0</v>
      </c>
      <c r="I35" s="2505">
        <f>I36</f>
        <v>0</v>
      </c>
      <c r="J35" s="2505"/>
      <c r="K35" s="2506"/>
      <c r="L35" s="2495">
        <f>L36</f>
        <v>0</v>
      </c>
      <c r="M35" s="2495">
        <f>M36</f>
        <v>0</v>
      </c>
      <c r="N35" s="2505">
        <f>N36</f>
        <v>0</v>
      </c>
      <c r="O35" s="2505" t="e">
        <f t="shared" ref="O35:O36" si="18">N35/N$89</f>
        <v>#DIV/0!</v>
      </c>
      <c r="P35" s="2506"/>
      <c r="Q35" s="2495"/>
      <c r="R35" s="2495"/>
      <c r="S35" s="2505">
        <f>S36</f>
        <v>0</v>
      </c>
      <c r="T35" s="2505">
        <f t="shared" ref="T35:T36" si="19">S35/S$89</f>
        <v>0</v>
      </c>
      <c r="U35" s="2506"/>
      <c r="V35" s="2495">
        <f>V36</f>
        <v>0</v>
      </c>
      <c r="W35" s="2495">
        <f>W36</f>
        <v>0</v>
      </c>
      <c r="X35" s="2505">
        <f>X36</f>
        <v>0</v>
      </c>
      <c r="Y35" s="2505" t="e">
        <f t="shared" ref="Y35:Y36" si="20">X35/X$89</f>
        <v>#DIV/0!</v>
      </c>
      <c r="Z35" s="2506"/>
      <c r="AA35" s="2495">
        <f>AA36</f>
        <v>0</v>
      </c>
      <c r="AB35" s="2495">
        <f>AB36</f>
        <v>0</v>
      </c>
      <c r="AC35" s="2505">
        <f>AC36</f>
        <v>0</v>
      </c>
      <c r="AD35" s="2505" t="e">
        <f t="shared" ref="AD35:AD36" si="21">AC35/AC$89</f>
        <v>#DIV/0!</v>
      </c>
      <c r="AE35" s="2506"/>
      <c r="AF35" s="2495">
        <f>AF36</f>
        <v>0</v>
      </c>
      <c r="AG35" s="2495">
        <f>AG36</f>
        <v>0</v>
      </c>
      <c r="AH35" s="2505">
        <f>AH36</f>
        <v>0</v>
      </c>
      <c r="AI35" s="2505" t="e">
        <f t="shared" ref="AI35:AI36" si="22">AH35/AH$89</f>
        <v>#DIV/0!</v>
      </c>
      <c r="AJ35" s="2506"/>
      <c r="AK35" s="2495">
        <f>AK36</f>
        <v>0</v>
      </c>
      <c r="AL35" s="2495">
        <f>AL36</f>
        <v>0</v>
      </c>
      <c r="AM35" s="2505">
        <f>AM36</f>
        <v>0</v>
      </c>
      <c r="AN35" s="2505"/>
      <c r="AO35" s="2505"/>
    </row>
    <row r="36" spans="1:41" s="1564" customFormat="1" ht="13.8">
      <c r="A36" s="1572"/>
      <c r="B36" s="2146" t="s">
        <v>81</v>
      </c>
      <c r="C36" s="2564"/>
      <c r="D36" s="2565"/>
      <c r="E36" s="2012">
        <f>C36+D36</f>
        <v>0</v>
      </c>
      <c r="F36" s="2138" t="e">
        <f>E36/$E$89</f>
        <v>#DIV/0!</v>
      </c>
      <c r="G36" s="2043"/>
      <c r="H36" s="2043"/>
      <c r="I36" s="2012">
        <f>G36+H36*1</f>
        <v>0</v>
      </c>
      <c r="J36" s="2138">
        <f>I36/$I$89</f>
        <v>0</v>
      </c>
      <c r="K36" s="2148"/>
      <c r="L36" s="2043"/>
      <c r="M36" s="2043"/>
      <c r="N36" s="2012">
        <f>L36+M36*1</f>
        <v>0</v>
      </c>
      <c r="O36" s="2138" t="e">
        <f t="shared" si="18"/>
        <v>#DIV/0!</v>
      </c>
      <c r="P36" s="2148"/>
      <c r="Q36" s="2051"/>
      <c r="R36" s="2043"/>
      <c r="S36" s="2012">
        <f>Q36+R36*1</f>
        <v>0</v>
      </c>
      <c r="T36" s="2138">
        <f t="shared" si="19"/>
        <v>0</v>
      </c>
      <c r="U36" s="2046"/>
      <c r="V36" s="2051"/>
      <c r="W36" s="2043"/>
      <c r="X36" s="2012">
        <f>V36+W36*1</f>
        <v>0</v>
      </c>
      <c r="Y36" s="2138" t="e">
        <f t="shared" si="20"/>
        <v>#DIV/0!</v>
      </c>
      <c r="Z36" s="2148"/>
      <c r="AA36" s="2051"/>
      <c r="AB36" s="2043"/>
      <c r="AC36" s="2012">
        <f>AA36+AB36*1</f>
        <v>0</v>
      </c>
      <c r="AD36" s="2138" t="e">
        <f t="shared" si="21"/>
        <v>#DIV/0!</v>
      </c>
      <c r="AE36" s="2148"/>
      <c r="AF36" s="2051"/>
      <c r="AG36" s="2043"/>
      <c r="AH36" s="2012">
        <f>AF36+AG36*1</f>
        <v>0</v>
      </c>
      <c r="AI36" s="2138" t="e">
        <f t="shared" si="22"/>
        <v>#DIV/0!</v>
      </c>
      <c r="AJ36" s="2148"/>
      <c r="AK36" s="2043">
        <f>G36+L36+Q36+V36+AA36+AF36</f>
        <v>0</v>
      </c>
      <c r="AL36" s="2043">
        <f>H36+M36+R36+W36+AB36+AG36</f>
        <v>0</v>
      </c>
      <c r="AM36" s="2012">
        <f>AK36+AL36*1</f>
        <v>0</v>
      </c>
      <c r="AN36" s="2138">
        <f>AM36/$AM$89</f>
        <v>0</v>
      </c>
      <c r="AO36" s="2147"/>
    </row>
    <row r="37" spans="1:41" s="1396" customFormat="1" ht="14.4" thickBot="1">
      <c r="A37" s="1398"/>
      <c r="B37" s="2149"/>
      <c r="C37" s="2566"/>
      <c r="D37" s="2567"/>
      <c r="E37" s="2507"/>
      <c r="F37" s="2568"/>
      <c r="G37" s="2043"/>
      <c r="H37" s="2043"/>
      <c r="I37" s="2507"/>
      <c r="J37" s="2507"/>
      <c r="K37" s="2508"/>
      <c r="L37" s="2043"/>
      <c r="M37" s="2043"/>
      <c r="N37" s="2507"/>
      <c r="O37" s="2507"/>
      <c r="P37" s="2508"/>
      <c r="Q37" s="2028"/>
      <c r="R37" s="2025"/>
      <c r="S37" s="2507"/>
      <c r="T37" s="2503"/>
      <c r="U37" s="2508"/>
      <c r="V37" s="2051"/>
      <c r="W37" s="2043"/>
      <c r="X37" s="2507"/>
      <c r="Y37" s="2507"/>
      <c r="Z37" s="2508"/>
      <c r="AA37" s="2051"/>
      <c r="AB37" s="2043"/>
      <c r="AC37" s="2507"/>
      <c r="AD37" s="2507"/>
      <c r="AE37" s="2508"/>
      <c r="AF37" s="2051"/>
      <c r="AG37" s="2043"/>
      <c r="AH37" s="2507"/>
      <c r="AI37" s="2507"/>
      <c r="AJ37" s="2508"/>
      <c r="AK37" s="2043"/>
      <c r="AL37" s="2043"/>
      <c r="AM37" s="2507"/>
      <c r="AN37" s="2507"/>
      <c r="AO37" s="2507"/>
    </row>
    <row r="38" spans="1:41" ht="14.4" thickBot="1">
      <c r="A38" s="1426"/>
      <c r="B38" s="1427" t="s">
        <v>46</v>
      </c>
      <c r="C38" s="2002">
        <f>(C5)-(C8)</f>
        <v>0</v>
      </c>
      <c r="D38" s="2002">
        <f>(D5)-(D8)</f>
        <v>0</v>
      </c>
      <c r="E38" s="2002">
        <f>(E5)-(E8)</f>
        <v>0</v>
      </c>
      <c r="F38" s="1530"/>
      <c r="G38" s="2002">
        <f>(G5)-(G8)</f>
        <v>0</v>
      </c>
      <c r="H38" s="2002">
        <f>(H5)-(H8)</f>
        <v>0</v>
      </c>
      <c r="I38" s="2002">
        <f>(I5)-(I8)</f>
        <v>0</v>
      </c>
      <c r="J38" s="2002"/>
      <c r="K38" s="2021"/>
      <c r="L38" s="2002">
        <f>(L5)-(L8)</f>
        <v>0</v>
      </c>
      <c r="M38" s="2002">
        <f>(M5)-(M8)</f>
        <v>0</v>
      </c>
      <c r="N38" s="2002">
        <f>(N5)-(N8)</f>
        <v>0</v>
      </c>
      <c r="O38" s="2002"/>
      <c r="P38" s="2021"/>
      <c r="Q38" s="2002">
        <f>(Q5)-(Q8)</f>
        <v>-17250</v>
      </c>
      <c r="R38" s="2002">
        <f>(R5)-(R8)</f>
        <v>0</v>
      </c>
      <c r="S38" s="2002">
        <f>(S5)-(S8)</f>
        <v>-17250</v>
      </c>
      <c r="T38" s="2002"/>
      <c r="U38" s="2021"/>
      <c r="V38" s="2002">
        <f>(V5)-(V8)</f>
        <v>0</v>
      </c>
      <c r="W38" s="2002">
        <f>(W5)-(W8)</f>
        <v>0</v>
      </c>
      <c r="X38" s="2002">
        <f>(X5)-(X8)</f>
        <v>0</v>
      </c>
      <c r="Y38" s="2002"/>
      <c r="Z38" s="2021"/>
      <c r="AA38" s="2002">
        <f>(AA5)-(AA8)</f>
        <v>0</v>
      </c>
      <c r="AB38" s="2002">
        <f>(AB5)-(AB8)</f>
        <v>0</v>
      </c>
      <c r="AC38" s="2002">
        <f>(AC5)-(AC8)</f>
        <v>0</v>
      </c>
      <c r="AD38" s="2002"/>
      <c r="AE38" s="2021"/>
      <c r="AF38" s="2002">
        <f>(AF5)-(AF8)</f>
        <v>0</v>
      </c>
      <c r="AG38" s="2002">
        <f>(AG5)-(AG8)</f>
        <v>0</v>
      </c>
      <c r="AH38" s="2002">
        <f>(AH5)-(AH8)</f>
        <v>0</v>
      </c>
      <c r="AI38" s="2002"/>
      <c r="AJ38" s="2021"/>
      <c r="AK38" s="2002">
        <f>(AK5)-(AK8)</f>
        <v>-17250</v>
      </c>
      <c r="AL38" s="2002">
        <f>(AL5)-(AL8)</f>
        <v>0</v>
      </c>
      <c r="AM38" s="2002">
        <f>(AM5)-(AM8)</f>
        <v>-17250</v>
      </c>
      <c r="AN38" s="2002"/>
      <c r="AO38" s="2002"/>
    </row>
    <row r="39" spans="1:41" ht="13.8">
      <c r="A39" s="1565"/>
      <c r="B39" s="1408" t="s">
        <v>47</v>
      </c>
      <c r="C39" s="1525" t="e">
        <f>C38/(C5)</f>
        <v>#DIV/0!</v>
      </c>
      <c r="D39" s="1525" t="e">
        <f>D38/(D5)</f>
        <v>#DIV/0!</v>
      </c>
      <c r="E39" s="1526" t="e">
        <f>E38/(E5)</f>
        <v>#DIV/0!</v>
      </c>
      <c r="F39" s="1531"/>
      <c r="G39" s="2003" t="e">
        <f>G38/(G5)</f>
        <v>#DIV/0!</v>
      </c>
      <c r="H39" s="2003" t="e">
        <f>H38/(H5)</f>
        <v>#DIV/0!</v>
      </c>
      <c r="I39" s="2004" t="e">
        <f>I38/(I5)</f>
        <v>#DIV/0!</v>
      </c>
      <c r="J39" s="2004"/>
      <c r="K39" s="2022"/>
      <c r="L39" s="2003" t="e">
        <f>L38/(L5)</f>
        <v>#DIV/0!</v>
      </c>
      <c r="M39" s="2003" t="e">
        <f>M38/(M5)</f>
        <v>#DIV/0!</v>
      </c>
      <c r="N39" s="2004" t="e">
        <f>N38/(N5)</f>
        <v>#DIV/0!</v>
      </c>
      <c r="O39" s="2004"/>
      <c r="P39" s="2022"/>
      <c r="Q39" s="2003" t="e">
        <f>Q38/(Q5)</f>
        <v>#DIV/0!</v>
      </c>
      <c r="R39" s="2003" t="e">
        <f>R38/(R5)</f>
        <v>#DIV/0!</v>
      </c>
      <c r="S39" s="2004" t="e">
        <f>S38/(S5)</f>
        <v>#DIV/0!</v>
      </c>
      <c r="T39" s="2004"/>
      <c r="U39" s="2022"/>
      <c r="V39" s="2003" t="e">
        <f>V38/(V5)</f>
        <v>#DIV/0!</v>
      </c>
      <c r="W39" s="2003" t="e">
        <f>W38/(W5)</f>
        <v>#DIV/0!</v>
      </c>
      <c r="X39" s="2004" t="e">
        <f>X38/(X5)</f>
        <v>#DIV/0!</v>
      </c>
      <c r="Y39" s="2004"/>
      <c r="Z39" s="2022"/>
      <c r="AA39" s="2003" t="e">
        <f>AA38/(AA5)</f>
        <v>#DIV/0!</v>
      </c>
      <c r="AB39" s="2003" t="e">
        <f>AB38/(AB5)</f>
        <v>#DIV/0!</v>
      </c>
      <c r="AC39" s="2004" t="e">
        <f>AC38/(AC5)</f>
        <v>#DIV/0!</v>
      </c>
      <c r="AD39" s="2004"/>
      <c r="AE39" s="2022"/>
      <c r="AF39" s="2003" t="e">
        <f>AF38/(AF5)</f>
        <v>#DIV/0!</v>
      </c>
      <c r="AG39" s="2003" t="e">
        <f>AG38/(AG5)</f>
        <v>#DIV/0!</v>
      </c>
      <c r="AH39" s="2004" t="e">
        <f>AH38/(AH5)</f>
        <v>#DIV/0!</v>
      </c>
      <c r="AI39" s="2004"/>
      <c r="AJ39" s="2022"/>
      <c r="AK39" s="2003" t="e">
        <f>AK38/(AK5)</f>
        <v>#DIV/0!</v>
      </c>
      <c r="AL39" s="2003" t="e">
        <f>AL38/(AL5)</f>
        <v>#DIV/0!</v>
      </c>
      <c r="AM39" s="2004" t="e">
        <f>AM38/(AM5)</f>
        <v>#DIV/0!</v>
      </c>
      <c r="AN39" s="2004"/>
      <c r="AO39" s="2004"/>
    </row>
    <row r="40" spans="1:41" ht="14.4" thickBot="1">
      <c r="A40" s="1567"/>
      <c r="B40" s="2480"/>
      <c r="C40" s="2569"/>
      <c r="D40" s="2509"/>
      <c r="E40" s="2496"/>
      <c r="F40" s="2570"/>
      <c r="G40" s="2496"/>
      <c r="H40" s="2496"/>
      <c r="I40" s="2496"/>
      <c r="J40" s="2496"/>
      <c r="K40" s="2510"/>
      <c r="L40" s="2496"/>
      <c r="M40" s="2496"/>
      <c r="N40" s="2496"/>
      <c r="O40" s="2496"/>
      <c r="P40" s="2510"/>
      <c r="Q40" s="2509"/>
      <c r="R40" s="2496"/>
      <c r="S40" s="2496"/>
      <c r="T40" s="2496"/>
      <c r="U40" s="2510"/>
      <c r="V40" s="2509"/>
      <c r="W40" s="2496"/>
      <c r="X40" s="2496"/>
      <c r="Y40" s="2496"/>
      <c r="Z40" s="2510"/>
      <c r="AA40" s="2509"/>
      <c r="AB40" s="2496"/>
      <c r="AC40" s="2496"/>
      <c r="AD40" s="2496"/>
      <c r="AE40" s="2510"/>
      <c r="AF40" s="2509"/>
      <c r="AG40" s="2496"/>
      <c r="AH40" s="2496"/>
      <c r="AI40" s="2496"/>
      <c r="AJ40" s="2510"/>
      <c r="AK40" s="2496"/>
      <c r="AL40" s="2496"/>
      <c r="AM40" s="2496"/>
      <c r="AN40" s="2496"/>
      <c r="AO40" s="2496"/>
    </row>
    <row r="41" spans="1:41" ht="13.8">
      <c r="A41" s="1405"/>
      <c r="B41" s="1415" t="s">
        <v>26</v>
      </c>
      <c r="C41" s="2013">
        <f>SUM(C42:C48)</f>
        <v>0</v>
      </c>
      <c r="D41" s="2013">
        <f>SUM(D42:D48)</f>
        <v>0</v>
      </c>
      <c r="E41" s="2014">
        <f>SUM(E42:E48)</f>
        <v>0</v>
      </c>
      <c r="F41" s="2464" t="e">
        <f t="shared" ref="F41:F48" si="23">E41/$E$89</f>
        <v>#DIV/0!</v>
      </c>
      <c r="G41" s="2013">
        <f>SUM(G42:G48)</f>
        <v>0</v>
      </c>
      <c r="H41" s="2013">
        <f>SUM(H42:H48)</f>
        <v>0</v>
      </c>
      <c r="I41" s="2014">
        <f>SUM(I42:I48)</f>
        <v>0</v>
      </c>
      <c r="J41" s="2464">
        <f>I41/$I$89</f>
        <v>0</v>
      </c>
      <c r="K41" s="2023"/>
      <c r="L41" s="2013">
        <f>SUM(L42:L48)</f>
        <v>0</v>
      </c>
      <c r="M41" s="2013">
        <f>SUM(M42:M48)</f>
        <v>0</v>
      </c>
      <c r="N41" s="2014">
        <f>SUM(N42:N48)</f>
        <v>0</v>
      </c>
      <c r="O41" s="2464" t="e">
        <f t="shared" ref="O41:O48" si="24">N41/N$89</f>
        <v>#DIV/0!</v>
      </c>
      <c r="P41" s="2023"/>
      <c r="Q41" s="2013">
        <f>SUM(Q42:Q48)</f>
        <v>0</v>
      </c>
      <c r="R41" s="2013">
        <f>SUM(R42:R48)</f>
        <v>0</v>
      </c>
      <c r="S41" s="2014">
        <f>SUM(S42:S48)</f>
        <v>0</v>
      </c>
      <c r="T41" s="2464">
        <f t="shared" ref="T41:T48" si="25">S41/S$89</f>
        <v>0</v>
      </c>
      <c r="U41" s="2023"/>
      <c r="V41" s="2013">
        <f>SUM(V42:V48)</f>
        <v>0</v>
      </c>
      <c r="W41" s="2013">
        <f>SUM(W42:W48)</f>
        <v>0</v>
      </c>
      <c r="X41" s="2014">
        <f>SUM(X42:X48)</f>
        <v>0</v>
      </c>
      <c r="Y41" s="2464" t="e">
        <f t="shared" ref="Y41:Y48" si="26">X41/X$89</f>
        <v>#DIV/0!</v>
      </c>
      <c r="Z41" s="2023"/>
      <c r="AA41" s="2013">
        <f>SUM(AA42:AA48)</f>
        <v>0</v>
      </c>
      <c r="AB41" s="2013">
        <f>SUM(AB42:AB48)</f>
        <v>0</v>
      </c>
      <c r="AC41" s="2014">
        <f>SUM(AC42:AC48)</f>
        <v>0</v>
      </c>
      <c r="AD41" s="2464" t="e">
        <f t="shared" ref="AD41:AD48" si="27">AC41/AC$89</f>
        <v>#DIV/0!</v>
      </c>
      <c r="AE41" s="2023"/>
      <c r="AF41" s="2013">
        <f>SUM(AF42:AF48)</f>
        <v>0</v>
      </c>
      <c r="AG41" s="2013">
        <f>SUM(AG42:AG48)</f>
        <v>0</v>
      </c>
      <c r="AH41" s="2014">
        <f>SUM(AH42:AH48)</f>
        <v>0</v>
      </c>
      <c r="AI41" s="2464" t="e">
        <f t="shared" ref="AI41:AI48" si="28">AH41/AH$89</f>
        <v>#DIV/0!</v>
      </c>
      <c r="AJ41" s="2023"/>
      <c r="AK41" s="2013">
        <f>SUM(AK42:AK48)</f>
        <v>0</v>
      </c>
      <c r="AL41" s="2013">
        <f>SUM(AL42:AL48)</f>
        <v>0</v>
      </c>
      <c r="AM41" s="2014">
        <f>SUM(AM42:AM48)</f>
        <v>0</v>
      </c>
      <c r="AN41" s="2464">
        <f>AM41/$AM$89</f>
        <v>0</v>
      </c>
      <c r="AO41" s="2006"/>
    </row>
    <row r="42" spans="1:41" ht="13.8">
      <c r="A42" s="4833"/>
      <c r="B42" s="2481" t="s">
        <v>7</v>
      </c>
      <c r="C42" s="2558"/>
      <c r="D42" s="2502"/>
      <c r="E42" s="2571">
        <f t="shared" ref="E42:E48" si="29">C42+D42</f>
        <v>0</v>
      </c>
      <c r="F42" s="2138" t="e">
        <f t="shared" si="23"/>
        <v>#DIV/0!</v>
      </c>
      <c r="G42" s="2043"/>
      <c r="H42" s="2043"/>
      <c r="I42" s="2012">
        <f t="shared" ref="I42:I48" si="30">G42+H42*1</f>
        <v>0</v>
      </c>
      <c r="J42" s="2138">
        <f t="shared" ref="J42:J52" si="31">I42/$I$89</f>
        <v>0</v>
      </c>
      <c r="K42" s="2142"/>
      <c r="L42" s="2043"/>
      <c r="M42" s="2043"/>
      <c r="N42" s="2012">
        <f t="shared" ref="N42:N48" si="32">L42+M42*1</f>
        <v>0</v>
      </c>
      <c r="O42" s="2138" t="e">
        <f t="shared" si="24"/>
        <v>#DIV/0!</v>
      </c>
      <c r="P42" s="2142"/>
      <c r="Q42" s="2051"/>
      <c r="R42" s="2043"/>
      <c r="S42" s="2012">
        <f t="shared" ref="S42:S48" si="33">Q42+R42*1</f>
        <v>0</v>
      </c>
      <c r="T42" s="2138">
        <f t="shared" si="25"/>
        <v>0</v>
      </c>
      <c r="U42" s="2046"/>
      <c r="V42" s="2051"/>
      <c r="W42" s="2043"/>
      <c r="X42" s="2012">
        <f t="shared" ref="X42:X48" si="34">V42+W42*1</f>
        <v>0</v>
      </c>
      <c r="Y42" s="2138" t="e">
        <f t="shared" si="26"/>
        <v>#DIV/0!</v>
      </c>
      <c r="Z42" s="2142"/>
      <c r="AA42" s="2051"/>
      <c r="AB42" s="2043"/>
      <c r="AC42" s="2012">
        <f t="shared" ref="AC42:AC48" si="35">AA42+AB42*1</f>
        <v>0</v>
      </c>
      <c r="AD42" s="2138" t="e">
        <f t="shared" si="27"/>
        <v>#DIV/0!</v>
      </c>
      <c r="AE42" s="2142"/>
      <c r="AF42" s="2051"/>
      <c r="AG42" s="2043"/>
      <c r="AH42" s="2012">
        <f t="shared" ref="AH42:AH48" si="36">AF42+AG42*1</f>
        <v>0</v>
      </c>
      <c r="AI42" s="2138" t="e">
        <f t="shared" si="28"/>
        <v>#DIV/0!</v>
      </c>
      <c r="AJ42" s="2142"/>
      <c r="AK42" s="2043">
        <f t="shared" ref="AK42:AL48" si="37">G42+L42+Q42+V42+AA42+AF42</f>
        <v>0</v>
      </c>
      <c r="AL42" s="2043">
        <f t="shared" si="37"/>
        <v>0</v>
      </c>
      <c r="AM42" s="2012">
        <f t="shared" ref="AM42:AM48" si="38">AK42+AL42*1</f>
        <v>0</v>
      </c>
      <c r="AN42" s="2138">
        <f t="shared" ref="AN42:AN72" si="39">AM42/$AM$89</f>
        <v>0</v>
      </c>
      <c r="AO42" s="2140"/>
    </row>
    <row r="43" spans="1:41" ht="13.8">
      <c r="A43" s="4833"/>
      <c r="B43" s="2481" t="s">
        <v>27</v>
      </c>
      <c r="C43" s="2558"/>
      <c r="D43" s="2502"/>
      <c r="E43" s="2571">
        <f t="shared" si="29"/>
        <v>0</v>
      </c>
      <c r="F43" s="2138" t="e">
        <f t="shared" si="23"/>
        <v>#DIV/0!</v>
      </c>
      <c r="G43" s="2043"/>
      <c r="H43" s="2043"/>
      <c r="I43" s="2012">
        <f t="shared" si="30"/>
        <v>0</v>
      </c>
      <c r="J43" s="2138">
        <f t="shared" si="31"/>
        <v>0</v>
      </c>
      <c r="K43" s="2142"/>
      <c r="L43" s="2043"/>
      <c r="M43" s="2043"/>
      <c r="N43" s="2012">
        <f t="shared" si="32"/>
        <v>0</v>
      </c>
      <c r="O43" s="2138" t="e">
        <f t="shared" si="24"/>
        <v>#DIV/0!</v>
      </c>
      <c r="P43" s="2142"/>
      <c r="Q43" s="2051"/>
      <c r="R43" s="2043"/>
      <c r="S43" s="2012">
        <f t="shared" si="33"/>
        <v>0</v>
      </c>
      <c r="T43" s="2138">
        <f t="shared" si="25"/>
        <v>0</v>
      </c>
      <c r="U43" s="2046"/>
      <c r="V43" s="2051"/>
      <c r="W43" s="2043"/>
      <c r="X43" s="2012">
        <f t="shared" si="34"/>
        <v>0</v>
      </c>
      <c r="Y43" s="2138" t="e">
        <f t="shared" si="26"/>
        <v>#DIV/0!</v>
      </c>
      <c r="Z43" s="2142"/>
      <c r="AA43" s="2051"/>
      <c r="AB43" s="2043"/>
      <c r="AC43" s="2012">
        <f t="shared" si="35"/>
        <v>0</v>
      </c>
      <c r="AD43" s="2138" t="e">
        <f t="shared" si="27"/>
        <v>#DIV/0!</v>
      </c>
      <c r="AE43" s="2142"/>
      <c r="AF43" s="2051"/>
      <c r="AG43" s="2043"/>
      <c r="AH43" s="2012">
        <f t="shared" si="36"/>
        <v>0</v>
      </c>
      <c r="AI43" s="2138" t="e">
        <f t="shared" si="28"/>
        <v>#DIV/0!</v>
      </c>
      <c r="AJ43" s="2142"/>
      <c r="AK43" s="2043">
        <f t="shared" si="37"/>
        <v>0</v>
      </c>
      <c r="AL43" s="2043">
        <f t="shared" si="37"/>
        <v>0</v>
      </c>
      <c r="AM43" s="2012">
        <f t="shared" si="38"/>
        <v>0</v>
      </c>
      <c r="AN43" s="2138">
        <f t="shared" si="39"/>
        <v>0</v>
      </c>
      <c r="AO43" s="2140"/>
    </row>
    <row r="44" spans="1:41" ht="13.8">
      <c r="A44" s="4833"/>
      <c r="B44" s="2146" t="s">
        <v>28</v>
      </c>
      <c r="C44" s="2558"/>
      <c r="D44" s="2502"/>
      <c r="E44" s="2571">
        <f t="shared" si="29"/>
        <v>0</v>
      </c>
      <c r="F44" s="2138" t="e">
        <f t="shared" si="23"/>
        <v>#DIV/0!</v>
      </c>
      <c r="G44" s="2043"/>
      <c r="H44" s="2043"/>
      <c r="I44" s="2012">
        <f t="shared" si="30"/>
        <v>0</v>
      </c>
      <c r="J44" s="2138">
        <f t="shared" si="31"/>
        <v>0</v>
      </c>
      <c r="K44" s="2142"/>
      <c r="L44" s="2043"/>
      <c r="M44" s="2043"/>
      <c r="N44" s="2012">
        <f t="shared" si="32"/>
        <v>0</v>
      </c>
      <c r="O44" s="2138" t="e">
        <f t="shared" si="24"/>
        <v>#DIV/0!</v>
      </c>
      <c r="P44" s="2142"/>
      <c r="Q44" s="2051"/>
      <c r="R44" s="2043"/>
      <c r="S44" s="2012">
        <f t="shared" si="33"/>
        <v>0</v>
      </c>
      <c r="T44" s="2138">
        <f t="shared" si="25"/>
        <v>0</v>
      </c>
      <c r="U44" s="2046"/>
      <c r="V44" s="2051"/>
      <c r="W44" s="2043"/>
      <c r="X44" s="2012">
        <f t="shared" si="34"/>
        <v>0</v>
      </c>
      <c r="Y44" s="2138" t="e">
        <f t="shared" si="26"/>
        <v>#DIV/0!</v>
      </c>
      <c r="Z44" s="2142"/>
      <c r="AA44" s="2051"/>
      <c r="AB44" s="2043"/>
      <c r="AC44" s="2012">
        <f t="shared" si="35"/>
        <v>0</v>
      </c>
      <c r="AD44" s="2138" t="e">
        <f t="shared" si="27"/>
        <v>#DIV/0!</v>
      </c>
      <c r="AE44" s="2142"/>
      <c r="AF44" s="2051"/>
      <c r="AG44" s="2043"/>
      <c r="AH44" s="2012">
        <f t="shared" si="36"/>
        <v>0</v>
      </c>
      <c r="AI44" s="2138" t="e">
        <f t="shared" si="28"/>
        <v>#DIV/0!</v>
      </c>
      <c r="AJ44" s="2142"/>
      <c r="AK44" s="2043">
        <f t="shared" si="37"/>
        <v>0</v>
      </c>
      <c r="AL44" s="2043">
        <f t="shared" si="37"/>
        <v>0</v>
      </c>
      <c r="AM44" s="2012">
        <f t="shared" si="38"/>
        <v>0</v>
      </c>
      <c r="AN44" s="2138">
        <f t="shared" si="39"/>
        <v>0</v>
      </c>
      <c r="AO44" s="2140"/>
    </row>
    <row r="45" spans="1:41" ht="13.8">
      <c r="A45" s="4833"/>
      <c r="B45" s="2481" t="s">
        <v>8</v>
      </c>
      <c r="C45" s="2558"/>
      <c r="D45" s="2502"/>
      <c r="E45" s="2571">
        <f t="shared" si="29"/>
        <v>0</v>
      </c>
      <c r="F45" s="2138" t="e">
        <f t="shared" si="23"/>
        <v>#DIV/0!</v>
      </c>
      <c r="G45" s="2043"/>
      <c r="H45" s="2043"/>
      <c r="I45" s="2012">
        <f t="shared" si="30"/>
        <v>0</v>
      </c>
      <c r="J45" s="2138">
        <f t="shared" si="31"/>
        <v>0</v>
      </c>
      <c r="K45" s="2142"/>
      <c r="L45" s="2043"/>
      <c r="M45" s="2043"/>
      <c r="N45" s="2012">
        <f t="shared" si="32"/>
        <v>0</v>
      </c>
      <c r="O45" s="2138" t="e">
        <f t="shared" si="24"/>
        <v>#DIV/0!</v>
      </c>
      <c r="P45" s="2142"/>
      <c r="Q45" s="2051"/>
      <c r="R45" s="2043"/>
      <c r="S45" s="2012">
        <f t="shared" si="33"/>
        <v>0</v>
      </c>
      <c r="T45" s="2138">
        <f t="shared" si="25"/>
        <v>0</v>
      </c>
      <c r="U45" s="2046"/>
      <c r="V45" s="2051"/>
      <c r="W45" s="2043"/>
      <c r="X45" s="2012">
        <f t="shared" si="34"/>
        <v>0</v>
      </c>
      <c r="Y45" s="2138" t="e">
        <f t="shared" si="26"/>
        <v>#DIV/0!</v>
      </c>
      <c r="Z45" s="2142"/>
      <c r="AA45" s="2051"/>
      <c r="AB45" s="2043"/>
      <c r="AC45" s="2012">
        <f t="shared" si="35"/>
        <v>0</v>
      </c>
      <c r="AD45" s="2138" t="e">
        <f t="shared" si="27"/>
        <v>#DIV/0!</v>
      </c>
      <c r="AE45" s="2142"/>
      <c r="AF45" s="2051"/>
      <c r="AG45" s="2043"/>
      <c r="AH45" s="2012">
        <f t="shared" si="36"/>
        <v>0</v>
      </c>
      <c r="AI45" s="2138" t="e">
        <f t="shared" si="28"/>
        <v>#DIV/0!</v>
      </c>
      <c r="AJ45" s="2142"/>
      <c r="AK45" s="2043">
        <f t="shared" si="37"/>
        <v>0</v>
      </c>
      <c r="AL45" s="2043">
        <f t="shared" si="37"/>
        <v>0</v>
      </c>
      <c r="AM45" s="2012">
        <f t="shared" si="38"/>
        <v>0</v>
      </c>
      <c r="AN45" s="2138">
        <f t="shared" si="39"/>
        <v>0</v>
      </c>
      <c r="AO45" s="2140"/>
    </row>
    <row r="46" spans="1:41" ht="13.8">
      <c r="A46" s="4833"/>
      <c r="B46" s="2481" t="s">
        <v>29</v>
      </c>
      <c r="C46" s="2558"/>
      <c r="D46" s="2502"/>
      <c r="E46" s="2571">
        <f t="shared" si="29"/>
        <v>0</v>
      </c>
      <c r="F46" s="2138" t="e">
        <f t="shared" si="23"/>
        <v>#DIV/0!</v>
      </c>
      <c r="G46" s="2043"/>
      <c r="H46" s="2043"/>
      <c r="I46" s="2012">
        <f t="shared" si="30"/>
        <v>0</v>
      </c>
      <c r="J46" s="2138">
        <f t="shared" si="31"/>
        <v>0</v>
      </c>
      <c r="K46" s="2142"/>
      <c r="L46" s="2043"/>
      <c r="M46" s="2043"/>
      <c r="N46" s="2012">
        <f t="shared" si="32"/>
        <v>0</v>
      </c>
      <c r="O46" s="2138" t="e">
        <f t="shared" si="24"/>
        <v>#DIV/0!</v>
      </c>
      <c r="P46" s="2142"/>
      <c r="Q46" s="2051"/>
      <c r="R46" s="2043"/>
      <c r="S46" s="2012">
        <f t="shared" si="33"/>
        <v>0</v>
      </c>
      <c r="T46" s="2138">
        <f t="shared" si="25"/>
        <v>0</v>
      </c>
      <c r="U46" s="2046"/>
      <c r="V46" s="2051"/>
      <c r="W46" s="2043"/>
      <c r="X46" s="2012">
        <f t="shared" si="34"/>
        <v>0</v>
      </c>
      <c r="Y46" s="2138" t="e">
        <f t="shared" si="26"/>
        <v>#DIV/0!</v>
      </c>
      <c r="Z46" s="2142"/>
      <c r="AA46" s="2051"/>
      <c r="AB46" s="2043"/>
      <c r="AC46" s="2012">
        <f t="shared" si="35"/>
        <v>0</v>
      </c>
      <c r="AD46" s="2138" t="e">
        <f t="shared" si="27"/>
        <v>#DIV/0!</v>
      </c>
      <c r="AE46" s="2142"/>
      <c r="AF46" s="2051"/>
      <c r="AG46" s="2043"/>
      <c r="AH46" s="2012">
        <f t="shared" si="36"/>
        <v>0</v>
      </c>
      <c r="AI46" s="2138" t="e">
        <f t="shared" si="28"/>
        <v>#DIV/0!</v>
      </c>
      <c r="AJ46" s="2142"/>
      <c r="AK46" s="2043">
        <f t="shared" si="37"/>
        <v>0</v>
      </c>
      <c r="AL46" s="2043">
        <f t="shared" si="37"/>
        <v>0</v>
      </c>
      <c r="AM46" s="2012">
        <f t="shared" si="38"/>
        <v>0</v>
      </c>
      <c r="AN46" s="2138">
        <f t="shared" si="39"/>
        <v>0</v>
      </c>
      <c r="AO46" s="2140"/>
    </row>
    <row r="47" spans="1:41" ht="13.8">
      <c r="A47" s="4833"/>
      <c r="B47" s="2481" t="s">
        <v>30</v>
      </c>
      <c r="C47" s="2558"/>
      <c r="D47" s="2502"/>
      <c r="E47" s="2571">
        <f t="shared" si="29"/>
        <v>0</v>
      </c>
      <c r="F47" s="2138" t="e">
        <f t="shared" si="23"/>
        <v>#DIV/0!</v>
      </c>
      <c r="G47" s="2043"/>
      <c r="H47" s="2043"/>
      <c r="I47" s="2012">
        <f t="shared" si="30"/>
        <v>0</v>
      </c>
      <c r="J47" s="2138">
        <f t="shared" si="31"/>
        <v>0</v>
      </c>
      <c r="K47" s="2142"/>
      <c r="L47" s="2043"/>
      <c r="M47" s="2043"/>
      <c r="N47" s="2012">
        <f t="shared" si="32"/>
        <v>0</v>
      </c>
      <c r="O47" s="2138" t="e">
        <f t="shared" si="24"/>
        <v>#DIV/0!</v>
      </c>
      <c r="P47" s="2142"/>
      <c r="Q47" s="2051"/>
      <c r="R47" s="2043"/>
      <c r="S47" s="2012">
        <f t="shared" si="33"/>
        <v>0</v>
      </c>
      <c r="T47" s="2138">
        <f t="shared" si="25"/>
        <v>0</v>
      </c>
      <c r="U47" s="2046"/>
      <c r="V47" s="2051"/>
      <c r="W47" s="2043"/>
      <c r="X47" s="2012">
        <f t="shared" si="34"/>
        <v>0</v>
      </c>
      <c r="Y47" s="2138" t="e">
        <f t="shared" si="26"/>
        <v>#DIV/0!</v>
      </c>
      <c r="Z47" s="2142"/>
      <c r="AA47" s="2051"/>
      <c r="AB47" s="2043"/>
      <c r="AC47" s="2012">
        <f t="shared" si="35"/>
        <v>0</v>
      </c>
      <c r="AD47" s="2138" t="e">
        <f t="shared" si="27"/>
        <v>#DIV/0!</v>
      </c>
      <c r="AE47" s="2142"/>
      <c r="AF47" s="2051"/>
      <c r="AG47" s="2043"/>
      <c r="AH47" s="2012">
        <f t="shared" si="36"/>
        <v>0</v>
      </c>
      <c r="AI47" s="2138" t="e">
        <f t="shared" si="28"/>
        <v>#DIV/0!</v>
      </c>
      <c r="AJ47" s="2142"/>
      <c r="AK47" s="2043">
        <f t="shared" si="37"/>
        <v>0</v>
      </c>
      <c r="AL47" s="2043">
        <f t="shared" si="37"/>
        <v>0</v>
      </c>
      <c r="AM47" s="2012">
        <f t="shared" si="38"/>
        <v>0</v>
      </c>
      <c r="AN47" s="2138">
        <f t="shared" si="39"/>
        <v>0</v>
      </c>
      <c r="AO47" s="2140"/>
    </row>
    <row r="48" spans="1:41" ht="13.8">
      <c r="A48" s="4833"/>
      <c r="B48" s="2481" t="s">
        <v>15</v>
      </c>
      <c r="C48" s="2558"/>
      <c r="D48" s="2502"/>
      <c r="E48" s="2571">
        <f t="shared" si="29"/>
        <v>0</v>
      </c>
      <c r="F48" s="2138" t="e">
        <f t="shared" si="23"/>
        <v>#DIV/0!</v>
      </c>
      <c r="G48" s="2043"/>
      <c r="H48" s="2043"/>
      <c r="I48" s="2012">
        <f t="shared" si="30"/>
        <v>0</v>
      </c>
      <c r="J48" s="2138">
        <f t="shared" si="31"/>
        <v>0</v>
      </c>
      <c r="K48" s="2142"/>
      <c r="L48" s="2043"/>
      <c r="M48" s="2043"/>
      <c r="N48" s="2012">
        <f t="shared" si="32"/>
        <v>0</v>
      </c>
      <c r="O48" s="2138" t="e">
        <f t="shared" si="24"/>
        <v>#DIV/0!</v>
      </c>
      <c r="P48" s="2142"/>
      <c r="Q48" s="2051"/>
      <c r="R48" s="2043"/>
      <c r="S48" s="2012">
        <f t="shared" si="33"/>
        <v>0</v>
      </c>
      <c r="T48" s="2138">
        <f t="shared" si="25"/>
        <v>0</v>
      </c>
      <c r="U48" s="2046"/>
      <c r="V48" s="2051"/>
      <c r="W48" s="2043"/>
      <c r="X48" s="2012">
        <f t="shared" si="34"/>
        <v>0</v>
      </c>
      <c r="Y48" s="2138" t="e">
        <f t="shared" si="26"/>
        <v>#DIV/0!</v>
      </c>
      <c r="Z48" s="2142"/>
      <c r="AA48" s="2051"/>
      <c r="AB48" s="2043"/>
      <c r="AC48" s="2012">
        <f t="shared" si="35"/>
        <v>0</v>
      </c>
      <c r="AD48" s="2138" t="e">
        <f t="shared" si="27"/>
        <v>#DIV/0!</v>
      </c>
      <c r="AE48" s="2142"/>
      <c r="AF48" s="2051"/>
      <c r="AG48" s="2043"/>
      <c r="AH48" s="2012">
        <f t="shared" si="36"/>
        <v>0</v>
      </c>
      <c r="AI48" s="2138" t="e">
        <f t="shared" si="28"/>
        <v>#DIV/0!</v>
      </c>
      <c r="AJ48" s="2142"/>
      <c r="AK48" s="2043">
        <f t="shared" si="37"/>
        <v>0</v>
      </c>
      <c r="AL48" s="2043">
        <f t="shared" si="37"/>
        <v>0</v>
      </c>
      <c r="AM48" s="2012">
        <f t="shared" si="38"/>
        <v>0</v>
      </c>
      <c r="AN48" s="2138">
        <f t="shared" si="39"/>
        <v>0</v>
      </c>
      <c r="AO48" s="2140"/>
    </row>
    <row r="49" spans="1:41" s="1396" customFormat="1" ht="14.4" thickBot="1">
      <c r="A49" s="1405"/>
      <c r="B49" s="2482"/>
      <c r="C49" s="2479"/>
      <c r="D49" s="2483"/>
      <c r="E49" s="2128"/>
      <c r="F49" s="2129"/>
      <c r="G49" s="2043"/>
      <c r="H49" s="2043"/>
      <c r="I49" s="2507"/>
      <c r="J49" s="2138">
        <f t="shared" si="31"/>
        <v>0</v>
      </c>
      <c r="K49" s="2508"/>
      <c r="L49" s="2043"/>
      <c r="M49" s="2043"/>
      <c r="N49" s="2507"/>
      <c r="O49" s="2138"/>
      <c r="P49" s="2508"/>
      <c r="Q49" s="2051"/>
      <c r="R49" s="2043"/>
      <c r="S49" s="2507"/>
      <c r="T49" s="2138"/>
      <c r="U49" s="2511"/>
      <c r="V49" s="2051"/>
      <c r="W49" s="2043"/>
      <c r="X49" s="2507"/>
      <c r="Y49" s="2138"/>
      <c r="Z49" s="2508"/>
      <c r="AA49" s="2051"/>
      <c r="AB49" s="2043"/>
      <c r="AC49" s="2507"/>
      <c r="AD49" s="2138"/>
      <c r="AE49" s="2508"/>
      <c r="AF49" s="2051"/>
      <c r="AG49" s="2043"/>
      <c r="AH49" s="2507"/>
      <c r="AI49" s="2138"/>
      <c r="AJ49" s="2508"/>
      <c r="AK49" s="2043"/>
      <c r="AL49" s="2043"/>
      <c r="AM49" s="2507"/>
      <c r="AN49" s="2138">
        <f t="shared" si="39"/>
        <v>0</v>
      </c>
      <c r="AO49" s="2507"/>
    </row>
    <row r="50" spans="1:41" s="1396" customFormat="1" ht="13.8">
      <c r="A50" s="1565"/>
      <c r="B50" s="1410" t="s">
        <v>59</v>
      </c>
      <c r="C50" s="2015"/>
      <c r="D50" s="2015"/>
      <c r="E50" s="2015">
        <f>SUM(E51:E52)</f>
        <v>0</v>
      </c>
      <c r="F50" s="1534" t="e">
        <f>E50/$E$89</f>
        <v>#DIV/0!</v>
      </c>
      <c r="G50" s="2015">
        <f>G52+G51</f>
        <v>0</v>
      </c>
      <c r="H50" s="2015">
        <f>H52+H51</f>
        <v>0</v>
      </c>
      <c r="I50" s="2015">
        <f>SUM(I51:I52)</f>
        <v>0</v>
      </c>
      <c r="J50" s="2006"/>
      <c r="K50" s="2023"/>
      <c r="L50" s="2015">
        <f>L52+L51</f>
        <v>0</v>
      </c>
      <c r="M50" s="2015">
        <f>M52+M51</f>
        <v>0</v>
      </c>
      <c r="N50" s="2015">
        <f>SUM(N51:N52)</f>
        <v>0</v>
      </c>
      <c r="O50" s="2006" t="e">
        <f t="shared" ref="O50:O74" si="40">N50/N$89</f>
        <v>#DIV/0!</v>
      </c>
      <c r="P50" s="2023"/>
      <c r="Q50" s="2015">
        <f>Q52+Q51</f>
        <v>0</v>
      </c>
      <c r="R50" s="2015">
        <f>R52+R51</f>
        <v>0</v>
      </c>
      <c r="S50" s="2015">
        <f>SUM(S51:S52)</f>
        <v>0</v>
      </c>
      <c r="T50" s="2006">
        <f t="shared" ref="T50:T52" si="41">S50/S$89</f>
        <v>0</v>
      </c>
      <c r="U50" s="1984"/>
      <c r="V50" s="2015">
        <f>V52+V51</f>
        <v>0</v>
      </c>
      <c r="W50" s="2015">
        <f>W52+W51</f>
        <v>0</v>
      </c>
      <c r="X50" s="2015">
        <f>SUM(X51:X52)</f>
        <v>0</v>
      </c>
      <c r="Y50" s="2006" t="e">
        <f t="shared" ref="Y50:Y74" si="42">X50/X$89</f>
        <v>#DIV/0!</v>
      </c>
      <c r="Z50" s="2023"/>
      <c r="AA50" s="2015">
        <f>AA52+AA51</f>
        <v>0</v>
      </c>
      <c r="AB50" s="2015">
        <f>AB52+AB51</f>
        <v>0</v>
      </c>
      <c r="AC50" s="2015">
        <f>SUM(AC51:AC52)</f>
        <v>0</v>
      </c>
      <c r="AD50" s="2006" t="e">
        <f t="shared" ref="AD50:AD74" si="43">AC50/AC$89</f>
        <v>#DIV/0!</v>
      </c>
      <c r="AE50" s="2023"/>
      <c r="AF50" s="2015">
        <f>AF52+AF51</f>
        <v>0</v>
      </c>
      <c r="AG50" s="2015">
        <f>AG52+AG51</f>
        <v>0</v>
      </c>
      <c r="AH50" s="2015">
        <f>SUM(AH51:AH52)</f>
        <v>0</v>
      </c>
      <c r="AI50" s="2006" t="e">
        <f t="shared" ref="AI50:AI74" si="44">AH50/AH$89</f>
        <v>#DIV/0!</v>
      </c>
      <c r="AJ50" s="2023"/>
      <c r="AK50" s="2015">
        <f>AK52+AK51</f>
        <v>0</v>
      </c>
      <c r="AL50" s="2015">
        <f>AL52+AL51</f>
        <v>0</v>
      </c>
      <c r="AM50" s="2015">
        <f>SUM(AM51:AM52)</f>
        <v>0</v>
      </c>
      <c r="AN50" s="2006"/>
      <c r="AO50" s="2006"/>
    </row>
    <row r="51" spans="1:41" s="1564" customFormat="1" ht="13.8">
      <c r="A51" s="1568"/>
      <c r="B51" s="2481" t="s">
        <v>60</v>
      </c>
      <c r="C51" s="2558"/>
      <c r="D51" s="2502"/>
      <c r="E51" s="2502">
        <f>C51+D51</f>
        <v>0</v>
      </c>
      <c r="F51" s="2484" t="e">
        <f>E51/$E$89</f>
        <v>#DIV/0!</v>
      </c>
      <c r="G51" s="2043"/>
      <c r="H51" s="2043"/>
      <c r="I51" s="2012">
        <f>G51+H51*1</f>
        <v>0</v>
      </c>
      <c r="J51" s="2138">
        <f t="shared" si="31"/>
        <v>0</v>
      </c>
      <c r="K51" s="2148"/>
      <c r="L51" s="2043"/>
      <c r="M51" s="2043"/>
      <c r="N51" s="2012">
        <f>L51+M51*1</f>
        <v>0</v>
      </c>
      <c r="O51" s="2138" t="e">
        <f t="shared" si="40"/>
        <v>#DIV/0!</v>
      </c>
      <c r="P51" s="2148"/>
      <c r="Q51" s="2051"/>
      <c r="R51" s="2043"/>
      <c r="S51" s="2012">
        <f>Q51+R51*1</f>
        <v>0</v>
      </c>
      <c r="T51" s="2138">
        <f t="shared" si="41"/>
        <v>0</v>
      </c>
      <c r="U51" s="2512"/>
      <c r="V51" s="2051"/>
      <c r="W51" s="2043"/>
      <c r="X51" s="2012">
        <f>V51+W51*1</f>
        <v>0</v>
      </c>
      <c r="Y51" s="2138" t="e">
        <f t="shared" si="42"/>
        <v>#DIV/0!</v>
      </c>
      <c r="Z51" s="2148"/>
      <c r="AA51" s="2051"/>
      <c r="AB51" s="2043"/>
      <c r="AC51" s="2012">
        <f>AA51+AB51*1</f>
        <v>0</v>
      </c>
      <c r="AD51" s="2138" t="e">
        <f t="shared" si="43"/>
        <v>#DIV/0!</v>
      </c>
      <c r="AE51" s="2148"/>
      <c r="AF51" s="2051"/>
      <c r="AG51" s="2043"/>
      <c r="AH51" s="2012">
        <f>AF51+AG51*1</f>
        <v>0</v>
      </c>
      <c r="AI51" s="2138" t="e">
        <f t="shared" si="44"/>
        <v>#DIV/0!</v>
      </c>
      <c r="AJ51" s="2148"/>
      <c r="AK51" s="2043">
        <f t="shared" ref="AK51:AL52" si="45">G51+L51+Q51+V51+AA51+AF51</f>
        <v>0</v>
      </c>
      <c r="AL51" s="2043">
        <f t="shared" si="45"/>
        <v>0</v>
      </c>
      <c r="AM51" s="2012">
        <f>AK51+AL51*1</f>
        <v>0</v>
      </c>
      <c r="AN51" s="2138">
        <f t="shared" si="39"/>
        <v>0</v>
      </c>
      <c r="AO51" s="2147"/>
    </row>
    <row r="52" spans="1:41" s="1569" customFormat="1" ht="13.8">
      <c r="A52" s="1568"/>
      <c r="B52" s="2481" t="s">
        <v>61</v>
      </c>
      <c r="C52" s="2558"/>
      <c r="D52" s="2502"/>
      <c r="E52" s="2502">
        <f>C52+D52</f>
        <v>0</v>
      </c>
      <c r="F52" s="2484" t="e">
        <f>E52/$E$89</f>
        <v>#DIV/0!</v>
      </c>
      <c r="G52" s="2043"/>
      <c r="H52" s="2043"/>
      <c r="I52" s="2012">
        <f>G52+H52*1</f>
        <v>0</v>
      </c>
      <c r="J52" s="2138">
        <f t="shared" si="31"/>
        <v>0</v>
      </c>
      <c r="K52" s="2148"/>
      <c r="L52" s="2043"/>
      <c r="M52" s="2043"/>
      <c r="N52" s="2012">
        <f>L52+M52*1</f>
        <v>0</v>
      </c>
      <c r="O52" s="2138" t="e">
        <f t="shared" si="40"/>
        <v>#DIV/0!</v>
      </c>
      <c r="P52" s="2148"/>
      <c r="Q52" s="2051"/>
      <c r="R52" s="2043"/>
      <c r="S52" s="2012">
        <f>Q52+R52*1</f>
        <v>0</v>
      </c>
      <c r="T52" s="2138">
        <f t="shared" si="41"/>
        <v>0</v>
      </c>
      <c r="U52" s="2046"/>
      <c r="V52" s="2051"/>
      <c r="W52" s="2043"/>
      <c r="X52" s="2012">
        <f>V52+W52*1</f>
        <v>0</v>
      </c>
      <c r="Y52" s="2138" t="e">
        <f t="shared" si="42"/>
        <v>#DIV/0!</v>
      </c>
      <c r="Z52" s="2148"/>
      <c r="AA52" s="2051"/>
      <c r="AB52" s="2043"/>
      <c r="AC52" s="2012">
        <f>AA52+AB52*1</f>
        <v>0</v>
      </c>
      <c r="AD52" s="2138" t="e">
        <f t="shared" si="43"/>
        <v>#DIV/0!</v>
      </c>
      <c r="AE52" s="2148"/>
      <c r="AF52" s="2051"/>
      <c r="AG52" s="2043"/>
      <c r="AH52" s="2012">
        <f>AF52+AG52*1</f>
        <v>0</v>
      </c>
      <c r="AI52" s="2138" t="e">
        <f t="shared" si="44"/>
        <v>#DIV/0!</v>
      </c>
      <c r="AJ52" s="2148"/>
      <c r="AK52" s="2043">
        <f t="shared" si="45"/>
        <v>0</v>
      </c>
      <c r="AL52" s="2043">
        <f t="shared" si="45"/>
        <v>0</v>
      </c>
      <c r="AM52" s="2012">
        <f>AK52+AL52*1</f>
        <v>0</v>
      </c>
      <c r="AN52" s="2138">
        <f t="shared" si="39"/>
        <v>0</v>
      </c>
      <c r="AO52" s="2147"/>
    </row>
    <row r="53" spans="1:41" ht="14.4" thickBot="1">
      <c r="A53" s="1413"/>
      <c r="B53" s="2572"/>
      <c r="C53" s="2573"/>
      <c r="D53" s="2574"/>
      <c r="E53" s="2575"/>
      <c r="F53" s="2576"/>
      <c r="G53" s="2043"/>
      <c r="H53" s="2043"/>
      <c r="I53" s="2513"/>
      <c r="J53" s="2513"/>
      <c r="K53" s="2513"/>
      <c r="L53" s="2043"/>
      <c r="M53" s="2043"/>
      <c r="N53" s="2513"/>
      <c r="O53" s="2513"/>
      <c r="P53" s="2513"/>
      <c r="Q53" s="2051"/>
      <c r="R53" s="2043"/>
      <c r="S53" s="2513"/>
      <c r="T53" s="2513"/>
      <c r="U53" s="2514"/>
      <c r="V53" s="2051"/>
      <c r="W53" s="2043"/>
      <c r="X53" s="2513"/>
      <c r="Y53" s="2513"/>
      <c r="Z53" s="2513"/>
      <c r="AA53" s="2051"/>
      <c r="AB53" s="2043"/>
      <c r="AC53" s="2513"/>
      <c r="AD53" s="2513"/>
      <c r="AE53" s="2513"/>
      <c r="AF53" s="2051"/>
      <c r="AG53" s="2043"/>
      <c r="AH53" s="2513"/>
      <c r="AI53" s="2513"/>
      <c r="AJ53" s="2513"/>
      <c r="AK53" s="2043"/>
      <c r="AL53" s="2043"/>
      <c r="AM53" s="2513"/>
      <c r="AN53" s="2513"/>
      <c r="AO53" s="2513"/>
    </row>
    <row r="54" spans="1:41" ht="13.8">
      <c r="A54" s="1570"/>
      <c r="B54" s="1410" t="s">
        <v>1</v>
      </c>
      <c r="C54" s="2015">
        <f>SUM(C55:C71)</f>
        <v>0</v>
      </c>
      <c r="D54" s="2015">
        <f>SUM(D55:D71)</f>
        <v>0</v>
      </c>
      <c r="E54" s="1975">
        <f>SUM(E55:E71)</f>
        <v>0</v>
      </c>
      <c r="F54" s="1534" t="e">
        <f>E54/$E$89</f>
        <v>#DIV/0!</v>
      </c>
      <c r="G54" s="2015">
        <f>SUM(G55:G72)</f>
        <v>0</v>
      </c>
      <c r="H54" s="2015">
        <f>SUM(H55:H72)</f>
        <v>185</v>
      </c>
      <c r="I54" s="2015">
        <f>SUM(I55:I72)</f>
        <v>185</v>
      </c>
      <c r="J54" s="2464">
        <f>I54/$I$89</f>
        <v>0.88</v>
      </c>
      <c r="K54" s="2023"/>
      <c r="L54" s="2015">
        <f>SUM(L55:L72)</f>
        <v>0</v>
      </c>
      <c r="M54" s="2015">
        <f>SUM(M55:M72)</f>
        <v>0</v>
      </c>
      <c r="N54" s="2015">
        <f>SUM(N55:N72)</f>
        <v>0</v>
      </c>
      <c r="O54" s="2464" t="e">
        <f t="shared" si="40"/>
        <v>#DIV/0!</v>
      </c>
      <c r="P54" s="2023"/>
      <c r="Q54" s="2015">
        <f>SUM(Q55:Q72)</f>
        <v>0</v>
      </c>
      <c r="R54" s="2015">
        <f>SUM(R55:R72)</f>
        <v>0</v>
      </c>
      <c r="S54" s="2015">
        <f>SUM(S55:S72)</f>
        <v>0</v>
      </c>
      <c r="T54" s="2464">
        <f t="shared" ref="T54:T71" si="46">S54/S$89</f>
        <v>0</v>
      </c>
      <c r="U54" s="1984"/>
      <c r="V54" s="2015">
        <f>SUM(V55:V72)</f>
        <v>0</v>
      </c>
      <c r="W54" s="2015">
        <f>SUM(W55:W72)</f>
        <v>0</v>
      </c>
      <c r="X54" s="2015">
        <f>SUM(X55:X72)</f>
        <v>0</v>
      </c>
      <c r="Y54" s="2464" t="e">
        <f t="shared" si="42"/>
        <v>#DIV/0!</v>
      </c>
      <c r="Z54" s="2023"/>
      <c r="AA54" s="2015">
        <f>SUM(AA55:AA72)</f>
        <v>0</v>
      </c>
      <c r="AB54" s="2015">
        <f>SUM(AB55:AB72)</f>
        <v>0</v>
      </c>
      <c r="AC54" s="2015">
        <f>SUM(AC55:AC72)</f>
        <v>0</v>
      </c>
      <c r="AD54" s="2464" t="e">
        <f t="shared" si="43"/>
        <v>#DIV/0!</v>
      </c>
      <c r="AE54" s="2023"/>
      <c r="AF54" s="2015">
        <f>SUM(AF55:AF72)</f>
        <v>0</v>
      </c>
      <c r="AG54" s="2015">
        <f>SUM(AG55:AG72)</f>
        <v>0</v>
      </c>
      <c r="AH54" s="2015">
        <f>SUM(AH55:AH72)</f>
        <v>0</v>
      </c>
      <c r="AI54" s="2464" t="e">
        <f t="shared" si="44"/>
        <v>#DIV/0!</v>
      </c>
      <c r="AJ54" s="2023"/>
      <c r="AK54" s="2015">
        <f>SUM(AK55:AK72)</f>
        <v>0</v>
      </c>
      <c r="AL54" s="2015">
        <f>SUM(AL55:AL72)</f>
        <v>185</v>
      </c>
      <c r="AM54" s="2015">
        <f>SUM(AM55:AM72)</f>
        <v>185</v>
      </c>
      <c r="AN54" s="2464">
        <f t="shared" si="39"/>
        <v>1.0595509274324764E-2</v>
      </c>
      <c r="AO54" s="2006"/>
    </row>
    <row r="55" spans="1:41" ht="13.8">
      <c r="A55" s="1571"/>
      <c r="B55" s="2146" t="s">
        <v>77</v>
      </c>
      <c r="C55" s="2558"/>
      <c r="D55" s="2560"/>
      <c r="E55" s="2571">
        <f t="shared" ref="E55:E71" si="47">C55+D55</f>
        <v>0</v>
      </c>
      <c r="F55" s="2138" t="e">
        <f>E55/$E$89</f>
        <v>#DIV/0!</v>
      </c>
      <c r="G55" s="2045"/>
      <c r="H55" s="2045"/>
      <c r="I55" s="2012">
        <f t="shared" ref="I55:I71" si="48">G55+H55*1</f>
        <v>0</v>
      </c>
      <c r="J55" s="2138">
        <f t="shared" ref="J55:J72" si="49">I55/$I$89</f>
        <v>0</v>
      </c>
      <c r="K55" s="2142"/>
      <c r="L55" s="2045"/>
      <c r="M55" s="2045"/>
      <c r="N55" s="2012">
        <f t="shared" ref="N55:N71" si="50">L55+M55*1</f>
        <v>0</v>
      </c>
      <c r="O55" s="2138" t="e">
        <f t="shared" si="40"/>
        <v>#DIV/0!</v>
      </c>
      <c r="P55" s="2142"/>
      <c r="Q55" s="2011"/>
      <c r="R55" s="2045"/>
      <c r="S55" s="2012">
        <f t="shared" ref="S55:S62" si="51">Q55+R55*1</f>
        <v>0</v>
      </c>
      <c r="T55" s="2138">
        <f t="shared" si="46"/>
        <v>0</v>
      </c>
      <c r="U55" s="2046"/>
      <c r="V55" s="2011"/>
      <c r="W55" s="2045"/>
      <c r="X55" s="2012">
        <f t="shared" ref="X55:X71" si="52">V55+W55*1</f>
        <v>0</v>
      </c>
      <c r="Y55" s="2138" t="e">
        <f t="shared" si="42"/>
        <v>#DIV/0!</v>
      </c>
      <c r="Z55" s="2142"/>
      <c r="AA55" s="2011"/>
      <c r="AB55" s="2045"/>
      <c r="AC55" s="2012">
        <f t="shared" ref="AC55:AC71" si="53">AA55+AB55*1</f>
        <v>0</v>
      </c>
      <c r="AD55" s="2138" t="e">
        <f t="shared" si="43"/>
        <v>#DIV/0!</v>
      </c>
      <c r="AE55" s="2142"/>
      <c r="AF55" s="2011"/>
      <c r="AG55" s="2045"/>
      <c r="AH55" s="2012">
        <f t="shared" ref="AH55:AH71" si="54">AF55+AG55*1</f>
        <v>0</v>
      </c>
      <c r="AI55" s="2138" t="e">
        <f t="shared" si="44"/>
        <v>#DIV/0!</v>
      </c>
      <c r="AJ55" s="2142"/>
      <c r="AK55" s="2043">
        <f t="shared" ref="AK55:AL71" si="55">G55+L55+Q55+V55+AA55+AF55</f>
        <v>0</v>
      </c>
      <c r="AL55" s="2043">
        <f t="shared" si="55"/>
        <v>0</v>
      </c>
      <c r="AM55" s="2012">
        <f t="shared" ref="AM55:AM71" si="56">AK55+AL55*1</f>
        <v>0</v>
      </c>
      <c r="AN55" s="2138">
        <f t="shared" si="39"/>
        <v>0</v>
      </c>
      <c r="AO55" s="2140"/>
    </row>
    <row r="56" spans="1:41" ht="13.8">
      <c r="A56" s="1571"/>
      <c r="B56" s="2146" t="s">
        <v>76</v>
      </c>
      <c r="C56" s="2558"/>
      <c r="D56" s="2560"/>
      <c r="E56" s="2571">
        <f t="shared" si="47"/>
        <v>0</v>
      </c>
      <c r="F56" s="2138" t="e">
        <f t="shared" ref="F56:F72" si="57">E56/$E$89</f>
        <v>#DIV/0!</v>
      </c>
      <c r="G56" s="2045"/>
      <c r="H56" s="2045"/>
      <c r="I56" s="2012">
        <f t="shared" si="48"/>
        <v>0</v>
      </c>
      <c r="J56" s="2138">
        <f t="shared" si="49"/>
        <v>0</v>
      </c>
      <c r="K56" s="2142"/>
      <c r="L56" s="2045"/>
      <c r="M56" s="2045"/>
      <c r="N56" s="2012">
        <f t="shared" si="50"/>
        <v>0</v>
      </c>
      <c r="O56" s="2138" t="e">
        <f t="shared" si="40"/>
        <v>#DIV/0!</v>
      </c>
      <c r="P56" s="2142"/>
      <c r="Q56" s="2011"/>
      <c r="R56" s="2045"/>
      <c r="S56" s="2012">
        <f t="shared" si="51"/>
        <v>0</v>
      </c>
      <c r="T56" s="2138">
        <f t="shared" si="46"/>
        <v>0</v>
      </c>
      <c r="U56" s="2046"/>
      <c r="V56" s="2011"/>
      <c r="W56" s="2045"/>
      <c r="X56" s="2012">
        <f t="shared" si="52"/>
        <v>0</v>
      </c>
      <c r="Y56" s="2138" t="e">
        <f t="shared" si="42"/>
        <v>#DIV/0!</v>
      </c>
      <c r="Z56" s="2142"/>
      <c r="AA56" s="2011"/>
      <c r="AB56" s="2045"/>
      <c r="AC56" s="2012">
        <f t="shared" si="53"/>
        <v>0</v>
      </c>
      <c r="AD56" s="2138" t="e">
        <f t="shared" si="43"/>
        <v>#DIV/0!</v>
      </c>
      <c r="AE56" s="2142"/>
      <c r="AF56" s="2011"/>
      <c r="AG56" s="2045"/>
      <c r="AH56" s="2012">
        <f t="shared" si="54"/>
        <v>0</v>
      </c>
      <c r="AI56" s="2138" t="e">
        <f t="shared" si="44"/>
        <v>#DIV/0!</v>
      </c>
      <c r="AJ56" s="2142"/>
      <c r="AK56" s="2043">
        <f t="shared" si="55"/>
        <v>0</v>
      </c>
      <c r="AL56" s="2043">
        <f t="shared" si="55"/>
        <v>0</v>
      </c>
      <c r="AM56" s="2012">
        <f t="shared" si="56"/>
        <v>0</v>
      </c>
      <c r="AN56" s="2138">
        <f t="shared" si="39"/>
        <v>0</v>
      </c>
      <c r="AO56" s="2140"/>
    </row>
    <row r="57" spans="1:41" ht="13.8">
      <c r="A57" s="1571"/>
      <c r="B57" s="2486" t="s">
        <v>68</v>
      </c>
      <c r="C57" s="2558"/>
      <c r="D57" s="2560"/>
      <c r="E57" s="2571">
        <f t="shared" si="47"/>
        <v>0</v>
      </c>
      <c r="F57" s="2138" t="e">
        <f t="shared" si="57"/>
        <v>#DIV/0!</v>
      </c>
      <c r="G57" s="2045"/>
      <c r="H57" s="2045"/>
      <c r="I57" s="2012">
        <f t="shared" si="48"/>
        <v>0</v>
      </c>
      <c r="J57" s="2138">
        <f t="shared" si="49"/>
        <v>0</v>
      </c>
      <c r="K57" s="2142"/>
      <c r="L57" s="2045"/>
      <c r="M57" s="2045"/>
      <c r="N57" s="2012">
        <f t="shared" si="50"/>
        <v>0</v>
      </c>
      <c r="O57" s="2138" t="e">
        <f t="shared" si="40"/>
        <v>#DIV/0!</v>
      </c>
      <c r="P57" s="2142"/>
      <c r="Q57" s="2011"/>
      <c r="R57" s="2045"/>
      <c r="S57" s="2012">
        <f t="shared" si="51"/>
        <v>0</v>
      </c>
      <c r="T57" s="2138">
        <f t="shared" si="46"/>
        <v>0</v>
      </c>
      <c r="U57" s="2046"/>
      <c r="V57" s="2011"/>
      <c r="W57" s="2045"/>
      <c r="X57" s="2012">
        <f t="shared" si="52"/>
        <v>0</v>
      </c>
      <c r="Y57" s="2138" t="e">
        <f t="shared" si="42"/>
        <v>#DIV/0!</v>
      </c>
      <c r="Z57" s="2142"/>
      <c r="AA57" s="2011"/>
      <c r="AB57" s="2045"/>
      <c r="AC57" s="2012">
        <f t="shared" si="53"/>
        <v>0</v>
      </c>
      <c r="AD57" s="2138" t="e">
        <f t="shared" si="43"/>
        <v>#DIV/0!</v>
      </c>
      <c r="AE57" s="2142"/>
      <c r="AF57" s="2011"/>
      <c r="AG57" s="2045"/>
      <c r="AH57" s="2012">
        <f t="shared" si="54"/>
        <v>0</v>
      </c>
      <c r="AI57" s="2138" t="e">
        <f t="shared" si="44"/>
        <v>#DIV/0!</v>
      </c>
      <c r="AJ57" s="2142"/>
      <c r="AK57" s="2043">
        <f t="shared" si="55"/>
        <v>0</v>
      </c>
      <c r="AL57" s="2043">
        <f t="shared" si="55"/>
        <v>0</v>
      </c>
      <c r="AM57" s="2012">
        <f t="shared" si="56"/>
        <v>0</v>
      </c>
      <c r="AN57" s="2138">
        <f t="shared" si="39"/>
        <v>0</v>
      </c>
      <c r="AO57" s="2140"/>
    </row>
    <row r="58" spans="1:41" ht="13.8">
      <c r="A58" s="1571"/>
      <c r="B58" s="2486" t="s">
        <v>67</v>
      </c>
      <c r="C58" s="2558"/>
      <c r="D58" s="2560"/>
      <c r="E58" s="2571">
        <f t="shared" si="47"/>
        <v>0</v>
      </c>
      <c r="F58" s="2138" t="e">
        <f t="shared" si="57"/>
        <v>#DIV/0!</v>
      </c>
      <c r="G58" s="2045"/>
      <c r="H58" s="2045"/>
      <c r="I58" s="2012">
        <f t="shared" si="48"/>
        <v>0</v>
      </c>
      <c r="J58" s="2138">
        <f t="shared" si="49"/>
        <v>0</v>
      </c>
      <c r="K58" s="2143"/>
      <c r="L58" s="2045"/>
      <c r="M58" s="2045"/>
      <c r="N58" s="2012">
        <f t="shared" si="50"/>
        <v>0</v>
      </c>
      <c r="O58" s="2138" t="e">
        <f t="shared" si="40"/>
        <v>#DIV/0!</v>
      </c>
      <c r="P58" s="2143"/>
      <c r="Q58" s="2011"/>
      <c r="R58" s="2045"/>
      <c r="S58" s="2012">
        <f t="shared" si="51"/>
        <v>0</v>
      </c>
      <c r="T58" s="2138">
        <f t="shared" si="46"/>
        <v>0</v>
      </c>
      <c r="U58" s="2046"/>
      <c r="V58" s="2011"/>
      <c r="W58" s="2045"/>
      <c r="X58" s="2012">
        <f t="shared" si="52"/>
        <v>0</v>
      </c>
      <c r="Y58" s="2138" t="e">
        <f t="shared" si="42"/>
        <v>#DIV/0!</v>
      </c>
      <c r="Z58" s="2143"/>
      <c r="AA58" s="2011"/>
      <c r="AB58" s="2045"/>
      <c r="AC58" s="2012">
        <f t="shared" si="53"/>
        <v>0</v>
      </c>
      <c r="AD58" s="2138" t="e">
        <f t="shared" si="43"/>
        <v>#DIV/0!</v>
      </c>
      <c r="AE58" s="2143"/>
      <c r="AF58" s="2011"/>
      <c r="AG58" s="2045"/>
      <c r="AH58" s="2012">
        <f t="shared" si="54"/>
        <v>0</v>
      </c>
      <c r="AI58" s="2138" t="e">
        <f t="shared" si="44"/>
        <v>#DIV/0!</v>
      </c>
      <c r="AJ58" s="2143"/>
      <c r="AK58" s="2043">
        <f t="shared" si="55"/>
        <v>0</v>
      </c>
      <c r="AL58" s="2043">
        <f t="shared" si="55"/>
        <v>0</v>
      </c>
      <c r="AM58" s="2012">
        <f t="shared" si="56"/>
        <v>0</v>
      </c>
      <c r="AN58" s="2138">
        <f t="shared" si="39"/>
        <v>0</v>
      </c>
      <c r="AO58" s="2140"/>
    </row>
    <row r="59" spans="1:41" ht="13.8">
      <c r="A59" s="1571"/>
      <c r="B59" s="2486" t="s">
        <v>66</v>
      </c>
      <c r="C59" s="2558"/>
      <c r="D59" s="2560"/>
      <c r="E59" s="2571">
        <f t="shared" si="47"/>
        <v>0</v>
      </c>
      <c r="F59" s="2138" t="e">
        <f t="shared" si="57"/>
        <v>#DIV/0!</v>
      </c>
      <c r="G59" s="2045"/>
      <c r="H59" s="2045"/>
      <c r="I59" s="2012">
        <f t="shared" si="48"/>
        <v>0</v>
      </c>
      <c r="J59" s="2138">
        <f t="shared" si="49"/>
        <v>0</v>
      </c>
      <c r="K59" s="2142"/>
      <c r="L59" s="2045"/>
      <c r="M59" s="2045"/>
      <c r="N59" s="2012">
        <f t="shared" si="50"/>
        <v>0</v>
      </c>
      <c r="O59" s="2138" t="e">
        <f t="shared" si="40"/>
        <v>#DIV/0!</v>
      </c>
      <c r="P59" s="2142"/>
      <c r="Q59" s="2011"/>
      <c r="R59" s="2045"/>
      <c r="S59" s="2012">
        <f t="shared" si="51"/>
        <v>0</v>
      </c>
      <c r="T59" s="2138">
        <f t="shared" si="46"/>
        <v>0</v>
      </c>
      <c r="U59" s="2046"/>
      <c r="V59" s="2011"/>
      <c r="W59" s="2045"/>
      <c r="X59" s="2012">
        <f t="shared" si="52"/>
        <v>0</v>
      </c>
      <c r="Y59" s="2138" t="e">
        <f t="shared" si="42"/>
        <v>#DIV/0!</v>
      </c>
      <c r="Z59" s="2142"/>
      <c r="AA59" s="2011"/>
      <c r="AB59" s="2045"/>
      <c r="AC59" s="2012">
        <f t="shared" si="53"/>
        <v>0</v>
      </c>
      <c r="AD59" s="2138" t="e">
        <f t="shared" si="43"/>
        <v>#DIV/0!</v>
      </c>
      <c r="AE59" s="2142"/>
      <c r="AF59" s="2011"/>
      <c r="AG59" s="2045"/>
      <c r="AH59" s="2012">
        <f t="shared" si="54"/>
        <v>0</v>
      </c>
      <c r="AI59" s="2138" t="e">
        <f t="shared" si="44"/>
        <v>#DIV/0!</v>
      </c>
      <c r="AJ59" s="2142"/>
      <c r="AK59" s="2043">
        <f t="shared" si="55"/>
        <v>0</v>
      </c>
      <c r="AL59" s="2043">
        <f t="shared" si="55"/>
        <v>0</v>
      </c>
      <c r="AM59" s="2012">
        <f t="shared" si="56"/>
        <v>0</v>
      </c>
      <c r="AN59" s="2138">
        <f t="shared" si="39"/>
        <v>0</v>
      </c>
      <c r="AO59" s="2140"/>
    </row>
    <row r="60" spans="1:41" ht="13.8">
      <c r="A60" s="1571"/>
      <c r="B60" s="2486" t="s">
        <v>65</v>
      </c>
      <c r="C60" s="2558"/>
      <c r="D60" s="2560"/>
      <c r="E60" s="2571">
        <f t="shared" si="47"/>
        <v>0</v>
      </c>
      <c r="F60" s="2138" t="e">
        <f t="shared" si="57"/>
        <v>#DIV/0!</v>
      </c>
      <c r="G60" s="2045"/>
      <c r="H60" s="2045"/>
      <c r="I60" s="2012">
        <f t="shared" si="48"/>
        <v>0</v>
      </c>
      <c r="J60" s="2138">
        <f t="shared" si="49"/>
        <v>0</v>
      </c>
      <c r="K60" s="2142"/>
      <c r="L60" s="2045"/>
      <c r="M60" s="2045"/>
      <c r="N60" s="2012">
        <f t="shared" si="50"/>
        <v>0</v>
      </c>
      <c r="O60" s="2138" t="e">
        <f t="shared" si="40"/>
        <v>#DIV/0!</v>
      </c>
      <c r="P60" s="2142"/>
      <c r="Q60" s="2011"/>
      <c r="R60" s="2045"/>
      <c r="S60" s="2012">
        <f t="shared" si="51"/>
        <v>0</v>
      </c>
      <c r="T60" s="2138">
        <f t="shared" si="46"/>
        <v>0</v>
      </c>
      <c r="U60" s="2046"/>
      <c r="V60" s="2011"/>
      <c r="W60" s="2045"/>
      <c r="X60" s="2012">
        <f t="shared" si="52"/>
        <v>0</v>
      </c>
      <c r="Y60" s="2138" t="e">
        <f t="shared" si="42"/>
        <v>#DIV/0!</v>
      </c>
      <c r="Z60" s="2142"/>
      <c r="AA60" s="2011"/>
      <c r="AB60" s="2045"/>
      <c r="AC60" s="2012">
        <f t="shared" si="53"/>
        <v>0</v>
      </c>
      <c r="AD60" s="2138" t="e">
        <f t="shared" si="43"/>
        <v>#DIV/0!</v>
      </c>
      <c r="AE60" s="2142"/>
      <c r="AF60" s="2011"/>
      <c r="AG60" s="2045"/>
      <c r="AH60" s="2012">
        <f t="shared" si="54"/>
        <v>0</v>
      </c>
      <c r="AI60" s="2138" t="e">
        <f t="shared" si="44"/>
        <v>#DIV/0!</v>
      </c>
      <c r="AJ60" s="2142"/>
      <c r="AK60" s="2043">
        <f t="shared" si="55"/>
        <v>0</v>
      </c>
      <c r="AL60" s="2043">
        <f t="shared" si="55"/>
        <v>0</v>
      </c>
      <c r="AM60" s="2012">
        <f t="shared" si="56"/>
        <v>0</v>
      </c>
      <c r="AN60" s="2138">
        <f t="shared" si="39"/>
        <v>0</v>
      </c>
      <c r="AO60" s="2140"/>
    </row>
    <row r="61" spans="1:41" ht="13.8">
      <c r="A61" s="1571"/>
      <c r="B61" s="2486" t="s">
        <v>32</v>
      </c>
      <c r="C61" s="2558"/>
      <c r="D61" s="2560"/>
      <c r="E61" s="2571">
        <f t="shared" si="47"/>
        <v>0</v>
      </c>
      <c r="F61" s="2138" t="e">
        <f t="shared" si="57"/>
        <v>#DIV/0!</v>
      </c>
      <c r="G61" s="2045"/>
      <c r="H61" s="2045"/>
      <c r="I61" s="2012">
        <f t="shared" si="48"/>
        <v>0</v>
      </c>
      <c r="J61" s="2138">
        <f t="shared" si="49"/>
        <v>0</v>
      </c>
      <c r="K61" s="2142"/>
      <c r="L61" s="2045"/>
      <c r="M61" s="2045"/>
      <c r="N61" s="2012">
        <f t="shared" si="50"/>
        <v>0</v>
      </c>
      <c r="O61" s="2138" t="e">
        <f t="shared" si="40"/>
        <v>#DIV/0!</v>
      </c>
      <c r="P61" s="2142"/>
      <c r="Q61" s="2011"/>
      <c r="R61" s="2045"/>
      <c r="S61" s="2012">
        <f t="shared" si="51"/>
        <v>0</v>
      </c>
      <c r="T61" s="2138">
        <f t="shared" si="46"/>
        <v>0</v>
      </c>
      <c r="U61" s="2046"/>
      <c r="V61" s="2011"/>
      <c r="W61" s="2045"/>
      <c r="X61" s="2012">
        <f t="shared" si="52"/>
        <v>0</v>
      </c>
      <c r="Y61" s="2138" t="e">
        <f t="shared" si="42"/>
        <v>#DIV/0!</v>
      </c>
      <c r="Z61" s="2142"/>
      <c r="AA61" s="2011"/>
      <c r="AB61" s="2045"/>
      <c r="AC61" s="2012">
        <f t="shared" si="53"/>
        <v>0</v>
      </c>
      <c r="AD61" s="2138" t="e">
        <f t="shared" si="43"/>
        <v>#DIV/0!</v>
      </c>
      <c r="AE61" s="2142"/>
      <c r="AF61" s="2011"/>
      <c r="AG61" s="2045"/>
      <c r="AH61" s="2012">
        <f t="shared" si="54"/>
        <v>0</v>
      </c>
      <c r="AI61" s="2138" t="e">
        <f t="shared" si="44"/>
        <v>#DIV/0!</v>
      </c>
      <c r="AJ61" s="2142"/>
      <c r="AK61" s="2043">
        <f t="shared" si="55"/>
        <v>0</v>
      </c>
      <c r="AL61" s="2043">
        <f t="shared" si="55"/>
        <v>0</v>
      </c>
      <c r="AM61" s="2012">
        <f t="shared" si="56"/>
        <v>0</v>
      </c>
      <c r="AN61" s="2138">
        <f t="shared" si="39"/>
        <v>0</v>
      </c>
      <c r="AO61" s="2140"/>
    </row>
    <row r="62" spans="1:41" ht="13.8">
      <c r="A62" s="1571"/>
      <c r="B62" s="2486" t="s">
        <v>33</v>
      </c>
      <c r="C62" s="2577"/>
      <c r="D62" s="2560"/>
      <c r="E62" s="2571">
        <f t="shared" si="47"/>
        <v>0</v>
      </c>
      <c r="F62" s="2138" t="e">
        <f t="shared" si="57"/>
        <v>#DIV/0!</v>
      </c>
      <c r="G62" s="2045"/>
      <c r="H62" s="2045"/>
      <c r="I62" s="2012">
        <f t="shared" si="48"/>
        <v>0</v>
      </c>
      <c r="J62" s="2138">
        <f t="shared" si="49"/>
        <v>0</v>
      </c>
      <c r="K62" s="2142"/>
      <c r="L62" s="2045"/>
      <c r="M62" s="2045"/>
      <c r="N62" s="2012">
        <f t="shared" si="50"/>
        <v>0</v>
      </c>
      <c r="O62" s="2138" t="e">
        <f t="shared" si="40"/>
        <v>#DIV/0!</v>
      </c>
      <c r="P62" s="2142"/>
      <c r="Q62" s="2011"/>
      <c r="R62" s="2045"/>
      <c r="S62" s="2012">
        <f t="shared" si="51"/>
        <v>0</v>
      </c>
      <c r="T62" s="2138">
        <f t="shared" si="46"/>
        <v>0</v>
      </c>
      <c r="U62" s="2046"/>
      <c r="V62" s="2011"/>
      <c r="W62" s="2045"/>
      <c r="X62" s="2012">
        <f t="shared" si="52"/>
        <v>0</v>
      </c>
      <c r="Y62" s="2138" t="e">
        <f t="shared" si="42"/>
        <v>#DIV/0!</v>
      </c>
      <c r="Z62" s="2142"/>
      <c r="AA62" s="2011"/>
      <c r="AB62" s="2045"/>
      <c r="AC62" s="2012">
        <f t="shared" si="53"/>
        <v>0</v>
      </c>
      <c r="AD62" s="2138" t="e">
        <f t="shared" si="43"/>
        <v>#DIV/0!</v>
      </c>
      <c r="AE62" s="2142"/>
      <c r="AF62" s="2011"/>
      <c r="AG62" s="2045"/>
      <c r="AH62" s="2012">
        <f t="shared" si="54"/>
        <v>0</v>
      </c>
      <c r="AI62" s="2138" t="e">
        <f t="shared" si="44"/>
        <v>#DIV/0!</v>
      </c>
      <c r="AJ62" s="2142"/>
      <c r="AK62" s="2043">
        <f t="shared" si="55"/>
        <v>0</v>
      </c>
      <c r="AL62" s="2043">
        <f t="shared" si="55"/>
        <v>0</v>
      </c>
      <c r="AM62" s="2012">
        <f t="shared" si="56"/>
        <v>0</v>
      </c>
      <c r="AN62" s="2138">
        <f t="shared" si="39"/>
        <v>0</v>
      </c>
      <c r="AO62" s="2140"/>
    </row>
    <row r="63" spans="1:41" ht="13.8">
      <c r="A63" s="1571"/>
      <c r="B63" s="2486" t="s">
        <v>35</v>
      </c>
      <c r="C63" s="2577"/>
      <c r="D63" s="2560"/>
      <c r="E63" s="2571">
        <f t="shared" si="47"/>
        <v>0</v>
      </c>
      <c r="F63" s="2138" t="e">
        <f t="shared" si="57"/>
        <v>#DIV/0!</v>
      </c>
      <c r="G63" s="2043"/>
      <c r="H63" s="2045"/>
      <c r="I63" s="2012">
        <f t="shared" si="48"/>
        <v>0</v>
      </c>
      <c r="J63" s="2138">
        <f t="shared" si="49"/>
        <v>0</v>
      </c>
      <c r="K63" s="2143"/>
      <c r="L63" s="2043"/>
      <c r="M63" s="2045"/>
      <c r="N63" s="2012">
        <f t="shared" si="50"/>
        <v>0</v>
      </c>
      <c r="O63" s="2138" t="e">
        <f t="shared" si="40"/>
        <v>#DIV/0!</v>
      </c>
      <c r="P63" s="2143"/>
      <c r="Q63" s="2011"/>
      <c r="R63" s="1951"/>
      <c r="S63" s="2012">
        <f>Q63+R63*1</f>
        <v>0</v>
      </c>
      <c r="T63" s="2138">
        <f t="shared" si="46"/>
        <v>0</v>
      </c>
      <c r="U63" s="2046"/>
      <c r="V63" s="2051"/>
      <c r="W63" s="2045"/>
      <c r="X63" s="2012">
        <f t="shared" si="52"/>
        <v>0</v>
      </c>
      <c r="Y63" s="2138" t="e">
        <f t="shared" si="42"/>
        <v>#DIV/0!</v>
      </c>
      <c r="Z63" s="2143"/>
      <c r="AA63" s="2051"/>
      <c r="AB63" s="2045"/>
      <c r="AC63" s="2012">
        <f t="shared" si="53"/>
        <v>0</v>
      </c>
      <c r="AD63" s="2138" t="e">
        <f t="shared" si="43"/>
        <v>#DIV/0!</v>
      </c>
      <c r="AE63" s="2143"/>
      <c r="AF63" s="2051"/>
      <c r="AG63" s="2045"/>
      <c r="AH63" s="2012">
        <f t="shared" si="54"/>
        <v>0</v>
      </c>
      <c r="AI63" s="2138" t="e">
        <f t="shared" si="44"/>
        <v>#DIV/0!</v>
      </c>
      <c r="AJ63" s="2143"/>
      <c r="AK63" s="2043">
        <f t="shared" si="55"/>
        <v>0</v>
      </c>
      <c r="AL63" s="2043">
        <f t="shared" si="55"/>
        <v>0</v>
      </c>
      <c r="AM63" s="2012">
        <f t="shared" si="56"/>
        <v>0</v>
      </c>
      <c r="AN63" s="2138">
        <f t="shared" si="39"/>
        <v>0</v>
      </c>
      <c r="AO63" s="2140"/>
    </row>
    <row r="64" spans="1:41" ht="13.8">
      <c r="A64" s="1571"/>
      <c r="B64" s="2486" t="s">
        <v>63</v>
      </c>
      <c r="C64" s="2577"/>
      <c r="D64" s="2560"/>
      <c r="E64" s="2571">
        <f t="shared" si="47"/>
        <v>0</v>
      </c>
      <c r="F64" s="2138" t="e">
        <f t="shared" si="57"/>
        <v>#DIV/0!</v>
      </c>
      <c r="G64" s="2045"/>
      <c r="H64" s="2045"/>
      <c r="I64" s="2012">
        <f t="shared" si="48"/>
        <v>0</v>
      </c>
      <c r="J64" s="2138">
        <f t="shared" si="49"/>
        <v>0</v>
      </c>
      <c r="K64" s="2142"/>
      <c r="L64" s="2045"/>
      <c r="M64" s="2045"/>
      <c r="N64" s="2012">
        <f t="shared" si="50"/>
        <v>0</v>
      </c>
      <c r="O64" s="2138" t="e">
        <f t="shared" si="40"/>
        <v>#DIV/0!</v>
      </c>
      <c r="P64" s="2142"/>
      <c r="Q64" s="2011"/>
      <c r="R64" s="2045"/>
      <c r="S64" s="2012">
        <f>Q64+R64*1</f>
        <v>0</v>
      </c>
      <c r="T64" s="2138">
        <f t="shared" si="46"/>
        <v>0</v>
      </c>
      <c r="U64" s="2046"/>
      <c r="V64" s="2011"/>
      <c r="W64" s="2045"/>
      <c r="X64" s="2012">
        <f t="shared" si="52"/>
        <v>0</v>
      </c>
      <c r="Y64" s="2138" t="e">
        <f t="shared" si="42"/>
        <v>#DIV/0!</v>
      </c>
      <c r="Z64" s="2142"/>
      <c r="AA64" s="2011"/>
      <c r="AB64" s="2045"/>
      <c r="AC64" s="2012">
        <f t="shared" si="53"/>
        <v>0</v>
      </c>
      <c r="AD64" s="2138" t="e">
        <f t="shared" si="43"/>
        <v>#DIV/0!</v>
      </c>
      <c r="AE64" s="2142"/>
      <c r="AF64" s="2011"/>
      <c r="AG64" s="2045"/>
      <c r="AH64" s="2012">
        <f t="shared" si="54"/>
        <v>0</v>
      </c>
      <c r="AI64" s="2138" t="e">
        <f t="shared" si="44"/>
        <v>#DIV/0!</v>
      </c>
      <c r="AJ64" s="2142"/>
      <c r="AK64" s="2043">
        <f t="shared" si="55"/>
        <v>0</v>
      </c>
      <c r="AL64" s="2043">
        <f t="shared" si="55"/>
        <v>0</v>
      </c>
      <c r="AM64" s="2012">
        <f t="shared" si="56"/>
        <v>0</v>
      </c>
      <c r="AN64" s="2138">
        <f t="shared" si="39"/>
        <v>0</v>
      </c>
      <c r="AO64" s="2140"/>
    </row>
    <row r="65" spans="1:41" ht="27.6">
      <c r="A65" s="1571"/>
      <c r="B65" s="2486" t="s">
        <v>36</v>
      </c>
      <c r="C65" s="2577"/>
      <c r="D65" s="2560"/>
      <c r="E65" s="2571">
        <f t="shared" si="47"/>
        <v>0</v>
      </c>
      <c r="F65" s="2138" t="e">
        <f t="shared" si="57"/>
        <v>#DIV/0!</v>
      </c>
      <c r="G65" s="2043"/>
      <c r="H65" s="2043"/>
      <c r="I65" s="2012">
        <f t="shared" si="48"/>
        <v>0</v>
      </c>
      <c r="J65" s="2138">
        <f t="shared" si="49"/>
        <v>0</v>
      </c>
      <c r="K65" s="2142"/>
      <c r="L65" s="2043"/>
      <c r="M65" s="2043"/>
      <c r="N65" s="2012">
        <f t="shared" si="50"/>
        <v>0</v>
      </c>
      <c r="O65" s="2138" t="e">
        <f t="shared" si="40"/>
        <v>#DIV/0!</v>
      </c>
      <c r="P65" s="2142"/>
      <c r="Q65" s="2045"/>
      <c r="R65" s="2045"/>
      <c r="S65" s="2012">
        <f t="shared" ref="S65:S71" si="58">Q65+R65*1</f>
        <v>0</v>
      </c>
      <c r="T65" s="2138">
        <f t="shared" si="46"/>
        <v>0</v>
      </c>
      <c r="U65" s="2046"/>
      <c r="V65" s="2051"/>
      <c r="W65" s="2043"/>
      <c r="X65" s="2012">
        <f t="shared" si="52"/>
        <v>0</v>
      </c>
      <c r="Y65" s="2138" t="e">
        <f t="shared" si="42"/>
        <v>#DIV/0!</v>
      </c>
      <c r="Z65" s="2142"/>
      <c r="AA65" s="2051"/>
      <c r="AB65" s="2043"/>
      <c r="AC65" s="2012">
        <f t="shared" si="53"/>
        <v>0</v>
      </c>
      <c r="AD65" s="2138" t="e">
        <f t="shared" si="43"/>
        <v>#DIV/0!</v>
      </c>
      <c r="AE65" s="2142"/>
      <c r="AF65" s="2051"/>
      <c r="AG65" s="2043"/>
      <c r="AH65" s="2012">
        <f t="shared" si="54"/>
        <v>0</v>
      </c>
      <c r="AI65" s="2138" t="e">
        <f t="shared" si="44"/>
        <v>#DIV/0!</v>
      </c>
      <c r="AJ65" s="2142"/>
      <c r="AK65" s="2043">
        <f t="shared" si="55"/>
        <v>0</v>
      </c>
      <c r="AL65" s="2043">
        <f t="shared" si="55"/>
        <v>0</v>
      </c>
      <c r="AM65" s="2012">
        <f t="shared" si="56"/>
        <v>0</v>
      </c>
      <c r="AN65" s="2138">
        <f t="shared" si="39"/>
        <v>0</v>
      </c>
      <c r="AO65" s="2140"/>
    </row>
    <row r="66" spans="1:41" s="1396" customFormat="1" ht="82.8">
      <c r="A66" s="1571"/>
      <c r="B66" s="2486" t="s">
        <v>37</v>
      </c>
      <c r="C66" s="2577"/>
      <c r="D66" s="2560"/>
      <c r="E66" s="2571">
        <f t="shared" si="47"/>
        <v>0</v>
      </c>
      <c r="F66" s="2138" t="e">
        <f t="shared" si="57"/>
        <v>#DIV/0!</v>
      </c>
      <c r="G66" s="2043"/>
      <c r="H66" s="2043">
        <v>185</v>
      </c>
      <c r="I66" s="2012">
        <f t="shared" si="48"/>
        <v>185</v>
      </c>
      <c r="J66" s="2138">
        <f t="shared" si="49"/>
        <v>0.88</v>
      </c>
      <c r="K66" s="2578" t="s">
        <v>1363</v>
      </c>
      <c r="L66" s="2043"/>
      <c r="M66" s="2043"/>
      <c r="N66" s="2012">
        <f t="shared" si="50"/>
        <v>0</v>
      </c>
      <c r="O66" s="2138" t="e">
        <f t="shared" si="40"/>
        <v>#DIV/0!</v>
      </c>
      <c r="P66" s="2142"/>
      <c r="Q66" s="2011"/>
      <c r="R66" s="2043"/>
      <c r="S66" s="2012">
        <f t="shared" si="58"/>
        <v>0</v>
      </c>
      <c r="T66" s="2138">
        <f t="shared" si="46"/>
        <v>0</v>
      </c>
      <c r="U66" s="2046"/>
      <c r="V66" s="2051"/>
      <c r="W66" s="2043"/>
      <c r="X66" s="2012">
        <f t="shared" si="52"/>
        <v>0</v>
      </c>
      <c r="Y66" s="2138" t="e">
        <f t="shared" si="42"/>
        <v>#DIV/0!</v>
      </c>
      <c r="Z66" s="2142"/>
      <c r="AA66" s="2051"/>
      <c r="AB66" s="2043"/>
      <c r="AC66" s="2012">
        <f t="shared" si="53"/>
        <v>0</v>
      </c>
      <c r="AD66" s="2138" t="e">
        <f t="shared" si="43"/>
        <v>#DIV/0!</v>
      </c>
      <c r="AE66" s="2142"/>
      <c r="AF66" s="2051"/>
      <c r="AG66" s="2043"/>
      <c r="AH66" s="2012">
        <f t="shared" si="54"/>
        <v>0</v>
      </c>
      <c r="AI66" s="2138" t="e">
        <f t="shared" si="44"/>
        <v>#DIV/0!</v>
      </c>
      <c r="AJ66" s="2142"/>
      <c r="AK66" s="2043">
        <f>G66+L66+Q66+V66+AA66+AF66</f>
        <v>0</v>
      </c>
      <c r="AL66" s="2043">
        <f>H66+M66+R66+W66+AB66+AG66</f>
        <v>185</v>
      </c>
      <c r="AM66" s="2012">
        <f t="shared" si="56"/>
        <v>185</v>
      </c>
      <c r="AN66" s="2138">
        <f t="shared" si="39"/>
        <v>1.0595509274324764E-2</v>
      </c>
      <c r="AO66" s="2140"/>
    </row>
    <row r="67" spans="1:41" s="1396" customFormat="1" ht="13.8">
      <c r="A67" s="1571"/>
      <c r="B67" s="2486" t="s">
        <v>3</v>
      </c>
      <c r="C67" s="2577"/>
      <c r="D67" s="2560"/>
      <c r="E67" s="2571">
        <f t="shared" si="47"/>
        <v>0</v>
      </c>
      <c r="F67" s="2138" t="e">
        <f t="shared" si="57"/>
        <v>#DIV/0!</v>
      </c>
      <c r="G67" s="2043"/>
      <c r="H67" s="2043"/>
      <c r="I67" s="2012">
        <f t="shared" si="48"/>
        <v>0</v>
      </c>
      <c r="J67" s="2138">
        <f t="shared" si="49"/>
        <v>0</v>
      </c>
      <c r="K67" s="2142"/>
      <c r="L67" s="2043"/>
      <c r="M67" s="2043"/>
      <c r="N67" s="2012">
        <f t="shared" si="50"/>
        <v>0</v>
      </c>
      <c r="O67" s="2138" t="e">
        <f t="shared" si="40"/>
        <v>#DIV/0!</v>
      </c>
      <c r="P67" s="2142"/>
      <c r="Q67" s="2011"/>
      <c r="R67" s="2011"/>
      <c r="S67" s="2012">
        <f t="shared" si="58"/>
        <v>0</v>
      </c>
      <c r="T67" s="2138">
        <f t="shared" si="46"/>
        <v>0</v>
      </c>
      <c r="U67" s="2046"/>
      <c r="V67" s="2051"/>
      <c r="W67" s="2043"/>
      <c r="X67" s="2012">
        <f t="shared" si="52"/>
        <v>0</v>
      </c>
      <c r="Y67" s="2138" t="e">
        <f t="shared" si="42"/>
        <v>#DIV/0!</v>
      </c>
      <c r="Z67" s="2142"/>
      <c r="AA67" s="2051"/>
      <c r="AB67" s="2043"/>
      <c r="AC67" s="2012">
        <f t="shared" si="53"/>
        <v>0</v>
      </c>
      <c r="AD67" s="2138" t="e">
        <f t="shared" si="43"/>
        <v>#DIV/0!</v>
      </c>
      <c r="AE67" s="2142"/>
      <c r="AF67" s="2051"/>
      <c r="AG67" s="2043"/>
      <c r="AH67" s="2012">
        <f t="shared" si="54"/>
        <v>0</v>
      </c>
      <c r="AI67" s="2138" t="e">
        <f t="shared" si="44"/>
        <v>#DIV/0!</v>
      </c>
      <c r="AJ67" s="2142"/>
      <c r="AK67" s="2043">
        <f t="shared" si="55"/>
        <v>0</v>
      </c>
      <c r="AL67" s="2043">
        <f t="shared" si="55"/>
        <v>0</v>
      </c>
      <c r="AM67" s="2012">
        <f t="shared" si="56"/>
        <v>0</v>
      </c>
      <c r="AN67" s="2138">
        <f t="shared" si="39"/>
        <v>0</v>
      </c>
      <c r="AO67" s="2140"/>
    </row>
    <row r="68" spans="1:41" s="1396" customFormat="1" ht="13.8">
      <c r="A68" s="1571"/>
      <c r="B68" s="2486" t="s">
        <v>5</v>
      </c>
      <c r="C68" s="2577"/>
      <c r="D68" s="2560"/>
      <c r="E68" s="2571">
        <f t="shared" si="47"/>
        <v>0</v>
      </c>
      <c r="F68" s="2138" t="e">
        <f t="shared" si="57"/>
        <v>#DIV/0!</v>
      </c>
      <c r="G68" s="2043"/>
      <c r="H68" s="2043"/>
      <c r="I68" s="2012">
        <f t="shared" si="48"/>
        <v>0</v>
      </c>
      <c r="J68" s="2138">
        <f t="shared" si="49"/>
        <v>0</v>
      </c>
      <c r="K68" s="2142"/>
      <c r="L68" s="2043"/>
      <c r="M68" s="2043"/>
      <c r="N68" s="2012">
        <f t="shared" si="50"/>
        <v>0</v>
      </c>
      <c r="O68" s="2138" t="e">
        <f t="shared" si="40"/>
        <v>#DIV/0!</v>
      </c>
      <c r="P68" s="2142"/>
      <c r="Q68" s="2011"/>
      <c r="R68" s="2043"/>
      <c r="S68" s="2012">
        <f t="shared" si="58"/>
        <v>0</v>
      </c>
      <c r="T68" s="2138">
        <f t="shared" si="46"/>
        <v>0</v>
      </c>
      <c r="U68" s="2046"/>
      <c r="V68" s="2051"/>
      <c r="W68" s="2043"/>
      <c r="X68" s="2012">
        <f t="shared" si="52"/>
        <v>0</v>
      </c>
      <c r="Y68" s="2138" t="e">
        <f t="shared" si="42"/>
        <v>#DIV/0!</v>
      </c>
      <c r="Z68" s="2142"/>
      <c r="AA68" s="2051"/>
      <c r="AB68" s="2043"/>
      <c r="AC68" s="2012">
        <f t="shared" si="53"/>
        <v>0</v>
      </c>
      <c r="AD68" s="2138" t="e">
        <f t="shared" si="43"/>
        <v>#DIV/0!</v>
      </c>
      <c r="AE68" s="2142"/>
      <c r="AF68" s="2051"/>
      <c r="AG68" s="2043"/>
      <c r="AH68" s="2012">
        <f t="shared" si="54"/>
        <v>0</v>
      </c>
      <c r="AI68" s="2138" t="e">
        <f t="shared" si="44"/>
        <v>#DIV/0!</v>
      </c>
      <c r="AJ68" s="2142"/>
      <c r="AK68" s="2043">
        <f t="shared" si="55"/>
        <v>0</v>
      </c>
      <c r="AL68" s="2043">
        <f t="shared" si="55"/>
        <v>0</v>
      </c>
      <c r="AM68" s="2012">
        <f t="shared" si="56"/>
        <v>0</v>
      </c>
      <c r="AN68" s="2138">
        <f t="shared" si="39"/>
        <v>0</v>
      </c>
      <c r="AO68" s="2140"/>
    </row>
    <row r="69" spans="1:41" s="1396" customFormat="1" ht="13.8">
      <c r="A69" s="1571"/>
      <c r="B69" s="2486" t="s">
        <v>42</v>
      </c>
      <c r="C69" s="2577"/>
      <c r="D69" s="2560"/>
      <c r="E69" s="2571">
        <f t="shared" si="47"/>
        <v>0</v>
      </c>
      <c r="F69" s="2138" t="e">
        <f t="shared" si="57"/>
        <v>#DIV/0!</v>
      </c>
      <c r="G69" s="2043"/>
      <c r="H69" s="2043"/>
      <c r="I69" s="2012">
        <f t="shared" si="48"/>
        <v>0</v>
      </c>
      <c r="J69" s="2138">
        <f t="shared" si="49"/>
        <v>0</v>
      </c>
      <c r="K69" s="2143"/>
      <c r="L69" s="2043"/>
      <c r="M69" s="2043"/>
      <c r="N69" s="2012">
        <f t="shared" si="50"/>
        <v>0</v>
      </c>
      <c r="O69" s="2138" t="e">
        <f t="shared" si="40"/>
        <v>#DIV/0!</v>
      </c>
      <c r="P69" s="2143"/>
      <c r="Q69" s="2011"/>
      <c r="R69" s="2043"/>
      <c r="S69" s="2012">
        <f t="shared" si="58"/>
        <v>0</v>
      </c>
      <c r="T69" s="2138">
        <f t="shared" si="46"/>
        <v>0</v>
      </c>
      <c r="U69" s="2485"/>
      <c r="V69" s="2051"/>
      <c r="W69" s="2043"/>
      <c r="X69" s="2012">
        <f t="shared" si="52"/>
        <v>0</v>
      </c>
      <c r="Y69" s="2138" t="e">
        <f t="shared" si="42"/>
        <v>#DIV/0!</v>
      </c>
      <c r="Z69" s="2143"/>
      <c r="AA69" s="2051"/>
      <c r="AB69" s="2043"/>
      <c r="AC69" s="2012">
        <f t="shared" si="53"/>
        <v>0</v>
      </c>
      <c r="AD69" s="2138" t="e">
        <f t="shared" si="43"/>
        <v>#DIV/0!</v>
      </c>
      <c r="AE69" s="2143"/>
      <c r="AF69" s="2051"/>
      <c r="AG69" s="2043"/>
      <c r="AH69" s="2012">
        <f t="shared" si="54"/>
        <v>0</v>
      </c>
      <c r="AI69" s="2138" t="e">
        <f t="shared" si="44"/>
        <v>#DIV/0!</v>
      </c>
      <c r="AJ69" s="2143"/>
      <c r="AK69" s="2043">
        <f t="shared" si="55"/>
        <v>0</v>
      </c>
      <c r="AL69" s="2043">
        <f t="shared" si="55"/>
        <v>0</v>
      </c>
      <c r="AM69" s="2012">
        <f t="shared" si="56"/>
        <v>0</v>
      </c>
      <c r="AN69" s="2138">
        <f t="shared" si="39"/>
        <v>0</v>
      </c>
      <c r="AO69" s="2140"/>
    </row>
    <row r="70" spans="1:41" s="1396" customFormat="1" ht="13.8">
      <c r="A70" s="1571"/>
      <c r="B70" s="2486" t="s">
        <v>6</v>
      </c>
      <c r="C70" s="2577"/>
      <c r="D70" s="2560"/>
      <c r="E70" s="2571">
        <f t="shared" si="47"/>
        <v>0</v>
      </c>
      <c r="F70" s="2138" t="e">
        <f t="shared" si="57"/>
        <v>#DIV/0!</v>
      </c>
      <c r="G70" s="2043"/>
      <c r="H70" s="2043"/>
      <c r="I70" s="2012">
        <f t="shared" si="48"/>
        <v>0</v>
      </c>
      <c r="J70" s="2138">
        <f t="shared" si="49"/>
        <v>0</v>
      </c>
      <c r="K70" s="2142"/>
      <c r="L70" s="2043"/>
      <c r="M70" s="2043"/>
      <c r="N70" s="2012">
        <f t="shared" si="50"/>
        <v>0</v>
      </c>
      <c r="O70" s="2138" t="e">
        <f t="shared" si="40"/>
        <v>#DIV/0!</v>
      </c>
      <c r="P70" s="2142"/>
      <c r="Q70" s="2011"/>
      <c r="R70" s="2051"/>
      <c r="S70" s="2012">
        <f t="shared" si="58"/>
        <v>0</v>
      </c>
      <c r="T70" s="2138">
        <f t="shared" si="46"/>
        <v>0</v>
      </c>
      <c r="U70" s="2046"/>
      <c r="V70" s="2051"/>
      <c r="W70" s="2043"/>
      <c r="X70" s="2012">
        <f t="shared" si="52"/>
        <v>0</v>
      </c>
      <c r="Y70" s="2138" t="e">
        <f t="shared" si="42"/>
        <v>#DIV/0!</v>
      </c>
      <c r="Z70" s="2142"/>
      <c r="AA70" s="2051"/>
      <c r="AB70" s="2043"/>
      <c r="AC70" s="2012">
        <f t="shared" si="53"/>
        <v>0</v>
      </c>
      <c r="AD70" s="2138" t="e">
        <f t="shared" si="43"/>
        <v>#DIV/0!</v>
      </c>
      <c r="AE70" s="2142"/>
      <c r="AF70" s="2051"/>
      <c r="AG70" s="2043"/>
      <c r="AH70" s="2012">
        <f t="shared" si="54"/>
        <v>0</v>
      </c>
      <c r="AI70" s="2138" t="e">
        <f t="shared" si="44"/>
        <v>#DIV/0!</v>
      </c>
      <c r="AJ70" s="2142"/>
      <c r="AK70" s="2043">
        <f t="shared" si="55"/>
        <v>0</v>
      </c>
      <c r="AL70" s="2043">
        <f t="shared" si="55"/>
        <v>0</v>
      </c>
      <c r="AM70" s="2012">
        <f t="shared" si="56"/>
        <v>0</v>
      </c>
      <c r="AN70" s="2138">
        <f t="shared" si="39"/>
        <v>0</v>
      </c>
      <c r="AO70" s="2140"/>
    </row>
    <row r="71" spans="1:41" s="1396" customFormat="1" ht="13.8">
      <c r="A71" s="1571"/>
      <c r="B71" s="2486" t="s">
        <v>78</v>
      </c>
      <c r="C71" s="2577"/>
      <c r="D71" s="2560"/>
      <c r="E71" s="2571">
        <f t="shared" si="47"/>
        <v>0</v>
      </c>
      <c r="F71" s="2017" t="e">
        <f t="shared" si="57"/>
        <v>#DIV/0!</v>
      </c>
      <c r="G71" s="2043"/>
      <c r="H71" s="2043"/>
      <c r="I71" s="2012">
        <f t="shared" si="48"/>
        <v>0</v>
      </c>
      <c r="J71" s="2138">
        <f t="shared" si="49"/>
        <v>0</v>
      </c>
      <c r="K71" s="2142"/>
      <c r="L71" s="2043"/>
      <c r="M71" s="2043"/>
      <c r="N71" s="2012">
        <f t="shared" si="50"/>
        <v>0</v>
      </c>
      <c r="O71" s="2138" t="e">
        <f t="shared" si="40"/>
        <v>#DIV/0!</v>
      </c>
      <c r="P71" s="2142"/>
      <c r="Q71" s="2051"/>
      <c r="R71" s="2043"/>
      <c r="S71" s="2012">
        <f t="shared" si="58"/>
        <v>0</v>
      </c>
      <c r="T71" s="2138">
        <f t="shared" si="46"/>
        <v>0</v>
      </c>
      <c r="U71" s="2046"/>
      <c r="V71" s="2051"/>
      <c r="W71" s="2043"/>
      <c r="X71" s="2012">
        <f t="shared" si="52"/>
        <v>0</v>
      </c>
      <c r="Y71" s="2138" t="e">
        <f t="shared" si="42"/>
        <v>#DIV/0!</v>
      </c>
      <c r="Z71" s="2142"/>
      <c r="AA71" s="2051"/>
      <c r="AB71" s="2043"/>
      <c r="AC71" s="2012">
        <f t="shared" si="53"/>
        <v>0</v>
      </c>
      <c r="AD71" s="2138" t="e">
        <f t="shared" si="43"/>
        <v>#DIV/0!</v>
      </c>
      <c r="AE71" s="2142"/>
      <c r="AF71" s="2051"/>
      <c r="AG71" s="2043"/>
      <c r="AH71" s="2012">
        <f t="shared" si="54"/>
        <v>0</v>
      </c>
      <c r="AI71" s="2138" t="e">
        <f t="shared" si="44"/>
        <v>#DIV/0!</v>
      </c>
      <c r="AJ71" s="2142"/>
      <c r="AK71" s="2043">
        <f t="shared" si="55"/>
        <v>0</v>
      </c>
      <c r="AL71" s="2043">
        <f t="shared" si="55"/>
        <v>0</v>
      </c>
      <c r="AM71" s="2012">
        <f t="shared" si="56"/>
        <v>0</v>
      </c>
      <c r="AN71" s="2138">
        <f t="shared" si="39"/>
        <v>0</v>
      </c>
      <c r="AO71" s="2140"/>
    </row>
    <row r="72" spans="1:41" s="1396" customFormat="1" ht="14.4" thickBot="1">
      <c r="A72" s="1571"/>
      <c r="B72" s="2487"/>
      <c r="C72" s="2488"/>
      <c r="D72" s="2489"/>
      <c r="E72" s="2490"/>
      <c r="F72" s="2017" t="e">
        <f t="shared" si="57"/>
        <v>#DIV/0!</v>
      </c>
      <c r="G72" s="2027"/>
      <c r="H72" s="2027"/>
      <c r="I72" s="2030"/>
      <c r="J72" s="2017">
        <f t="shared" si="49"/>
        <v>0</v>
      </c>
      <c r="K72" s="2031"/>
      <c r="L72" s="2027"/>
      <c r="M72" s="2027"/>
      <c r="N72" s="2030"/>
      <c r="O72" s="2017"/>
      <c r="P72" s="2031"/>
      <c r="Q72" s="2029"/>
      <c r="R72" s="2027"/>
      <c r="S72" s="2030"/>
      <c r="T72" s="2017"/>
      <c r="U72" s="1990"/>
      <c r="V72" s="2029"/>
      <c r="W72" s="2027"/>
      <c r="X72" s="2030"/>
      <c r="Y72" s="2017"/>
      <c r="Z72" s="2031"/>
      <c r="AA72" s="2029"/>
      <c r="AB72" s="2027"/>
      <c r="AC72" s="2030"/>
      <c r="AD72" s="2017"/>
      <c r="AE72" s="2031"/>
      <c r="AF72" s="2029"/>
      <c r="AG72" s="2027"/>
      <c r="AH72" s="2030"/>
      <c r="AI72" s="2017"/>
      <c r="AJ72" s="2031"/>
      <c r="AK72" s="2027"/>
      <c r="AL72" s="2027"/>
      <c r="AM72" s="2030"/>
      <c r="AN72" s="2017">
        <f t="shared" si="39"/>
        <v>0</v>
      </c>
      <c r="AO72" s="1928"/>
    </row>
    <row r="73" spans="1:41" s="1396" customFormat="1" ht="14.4" thickBot="1">
      <c r="A73" s="1571"/>
      <c r="B73" s="903" t="s">
        <v>4</v>
      </c>
      <c r="C73" s="1584">
        <f>C74</f>
        <v>0</v>
      </c>
      <c r="D73" s="843">
        <f>D74</f>
        <v>0</v>
      </c>
      <c r="E73" s="1584">
        <f>E74</f>
        <v>0</v>
      </c>
      <c r="F73" s="838" t="e">
        <f>E73/$E$89</f>
        <v>#DIV/0!</v>
      </c>
      <c r="G73" s="1584">
        <f>G74</f>
        <v>0</v>
      </c>
      <c r="H73" s="1689">
        <f>H74</f>
        <v>0</v>
      </c>
      <c r="I73" s="1688">
        <f>I74</f>
        <v>0</v>
      </c>
      <c r="J73" s="1689"/>
      <c r="K73" s="1697"/>
      <c r="L73" s="1584">
        <f>L74</f>
        <v>0</v>
      </c>
      <c r="M73" s="1689">
        <f>M74</f>
        <v>0</v>
      </c>
      <c r="N73" s="1688">
        <f>N74</f>
        <v>0</v>
      </c>
      <c r="O73" s="1689" t="e">
        <f t="shared" si="40"/>
        <v>#DIV/0!</v>
      </c>
      <c r="P73" s="1697"/>
      <c r="Q73" s="1584">
        <f>Q74</f>
        <v>0</v>
      </c>
      <c r="R73" s="1584">
        <f>R74</f>
        <v>0</v>
      </c>
      <c r="S73" s="1688">
        <f>S74</f>
        <v>0</v>
      </c>
      <c r="T73" s="1689">
        <f t="shared" ref="T73:T74" si="59">S73/S$89</f>
        <v>0</v>
      </c>
      <c r="U73" s="1732"/>
      <c r="V73" s="1584">
        <f>V74</f>
        <v>0</v>
      </c>
      <c r="W73" s="1689">
        <f>W74</f>
        <v>0</v>
      </c>
      <c r="X73" s="1688">
        <f>X74</f>
        <v>0</v>
      </c>
      <c r="Y73" s="1689" t="e">
        <f t="shared" si="42"/>
        <v>#DIV/0!</v>
      </c>
      <c r="Z73" s="1697"/>
      <c r="AA73" s="1584">
        <f>AA74</f>
        <v>0</v>
      </c>
      <c r="AB73" s="1689">
        <f>AB74</f>
        <v>0</v>
      </c>
      <c r="AC73" s="1688">
        <f>AC74</f>
        <v>0</v>
      </c>
      <c r="AD73" s="1689" t="e">
        <f t="shared" si="43"/>
        <v>#DIV/0!</v>
      </c>
      <c r="AE73" s="1697"/>
      <c r="AF73" s="1584">
        <f>AF74</f>
        <v>0</v>
      </c>
      <c r="AG73" s="1689">
        <f>AG74</f>
        <v>0</v>
      </c>
      <c r="AH73" s="1688">
        <f>AH74</f>
        <v>0</v>
      </c>
      <c r="AI73" s="1689" t="e">
        <f t="shared" si="44"/>
        <v>#DIV/0!</v>
      </c>
      <c r="AJ73" s="1697"/>
      <c r="AK73" s="1584">
        <f>AK74</f>
        <v>0</v>
      </c>
      <c r="AL73" s="1689">
        <f>AL74</f>
        <v>0</v>
      </c>
      <c r="AM73" s="1688">
        <f>AM74</f>
        <v>0</v>
      </c>
      <c r="AN73" s="1689"/>
      <c r="AO73" s="1689"/>
    </row>
    <row r="74" spans="1:41" s="1396" customFormat="1" ht="14.4" thickBot="1">
      <c r="A74" s="1413"/>
      <c r="B74" s="1070" t="s">
        <v>64</v>
      </c>
      <c r="C74" s="1099">
        <f>C6*3%</f>
        <v>0</v>
      </c>
      <c r="D74" s="305"/>
      <c r="E74" s="306">
        <f>C74+D74</f>
        <v>0</v>
      </c>
      <c r="F74" s="307"/>
      <c r="G74" s="2043"/>
      <c r="H74" s="2043"/>
      <c r="I74" s="841">
        <f>G74+H74*1</f>
        <v>0</v>
      </c>
      <c r="J74" s="1648"/>
      <c r="K74" s="1648"/>
      <c r="L74" s="2043"/>
      <c r="M74" s="2043"/>
      <c r="N74" s="841">
        <f>L74+M74*1</f>
        <v>0</v>
      </c>
      <c r="O74" s="1648" t="e">
        <f t="shared" si="40"/>
        <v>#DIV/0!</v>
      </c>
      <c r="P74" s="1648"/>
      <c r="Q74" s="2028"/>
      <c r="R74" s="2025"/>
      <c r="S74" s="1628">
        <f>Q74+R74*1</f>
        <v>0</v>
      </c>
      <c r="T74" s="1664">
        <f t="shared" si="59"/>
        <v>0</v>
      </c>
      <c r="U74" s="1675"/>
      <c r="V74" s="2051"/>
      <c r="W74" s="2043"/>
      <c r="X74" s="841">
        <f>V74+W74*1</f>
        <v>0</v>
      </c>
      <c r="Y74" s="1648" t="e">
        <f t="shared" si="42"/>
        <v>#DIV/0!</v>
      </c>
      <c r="Z74" s="1648"/>
      <c r="AA74" s="2051"/>
      <c r="AB74" s="2043"/>
      <c r="AC74" s="841">
        <f>AA74+AB74*1</f>
        <v>0</v>
      </c>
      <c r="AD74" s="1648" t="e">
        <f t="shared" si="43"/>
        <v>#DIV/0!</v>
      </c>
      <c r="AE74" s="1648"/>
      <c r="AF74" s="2051"/>
      <c r="AG74" s="2043"/>
      <c r="AH74" s="841">
        <f>AF74+AG74*1</f>
        <v>0</v>
      </c>
      <c r="AI74" s="1648" t="e">
        <f t="shared" si="44"/>
        <v>#DIV/0!</v>
      </c>
      <c r="AJ74" s="1648"/>
      <c r="AK74" s="2043">
        <f t="shared" ref="AK74:AL74" si="60">G74+L74+Q74+V74+AA74+AF74</f>
        <v>0</v>
      </c>
      <c r="AL74" s="2043">
        <f t="shared" si="60"/>
        <v>0</v>
      </c>
      <c r="AM74" s="841">
        <f>AK74+AL74*1</f>
        <v>0</v>
      </c>
      <c r="AN74" s="1648"/>
      <c r="AO74" s="1648"/>
    </row>
    <row r="75" spans="1:41" s="1396" customFormat="1" ht="14.4" thickBot="1">
      <c r="A75" s="1399"/>
      <c r="B75" s="1416" t="s">
        <v>48</v>
      </c>
      <c r="C75" s="1958">
        <f>C38-C41-C50-C54</f>
        <v>0</v>
      </c>
      <c r="D75" s="1958">
        <f>D38-D41-D50-D54</f>
        <v>0</v>
      </c>
      <c r="E75" s="1508">
        <f>E38-E41-E50-E54</f>
        <v>0</v>
      </c>
      <c r="F75" s="1536"/>
      <c r="G75" s="1450">
        <f>G38-G41-G50-G54</f>
        <v>0</v>
      </c>
      <c r="H75" s="1450">
        <f>H38-H41-H50-H54</f>
        <v>-185</v>
      </c>
      <c r="I75" s="1508">
        <f>I38-I41-I50-I54</f>
        <v>-185</v>
      </c>
      <c r="J75" s="1953"/>
      <c r="K75" s="1599"/>
      <c r="L75" s="1450">
        <f>L38-L41-L50-L54</f>
        <v>0</v>
      </c>
      <c r="M75" s="1450">
        <f>M38-M41-M50-M54</f>
        <v>0</v>
      </c>
      <c r="N75" s="1508">
        <f>N38-N41-N50-N54</f>
        <v>0</v>
      </c>
      <c r="O75" s="1953"/>
      <c r="P75" s="1599"/>
      <c r="Q75" s="1450">
        <f>Q38-Q41-Q50-Q54</f>
        <v>-17250</v>
      </c>
      <c r="R75" s="1450">
        <f>R38-R41-R50-R54</f>
        <v>0</v>
      </c>
      <c r="S75" s="1508">
        <f>S38-S41-S50-S54</f>
        <v>-17250</v>
      </c>
      <c r="T75" s="1953"/>
      <c r="U75" s="1660"/>
      <c r="V75" s="1450">
        <f>V38-V41-V50-V54</f>
        <v>0</v>
      </c>
      <c r="W75" s="1450">
        <f>W38-W41-W50-W54</f>
        <v>0</v>
      </c>
      <c r="X75" s="1508">
        <f>X38-X41-X50-X54</f>
        <v>0</v>
      </c>
      <c r="Y75" s="1953"/>
      <c r="Z75" s="1599"/>
      <c r="AA75" s="1450">
        <f>AA38-AA41-AA50-AA54</f>
        <v>0</v>
      </c>
      <c r="AB75" s="1450">
        <f>AB38-AB41-AB50-AB54</f>
        <v>0</v>
      </c>
      <c r="AC75" s="1508">
        <f>AC38-AC41-AC50-AC54</f>
        <v>0</v>
      </c>
      <c r="AD75" s="1953"/>
      <c r="AE75" s="1599"/>
      <c r="AF75" s="1450">
        <f>AF38-AF41-AF50-AF54</f>
        <v>0</v>
      </c>
      <c r="AG75" s="1450">
        <f>AG38-AG41-AG50-AG54</f>
        <v>0</v>
      </c>
      <c r="AH75" s="1508">
        <f>AH38-AH41-AH50-AH54</f>
        <v>0</v>
      </c>
      <c r="AI75" s="1953"/>
      <c r="AJ75" s="1599"/>
      <c r="AK75" s="1450">
        <f>AK38-AK41-AK50-AK54</f>
        <v>-17250</v>
      </c>
      <c r="AL75" s="1450">
        <f>AL38-AL41-AL50-AL54</f>
        <v>-185</v>
      </c>
      <c r="AM75" s="1508">
        <f>AM38-AM41-AM50-AM54</f>
        <v>-17435</v>
      </c>
      <c r="AN75" s="1953"/>
      <c r="AO75" s="1953"/>
    </row>
    <row r="76" spans="1:41" s="1396" customFormat="1" ht="13.8">
      <c r="A76" s="1566"/>
      <c r="B76" s="1429" t="s">
        <v>49</v>
      </c>
      <c r="C76" s="1525" t="e">
        <f>C75/C5</f>
        <v>#DIV/0!</v>
      </c>
      <c r="D76" s="1525" t="e">
        <f>D75/D5</f>
        <v>#DIV/0!</v>
      </c>
      <c r="E76" s="1526" t="e">
        <f>E75/E5</f>
        <v>#DIV/0!</v>
      </c>
      <c r="F76" s="1531"/>
      <c r="G76" s="2003" t="e">
        <f>G75/G5</f>
        <v>#DIV/0!</v>
      </c>
      <c r="H76" s="2003" t="e">
        <f>H75/H5</f>
        <v>#DIV/0!</v>
      </c>
      <c r="I76" s="2004" t="e">
        <f>I75/I5</f>
        <v>#DIV/0!</v>
      </c>
      <c r="J76" s="2004"/>
      <c r="K76" s="2022"/>
      <c r="L76" s="2003" t="e">
        <f>L75/L5</f>
        <v>#DIV/0!</v>
      </c>
      <c r="M76" s="2003" t="e">
        <f>M75/M5</f>
        <v>#DIV/0!</v>
      </c>
      <c r="N76" s="2004" t="e">
        <f>N75/N5</f>
        <v>#DIV/0!</v>
      </c>
      <c r="O76" s="2004"/>
      <c r="P76" s="2022"/>
      <c r="Q76" s="2003" t="e">
        <f>Q75/Q5</f>
        <v>#DIV/0!</v>
      </c>
      <c r="R76" s="2003" t="e">
        <f>R75/R5</f>
        <v>#DIV/0!</v>
      </c>
      <c r="S76" s="2004" t="e">
        <f>S75/S5</f>
        <v>#DIV/0!</v>
      </c>
      <c r="T76" s="2004"/>
      <c r="U76" s="1661"/>
      <c r="V76" s="2003" t="e">
        <f>V75/V5</f>
        <v>#DIV/0!</v>
      </c>
      <c r="W76" s="2003" t="e">
        <f>W75/W5</f>
        <v>#DIV/0!</v>
      </c>
      <c r="X76" s="2004" t="e">
        <f>X75/X5</f>
        <v>#DIV/0!</v>
      </c>
      <c r="Y76" s="2004"/>
      <c r="Z76" s="2022"/>
      <c r="AA76" s="2003" t="e">
        <f>AA75/AA5</f>
        <v>#DIV/0!</v>
      </c>
      <c r="AB76" s="2003" t="e">
        <f>AB75/AB5</f>
        <v>#DIV/0!</v>
      </c>
      <c r="AC76" s="2004" t="e">
        <f>AC75/AC5</f>
        <v>#DIV/0!</v>
      </c>
      <c r="AD76" s="2004"/>
      <c r="AE76" s="2022"/>
      <c r="AF76" s="2003" t="e">
        <f>AF75/AF5</f>
        <v>#DIV/0!</v>
      </c>
      <c r="AG76" s="2003" t="e">
        <f>AG75/AG5</f>
        <v>#DIV/0!</v>
      </c>
      <c r="AH76" s="2004" t="e">
        <f>AH75/AH5</f>
        <v>#DIV/0!</v>
      </c>
      <c r="AI76" s="2004"/>
      <c r="AJ76" s="2022"/>
      <c r="AK76" s="2003" t="e">
        <f>AK75/AK5</f>
        <v>#DIV/0!</v>
      </c>
      <c r="AL76" s="2003" t="e">
        <f>AL75/AL5</f>
        <v>#DIV/0!</v>
      </c>
      <c r="AM76" s="2004" t="e">
        <f>AM75/AM5</f>
        <v>#DIV/0!</v>
      </c>
      <c r="AN76" s="2004"/>
      <c r="AO76" s="2004"/>
    </row>
    <row r="77" spans="1:41" s="1396" customFormat="1" ht="14.4" thickBot="1">
      <c r="A77" s="1566"/>
      <c r="B77" s="2579" t="s">
        <v>9</v>
      </c>
      <c r="C77" s="2515">
        <f>C78-C79</f>
        <v>0</v>
      </c>
      <c r="D77" s="2515">
        <f>D78-D79</f>
        <v>0</v>
      </c>
      <c r="E77" s="2516">
        <f>E78-E79</f>
        <v>0</v>
      </c>
      <c r="F77" s="2547"/>
      <c r="G77" s="2515">
        <f>G78-G79</f>
        <v>0</v>
      </c>
      <c r="H77" s="2515">
        <f>H78-H79</f>
        <v>0</v>
      </c>
      <c r="I77" s="2516">
        <f>I78-I79</f>
        <v>-25.227272727272727</v>
      </c>
      <c r="J77" s="2517"/>
      <c r="K77" s="2548"/>
      <c r="L77" s="2515">
        <f>L78-L79</f>
        <v>0</v>
      </c>
      <c r="M77" s="2515">
        <f>M78-M79</f>
        <v>0</v>
      </c>
      <c r="N77" s="2516">
        <f>N78-N79</f>
        <v>0</v>
      </c>
      <c r="O77" s="2517"/>
      <c r="P77" s="2548"/>
      <c r="Q77" s="2515">
        <f>Q78-Q79</f>
        <v>0</v>
      </c>
      <c r="R77" s="2515">
        <f>R78-R79</f>
        <v>0</v>
      </c>
      <c r="S77" s="2516">
        <f>S78-S79</f>
        <v>0</v>
      </c>
      <c r="T77" s="2517">
        <f t="shared" ref="T77" si="61">S77/S$89</f>
        <v>0</v>
      </c>
      <c r="U77" s="2518"/>
      <c r="V77" s="2515">
        <f>V78-V79</f>
        <v>0</v>
      </c>
      <c r="W77" s="2515">
        <f>W78-W79</f>
        <v>0</v>
      </c>
      <c r="X77" s="2516">
        <f>X78-X79</f>
        <v>0</v>
      </c>
      <c r="Y77" s="2517"/>
      <c r="Z77" s="2548"/>
      <c r="AA77" s="2515">
        <f>AA78-AA79</f>
        <v>0</v>
      </c>
      <c r="AB77" s="2515">
        <f>AB78-AB79</f>
        <v>0</v>
      </c>
      <c r="AC77" s="2516">
        <f>AC78-AC79</f>
        <v>0</v>
      </c>
      <c r="AD77" s="2517"/>
      <c r="AE77" s="2548"/>
      <c r="AF77" s="2515">
        <f>AF78-AF79</f>
        <v>0</v>
      </c>
      <c r="AG77" s="2515">
        <f>AG78-AG79</f>
        <v>0</v>
      </c>
      <c r="AH77" s="2516">
        <f>AH78-AH79</f>
        <v>0</v>
      </c>
      <c r="AI77" s="2517"/>
      <c r="AJ77" s="2548"/>
      <c r="AK77" s="2515">
        <f>AK78-AK79</f>
        <v>0</v>
      </c>
      <c r="AL77" s="2515">
        <f>AL78-AL79</f>
        <v>0</v>
      </c>
      <c r="AM77" s="2516">
        <f>AM78-AM79</f>
        <v>-25.227272727272727</v>
      </c>
      <c r="AN77" s="2517"/>
      <c r="AO77" s="2517"/>
    </row>
    <row r="78" spans="1:41" s="1396" customFormat="1" ht="13.8">
      <c r="A78" s="1405"/>
      <c r="B78" s="1400" t="s">
        <v>43</v>
      </c>
      <c r="C78" s="1510"/>
      <c r="D78" s="1511"/>
      <c r="E78" s="2502">
        <f>C78+D78*1.15</f>
        <v>0</v>
      </c>
      <c r="F78" s="1547"/>
      <c r="G78" s="2043"/>
      <c r="H78" s="2043"/>
      <c r="I78" s="1452">
        <f>G78+H78*1.15</f>
        <v>0</v>
      </c>
      <c r="J78" s="1452"/>
      <c r="K78" s="1436"/>
      <c r="L78" s="2043"/>
      <c r="M78" s="2043"/>
      <c r="N78" s="1452">
        <f>L78+M78*1.15</f>
        <v>0</v>
      </c>
      <c r="O78" s="1452"/>
      <c r="P78" s="1436"/>
      <c r="Q78" s="2051"/>
      <c r="R78" s="2043"/>
      <c r="S78" s="2115">
        <f>Q78+R78</f>
        <v>0</v>
      </c>
      <c r="T78" s="2138" t="e">
        <f>S78/$AN$89</f>
        <v>#DIV/0!</v>
      </c>
      <c r="U78" s="1662"/>
      <c r="V78" s="2051"/>
      <c r="W78" s="2043"/>
      <c r="X78" s="1452">
        <f>V78+W78*1.15</f>
        <v>0</v>
      </c>
      <c r="Y78" s="1452"/>
      <c r="Z78" s="1436"/>
      <c r="AA78" s="2051"/>
      <c r="AB78" s="2043"/>
      <c r="AC78" s="1452">
        <f>AA78+AB78*1.15</f>
        <v>0</v>
      </c>
      <c r="AD78" s="1452"/>
      <c r="AE78" s="1436"/>
      <c r="AF78" s="2051"/>
      <c r="AG78" s="2043"/>
      <c r="AH78" s="1452">
        <f>AF78+AG78*1.15</f>
        <v>0</v>
      </c>
      <c r="AI78" s="1452"/>
      <c r="AJ78" s="1436"/>
      <c r="AK78" s="2043">
        <f t="shared" ref="AK78:AL79" si="62">G78+L78+Q78+V78+AA78+AF78</f>
        <v>0</v>
      </c>
      <c r="AL78" s="2043">
        <f t="shared" si="62"/>
        <v>0</v>
      </c>
      <c r="AM78" s="1452">
        <f>AK78+AL78*1.15</f>
        <v>0</v>
      </c>
      <c r="AN78" s="1452"/>
      <c r="AO78" s="1452"/>
    </row>
    <row r="79" spans="1:41" s="1396" customFormat="1" ht="13.8">
      <c r="A79" s="1405"/>
      <c r="B79" s="2580" t="s">
        <v>79</v>
      </c>
      <c r="C79" s="2558"/>
      <c r="D79" s="2502"/>
      <c r="E79" s="2502">
        <f>C79+D79*1.15</f>
        <v>0</v>
      </c>
      <c r="F79" s="2484" t="e">
        <f>E79/$E$89</f>
        <v>#DIV/0!</v>
      </c>
      <c r="G79" s="2043"/>
      <c r="H79" s="2043"/>
      <c r="I79" s="2012">
        <f>(H8+H41+H50+H54)/(1-'расчет 2024'!E15)*'расчет 2024'!E15</f>
        <v>25.227272727272727</v>
      </c>
      <c r="J79" s="2147"/>
      <c r="K79" s="2148"/>
      <c r="L79" s="2043"/>
      <c r="M79" s="2043"/>
      <c r="N79" s="2012">
        <f>(M8+M41+M50+M54)/(1-'расчет 2024'!E16)*'расчет 2024'!E16</f>
        <v>0</v>
      </c>
      <c r="O79" s="2147" t="e">
        <f t="shared" ref="O79" si="63">N79/N$89</f>
        <v>#DIV/0!</v>
      </c>
      <c r="P79" s="2148"/>
      <c r="Q79" s="2051"/>
      <c r="R79" s="2043"/>
      <c r="S79" s="2012">
        <f>(R8+R41+R50+R54)/(1-'расчет 2024'!E17)*'расчет 2024'!E17</f>
        <v>0</v>
      </c>
      <c r="T79" s="2138">
        <f t="shared" ref="T79" si="64">S79/S$89</f>
        <v>0</v>
      </c>
      <c r="U79" s="2512"/>
      <c r="V79" s="2051"/>
      <c r="W79" s="2043"/>
      <c r="X79" s="2012">
        <f>(W8+W41+W50+W54)/(1-'расчет 2024'!J17)*'расчет 2024'!E17</f>
        <v>0</v>
      </c>
      <c r="Y79" s="2147" t="e">
        <f t="shared" ref="Y79" si="65">X79/X$89</f>
        <v>#DIV/0!</v>
      </c>
      <c r="Z79" s="2148"/>
      <c r="AA79" s="2051"/>
      <c r="AB79" s="2043"/>
      <c r="AC79" s="2012">
        <f>(AB8+AB41+AB50+AB54)/(1-'расчет 2024'!E19)*'расчет 2024'!E19</f>
        <v>0</v>
      </c>
      <c r="AD79" s="2147" t="e">
        <f t="shared" ref="AD79" si="66">AC79/AC$89</f>
        <v>#DIV/0!</v>
      </c>
      <c r="AE79" s="2148"/>
      <c r="AF79" s="2051"/>
      <c r="AG79" s="2043"/>
      <c r="AH79" s="2012"/>
      <c r="AI79" s="2147" t="e">
        <f t="shared" ref="AI79" si="67">AH79/AH$89</f>
        <v>#DIV/0!</v>
      </c>
      <c r="AJ79" s="2148"/>
      <c r="AK79" s="2043">
        <f t="shared" si="62"/>
        <v>0</v>
      </c>
      <c r="AL79" s="2043">
        <f t="shared" si="62"/>
        <v>0</v>
      </c>
      <c r="AM79" s="2043">
        <f>I79+N79+S79+X79+AC79+AH79</f>
        <v>25.227272727272727</v>
      </c>
      <c r="AN79" s="2147"/>
      <c r="AO79" s="2147"/>
    </row>
    <row r="80" spans="1:41" ht="13.8">
      <c r="A80" s="1397"/>
      <c r="B80" s="2581"/>
      <c r="C80" s="2582"/>
      <c r="D80" s="2583"/>
      <c r="E80" s="2491"/>
      <c r="F80" s="2492"/>
      <c r="G80" s="2043"/>
      <c r="H80" s="2043"/>
      <c r="I80" s="2465"/>
      <c r="J80" s="2465"/>
      <c r="K80" s="2465"/>
      <c r="L80" s="2043"/>
      <c r="M80" s="2043"/>
      <c r="N80" s="2465"/>
      <c r="O80" s="2465"/>
      <c r="P80" s="2465"/>
      <c r="Q80" s="2051"/>
      <c r="R80" s="2043"/>
      <c r="S80" s="2465"/>
      <c r="T80" s="2465"/>
      <c r="U80" s="2519"/>
      <c r="V80" s="2051"/>
      <c r="W80" s="2043"/>
      <c r="X80" s="2465"/>
      <c r="Y80" s="2465"/>
      <c r="Z80" s="2465"/>
      <c r="AA80" s="2051"/>
      <c r="AB80" s="2043"/>
      <c r="AC80" s="2465"/>
      <c r="AD80" s="2465"/>
      <c r="AE80" s="2465"/>
      <c r="AF80" s="2051"/>
      <c r="AG80" s="2043"/>
      <c r="AH80" s="2465"/>
      <c r="AI80" s="2465"/>
      <c r="AJ80" s="2465"/>
      <c r="AK80" s="2043"/>
      <c r="AL80" s="2043"/>
      <c r="AM80" s="2465"/>
      <c r="AN80" s="2465"/>
      <c r="AO80" s="2465"/>
    </row>
    <row r="81" spans="1:41" s="1396" customFormat="1" ht="14.4" thickBot="1">
      <c r="A81" s="1419"/>
      <c r="B81" s="2579" t="s">
        <v>12</v>
      </c>
      <c r="C81" s="2515">
        <f>(C75+C78)-C79</f>
        <v>0</v>
      </c>
      <c r="D81" s="2515">
        <f>(D75+D78)-D79</f>
        <v>0</v>
      </c>
      <c r="E81" s="2516">
        <f>(E75+E78)-E79</f>
        <v>0</v>
      </c>
      <c r="F81" s="2547"/>
      <c r="G81" s="2515">
        <f>(G75+G78)-G79</f>
        <v>0</v>
      </c>
      <c r="H81" s="2515">
        <f>(H75+H78)-H79</f>
        <v>-185</v>
      </c>
      <c r="I81" s="2516">
        <f>(I75+I78)-I79</f>
        <v>-210.22727272727272</v>
      </c>
      <c r="J81" s="2517"/>
      <c r="K81" s="2548"/>
      <c r="L81" s="2515">
        <f>(L75+L78)-L79</f>
        <v>0</v>
      </c>
      <c r="M81" s="2515">
        <f>(M75+M78)-M79</f>
        <v>0</v>
      </c>
      <c r="N81" s="2516">
        <f>(N75+N78)-N79</f>
        <v>0</v>
      </c>
      <c r="O81" s="2517"/>
      <c r="P81" s="2548"/>
      <c r="Q81" s="2515">
        <f>(Q75+Q78)-Q79</f>
        <v>-17250</v>
      </c>
      <c r="R81" s="2515">
        <f>(R75+R78)-R79</f>
        <v>0</v>
      </c>
      <c r="S81" s="2516">
        <f>(S75+S78)-S79</f>
        <v>-17250</v>
      </c>
      <c r="T81" s="2517"/>
      <c r="U81" s="2518"/>
      <c r="V81" s="2515">
        <f>(V75+V78)-V79</f>
        <v>0</v>
      </c>
      <c r="W81" s="2515">
        <f>(W75+W78)-W79</f>
        <v>0</v>
      </c>
      <c r="X81" s="2516">
        <f>(X75+X78)-X79</f>
        <v>0</v>
      </c>
      <c r="Y81" s="2517"/>
      <c r="Z81" s="2548"/>
      <c r="AA81" s="2515">
        <f>(AA75+AA78)-AA79</f>
        <v>0</v>
      </c>
      <c r="AB81" s="2515">
        <f>(AB75+AB78)-AB79</f>
        <v>0</v>
      </c>
      <c r="AC81" s="2516">
        <f>(AC75+AC78)-AC79</f>
        <v>0</v>
      </c>
      <c r="AD81" s="2517"/>
      <c r="AE81" s="2548"/>
      <c r="AF81" s="2515">
        <f>(AF75+AF78)-AF79</f>
        <v>0</v>
      </c>
      <c r="AG81" s="2515">
        <f>(AG75+AG78)-AG79</f>
        <v>0</v>
      </c>
      <c r="AH81" s="2516">
        <f>(AH75+AH78)-AH79</f>
        <v>0</v>
      </c>
      <c r="AI81" s="2517"/>
      <c r="AJ81" s="2548"/>
      <c r="AK81" s="2515">
        <f>(AK75+AK78)-AK79</f>
        <v>-17250</v>
      </c>
      <c r="AL81" s="2515">
        <f>(AL75+AL78)-AL79</f>
        <v>-185</v>
      </c>
      <c r="AM81" s="2516">
        <f>(AM75+AM78)-AM79</f>
        <v>-17460.227272727272</v>
      </c>
      <c r="AN81" s="2517"/>
      <c r="AO81" s="2517"/>
    </row>
    <row r="82" spans="1:41" s="1396" customFormat="1" ht="13.8">
      <c r="A82" s="1565"/>
      <c r="B82" s="1400" t="s">
        <v>38</v>
      </c>
      <c r="C82" s="1510"/>
      <c r="D82" s="1511"/>
      <c r="E82" s="1515">
        <f>C82+D82</f>
        <v>0</v>
      </c>
      <c r="F82" s="1558" t="e">
        <f>E82/$E$89</f>
        <v>#DIV/0!</v>
      </c>
      <c r="G82" s="2467"/>
      <c r="H82" s="2467"/>
      <c r="I82" s="1515">
        <f>G82+H82</f>
        <v>0</v>
      </c>
      <c r="J82" s="1477"/>
      <c r="K82" s="752"/>
      <c r="L82" s="2467"/>
      <c r="M82" s="2467"/>
      <c r="N82" s="1515">
        <f>L82+M82</f>
        <v>0</v>
      </c>
      <c r="O82" s="1477"/>
      <c r="P82" s="752"/>
      <c r="Q82" s="2051"/>
      <c r="R82" s="2043"/>
      <c r="S82" s="1515">
        <f>Q82+R82</f>
        <v>0</v>
      </c>
      <c r="T82" s="1476"/>
      <c r="U82" s="2046"/>
      <c r="V82" s="1695"/>
      <c r="W82" s="2467"/>
      <c r="X82" s="1515">
        <f>V82+W82</f>
        <v>0</v>
      </c>
      <c r="Y82" s="1477"/>
      <c r="Z82" s="752"/>
      <c r="AA82" s="1695"/>
      <c r="AB82" s="2467"/>
      <c r="AC82" s="1515">
        <f>AA82+AB82</f>
        <v>0</v>
      </c>
      <c r="AD82" s="1477"/>
      <c r="AE82" s="752"/>
      <c r="AF82" s="1695"/>
      <c r="AG82" s="2467"/>
      <c r="AH82" s="1515">
        <f>AF82+AG82</f>
        <v>0</v>
      </c>
      <c r="AI82" s="1477"/>
      <c r="AJ82" s="752"/>
      <c r="AK82" s="2467">
        <f t="shared" ref="AK82:AL82" si="68">G82+L82+Q82+V82+AA82+AF82</f>
        <v>0</v>
      </c>
      <c r="AL82" s="2467">
        <f t="shared" si="68"/>
        <v>0</v>
      </c>
      <c r="AM82" s="1515">
        <f>AK82+AL82</f>
        <v>0</v>
      </c>
      <c r="AN82" s="1477"/>
      <c r="AO82" s="1477"/>
    </row>
    <row r="83" spans="1:41" s="1396" customFormat="1" ht="13.8">
      <c r="A83" s="1405"/>
      <c r="B83" s="2584" t="s">
        <v>13</v>
      </c>
      <c r="C83" s="2520">
        <f>(C81+C7)-C36</f>
        <v>0</v>
      </c>
      <c r="D83" s="2520">
        <f>(D81+D7)-D36</f>
        <v>0</v>
      </c>
      <c r="E83" s="2520">
        <f>(E81+E7)-E36</f>
        <v>0</v>
      </c>
      <c r="F83" s="2550"/>
      <c r="G83" s="2520">
        <f>(G81+G7)-G36</f>
        <v>0</v>
      </c>
      <c r="H83" s="2520">
        <f>(H81+H7)-H36</f>
        <v>-185</v>
      </c>
      <c r="I83" s="2521">
        <f>(I81+I7)-I36</f>
        <v>-210.22727272727272</v>
      </c>
      <c r="J83" s="2522"/>
      <c r="K83" s="2554"/>
      <c r="L83" s="2520">
        <f>(L81+L7)-L36</f>
        <v>0</v>
      </c>
      <c r="M83" s="2520">
        <f>(M81+M7)-M36</f>
        <v>0</v>
      </c>
      <c r="N83" s="2521">
        <f>(N81+N7)-N36</f>
        <v>0</v>
      </c>
      <c r="O83" s="2522"/>
      <c r="P83" s="2554"/>
      <c r="Q83" s="2520">
        <f>(Q81+Q7)-Q36</f>
        <v>-17250</v>
      </c>
      <c r="R83" s="2520">
        <f>(R81+R7)-R36</f>
        <v>0</v>
      </c>
      <c r="S83" s="2521">
        <f>(S81+S7)-S36</f>
        <v>-17250</v>
      </c>
      <c r="T83" s="2522"/>
      <c r="U83" s="2523"/>
      <c r="V83" s="2520">
        <f>(V81+V7)-V36</f>
        <v>0</v>
      </c>
      <c r="W83" s="2520">
        <f>(W81+W7)-W36</f>
        <v>0</v>
      </c>
      <c r="X83" s="2521">
        <f>(X81+X7)-X36</f>
        <v>0</v>
      </c>
      <c r="Y83" s="2522"/>
      <c r="Z83" s="2554"/>
      <c r="AA83" s="2520">
        <f>(AA81+AA7)-AA36</f>
        <v>0</v>
      </c>
      <c r="AB83" s="2520">
        <f>(AB81+AB7)-AB36</f>
        <v>0</v>
      </c>
      <c r="AC83" s="2521">
        <f>(AC81+AC7)-AC36</f>
        <v>0</v>
      </c>
      <c r="AD83" s="2522"/>
      <c r="AE83" s="2554"/>
      <c r="AF83" s="2520">
        <f>(AF81+AF7)-AF36</f>
        <v>0</v>
      </c>
      <c r="AG83" s="2520">
        <f>(AG81+AG7)-AG36</f>
        <v>0</v>
      </c>
      <c r="AH83" s="2521">
        <f>(AH81+AH7)-AH36</f>
        <v>0</v>
      </c>
      <c r="AI83" s="2522"/>
      <c r="AJ83" s="2554"/>
      <c r="AK83" s="2520">
        <f>(AK81+AK7)-AK36</f>
        <v>-17250</v>
      </c>
      <c r="AL83" s="2520">
        <f>(AL81+AL7)-AL36</f>
        <v>-185</v>
      </c>
      <c r="AM83" s="2521">
        <f>(AM81+AM7)-AM36</f>
        <v>-17460.227272727272</v>
      </c>
      <c r="AN83" s="2522"/>
      <c r="AO83" s="2522"/>
    </row>
    <row r="84" spans="1:41" s="1396" customFormat="1" ht="14.4" thickBot="1">
      <c r="A84" s="1405"/>
      <c r="B84" s="2585" t="s">
        <v>14</v>
      </c>
      <c r="C84" s="2539">
        <f>C83-C73-C82</f>
        <v>0</v>
      </c>
      <c r="D84" s="2539">
        <f>D83-D73-D82</f>
        <v>0</v>
      </c>
      <c r="E84" s="2539">
        <f>E83-E73-E82</f>
        <v>0</v>
      </c>
      <c r="F84" s="2551"/>
      <c r="G84" s="2497">
        <f>G83-G73-G82</f>
        <v>0</v>
      </c>
      <c r="H84" s="2497">
        <f>H83-H73-H82</f>
        <v>-185</v>
      </c>
      <c r="I84" s="2497">
        <f>I83-I73-I82</f>
        <v>-210.22727272727272</v>
      </c>
      <c r="J84" s="2498"/>
      <c r="K84" s="2552"/>
      <c r="L84" s="2497">
        <f>L83-L73-L82</f>
        <v>0</v>
      </c>
      <c r="M84" s="2497">
        <f>M83-M73-M82</f>
        <v>0</v>
      </c>
      <c r="N84" s="2497">
        <f>N83-N73-N82</f>
        <v>0</v>
      </c>
      <c r="O84" s="2498"/>
      <c r="P84" s="2552"/>
      <c r="Q84" s="2497">
        <f>Q83-Q73-Q82</f>
        <v>-17250</v>
      </c>
      <c r="R84" s="2497">
        <f>R83-R73-R82</f>
        <v>0</v>
      </c>
      <c r="S84" s="2497">
        <f>S83-S73-S82</f>
        <v>-17250</v>
      </c>
      <c r="T84" s="2498"/>
      <c r="U84" s="2524"/>
      <c r="V84" s="2497">
        <f>V83-V73-V82</f>
        <v>0</v>
      </c>
      <c r="W84" s="2497">
        <f>W83-W73-W82</f>
        <v>0</v>
      </c>
      <c r="X84" s="2497">
        <f>X83-X73-X82</f>
        <v>0</v>
      </c>
      <c r="Y84" s="2498"/>
      <c r="Z84" s="2552"/>
      <c r="AA84" s="2497">
        <f>AA83-AA73-AA82</f>
        <v>0</v>
      </c>
      <c r="AB84" s="2497">
        <f>AB83-AB73-AB82</f>
        <v>0</v>
      </c>
      <c r="AC84" s="2497">
        <f>AC83-AC73-AC82</f>
        <v>0</v>
      </c>
      <c r="AD84" s="2498"/>
      <c r="AE84" s="2552"/>
      <c r="AF84" s="2497">
        <f>AF83-AF73-AF82</f>
        <v>0</v>
      </c>
      <c r="AG84" s="2497">
        <f>AG83-AG73-AG82</f>
        <v>0</v>
      </c>
      <c r="AH84" s="2497">
        <f>AH83-AH73-AH82</f>
        <v>0</v>
      </c>
      <c r="AI84" s="2498"/>
      <c r="AJ84" s="2552"/>
      <c r="AK84" s="2497">
        <f>AK83-AK73-AK82</f>
        <v>-17250</v>
      </c>
      <c r="AL84" s="2497">
        <f>AL83-AL73-AL82</f>
        <v>-185</v>
      </c>
      <c r="AM84" s="2497">
        <f>AM83-AM73-AM82</f>
        <v>-17460.227272727272</v>
      </c>
      <c r="AN84" s="2498"/>
      <c r="AO84" s="2498"/>
    </row>
    <row r="85" spans="1:41" s="1396" customFormat="1" ht="13.8">
      <c r="A85" s="1565"/>
      <c r="B85" s="1403" t="s">
        <v>44</v>
      </c>
      <c r="C85" s="1486"/>
      <c r="D85" s="1091"/>
      <c r="E85" s="1092">
        <f>C85+D85</f>
        <v>0</v>
      </c>
      <c r="F85" s="1587" t="e">
        <f>E85/$E$89</f>
        <v>#DIV/0!</v>
      </c>
      <c r="G85" s="2043"/>
      <c r="H85" s="2043"/>
      <c r="I85" s="2012">
        <f>G85+H85*1.15</f>
        <v>0</v>
      </c>
      <c r="J85" s="1476"/>
      <c r="K85" s="1612"/>
      <c r="L85" s="2043"/>
      <c r="M85" s="2043"/>
      <c r="N85" s="2012">
        <f>L85+M85*1.15</f>
        <v>0</v>
      </c>
      <c r="O85" s="1476"/>
      <c r="P85" s="1612"/>
      <c r="Q85" s="2051"/>
      <c r="R85" s="2043"/>
      <c r="S85" s="2012">
        <f>Q85+R85*1</f>
        <v>0</v>
      </c>
      <c r="T85" s="1476"/>
      <c r="U85" s="1748"/>
      <c r="V85" s="2051"/>
      <c r="W85" s="2043"/>
      <c r="X85" s="2012">
        <f>V85+W85*1.15</f>
        <v>0</v>
      </c>
      <c r="Y85" s="1476"/>
      <c r="Z85" s="1612"/>
      <c r="AA85" s="2051"/>
      <c r="AB85" s="2043"/>
      <c r="AC85" s="2012">
        <f>AA85+AB85*1.15</f>
        <v>0</v>
      </c>
      <c r="AD85" s="1476"/>
      <c r="AE85" s="1612"/>
      <c r="AF85" s="2051"/>
      <c r="AG85" s="2043"/>
      <c r="AH85" s="2012">
        <f>AF85+AG85*1.15</f>
        <v>0</v>
      </c>
      <c r="AI85" s="1476"/>
      <c r="AJ85" s="1612"/>
      <c r="AK85" s="2051">
        <f t="shared" ref="AK85:AL85" si="69">G85+L85+Q85+V85+AA85+AF85</f>
        <v>0</v>
      </c>
      <c r="AL85" s="2043">
        <f t="shared" si="69"/>
        <v>0</v>
      </c>
      <c r="AM85" s="2012">
        <f>AK85+AL85*1.15</f>
        <v>0</v>
      </c>
      <c r="AN85" s="1476"/>
      <c r="AO85" s="1476"/>
    </row>
    <row r="86" spans="1:41" s="1396" customFormat="1" ht="27.6">
      <c r="A86" s="1405"/>
      <c r="B86" s="2493" t="s">
        <v>50</v>
      </c>
      <c r="C86" s="2540">
        <f>C84-C85</f>
        <v>0</v>
      </c>
      <c r="D86" s="2540">
        <f>D84-D85</f>
        <v>0</v>
      </c>
      <c r="E86" s="2525">
        <f>E84-E85</f>
        <v>0</v>
      </c>
      <c r="F86" s="2553"/>
      <c r="G86" s="2525">
        <f>G84-G85</f>
        <v>0</v>
      </c>
      <c r="H86" s="2525">
        <f>H84-H85</f>
        <v>-185</v>
      </c>
      <c r="I86" s="2525">
        <f>I84-I85</f>
        <v>-210.22727272727272</v>
      </c>
      <c r="J86" s="2526"/>
      <c r="K86" s="2554"/>
      <c r="L86" s="2525">
        <f>L84-L85</f>
        <v>0</v>
      </c>
      <c r="M86" s="2525">
        <f>M84-M85</f>
        <v>0</v>
      </c>
      <c r="N86" s="2525">
        <f>N84-N85</f>
        <v>0</v>
      </c>
      <c r="O86" s="2526"/>
      <c r="P86" s="2554"/>
      <c r="Q86" s="2525">
        <f>Q84-Q85</f>
        <v>-17250</v>
      </c>
      <c r="R86" s="2525">
        <f>R84-R85</f>
        <v>0</v>
      </c>
      <c r="S86" s="2525">
        <f>S84-S85</f>
        <v>-17250</v>
      </c>
      <c r="T86" s="2526"/>
      <c r="U86" s="2523"/>
      <c r="V86" s="2525">
        <f>V84-V85</f>
        <v>0</v>
      </c>
      <c r="W86" s="2525">
        <f>W84-W85</f>
        <v>0</v>
      </c>
      <c r="X86" s="2525">
        <f>X84-X85</f>
        <v>0</v>
      </c>
      <c r="Y86" s="2526"/>
      <c r="Z86" s="2554"/>
      <c r="AA86" s="2525">
        <f>AA84-AA85</f>
        <v>0</v>
      </c>
      <c r="AB86" s="2525">
        <f>AB84-AB85</f>
        <v>0</v>
      </c>
      <c r="AC86" s="2525">
        <f>AC84-AC85</f>
        <v>0</v>
      </c>
      <c r="AD86" s="2526"/>
      <c r="AE86" s="2554"/>
      <c r="AF86" s="2525">
        <f>AF84-AF85</f>
        <v>0</v>
      </c>
      <c r="AG86" s="2525">
        <f>AG84-AG85</f>
        <v>0</v>
      </c>
      <c r="AH86" s="2525">
        <f>AH84-AH85</f>
        <v>0</v>
      </c>
      <c r="AI86" s="2526"/>
      <c r="AJ86" s="2554"/>
      <c r="AK86" s="2525">
        <f>AK84-AK85</f>
        <v>-17250</v>
      </c>
      <c r="AL86" s="2525">
        <f>AL84-AL85</f>
        <v>-185</v>
      </c>
      <c r="AM86" s="2525">
        <f>AM84-AM85</f>
        <v>-17460.227272727272</v>
      </c>
      <c r="AN86" s="2526"/>
      <c r="AO86" s="2526"/>
    </row>
    <row r="87" spans="1:41" s="1396" customFormat="1" ht="14.4" thickBot="1">
      <c r="A87" s="1567"/>
      <c r="B87" s="2494" t="s">
        <v>51</v>
      </c>
      <c r="C87" s="2527" t="e">
        <f>C86/C5</f>
        <v>#DIV/0!</v>
      </c>
      <c r="D87" s="2528" t="e">
        <f>D86/D5</f>
        <v>#DIV/0!</v>
      </c>
      <c r="E87" s="2529" t="e">
        <f>E86/E5</f>
        <v>#DIV/0!</v>
      </c>
      <c r="F87" s="2555"/>
      <c r="G87" s="2527" t="e">
        <f>G86/G5</f>
        <v>#DIV/0!</v>
      </c>
      <c r="H87" s="2528" t="e">
        <f>H86/H5</f>
        <v>#DIV/0!</v>
      </c>
      <c r="I87" s="2529" t="e">
        <f>I86/I5</f>
        <v>#DIV/0!</v>
      </c>
      <c r="J87" s="2530"/>
      <c r="K87" s="2556"/>
      <c r="L87" s="2527" t="e">
        <f>L86/L5</f>
        <v>#DIV/0!</v>
      </c>
      <c r="M87" s="2528" t="e">
        <f>M86/M5</f>
        <v>#DIV/0!</v>
      </c>
      <c r="N87" s="2529" t="e">
        <f>N86/N5</f>
        <v>#DIV/0!</v>
      </c>
      <c r="O87" s="2530"/>
      <c r="P87" s="2556"/>
      <c r="Q87" s="2527" t="e">
        <f>Q86/Q5</f>
        <v>#DIV/0!</v>
      </c>
      <c r="R87" s="2528" t="e">
        <f>R86/R5</f>
        <v>#DIV/0!</v>
      </c>
      <c r="S87" s="2529" t="e">
        <f>S86/S5</f>
        <v>#DIV/0!</v>
      </c>
      <c r="T87" s="2530"/>
      <c r="U87" s="2531"/>
      <c r="V87" s="2527" t="e">
        <f>V86/V5</f>
        <v>#DIV/0!</v>
      </c>
      <c r="W87" s="2528" t="e">
        <f>W86/W5</f>
        <v>#DIV/0!</v>
      </c>
      <c r="X87" s="2529" t="e">
        <f>X86/X5</f>
        <v>#DIV/0!</v>
      </c>
      <c r="Y87" s="2530"/>
      <c r="Z87" s="2556"/>
      <c r="AA87" s="2527" t="e">
        <f>AA86/AA5</f>
        <v>#DIV/0!</v>
      </c>
      <c r="AB87" s="2528" t="e">
        <f>AB86/AB5</f>
        <v>#DIV/0!</v>
      </c>
      <c r="AC87" s="2529" t="e">
        <f>AC86/AC5</f>
        <v>#DIV/0!</v>
      </c>
      <c r="AD87" s="2530"/>
      <c r="AE87" s="2556"/>
      <c r="AF87" s="2527" t="e">
        <f>AF86/AF5</f>
        <v>#DIV/0!</v>
      </c>
      <c r="AG87" s="2528" t="e">
        <f>AG86/AG5</f>
        <v>#DIV/0!</v>
      </c>
      <c r="AH87" s="2529" t="e">
        <f>AH86/AH5</f>
        <v>#DIV/0!</v>
      </c>
      <c r="AI87" s="2530"/>
      <c r="AJ87" s="2556"/>
      <c r="AK87" s="2527" t="e">
        <f>AK86/AK5</f>
        <v>#DIV/0!</v>
      </c>
      <c r="AL87" s="2528" t="e">
        <f>AL86/AL5</f>
        <v>#DIV/0!</v>
      </c>
      <c r="AM87" s="2529" t="e">
        <f>AM86/AM5</f>
        <v>#DIV/0!</v>
      </c>
      <c r="AN87" s="2530"/>
      <c r="AO87" s="2530"/>
    </row>
    <row r="88" spans="1:41" ht="13.8">
      <c r="A88" s="1423"/>
      <c r="B88" s="1423"/>
      <c r="C88" s="1521"/>
      <c r="D88" s="1521"/>
      <c r="E88" s="1521"/>
      <c r="F88" s="1549"/>
      <c r="G88" s="1954"/>
      <c r="H88" s="1954"/>
      <c r="I88" s="1954"/>
      <c r="J88" s="1954"/>
      <c r="K88" s="1613"/>
      <c r="L88" s="1954"/>
      <c r="M88" s="1954"/>
      <c r="N88" s="1954"/>
      <c r="O88" s="1954"/>
      <c r="P88" s="1613"/>
      <c r="Q88" s="1954"/>
      <c r="R88" s="1954"/>
      <c r="S88" s="1954"/>
      <c r="T88" s="1954"/>
      <c r="U88" s="1605"/>
      <c r="V88" s="1954"/>
      <c r="W88" s="1954"/>
      <c r="X88" s="1954"/>
      <c r="Y88" s="1954"/>
      <c r="Z88" s="1613"/>
      <c r="AA88" s="1954"/>
      <c r="AB88" s="1954"/>
      <c r="AC88" s="1954"/>
      <c r="AD88" s="1954"/>
      <c r="AE88" s="1613"/>
      <c r="AF88" s="1954"/>
      <c r="AG88" s="1954"/>
      <c r="AH88" s="1954"/>
      <c r="AI88" s="1954"/>
      <c r="AJ88" s="1613"/>
      <c r="AK88" s="1954"/>
      <c r="AL88" s="1954"/>
      <c r="AM88" s="1954"/>
      <c r="AN88" s="1954"/>
      <c r="AO88" s="1954"/>
    </row>
    <row r="89" spans="1:41">
      <c r="B89" s="1562" t="s">
        <v>56</v>
      </c>
      <c r="C89" s="1522"/>
      <c r="D89" s="1522"/>
      <c r="E89" s="1960">
        <f>E8+E36+E41+E50+E54+E73+E79+E82+E85</f>
        <v>0</v>
      </c>
      <c r="F89" s="189"/>
      <c r="I89" s="1960">
        <f>I8+I36+I41+I50+I54+I73+I79+I82+I85</f>
        <v>210.22727272727272</v>
      </c>
      <c r="K89" s="1592"/>
      <c r="N89" s="1960">
        <f>N8+N36+N41+N50+N54+N73+N79+N82+N85</f>
        <v>0</v>
      </c>
      <c r="P89" s="1592"/>
      <c r="S89" s="1960">
        <f>S8+S36+S41+S50+S54+S73+S79+S82+S85</f>
        <v>17250</v>
      </c>
      <c r="U89" s="1606"/>
      <c r="X89" s="1960">
        <f>X8+X36+X41+X50+X54+X73+X79+X82+X85</f>
        <v>0</v>
      </c>
      <c r="Z89" s="1592"/>
      <c r="AC89" s="1960">
        <f>AC8+AC36+AC41+AC50+AC54+AC73+AC79+AC82+AC85</f>
        <v>0</v>
      </c>
      <c r="AE89" s="1592"/>
      <c r="AH89" s="1960">
        <f>AH8+AH36+AH41+AH50+AH54+AH73+AH79+AH82+AH85</f>
        <v>0</v>
      </c>
      <c r="AJ89" s="1592"/>
      <c r="AM89" s="1960">
        <f>AM8+AM36+AM41+AM50+AM54+AM73+AM79+AM82+AM85</f>
        <v>17460.227272727272</v>
      </c>
    </row>
    <row r="90" spans="1:41">
      <c r="C90" s="1522"/>
      <c r="D90" s="1522"/>
      <c r="E90" s="1522"/>
      <c r="K90" s="1592"/>
      <c r="P90" s="1592"/>
      <c r="Q90" s="2468"/>
      <c r="R90" s="2468"/>
      <c r="S90" s="2468"/>
      <c r="T90" s="2468"/>
      <c r="U90" s="1857"/>
      <c r="V90" s="1592"/>
      <c r="W90" s="1592"/>
      <c r="X90" s="1592"/>
      <c r="Y90" s="1592"/>
      <c r="Z90" s="1592"/>
      <c r="AA90" s="1592"/>
      <c r="AB90" s="1592"/>
      <c r="AC90" s="1592"/>
      <c r="AD90" s="1592"/>
      <c r="AE90" s="1592"/>
      <c r="AF90" s="1592"/>
      <c r="AG90" s="1592"/>
      <c r="AH90" s="1592"/>
      <c r="AI90" s="1592"/>
      <c r="AJ90" s="1592"/>
      <c r="AM90" s="1606" t="b">
        <f>(I89+N89+S89+X89+AC89)=AM89</f>
        <v>1</v>
      </c>
    </row>
    <row r="91" spans="1:41" s="1396" customFormat="1">
      <c r="A91" s="1402"/>
      <c r="B91" s="1402"/>
      <c r="C91" s="1522"/>
      <c r="D91" s="1522"/>
      <c r="E91" s="1522"/>
      <c r="F91" s="1952"/>
      <c r="G91" s="1952"/>
      <c r="H91" s="1952"/>
      <c r="I91" s="1952"/>
      <c r="J91" s="1952"/>
      <c r="K91" s="1592"/>
      <c r="L91" s="1592"/>
      <c r="M91" s="1592"/>
      <c r="N91" s="1592"/>
      <c r="O91" s="1592"/>
      <c r="P91" s="1592"/>
      <c r="Q91" s="2468"/>
      <c r="R91" s="1586"/>
      <c r="S91" s="1586"/>
      <c r="T91" s="1586"/>
      <c r="U91" s="1857"/>
      <c r="V91" s="1592"/>
      <c r="W91" s="1592"/>
      <c r="X91" s="1592"/>
      <c r="Y91" s="1592"/>
      <c r="Z91" s="1592"/>
      <c r="AA91" s="1592"/>
      <c r="AB91" s="1592"/>
      <c r="AC91" s="1592"/>
      <c r="AD91" s="1592"/>
      <c r="AE91" s="1592"/>
      <c r="AF91" s="1592"/>
      <c r="AG91" s="1592"/>
      <c r="AH91" s="1592"/>
      <c r="AI91" s="1592"/>
      <c r="AJ91" s="1592"/>
      <c r="AK91" s="1952"/>
      <c r="AL91" s="1952"/>
      <c r="AM91" s="1952"/>
      <c r="AN91" s="1952"/>
      <c r="AO91" s="1952"/>
    </row>
    <row r="92" spans="1:41">
      <c r="C92" s="1952"/>
      <c r="D92" s="1952"/>
      <c r="K92" s="1592"/>
      <c r="M92" s="1592"/>
      <c r="N92" s="1592"/>
      <c r="O92" s="1592"/>
      <c r="P92" s="1592"/>
      <c r="Q92" s="1342"/>
      <c r="R92" s="1218"/>
      <c r="S92" s="1218"/>
      <c r="T92" s="1218"/>
      <c r="U92" s="1342"/>
      <c r="V92" s="1592"/>
      <c r="W92" s="1592"/>
      <c r="X92" s="1592"/>
      <c r="Y92" s="1592"/>
      <c r="Z92" s="1592"/>
      <c r="AA92" s="1592"/>
      <c r="AB92" s="1592"/>
      <c r="AC92" s="1592"/>
      <c r="AD92" s="1592"/>
      <c r="AE92" s="1592"/>
      <c r="AF92" s="1592"/>
      <c r="AG92" s="1592"/>
      <c r="AH92" s="1592"/>
      <c r="AI92" s="1592"/>
      <c r="AJ92" s="1592"/>
    </row>
    <row r="93" spans="1:41" s="1396" customFormat="1">
      <c r="A93" s="1402"/>
      <c r="B93" s="1655"/>
      <c r="C93" s="1952"/>
      <c r="D93" s="1952"/>
      <c r="E93" s="1952"/>
      <c r="F93" s="1952"/>
      <c r="G93" s="1952"/>
      <c r="H93" s="1952"/>
      <c r="I93" s="1952"/>
      <c r="J93" s="1952"/>
      <c r="K93" s="1592"/>
      <c r="L93" s="1952"/>
      <c r="M93" s="1592"/>
      <c r="N93" s="1592"/>
      <c r="O93" s="1592"/>
      <c r="P93" s="1592"/>
      <c r="Q93" s="1036"/>
      <c r="R93" s="1218"/>
      <c r="S93" s="1218"/>
      <c r="T93" s="1218"/>
      <c r="U93" s="1036"/>
      <c r="V93" s="1592"/>
      <c r="W93" s="1592"/>
      <c r="X93" s="687">
        <f>X5-X89</f>
        <v>0</v>
      </c>
      <c r="Y93" s="1592"/>
      <c r="Z93" s="1592"/>
      <c r="AA93" s="1592"/>
      <c r="AB93" s="1592"/>
      <c r="AC93" s="687">
        <f>AC8-AC89</f>
        <v>0</v>
      </c>
      <c r="AD93" s="1592"/>
      <c r="AE93" s="1592"/>
      <c r="AF93" s="1592"/>
      <c r="AG93" s="1592"/>
      <c r="AH93" s="687"/>
      <c r="AI93" s="1592"/>
      <c r="AJ93" s="1592"/>
      <c r="AK93" s="1952"/>
      <c r="AL93" s="1952"/>
      <c r="AM93" s="687"/>
      <c r="AN93" s="1952"/>
      <c r="AO93" s="1952"/>
    </row>
    <row r="94" spans="1:41" s="1396" customFormat="1">
      <c r="A94" s="1402"/>
      <c r="B94" s="1655"/>
      <c r="C94" s="1952"/>
      <c r="D94" s="1952"/>
      <c r="E94" s="1952"/>
      <c r="F94" s="1952"/>
      <c r="G94" s="1952"/>
      <c r="H94" s="1952"/>
      <c r="I94" s="1952"/>
      <c r="J94" s="1952"/>
      <c r="K94" s="1592"/>
      <c r="L94" s="1654"/>
      <c r="M94" s="1592"/>
      <c r="N94" s="1592"/>
      <c r="O94" s="1592"/>
      <c r="P94" s="1592"/>
      <c r="Q94" s="1963"/>
      <c r="R94" s="1963"/>
      <c r="S94" s="1963"/>
      <c r="T94" s="1963"/>
      <c r="U94" s="1963"/>
      <c r="V94" s="1592"/>
      <c r="W94" s="1592"/>
      <c r="X94" s="1592"/>
      <c r="Y94" s="1592"/>
      <c r="Z94" s="1592"/>
      <c r="AA94" s="1592"/>
      <c r="AB94" s="1592"/>
      <c r="AC94" s="1592"/>
      <c r="AD94" s="1592"/>
      <c r="AE94" s="1592"/>
      <c r="AF94" s="1592"/>
      <c r="AG94" s="1592"/>
      <c r="AH94" s="1592"/>
      <c r="AI94" s="1592"/>
      <c r="AJ94" s="1592"/>
      <c r="AK94" s="1654"/>
      <c r="AL94" s="1952"/>
      <c r="AM94" s="1952"/>
      <c r="AN94" s="1952"/>
      <c r="AO94" s="1952"/>
    </row>
    <row r="95" spans="1:41" s="1396" customFormat="1">
      <c r="A95" s="1402"/>
      <c r="B95" s="1655"/>
      <c r="C95" s="1952"/>
      <c r="D95" s="1952"/>
      <c r="E95" s="1952"/>
      <c r="F95" s="1952"/>
      <c r="G95" s="1952"/>
      <c r="H95" s="1952"/>
      <c r="I95" s="1952"/>
      <c r="J95" s="1952"/>
      <c r="K95" s="1592"/>
      <c r="L95" s="1952"/>
      <c r="M95" s="1592"/>
      <c r="N95" s="1592"/>
      <c r="O95" s="1592"/>
      <c r="P95" s="1592"/>
      <c r="Q95" s="1963"/>
      <c r="R95" s="1963"/>
      <c r="S95" s="1963"/>
      <c r="T95" s="1963"/>
      <c r="U95" s="1963"/>
      <c r="V95" s="1592"/>
      <c r="W95" s="1592"/>
      <c r="X95" s="1592"/>
      <c r="Y95" s="1592"/>
      <c r="Z95" s="1592"/>
      <c r="AA95" s="1592"/>
      <c r="AB95" s="1592"/>
      <c r="AC95" s="1592"/>
      <c r="AD95" s="1592"/>
      <c r="AE95" s="1592"/>
      <c r="AF95" s="1592"/>
      <c r="AG95" s="1592"/>
      <c r="AH95" s="1592"/>
      <c r="AI95" s="1592"/>
      <c r="AJ95" s="1592"/>
      <c r="AK95" s="1952"/>
      <c r="AL95" s="1952"/>
      <c r="AM95" s="1952"/>
      <c r="AN95" s="1952"/>
      <c r="AO95" s="1952"/>
    </row>
    <row r="96" spans="1:41" s="1396" customFormat="1">
      <c r="A96" s="1402"/>
      <c r="B96" s="1655"/>
      <c r="C96" s="1952"/>
      <c r="D96" s="1952"/>
      <c r="E96" s="1952"/>
      <c r="F96" s="1952"/>
      <c r="G96" s="1952"/>
      <c r="H96" s="1952"/>
      <c r="I96" s="1952"/>
      <c r="J96" s="1952"/>
      <c r="K96" s="1592"/>
      <c r="L96" s="1952"/>
      <c r="M96" s="1592"/>
      <c r="N96" s="1592"/>
      <c r="O96" s="1592"/>
      <c r="P96" s="1592"/>
      <c r="Q96" s="1963"/>
      <c r="R96" s="1963"/>
      <c r="S96" s="1963"/>
      <c r="T96" s="1963"/>
      <c r="U96" s="1963"/>
      <c r="V96" s="1592"/>
      <c r="W96" s="1592"/>
      <c r="X96" s="1592"/>
      <c r="Y96" s="1592"/>
      <c r="Z96" s="1592"/>
      <c r="AA96" s="1592"/>
      <c r="AB96" s="1592"/>
      <c r="AC96" s="1592"/>
      <c r="AD96" s="1592"/>
      <c r="AE96" s="1592"/>
      <c r="AF96" s="1592"/>
      <c r="AG96" s="1592"/>
      <c r="AH96" s="1592"/>
      <c r="AI96" s="1592"/>
      <c r="AJ96" s="1592"/>
      <c r="AK96" s="1952"/>
      <c r="AL96" s="1952"/>
      <c r="AM96" s="1952"/>
      <c r="AN96" s="1952"/>
      <c r="AO96" s="1952"/>
    </row>
    <row r="97" spans="1:41">
      <c r="C97" s="1952"/>
      <c r="D97" s="1952"/>
      <c r="K97" s="1592"/>
      <c r="M97" s="1592"/>
      <c r="N97" s="1592"/>
      <c r="O97" s="1592"/>
      <c r="P97" s="1592"/>
      <c r="Q97" s="1963"/>
      <c r="R97" s="1963"/>
      <c r="S97" s="1963"/>
      <c r="T97" s="1963"/>
      <c r="U97" s="1963"/>
      <c r="V97" s="1592"/>
      <c r="W97" s="1592"/>
      <c r="X97" s="1592"/>
      <c r="Y97" s="1592"/>
      <c r="Z97" s="1592"/>
      <c r="AA97" s="1592"/>
      <c r="AB97" s="1592"/>
      <c r="AC97" s="1592"/>
      <c r="AD97" s="1592"/>
      <c r="AE97" s="1592"/>
      <c r="AF97" s="1592"/>
      <c r="AG97" s="1592"/>
      <c r="AH97" s="1592"/>
      <c r="AI97" s="1592"/>
      <c r="AJ97" s="1592"/>
    </row>
    <row r="98" spans="1:41" s="1396" customFormat="1">
      <c r="A98" s="1402"/>
      <c r="B98" s="1402"/>
      <c r="C98" s="1952"/>
      <c r="D98" s="1952"/>
      <c r="E98" s="1952"/>
      <c r="F98" s="1952"/>
      <c r="G98" s="1952"/>
      <c r="H98" s="1952"/>
      <c r="I98" s="1952"/>
      <c r="J98" s="1952"/>
      <c r="K98" s="1592"/>
      <c r="L98" s="1952"/>
      <c r="M98" s="1592"/>
      <c r="N98" s="1592"/>
      <c r="O98" s="1592"/>
      <c r="P98" s="1592"/>
      <c r="Q98" s="1952"/>
      <c r="R98" s="1586"/>
      <c r="S98" s="1586"/>
      <c r="T98" s="1586"/>
      <c r="U98" s="1952"/>
      <c r="V98" s="1592"/>
      <c r="W98" s="1592"/>
      <c r="X98" s="1592"/>
      <c r="Y98" s="1592"/>
      <c r="Z98" s="1592"/>
      <c r="AA98" s="1592"/>
      <c r="AB98" s="1592"/>
      <c r="AC98" s="1592"/>
      <c r="AD98" s="1592"/>
      <c r="AE98" s="1592"/>
      <c r="AF98" s="1592"/>
      <c r="AG98" s="1592"/>
      <c r="AH98" s="1592"/>
      <c r="AI98" s="1592"/>
      <c r="AJ98" s="1592"/>
      <c r="AK98" s="1952"/>
      <c r="AL98" s="1952"/>
      <c r="AM98" s="1952"/>
      <c r="AN98" s="1952"/>
      <c r="AO98" s="1952"/>
    </row>
    <row r="99" spans="1:41">
      <c r="C99" s="1952"/>
      <c r="D99" s="1952"/>
      <c r="R99" s="1586"/>
      <c r="S99" s="1586"/>
      <c r="T99" s="1586"/>
    </row>
    <row r="100" spans="1:41">
      <c r="R100" s="1586"/>
      <c r="S100" s="1586"/>
      <c r="T100" s="1586"/>
    </row>
    <row r="101" spans="1:41">
      <c r="R101" s="1586"/>
      <c r="S101" s="1586"/>
      <c r="T101" s="1586"/>
    </row>
    <row r="102" spans="1:41">
      <c r="R102" s="1586"/>
      <c r="S102" s="1586"/>
      <c r="T102" s="1586"/>
    </row>
    <row r="103" spans="1:41">
      <c r="R103" s="1586"/>
      <c r="S103" s="1586"/>
      <c r="T103" s="1586"/>
    </row>
    <row r="104" spans="1:41">
      <c r="R104" s="1586"/>
      <c r="S104" s="1586"/>
      <c r="T104" s="1586"/>
    </row>
    <row r="105" spans="1:41">
      <c r="R105" s="1586"/>
      <c r="S105" s="1586"/>
      <c r="T105" s="1586"/>
    </row>
    <row r="113" spans="18:21">
      <c r="R113" s="1395"/>
      <c r="S113" s="1395"/>
      <c r="T113" s="1395"/>
    </row>
    <row r="114" spans="18:21">
      <c r="R114" s="1395"/>
      <c r="S114" s="1395"/>
      <c r="T114" s="1395"/>
    </row>
    <row r="115" spans="18:21">
      <c r="R115" s="1395"/>
      <c r="S115" s="1395"/>
      <c r="T115" s="1395"/>
    </row>
    <row r="116" spans="18:21">
      <c r="R116" s="1395"/>
      <c r="S116" s="1395"/>
      <c r="T116" s="1395"/>
    </row>
    <row r="117" spans="18:21">
      <c r="R117" s="1395"/>
      <c r="S117" s="1395"/>
      <c r="T117" s="1395"/>
    </row>
    <row r="118" spans="18:21">
      <c r="R118" s="1395"/>
      <c r="S118" s="1395"/>
      <c r="T118" s="1395"/>
      <c r="U118" s="1395"/>
    </row>
  </sheetData>
  <mergeCells count="10">
    <mergeCell ref="A42:A48"/>
    <mergeCell ref="A2:F2"/>
    <mergeCell ref="G2:K3"/>
    <mergeCell ref="L2:P3"/>
    <mergeCell ref="Q2:U3"/>
    <mergeCell ref="AF2:AJ3"/>
    <mergeCell ref="A3:F3"/>
    <mergeCell ref="AA2:AE3"/>
    <mergeCell ref="V2:Z3"/>
    <mergeCell ref="AK2:AN3"/>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EG115"/>
  <sheetViews>
    <sheetView showZeros="0" zoomScale="85" zoomScaleNormal="85" workbookViewId="0">
      <pane xSplit="2" ySplit="4" topLeftCell="BF50" activePane="bottomRight" state="frozen"/>
      <selection activeCell="AC58" sqref="AC58"/>
      <selection pane="topRight" activeCell="AC58" sqref="AC58"/>
      <selection pane="bottomLeft" activeCell="AC58" sqref="AC58"/>
      <selection pane="bottomRight" activeCell="AC58" sqref="AC58"/>
    </sheetView>
  </sheetViews>
  <sheetFormatPr defaultColWidth="2.88671875" defaultRowHeight="13.2" outlineLevelRow="1" outlineLevelCol="1"/>
  <cols>
    <col min="1" max="1" width="1.6640625" style="1402" customWidth="1"/>
    <col min="2" max="2" width="51.33203125" style="1402" customWidth="1"/>
    <col min="3" max="4" width="13.33203125" style="1952" hidden="1" customWidth="1" outlineLevel="1"/>
    <col min="5" max="5" width="14.6640625" style="1952" hidden="1" customWidth="1" outlineLevel="1"/>
    <col min="6" max="6" width="9.109375" style="1952" hidden="1" customWidth="1" outlineLevel="1"/>
    <col min="7" max="7" width="15.6640625" style="1952" hidden="1" customWidth="1" outlineLevel="1"/>
    <col min="8" max="9" width="13.33203125" style="1952" hidden="1" customWidth="1" outlineLevel="1"/>
    <col min="10" max="10" width="16" style="1952" hidden="1" customWidth="1" outlineLevel="1"/>
    <col min="11" max="11" width="4.88671875" style="1952" hidden="1" customWidth="1" outlineLevel="1"/>
    <col min="12" max="12" width="5.109375" style="1952" hidden="1" customWidth="1" outlineLevel="1"/>
    <col min="13" max="14" width="8.88671875" style="1952" hidden="1" customWidth="1" outlineLevel="1"/>
    <col min="15" max="15" width="11.6640625" style="1952" hidden="1" customWidth="1" outlineLevel="1"/>
    <col min="16" max="17" width="8.88671875" style="1952" hidden="1" customWidth="1" outlineLevel="1"/>
    <col min="18" max="21" width="13.33203125" style="1952" hidden="1" customWidth="1" outlineLevel="1"/>
    <col min="22" max="22" width="36.6640625" style="1952" hidden="1" customWidth="1" outlineLevel="1"/>
    <col min="23" max="26" width="13.88671875" style="1952" hidden="1" customWidth="1" outlineLevel="1"/>
    <col min="27" max="27" width="50.33203125" style="1952" hidden="1" customWidth="1" outlineLevel="1"/>
    <col min="28" max="31" width="13.109375" style="1952" hidden="1" customWidth="1" outlineLevel="1"/>
    <col min="32" max="32" width="46.6640625" style="1952" hidden="1" customWidth="1" outlineLevel="1"/>
    <col min="33" max="33" width="12.88671875" style="1952" hidden="1" customWidth="1" outlineLevel="1" collapsed="1"/>
    <col min="34" max="36" width="12.88671875" style="1952" hidden="1" customWidth="1" outlineLevel="1"/>
    <col min="37" max="37" width="37.109375" style="1952" hidden="1" customWidth="1" outlineLevel="1"/>
    <col min="38" max="41" width="14.6640625" style="1952" hidden="1" customWidth="1" outlineLevel="1"/>
    <col min="42" max="42" width="40.33203125" style="1952" hidden="1" customWidth="1" outlineLevel="1"/>
    <col min="43" max="46" width="12.88671875" style="1952" hidden="1" customWidth="1" outlineLevel="1"/>
    <col min="47" max="47" width="33.33203125" style="1952" hidden="1" customWidth="1" outlineLevel="1"/>
    <col min="48" max="51" width="16" style="1952" hidden="1" customWidth="1" outlineLevel="1"/>
    <col min="52" max="52" width="32.5546875" style="1952" hidden="1" customWidth="1" outlineLevel="1"/>
    <col min="53" max="56" width="16.6640625" style="1952" hidden="1" customWidth="1" outlineLevel="1"/>
    <col min="57" max="57" width="37.33203125" style="1952" hidden="1" customWidth="1" outlineLevel="1"/>
    <col min="58" max="58" width="16.6640625" style="1952" hidden="1" customWidth="1" outlineLevel="1" collapsed="1"/>
    <col min="59" max="62" width="17.33203125" style="1952" hidden="1" customWidth="1" outlineLevel="1"/>
    <col min="63" max="63" width="16.6640625" style="1952" customWidth="1" collapsed="1"/>
    <col min="64" max="67" width="17.33203125" style="1952" customWidth="1"/>
    <col min="68" max="71" width="14.5546875" style="1952" customWidth="1"/>
    <col min="72" max="72" width="24.6640625" style="1952" customWidth="1"/>
    <col min="73" max="76" width="12.88671875" style="1952" hidden="1" customWidth="1" outlineLevel="1"/>
    <col min="77" max="77" width="27.44140625" style="1952" hidden="1" customWidth="1" outlineLevel="1"/>
    <col min="78" max="81" width="13.44140625" style="1952" hidden="1" customWidth="1" outlineLevel="1"/>
    <col min="82" max="82" width="26.109375" style="1952" hidden="1" customWidth="1" outlineLevel="1"/>
    <col min="83" max="86" width="14.88671875" style="1952" hidden="1" customWidth="1" outlineLevel="1"/>
    <col min="87" max="87" width="31.6640625" style="1952" hidden="1" customWidth="1" outlineLevel="1"/>
    <col min="88" max="88" width="12.88671875" style="1952" hidden="1" customWidth="1" outlineLevel="1" collapsed="1"/>
    <col min="89" max="91" width="12.88671875" style="1952" hidden="1" customWidth="1" outlineLevel="1"/>
    <col min="92" max="92" width="41.6640625" style="1952" hidden="1" customWidth="1" outlineLevel="1"/>
    <col min="93" max="96" width="14.109375" style="1952" hidden="1" customWidth="1" outlineLevel="1"/>
    <col min="97" max="97" width="29.109375" style="1952" hidden="1" customWidth="1" outlineLevel="1"/>
    <col min="98" max="101" width="14.88671875" style="1952" hidden="1" customWidth="1" outlineLevel="1"/>
    <col min="102" max="102" width="39.33203125" style="1952" hidden="1" customWidth="1" outlineLevel="1"/>
    <col min="103" max="106" width="13.109375" style="1952" hidden="1" customWidth="1" outlineLevel="1"/>
    <col min="107" max="107" width="45.33203125" style="1952" hidden="1" customWidth="1" outlineLevel="1"/>
    <col min="108" max="111" width="13.109375" style="1952" hidden="1" customWidth="1" outlineLevel="1"/>
    <col min="112" max="112" width="34.33203125" style="1952" hidden="1" customWidth="1" outlineLevel="1"/>
    <col min="113" max="113" width="12.33203125" style="1952" hidden="1" customWidth="1" outlineLevel="1" collapsed="1"/>
    <col min="114" max="114" width="16.33203125" style="1952" hidden="1" customWidth="1" outlineLevel="1"/>
    <col min="115" max="115" width="17" style="1952" hidden="1" customWidth="1" outlineLevel="1"/>
    <col min="116" max="116" width="6.44140625" style="1952" hidden="1" customWidth="1" outlineLevel="1"/>
    <col min="117" max="117" width="30.5546875" style="1952" hidden="1" customWidth="1" outlineLevel="1"/>
    <col min="118" max="118" width="12.6640625" style="1952" hidden="1" customWidth="1" outlineLevel="1" collapsed="1"/>
    <col min="119" max="121" width="12.6640625" style="1952" hidden="1" customWidth="1" outlineLevel="1"/>
    <col min="122" max="122" width="37.33203125" style="1952" hidden="1" customWidth="1" outlineLevel="1"/>
    <col min="123" max="123" width="14" style="1952" hidden="1" customWidth="1" outlineLevel="1"/>
    <col min="124" max="124" width="12.6640625" style="1952" hidden="1" customWidth="1" outlineLevel="1"/>
    <col min="125" max="125" width="14.6640625" style="1952" hidden="1" customWidth="1" outlineLevel="1"/>
    <col min="126" max="126" width="12.6640625" style="1952" hidden="1" customWidth="1" outlineLevel="1"/>
    <col min="127" max="127" width="39.6640625" style="1952" hidden="1" customWidth="1" outlineLevel="1"/>
    <col min="128" max="128" width="15.6640625" style="1952" customWidth="1" collapsed="1"/>
    <col min="129" max="132" width="15.6640625" style="1952" customWidth="1"/>
    <col min="133" max="133" width="2.88671875" style="1395"/>
    <col min="134" max="135" width="26.6640625" style="1952" hidden="1" customWidth="1" outlineLevel="1"/>
    <col min="136" max="136" width="35.33203125" style="1402" hidden="1" customWidth="1" outlineLevel="1"/>
    <col min="137" max="137" width="2.88671875" style="1395" collapsed="1"/>
    <col min="138" max="16384" width="2.88671875" style="1395"/>
  </cols>
  <sheetData>
    <row r="1" spans="1:136" ht="15" thickBot="1">
      <c r="H1" s="5092" t="s">
        <v>192</v>
      </c>
      <c r="I1" s="5092"/>
      <c r="J1" s="5092"/>
      <c r="AV1" s="2123"/>
      <c r="AW1" s="2123"/>
      <c r="AX1" s="2123"/>
      <c r="AY1" s="2123"/>
      <c r="AZ1" s="2123"/>
    </row>
    <row r="2" spans="1:136" ht="13.8">
      <c r="A2" s="4834" t="s">
        <v>940</v>
      </c>
      <c r="B2" s="4835"/>
      <c r="C2" s="4837" t="s">
        <v>136</v>
      </c>
      <c r="D2" s="4838"/>
      <c r="E2" s="4838"/>
      <c r="F2" s="4838"/>
      <c r="G2" s="3339"/>
      <c r="H2" s="4841" t="s">
        <v>465</v>
      </c>
      <c r="I2" s="4842"/>
      <c r="J2" s="4842"/>
      <c r="K2" s="4842"/>
      <c r="L2" s="4843"/>
      <c r="M2" s="4982" t="s">
        <v>969</v>
      </c>
      <c r="N2" s="4983"/>
      <c r="O2" s="4983"/>
      <c r="P2" s="4983"/>
      <c r="Q2" s="4984"/>
      <c r="R2" s="4973" t="s">
        <v>970</v>
      </c>
      <c r="S2" s="4974"/>
      <c r="T2" s="4974"/>
      <c r="U2" s="4974"/>
      <c r="V2" s="4975"/>
      <c r="W2" s="4837" t="s">
        <v>1006</v>
      </c>
      <c r="X2" s="4838"/>
      <c r="Y2" s="4838"/>
      <c r="Z2" s="4838"/>
      <c r="AA2" s="4953"/>
      <c r="AB2" s="4837" t="s">
        <v>1062</v>
      </c>
      <c r="AC2" s="4838"/>
      <c r="AD2" s="4838"/>
      <c r="AE2" s="4838"/>
      <c r="AF2" s="4953"/>
      <c r="AG2" s="4892" t="s">
        <v>1066</v>
      </c>
      <c r="AH2" s="4893"/>
      <c r="AI2" s="4893"/>
      <c r="AJ2" s="4893"/>
      <c r="AK2" s="4894"/>
      <c r="AL2" s="4904" t="s">
        <v>1107</v>
      </c>
      <c r="AM2" s="4905"/>
      <c r="AN2" s="4905"/>
      <c r="AO2" s="4905"/>
      <c r="AP2" s="4905"/>
      <c r="AQ2" s="4923" t="s">
        <v>1155</v>
      </c>
      <c r="AR2" s="4923"/>
      <c r="AS2" s="4923"/>
      <c r="AT2" s="4923"/>
      <c r="AU2" s="4924"/>
      <c r="AV2" s="4956" t="s">
        <v>1193</v>
      </c>
      <c r="AW2" s="4956"/>
      <c r="AX2" s="4956"/>
      <c r="AY2" s="4956"/>
      <c r="AZ2" s="4957"/>
      <c r="BA2" s="4922" t="s">
        <v>1232</v>
      </c>
      <c r="BB2" s="4923"/>
      <c r="BC2" s="4923"/>
      <c r="BD2" s="4923"/>
      <c r="BE2" s="4924"/>
      <c r="BF2" s="5114" t="s">
        <v>1376</v>
      </c>
      <c r="BG2" s="5115"/>
      <c r="BH2" s="5115"/>
      <c r="BI2" s="5115"/>
      <c r="BJ2" s="5116"/>
      <c r="BK2" s="4982">
        <v>2024</v>
      </c>
      <c r="BL2" s="4983"/>
      <c r="BM2" s="4983"/>
      <c r="BN2" s="4983"/>
      <c r="BO2" s="4984"/>
      <c r="BP2" s="5113">
        <v>45292</v>
      </c>
      <c r="BQ2" s="4842"/>
      <c r="BR2" s="4842"/>
      <c r="BS2" s="4842"/>
      <c r="BT2" s="4843"/>
      <c r="BU2" s="5093">
        <v>45323</v>
      </c>
      <c r="BV2" s="5094"/>
      <c r="BW2" s="5094"/>
      <c r="BX2" s="5094"/>
      <c r="BY2" s="5095"/>
      <c r="BZ2" s="5072">
        <v>45352</v>
      </c>
      <c r="CA2" s="4962"/>
      <c r="CB2" s="4962"/>
      <c r="CC2" s="4962"/>
      <c r="CD2" s="4963"/>
      <c r="CE2" s="5073">
        <v>45383</v>
      </c>
      <c r="CF2" s="5074"/>
      <c r="CG2" s="5074"/>
      <c r="CH2" s="5074"/>
      <c r="CI2" s="5075"/>
      <c r="CJ2" s="5086">
        <v>45413</v>
      </c>
      <c r="CK2" s="5087"/>
      <c r="CL2" s="5087"/>
      <c r="CM2" s="5087"/>
      <c r="CN2" s="5088"/>
      <c r="CO2" s="5079">
        <v>45444</v>
      </c>
      <c r="CP2" s="4899"/>
      <c r="CQ2" s="4899"/>
      <c r="CR2" s="4899"/>
      <c r="CS2" s="4900"/>
      <c r="CT2" s="5080">
        <v>45474</v>
      </c>
      <c r="CU2" s="5081"/>
      <c r="CV2" s="5081"/>
      <c r="CW2" s="5081"/>
      <c r="CX2" s="5082"/>
      <c r="CY2" s="5107">
        <v>45505</v>
      </c>
      <c r="CZ2" s="5108"/>
      <c r="DA2" s="5108"/>
      <c r="DB2" s="5108"/>
      <c r="DC2" s="5109"/>
      <c r="DD2" s="5120">
        <v>45536</v>
      </c>
      <c r="DE2" s="5121"/>
      <c r="DF2" s="5121"/>
      <c r="DG2" s="5121"/>
      <c r="DH2" s="5122"/>
      <c r="DI2" s="5054">
        <v>45566</v>
      </c>
      <c r="DJ2" s="5055"/>
      <c r="DK2" s="5055"/>
      <c r="DL2" s="5055"/>
      <c r="DM2" s="5055"/>
      <c r="DN2" s="5101">
        <v>45597</v>
      </c>
      <c r="DO2" s="5102"/>
      <c r="DP2" s="5102"/>
      <c r="DQ2" s="5102"/>
      <c r="DR2" s="5103"/>
      <c r="DS2" s="5107">
        <v>45627</v>
      </c>
      <c r="DT2" s="5108"/>
      <c r="DU2" s="5108"/>
      <c r="DV2" s="5108"/>
      <c r="DW2" s="5109"/>
      <c r="DX2" s="4874" t="s">
        <v>1861</v>
      </c>
      <c r="DY2" s="4875"/>
      <c r="DZ2" s="4875"/>
      <c r="EA2" s="4875"/>
      <c r="EB2" s="4876"/>
      <c r="ED2" s="5099" t="s">
        <v>1839</v>
      </c>
      <c r="EE2" s="5099" t="s">
        <v>1832</v>
      </c>
    </row>
    <row r="3" spans="1:136" ht="14.4" customHeight="1" thickBot="1">
      <c r="A3" s="4853" t="s">
        <v>54</v>
      </c>
      <c r="B3" s="4854"/>
      <c r="C3" s="4839"/>
      <c r="D3" s="4840"/>
      <c r="E3" s="4840"/>
      <c r="F3" s="4840"/>
      <c r="G3" s="3340"/>
      <c r="H3" s="4844"/>
      <c r="I3" s="4845"/>
      <c r="J3" s="4845"/>
      <c r="K3" s="4845"/>
      <c r="L3" s="4846"/>
      <c r="M3" s="4985"/>
      <c r="N3" s="4986"/>
      <c r="O3" s="4986"/>
      <c r="P3" s="4986"/>
      <c r="Q3" s="4987"/>
      <c r="R3" s="4976"/>
      <c r="S3" s="4977"/>
      <c r="T3" s="4977"/>
      <c r="U3" s="4977"/>
      <c r="V3" s="4978"/>
      <c r="W3" s="4839"/>
      <c r="X3" s="4840"/>
      <c r="Y3" s="4840"/>
      <c r="Z3" s="4840"/>
      <c r="AA3" s="4954"/>
      <c r="AB3" s="4839"/>
      <c r="AC3" s="4840"/>
      <c r="AD3" s="4840"/>
      <c r="AE3" s="4840"/>
      <c r="AF3" s="4954"/>
      <c r="AG3" s="4895"/>
      <c r="AH3" s="4896"/>
      <c r="AI3" s="4896"/>
      <c r="AJ3" s="4896"/>
      <c r="AK3" s="4897"/>
      <c r="AL3" s="4907"/>
      <c r="AM3" s="4908"/>
      <c r="AN3" s="4908"/>
      <c r="AO3" s="4908"/>
      <c r="AP3" s="4908"/>
      <c r="AQ3" s="4926"/>
      <c r="AR3" s="4926"/>
      <c r="AS3" s="4926"/>
      <c r="AT3" s="4926"/>
      <c r="AU3" s="4927"/>
      <c r="AV3" s="4959"/>
      <c r="AW3" s="4959"/>
      <c r="AX3" s="4959"/>
      <c r="AY3" s="4959"/>
      <c r="AZ3" s="4960"/>
      <c r="BA3" s="4925"/>
      <c r="BB3" s="4926"/>
      <c r="BC3" s="4926"/>
      <c r="BD3" s="4926"/>
      <c r="BE3" s="4927"/>
      <c r="BF3" s="5117"/>
      <c r="BG3" s="5118"/>
      <c r="BH3" s="5118"/>
      <c r="BI3" s="5118"/>
      <c r="BJ3" s="5119"/>
      <c r="BK3" s="4985"/>
      <c r="BL3" s="4986"/>
      <c r="BM3" s="4986"/>
      <c r="BN3" s="4986"/>
      <c r="BO3" s="4987"/>
      <c r="BP3" s="4844"/>
      <c r="BQ3" s="4845"/>
      <c r="BR3" s="4845"/>
      <c r="BS3" s="4845"/>
      <c r="BT3" s="4846"/>
      <c r="BU3" s="5096"/>
      <c r="BV3" s="5097"/>
      <c r="BW3" s="5097"/>
      <c r="BX3" s="5097"/>
      <c r="BY3" s="5098"/>
      <c r="BZ3" s="4964"/>
      <c r="CA3" s="4965"/>
      <c r="CB3" s="4965"/>
      <c r="CC3" s="4965"/>
      <c r="CD3" s="4966"/>
      <c r="CE3" s="5076"/>
      <c r="CF3" s="5077"/>
      <c r="CG3" s="5077"/>
      <c r="CH3" s="5077"/>
      <c r="CI3" s="5078"/>
      <c r="CJ3" s="5089"/>
      <c r="CK3" s="5090"/>
      <c r="CL3" s="5090"/>
      <c r="CM3" s="5090"/>
      <c r="CN3" s="5091"/>
      <c r="CO3" s="4901"/>
      <c r="CP3" s="4902"/>
      <c r="CQ3" s="4902"/>
      <c r="CR3" s="4902"/>
      <c r="CS3" s="4903"/>
      <c r="CT3" s="5083"/>
      <c r="CU3" s="5084"/>
      <c r="CV3" s="5084"/>
      <c r="CW3" s="5084"/>
      <c r="CX3" s="5085"/>
      <c r="CY3" s="5110"/>
      <c r="CZ3" s="5111"/>
      <c r="DA3" s="5111"/>
      <c r="DB3" s="5111"/>
      <c r="DC3" s="5112"/>
      <c r="DD3" s="5123"/>
      <c r="DE3" s="5124"/>
      <c r="DF3" s="5124"/>
      <c r="DG3" s="5124"/>
      <c r="DH3" s="5125"/>
      <c r="DI3" s="5057"/>
      <c r="DJ3" s="5058"/>
      <c r="DK3" s="5058"/>
      <c r="DL3" s="5058"/>
      <c r="DM3" s="5058"/>
      <c r="DN3" s="5104"/>
      <c r="DO3" s="5105"/>
      <c r="DP3" s="5105"/>
      <c r="DQ3" s="5105"/>
      <c r="DR3" s="5106"/>
      <c r="DS3" s="5110"/>
      <c r="DT3" s="5111"/>
      <c r="DU3" s="5111"/>
      <c r="DV3" s="5111"/>
      <c r="DW3" s="5112"/>
      <c r="DX3" s="4877"/>
      <c r="DY3" s="4878"/>
      <c r="DZ3" s="4878"/>
      <c r="EA3" s="4878"/>
      <c r="EB3" s="4879"/>
      <c r="ED3" s="5100"/>
      <c r="EE3" s="5100"/>
    </row>
    <row r="4" spans="1:136" ht="48" customHeight="1" thickBot="1">
      <c r="A4" s="1471"/>
      <c r="B4" s="1472" t="s">
        <v>11</v>
      </c>
      <c r="C4" s="1956" t="s">
        <v>55</v>
      </c>
      <c r="D4" s="1956" t="s">
        <v>18</v>
      </c>
      <c r="E4" s="1474" t="s">
        <v>39</v>
      </c>
      <c r="F4" s="1962" t="s">
        <v>40</v>
      </c>
      <c r="G4" s="1575" t="s">
        <v>87</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968</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O4" s="1956" t="s">
        <v>55</v>
      </c>
      <c r="CP4" s="1956" t="s">
        <v>18</v>
      </c>
      <c r="CQ4" s="1474" t="s">
        <v>39</v>
      </c>
      <c r="CR4" s="1962" t="s">
        <v>40</v>
      </c>
      <c r="CS4" s="1474" t="s">
        <v>19</v>
      </c>
      <c r="CT4" s="1956" t="s">
        <v>55</v>
      </c>
      <c r="CU4" s="1956" t="s">
        <v>18</v>
      </c>
      <c r="CV4" s="1474" t="s">
        <v>39</v>
      </c>
      <c r="CW4" s="1962" t="s">
        <v>40</v>
      </c>
      <c r="CX4" s="1474" t="s">
        <v>19</v>
      </c>
      <c r="CY4" s="1956" t="s">
        <v>55</v>
      </c>
      <c r="CZ4" s="1956" t="s">
        <v>18</v>
      </c>
      <c r="DA4" s="1474" t="s">
        <v>39</v>
      </c>
      <c r="DB4" s="1962" t="s">
        <v>40</v>
      </c>
      <c r="DC4" s="1474" t="s">
        <v>19</v>
      </c>
      <c r="DD4" s="1956" t="s">
        <v>55</v>
      </c>
      <c r="DE4" s="1956" t="s">
        <v>18</v>
      </c>
      <c r="DF4" s="1474" t="s">
        <v>39</v>
      </c>
      <c r="DG4" s="1962" t="s">
        <v>40</v>
      </c>
      <c r="DH4" s="1474" t="s">
        <v>19</v>
      </c>
      <c r="DI4" s="1956" t="s">
        <v>55</v>
      </c>
      <c r="DJ4" s="1956" t="s">
        <v>18</v>
      </c>
      <c r="DK4" s="1474" t="s">
        <v>39</v>
      </c>
      <c r="DL4" s="1962" t="s">
        <v>40</v>
      </c>
      <c r="DM4" s="1956" t="s">
        <v>19</v>
      </c>
      <c r="DN4" s="1956" t="s">
        <v>55</v>
      </c>
      <c r="DO4" s="1956" t="s">
        <v>18</v>
      </c>
      <c r="DP4" s="1474" t="s">
        <v>39</v>
      </c>
      <c r="DQ4" s="1962" t="s">
        <v>40</v>
      </c>
      <c r="DR4" s="1474" t="s">
        <v>19</v>
      </c>
      <c r="DS4" s="1956" t="s">
        <v>55</v>
      </c>
      <c r="DT4" s="1956" t="s">
        <v>18</v>
      </c>
      <c r="DU4" s="1474" t="s">
        <v>39</v>
      </c>
      <c r="DV4" s="1962" t="s">
        <v>40</v>
      </c>
      <c r="DW4" s="1474" t="s">
        <v>19</v>
      </c>
      <c r="DX4" s="1956" t="s">
        <v>55</v>
      </c>
      <c r="DY4" s="1956" t="s">
        <v>18</v>
      </c>
      <c r="DZ4" s="1474" t="s">
        <v>39</v>
      </c>
      <c r="EA4" s="1962" t="s">
        <v>40</v>
      </c>
      <c r="EB4" s="1474" t="s">
        <v>19</v>
      </c>
      <c r="ED4" s="1474"/>
      <c r="EE4" s="1474"/>
    </row>
    <row r="5" spans="1:136" s="2466" customFormat="1" ht="14.4" thickBot="1">
      <c r="A5" s="1462"/>
      <c r="B5" s="1463" t="s">
        <v>10</v>
      </c>
      <c r="C5" s="1464">
        <f>C6</f>
        <v>18000</v>
      </c>
      <c r="D5" s="1464">
        <f>D6</f>
        <v>0</v>
      </c>
      <c r="E5" s="1955">
        <f>E6</f>
        <v>18000</v>
      </c>
      <c r="F5" s="1466"/>
      <c r="G5" s="3310"/>
      <c r="H5" s="1466">
        <f>H6</f>
        <v>9710707.0800000001</v>
      </c>
      <c r="I5" s="1466">
        <f>I6</f>
        <v>4964918.2799999993</v>
      </c>
      <c r="J5" s="1466">
        <f>J6</f>
        <v>14675625.359999999</v>
      </c>
      <c r="K5" s="1466"/>
      <c r="L5" s="1466"/>
      <c r="M5" s="3488">
        <v>22589336</v>
      </c>
      <c r="N5" s="3488">
        <v>0</v>
      </c>
      <c r="O5" s="3488">
        <v>22589336</v>
      </c>
      <c r="P5" s="3488"/>
      <c r="Q5" s="1466"/>
      <c r="R5" s="3488">
        <f>R6</f>
        <v>581350</v>
      </c>
      <c r="S5" s="3488">
        <f>S6</f>
        <v>0</v>
      </c>
      <c r="T5" s="3488">
        <f>T6</f>
        <v>581350</v>
      </c>
      <c r="U5" s="3488"/>
      <c r="V5" s="3488"/>
      <c r="W5" s="1466">
        <f>W6</f>
        <v>2415708.7999999998</v>
      </c>
      <c r="X5" s="1466">
        <f>X6</f>
        <v>0</v>
      </c>
      <c r="Y5" s="1466">
        <f>Y6</f>
        <v>2415708.7999999998</v>
      </c>
      <c r="Z5" s="1466"/>
      <c r="AA5" s="1466"/>
      <c r="AB5" s="1466">
        <f>AB6</f>
        <v>938582.06</v>
      </c>
      <c r="AC5" s="1466">
        <f>AC6</f>
        <v>2877</v>
      </c>
      <c r="AD5" s="1466">
        <f>AD6</f>
        <v>941459.06</v>
      </c>
      <c r="AE5" s="1466"/>
      <c r="AF5" s="1466"/>
      <c r="AG5" s="1466">
        <f>AG6</f>
        <v>1272104.3999999999</v>
      </c>
      <c r="AH5" s="1466">
        <f>AH6</f>
        <v>20887.78</v>
      </c>
      <c r="AI5" s="1466">
        <f>AI6</f>
        <v>1292992.18</v>
      </c>
      <c r="AJ5" s="1466"/>
      <c r="AK5" s="1466"/>
      <c r="AL5" s="1466">
        <f>AL6</f>
        <v>5698871</v>
      </c>
      <c r="AM5" s="1466">
        <f>AM6</f>
        <v>0</v>
      </c>
      <c r="AN5" s="1466">
        <f>AN6</f>
        <v>5698871</v>
      </c>
      <c r="AO5" s="1466"/>
      <c r="AP5" s="1466"/>
      <c r="AQ5" s="1466">
        <f>AQ6</f>
        <v>10066147.6</v>
      </c>
      <c r="AR5" s="1466">
        <f>AR6</f>
        <v>18000</v>
      </c>
      <c r="AS5" s="1466">
        <f>AS6</f>
        <v>10084147.6</v>
      </c>
      <c r="AT5" s="1466"/>
      <c r="AU5" s="1466"/>
      <c r="AV5" s="1466">
        <f>AV6+AV7</f>
        <v>11237753.559999999</v>
      </c>
      <c r="AW5" s="1466">
        <f>AW6+AW7</f>
        <v>9800</v>
      </c>
      <c r="AX5" s="1466">
        <f>AX6+AX7</f>
        <v>11247553.559999999</v>
      </c>
      <c r="AY5" s="1466"/>
      <c r="AZ5" s="1466"/>
      <c r="BA5" s="1466">
        <f>BA6+BA7</f>
        <v>11669552.65</v>
      </c>
      <c r="BB5" s="1466">
        <f>BB6+BB7</f>
        <v>0</v>
      </c>
      <c r="BC5" s="1466">
        <f>BC6+BC7</f>
        <v>11669552.65</v>
      </c>
      <c r="BD5" s="1466"/>
      <c r="BE5" s="1466"/>
      <c r="BF5" s="1955">
        <v>53296675.699999996</v>
      </c>
      <c r="BG5" s="1466">
        <v>0</v>
      </c>
      <c r="BH5" s="1466">
        <v>53296675.699999996</v>
      </c>
      <c r="BI5" s="1466"/>
      <c r="BJ5" s="1466"/>
      <c r="BK5" s="1955">
        <f>BK6+BK7</f>
        <v>0</v>
      </c>
      <c r="BL5" s="1466">
        <f>BL6+BL7</f>
        <v>0</v>
      </c>
      <c r="BM5" s="1466">
        <f>BM6+BM7</f>
        <v>0</v>
      </c>
      <c r="BN5" s="1466"/>
      <c r="BO5" s="1466"/>
      <c r="BP5" s="1466">
        <f>BP6+BP7</f>
        <v>0</v>
      </c>
      <c r="BQ5" s="1466">
        <f>BQ6+BQ7</f>
        <v>0</v>
      </c>
      <c r="BR5" s="1466">
        <f>BR6+BR7</f>
        <v>0</v>
      </c>
      <c r="BS5" s="1466"/>
      <c r="BT5" s="1466"/>
      <c r="BU5" s="1466">
        <f>BU6+BU7</f>
        <v>0</v>
      </c>
      <c r="BV5" s="1466">
        <f>BV6+BV7</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0</v>
      </c>
      <c r="CK5" s="1466">
        <f>CK6</f>
        <v>0</v>
      </c>
      <c r="CL5" s="1466">
        <f>CL6+CL7</f>
        <v>0</v>
      </c>
      <c r="CM5" s="1466"/>
      <c r="CN5" s="1466"/>
      <c r="CO5" s="1466">
        <f>CO6</f>
        <v>0</v>
      </c>
      <c r="CP5" s="1466">
        <f>CP6</f>
        <v>0</v>
      </c>
      <c r="CQ5" s="1466">
        <f>CQ6+CQ7</f>
        <v>0</v>
      </c>
      <c r="CR5" s="1466"/>
      <c r="CS5" s="1466"/>
      <c r="CT5" s="1466">
        <f>CT6</f>
        <v>0</v>
      </c>
      <c r="CU5" s="1466">
        <f>CU6</f>
        <v>0</v>
      </c>
      <c r="CV5" s="1466">
        <f>CV6+CV7</f>
        <v>0</v>
      </c>
      <c r="CW5" s="1466"/>
      <c r="CX5" s="1466"/>
      <c r="CY5" s="1466">
        <f>CY6</f>
        <v>0</v>
      </c>
      <c r="CZ5" s="1466">
        <f>CZ6</f>
        <v>0</v>
      </c>
      <c r="DA5" s="1466">
        <f>DA6+DA7</f>
        <v>0</v>
      </c>
      <c r="DB5" s="1466"/>
      <c r="DC5" s="1466"/>
      <c r="DD5" s="1466">
        <f>DD6</f>
        <v>0</v>
      </c>
      <c r="DE5" s="1466">
        <f>DE6</f>
        <v>0</v>
      </c>
      <c r="DF5" s="1466">
        <f>DF6+DF7</f>
        <v>0</v>
      </c>
      <c r="DG5" s="1466"/>
      <c r="DH5" s="1466"/>
      <c r="DI5" s="1466">
        <f>DI6</f>
        <v>0</v>
      </c>
      <c r="DJ5" s="1466">
        <f>DJ6</f>
        <v>0</v>
      </c>
      <c r="DK5" s="1466">
        <f>DK6+DK7</f>
        <v>0</v>
      </c>
      <c r="DL5" s="1466"/>
      <c r="DM5" s="1966"/>
      <c r="DN5" s="1955">
        <f>DN6</f>
        <v>0</v>
      </c>
      <c r="DO5" s="1466">
        <f>DO6</f>
        <v>0</v>
      </c>
      <c r="DP5" s="1466">
        <f>DP6+DP7</f>
        <v>0</v>
      </c>
      <c r="DQ5" s="1466"/>
      <c r="DR5" s="1466"/>
      <c r="DS5" s="1955">
        <f>DS6</f>
        <v>0</v>
      </c>
      <c r="DT5" s="1466">
        <f>DT6</f>
        <v>0</v>
      </c>
      <c r="DU5" s="1466">
        <f>DU6+DU7</f>
        <v>0</v>
      </c>
      <c r="DV5" s="1466"/>
      <c r="DW5" s="1466"/>
      <c r="DX5" s="1466">
        <f>DX6+DX7</f>
        <v>97176745.769999996</v>
      </c>
      <c r="DY5" s="1466">
        <f>DY6+DY7</f>
        <v>51564.78</v>
      </c>
      <c r="DZ5" s="1466">
        <f>DX5+DY5</f>
        <v>97228310.549999997</v>
      </c>
      <c r="EA5" s="1466"/>
      <c r="EB5" s="1466"/>
      <c r="ED5" s="1955">
        <f>ED6+ED7</f>
        <v>48169362.5</v>
      </c>
      <c r="EE5" s="1955">
        <f>EE6+EE7</f>
        <v>48169362.5</v>
      </c>
      <c r="EF5" s="3489"/>
    </row>
    <row r="6" spans="1:136" s="1396" customFormat="1" ht="96" customHeight="1">
      <c r="A6" s="1571"/>
      <c r="B6" s="1403" t="s">
        <v>17</v>
      </c>
      <c r="C6" s="3341">
        <v>18000</v>
      </c>
      <c r="D6" s="3341"/>
      <c r="E6" s="3341">
        <f>C6+D6</f>
        <v>18000</v>
      </c>
      <c r="F6" s="3341"/>
      <c r="G6" s="3311">
        <v>8848</v>
      </c>
      <c r="H6" s="3341">
        <v>9710707.0800000001</v>
      </c>
      <c r="I6" s="3341">
        <v>4964918.2799999993</v>
      </c>
      <c r="J6" s="2012">
        <f>H6+I6</f>
        <v>14675625.359999999</v>
      </c>
      <c r="K6" s="3341"/>
      <c r="L6" s="3341"/>
      <c r="M6" s="3490">
        <v>22589336</v>
      </c>
      <c r="N6" s="3490">
        <v>0</v>
      </c>
      <c r="O6" s="3491">
        <v>22589336</v>
      </c>
      <c r="P6" s="3490"/>
      <c r="Q6" s="3341"/>
      <c r="R6" s="3490">
        <v>581350</v>
      </c>
      <c r="S6" s="3490"/>
      <c r="T6" s="3491">
        <f>R6+S6</f>
        <v>581350</v>
      </c>
      <c r="U6" s="3490"/>
      <c r="V6" s="3492" t="s">
        <v>974</v>
      </c>
      <c r="W6" s="3342">
        <f>2004194+46500+365014.8</f>
        <v>2415708.7999999998</v>
      </c>
      <c r="X6" s="3341"/>
      <c r="Y6" s="2012">
        <f>W6+X6</f>
        <v>2415708.7999999998</v>
      </c>
      <c r="Z6" s="3341"/>
      <c r="AA6" s="3342" t="s">
        <v>1068</v>
      </c>
      <c r="AB6" s="3341">
        <f>39160+670930.56+198310+30181.5</f>
        <v>938582.06</v>
      </c>
      <c r="AC6" s="3341">
        <v>2877</v>
      </c>
      <c r="AD6" s="2012">
        <f>AB6+AC6</f>
        <v>941459.06</v>
      </c>
      <c r="AE6" s="3341"/>
      <c r="AF6" s="3342" t="s">
        <v>1084</v>
      </c>
      <c r="AG6" s="3341">
        <f>85050+280140+898892.4+0.573*14000</f>
        <v>1272104.3999999999</v>
      </c>
      <c r="AH6" s="3341">
        <v>20887.78</v>
      </c>
      <c r="AI6" s="2012">
        <f>AG6+AH6</f>
        <v>1292992.18</v>
      </c>
      <c r="AJ6" s="3341"/>
      <c r="AK6" s="3342" t="s">
        <v>1119</v>
      </c>
      <c r="AL6" s="3341">
        <f>4963227+357644+378000</f>
        <v>5698871</v>
      </c>
      <c r="AM6" s="3341"/>
      <c r="AN6" s="2012">
        <f>AL6+AM6</f>
        <v>5698871</v>
      </c>
      <c r="AO6" s="3341"/>
      <c r="AP6" s="3342" t="s">
        <v>1142</v>
      </c>
      <c r="AQ6" s="3342">
        <f>10051307.6+14840</f>
        <v>10066147.6</v>
      </c>
      <c r="AR6" s="3342">
        <v>18000</v>
      </c>
      <c r="AS6" s="2012">
        <f>AQ6+AR6</f>
        <v>10084147.6</v>
      </c>
      <c r="AT6" s="3341"/>
      <c r="AU6" s="3342" t="s">
        <v>1157</v>
      </c>
      <c r="AV6" s="3342">
        <v>11231043.199999999</v>
      </c>
      <c r="AW6" s="3342">
        <v>5300</v>
      </c>
      <c r="AX6" s="2012">
        <f>AV6+AW6</f>
        <v>11236343.199999999</v>
      </c>
      <c r="AY6" s="3341"/>
      <c r="AZ6" s="3343" t="s">
        <v>1227</v>
      </c>
      <c r="BA6" s="3342">
        <f>11663058.96</f>
        <v>11663058.960000001</v>
      </c>
      <c r="BB6" s="3342"/>
      <c r="BC6" s="2012">
        <f>BA6+BB6</f>
        <v>11663058.960000001</v>
      </c>
      <c r="BD6" s="3341"/>
      <c r="BE6" s="3356" t="s">
        <v>1290</v>
      </c>
      <c r="BF6" s="3346">
        <v>53296675.699999996</v>
      </c>
      <c r="BG6" s="3341">
        <v>0</v>
      </c>
      <c r="BH6" s="2012">
        <v>53296675.699999996</v>
      </c>
      <c r="BI6" s="3341"/>
      <c r="BJ6" s="3343"/>
      <c r="BK6" s="3346">
        <f>BP6+BU6+BZ6+CE6+CJ6+CO6+CT6+CY6+DD6+DI6+DN6+DS6</f>
        <v>0</v>
      </c>
      <c r="BL6" s="3341">
        <f>BQ6+BV6+CA6+CF6+CK6+CP6+CU6+CZ6+DE6+DJ6+DO6+DT6</f>
        <v>0</v>
      </c>
      <c r="BM6" s="2012">
        <f>BK6+BL6</f>
        <v>0</v>
      </c>
      <c r="BN6" s="3341"/>
      <c r="BO6" s="3343"/>
      <c r="BP6" s="3342"/>
      <c r="BQ6" s="3342"/>
      <c r="BR6" s="1981">
        <f>BP6+BQ6</f>
        <v>0</v>
      </c>
      <c r="BS6" s="3346"/>
      <c r="BT6" s="3356"/>
      <c r="BU6" s="3341"/>
      <c r="BV6" s="3341"/>
      <c r="BW6" s="2012">
        <f>BU6+BV6</f>
        <v>0</v>
      </c>
      <c r="BX6" s="3341"/>
      <c r="BY6" s="3420"/>
      <c r="BZ6" s="3341"/>
      <c r="CA6" s="3341"/>
      <c r="CB6" s="2012">
        <f>BZ6+CA6</f>
        <v>0</v>
      </c>
      <c r="CC6" s="3341"/>
      <c r="CD6" s="3343"/>
      <c r="CE6" s="3341"/>
      <c r="CF6" s="3341"/>
      <c r="CG6" s="2012">
        <f>CE6+CF6</f>
        <v>0</v>
      </c>
      <c r="CH6" s="3341"/>
      <c r="CI6" s="3343"/>
      <c r="CJ6" s="3341"/>
      <c r="CK6" s="3341"/>
      <c r="CL6" s="3341">
        <f>CJ6+CK6</f>
        <v>0</v>
      </c>
      <c r="CM6" s="3341"/>
      <c r="CN6" s="3343"/>
      <c r="CO6" s="3341"/>
      <c r="CP6" s="3341"/>
      <c r="CQ6" s="3341">
        <f>CO6+CP6</f>
        <v>0</v>
      </c>
      <c r="CR6" s="3341"/>
      <c r="CS6" s="3343"/>
      <c r="CT6" s="3341"/>
      <c r="CU6" s="3341"/>
      <c r="CV6" s="3341">
        <f>CT6+CU6</f>
        <v>0</v>
      </c>
      <c r="CW6" s="3341"/>
      <c r="CX6" s="3343"/>
      <c r="CY6" s="3341"/>
      <c r="CZ6" s="3341"/>
      <c r="DA6" s="3341">
        <f>CY6+CZ6</f>
        <v>0</v>
      </c>
      <c r="DB6" s="3341"/>
      <c r="DC6" s="3343"/>
      <c r="DD6" s="3341"/>
      <c r="DE6" s="3341"/>
      <c r="DF6" s="3341">
        <f>DD6+DE6</f>
        <v>0</v>
      </c>
      <c r="DG6" s="3341"/>
      <c r="DH6" s="3343"/>
      <c r="DI6" s="3341"/>
      <c r="DJ6" s="3341"/>
      <c r="DK6" s="3341">
        <f>DI6+DJ6</f>
        <v>0</v>
      </c>
      <c r="DL6" s="3341"/>
      <c r="DM6" s="3493"/>
      <c r="DN6" s="3354"/>
      <c r="DO6" s="3341"/>
      <c r="DP6" s="3341">
        <f>DN6+DO6</f>
        <v>0</v>
      </c>
      <c r="DQ6" s="3341"/>
      <c r="DR6" s="3493"/>
      <c r="DS6" s="3354"/>
      <c r="DT6" s="3341"/>
      <c r="DU6" s="3341">
        <f>DS6+DT6</f>
        <v>0</v>
      </c>
      <c r="DV6" s="3341"/>
      <c r="DW6" s="3343"/>
      <c r="DX6" s="3346">
        <f>R6+W6+AB6+AG6+AL6+AQ6+AV6+BA6+BP6+BU6+BZ6+CE6+CJ6+CO6+CT6+CY6+DD6+DI6+DN6+DS6+BF6</f>
        <v>97163541.719999999</v>
      </c>
      <c r="DY6" s="3346">
        <f>S6+X6+AC6+AH6+AM6+AR6+AW6+BB6+BQ6+BV6+CA6+CF6+CK6+CP6+CU6+CZ6+DE6+DJ6+DO6+DT6+BG6</f>
        <v>47064.78</v>
      </c>
      <c r="DZ6" s="3349">
        <f>DX6+DY6</f>
        <v>97210606.5</v>
      </c>
      <c r="EA6" s="3341"/>
      <c r="EB6" s="3341"/>
      <c r="ED6" s="3346">
        <v>48169362.5</v>
      </c>
      <c r="EE6" s="3494">
        <f>ED6-BM6</f>
        <v>48169362.5</v>
      </c>
      <c r="EF6" s="3333" t="s">
        <v>1833</v>
      </c>
    </row>
    <row r="7" spans="1:136" s="1396" customFormat="1" ht="34.950000000000003" customHeight="1" thickBot="1">
      <c r="A7" s="1571"/>
      <c r="B7" s="3306" t="s">
        <v>41</v>
      </c>
      <c r="C7" s="3344"/>
      <c r="D7" s="3344"/>
      <c r="E7" s="3344">
        <f>C7+D7</f>
        <v>0</v>
      </c>
      <c r="F7" s="3344"/>
      <c r="G7" s="623"/>
      <c r="H7" s="3345">
        <v>0</v>
      </c>
      <c r="I7" s="3345">
        <v>0</v>
      </c>
      <c r="J7" s="2030">
        <f>H7+I7</f>
        <v>0</v>
      </c>
      <c r="K7" s="3344"/>
      <c r="L7" s="3344"/>
      <c r="M7" s="3495">
        <v>0</v>
      </c>
      <c r="N7" s="3495">
        <v>0</v>
      </c>
      <c r="O7" s="3496">
        <v>0</v>
      </c>
      <c r="P7" s="3497"/>
      <c r="Q7" s="3345"/>
      <c r="R7" s="3495"/>
      <c r="S7" s="3495"/>
      <c r="T7" s="3496">
        <f>R7+S7</f>
        <v>0</v>
      </c>
      <c r="U7" s="3497"/>
      <c r="V7" s="3497"/>
      <c r="W7" s="3345"/>
      <c r="X7" s="3345"/>
      <c r="Y7" s="2030">
        <f>W7+X7</f>
        <v>0</v>
      </c>
      <c r="Z7" s="3344"/>
      <c r="AA7" s="3344"/>
      <c r="AB7" s="3345"/>
      <c r="AC7" s="3345"/>
      <c r="AD7" s="2030">
        <f>AB7+AC7</f>
        <v>0</v>
      </c>
      <c r="AE7" s="3344"/>
      <c r="AF7" s="3344"/>
      <c r="AG7" s="3345"/>
      <c r="AH7" s="3345"/>
      <c r="AI7" s="2030">
        <f>AG7+AH7</f>
        <v>0</v>
      </c>
      <c r="AJ7" s="3344"/>
      <c r="AK7" s="3344"/>
      <c r="AL7" s="3345"/>
      <c r="AM7" s="3345"/>
      <c r="AN7" s="2030">
        <f>AL7+AM7</f>
        <v>0</v>
      </c>
      <c r="AO7" s="3344"/>
      <c r="AP7" s="3344"/>
      <c r="AQ7" s="3345"/>
      <c r="AR7" s="3345"/>
      <c r="AS7" s="2030">
        <f>AQ7+AR7</f>
        <v>0</v>
      </c>
      <c r="AT7" s="3344"/>
      <c r="AU7" s="3345"/>
      <c r="AV7" s="3345">
        <v>6710.36</v>
      </c>
      <c r="AW7" s="3345">
        <v>4500</v>
      </c>
      <c r="AX7" s="2030">
        <f>AV7+AW7</f>
        <v>11210.36</v>
      </c>
      <c r="AY7" s="3344"/>
      <c r="AZ7" s="3343" t="s">
        <v>1209</v>
      </c>
      <c r="BA7" s="3345">
        <f>6493.69</f>
        <v>6493.69</v>
      </c>
      <c r="BB7" s="3345"/>
      <c r="BC7" s="2030">
        <f>BA7+BB7</f>
        <v>6493.69</v>
      </c>
      <c r="BD7" s="3344"/>
      <c r="BE7" s="3498" t="s">
        <v>1254</v>
      </c>
      <c r="BF7" s="3383">
        <v>0</v>
      </c>
      <c r="BG7" s="3341">
        <v>0</v>
      </c>
      <c r="BH7" s="2012">
        <v>0</v>
      </c>
      <c r="BI7" s="3344"/>
      <c r="BJ7" s="3343">
        <v>0</v>
      </c>
      <c r="BK7" s="3383">
        <f>BP7+BU7+BZ7+CE7+CJ7+CO7+CT7+CY7+DD7+DI7+DN7+DS7</f>
        <v>0</v>
      </c>
      <c r="BL7" s="3341">
        <f>BQ7+BV7+CA7+CF7+CK7+CP7+CU7+CZ7+DE7+DJ7+DO7+DT7</f>
        <v>0</v>
      </c>
      <c r="BM7" s="2012">
        <f>BK7+BL7</f>
        <v>0</v>
      </c>
      <c r="BN7" s="3344"/>
      <c r="BO7" s="3343">
        <f>BM7-BR7-BU7-BZ7-CE7-CJ7-CO7-CV7</f>
        <v>0</v>
      </c>
      <c r="BP7" s="3345"/>
      <c r="BQ7" s="3345"/>
      <c r="BR7" s="1989">
        <f>BP7+BQ7</f>
        <v>0</v>
      </c>
      <c r="BS7" s="3426"/>
      <c r="BT7" s="3498"/>
      <c r="BU7" s="3341"/>
      <c r="BV7" s="3341"/>
      <c r="BW7" s="2012">
        <f>BU7+BV7</f>
        <v>0</v>
      </c>
      <c r="BX7" s="3344"/>
      <c r="BY7" s="3344"/>
      <c r="BZ7" s="3341"/>
      <c r="CA7" s="3341"/>
      <c r="CB7" s="2012">
        <f>BZ7+CA7</f>
        <v>0</v>
      </c>
      <c r="CC7" s="3344"/>
      <c r="CD7" s="3344"/>
      <c r="CE7" s="3341"/>
      <c r="CF7" s="3341"/>
      <c r="CG7" s="2012">
        <f>CE7+CF7</f>
        <v>0</v>
      </c>
      <c r="CH7" s="3344"/>
      <c r="CI7" s="3344"/>
      <c r="CJ7" s="3341"/>
      <c r="CK7" s="3341"/>
      <c r="CL7" s="2012">
        <f>CJ7+CK7</f>
        <v>0</v>
      </c>
      <c r="CM7" s="3344"/>
      <c r="CN7" s="3344"/>
      <c r="CO7" s="3341"/>
      <c r="CP7" s="3341"/>
      <c r="CQ7" s="2012">
        <f>CO7+CP7</f>
        <v>0</v>
      </c>
      <c r="CR7" s="3344"/>
      <c r="CS7" s="3344"/>
      <c r="CT7" s="3341"/>
      <c r="CU7" s="3341"/>
      <c r="CV7" s="2012">
        <f>CT7+CU7</f>
        <v>0</v>
      </c>
      <c r="CW7" s="3344"/>
      <c r="CX7" s="3344"/>
      <c r="CY7" s="3341"/>
      <c r="CZ7" s="3341"/>
      <c r="DA7" s="2012">
        <f>CY7+CZ7</f>
        <v>0</v>
      </c>
      <c r="DB7" s="3344"/>
      <c r="DC7" s="3345"/>
      <c r="DD7" s="3341"/>
      <c r="DE7" s="3341"/>
      <c r="DF7" s="2012">
        <f>DD7+DE7</f>
        <v>0</v>
      </c>
      <c r="DG7" s="3344"/>
      <c r="DH7" s="3345"/>
      <c r="DI7" s="3341"/>
      <c r="DJ7" s="3341"/>
      <c r="DK7" s="2012">
        <f>DI7+DJ7</f>
        <v>0</v>
      </c>
      <c r="DL7" s="3344"/>
      <c r="DM7" s="3499"/>
      <c r="DN7" s="3354"/>
      <c r="DO7" s="3341"/>
      <c r="DP7" s="2012">
        <f>DN7+DO7</f>
        <v>0</v>
      </c>
      <c r="DQ7" s="3344"/>
      <c r="DR7" s="3345"/>
      <c r="DS7" s="3354"/>
      <c r="DT7" s="3341"/>
      <c r="DU7" s="2012">
        <f>DS7+DT7</f>
        <v>0</v>
      </c>
      <c r="DV7" s="3344"/>
      <c r="DW7" s="3345"/>
      <c r="DX7" s="3354">
        <f>R7+W7+AB7+AG7+AL7+AQ7+AV7+BA7+BP7+BU7+BZ7+CE7+CJ7+CO7+CT7+CY7+DD7+DI7+DN7+DS7+BF7</f>
        <v>13204.05</v>
      </c>
      <c r="DY7" s="3354">
        <f>S7+X7+AC7+AH7+AM7+AR7+AW7+BB7+BQ7+BV7+CA7+CF7+CK7+CP7+CU7+CZ7+DE7+DJ7+DO7+DT7+BG7</f>
        <v>4500</v>
      </c>
      <c r="DZ7" s="3349">
        <f>DX7+DY7</f>
        <v>17704.05</v>
      </c>
      <c r="EA7" s="3344"/>
      <c r="EB7" s="3344"/>
      <c r="ED7" s="3354"/>
      <c r="EE7" s="3494">
        <f>ED7-BM7</f>
        <v>0</v>
      </c>
      <c r="EF7" s="3489"/>
    </row>
    <row r="8" spans="1:136" s="2466" customFormat="1" ht="31.2" customHeight="1" thickBot="1">
      <c r="A8" s="1571"/>
      <c r="B8" s="1673" t="s">
        <v>16</v>
      </c>
      <c r="C8" s="1957">
        <f>SUM(C9:C33)</f>
        <v>1242714.74</v>
      </c>
      <c r="D8" s="1957">
        <f>SUM(D9:D33)</f>
        <v>1169846.33</v>
      </c>
      <c r="E8" s="1484">
        <f>SUM(E9:E33)</f>
        <v>2412561.0700000003</v>
      </c>
      <c r="F8" s="1528">
        <f t="shared" ref="F8:F21" si="0">E8/$E$89</f>
        <v>0.92791892918847274</v>
      </c>
      <c r="G8" s="625"/>
      <c r="H8" s="1957">
        <f>SUM(H9:H33)</f>
        <v>5401535.5651499992</v>
      </c>
      <c r="I8" s="1957">
        <f>SUM(I9:I33)</f>
        <v>6054641.8799999999</v>
      </c>
      <c r="J8" s="1484">
        <f>SUM(J9:J33)</f>
        <v>11456177.445150001</v>
      </c>
      <c r="K8" s="1528">
        <f t="shared" ref="K8:K21" si="1">J8/$J$89</f>
        <v>0.90146369702474105</v>
      </c>
      <c r="L8" s="1466"/>
      <c r="M8" s="3500">
        <v>7362414.0225999998</v>
      </c>
      <c r="N8" s="3500">
        <v>10290936.35</v>
      </c>
      <c r="O8" s="3501">
        <v>17653350.3726</v>
      </c>
      <c r="P8" s="3502">
        <v>0.91594296430871991</v>
      </c>
      <c r="Q8" s="1966"/>
      <c r="R8" s="3500">
        <f>SUM(R9:R33)</f>
        <v>522362.77799999999</v>
      </c>
      <c r="S8" s="3500">
        <f>SUM(S9:S33)</f>
        <v>654803.32094999996</v>
      </c>
      <c r="T8" s="3501">
        <f>SUM(T9:T33)</f>
        <v>1177166.09895</v>
      </c>
      <c r="U8" s="3502">
        <f t="shared" ref="U8:U21" si="2">T8/$T$89</f>
        <v>0.90747530359083095</v>
      </c>
      <c r="V8" s="3488"/>
      <c r="W8" s="1957">
        <f>SUM(W9:W33)</f>
        <v>1208078.3460000001</v>
      </c>
      <c r="X8" s="1957">
        <f>SUM(X9:X33)</f>
        <v>893895.9</v>
      </c>
      <c r="Y8" s="1484">
        <f>SUM(Y9:Y33)</f>
        <v>2101974.2459999998</v>
      </c>
      <c r="Z8" s="1528">
        <f t="shared" ref="Z8:Z22" si="3">Y8/$Y$89</f>
        <v>0.92984218724624579</v>
      </c>
      <c r="AA8" s="1466"/>
      <c r="AB8" s="1957">
        <f>SUM(AB9:AB33)</f>
        <v>424070.12399999995</v>
      </c>
      <c r="AC8" s="1957">
        <f>SUM(AC9:AC33)</f>
        <v>284047</v>
      </c>
      <c r="AD8" s="1484">
        <f>SUM(AD9:AD33)</f>
        <v>708117.12399999995</v>
      </c>
      <c r="AE8" s="1528">
        <f>AD8/$AD$89</f>
        <v>0.84486104847732801</v>
      </c>
      <c r="AF8" s="1466"/>
      <c r="AG8" s="1957">
        <f>SUM(AG9:AG33)</f>
        <v>407207.22000000003</v>
      </c>
      <c r="AH8" s="1957">
        <f>SUM(AH9:AH33)</f>
        <v>366382.7</v>
      </c>
      <c r="AI8" s="1484">
        <f>SUM(AI9:AI33)</f>
        <v>773589.91999999993</v>
      </c>
      <c r="AJ8" s="1528">
        <f>AI8/$AI$89</f>
        <v>0.71517028533548754</v>
      </c>
      <c r="AK8" s="1466"/>
      <c r="AL8" s="1957">
        <f>SUM(AL9:AL33)</f>
        <v>2146565.1540000001</v>
      </c>
      <c r="AM8" s="1957">
        <f>SUM(AM9:AM33)</f>
        <v>1506278.77</v>
      </c>
      <c r="AN8" s="1484">
        <f>SUM(AN9:AN33)</f>
        <v>3652843.9239999996</v>
      </c>
      <c r="AO8" s="1528">
        <f>AN8/$AN$89</f>
        <v>0.80374364869161663</v>
      </c>
      <c r="AP8" s="1466"/>
      <c r="AQ8" s="1966">
        <f>SUM(AQ9:AQ33)</f>
        <v>3724889.68</v>
      </c>
      <c r="AR8" s="1484">
        <f>SUM(AR9:AR33)</f>
        <v>1993302.44</v>
      </c>
      <c r="AS8" s="1484">
        <f>SUM(AS9:AS33)</f>
        <v>5718192.1199999992</v>
      </c>
      <c r="AT8" s="1528">
        <f>AS8/$AN$89</f>
        <v>1.2581869617401289</v>
      </c>
      <c r="AU8" s="1966"/>
      <c r="AV8" s="1464">
        <f>SUM(AV9:AV33)</f>
        <v>4243399.8800000008</v>
      </c>
      <c r="AW8" s="1484">
        <f>SUM(AW9:AW33)</f>
        <v>2697877.5</v>
      </c>
      <c r="AX8" s="1484">
        <f>SUM(AX9:AX33)</f>
        <v>6941277.3800000008</v>
      </c>
      <c r="AY8" s="1528">
        <f>AX8/$AN$89</f>
        <v>1.5273052241094838</v>
      </c>
      <c r="AZ8" s="1966"/>
      <c r="BA8" s="1464">
        <f>SUM(BA9:BA33)</f>
        <v>3750553.07</v>
      </c>
      <c r="BB8" s="1484">
        <f>SUM(BB9:BB33)</f>
        <v>2074870.81</v>
      </c>
      <c r="BC8" s="1484">
        <f>SUM(BC9:BC33)</f>
        <v>5825423.8799999999</v>
      </c>
      <c r="BD8" s="1528">
        <f>BC8/$AN$89</f>
        <v>1.2817814124834956</v>
      </c>
      <c r="BE8" s="1466"/>
      <c r="BF8" s="1957">
        <v>25269353.718000002</v>
      </c>
      <c r="BG8" s="1957">
        <v>10528378.99</v>
      </c>
      <c r="BH8" s="1484">
        <v>35797732.707999997</v>
      </c>
      <c r="BI8" s="1528">
        <v>27.596410044455023</v>
      </c>
      <c r="BJ8" s="1466"/>
      <c r="BK8" s="1957">
        <f>SUM(BK9:BK33)</f>
        <v>0</v>
      </c>
      <c r="BL8" s="1957">
        <f>SUM(BL9:BL33)</f>
        <v>0</v>
      </c>
      <c r="BM8" s="1484">
        <f>SUM(BM9:BM33)</f>
        <v>0</v>
      </c>
      <c r="BN8" s="1528">
        <f>BM8/$T$89</f>
        <v>0</v>
      </c>
      <c r="BO8" s="1466"/>
      <c r="BP8" s="1464">
        <f>SUM(BP9:BP33)</f>
        <v>0</v>
      </c>
      <c r="BQ8" s="1484">
        <f>SUM(BQ9:BQ33)</f>
        <v>0</v>
      </c>
      <c r="BR8" s="1484">
        <f>SUM(BR9:BR33)</f>
        <v>0</v>
      </c>
      <c r="BS8" s="1528">
        <f>BR8/$AN$89</f>
        <v>0</v>
      </c>
      <c r="BT8" s="1466"/>
      <c r="BU8" s="1464">
        <f>SUM(BU9:BU33)</f>
        <v>0</v>
      </c>
      <c r="BV8" s="1484">
        <f>SUM(BV9:BV33)</f>
        <v>0</v>
      </c>
      <c r="BW8" s="1484">
        <f>SUM(BW9:BW33)</f>
        <v>0</v>
      </c>
      <c r="BX8" s="1528">
        <f>BW8/$AN$89</f>
        <v>0</v>
      </c>
      <c r="BY8" s="1466"/>
      <c r="BZ8" s="1957">
        <f>SUM(BZ9:BZ33)</f>
        <v>0</v>
      </c>
      <c r="CA8" s="1957">
        <f>SUM(CA9:CA33)</f>
        <v>0</v>
      </c>
      <c r="CB8" s="1484">
        <f>SUM(CB9:CB33)</f>
        <v>0</v>
      </c>
      <c r="CC8" s="1528">
        <f>CB8/$AD$89</f>
        <v>0</v>
      </c>
      <c r="CD8" s="1466"/>
      <c r="CE8" s="1957">
        <f>SUM(CE9:CE33)</f>
        <v>0</v>
      </c>
      <c r="CF8" s="1957">
        <f>SUM(CF9:CF33)</f>
        <v>0</v>
      </c>
      <c r="CG8" s="1484">
        <f>SUM(CG9:CG33)</f>
        <v>0</v>
      </c>
      <c r="CH8" s="1528">
        <f>CG8/$AD$89</f>
        <v>0</v>
      </c>
      <c r="CI8" s="1466"/>
      <c r="CJ8" s="1957">
        <f>SUM(CJ9:CJ33)</f>
        <v>0</v>
      </c>
      <c r="CK8" s="1957">
        <f>SUM(CK9:CK33)</f>
        <v>0</v>
      </c>
      <c r="CL8" s="1484">
        <f>SUM(CL9:CL33)</f>
        <v>0</v>
      </c>
      <c r="CM8" s="1528">
        <f>CL8/$AD$89</f>
        <v>0</v>
      </c>
      <c r="CN8" s="1466"/>
      <c r="CO8" s="1957">
        <f>SUM(CO9:CO33)</f>
        <v>0</v>
      </c>
      <c r="CP8" s="1957">
        <f>SUM(CP9:CP33)</f>
        <v>0</v>
      </c>
      <c r="CQ8" s="1484">
        <f>SUM(CQ9:CQ33)</f>
        <v>0</v>
      </c>
      <c r="CR8" s="1528">
        <f>CQ8/$AD$89</f>
        <v>0</v>
      </c>
      <c r="CS8" s="1466"/>
      <c r="CT8" s="1957">
        <f>SUM(CT9:CT33)</f>
        <v>0</v>
      </c>
      <c r="CU8" s="1957">
        <f>SUM(CU9:CU33)</f>
        <v>0</v>
      </c>
      <c r="CV8" s="1484">
        <f>SUM(CV9:CV33)</f>
        <v>0</v>
      </c>
      <c r="CW8" s="1528">
        <f>CV8/$AD$89</f>
        <v>0</v>
      </c>
      <c r="CX8" s="1466"/>
      <c r="CY8" s="1957">
        <f>SUM(CY9:CY33)</f>
        <v>0</v>
      </c>
      <c r="CZ8" s="1957">
        <f>SUM(CZ9:CZ33)</f>
        <v>0</v>
      </c>
      <c r="DA8" s="1484">
        <f>SUM(DA9:DA33)</f>
        <v>0</v>
      </c>
      <c r="DB8" s="1528">
        <f>DA8/$AD$89</f>
        <v>0</v>
      </c>
      <c r="DC8" s="1466"/>
      <c r="DD8" s="1957">
        <f>SUM(DD9:DD33)</f>
        <v>0</v>
      </c>
      <c r="DE8" s="1957">
        <f>SUM(DE9:DE33)</f>
        <v>0</v>
      </c>
      <c r="DF8" s="1484">
        <f>SUM(DF9:DF33)</f>
        <v>0</v>
      </c>
      <c r="DG8" s="1528">
        <f>DF8/$AD$89</f>
        <v>0</v>
      </c>
      <c r="DH8" s="1466"/>
      <c r="DI8" s="1957">
        <f>SUM(DI9:DI33)</f>
        <v>0</v>
      </c>
      <c r="DJ8" s="1957">
        <f>SUM(DJ9:DJ33)</f>
        <v>0</v>
      </c>
      <c r="DK8" s="1484">
        <f>SUM(DK9:DK33)</f>
        <v>0</v>
      </c>
      <c r="DL8" s="1528">
        <f>DK8/$AD$89</f>
        <v>0</v>
      </c>
      <c r="DM8" s="1966"/>
      <c r="DN8" s="1957">
        <f>SUM(DN9:DN33)</f>
        <v>0</v>
      </c>
      <c r="DO8" s="1957">
        <f>SUM(DO9:DO33)</f>
        <v>0</v>
      </c>
      <c r="DP8" s="1484">
        <f>SUM(DP9:DP33)</f>
        <v>0</v>
      </c>
      <c r="DQ8" s="1528">
        <f>DP8/$AD$89</f>
        <v>0</v>
      </c>
      <c r="DR8" s="1466"/>
      <c r="DS8" s="1957">
        <f>SUM(DS9:DS33)</f>
        <v>0</v>
      </c>
      <c r="DT8" s="1957">
        <f>SUM(DT9:DT33)</f>
        <v>0</v>
      </c>
      <c r="DU8" s="1484">
        <f>SUM(DU9:DU33)</f>
        <v>0</v>
      </c>
      <c r="DV8" s="1528">
        <f>DU8/$AD$89</f>
        <v>0</v>
      </c>
      <c r="DW8" s="1466"/>
      <c r="DX8" s="1484">
        <f>SUM(DX9:DX33)</f>
        <v>41696479.969999999</v>
      </c>
      <c r="DY8" s="1484">
        <f>SUM(DY9:DY33)</f>
        <v>20999837.430949997</v>
      </c>
      <c r="DZ8" s="1484">
        <f>SUM(DZ9:DZ33)</f>
        <v>62696317.400949992</v>
      </c>
      <c r="EA8" s="1528" t="e">
        <f t="shared" ref="EA8:EA33" si="4">DZ8/$BW$89</f>
        <v>#DIV/0!</v>
      </c>
      <c r="EB8" s="1466"/>
      <c r="ED8" s="1484">
        <f>SUM(ED9:ED33)</f>
        <v>36945032.689999998</v>
      </c>
      <c r="EE8" s="1484">
        <f>SUM(EE9:EE33)</f>
        <v>36945032.689999998</v>
      </c>
      <c r="EF8" s="3489"/>
    </row>
    <row r="9" spans="1:136" s="1396" customFormat="1" ht="22.95" customHeight="1">
      <c r="A9" s="3503"/>
      <c r="B9" s="1424" t="s">
        <v>74</v>
      </c>
      <c r="C9" s="1157">
        <v>79753</v>
      </c>
      <c r="D9" s="3504"/>
      <c r="E9" s="1064">
        <f>C9+D9*1</f>
        <v>79753</v>
      </c>
      <c r="F9" s="1976">
        <f t="shared" si="0"/>
        <v>3.0674588626918471E-2</v>
      </c>
      <c r="G9" s="3311"/>
      <c r="H9" s="3341">
        <v>484318.26</v>
      </c>
      <c r="I9" s="3341">
        <v>0</v>
      </c>
      <c r="J9" s="3349">
        <f>H9+I9*1</f>
        <v>484318.26</v>
      </c>
      <c r="K9" s="1976">
        <f t="shared" si="1"/>
        <v>3.8110035505867917E-2</v>
      </c>
      <c r="L9" s="1434"/>
      <c r="M9" s="3490">
        <v>934121.65999999992</v>
      </c>
      <c r="N9" s="3490">
        <v>221426.44999999998</v>
      </c>
      <c r="O9" s="3505">
        <v>1155548.1099999999</v>
      </c>
      <c r="P9" s="3506">
        <v>5.9955540389518377E-2</v>
      </c>
      <c r="Q9" s="1434"/>
      <c r="R9" s="3490">
        <v>146095.10999999999</v>
      </c>
      <c r="S9" s="3490">
        <f>13685.6+6343.37</f>
        <v>20028.97</v>
      </c>
      <c r="T9" s="3505">
        <f t="shared" ref="T9:T33" si="5">R9+S9*1</f>
        <v>166124.07999999999</v>
      </c>
      <c r="U9" s="3506">
        <f t="shared" si="2"/>
        <v>0.12806476508813452</v>
      </c>
      <c r="V9" s="3507" t="s">
        <v>1003</v>
      </c>
      <c r="W9" s="3341">
        <v>163013.87</v>
      </c>
      <c r="X9" s="3341">
        <f>15137.8+19840</f>
        <v>34977.800000000003</v>
      </c>
      <c r="Y9" s="3349">
        <f>W9+X9*1</f>
        <v>197991.66999999998</v>
      </c>
      <c r="Z9" s="1976">
        <f t="shared" si="3"/>
        <v>8.7584806445500527E-2</v>
      </c>
      <c r="AA9" s="3342" t="s">
        <v>1055</v>
      </c>
      <c r="AB9" s="3341"/>
      <c r="AC9" s="3341">
        <v>1200</v>
      </c>
      <c r="AD9" s="3349">
        <f>AB9+AC9*1</f>
        <v>1200</v>
      </c>
      <c r="AE9" s="1976">
        <f t="shared" ref="AE9:AE33" si="6">AD9/$AD$89</f>
        <v>1.4317310284008803E-3</v>
      </c>
      <c r="AF9" s="3342" t="s">
        <v>1083</v>
      </c>
      <c r="AG9" s="3341">
        <v>26731.49</v>
      </c>
      <c r="AH9" s="3434"/>
      <c r="AI9" s="3508">
        <f>AG9+AH9*1</f>
        <v>26731.49</v>
      </c>
      <c r="AJ9" s="624">
        <f t="shared" ref="AJ9:AJ71" si="7">AI9/$AI$89</f>
        <v>2.4712792703843314E-2</v>
      </c>
      <c r="AK9" s="3342"/>
      <c r="AL9" s="3341">
        <v>121857.60000000001</v>
      </c>
      <c r="AM9" s="3434"/>
      <c r="AN9" s="3508">
        <f>AL9+AM9*1</f>
        <v>121857.60000000001</v>
      </c>
      <c r="AO9" s="3509">
        <f>AN9/$AN$89</f>
        <v>2.68126079522043E-2</v>
      </c>
      <c r="AP9" s="3342"/>
      <c r="AQ9" s="3510">
        <v>119810.83</v>
      </c>
      <c r="AR9" s="3346"/>
      <c r="AS9" s="3508">
        <f>AQ9+AR9*1</f>
        <v>119810.83</v>
      </c>
      <c r="AT9" s="1066">
        <f>AS9/$AS$89</f>
        <v>1.9001251458885749E-2</v>
      </c>
      <c r="AU9" s="3348"/>
      <c r="AV9" s="3342">
        <v>195487.3</v>
      </c>
      <c r="AW9" s="3342"/>
      <c r="AX9" s="3508">
        <f>AV9+AW9*1</f>
        <v>195487.3</v>
      </c>
      <c r="AY9" s="1066">
        <f>AX9/$AS$89</f>
        <v>3.1003068289558098E-2</v>
      </c>
      <c r="AZ9" s="3342" t="s">
        <v>1210</v>
      </c>
      <c r="BA9" s="3342">
        <v>229938.86</v>
      </c>
      <c r="BB9" s="3342"/>
      <c r="BC9" s="3508">
        <f>BA9+BB9*1</f>
        <v>229938.86</v>
      </c>
      <c r="BD9" s="3511">
        <f>BC9/$BC$89</f>
        <v>3.3909910550021093E-2</v>
      </c>
      <c r="BE9" s="3512" t="s">
        <v>1248</v>
      </c>
      <c r="BF9" s="3341">
        <v>1738623.92</v>
      </c>
      <c r="BG9" s="3341">
        <v>0</v>
      </c>
      <c r="BH9" s="3349">
        <v>1738623.92</v>
      </c>
      <c r="BI9" s="3350">
        <v>1.340302163848923</v>
      </c>
      <c r="BJ9" s="3343"/>
      <c r="BK9" s="3341">
        <f t="shared" ref="BK9:BL33" si="8">BP9+BU9+BZ9+CE9+CJ9+CO9+CT9+CY9+DD9+DI9+DN9+DS9</f>
        <v>0</v>
      </c>
      <c r="BL9" s="3341">
        <f t="shared" si="8"/>
        <v>0</v>
      </c>
      <c r="BM9" s="3349">
        <f>BK9+BL9*1</f>
        <v>0</v>
      </c>
      <c r="BN9" s="3350">
        <f t="shared" ref="BN9:BN33" si="9">BM9/$T$89</f>
        <v>0</v>
      </c>
      <c r="BO9" s="3343"/>
      <c r="BP9" s="3342"/>
      <c r="BQ9" s="3342"/>
      <c r="BR9" s="3513">
        <f>BP9+BQ9*1</f>
        <v>0</v>
      </c>
      <c r="BS9" s="1986">
        <f>BR9/$BC$89</f>
        <v>0</v>
      </c>
      <c r="BT9" s="3512"/>
      <c r="BU9" s="3348"/>
      <c r="BV9" s="3341"/>
      <c r="BW9" s="3349">
        <f>BU9+BV9*1</f>
        <v>0</v>
      </c>
      <c r="BX9" s="3350">
        <f t="shared" ref="BX9:BX33" si="10">BW9/$E$89</f>
        <v>0</v>
      </c>
      <c r="BY9" s="3514"/>
      <c r="BZ9" s="3351"/>
      <c r="CA9" s="3351"/>
      <c r="CB9" s="3352">
        <f>BZ9+CA9*1</f>
        <v>0</v>
      </c>
      <c r="CC9" s="3350">
        <f t="shared" ref="CC9:CC33" si="11">CB9/$AD$89</f>
        <v>0</v>
      </c>
      <c r="CD9" s="3343"/>
      <c r="CE9" s="3352"/>
      <c r="CF9" s="3351"/>
      <c r="CG9" s="3352">
        <f>CE9+CF9*1</f>
        <v>0</v>
      </c>
      <c r="CH9" s="3350">
        <f t="shared" ref="CH9:CH33" si="12">CG9/$AD$89</f>
        <v>0</v>
      </c>
      <c r="CI9" s="3353"/>
      <c r="CJ9" s="3341"/>
      <c r="CK9" s="3341"/>
      <c r="CL9" s="3341">
        <f>CJ9+CK9*1</f>
        <v>0</v>
      </c>
      <c r="CM9" s="3350">
        <f t="shared" ref="CM9:CM33" si="13">CL9/$AD$89</f>
        <v>0</v>
      </c>
      <c r="CN9" s="3353"/>
      <c r="CO9" s="3341"/>
      <c r="CP9" s="3341"/>
      <c r="CQ9" s="3341">
        <f>CO9+CP9*1</f>
        <v>0</v>
      </c>
      <c r="CR9" s="3350">
        <f t="shared" ref="CR9:CR33" si="14">CQ9/$AD$89</f>
        <v>0</v>
      </c>
      <c r="CS9" s="3353"/>
      <c r="CT9" s="3341"/>
      <c r="CU9" s="3341"/>
      <c r="CV9" s="3341">
        <f>CT9+CU9*1</f>
        <v>0</v>
      </c>
      <c r="CW9" s="3350">
        <f t="shared" ref="CW9:CW33" si="15">CV9/$AD$89</f>
        <v>0</v>
      </c>
      <c r="CX9" s="3353"/>
      <c r="CY9" s="3341"/>
      <c r="CZ9" s="3341"/>
      <c r="DA9" s="3341">
        <f>CY9+CZ9*1</f>
        <v>0</v>
      </c>
      <c r="DB9" s="3350">
        <f t="shared" ref="DB9:DB33" si="16">DA9/$AD$89</f>
        <v>0</v>
      </c>
      <c r="DC9" s="3353"/>
      <c r="DD9" s="3341"/>
      <c r="DE9" s="3341"/>
      <c r="DF9" s="3341">
        <f>DD9+DE9*1</f>
        <v>0</v>
      </c>
      <c r="DG9" s="3350">
        <f t="shared" ref="DG9:DG33" si="17">DF9/$AD$89</f>
        <v>0</v>
      </c>
      <c r="DH9" s="3353"/>
      <c r="DI9" s="3341"/>
      <c r="DJ9" s="3341"/>
      <c r="DK9" s="3341">
        <f>DI9+DJ9*1</f>
        <v>0</v>
      </c>
      <c r="DL9" s="3350">
        <f t="shared" ref="DL9:DL33" si="18">DK9/$AD$89</f>
        <v>0</v>
      </c>
      <c r="DM9" s="3515"/>
      <c r="DN9" s="3346"/>
      <c r="DO9" s="3341"/>
      <c r="DP9" s="3341">
        <f>DN9+DO9*1</f>
        <v>0</v>
      </c>
      <c r="DQ9" s="3350">
        <f t="shared" ref="DQ9:DQ33" si="19">DP9/$AD$89</f>
        <v>0</v>
      </c>
      <c r="DR9" s="3353"/>
      <c r="DS9" s="3354"/>
      <c r="DT9" s="3341"/>
      <c r="DU9" s="3341">
        <f>DS9+DT9*1</f>
        <v>0</v>
      </c>
      <c r="DV9" s="3350">
        <f t="shared" ref="DV9:DV33" si="20">DU9/$AD$89</f>
        <v>0</v>
      </c>
      <c r="DW9" s="3353"/>
      <c r="DX9" s="3354">
        <f>R9+W9+AB9+AG9+AL9+AQ9+AV9+BA9+BP9+BU9+BZ9+CE9+CJ9+CO9+CT9+CY9+DD9+DI9+DN9+DS9+BF9</f>
        <v>2741558.98</v>
      </c>
      <c r="DY9" s="3354">
        <f>S9+X9+AC9+AH9+AM9+AR9+AW9+BB9+BQ9+BV9+CA9+CF9+CK9+CP9+CU9+CZ9+DE9+DJ9+DO9+DT9+BG9</f>
        <v>56206.770000000004</v>
      </c>
      <c r="DZ9" s="3349">
        <f>DX9+DY9*1</f>
        <v>2797765.75</v>
      </c>
      <c r="EA9" s="1976" t="e">
        <f t="shared" si="4"/>
        <v>#DIV/0!</v>
      </c>
      <c r="EB9" s="1434"/>
      <c r="ED9" s="3354">
        <v>1721853.09</v>
      </c>
      <c r="EE9" s="3494">
        <f t="shared" ref="EE9:EE16" si="21">ED9-BM9</f>
        <v>1721853.09</v>
      </c>
      <c r="EF9" s="3334"/>
    </row>
    <row r="10" spans="1:136" s="1396" customFormat="1" ht="14.4" customHeight="1">
      <c r="A10" s="1571"/>
      <c r="B10" s="1424" t="s">
        <v>72</v>
      </c>
      <c r="C10" s="1157">
        <v>19319</v>
      </c>
      <c r="D10" s="3504"/>
      <c r="E10" s="1064">
        <f t="shared" ref="E10:E33" si="22">C10+D10*1</f>
        <v>19319</v>
      </c>
      <c r="F10" s="3350">
        <f t="shared" si="0"/>
        <v>7.430471301185384E-3</v>
      </c>
      <c r="G10" s="3311"/>
      <c r="H10" s="3341">
        <v>115853.85240000002</v>
      </c>
      <c r="I10" s="3341">
        <v>0</v>
      </c>
      <c r="J10" s="3349">
        <f t="shared" ref="J10:J33" si="23">H10+I10*1</f>
        <v>115853.85240000002</v>
      </c>
      <c r="K10" s="3350">
        <f t="shared" si="1"/>
        <v>9.1163080005605863E-3</v>
      </c>
      <c r="L10" s="1434"/>
      <c r="M10" s="3490">
        <v>228041.19</v>
      </c>
      <c r="N10" s="3490">
        <v>0</v>
      </c>
      <c r="O10" s="3505">
        <v>228041.19</v>
      </c>
      <c r="P10" s="3516">
        <v>1.1831902678218075E-2</v>
      </c>
      <c r="Q10" s="1434"/>
      <c r="R10" s="3490">
        <v>40752.239999999998</v>
      </c>
      <c r="S10" s="3490"/>
      <c r="T10" s="3505">
        <f t="shared" si="5"/>
        <v>40752.239999999998</v>
      </c>
      <c r="U10" s="3516">
        <f t="shared" si="2"/>
        <v>3.1415831121022787E-2</v>
      </c>
      <c r="V10" s="3507"/>
      <c r="W10" s="3341">
        <v>47268</v>
      </c>
      <c r="X10" s="3341"/>
      <c r="Y10" s="3349">
        <f t="shared" ref="Y10:Y33" si="24">W10+X10*1</f>
        <v>47268</v>
      </c>
      <c r="Z10" s="3350">
        <f t="shared" si="3"/>
        <v>2.0909761663538265E-2</v>
      </c>
      <c r="AA10" s="3342"/>
      <c r="AB10" s="3341">
        <v>148</v>
      </c>
      <c r="AC10" s="3341"/>
      <c r="AD10" s="3349">
        <f t="shared" ref="AD10:AD33" si="25">AB10+AC10*1</f>
        <v>148</v>
      </c>
      <c r="AE10" s="3350">
        <f t="shared" si="6"/>
        <v>1.7658016016944191E-4</v>
      </c>
      <c r="AF10" s="3342"/>
      <c r="AG10" s="3341">
        <v>15938.21</v>
      </c>
      <c r="AH10" s="3434"/>
      <c r="AI10" s="3517">
        <f t="shared" ref="AI10:AI33" si="26">AG10+AH10*1</f>
        <v>15938.21</v>
      </c>
      <c r="AJ10" s="3509">
        <f t="shared" si="7"/>
        <v>1.4734595033809283E-2</v>
      </c>
      <c r="AK10" s="3518"/>
      <c r="AL10" s="3341">
        <v>29518.33</v>
      </c>
      <c r="AM10" s="3434"/>
      <c r="AN10" s="3517">
        <f t="shared" ref="AN10:AN33" si="27">AL10+AM10*1</f>
        <v>29518.33</v>
      </c>
      <c r="AO10" s="3509">
        <f t="shared" ref="AO10:AO33" si="28">AN10/$AN$89</f>
        <v>6.494986030364875E-3</v>
      </c>
      <c r="AP10" s="3518"/>
      <c r="AQ10" s="3433">
        <v>29022.5</v>
      </c>
      <c r="AR10" s="3354"/>
      <c r="AS10" s="3517">
        <f t="shared" ref="AS10:AS33" si="29">AQ10+AR10*1</f>
        <v>29022.5</v>
      </c>
      <c r="AT10" s="3509">
        <f t="shared" ref="AT10:AT33" si="30">AS10/$AS$89</f>
        <v>4.6027877485325126E-3</v>
      </c>
      <c r="AU10" s="3342"/>
      <c r="AV10" s="3342">
        <v>48153.8</v>
      </c>
      <c r="AW10" s="1328"/>
      <c r="AX10" s="3517">
        <f t="shared" ref="AX10:AX33" si="31">AV10+AW10*1</f>
        <v>48153.8</v>
      </c>
      <c r="AY10" s="3509">
        <f t="shared" ref="AY10:AY33" si="32">AX10/$AS$89</f>
        <v>7.6368927792328347E-3</v>
      </c>
      <c r="AZ10" s="1593"/>
      <c r="BA10" s="3342">
        <v>55699.48</v>
      </c>
      <c r="BB10" s="1593"/>
      <c r="BC10" s="3517">
        <f t="shared" ref="BC10:BC33" si="33">BA10+BB10*1</f>
        <v>55699.48</v>
      </c>
      <c r="BD10" s="3511">
        <f t="shared" ref="BD10:BD73" si="34">BC10/$BC$89</f>
        <v>8.2142026123061106E-3</v>
      </c>
      <c r="BE10" s="1859"/>
      <c r="BF10" s="3341">
        <v>432553.56</v>
      </c>
      <c r="BG10" s="3341">
        <v>0</v>
      </c>
      <c r="BH10" s="3349">
        <v>432553.56</v>
      </c>
      <c r="BI10" s="3350">
        <v>0.33345478903140535</v>
      </c>
      <c r="BJ10" s="3343"/>
      <c r="BK10" s="3341">
        <f t="shared" si="8"/>
        <v>0</v>
      </c>
      <c r="BL10" s="3341">
        <f t="shared" si="8"/>
        <v>0</v>
      </c>
      <c r="BM10" s="3349">
        <f t="shared" ref="BM10:BM21" si="35">BK10+BL10*1</f>
        <v>0</v>
      </c>
      <c r="BN10" s="3350">
        <f t="shared" si="9"/>
        <v>0</v>
      </c>
      <c r="BO10" s="3343"/>
      <c r="BP10" s="3342"/>
      <c r="BQ10" s="1593"/>
      <c r="BR10" s="3519">
        <f t="shared" ref="BR10:BR33" si="36">BP10+BQ10*1</f>
        <v>0</v>
      </c>
      <c r="BS10" s="3432">
        <f t="shared" ref="BS10:BS73" si="37">BR10/$BC$89</f>
        <v>0</v>
      </c>
      <c r="BT10" s="1859"/>
      <c r="BU10" s="3341"/>
      <c r="BV10" s="3341"/>
      <c r="BW10" s="3349">
        <f t="shared" ref="BW10:BW33" si="38">BU10+BV10*1</f>
        <v>0</v>
      </c>
      <c r="BX10" s="3350">
        <f t="shared" si="10"/>
        <v>0</v>
      </c>
      <c r="BY10" s="1434"/>
      <c r="BZ10" s="3351"/>
      <c r="CA10" s="3351"/>
      <c r="CB10" s="3352">
        <f t="shared" ref="CB10:CB33" si="39">BZ10+CA10*1</f>
        <v>0</v>
      </c>
      <c r="CC10" s="3350">
        <f t="shared" si="11"/>
        <v>0</v>
      </c>
      <c r="CD10" s="3343"/>
      <c r="CE10" s="3352"/>
      <c r="CF10" s="3351"/>
      <c r="CG10" s="3352">
        <f>CE10+CF10*1</f>
        <v>0</v>
      </c>
      <c r="CH10" s="3350">
        <f t="shared" si="12"/>
        <v>0</v>
      </c>
      <c r="CI10" s="1148"/>
      <c r="CJ10" s="3341"/>
      <c r="CK10" s="3341"/>
      <c r="CL10" s="3341">
        <f>CJ10+CK10*1</f>
        <v>0</v>
      </c>
      <c r="CM10" s="3350">
        <f t="shared" si="13"/>
        <v>0</v>
      </c>
      <c r="CN10" s="1148"/>
      <c r="CO10" s="3341"/>
      <c r="CP10" s="3341"/>
      <c r="CQ10" s="3341">
        <f>CO10+CP10*1</f>
        <v>0</v>
      </c>
      <c r="CR10" s="3350">
        <f t="shared" si="14"/>
        <v>0</v>
      </c>
      <c r="CS10" s="1148"/>
      <c r="CT10" s="3341"/>
      <c r="CU10" s="3341"/>
      <c r="CV10" s="3341">
        <f>CT10+CU10*1</f>
        <v>0</v>
      </c>
      <c r="CW10" s="3350">
        <f t="shared" si="15"/>
        <v>0</v>
      </c>
      <c r="CX10" s="1148"/>
      <c r="CY10" s="3341"/>
      <c r="CZ10" s="3341"/>
      <c r="DA10" s="3341">
        <f>CY10+CZ10*1</f>
        <v>0</v>
      </c>
      <c r="DB10" s="3350">
        <f t="shared" si="16"/>
        <v>0</v>
      </c>
      <c r="DC10" s="1148"/>
      <c r="DD10" s="3341"/>
      <c r="DE10" s="3341"/>
      <c r="DF10" s="3341">
        <f>DD10+DE10*1</f>
        <v>0</v>
      </c>
      <c r="DG10" s="3350">
        <f t="shared" si="17"/>
        <v>0</v>
      </c>
      <c r="DH10" s="1148"/>
      <c r="DI10" s="3341"/>
      <c r="DJ10" s="3341"/>
      <c r="DK10" s="3341">
        <f>DI10+DJ10*1</f>
        <v>0</v>
      </c>
      <c r="DL10" s="3350">
        <f t="shared" si="18"/>
        <v>0</v>
      </c>
      <c r="DM10" s="3119"/>
      <c r="DN10" s="3354"/>
      <c r="DO10" s="3341"/>
      <c r="DP10" s="3341">
        <f>DN10+DO10*1</f>
        <v>0</v>
      </c>
      <c r="DQ10" s="3350">
        <f t="shared" si="19"/>
        <v>0</v>
      </c>
      <c r="DR10" s="1148"/>
      <c r="DS10" s="3354"/>
      <c r="DT10" s="3341"/>
      <c r="DU10" s="3341">
        <f>DS10+DT10*1</f>
        <v>0</v>
      </c>
      <c r="DV10" s="3350">
        <f t="shared" si="20"/>
        <v>0</v>
      </c>
      <c r="DW10" s="3520"/>
      <c r="DX10" s="3354">
        <f t="shared" ref="DX10:DY33" si="40">R10+W10+AB10+AG10+AL10+AQ10+AV10+BA10+BP10+BU10+BZ10+CE10+CJ10+CO10+CT10+CY10+DD10+DI10+DN10+DS10+BF10</f>
        <v>699054.11999999988</v>
      </c>
      <c r="DY10" s="3354">
        <f t="shared" si="40"/>
        <v>0</v>
      </c>
      <c r="DZ10" s="3349">
        <f t="shared" ref="DZ10:DZ33" si="41">DX10+DY10*1</f>
        <v>699054.11999999988</v>
      </c>
      <c r="EA10" s="3350" t="e">
        <f t="shared" si="4"/>
        <v>#DIV/0!</v>
      </c>
      <c r="EB10" s="1434"/>
      <c r="ED10" s="3354">
        <v>428491.06</v>
      </c>
      <c r="EE10" s="3494">
        <f t="shared" si="21"/>
        <v>428491.06</v>
      </c>
      <c r="EF10" s="3334"/>
    </row>
    <row r="11" spans="1:136" s="1396" customFormat="1" ht="14.4" customHeight="1">
      <c r="A11" s="1571"/>
      <c r="B11" s="1424" t="s">
        <v>69</v>
      </c>
      <c r="C11" s="1157">
        <v>21796</v>
      </c>
      <c r="D11" s="3504"/>
      <c r="E11" s="1064">
        <f t="shared" si="22"/>
        <v>21796</v>
      </c>
      <c r="F11" s="3350">
        <f t="shared" si="0"/>
        <v>8.3831747233623181E-3</v>
      </c>
      <c r="G11" s="3311"/>
      <c r="H11" s="3341">
        <v>130704.66039999999</v>
      </c>
      <c r="I11" s="3341">
        <v>0</v>
      </c>
      <c r="J11" s="3349">
        <f t="shared" si="23"/>
        <v>130704.66039999999</v>
      </c>
      <c r="K11" s="3350">
        <f t="shared" si="1"/>
        <v>1.0284888388528668E-2</v>
      </c>
      <c r="L11" s="1434"/>
      <c r="M11" s="3490">
        <v>248481.61000000002</v>
      </c>
      <c r="N11" s="3490">
        <v>0</v>
      </c>
      <c r="O11" s="3505">
        <v>248481.61000000002</v>
      </c>
      <c r="P11" s="3516">
        <v>1.2892452573357206E-2</v>
      </c>
      <c r="Q11" s="1434"/>
      <c r="R11" s="3490">
        <v>45976.87</v>
      </c>
      <c r="S11" s="3490"/>
      <c r="T11" s="3505">
        <f t="shared" si="5"/>
        <v>45976.87</v>
      </c>
      <c r="U11" s="3516">
        <f t="shared" si="2"/>
        <v>3.5443489324592202E-2</v>
      </c>
      <c r="V11" s="3507"/>
      <c r="W11" s="3341">
        <v>53449</v>
      </c>
      <c r="X11" s="3341"/>
      <c r="Y11" s="3349">
        <f t="shared" si="24"/>
        <v>53449</v>
      </c>
      <c r="Z11" s="3350">
        <f t="shared" si="3"/>
        <v>2.3644026638623524E-2</v>
      </c>
      <c r="AA11" s="3342"/>
      <c r="AB11" s="3341">
        <v>153</v>
      </c>
      <c r="AC11" s="3341"/>
      <c r="AD11" s="3349">
        <f t="shared" si="25"/>
        <v>153</v>
      </c>
      <c r="AE11" s="3350">
        <f t="shared" si="6"/>
        <v>1.8254570612111223E-4</v>
      </c>
      <c r="AF11" s="3342"/>
      <c r="AG11" s="3341">
        <v>17981.419999999998</v>
      </c>
      <c r="AH11" s="3434"/>
      <c r="AI11" s="3517">
        <f t="shared" si="26"/>
        <v>17981.419999999998</v>
      </c>
      <c r="AJ11" s="3509">
        <f t="shared" si="7"/>
        <v>1.6623506769758895E-2</v>
      </c>
      <c r="AK11" s="3342"/>
      <c r="AL11" s="3341">
        <v>33302.699999999997</v>
      </c>
      <c r="AM11" s="3434"/>
      <c r="AN11" s="3517">
        <f t="shared" si="27"/>
        <v>33302.699999999997</v>
      </c>
      <c r="AO11" s="3509">
        <f t="shared" si="28"/>
        <v>7.3276696640166387E-3</v>
      </c>
      <c r="AP11" s="3342"/>
      <c r="AQ11" s="3433">
        <v>35814.94</v>
      </c>
      <c r="AR11" s="3354"/>
      <c r="AS11" s="3517">
        <f t="shared" si="29"/>
        <v>35814.94</v>
      </c>
      <c r="AT11" s="3509">
        <f t="shared" si="30"/>
        <v>5.6800264293712481E-3</v>
      </c>
      <c r="AU11" s="3342"/>
      <c r="AV11" s="3342">
        <v>54327.4</v>
      </c>
      <c r="AW11" s="3342"/>
      <c r="AX11" s="3517">
        <f t="shared" si="31"/>
        <v>54327.4</v>
      </c>
      <c r="AY11" s="3509">
        <f t="shared" si="32"/>
        <v>8.615987290192962E-3</v>
      </c>
      <c r="AZ11" s="3342"/>
      <c r="BA11" s="3342">
        <v>63269.43</v>
      </c>
      <c r="BB11" s="3342"/>
      <c r="BC11" s="3517">
        <f t="shared" si="33"/>
        <v>63269.43</v>
      </c>
      <c r="BD11" s="3511">
        <f t="shared" si="34"/>
        <v>9.3305703605333235E-3</v>
      </c>
      <c r="BE11" s="3512"/>
      <c r="BF11" s="3341">
        <v>503195.58999999997</v>
      </c>
      <c r="BG11" s="3341">
        <v>0</v>
      </c>
      <c r="BH11" s="3349">
        <v>503195.58999999997</v>
      </c>
      <c r="BI11" s="3350">
        <v>0.38791260741209377</v>
      </c>
      <c r="BJ11" s="3343"/>
      <c r="BK11" s="3341">
        <f t="shared" si="8"/>
        <v>0</v>
      </c>
      <c r="BL11" s="3341">
        <f t="shared" si="8"/>
        <v>0</v>
      </c>
      <c r="BM11" s="3349">
        <f t="shared" si="35"/>
        <v>0</v>
      </c>
      <c r="BN11" s="3350">
        <f t="shared" si="9"/>
        <v>0</v>
      </c>
      <c r="BO11" s="3343"/>
      <c r="BP11" s="3342"/>
      <c r="BQ11" s="3342"/>
      <c r="BR11" s="3519">
        <f t="shared" si="36"/>
        <v>0</v>
      </c>
      <c r="BS11" s="3432">
        <f t="shared" si="37"/>
        <v>0</v>
      </c>
      <c r="BT11" s="3512"/>
      <c r="BU11" s="3341"/>
      <c r="BV11" s="3341"/>
      <c r="BW11" s="3349">
        <f t="shared" si="38"/>
        <v>0</v>
      </c>
      <c r="BX11" s="3350">
        <f t="shared" si="10"/>
        <v>0</v>
      </c>
      <c r="BY11" s="1434"/>
      <c r="BZ11" s="3351"/>
      <c r="CA11" s="3351"/>
      <c r="CB11" s="3352">
        <f t="shared" si="39"/>
        <v>0</v>
      </c>
      <c r="CC11" s="3350">
        <f t="shared" si="11"/>
        <v>0</v>
      </c>
      <c r="CD11" s="3343"/>
      <c r="CE11" s="3352"/>
      <c r="CF11" s="3351"/>
      <c r="CG11" s="3352">
        <f>CE11+CF11*1</f>
        <v>0</v>
      </c>
      <c r="CH11" s="3350">
        <f t="shared" si="12"/>
        <v>0</v>
      </c>
      <c r="CI11" s="1148"/>
      <c r="CJ11" s="3341"/>
      <c r="CK11" s="3341"/>
      <c r="CL11" s="3341">
        <f>CJ11+CK11*1</f>
        <v>0</v>
      </c>
      <c r="CM11" s="3350">
        <f t="shared" si="13"/>
        <v>0</v>
      </c>
      <c r="CN11" s="1148"/>
      <c r="CO11" s="3341"/>
      <c r="CP11" s="3341"/>
      <c r="CQ11" s="3341">
        <f>CO11+CP11*1</f>
        <v>0</v>
      </c>
      <c r="CR11" s="3350">
        <f t="shared" si="14"/>
        <v>0</v>
      </c>
      <c r="CS11" s="1148"/>
      <c r="CT11" s="3341"/>
      <c r="CU11" s="3341"/>
      <c r="CV11" s="3341">
        <f>CT11+CU11*1</f>
        <v>0</v>
      </c>
      <c r="CW11" s="3350">
        <f t="shared" si="15"/>
        <v>0</v>
      </c>
      <c r="CX11" s="1148"/>
      <c r="CY11" s="3341"/>
      <c r="CZ11" s="3341"/>
      <c r="DA11" s="3341">
        <f>CY11+CZ11*1</f>
        <v>0</v>
      </c>
      <c r="DB11" s="3350">
        <f t="shared" si="16"/>
        <v>0</v>
      </c>
      <c r="DC11" s="1148"/>
      <c r="DD11" s="3341"/>
      <c r="DE11" s="3341"/>
      <c r="DF11" s="3341">
        <f>DD11+DE11*1</f>
        <v>0</v>
      </c>
      <c r="DG11" s="3350">
        <f t="shared" si="17"/>
        <v>0</v>
      </c>
      <c r="DH11" s="1148"/>
      <c r="DI11" s="3341"/>
      <c r="DJ11" s="3341"/>
      <c r="DK11" s="3341">
        <f>DI11+DJ11*1</f>
        <v>0</v>
      </c>
      <c r="DL11" s="3350">
        <f t="shared" si="18"/>
        <v>0</v>
      </c>
      <c r="DM11" s="3119"/>
      <c r="DN11" s="3354"/>
      <c r="DO11" s="3341"/>
      <c r="DP11" s="3341">
        <f>DN11+DO11*1</f>
        <v>0</v>
      </c>
      <c r="DQ11" s="3350">
        <f t="shared" si="19"/>
        <v>0</v>
      </c>
      <c r="DR11" s="1148"/>
      <c r="DS11" s="3354"/>
      <c r="DT11" s="3341"/>
      <c r="DU11" s="3341">
        <f>DS11+DT11*1</f>
        <v>0</v>
      </c>
      <c r="DV11" s="3350">
        <f t="shared" si="20"/>
        <v>0</v>
      </c>
      <c r="DW11" s="3312"/>
      <c r="DX11" s="3354">
        <f t="shared" si="40"/>
        <v>807470.35</v>
      </c>
      <c r="DY11" s="3354">
        <f t="shared" si="40"/>
        <v>0</v>
      </c>
      <c r="DZ11" s="3349">
        <f t="shared" si="41"/>
        <v>807470.35</v>
      </c>
      <c r="EA11" s="3350" t="e">
        <f t="shared" si="4"/>
        <v>#DIV/0!</v>
      </c>
      <c r="EB11" s="1434"/>
      <c r="ED11" s="3354">
        <v>498612.26</v>
      </c>
      <c r="EE11" s="3494">
        <f t="shared" si="21"/>
        <v>498612.26</v>
      </c>
      <c r="EF11" s="3334"/>
    </row>
    <row r="12" spans="1:136" s="1396" customFormat="1" ht="15.6" customHeight="1">
      <c r="A12" s="1571"/>
      <c r="B12" s="1424" t="s">
        <v>73</v>
      </c>
      <c r="C12" s="1157">
        <v>11109</v>
      </c>
      <c r="D12" s="3504">
        <v>45191</v>
      </c>
      <c r="E12" s="1064">
        <f t="shared" si="22"/>
        <v>56300</v>
      </c>
      <c r="F12" s="3350">
        <f t="shared" si="0"/>
        <v>2.1654098776165285E-2</v>
      </c>
      <c r="G12" s="3311"/>
      <c r="H12" s="3341">
        <v>181017.3</v>
      </c>
      <c r="I12" s="3341">
        <v>366462.5</v>
      </c>
      <c r="J12" s="3349">
        <f t="shared" si="23"/>
        <v>547479.80000000005</v>
      </c>
      <c r="K12" s="3350">
        <f t="shared" si="1"/>
        <v>4.3080090799685042E-2</v>
      </c>
      <c r="L12" s="1434"/>
      <c r="M12" s="3490">
        <v>327593.28999999998</v>
      </c>
      <c r="N12" s="3490">
        <v>522277.86</v>
      </c>
      <c r="O12" s="3505">
        <v>849871.14999999991</v>
      </c>
      <c r="P12" s="3516">
        <v>4.4095510709382259E-2</v>
      </c>
      <c r="Q12" s="1434"/>
      <c r="R12" s="3490">
        <v>22582.37</v>
      </c>
      <c r="S12" s="3490">
        <f>16170.21095+27619.42+9628</f>
        <v>53417.630949999999</v>
      </c>
      <c r="T12" s="3505">
        <f t="shared" si="5"/>
        <v>76000.000950000001</v>
      </c>
      <c r="U12" s="3516">
        <f t="shared" si="2"/>
        <v>5.8588268891299512E-2</v>
      </c>
      <c r="V12" s="3521" t="s">
        <v>975</v>
      </c>
      <c r="W12" s="3341">
        <v>113559.66</v>
      </c>
      <c r="X12" s="3341">
        <v>57900</v>
      </c>
      <c r="Y12" s="3349">
        <f t="shared" si="24"/>
        <v>171459.66</v>
      </c>
      <c r="Z12" s="3350">
        <f t="shared" si="3"/>
        <v>7.5847944180234092E-2</v>
      </c>
      <c r="AA12" s="3342" t="s">
        <v>1027</v>
      </c>
      <c r="AB12" s="3341">
        <v>7418</v>
      </c>
      <c r="AC12" s="3341">
        <v>61838</v>
      </c>
      <c r="AD12" s="3349">
        <f t="shared" si="25"/>
        <v>69256</v>
      </c>
      <c r="AE12" s="3350">
        <f t="shared" si="6"/>
        <v>8.2629970085776133E-2</v>
      </c>
      <c r="AF12" s="3342" t="s">
        <v>1072</v>
      </c>
      <c r="AG12" s="3341">
        <f>21332.5-5235.5</f>
        <v>16097</v>
      </c>
      <c r="AH12" s="3434">
        <v>19900</v>
      </c>
      <c r="AI12" s="3517">
        <f t="shared" si="26"/>
        <v>35997</v>
      </c>
      <c r="AJ12" s="3509">
        <f t="shared" si="7"/>
        <v>3.3278593859161903E-2</v>
      </c>
      <c r="AK12" s="3342" t="s">
        <v>1109</v>
      </c>
      <c r="AL12" s="3341">
        <v>18386.939999999999</v>
      </c>
      <c r="AM12" s="3434">
        <v>29431.3</v>
      </c>
      <c r="AN12" s="3517">
        <f t="shared" si="27"/>
        <v>47818.239999999998</v>
      </c>
      <c r="AO12" s="3509">
        <f t="shared" si="28"/>
        <v>1.0521557310208093E-2</v>
      </c>
      <c r="AP12" s="3342" t="s">
        <v>1143</v>
      </c>
      <c r="AQ12" s="3433">
        <v>26967.5</v>
      </c>
      <c r="AR12" s="3354">
        <v>32032.5</v>
      </c>
      <c r="AS12" s="3517">
        <f t="shared" si="29"/>
        <v>59000</v>
      </c>
      <c r="AT12" s="3509">
        <f t="shared" si="30"/>
        <v>9.3570325493468262E-3</v>
      </c>
      <c r="AU12" s="3342" t="s">
        <v>1177</v>
      </c>
      <c r="AV12" s="3342">
        <v>26967.5</v>
      </c>
      <c r="AW12" s="3342">
        <v>32032.5</v>
      </c>
      <c r="AX12" s="3517">
        <f t="shared" si="31"/>
        <v>59000</v>
      </c>
      <c r="AY12" s="3509">
        <f t="shared" si="32"/>
        <v>9.3570325493468262E-3</v>
      </c>
      <c r="AZ12" s="3343" t="s">
        <v>1211</v>
      </c>
      <c r="BA12" s="3342">
        <v>26967.5</v>
      </c>
      <c r="BB12" s="3342">
        <v>22324</v>
      </c>
      <c r="BC12" s="3517">
        <f t="shared" si="33"/>
        <v>49291.5</v>
      </c>
      <c r="BD12" s="3511">
        <f t="shared" si="34"/>
        <v>7.2691947584517247E-3</v>
      </c>
      <c r="BE12" s="3512" t="s">
        <v>1143</v>
      </c>
      <c r="BF12" s="3341">
        <v>304712.16000000003</v>
      </c>
      <c r="BG12" s="3341">
        <v>424400</v>
      </c>
      <c r="BH12" s="3349">
        <v>729112.16</v>
      </c>
      <c r="BI12" s="3350">
        <v>0.56207129931616395</v>
      </c>
      <c r="BJ12" s="3343"/>
      <c r="BK12" s="3341">
        <f t="shared" si="8"/>
        <v>0</v>
      </c>
      <c r="BL12" s="3341">
        <f t="shared" si="8"/>
        <v>0</v>
      </c>
      <c r="BM12" s="3349">
        <f t="shared" si="35"/>
        <v>0</v>
      </c>
      <c r="BN12" s="3350">
        <f t="shared" si="9"/>
        <v>0</v>
      </c>
      <c r="BO12" s="3343"/>
      <c r="BP12" s="3342"/>
      <c r="BQ12" s="3342"/>
      <c r="BR12" s="3519">
        <f t="shared" si="36"/>
        <v>0</v>
      </c>
      <c r="BS12" s="3432">
        <f t="shared" si="37"/>
        <v>0</v>
      </c>
      <c r="BT12" s="3512"/>
      <c r="BU12" s="3341"/>
      <c r="BV12" s="3341"/>
      <c r="BW12" s="3349">
        <f t="shared" si="38"/>
        <v>0</v>
      </c>
      <c r="BX12" s="3350">
        <f t="shared" si="10"/>
        <v>0</v>
      </c>
      <c r="BY12" s="3522"/>
      <c r="BZ12" s="3351"/>
      <c r="CA12" s="3351"/>
      <c r="CB12" s="3352">
        <f t="shared" si="39"/>
        <v>0</v>
      </c>
      <c r="CC12" s="3350">
        <f t="shared" si="11"/>
        <v>0</v>
      </c>
      <c r="CD12" s="3343"/>
      <c r="CE12" s="3352"/>
      <c r="CF12" s="3351"/>
      <c r="CG12" s="3352">
        <f>CE12+CF12*1</f>
        <v>0</v>
      </c>
      <c r="CH12" s="3350">
        <f t="shared" si="12"/>
        <v>0</v>
      </c>
      <c r="CI12" s="3343"/>
      <c r="CJ12" s="3341"/>
      <c r="CK12" s="3341"/>
      <c r="CL12" s="3341">
        <f>CJ12+CK12*1</f>
        <v>0</v>
      </c>
      <c r="CM12" s="3350">
        <f t="shared" si="13"/>
        <v>0</v>
      </c>
      <c r="CN12" s="1148"/>
      <c r="CO12" s="3341"/>
      <c r="CP12" s="3341"/>
      <c r="CQ12" s="3341">
        <f>CO12+CP12*1</f>
        <v>0</v>
      </c>
      <c r="CR12" s="3350">
        <f t="shared" si="14"/>
        <v>0</v>
      </c>
      <c r="CS12" s="3343"/>
      <c r="CT12" s="3341"/>
      <c r="CU12" s="3341"/>
      <c r="CV12" s="3341">
        <f>CT12+CU12*1</f>
        <v>0</v>
      </c>
      <c r="CW12" s="3350">
        <f t="shared" si="15"/>
        <v>0</v>
      </c>
      <c r="CX12" s="3343"/>
      <c r="CY12" s="3341"/>
      <c r="CZ12" s="3341"/>
      <c r="DA12" s="3341">
        <f>CY12+CZ12*1</f>
        <v>0</v>
      </c>
      <c r="DB12" s="3350">
        <f t="shared" si="16"/>
        <v>0</v>
      </c>
      <c r="DC12" s="3343"/>
      <c r="DD12" s="3341"/>
      <c r="DE12" s="3341"/>
      <c r="DF12" s="3341">
        <f>DD12+DE12*1</f>
        <v>0</v>
      </c>
      <c r="DG12" s="3350">
        <f t="shared" si="17"/>
        <v>0</v>
      </c>
      <c r="DH12" s="3343"/>
      <c r="DI12" s="3341"/>
      <c r="DJ12" s="3341"/>
      <c r="DK12" s="3341">
        <f>DI12+DJ12*1</f>
        <v>0</v>
      </c>
      <c r="DL12" s="3350">
        <f t="shared" si="18"/>
        <v>0</v>
      </c>
      <c r="DM12" s="3493"/>
      <c r="DN12" s="3354"/>
      <c r="DO12" s="3341"/>
      <c r="DP12" s="3341">
        <f>DN12+DO12*1</f>
        <v>0</v>
      </c>
      <c r="DQ12" s="3350">
        <f t="shared" si="19"/>
        <v>0</v>
      </c>
      <c r="DR12" s="3493"/>
      <c r="DS12" s="3354"/>
      <c r="DT12" s="3341"/>
      <c r="DU12" s="3341">
        <f>DS12+DT12*1</f>
        <v>0</v>
      </c>
      <c r="DV12" s="3350">
        <f t="shared" si="20"/>
        <v>0</v>
      </c>
      <c r="DW12" s="3523"/>
      <c r="DX12" s="3354">
        <f t="shared" si="40"/>
        <v>563658.63</v>
      </c>
      <c r="DY12" s="3354">
        <f t="shared" si="40"/>
        <v>733275.93094999995</v>
      </c>
      <c r="DZ12" s="3349">
        <f t="shared" si="41"/>
        <v>1296934.5609499998</v>
      </c>
      <c r="EA12" s="3350" t="e">
        <f t="shared" si="4"/>
        <v>#DIV/0!</v>
      </c>
      <c r="EB12" s="1434"/>
      <c r="ED12" s="3354">
        <v>617416.07999999996</v>
      </c>
      <c r="EE12" s="3494">
        <f t="shared" si="21"/>
        <v>617416.07999999996</v>
      </c>
      <c r="EF12" s="3335" t="s">
        <v>1834</v>
      </c>
    </row>
    <row r="13" spans="1:136" s="1396" customFormat="1" ht="14.4" customHeight="1">
      <c r="A13" s="1571"/>
      <c r="B13" s="1424" t="s">
        <v>71</v>
      </c>
      <c r="C13" s="1157">
        <v>2691</v>
      </c>
      <c r="D13" s="3504"/>
      <c r="E13" s="1064">
        <f t="shared" si="22"/>
        <v>2691</v>
      </c>
      <c r="F13" s="3350">
        <f t="shared" si="0"/>
        <v>1.0350120747186638E-3</v>
      </c>
      <c r="G13" s="3311"/>
      <c r="H13" s="3341">
        <v>43848.910950000005</v>
      </c>
      <c r="I13" s="3341">
        <v>0</v>
      </c>
      <c r="J13" s="3349">
        <f t="shared" si="23"/>
        <v>43848.910950000005</v>
      </c>
      <c r="K13" s="3350">
        <f t="shared" si="1"/>
        <v>3.4503831286438399E-3</v>
      </c>
      <c r="L13" s="1434"/>
      <c r="M13" s="3490">
        <v>81066.400000000009</v>
      </c>
      <c r="N13" s="3490">
        <v>0</v>
      </c>
      <c r="O13" s="3505">
        <v>81066.400000000009</v>
      </c>
      <c r="P13" s="3516">
        <v>4.2061250218589806E-3</v>
      </c>
      <c r="Q13" s="1434"/>
      <c r="R13" s="3490">
        <v>5470.26</v>
      </c>
      <c r="S13" s="3490"/>
      <c r="T13" s="3505">
        <f t="shared" si="5"/>
        <v>5470.26</v>
      </c>
      <c r="U13" s="3516">
        <f t="shared" si="2"/>
        <v>4.2170139444625901E-3</v>
      </c>
      <c r="V13" s="3507"/>
      <c r="W13" s="3341">
        <v>17407</v>
      </c>
      <c r="X13" s="3341"/>
      <c r="Y13" s="3349">
        <f t="shared" si="24"/>
        <v>17407</v>
      </c>
      <c r="Z13" s="3350">
        <f t="shared" si="3"/>
        <v>7.7002670152579037E-3</v>
      </c>
      <c r="AA13" s="3342"/>
      <c r="AB13" s="3341">
        <v>5168</v>
      </c>
      <c r="AC13" s="3341"/>
      <c r="AD13" s="3349">
        <f t="shared" si="25"/>
        <v>5168</v>
      </c>
      <c r="AE13" s="3350">
        <f t="shared" si="6"/>
        <v>6.1659882956464577E-3</v>
      </c>
      <c r="AF13" s="3342"/>
      <c r="AG13" s="3341">
        <f>5167.5-1267.5</f>
        <v>3900</v>
      </c>
      <c r="AH13" s="3434"/>
      <c r="AI13" s="3517">
        <f t="shared" si="26"/>
        <v>3900</v>
      </c>
      <c r="AJ13" s="3509">
        <f t="shared" si="7"/>
        <v>3.6054814581973891E-3</v>
      </c>
      <c r="AK13" s="3342"/>
      <c r="AL13" s="3341">
        <v>4453.97</v>
      </c>
      <c r="AM13" s="3434"/>
      <c r="AN13" s="3517">
        <f t="shared" si="27"/>
        <v>4453.97</v>
      </c>
      <c r="AO13" s="3509">
        <f t="shared" si="28"/>
        <v>9.8001726146649355E-4</v>
      </c>
      <c r="AP13" s="3342"/>
      <c r="AQ13" s="3433">
        <v>6532.5</v>
      </c>
      <c r="AR13" s="3354"/>
      <c r="AS13" s="3517">
        <f t="shared" si="29"/>
        <v>6532.5</v>
      </c>
      <c r="AT13" s="3509">
        <f t="shared" si="30"/>
        <v>1.0360138157391211E-3</v>
      </c>
      <c r="AU13" s="3342"/>
      <c r="AV13" s="3342">
        <v>6532.5</v>
      </c>
      <c r="AW13" s="3342"/>
      <c r="AX13" s="3517">
        <f t="shared" si="31"/>
        <v>6532.5</v>
      </c>
      <c r="AY13" s="3509">
        <f t="shared" si="32"/>
        <v>1.0360138157391211E-3</v>
      </c>
      <c r="AZ13" s="3342"/>
      <c r="BA13" s="3342">
        <v>6532.5</v>
      </c>
      <c r="BB13" s="3342"/>
      <c r="BC13" s="3517">
        <f t="shared" si="33"/>
        <v>6532.5</v>
      </c>
      <c r="BD13" s="3511">
        <f t="shared" si="34"/>
        <v>9.6337126603138245E-4</v>
      </c>
      <c r="BE13" s="3512"/>
      <c r="BF13" s="3341">
        <v>73245.36</v>
      </c>
      <c r="BG13" s="3341">
        <v>0</v>
      </c>
      <c r="BH13" s="3349">
        <v>73245.36</v>
      </c>
      <c r="BI13" s="3350">
        <v>5.6464720961559856E-2</v>
      </c>
      <c r="BJ13" s="3343"/>
      <c r="BK13" s="3341">
        <f t="shared" si="8"/>
        <v>0</v>
      </c>
      <c r="BL13" s="3341">
        <f t="shared" si="8"/>
        <v>0</v>
      </c>
      <c r="BM13" s="3349">
        <f t="shared" si="35"/>
        <v>0</v>
      </c>
      <c r="BN13" s="3350">
        <f t="shared" si="9"/>
        <v>0</v>
      </c>
      <c r="BO13" s="3343"/>
      <c r="BP13" s="3342"/>
      <c r="BQ13" s="3342"/>
      <c r="BR13" s="3519">
        <f t="shared" si="36"/>
        <v>0</v>
      </c>
      <c r="BS13" s="3432">
        <f t="shared" si="37"/>
        <v>0</v>
      </c>
      <c r="BT13" s="3512"/>
      <c r="BU13" s="3341"/>
      <c r="BV13" s="3341"/>
      <c r="BW13" s="3349">
        <f t="shared" si="38"/>
        <v>0</v>
      </c>
      <c r="BX13" s="3350">
        <f t="shared" si="10"/>
        <v>0</v>
      </c>
      <c r="BY13" s="1434"/>
      <c r="BZ13" s="3351"/>
      <c r="CA13" s="3351"/>
      <c r="CB13" s="3352">
        <f>BZ13+CA13*1</f>
        <v>0</v>
      </c>
      <c r="CC13" s="3350">
        <f t="shared" si="11"/>
        <v>0</v>
      </c>
      <c r="CD13" s="3343"/>
      <c r="CE13" s="3352"/>
      <c r="CF13" s="3351"/>
      <c r="CG13" s="3352">
        <f>CE13+CF13*1</f>
        <v>0</v>
      </c>
      <c r="CH13" s="3350">
        <f t="shared" si="12"/>
        <v>0</v>
      </c>
      <c r="CI13" s="1148"/>
      <c r="CJ13" s="3341"/>
      <c r="CK13" s="3341"/>
      <c r="CL13" s="3341">
        <f>CJ13+CK13*1</f>
        <v>0</v>
      </c>
      <c r="CM13" s="3350">
        <f t="shared" si="13"/>
        <v>0</v>
      </c>
      <c r="CN13" s="1148"/>
      <c r="CO13" s="3341"/>
      <c r="CP13" s="3341"/>
      <c r="CQ13" s="3341">
        <f>CO13+CP13*1</f>
        <v>0</v>
      </c>
      <c r="CR13" s="3350">
        <f t="shared" si="14"/>
        <v>0</v>
      </c>
      <c r="CS13" s="1148"/>
      <c r="CT13" s="3341"/>
      <c r="CU13" s="3341"/>
      <c r="CV13" s="3341">
        <f>CT13+CU13*1</f>
        <v>0</v>
      </c>
      <c r="CW13" s="3350">
        <f t="shared" si="15"/>
        <v>0</v>
      </c>
      <c r="CX13" s="1148"/>
      <c r="CY13" s="3341"/>
      <c r="CZ13" s="3341"/>
      <c r="DA13" s="3341">
        <f>CY13+CZ13*1</f>
        <v>0</v>
      </c>
      <c r="DB13" s="3350">
        <f t="shared" si="16"/>
        <v>0</v>
      </c>
      <c r="DC13" s="1148"/>
      <c r="DD13" s="3341"/>
      <c r="DE13" s="3341"/>
      <c r="DF13" s="3341">
        <f>DD13+DE13*1</f>
        <v>0</v>
      </c>
      <c r="DG13" s="3350">
        <f t="shared" si="17"/>
        <v>0</v>
      </c>
      <c r="DH13" s="1148"/>
      <c r="DI13" s="3341"/>
      <c r="DJ13" s="3341"/>
      <c r="DK13" s="3341">
        <f>DI13+DJ13*1</f>
        <v>0</v>
      </c>
      <c r="DL13" s="3350">
        <f t="shared" si="18"/>
        <v>0</v>
      </c>
      <c r="DM13" s="3119"/>
      <c r="DN13" s="3354"/>
      <c r="DO13" s="3341"/>
      <c r="DP13" s="3341">
        <f>DN13+DO13*1</f>
        <v>0</v>
      </c>
      <c r="DQ13" s="3350">
        <f t="shared" si="19"/>
        <v>0</v>
      </c>
      <c r="DR13" s="1148"/>
      <c r="DS13" s="3354"/>
      <c r="DT13" s="3341"/>
      <c r="DU13" s="3341">
        <f>DS13+DT13*1</f>
        <v>0</v>
      </c>
      <c r="DV13" s="3350">
        <f t="shared" si="20"/>
        <v>0</v>
      </c>
      <c r="DW13" s="3312"/>
      <c r="DX13" s="3354">
        <f t="shared" si="40"/>
        <v>129242.09</v>
      </c>
      <c r="DY13" s="3354">
        <f t="shared" si="40"/>
        <v>0</v>
      </c>
      <c r="DZ13" s="3349">
        <f t="shared" si="41"/>
        <v>129242.09</v>
      </c>
      <c r="EA13" s="3350" t="e">
        <f t="shared" si="4"/>
        <v>#DIV/0!</v>
      </c>
      <c r="EB13" s="1434"/>
      <c r="ED13" s="3354">
        <v>73384.210000000006</v>
      </c>
      <c r="EE13" s="3494">
        <f t="shared" si="21"/>
        <v>73384.210000000006</v>
      </c>
      <c r="EF13" s="3334"/>
    </row>
    <row r="14" spans="1:136" s="1396" customFormat="1" ht="14.4" customHeight="1">
      <c r="A14" s="1571"/>
      <c r="B14" s="1424" t="s">
        <v>70</v>
      </c>
      <c r="C14" s="1157">
        <v>3036</v>
      </c>
      <c r="D14" s="3504"/>
      <c r="E14" s="1064">
        <f t="shared" si="22"/>
        <v>3036</v>
      </c>
      <c r="F14" s="3350">
        <f t="shared" si="0"/>
        <v>1.167705930451826E-3</v>
      </c>
      <c r="G14" s="3311"/>
      <c r="H14" s="3341">
        <v>49470.566200000001</v>
      </c>
      <c r="I14" s="3341">
        <v>0</v>
      </c>
      <c r="J14" s="3349">
        <f t="shared" si="23"/>
        <v>49470.566200000001</v>
      </c>
      <c r="K14" s="3350">
        <f t="shared" si="1"/>
        <v>3.8927399400084345E-3</v>
      </c>
      <c r="L14" s="1434"/>
      <c r="M14" s="3490">
        <v>91458.87</v>
      </c>
      <c r="N14" s="3490">
        <v>0</v>
      </c>
      <c r="O14" s="3505">
        <v>91458.87</v>
      </c>
      <c r="P14" s="3516">
        <v>4.7453376686018818E-3</v>
      </c>
      <c r="Q14" s="1434"/>
      <c r="R14" s="3490">
        <v>6171.58</v>
      </c>
      <c r="S14" s="3490"/>
      <c r="T14" s="3505">
        <f t="shared" si="5"/>
        <v>6171.58</v>
      </c>
      <c r="U14" s="3516">
        <f t="shared" si="2"/>
        <v>4.7576603158472229E-3</v>
      </c>
      <c r="V14" s="3507"/>
      <c r="W14" s="3341">
        <v>19638.68</v>
      </c>
      <c r="X14" s="3341"/>
      <c r="Y14" s="3349">
        <f t="shared" si="24"/>
        <v>19638.68</v>
      </c>
      <c r="Z14" s="3350">
        <f t="shared" si="3"/>
        <v>8.6874866333776692E-3</v>
      </c>
      <c r="AA14" s="1593"/>
      <c r="AB14" s="3341">
        <v>5830</v>
      </c>
      <c r="AC14" s="3341"/>
      <c r="AD14" s="3349">
        <f t="shared" si="25"/>
        <v>5830</v>
      </c>
      <c r="AE14" s="3350">
        <f t="shared" si="6"/>
        <v>6.9558265796476103E-3</v>
      </c>
      <c r="AF14" s="3342"/>
      <c r="AG14" s="3341">
        <f>5830-1430</f>
        <v>4400</v>
      </c>
      <c r="AH14" s="3434"/>
      <c r="AI14" s="3517">
        <f t="shared" si="26"/>
        <v>4400</v>
      </c>
      <c r="AJ14" s="3509">
        <f t="shared" si="7"/>
        <v>4.0677226707867978E-3</v>
      </c>
      <c r="AK14" s="3342"/>
      <c r="AL14" s="3341">
        <v>5025</v>
      </c>
      <c r="AM14" s="3434"/>
      <c r="AN14" s="3517">
        <f t="shared" si="27"/>
        <v>5025</v>
      </c>
      <c r="AO14" s="3509">
        <f t="shared" si="28"/>
        <v>1.1056623055092714E-3</v>
      </c>
      <c r="AP14" s="3342"/>
      <c r="AQ14" s="3433">
        <v>7370</v>
      </c>
      <c r="AR14" s="3354"/>
      <c r="AS14" s="3517">
        <f t="shared" si="29"/>
        <v>7370</v>
      </c>
      <c r="AT14" s="3509">
        <f t="shared" si="30"/>
        <v>1.1688360998082391E-3</v>
      </c>
      <c r="AU14" s="3342"/>
      <c r="AV14" s="3342">
        <v>7370</v>
      </c>
      <c r="AW14" s="3342"/>
      <c r="AX14" s="3517">
        <f t="shared" si="31"/>
        <v>7370</v>
      </c>
      <c r="AY14" s="3509">
        <f t="shared" si="32"/>
        <v>1.1688360998082391E-3</v>
      </c>
      <c r="AZ14" s="3342"/>
      <c r="BA14" s="3342">
        <v>7370</v>
      </c>
      <c r="BB14" s="3342"/>
      <c r="BC14" s="3517">
        <f t="shared" si="33"/>
        <v>7370</v>
      </c>
      <c r="BD14" s="3511">
        <f t="shared" si="34"/>
        <v>1.0868804027020726E-3</v>
      </c>
      <c r="BE14" s="3512"/>
      <c r="BF14" s="3341">
        <v>88370.62999999999</v>
      </c>
      <c r="BG14" s="3341">
        <v>0</v>
      </c>
      <c r="BH14" s="3349">
        <v>88370.62999999999</v>
      </c>
      <c r="BI14" s="3350">
        <v>6.8124765365986995E-2</v>
      </c>
      <c r="BJ14" s="3343"/>
      <c r="BK14" s="3341">
        <f t="shared" si="8"/>
        <v>0</v>
      </c>
      <c r="BL14" s="3341">
        <f t="shared" si="8"/>
        <v>0</v>
      </c>
      <c r="BM14" s="3349">
        <f t="shared" si="35"/>
        <v>0</v>
      </c>
      <c r="BN14" s="3350">
        <f t="shared" si="9"/>
        <v>0</v>
      </c>
      <c r="BO14" s="3343"/>
      <c r="BP14" s="3342"/>
      <c r="BQ14" s="3342"/>
      <c r="BR14" s="3519">
        <f t="shared" si="36"/>
        <v>0</v>
      </c>
      <c r="BS14" s="3432">
        <f t="shared" si="37"/>
        <v>0</v>
      </c>
      <c r="BT14" s="3512"/>
      <c r="BU14" s="3341"/>
      <c r="BV14" s="3341"/>
      <c r="BW14" s="3349">
        <f t="shared" si="38"/>
        <v>0</v>
      </c>
      <c r="BX14" s="3350">
        <f t="shared" si="10"/>
        <v>0</v>
      </c>
      <c r="BY14" s="1434"/>
      <c r="BZ14" s="3351"/>
      <c r="CA14" s="3351"/>
      <c r="CB14" s="3352">
        <f t="shared" si="39"/>
        <v>0</v>
      </c>
      <c r="CC14" s="3350">
        <f t="shared" si="11"/>
        <v>0</v>
      </c>
      <c r="CD14" s="3343"/>
      <c r="CE14" s="3352"/>
      <c r="CF14" s="3351"/>
      <c r="CG14" s="3352">
        <f t="shared" ref="CG14:CG33" si="42">CE14+CF14*1</f>
        <v>0</v>
      </c>
      <c r="CH14" s="3350">
        <f t="shared" si="12"/>
        <v>0</v>
      </c>
      <c r="CI14" s="1148"/>
      <c r="CJ14" s="3341"/>
      <c r="CK14" s="3341"/>
      <c r="CL14" s="3341">
        <f t="shared" ref="CL14:CL33" si="43">CJ14+CK14*1</f>
        <v>0</v>
      </c>
      <c r="CM14" s="3350">
        <f t="shared" si="13"/>
        <v>0</v>
      </c>
      <c r="CN14" s="1148"/>
      <c r="CO14" s="3341"/>
      <c r="CP14" s="3341"/>
      <c r="CQ14" s="3341">
        <f t="shared" ref="CQ14:CQ36" si="44">CO14+CP14*1</f>
        <v>0</v>
      </c>
      <c r="CR14" s="3350">
        <f t="shared" si="14"/>
        <v>0</v>
      </c>
      <c r="CS14" s="1148"/>
      <c r="CT14" s="3341"/>
      <c r="CU14" s="3341"/>
      <c r="CV14" s="3341">
        <f t="shared" ref="CV14:CV34" si="45">CT14+CU14*1</f>
        <v>0</v>
      </c>
      <c r="CW14" s="3350">
        <f t="shared" si="15"/>
        <v>0</v>
      </c>
      <c r="CX14" s="1148"/>
      <c r="CY14" s="3341"/>
      <c r="CZ14" s="3341"/>
      <c r="DA14" s="3341">
        <f t="shared" ref="DA14:DA34" si="46">CY14+CZ14*1</f>
        <v>0</v>
      </c>
      <c r="DB14" s="3350">
        <f t="shared" si="16"/>
        <v>0</v>
      </c>
      <c r="DC14" s="1148"/>
      <c r="DD14" s="3341"/>
      <c r="DE14" s="3341"/>
      <c r="DF14" s="3341">
        <f t="shared" ref="DF14:DF34" si="47">DD14+DE14*1</f>
        <v>0</v>
      </c>
      <c r="DG14" s="3350">
        <f t="shared" si="17"/>
        <v>0</v>
      </c>
      <c r="DH14" s="1148"/>
      <c r="DI14" s="3341"/>
      <c r="DJ14" s="3341"/>
      <c r="DK14" s="3341">
        <f t="shared" ref="DK14:DK34" si="48">DI14+DJ14*1</f>
        <v>0</v>
      </c>
      <c r="DL14" s="3350">
        <f t="shared" si="18"/>
        <v>0</v>
      </c>
      <c r="DM14" s="3119"/>
      <c r="DN14" s="3354"/>
      <c r="DO14" s="3341"/>
      <c r="DP14" s="3341">
        <f t="shared" ref="DP14:DP34" si="49">DN14+DO14*1</f>
        <v>0</v>
      </c>
      <c r="DQ14" s="3350">
        <f t="shared" si="19"/>
        <v>0</v>
      </c>
      <c r="DR14" s="1148"/>
      <c r="DS14" s="3354"/>
      <c r="DT14" s="3341"/>
      <c r="DU14" s="3341">
        <f t="shared" ref="DU14:DU34" si="50">DS14+DT14*1</f>
        <v>0</v>
      </c>
      <c r="DV14" s="3350">
        <f t="shared" si="20"/>
        <v>0</v>
      </c>
      <c r="DW14" s="3312"/>
      <c r="DX14" s="3354">
        <f t="shared" si="40"/>
        <v>151545.88999999998</v>
      </c>
      <c r="DY14" s="3354">
        <f t="shared" si="40"/>
        <v>0</v>
      </c>
      <c r="DZ14" s="3349">
        <f t="shared" si="41"/>
        <v>151545.88999999998</v>
      </c>
      <c r="EA14" s="3350" t="e">
        <f t="shared" si="4"/>
        <v>#DIV/0!</v>
      </c>
      <c r="EB14" s="1434"/>
      <c r="ED14" s="3354">
        <v>85963.49</v>
      </c>
      <c r="EE14" s="3494">
        <f t="shared" si="21"/>
        <v>85963.49</v>
      </c>
      <c r="EF14" s="3334"/>
    </row>
    <row r="15" spans="1:136" s="1396" customFormat="1" ht="14.4" customHeight="1">
      <c r="A15" s="1571"/>
      <c r="B15" s="3444" t="s">
        <v>20</v>
      </c>
      <c r="C15" s="3524"/>
      <c r="D15" s="3525"/>
      <c r="E15" s="1064">
        <f t="shared" si="22"/>
        <v>0</v>
      </c>
      <c r="F15" s="3350">
        <f t="shared" si="0"/>
        <v>0</v>
      </c>
      <c r="G15" s="3311"/>
      <c r="H15" s="3341">
        <v>0</v>
      </c>
      <c r="I15" s="3341">
        <v>500</v>
      </c>
      <c r="J15" s="3349">
        <f t="shared" si="23"/>
        <v>500</v>
      </c>
      <c r="K15" s="3350">
        <f t="shared" si="1"/>
        <v>3.9344000271503206E-5</v>
      </c>
      <c r="L15" s="1434"/>
      <c r="M15" s="3490">
        <v>0</v>
      </c>
      <c r="N15" s="3490">
        <v>0</v>
      </c>
      <c r="O15" s="3505">
        <v>0</v>
      </c>
      <c r="P15" s="3516">
        <v>0</v>
      </c>
      <c r="Q15" s="1434"/>
      <c r="R15" s="3490"/>
      <c r="S15" s="3490"/>
      <c r="T15" s="3505">
        <f t="shared" si="5"/>
        <v>0</v>
      </c>
      <c r="U15" s="3516">
        <f t="shared" si="2"/>
        <v>0</v>
      </c>
      <c r="V15" s="3507"/>
      <c r="W15" s="3341"/>
      <c r="X15" s="3341"/>
      <c r="Y15" s="3349">
        <f t="shared" si="24"/>
        <v>0</v>
      </c>
      <c r="Z15" s="3350">
        <f t="shared" si="3"/>
        <v>0</v>
      </c>
      <c r="AA15" s="1593"/>
      <c r="AB15" s="3341"/>
      <c r="AC15" s="3341"/>
      <c r="AD15" s="3349">
        <f t="shared" si="25"/>
        <v>0</v>
      </c>
      <c r="AE15" s="3350">
        <f t="shared" si="6"/>
        <v>0</v>
      </c>
      <c r="AF15" s="3342"/>
      <c r="AG15" s="3341"/>
      <c r="AH15" s="3434"/>
      <c r="AI15" s="3517">
        <f t="shared" si="26"/>
        <v>0</v>
      </c>
      <c r="AJ15" s="3509">
        <f t="shared" si="7"/>
        <v>0</v>
      </c>
      <c r="AK15" s="3342"/>
      <c r="AL15" s="3341"/>
      <c r="AM15" s="3434"/>
      <c r="AN15" s="3517">
        <f t="shared" si="27"/>
        <v>0</v>
      </c>
      <c r="AO15" s="3509">
        <f t="shared" si="28"/>
        <v>0</v>
      </c>
      <c r="AP15" s="3342"/>
      <c r="AQ15" s="3433"/>
      <c r="AR15" s="3354"/>
      <c r="AS15" s="3517">
        <f t="shared" si="29"/>
        <v>0</v>
      </c>
      <c r="AT15" s="3509">
        <f t="shared" si="30"/>
        <v>0</v>
      </c>
      <c r="AU15" s="3342"/>
      <c r="AV15" s="3342"/>
      <c r="AW15" s="3342"/>
      <c r="AX15" s="3517">
        <f t="shared" si="31"/>
        <v>0</v>
      </c>
      <c r="AY15" s="3509">
        <f t="shared" si="32"/>
        <v>0</v>
      </c>
      <c r="AZ15" s="3342"/>
      <c r="BA15" s="3342"/>
      <c r="BB15" s="3342"/>
      <c r="BC15" s="3517">
        <f t="shared" si="33"/>
        <v>0</v>
      </c>
      <c r="BD15" s="3511">
        <f t="shared" si="34"/>
        <v>0</v>
      </c>
      <c r="BE15" s="3512"/>
      <c r="BF15" s="3341">
        <v>0</v>
      </c>
      <c r="BG15" s="3341">
        <v>0</v>
      </c>
      <c r="BH15" s="3349">
        <v>0</v>
      </c>
      <c r="BI15" s="3350">
        <v>0</v>
      </c>
      <c r="BJ15" s="3343"/>
      <c r="BK15" s="3341">
        <f t="shared" si="8"/>
        <v>0</v>
      </c>
      <c r="BL15" s="3341">
        <f t="shared" si="8"/>
        <v>0</v>
      </c>
      <c r="BM15" s="3349">
        <f t="shared" si="35"/>
        <v>0</v>
      </c>
      <c r="BN15" s="3350">
        <f t="shared" si="9"/>
        <v>0</v>
      </c>
      <c r="BO15" s="3343"/>
      <c r="BP15" s="3342"/>
      <c r="BQ15" s="3342"/>
      <c r="BR15" s="3519">
        <f t="shared" si="36"/>
        <v>0</v>
      </c>
      <c r="BS15" s="3432">
        <f t="shared" si="37"/>
        <v>0</v>
      </c>
      <c r="BT15" s="3512"/>
      <c r="BU15" s="3341"/>
      <c r="BV15" s="3341"/>
      <c r="BW15" s="3349">
        <f t="shared" si="38"/>
        <v>0</v>
      </c>
      <c r="BX15" s="3350">
        <f t="shared" si="10"/>
        <v>0</v>
      </c>
      <c r="BY15" s="1434"/>
      <c r="BZ15" s="3351"/>
      <c r="CA15" s="3351"/>
      <c r="CB15" s="3352">
        <f t="shared" si="39"/>
        <v>0</v>
      </c>
      <c r="CC15" s="3350">
        <f t="shared" si="11"/>
        <v>0</v>
      </c>
      <c r="CD15" s="3343"/>
      <c r="CE15" s="3352"/>
      <c r="CF15" s="3351"/>
      <c r="CG15" s="3352">
        <f t="shared" si="42"/>
        <v>0</v>
      </c>
      <c r="CH15" s="3350">
        <f t="shared" si="12"/>
        <v>0</v>
      </c>
      <c r="CI15" s="1148"/>
      <c r="CJ15" s="3341"/>
      <c r="CK15" s="3341"/>
      <c r="CL15" s="3341">
        <f t="shared" si="43"/>
        <v>0</v>
      </c>
      <c r="CM15" s="3350">
        <f t="shared" si="13"/>
        <v>0</v>
      </c>
      <c r="CN15" s="1148"/>
      <c r="CO15" s="3341"/>
      <c r="CP15" s="3341"/>
      <c r="CQ15" s="3341">
        <f t="shared" si="44"/>
        <v>0</v>
      </c>
      <c r="CR15" s="3350">
        <f t="shared" si="14"/>
        <v>0</v>
      </c>
      <c r="CS15" s="1148"/>
      <c r="CT15" s="3341"/>
      <c r="CU15" s="3341"/>
      <c r="CV15" s="3341">
        <f t="shared" si="45"/>
        <v>0</v>
      </c>
      <c r="CW15" s="3350">
        <f t="shared" si="15"/>
        <v>0</v>
      </c>
      <c r="CX15" s="1148"/>
      <c r="CY15" s="3341"/>
      <c r="CZ15" s="3341"/>
      <c r="DA15" s="3341">
        <f t="shared" si="46"/>
        <v>0</v>
      </c>
      <c r="DB15" s="3350">
        <f t="shared" si="16"/>
        <v>0</v>
      </c>
      <c r="DC15" s="1148"/>
      <c r="DD15" s="3341"/>
      <c r="DE15" s="3341"/>
      <c r="DF15" s="3341">
        <f t="shared" si="47"/>
        <v>0</v>
      </c>
      <c r="DG15" s="3350">
        <f t="shared" si="17"/>
        <v>0</v>
      </c>
      <c r="DH15" s="1148"/>
      <c r="DI15" s="3341"/>
      <c r="DJ15" s="3341"/>
      <c r="DK15" s="3341">
        <f t="shared" si="48"/>
        <v>0</v>
      </c>
      <c r="DL15" s="3350">
        <f t="shared" si="18"/>
        <v>0</v>
      </c>
      <c r="DM15" s="3119"/>
      <c r="DN15" s="3354"/>
      <c r="DO15" s="3341"/>
      <c r="DP15" s="3341">
        <f t="shared" si="49"/>
        <v>0</v>
      </c>
      <c r="DQ15" s="3350">
        <f t="shared" si="19"/>
        <v>0</v>
      </c>
      <c r="DR15" s="1148"/>
      <c r="DS15" s="3354"/>
      <c r="DT15" s="3341"/>
      <c r="DU15" s="3341">
        <f t="shared" si="50"/>
        <v>0</v>
      </c>
      <c r="DV15" s="3350">
        <f t="shared" si="20"/>
        <v>0</v>
      </c>
      <c r="DW15" s="3312"/>
      <c r="DX15" s="3354">
        <f t="shared" si="40"/>
        <v>0</v>
      </c>
      <c r="DY15" s="3354">
        <f t="shared" si="40"/>
        <v>0</v>
      </c>
      <c r="DZ15" s="3349">
        <f t="shared" si="41"/>
        <v>0</v>
      </c>
      <c r="EA15" s="3350" t="e">
        <f t="shared" si="4"/>
        <v>#DIV/0!</v>
      </c>
      <c r="EB15" s="1434"/>
      <c r="ED15" s="3354"/>
      <c r="EE15" s="3494">
        <f t="shared" si="21"/>
        <v>0</v>
      </c>
      <c r="EF15" s="3334"/>
    </row>
    <row r="16" spans="1:136" s="1396" customFormat="1" ht="79.2" customHeight="1">
      <c r="A16" s="1571"/>
      <c r="B16" s="3444" t="s">
        <v>21</v>
      </c>
      <c r="C16" s="3524"/>
      <c r="D16" s="3525">
        <v>890901</v>
      </c>
      <c r="E16" s="1064">
        <f t="shared" si="22"/>
        <v>890901</v>
      </c>
      <c r="F16" s="3350">
        <f t="shared" si="0"/>
        <v>0.34265822830878201</v>
      </c>
      <c r="G16" s="3311"/>
      <c r="H16" s="3341">
        <v>0</v>
      </c>
      <c r="I16" s="3341">
        <v>4597974.63</v>
      </c>
      <c r="J16" s="3349">
        <f t="shared" si="23"/>
        <v>4597974.63</v>
      </c>
      <c r="K16" s="3350">
        <f t="shared" si="1"/>
        <v>0.36180543018216971</v>
      </c>
      <c r="L16" s="1434"/>
      <c r="M16" s="3490">
        <v>0</v>
      </c>
      <c r="N16" s="3490">
        <v>8075049.2599999998</v>
      </c>
      <c r="O16" s="3505">
        <v>8075049.2599999998</v>
      </c>
      <c r="P16" s="3516">
        <v>0.41897341864483734</v>
      </c>
      <c r="Q16" s="1434"/>
      <c r="R16" s="3490"/>
      <c r="S16" s="3490">
        <f>137532.67+324631.85</f>
        <v>462164.52</v>
      </c>
      <c r="T16" s="3505">
        <f t="shared" si="5"/>
        <v>462164.52</v>
      </c>
      <c r="U16" s="3516">
        <f t="shared" si="2"/>
        <v>0.35628182672777153</v>
      </c>
      <c r="V16" s="3507"/>
      <c r="W16" s="3341"/>
      <c r="X16" s="3341">
        <f>164553.7+381343.2+64195</f>
        <v>610091.9</v>
      </c>
      <c r="Y16" s="3349">
        <f t="shared" si="24"/>
        <v>610091.9</v>
      </c>
      <c r="Z16" s="3350">
        <f t="shared" si="3"/>
        <v>0.26988398539932346</v>
      </c>
      <c r="AA16" s="3313" t="s">
        <v>1060</v>
      </c>
      <c r="AB16" s="3341"/>
      <c r="AC16" s="3341">
        <f>41600+6080</f>
        <v>47680</v>
      </c>
      <c r="AD16" s="3349">
        <f t="shared" si="25"/>
        <v>47680</v>
      </c>
      <c r="AE16" s="3350">
        <f t="shared" si="6"/>
        <v>5.6887446195128311E-2</v>
      </c>
      <c r="AF16" s="3342" t="s">
        <v>1082</v>
      </c>
      <c r="AG16" s="3341"/>
      <c r="AH16" s="3434">
        <f>90586+70176+9800</f>
        <v>170562</v>
      </c>
      <c r="AI16" s="3517">
        <f t="shared" si="26"/>
        <v>170562</v>
      </c>
      <c r="AJ16" s="3509">
        <f t="shared" si="7"/>
        <v>0.15768157140334951</v>
      </c>
      <c r="AK16" s="3342" t="s">
        <v>1110</v>
      </c>
      <c r="AL16" s="3341"/>
      <c r="AM16" s="3434">
        <f>380133+206766.47+8470+6480</f>
        <v>601849.47</v>
      </c>
      <c r="AN16" s="3517">
        <f t="shared" si="27"/>
        <v>601849.47</v>
      </c>
      <c r="AO16" s="3509">
        <f t="shared" si="28"/>
        <v>0.13242632289944936</v>
      </c>
      <c r="AP16" s="3342" t="s">
        <v>1144</v>
      </c>
      <c r="AQ16" s="3354"/>
      <c r="AR16" s="3354">
        <f>181476+382608.44</f>
        <v>564084.43999999994</v>
      </c>
      <c r="AS16" s="3517">
        <f t="shared" si="29"/>
        <v>564084.43999999994</v>
      </c>
      <c r="AT16" s="3509">
        <f t="shared" si="30"/>
        <v>8.9460279078984337E-2</v>
      </c>
      <c r="AU16" s="3342" t="s">
        <v>1176</v>
      </c>
      <c r="AV16" s="3342"/>
      <c r="AW16" s="3342">
        <v>521693</v>
      </c>
      <c r="AX16" s="3517">
        <f t="shared" si="31"/>
        <v>521693</v>
      </c>
      <c r="AY16" s="3509">
        <f t="shared" si="32"/>
        <v>8.2737260707904978E-2</v>
      </c>
      <c r="AZ16" s="3343" t="s">
        <v>1228</v>
      </c>
      <c r="BA16" s="3342"/>
      <c r="BB16" s="3342">
        <v>557727.81000000006</v>
      </c>
      <c r="BC16" s="3517">
        <f t="shared" si="33"/>
        <v>557727.81000000006</v>
      </c>
      <c r="BD16" s="3511">
        <f t="shared" si="34"/>
        <v>8.2250125743683178E-2</v>
      </c>
      <c r="BE16" s="3512" t="s">
        <v>1236</v>
      </c>
      <c r="BF16" s="3341">
        <v>0</v>
      </c>
      <c r="BG16" s="3341">
        <v>6219121.4999999991</v>
      </c>
      <c r="BH16" s="3349">
        <v>6219121.4999999991</v>
      </c>
      <c r="BI16" s="3350">
        <v>4.7943099757245715</v>
      </c>
      <c r="BJ16" s="3343"/>
      <c r="BK16" s="3341">
        <f t="shared" si="8"/>
        <v>0</v>
      </c>
      <c r="BL16" s="3341">
        <f t="shared" si="8"/>
        <v>0</v>
      </c>
      <c r="BM16" s="3349">
        <f t="shared" si="35"/>
        <v>0</v>
      </c>
      <c r="BN16" s="3350">
        <f t="shared" si="9"/>
        <v>0</v>
      </c>
      <c r="BO16" s="3343"/>
      <c r="BP16" s="3342"/>
      <c r="BQ16" s="3342"/>
      <c r="BR16" s="3519">
        <f t="shared" si="36"/>
        <v>0</v>
      </c>
      <c r="BS16" s="3432">
        <f t="shared" si="37"/>
        <v>0</v>
      </c>
      <c r="BT16" s="3512"/>
      <c r="BU16" s="3341"/>
      <c r="BV16" s="3341"/>
      <c r="BW16" s="3349">
        <f t="shared" si="38"/>
        <v>0</v>
      </c>
      <c r="BX16" s="3350">
        <f t="shared" si="10"/>
        <v>0</v>
      </c>
      <c r="BY16" s="2117"/>
      <c r="BZ16" s="3351"/>
      <c r="CA16" s="3351"/>
      <c r="CB16" s="3352">
        <f t="shared" si="39"/>
        <v>0</v>
      </c>
      <c r="CC16" s="3350">
        <f t="shared" si="11"/>
        <v>0</v>
      </c>
      <c r="CD16" s="3343"/>
      <c r="CE16" s="3351"/>
      <c r="CF16" s="3351"/>
      <c r="CG16" s="3352">
        <f t="shared" si="42"/>
        <v>0</v>
      </c>
      <c r="CH16" s="3350">
        <f t="shared" si="12"/>
        <v>0</v>
      </c>
      <c r="CI16" s="1148"/>
      <c r="CJ16" s="3341"/>
      <c r="CK16" s="3341"/>
      <c r="CL16" s="3341">
        <f t="shared" si="43"/>
        <v>0</v>
      </c>
      <c r="CM16" s="3350">
        <f t="shared" si="13"/>
        <v>0</v>
      </c>
      <c r="CN16" s="3343"/>
      <c r="CO16" s="3341"/>
      <c r="CP16" s="3341"/>
      <c r="CQ16" s="3341">
        <f t="shared" si="44"/>
        <v>0</v>
      </c>
      <c r="CR16" s="3350">
        <f t="shared" si="14"/>
        <v>0</v>
      </c>
      <c r="CS16" s="3343"/>
      <c r="CT16" s="3341"/>
      <c r="CU16" s="3341"/>
      <c r="CV16" s="3341">
        <f t="shared" si="45"/>
        <v>0</v>
      </c>
      <c r="CW16" s="3350">
        <f t="shared" si="15"/>
        <v>0</v>
      </c>
      <c r="CX16" s="3343"/>
      <c r="CY16" s="3341"/>
      <c r="CZ16" s="3341"/>
      <c r="DA16" s="3341">
        <f t="shared" si="46"/>
        <v>0</v>
      </c>
      <c r="DB16" s="3350">
        <f t="shared" si="16"/>
        <v>0</v>
      </c>
      <c r="DC16" s="3343"/>
      <c r="DD16" s="3341"/>
      <c r="DE16" s="3341"/>
      <c r="DF16" s="3341">
        <f t="shared" si="47"/>
        <v>0</v>
      </c>
      <c r="DG16" s="3350">
        <f t="shared" si="17"/>
        <v>0</v>
      </c>
      <c r="DH16" s="3343"/>
      <c r="DI16" s="3341"/>
      <c r="DJ16" s="3341"/>
      <c r="DK16" s="3341">
        <f t="shared" si="48"/>
        <v>0</v>
      </c>
      <c r="DL16" s="3350">
        <f t="shared" si="18"/>
        <v>0</v>
      </c>
      <c r="DM16" s="3493"/>
      <c r="DN16" s="3354"/>
      <c r="DO16" s="3341"/>
      <c r="DP16" s="3341">
        <f t="shared" si="49"/>
        <v>0</v>
      </c>
      <c r="DQ16" s="3350">
        <f t="shared" si="19"/>
        <v>0</v>
      </c>
      <c r="DR16" s="3493"/>
      <c r="DS16" s="3354"/>
      <c r="DT16" s="3341"/>
      <c r="DU16" s="3341">
        <f t="shared" si="50"/>
        <v>0</v>
      </c>
      <c r="DV16" s="3350">
        <f t="shared" si="20"/>
        <v>0</v>
      </c>
      <c r="DW16" s="3523"/>
      <c r="DX16" s="3354">
        <f t="shared" si="40"/>
        <v>0</v>
      </c>
      <c r="DY16" s="3354">
        <f t="shared" si="40"/>
        <v>9754974.6399999987</v>
      </c>
      <c r="DZ16" s="3349">
        <f t="shared" si="41"/>
        <v>9754974.6399999987</v>
      </c>
      <c r="EA16" s="3350" t="e">
        <f t="shared" si="4"/>
        <v>#DIV/0!</v>
      </c>
      <c r="EB16" s="1434"/>
      <c r="ED16" s="3354">
        <v>6086271.4900000002</v>
      </c>
      <c r="EE16" s="3494">
        <f t="shared" si="21"/>
        <v>6086271.4900000002</v>
      </c>
      <c r="EF16" s="3335" t="s">
        <v>1835</v>
      </c>
    </row>
    <row r="17" spans="1:136" s="1396" customFormat="1" ht="13.2" customHeight="1">
      <c r="A17" s="1571"/>
      <c r="B17" s="3444" t="s">
        <v>22</v>
      </c>
      <c r="C17" s="3524"/>
      <c r="D17" s="3525"/>
      <c r="E17" s="1064">
        <f t="shared" si="22"/>
        <v>0</v>
      </c>
      <c r="F17" s="3350">
        <f t="shared" si="0"/>
        <v>0</v>
      </c>
      <c r="G17" s="3311"/>
      <c r="H17" s="3341">
        <v>0</v>
      </c>
      <c r="I17" s="3341">
        <v>0</v>
      </c>
      <c r="J17" s="3349">
        <f t="shared" si="23"/>
        <v>0</v>
      </c>
      <c r="K17" s="3350">
        <f t="shared" si="1"/>
        <v>0</v>
      </c>
      <c r="L17" s="1434"/>
      <c r="M17" s="3490">
        <v>0</v>
      </c>
      <c r="N17" s="3490">
        <v>166000</v>
      </c>
      <c r="O17" s="3505">
        <v>166000</v>
      </c>
      <c r="P17" s="3516">
        <v>8.6128994704167284E-3</v>
      </c>
      <c r="Q17" s="1434"/>
      <c r="R17" s="3490"/>
      <c r="S17" s="3490"/>
      <c r="T17" s="3505">
        <f t="shared" si="5"/>
        <v>0</v>
      </c>
      <c r="U17" s="3516">
        <f t="shared" si="2"/>
        <v>0</v>
      </c>
      <c r="V17" s="3507"/>
      <c r="W17" s="3341"/>
      <c r="X17" s="3341"/>
      <c r="Y17" s="3349">
        <f t="shared" si="24"/>
        <v>0</v>
      </c>
      <c r="Z17" s="3350">
        <f t="shared" si="3"/>
        <v>0</v>
      </c>
      <c r="AA17" s="1602"/>
      <c r="AB17" s="3341"/>
      <c r="AC17" s="3341"/>
      <c r="AD17" s="3349">
        <f t="shared" si="25"/>
        <v>0</v>
      </c>
      <c r="AE17" s="3350">
        <f t="shared" si="6"/>
        <v>0</v>
      </c>
      <c r="AF17" s="1602"/>
      <c r="AG17" s="3341"/>
      <c r="AH17" s="3434"/>
      <c r="AI17" s="3517">
        <f t="shared" si="26"/>
        <v>0</v>
      </c>
      <c r="AJ17" s="3509">
        <f t="shared" si="7"/>
        <v>0</v>
      </c>
      <c r="AK17" s="3526"/>
      <c r="AL17" s="3341"/>
      <c r="AM17" s="3434"/>
      <c r="AN17" s="3517">
        <f t="shared" si="27"/>
        <v>0</v>
      </c>
      <c r="AO17" s="3509">
        <f t="shared" si="28"/>
        <v>0</v>
      </c>
      <c r="AP17" s="3526"/>
      <c r="AQ17" s="3354"/>
      <c r="AR17" s="3354"/>
      <c r="AS17" s="3517">
        <f t="shared" si="29"/>
        <v>0</v>
      </c>
      <c r="AT17" s="3509">
        <f t="shared" si="30"/>
        <v>0</v>
      </c>
      <c r="AU17" s="3342"/>
      <c r="AV17" s="1329"/>
      <c r="AW17" s="1329"/>
      <c r="AX17" s="3517">
        <f t="shared" si="31"/>
        <v>0</v>
      </c>
      <c r="AY17" s="3509">
        <f t="shared" si="32"/>
        <v>0</v>
      </c>
      <c r="AZ17" s="1602"/>
      <c r="BA17" s="1602"/>
      <c r="BB17" s="3342">
        <v>50000</v>
      </c>
      <c r="BC17" s="3517">
        <f t="shared" si="33"/>
        <v>50000</v>
      </c>
      <c r="BD17" s="3511">
        <f t="shared" si="34"/>
        <v>7.3736798012352276E-3</v>
      </c>
      <c r="BE17" s="3512" t="s">
        <v>1237</v>
      </c>
      <c r="BF17" s="3341">
        <v>0</v>
      </c>
      <c r="BG17" s="3341">
        <v>125000</v>
      </c>
      <c r="BH17" s="3349">
        <v>125000</v>
      </c>
      <c r="BI17" s="3350">
        <v>9.6362283156161452E-2</v>
      </c>
      <c r="BJ17" s="3343"/>
      <c r="BK17" s="3341">
        <f t="shared" si="8"/>
        <v>0</v>
      </c>
      <c r="BL17" s="3341">
        <f t="shared" si="8"/>
        <v>0</v>
      </c>
      <c r="BM17" s="3349">
        <f t="shared" si="35"/>
        <v>0</v>
      </c>
      <c r="BN17" s="3350">
        <f t="shared" si="9"/>
        <v>0</v>
      </c>
      <c r="BO17" s="3343"/>
      <c r="BP17" s="1602"/>
      <c r="BQ17" s="3342"/>
      <c r="BR17" s="3519">
        <f t="shared" si="36"/>
        <v>0</v>
      </c>
      <c r="BS17" s="3432">
        <f t="shared" si="37"/>
        <v>0</v>
      </c>
      <c r="BT17" s="3512"/>
      <c r="BU17" s="3341"/>
      <c r="BV17" s="3341"/>
      <c r="BW17" s="3349">
        <f t="shared" si="38"/>
        <v>0</v>
      </c>
      <c r="BX17" s="3350">
        <f t="shared" si="10"/>
        <v>0</v>
      </c>
      <c r="BY17" s="1434"/>
      <c r="BZ17" s="3351"/>
      <c r="CA17" s="3351"/>
      <c r="CB17" s="3352">
        <f t="shared" si="39"/>
        <v>0</v>
      </c>
      <c r="CC17" s="3350">
        <f t="shared" si="11"/>
        <v>0</v>
      </c>
      <c r="CD17" s="3343"/>
      <c r="CE17" s="3351"/>
      <c r="CF17" s="3351"/>
      <c r="CG17" s="3352">
        <f t="shared" si="42"/>
        <v>0</v>
      </c>
      <c r="CH17" s="3350">
        <f t="shared" si="12"/>
        <v>0</v>
      </c>
      <c r="CI17" s="1148"/>
      <c r="CJ17" s="3341"/>
      <c r="CK17" s="3341"/>
      <c r="CL17" s="3341">
        <f t="shared" si="43"/>
        <v>0</v>
      </c>
      <c r="CM17" s="3350">
        <f t="shared" si="13"/>
        <v>0</v>
      </c>
      <c r="CN17" s="3343"/>
      <c r="CO17" s="3341"/>
      <c r="CP17" s="3341"/>
      <c r="CQ17" s="3341">
        <f t="shared" si="44"/>
        <v>0</v>
      </c>
      <c r="CR17" s="3350">
        <f t="shared" si="14"/>
        <v>0</v>
      </c>
      <c r="CS17" s="3343"/>
      <c r="CT17" s="3341"/>
      <c r="CU17" s="3341"/>
      <c r="CV17" s="3341">
        <f t="shared" si="45"/>
        <v>0</v>
      </c>
      <c r="CW17" s="3350">
        <f t="shared" si="15"/>
        <v>0</v>
      </c>
      <c r="CX17" s="3343"/>
      <c r="CY17" s="3341"/>
      <c r="CZ17" s="3341"/>
      <c r="DA17" s="3341">
        <f t="shared" si="46"/>
        <v>0</v>
      </c>
      <c r="DB17" s="3350">
        <f t="shared" si="16"/>
        <v>0</v>
      </c>
      <c r="DC17" s="3343"/>
      <c r="DD17" s="3341"/>
      <c r="DE17" s="3341"/>
      <c r="DF17" s="3341">
        <f t="shared" si="47"/>
        <v>0</v>
      </c>
      <c r="DG17" s="3350">
        <f t="shared" si="17"/>
        <v>0</v>
      </c>
      <c r="DH17" s="3343"/>
      <c r="DI17" s="3341"/>
      <c r="DJ17" s="3341"/>
      <c r="DK17" s="3341">
        <f t="shared" si="48"/>
        <v>0</v>
      </c>
      <c r="DL17" s="3350">
        <f t="shared" si="18"/>
        <v>0</v>
      </c>
      <c r="DM17" s="3493"/>
      <c r="DN17" s="3354"/>
      <c r="DO17" s="3341"/>
      <c r="DP17" s="3341">
        <f t="shared" si="49"/>
        <v>0</v>
      </c>
      <c r="DQ17" s="3350">
        <f t="shared" si="19"/>
        <v>0</v>
      </c>
      <c r="DR17" s="3343"/>
      <c r="DS17" s="3354"/>
      <c r="DT17" s="3341"/>
      <c r="DU17" s="3341">
        <f t="shared" si="50"/>
        <v>0</v>
      </c>
      <c r="DV17" s="3350">
        <f t="shared" si="20"/>
        <v>0</v>
      </c>
      <c r="DW17" s="3523"/>
      <c r="DX17" s="3354">
        <f t="shared" si="40"/>
        <v>0</v>
      </c>
      <c r="DY17" s="3354">
        <f t="shared" si="40"/>
        <v>175000</v>
      </c>
      <c r="DZ17" s="3349">
        <f t="shared" si="41"/>
        <v>175000</v>
      </c>
      <c r="EA17" s="3350" t="e">
        <f t="shared" si="4"/>
        <v>#DIV/0!</v>
      </c>
      <c r="EB17" s="1434"/>
      <c r="ED17" s="3354">
        <v>75000</v>
      </c>
      <c r="EE17" s="3494">
        <f>ED17-BM17</f>
        <v>75000</v>
      </c>
      <c r="EF17" s="3334" t="s">
        <v>1840</v>
      </c>
    </row>
    <row r="18" spans="1:136" s="1396" customFormat="1" ht="26.4" customHeight="1">
      <c r="A18" s="1571"/>
      <c r="B18" s="3444" t="s">
        <v>0</v>
      </c>
      <c r="C18" s="3524"/>
      <c r="D18" s="3525"/>
      <c r="E18" s="1064">
        <f t="shared" si="22"/>
        <v>0</v>
      </c>
      <c r="F18" s="3350">
        <f t="shared" si="0"/>
        <v>0</v>
      </c>
      <c r="G18" s="3311"/>
      <c r="H18" s="3341">
        <v>41782.160000000003</v>
      </c>
      <c r="I18" s="3341">
        <v>31545</v>
      </c>
      <c r="J18" s="3349">
        <f t="shared" si="23"/>
        <v>73327.16</v>
      </c>
      <c r="K18" s="3350">
        <f t="shared" si="1"/>
        <v>5.769967605897118E-3</v>
      </c>
      <c r="L18" s="1434"/>
      <c r="M18" s="3490">
        <v>65457.55</v>
      </c>
      <c r="N18" s="3490">
        <v>7950</v>
      </c>
      <c r="O18" s="3505">
        <v>73407.55</v>
      </c>
      <c r="P18" s="3516">
        <v>3.8087460754192143E-3</v>
      </c>
      <c r="Q18" s="1434"/>
      <c r="R18" s="3490"/>
      <c r="S18" s="3490"/>
      <c r="T18" s="3505">
        <f t="shared" si="5"/>
        <v>0</v>
      </c>
      <c r="U18" s="3516">
        <f t="shared" si="2"/>
        <v>0</v>
      </c>
      <c r="V18" s="3521"/>
      <c r="W18" s="3341"/>
      <c r="X18" s="3341">
        <v>8450</v>
      </c>
      <c r="Y18" s="3349">
        <f t="shared" si="24"/>
        <v>8450</v>
      </c>
      <c r="Z18" s="3350">
        <f t="shared" si="3"/>
        <v>3.7379936967271376E-3</v>
      </c>
      <c r="AA18" s="1361" t="s">
        <v>1029</v>
      </c>
      <c r="AB18" s="3341"/>
      <c r="AC18" s="3341">
        <v>3500</v>
      </c>
      <c r="AD18" s="3349">
        <f t="shared" si="25"/>
        <v>3500</v>
      </c>
      <c r="AE18" s="3350">
        <f t="shared" si="6"/>
        <v>4.1758821661692343E-3</v>
      </c>
      <c r="AF18" s="3342" t="s">
        <v>1070</v>
      </c>
      <c r="AG18" s="3341"/>
      <c r="AH18" s="3434">
        <f>21400+147917</f>
        <v>169317</v>
      </c>
      <c r="AI18" s="3517">
        <f t="shared" si="26"/>
        <v>169317</v>
      </c>
      <c r="AJ18" s="3509">
        <f t="shared" si="7"/>
        <v>0.15653059078400189</v>
      </c>
      <c r="AK18" s="3342" t="s">
        <v>1121</v>
      </c>
      <c r="AL18" s="3341"/>
      <c r="AM18" s="3434">
        <f>804765+16650</f>
        <v>821415</v>
      </c>
      <c r="AN18" s="3517">
        <f t="shared" si="27"/>
        <v>821415</v>
      </c>
      <c r="AO18" s="3509">
        <f t="shared" si="28"/>
        <v>0.18073783137908422</v>
      </c>
      <c r="AP18" s="3342" t="s">
        <v>1145</v>
      </c>
      <c r="AQ18" s="3354">
        <v>959.82</v>
      </c>
      <c r="AR18" s="3354">
        <v>61830</v>
      </c>
      <c r="AS18" s="3517">
        <f t="shared" si="29"/>
        <v>62789.82</v>
      </c>
      <c r="AT18" s="3509">
        <f t="shared" si="30"/>
        <v>9.9580743984343783E-3</v>
      </c>
      <c r="AU18" s="3342" t="s">
        <v>1172</v>
      </c>
      <c r="AV18" s="3342"/>
      <c r="AW18" s="3342">
        <v>45000</v>
      </c>
      <c r="AX18" s="3517">
        <f t="shared" si="31"/>
        <v>45000</v>
      </c>
      <c r="AY18" s="3509">
        <f t="shared" si="32"/>
        <v>7.1367197410272401E-3</v>
      </c>
      <c r="AZ18" s="3343" t="s">
        <v>1212</v>
      </c>
      <c r="BA18" s="3342"/>
      <c r="BB18" s="3342">
        <f>25500+8000</f>
        <v>33500</v>
      </c>
      <c r="BC18" s="3517">
        <f t="shared" si="33"/>
        <v>33500</v>
      </c>
      <c r="BD18" s="3511">
        <f t="shared" si="34"/>
        <v>4.9403654668276021E-3</v>
      </c>
      <c r="BE18" s="3512" t="s">
        <v>1238</v>
      </c>
      <c r="BF18" s="3341">
        <v>18228.2</v>
      </c>
      <c r="BG18" s="3341">
        <v>322430</v>
      </c>
      <c r="BH18" s="3349">
        <v>340658.2</v>
      </c>
      <c r="BI18" s="3350">
        <v>0.26261281542294623</v>
      </c>
      <c r="BJ18" s="3343"/>
      <c r="BK18" s="3341">
        <f t="shared" si="8"/>
        <v>0</v>
      </c>
      <c r="BL18" s="3341">
        <f t="shared" si="8"/>
        <v>0</v>
      </c>
      <c r="BM18" s="3349">
        <f t="shared" si="35"/>
        <v>0</v>
      </c>
      <c r="BN18" s="3350">
        <f t="shared" si="9"/>
        <v>0</v>
      </c>
      <c r="BO18" s="3343"/>
      <c r="BP18" s="3342"/>
      <c r="BQ18" s="3342"/>
      <c r="BR18" s="3519">
        <f t="shared" si="36"/>
        <v>0</v>
      </c>
      <c r="BS18" s="3432">
        <f t="shared" si="37"/>
        <v>0</v>
      </c>
      <c r="BT18" s="3512"/>
      <c r="BU18" s="3341"/>
      <c r="BV18" s="3341"/>
      <c r="BW18" s="3349">
        <f t="shared" si="38"/>
        <v>0</v>
      </c>
      <c r="BX18" s="3350">
        <f t="shared" si="10"/>
        <v>0</v>
      </c>
      <c r="BY18" s="3527"/>
      <c r="BZ18" s="3351"/>
      <c r="CA18" s="3351"/>
      <c r="CB18" s="3352">
        <f t="shared" si="39"/>
        <v>0</v>
      </c>
      <c r="CC18" s="3350">
        <f t="shared" si="11"/>
        <v>0</v>
      </c>
      <c r="CD18" s="3343"/>
      <c r="CE18" s="3351"/>
      <c r="CF18" s="3351"/>
      <c r="CG18" s="3352">
        <f t="shared" si="42"/>
        <v>0</v>
      </c>
      <c r="CH18" s="3350">
        <f t="shared" si="12"/>
        <v>0</v>
      </c>
      <c r="CI18" s="3343"/>
      <c r="CJ18" s="3341"/>
      <c r="CK18" s="3341"/>
      <c r="CL18" s="3341">
        <f t="shared" si="43"/>
        <v>0</v>
      </c>
      <c r="CM18" s="3350">
        <f t="shared" si="13"/>
        <v>0</v>
      </c>
      <c r="CN18" s="3343"/>
      <c r="CO18" s="3341"/>
      <c r="CP18" s="3341"/>
      <c r="CQ18" s="3341">
        <f t="shared" si="44"/>
        <v>0</v>
      </c>
      <c r="CR18" s="3350">
        <f t="shared" si="14"/>
        <v>0</v>
      </c>
      <c r="CS18" s="3343"/>
      <c r="CT18" s="3341"/>
      <c r="CU18" s="3341"/>
      <c r="CV18" s="3341">
        <f t="shared" si="45"/>
        <v>0</v>
      </c>
      <c r="CW18" s="3350">
        <f t="shared" si="15"/>
        <v>0</v>
      </c>
      <c r="CX18" s="3343"/>
      <c r="CY18" s="3341"/>
      <c r="CZ18" s="3341"/>
      <c r="DA18" s="3341">
        <f t="shared" si="46"/>
        <v>0</v>
      </c>
      <c r="DB18" s="3350">
        <f t="shared" si="16"/>
        <v>0</v>
      </c>
      <c r="DC18" s="3343"/>
      <c r="DD18" s="3341"/>
      <c r="DE18" s="3341"/>
      <c r="DF18" s="3341">
        <f t="shared" si="47"/>
        <v>0</v>
      </c>
      <c r="DG18" s="3350">
        <f t="shared" si="17"/>
        <v>0</v>
      </c>
      <c r="DH18" s="3343"/>
      <c r="DI18" s="3341"/>
      <c r="DJ18" s="3341"/>
      <c r="DK18" s="3341">
        <f t="shared" si="48"/>
        <v>0</v>
      </c>
      <c r="DL18" s="3350">
        <f t="shared" si="18"/>
        <v>0</v>
      </c>
      <c r="DM18" s="3493"/>
      <c r="DN18" s="3354"/>
      <c r="DO18" s="3341"/>
      <c r="DP18" s="3341">
        <f t="shared" si="49"/>
        <v>0</v>
      </c>
      <c r="DQ18" s="3350">
        <f t="shared" si="19"/>
        <v>0</v>
      </c>
      <c r="DR18" s="3343"/>
      <c r="DS18" s="3354"/>
      <c r="DT18" s="3341"/>
      <c r="DU18" s="3341">
        <f t="shared" si="50"/>
        <v>0</v>
      </c>
      <c r="DV18" s="3350">
        <f t="shared" si="20"/>
        <v>0</v>
      </c>
      <c r="DW18" s="3523"/>
      <c r="DX18" s="3354">
        <f t="shared" si="40"/>
        <v>19188.02</v>
      </c>
      <c r="DY18" s="3354">
        <f t="shared" si="40"/>
        <v>1465442</v>
      </c>
      <c r="DZ18" s="3349">
        <f t="shared" si="41"/>
        <v>1484630.02</v>
      </c>
      <c r="EA18" s="3350" t="e">
        <f t="shared" si="4"/>
        <v>#DIV/0!</v>
      </c>
      <c r="EB18" s="1434"/>
      <c r="ED18" s="1345">
        <v>506338.77</v>
      </c>
      <c r="EE18" s="3494">
        <f>ED18-BM18</f>
        <v>506338.77</v>
      </c>
      <c r="EF18" s="3528" t="s">
        <v>1841</v>
      </c>
    </row>
    <row r="19" spans="1:136" s="1396" customFormat="1" ht="24">
      <c r="A19" s="1571"/>
      <c r="B19" s="3444" t="s">
        <v>53</v>
      </c>
      <c r="C19" s="3524">
        <f>10092+2880</f>
        <v>12972</v>
      </c>
      <c r="D19" s="3525"/>
      <c r="E19" s="1064">
        <f t="shared" si="22"/>
        <v>12972</v>
      </c>
      <c r="F19" s="3350">
        <f t="shared" si="0"/>
        <v>4.9892889755668926E-3</v>
      </c>
      <c r="G19" s="3311"/>
      <c r="H19" s="3341">
        <v>19710</v>
      </c>
      <c r="I19" s="3341">
        <v>0</v>
      </c>
      <c r="J19" s="3349">
        <f t="shared" si="23"/>
        <v>19710</v>
      </c>
      <c r="K19" s="3350">
        <f t="shared" si="1"/>
        <v>1.5509404907026562E-3</v>
      </c>
      <c r="L19" s="1434"/>
      <c r="M19" s="3490">
        <v>13392</v>
      </c>
      <c r="N19" s="3490">
        <v>0</v>
      </c>
      <c r="O19" s="3505">
        <v>13392</v>
      </c>
      <c r="P19" s="3516">
        <v>6.9484307052904116E-4</v>
      </c>
      <c r="Q19" s="1434"/>
      <c r="R19" s="3490"/>
      <c r="S19" s="3490"/>
      <c r="T19" s="3505">
        <f t="shared" si="5"/>
        <v>0</v>
      </c>
      <c r="U19" s="3516">
        <f t="shared" si="2"/>
        <v>0</v>
      </c>
      <c r="V19" s="3507"/>
      <c r="W19" s="3341"/>
      <c r="X19" s="3341"/>
      <c r="Y19" s="3349">
        <f t="shared" si="24"/>
        <v>0</v>
      </c>
      <c r="Z19" s="3350">
        <f t="shared" si="3"/>
        <v>0</v>
      </c>
      <c r="AA19" s="1434"/>
      <c r="AB19" s="3341"/>
      <c r="AC19" s="3341"/>
      <c r="AD19" s="3349">
        <f t="shared" si="25"/>
        <v>0</v>
      </c>
      <c r="AE19" s="3350">
        <f t="shared" si="6"/>
        <v>0</v>
      </c>
      <c r="AF19" s="3342"/>
      <c r="AG19" s="3341"/>
      <c r="AH19" s="3434"/>
      <c r="AI19" s="3517">
        <f t="shared" si="26"/>
        <v>0</v>
      </c>
      <c r="AJ19" s="3509">
        <f t="shared" si="7"/>
        <v>0</v>
      </c>
      <c r="AK19" s="3529"/>
      <c r="AL19" s="3341"/>
      <c r="AM19" s="3434"/>
      <c r="AN19" s="3517">
        <f t="shared" si="27"/>
        <v>0</v>
      </c>
      <c r="AO19" s="3509">
        <f t="shared" si="28"/>
        <v>0</v>
      </c>
      <c r="AP19" s="3529"/>
      <c r="AQ19" s="3354">
        <v>1800</v>
      </c>
      <c r="AR19" s="3354"/>
      <c r="AS19" s="3517">
        <f t="shared" si="29"/>
        <v>1800</v>
      </c>
      <c r="AT19" s="3509">
        <f t="shared" si="30"/>
        <v>2.8546878964108959E-4</v>
      </c>
      <c r="AU19" s="3342" t="s">
        <v>1163</v>
      </c>
      <c r="AV19" s="3342">
        <v>2700</v>
      </c>
      <c r="AW19" s="1325">
        <v>8400</v>
      </c>
      <c r="AX19" s="3517">
        <f t="shared" si="31"/>
        <v>11100</v>
      </c>
      <c r="AY19" s="3509">
        <f t="shared" si="32"/>
        <v>1.7603908694533859E-3</v>
      </c>
      <c r="AZ19" s="3343" t="s">
        <v>1213</v>
      </c>
      <c r="BA19" s="3342"/>
      <c r="BB19" s="3342">
        <f>300*31</f>
        <v>9300</v>
      </c>
      <c r="BC19" s="3517">
        <f t="shared" si="33"/>
        <v>9300</v>
      </c>
      <c r="BD19" s="3511">
        <f t="shared" si="34"/>
        <v>1.3715044430297524E-3</v>
      </c>
      <c r="BE19" s="3512" t="s">
        <v>1239</v>
      </c>
      <c r="BF19" s="3341">
        <v>1650</v>
      </c>
      <c r="BG19" s="3341">
        <v>0</v>
      </c>
      <c r="BH19" s="3349">
        <v>1650</v>
      </c>
      <c r="BI19" s="3350">
        <v>1.2719821376613312E-3</v>
      </c>
      <c r="BJ19" s="3343"/>
      <c r="BK19" s="3341">
        <f t="shared" si="8"/>
        <v>0</v>
      </c>
      <c r="BL19" s="3341">
        <f t="shared" si="8"/>
        <v>0</v>
      </c>
      <c r="BM19" s="3349">
        <f t="shared" si="35"/>
        <v>0</v>
      </c>
      <c r="BN19" s="3350">
        <f t="shared" si="9"/>
        <v>0</v>
      </c>
      <c r="BO19" s="3343"/>
      <c r="BP19" s="3342"/>
      <c r="BQ19" s="3342"/>
      <c r="BR19" s="3519">
        <f t="shared" si="36"/>
        <v>0</v>
      </c>
      <c r="BS19" s="3432">
        <f t="shared" si="37"/>
        <v>0</v>
      </c>
      <c r="BT19" s="3512"/>
      <c r="BU19" s="3341"/>
      <c r="BV19" s="3341"/>
      <c r="BW19" s="3349">
        <f t="shared" si="38"/>
        <v>0</v>
      </c>
      <c r="BX19" s="3350">
        <f t="shared" si="10"/>
        <v>0</v>
      </c>
      <c r="BY19" s="1394"/>
      <c r="BZ19" s="3351"/>
      <c r="CA19" s="3351"/>
      <c r="CB19" s="3352">
        <f t="shared" si="39"/>
        <v>0</v>
      </c>
      <c r="CC19" s="3350">
        <f t="shared" si="11"/>
        <v>0</v>
      </c>
      <c r="CD19" s="3343"/>
      <c r="CE19" s="3351"/>
      <c r="CF19" s="3351"/>
      <c r="CG19" s="3352">
        <f t="shared" si="42"/>
        <v>0</v>
      </c>
      <c r="CH19" s="3350">
        <f t="shared" si="12"/>
        <v>0</v>
      </c>
      <c r="CI19" s="3343"/>
      <c r="CJ19" s="3341"/>
      <c r="CK19" s="3341"/>
      <c r="CL19" s="3341">
        <f t="shared" si="43"/>
        <v>0</v>
      </c>
      <c r="CM19" s="3350">
        <f t="shared" si="13"/>
        <v>0</v>
      </c>
      <c r="CN19" s="3343"/>
      <c r="CO19" s="3341"/>
      <c r="CP19" s="3341"/>
      <c r="CQ19" s="3341">
        <f t="shared" si="44"/>
        <v>0</v>
      </c>
      <c r="CR19" s="3350">
        <f t="shared" si="14"/>
        <v>0</v>
      </c>
      <c r="CS19" s="3343"/>
      <c r="CT19" s="3341"/>
      <c r="CU19" s="3341"/>
      <c r="CV19" s="3341">
        <f t="shared" si="45"/>
        <v>0</v>
      </c>
      <c r="CW19" s="3350">
        <f t="shared" si="15"/>
        <v>0</v>
      </c>
      <c r="CX19" s="3343"/>
      <c r="CY19" s="3341"/>
      <c r="CZ19" s="3341"/>
      <c r="DA19" s="3341">
        <f t="shared" si="46"/>
        <v>0</v>
      </c>
      <c r="DB19" s="3350">
        <f t="shared" si="16"/>
        <v>0</v>
      </c>
      <c r="DC19" s="3343"/>
      <c r="DD19" s="3341"/>
      <c r="DE19" s="3341"/>
      <c r="DF19" s="3341">
        <f t="shared" si="47"/>
        <v>0</v>
      </c>
      <c r="DG19" s="3350">
        <f t="shared" si="17"/>
        <v>0</v>
      </c>
      <c r="DH19" s="3343"/>
      <c r="DI19" s="3341"/>
      <c r="DJ19" s="3341"/>
      <c r="DK19" s="3341">
        <f t="shared" si="48"/>
        <v>0</v>
      </c>
      <c r="DL19" s="3350">
        <f t="shared" si="18"/>
        <v>0</v>
      </c>
      <c r="DM19" s="3493"/>
      <c r="DN19" s="3354"/>
      <c r="DO19" s="3341"/>
      <c r="DP19" s="3341">
        <f t="shared" si="49"/>
        <v>0</v>
      </c>
      <c r="DQ19" s="3350">
        <f t="shared" si="19"/>
        <v>0</v>
      </c>
      <c r="DR19" s="3343"/>
      <c r="DS19" s="3354"/>
      <c r="DT19" s="3341"/>
      <c r="DU19" s="3341">
        <f t="shared" si="50"/>
        <v>0</v>
      </c>
      <c r="DV19" s="3350">
        <f t="shared" si="20"/>
        <v>0</v>
      </c>
      <c r="DW19" s="3523"/>
      <c r="DX19" s="3354">
        <f t="shared" si="40"/>
        <v>6150</v>
      </c>
      <c r="DY19" s="3354">
        <f t="shared" si="40"/>
        <v>17700</v>
      </c>
      <c r="DZ19" s="3349">
        <f t="shared" si="41"/>
        <v>23850</v>
      </c>
      <c r="EA19" s="3350" t="e">
        <f t="shared" si="4"/>
        <v>#DIV/0!</v>
      </c>
      <c r="EB19" s="1434"/>
      <c r="ED19" s="1345">
        <v>12420</v>
      </c>
      <c r="EE19" s="3494">
        <f>ED19-BM19</f>
        <v>12420</v>
      </c>
      <c r="EF19" s="3334" t="s">
        <v>1806</v>
      </c>
    </row>
    <row r="20" spans="1:136" s="1396" customFormat="1" ht="13.95" customHeight="1">
      <c r="A20" s="1571"/>
      <c r="B20" s="3444" t="s">
        <v>57</v>
      </c>
      <c r="C20" s="3524"/>
      <c r="D20" s="3525"/>
      <c r="E20" s="1064">
        <f t="shared" si="22"/>
        <v>0</v>
      </c>
      <c r="F20" s="3350">
        <f t="shared" si="0"/>
        <v>0</v>
      </c>
      <c r="G20" s="3311"/>
      <c r="H20" s="3341">
        <v>0</v>
      </c>
      <c r="I20" s="3341">
        <v>0</v>
      </c>
      <c r="J20" s="3349">
        <f t="shared" si="23"/>
        <v>0</v>
      </c>
      <c r="K20" s="3350">
        <f t="shared" si="1"/>
        <v>0</v>
      </c>
      <c r="L20" s="1434"/>
      <c r="M20" s="3490">
        <v>0</v>
      </c>
      <c r="N20" s="3490">
        <v>0</v>
      </c>
      <c r="O20" s="3505">
        <v>0</v>
      </c>
      <c r="P20" s="3516">
        <v>0</v>
      </c>
      <c r="Q20" s="1434"/>
      <c r="R20" s="3490"/>
      <c r="S20" s="3490"/>
      <c r="T20" s="3505">
        <f t="shared" si="5"/>
        <v>0</v>
      </c>
      <c r="U20" s="3516">
        <f t="shared" si="2"/>
        <v>0</v>
      </c>
      <c r="V20" s="3507"/>
      <c r="W20" s="3341"/>
      <c r="X20" s="3341"/>
      <c r="Y20" s="3349">
        <f t="shared" si="24"/>
        <v>0</v>
      </c>
      <c r="Z20" s="3350">
        <f t="shared" si="3"/>
        <v>0</v>
      </c>
      <c r="AA20" s="1434"/>
      <c r="AB20" s="3341"/>
      <c r="AC20" s="3341"/>
      <c r="AD20" s="3349">
        <f t="shared" si="25"/>
        <v>0</v>
      </c>
      <c r="AE20" s="3350">
        <f t="shared" si="6"/>
        <v>0</v>
      </c>
      <c r="AF20" s="3342"/>
      <c r="AG20" s="3341"/>
      <c r="AH20" s="3434"/>
      <c r="AI20" s="3517">
        <f t="shared" si="26"/>
        <v>0</v>
      </c>
      <c r="AJ20" s="3509">
        <f t="shared" si="7"/>
        <v>0</v>
      </c>
      <c r="AK20" s="3529"/>
      <c r="AL20" s="3341"/>
      <c r="AM20" s="3434"/>
      <c r="AN20" s="3517">
        <f t="shared" si="27"/>
        <v>0</v>
      </c>
      <c r="AO20" s="3509">
        <f t="shared" si="28"/>
        <v>0</v>
      </c>
      <c r="AP20" s="3529"/>
      <c r="AQ20" s="3354"/>
      <c r="AR20" s="3354"/>
      <c r="AS20" s="3517">
        <f t="shared" si="29"/>
        <v>0</v>
      </c>
      <c r="AT20" s="3509">
        <f t="shared" si="30"/>
        <v>0</v>
      </c>
      <c r="AU20" s="3342"/>
      <c r="AV20" s="3342"/>
      <c r="AW20" s="1325"/>
      <c r="AX20" s="3517">
        <f t="shared" si="31"/>
        <v>0</v>
      </c>
      <c r="AY20" s="3509">
        <f t="shared" si="32"/>
        <v>0</v>
      </c>
      <c r="AZ20" s="3343" t="s">
        <v>155</v>
      </c>
      <c r="BA20" s="3342"/>
      <c r="BB20" s="3342"/>
      <c r="BC20" s="3517">
        <f t="shared" si="33"/>
        <v>0</v>
      </c>
      <c r="BD20" s="3511">
        <f t="shared" si="34"/>
        <v>0</v>
      </c>
      <c r="BE20" s="3512"/>
      <c r="BF20" s="3341">
        <v>0</v>
      </c>
      <c r="BG20" s="3341">
        <v>0</v>
      </c>
      <c r="BH20" s="3349">
        <v>0</v>
      </c>
      <c r="BI20" s="3350">
        <v>0</v>
      </c>
      <c r="BJ20" s="3343"/>
      <c r="BK20" s="3341">
        <f t="shared" si="8"/>
        <v>0</v>
      </c>
      <c r="BL20" s="3341">
        <f t="shared" si="8"/>
        <v>0</v>
      </c>
      <c r="BM20" s="3349">
        <f t="shared" si="35"/>
        <v>0</v>
      </c>
      <c r="BN20" s="3350">
        <f t="shared" si="9"/>
        <v>0</v>
      </c>
      <c r="BO20" s="3343"/>
      <c r="BP20" s="3342"/>
      <c r="BQ20" s="3342"/>
      <c r="BR20" s="3519">
        <f t="shared" si="36"/>
        <v>0</v>
      </c>
      <c r="BS20" s="3432">
        <f t="shared" si="37"/>
        <v>0</v>
      </c>
      <c r="BT20" s="3512"/>
      <c r="BU20" s="3341"/>
      <c r="BV20" s="3341"/>
      <c r="BW20" s="3349">
        <f t="shared" si="38"/>
        <v>0</v>
      </c>
      <c r="BX20" s="3350">
        <f t="shared" si="10"/>
        <v>0</v>
      </c>
      <c r="BY20" s="1593"/>
      <c r="BZ20" s="3351"/>
      <c r="CA20" s="3351"/>
      <c r="CB20" s="3352">
        <f t="shared" si="39"/>
        <v>0</v>
      </c>
      <c r="CC20" s="3350">
        <f t="shared" si="11"/>
        <v>0</v>
      </c>
      <c r="CD20" s="3343"/>
      <c r="CE20" s="3351"/>
      <c r="CF20" s="3351"/>
      <c r="CG20" s="3352">
        <f t="shared" si="42"/>
        <v>0</v>
      </c>
      <c r="CH20" s="3350">
        <f t="shared" si="12"/>
        <v>0</v>
      </c>
      <c r="CI20" s="3343"/>
      <c r="CJ20" s="3341"/>
      <c r="CK20" s="3341"/>
      <c r="CL20" s="3341">
        <f t="shared" si="43"/>
        <v>0</v>
      </c>
      <c r="CM20" s="3350">
        <f t="shared" si="13"/>
        <v>0</v>
      </c>
      <c r="CN20" s="3343"/>
      <c r="CO20" s="3341"/>
      <c r="CP20" s="3341"/>
      <c r="CQ20" s="3341">
        <f t="shared" si="44"/>
        <v>0</v>
      </c>
      <c r="CR20" s="3350">
        <f t="shared" si="14"/>
        <v>0</v>
      </c>
      <c r="CS20" s="3343"/>
      <c r="CT20" s="3341"/>
      <c r="CU20" s="3341"/>
      <c r="CV20" s="3341">
        <f t="shared" si="45"/>
        <v>0</v>
      </c>
      <c r="CW20" s="3350">
        <f t="shared" si="15"/>
        <v>0</v>
      </c>
      <c r="CX20" s="3343"/>
      <c r="CY20" s="3341"/>
      <c r="CZ20" s="3341"/>
      <c r="DA20" s="3341">
        <f t="shared" si="46"/>
        <v>0</v>
      </c>
      <c r="DB20" s="3350">
        <f t="shared" si="16"/>
        <v>0</v>
      </c>
      <c r="DC20" s="3343"/>
      <c r="DD20" s="3341"/>
      <c r="DE20" s="3341"/>
      <c r="DF20" s="3341">
        <f t="shared" si="47"/>
        <v>0</v>
      </c>
      <c r="DG20" s="3350">
        <f t="shared" si="17"/>
        <v>0</v>
      </c>
      <c r="DH20" s="3343"/>
      <c r="DI20" s="3341"/>
      <c r="DJ20" s="3341"/>
      <c r="DK20" s="3341">
        <f t="shared" si="48"/>
        <v>0</v>
      </c>
      <c r="DL20" s="3350">
        <f t="shared" si="18"/>
        <v>0</v>
      </c>
      <c r="DM20" s="3493"/>
      <c r="DN20" s="3354"/>
      <c r="DO20" s="3341"/>
      <c r="DP20" s="3341">
        <f t="shared" si="49"/>
        <v>0</v>
      </c>
      <c r="DQ20" s="3350">
        <f t="shared" si="19"/>
        <v>0</v>
      </c>
      <c r="DR20" s="3343"/>
      <c r="DS20" s="3354"/>
      <c r="DT20" s="3341"/>
      <c r="DU20" s="3341">
        <f t="shared" si="50"/>
        <v>0</v>
      </c>
      <c r="DV20" s="3350">
        <f t="shared" si="20"/>
        <v>0</v>
      </c>
      <c r="DW20" s="3523"/>
      <c r="DX20" s="3354">
        <f t="shared" si="40"/>
        <v>0</v>
      </c>
      <c r="DY20" s="3354">
        <f t="shared" si="40"/>
        <v>0</v>
      </c>
      <c r="DZ20" s="3349">
        <f t="shared" si="41"/>
        <v>0</v>
      </c>
      <c r="EA20" s="3350" t="e">
        <f t="shared" si="4"/>
        <v>#DIV/0!</v>
      </c>
      <c r="EB20" s="1434"/>
      <c r="ED20" s="3354"/>
      <c r="EE20" s="3354"/>
      <c r="EF20" s="3489"/>
    </row>
    <row r="21" spans="1:136" s="1396" customFormat="1" ht="24">
      <c r="A21" s="1571"/>
      <c r="B21" s="3444" t="s">
        <v>58</v>
      </c>
      <c r="C21" s="3524"/>
      <c r="D21" s="3525">
        <v>5100</v>
      </c>
      <c r="E21" s="1064">
        <f t="shared" si="22"/>
        <v>5100</v>
      </c>
      <c r="F21" s="3350">
        <f t="shared" si="0"/>
        <v>1.9615613456206563E-3</v>
      </c>
      <c r="G21" s="3311"/>
      <c r="H21" s="3341">
        <v>241471.71600000001</v>
      </c>
      <c r="I21" s="3341">
        <v>55800</v>
      </c>
      <c r="J21" s="3349">
        <f t="shared" si="23"/>
        <v>297271.71600000001</v>
      </c>
      <c r="K21" s="3350">
        <f t="shared" si="1"/>
        <v>2.3391716950028448E-2</v>
      </c>
      <c r="L21" s="1434"/>
      <c r="M21" s="3490">
        <v>82257.411999999997</v>
      </c>
      <c r="N21" s="3490">
        <v>8000</v>
      </c>
      <c r="O21" s="3505">
        <v>90257.411999999997</v>
      </c>
      <c r="P21" s="3516">
        <v>4.6830000964818343E-3</v>
      </c>
      <c r="Q21" s="1434"/>
      <c r="R21" s="3490"/>
      <c r="S21" s="3490"/>
      <c r="T21" s="3505">
        <f t="shared" si="5"/>
        <v>0</v>
      </c>
      <c r="U21" s="3516">
        <f t="shared" si="2"/>
        <v>0</v>
      </c>
      <c r="V21" s="3521"/>
      <c r="W21" s="3341"/>
      <c r="X21" s="3341"/>
      <c r="Y21" s="3349">
        <f t="shared" si="24"/>
        <v>0</v>
      </c>
      <c r="Z21" s="3350">
        <f t="shared" si="3"/>
        <v>0</v>
      </c>
      <c r="AA21" s="1581"/>
      <c r="AB21" s="3341"/>
      <c r="AC21" s="3341"/>
      <c r="AD21" s="3349">
        <f t="shared" si="25"/>
        <v>0</v>
      </c>
      <c r="AE21" s="3350">
        <f t="shared" si="6"/>
        <v>0</v>
      </c>
      <c r="AF21" s="3342"/>
      <c r="AG21" s="3341"/>
      <c r="AH21" s="3434"/>
      <c r="AI21" s="3517">
        <f t="shared" si="26"/>
        <v>0</v>
      </c>
      <c r="AJ21" s="3509">
        <f t="shared" si="7"/>
        <v>0</v>
      </c>
      <c r="AK21" s="3530"/>
      <c r="AL21" s="3341">
        <v>23999.96</v>
      </c>
      <c r="AM21" s="3434"/>
      <c r="AN21" s="3517">
        <f t="shared" si="27"/>
        <v>23999.96</v>
      </c>
      <c r="AO21" s="3509">
        <f t="shared" si="28"/>
        <v>5.2807663892000586E-3</v>
      </c>
      <c r="AP21" s="3342" t="s">
        <v>1037</v>
      </c>
      <c r="AQ21" s="3354"/>
      <c r="AR21" s="3354"/>
      <c r="AS21" s="3517">
        <f t="shared" si="29"/>
        <v>0</v>
      </c>
      <c r="AT21" s="3509">
        <f t="shared" si="30"/>
        <v>0</v>
      </c>
      <c r="AU21" s="3342"/>
      <c r="AV21" s="3342">
        <v>40999.839999999997</v>
      </c>
      <c r="AW21" s="1327"/>
      <c r="AX21" s="3517">
        <f t="shared" si="31"/>
        <v>40999.839999999997</v>
      </c>
      <c r="AY21" s="3509">
        <f t="shared" si="32"/>
        <v>6.5023192779324057E-3</v>
      </c>
      <c r="AZ21" s="3343"/>
      <c r="BA21" s="3342">
        <v>72399.850000000006</v>
      </c>
      <c r="BB21" s="3342"/>
      <c r="BC21" s="3517">
        <f t="shared" si="33"/>
        <v>72399.850000000006</v>
      </c>
      <c r="BD21" s="3511">
        <f t="shared" si="34"/>
        <v>1.0677066231149206E-2</v>
      </c>
      <c r="BE21" s="3512" t="s">
        <v>1240</v>
      </c>
      <c r="BF21" s="3341">
        <v>466694.50400000002</v>
      </c>
      <c r="BG21" s="3341">
        <v>6951.21</v>
      </c>
      <c r="BH21" s="3349">
        <v>473645.71400000004</v>
      </c>
      <c r="BI21" s="3350">
        <v>0.36513265926536215</v>
      </c>
      <c r="BJ21" s="3343"/>
      <c r="BK21" s="3341">
        <f t="shared" si="8"/>
        <v>0</v>
      </c>
      <c r="BL21" s="3341">
        <f t="shared" si="8"/>
        <v>0</v>
      </c>
      <c r="BM21" s="3349">
        <f t="shared" si="35"/>
        <v>0</v>
      </c>
      <c r="BN21" s="3350">
        <f t="shared" si="9"/>
        <v>0</v>
      </c>
      <c r="BO21" s="3343"/>
      <c r="BP21" s="3342"/>
      <c r="BQ21" s="3342"/>
      <c r="BR21" s="3519">
        <f t="shared" si="36"/>
        <v>0</v>
      </c>
      <c r="BS21" s="3432">
        <f t="shared" si="37"/>
        <v>0</v>
      </c>
      <c r="BT21" s="3512"/>
      <c r="BU21" s="3341"/>
      <c r="BV21" s="3341"/>
      <c r="BW21" s="3349">
        <f t="shared" si="38"/>
        <v>0</v>
      </c>
      <c r="BX21" s="3350">
        <f t="shared" si="10"/>
        <v>0</v>
      </c>
      <c r="BY21" s="2117"/>
      <c r="BZ21" s="3351"/>
      <c r="CA21" s="3351"/>
      <c r="CB21" s="3352">
        <f t="shared" si="39"/>
        <v>0</v>
      </c>
      <c r="CC21" s="3350">
        <f t="shared" si="11"/>
        <v>0</v>
      </c>
      <c r="CD21" s="3343"/>
      <c r="CE21" s="3351"/>
      <c r="CF21" s="3351"/>
      <c r="CG21" s="3352">
        <f t="shared" si="42"/>
        <v>0</v>
      </c>
      <c r="CH21" s="3350">
        <f t="shared" si="12"/>
        <v>0</v>
      </c>
      <c r="CI21" s="3343"/>
      <c r="CJ21" s="3341"/>
      <c r="CK21" s="3341"/>
      <c r="CL21" s="3341">
        <f t="shared" si="43"/>
        <v>0</v>
      </c>
      <c r="CM21" s="3350">
        <f t="shared" si="13"/>
        <v>0</v>
      </c>
      <c r="CN21" s="3343"/>
      <c r="CO21" s="3341"/>
      <c r="CP21" s="3341"/>
      <c r="CQ21" s="3341">
        <f t="shared" si="44"/>
        <v>0</v>
      </c>
      <c r="CR21" s="3350">
        <f t="shared" si="14"/>
        <v>0</v>
      </c>
      <c r="CS21" s="3343"/>
      <c r="CT21" s="3341"/>
      <c r="CU21" s="3341"/>
      <c r="CV21" s="3341">
        <f t="shared" si="45"/>
        <v>0</v>
      </c>
      <c r="CW21" s="3350">
        <f t="shared" si="15"/>
        <v>0</v>
      </c>
      <c r="CX21" s="3343"/>
      <c r="CY21" s="3341"/>
      <c r="CZ21" s="3341"/>
      <c r="DA21" s="3341">
        <f t="shared" si="46"/>
        <v>0</v>
      </c>
      <c r="DB21" s="3350">
        <f t="shared" si="16"/>
        <v>0</v>
      </c>
      <c r="DC21" s="3343"/>
      <c r="DD21" s="3341"/>
      <c r="DE21" s="3341"/>
      <c r="DF21" s="3341">
        <f t="shared" si="47"/>
        <v>0</v>
      </c>
      <c r="DG21" s="3350">
        <f t="shared" si="17"/>
        <v>0</v>
      </c>
      <c r="DH21" s="3343"/>
      <c r="DI21" s="3341"/>
      <c r="DJ21" s="3341"/>
      <c r="DK21" s="3341">
        <f t="shared" si="48"/>
        <v>0</v>
      </c>
      <c r="DL21" s="3350">
        <f t="shared" si="18"/>
        <v>0</v>
      </c>
      <c r="DM21" s="3493"/>
      <c r="DN21" s="3354"/>
      <c r="DO21" s="3341"/>
      <c r="DP21" s="3341">
        <f t="shared" si="49"/>
        <v>0</v>
      </c>
      <c r="DQ21" s="3350">
        <f t="shared" si="19"/>
        <v>0</v>
      </c>
      <c r="DR21" s="3343"/>
      <c r="DS21" s="3354"/>
      <c r="DT21" s="3341"/>
      <c r="DU21" s="3341">
        <f t="shared" si="50"/>
        <v>0</v>
      </c>
      <c r="DV21" s="3350">
        <f t="shared" si="20"/>
        <v>0</v>
      </c>
      <c r="DW21" s="3523"/>
      <c r="DX21" s="3354">
        <f t="shared" si="40"/>
        <v>604094.15399999998</v>
      </c>
      <c r="DY21" s="3354">
        <f t="shared" si="40"/>
        <v>6951.21</v>
      </c>
      <c r="DZ21" s="3349">
        <f t="shared" si="41"/>
        <v>611045.36399999994</v>
      </c>
      <c r="EA21" s="3350" t="e">
        <f t="shared" si="4"/>
        <v>#DIV/0!</v>
      </c>
      <c r="EB21" s="1434"/>
      <c r="ED21" s="1345">
        <v>278911.44</v>
      </c>
      <c r="EE21" s="3494">
        <f>ED21-BM21</f>
        <v>278911.44</v>
      </c>
      <c r="EF21" s="3334" t="str">
        <f>{"Топливо + ГСМ (топливо) + Запчасти",0,0}</f>
        <v>Топливо + ГСМ (топливо) + Запчасти</v>
      </c>
    </row>
    <row r="22" spans="1:136" s="1396" customFormat="1" ht="27.6">
      <c r="A22" s="1571"/>
      <c r="B22" s="3444" t="s">
        <v>621</v>
      </c>
      <c r="C22" s="3524"/>
      <c r="D22" s="3525"/>
      <c r="E22" s="1064"/>
      <c r="F22" s="3350"/>
      <c r="G22" s="3311"/>
      <c r="H22" s="3341"/>
      <c r="I22" s="3341"/>
      <c r="J22" s="3349"/>
      <c r="K22" s="3350"/>
      <c r="L22" s="1434"/>
      <c r="M22" s="3490">
        <v>0</v>
      </c>
      <c r="N22" s="3490">
        <v>8200</v>
      </c>
      <c r="O22" s="3505">
        <v>8200</v>
      </c>
      <c r="P22" s="3516">
        <v>4.254564798639589E-4</v>
      </c>
      <c r="Q22" s="1434"/>
      <c r="R22" s="3490"/>
      <c r="S22" s="3490">
        <v>1800</v>
      </c>
      <c r="T22" s="3505">
        <f t="shared" si="5"/>
        <v>1800</v>
      </c>
      <c r="U22" s="3516"/>
      <c r="V22" s="3521" t="s">
        <v>991</v>
      </c>
      <c r="W22" s="3341">
        <f>4833.32*1.2</f>
        <v>5799.9839999999995</v>
      </c>
      <c r="X22" s="3341">
        <v>3000</v>
      </c>
      <c r="Y22" s="3349">
        <f t="shared" si="24"/>
        <v>8799.9840000000004</v>
      </c>
      <c r="Z22" s="3350">
        <f t="shared" si="3"/>
        <v>3.8928147601538063E-3</v>
      </c>
      <c r="AA22" s="1581" t="s">
        <v>1043</v>
      </c>
      <c r="AB22" s="3341">
        <v>6500</v>
      </c>
      <c r="AC22" s="3341"/>
      <c r="AD22" s="3349">
        <f t="shared" si="25"/>
        <v>6500</v>
      </c>
      <c r="AE22" s="3350">
        <f t="shared" si="6"/>
        <v>7.7552097371714349E-3</v>
      </c>
      <c r="AF22" s="3342" t="s">
        <v>1075</v>
      </c>
      <c r="AG22" s="3341"/>
      <c r="AH22" s="3434"/>
      <c r="AI22" s="3517">
        <f t="shared" si="26"/>
        <v>0</v>
      </c>
      <c r="AJ22" s="3509">
        <f t="shared" si="7"/>
        <v>0</v>
      </c>
      <c r="AK22" s="3530"/>
      <c r="AL22" s="3341"/>
      <c r="AM22" s="3434"/>
      <c r="AN22" s="3517">
        <f t="shared" si="27"/>
        <v>0</v>
      </c>
      <c r="AO22" s="3509">
        <f t="shared" si="28"/>
        <v>0</v>
      </c>
      <c r="AP22" s="3530"/>
      <c r="AQ22" s="3354">
        <f>47999.82+6200.02</f>
        <v>54199.839999999997</v>
      </c>
      <c r="AR22" s="3354"/>
      <c r="AS22" s="3517">
        <f t="shared" si="29"/>
        <v>54199.839999999997</v>
      </c>
      <c r="AT22" s="3509">
        <f t="shared" si="30"/>
        <v>8.5957570686337297E-3</v>
      </c>
      <c r="AU22" s="3342" t="s">
        <v>1160</v>
      </c>
      <c r="AV22" s="1327"/>
      <c r="AW22" s="1327"/>
      <c r="AX22" s="3517">
        <f t="shared" si="31"/>
        <v>0</v>
      </c>
      <c r="AY22" s="3509">
        <f t="shared" si="32"/>
        <v>0</v>
      </c>
      <c r="AZ22" s="3343"/>
      <c r="BA22" s="3342"/>
      <c r="BB22" s="3342"/>
      <c r="BC22" s="3517">
        <f t="shared" si="33"/>
        <v>0</v>
      </c>
      <c r="BD22" s="3511">
        <f t="shared" si="34"/>
        <v>0</v>
      </c>
      <c r="BE22" s="3512"/>
      <c r="BF22" s="3341">
        <v>0</v>
      </c>
      <c r="BG22" s="3341">
        <v>0</v>
      </c>
      <c r="BH22" s="3349"/>
      <c r="BI22" s="3350">
        <v>0</v>
      </c>
      <c r="BJ22" s="3343"/>
      <c r="BK22" s="3341">
        <f t="shared" si="8"/>
        <v>0</v>
      </c>
      <c r="BL22" s="3341">
        <f t="shared" si="8"/>
        <v>0</v>
      </c>
      <c r="BM22" s="3349"/>
      <c r="BN22" s="3350">
        <f t="shared" si="9"/>
        <v>0</v>
      </c>
      <c r="BO22" s="3343"/>
      <c r="BP22" s="3342"/>
      <c r="BQ22" s="3342"/>
      <c r="BR22" s="3519">
        <f t="shared" si="36"/>
        <v>0</v>
      </c>
      <c r="BS22" s="3432">
        <f t="shared" si="37"/>
        <v>0</v>
      </c>
      <c r="BT22" s="3512"/>
      <c r="BU22" s="3341"/>
      <c r="BV22" s="3341"/>
      <c r="BW22" s="3349">
        <f t="shared" si="38"/>
        <v>0</v>
      </c>
      <c r="BX22" s="3350">
        <f t="shared" si="10"/>
        <v>0</v>
      </c>
      <c r="BY22" s="1593"/>
      <c r="BZ22" s="3351"/>
      <c r="CA22" s="3351"/>
      <c r="CB22" s="3352">
        <f t="shared" si="39"/>
        <v>0</v>
      </c>
      <c r="CC22" s="3350">
        <f t="shared" si="11"/>
        <v>0</v>
      </c>
      <c r="CD22" s="3343"/>
      <c r="CE22" s="3351"/>
      <c r="CF22" s="3351"/>
      <c r="CG22" s="3352">
        <f t="shared" si="42"/>
        <v>0</v>
      </c>
      <c r="CH22" s="3350">
        <f t="shared" si="12"/>
        <v>0</v>
      </c>
      <c r="CI22" s="3343"/>
      <c r="CJ22" s="3341"/>
      <c r="CK22" s="3341"/>
      <c r="CL22" s="3341">
        <f t="shared" si="43"/>
        <v>0</v>
      </c>
      <c r="CM22" s="3350">
        <f t="shared" si="13"/>
        <v>0</v>
      </c>
      <c r="CN22" s="3343"/>
      <c r="CO22" s="3341"/>
      <c r="CP22" s="3341"/>
      <c r="CQ22" s="3341">
        <f t="shared" si="44"/>
        <v>0</v>
      </c>
      <c r="CR22" s="3350">
        <f t="shared" si="14"/>
        <v>0</v>
      </c>
      <c r="CS22" s="3343"/>
      <c r="CT22" s="3341"/>
      <c r="CU22" s="3341"/>
      <c r="CV22" s="3341">
        <f t="shared" si="45"/>
        <v>0</v>
      </c>
      <c r="CW22" s="3350">
        <f t="shared" si="15"/>
        <v>0</v>
      </c>
      <c r="CX22" s="3343"/>
      <c r="CY22" s="3341"/>
      <c r="CZ22" s="3341"/>
      <c r="DA22" s="3341">
        <f t="shared" si="46"/>
        <v>0</v>
      </c>
      <c r="DB22" s="3350">
        <f t="shared" si="16"/>
        <v>0</v>
      </c>
      <c r="DC22" s="3343"/>
      <c r="DD22" s="3341"/>
      <c r="DE22" s="3341"/>
      <c r="DF22" s="3341">
        <f t="shared" si="47"/>
        <v>0</v>
      </c>
      <c r="DG22" s="3350">
        <f t="shared" si="17"/>
        <v>0</v>
      </c>
      <c r="DH22" s="3343"/>
      <c r="DI22" s="3341"/>
      <c r="DJ22" s="3341"/>
      <c r="DK22" s="3341">
        <f t="shared" si="48"/>
        <v>0</v>
      </c>
      <c r="DL22" s="3350">
        <f t="shared" si="18"/>
        <v>0</v>
      </c>
      <c r="DM22" s="3493"/>
      <c r="DN22" s="3354"/>
      <c r="DO22" s="3341"/>
      <c r="DP22" s="3341">
        <f t="shared" si="49"/>
        <v>0</v>
      </c>
      <c r="DQ22" s="3350">
        <f t="shared" si="19"/>
        <v>0</v>
      </c>
      <c r="DR22" s="3343"/>
      <c r="DS22" s="3354"/>
      <c r="DT22" s="3341"/>
      <c r="DU22" s="3341">
        <f t="shared" si="50"/>
        <v>0</v>
      </c>
      <c r="DV22" s="3350">
        <f t="shared" si="20"/>
        <v>0</v>
      </c>
      <c r="DW22" s="3523"/>
      <c r="DX22" s="3354">
        <f t="shared" si="40"/>
        <v>66499.823999999993</v>
      </c>
      <c r="DY22" s="3354">
        <f t="shared" si="40"/>
        <v>4800</v>
      </c>
      <c r="DZ22" s="3349">
        <f t="shared" si="41"/>
        <v>71299.823999999993</v>
      </c>
      <c r="EA22" s="3350" t="e">
        <f t="shared" si="4"/>
        <v>#DIV/0!</v>
      </c>
      <c r="EB22" s="1434"/>
      <c r="ED22" s="3354"/>
      <c r="EE22" s="3494">
        <f>ED22-BM22</f>
        <v>0</v>
      </c>
      <c r="EF22" s="3489"/>
    </row>
    <row r="23" spans="1:136" s="1396" customFormat="1" ht="13.8">
      <c r="A23" s="1571"/>
      <c r="B23" s="3444" t="s">
        <v>630</v>
      </c>
      <c r="C23" s="3524"/>
      <c r="D23" s="3525"/>
      <c r="E23" s="1064"/>
      <c r="F23" s="3350"/>
      <c r="G23" s="3311"/>
      <c r="H23" s="3341"/>
      <c r="I23" s="3341"/>
      <c r="J23" s="3349"/>
      <c r="K23" s="3350"/>
      <c r="L23" s="1434"/>
      <c r="M23" s="3490">
        <v>0</v>
      </c>
      <c r="N23" s="3490">
        <v>0</v>
      </c>
      <c r="O23" s="3505">
        <v>0</v>
      </c>
      <c r="P23" s="3516">
        <v>0</v>
      </c>
      <c r="Q23" s="1434"/>
      <c r="R23" s="3490"/>
      <c r="S23" s="3490"/>
      <c r="T23" s="3505">
        <f t="shared" si="5"/>
        <v>0</v>
      </c>
      <c r="U23" s="3516"/>
      <c r="V23" s="3521"/>
      <c r="W23" s="3341"/>
      <c r="X23" s="3341"/>
      <c r="Y23" s="3349">
        <f t="shared" si="24"/>
        <v>0</v>
      </c>
      <c r="Z23" s="3350"/>
      <c r="AA23" s="1581"/>
      <c r="AB23" s="3341"/>
      <c r="AC23" s="3341"/>
      <c r="AD23" s="3349">
        <f t="shared" si="25"/>
        <v>0</v>
      </c>
      <c r="AE23" s="3350">
        <f t="shared" si="6"/>
        <v>0</v>
      </c>
      <c r="AF23" s="3342"/>
      <c r="AG23" s="3341"/>
      <c r="AH23" s="3434"/>
      <c r="AI23" s="3517">
        <f t="shared" si="26"/>
        <v>0</v>
      </c>
      <c r="AJ23" s="3509">
        <f t="shared" si="7"/>
        <v>0</v>
      </c>
      <c r="AK23" s="3530"/>
      <c r="AL23" s="3341"/>
      <c r="AM23" s="3434"/>
      <c r="AN23" s="3517">
        <f t="shared" si="27"/>
        <v>0</v>
      </c>
      <c r="AO23" s="3509">
        <f t="shared" si="28"/>
        <v>0</v>
      </c>
      <c r="AP23" s="3530"/>
      <c r="AQ23" s="3354"/>
      <c r="AR23" s="3354"/>
      <c r="AS23" s="3517">
        <f t="shared" si="29"/>
        <v>0</v>
      </c>
      <c r="AT23" s="3509">
        <f t="shared" si="30"/>
        <v>0</v>
      </c>
      <c r="AU23" s="3342"/>
      <c r="AV23" s="1327"/>
      <c r="AW23" s="1327"/>
      <c r="AX23" s="3517">
        <f t="shared" si="31"/>
        <v>0</v>
      </c>
      <c r="AY23" s="3509">
        <f t="shared" si="32"/>
        <v>0</v>
      </c>
      <c r="AZ23" s="3343"/>
      <c r="BA23" s="3342"/>
      <c r="BB23" s="3342"/>
      <c r="BC23" s="3517">
        <f t="shared" si="33"/>
        <v>0</v>
      </c>
      <c r="BD23" s="3511">
        <f t="shared" si="34"/>
        <v>0</v>
      </c>
      <c r="BE23" s="3512"/>
      <c r="BF23" s="3341">
        <v>0</v>
      </c>
      <c r="BG23" s="3341">
        <v>0</v>
      </c>
      <c r="BH23" s="3349"/>
      <c r="BI23" s="3350">
        <v>0</v>
      </c>
      <c r="BJ23" s="3343"/>
      <c r="BK23" s="3341">
        <f t="shared" si="8"/>
        <v>0</v>
      </c>
      <c r="BL23" s="3341">
        <f t="shared" si="8"/>
        <v>0</v>
      </c>
      <c r="BM23" s="3349"/>
      <c r="BN23" s="3350">
        <f t="shared" si="9"/>
        <v>0</v>
      </c>
      <c r="BO23" s="3343"/>
      <c r="BP23" s="3342"/>
      <c r="BQ23" s="3342"/>
      <c r="BR23" s="3519">
        <f t="shared" si="36"/>
        <v>0</v>
      </c>
      <c r="BS23" s="3432">
        <f t="shared" si="37"/>
        <v>0</v>
      </c>
      <c r="BT23" s="3512"/>
      <c r="BU23" s="3341"/>
      <c r="BV23" s="3341"/>
      <c r="BW23" s="3349">
        <f t="shared" si="38"/>
        <v>0</v>
      </c>
      <c r="BX23" s="3350">
        <f t="shared" si="10"/>
        <v>0</v>
      </c>
      <c r="BY23" s="3343"/>
      <c r="BZ23" s="3351"/>
      <c r="CA23" s="3351"/>
      <c r="CB23" s="3352">
        <f t="shared" si="39"/>
        <v>0</v>
      </c>
      <c r="CC23" s="3350">
        <f t="shared" si="11"/>
        <v>0</v>
      </c>
      <c r="CD23" s="3343"/>
      <c r="CE23" s="3351"/>
      <c r="CF23" s="3351"/>
      <c r="CG23" s="3352">
        <f t="shared" si="42"/>
        <v>0</v>
      </c>
      <c r="CH23" s="3350">
        <f t="shared" si="12"/>
        <v>0</v>
      </c>
      <c r="CI23" s="3343"/>
      <c r="CJ23" s="3341"/>
      <c r="CK23" s="3341"/>
      <c r="CL23" s="3341">
        <f t="shared" si="43"/>
        <v>0</v>
      </c>
      <c r="CM23" s="3350">
        <f t="shared" si="13"/>
        <v>0</v>
      </c>
      <c r="CN23" s="3343"/>
      <c r="CO23" s="3341"/>
      <c r="CP23" s="3341"/>
      <c r="CQ23" s="3341">
        <f t="shared" si="44"/>
        <v>0</v>
      </c>
      <c r="CR23" s="3350">
        <f t="shared" si="14"/>
        <v>0</v>
      </c>
      <c r="CS23" s="3343"/>
      <c r="CT23" s="3341"/>
      <c r="CU23" s="3341"/>
      <c r="CV23" s="3341">
        <f t="shared" si="45"/>
        <v>0</v>
      </c>
      <c r="CW23" s="3350">
        <f t="shared" si="15"/>
        <v>0</v>
      </c>
      <c r="CX23" s="3343"/>
      <c r="CY23" s="3341"/>
      <c r="CZ23" s="3341"/>
      <c r="DA23" s="3341">
        <f t="shared" si="46"/>
        <v>0</v>
      </c>
      <c r="DB23" s="3350">
        <f t="shared" si="16"/>
        <v>0</v>
      </c>
      <c r="DC23" s="3343"/>
      <c r="DD23" s="3341"/>
      <c r="DE23" s="3341"/>
      <c r="DF23" s="3341">
        <f t="shared" si="47"/>
        <v>0</v>
      </c>
      <c r="DG23" s="3350">
        <f t="shared" si="17"/>
        <v>0</v>
      </c>
      <c r="DH23" s="3343"/>
      <c r="DI23" s="3341"/>
      <c r="DJ23" s="3341"/>
      <c r="DK23" s="3341">
        <f t="shared" si="48"/>
        <v>0</v>
      </c>
      <c r="DL23" s="3350">
        <f t="shared" si="18"/>
        <v>0</v>
      </c>
      <c r="DM23" s="3493"/>
      <c r="DN23" s="3354"/>
      <c r="DO23" s="3341"/>
      <c r="DP23" s="3341">
        <f t="shared" si="49"/>
        <v>0</v>
      </c>
      <c r="DQ23" s="3350">
        <f t="shared" si="19"/>
        <v>0</v>
      </c>
      <c r="DR23" s="3343"/>
      <c r="DS23" s="3354"/>
      <c r="DT23" s="3341"/>
      <c r="DU23" s="3341">
        <f t="shared" si="50"/>
        <v>0</v>
      </c>
      <c r="DV23" s="3350">
        <f t="shared" si="20"/>
        <v>0</v>
      </c>
      <c r="DW23" s="3343"/>
      <c r="DX23" s="3354">
        <f t="shared" si="40"/>
        <v>0</v>
      </c>
      <c r="DY23" s="3354">
        <f t="shared" si="40"/>
        <v>0</v>
      </c>
      <c r="DZ23" s="3349">
        <f t="shared" si="41"/>
        <v>0</v>
      </c>
      <c r="EA23" s="3350" t="e">
        <f t="shared" si="4"/>
        <v>#DIV/0!</v>
      </c>
      <c r="EB23" s="1434"/>
      <c r="ED23" s="3354"/>
      <c r="EE23" s="3354"/>
      <c r="EF23" s="3489"/>
    </row>
    <row r="24" spans="1:136" s="1396" customFormat="1" ht="88.95" customHeight="1">
      <c r="A24" s="3503"/>
      <c r="B24" s="3444" t="s">
        <v>23</v>
      </c>
      <c r="C24" s="3524">
        <v>15500</v>
      </c>
      <c r="D24" s="3525">
        <v>100</v>
      </c>
      <c r="E24" s="1064">
        <f t="shared" si="22"/>
        <v>15600</v>
      </c>
      <c r="F24" s="3350">
        <f t="shared" ref="F24:F74" si="51">E24/$E$89</f>
        <v>6.0000699983690665E-3</v>
      </c>
      <c r="G24" s="3311"/>
      <c r="H24" s="3341">
        <v>319600.04399999999</v>
      </c>
      <c r="I24" s="3341">
        <v>450</v>
      </c>
      <c r="J24" s="3349">
        <f t="shared" si="23"/>
        <v>320050.04399999999</v>
      </c>
      <c r="K24" s="3350">
        <f t="shared" ref="K24:K33" si="52">J24/$J$89</f>
        <v>2.5184098036061225E-2</v>
      </c>
      <c r="L24" s="1434"/>
      <c r="M24" s="3490">
        <v>78458.973999999987</v>
      </c>
      <c r="N24" s="3490">
        <v>0</v>
      </c>
      <c r="O24" s="3505">
        <v>78458.973999999987</v>
      </c>
      <c r="P24" s="3516">
        <v>4.0708388892412035E-3</v>
      </c>
      <c r="Q24" s="1434"/>
      <c r="R24" s="3490"/>
      <c r="S24" s="3490"/>
      <c r="T24" s="3505">
        <f t="shared" si="5"/>
        <v>0</v>
      </c>
      <c r="U24" s="3516">
        <f t="shared" ref="U24:U33" si="53">T24/$T$89</f>
        <v>0</v>
      </c>
      <c r="V24" s="3507"/>
      <c r="W24" s="3341">
        <f>10083.34*1.2</f>
        <v>12100.008</v>
      </c>
      <c r="X24" s="3341">
        <v>800</v>
      </c>
      <c r="Y24" s="3349">
        <f t="shared" si="24"/>
        <v>12900.008</v>
      </c>
      <c r="Z24" s="3350">
        <f t="shared" ref="Z24:Z31" si="54">Y24/$Y$89</f>
        <v>5.7065264605597214E-3</v>
      </c>
      <c r="AA24" s="1581" t="s">
        <v>1028</v>
      </c>
      <c r="AB24" s="3341">
        <f>11000</f>
        <v>11000</v>
      </c>
      <c r="AC24" s="3341"/>
      <c r="AD24" s="3349">
        <f t="shared" si="25"/>
        <v>11000</v>
      </c>
      <c r="AE24" s="3350">
        <f t="shared" si="6"/>
        <v>1.3124201093674735E-2</v>
      </c>
      <c r="AF24" s="3342" t="s">
        <v>1080</v>
      </c>
      <c r="AG24" s="3341">
        <f>8000+5000</f>
        <v>13000</v>
      </c>
      <c r="AH24" s="3434"/>
      <c r="AI24" s="3517">
        <f t="shared" si="26"/>
        <v>13000</v>
      </c>
      <c r="AJ24" s="3509">
        <f t="shared" si="7"/>
        <v>1.2018271527324631E-2</v>
      </c>
      <c r="AK24" s="3410" t="s">
        <v>1111</v>
      </c>
      <c r="AL24" s="3341">
        <v>51000</v>
      </c>
      <c r="AM24" s="3434"/>
      <c r="AN24" s="3517">
        <f t="shared" si="27"/>
        <v>51000</v>
      </c>
      <c r="AO24" s="3509">
        <f t="shared" si="28"/>
        <v>1.1221647279795591E-2</v>
      </c>
      <c r="AP24" s="3342" t="s">
        <v>1146</v>
      </c>
      <c r="AQ24" s="3354">
        <v>102800</v>
      </c>
      <c r="AR24" s="3354"/>
      <c r="AS24" s="3517">
        <f t="shared" si="29"/>
        <v>102800</v>
      </c>
      <c r="AT24" s="3509">
        <f t="shared" si="30"/>
        <v>1.6303439763946673E-2</v>
      </c>
      <c r="AU24" s="3342" t="s">
        <v>1159</v>
      </c>
      <c r="AV24" s="3342">
        <v>137600</v>
      </c>
      <c r="AW24" s="1327"/>
      <c r="AX24" s="3517">
        <f t="shared" si="31"/>
        <v>137600</v>
      </c>
      <c r="AY24" s="3509">
        <f t="shared" si="32"/>
        <v>2.1822503030341073E-2</v>
      </c>
      <c r="AZ24" s="3343"/>
      <c r="BA24" s="3342"/>
      <c r="BB24" s="3342"/>
      <c r="BC24" s="3517">
        <f t="shared" si="33"/>
        <v>0</v>
      </c>
      <c r="BD24" s="3511">
        <f t="shared" si="34"/>
        <v>0</v>
      </c>
      <c r="BE24" s="3512"/>
      <c r="BF24" s="3341">
        <v>1132507.2</v>
      </c>
      <c r="BG24" s="3341">
        <v>0</v>
      </c>
      <c r="BH24" s="3349">
        <v>1132507.2</v>
      </c>
      <c r="BI24" s="3350">
        <v>0.87304783586233248</v>
      </c>
      <c r="BJ24" s="3343"/>
      <c r="BK24" s="3341">
        <f t="shared" si="8"/>
        <v>0</v>
      </c>
      <c r="BL24" s="3341">
        <f t="shared" si="8"/>
        <v>0</v>
      </c>
      <c r="BM24" s="3349">
        <f t="shared" ref="BM24:BM33" si="55">BK24+BL24*1</f>
        <v>0</v>
      </c>
      <c r="BN24" s="3350">
        <f t="shared" si="9"/>
        <v>0</v>
      </c>
      <c r="BO24" s="3343"/>
      <c r="BP24" s="3342"/>
      <c r="BQ24" s="3342"/>
      <c r="BR24" s="3519">
        <f t="shared" si="36"/>
        <v>0</v>
      </c>
      <c r="BS24" s="3432">
        <f t="shared" si="37"/>
        <v>0</v>
      </c>
      <c r="BT24" s="3512"/>
      <c r="BU24" s="3341"/>
      <c r="BV24" s="3341"/>
      <c r="BW24" s="3349">
        <f t="shared" si="38"/>
        <v>0</v>
      </c>
      <c r="BX24" s="3350">
        <f t="shared" si="10"/>
        <v>0</v>
      </c>
      <c r="BY24" s="3343"/>
      <c r="BZ24" s="3351"/>
      <c r="CA24" s="3351"/>
      <c r="CB24" s="3352">
        <f t="shared" si="39"/>
        <v>0</v>
      </c>
      <c r="CC24" s="3350">
        <f t="shared" si="11"/>
        <v>0</v>
      </c>
      <c r="CD24" s="3343"/>
      <c r="CE24" s="3351"/>
      <c r="CF24" s="3351"/>
      <c r="CG24" s="3352">
        <f t="shared" si="42"/>
        <v>0</v>
      </c>
      <c r="CH24" s="3350">
        <f t="shared" si="12"/>
        <v>0</v>
      </c>
      <c r="CI24" s="3343"/>
      <c r="CJ24" s="3341"/>
      <c r="CK24" s="3341"/>
      <c r="CL24" s="3341">
        <f t="shared" si="43"/>
        <v>0</v>
      </c>
      <c r="CM24" s="3350">
        <f t="shared" si="13"/>
        <v>0</v>
      </c>
      <c r="CN24" s="3343"/>
      <c r="CO24" s="3341"/>
      <c r="CP24" s="3341"/>
      <c r="CQ24" s="3341">
        <f t="shared" si="44"/>
        <v>0</v>
      </c>
      <c r="CR24" s="3350">
        <f t="shared" si="14"/>
        <v>0</v>
      </c>
      <c r="CS24" s="3343"/>
      <c r="CT24" s="3341"/>
      <c r="CU24" s="3341"/>
      <c r="CV24" s="3341">
        <f t="shared" si="45"/>
        <v>0</v>
      </c>
      <c r="CW24" s="3350">
        <f t="shared" si="15"/>
        <v>0</v>
      </c>
      <c r="CX24" s="3343"/>
      <c r="CY24" s="3341"/>
      <c r="CZ24" s="3341"/>
      <c r="DA24" s="3341">
        <f t="shared" si="46"/>
        <v>0</v>
      </c>
      <c r="DB24" s="3350">
        <f t="shared" si="16"/>
        <v>0</v>
      </c>
      <c r="DC24" s="3343"/>
      <c r="DD24" s="3341"/>
      <c r="DE24" s="3341"/>
      <c r="DF24" s="3341">
        <f t="shared" si="47"/>
        <v>0</v>
      </c>
      <c r="DG24" s="3350">
        <f t="shared" si="17"/>
        <v>0</v>
      </c>
      <c r="DH24" s="3493"/>
      <c r="DI24" s="3428"/>
      <c r="DJ24" s="3341"/>
      <c r="DK24" s="3341">
        <f t="shared" si="48"/>
        <v>0</v>
      </c>
      <c r="DL24" s="3350">
        <f t="shared" si="18"/>
        <v>0</v>
      </c>
      <c r="DM24" s="3493"/>
      <c r="DN24" s="3428"/>
      <c r="DO24" s="3341"/>
      <c r="DP24" s="3341">
        <f t="shared" si="49"/>
        <v>0</v>
      </c>
      <c r="DQ24" s="3350">
        <f t="shared" si="19"/>
        <v>0</v>
      </c>
      <c r="DR24" s="3343"/>
      <c r="DS24" s="3428"/>
      <c r="DT24" s="3341"/>
      <c r="DU24" s="3341">
        <f t="shared" si="50"/>
        <v>0</v>
      </c>
      <c r="DV24" s="3350">
        <f t="shared" si="20"/>
        <v>0</v>
      </c>
      <c r="DW24" s="3343"/>
      <c r="DX24" s="3354">
        <f t="shared" si="40"/>
        <v>1460007.2080000001</v>
      </c>
      <c r="DY24" s="3354">
        <f t="shared" si="40"/>
        <v>800</v>
      </c>
      <c r="DZ24" s="3349">
        <f t="shared" si="41"/>
        <v>1460807.2080000001</v>
      </c>
      <c r="EA24" s="3350" t="e">
        <f t="shared" si="4"/>
        <v>#DIV/0!</v>
      </c>
      <c r="EB24" s="1434"/>
      <c r="ED24" s="1345">
        <v>1530449.69</v>
      </c>
      <c r="EE24" s="3494">
        <f>ED24-BM24</f>
        <v>1530449.69</v>
      </c>
      <c r="EF24" s="3333" t="s">
        <v>1842</v>
      </c>
    </row>
    <row r="25" spans="1:136" s="1396" customFormat="1" ht="39.6" customHeight="1">
      <c r="A25" s="1571"/>
      <c r="B25" s="3444" t="s">
        <v>24</v>
      </c>
      <c r="C25" s="3524">
        <f>398605.74+42507</f>
        <v>441112.74</v>
      </c>
      <c r="D25" s="3525">
        <v>7543</v>
      </c>
      <c r="E25" s="1064">
        <f t="shared" si="22"/>
        <v>448655.74</v>
      </c>
      <c r="F25" s="3350">
        <f t="shared" si="51"/>
        <v>0.1725619131519277</v>
      </c>
      <c r="G25" s="3311" t="s">
        <v>174</v>
      </c>
      <c r="H25" s="3341">
        <v>2167667.6555999997</v>
      </c>
      <c r="I25" s="3341">
        <v>22917.45</v>
      </c>
      <c r="J25" s="3349">
        <f t="shared" si="23"/>
        <v>2190585.1055999999</v>
      </c>
      <c r="K25" s="3350">
        <f t="shared" si="52"/>
        <v>0.17237276197895454</v>
      </c>
      <c r="L25" s="1434"/>
      <c r="M25" s="3490">
        <v>577877.69999999995</v>
      </c>
      <c r="N25" s="3490">
        <v>19038.099999999999</v>
      </c>
      <c r="O25" s="3505">
        <v>596915.79999999993</v>
      </c>
      <c r="P25" s="3516">
        <v>3.0970938419899865E-2</v>
      </c>
      <c r="Q25" s="1434"/>
      <c r="R25" s="3490"/>
      <c r="S25" s="3490">
        <v>3712.2</v>
      </c>
      <c r="T25" s="3505">
        <f t="shared" si="5"/>
        <v>3712.2</v>
      </c>
      <c r="U25" s="3516">
        <f t="shared" si="53"/>
        <v>2.86172854025842E-3</v>
      </c>
      <c r="V25" s="3521"/>
      <c r="W25" s="3341"/>
      <c r="X25" s="3341">
        <v>2071</v>
      </c>
      <c r="Y25" s="3349">
        <f t="shared" si="24"/>
        <v>2071</v>
      </c>
      <c r="Z25" s="3350">
        <f t="shared" si="54"/>
        <v>9.1614023028661559E-4</v>
      </c>
      <c r="AA25" s="1394"/>
      <c r="AB25" s="3341"/>
      <c r="AC25" s="3341"/>
      <c r="AD25" s="3349">
        <f t="shared" si="25"/>
        <v>0</v>
      </c>
      <c r="AE25" s="3350">
        <f t="shared" si="6"/>
        <v>0</v>
      </c>
      <c r="AF25" s="3342"/>
      <c r="AG25" s="3341">
        <f>504.61+21517.83</f>
        <v>22022.440000000002</v>
      </c>
      <c r="AH25" s="3434">
        <v>64</v>
      </c>
      <c r="AI25" s="3517">
        <f t="shared" si="26"/>
        <v>22086.440000000002</v>
      </c>
      <c r="AJ25" s="3509">
        <f t="shared" si="7"/>
        <v>2.0418525614766449E-2</v>
      </c>
      <c r="AK25" s="3410" t="s">
        <v>1112</v>
      </c>
      <c r="AL25" s="3341">
        <f>107053.82*1.2+2942.38</f>
        <v>131406.96400000001</v>
      </c>
      <c r="AM25" s="3434">
        <v>1691</v>
      </c>
      <c r="AN25" s="3517">
        <f t="shared" si="27"/>
        <v>133097.96400000001</v>
      </c>
      <c r="AO25" s="3509">
        <f>AN25/$AN$89</f>
        <v>2.9285851091508462E-2</v>
      </c>
      <c r="AP25" s="3342" t="s">
        <v>1147</v>
      </c>
      <c r="AQ25" s="3354">
        <v>215859.82</v>
      </c>
      <c r="AR25" s="3354">
        <v>1883.5</v>
      </c>
      <c r="AS25" s="3517">
        <f t="shared" si="29"/>
        <v>217743.32</v>
      </c>
      <c r="AT25" s="3509">
        <f t="shared" si="30"/>
        <v>3.4532734451573587E-2</v>
      </c>
      <c r="AU25" s="3342" t="s">
        <v>1158</v>
      </c>
      <c r="AV25" s="3342"/>
      <c r="AW25" s="1326">
        <v>560</v>
      </c>
      <c r="AX25" s="3517">
        <f t="shared" si="31"/>
        <v>560</v>
      </c>
      <c r="AY25" s="3509">
        <f t="shared" si="32"/>
        <v>8.8812512332783433E-5</v>
      </c>
      <c r="AZ25" s="3343" t="s">
        <v>1214</v>
      </c>
      <c r="BA25" s="3342">
        <v>24126.17</v>
      </c>
      <c r="BB25" s="3342">
        <v>619</v>
      </c>
      <c r="BC25" s="3517">
        <f t="shared" si="33"/>
        <v>24745.17</v>
      </c>
      <c r="BD25" s="3511">
        <f t="shared" si="34"/>
        <v>3.6492592041426383E-3</v>
      </c>
      <c r="BE25" s="3512" t="s">
        <v>1249</v>
      </c>
      <c r="BF25" s="3341">
        <v>551921.03</v>
      </c>
      <c r="BG25" s="3341">
        <v>4067.9000000000005</v>
      </c>
      <c r="BH25" s="3349">
        <v>555988.93000000005</v>
      </c>
      <c r="BI25" s="3350">
        <v>0.42861090163480986</v>
      </c>
      <c r="BJ25" s="3343"/>
      <c r="BK25" s="3341">
        <f t="shared" si="8"/>
        <v>0</v>
      </c>
      <c r="BL25" s="3341">
        <f t="shared" si="8"/>
        <v>0</v>
      </c>
      <c r="BM25" s="3349">
        <f t="shared" si="55"/>
        <v>0</v>
      </c>
      <c r="BN25" s="3350">
        <f t="shared" si="9"/>
        <v>0</v>
      </c>
      <c r="BO25" s="3343"/>
      <c r="BP25" s="3342"/>
      <c r="BQ25" s="3342"/>
      <c r="BR25" s="3519">
        <f t="shared" si="36"/>
        <v>0</v>
      </c>
      <c r="BS25" s="3432">
        <f t="shared" si="37"/>
        <v>0</v>
      </c>
      <c r="BT25" s="3512"/>
      <c r="BU25" s="3341"/>
      <c r="BV25" s="3341"/>
      <c r="BW25" s="3349">
        <f t="shared" si="38"/>
        <v>0</v>
      </c>
      <c r="BX25" s="3350">
        <f t="shared" si="10"/>
        <v>0</v>
      </c>
      <c r="BY25" s="3527"/>
      <c r="BZ25" s="3351"/>
      <c r="CA25" s="3351"/>
      <c r="CB25" s="3352">
        <f t="shared" si="39"/>
        <v>0</v>
      </c>
      <c r="CC25" s="3350">
        <f t="shared" si="11"/>
        <v>0</v>
      </c>
      <c r="CD25" s="3343"/>
      <c r="CE25" s="3351"/>
      <c r="CF25" s="3351"/>
      <c r="CG25" s="3352">
        <f t="shared" si="42"/>
        <v>0</v>
      </c>
      <c r="CH25" s="3350">
        <f t="shared" si="12"/>
        <v>0</v>
      </c>
      <c r="CI25" s="3343"/>
      <c r="CJ25" s="3341"/>
      <c r="CK25" s="3341"/>
      <c r="CL25" s="3341">
        <f t="shared" si="43"/>
        <v>0</v>
      </c>
      <c r="CM25" s="3350">
        <f t="shared" si="13"/>
        <v>0</v>
      </c>
      <c r="CN25" s="3343"/>
      <c r="CO25" s="3341"/>
      <c r="CP25" s="3341"/>
      <c r="CQ25" s="3341">
        <f t="shared" si="44"/>
        <v>0</v>
      </c>
      <c r="CR25" s="3350">
        <f t="shared" si="14"/>
        <v>0</v>
      </c>
      <c r="CS25" s="3343"/>
      <c r="CT25" s="3341"/>
      <c r="CU25" s="3341"/>
      <c r="CV25" s="3341">
        <f t="shared" si="45"/>
        <v>0</v>
      </c>
      <c r="CW25" s="3350">
        <f t="shared" si="15"/>
        <v>0</v>
      </c>
      <c r="CX25" s="3343"/>
      <c r="CY25" s="3341"/>
      <c r="CZ25" s="3341"/>
      <c r="DA25" s="3341">
        <f t="shared" si="46"/>
        <v>0</v>
      </c>
      <c r="DB25" s="3350">
        <f t="shared" si="16"/>
        <v>0</v>
      </c>
      <c r="DC25" s="3343"/>
      <c r="DD25" s="3341"/>
      <c r="DE25" s="3341"/>
      <c r="DF25" s="3341">
        <f t="shared" si="47"/>
        <v>0</v>
      </c>
      <c r="DG25" s="3350">
        <f t="shared" si="17"/>
        <v>0</v>
      </c>
      <c r="DH25" s="3493"/>
      <c r="DI25" s="3354"/>
      <c r="DJ25" s="3341"/>
      <c r="DK25" s="3341">
        <f t="shared" si="48"/>
        <v>0</v>
      </c>
      <c r="DL25" s="3350">
        <f t="shared" si="18"/>
        <v>0</v>
      </c>
      <c r="DM25" s="3493"/>
      <c r="DN25" s="3354"/>
      <c r="DO25" s="3341"/>
      <c r="DP25" s="3341">
        <f t="shared" si="49"/>
        <v>0</v>
      </c>
      <c r="DQ25" s="3350">
        <f t="shared" si="19"/>
        <v>0</v>
      </c>
      <c r="DR25" s="3343"/>
      <c r="DS25" s="3354"/>
      <c r="DT25" s="3341"/>
      <c r="DU25" s="3341">
        <f t="shared" si="50"/>
        <v>0</v>
      </c>
      <c r="DV25" s="3350">
        <f t="shared" si="20"/>
        <v>0</v>
      </c>
      <c r="DW25" s="3343"/>
      <c r="DX25" s="3354">
        <f t="shared" si="40"/>
        <v>945336.42400000012</v>
      </c>
      <c r="DY25" s="3354">
        <f t="shared" si="40"/>
        <v>14668.600000000002</v>
      </c>
      <c r="DZ25" s="3349">
        <f t="shared" si="41"/>
        <v>960005.02400000009</v>
      </c>
      <c r="EA25" s="3350" t="e">
        <f t="shared" si="4"/>
        <v>#DIV/0!</v>
      </c>
      <c r="EB25" s="1434"/>
      <c r="ED25" s="1345">
        <v>1141042.42</v>
      </c>
      <c r="EE25" s="3494">
        <f>ED25-BM25</f>
        <v>1141042.42</v>
      </c>
      <c r="EF25" s="3334" t="s">
        <v>1847</v>
      </c>
    </row>
    <row r="26" spans="1:136" s="1396" customFormat="1" ht="91.2" customHeight="1">
      <c r="A26" s="1571"/>
      <c r="B26" s="3444" t="s">
        <v>45</v>
      </c>
      <c r="C26" s="3524">
        <v>208349</v>
      </c>
      <c r="D26" s="3525">
        <v>11045</v>
      </c>
      <c r="E26" s="1064">
        <f t="shared" si="22"/>
        <v>219394</v>
      </c>
      <c r="F26" s="3350">
        <f t="shared" si="51"/>
        <v>8.4383292129627113E-2</v>
      </c>
      <c r="G26" s="3311"/>
      <c r="H26" s="3341">
        <v>333611.25959999999</v>
      </c>
      <c r="I26" s="3341">
        <v>3503.7</v>
      </c>
      <c r="J26" s="3349">
        <f t="shared" si="23"/>
        <v>337114.9596</v>
      </c>
      <c r="K26" s="3350">
        <f t="shared" si="52"/>
        <v>2.6526902124060385E-2</v>
      </c>
      <c r="L26" s="1434"/>
      <c r="M26" s="3490">
        <v>2851630.4519999996</v>
      </c>
      <c r="N26" s="3490">
        <v>0</v>
      </c>
      <c r="O26" s="3505">
        <v>2851630.4519999996</v>
      </c>
      <c r="P26" s="3516">
        <v>0.1479566651196085</v>
      </c>
      <c r="Q26" s="1434"/>
      <c r="R26" s="3490">
        <f>71503.15*1.2</f>
        <v>85803.779999999984</v>
      </c>
      <c r="S26" s="3490"/>
      <c r="T26" s="3505">
        <f t="shared" si="5"/>
        <v>85803.779999999984</v>
      </c>
      <c r="U26" s="3516">
        <f t="shared" si="53"/>
        <v>6.6145985153831854E-2</v>
      </c>
      <c r="V26" s="3507"/>
      <c r="W26" s="3341">
        <f>274151.51*1.2+(1015.5*30)+129951.24*1.2</f>
        <v>515388.3</v>
      </c>
      <c r="X26" s="3341">
        <v>2242.1999999999998</v>
      </c>
      <c r="Y26" s="3349">
        <f t="shared" si="24"/>
        <v>517630.5</v>
      </c>
      <c r="Z26" s="3350">
        <f t="shared" si="54"/>
        <v>0.22898219482055818</v>
      </c>
      <c r="AA26" s="1361" t="s">
        <v>1077</v>
      </c>
      <c r="AB26" s="3341">
        <f>135613.52*2+27961.1+7500+22280.82*1.2</f>
        <v>333425.12399999995</v>
      </c>
      <c r="AC26" s="3341"/>
      <c r="AD26" s="3349">
        <f>AB26+AC26</f>
        <v>333425.12399999995</v>
      </c>
      <c r="AE26" s="3350">
        <f t="shared" si="6"/>
        <v>0.39781257973267581</v>
      </c>
      <c r="AF26" s="3342" t="s">
        <v>1078</v>
      </c>
      <c r="AG26" s="3341">
        <f>(143608.68+143527.98)</f>
        <v>287136.66000000003</v>
      </c>
      <c r="AH26" s="3434"/>
      <c r="AI26" s="3517">
        <f t="shared" si="26"/>
        <v>287136.66000000003</v>
      </c>
      <c r="AJ26" s="3509">
        <f t="shared" si="7"/>
        <v>0.26545279579454567</v>
      </c>
      <c r="AK26" s="3410" t="s">
        <v>1120</v>
      </c>
      <c r="AL26" s="3341">
        <f>3006+1721518.69</f>
        <v>1724524.69</v>
      </c>
      <c r="AM26" s="3434">
        <v>1652</v>
      </c>
      <c r="AN26" s="3517">
        <f t="shared" si="27"/>
        <v>1726176.69</v>
      </c>
      <c r="AO26" s="3509">
        <f t="shared" si="28"/>
        <v>0.3798146266232364</v>
      </c>
      <c r="AP26" s="3342" t="s">
        <v>1148</v>
      </c>
      <c r="AQ26" s="3354">
        <f>3074061.16+18168</f>
        <v>3092229.16</v>
      </c>
      <c r="AR26" s="3354">
        <v>2996</v>
      </c>
      <c r="AS26" s="3517">
        <f t="shared" si="29"/>
        <v>3095225.16</v>
      </c>
      <c r="AT26" s="3509">
        <f t="shared" si="30"/>
        <v>0.49088343338435997</v>
      </c>
      <c r="AU26" s="3342" t="s">
        <v>1171</v>
      </c>
      <c r="AV26" s="1326">
        <v>3723261.540000001</v>
      </c>
      <c r="AW26" s="1330"/>
      <c r="AX26" s="3517">
        <f t="shared" si="31"/>
        <v>3723261.540000001</v>
      </c>
      <c r="AY26" s="3509">
        <f t="shared" si="32"/>
        <v>0.590486091856122</v>
      </c>
      <c r="AZ26" s="3343" t="s">
        <v>1229</v>
      </c>
      <c r="BA26" s="3342">
        <f>3064082.28+6012</f>
        <v>3070094.28</v>
      </c>
      <c r="BB26" s="3342"/>
      <c r="BC26" s="3517">
        <f t="shared" si="33"/>
        <v>3070094.28</v>
      </c>
      <c r="BD26" s="3511">
        <f t="shared" si="34"/>
        <v>0.45275784360647614</v>
      </c>
      <c r="BE26" s="3512" t="s">
        <v>1250</v>
      </c>
      <c r="BF26" s="3341">
        <v>19623660.094000001</v>
      </c>
      <c r="BG26" s="3341">
        <v>0</v>
      </c>
      <c r="BH26" s="3349">
        <v>19623660.094000001</v>
      </c>
      <c r="BI26" s="3350">
        <v>15.12784552430635</v>
      </c>
      <c r="BJ26" s="3343"/>
      <c r="BK26" s="3341">
        <f t="shared" si="8"/>
        <v>0</v>
      </c>
      <c r="BL26" s="3341">
        <f t="shared" si="8"/>
        <v>0</v>
      </c>
      <c r="BM26" s="3349">
        <f t="shared" si="55"/>
        <v>0</v>
      </c>
      <c r="BN26" s="3350">
        <f t="shared" si="9"/>
        <v>0</v>
      </c>
      <c r="BO26" s="3343"/>
      <c r="BP26" s="3342"/>
      <c r="BQ26" s="3342"/>
      <c r="BR26" s="3519">
        <f t="shared" si="36"/>
        <v>0</v>
      </c>
      <c r="BS26" s="3432">
        <f t="shared" si="37"/>
        <v>0</v>
      </c>
      <c r="BT26" s="3512"/>
      <c r="BU26" s="3341"/>
      <c r="BV26" s="3341"/>
      <c r="BW26" s="3349">
        <f t="shared" si="38"/>
        <v>0</v>
      </c>
      <c r="BX26" s="3350">
        <f t="shared" si="10"/>
        <v>0</v>
      </c>
      <c r="BY26" s="1593"/>
      <c r="BZ26" s="3351"/>
      <c r="CA26" s="3351"/>
      <c r="CB26" s="3352">
        <f t="shared" si="39"/>
        <v>0</v>
      </c>
      <c r="CC26" s="3350">
        <f t="shared" si="11"/>
        <v>0</v>
      </c>
      <c r="CD26" s="3343"/>
      <c r="CE26" s="3351"/>
      <c r="CF26" s="3351"/>
      <c r="CG26" s="3352">
        <f t="shared" si="42"/>
        <v>0</v>
      </c>
      <c r="CH26" s="3350">
        <f t="shared" si="12"/>
        <v>0</v>
      </c>
      <c r="CI26" s="3343"/>
      <c r="CJ26" s="3341"/>
      <c r="CK26" s="3341"/>
      <c r="CL26" s="3341">
        <f t="shared" si="43"/>
        <v>0</v>
      </c>
      <c r="CM26" s="3350">
        <f t="shared" si="13"/>
        <v>0</v>
      </c>
      <c r="CN26" s="3343"/>
      <c r="CO26" s="3341"/>
      <c r="CP26" s="3341"/>
      <c r="CQ26" s="3341">
        <f t="shared" si="44"/>
        <v>0</v>
      </c>
      <c r="CR26" s="3350">
        <f t="shared" si="14"/>
        <v>0</v>
      </c>
      <c r="CS26" s="3343"/>
      <c r="CT26" s="3341"/>
      <c r="CU26" s="3341"/>
      <c r="CV26" s="3341">
        <f t="shared" si="45"/>
        <v>0</v>
      </c>
      <c r="CW26" s="3350">
        <f t="shared" si="15"/>
        <v>0</v>
      </c>
      <c r="CX26" s="3343"/>
      <c r="CY26" s="3341"/>
      <c r="CZ26" s="3341"/>
      <c r="DA26" s="3341">
        <f t="shared" si="46"/>
        <v>0</v>
      </c>
      <c r="DB26" s="3350">
        <f t="shared" si="16"/>
        <v>0</v>
      </c>
      <c r="DC26" s="3343"/>
      <c r="DD26" s="3341"/>
      <c r="DE26" s="3341"/>
      <c r="DF26" s="3341">
        <f t="shared" si="47"/>
        <v>0</v>
      </c>
      <c r="DG26" s="3350">
        <f t="shared" si="17"/>
        <v>0</v>
      </c>
      <c r="DH26" s="3493"/>
      <c r="DI26" s="3354"/>
      <c r="DJ26" s="3341"/>
      <c r="DK26" s="3341">
        <f t="shared" si="48"/>
        <v>0</v>
      </c>
      <c r="DL26" s="3350">
        <f t="shared" si="18"/>
        <v>0</v>
      </c>
      <c r="DM26" s="3493"/>
      <c r="DN26" s="3354"/>
      <c r="DO26" s="3341"/>
      <c r="DP26" s="3341">
        <f t="shared" si="49"/>
        <v>0</v>
      </c>
      <c r="DQ26" s="3350">
        <f t="shared" si="19"/>
        <v>0</v>
      </c>
      <c r="DR26" s="3343"/>
      <c r="DS26" s="3354"/>
      <c r="DT26" s="3341"/>
      <c r="DU26" s="3341">
        <f t="shared" si="50"/>
        <v>0</v>
      </c>
      <c r="DV26" s="3350">
        <f t="shared" si="20"/>
        <v>0</v>
      </c>
      <c r="DW26" s="3343"/>
      <c r="DX26" s="3354">
        <f t="shared" si="40"/>
        <v>32455523.627999999</v>
      </c>
      <c r="DY26" s="3354">
        <f t="shared" si="40"/>
        <v>6890.2</v>
      </c>
      <c r="DZ26" s="3349">
        <f t="shared" si="41"/>
        <v>32462413.827999998</v>
      </c>
      <c r="EA26" s="3350" t="e">
        <f t="shared" si="4"/>
        <v>#DIV/0!</v>
      </c>
      <c r="EB26" s="1434"/>
      <c r="ED26" s="1345">
        <v>19806322.469999999</v>
      </c>
      <c r="EE26" s="3494">
        <f>ED26-BM26</f>
        <v>19806322.469999999</v>
      </c>
      <c r="EF26" s="3333" t="s">
        <v>1843</v>
      </c>
    </row>
    <row r="27" spans="1:136" s="1396" customFormat="1" ht="27.6">
      <c r="A27" s="1571"/>
      <c r="B27" s="3444" t="s">
        <v>25</v>
      </c>
      <c r="C27" s="3524">
        <f>190+2950</f>
        <v>3140</v>
      </c>
      <c r="D27" s="3525">
        <v>235</v>
      </c>
      <c r="E27" s="1064">
        <f t="shared" si="22"/>
        <v>3375</v>
      </c>
      <c r="F27" s="3350">
        <f t="shared" si="51"/>
        <v>1.298092066954846E-3</v>
      </c>
      <c r="G27" s="3311"/>
      <c r="H27" s="3341">
        <v>120775.946</v>
      </c>
      <c r="I27" s="3341">
        <v>8161</v>
      </c>
      <c r="J27" s="3349">
        <f t="shared" si="23"/>
        <v>128936.946</v>
      </c>
      <c r="K27" s="3350">
        <f t="shared" si="52"/>
        <v>1.0145790476861588E-2</v>
      </c>
      <c r="L27" s="1434"/>
      <c r="M27" s="3490">
        <v>68954.945999999996</v>
      </c>
      <c r="N27" s="3490">
        <v>4890</v>
      </c>
      <c r="O27" s="3505">
        <v>73844.945999999996</v>
      </c>
      <c r="P27" s="3516">
        <v>3.8314403391346498E-3</v>
      </c>
      <c r="Q27" s="1434"/>
      <c r="R27" s="3490">
        <f>118.3*1.2+1483.89*1.2</f>
        <v>1922.6280000000002</v>
      </c>
      <c r="S27" s="3490"/>
      <c r="T27" s="3505">
        <f t="shared" si="5"/>
        <v>1922.6280000000002</v>
      </c>
      <c r="U27" s="3516">
        <f t="shared" si="53"/>
        <v>1.4821505899197151E-3</v>
      </c>
      <c r="V27" s="3507" t="s">
        <v>1000</v>
      </c>
      <c r="W27" s="3341">
        <f>15167.78*1.2+703.31*1.2+2870.83*1.2</f>
        <v>22490.304</v>
      </c>
      <c r="X27" s="3341">
        <v>6963</v>
      </c>
      <c r="Y27" s="3349">
        <f t="shared" si="24"/>
        <v>29453.304</v>
      </c>
      <c r="Z27" s="3350">
        <f t="shared" si="54"/>
        <v>1.3029143751454223E-2</v>
      </c>
      <c r="AA27" s="1361" t="s">
        <v>1044</v>
      </c>
      <c r="AB27" s="3341"/>
      <c r="AC27" s="3341"/>
      <c r="AD27" s="3349">
        <f t="shared" si="25"/>
        <v>0</v>
      </c>
      <c r="AE27" s="3350">
        <f t="shared" si="6"/>
        <v>0</v>
      </c>
      <c r="AF27" s="1602"/>
      <c r="AG27" s="3341"/>
      <c r="AH27" s="3434"/>
      <c r="AI27" s="3517">
        <f t="shared" si="26"/>
        <v>0</v>
      </c>
      <c r="AJ27" s="3509">
        <f t="shared" si="7"/>
        <v>0</v>
      </c>
      <c r="AK27" s="3531"/>
      <c r="AL27" s="3341"/>
      <c r="AM27" s="3434"/>
      <c r="AN27" s="3517">
        <f t="shared" si="27"/>
        <v>0</v>
      </c>
      <c r="AO27" s="3509">
        <f t="shared" si="28"/>
        <v>0</v>
      </c>
      <c r="AP27" s="3531"/>
      <c r="AQ27" s="3354">
        <v>31522.77</v>
      </c>
      <c r="AR27" s="3354"/>
      <c r="AS27" s="3517">
        <f t="shared" si="29"/>
        <v>31522.77</v>
      </c>
      <c r="AT27" s="3509">
        <f t="shared" si="30"/>
        <v>4.9993149989080278E-3</v>
      </c>
      <c r="AU27" s="3342" t="s">
        <v>1161</v>
      </c>
      <c r="AV27" s="1326"/>
      <c r="AW27" s="1335"/>
      <c r="AX27" s="3517">
        <f t="shared" si="31"/>
        <v>0</v>
      </c>
      <c r="AY27" s="3509">
        <f t="shared" si="32"/>
        <v>0</v>
      </c>
      <c r="AZ27" s="3343"/>
      <c r="BA27" s="3342"/>
      <c r="BB27" s="3342">
        <v>2000</v>
      </c>
      <c r="BC27" s="3517">
        <f t="shared" si="33"/>
        <v>2000</v>
      </c>
      <c r="BD27" s="3511">
        <f t="shared" si="34"/>
        <v>2.9494719204940908E-4</v>
      </c>
      <c r="BE27" s="3512" t="s">
        <v>1241</v>
      </c>
      <c r="BF27" s="3341">
        <v>75965.89</v>
      </c>
      <c r="BG27" s="3341">
        <v>6835</v>
      </c>
      <c r="BH27" s="3349">
        <v>82800.89</v>
      </c>
      <c r="BI27" s="3350">
        <v>6.383106246209741E-2</v>
      </c>
      <c r="BJ27" s="3343"/>
      <c r="BK27" s="3341">
        <f t="shared" si="8"/>
        <v>0</v>
      </c>
      <c r="BL27" s="3341">
        <f t="shared" si="8"/>
        <v>0</v>
      </c>
      <c r="BM27" s="3349">
        <f t="shared" si="55"/>
        <v>0</v>
      </c>
      <c r="BN27" s="3350">
        <f t="shared" si="9"/>
        <v>0</v>
      </c>
      <c r="BO27" s="3343"/>
      <c r="BP27" s="3342"/>
      <c r="BQ27" s="3342"/>
      <c r="BR27" s="3519">
        <f t="shared" si="36"/>
        <v>0</v>
      </c>
      <c r="BS27" s="3432">
        <f t="shared" si="37"/>
        <v>0</v>
      </c>
      <c r="BT27" s="3512"/>
      <c r="BU27" s="3357"/>
      <c r="BV27" s="3341"/>
      <c r="BW27" s="3349">
        <f t="shared" si="38"/>
        <v>0</v>
      </c>
      <c r="BX27" s="3350">
        <f t="shared" si="10"/>
        <v>0</v>
      </c>
      <c r="BY27" s="3358"/>
      <c r="BZ27" s="3351"/>
      <c r="CA27" s="3351"/>
      <c r="CB27" s="3352">
        <f t="shared" si="39"/>
        <v>0</v>
      </c>
      <c r="CC27" s="3350">
        <f t="shared" si="11"/>
        <v>0</v>
      </c>
      <c r="CD27" s="3343"/>
      <c r="CE27" s="3351"/>
      <c r="CF27" s="3351"/>
      <c r="CG27" s="3352">
        <f t="shared" si="42"/>
        <v>0</v>
      </c>
      <c r="CH27" s="3350">
        <f t="shared" si="12"/>
        <v>0</v>
      </c>
      <c r="CI27" s="3343"/>
      <c r="CJ27" s="3341"/>
      <c r="CK27" s="3341"/>
      <c r="CL27" s="3341">
        <f t="shared" si="43"/>
        <v>0</v>
      </c>
      <c r="CM27" s="3350">
        <f t="shared" si="13"/>
        <v>0</v>
      </c>
      <c r="CN27" s="3343"/>
      <c r="CO27" s="3341"/>
      <c r="CP27" s="3341"/>
      <c r="CQ27" s="3341">
        <f t="shared" si="44"/>
        <v>0</v>
      </c>
      <c r="CR27" s="3350">
        <f t="shared" si="14"/>
        <v>0</v>
      </c>
      <c r="CS27" s="3343"/>
      <c r="CT27" s="3341"/>
      <c r="CU27" s="3341"/>
      <c r="CV27" s="3341">
        <f t="shared" si="45"/>
        <v>0</v>
      </c>
      <c r="CW27" s="3350">
        <f t="shared" si="15"/>
        <v>0</v>
      </c>
      <c r="CX27" s="3343"/>
      <c r="CY27" s="3341"/>
      <c r="CZ27" s="3341"/>
      <c r="DA27" s="3341">
        <f t="shared" si="46"/>
        <v>0</v>
      </c>
      <c r="DB27" s="3350">
        <f t="shared" si="16"/>
        <v>0</v>
      </c>
      <c r="DC27" s="3343"/>
      <c r="DD27" s="3341"/>
      <c r="DE27" s="3341"/>
      <c r="DF27" s="3341">
        <f t="shared" si="47"/>
        <v>0</v>
      </c>
      <c r="DG27" s="3350">
        <f t="shared" si="17"/>
        <v>0</v>
      </c>
      <c r="DH27" s="3493"/>
      <c r="DI27" s="3354"/>
      <c r="DJ27" s="3341"/>
      <c r="DK27" s="3341">
        <f t="shared" si="48"/>
        <v>0</v>
      </c>
      <c r="DL27" s="3350">
        <f t="shared" si="18"/>
        <v>0</v>
      </c>
      <c r="DM27" s="3493"/>
      <c r="DN27" s="3354"/>
      <c r="DO27" s="3341"/>
      <c r="DP27" s="3341">
        <f t="shared" si="49"/>
        <v>0</v>
      </c>
      <c r="DQ27" s="3350">
        <f t="shared" si="19"/>
        <v>0</v>
      </c>
      <c r="DR27" s="3343"/>
      <c r="DS27" s="3354"/>
      <c r="DT27" s="3341"/>
      <c r="DU27" s="3341">
        <f t="shared" si="50"/>
        <v>0</v>
      </c>
      <c r="DV27" s="3350">
        <f t="shared" si="20"/>
        <v>0</v>
      </c>
      <c r="DW27" s="3343"/>
      <c r="DX27" s="3354">
        <f t="shared" si="40"/>
        <v>131901.592</v>
      </c>
      <c r="DY27" s="3354">
        <f t="shared" si="40"/>
        <v>15798</v>
      </c>
      <c r="DZ27" s="3349">
        <f t="shared" si="41"/>
        <v>147699.592</v>
      </c>
      <c r="EA27" s="3350" t="e">
        <f t="shared" si="4"/>
        <v>#DIV/0!</v>
      </c>
      <c r="EB27" s="1434"/>
      <c r="ED27" s="1345">
        <v>118236.07</v>
      </c>
      <c r="EE27" s="3494">
        <f>ED27-BM27</f>
        <v>118236.07</v>
      </c>
      <c r="EF27" s="3334"/>
    </row>
    <row r="28" spans="1:136" s="1396" customFormat="1" ht="124.2">
      <c r="A28" s="1571"/>
      <c r="B28" s="3444" t="s">
        <v>52</v>
      </c>
      <c r="C28" s="3524">
        <f>29793+314640</f>
        <v>344433</v>
      </c>
      <c r="D28" s="3525">
        <f>500+2858</f>
        <v>3358</v>
      </c>
      <c r="E28" s="1064">
        <f t="shared" si="22"/>
        <v>347791</v>
      </c>
      <c r="F28" s="3350">
        <f t="shared" si="51"/>
        <v>0.13376732979504974</v>
      </c>
      <c r="G28" s="3311" t="s">
        <v>175</v>
      </c>
      <c r="H28" s="3341">
        <v>1094692.6740000001</v>
      </c>
      <c r="I28" s="3341">
        <v>12865.5</v>
      </c>
      <c r="J28" s="3349">
        <f t="shared" si="23"/>
        <v>1107558.1740000001</v>
      </c>
      <c r="K28" s="3350">
        <f t="shared" si="52"/>
        <v>8.7151538197123193E-2</v>
      </c>
      <c r="L28" s="1434"/>
      <c r="M28" s="3490">
        <v>1681255.814</v>
      </c>
      <c r="N28" s="3490">
        <v>9573.4</v>
      </c>
      <c r="O28" s="3505">
        <v>1690829.2139999999</v>
      </c>
      <c r="P28" s="3516">
        <v>8.7728566517022488E-2</v>
      </c>
      <c r="Q28" s="1434"/>
      <c r="R28" s="3490">
        <f>4439.9+150+1200*1.2+91680+58034.04+11144</f>
        <v>166887.94</v>
      </c>
      <c r="S28" s="3490">
        <v>780</v>
      </c>
      <c r="T28" s="3505">
        <f t="shared" si="5"/>
        <v>167667.94</v>
      </c>
      <c r="U28" s="3516">
        <f t="shared" si="53"/>
        <v>0.12925492408392231</v>
      </c>
      <c r="V28" s="3521" t="s">
        <v>1005</v>
      </c>
      <c r="W28" s="3341">
        <f>722+3600*1.2+91680+10848+127501.69</f>
        <v>235071.69</v>
      </c>
      <c r="X28" s="3341"/>
      <c r="Y28" s="3349">
        <f t="shared" si="24"/>
        <v>235071.69</v>
      </c>
      <c r="Z28" s="3350">
        <f t="shared" si="54"/>
        <v>0.10398775094662671</v>
      </c>
      <c r="AA28" s="1361" t="s">
        <v>1081</v>
      </c>
      <c r="AB28" s="3341">
        <f>4004+50424</f>
        <v>54428</v>
      </c>
      <c r="AC28" s="3341">
        <v>3336</v>
      </c>
      <c r="AD28" s="3349">
        <f t="shared" si="25"/>
        <v>57764</v>
      </c>
      <c r="AE28" s="3350">
        <f t="shared" si="6"/>
        <v>6.8918759270457042E-2</v>
      </c>
      <c r="AF28" s="3342" t="s">
        <v>1079</v>
      </c>
      <c r="AG28" s="3341"/>
      <c r="AH28" s="3434">
        <f>3839.7+1900+800</f>
        <v>6539.7</v>
      </c>
      <c r="AI28" s="3517">
        <f t="shared" si="26"/>
        <v>6539.7</v>
      </c>
      <c r="AJ28" s="3509">
        <f t="shared" si="7"/>
        <v>6.0458377159419143E-3</v>
      </c>
      <c r="AK28" s="3410" t="s">
        <v>1113</v>
      </c>
      <c r="AL28" s="3341">
        <v>3089</v>
      </c>
      <c r="AM28" s="3434">
        <v>2000</v>
      </c>
      <c r="AN28" s="3517">
        <f t="shared" si="27"/>
        <v>5089</v>
      </c>
      <c r="AO28" s="3509">
        <f t="shared" si="28"/>
        <v>1.1197443726839169E-3</v>
      </c>
      <c r="AP28" s="3342" t="s">
        <v>1149</v>
      </c>
      <c r="AQ28" s="3354"/>
      <c r="AR28" s="3354">
        <v>1285516</v>
      </c>
      <c r="AS28" s="3517">
        <f t="shared" si="29"/>
        <v>1285516</v>
      </c>
      <c r="AT28" s="3509">
        <f t="shared" si="30"/>
        <v>0.20387483143569721</v>
      </c>
      <c r="AU28" s="3342" t="s">
        <v>1170</v>
      </c>
      <c r="AV28" s="1326"/>
      <c r="AW28" s="1326">
        <v>2059952</v>
      </c>
      <c r="AX28" s="3517">
        <f t="shared" si="31"/>
        <v>2059952</v>
      </c>
      <c r="AY28" s="3509">
        <f t="shared" si="32"/>
        <v>0.32669555786596766</v>
      </c>
      <c r="AZ28" s="3343" t="s">
        <v>1215</v>
      </c>
      <c r="BA28" s="3342">
        <f>9045+31200+5610</f>
        <v>45855</v>
      </c>
      <c r="BB28" s="3342">
        <v>1367780</v>
      </c>
      <c r="BC28" s="3517">
        <f t="shared" si="33"/>
        <v>1413635</v>
      </c>
      <c r="BD28" s="3511">
        <f t="shared" si="34"/>
        <v>0.20847383691638322</v>
      </c>
      <c r="BE28" s="3512" t="s">
        <v>1251</v>
      </c>
      <c r="BF28" s="3341">
        <v>232279.51</v>
      </c>
      <c r="BG28" s="3341">
        <v>3198121.32</v>
      </c>
      <c r="BH28" s="3349">
        <v>3430400.83</v>
      </c>
      <c r="BI28" s="3350">
        <v>2.64449004895673</v>
      </c>
      <c r="BJ28" s="3343"/>
      <c r="BK28" s="3341">
        <f t="shared" si="8"/>
        <v>0</v>
      </c>
      <c r="BL28" s="3341">
        <f t="shared" si="8"/>
        <v>0</v>
      </c>
      <c r="BM28" s="3349">
        <f t="shared" si="55"/>
        <v>0</v>
      </c>
      <c r="BN28" s="3350">
        <f t="shared" si="9"/>
        <v>0</v>
      </c>
      <c r="BO28" s="3343"/>
      <c r="BP28" s="3342"/>
      <c r="BQ28" s="3342"/>
      <c r="BR28" s="3519">
        <f t="shared" si="36"/>
        <v>0</v>
      </c>
      <c r="BS28" s="3432">
        <f t="shared" si="37"/>
        <v>0</v>
      </c>
      <c r="BT28" s="3512"/>
      <c r="BU28" s="3341"/>
      <c r="BV28" s="3341"/>
      <c r="BW28" s="3349">
        <f t="shared" si="38"/>
        <v>0</v>
      </c>
      <c r="BX28" s="3350">
        <f t="shared" si="10"/>
        <v>0</v>
      </c>
      <c r="BY28" s="3527"/>
      <c r="BZ28" s="3351"/>
      <c r="CA28" s="3351"/>
      <c r="CB28" s="3352">
        <f t="shared" si="39"/>
        <v>0</v>
      </c>
      <c r="CC28" s="3350">
        <f t="shared" si="11"/>
        <v>0</v>
      </c>
      <c r="CD28" s="3343"/>
      <c r="CE28" s="3351"/>
      <c r="CF28" s="3351"/>
      <c r="CG28" s="3352">
        <f t="shared" si="42"/>
        <v>0</v>
      </c>
      <c r="CH28" s="3350">
        <f t="shared" si="12"/>
        <v>0</v>
      </c>
      <c r="CI28" s="3343"/>
      <c r="CJ28" s="3341"/>
      <c r="CK28" s="3341"/>
      <c r="CL28" s="3341">
        <f t="shared" si="43"/>
        <v>0</v>
      </c>
      <c r="CM28" s="3350">
        <f t="shared" si="13"/>
        <v>0</v>
      </c>
      <c r="CN28" s="3343"/>
      <c r="CO28" s="3341"/>
      <c r="CP28" s="3341"/>
      <c r="CQ28" s="3341">
        <f t="shared" si="44"/>
        <v>0</v>
      </c>
      <c r="CR28" s="3350">
        <f t="shared" si="14"/>
        <v>0</v>
      </c>
      <c r="CS28" s="3343"/>
      <c r="CT28" s="3341"/>
      <c r="CU28" s="3341"/>
      <c r="CV28" s="3341">
        <f t="shared" si="45"/>
        <v>0</v>
      </c>
      <c r="CW28" s="3350">
        <f t="shared" si="15"/>
        <v>0</v>
      </c>
      <c r="CX28" s="3343"/>
      <c r="CY28" s="3341"/>
      <c r="CZ28" s="3341"/>
      <c r="DA28" s="3341">
        <f t="shared" si="46"/>
        <v>0</v>
      </c>
      <c r="DB28" s="3350">
        <f t="shared" si="16"/>
        <v>0</v>
      </c>
      <c r="DC28" s="3343"/>
      <c r="DD28" s="3341"/>
      <c r="DE28" s="3532"/>
      <c r="DF28" s="3341">
        <f t="shared" si="47"/>
        <v>0</v>
      </c>
      <c r="DG28" s="3350">
        <f t="shared" si="17"/>
        <v>0</v>
      </c>
      <c r="DH28" s="3493"/>
      <c r="DI28" s="3354"/>
      <c r="DJ28" s="3532"/>
      <c r="DK28" s="3341">
        <f t="shared" si="48"/>
        <v>0</v>
      </c>
      <c r="DL28" s="3350">
        <f t="shared" si="18"/>
        <v>0</v>
      </c>
      <c r="DM28" s="3493"/>
      <c r="DN28" s="3354"/>
      <c r="DO28" s="3532"/>
      <c r="DP28" s="3341">
        <f t="shared" si="49"/>
        <v>0</v>
      </c>
      <c r="DQ28" s="3350">
        <f t="shared" si="19"/>
        <v>0</v>
      </c>
      <c r="DR28" s="3493"/>
      <c r="DS28" s="3354"/>
      <c r="DT28" s="3532"/>
      <c r="DU28" s="3341">
        <f t="shared" si="50"/>
        <v>0</v>
      </c>
      <c r="DV28" s="3350">
        <f t="shared" si="20"/>
        <v>0</v>
      </c>
      <c r="DW28" s="3493"/>
      <c r="DX28" s="3354">
        <f t="shared" si="40"/>
        <v>737611.14</v>
      </c>
      <c r="DY28" s="3354">
        <f t="shared" si="40"/>
        <v>7924025.0199999996</v>
      </c>
      <c r="DZ28" s="3349">
        <f t="shared" si="41"/>
        <v>8661636.1600000001</v>
      </c>
      <c r="EA28" s="3350" t="e">
        <f t="shared" si="4"/>
        <v>#DIV/0!</v>
      </c>
      <c r="EB28" s="1434"/>
      <c r="ED28" s="1345">
        <v>3651875.56</v>
      </c>
      <c r="EE28" s="3494">
        <f>ED28-BM28</f>
        <v>3651875.56</v>
      </c>
      <c r="EF28" s="3334" t="s">
        <v>1848</v>
      </c>
    </row>
    <row r="29" spans="1:136" s="1396" customFormat="1" ht="13.8">
      <c r="A29" s="1571"/>
      <c r="B29" s="3444" t="s">
        <v>31</v>
      </c>
      <c r="C29" s="3524">
        <f>61140+3450</f>
        <v>64590</v>
      </c>
      <c r="D29" s="3525">
        <f>52400</f>
        <v>52400</v>
      </c>
      <c r="E29" s="1064">
        <f t="shared" si="22"/>
        <v>116990</v>
      </c>
      <c r="F29" s="3350">
        <f t="shared" si="51"/>
        <v>4.4996678789051094E-2</v>
      </c>
      <c r="G29" s="3311"/>
      <c r="H29" s="3341">
        <v>31090</v>
      </c>
      <c r="I29" s="3341">
        <v>496630</v>
      </c>
      <c r="J29" s="3349">
        <f t="shared" si="23"/>
        <v>527720</v>
      </c>
      <c r="K29" s="3350">
        <f t="shared" si="52"/>
        <v>4.152523164655534E-2</v>
      </c>
      <c r="L29" s="3360"/>
      <c r="M29" s="3490">
        <v>0</v>
      </c>
      <c r="N29" s="3490">
        <v>703000</v>
      </c>
      <c r="O29" s="3505">
        <v>703000</v>
      </c>
      <c r="P29" s="3516">
        <v>3.6475110407849155E-2</v>
      </c>
      <c r="Q29" s="1434"/>
      <c r="R29" s="3490">
        <v>700</v>
      </c>
      <c r="S29" s="3490">
        <v>52100</v>
      </c>
      <c r="T29" s="3505">
        <f t="shared" si="5"/>
        <v>52800</v>
      </c>
      <c r="U29" s="3516">
        <f t="shared" si="53"/>
        <v>4.0703428405162598E-2</v>
      </c>
      <c r="V29" s="3533"/>
      <c r="W29" s="3341"/>
      <c r="X29" s="3341">
        <v>68600</v>
      </c>
      <c r="Y29" s="3349">
        <f t="shared" si="24"/>
        <v>68600</v>
      </c>
      <c r="Z29" s="3350">
        <f t="shared" si="54"/>
        <v>3.0346315691772974E-2</v>
      </c>
      <c r="AA29" s="1361"/>
      <c r="AB29" s="3341"/>
      <c r="AC29" s="3341"/>
      <c r="AD29" s="3349">
        <f t="shared" si="25"/>
        <v>0</v>
      </c>
      <c r="AE29" s="3350">
        <f t="shared" si="6"/>
        <v>0</v>
      </c>
      <c r="AF29" s="3534"/>
      <c r="AG29" s="3341"/>
      <c r="AH29" s="3434"/>
      <c r="AI29" s="3517">
        <f t="shared" si="26"/>
        <v>0</v>
      </c>
      <c r="AJ29" s="3509">
        <f t="shared" si="7"/>
        <v>0</v>
      </c>
      <c r="AK29" s="3526"/>
      <c r="AL29" s="3341"/>
      <c r="AM29" s="3434"/>
      <c r="AN29" s="3517">
        <f t="shared" si="27"/>
        <v>0</v>
      </c>
      <c r="AO29" s="3509">
        <f t="shared" si="28"/>
        <v>0</v>
      </c>
      <c r="AP29" s="3526"/>
      <c r="AQ29" s="3354"/>
      <c r="AR29" s="3354">
        <v>35960</v>
      </c>
      <c r="AS29" s="3517">
        <f t="shared" si="29"/>
        <v>35960</v>
      </c>
      <c r="AT29" s="3509">
        <f t="shared" si="30"/>
        <v>5.703032041940879E-3</v>
      </c>
      <c r="AU29" s="3342" t="s">
        <v>981</v>
      </c>
      <c r="AV29" s="1329"/>
      <c r="AW29" s="1326"/>
      <c r="AX29" s="3517">
        <f t="shared" si="31"/>
        <v>0</v>
      </c>
      <c r="AY29" s="3509">
        <f t="shared" si="32"/>
        <v>0</v>
      </c>
      <c r="AZ29" s="3343"/>
      <c r="BA29" s="3342"/>
      <c r="BB29" s="3342"/>
      <c r="BC29" s="3517">
        <f t="shared" si="33"/>
        <v>0</v>
      </c>
      <c r="BD29" s="3511">
        <f t="shared" si="34"/>
        <v>0</v>
      </c>
      <c r="BE29" s="1859"/>
      <c r="BF29" s="3341">
        <v>0</v>
      </c>
      <c r="BG29" s="3341">
        <v>0</v>
      </c>
      <c r="BH29" s="3349">
        <v>0</v>
      </c>
      <c r="BI29" s="3350">
        <v>0</v>
      </c>
      <c r="BJ29" s="3343"/>
      <c r="BK29" s="3341">
        <f t="shared" si="8"/>
        <v>0</v>
      </c>
      <c r="BL29" s="3341">
        <f t="shared" si="8"/>
        <v>0</v>
      </c>
      <c r="BM29" s="3349">
        <f t="shared" si="55"/>
        <v>0</v>
      </c>
      <c r="BN29" s="3350">
        <f t="shared" si="9"/>
        <v>0</v>
      </c>
      <c r="BO29" s="3343"/>
      <c r="BP29" s="3342"/>
      <c r="BQ29" s="3342"/>
      <c r="BR29" s="3519">
        <f t="shared" si="36"/>
        <v>0</v>
      </c>
      <c r="BS29" s="3432">
        <f t="shared" si="37"/>
        <v>0</v>
      </c>
      <c r="BT29" s="1859"/>
      <c r="BU29" s="3341"/>
      <c r="BV29" s="3341"/>
      <c r="BW29" s="3349">
        <f t="shared" si="38"/>
        <v>0</v>
      </c>
      <c r="BX29" s="3350">
        <f t="shared" si="10"/>
        <v>0</v>
      </c>
      <c r="BY29" s="3358"/>
      <c r="BZ29" s="3351"/>
      <c r="CA29" s="3351"/>
      <c r="CB29" s="3352">
        <f t="shared" si="39"/>
        <v>0</v>
      </c>
      <c r="CC29" s="3350">
        <f t="shared" si="11"/>
        <v>0</v>
      </c>
      <c r="CD29" s="3343"/>
      <c r="CE29" s="3351"/>
      <c r="CF29" s="3351"/>
      <c r="CG29" s="3352">
        <f t="shared" si="42"/>
        <v>0</v>
      </c>
      <c r="CH29" s="3350">
        <f t="shared" si="12"/>
        <v>0</v>
      </c>
      <c r="CI29" s="3343"/>
      <c r="CJ29" s="3341"/>
      <c r="CK29" s="3341"/>
      <c r="CL29" s="3341">
        <f t="shared" si="43"/>
        <v>0</v>
      </c>
      <c r="CM29" s="3350">
        <f t="shared" si="13"/>
        <v>0</v>
      </c>
      <c r="CN29" s="3343"/>
      <c r="CO29" s="3341"/>
      <c r="CP29" s="3341"/>
      <c r="CQ29" s="3341">
        <f t="shared" si="44"/>
        <v>0</v>
      </c>
      <c r="CR29" s="3350">
        <f t="shared" si="14"/>
        <v>0</v>
      </c>
      <c r="CS29" s="3343"/>
      <c r="CT29" s="3341"/>
      <c r="CU29" s="3341"/>
      <c r="CV29" s="3341">
        <f t="shared" si="45"/>
        <v>0</v>
      </c>
      <c r="CW29" s="3350">
        <f t="shared" si="15"/>
        <v>0</v>
      </c>
      <c r="CX29" s="3343"/>
      <c r="CY29" s="3341"/>
      <c r="CZ29" s="3341"/>
      <c r="DA29" s="3341">
        <f t="shared" si="46"/>
        <v>0</v>
      </c>
      <c r="DB29" s="3350">
        <f t="shared" si="16"/>
        <v>0</v>
      </c>
      <c r="DC29" s="3343"/>
      <c r="DD29" s="3341"/>
      <c r="DE29" s="3341"/>
      <c r="DF29" s="3341">
        <f t="shared" si="47"/>
        <v>0</v>
      </c>
      <c r="DG29" s="3350">
        <f t="shared" si="17"/>
        <v>0</v>
      </c>
      <c r="DH29" s="3493"/>
      <c r="DI29" s="3354"/>
      <c r="DJ29" s="3341"/>
      <c r="DK29" s="3341">
        <f t="shared" si="48"/>
        <v>0</v>
      </c>
      <c r="DL29" s="3350">
        <f t="shared" si="18"/>
        <v>0</v>
      </c>
      <c r="DM29" s="3493"/>
      <c r="DN29" s="3354"/>
      <c r="DO29" s="3341"/>
      <c r="DP29" s="3341">
        <f t="shared" si="49"/>
        <v>0</v>
      </c>
      <c r="DQ29" s="3350">
        <f t="shared" si="19"/>
        <v>0</v>
      </c>
      <c r="DR29" s="3343"/>
      <c r="DS29" s="3354"/>
      <c r="DT29" s="3341"/>
      <c r="DU29" s="3341">
        <f t="shared" si="50"/>
        <v>0</v>
      </c>
      <c r="DV29" s="3350">
        <f t="shared" si="20"/>
        <v>0</v>
      </c>
      <c r="DW29" s="3343"/>
      <c r="DX29" s="3354">
        <f t="shared" si="40"/>
        <v>700</v>
      </c>
      <c r="DY29" s="3354">
        <f t="shared" si="40"/>
        <v>156660</v>
      </c>
      <c r="DZ29" s="3349">
        <f t="shared" si="41"/>
        <v>157360</v>
      </c>
      <c r="EA29" s="3350" t="e">
        <f t="shared" si="4"/>
        <v>#DIV/0!</v>
      </c>
      <c r="EB29" s="3360"/>
      <c r="ED29" s="3354"/>
      <c r="EE29" s="3354"/>
      <c r="EF29" s="3489"/>
    </row>
    <row r="30" spans="1:136" s="1396" customFormat="1" ht="24">
      <c r="A30" s="1571"/>
      <c r="B30" s="3444" t="s">
        <v>62</v>
      </c>
      <c r="C30" s="3524"/>
      <c r="D30" s="3525">
        <f>140821+450</f>
        <v>141271</v>
      </c>
      <c r="E30" s="1064">
        <f t="shared" si="22"/>
        <v>141271</v>
      </c>
      <c r="F30" s="3350">
        <f t="shared" si="51"/>
        <v>5.433563389356387E-2</v>
      </c>
      <c r="G30" s="3311"/>
      <c r="H30" s="3341">
        <v>0</v>
      </c>
      <c r="I30" s="3341">
        <v>428601</v>
      </c>
      <c r="J30" s="3349">
        <f t="shared" si="23"/>
        <v>428601</v>
      </c>
      <c r="K30" s="3350">
        <f t="shared" si="52"/>
        <v>3.3725755720733087E-2</v>
      </c>
      <c r="L30" s="3360"/>
      <c r="M30" s="3490">
        <v>0</v>
      </c>
      <c r="N30" s="3490">
        <v>543073</v>
      </c>
      <c r="O30" s="3505">
        <v>543073</v>
      </c>
      <c r="P30" s="3516">
        <v>2.8177308157214604E-2</v>
      </c>
      <c r="Q30" s="1434"/>
      <c r="R30" s="3490"/>
      <c r="S30" s="3490">
        <v>60800</v>
      </c>
      <c r="T30" s="3505">
        <f t="shared" si="5"/>
        <v>60800</v>
      </c>
      <c r="U30" s="3516">
        <f t="shared" si="53"/>
        <v>4.6870614527156927E-2</v>
      </c>
      <c r="V30" s="3533"/>
      <c r="W30" s="3341"/>
      <c r="X30" s="3341">
        <f>57500+41300</f>
        <v>98800</v>
      </c>
      <c r="Y30" s="3349">
        <f t="shared" si="24"/>
        <v>98800</v>
      </c>
      <c r="Z30" s="3350">
        <f t="shared" si="54"/>
        <v>4.3705772454040379E-2</v>
      </c>
      <c r="AA30" s="1361"/>
      <c r="AB30" s="3341"/>
      <c r="AC30" s="3341"/>
      <c r="AD30" s="3349">
        <f t="shared" si="25"/>
        <v>0</v>
      </c>
      <c r="AE30" s="3350">
        <f t="shared" si="6"/>
        <v>0</v>
      </c>
      <c r="AF30" s="1361"/>
      <c r="AG30" s="3341"/>
      <c r="AH30" s="3434"/>
      <c r="AI30" s="3517">
        <f t="shared" si="26"/>
        <v>0</v>
      </c>
      <c r="AJ30" s="3509">
        <f t="shared" si="7"/>
        <v>0</v>
      </c>
      <c r="AK30" s="3531"/>
      <c r="AL30" s="3341"/>
      <c r="AM30" s="3434">
        <v>48240</v>
      </c>
      <c r="AN30" s="3517">
        <f t="shared" si="27"/>
        <v>48240</v>
      </c>
      <c r="AO30" s="3509">
        <f t="shared" si="28"/>
        <v>1.0614358132889006E-2</v>
      </c>
      <c r="AP30" s="3531"/>
      <c r="AQ30" s="3354"/>
      <c r="AR30" s="3354"/>
      <c r="AS30" s="3517">
        <f t="shared" si="29"/>
        <v>0</v>
      </c>
      <c r="AT30" s="3509">
        <f t="shared" si="30"/>
        <v>0</v>
      </c>
      <c r="AU30" s="3342"/>
      <c r="AV30" s="1331"/>
      <c r="AW30" s="1326">
        <v>30240</v>
      </c>
      <c r="AX30" s="3517">
        <f t="shared" si="31"/>
        <v>30240</v>
      </c>
      <c r="AY30" s="3509">
        <f t="shared" si="32"/>
        <v>4.7958756659703056E-3</v>
      </c>
      <c r="AZ30" s="3343" t="s">
        <v>1216</v>
      </c>
      <c r="BA30" s="3342"/>
      <c r="BB30" s="3342">
        <f>17*60*31</f>
        <v>31620</v>
      </c>
      <c r="BC30" s="3517">
        <f t="shared" si="33"/>
        <v>31620</v>
      </c>
      <c r="BD30" s="3511">
        <f t="shared" si="34"/>
        <v>4.6631151063011578E-3</v>
      </c>
      <c r="BE30" s="3512" t="s">
        <v>1233</v>
      </c>
      <c r="BF30" s="3428">
        <v>10000</v>
      </c>
      <c r="BG30" s="3341">
        <v>220840</v>
      </c>
      <c r="BH30" s="3349">
        <v>230840</v>
      </c>
      <c r="BI30" s="3350">
        <v>0.17795415555014646</v>
      </c>
      <c r="BJ30" s="3343"/>
      <c r="BK30" s="3428">
        <f t="shared" si="8"/>
        <v>0</v>
      </c>
      <c r="BL30" s="3341">
        <f t="shared" si="8"/>
        <v>0</v>
      </c>
      <c r="BM30" s="3349">
        <f t="shared" si="55"/>
        <v>0</v>
      </c>
      <c r="BN30" s="3350">
        <f t="shared" si="9"/>
        <v>0</v>
      </c>
      <c r="BO30" s="3343"/>
      <c r="BP30" s="3342"/>
      <c r="BQ30" s="3342"/>
      <c r="BR30" s="3519">
        <f t="shared" si="36"/>
        <v>0</v>
      </c>
      <c r="BS30" s="3432">
        <f t="shared" si="37"/>
        <v>0</v>
      </c>
      <c r="BT30" s="3512"/>
      <c r="BU30" s="3341"/>
      <c r="BV30" s="3341"/>
      <c r="BW30" s="3349">
        <f t="shared" si="38"/>
        <v>0</v>
      </c>
      <c r="BX30" s="3350">
        <f t="shared" si="10"/>
        <v>0</v>
      </c>
      <c r="BY30" s="3522"/>
      <c r="BZ30" s="3351"/>
      <c r="CA30" s="3351"/>
      <c r="CB30" s="3352">
        <f t="shared" si="39"/>
        <v>0</v>
      </c>
      <c r="CC30" s="3350">
        <f t="shared" si="11"/>
        <v>0</v>
      </c>
      <c r="CD30" s="3343"/>
      <c r="CE30" s="3351"/>
      <c r="CF30" s="3351"/>
      <c r="CG30" s="3352">
        <f t="shared" si="42"/>
        <v>0</v>
      </c>
      <c r="CH30" s="3350">
        <f t="shared" si="12"/>
        <v>0</v>
      </c>
      <c r="CI30" s="3343"/>
      <c r="CJ30" s="3341"/>
      <c r="CK30" s="3341"/>
      <c r="CL30" s="3341">
        <f t="shared" si="43"/>
        <v>0</v>
      </c>
      <c r="CM30" s="3350">
        <f t="shared" si="13"/>
        <v>0</v>
      </c>
      <c r="CN30" s="3343"/>
      <c r="CO30" s="3341"/>
      <c r="CP30" s="3341"/>
      <c r="CQ30" s="3341">
        <f t="shared" si="44"/>
        <v>0</v>
      </c>
      <c r="CR30" s="3350">
        <f t="shared" si="14"/>
        <v>0</v>
      </c>
      <c r="CS30" s="3343"/>
      <c r="CT30" s="3341"/>
      <c r="CU30" s="3341"/>
      <c r="CV30" s="3341">
        <f t="shared" si="45"/>
        <v>0</v>
      </c>
      <c r="CW30" s="3350">
        <f t="shared" si="15"/>
        <v>0</v>
      </c>
      <c r="CX30" s="3343"/>
      <c r="CY30" s="3341"/>
      <c r="CZ30" s="3341"/>
      <c r="DA30" s="3341">
        <f t="shared" si="46"/>
        <v>0</v>
      </c>
      <c r="DB30" s="3350">
        <f t="shared" si="16"/>
        <v>0</v>
      </c>
      <c r="DC30" s="3343"/>
      <c r="DD30" s="3341"/>
      <c r="DE30" s="3341"/>
      <c r="DF30" s="3341">
        <f t="shared" si="47"/>
        <v>0</v>
      </c>
      <c r="DG30" s="3350">
        <f t="shared" si="17"/>
        <v>0</v>
      </c>
      <c r="DH30" s="3493"/>
      <c r="DI30" s="3354"/>
      <c r="DJ30" s="3341"/>
      <c r="DK30" s="3341">
        <f t="shared" si="48"/>
        <v>0</v>
      </c>
      <c r="DL30" s="3350">
        <f t="shared" si="18"/>
        <v>0</v>
      </c>
      <c r="DM30" s="3493"/>
      <c r="DN30" s="3354"/>
      <c r="DO30" s="3341"/>
      <c r="DP30" s="3341">
        <f t="shared" si="49"/>
        <v>0</v>
      </c>
      <c r="DQ30" s="3350">
        <f t="shared" si="19"/>
        <v>0</v>
      </c>
      <c r="DR30" s="3343"/>
      <c r="DS30" s="3354"/>
      <c r="DT30" s="3341"/>
      <c r="DU30" s="3341">
        <f t="shared" si="50"/>
        <v>0</v>
      </c>
      <c r="DV30" s="3350">
        <f t="shared" si="20"/>
        <v>0</v>
      </c>
      <c r="DW30" s="3535"/>
      <c r="DX30" s="3354">
        <f t="shared" si="40"/>
        <v>10000</v>
      </c>
      <c r="DY30" s="3354">
        <f t="shared" si="40"/>
        <v>490540</v>
      </c>
      <c r="DZ30" s="3349">
        <f t="shared" si="41"/>
        <v>500540</v>
      </c>
      <c r="EA30" s="3350" t="e">
        <f t="shared" si="4"/>
        <v>#DIV/0!</v>
      </c>
      <c r="EB30" s="3360"/>
      <c r="ED30" s="1345">
        <v>284713.93</v>
      </c>
      <c r="EE30" s="3494">
        <f>ED30-BM30</f>
        <v>284713.93</v>
      </c>
      <c r="EF30" s="3334"/>
    </row>
    <row r="31" spans="1:136" s="1396" customFormat="1" ht="13.8">
      <c r="A31" s="1571"/>
      <c r="B31" s="3444" t="s">
        <v>34</v>
      </c>
      <c r="C31" s="3524">
        <f>450+14464</f>
        <v>14914</v>
      </c>
      <c r="D31" s="3525">
        <f>12002.33+700</f>
        <v>12702.33</v>
      </c>
      <c r="E31" s="1064">
        <f t="shared" si="22"/>
        <v>27616.33</v>
      </c>
      <c r="F31" s="3350">
        <f t="shared" si="51"/>
        <v>1.0621789301157666E-2</v>
      </c>
      <c r="G31" s="3311" t="s">
        <v>172</v>
      </c>
      <c r="H31" s="3341">
        <v>23120.560000000001</v>
      </c>
      <c r="I31" s="3341">
        <v>24731.1</v>
      </c>
      <c r="J31" s="3349">
        <f t="shared" si="23"/>
        <v>47851.66</v>
      </c>
      <c r="K31" s="3350">
        <f t="shared" si="52"/>
        <v>3.7653514480637585E-3</v>
      </c>
      <c r="L31" s="3360"/>
      <c r="M31" s="3490">
        <v>32366.154599999998</v>
      </c>
      <c r="N31" s="3490">
        <v>2458.2799999999997</v>
      </c>
      <c r="O31" s="3505">
        <v>34824.434600000001</v>
      </c>
      <c r="P31" s="3516">
        <v>1.8068635802644699E-3</v>
      </c>
      <c r="Q31" s="1434"/>
      <c r="R31" s="3490"/>
      <c r="S31" s="3490"/>
      <c r="T31" s="3505">
        <f t="shared" si="5"/>
        <v>0</v>
      </c>
      <c r="U31" s="3516">
        <f t="shared" si="53"/>
        <v>0</v>
      </c>
      <c r="V31" s="3536"/>
      <c r="W31" s="3341">
        <v>2891.85</v>
      </c>
      <c r="X31" s="3341"/>
      <c r="Y31" s="3349">
        <f t="shared" si="24"/>
        <v>2891.85</v>
      </c>
      <c r="Z31" s="3350">
        <f t="shared" si="54"/>
        <v>1.279256458210695E-3</v>
      </c>
      <c r="AA31" s="1361" t="s">
        <v>1048</v>
      </c>
      <c r="AB31" s="3341"/>
      <c r="AC31" s="3341"/>
      <c r="AD31" s="3349">
        <f t="shared" si="25"/>
        <v>0</v>
      </c>
      <c r="AE31" s="3350">
        <f t="shared" si="6"/>
        <v>0</v>
      </c>
      <c r="AF31" s="3363"/>
      <c r="AG31" s="3341"/>
      <c r="AH31" s="3434"/>
      <c r="AI31" s="3517">
        <f t="shared" si="26"/>
        <v>0</v>
      </c>
      <c r="AJ31" s="3509">
        <f t="shared" si="7"/>
        <v>0</v>
      </c>
      <c r="AK31" s="3531"/>
      <c r="AL31" s="3349"/>
      <c r="AM31" s="3434"/>
      <c r="AN31" s="3517">
        <f t="shared" si="27"/>
        <v>0</v>
      </c>
      <c r="AO31" s="3509">
        <f t="shared" si="28"/>
        <v>0</v>
      </c>
      <c r="AP31" s="3531"/>
      <c r="AQ31" s="3354"/>
      <c r="AR31" s="3354"/>
      <c r="AS31" s="3517">
        <f t="shared" si="29"/>
        <v>0</v>
      </c>
      <c r="AT31" s="3509">
        <f t="shared" si="30"/>
        <v>0</v>
      </c>
      <c r="AU31" s="3342"/>
      <c r="AV31" s="1326"/>
      <c r="AW31" s="1331"/>
      <c r="AX31" s="3517">
        <f t="shared" si="31"/>
        <v>0</v>
      </c>
      <c r="AY31" s="3509">
        <f t="shared" si="32"/>
        <v>0</v>
      </c>
      <c r="AZ31" s="3343"/>
      <c r="BA31" s="3342">
        <v>148300</v>
      </c>
      <c r="BB31" s="1361"/>
      <c r="BC31" s="3517">
        <f t="shared" si="33"/>
        <v>148300</v>
      </c>
      <c r="BD31" s="3511">
        <f t="shared" si="34"/>
        <v>2.1870334290463686E-2</v>
      </c>
      <c r="BE31" s="1860" t="s">
        <v>1242</v>
      </c>
      <c r="BF31" s="3354">
        <v>0</v>
      </c>
      <c r="BG31" s="3341">
        <v>612.05999999999995</v>
      </c>
      <c r="BH31" s="3349">
        <v>612.05999999999995</v>
      </c>
      <c r="BI31" s="3350">
        <v>4.7183599222848138E-4</v>
      </c>
      <c r="BJ31" s="3343"/>
      <c r="BK31" s="3354">
        <f t="shared" si="8"/>
        <v>0</v>
      </c>
      <c r="BL31" s="3341">
        <f>BQ31+BV31+CA31+CF31+CK31+CP31+CU31+CZ31+DE31+DJ31+DO31+DT31</f>
        <v>0</v>
      </c>
      <c r="BM31" s="3349">
        <f t="shared" si="55"/>
        <v>0</v>
      </c>
      <c r="BN31" s="3350">
        <f t="shared" si="9"/>
        <v>0</v>
      </c>
      <c r="BO31" s="3343"/>
      <c r="BP31" s="3342"/>
      <c r="BQ31" s="1361"/>
      <c r="BR31" s="3519">
        <f t="shared" si="36"/>
        <v>0</v>
      </c>
      <c r="BS31" s="3432">
        <f t="shared" si="37"/>
        <v>0</v>
      </c>
      <c r="BT31" s="1860"/>
      <c r="BU31" s="3341"/>
      <c r="BV31" s="3341"/>
      <c r="BW31" s="3349">
        <f t="shared" si="38"/>
        <v>0</v>
      </c>
      <c r="BX31" s="3350">
        <f t="shared" si="10"/>
        <v>0</v>
      </c>
      <c r="BY31" s="3361"/>
      <c r="BZ31" s="3351"/>
      <c r="CA31" s="3351"/>
      <c r="CB31" s="3352">
        <f t="shared" si="39"/>
        <v>0</v>
      </c>
      <c r="CC31" s="3350">
        <f t="shared" si="11"/>
        <v>0</v>
      </c>
      <c r="CD31" s="3343"/>
      <c r="CE31" s="3351"/>
      <c r="CF31" s="3351"/>
      <c r="CG31" s="3352">
        <f t="shared" si="42"/>
        <v>0</v>
      </c>
      <c r="CH31" s="3350">
        <f t="shared" si="12"/>
        <v>0</v>
      </c>
      <c r="CI31" s="3343"/>
      <c r="CJ31" s="3341"/>
      <c r="CK31" s="3341"/>
      <c r="CL31" s="3341">
        <f t="shared" si="43"/>
        <v>0</v>
      </c>
      <c r="CM31" s="3350">
        <f t="shared" si="13"/>
        <v>0</v>
      </c>
      <c r="CN31" s="3362"/>
      <c r="CO31" s="3341"/>
      <c r="CP31" s="3341"/>
      <c r="CQ31" s="3341">
        <f t="shared" si="44"/>
        <v>0</v>
      </c>
      <c r="CR31" s="3350">
        <f t="shared" si="14"/>
        <v>0</v>
      </c>
      <c r="CS31" s="3362"/>
      <c r="CT31" s="3341"/>
      <c r="CU31" s="3341"/>
      <c r="CV31" s="3341">
        <f t="shared" si="45"/>
        <v>0</v>
      </c>
      <c r="CW31" s="3350">
        <f t="shared" si="15"/>
        <v>0</v>
      </c>
      <c r="CX31" s="3362"/>
      <c r="CY31" s="3341"/>
      <c r="CZ31" s="3341"/>
      <c r="DA31" s="3341">
        <f t="shared" si="46"/>
        <v>0</v>
      </c>
      <c r="DB31" s="3350">
        <f t="shared" si="16"/>
        <v>0</v>
      </c>
      <c r="DC31" s="3343"/>
      <c r="DD31" s="3341"/>
      <c r="DE31" s="3341"/>
      <c r="DF31" s="3341">
        <f t="shared" si="47"/>
        <v>0</v>
      </c>
      <c r="DG31" s="3350">
        <f t="shared" si="17"/>
        <v>0</v>
      </c>
      <c r="DH31" s="3119"/>
      <c r="DI31" s="3354"/>
      <c r="DJ31" s="3341"/>
      <c r="DK31" s="3341">
        <f t="shared" si="48"/>
        <v>0</v>
      </c>
      <c r="DL31" s="3350">
        <f t="shared" si="18"/>
        <v>0</v>
      </c>
      <c r="DM31" s="3119"/>
      <c r="DN31" s="3354"/>
      <c r="DO31" s="3341"/>
      <c r="DP31" s="3341">
        <f t="shared" si="49"/>
        <v>0</v>
      </c>
      <c r="DQ31" s="3350">
        <f t="shared" si="19"/>
        <v>0</v>
      </c>
      <c r="DR31" s="1148"/>
      <c r="DS31" s="3354"/>
      <c r="DT31" s="3341"/>
      <c r="DU31" s="3341">
        <f t="shared" si="50"/>
        <v>0</v>
      </c>
      <c r="DV31" s="3350">
        <f t="shared" si="20"/>
        <v>0</v>
      </c>
      <c r="DW31" s="3312"/>
      <c r="DX31" s="3354">
        <f t="shared" si="40"/>
        <v>151191.85</v>
      </c>
      <c r="DY31" s="3354">
        <f t="shared" si="40"/>
        <v>612.05999999999995</v>
      </c>
      <c r="DZ31" s="3349">
        <f t="shared" si="41"/>
        <v>151803.91</v>
      </c>
      <c r="EA31" s="3350" t="e">
        <f t="shared" si="4"/>
        <v>#DIV/0!</v>
      </c>
      <c r="EB31" s="3360"/>
      <c r="ED31" s="3354"/>
      <c r="EE31" s="3494">
        <f>ED31-BM31</f>
        <v>0</v>
      </c>
      <c r="EF31" s="3489"/>
    </row>
    <row r="32" spans="1:136" s="1396" customFormat="1" ht="36" customHeight="1">
      <c r="A32" s="1571"/>
      <c r="B32" s="3446" t="s">
        <v>2</v>
      </c>
      <c r="C32" s="3524"/>
      <c r="D32" s="3537"/>
      <c r="E32" s="1064">
        <f t="shared" si="22"/>
        <v>0</v>
      </c>
      <c r="F32" s="3350">
        <f t="shared" si="51"/>
        <v>0</v>
      </c>
      <c r="G32" s="3311"/>
      <c r="H32" s="3341">
        <v>2800</v>
      </c>
      <c r="I32" s="3341">
        <v>0</v>
      </c>
      <c r="J32" s="3349">
        <f t="shared" si="23"/>
        <v>2800</v>
      </c>
      <c r="K32" s="3350">
        <f t="shared" si="52"/>
        <v>2.2032640152041795E-4</v>
      </c>
      <c r="L32" s="3360"/>
      <c r="M32" s="3490">
        <v>0</v>
      </c>
      <c r="N32" s="3490">
        <v>0</v>
      </c>
      <c r="O32" s="3505">
        <v>0</v>
      </c>
      <c r="P32" s="3516">
        <v>0</v>
      </c>
      <c r="Q32" s="1434"/>
      <c r="R32" s="3490"/>
      <c r="S32" s="3490"/>
      <c r="T32" s="3505">
        <f t="shared" si="5"/>
        <v>0</v>
      </c>
      <c r="U32" s="3516">
        <f t="shared" si="53"/>
        <v>0</v>
      </c>
      <c r="V32" s="3533"/>
      <c r="W32" s="3341"/>
      <c r="X32" s="3341"/>
      <c r="Y32" s="3349">
        <f t="shared" si="24"/>
        <v>0</v>
      </c>
      <c r="Z32" s="3350">
        <f>Y32/$T$89</f>
        <v>0</v>
      </c>
      <c r="AA32" s="3361"/>
      <c r="AB32" s="3341"/>
      <c r="AC32" s="3341"/>
      <c r="AD32" s="3349">
        <f t="shared" si="25"/>
        <v>0</v>
      </c>
      <c r="AE32" s="3350">
        <f t="shared" si="6"/>
        <v>0</v>
      </c>
      <c r="AF32" s="3361"/>
      <c r="AG32" s="3341"/>
      <c r="AH32" s="3434"/>
      <c r="AI32" s="3517">
        <f t="shared" si="26"/>
        <v>0</v>
      </c>
      <c r="AJ32" s="3509">
        <f t="shared" si="7"/>
        <v>0</v>
      </c>
      <c r="AK32" s="3518"/>
      <c r="AL32" s="3341"/>
      <c r="AM32" s="3434"/>
      <c r="AN32" s="3517">
        <f t="shared" si="27"/>
        <v>0</v>
      </c>
      <c r="AO32" s="3509">
        <f t="shared" si="28"/>
        <v>0</v>
      </c>
      <c r="AP32" s="3518"/>
      <c r="AQ32" s="3354"/>
      <c r="AR32" s="3354"/>
      <c r="AS32" s="3517">
        <f t="shared" si="29"/>
        <v>0</v>
      </c>
      <c r="AT32" s="3509">
        <f t="shared" si="30"/>
        <v>0</v>
      </c>
      <c r="AU32" s="3342"/>
      <c r="AV32" s="1328"/>
      <c r="AW32" s="1328"/>
      <c r="AX32" s="3517">
        <f t="shared" si="31"/>
        <v>0</v>
      </c>
      <c r="AY32" s="3509">
        <f t="shared" si="32"/>
        <v>0</v>
      </c>
      <c r="AZ32" s="3343"/>
      <c r="BA32" s="3342"/>
      <c r="BB32" s="1593"/>
      <c r="BC32" s="3517">
        <f t="shared" si="33"/>
        <v>0</v>
      </c>
      <c r="BD32" s="3511">
        <f t="shared" si="34"/>
        <v>0</v>
      </c>
      <c r="BE32" s="1859"/>
      <c r="BF32" s="3354">
        <v>15746.07</v>
      </c>
      <c r="BG32" s="3341">
        <v>0</v>
      </c>
      <c r="BH32" s="3349">
        <v>15746.07</v>
      </c>
      <c r="BI32" s="3350">
        <v>1.2138618047493912E-2</v>
      </c>
      <c r="BJ32" s="3343"/>
      <c r="BK32" s="3354">
        <f t="shared" si="8"/>
        <v>0</v>
      </c>
      <c r="BL32" s="3341">
        <f t="shared" si="8"/>
        <v>0</v>
      </c>
      <c r="BM32" s="3349">
        <f t="shared" si="55"/>
        <v>0</v>
      </c>
      <c r="BN32" s="3350">
        <f t="shared" si="9"/>
        <v>0</v>
      </c>
      <c r="BO32" s="3343"/>
      <c r="BP32" s="3342"/>
      <c r="BQ32" s="1593"/>
      <c r="BR32" s="3519">
        <f t="shared" si="36"/>
        <v>0</v>
      </c>
      <c r="BS32" s="3432">
        <f t="shared" si="37"/>
        <v>0</v>
      </c>
      <c r="BT32" s="1859"/>
      <c r="BU32" s="3341"/>
      <c r="BV32" s="3341"/>
      <c r="BW32" s="3349">
        <f t="shared" si="38"/>
        <v>0</v>
      </c>
      <c r="BX32" s="3350">
        <f t="shared" si="10"/>
        <v>0</v>
      </c>
      <c r="BY32" s="3343"/>
      <c r="BZ32" s="3351"/>
      <c r="CA32" s="3351"/>
      <c r="CB32" s="3352">
        <f t="shared" si="39"/>
        <v>0</v>
      </c>
      <c r="CC32" s="3350">
        <f t="shared" si="11"/>
        <v>0</v>
      </c>
      <c r="CD32" s="3343"/>
      <c r="CE32" s="3351"/>
      <c r="CF32" s="3351"/>
      <c r="CG32" s="3352">
        <f t="shared" si="42"/>
        <v>0</v>
      </c>
      <c r="CH32" s="3350">
        <f t="shared" si="12"/>
        <v>0</v>
      </c>
      <c r="CI32" s="3343"/>
      <c r="CJ32" s="3341"/>
      <c r="CK32" s="3341"/>
      <c r="CL32" s="3341">
        <f t="shared" si="43"/>
        <v>0</v>
      </c>
      <c r="CM32" s="3350">
        <f t="shared" si="13"/>
        <v>0</v>
      </c>
      <c r="CN32" s="3356"/>
      <c r="CO32" s="3341"/>
      <c r="CP32" s="3341"/>
      <c r="CQ32" s="3341">
        <f t="shared" si="44"/>
        <v>0</v>
      </c>
      <c r="CR32" s="3350">
        <f t="shared" si="14"/>
        <v>0</v>
      </c>
      <c r="CS32" s="3356"/>
      <c r="CT32" s="3341"/>
      <c r="CU32" s="3341"/>
      <c r="CV32" s="3341">
        <f t="shared" si="45"/>
        <v>0</v>
      </c>
      <c r="CW32" s="3350">
        <f t="shared" si="15"/>
        <v>0</v>
      </c>
      <c r="CX32" s="3356"/>
      <c r="CY32" s="3341"/>
      <c r="CZ32" s="3341"/>
      <c r="DA32" s="3341">
        <f t="shared" si="46"/>
        <v>0</v>
      </c>
      <c r="DB32" s="3350">
        <f t="shared" si="16"/>
        <v>0</v>
      </c>
      <c r="DC32" s="3356"/>
      <c r="DD32" s="3341"/>
      <c r="DE32" s="3341"/>
      <c r="DF32" s="3341">
        <f t="shared" si="47"/>
        <v>0</v>
      </c>
      <c r="DG32" s="3350">
        <f t="shared" si="17"/>
        <v>0</v>
      </c>
      <c r="DH32" s="3538"/>
      <c r="DI32" s="3354"/>
      <c r="DJ32" s="3341"/>
      <c r="DK32" s="3341">
        <f t="shared" si="48"/>
        <v>0</v>
      </c>
      <c r="DL32" s="3350">
        <f t="shared" si="18"/>
        <v>0</v>
      </c>
      <c r="DM32" s="3538"/>
      <c r="DN32" s="3354"/>
      <c r="DO32" s="3341"/>
      <c r="DP32" s="3341">
        <f t="shared" si="49"/>
        <v>0</v>
      </c>
      <c r="DQ32" s="3350">
        <f t="shared" si="19"/>
        <v>0</v>
      </c>
      <c r="DR32" s="3356"/>
      <c r="DS32" s="3354"/>
      <c r="DT32" s="3341"/>
      <c r="DU32" s="3341">
        <f t="shared" si="50"/>
        <v>0</v>
      </c>
      <c r="DV32" s="3350">
        <f t="shared" si="20"/>
        <v>0</v>
      </c>
      <c r="DW32" s="3512"/>
      <c r="DX32" s="3354">
        <f t="shared" si="40"/>
        <v>15746.07</v>
      </c>
      <c r="DY32" s="3354">
        <f t="shared" si="40"/>
        <v>0</v>
      </c>
      <c r="DZ32" s="3349">
        <f t="shared" si="41"/>
        <v>15746.07</v>
      </c>
      <c r="EA32" s="3350" t="e">
        <f t="shared" si="4"/>
        <v>#DIV/0!</v>
      </c>
      <c r="EB32" s="3360"/>
      <c r="ED32" s="1345">
        <v>27730.66</v>
      </c>
      <c r="EE32" s="3494">
        <f>ED32-BM32</f>
        <v>27730.66</v>
      </c>
      <c r="EF32" s="3334"/>
    </row>
    <row r="33" spans="1:136" s="1396" customFormat="1" ht="28.95" customHeight="1" thickBot="1">
      <c r="A33" s="1571"/>
      <c r="B33" s="2834" t="s">
        <v>75</v>
      </c>
      <c r="C33" s="3539"/>
      <c r="D33" s="3540"/>
      <c r="E33" s="510">
        <f t="shared" si="22"/>
        <v>0</v>
      </c>
      <c r="F33" s="2862">
        <f t="shared" si="51"/>
        <v>0</v>
      </c>
      <c r="G33" s="511"/>
      <c r="H33" s="3375">
        <v>0</v>
      </c>
      <c r="I33" s="3375">
        <v>4500</v>
      </c>
      <c r="J33" s="3367">
        <f t="shared" si="23"/>
        <v>4500</v>
      </c>
      <c r="K33" s="2862">
        <f t="shared" si="52"/>
        <v>3.5409600244352887E-4</v>
      </c>
      <c r="L33" s="2864"/>
      <c r="M33" s="3541">
        <v>0</v>
      </c>
      <c r="N33" s="3541">
        <v>0</v>
      </c>
      <c r="O33" s="3542">
        <v>0</v>
      </c>
      <c r="P33" s="3543">
        <v>0</v>
      </c>
      <c r="Q33" s="913"/>
      <c r="R33" s="3541"/>
      <c r="S33" s="3541"/>
      <c r="T33" s="3542">
        <f t="shared" si="5"/>
        <v>0</v>
      </c>
      <c r="U33" s="3543">
        <f t="shared" si="53"/>
        <v>0</v>
      </c>
      <c r="V33" s="3544"/>
      <c r="W33" s="3375"/>
      <c r="X33" s="3375"/>
      <c r="Y33" s="3367">
        <f t="shared" si="24"/>
        <v>0</v>
      </c>
      <c r="Z33" s="2862">
        <f>Y33/$T$89</f>
        <v>0</v>
      </c>
      <c r="AA33" s="2863"/>
      <c r="AB33" s="3375"/>
      <c r="AC33" s="3375">
        <v>166493</v>
      </c>
      <c r="AD33" s="3367">
        <f t="shared" si="25"/>
        <v>166493</v>
      </c>
      <c r="AE33" s="2862">
        <f t="shared" si="6"/>
        <v>0.19864432842628979</v>
      </c>
      <c r="AF33" s="3545" t="s">
        <v>1069</v>
      </c>
      <c r="AG33" s="3364"/>
      <c r="AH33" s="3546"/>
      <c r="AI33" s="3547">
        <f t="shared" si="26"/>
        <v>0</v>
      </c>
      <c r="AJ33" s="3548">
        <f t="shared" si="7"/>
        <v>0</v>
      </c>
      <c r="AK33" s="3549"/>
      <c r="AL33" s="3375"/>
      <c r="AM33" s="3550"/>
      <c r="AN33" s="3547">
        <f t="shared" si="27"/>
        <v>0</v>
      </c>
      <c r="AO33" s="3548">
        <f t="shared" si="28"/>
        <v>0</v>
      </c>
      <c r="AP33" s="3551"/>
      <c r="AQ33" s="3383"/>
      <c r="AR33" s="3383">
        <v>9000</v>
      </c>
      <c r="AS33" s="3547">
        <f t="shared" si="29"/>
        <v>9000</v>
      </c>
      <c r="AT33" s="3548">
        <f t="shared" si="30"/>
        <v>1.4273439482054479E-3</v>
      </c>
      <c r="AU33" s="3545" t="s">
        <v>1167</v>
      </c>
      <c r="AV33" s="1332"/>
      <c r="AW33" s="1332"/>
      <c r="AX33" s="3547">
        <f t="shared" si="31"/>
        <v>0</v>
      </c>
      <c r="AY33" s="3548">
        <f t="shared" si="32"/>
        <v>0</v>
      </c>
      <c r="AZ33" s="1320"/>
      <c r="BA33" s="1320"/>
      <c r="BB33" s="1320"/>
      <c r="BC33" s="3547">
        <f t="shared" si="33"/>
        <v>0</v>
      </c>
      <c r="BD33" s="3552">
        <f t="shared" si="34"/>
        <v>0</v>
      </c>
      <c r="BE33" s="1861"/>
      <c r="BF33" s="3354">
        <v>0</v>
      </c>
      <c r="BG33" s="3341">
        <v>0</v>
      </c>
      <c r="BH33" s="3411">
        <v>0</v>
      </c>
      <c r="BI33" s="3303">
        <v>0</v>
      </c>
      <c r="BJ33" s="3343"/>
      <c r="BK33" s="3354">
        <f t="shared" si="8"/>
        <v>0</v>
      </c>
      <c r="BL33" s="3341">
        <f t="shared" si="8"/>
        <v>0</v>
      </c>
      <c r="BM33" s="3411">
        <f t="shared" si="55"/>
        <v>0</v>
      </c>
      <c r="BN33" s="3303">
        <f t="shared" si="9"/>
        <v>0</v>
      </c>
      <c r="BO33" s="3343"/>
      <c r="BP33" s="1320"/>
      <c r="BQ33" s="1320"/>
      <c r="BR33" s="3553">
        <f t="shared" si="36"/>
        <v>0</v>
      </c>
      <c r="BS33" s="3005">
        <f t="shared" si="37"/>
        <v>0</v>
      </c>
      <c r="BT33" s="1861"/>
      <c r="BU33" s="3375"/>
      <c r="BV33" s="3375"/>
      <c r="BW33" s="3367">
        <f t="shared" si="38"/>
        <v>0</v>
      </c>
      <c r="BX33" s="3005">
        <f t="shared" si="10"/>
        <v>0</v>
      </c>
      <c r="BY33" s="2864"/>
      <c r="BZ33" s="3412"/>
      <c r="CA33" s="3412"/>
      <c r="CB33" s="3413">
        <f t="shared" si="39"/>
        <v>0</v>
      </c>
      <c r="CC33" s="3303">
        <f t="shared" si="11"/>
        <v>0</v>
      </c>
      <c r="CD33" s="3194"/>
      <c r="CE33" s="3412"/>
      <c r="CF33" s="3412"/>
      <c r="CG33" s="3413">
        <f t="shared" si="42"/>
        <v>0</v>
      </c>
      <c r="CH33" s="3005">
        <f t="shared" si="12"/>
        <v>0</v>
      </c>
      <c r="CI33" s="3554"/>
      <c r="CJ33" s="3412"/>
      <c r="CK33" s="3412"/>
      <c r="CL33" s="3413">
        <f t="shared" si="43"/>
        <v>0</v>
      </c>
      <c r="CM33" s="3303">
        <f t="shared" si="13"/>
        <v>0</v>
      </c>
      <c r="CN33" s="3194"/>
      <c r="CO33" s="3412"/>
      <c r="CP33" s="3412"/>
      <c r="CQ33" s="3412">
        <f t="shared" si="44"/>
        <v>0</v>
      </c>
      <c r="CR33" s="3303">
        <f t="shared" si="14"/>
        <v>0</v>
      </c>
      <c r="CS33" s="3194"/>
      <c r="CT33" s="3412"/>
      <c r="CU33" s="3412"/>
      <c r="CV33" s="3412">
        <f t="shared" si="45"/>
        <v>0</v>
      </c>
      <c r="CW33" s="3303">
        <f t="shared" si="15"/>
        <v>0</v>
      </c>
      <c r="CX33" s="3194"/>
      <c r="CY33" s="3412"/>
      <c r="CZ33" s="3412"/>
      <c r="DA33" s="3412">
        <f t="shared" si="46"/>
        <v>0</v>
      </c>
      <c r="DB33" s="3303">
        <f t="shared" si="16"/>
        <v>0</v>
      </c>
      <c r="DC33" s="3194"/>
      <c r="DD33" s="3412"/>
      <c r="DE33" s="3412"/>
      <c r="DF33" s="3412">
        <f t="shared" si="47"/>
        <v>0</v>
      </c>
      <c r="DG33" s="3303">
        <f t="shared" si="17"/>
        <v>0</v>
      </c>
      <c r="DH33" s="3555"/>
      <c r="DI33" s="3556"/>
      <c r="DJ33" s="3412"/>
      <c r="DK33" s="3412">
        <f t="shared" si="48"/>
        <v>0</v>
      </c>
      <c r="DL33" s="3303">
        <f t="shared" si="18"/>
        <v>0</v>
      </c>
      <c r="DM33" s="3555"/>
      <c r="DN33" s="3556"/>
      <c r="DO33" s="3412"/>
      <c r="DP33" s="3412">
        <f t="shared" si="49"/>
        <v>0</v>
      </c>
      <c r="DQ33" s="3303">
        <f t="shared" si="19"/>
        <v>0</v>
      </c>
      <c r="DR33" s="3557"/>
      <c r="DS33" s="3556"/>
      <c r="DT33" s="3412"/>
      <c r="DU33" s="3412">
        <f t="shared" si="50"/>
        <v>0</v>
      </c>
      <c r="DV33" s="3303">
        <f t="shared" si="20"/>
        <v>0</v>
      </c>
      <c r="DW33" s="3558"/>
      <c r="DX33" s="3364">
        <f t="shared" si="40"/>
        <v>0</v>
      </c>
      <c r="DY33" s="3364">
        <f t="shared" si="40"/>
        <v>175493</v>
      </c>
      <c r="DZ33" s="3366">
        <f t="shared" si="41"/>
        <v>175493</v>
      </c>
      <c r="EA33" s="2862" t="e">
        <f t="shared" si="4"/>
        <v>#DIV/0!</v>
      </c>
      <c r="EB33" s="2864"/>
      <c r="ED33" s="3354"/>
      <c r="EE33" s="3354"/>
      <c r="EF33" s="3489"/>
    </row>
    <row r="34" spans="1:136" s="1396" customFormat="1" ht="13.8">
      <c r="A34" s="1571"/>
      <c r="B34" s="1616"/>
      <c r="C34" s="3559"/>
      <c r="D34" s="3368"/>
      <c r="E34" s="3368"/>
      <c r="F34" s="1158">
        <f t="shared" si="51"/>
        <v>0</v>
      </c>
      <c r="G34" s="3314"/>
      <c r="H34" s="3368"/>
      <c r="I34" s="3368"/>
      <c r="J34" s="3368"/>
      <c r="K34" s="3368"/>
      <c r="L34" s="3368"/>
      <c r="M34" s="3490"/>
      <c r="N34" s="3490"/>
      <c r="O34" s="3560"/>
      <c r="P34" s="3560"/>
      <c r="Q34" s="3368"/>
      <c r="R34" s="3490"/>
      <c r="S34" s="3490"/>
      <c r="T34" s="3560"/>
      <c r="U34" s="3560"/>
      <c r="V34" s="3560"/>
      <c r="W34" s="3341"/>
      <c r="X34" s="3341"/>
      <c r="Y34" s="3368"/>
      <c r="Z34" s="3368"/>
      <c r="AA34" s="3368"/>
      <c r="AB34" s="3341"/>
      <c r="AC34" s="3341"/>
      <c r="AD34" s="3368"/>
      <c r="AE34" s="3368"/>
      <c r="AF34" s="3561"/>
      <c r="AG34" s="3562"/>
      <c r="AH34" s="3563"/>
      <c r="AI34" s="3564"/>
      <c r="AJ34" s="624"/>
      <c r="AK34" s="3565"/>
      <c r="AL34" s="3562"/>
      <c r="AM34" s="3563"/>
      <c r="AN34" s="3564"/>
      <c r="AO34" s="624">
        <f t="shared" ref="AO34:AO40" si="56">AN34/$AI$89</f>
        <v>0</v>
      </c>
      <c r="AP34" s="3565"/>
      <c r="AQ34" s="3368"/>
      <c r="AR34" s="3368"/>
      <c r="AS34" s="3564"/>
      <c r="AT34" s="624">
        <f t="shared" ref="AT34:AT40" si="57">AS34/$AI$89</f>
        <v>0</v>
      </c>
      <c r="AU34" s="3368"/>
      <c r="AV34" s="3449"/>
      <c r="AW34" s="3566"/>
      <c r="AX34" s="3564"/>
      <c r="AY34" s="624">
        <f>AX34/$AI$89</f>
        <v>0</v>
      </c>
      <c r="AZ34" s="3414"/>
      <c r="BA34" s="3368"/>
      <c r="BB34" s="3368"/>
      <c r="BC34" s="3564"/>
      <c r="BD34" s="1347">
        <f t="shared" si="34"/>
        <v>0</v>
      </c>
      <c r="BE34" s="3559"/>
      <c r="BF34" s="3346"/>
      <c r="BG34" s="3347"/>
      <c r="BH34" s="3414"/>
      <c r="BI34" s="3414"/>
      <c r="BJ34" s="3414"/>
      <c r="BK34" s="3346"/>
      <c r="BL34" s="3347"/>
      <c r="BM34" s="3414"/>
      <c r="BN34" s="3414"/>
      <c r="BO34" s="3414"/>
      <c r="BP34" s="3368"/>
      <c r="BQ34" s="3368"/>
      <c r="BR34" s="3567"/>
      <c r="BS34" s="3559">
        <f t="shared" si="37"/>
        <v>0</v>
      </c>
      <c r="BT34" s="3559"/>
      <c r="BU34" s="3341"/>
      <c r="BV34" s="3341"/>
      <c r="BW34" s="3368"/>
      <c r="BX34" s="3368"/>
      <c r="BY34" s="3368"/>
      <c r="BZ34" s="3341"/>
      <c r="CA34" s="3341"/>
      <c r="CB34" s="3368"/>
      <c r="CC34" s="3414"/>
      <c r="CD34" s="3368"/>
      <c r="CE34" s="3341"/>
      <c r="CF34" s="3341"/>
      <c r="CG34" s="3368"/>
      <c r="CH34" s="3368"/>
      <c r="CI34" s="3343"/>
      <c r="CJ34" s="3341"/>
      <c r="CK34" s="3341"/>
      <c r="CL34" s="3368"/>
      <c r="CM34" s="3414"/>
      <c r="CN34" s="3368"/>
      <c r="CO34" s="3341"/>
      <c r="CP34" s="3341"/>
      <c r="CQ34" s="3341">
        <f t="shared" si="44"/>
        <v>0</v>
      </c>
      <c r="CR34" s="3414"/>
      <c r="CS34" s="3368"/>
      <c r="CT34" s="3341"/>
      <c r="CU34" s="3341"/>
      <c r="CV34" s="3341">
        <f t="shared" si="45"/>
        <v>0</v>
      </c>
      <c r="CW34" s="3414"/>
      <c r="CX34" s="3368"/>
      <c r="CY34" s="3341"/>
      <c r="CZ34" s="3341"/>
      <c r="DA34" s="3341">
        <f t="shared" si="46"/>
        <v>0</v>
      </c>
      <c r="DB34" s="3414"/>
      <c r="DC34" s="3368"/>
      <c r="DD34" s="3341"/>
      <c r="DE34" s="3341"/>
      <c r="DF34" s="3341">
        <f t="shared" si="47"/>
        <v>0</v>
      </c>
      <c r="DG34" s="3414"/>
      <c r="DH34" s="3561"/>
      <c r="DI34" s="3354"/>
      <c r="DJ34" s="3341"/>
      <c r="DK34" s="3341">
        <f t="shared" si="48"/>
        <v>0</v>
      </c>
      <c r="DL34" s="3414"/>
      <c r="DM34" s="3561"/>
      <c r="DN34" s="3354"/>
      <c r="DO34" s="3341"/>
      <c r="DP34" s="3341">
        <f t="shared" si="49"/>
        <v>0</v>
      </c>
      <c r="DQ34" s="3414"/>
      <c r="DR34" s="3368"/>
      <c r="DS34" s="3354"/>
      <c r="DT34" s="3341"/>
      <c r="DU34" s="3341">
        <f t="shared" si="50"/>
        <v>0</v>
      </c>
      <c r="DV34" s="3414"/>
      <c r="DW34" s="3559"/>
      <c r="DX34" s="3354">
        <f>R34+W34+AB34+AG34+AL34+AQ34+AV34+BA34+BP34+BU34+BZ34+CE34+CJ34+CO34+CT34</f>
        <v>0</v>
      </c>
      <c r="DY34" s="3341">
        <f>S34+X34+AC34+AH34+AM34+AR34+AW34+BB34+BQ34+BV34+CA34+CF34+CK34+CP34+CU34</f>
        <v>0</v>
      </c>
      <c r="DZ34" s="3368"/>
      <c r="EA34" s="3368"/>
      <c r="EB34" s="3368"/>
      <c r="ED34" s="3354"/>
      <c r="EE34" s="3354"/>
      <c r="EF34" s="3489"/>
    </row>
    <row r="35" spans="1:136" s="2466" customFormat="1" ht="13.8">
      <c r="A35" s="1571"/>
      <c r="B35" s="3369" t="s">
        <v>80</v>
      </c>
      <c r="C35" s="3370">
        <f>C36</f>
        <v>0</v>
      </c>
      <c r="D35" s="3370">
        <f>D36</f>
        <v>0</v>
      </c>
      <c r="E35" s="3371">
        <f>E36</f>
        <v>0</v>
      </c>
      <c r="F35" s="3568">
        <f t="shared" si="51"/>
        <v>0</v>
      </c>
      <c r="G35" s="3569"/>
      <c r="H35" s="3370">
        <f>H36</f>
        <v>0</v>
      </c>
      <c r="I35" s="3370">
        <f>I36</f>
        <v>0</v>
      </c>
      <c r="J35" s="3371">
        <f>J36</f>
        <v>0</v>
      </c>
      <c r="K35" s="3371"/>
      <c r="L35" s="3371"/>
      <c r="M35" s="3570">
        <v>0</v>
      </c>
      <c r="N35" s="3570">
        <v>0</v>
      </c>
      <c r="O35" s="3571">
        <v>0</v>
      </c>
      <c r="P35" s="3571"/>
      <c r="Q35" s="3370"/>
      <c r="R35" s="3570">
        <f>R36</f>
        <v>0</v>
      </c>
      <c r="S35" s="3570">
        <f>S36</f>
        <v>0</v>
      </c>
      <c r="T35" s="3571">
        <f>T36</f>
        <v>0</v>
      </c>
      <c r="U35" s="3571"/>
      <c r="V35" s="3571"/>
      <c r="W35" s="3370">
        <f>W36</f>
        <v>0</v>
      </c>
      <c r="X35" s="3370">
        <f>X36</f>
        <v>0</v>
      </c>
      <c r="Y35" s="3371">
        <f>Y36</f>
        <v>0</v>
      </c>
      <c r="Z35" s="3371"/>
      <c r="AA35" s="3371"/>
      <c r="AB35" s="3370">
        <f>AB36</f>
        <v>0</v>
      </c>
      <c r="AC35" s="3370">
        <f>AC36</f>
        <v>0</v>
      </c>
      <c r="AD35" s="3371">
        <f>AD36</f>
        <v>0</v>
      </c>
      <c r="AE35" s="3371"/>
      <c r="AF35" s="3370"/>
      <c r="AG35" s="3572">
        <f>AG36</f>
        <v>0</v>
      </c>
      <c r="AH35" s="3573">
        <f>AH36</f>
        <v>0</v>
      </c>
      <c r="AI35" s="3573">
        <f>AI36</f>
        <v>0</v>
      </c>
      <c r="AJ35" s="3574">
        <f t="shared" si="7"/>
        <v>0</v>
      </c>
      <c r="AK35" s="3575"/>
      <c r="AL35" s="3572">
        <f>AL36</f>
        <v>144616</v>
      </c>
      <c r="AM35" s="3573">
        <f>AM36</f>
        <v>0</v>
      </c>
      <c r="AN35" s="3573">
        <f>AN36</f>
        <v>144616</v>
      </c>
      <c r="AO35" s="3574">
        <f t="shared" si="56"/>
        <v>0.1336949503996599</v>
      </c>
      <c r="AP35" s="3575"/>
      <c r="AQ35" s="3422"/>
      <c r="AR35" s="3422"/>
      <c r="AS35" s="3573">
        <f>AS36</f>
        <v>37302</v>
      </c>
      <c r="AT35" s="3574">
        <f t="shared" si="57"/>
        <v>3.4485043424020256E-2</v>
      </c>
      <c r="AU35" s="3422"/>
      <c r="AV35" s="3371"/>
      <c r="AW35" s="3422"/>
      <c r="AX35" s="3573">
        <f>AX36</f>
        <v>6914</v>
      </c>
      <c r="AY35" s="3574">
        <f>AX35/$AI$89</f>
        <v>6.3918714876863457E-3</v>
      </c>
      <c r="AZ35" s="3576"/>
      <c r="BA35" s="3422"/>
      <c r="BB35" s="3422"/>
      <c r="BC35" s="3573">
        <f>BC36</f>
        <v>40560</v>
      </c>
      <c r="BD35" s="3577">
        <f t="shared" si="34"/>
        <v>5.9815290547620163E-3</v>
      </c>
      <c r="BE35" s="3371"/>
      <c r="BF35" s="3370">
        <v>115647.86</v>
      </c>
      <c r="BG35" s="3370">
        <v>0</v>
      </c>
      <c r="BH35" s="3371">
        <v>115647.86</v>
      </c>
      <c r="BI35" s="3371">
        <v>8.9152734653792934E-2</v>
      </c>
      <c r="BJ35" s="3371"/>
      <c r="BK35" s="3370">
        <f>BK36</f>
        <v>0</v>
      </c>
      <c r="BL35" s="3370">
        <f>BL36</f>
        <v>0</v>
      </c>
      <c r="BM35" s="3371">
        <f>BM36</f>
        <v>0</v>
      </c>
      <c r="BN35" s="3371">
        <f t="shared" ref="BN35:BN36" si="58">BM35/$T$89</f>
        <v>0</v>
      </c>
      <c r="BO35" s="3371"/>
      <c r="BP35" s="3422"/>
      <c r="BQ35" s="3422"/>
      <c r="BR35" s="3578">
        <f>BR36</f>
        <v>0</v>
      </c>
      <c r="BS35" s="3371">
        <f t="shared" si="37"/>
        <v>0</v>
      </c>
      <c r="BT35" s="3371"/>
      <c r="BU35" s="3370">
        <f>BU36</f>
        <v>0</v>
      </c>
      <c r="BV35" s="3370">
        <f>BV36</f>
        <v>0</v>
      </c>
      <c r="BW35" s="3371">
        <f>BW36</f>
        <v>0</v>
      </c>
      <c r="BX35" s="3371">
        <f>BW35/$E$89</f>
        <v>0</v>
      </c>
      <c r="BY35" s="3371"/>
      <c r="BZ35" s="3370">
        <f>BZ36</f>
        <v>0</v>
      </c>
      <c r="CA35" s="3370">
        <f>CA36</f>
        <v>0</v>
      </c>
      <c r="CB35" s="3371">
        <f>CB36</f>
        <v>0</v>
      </c>
      <c r="CC35" s="3371">
        <f>CB35/$AD$89</f>
        <v>0</v>
      </c>
      <c r="CD35" s="3371"/>
      <c r="CE35" s="3370">
        <f>CE36</f>
        <v>0</v>
      </c>
      <c r="CF35" s="3370">
        <f>CF36</f>
        <v>0</v>
      </c>
      <c r="CG35" s="3371">
        <f>CG36</f>
        <v>0</v>
      </c>
      <c r="CH35" s="3371">
        <f>CG35/$AD$89</f>
        <v>0</v>
      </c>
      <c r="CI35" s="3371"/>
      <c r="CJ35" s="3370">
        <f>CJ36</f>
        <v>0</v>
      </c>
      <c r="CK35" s="3370">
        <f>CK36</f>
        <v>0</v>
      </c>
      <c r="CL35" s="3371">
        <f>CL36</f>
        <v>0</v>
      </c>
      <c r="CM35" s="3371">
        <f>CL35/$AD$89</f>
        <v>0</v>
      </c>
      <c r="CN35" s="3371"/>
      <c r="CO35" s="3370">
        <f>CO36</f>
        <v>0</v>
      </c>
      <c r="CP35" s="3370">
        <f>CP36</f>
        <v>0</v>
      </c>
      <c r="CQ35" s="3371">
        <f>CO35+CP35*1</f>
        <v>0</v>
      </c>
      <c r="CR35" s="3371">
        <f>CQ35/$AD$89</f>
        <v>0</v>
      </c>
      <c r="CS35" s="3371"/>
      <c r="CT35" s="3370">
        <f>CT36</f>
        <v>0</v>
      </c>
      <c r="CU35" s="3370">
        <f>CU36</f>
        <v>0</v>
      </c>
      <c r="CV35" s="3371">
        <f>CT35+CU35*1</f>
        <v>0</v>
      </c>
      <c r="CW35" s="3371">
        <f>CV35/$AD$89</f>
        <v>0</v>
      </c>
      <c r="CX35" s="3371"/>
      <c r="CY35" s="3370">
        <f>CY36</f>
        <v>0</v>
      </c>
      <c r="CZ35" s="3370">
        <f>CZ36</f>
        <v>0</v>
      </c>
      <c r="DA35" s="3371">
        <f>CY35+CZ35*1</f>
        <v>0</v>
      </c>
      <c r="DB35" s="3371">
        <f>DA35/$AD$89</f>
        <v>0</v>
      </c>
      <c r="DC35" s="3115"/>
      <c r="DD35" s="3370">
        <f>DD36</f>
        <v>0</v>
      </c>
      <c r="DE35" s="3370">
        <f>DE36</f>
        <v>0</v>
      </c>
      <c r="DF35" s="3371">
        <f>DD35+DE35*1</f>
        <v>0</v>
      </c>
      <c r="DG35" s="3371">
        <f>DF35/$AD$89</f>
        <v>0</v>
      </c>
      <c r="DH35" s="3120"/>
      <c r="DI35" s="3370">
        <f>DI36</f>
        <v>0</v>
      </c>
      <c r="DJ35" s="3370">
        <f>DJ36</f>
        <v>0</v>
      </c>
      <c r="DK35" s="3371">
        <f>DI35+DJ35*1</f>
        <v>0</v>
      </c>
      <c r="DL35" s="3371">
        <f>DK35/$AD$89</f>
        <v>0</v>
      </c>
      <c r="DM35" s="3120"/>
      <c r="DN35" s="3370">
        <f>DN36</f>
        <v>0</v>
      </c>
      <c r="DO35" s="3370">
        <f>DO36</f>
        <v>0</v>
      </c>
      <c r="DP35" s="3371">
        <f>DN35+DO35*1</f>
        <v>0</v>
      </c>
      <c r="DQ35" s="3371">
        <f>DP35/$AD$89</f>
        <v>0</v>
      </c>
      <c r="DR35" s="3115"/>
      <c r="DS35" s="3370">
        <f>DS36</f>
        <v>0</v>
      </c>
      <c r="DT35" s="3370">
        <f>DT36</f>
        <v>0</v>
      </c>
      <c r="DU35" s="3371">
        <f>DS35+DT35*1</f>
        <v>0</v>
      </c>
      <c r="DV35" s="3371">
        <f>DU35/$AD$89</f>
        <v>0</v>
      </c>
      <c r="DW35" s="3315"/>
      <c r="DX35" s="3370">
        <f>DX36</f>
        <v>345039.86</v>
      </c>
      <c r="DY35" s="3371">
        <f>DY36</f>
        <v>0</v>
      </c>
      <c r="DZ35" s="3371">
        <f>DZ36</f>
        <v>345039.86</v>
      </c>
      <c r="EA35" s="3371"/>
      <c r="EB35" s="3371"/>
      <c r="ED35" s="3370">
        <f>ED36</f>
        <v>167261.6</v>
      </c>
      <c r="EE35" s="3371">
        <f>EE36</f>
        <v>167261.6</v>
      </c>
      <c r="EF35" s="3489"/>
    </row>
    <row r="36" spans="1:136" s="1396" customFormat="1" ht="55.2">
      <c r="A36" s="1571"/>
      <c r="B36" s="3372" t="s">
        <v>81</v>
      </c>
      <c r="C36" s="3579"/>
      <c r="D36" s="3373"/>
      <c r="E36" s="1064">
        <f>C36+D36*1</f>
        <v>0</v>
      </c>
      <c r="F36" s="3350">
        <f t="shared" si="51"/>
        <v>0</v>
      </c>
      <c r="G36" s="3316"/>
      <c r="H36" s="3341"/>
      <c r="I36" s="3341"/>
      <c r="J36" s="2012">
        <f>H36+I36*1</f>
        <v>0</v>
      </c>
      <c r="K36" s="3350">
        <f>J36/$J$89</f>
        <v>0</v>
      </c>
      <c r="L36" s="3373"/>
      <c r="M36" s="3490">
        <v>0</v>
      </c>
      <c r="N36" s="3490">
        <v>0</v>
      </c>
      <c r="O36" s="3491">
        <v>0</v>
      </c>
      <c r="P36" s="3516">
        <v>0</v>
      </c>
      <c r="Q36" s="3381"/>
      <c r="R36" s="3490"/>
      <c r="S36" s="3490"/>
      <c r="T36" s="3491">
        <f>R36+S36*1</f>
        <v>0</v>
      </c>
      <c r="U36" s="3516">
        <f>T36/$T$89</f>
        <v>0</v>
      </c>
      <c r="V36" s="3580"/>
      <c r="W36" s="3341"/>
      <c r="X36" s="3341"/>
      <c r="Y36" s="2012">
        <f>W36+X36*1</f>
        <v>0</v>
      </c>
      <c r="Z36" s="3350">
        <f>Y36/$T$89</f>
        <v>0</v>
      </c>
      <c r="AA36" s="3373"/>
      <c r="AB36" s="3341"/>
      <c r="AC36" s="3341"/>
      <c r="AD36" s="2012">
        <f>AB36+AC36*1</f>
        <v>0</v>
      </c>
      <c r="AE36" s="3350">
        <f>AD36/$T$89</f>
        <v>0</v>
      </c>
      <c r="AF36" s="3581"/>
      <c r="AG36" s="3341"/>
      <c r="AH36" s="3582"/>
      <c r="AI36" s="3583">
        <f>AG36+AH36*1</f>
        <v>0</v>
      </c>
      <c r="AJ36" s="3509">
        <f t="shared" si="7"/>
        <v>0</v>
      </c>
      <c r="AK36" s="3584"/>
      <c r="AL36" s="3341">
        <f>144616</f>
        <v>144616</v>
      </c>
      <c r="AM36" s="3582"/>
      <c r="AN36" s="3583">
        <f>AL36+AM36*1</f>
        <v>144616</v>
      </c>
      <c r="AO36" s="3509">
        <f t="shared" si="56"/>
        <v>0.1336949503996599</v>
      </c>
      <c r="AP36" s="3584" t="s">
        <v>1435</v>
      </c>
      <c r="AQ36" s="3341">
        <f>20172+17130</f>
        <v>37302</v>
      </c>
      <c r="AR36" s="3402"/>
      <c r="AS36" s="3583">
        <f>AQ36+AR36*1</f>
        <v>37302</v>
      </c>
      <c r="AT36" s="3509">
        <f>AS36/$AS$89</f>
        <v>5.9158648839955138E-3</v>
      </c>
      <c r="AU36" s="3584" t="s">
        <v>1436</v>
      </c>
      <c r="AV36" s="3585">
        <v>6914</v>
      </c>
      <c r="AW36" s="3586"/>
      <c r="AX36" s="3583">
        <f>AV36+AW36*1</f>
        <v>6914</v>
      </c>
      <c r="AY36" s="3509">
        <f>AX36/$AS$89</f>
        <v>1.0965173397658298E-3</v>
      </c>
      <c r="AZ36" s="3343" t="s">
        <v>1217</v>
      </c>
      <c r="BA36" s="3587">
        <v>40560</v>
      </c>
      <c r="BB36" s="3402"/>
      <c r="BC36" s="3583">
        <f>BA36+BB36*1</f>
        <v>40560</v>
      </c>
      <c r="BD36" s="3511">
        <f t="shared" si="34"/>
        <v>5.9815290547620163E-3</v>
      </c>
      <c r="BE36" s="3585" t="s">
        <v>1243</v>
      </c>
      <c r="BF36" s="3354">
        <v>115647.86</v>
      </c>
      <c r="BG36" s="3341">
        <v>0</v>
      </c>
      <c r="BH36" s="2012">
        <v>115647.86</v>
      </c>
      <c r="BI36" s="3350">
        <v>8.9152734653792934E-2</v>
      </c>
      <c r="BJ36" s="3373"/>
      <c r="BK36" s="3354">
        <f t="shared" ref="BK36:BL36" si="59">BP36+BU36+BZ36+CE36+CJ36+CO36+CT36+CY36+DD36+DI36+DN36+DS36</f>
        <v>0</v>
      </c>
      <c r="BL36" s="3341">
        <f t="shared" si="59"/>
        <v>0</v>
      </c>
      <c r="BM36" s="2012">
        <f>BK36+BL36*1</f>
        <v>0</v>
      </c>
      <c r="BN36" s="3350">
        <f t="shared" si="58"/>
        <v>0</v>
      </c>
      <c r="BO36" s="3373"/>
      <c r="BP36" s="3587"/>
      <c r="BQ36" s="3402"/>
      <c r="BR36" s="3588">
        <f>BP36+BQ36*1</f>
        <v>0</v>
      </c>
      <c r="BS36" s="3432">
        <f t="shared" si="37"/>
        <v>0</v>
      </c>
      <c r="BT36" s="3585"/>
      <c r="BU36" s="3341"/>
      <c r="BV36" s="3341"/>
      <c r="BW36" s="2012">
        <f>BU36+BV36*1</f>
        <v>0</v>
      </c>
      <c r="BX36" s="3350">
        <f>BW36/$E$89</f>
        <v>0</v>
      </c>
      <c r="BY36" s="3343"/>
      <c r="BZ36" s="3341"/>
      <c r="CA36" s="3341"/>
      <c r="CB36" s="2012">
        <f>BZ36+CA36*1</f>
        <v>0</v>
      </c>
      <c r="CC36" s="3350">
        <f>CB36/$AD$89</f>
        <v>0</v>
      </c>
      <c r="CD36" s="3343"/>
      <c r="CE36" s="3341"/>
      <c r="CF36" s="3341"/>
      <c r="CG36" s="2012">
        <f>CE36+CF36*1</f>
        <v>0</v>
      </c>
      <c r="CH36" s="3350">
        <f>CG36/$AD$89</f>
        <v>0</v>
      </c>
      <c r="CI36" s="3343"/>
      <c r="CJ36" s="3341"/>
      <c r="CK36" s="3341"/>
      <c r="CL36" s="2012">
        <f>CJ36+CK36*1</f>
        <v>0</v>
      </c>
      <c r="CM36" s="3350">
        <f>CL36/$AD$89</f>
        <v>0</v>
      </c>
      <c r="CN36" s="3343"/>
      <c r="CO36" s="3341"/>
      <c r="CP36" s="3341"/>
      <c r="CQ36" s="3341">
        <f t="shared" si="44"/>
        <v>0</v>
      </c>
      <c r="CR36" s="3350">
        <f>CQ36/$AD$89</f>
        <v>0</v>
      </c>
      <c r="CS36" s="3343"/>
      <c r="CT36" s="3341"/>
      <c r="CU36" s="3341"/>
      <c r="CV36" s="3341">
        <f t="shared" ref="CV36" si="60">CT36+CU36*1</f>
        <v>0</v>
      </c>
      <c r="CW36" s="3350">
        <f>CV36/$AD$89</f>
        <v>0</v>
      </c>
      <c r="CX36" s="3343"/>
      <c r="CY36" s="3341"/>
      <c r="CZ36" s="3341"/>
      <c r="DA36" s="3341">
        <f t="shared" ref="DA36" si="61">CY36+CZ36*1</f>
        <v>0</v>
      </c>
      <c r="DB36" s="3350">
        <f>DA36/$AD$89</f>
        <v>0</v>
      </c>
      <c r="DC36" s="3343"/>
      <c r="DD36" s="3341"/>
      <c r="DE36" s="3341"/>
      <c r="DF36" s="3341">
        <f t="shared" ref="DF36" si="62">DD36+DE36*1</f>
        <v>0</v>
      </c>
      <c r="DG36" s="3350">
        <f>DF36/$AD$89</f>
        <v>0</v>
      </c>
      <c r="DH36" s="3493"/>
      <c r="DI36" s="3354"/>
      <c r="DJ36" s="3341"/>
      <c r="DK36" s="3341">
        <f t="shared" ref="DK36" si="63">DI36+DJ36*1</f>
        <v>0</v>
      </c>
      <c r="DL36" s="3350">
        <f>DK36/$AD$89</f>
        <v>0</v>
      </c>
      <c r="DM36" s="3493"/>
      <c r="DN36" s="3354"/>
      <c r="DO36" s="3341"/>
      <c r="DP36" s="3341">
        <f>DN36+DO36*1</f>
        <v>0</v>
      </c>
      <c r="DQ36" s="3350">
        <f>DP36/$AD$89</f>
        <v>0</v>
      </c>
      <c r="DR36" s="3343"/>
      <c r="DS36" s="3341"/>
      <c r="DT36" s="3341"/>
      <c r="DU36" s="3341">
        <f t="shared" ref="DU36" si="64">DS36+DT36*1</f>
        <v>0</v>
      </c>
      <c r="DV36" s="3350">
        <f>DU36/$AD$89</f>
        <v>0</v>
      </c>
      <c r="DW36" s="3523"/>
      <c r="DX36" s="3428">
        <f t="shared" ref="DX36:DY36" si="65">R36+W36+AB36+AG36+AL36+AQ36+AV36+BA36+BP36+BU36+BZ36+CE36+CJ36+CO36+CT36+CY36+DD36+DI36+DN36+DS36+BF36</f>
        <v>345039.86</v>
      </c>
      <c r="DY36" s="3428">
        <f t="shared" si="65"/>
        <v>0</v>
      </c>
      <c r="DZ36" s="3349">
        <f>DX36+DY36*1</f>
        <v>345039.86</v>
      </c>
      <c r="EA36" s="3350" t="e">
        <f>DZ36/$BW$89</f>
        <v>#DIV/0!</v>
      </c>
      <c r="EB36" s="3373"/>
      <c r="ED36" s="1345">
        <v>167261.6</v>
      </c>
      <c r="EE36" s="3354">
        <f t="shared" ref="EE36" si="66">ED36-BM36</f>
        <v>167261.6</v>
      </c>
      <c r="EF36" s="3334"/>
    </row>
    <row r="37" spans="1:136" s="1396" customFormat="1" ht="14.4" thickBot="1">
      <c r="A37" s="1397"/>
      <c r="B37" s="3306"/>
      <c r="C37" s="3589"/>
      <c r="D37" s="3590"/>
      <c r="E37" s="3590"/>
      <c r="F37" s="3303">
        <f t="shared" si="51"/>
        <v>0</v>
      </c>
      <c r="G37" s="3317"/>
      <c r="H37" s="3590"/>
      <c r="I37" s="3590"/>
      <c r="J37" s="3590"/>
      <c r="K37" s="3590"/>
      <c r="L37" s="3590"/>
      <c r="M37" s="3495">
        <v>0</v>
      </c>
      <c r="N37" s="3495">
        <v>0</v>
      </c>
      <c r="O37" s="3591"/>
      <c r="P37" s="3591"/>
      <c r="Q37" s="3376"/>
      <c r="R37" s="3495"/>
      <c r="S37" s="3495"/>
      <c r="T37" s="3591"/>
      <c r="U37" s="3591"/>
      <c r="V37" s="3591"/>
      <c r="W37" s="3345"/>
      <c r="X37" s="3345"/>
      <c r="Y37" s="3590"/>
      <c r="Z37" s="3590"/>
      <c r="AA37" s="3590"/>
      <c r="AB37" s="3345"/>
      <c r="AC37" s="3345"/>
      <c r="AD37" s="3590"/>
      <c r="AE37" s="3590"/>
      <c r="AF37" s="3592"/>
      <c r="AG37" s="3593"/>
      <c r="AH37" s="3594"/>
      <c r="AI37" s="3595"/>
      <c r="AJ37" s="3318"/>
      <c r="AK37" s="3596"/>
      <c r="AL37" s="3593"/>
      <c r="AM37" s="3594"/>
      <c r="AN37" s="3595"/>
      <c r="AO37" s="3318">
        <f t="shared" si="56"/>
        <v>0</v>
      </c>
      <c r="AP37" s="3596"/>
      <c r="AQ37" s="3376"/>
      <c r="AR37" s="3376"/>
      <c r="AS37" s="3595"/>
      <c r="AT37" s="3318">
        <f>AS37/$AS$89</f>
        <v>0</v>
      </c>
      <c r="AU37" s="3376"/>
      <c r="AV37" s="3597"/>
      <c r="AW37" s="3598"/>
      <c r="AX37" s="3595"/>
      <c r="AY37" s="3318">
        <f>AX37/$AS$89</f>
        <v>0</v>
      </c>
      <c r="AZ37" s="3423"/>
      <c r="BA37" s="3376"/>
      <c r="BB37" s="3376"/>
      <c r="BC37" s="3595"/>
      <c r="BD37" s="3319">
        <f t="shared" si="34"/>
        <v>0</v>
      </c>
      <c r="BE37" s="3599"/>
      <c r="BF37" s="3383"/>
      <c r="BG37" s="3375"/>
      <c r="BH37" s="3374"/>
      <c r="BI37" s="3374"/>
      <c r="BJ37" s="3374"/>
      <c r="BK37" s="3383"/>
      <c r="BL37" s="3375"/>
      <c r="BM37" s="3374"/>
      <c r="BN37" s="3374"/>
      <c r="BO37" s="3374"/>
      <c r="BP37" s="3376"/>
      <c r="BQ37" s="3376"/>
      <c r="BR37" s="3600"/>
      <c r="BS37" s="3589">
        <f t="shared" si="37"/>
        <v>0</v>
      </c>
      <c r="BT37" s="3599"/>
      <c r="BU37" s="3341"/>
      <c r="BV37" s="3341"/>
      <c r="BW37" s="3374"/>
      <c r="BX37" s="3374"/>
      <c r="BY37" s="3374"/>
      <c r="BZ37" s="3341"/>
      <c r="CA37" s="3341"/>
      <c r="CB37" s="3374"/>
      <c r="CC37" s="3374"/>
      <c r="CD37" s="3374"/>
      <c r="CE37" s="3341"/>
      <c r="CF37" s="3341"/>
      <c r="CG37" s="3374"/>
      <c r="CH37" s="3374"/>
      <c r="CI37" s="3343"/>
      <c r="CJ37" s="3341"/>
      <c r="CK37" s="3341"/>
      <c r="CL37" s="3374"/>
      <c r="CM37" s="3374"/>
      <c r="CN37" s="3374"/>
      <c r="CO37" s="3341"/>
      <c r="CP37" s="3341"/>
      <c r="CQ37" s="3374"/>
      <c r="CR37" s="3374"/>
      <c r="CS37" s="3374"/>
      <c r="CT37" s="3341"/>
      <c r="CU37" s="3341"/>
      <c r="CV37" s="3374"/>
      <c r="CW37" s="3374"/>
      <c r="CX37" s="3374"/>
      <c r="CY37" s="3341"/>
      <c r="CZ37" s="3341"/>
      <c r="DA37" s="3374"/>
      <c r="DB37" s="3374"/>
      <c r="DC37" s="3376"/>
      <c r="DD37" s="3341"/>
      <c r="DE37" s="3341"/>
      <c r="DF37" s="3374"/>
      <c r="DG37" s="3374"/>
      <c r="DH37" s="3601"/>
      <c r="DI37" s="3354"/>
      <c r="DJ37" s="3341"/>
      <c r="DK37" s="3374"/>
      <c r="DL37" s="3374"/>
      <c r="DM37" s="3601"/>
      <c r="DN37" s="3354"/>
      <c r="DO37" s="3341"/>
      <c r="DP37" s="3374"/>
      <c r="DQ37" s="3374"/>
      <c r="DR37" s="3376"/>
      <c r="DS37" s="3354"/>
      <c r="DT37" s="3341"/>
      <c r="DU37" s="3374"/>
      <c r="DV37" s="3374"/>
      <c r="DW37" s="3599"/>
      <c r="DX37" s="3354">
        <f>R37+W37+AB37+AG37+AL37+AQ37+AV37+BA37+BP37+BU37+BZ37+CE37+CJ37+CO37</f>
        <v>0</v>
      </c>
      <c r="DY37" s="3341">
        <f>S37+X37+AC37+AH37+AM37+AR37+AW37+BB37+BQ37+BV37+CA37+CF37+CK37+CP37</f>
        <v>0</v>
      </c>
      <c r="DZ37" s="3590"/>
      <c r="EA37" s="3590"/>
      <c r="EB37" s="3590"/>
      <c r="ED37" s="3354"/>
      <c r="EE37" s="3354"/>
      <c r="EF37" s="3489"/>
    </row>
    <row r="38" spans="1:136" ht="14.4" thickBot="1">
      <c r="A38" s="1426"/>
      <c r="B38" s="1427" t="s">
        <v>46</v>
      </c>
      <c r="C38" s="2002">
        <f>(C5)-(C8)</f>
        <v>-1224714.74</v>
      </c>
      <c r="D38" s="2002">
        <f>(D5)-(D8)</f>
        <v>-1169846.33</v>
      </c>
      <c r="E38" s="2002">
        <f>(E5)-(E8)</f>
        <v>-2394561.0700000003</v>
      </c>
      <c r="F38" s="931">
        <f t="shared" si="51"/>
        <v>-0.9209957714980469</v>
      </c>
      <c r="G38" s="938"/>
      <c r="H38" s="2002">
        <f>(H5)-(H8)</f>
        <v>4309171.5148500009</v>
      </c>
      <c r="I38" s="2002">
        <f>(I5)-(I8)</f>
        <v>-1089723.6000000006</v>
      </c>
      <c r="J38" s="2002">
        <f>(J5)-(J8)</f>
        <v>3219447.9148499984</v>
      </c>
      <c r="K38" s="2002"/>
      <c r="L38" s="2002"/>
      <c r="M38" s="3602">
        <v>15226921.977400001</v>
      </c>
      <c r="N38" s="3602">
        <v>-10290936.35</v>
      </c>
      <c r="O38" s="3602">
        <v>4935985.6273999996</v>
      </c>
      <c r="P38" s="3602"/>
      <c r="Q38" s="2002"/>
      <c r="R38" s="3602">
        <f>(R5)-(R8)</f>
        <v>58987.222000000009</v>
      </c>
      <c r="S38" s="3602">
        <f>(S5)-(S8)</f>
        <v>-654803.32094999996</v>
      </c>
      <c r="T38" s="3602">
        <f>(T5)-(T8)</f>
        <v>-595816.09895000001</v>
      </c>
      <c r="U38" s="3602"/>
      <c r="V38" s="3602"/>
      <c r="W38" s="2002">
        <f>(W5)-(W8)</f>
        <v>1207630.4539999997</v>
      </c>
      <c r="X38" s="2002">
        <f>(X5)-(X8)</f>
        <v>-893895.9</v>
      </c>
      <c r="Y38" s="2002">
        <f>(Y5)-(Y8)</f>
        <v>313734.554</v>
      </c>
      <c r="Z38" s="2002"/>
      <c r="AA38" s="2002"/>
      <c r="AB38" s="2002">
        <f>(AB5)-(AB8)</f>
        <v>514511.9360000001</v>
      </c>
      <c r="AC38" s="2002">
        <f>(AC5)-(AC8)</f>
        <v>-281170</v>
      </c>
      <c r="AD38" s="2002">
        <f>(AD5)-(AD8)</f>
        <v>233341.9360000001</v>
      </c>
      <c r="AE38" s="2002"/>
      <c r="AF38" s="2002"/>
      <c r="AG38" s="2002">
        <f>(AG5)-(AG8)</f>
        <v>864897.17999999993</v>
      </c>
      <c r="AH38" s="2002">
        <f>(AH5)-(AH8)</f>
        <v>-345494.92000000004</v>
      </c>
      <c r="AI38" s="2002">
        <f>(AI5)-(AI8)</f>
        <v>519402.26</v>
      </c>
      <c r="AJ38" s="1705">
        <f t="shared" si="7"/>
        <v>0.48017826096815885</v>
      </c>
      <c r="AK38" s="2002"/>
      <c r="AL38" s="2002">
        <f>(AL5)-(AL8)</f>
        <v>3552305.8459999999</v>
      </c>
      <c r="AM38" s="2002">
        <f>(AM5)-(AM8)</f>
        <v>-1506278.77</v>
      </c>
      <c r="AN38" s="2002">
        <f>(AN5)-(AN8)</f>
        <v>2046027.0760000004</v>
      </c>
      <c r="AO38" s="1705">
        <f t="shared" si="56"/>
        <v>1.8915160732020055</v>
      </c>
      <c r="AP38" s="2002"/>
      <c r="AQ38" s="2002">
        <f>(AQ5)-(AQ8)</f>
        <v>6341257.9199999999</v>
      </c>
      <c r="AR38" s="2002">
        <f>(AR5)-(AR8)</f>
        <v>-1975302.44</v>
      </c>
      <c r="AS38" s="2002">
        <f>(AS5)-(AS8)</f>
        <v>4365955.4800000004</v>
      </c>
      <c r="AT38" s="1705">
        <f>AS38/$AI$89</f>
        <v>4.0362491103731495</v>
      </c>
      <c r="AU38" s="2002"/>
      <c r="AV38" s="2002">
        <f>(AV5)-(AV8)</f>
        <v>6994353.6799999978</v>
      </c>
      <c r="AW38" s="2002">
        <f>(AW5)-(AW8)</f>
        <v>-2688077.5</v>
      </c>
      <c r="AX38" s="2002">
        <f>(AX5)-(AX8)</f>
        <v>4306276.1799999978</v>
      </c>
      <c r="AY38" s="1705">
        <f>AX38/$AI$89</f>
        <v>3.9810766463761729</v>
      </c>
      <c r="AZ38" s="1315"/>
      <c r="BA38" s="2002">
        <f>(BA5)-(BA8)</f>
        <v>7918999.5800000001</v>
      </c>
      <c r="BB38" s="2002">
        <f>(BB5)-(BB8)</f>
        <v>-2074870.81</v>
      </c>
      <c r="BC38" s="2002">
        <f>(BC5)-(BC8)</f>
        <v>5844128.7700000005</v>
      </c>
      <c r="BD38" s="1705">
        <f>BC38/$AI$89</f>
        <v>5.4027943383469017</v>
      </c>
      <c r="BE38" s="2002"/>
      <c r="BF38" s="2002">
        <v>28027321.981999993</v>
      </c>
      <c r="BG38" s="2002">
        <v>-10528378.99</v>
      </c>
      <c r="BH38" s="2002">
        <v>17498942.991999999</v>
      </c>
      <c r="BI38" s="2002">
        <v>13.489904796229048</v>
      </c>
      <c r="BJ38" s="2002"/>
      <c r="BK38" s="2002">
        <f>(BK5)-(BK8)</f>
        <v>0</v>
      </c>
      <c r="BL38" s="2002">
        <f>(BL5)-(BL8)</f>
        <v>0</v>
      </c>
      <c r="BM38" s="2002">
        <f>(BM5)-(BM8)</f>
        <v>0</v>
      </c>
      <c r="BN38" s="2002">
        <f t="shared" ref="BN38:BN48" si="67">BM38/$T$89</f>
        <v>0</v>
      </c>
      <c r="BO38" s="2002"/>
      <c r="BP38" s="2002">
        <f>(BP5)-(BP8)</f>
        <v>0</v>
      </c>
      <c r="BQ38" s="2002">
        <f>(BQ5)-(BQ8)</f>
        <v>0</v>
      </c>
      <c r="BR38" s="2002">
        <f>(BR5)-(BR8)</f>
        <v>0</v>
      </c>
      <c r="BS38" s="1705">
        <f>BR38/$AI$89</f>
        <v>0</v>
      </c>
      <c r="BT38" s="2002"/>
      <c r="BU38" s="2002">
        <f>(BU5)-(BU8)</f>
        <v>0</v>
      </c>
      <c r="BV38" s="2002">
        <f>(BV5)-(BV8)</f>
        <v>0</v>
      </c>
      <c r="BW38" s="2002">
        <f>(BW5)-(BW8)</f>
        <v>0</v>
      </c>
      <c r="BX38" s="1705">
        <f>BW38/$AI$89</f>
        <v>0</v>
      </c>
      <c r="BY38" s="2002"/>
      <c r="BZ38" s="2002">
        <f>(BZ5)-(BZ8)</f>
        <v>0</v>
      </c>
      <c r="CA38" s="2002">
        <f>(CA5)-(CA8)</f>
        <v>0</v>
      </c>
      <c r="CB38" s="2002">
        <f>(CB5)-(CB8)</f>
        <v>0</v>
      </c>
      <c r="CC38" s="2002">
        <f>CB38/$AD$89</f>
        <v>0</v>
      </c>
      <c r="CD38" s="2002"/>
      <c r="CE38" s="2002">
        <f>(CE5)-(CE8)</f>
        <v>0</v>
      </c>
      <c r="CF38" s="2002">
        <f>(CF5)-(CF8)</f>
        <v>0</v>
      </c>
      <c r="CG38" s="2002">
        <f>(CG5)-(CG8)</f>
        <v>0</v>
      </c>
      <c r="CH38" s="2002">
        <f>CG38/$AD$89</f>
        <v>0</v>
      </c>
      <c r="CI38" s="2002"/>
      <c r="CJ38" s="2002">
        <f>(CJ5)-(CJ8)</f>
        <v>0</v>
      </c>
      <c r="CK38" s="2002">
        <f>(CK5)-(CK8)</f>
        <v>0</v>
      </c>
      <c r="CL38" s="2002">
        <f>(CL5)-(CL8)</f>
        <v>0</v>
      </c>
      <c r="CM38" s="2002">
        <f>CL38/$AD$89</f>
        <v>0</v>
      </c>
      <c r="CN38" s="2002"/>
      <c r="CO38" s="2002">
        <f>(CO5)-(CO8)</f>
        <v>0</v>
      </c>
      <c r="CP38" s="2002">
        <f>(CP5)-(CP8)</f>
        <v>0</v>
      </c>
      <c r="CQ38" s="2002">
        <f>(CQ5)-(CQ8)</f>
        <v>0</v>
      </c>
      <c r="CR38" s="2002">
        <f>CQ38/$AD$89</f>
        <v>0</v>
      </c>
      <c r="CS38" s="2002"/>
      <c r="CT38" s="2002">
        <f>(CT5)-(CT8)</f>
        <v>0</v>
      </c>
      <c r="CU38" s="2002">
        <f>(CU5)-(CU8)</f>
        <v>0</v>
      </c>
      <c r="CV38" s="2002">
        <f>(CV5)-(CV8)</f>
        <v>0</v>
      </c>
      <c r="CW38" s="2002">
        <f>CV38/$AD$89</f>
        <v>0</v>
      </c>
      <c r="CX38" s="2002"/>
      <c r="CY38" s="2002">
        <f>(CY5)-(CY8)</f>
        <v>0</v>
      </c>
      <c r="CZ38" s="2002">
        <f>(CZ5)-(CZ8)</f>
        <v>0</v>
      </c>
      <c r="DA38" s="2002">
        <f>(DA5)-(DA8)</f>
        <v>0</v>
      </c>
      <c r="DB38" s="2002">
        <f>DA38/$AD$89</f>
        <v>0</v>
      </c>
      <c r="DC38" s="1315"/>
      <c r="DD38" s="2002">
        <f>(DD5)-(DD8)</f>
        <v>0</v>
      </c>
      <c r="DE38" s="2002">
        <f>(DE5)-(DE8)</f>
        <v>0</v>
      </c>
      <c r="DF38" s="2002">
        <f>(DF5)-(DF8)</f>
        <v>0</v>
      </c>
      <c r="DG38" s="2002">
        <f>DF38/$AD$89</f>
        <v>0</v>
      </c>
      <c r="DH38" s="3121"/>
      <c r="DI38" s="2002">
        <f>(DI5)-(DI8)</f>
        <v>0</v>
      </c>
      <c r="DJ38" s="2002">
        <f>(DJ5)-(DJ8)</f>
        <v>0</v>
      </c>
      <c r="DK38" s="2002">
        <f>(DK5)-(DK8)</f>
        <v>0</v>
      </c>
      <c r="DL38" s="2002">
        <f>DK38/$AD$89</f>
        <v>0</v>
      </c>
      <c r="DM38" s="3121"/>
      <c r="DN38" s="2002">
        <f>(DN5)-(DN8)</f>
        <v>0</v>
      </c>
      <c r="DO38" s="2002">
        <f>(DO5)-(DO8)</f>
        <v>0</v>
      </c>
      <c r="DP38" s="2002">
        <f>(DP5)-(DP8)</f>
        <v>0</v>
      </c>
      <c r="DQ38" s="2002">
        <f>DP38/$AD$89</f>
        <v>0</v>
      </c>
      <c r="DR38" s="1315"/>
      <c r="DS38" s="2002">
        <f>(DS5)-(DS8)</f>
        <v>0</v>
      </c>
      <c r="DT38" s="2002">
        <f>(DT5)-(DT8)</f>
        <v>0</v>
      </c>
      <c r="DU38" s="2002">
        <f>(DU5)-(DU8)</f>
        <v>0</v>
      </c>
      <c r="DV38" s="2002">
        <f>DU38/$AD$89</f>
        <v>0</v>
      </c>
      <c r="DW38" s="2002"/>
      <c r="DX38" s="2002">
        <f>(DX5)-(DX8)</f>
        <v>55480265.799999997</v>
      </c>
      <c r="DY38" s="2002">
        <f>(DY5)-(DY8)</f>
        <v>-20948272.650949996</v>
      </c>
      <c r="DZ38" s="2002">
        <f>(DZ5)-(DZ8)</f>
        <v>34531993.149050005</v>
      </c>
      <c r="EA38" s="2002"/>
      <c r="EB38" s="2002"/>
      <c r="ED38" s="2002">
        <f>(ED5)-(ED8)</f>
        <v>11224329.810000002</v>
      </c>
      <c r="EE38" s="2002">
        <f>(EE5)-(EE8)</f>
        <v>11224329.810000002</v>
      </c>
    </row>
    <row r="39" spans="1:136" ht="14.4" thickBot="1">
      <c r="A39" s="1565"/>
      <c r="B39" s="1408" t="s">
        <v>47</v>
      </c>
      <c r="C39" s="1525">
        <f>C38/(C5)</f>
        <v>-68.039707777777778</v>
      </c>
      <c r="D39" s="1525" t="e">
        <f>D38/(D5)</f>
        <v>#DIV/0!</v>
      </c>
      <c r="E39" s="1526">
        <f>E38/(E5)</f>
        <v>-133.03117055555558</v>
      </c>
      <c r="F39" s="1159">
        <f t="shared" si="51"/>
        <v>-5.1166431749891492E-5</v>
      </c>
      <c r="G39" s="3320"/>
      <c r="H39" s="2003">
        <f>H38/(H5)</f>
        <v>0.44375465960919508</v>
      </c>
      <c r="I39" s="2003">
        <f>I38/(I5)</f>
        <v>-0.21948470015905291</v>
      </c>
      <c r="J39" s="2004">
        <f>J38/(J5)</f>
        <v>0.21937381446278612</v>
      </c>
      <c r="K39" s="2004"/>
      <c r="L39" s="2004"/>
      <c r="M39" s="3603">
        <v>0.67407567789509182</v>
      </c>
      <c r="N39" s="3603" t="e">
        <v>#DIV/0!</v>
      </c>
      <c r="O39" s="3604">
        <v>0.21850954925811009</v>
      </c>
      <c r="P39" s="3604"/>
      <c r="Q39" s="2003"/>
      <c r="R39" s="3603">
        <f>R38/(R5)</f>
        <v>0.10146593618302228</v>
      </c>
      <c r="S39" s="3603" t="e">
        <f>S38/(S5)</f>
        <v>#DIV/0!</v>
      </c>
      <c r="T39" s="3604">
        <f>T38/(T5)</f>
        <v>-1.0248836311172271</v>
      </c>
      <c r="U39" s="3604"/>
      <c r="V39" s="3604"/>
      <c r="W39" s="2003">
        <f>W38/(W5)</f>
        <v>0.49990729594560396</v>
      </c>
      <c r="X39" s="2003" t="e">
        <f>X38/(X5)</f>
        <v>#DIV/0!</v>
      </c>
      <c r="Y39" s="2004">
        <f>Y38/(Y5)</f>
        <v>0.1298726709113284</v>
      </c>
      <c r="Z39" s="2004"/>
      <c r="AA39" s="2004"/>
      <c r="AB39" s="2003">
        <f>AB38/(AB5)</f>
        <v>0.54818002381166342</v>
      </c>
      <c r="AC39" s="2003">
        <f>AC38/(AC5)</f>
        <v>-97.730274591588454</v>
      </c>
      <c r="AD39" s="2004">
        <f>AD38/(AD5)</f>
        <v>0.24785138931054537</v>
      </c>
      <c r="AE39" s="2004"/>
      <c r="AF39" s="2004"/>
      <c r="AG39" s="2003">
        <f>AG38/(AG5)</f>
        <v>0.67989481052026857</v>
      </c>
      <c r="AH39" s="2003">
        <f>AH38/(AH5)</f>
        <v>-16.540528481245975</v>
      </c>
      <c r="AI39" s="2004">
        <f>AI38/(AI5)</f>
        <v>0.40170564681992127</v>
      </c>
      <c r="AJ39" s="1016">
        <f t="shared" si="7"/>
        <v>3.7136981058010642E-7</v>
      </c>
      <c r="AK39" s="2004"/>
      <c r="AL39" s="2003">
        <f>AL38/(AL5)</f>
        <v>0.62333501600580188</v>
      </c>
      <c r="AM39" s="2003" t="e">
        <f>AM38/(AM5)</f>
        <v>#DIV/0!</v>
      </c>
      <c r="AN39" s="2004">
        <f>AN38/(AN5)</f>
        <v>0.35902323039072132</v>
      </c>
      <c r="AO39" s="1016">
        <f t="shared" si="56"/>
        <v>3.3191066672714744E-7</v>
      </c>
      <c r="AP39" s="2004"/>
      <c r="AQ39" s="2003">
        <f>AQ38/(AQ5)</f>
        <v>0.62995876595332256</v>
      </c>
      <c r="AR39" s="2003">
        <f>AR38/(AR5)</f>
        <v>-109.73902444444444</v>
      </c>
      <c r="AS39" s="2004">
        <f>AS38/(AS5)</f>
        <v>0.43295235781753139</v>
      </c>
      <c r="AT39" s="1016">
        <f>AS39/$AI$89</f>
        <v>4.0025684574203866E-7</v>
      </c>
      <c r="AU39" s="2003"/>
      <c r="AV39" s="2003">
        <f>AV38/(AV5)</f>
        <v>0.62239785226256539</v>
      </c>
      <c r="AW39" s="2003">
        <f>AW38/(AW5)</f>
        <v>-274.29362244897959</v>
      </c>
      <c r="AX39" s="2004">
        <f>AX38/(AX5)</f>
        <v>0.3828633628662621</v>
      </c>
      <c r="AY39" s="1016">
        <f>AX39/$AI$89</f>
        <v>3.5395045021471968E-7</v>
      </c>
      <c r="AZ39" s="1319"/>
      <c r="BA39" s="2003">
        <f>BA38/(BA5)</f>
        <v>0.67860352641709876</v>
      </c>
      <c r="BB39" s="2003" t="e">
        <f>BB38/(BB5)</f>
        <v>#DIV/0!</v>
      </c>
      <c r="BC39" s="2004">
        <f>BC38/(BC5)</f>
        <v>0.50080143989067138</v>
      </c>
      <c r="BD39" s="1016">
        <f>BC39/$AI$89</f>
        <v>4.629821296831718E-7</v>
      </c>
      <c r="BE39" s="2004"/>
      <c r="BF39" s="2003">
        <v>0.52587373628633272</v>
      </c>
      <c r="BG39" s="2003" t="e">
        <v>#DIV/0!</v>
      </c>
      <c r="BH39" s="2004">
        <v>0.32833085295036518</v>
      </c>
      <c r="BI39" s="2004">
        <v>2.5310968496725677E-7</v>
      </c>
      <c r="BJ39" s="2004"/>
      <c r="BK39" s="2003" t="e">
        <f>BK38/(BK5)</f>
        <v>#DIV/0!</v>
      </c>
      <c r="BL39" s="2003" t="e">
        <f>BL38/(BL5)</f>
        <v>#DIV/0!</v>
      </c>
      <c r="BM39" s="2004" t="e">
        <f>BM38/(BM5)</f>
        <v>#DIV/0!</v>
      </c>
      <c r="BN39" s="2004" t="e">
        <f t="shared" si="67"/>
        <v>#DIV/0!</v>
      </c>
      <c r="BO39" s="2004"/>
      <c r="BP39" s="2003" t="e">
        <f>BP38/(BP5)</f>
        <v>#DIV/0!</v>
      </c>
      <c r="BQ39" s="2003" t="e">
        <f>BQ38/(BQ5)</f>
        <v>#DIV/0!</v>
      </c>
      <c r="BR39" s="2004" t="e">
        <f>BR38/(BR5)</f>
        <v>#DIV/0!</v>
      </c>
      <c r="BS39" s="1016" t="e">
        <f>BR39/$AI$89</f>
        <v>#DIV/0!</v>
      </c>
      <c r="BT39" s="2004"/>
      <c r="BU39" s="2003" t="e">
        <f>BU38/(BU5)</f>
        <v>#DIV/0!</v>
      </c>
      <c r="BV39" s="2003" t="e">
        <f>BV38/(BV5)</f>
        <v>#DIV/0!</v>
      </c>
      <c r="BW39" s="2004" t="e">
        <f>BW38/(BW5)</f>
        <v>#DIV/0!</v>
      </c>
      <c r="BX39" s="1016" t="e">
        <f>BW39/$AI$89</f>
        <v>#DIV/0!</v>
      </c>
      <c r="BY39" s="2004"/>
      <c r="BZ39" s="2003" t="e">
        <f>BZ38/(BZ5)</f>
        <v>#DIV/0!</v>
      </c>
      <c r="CA39" s="2003" t="e">
        <f>CA38/(CA5)</f>
        <v>#DIV/0!</v>
      </c>
      <c r="CB39" s="2004" t="e">
        <f>CB38/(CB5)</f>
        <v>#DIV/0!</v>
      </c>
      <c r="CC39" s="2004" t="e">
        <f>CB39/$AD$89</f>
        <v>#DIV/0!</v>
      </c>
      <c r="CD39" s="2004"/>
      <c r="CE39" s="2003" t="e">
        <f>CE38/(CE5)</f>
        <v>#DIV/0!</v>
      </c>
      <c r="CF39" s="2003" t="e">
        <f>CF38/(CF5)</f>
        <v>#DIV/0!</v>
      </c>
      <c r="CG39" s="2004" t="e">
        <f>CG38/(CG5)</f>
        <v>#DIV/0!</v>
      </c>
      <c r="CH39" s="2004" t="e">
        <f>CG39/$AD$89</f>
        <v>#DIV/0!</v>
      </c>
      <c r="CI39" s="2004"/>
      <c r="CJ39" s="2003" t="e">
        <f>CJ38/(CJ5)</f>
        <v>#DIV/0!</v>
      </c>
      <c r="CK39" s="2003" t="e">
        <f>CK38/(CK5)</f>
        <v>#DIV/0!</v>
      </c>
      <c r="CL39" s="2004" t="e">
        <f>CL38/(CL5)</f>
        <v>#DIV/0!</v>
      </c>
      <c r="CM39" s="2004" t="e">
        <f>CL39/$AD$89</f>
        <v>#DIV/0!</v>
      </c>
      <c r="CN39" s="2004"/>
      <c r="CO39" s="2003" t="e">
        <f>CO38/(CO5)</f>
        <v>#DIV/0!</v>
      </c>
      <c r="CP39" s="2003" t="e">
        <f>CP38/(CP5)</f>
        <v>#DIV/0!</v>
      </c>
      <c r="CQ39" s="2004" t="e">
        <f>CQ38/(CQ5)</f>
        <v>#DIV/0!</v>
      </c>
      <c r="CR39" s="2004" t="e">
        <f>CQ39/$AD$89</f>
        <v>#DIV/0!</v>
      </c>
      <c r="CS39" s="2004"/>
      <c r="CT39" s="2003" t="e">
        <f>CT38/(CT5)</f>
        <v>#DIV/0!</v>
      </c>
      <c r="CU39" s="2003" t="str">
        <f>IFERROR(CU38/(CU5),"")</f>
        <v/>
      </c>
      <c r="CV39" s="2004" t="e">
        <f>CV38/(CV5)</f>
        <v>#DIV/0!</v>
      </c>
      <c r="CW39" s="2004" t="e">
        <f>CV39/$AD$89</f>
        <v>#DIV/0!</v>
      </c>
      <c r="CX39" s="2004"/>
      <c r="CY39" s="2003" t="e">
        <f>CY38/(CY5)</f>
        <v>#DIV/0!</v>
      </c>
      <c r="CZ39" s="2003" t="str">
        <f>IFERROR(CZ38/(CZ5),"")</f>
        <v/>
      </c>
      <c r="DA39" s="2004" t="e">
        <f>DA38/(DA5)</f>
        <v>#DIV/0!</v>
      </c>
      <c r="DB39" s="2004" t="e">
        <f>DA39/$AD$89</f>
        <v>#DIV/0!</v>
      </c>
      <c r="DC39" s="1319"/>
      <c r="DD39" s="2003" t="e">
        <f>DD38/(DD5)</f>
        <v>#DIV/0!</v>
      </c>
      <c r="DE39" s="2003" t="str">
        <f>IFERROR(DE38/(DE5),"")</f>
        <v/>
      </c>
      <c r="DF39" s="2004" t="e">
        <f>DF38/(DF5)</f>
        <v>#DIV/0!</v>
      </c>
      <c r="DG39" s="2004" t="e">
        <f>DF39/$AD$89</f>
        <v>#DIV/0!</v>
      </c>
      <c r="DH39" s="1319"/>
      <c r="DI39" s="2003" t="e">
        <f>DI38/(DI5)</f>
        <v>#DIV/0!</v>
      </c>
      <c r="DJ39" s="2003" t="str">
        <f>IFERROR(DJ38/(DJ5),"")</f>
        <v/>
      </c>
      <c r="DK39" s="2004" t="e">
        <f>DK38/(DK5)</f>
        <v>#DIV/0!</v>
      </c>
      <c r="DL39" s="2004" t="e">
        <f>DK39/$AD$89</f>
        <v>#DIV/0!</v>
      </c>
      <c r="DM39" s="1319"/>
      <c r="DN39" s="2003" t="e">
        <f>DN38/(DN5)</f>
        <v>#DIV/0!</v>
      </c>
      <c r="DO39" s="2003" t="str">
        <f>IFERROR(DO38/(DO5),"")</f>
        <v/>
      </c>
      <c r="DP39" s="2004" t="e">
        <f>DP38/(DP5)</f>
        <v>#DIV/0!</v>
      </c>
      <c r="DQ39" s="2004" t="e">
        <f>DP39/$AD$89</f>
        <v>#DIV/0!</v>
      </c>
      <c r="DR39" s="697"/>
      <c r="DS39" s="2003">
        <f>IFERROR(DS38/(DS5),0)</f>
        <v>0</v>
      </c>
      <c r="DT39" s="2003" t="str">
        <f>IFERROR(DT38/(DT5),"")</f>
        <v/>
      </c>
      <c r="DU39" s="2004">
        <f>IFERROR(DU38/(DU5),0)</f>
        <v>0</v>
      </c>
      <c r="DV39" s="2004">
        <f>DU39/$AD$89</f>
        <v>0</v>
      </c>
      <c r="DW39" s="2004"/>
      <c r="DX39" s="2003">
        <f>DX38/(DX5)</f>
        <v>0.57092121536269469</v>
      </c>
      <c r="DY39" s="2003">
        <f>DY38/(DY5)</f>
        <v>-406.25156649461115</v>
      </c>
      <c r="DZ39" s="2004">
        <f>DZ38/(DZ5)</f>
        <v>0.3551639738848677</v>
      </c>
      <c r="EA39" s="2004"/>
      <c r="EB39" s="2004"/>
      <c r="ED39" s="2003">
        <f>ED38/(ED5)</f>
        <v>0.23301802696682986</v>
      </c>
      <c r="EE39" s="2003">
        <f>EE38/(EE5)</f>
        <v>0.23301802696682986</v>
      </c>
    </row>
    <row r="40" spans="1:136" ht="14.4" thickBot="1">
      <c r="A40" s="1566"/>
      <c r="B40" s="3605"/>
      <c r="C40" s="3606"/>
      <c r="D40" s="3606"/>
      <c r="E40" s="3606"/>
      <c r="F40" s="3321">
        <f t="shared" si="51"/>
        <v>0</v>
      </c>
      <c r="G40" s="3322"/>
      <c r="H40" s="3606"/>
      <c r="I40" s="3606"/>
      <c r="J40" s="3606"/>
      <c r="K40" s="3606"/>
      <c r="L40" s="3606"/>
      <c r="M40" s="3607"/>
      <c r="N40" s="3607"/>
      <c r="O40" s="3607"/>
      <c r="P40" s="3607"/>
      <c r="Q40" s="3606"/>
      <c r="R40" s="3607"/>
      <c r="S40" s="3607"/>
      <c r="T40" s="3607"/>
      <c r="U40" s="3607"/>
      <c r="V40" s="3607"/>
      <c r="W40" s="3606"/>
      <c r="X40" s="3606"/>
      <c r="Y40" s="3606"/>
      <c r="Z40" s="3606"/>
      <c r="AA40" s="3606"/>
      <c r="AB40" s="3606"/>
      <c r="AC40" s="3606"/>
      <c r="AD40" s="3606"/>
      <c r="AE40" s="3606"/>
      <c r="AF40" s="3606"/>
      <c r="AG40" s="3608"/>
      <c r="AH40" s="3606"/>
      <c r="AI40" s="3606"/>
      <c r="AJ40" s="563"/>
      <c r="AK40" s="3606"/>
      <c r="AL40" s="3606"/>
      <c r="AM40" s="3606"/>
      <c r="AN40" s="3606"/>
      <c r="AO40" s="563">
        <f t="shared" si="56"/>
        <v>0</v>
      </c>
      <c r="AP40" s="3606"/>
      <c r="AQ40" s="3606"/>
      <c r="AR40" s="3606"/>
      <c r="AS40" s="3606"/>
      <c r="AT40" s="563">
        <f t="shared" si="57"/>
        <v>0</v>
      </c>
      <c r="AU40" s="3606"/>
      <c r="AV40" s="3606"/>
      <c r="AW40" s="3606"/>
      <c r="AX40" s="3606"/>
      <c r="AY40" s="563">
        <f>AX40/$AI$89</f>
        <v>0</v>
      </c>
      <c r="AZ40" s="3606"/>
      <c r="BA40" s="3606"/>
      <c r="BB40" s="3606"/>
      <c r="BC40" s="3606"/>
      <c r="BD40" s="563">
        <f>BC40/$AI$89</f>
        <v>0</v>
      </c>
      <c r="BE40" s="3608"/>
      <c r="BF40" s="3424"/>
      <c r="BG40" s="3377"/>
      <c r="BH40" s="3377"/>
      <c r="BI40" s="3377">
        <v>0</v>
      </c>
      <c r="BJ40" s="3377"/>
      <c r="BK40" s="3424"/>
      <c r="BL40" s="3377"/>
      <c r="BM40" s="3377"/>
      <c r="BN40" s="3377">
        <f t="shared" si="67"/>
        <v>0</v>
      </c>
      <c r="BO40" s="3377"/>
      <c r="BP40" s="3606"/>
      <c r="BQ40" s="3606"/>
      <c r="BR40" s="3606"/>
      <c r="BS40" s="563">
        <f>BR40/$AI$89</f>
        <v>0</v>
      </c>
      <c r="BT40" s="3608"/>
      <c r="BU40" s="3606"/>
      <c r="BV40" s="3606"/>
      <c r="BW40" s="3606"/>
      <c r="BX40" s="563">
        <f>BW40/$AI$89</f>
        <v>0</v>
      </c>
      <c r="BY40" s="3377"/>
      <c r="BZ40" s="3377"/>
      <c r="CA40" s="3377"/>
      <c r="CB40" s="3377"/>
      <c r="CC40" s="3377"/>
      <c r="CD40" s="3377"/>
      <c r="CE40" s="3377"/>
      <c r="CF40" s="3377"/>
      <c r="CG40" s="3377"/>
      <c r="CH40" s="3377"/>
      <c r="CI40" s="3377"/>
      <c r="CJ40" s="3377"/>
      <c r="CK40" s="3377"/>
      <c r="CL40" s="3377"/>
      <c r="CM40" s="3377"/>
      <c r="CN40" s="3377"/>
      <c r="CO40" s="3377"/>
      <c r="CP40" s="3377"/>
      <c r="CQ40" s="3377"/>
      <c r="CR40" s="3377"/>
      <c r="CS40" s="3377"/>
      <c r="CT40" s="3377"/>
      <c r="CU40" s="3377"/>
      <c r="CV40" s="3377"/>
      <c r="CW40" s="3377"/>
      <c r="CX40" s="3377"/>
      <c r="CY40" s="3377"/>
      <c r="CZ40" s="3377"/>
      <c r="DA40" s="3377"/>
      <c r="DB40" s="3377"/>
      <c r="DC40" s="3606"/>
      <c r="DD40" s="3377"/>
      <c r="DE40" s="3377"/>
      <c r="DF40" s="3377"/>
      <c r="DG40" s="3377"/>
      <c r="DH40" s="3609"/>
      <c r="DI40" s="3424"/>
      <c r="DJ40" s="3377"/>
      <c r="DK40" s="3377"/>
      <c r="DL40" s="3377"/>
      <c r="DM40" s="3609"/>
      <c r="DN40" s="3424"/>
      <c r="DO40" s="3377"/>
      <c r="DP40" s="3377"/>
      <c r="DQ40" s="3377"/>
      <c r="DR40" s="3606"/>
      <c r="DS40" s="3424"/>
      <c r="DT40" s="3377"/>
      <c r="DU40" s="3377"/>
      <c r="DV40" s="3377"/>
      <c r="DW40" s="3608"/>
      <c r="DX40" s="3608"/>
      <c r="DY40" s="3606"/>
      <c r="DZ40" s="3606"/>
      <c r="EA40" s="3606"/>
      <c r="EB40" s="3606"/>
      <c r="ED40" s="3424"/>
      <c r="EE40" s="3424"/>
    </row>
    <row r="41" spans="1:136" ht="14.4" thickBot="1">
      <c r="A41" s="821"/>
      <c r="B41" s="903" t="s">
        <v>26</v>
      </c>
      <c r="C41" s="1584">
        <f>SUM(C42:C48)</f>
        <v>3020.2799999999997</v>
      </c>
      <c r="D41" s="1584">
        <f>SUM(D42:D48)</f>
        <v>795</v>
      </c>
      <c r="E41" s="843">
        <f>SUM(E42:E48)</f>
        <v>3815.2799999999997</v>
      </c>
      <c r="F41" s="838">
        <f t="shared" si="51"/>
        <v>1.4674325040626621E-3</v>
      </c>
      <c r="G41" s="943"/>
      <c r="H41" s="1584">
        <f>SUM(H42:H48)</f>
        <v>20624.28</v>
      </c>
      <c r="I41" s="1584">
        <f>SUM(I42:I48)</f>
        <v>1633</v>
      </c>
      <c r="J41" s="843">
        <f>SUM(J42:J48)</f>
        <v>22257.279999999999</v>
      </c>
      <c r="K41" s="838">
        <f t="shared" ref="K41:K49" si="68">J41/$J$89</f>
        <v>1.7513808607258455E-3</v>
      </c>
      <c r="L41" s="1688"/>
      <c r="M41" s="3610">
        <v>81764.77</v>
      </c>
      <c r="N41" s="3610">
        <v>998.69</v>
      </c>
      <c r="O41" s="3611">
        <v>82763.460000000006</v>
      </c>
      <c r="P41" s="3612">
        <v>4.2941768723123866E-3</v>
      </c>
      <c r="Q41" s="1971"/>
      <c r="R41" s="3610">
        <f>SUM(R42:R48)</f>
        <v>4630.8</v>
      </c>
      <c r="S41" s="3610">
        <f>SUM(S42:S48)</f>
        <v>0</v>
      </c>
      <c r="T41" s="3611">
        <f>SUM(T42:T48)</f>
        <v>4630.8</v>
      </c>
      <c r="U41" s="3612">
        <f t="shared" ref="U41:U48" si="69">T41/$T$89</f>
        <v>3.5698756867164195E-3</v>
      </c>
      <c r="V41" s="3613"/>
      <c r="W41" s="1584">
        <f>SUM(W42:W48)</f>
        <v>12123.89</v>
      </c>
      <c r="X41" s="1584">
        <f>SUM(X42:X48)</f>
        <v>1661</v>
      </c>
      <c r="Y41" s="843">
        <f>SUM(Y42:Y48)</f>
        <v>13784.89</v>
      </c>
      <c r="Z41" s="838">
        <f>Y41/$Y$89</f>
        <v>6.0979682757487516E-3</v>
      </c>
      <c r="AA41" s="1688"/>
      <c r="AB41" s="1584">
        <f>SUM(AB42:AB48)</f>
        <v>0</v>
      </c>
      <c r="AC41" s="1584">
        <f>SUM(AC42:AC48)</f>
        <v>0</v>
      </c>
      <c r="AD41" s="843">
        <f>SUM(AD42:AD48)</f>
        <v>0</v>
      </c>
      <c r="AE41" s="838">
        <f>AD41/$Y$89</f>
        <v>0</v>
      </c>
      <c r="AF41" s="978"/>
      <c r="AG41" s="1584">
        <f>SUM(AG42:AG48)</f>
        <v>1926.59</v>
      </c>
      <c r="AH41" s="1584">
        <f>SUM(AH42:AH48)</f>
        <v>3200</v>
      </c>
      <c r="AI41" s="843">
        <f>SUM(AI42:AI48)</f>
        <v>5126.59</v>
      </c>
      <c r="AJ41" s="944">
        <f t="shared" si="7"/>
        <v>4.7394423560974753E-3</v>
      </c>
      <c r="AK41" s="1688"/>
      <c r="AL41" s="1584">
        <f>SUM(AL42:AL48)</f>
        <v>8583.7000000000007</v>
      </c>
      <c r="AM41" s="1584">
        <f>SUM(AM42:AM48)</f>
        <v>3200</v>
      </c>
      <c r="AN41" s="843">
        <f>SUM(AN42:AN48)</f>
        <v>11783.7</v>
      </c>
      <c r="AO41" s="944">
        <f t="shared" ref="AO41:AO52" si="70">AN41/$AN$89</f>
        <v>2.5927946088417121E-3</v>
      </c>
      <c r="AP41" s="1688"/>
      <c r="AQ41" s="1971">
        <f>SUM(AQ42:AQ48)</f>
        <v>135308.81</v>
      </c>
      <c r="AR41" s="1971">
        <f>SUM(AR42:AR48)</f>
        <v>7238.9</v>
      </c>
      <c r="AS41" s="843">
        <f>SUM(AS42:AS48)</f>
        <v>142547.71</v>
      </c>
      <c r="AT41" s="944">
        <f>AS41/$AN$89</f>
        <v>3.1365100434560603E-2</v>
      </c>
      <c r="AU41" s="1971"/>
      <c r="AV41" s="1971">
        <f>SUM(AV42:AV48)</f>
        <v>13288.81</v>
      </c>
      <c r="AW41" s="1971">
        <f>SUM(AW42:AW48)</f>
        <v>2752.34</v>
      </c>
      <c r="AX41" s="843">
        <f>SUM(AX42:AX48)</f>
        <v>16041.15</v>
      </c>
      <c r="AY41" s="944">
        <f>AX41/$AN$89</f>
        <v>3.5295711227900594E-3</v>
      </c>
      <c r="AZ41" s="1322"/>
      <c r="BA41" s="1971">
        <f>SUM(BA42:BA48)</f>
        <v>37517.4</v>
      </c>
      <c r="BB41" s="1971">
        <f>SUM(BB42:BB48)</f>
        <v>6076.67</v>
      </c>
      <c r="BC41" s="843">
        <f>SUM(BC42:BC48)</f>
        <v>43594.07</v>
      </c>
      <c r="BD41" s="944">
        <f>BC41/$AN$89</f>
        <v>9.5921034711905599E-3</v>
      </c>
      <c r="BE41" s="1688"/>
      <c r="BF41" s="2013">
        <v>121635.43</v>
      </c>
      <c r="BG41" s="2013">
        <v>35878.660000000003</v>
      </c>
      <c r="BH41" s="2014">
        <v>157514.08999999997</v>
      </c>
      <c r="BI41" s="3378">
        <v>0.12142733873332076</v>
      </c>
      <c r="BJ41" s="2006"/>
      <c r="BK41" s="2013">
        <f>SUM(BK42:BK48)</f>
        <v>0</v>
      </c>
      <c r="BL41" s="2013">
        <f>SUM(BL42:BL48)</f>
        <v>0</v>
      </c>
      <c r="BM41" s="2014">
        <f>SUM(BM42:BM48)</f>
        <v>0</v>
      </c>
      <c r="BN41" s="3378">
        <f t="shared" si="67"/>
        <v>0</v>
      </c>
      <c r="BO41" s="2006"/>
      <c r="BP41" s="1971">
        <f>SUM(BP42:BP48)</f>
        <v>0</v>
      </c>
      <c r="BQ41" s="1971">
        <f>SUM(BQ42:BQ48)</f>
        <v>0</v>
      </c>
      <c r="BR41" s="843">
        <f>SUM(BR42:BR48)</f>
        <v>0</v>
      </c>
      <c r="BS41" s="944">
        <f>BR41/$AN$89</f>
        <v>0</v>
      </c>
      <c r="BT41" s="1688"/>
      <c r="BU41" s="1971">
        <f>SUM(BU42:BU48)</f>
        <v>0</v>
      </c>
      <c r="BV41" s="1971">
        <f>SUM(BV42:BV48)</f>
        <v>0</v>
      </c>
      <c r="BW41" s="843">
        <f>SUM(BW42:BW48)</f>
        <v>0</v>
      </c>
      <c r="BX41" s="944">
        <f>BW41/$AN$89</f>
        <v>0</v>
      </c>
      <c r="BY41" s="2006"/>
      <c r="BZ41" s="2013">
        <f>SUM(BZ42:BZ48)</f>
        <v>0</v>
      </c>
      <c r="CA41" s="2013">
        <f>SUM(CA42:CA48)</f>
        <v>0</v>
      </c>
      <c r="CB41" s="2014">
        <f>SUM(CB42:CB48)</f>
        <v>0</v>
      </c>
      <c r="CC41" s="3378">
        <f t="shared" ref="CC41:CC52" si="71">CB41/$AD$89</f>
        <v>0</v>
      </c>
      <c r="CD41" s="2006"/>
      <c r="CE41" s="2013">
        <f>SUM(CE42:CE48)</f>
        <v>0</v>
      </c>
      <c r="CF41" s="2013">
        <f>SUM(CF42:CF48)</f>
        <v>0</v>
      </c>
      <c r="CG41" s="2014">
        <f>SUM(CG42:CG48)</f>
        <v>0</v>
      </c>
      <c r="CH41" s="3378">
        <f t="shared" ref="CH41:CH52" si="72">CG41/$AD$89</f>
        <v>0</v>
      </c>
      <c r="CI41" s="2006"/>
      <c r="CJ41" s="2013">
        <f>SUM(CJ42:CJ48)</f>
        <v>0</v>
      </c>
      <c r="CK41" s="2013">
        <f>SUM(CK42:CK48)</f>
        <v>0</v>
      </c>
      <c r="CL41" s="2014">
        <f>SUM(CL42:CL48)</f>
        <v>0</v>
      </c>
      <c r="CM41" s="3378">
        <f t="shared" ref="CM41:CM52" si="73">CL41/$AD$89</f>
        <v>0</v>
      </c>
      <c r="CN41" s="2006"/>
      <c r="CO41" s="2013">
        <f>SUM(CO42:CO48)</f>
        <v>0</v>
      </c>
      <c r="CP41" s="2013">
        <f>SUM(CP42:CP48)</f>
        <v>0</v>
      </c>
      <c r="CQ41" s="2014">
        <f>SUM(CQ42:CQ48)</f>
        <v>0</v>
      </c>
      <c r="CR41" s="3378">
        <f t="shared" ref="CR41:CR52" si="74">CQ41/$AD$89</f>
        <v>0</v>
      </c>
      <c r="CS41" s="2006"/>
      <c r="CT41" s="2013">
        <f>SUM(CT42:CT48)</f>
        <v>0</v>
      </c>
      <c r="CU41" s="2013">
        <f>SUM(CU42:CU48)</f>
        <v>0</v>
      </c>
      <c r="CV41" s="2014">
        <f>SUM(CV42:CV48)</f>
        <v>0</v>
      </c>
      <c r="CW41" s="3378">
        <f t="shared" ref="CW41:CW52" si="75">CV41/$AD$89</f>
        <v>0</v>
      </c>
      <c r="CX41" s="2006"/>
      <c r="CY41" s="2013">
        <f>SUM(CY42:CY48)</f>
        <v>0</v>
      </c>
      <c r="CZ41" s="2013">
        <f>SUM(CZ42:CZ48)</f>
        <v>0</v>
      </c>
      <c r="DA41" s="2014">
        <f>SUM(DA42:DA48)</f>
        <v>0</v>
      </c>
      <c r="DB41" s="3378">
        <f t="shared" ref="DB41:DB52" si="76">DA41/$AD$89</f>
        <v>0</v>
      </c>
      <c r="DC41" s="3116"/>
      <c r="DD41" s="2013">
        <f>SUM(DD42:DD48)</f>
        <v>0</v>
      </c>
      <c r="DE41" s="2013">
        <f>SUM(DE42:DE48)</f>
        <v>0</v>
      </c>
      <c r="DF41" s="2014">
        <f>SUM(DF42:DF48)</f>
        <v>0</v>
      </c>
      <c r="DG41" s="3378">
        <f t="shared" ref="DG41:DG52" si="77">DF41/$AD$89</f>
        <v>0</v>
      </c>
      <c r="DH41" s="1971"/>
      <c r="DI41" s="2013">
        <f>SUM(DI42:DI48)</f>
        <v>0</v>
      </c>
      <c r="DJ41" s="2013">
        <f>SUM(DJ42:DJ48)</f>
        <v>0</v>
      </c>
      <c r="DK41" s="2014">
        <f>SUM(DK42:DK48)</f>
        <v>0</v>
      </c>
      <c r="DL41" s="3378">
        <f t="shared" ref="DL41:DL52" si="78">DK41/$AD$89</f>
        <v>0</v>
      </c>
      <c r="DM41" s="1971"/>
      <c r="DN41" s="2013">
        <f>SUM(DN42:DN48)</f>
        <v>0</v>
      </c>
      <c r="DO41" s="2013">
        <f>SUM(DO42:DO48)</f>
        <v>0</v>
      </c>
      <c r="DP41" s="2014">
        <f>SUM(DP42:DP48)</f>
        <v>0</v>
      </c>
      <c r="DQ41" s="3378">
        <f t="shared" ref="DQ41:DQ52" si="79">DP41/$AD$89</f>
        <v>0</v>
      </c>
      <c r="DR41" s="1688"/>
      <c r="DS41" s="2013">
        <f>SUM(DS42:DS48)</f>
        <v>0</v>
      </c>
      <c r="DT41" s="2013">
        <f>SUM(DT42:DT48)</f>
        <v>0</v>
      </c>
      <c r="DU41" s="2014">
        <f>SUM(DU42:DU48)</f>
        <v>0</v>
      </c>
      <c r="DV41" s="3378">
        <f t="shared" ref="DV41:DV52" si="80">DU41/$AD$89</f>
        <v>0</v>
      </c>
      <c r="DW41" s="1688"/>
      <c r="DX41" s="1584">
        <f>SUM(DX42:DX48)</f>
        <v>335015.43</v>
      </c>
      <c r="DY41" s="843">
        <f>SUM(DY42:DY48)</f>
        <v>60007.57</v>
      </c>
      <c r="DZ41" s="843">
        <f>SUM(DZ42:DZ48)</f>
        <v>395023</v>
      </c>
      <c r="EA41" s="838" t="e">
        <f t="shared" ref="EA41:EA52" si="81">DZ41/$BW$89</f>
        <v>#DIV/0!</v>
      </c>
      <c r="EB41" s="1688"/>
      <c r="ED41" s="2013">
        <f>SUM(ED42:ED48)</f>
        <v>121833.53</v>
      </c>
      <c r="EE41" s="2013">
        <f>SUM(EE42:EE48)</f>
        <v>121833.53</v>
      </c>
    </row>
    <row r="42" spans="1:136" ht="43.2" customHeight="1">
      <c r="A42" s="4833"/>
      <c r="B42" s="1403" t="s">
        <v>7</v>
      </c>
      <c r="C42" s="1064"/>
      <c r="D42" s="1314"/>
      <c r="E42" s="1064">
        <f t="shared" ref="E42:E48" si="82">C42+D42*1</f>
        <v>0</v>
      </c>
      <c r="F42" s="1976">
        <f t="shared" si="51"/>
        <v>0</v>
      </c>
      <c r="G42" s="3316"/>
      <c r="H42" s="3349"/>
      <c r="I42" s="3349"/>
      <c r="J42" s="2012">
        <f t="shared" ref="J42:J48" si="83">H42+I42*1</f>
        <v>0</v>
      </c>
      <c r="K42" s="1976">
        <f t="shared" si="68"/>
        <v>0</v>
      </c>
      <c r="L42" s="1434"/>
      <c r="M42" s="3490">
        <v>0</v>
      </c>
      <c r="N42" s="3490">
        <v>0</v>
      </c>
      <c r="O42" s="3491">
        <v>0</v>
      </c>
      <c r="P42" s="3506">
        <v>0</v>
      </c>
      <c r="Q42" s="1434"/>
      <c r="R42" s="3490"/>
      <c r="S42" s="3490"/>
      <c r="T42" s="3491">
        <f t="shared" ref="T42:T48" si="84">R42+S42*1</f>
        <v>0</v>
      </c>
      <c r="U42" s="3506">
        <f t="shared" si="69"/>
        <v>0</v>
      </c>
      <c r="V42" s="3507"/>
      <c r="W42" s="3341"/>
      <c r="X42" s="3341"/>
      <c r="Y42" s="2012">
        <f t="shared" ref="Y42:Y48" si="85">W42+X42*1</f>
        <v>0</v>
      </c>
      <c r="Z42" s="1976">
        <f t="shared" ref="Z42:Z48" si="86">Y42/$T$89</f>
        <v>0</v>
      </c>
      <c r="AA42" s="1434"/>
      <c r="AB42" s="3341"/>
      <c r="AC42" s="3341"/>
      <c r="AD42" s="2012">
        <f t="shared" ref="AD42:AD48" si="87">AB42+AC42*1</f>
        <v>0</v>
      </c>
      <c r="AE42" s="2541">
        <f>AD42/$T$89</f>
        <v>0</v>
      </c>
      <c r="AF42" s="979"/>
      <c r="AG42" s="3562"/>
      <c r="AH42" s="3563"/>
      <c r="AI42" s="941">
        <f t="shared" ref="AI42:AI48" si="88">AG42+AH42*1</f>
        <v>0</v>
      </c>
      <c r="AJ42" s="624">
        <f t="shared" si="7"/>
        <v>0</v>
      </c>
      <c r="AK42" s="942"/>
      <c r="AL42" s="3562"/>
      <c r="AM42" s="3563"/>
      <c r="AN42" s="941">
        <f t="shared" ref="AN42:AN48" si="89">AL42+AM42*1</f>
        <v>0</v>
      </c>
      <c r="AO42" s="624">
        <f t="shared" si="70"/>
        <v>0</v>
      </c>
      <c r="AP42" s="3342"/>
      <c r="AQ42" s="3341"/>
      <c r="AR42" s="3354"/>
      <c r="AS42" s="941">
        <f t="shared" ref="AS42:AS48" si="90">AQ42+AR42*1</f>
        <v>0</v>
      </c>
      <c r="AT42" s="624">
        <f t="shared" ref="AT42:AT48" si="91">AS42/$AS$89</f>
        <v>0</v>
      </c>
      <c r="AU42" s="3342"/>
      <c r="AV42" s="1325"/>
      <c r="AW42" s="1325"/>
      <c r="AX42" s="941">
        <f t="shared" ref="AX42:AX48" si="92">AV42+AW42*1</f>
        <v>0</v>
      </c>
      <c r="AY42" s="624">
        <f t="shared" ref="AY42:AY48" si="93">AX42/$AS$89</f>
        <v>0</v>
      </c>
      <c r="AZ42" s="1434"/>
      <c r="BA42" s="1064">
        <v>1232.5</v>
      </c>
      <c r="BB42" s="1434"/>
      <c r="BC42" s="941">
        <f t="shared" ref="BC42:BC48" si="94">BA42+BB42*1</f>
        <v>1232.5</v>
      </c>
      <c r="BD42" s="1347">
        <f t="shared" si="34"/>
        <v>1.8176120710044837E-4</v>
      </c>
      <c r="BE42" s="1862" t="s">
        <v>1244</v>
      </c>
      <c r="BF42" s="3354">
        <v>0</v>
      </c>
      <c r="BG42" s="3341">
        <v>0</v>
      </c>
      <c r="BH42" s="2012">
        <v>0</v>
      </c>
      <c r="BI42" s="3350">
        <v>0</v>
      </c>
      <c r="BJ42" s="3343"/>
      <c r="BK42" s="3354">
        <f t="shared" ref="BK42:BL48" si="95">BP42+BU42+BZ42+CE42+CJ42+CO42+CT42+CY42+DD42+DI42+DN42+DS42</f>
        <v>0</v>
      </c>
      <c r="BL42" s="3341">
        <f t="shared" si="95"/>
        <v>0</v>
      </c>
      <c r="BM42" s="2012">
        <f t="shared" ref="BM42:BM48" si="96">BK42+BL42*1</f>
        <v>0</v>
      </c>
      <c r="BN42" s="3350">
        <f t="shared" si="67"/>
        <v>0</v>
      </c>
      <c r="BO42" s="3343"/>
      <c r="BP42" s="1064"/>
      <c r="BQ42" s="1434"/>
      <c r="BR42" s="2098">
        <f t="shared" ref="BR42:BR48" si="97">BP42+BQ42*1</f>
        <v>0</v>
      </c>
      <c r="BS42" s="1986">
        <f t="shared" si="37"/>
        <v>0</v>
      </c>
      <c r="BT42" s="1862"/>
      <c r="BU42" s="3341"/>
      <c r="BV42" s="3341"/>
      <c r="BW42" s="2012">
        <f t="shared" ref="BW42:BW48" si="98">BU42+BV42*1</f>
        <v>0</v>
      </c>
      <c r="BX42" s="3350">
        <f t="shared" ref="BX42:BX48" si="99">BW42/$E$89</f>
        <v>0</v>
      </c>
      <c r="BY42" s="3360"/>
      <c r="BZ42" s="3341"/>
      <c r="CA42" s="3341"/>
      <c r="CB42" s="2012">
        <f t="shared" ref="CB42:CB48" si="100">BZ42+CA42*1</f>
        <v>0</v>
      </c>
      <c r="CC42" s="3350">
        <f t="shared" si="71"/>
        <v>0</v>
      </c>
      <c r="CD42" s="3343"/>
      <c r="CE42" s="3341"/>
      <c r="CF42" s="3341"/>
      <c r="CG42" s="2012">
        <f t="shared" ref="CG42:CG48" si="101">CE42+CF42*1</f>
        <v>0</v>
      </c>
      <c r="CH42" s="3350">
        <f t="shared" si="72"/>
        <v>0</v>
      </c>
      <c r="CI42" s="3343"/>
      <c r="CJ42" s="3341"/>
      <c r="CK42" s="3341"/>
      <c r="CL42" s="3341">
        <f t="shared" ref="CL42:CL48" si="102">CJ42+CK42*1</f>
        <v>0</v>
      </c>
      <c r="CM42" s="3350">
        <f t="shared" si="73"/>
        <v>0</v>
      </c>
      <c r="CN42" s="3343"/>
      <c r="CO42" s="3341"/>
      <c r="CP42" s="3341"/>
      <c r="CQ42" s="3341">
        <f t="shared" ref="CQ42:CQ49" si="103">CO42+CP42*1</f>
        <v>0</v>
      </c>
      <c r="CR42" s="3350">
        <f t="shared" si="74"/>
        <v>0</v>
      </c>
      <c r="CS42" s="3343"/>
      <c r="CT42" s="3341"/>
      <c r="CU42" s="3341"/>
      <c r="CV42" s="3341">
        <f t="shared" ref="CV42:CV49" si="104">CT42+CU42*1</f>
        <v>0</v>
      </c>
      <c r="CW42" s="3350">
        <f t="shared" si="75"/>
        <v>0</v>
      </c>
      <c r="CX42" s="3343"/>
      <c r="CY42" s="3341"/>
      <c r="CZ42" s="3341"/>
      <c r="DA42" s="3341">
        <f t="shared" ref="DA42:DA49" si="105">CY42+CZ42*1</f>
        <v>0</v>
      </c>
      <c r="DB42" s="3350">
        <f t="shared" si="76"/>
        <v>0</v>
      </c>
      <c r="DC42" s="3343"/>
      <c r="DD42" s="3341"/>
      <c r="DE42" s="3341"/>
      <c r="DF42" s="3341">
        <f t="shared" ref="DF42:DF49" si="106">DD42+DE42*1</f>
        <v>0</v>
      </c>
      <c r="DG42" s="3350">
        <f t="shared" si="77"/>
        <v>0</v>
      </c>
      <c r="DH42" s="3493"/>
      <c r="DI42" s="3354"/>
      <c r="DJ42" s="3341"/>
      <c r="DK42" s="3341">
        <f t="shared" ref="DK42:DK49" si="107">DI42+DJ42*1</f>
        <v>0</v>
      </c>
      <c r="DL42" s="3350">
        <f t="shared" si="78"/>
        <v>0</v>
      </c>
      <c r="DM42" s="3493"/>
      <c r="DN42" s="3354"/>
      <c r="DO42" s="3341"/>
      <c r="DP42" s="3341">
        <f t="shared" ref="DP42:DP49" si="108">DN42+DO42*1</f>
        <v>0</v>
      </c>
      <c r="DQ42" s="3350">
        <f t="shared" si="79"/>
        <v>0</v>
      </c>
      <c r="DR42" s="3343"/>
      <c r="DS42" s="3354"/>
      <c r="DT42" s="3341"/>
      <c r="DU42" s="3341">
        <f t="shared" ref="DU42:DU49" si="109">DS42+DT42*1</f>
        <v>0</v>
      </c>
      <c r="DV42" s="3350">
        <f t="shared" si="80"/>
        <v>0</v>
      </c>
      <c r="DW42" s="3523"/>
      <c r="DX42" s="3354">
        <f t="shared" ref="DX42:DY48" si="110">R42+W42+AB42+AG42+AL42+AQ42+AV42+BA42+BP42+BU42+BZ42+CE42+CJ42+CO42+CT42+CY42+DD42+DI42+DN42+DS42+BF42</f>
        <v>1232.5</v>
      </c>
      <c r="DY42" s="3354">
        <f t="shared" si="110"/>
        <v>0</v>
      </c>
      <c r="DZ42" s="3349">
        <f t="shared" ref="DZ42:DZ48" si="111">DX42+DY42*1</f>
        <v>1232.5</v>
      </c>
      <c r="EA42" s="1976" t="e">
        <f t="shared" si="81"/>
        <v>#DIV/0!</v>
      </c>
      <c r="EB42" s="1434"/>
      <c r="ED42" s="3354"/>
      <c r="EE42" s="3494">
        <f>ED42-BM42</f>
        <v>0</v>
      </c>
    </row>
    <row r="43" spans="1:136" ht="13.95" customHeight="1">
      <c r="A43" s="4833"/>
      <c r="B43" s="3379" t="s">
        <v>27</v>
      </c>
      <c r="C43" s="3614"/>
      <c r="D43" s="3615"/>
      <c r="E43" s="1064">
        <f t="shared" si="82"/>
        <v>0</v>
      </c>
      <c r="F43" s="3350">
        <f t="shared" si="51"/>
        <v>0</v>
      </c>
      <c r="G43" s="3316"/>
      <c r="H43" s="3349"/>
      <c r="I43" s="3349"/>
      <c r="J43" s="2012">
        <f t="shared" si="83"/>
        <v>0</v>
      </c>
      <c r="K43" s="3350">
        <f t="shared" si="68"/>
        <v>0</v>
      </c>
      <c r="L43" s="3360"/>
      <c r="M43" s="3490">
        <v>0</v>
      </c>
      <c r="N43" s="3490">
        <v>0</v>
      </c>
      <c r="O43" s="3491">
        <v>0</v>
      </c>
      <c r="P43" s="3516">
        <v>0</v>
      </c>
      <c r="Q43" s="1434"/>
      <c r="R43" s="3490"/>
      <c r="S43" s="3490"/>
      <c r="T43" s="3491">
        <f t="shared" si="84"/>
        <v>0</v>
      </c>
      <c r="U43" s="3516">
        <f t="shared" si="69"/>
        <v>0</v>
      </c>
      <c r="V43" s="3533"/>
      <c r="W43" s="3341"/>
      <c r="X43" s="3341"/>
      <c r="Y43" s="2012">
        <f t="shared" si="85"/>
        <v>0</v>
      </c>
      <c r="Z43" s="3350">
        <f t="shared" si="86"/>
        <v>0</v>
      </c>
      <c r="AA43" s="3360"/>
      <c r="AB43" s="3341"/>
      <c r="AC43" s="3341"/>
      <c r="AD43" s="2012">
        <f t="shared" si="87"/>
        <v>0</v>
      </c>
      <c r="AE43" s="3616">
        <f>AD43/$T$89</f>
        <v>0</v>
      </c>
      <c r="AF43" s="3617"/>
      <c r="AG43" s="3618"/>
      <c r="AH43" s="3582"/>
      <c r="AI43" s="3583">
        <f t="shared" si="88"/>
        <v>0</v>
      </c>
      <c r="AJ43" s="3509">
        <f t="shared" si="7"/>
        <v>0</v>
      </c>
      <c r="AK43" s="3529"/>
      <c r="AL43" s="3618"/>
      <c r="AM43" s="3582"/>
      <c r="AN43" s="3583">
        <f t="shared" si="89"/>
        <v>0</v>
      </c>
      <c r="AO43" s="3509">
        <f t="shared" si="70"/>
        <v>0</v>
      </c>
      <c r="AP43" s="3342"/>
      <c r="AQ43" s="3341">
        <v>1730</v>
      </c>
      <c r="AR43" s="3354"/>
      <c r="AS43" s="3583">
        <f t="shared" si="90"/>
        <v>1730</v>
      </c>
      <c r="AT43" s="3509">
        <f t="shared" si="91"/>
        <v>2.7436722559949169E-4</v>
      </c>
      <c r="AU43" s="3342" t="s">
        <v>1175</v>
      </c>
      <c r="AV43" s="1325"/>
      <c r="AW43" s="1325"/>
      <c r="AX43" s="3583">
        <f t="shared" si="92"/>
        <v>0</v>
      </c>
      <c r="AY43" s="3509">
        <f t="shared" si="93"/>
        <v>0</v>
      </c>
      <c r="AZ43" s="1434"/>
      <c r="BA43" s="1064"/>
      <c r="BB43" s="1434"/>
      <c r="BC43" s="3583">
        <f t="shared" si="94"/>
        <v>0</v>
      </c>
      <c r="BD43" s="3511">
        <f t="shared" si="34"/>
        <v>0</v>
      </c>
      <c r="BE43" s="1859"/>
      <c r="BF43" s="3354">
        <v>0</v>
      </c>
      <c r="BG43" s="3341">
        <v>79</v>
      </c>
      <c r="BH43" s="2012">
        <v>79</v>
      </c>
      <c r="BI43" s="3350">
        <v>6.0900962954694034E-5</v>
      </c>
      <c r="BJ43" s="3343"/>
      <c r="BK43" s="3354">
        <f t="shared" si="95"/>
        <v>0</v>
      </c>
      <c r="BL43" s="3341">
        <f t="shared" si="95"/>
        <v>0</v>
      </c>
      <c r="BM43" s="2012">
        <f t="shared" si="96"/>
        <v>0</v>
      </c>
      <c r="BN43" s="3350">
        <f t="shared" si="67"/>
        <v>0</v>
      </c>
      <c r="BO43" s="3343"/>
      <c r="BP43" s="1064"/>
      <c r="BQ43" s="1434"/>
      <c r="BR43" s="3588">
        <f t="shared" si="97"/>
        <v>0</v>
      </c>
      <c r="BS43" s="3432">
        <f t="shared" si="37"/>
        <v>0</v>
      </c>
      <c r="BT43" s="1859"/>
      <c r="BU43" s="3341"/>
      <c r="BV43" s="3341"/>
      <c r="BW43" s="2012">
        <f t="shared" si="98"/>
        <v>0</v>
      </c>
      <c r="BX43" s="3350">
        <f t="shared" si="99"/>
        <v>0</v>
      </c>
      <c r="BY43" s="3360"/>
      <c r="BZ43" s="3341"/>
      <c r="CA43" s="3341"/>
      <c r="CB43" s="2012">
        <f t="shared" si="100"/>
        <v>0</v>
      </c>
      <c r="CC43" s="3350">
        <f t="shared" si="71"/>
        <v>0</v>
      </c>
      <c r="CD43" s="3343"/>
      <c r="CE43" s="3341"/>
      <c r="CF43" s="3341"/>
      <c r="CG43" s="2012">
        <f t="shared" si="101"/>
        <v>0</v>
      </c>
      <c r="CH43" s="3350">
        <f t="shared" si="72"/>
        <v>0</v>
      </c>
      <c r="CI43" s="3343"/>
      <c r="CJ43" s="3341"/>
      <c r="CK43" s="3341"/>
      <c r="CL43" s="3341">
        <f t="shared" si="102"/>
        <v>0</v>
      </c>
      <c r="CM43" s="3350">
        <f t="shared" si="73"/>
        <v>0</v>
      </c>
      <c r="CN43" s="3343"/>
      <c r="CO43" s="3341"/>
      <c r="CP43" s="3341"/>
      <c r="CQ43" s="3341">
        <f t="shared" si="103"/>
        <v>0</v>
      </c>
      <c r="CR43" s="3350">
        <f t="shared" si="74"/>
        <v>0</v>
      </c>
      <c r="CS43" s="3343"/>
      <c r="CT43" s="3341"/>
      <c r="CU43" s="3341"/>
      <c r="CV43" s="3341">
        <f t="shared" si="104"/>
        <v>0</v>
      </c>
      <c r="CW43" s="3350">
        <f t="shared" si="75"/>
        <v>0</v>
      </c>
      <c r="CX43" s="3343"/>
      <c r="CY43" s="3341"/>
      <c r="CZ43" s="3341"/>
      <c r="DA43" s="3341">
        <f t="shared" si="105"/>
        <v>0</v>
      </c>
      <c r="DB43" s="3350">
        <f t="shared" si="76"/>
        <v>0</v>
      </c>
      <c r="DC43" s="3343"/>
      <c r="DD43" s="3341"/>
      <c r="DE43" s="3341"/>
      <c r="DF43" s="3341">
        <f t="shared" si="106"/>
        <v>0</v>
      </c>
      <c r="DG43" s="3350">
        <f t="shared" si="77"/>
        <v>0</v>
      </c>
      <c r="DH43" s="3493"/>
      <c r="DI43" s="3354"/>
      <c r="DJ43" s="3341"/>
      <c r="DK43" s="3341">
        <f t="shared" si="107"/>
        <v>0</v>
      </c>
      <c r="DL43" s="3350">
        <f t="shared" si="78"/>
        <v>0</v>
      </c>
      <c r="DM43" s="3493"/>
      <c r="DN43" s="3354"/>
      <c r="DO43" s="3341"/>
      <c r="DP43" s="3341">
        <f t="shared" si="108"/>
        <v>0</v>
      </c>
      <c r="DQ43" s="3350">
        <f t="shared" si="79"/>
        <v>0</v>
      </c>
      <c r="DR43" s="3343"/>
      <c r="DS43" s="3354"/>
      <c r="DT43" s="3341"/>
      <c r="DU43" s="3341">
        <f t="shared" si="109"/>
        <v>0</v>
      </c>
      <c r="DV43" s="3350">
        <f t="shared" si="80"/>
        <v>0</v>
      </c>
      <c r="DW43" s="3523"/>
      <c r="DX43" s="3428">
        <f t="shared" si="110"/>
        <v>1730</v>
      </c>
      <c r="DY43" s="3428">
        <f t="shared" si="110"/>
        <v>79</v>
      </c>
      <c r="DZ43" s="3349">
        <f t="shared" si="111"/>
        <v>1809</v>
      </c>
      <c r="EA43" s="3350" t="e">
        <f t="shared" si="81"/>
        <v>#DIV/0!</v>
      </c>
      <c r="EB43" s="3360"/>
      <c r="ED43" s="1345">
        <v>4460</v>
      </c>
      <c r="EE43" s="3494">
        <f>ED43-BM43</f>
        <v>4460</v>
      </c>
      <c r="EF43" s="3336"/>
    </row>
    <row r="44" spans="1:136" ht="41.4">
      <c r="A44" s="4833"/>
      <c r="B44" s="3372" t="s">
        <v>28</v>
      </c>
      <c r="C44" s="3614">
        <v>1107</v>
      </c>
      <c r="D44" s="3615">
        <v>225</v>
      </c>
      <c r="E44" s="1064">
        <f t="shared" si="82"/>
        <v>1332</v>
      </c>
      <c r="F44" s="3350">
        <f t="shared" si="51"/>
        <v>5.1231366909151258E-4</v>
      </c>
      <c r="G44" s="3311" t="s">
        <v>173</v>
      </c>
      <c r="H44" s="3349"/>
      <c r="I44" s="3349"/>
      <c r="J44" s="2012">
        <f t="shared" si="83"/>
        <v>0</v>
      </c>
      <c r="K44" s="3350">
        <f t="shared" si="68"/>
        <v>0</v>
      </c>
      <c r="L44" s="3360"/>
      <c r="M44" s="3490">
        <v>0</v>
      </c>
      <c r="N44" s="3490">
        <v>0</v>
      </c>
      <c r="O44" s="3491">
        <v>0</v>
      </c>
      <c r="P44" s="3516">
        <v>0</v>
      </c>
      <c r="Q44" s="1434"/>
      <c r="R44" s="3490"/>
      <c r="S44" s="3490"/>
      <c r="T44" s="3491">
        <f t="shared" si="84"/>
        <v>0</v>
      </c>
      <c r="U44" s="3516">
        <f t="shared" si="69"/>
        <v>0</v>
      </c>
      <c r="V44" s="3533"/>
      <c r="W44" s="3341"/>
      <c r="X44" s="3341">
        <v>460</v>
      </c>
      <c r="Y44" s="2012">
        <f t="shared" si="85"/>
        <v>460</v>
      </c>
      <c r="Z44" s="3350">
        <f t="shared" si="86"/>
        <v>3.5461320201467413E-4</v>
      </c>
      <c r="AA44" s="3360" t="s">
        <v>750</v>
      </c>
      <c r="AB44" s="3341"/>
      <c r="AC44" s="3341"/>
      <c r="AD44" s="2012">
        <f t="shared" si="87"/>
        <v>0</v>
      </c>
      <c r="AE44" s="3616">
        <f>AD44/$T$89</f>
        <v>0</v>
      </c>
      <c r="AF44" s="3617"/>
      <c r="AG44" s="3618"/>
      <c r="AH44" s="3582">
        <v>3200</v>
      </c>
      <c r="AI44" s="3583">
        <f t="shared" si="88"/>
        <v>3200</v>
      </c>
      <c r="AJ44" s="3509">
        <f t="shared" si="7"/>
        <v>2.9583437605722167E-3</v>
      </c>
      <c r="AK44" s="3529" t="s">
        <v>641</v>
      </c>
      <c r="AL44" s="3618"/>
      <c r="AM44" s="3582">
        <v>3200</v>
      </c>
      <c r="AN44" s="3583">
        <f t="shared" si="89"/>
        <v>3200</v>
      </c>
      <c r="AO44" s="3509">
        <f t="shared" si="70"/>
        <v>7.0410335873227238E-4</v>
      </c>
      <c r="AP44" s="3342" t="s">
        <v>641</v>
      </c>
      <c r="AQ44" s="3341">
        <v>867</v>
      </c>
      <c r="AR44" s="3354">
        <f>2000+900+1400</f>
        <v>4300</v>
      </c>
      <c r="AS44" s="3583">
        <f t="shared" si="90"/>
        <v>5167</v>
      </c>
      <c r="AT44" s="3509">
        <f t="shared" si="91"/>
        <v>8.1945402004195004E-4</v>
      </c>
      <c r="AU44" s="3342" t="s">
        <v>1168</v>
      </c>
      <c r="AV44" s="1325"/>
      <c r="AW44" s="1325">
        <v>2752.34</v>
      </c>
      <c r="AX44" s="3583">
        <f t="shared" si="92"/>
        <v>2752.34</v>
      </c>
      <c r="AY44" s="3509">
        <f t="shared" si="93"/>
        <v>4.3650398248930923E-4</v>
      </c>
      <c r="AZ44" s="3343" t="s">
        <v>1218</v>
      </c>
      <c r="BA44" s="1064">
        <v>23800</v>
      </c>
      <c r="BB44" s="1352">
        <f>2300+976.67+2800</f>
        <v>6076.67</v>
      </c>
      <c r="BC44" s="3583">
        <f t="shared" si="94"/>
        <v>29876.67</v>
      </c>
      <c r="BD44" s="3511">
        <f t="shared" si="34"/>
        <v>4.4060199621434098E-3</v>
      </c>
      <c r="BE44" s="3512" t="s">
        <v>1252</v>
      </c>
      <c r="BF44" s="3354">
        <v>15857.23</v>
      </c>
      <c r="BG44" s="3341">
        <v>28669.66</v>
      </c>
      <c r="BH44" s="2012">
        <v>44526.89</v>
      </c>
      <c r="BI44" s="3350">
        <v>3.4325702257946032E-2</v>
      </c>
      <c r="BJ44" s="3343"/>
      <c r="BK44" s="3354">
        <f t="shared" si="95"/>
        <v>0</v>
      </c>
      <c r="BL44" s="3341">
        <f t="shared" si="95"/>
        <v>0</v>
      </c>
      <c r="BM44" s="2012">
        <f t="shared" si="96"/>
        <v>0</v>
      </c>
      <c r="BN44" s="3350">
        <f t="shared" si="67"/>
        <v>0</v>
      </c>
      <c r="BO44" s="3343"/>
      <c r="BP44" s="1064"/>
      <c r="BQ44" s="1352"/>
      <c r="BR44" s="3588">
        <f t="shared" si="97"/>
        <v>0</v>
      </c>
      <c r="BS44" s="3432">
        <f t="shared" si="37"/>
        <v>0</v>
      </c>
      <c r="BT44" s="3512"/>
      <c r="BU44" s="3341"/>
      <c r="BV44" s="3341"/>
      <c r="BW44" s="2012">
        <f t="shared" si="98"/>
        <v>0</v>
      </c>
      <c r="BX44" s="3350">
        <f t="shared" si="99"/>
        <v>0</v>
      </c>
      <c r="BY44" s="2118"/>
      <c r="BZ44" s="3341"/>
      <c r="CA44" s="3341"/>
      <c r="CB44" s="2012">
        <f t="shared" si="100"/>
        <v>0</v>
      </c>
      <c r="CC44" s="3350">
        <f t="shared" si="71"/>
        <v>0</v>
      </c>
      <c r="CD44" s="3343"/>
      <c r="CE44" s="3341"/>
      <c r="CF44" s="3341"/>
      <c r="CG44" s="2012">
        <f t="shared" si="101"/>
        <v>0</v>
      </c>
      <c r="CH44" s="3350">
        <f t="shared" si="72"/>
        <v>0</v>
      </c>
      <c r="CI44" s="3343"/>
      <c r="CJ44" s="3341"/>
      <c r="CK44" s="3341"/>
      <c r="CL44" s="3341">
        <f t="shared" si="102"/>
        <v>0</v>
      </c>
      <c r="CM44" s="3350">
        <f t="shared" si="73"/>
        <v>0</v>
      </c>
      <c r="CN44" s="3343"/>
      <c r="CO44" s="3341"/>
      <c r="CP44" s="3341"/>
      <c r="CQ44" s="3341">
        <f t="shared" si="103"/>
        <v>0</v>
      </c>
      <c r="CR44" s="3350">
        <f t="shared" si="74"/>
        <v>0</v>
      </c>
      <c r="CS44" s="3343"/>
      <c r="CT44" s="3341"/>
      <c r="CU44" s="3341"/>
      <c r="CV44" s="3341">
        <f t="shared" si="104"/>
        <v>0</v>
      </c>
      <c r="CW44" s="3350">
        <f t="shared" si="75"/>
        <v>0</v>
      </c>
      <c r="CX44" s="3343"/>
      <c r="CY44" s="3341"/>
      <c r="CZ44" s="3341"/>
      <c r="DA44" s="3341">
        <f t="shared" si="105"/>
        <v>0</v>
      </c>
      <c r="DB44" s="3350">
        <f t="shared" si="76"/>
        <v>0</v>
      </c>
      <c r="DC44" s="3343"/>
      <c r="DD44" s="3341"/>
      <c r="DE44" s="3341"/>
      <c r="DF44" s="3341">
        <f t="shared" si="106"/>
        <v>0</v>
      </c>
      <c r="DG44" s="3350">
        <f t="shared" si="77"/>
        <v>0</v>
      </c>
      <c r="DH44" s="3493"/>
      <c r="DI44" s="3354"/>
      <c r="DJ44" s="3341"/>
      <c r="DK44" s="3341">
        <f t="shared" si="107"/>
        <v>0</v>
      </c>
      <c r="DL44" s="3350">
        <f t="shared" si="78"/>
        <v>0</v>
      </c>
      <c r="DM44" s="3493"/>
      <c r="DN44" s="3354"/>
      <c r="DO44" s="3341"/>
      <c r="DP44" s="3341">
        <f t="shared" si="108"/>
        <v>0</v>
      </c>
      <c r="DQ44" s="3350">
        <f t="shared" si="79"/>
        <v>0</v>
      </c>
      <c r="DR44" s="3343"/>
      <c r="DS44" s="3354"/>
      <c r="DT44" s="3341"/>
      <c r="DU44" s="3341">
        <f t="shared" si="109"/>
        <v>0</v>
      </c>
      <c r="DV44" s="3350">
        <f t="shared" si="80"/>
        <v>0</v>
      </c>
      <c r="DW44" s="3523"/>
      <c r="DX44" s="3428">
        <f t="shared" si="110"/>
        <v>40524.229999999996</v>
      </c>
      <c r="DY44" s="3428">
        <f t="shared" si="110"/>
        <v>48658.67</v>
      </c>
      <c r="DZ44" s="3349">
        <f t="shared" si="111"/>
        <v>89182.9</v>
      </c>
      <c r="EA44" s="3350" t="e">
        <f t="shared" si="81"/>
        <v>#DIV/0!</v>
      </c>
      <c r="EB44" s="3360"/>
      <c r="ED44" s="1345">
        <v>25868</v>
      </c>
      <c r="EE44" s="3494">
        <f t="shared" ref="EE44:EE48" si="112">ED44-BM44</f>
        <v>25868</v>
      </c>
      <c r="EF44" s="3336"/>
    </row>
    <row r="45" spans="1:136" ht="13.95" customHeight="1">
      <c r="A45" s="4833"/>
      <c r="B45" s="3379" t="s">
        <v>8</v>
      </c>
      <c r="C45" s="3614"/>
      <c r="D45" s="3615"/>
      <c r="E45" s="1064">
        <f t="shared" si="82"/>
        <v>0</v>
      </c>
      <c r="F45" s="3350">
        <f t="shared" si="51"/>
        <v>0</v>
      </c>
      <c r="G45" s="3316"/>
      <c r="H45" s="3349"/>
      <c r="I45" s="3349"/>
      <c r="J45" s="2012">
        <f t="shared" si="83"/>
        <v>0</v>
      </c>
      <c r="K45" s="3350">
        <f t="shared" si="68"/>
        <v>0</v>
      </c>
      <c r="L45" s="3360"/>
      <c r="M45" s="3490">
        <v>0</v>
      </c>
      <c r="N45" s="3490">
        <v>0</v>
      </c>
      <c r="O45" s="3491">
        <v>0</v>
      </c>
      <c r="P45" s="3516">
        <v>0</v>
      </c>
      <c r="Q45" s="1434"/>
      <c r="R45" s="3490"/>
      <c r="S45" s="3490"/>
      <c r="T45" s="3491">
        <f t="shared" si="84"/>
        <v>0</v>
      </c>
      <c r="U45" s="3516">
        <f t="shared" si="69"/>
        <v>0</v>
      </c>
      <c r="V45" s="3533"/>
      <c r="W45" s="3341"/>
      <c r="X45" s="3341"/>
      <c r="Y45" s="2012">
        <f t="shared" si="85"/>
        <v>0</v>
      </c>
      <c r="Z45" s="3350">
        <f t="shared" si="86"/>
        <v>0</v>
      </c>
      <c r="AA45" s="3360"/>
      <c r="AB45" s="3341"/>
      <c r="AC45" s="3341"/>
      <c r="AD45" s="2012">
        <f t="shared" si="87"/>
        <v>0</v>
      </c>
      <c r="AE45" s="3616">
        <f>AD45/$T$89</f>
        <v>0</v>
      </c>
      <c r="AF45" s="3617"/>
      <c r="AG45" s="3618"/>
      <c r="AH45" s="3582"/>
      <c r="AI45" s="3583">
        <f t="shared" si="88"/>
        <v>0</v>
      </c>
      <c r="AJ45" s="3509">
        <f t="shared" si="7"/>
        <v>0</v>
      </c>
      <c r="AK45" s="3529"/>
      <c r="AL45" s="3618"/>
      <c r="AM45" s="3582"/>
      <c r="AN45" s="3583">
        <f t="shared" si="89"/>
        <v>0</v>
      </c>
      <c r="AO45" s="3509">
        <f t="shared" si="70"/>
        <v>0</v>
      </c>
      <c r="AP45" s="3342"/>
      <c r="AQ45" s="3341">
        <v>230</v>
      </c>
      <c r="AR45" s="3354"/>
      <c r="AS45" s="3583">
        <f t="shared" si="90"/>
        <v>230</v>
      </c>
      <c r="AT45" s="3509">
        <f t="shared" si="91"/>
        <v>3.647656756525034E-5</v>
      </c>
      <c r="AU45" s="3342"/>
      <c r="AV45" s="1325"/>
      <c r="AW45" s="1325"/>
      <c r="AX45" s="3583">
        <f t="shared" si="92"/>
        <v>0</v>
      </c>
      <c r="AY45" s="3509">
        <f t="shared" si="93"/>
        <v>0</v>
      </c>
      <c r="AZ45" s="1434"/>
      <c r="BA45" s="1064"/>
      <c r="BB45" s="1434"/>
      <c r="BC45" s="3583">
        <f t="shared" si="94"/>
        <v>0</v>
      </c>
      <c r="BD45" s="3511">
        <f t="shared" si="34"/>
        <v>0</v>
      </c>
      <c r="BE45" s="1859"/>
      <c r="BF45" s="3354">
        <v>6000</v>
      </c>
      <c r="BG45" s="3341">
        <v>6000</v>
      </c>
      <c r="BH45" s="2012">
        <v>12000</v>
      </c>
      <c r="BI45" s="3350">
        <v>9.2507791829914993E-3</v>
      </c>
      <c r="BJ45" s="3343"/>
      <c r="BK45" s="3354">
        <f t="shared" si="95"/>
        <v>0</v>
      </c>
      <c r="BL45" s="3341">
        <f t="shared" si="95"/>
        <v>0</v>
      </c>
      <c r="BM45" s="2012">
        <f t="shared" si="96"/>
        <v>0</v>
      </c>
      <c r="BN45" s="3350">
        <f t="shared" si="67"/>
        <v>0</v>
      </c>
      <c r="BO45" s="3343"/>
      <c r="BP45" s="1064"/>
      <c r="BQ45" s="1434"/>
      <c r="BR45" s="3588">
        <f t="shared" si="97"/>
        <v>0</v>
      </c>
      <c r="BS45" s="3432">
        <f t="shared" si="37"/>
        <v>0</v>
      </c>
      <c r="BT45" s="1859"/>
      <c r="BU45" s="3341"/>
      <c r="BV45" s="3341"/>
      <c r="BW45" s="2012">
        <f t="shared" si="98"/>
        <v>0</v>
      </c>
      <c r="BX45" s="3350">
        <f t="shared" si="99"/>
        <v>0</v>
      </c>
      <c r="BY45" s="3360"/>
      <c r="BZ45" s="3341"/>
      <c r="CA45" s="3341"/>
      <c r="CB45" s="2012">
        <f t="shared" si="100"/>
        <v>0</v>
      </c>
      <c r="CC45" s="3350">
        <f t="shared" si="71"/>
        <v>0</v>
      </c>
      <c r="CD45" s="3343"/>
      <c r="CE45" s="3341"/>
      <c r="CF45" s="3341"/>
      <c r="CG45" s="2012">
        <f t="shared" si="101"/>
        <v>0</v>
      </c>
      <c r="CH45" s="3350">
        <f t="shared" si="72"/>
        <v>0</v>
      </c>
      <c r="CI45" s="3343"/>
      <c r="CJ45" s="3341"/>
      <c r="CK45" s="3341"/>
      <c r="CL45" s="3341">
        <f t="shared" si="102"/>
        <v>0</v>
      </c>
      <c r="CM45" s="3350">
        <f t="shared" si="73"/>
        <v>0</v>
      </c>
      <c r="CN45" s="3343"/>
      <c r="CO45" s="3341"/>
      <c r="CP45" s="3341"/>
      <c r="CQ45" s="3341">
        <f t="shared" si="103"/>
        <v>0</v>
      </c>
      <c r="CR45" s="3350">
        <f t="shared" si="74"/>
        <v>0</v>
      </c>
      <c r="CS45" s="3343"/>
      <c r="CT45" s="3341"/>
      <c r="CU45" s="3341"/>
      <c r="CV45" s="3341">
        <f t="shared" si="104"/>
        <v>0</v>
      </c>
      <c r="CW45" s="3350">
        <f t="shared" si="75"/>
        <v>0</v>
      </c>
      <c r="CX45" s="3343"/>
      <c r="CY45" s="3341"/>
      <c r="CZ45" s="3341"/>
      <c r="DA45" s="3341">
        <f t="shared" si="105"/>
        <v>0</v>
      </c>
      <c r="DB45" s="3350">
        <f t="shared" si="76"/>
        <v>0</v>
      </c>
      <c r="DC45" s="3343"/>
      <c r="DD45" s="3341"/>
      <c r="DE45" s="3341"/>
      <c r="DF45" s="3341">
        <f t="shared" si="106"/>
        <v>0</v>
      </c>
      <c r="DG45" s="3350">
        <f t="shared" si="77"/>
        <v>0</v>
      </c>
      <c r="DH45" s="3535"/>
      <c r="DI45" s="3341"/>
      <c r="DJ45" s="3341"/>
      <c r="DK45" s="3341">
        <f t="shared" si="107"/>
        <v>0</v>
      </c>
      <c r="DL45" s="3350">
        <f t="shared" si="78"/>
        <v>0</v>
      </c>
      <c r="DM45" s="3493"/>
      <c r="DN45" s="3428"/>
      <c r="DO45" s="3341"/>
      <c r="DP45" s="3341">
        <f t="shared" si="108"/>
        <v>0</v>
      </c>
      <c r="DQ45" s="3350">
        <f t="shared" si="79"/>
        <v>0</v>
      </c>
      <c r="DR45" s="3493"/>
      <c r="DS45" s="3354"/>
      <c r="DT45" s="3341"/>
      <c r="DU45" s="3341">
        <f t="shared" si="109"/>
        <v>0</v>
      </c>
      <c r="DV45" s="3350">
        <f t="shared" si="80"/>
        <v>0</v>
      </c>
      <c r="DW45" s="3523"/>
      <c r="DX45" s="3428">
        <f t="shared" si="110"/>
        <v>6230</v>
      </c>
      <c r="DY45" s="3428">
        <f t="shared" si="110"/>
        <v>6000</v>
      </c>
      <c r="DZ45" s="3349">
        <f t="shared" si="111"/>
        <v>12230</v>
      </c>
      <c r="EA45" s="3350" t="e">
        <f t="shared" si="81"/>
        <v>#DIV/0!</v>
      </c>
      <c r="EB45" s="3360"/>
      <c r="ED45" s="1345">
        <v>12000</v>
      </c>
      <c r="EE45" s="3494">
        <f t="shared" si="112"/>
        <v>12000</v>
      </c>
      <c r="EF45" s="3336"/>
    </row>
    <row r="46" spans="1:136" ht="27.6" customHeight="1">
      <c r="A46" s="4833"/>
      <c r="B46" s="3379" t="s">
        <v>29</v>
      </c>
      <c r="C46" s="3614"/>
      <c r="D46" s="3615"/>
      <c r="E46" s="1064">
        <f t="shared" si="82"/>
        <v>0</v>
      </c>
      <c r="F46" s="3350">
        <f t="shared" si="51"/>
        <v>0</v>
      </c>
      <c r="G46" s="3316"/>
      <c r="H46" s="3349"/>
      <c r="I46" s="3349"/>
      <c r="J46" s="2012">
        <f t="shared" si="83"/>
        <v>0</v>
      </c>
      <c r="K46" s="3350">
        <f t="shared" si="68"/>
        <v>0</v>
      </c>
      <c r="L46" s="3360"/>
      <c r="M46" s="3490">
        <v>0</v>
      </c>
      <c r="N46" s="3490">
        <v>0</v>
      </c>
      <c r="O46" s="3491">
        <v>0</v>
      </c>
      <c r="P46" s="3516">
        <v>0</v>
      </c>
      <c r="Q46" s="1434"/>
      <c r="R46" s="3490"/>
      <c r="S46" s="3490"/>
      <c r="T46" s="3491">
        <f t="shared" si="84"/>
        <v>0</v>
      </c>
      <c r="U46" s="3516">
        <f t="shared" si="69"/>
        <v>0</v>
      </c>
      <c r="V46" s="3533"/>
      <c r="W46" s="3341"/>
      <c r="X46" s="3341"/>
      <c r="Y46" s="2012">
        <f t="shared" si="85"/>
        <v>0</v>
      </c>
      <c r="Z46" s="3350">
        <f t="shared" si="86"/>
        <v>0</v>
      </c>
      <c r="AA46" s="3360"/>
      <c r="AB46" s="3341"/>
      <c r="AC46" s="3341"/>
      <c r="AD46" s="2012">
        <f t="shared" si="87"/>
        <v>0</v>
      </c>
      <c r="AE46" s="3616">
        <f>AD46/$T$89</f>
        <v>0</v>
      </c>
      <c r="AF46" s="3617"/>
      <c r="AG46" s="3618"/>
      <c r="AH46" s="3582"/>
      <c r="AI46" s="3583">
        <f t="shared" si="88"/>
        <v>0</v>
      </c>
      <c r="AJ46" s="3509">
        <f t="shared" si="7"/>
        <v>0</v>
      </c>
      <c r="AK46" s="3529"/>
      <c r="AL46" s="3618"/>
      <c r="AM46" s="3582"/>
      <c r="AN46" s="3583">
        <f t="shared" si="89"/>
        <v>0</v>
      </c>
      <c r="AO46" s="3509">
        <f t="shared" si="70"/>
        <v>0</v>
      </c>
      <c r="AP46" s="3342"/>
      <c r="AQ46" s="3341">
        <v>120469</v>
      </c>
      <c r="AR46" s="3354"/>
      <c r="AS46" s="3583">
        <f t="shared" si="90"/>
        <v>120469</v>
      </c>
      <c r="AT46" s="3509">
        <f t="shared" si="91"/>
        <v>1.9105633121818014E-2</v>
      </c>
      <c r="AU46" s="3342" t="s">
        <v>1162</v>
      </c>
      <c r="AV46" s="1325"/>
      <c r="AW46" s="1325"/>
      <c r="AX46" s="3583">
        <f t="shared" si="92"/>
        <v>0</v>
      </c>
      <c r="AY46" s="3509">
        <f t="shared" si="93"/>
        <v>0</v>
      </c>
      <c r="AZ46" s="1434"/>
      <c r="BA46" s="1064"/>
      <c r="BB46" s="1434"/>
      <c r="BC46" s="3583">
        <f t="shared" si="94"/>
        <v>0</v>
      </c>
      <c r="BD46" s="3511">
        <f t="shared" si="34"/>
        <v>0</v>
      </c>
      <c r="BE46" s="1859"/>
      <c r="BF46" s="3354">
        <v>4900</v>
      </c>
      <c r="BG46" s="3341">
        <v>0</v>
      </c>
      <c r="BH46" s="2012">
        <v>4900</v>
      </c>
      <c r="BI46" s="3350">
        <v>3.777401499721529E-3</v>
      </c>
      <c r="BJ46" s="3343"/>
      <c r="BK46" s="3354">
        <f t="shared" si="95"/>
        <v>0</v>
      </c>
      <c r="BL46" s="3341">
        <f t="shared" si="95"/>
        <v>0</v>
      </c>
      <c r="BM46" s="2012">
        <f t="shared" si="96"/>
        <v>0</v>
      </c>
      <c r="BN46" s="3350">
        <f t="shared" si="67"/>
        <v>0</v>
      </c>
      <c r="BO46" s="3343"/>
      <c r="BP46" s="1064"/>
      <c r="BQ46" s="1434"/>
      <c r="BR46" s="3588">
        <f t="shared" si="97"/>
        <v>0</v>
      </c>
      <c r="BS46" s="3432">
        <f t="shared" si="37"/>
        <v>0</v>
      </c>
      <c r="BT46" s="1859"/>
      <c r="BU46" s="3341"/>
      <c r="BV46" s="3341"/>
      <c r="BW46" s="2012">
        <f t="shared" si="98"/>
        <v>0</v>
      </c>
      <c r="BX46" s="3350">
        <f t="shared" si="99"/>
        <v>0</v>
      </c>
      <c r="BY46" s="3360"/>
      <c r="BZ46" s="3341"/>
      <c r="CA46" s="3341"/>
      <c r="CB46" s="2012">
        <f t="shared" si="100"/>
        <v>0</v>
      </c>
      <c r="CC46" s="3350">
        <f t="shared" si="71"/>
        <v>0</v>
      </c>
      <c r="CD46" s="3343"/>
      <c r="CE46" s="3341"/>
      <c r="CF46" s="3341"/>
      <c r="CG46" s="2012">
        <f t="shared" si="101"/>
        <v>0</v>
      </c>
      <c r="CH46" s="3350">
        <f t="shared" si="72"/>
        <v>0</v>
      </c>
      <c r="CI46" s="3343"/>
      <c r="CJ46" s="3341"/>
      <c r="CK46" s="3341"/>
      <c r="CL46" s="3341">
        <f t="shared" si="102"/>
        <v>0</v>
      </c>
      <c r="CM46" s="3350">
        <f t="shared" si="73"/>
        <v>0</v>
      </c>
      <c r="CN46" s="3343"/>
      <c r="CO46" s="3341"/>
      <c r="CP46" s="3341"/>
      <c r="CQ46" s="3341">
        <f t="shared" si="103"/>
        <v>0</v>
      </c>
      <c r="CR46" s="3350">
        <f t="shared" si="74"/>
        <v>0</v>
      </c>
      <c r="CS46" s="3343"/>
      <c r="CT46" s="3341"/>
      <c r="CU46" s="3341"/>
      <c r="CV46" s="3341">
        <f t="shared" si="104"/>
        <v>0</v>
      </c>
      <c r="CW46" s="3350">
        <f t="shared" si="75"/>
        <v>0</v>
      </c>
      <c r="CX46" s="3343"/>
      <c r="CY46" s="3341"/>
      <c r="CZ46" s="3341"/>
      <c r="DA46" s="3341">
        <f t="shared" si="105"/>
        <v>0</v>
      </c>
      <c r="DB46" s="3350">
        <f t="shared" si="76"/>
        <v>0</v>
      </c>
      <c r="DC46" s="3343"/>
      <c r="DD46" s="3341"/>
      <c r="DE46" s="3341"/>
      <c r="DF46" s="3341">
        <f t="shared" si="106"/>
        <v>0</v>
      </c>
      <c r="DG46" s="3350">
        <f t="shared" si="77"/>
        <v>0</v>
      </c>
      <c r="DH46" s="3493"/>
      <c r="DI46" s="3354"/>
      <c r="DJ46" s="3341"/>
      <c r="DK46" s="3341">
        <f t="shared" si="107"/>
        <v>0</v>
      </c>
      <c r="DL46" s="3350">
        <f t="shared" si="78"/>
        <v>0</v>
      </c>
      <c r="DM46" s="3493"/>
      <c r="DN46" s="3354"/>
      <c r="DO46" s="3341"/>
      <c r="DP46" s="3341">
        <f t="shared" si="108"/>
        <v>0</v>
      </c>
      <c r="DQ46" s="3350">
        <f t="shared" si="79"/>
        <v>0</v>
      </c>
      <c r="DR46" s="3343"/>
      <c r="DS46" s="3354"/>
      <c r="DT46" s="3341"/>
      <c r="DU46" s="3341">
        <f t="shared" si="109"/>
        <v>0</v>
      </c>
      <c r="DV46" s="3350">
        <f t="shared" si="80"/>
        <v>0</v>
      </c>
      <c r="DW46" s="3523"/>
      <c r="DX46" s="3428">
        <f t="shared" si="110"/>
        <v>125369</v>
      </c>
      <c r="DY46" s="3428">
        <f t="shared" si="110"/>
        <v>0</v>
      </c>
      <c r="DZ46" s="3349">
        <f t="shared" si="111"/>
        <v>125369</v>
      </c>
      <c r="EA46" s="3350" t="e">
        <f t="shared" si="81"/>
        <v>#DIV/0!</v>
      </c>
      <c r="EB46" s="3360"/>
      <c r="ED46" s="3354"/>
      <c r="EE46" s="3494">
        <f t="shared" si="112"/>
        <v>0</v>
      </c>
    </row>
    <row r="47" spans="1:136" ht="28.95" customHeight="1">
      <c r="A47" s="4833"/>
      <c r="B47" s="3379" t="s">
        <v>30</v>
      </c>
      <c r="C47" s="3614"/>
      <c r="D47" s="3615"/>
      <c r="E47" s="1064">
        <f t="shared" si="82"/>
        <v>0</v>
      </c>
      <c r="F47" s="3350">
        <f t="shared" si="51"/>
        <v>0</v>
      </c>
      <c r="G47" s="3316"/>
      <c r="H47" s="3341">
        <v>20210.28</v>
      </c>
      <c r="I47" s="3341">
        <v>563</v>
      </c>
      <c r="J47" s="2012">
        <f t="shared" si="83"/>
        <v>20773.28</v>
      </c>
      <c r="K47" s="3350">
        <f t="shared" si="68"/>
        <v>1.634607867920024E-3</v>
      </c>
      <c r="L47" s="3360"/>
      <c r="M47" s="3490">
        <v>72000.36</v>
      </c>
      <c r="N47" s="3490">
        <v>998.69</v>
      </c>
      <c r="O47" s="3491">
        <v>72999.05</v>
      </c>
      <c r="P47" s="3516">
        <v>3.7875510788308695E-3</v>
      </c>
      <c r="Q47" s="1434"/>
      <c r="R47" s="3341">
        <v>4630.8</v>
      </c>
      <c r="S47" s="3490"/>
      <c r="T47" s="3491">
        <f t="shared" si="84"/>
        <v>4630.8</v>
      </c>
      <c r="U47" s="3516">
        <f t="shared" si="69"/>
        <v>3.5698756867164195E-3</v>
      </c>
      <c r="V47" s="3536"/>
      <c r="W47" s="3341">
        <f>9674.89+483+256</f>
        <v>10413.89</v>
      </c>
      <c r="X47" s="3341">
        <v>1201</v>
      </c>
      <c r="Y47" s="2012">
        <f t="shared" si="85"/>
        <v>11614.89</v>
      </c>
      <c r="Z47" s="3350">
        <f>Y47/$Y$89</f>
        <v>5.1380337997845044E-3</v>
      </c>
      <c r="AA47" s="3421" t="s">
        <v>1033</v>
      </c>
      <c r="AB47" s="3341"/>
      <c r="AC47" s="3341"/>
      <c r="AD47" s="2012">
        <f t="shared" si="87"/>
        <v>0</v>
      </c>
      <c r="AE47" s="3616">
        <f>AD47/$Y$89</f>
        <v>0</v>
      </c>
      <c r="AF47" s="3619"/>
      <c r="AG47" s="3618">
        <f>306+697.56+342.03+581</f>
        <v>1926.59</v>
      </c>
      <c r="AH47" s="3582"/>
      <c r="AI47" s="3583">
        <f t="shared" si="88"/>
        <v>1926.59</v>
      </c>
      <c r="AJ47" s="3509">
        <f t="shared" si="7"/>
        <v>1.7810985955252583E-3</v>
      </c>
      <c r="AK47" s="3530" t="s">
        <v>486</v>
      </c>
      <c r="AL47" s="3618">
        <v>8583.7000000000007</v>
      </c>
      <c r="AM47" s="3582"/>
      <c r="AN47" s="3583">
        <f t="shared" si="89"/>
        <v>8583.7000000000007</v>
      </c>
      <c r="AO47" s="3509">
        <f t="shared" si="70"/>
        <v>1.8886912501094397E-3</v>
      </c>
      <c r="AP47" s="3342" t="s">
        <v>486</v>
      </c>
      <c r="AQ47" s="3341">
        <v>12012.81</v>
      </c>
      <c r="AR47" s="3354">
        <v>268</v>
      </c>
      <c r="AS47" s="3583">
        <f t="shared" si="90"/>
        <v>12280.81</v>
      </c>
      <c r="AT47" s="3509">
        <f t="shared" si="91"/>
        <v>1.9476599813956609E-3</v>
      </c>
      <c r="AU47" s="3342" t="s">
        <v>1169</v>
      </c>
      <c r="AV47" s="1326">
        <v>12238.81</v>
      </c>
      <c r="AW47" s="1327"/>
      <c r="AX47" s="3583">
        <f t="shared" si="92"/>
        <v>12238.81</v>
      </c>
      <c r="AY47" s="3509">
        <f t="shared" si="93"/>
        <v>1.9409990429707022E-3</v>
      </c>
      <c r="AZ47" s="1581" t="s">
        <v>486</v>
      </c>
      <c r="BA47" s="1064">
        <v>12484.9</v>
      </c>
      <c r="BB47" s="1581"/>
      <c r="BC47" s="3583">
        <f t="shared" si="94"/>
        <v>12484.9</v>
      </c>
      <c r="BD47" s="3511">
        <f t="shared" si="34"/>
        <v>1.8411930990088338E-3</v>
      </c>
      <c r="BE47" s="3512" t="s">
        <v>486</v>
      </c>
      <c r="BF47" s="3354">
        <v>83733.149999999994</v>
      </c>
      <c r="BG47" s="3341">
        <v>1130</v>
      </c>
      <c r="BH47" s="2012">
        <v>84863.15</v>
      </c>
      <c r="BI47" s="3350">
        <v>6.5420855118590415E-2</v>
      </c>
      <c r="BJ47" s="3343"/>
      <c r="BK47" s="3354">
        <f t="shared" si="95"/>
        <v>0</v>
      </c>
      <c r="BL47" s="3341">
        <f t="shared" si="95"/>
        <v>0</v>
      </c>
      <c r="BM47" s="2012">
        <f t="shared" si="96"/>
        <v>0</v>
      </c>
      <c r="BN47" s="3350">
        <f t="shared" si="67"/>
        <v>0</v>
      </c>
      <c r="BO47" s="3343"/>
      <c r="BP47" s="1064"/>
      <c r="BQ47" s="1352"/>
      <c r="BR47" s="3588">
        <f t="shared" si="97"/>
        <v>0</v>
      </c>
      <c r="BS47" s="3432">
        <f t="shared" si="37"/>
        <v>0</v>
      </c>
      <c r="BT47" s="3512"/>
      <c r="BU47" s="3341"/>
      <c r="BV47" s="3341"/>
      <c r="BW47" s="2012">
        <f t="shared" si="98"/>
        <v>0</v>
      </c>
      <c r="BX47" s="3350">
        <f t="shared" si="99"/>
        <v>0</v>
      </c>
      <c r="BY47" s="2118"/>
      <c r="BZ47" s="3341"/>
      <c r="CA47" s="3341"/>
      <c r="CB47" s="2012">
        <f t="shared" si="100"/>
        <v>0</v>
      </c>
      <c r="CC47" s="3350">
        <f t="shared" si="71"/>
        <v>0</v>
      </c>
      <c r="CD47" s="3343"/>
      <c r="CE47" s="3341"/>
      <c r="CF47" s="3341"/>
      <c r="CG47" s="2012">
        <f t="shared" si="101"/>
        <v>0</v>
      </c>
      <c r="CH47" s="3350">
        <f t="shared" si="72"/>
        <v>0</v>
      </c>
      <c r="CI47" s="3343"/>
      <c r="CJ47" s="3341"/>
      <c r="CK47" s="3341"/>
      <c r="CL47" s="3341">
        <f t="shared" si="102"/>
        <v>0</v>
      </c>
      <c r="CM47" s="3350">
        <f t="shared" si="73"/>
        <v>0</v>
      </c>
      <c r="CN47" s="3343"/>
      <c r="CO47" s="3341"/>
      <c r="CP47" s="3341"/>
      <c r="CQ47" s="3341">
        <f t="shared" si="103"/>
        <v>0</v>
      </c>
      <c r="CR47" s="3350">
        <f t="shared" si="74"/>
        <v>0</v>
      </c>
      <c r="CS47" s="3343"/>
      <c r="CT47" s="3341"/>
      <c r="CU47" s="3341"/>
      <c r="CV47" s="3341">
        <f t="shared" si="104"/>
        <v>0</v>
      </c>
      <c r="CW47" s="3350">
        <f t="shared" si="75"/>
        <v>0</v>
      </c>
      <c r="CX47" s="3343"/>
      <c r="CY47" s="3341"/>
      <c r="CZ47" s="3341"/>
      <c r="DA47" s="3341">
        <f t="shared" si="105"/>
        <v>0</v>
      </c>
      <c r="DB47" s="3350">
        <f t="shared" si="76"/>
        <v>0</v>
      </c>
      <c r="DC47" s="3343"/>
      <c r="DD47" s="3341"/>
      <c r="DE47" s="3341"/>
      <c r="DF47" s="3341">
        <f t="shared" si="106"/>
        <v>0</v>
      </c>
      <c r="DG47" s="3350">
        <f t="shared" si="77"/>
        <v>0</v>
      </c>
      <c r="DH47" s="3493"/>
      <c r="DI47" s="3354"/>
      <c r="DJ47" s="3341"/>
      <c r="DK47" s="3341">
        <f t="shared" si="107"/>
        <v>0</v>
      </c>
      <c r="DL47" s="3350">
        <f t="shared" si="78"/>
        <v>0</v>
      </c>
      <c r="DM47" s="3493"/>
      <c r="DN47" s="3354"/>
      <c r="DO47" s="3341"/>
      <c r="DP47" s="3341">
        <f t="shared" si="108"/>
        <v>0</v>
      </c>
      <c r="DQ47" s="3350">
        <f t="shared" si="79"/>
        <v>0</v>
      </c>
      <c r="DR47" s="3493"/>
      <c r="DS47" s="3354"/>
      <c r="DT47" s="3341"/>
      <c r="DU47" s="3341">
        <f t="shared" si="109"/>
        <v>0</v>
      </c>
      <c r="DV47" s="3350">
        <f t="shared" si="80"/>
        <v>0</v>
      </c>
      <c r="DW47" s="3523"/>
      <c r="DX47" s="3428">
        <f t="shared" si="110"/>
        <v>146024.65</v>
      </c>
      <c r="DY47" s="3428">
        <f t="shared" si="110"/>
        <v>2599</v>
      </c>
      <c r="DZ47" s="3349">
        <f t="shared" si="111"/>
        <v>148623.65</v>
      </c>
      <c r="EA47" s="3350" t="e">
        <f t="shared" si="81"/>
        <v>#DIV/0!</v>
      </c>
      <c r="EB47" s="3360"/>
      <c r="ED47" s="1345">
        <v>67277.7</v>
      </c>
      <c r="EE47" s="3494">
        <f t="shared" si="112"/>
        <v>67277.7</v>
      </c>
      <c r="EF47" s="3336"/>
    </row>
    <row r="48" spans="1:136" ht="13.8">
      <c r="A48" s="4833"/>
      <c r="B48" s="3379" t="s">
        <v>15</v>
      </c>
      <c r="C48" s="3614">
        <v>1913.28</v>
      </c>
      <c r="D48" s="3615">
        <v>570</v>
      </c>
      <c r="E48" s="1064">
        <f t="shared" si="82"/>
        <v>2483.2799999999997</v>
      </c>
      <c r="F48" s="3350">
        <f t="shared" si="51"/>
        <v>9.5511883497114954E-4</v>
      </c>
      <c r="G48" s="3316"/>
      <c r="H48" s="3341">
        <v>414</v>
      </c>
      <c r="I48" s="3341">
        <v>1070</v>
      </c>
      <c r="J48" s="2012">
        <f t="shared" si="83"/>
        <v>1484</v>
      </c>
      <c r="K48" s="3350">
        <f t="shared" si="68"/>
        <v>1.1677299280582151E-4</v>
      </c>
      <c r="L48" s="3360"/>
      <c r="M48" s="3490">
        <v>9764.41</v>
      </c>
      <c r="N48" s="3490">
        <v>0</v>
      </c>
      <c r="O48" s="3491">
        <v>9764.41</v>
      </c>
      <c r="P48" s="3516">
        <v>5.0662579348151695E-4</v>
      </c>
      <c r="Q48" s="1434"/>
      <c r="R48" s="3490"/>
      <c r="S48" s="3490"/>
      <c r="T48" s="3491">
        <f t="shared" si="84"/>
        <v>0</v>
      </c>
      <c r="U48" s="3516">
        <f t="shared" si="69"/>
        <v>0</v>
      </c>
      <c r="V48" s="3533"/>
      <c r="W48" s="3341">
        <v>1710</v>
      </c>
      <c r="X48" s="3341"/>
      <c r="Y48" s="2012">
        <f t="shared" si="85"/>
        <v>1710</v>
      </c>
      <c r="Z48" s="3350">
        <f t="shared" si="86"/>
        <v>1.3182360335762886E-3</v>
      </c>
      <c r="AA48" s="3360"/>
      <c r="AB48" s="3341"/>
      <c r="AC48" s="3341"/>
      <c r="AD48" s="2012">
        <f t="shared" si="87"/>
        <v>0</v>
      </c>
      <c r="AE48" s="3616">
        <f>AD48/$T$89</f>
        <v>0</v>
      </c>
      <c r="AF48" s="3617"/>
      <c r="AG48" s="3618"/>
      <c r="AH48" s="3582"/>
      <c r="AI48" s="3583">
        <f t="shared" si="88"/>
        <v>0</v>
      </c>
      <c r="AJ48" s="3509">
        <f t="shared" si="7"/>
        <v>0</v>
      </c>
      <c r="AK48" s="3529"/>
      <c r="AL48" s="3618"/>
      <c r="AM48" s="3582"/>
      <c r="AN48" s="3583">
        <f t="shared" si="89"/>
        <v>0</v>
      </c>
      <c r="AO48" s="3509">
        <f t="shared" si="70"/>
        <v>0</v>
      </c>
      <c r="AP48" s="3342"/>
      <c r="AQ48" s="3341"/>
      <c r="AR48" s="3354">
        <v>2670.9</v>
      </c>
      <c r="AS48" s="3583">
        <f t="shared" si="90"/>
        <v>2670.9</v>
      </c>
      <c r="AT48" s="3509">
        <f t="shared" si="91"/>
        <v>4.2358810569577014E-4</v>
      </c>
      <c r="AU48" s="3342"/>
      <c r="AV48" s="1326">
        <v>1050</v>
      </c>
      <c r="AW48" s="1325"/>
      <c r="AX48" s="3583">
        <f t="shared" si="92"/>
        <v>1050</v>
      </c>
      <c r="AY48" s="3509">
        <f t="shared" si="93"/>
        <v>1.6652346062396894E-4</v>
      </c>
      <c r="AZ48" s="3343" t="s">
        <v>1219</v>
      </c>
      <c r="BA48" s="1064"/>
      <c r="BB48" s="1434"/>
      <c r="BC48" s="3583">
        <f t="shared" si="94"/>
        <v>0</v>
      </c>
      <c r="BD48" s="3511">
        <f t="shared" si="34"/>
        <v>0</v>
      </c>
      <c r="BE48" s="1859"/>
      <c r="BF48" s="3354">
        <v>11145.05</v>
      </c>
      <c r="BG48" s="3341">
        <v>0</v>
      </c>
      <c r="BH48" s="2012">
        <v>11145.05</v>
      </c>
      <c r="BI48" s="3350">
        <v>8.5916997111166165E-3</v>
      </c>
      <c r="BJ48" s="3343"/>
      <c r="BK48" s="3354">
        <f t="shared" si="95"/>
        <v>0</v>
      </c>
      <c r="BL48" s="3341">
        <f t="shared" si="95"/>
        <v>0</v>
      </c>
      <c r="BM48" s="2012">
        <f t="shared" si="96"/>
        <v>0</v>
      </c>
      <c r="BN48" s="3350">
        <f t="shared" si="67"/>
        <v>0</v>
      </c>
      <c r="BO48" s="3343"/>
      <c r="BP48" s="1064"/>
      <c r="BQ48" s="1434"/>
      <c r="BR48" s="3588">
        <f t="shared" si="97"/>
        <v>0</v>
      </c>
      <c r="BS48" s="3432">
        <f t="shared" si="37"/>
        <v>0</v>
      </c>
      <c r="BT48" s="1859"/>
      <c r="BU48" s="3341"/>
      <c r="BV48" s="3341"/>
      <c r="BW48" s="2012">
        <f t="shared" si="98"/>
        <v>0</v>
      </c>
      <c r="BX48" s="3350">
        <f t="shared" si="99"/>
        <v>0</v>
      </c>
      <c r="BY48" s="3360"/>
      <c r="BZ48" s="3341"/>
      <c r="CA48" s="3341"/>
      <c r="CB48" s="2012">
        <f t="shared" si="100"/>
        <v>0</v>
      </c>
      <c r="CC48" s="3350">
        <f t="shared" si="71"/>
        <v>0</v>
      </c>
      <c r="CD48" s="3360"/>
      <c r="CE48" s="3341"/>
      <c r="CF48" s="3341"/>
      <c r="CG48" s="2012">
        <f t="shared" si="101"/>
        <v>0</v>
      </c>
      <c r="CH48" s="3350">
        <f t="shared" si="72"/>
        <v>0</v>
      </c>
      <c r="CI48" s="3343"/>
      <c r="CJ48" s="3341"/>
      <c r="CK48" s="3341"/>
      <c r="CL48" s="3341">
        <f t="shared" si="102"/>
        <v>0</v>
      </c>
      <c r="CM48" s="3350">
        <f t="shared" si="73"/>
        <v>0</v>
      </c>
      <c r="CN48" s="3343"/>
      <c r="CO48" s="3341"/>
      <c r="CP48" s="3341"/>
      <c r="CQ48" s="3341">
        <f t="shared" si="103"/>
        <v>0</v>
      </c>
      <c r="CR48" s="3350">
        <f t="shared" si="74"/>
        <v>0</v>
      </c>
      <c r="CS48" s="3343"/>
      <c r="CT48" s="3341"/>
      <c r="CU48" s="3341"/>
      <c r="CV48" s="3341">
        <f t="shared" si="104"/>
        <v>0</v>
      </c>
      <c r="CW48" s="3350">
        <f t="shared" si="75"/>
        <v>0</v>
      </c>
      <c r="CX48" s="3343"/>
      <c r="CY48" s="3341"/>
      <c r="CZ48" s="3341"/>
      <c r="DA48" s="3341">
        <f t="shared" si="105"/>
        <v>0</v>
      </c>
      <c r="DB48" s="3350">
        <f t="shared" si="76"/>
        <v>0</v>
      </c>
      <c r="DC48" s="3343"/>
      <c r="DD48" s="3341"/>
      <c r="DE48" s="3341"/>
      <c r="DF48" s="3341">
        <f t="shared" si="106"/>
        <v>0</v>
      </c>
      <c r="DG48" s="3350">
        <f t="shared" si="77"/>
        <v>0</v>
      </c>
      <c r="DH48" s="3493"/>
      <c r="DI48" s="3354"/>
      <c r="DJ48" s="3341"/>
      <c r="DK48" s="3341">
        <f t="shared" si="107"/>
        <v>0</v>
      </c>
      <c r="DL48" s="3350">
        <f t="shared" si="78"/>
        <v>0</v>
      </c>
      <c r="DM48" s="3493"/>
      <c r="DN48" s="3354"/>
      <c r="DO48" s="3341"/>
      <c r="DP48" s="3341">
        <f t="shared" si="108"/>
        <v>0</v>
      </c>
      <c r="DQ48" s="3350">
        <f t="shared" si="79"/>
        <v>0</v>
      </c>
      <c r="DR48" s="3343"/>
      <c r="DS48" s="3354"/>
      <c r="DT48" s="3341"/>
      <c r="DU48" s="3341">
        <f t="shared" si="109"/>
        <v>0</v>
      </c>
      <c r="DV48" s="3350">
        <f t="shared" si="80"/>
        <v>0</v>
      </c>
      <c r="DW48" s="3523"/>
      <c r="DX48" s="3428">
        <f t="shared" si="110"/>
        <v>13905.05</v>
      </c>
      <c r="DY48" s="3428">
        <f t="shared" si="110"/>
        <v>2670.9</v>
      </c>
      <c r="DZ48" s="3349">
        <f t="shared" si="111"/>
        <v>16575.95</v>
      </c>
      <c r="EA48" s="3350" t="e">
        <f t="shared" si="81"/>
        <v>#DIV/0!</v>
      </c>
      <c r="EB48" s="3360"/>
      <c r="ED48" s="1345">
        <v>12227.83</v>
      </c>
      <c r="EE48" s="3494">
        <f t="shared" si="112"/>
        <v>12227.83</v>
      </c>
      <c r="EF48" s="3336"/>
    </row>
    <row r="49" spans="1:136" s="1396" customFormat="1" ht="14.4" thickBot="1">
      <c r="A49" s="822"/>
      <c r="B49" s="3382"/>
      <c r="C49" s="3620"/>
      <c r="D49" s="3621"/>
      <c r="E49" s="3374"/>
      <c r="F49" s="2862">
        <f t="shared" si="51"/>
        <v>0</v>
      </c>
      <c r="G49" s="827"/>
      <c r="H49" s="3375"/>
      <c r="I49" s="3375"/>
      <c r="J49" s="3374"/>
      <c r="K49" s="2862">
        <f t="shared" si="68"/>
        <v>0</v>
      </c>
      <c r="L49" s="3374"/>
      <c r="M49" s="3541">
        <v>0</v>
      </c>
      <c r="N49" s="3541">
        <v>0</v>
      </c>
      <c r="O49" s="3622"/>
      <c r="P49" s="3543">
        <v>0</v>
      </c>
      <c r="Q49" s="3423"/>
      <c r="R49" s="3541"/>
      <c r="S49" s="3541"/>
      <c r="T49" s="3622"/>
      <c r="U49" s="3543">
        <v>0</v>
      </c>
      <c r="V49" s="3622"/>
      <c r="W49" s="3375"/>
      <c r="X49" s="3375"/>
      <c r="Y49" s="3374"/>
      <c r="Z49" s="2862">
        <f>Y49/$J$89</f>
        <v>0</v>
      </c>
      <c r="AA49" s="3374"/>
      <c r="AB49" s="3375"/>
      <c r="AC49" s="3375"/>
      <c r="AD49" s="3374"/>
      <c r="AE49" s="3623">
        <f>AD49/$J$89</f>
        <v>0</v>
      </c>
      <c r="AF49" s="3457"/>
      <c r="AG49" s="3624"/>
      <c r="AH49" s="3625"/>
      <c r="AI49" s="3626"/>
      <c r="AJ49" s="3548"/>
      <c r="AK49" s="3627"/>
      <c r="AL49" s="3624"/>
      <c r="AM49" s="3625"/>
      <c r="AN49" s="3626"/>
      <c r="AO49" s="3548">
        <f>AN49/$AI$89</f>
        <v>0</v>
      </c>
      <c r="AP49" s="3627"/>
      <c r="AQ49" s="3423"/>
      <c r="AR49" s="3423"/>
      <c r="AS49" s="3626"/>
      <c r="AT49" s="3548">
        <f>AS49/$AI$89</f>
        <v>0</v>
      </c>
      <c r="AU49" s="3423"/>
      <c r="AV49" s="3423"/>
      <c r="AW49" s="3423"/>
      <c r="AX49" s="3626"/>
      <c r="AY49" s="3548">
        <f>AX49/$AI$89</f>
        <v>0</v>
      </c>
      <c r="AZ49" s="3423"/>
      <c r="BA49" s="1064"/>
      <c r="BB49" s="3423"/>
      <c r="BC49" s="3626"/>
      <c r="BD49" s="3552">
        <f t="shared" si="34"/>
        <v>0</v>
      </c>
      <c r="BE49" s="3628"/>
      <c r="BF49" s="3354"/>
      <c r="BG49" s="3341"/>
      <c r="BH49" s="3374"/>
      <c r="BI49" s="3350"/>
      <c r="BJ49" s="3374"/>
      <c r="BK49" s="3354"/>
      <c r="BL49" s="3341"/>
      <c r="BM49" s="3374"/>
      <c r="BN49" s="3350"/>
      <c r="BO49" s="3374"/>
      <c r="BP49" s="1064"/>
      <c r="BQ49" s="3423"/>
      <c r="BR49" s="3629"/>
      <c r="BS49" s="3005">
        <f t="shared" si="37"/>
        <v>0</v>
      </c>
      <c r="BT49" s="3628"/>
      <c r="BU49" s="3341"/>
      <c r="BV49" s="3341"/>
      <c r="BW49" s="3374"/>
      <c r="BX49" s="3350"/>
      <c r="BY49" s="3374"/>
      <c r="BZ49" s="3341"/>
      <c r="CA49" s="3341"/>
      <c r="CB49" s="3374"/>
      <c r="CC49" s="3350">
        <f t="shared" si="71"/>
        <v>0</v>
      </c>
      <c r="CD49" s="3374"/>
      <c r="CE49" s="3341"/>
      <c r="CF49" s="3341"/>
      <c r="CG49" s="3374"/>
      <c r="CH49" s="3350">
        <f t="shared" si="72"/>
        <v>0</v>
      </c>
      <c r="CI49" s="3343"/>
      <c r="CJ49" s="3341"/>
      <c r="CK49" s="3341"/>
      <c r="CL49" s="3374"/>
      <c r="CM49" s="3350">
        <f t="shared" si="73"/>
        <v>0</v>
      </c>
      <c r="CN49" s="3374"/>
      <c r="CO49" s="3341"/>
      <c r="CP49" s="3341"/>
      <c r="CQ49" s="3341">
        <f t="shared" si="103"/>
        <v>0</v>
      </c>
      <c r="CR49" s="3350">
        <f t="shared" si="74"/>
        <v>0</v>
      </c>
      <c r="CS49" s="3374"/>
      <c r="CT49" s="3341"/>
      <c r="CU49" s="3341"/>
      <c r="CV49" s="3341">
        <f t="shared" si="104"/>
        <v>0</v>
      </c>
      <c r="CW49" s="3350">
        <f t="shared" si="75"/>
        <v>0</v>
      </c>
      <c r="CX49" s="3374"/>
      <c r="CY49" s="3341"/>
      <c r="CZ49" s="3341"/>
      <c r="DA49" s="3341">
        <f t="shared" si="105"/>
        <v>0</v>
      </c>
      <c r="DB49" s="3350">
        <f t="shared" si="76"/>
        <v>0</v>
      </c>
      <c r="DC49" s="3423"/>
      <c r="DD49" s="3341"/>
      <c r="DE49" s="3341"/>
      <c r="DF49" s="3341">
        <f t="shared" si="106"/>
        <v>0</v>
      </c>
      <c r="DG49" s="3350">
        <f t="shared" si="77"/>
        <v>0</v>
      </c>
      <c r="DH49" s="3598"/>
      <c r="DI49" s="3354"/>
      <c r="DJ49" s="3341"/>
      <c r="DK49" s="3341">
        <f t="shared" si="107"/>
        <v>0</v>
      </c>
      <c r="DL49" s="3350">
        <f t="shared" si="78"/>
        <v>0</v>
      </c>
      <c r="DM49" s="3598"/>
      <c r="DN49" s="3354"/>
      <c r="DO49" s="3341"/>
      <c r="DP49" s="3341">
        <f t="shared" si="108"/>
        <v>0</v>
      </c>
      <c r="DQ49" s="3350">
        <f t="shared" si="79"/>
        <v>0</v>
      </c>
      <c r="DR49" s="3423"/>
      <c r="DS49" s="3354"/>
      <c r="DT49" s="3341"/>
      <c r="DU49" s="3341">
        <f t="shared" si="109"/>
        <v>0</v>
      </c>
      <c r="DV49" s="3350">
        <f t="shared" si="80"/>
        <v>0</v>
      </c>
      <c r="DW49" s="3597"/>
      <c r="DX49" s="3383">
        <f>W49+AB49</f>
        <v>0</v>
      </c>
      <c r="DY49" s="3375">
        <f>X49+AC49</f>
        <v>0</v>
      </c>
      <c r="DZ49" s="3375"/>
      <c r="EA49" s="2862" t="e">
        <f t="shared" si="81"/>
        <v>#DIV/0!</v>
      </c>
      <c r="EB49" s="3374"/>
      <c r="ED49" s="3383"/>
      <c r="EE49" s="3383"/>
      <c r="EF49" s="3489"/>
    </row>
    <row r="50" spans="1:136" s="1396" customFormat="1" ht="14.4" thickBot="1">
      <c r="A50" s="1566"/>
      <c r="B50" s="3630" t="s">
        <v>59</v>
      </c>
      <c r="C50" s="2013">
        <f>SUM(C51:C52)</f>
        <v>0</v>
      </c>
      <c r="D50" s="2013">
        <f>SUM(D51:D52)</f>
        <v>0</v>
      </c>
      <c r="E50" s="2013">
        <f>SUM(E51:E52)</f>
        <v>0</v>
      </c>
      <c r="F50" s="1535">
        <f t="shared" si="51"/>
        <v>0</v>
      </c>
      <c r="G50" s="3323"/>
      <c r="H50" s="2013">
        <f>H52+H51</f>
        <v>17142.8</v>
      </c>
      <c r="I50" s="2013">
        <f>I52+I51</f>
        <v>700</v>
      </c>
      <c r="J50" s="2013">
        <f>SUM(J51:J52)</f>
        <v>17842.8</v>
      </c>
      <c r="K50" s="1061"/>
      <c r="L50" s="1061"/>
      <c r="M50" s="3631">
        <v>0</v>
      </c>
      <c r="N50" s="3631">
        <v>0</v>
      </c>
      <c r="O50" s="3631">
        <v>0</v>
      </c>
      <c r="P50" s="3632">
        <v>0</v>
      </c>
      <c r="Q50" s="1317"/>
      <c r="R50" s="3631">
        <f>R52+R51</f>
        <v>0</v>
      </c>
      <c r="S50" s="3631">
        <f>S52+S51</f>
        <v>0</v>
      </c>
      <c r="T50" s="3631">
        <f>SUM(T51:T52)</f>
        <v>0</v>
      </c>
      <c r="U50" s="3632">
        <f>T50/$T$89</f>
        <v>0</v>
      </c>
      <c r="V50" s="3632"/>
      <c r="W50" s="2013">
        <f>W52+W51</f>
        <v>0</v>
      </c>
      <c r="X50" s="2013">
        <f>X52+X51</f>
        <v>0</v>
      </c>
      <c r="Y50" s="2013">
        <f>SUM(Y51:Y52)</f>
        <v>0</v>
      </c>
      <c r="Z50" s="1061">
        <f>Y50/$T$89</f>
        <v>0</v>
      </c>
      <c r="AA50" s="1061"/>
      <c r="AB50" s="2013">
        <f>AB52+AB51</f>
        <v>0</v>
      </c>
      <c r="AC50" s="2013">
        <f>AC52+AC51</f>
        <v>0</v>
      </c>
      <c r="AD50" s="2013">
        <f>SUM(AD51:AD52)</f>
        <v>0</v>
      </c>
      <c r="AE50" s="1061">
        <f>AD50/$T$89</f>
        <v>0</v>
      </c>
      <c r="AF50" s="1061"/>
      <c r="AG50" s="2013">
        <f>AG52+AG51</f>
        <v>0</v>
      </c>
      <c r="AH50" s="2013">
        <f>AH52+AH51</f>
        <v>0</v>
      </c>
      <c r="AI50" s="2013">
        <f>SUM(AI51:AI52)</f>
        <v>0</v>
      </c>
      <c r="AJ50" s="549">
        <f t="shared" si="7"/>
        <v>0</v>
      </c>
      <c r="AK50" s="1061"/>
      <c r="AL50" s="2013">
        <f>AL52+AL51</f>
        <v>0</v>
      </c>
      <c r="AM50" s="2013">
        <f>AM52+AM51</f>
        <v>500</v>
      </c>
      <c r="AN50" s="2013">
        <f>SUM(AN51:AN52)</f>
        <v>500</v>
      </c>
      <c r="AO50" s="549">
        <f t="shared" si="70"/>
        <v>1.1001614980191756E-4</v>
      </c>
      <c r="AP50" s="1061"/>
      <c r="AQ50" s="1317">
        <f>AQ52+AQ51</f>
        <v>0</v>
      </c>
      <c r="AR50" s="1317">
        <f>AR52+AR51</f>
        <v>0</v>
      </c>
      <c r="AS50" s="2013">
        <f>SUM(AS51:AS52)</f>
        <v>0</v>
      </c>
      <c r="AT50" s="549">
        <f>AS50/$AN$89</f>
        <v>0</v>
      </c>
      <c r="AU50" s="1317"/>
      <c r="AV50" s="1317">
        <v>0</v>
      </c>
      <c r="AW50" s="1317">
        <v>0</v>
      </c>
      <c r="AX50" s="2013">
        <f>SUM(AX51:AX52)</f>
        <v>0</v>
      </c>
      <c r="AY50" s="549">
        <f>AX50/$AN$89</f>
        <v>0</v>
      </c>
      <c r="AZ50" s="1324"/>
      <c r="BA50" s="1317">
        <f>BA52+BA51</f>
        <v>0</v>
      </c>
      <c r="BB50" s="1317">
        <f>BB52+BB51</f>
        <v>0</v>
      </c>
      <c r="BC50" s="2013">
        <f>SUM(BC51:BC52)</f>
        <v>0</v>
      </c>
      <c r="BD50" s="1349">
        <f t="shared" si="34"/>
        <v>0</v>
      </c>
      <c r="BE50" s="1061"/>
      <c r="BF50" s="2015">
        <v>13775</v>
      </c>
      <c r="BG50" s="2015">
        <v>0</v>
      </c>
      <c r="BH50" s="2015">
        <v>13775</v>
      </c>
      <c r="BI50" s="2006">
        <v>1.0619123603808992E-2</v>
      </c>
      <c r="BJ50" s="2006"/>
      <c r="BK50" s="2015">
        <f>BK52+BK51</f>
        <v>0</v>
      </c>
      <c r="BL50" s="2015">
        <f>BL52+BL51</f>
        <v>0</v>
      </c>
      <c r="BM50" s="2015">
        <f>SUM(BM51:BM52)</f>
        <v>0</v>
      </c>
      <c r="BN50" s="2006">
        <f t="shared" ref="BN50:BN52" si="113">BM50/$T$89</f>
        <v>0</v>
      </c>
      <c r="BO50" s="2006"/>
      <c r="BP50" s="1317">
        <f>BP52+BP51</f>
        <v>0</v>
      </c>
      <c r="BQ50" s="1317">
        <f>BQ52+BQ51</f>
        <v>0</v>
      </c>
      <c r="BR50" s="2013">
        <f>SUM(BR51:BR52)</f>
        <v>0</v>
      </c>
      <c r="BS50" s="1061">
        <f t="shared" si="37"/>
        <v>0</v>
      </c>
      <c r="BT50" s="1061"/>
      <c r="BU50" s="2015">
        <f>BU52+BU51</f>
        <v>0</v>
      </c>
      <c r="BV50" s="2015">
        <f>BV52+BV51</f>
        <v>0</v>
      </c>
      <c r="BW50" s="2015">
        <f>SUM(BW51:BW52)</f>
        <v>0</v>
      </c>
      <c r="BX50" s="2006">
        <f>BW50/$E$89</f>
        <v>0</v>
      </c>
      <c r="BY50" s="2006"/>
      <c r="BZ50" s="2015">
        <f>BZ52+BZ51</f>
        <v>0</v>
      </c>
      <c r="CA50" s="2015">
        <f>CA52+CA51</f>
        <v>0</v>
      </c>
      <c r="CB50" s="2015">
        <f>SUM(CB51:CB52)</f>
        <v>0</v>
      </c>
      <c r="CC50" s="2006">
        <f t="shared" si="71"/>
        <v>0</v>
      </c>
      <c r="CD50" s="2006"/>
      <c r="CE50" s="2015">
        <f>CE52+CE51</f>
        <v>0</v>
      </c>
      <c r="CF50" s="2015">
        <f>CF52+CF51</f>
        <v>0</v>
      </c>
      <c r="CG50" s="2015">
        <f>SUM(CG51:CG52)</f>
        <v>0</v>
      </c>
      <c r="CH50" s="2006">
        <f t="shared" si="72"/>
        <v>0</v>
      </c>
      <c r="CI50" s="2006"/>
      <c r="CJ50" s="2015">
        <f>CJ52+CJ51</f>
        <v>0</v>
      </c>
      <c r="CK50" s="2015">
        <f>CK52+CK51</f>
        <v>0</v>
      </c>
      <c r="CL50" s="2015">
        <f>SUM(CL51:CL52)</f>
        <v>0</v>
      </c>
      <c r="CM50" s="2006">
        <f t="shared" si="73"/>
        <v>0</v>
      </c>
      <c r="CN50" s="2006"/>
      <c r="CO50" s="2015">
        <f>CO52+CO51</f>
        <v>0</v>
      </c>
      <c r="CP50" s="2015">
        <f>CP52+CP51</f>
        <v>0</v>
      </c>
      <c r="CQ50" s="2015">
        <f>SUM(CQ51:CQ52)</f>
        <v>0</v>
      </c>
      <c r="CR50" s="2006">
        <f t="shared" si="74"/>
        <v>0</v>
      </c>
      <c r="CS50" s="2006"/>
      <c r="CT50" s="2015">
        <f>CT52+CT51</f>
        <v>0</v>
      </c>
      <c r="CU50" s="2015">
        <f>CU52+CU51</f>
        <v>0</v>
      </c>
      <c r="CV50" s="2015">
        <f>SUM(CV51:CV52)</f>
        <v>0</v>
      </c>
      <c r="CW50" s="2006">
        <f t="shared" si="75"/>
        <v>0</v>
      </c>
      <c r="CX50" s="2006"/>
      <c r="CY50" s="2015">
        <f>CY52+CY51</f>
        <v>0</v>
      </c>
      <c r="CZ50" s="2015">
        <f>CZ52+CZ51</f>
        <v>0</v>
      </c>
      <c r="DA50" s="2015">
        <f>SUM(DA51:DA52)</f>
        <v>0</v>
      </c>
      <c r="DB50" s="2006">
        <f t="shared" si="76"/>
        <v>0</v>
      </c>
      <c r="DC50" s="1324"/>
      <c r="DD50" s="2015">
        <f>DD52+DD51</f>
        <v>0</v>
      </c>
      <c r="DE50" s="2015">
        <f>DE52+DE51</f>
        <v>0</v>
      </c>
      <c r="DF50" s="2015">
        <f>SUM(DF51:DF52)</f>
        <v>0</v>
      </c>
      <c r="DG50" s="2006">
        <f t="shared" si="77"/>
        <v>0</v>
      </c>
      <c r="DH50" s="1324"/>
      <c r="DI50" s="2015">
        <f>DI52+DI51</f>
        <v>0</v>
      </c>
      <c r="DJ50" s="2015">
        <f>DJ52+DJ51</f>
        <v>0</v>
      </c>
      <c r="DK50" s="2015">
        <f>SUM(DK51:DK52)</f>
        <v>0</v>
      </c>
      <c r="DL50" s="2006">
        <f t="shared" si="78"/>
        <v>0</v>
      </c>
      <c r="DM50" s="1324"/>
      <c r="DN50" s="2015">
        <f>DN52+DN51</f>
        <v>0</v>
      </c>
      <c r="DO50" s="2015">
        <f>DO52+DO51</f>
        <v>0</v>
      </c>
      <c r="DP50" s="2015">
        <f>SUM(DP51:DP52)</f>
        <v>0</v>
      </c>
      <c r="DQ50" s="2006">
        <f t="shared" si="79"/>
        <v>0</v>
      </c>
      <c r="DR50" s="3204"/>
      <c r="DS50" s="2015">
        <f>DS52+DS51</f>
        <v>0</v>
      </c>
      <c r="DT50" s="2015">
        <f>DT52+DT51</f>
        <v>0</v>
      </c>
      <c r="DU50" s="2015">
        <f>SUM(DU51:DU52)</f>
        <v>0</v>
      </c>
      <c r="DV50" s="2006">
        <f t="shared" si="80"/>
        <v>0</v>
      </c>
      <c r="DW50" s="1061"/>
      <c r="DX50" s="2013">
        <f>DX52+DX51</f>
        <v>13775</v>
      </c>
      <c r="DY50" s="2013">
        <f>DY52+DY51</f>
        <v>500</v>
      </c>
      <c r="DZ50" s="2013">
        <f>SUM(DZ51:DZ52)</f>
        <v>14275</v>
      </c>
      <c r="EA50" s="1061" t="e">
        <f t="shared" si="81"/>
        <v>#DIV/0!</v>
      </c>
      <c r="EB50" s="1061"/>
      <c r="ED50" s="2015">
        <f>ED52+ED51</f>
        <v>13750</v>
      </c>
      <c r="EE50" s="2015">
        <f>SUM(EE51:EE52)</f>
        <v>13750</v>
      </c>
      <c r="EF50" s="3489"/>
    </row>
    <row r="51" spans="1:136" s="1396" customFormat="1" ht="13.8">
      <c r="A51" s="1566"/>
      <c r="B51" s="1622" t="s">
        <v>60</v>
      </c>
      <c r="C51" s="3373"/>
      <c r="D51" s="3373"/>
      <c r="E51" s="1064">
        <f>C51+D51*1</f>
        <v>0</v>
      </c>
      <c r="F51" s="3350">
        <f t="shared" si="51"/>
        <v>0</v>
      </c>
      <c r="G51" s="3316"/>
      <c r="H51" s="3341">
        <v>0</v>
      </c>
      <c r="I51" s="3341">
        <v>0</v>
      </c>
      <c r="J51" s="2012">
        <f>H51+I51*1</f>
        <v>0</v>
      </c>
      <c r="K51" s="3350">
        <f>J51/$J$89</f>
        <v>0</v>
      </c>
      <c r="L51" s="3373"/>
      <c r="M51" s="3490">
        <v>0</v>
      </c>
      <c r="N51" s="3490">
        <v>0</v>
      </c>
      <c r="O51" s="3491">
        <v>0</v>
      </c>
      <c r="P51" s="3516">
        <v>0</v>
      </c>
      <c r="Q51" s="3381"/>
      <c r="R51" s="3490"/>
      <c r="S51" s="3490"/>
      <c r="T51" s="3491">
        <f>R51+S51*1</f>
        <v>0</v>
      </c>
      <c r="U51" s="3516">
        <f>T51/$T$89</f>
        <v>0</v>
      </c>
      <c r="V51" s="3580"/>
      <c r="W51" s="3341"/>
      <c r="X51" s="3341"/>
      <c r="Y51" s="2012">
        <f>W51+X51*1</f>
        <v>0</v>
      </c>
      <c r="Z51" s="3350">
        <f>Y51/$T$89</f>
        <v>0</v>
      </c>
      <c r="AA51" s="3373"/>
      <c r="AB51" s="3341"/>
      <c r="AC51" s="3341"/>
      <c r="AD51" s="2012">
        <f>AB51+AC51*1</f>
        <v>0</v>
      </c>
      <c r="AE51" s="3350">
        <f>AD51/$T$89</f>
        <v>0</v>
      </c>
      <c r="AF51" s="3373"/>
      <c r="AG51" s="3354"/>
      <c r="AH51" s="3341"/>
      <c r="AI51" s="1981">
        <f>AG51+AH51*1</f>
        <v>0</v>
      </c>
      <c r="AJ51" s="3509">
        <f t="shared" si="7"/>
        <v>0</v>
      </c>
      <c r="AK51" s="3373"/>
      <c r="AL51" s="3341"/>
      <c r="AM51" s="3341">
        <v>500</v>
      </c>
      <c r="AN51" s="1981">
        <f>AL51+AM51*1</f>
        <v>500</v>
      </c>
      <c r="AO51" s="3509">
        <f t="shared" si="70"/>
        <v>1.1001614980191756E-4</v>
      </c>
      <c r="AP51" s="3373"/>
      <c r="AQ51" s="3381"/>
      <c r="AR51" s="3381"/>
      <c r="AS51" s="1981">
        <f>AQ51+AR51*1</f>
        <v>0</v>
      </c>
      <c r="AT51" s="3509">
        <f>AS51/$AS$89</f>
        <v>0</v>
      </c>
      <c r="AU51" s="3381"/>
      <c r="AV51" s="3381"/>
      <c r="AW51" s="3381"/>
      <c r="AX51" s="1981">
        <f>AV51+AW51*1</f>
        <v>0</v>
      </c>
      <c r="AY51" s="3509">
        <f>AX51/$AS$89</f>
        <v>0</v>
      </c>
      <c r="AZ51" s="3381"/>
      <c r="BA51" s="3381"/>
      <c r="BB51" s="3381"/>
      <c r="BC51" s="1981">
        <f>BA51+BB51*1</f>
        <v>0</v>
      </c>
      <c r="BD51" s="3511">
        <f t="shared" si="34"/>
        <v>0</v>
      </c>
      <c r="BE51" s="3633"/>
      <c r="BF51" s="3354">
        <v>2399</v>
      </c>
      <c r="BG51" s="3341">
        <v>0</v>
      </c>
      <c r="BH51" s="2012">
        <v>2399</v>
      </c>
      <c r="BI51" s="3350">
        <v>1.8493849383330505E-3</v>
      </c>
      <c r="BJ51" s="3343">
        <v>2399</v>
      </c>
      <c r="BK51" s="3354">
        <f t="shared" ref="BK51:BL52" si="114">BP51+BU51+BZ51+CE51+CJ51+CO51+CT51+CY51+DD51+DI51+DN51+DS51</f>
        <v>0</v>
      </c>
      <c r="BL51" s="3341">
        <f t="shared" si="114"/>
        <v>0</v>
      </c>
      <c r="BM51" s="2012">
        <f>BK51+BL51*1</f>
        <v>0</v>
      </c>
      <c r="BN51" s="3350">
        <f t="shared" si="113"/>
        <v>0</v>
      </c>
      <c r="BO51" s="3343">
        <f t="shared" ref="BO51:BO52" si="115">BM51-BR51-BW51-CB51-CG51-CL51-CQ51-CV51</f>
        <v>0</v>
      </c>
      <c r="BP51" s="3381"/>
      <c r="BQ51" s="3381"/>
      <c r="BR51" s="1981">
        <f>BP51+BQ51*1</f>
        <v>0</v>
      </c>
      <c r="BS51" s="3432">
        <f t="shared" si="37"/>
        <v>0</v>
      </c>
      <c r="BT51" s="3633"/>
      <c r="BU51" s="3341"/>
      <c r="BV51" s="3341"/>
      <c r="BW51" s="2012">
        <f>BU51+BV51*1</f>
        <v>0</v>
      </c>
      <c r="BX51" s="3350">
        <f>BW51/$E$89</f>
        <v>0</v>
      </c>
      <c r="BY51" s="3373"/>
      <c r="BZ51" s="3341"/>
      <c r="CA51" s="3341"/>
      <c r="CB51" s="2012">
        <f>BZ51+CA51*1</f>
        <v>0</v>
      </c>
      <c r="CC51" s="3350">
        <f t="shared" si="71"/>
        <v>0</v>
      </c>
      <c r="CD51" s="3373"/>
      <c r="CE51" s="3341"/>
      <c r="CF51" s="3341"/>
      <c r="CG51" s="2012">
        <f>CE51+CF51*1</f>
        <v>0</v>
      </c>
      <c r="CH51" s="3350">
        <f t="shared" si="72"/>
        <v>0</v>
      </c>
      <c r="CI51" s="3373"/>
      <c r="CJ51" s="3341"/>
      <c r="CK51" s="3341"/>
      <c r="CL51" s="2012">
        <f>CJ51+CK51*1</f>
        <v>0</v>
      </c>
      <c r="CM51" s="3350">
        <f t="shared" si="73"/>
        <v>0</v>
      </c>
      <c r="CN51" s="3373"/>
      <c r="CO51" s="3341"/>
      <c r="CP51" s="3341"/>
      <c r="CQ51" s="2012">
        <f>CO51+CP51*1</f>
        <v>0</v>
      </c>
      <c r="CR51" s="3350">
        <f t="shared" si="74"/>
        <v>0</v>
      </c>
      <c r="CS51" s="3373"/>
      <c r="CT51" s="3341"/>
      <c r="CU51" s="3341"/>
      <c r="CV51" s="2012">
        <f>CT51+CU51*1</f>
        <v>0</v>
      </c>
      <c r="CW51" s="3350">
        <f t="shared" si="75"/>
        <v>0</v>
      </c>
      <c r="CX51" s="3373"/>
      <c r="CY51" s="3341"/>
      <c r="CZ51" s="3341"/>
      <c r="DA51" s="2012">
        <f>CY51+CZ51*1</f>
        <v>0</v>
      </c>
      <c r="DB51" s="3350">
        <f t="shared" si="76"/>
        <v>0</v>
      </c>
      <c r="DC51" s="3381"/>
      <c r="DD51" s="3341"/>
      <c r="DE51" s="3341"/>
      <c r="DF51" s="2012">
        <f>DD51+DE51*1</f>
        <v>0</v>
      </c>
      <c r="DG51" s="3350">
        <f t="shared" si="77"/>
        <v>0</v>
      </c>
      <c r="DH51" s="3634"/>
      <c r="DI51" s="3354"/>
      <c r="DJ51" s="3341"/>
      <c r="DK51" s="2012">
        <f>DI51+DJ51*1</f>
        <v>0</v>
      </c>
      <c r="DL51" s="3350">
        <f t="shared" si="78"/>
        <v>0</v>
      </c>
      <c r="DM51" s="3493"/>
      <c r="DN51" s="3354"/>
      <c r="DO51" s="3341"/>
      <c r="DP51" s="2012">
        <f>DN51+DO51*1</f>
        <v>0</v>
      </c>
      <c r="DQ51" s="3350">
        <f t="shared" si="79"/>
        <v>0</v>
      </c>
      <c r="DR51" s="3493"/>
      <c r="DS51" s="3354"/>
      <c r="DT51" s="3341"/>
      <c r="DU51" s="2012">
        <f>DS51+DT51*1</f>
        <v>0</v>
      </c>
      <c r="DV51" s="3350">
        <f t="shared" si="80"/>
        <v>0</v>
      </c>
      <c r="DW51" s="3523"/>
      <c r="DX51" s="3428">
        <f t="shared" ref="DX51:DY52" si="116">R51+W51+AB51+AG51+AL51+AQ51+AV51+BA51+BP51+BU51+BZ51+CE51+CJ51+CO51+CT51+CY51+DD51+DI51+DN51+DS51+BF51</f>
        <v>2399</v>
      </c>
      <c r="DY51" s="3428">
        <f t="shared" si="116"/>
        <v>500</v>
      </c>
      <c r="DZ51" s="3349">
        <f>DX51+DY51*1</f>
        <v>2899</v>
      </c>
      <c r="EA51" s="3350" t="e">
        <f t="shared" si="81"/>
        <v>#DIV/0!</v>
      </c>
      <c r="EB51" s="3373"/>
      <c r="ED51" s="1345">
        <v>2374</v>
      </c>
      <c r="EE51" s="3354">
        <f>ED51-BM51</f>
        <v>2374</v>
      </c>
      <c r="EF51" s="3334"/>
    </row>
    <row r="52" spans="1:136" ht="13.8">
      <c r="A52" s="1566"/>
      <c r="B52" s="3444" t="s">
        <v>61</v>
      </c>
      <c r="C52" s="3373"/>
      <c r="D52" s="3635"/>
      <c r="E52" s="1064">
        <f>C52+D52*1</f>
        <v>0</v>
      </c>
      <c r="F52" s="3350">
        <f t="shared" si="51"/>
        <v>0</v>
      </c>
      <c r="G52" s="3316"/>
      <c r="H52" s="3341">
        <v>17142.8</v>
      </c>
      <c r="I52" s="3341">
        <v>700</v>
      </c>
      <c r="J52" s="2012">
        <f>H52+I52*1</f>
        <v>17842.8</v>
      </c>
      <c r="K52" s="3350">
        <f>J52/$J$89</f>
        <v>1.4040142560887547E-3</v>
      </c>
      <c r="L52" s="3373"/>
      <c r="M52" s="3490">
        <v>0</v>
      </c>
      <c r="N52" s="3490">
        <v>0</v>
      </c>
      <c r="O52" s="3491">
        <v>0</v>
      </c>
      <c r="P52" s="3516">
        <v>0</v>
      </c>
      <c r="Q52" s="3381"/>
      <c r="R52" s="3490"/>
      <c r="S52" s="3490"/>
      <c r="T52" s="3491">
        <f>R52+S52*1</f>
        <v>0</v>
      </c>
      <c r="U52" s="3516">
        <f>T52/$T$89</f>
        <v>0</v>
      </c>
      <c r="V52" s="3580"/>
      <c r="W52" s="3341"/>
      <c r="X52" s="3341"/>
      <c r="Y52" s="2012">
        <f>W52+X52*1</f>
        <v>0</v>
      </c>
      <c r="Z52" s="3350">
        <f>Y52/$T$89</f>
        <v>0</v>
      </c>
      <c r="AA52" s="3373"/>
      <c r="AB52" s="3341"/>
      <c r="AC52" s="3341"/>
      <c r="AD52" s="2012">
        <f>AB52+AC52*1</f>
        <v>0</v>
      </c>
      <c r="AE52" s="3350">
        <f>AD52/$T$89</f>
        <v>0</v>
      </c>
      <c r="AF52" s="3373"/>
      <c r="AG52" s="3354"/>
      <c r="AH52" s="3341"/>
      <c r="AI52" s="1981">
        <f>AG52+AH52*1</f>
        <v>0</v>
      </c>
      <c r="AJ52" s="3509">
        <f t="shared" si="7"/>
        <v>0</v>
      </c>
      <c r="AK52" s="3373"/>
      <c r="AL52" s="3341"/>
      <c r="AM52" s="3341"/>
      <c r="AN52" s="1981">
        <f>AL52+AM52*1</f>
        <v>0</v>
      </c>
      <c r="AO52" s="3509">
        <f t="shared" si="70"/>
        <v>0</v>
      </c>
      <c r="AP52" s="3373"/>
      <c r="AQ52" s="3381"/>
      <c r="AR52" s="3381"/>
      <c r="AS52" s="1981">
        <f>AQ52+AR52*1</f>
        <v>0</v>
      </c>
      <c r="AT52" s="3509">
        <f>AS52/$AS$89</f>
        <v>0</v>
      </c>
      <c r="AU52" s="3381"/>
      <c r="AV52" s="3381"/>
      <c r="AW52" s="3381"/>
      <c r="AX52" s="1981">
        <f>AV52+AW52*1</f>
        <v>0</v>
      </c>
      <c r="AY52" s="3509">
        <f>AX52/$AS$89</f>
        <v>0</v>
      </c>
      <c r="AZ52" s="3381"/>
      <c r="BA52" s="3381"/>
      <c r="BB52" s="3381"/>
      <c r="BC52" s="1981">
        <f>BA52+BB52*1</f>
        <v>0</v>
      </c>
      <c r="BD52" s="3511">
        <f t="shared" si="34"/>
        <v>0</v>
      </c>
      <c r="BE52" s="3633"/>
      <c r="BF52" s="3354">
        <v>11376</v>
      </c>
      <c r="BG52" s="3341">
        <v>0</v>
      </c>
      <c r="BH52" s="2012">
        <v>11376</v>
      </c>
      <c r="BI52" s="3350">
        <v>8.7697386654759409E-3</v>
      </c>
      <c r="BJ52" s="3343">
        <v>11376</v>
      </c>
      <c r="BK52" s="3354">
        <f t="shared" si="114"/>
        <v>0</v>
      </c>
      <c r="BL52" s="3341">
        <f t="shared" si="114"/>
        <v>0</v>
      </c>
      <c r="BM52" s="2012">
        <f>BK52+BL52*1</f>
        <v>0</v>
      </c>
      <c r="BN52" s="3350">
        <f t="shared" si="113"/>
        <v>0</v>
      </c>
      <c r="BO52" s="3343">
        <f t="shared" si="115"/>
        <v>0</v>
      </c>
      <c r="BP52" s="3381"/>
      <c r="BQ52" s="3381"/>
      <c r="BR52" s="1981">
        <f>BP52+BQ52*1</f>
        <v>0</v>
      </c>
      <c r="BS52" s="3432">
        <f t="shared" si="37"/>
        <v>0</v>
      </c>
      <c r="BT52" s="3633"/>
      <c r="BU52" s="3341"/>
      <c r="BV52" s="3341"/>
      <c r="BW52" s="2012">
        <f>BU52+BV52*1</f>
        <v>0</v>
      </c>
      <c r="BX52" s="3350">
        <f>BW52/$E$89</f>
        <v>0</v>
      </c>
      <c r="BY52" s="3373"/>
      <c r="BZ52" s="3341"/>
      <c r="CA52" s="3341"/>
      <c r="CB52" s="2012">
        <f>BZ52+CA52*1</f>
        <v>0</v>
      </c>
      <c r="CC52" s="3350">
        <f t="shared" si="71"/>
        <v>0</v>
      </c>
      <c r="CD52" s="3373"/>
      <c r="CE52" s="3341"/>
      <c r="CF52" s="3341"/>
      <c r="CG52" s="2012">
        <f>CE52+CF52*1</f>
        <v>0</v>
      </c>
      <c r="CH52" s="3350">
        <f t="shared" si="72"/>
        <v>0</v>
      </c>
      <c r="CI52" s="3373"/>
      <c r="CJ52" s="3341"/>
      <c r="CK52" s="3341"/>
      <c r="CL52" s="2012">
        <f>CJ52+CK52*1</f>
        <v>0</v>
      </c>
      <c r="CM52" s="3350">
        <f t="shared" si="73"/>
        <v>0</v>
      </c>
      <c r="CN52" s="3373"/>
      <c r="CO52" s="3341"/>
      <c r="CP52" s="3341"/>
      <c r="CQ52" s="2012">
        <f>CO52+CP52*1</f>
        <v>0</v>
      </c>
      <c r="CR52" s="3350">
        <f t="shared" si="74"/>
        <v>0</v>
      </c>
      <c r="CS52" s="3373"/>
      <c r="CT52" s="3341"/>
      <c r="CU52" s="3341"/>
      <c r="CV52" s="2012">
        <f>CT52+CU52*1</f>
        <v>0</v>
      </c>
      <c r="CW52" s="3350">
        <f t="shared" si="75"/>
        <v>0</v>
      </c>
      <c r="CX52" s="3373"/>
      <c r="CY52" s="3341"/>
      <c r="CZ52" s="3341"/>
      <c r="DA52" s="2012">
        <f>CY52+CZ52*1</f>
        <v>0</v>
      </c>
      <c r="DB52" s="3350">
        <f t="shared" si="76"/>
        <v>0</v>
      </c>
      <c r="DC52" s="3381"/>
      <c r="DD52" s="3341"/>
      <c r="DE52" s="3341"/>
      <c r="DF52" s="2012">
        <f>DD52+DE52*1</f>
        <v>0</v>
      </c>
      <c r="DG52" s="3350">
        <f t="shared" si="77"/>
        <v>0</v>
      </c>
      <c r="DH52" s="3634"/>
      <c r="DI52" s="3354"/>
      <c r="DJ52" s="3341"/>
      <c r="DK52" s="2012">
        <f>DI52+DJ52*1</f>
        <v>0</v>
      </c>
      <c r="DL52" s="3350">
        <f t="shared" si="78"/>
        <v>0</v>
      </c>
      <c r="DM52" s="3634"/>
      <c r="DN52" s="3354"/>
      <c r="DO52" s="3341"/>
      <c r="DP52" s="2012">
        <f>DN52+DO52*1</f>
        <v>0</v>
      </c>
      <c r="DQ52" s="3350">
        <f t="shared" si="79"/>
        <v>0</v>
      </c>
      <c r="DR52" s="3381"/>
      <c r="DS52" s="3354"/>
      <c r="DT52" s="3341"/>
      <c r="DU52" s="2012">
        <f>DS52+DT52*1</f>
        <v>0</v>
      </c>
      <c r="DV52" s="3350">
        <f t="shared" si="80"/>
        <v>0</v>
      </c>
      <c r="DW52" s="3523"/>
      <c r="DX52" s="3428">
        <f t="shared" si="116"/>
        <v>11376</v>
      </c>
      <c r="DY52" s="3428">
        <f t="shared" si="116"/>
        <v>0</v>
      </c>
      <c r="DZ52" s="2012">
        <f>DX52+DY52*1</f>
        <v>11376</v>
      </c>
      <c r="EA52" s="3350" t="e">
        <f t="shared" si="81"/>
        <v>#DIV/0!</v>
      </c>
      <c r="EB52" s="3373"/>
      <c r="ED52" s="1345">
        <v>11376</v>
      </c>
      <c r="EE52" s="3354">
        <f>ED52-BM52</f>
        <v>11376</v>
      </c>
      <c r="EF52" s="3336"/>
    </row>
    <row r="53" spans="1:136" ht="14.4" thickBot="1">
      <c r="A53" s="1571"/>
      <c r="B53" s="2834"/>
      <c r="C53" s="3324"/>
      <c r="D53" s="3324"/>
      <c r="E53" s="3324"/>
      <c r="F53" s="3325">
        <f t="shared" si="51"/>
        <v>0</v>
      </c>
      <c r="G53" s="297"/>
      <c r="H53" s="3345">
        <v>0</v>
      </c>
      <c r="I53" s="3345">
        <v>0</v>
      </c>
      <c r="J53" s="3324"/>
      <c r="K53" s="3324"/>
      <c r="L53" s="3324"/>
      <c r="M53" s="3495">
        <v>0</v>
      </c>
      <c r="N53" s="3495">
        <v>0</v>
      </c>
      <c r="O53" s="3636"/>
      <c r="P53" s="3636"/>
      <c r="Q53" s="1316"/>
      <c r="R53" s="3495"/>
      <c r="S53" s="3495"/>
      <c r="T53" s="3636"/>
      <c r="U53" s="3636"/>
      <c r="V53" s="3636"/>
      <c r="W53" s="3345"/>
      <c r="X53" s="3345"/>
      <c r="Y53" s="3324"/>
      <c r="Z53" s="3324"/>
      <c r="AA53" s="3324"/>
      <c r="AB53" s="3345"/>
      <c r="AC53" s="3345"/>
      <c r="AD53" s="3324"/>
      <c r="AE53" s="3324"/>
      <c r="AF53" s="3324"/>
      <c r="AG53" s="3429"/>
      <c r="AH53" s="3345"/>
      <c r="AI53" s="3326"/>
      <c r="AJ53" s="3318">
        <f t="shared" si="7"/>
        <v>0</v>
      </c>
      <c r="AK53" s="3324"/>
      <c r="AL53" s="3345"/>
      <c r="AM53" s="3345"/>
      <c r="AN53" s="3326"/>
      <c r="AO53" s="3318">
        <f>AN53/$AI$89</f>
        <v>0</v>
      </c>
      <c r="AP53" s="3324"/>
      <c r="AQ53" s="1316"/>
      <c r="AR53" s="1316"/>
      <c r="AS53" s="3326"/>
      <c r="AT53" s="3318">
        <f>AS53/$AI$89</f>
        <v>0</v>
      </c>
      <c r="AU53" s="1316"/>
      <c r="AV53" s="1316"/>
      <c r="AW53" s="1316"/>
      <c r="AX53" s="3326"/>
      <c r="AY53" s="3318">
        <f>AX53/$AI$89</f>
        <v>0</v>
      </c>
      <c r="AZ53" s="1316"/>
      <c r="BA53" s="1316"/>
      <c r="BB53" s="1316"/>
      <c r="BC53" s="3326"/>
      <c r="BD53" s="3319">
        <f t="shared" si="34"/>
        <v>0</v>
      </c>
      <c r="BE53" s="794"/>
      <c r="BF53" s="3354"/>
      <c r="BG53" s="3341"/>
      <c r="BH53" s="3302"/>
      <c r="BI53" s="3302"/>
      <c r="BJ53" s="3302"/>
      <c r="BK53" s="3354"/>
      <c r="BL53" s="3341"/>
      <c r="BM53" s="3302"/>
      <c r="BN53" s="3302"/>
      <c r="BO53" s="3302"/>
      <c r="BP53" s="1316"/>
      <c r="BQ53" s="1316"/>
      <c r="BR53" s="3326"/>
      <c r="BS53" s="3637">
        <f t="shared" si="37"/>
        <v>0</v>
      </c>
      <c r="BT53" s="794"/>
      <c r="BU53" s="3341"/>
      <c r="BV53" s="3341"/>
      <c r="BW53" s="3302"/>
      <c r="BX53" s="3302"/>
      <c r="BY53" s="3302"/>
      <c r="BZ53" s="3341"/>
      <c r="CA53" s="3341"/>
      <c r="CB53" s="3302"/>
      <c r="CC53" s="3302"/>
      <c r="CD53" s="3302"/>
      <c r="CE53" s="3341"/>
      <c r="CF53" s="3341"/>
      <c r="CG53" s="3302"/>
      <c r="CH53" s="3302"/>
      <c r="CI53" s="3302"/>
      <c r="CJ53" s="3341"/>
      <c r="CK53" s="3341"/>
      <c r="CL53" s="3302"/>
      <c r="CM53" s="3302"/>
      <c r="CN53" s="3302"/>
      <c r="CO53" s="3341"/>
      <c r="CP53" s="3341"/>
      <c r="CQ53" s="3302"/>
      <c r="CR53" s="3302"/>
      <c r="CS53" s="3302"/>
      <c r="CT53" s="3341"/>
      <c r="CU53" s="3341"/>
      <c r="CV53" s="3302"/>
      <c r="CW53" s="3302"/>
      <c r="CX53" s="3302"/>
      <c r="CY53" s="3341"/>
      <c r="CZ53" s="3341"/>
      <c r="DA53" s="3302"/>
      <c r="DB53" s="3302"/>
      <c r="DC53" s="1316"/>
      <c r="DD53" s="3341"/>
      <c r="DE53" s="3341"/>
      <c r="DF53" s="3302"/>
      <c r="DG53" s="3302"/>
      <c r="DH53" s="3638"/>
      <c r="DI53" s="3354"/>
      <c r="DJ53" s="3341"/>
      <c r="DK53" s="3302"/>
      <c r="DL53" s="3302"/>
      <c r="DM53" s="3638"/>
      <c r="DN53" s="3354"/>
      <c r="DO53" s="3341"/>
      <c r="DP53" s="3302"/>
      <c r="DQ53" s="3302"/>
      <c r="DR53" s="1316"/>
      <c r="DS53" s="3354"/>
      <c r="DT53" s="3341"/>
      <c r="DU53" s="3302"/>
      <c r="DV53" s="3302"/>
      <c r="DW53" s="794"/>
      <c r="DX53" s="3354">
        <f>R53+W53+AB53+AG53+AL53+AQ53+AV53+BA53+BP53+BU53+BZ53+CE53+CJ53+CO53+CT53+CY53+DD53</f>
        <v>0</v>
      </c>
      <c r="DY53" s="3341">
        <f>S53+X53+AC53+AH53+AM53+AR53+AW53+BB53+BQ53+BV53+CA53+CF53+CK53+CP53+CU53+CZ53+DE53</f>
        <v>0</v>
      </c>
      <c r="DZ53" s="3324"/>
      <c r="EA53" s="3324"/>
      <c r="EB53" s="3324"/>
      <c r="ED53" s="3354"/>
      <c r="EE53" s="3354"/>
    </row>
    <row r="54" spans="1:136" ht="13.8">
      <c r="A54" s="1570"/>
      <c r="B54" s="1410" t="s">
        <v>1</v>
      </c>
      <c r="C54" s="2015">
        <f>SUM(C55:C71)</f>
        <v>2807</v>
      </c>
      <c r="D54" s="2015">
        <f>SUM(D55:D71)</f>
        <v>18615</v>
      </c>
      <c r="E54" s="1975">
        <f>SUM(E55:E71)</f>
        <v>21422</v>
      </c>
      <c r="F54" s="1534">
        <f t="shared" si="51"/>
        <v>8.239326891350136E-3</v>
      </c>
      <c r="G54" s="296"/>
      <c r="H54" s="2015">
        <f>SUM(H55:H71)</f>
        <v>135939.09600000002</v>
      </c>
      <c r="I54" s="2015">
        <f>SUM(I55:I71)</f>
        <v>220220.19999999998</v>
      </c>
      <c r="J54" s="1975">
        <f>SUM(J55:J71)</f>
        <v>356159.29599999997</v>
      </c>
      <c r="K54" s="1534">
        <f t="shared" ref="K54:K72" si="117">J54/$J$89</f>
        <v>2.8025462877044778E-2</v>
      </c>
      <c r="L54" s="2006"/>
      <c r="M54" s="3639">
        <v>32269.439999999999</v>
      </c>
      <c r="N54" s="3639">
        <v>33024.68</v>
      </c>
      <c r="O54" s="3639">
        <v>65294.12</v>
      </c>
      <c r="P54" s="3640">
        <v>3.3877812745140143E-3</v>
      </c>
      <c r="Q54" s="1445"/>
      <c r="R54" s="3639">
        <f>SUM(R55:R72)</f>
        <v>1455</v>
      </c>
      <c r="S54" s="3639">
        <f>SUM(S55:S72)</f>
        <v>14000</v>
      </c>
      <c r="T54" s="3639">
        <f>SUM(T55:T72)</f>
        <v>15455</v>
      </c>
      <c r="U54" s="3640">
        <f t="shared" ref="U54:U71" si="118">T54/$T$89</f>
        <v>1.1914232689427802E-2</v>
      </c>
      <c r="V54" s="3641"/>
      <c r="W54" s="2015">
        <f>SUM(W55:W72)</f>
        <v>2112</v>
      </c>
      <c r="X54" s="2015">
        <f>SUM(X55:X72)</f>
        <v>7726.45</v>
      </c>
      <c r="Y54" s="2015">
        <f>SUM(Y55:Y72)</f>
        <v>9838.4499999999989</v>
      </c>
      <c r="Z54" s="1534">
        <f>Y54/$Y$89</f>
        <v>4.3521969332029706E-3</v>
      </c>
      <c r="AA54" s="2006"/>
      <c r="AB54" s="2015">
        <f>SUM(AB55:AB72)</f>
        <v>37028.28</v>
      </c>
      <c r="AC54" s="2015">
        <f>SUM(AC55:AC72)</f>
        <v>35467</v>
      </c>
      <c r="AD54" s="2015">
        <f>SUM(AD55:AD72)</f>
        <v>72495.28</v>
      </c>
      <c r="AE54" s="1534">
        <f t="shared" ref="AE54:AE71" si="119">AD54/$AD$89</f>
        <v>8.6494784823841472E-2</v>
      </c>
      <c r="AF54" s="2006"/>
      <c r="AG54" s="2015">
        <f>SUM(AG55:AG72)</f>
        <v>110526.61000000002</v>
      </c>
      <c r="AH54" s="2015">
        <f>SUM(AH55:AH72)</f>
        <v>71844.670000000013</v>
      </c>
      <c r="AI54" s="2015">
        <f>SUM(AI55:AI72)</f>
        <v>182371.28</v>
      </c>
      <c r="AJ54" s="546">
        <f t="shared" si="7"/>
        <v>0.16859904321736521</v>
      </c>
      <c r="AK54" s="2006"/>
      <c r="AL54" s="2015">
        <f>SUM(AL55:AL72)</f>
        <v>151724.24</v>
      </c>
      <c r="AM54" s="2015">
        <f>SUM(AM55:AM72)</f>
        <v>84508.41</v>
      </c>
      <c r="AN54" s="2015">
        <f>SUM(AN55:AN72)</f>
        <v>236232.64999999997</v>
      </c>
      <c r="AO54" s="546">
        <f>AN54/$AN$89</f>
        <v>5.1978813221007912E-2</v>
      </c>
      <c r="AP54" s="2006"/>
      <c r="AQ54" s="1445">
        <f>SUM(AQ55:AQ72)</f>
        <v>113571.98</v>
      </c>
      <c r="AR54" s="1445">
        <f>SUM(AR55:AR72)</f>
        <v>68024.98</v>
      </c>
      <c r="AS54" s="2015">
        <f>SUM(AS55:AS72)</f>
        <v>181596.96000000002</v>
      </c>
      <c r="AT54" s="546">
        <f>AS54/$AN$89</f>
        <v>3.9957196709865667E-2</v>
      </c>
      <c r="AU54" s="1445"/>
      <c r="AV54" s="1445">
        <f>SUM(AV55:AV72)</f>
        <v>234501.85</v>
      </c>
      <c r="AW54" s="1445">
        <f>SUM(AW55:AW72)</f>
        <v>84354.33</v>
      </c>
      <c r="AX54" s="2015">
        <f>SUM(AX55:AX72)</f>
        <v>318856.18000000005</v>
      </c>
      <c r="AY54" s="546">
        <f>AX54/$AN$89</f>
        <v>7.0158658528294393E-2</v>
      </c>
      <c r="AZ54" s="1321"/>
      <c r="BA54" s="1445">
        <f>SUM(BA55:BA72)</f>
        <v>216223.78999999998</v>
      </c>
      <c r="BB54" s="1445">
        <f>SUM(BB55:BB72)</f>
        <v>294467.53000000003</v>
      </c>
      <c r="BC54" s="2015">
        <f>SUM(BC55:BC72)</f>
        <v>510691.32000000007</v>
      </c>
      <c r="BD54" s="1350">
        <f t="shared" si="34"/>
        <v>7.5313485419003137E-2</v>
      </c>
      <c r="BE54" s="2006"/>
      <c r="BF54" s="2015">
        <v>2794331.7</v>
      </c>
      <c r="BG54" s="2015">
        <v>1631688.6600000001</v>
      </c>
      <c r="BH54" s="2015">
        <v>4426020.3600000013</v>
      </c>
      <c r="BI54" s="3378">
        <v>3.4120114174820459</v>
      </c>
      <c r="BJ54" s="2006"/>
      <c r="BK54" s="2015">
        <f>SUM(BK55:BK72)</f>
        <v>0</v>
      </c>
      <c r="BL54" s="2015">
        <f>SUM(BL55:BL72)</f>
        <v>0</v>
      </c>
      <c r="BM54" s="2015">
        <f>SUM(BM55:BM72)</f>
        <v>0</v>
      </c>
      <c r="BN54" s="3378">
        <f t="shared" ref="BN54:BN71" si="120">BM54/$T$89</f>
        <v>0</v>
      </c>
      <c r="BO54" s="2006"/>
      <c r="BP54" s="1445">
        <f>SUM(BP55:BP72)</f>
        <v>0</v>
      </c>
      <c r="BQ54" s="1445">
        <f>SUM(BQ55:BQ72)</f>
        <v>0</v>
      </c>
      <c r="BR54" s="2015">
        <f>SUM(BR55:BR72)</f>
        <v>0</v>
      </c>
      <c r="BS54" s="2099">
        <f t="shared" si="37"/>
        <v>0</v>
      </c>
      <c r="BT54" s="2006"/>
      <c r="BU54" s="1445">
        <f>SUM(BU55:BU72)</f>
        <v>0</v>
      </c>
      <c r="BV54" s="1445">
        <f>SUM(BV55:BV72)</f>
        <v>0</v>
      </c>
      <c r="BW54" s="2015">
        <f>SUM(BW55:BW72)</f>
        <v>0</v>
      </c>
      <c r="BX54" s="3378">
        <f t="shared" ref="BX54:BX71" si="121">BW54/$E$89</f>
        <v>0</v>
      </c>
      <c r="BY54" s="2006"/>
      <c r="BZ54" s="2015">
        <f>SUM(BZ55:BZ72)</f>
        <v>0</v>
      </c>
      <c r="CA54" s="2015">
        <f>SUM(CA55:CA72)</f>
        <v>0</v>
      </c>
      <c r="CB54" s="2015">
        <f>SUM(CB55:CB72)</f>
        <v>0</v>
      </c>
      <c r="CC54" s="3378">
        <f t="shared" ref="CC54:CC71" si="122">CB54/$AD$89</f>
        <v>0</v>
      </c>
      <c r="CD54" s="2006"/>
      <c r="CE54" s="2015">
        <f>SUM(CE55:CE72)</f>
        <v>0</v>
      </c>
      <c r="CF54" s="2015">
        <f>SUM(CF55:CF72)</f>
        <v>0</v>
      </c>
      <c r="CG54" s="2015">
        <f>SUM(CG55:CG72)</f>
        <v>0</v>
      </c>
      <c r="CH54" s="3378">
        <f t="shared" ref="CH54:CH71" si="123">CG54/$AD$89</f>
        <v>0</v>
      </c>
      <c r="CI54" s="2006"/>
      <c r="CJ54" s="2015">
        <f>SUM(CJ55:CJ72)</f>
        <v>0</v>
      </c>
      <c r="CK54" s="2015">
        <f>SUM(CK55:CK72)</f>
        <v>0</v>
      </c>
      <c r="CL54" s="2015">
        <f>SUM(CL55:CL72)</f>
        <v>0</v>
      </c>
      <c r="CM54" s="3378">
        <f t="shared" ref="CM54:CM71" si="124">CL54/$AD$89</f>
        <v>0</v>
      </c>
      <c r="CN54" s="2006"/>
      <c r="CO54" s="2015">
        <f>SUM(CO55:CO72)</f>
        <v>0</v>
      </c>
      <c r="CP54" s="2015">
        <f>SUM(CP55:CP72)</f>
        <v>0</v>
      </c>
      <c r="CQ54" s="2015">
        <f>SUM(CQ55:CQ72)</f>
        <v>0</v>
      </c>
      <c r="CR54" s="3378">
        <f t="shared" ref="CR54:CR71" si="125">CQ54/$AD$89</f>
        <v>0</v>
      </c>
      <c r="CS54" s="2006"/>
      <c r="CT54" s="2015">
        <f>SUM(CT55:CT72)</f>
        <v>0</v>
      </c>
      <c r="CU54" s="2015">
        <f>SUM(CU55:CU72)</f>
        <v>0</v>
      </c>
      <c r="CV54" s="2015">
        <f>SUM(CV55:CV72)</f>
        <v>0</v>
      </c>
      <c r="CW54" s="3378">
        <f t="shared" ref="CW54:CW71" si="126">CV54/$AD$89</f>
        <v>0</v>
      </c>
      <c r="CX54" s="2006"/>
      <c r="CY54" s="2015">
        <f>SUM(CY55:CY72)</f>
        <v>0</v>
      </c>
      <c r="CZ54" s="2015">
        <f>SUM(CZ55:CZ72)</f>
        <v>0</v>
      </c>
      <c r="DA54" s="2015">
        <f>SUM(DA55:DA72)</f>
        <v>0</v>
      </c>
      <c r="DB54" s="3378">
        <f t="shared" ref="DB54:DB71" si="127">DA54/$AD$89</f>
        <v>0</v>
      </c>
      <c r="DC54" s="1321"/>
      <c r="DD54" s="2015">
        <f>SUM(DD55:DD72)</f>
        <v>0</v>
      </c>
      <c r="DE54" s="2015">
        <f>SUM(DE55:DE72)</f>
        <v>0</v>
      </c>
      <c r="DF54" s="2015">
        <f>SUM(DF55:DF72)</f>
        <v>0</v>
      </c>
      <c r="DG54" s="3378">
        <f t="shared" ref="DG54:DG71" si="128">DF54/$AD$89</f>
        <v>0</v>
      </c>
      <c r="DH54" s="1321"/>
      <c r="DI54" s="2015">
        <f>SUM(DI55:DI72)</f>
        <v>0</v>
      </c>
      <c r="DJ54" s="2015">
        <f>SUM(DJ55:DJ72)</f>
        <v>0</v>
      </c>
      <c r="DK54" s="2015">
        <f>SUM(DK55:DK72)</f>
        <v>0</v>
      </c>
      <c r="DL54" s="3378">
        <f t="shared" ref="DL54:DL71" si="129">DK54/$AD$89</f>
        <v>0</v>
      </c>
      <c r="DM54" s="1321"/>
      <c r="DN54" s="2015">
        <f>SUM(DN55:DN72)</f>
        <v>0</v>
      </c>
      <c r="DO54" s="2015">
        <f>SUM(DO55:DO72)</f>
        <v>0</v>
      </c>
      <c r="DP54" s="2015">
        <f>SUM(DP55:DP72)</f>
        <v>0</v>
      </c>
      <c r="DQ54" s="3378">
        <f t="shared" ref="DQ54:DQ71" si="130">DP54/$AD$89</f>
        <v>0</v>
      </c>
      <c r="DR54" s="698"/>
      <c r="DS54" s="2015">
        <f>SUM(DS55:DS72)</f>
        <v>0</v>
      </c>
      <c r="DT54" s="2015">
        <f>SUM(DT55:DT72)</f>
        <v>0</v>
      </c>
      <c r="DU54" s="2015">
        <f>SUM(DU55:DU72)</f>
        <v>0</v>
      </c>
      <c r="DV54" s="3378">
        <f t="shared" ref="DV54:DV71" si="131">DU54/$AD$89</f>
        <v>0</v>
      </c>
      <c r="DW54" s="2006"/>
      <c r="DX54" s="2015">
        <f>SUM(DX55:DX72)</f>
        <v>3661475.4499999997</v>
      </c>
      <c r="DY54" s="2015">
        <f>SUM(DY55:DY72)</f>
        <v>2292082.0300000003</v>
      </c>
      <c r="DZ54" s="2015">
        <f>SUM(DZ55:DZ72)</f>
        <v>5953557.4799999995</v>
      </c>
      <c r="EA54" s="1534" t="e">
        <f t="shared" ref="EA54:EA71" si="132">DZ54/$BW$89</f>
        <v>#DIV/0!</v>
      </c>
      <c r="EB54" s="2006"/>
      <c r="ED54" s="1975">
        <f>SUM(ED55:ED72)</f>
        <v>4509760.25</v>
      </c>
      <c r="EE54" s="1975">
        <f>SUM(EE55:EE72)</f>
        <v>4505710.25</v>
      </c>
    </row>
    <row r="55" spans="1:136" ht="58.2" customHeight="1">
      <c r="A55" s="1571"/>
      <c r="B55" s="3372" t="s">
        <v>77</v>
      </c>
      <c r="C55" s="3614"/>
      <c r="D55" s="3524"/>
      <c r="E55" s="1064">
        <f t="shared" ref="E55:E71" si="133">C55+D55*1</f>
        <v>0</v>
      </c>
      <c r="F55" s="3350">
        <f t="shared" si="51"/>
        <v>0</v>
      </c>
      <c r="G55" s="3316"/>
      <c r="H55" s="3341">
        <v>27101.67</v>
      </c>
      <c r="I55" s="3341">
        <v>21231.66</v>
      </c>
      <c r="J55" s="2012">
        <f t="shared" ref="J55:J71" si="134">H55+I55*1</f>
        <v>48333.33</v>
      </c>
      <c r="K55" s="3350">
        <f t="shared" si="117"/>
        <v>3.8032530972853082E-3</v>
      </c>
      <c r="L55" s="3360"/>
      <c r="M55" s="3505">
        <v>0</v>
      </c>
      <c r="N55" s="3505">
        <v>0</v>
      </c>
      <c r="O55" s="3491">
        <v>0</v>
      </c>
      <c r="P55" s="3516">
        <v>0</v>
      </c>
      <c r="Q55" s="1434"/>
      <c r="R55" s="3505"/>
      <c r="S55" s="3505"/>
      <c r="T55" s="3491">
        <f t="shared" ref="T55:T71" si="135">R55+S55*1</f>
        <v>0</v>
      </c>
      <c r="U55" s="3516">
        <f t="shared" si="118"/>
        <v>0</v>
      </c>
      <c r="V55" s="3533"/>
      <c r="W55" s="3349"/>
      <c r="X55" s="3349"/>
      <c r="Y55" s="2012">
        <f t="shared" ref="Y55:Y71" si="136">W55+X55*1</f>
        <v>0</v>
      </c>
      <c r="Z55" s="3350">
        <f t="shared" ref="Z55:Z71" si="137">Y55/$T$89</f>
        <v>0</v>
      </c>
      <c r="AA55" s="3360"/>
      <c r="AB55" s="3349">
        <v>11436</v>
      </c>
      <c r="AC55" s="3349">
        <v>31735</v>
      </c>
      <c r="AD55" s="2012">
        <f t="shared" ref="AD55:AD71" si="138">AB55+AC55*1</f>
        <v>43171</v>
      </c>
      <c r="AE55" s="3350">
        <f t="shared" si="119"/>
        <v>5.1507716855912003E-2</v>
      </c>
      <c r="AF55" s="3421" t="s">
        <v>1073</v>
      </c>
      <c r="AG55" s="3425">
        <f>25007.67+5235.5</f>
        <v>30243.17</v>
      </c>
      <c r="AH55" s="3349">
        <v>69738.210000000006</v>
      </c>
      <c r="AI55" s="1981">
        <f t="shared" ref="AI55:AI71" si="139">AG55+AH55*1</f>
        <v>99981.38</v>
      </c>
      <c r="AJ55" s="3509">
        <f t="shared" si="7"/>
        <v>9.2431028655124953E-2</v>
      </c>
      <c r="AK55" s="3421" t="s">
        <v>1114</v>
      </c>
      <c r="AL55" s="3349">
        <v>39646.639999999999</v>
      </c>
      <c r="AM55" s="3349">
        <v>83536.25</v>
      </c>
      <c r="AN55" s="1981">
        <f t="shared" ref="AN55:AN71" si="140">AL55+AM55*1</f>
        <v>123182.89</v>
      </c>
      <c r="AO55" s="3509">
        <f t="shared" ref="AO55:AO71" si="141">AN55/$AN$89</f>
        <v>2.7104214558546263E-2</v>
      </c>
      <c r="AP55" s="3342" t="s">
        <v>1150</v>
      </c>
      <c r="AQ55" s="3341">
        <v>41079.54</v>
      </c>
      <c r="AR55" s="3354">
        <v>62523.7</v>
      </c>
      <c r="AS55" s="1981">
        <f t="shared" ref="AS55:AS71" si="142">AQ55+AR55*1</f>
        <v>103603.23999999999</v>
      </c>
      <c r="AT55" s="3509">
        <f t="shared" ref="AT55:AT71" si="143">AS55/$AS$89</f>
        <v>1.6430828625386289E-2</v>
      </c>
      <c r="AU55" s="3342" t="s">
        <v>1178</v>
      </c>
      <c r="AV55" s="1314">
        <v>42085.55</v>
      </c>
      <c r="AW55" s="1314">
        <v>83631.94</v>
      </c>
      <c r="AX55" s="1981">
        <f t="shared" ref="AX55:AX71" si="144">AV55+AW55*1</f>
        <v>125717.49</v>
      </c>
      <c r="AY55" s="3509">
        <f t="shared" ref="AY55:AY71" si="145">AX55/$AS$89</f>
        <v>1.9938010948342105E-2</v>
      </c>
      <c r="AZ55" s="3343" t="s">
        <v>1220</v>
      </c>
      <c r="BA55" s="1064">
        <v>49261.03</v>
      </c>
      <c r="BB55" s="1314">
        <v>102318.46</v>
      </c>
      <c r="BC55" s="1981">
        <f t="shared" ref="BC55:BC71" si="146">BA55+BB55*1</f>
        <v>151579.49</v>
      </c>
      <c r="BD55" s="3511">
        <f t="shared" si="34"/>
        <v>2.2353972473890742E-2</v>
      </c>
      <c r="BE55" s="1060"/>
      <c r="BF55" s="3354">
        <v>639703.87999999989</v>
      </c>
      <c r="BG55" s="3341">
        <v>881782.58000000007</v>
      </c>
      <c r="BH55" s="2012">
        <v>1521486.46</v>
      </c>
      <c r="BI55" s="3350">
        <v>1.1729112726142856</v>
      </c>
      <c r="BJ55" s="3343"/>
      <c r="BK55" s="3354">
        <f t="shared" ref="BK55:BL71" si="147">BP55+BU55+BZ55+CE55+CJ55+CO55+CT55+CY55+DD55+DI55+DN55+DS55</f>
        <v>0</v>
      </c>
      <c r="BL55" s="3341">
        <f t="shared" si="147"/>
        <v>0</v>
      </c>
      <c r="BM55" s="2012">
        <f t="shared" ref="BM55:BM71" si="148">BK55+BL55*1</f>
        <v>0</v>
      </c>
      <c r="BN55" s="3350">
        <f t="shared" si="120"/>
        <v>0</v>
      </c>
      <c r="BO55" s="3343"/>
      <c r="BP55" s="1064"/>
      <c r="BQ55" s="1314"/>
      <c r="BR55" s="1981">
        <f t="shared" ref="BR55:BR71" si="149">BP55+BQ55*1</f>
        <v>0</v>
      </c>
      <c r="BS55" s="3432">
        <f t="shared" si="37"/>
        <v>0</v>
      </c>
      <c r="BT55" s="2091"/>
      <c r="BU55" s="3349"/>
      <c r="BV55" s="3349"/>
      <c r="BW55" s="2012">
        <f t="shared" ref="BW55:BW71" si="150">BU55+BV55*1</f>
        <v>0</v>
      </c>
      <c r="BX55" s="3350">
        <f t="shared" si="121"/>
        <v>0</v>
      </c>
      <c r="BY55" s="2118"/>
      <c r="BZ55" s="3349"/>
      <c r="CA55" s="3349"/>
      <c r="CB55" s="2012">
        <f t="shared" ref="CB55:CB71" si="151">BZ55+CA55*1</f>
        <v>0</v>
      </c>
      <c r="CC55" s="3350">
        <f t="shared" si="122"/>
        <v>0</v>
      </c>
      <c r="CD55" s="3343"/>
      <c r="CE55" s="3349"/>
      <c r="CF55" s="3349"/>
      <c r="CG55" s="3349">
        <f t="shared" ref="CG55:CG71" si="152">CE55+CF55*1</f>
        <v>0</v>
      </c>
      <c r="CH55" s="3350">
        <f t="shared" si="123"/>
        <v>0</v>
      </c>
      <c r="CI55" s="3343"/>
      <c r="CJ55" s="3349"/>
      <c r="CK55" s="3349"/>
      <c r="CL55" s="3341">
        <f t="shared" ref="CL55:CL71" si="153">CJ55+CK55*1</f>
        <v>0</v>
      </c>
      <c r="CM55" s="3350">
        <f t="shared" si="124"/>
        <v>0</v>
      </c>
      <c r="CN55" s="3343"/>
      <c r="CO55" s="3349"/>
      <c r="CP55" s="3349"/>
      <c r="CQ55" s="3341">
        <f t="shared" ref="CQ55:CQ71" si="154">CO55+CP55*1</f>
        <v>0</v>
      </c>
      <c r="CR55" s="3350">
        <f t="shared" si="125"/>
        <v>0</v>
      </c>
      <c r="CS55" s="3343"/>
      <c r="CT55" s="3349"/>
      <c r="CU55" s="3349"/>
      <c r="CV55" s="3341">
        <f t="shared" ref="CV55:CV71" si="155">CT55+CU55*1</f>
        <v>0</v>
      </c>
      <c r="CW55" s="3350">
        <f t="shared" si="126"/>
        <v>0</v>
      </c>
      <c r="CX55" s="3343"/>
      <c r="CY55" s="3349"/>
      <c r="CZ55" s="3349"/>
      <c r="DA55" s="3341">
        <f t="shared" ref="DA55:DA71" si="156">CY55+CZ55*1</f>
        <v>0</v>
      </c>
      <c r="DB55" s="3350">
        <f t="shared" si="127"/>
        <v>0</v>
      </c>
      <c r="DC55" s="3343"/>
      <c r="DD55" s="3341"/>
      <c r="DE55" s="3349"/>
      <c r="DF55" s="3341">
        <f t="shared" ref="DF55:DF71" si="157">DD55+DE55*1</f>
        <v>0</v>
      </c>
      <c r="DG55" s="3350">
        <f t="shared" si="128"/>
        <v>0</v>
      </c>
      <c r="DH55" s="3493"/>
      <c r="DI55" s="3354"/>
      <c r="DJ55" s="3349"/>
      <c r="DK55" s="3341">
        <f t="shared" ref="DK55:DK71" si="158">DI55+DJ55*1</f>
        <v>0</v>
      </c>
      <c r="DL55" s="3350">
        <f t="shared" si="129"/>
        <v>0</v>
      </c>
      <c r="DM55" s="3493"/>
      <c r="DN55" s="3354"/>
      <c r="DO55" s="3349"/>
      <c r="DP55" s="3341">
        <f t="shared" ref="DP55:DP71" si="159">DN55+DO55*1</f>
        <v>0</v>
      </c>
      <c r="DQ55" s="3350">
        <f t="shared" si="130"/>
        <v>0</v>
      </c>
      <c r="DR55" s="3493"/>
      <c r="DS55" s="3354"/>
      <c r="DT55" s="3349"/>
      <c r="DU55" s="3341">
        <f t="shared" ref="DU55:DU71" si="160">DS55+DT55*1</f>
        <v>0</v>
      </c>
      <c r="DV55" s="3350">
        <f t="shared" si="131"/>
        <v>0</v>
      </c>
      <c r="DW55" s="3523"/>
      <c r="DX55" s="3428">
        <f t="shared" ref="DX55:DY70" si="161">R55+W55+AB55+AG55+AL55+AQ55+AV55+BA55+BP55+BU55+BZ55+CE55+CJ55+CO55+CT55+CY55+DD55+DI55+DN55+DS55+BF55</f>
        <v>853455.80999999994</v>
      </c>
      <c r="DY55" s="3428">
        <f t="shared" si="161"/>
        <v>1315266.1400000001</v>
      </c>
      <c r="DZ55" s="3349">
        <f t="shared" ref="DZ55:DZ71" si="162">DX55+DY55*1</f>
        <v>2168721.9500000002</v>
      </c>
      <c r="EA55" s="3350" t="e">
        <f t="shared" si="132"/>
        <v>#DIV/0!</v>
      </c>
      <c r="EB55" s="3360"/>
      <c r="ED55" s="1345">
        <v>1766117.74</v>
      </c>
      <c r="EE55" s="3494">
        <f>ED55-BM55</f>
        <v>1766117.74</v>
      </c>
      <c r="EF55" s="3336"/>
    </row>
    <row r="56" spans="1:136" ht="13.95" customHeight="1">
      <c r="A56" s="1571"/>
      <c r="B56" s="3642" t="s">
        <v>76</v>
      </c>
      <c r="C56" s="1157"/>
      <c r="D56" s="3643"/>
      <c r="E56" s="1064">
        <f t="shared" si="133"/>
        <v>0</v>
      </c>
      <c r="F56" s="3350">
        <f t="shared" si="51"/>
        <v>0</v>
      </c>
      <c r="G56" s="3316"/>
      <c r="H56" s="3341">
        <v>6865.00065</v>
      </c>
      <c r="I56" s="3341">
        <v>0</v>
      </c>
      <c r="J56" s="2012">
        <f t="shared" si="134"/>
        <v>6865.00065</v>
      </c>
      <c r="K56" s="3350">
        <f t="shared" si="117"/>
        <v>5.401931748749393E-4</v>
      </c>
      <c r="L56" s="3360"/>
      <c r="M56" s="3505">
        <v>0</v>
      </c>
      <c r="N56" s="3505">
        <v>0</v>
      </c>
      <c r="O56" s="3491">
        <v>0</v>
      </c>
      <c r="P56" s="3516">
        <v>0</v>
      </c>
      <c r="Q56" s="1434"/>
      <c r="R56" s="3505"/>
      <c r="S56" s="3505"/>
      <c r="T56" s="3491">
        <f t="shared" si="135"/>
        <v>0</v>
      </c>
      <c r="U56" s="3516">
        <f t="shared" si="118"/>
        <v>0</v>
      </c>
      <c r="V56" s="3533"/>
      <c r="W56" s="3349"/>
      <c r="X56" s="3349"/>
      <c r="Y56" s="2012">
        <f t="shared" si="136"/>
        <v>0</v>
      </c>
      <c r="Z56" s="3350">
        <f t="shared" si="137"/>
        <v>0</v>
      </c>
      <c r="AA56" s="3360"/>
      <c r="AB56" s="3349">
        <v>2770</v>
      </c>
      <c r="AC56" s="3349"/>
      <c r="AD56" s="2012">
        <f t="shared" si="138"/>
        <v>2770</v>
      </c>
      <c r="AE56" s="3350">
        <f t="shared" si="119"/>
        <v>3.3049124572253653E-3</v>
      </c>
      <c r="AF56" s="3360"/>
      <c r="AG56" s="3425">
        <f>6834.36+1430</f>
        <v>8264.36</v>
      </c>
      <c r="AH56" s="3349"/>
      <c r="AI56" s="1981">
        <f t="shared" si="139"/>
        <v>8264.36</v>
      </c>
      <c r="AJ56" s="3509">
        <f t="shared" si="7"/>
        <v>7.6402555753508142E-3</v>
      </c>
      <c r="AK56" s="3360"/>
      <c r="AL56" s="3349">
        <v>9962.69</v>
      </c>
      <c r="AM56" s="3349"/>
      <c r="AN56" s="1981">
        <f t="shared" si="140"/>
        <v>9962.69</v>
      </c>
      <c r="AO56" s="3509">
        <f t="shared" si="141"/>
        <v>2.1921135909401322E-3</v>
      </c>
      <c r="AP56" s="3342"/>
      <c r="AQ56" s="3341">
        <v>10378.35</v>
      </c>
      <c r="AR56" s="3354"/>
      <c r="AS56" s="1981">
        <f t="shared" si="142"/>
        <v>10378.35</v>
      </c>
      <c r="AT56" s="3509">
        <f t="shared" si="143"/>
        <v>1.6459416738731124E-3</v>
      </c>
      <c r="AU56" s="3342"/>
      <c r="AV56" s="1314">
        <v>10571.15</v>
      </c>
      <c r="AW56" s="1314"/>
      <c r="AX56" s="1981">
        <f t="shared" si="144"/>
        <v>10571.15</v>
      </c>
      <c r="AY56" s="3509">
        <f t="shared" si="145"/>
        <v>1.6765185531191136E-3</v>
      </c>
      <c r="AZ56" s="1434"/>
      <c r="BA56" s="1064">
        <v>12302.79</v>
      </c>
      <c r="BB56" s="1314"/>
      <c r="BC56" s="1981">
        <f t="shared" si="146"/>
        <v>12302.79</v>
      </c>
      <c r="BD56" s="3511">
        <f t="shared" si="34"/>
        <v>1.814336682436775E-3</v>
      </c>
      <c r="BE56" s="1060"/>
      <c r="BF56" s="3354">
        <v>166935.42000000001</v>
      </c>
      <c r="BG56" s="3341">
        <v>0</v>
      </c>
      <c r="BH56" s="2012">
        <v>166935.42000000001</v>
      </c>
      <c r="BI56" s="3350">
        <v>0.12869022568666191</v>
      </c>
      <c r="BJ56" s="3343"/>
      <c r="BK56" s="3354">
        <f t="shared" si="147"/>
        <v>0</v>
      </c>
      <c r="BL56" s="3341">
        <f t="shared" si="147"/>
        <v>0</v>
      </c>
      <c r="BM56" s="2012">
        <f t="shared" si="148"/>
        <v>0</v>
      </c>
      <c r="BN56" s="3350">
        <f t="shared" si="120"/>
        <v>0</v>
      </c>
      <c r="BO56" s="3343"/>
      <c r="BP56" s="1064"/>
      <c r="BQ56" s="1314"/>
      <c r="BR56" s="1981">
        <f t="shared" si="149"/>
        <v>0</v>
      </c>
      <c r="BS56" s="3432">
        <f t="shared" si="37"/>
        <v>0</v>
      </c>
      <c r="BT56" s="1060"/>
      <c r="BU56" s="3349"/>
      <c r="BV56" s="3349"/>
      <c r="BW56" s="2012">
        <f t="shared" si="150"/>
        <v>0</v>
      </c>
      <c r="BX56" s="3350">
        <f t="shared" si="121"/>
        <v>0</v>
      </c>
      <c r="BY56" s="3360"/>
      <c r="BZ56" s="3437"/>
      <c r="CA56" s="3349"/>
      <c r="CB56" s="2012">
        <f t="shared" si="151"/>
        <v>0</v>
      </c>
      <c r="CC56" s="3350">
        <f t="shared" si="122"/>
        <v>0</v>
      </c>
      <c r="CD56" s="3343"/>
      <c r="CE56" s="3349"/>
      <c r="CF56" s="3349"/>
      <c r="CG56" s="3349">
        <f t="shared" si="152"/>
        <v>0</v>
      </c>
      <c r="CH56" s="3350">
        <f t="shared" si="123"/>
        <v>0</v>
      </c>
      <c r="CI56" s="3343"/>
      <c r="CJ56" s="3349"/>
      <c r="CK56" s="3349"/>
      <c r="CL56" s="3341">
        <f t="shared" si="153"/>
        <v>0</v>
      </c>
      <c r="CM56" s="3350">
        <f t="shared" si="124"/>
        <v>0</v>
      </c>
      <c r="CN56" s="3343"/>
      <c r="CO56" s="3349"/>
      <c r="CP56" s="3349"/>
      <c r="CQ56" s="3341">
        <f t="shared" si="154"/>
        <v>0</v>
      </c>
      <c r="CR56" s="3350">
        <f t="shared" si="125"/>
        <v>0</v>
      </c>
      <c r="CS56" s="3343"/>
      <c r="CT56" s="3349"/>
      <c r="CU56" s="3349"/>
      <c r="CV56" s="3341">
        <f t="shared" si="155"/>
        <v>0</v>
      </c>
      <c r="CW56" s="3350">
        <f t="shared" si="126"/>
        <v>0</v>
      </c>
      <c r="CX56" s="3343"/>
      <c r="CY56" s="3349"/>
      <c r="CZ56" s="3349"/>
      <c r="DA56" s="3341">
        <f t="shared" si="156"/>
        <v>0</v>
      </c>
      <c r="DB56" s="3350">
        <f t="shared" si="127"/>
        <v>0</v>
      </c>
      <c r="DC56" s="3343"/>
      <c r="DD56" s="3341"/>
      <c r="DE56" s="3349"/>
      <c r="DF56" s="3341">
        <f t="shared" si="157"/>
        <v>0</v>
      </c>
      <c r="DG56" s="3350">
        <f t="shared" si="128"/>
        <v>0</v>
      </c>
      <c r="DH56" s="3493"/>
      <c r="DI56" s="3354"/>
      <c r="DJ56" s="3349"/>
      <c r="DK56" s="3341">
        <f t="shared" si="158"/>
        <v>0</v>
      </c>
      <c r="DL56" s="3350">
        <f t="shared" si="129"/>
        <v>0</v>
      </c>
      <c r="DM56" s="3493"/>
      <c r="DN56" s="3354"/>
      <c r="DO56" s="3349"/>
      <c r="DP56" s="3341">
        <f t="shared" si="159"/>
        <v>0</v>
      </c>
      <c r="DQ56" s="3350">
        <f t="shared" si="130"/>
        <v>0</v>
      </c>
      <c r="DR56" s="3343"/>
      <c r="DS56" s="3354"/>
      <c r="DT56" s="3349"/>
      <c r="DU56" s="3341">
        <f t="shared" si="160"/>
        <v>0</v>
      </c>
      <c r="DV56" s="3350">
        <f t="shared" si="131"/>
        <v>0</v>
      </c>
      <c r="DW56" s="3523"/>
      <c r="DX56" s="3428">
        <f t="shared" si="161"/>
        <v>221184.76</v>
      </c>
      <c r="DY56" s="3428">
        <f t="shared" si="161"/>
        <v>0</v>
      </c>
      <c r="DZ56" s="3349">
        <f t="shared" si="162"/>
        <v>221184.76</v>
      </c>
      <c r="EA56" s="3350" t="e">
        <f t="shared" si="132"/>
        <v>#DIV/0!</v>
      </c>
      <c r="EB56" s="3360"/>
      <c r="ED56" s="1345">
        <v>171812.43</v>
      </c>
      <c r="EE56" s="3494">
        <f t="shared" ref="EE56:EE64" si="163">ED56-BM56</f>
        <v>171812.43</v>
      </c>
      <c r="EF56" s="3336"/>
    </row>
    <row r="57" spans="1:136" ht="13.95" customHeight="1">
      <c r="A57" s="1571"/>
      <c r="B57" s="3642" t="s">
        <v>68</v>
      </c>
      <c r="C57" s="1157"/>
      <c r="D57" s="3643"/>
      <c r="E57" s="1064">
        <f t="shared" si="133"/>
        <v>0</v>
      </c>
      <c r="F57" s="3350">
        <f t="shared" si="51"/>
        <v>0</v>
      </c>
      <c r="G57" s="3311"/>
      <c r="H57" s="3341">
        <v>7106.6674000000003</v>
      </c>
      <c r="I57" s="3341">
        <v>0</v>
      </c>
      <c r="J57" s="2012">
        <f t="shared" si="134"/>
        <v>7106.6674000000003</v>
      </c>
      <c r="K57" s="3350">
        <f t="shared" si="117"/>
        <v>5.5920944823016595E-4</v>
      </c>
      <c r="L57" s="3360"/>
      <c r="M57" s="3505">
        <v>0</v>
      </c>
      <c r="N57" s="3505">
        <v>0</v>
      </c>
      <c r="O57" s="3491">
        <v>0</v>
      </c>
      <c r="P57" s="3516">
        <v>0</v>
      </c>
      <c r="Q57" s="1434"/>
      <c r="R57" s="3505"/>
      <c r="S57" s="3505"/>
      <c r="T57" s="3491">
        <f t="shared" si="135"/>
        <v>0</v>
      </c>
      <c r="U57" s="3516">
        <f t="shared" si="118"/>
        <v>0</v>
      </c>
      <c r="V57" s="3533"/>
      <c r="W57" s="3349"/>
      <c r="X57" s="3349"/>
      <c r="Y57" s="2012">
        <f t="shared" si="136"/>
        <v>0</v>
      </c>
      <c r="Z57" s="3350">
        <f t="shared" si="137"/>
        <v>0</v>
      </c>
      <c r="AA57" s="3360"/>
      <c r="AB57" s="3349">
        <v>3125</v>
      </c>
      <c r="AC57" s="3349"/>
      <c r="AD57" s="2012">
        <f t="shared" si="138"/>
        <v>3125</v>
      </c>
      <c r="AE57" s="3350">
        <f t="shared" si="119"/>
        <v>3.7284662197939588E-3</v>
      </c>
      <c r="AF57" s="3360"/>
      <c r="AG57" s="3425">
        <f>6057.76+1267.5</f>
        <v>7325.26</v>
      </c>
      <c r="AH57" s="3349"/>
      <c r="AI57" s="1981">
        <f t="shared" si="139"/>
        <v>7325.26</v>
      </c>
      <c r="AJ57" s="3509">
        <f t="shared" si="7"/>
        <v>6.7720741298653861E-3</v>
      </c>
      <c r="AK57" s="3360"/>
      <c r="AL57" s="3349">
        <v>9603.84</v>
      </c>
      <c r="AM57" s="3349"/>
      <c r="AN57" s="1981">
        <f t="shared" si="140"/>
        <v>9603.84</v>
      </c>
      <c r="AO57" s="3509">
        <f t="shared" si="141"/>
        <v>2.1131550002272959E-3</v>
      </c>
      <c r="AP57" s="3342"/>
      <c r="AQ57" s="3341">
        <v>9950.92</v>
      </c>
      <c r="AR57" s="3354"/>
      <c r="AS57" s="1981">
        <f t="shared" si="142"/>
        <v>9950.92</v>
      </c>
      <c r="AT57" s="3509">
        <f t="shared" si="143"/>
        <v>1.5781539378973953E-3</v>
      </c>
      <c r="AU57" s="3342"/>
      <c r="AV57" s="1314">
        <v>10194.64</v>
      </c>
      <c r="AW57" s="1314"/>
      <c r="AX57" s="1981">
        <f t="shared" si="144"/>
        <v>10194.64</v>
      </c>
      <c r="AY57" s="3509">
        <f t="shared" si="145"/>
        <v>1.6168064120147987E-3</v>
      </c>
      <c r="AZ57" s="1434"/>
      <c r="BA57" s="1064">
        <v>12529.3</v>
      </c>
      <c r="BB57" s="1314"/>
      <c r="BC57" s="1981">
        <f t="shared" si="146"/>
        <v>12529.3</v>
      </c>
      <c r="BD57" s="3511">
        <f t="shared" si="34"/>
        <v>1.8477409266723307E-3</v>
      </c>
      <c r="BE57" s="1060"/>
      <c r="BF57" s="3354">
        <v>155093.53999999998</v>
      </c>
      <c r="BG57" s="3341">
        <v>0</v>
      </c>
      <c r="BH57" s="2012">
        <v>155093.53999999998</v>
      </c>
      <c r="BI57" s="3350">
        <v>0.1195613409373716</v>
      </c>
      <c r="BJ57" s="3343"/>
      <c r="BK57" s="3354">
        <f t="shared" si="147"/>
        <v>0</v>
      </c>
      <c r="BL57" s="3341">
        <f t="shared" si="147"/>
        <v>0</v>
      </c>
      <c r="BM57" s="2012">
        <f t="shared" si="148"/>
        <v>0</v>
      </c>
      <c r="BN57" s="3350">
        <f t="shared" si="120"/>
        <v>0</v>
      </c>
      <c r="BO57" s="3343"/>
      <c r="BP57" s="1064"/>
      <c r="BQ57" s="1314"/>
      <c r="BR57" s="1981">
        <f t="shared" si="149"/>
        <v>0</v>
      </c>
      <c r="BS57" s="3432">
        <f t="shared" si="37"/>
        <v>0</v>
      </c>
      <c r="BT57" s="1060"/>
      <c r="BU57" s="3349"/>
      <c r="BV57" s="3349"/>
      <c r="BW57" s="2012">
        <f t="shared" si="150"/>
        <v>0</v>
      </c>
      <c r="BX57" s="3350">
        <f t="shared" si="121"/>
        <v>0</v>
      </c>
      <c r="BY57" s="3360"/>
      <c r="BZ57" s="3425"/>
      <c r="CA57" s="3349"/>
      <c r="CB57" s="2012">
        <f t="shared" si="151"/>
        <v>0</v>
      </c>
      <c r="CC57" s="3350">
        <f t="shared" si="122"/>
        <v>0</v>
      </c>
      <c r="CD57" s="3343"/>
      <c r="CE57" s="3349"/>
      <c r="CF57" s="3349"/>
      <c r="CG57" s="3349">
        <f t="shared" si="152"/>
        <v>0</v>
      </c>
      <c r="CH57" s="3350">
        <f t="shared" si="123"/>
        <v>0</v>
      </c>
      <c r="CI57" s="3343"/>
      <c r="CJ57" s="3349"/>
      <c r="CK57" s="3349"/>
      <c r="CL57" s="3341">
        <f t="shared" si="153"/>
        <v>0</v>
      </c>
      <c r="CM57" s="3350">
        <f t="shared" si="124"/>
        <v>0</v>
      </c>
      <c r="CN57" s="3343"/>
      <c r="CO57" s="3349"/>
      <c r="CP57" s="3349"/>
      <c r="CQ57" s="3341">
        <f t="shared" si="154"/>
        <v>0</v>
      </c>
      <c r="CR57" s="3350">
        <f t="shared" si="125"/>
        <v>0</v>
      </c>
      <c r="CS57" s="3343"/>
      <c r="CT57" s="3349"/>
      <c r="CU57" s="3349"/>
      <c r="CV57" s="3341">
        <f t="shared" si="155"/>
        <v>0</v>
      </c>
      <c r="CW57" s="3350">
        <f t="shared" si="126"/>
        <v>0</v>
      </c>
      <c r="CX57" s="3343"/>
      <c r="CY57" s="3349"/>
      <c r="CZ57" s="3349"/>
      <c r="DA57" s="3341">
        <f t="shared" si="156"/>
        <v>0</v>
      </c>
      <c r="DB57" s="3350">
        <f t="shared" si="127"/>
        <v>0</v>
      </c>
      <c r="DC57" s="3343"/>
      <c r="DD57" s="3341"/>
      <c r="DE57" s="3349"/>
      <c r="DF57" s="3341">
        <f t="shared" si="157"/>
        <v>0</v>
      </c>
      <c r="DG57" s="3350">
        <f t="shared" si="128"/>
        <v>0</v>
      </c>
      <c r="DH57" s="3493"/>
      <c r="DI57" s="3354"/>
      <c r="DJ57" s="3349"/>
      <c r="DK57" s="3341">
        <f t="shared" si="158"/>
        <v>0</v>
      </c>
      <c r="DL57" s="3350">
        <f t="shared" si="129"/>
        <v>0</v>
      </c>
      <c r="DM57" s="3493"/>
      <c r="DN57" s="3354"/>
      <c r="DO57" s="3349"/>
      <c r="DP57" s="3341">
        <f t="shared" si="159"/>
        <v>0</v>
      </c>
      <c r="DQ57" s="3350">
        <f t="shared" si="130"/>
        <v>0</v>
      </c>
      <c r="DR57" s="3343"/>
      <c r="DS57" s="3354"/>
      <c r="DT57" s="3349"/>
      <c r="DU57" s="3341">
        <f t="shared" si="160"/>
        <v>0</v>
      </c>
      <c r="DV57" s="3350">
        <f t="shared" si="131"/>
        <v>0</v>
      </c>
      <c r="DW57" s="3343"/>
      <c r="DX57" s="3428">
        <f t="shared" si="161"/>
        <v>207822.49999999997</v>
      </c>
      <c r="DY57" s="3428">
        <f t="shared" si="161"/>
        <v>0</v>
      </c>
      <c r="DZ57" s="3349">
        <f t="shared" si="162"/>
        <v>207822.49999999997</v>
      </c>
      <c r="EA57" s="3350" t="e">
        <f t="shared" si="132"/>
        <v>#DIV/0!</v>
      </c>
      <c r="EB57" s="3360"/>
      <c r="ED57" s="1345">
        <v>159223.43</v>
      </c>
      <c r="EE57" s="3494">
        <f t="shared" si="163"/>
        <v>159223.43</v>
      </c>
      <c r="EF57" s="3336"/>
    </row>
    <row r="58" spans="1:136" ht="16.95" customHeight="1">
      <c r="A58" s="1571"/>
      <c r="B58" s="3642" t="s">
        <v>67</v>
      </c>
      <c r="C58" s="1157">
        <v>1852</v>
      </c>
      <c r="D58" s="3504">
        <v>17163</v>
      </c>
      <c r="E58" s="1064">
        <f t="shared" si="133"/>
        <v>19015</v>
      </c>
      <c r="F58" s="3350">
        <f t="shared" si="51"/>
        <v>7.3135468601915254E-3</v>
      </c>
      <c r="G58" s="3311"/>
      <c r="H58" s="3341">
        <v>39378.770000000004</v>
      </c>
      <c r="I58" s="3341">
        <v>111206</v>
      </c>
      <c r="J58" s="2012">
        <f t="shared" si="134"/>
        <v>150584.77000000002</v>
      </c>
      <c r="K58" s="3350">
        <f t="shared" si="117"/>
        <v>1.1849214463528497E-2</v>
      </c>
      <c r="L58" s="3360"/>
      <c r="M58" s="3505">
        <v>0</v>
      </c>
      <c r="N58" s="3505">
        <v>0</v>
      </c>
      <c r="O58" s="3491">
        <v>0</v>
      </c>
      <c r="P58" s="3516">
        <v>0</v>
      </c>
      <c r="Q58" s="1434"/>
      <c r="R58" s="3505"/>
      <c r="S58" s="3505"/>
      <c r="T58" s="3491">
        <f t="shared" si="135"/>
        <v>0</v>
      </c>
      <c r="U58" s="3516">
        <f t="shared" si="118"/>
        <v>0</v>
      </c>
      <c r="V58" s="3533"/>
      <c r="W58" s="3349"/>
      <c r="X58" s="3349"/>
      <c r="Y58" s="2012">
        <f t="shared" si="136"/>
        <v>0</v>
      </c>
      <c r="Z58" s="3350">
        <f t="shared" si="137"/>
        <v>0</v>
      </c>
      <c r="AA58" s="3360"/>
      <c r="AB58" s="3349"/>
      <c r="AC58" s="3349"/>
      <c r="AD58" s="2012">
        <f t="shared" si="138"/>
        <v>0</v>
      </c>
      <c r="AE58" s="3350">
        <f t="shared" si="119"/>
        <v>0</v>
      </c>
      <c r="AF58" s="3360"/>
      <c r="AG58" s="3425"/>
      <c r="AH58" s="3349"/>
      <c r="AI58" s="1981">
        <f t="shared" si="139"/>
        <v>0</v>
      </c>
      <c r="AJ58" s="3509">
        <f t="shared" si="7"/>
        <v>0</v>
      </c>
      <c r="AK58" s="3360"/>
      <c r="AL58" s="3349"/>
      <c r="AM58" s="3349"/>
      <c r="AN58" s="1981">
        <f t="shared" si="140"/>
        <v>0</v>
      </c>
      <c r="AO58" s="3509">
        <f t="shared" si="141"/>
        <v>0</v>
      </c>
      <c r="AP58" s="3342"/>
      <c r="AQ58" s="3341"/>
      <c r="AR58" s="3354"/>
      <c r="AS58" s="1981">
        <f t="shared" si="142"/>
        <v>0</v>
      </c>
      <c r="AT58" s="3509">
        <f t="shared" si="143"/>
        <v>0</v>
      </c>
      <c r="AU58" s="3342"/>
      <c r="AV58" s="1314"/>
      <c r="AW58" s="1314"/>
      <c r="AX58" s="1981">
        <f t="shared" si="144"/>
        <v>0</v>
      </c>
      <c r="AY58" s="3509">
        <f t="shared" si="145"/>
        <v>0</v>
      </c>
      <c r="AZ58" s="1434"/>
      <c r="BA58" s="1064"/>
      <c r="BB58" s="1314"/>
      <c r="BC58" s="1981">
        <f t="shared" si="146"/>
        <v>0</v>
      </c>
      <c r="BD58" s="3511">
        <f t="shared" si="34"/>
        <v>0</v>
      </c>
      <c r="BE58" s="1060"/>
      <c r="BF58" s="3354">
        <v>0</v>
      </c>
      <c r="BG58" s="3341">
        <v>0</v>
      </c>
      <c r="BH58" s="2012">
        <v>0</v>
      </c>
      <c r="BI58" s="3350">
        <v>0</v>
      </c>
      <c r="BJ58" s="3343"/>
      <c r="BK58" s="3354">
        <f t="shared" si="147"/>
        <v>0</v>
      </c>
      <c r="BL58" s="3341">
        <f t="shared" si="147"/>
        <v>0</v>
      </c>
      <c r="BM58" s="2012">
        <f t="shared" si="148"/>
        <v>0</v>
      </c>
      <c r="BN58" s="3350">
        <f t="shared" si="120"/>
        <v>0</v>
      </c>
      <c r="BO58" s="3343"/>
      <c r="BP58" s="1064"/>
      <c r="BQ58" s="1314"/>
      <c r="BR58" s="1981">
        <f t="shared" si="149"/>
        <v>0</v>
      </c>
      <c r="BS58" s="3432">
        <f t="shared" si="37"/>
        <v>0</v>
      </c>
      <c r="BT58" s="1060"/>
      <c r="BU58" s="3349"/>
      <c r="BV58" s="3349"/>
      <c r="BW58" s="2012">
        <f t="shared" si="150"/>
        <v>0</v>
      </c>
      <c r="BX58" s="3350">
        <f t="shared" si="121"/>
        <v>0</v>
      </c>
      <c r="BY58" s="3360"/>
      <c r="BZ58" s="3425"/>
      <c r="CA58" s="3349"/>
      <c r="CB58" s="2012">
        <f t="shared" si="151"/>
        <v>0</v>
      </c>
      <c r="CC58" s="3350">
        <f t="shared" si="122"/>
        <v>0</v>
      </c>
      <c r="CD58" s="3343"/>
      <c r="CE58" s="3349"/>
      <c r="CF58" s="3349"/>
      <c r="CG58" s="3349">
        <f t="shared" si="152"/>
        <v>0</v>
      </c>
      <c r="CH58" s="3350">
        <f t="shared" si="123"/>
        <v>0</v>
      </c>
      <c r="CI58" s="3343"/>
      <c r="CJ58" s="3349"/>
      <c r="CK58" s="3349"/>
      <c r="CL58" s="3341">
        <f t="shared" si="153"/>
        <v>0</v>
      </c>
      <c r="CM58" s="3350">
        <f t="shared" si="124"/>
        <v>0</v>
      </c>
      <c r="CN58" s="3343"/>
      <c r="CO58" s="3349"/>
      <c r="CP58" s="3349"/>
      <c r="CQ58" s="3341">
        <f t="shared" si="154"/>
        <v>0</v>
      </c>
      <c r="CR58" s="3350">
        <f t="shared" si="125"/>
        <v>0</v>
      </c>
      <c r="CS58" s="3343"/>
      <c r="CT58" s="3349"/>
      <c r="CU58" s="3349"/>
      <c r="CV58" s="3341">
        <f t="shared" si="155"/>
        <v>0</v>
      </c>
      <c r="CW58" s="3350">
        <f t="shared" si="126"/>
        <v>0</v>
      </c>
      <c r="CX58" s="3343"/>
      <c r="CY58" s="3349"/>
      <c r="CZ58" s="3349"/>
      <c r="DA58" s="3341">
        <f t="shared" si="156"/>
        <v>0</v>
      </c>
      <c r="DB58" s="3350">
        <f t="shared" si="127"/>
        <v>0</v>
      </c>
      <c r="DC58" s="3343"/>
      <c r="DD58" s="3357"/>
      <c r="DE58" s="3349"/>
      <c r="DF58" s="3341">
        <f t="shared" si="157"/>
        <v>0</v>
      </c>
      <c r="DG58" s="3350">
        <f t="shared" si="128"/>
        <v>0</v>
      </c>
      <c r="DH58" s="3493"/>
      <c r="DI58" s="3644"/>
      <c r="DJ58" s="3349"/>
      <c r="DK58" s="3341">
        <f t="shared" si="158"/>
        <v>0</v>
      </c>
      <c r="DL58" s="3350">
        <f t="shared" si="129"/>
        <v>0</v>
      </c>
      <c r="DM58" s="3493"/>
      <c r="DN58" s="3644"/>
      <c r="DO58" s="3349"/>
      <c r="DP58" s="3341">
        <f t="shared" si="159"/>
        <v>0</v>
      </c>
      <c r="DQ58" s="3350">
        <f t="shared" si="130"/>
        <v>0</v>
      </c>
      <c r="DR58" s="3343"/>
      <c r="DS58" s="3644"/>
      <c r="DT58" s="3349"/>
      <c r="DU58" s="3341">
        <f t="shared" si="160"/>
        <v>0</v>
      </c>
      <c r="DV58" s="3350">
        <f t="shared" si="131"/>
        <v>0</v>
      </c>
      <c r="DW58" s="3343"/>
      <c r="DX58" s="3428">
        <f t="shared" si="161"/>
        <v>0</v>
      </c>
      <c r="DY58" s="3428">
        <f t="shared" si="161"/>
        <v>0</v>
      </c>
      <c r="DZ58" s="3349">
        <f t="shared" si="162"/>
        <v>0</v>
      </c>
      <c r="EA58" s="3350" t="e">
        <f t="shared" si="132"/>
        <v>#DIV/0!</v>
      </c>
      <c r="EB58" s="3360"/>
      <c r="ED58" s="3354"/>
      <c r="EE58" s="3494">
        <f t="shared" si="163"/>
        <v>0</v>
      </c>
    </row>
    <row r="59" spans="1:136" ht="14.4" customHeight="1">
      <c r="A59" s="1571"/>
      <c r="B59" s="3642" t="s">
        <v>66</v>
      </c>
      <c r="C59" s="1157">
        <v>506</v>
      </c>
      <c r="D59" s="3643"/>
      <c r="E59" s="1064">
        <f t="shared" si="133"/>
        <v>506</v>
      </c>
      <c r="F59" s="3350">
        <f t="shared" si="51"/>
        <v>1.9461765507530431E-4</v>
      </c>
      <c r="G59" s="3311"/>
      <c r="H59" s="3341">
        <v>9538.9573500000006</v>
      </c>
      <c r="I59" s="3341">
        <v>0</v>
      </c>
      <c r="J59" s="2012">
        <f t="shared" si="134"/>
        <v>9538.9573500000006</v>
      </c>
      <c r="K59" s="3350">
        <f t="shared" si="117"/>
        <v>7.5060148113651501E-4</v>
      </c>
      <c r="L59" s="3360"/>
      <c r="M59" s="3505">
        <v>0</v>
      </c>
      <c r="N59" s="3505">
        <v>0</v>
      </c>
      <c r="O59" s="3491">
        <v>0</v>
      </c>
      <c r="P59" s="3516">
        <v>0</v>
      </c>
      <c r="Q59" s="1434"/>
      <c r="R59" s="3505"/>
      <c r="S59" s="3505"/>
      <c r="T59" s="3491">
        <f t="shared" si="135"/>
        <v>0</v>
      </c>
      <c r="U59" s="3516">
        <f t="shared" si="118"/>
        <v>0</v>
      </c>
      <c r="V59" s="3533"/>
      <c r="W59" s="3349"/>
      <c r="X59" s="3349"/>
      <c r="Y59" s="2012">
        <f t="shared" si="136"/>
        <v>0</v>
      </c>
      <c r="Z59" s="3350">
        <f t="shared" si="137"/>
        <v>0</v>
      </c>
      <c r="AA59" s="3360"/>
      <c r="AB59" s="3349"/>
      <c r="AC59" s="3349"/>
      <c r="AD59" s="2012">
        <f t="shared" si="138"/>
        <v>0</v>
      </c>
      <c r="AE59" s="3350">
        <f t="shared" si="119"/>
        <v>0</v>
      </c>
      <c r="AF59" s="3360"/>
      <c r="AG59" s="3425"/>
      <c r="AH59" s="3349"/>
      <c r="AI59" s="1981">
        <f t="shared" si="139"/>
        <v>0</v>
      </c>
      <c r="AJ59" s="3509">
        <f t="shared" si="7"/>
        <v>0</v>
      </c>
      <c r="AK59" s="3360"/>
      <c r="AL59" s="3349"/>
      <c r="AM59" s="3349"/>
      <c r="AN59" s="1981">
        <f t="shared" si="140"/>
        <v>0</v>
      </c>
      <c r="AO59" s="3509">
        <f t="shared" si="141"/>
        <v>0</v>
      </c>
      <c r="AP59" s="3342"/>
      <c r="AQ59" s="3341"/>
      <c r="AR59" s="3354"/>
      <c r="AS59" s="1981">
        <f t="shared" si="142"/>
        <v>0</v>
      </c>
      <c r="AT59" s="3509">
        <f t="shared" si="143"/>
        <v>0</v>
      </c>
      <c r="AU59" s="3342"/>
      <c r="AV59" s="1314"/>
      <c r="AW59" s="1314"/>
      <c r="AX59" s="1981">
        <f t="shared" si="144"/>
        <v>0</v>
      </c>
      <c r="AY59" s="3509">
        <f t="shared" si="145"/>
        <v>0</v>
      </c>
      <c r="AZ59" s="1434"/>
      <c r="BA59" s="1064"/>
      <c r="BB59" s="1314"/>
      <c r="BC59" s="1981">
        <f t="shared" si="146"/>
        <v>0</v>
      </c>
      <c r="BD59" s="3511">
        <f t="shared" si="34"/>
        <v>0</v>
      </c>
      <c r="BE59" s="1060"/>
      <c r="BF59" s="3354">
        <v>0</v>
      </c>
      <c r="BG59" s="3341">
        <v>0</v>
      </c>
      <c r="BH59" s="2012">
        <v>0</v>
      </c>
      <c r="BI59" s="3350">
        <v>0</v>
      </c>
      <c r="BJ59" s="3343"/>
      <c r="BK59" s="3354">
        <f t="shared" si="147"/>
        <v>0</v>
      </c>
      <c r="BL59" s="3341">
        <f t="shared" si="147"/>
        <v>0</v>
      </c>
      <c r="BM59" s="2012">
        <f t="shared" si="148"/>
        <v>0</v>
      </c>
      <c r="BN59" s="3350">
        <f t="shared" si="120"/>
        <v>0</v>
      </c>
      <c r="BO59" s="3343"/>
      <c r="BP59" s="1064"/>
      <c r="BQ59" s="1314"/>
      <c r="BR59" s="1981">
        <f t="shared" si="149"/>
        <v>0</v>
      </c>
      <c r="BS59" s="3432">
        <f t="shared" si="37"/>
        <v>0</v>
      </c>
      <c r="BT59" s="1060"/>
      <c r="BU59" s="3349"/>
      <c r="BV59" s="3349"/>
      <c r="BW59" s="2012">
        <f t="shared" si="150"/>
        <v>0</v>
      </c>
      <c r="BX59" s="3350">
        <f t="shared" si="121"/>
        <v>0</v>
      </c>
      <c r="BY59" s="3360"/>
      <c r="BZ59" s="3425"/>
      <c r="CA59" s="3349"/>
      <c r="CB59" s="2012">
        <f t="shared" si="151"/>
        <v>0</v>
      </c>
      <c r="CC59" s="3350">
        <f t="shared" si="122"/>
        <v>0</v>
      </c>
      <c r="CD59" s="3343"/>
      <c r="CE59" s="3349"/>
      <c r="CF59" s="3349"/>
      <c r="CG59" s="3349">
        <f t="shared" si="152"/>
        <v>0</v>
      </c>
      <c r="CH59" s="3350">
        <f t="shared" si="123"/>
        <v>0</v>
      </c>
      <c r="CI59" s="3343"/>
      <c r="CJ59" s="3349"/>
      <c r="CK59" s="3349"/>
      <c r="CL59" s="3341">
        <f t="shared" si="153"/>
        <v>0</v>
      </c>
      <c r="CM59" s="3350">
        <f t="shared" si="124"/>
        <v>0</v>
      </c>
      <c r="CN59" s="3343"/>
      <c r="CO59" s="3349"/>
      <c r="CP59" s="3349"/>
      <c r="CQ59" s="3341">
        <f t="shared" si="154"/>
        <v>0</v>
      </c>
      <c r="CR59" s="3350">
        <f t="shared" si="125"/>
        <v>0</v>
      </c>
      <c r="CS59" s="3343"/>
      <c r="CT59" s="3349"/>
      <c r="CU59" s="3349"/>
      <c r="CV59" s="3341">
        <f t="shared" si="155"/>
        <v>0</v>
      </c>
      <c r="CW59" s="3350">
        <f t="shared" si="126"/>
        <v>0</v>
      </c>
      <c r="CX59" s="3343"/>
      <c r="CY59" s="3349"/>
      <c r="CZ59" s="3349"/>
      <c r="DA59" s="3341">
        <f t="shared" si="156"/>
        <v>0</v>
      </c>
      <c r="DB59" s="3350">
        <f t="shared" si="127"/>
        <v>0</v>
      </c>
      <c r="DC59" s="3343"/>
      <c r="DD59" s="3349"/>
      <c r="DE59" s="3349"/>
      <c r="DF59" s="3341">
        <f t="shared" si="157"/>
        <v>0</v>
      </c>
      <c r="DG59" s="3350">
        <f t="shared" si="128"/>
        <v>0</v>
      </c>
      <c r="DH59" s="3493"/>
      <c r="DI59" s="3425"/>
      <c r="DJ59" s="3349"/>
      <c r="DK59" s="3341">
        <f t="shared" si="158"/>
        <v>0</v>
      </c>
      <c r="DL59" s="3350">
        <f t="shared" si="129"/>
        <v>0</v>
      </c>
      <c r="DM59" s="3493"/>
      <c r="DN59" s="3425"/>
      <c r="DO59" s="3349"/>
      <c r="DP59" s="3341">
        <f t="shared" si="159"/>
        <v>0</v>
      </c>
      <c r="DQ59" s="3350">
        <f t="shared" si="130"/>
        <v>0</v>
      </c>
      <c r="DR59" s="3343"/>
      <c r="DS59" s="3425"/>
      <c r="DT59" s="3349"/>
      <c r="DU59" s="3341">
        <f t="shared" si="160"/>
        <v>0</v>
      </c>
      <c r="DV59" s="3350">
        <f t="shared" si="131"/>
        <v>0</v>
      </c>
      <c r="DW59" s="3343"/>
      <c r="DX59" s="3428">
        <f t="shared" si="161"/>
        <v>0</v>
      </c>
      <c r="DY59" s="3428">
        <f t="shared" si="161"/>
        <v>0</v>
      </c>
      <c r="DZ59" s="3349">
        <f t="shared" si="162"/>
        <v>0</v>
      </c>
      <c r="EA59" s="3350" t="e">
        <f t="shared" si="132"/>
        <v>#DIV/0!</v>
      </c>
      <c r="EB59" s="3360"/>
      <c r="ED59" s="3354"/>
      <c r="EE59" s="3494">
        <f t="shared" si="163"/>
        <v>0</v>
      </c>
    </row>
    <row r="60" spans="1:136" ht="14.4" customHeight="1">
      <c r="A60" s="1571"/>
      <c r="B60" s="3642" t="s">
        <v>65</v>
      </c>
      <c r="C60" s="1157">
        <v>449</v>
      </c>
      <c r="D60" s="3643"/>
      <c r="E60" s="1064">
        <f t="shared" si="133"/>
        <v>449</v>
      </c>
      <c r="F60" s="3350">
        <f t="shared" si="51"/>
        <v>1.7269432238895582E-4</v>
      </c>
      <c r="G60" s="3311"/>
      <c r="H60" s="3341">
        <v>10761.900600000001</v>
      </c>
      <c r="I60" s="3341">
        <v>0</v>
      </c>
      <c r="J60" s="2012">
        <f t="shared" si="134"/>
        <v>10761.900600000001</v>
      </c>
      <c r="K60" s="3350">
        <f t="shared" si="117"/>
        <v>8.4683244025658103E-4</v>
      </c>
      <c r="L60" s="3360"/>
      <c r="M60" s="3505">
        <v>0</v>
      </c>
      <c r="N60" s="3505">
        <v>0</v>
      </c>
      <c r="O60" s="3491">
        <v>0</v>
      </c>
      <c r="P60" s="3516">
        <v>0</v>
      </c>
      <c r="Q60" s="1434"/>
      <c r="R60" s="3505"/>
      <c r="S60" s="3505"/>
      <c r="T60" s="3491">
        <f t="shared" si="135"/>
        <v>0</v>
      </c>
      <c r="U60" s="3516">
        <f t="shared" si="118"/>
        <v>0</v>
      </c>
      <c r="V60" s="3533"/>
      <c r="W60" s="3349"/>
      <c r="X60" s="3349"/>
      <c r="Y60" s="2012">
        <f t="shared" si="136"/>
        <v>0</v>
      </c>
      <c r="Z60" s="3350">
        <f t="shared" si="137"/>
        <v>0</v>
      </c>
      <c r="AA60" s="3360"/>
      <c r="AB60" s="3349"/>
      <c r="AC60" s="3349"/>
      <c r="AD60" s="2012">
        <f t="shared" si="138"/>
        <v>0</v>
      </c>
      <c r="AE60" s="3350">
        <f t="shared" si="119"/>
        <v>0</v>
      </c>
      <c r="AF60" s="3360"/>
      <c r="AG60" s="3425"/>
      <c r="AH60" s="3349"/>
      <c r="AI60" s="1981">
        <f t="shared" si="139"/>
        <v>0</v>
      </c>
      <c r="AJ60" s="3509">
        <f t="shared" si="7"/>
        <v>0</v>
      </c>
      <c r="AK60" s="3360"/>
      <c r="AL60" s="3349"/>
      <c r="AM60" s="3349"/>
      <c r="AN60" s="1981">
        <f t="shared" si="140"/>
        <v>0</v>
      </c>
      <c r="AO60" s="3509">
        <f t="shared" si="141"/>
        <v>0</v>
      </c>
      <c r="AP60" s="3342"/>
      <c r="AQ60" s="3341"/>
      <c r="AR60" s="3354"/>
      <c r="AS60" s="1981">
        <f t="shared" si="142"/>
        <v>0</v>
      </c>
      <c r="AT60" s="3509">
        <f t="shared" si="143"/>
        <v>0</v>
      </c>
      <c r="AU60" s="3342"/>
      <c r="AV60" s="1314"/>
      <c r="AW60" s="1314"/>
      <c r="AX60" s="1981">
        <f t="shared" si="144"/>
        <v>0</v>
      </c>
      <c r="AY60" s="3509">
        <f t="shared" si="145"/>
        <v>0</v>
      </c>
      <c r="AZ60" s="1434"/>
      <c r="BA60" s="1064"/>
      <c r="BB60" s="1314"/>
      <c r="BC60" s="1981">
        <f t="shared" si="146"/>
        <v>0</v>
      </c>
      <c r="BD60" s="3511">
        <f t="shared" si="34"/>
        <v>0</v>
      </c>
      <c r="BE60" s="1859"/>
      <c r="BF60" s="3354">
        <v>0</v>
      </c>
      <c r="BG60" s="3341">
        <v>0</v>
      </c>
      <c r="BH60" s="2012">
        <v>0</v>
      </c>
      <c r="BI60" s="3350">
        <v>0</v>
      </c>
      <c r="BJ60" s="3343"/>
      <c r="BK60" s="3354">
        <f t="shared" si="147"/>
        <v>0</v>
      </c>
      <c r="BL60" s="3341">
        <f t="shared" si="147"/>
        <v>0</v>
      </c>
      <c r="BM60" s="2012">
        <f t="shared" si="148"/>
        <v>0</v>
      </c>
      <c r="BN60" s="3350">
        <f t="shared" si="120"/>
        <v>0</v>
      </c>
      <c r="BO60" s="3343"/>
      <c r="BP60" s="1064"/>
      <c r="BQ60" s="1314"/>
      <c r="BR60" s="1981">
        <f t="shared" si="149"/>
        <v>0</v>
      </c>
      <c r="BS60" s="3432">
        <f t="shared" si="37"/>
        <v>0</v>
      </c>
      <c r="BT60" s="1859"/>
      <c r="BU60" s="3349"/>
      <c r="BV60" s="3349"/>
      <c r="BW60" s="2012">
        <f t="shared" si="150"/>
        <v>0</v>
      </c>
      <c r="BX60" s="3350">
        <f t="shared" si="121"/>
        <v>0</v>
      </c>
      <c r="BY60" s="3360"/>
      <c r="BZ60" s="3425"/>
      <c r="CA60" s="3349"/>
      <c r="CB60" s="2012">
        <f t="shared" si="151"/>
        <v>0</v>
      </c>
      <c r="CC60" s="3350">
        <f t="shared" si="122"/>
        <v>0</v>
      </c>
      <c r="CD60" s="3343"/>
      <c r="CE60" s="3349"/>
      <c r="CF60" s="3349"/>
      <c r="CG60" s="3349">
        <f t="shared" si="152"/>
        <v>0</v>
      </c>
      <c r="CH60" s="3350">
        <f t="shared" si="123"/>
        <v>0</v>
      </c>
      <c r="CI60" s="3343"/>
      <c r="CJ60" s="3349"/>
      <c r="CK60" s="3349"/>
      <c r="CL60" s="3341">
        <f t="shared" si="153"/>
        <v>0</v>
      </c>
      <c r="CM60" s="3350">
        <f t="shared" si="124"/>
        <v>0</v>
      </c>
      <c r="CN60" s="3343"/>
      <c r="CO60" s="3349"/>
      <c r="CP60" s="3349"/>
      <c r="CQ60" s="3341">
        <f t="shared" si="154"/>
        <v>0</v>
      </c>
      <c r="CR60" s="3350">
        <f t="shared" si="125"/>
        <v>0</v>
      </c>
      <c r="CS60" s="3343"/>
      <c r="CT60" s="3349"/>
      <c r="CU60" s="3349"/>
      <c r="CV60" s="3341">
        <f t="shared" si="155"/>
        <v>0</v>
      </c>
      <c r="CW60" s="3350">
        <f t="shared" si="126"/>
        <v>0</v>
      </c>
      <c r="CX60" s="3343"/>
      <c r="CY60" s="3349"/>
      <c r="CZ60" s="3349"/>
      <c r="DA60" s="3341">
        <f t="shared" si="156"/>
        <v>0</v>
      </c>
      <c r="DB60" s="3350">
        <f t="shared" si="127"/>
        <v>0</v>
      </c>
      <c r="DC60" s="3343"/>
      <c r="DD60" s="3349"/>
      <c r="DE60" s="3349"/>
      <c r="DF60" s="3341">
        <f t="shared" si="157"/>
        <v>0</v>
      </c>
      <c r="DG60" s="3350">
        <f t="shared" si="128"/>
        <v>0</v>
      </c>
      <c r="DH60" s="3493"/>
      <c r="DI60" s="3425"/>
      <c r="DJ60" s="3349"/>
      <c r="DK60" s="3341">
        <f t="shared" si="158"/>
        <v>0</v>
      </c>
      <c r="DL60" s="3350">
        <f t="shared" si="129"/>
        <v>0</v>
      </c>
      <c r="DM60" s="3493"/>
      <c r="DN60" s="3354"/>
      <c r="DO60" s="3349"/>
      <c r="DP60" s="3341">
        <f t="shared" si="159"/>
        <v>0</v>
      </c>
      <c r="DQ60" s="3350">
        <f t="shared" si="130"/>
        <v>0</v>
      </c>
      <c r="DR60" s="3343"/>
      <c r="DS60" s="3425"/>
      <c r="DT60" s="3349"/>
      <c r="DU60" s="3341"/>
      <c r="DV60" s="3350">
        <f t="shared" si="131"/>
        <v>0</v>
      </c>
      <c r="DW60" s="3343"/>
      <c r="DX60" s="3428">
        <f t="shared" si="161"/>
        <v>0</v>
      </c>
      <c r="DY60" s="3428">
        <f t="shared" si="161"/>
        <v>0</v>
      </c>
      <c r="DZ60" s="3349">
        <f t="shared" si="162"/>
        <v>0</v>
      </c>
      <c r="EA60" s="3350" t="e">
        <f t="shared" si="132"/>
        <v>#DIV/0!</v>
      </c>
      <c r="EB60" s="3360"/>
      <c r="ED60" s="3354"/>
      <c r="EE60" s="3494">
        <f t="shared" si="163"/>
        <v>0</v>
      </c>
    </row>
    <row r="61" spans="1:136" ht="13.8">
      <c r="A61" s="1571"/>
      <c r="B61" s="3642" t="s">
        <v>32</v>
      </c>
      <c r="C61" s="3615"/>
      <c r="D61" s="3524"/>
      <c r="E61" s="1064">
        <f t="shared" si="133"/>
        <v>0</v>
      </c>
      <c r="F61" s="3350">
        <f t="shared" si="51"/>
        <v>0</v>
      </c>
      <c r="G61" s="3311"/>
      <c r="H61" s="3341">
        <v>0</v>
      </c>
      <c r="I61" s="3341">
        <v>0</v>
      </c>
      <c r="J61" s="2012">
        <f t="shared" si="134"/>
        <v>0</v>
      </c>
      <c r="K61" s="3350">
        <f t="shared" si="117"/>
        <v>0</v>
      </c>
      <c r="L61" s="3360"/>
      <c r="M61" s="3505">
        <v>0</v>
      </c>
      <c r="N61" s="3505">
        <v>0</v>
      </c>
      <c r="O61" s="3491">
        <v>0</v>
      </c>
      <c r="P61" s="3516">
        <v>0</v>
      </c>
      <c r="Q61" s="1434"/>
      <c r="R61" s="3505"/>
      <c r="S61" s="3505"/>
      <c r="T61" s="3491">
        <f t="shared" si="135"/>
        <v>0</v>
      </c>
      <c r="U61" s="3516">
        <f t="shared" si="118"/>
        <v>0</v>
      </c>
      <c r="V61" s="3533"/>
      <c r="W61" s="3349"/>
      <c r="X61" s="3349"/>
      <c r="Y61" s="2012">
        <f t="shared" si="136"/>
        <v>0</v>
      </c>
      <c r="Z61" s="3350">
        <f t="shared" si="137"/>
        <v>0</v>
      </c>
      <c r="AA61" s="3360"/>
      <c r="AB61" s="3349"/>
      <c r="AC61" s="3349"/>
      <c r="AD61" s="2012">
        <f t="shared" si="138"/>
        <v>0</v>
      </c>
      <c r="AE61" s="3350">
        <f t="shared" si="119"/>
        <v>0</v>
      </c>
      <c r="AF61" s="3360"/>
      <c r="AG61" s="3425"/>
      <c r="AH61" s="3349"/>
      <c r="AI61" s="1981">
        <f t="shared" si="139"/>
        <v>0</v>
      </c>
      <c r="AJ61" s="3509">
        <f t="shared" si="7"/>
        <v>0</v>
      </c>
      <c r="AK61" s="3360"/>
      <c r="AL61" s="3349"/>
      <c r="AM61" s="3349"/>
      <c r="AN61" s="1981">
        <f t="shared" si="140"/>
        <v>0</v>
      </c>
      <c r="AO61" s="3509">
        <f t="shared" si="141"/>
        <v>0</v>
      </c>
      <c r="AP61" s="3342"/>
      <c r="AQ61" s="3341"/>
      <c r="AR61" s="3354"/>
      <c r="AS61" s="1981">
        <f t="shared" si="142"/>
        <v>0</v>
      </c>
      <c r="AT61" s="3509">
        <f t="shared" si="143"/>
        <v>0</v>
      </c>
      <c r="AU61" s="3342"/>
      <c r="AV61" s="1314"/>
      <c r="AW61" s="1314"/>
      <c r="AX61" s="1981">
        <f t="shared" si="144"/>
        <v>0</v>
      </c>
      <c r="AY61" s="3509">
        <f t="shared" si="145"/>
        <v>0</v>
      </c>
      <c r="AZ61" s="1434"/>
      <c r="BA61" s="1064"/>
      <c r="BB61" s="1314">
        <v>188916.67</v>
      </c>
      <c r="BC61" s="1981">
        <f t="shared" si="146"/>
        <v>188916.67</v>
      </c>
      <c r="BD61" s="3511">
        <f t="shared" si="34"/>
        <v>2.7860220673912424E-2</v>
      </c>
      <c r="BE61" s="1859"/>
      <c r="BF61" s="3354">
        <v>0</v>
      </c>
      <c r="BG61" s="3341">
        <v>663000</v>
      </c>
      <c r="BH61" s="2012">
        <v>663000</v>
      </c>
      <c r="BI61" s="3350">
        <v>0.51110554986028034</v>
      </c>
      <c r="BJ61" s="3343"/>
      <c r="BK61" s="3354">
        <f t="shared" si="147"/>
        <v>0</v>
      </c>
      <c r="BL61" s="3341">
        <f t="shared" si="147"/>
        <v>0</v>
      </c>
      <c r="BM61" s="2012">
        <f t="shared" si="148"/>
        <v>0</v>
      </c>
      <c r="BN61" s="3350">
        <f t="shared" si="120"/>
        <v>0</v>
      </c>
      <c r="BO61" s="3343"/>
      <c r="BP61" s="1064"/>
      <c r="BQ61" s="1314"/>
      <c r="BR61" s="1981">
        <f t="shared" si="149"/>
        <v>0</v>
      </c>
      <c r="BS61" s="3432">
        <f t="shared" si="37"/>
        <v>0</v>
      </c>
      <c r="BT61" s="1859"/>
      <c r="BU61" s="3349"/>
      <c r="BV61" s="3349"/>
      <c r="BW61" s="2012">
        <f t="shared" si="150"/>
        <v>0</v>
      </c>
      <c r="BX61" s="3350">
        <f t="shared" si="121"/>
        <v>0</v>
      </c>
      <c r="BY61" s="3360"/>
      <c r="BZ61" s="3349"/>
      <c r="CA61" s="3349"/>
      <c r="CB61" s="2012">
        <f t="shared" si="151"/>
        <v>0</v>
      </c>
      <c r="CC61" s="3350">
        <f t="shared" si="122"/>
        <v>0</v>
      </c>
      <c r="CD61" s="3343"/>
      <c r="CE61" s="3349"/>
      <c r="CF61" s="3349"/>
      <c r="CG61" s="3349">
        <f t="shared" si="152"/>
        <v>0</v>
      </c>
      <c r="CH61" s="3350">
        <f t="shared" si="123"/>
        <v>0</v>
      </c>
      <c r="CI61" s="3343"/>
      <c r="CJ61" s="3349"/>
      <c r="CK61" s="3349"/>
      <c r="CL61" s="3341">
        <f t="shared" si="153"/>
        <v>0</v>
      </c>
      <c r="CM61" s="3350">
        <f t="shared" si="124"/>
        <v>0</v>
      </c>
      <c r="CN61" s="3343"/>
      <c r="CO61" s="3349"/>
      <c r="CP61" s="3349"/>
      <c r="CQ61" s="3341">
        <f t="shared" si="154"/>
        <v>0</v>
      </c>
      <c r="CR61" s="3350">
        <f t="shared" si="125"/>
        <v>0</v>
      </c>
      <c r="CS61" s="3343"/>
      <c r="CT61" s="3349"/>
      <c r="CU61" s="3349"/>
      <c r="CV61" s="3341">
        <f t="shared" si="155"/>
        <v>0</v>
      </c>
      <c r="CW61" s="3350">
        <f t="shared" si="126"/>
        <v>0</v>
      </c>
      <c r="CX61" s="3343"/>
      <c r="CY61" s="3349"/>
      <c r="CZ61" s="3349"/>
      <c r="DA61" s="3341">
        <f t="shared" si="156"/>
        <v>0</v>
      </c>
      <c r="DB61" s="3350">
        <f t="shared" si="127"/>
        <v>0</v>
      </c>
      <c r="DC61" s="3343"/>
      <c r="DD61" s="3349"/>
      <c r="DE61" s="3349"/>
      <c r="DF61" s="3341">
        <f t="shared" si="157"/>
        <v>0</v>
      </c>
      <c r="DG61" s="3350">
        <f t="shared" si="128"/>
        <v>0</v>
      </c>
      <c r="DH61" s="3493"/>
      <c r="DI61" s="3425"/>
      <c r="DJ61" s="3349"/>
      <c r="DK61" s="3341">
        <f t="shared" si="158"/>
        <v>0</v>
      </c>
      <c r="DL61" s="3350">
        <f t="shared" si="129"/>
        <v>0</v>
      </c>
      <c r="DM61" s="3493"/>
      <c r="DN61" s="3425"/>
      <c r="DO61" s="3349"/>
      <c r="DP61" s="3341">
        <f t="shared" si="159"/>
        <v>0</v>
      </c>
      <c r="DQ61" s="3350">
        <f t="shared" si="130"/>
        <v>0</v>
      </c>
      <c r="DR61" s="3343"/>
      <c r="DS61" s="3425"/>
      <c r="DT61" s="3349"/>
      <c r="DU61" s="3341">
        <f t="shared" si="160"/>
        <v>0</v>
      </c>
      <c r="DV61" s="3350">
        <f t="shared" si="131"/>
        <v>0</v>
      </c>
      <c r="DW61" s="3343"/>
      <c r="DX61" s="3428">
        <f t="shared" si="161"/>
        <v>0</v>
      </c>
      <c r="DY61" s="3428">
        <f t="shared" si="161"/>
        <v>851916.67</v>
      </c>
      <c r="DZ61" s="3349">
        <f t="shared" si="162"/>
        <v>851916.67</v>
      </c>
      <c r="EA61" s="3350" t="e">
        <f t="shared" si="132"/>
        <v>#DIV/0!</v>
      </c>
      <c r="EB61" s="3360"/>
      <c r="ED61" s="1345">
        <v>713000</v>
      </c>
      <c r="EE61" s="3494">
        <f t="shared" si="163"/>
        <v>713000</v>
      </c>
      <c r="EF61" s="3336" t="s">
        <v>1844</v>
      </c>
    </row>
    <row r="62" spans="1:136" ht="30.6" customHeight="1">
      <c r="A62" s="1571"/>
      <c r="B62" s="3642" t="s">
        <v>33</v>
      </c>
      <c r="C62" s="3615"/>
      <c r="D62" s="3524"/>
      <c r="E62" s="1064">
        <f t="shared" si="133"/>
        <v>0</v>
      </c>
      <c r="F62" s="3350">
        <f t="shared" si="51"/>
        <v>0</v>
      </c>
      <c r="G62" s="3311"/>
      <c r="H62" s="3341">
        <v>0</v>
      </c>
      <c r="I62" s="3341">
        <v>0</v>
      </c>
      <c r="J62" s="2012">
        <f t="shared" si="134"/>
        <v>0</v>
      </c>
      <c r="K62" s="3350">
        <f t="shared" si="117"/>
        <v>0</v>
      </c>
      <c r="L62" s="3360"/>
      <c r="M62" s="3505">
        <v>0</v>
      </c>
      <c r="N62" s="3505">
        <v>0</v>
      </c>
      <c r="O62" s="3491">
        <v>0</v>
      </c>
      <c r="P62" s="3516">
        <v>0</v>
      </c>
      <c r="Q62" s="1434"/>
      <c r="R62" s="3505">
        <f>1000*1.2+212.5*1.2</f>
        <v>1455</v>
      </c>
      <c r="S62" s="3505"/>
      <c r="T62" s="3491">
        <f t="shared" si="135"/>
        <v>1455</v>
      </c>
      <c r="U62" s="3516">
        <f t="shared" si="118"/>
        <v>1.1216569759377193E-3</v>
      </c>
      <c r="V62" s="3536" t="s">
        <v>1001</v>
      </c>
      <c r="W62" s="3349">
        <v>2112</v>
      </c>
      <c r="X62" s="3349">
        <v>950</v>
      </c>
      <c r="Y62" s="2012">
        <f t="shared" si="136"/>
        <v>3062</v>
      </c>
      <c r="Z62" s="3350">
        <f t="shared" si="137"/>
        <v>2.3604904881933311E-3</v>
      </c>
      <c r="AA62" s="3360" t="s">
        <v>1025</v>
      </c>
      <c r="AB62" s="3349"/>
      <c r="AC62" s="3349"/>
      <c r="AD62" s="2012">
        <f t="shared" si="138"/>
        <v>0</v>
      </c>
      <c r="AE62" s="3350">
        <f t="shared" si="119"/>
        <v>0</v>
      </c>
      <c r="AF62" s="3360"/>
      <c r="AG62" s="3425">
        <f>720+720+835</f>
        <v>2275</v>
      </c>
      <c r="AH62" s="3349"/>
      <c r="AI62" s="1981">
        <f t="shared" si="139"/>
        <v>2275</v>
      </c>
      <c r="AJ62" s="3509">
        <f t="shared" si="7"/>
        <v>2.1031975172818105E-3</v>
      </c>
      <c r="AK62" s="3421" t="s">
        <v>1115</v>
      </c>
      <c r="AL62" s="3349">
        <v>720</v>
      </c>
      <c r="AM62" s="3349"/>
      <c r="AN62" s="1981">
        <f t="shared" si="140"/>
        <v>720</v>
      </c>
      <c r="AO62" s="3509">
        <f t="shared" si="141"/>
        <v>1.5842325571476128E-4</v>
      </c>
      <c r="AP62" s="3342" t="s">
        <v>1151</v>
      </c>
      <c r="AQ62" s="3341">
        <v>720</v>
      </c>
      <c r="AR62" s="3354">
        <v>1907.58</v>
      </c>
      <c r="AS62" s="1981">
        <f t="shared" si="142"/>
        <v>2627.58</v>
      </c>
      <c r="AT62" s="3509">
        <f t="shared" si="143"/>
        <v>4.167178234917412E-4</v>
      </c>
      <c r="AU62" s="3342" t="s">
        <v>1156</v>
      </c>
      <c r="AV62" s="1314">
        <v>2627.58</v>
      </c>
      <c r="AW62" s="1314"/>
      <c r="AX62" s="1981">
        <f t="shared" si="144"/>
        <v>2627.58</v>
      </c>
      <c r="AY62" s="3509">
        <f t="shared" si="145"/>
        <v>4.167178234917412E-4</v>
      </c>
      <c r="AZ62" s="1434" t="s">
        <v>1221</v>
      </c>
      <c r="BA62" s="1064">
        <f>720+247.5</f>
        <v>967.5</v>
      </c>
      <c r="BB62" s="1314"/>
      <c r="BC62" s="1981">
        <f t="shared" si="146"/>
        <v>967.5</v>
      </c>
      <c r="BD62" s="3511">
        <f t="shared" si="34"/>
        <v>1.4268070415390165E-4</v>
      </c>
      <c r="BE62" s="3512" t="s">
        <v>1245</v>
      </c>
      <c r="BF62" s="3354">
        <v>45591.14</v>
      </c>
      <c r="BG62" s="3341">
        <v>0</v>
      </c>
      <c r="BH62" s="2012">
        <v>45591.14</v>
      </c>
      <c r="BI62" s="3350">
        <v>3.5146130736737585E-2</v>
      </c>
      <c r="BJ62" s="3343"/>
      <c r="BK62" s="3354">
        <f t="shared" si="147"/>
        <v>0</v>
      </c>
      <c r="BL62" s="3341">
        <f t="shared" si="147"/>
        <v>0</v>
      </c>
      <c r="BM62" s="2012">
        <f t="shared" si="148"/>
        <v>0</v>
      </c>
      <c r="BN62" s="3350">
        <f t="shared" si="120"/>
        <v>0</v>
      </c>
      <c r="BO62" s="3343"/>
      <c r="BP62" s="1064"/>
      <c r="BQ62" s="1314"/>
      <c r="BR62" s="1981">
        <f t="shared" si="149"/>
        <v>0</v>
      </c>
      <c r="BS62" s="3432">
        <f t="shared" si="37"/>
        <v>0</v>
      </c>
      <c r="BT62" s="3512"/>
      <c r="BU62" s="3349"/>
      <c r="BV62" s="3349"/>
      <c r="BW62" s="2012">
        <f t="shared" si="150"/>
        <v>0</v>
      </c>
      <c r="BX62" s="3350">
        <f t="shared" si="121"/>
        <v>0</v>
      </c>
      <c r="BY62" s="2118"/>
      <c r="BZ62" s="3349"/>
      <c r="CA62" s="3349"/>
      <c r="CB62" s="2012">
        <f t="shared" si="151"/>
        <v>0</v>
      </c>
      <c r="CC62" s="3350">
        <f t="shared" si="122"/>
        <v>0</v>
      </c>
      <c r="CD62" s="3343"/>
      <c r="CE62" s="3349"/>
      <c r="CF62" s="3349"/>
      <c r="CG62" s="3349">
        <f t="shared" si="152"/>
        <v>0</v>
      </c>
      <c r="CH62" s="3350">
        <f t="shared" si="123"/>
        <v>0</v>
      </c>
      <c r="CI62" s="3343"/>
      <c r="CJ62" s="3349"/>
      <c r="CK62" s="3349"/>
      <c r="CL62" s="3341">
        <f t="shared" si="153"/>
        <v>0</v>
      </c>
      <c r="CM62" s="3350">
        <f t="shared" si="124"/>
        <v>0</v>
      </c>
      <c r="CN62" s="3343"/>
      <c r="CO62" s="3349"/>
      <c r="CP62" s="3349"/>
      <c r="CQ62" s="3341">
        <f t="shared" si="154"/>
        <v>0</v>
      </c>
      <c r="CR62" s="3350">
        <f t="shared" si="125"/>
        <v>0</v>
      </c>
      <c r="CS62" s="3343"/>
      <c r="CT62" s="3349"/>
      <c r="CU62" s="3349"/>
      <c r="CV62" s="3341">
        <f t="shared" si="155"/>
        <v>0</v>
      </c>
      <c r="CW62" s="3350">
        <f t="shared" si="126"/>
        <v>0</v>
      </c>
      <c r="CX62" s="3343"/>
      <c r="CY62" s="3349"/>
      <c r="CZ62" s="3349"/>
      <c r="DA62" s="3341">
        <f t="shared" si="156"/>
        <v>0</v>
      </c>
      <c r="DB62" s="3350">
        <f t="shared" si="127"/>
        <v>0</v>
      </c>
      <c r="DC62" s="3343"/>
      <c r="DD62" s="3349"/>
      <c r="DE62" s="3349"/>
      <c r="DF62" s="3341">
        <f t="shared" si="157"/>
        <v>0</v>
      </c>
      <c r="DG62" s="3350">
        <f t="shared" si="128"/>
        <v>0</v>
      </c>
      <c r="DH62" s="3493"/>
      <c r="DI62" s="3425"/>
      <c r="DJ62" s="3349"/>
      <c r="DK62" s="3341">
        <f t="shared" si="158"/>
        <v>0</v>
      </c>
      <c r="DL62" s="3350">
        <f t="shared" si="129"/>
        <v>0</v>
      </c>
      <c r="DM62" s="3493"/>
      <c r="DN62" s="3425"/>
      <c r="DO62" s="3349"/>
      <c r="DP62" s="3341">
        <f t="shared" si="159"/>
        <v>0</v>
      </c>
      <c r="DQ62" s="3350">
        <f t="shared" si="130"/>
        <v>0</v>
      </c>
      <c r="DR62" s="3493"/>
      <c r="DS62" s="3425"/>
      <c r="DT62" s="3349"/>
      <c r="DU62" s="3341">
        <f t="shared" si="160"/>
        <v>0</v>
      </c>
      <c r="DV62" s="3350">
        <f t="shared" si="131"/>
        <v>0</v>
      </c>
      <c r="DW62" s="3535"/>
      <c r="DX62" s="3428">
        <f t="shared" si="161"/>
        <v>56468.22</v>
      </c>
      <c r="DY62" s="3428">
        <f t="shared" si="161"/>
        <v>2857.58</v>
      </c>
      <c r="DZ62" s="3349">
        <f t="shared" si="162"/>
        <v>59325.8</v>
      </c>
      <c r="EA62" s="3350" t="e">
        <f t="shared" si="132"/>
        <v>#DIV/0!</v>
      </c>
      <c r="EB62" s="3360"/>
      <c r="ED62" s="1345">
        <v>41990.84</v>
      </c>
      <c r="EE62" s="3494">
        <f t="shared" si="163"/>
        <v>41990.84</v>
      </c>
      <c r="EF62" s="3336"/>
    </row>
    <row r="63" spans="1:136" ht="47.4" customHeight="1">
      <c r="A63" s="1571"/>
      <c r="B63" s="3372" t="s">
        <v>35</v>
      </c>
      <c r="C63" s="3614"/>
      <c r="D63" s="3524"/>
      <c r="E63" s="1064">
        <f t="shared" si="133"/>
        <v>0</v>
      </c>
      <c r="F63" s="3350">
        <f t="shared" si="51"/>
        <v>0</v>
      </c>
      <c r="G63" s="3311"/>
      <c r="H63" s="3341">
        <v>19356.13</v>
      </c>
      <c r="I63" s="3341">
        <v>746.8</v>
      </c>
      <c r="J63" s="2012">
        <f t="shared" si="134"/>
        <v>20102.93</v>
      </c>
      <c r="K63" s="3350">
        <f t="shared" si="117"/>
        <v>1.5818593667560198E-3</v>
      </c>
      <c r="L63" s="3360"/>
      <c r="M63" s="3505">
        <v>4309.4399999999996</v>
      </c>
      <c r="N63" s="3505">
        <v>610</v>
      </c>
      <c r="O63" s="3491">
        <v>4919.4399999999996</v>
      </c>
      <c r="P63" s="3516">
        <v>2.5524483235389681E-4</v>
      </c>
      <c r="Q63" s="1434"/>
      <c r="R63" s="3505"/>
      <c r="S63" s="3505"/>
      <c r="T63" s="3491">
        <f t="shared" si="135"/>
        <v>0</v>
      </c>
      <c r="U63" s="3516">
        <f t="shared" si="118"/>
        <v>0</v>
      </c>
      <c r="V63" s="3533"/>
      <c r="W63" s="3349"/>
      <c r="X63" s="3349"/>
      <c r="Y63" s="2012">
        <f t="shared" si="136"/>
        <v>0</v>
      </c>
      <c r="Z63" s="3350">
        <f t="shared" si="137"/>
        <v>0</v>
      </c>
      <c r="AA63" s="3360"/>
      <c r="AB63" s="3349">
        <v>15502</v>
      </c>
      <c r="AC63" s="3349"/>
      <c r="AD63" s="2012">
        <f t="shared" si="138"/>
        <v>15502</v>
      </c>
      <c r="AE63" s="3350">
        <f t="shared" si="119"/>
        <v>1.8495578668558704E-2</v>
      </c>
      <c r="AF63" s="3421" t="s">
        <v>1071</v>
      </c>
      <c r="AG63" s="3425"/>
      <c r="AH63" s="3349"/>
      <c r="AI63" s="1981">
        <f t="shared" si="139"/>
        <v>0</v>
      </c>
      <c r="AJ63" s="3509">
        <f t="shared" si="7"/>
        <v>0</v>
      </c>
      <c r="AK63" s="3421"/>
      <c r="AL63" s="3349"/>
      <c r="AM63" s="3342"/>
      <c r="AN63" s="1981">
        <f t="shared" si="140"/>
        <v>0</v>
      </c>
      <c r="AO63" s="3509">
        <f t="shared" si="141"/>
        <v>0</v>
      </c>
      <c r="AP63" s="3342"/>
      <c r="AQ63" s="3341">
        <f>19970.74+8891.85</f>
        <v>28862.590000000004</v>
      </c>
      <c r="AR63" s="3354"/>
      <c r="AS63" s="1981">
        <f t="shared" si="142"/>
        <v>28862.590000000004</v>
      </c>
      <c r="AT63" s="3509">
        <f t="shared" si="143"/>
        <v>4.5774270184483429E-3</v>
      </c>
      <c r="AU63" s="3342" t="s">
        <v>1166</v>
      </c>
      <c r="AV63" s="1323">
        <v>20705.900000000001</v>
      </c>
      <c r="AW63" s="1323"/>
      <c r="AX63" s="1981">
        <f t="shared" si="144"/>
        <v>20705.900000000001</v>
      </c>
      <c r="AY63" s="3509">
        <f t="shared" si="145"/>
        <v>3.2838267841274653E-3</v>
      </c>
      <c r="AZ63" s="1581" t="s">
        <v>1222</v>
      </c>
      <c r="BA63" s="1863">
        <v>10547.46</v>
      </c>
      <c r="BB63" s="1323"/>
      <c r="BC63" s="1981">
        <f t="shared" si="146"/>
        <v>10547.46</v>
      </c>
      <c r="BD63" s="3511">
        <f t="shared" si="34"/>
        <v>1.5554718551267302E-3</v>
      </c>
      <c r="BE63" s="1860" t="s">
        <v>1253</v>
      </c>
      <c r="BF63" s="3354">
        <v>160146.56</v>
      </c>
      <c r="BG63" s="3341">
        <v>0</v>
      </c>
      <c r="BH63" s="2012">
        <v>160146.56</v>
      </c>
      <c r="BI63" s="3350">
        <v>0.12345670528964159</v>
      </c>
      <c r="BJ63" s="3343"/>
      <c r="BK63" s="3354">
        <f t="shared" si="147"/>
        <v>0</v>
      </c>
      <c r="BL63" s="3341">
        <f t="shared" si="147"/>
        <v>0</v>
      </c>
      <c r="BM63" s="2012">
        <f t="shared" si="148"/>
        <v>0</v>
      </c>
      <c r="BN63" s="3350">
        <f t="shared" si="120"/>
        <v>0</v>
      </c>
      <c r="BO63" s="3343"/>
      <c r="BP63" s="1863"/>
      <c r="BQ63" s="1323"/>
      <c r="BR63" s="1981">
        <f t="shared" si="149"/>
        <v>0</v>
      </c>
      <c r="BS63" s="3432">
        <f t="shared" si="37"/>
        <v>0</v>
      </c>
      <c r="BT63" s="1860"/>
      <c r="BU63" s="3349"/>
      <c r="BV63" s="3349"/>
      <c r="BW63" s="2012">
        <f t="shared" si="150"/>
        <v>0</v>
      </c>
      <c r="BX63" s="3350">
        <f t="shared" si="121"/>
        <v>0</v>
      </c>
      <c r="BY63" s="2118"/>
      <c r="BZ63" s="3351"/>
      <c r="CA63" s="3349"/>
      <c r="CB63" s="2012">
        <f t="shared" si="151"/>
        <v>0</v>
      </c>
      <c r="CC63" s="3350">
        <f t="shared" si="122"/>
        <v>0</v>
      </c>
      <c r="CD63" s="3343"/>
      <c r="CE63" s="3349"/>
      <c r="CF63" s="3349"/>
      <c r="CG63" s="3349">
        <f t="shared" si="152"/>
        <v>0</v>
      </c>
      <c r="CH63" s="3350">
        <f t="shared" si="123"/>
        <v>0</v>
      </c>
      <c r="CI63" s="3343"/>
      <c r="CJ63" s="3349"/>
      <c r="CK63" s="3349"/>
      <c r="CL63" s="3341">
        <f t="shared" si="153"/>
        <v>0</v>
      </c>
      <c r="CM63" s="3350">
        <f t="shared" si="124"/>
        <v>0</v>
      </c>
      <c r="CN63" s="3343"/>
      <c r="CO63" s="3349"/>
      <c r="CP63" s="3349"/>
      <c r="CQ63" s="3341">
        <f t="shared" si="154"/>
        <v>0</v>
      </c>
      <c r="CR63" s="3350">
        <f t="shared" si="125"/>
        <v>0</v>
      </c>
      <c r="CS63" s="3343"/>
      <c r="CT63" s="3349"/>
      <c r="CU63" s="3349"/>
      <c r="CV63" s="3341">
        <f t="shared" si="155"/>
        <v>0</v>
      </c>
      <c r="CW63" s="3350">
        <f t="shared" si="126"/>
        <v>0</v>
      </c>
      <c r="CX63" s="3343"/>
      <c r="CY63" s="3349"/>
      <c r="CZ63" s="3349"/>
      <c r="DA63" s="3341">
        <f t="shared" si="156"/>
        <v>0</v>
      </c>
      <c r="DB63" s="3350">
        <f t="shared" si="127"/>
        <v>0</v>
      </c>
      <c r="DC63" s="3343"/>
      <c r="DD63" s="3349"/>
      <c r="DE63" s="3349"/>
      <c r="DF63" s="3341">
        <f t="shared" si="157"/>
        <v>0</v>
      </c>
      <c r="DG63" s="3350">
        <f t="shared" si="128"/>
        <v>0</v>
      </c>
      <c r="DH63" s="3493"/>
      <c r="DI63" s="3425"/>
      <c r="DJ63" s="3349"/>
      <c r="DK63" s="3341">
        <f t="shared" si="158"/>
        <v>0</v>
      </c>
      <c r="DL63" s="3350">
        <f t="shared" si="129"/>
        <v>0</v>
      </c>
      <c r="DM63" s="3493"/>
      <c r="DN63" s="3425"/>
      <c r="DO63" s="3349"/>
      <c r="DP63" s="3341">
        <f t="shared" si="159"/>
        <v>0</v>
      </c>
      <c r="DQ63" s="3350">
        <f t="shared" si="130"/>
        <v>0</v>
      </c>
      <c r="DR63" s="3493"/>
      <c r="DS63" s="3425"/>
      <c r="DT63" s="3349"/>
      <c r="DU63" s="3341">
        <f t="shared" si="160"/>
        <v>0</v>
      </c>
      <c r="DV63" s="3350">
        <f t="shared" si="131"/>
        <v>0</v>
      </c>
      <c r="DW63" s="3523"/>
      <c r="DX63" s="3428">
        <f t="shared" si="161"/>
        <v>235764.51</v>
      </c>
      <c r="DY63" s="3428">
        <f t="shared" si="161"/>
        <v>0</v>
      </c>
      <c r="DZ63" s="3349">
        <f t="shared" si="162"/>
        <v>235764.51</v>
      </c>
      <c r="EA63" s="3350" t="e">
        <f t="shared" si="132"/>
        <v>#DIV/0!</v>
      </c>
      <c r="EB63" s="3360"/>
      <c r="ED63" s="1345">
        <v>117560.86</v>
      </c>
      <c r="EE63" s="3494">
        <f t="shared" si="163"/>
        <v>117560.86</v>
      </c>
      <c r="EF63" s="3336"/>
    </row>
    <row r="64" spans="1:136" ht="31.2" customHeight="1">
      <c r="A64" s="1571"/>
      <c r="B64" s="3372" t="s">
        <v>63</v>
      </c>
      <c r="C64" s="3614"/>
      <c r="D64" s="3524"/>
      <c r="E64" s="1064">
        <f t="shared" si="133"/>
        <v>0</v>
      </c>
      <c r="F64" s="3350">
        <f t="shared" si="51"/>
        <v>0</v>
      </c>
      <c r="G64" s="3311"/>
      <c r="H64" s="3341">
        <v>0</v>
      </c>
      <c r="I64" s="3341">
        <v>0</v>
      </c>
      <c r="J64" s="2012">
        <f t="shared" si="134"/>
        <v>0</v>
      </c>
      <c r="K64" s="3350">
        <f t="shared" si="117"/>
        <v>0</v>
      </c>
      <c r="L64" s="3360"/>
      <c r="M64" s="3505">
        <v>0</v>
      </c>
      <c r="N64" s="3505">
        <v>0</v>
      </c>
      <c r="O64" s="3491">
        <v>0</v>
      </c>
      <c r="P64" s="3516">
        <v>0</v>
      </c>
      <c r="Q64" s="1434"/>
      <c r="R64" s="3505"/>
      <c r="S64" s="3505"/>
      <c r="T64" s="3491">
        <f t="shared" si="135"/>
        <v>0</v>
      </c>
      <c r="U64" s="3516">
        <f t="shared" si="118"/>
        <v>0</v>
      </c>
      <c r="V64" s="3533"/>
      <c r="W64" s="3349"/>
      <c r="X64" s="3349"/>
      <c r="Y64" s="2012">
        <f t="shared" si="136"/>
        <v>0</v>
      </c>
      <c r="Z64" s="3350">
        <f t="shared" si="137"/>
        <v>0</v>
      </c>
      <c r="AA64" s="3360"/>
      <c r="AB64" s="3349"/>
      <c r="AC64" s="3349"/>
      <c r="AD64" s="2012">
        <f t="shared" si="138"/>
        <v>0</v>
      </c>
      <c r="AE64" s="3350">
        <f t="shared" si="119"/>
        <v>0</v>
      </c>
      <c r="AF64" s="3360"/>
      <c r="AG64" s="3425">
        <f>11409.72+50424</f>
        <v>61833.72</v>
      </c>
      <c r="AH64" s="3349"/>
      <c r="AI64" s="1981">
        <f t="shared" si="139"/>
        <v>61833.72</v>
      </c>
      <c r="AJ64" s="3509">
        <f t="shared" si="7"/>
        <v>5.7164187423427965E-2</v>
      </c>
      <c r="AK64" s="3421" t="s">
        <v>1116</v>
      </c>
      <c r="AL64" s="3349">
        <f>27775.55+50424</f>
        <v>78199.55</v>
      </c>
      <c r="AM64" s="3342">
        <v>100</v>
      </c>
      <c r="AN64" s="1981">
        <f t="shared" si="140"/>
        <v>78299.55</v>
      </c>
      <c r="AO64" s="3509">
        <f t="shared" si="141"/>
        <v>1.7228430044445468E-2</v>
      </c>
      <c r="AP64" s="3342" t="s">
        <v>1152</v>
      </c>
      <c r="AQ64" s="3341"/>
      <c r="AR64" s="3354"/>
      <c r="AS64" s="1981">
        <f t="shared" si="142"/>
        <v>0</v>
      </c>
      <c r="AT64" s="3509">
        <f t="shared" si="143"/>
        <v>0</v>
      </c>
      <c r="AU64" s="3342"/>
      <c r="AV64" s="1314">
        <v>143920.76999999999</v>
      </c>
      <c r="AW64" s="1314"/>
      <c r="AX64" s="1981">
        <f t="shared" si="144"/>
        <v>143920.76999999999</v>
      </c>
      <c r="AY64" s="3509">
        <f t="shared" si="145"/>
        <v>2.2824937786729799E-2</v>
      </c>
      <c r="AZ64" s="1581" t="s">
        <v>1223</v>
      </c>
      <c r="BA64" s="1064">
        <f>100848+26302.71</f>
        <v>127150.70999999999</v>
      </c>
      <c r="BB64" s="1314"/>
      <c r="BC64" s="1981">
        <f t="shared" si="146"/>
        <v>127150.70999999999</v>
      </c>
      <c r="BD64" s="3511">
        <f t="shared" si="34"/>
        <v>1.8751372440794362E-2</v>
      </c>
      <c r="BE64" s="3512" t="s">
        <v>1246</v>
      </c>
      <c r="BF64" s="3354">
        <v>1500088.1600000001</v>
      </c>
      <c r="BG64" s="3341">
        <v>0</v>
      </c>
      <c r="BH64" s="2012">
        <v>1500088.1600000001</v>
      </c>
      <c r="BI64" s="3350">
        <v>1.1564153602650018</v>
      </c>
      <c r="BJ64" s="3343"/>
      <c r="BK64" s="3354">
        <f t="shared" si="147"/>
        <v>0</v>
      </c>
      <c r="BL64" s="3341">
        <f t="shared" si="147"/>
        <v>0</v>
      </c>
      <c r="BM64" s="2012">
        <f t="shared" si="148"/>
        <v>0</v>
      </c>
      <c r="BN64" s="3350">
        <f t="shared" si="120"/>
        <v>0</v>
      </c>
      <c r="BO64" s="3343"/>
      <c r="BP64" s="1064"/>
      <c r="BQ64" s="1314"/>
      <c r="BR64" s="1981">
        <f t="shared" si="149"/>
        <v>0</v>
      </c>
      <c r="BS64" s="3432">
        <f t="shared" si="37"/>
        <v>0</v>
      </c>
      <c r="BT64" s="3512"/>
      <c r="BU64" s="3349"/>
      <c r="BV64" s="3349"/>
      <c r="BW64" s="2012">
        <f t="shared" si="150"/>
        <v>0</v>
      </c>
      <c r="BX64" s="3350">
        <f t="shared" si="121"/>
        <v>0</v>
      </c>
      <c r="BY64" s="3522"/>
      <c r="BZ64" s="3349"/>
      <c r="CA64" s="3349"/>
      <c r="CB64" s="2012">
        <f t="shared" si="151"/>
        <v>0</v>
      </c>
      <c r="CC64" s="3350">
        <f t="shared" si="122"/>
        <v>0</v>
      </c>
      <c r="CD64" s="3343"/>
      <c r="CE64" s="3349"/>
      <c r="CF64" s="3349"/>
      <c r="CG64" s="3349">
        <f t="shared" si="152"/>
        <v>0</v>
      </c>
      <c r="CH64" s="3350">
        <f t="shared" si="123"/>
        <v>0</v>
      </c>
      <c r="CI64" s="3343"/>
      <c r="CJ64" s="3349"/>
      <c r="CK64" s="3349"/>
      <c r="CL64" s="3341">
        <f t="shared" si="153"/>
        <v>0</v>
      </c>
      <c r="CM64" s="3350">
        <f t="shared" si="124"/>
        <v>0</v>
      </c>
      <c r="CN64" s="3343"/>
      <c r="CO64" s="3349"/>
      <c r="CP64" s="3349"/>
      <c r="CQ64" s="3341">
        <f t="shared" si="154"/>
        <v>0</v>
      </c>
      <c r="CR64" s="3350">
        <f t="shared" si="125"/>
        <v>0</v>
      </c>
      <c r="CS64" s="3343"/>
      <c r="CT64" s="3349"/>
      <c r="CU64" s="3349"/>
      <c r="CV64" s="3341">
        <f t="shared" si="155"/>
        <v>0</v>
      </c>
      <c r="CW64" s="3350">
        <f t="shared" si="126"/>
        <v>0</v>
      </c>
      <c r="CX64" s="3343"/>
      <c r="CY64" s="3349"/>
      <c r="CZ64" s="3349"/>
      <c r="DA64" s="3341">
        <f t="shared" si="156"/>
        <v>0</v>
      </c>
      <c r="DB64" s="3350">
        <f t="shared" si="127"/>
        <v>0</v>
      </c>
      <c r="DC64" s="3343"/>
      <c r="DD64" s="3349"/>
      <c r="DE64" s="3349"/>
      <c r="DF64" s="3341">
        <f t="shared" si="157"/>
        <v>0</v>
      </c>
      <c r="DG64" s="3350">
        <f t="shared" si="128"/>
        <v>0</v>
      </c>
      <c r="DH64" s="3493"/>
      <c r="DI64" s="3425"/>
      <c r="DJ64" s="3349"/>
      <c r="DK64" s="3341">
        <f t="shared" si="158"/>
        <v>0</v>
      </c>
      <c r="DL64" s="3350">
        <f t="shared" si="129"/>
        <v>0</v>
      </c>
      <c r="DM64" s="3493"/>
      <c r="DN64" s="3425"/>
      <c r="DO64" s="3349"/>
      <c r="DP64" s="3341">
        <f t="shared" si="159"/>
        <v>0</v>
      </c>
      <c r="DQ64" s="3350">
        <f t="shared" si="130"/>
        <v>0</v>
      </c>
      <c r="DR64" s="3493"/>
      <c r="DS64" s="3425"/>
      <c r="DT64" s="3349"/>
      <c r="DU64" s="3341">
        <f t="shared" si="160"/>
        <v>0</v>
      </c>
      <c r="DV64" s="3350">
        <f t="shared" si="131"/>
        <v>0</v>
      </c>
      <c r="DW64" s="3523"/>
      <c r="DX64" s="3428">
        <f t="shared" si="161"/>
        <v>1911192.9100000001</v>
      </c>
      <c r="DY64" s="3428">
        <f t="shared" si="161"/>
        <v>100</v>
      </c>
      <c r="DZ64" s="3349">
        <f t="shared" si="162"/>
        <v>1911292.9100000001</v>
      </c>
      <c r="EA64" s="3350" t="e">
        <f t="shared" si="132"/>
        <v>#DIV/0!</v>
      </c>
      <c r="EB64" s="3360"/>
      <c r="ED64" s="1345">
        <v>1397096</v>
      </c>
      <c r="EE64" s="3494">
        <f t="shared" si="163"/>
        <v>1397096</v>
      </c>
      <c r="EF64" s="3336" t="s">
        <v>1845</v>
      </c>
    </row>
    <row r="65" spans="1:136" ht="57" customHeight="1">
      <c r="A65" s="1571"/>
      <c r="B65" s="3372" t="s">
        <v>36</v>
      </c>
      <c r="C65" s="3614"/>
      <c r="D65" s="3524"/>
      <c r="E65" s="1064">
        <f t="shared" si="133"/>
        <v>0</v>
      </c>
      <c r="F65" s="3350">
        <f t="shared" si="51"/>
        <v>0</v>
      </c>
      <c r="G65" s="3311"/>
      <c r="H65" s="3341">
        <v>910</v>
      </c>
      <c r="I65" s="3341">
        <v>43713</v>
      </c>
      <c r="J65" s="2012">
        <f t="shared" si="134"/>
        <v>44623</v>
      </c>
      <c r="K65" s="3350">
        <f t="shared" si="117"/>
        <v>3.511294648230575E-3</v>
      </c>
      <c r="L65" s="3360"/>
      <c r="M65" s="3490">
        <v>0</v>
      </c>
      <c r="N65" s="3490">
        <v>0</v>
      </c>
      <c r="O65" s="3491">
        <v>0</v>
      </c>
      <c r="P65" s="3516">
        <v>0</v>
      </c>
      <c r="Q65" s="1434"/>
      <c r="R65" s="3490"/>
      <c r="S65" s="3490"/>
      <c r="T65" s="3491">
        <f t="shared" si="135"/>
        <v>0</v>
      </c>
      <c r="U65" s="3516">
        <f t="shared" si="118"/>
        <v>0</v>
      </c>
      <c r="V65" s="3533"/>
      <c r="W65" s="3341"/>
      <c r="X65" s="3341"/>
      <c r="Y65" s="2012">
        <f t="shared" si="136"/>
        <v>0</v>
      </c>
      <c r="Z65" s="3350">
        <f t="shared" si="137"/>
        <v>0</v>
      </c>
      <c r="AA65" s="3360"/>
      <c r="AB65" s="3341"/>
      <c r="AC65" s="3341"/>
      <c r="AD65" s="2012">
        <f t="shared" si="138"/>
        <v>0</v>
      </c>
      <c r="AE65" s="3350">
        <f t="shared" si="119"/>
        <v>0</v>
      </c>
      <c r="AF65" s="3360"/>
      <c r="AG65" s="3354"/>
      <c r="AH65" s="3341">
        <v>1120</v>
      </c>
      <c r="AI65" s="1981">
        <f t="shared" si="139"/>
        <v>1120</v>
      </c>
      <c r="AJ65" s="3509">
        <f t="shared" si="7"/>
        <v>1.0354203162002758E-3</v>
      </c>
      <c r="AK65" s="3421" t="s">
        <v>1117</v>
      </c>
      <c r="AL65" s="3341"/>
      <c r="AM65" s="3341"/>
      <c r="AN65" s="1981">
        <f t="shared" si="140"/>
        <v>0</v>
      </c>
      <c r="AO65" s="3509">
        <f t="shared" si="141"/>
        <v>0</v>
      </c>
      <c r="AP65" s="3360"/>
      <c r="AQ65" s="3341"/>
      <c r="AR65" s="3354"/>
      <c r="AS65" s="1981">
        <f t="shared" si="142"/>
        <v>0</v>
      </c>
      <c r="AT65" s="3509">
        <f t="shared" si="143"/>
        <v>0</v>
      </c>
      <c r="AU65" s="3342"/>
      <c r="AV65" s="1314"/>
      <c r="AW65" s="1314"/>
      <c r="AX65" s="1981">
        <f t="shared" si="144"/>
        <v>0</v>
      </c>
      <c r="AY65" s="3509">
        <f t="shared" si="145"/>
        <v>0</v>
      </c>
      <c r="AZ65" s="1434"/>
      <c r="BA65" s="1064"/>
      <c r="BB65" s="1314"/>
      <c r="BC65" s="1981">
        <f t="shared" si="146"/>
        <v>0</v>
      </c>
      <c r="BD65" s="3511">
        <f t="shared" si="34"/>
        <v>0</v>
      </c>
      <c r="BE65" s="1859"/>
      <c r="BF65" s="3354">
        <v>0</v>
      </c>
      <c r="BG65" s="3341">
        <v>0</v>
      </c>
      <c r="BH65" s="2012">
        <v>0</v>
      </c>
      <c r="BI65" s="3350">
        <v>0</v>
      </c>
      <c r="BJ65" s="3343"/>
      <c r="BK65" s="3354">
        <f t="shared" si="147"/>
        <v>0</v>
      </c>
      <c r="BL65" s="3341">
        <f t="shared" si="147"/>
        <v>0</v>
      </c>
      <c r="BM65" s="2012">
        <f t="shared" si="148"/>
        <v>0</v>
      </c>
      <c r="BN65" s="3350">
        <f t="shared" si="120"/>
        <v>0</v>
      </c>
      <c r="BO65" s="3343"/>
      <c r="BP65" s="1064"/>
      <c r="BQ65" s="1314"/>
      <c r="BR65" s="1981">
        <f t="shared" si="149"/>
        <v>0</v>
      </c>
      <c r="BS65" s="3432">
        <f t="shared" si="37"/>
        <v>0</v>
      </c>
      <c r="BT65" s="1859"/>
      <c r="BU65" s="3341"/>
      <c r="BV65" s="3341"/>
      <c r="BW65" s="2012">
        <f t="shared" si="150"/>
        <v>0</v>
      </c>
      <c r="BX65" s="3350">
        <f t="shared" si="121"/>
        <v>0</v>
      </c>
      <c r="BY65" s="3360"/>
      <c r="BZ65" s="3341"/>
      <c r="CA65" s="3341"/>
      <c r="CB65" s="2012">
        <f t="shared" si="151"/>
        <v>0</v>
      </c>
      <c r="CC65" s="3350">
        <f t="shared" si="122"/>
        <v>0</v>
      </c>
      <c r="CD65" s="3343"/>
      <c r="CE65" s="3341"/>
      <c r="CF65" s="3341"/>
      <c r="CG65" s="3349">
        <f t="shared" si="152"/>
        <v>0</v>
      </c>
      <c r="CH65" s="3350">
        <f t="shared" si="123"/>
        <v>0</v>
      </c>
      <c r="CI65" s="3343"/>
      <c r="CJ65" s="3341"/>
      <c r="CK65" s="3341"/>
      <c r="CL65" s="3341">
        <f t="shared" si="153"/>
        <v>0</v>
      </c>
      <c r="CM65" s="3350">
        <f t="shared" si="124"/>
        <v>0</v>
      </c>
      <c r="CN65" s="3343"/>
      <c r="CO65" s="3341"/>
      <c r="CP65" s="3341"/>
      <c r="CQ65" s="3341">
        <f t="shared" si="154"/>
        <v>0</v>
      </c>
      <c r="CR65" s="3350">
        <f t="shared" si="125"/>
        <v>0</v>
      </c>
      <c r="CS65" s="3343"/>
      <c r="CT65" s="3341"/>
      <c r="CU65" s="3341"/>
      <c r="CV65" s="3341">
        <f t="shared" si="155"/>
        <v>0</v>
      </c>
      <c r="CW65" s="3350">
        <f t="shared" si="126"/>
        <v>0</v>
      </c>
      <c r="CX65" s="3343"/>
      <c r="CY65" s="3341"/>
      <c r="CZ65" s="3341"/>
      <c r="DA65" s="3341">
        <f t="shared" si="156"/>
        <v>0</v>
      </c>
      <c r="DB65" s="3350">
        <f t="shared" si="127"/>
        <v>0</v>
      </c>
      <c r="DC65" s="3343"/>
      <c r="DD65" s="3341"/>
      <c r="DE65" s="3341"/>
      <c r="DF65" s="3341">
        <f t="shared" si="157"/>
        <v>0</v>
      </c>
      <c r="DG65" s="3350">
        <f t="shared" si="128"/>
        <v>0</v>
      </c>
      <c r="DH65" s="3493"/>
      <c r="DI65" s="3354"/>
      <c r="DJ65" s="3341"/>
      <c r="DK65" s="3341">
        <f t="shared" si="158"/>
        <v>0</v>
      </c>
      <c r="DL65" s="3350">
        <f t="shared" si="129"/>
        <v>0</v>
      </c>
      <c r="DM65" s="3493"/>
      <c r="DN65" s="3354"/>
      <c r="DO65" s="3341"/>
      <c r="DP65" s="3341">
        <f t="shared" si="159"/>
        <v>0</v>
      </c>
      <c r="DQ65" s="3350">
        <f t="shared" si="130"/>
        <v>0</v>
      </c>
      <c r="DR65" s="3343"/>
      <c r="DS65" s="3354"/>
      <c r="DT65" s="3341"/>
      <c r="DU65" s="3341">
        <f t="shared" si="160"/>
        <v>0</v>
      </c>
      <c r="DV65" s="3350">
        <f t="shared" si="131"/>
        <v>0</v>
      </c>
      <c r="DW65" s="3343"/>
      <c r="DX65" s="3428">
        <f t="shared" si="161"/>
        <v>0</v>
      </c>
      <c r="DY65" s="3428">
        <f t="shared" si="161"/>
        <v>1120</v>
      </c>
      <c r="DZ65" s="3349">
        <f t="shared" si="162"/>
        <v>1120</v>
      </c>
      <c r="EA65" s="3350" t="e">
        <f t="shared" si="132"/>
        <v>#DIV/0!</v>
      </c>
      <c r="EB65" s="3360"/>
      <c r="ED65" s="3354"/>
      <c r="EE65" s="3494"/>
    </row>
    <row r="66" spans="1:136" s="1396" customFormat="1" ht="25.2" customHeight="1">
      <c r="A66" s="1571"/>
      <c r="B66" s="3372" t="s">
        <v>37</v>
      </c>
      <c r="C66" s="3614"/>
      <c r="D66" s="3524"/>
      <c r="E66" s="1064">
        <f t="shared" si="133"/>
        <v>0</v>
      </c>
      <c r="F66" s="3350">
        <f t="shared" si="51"/>
        <v>0</v>
      </c>
      <c r="G66" s="3311"/>
      <c r="H66" s="3341">
        <v>0</v>
      </c>
      <c r="I66" s="3341">
        <v>0</v>
      </c>
      <c r="J66" s="2012">
        <f t="shared" si="134"/>
        <v>0</v>
      </c>
      <c r="K66" s="3350">
        <f t="shared" si="117"/>
        <v>0</v>
      </c>
      <c r="L66" s="3360"/>
      <c r="M66" s="3490">
        <v>0</v>
      </c>
      <c r="N66" s="3490">
        <v>0</v>
      </c>
      <c r="O66" s="3491">
        <v>0</v>
      </c>
      <c r="P66" s="3516">
        <v>0</v>
      </c>
      <c r="Q66" s="1434"/>
      <c r="R66" s="3490"/>
      <c r="S66" s="3490"/>
      <c r="T66" s="3491">
        <f t="shared" si="135"/>
        <v>0</v>
      </c>
      <c r="U66" s="3516">
        <f t="shared" si="118"/>
        <v>0</v>
      </c>
      <c r="V66" s="3533"/>
      <c r="W66" s="3341"/>
      <c r="X66" s="3341"/>
      <c r="Y66" s="2012">
        <f t="shared" si="136"/>
        <v>0</v>
      </c>
      <c r="Z66" s="3350">
        <f t="shared" si="137"/>
        <v>0</v>
      </c>
      <c r="AA66" s="3360"/>
      <c r="AB66" s="3341"/>
      <c r="AC66" s="3341"/>
      <c r="AD66" s="2012">
        <f t="shared" si="138"/>
        <v>0</v>
      </c>
      <c r="AE66" s="3350">
        <f t="shared" si="119"/>
        <v>0</v>
      </c>
      <c r="AF66" s="3360"/>
      <c r="AG66" s="3354"/>
      <c r="AH66" s="3341"/>
      <c r="AI66" s="1981">
        <f t="shared" si="139"/>
        <v>0</v>
      </c>
      <c r="AJ66" s="3509">
        <f t="shared" si="7"/>
        <v>0</v>
      </c>
      <c r="AK66" s="3360"/>
      <c r="AL66" s="3341"/>
      <c r="AM66" s="3341"/>
      <c r="AN66" s="1981">
        <f t="shared" si="140"/>
        <v>0</v>
      </c>
      <c r="AO66" s="3509">
        <f t="shared" si="141"/>
        <v>0</v>
      </c>
      <c r="AP66" s="3360"/>
      <c r="AQ66" s="3341"/>
      <c r="AR66" s="3354"/>
      <c r="AS66" s="1981">
        <f t="shared" si="142"/>
        <v>0</v>
      </c>
      <c r="AT66" s="3509">
        <f t="shared" si="143"/>
        <v>0</v>
      </c>
      <c r="AU66" s="3342"/>
      <c r="AV66" s="1314">
        <v>3140</v>
      </c>
      <c r="AW66" s="1314"/>
      <c r="AX66" s="1981">
        <f t="shared" si="144"/>
        <v>3140</v>
      </c>
      <c r="AY66" s="3509">
        <f t="shared" si="145"/>
        <v>4.9798444415167858E-4</v>
      </c>
      <c r="AZ66" s="1434" t="s">
        <v>1224</v>
      </c>
      <c r="BA66" s="1064">
        <v>2440</v>
      </c>
      <c r="BB66" s="1314"/>
      <c r="BC66" s="1981">
        <f t="shared" si="146"/>
        <v>2440</v>
      </c>
      <c r="BD66" s="3511">
        <f t="shared" si="34"/>
        <v>3.5983557430027913E-4</v>
      </c>
      <c r="BE66" s="1859" t="s">
        <v>1247</v>
      </c>
      <c r="BF66" s="3354">
        <v>8901.98</v>
      </c>
      <c r="BG66" s="3341">
        <v>2450</v>
      </c>
      <c r="BH66" s="2012">
        <v>11351.98</v>
      </c>
      <c r="BI66" s="3350">
        <v>8.7512216891446528E-3</v>
      </c>
      <c r="BJ66" s="3343"/>
      <c r="BK66" s="3354">
        <f t="shared" si="147"/>
        <v>0</v>
      </c>
      <c r="BL66" s="3341">
        <f t="shared" si="147"/>
        <v>0</v>
      </c>
      <c r="BM66" s="2012">
        <f t="shared" si="148"/>
        <v>0</v>
      </c>
      <c r="BN66" s="3350">
        <f t="shared" si="120"/>
        <v>0</v>
      </c>
      <c r="BO66" s="3343"/>
      <c r="BP66" s="1064"/>
      <c r="BQ66" s="1314"/>
      <c r="BR66" s="1981">
        <f t="shared" si="149"/>
        <v>0</v>
      </c>
      <c r="BS66" s="3432">
        <f t="shared" si="37"/>
        <v>0</v>
      </c>
      <c r="BT66" s="1859"/>
      <c r="BU66" s="3341"/>
      <c r="BV66" s="3341"/>
      <c r="BW66" s="2012">
        <f t="shared" si="150"/>
        <v>0</v>
      </c>
      <c r="BX66" s="3350">
        <f t="shared" si="121"/>
        <v>0</v>
      </c>
      <c r="BY66" s="3360"/>
      <c r="BZ66" s="3341"/>
      <c r="CA66" s="3341"/>
      <c r="CB66" s="2012">
        <f t="shared" si="151"/>
        <v>0</v>
      </c>
      <c r="CC66" s="3350">
        <f t="shared" si="122"/>
        <v>0</v>
      </c>
      <c r="CD66" s="3343"/>
      <c r="CE66" s="3341"/>
      <c r="CF66" s="3341"/>
      <c r="CG66" s="3349">
        <f t="shared" si="152"/>
        <v>0</v>
      </c>
      <c r="CH66" s="3350">
        <f t="shared" si="123"/>
        <v>0</v>
      </c>
      <c r="CI66" s="3343"/>
      <c r="CJ66" s="3341"/>
      <c r="CK66" s="3341"/>
      <c r="CL66" s="3341">
        <f t="shared" si="153"/>
        <v>0</v>
      </c>
      <c r="CM66" s="3350">
        <f t="shared" si="124"/>
        <v>0</v>
      </c>
      <c r="CN66" s="3343"/>
      <c r="CO66" s="3341"/>
      <c r="CP66" s="3341"/>
      <c r="CQ66" s="3341">
        <f t="shared" si="154"/>
        <v>0</v>
      </c>
      <c r="CR66" s="3350">
        <f t="shared" si="125"/>
        <v>0</v>
      </c>
      <c r="CS66" s="3343"/>
      <c r="CT66" s="3341"/>
      <c r="CU66" s="3341"/>
      <c r="CV66" s="3341">
        <f t="shared" si="155"/>
        <v>0</v>
      </c>
      <c r="CW66" s="3350">
        <f t="shared" si="126"/>
        <v>0</v>
      </c>
      <c r="CX66" s="3343"/>
      <c r="CY66" s="3341"/>
      <c r="CZ66" s="3341"/>
      <c r="DA66" s="3341">
        <f t="shared" si="156"/>
        <v>0</v>
      </c>
      <c r="DB66" s="3350">
        <f t="shared" si="127"/>
        <v>0</v>
      </c>
      <c r="DC66" s="3343"/>
      <c r="DD66" s="3341"/>
      <c r="DE66" s="3341"/>
      <c r="DF66" s="3341">
        <f t="shared" si="157"/>
        <v>0</v>
      </c>
      <c r="DG66" s="3350">
        <f t="shared" si="128"/>
        <v>0</v>
      </c>
      <c r="DH66" s="3493"/>
      <c r="DI66" s="3354"/>
      <c r="DJ66" s="3341"/>
      <c r="DK66" s="3341">
        <f t="shared" si="158"/>
        <v>0</v>
      </c>
      <c r="DL66" s="3350">
        <f t="shared" si="129"/>
        <v>0</v>
      </c>
      <c r="DM66" s="3493"/>
      <c r="DN66" s="3354"/>
      <c r="DO66" s="3341"/>
      <c r="DP66" s="3341">
        <f t="shared" si="159"/>
        <v>0</v>
      </c>
      <c r="DQ66" s="3350">
        <f t="shared" si="130"/>
        <v>0</v>
      </c>
      <c r="DR66" s="3493"/>
      <c r="DS66" s="3354"/>
      <c r="DT66" s="3341"/>
      <c r="DU66" s="3341">
        <f t="shared" si="160"/>
        <v>0</v>
      </c>
      <c r="DV66" s="3350">
        <f t="shared" si="131"/>
        <v>0</v>
      </c>
      <c r="DW66" s="3343"/>
      <c r="DX66" s="3428">
        <f t="shared" si="161"/>
        <v>14481.98</v>
      </c>
      <c r="DY66" s="3428">
        <f t="shared" si="161"/>
        <v>2450</v>
      </c>
      <c r="DZ66" s="3349">
        <f t="shared" si="162"/>
        <v>16931.98</v>
      </c>
      <c r="EA66" s="3350" t="e">
        <f t="shared" si="132"/>
        <v>#DIV/0!</v>
      </c>
      <c r="EB66" s="3360"/>
      <c r="ED66" s="1345">
        <v>27940</v>
      </c>
      <c r="EE66" s="3494">
        <f t="shared" ref="EE66:EE68" si="164">ED66-BM66</f>
        <v>27940</v>
      </c>
      <c r="EF66" s="3334"/>
    </row>
    <row r="67" spans="1:136" s="1396" customFormat="1" ht="15" customHeight="1">
      <c r="A67" s="1571"/>
      <c r="B67" s="3372" t="s">
        <v>3</v>
      </c>
      <c r="C67" s="3614"/>
      <c r="D67" s="3524"/>
      <c r="E67" s="1064">
        <f t="shared" si="133"/>
        <v>0</v>
      </c>
      <c r="F67" s="3350">
        <f t="shared" si="51"/>
        <v>0</v>
      </c>
      <c r="G67" s="3311"/>
      <c r="H67" s="3341">
        <v>0</v>
      </c>
      <c r="I67" s="3341">
        <v>0</v>
      </c>
      <c r="J67" s="2012">
        <f t="shared" si="134"/>
        <v>0</v>
      </c>
      <c r="K67" s="3350">
        <f t="shared" si="117"/>
        <v>0</v>
      </c>
      <c r="L67" s="3360"/>
      <c r="M67" s="3490">
        <v>0</v>
      </c>
      <c r="N67" s="3490">
        <v>0</v>
      </c>
      <c r="O67" s="3491">
        <v>0</v>
      </c>
      <c r="P67" s="3516">
        <v>0</v>
      </c>
      <c r="Q67" s="1434"/>
      <c r="R67" s="3490"/>
      <c r="S67" s="3490"/>
      <c r="T67" s="3491">
        <f t="shared" si="135"/>
        <v>0</v>
      </c>
      <c r="U67" s="3516">
        <f t="shared" si="118"/>
        <v>0</v>
      </c>
      <c r="V67" s="3533"/>
      <c r="W67" s="3341"/>
      <c r="X67" s="3341">
        <f>1300+4944.8</f>
        <v>6244.8</v>
      </c>
      <c r="Y67" s="2012">
        <f t="shared" si="136"/>
        <v>6244.8</v>
      </c>
      <c r="Z67" s="3350">
        <f t="shared" si="137"/>
        <v>4.814105486828776E-3</v>
      </c>
      <c r="AA67" s="3421" t="s">
        <v>1026</v>
      </c>
      <c r="AB67" s="3341">
        <v>3304</v>
      </c>
      <c r="AC67" s="3341">
        <v>3500</v>
      </c>
      <c r="AD67" s="2012">
        <f t="shared" si="138"/>
        <v>6804</v>
      </c>
      <c r="AE67" s="3350">
        <f t="shared" si="119"/>
        <v>8.1179149310329907E-3</v>
      </c>
      <c r="AF67" s="3421" t="s">
        <v>1074</v>
      </c>
      <c r="AG67" s="3354"/>
      <c r="AH67" s="3341"/>
      <c r="AI67" s="1981">
        <f t="shared" si="139"/>
        <v>0</v>
      </c>
      <c r="AJ67" s="3509">
        <f t="shared" si="7"/>
        <v>0</v>
      </c>
      <c r="AK67" s="3360"/>
      <c r="AL67" s="3341"/>
      <c r="AM67" s="3341"/>
      <c r="AN67" s="1981">
        <f t="shared" si="140"/>
        <v>0</v>
      </c>
      <c r="AO67" s="3509">
        <f t="shared" si="141"/>
        <v>0</v>
      </c>
      <c r="AP67" s="3360"/>
      <c r="AQ67" s="3341">
        <f>4800+6666.67</f>
        <v>11466.67</v>
      </c>
      <c r="AR67" s="3354"/>
      <c r="AS67" s="1981">
        <f t="shared" si="142"/>
        <v>11466.67</v>
      </c>
      <c r="AT67" s="3509">
        <f t="shared" si="143"/>
        <v>1.8185424478409961E-3</v>
      </c>
      <c r="AU67" s="3342" t="s">
        <v>1174</v>
      </c>
      <c r="AV67" s="1314"/>
      <c r="AW67" s="1314"/>
      <c r="AX67" s="1981">
        <f t="shared" si="144"/>
        <v>0</v>
      </c>
      <c r="AY67" s="3509">
        <f t="shared" si="145"/>
        <v>0</v>
      </c>
      <c r="AZ67" s="1434"/>
      <c r="BA67" s="1064"/>
      <c r="BB67" s="1314"/>
      <c r="BC67" s="1981">
        <f t="shared" si="146"/>
        <v>0</v>
      </c>
      <c r="BD67" s="3511">
        <f t="shared" si="34"/>
        <v>0</v>
      </c>
      <c r="BE67" s="1859"/>
      <c r="BF67" s="3354">
        <v>93149.04</v>
      </c>
      <c r="BG67" s="3341">
        <v>0</v>
      </c>
      <c r="BH67" s="2012">
        <v>93149.04</v>
      </c>
      <c r="BI67" s="3350">
        <v>7.1808433345636871E-2</v>
      </c>
      <c r="BJ67" s="3343"/>
      <c r="BK67" s="3354">
        <f t="shared" si="147"/>
        <v>0</v>
      </c>
      <c r="BL67" s="3341">
        <f t="shared" si="147"/>
        <v>0</v>
      </c>
      <c r="BM67" s="2012">
        <f t="shared" si="148"/>
        <v>0</v>
      </c>
      <c r="BN67" s="3350">
        <f t="shared" si="120"/>
        <v>0</v>
      </c>
      <c r="BO67" s="3343"/>
      <c r="BP67" s="1064"/>
      <c r="BQ67" s="1314"/>
      <c r="BR67" s="1981">
        <f t="shared" si="149"/>
        <v>0</v>
      </c>
      <c r="BS67" s="3432">
        <f t="shared" si="37"/>
        <v>0</v>
      </c>
      <c r="BT67" s="1859"/>
      <c r="BU67" s="3341"/>
      <c r="BV67" s="3341"/>
      <c r="BW67" s="2012">
        <f t="shared" si="150"/>
        <v>0</v>
      </c>
      <c r="BX67" s="3350">
        <f t="shared" si="121"/>
        <v>0</v>
      </c>
      <c r="BY67" s="3360"/>
      <c r="BZ67" s="3341"/>
      <c r="CA67" s="3341"/>
      <c r="CB67" s="2012">
        <f t="shared" si="151"/>
        <v>0</v>
      </c>
      <c r="CC67" s="3350">
        <f t="shared" si="122"/>
        <v>0</v>
      </c>
      <c r="CD67" s="3343"/>
      <c r="CE67" s="3341"/>
      <c r="CF67" s="3341"/>
      <c r="CG67" s="3349">
        <f t="shared" si="152"/>
        <v>0</v>
      </c>
      <c r="CH67" s="3350">
        <f t="shared" si="123"/>
        <v>0</v>
      </c>
      <c r="CI67" s="3343"/>
      <c r="CJ67" s="3341"/>
      <c r="CK67" s="3341"/>
      <c r="CL67" s="3341">
        <f t="shared" si="153"/>
        <v>0</v>
      </c>
      <c r="CM67" s="3350">
        <f t="shared" si="124"/>
        <v>0</v>
      </c>
      <c r="CN67" s="3343"/>
      <c r="CO67" s="3341"/>
      <c r="CP67" s="3341"/>
      <c r="CQ67" s="3341">
        <f t="shared" si="154"/>
        <v>0</v>
      </c>
      <c r="CR67" s="3350">
        <f t="shared" si="125"/>
        <v>0</v>
      </c>
      <c r="CS67" s="3343"/>
      <c r="CT67" s="3341"/>
      <c r="CU67" s="3341"/>
      <c r="CV67" s="3341">
        <f t="shared" si="155"/>
        <v>0</v>
      </c>
      <c r="CW67" s="3350">
        <f t="shared" si="126"/>
        <v>0</v>
      </c>
      <c r="CX67" s="3343"/>
      <c r="CY67" s="3341"/>
      <c r="CZ67" s="3341"/>
      <c r="DA67" s="3341">
        <f t="shared" si="156"/>
        <v>0</v>
      </c>
      <c r="DB67" s="3350">
        <f t="shared" si="127"/>
        <v>0</v>
      </c>
      <c r="DC67" s="3343"/>
      <c r="DD67" s="3341"/>
      <c r="DE67" s="3341"/>
      <c r="DF67" s="3341">
        <f t="shared" si="157"/>
        <v>0</v>
      </c>
      <c r="DG67" s="3350">
        <f t="shared" si="128"/>
        <v>0</v>
      </c>
      <c r="DH67" s="3493"/>
      <c r="DI67" s="3354"/>
      <c r="DJ67" s="3341"/>
      <c r="DK67" s="3341">
        <f t="shared" si="158"/>
        <v>0</v>
      </c>
      <c r="DL67" s="3350">
        <f t="shared" si="129"/>
        <v>0</v>
      </c>
      <c r="DM67" s="3493"/>
      <c r="DN67" s="3354"/>
      <c r="DO67" s="3341"/>
      <c r="DP67" s="3341">
        <f t="shared" si="159"/>
        <v>0</v>
      </c>
      <c r="DQ67" s="3350">
        <f t="shared" si="130"/>
        <v>0</v>
      </c>
      <c r="DR67" s="3493"/>
      <c r="DS67" s="3354"/>
      <c r="DT67" s="3341"/>
      <c r="DU67" s="3341">
        <f t="shared" si="160"/>
        <v>0</v>
      </c>
      <c r="DV67" s="3350">
        <f t="shared" si="131"/>
        <v>0</v>
      </c>
      <c r="DW67" s="3343"/>
      <c r="DX67" s="3428">
        <f t="shared" si="161"/>
        <v>107919.70999999999</v>
      </c>
      <c r="DY67" s="3428">
        <f t="shared" si="161"/>
        <v>9744.7999999999993</v>
      </c>
      <c r="DZ67" s="3349">
        <f t="shared" si="162"/>
        <v>117664.51</v>
      </c>
      <c r="EA67" s="3350" t="e">
        <f t="shared" si="132"/>
        <v>#DIV/0!</v>
      </c>
      <c r="EB67" s="3360"/>
      <c r="ED67" s="1345">
        <v>6851.33</v>
      </c>
      <c r="EE67" s="3494">
        <f t="shared" si="164"/>
        <v>6851.33</v>
      </c>
      <c r="EF67" s="3334"/>
    </row>
    <row r="68" spans="1:136" s="1396" customFormat="1" ht="13.95" customHeight="1">
      <c r="A68" s="1571"/>
      <c r="B68" s="3372" t="s">
        <v>5</v>
      </c>
      <c r="C68" s="3614"/>
      <c r="D68" s="3524">
        <v>1452</v>
      </c>
      <c r="E68" s="1064">
        <f t="shared" si="133"/>
        <v>1452</v>
      </c>
      <c r="F68" s="3350">
        <f t="shared" si="51"/>
        <v>5.5846805369435149E-4</v>
      </c>
      <c r="G68" s="3311"/>
      <c r="H68" s="3341">
        <v>0</v>
      </c>
      <c r="I68" s="3341">
        <v>29322.74</v>
      </c>
      <c r="J68" s="2012">
        <f t="shared" si="134"/>
        <v>29322.74</v>
      </c>
      <c r="K68" s="3350">
        <f t="shared" si="117"/>
        <v>2.307347781042436E-3</v>
      </c>
      <c r="L68" s="3360"/>
      <c r="M68" s="3490">
        <v>0</v>
      </c>
      <c r="N68" s="3490">
        <v>2414.6800000000003</v>
      </c>
      <c r="O68" s="3491">
        <v>2414.6800000000003</v>
      </c>
      <c r="P68" s="3516">
        <v>1.2528551863389079E-4</v>
      </c>
      <c r="Q68" s="1434"/>
      <c r="R68" s="3490"/>
      <c r="S68" s="3490"/>
      <c r="T68" s="3491">
        <f t="shared" si="135"/>
        <v>0</v>
      </c>
      <c r="U68" s="3516">
        <f t="shared" si="118"/>
        <v>0</v>
      </c>
      <c r="V68" s="3533"/>
      <c r="W68" s="3341"/>
      <c r="X68" s="3341">
        <v>531.65</v>
      </c>
      <c r="Y68" s="2012">
        <f t="shared" si="136"/>
        <v>531.65</v>
      </c>
      <c r="Z68" s="3350">
        <f t="shared" si="137"/>
        <v>4.0984806271978584E-4</v>
      </c>
      <c r="AA68" s="3360"/>
      <c r="AB68" s="3341">
        <v>891.28</v>
      </c>
      <c r="AC68" s="3341">
        <v>232</v>
      </c>
      <c r="AD68" s="2012">
        <f t="shared" si="138"/>
        <v>1123.28</v>
      </c>
      <c r="AE68" s="3350">
        <f t="shared" si="119"/>
        <v>1.3401956913184506E-3</v>
      </c>
      <c r="AF68" s="3360"/>
      <c r="AG68" s="3354">
        <v>585.1</v>
      </c>
      <c r="AH68" s="3341">
        <v>986.46</v>
      </c>
      <c r="AI68" s="1981">
        <f t="shared" si="139"/>
        <v>1571.56</v>
      </c>
      <c r="AJ68" s="3509">
        <f t="shared" si="7"/>
        <v>1.4528796001140227E-3</v>
      </c>
      <c r="AK68" s="3360" t="s">
        <v>546</v>
      </c>
      <c r="AL68" s="3341">
        <v>959.02</v>
      </c>
      <c r="AM68" s="3341">
        <v>872.16</v>
      </c>
      <c r="AN68" s="1981">
        <f t="shared" si="140"/>
        <v>1831.1799999999998</v>
      </c>
      <c r="AO68" s="3509">
        <f t="shared" si="141"/>
        <v>4.0291874638855073E-4</v>
      </c>
      <c r="AP68" s="3360"/>
      <c r="AQ68" s="3341">
        <f>8357.66+2756.25</f>
        <v>11113.91</v>
      </c>
      <c r="AR68" s="3354">
        <v>3593.7</v>
      </c>
      <c r="AS68" s="1981">
        <f t="shared" si="142"/>
        <v>14707.61</v>
      </c>
      <c r="AT68" s="3509">
        <f t="shared" si="143"/>
        <v>2.332535347340659E-3</v>
      </c>
      <c r="AU68" s="3342" t="s">
        <v>1164</v>
      </c>
      <c r="AV68" s="1314">
        <v>1256.26</v>
      </c>
      <c r="AW68" s="1314">
        <v>722.39</v>
      </c>
      <c r="AX68" s="1981">
        <f t="shared" si="144"/>
        <v>1978.65</v>
      </c>
      <c r="AY68" s="3509">
        <f t="shared" si="145"/>
        <v>3.1380156701296777E-4</v>
      </c>
      <c r="AZ68" s="1434"/>
      <c r="BA68" s="1064">
        <v>1025</v>
      </c>
      <c r="BB68" s="1314">
        <v>1452.76</v>
      </c>
      <c r="BC68" s="1981">
        <f t="shared" si="146"/>
        <v>2477.7600000000002</v>
      </c>
      <c r="BD68" s="3511">
        <f t="shared" si="34"/>
        <v>3.6540417728617196E-4</v>
      </c>
      <c r="BE68" s="1865" t="s">
        <v>562</v>
      </c>
      <c r="BF68" s="3354">
        <v>24721.980000000003</v>
      </c>
      <c r="BG68" s="3341">
        <v>32028.600000000002</v>
      </c>
      <c r="BH68" s="2012">
        <v>56750.58</v>
      </c>
      <c r="BI68" s="3350">
        <v>4.3748923673891146E-2</v>
      </c>
      <c r="BJ68" s="3343"/>
      <c r="BK68" s="3354">
        <f t="shared" si="147"/>
        <v>0</v>
      </c>
      <c r="BL68" s="3341">
        <f t="shared" si="147"/>
        <v>0</v>
      </c>
      <c r="BM68" s="2012">
        <f t="shared" si="148"/>
        <v>0</v>
      </c>
      <c r="BN68" s="3350">
        <f t="shared" si="120"/>
        <v>0</v>
      </c>
      <c r="BO68" s="3343"/>
      <c r="BP68" s="1064"/>
      <c r="BQ68" s="1314"/>
      <c r="BR68" s="1981">
        <f t="shared" si="149"/>
        <v>0</v>
      </c>
      <c r="BS68" s="3432">
        <f t="shared" si="37"/>
        <v>0</v>
      </c>
      <c r="BT68" s="1865"/>
      <c r="BU68" s="3341"/>
      <c r="BV68" s="3341"/>
      <c r="BW68" s="2012">
        <f t="shared" si="150"/>
        <v>0</v>
      </c>
      <c r="BX68" s="3350">
        <f t="shared" si="121"/>
        <v>0</v>
      </c>
      <c r="BY68" s="1865"/>
      <c r="BZ68" s="3341"/>
      <c r="CA68" s="3341"/>
      <c r="CB68" s="2012">
        <f t="shared" si="151"/>
        <v>0</v>
      </c>
      <c r="CC68" s="3350">
        <f t="shared" si="122"/>
        <v>0</v>
      </c>
      <c r="CD68" s="3343"/>
      <c r="CE68" s="3341"/>
      <c r="CF68" s="3341"/>
      <c r="CG68" s="3349">
        <f t="shared" si="152"/>
        <v>0</v>
      </c>
      <c r="CH68" s="3350">
        <f t="shared" si="123"/>
        <v>0</v>
      </c>
      <c r="CI68" s="3343"/>
      <c r="CJ68" s="3341"/>
      <c r="CK68" s="3341"/>
      <c r="CL68" s="3341">
        <f t="shared" si="153"/>
        <v>0</v>
      </c>
      <c r="CM68" s="3350">
        <f t="shared" si="124"/>
        <v>0</v>
      </c>
      <c r="CN68" s="3343"/>
      <c r="CO68" s="3341"/>
      <c r="CP68" s="3341"/>
      <c r="CQ68" s="3341">
        <f t="shared" si="154"/>
        <v>0</v>
      </c>
      <c r="CR68" s="3350">
        <f t="shared" si="125"/>
        <v>0</v>
      </c>
      <c r="CS68" s="3343"/>
      <c r="CT68" s="3341"/>
      <c r="CU68" s="3341"/>
      <c r="CV68" s="3341">
        <f t="shared" si="155"/>
        <v>0</v>
      </c>
      <c r="CW68" s="3350">
        <f t="shared" si="126"/>
        <v>0</v>
      </c>
      <c r="CX68" s="3343"/>
      <c r="CY68" s="3341"/>
      <c r="CZ68" s="3341"/>
      <c r="DA68" s="3341">
        <f t="shared" si="156"/>
        <v>0</v>
      </c>
      <c r="DB68" s="3350">
        <f t="shared" si="127"/>
        <v>0</v>
      </c>
      <c r="DC68" s="3343"/>
      <c r="DD68" s="3341"/>
      <c r="DE68" s="3341"/>
      <c r="DF68" s="3341">
        <f t="shared" si="157"/>
        <v>0</v>
      </c>
      <c r="DG68" s="3350">
        <f t="shared" si="128"/>
        <v>0</v>
      </c>
      <c r="DH68" s="3493"/>
      <c r="DI68" s="3354"/>
      <c r="DJ68" s="3341"/>
      <c r="DK68" s="3341">
        <f t="shared" si="158"/>
        <v>0</v>
      </c>
      <c r="DL68" s="3350">
        <f t="shared" si="129"/>
        <v>0</v>
      </c>
      <c r="DM68" s="3493"/>
      <c r="DN68" s="3354"/>
      <c r="DO68" s="3341"/>
      <c r="DP68" s="3341">
        <f t="shared" si="159"/>
        <v>0</v>
      </c>
      <c r="DQ68" s="3350">
        <f t="shared" si="130"/>
        <v>0</v>
      </c>
      <c r="DR68" s="3343"/>
      <c r="DS68" s="3354"/>
      <c r="DT68" s="3341"/>
      <c r="DU68" s="3341">
        <f t="shared" si="160"/>
        <v>0</v>
      </c>
      <c r="DV68" s="3350">
        <f t="shared" si="131"/>
        <v>0</v>
      </c>
      <c r="DW68" s="3343"/>
      <c r="DX68" s="3428">
        <f t="shared" si="161"/>
        <v>40552.550000000003</v>
      </c>
      <c r="DY68" s="3428">
        <f t="shared" si="161"/>
        <v>40419.72</v>
      </c>
      <c r="DZ68" s="3349">
        <f t="shared" si="162"/>
        <v>80972.27</v>
      </c>
      <c r="EA68" s="3350" t="e">
        <f t="shared" si="132"/>
        <v>#DIV/0!</v>
      </c>
      <c r="EB68" s="3360"/>
      <c r="ED68" s="1345">
        <v>46690.53</v>
      </c>
      <c r="EE68" s="3494">
        <f t="shared" si="164"/>
        <v>46690.53</v>
      </c>
      <c r="EF68" s="3334"/>
    </row>
    <row r="69" spans="1:136" s="1396" customFormat="1" ht="17.399999999999999" customHeight="1">
      <c r="A69" s="1571"/>
      <c r="B69" s="3372" t="s">
        <v>42</v>
      </c>
      <c r="C69" s="3614"/>
      <c r="D69" s="3524"/>
      <c r="E69" s="1064">
        <f t="shared" si="133"/>
        <v>0</v>
      </c>
      <c r="F69" s="3350">
        <f t="shared" si="51"/>
        <v>0</v>
      </c>
      <c r="G69" s="3311"/>
      <c r="H69" s="3341">
        <v>14920</v>
      </c>
      <c r="I69" s="3341">
        <v>0</v>
      </c>
      <c r="J69" s="2012">
        <f t="shared" si="134"/>
        <v>14920</v>
      </c>
      <c r="K69" s="3350">
        <f t="shared" si="117"/>
        <v>1.1740249681016556E-3</v>
      </c>
      <c r="L69" s="3360"/>
      <c r="M69" s="3490">
        <v>27960</v>
      </c>
      <c r="N69" s="3490">
        <v>0</v>
      </c>
      <c r="O69" s="3491">
        <v>27960</v>
      </c>
      <c r="P69" s="3516">
        <v>1.4507028264629622E-3</v>
      </c>
      <c r="Q69" s="1434"/>
      <c r="R69" s="3490"/>
      <c r="S69" s="3490"/>
      <c r="T69" s="3491">
        <f t="shared" si="135"/>
        <v>0</v>
      </c>
      <c r="U69" s="3516">
        <f t="shared" si="118"/>
        <v>0</v>
      </c>
      <c r="V69" s="3533"/>
      <c r="W69" s="3341"/>
      <c r="X69" s="3341"/>
      <c r="Y69" s="2012">
        <f t="shared" si="136"/>
        <v>0</v>
      </c>
      <c r="Z69" s="3350">
        <f>Y69/$Y$89</f>
        <v>0</v>
      </c>
      <c r="AA69" s="3421"/>
      <c r="AB69" s="3341"/>
      <c r="AC69" s="3341"/>
      <c r="AD69" s="2012">
        <f t="shared" si="138"/>
        <v>0</v>
      </c>
      <c r="AE69" s="3350">
        <f t="shared" si="119"/>
        <v>0</v>
      </c>
      <c r="AF69" s="3421"/>
      <c r="AG69" s="3428"/>
      <c r="AH69" s="3447"/>
      <c r="AI69" s="3645">
        <f t="shared" si="139"/>
        <v>0</v>
      </c>
      <c r="AJ69" s="3509">
        <f t="shared" si="7"/>
        <v>0</v>
      </c>
      <c r="AK69" s="3421"/>
      <c r="AL69" s="3428">
        <f>752+11880.5</f>
        <v>12632.5</v>
      </c>
      <c r="AM69" s="3447"/>
      <c r="AN69" s="3645">
        <f t="shared" si="140"/>
        <v>12632.5</v>
      </c>
      <c r="AO69" s="3509">
        <f t="shared" si="141"/>
        <v>2.7795580247454471E-3</v>
      </c>
      <c r="AP69" s="3342" t="s">
        <v>1153</v>
      </c>
      <c r="AQ69" s="3341"/>
      <c r="AR69" s="3354"/>
      <c r="AS69" s="3645">
        <f t="shared" si="142"/>
        <v>0</v>
      </c>
      <c r="AT69" s="3509">
        <f t="shared" si="143"/>
        <v>0</v>
      </c>
      <c r="AU69" s="3342"/>
      <c r="AV69" s="3646"/>
      <c r="AW69" s="1323"/>
      <c r="AX69" s="3645">
        <f t="shared" si="144"/>
        <v>0</v>
      </c>
      <c r="AY69" s="3509">
        <f t="shared" si="145"/>
        <v>0</v>
      </c>
      <c r="AZ69" s="1581"/>
      <c r="BA69" s="3614"/>
      <c r="BB69" s="1314"/>
      <c r="BC69" s="3645">
        <f t="shared" si="146"/>
        <v>0</v>
      </c>
      <c r="BD69" s="3511">
        <f t="shared" si="34"/>
        <v>0</v>
      </c>
      <c r="BE69" s="1860"/>
      <c r="BF69" s="3354">
        <v>0</v>
      </c>
      <c r="BG69" s="3341">
        <v>0</v>
      </c>
      <c r="BH69" s="2012">
        <v>0</v>
      </c>
      <c r="BI69" s="3350">
        <v>0</v>
      </c>
      <c r="BJ69" s="3343"/>
      <c r="BK69" s="3354">
        <f t="shared" si="147"/>
        <v>0</v>
      </c>
      <c r="BL69" s="3341">
        <f t="shared" si="147"/>
        <v>0</v>
      </c>
      <c r="BM69" s="2012">
        <f t="shared" si="148"/>
        <v>0</v>
      </c>
      <c r="BN69" s="3350">
        <f t="shared" si="120"/>
        <v>0</v>
      </c>
      <c r="BO69" s="3343"/>
      <c r="BP69" s="3614"/>
      <c r="BQ69" s="1314"/>
      <c r="BR69" s="3645">
        <f t="shared" si="149"/>
        <v>0</v>
      </c>
      <c r="BS69" s="3432">
        <f t="shared" si="37"/>
        <v>0</v>
      </c>
      <c r="BT69" s="1860"/>
      <c r="BU69" s="3341"/>
      <c r="BV69" s="3341"/>
      <c r="BW69" s="2012">
        <f t="shared" si="150"/>
        <v>0</v>
      </c>
      <c r="BX69" s="3350">
        <f t="shared" si="121"/>
        <v>0</v>
      </c>
      <c r="BY69" s="3341"/>
      <c r="BZ69" s="3341"/>
      <c r="CA69" s="3341"/>
      <c r="CB69" s="2012">
        <f t="shared" si="151"/>
        <v>0</v>
      </c>
      <c r="CC69" s="3350">
        <f t="shared" si="122"/>
        <v>0</v>
      </c>
      <c r="CD69" s="3343"/>
      <c r="CE69" s="3341"/>
      <c r="CF69" s="3341"/>
      <c r="CG69" s="3349">
        <f t="shared" si="152"/>
        <v>0</v>
      </c>
      <c r="CH69" s="3350">
        <f t="shared" si="123"/>
        <v>0</v>
      </c>
      <c r="CI69" s="3343"/>
      <c r="CJ69" s="3341"/>
      <c r="CK69" s="3341"/>
      <c r="CL69" s="3341">
        <f t="shared" si="153"/>
        <v>0</v>
      </c>
      <c r="CM69" s="3350">
        <f t="shared" si="124"/>
        <v>0</v>
      </c>
      <c r="CN69" s="3343"/>
      <c r="CO69" s="3341"/>
      <c r="CP69" s="3341"/>
      <c r="CQ69" s="3341">
        <f t="shared" si="154"/>
        <v>0</v>
      </c>
      <c r="CR69" s="3350">
        <f t="shared" si="125"/>
        <v>0</v>
      </c>
      <c r="CS69" s="3343"/>
      <c r="CT69" s="3341"/>
      <c r="CU69" s="3341"/>
      <c r="CV69" s="3341">
        <f t="shared" si="155"/>
        <v>0</v>
      </c>
      <c r="CW69" s="3350">
        <f t="shared" si="126"/>
        <v>0</v>
      </c>
      <c r="CX69" s="3343"/>
      <c r="CY69" s="3341"/>
      <c r="CZ69" s="3341"/>
      <c r="DA69" s="3341">
        <f t="shared" si="156"/>
        <v>0</v>
      </c>
      <c r="DB69" s="3350">
        <f t="shared" si="127"/>
        <v>0</v>
      </c>
      <c r="DC69" s="3343"/>
      <c r="DD69" s="3341"/>
      <c r="DE69" s="3341"/>
      <c r="DF69" s="3341">
        <f t="shared" si="157"/>
        <v>0</v>
      </c>
      <c r="DG69" s="3350">
        <f t="shared" si="128"/>
        <v>0</v>
      </c>
      <c r="DH69" s="3493"/>
      <c r="DI69" s="3354"/>
      <c r="DJ69" s="3341"/>
      <c r="DK69" s="3341">
        <f t="shared" si="158"/>
        <v>0</v>
      </c>
      <c r="DL69" s="3350">
        <f t="shared" si="129"/>
        <v>0</v>
      </c>
      <c r="DM69" s="3493"/>
      <c r="DN69" s="3354"/>
      <c r="DO69" s="3341"/>
      <c r="DP69" s="3341">
        <f t="shared" si="159"/>
        <v>0</v>
      </c>
      <c r="DQ69" s="3350">
        <f t="shared" si="130"/>
        <v>0</v>
      </c>
      <c r="DR69" s="3343"/>
      <c r="DS69" s="3354"/>
      <c r="DT69" s="3341"/>
      <c r="DU69" s="3341">
        <f t="shared" si="160"/>
        <v>0</v>
      </c>
      <c r="DV69" s="3350">
        <f t="shared" si="131"/>
        <v>0</v>
      </c>
      <c r="DW69" s="3343"/>
      <c r="DX69" s="3428">
        <f t="shared" si="161"/>
        <v>12632.5</v>
      </c>
      <c r="DY69" s="3428">
        <f t="shared" si="161"/>
        <v>0</v>
      </c>
      <c r="DZ69" s="3349">
        <f t="shared" si="162"/>
        <v>12632.5</v>
      </c>
      <c r="EA69" s="3350" t="e">
        <f t="shared" si="132"/>
        <v>#DIV/0!</v>
      </c>
      <c r="EB69" s="3360"/>
      <c r="ED69" s="1345">
        <v>4050</v>
      </c>
      <c r="EE69" s="3494"/>
      <c r="EF69" s="3334" t="s">
        <v>1849</v>
      </c>
    </row>
    <row r="70" spans="1:136" s="1396" customFormat="1" ht="40.950000000000003" customHeight="1">
      <c r="A70" s="1571"/>
      <c r="B70" s="3372" t="s">
        <v>6</v>
      </c>
      <c r="C70" s="3614"/>
      <c r="D70" s="3524"/>
      <c r="E70" s="1064">
        <f t="shared" si="133"/>
        <v>0</v>
      </c>
      <c r="F70" s="3350">
        <f t="shared" si="51"/>
        <v>0</v>
      </c>
      <c r="G70" s="3311"/>
      <c r="H70" s="3341">
        <v>0</v>
      </c>
      <c r="I70" s="3341">
        <v>14000</v>
      </c>
      <c r="J70" s="2012">
        <f t="shared" si="134"/>
        <v>14000</v>
      </c>
      <c r="K70" s="3350">
        <f t="shared" si="117"/>
        <v>1.1016320076020897E-3</v>
      </c>
      <c r="L70" s="3360"/>
      <c r="M70" s="3490">
        <v>0</v>
      </c>
      <c r="N70" s="3490">
        <v>30000</v>
      </c>
      <c r="O70" s="3491">
        <v>30000</v>
      </c>
      <c r="P70" s="3516">
        <v>1.5565480970632642E-3</v>
      </c>
      <c r="Q70" s="1434"/>
      <c r="R70" s="3490"/>
      <c r="S70" s="3490">
        <v>14000</v>
      </c>
      <c r="T70" s="3491">
        <f t="shared" si="135"/>
        <v>14000</v>
      </c>
      <c r="U70" s="3516">
        <f t="shared" si="118"/>
        <v>1.0792575713490082E-2</v>
      </c>
      <c r="V70" s="3536"/>
      <c r="W70" s="3341"/>
      <c r="X70" s="3341"/>
      <c r="Y70" s="2012">
        <f t="shared" si="136"/>
        <v>0</v>
      </c>
      <c r="Z70" s="3350">
        <f t="shared" si="137"/>
        <v>0</v>
      </c>
      <c r="AA70" s="3360"/>
      <c r="AB70" s="3341"/>
      <c r="AC70" s="3341"/>
      <c r="AD70" s="2012">
        <f t="shared" si="138"/>
        <v>0</v>
      </c>
      <c r="AE70" s="3350">
        <f t="shared" si="119"/>
        <v>0</v>
      </c>
      <c r="AF70" s="3360"/>
      <c r="AG70" s="3354"/>
      <c r="AH70" s="3341"/>
      <c r="AI70" s="1981">
        <f t="shared" si="139"/>
        <v>0</v>
      </c>
      <c r="AJ70" s="3509">
        <f t="shared" si="7"/>
        <v>0</v>
      </c>
      <c r="AK70" s="3360"/>
      <c r="AL70" s="3354"/>
      <c r="AM70" s="3341"/>
      <c r="AN70" s="1981">
        <f t="shared" si="140"/>
        <v>0</v>
      </c>
      <c r="AO70" s="3509">
        <f t="shared" si="141"/>
        <v>0</v>
      </c>
      <c r="AP70" s="3360"/>
      <c r="AQ70" s="3341"/>
      <c r="AR70" s="3354"/>
      <c r="AS70" s="1981">
        <f t="shared" si="142"/>
        <v>0</v>
      </c>
      <c r="AT70" s="3509">
        <f t="shared" si="143"/>
        <v>0</v>
      </c>
      <c r="AU70" s="3342"/>
      <c r="AV70" s="1314"/>
      <c r="AW70" s="1314"/>
      <c r="AX70" s="1981">
        <f t="shared" si="144"/>
        <v>0</v>
      </c>
      <c r="AY70" s="3509">
        <f t="shared" si="145"/>
        <v>0</v>
      </c>
      <c r="AZ70" s="1434"/>
      <c r="BA70" s="1064"/>
      <c r="BB70" s="1314">
        <v>1779.64</v>
      </c>
      <c r="BC70" s="1981">
        <f t="shared" si="146"/>
        <v>1779.64</v>
      </c>
      <c r="BD70" s="3511">
        <f t="shared" si="34"/>
        <v>2.624499104294052E-4</v>
      </c>
      <c r="BE70" s="3512" t="s">
        <v>1234</v>
      </c>
      <c r="BF70" s="3354">
        <v>0</v>
      </c>
      <c r="BG70" s="3341">
        <v>52427.479999999996</v>
      </c>
      <c r="BH70" s="2012">
        <v>52427.479999999996</v>
      </c>
      <c r="BI70" s="3350">
        <v>4.0416253383391929E-2</v>
      </c>
      <c r="BJ70" s="3343"/>
      <c r="BK70" s="3354">
        <f t="shared" si="147"/>
        <v>0</v>
      </c>
      <c r="BL70" s="3341">
        <f t="shared" si="147"/>
        <v>0</v>
      </c>
      <c r="BM70" s="2012">
        <f t="shared" si="148"/>
        <v>0</v>
      </c>
      <c r="BN70" s="3350">
        <f t="shared" si="120"/>
        <v>0</v>
      </c>
      <c r="BO70" s="3343"/>
      <c r="BP70" s="1064"/>
      <c r="BQ70" s="1314"/>
      <c r="BR70" s="1981">
        <f t="shared" si="149"/>
        <v>0</v>
      </c>
      <c r="BS70" s="3432">
        <f t="shared" si="37"/>
        <v>0</v>
      </c>
      <c r="BT70" s="3512"/>
      <c r="BU70" s="3341"/>
      <c r="BV70" s="3341"/>
      <c r="BW70" s="2012">
        <f t="shared" si="150"/>
        <v>0</v>
      </c>
      <c r="BX70" s="3350">
        <f t="shared" si="121"/>
        <v>0</v>
      </c>
      <c r="BY70" s="3359"/>
      <c r="BZ70" s="3341"/>
      <c r="CA70" s="3341"/>
      <c r="CB70" s="2012">
        <f t="shared" si="151"/>
        <v>0</v>
      </c>
      <c r="CC70" s="3350">
        <f t="shared" si="122"/>
        <v>0</v>
      </c>
      <c r="CD70" s="3343"/>
      <c r="CE70" s="3341"/>
      <c r="CF70" s="3341"/>
      <c r="CG70" s="3349">
        <f t="shared" si="152"/>
        <v>0</v>
      </c>
      <c r="CH70" s="3350">
        <f t="shared" si="123"/>
        <v>0</v>
      </c>
      <c r="CI70" s="3343"/>
      <c r="CJ70" s="3341"/>
      <c r="CK70" s="3341"/>
      <c r="CL70" s="3341">
        <f t="shared" si="153"/>
        <v>0</v>
      </c>
      <c r="CM70" s="3350">
        <f t="shared" si="124"/>
        <v>0</v>
      </c>
      <c r="CN70" s="3343"/>
      <c r="CO70" s="3341"/>
      <c r="CP70" s="3341"/>
      <c r="CQ70" s="3341">
        <f t="shared" si="154"/>
        <v>0</v>
      </c>
      <c r="CR70" s="3350">
        <f t="shared" si="125"/>
        <v>0</v>
      </c>
      <c r="CS70" s="3343"/>
      <c r="CT70" s="3341"/>
      <c r="CU70" s="3341"/>
      <c r="CV70" s="3341">
        <f t="shared" si="155"/>
        <v>0</v>
      </c>
      <c r="CW70" s="3350">
        <f t="shared" si="126"/>
        <v>0</v>
      </c>
      <c r="CX70" s="3343"/>
      <c r="CY70" s="3341"/>
      <c r="CZ70" s="3341"/>
      <c r="DA70" s="3341">
        <f t="shared" si="156"/>
        <v>0</v>
      </c>
      <c r="DB70" s="3350">
        <f t="shared" si="127"/>
        <v>0</v>
      </c>
      <c r="DC70" s="3360"/>
      <c r="DD70" s="3341"/>
      <c r="DE70" s="3341"/>
      <c r="DF70" s="3341">
        <f t="shared" si="157"/>
        <v>0</v>
      </c>
      <c r="DG70" s="3350">
        <f t="shared" si="128"/>
        <v>0</v>
      </c>
      <c r="DH70" s="3493"/>
      <c r="DI70" s="3354"/>
      <c r="DJ70" s="3341"/>
      <c r="DK70" s="3341">
        <f t="shared" si="158"/>
        <v>0</v>
      </c>
      <c r="DL70" s="3350">
        <f t="shared" si="129"/>
        <v>0</v>
      </c>
      <c r="DM70" s="3493"/>
      <c r="DN70" s="3354"/>
      <c r="DO70" s="3341"/>
      <c r="DP70" s="3341">
        <f t="shared" si="159"/>
        <v>0</v>
      </c>
      <c r="DQ70" s="3350">
        <f t="shared" si="130"/>
        <v>0</v>
      </c>
      <c r="DR70" s="3343"/>
      <c r="DS70" s="3354"/>
      <c r="DT70" s="3341"/>
      <c r="DU70" s="3341">
        <f t="shared" si="160"/>
        <v>0</v>
      </c>
      <c r="DV70" s="3350">
        <f t="shared" si="131"/>
        <v>0</v>
      </c>
      <c r="DW70" s="3360"/>
      <c r="DX70" s="3428">
        <f t="shared" si="161"/>
        <v>0</v>
      </c>
      <c r="DY70" s="3428">
        <f t="shared" si="161"/>
        <v>68207.12</v>
      </c>
      <c r="DZ70" s="3349">
        <f t="shared" si="162"/>
        <v>68207.12</v>
      </c>
      <c r="EA70" s="3350" t="e">
        <f t="shared" si="132"/>
        <v>#DIV/0!</v>
      </c>
      <c r="EB70" s="3360"/>
      <c r="ED70" s="1345">
        <v>57427.09</v>
      </c>
      <c r="EE70" s="3494">
        <f t="shared" ref="EE70" si="165">ED70-BM70</f>
        <v>57427.09</v>
      </c>
      <c r="EF70" s="3334"/>
    </row>
    <row r="71" spans="1:136" s="1396" customFormat="1" ht="13.95" customHeight="1">
      <c r="A71" s="1571"/>
      <c r="B71" s="3372" t="s">
        <v>78</v>
      </c>
      <c r="C71" s="3614"/>
      <c r="D71" s="3524"/>
      <c r="E71" s="1064">
        <f t="shared" si="133"/>
        <v>0</v>
      </c>
      <c r="F71" s="3350">
        <f t="shared" si="51"/>
        <v>0</v>
      </c>
      <c r="G71" s="3316"/>
      <c r="H71" s="3341">
        <v>0</v>
      </c>
      <c r="I71" s="3341">
        <v>0</v>
      </c>
      <c r="J71" s="2012">
        <f t="shared" si="134"/>
        <v>0</v>
      </c>
      <c r="K71" s="3350">
        <f t="shared" si="117"/>
        <v>0</v>
      </c>
      <c r="L71" s="3360"/>
      <c r="M71" s="3490">
        <v>0</v>
      </c>
      <c r="N71" s="3490">
        <v>0</v>
      </c>
      <c r="O71" s="3491">
        <v>0</v>
      </c>
      <c r="P71" s="3516">
        <v>0</v>
      </c>
      <c r="Q71" s="1434"/>
      <c r="R71" s="3490"/>
      <c r="S71" s="3490"/>
      <c r="T71" s="3491">
        <f t="shared" si="135"/>
        <v>0</v>
      </c>
      <c r="U71" s="3516">
        <f t="shared" si="118"/>
        <v>0</v>
      </c>
      <c r="V71" s="3533"/>
      <c r="W71" s="3341"/>
      <c r="X71" s="3341"/>
      <c r="Y71" s="2012">
        <f t="shared" si="136"/>
        <v>0</v>
      </c>
      <c r="Z71" s="3350">
        <f t="shared" si="137"/>
        <v>0</v>
      </c>
      <c r="AA71" s="3360"/>
      <c r="AB71" s="3341"/>
      <c r="AC71" s="3341"/>
      <c r="AD71" s="2012">
        <f t="shared" si="138"/>
        <v>0</v>
      </c>
      <c r="AE71" s="3350">
        <f t="shared" si="119"/>
        <v>0</v>
      </c>
      <c r="AF71" s="3360"/>
      <c r="AG71" s="3354"/>
      <c r="AH71" s="3341"/>
      <c r="AI71" s="1981">
        <f t="shared" si="139"/>
        <v>0</v>
      </c>
      <c r="AJ71" s="3509">
        <f t="shared" si="7"/>
        <v>0</v>
      </c>
      <c r="AK71" s="3360"/>
      <c r="AL71" s="3354"/>
      <c r="AM71" s="3341"/>
      <c r="AN71" s="1981">
        <f t="shared" si="140"/>
        <v>0</v>
      </c>
      <c r="AO71" s="3509">
        <f t="shared" si="141"/>
        <v>0</v>
      </c>
      <c r="AP71" s="3360"/>
      <c r="AQ71" s="3341"/>
      <c r="AR71" s="3354"/>
      <c r="AS71" s="1981">
        <f t="shared" si="142"/>
        <v>0</v>
      </c>
      <c r="AT71" s="3509">
        <f t="shared" si="143"/>
        <v>0</v>
      </c>
      <c r="AU71" s="3342"/>
      <c r="AV71" s="1434"/>
      <c r="AW71" s="1434"/>
      <c r="AX71" s="1981">
        <f t="shared" si="144"/>
        <v>0</v>
      </c>
      <c r="AY71" s="3509">
        <f t="shared" si="145"/>
        <v>0</v>
      </c>
      <c r="AZ71" s="1434"/>
      <c r="BA71" s="1060"/>
      <c r="BB71" s="1434"/>
      <c r="BC71" s="1981">
        <f t="shared" si="146"/>
        <v>0</v>
      </c>
      <c r="BD71" s="3511">
        <f t="shared" si="34"/>
        <v>0</v>
      </c>
      <c r="BE71" s="1060"/>
      <c r="BF71" s="3354">
        <v>0</v>
      </c>
      <c r="BG71" s="3341">
        <v>0</v>
      </c>
      <c r="BH71" s="2012">
        <v>0</v>
      </c>
      <c r="BI71" s="3350">
        <v>0</v>
      </c>
      <c r="BJ71" s="3343"/>
      <c r="BK71" s="3354">
        <f t="shared" si="147"/>
        <v>0</v>
      </c>
      <c r="BL71" s="3341">
        <f t="shared" si="147"/>
        <v>0</v>
      </c>
      <c r="BM71" s="2012">
        <f t="shared" si="148"/>
        <v>0</v>
      </c>
      <c r="BN71" s="3350">
        <f t="shared" si="120"/>
        <v>0</v>
      </c>
      <c r="BO71" s="3343"/>
      <c r="BP71" s="1060"/>
      <c r="BQ71" s="1434"/>
      <c r="BR71" s="1981">
        <f t="shared" si="149"/>
        <v>0</v>
      </c>
      <c r="BS71" s="3432">
        <f t="shared" si="37"/>
        <v>0</v>
      </c>
      <c r="BT71" s="1060"/>
      <c r="BU71" s="3341"/>
      <c r="BV71" s="3341"/>
      <c r="BW71" s="2012">
        <f t="shared" si="150"/>
        <v>0</v>
      </c>
      <c r="BX71" s="3350">
        <f t="shared" si="121"/>
        <v>0</v>
      </c>
      <c r="BY71" s="3341"/>
      <c r="BZ71" s="3341"/>
      <c r="CA71" s="3341"/>
      <c r="CB71" s="2012">
        <f t="shared" si="151"/>
        <v>0</v>
      </c>
      <c r="CC71" s="3350">
        <f t="shared" si="122"/>
        <v>0</v>
      </c>
      <c r="CD71" s="3341"/>
      <c r="CE71" s="3341"/>
      <c r="CF71" s="3341"/>
      <c r="CG71" s="3349">
        <f t="shared" si="152"/>
        <v>0</v>
      </c>
      <c r="CH71" s="3350">
        <f t="shared" si="123"/>
        <v>0</v>
      </c>
      <c r="CI71" s="3341"/>
      <c r="CJ71" s="3341"/>
      <c r="CK71" s="3341"/>
      <c r="CL71" s="2012">
        <f t="shared" si="153"/>
        <v>0</v>
      </c>
      <c r="CM71" s="3350">
        <f t="shared" si="124"/>
        <v>0</v>
      </c>
      <c r="CN71" s="3341"/>
      <c r="CO71" s="3341"/>
      <c r="CP71" s="3341"/>
      <c r="CQ71" s="2012">
        <f t="shared" si="154"/>
        <v>0</v>
      </c>
      <c r="CR71" s="3350">
        <f t="shared" si="125"/>
        <v>0</v>
      </c>
      <c r="CS71" s="3341"/>
      <c r="CT71" s="3341"/>
      <c r="CU71" s="3341"/>
      <c r="CV71" s="2012">
        <f t="shared" si="155"/>
        <v>0</v>
      </c>
      <c r="CW71" s="3350">
        <f t="shared" si="126"/>
        <v>0</v>
      </c>
      <c r="CX71" s="3341"/>
      <c r="CY71" s="3341"/>
      <c r="CZ71" s="3341"/>
      <c r="DA71" s="2012">
        <f t="shared" si="156"/>
        <v>0</v>
      </c>
      <c r="DB71" s="3350">
        <f t="shared" si="127"/>
        <v>0</v>
      </c>
      <c r="DC71" s="3341"/>
      <c r="DD71" s="3341"/>
      <c r="DE71" s="3341"/>
      <c r="DF71" s="3341">
        <f t="shared" si="157"/>
        <v>0</v>
      </c>
      <c r="DG71" s="3350">
        <f t="shared" si="128"/>
        <v>0</v>
      </c>
      <c r="DH71" s="3434"/>
      <c r="DI71" s="3354"/>
      <c r="DJ71" s="3341"/>
      <c r="DK71" s="3341">
        <f t="shared" si="158"/>
        <v>0</v>
      </c>
      <c r="DL71" s="3350">
        <f t="shared" si="129"/>
        <v>0</v>
      </c>
      <c r="DM71" s="3434"/>
      <c r="DN71" s="3354"/>
      <c r="DO71" s="3341"/>
      <c r="DP71" s="3341">
        <f t="shared" si="159"/>
        <v>0</v>
      </c>
      <c r="DQ71" s="3350">
        <f t="shared" si="130"/>
        <v>0</v>
      </c>
      <c r="DR71" s="3341"/>
      <c r="DS71" s="3354"/>
      <c r="DT71" s="3341"/>
      <c r="DU71" s="3341">
        <f t="shared" si="160"/>
        <v>0</v>
      </c>
      <c r="DV71" s="3350">
        <f t="shared" si="131"/>
        <v>0</v>
      </c>
      <c r="DW71" s="3341"/>
      <c r="DX71" s="3354">
        <f>R71+W71+AB71+AG71+AL71+AQ71+AV71+BA71+BP71+BU71+BZ71+CE71+CJ71+CO71+CT71+CY71+DD71+DI71+DN71+DS71</f>
        <v>0</v>
      </c>
      <c r="DY71" s="3354">
        <f>S71+X71+AC71+AH71+AM71+AR71+AW71+BB71+BQ71+BV71+CA71+CF71+CK71+CP71+CU71+CZ71+DE71+DJ71+DO71+DT71</f>
        <v>0</v>
      </c>
      <c r="DZ71" s="2012">
        <f t="shared" si="162"/>
        <v>0</v>
      </c>
      <c r="EA71" s="3350" t="e">
        <f t="shared" si="132"/>
        <v>#DIV/0!</v>
      </c>
      <c r="EB71" s="3360"/>
      <c r="ED71" s="3354"/>
      <c r="EE71" s="3494"/>
      <c r="EF71" s="3489"/>
    </row>
    <row r="72" spans="1:136" s="1396" customFormat="1" ht="14.4" customHeight="1" thickBot="1">
      <c r="A72" s="1571"/>
      <c r="B72" s="3372"/>
      <c r="C72" s="3647"/>
      <c r="D72" s="3648"/>
      <c r="E72" s="3649"/>
      <c r="F72" s="3650">
        <f t="shared" si="51"/>
        <v>0</v>
      </c>
      <c r="G72" s="3327"/>
      <c r="H72" s="3349">
        <v>0</v>
      </c>
      <c r="I72" s="3349">
        <v>0</v>
      </c>
      <c r="J72" s="2012"/>
      <c r="K72" s="3350">
        <f t="shared" si="117"/>
        <v>0</v>
      </c>
      <c r="L72" s="3360"/>
      <c r="M72" s="3490">
        <v>0</v>
      </c>
      <c r="N72" s="3490">
        <v>0</v>
      </c>
      <c r="O72" s="3491"/>
      <c r="P72" s="3516">
        <v>0</v>
      </c>
      <c r="Q72" s="1434"/>
      <c r="R72" s="3490"/>
      <c r="S72" s="3490"/>
      <c r="T72" s="3491"/>
      <c r="U72" s="3516">
        <v>0</v>
      </c>
      <c r="V72" s="3533"/>
      <c r="W72" s="3341"/>
      <c r="X72" s="3341"/>
      <c r="Y72" s="2012"/>
      <c r="Z72" s="3350">
        <f>Y72/$J$89</f>
        <v>0</v>
      </c>
      <c r="AA72" s="3360"/>
      <c r="AB72" s="3341"/>
      <c r="AC72" s="3341"/>
      <c r="AD72" s="2012"/>
      <c r="AE72" s="3350">
        <f>AD72/$J$89</f>
        <v>0</v>
      </c>
      <c r="AF72" s="3360"/>
      <c r="AG72" s="3354"/>
      <c r="AH72" s="3341"/>
      <c r="AI72" s="1981"/>
      <c r="AJ72" s="3509"/>
      <c r="AK72" s="3360"/>
      <c r="AL72" s="3429"/>
      <c r="AM72" s="3345"/>
      <c r="AN72" s="1981"/>
      <c r="AO72" s="3318">
        <f>AN72/$AI$89</f>
        <v>0</v>
      </c>
      <c r="AP72" s="3304"/>
      <c r="AQ72" s="1313"/>
      <c r="AR72" s="1313"/>
      <c r="AS72" s="1981"/>
      <c r="AT72" s="3318">
        <f>AS72/$AI$89</f>
        <v>0</v>
      </c>
      <c r="AU72" s="1313"/>
      <c r="AV72" s="1313"/>
      <c r="AW72" s="1313"/>
      <c r="AX72" s="1989"/>
      <c r="AY72" s="3318">
        <f>AX72/$AI$89</f>
        <v>0</v>
      </c>
      <c r="AZ72" s="1313"/>
      <c r="BA72" s="1864"/>
      <c r="BB72" s="1313"/>
      <c r="BC72" s="1989"/>
      <c r="BD72" s="3319">
        <f t="shared" si="34"/>
        <v>0</v>
      </c>
      <c r="BE72" s="1864"/>
      <c r="BF72" s="3429"/>
      <c r="BG72" s="3345"/>
      <c r="BH72" s="2030"/>
      <c r="BI72" s="3303"/>
      <c r="BJ72" s="3304"/>
      <c r="BK72" s="3429"/>
      <c r="BL72" s="3345"/>
      <c r="BM72" s="2030"/>
      <c r="BN72" s="3303"/>
      <c r="BO72" s="3304"/>
      <c r="BP72" s="1864"/>
      <c r="BQ72" s="1313"/>
      <c r="BR72" s="1989"/>
      <c r="BS72" s="3651">
        <f t="shared" si="37"/>
        <v>0</v>
      </c>
      <c r="BT72" s="1864"/>
      <c r="BU72" s="3345"/>
      <c r="BV72" s="3345"/>
      <c r="BW72" s="2030"/>
      <c r="BX72" s="3303"/>
      <c r="BY72" s="3304"/>
      <c r="BZ72" s="3345"/>
      <c r="CA72" s="3345"/>
      <c r="CB72" s="2030"/>
      <c r="CC72" s="3303"/>
      <c r="CD72" s="3304"/>
      <c r="CE72" s="3345"/>
      <c r="CF72" s="3345"/>
      <c r="CG72" s="2030"/>
      <c r="CH72" s="3303"/>
      <c r="CI72" s="3304"/>
      <c r="CJ72" s="3345"/>
      <c r="CK72" s="3345"/>
      <c r="CL72" s="2030"/>
      <c r="CM72" s="3303"/>
      <c r="CN72" s="3304"/>
      <c r="CO72" s="3345"/>
      <c r="CP72" s="3345"/>
      <c r="CQ72" s="2030"/>
      <c r="CR72" s="3303"/>
      <c r="CS72" s="3304"/>
      <c r="CT72" s="3345"/>
      <c r="CU72" s="3345"/>
      <c r="CV72" s="2030"/>
      <c r="CW72" s="3303"/>
      <c r="CX72" s="3304"/>
      <c r="CY72" s="3345"/>
      <c r="CZ72" s="3345"/>
      <c r="DA72" s="2030"/>
      <c r="DB72" s="3303"/>
      <c r="DC72" s="1313"/>
      <c r="DD72" s="3345"/>
      <c r="DE72" s="3345"/>
      <c r="DF72" s="2030"/>
      <c r="DG72" s="3303"/>
      <c r="DH72" s="2213"/>
      <c r="DI72" s="3429"/>
      <c r="DJ72" s="3345"/>
      <c r="DK72" s="2030"/>
      <c r="DL72" s="3303"/>
      <c r="DM72" s="2213"/>
      <c r="DN72" s="3429"/>
      <c r="DO72" s="3345"/>
      <c r="DP72" s="2030"/>
      <c r="DQ72" s="3303"/>
      <c r="DR72" s="1313"/>
      <c r="DS72" s="3429"/>
      <c r="DT72" s="3345"/>
      <c r="DU72" s="2030"/>
      <c r="DV72" s="3303"/>
      <c r="DW72" s="1313"/>
      <c r="DX72" s="3429">
        <f>W72+AB72</f>
        <v>0</v>
      </c>
      <c r="DY72" s="3345">
        <f>X72+AC72</f>
        <v>0</v>
      </c>
      <c r="DZ72" s="2030"/>
      <c r="EA72" s="3303">
        <f>DZ72/$J$89</f>
        <v>0</v>
      </c>
      <c r="EB72" s="3304"/>
      <c r="ED72" s="3429"/>
      <c r="EE72" s="3429"/>
      <c r="EF72" s="3489"/>
    </row>
    <row r="73" spans="1:136" s="1396" customFormat="1" ht="14.4" thickBot="1">
      <c r="A73" s="1571"/>
      <c r="B73" s="3384" t="s">
        <v>4</v>
      </c>
      <c r="C73" s="3465">
        <f>C74</f>
        <v>0</v>
      </c>
      <c r="D73" s="3385">
        <f>D74</f>
        <v>0</v>
      </c>
      <c r="E73" s="3385">
        <f>E74</f>
        <v>0</v>
      </c>
      <c r="F73" s="3652">
        <f t="shared" si="51"/>
        <v>0</v>
      </c>
      <c r="G73" s="3328"/>
      <c r="H73" s="2844">
        <f>H74</f>
        <v>0</v>
      </c>
      <c r="I73" s="3385">
        <f>I74</f>
        <v>0</v>
      </c>
      <c r="J73" s="2006">
        <f>J74</f>
        <v>0</v>
      </c>
      <c r="K73" s="3385"/>
      <c r="L73" s="3385"/>
      <c r="M73" s="3653">
        <v>0</v>
      </c>
      <c r="N73" s="3654">
        <v>0</v>
      </c>
      <c r="O73" s="3641">
        <v>0</v>
      </c>
      <c r="P73" s="3654">
        <v>0</v>
      </c>
      <c r="Q73" s="3308"/>
      <c r="R73" s="3653">
        <f>R74</f>
        <v>0</v>
      </c>
      <c r="S73" s="3654">
        <f>S74</f>
        <v>0</v>
      </c>
      <c r="T73" s="3641">
        <f>T74</f>
        <v>0</v>
      </c>
      <c r="U73" s="3654">
        <f>T73/$T$89</f>
        <v>0</v>
      </c>
      <c r="V73" s="3654"/>
      <c r="W73" s="2844">
        <f>W74</f>
        <v>0</v>
      </c>
      <c r="X73" s="3385">
        <f>X74</f>
        <v>0</v>
      </c>
      <c r="Y73" s="2006">
        <f>Y74</f>
        <v>0</v>
      </c>
      <c r="Z73" s="3385">
        <f>Y73/$T$89</f>
        <v>0</v>
      </c>
      <c r="AA73" s="3385"/>
      <c r="AB73" s="2844">
        <f>AB74</f>
        <v>9790.3799999999992</v>
      </c>
      <c r="AC73" s="3385">
        <f>AC74</f>
        <v>0</v>
      </c>
      <c r="AD73" s="2006">
        <f>AD74</f>
        <v>9790.3799999999992</v>
      </c>
      <c r="AE73" s="3385">
        <f>AD73/$AD$89</f>
        <v>1.1680992354862842E-2</v>
      </c>
      <c r="AF73" s="3385"/>
      <c r="AG73" s="555">
        <f>AG74</f>
        <v>88473.349999999991</v>
      </c>
      <c r="AH73" s="3329">
        <f>AH74</f>
        <v>0</v>
      </c>
      <c r="AI73" s="1061">
        <f>AI74</f>
        <v>88473.349999999991</v>
      </c>
      <c r="AJ73" s="550">
        <f t="shared" ref="AJ73:AJ87" si="166">AI73/$AI$89</f>
        <v>8.1792057171694341E-2</v>
      </c>
      <c r="AK73" s="3329"/>
      <c r="AL73" s="1584">
        <f>AL74</f>
        <v>441853.88000000006</v>
      </c>
      <c r="AM73" s="1689">
        <f>AM74</f>
        <v>0</v>
      </c>
      <c r="AN73" s="1061">
        <f>AN74</f>
        <v>441853.88000000006</v>
      </c>
      <c r="AO73" s="944">
        <f>AN73/$AI$89</f>
        <v>0.40848614655707038</v>
      </c>
      <c r="AP73" s="1689"/>
      <c r="AQ73" s="1704"/>
      <c r="AR73" s="1704"/>
      <c r="AS73" s="1061">
        <f>AS74</f>
        <v>113315.76999999999</v>
      </c>
      <c r="AT73" s="944">
        <f>AS73/$AI$89</f>
        <v>0.10475843786060511</v>
      </c>
      <c r="AU73" s="1704"/>
      <c r="AV73" s="1333">
        <f>AV74</f>
        <v>107438.08</v>
      </c>
      <c r="AW73" s="1704"/>
      <c r="AX73" s="1688">
        <f>AX74</f>
        <v>107438.08</v>
      </c>
      <c r="AY73" s="944">
        <f>AX73/$AI$89</f>
        <v>9.9324616754955838E-2</v>
      </c>
      <c r="AZ73" s="1704"/>
      <c r="BA73" s="1333">
        <f>BA74</f>
        <v>244133.97</v>
      </c>
      <c r="BB73" s="1704"/>
      <c r="BC73" s="1688">
        <f>BC74</f>
        <v>244133.97</v>
      </c>
      <c r="BD73" s="1348">
        <f t="shared" si="34"/>
        <v>3.6003314467687342E-2</v>
      </c>
      <c r="BE73" s="1970"/>
      <c r="BF73" s="1584">
        <v>718163.23</v>
      </c>
      <c r="BG73" s="1970">
        <v>0</v>
      </c>
      <c r="BH73" s="1688">
        <v>718163.23</v>
      </c>
      <c r="BI73" s="1689"/>
      <c r="BJ73" s="1689"/>
      <c r="BK73" s="1584">
        <f>BK74</f>
        <v>0</v>
      </c>
      <c r="BL73" s="1970">
        <f>BL74</f>
        <v>0</v>
      </c>
      <c r="BM73" s="1688">
        <f>BM74</f>
        <v>0</v>
      </c>
      <c r="BN73" s="1689"/>
      <c r="BO73" s="1689"/>
      <c r="BP73" s="1333">
        <f>BP74</f>
        <v>0</v>
      </c>
      <c r="BQ73" s="1704"/>
      <c r="BR73" s="1688">
        <f>BR74</f>
        <v>0</v>
      </c>
      <c r="BS73" s="1970">
        <f t="shared" si="37"/>
        <v>0</v>
      </c>
      <c r="BT73" s="1970"/>
      <c r="BU73" s="1333">
        <f>BU74</f>
        <v>0</v>
      </c>
      <c r="BV73" s="1704"/>
      <c r="BW73" s="1688">
        <f>BW74</f>
        <v>0</v>
      </c>
      <c r="BX73" s="1689"/>
      <c r="BY73" s="1689"/>
      <c r="BZ73" s="1584">
        <f>BZ74</f>
        <v>0</v>
      </c>
      <c r="CA73" s="1689">
        <f>CA74</f>
        <v>0</v>
      </c>
      <c r="CB73" s="1688">
        <f>CB74</f>
        <v>0</v>
      </c>
      <c r="CC73" s="1689"/>
      <c r="CD73" s="1689"/>
      <c r="CE73" s="1584">
        <f>CE74</f>
        <v>0</v>
      </c>
      <c r="CF73" s="1689">
        <f>CF74</f>
        <v>0</v>
      </c>
      <c r="CG73" s="1688">
        <f>CG74</f>
        <v>0</v>
      </c>
      <c r="CH73" s="1689"/>
      <c r="CI73" s="1689"/>
      <c r="CJ73" s="1584">
        <f>CJ74</f>
        <v>0</v>
      </c>
      <c r="CK73" s="1689">
        <f>CK74</f>
        <v>0</v>
      </c>
      <c r="CL73" s="1688">
        <f>CL74</f>
        <v>0</v>
      </c>
      <c r="CM73" s="1689"/>
      <c r="CN73" s="1689"/>
      <c r="CO73" s="1584">
        <f>CO74</f>
        <v>0</v>
      </c>
      <c r="CP73" s="1689">
        <f>CP74</f>
        <v>0</v>
      </c>
      <c r="CQ73" s="1688">
        <f>CQ74</f>
        <v>0</v>
      </c>
      <c r="CR73" s="1689"/>
      <c r="CS73" s="1689"/>
      <c r="CT73" s="1584">
        <f>CT74</f>
        <v>0</v>
      </c>
      <c r="CU73" s="1689">
        <f>CU74</f>
        <v>0</v>
      </c>
      <c r="CV73" s="1688">
        <f>CV74</f>
        <v>0</v>
      </c>
      <c r="CW73" s="1689"/>
      <c r="CX73" s="1689"/>
      <c r="CY73" s="1584">
        <f>CY74</f>
        <v>0</v>
      </c>
      <c r="CZ73" s="1689">
        <f>CZ74</f>
        <v>0</v>
      </c>
      <c r="DA73" s="1688">
        <f>DA74</f>
        <v>0</v>
      </c>
      <c r="DB73" s="1689"/>
      <c r="DC73" s="1704"/>
      <c r="DD73" s="1584">
        <f>DD74</f>
        <v>0</v>
      </c>
      <c r="DE73" s="1689">
        <f>DE74</f>
        <v>0</v>
      </c>
      <c r="DF73" s="1688">
        <f>DF74</f>
        <v>0</v>
      </c>
      <c r="DG73" s="1689"/>
      <c r="DH73" s="1704"/>
      <c r="DI73" s="1584">
        <f>DI74</f>
        <v>0</v>
      </c>
      <c r="DJ73" s="1689">
        <f>DJ74</f>
        <v>0</v>
      </c>
      <c r="DK73" s="1688">
        <f>DK74</f>
        <v>0</v>
      </c>
      <c r="DL73" s="1689"/>
      <c r="DM73" s="1704"/>
      <c r="DN73" s="1584">
        <f>DN74</f>
        <v>0</v>
      </c>
      <c r="DO73" s="1689">
        <f>DO74</f>
        <v>0</v>
      </c>
      <c r="DP73" s="1688">
        <f>DP74</f>
        <v>0</v>
      </c>
      <c r="DQ73" s="1689"/>
      <c r="DR73" s="1689"/>
      <c r="DS73" s="1584">
        <f>DS74</f>
        <v>0</v>
      </c>
      <c r="DT73" s="1689">
        <f>DT74</f>
        <v>0</v>
      </c>
      <c r="DU73" s="1688">
        <f>DU74</f>
        <v>0</v>
      </c>
      <c r="DV73" s="1689"/>
      <c r="DW73" s="1689"/>
      <c r="DX73" s="1584">
        <f>DX74</f>
        <v>1723168.6600000001</v>
      </c>
      <c r="DY73" s="1689">
        <f>DY74</f>
        <v>0</v>
      </c>
      <c r="DZ73" s="1688">
        <f>DZ74</f>
        <v>1723168.6600000001</v>
      </c>
      <c r="EA73" s="1689" t="e">
        <f>DZ73/$BW$89</f>
        <v>#DIV/0!</v>
      </c>
      <c r="EB73" s="1689"/>
      <c r="ED73" s="843">
        <f>ED74</f>
        <v>784911.72</v>
      </c>
      <c r="EE73" s="843">
        <f>EE74</f>
        <v>784911.72</v>
      </c>
      <c r="EF73" s="3489"/>
    </row>
    <row r="74" spans="1:136" s="1396" customFormat="1" ht="28.2" customHeight="1" thickBot="1">
      <c r="A74" s="1413"/>
      <c r="B74" s="3122" t="s">
        <v>64</v>
      </c>
      <c r="C74" s="3467"/>
      <c r="D74" s="3387"/>
      <c r="E74" s="3387">
        <f>C74+D74*1</f>
        <v>0</v>
      </c>
      <c r="F74" s="3655">
        <f t="shared" si="51"/>
        <v>0</v>
      </c>
      <c r="G74" s="3656"/>
      <c r="H74" s="3375"/>
      <c r="I74" s="3375"/>
      <c r="J74" s="3387">
        <f>H74+I74*1</f>
        <v>0</v>
      </c>
      <c r="K74" s="3387"/>
      <c r="L74" s="3387"/>
      <c r="M74" s="3541">
        <v>0</v>
      </c>
      <c r="N74" s="3541">
        <v>0</v>
      </c>
      <c r="O74" s="3657">
        <v>0</v>
      </c>
      <c r="P74" s="3657"/>
      <c r="Q74" s="3386"/>
      <c r="R74" s="3541"/>
      <c r="S74" s="3541"/>
      <c r="T74" s="3657">
        <f>R74+S74*1</f>
        <v>0</v>
      </c>
      <c r="U74" s="3657"/>
      <c r="V74" s="3657"/>
      <c r="W74" s="3375"/>
      <c r="X74" s="3375"/>
      <c r="Y74" s="3387">
        <f>W74+X74*1</f>
        <v>0</v>
      </c>
      <c r="Z74" s="3387"/>
      <c r="AA74" s="3387"/>
      <c r="AB74" s="3375">
        <v>9790.3799999999992</v>
      </c>
      <c r="AC74" s="3375"/>
      <c r="AD74" s="2012">
        <f>AB74+AC74*1</f>
        <v>9790.3799999999992</v>
      </c>
      <c r="AE74" s="3387"/>
      <c r="AF74" s="3421" t="s">
        <v>1076</v>
      </c>
      <c r="AG74" s="3383">
        <f>75723.42+980.76+11769.17</f>
        <v>88473.349999999991</v>
      </c>
      <c r="AH74" s="3375"/>
      <c r="AI74" s="3375">
        <f>AG74+AH74*1</f>
        <v>88473.349999999991</v>
      </c>
      <c r="AJ74" s="568">
        <f t="shared" si="166"/>
        <v>8.1792057171694341E-2</v>
      </c>
      <c r="AK74" s="3421" t="s">
        <v>1118</v>
      </c>
      <c r="AL74" s="3375">
        <f>412864.46+26759.46+2229.96</f>
        <v>441853.88000000006</v>
      </c>
      <c r="AM74" s="3375"/>
      <c r="AN74" s="3375">
        <f>AL74+AM74*1</f>
        <v>441853.88000000006</v>
      </c>
      <c r="AO74" s="1664">
        <f>AN74/$AI$89</f>
        <v>0.40848614655707038</v>
      </c>
      <c r="AP74" s="3342" t="s">
        <v>1154</v>
      </c>
      <c r="AQ74" s="3341">
        <f>53861+37574.77+21880</f>
        <v>113315.76999999999</v>
      </c>
      <c r="AR74" s="3386"/>
      <c r="AS74" s="3375">
        <f>AQ74+AR74*1</f>
        <v>113315.76999999999</v>
      </c>
      <c r="AT74" s="1664">
        <f>AS74/$AI$89</f>
        <v>0.10475843786060511</v>
      </c>
      <c r="AU74" s="3342" t="s">
        <v>1165</v>
      </c>
      <c r="AV74" s="1314">
        <v>107438.08</v>
      </c>
      <c r="AW74" s="3386"/>
      <c r="AX74" s="3375">
        <f>AV74+AW74*1</f>
        <v>107438.08</v>
      </c>
      <c r="AY74" s="1664">
        <f>AX74/$AI$89</f>
        <v>9.9324616754955838E-2</v>
      </c>
      <c r="AZ74" s="3342" t="s">
        <v>1225</v>
      </c>
      <c r="BA74" s="3345">
        <f>274122.37-29988.4</f>
        <v>244133.97</v>
      </c>
      <c r="BB74" s="3386"/>
      <c r="BC74" s="3658">
        <f>BA74+BB74*1</f>
        <v>244133.97</v>
      </c>
      <c r="BD74" s="1351">
        <f t="shared" ref="BD74:BD80" si="167">BC74/$BC$89</f>
        <v>3.6003314467687342E-2</v>
      </c>
      <c r="BE74" s="3512" t="s">
        <v>1291</v>
      </c>
      <c r="BF74" s="3659">
        <v>718163.23</v>
      </c>
      <c r="BG74" s="3354">
        <v>0</v>
      </c>
      <c r="BH74" s="2012">
        <v>718163.23</v>
      </c>
      <c r="BI74" s="3386"/>
      <c r="BJ74" s="3343"/>
      <c r="BK74" s="3659">
        <f t="shared" ref="BK74:BL74" si="168">BP74+BU74+BZ74+CE74+CJ74+CO74+CT74+CY74+DD74+DI74+DN74+DS74</f>
        <v>0</v>
      </c>
      <c r="BL74" s="3354">
        <f t="shared" si="168"/>
        <v>0</v>
      </c>
      <c r="BM74" s="2012">
        <f>BK74+BL74*1</f>
        <v>0</v>
      </c>
      <c r="BN74" s="3386"/>
      <c r="BO74" s="3343"/>
      <c r="BP74" s="3345"/>
      <c r="BQ74" s="3386"/>
      <c r="BR74" s="3660">
        <f>BP74+BQ74*1</f>
        <v>0</v>
      </c>
      <c r="BS74" s="3661"/>
      <c r="BT74" s="3512"/>
      <c r="BU74" s="3341"/>
      <c r="BV74" s="3341"/>
      <c r="BW74" s="2012">
        <f>BU74+BV74*1</f>
        <v>0</v>
      </c>
      <c r="BX74" s="3386"/>
      <c r="BY74" s="3386"/>
      <c r="BZ74" s="3341"/>
      <c r="CA74" s="3341"/>
      <c r="CB74" s="2012">
        <f>BZ74+CA74*1</f>
        <v>0</v>
      </c>
      <c r="CC74" s="3386"/>
      <c r="CD74" s="3343"/>
      <c r="CE74" s="3341"/>
      <c r="CF74" s="3341"/>
      <c r="CG74" s="3415">
        <f>CE74+CF74*1</f>
        <v>0</v>
      </c>
      <c r="CH74" s="3386"/>
      <c r="CI74" s="3386"/>
      <c r="CJ74" s="3341"/>
      <c r="CK74" s="2499"/>
      <c r="CL74" s="3341">
        <f>CJ74+CK74*1</f>
        <v>0</v>
      </c>
      <c r="CM74" s="3386"/>
      <c r="CN74" s="3343"/>
      <c r="CO74" s="3341"/>
      <c r="CP74" s="2499"/>
      <c r="CQ74" s="3341">
        <f>CO74+CP74*1</f>
        <v>0</v>
      </c>
      <c r="CR74" s="3386"/>
      <c r="CS74" s="3343"/>
      <c r="CT74" s="3341"/>
      <c r="CU74" s="2499"/>
      <c r="CV74" s="3341">
        <f>CT74+CU74*1</f>
        <v>0</v>
      </c>
      <c r="CW74" s="3386"/>
      <c r="CX74" s="3343"/>
      <c r="CY74" s="3341"/>
      <c r="CZ74" s="2499"/>
      <c r="DA74" s="3341">
        <f>CY74+CZ74*1</f>
        <v>0</v>
      </c>
      <c r="DB74" s="3386"/>
      <c r="DC74" s="3343"/>
      <c r="DD74" s="3341"/>
      <c r="DE74" s="2499"/>
      <c r="DF74" s="3341">
        <f>DD74+DE74*1</f>
        <v>0</v>
      </c>
      <c r="DG74" s="3386"/>
      <c r="DH74" s="3493"/>
      <c r="DI74" s="3354"/>
      <c r="DJ74" s="2499"/>
      <c r="DK74" s="3341">
        <f>DI74+DJ74*1</f>
        <v>0</v>
      </c>
      <c r="DL74" s="3386"/>
      <c r="DM74" s="3493"/>
      <c r="DN74" s="3354"/>
      <c r="DO74" s="2499"/>
      <c r="DP74" s="3341">
        <f>DN74+DO74*1</f>
        <v>0</v>
      </c>
      <c r="DQ74" s="3386"/>
      <c r="DR74" s="3343"/>
      <c r="DS74" s="3354"/>
      <c r="DT74" s="2499"/>
      <c r="DU74" s="3341">
        <f>DS74+DT74*1</f>
        <v>0</v>
      </c>
      <c r="DV74" s="3386"/>
      <c r="DW74" s="3343"/>
      <c r="DX74" s="3428">
        <f t="shared" ref="DX74:DY74" si="169">R74+W74+AB74+AG74+AL74+AQ74+AV74+BA74+BP74+BU74+BZ74+CE74+CJ74+CO74+CT74+CY74+DD74+DI74+DN74+DS74+BF74</f>
        <v>1723168.6600000001</v>
      </c>
      <c r="DY74" s="3428">
        <f t="shared" si="169"/>
        <v>0</v>
      </c>
      <c r="DZ74" s="3349">
        <f>DX74+DY74*1</f>
        <v>1723168.6600000001</v>
      </c>
      <c r="EA74" s="3386"/>
      <c r="EB74" s="3386"/>
      <c r="ED74" s="3354">
        <v>784911.72</v>
      </c>
      <c r="EE74" s="3354">
        <f t="shared" ref="EE74" si="170">ED74-BM74</f>
        <v>784911.72</v>
      </c>
      <c r="EF74" s="3489"/>
    </row>
    <row r="75" spans="1:136" s="1396" customFormat="1" ht="14.4" thickBot="1">
      <c r="A75" s="1399"/>
      <c r="B75" s="1416" t="s">
        <v>48</v>
      </c>
      <c r="C75" s="1450">
        <f>C38-C41-C50-C54</f>
        <v>-1230542.02</v>
      </c>
      <c r="D75" s="1450">
        <f>D38-D41-D50-D54</f>
        <v>-1189256.33</v>
      </c>
      <c r="E75" s="1953">
        <f>E38-E41-E50-E54</f>
        <v>-2419798.35</v>
      </c>
      <c r="F75" s="195"/>
      <c r="G75" s="298"/>
      <c r="H75" s="1450">
        <f>H38-H41-H50-H54</f>
        <v>4135465.3388500009</v>
      </c>
      <c r="I75" s="1450">
        <f>I38-I41-I50-I54</f>
        <v>-1312276.8000000005</v>
      </c>
      <c r="J75" s="1953">
        <f>J38-J41-J50-J54</f>
        <v>2823188.5388499987</v>
      </c>
      <c r="K75" s="1953"/>
      <c r="L75" s="1953"/>
      <c r="M75" s="3662">
        <v>15112887.767400002</v>
      </c>
      <c r="N75" s="3662">
        <v>-10324959.719999999</v>
      </c>
      <c r="O75" s="3663">
        <v>4787928.0473999996</v>
      </c>
      <c r="P75" s="3664"/>
      <c r="Q75" s="1450"/>
      <c r="R75" s="3662">
        <f>R38-R41-R50-R54</f>
        <v>52901.422000000006</v>
      </c>
      <c r="S75" s="3662">
        <f>S38-S41-S50-S54</f>
        <v>-668803.32094999996</v>
      </c>
      <c r="T75" s="3663">
        <f>T38-T41-T50-T54</f>
        <v>-615901.89895000006</v>
      </c>
      <c r="U75" s="3664"/>
      <c r="V75" s="3664"/>
      <c r="W75" s="1450">
        <f>W38-W41-W50-W54</f>
        <v>1193394.5639999998</v>
      </c>
      <c r="X75" s="1450">
        <f>X38-X41-X50-X54</f>
        <v>-903283.35</v>
      </c>
      <c r="Y75" s="1508">
        <f>Y38-Y41-Y50-Y54</f>
        <v>290111.21399999998</v>
      </c>
      <c r="Z75" s="1953"/>
      <c r="AA75" s="1953"/>
      <c r="AB75" s="1450">
        <f>AB38-AB41-AB50-AB54</f>
        <v>477483.65600000008</v>
      </c>
      <c r="AC75" s="1450">
        <f>AC38-AC41-AC50-AC54</f>
        <v>-316637</v>
      </c>
      <c r="AD75" s="1508">
        <f>AD38-AD41-AD50-AD54</f>
        <v>160846.6560000001</v>
      </c>
      <c r="AE75" s="1953"/>
      <c r="AF75" s="1953"/>
      <c r="AG75" s="1450">
        <f>AG38-AG41-AG50-AG54</f>
        <v>752443.98</v>
      </c>
      <c r="AH75" s="1450">
        <f>AH38-AH41-AH50-AH54</f>
        <v>-420539.59000000008</v>
      </c>
      <c r="AI75" s="1508">
        <f>AI38-AI41-AI50-AI54</f>
        <v>331904.39</v>
      </c>
      <c r="AJ75" s="1017">
        <f t="shared" si="166"/>
        <v>0.30683977539469615</v>
      </c>
      <c r="AK75" s="1953"/>
      <c r="AL75" s="1450">
        <f>AL38-AL41-AL50-AL54</f>
        <v>3391997.9059999995</v>
      </c>
      <c r="AM75" s="1450">
        <f>AM38-AM41-AM50-AM54</f>
        <v>-1594487.18</v>
      </c>
      <c r="AN75" s="1508">
        <f>AN38-AN41-AN50-AN54</f>
        <v>1797510.7260000005</v>
      </c>
      <c r="AO75" s="1017">
        <f>AN75/$AI$89</f>
        <v>1.6617670752574178</v>
      </c>
      <c r="AP75" s="1953"/>
      <c r="AQ75" s="1450">
        <f>AQ38-AQ41-AQ50-AQ54</f>
        <v>6092377.1299999999</v>
      </c>
      <c r="AR75" s="1450">
        <f>AR38-AR41-AR50-AR54</f>
        <v>-2050566.3199999998</v>
      </c>
      <c r="AS75" s="1508">
        <f>AS38-AS41-AS50-AS54</f>
        <v>4041810.8100000005</v>
      </c>
      <c r="AT75" s="1017">
        <f>AS75/$AI$89</f>
        <v>3.7365830597427623</v>
      </c>
      <c r="AU75" s="1450"/>
      <c r="AV75" s="1450">
        <f>AV38-AV41-AV50-AV54</f>
        <v>6746563.0199999986</v>
      </c>
      <c r="AW75" s="1450">
        <f>AW38-AW41-AW50-AW54</f>
        <v>-2775184.17</v>
      </c>
      <c r="AX75" s="1508">
        <f>AX38-AX41-AX50-AX54</f>
        <v>3971378.8499999973</v>
      </c>
      <c r="AY75" s="1017">
        <f>AX75/$AI$89</f>
        <v>3.6714699505518618</v>
      </c>
      <c r="AZ75" s="1318"/>
      <c r="BA75" s="1450">
        <f>BA38-BA41-BA50-BA54</f>
        <v>7665258.3899999997</v>
      </c>
      <c r="BB75" s="1450">
        <f>BB38-BB41-BB50-BB54</f>
        <v>-2375415.0099999998</v>
      </c>
      <c r="BC75" s="1508">
        <f>BC38-BC41-BC50-BC54</f>
        <v>5289843.38</v>
      </c>
      <c r="BD75" s="1017"/>
      <c r="BE75" s="1318"/>
      <c r="BF75" s="1450">
        <v>25097579.851999994</v>
      </c>
      <c r="BG75" s="1953">
        <v>-12195946.310000001</v>
      </c>
      <c r="BH75" s="1508">
        <v>12901633.541999998</v>
      </c>
      <c r="BI75" s="1953"/>
      <c r="BJ75" s="1953"/>
      <c r="BK75" s="1450">
        <f>BK38-BK41-BK50-BK54</f>
        <v>0</v>
      </c>
      <c r="BL75" s="1953">
        <f>BL38-BL41-BL50-BL54</f>
        <v>0</v>
      </c>
      <c r="BM75" s="1508">
        <f>BM38-BM41-BM50-BM54</f>
        <v>0</v>
      </c>
      <c r="BN75" s="1953"/>
      <c r="BO75" s="1953"/>
      <c r="BP75" s="1450">
        <f>BP38-BP41-BP50-BP54</f>
        <v>0</v>
      </c>
      <c r="BQ75" s="1450">
        <f>BQ38-BQ41-BQ50-BQ54</f>
        <v>0</v>
      </c>
      <c r="BR75" s="1508">
        <f>BR38-BR41-BR50-BR54</f>
        <v>0</v>
      </c>
      <c r="BS75" s="1953"/>
      <c r="BT75" s="1318"/>
      <c r="BU75" s="1450">
        <f>BU38-BU41-BU50-BU54</f>
        <v>0</v>
      </c>
      <c r="BV75" s="1450">
        <f>BV38-BV41-BV50-BV54</f>
        <v>0</v>
      </c>
      <c r="BW75" s="1508">
        <f>BW38-BW41-BW50-BW54</f>
        <v>0</v>
      </c>
      <c r="BX75" s="1953"/>
      <c r="BY75" s="1953"/>
      <c r="BZ75" s="1450">
        <f>BZ38-BZ41-BZ50-BZ54</f>
        <v>0</v>
      </c>
      <c r="CA75" s="1450">
        <f>CA38-CA41-CA50-CA54</f>
        <v>0</v>
      </c>
      <c r="CB75" s="1508">
        <f>CB38-CB41-CB50-CB54</f>
        <v>0</v>
      </c>
      <c r="CC75" s="1953"/>
      <c r="CD75" s="1953"/>
      <c r="CE75" s="1450">
        <f>CE38-CE41-CE50-CE54</f>
        <v>0</v>
      </c>
      <c r="CF75" s="1450">
        <f>CF38-CF41-CF50-CF54</f>
        <v>0</v>
      </c>
      <c r="CG75" s="1508">
        <f>CG38-CG41-CG50-CG54</f>
        <v>0</v>
      </c>
      <c r="CH75" s="1953"/>
      <c r="CI75" s="1953"/>
      <c r="CJ75" s="1450">
        <f>CJ38-CJ41-CJ50-CJ54</f>
        <v>0</v>
      </c>
      <c r="CK75" s="1450">
        <f>CK38-CK41-CK50-CK54</f>
        <v>0</v>
      </c>
      <c r="CL75" s="1508">
        <f>CL38-CL41-CL50-CL54</f>
        <v>0</v>
      </c>
      <c r="CM75" s="1953"/>
      <c r="CN75" s="1953"/>
      <c r="CO75" s="1450">
        <f>CO38-CO41-CO50-CO54</f>
        <v>0</v>
      </c>
      <c r="CP75" s="1450">
        <f>CP38-CP41-CP50-CP54</f>
        <v>0</v>
      </c>
      <c r="CQ75" s="1508">
        <f>CQ38-CQ41-CQ50-CQ54</f>
        <v>0</v>
      </c>
      <c r="CR75" s="1953"/>
      <c r="CS75" s="1953"/>
      <c r="CT75" s="1450">
        <f>CT38-CT41-CT50-CT54</f>
        <v>0</v>
      </c>
      <c r="CU75" s="1450">
        <f>CU38-CU41-CU50-CU54</f>
        <v>0</v>
      </c>
      <c r="CV75" s="1508">
        <f>CV38-CV41-CV50-CV54</f>
        <v>0</v>
      </c>
      <c r="CW75" s="1953"/>
      <c r="CX75" s="1953"/>
      <c r="CY75" s="1450">
        <f>CY38-CY41-CY50-CY54</f>
        <v>0</v>
      </c>
      <c r="CZ75" s="1450">
        <f>CZ38-CZ41-CZ50-CZ54</f>
        <v>0</v>
      </c>
      <c r="DA75" s="1508">
        <f>DA38-DA41-DA50-DA54</f>
        <v>0</v>
      </c>
      <c r="DB75" s="1953"/>
      <c r="DC75" s="1450"/>
      <c r="DD75" s="1450">
        <f>DD38-DD41-DD50-DD54</f>
        <v>0</v>
      </c>
      <c r="DE75" s="1450">
        <f>DE38-DE41-DE50-DE54</f>
        <v>0</v>
      </c>
      <c r="DF75" s="1508">
        <f>DF38-DF41-DF50-DF54</f>
        <v>0</v>
      </c>
      <c r="DG75" s="1953"/>
      <c r="DH75" s="1450"/>
      <c r="DI75" s="1450">
        <f>DI38-DI41-DI50-DI54</f>
        <v>0</v>
      </c>
      <c r="DJ75" s="1450">
        <f>DJ38-DJ41-DJ50-DJ54</f>
        <v>0</v>
      </c>
      <c r="DK75" s="1508">
        <f>DK38-DK41-DK50-DK54</f>
        <v>0</v>
      </c>
      <c r="DL75" s="1953"/>
      <c r="DM75" s="1450"/>
      <c r="DN75" s="1450">
        <f>DN38-DN41-DN50-DN54</f>
        <v>0</v>
      </c>
      <c r="DO75" s="1450">
        <f>DO38-DO41-DO50-DO54</f>
        <v>0</v>
      </c>
      <c r="DP75" s="1508">
        <f>DP38-DP41-DP50-DP54</f>
        <v>0</v>
      </c>
      <c r="DQ75" s="1953"/>
      <c r="DR75" s="1953"/>
      <c r="DS75" s="1450">
        <f>DS38-DS41-DS50-DS54</f>
        <v>0</v>
      </c>
      <c r="DT75" s="1450">
        <f>DT38-DT41-DT50-DT54</f>
        <v>0</v>
      </c>
      <c r="DU75" s="1508">
        <f>DU38-DU41-DU50-DU54</f>
        <v>0</v>
      </c>
      <c r="DV75" s="1953"/>
      <c r="DW75" s="1953"/>
      <c r="DX75" s="1450">
        <f>DX38-DX41-DX50-DX54</f>
        <v>51469999.919999994</v>
      </c>
      <c r="DY75" s="1450">
        <f>DY38-DY41-DY50-DY54</f>
        <v>-23300862.250949997</v>
      </c>
      <c r="DZ75" s="1508">
        <f>DZ38-DZ41-DZ50-DZ54</f>
        <v>28169137.669050004</v>
      </c>
      <c r="EA75" s="1953"/>
      <c r="EB75" s="1953"/>
      <c r="ED75" s="1450">
        <f>ED38-ED41-ED50-ED54</f>
        <v>6578986.0300000031</v>
      </c>
      <c r="EE75" s="1450">
        <f>EE38-EE41-EE50-EE54</f>
        <v>6583036.0300000031</v>
      </c>
      <c r="EF75" s="3489"/>
    </row>
    <row r="76" spans="1:136" s="1396" customFormat="1" ht="14.4" thickBot="1">
      <c r="A76" s="1566"/>
      <c r="B76" s="1429" t="s">
        <v>49</v>
      </c>
      <c r="C76" s="2003">
        <f>C75/C5</f>
        <v>-68.363445555555558</v>
      </c>
      <c r="D76" s="2003" t="e">
        <f>D75/D5</f>
        <v>#DIV/0!</v>
      </c>
      <c r="E76" s="2004">
        <f>E75/E5</f>
        <v>-134.43324166666667</v>
      </c>
      <c r="F76" s="1160"/>
      <c r="G76" s="3330"/>
      <c r="H76" s="2003">
        <f>H75/H5</f>
        <v>0.4258665517125248</v>
      </c>
      <c r="I76" s="2003">
        <f>I75/I5</f>
        <v>-0.26430984882192277</v>
      </c>
      <c r="J76" s="2004">
        <f>J75/J5</f>
        <v>0.19237262260352486</v>
      </c>
      <c r="K76" s="2004"/>
      <c r="L76" s="2004"/>
      <c r="M76" s="3603">
        <v>0.66902753438171014</v>
      </c>
      <c r="N76" s="3603" t="e">
        <v>#DIV/0!</v>
      </c>
      <c r="O76" s="3604">
        <v>0.21195523619640699</v>
      </c>
      <c r="P76" s="3604"/>
      <c r="Q76" s="2003"/>
      <c r="R76" s="3603">
        <f>R75/R5</f>
        <v>9.099754364840458E-2</v>
      </c>
      <c r="S76" s="3603" t="e">
        <f>S75/S5</f>
        <v>#DIV/0!</v>
      </c>
      <c r="T76" s="3604">
        <f>T75/T5</f>
        <v>-1.0594339020383592</v>
      </c>
      <c r="U76" s="3604"/>
      <c r="V76" s="3604"/>
      <c r="W76" s="2003">
        <f>W75/W5</f>
        <v>0.49401424708143626</v>
      </c>
      <c r="X76" s="2003" t="e">
        <f>X75/X5</f>
        <v>#DIV/0!</v>
      </c>
      <c r="Y76" s="2004">
        <f>Y75/Y5</f>
        <v>0.12009361972767578</v>
      </c>
      <c r="Z76" s="2004"/>
      <c r="AA76" s="2004"/>
      <c r="AB76" s="2003">
        <f>AB75/AB5</f>
        <v>0.5087287263939394</v>
      </c>
      <c r="AC76" s="2003">
        <f>AC75/AC5</f>
        <v>-110.05804657629476</v>
      </c>
      <c r="AD76" s="2004">
        <f>AD75/AD5</f>
        <v>0.1708482745919935</v>
      </c>
      <c r="AE76" s="2004"/>
      <c r="AF76" s="2004"/>
      <c r="AG76" s="2003">
        <f>AG75/AG5</f>
        <v>0.59149546216489779</v>
      </c>
      <c r="AH76" s="2003">
        <f>AH75/AH5</f>
        <v>-20.133283192373728</v>
      </c>
      <c r="AI76" s="2004">
        <f>AI75/AI5</f>
        <v>0.2566948162053076</v>
      </c>
      <c r="AJ76" s="1016">
        <f t="shared" si="166"/>
        <v>2.3730984621631366E-7</v>
      </c>
      <c r="AK76" s="2004"/>
      <c r="AL76" s="2003">
        <f>AL75/AL5</f>
        <v>0.59520524433699229</v>
      </c>
      <c r="AM76" s="2003" t="e">
        <f>AM75/AM5</f>
        <v>#DIV/0!</v>
      </c>
      <c r="AN76" s="2004">
        <f>AN75/AN5</f>
        <v>0.31541523329796384</v>
      </c>
      <c r="AO76" s="1016">
        <f>AN76/$AI$89</f>
        <v>2.9159583981764417E-7</v>
      </c>
      <c r="AP76" s="2004"/>
      <c r="AQ76" s="2003">
        <f>AQ75/AQ5</f>
        <v>0.60523423379963159</v>
      </c>
      <c r="AR76" s="2003">
        <f>AR75/AR5</f>
        <v>-113.9203511111111</v>
      </c>
      <c r="AS76" s="2004">
        <f>AS75/AS5</f>
        <v>0.40080837472073499</v>
      </c>
      <c r="AT76" s="1016">
        <f>AS76/$AI$89</f>
        <v>3.7054029829380545E-7</v>
      </c>
      <c r="AU76" s="2003"/>
      <c r="AV76" s="2003">
        <f>AV75/AV5</f>
        <v>0.60034801297066342</v>
      </c>
      <c r="AW76" s="2003">
        <f>AW75/AW5</f>
        <v>-283.18205816326531</v>
      </c>
      <c r="AX76" s="2004">
        <f>AX75/AX5</f>
        <v>0.35308823637199893</v>
      </c>
      <c r="AY76" s="1016">
        <f>AX76/$AI$89</f>
        <v>3.2642386906329722E-7</v>
      </c>
      <c r="AZ76" s="1319"/>
      <c r="BA76" s="2003">
        <f>BA75/BA5</f>
        <v>0.65685966034010734</v>
      </c>
      <c r="BB76" s="2003" t="e">
        <f>BB75/BB5</f>
        <v>#DIV/0!</v>
      </c>
      <c r="BC76" s="2004">
        <f>BC75/BC5</f>
        <v>0.45330301329074513</v>
      </c>
      <c r="BD76" s="1016"/>
      <c r="BE76" s="2003"/>
      <c r="BF76" s="2003">
        <v>0.47090328847658308</v>
      </c>
      <c r="BG76" s="2004" t="e">
        <v>#DIV/0!</v>
      </c>
      <c r="BH76" s="2004">
        <v>0.24207201242009169</v>
      </c>
      <c r="BI76" s="2004"/>
      <c r="BJ76" s="2004"/>
      <c r="BK76" s="2003" t="e">
        <f>BK75/BK5</f>
        <v>#DIV/0!</v>
      </c>
      <c r="BL76" s="2004" t="e">
        <f>BL75/BL5</f>
        <v>#DIV/0!</v>
      </c>
      <c r="BM76" s="2004" t="e">
        <f>BM75/BM5</f>
        <v>#DIV/0!</v>
      </c>
      <c r="BN76" s="2004"/>
      <c r="BO76" s="2004"/>
      <c r="BP76" s="2003" t="e">
        <f>BP75/BP5</f>
        <v>#DIV/0!</v>
      </c>
      <c r="BQ76" s="2003" t="e">
        <f>BQ75/BQ5</f>
        <v>#DIV/0!</v>
      </c>
      <c r="BR76" s="2004" t="e">
        <f>BR75/BR5</f>
        <v>#DIV/0!</v>
      </c>
      <c r="BS76" s="2004"/>
      <c r="BT76" s="2003"/>
      <c r="BU76" s="2003" t="e">
        <f>BU75/BU5</f>
        <v>#DIV/0!</v>
      </c>
      <c r="BV76" s="2003" t="e">
        <f>BV75/BV5</f>
        <v>#DIV/0!</v>
      </c>
      <c r="BW76" s="2004" t="e">
        <f>BW75/BW5</f>
        <v>#DIV/0!</v>
      </c>
      <c r="BX76" s="2004"/>
      <c r="BY76" s="2004"/>
      <c r="BZ76" s="2003" t="e">
        <f>BZ75/BZ5</f>
        <v>#DIV/0!</v>
      </c>
      <c r="CA76" s="2003" t="e">
        <f>CA75/CA5</f>
        <v>#DIV/0!</v>
      </c>
      <c r="CB76" s="2004" t="e">
        <f>CB75/CB5</f>
        <v>#DIV/0!</v>
      </c>
      <c r="CC76" s="2004"/>
      <c r="CD76" s="2004"/>
      <c r="CE76" s="2003" t="e">
        <f>CE75/CE5</f>
        <v>#DIV/0!</v>
      </c>
      <c r="CF76" s="2003" t="e">
        <f>CF75/CF5</f>
        <v>#DIV/0!</v>
      </c>
      <c r="CG76" s="2004" t="e">
        <f>CG75/CG5</f>
        <v>#DIV/0!</v>
      </c>
      <c r="CH76" s="2004"/>
      <c r="CI76" s="2004"/>
      <c r="CJ76" s="2003" t="e">
        <f>CJ75/CJ5</f>
        <v>#DIV/0!</v>
      </c>
      <c r="CK76" s="2003" t="e">
        <f>CK75/CK5</f>
        <v>#DIV/0!</v>
      </c>
      <c r="CL76" s="2004" t="e">
        <f>CL75/CL5</f>
        <v>#DIV/0!</v>
      </c>
      <c r="CM76" s="2004"/>
      <c r="CN76" s="2004"/>
      <c r="CO76" s="2003" t="e">
        <f>CO75/CO5</f>
        <v>#DIV/0!</v>
      </c>
      <c r="CP76" s="2003" t="e">
        <f>CP75/CP5</f>
        <v>#DIV/0!</v>
      </c>
      <c r="CQ76" s="2004" t="e">
        <f>CQ75/CQ5</f>
        <v>#DIV/0!</v>
      </c>
      <c r="CR76" s="2004"/>
      <c r="CS76" s="2004"/>
      <c r="CT76" s="2003" t="e">
        <f>CT75/CT5</f>
        <v>#DIV/0!</v>
      </c>
      <c r="CU76" s="2003" t="str">
        <f>IFERROR(CU75/CU5,"")</f>
        <v/>
      </c>
      <c r="CV76" s="2004" t="e">
        <f>CV75/CV5</f>
        <v>#DIV/0!</v>
      </c>
      <c r="CW76" s="2004"/>
      <c r="CX76" s="2004"/>
      <c r="CY76" s="2003" t="e">
        <f>CY75/CY5</f>
        <v>#DIV/0!</v>
      </c>
      <c r="CZ76" s="2003" t="str">
        <f>IFERROR(CZ75/CZ5,"")</f>
        <v/>
      </c>
      <c r="DA76" s="2004" t="e">
        <f>DA75/DA5</f>
        <v>#DIV/0!</v>
      </c>
      <c r="DB76" s="2004"/>
      <c r="DC76" s="2003"/>
      <c r="DD76" s="2003" t="e">
        <f>DD75/DD5</f>
        <v>#DIV/0!</v>
      </c>
      <c r="DE76" s="2003" t="str">
        <f>IFERROR(DE75/DE5,"")</f>
        <v/>
      </c>
      <c r="DF76" s="2004" t="e">
        <f>DF75/DF5</f>
        <v>#DIV/0!</v>
      </c>
      <c r="DG76" s="2004"/>
      <c r="DH76" s="2003"/>
      <c r="DI76" s="2003" t="e">
        <f>DI75/DI5</f>
        <v>#DIV/0!</v>
      </c>
      <c r="DJ76" s="2003" t="str">
        <f>IFERROR(DJ75/DJ5,"")</f>
        <v/>
      </c>
      <c r="DK76" s="2004" t="e">
        <f>DK75/DK5</f>
        <v>#DIV/0!</v>
      </c>
      <c r="DL76" s="2004"/>
      <c r="DM76" s="2003"/>
      <c r="DN76" s="2003" t="e">
        <f>DN75/DN5</f>
        <v>#DIV/0!</v>
      </c>
      <c r="DO76" s="2003" t="str">
        <f>IFERROR(DO75/DO5,"")</f>
        <v/>
      </c>
      <c r="DP76" s="2004" t="e">
        <f>DP75/DP5</f>
        <v>#DIV/0!</v>
      </c>
      <c r="DQ76" s="2004"/>
      <c r="DR76" s="2004"/>
      <c r="DS76" s="2003">
        <f>IFERROR(DS75/DS5,0)</f>
        <v>0</v>
      </c>
      <c r="DT76" s="2003" t="str">
        <f>IFERROR(DT75/DT5,"")</f>
        <v/>
      </c>
      <c r="DU76" s="2004">
        <f>IFERROR(DU75/DU5,0)</f>
        <v>0</v>
      </c>
      <c r="DV76" s="2004"/>
      <c r="DW76" s="2004"/>
      <c r="DX76" s="2003">
        <f>DX75/DX5</f>
        <v>0.52965346299844507</v>
      </c>
      <c r="DY76" s="2003">
        <f>DY75/DY5</f>
        <v>-451.87552920714484</v>
      </c>
      <c r="DZ76" s="2004">
        <f>DZ75/DZ5</f>
        <v>0.28972155856358245</v>
      </c>
      <c r="EA76" s="2004"/>
      <c r="EB76" s="2004"/>
      <c r="ED76" s="2003">
        <f>ED75/ED5</f>
        <v>0.1365803010160245</v>
      </c>
      <c r="EE76" s="2004">
        <f>EE75/EE5</f>
        <v>0.13666437935523856</v>
      </c>
      <c r="EF76" s="3489"/>
    </row>
    <row r="77" spans="1:136" s="1396" customFormat="1" ht="14.4" customHeight="1" thickBot="1">
      <c r="A77" s="1566"/>
      <c r="B77" s="3389" t="s">
        <v>9</v>
      </c>
      <c r="C77" s="2847">
        <f>C78-C79</f>
        <v>0</v>
      </c>
      <c r="D77" s="2847">
        <f>D78-D79</f>
        <v>0</v>
      </c>
      <c r="E77" s="2847">
        <f>E78-E79</f>
        <v>-162171.31772727272</v>
      </c>
      <c r="F77" s="3665"/>
      <c r="G77" s="3666"/>
      <c r="H77" s="2844">
        <f>H78-H79</f>
        <v>-855981.14727272722</v>
      </c>
      <c r="I77" s="2844">
        <f>I78-I79</f>
        <v>0</v>
      </c>
      <c r="J77" s="2845">
        <f>J78-J79</f>
        <v>-855981.14727272722</v>
      </c>
      <c r="K77" s="2847"/>
      <c r="L77" s="2847"/>
      <c r="M77" s="3653">
        <v>0</v>
      </c>
      <c r="N77" s="3653">
        <v>0</v>
      </c>
      <c r="O77" s="3667">
        <v>-1472008.6906768305</v>
      </c>
      <c r="P77" s="3668"/>
      <c r="Q77" s="3117"/>
      <c r="R77" s="3653">
        <f>R78-R79</f>
        <v>-99936.1284178161</v>
      </c>
      <c r="S77" s="3653">
        <f>S78-S79</f>
        <v>0</v>
      </c>
      <c r="T77" s="3667">
        <f>T78-T79</f>
        <v>-99936.1284178161</v>
      </c>
      <c r="U77" s="3668"/>
      <c r="V77" s="3668"/>
      <c r="W77" s="2844">
        <f>W78-W79</f>
        <v>-134973.37413793104</v>
      </c>
      <c r="X77" s="2844">
        <f>X78-X79</f>
        <v>0</v>
      </c>
      <c r="Y77" s="2845">
        <f>Y78-Y79</f>
        <v>-134973.37413793104</v>
      </c>
      <c r="Z77" s="2847"/>
      <c r="AA77" s="2847"/>
      <c r="AB77" s="2844">
        <f>AB78-AB79</f>
        <v>-47743.471264367814</v>
      </c>
      <c r="AC77" s="2844">
        <f>AC78-AC79</f>
        <v>0</v>
      </c>
      <c r="AD77" s="2845">
        <f>AD78-AD79</f>
        <v>-47743.471264367814</v>
      </c>
      <c r="AE77" s="2847"/>
      <c r="AF77" s="2847"/>
      <c r="AG77" s="2844">
        <f>AG78-AG79</f>
        <v>-32125.188224763533</v>
      </c>
      <c r="AH77" s="2844">
        <f>AH78-AH79</f>
        <v>0</v>
      </c>
      <c r="AI77" s="2845">
        <f>AI78-AI79</f>
        <v>-32125.188224763533</v>
      </c>
      <c r="AJ77" s="944">
        <f t="shared" si="166"/>
        <v>-2.969917191935539E-2</v>
      </c>
      <c r="AK77" s="2847"/>
      <c r="AL77" s="2844">
        <f>AL78-AL79</f>
        <v>-56957.142230985854</v>
      </c>
      <c r="AM77" s="2844">
        <f>AM78-AM79</f>
        <v>0</v>
      </c>
      <c r="AN77" s="2845">
        <f>AN78-AN79</f>
        <v>-56957.142230985854</v>
      </c>
      <c r="AO77" s="546">
        <f>AN77/$AN$89</f>
        <v>-1.2532410983946529E-2</v>
      </c>
      <c r="AP77" s="2847"/>
      <c r="AQ77" s="3117">
        <f>AQ78-AQ79</f>
        <v>-102113.28362164569</v>
      </c>
      <c r="AR77" s="3117">
        <f>AR78-AR79</f>
        <v>0</v>
      </c>
      <c r="AS77" s="2845">
        <f>AS78-AS79</f>
        <v>-102113.28362164569</v>
      </c>
      <c r="AT77" s="546">
        <f>AS77/$AN$89</f>
        <v>-2.2468220615369336E-2</v>
      </c>
      <c r="AU77" s="3117"/>
      <c r="AV77" s="3117">
        <f>AV78-AV79</f>
        <v>-132124.18966204868</v>
      </c>
      <c r="AW77" s="3117">
        <f>AW78-AW79</f>
        <v>-4500</v>
      </c>
      <c r="AX77" s="2845">
        <f>AX78-AX79</f>
        <v>-136624.18966204868</v>
      </c>
      <c r="AY77" s="546">
        <f>AX77/$AN$89</f>
        <v>-3.0061734632851087E-2</v>
      </c>
      <c r="AZ77" s="3669"/>
      <c r="BA77" s="3117">
        <f>BA78-BA79</f>
        <v>-116471.62137166855</v>
      </c>
      <c r="BB77" s="3117">
        <f>BB78-BB79</f>
        <v>0</v>
      </c>
      <c r="BC77" s="2845">
        <f>BC78-BC79</f>
        <v>-116471.62137166855</v>
      </c>
      <c r="BD77" s="1348"/>
      <c r="BE77" s="3117"/>
      <c r="BF77" s="2844">
        <v>-877115.40366370254</v>
      </c>
      <c r="BG77" s="2845">
        <v>0</v>
      </c>
      <c r="BH77" s="2845">
        <v>-877115.40366370254</v>
      </c>
      <c r="BI77" s="2847"/>
      <c r="BJ77" s="2847"/>
      <c r="BK77" s="2844">
        <f>BK78-BK79</f>
        <v>0</v>
      </c>
      <c r="BL77" s="2845">
        <f>BL78-BL79</f>
        <v>0</v>
      </c>
      <c r="BM77" s="2845">
        <f>BM78-BM79</f>
        <v>0</v>
      </c>
      <c r="BN77" s="2847"/>
      <c r="BO77" s="2847"/>
      <c r="BP77" s="3117">
        <f>BP78-BP79</f>
        <v>0</v>
      </c>
      <c r="BQ77" s="3117">
        <f>BQ78-BQ79</f>
        <v>0</v>
      </c>
      <c r="BR77" s="2845">
        <f>BR78-BR79</f>
        <v>0</v>
      </c>
      <c r="BS77" s="2847"/>
      <c r="BT77" s="3117"/>
      <c r="BU77" s="3117">
        <f>BU78-BU79</f>
        <v>0</v>
      </c>
      <c r="BV77" s="3117">
        <f>BV78-BV79</f>
        <v>0</v>
      </c>
      <c r="BW77" s="2845">
        <f>BW78-BW79</f>
        <v>0</v>
      </c>
      <c r="BX77" s="2847"/>
      <c r="BY77" s="2847"/>
      <c r="BZ77" s="2844">
        <f>BZ78-BZ79</f>
        <v>0</v>
      </c>
      <c r="CA77" s="2844">
        <f>CA78-CA79</f>
        <v>0</v>
      </c>
      <c r="CB77" s="2845">
        <f>CB78-CB79</f>
        <v>0</v>
      </c>
      <c r="CC77" s="2847"/>
      <c r="CD77" s="2847"/>
      <c r="CE77" s="2844">
        <f>CE78-CE79</f>
        <v>0</v>
      </c>
      <c r="CF77" s="2844">
        <f>CF78-CF79</f>
        <v>0</v>
      </c>
      <c r="CG77" s="2845">
        <f>CG78-CG79</f>
        <v>0</v>
      </c>
      <c r="CH77" s="2847"/>
      <c r="CI77" s="2847"/>
      <c r="CJ77" s="2844">
        <f>CJ78-CJ79</f>
        <v>0</v>
      </c>
      <c r="CK77" s="2844">
        <f>CK78-CK79</f>
        <v>0</v>
      </c>
      <c r="CL77" s="2845">
        <f>CL78-CL79</f>
        <v>0</v>
      </c>
      <c r="CM77" s="2847"/>
      <c r="CN77" s="2847"/>
      <c r="CO77" s="2844">
        <f>CO78-CO79</f>
        <v>0</v>
      </c>
      <c r="CP77" s="2844">
        <f>CP78-CP79</f>
        <v>0</v>
      </c>
      <c r="CQ77" s="2845">
        <f>CQ78-CQ79</f>
        <v>0</v>
      </c>
      <c r="CR77" s="2847"/>
      <c r="CS77" s="2847"/>
      <c r="CT77" s="2844">
        <f>CT78-CT79</f>
        <v>0</v>
      </c>
      <c r="CU77" s="2844">
        <f>CU78-CU79</f>
        <v>0</v>
      </c>
      <c r="CV77" s="2845">
        <f>CV78-CV79</f>
        <v>0</v>
      </c>
      <c r="CW77" s="2847"/>
      <c r="CX77" s="2847"/>
      <c r="CY77" s="2844">
        <f>CY78-CY79</f>
        <v>0</v>
      </c>
      <c r="CZ77" s="2844">
        <f>CZ78-CZ79</f>
        <v>0</v>
      </c>
      <c r="DA77" s="2845">
        <f>DA78-DA79</f>
        <v>0</v>
      </c>
      <c r="DB77" s="2847"/>
      <c r="DC77" s="3117"/>
      <c r="DD77" s="2844">
        <f>DD78-DD79</f>
        <v>0</v>
      </c>
      <c r="DE77" s="2844">
        <f>DE78-DE79</f>
        <v>0</v>
      </c>
      <c r="DF77" s="2845">
        <f>DF78-DF79</f>
        <v>0</v>
      </c>
      <c r="DG77" s="2847"/>
      <c r="DH77" s="3117"/>
      <c r="DI77" s="2844">
        <f>DI78-DI79</f>
        <v>0</v>
      </c>
      <c r="DJ77" s="2844">
        <f>DJ78-DJ79</f>
        <v>0</v>
      </c>
      <c r="DK77" s="2845">
        <f>DK78-DK79</f>
        <v>0</v>
      </c>
      <c r="DL77" s="2847"/>
      <c r="DM77" s="3117"/>
      <c r="DN77" s="2844">
        <f>DN78-DN79</f>
        <v>0</v>
      </c>
      <c r="DO77" s="2844">
        <f>DO78-DO79</f>
        <v>0</v>
      </c>
      <c r="DP77" s="2845">
        <f>DP78-DP79</f>
        <v>0</v>
      </c>
      <c r="DQ77" s="2847"/>
      <c r="DR77" s="2847"/>
      <c r="DS77" s="2844">
        <f>DS78-DS79</f>
        <v>0</v>
      </c>
      <c r="DT77" s="2844">
        <f>DT78-DT79</f>
        <v>0</v>
      </c>
      <c r="DU77" s="2845">
        <f>DU78-DU79</f>
        <v>0</v>
      </c>
      <c r="DV77" s="2847"/>
      <c r="DW77" s="2847"/>
      <c r="DX77" s="2844">
        <f>DX78-DX79</f>
        <v>-1599559.8025949297</v>
      </c>
      <c r="DY77" s="2844">
        <f>DY78-DY79</f>
        <v>-4500</v>
      </c>
      <c r="DZ77" s="2845">
        <f>DZ78-DZ79</f>
        <v>-1604059.8025949297</v>
      </c>
      <c r="EA77" s="2847"/>
      <c r="EB77" s="2847"/>
      <c r="ED77" s="2844">
        <f>ED78-ED79</f>
        <v>-968476.53000000014</v>
      </c>
      <c r="EE77" s="2844">
        <f>EE78-EE79</f>
        <v>-968476.53000000014</v>
      </c>
      <c r="EF77" s="3489"/>
    </row>
    <row r="78" spans="1:136" s="1396" customFormat="1" ht="13.95" customHeight="1">
      <c r="A78" s="1405"/>
      <c r="B78" s="1400" t="s">
        <v>43</v>
      </c>
      <c r="C78" s="3392"/>
      <c r="D78" s="3392"/>
      <c r="E78" s="3392">
        <f>C78+D78*1</f>
        <v>0</v>
      </c>
      <c r="F78" s="1976"/>
      <c r="G78" s="3316"/>
      <c r="H78" s="3341"/>
      <c r="I78" s="3341"/>
      <c r="J78" s="3391">
        <f>H78+I78*1</f>
        <v>0</v>
      </c>
      <c r="K78" s="3391"/>
      <c r="L78" s="3391"/>
      <c r="M78" s="3490">
        <v>0</v>
      </c>
      <c r="N78" s="3490">
        <v>0</v>
      </c>
      <c r="O78" s="3670">
        <v>0</v>
      </c>
      <c r="P78" s="3670"/>
      <c r="Q78" s="3392"/>
      <c r="R78" s="3490"/>
      <c r="S78" s="3490"/>
      <c r="T78" s="3670">
        <f>R78+S78*1.15</f>
        <v>0</v>
      </c>
      <c r="U78" s="3670"/>
      <c r="V78" s="3670"/>
      <c r="W78" s="3341"/>
      <c r="X78" s="3341"/>
      <c r="Y78" s="3391">
        <f>W78+X78*1.15</f>
        <v>0</v>
      </c>
      <c r="Z78" s="3391"/>
      <c r="AA78" s="3391"/>
      <c r="AB78" s="3341"/>
      <c r="AC78" s="3341"/>
      <c r="AD78" s="3391">
        <f>AB78+AC78*1.15</f>
        <v>0</v>
      </c>
      <c r="AE78" s="3391"/>
      <c r="AF78" s="3391"/>
      <c r="AG78" s="3341"/>
      <c r="AH78" s="3341"/>
      <c r="AI78" s="3671">
        <f>AG78+AH78*1.15</f>
        <v>0</v>
      </c>
      <c r="AJ78" s="624">
        <f t="shared" si="166"/>
        <v>0</v>
      </c>
      <c r="AK78" s="3392"/>
      <c r="AL78" s="3341"/>
      <c r="AM78" s="3341"/>
      <c r="AN78" s="3671">
        <f>AL78+AM78*1.15</f>
        <v>0</v>
      </c>
      <c r="AO78" s="3509">
        <f>AN78/$AN$89</f>
        <v>0</v>
      </c>
      <c r="AP78" s="3391"/>
      <c r="AQ78" s="3392"/>
      <c r="AR78" s="3392"/>
      <c r="AS78" s="3671">
        <f>AQ78+AR78*1.15</f>
        <v>0</v>
      </c>
      <c r="AT78" s="3509">
        <f>AS78/$AS$89</f>
        <v>0</v>
      </c>
      <c r="AU78" s="3392"/>
      <c r="AV78" s="3392"/>
      <c r="AW78" s="3392"/>
      <c r="AX78" s="3671">
        <f>AV78+AW78*1.15</f>
        <v>0</v>
      </c>
      <c r="AY78" s="3509">
        <f>AX78/$AS$89</f>
        <v>0</v>
      </c>
      <c r="AZ78" s="3392"/>
      <c r="BA78" s="3345"/>
      <c r="BB78" s="3392"/>
      <c r="BC78" s="3400">
        <f>BA78+BB78*1.15</f>
        <v>0</v>
      </c>
      <c r="BD78" s="1015">
        <f t="shared" si="167"/>
        <v>0</v>
      </c>
      <c r="BE78" s="3343"/>
      <c r="BF78" s="3659">
        <v>147210.88000000003</v>
      </c>
      <c r="BG78" s="3354">
        <v>0</v>
      </c>
      <c r="BH78" s="3341">
        <v>147210.88000000003</v>
      </c>
      <c r="BI78" s="3391"/>
      <c r="BJ78" s="3343"/>
      <c r="BK78" s="3659">
        <f t="shared" ref="BK78:BL79" si="171">BP78+BU78+BZ78+CE78+CJ78+CO78+CT78+CY78+DD78+DI78+DN78+DS78</f>
        <v>0</v>
      </c>
      <c r="BL78" s="3354">
        <f t="shared" si="171"/>
        <v>0</v>
      </c>
      <c r="BM78" s="3341">
        <f>BK78+BL78</f>
        <v>0</v>
      </c>
      <c r="BN78" s="3391"/>
      <c r="BO78" s="3343"/>
      <c r="BP78" s="3345"/>
      <c r="BQ78" s="3392"/>
      <c r="BR78" s="3482">
        <f>BP78+BQ78</f>
        <v>0</v>
      </c>
      <c r="BS78" s="3475">
        <f>BR78/$BC$89</f>
        <v>0</v>
      </c>
      <c r="BT78" s="3343"/>
      <c r="BU78" s="3341"/>
      <c r="BV78" s="3341"/>
      <c r="BW78" s="3391">
        <f>BU78+BV78*1.15</f>
        <v>0</v>
      </c>
      <c r="BX78" s="3391"/>
      <c r="BY78" s="3391"/>
      <c r="BZ78" s="3341"/>
      <c r="CA78" s="3341"/>
      <c r="CB78" s="3390">
        <f>BZ78+CA78*1.15</f>
        <v>0</v>
      </c>
      <c r="CC78" s="3391"/>
      <c r="CD78" s="3391"/>
      <c r="CE78" s="3341"/>
      <c r="CF78" s="3341"/>
      <c r="CG78" s="3415">
        <f>CE78+CF78*1.15</f>
        <v>0</v>
      </c>
      <c r="CH78" s="3391"/>
      <c r="CI78" s="3391"/>
      <c r="CJ78" s="3341"/>
      <c r="CK78" s="3341"/>
      <c r="CL78" s="3341">
        <f>CJ78+CK78</f>
        <v>0</v>
      </c>
      <c r="CM78" s="3391"/>
      <c r="CN78" s="3391"/>
      <c r="CO78" s="3341"/>
      <c r="CP78" s="3341"/>
      <c r="CQ78" s="3349">
        <f>CO78+CP78*1.15</f>
        <v>0</v>
      </c>
      <c r="CR78" s="3391"/>
      <c r="CS78" s="3391"/>
      <c r="CT78" s="3341"/>
      <c r="CU78" s="3341"/>
      <c r="CV78" s="3349">
        <f>CT78+CU78*1.15</f>
        <v>0</v>
      </c>
      <c r="CW78" s="3391"/>
      <c r="CX78" s="3391"/>
      <c r="CY78" s="3341"/>
      <c r="CZ78" s="3341"/>
      <c r="DA78" s="3349">
        <f>CY78+CZ78*1.15</f>
        <v>0</v>
      </c>
      <c r="DB78" s="3391"/>
      <c r="DC78" s="3391"/>
      <c r="DD78" s="3341"/>
      <c r="DE78" s="3341"/>
      <c r="DF78" s="3349">
        <f>DD78+DE78*1.15</f>
        <v>0</v>
      </c>
      <c r="DG78" s="3391"/>
      <c r="DH78" s="3672"/>
      <c r="DI78" s="3354"/>
      <c r="DJ78" s="3341"/>
      <c r="DK78" s="3349">
        <f>DI78+DJ78*1.15</f>
        <v>0</v>
      </c>
      <c r="DL78" s="3391"/>
      <c r="DM78" s="3672"/>
      <c r="DN78" s="3346"/>
      <c r="DO78" s="3341"/>
      <c r="DP78" s="3349">
        <f>DN78+DO78*1.15</f>
        <v>0</v>
      </c>
      <c r="DQ78" s="3391"/>
      <c r="DR78" s="3672"/>
      <c r="DS78" s="3354"/>
      <c r="DT78" s="3341"/>
      <c r="DU78" s="3349">
        <f>DS78+DT78*1.15</f>
        <v>0</v>
      </c>
      <c r="DV78" s="3391"/>
      <c r="DW78" s="3672"/>
      <c r="DX78" s="3428">
        <f t="shared" ref="DX78:DY79" si="172">R78+W78+AB78+AG78+AL78+AQ78+AV78+BA78+BP78+BU78+BZ78+CE78+CJ78+CO78+CT78+CY78+DD78+DI78+DN78+DS78+BF78</f>
        <v>147210.88000000003</v>
      </c>
      <c r="DY78" s="3428">
        <f t="shared" si="172"/>
        <v>0</v>
      </c>
      <c r="DZ78" s="3349">
        <f t="shared" ref="DZ78:DZ79" si="173">DX78+DY78*1</f>
        <v>147210.88000000003</v>
      </c>
      <c r="EA78" s="3391"/>
      <c r="EB78" s="3391"/>
      <c r="ED78" s="1345">
        <v>172853.58</v>
      </c>
      <c r="EE78" s="3494">
        <f>ED78-BM78</f>
        <v>172853.58</v>
      </c>
      <c r="EF78" s="3334"/>
    </row>
    <row r="79" spans="1:136" s="1396" customFormat="1" ht="13.95" customHeight="1">
      <c r="A79" s="1405"/>
      <c r="B79" s="3355" t="s">
        <v>79</v>
      </c>
      <c r="C79" s="3373"/>
      <c r="D79" s="3373"/>
      <c r="E79" s="3673">
        <f>(D8+D41+D50+D54)/0.88*0.12</f>
        <v>162171.31772727272</v>
      </c>
      <c r="F79" s="3350"/>
      <c r="G79" s="3316"/>
      <c r="H79" s="3341">
        <f>J79</f>
        <v>855981.14727272722</v>
      </c>
      <c r="I79" s="3341"/>
      <c r="J79" s="2012">
        <f>(I8+I41+I50+I54)/0.88*0.12</f>
        <v>855981.14727272722</v>
      </c>
      <c r="K79" s="3373"/>
      <c r="L79" s="3373"/>
      <c r="M79" s="3341">
        <f>O79</f>
        <v>1472008.6906768305</v>
      </c>
      <c r="N79" s="3490">
        <v>0</v>
      </c>
      <c r="O79" s="3491">
        <v>1472008.6906768305</v>
      </c>
      <c r="P79" s="3580"/>
      <c r="Q79" s="3381"/>
      <c r="R79" s="3341">
        <f>T79</f>
        <v>99936.1284178161</v>
      </c>
      <c r="S79" s="3490"/>
      <c r="T79" s="2012">
        <f>($S$8+$S$41+$S$50+$S$54)/(1-'расчет 2024'!E4)*'расчет 2024'!E4</f>
        <v>99936.1284178161</v>
      </c>
      <c r="U79" s="3580"/>
      <c r="V79" s="3580"/>
      <c r="W79" s="3341">
        <f>Y79</f>
        <v>134973.37413793104</v>
      </c>
      <c r="X79" s="3341"/>
      <c r="Y79" s="2012">
        <f>(X8+X41+X50+X54)/(1-'расчет 2024'!E5)*'расчет 2024'!E5</f>
        <v>134973.37413793104</v>
      </c>
      <c r="Z79" s="3373"/>
      <c r="AA79" s="3373"/>
      <c r="AB79" s="3341">
        <f>AD79</f>
        <v>47743.471264367814</v>
      </c>
      <c r="AC79" s="3341"/>
      <c r="AD79" s="2012">
        <f>(AC8+AC41+AC50+AC54)/(1-'расчет 2024'!E6)*'расчет 2024'!E6</f>
        <v>47743.471264367814</v>
      </c>
      <c r="AE79" s="3360">
        <f>AD79/$AD$89</f>
        <v>5.6963174343967672E-2</v>
      </c>
      <c r="AF79" s="3373"/>
      <c r="AG79" s="3341">
        <f>AI79</f>
        <v>32125.188224763533</v>
      </c>
      <c r="AH79" s="3341"/>
      <c r="AI79" s="1981">
        <f>(AH8+AH41+AH50+AH54)/(1-'расчет 2024'!M7)*'расчет 2024'!M7</f>
        <v>32125.188224763533</v>
      </c>
      <c r="AJ79" s="3509">
        <f t="shared" si="166"/>
        <v>2.969917191935539E-2</v>
      </c>
      <c r="AK79" s="3373"/>
      <c r="AL79" s="3341">
        <f>AN79</f>
        <v>56957.142230985854</v>
      </c>
      <c r="AM79" s="3341"/>
      <c r="AN79" s="1981">
        <f>(AM8+AM41+AM50+AM54)/(1-'расчет 2024'!M8)*'расчет 2024'!M8</f>
        <v>56957.142230985854</v>
      </c>
      <c r="AO79" s="3509">
        <f>AN79/$AN$89</f>
        <v>1.2532410983946529E-2</v>
      </c>
      <c r="AP79" s="3373"/>
      <c r="AQ79" s="3341">
        <f>AS79</f>
        <v>102113.28362164569</v>
      </c>
      <c r="AR79" s="3373"/>
      <c r="AS79" s="1981">
        <f>(AR8+AR41+AR50+AR54)/(1-'расчет 2024'!M9)*'расчет 2024'!M9</f>
        <v>102113.28362164569</v>
      </c>
      <c r="AT79" s="3509"/>
      <c r="AU79" s="3373"/>
      <c r="AV79" s="3341">
        <f>AX79-AW79</f>
        <v>132124.18966204868</v>
      </c>
      <c r="AW79" s="3373">
        <v>4500</v>
      </c>
      <c r="AX79" s="1981">
        <f>(AW8+AW41+AW50+AW54)/(1-'расчет 2024'!M10)*'расчет 2024'!M10+AW79</f>
        <v>136624.18966204868</v>
      </c>
      <c r="AY79" s="3509"/>
      <c r="AZ79" s="3373" t="s">
        <v>1226</v>
      </c>
      <c r="BA79" s="3635">
        <f>BC79</f>
        <v>116471.62137166855</v>
      </c>
      <c r="BB79" s="3373"/>
      <c r="BC79" s="3635">
        <f>(BB8+BB41+BB50+BB54)/(1-'расчет 2024'!M11)*'расчет 2024'!M11</f>
        <v>116471.62137166855</v>
      </c>
      <c r="BD79" s="3432">
        <f t="shared" si="167"/>
        <v>1.7176488838507791E-2</v>
      </c>
      <c r="BE79" s="3343"/>
      <c r="BF79" s="3659">
        <v>1024326.2836637025</v>
      </c>
      <c r="BG79" s="3354">
        <v>0</v>
      </c>
      <c r="BH79" s="3341">
        <v>1024326.2836637025</v>
      </c>
      <c r="BI79" s="3373"/>
      <c r="BJ79" s="3343"/>
      <c r="BK79" s="3659">
        <f t="shared" si="171"/>
        <v>0</v>
      </c>
      <c r="BL79" s="3354">
        <f t="shared" si="171"/>
        <v>0</v>
      </c>
      <c r="BM79" s="3341">
        <f>BK79+BL79</f>
        <v>0</v>
      </c>
      <c r="BN79" s="3373"/>
      <c r="BO79" s="3343"/>
      <c r="BP79" s="3635">
        <f>(BQ8+BQ41+BQ50+BQ54)/(1-'расчет 2024'!M12)*'расчет 2024'!M12</f>
        <v>0</v>
      </c>
      <c r="BQ79" s="3373"/>
      <c r="BR79" s="3635">
        <f>BP79+BQ79</f>
        <v>0</v>
      </c>
      <c r="BS79" s="3432"/>
      <c r="BT79" s="3343"/>
      <c r="BU79" s="3341">
        <f>BW79</f>
        <v>0</v>
      </c>
      <c r="BV79" s="3341"/>
      <c r="BW79" s="2012">
        <f>(BV8+BV41+BV50+BV54)/(1-'расчет 2024'!M13)*'расчет 2024'!M13</f>
        <v>0</v>
      </c>
      <c r="BX79" s="3373"/>
      <c r="BY79" s="3343"/>
      <c r="BZ79" s="3341">
        <f>CB79</f>
        <v>0</v>
      </c>
      <c r="CA79" s="3341"/>
      <c r="CB79" s="2012">
        <f>(CA8+CA41+CA50+CA54)/(1-'расчет 2024'!M14)*'расчет 2024'!M14</f>
        <v>0</v>
      </c>
      <c r="CC79" s="3373"/>
      <c r="CD79" s="3343"/>
      <c r="CE79" s="3341">
        <f>CG79</f>
        <v>0</v>
      </c>
      <c r="CF79" s="3341"/>
      <c r="CG79" s="2012">
        <f>(CF8+CF41+CF50+CF54)/(1-'расчет 2024'!M15)*'расчет 2024'!M15</f>
        <v>0</v>
      </c>
      <c r="CH79" s="3373"/>
      <c r="CI79" s="3343"/>
      <c r="CJ79" s="3341">
        <f>(CK8+CK41+CK50+CK54)/(1-'расчет 2024'!M16)*'расчет 2024'!M16</f>
        <v>0</v>
      </c>
      <c r="CK79" s="3341"/>
      <c r="CL79" s="3341">
        <f>CJ79+CK79</f>
        <v>0</v>
      </c>
      <c r="CM79" s="3373"/>
      <c r="CN79" s="3343"/>
      <c r="CO79" s="3341">
        <f>(CP8+CP41+CP50+CP54)/(1-'расчет 2024'!M17)*'расчет 2024'!M17</f>
        <v>0</v>
      </c>
      <c r="CP79" s="3341"/>
      <c r="CQ79" s="2012">
        <f>CO79+CP79*1.15</f>
        <v>0</v>
      </c>
      <c r="CR79" s="3373"/>
      <c r="CS79" s="3343"/>
      <c r="CT79" s="3341">
        <f>(CU8+CU41+CU50+CU54)/(1-'расчет 2024'!M18)*'расчет 2024'!M18</f>
        <v>0</v>
      </c>
      <c r="CU79" s="3341"/>
      <c r="CV79" s="2012">
        <f>CT79+CU79*1.15</f>
        <v>0</v>
      </c>
      <c r="CW79" s="3373"/>
      <c r="CX79" s="3343"/>
      <c r="CY79" s="3341">
        <f>(CZ8+CZ41+CZ50+CZ54)/(1-'расчет 2024'!M19)*'расчет 2024'!M19</f>
        <v>0</v>
      </c>
      <c r="CZ79" s="3341"/>
      <c r="DA79" s="2012">
        <f>CY79+CZ79*1.15</f>
        <v>0</v>
      </c>
      <c r="DB79" s="3373"/>
      <c r="DC79" s="3343"/>
      <c r="DD79" s="3341">
        <f>(DE8+DE41+DE50+DE54)/(1-'расчет 2024'!M20)*'расчет 2024'!M20</f>
        <v>0</v>
      </c>
      <c r="DE79" s="3341"/>
      <c r="DF79" s="2012">
        <f>DD79+DE79*1.15</f>
        <v>0</v>
      </c>
      <c r="DG79" s="3373"/>
      <c r="DH79" s="3535"/>
      <c r="DI79" s="3341">
        <f>(DJ8+DJ41+DJ50+DJ54)/(1-'расчет 2024'!$M$21)*'расчет 2024'!$M$21</f>
        <v>0</v>
      </c>
      <c r="DJ79" s="3341"/>
      <c r="DK79" s="2012">
        <f>DI79+DJ79*1.15</f>
        <v>0</v>
      </c>
      <c r="DL79" s="3373"/>
      <c r="DM79" s="3343"/>
      <c r="DN79" s="3635"/>
      <c r="DO79" s="3341"/>
      <c r="DP79" s="2012">
        <f>DN79+DO79*1.15</f>
        <v>0</v>
      </c>
      <c r="DQ79" s="3373"/>
      <c r="DR79" s="3343"/>
      <c r="DS79" s="3635">
        <f>(DT8+DT41+DT50+DT54)/(1-'расчет 2024'!$M$23)*'расчет 2024'!$M$23</f>
        <v>0</v>
      </c>
      <c r="DT79" s="3341"/>
      <c r="DU79" s="2012">
        <f>DS79+DT79*1.15</f>
        <v>0</v>
      </c>
      <c r="DV79" s="3373"/>
      <c r="DW79" s="3343"/>
      <c r="DX79" s="3428">
        <f t="shared" si="172"/>
        <v>1746770.6825949298</v>
      </c>
      <c r="DY79" s="3428">
        <f t="shared" si="172"/>
        <v>4500</v>
      </c>
      <c r="DZ79" s="3349">
        <f t="shared" si="173"/>
        <v>1751270.6825949298</v>
      </c>
      <c r="EA79" s="3373"/>
      <c r="EB79" s="3373"/>
      <c r="ED79" s="1345">
        <v>1141330.1100000001</v>
      </c>
      <c r="EE79" s="3494">
        <f>ED79-BM79</f>
        <v>1141330.1100000001</v>
      </c>
      <c r="EF79" s="3334"/>
    </row>
    <row r="80" spans="1:136" ht="14.4" customHeight="1" thickBot="1">
      <c r="A80" s="1397"/>
      <c r="B80" s="3393"/>
      <c r="C80" s="3394"/>
      <c r="D80" s="3394"/>
      <c r="E80" s="3394"/>
      <c r="F80" s="3674"/>
      <c r="G80" s="3675"/>
      <c r="H80" s="3394"/>
      <c r="I80" s="3394"/>
      <c r="J80" s="3394"/>
      <c r="K80" s="3394"/>
      <c r="L80" s="3394"/>
      <c r="M80" s="3490">
        <v>0</v>
      </c>
      <c r="N80" s="3490">
        <v>0</v>
      </c>
      <c r="O80" s="3676"/>
      <c r="P80" s="3676"/>
      <c r="Q80" s="3368"/>
      <c r="R80" s="3490"/>
      <c r="S80" s="3490"/>
      <c r="T80" s="3676"/>
      <c r="U80" s="3676"/>
      <c r="V80" s="3676"/>
      <c r="W80" s="3341"/>
      <c r="X80" s="3341"/>
      <c r="Y80" s="3394"/>
      <c r="Z80" s="3394"/>
      <c r="AA80" s="3394"/>
      <c r="AB80" s="3341"/>
      <c r="AC80" s="3341"/>
      <c r="AD80" s="3394"/>
      <c r="AE80" s="3394"/>
      <c r="AF80" s="3394"/>
      <c r="AG80" s="3341"/>
      <c r="AH80" s="3341"/>
      <c r="AI80" s="3677"/>
      <c r="AJ80" s="3509">
        <f t="shared" si="166"/>
        <v>0</v>
      </c>
      <c r="AK80" s="3394"/>
      <c r="AL80" s="3341"/>
      <c r="AM80" s="3341"/>
      <c r="AN80" s="3677"/>
      <c r="AO80" s="3509">
        <f>AN80/$AI$89</f>
        <v>0</v>
      </c>
      <c r="AP80" s="3394"/>
      <c r="AQ80" s="3368"/>
      <c r="AR80" s="3368"/>
      <c r="AS80" s="3677"/>
      <c r="AT80" s="3509">
        <f>AS80/$AI$89</f>
        <v>0</v>
      </c>
      <c r="AU80" s="3368"/>
      <c r="AV80" s="3368"/>
      <c r="AW80" s="3368"/>
      <c r="AX80" s="3677"/>
      <c r="AY80" s="3509">
        <f>AX80/$AI$89</f>
        <v>0</v>
      </c>
      <c r="AZ80" s="3368"/>
      <c r="BA80" s="3368"/>
      <c r="BB80" s="3368"/>
      <c r="BC80" s="3368"/>
      <c r="BD80" s="3005">
        <f t="shared" si="167"/>
        <v>0</v>
      </c>
      <c r="BE80" s="3368"/>
      <c r="BF80" s="3659"/>
      <c r="BG80" s="3354"/>
      <c r="BH80" s="3394"/>
      <c r="BI80" s="3394"/>
      <c r="BJ80" s="3394"/>
      <c r="BK80" s="3659"/>
      <c r="BL80" s="3354"/>
      <c r="BM80" s="3394"/>
      <c r="BN80" s="3394"/>
      <c r="BO80" s="3394"/>
      <c r="BP80" s="3368"/>
      <c r="BQ80" s="3368"/>
      <c r="BR80" s="3561"/>
      <c r="BS80" s="3477">
        <f>BR80/$BC$89</f>
        <v>0</v>
      </c>
      <c r="BT80" s="3368"/>
      <c r="BU80" s="3341"/>
      <c r="BV80" s="3341"/>
      <c r="BW80" s="3394"/>
      <c r="BX80" s="3394"/>
      <c r="BY80" s="3394"/>
      <c r="BZ80" s="3341"/>
      <c r="CA80" s="3341"/>
      <c r="CB80" s="3394"/>
      <c r="CC80" s="3394"/>
      <c r="CD80" s="3394"/>
      <c r="CE80" s="3341"/>
      <c r="CF80" s="3341"/>
      <c r="CG80" s="3394"/>
      <c r="CH80" s="3394"/>
      <c r="CI80" s="3394"/>
      <c r="CJ80" s="3341"/>
      <c r="CK80" s="3341"/>
      <c r="CL80" s="3394"/>
      <c r="CM80" s="3394"/>
      <c r="CN80" s="3394"/>
      <c r="CO80" s="3341"/>
      <c r="CP80" s="3341"/>
      <c r="CQ80" s="3394"/>
      <c r="CR80" s="3394"/>
      <c r="CS80" s="3394"/>
      <c r="CT80" s="3341"/>
      <c r="CU80" s="3341"/>
      <c r="CV80" s="3394"/>
      <c r="CW80" s="3394"/>
      <c r="CX80" s="3394"/>
      <c r="CY80" s="3341"/>
      <c r="CZ80" s="3341"/>
      <c r="DA80" s="3394"/>
      <c r="DB80" s="3394"/>
      <c r="DC80" s="3368"/>
      <c r="DD80" s="3341"/>
      <c r="DE80" s="3341"/>
      <c r="DF80" s="3394"/>
      <c r="DG80" s="3394"/>
      <c r="DH80" s="3561"/>
      <c r="DI80" s="3354"/>
      <c r="DJ80" s="3341"/>
      <c r="DK80" s="3394"/>
      <c r="DL80" s="3394"/>
      <c r="DM80" s="3561"/>
      <c r="DN80" s="3354"/>
      <c r="DO80" s="3341"/>
      <c r="DP80" s="3394"/>
      <c r="DQ80" s="3394"/>
      <c r="DR80" s="3368"/>
      <c r="DS80" s="3354"/>
      <c r="DT80" s="3341"/>
      <c r="DU80" s="3394"/>
      <c r="DV80" s="3394"/>
      <c r="DW80" s="3368"/>
      <c r="DX80" s="3354">
        <f>W80+AB80</f>
        <v>0</v>
      </c>
      <c r="DY80" s="3341">
        <f>X80+AC80</f>
        <v>0</v>
      </c>
      <c r="DZ80" s="3394"/>
      <c r="EA80" s="3394"/>
      <c r="EB80" s="3394"/>
      <c r="ED80" s="3354"/>
      <c r="EE80" s="3354"/>
    </row>
    <row r="81" spans="1:136" s="1396" customFormat="1" ht="14.4" customHeight="1" thickBot="1">
      <c r="A81" s="1419"/>
      <c r="B81" s="3389" t="s">
        <v>12</v>
      </c>
      <c r="C81" s="2844">
        <f>(C75+C78)-C79</f>
        <v>-1230542.02</v>
      </c>
      <c r="D81" s="2844">
        <f>(D75+D78)-D79</f>
        <v>-1189256.33</v>
      </c>
      <c r="E81" s="2845">
        <f>(E75+E78)-E79</f>
        <v>-2581969.667727273</v>
      </c>
      <c r="F81" s="3678"/>
      <c r="G81" s="3679"/>
      <c r="H81" s="2844">
        <f>(H75+H78)-H79</f>
        <v>3279484.1915772734</v>
      </c>
      <c r="I81" s="2844">
        <f>(I75+I78)-I79</f>
        <v>-1312276.8000000005</v>
      </c>
      <c r="J81" s="2845">
        <f>(J75+J78)-J79</f>
        <v>1967207.3915772715</v>
      </c>
      <c r="K81" s="2847"/>
      <c r="L81" s="2847"/>
      <c r="M81" s="3653">
        <v>15112887.767400002</v>
      </c>
      <c r="N81" s="3653">
        <v>-10324959.719999999</v>
      </c>
      <c r="O81" s="3667">
        <v>3315919.3567231689</v>
      </c>
      <c r="P81" s="3668"/>
      <c r="Q81" s="3117"/>
      <c r="R81" s="3653">
        <f>(R75+R78)-R79</f>
        <v>-47034.706417816094</v>
      </c>
      <c r="S81" s="3653">
        <f>(S75+S78)-S79</f>
        <v>-668803.32094999996</v>
      </c>
      <c r="T81" s="3667">
        <f>(T75+T78)-T79</f>
        <v>-715838.02736781619</v>
      </c>
      <c r="U81" s="3668"/>
      <c r="V81" s="3668"/>
      <c r="W81" s="2844">
        <f>(W75+W78)-W79</f>
        <v>1058421.1898620687</v>
      </c>
      <c r="X81" s="2844">
        <f>(X75+X78)-X79</f>
        <v>-903283.35</v>
      </c>
      <c r="Y81" s="2845">
        <f>(Y75+Y78)-Y79</f>
        <v>155137.83986206894</v>
      </c>
      <c r="Z81" s="2847"/>
      <c r="AA81" s="2847"/>
      <c r="AB81" s="2844">
        <f>(AB75+AB78)-AB79</f>
        <v>429740.18473563227</v>
      </c>
      <c r="AC81" s="2844">
        <f>(AC75+AC78)-AC79</f>
        <v>-316637</v>
      </c>
      <c r="AD81" s="2845">
        <f>(AD75+AD78)-AD79</f>
        <v>113103.1847356323</v>
      </c>
      <c r="AE81" s="2847"/>
      <c r="AF81" s="2847"/>
      <c r="AG81" s="2844">
        <f>(AG75+AG78)-AG79</f>
        <v>720318.79177523649</v>
      </c>
      <c r="AH81" s="2844">
        <f>(AH75+AH78)-AH79</f>
        <v>-420539.59000000008</v>
      </c>
      <c r="AI81" s="2845">
        <f>(AI75+AI78)-AI79</f>
        <v>299779.20177523646</v>
      </c>
      <c r="AJ81" s="550">
        <f t="shared" si="166"/>
        <v>0.27714060347534075</v>
      </c>
      <c r="AK81" s="2847"/>
      <c r="AL81" s="2844">
        <f>(AL75+AL78)-AL79</f>
        <v>3335040.7637690138</v>
      </c>
      <c r="AM81" s="2844">
        <f>(AM75+AM78)-AM79</f>
        <v>-1594487.18</v>
      </c>
      <c r="AN81" s="2845">
        <f>(AN75+AN78)-AN79</f>
        <v>1740553.5837690146</v>
      </c>
      <c r="AO81" s="550">
        <f>AN81/$AN$89</f>
        <v>0.38297800762039275</v>
      </c>
      <c r="AP81" s="2847"/>
      <c r="AQ81" s="3117">
        <f>(AQ75+AQ78)-AQ79</f>
        <v>5990263.8463783544</v>
      </c>
      <c r="AR81" s="3117">
        <f>(AR75+AR78)-AR79</f>
        <v>-2050566.3199999998</v>
      </c>
      <c r="AS81" s="2845">
        <f>(AS75+AS78)-AS79</f>
        <v>3939697.526378355</v>
      </c>
      <c r="AT81" s="550">
        <f>AS81/$AN$89</f>
        <v>0.8668607064725703</v>
      </c>
      <c r="AU81" s="3117"/>
      <c r="AV81" s="3117">
        <f>(AV75+AV78)-AV79</f>
        <v>6614438.83033795</v>
      </c>
      <c r="AW81" s="3117">
        <f>(AW75+AW78)-AW79</f>
        <v>-2779684.17</v>
      </c>
      <c r="AX81" s="2845">
        <f>(AX75+AX78)-AX79</f>
        <v>3834754.6603379487</v>
      </c>
      <c r="AY81" s="550">
        <f>AX81/$AN$89</f>
        <v>0.84376988633068251</v>
      </c>
      <c r="AZ81" s="3669"/>
      <c r="BA81" s="3117">
        <f>(BA75+BA78)-BA79</f>
        <v>7548786.7686283309</v>
      </c>
      <c r="BB81" s="3117">
        <f>(BB75+BB78)-BB79</f>
        <v>-2375415.0099999998</v>
      </c>
      <c r="BC81" s="2845">
        <f>(BC75+BC78)-BC79</f>
        <v>5173371.7586283311</v>
      </c>
      <c r="BD81" s="1348"/>
      <c r="BE81" s="3117"/>
      <c r="BF81" s="2844">
        <v>24220464.448336292</v>
      </c>
      <c r="BG81" s="2845">
        <v>-12195946.310000001</v>
      </c>
      <c r="BH81" s="2845">
        <v>12024518.138336295</v>
      </c>
      <c r="BI81" s="2847"/>
      <c r="BJ81" s="2847"/>
      <c r="BK81" s="2844">
        <f>(BK75+BK78)-BK79</f>
        <v>0</v>
      </c>
      <c r="BL81" s="2845">
        <f>(BL75+BL78)-BL79</f>
        <v>0</v>
      </c>
      <c r="BM81" s="2845">
        <f>(BM75+BM78)-BM79</f>
        <v>0</v>
      </c>
      <c r="BN81" s="2847"/>
      <c r="BO81" s="2847"/>
      <c r="BP81" s="3117">
        <f>(BP75+BP78)-BP79</f>
        <v>0</v>
      </c>
      <c r="BQ81" s="3117">
        <f>(BQ75+BQ78)-BQ79</f>
        <v>0</v>
      </c>
      <c r="BR81" s="2845">
        <f>(BR75+BR78)-BR79</f>
        <v>0</v>
      </c>
      <c r="BS81" s="2847"/>
      <c r="BT81" s="3117"/>
      <c r="BU81" s="3117">
        <f>(BU75+BU78)-BU79</f>
        <v>0</v>
      </c>
      <c r="BV81" s="3117">
        <f>(BV75+BV78)-BV79</f>
        <v>0</v>
      </c>
      <c r="BW81" s="2845">
        <f>(BW75+BW78)-BW79</f>
        <v>0</v>
      </c>
      <c r="BX81" s="2847"/>
      <c r="BY81" s="2847"/>
      <c r="BZ81" s="2844">
        <f>(BZ75+BZ78)-BZ79</f>
        <v>0</v>
      </c>
      <c r="CA81" s="2844">
        <f>(CA75+CA78)-CA79</f>
        <v>0</v>
      </c>
      <c r="CB81" s="2845">
        <f>(CB75+CB78)-CB79</f>
        <v>0</v>
      </c>
      <c r="CC81" s="2847"/>
      <c r="CD81" s="2847"/>
      <c r="CE81" s="2844">
        <f>(CE75+CE78)-CE79</f>
        <v>0</v>
      </c>
      <c r="CF81" s="2844">
        <f>(CF75+CF78)-CF79</f>
        <v>0</v>
      </c>
      <c r="CG81" s="2845">
        <f>(CG75+CG78)-CG79</f>
        <v>0</v>
      </c>
      <c r="CH81" s="2847"/>
      <c r="CI81" s="2847"/>
      <c r="CJ81" s="2844">
        <f>(CJ75+CJ78)-CJ79</f>
        <v>0</v>
      </c>
      <c r="CK81" s="2844">
        <f>(CK75+CK78)-CK79</f>
        <v>0</v>
      </c>
      <c r="CL81" s="2845">
        <f>(CL75+CL78)-CL79</f>
        <v>0</v>
      </c>
      <c r="CM81" s="2847"/>
      <c r="CN81" s="2847"/>
      <c r="CO81" s="2844">
        <f>(CO75+CO78)-CO79</f>
        <v>0</v>
      </c>
      <c r="CP81" s="2844">
        <f>(CP75+CP78)-CP79</f>
        <v>0</v>
      </c>
      <c r="CQ81" s="2845">
        <f>(CQ75+CQ78)-CQ79</f>
        <v>0</v>
      </c>
      <c r="CR81" s="2847"/>
      <c r="CS81" s="2847"/>
      <c r="CT81" s="2844">
        <f>(CT75+CT78)-CT79</f>
        <v>0</v>
      </c>
      <c r="CU81" s="2844">
        <f>(CU75+CU78)-CU79</f>
        <v>0</v>
      </c>
      <c r="CV81" s="2845">
        <f>(CV75+CV78)-CV79</f>
        <v>0</v>
      </c>
      <c r="CW81" s="2847"/>
      <c r="CX81" s="2847"/>
      <c r="CY81" s="2844">
        <f>(CY75+CY78)-CY79</f>
        <v>0</v>
      </c>
      <c r="CZ81" s="2844">
        <f>(CZ75+CZ78)-CZ79</f>
        <v>0</v>
      </c>
      <c r="DA81" s="2845">
        <f>(DA75+DA78)-DA79</f>
        <v>0</v>
      </c>
      <c r="DB81" s="2847"/>
      <c r="DC81" s="3117"/>
      <c r="DD81" s="2844">
        <f>(DD75+DD78)-DD79</f>
        <v>0</v>
      </c>
      <c r="DE81" s="2844">
        <f>(DE75+DE78)-DE79</f>
        <v>0</v>
      </c>
      <c r="DF81" s="2845">
        <f>(DF75+DF78)-DF79</f>
        <v>0</v>
      </c>
      <c r="DG81" s="2847"/>
      <c r="DH81" s="3117"/>
      <c r="DI81" s="2844">
        <f>(DI75+DI78)-DI79</f>
        <v>0</v>
      </c>
      <c r="DJ81" s="2844">
        <f>(DJ75+DJ78)-DJ79</f>
        <v>0</v>
      </c>
      <c r="DK81" s="2845">
        <f>(DK75+DK78)-DK79</f>
        <v>0</v>
      </c>
      <c r="DL81" s="2847"/>
      <c r="DM81" s="3117"/>
      <c r="DN81" s="2844">
        <f>(DN75+DN78)-DN79</f>
        <v>0</v>
      </c>
      <c r="DO81" s="2844">
        <f>(DO75+DO78)-DO79</f>
        <v>0</v>
      </c>
      <c r="DP81" s="2845">
        <f>(DP75+DP78)-DP79</f>
        <v>0</v>
      </c>
      <c r="DQ81" s="2847"/>
      <c r="DR81" s="2847"/>
      <c r="DS81" s="2844">
        <f>(DS75+DS78)-DS79</f>
        <v>0</v>
      </c>
      <c r="DT81" s="2844">
        <f>(DT75+DT78)-DT79</f>
        <v>0</v>
      </c>
      <c r="DU81" s="2845">
        <f>(DU75+DU78)-DU79</f>
        <v>0</v>
      </c>
      <c r="DV81" s="2847"/>
      <c r="DW81" s="2847"/>
      <c r="DX81" s="2844">
        <f>(DX75+DX78)-DX79</f>
        <v>49870440.117405064</v>
      </c>
      <c r="DY81" s="2844">
        <f>(DY75+DY78)-DY79</f>
        <v>-23305362.250949997</v>
      </c>
      <c r="DZ81" s="2845">
        <f>(DZ75+DZ78)-DZ79</f>
        <v>26565077.866455074</v>
      </c>
      <c r="EA81" s="2847"/>
      <c r="EB81" s="2847"/>
      <c r="ED81" s="2844">
        <f>(ED75+ED78)-ED79</f>
        <v>5610509.5000000028</v>
      </c>
      <c r="EE81" s="2844">
        <f>(EE75+EE78)-EE79</f>
        <v>5614559.5000000028</v>
      </c>
      <c r="EF81" s="3489"/>
    </row>
    <row r="82" spans="1:136" s="1396" customFormat="1" ht="13.95" customHeight="1" thickBot="1">
      <c r="A82" s="1565"/>
      <c r="B82" s="1400" t="s">
        <v>38</v>
      </c>
      <c r="C82" s="3680"/>
      <c r="D82" s="3415"/>
      <c r="E82" s="3390">
        <f>C82+D82</f>
        <v>0</v>
      </c>
      <c r="F82" s="3350"/>
      <c r="G82" s="3331"/>
      <c r="H82" s="3341"/>
      <c r="I82" s="3341"/>
      <c r="J82" s="3390">
        <f>H82+I82</f>
        <v>0</v>
      </c>
      <c r="K82" s="3381"/>
      <c r="L82" s="3381"/>
      <c r="M82" s="3490">
        <v>0</v>
      </c>
      <c r="N82" s="3490">
        <v>0</v>
      </c>
      <c r="O82" s="3681">
        <v>0</v>
      </c>
      <c r="P82" s="3682"/>
      <c r="Q82" s="3381"/>
      <c r="R82" s="3490"/>
      <c r="S82" s="3490"/>
      <c r="T82" s="3681">
        <f>R82+S82</f>
        <v>0</v>
      </c>
      <c r="U82" s="3682"/>
      <c r="V82" s="3682"/>
      <c r="W82" s="3341"/>
      <c r="X82" s="3341"/>
      <c r="Y82" s="3390">
        <f>W82+X82</f>
        <v>0</v>
      </c>
      <c r="Z82" s="3381"/>
      <c r="AA82" s="3381"/>
      <c r="AB82" s="3341"/>
      <c r="AC82" s="3341"/>
      <c r="AD82" s="3390">
        <f>AB82+AC82</f>
        <v>0</v>
      </c>
      <c r="AE82" s="3381"/>
      <c r="AF82" s="3381"/>
      <c r="AG82" s="3341"/>
      <c r="AH82" s="3341"/>
      <c r="AI82" s="3390">
        <f>AG82+AH82</f>
        <v>0</v>
      </c>
      <c r="AJ82" s="568">
        <f t="shared" si="166"/>
        <v>0</v>
      </c>
      <c r="AK82" s="3381"/>
      <c r="AL82" s="3341"/>
      <c r="AM82" s="3341"/>
      <c r="AN82" s="3390">
        <f>AL82+AM82</f>
        <v>0</v>
      </c>
      <c r="AO82" s="568">
        <f t="shared" ref="AO82:AO87" si="174">AN82/$AI$89</f>
        <v>0</v>
      </c>
      <c r="AP82" s="3381"/>
      <c r="AQ82" s="3381"/>
      <c r="AR82" s="3381"/>
      <c r="AS82" s="3390">
        <f>AQ82+AR82</f>
        <v>0</v>
      </c>
      <c r="AT82" s="568">
        <f t="shared" ref="AT82:AT87" si="175">AS82/$AI$89</f>
        <v>0</v>
      </c>
      <c r="AU82" s="3381"/>
      <c r="AV82" s="3381"/>
      <c r="AW82" s="3381"/>
      <c r="AX82" s="3390">
        <f>AV82+AW82</f>
        <v>0</v>
      </c>
      <c r="AY82" s="568">
        <f t="shared" ref="AY82:AY87" si="176">AX82/$AI$89</f>
        <v>0</v>
      </c>
      <c r="AZ82" s="3381"/>
      <c r="BA82" s="3381"/>
      <c r="BB82" s="3381"/>
      <c r="BC82" s="3390">
        <f>BA82+BB82</f>
        <v>0</v>
      </c>
      <c r="BD82" s="568">
        <f>BC82/$AI$89</f>
        <v>0</v>
      </c>
      <c r="BE82" s="3381"/>
      <c r="BF82" s="3659">
        <v>0</v>
      </c>
      <c r="BG82" s="3354">
        <v>0</v>
      </c>
      <c r="BH82" s="3390">
        <v>0</v>
      </c>
      <c r="BI82" s="3381"/>
      <c r="BJ82" s="3381"/>
      <c r="BK82" s="3659">
        <f>BP82+BU82+BZ82+CE82+CJ82+CO82+CT82+CY82+DD82+DI82</f>
        <v>0</v>
      </c>
      <c r="BL82" s="3354">
        <f>BQ82+BV82+CA82+CF82+CK82+CP82+CU82+CZ82+DE82+DJ82</f>
        <v>0</v>
      </c>
      <c r="BM82" s="3390">
        <f>BK82+BL82</f>
        <v>0</v>
      </c>
      <c r="BN82" s="3381"/>
      <c r="BO82" s="3381"/>
      <c r="BP82" s="3381"/>
      <c r="BQ82" s="3381"/>
      <c r="BR82" s="3390">
        <f>BP82+BQ82</f>
        <v>0</v>
      </c>
      <c r="BS82" s="3633">
        <f>BR82/$AI$89</f>
        <v>0</v>
      </c>
      <c r="BT82" s="3381"/>
      <c r="BU82" s="3381"/>
      <c r="BV82" s="3381"/>
      <c r="BW82" s="3390">
        <f>BU82+BV82</f>
        <v>0</v>
      </c>
      <c r="BX82" s="3381"/>
      <c r="BY82" s="3381"/>
      <c r="BZ82" s="3341"/>
      <c r="CA82" s="3341"/>
      <c r="CB82" s="3390">
        <f>BZ82+CA82</f>
        <v>0</v>
      </c>
      <c r="CC82" s="3381"/>
      <c r="CD82" s="3381"/>
      <c r="CE82" s="3341"/>
      <c r="CF82" s="3341"/>
      <c r="CG82" s="3390">
        <f>CE82+CF82</f>
        <v>0</v>
      </c>
      <c r="CH82" s="3381"/>
      <c r="CI82" s="3381"/>
      <c r="CJ82" s="3341"/>
      <c r="CK82" s="3341"/>
      <c r="CL82" s="3390">
        <f>CJ82+CK82</f>
        <v>0</v>
      </c>
      <c r="CM82" s="3381"/>
      <c r="CN82" s="3381"/>
      <c r="CO82" s="3341"/>
      <c r="CP82" s="3341"/>
      <c r="CQ82" s="3390">
        <f>CO82+CP82</f>
        <v>0</v>
      </c>
      <c r="CR82" s="3381"/>
      <c r="CS82" s="3381"/>
      <c r="CT82" s="3341"/>
      <c r="CU82" s="3341"/>
      <c r="CV82" s="3390">
        <f>CT82+CU82</f>
        <v>0</v>
      </c>
      <c r="CW82" s="3381"/>
      <c r="CX82" s="3381"/>
      <c r="CY82" s="3341"/>
      <c r="CZ82" s="3341"/>
      <c r="DA82" s="3390">
        <f>CY82+CZ82</f>
        <v>0</v>
      </c>
      <c r="DB82" s="3381"/>
      <c r="DC82" s="3381"/>
      <c r="DD82" s="3341"/>
      <c r="DE82" s="3341"/>
      <c r="DF82" s="3390">
        <f>DD82+DE82</f>
        <v>0</v>
      </c>
      <c r="DG82" s="3381"/>
      <c r="DH82" s="3634"/>
      <c r="DI82" s="3354"/>
      <c r="DJ82" s="3341"/>
      <c r="DK82" s="3390">
        <f>DI82+DJ82</f>
        <v>0</v>
      </c>
      <c r="DL82" s="3381"/>
      <c r="DM82" s="3634"/>
      <c r="DN82" s="3354"/>
      <c r="DO82" s="3341"/>
      <c r="DP82" s="3390">
        <f>DN82+DO82</f>
        <v>0</v>
      </c>
      <c r="DQ82" s="3381"/>
      <c r="DR82" s="3381"/>
      <c r="DS82" s="3354"/>
      <c r="DT82" s="3341"/>
      <c r="DU82" s="3390">
        <f>DS82+DT82</f>
        <v>0</v>
      </c>
      <c r="DV82" s="3381"/>
      <c r="DW82" s="3381"/>
      <c r="DX82" s="3354">
        <f>R82+W82+AB82+AG82+AL82+AQ82+AV82+BA82+BP82+BU82+BZ82+CE82+CJ82+CO82+CT82+CY82+DD82</f>
        <v>0</v>
      </c>
      <c r="DY82" s="3341">
        <f>S82+X82+AC82+AH82+AM82+AR82+AW82+BB82+BQ82+BV82+CA82+CF82+CK82+CP82+CU82+CZ82+DE82</f>
        <v>0</v>
      </c>
      <c r="DZ82" s="3390">
        <f>DX82+DY82</f>
        <v>0</v>
      </c>
      <c r="EA82" s="3381"/>
      <c r="EB82" s="3381"/>
      <c r="ED82" s="3354"/>
      <c r="EE82" s="3354"/>
      <c r="EF82" s="3489"/>
    </row>
    <row r="83" spans="1:136" s="1396" customFormat="1" ht="13.95" customHeight="1" thickBot="1">
      <c r="A83" s="1405"/>
      <c r="B83" s="3395" t="s">
        <v>13</v>
      </c>
      <c r="C83" s="3396">
        <f>(C81+C7)-C36</f>
        <v>-1230542.02</v>
      </c>
      <c r="D83" s="3396">
        <f>(D81+D7)-D36</f>
        <v>-1189256.33</v>
      </c>
      <c r="E83" s="3397">
        <f>(E81+E7)-E36</f>
        <v>-2581969.667727273</v>
      </c>
      <c r="F83" s="3683"/>
      <c r="G83" s="3684"/>
      <c r="H83" s="3396">
        <f>(H81+H7)-H36</f>
        <v>3279484.1915772734</v>
      </c>
      <c r="I83" s="3396">
        <f>(I81+I7)-I36</f>
        <v>-1312276.8000000005</v>
      </c>
      <c r="J83" s="3397">
        <f>(J81+J7)-J36</f>
        <v>1967207.3915772715</v>
      </c>
      <c r="K83" s="3398"/>
      <c r="L83" s="3398"/>
      <c r="M83" s="3685">
        <v>15112887.767400002</v>
      </c>
      <c r="N83" s="3685">
        <v>-10324959.719999999</v>
      </c>
      <c r="O83" s="3686">
        <v>3315919.3567231689</v>
      </c>
      <c r="P83" s="3687"/>
      <c r="Q83" s="3399"/>
      <c r="R83" s="3685">
        <f>(R81+R7)-R36</f>
        <v>-47034.706417816094</v>
      </c>
      <c r="S83" s="3685">
        <f>(S81+S7)-S36</f>
        <v>-668803.32094999996</v>
      </c>
      <c r="T83" s="3686">
        <f>(T81+T7)-T36</f>
        <v>-715838.02736781619</v>
      </c>
      <c r="U83" s="3687"/>
      <c r="V83" s="3687"/>
      <c r="W83" s="3396">
        <f>(W81+W7)-W36</f>
        <v>1058421.1898620687</v>
      </c>
      <c r="X83" s="3396">
        <f>(X81+X7)-X36</f>
        <v>-903283.35</v>
      </c>
      <c r="Y83" s="3397">
        <f>(Y81+Y7)-Y36</f>
        <v>155137.83986206894</v>
      </c>
      <c r="Z83" s="3398"/>
      <c r="AA83" s="3398"/>
      <c r="AB83" s="3396">
        <f>(AB81+AB7)-AB36</f>
        <v>429740.18473563227</v>
      </c>
      <c r="AC83" s="3396">
        <f>(AC81+AC7)-AC36</f>
        <v>-316637</v>
      </c>
      <c r="AD83" s="3397">
        <f>(AD81+AD7)-AD36</f>
        <v>113103.1847356323</v>
      </c>
      <c r="AE83" s="3398"/>
      <c r="AF83" s="3398"/>
      <c r="AG83" s="3396">
        <f>(AG81+AG7)-AG36</f>
        <v>720318.79177523649</v>
      </c>
      <c r="AH83" s="3396">
        <f>(AH81+AH7)-AH36</f>
        <v>-420539.59000000008</v>
      </c>
      <c r="AI83" s="3397">
        <f>(AI81+AI7)-AI36</f>
        <v>299779.20177523646</v>
      </c>
      <c r="AJ83" s="1528">
        <f t="shared" si="166"/>
        <v>0.27714060347534075</v>
      </c>
      <c r="AK83" s="3398"/>
      <c r="AL83" s="3396">
        <f>(AL81+AL7)-AL36</f>
        <v>3190424.7637690138</v>
      </c>
      <c r="AM83" s="3396">
        <f>(AM81+AM7)-AM36</f>
        <v>-1594487.18</v>
      </c>
      <c r="AN83" s="3397">
        <f>(AN81+AN7)-AN36</f>
        <v>1595937.5837690146</v>
      </c>
      <c r="AO83" s="1528">
        <f t="shared" si="174"/>
        <v>1.4754162478768011</v>
      </c>
      <c r="AP83" s="3398"/>
      <c r="AQ83" s="3399">
        <f>(AQ81+AQ7)-AQ36</f>
        <v>5952961.8463783544</v>
      </c>
      <c r="AR83" s="3399">
        <f>(AR81+AR7)-AR36</f>
        <v>-2050566.3199999998</v>
      </c>
      <c r="AS83" s="3397">
        <f>(AS81+AS7)-AS36</f>
        <v>3902395.526378355</v>
      </c>
      <c r="AT83" s="1528">
        <f t="shared" si="175"/>
        <v>3.6076960802332305</v>
      </c>
      <c r="AU83" s="3399"/>
      <c r="AV83" s="3399">
        <f>(AV81+AV7)-AV36</f>
        <v>6614235.1903379504</v>
      </c>
      <c r="AW83" s="3399">
        <f>(AW81+AW7)-AW36</f>
        <v>-2775184.17</v>
      </c>
      <c r="AX83" s="3397">
        <f>(AX81)-AX36</f>
        <v>3827840.6603379487</v>
      </c>
      <c r="AY83" s="1528">
        <f t="shared" si="176"/>
        <v>3.5387714168673141</v>
      </c>
      <c r="AZ83" s="3688"/>
      <c r="BA83" s="3399">
        <f>(BA81+BA7)-BA36</f>
        <v>7514720.4586283313</v>
      </c>
      <c r="BB83" s="3399">
        <f>(BB81+BB7)-BB36</f>
        <v>-2375415.0099999998</v>
      </c>
      <c r="BC83" s="3397">
        <f>(BC81)-BC36</f>
        <v>5132811.7586283311</v>
      </c>
      <c r="BD83" s="1528"/>
      <c r="BE83" s="3399"/>
      <c r="BF83" s="3396">
        <v>24104816.588336293</v>
      </c>
      <c r="BG83" s="3397">
        <v>-12195946.310000001</v>
      </c>
      <c r="BH83" s="3396">
        <v>11908870.278336296</v>
      </c>
      <c r="BI83" s="3398"/>
      <c r="BJ83" s="3398"/>
      <c r="BK83" s="3396">
        <f>BK81-BK36</f>
        <v>0</v>
      </c>
      <c r="BL83" s="3397">
        <f>BL81-BL36</f>
        <v>0</v>
      </c>
      <c r="BM83" s="3396">
        <f>BM81-BM36</f>
        <v>0</v>
      </c>
      <c r="BN83" s="3398"/>
      <c r="BO83" s="3398"/>
      <c r="BP83" s="3399">
        <f>(BP81+BP7)-BP36</f>
        <v>0</v>
      </c>
      <c r="BQ83" s="3399">
        <f>(BQ81+BQ7)-BQ36</f>
        <v>0</v>
      </c>
      <c r="BR83" s="3397">
        <f>(BR81)-BR36</f>
        <v>0</v>
      </c>
      <c r="BS83" s="3398"/>
      <c r="BT83" s="3399"/>
      <c r="BU83" s="3399">
        <f>(BU81+BU7)-BU36</f>
        <v>0</v>
      </c>
      <c r="BV83" s="3399">
        <f>(BV81+BV7)-BV36</f>
        <v>0</v>
      </c>
      <c r="BW83" s="3397">
        <f>(BW81)-BW36</f>
        <v>0</v>
      </c>
      <c r="BX83" s="3398"/>
      <c r="BY83" s="3398"/>
      <c r="BZ83" s="3396">
        <f>(BZ81+BZ7)-BZ36</f>
        <v>0</v>
      </c>
      <c r="CA83" s="3396">
        <f>(CA81+CA7)-CA36</f>
        <v>0</v>
      </c>
      <c r="CB83" s="3397">
        <f>(CB81+CB7)-CB36</f>
        <v>0</v>
      </c>
      <c r="CC83" s="3398"/>
      <c r="CD83" s="3398"/>
      <c r="CE83" s="3396">
        <f>(CE81+CE7)-CE36</f>
        <v>0</v>
      </c>
      <c r="CF83" s="3396">
        <f>(CF81+CF7)-CF36</f>
        <v>0</v>
      </c>
      <c r="CG83" s="3397">
        <f>(CG81+CG7)-CG36</f>
        <v>0</v>
      </c>
      <c r="CH83" s="3398"/>
      <c r="CI83" s="3398"/>
      <c r="CJ83" s="3396">
        <f>(CJ81+CJ7)-CJ36</f>
        <v>0</v>
      </c>
      <c r="CK83" s="3396">
        <f>(CK81+CK7)-CK36</f>
        <v>0</v>
      </c>
      <c r="CL83" s="3397">
        <f>(CL81+CL7)-CL36</f>
        <v>0</v>
      </c>
      <c r="CM83" s="3398"/>
      <c r="CN83" s="3398"/>
      <c r="CO83" s="3396">
        <f>(CO81+CO7)-CO36</f>
        <v>0</v>
      </c>
      <c r="CP83" s="3396">
        <f>(CP81+CP7)-CP36</f>
        <v>0</v>
      </c>
      <c r="CQ83" s="3397">
        <f>(CQ81+CQ7)-CQ36</f>
        <v>0</v>
      </c>
      <c r="CR83" s="3398"/>
      <c r="CS83" s="3398"/>
      <c r="CT83" s="3396">
        <f>(CT81+CT7)-CT36</f>
        <v>0</v>
      </c>
      <c r="CU83" s="3396">
        <f>(CU81+CU7)-CU36</f>
        <v>0</v>
      </c>
      <c r="CV83" s="3397">
        <f>(CV81+CV7)-CV36</f>
        <v>0</v>
      </c>
      <c r="CW83" s="3398"/>
      <c r="CX83" s="3398"/>
      <c r="CY83" s="3396">
        <f>(CY81+CY7)-CY36</f>
        <v>0</v>
      </c>
      <c r="CZ83" s="3396">
        <f>(CZ81+CZ7)-CZ36</f>
        <v>0</v>
      </c>
      <c r="DA83" s="3397">
        <f>(DA81+DA7)-DA36</f>
        <v>0</v>
      </c>
      <c r="DB83" s="3398"/>
      <c r="DC83" s="3399"/>
      <c r="DD83" s="3396">
        <f>(DD81+DD7)-DD36</f>
        <v>0</v>
      </c>
      <c r="DE83" s="3396">
        <f>(DE81+DE7)-DE36</f>
        <v>0</v>
      </c>
      <c r="DF83" s="3397">
        <f>(DF81+DF7)-DF36</f>
        <v>0</v>
      </c>
      <c r="DG83" s="3398"/>
      <c r="DH83" s="3399"/>
      <c r="DI83" s="3396">
        <f>(DI81+DI7)-DI36</f>
        <v>0</v>
      </c>
      <c r="DJ83" s="3396">
        <f>(DJ81+DJ7)-DJ36</f>
        <v>0</v>
      </c>
      <c r="DK83" s="3397">
        <f>(DK81+DK7)-DK36</f>
        <v>0</v>
      </c>
      <c r="DL83" s="3398"/>
      <c r="DM83" s="3399"/>
      <c r="DN83" s="3396">
        <f>(DN81+DN7)-DN36</f>
        <v>0</v>
      </c>
      <c r="DO83" s="3396">
        <f>(DO81+DO7)-DO36</f>
        <v>0</v>
      </c>
      <c r="DP83" s="3397">
        <f>(DP81+DP7)-DP36</f>
        <v>0</v>
      </c>
      <c r="DQ83" s="3398"/>
      <c r="DR83" s="3398"/>
      <c r="DS83" s="3396">
        <f>(DS81+DS7)-DS36</f>
        <v>0</v>
      </c>
      <c r="DT83" s="3396">
        <f>(DT81+DT7)-DT36</f>
        <v>0</v>
      </c>
      <c r="DU83" s="3397">
        <f>(DU81+DU7)-DU36</f>
        <v>0</v>
      </c>
      <c r="DV83" s="3398"/>
      <c r="DW83" s="3398"/>
      <c r="DX83" s="3396">
        <f>(DX81+DX7)-DX36</f>
        <v>49538604.307405062</v>
      </c>
      <c r="DY83" s="3396">
        <f>(DY81+DY7)-DY36</f>
        <v>-23300862.250949997</v>
      </c>
      <c r="DZ83" s="3397">
        <f>(DZ81)-DZ36</f>
        <v>26220038.006455075</v>
      </c>
      <c r="EA83" s="3398"/>
      <c r="EB83" s="3398"/>
      <c r="ED83" s="3396">
        <f>ED81-ED36</f>
        <v>5443247.9000000032</v>
      </c>
      <c r="EE83" s="3396">
        <f>EE81-EE36</f>
        <v>5447297.9000000032</v>
      </c>
      <c r="EF83" s="3489"/>
    </row>
    <row r="84" spans="1:136" s="1396" customFormat="1" ht="13.95" customHeight="1" thickBot="1">
      <c r="A84" s="1405"/>
      <c r="B84" s="3416" t="s">
        <v>14</v>
      </c>
      <c r="C84" s="3482">
        <f>C83-C73-C82</f>
        <v>-1230542.02</v>
      </c>
      <c r="D84" s="3482">
        <f>D83-D73-D82</f>
        <v>-1189256.33</v>
      </c>
      <c r="E84" s="3400">
        <f>E83-E73-E82</f>
        <v>-2581969.667727273</v>
      </c>
      <c r="F84" s="3689"/>
      <c r="G84" s="3690"/>
      <c r="H84" s="3482">
        <f>H83-H73-H82</f>
        <v>3279484.1915772734</v>
      </c>
      <c r="I84" s="3482">
        <f>I83-I73-I82</f>
        <v>-1312276.8000000005</v>
      </c>
      <c r="J84" s="3400">
        <f>J83-J73-J82</f>
        <v>1967207.3915772715</v>
      </c>
      <c r="K84" s="3401"/>
      <c r="L84" s="3401"/>
      <c r="M84" s="3691">
        <v>15112887.767400002</v>
      </c>
      <c r="N84" s="3691">
        <v>-10324959.719999999</v>
      </c>
      <c r="O84" s="3691">
        <v>3315919.3567231689</v>
      </c>
      <c r="P84" s="3692"/>
      <c r="Q84" s="3401"/>
      <c r="R84" s="3691">
        <f>R83-R73-R82</f>
        <v>-47034.706417816094</v>
      </c>
      <c r="S84" s="3691">
        <f>S83-S73-S82</f>
        <v>-668803.32094999996</v>
      </c>
      <c r="T84" s="3691">
        <f>T83-T73-T82</f>
        <v>-715838.02736781619</v>
      </c>
      <c r="U84" s="3692"/>
      <c r="V84" s="3692"/>
      <c r="W84" s="3400">
        <f>W83-W73-W82</f>
        <v>1058421.1898620687</v>
      </c>
      <c r="X84" s="3400">
        <f>X83-X73-X82</f>
        <v>-903283.35</v>
      </c>
      <c r="Y84" s="3400">
        <f>Y83-Y73-Y82</f>
        <v>155137.83986206894</v>
      </c>
      <c r="Z84" s="3401"/>
      <c r="AA84" s="3401"/>
      <c r="AB84" s="3400">
        <f>AB83-AB73-AB82</f>
        <v>419949.80473563226</v>
      </c>
      <c r="AC84" s="3400">
        <f>AC83-AC73-AC82</f>
        <v>-316637</v>
      </c>
      <c r="AD84" s="3400">
        <f>AD83-AD73-AD82</f>
        <v>103312.80473563229</v>
      </c>
      <c r="AE84" s="3401"/>
      <c r="AF84" s="3401"/>
      <c r="AG84" s="3400">
        <f>AG83-AG73-AG82</f>
        <v>631845.44177523651</v>
      </c>
      <c r="AH84" s="3400">
        <f>AH83-AH73-AH82</f>
        <v>-420539.59000000008</v>
      </c>
      <c r="AI84" s="3400">
        <f>AI83-AI73-AI82</f>
        <v>211305.85177523649</v>
      </c>
      <c r="AJ84" s="563">
        <f t="shared" si="166"/>
        <v>0.19534854630364643</v>
      </c>
      <c r="AK84" s="3401"/>
      <c r="AL84" s="3400">
        <f>AL83-AL73-AL82</f>
        <v>2748570.8837690139</v>
      </c>
      <c r="AM84" s="3400">
        <f>AM83-AM73-AM82</f>
        <v>-1594487.18</v>
      </c>
      <c r="AN84" s="3400">
        <f>AN83-AN73-AN82</f>
        <v>1154083.7037690144</v>
      </c>
      <c r="AO84" s="563">
        <f t="shared" si="174"/>
        <v>1.0669301013197308</v>
      </c>
      <c r="AP84" s="3401"/>
      <c r="AQ84" s="3401">
        <f>AQ83-AQ73-AQ82</f>
        <v>5952961.8463783544</v>
      </c>
      <c r="AR84" s="3401">
        <f>AR83-AR73-AR82</f>
        <v>-2050566.3199999998</v>
      </c>
      <c r="AS84" s="3400">
        <f>AS83-AS73-AS82</f>
        <v>3789079.756378355</v>
      </c>
      <c r="AT84" s="563">
        <f t="shared" si="175"/>
        <v>3.5029376423726255</v>
      </c>
      <c r="AU84" s="3401"/>
      <c r="AV84" s="3401">
        <f>AV83-AV73-AV82</f>
        <v>6506797.1103379503</v>
      </c>
      <c r="AW84" s="3401">
        <f>AW83-AW73-AW82</f>
        <v>-2775184.17</v>
      </c>
      <c r="AX84" s="3400">
        <f>AX83-AX73-AX82</f>
        <v>3720402.5803379486</v>
      </c>
      <c r="AY84" s="563">
        <f t="shared" si="176"/>
        <v>3.4394468001123579</v>
      </c>
      <c r="AZ84" s="3332"/>
      <c r="BA84" s="3401">
        <f>BA83-BA73-BA82</f>
        <v>7270586.4886283316</v>
      </c>
      <c r="BB84" s="3401">
        <f>BB83-BB73-BB82</f>
        <v>-2375415.0099999998</v>
      </c>
      <c r="BC84" s="3400">
        <f>BC83-BC73-BC82</f>
        <v>4888677.7886283314</v>
      </c>
      <c r="BD84" s="563"/>
      <c r="BE84" s="3401"/>
      <c r="BF84" s="2850">
        <v>23386653.358336292</v>
      </c>
      <c r="BG84" s="2852">
        <v>-12195946.310000001</v>
      </c>
      <c r="BH84" s="2852">
        <v>11190707.048336295</v>
      </c>
      <c r="BI84" s="2853"/>
      <c r="BJ84" s="3554"/>
      <c r="BK84" s="2850">
        <f>BK83-BK73-BK82</f>
        <v>0</v>
      </c>
      <c r="BL84" s="2852">
        <f>BL83-BL73-BL82</f>
        <v>0</v>
      </c>
      <c r="BM84" s="2852">
        <f>BM83-BM73-BM82</f>
        <v>0</v>
      </c>
      <c r="BN84" s="2853"/>
      <c r="BO84" s="3554"/>
      <c r="BP84" s="2853">
        <f>BP83-BP73-BP82</f>
        <v>0</v>
      </c>
      <c r="BQ84" s="2853">
        <f>BQ83-BQ73-BQ82</f>
        <v>0</v>
      </c>
      <c r="BR84" s="2852">
        <f>BR83-BR73-BR82</f>
        <v>0</v>
      </c>
      <c r="BS84" s="2853"/>
      <c r="BT84" s="2853"/>
      <c r="BU84" s="2853">
        <f>BU83-BU73-BU82</f>
        <v>0</v>
      </c>
      <c r="BV84" s="3401">
        <f>BV83-BV73-BV82</f>
        <v>0</v>
      </c>
      <c r="BW84" s="3400">
        <f>BW83-BW73-BW82</f>
        <v>0</v>
      </c>
      <c r="BX84" s="3401"/>
      <c r="BY84" s="3401"/>
      <c r="BZ84" s="3400">
        <f>BZ83-BZ73-BZ82</f>
        <v>0</v>
      </c>
      <c r="CA84" s="3400">
        <f>CA83-CA73-CA82</f>
        <v>0</v>
      </c>
      <c r="CB84" s="3400">
        <f>CB83-CB73-CB82</f>
        <v>0</v>
      </c>
      <c r="CC84" s="3401"/>
      <c r="CD84" s="3401"/>
      <c r="CE84" s="3400">
        <f>CE83-CE73-CE82</f>
        <v>0</v>
      </c>
      <c r="CF84" s="3400">
        <f>CF83-CF73-CF82</f>
        <v>0</v>
      </c>
      <c r="CG84" s="3400">
        <f>CG83-CG73-CG82</f>
        <v>0</v>
      </c>
      <c r="CH84" s="3401"/>
      <c r="CI84" s="3401"/>
      <c r="CJ84" s="3400">
        <f>CJ83-CJ73-CJ82</f>
        <v>0</v>
      </c>
      <c r="CK84" s="2852">
        <f>CK83-CK73-CK82</f>
        <v>0</v>
      </c>
      <c r="CL84" s="2852">
        <f>CL83-CL73-CL82</f>
        <v>0</v>
      </c>
      <c r="CM84" s="3401"/>
      <c r="CN84" s="3401"/>
      <c r="CO84" s="3400">
        <f>CO83-CO73-CO82</f>
        <v>0</v>
      </c>
      <c r="CP84" s="2852">
        <f>CP83-CP73-CP82</f>
        <v>0</v>
      </c>
      <c r="CQ84" s="2852">
        <f>CQ83-CQ73-CQ82</f>
        <v>0</v>
      </c>
      <c r="CR84" s="3401"/>
      <c r="CS84" s="3401"/>
      <c r="CT84" s="3400">
        <f>CT83-CT73-CT82</f>
        <v>0</v>
      </c>
      <c r="CU84" s="2852">
        <f>CU83-CU73-CU82</f>
        <v>0</v>
      </c>
      <c r="CV84" s="2852">
        <f>CV83-CV73-CV82</f>
        <v>0</v>
      </c>
      <c r="CW84" s="3401"/>
      <c r="CX84" s="3401"/>
      <c r="CY84" s="2852">
        <f>CY83-CY73-CY82</f>
        <v>0</v>
      </c>
      <c r="CZ84" s="2852">
        <f>CZ83-CZ73-CZ82</f>
        <v>0</v>
      </c>
      <c r="DA84" s="2852">
        <f>DA83-DA73-DA82</f>
        <v>0</v>
      </c>
      <c r="DB84" s="2853"/>
      <c r="DC84" s="2853"/>
      <c r="DD84" s="2852">
        <f>DD83-DD73-DD82</f>
        <v>0</v>
      </c>
      <c r="DE84" s="2852">
        <f>DE83-DE73-DE82</f>
        <v>0</v>
      </c>
      <c r="DF84" s="2852">
        <f>DF83-DF73-DF82</f>
        <v>0</v>
      </c>
      <c r="DG84" s="2853"/>
      <c r="DH84" s="3693"/>
      <c r="DI84" s="2852">
        <f>DI83-DI73-DI82</f>
        <v>0</v>
      </c>
      <c r="DJ84" s="2852">
        <f>DJ83-DJ73-DJ82</f>
        <v>0</v>
      </c>
      <c r="DK84" s="2852">
        <f>DK83-DK73-DK82</f>
        <v>0</v>
      </c>
      <c r="DL84" s="2853"/>
      <c r="DM84" s="3693"/>
      <c r="DN84" s="2852">
        <f>DN83-DN73-DN82</f>
        <v>0</v>
      </c>
      <c r="DO84" s="2852">
        <f>DO83-DO73-DO82</f>
        <v>0</v>
      </c>
      <c r="DP84" s="2852">
        <f>DP83-DP73-DP82</f>
        <v>0</v>
      </c>
      <c r="DQ84" s="2853"/>
      <c r="DR84" s="2853"/>
      <c r="DS84" s="2852">
        <f>DS83-DS73-DS82</f>
        <v>0</v>
      </c>
      <c r="DT84" s="2852">
        <f>DT83-DT73-DT82</f>
        <v>0</v>
      </c>
      <c r="DU84" s="2852">
        <f>DU83-DU73-DU82</f>
        <v>0</v>
      </c>
      <c r="DV84" s="2853"/>
      <c r="DW84" s="2853"/>
      <c r="DX84" s="2852">
        <f>DX83-DX73-DX82</f>
        <v>47815435.647405058</v>
      </c>
      <c r="DY84" s="2852">
        <f>DY83-DY73-DY82</f>
        <v>-23300862.250949997</v>
      </c>
      <c r="DZ84" s="3400">
        <f>DZ83-DZ73-DZ82</f>
        <v>24496869.346455075</v>
      </c>
      <c r="EA84" s="3401"/>
      <c r="EB84" s="3401"/>
      <c r="ED84" s="2852">
        <f>ED83-ED73-ED82</f>
        <v>4658336.1800000034</v>
      </c>
      <c r="EE84" s="2852">
        <f>EE83-EE73-EE82</f>
        <v>4662386.1800000034</v>
      </c>
      <c r="EF84" s="3489"/>
    </row>
    <row r="85" spans="1:136" s="1396" customFormat="1" ht="13.95" customHeight="1" thickBot="1">
      <c r="A85" s="1565"/>
      <c r="B85" s="1557" t="s">
        <v>44</v>
      </c>
      <c r="C85" s="3405"/>
      <c r="D85" s="3405"/>
      <c r="E85" s="3390">
        <f>C85+D85</f>
        <v>0</v>
      </c>
      <c r="F85" s="1559"/>
      <c r="G85" s="567"/>
      <c r="H85" s="3347"/>
      <c r="I85" s="3347"/>
      <c r="J85" s="2124">
        <f>H85+I85*1.15</f>
        <v>0</v>
      </c>
      <c r="K85" s="3405"/>
      <c r="L85" s="3405"/>
      <c r="M85" s="3694"/>
      <c r="N85" s="3694"/>
      <c r="O85" s="3695">
        <v>0</v>
      </c>
      <c r="P85" s="3696"/>
      <c r="Q85" s="3405"/>
      <c r="R85" s="3694"/>
      <c r="S85" s="3694"/>
      <c r="T85" s="3695">
        <f>R85+S85*1.15</f>
        <v>0</v>
      </c>
      <c r="U85" s="3696"/>
      <c r="V85" s="3696"/>
      <c r="W85" s="3347"/>
      <c r="X85" s="3347"/>
      <c r="Y85" s="2124">
        <f>W85+X85*1.15</f>
        <v>0</v>
      </c>
      <c r="Z85" s="3405"/>
      <c r="AA85" s="3405"/>
      <c r="AB85" s="3347"/>
      <c r="AC85" s="3347"/>
      <c r="AD85" s="2124">
        <f>AB85+AC85*1.15</f>
        <v>0</v>
      </c>
      <c r="AE85" s="3405"/>
      <c r="AF85" s="3405"/>
      <c r="AG85" s="3347"/>
      <c r="AH85" s="3347"/>
      <c r="AI85" s="2124">
        <f>AG85+AH85*1.15</f>
        <v>0</v>
      </c>
      <c r="AJ85" s="568">
        <f t="shared" si="166"/>
        <v>0</v>
      </c>
      <c r="AK85" s="3405"/>
      <c r="AL85" s="3347"/>
      <c r="AM85" s="3347"/>
      <c r="AN85" s="2124">
        <f>AL85+AM85*1.15</f>
        <v>0</v>
      </c>
      <c r="AO85" s="568">
        <f t="shared" si="174"/>
        <v>0</v>
      </c>
      <c r="AP85" s="3405"/>
      <c r="AQ85" s="3405">
        <v>1350</v>
      </c>
      <c r="AR85" s="3405">
        <v>9000</v>
      </c>
      <c r="AS85" s="2124">
        <f>AQ85+AR85</f>
        <v>10350</v>
      </c>
      <c r="AT85" s="568">
        <f t="shared" si="175"/>
        <v>9.5683931006007635E-3</v>
      </c>
      <c r="AU85" s="3405" t="s">
        <v>1173</v>
      </c>
      <c r="AV85" s="3405"/>
      <c r="AW85" s="3405"/>
      <c r="AX85" s="2124">
        <f>AV85+AW85*1.15</f>
        <v>0</v>
      </c>
      <c r="AY85" s="568">
        <f t="shared" si="176"/>
        <v>0</v>
      </c>
      <c r="AZ85" s="3405"/>
      <c r="BA85" s="3405"/>
      <c r="BB85" s="3405"/>
      <c r="BC85" s="2124">
        <f>BA85+BB85*1.15</f>
        <v>0</v>
      </c>
      <c r="BD85" s="568">
        <f>BC85/$AI$89</f>
        <v>0</v>
      </c>
      <c r="BE85" s="3405"/>
      <c r="BF85" s="3659">
        <v>2955500</v>
      </c>
      <c r="BG85" s="3354">
        <v>2628611</v>
      </c>
      <c r="BH85" s="3341">
        <v>5584111</v>
      </c>
      <c r="BI85" s="3381"/>
      <c r="BJ85" s="3343">
        <v>0</v>
      </c>
      <c r="BK85" s="3659">
        <f t="shared" ref="BK85:BL85" si="177">BP85+BU85+BZ85+CE85+CJ85+CO85+CT85+CY85+DD85+DI85+DN85+DS85</f>
        <v>0</v>
      </c>
      <c r="BL85" s="3354">
        <f t="shared" si="177"/>
        <v>0</v>
      </c>
      <c r="BM85" s="3341">
        <f>BK85+BL85</f>
        <v>0</v>
      </c>
      <c r="BN85" s="3381"/>
      <c r="BO85" s="3343">
        <f t="shared" ref="BO85" si="178">BM85-BR85-BW85-CB85-CG85-CL85-CQ85-CV85</f>
        <v>0</v>
      </c>
      <c r="BP85" s="3381"/>
      <c r="BQ85" s="3381"/>
      <c r="BR85" s="2012">
        <f>BP85+BQ85*1.15</f>
        <v>0</v>
      </c>
      <c r="BS85" s="3633">
        <f>BR85/$AI$89</f>
        <v>0</v>
      </c>
      <c r="BT85" s="3381"/>
      <c r="BU85" s="3381"/>
      <c r="BV85" s="3405"/>
      <c r="BW85" s="2124">
        <f>BU85+BV85*1.15</f>
        <v>0</v>
      </c>
      <c r="BX85" s="3405"/>
      <c r="BY85" s="3417"/>
      <c r="BZ85" s="3347"/>
      <c r="CA85" s="3347"/>
      <c r="CB85" s="3390">
        <f>BZ85+CA85</f>
        <v>0</v>
      </c>
      <c r="CC85" s="3405"/>
      <c r="CD85" s="3418"/>
      <c r="CE85" s="3346"/>
      <c r="CF85" s="3347"/>
      <c r="CG85" s="3390">
        <f>CE85+CF85</f>
        <v>0</v>
      </c>
      <c r="CH85" s="3419"/>
      <c r="CI85" s="3417"/>
      <c r="CJ85" s="3347"/>
      <c r="CK85" s="3341"/>
      <c r="CL85" s="3349">
        <f>CJ85+CK85</f>
        <v>0</v>
      </c>
      <c r="CM85" s="3419"/>
      <c r="CN85" s="3417"/>
      <c r="CO85" s="3347"/>
      <c r="CP85" s="3341"/>
      <c r="CQ85" s="3349">
        <f>CO85+CP85</f>
        <v>0</v>
      </c>
      <c r="CR85" s="3419"/>
      <c r="CS85" s="3417"/>
      <c r="CT85" s="3347"/>
      <c r="CU85" s="3341"/>
      <c r="CV85" s="3349">
        <f>CT85+CU85</f>
        <v>0</v>
      </c>
      <c r="CW85" s="3419"/>
      <c r="CX85" s="3417"/>
      <c r="CY85" s="3341"/>
      <c r="CZ85" s="3341"/>
      <c r="DA85" s="3349">
        <f>CY85+CZ85</f>
        <v>0</v>
      </c>
      <c r="DB85" s="3404"/>
      <c r="DC85" s="3403"/>
      <c r="DD85" s="3341"/>
      <c r="DE85" s="3341"/>
      <c r="DF85" s="3349">
        <f>DD85+DE85</f>
        <v>0</v>
      </c>
      <c r="DG85" s="3404"/>
      <c r="DH85" s="3697"/>
      <c r="DI85" s="3354"/>
      <c r="DJ85" s="3341"/>
      <c r="DK85" s="3349">
        <f>DI85+DJ85</f>
        <v>0</v>
      </c>
      <c r="DL85" s="3404"/>
      <c r="DM85" s="3697"/>
      <c r="DN85" s="3354"/>
      <c r="DO85" s="3341"/>
      <c r="DP85" s="3349">
        <f>DN85+DO85</f>
        <v>0</v>
      </c>
      <c r="DQ85" s="3404"/>
      <c r="DR85" s="3403"/>
      <c r="DS85" s="3354"/>
      <c r="DT85" s="3341"/>
      <c r="DU85" s="3349">
        <f>DS85+DT85</f>
        <v>0</v>
      </c>
      <c r="DV85" s="3404"/>
      <c r="DW85" s="3403"/>
      <c r="DX85" s="3428">
        <f t="shared" ref="DX85:DY85" si="179">R85+W85+AB85+AG85+AL85+AQ85+AV85+BA85+BP85+BU85+BZ85+CE85+CJ85+CO85+CT85+CY85+DD85+DI85+DN85+DS85+BF85</f>
        <v>2956850</v>
      </c>
      <c r="DY85" s="3428">
        <f t="shared" si="179"/>
        <v>2637611</v>
      </c>
      <c r="DZ85" s="3390">
        <f>DX85+DY85</f>
        <v>5594461</v>
      </c>
      <c r="EA85" s="3405"/>
      <c r="EB85" s="3405"/>
      <c r="ED85" s="3354"/>
      <c r="EE85" s="3354"/>
      <c r="EF85" s="3489"/>
    </row>
    <row r="86" spans="1:136" s="1396" customFormat="1" ht="28.2" thickBot="1">
      <c r="A86" s="1405"/>
      <c r="B86" s="3438" t="s">
        <v>50</v>
      </c>
      <c r="C86" s="3698">
        <f>C84-C85</f>
        <v>-1230542.02</v>
      </c>
      <c r="D86" s="3698">
        <f>D84-D85</f>
        <v>-1189256.33</v>
      </c>
      <c r="E86" s="3407">
        <f>E84-E85</f>
        <v>-2581969.667727273</v>
      </c>
      <c r="F86" s="3699"/>
      <c r="G86" s="3700"/>
      <c r="H86" s="3435">
        <f>H84-H85</f>
        <v>3279484.1915772734</v>
      </c>
      <c r="I86" s="3435">
        <f>I84-I85</f>
        <v>-1312276.8000000005</v>
      </c>
      <c r="J86" s="3406">
        <f>J84-J85</f>
        <v>1967207.3915772715</v>
      </c>
      <c r="K86" s="3407"/>
      <c r="L86" s="3407"/>
      <c r="M86" s="3701">
        <v>15112887.767400002</v>
      </c>
      <c r="N86" s="3701">
        <v>-10324959.719999999</v>
      </c>
      <c r="O86" s="3701">
        <v>3315919.3567231689</v>
      </c>
      <c r="P86" s="3702"/>
      <c r="Q86" s="3407"/>
      <c r="R86" s="3701">
        <f>R84-R85</f>
        <v>-47034.706417816094</v>
      </c>
      <c r="S86" s="3701">
        <f>S84-S85</f>
        <v>-668803.32094999996</v>
      </c>
      <c r="T86" s="3701">
        <f>T84-T85</f>
        <v>-715838.02736781619</v>
      </c>
      <c r="U86" s="3702"/>
      <c r="V86" s="3702"/>
      <c r="W86" s="3406">
        <f>W84-W85</f>
        <v>1058421.1898620687</v>
      </c>
      <c r="X86" s="3406">
        <f>X84-X85</f>
        <v>-903283.35</v>
      </c>
      <c r="Y86" s="3406">
        <f>Y84-Y85</f>
        <v>155137.83986206894</v>
      </c>
      <c r="Z86" s="3407"/>
      <c r="AA86" s="3407"/>
      <c r="AB86" s="3406">
        <f>AB84-AB85</f>
        <v>419949.80473563226</v>
      </c>
      <c r="AC86" s="3406">
        <f>AC84-AC85</f>
        <v>-316637</v>
      </c>
      <c r="AD86" s="3406">
        <f>AD84-AD85</f>
        <v>103312.80473563229</v>
      </c>
      <c r="AE86" s="3407"/>
      <c r="AF86" s="3407"/>
      <c r="AG86" s="3406">
        <f>AG84-AG85</f>
        <v>631845.44177523651</v>
      </c>
      <c r="AH86" s="3406">
        <f>AH84-AH85</f>
        <v>-420539.59000000008</v>
      </c>
      <c r="AI86" s="3406">
        <f>AI84-AI85</f>
        <v>211305.85177523649</v>
      </c>
      <c r="AJ86" s="572">
        <f t="shared" si="166"/>
        <v>0.19534854630364643</v>
      </c>
      <c r="AK86" s="3407"/>
      <c r="AL86" s="3406">
        <f>AL84-AL85</f>
        <v>2748570.8837690139</v>
      </c>
      <c r="AM86" s="3406">
        <f>AM84-AM85</f>
        <v>-1594487.18</v>
      </c>
      <c r="AN86" s="3406">
        <f>AN84-AN85</f>
        <v>1154083.7037690144</v>
      </c>
      <c r="AO86" s="572">
        <f t="shared" si="174"/>
        <v>1.0669301013197308</v>
      </c>
      <c r="AP86" s="3407"/>
      <c r="AQ86" s="3406">
        <f>AQ84</f>
        <v>5952961.8463783544</v>
      </c>
      <c r="AR86" s="3406">
        <f>AR84</f>
        <v>-2050566.3199999998</v>
      </c>
      <c r="AS86" s="3406">
        <f>AS84</f>
        <v>3789079.756378355</v>
      </c>
      <c r="AT86" s="572">
        <f t="shared" si="175"/>
        <v>3.5029376423726255</v>
      </c>
      <c r="AU86" s="3407"/>
      <c r="AV86" s="3407">
        <f>AV84-AV85</f>
        <v>6506797.1103379503</v>
      </c>
      <c r="AW86" s="3407">
        <f>AW84-AW85</f>
        <v>-2775184.17</v>
      </c>
      <c r="AX86" s="3406">
        <f>AX84-AX85</f>
        <v>3720402.5803379486</v>
      </c>
      <c r="AY86" s="572">
        <f t="shared" si="176"/>
        <v>3.4394468001123579</v>
      </c>
      <c r="AZ86" s="3703"/>
      <c r="BA86" s="3407">
        <f>BA84-BA85</f>
        <v>7270586.4886283316</v>
      </c>
      <c r="BB86" s="3407">
        <f>BB84-BB85</f>
        <v>-2375415.0099999998</v>
      </c>
      <c r="BC86" s="3406">
        <f>BC84-BC85</f>
        <v>4888677.7886283314</v>
      </c>
      <c r="BD86" s="572"/>
      <c r="BE86" s="3407"/>
      <c r="BF86" s="3435">
        <v>23386653.358336292</v>
      </c>
      <c r="BG86" s="3406">
        <v>-12195946.310000001</v>
      </c>
      <c r="BH86" s="3406">
        <v>11190707.048336295</v>
      </c>
      <c r="BI86" s="3407"/>
      <c r="BJ86" s="3407"/>
      <c r="BK86" s="3435">
        <f t="shared" ref="BK86:BL86" si="180">BK84</f>
        <v>0</v>
      </c>
      <c r="BL86" s="3406">
        <f t="shared" si="180"/>
        <v>0</v>
      </c>
      <c r="BM86" s="3406">
        <f>BM84</f>
        <v>0</v>
      </c>
      <c r="BN86" s="3407"/>
      <c r="BO86" s="3407"/>
      <c r="BP86" s="3407">
        <f>BP84-BP85</f>
        <v>0</v>
      </c>
      <c r="BQ86" s="3407">
        <f>BQ84-BQ85</f>
        <v>0</v>
      </c>
      <c r="BR86" s="3406">
        <f>BR84</f>
        <v>0</v>
      </c>
      <c r="BS86" s="3407"/>
      <c r="BT86" s="3407"/>
      <c r="BU86" s="3407">
        <f>BU84-BU85</f>
        <v>0</v>
      </c>
      <c r="BV86" s="3407">
        <f>BV84-BV85</f>
        <v>0</v>
      </c>
      <c r="BW86" s="3406">
        <f>BW84</f>
        <v>0</v>
      </c>
      <c r="BX86" s="3407"/>
      <c r="BY86" s="3407"/>
      <c r="BZ86" s="3406">
        <f>BZ84-BZ85</f>
        <v>0</v>
      </c>
      <c r="CA86" s="3406">
        <f>CA84-CA85</f>
        <v>0</v>
      </c>
      <c r="CB86" s="3406">
        <f>CB84</f>
        <v>0</v>
      </c>
      <c r="CC86" s="3407"/>
      <c r="CD86" s="3407"/>
      <c r="CE86" s="3406">
        <f>CE84-CE85</f>
        <v>0</v>
      </c>
      <c r="CF86" s="3406">
        <f>CF84-CF85</f>
        <v>0</v>
      </c>
      <c r="CG86" s="3406">
        <f>CG84</f>
        <v>0</v>
      </c>
      <c r="CH86" s="3407"/>
      <c r="CI86" s="3407"/>
      <c r="CJ86" s="3406">
        <f>CJ84-CJ85</f>
        <v>0</v>
      </c>
      <c r="CK86" s="3406">
        <f>CK84-CK85</f>
        <v>0</v>
      </c>
      <c r="CL86" s="3406">
        <f>CL84</f>
        <v>0</v>
      </c>
      <c r="CM86" s="3407"/>
      <c r="CN86" s="3407"/>
      <c r="CO86" s="3406">
        <f>CO84-CO85</f>
        <v>0</v>
      </c>
      <c r="CP86" s="3406">
        <f>CP84-CP85</f>
        <v>0</v>
      </c>
      <c r="CQ86" s="3406">
        <f>CQ84</f>
        <v>0</v>
      </c>
      <c r="CR86" s="3407"/>
      <c r="CS86" s="3407"/>
      <c r="CT86" s="3406">
        <f>CT84-CT85</f>
        <v>0</v>
      </c>
      <c r="CU86" s="3406">
        <f>CU84-CU85</f>
        <v>0</v>
      </c>
      <c r="CV86" s="3406">
        <f>CV84</f>
        <v>0</v>
      </c>
      <c r="CW86" s="3407"/>
      <c r="CX86" s="3407"/>
      <c r="CY86" s="3406">
        <f>CY84-CY85</f>
        <v>0</v>
      </c>
      <c r="CZ86" s="3406">
        <f>CZ84-CZ85</f>
        <v>0</v>
      </c>
      <c r="DA86" s="3406">
        <f>DA84</f>
        <v>0</v>
      </c>
      <c r="DB86" s="3407"/>
      <c r="DC86" s="3407"/>
      <c r="DD86" s="3406">
        <f>DD84-DD85</f>
        <v>0</v>
      </c>
      <c r="DE86" s="3406">
        <f>DE84-DE85</f>
        <v>0</v>
      </c>
      <c r="DF86" s="3406">
        <f>DF84</f>
        <v>0</v>
      </c>
      <c r="DG86" s="3407"/>
      <c r="DH86" s="3698"/>
      <c r="DI86" s="3406">
        <f>DI84-DI85</f>
        <v>0</v>
      </c>
      <c r="DJ86" s="3406">
        <f>DJ84-DJ85</f>
        <v>0</v>
      </c>
      <c r="DK86" s="3406">
        <f>DK84</f>
        <v>0</v>
      </c>
      <c r="DL86" s="3407"/>
      <c r="DM86" s="3698"/>
      <c r="DN86" s="3406">
        <f>DN84-DN85</f>
        <v>0</v>
      </c>
      <c r="DO86" s="3406">
        <f>DO84-DO85</f>
        <v>0</v>
      </c>
      <c r="DP86" s="3406">
        <f>DP84</f>
        <v>0</v>
      </c>
      <c r="DQ86" s="3407"/>
      <c r="DR86" s="3407"/>
      <c r="DS86" s="3406">
        <f>DS84-DS85</f>
        <v>0</v>
      </c>
      <c r="DT86" s="3406">
        <f>DT84-DT85</f>
        <v>0</v>
      </c>
      <c r="DU86" s="3406">
        <f>DU84</f>
        <v>0</v>
      </c>
      <c r="DV86" s="3407"/>
      <c r="DW86" s="3407"/>
      <c r="DX86" s="3406">
        <f>DX84</f>
        <v>47815435.647405058</v>
      </c>
      <c r="DY86" s="3406">
        <f>DY84</f>
        <v>-23300862.250949997</v>
      </c>
      <c r="DZ86" s="3406">
        <f>DZ84</f>
        <v>24496869.346455075</v>
      </c>
      <c r="EA86" s="3407"/>
      <c r="EB86" s="3407"/>
      <c r="ED86" s="3406">
        <f t="shared" ref="ED86:EE86" si="181">ED84</f>
        <v>4658336.1800000034</v>
      </c>
      <c r="EE86" s="3406">
        <f t="shared" si="181"/>
        <v>4662386.1800000034</v>
      </c>
      <c r="EF86" s="3704"/>
    </row>
    <row r="87" spans="1:136" s="1396" customFormat="1" ht="14.4" thickBot="1">
      <c r="A87" s="1567"/>
      <c r="B87" s="3439" t="s">
        <v>51</v>
      </c>
      <c r="C87" s="3118">
        <f>C86/C5</f>
        <v>-68.363445555555558</v>
      </c>
      <c r="D87" s="3118" t="e">
        <f>D86/D5</f>
        <v>#DIV/0!</v>
      </c>
      <c r="E87" s="2860">
        <f>E86/E5</f>
        <v>-143.44275931818183</v>
      </c>
      <c r="F87" s="3705"/>
      <c r="G87" s="3706"/>
      <c r="H87" s="2856">
        <f>H86/H5</f>
        <v>0.33771837257161641</v>
      </c>
      <c r="I87" s="2857">
        <f>I86/I5</f>
        <v>-0.26430984882192277</v>
      </c>
      <c r="J87" s="2858">
        <f>J86/J5</f>
        <v>0.13404589878255596</v>
      </c>
      <c r="K87" s="2860"/>
      <c r="L87" s="2860"/>
      <c r="M87" s="3707">
        <v>0.66902753438171014</v>
      </c>
      <c r="N87" s="3708" t="e">
        <v>#DIV/0!</v>
      </c>
      <c r="O87" s="3709">
        <v>0.14679136016761046</v>
      </c>
      <c r="P87" s="3710"/>
      <c r="Q87" s="3118"/>
      <c r="R87" s="3707">
        <f>R86/R5</f>
        <v>-8.0906005707088835E-2</v>
      </c>
      <c r="S87" s="3708" t="e">
        <f>S86/S5</f>
        <v>#DIV/0!</v>
      </c>
      <c r="T87" s="3709">
        <f>T86/T5</f>
        <v>-1.2313374513938526</v>
      </c>
      <c r="U87" s="3710"/>
      <c r="V87" s="3710"/>
      <c r="W87" s="2856">
        <f>W86/W5</f>
        <v>0.43814104989064445</v>
      </c>
      <c r="X87" s="2857" t="e">
        <f>X86/X5</f>
        <v>#DIV/0!</v>
      </c>
      <c r="Y87" s="2858">
        <f>Y86/Y5</f>
        <v>6.4220422536883981E-2</v>
      </c>
      <c r="Z87" s="2860"/>
      <c r="AA87" s="2860"/>
      <c r="AB87" s="2856">
        <f>AB86/AB5</f>
        <v>0.44743003583046564</v>
      </c>
      <c r="AC87" s="2857">
        <f>AC86/AC5</f>
        <v>-110.05804657629476</v>
      </c>
      <c r="AD87" s="2858">
        <f>AD86/AD5</f>
        <v>0.10973690638829509</v>
      </c>
      <c r="AE87" s="2860"/>
      <c r="AF87" s="2860"/>
      <c r="AG87" s="2856">
        <f>AG86/AG5</f>
        <v>0.49669307155547654</v>
      </c>
      <c r="AH87" s="2857">
        <f>AH86/AH5</f>
        <v>-20.133283192373728</v>
      </c>
      <c r="AI87" s="2858">
        <f>AI86/AI5</f>
        <v>0.16342392092057084</v>
      </c>
      <c r="AJ87" s="1528">
        <f t="shared" si="166"/>
        <v>1.5108254274488065E-7</v>
      </c>
      <c r="AK87" s="2860"/>
      <c r="AL87" s="2856">
        <f>AL86/AL5</f>
        <v>0.48230094763840309</v>
      </c>
      <c r="AM87" s="2857" t="e">
        <f>AM86/AM5</f>
        <v>#DIV/0!</v>
      </c>
      <c r="AN87" s="2858">
        <f>AN86/AN5</f>
        <v>0.20251093659937458</v>
      </c>
      <c r="AO87" s="1528">
        <f t="shared" si="174"/>
        <v>1.8721780179262362E-7</v>
      </c>
      <c r="AP87" s="2860"/>
      <c r="AQ87" s="3118">
        <f>AQ86/AQ5</f>
        <v>0.59138431929791635</v>
      </c>
      <c r="AR87" s="3118">
        <f>AR86/AR5</f>
        <v>-113.9203511111111</v>
      </c>
      <c r="AS87" s="2858">
        <f>AS86/AS5</f>
        <v>0.3757461618648219</v>
      </c>
      <c r="AT87" s="1528">
        <f t="shared" si="175"/>
        <v>3.4737072297242314E-7</v>
      </c>
      <c r="AU87" s="3118"/>
      <c r="AV87" s="3118">
        <f>AV86/AV5</f>
        <v>0.57901226215695289</v>
      </c>
      <c r="AW87" s="3118">
        <f>AW86/AW5</f>
        <v>-283.18205816326531</v>
      </c>
      <c r="AX87" s="2858">
        <f>AX86/AX5</f>
        <v>0.33077438222378636</v>
      </c>
      <c r="AY87" s="1528">
        <f t="shared" si="176"/>
        <v>3.0579510306527122E-7</v>
      </c>
      <c r="AZ87" s="3711"/>
      <c r="BA87" s="3118">
        <f>BA86/BA5</f>
        <v>0.62303900643769161</v>
      </c>
      <c r="BB87" s="3118" t="e">
        <f>BB86/BB5</f>
        <v>#DIV/0!</v>
      </c>
      <c r="BC87" s="2858">
        <f>BC86/BC5</f>
        <v>0.41892589504091499</v>
      </c>
      <c r="BD87" s="1528"/>
      <c r="BE87" s="3118"/>
      <c r="BF87" s="2856">
        <v>0.43880135207637899</v>
      </c>
      <c r="BG87" s="2857" t="e">
        <v>#DIV/0!</v>
      </c>
      <c r="BH87" s="2858">
        <v>0.2099700760198876</v>
      </c>
      <c r="BI87" s="2860"/>
      <c r="BJ87" s="2860"/>
      <c r="BK87" s="2856" t="e">
        <f>BK86/BK5</f>
        <v>#DIV/0!</v>
      </c>
      <c r="BL87" s="2857" t="e">
        <f>BL86/BL5</f>
        <v>#DIV/0!</v>
      </c>
      <c r="BM87" s="2858" t="e">
        <f>BM86/BM5</f>
        <v>#DIV/0!</v>
      </c>
      <c r="BN87" s="2860"/>
      <c r="BO87" s="2860"/>
      <c r="BP87" s="3118" t="e">
        <f>BP86/BP5</f>
        <v>#DIV/0!</v>
      </c>
      <c r="BQ87" s="3118" t="e">
        <f>BQ86/BQ5</f>
        <v>#DIV/0!</v>
      </c>
      <c r="BR87" s="2858" t="e">
        <f>BR86/BR5</f>
        <v>#DIV/0!</v>
      </c>
      <c r="BS87" s="2860"/>
      <c r="BT87" s="3118"/>
      <c r="BU87" s="3118" t="e">
        <f>BU86/BU5</f>
        <v>#DIV/0!</v>
      </c>
      <c r="BV87" s="3118" t="e">
        <f>BV86/BV5</f>
        <v>#DIV/0!</v>
      </c>
      <c r="BW87" s="2858" t="e">
        <f>BW86/BW5</f>
        <v>#DIV/0!</v>
      </c>
      <c r="BX87" s="2860"/>
      <c r="BY87" s="2860"/>
      <c r="BZ87" s="2856" t="e">
        <f>BZ86/BZ5</f>
        <v>#DIV/0!</v>
      </c>
      <c r="CA87" s="2857" t="e">
        <f>CA86/CA5</f>
        <v>#DIV/0!</v>
      </c>
      <c r="CB87" s="2858" t="e">
        <f>CB86/CB5</f>
        <v>#DIV/0!</v>
      </c>
      <c r="CC87" s="2860"/>
      <c r="CD87" s="2860"/>
      <c r="CE87" s="2856" t="e">
        <f>CE86/CE5</f>
        <v>#DIV/0!</v>
      </c>
      <c r="CF87" s="2857" t="e">
        <f>CF86/CF5</f>
        <v>#DIV/0!</v>
      </c>
      <c r="CG87" s="2858" t="e">
        <f>CG86/CG5</f>
        <v>#DIV/0!</v>
      </c>
      <c r="CH87" s="2860"/>
      <c r="CI87" s="2860"/>
      <c r="CJ87" s="2856" t="e">
        <f>CJ86/CJ5</f>
        <v>#DIV/0!</v>
      </c>
      <c r="CK87" s="2857" t="e">
        <f>CK86/CK5</f>
        <v>#DIV/0!</v>
      </c>
      <c r="CL87" s="2858" t="e">
        <f>CL86/CL5</f>
        <v>#DIV/0!</v>
      </c>
      <c r="CM87" s="2860"/>
      <c r="CN87" s="2860"/>
      <c r="CO87" s="2856" t="e">
        <f>CO86/CO5</f>
        <v>#DIV/0!</v>
      </c>
      <c r="CP87" s="2857" t="e">
        <f>CP86/CP5</f>
        <v>#DIV/0!</v>
      </c>
      <c r="CQ87" s="2858" t="e">
        <f>CQ86/CQ5</f>
        <v>#DIV/0!</v>
      </c>
      <c r="CR87" s="2860"/>
      <c r="CS87" s="2860"/>
      <c r="CT87" s="2856" t="e">
        <f>CT86/CT5</f>
        <v>#DIV/0!</v>
      </c>
      <c r="CU87" s="2857" t="str">
        <f>IFERROR(CU86/CU5,"")</f>
        <v/>
      </c>
      <c r="CV87" s="2858" t="e">
        <f>CV86/CV5</f>
        <v>#DIV/0!</v>
      </c>
      <c r="CW87" s="2860"/>
      <c r="CX87" s="2860"/>
      <c r="CY87" s="2856" t="e">
        <f>CY86/CY5</f>
        <v>#DIV/0!</v>
      </c>
      <c r="CZ87" s="2857" t="str">
        <f>IFERROR(CZ86/CZ5,"")</f>
        <v/>
      </c>
      <c r="DA87" s="2858" t="e">
        <f>DA86/DA5</f>
        <v>#DIV/0!</v>
      </c>
      <c r="DB87" s="2860"/>
      <c r="DC87" s="3118"/>
      <c r="DD87" s="2856" t="e">
        <f>DD86/DD5</f>
        <v>#DIV/0!</v>
      </c>
      <c r="DE87" s="2857" t="str">
        <f>IFERROR(DE86/DE5,"")</f>
        <v/>
      </c>
      <c r="DF87" s="2858" t="e">
        <f>DF86/DF5</f>
        <v>#DIV/0!</v>
      </c>
      <c r="DG87" s="2860"/>
      <c r="DH87" s="3118"/>
      <c r="DI87" s="2856" t="e">
        <f>DI86/DI5</f>
        <v>#DIV/0!</v>
      </c>
      <c r="DJ87" s="2857" t="str">
        <f>IFERROR(DJ86/DJ5,"")</f>
        <v/>
      </c>
      <c r="DK87" s="2858" t="e">
        <f>DK86/DK5</f>
        <v>#DIV/0!</v>
      </c>
      <c r="DL87" s="2860"/>
      <c r="DM87" s="3118"/>
      <c r="DN87" s="2856" t="e">
        <f>DN86/DN5</f>
        <v>#DIV/0!</v>
      </c>
      <c r="DO87" s="2857" t="str">
        <f>IFERROR(DO86/DO5,"")</f>
        <v/>
      </c>
      <c r="DP87" s="2858" t="e">
        <f>DP86/DP5</f>
        <v>#DIV/0!</v>
      </c>
      <c r="DQ87" s="2860"/>
      <c r="DR87" s="2860"/>
      <c r="DS87" s="2856">
        <f>IFERROR(DS86/DS5,0)</f>
        <v>0</v>
      </c>
      <c r="DT87" s="2857" t="str">
        <f>IFERROR(DT86/DT5,"")</f>
        <v/>
      </c>
      <c r="DU87" s="2858">
        <f>IFERROR(DU86/DU5,0)</f>
        <v>0</v>
      </c>
      <c r="DV87" s="2860"/>
      <c r="DW87" s="2860"/>
      <c r="DX87" s="2856">
        <f>DX86/DX5</f>
        <v>0.492046067899574</v>
      </c>
      <c r="DY87" s="3030">
        <f>DY86/DY5</f>
        <v>-451.87552920714484</v>
      </c>
      <c r="DZ87" s="2858">
        <f>DZ86/DZ5</f>
        <v>0.2519520210510855</v>
      </c>
      <c r="EA87" s="2860"/>
      <c r="EB87" s="2860"/>
      <c r="ED87" s="2856">
        <f>ED86/ED5</f>
        <v>9.6707449263004119E-2</v>
      </c>
      <c r="EE87" s="2858">
        <f>EE86/EE5</f>
        <v>9.679152760221818E-2</v>
      </c>
      <c r="EF87" s="3489"/>
    </row>
    <row r="88" spans="1:136" ht="13.8">
      <c r="A88" s="1423"/>
      <c r="B88" s="1423"/>
      <c r="C88" s="1954"/>
      <c r="D88" s="1954"/>
      <c r="E88" s="1954"/>
      <c r="F88" s="208"/>
      <c r="G88" s="208"/>
      <c r="H88" s="1954"/>
      <c r="I88" s="1954"/>
      <c r="J88" s="1954"/>
      <c r="K88" s="1954"/>
      <c r="L88" s="1954"/>
      <c r="M88" s="3712"/>
      <c r="N88" s="3712"/>
      <c r="O88" s="3712"/>
      <c r="P88" s="3712"/>
      <c r="Q88" s="1954"/>
      <c r="R88" s="3712"/>
      <c r="S88" s="3712"/>
      <c r="T88" s="3712"/>
      <c r="U88" s="3712"/>
      <c r="V88" s="3712"/>
      <c r="W88" s="1954"/>
      <c r="X88" s="1954"/>
      <c r="Y88" s="1954"/>
      <c r="Z88" s="1954"/>
      <c r="AA88" s="1954"/>
      <c r="AB88" s="1954"/>
      <c r="AC88" s="1954"/>
      <c r="AD88" s="1954"/>
      <c r="AE88" s="1954"/>
      <c r="AF88" s="1954"/>
      <c r="AG88" s="1954"/>
      <c r="AH88" s="1954"/>
      <c r="AI88" s="1954"/>
      <c r="AJ88" s="1954"/>
      <c r="AK88" s="1954"/>
      <c r="AL88" s="1954"/>
      <c r="AM88" s="1954"/>
      <c r="AN88" s="1954"/>
      <c r="AO88" s="1954"/>
      <c r="AP88" s="1954"/>
      <c r="AQ88" s="1954"/>
      <c r="AR88" s="1954"/>
      <c r="AS88" s="1954"/>
      <c r="AT88" s="1954"/>
      <c r="AU88" s="1954"/>
      <c r="AV88" s="1954"/>
      <c r="AW88" s="1954"/>
      <c r="AX88" s="1954"/>
      <c r="AY88" s="1954"/>
      <c r="AZ88" s="1954"/>
      <c r="BA88" s="1954"/>
      <c r="BB88" s="1954"/>
      <c r="BC88" s="1954"/>
      <c r="BD88" s="1954"/>
      <c r="BE88" s="1954"/>
      <c r="BF88" s="1954"/>
      <c r="BG88" s="1954"/>
      <c r="BH88" s="1954"/>
      <c r="BI88" s="1954"/>
      <c r="BJ88" s="1954"/>
      <c r="BK88" s="1954"/>
      <c r="BL88" s="1954"/>
      <c r="BM88" s="1954"/>
      <c r="BN88" s="1954"/>
      <c r="BO88" s="1954"/>
      <c r="BP88" s="1954"/>
      <c r="BQ88" s="1954"/>
      <c r="BR88" s="1954"/>
      <c r="BS88" s="1954"/>
      <c r="BT88" s="1954"/>
      <c r="BU88" s="1954"/>
      <c r="BV88" s="1954"/>
      <c r="BW88" s="1954"/>
      <c r="BX88" s="1954"/>
      <c r="BY88" s="1954"/>
      <c r="BZ88" s="1954"/>
      <c r="CA88" s="1954"/>
      <c r="CB88" s="1954"/>
      <c r="CC88" s="1954"/>
      <c r="CD88" s="1954"/>
      <c r="CE88" s="1954"/>
      <c r="CF88" s="1954"/>
      <c r="CG88" s="1954"/>
      <c r="CH88" s="1954"/>
      <c r="CI88" s="1954"/>
      <c r="CJ88" s="1954"/>
      <c r="CK88" s="1954"/>
      <c r="CL88" s="1954"/>
      <c r="CM88" s="1954"/>
      <c r="CN88" s="1954"/>
      <c r="CO88" s="1954"/>
      <c r="CP88" s="1954"/>
      <c r="CQ88" s="1954"/>
      <c r="CR88" s="1954"/>
      <c r="CS88" s="1954"/>
      <c r="CT88" s="1954"/>
      <c r="CU88" s="1954"/>
      <c r="CV88" s="1954"/>
      <c r="CW88" s="1954"/>
      <c r="CX88" s="1954"/>
      <c r="CY88" s="1954"/>
      <c r="CZ88" s="1954"/>
      <c r="DA88" s="1954"/>
      <c r="DB88" s="1954"/>
      <c r="DC88" s="1954"/>
      <c r="DD88" s="1954"/>
      <c r="DE88" s="1954"/>
      <c r="DF88" s="1954"/>
      <c r="DG88" s="1954"/>
      <c r="DH88" s="1954"/>
      <c r="DI88" s="1954"/>
      <c r="DJ88" s="1954"/>
      <c r="DK88" s="1954"/>
      <c r="DL88" s="1954"/>
      <c r="DM88" s="1954"/>
      <c r="DN88" s="1954"/>
      <c r="DO88" s="1954"/>
      <c r="DP88" s="1954"/>
      <c r="DQ88" s="1954"/>
      <c r="DR88" s="1954"/>
      <c r="DS88" s="1954"/>
      <c r="DT88" s="1954"/>
      <c r="DU88" s="1954"/>
      <c r="DV88" s="1954"/>
      <c r="DW88" s="1954"/>
      <c r="DX88" s="1954"/>
      <c r="DY88" s="1954"/>
      <c r="DZ88" s="1954"/>
      <c r="EA88" s="1954"/>
      <c r="EB88" s="1954"/>
      <c r="ED88" s="1954"/>
      <c r="EE88" s="1954"/>
    </row>
    <row r="89" spans="1:136" ht="14.4">
      <c r="B89" s="1562" t="s">
        <v>56</v>
      </c>
      <c r="E89" s="1960">
        <f>E8+E36+E41+E50+E54+E73+E79+E82+E85</f>
        <v>2599969.667727273</v>
      </c>
      <c r="J89" s="1960">
        <f>J8+J36+J41+J50+J54+J73+J79+J82+J85</f>
        <v>12708417.968422728</v>
      </c>
      <c r="O89" s="3713">
        <v>19273416.643276833</v>
      </c>
      <c r="R89" s="3714"/>
      <c r="S89" s="3714"/>
      <c r="T89" s="3713">
        <f>T8+T36+T41+T50+T54+T73+T79+T82+T85</f>
        <v>1297188.0273678161</v>
      </c>
      <c r="U89" s="3714"/>
      <c r="V89" s="3714"/>
      <c r="Y89" s="1960">
        <f>Y8+Y36+Y41+Y50+Y54+Y73+Y79+Y82+Y85</f>
        <v>2260570.9601379312</v>
      </c>
      <c r="AD89" s="1960">
        <f>AD8+AD36+AD41+AD50+AD54+AD73+AD79+AD82+AD85</f>
        <v>838146.25526436779</v>
      </c>
      <c r="AI89" s="1960">
        <f>AI8+AI36+AI41+AI50+AI54+AI73+AI79+AI82+AI85</f>
        <v>1081686.3282247635</v>
      </c>
      <c r="AN89" s="1960">
        <f>AN8+AN36+AN41+AN50+AN54+AN73+AN79+AN82+AN85</f>
        <v>4544787.2962309858</v>
      </c>
      <c r="AS89" s="1960">
        <f>AS8+AS36+AS41+AS50+AS54+AS73+AS79+AS82+AS85</f>
        <v>6305417.8436216442</v>
      </c>
      <c r="AV89" s="2123"/>
      <c r="AW89" s="2123"/>
      <c r="AX89" s="1960">
        <f>AX8+AX36+AX41+AX50+AX54+AX73+AX79+AX82+AX85</f>
        <v>7527150.9796620496</v>
      </c>
      <c r="AY89" s="2123"/>
      <c r="AZ89" s="2123"/>
      <c r="BC89" s="1960">
        <f>BC8+BC36+BC41+BC50+BC54+BC73+BC79+BC82+BC85</f>
        <v>6780874.861371669</v>
      </c>
      <c r="BH89" s="1960">
        <v>42253179.531663701</v>
      </c>
      <c r="BM89" s="1960">
        <f>BM8+BM36+BM41+BM50+BM54+BM73+BM79+BM82</f>
        <v>0</v>
      </c>
      <c r="BR89" s="1960">
        <f>BR8+BR36+BR41+BR50+BR54+BR73+BR79+BR82</f>
        <v>0</v>
      </c>
      <c r="BW89" s="1960">
        <f>BW8+BW36+BW41+BW50+BW54+BW73+BW79+BW82</f>
        <v>0</v>
      </c>
      <c r="CB89" s="1960">
        <f>CB8+CB36+CB41+CB50+CB54+CB73+CB79+CB82</f>
        <v>0</v>
      </c>
      <c r="CG89" s="1960">
        <f>CG8+CG36+CG41+CG50+CG54+CG73+CG79+CG82</f>
        <v>0</v>
      </c>
      <c r="CL89" s="1960">
        <f>CL8+CL36+CL41+CL50+CL54+CL73+CL79+CL82</f>
        <v>0</v>
      </c>
      <c r="CQ89" s="1960">
        <f>CQ8+CQ36+CQ41+CQ50+CQ54+CQ73+CQ79+CQ82</f>
        <v>0</v>
      </c>
      <c r="CV89" s="1960">
        <f>CV8+CV36+CV41+CV50+CV54+CV73+CV79+CV82</f>
        <v>0</v>
      </c>
      <c r="DA89" s="1960">
        <f>DA8+DA36+DA41+DA50+DA54+DA73+DA79+DA82</f>
        <v>0</v>
      </c>
      <c r="DF89" s="1960">
        <f>DF8+DF36+DF41+DF50+DF54+DF73+DF79+DF82</f>
        <v>0</v>
      </c>
      <c r="DK89" s="1960">
        <f>DK8+DK36+DK41+DK50+DK54+DK73+DK79+DK82</f>
        <v>0</v>
      </c>
      <c r="DP89" s="1960">
        <f>DP8+DP36+DP41+DP50+DP54+DP73+DP79+DP82</f>
        <v>0</v>
      </c>
      <c r="DU89" s="1960">
        <f>DU8+DU36+DU41+DU50+DU54+DU73+DU79+DU82</f>
        <v>0</v>
      </c>
      <c r="DZ89" s="1960">
        <f>DZ8+DZ36+DZ41+DZ50+DZ54+DZ73+DZ79+DZ82</f>
        <v>72878652.08354491</v>
      </c>
      <c r="EF89" s="3141"/>
    </row>
    <row r="90" spans="1:136" ht="14.4">
      <c r="O90" s="1952" t="b">
        <v>1</v>
      </c>
      <c r="AV90" s="2123"/>
      <c r="AW90" s="2123"/>
      <c r="AX90" s="2123"/>
      <c r="AY90" s="2123"/>
      <c r="AZ90" s="2123"/>
      <c r="DZ90" s="1819" t="b">
        <f>T89+Y89+AD89+AI89+AN89+AS89+AX89+BC89+BR89+BW89+CB89+CG89+CL89+CQ89+CV89+DA89+DF89+DK89+DP89+DU89+BH89-10350=DZ89</f>
        <v>1</v>
      </c>
      <c r="EF90" s="3141"/>
    </row>
    <row r="91" spans="1:136" s="1396" customFormat="1" ht="13.2" hidden="1" customHeight="1" outlineLevel="1">
      <c r="A91" s="1402"/>
      <c r="B91" s="1402"/>
      <c r="C91" s="1952"/>
      <c r="D91" s="1952"/>
      <c r="E91" s="1952"/>
      <c r="F91" s="1952"/>
      <c r="G91" s="1952"/>
      <c r="H91" s="1952"/>
      <c r="I91" s="1952"/>
      <c r="J91" s="1952"/>
      <c r="K91" s="1952"/>
      <c r="L91" s="1952"/>
      <c r="M91" s="1952"/>
      <c r="N91" s="1952"/>
      <c r="O91" s="1952"/>
      <c r="P91" s="1952"/>
      <c r="Q91" s="1952"/>
      <c r="R91" s="1952"/>
      <c r="S91" s="1952"/>
      <c r="T91" s="1952"/>
      <c r="U91" s="1952"/>
      <c r="V91" s="1952"/>
      <c r="W91" s="1952"/>
      <c r="X91" s="1952"/>
      <c r="Y91" s="1952"/>
      <c r="Z91" s="1952"/>
      <c r="AA91" s="1952"/>
      <c r="AB91" s="1952"/>
      <c r="AC91" s="1952"/>
      <c r="AD91" s="1952"/>
      <c r="AE91" s="1952"/>
      <c r="AF91" s="1952"/>
      <c r="AG91" s="1952"/>
      <c r="AH91" s="1952"/>
      <c r="AI91" s="1952"/>
      <c r="AJ91" s="1952"/>
      <c r="AK91" s="1952"/>
      <c r="AL91" s="1952"/>
      <c r="AM91" s="1952"/>
      <c r="AN91" s="1952"/>
      <c r="AO91" s="1952"/>
      <c r="AP91" s="1952"/>
      <c r="AQ91" s="1952"/>
      <c r="AR91" s="1952"/>
      <c r="AS91" s="1952"/>
      <c r="AT91" s="1952"/>
      <c r="AU91" s="1952"/>
      <c r="AV91" s="1952"/>
      <c r="AW91" s="1952"/>
      <c r="AX91" s="1952"/>
      <c r="AY91" s="1952"/>
      <c r="AZ91" s="1952"/>
      <c r="BA91" s="1952"/>
      <c r="BB91" s="1952"/>
      <c r="BC91" s="1952"/>
      <c r="BD91" s="1952"/>
      <c r="BE91" s="1952"/>
      <c r="BF91" s="1952"/>
      <c r="BG91" s="1952"/>
      <c r="BH91" s="1173">
        <v>11190707.048336295</v>
      </c>
      <c r="BI91" s="1952"/>
      <c r="BJ91" s="1952"/>
      <c r="BK91" s="1952"/>
      <c r="BL91" s="1952"/>
      <c r="BM91" s="1173">
        <f>BM5-BM89+BM78</f>
        <v>0</v>
      </c>
      <c r="BN91" s="1952"/>
      <c r="BO91" s="1952"/>
      <c r="BP91" s="1952"/>
      <c r="BQ91" s="1952"/>
      <c r="BR91" s="1173">
        <f>BR5-BR89+BR78</f>
        <v>0</v>
      </c>
      <c r="BS91" s="1952"/>
      <c r="BT91" s="1952"/>
      <c r="BU91" s="1952"/>
      <c r="BV91" s="1952"/>
      <c r="BW91" s="1173">
        <f>BW5-BW89+BW78</f>
        <v>0</v>
      </c>
      <c r="BX91" s="1952"/>
      <c r="BY91" s="1952"/>
      <c r="BZ91" s="1952"/>
      <c r="CA91" s="1952"/>
      <c r="CB91" s="1173">
        <f>CB5-CB89+CB78</f>
        <v>0</v>
      </c>
      <c r="CC91" s="1952"/>
      <c r="CD91" s="1952"/>
      <c r="CE91" s="1952"/>
      <c r="CF91" s="1952"/>
      <c r="CG91" s="1173">
        <f>CG5-CG89+CG78</f>
        <v>0</v>
      </c>
      <c r="CH91" s="1952"/>
      <c r="CI91" s="1952"/>
      <c r="CJ91" s="1952"/>
      <c r="CK91" s="1952"/>
      <c r="CL91" s="1173">
        <f>CL5-CL89+CL78</f>
        <v>0</v>
      </c>
      <c r="CM91" s="1952"/>
      <c r="CN91" s="1952"/>
      <c r="CO91" s="1952"/>
      <c r="CP91" s="1952"/>
      <c r="CQ91" s="1173">
        <f>CQ5-CQ89+CQ78</f>
        <v>0</v>
      </c>
      <c r="CR91" s="1952"/>
      <c r="CS91" s="1952"/>
      <c r="CT91" s="1952"/>
      <c r="CU91" s="1952"/>
      <c r="CV91" s="1173">
        <f>CV5-CV89+CV78</f>
        <v>0</v>
      </c>
      <c r="CW91" s="1952"/>
      <c r="CX91" s="1952"/>
      <c r="CY91" s="1952"/>
      <c r="CZ91" s="1952"/>
      <c r="DA91" s="1173">
        <f>DA5-DA89+DA78</f>
        <v>0</v>
      </c>
      <c r="DB91" s="1952"/>
      <c r="DC91" s="1952"/>
      <c r="DD91" s="1952"/>
      <c r="DE91" s="1952"/>
      <c r="DF91" s="1173">
        <f>DF5-DF89+DF78</f>
        <v>0</v>
      </c>
      <c r="DG91" s="1952"/>
      <c r="DH91" s="1952"/>
      <c r="DI91" s="1952"/>
      <c r="DJ91" s="1952"/>
      <c r="DK91" s="1173">
        <f>DK5-DK89+DK78</f>
        <v>0</v>
      </c>
      <c r="DL91" s="1952"/>
      <c r="DM91" s="1952"/>
      <c r="DN91" s="1952"/>
      <c r="DO91" s="1952"/>
      <c r="DP91" s="1173">
        <f>DP5-DP89+DP78</f>
        <v>0</v>
      </c>
      <c r="DQ91" s="1952"/>
      <c r="DR91" s="1952"/>
      <c r="DS91" s="1952"/>
      <c r="DT91" s="1952"/>
      <c r="DU91" s="1173">
        <f>DU5-DU89+DU78</f>
        <v>0</v>
      </c>
      <c r="DV91" s="1952"/>
      <c r="DW91" s="1952"/>
      <c r="DX91" s="1952"/>
      <c r="DY91" s="1952"/>
      <c r="DZ91" s="2468"/>
      <c r="EA91" s="1952"/>
      <c r="EB91" s="1952"/>
      <c r="ED91" s="1952">
        <v>-560700</v>
      </c>
      <c r="EE91" s="828" t="s">
        <v>1836</v>
      </c>
      <c r="EF91" s="3489"/>
    </row>
    <row r="92" spans="1:136" ht="13.2" hidden="1" customHeight="1" outlineLevel="1">
      <c r="BG92" s="2472"/>
      <c r="BH92" s="2631"/>
      <c r="BL92" s="2472"/>
      <c r="BM92" s="2631"/>
      <c r="CT92" s="1065"/>
      <c r="DZ92" s="2472"/>
      <c r="EA92" s="2472"/>
      <c r="ED92" s="1952">
        <v>-675180.96999999881</v>
      </c>
      <c r="EE92" s="828" t="s">
        <v>1837</v>
      </c>
    </row>
    <row r="93" spans="1:136" s="1396" customFormat="1" ht="13.2" hidden="1" customHeight="1" outlineLevel="1">
      <c r="A93" s="1402"/>
      <c r="B93" s="1655"/>
      <c r="C93" s="1952"/>
      <c r="D93" s="1952"/>
      <c r="E93" s="1952"/>
      <c r="F93" s="1952"/>
      <c r="G93" s="1952"/>
      <c r="H93" s="1952"/>
      <c r="I93" s="1952"/>
      <c r="J93" s="1952"/>
      <c r="K93" s="1952"/>
      <c r="L93" s="1952"/>
      <c r="M93" s="1952"/>
      <c r="N93" s="1952"/>
      <c r="O93" s="1952"/>
      <c r="P93" s="1952"/>
      <c r="Q93" s="1952"/>
      <c r="R93" s="1952"/>
      <c r="S93" s="1952"/>
      <c r="T93" s="687">
        <f>T5-T89</f>
        <v>-715838.02736781607</v>
      </c>
      <c r="U93" s="1952"/>
      <c r="V93" s="1952"/>
      <c r="W93" s="1952"/>
      <c r="X93" s="1952"/>
      <c r="Y93" s="687">
        <f>Y5-Y89</f>
        <v>155137.83986206865</v>
      </c>
      <c r="Z93" s="1952"/>
      <c r="AA93" s="1952"/>
      <c r="AB93" s="1952"/>
      <c r="AC93" s="1952"/>
      <c r="AD93" s="687">
        <f>AD5-AD89</f>
        <v>103312.80473563226</v>
      </c>
      <c r="AE93" s="1952"/>
      <c r="AF93" s="1952"/>
      <c r="AG93" s="1952"/>
      <c r="AH93" s="1952"/>
      <c r="AI93" s="687">
        <f>AI5-AI89</f>
        <v>211305.85177523643</v>
      </c>
      <c r="AJ93" s="1952"/>
      <c r="AK93" s="1952"/>
      <c r="AL93" s="1952"/>
      <c r="AM93" s="1952"/>
      <c r="AN93" s="687">
        <f>AN5-AN89</f>
        <v>1154083.7037690142</v>
      </c>
      <c r="AO93" s="1952"/>
      <c r="AP93" s="1952"/>
      <c r="AQ93" s="1952"/>
      <c r="AR93" s="1952"/>
      <c r="AS93" s="687">
        <f>AS5-AS89</f>
        <v>3778729.7563783554</v>
      </c>
      <c r="AT93" s="1952"/>
      <c r="AU93" s="1952"/>
      <c r="AV93" s="1952"/>
      <c r="AW93" s="1952"/>
      <c r="AX93" s="687">
        <f>AX5-AX89</f>
        <v>3720402.5803379491</v>
      </c>
      <c r="AY93" s="1952"/>
      <c r="AZ93" s="1952"/>
      <c r="BA93" s="1952"/>
      <c r="BB93" s="1952"/>
      <c r="BC93" s="687">
        <f>BC5-BC89</f>
        <v>4888677.7886283314</v>
      </c>
      <c r="BD93" s="1952"/>
      <c r="BE93" s="1952"/>
      <c r="BF93" s="1952"/>
      <c r="BG93" s="2474"/>
      <c r="BH93" s="1952">
        <v>5.5879354476928711E-9</v>
      </c>
      <c r="BI93" s="1952"/>
      <c r="BJ93" s="1952"/>
      <c r="BK93" s="1952"/>
      <c r="BL93" s="2474"/>
      <c r="BM93" s="1952">
        <f>BR89+BW89+CB89+CG89+CL89+CQ89+CV89-BM89+DA89+DF89+DK89+DP89+DU89</f>
        <v>0</v>
      </c>
      <c r="BN93" s="1952"/>
      <c r="BO93" s="1952"/>
      <c r="BP93" s="1952"/>
      <c r="BQ93" s="1952"/>
      <c r="BR93" s="687">
        <f>BR5-BR89+BR78</f>
        <v>0</v>
      </c>
      <c r="BS93" s="1952"/>
      <c r="BT93" s="1952"/>
      <c r="BU93" s="1952"/>
      <c r="BV93" s="1952"/>
      <c r="BW93" s="1952"/>
      <c r="BX93" s="1952"/>
      <c r="BY93" s="1952"/>
      <c r="BZ93" s="1952"/>
      <c r="CA93" s="1952"/>
      <c r="CB93" s="1952"/>
      <c r="CC93" s="1952"/>
      <c r="CD93" s="1952"/>
      <c r="CE93" s="1952"/>
      <c r="CF93" s="1952"/>
      <c r="CG93" s="1952">
        <f>CG91-CG86</f>
        <v>0</v>
      </c>
      <c r="CH93" s="1952"/>
      <c r="CI93" s="1952"/>
      <c r="CJ93" s="1952"/>
      <c r="CK93" s="1952"/>
      <c r="CL93" s="1952"/>
      <c r="CM93" s="1952"/>
      <c r="CN93" s="1952"/>
      <c r="CO93" s="1952"/>
      <c r="CP93" s="1952"/>
      <c r="CQ93" s="1952"/>
      <c r="CR93" s="1952"/>
      <c r="CS93" s="1952"/>
      <c r="CT93" s="1065"/>
      <c r="CU93" s="1952"/>
      <c r="CV93" s="1952"/>
      <c r="CW93" s="1952"/>
      <c r="CX93" s="1952"/>
      <c r="CY93" s="1952"/>
      <c r="CZ93" s="1952"/>
      <c r="DA93" s="1952"/>
      <c r="DB93" s="1952"/>
      <c r="DC93" s="1952"/>
      <c r="DD93" s="1952"/>
      <c r="DE93" s="1952"/>
      <c r="DF93" s="1952"/>
      <c r="DG93" s="1952"/>
      <c r="DH93" s="1952"/>
      <c r="DI93" s="1952"/>
      <c r="DJ93" s="1952"/>
      <c r="DK93" s="1952"/>
      <c r="DL93" s="1952"/>
      <c r="DM93" s="1952"/>
      <c r="DN93" s="1952"/>
      <c r="DO93" s="1952"/>
      <c r="DP93" s="1952"/>
      <c r="DQ93" s="1952"/>
      <c r="DR93" s="1952"/>
      <c r="DS93" s="1952"/>
      <c r="DT93" s="1952"/>
      <c r="DU93" s="1952"/>
      <c r="DV93" s="1952"/>
      <c r="DW93" s="1952"/>
      <c r="DX93" s="1952"/>
      <c r="DY93" s="1952"/>
      <c r="DZ93" s="1173"/>
      <c r="EA93" s="1334"/>
      <c r="EB93" s="1952"/>
      <c r="ED93" s="1952"/>
      <c r="EE93" s="1952"/>
      <c r="EF93" s="3489"/>
    </row>
    <row r="94" spans="1:136" s="1396" customFormat="1" ht="13.2" hidden="1" customHeight="1" outlineLevel="1">
      <c r="A94" s="1402"/>
      <c r="B94" s="1655"/>
      <c r="C94" s="1952"/>
      <c r="D94" s="1952"/>
      <c r="E94" s="1952"/>
      <c r="F94" s="1952"/>
      <c r="G94" s="1952"/>
      <c r="H94" s="1952"/>
      <c r="I94" s="1952"/>
      <c r="J94" s="1952"/>
      <c r="K94" s="1952"/>
      <c r="L94" s="1952"/>
      <c r="M94" s="1952"/>
      <c r="N94" s="1952"/>
      <c r="O94" s="1952"/>
      <c r="P94" s="1952"/>
      <c r="Q94" s="1952"/>
      <c r="R94" s="1952"/>
      <c r="S94" s="1952"/>
      <c r="T94" s="1952"/>
      <c r="U94" s="1952"/>
      <c r="V94" s="1952"/>
      <c r="W94" s="1952"/>
      <c r="X94" s="1952"/>
      <c r="Y94" s="1952"/>
      <c r="Z94" s="1952"/>
      <c r="AA94" s="1952"/>
      <c r="AB94" s="1952"/>
      <c r="AC94" s="1952"/>
      <c r="AD94" s="1952"/>
      <c r="AE94" s="1952"/>
      <c r="AF94" s="1952"/>
      <c r="AG94" s="1654"/>
      <c r="AH94" s="1952"/>
      <c r="AI94" s="1952"/>
      <c r="AJ94" s="1952"/>
      <c r="AK94" s="1952"/>
      <c r="AL94" s="1952"/>
      <c r="AM94" s="1952"/>
      <c r="AN94" s="1952"/>
      <c r="AO94" s="1952"/>
      <c r="AP94" s="1952"/>
      <c r="AQ94" s="1952"/>
      <c r="AR94" s="1952"/>
      <c r="AS94" s="1952"/>
      <c r="AT94" s="1952"/>
      <c r="AU94" s="1952"/>
      <c r="AV94" s="1952"/>
      <c r="AW94" s="1952"/>
      <c r="AX94" s="1952"/>
      <c r="AY94" s="1952"/>
      <c r="AZ94" s="1952"/>
      <c r="BA94" s="1952"/>
      <c r="BB94" s="1952">
        <f>22*173000</f>
        <v>3806000</v>
      </c>
      <c r="BC94" s="1952"/>
      <c r="BD94" s="1952"/>
      <c r="BE94" s="1952"/>
      <c r="BF94" s="1952"/>
      <c r="BG94" s="2474"/>
      <c r="BH94" s="2473"/>
      <c r="BI94" s="1952"/>
      <c r="BJ94" s="1952"/>
      <c r="BK94" s="1952"/>
      <c r="BL94" s="2474"/>
      <c r="BM94" s="2473"/>
      <c r="BN94" s="1952"/>
      <c r="BO94" s="1952"/>
      <c r="BP94" s="1952"/>
      <c r="BQ94" s="1952"/>
      <c r="BR94" s="1952"/>
      <c r="BS94" s="1952"/>
      <c r="BT94" s="1952"/>
      <c r="BU94" s="1952"/>
      <c r="BV94" s="1952"/>
      <c r="BW94" s="1952"/>
      <c r="BX94" s="1952"/>
      <c r="BY94" s="1952"/>
      <c r="BZ94" s="1952"/>
      <c r="CA94" s="1952"/>
      <c r="CB94" s="1952"/>
      <c r="CC94" s="1952"/>
      <c r="CD94" s="1952"/>
      <c r="CE94" s="1952"/>
      <c r="CF94" s="1952"/>
      <c r="CG94" s="1952"/>
      <c r="CH94" s="1952"/>
      <c r="CI94" s="1952"/>
      <c r="CJ94" s="1952"/>
      <c r="CK94" s="1952"/>
      <c r="CL94" s="1952"/>
      <c r="CM94" s="1952"/>
      <c r="CN94" s="1952"/>
      <c r="CO94" s="1952"/>
      <c r="CP94" s="1952"/>
      <c r="CQ94" s="1952"/>
      <c r="CR94" s="1952"/>
      <c r="CS94" s="1952"/>
      <c r="CT94" s="1952" t="s">
        <v>1482</v>
      </c>
      <c r="CU94" s="921">
        <f>CV86+CQ86+CL86</f>
        <v>0</v>
      </c>
      <c r="CV94" s="1952">
        <f>9*102882</f>
        <v>925938</v>
      </c>
      <c r="CW94" s="828" t="s">
        <v>1490</v>
      </c>
      <c r="CX94" s="1952"/>
      <c r="CY94" s="1952" t="s">
        <v>1482</v>
      </c>
      <c r="CZ94" s="921">
        <f>CV86+CQ86+CL86+DA86</f>
        <v>0</v>
      </c>
      <c r="DA94" s="1952">
        <f>12*130000</f>
        <v>1560000</v>
      </c>
      <c r="DB94" s="828" t="s">
        <v>1631</v>
      </c>
      <c r="DC94" s="1952"/>
      <c r="DD94" s="1952" t="s">
        <v>1482</v>
      </c>
      <c r="DE94" s="1952">
        <f>CV86+CQ86+CL86+DA86+DF86</f>
        <v>0</v>
      </c>
      <c r="DF94" s="1952">
        <f>27*120000</f>
        <v>3240000</v>
      </c>
      <c r="DG94" s="3141" t="s">
        <v>1751</v>
      </c>
      <c r="DH94" s="1952"/>
      <c r="DI94" s="1952"/>
      <c r="DJ94" s="1952"/>
      <c r="DK94" s="1952"/>
      <c r="DL94" s="3141"/>
      <c r="DM94" s="1952"/>
      <c r="DN94" s="1952"/>
      <c r="DO94" s="1952"/>
      <c r="DP94" s="1952"/>
      <c r="DQ94" s="3141"/>
      <c r="DR94" s="1952"/>
      <c r="DS94" s="1952"/>
      <c r="DT94" s="1952"/>
      <c r="DU94" s="1952"/>
      <c r="DV94" s="3141"/>
      <c r="DW94" s="1952"/>
      <c r="DX94" s="1654"/>
      <c r="DY94" s="1952"/>
      <c r="DZ94" s="1173"/>
      <c r="EA94" s="1334"/>
      <c r="EB94" s="1952"/>
      <c r="ED94" s="1952"/>
      <c r="EE94" s="1654"/>
      <c r="EF94" s="3489"/>
    </row>
    <row r="95" spans="1:136" s="1396" customFormat="1" ht="13.2" hidden="1" customHeight="1" outlineLevel="1">
      <c r="A95" s="1402"/>
      <c r="B95" s="1655"/>
      <c r="C95" s="1952"/>
      <c r="D95" s="1952"/>
      <c r="E95" s="1952"/>
      <c r="F95" s="1952"/>
      <c r="G95" s="1952"/>
      <c r="H95" s="1952"/>
      <c r="I95" s="1952"/>
      <c r="J95" s="1952"/>
      <c r="K95" s="1952"/>
      <c r="L95" s="1952"/>
      <c r="M95" s="1952"/>
      <c r="N95" s="1952"/>
      <c r="O95" s="1952"/>
      <c r="P95" s="1952"/>
      <c r="Q95" s="1952"/>
      <c r="R95" s="1952"/>
      <c r="S95" s="1952"/>
      <c r="T95" s="1952"/>
      <c r="U95" s="1952"/>
      <c r="V95" s="1952"/>
      <c r="W95" s="1952"/>
      <c r="X95" s="1952"/>
      <c r="Y95" s="1952"/>
      <c r="Z95" s="1952"/>
      <c r="AA95" s="1952"/>
      <c r="AB95" s="1952"/>
      <c r="AC95" s="1952"/>
      <c r="AD95" s="1952"/>
      <c r="AE95" s="1952"/>
      <c r="AF95" s="1952"/>
      <c r="AG95" s="1952"/>
      <c r="AH95" s="1952"/>
      <c r="AI95" s="1952"/>
      <c r="AJ95" s="1952"/>
      <c r="AK95" s="1952"/>
      <c r="AL95" s="1952"/>
      <c r="AM95" s="1065"/>
      <c r="AN95" s="1952"/>
      <c r="AO95" s="1952"/>
      <c r="AP95" s="1952"/>
      <c r="AQ95" s="1952"/>
      <c r="AR95" s="1952"/>
      <c r="AS95" s="1952"/>
      <c r="AT95" s="1952"/>
      <c r="AU95" s="1952"/>
      <c r="AV95" s="1952"/>
      <c r="AW95" s="1952"/>
      <c r="AX95" s="1952">
        <f>AX86-AX93</f>
        <v>0</v>
      </c>
      <c r="AY95" s="1952"/>
      <c r="AZ95" s="1952"/>
      <c r="BA95" s="1952"/>
      <c r="BB95" s="1952"/>
      <c r="BC95" s="1952">
        <f>BC86-BC93</f>
        <v>0</v>
      </c>
      <c r="BD95" s="1952"/>
      <c r="BE95" s="1952"/>
      <c r="BF95" s="1952"/>
      <c r="BG95" s="2474"/>
      <c r="BH95" s="828" t="s">
        <v>1838</v>
      </c>
      <c r="BI95" s="1952">
        <v>47248973.579999998</v>
      </c>
      <c r="BJ95" s="1952"/>
      <c r="BK95" s="1952"/>
      <c r="BL95" s="2474"/>
      <c r="BM95" s="828" t="s">
        <v>1838</v>
      </c>
      <c r="BN95" s="1952">
        <v>47248973.579999998</v>
      </c>
      <c r="BO95" s="1952"/>
      <c r="BP95" s="1952"/>
      <c r="BQ95" s="1952"/>
      <c r="BR95" s="1952">
        <f>BR86-BR93</f>
        <v>0</v>
      </c>
      <c r="BS95" s="1952"/>
      <c r="BT95" s="1952"/>
      <c r="BU95" s="1952"/>
      <c r="BV95" s="1952"/>
      <c r="BW95" s="1952"/>
      <c r="BX95" s="1952"/>
      <c r="BY95" s="1952"/>
      <c r="BZ95" s="1952"/>
      <c r="CA95" s="1952"/>
      <c r="CB95" s="1952"/>
      <c r="CC95" s="1952"/>
      <c r="CD95" s="1952"/>
      <c r="CE95" s="1952"/>
      <c r="CF95" s="1952"/>
      <c r="CG95" s="1952"/>
      <c r="CH95" s="1952"/>
      <c r="CI95" s="1952"/>
      <c r="CJ95" s="1952"/>
      <c r="CK95" s="1952"/>
      <c r="CL95" s="1952"/>
      <c r="CM95" s="1952"/>
      <c r="CN95" s="1952"/>
      <c r="CO95" s="1952"/>
      <c r="CP95" s="1952"/>
      <c r="CQ95" s="1952"/>
      <c r="CR95" s="1952"/>
      <c r="CS95" s="1952"/>
      <c r="CT95" s="1952"/>
      <c r="CU95" s="1952"/>
      <c r="CV95" s="1952">
        <f>5*210257</f>
        <v>1051285</v>
      </c>
      <c r="CW95" s="828" t="s">
        <v>1483</v>
      </c>
      <c r="CX95" s="1952"/>
      <c r="CY95" s="1952"/>
      <c r="CZ95" s="1952"/>
      <c r="DA95" s="1952">
        <f>7*235000</f>
        <v>1645000</v>
      </c>
      <c r="DB95" s="828" t="s">
        <v>1632</v>
      </c>
      <c r="DC95" s="1952"/>
      <c r="DD95" s="1952"/>
      <c r="DE95" s="1952"/>
      <c r="DF95" s="1952">
        <f>10*205000</f>
        <v>2050000</v>
      </c>
      <c r="DG95" s="3141" t="s">
        <v>1752</v>
      </c>
      <c r="DH95" s="1952"/>
      <c r="DI95" s="1952"/>
      <c r="DJ95" s="1952"/>
      <c r="DK95" s="1952"/>
      <c r="DL95" s="3141"/>
      <c r="DM95" s="1952"/>
      <c r="DN95" s="1952"/>
      <c r="DO95" s="1952"/>
      <c r="DP95" s="1952"/>
      <c r="DQ95" s="3141"/>
      <c r="DR95" s="1952"/>
      <c r="DS95" s="1952"/>
      <c r="DT95" s="1952"/>
      <c r="DU95" s="1952"/>
      <c r="DV95" s="3141"/>
      <c r="DW95" s="1952"/>
      <c r="DX95" s="1952"/>
      <c r="DY95" s="1952"/>
      <c r="DZ95" s="1952"/>
      <c r="EA95" s="1952"/>
      <c r="EB95" s="1952"/>
      <c r="ED95" s="1952"/>
      <c r="EE95" s="1952"/>
      <c r="EF95" s="3489"/>
    </row>
    <row r="96" spans="1:136" s="1396" customFormat="1" ht="13.2" hidden="1" customHeight="1" outlineLevel="1">
      <c r="A96" s="1402"/>
      <c r="B96" s="1655"/>
      <c r="C96" s="1952"/>
      <c r="D96" s="1952"/>
      <c r="E96" s="1952"/>
      <c r="F96" s="1952"/>
      <c r="G96" s="1952"/>
      <c r="H96" s="1952"/>
      <c r="I96" s="1952"/>
      <c r="J96" s="1952"/>
      <c r="K96" s="1952"/>
      <c r="L96" s="1952"/>
      <c r="M96" s="1952"/>
      <c r="N96" s="1952"/>
      <c r="O96" s="1952"/>
      <c r="P96" s="1952"/>
      <c r="Q96" s="1952"/>
      <c r="R96" s="1952"/>
      <c r="S96" s="1952"/>
      <c r="T96" s="1952"/>
      <c r="U96" s="1952"/>
      <c r="V96" s="1952"/>
      <c r="W96" s="1952"/>
      <c r="X96" s="1952"/>
      <c r="Y96" s="1952"/>
      <c r="Z96" s="1952"/>
      <c r="AA96" s="1952"/>
      <c r="AB96" s="1952"/>
      <c r="AC96" s="1952"/>
      <c r="AD96" s="1952"/>
      <c r="AE96" s="1952"/>
      <c r="AF96" s="1952"/>
      <c r="AG96" s="1952"/>
      <c r="AH96" s="1952"/>
      <c r="AI96" s="1952"/>
      <c r="AJ96" s="1952"/>
      <c r="AK96" s="1952"/>
      <c r="AL96" s="1952"/>
      <c r="AM96" s="1065"/>
      <c r="AN96" s="1952"/>
      <c r="AO96" s="1952"/>
      <c r="AP96" s="1952"/>
      <c r="AQ96" s="1952"/>
      <c r="AR96" s="1952"/>
      <c r="AS96" s="1952"/>
      <c r="AT96" s="1952"/>
      <c r="AU96" s="1952"/>
      <c r="AV96" s="1952"/>
      <c r="AW96" s="1952"/>
      <c r="AX96" s="1952"/>
      <c r="AY96" s="1952"/>
      <c r="AZ96" s="1952"/>
      <c r="BA96" s="1952"/>
      <c r="BB96" s="1952"/>
      <c r="BC96" s="1952"/>
      <c r="BD96" s="1952"/>
      <c r="BE96" s="1952"/>
      <c r="BF96" s="1952"/>
      <c r="BG96" s="2474"/>
      <c r="BH96" s="2473"/>
      <c r="BI96" s="1952"/>
      <c r="BJ96" s="1952"/>
      <c r="BK96" s="1952"/>
      <c r="BL96" s="2474"/>
      <c r="BM96" s="2473"/>
      <c r="BN96" s="1952"/>
      <c r="BO96" s="1952"/>
      <c r="BP96" s="1952"/>
      <c r="BQ96" s="1952"/>
      <c r="BR96" s="1952"/>
      <c r="BS96" s="1952"/>
      <c r="BT96" s="1952"/>
      <c r="BU96" s="1952"/>
      <c r="BV96" s="1952"/>
      <c r="BW96" s="1952"/>
      <c r="BX96" s="1952"/>
      <c r="BY96" s="1952"/>
      <c r="BZ96" s="1952"/>
      <c r="CA96" s="1952"/>
      <c r="CB96" s="1952"/>
      <c r="CC96" s="1952"/>
      <c r="CD96" s="1952"/>
      <c r="CE96" s="1952"/>
      <c r="CF96" s="1952"/>
      <c r="CG96" s="1952"/>
      <c r="CH96" s="1952"/>
      <c r="CI96" s="1952"/>
      <c r="CJ96" s="1952"/>
      <c r="CK96" s="1952"/>
      <c r="CL96" s="1952"/>
      <c r="CM96" s="1952"/>
      <c r="CN96" s="1952"/>
      <c r="CO96" s="1952"/>
      <c r="CP96" s="1952"/>
      <c r="CQ96" s="1952"/>
      <c r="CR96" s="1952"/>
      <c r="CS96" s="1952"/>
      <c r="CT96" s="1952"/>
      <c r="CU96" s="1952"/>
      <c r="CV96" s="1952">
        <f>141000+258000</f>
        <v>399000</v>
      </c>
      <c r="CW96" s="828" t="s">
        <v>1484</v>
      </c>
      <c r="CX96" s="1952"/>
      <c r="CY96" s="1952"/>
      <c r="CZ96" s="1952"/>
      <c r="DA96" s="1952">
        <v>337000</v>
      </c>
      <c r="DB96" s="828" t="s">
        <v>1647</v>
      </c>
      <c r="DC96" s="1952"/>
      <c r="DD96" s="1952"/>
      <c r="DE96" s="1952"/>
      <c r="DF96" s="1952">
        <v>337000</v>
      </c>
      <c r="DG96" s="3141" t="s">
        <v>1647</v>
      </c>
      <c r="DH96" s="1952"/>
      <c r="DI96" s="1952"/>
      <c r="DJ96" s="1952"/>
      <c r="DK96" s="1952"/>
      <c r="DL96" s="3141"/>
      <c r="DM96" s="1952"/>
      <c r="DN96" s="1952"/>
      <c r="DO96" s="1952"/>
      <c r="DP96" s="1952"/>
      <c r="DQ96" s="3141"/>
      <c r="DR96" s="1952"/>
      <c r="DS96" s="1952"/>
      <c r="DT96" s="1952"/>
      <c r="DU96" s="1952"/>
      <c r="DV96" s="3141"/>
      <c r="DW96" s="1952"/>
      <c r="DX96" s="1065"/>
      <c r="DY96" s="1952"/>
      <c r="DZ96" s="2474"/>
      <c r="EA96" s="2473"/>
      <c r="EB96" s="1952"/>
      <c r="ED96" s="1065">
        <f>ED86+ED92+ED91</f>
        <v>3422455.2100000046</v>
      </c>
      <c r="EE96" s="1065">
        <f>ED97-ED96</f>
        <v>-4.6566128730773926E-9</v>
      </c>
      <c r="EF96" s="3489"/>
    </row>
    <row r="97" spans="1:136" ht="13.2" hidden="1" customHeight="1" outlineLevel="1">
      <c r="BH97" s="828"/>
      <c r="BM97" s="828"/>
      <c r="CV97" s="1952">
        <f>252700*(2+5)</f>
        <v>1768900</v>
      </c>
      <c r="CW97" s="828" t="s">
        <v>1485</v>
      </c>
      <c r="DA97" s="1952">
        <f>252700*(2+5)</f>
        <v>1768900</v>
      </c>
      <c r="DB97" s="828" t="s">
        <v>1485</v>
      </c>
      <c r="DF97" s="1952">
        <f>252700*(2+5)</f>
        <v>1768900</v>
      </c>
      <c r="DG97" s="3141" t="s">
        <v>1485</v>
      </c>
      <c r="DL97" s="3141"/>
      <c r="DQ97" s="3141"/>
      <c r="DV97" s="3141"/>
      <c r="DX97" s="1065"/>
      <c r="DZ97" s="2474"/>
      <c r="EA97" s="2473"/>
      <c r="ED97" s="1065">
        <f>3983155.21+ED91</f>
        <v>3422455.21</v>
      </c>
      <c r="EE97" s="1065"/>
    </row>
    <row r="98" spans="1:136" s="1396" customFormat="1" ht="13.2" hidden="1" customHeight="1" outlineLevel="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952"/>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O98" s="1952"/>
      <c r="CP98" s="1952"/>
      <c r="CQ98" s="1952"/>
      <c r="CR98" s="1952"/>
      <c r="CS98" s="1952"/>
      <c r="CT98" s="1952"/>
      <c r="CU98" s="1952"/>
      <c r="CV98" s="1952">
        <f>-(CL54+CL73+CQ54+CQ41+CL41+CQ73+CV73+CV54+CV41)</f>
        <v>0</v>
      </c>
      <c r="CW98" s="828" t="s">
        <v>1486</v>
      </c>
      <c r="CX98" s="1952"/>
      <c r="CY98" s="1952"/>
      <c r="CZ98" s="1952"/>
      <c r="DA98" s="1952">
        <f>-(CL54+CL73+CQ54+CQ41+CL41+CQ73+CV73+CV54+CV41+DA41+DA54+DA73)</f>
        <v>0</v>
      </c>
      <c r="DB98" s="828" t="s">
        <v>1486</v>
      </c>
      <c r="DC98" s="1952"/>
      <c r="DD98" s="1952"/>
      <c r="DE98" s="1952"/>
      <c r="DF98" s="1952">
        <f>-(CL54+CL73+CQ54+CQ41+CL41+CQ73+CV73+CV54+CV41+DA41+DA54+DA73+DF41+DF54+DF73)</f>
        <v>0</v>
      </c>
      <c r="DG98" s="3141" t="s">
        <v>1486</v>
      </c>
      <c r="DH98" s="1952"/>
      <c r="DI98" s="1952"/>
      <c r="DJ98" s="1952"/>
      <c r="DK98" s="1952"/>
      <c r="DL98" s="3141"/>
      <c r="DM98" s="1952"/>
      <c r="DN98" s="1952"/>
      <c r="DO98" s="1952"/>
      <c r="DP98" s="1952"/>
      <c r="DQ98" s="3141"/>
      <c r="DR98" s="1952"/>
      <c r="DS98" s="1952"/>
      <c r="DT98" s="1952"/>
      <c r="DU98" s="1952"/>
      <c r="DV98" s="3141"/>
      <c r="DW98" s="1952"/>
      <c r="DX98" s="1952"/>
      <c r="DY98" s="1952"/>
      <c r="DZ98" s="1952"/>
      <c r="EA98" s="828"/>
      <c r="EB98" s="1952"/>
      <c r="ED98" s="1952"/>
      <c r="EE98" s="1952"/>
      <c r="EF98" s="3489"/>
    </row>
    <row r="99" spans="1:136" ht="13.2" hidden="1" customHeight="1" outlineLevel="1">
      <c r="CV99" s="1952">
        <f>CU94-SUM(CV94:CV98)</f>
        <v>-4145123</v>
      </c>
      <c r="CW99" s="828" t="s">
        <v>1487</v>
      </c>
      <c r="DA99" s="1952">
        <f>55871.2+53956.1-48260.91-54110</f>
        <v>7456.3899999999849</v>
      </c>
      <c r="DB99" s="828" t="s">
        <v>1640</v>
      </c>
      <c r="DF99" s="1952">
        <f>55871.2+53956.1-48260.91-54110</f>
        <v>7456.3899999999849</v>
      </c>
      <c r="DG99" s="3141" t="s">
        <v>1640</v>
      </c>
      <c r="DL99" s="3141"/>
      <c r="DQ99" s="3141"/>
      <c r="DV99" s="3141"/>
    </row>
    <row r="100" spans="1:136" ht="14.4" collapsed="1">
      <c r="AO100" s="828"/>
      <c r="AV100" s="2123"/>
      <c r="AW100" s="2123"/>
      <c r="AX100" s="2123"/>
      <c r="AY100" s="2123"/>
      <c r="AZ100" s="2123"/>
      <c r="DA100" s="1952">
        <f>78000-55000</f>
        <v>23000</v>
      </c>
      <c r="DB100" s="828" t="s">
        <v>1641</v>
      </c>
      <c r="DF100" s="1952">
        <f>78000-55000</f>
        <v>23000</v>
      </c>
      <c r="DG100" s="3141" t="s">
        <v>1641</v>
      </c>
      <c r="DL100" s="3141"/>
      <c r="DQ100" s="3141"/>
      <c r="DV100" s="3141"/>
    </row>
    <row r="101" spans="1:136" ht="14.4">
      <c r="AV101" s="2123"/>
      <c r="AW101" s="2123"/>
      <c r="AX101" s="2123"/>
      <c r="AY101" s="2123"/>
      <c r="AZ101" s="2123"/>
      <c r="DA101" s="1952">
        <f>CZ94-SUM(DA94:DA100)</f>
        <v>-5341356.3899999997</v>
      </c>
      <c r="DB101" s="828" t="s">
        <v>1487</v>
      </c>
      <c r="DF101" s="3142">
        <f>DE94-SUM(DF94:DF100)</f>
        <v>-7426356.3899999997</v>
      </c>
      <c r="DG101" s="3141" t="s">
        <v>1487</v>
      </c>
      <c r="DK101" s="3142"/>
      <c r="DL101" s="3141"/>
      <c r="DQ101" s="3141"/>
      <c r="DU101" s="3142"/>
      <c r="DV101" s="3141"/>
    </row>
    <row r="102" spans="1:136">
      <c r="DQ102" s="3141"/>
    </row>
    <row r="103" spans="1:136">
      <c r="DQ103" s="3141"/>
    </row>
    <row r="104" spans="1:136">
      <c r="DQ104" s="3141"/>
    </row>
    <row r="105" spans="1:136">
      <c r="DQ105" s="3141"/>
    </row>
    <row r="106" spans="1:136">
      <c r="DQ106" s="3141"/>
    </row>
    <row r="107" spans="1:136">
      <c r="DQ107" s="3141"/>
    </row>
    <row r="108" spans="1:136">
      <c r="DQ108" s="3141"/>
    </row>
    <row r="109" spans="1:136">
      <c r="DQ109" s="3141"/>
    </row>
    <row r="110" spans="1:136">
      <c r="DQ110" s="3141"/>
    </row>
    <row r="111" spans="1:136">
      <c r="DQ111" s="828"/>
    </row>
    <row r="112" spans="1:136">
      <c r="DQ112" s="828"/>
    </row>
    <row r="113" spans="121:136" s="1395" customFormat="1">
      <c r="DQ113" s="828"/>
      <c r="EF113" s="1402"/>
    </row>
    <row r="114" spans="121:136" s="1395" customFormat="1">
      <c r="DQ114" s="828"/>
      <c r="EF114" s="1402"/>
    </row>
    <row r="115" spans="121:136" s="1395" customFormat="1">
      <c r="DQ115" s="828"/>
      <c r="EF115" s="1402"/>
    </row>
  </sheetData>
  <mergeCells count="32">
    <mergeCell ref="DX2:EB3"/>
    <mergeCell ref="ED2:ED3"/>
    <mergeCell ref="EE2:EE3"/>
    <mergeCell ref="AG2:AK3"/>
    <mergeCell ref="AL2:AP3"/>
    <mergeCell ref="DI2:DM3"/>
    <mergeCell ref="DN2:DR3"/>
    <mergeCell ref="DS2:DW3"/>
    <mergeCell ref="BP2:BT3"/>
    <mergeCell ref="BK2:BO3"/>
    <mergeCell ref="BA2:BE3"/>
    <mergeCell ref="AQ2:AU3"/>
    <mergeCell ref="AV2:AZ3"/>
    <mergeCell ref="BF2:BJ3"/>
    <mergeCell ref="DD2:DH3"/>
    <mergeCell ref="CY2:DC3"/>
    <mergeCell ref="BU2:BY3"/>
    <mergeCell ref="A42:A48"/>
    <mergeCell ref="A2:B2"/>
    <mergeCell ref="A3:B3"/>
    <mergeCell ref="C2:F3"/>
    <mergeCell ref="H2:L3"/>
    <mergeCell ref="H1:J1"/>
    <mergeCell ref="M2:Q3"/>
    <mergeCell ref="R2:V3"/>
    <mergeCell ref="W2:AA3"/>
    <mergeCell ref="AB2:AF3"/>
    <mergeCell ref="BZ2:CD3"/>
    <mergeCell ref="CE2:CI3"/>
    <mergeCell ref="CO2:CS3"/>
    <mergeCell ref="CT2:CX3"/>
    <mergeCell ref="CJ2:CN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V130"/>
  <sheetViews>
    <sheetView showZeros="0" zoomScale="85" zoomScaleNormal="85" workbookViewId="0">
      <pane xSplit="2" ySplit="5" topLeftCell="BA81" activePane="bottomRight" state="frozen"/>
      <selection activeCell="Y90" sqref="Y90"/>
      <selection pane="topRight" activeCell="Y90" sqref="Y90"/>
      <selection pane="bottomLeft" activeCell="Y90" sqref="Y90"/>
      <selection pane="bottomRight" activeCell="BA68" sqref="BA68"/>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hidden="1" customWidth="1" outlineLevel="1" collapsed="1"/>
    <col min="19" max="22" width="13.44140625" style="1952" hidden="1" customWidth="1" outlineLevel="1"/>
    <col min="23" max="23" width="13.44140625" style="1952" customWidth="1" collapsed="1"/>
    <col min="24" max="27" width="13.44140625" style="1952" customWidth="1"/>
    <col min="28" max="31" width="12.88671875" style="1952" hidden="1" customWidth="1" outlineLevel="1"/>
    <col min="32" max="32" width="29.33203125" style="1952" hidden="1" customWidth="1" outlineLevel="1"/>
    <col min="33" max="33" width="12.88671875" style="1952" hidden="1" customWidth="1" outlineLevel="1" collapsed="1"/>
    <col min="34" max="36" width="12.88671875" style="1952" hidden="1" customWidth="1" outlineLevel="1"/>
    <col min="37" max="37" width="26.109375" style="1952" hidden="1" customWidth="1" outlineLevel="1"/>
    <col min="38" max="38" width="12.88671875" style="1952" hidden="1" customWidth="1" outlineLevel="1" collapsed="1"/>
    <col min="39" max="41" width="12.88671875" style="1952" hidden="1" customWidth="1" outlineLevel="1"/>
    <col min="42" max="42" width="26.109375" style="1952" hidden="1" customWidth="1" outlineLevel="1"/>
    <col min="43" max="43" width="12.88671875" style="1952" hidden="1" customWidth="1" outlineLevel="1" collapsed="1"/>
    <col min="44" max="46" width="12.88671875" style="1952" hidden="1" customWidth="1" outlineLevel="1"/>
    <col min="47" max="47" width="26.109375" style="1952" hidden="1" customWidth="1" outlineLevel="1"/>
    <col min="48" max="48" width="12.88671875" style="1952" customWidth="1" collapsed="1"/>
    <col min="49" max="51" width="12.88671875" style="1952" customWidth="1"/>
    <col min="52" max="52" width="26.109375" style="1952" customWidth="1"/>
    <col min="53" max="56" width="12.88671875" style="1952" customWidth="1"/>
    <col min="57" max="57" width="26.109375" style="1952" customWidth="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hidden="1" customWidth="1" outlineLevel="1" collapsed="1"/>
    <col min="89" max="91" width="13.44140625" style="1952" hidden="1" customWidth="1" outlineLevel="1"/>
    <col min="92" max="92" width="14.33203125" style="1952" hidden="1" customWidth="1" outlineLevel="1"/>
    <col min="93" max="93" width="2.88671875" style="1395" hidden="1" customWidth="1" outlineLevel="1"/>
    <col min="94" max="94" width="11.88671875" style="1395" hidden="1" customWidth="1" outlineLevel="1"/>
    <col min="95" max="95" width="23.5546875" style="1395" hidden="1" customWidth="1" outlineLevel="1"/>
    <col min="96" max="96" width="2.88671875" style="1395" hidden="1" customWidth="1" outlineLevel="1"/>
    <col min="97" max="97" width="8.33203125" style="1395" hidden="1" customWidth="1" outlineLevel="1"/>
    <col min="98" max="98" width="10.6640625" style="1395" hidden="1" customWidth="1" outlineLevel="1"/>
    <col min="99" max="99" width="2.88671875" style="1395" collapsed="1"/>
    <col min="100" max="100" width="12" style="1395" bestFit="1" customWidth="1"/>
    <col min="101" max="16384" width="2.88671875" style="1395"/>
  </cols>
  <sheetData>
    <row r="1" spans="1:100" ht="13.8" thickBot="1"/>
    <row r="2" spans="1:100" ht="13.8" customHeight="1">
      <c r="A2" s="4834" t="s">
        <v>1122</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2071</v>
      </c>
      <c r="CK2" s="4875"/>
      <c r="CL2" s="4875"/>
      <c r="CM2" s="4875"/>
      <c r="CN2" s="4876"/>
    </row>
    <row r="3" spans="1:100"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row>
    <row r="4" spans="1:100"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row>
    <row r="5" spans="1:100"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018">
        <f>R6</f>
        <v>53296675.699999996</v>
      </c>
      <c r="S5" s="1018">
        <f>S6</f>
        <v>0</v>
      </c>
      <c r="T5" s="1466">
        <f>T6+T7</f>
        <v>53296675.699999996</v>
      </c>
      <c r="U5" s="1466"/>
      <c r="V5" s="1466"/>
      <c r="W5" s="1466">
        <f>W6</f>
        <v>6439762.3300000001</v>
      </c>
      <c r="X5" s="1466">
        <f>X6</f>
        <v>784044.15</v>
      </c>
      <c r="Y5" s="1466">
        <f>Y6+Y7</f>
        <v>7223806.4800000004</v>
      </c>
      <c r="Z5" s="1466"/>
      <c r="AA5" s="1466"/>
      <c r="AB5" s="1466">
        <f>AB6</f>
        <v>210800</v>
      </c>
      <c r="AC5" s="1466">
        <f>AC6</f>
        <v>0</v>
      </c>
      <c r="AD5" s="1466">
        <f>AD6+AD7</f>
        <v>210800</v>
      </c>
      <c r="AE5" s="1466"/>
      <c r="AF5" s="1466"/>
      <c r="AG5" s="1466">
        <f>AG6</f>
        <v>1098513.21</v>
      </c>
      <c r="AH5" s="1466">
        <f>AH6</f>
        <v>0</v>
      </c>
      <c r="AI5" s="1466">
        <f>AI6+AI7</f>
        <v>1098513.21</v>
      </c>
      <c r="AJ5" s="1466"/>
      <c r="AK5" s="1466"/>
      <c r="AL5" s="1466">
        <f>AL6</f>
        <v>1819181.7</v>
      </c>
      <c r="AM5" s="1466">
        <f>AM6</f>
        <v>784044.15</v>
      </c>
      <c r="AN5" s="1466">
        <f>AN6+AN7</f>
        <v>2603225.85</v>
      </c>
      <c r="AO5" s="1466"/>
      <c r="AP5" s="1466"/>
      <c r="AQ5" s="1466">
        <f>AQ6</f>
        <v>1316119.54</v>
      </c>
      <c r="AR5" s="1466">
        <f>AR6</f>
        <v>0</v>
      </c>
      <c r="AS5" s="1466">
        <f>AS6+AS7</f>
        <v>1316119.54</v>
      </c>
      <c r="AT5" s="1466"/>
      <c r="AU5" s="1466"/>
      <c r="AV5" s="1466">
        <f>AV6</f>
        <v>1795147.88</v>
      </c>
      <c r="AW5" s="1466">
        <f>AW6</f>
        <v>0</v>
      </c>
      <c r="AX5" s="1466">
        <f>AX6+AX7</f>
        <v>1795147.88</v>
      </c>
      <c r="AY5" s="1466"/>
      <c r="AZ5" s="1466"/>
      <c r="BA5" s="1466">
        <f>BA6</f>
        <v>200000</v>
      </c>
      <c r="BB5" s="1466">
        <f>BB6</f>
        <v>0</v>
      </c>
      <c r="BC5" s="1466">
        <f>BC6+BC7</f>
        <v>200000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59736438.029999994</v>
      </c>
      <c r="CK5" s="1466">
        <f>CK6</f>
        <v>784044.15</v>
      </c>
      <c r="CL5" s="1466">
        <f>CL6</f>
        <v>60520482.179999992</v>
      </c>
      <c r="CM5" s="1466"/>
      <c r="CN5" s="1466"/>
    </row>
    <row r="6" spans="1:100" s="1396" customFormat="1" ht="13.8"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427">
        <f>PL_Производство!BF6</f>
        <v>53296675.699999996</v>
      </c>
      <c r="S6" s="3427">
        <f>PL_Производство!BG6</f>
        <v>0</v>
      </c>
      <c r="T6" s="2012">
        <f t="shared" ref="T6:T7" si="2">R6+S6</f>
        <v>53296675.699999996</v>
      </c>
      <c r="U6" s="3342"/>
      <c r="V6" s="3342"/>
      <c r="W6" s="3342">
        <f>AB6+AG6+AL6+AV6+BA6+BF6+BK6+BP6+BU6+BZ6+CE6+AQ6</f>
        <v>6439762.3300000001</v>
      </c>
      <c r="X6" s="3342">
        <f>AC6+AH6+AM6+AW6+BB6+BG6+BL6+BQ6+BV6+CA6+CF6+AR6</f>
        <v>784044.15</v>
      </c>
      <c r="Y6" s="2012">
        <f t="shared" ref="Y6:Y7" si="3">W6+X6</f>
        <v>7223806.4800000004</v>
      </c>
      <c r="Z6" s="3342"/>
      <c r="AA6" s="3342"/>
      <c r="AB6" s="3341">
        <f>PL_ЦО_Производство!AB6+'МД ООН'!AB6+'МК Ладыжин-3'!AB6+'МК Староконстантинов'!AB6+'МК Армокаркасы'!AB6+'МК Щедро. Флекситанки'!AB6+'МК ЛифтМаркет'!AB6+'МК Укркотлопром'!AB6+'МК Подгорцы.Забор'!AB6+PL_Металлизация!BP6+'МД Бытовка ИТР Нежин'!AB6+'МК Металургбуд.поддоны'!AB6</f>
        <v>210800</v>
      </c>
      <c r="AC6" s="3341">
        <f>PL_ЦО_Производство!AC6+'МД ООН'!AC6+'МК Ладыжин-3'!AC6+'МК Староконстантинов'!AC6+'МК Армокаркасы'!AC6+'МК Щедро. Флекситанки'!AC6+'МК ЛифтМаркет'!AC6+'МК Укркотлопром'!AC6+'МК Подгорцы.Забор'!AC6+PL_Металлизация!BQ6+'МД Бытовка ИТР Нежин'!AC6+'МК Металургбуд.поддоны'!AC6</f>
        <v>0</v>
      </c>
      <c r="AD6" s="2012">
        <f t="shared" ref="AD6:AD7" si="4">AB6+AC6</f>
        <v>210800</v>
      </c>
      <c r="AE6" s="3341"/>
      <c r="AF6" s="3342"/>
      <c r="AG6" s="3341">
        <f>PL_ЦО_Производство!AG6+'МД ООН'!AG6+'МК Ладыжин-3'!AG6+'МК Староконстантинов'!AG6+'МК Армокаркасы'!AG6+'МК Щедро. Флекситанки'!AG6+'МК ЛифтМаркет'!AG6+'МК Укркотлопром'!AG6+'МК Подгорцы.Забор'!AG6+PL_Металлизация!BU6+'МД Бытовка ИТР Нежин'!AG6+'МК Металургбуд.поддоны'!AG6</f>
        <v>1098513.21</v>
      </c>
      <c r="AH6" s="3341">
        <f>PL_ЦО_Производство!AH6+'МД ООН'!AH6+'МК Ладыжин-3'!AH6+'МК Староконстантинов'!AH6+'МК Армокаркасы'!AH6+'МК Щедро. Флекситанки'!AH6+'МК ЛифтМаркет'!AH6+'МК Укркотлопром'!AH6+'МК Подгорцы.Забор'!AH6+PL_Металлизация!BV6+'МД Бытовка ИТР Нежин'!AH6+'МК Металургбуд.поддоны'!AH6</f>
        <v>0</v>
      </c>
      <c r="AI6" s="2012">
        <f t="shared" ref="AI6:AI7" si="5">AG6+AH6</f>
        <v>1098513.21</v>
      </c>
      <c r="AJ6" s="3341"/>
      <c r="AK6" s="3342"/>
      <c r="AL6" s="3341">
        <f>PL_ЦО_Производство!AL6+'МД ООН'!AL6+'МК Ладыжин-3'!AL6+'МК Староконстантинов'!AL6+'МК Армокаркасы'!AL6+'МК Щедро. Флекситанки'!AL6+'МК ЛифтМаркет'!AL6+'МК Укркотлопром'!AL6+'МК Подгорцы.Забор'!AL6+PL_Металлизация!BZ6+'МД Бытовка ИТР Нежин'!AL6+'МК Металургбуд.поддоны'!AL6+'МК Нежин-3'!AL6</f>
        <v>1819181.7</v>
      </c>
      <c r="AM6" s="3341">
        <f>PL_ЦО_Производство!AM6+'МД ООН'!AM6+'МК Ладыжин-3'!AM6+'МК Староконстантинов'!AM6+'МК Армокаркасы'!AM6+'МК Щедро. Флекситанки'!AM6+'МК ЛифтМаркет'!AM6+'МК Укркотлопром'!AM6+'МК Подгорцы.Забор'!AM6+PL_Металлизация!CA6+'МД Бытовка ИТР Нежин'!AM6+'МК Металургбуд.поддоны'!AM6+'МК Нежин-3'!AM6</f>
        <v>784044.15</v>
      </c>
      <c r="AN6" s="2012">
        <f t="shared" ref="AN6:AN7" si="6">AL6+AM6</f>
        <v>2603225.85</v>
      </c>
      <c r="AO6" s="3341"/>
      <c r="AP6" s="3342"/>
      <c r="AQ6" s="3341">
        <f>PL_ЦО_Производство!AQ6+'МД ООН'!AQ6+'МК Ладыжин-3'!AQ6+'МК Староконстантинов'!AQ6+'МК Армокаркасы'!AQ6+'МК Щедро. Флекситанки'!AQ6+'МК ЛифтМаркет'!AQ6+'МК Укркотлопром'!AQ6+'МК Подгорцы.Забор'!AQ6+PL_Металлизация!CE6+'МД Бытовка ИТР Нежин'!AQ6+'МК Металургбуд.поддоны'!AQ6+'МК Нежин-3'!AQ6</f>
        <v>1316119.54</v>
      </c>
      <c r="AR6" s="3341">
        <f>PL_ЦО_Производство!AR6+'МД ООН'!AR6+'МК Ладыжин-3'!AR6+'МК Староконстантинов'!AR6+'МК Армокаркасы'!AR6+'МК Щедро. Флекситанки'!AR6+'МК ЛифтМаркет'!AR6+'МК Укркотлопром'!AR6+'МК Подгорцы.Забор'!AR6+PL_Металлизация!CF6+'МД Бытовка ИТР Нежин'!AR6+'МК Металургбуд.поддоны'!AR6+'МК Нежин-3'!AR6</f>
        <v>0</v>
      </c>
      <c r="AS6" s="2012">
        <f t="shared" ref="AS6:AS7" si="7">AQ6+AR6</f>
        <v>1316119.54</v>
      </c>
      <c r="AT6" s="3341"/>
      <c r="AU6" s="3342"/>
      <c r="AV6" s="3341">
        <f>PL_ЦО_Производство!AV6+'МД ООН'!AV6+'МК Армокаркасы'!AV6+'МК Подгорцы.Забор'!AV6+'МК Нежин-3'!AV6+'МК РДК.Кран'!AV6+'МК Ворота.Запорожье'!AV6+'МД ВООЗ'!AV6+'МД Казарма.Рекламация'!AV6</f>
        <v>1795147.88</v>
      </c>
      <c r="AW6" s="3341">
        <f>PL_ЦО_Производство!AW6+'МД ООН'!AW6+'МК Армокаркасы'!AW6+'МК Подгорцы.Забор'!AW6+'МК Нежин-3'!AW6+'МК РДК.Кран'!AW6+'МК Ворота.Запорожье'!AW6+'МД ВООЗ'!AW6+'МД Казарма.Рекламация'!AW6</f>
        <v>0</v>
      </c>
      <c r="AX6" s="2012">
        <f t="shared" ref="AX6:AX7" si="8">AV6+AW6</f>
        <v>1795147.88</v>
      </c>
      <c r="AY6" s="3341"/>
      <c r="AZ6" s="3342"/>
      <c r="BA6" s="3341">
        <f>PL_ЦО_Производство!BA6+'МД ООН'!BA6+'МК Ладыжин-3'!BA6+'МК Староконстантинов'!BA6+'МК Армокаркасы'!BA6+'МК Щедро. Флекситанки'!BA6+'МК ЛифтМаркет'!BA6+'МК Укркотлопром'!BA6+'МК Подгорцы.Забор'!BA6+PL_Металлизация!CO6+'МД Бытовка ИТР Нежин'!BA6+'МК Металургбуд.поддоны'!BA6+'МК Нежин-3'!BA6+'МК РДК.Кран'!BA6+'МК Ворота.Запорожье'!BA6+'МД ВООЗ'!BA6+'МД Казарма.Рекламация'!BA6</f>
        <v>200000</v>
      </c>
      <c r="BB6" s="3341">
        <f>PL_ЦО_Производство!BB6+'МД ООН'!BB6+'МК Ладыжин-3'!BB6+'МК Староконстантинов'!BB6+'МК Армокаркасы'!BB6+'МК Щедро. Флекситанки'!BB6+'МК ЛифтМаркет'!BB6+'МК Укркотлопром'!BB6+'МК Подгорцы.Забор'!BB6+PL_Металлизация!CP6+'МД Бытовка ИТР Нежин'!BB6+'МК Металургбуд.поддоны'!BB6+'МК Нежин-3'!BB6+'МК РДК.Кран'!BB6+'МК Ворота.Запорожье'!BB6+'МД ВООЗ'!BB6+'МД Казарма.Рекламация'!BB6</f>
        <v>0</v>
      </c>
      <c r="BC6" s="2012">
        <f t="shared" ref="BC6:BC7" si="9">BA6+BB6</f>
        <v>200000</v>
      </c>
      <c r="BD6" s="3341"/>
      <c r="BE6" s="3342"/>
      <c r="BF6" s="3341">
        <f>PL_ЦО_Производство!BF6+'МД ООН'!BF6+'МК Ладыжин-3'!BF6+'МК Староконстантинов'!BF6+'МК Армокаркасы'!BF6+'МК Щедро. Флекситанки'!BF6+'МК ЛифтМаркет'!BF6+'МК Укркотлопром'!BF6+'МК Подгорцы.Забор'!BF6+PL_Металлизация!CT6+'МД Бытовка ИТР Нежин'!BF6+'МК Металургбуд.поддоны'!BF6+'МК Нежин-3'!BF6+'МК РДК.Кран'!BF6+'МК Ворота.Запорожье'!BF6+'МД ВООЗ'!BF6+'МД Казарма.Рекламация'!BF6</f>
        <v>0</v>
      </c>
      <c r="BG6" s="3341">
        <f>PL_ЦО_Производство!BG6+'МД ООН'!BG6+'МК Ладыжин-3'!BG6+'МК Староконстантинов'!BG6+'МК Армокаркасы'!BG6+'МК Щедро. Флекситанки'!BG6+'МК ЛифтМаркет'!BG6+'МК Укркотлопром'!BG6+'МК Подгорцы.Забор'!BG6+PL_Металлизация!CU6+'МД Бытовка ИТР Нежин'!BG6+'МК Металургбуд.поддоны'!BG6+'МК Нежин-3'!BG6+'МК РДК.Кран'!BG6+'МК Ворота.Запорожье'!BG6+'МД ВООЗ'!BG6+'МД Казарма.Рекламация'!BG6</f>
        <v>0</v>
      </c>
      <c r="BH6" s="2012">
        <f t="shared" ref="BH6:BH7" si="10">BF6+BG6</f>
        <v>0</v>
      </c>
      <c r="BI6" s="3341"/>
      <c r="BJ6" s="3342"/>
      <c r="BK6" s="3341">
        <f>PL_ЦО_Производство!BK6+'МД ООН'!BK6+'МК Ладыжин-3'!BK6+'МК Староконстантинов'!BK6+'МК Армокаркасы'!BK6+'МК Щедро. Флекситанки'!BK6+'МК ЛифтМаркет'!BK6+'МК Укркотлопром'!BK6+'МК Подгорцы.Забор'!BK6+PL_Металлизация!CY6+'МД Бытовка ИТР Нежин'!BK6+'МК Металургбуд.поддоны'!BK6+'МК Нежин-3'!BK6+'МК РДК.Кран'!BK6+'МК Ворота.Запорожье'!BK6+'МД ВООЗ'!BK6+'МД Казарма.Рекламация'!BK6</f>
        <v>0</v>
      </c>
      <c r="BL6" s="3341">
        <f>PL_ЦО_Производство!BL6+'МД ООН'!BL6+'МК Ладыжин-3'!BL6+'МК Староконстантинов'!BL6+'МК Армокаркасы'!BL6+'МК Щедро. Флекситанки'!BL6+'МК ЛифтМаркет'!BL6+'МК Укркотлопром'!BL6+'МК Подгорцы.Забор'!BL6+PL_Металлизация!CZ6+'МД Бытовка ИТР Нежин'!BL6+'МК Металургбуд.поддоны'!BL6+'МК Нежин-3'!BL6+'МК РДК.Кран'!BL6+'МК Ворота.Запорожье'!BL6+'МД ВООЗ'!BL6+'МД Казарма.Рекламация'!BL6</f>
        <v>0</v>
      </c>
      <c r="BM6" s="2012">
        <f t="shared" ref="BM6:BM7" si="11">BK6+BL6</f>
        <v>0</v>
      </c>
      <c r="BN6" s="3341"/>
      <c r="BO6" s="3342"/>
      <c r="BP6" s="3341">
        <f>PL_ЦО_Производство!BP6+'МД ООН'!BP6+'МК Ладыжин-3'!BP6+'МК Староконстантинов'!BP6+'МК Армокаркасы'!BP6+'МК Щедро. Флекситанки'!BP6+'МК ЛифтМаркет'!BP6+'МК Укркотлопром'!BP6+'МК Подгорцы.Забор'!BP6+PL_Металлизация!DD6+'МД Бытовка ИТР Нежин'!BP6+'МК Металургбуд.поддоны'!BP6+'МК Нежин-3'!BP6+'МК РДК.Кран'!BP6+'МК Ворота.Запорожье'!BP6+'МД ВООЗ'!BP6+'МД Казарма.Рекламация'!BP6</f>
        <v>0</v>
      </c>
      <c r="BQ6" s="3341">
        <f>PL_ЦО_Производство!BQ6+'МД ООН'!BQ6+'МК Ладыжин-3'!BQ6+'МК Староконстантинов'!BQ6+'МК Армокаркасы'!BQ6+'МК Щедро. Флекситанки'!BQ6+'МК ЛифтМаркет'!BQ6+'МК Укркотлопром'!BQ6+'МК Подгорцы.Забор'!BQ6+PL_Металлизация!DE6+'МД Бытовка ИТР Нежин'!BQ6+'МК Металургбуд.поддоны'!BQ6+'МК Нежин-3'!BQ6+'МК РДК.Кран'!BQ6+'МК Ворота.Запорожье'!BQ6+'МД ВООЗ'!BQ6+'МД Казарма.Рекламация'!BQ6</f>
        <v>0</v>
      </c>
      <c r="BR6" s="2012">
        <f t="shared" ref="BR6:BR7" si="12">BP6+BQ6</f>
        <v>0</v>
      </c>
      <c r="BS6" s="3341"/>
      <c r="BT6" s="3342"/>
      <c r="BU6" s="3341">
        <f>PL_ЦО_Производство!BU6+'МД ООН'!BU6+'МК Ладыжин-3'!BU6+'МК Староконстантинов'!BU6+'МК Армокаркасы'!BU6+'МК Щедро. Флекситанки'!BU6+'МК ЛифтМаркет'!BU6+'МК Укркотлопром'!BU6+'МК Подгорцы.Забор'!BU6+PL_Металлизация!DI6+'МД Бытовка ИТР Нежин'!BU6+'МК Металургбуд.поддоны'!BU6+'МК Нежин-3'!BU6+'МК РДК.Кран'!BU6+'МК Ворота.Запорожье'!BU6+'МД ВООЗ'!BU6+'МД Казарма.Рекламация'!BU6</f>
        <v>0</v>
      </c>
      <c r="BV6" s="3341">
        <f>PL_ЦО_Производство!BV6+'МД ООН'!BV6+'МК Ладыжин-3'!BV6+'МК Староконстантинов'!BV6+'МК Армокаркасы'!BV6+'МК Щедро. Флекситанки'!BV6+'МК ЛифтМаркет'!BV6+'МК Укркотлопром'!BV6+'МК Подгорцы.Забор'!BV6+PL_Металлизация!DJ6+'МД Бытовка ИТР Нежин'!BV6+'МК Металургбуд.поддоны'!BV6+'МК Нежин-3'!BV6+'МК РДК.Кран'!BV6+'МК Ворота.Запорожье'!BV6+'МД ВООЗ'!BV6+'МД Казарма.Рекламация'!BV6</f>
        <v>0</v>
      </c>
      <c r="BW6" s="2012">
        <f t="shared" ref="BW6:BW7" si="13">BU6+BV6</f>
        <v>0</v>
      </c>
      <c r="BX6" s="3341"/>
      <c r="BY6" s="3342"/>
      <c r="BZ6" s="3341">
        <f>PL_ЦО_Производство!BZ6+'МД ООН'!BZ6+'МК Ладыжин-3'!BZ6+'МК Староконстантинов'!BZ6+'МК Армокаркасы'!BZ6+'МК Щедро. Флекситанки'!BZ6+'МК ЛифтМаркет'!BZ6+'МК Укркотлопром'!BZ6+'МК Подгорцы.Забор'!BZ6+PL_Металлизация!DN6+'МД Бытовка ИТР Нежин'!BZ6+'МК Металургбуд.поддоны'!BZ6+'МК Нежин-3'!BZ6+'МК РДК.Кран'!BZ6+'МК Ворота.Запорожье'!BZ6+'МД ВООЗ'!BZ6+'МД Казарма.Рекламация'!BZ6</f>
        <v>0</v>
      </c>
      <c r="CA6" s="3341">
        <f>PL_ЦО_Производство!CA6+'МД ООН'!CA6+'МК Ладыжин-3'!CA6+'МК Староконстантинов'!CA6+'МК Армокаркасы'!CA6+'МК Щедро. Флекситанки'!CA6+'МК ЛифтМаркет'!CA6+'МК Укркотлопром'!CA6+'МК Подгорцы.Забор'!CA6+PL_Металлизация!DO6+'МД Бытовка ИТР Нежин'!CA6+'МК Металургбуд.поддоны'!CA6+'МК Нежин-3'!CA6+'МК РДК.Кран'!CA6+'МК Ворота.Запорожье'!CA6+'МД ВООЗ'!CA6+'МД Казарма.Рекламация'!CA6</f>
        <v>0</v>
      </c>
      <c r="CB6" s="2012">
        <f t="shared" ref="CB6:CB7" si="14">BZ6+CA6</f>
        <v>0</v>
      </c>
      <c r="CC6" s="3341"/>
      <c r="CD6" s="3342"/>
      <c r="CE6" s="3341">
        <f>PL_ЦО_Производство!CE6+'МД ООН'!CE6+'МК Ладыжин-3'!CE6+'МК Староконстантинов'!CE6+'МК Армокаркасы'!CE6+'МК Щедро. Флекситанки'!CE6+'МК ЛифтМаркет'!CE6+'МК Укркотлопром'!CE6+'МК Подгорцы.Забор'!CE6+PL_Металлизация!DS6+'МД Бытовка ИТР Нежин'!CE6+'МК Металургбуд.поддоны'!CE6+'МК Нежин-3'!CE6+'МК РДК.Кран'!CE6+'МК Ворота.Запорожье'!CE6+'МД ВООЗ'!CE6+'МД Казарма.Рекламация'!CE6</f>
        <v>0</v>
      </c>
      <c r="CF6" s="3341">
        <f>PL_ЦО_Производство!CF6+'МД ООН'!CF6+'МК Ладыжин-3'!CF6+'МК Староконстантинов'!CF6+'МК Армокаркасы'!CF6+'МК Щедро. Флекситанки'!CF6+'МК ЛифтМаркет'!CF6+'МК Укркотлопром'!CF6+'МК Подгорцы.Забор'!CF6+PL_Металлизация!DT6+'МД Бытовка ИТР Нежин'!CF6+'МК Металургбуд.поддоны'!CF6+'МК Нежин-3'!CF6+'МК РДК.Кран'!CF6+'МК Ворота.Запорожье'!CF6+'МД ВООЗ'!CF6+'МД Казарма.Рекламация'!CF6</f>
        <v>0</v>
      </c>
      <c r="CG6" s="2012">
        <f t="shared" ref="CG6:CG7" si="15">CE6+CF6</f>
        <v>0</v>
      </c>
      <c r="CH6" s="3341"/>
      <c r="CI6" s="3342"/>
      <c r="CJ6" s="3341">
        <f>R6+W6</f>
        <v>59736438.029999994</v>
      </c>
      <c r="CK6" s="3341">
        <f>S6+X6</f>
        <v>784044.15</v>
      </c>
      <c r="CL6" s="2012">
        <f>CJ6+CK6</f>
        <v>60520482.179999992</v>
      </c>
      <c r="CM6" s="3341"/>
      <c r="CN6" s="3341"/>
    </row>
    <row r="7" spans="1:100" s="1396" customFormat="1" ht="14.4" outlineLevel="1" collapsed="1" thickBot="1">
      <c r="A7" s="1571"/>
      <c r="B7" s="4693" t="s">
        <v>41</v>
      </c>
      <c r="C7" s="3341"/>
      <c r="D7" s="3341"/>
      <c r="E7" s="2012">
        <f t="shared" si="0"/>
        <v>0</v>
      </c>
      <c r="F7" s="4694"/>
      <c r="G7" s="4694"/>
      <c r="H7" s="3341"/>
      <c r="I7" s="3341"/>
      <c r="J7" s="2012">
        <f>H7+I7</f>
        <v>0</v>
      </c>
      <c r="K7" s="4694"/>
      <c r="L7" s="4694"/>
      <c r="M7" s="3341"/>
      <c r="N7" s="3341"/>
      <c r="O7" s="2012">
        <f t="shared" si="1"/>
        <v>0</v>
      </c>
      <c r="P7" s="4694"/>
      <c r="Q7" s="4694"/>
      <c r="R7" s="3427">
        <f>M7+H7+C7</f>
        <v>0</v>
      </c>
      <c r="S7" s="3427">
        <f>N7+I7+D7</f>
        <v>0</v>
      </c>
      <c r="T7" s="2012">
        <f t="shared" si="2"/>
        <v>0</v>
      </c>
      <c r="U7" s="3345"/>
      <c r="V7" s="3345"/>
      <c r="W7" s="3342">
        <f>AB7+AG7+AL7+AV7+BA7+BF7+BK7+BP7+BU7+BZ7+CE7+AQ7</f>
        <v>0</v>
      </c>
      <c r="X7" s="3342">
        <f>AC7+AH7+AM7+AW7+BB7+BG7+BL7+BQ7+BV7+CA7+CF7+AR7</f>
        <v>0</v>
      </c>
      <c r="Y7" s="2012">
        <f t="shared" si="3"/>
        <v>0</v>
      </c>
      <c r="Z7" s="3345"/>
      <c r="AA7" s="3345"/>
      <c r="AB7" s="3341">
        <f>PL_ЦО_Производство!AB7+'МД ООН'!AB7+'МК Ладыжин-3'!AB7+'МК Староконстантинов'!AB7+'МК Армокаркасы'!AB7+'МК Щедро. Флекситанки'!AB7+'МК ЛифтМаркет'!AB7+'МК Укркотлопром'!AB7+'МК Подгорцы.Забор'!AB7+PL_Металлизация!BP7+'МД Бытовка ИТР Нежин'!AB7+'МК Металургбуд.поддоны'!AB7</f>
        <v>0</v>
      </c>
      <c r="AC7" s="3341">
        <f>PL_ЦО_Производство!AC7+'МД ООН'!AC7+'МК Ладыжин-3'!AC7+'МК Староконстантинов'!AC7+'МК Армокаркасы'!AC7+'МК Щедро. Флекситанки'!AC7+'МК ЛифтМаркет'!AC7+'МК Укркотлопром'!AC7+'МК Подгорцы.Забор'!AC7+PL_Металлизация!BQ7+'МД Бытовка ИТР Нежин'!AC7+'МК Металургбуд.поддоны'!AC7</f>
        <v>0</v>
      </c>
      <c r="AD7" s="2012">
        <f t="shared" si="4"/>
        <v>0</v>
      </c>
      <c r="AE7" s="4694"/>
      <c r="AF7" s="4694"/>
      <c r="AG7" s="3341">
        <f>PL_ЦО_Производство!AG7+'МД ООН'!AG7+'МК Ладыжин-3'!AG7+'МК Староконстантинов'!AG7+'МК Армокаркасы'!AG7+'МК Щедро. Флекситанки'!AG7+'МК ЛифтМаркет'!AG7+'МК Укркотлопром'!AG7+'МК Подгорцы.Забор'!AG7+PL_Металлизация!BU7+'МД Бытовка ИТР Нежин'!AG7+'МК Металургбуд.поддоны'!AG7</f>
        <v>0</v>
      </c>
      <c r="AH7" s="3341">
        <f>PL_ЦО_Производство!AH7+'МД ООН'!AH7+'МК Ладыжин-3'!AH7+'МК Староконстантинов'!AH7+'МК Армокаркасы'!AH7+'МК Щедро. Флекситанки'!AH7+'МК ЛифтМаркет'!AH7+'МК Укркотлопром'!AH7+'МК Подгорцы.Забор'!AH7+PL_Металлизация!BV7+'МД Бытовка ИТР Нежин'!AH7+'МК Металургбуд.поддоны'!AH7</f>
        <v>0</v>
      </c>
      <c r="AI7" s="2012">
        <f t="shared" si="5"/>
        <v>0</v>
      </c>
      <c r="AJ7" s="4694"/>
      <c r="AK7" s="4694"/>
      <c r="AL7" s="3341">
        <f>PL_ЦО_Производство!AL7+'МД ООН'!AL7+'МК Ладыжин-3'!AL7+'МК Староконстантинов'!AL7+'МК Армокаркасы'!AL7+'МК Щедро. Флекситанки'!AL7+'МК ЛифтМаркет'!AL7+'МК Укркотлопром'!AL7+'МК Подгорцы.Забор'!AL7+PL_Металлизация!BZ7+'МД Бытовка ИТР Нежин'!AL7+'МК Металургбуд.поддоны'!AL7+'МК Нежин-3'!AL7</f>
        <v>0</v>
      </c>
      <c r="AM7" s="3341">
        <f>PL_ЦО_Производство!AM7+'МД ООН'!AM7+'МК Ладыжин-3'!AM7+'МК Староконстантинов'!AM7+'МК Армокаркасы'!AM7+'МК Щедро. Флекситанки'!AM7+'МК ЛифтМаркет'!AM7+'МК Укркотлопром'!AM7+'МК Подгорцы.Забор'!AM7+PL_Металлизация!CA7+'МД Бытовка ИТР Нежин'!AM7+'МК Металургбуд.поддоны'!AM7+'МК Нежин-3'!AM7</f>
        <v>0</v>
      </c>
      <c r="AN7" s="2012">
        <f t="shared" si="6"/>
        <v>0</v>
      </c>
      <c r="AO7" s="4694"/>
      <c r="AP7" s="4694"/>
      <c r="AQ7" s="3341">
        <f>PL_ЦО_Производство!AQ7+'МД ООН'!AQ7+'МК Ладыжин-3'!AQ7+'МК Староконстантинов'!AQ7+'МК Армокаркасы'!AQ7+'МК Щедро. Флекситанки'!AQ7+'МК ЛифтМаркет'!AQ7+'МК Укркотлопром'!AQ7+'МК Подгорцы.Забор'!AQ7+PL_Металлизация!CE7+'МД Бытовка ИТР Нежин'!AQ7+'МК Металургбуд.поддоны'!AQ7+'МК Нежин-3'!AQ7</f>
        <v>0</v>
      </c>
      <c r="AR7" s="3341">
        <f>PL_ЦО_Производство!AR7+'МД ООН'!AR7+'МК Ладыжин-3'!AR7+'МК Староконстантинов'!AR7+'МК Армокаркасы'!AR7+'МК Щедро. Флекситанки'!AR7+'МК ЛифтМаркет'!AR7+'МК Укркотлопром'!AR7+'МК Подгорцы.Забор'!AR7+PL_Металлизация!CF7+'МД Бытовка ИТР Нежин'!AR7+'МК Металургбуд.поддоны'!AR7+'МК Нежин-3'!AR7</f>
        <v>0</v>
      </c>
      <c r="AS7" s="2012">
        <f t="shared" si="7"/>
        <v>0</v>
      </c>
      <c r="AT7" s="4694"/>
      <c r="AU7" s="4694"/>
      <c r="AV7" s="3341">
        <f>PL_ЦО_Производство!AV7+'МД ООН'!AV7+'МК Армокаркасы'!AV7+'МК Подгорцы.Забор'!AV7+'МК Нежин-3'!AV7+'МК РДК.Кран'!AV7+'МК Ворота.Запорожье'!AV7+'МД ВООЗ'!AV7+'МД Казарма.Рекламация'!AV7</f>
        <v>0</v>
      </c>
      <c r="AW7" s="3341">
        <f>PL_ЦО_Производство!AW7+'МД ООН'!AW7+'МК Армокаркасы'!AW7+'МК Подгорцы.Забор'!AW7+'МК Нежин-3'!AW7+'МК РДК.Кран'!AW7+'МК Ворота.Запорожье'!AW7+'МД ВООЗ'!AW7+'МД Казарма.Рекламация'!AW7</f>
        <v>0</v>
      </c>
      <c r="AX7" s="2012">
        <f t="shared" si="8"/>
        <v>0</v>
      </c>
      <c r="AY7" s="4694"/>
      <c r="AZ7" s="4694"/>
      <c r="BA7" s="3341">
        <f>PL_ЦО_Производство!BA7+'МД ООН'!BA7+'МК Ладыжин-3'!BA7+'МК Староконстантинов'!BA7+'МК Армокаркасы'!BA7+'МК Щедро. Флекситанки'!BA7+'МК ЛифтМаркет'!BA7+'МК Укркотлопром'!BA7+'МК Подгорцы.Забор'!BA7+PL_Металлизация!CO7+'МД Бытовка ИТР Нежин'!BA7+'МК Металургбуд.поддоны'!BA7+'МК Нежин-3'!BA7+'МК РДК.Кран'!BA7+'МК Ворота.Запорожье'!BA7+'МД ВООЗ'!BA7+'МД Казарма.Рекламация'!BA7</f>
        <v>0</v>
      </c>
      <c r="BB7" s="3341">
        <f>PL_ЦО_Производство!BB7+'МД ООН'!BB7+'МК Ладыжин-3'!BB7+'МК Староконстантинов'!BB7+'МК Армокаркасы'!BB7+'МК Щедро. Флекситанки'!BB7+'МК ЛифтМаркет'!BB7+'МК Укркотлопром'!BB7+'МК Подгорцы.Забор'!BB7+PL_Металлизация!CP7+'МД Бытовка ИТР Нежин'!BB7+'МК Металургбуд.поддоны'!BB7+'МК Нежин-3'!BB7+'МК РДК.Кран'!BB7+'МК Ворота.Запорожье'!BB7+'МД ВООЗ'!BB7+'МД Казарма.Рекламация'!BB7</f>
        <v>0</v>
      </c>
      <c r="BC7" s="2012">
        <f t="shared" si="9"/>
        <v>0</v>
      </c>
      <c r="BD7" s="4694"/>
      <c r="BE7" s="4694"/>
      <c r="BF7" s="3341">
        <f>PL_ЦО_Производство!BF7+'МД ООН'!BF7+'МК Ладыжин-3'!BF7+'МК Староконстантинов'!BF7+'МК Армокаркасы'!BF7+'МК Щедро. Флекситанки'!BF7+'МК ЛифтМаркет'!BF7+'МК Укркотлопром'!BF7+'МК Подгорцы.Забор'!BF7+PL_Металлизация!CT7+'МД Бытовка ИТР Нежин'!BF7+'МК Металургбуд.поддоны'!BF7+'МК Нежин-3'!BF7+'МК РДК.Кран'!BF7+'МК Ворота.Запорожье'!BF7+'МД ВООЗ'!BF7+'МД Казарма.Рекламация'!BF7</f>
        <v>0</v>
      </c>
      <c r="BG7" s="3341">
        <f>PL_ЦО_Производство!BG7+'МД ООН'!BG7+'МК Ладыжин-3'!BG7+'МК Староконстантинов'!BG7+'МК Армокаркасы'!BG7+'МК Щедро. Флекситанки'!BG7+'МК ЛифтМаркет'!BG7+'МК Укркотлопром'!BG7+'МК Подгорцы.Забор'!BG7+PL_Металлизация!CU7+'МД Бытовка ИТР Нежин'!BG7+'МК Металургбуд.поддоны'!BG7+'МК Нежин-3'!BG7+'МК РДК.Кран'!BG7+'МК Ворота.Запорожье'!BG7+'МД ВООЗ'!BG7+'МД Казарма.Рекламация'!BG7</f>
        <v>0</v>
      </c>
      <c r="BH7" s="2012">
        <f t="shared" si="10"/>
        <v>0</v>
      </c>
      <c r="BI7" s="4694"/>
      <c r="BJ7" s="4694"/>
      <c r="BK7" s="3341">
        <f>PL_ЦО_Производство!BK7+'МД ООН'!BK7+'МК Ладыжин-3'!BK7+'МК Староконстантинов'!BK7+'МК Армокаркасы'!BK7+'МК Щедро. Флекситанки'!BK7+'МК ЛифтМаркет'!BK7+'МК Укркотлопром'!BK7+'МК Подгорцы.Забор'!BK7+PL_Металлизация!CY7+'МД Бытовка ИТР Нежин'!BK7+'МК Металургбуд.поддоны'!BK7+'МК Нежин-3'!BK7+'МК РДК.Кран'!BK7+'МК Ворота.Запорожье'!BK7+'МД ВООЗ'!BK7+'МД Казарма.Рекламация'!BK7</f>
        <v>0</v>
      </c>
      <c r="BL7" s="3341">
        <f>PL_ЦО_Производство!BL7+'МД ООН'!BL7+'МК Ладыжин-3'!BL7+'МК Староконстантинов'!BL7+'МК Армокаркасы'!BL7+'МК Щедро. Флекситанки'!BL7+'МК ЛифтМаркет'!BL7+'МК Укркотлопром'!BL7+'МК Подгорцы.Забор'!BL7+PL_Металлизация!CZ7+'МД Бытовка ИТР Нежин'!BL7+'МК Металургбуд.поддоны'!BL7+'МК Нежин-3'!BL7+'МК РДК.Кран'!BL7+'МК Ворота.Запорожье'!BL7+'МД ВООЗ'!BL7+'МД Казарма.Рекламация'!BL7</f>
        <v>0</v>
      </c>
      <c r="BM7" s="2012">
        <f t="shared" si="11"/>
        <v>0</v>
      </c>
      <c r="BN7" s="4694"/>
      <c r="BO7" s="4694"/>
      <c r="BP7" s="3341">
        <f>PL_ЦО_Производство!BP7+'МД ООН'!BP7+'МК Ладыжин-3'!BP7+'МК Староконстантинов'!BP7+'МК Армокаркасы'!BP7+'МК Щедро. Флекситанки'!BP7+'МК ЛифтМаркет'!BP7+'МК Укркотлопром'!BP7+'МК Подгорцы.Забор'!BP7+PL_Металлизация!DD7+'МД Бытовка ИТР Нежин'!BP7+'МК Металургбуд.поддоны'!BP7+'МК Нежин-3'!BP7+'МК РДК.Кран'!BP7+'МК Ворота.Запорожье'!BP7+'МД ВООЗ'!BP7+'МД Казарма.Рекламация'!BP7</f>
        <v>0</v>
      </c>
      <c r="BQ7" s="3341">
        <f>PL_ЦО_Производство!BQ7+'МД ООН'!BQ7+'МК Ладыжин-3'!BQ7+'МК Староконстантинов'!BQ7+'МК Армокаркасы'!BQ7+'МК Щедро. Флекситанки'!BQ7+'МК ЛифтМаркет'!BQ7+'МК Укркотлопром'!BQ7+'МК Подгорцы.Забор'!BQ7+PL_Металлизация!DE7+'МД Бытовка ИТР Нежин'!BQ7+'МК Металургбуд.поддоны'!BQ7+'МК Нежин-3'!BQ7+'МК РДК.Кран'!BQ7+'МК Ворота.Запорожье'!BQ7+'МД ВООЗ'!BQ7+'МД Казарма.Рекламация'!BQ7</f>
        <v>0</v>
      </c>
      <c r="BR7" s="2012">
        <f t="shared" si="12"/>
        <v>0</v>
      </c>
      <c r="BS7" s="4694"/>
      <c r="BT7" s="4694"/>
      <c r="BU7" s="3341">
        <f>PL_ЦО_Производство!BU7+'МД ООН'!BU7+'МК Ладыжин-3'!BU7+'МК Староконстантинов'!BU7+'МК Армокаркасы'!BU7+'МК Щедро. Флекситанки'!BU7+'МК ЛифтМаркет'!BU7+'МК Укркотлопром'!BU7+'МК Подгорцы.Забор'!BU7+PL_Металлизация!DI7+'МД Бытовка ИТР Нежин'!BU7+'МК Металургбуд.поддоны'!BU7+'МК Нежин-3'!BU7+'МК РДК.Кран'!BU7+'МК Ворота.Запорожье'!BU7+'МД ВООЗ'!BU7+'МД Казарма.Рекламация'!BU7</f>
        <v>0</v>
      </c>
      <c r="BV7" s="3341">
        <f>PL_ЦО_Производство!BV7+'МД ООН'!BV7+'МК Ладыжин-3'!BV7+'МК Староконстантинов'!BV7+'МК Армокаркасы'!BV7+'МК Щедро. Флекситанки'!BV7+'МК ЛифтМаркет'!BV7+'МК Укркотлопром'!BV7+'МК Подгорцы.Забор'!BV7+PL_Металлизация!DJ7+'МД Бытовка ИТР Нежин'!BV7+'МК Металургбуд.поддоны'!BV7+'МК Нежин-3'!BV7+'МК РДК.Кран'!BV7+'МК Ворота.Запорожье'!BV7+'МД ВООЗ'!BV7+'МД Казарма.Рекламация'!BV7</f>
        <v>0</v>
      </c>
      <c r="BW7" s="2012">
        <f t="shared" si="13"/>
        <v>0</v>
      </c>
      <c r="BX7" s="4694"/>
      <c r="BY7" s="4694"/>
      <c r="BZ7" s="3341">
        <f>PL_ЦО_Производство!BZ7+'МД ООН'!BZ7+'МК Ладыжин-3'!BZ7+'МК Староконстантинов'!BZ7+'МК Армокаркасы'!BZ7+'МК Щедро. Флекситанки'!BZ7+'МК ЛифтМаркет'!BZ7+'МК Укркотлопром'!BZ7+'МК Подгорцы.Забор'!BZ7+PL_Металлизация!DN7+'МД Бытовка ИТР Нежин'!BZ7+'МК Металургбуд.поддоны'!BZ7+'МК Нежин-3'!BZ7+'МК РДК.Кран'!BZ7+'МК Ворота.Запорожье'!BZ7+'МД ВООЗ'!BZ7+'МД Казарма.Рекламация'!BZ7</f>
        <v>0</v>
      </c>
      <c r="CA7" s="3341">
        <f>PL_ЦО_Производство!CA7+'МД ООН'!CA7+'МК Ладыжин-3'!CA7+'МК Староконстантинов'!CA7+'МК Армокаркасы'!CA7+'МК Щедро. Флекситанки'!CA7+'МК ЛифтМаркет'!CA7+'МК Укркотлопром'!CA7+'МК Подгорцы.Забор'!CA7+PL_Металлизация!DO7+'МД Бытовка ИТР Нежин'!CA7+'МК Металургбуд.поддоны'!CA7+'МК Нежин-3'!CA7+'МК РДК.Кран'!CA7+'МК Ворота.Запорожье'!CA7+'МД ВООЗ'!CA7+'МД Казарма.Рекламация'!CA7</f>
        <v>0</v>
      </c>
      <c r="CB7" s="2012">
        <f t="shared" si="14"/>
        <v>0</v>
      </c>
      <c r="CC7" s="4694"/>
      <c r="CD7" s="4694"/>
      <c r="CE7" s="3341">
        <f>PL_ЦО_Производство!CE7+'МД ООН'!CE7+'МК Ладыжин-3'!CE7+'МК Староконстантинов'!CE7+'МК Армокаркасы'!CE7+'МК Щедро. Флекситанки'!CE7+'МК ЛифтМаркет'!CE7+'МК Укркотлопром'!CE7+'МК Подгорцы.Забор'!CE7+PL_Металлизация!DS7+'МД Бытовка ИТР Нежин'!CE7+'МК Металургбуд.поддоны'!CE7+'МК Нежин-3'!CE7+'МК РДК.Кран'!CE7+'МК Ворота.Запорожье'!CE7+'МД ВООЗ'!CE7+'МД Казарма.Рекламация'!CE7</f>
        <v>0</v>
      </c>
      <c r="CF7" s="3341">
        <f>PL_ЦО_Производство!CF7+'МД ООН'!CF7+'МК Ладыжин-3'!CF7+'МК Староконстантинов'!CF7+'МК Армокаркасы'!CF7+'МК Щедро. Флекситанки'!CF7+'МК ЛифтМаркет'!CF7+'МК Укркотлопром'!CF7+'МК Подгорцы.Забор'!CF7+PL_Металлизация!DT7+'МД Бытовка ИТР Нежин'!CF7+'МК Металургбуд.поддоны'!CF7+'МК Нежин-3'!CF7+'МК РДК.Кран'!CF7+'МК Ворота.Запорожье'!CF7+'МД ВООЗ'!CF7+'МД Казарма.Рекламация'!CF7</f>
        <v>0</v>
      </c>
      <c r="CG7" s="2012">
        <f t="shared" si="15"/>
        <v>0</v>
      </c>
      <c r="CH7" s="4694"/>
      <c r="CI7" s="4694"/>
      <c r="CJ7" s="3341">
        <f>R7+W7</f>
        <v>0</v>
      </c>
      <c r="CK7" s="3341">
        <f>S7+X7</f>
        <v>0</v>
      </c>
      <c r="CL7" s="2012">
        <f>CJ7+CK7</f>
        <v>0</v>
      </c>
      <c r="CM7" s="4694"/>
      <c r="CN7" s="4694"/>
    </row>
    <row r="8" spans="1:100" s="1396" customFormat="1" ht="14.4" outlineLevel="1" thickBot="1">
      <c r="A8" s="1571"/>
      <c r="B8" s="1463" t="s">
        <v>16</v>
      </c>
      <c r="C8" s="1957">
        <f>SUM(C9:C33)</f>
        <v>0</v>
      </c>
      <c r="D8" s="1957">
        <f>SUM(D9:D33)</f>
        <v>0</v>
      </c>
      <c r="E8" s="1484">
        <f>SUM(E9:E33)</f>
        <v>0</v>
      </c>
      <c r="F8" s="1528" t="e">
        <f t="shared" ref="F8:F33" si="16">E8/$E$89</f>
        <v>#DIV/0!</v>
      </c>
      <c r="G8" s="1466"/>
      <c r="H8" s="1957">
        <f>SUM(H9:H33)</f>
        <v>0</v>
      </c>
      <c r="I8" s="1957">
        <f>SUM(I9:I33)</f>
        <v>0</v>
      </c>
      <c r="J8" s="1484">
        <f>SUM(J9:J33)</f>
        <v>0</v>
      </c>
      <c r="K8" s="1528" t="e">
        <f t="shared" ref="K8" si="17">J8/$E$89</f>
        <v>#DIV/0!</v>
      </c>
      <c r="L8" s="1466"/>
      <c r="M8" s="1957">
        <f>SUM(M9:M33)</f>
        <v>0</v>
      </c>
      <c r="N8" s="1957">
        <f>SUM(N9:N33)</f>
        <v>0</v>
      </c>
      <c r="O8" s="1484">
        <f>SUM(O9:O33)</f>
        <v>0</v>
      </c>
      <c r="P8" s="1528" t="e">
        <f t="shared" ref="P8" si="18">O8/$E$89</f>
        <v>#DIV/0!</v>
      </c>
      <c r="Q8" s="1466"/>
      <c r="R8" s="1957">
        <f>SUM(R9:R33)</f>
        <v>25269353.718000002</v>
      </c>
      <c r="S8" s="1957">
        <f>SUM(S9:S33)</f>
        <v>10528378.99</v>
      </c>
      <c r="T8" s="1484">
        <f>SUM(T9:T33)</f>
        <v>35797732.707999997</v>
      </c>
      <c r="U8" s="1528"/>
      <c r="V8" s="1466"/>
      <c r="W8" s="1957">
        <f>SUM(W9:W33)</f>
        <v>3709262.8513419563</v>
      </c>
      <c r="X8" s="1957">
        <f>SUM(X9:X33)</f>
        <v>2720852.0794105544</v>
      </c>
      <c r="Y8" s="1484">
        <f>SUM(Y9:Y33)</f>
        <v>6430114.9307525111</v>
      </c>
      <c r="Z8" s="1528"/>
      <c r="AA8" s="1466"/>
      <c r="AB8" s="1957">
        <f>SUM(AB9:AB33)</f>
        <v>518153.66399999993</v>
      </c>
      <c r="AC8" s="1957">
        <f>SUM(AC9:AC33)</f>
        <v>486773.54599999997</v>
      </c>
      <c r="AD8" s="1484">
        <f>SUM(AD9:AD33)</f>
        <v>1004927.21</v>
      </c>
      <c r="AE8" s="1528"/>
      <c r="AF8" s="1466"/>
      <c r="AG8" s="1957">
        <f>SUM(AG9:AG33)</f>
        <v>624325.75600000005</v>
      </c>
      <c r="AH8" s="1957">
        <f>SUM(AH9:AH33)</f>
        <v>486086.27</v>
      </c>
      <c r="AI8" s="1484">
        <f>SUM(AI9:AI33)</f>
        <v>1110412.0259999998</v>
      </c>
      <c r="AJ8" s="1528"/>
      <c r="AK8" s="1466"/>
      <c r="AL8" s="1957">
        <f>SUM(AL9:AL33)</f>
        <v>1048681.83</v>
      </c>
      <c r="AM8" s="1957">
        <f>SUM(AM9:AM33)</f>
        <v>511374.3</v>
      </c>
      <c r="AN8" s="1484">
        <f>SUM(AN9:AN33)</f>
        <v>1560056.1300000001</v>
      </c>
      <c r="AO8" s="1528"/>
      <c r="AP8" s="1466"/>
      <c r="AQ8" s="1957">
        <f>SUM(AQ9:AQ33)</f>
        <v>670608.196</v>
      </c>
      <c r="AR8" s="1957">
        <f>SUM(AR9:AR33)</f>
        <v>410270</v>
      </c>
      <c r="AS8" s="1484">
        <f>SUM(AS9:AS33)</f>
        <v>1080878.196</v>
      </c>
      <c r="AT8" s="1528"/>
      <c r="AU8" s="1466"/>
      <c r="AV8" s="1957">
        <f>SUM(AV9:AV33)</f>
        <v>561836.81999999995</v>
      </c>
      <c r="AW8" s="1957">
        <f>SUM(AW9:AW33)</f>
        <v>329892</v>
      </c>
      <c r="AX8" s="1484">
        <f>SUM(AX9:AX33)</f>
        <v>891728.82</v>
      </c>
      <c r="AY8" s="1528"/>
      <c r="AZ8" s="1466"/>
      <c r="BA8" s="1957">
        <f>SUM(BA9:BA33)</f>
        <v>285656.58534195641</v>
      </c>
      <c r="BB8" s="1957">
        <f>SUM(BB9:BB33)</f>
        <v>496455.96341055422</v>
      </c>
      <c r="BC8" s="1484">
        <f>SUM(BC9:BC33)</f>
        <v>782112.54875251057</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28978616.569341961</v>
      </c>
      <c r="CK8" s="1957">
        <f>SUM(CK9:CK33)</f>
        <v>13249231.069410553</v>
      </c>
      <c r="CL8" s="1484">
        <f>SUM(CL9:CL33)</f>
        <v>42227847.638752513</v>
      </c>
      <c r="CM8" s="1528"/>
      <c r="CN8" s="1466"/>
    </row>
    <row r="9" spans="1:100" s="1396" customFormat="1" ht="14.4" outlineLevel="2" thickBot="1">
      <c r="A9" s="1571"/>
      <c r="B9" s="1424" t="s">
        <v>74</v>
      </c>
      <c r="C9" s="3341"/>
      <c r="D9" s="3341"/>
      <c r="E9" s="3349">
        <f t="shared" ref="E9:E32" si="19">C9+D9</f>
        <v>0</v>
      </c>
      <c r="F9" s="4697" t="e">
        <f t="shared" si="16"/>
        <v>#DIV/0!</v>
      </c>
      <c r="G9" s="2047"/>
      <c r="H9" s="3341"/>
      <c r="I9" s="3341"/>
      <c r="J9" s="3349">
        <f t="shared" ref="J9:J32" si="20">H9+I9</f>
        <v>0</v>
      </c>
      <c r="K9" s="4697" t="e">
        <f>J9/J$89</f>
        <v>#DIV/0!</v>
      </c>
      <c r="L9" s="2047"/>
      <c r="M9" s="3341"/>
      <c r="N9" s="3341"/>
      <c r="O9" s="3349">
        <f t="shared" ref="O9:O32" si="21">M9+N9</f>
        <v>0</v>
      </c>
      <c r="P9" s="4697" t="e">
        <f t="shared" ref="P9:P33" si="22">O9/O$89</f>
        <v>#DIV/0!</v>
      </c>
      <c r="Q9" s="2047"/>
      <c r="R9" s="3427">
        <f>PL_Производство!BF9</f>
        <v>1738623.92</v>
      </c>
      <c r="S9" s="3427">
        <f>PL_Производство!BG9</f>
        <v>0</v>
      </c>
      <c r="T9" s="2012">
        <f t="shared" ref="T9:T33" si="23">R9+S9</f>
        <v>1738623.92</v>
      </c>
      <c r="U9" s="2047"/>
      <c r="V9" s="2047"/>
      <c r="W9" s="3342">
        <f t="shared" ref="W9:X33" si="24">AB9+AG9+AL9+AV9+BA9+BF9+BK9+BP9+BU9+BZ9+CE9+AQ9</f>
        <v>766584.17534195643</v>
      </c>
      <c r="X9" s="3342">
        <f t="shared" si="24"/>
        <v>1899576.8294105541</v>
      </c>
      <c r="Y9" s="2012">
        <f t="shared" ref="Y9:Y33" si="25">W9+X9</f>
        <v>2666161.0047525107</v>
      </c>
      <c r="Z9" s="2047"/>
      <c r="AA9" s="2047"/>
      <c r="AB9" s="3341">
        <f>PL_ЦО_Производство!AB9+'МД ООН'!AB9+'МК Ладыжин-3'!AB9+'МК Староконстантинов'!AB9+'МК Армокаркасы'!AB9+'МК Щедро. Флекситанки'!AB9+'МК ЛифтМаркет'!AB9+'МК Укркотлопром'!AB9+'МК Подгорцы.Забор'!AB9+PL_Металлизация!BP9+'МД Бытовка ИТР Нежин'!AB9+'МК Металургбуд.поддоны'!AB9</f>
        <v>146993.484</v>
      </c>
      <c r="AC9" s="3341">
        <f>PL_ЦО_Производство!AC9+'МД ООН'!AC9+'МК Ладыжин-3'!AC9+'МК Староконстантинов'!AC9+'МК Армокаркасы'!AC9+'МК Щедро. Флекситанки'!AC9+'МК ЛифтМаркет'!AC9+'МК Укркотлопром'!AC9+'МК Подгорцы.Забор'!AC9+PL_Металлизация!BQ9+'МД Бытовка ИТР Нежин'!AC9+'МК Металургбуд.поддоны'!AC9</f>
        <v>254873.946</v>
      </c>
      <c r="AD9" s="3349">
        <f t="shared" ref="AD9:AD32" si="26">AB9+AC9</f>
        <v>401867.43</v>
      </c>
      <c r="AE9" s="4697">
        <f t="shared" ref="AE9:AE33" si="27">AD9/AD$89</f>
        <v>0.25615373384952267</v>
      </c>
      <c r="AF9" s="2047"/>
      <c r="AG9" s="2043">
        <f>PL_ЦО_Производство!AG9+'МД ООН'!AG9+'МК Ладыжин-3'!AG9+'МК Староконстантинов'!AG9+'МК Армокаркасы'!AG9+'МК Щедро. Флекситанки'!AG9+'МК ЛифтМаркет'!AG9+'МК Укркотлопром'!AG9+'МК Подгорцы.Забор'!AG9+PL_Металлизация!BU9+'МД Бытовка ИТР Нежин'!AG9+'МК Металургбуд.поддоны'!AG9</f>
        <v>123216.1</v>
      </c>
      <c r="AH9" s="2043">
        <f>PL_ЦО_Производство!AH9+'МД ООН'!AH9+'МК Ладыжин-3'!AH9+'МК Староконстантинов'!AH9+'МК Армокаркасы'!AH9+'МК Щедро. Флекситанки'!AH9+'МК ЛифтМаркет'!AH9+'МК Укркотлопром'!AH9+'МК Подгорцы.Забор'!AH9+PL_Металлизация!BV9+'МД Бытовка ИТР Нежин'!AH9+'МК Металургбуд.поддоны'!AH9</f>
        <v>389555.92</v>
      </c>
      <c r="AI9" s="2045">
        <f t="shared" ref="AI9:AI32" si="28">AG9+AH9</f>
        <v>512772.02</v>
      </c>
      <c r="AJ9" s="4697">
        <f>AI9/AI$89</f>
        <v>0.3197130890195875</v>
      </c>
      <c r="AK9" s="2047"/>
      <c r="AL9" s="2043">
        <f>PL_ЦО_Производство!AL9+'МД ООН'!AL9+'МК Ладыжин-3'!AL9+'МК Староконстантинов'!AL9+'МК Армокаркасы'!AL9+'МК Щедро. Флекситанки'!AL9+'МК ЛифтМаркет'!AL9+'МК Укркотлопром'!AL9+'МК Подгорцы.Забор'!AL9+PL_Металлизация!BZ9+'МД Бытовка ИТР Нежин'!AL9+'МК Металургбуд.поддоны'!AL9+'МК Нежин-3'!AL9</f>
        <v>191501.09000000003</v>
      </c>
      <c r="AM9" s="2043">
        <f>PL_ЦО_Производство!AM9+'МД ООН'!AM9+'МК Ладыжин-3'!AM9+'МК Староконстантинов'!AM9+'МК Армокаркасы'!AM9+'МК Щедро. Флекситанки'!AM9+'МК ЛифтМаркет'!AM9+'МК Укркотлопром'!AM9+'МК Подгорцы.Забор'!AM9+PL_Металлизация!CA9+'МД Бытовка ИТР Нежин'!AM9+'МК Металургбуд.поддоны'!AM9+'МК Нежин-3'!AM9</f>
        <v>423050</v>
      </c>
      <c r="AN9" s="3349">
        <f t="shared" ref="AN9:AN32" si="29">AL9+AM9</f>
        <v>614551.09000000008</v>
      </c>
      <c r="AO9" s="4697">
        <f>AN9/AN$89</f>
        <v>0.29463858613046212</v>
      </c>
      <c r="AP9" s="2047"/>
      <c r="AQ9" s="3341">
        <f>PL_ЦО_Производство!AQ9+'МД ООН'!AQ9+'МК Ладыжин-3'!AQ9+'МК Староконстантинов'!AQ9+'МК Армокаркасы'!AQ9+'МК Щедро. Флекситанки'!AQ9+'МК ЛифтМаркет'!AQ9+'МК Укркотлопром'!AQ9+'МК Подгорцы.Забор'!AQ9+PL_Металлизация!CE9+'МД Бытовка ИТР Нежин'!AQ9+'МК Металургбуд.поддоны'!AQ9+'МК Нежин-3'!AQ9</f>
        <v>119478.39</v>
      </c>
      <c r="AR9" s="3341">
        <f>PL_ЦО_Производство!AR9+'МД ООН'!AR9+'МК Ладыжин-3'!AR9+'МК Староконстантинов'!AR9+'МК Армокаркасы'!AR9+'МК Щедро. Флекситанки'!AR9+'МК ЛифтМаркет'!AR9+'МК Укркотлопром'!AR9+'МК Подгорцы.Забор'!AR9+PL_Металлизация!CF9+'МД Бытовка ИТР Нежин'!AR9+'МК Металургбуд.поддоны'!AR9+'МК Нежин-3'!AR9</f>
        <v>303720</v>
      </c>
      <c r="AS9" s="3349">
        <f t="shared" ref="AS9:AS32" si="30">AQ9+AR9</f>
        <v>423198.39</v>
      </c>
      <c r="AT9" s="4697">
        <f>AS9/AS$89</f>
        <v>0.27278116627079946</v>
      </c>
      <c r="AU9" s="2047"/>
      <c r="AV9" s="3341">
        <f>PL_ЦО_Производство!AV9+'МД ООН'!AV9+'МК Армокаркасы'!AV9+'МК Подгорцы.Забор'!AV9+'МК Нежин-3'!AV9+'МК РДК.Кран'!AV9+'МК Ворота.Запорожье'!AV9+'МД ВООЗ'!AV9+'МД Казарма.Рекламация'!AV9</f>
        <v>68970.149999999994</v>
      </c>
      <c r="AW9" s="3341">
        <f>PL_ЦО_Производство!AW9+'МД ООН'!AW9+'МК Армокаркасы'!AW9+'МК Подгорцы.Забор'!AW9+'МК Нежин-3'!AW9+'МК РДК.Кран'!AW9+'МК Ворота.Запорожье'!AW9+'МД ВООЗ'!AW9+'МД Казарма.Рекламация'!AW9</f>
        <v>180071</v>
      </c>
      <c r="AX9" s="3349">
        <f t="shared" ref="AX9:AX32" si="31">AV9+AW9</f>
        <v>249041.15</v>
      </c>
      <c r="AY9" s="4697">
        <f>AX9/AX$89</f>
        <v>0.18619596573263181</v>
      </c>
      <c r="AZ9" s="2047"/>
      <c r="BA9" s="3341">
        <f>PL_ЦО_Производство!BA9+'МД ООН'!BA9+'МК Ладыжин-3'!BA9+'МК Староконстантинов'!BA9+'МК Армокаркасы'!BA9+'МК Щедро. Флекситанки'!BA9+'МК ЛифтМаркет'!BA9+'МК Укркотлопром'!BA9+'МК Подгорцы.Забор'!BA9+PL_Металлизация!CO9+'МД Бытовка ИТР Нежин'!BA9+'МК Металургбуд.поддоны'!BA9+'МК Нежин-3'!BA9+'МК РДК.Кран'!BA9+'МК Ворота.Запорожье'!BA9+'МД ВООЗ'!BA9+'МД Казарма.Рекламация'!BA9</f>
        <v>116424.9613419564</v>
      </c>
      <c r="BB9" s="3341">
        <f>PL_ЦО_Производство!BB9+'МД ООН'!BB9+'МК Ладыжин-3'!BB9+'МК Староконстантинов'!BB9+'МК Армокаркасы'!BB9+'МК Щедро. Флекситанки'!BB9+'МК ЛифтМаркет'!BB9+'МК Укркотлопром'!BB9+'МК Подгорцы.Забор'!BB9+PL_Металлизация!CP9+'МД Бытовка ИТР Нежин'!BB9+'МК Металургбуд.поддоны'!BB9+'МК Нежин-3'!BB9+'МК РДК.Кран'!BB9+'МК Ворота.Запорожье'!BB9+'МД ВООЗ'!BB9+'МД Казарма.Рекламация'!BB9</f>
        <v>348305.96341055422</v>
      </c>
      <c r="BC9" s="3349">
        <f t="shared" ref="BC9:BC32" si="32">BA9+BB9</f>
        <v>464730.92475251062</v>
      </c>
      <c r="BD9" s="4697">
        <f>BC9/BC$89</f>
        <v>0.35256731448805823</v>
      </c>
      <c r="BE9" s="2047"/>
      <c r="BF9" s="3341">
        <f>PL_ЦО_Производство!BF9+'МД ООН'!BF9+'МК Ладыжин-3'!BF9+'МК Староконстантинов'!BF9+'МК Армокаркасы'!BF9+'МК Щедро. Флекситанки'!BF9+'МК ЛифтМаркет'!BF9+'МК Укркотлопром'!BF9+'МК Подгорцы.Забор'!BF9+PL_Металлизация!CT9+'МД Бытовка ИТР Нежин'!BF9+'МК Металургбуд.поддоны'!BF9+'МК Нежин-3'!BF9+'МК РДК.Кран'!BF9+'МК Ворота.Запорожье'!BF9+'МД ВООЗ'!BF9+'МД Казарма.Рекламация'!BF9</f>
        <v>0</v>
      </c>
      <c r="BG9" s="3341">
        <f>PL_ЦО_Производство!BG9+'МД ООН'!BG9+'МК Ладыжин-3'!BG9+'МК Староконстантинов'!BG9+'МК Армокаркасы'!BG9+'МК Щедро. Флекситанки'!BG9+'МК ЛифтМаркет'!BG9+'МК Укркотлопром'!BG9+'МК Подгорцы.Забор'!BG9+PL_Металлизация!CU9+'МД Бытовка ИТР Нежин'!BG9+'МК Металургбуд.поддоны'!BG9+'МК Нежин-3'!BG9+'МК РДК.Кран'!BG9+'МК Ворота.Запорожье'!BG9+'МД ВООЗ'!BG9+'МД Казарма.Рекламация'!BG9</f>
        <v>0</v>
      </c>
      <c r="BH9" s="3349">
        <f t="shared" ref="BH9:BH32" si="33">BF9+BG9</f>
        <v>0</v>
      </c>
      <c r="BI9" s="4697" t="e">
        <f>BH9/BH$89</f>
        <v>#DIV/0!</v>
      </c>
      <c r="BJ9" s="2047"/>
      <c r="BK9" s="3341">
        <f>PL_ЦО_Производство!BK9+'МД ООН'!BK9+'МК Ладыжин-3'!BK9+'МК Староконстантинов'!BK9+'МК Армокаркасы'!BK9+'МК Щедро. Флекситанки'!BK9+'МК ЛифтМаркет'!BK9+'МК Укркотлопром'!BK9+'МК Подгорцы.Забор'!BK9+PL_Металлизация!CY9+'МД Бытовка ИТР Нежин'!BK9+'МК Металургбуд.поддоны'!BK9+'МК Нежин-3'!BK9+'МК РДК.Кран'!BK9+'МК Ворота.Запорожье'!BK9+'МД ВООЗ'!BK9+'МД Казарма.Рекламация'!BK9</f>
        <v>0</v>
      </c>
      <c r="BL9" s="3341">
        <f>PL_ЦО_Производство!BL9+'МД ООН'!BL9+'МК Ладыжин-3'!BL9+'МК Староконстантинов'!BL9+'МК Армокаркасы'!BL9+'МК Щедро. Флекситанки'!BL9+'МК ЛифтМаркет'!BL9+'МК Укркотлопром'!BL9+'МК Подгорцы.Забор'!BL9+PL_Металлизация!CZ9+'МД Бытовка ИТР Нежин'!BL9+'МК Металургбуд.поддоны'!BL9+'МК Нежин-3'!BL9+'МК РДК.Кран'!BL9+'МК Ворота.Запорожье'!BL9+'МД ВООЗ'!BL9+'МД Казарма.Рекламация'!BL9</f>
        <v>0</v>
      </c>
      <c r="BM9" s="3349">
        <f t="shared" ref="BM9:BM32" si="34">BK9+BL9</f>
        <v>0</v>
      </c>
      <c r="BN9" s="4697" t="e">
        <f>BM9/BM$89</f>
        <v>#DIV/0!</v>
      </c>
      <c r="BO9" s="2047"/>
      <c r="BP9" s="3341">
        <f>PL_ЦО_Производство!BP9+'МД ООН'!BP9+'МК Ладыжин-3'!BP9+'МК Староконстантинов'!BP9+'МК Армокаркасы'!BP9+'МК Щедро. Флекситанки'!BP9+'МК ЛифтМаркет'!BP9+'МК Укркотлопром'!BP9+'МК Подгорцы.Забор'!BP9+PL_Металлизация!DD9+'МД Бытовка ИТР Нежин'!BP9+'МК Металургбуд.поддоны'!BP9+'МК Нежин-3'!BP9+'МК РДК.Кран'!BP9+'МК Ворота.Запорожье'!BP9+'МД ВООЗ'!BP9+'МД Казарма.Рекламация'!BP9</f>
        <v>0</v>
      </c>
      <c r="BQ9" s="3341">
        <f>PL_ЦО_Производство!BQ9+'МД ООН'!BQ9+'МК Ладыжин-3'!BQ9+'МК Староконстантинов'!BQ9+'МК Армокаркасы'!BQ9+'МК Щедро. Флекситанки'!BQ9+'МК ЛифтМаркет'!BQ9+'МК Укркотлопром'!BQ9+'МК Подгорцы.Забор'!BQ9+PL_Металлизация!DE9+'МД Бытовка ИТР Нежин'!BQ9+'МК Металургбуд.поддоны'!BQ9+'МК Нежин-3'!BQ9+'МК РДК.Кран'!BQ9+'МК Ворота.Запорожье'!BQ9+'МД ВООЗ'!BQ9+'МД Казарма.Рекламация'!BQ9</f>
        <v>0</v>
      </c>
      <c r="BR9" s="3349">
        <f t="shared" ref="BR9:BR32" si="35">BP9+BQ9</f>
        <v>0</v>
      </c>
      <c r="BS9" s="4697" t="e">
        <f>BR9/BR$89</f>
        <v>#DIV/0!</v>
      </c>
      <c r="BT9" s="2047"/>
      <c r="BU9" s="3341">
        <f>PL_ЦО_Производство!BU9+'МД ООН'!BU9+'МК Ладыжин-3'!BU9+'МК Староконстантинов'!BU9+'МК Армокаркасы'!BU9+'МК Щедро. Флекситанки'!BU9+'МК ЛифтМаркет'!BU9+'МК Укркотлопром'!BU9+'МК Подгорцы.Забор'!BU9+PL_Металлизация!DI9+'МД Бытовка ИТР Нежин'!BU9+'МК Металургбуд.поддоны'!BU9+'МК Нежин-3'!BU9+'МК РДК.Кран'!BU9+'МК Ворота.Запорожье'!BU9+'МД ВООЗ'!BU9+'МД Казарма.Рекламация'!BU9</f>
        <v>0</v>
      </c>
      <c r="BV9" s="3341">
        <f>PL_ЦО_Производство!BV9+'МД ООН'!BV9+'МК Ладыжин-3'!BV9+'МК Староконстантинов'!BV9+'МК Армокаркасы'!BV9+'МК Щедро. Флекситанки'!BV9+'МК ЛифтМаркет'!BV9+'МК Укркотлопром'!BV9+'МК Подгорцы.Забор'!BV9+PL_Металлизация!DJ9+'МД Бытовка ИТР Нежин'!BV9+'МК Металургбуд.поддоны'!BV9+'МК Нежин-3'!BV9+'МК РДК.Кран'!BV9+'МК Ворота.Запорожье'!BV9+'МД ВООЗ'!BV9+'МД Казарма.Рекламация'!BV9</f>
        <v>0</v>
      </c>
      <c r="BW9" s="3349">
        <f t="shared" ref="BW9:BW32" si="36">BU9+BV9</f>
        <v>0</v>
      </c>
      <c r="BX9" s="4697" t="e">
        <f>BW9/BW$89</f>
        <v>#DIV/0!</v>
      </c>
      <c r="BY9" s="2047"/>
      <c r="BZ9" s="3341">
        <f>PL_ЦО_Производство!BZ9+'МД ООН'!BZ9+'МК Ладыжин-3'!BZ9+'МК Староконстантинов'!BZ9+'МК Армокаркасы'!BZ9+'МК Щедро. Флекситанки'!BZ9+'МК ЛифтМаркет'!BZ9+'МК Укркотлопром'!BZ9+'МК Подгорцы.Забор'!BZ9+PL_Металлизация!DN9+'МД Бытовка ИТР Нежин'!BZ9+'МК Металургбуд.поддоны'!BZ9+'МК Нежин-3'!BZ9+'МК РДК.Кран'!BZ9+'МК Ворота.Запорожье'!BZ9+'МД ВООЗ'!BZ9+'МД Казарма.Рекламация'!BZ9</f>
        <v>0</v>
      </c>
      <c r="CA9" s="3341">
        <f>PL_ЦО_Производство!CA9+'МД ООН'!CA9+'МК Ладыжин-3'!CA9+'МК Староконстантинов'!CA9+'МК Армокаркасы'!CA9+'МК Щедро. Флекситанки'!CA9+'МК ЛифтМаркет'!CA9+'МК Укркотлопром'!CA9+'МК Подгорцы.Забор'!CA9+PL_Металлизация!DO9+'МД Бытовка ИТР Нежин'!CA9+'МК Металургбуд.поддоны'!CA9+'МК Нежин-3'!CA9+'МК РДК.Кран'!CA9+'МК Ворота.Запорожье'!CA9+'МД ВООЗ'!CA9+'МД Казарма.Рекламация'!CA9</f>
        <v>0</v>
      </c>
      <c r="CB9" s="3349">
        <f t="shared" ref="CB9:CB32" si="37">BZ9+CA9</f>
        <v>0</v>
      </c>
      <c r="CC9" s="4697" t="e">
        <f>CB9/CB$89</f>
        <v>#DIV/0!</v>
      </c>
      <c r="CD9" s="2047"/>
      <c r="CE9" s="3341">
        <f>PL_ЦО_Производство!CE9+'МД ООН'!CE9+'МК Ладыжин-3'!CE9+'МК Староконстантинов'!CE9+'МК Армокаркасы'!CE9+'МК Щедро. Флекситанки'!CE9+'МК ЛифтМаркет'!CE9+'МК Укркотлопром'!CE9+'МК Подгорцы.Забор'!CE9+PL_Металлизация!DS9+'МД Бытовка ИТР Нежин'!CE9+'МК Металургбуд.поддоны'!CE9+'МК Нежин-3'!CE9+'МК РДК.Кран'!CE9+'МК Ворота.Запорожье'!CE9+'МД ВООЗ'!CE9+'МД Казарма.Рекламация'!CE9</f>
        <v>0</v>
      </c>
      <c r="CF9" s="3341">
        <f>PL_ЦО_Производство!CF9+'МД ООН'!CF9+'МК Ладыжин-3'!CF9+'МК Староконстантинов'!CF9+'МК Армокаркасы'!CF9+'МК Щедро. Флекситанки'!CF9+'МК ЛифтМаркет'!CF9+'МК Укркотлопром'!CF9+'МК Подгорцы.Забор'!CF9+PL_Металлизация!DT9+'МД Бытовка ИТР Нежин'!CF9+'МК Металургбуд.поддоны'!CF9+'МК Нежин-3'!CF9+'МК РДК.Кран'!CF9+'МК Ворота.Запорожье'!CF9+'МД ВООЗ'!CF9+'МД Казарма.Рекламация'!CF9</f>
        <v>0</v>
      </c>
      <c r="CG9" s="3349">
        <f t="shared" ref="CG9:CG32" si="38">CE9+CF9</f>
        <v>0</v>
      </c>
      <c r="CH9" s="4697" t="e">
        <f>CG9/CG$89</f>
        <v>#DIV/0!</v>
      </c>
      <c r="CI9" s="2047"/>
      <c r="CJ9" s="3341">
        <f t="shared" ref="CJ9:CK32" si="39">R9+W9</f>
        <v>2505208.0953419562</v>
      </c>
      <c r="CK9" s="3341">
        <f t="shared" si="39"/>
        <v>1899576.8294105541</v>
      </c>
      <c r="CL9" s="3349">
        <f>CJ9+CK9*1</f>
        <v>4404784.9247525102</v>
      </c>
      <c r="CM9" s="4697">
        <f t="shared" ref="CM9:CM33" si="40">CL9/$CL$89</f>
        <v>8.64446960057354E-2</v>
      </c>
      <c r="CN9" s="1434"/>
      <c r="CP9" s="3982">
        <f>SUM(CP10:CP20)</f>
        <v>365620.44</v>
      </c>
      <c r="CQ9" s="3984"/>
      <c r="CS9" s="1396">
        <v>138856.44</v>
      </c>
      <c r="CT9" s="842">
        <f>CS9-AG9</f>
        <v>15640.339999999997</v>
      </c>
    </row>
    <row r="10" spans="1:100" s="1396" customFormat="1" ht="13.8" outlineLevel="2">
      <c r="A10" s="1571"/>
      <c r="B10" s="1424" t="s">
        <v>72</v>
      </c>
      <c r="C10" s="3341"/>
      <c r="D10" s="3341"/>
      <c r="E10" s="3349">
        <f t="shared" si="19"/>
        <v>0</v>
      </c>
      <c r="F10" s="4697" t="e">
        <f t="shared" si="16"/>
        <v>#DIV/0!</v>
      </c>
      <c r="G10" s="2047"/>
      <c r="H10" s="3341"/>
      <c r="I10" s="3341"/>
      <c r="J10" s="3349">
        <f t="shared" si="20"/>
        <v>0</v>
      </c>
      <c r="K10" s="4697" t="e">
        <f t="shared" ref="K10:K33" si="41">J10/J$89</f>
        <v>#DIV/0!</v>
      </c>
      <c r="L10" s="2047"/>
      <c r="M10" s="3341"/>
      <c r="N10" s="3341"/>
      <c r="O10" s="3349">
        <f t="shared" si="21"/>
        <v>0</v>
      </c>
      <c r="P10" s="4697" t="e">
        <f t="shared" si="22"/>
        <v>#DIV/0!</v>
      </c>
      <c r="Q10" s="2047"/>
      <c r="R10" s="3427">
        <f>PL_Производство!BF10</f>
        <v>432553.56</v>
      </c>
      <c r="S10" s="3427">
        <f>PL_Производство!BG10</f>
        <v>0</v>
      </c>
      <c r="T10" s="2012">
        <f t="shared" si="23"/>
        <v>432553.56</v>
      </c>
      <c r="U10" s="2047"/>
      <c r="V10" s="2047"/>
      <c r="W10" s="3342">
        <f t="shared" si="24"/>
        <v>193894.83000000002</v>
      </c>
      <c r="X10" s="3342">
        <f t="shared" si="24"/>
        <v>0</v>
      </c>
      <c r="Y10" s="2012">
        <f t="shared" si="25"/>
        <v>193894.83000000002</v>
      </c>
      <c r="Z10" s="2047"/>
      <c r="AA10" s="2047"/>
      <c r="AB10" s="3341">
        <f>PL_ЦО_Производство!AB10+'МД ООН'!AB10+'МК Ладыжин-3'!AB10+'МК Староконстантинов'!AB10+'МК Армокаркасы'!AB10+'МК Щедро. Флекситанки'!AB10+'МК ЛифтМаркет'!AB10+'МК Укркотлопром'!AB10+'МК Подгорцы.Забор'!AB10+PL_Металлизация!BP10+'МД Бытовка ИТР Нежин'!AB10+'МК Металургбуд.поддоны'!AB10</f>
        <v>34038.71</v>
      </c>
      <c r="AC10" s="3341">
        <f>PL_ЦО_Производство!AC10+'МД ООН'!AC10+'МК Ладыжин-3'!AC10+'МК Староконстантинов'!AC10+'МК Армокаркасы'!AC10+'МК Щедро. Флекситанки'!AC10+'МК ЛифтМаркет'!AC10+'МК Укркотлопром'!AC10+'МК Подгорцы.Забор'!AC10+PL_Металлизация!BQ10+'МД Бытовка ИТР Нежин'!AC10+'МК Металургбуд.поддоны'!AC10</f>
        <v>0</v>
      </c>
      <c r="AD10" s="3349">
        <f t="shared" si="26"/>
        <v>34038.71</v>
      </c>
      <c r="AE10" s="4697">
        <f t="shared" si="27"/>
        <v>2.1696564615652197E-2</v>
      </c>
      <c r="AF10" s="2047"/>
      <c r="AG10" s="2043">
        <f>PL_ЦО_Производство!AG10+'МД ООН'!AG10+'МК Ладыжин-3'!AG10+'МК Староконстантинов'!AG10+'МК Армокаркасы'!AG10+'МК Щедро. Флекситанки'!AG10+'МК ЛифтМаркет'!AG10+'МК Укркотлопром'!AG10+'МК Подгорцы.Забор'!AG10+PL_Металлизация!BU10+'МД Бытовка ИТР Нежин'!AG10+'МК Металургбуд.поддоны'!AG10</f>
        <v>35069.740000000005</v>
      </c>
      <c r="AH10" s="2043">
        <f>PL_ЦО_Производство!AH10+'МД ООН'!AH10+'МК Ладыжин-3'!AH10+'МК Староконстантинов'!AH10+'МК Армокаркасы'!AH10+'МК Щедро. Флекситанки'!AH10+'МК ЛифтМаркет'!AH10+'МК Укркотлопром'!AH10+'МК Подгорцы.Забор'!AH10+PL_Металлизация!BV10+'МД Бытовка ИТР Нежин'!AH10+'МК Металургбуд.поддоны'!AH10</f>
        <v>0</v>
      </c>
      <c r="AI10" s="2045">
        <f t="shared" si="28"/>
        <v>35069.740000000005</v>
      </c>
      <c r="AJ10" s="4697">
        <f t="shared" ref="AJ10:AJ33" si="42">AI10/AI$89</f>
        <v>2.1865964735193213E-2</v>
      </c>
      <c r="AK10" s="2047"/>
      <c r="AL10" s="2043">
        <f>PL_ЦО_Производство!AL10+'МД ООН'!AL10+'МК Ладыжин-3'!AL10+'МК Староконстантинов'!AL10+'МК Армокаркасы'!AL10+'МК Щедро. Флекситанки'!AL10+'МК ЛифтМаркет'!AL10+'МК Укркотлопром'!AL10+'МК Подгорцы.Забор'!AL10+PL_Металлизация!BZ10+'МД Бытовка ИТР Нежин'!AL10+'МК Металургбуд.поддоны'!AL10+'МК Нежин-3'!AL10</f>
        <v>47311.070000000007</v>
      </c>
      <c r="AM10" s="2043">
        <f>PL_ЦО_Производство!AM10+'МД ООН'!AM10+'МК Ладыжин-3'!AM10+'МК Староконстантинов'!AM10+'МК Армокаркасы'!AM10+'МК Щедро. Флекситанки'!AM10+'МК ЛифтМаркет'!AM10+'МК Укркотлопром'!AM10+'МК Подгорцы.Забор'!AM10+PL_Металлизация!CA10+'МД Бытовка ИТР Нежин'!AM10+'МК Металургбуд.поддоны'!AM10+'МК Нежин-3'!AM10</f>
        <v>0</v>
      </c>
      <c r="AN10" s="3349">
        <f t="shared" si="29"/>
        <v>47311.070000000007</v>
      </c>
      <c r="AO10" s="4697">
        <f t="shared" ref="AO10:AO33" si="43">AN10/AN$89</f>
        <v>2.2682681716697177E-2</v>
      </c>
      <c r="AP10" s="2047"/>
      <c r="AQ10" s="3341">
        <f>PL_ЦО_Производство!AQ10+'МД ООН'!AQ10+'МК Ладыжин-3'!AQ10+'МК Староконстантинов'!AQ10+'МК Армокаркасы'!AQ10+'МК Щедро. Флекситанки'!AQ10+'МК ЛифтМаркет'!AQ10+'МК Укркотлопром'!AQ10+'МК Подгорцы.Забор'!AQ10+PL_Металлизация!CE10+'МД Бытовка ИТР Нежин'!AQ10+'МК Металургбуд.поддоны'!AQ10+'МК Нежин-3'!AQ10</f>
        <v>29016.5</v>
      </c>
      <c r="AR10" s="3341">
        <f>PL_ЦО_Производство!AR10+'МД ООН'!AR10+'МК Ладыжин-3'!AR10+'МК Староконстантинов'!AR10+'МК Армокаркасы'!AR10+'МК Щедро. Флекситанки'!AR10+'МК ЛифтМаркет'!AR10+'МК Укркотлопром'!AR10+'МК Подгорцы.Забор'!AR10+PL_Металлизация!CF10+'МД Бытовка ИТР Нежин'!AR10+'МК Металургбуд.поддоны'!AR10+'МК Нежин-3'!AR10</f>
        <v>0</v>
      </c>
      <c r="AS10" s="3349">
        <f t="shared" si="30"/>
        <v>29016.5</v>
      </c>
      <c r="AT10" s="4697">
        <f t="shared" ref="AT10:AT33" si="44">AS10/AS$89</f>
        <v>1.8703177748612541E-2</v>
      </c>
      <c r="AU10" s="2047"/>
      <c r="AV10" s="3341">
        <f>PL_ЦО_Производство!AV10+'МД ООН'!AV10+'МК Армокаркасы'!AV10+'МК Подгорцы.Забор'!AV10+'МК Нежин-3'!AV10+'МК РДК.Кран'!AV10+'МК Ворота.Запорожье'!AV10+'МД ВООЗ'!AV10+'МД Казарма.Рекламация'!AV10</f>
        <v>16707.03</v>
      </c>
      <c r="AW10" s="3341">
        <f>PL_ЦО_Производство!AW10+'МД ООН'!AW10+'МК Армокаркасы'!AW10+'МК Подгорцы.Забор'!AW10+'МК Нежин-3'!AW10+'МК РДК.Кран'!AW10+'МК Ворота.Запорожье'!AW10+'МД ВООЗ'!AW10+'МД Казарма.Рекламация'!AW10</f>
        <v>0</v>
      </c>
      <c r="AX10" s="3349">
        <f t="shared" si="31"/>
        <v>16707.03</v>
      </c>
      <c r="AY10" s="4697">
        <f t="shared" ref="AY10:AY33" si="45">AX10/AX$89</f>
        <v>1.2491034455045086E-2</v>
      </c>
      <c r="AZ10" s="2047"/>
      <c r="BA10" s="3341">
        <f>PL_ЦО_Производство!BA10+'МД ООН'!BA10+'МК Ладыжин-3'!BA10+'МК Староконстантинов'!BA10+'МК Армокаркасы'!BA10+'МК Щедро. Флекситанки'!BA10+'МК ЛифтМаркет'!BA10+'МК Укркотлопром'!BA10+'МК Подгорцы.Забор'!BA10+PL_Металлизация!CO10+'МД Бытовка ИТР Нежин'!BA10+'МК Металургбуд.поддоны'!BA10+'МК Нежин-3'!BA10+'МК РДК.Кран'!BA10+'МК Ворота.Запорожье'!BA10+'МД ВООЗ'!BA10+'МД Казарма.Рекламация'!BA10</f>
        <v>31751.78</v>
      </c>
      <c r="BB10" s="3341">
        <f>PL_ЦО_Производство!BB10+'МД ООН'!BB10+'МК Ладыжин-3'!BB10+'МК Староконстантинов'!BB10+'МК Армокаркасы'!BB10+'МК Щедро. Флекситанки'!BB10+'МК ЛифтМаркет'!BB10+'МК Укркотлопром'!BB10+'МК Подгорцы.Забор'!BB10+PL_Металлизация!CP10+'МД Бытовка ИТР Нежин'!BB10+'МК Металургбуд.поддоны'!BB10+'МК Нежин-3'!BB10+'МК РДК.Кран'!BB10+'МК Ворота.Запорожье'!BB10+'МД ВООЗ'!BB10+'МД Казарма.Рекламация'!BB10</f>
        <v>0</v>
      </c>
      <c r="BC10" s="3349">
        <f t="shared" si="32"/>
        <v>31751.78</v>
      </c>
      <c r="BD10" s="4697">
        <f t="shared" ref="BD10:BD33" si="46">BC10/BC$89</f>
        <v>2.4088433131015045E-2</v>
      </c>
      <c r="BE10" s="2047"/>
      <c r="BF10" s="3341">
        <f>PL_ЦО_Производство!BF10+'МД ООН'!BF10+'МК Ладыжин-3'!BF10+'МК Староконстантинов'!BF10+'МК Армокаркасы'!BF10+'МК Щедро. Флекситанки'!BF10+'МК ЛифтМаркет'!BF10+'МК Укркотлопром'!BF10+'МК Подгорцы.Забор'!BF10+PL_Металлизация!CT10+'МД Бытовка ИТР Нежин'!BF10+'МК Металургбуд.поддоны'!BF10+'МК Нежин-3'!BF10+'МК РДК.Кран'!BF10+'МК Ворота.Запорожье'!BF10+'МД ВООЗ'!BF10+'МД Казарма.Рекламация'!BF10</f>
        <v>0</v>
      </c>
      <c r="BG10" s="3341">
        <f>PL_ЦО_Производство!BG10+'МД ООН'!BG10+'МК Ладыжин-3'!BG10+'МК Староконстантинов'!BG10+'МК Армокаркасы'!BG10+'МК Щедро. Флекситанки'!BG10+'МК ЛифтМаркет'!BG10+'МК Укркотлопром'!BG10+'МК Подгорцы.Забор'!BG10+PL_Металлизация!CU10+'МД Бытовка ИТР Нежин'!BG10+'МК Металургбуд.поддоны'!BG10+'МК Нежин-3'!BG10+'МК РДК.Кран'!BG10+'МК Ворота.Запорожье'!BG10+'МД ВООЗ'!BG10+'МД Казарма.Рекламация'!BG10</f>
        <v>0</v>
      </c>
      <c r="BH10" s="3349">
        <f t="shared" si="33"/>
        <v>0</v>
      </c>
      <c r="BI10" s="4697" t="e">
        <f t="shared" ref="BI10:BI33" si="47">BH10/BH$89</f>
        <v>#DIV/0!</v>
      </c>
      <c r="BJ10" s="2047"/>
      <c r="BK10" s="3341">
        <f>PL_ЦО_Производство!BK10+'МД ООН'!BK10+'МК Ладыжин-3'!BK10+'МК Староконстантинов'!BK10+'МК Армокаркасы'!BK10+'МК Щедро. Флекситанки'!BK10+'МК ЛифтМаркет'!BK10+'МК Укркотлопром'!BK10+'МК Подгорцы.Забор'!BK10+PL_Металлизация!CY10+'МД Бытовка ИТР Нежин'!BK10+'МК Металургбуд.поддоны'!BK10+'МК Нежин-3'!BK10+'МК РДК.Кран'!BK10+'МК Ворота.Запорожье'!BK10+'МД ВООЗ'!BK10+'МД Казарма.Рекламация'!BK10</f>
        <v>0</v>
      </c>
      <c r="BL10" s="3341">
        <f>PL_ЦО_Производство!BL10+'МД ООН'!BL10+'МК Ладыжин-3'!BL10+'МК Староконстантинов'!BL10+'МК Армокаркасы'!BL10+'МК Щедро. Флекситанки'!BL10+'МК ЛифтМаркет'!BL10+'МК Укркотлопром'!BL10+'МК Подгорцы.Забор'!BL10+PL_Металлизация!CZ10+'МД Бытовка ИТР Нежин'!BL10+'МК Металургбуд.поддоны'!BL10+'МК Нежин-3'!BL10+'МК РДК.Кран'!BL10+'МК Ворота.Запорожье'!BL10+'МД ВООЗ'!BL10+'МД Казарма.Рекламация'!BL10</f>
        <v>0</v>
      </c>
      <c r="BM10" s="3349">
        <f t="shared" si="34"/>
        <v>0</v>
      </c>
      <c r="BN10" s="4697" t="e">
        <f t="shared" ref="BN10:BN33" si="48">BM10/BM$89</f>
        <v>#DIV/0!</v>
      </c>
      <c r="BO10" s="2047"/>
      <c r="BP10" s="3341">
        <f>PL_ЦО_Производство!BP10+'МД ООН'!BP10+'МК Ладыжин-3'!BP10+'МК Староконстантинов'!BP10+'МК Армокаркасы'!BP10+'МК Щедро. Флекситанки'!BP10+'МК ЛифтМаркет'!BP10+'МК Укркотлопром'!BP10+'МК Подгорцы.Забор'!BP10+PL_Металлизация!DD10+'МД Бытовка ИТР Нежин'!BP10+'МК Металургбуд.поддоны'!BP10+'МК Нежин-3'!BP10+'МК РДК.Кран'!BP10+'МК Ворота.Запорожье'!BP10+'МД ВООЗ'!BP10+'МД Казарма.Рекламация'!BP10</f>
        <v>0</v>
      </c>
      <c r="BQ10" s="3341">
        <f>PL_ЦО_Производство!BQ10+'МД ООН'!BQ10+'МК Ладыжин-3'!BQ10+'МК Староконстантинов'!BQ10+'МК Армокаркасы'!BQ10+'МК Щедро. Флекситанки'!BQ10+'МК ЛифтМаркет'!BQ10+'МК Укркотлопром'!BQ10+'МК Подгорцы.Забор'!BQ10+PL_Металлизация!DE10+'МД Бытовка ИТР Нежин'!BQ10+'МК Металургбуд.поддоны'!BQ10+'МК Нежин-3'!BQ10+'МК РДК.Кран'!BQ10+'МК Ворота.Запорожье'!BQ10+'МД ВООЗ'!BQ10+'МД Казарма.Рекламация'!BQ10</f>
        <v>0</v>
      </c>
      <c r="BR10" s="3349">
        <f t="shared" si="35"/>
        <v>0</v>
      </c>
      <c r="BS10" s="4697" t="e">
        <f t="shared" ref="BS10:BS33" si="49">BR10/BR$89</f>
        <v>#DIV/0!</v>
      </c>
      <c r="BT10" s="2047"/>
      <c r="BU10" s="3341">
        <f>PL_ЦО_Производство!BU10+'МД ООН'!BU10+'МК Ладыжин-3'!BU10+'МК Староконстантинов'!BU10+'МК Армокаркасы'!BU10+'МК Щедро. Флекситанки'!BU10+'МК ЛифтМаркет'!BU10+'МК Укркотлопром'!BU10+'МК Подгорцы.Забор'!BU10+PL_Металлизация!DI10+'МД Бытовка ИТР Нежин'!BU10+'МК Металургбуд.поддоны'!BU10+'МК Нежин-3'!BU10+'МК РДК.Кран'!BU10+'МК Ворота.Запорожье'!BU10+'МД ВООЗ'!BU10+'МД Казарма.Рекламация'!BU10</f>
        <v>0</v>
      </c>
      <c r="BV10" s="3341">
        <f>PL_ЦО_Производство!BV10+'МД ООН'!BV10+'МК Ладыжин-3'!BV10+'МК Староконстантинов'!BV10+'МК Армокаркасы'!BV10+'МК Щедро. Флекситанки'!BV10+'МК ЛифтМаркет'!BV10+'МК Укркотлопром'!BV10+'МК Подгорцы.Забор'!BV10+PL_Металлизация!DJ10+'МД Бытовка ИТР Нежин'!BV10+'МК Металургбуд.поддоны'!BV10+'МК Нежин-3'!BV10+'МК РДК.Кран'!BV10+'МК Ворота.Запорожье'!BV10+'МД ВООЗ'!BV10+'МД Казарма.Рекламация'!BV10</f>
        <v>0</v>
      </c>
      <c r="BW10" s="3349">
        <f t="shared" si="36"/>
        <v>0</v>
      </c>
      <c r="BX10" s="4697" t="e">
        <f t="shared" ref="BX10:BX33" si="50">BW10/BW$89</f>
        <v>#DIV/0!</v>
      </c>
      <c r="BY10" s="2047"/>
      <c r="BZ10" s="3341">
        <f>PL_ЦО_Производство!BZ10+'МД ООН'!BZ10+'МК Ладыжин-3'!BZ10+'МК Староконстантинов'!BZ10+'МК Армокаркасы'!BZ10+'МК Щедро. Флекситанки'!BZ10+'МК ЛифтМаркет'!BZ10+'МК Укркотлопром'!BZ10+'МК Подгорцы.Забор'!BZ10+PL_Металлизация!DN10+'МД Бытовка ИТР Нежин'!BZ10+'МК Металургбуд.поддоны'!BZ10+'МК Нежин-3'!BZ10+'МК РДК.Кран'!BZ10+'МК Ворота.Запорожье'!BZ10+'МД ВООЗ'!BZ10+'МД Казарма.Рекламация'!BZ10</f>
        <v>0</v>
      </c>
      <c r="CA10" s="3341">
        <f>PL_ЦО_Производство!CA10+'МД ООН'!CA10+'МК Ладыжин-3'!CA10+'МК Староконстантинов'!CA10+'МК Армокаркасы'!CA10+'МК Щедро. Флекситанки'!CA10+'МК ЛифтМаркет'!CA10+'МК Укркотлопром'!CA10+'МК Подгорцы.Забор'!CA10+PL_Металлизация!DO10+'МД Бытовка ИТР Нежин'!CA10+'МК Металургбуд.поддоны'!CA10+'МК Нежин-3'!CA10+'МК РДК.Кран'!CA10+'МК Ворота.Запорожье'!CA10+'МД ВООЗ'!CA10+'МД Казарма.Рекламация'!CA10</f>
        <v>0</v>
      </c>
      <c r="CB10" s="3349">
        <f t="shared" si="37"/>
        <v>0</v>
      </c>
      <c r="CC10" s="4697" t="e">
        <f t="shared" ref="CC10:CC33" si="51">CB10/CB$89</f>
        <v>#DIV/0!</v>
      </c>
      <c r="CD10" s="2047"/>
      <c r="CE10" s="3341">
        <f>PL_ЦО_Производство!CE10+'МД ООН'!CE10+'МК Ладыжин-3'!CE10+'МК Староконстантинов'!CE10+'МК Армокаркасы'!CE10+'МК Щедро. Флекситанки'!CE10+'МК ЛифтМаркет'!CE10+'МК Укркотлопром'!CE10+'МК Подгорцы.Забор'!CE10+PL_Металлизация!DS10+'МД Бытовка ИТР Нежин'!CE10+'МК Металургбуд.поддоны'!CE10+'МК Нежин-3'!CE10+'МК РДК.Кран'!CE10+'МК Ворота.Запорожье'!CE10+'МД ВООЗ'!CE10+'МД Казарма.Рекламация'!CE10</f>
        <v>0</v>
      </c>
      <c r="CF10" s="3341">
        <f>PL_ЦО_Производство!CF10+'МД ООН'!CF10+'МК Ладыжин-3'!CF10+'МК Староконстантинов'!CF10+'МК Армокаркасы'!CF10+'МК Щедро. Флекситанки'!CF10+'МК ЛифтМаркет'!CF10+'МК Укркотлопром'!CF10+'МК Подгорцы.Забор'!CF10+PL_Металлизация!DT10+'МД Бытовка ИТР Нежин'!CF10+'МК Металургбуд.поддоны'!CF10+'МК Нежин-3'!CF10+'МК РДК.Кран'!CF10+'МК Ворота.Запорожье'!CF10+'МД ВООЗ'!CF10+'МД Казарма.Рекламация'!CF10</f>
        <v>0</v>
      </c>
      <c r="CG10" s="3349">
        <f t="shared" si="38"/>
        <v>0</v>
      </c>
      <c r="CH10" s="4697" t="e">
        <f t="shared" ref="CH10:CH33" si="52">CG10/CG$89</f>
        <v>#DIV/0!</v>
      </c>
      <c r="CI10" s="2047"/>
      <c r="CJ10" s="3341">
        <f t="shared" si="39"/>
        <v>626448.39</v>
      </c>
      <c r="CK10" s="3341">
        <f t="shared" si="39"/>
        <v>0</v>
      </c>
      <c r="CL10" s="3349">
        <f t="shared" ref="CL10:CL33" si="53">CJ10+CK10*1</f>
        <v>626448.39</v>
      </c>
      <c r="CM10" s="4697">
        <f t="shared" si="40"/>
        <v>1.2294162271697081E-2</v>
      </c>
      <c r="CN10" s="1434"/>
      <c r="CP10" s="4028">
        <f>'МД ООН'!AH9</f>
        <v>59529.279999999999</v>
      </c>
      <c r="CQ10" s="4029" t="s">
        <v>1932</v>
      </c>
      <c r="CS10" s="1396">
        <v>38119.19</v>
      </c>
      <c r="CT10" s="842">
        <f>CS10-AG10</f>
        <v>3049.4499999999971</v>
      </c>
      <c r="CV10" s="842"/>
    </row>
    <row r="11" spans="1:100" s="1396" customFormat="1" ht="13.8" outlineLevel="2">
      <c r="A11" s="1571"/>
      <c r="B11" s="1424" t="s">
        <v>69</v>
      </c>
      <c r="C11" s="3341"/>
      <c r="D11" s="3341"/>
      <c r="E11" s="3349">
        <f t="shared" si="19"/>
        <v>0</v>
      </c>
      <c r="F11" s="4697" t="e">
        <f t="shared" si="16"/>
        <v>#DIV/0!</v>
      </c>
      <c r="G11" s="1055"/>
      <c r="H11" s="3341"/>
      <c r="I11" s="3341"/>
      <c r="J11" s="3349">
        <f t="shared" si="20"/>
        <v>0</v>
      </c>
      <c r="K11" s="4697" t="e">
        <f t="shared" si="41"/>
        <v>#DIV/0!</v>
      </c>
      <c r="L11" s="1055"/>
      <c r="M11" s="3341"/>
      <c r="N11" s="3341"/>
      <c r="O11" s="3349">
        <f t="shared" si="21"/>
        <v>0</v>
      </c>
      <c r="P11" s="4697" t="e">
        <f t="shared" si="22"/>
        <v>#DIV/0!</v>
      </c>
      <c r="Q11" s="1055"/>
      <c r="R11" s="3427">
        <f>PL_Производство!BF11</f>
        <v>503195.58999999997</v>
      </c>
      <c r="S11" s="3427">
        <f>PL_Производство!BG11</f>
        <v>0</v>
      </c>
      <c r="T11" s="2012">
        <f t="shared" si="23"/>
        <v>503195.58999999997</v>
      </c>
      <c r="U11" s="1055"/>
      <c r="V11" s="1055"/>
      <c r="W11" s="3342">
        <f t="shared" si="24"/>
        <v>219872.07</v>
      </c>
      <c r="X11" s="3342">
        <f t="shared" si="24"/>
        <v>0</v>
      </c>
      <c r="Y11" s="2012">
        <f t="shared" si="25"/>
        <v>219872.07</v>
      </c>
      <c r="Z11" s="1055"/>
      <c r="AA11" s="1055"/>
      <c r="AB11" s="3341">
        <f>PL_ЦО_Производство!AB11+'МД ООН'!AB11+'МК Ладыжин-3'!AB11+'МК Староконстантинов'!AB11+'МК Армокаркасы'!AB11+'МК Щедро. Флекситанки'!AB11+'МК ЛифтМаркет'!AB11+'МК Укркотлопром'!AB11+'МК Подгорцы.Забор'!AB11+PL_Металлизация!BP11+'МД Бытовка ИТР Нежин'!AB11+'МК Металургбуд.поддоны'!AB11</f>
        <v>38402.639999999999</v>
      </c>
      <c r="AC11" s="3341">
        <f>PL_ЦО_Производство!AC11+'МД ООН'!AC11+'МК Ладыжин-3'!AC11+'МК Староконстантинов'!AC11+'МК Армокаркасы'!AC11+'МК Щедро. Флекситанки'!AC11+'МК ЛифтМаркет'!AC11+'МК Укркотлопром'!AC11+'МК Подгорцы.Забор'!AC11+PL_Металлизация!BQ11+'МД Бытовка ИТР Нежин'!AC11+'МК Металургбуд.поддоны'!AC11</f>
        <v>0</v>
      </c>
      <c r="AD11" s="3349">
        <f t="shared" si="26"/>
        <v>38402.639999999999</v>
      </c>
      <c r="AE11" s="4697">
        <f t="shared" si="27"/>
        <v>2.4478170887546256E-2</v>
      </c>
      <c r="AF11" s="1055"/>
      <c r="AG11" s="2043">
        <f>PL_ЦО_Производство!AG11+'МД ООН'!AG11+'МК Ладыжин-3'!AG11+'МК Староконстантинов'!AG11+'МК Армокаркасы'!AG11+'МК Щедро. Флекситанки'!AG11+'МК ЛифтМаркет'!AG11+'МК Укркотлопром'!AG11+'МК Подгорцы.Забор'!AG11+PL_Металлизация!BU11+'МД Бытовка ИТР Нежин'!AG11+'МК Металургбуд.поддоны'!AG11</f>
        <v>30375.98</v>
      </c>
      <c r="AH11" s="2043">
        <f>PL_ЦО_Производство!AH11+'МД ООН'!AH11+'МК Ладыжин-3'!AH11+'МК Староконстантинов'!AH11+'МК Армокаркасы'!AH11+'МК Щедро. Флекситанки'!AH11+'МК ЛифтМаркет'!AH11+'МК Укркотлопром'!AH11+'МК Подгорцы.Забор'!AH11+PL_Металлизация!BV11+'МД Бытовка ИТР Нежин'!AH11+'МК Металургбуд.поддоны'!AH11</f>
        <v>0</v>
      </c>
      <c r="AI11" s="2045">
        <f t="shared" si="28"/>
        <v>30375.98</v>
      </c>
      <c r="AJ11" s="4697">
        <f t="shared" si="42"/>
        <v>1.8939407805046011E-2</v>
      </c>
      <c r="AK11" s="1055"/>
      <c r="AL11" s="2043">
        <f>PL_ЦО_Производство!AL11+'МД ООН'!AL11+'МК Ладыжин-3'!AL11+'МК Староконстантинов'!AL11+'МК Армокаркасы'!AL11+'МК Щедро. Флекситанки'!AL11+'МК ЛифтМаркет'!AL11+'МК Укркотлопром'!AL11+'МК Подгорцы.Забор'!AL11+PL_Металлизация!BZ11+'МД Бытовка ИТР Нежин'!AL11+'МК Металургбуд.поддоны'!AL11+'МК Нежин-3'!AL11</f>
        <v>53376.65</v>
      </c>
      <c r="AM11" s="2043">
        <f>PL_ЦО_Производство!AM11+'МД ООН'!AM11+'МК Ладыжин-3'!AM11+'МК Староконстантинов'!AM11+'МК Армокаркасы'!AM11+'МК Щедро. Флекситанки'!AM11+'МК ЛифтМаркет'!AM11+'МК Укркотлопром'!AM11+'МК Подгорцы.Забор'!AM11+PL_Металлизация!CA11+'МД Бытовка ИТР Нежин'!AM11+'МК Металургбуд.поддоны'!AM11+'МК Нежин-3'!AM11</f>
        <v>0</v>
      </c>
      <c r="AN11" s="3349">
        <f t="shared" si="29"/>
        <v>53376.65</v>
      </c>
      <c r="AO11" s="4697">
        <f t="shared" si="43"/>
        <v>2.5590745739919731E-2</v>
      </c>
      <c r="AP11" s="1055"/>
      <c r="AQ11" s="3341">
        <f>PL_ЦО_Производство!AQ11+'МД ООН'!AQ11+'МК Ладыжин-3'!AQ11+'МК Староконстантинов'!AQ11+'МК Армокаркасы'!AQ11+'МК Щедро. Флекситанки'!AQ11+'МК ЛифтМаркет'!AQ11+'МК Укркотлопром'!AQ11+'МК Подгорцы.Забор'!AQ11+PL_Металлизация!CE11+'МД Бытовка ИТР Нежин'!AQ11+'МК Металургбуд.поддоны'!AQ11+'МК Нежин-3'!AQ11</f>
        <v>34716.26</v>
      </c>
      <c r="AR11" s="3341">
        <f>PL_ЦО_Производство!AR11+'МД ООН'!AR11+'МК Ладыжин-3'!AR11+'МК Староконстантинов'!AR11+'МК Армокаркасы'!AR11+'МК Щедро. Флекситанки'!AR11+'МК ЛифтМаркет'!AR11+'МК Укркотлопром'!AR11+'МК Подгорцы.Забор'!AR11+PL_Металлизация!CF11+'МД Бытовка ИТР Нежин'!AR11+'МК Металургбуд.поддоны'!AR11+'МК Нежин-3'!AR11</f>
        <v>0</v>
      </c>
      <c r="AS11" s="3349">
        <f t="shared" si="30"/>
        <v>34716.26</v>
      </c>
      <c r="AT11" s="4697">
        <f t="shared" si="44"/>
        <v>2.2377074476489157E-2</v>
      </c>
      <c r="AU11" s="1055"/>
      <c r="AV11" s="3341">
        <f>PL_ЦО_Производство!AV11+'МД ООН'!AV11+'МК Армокаркасы'!AV11+'МК Подгорцы.Забор'!AV11+'МК Нежин-3'!AV11+'МК РДК.Кран'!AV11+'МК Ворота.Запорожье'!AV11+'МД ВООЗ'!AV11+'МД Казарма.Рекламация'!AV11</f>
        <v>24828.99</v>
      </c>
      <c r="AW11" s="3341">
        <f>PL_ЦО_Производство!AW11+'МД ООН'!AW11+'МК Армокаркасы'!AW11+'МК Подгорцы.Забор'!AW11+'МК Нежин-3'!AW11+'МК РДК.Кран'!AW11+'МК Ворота.Запорожье'!AW11+'МД ВООЗ'!AW11+'МД Казарма.Рекламация'!AW11</f>
        <v>0</v>
      </c>
      <c r="AX11" s="3349">
        <f t="shared" si="31"/>
        <v>24828.99</v>
      </c>
      <c r="AY11" s="4697">
        <f t="shared" si="45"/>
        <v>1.856342926145281E-2</v>
      </c>
      <c r="AZ11" s="1055"/>
      <c r="BA11" s="3341">
        <f>PL_ЦО_Производство!BA11+'МД ООН'!BA11+'МК Ладыжин-3'!BA11+'МК Староконстантинов'!BA11+'МК Армокаркасы'!BA11+'МК Щедро. Флекситанки'!BA11+'МК ЛифтМаркет'!BA11+'МК Укркотлопром'!BA11+'МК Подгорцы.Забор'!BA11+PL_Металлизация!CO11+'МД Бытовка ИТР Нежин'!BA11+'МК Металургбуд.поддоны'!BA11+'МК Нежин-3'!BA11+'МК РДК.Кран'!BA11+'МК Ворота.Запорожье'!BA11+'МД ВООЗ'!BA11+'МД Казарма.Рекламация'!BA11</f>
        <v>38171.550000000003</v>
      </c>
      <c r="BB11" s="3341">
        <f>PL_ЦО_Производство!BB11+'МД ООН'!BB11+'МК Ладыжин-3'!BB11+'МК Староконстантинов'!BB11+'МК Армокаркасы'!BB11+'МК Щедро. Флекситанки'!BB11+'МК ЛифтМаркет'!BB11+'МК Укркотлопром'!BB11+'МК Подгорцы.Забор'!BB11+PL_Металлизация!CP11+'МД Бытовка ИТР Нежин'!BB11+'МК Металургбуд.поддоны'!BB11+'МК Нежин-3'!BB11+'МК РДК.Кран'!BB11+'МК Ворота.Запорожье'!BB11+'МД ВООЗ'!BB11+'МД Казарма.Рекламация'!BB11</f>
        <v>0</v>
      </c>
      <c r="BC11" s="3349">
        <f t="shared" si="32"/>
        <v>38171.550000000003</v>
      </c>
      <c r="BD11" s="4697">
        <f t="shared" si="46"/>
        <v>2.8958780568591667E-2</v>
      </c>
      <c r="BE11" s="1055"/>
      <c r="BF11" s="3341">
        <f>PL_ЦО_Производство!BF11+'МД ООН'!BF11+'МК Ладыжин-3'!BF11+'МК Староконстантинов'!BF11+'МК Армокаркасы'!BF11+'МК Щедро. Флекситанки'!BF11+'МК ЛифтМаркет'!BF11+'МК Укркотлопром'!BF11+'МК Подгорцы.Забор'!BF11+PL_Металлизация!CT11+'МД Бытовка ИТР Нежин'!BF11+'МК Металургбуд.поддоны'!BF11+'МК Нежин-3'!BF11+'МК РДК.Кран'!BF11+'МК Ворота.Запорожье'!BF11+'МД ВООЗ'!BF11+'МД Казарма.Рекламация'!BF11</f>
        <v>0</v>
      </c>
      <c r="BG11" s="3341">
        <f>PL_ЦО_Производство!BG11+'МД ООН'!BG11+'МК Ладыжин-3'!BG11+'МК Староконстантинов'!BG11+'МК Армокаркасы'!BG11+'МК Щедро. Флекситанки'!BG11+'МК ЛифтМаркет'!BG11+'МК Укркотлопром'!BG11+'МК Подгорцы.Забор'!BG11+PL_Металлизация!CU11+'МД Бытовка ИТР Нежин'!BG11+'МК Металургбуд.поддоны'!BG11+'МК Нежин-3'!BG11+'МК РДК.Кран'!BG11+'МК Ворота.Запорожье'!BG11+'МД ВООЗ'!BG11+'МД Казарма.Рекламация'!BG11</f>
        <v>0</v>
      </c>
      <c r="BH11" s="3349">
        <f t="shared" si="33"/>
        <v>0</v>
      </c>
      <c r="BI11" s="4697" t="e">
        <f t="shared" si="47"/>
        <v>#DIV/0!</v>
      </c>
      <c r="BJ11" s="1055"/>
      <c r="BK11" s="3341">
        <f>PL_ЦО_Производство!BK11+'МД ООН'!BK11+'МК Ладыжин-3'!BK11+'МК Староконстантинов'!BK11+'МК Армокаркасы'!BK11+'МК Щедро. Флекситанки'!BK11+'МК ЛифтМаркет'!BK11+'МК Укркотлопром'!BK11+'МК Подгорцы.Забор'!BK11+PL_Металлизация!CY11+'МД Бытовка ИТР Нежин'!BK11+'МК Металургбуд.поддоны'!BK11+'МК Нежин-3'!BK11+'МК РДК.Кран'!BK11+'МК Ворота.Запорожье'!BK11+'МД ВООЗ'!BK11+'МД Казарма.Рекламация'!BK11</f>
        <v>0</v>
      </c>
      <c r="BL11" s="3341">
        <f>PL_ЦО_Производство!BL11+'МД ООН'!BL11+'МК Ладыжин-3'!BL11+'МК Староконстантинов'!BL11+'МК Армокаркасы'!BL11+'МК Щедро. Флекситанки'!BL11+'МК ЛифтМаркет'!BL11+'МК Укркотлопром'!BL11+'МК Подгорцы.Забор'!BL11+PL_Металлизация!CZ11+'МД Бытовка ИТР Нежин'!BL11+'МК Металургбуд.поддоны'!BL11+'МК Нежин-3'!BL11+'МК РДК.Кран'!BL11+'МК Ворота.Запорожье'!BL11+'МД ВООЗ'!BL11+'МД Казарма.Рекламация'!BL11</f>
        <v>0</v>
      </c>
      <c r="BM11" s="3349">
        <f t="shared" si="34"/>
        <v>0</v>
      </c>
      <c r="BN11" s="4697" t="e">
        <f t="shared" si="48"/>
        <v>#DIV/0!</v>
      </c>
      <c r="BO11" s="1055"/>
      <c r="BP11" s="3341">
        <f>PL_ЦО_Производство!BP11+'МД ООН'!BP11+'МК Ладыжин-3'!BP11+'МК Староконстантинов'!BP11+'МК Армокаркасы'!BP11+'МК Щедро. Флекситанки'!BP11+'МК ЛифтМаркет'!BP11+'МК Укркотлопром'!BP11+'МК Подгорцы.Забор'!BP11+PL_Металлизация!DD11+'МД Бытовка ИТР Нежин'!BP11+'МК Металургбуд.поддоны'!BP11+'МК Нежин-3'!BP11+'МК РДК.Кран'!BP11+'МК Ворота.Запорожье'!BP11+'МД ВООЗ'!BP11+'МД Казарма.Рекламация'!BP11</f>
        <v>0</v>
      </c>
      <c r="BQ11" s="3341">
        <f>PL_ЦО_Производство!BQ11+'МД ООН'!BQ11+'МК Ладыжин-3'!BQ11+'МК Староконстантинов'!BQ11+'МК Армокаркасы'!BQ11+'МК Щедро. Флекситанки'!BQ11+'МК ЛифтМаркет'!BQ11+'МК Укркотлопром'!BQ11+'МК Подгорцы.Забор'!BQ11+PL_Металлизация!DE11+'МД Бытовка ИТР Нежин'!BQ11+'МК Металургбуд.поддоны'!BQ11+'МК Нежин-3'!BQ11+'МК РДК.Кран'!BQ11+'МК Ворота.Запорожье'!BQ11+'МД ВООЗ'!BQ11+'МД Казарма.Рекламация'!BQ11</f>
        <v>0</v>
      </c>
      <c r="BR11" s="3349">
        <f t="shared" si="35"/>
        <v>0</v>
      </c>
      <c r="BS11" s="4697" t="e">
        <f t="shared" si="49"/>
        <v>#DIV/0!</v>
      </c>
      <c r="BT11" s="1055"/>
      <c r="BU11" s="3341">
        <f>PL_ЦО_Производство!BU11+'МД ООН'!BU11+'МК Ладыжин-3'!BU11+'МК Староконстантинов'!BU11+'МК Армокаркасы'!BU11+'МК Щедро. Флекситанки'!BU11+'МК ЛифтМаркет'!BU11+'МК Укркотлопром'!BU11+'МК Подгорцы.Забор'!BU11+PL_Металлизация!DI11+'МД Бытовка ИТР Нежин'!BU11+'МК Металургбуд.поддоны'!BU11+'МК Нежин-3'!BU11+'МК РДК.Кран'!BU11+'МК Ворота.Запорожье'!BU11+'МД ВООЗ'!BU11+'МД Казарма.Рекламация'!BU11</f>
        <v>0</v>
      </c>
      <c r="BV11" s="3341">
        <f>PL_ЦО_Производство!BV11+'МД ООН'!BV11+'МК Ладыжин-3'!BV11+'МК Староконстантинов'!BV11+'МК Армокаркасы'!BV11+'МК Щедро. Флекситанки'!BV11+'МК ЛифтМаркет'!BV11+'МК Укркотлопром'!BV11+'МК Подгорцы.Забор'!BV11+PL_Металлизация!DJ11+'МД Бытовка ИТР Нежин'!BV11+'МК Металургбуд.поддоны'!BV11+'МК Нежин-3'!BV11+'МК РДК.Кран'!BV11+'МК Ворота.Запорожье'!BV11+'МД ВООЗ'!BV11+'МД Казарма.Рекламация'!BV11</f>
        <v>0</v>
      </c>
      <c r="BW11" s="3349">
        <f t="shared" si="36"/>
        <v>0</v>
      </c>
      <c r="BX11" s="4697" t="e">
        <f t="shared" si="50"/>
        <v>#DIV/0!</v>
      </c>
      <c r="BY11" s="1055"/>
      <c r="BZ11" s="3341">
        <f>PL_ЦО_Производство!BZ11+'МД ООН'!BZ11+'МК Ладыжин-3'!BZ11+'МК Староконстантинов'!BZ11+'МК Армокаркасы'!BZ11+'МК Щедро. Флекситанки'!BZ11+'МК ЛифтМаркет'!BZ11+'МК Укркотлопром'!BZ11+'МК Подгорцы.Забор'!BZ11+PL_Металлизация!DN11+'МД Бытовка ИТР Нежин'!BZ11+'МК Металургбуд.поддоны'!BZ11+'МК Нежин-3'!BZ11+'МК РДК.Кран'!BZ11+'МК Ворота.Запорожье'!BZ11+'МД ВООЗ'!BZ11+'МД Казарма.Рекламация'!BZ11</f>
        <v>0</v>
      </c>
      <c r="CA11" s="3341">
        <f>PL_ЦО_Производство!CA11+'МД ООН'!CA11+'МК Ладыжин-3'!CA11+'МК Староконстантинов'!CA11+'МК Армокаркасы'!CA11+'МК Щедро. Флекситанки'!CA11+'МК ЛифтМаркет'!CA11+'МК Укркотлопром'!CA11+'МК Подгорцы.Забор'!CA11+PL_Металлизация!DO11+'МД Бытовка ИТР Нежин'!CA11+'МК Металургбуд.поддоны'!CA11+'МК Нежин-3'!CA11+'МК РДК.Кран'!CA11+'МК Ворота.Запорожье'!CA11+'МД ВООЗ'!CA11+'МД Казарма.Рекламация'!CA11</f>
        <v>0</v>
      </c>
      <c r="CB11" s="3349">
        <f t="shared" si="37"/>
        <v>0</v>
      </c>
      <c r="CC11" s="4697" t="e">
        <f t="shared" si="51"/>
        <v>#DIV/0!</v>
      </c>
      <c r="CD11" s="1055"/>
      <c r="CE11" s="3341">
        <f>PL_ЦО_Производство!CE11+'МД ООН'!CE11+'МК Ладыжин-3'!CE11+'МК Староконстантинов'!CE11+'МК Армокаркасы'!CE11+'МК Щедро. Флекситанки'!CE11+'МК ЛифтМаркет'!CE11+'МК Укркотлопром'!CE11+'МК Подгорцы.Забор'!CE11+PL_Металлизация!DS11+'МД Бытовка ИТР Нежин'!CE11+'МК Металургбуд.поддоны'!CE11+'МК Нежин-3'!CE11+'МК РДК.Кран'!CE11+'МК Ворота.Запорожье'!CE11+'МД ВООЗ'!CE11+'МД Казарма.Рекламация'!CE11</f>
        <v>0</v>
      </c>
      <c r="CF11" s="3341">
        <f>PL_ЦО_Производство!CF11+'МД ООН'!CF11+'МК Ладыжин-3'!CF11+'МК Староконстантинов'!CF11+'МК Армокаркасы'!CF11+'МК Щедро. Флекситанки'!CF11+'МК ЛифтМаркет'!CF11+'МК Укркотлопром'!CF11+'МК Подгорцы.Забор'!CF11+PL_Металлизация!DT11+'МД Бытовка ИТР Нежин'!CF11+'МК Металургбуд.поддоны'!CF11+'МК Нежин-3'!CF11+'МК РДК.Кран'!CF11+'МК Ворота.Запорожье'!CF11+'МД ВООЗ'!CF11+'МД Казарма.Рекламация'!CF11</f>
        <v>0</v>
      </c>
      <c r="CG11" s="3349">
        <f t="shared" si="38"/>
        <v>0</v>
      </c>
      <c r="CH11" s="4697" t="e">
        <f t="shared" si="52"/>
        <v>#DIV/0!</v>
      </c>
      <c r="CI11" s="1055"/>
      <c r="CJ11" s="3341">
        <f t="shared" si="39"/>
        <v>723067.65999999992</v>
      </c>
      <c r="CK11" s="3341">
        <f t="shared" si="39"/>
        <v>0</v>
      </c>
      <c r="CL11" s="3349">
        <f t="shared" si="53"/>
        <v>723067.65999999992</v>
      </c>
      <c r="CM11" s="4697">
        <f t="shared" si="40"/>
        <v>1.4190332814896836E-2</v>
      </c>
      <c r="CN11" s="1434"/>
      <c r="CP11" s="4028">
        <f>'МК Ладыжин-3'!AH9</f>
        <v>0</v>
      </c>
      <c r="CQ11" s="4029" t="s">
        <v>1933</v>
      </c>
      <c r="CS11" s="1396">
        <v>33816.51</v>
      </c>
      <c r="CT11" s="842">
        <f>CS11-AG11</f>
        <v>3440.5300000000025</v>
      </c>
    </row>
    <row r="12" spans="1:100" s="1396" customFormat="1" ht="13.8" outlineLevel="2">
      <c r="A12" s="1571"/>
      <c r="B12" s="1424" t="s">
        <v>73</v>
      </c>
      <c r="C12" s="3341"/>
      <c r="D12" s="3341"/>
      <c r="E12" s="3349">
        <f t="shared" si="19"/>
        <v>0</v>
      </c>
      <c r="F12" s="4697" t="e">
        <f t="shared" si="16"/>
        <v>#DIV/0!</v>
      </c>
      <c r="G12" s="1055"/>
      <c r="H12" s="3341"/>
      <c r="I12" s="3341"/>
      <c r="J12" s="3349">
        <f t="shared" si="20"/>
        <v>0</v>
      </c>
      <c r="K12" s="4697" t="e">
        <f t="shared" si="41"/>
        <v>#DIV/0!</v>
      </c>
      <c r="L12" s="1055"/>
      <c r="M12" s="3341"/>
      <c r="N12" s="3341"/>
      <c r="O12" s="3349">
        <f t="shared" si="21"/>
        <v>0</v>
      </c>
      <c r="P12" s="4697" t="e">
        <f t="shared" si="22"/>
        <v>#DIV/0!</v>
      </c>
      <c r="Q12" s="1055"/>
      <c r="R12" s="3427">
        <f>PL_Производство!BF12</f>
        <v>304712.16000000003</v>
      </c>
      <c r="S12" s="3427">
        <f>PL_Производство!BG12</f>
        <v>424400</v>
      </c>
      <c r="T12" s="2012">
        <f t="shared" si="23"/>
        <v>729112.16</v>
      </c>
      <c r="U12" s="1055"/>
      <c r="V12" s="1055"/>
      <c r="W12" s="3342">
        <f t="shared" si="24"/>
        <v>79091.22</v>
      </c>
      <c r="X12" s="3342">
        <f t="shared" si="24"/>
        <v>280900</v>
      </c>
      <c r="Y12" s="2012">
        <f t="shared" si="25"/>
        <v>359991.22</v>
      </c>
      <c r="Z12" s="1055"/>
      <c r="AA12" s="1055"/>
      <c r="AB12" s="3341">
        <f>PL_ЦО_Производство!AB12+'МД ООН'!AB12+'МК Ладыжин-3'!AB12+'МК Староконстантинов'!AB12+'МК Армокаркасы'!AB12+'МК Щедро. Флекситанки'!AB12+'МК ЛифтМаркет'!AB12+'МК Укркотлопром'!AB12+'МК Подгорцы.Забор'!AB12+PL_Металлизация!BP12+'МД Бытовка ИТР Нежин'!AB12+'МК Металургбуд.поддоны'!AB12</f>
        <v>13181.87</v>
      </c>
      <c r="AC12" s="3341">
        <f>PL_ЦО_Производство!AC12+'МД ООН'!AC12+'МК Ладыжин-3'!AC12+'МК Староконстантинов'!AC12+'МК Армокаркасы'!AC12+'МК Щедро. Флекситанки'!AC12+'МК ЛифтМаркет'!AC12+'МК Укркотлопром'!AC12+'МК Подгорцы.Забор'!AC12+PL_Металлизация!BQ12+'МД Бытовка ИТР Нежин'!AC12+'МК Металургбуд.поддоны'!AC12</f>
        <v>46800</v>
      </c>
      <c r="AD12" s="3349">
        <f t="shared" si="26"/>
        <v>59981.87</v>
      </c>
      <c r="AE12" s="4697">
        <f t="shared" si="27"/>
        <v>3.823295648462148E-2</v>
      </c>
      <c r="AF12" s="1055"/>
      <c r="AG12" s="2043">
        <f>PL_ЦО_Производство!AG12+'МД ООН'!AG12+'МК Ладыжин-3'!AG12+'МК Староконстантинов'!AG12+'МК Армокаркасы'!AG12+'МК Щедро. Флекситанки'!AG12+'МК ЛифтМаркет'!AG12+'МК Укркотлопром'!AG12+'МК Подгорцы.Забор'!AG12+PL_Металлизация!BU12+'МД Бытовка ИТР Нежин'!AG12+'МК Металургбуд.поддоны'!AG12</f>
        <v>13181.87</v>
      </c>
      <c r="AH12" s="2043">
        <f>PL_ЦО_Производство!AH12+'МД ООН'!AH12+'МК Ладыжин-3'!AH12+'МК Староконстантинов'!AH12+'МК Армокаркасы'!AH12+'МК Щедро. Флекситанки'!AH12+'МК ЛифтМаркет'!AH12+'МК Укркотлопром'!AH12+'МК Подгорцы.Забор'!AH12+PL_Металлизация!BV12+'МД Бытовка ИТР Нежин'!AH12+'МК Металургбуд.поддоны'!AH12</f>
        <v>46900</v>
      </c>
      <c r="AI12" s="2045">
        <f t="shared" si="28"/>
        <v>60081.87</v>
      </c>
      <c r="AJ12" s="4697">
        <f t="shared" si="42"/>
        <v>3.7461014841982374E-2</v>
      </c>
      <c r="AK12" s="1055"/>
      <c r="AL12" s="2043">
        <f>PL_ЦО_Производство!AL12+'МД ООН'!AL12+'МК Ладыжин-3'!AL12+'МК Староконстантинов'!AL12+'МК Армокаркасы'!AL12+'МК Щедро. Флекситанки'!AL12+'МК ЛифтМаркет'!AL12+'МК Укркотлопром'!AL12+'МК Подгорцы.Забор'!AL12+PL_Металлизация!BZ12+'МД Бытовка ИТР Нежин'!AL12+'МК Металургбуд.поддоны'!AL12+'МК Нежин-3'!AL12</f>
        <v>13181.87</v>
      </c>
      <c r="AM12" s="2043">
        <f>PL_ЦО_Производство!AM12+'МД ООН'!AM12+'МК Ладыжин-3'!AM12+'МК Староконстантинов'!AM12+'МК Армокаркасы'!AM12+'МК Щедро. Флекситанки'!AM12+'МК ЛифтМаркет'!AM12+'МК Укркотлопром'!AM12+'МК Подгорцы.Забор'!AM12+PL_Металлизация!CA12+'МД Бытовка ИТР Нежин'!AM12+'МК Металургбуд.поддоны'!AM12+'МК Нежин-3'!AM12</f>
        <v>46700</v>
      </c>
      <c r="AN12" s="3349">
        <f t="shared" si="29"/>
        <v>59881.87</v>
      </c>
      <c r="AO12" s="4697">
        <f t="shared" si="43"/>
        <v>2.8709589485307288E-2</v>
      </c>
      <c r="AP12" s="1055"/>
      <c r="AQ12" s="3341">
        <f>PL_ЦО_Производство!AQ12+'МД ООН'!AQ12+'МК Ладыжин-3'!AQ12+'МК Староконстантинов'!AQ12+'МК Армокаркасы'!AQ12+'МК Щедро. Флекситанки'!AQ12+'МК ЛифтМаркет'!AQ12+'МК Укркотлопром'!AQ12+'МК Подгорцы.Забор'!AQ12+PL_Металлизация!CE12+'МД Бытовка ИТР Нежин'!AQ12+'МК Металургбуд.поддоны'!AQ12+'МК Нежин-3'!AQ12</f>
        <v>13181.87</v>
      </c>
      <c r="AR12" s="3341">
        <f>PL_ЦО_Производство!AR12+'МД ООН'!AR12+'МК Ладыжин-3'!AR12+'МК Староконстантинов'!AR12+'МК Армокаркасы'!AR12+'МК Щедро. Флекситанки'!AR12+'МК ЛифтМаркет'!AR12+'МК Укркотлопром'!AR12+'МК Подгорцы.Забор'!AR12+PL_Металлизация!CF12+'МД Бытовка ИТР Нежин'!AR12+'МК Металургбуд.поддоны'!AR12+'МК Нежин-3'!AR12</f>
        <v>46900</v>
      </c>
      <c r="AS12" s="3349">
        <f t="shared" si="30"/>
        <v>60081.87</v>
      </c>
      <c r="AT12" s="4697">
        <f t="shared" si="44"/>
        <v>3.8726996504713916E-2</v>
      </c>
      <c r="AU12" s="1055"/>
      <c r="AV12" s="3341">
        <f>PL_ЦО_Производство!AV12+'МД ООН'!AV12+'МК Армокаркасы'!AV12+'МК Подгорцы.Забор'!AV12+'МК Нежин-3'!AV12+'МК РДК.Кран'!AV12+'МК Ворота.Запорожье'!AV12+'МД ВООЗ'!AV12+'МД Казарма.Рекламация'!AV12</f>
        <v>13181.87</v>
      </c>
      <c r="AW12" s="3341">
        <f>PL_ЦО_Производство!AW12+'МД ООН'!AW12+'МК Армокаркасы'!AW12+'МК Подгорцы.Забор'!AW12+'МК Нежин-3'!AW12+'МК РДК.Кран'!AW12+'МК Ворота.Запорожье'!AW12+'МД ВООЗ'!AW12+'МД Казарма.Рекламация'!AW12</f>
        <v>46800</v>
      </c>
      <c r="AX12" s="3349">
        <f t="shared" si="31"/>
        <v>59981.87</v>
      </c>
      <c r="AY12" s="4697">
        <f t="shared" si="45"/>
        <v>4.4845529387810716E-2</v>
      </c>
      <c r="AZ12" s="1055"/>
      <c r="BA12" s="3341">
        <f>PL_ЦО_Производство!BA12+'МД ООН'!BA12+'МК Ладыжин-3'!BA12+'МК Староконстантинов'!BA12+'МК Армокаркасы'!BA12+'МК Щедро. Флекситанки'!BA12+'МК ЛифтМаркет'!BA12+'МК Укркотлопром'!BA12+'МК Подгорцы.Забор'!BA12+PL_Металлизация!CO12+'МД Бытовка ИТР Нежин'!BA12+'МК Металургбуд.поддоны'!BA12+'МК Нежин-3'!BA12+'МК РДК.Кран'!BA12+'МК Ворота.Запорожье'!BA12+'МД ВООЗ'!BA12+'МД Казарма.Рекламация'!BA12</f>
        <v>13181.87</v>
      </c>
      <c r="BB12" s="3341">
        <f>PL_ЦО_Производство!BB12+'МД ООН'!BB12+'МК Ладыжин-3'!BB12+'МК Староконстантинов'!BB12+'МК Армокаркасы'!BB12+'МК Щедро. Флекситанки'!BB12+'МК ЛифтМаркет'!BB12+'МК Укркотлопром'!BB12+'МК Подгорцы.Забор'!BB12+PL_Металлизация!CP12+'МД Бытовка ИТР Нежин'!BB12+'МК Металургбуд.поддоны'!BB12+'МК Нежин-3'!BB12+'МК РДК.Кран'!BB12+'МК Ворота.Запорожье'!BB12+'МД ВООЗ'!BB12+'МД Казарма.Рекламация'!BB12</f>
        <v>46800</v>
      </c>
      <c r="BC12" s="3349">
        <f t="shared" si="32"/>
        <v>59981.87</v>
      </c>
      <c r="BD12" s="4697">
        <f t="shared" si="46"/>
        <v>4.5505142217798104E-2</v>
      </c>
      <c r="BE12" s="1055"/>
      <c r="BF12" s="3341">
        <f>PL_ЦО_Производство!BF12+'МД ООН'!BF12+'МК Ладыжин-3'!BF12+'МК Староконстантинов'!BF12+'МК Армокаркасы'!BF12+'МК Щедро. Флекситанки'!BF12+'МК ЛифтМаркет'!BF12+'МК Укркотлопром'!BF12+'МК Подгорцы.Забор'!BF12+PL_Металлизация!CT12+'МД Бытовка ИТР Нежин'!BF12+'МК Металургбуд.поддоны'!BF12+'МК Нежин-3'!BF12+'МК РДК.Кран'!BF12+'МК Ворота.Запорожье'!BF12+'МД ВООЗ'!BF12+'МД Казарма.Рекламация'!BF12</f>
        <v>0</v>
      </c>
      <c r="BG12" s="3341">
        <f>PL_ЦО_Производство!BG12+'МД ООН'!BG12+'МК Ладыжин-3'!BG12+'МК Староконстантинов'!BG12+'МК Армокаркасы'!BG12+'МК Щедро. Флекситанки'!BG12+'МК ЛифтМаркет'!BG12+'МК Укркотлопром'!BG12+'МК Подгорцы.Забор'!BG12+PL_Металлизация!CU12+'МД Бытовка ИТР Нежин'!BG12+'МК Металургбуд.поддоны'!BG12+'МК Нежин-3'!BG12+'МК РДК.Кран'!BG12+'МК Ворота.Запорожье'!BG12+'МД ВООЗ'!BG12+'МД Казарма.Рекламация'!BG12</f>
        <v>0</v>
      </c>
      <c r="BH12" s="3349">
        <f t="shared" si="33"/>
        <v>0</v>
      </c>
      <c r="BI12" s="4697" t="e">
        <f t="shared" si="47"/>
        <v>#DIV/0!</v>
      </c>
      <c r="BJ12" s="1055"/>
      <c r="BK12" s="3341">
        <f>PL_ЦО_Производство!BK12+'МД ООН'!BK12+'МК Ладыжин-3'!BK12+'МК Староконстантинов'!BK12+'МК Армокаркасы'!BK12+'МК Щедро. Флекситанки'!BK12+'МК ЛифтМаркет'!BK12+'МК Укркотлопром'!BK12+'МК Подгорцы.Забор'!BK12+PL_Металлизация!CY12+'МД Бытовка ИТР Нежин'!BK12+'МК Металургбуд.поддоны'!BK12+'МК Нежин-3'!BK12+'МК РДК.Кран'!BK12+'МК Ворота.Запорожье'!BK12+'МД ВООЗ'!BK12+'МД Казарма.Рекламация'!BK12</f>
        <v>0</v>
      </c>
      <c r="BL12" s="3341">
        <f>PL_ЦО_Производство!BL12+'МД ООН'!BL12+'МК Ладыжин-3'!BL12+'МК Староконстантинов'!BL12+'МК Армокаркасы'!BL12+'МК Щедро. Флекситанки'!BL12+'МК ЛифтМаркет'!BL12+'МК Укркотлопром'!BL12+'МК Подгорцы.Забор'!BL12+PL_Металлизация!CZ12+'МД Бытовка ИТР Нежин'!BL12+'МК Металургбуд.поддоны'!BL12+'МК Нежин-3'!BL12+'МК РДК.Кран'!BL12+'МК Ворота.Запорожье'!BL12+'МД ВООЗ'!BL12+'МД Казарма.Рекламация'!BL12</f>
        <v>0</v>
      </c>
      <c r="BM12" s="3349">
        <f t="shared" si="34"/>
        <v>0</v>
      </c>
      <c r="BN12" s="4697" t="e">
        <f t="shared" si="48"/>
        <v>#DIV/0!</v>
      </c>
      <c r="BO12" s="1055"/>
      <c r="BP12" s="3341">
        <f>PL_ЦО_Производство!BP12+'МД ООН'!BP12+'МК Ладыжин-3'!BP12+'МК Староконстантинов'!BP12+'МК Армокаркасы'!BP12+'МК Щедро. Флекситанки'!BP12+'МК ЛифтМаркет'!BP12+'МК Укркотлопром'!BP12+'МК Подгорцы.Забор'!BP12+PL_Металлизация!DD12+'МД Бытовка ИТР Нежин'!BP12+'МК Металургбуд.поддоны'!BP12+'МК Нежин-3'!BP12+'МК РДК.Кран'!BP12+'МК Ворота.Запорожье'!BP12+'МД ВООЗ'!BP12+'МД Казарма.Рекламация'!BP12</f>
        <v>0</v>
      </c>
      <c r="BQ12" s="3341">
        <f>PL_ЦО_Производство!BQ12+'МД ООН'!BQ12+'МК Ладыжин-3'!BQ12+'МК Староконстантинов'!BQ12+'МК Армокаркасы'!BQ12+'МК Щедро. Флекситанки'!BQ12+'МК ЛифтМаркет'!BQ12+'МК Укркотлопром'!BQ12+'МК Подгорцы.Забор'!BQ12+PL_Металлизация!DE12+'МД Бытовка ИТР Нежин'!BQ12+'МК Металургбуд.поддоны'!BQ12+'МК Нежин-3'!BQ12+'МК РДК.Кран'!BQ12+'МК Ворота.Запорожье'!BQ12+'МД ВООЗ'!BQ12+'МД Казарма.Рекламация'!BQ12</f>
        <v>0</v>
      </c>
      <c r="BR12" s="3349">
        <f t="shared" si="35"/>
        <v>0</v>
      </c>
      <c r="BS12" s="4697" t="e">
        <f t="shared" si="49"/>
        <v>#DIV/0!</v>
      </c>
      <c r="BT12" s="1055"/>
      <c r="BU12" s="3341">
        <f>PL_ЦО_Производство!BU12+'МД ООН'!BU12+'МК Ладыжин-3'!BU12+'МК Староконстантинов'!BU12+'МК Армокаркасы'!BU12+'МК Щедро. Флекситанки'!BU12+'МК ЛифтМаркет'!BU12+'МК Укркотлопром'!BU12+'МК Подгорцы.Забор'!BU12+PL_Металлизация!DI12+'МД Бытовка ИТР Нежин'!BU12+'МК Металургбуд.поддоны'!BU12+'МК Нежин-3'!BU12+'МК РДК.Кран'!BU12+'МК Ворота.Запорожье'!BU12+'МД ВООЗ'!BU12+'МД Казарма.Рекламация'!BU12</f>
        <v>0</v>
      </c>
      <c r="BV12" s="3341">
        <f>PL_ЦО_Производство!BV12+'МД ООН'!BV12+'МК Ладыжин-3'!BV12+'МК Староконстантинов'!BV12+'МК Армокаркасы'!BV12+'МК Щедро. Флекситанки'!BV12+'МК ЛифтМаркет'!BV12+'МК Укркотлопром'!BV12+'МК Подгорцы.Забор'!BV12+PL_Металлизация!DJ12+'МД Бытовка ИТР Нежин'!BV12+'МК Металургбуд.поддоны'!BV12+'МК Нежин-3'!BV12+'МК РДК.Кран'!BV12+'МК Ворота.Запорожье'!BV12+'МД ВООЗ'!BV12+'МД Казарма.Рекламация'!BV12</f>
        <v>0</v>
      </c>
      <c r="BW12" s="3349">
        <f t="shared" si="36"/>
        <v>0</v>
      </c>
      <c r="BX12" s="4697" t="e">
        <f t="shared" si="50"/>
        <v>#DIV/0!</v>
      </c>
      <c r="BY12" s="1055"/>
      <c r="BZ12" s="3341">
        <f>PL_ЦО_Производство!BZ12+'МД ООН'!BZ12+'МК Ладыжин-3'!BZ12+'МК Староконстантинов'!BZ12+'МК Армокаркасы'!BZ12+'МК Щедро. Флекситанки'!BZ12+'МК ЛифтМаркет'!BZ12+'МК Укркотлопром'!BZ12+'МК Подгорцы.Забор'!BZ12+PL_Металлизация!DN12+'МД Бытовка ИТР Нежин'!BZ12+'МК Металургбуд.поддоны'!BZ12+'МК Нежин-3'!BZ12+'МК РДК.Кран'!BZ12+'МК Ворота.Запорожье'!BZ12+'МД ВООЗ'!BZ12+'МД Казарма.Рекламация'!BZ12</f>
        <v>0</v>
      </c>
      <c r="CA12" s="3341">
        <f>PL_ЦО_Производство!CA12+'МД ООН'!CA12+'МК Ладыжин-3'!CA12+'МК Староконстантинов'!CA12+'МК Армокаркасы'!CA12+'МК Щедро. Флекситанки'!CA12+'МК ЛифтМаркет'!CA12+'МК Укркотлопром'!CA12+'МК Подгорцы.Забор'!CA12+PL_Металлизация!DO12+'МД Бытовка ИТР Нежин'!CA12+'МК Металургбуд.поддоны'!CA12+'МК Нежин-3'!CA12+'МК РДК.Кран'!CA12+'МК Ворота.Запорожье'!CA12+'МД ВООЗ'!CA12+'МД Казарма.Рекламация'!CA12</f>
        <v>0</v>
      </c>
      <c r="CB12" s="3349">
        <f t="shared" si="37"/>
        <v>0</v>
      </c>
      <c r="CC12" s="4697" t="e">
        <f t="shared" si="51"/>
        <v>#DIV/0!</v>
      </c>
      <c r="CD12" s="1055"/>
      <c r="CE12" s="3341">
        <f>PL_ЦО_Производство!CE12+'МД ООН'!CE12+'МК Ладыжин-3'!CE12+'МК Староконстантинов'!CE12+'МК Армокаркасы'!CE12+'МК Щедро. Флекситанки'!CE12+'МК ЛифтМаркет'!CE12+'МК Укркотлопром'!CE12+'МК Подгорцы.Забор'!CE12+PL_Металлизация!DS12+'МД Бытовка ИТР Нежин'!CE12+'МК Металургбуд.поддоны'!CE12+'МК Нежин-3'!CE12+'МК РДК.Кран'!CE12+'МК Ворота.Запорожье'!CE12+'МД ВООЗ'!CE12+'МД Казарма.Рекламация'!CE12</f>
        <v>0</v>
      </c>
      <c r="CF12" s="3341">
        <f>PL_ЦО_Производство!CF12+'МД ООН'!CF12+'МК Ладыжин-3'!CF12+'МК Староконстантинов'!CF12+'МК Армокаркасы'!CF12+'МК Щедро. Флекситанки'!CF12+'МК ЛифтМаркет'!CF12+'МК Укркотлопром'!CF12+'МК Подгорцы.Забор'!CF12+PL_Металлизация!DT12+'МД Бытовка ИТР Нежин'!CF12+'МК Металургбуд.поддоны'!CF12+'МК Нежин-3'!CF12+'МК РДК.Кран'!CF12+'МК Ворота.Запорожье'!CF12+'МД ВООЗ'!CF12+'МД Казарма.Рекламация'!CF12</f>
        <v>0</v>
      </c>
      <c r="CG12" s="3349">
        <f t="shared" si="38"/>
        <v>0</v>
      </c>
      <c r="CH12" s="4697" t="e">
        <f t="shared" si="52"/>
        <v>#DIV/0!</v>
      </c>
      <c r="CI12" s="1055"/>
      <c r="CJ12" s="3341">
        <f t="shared" si="39"/>
        <v>383803.38</v>
      </c>
      <c r="CK12" s="3341">
        <f t="shared" si="39"/>
        <v>705300</v>
      </c>
      <c r="CL12" s="3349">
        <f t="shared" si="53"/>
        <v>1089103.3799999999</v>
      </c>
      <c r="CM12" s="4697">
        <f t="shared" si="40"/>
        <v>2.1373849622909506E-2</v>
      </c>
      <c r="CN12" s="1434"/>
      <c r="CP12" s="4028">
        <f>'МК Староконстантинов'!AH9</f>
        <v>0</v>
      </c>
      <c r="CQ12" s="4029" t="s">
        <v>1934</v>
      </c>
    </row>
    <row r="13" spans="1:100" s="1396" customFormat="1" ht="13.8" outlineLevel="2">
      <c r="A13" s="1571"/>
      <c r="B13" s="1424" t="s">
        <v>71</v>
      </c>
      <c r="C13" s="3341"/>
      <c r="D13" s="3341"/>
      <c r="E13" s="3349">
        <f t="shared" si="19"/>
        <v>0</v>
      </c>
      <c r="F13" s="4697" t="e">
        <f t="shared" si="16"/>
        <v>#DIV/0!</v>
      </c>
      <c r="G13" s="1055"/>
      <c r="H13" s="3341"/>
      <c r="I13" s="3341"/>
      <c r="J13" s="3349">
        <f t="shared" si="20"/>
        <v>0</v>
      </c>
      <c r="K13" s="4697" t="e">
        <f t="shared" si="41"/>
        <v>#DIV/0!</v>
      </c>
      <c r="L13" s="1055"/>
      <c r="M13" s="3341"/>
      <c r="N13" s="3341"/>
      <c r="O13" s="3349">
        <f t="shared" si="21"/>
        <v>0</v>
      </c>
      <c r="P13" s="4697" t="e">
        <f t="shared" si="22"/>
        <v>#DIV/0!</v>
      </c>
      <c r="Q13" s="1055"/>
      <c r="R13" s="3427">
        <f>PL_Производство!BF13</f>
        <v>73245.36</v>
      </c>
      <c r="S13" s="3427">
        <f>PL_Производство!BG13</f>
        <v>0</v>
      </c>
      <c r="T13" s="2012">
        <f t="shared" si="23"/>
        <v>73245.36</v>
      </c>
      <c r="U13" s="1055"/>
      <c r="V13" s="1055"/>
      <c r="W13" s="3342">
        <f t="shared" si="24"/>
        <v>19158.780000000002</v>
      </c>
      <c r="X13" s="3342">
        <f t="shared" si="24"/>
        <v>0</v>
      </c>
      <c r="Y13" s="2012">
        <f t="shared" si="25"/>
        <v>19158.780000000002</v>
      </c>
      <c r="Z13" s="1055"/>
      <c r="AA13" s="1055"/>
      <c r="AB13" s="3341">
        <f>PL_ЦО_Производство!AB13+'МД ООН'!AB13+'МК Ладыжин-3'!AB13+'МК Староконстантинов'!AB13+'МК Армокаркасы'!AB13+'МК Щедро. Флекситанки'!AB13+'МК ЛифтМаркет'!AB13+'МК Укркотлопром'!AB13+'МК Подгорцы.Забор'!AB13+PL_Металлизация!BP13+'МД Бытовка ИТР Нежин'!AB13+'МК Металургбуд.поддоны'!AB13</f>
        <v>3193.13</v>
      </c>
      <c r="AC13" s="3341">
        <f>PL_ЦО_Производство!AC13+'МД ООН'!AC13+'МК Ладыжин-3'!AC13+'МК Староконстантинов'!AC13+'МК Армокаркасы'!AC13+'МК Щедро. Флекситанки'!AC13+'МК ЛифтМаркет'!AC13+'МК Укркотлопром'!AC13+'МК Подгорцы.Забор'!AC13+PL_Металлизация!BQ13+'МД Бытовка ИТР Нежин'!AC13+'МК Металургбуд.поддоны'!AC13</f>
        <v>0</v>
      </c>
      <c r="AD13" s="3349">
        <f t="shared" si="26"/>
        <v>3193.13</v>
      </c>
      <c r="AE13" s="4697">
        <f t="shared" si="27"/>
        <v>2.0353283473779557E-3</v>
      </c>
      <c r="AF13" s="1055"/>
      <c r="AG13" s="2043">
        <f>PL_ЦО_Производство!AG13+'МД ООН'!AG13+'МК Ладыжин-3'!AG13+'МК Староконстантинов'!AG13+'МК Армокаркасы'!AG13+'МК Щедро. Флекситанки'!AG13+'МК ЛифтМаркет'!AG13+'МК Укркотлопром'!AG13+'МК Подгорцы.Забор'!AG13+PL_Металлизация!BU13+'МД Бытовка ИТР Нежин'!AG13+'МК Металургбуд.поддоны'!AG13</f>
        <v>3193.13</v>
      </c>
      <c r="AH13" s="2043">
        <f>PL_ЦО_Производство!AH13+'МД ООН'!AH13+'МК Ладыжин-3'!AH13+'МК Староконстантинов'!AH13+'МК Армокаркасы'!AH13+'МК Щедро. Флекситанки'!AH13+'МК ЛифтМаркет'!AH13+'МК Укркотлопром'!AH13+'МК Подгорцы.Забор'!AH13+PL_Металлизация!BV13+'МД Бытовка ИТР Нежин'!AH13+'МК Металургбуд.поддоны'!AH13</f>
        <v>0</v>
      </c>
      <c r="AI13" s="2045">
        <f t="shared" si="28"/>
        <v>3193.13</v>
      </c>
      <c r="AJ13" s="4697">
        <f t="shared" si="42"/>
        <v>1.9909149019892219E-3</v>
      </c>
      <c r="AK13" s="1055"/>
      <c r="AL13" s="2043">
        <f>PL_ЦО_Производство!AL13+'МД ООН'!AL13+'МК Ладыжин-3'!AL13+'МК Староконстантинов'!AL13+'МК Армокаркасы'!AL13+'МК Щедро. Флекситанки'!AL13+'МК ЛифтМаркет'!AL13+'МК Укркотлопром'!AL13+'МК Подгорцы.Забор'!AL13+PL_Металлизация!BZ13+'МД Бытовка ИТР Нежин'!AL13+'МК Металургбуд.поддоны'!AL13+'МК Нежин-3'!AL13</f>
        <v>3193.13</v>
      </c>
      <c r="AM13" s="2043">
        <f>PL_ЦО_Производство!AM13+'МД ООН'!AM13+'МК Ладыжин-3'!AM13+'МК Староконстантинов'!AM13+'МК Армокаркасы'!AM13+'МК Щедро. Флекситанки'!AM13+'МК ЛифтМаркет'!AM13+'МК Укркотлопром'!AM13+'МК Подгорцы.Забор'!AM13+PL_Металлизация!CA13+'МД Бытовка ИТР Нежин'!AM13+'МК Металургбуд.поддоны'!AM13+'МК Нежин-3'!AM13</f>
        <v>0</v>
      </c>
      <c r="AN13" s="3349">
        <f t="shared" si="29"/>
        <v>3193.13</v>
      </c>
      <c r="AO13" s="4697">
        <f t="shared" si="43"/>
        <v>1.5309049545917531E-3</v>
      </c>
      <c r="AP13" s="1055"/>
      <c r="AQ13" s="3341">
        <f>PL_ЦО_Производство!AQ13+'МД ООН'!AQ13+'МК Ладыжин-3'!AQ13+'МК Староконстантинов'!AQ13+'МК Армокаркасы'!AQ13+'МК Щедро. Флекситанки'!AQ13+'МК ЛифтМаркет'!AQ13+'МК Укркотлопром'!AQ13+'МК Подгорцы.Забор'!AQ13+PL_Металлизация!CE13+'МД Бытовка ИТР Нежин'!AQ13+'МК Металургбуд.поддоны'!AQ13+'МК Нежин-3'!AQ13</f>
        <v>3193.13</v>
      </c>
      <c r="AR13" s="3341">
        <f>PL_ЦО_Производство!AR13+'МД ООН'!AR13+'МК Ладыжин-3'!AR13+'МК Староконстантинов'!AR13+'МК Армокаркасы'!AR13+'МК Щедро. Флекситанки'!AR13+'МК ЛифтМаркет'!AR13+'МК Укркотлопром'!AR13+'МК Подгорцы.Забор'!AR13+PL_Металлизация!CF13+'МД Бытовка ИТР Нежин'!AR13+'МК Металургбуд.поддоны'!AR13+'МК Нежин-3'!AR13</f>
        <v>0</v>
      </c>
      <c r="AS13" s="3349">
        <f t="shared" si="30"/>
        <v>3193.13</v>
      </c>
      <c r="AT13" s="4697">
        <f t="shared" si="44"/>
        <v>2.0581971624567801E-3</v>
      </c>
      <c r="AU13" s="1055"/>
      <c r="AV13" s="3341">
        <f>PL_ЦО_Производство!AV13+'МД ООН'!AV13+'МК Армокаркасы'!AV13+'МК Подгорцы.Забор'!AV13+'МК Нежин-3'!AV13+'МК РДК.Кран'!AV13+'МК Ворота.Запорожье'!AV13+'МД ВООЗ'!AV13+'МД Казарма.Рекламация'!AV13</f>
        <v>3193.13</v>
      </c>
      <c r="AW13" s="3341">
        <f>PL_ЦО_Производство!AW13+'МД ООН'!AW13+'МК Армокаркасы'!AW13+'МК Подгорцы.Забор'!AW13+'МК Нежин-3'!AW13+'МК РДК.Кран'!AW13+'МК Ворота.Запорожье'!AW13+'МД ВООЗ'!AW13+'МД Казарма.Рекламация'!AW13</f>
        <v>0</v>
      </c>
      <c r="AX13" s="3349">
        <f t="shared" si="31"/>
        <v>3193.13</v>
      </c>
      <c r="AY13" s="4697">
        <f t="shared" si="45"/>
        <v>2.387348131261997E-3</v>
      </c>
      <c r="AZ13" s="1055"/>
      <c r="BA13" s="3341">
        <f>PL_ЦО_Производство!BA13+'МД ООН'!BA13+'МК Ладыжин-3'!BA13+'МК Староконстантинов'!BA13+'МК Армокаркасы'!BA13+'МК Щедро. Флекситанки'!BA13+'МК ЛифтМаркет'!BA13+'МК Укркотлопром'!BA13+'МК Подгорцы.Забор'!BA13+PL_Металлизация!CO13+'МД Бытовка ИТР Нежин'!BA13+'МК Металургбуд.поддоны'!BA13+'МК Нежин-3'!BA13+'МК РДК.Кран'!BA13+'МК Ворота.Запорожье'!BA13+'МД ВООЗ'!BA13+'МД Казарма.Рекламация'!BA13</f>
        <v>3193.13</v>
      </c>
      <c r="BB13" s="3341">
        <f>PL_ЦО_Производство!BB13+'МД ООН'!BB13+'МК Ладыжин-3'!BB13+'МК Староконстантинов'!BB13+'МК Армокаркасы'!BB13+'МК Щедро. Флекситанки'!BB13+'МК ЛифтМаркет'!BB13+'МК Укркотлопром'!BB13+'МК Подгорцы.Забор'!BB13+PL_Металлизация!CP13+'МД Бытовка ИТР Нежин'!BB13+'МК Металургбуд.поддоны'!BB13+'МК Нежин-3'!BB13+'МК РДК.Кран'!BB13+'МК Ворота.Запорожье'!BB13+'МД ВООЗ'!BB13+'МД Казарма.Рекламация'!BB13</f>
        <v>0</v>
      </c>
      <c r="BC13" s="3349">
        <f t="shared" si="32"/>
        <v>3193.13</v>
      </c>
      <c r="BD13" s="4697">
        <f t="shared" si="46"/>
        <v>2.4224625669376043E-3</v>
      </c>
      <c r="BE13" s="1055"/>
      <c r="BF13" s="3341">
        <f>PL_ЦО_Производство!BF13+'МД ООН'!BF13+'МК Ладыжин-3'!BF13+'МК Староконстантинов'!BF13+'МК Армокаркасы'!BF13+'МК Щедро. Флекситанки'!BF13+'МК ЛифтМаркет'!BF13+'МК Укркотлопром'!BF13+'МК Подгорцы.Забор'!BF13+PL_Металлизация!CT13+'МД Бытовка ИТР Нежин'!BF13+'МК Металургбуд.поддоны'!BF13+'МК Нежин-3'!BF13+'МК РДК.Кран'!BF13+'МК Ворота.Запорожье'!BF13+'МД ВООЗ'!BF13+'МД Казарма.Рекламация'!BF13</f>
        <v>0</v>
      </c>
      <c r="BG13" s="3341">
        <f>PL_ЦО_Производство!BG13+'МД ООН'!BG13+'МК Ладыжин-3'!BG13+'МК Староконстантинов'!BG13+'МК Армокаркасы'!BG13+'МК Щедро. Флекситанки'!BG13+'МК ЛифтМаркет'!BG13+'МК Укркотлопром'!BG13+'МК Подгорцы.Забор'!BG13+PL_Металлизация!CU13+'МД Бытовка ИТР Нежин'!BG13+'МК Металургбуд.поддоны'!BG13+'МК Нежин-3'!BG13+'МК РДК.Кран'!BG13+'МК Ворота.Запорожье'!BG13+'МД ВООЗ'!BG13+'МД Казарма.Рекламация'!BG13</f>
        <v>0</v>
      </c>
      <c r="BH13" s="3349">
        <f t="shared" si="33"/>
        <v>0</v>
      </c>
      <c r="BI13" s="4697" t="e">
        <f t="shared" si="47"/>
        <v>#DIV/0!</v>
      </c>
      <c r="BJ13" s="1055"/>
      <c r="BK13" s="3341">
        <f>PL_ЦО_Производство!BK13+'МД ООН'!BK13+'МК Ладыжин-3'!BK13+'МК Староконстантинов'!BK13+'МК Армокаркасы'!BK13+'МК Щедро. Флекситанки'!BK13+'МК ЛифтМаркет'!BK13+'МК Укркотлопром'!BK13+'МК Подгорцы.Забор'!BK13+PL_Металлизация!CY13+'МД Бытовка ИТР Нежин'!BK13+'МК Металургбуд.поддоны'!BK13+'МК Нежин-3'!BK13+'МК РДК.Кран'!BK13+'МК Ворота.Запорожье'!BK13+'МД ВООЗ'!BK13+'МД Казарма.Рекламация'!BK13</f>
        <v>0</v>
      </c>
      <c r="BL13" s="3341">
        <f>PL_ЦО_Производство!BL13+'МД ООН'!BL13+'МК Ладыжин-3'!BL13+'МК Староконстантинов'!BL13+'МК Армокаркасы'!BL13+'МК Щедро. Флекситанки'!BL13+'МК ЛифтМаркет'!BL13+'МК Укркотлопром'!BL13+'МК Подгорцы.Забор'!BL13+PL_Металлизация!CZ13+'МД Бытовка ИТР Нежин'!BL13+'МК Металургбуд.поддоны'!BL13+'МК Нежин-3'!BL13+'МК РДК.Кран'!BL13+'МК Ворота.Запорожье'!BL13+'МД ВООЗ'!BL13+'МД Казарма.Рекламация'!BL13</f>
        <v>0</v>
      </c>
      <c r="BM13" s="3349">
        <f t="shared" si="34"/>
        <v>0</v>
      </c>
      <c r="BN13" s="4697" t="e">
        <f t="shared" si="48"/>
        <v>#DIV/0!</v>
      </c>
      <c r="BO13" s="1055"/>
      <c r="BP13" s="3341">
        <f>PL_ЦО_Производство!BP13+'МД ООН'!BP13+'МК Ладыжин-3'!BP13+'МК Староконстантинов'!BP13+'МК Армокаркасы'!BP13+'МК Щедро. Флекситанки'!BP13+'МК ЛифтМаркет'!BP13+'МК Укркотлопром'!BP13+'МК Подгорцы.Забор'!BP13+PL_Металлизация!DD13+'МД Бытовка ИТР Нежин'!BP13+'МК Металургбуд.поддоны'!BP13+'МК Нежин-3'!BP13+'МК РДК.Кран'!BP13+'МК Ворота.Запорожье'!BP13+'МД ВООЗ'!BP13+'МД Казарма.Рекламация'!BP13</f>
        <v>0</v>
      </c>
      <c r="BQ13" s="3341">
        <f>PL_ЦО_Производство!BQ13+'МД ООН'!BQ13+'МК Ладыжин-3'!BQ13+'МК Староконстантинов'!BQ13+'МК Армокаркасы'!BQ13+'МК Щедро. Флекситанки'!BQ13+'МК ЛифтМаркет'!BQ13+'МК Укркотлопром'!BQ13+'МК Подгорцы.Забор'!BQ13+PL_Металлизация!DE13+'МД Бытовка ИТР Нежин'!BQ13+'МК Металургбуд.поддоны'!BQ13+'МК Нежин-3'!BQ13+'МК РДК.Кран'!BQ13+'МК Ворота.Запорожье'!BQ13+'МД ВООЗ'!BQ13+'МД Казарма.Рекламация'!BQ13</f>
        <v>0</v>
      </c>
      <c r="BR13" s="3349">
        <f t="shared" si="35"/>
        <v>0</v>
      </c>
      <c r="BS13" s="4697" t="e">
        <f t="shared" si="49"/>
        <v>#DIV/0!</v>
      </c>
      <c r="BT13" s="1055"/>
      <c r="BU13" s="3341">
        <f>PL_ЦО_Производство!BU13+'МД ООН'!BU13+'МК Ладыжин-3'!BU13+'МК Староконстантинов'!BU13+'МК Армокаркасы'!BU13+'МК Щедро. Флекситанки'!BU13+'МК ЛифтМаркет'!BU13+'МК Укркотлопром'!BU13+'МК Подгорцы.Забор'!BU13+PL_Металлизация!DI13+'МД Бытовка ИТР Нежин'!BU13+'МК Металургбуд.поддоны'!BU13+'МК Нежин-3'!BU13+'МК РДК.Кран'!BU13+'МК Ворота.Запорожье'!BU13+'МД ВООЗ'!BU13+'МД Казарма.Рекламация'!BU13</f>
        <v>0</v>
      </c>
      <c r="BV13" s="3341">
        <f>PL_ЦО_Производство!BV13+'МД ООН'!BV13+'МК Ладыжин-3'!BV13+'МК Староконстантинов'!BV13+'МК Армокаркасы'!BV13+'МК Щедро. Флекситанки'!BV13+'МК ЛифтМаркет'!BV13+'МК Укркотлопром'!BV13+'МК Подгорцы.Забор'!BV13+PL_Металлизация!DJ13+'МД Бытовка ИТР Нежин'!BV13+'МК Металургбуд.поддоны'!BV13+'МК Нежин-3'!BV13+'МК РДК.Кран'!BV13+'МК Ворота.Запорожье'!BV13+'МД ВООЗ'!BV13+'МД Казарма.Рекламация'!BV13</f>
        <v>0</v>
      </c>
      <c r="BW13" s="3349">
        <f t="shared" si="36"/>
        <v>0</v>
      </c>
      <c r="BX13" s="4697" t="e">
        <f t="shared" si="50"/>
        <v>#DIV/0!</v>
      </c>
      <c r="BY13" s="1055"/>
      <c r="BZ13" s="3341">
        <f>PL_ЦО_Производство!BZ13+'МД ООН'!BZ13+'МК Ладыжин-3'!BZ13+'МК Староконстантинов'!BZ13+'МК Армокаркасы'!BZ13+'МК Щедро. Флекситанки'!BZ13+'МК ЛифтМаркет'!BZ13+'МК Укркотлопром'!BZ13+'МК Подгорцы.Забор'!BZ13+PL_Металлизация!DN13+'МД Бытовка ИТР Нежин'!BZ13+'МК Металургбуд.поддоны'!BZ13+'МК Нежин-3'!BZ13+'МК РДК.Кран'!BZ13+'МК Ворота.Запорожье'!BZ13+'МД ВООЗ'!BZ13+'МД Казарма.Рекламация'!BZ13</f>
        <v>0</v>
      </c>
      <c r="CA13" s="3341">
        <f>PL_ЦО_Производство!CA13+'МД ООН'!CA13+'МК Ладыжин-3'!CA13+'МК Староконстантинов'!CA13+'МК Армокаркасы'!CA13+'МК Щедро. Флекситанки'!CA13+'МК ЛифтМаркет'!CA13+'МК Укркотлопром'!CA13+'МК Подгорцы.Забор'!CA13+PL_Металлизация!DO13+'МД Бытовка ИТР Нежин'!CA13+'МК Металургбуд.поддоны'!CA13+'МК Нежин-3'!CA13+'МК РДК.Кран'!CA13+'МК Ворота.Запорожье'!CA13+'МД ВООЗ'!CA13+'МД Казарма.Рекламация'!CA13</f>
        <v>0</v>
      </c>
      <c r="CB13" s="3349">
        <f t="shared" si="37"/>
        <v>0</v>
      </c>
      <c r="CC13" s="4697" t="e">
        <f t="shared" si="51"/>
        <v>#DIV/0!</v>
      </c>
      <c r="CD13" s="1055"/>
      <c r="CE13" s="3341">
        <f>PL_ЦО_Производство!CE13+'МД ООН'!CE13+'МК Ладыжин-3'!CE13+'МК Староконстантинов'!CE13+'МК Армокаркасы'!CE13+'МК Щедро. Флекситанки'!CE13+'МК ЛифтМаркет'!CE13+'МК Укркотлопром'!CE13+'МК Подгорцы.Забор'!CE13+PL_Металлизация!DS13+'МД Бытовка ИТР Нежин'!CE13+'МК Металургбуд.поддоны'!CE13+'МК Нежин-3'!CE13+'МК РДК.Кран'!CE13+'МК Ворота.Запорожье'!CE13+'МД ВООЗ'!CE13+'МД Казарма.Рекламация'!CE13</f>
        <v>0</v>
      </c>
      <c r="CF13" s="3341">
        <f>PL_ЦО_Производство!CF13+'МД ООН'!CF13+'МК Ладыжин-3'!CF13+'МК Староконстантинов'!CF13+'МК Армокаркасы'!CF13+'МК Щедро. Флекситанки'!CF13+'МК ЛифтМаркет'!CF13+'МК Укркотлопром'!CF13+'МК Подгорцы.Забор'!CF13+PL_Металлизация!DT13+'МД Бытовка ИТР Нежин'!CF13+'МК Металургбуд.поддоны'!CF13+'МК Нежин-3'!CF13+'МК РДК.Кран'!CF13+'МК Ворота.Запорожье'!CF13+'МД ВООЗ'!CF13+'МД Казарма.Рекламация'!CF13</f>
        <v>0</v>
      </c>
      <c r="CG13" s="3349">
        <f t="shared" si="38"/>
        <v>0</v>
      </c>
      <c r="CH13" s="4697" t="e">
        <f t="shared" si="52"/>
        <v>#DIV/0!</v>
      </c>
      <c r="CI13" s="1055"/>
      <c r="CJ13" s="3341">
        <f t="shared" si="39"/>
        <v>92404.14</v>
      </c>
      <c r="CK13" s="3341">
        <f t="shared" si="39"/>
        <v>0</v>
      </c>
      <c r="CL13" s="3349">
        <f t="shared" si="53"/>
        <v>92404.14</v>
      </c>
      <c r="CM13" s="4697">
        <f t="shared" si="40"/>
        <v>1.8134478591869557E-3</v>
      </c>
      <c r="CN13" s="1434"/>
      <c r="CP13" s="4028">
        <f>+'МК Армокаркасы'!AH9</f>
        <v>0</v>
      </c>
      <c r="CQ13" s="4029" t="s">
        <v>1935</v>
      </c>
    </row>
    <row r="14" spans="1:100" s="1396" customFormat="1" ht="13.8" outlineLevel="2">
      <c r="A14" s="1571"/>
      <c r="B14" s="1424" t="s">
        <v>70</v>
      </c>
      <c r="C14" s="3341"/>
      <c r="D14" s="3341"/>
      <c r="E14" s="3349">
        <f t="shared" si="19"/>
        <v>0</v>
      </c>
      <c r="F14" s="4697" t="e">
        <f t="shared" si="16"/>
        <v>#DIV/0!</v>
      </c>
      <c r="G14" s="1055"/>
      <c r="H14" s="3341"/>
      <c r="I14" s="3341"/>
      <c r="J14" s="3349">
        <f t="shared" si="20"/>
        <v>0</v>
      </c>
      <c r="K14" s="4697" t="e">
        <f t="shared" si="41"/>
        <v>#DIV/0!</v>
      </c>
      <c r="L14" s="1055"/>
      <c r="M14" s="3341"/>
      <c r="N14" s="3341"/>
      <c r="O14" s="3349">
        <f t="shared" si="21"/>
        <v>0</v>
      </c>
      <c r="P14" s="4697" t="e">
        <f t="shared" si="22"/>
        <v>#DIV/0!</v>
      </c>
      <c r="Q14" s="1055"/>
      <c r="R14" s="3427">
        <f>PL_Производство!BF14</f>
        <v>88370.62999999999</v>
      </c>
      <c r="S14" s="3427">
        <f>PL_Производство!BG14</f>
        <v>0</v>
      </c>
      <c r="T14" s="2012">
        <f t="shared" si="23"/>
        <v>88370.62999999999</v>
      </c>
      <c r="U14" s="1055"/>
      <c r="V14" s="1055"/>
      <c r="W14" s="3342">
        <f t="shared" si="24"/>
        <v>21615</v>
      </c>
      <c r="X14" s="3342">
        <f t="shared" si="24"/>
        <v>0</v>
      </c>
      <c r="Y14" s="2012">
        <f t="shared" si="25"/>
        <v>21615</v>
      </c>
      <c r="Z14" s="1055"/>
      <c r="AA14" s="1055"/>
      <c r="AB14" s="3341">
        <f>PL_ЦО_Производство!AB14+'МД ООН'!AB14+'МК Ладыжин-3'!AB14+'МК Староконстантинов'!AB14+'МК Армокаркасы'!AB14+'МК Щедро. Флекситанки'!AB14+'МК ЛифтМаркет'!AB14+'МК Укркотлопром'!AB14+'МК Подгорцы.Забор'!AB14+PL_Металлизация!BP14+'МД Бытовка ИТР Нежин'!AB14+'МК Металургбуд.поддоны'!AB14</f>
        <v>3602.5</v>
      </c>
      <c r="AC14" s="3341">
        <f>PL_ЦО_Производство!AC14+'МД ООН'!AC14+'МК Ладыжин-3'!AC14+'МК Староконстантинов'!AC14+'МК Армокаркасы'!AC14+'МК Щедро. Флекситанки'!AC14+'МК ЛифтМаркет'!AC14+'МК Укркотлопром'!AC14+'МК Подгорцы.Забор'!AC14+PL_Металлизация!BQ14+'МД Бытовка ИТР Нежин'!AC14+'МК Металургбуд.поддоны'!AC14</f>
        <v>0</v>
      </c>
      <c r="AD14" s="3349">
        <f t="shared" si="26"/>
        <v>3602.5</v>
      </c>
      <c r="AE14" s="4697">
        <f t="shared" si="27"/>
        <v>2.2962642834551319E-3</v>
      </c>
      <c r="AF14" s="1055"/>
      <c r="AG14" s="2043">
        <f>PL_ЦО_Производство!AG14+'МД ООН'!AG14+'МК Ладыжин-3'!AG14+'МК Староконстантинов'!AG14+'МК Армокаркасы'!AG14+'МК Щедро. Флекситанки'!AG14+'МК ЛифтМаркет'!AG14+'МК Укркотлопром'!AG14+'МК Подгорцы.Забор'!AG14+PL_Металлизация!BU14+'МД Бытовка ИТР Нежин'!AG14+'МК Металургбуд.поддоны'!AG14</f>
        <v>3602.5</v>
      </c>
      <c r="AH14" s="2043">
        <f>PL_ЦО_Производство!AH14+'МД ООН'!AH14+'МК Ладыжин-3'!AH14+'МК Староконстантинов'!AH14+'МК Армокаркасы'!AH14+'МК Щедро. Флекситанки'!AH14+'МК ЛифтМаркет'!AH14+'МК Укркотлопром'!AH14+'МК Подгорцы.Забор'!AH14+PL_Металлизация!BV14+'МД Бытовка ИТР Нежин'!AH14+'МК Металургбуд.поддоны'!AH14</f>
        <v>0</v>
      </c>
      <c r="AI14" s="2045">
        <f t="shared" si="28"/>
        <v>3602.5</v>
      </c>
      <c r="AJ14" s="4697">
        <f t="shared" si="42"/>
        <v>2.2461568850676832E-3</v>
      </c>
      <c r="AK14" s="1055"/>
      <c r="AL14" s="2043">
        <f>PL_ЦО_Производство!AL14+'МД ООН'!AL14+'МК Ладыжин-3'!AL14+'МК Староконстантинов'!AL14+'МК Армокаркасы'!AL14+'МК Щедро. Флекситанки'!AL14+'МК ЛифтМаркет'!AL14+'МК Укркотлопром'!AL14+'МК Подгорцы.Забор'!AL14+PL_Металлизация!BZ14+'МД Бытовка ИТР Нежин'!AL14+'МК Металургбуд.поддоны'!AL14+'МК Нежин-3'!AL14</f>
        <v>3602.5</v>
      </c>
      <c r="AM14" s="2043">
        <f>PL_ЦО_Производство!AM14+'МД ООН'!AM14+'МК Ладыжин-3'!AM14+'МК Староконстантинов'!AM14+'МК Армокаркасы'!AM14+'МК Щедро. Флекситанки'!AM14+'МК ЛифтМаркет'!AM14+'МК Укркотлопром'!AM14+'МК Подгорцы.Забор'!AM14+PL_Металлизация!CA14+'МД Бытовка ИТР Нежин'!AM14+'МК Металургбуд.поддоны'!AM14+'МК Нежин-3'!AM14</f>
        <v>0</v>
      </c>
      <c r="AN14" s="3349">
        <f t="shared" si="29"/>
        <v>3602.5</v>
      </c>
      <c r="AO14" s="4697">
        <f t="shared" si="43"/>
        <v>1.7271721160481378E-3</v>
      </c>
      <c r="AP14" s="1055"/>
      <c r="AQ14" s="3341">
        <f>PL_ЦО_Производство!AQ14+'МД ООН'!AQ14+'МК Ладыжин-3'!AQ14+'МК Староконстантинов'!AQ14+'МК Армокаркасы'!AQ14+'МК Щедро. Флекситанки'!AQ14+'МК ЛифтМаркет'!AQ14+'МК Укркотлопром'!AQ14+'МК Подгорцы.Забор'!AQ14+PL_Металлизация!CE14+'МД Бытовка ИТР Нежин'!AQ14+'МК Металургбуд.поддоны'!AQ14+'МК Нежин-3'!AQ14</f>
        <v>3602.5</v>
      </c>
      <c r="AR14" s="3341">
        <f>PL_ЦО_Производство!AR14+'МД ООН'!AR14+'МК Ладыжин-3'!AR14+'МК Староконстантинов'!AR14+'МК Армокаркасы'!AR14+'МК Щедро. Флекситанки'!AR14+'МК ЛифтМаркет'!AR14+'МК Укркотлопром'!AR14+'МК Подгорцы.Забор'!AR14+PL_Металлизация!CF14+'МД Бытовка ИТР Нежин'!AR14+'МК Металургбуд.поддоны'!AR14+'МК Нежин-3'!AR14</f>
        <v>0</v>
      </c>
      <c r="AS14" s="3349">
        <f t="shared" si="30"/>
        <v>3602.5</v>
      </c>
      <c r="AT14" s="4697">
        <f t="shared" si="44"/>
        <v>2.3220649575026856E-3</v>
      </c>
      <c r="AU14" s="1055"/>
      <c r="AV14" s="3341">
        <f>PL_ЦО_Производство!AV14+'МД ООН'!AV14+'МК Армокаркасы'!AV14+'МК Подгорцы.Забор'!AV14+'МК Нежин-3'!AV14+'МК РДК.Кран'!AV14+'МК Ворота.Запорожье'!AV14+'МД ВООЗ'!AV14+'МД Казарма.Рекламация'!AV14</f>
        <v>3602.5</v>
      </c>
      <c r="AW14" s="3341">
        <f>PL_ЦО_Производство!AW14+'МД ООН'!AW14+'МК Армокаркасы'!AW14+'МК Подгорцы.Забор'!AW14+'МК Нежин-3'!AW14+'МК РДК.Кран'!AW14+'МК Ворота.Запорожье'!AW14+'МД ВООЗ'!AW14+'МД Казарма.Рекламация'!AW14</f>
        <v>0</v>
      </c>
      <c r="AX14" s="3349">
        <f t="shared" si="31"/>
        <v>3602.5</v>
      </c>
      <c r="AY14" s="4697">
        <f t="shared" si="45"/>
        <v>2.6934141869799674E-3</v>
      </c>
      <c r="AZ14" s="1055"/>
      <c r="BA14" s="3341">
        <f>PL_ЦО_Производство!BA14+'МД ООН'!BA14+'МК Ладыжин-3'!BA14+'МК Староконстантинов'!BA14+'МК Армокаркасы'!BA14+'МК Щедро. Флекситанки'!BA14+'МК ЛифтМаркет'!BA14+'МК Укркотлопром'!BA14+'МК Подгорцы.Забор'!BA14+PL_Металлизация!CO14+'МД Бытовка ИТР Нежин'!BA14+'МК Металургбуд.поддоны'!BA14+'МК Нежин-3'!BA14+'МК РДК.Кран'!BA14+'МК Ворота.Запорожье'!BA14+'МД ВООЗ'!BA14+'МД Казарма.Рекламация'!BA14</f>
        <v>3602.5</v>
      </c>
      <c r="BB14" s="3341">
        <f>PL_ЦО_Производство!BB14+'МД ООН'!BB14+'МК Ладыжин-3'!BB14+'МК Староконстантинов'!BB14+'МК Армокаркасы'!BB14+'МК Щедро. Флекситанки'!BB14+'МК ЛифтМаркет'!BB14+'МК Укркотлопром'!BB14+'МК Подгорцы.Забор'!BB14+PL_Металлизация!CP14+'МД Бытовка ИТР Нежин'!BB14+'МК Металургбуд.поддоны'!BB14+'МК Нежин-3'!BB14+'МК РДК.Кран'!BB14+'МК Ворота.Запорожье'!BB14+'МД ВООЗ'!BB14+'МД Казарма.Рекламация'!BB14</f>
        <v>0</v>
      </c>
      <c r="BC14" s="3349">
        <f t="shared" si="32"/>
        <v>3602.5</v>
      </c>
      <c r="BD14" s="4697">
        <f t="shared" si="46"/>
        <v>2.7330304113495907E-3</v>
      </c>
      <c r="BE14" s="1055"/>
      <c r="BF14" s="3341">
        <f>PL_ЦО_Производство!BF14+'МД ООН'!BF14+'МК Ладыжин-3'!BF14+'МК Староконстантинов'!BF14+'МК Армокаркасы'!BF14+'МК Щедро. Флекситанки'!BF14+'МК ЛифтМаркет'!BF14+'МК Укркотлопром'!BF14+'МК Подгорцы.Забор'!BF14+PL_Металлизация!CT14+'МД Бытовка ИТР Нежин'!BF14+'МК Металургбуд.поддоны'!BF14+'МК Нежин-3'!BF14+'МК РДК.Кран'!BF14+'МК Ворота.Запорожье'!BF14+'МД ВООЗ'!BF14+'МД Казарма.Рекламация'!BF14</f>
        <v>0</v>
      </c>
      <c r="BG14" s="3341">
        <f>PL_ЦО_Производство!BG14+'МД ООН'!BG14+'МК Ладыжин-3'!BG14+'МК Староконстантинов'!BG14+'МК Армокаркасы'!BG14+'МК Щедро. Флекситанки'!BG14+'МК ЛифтМаркет'!BG14+'МК Укркотлопром'!BG14+'МК Подгорцы.Забор'!BG14+PL_Металлизация!CU14+'МД Бытовка ИТР Нежин'!BG14+'МК Металургбуд.поддоны'!BG14+'МК Нежин-3'!BG14+'МК РДК.Кран'!BG14+'МК Ворота.Запорожье'!BG14+'МД ВООЗ'!BG14+'МД Казарма.Рекламация'!BG14</f>
        <v>0</v>
      </c>
      <c r="BH14" s="3349">
        <f t="shared" si="33"/>
        <v>0</v>
      </c>
      <c r="BI14" s="4697" t="e">
        <f t="shared" si="47"/>
        <v>#DIV/0!</v>
      </c>
      <c r="BJ14" s="1055"/>
      <c r="BK14" s="3341">
        <f>PL_ЦО_Производство!BK14+'МД ООН'!BK14+'МК Ладыжин-3'!BK14+'МК Староконстантинов'!BK14+'МК Армокаркасы'!BK14+'МК Щедро. Флекситанки'!BK14+'МК ЛифтМаркет'!BK14+'МК Укркотлопром'!BK14+'МК Подгорцы.Забор'!BK14+PL_Металлизация!CY14+'МД Бытовка ИТР Нежин'!BK14+'МК Металургбуд.поддоны'!BK14+'МК Нежин-3'!BK14+'МК РДК.Кран'!BK14+'МК Ворота.Запорожье'!BK14+'МД ВООЗ'!BK14+'МД Казарма.Рекламация'!BK14</f>
        <v>0</v>
      </c>
      <c r="BL14" s="3341">
        <f>PL_ЦО_Производство!BL14+'МД ООН'!BL14+'МК Ладыжин-3'!BL14+'МК Староконстантинов'!BL14+'МК Армокаркасы'!BL14+'МК Щедро. Флекситанки'!BL14+'МК ЛифтМаркет'!BL14+'МК Укркотлопром'!BL14+'МК Подгорцы.Забор'!BL14+PL_Металлизация!CZ14+'МД Бытовка ИТР Нежин'!BL14+'МК Металургбуд.поддоны'!BL14+'МК Нежин-3'!BL14+'МК РДК.Кран'!BL14+'МК Ворота.Запорожье'!BL14+'МД ВООЗ'!BL14+'МД Казарма.Рекламация'!BL14</f>
        <v>0</v>
      </c>
      <c r="BM14" s="3349">
        <f t="shared" si="34"/>
        <v>0</v>
      </c>
      <c r="BN14" s="4697" t="e">
        <f t="shared" si="48"/>
        <v>#DIV/0!</v>
      </c>
      <c r="BO14" s="1055"/>
      <c r="BP14" s="3341">
        <f>PL_ЦО_Производство!BP14+'МД ООН'!BP14+'МК Ладыжин-3'!BP14+'МК Староконстантинов'!BP14+'МК Армокаркасы'!BP14+'МК Щедро. Флекситанки'!BP14+'МК ЛифтМаркет'!BP14+'МК Укркотлопром'!BP14+'МК Подгорцы.Забор'!BP14+PL_Металлизация!DD14+'МД Бытовка ИТР Нежин'!BP14+'МК Металургбуд.поддоны'!BP14+'МК Нежин-3'!BP14+'МК РДК.Кран'!BP14+'МК Ворота.Запорожье'!BP14+'МД ВООЗ'!BP14+'МД Казарма.Рекламация'!BP14</f>
        <v>0</v>
      </c>
      <c r="BQ14" s="3341">
        <f>PL_ЦО_Производство!BQ14+'МД ООН'!BQ14+'МК Ладыжин-3'!BQ14+'МК Староконстантинов'!BQ14+'МК Армокаркасы'!BQ14+'МК Щедро. Флекситанки'!BQ14+'МК ЛифтМаркет'!BQ14+'МК Укркотлопром'!BQ14+'МК Подгорцы.Забор'!BQ14+PL_Металлизация!DE14+'МД Бытовка ИТР Нежин'!BQ14+'МК Металургбуд.поддоны'!BQ14+'МК Нежин-3'!BQ14+'МК РДК.Кран'!BQ14+'МК Ворота.Запорожье'!BQ14+'МД ВООЗ'!BQ14+'МД Казарма.Рекламация'!BQ14</f>
        <v>0</v>
      </c>
      <c r="BR14" s="3349">
        <f t="shared" si="35"/>
        <v>0</v>
      </c>
      <c r="BS14" s="4697" t="e">
        <f t="shared" si="49"/>
        <v>#DIV/0!</v>
      </c>
      <c r="BT14" s="1055"/>
      <c r="BU14" s="3341">
        <f>PL_ЦО_Производство!BU14+'МД ООН'!BU14+'МК Ладыжин-3'!BU14+'МК Староконстантинов'!BU14+'МК Армокаркасы'!BU14+'МК Щедро. Флекситанки'!BU14+'МК ЛифтМаркет'!BU14+'МК Укркотлопром'!BU14+'МК Подгорцы.Забор'!BU14+PL_Металлизация!DI14+'МД Бытовка ИТР Нежин'!BU14+'МК Металургбуд.поддоны'!BU14+'МК Нежин-3'!BU14+'МК РДК.Кран'!BU14+'МК Ворота.Запорожье'!BU14+'МД ВООЗ'!BU14+'МД Казарма.Рекламация'!BU14</f>
        <v>0</v>
      </c>
      <c r="BV14" s="3341">
        <f>PL_ЦО_Производство!BV14+'МД ООН'!BV14+'МК Ладыжин-3'!BV14+'МК Староконстантинов'!BV14+'МК Армокаркасы'!BV14+'МК Щедро. Флекситанки'!BV14+'МК ЛифтМаркет'!BV14+'МК Укркотлопром'!BV14+'МК Подгорцы.Забор'!BV14+PL_Металлизация!DJ14+'МД Бытовка ИТР Нежин'!BV14+'МК Металургбуд.поддоны'!BV14+'МК Нежин-3'!BV14+'МК РДК.Кран'!BV14+'МК Ворота.Запорожье'!BV14+'МД ВООЗ'!BV14+'МД Казарма.Рекламация'!BV14</f>
        <v>0</v>
      </c>
      <c r="BW14" s="3349">
        <f t="shared" si="36"/>
        <v>0</v>
      </c>
      <c r="BX14" s="4697" t="e">
        <f t="shared" si="50"/>
        <v>#DIV/0!</v>
      </c>
      <c r="BY14" s="1055"/>
      <c r="BZ14" s="3341">
        <f>PL_ЦО_Производство!BZ14+'МД ООН'!BZ14+'МК Ладыжин-3'!BZ14+'МК Староконстантинов'!BZ14+'МК Армокаркасы'!BZ14+'МК Щедро. Флекситанки'!BZ14+'МК ЛифтМаркет'!BZ14+'МК Укркотлопром'!BZ14+'МК Подгорцы.Забор'!BZ14+PL_Металлизация!DN14+'МД Бытовка ИТР Нежин'!BZ14+'МК Металургбуд.поддоны'!BZ14+'МК Нежин-3'!BZ14+'МК РДК.Кран'!BZ14+'МК Ворота.Запорожье'!BZ14+'МД ВООЗ'!BZ14+'МД Казарма.Рекламация'!BZ14</f>
        <v>0</v>
      </c>
      <c r="CA14" s="3341">
        <f>PL_ЦО_Производство!CA14+'МД ООН'!CA14+'МК Ладыжин-3'!CA14+'МК Староконстантинов'!CA14+'МК Армокаркасы'!CA14+'МК Щедро. Флекситанки'!CA14+'МК ЛифтМаркет'!CA14+'МК Укркотлопром'!CA14+'МК Подгорцы.Забор'!CA14+PL_Металлизация!DO14+'МД Бытовка ИТР Нежин'!CA14+'МК Металургбуд.поддоны'!CA14+'МК Нежин-3'!CA14+'МК РДК.Кран'!CA14+'МК Ворота.Запорожье'!CA14+'МД ВООЗ'!CA14+'МД Казарма.Рекламация'!CA14</f>
        <v>0</v>
      </c>
      <c r="CB14" s="3349">
        <f t="shared" si="37"/>
        <v>0</v>
      </c>
      <c r="CC14" s="4697" t="e">
        <f t="shared" si="51"/>
        <v>#DIV/0!</v>
      </c>
      <c r="CD14" s="1055"/>
      <c r="CE14" s="3341">
        <f>PL_ЦО_Производство!CE14+'МД ООН'!CE14+'МК Ладыжин-3'!CE14+'МК Староконстантинов'!CE14+'МК Армокаркасы'!CE14+'МК Щедро. Флекситанки'!CE14+'МК ЛифтМаркет'!CE14+'МК Укркотлопром'!CE14+'МК Подгорцы.Забор'!CE14+PL_Металлизация!DS14+'МД Бытовка ИТР Нежин'!CE14+'МК Металургбуд.поддоны'!CE14+'МК Нежин-3'!CE14+'МК РДК.Кран'!CE14+'МК Ворота.Запорожье'!CE14+'МД ВООЗ'!CE14+'МД Казарма.Рекламация'!CE14</f>
        <v>0</v>
      </c>
      <c r="CF14" s="3341">
        <f>PL_ЦО_Производство!CF14+'МД ООН'!CF14+'МК Ладыжин-3'!CF14+'МК Староконстантинов'!CF14+'МК Армокаркасы'!CF14+'МК Щедро. Флекситанки'!CF14+'МК ЛифтМаркет'!CF14+'МК Укркотлопром'!CF14+'МК Подгорцы.Забор'!CF14+PL_Металлизация!DT14+'МД Бытовка ИТР Нежин'!CF14+'МК Металургбуд.поддоны'!CF14+'МК Нежин-3'!CF14+'МК РДК.Кран'!CF14+'МК Ворота.Запорожье'!CF14+'МД ВООЗ'!CF14+'МД Казарма.Рекламация'!CF14</f>
        <v>0</v>
      </c>
      <c r="CG14" s="3349">
        <f t="shared" si="38"/>
        <v>0</v>
      </c>
      <c r="CH14" s="4697" t="e">
        <f t="shared" si="52"/>
        <v>#DIV/0!</v>
      </c>
      <c r="CI14" s="1055"/>
      <c r="CJ14" s="3341">
        <f t="shared" si="39"/>
        <v>109985.62999999999</v>
      </c>
      <c r="CK14" s="3341">
        <f t="shared" si="39"/>
        <v>0</v>
      </c>
      <c r="CL14" s="3349">
        <f t="shared" si="53"/>
        <v>109985.62999999999</v>
      </c>
      <c r="CM14" s="4697">
        <f t="shared" si="40"/>
        <v>2.1584877610984592E-3</v>
      </c>
      <c r="CN14" s="1434"/>
      <c r="CP14" s="4028">
        <f>+'МК Щедро. Флекситанки'!AH9</f>
        <v>0</v>
      </c>
      <c r="CQ14" s="4029" t="s">
        <v>1936</v>
      </c>
    </row>
    <row r="15" spans="1:100" s="1396" customFormat="1" ht="13.8" outlineLevel="2">
      <c r="A15" s="1571"/>
      <c r="B15" s="4698" t="s">
        <v>20</v>
      </c>
      <c r="C15" s="3341"/>
      <c r="D15" s="3341"/>
      <c r="E15" s="3349">
        <f t="shared" si="19"/>
        <v>0</v>
      </c>
      <c r="F15" s="4697" t="e">
        <f t="shared" si="16"/>
        <v>#DIV/0!</v>
      </c>
      <c r="G15" s="1055"/>
      <c r="H15" s="3341"/>
      <c r="I15" s="3341"/>
      <c r="J15" s="3349">
        <f t="shared" si="20"/>
        <v>0</v>
      </c>
      <c r="K15" s="4697" t="e">
        <f t="shared" si="41"/>
        <v>#DIV/0!</v>
      </c>
      <c r="L15" s="1055"/>
      <c r="M15" s="3341"/>
      <c r="N15" s="3341"/>
      <c r="O15" s="3349">
        <f t="shared" si="21"/>
        <v>0</v>
      </c>
      <c r="P15" s="4697" t="e">
        <f t="shared" si="22"/>
        <v>#DIV/0!</v>
      </c>
      <c r="Q15" s="1055"/>
      <c r="R15" s="3427">
        <f>PL_Производство!BF15</f>
        <v>0</v>
      </c>
      <c r="S15" s="3427">
        <f>PL_Производство!BG15</f>
        <v>0</v>
      </c>
      <c r="T15" s="2012">
        <f t="shared" si="23"/>
        <v>0</v>
      </c>
      <c r="U15" s="1055"/>
      <c r="V15" s="1055"/>
      <c r="W15" s="3342">
        <f t="shared" si="24"/>
        <v>0</v>
      </c>
      <c r="X15" s="3342">
        <f t="shared" si="24"/>
        <v>0</v>
      </c>
      <c r="Y15" s="2012">
        <f t="shared" si="25"/>
        <v>0</v>
      </c>
      <c r="Z15" s="1055"/>
      <c r="AA15" s="1055"/>
      <c r="AB15" s="3341">
        <f>PL_ЦО_Производство!AB15+'МД ООН'!AB15+'МК Ладыжин-3'!AB15+'МК Староконстантинов'!AB15+'МК Армокаркасы'!AB15+'МК Щедро. Флекситанки'!AB15+'МК ЛифтМаркет'!AB15+'МК Укркотлопром'!AB15+'МК Подгорцы.Забор'!AB15+PL_Металлизация!BP15+'МД Бытовка ИТР Нежин'!AB15+'МК Металургбуд.поддоны'!AB15</f>
        <v>0</v>
      </c>
      <c r="AC15" s="3341">
        <f>PL_ЦО_Производство!AC15+'МД ООН'!AC15+'МК Ладыжин-3'!AC15+'МК Староконстантинов'!AC15+'МК Армокаркасы'!AC15+'МК Щедро. Флекситанки'!AC15+'МК ЛифтМаркет'!AC15+'МК Укркотлопром'!AC15+'МК Подгорцы.Забор'!AC15+PL_Металлизация!BQ15+'МД Бытовка ИТР Нежин'!AC15+'МК Металургбуд.поддоны'!AC15</f>
        <v>0</v>
      </c>
      <c r="AD15" s="3349">
        <f t="shared" si="26"/>
        <v>0</v>
      </c>
      <c r="AE15" s="4697">
        <f t="shared" si="27"/>
        <v>0</v>
      </c>
      <c r="AF15" s="1055"/>
      <c r="AG15" s="2043">
        <f>PL_ЦО_Производство!AG15+'МД ООН'!AG15+'МК Ладыжин-3'!AG15+'МК Староконстантинов'!AG15+'МК Армокаркасы'!AG15+'МК Щедро. Флекситанки'!AG15+'МК ЛифтМаркет'!AG15+'МК Укркотлопром'!AG15+'МК Подгорцы.Забор'!AG15+PL_Металлизация!BU15+'МД Бытовка ИТР Нежин'!AG15+'МК Металургбуд.поддоны'!AG15</f>
        <v>0</v>
      </c>
      <c r="AH15" s="2043">
        <f>PL_ЦО_Производство!AH15+'МД ООН'!AH15+'МК Ладыжин-3'!AH15+'МК Староконстантинов'!AH15+'МК Армокаркасы'!AH15+'МК Щедро. Флекситанки'!AH15+'МК ЛифтМаркет'!AH15+'МК Укркотлопром'!AH15+'МК Подгорцы.Забор'!AH15+PL_Металлизация!BV15+'МД Бытовка ИТР Нежин'!AH15+'МК Металургбуд.поддоны'!AH15</f>
        <v>0</v>
      </c>
      <c r="AI15" s="2045">
        <f t="shared" si="28"/>
        <v>0</v>
      </c>
      <c r="AJ15" s="4697">
        <f t="shared" si="42"/>
        <v>0</v>
      </c>
      <c r="AK15" s="1055"/>
      <c r="AL15" s="2043">
        <f>PL_ЦО_Производство!AL15+'МД ООН'!AL15+'МК Ладыжин-3'!AL15+'МК Староконстантинов'!AL15+'МК Армокаркасы'!AL15+'МК Щедро. Флекситанки'!AL15+'МК ЛифтМаркет'!AL15+'МК Укркотлопром'!AL15+'МК Подгорцы.Забор'!AL15+PL_Металлизация!BZ15+'МД Бытовка ИТР Нежин'!AL15+'МК Металургбуд.поддоны'!AL15+'МК Нежин-3'!AL15</f>
        <v>0</v>
      </c>
      <c r="AM15" s="2043">
        <f>PL_ЦО_Производство!AM15+'МД ООН'!AM15+'МК Ладыжин-3'!AM15+'МК Староконстантинов'!AM15+'МК Армокаркасы'!AM15+'МК Щедро. Флекситанки'!AM15+'МК ЛифтМаркет'!AM15+'МК Укркотлопром'!AM15+'МК Подгорцы.Забор'!AM15+PL_Металлизация!CA15+'МД Бытовка ИТР Нежин'!AM15+'МК Металургбуд.поддоны'!AM15+'МК Нежин-3'!AM15</f>
        <v>0</v>
      </c>
      <c r="AN15" s="3349">
        <f t="shared" si="29"/>
        <v>0</v>
      </c>
      <c r="AO15" s="4697">
        <f t="shared" si="43"/>
        <v>0</v>
      </c>
      <c r="AP15" s="1055"/>
      <c r="AQ15" s="3341">
        <f>PL_ЦО_Производство!AQ15+'МД ООН'!AQ15+'МК Ладыжин-3'!AQ15+'МК Староконстантинов'!AQ15+'МК Армокаркасы'!AQ15+'МК Щедро. Флекситанки'!AQ15+'МК ЛифтМаркет'!AQ15+'МК Укркотлопром'!AQ15+'МК Подгорцы.Забор'!AQ15+PL_Металлизация!CE15+'МД Бытовка ИТР Нежин'!AQ15+'МК Металургбуд.поддоны'!AQ15+'МК Нежин-3'!AQ15</f>
        <v>0</v>
      </c>
      <c r="AR15" s="3341">
        <f>PL_ЦО_Производство!AR15+'МД ООН'!AR15+'МК Ладыжин-3'!AR15+'МК Староконстантинов'!AR15+'МК Армокаркасы'!AR15+'МК Щедро. Флекситанки'!AR15+'МК ЛифтМаркет'!AR15+'МК Укркотлопром'!AR15+'МК Подгорцы.Забор'!AR15+PL_Металлизация!CF15+'МД Бытовка ИТР Нежин'!AR15+'МК Металургбуд.поддоны'!AR15+'МК Нежин-3'!AR15</f>
        <v>0</v>
      </c>
      <c r="AS15" s="3349">
        <f t="shared" si="30"/>
        <v>0</v>
      </c>
      <c r="AT15" s="4697">
        <f t="shared" si="44"/>
        <v>0</v>
      </c>
      <c r="AU15" s="1055"/>
      <c r="AV15" s="3341">
        <f>PL_ЦО_Производство!AV15+'МД ООН'!AV15+'МК Армокаркасы'!AV15+'МК Подгорцы.Забор'!AV15+'МК Нежин-3'!AV15+'МК РДК.Кран'!AV15+'МК Ворота.Запорожье'!AV15+'МД ВООЗ'!AV15+'МД Казарма.Рекламация'!AV15</f>
        <v>0</v>
      </c>
      <c r="AW15" s="3341">
        <f>PL_ЦО_Производство!AW15+'МД ООН'!AW15+'МК Армокаркасы'!AW15+'МК Подгорцы.Забор'!AW15+'МК Нежин-3'!AW15+'МК РДК.Кран'!AW15+'МК Ворота.Запорожье'!AW15+'МД ВООЗ'!AW15+'МД Казарма.Рекламация'!AW15</f>
        <v>0</v>
      </c>
      <c r="AX15" s="3349">
        <f t="shared" si="31"/>
        <v>0</v>
      </c>
      <c r="AY15" s="4697">
        <f t="shared" si="45"/>
        <v>0</v>
      </c>
      <c r="AZ15" s="1055"/>
      <c r="BA15" s="3341">
        <f>PL_ЦО_Производство!BA15+'МД ООН'!BA15+'МК Ладыжин-3'!BA15+'МК Староконстантинов'!BA15+'МК Армокаркасы'!BA15+'МК Щедро. Флекситанки'!BA15+'МК ЛифтМаркет'!BA15+'МК Укркотлопром'!BA15+'МК Подгорцы.Забор'!BA15+PL_Металлизация!CO15+'МД Бытовка ИТР Нежин'!BA15+'МК Металургбуд.поддоны'!BA15+'МК Нежин-3'!BA15+'МК РДК.Кран'!BA15+'МК Ворота.Запорожье'!BA15+'МД ВООЗ'!BA15+'МД Казарма.Рекламация'!BA15</f>
        <v>0</v>
      </c>
      <c r="BB15" s="3341">
        <f>PL_ЦО_Производство!BB15+'МД ООН'!BB15+'МК Ладыжин-3'!BB15+'МК Староконстантинов'!BB15+'МК Армокаркасы'!BB15+'МК Щедро. Флекситанки'!BB15+'МК ЛифтМаркет'!BB15+'МК Укркотлопром'!BB15+'МК Подгорцы.Забор'!BB15+PL_Металлизация!CP15+'МД Бытовка ИТР Нежин'!BB15+'МК Металургбуд.поддоны'!BB15+'МК Нежин-3'!BB15+'МК РДК.Кран'!BB15+'МК Ворота.Запорожье'!BB15+'МД ВООЗ'!BB15+'МД Казарма.Рекламация'!BB15</f>
        <v>0</v>
      </c>
      <c r="BC15" s="3349">
        <f t="shared" si="32"/>
        <v>0</v>
      </c>
      <c r="BD15" s="4697">
        <f t="shared" si="46"/>
        <v>0</v>
      </c>
      <c r="BE15" s="1055"/>
      <c r="BF15" s="3341">
        <f>PL_ЦО_Производство!BF15+'МД ООН'!BF15+'МК Ладыжин-3'!BF15+'МК Староконстантинов'!BF15+'МК Армокаркасы'!BF15+'МК Щедро. Флекситанки'!BF15+'МК ЛифтМаркет'!BF15+'МК Укркотлопром'!BF15+'МК Подгорцы.Забор'!BF15+PL_Металлизация!CT15+'МД Бытовка ИТР Нежин'!BF15+'МК Металургбуд.поддоны'!BF15+'МК Нежин-3'!BF15+'МК РДК.Кран'!BF15+'МК Ворота.Запорожье'!BF15+'МД ВООЗ'!BF15+'МД Казарма.Рекламация'!BF15</f>
        <v>0</v>
      </c>
      <c r="BG15" s="3341">
        <f>PL_ЦО_Производство!BG15+'МД ООН'!BG15+'МК Ладыжин-3'!BG15+'МК Староконстантинов'!BG15+'МК Армокаркасы'!BG15+'МК Щедро. Флекситанки'!BG15+'МК ЛифтМаркет'!BG15+'МК Укркотлопром'!BG15+'МК Подгорцы.Забор'!BG15+PL_Металлизация!CU15+'МД Бытовка ИТР Нежин'!BG15+'МК Металургбуд.поддоны'!BG15+'МК Нежин-3'!BG15+'МК РДК.Кран'!BG15+'МК Ворота.Запорожье'!BG15+'МД ВООЗ'!BG15+'МД Казарма.Рекламация'!BG15</f>
        <v>0</v>
      </c>
      <c r="BH15" s="3349">
        <f t="shared" si="33"/>
        <v>0</v>
      </c>
      <c r="BI15" s="4697" t="e">
        <f t="shared" si="47"/>
        <v>#DIV/0!</v>
      </c>
      <c r="BJ15" s="1055"/>
      <c r="BK15" s="3341">
        <f>PL_ЦО_Производство!BK15+'МД ООН'!BK15+'МК Ладыжин-3'!BK15+'МК Староконстантинов'!BK15+'МК Армокаркасы'!BK15+'МК Щедро. Флекситанки'!BK15+'МК ЛифтМаркет'!BK15+'МК Укркотлопром'!BK15+'МК Подгорцы.Забор'!BK15+PL_Металлизация!CY15+'МД Бытовка ИТР Нежин'!BK15+'МК Металургбуд.поддоны'!BK15+'МК Нежин-3'!BK15+'МК РДК.Кран'!BK15+'МК Ворота.Запорожье'!BK15+'МД ВООЗ'!BK15+'МД Казарма.Рекламация'!BK15</f>
        <v>0</v>
      </c>
      <c r="BL15" s="3341">
        <f>PL_ЦО_Производство!BL15+'МД ООН'!BL15+'МК Ладыжин-3'!BL15+'МК Староконстантинов'!BL15+'МК Армокаркасы'!BL15+'МК Щедро. Флекситанки'!BL15+'МК ЛифтМаркет'!BL15+'МК Укркотлопром'!BL15+'МК Подгорцы.Забор'!BL15+PL_Металлизация!CZ15+'МД Бытовка ИТР Нежин'!BL15+'МК Металургбуд.поддоны'!BL15+'МК Нежин-3'!BL15+'МК РДК.Кран'!BL15+'МК Ворота.Запорожье'!BL15+'МД ВООЗ'!BL15+'МД Казарма.Рекламация'!BL15</f>
        <v>0</v>
      </c>
      <c r="BM15" s="3349">
        <f t="shared" si="34"/>
        <v>0</v>
      </c>
      <c r="BN15" s="4697" t="e">
        <f t="shared" si="48"/>
        <v>#DIV/0!</v>
      </c>
      <c r="BO15" s="1055"/>
      <c r="BP15" s="3341">
        <f>PL_ЦО_Производство!BP15+'МД ООН'!BP15+'МК Ладыжин-3'!BP15+'МК Староконстантинов'!BP15+'МК Армокаркасы'!BP15+'МК Щедро. Флекситанки'!BP15+'МК ЛифтМаркет'!BP15+'МК Укркотлопром'!BP15+'МК Подгорцы.Забор'!BP15+PL_Металлизация!DD15+'МД Бытовка ИТР Нежин'!BP15+'МК Металургбуд.поддоны'!BP15+'МК Нежин-3'!BP15+'МК РДК.Кран'!BP15+'МК Ворота.Запорожье'!BP15+'МД ВООЗ'!BP15+'МД Казарма.Рекламация'!BP15</f>
        <v>0</v>
      </c>
      <c r="BQ15" s="3341">
        <f>PL_ЦО_Производство!BQ15+'МД ООН'!BQ15+'МК Ладыжин-3'!BQ15+'МК Староконстантинов'!BQ15+'МК Армокаркасы'!BQ15+'МК Щедро. Флекситанки'!BQ15+'МК ЛифтМаркет'!BQ15+'МК Укркотлопром'!BQ15+'МК Подгорцы.Забор'!BQ15+PL_Металлизация!DE15+'МД Бытовка ИТР Нежин'!BQ15+'МК Металургбуд.поддоны'!BQ15+'МК Нежин-3'!BQ15+'МК РДК.Кран'!BQ15+'МК Ворота.Запорожье'!BQ15+'МД ВООЗ'!BQ15+'МД Казарма.Рекламация'!BQ15</f>
        <v>0</v>
      </c>
      <c r="BR15" s="3349">
        <f t="shared" si="35"/>
        <v>0</v>
      </c>
      <c r="BS15" s="4697" t="e">
        <f t="shared" si="49"/>
        <v>#DIV/0!</v>
      </c>
      <c r="BT15" s="1055"/>
      <c r="BU15" s="3341">
        <f>PL_ЦО_Производство!BU15+'МД ООН'!BU15+'МК Ладыжин-3'!BU15+'МК Староконстантинов'!BU15+'МК Армокаркасы'!BU15+'МК Щедро. Флекситанки'!BU15+'МК ЛифтМаркет'!BU15+'МК Укркотлопром'!BU15+'МК Подгорцы.Забор'!BU15+PL_Металлизация!DI15+'МД Бытовка ИТР Нежин'!BU15+'МК Металургбуд.поддоны'!BU15+'МК Нежин-3'!BU15+'МК РДК.Кран'!BU15+'МК Ворота.Запорожье'!BU15+'МД ВООЗ'!BU15+'МД Казарма.Рекламация'!BU15</f>
        <v>0</v>
      </c>
      <c r="BV15" s="3341">
        <f>PL_ЦО_Производство!BV15+'МД ООН'!BV15+'МК Ладыжин-3'!BV15+'МК Староконстантинов'!BV15+'МК Армокаркасы'!BV15+'МК Щедро. Флекситанки'!BV15+'МК ЛифтМаркет'!BV15+'МК Укркотлопром'!BV15+'МК Подгорцы.Забор'!BV15+PL_Металлизация!DJ15+'МД Бытовка ИТР Нежин'!BV15+'МК Металургбуд.поддоны'!BV15+'МК Нежин-3'!BV15+'МК РДК.Кран'!BV15+'МК Ворота.Запорожье'!BV15+'МД ВООЗ'!BV15+'МД Казарма.Рекламация'!BV15</f>
        <v>0</v>
      </c>
      <c r="BW15" s="3349">
        <f t="shared" si="36"/>
        <v>0</v>
      </c>
      <c r="BX15" s="4697" t="e">
        <f t="shared" si="50"/>
        <v>#DIV/0!</v>
      </c>
      <c r="BY15" s="1055"/>
      <c r="BZ15" s="3341">
        <f>PL_ЦО_Производство!BZ15+'МД ООН'!BZ15+'МК Ладыжин-3'!BZ15+'МК Староконстантинов'!BZ15+'МК Армокаркасы'!BZ15+'МК Щедро. Флекситанки'!BZ15+'МК ЛифтМаркет'!BZ15+'МК Укркотлопром'!BZ15+'МК Подгорцы.Забор'!BZ15+PL_Металлизация!DN15+'МД Бытовка ИТР Нежин'!BZ15+'МК Металургбуд.поддоны'!BZ15+'МК Нежин-3'!BZ15+'МК РДК.Кран'!BZ15+'МК Ворота.Запорожье'!BZ15+'МД ВООЗ'!BZ15+'МД Казарма.Рекламация'!BZ15</f>
        <v>0</v>
      </c>
      <c r="CA15" s="3341">
        <f>PL_ЦО_Производство!CA15+'МД ООН'!CA15+'МК Ладыжин-3'!CA15+'МК Староконстантинов'!CA15+'МК Армокаркасы'!CA15+'МК Щедро. Флекситанки'!CA15+'МК ЛифтМаркет'!CA15+'МК Укркотлопром'!CA15+'МК Подгорцы.Забор'!CA15+PL_Металлизация!DO15+'МД Бытовка ИТР Нежин'!CA15+'МК Металургбуд.поддоны'!CA15+'МК Нежин-3'!CA15+'МК РДК.Кран'!CA15+'МК Ворота.Запорожье'!CA15+'МД ВООЗ'!CA15+'МД Казарма.Рекламация'!CA15</f>
        <v>0</v>
      </c>
      <c r="CB15" s="3349">
        <f t="shared" si="37"/>
        <v>0</v>
      </c>
      <c r="CC15" s="4697" t="e">
        <f t="shared" si="51"/>
        <v>#DIV/0!</v>
      </c>
      <c r="CD15" s="1055"/>
      <c r="CE15" s="3341">
        <f>PL_ЦО_Производство!CE15+'МД ООН'!CE15+'МК Ладыжин-3'!CE15+'МК Староконстантинов'!CE15+'МК Армокаркасы'!CE15+'МК Щедро. Флекситанки'!CE15+'МК ЛифтМаркет'!CE15+'МК Укркотлопром'!CE15+'МК Подгорцы.Забор'!CE15+PL_Металлизация!DS15+'МД Бытовка ИТР Нежин'!CE15+'МК Металургбуд.поддоны'!CE15+'МК Нежин-3'!CE15+'МК РДК.Кран'!CE15+'МК Ворота.Запорожье'!CE15+'МД ВООЗ'!CE15+'МД Казарма.Рекламация'!CE15</f>
        <v>0</v>
      </c>
      <c r="CF15" s="3341">
        <f>PL_ЦО_Производство!CF15+'МД ООН'!CF15+'МК Ладыжин-3'!CF15+'МК Староконстантинов'!CF15+'МК Армокаркасы'!CF15+'МК Щедро. Флекситанки'!CF15+'МК ЛифтМаркет'!CF15+'МК Укркотлопром'!CF15+'МК Подгорцы.Забор'!CF15+PL_Металлизация!DT15+'МД Бытовка ИТР Нежин'!CF15+'МК Металургбуд.поддоны'!CF15+'МК Нежин-3'!CF15+'МК РДК.Кран'!CF15+'МК Ворота.Запорожье'!CF15+'МД ВООЗ'!CF15+'МД Казарма.Рекламация'!CF15</f>
        <v>0</v>
      </c>
      <c r="CG15" s="3349">
        <f t="shared" si="38"/>
        <v>0</v>
      </c>
      <c r="CH15" s="4697" t="e">
        <f t="shared" si="52"/>
        <v>#DIV/0!</v>
      </c>
      <c r="CI15" s="1055"/>
      <c r="CJ15" s="3341">
        <f t="shared" si="39"/>
        <v>0</v>
      </c>
      <c r="CK15" s="3341">
        <f t="shared" si="39"/>
        <v>0</v>
      </c>
      <c r="CL15" s="3349">
        <f t="shared" si="53"/>
        <v>0</v>
      </c>
      <c r="CM15" s="4697">
        <f t="shared" si="40"/>
        <v>0</v>
      </c>
      <c r="CN15" s="1434"/>
      <c r="CP15" s="4028">
        <f>+'МК ЛифтМаркет'!AH9</f>
        <v>0</v>
      </c>
      <c r="CQ15" s="4029" t="s">
        <v>1937</v>
      </c>
    </row>
    <row r="16" spans="1:100" s="1396" customFormat="1" ht="13.8" outlineLevel="2">
      <c r="A16" s="1571"/>
      <c r="B16" s="4698" t="s">
        <v>21</v>
      </c>
      <c r="C16" s="3341"/>
      <c r="D16" s="3341"/>
      <c r="E16" s="3349">
        <f t="shared" si="19"/>
        <v>0</v>
      </c>
      <c r="F16" s="4697" t="e">
        <f t="shared" si="16"/>
        <v>#DIV/0!</v>
      </c>
      <c r="G16" s="1055"/>
      <c r="H16" s="3341"/>
      <c r="I16" s="3341"/>
      <c r="J16" s="3349">
        <f t="shared" si="20"/>
        <v>0</v>
      </c>
      <c r="K16" s="4697" t="e">
        <f t="shared" si="41"/>
        <v>#DIV/0!</v>
      </c>
      <c r="L16" s="1055"/>
      <c r="M16" s="3341"/>
      <c r="N16" s="3341"/>
      <c r="O16" s="3349">
        <f t="shared" si="21"/>
        <v>0</v>
      </c>
      <c r="P16" s="4697" t="e">
        <f t="shared" si="22"/>
        <v>#DIV/0!</v>
      </c>
      <c r="Q16" s="1055"/>
      <c r="R16" s="3427">
        <f>PL_Производство!BF16</f>
        <v>0</v>
      </c>
      <c r="S16" s="3427">
        <f>PL_Производство!BG16</f>
        <v>6219121.4999999991</v>
      </c>
      <c r="T16" s="2012">
        <f t="shared" si="23"/>
        <v>6219121.4999999991</v>
      </c>
      <c r="U16" s="1055"/>
      <c r="V16" s="1055"/>
      <c r="W16" s="3342">
        <f t="shared" si="24"/>
        <v>0</v>
      </c>
      <c r="X16" s="3342">
        <f t="shared" si="24"/>
        <v>4500</v>
      </c>
      <c r="Y16" s="2012">
        <f t="shared" si="25"/>
        <v>4500</v>
      </c>
      <c r="Z16" s="1055"/>
      <c r="AA16" s="1055"/>
      <c r="AB16" s="3341">
        <f>PL_ЦО_Производство!AB16+'МД ООН'!AB16+'МК Ладыжин-3'!AB16+'МК Староконстантинов'!AB16+'МК Армокаркасы'!AB16+'МК Щедро. Флекситанки'!AB16+'МК ЛифтМаркет'!AB16+'МК Укркотлопром'!AB16+'МК Подгорцы.Забор'!AB16+PL_Металлизация!BP16+'МД Бытовка ИТР Нежин'!AB16+'МК Металургбуд.поддоны'!AB16</f>
        <v>0</v>
      </c>
      <c r="AC16" s="3341">
        <f>PL_ЦО_Производство!AC16+'МД ООН'!AC16+'МК Ладыжин-3'!AC16+'МК Староконстантинов'!AC16+'МК Армокаркасы'!AC16+'МК Щедро. Флекситанки'!AC16+'МК ЛифтМаркет'!AC16+'МК Укркотлопром'!AC16+'МК Подгорцы.Забор'!AC16+PL_Металлизация!BQ16+'МД Бытовка ИТР Нежин'!AC16+'МК Металургбуд.поддоны'!AC16</f>
        <v>0</v>
      </c>
      <c r="AD16" s="3349">
        <f t="shared" si="26"/>
        <v>0</v>
      </c>
      <c r="AE16" s="4697">
        <f t="shared" si="27"/>
        <v>0</v>
      </c>
      <c r="AF16" s="1055"/>
      <c r="AG16" s="2043">
        <f>PL_ЦО_Производство!AG16+'МД ООН'!AG16+'МК Ладыжин-3'!AG16+'МК Староконстантинов'!AG16+'МК Армокаркасы'!AG16+'МК Щедро. Флекситанки'!AG16+'МК ЛифтМаркет'!AG16+'МК Укркотлопром'!AG16+'МК Подгорцы.Забор'!AG16+PL_Металлизация!BU16+'МД Бытовка ИТР Нежин'!AG16+'МК Металургбуд.поддоны'!AG16</f>
        <v>0</v>
      </c>
      <c r="AH16" s="2043">
        <f>PL_ЦО_Производство!AH16+'МД ООН'!AH16+'МК Ладыжин-3'!AH16+'МК Староконстантинов'!AH16+'МК Армокаркасы'!AH16+'МК Щедро. Флекситанки'!AH16+'МК ЛифтМаркет'!AH16+'МК Укркотлопром'!AH16+'МК Подгорцы.Забор'!AH16+PL_Металлизация!BV16+'МД Бытовка ИТР Нежин'!AH16+'МК Металургбуд.поддоны'!AH16</f>
        <v>4500</v>
      </c>
      <c r="AI16" s="2045">
        <f t="shared" si="28"/>
        <v>4500</v>
      </c>
      <c r="AJ16" s="4697">
        <f t="shared" si="42"/>
        <v>2.8057476704523459E-3</v>
      </c>
      <c r="AK16" s="1055"/>
      <c r="AL16" s="2043">
        <f>PL_ЦО_Производство!AL16+'МД ООН'!AL16+'МК Ладыжин-3'!AL16+'МК Староконстантинов'!AL16+'МК Армокаркасы'!AL16+'МК Щедро. Флекситанки'!AL16+'МК ЛифтМаркет'!AL16+'МК Укркотлопром'!AL16+'МК Подгорцы.Забор'!AL16+PL_Металлизация!BZ16+'МД Бытовка ИТР Нежин'!AL16+'МК Металургбуд.поддоны'!AL16+'МК Нежин-3'!AL16</f>
        <v>0</v>
      </c>
      <c r="AM16" s="2043">
        <f>PL_ЦО_Производство!AM16+'МД ООН'!AM16+'МК Ладыжин-3'!AM16+'МК Староконстантинов'!AM16+'МК Армокаркасы'!AM16+'МК Щедро. Флекситанки'!AM16+'МК ЛифтМаркет'!AM16+'МК Укркотлопром'!AM16+'МК Подгорцы.Забор'!AM16+PL_Металлизация!CA16+'МД Бытовка ИТР Нежин'!AM16+'МК Металургбуд.поддоны'!AM16+'МК Нежин-3'!AM16</f>
        <v>0</v>
      </c>
      <c r="AN16" s="3349">
        <f t="shared" si="29"/>
        <v>0</v>
      </c>
      <c r="AO16" s="4697">
        <f t="shared" si="43"/>
        <v>0</v>
      </c>
      <c r="AP16" s="1055"/>
      <c r="AQ16" s="3341">
        <f>PL_ЦО_Производство!AQ16+'МД ООН'!AQ16+'МК Ладыжин-3'!AQ16+'МК Староконстантинов'!AQ16+'МК Армокаркасы'!AQ16+'МК Щедро. Флекситанки'!AQ16+'МК ЛифтМаркет'!AQ16+'МК Укркотлопром'!AQ16+'МК Подгорцы.Забор'!AQ16+PL_Металлизация!CE16+'МД Бытовка ИТР Нежин'!AQ16+'МК Металургбуд.поддоны'!AQ16+'МК Нежин-3'!AQ16</f>
        <v>0</v>
      </c>
      <c r="AR16" s="3341">
        <f>PL_ЦО_Производство!AR16+'МД ООН'!AR16+'МК Ладыжин-3'!AR16+'МК Староконстантинов'!AR16+'МК Армокаркасы'!AR16+'МК Щедро. Флекситанки'!AR16+'МК ЛифтМаркет'!AR16+'МК Укркотлопром'!AR16+'МК Подгорцы.Забор'!AR16+PL_Металлизация!CF16+'МД Бытовка ИТР Нежин'!AR16+'МК Металургбуд.поддоны'!AR16+'МК Нежин-3'!AR16</f>
        <v>0</v>
      </c>
      <c r="AS16" s="3349">
        <f t="shared" si="30"/>
        <v>0</v>
      </c>
      <c r="AT16" s="4697">
        <f t="shared" si="44"/>
        <v>0</v>
      </c>
      <c r="AU16" s="1055"/>
      <c r="AV16" s="3341">
        <f>PL_ЦО_Производство!AV16+'МД ООН'!AV16+'МК Армокаркасы'!AV16+'МК Подгорцы.Забор'!AV16+'МК Нежин-3'!AV16+'МК РДК.Кран'!AV16+'МК Ворота.Запорожье'!AV16+'МД ВООЗ'!AV16+'МД Казарма.Рекламация'!AV16</f>
        <v>0</v>
      </c>
      <c r="AW16" s="3341">
        <f>PL_ЦО_Производство!AW16+'МД ООН'!AW16+'МК Армокаркасы'!AW16+'МК Подгорцы.Забор'!AW16+'МК Нежин-3'!AW16+'МК РДК.Кран'!AW16+'МК Ворота.Запорожье'!AW16+'МД ВООЗ'!AW16+'МД Казарма.Рекламация'!AW16</f>
        <v>0</v>
      </c>
      <c r="AX16" s="3349">
        <f t="shared" si="31"/>
        <v>0</v>
      </c>
      <c r="AY16" s="4697">
        <f t="shared" si="45"/>
        <v>0</v>
      </c>
      <c r="AZ16" s="1055"/>
      <c r="BA16" s="3341">
        <f>PL_ЦО_Производство!BA16+'МД ООН'!BA16+'МК Ладыжин-3'!BA16+'МК Староконстантинов'!BA16+'МК Армокаркасы'!BA16+'МК Щедро. Флекситанки'!BA16+'МК ЛифтМаркет'!BA16+'МК Укркотлопром'!BA16+'МК Подгорцы.Забор'!BA16+PL_Металлизация!CO16+'МД Бытовка ИТР Нежин'!BA16+'МК Металургбуд.поддоны'!BA16+'МК Нежин-3'!BA16+'МК РДК.Кран'!BA16+'МК Ворота.Запорожье'!BA16+'МД ВООЗ'!BA16+'МД Казарма.Рекламация'!BA16</f>
        <v>0</v>
      </c>
      <c r="BB16" s="3341">
        <f>PL_ЦО_Производство!BB16+'МД ООН'!BB16+'МК Ладыжин-3'!BB16+'МК Староконстантинов'!BB16+'МК Армокаркасы'!BB16+'МК Щедро. Флекситанки'!BB16+'МК ЛифтМаркет'!BB16+'МК Укркотлопром'!BB16+'МК Подгорцы.Забор'!BB16+PL_Металлизация!CP16+'МД Бытовка ИТР Нежин'!BB16+'МК Металургбуд.поддоны'!BB16+'МК Нежин-3'!BB16+'МК РДК.Кран'!BB16+'МК Ворота.Запорожье'!BB16+'МД ВООЗ'!BB16+'МД Казарма.Рекламация'!BB16</f>
        <v>0</v>
      </c>
      <c r="BC16" s="3349">
        <f t="shared" si="32"/>
        <v>0</v>
      </c>
      <c r="BD16" s="4697">
        <f t="shared" si="46"/>
        <v>0</v>
      </c>
      <c r="BE16" s="1055"/>
      <c r="BF16" s="3341">
        <f>PL_ЦО_Производство!BF16+'МД ООН'!BF16+'МК Ладыжин-3'!BF16+'МК Староконстантинов'!BF16+'МК Армокаркасы'!BF16+'МК Щедро. Флекситанки'!BF16+'МК ЛифтМаркет'!BF16+'МК Укркотлопром'!BF16+'МК Подгорцы.Забор'!BF16+PL_Металлизация!CT16+'МД Бытовка ИТР Нежин'!BF16+'МК Металургбуд.поддоны'!BF16+'МК Нежин-3'!BF16+'МК РДК.Кран'!BF16+'МК Ворота.Запорожье'!BF16+'МД ВООЗ'!BF16+'МД Казарма.Рекламация'!BF16</f>
        <v>0</v>
      </c>
      <c r="BG16" s="3341">
        <f>PL_ЦО_Производство!BG16+'МД ООН'!BG16+'МК Ладыжин-3'!BG16+'МК Староконстантинов'!BG16+'МК Армокаркасы'!BG16+'МК Щедро. Флекситанки'!BG16+'МК ЛифтМаркет'!BG16+'МК Укркотлопром'!BG16+'МК Подгорцы.Забор'!BG16+PL_Металлизация!CU16+'МД Бытовка ИТР Нежин'!BG16+'МК Металургбуд.поддоны'!BG16+'МК Нежин-3'!BG16+'МК РДК.Кран'!BG16+'МК Ворота.Запорожье'!BG16+'МД ВООЗ'!BG16+'МД Казарма.Рекламация'!BG16</f>
        <v>0</v>
      </c>
      <c r="BH16" s="3349">
        <f t="shared" si="33"/>
        <v>0</v>
      </c>
      <c r="BI16" s="4697" t="e">
        <f t="shared" si="47"/>
        <v>#DIV/0!</v>
      </c>
      <c r="BJ16" s="1055"/>
      <c r="BK16" s="3341">
        <f>PL_ЦО_Производство!BK16+'МД ООН'!BK16+'МК Ладыжин-3'!BK16+'МК Староконстантинов'!BK16+'МК Армокаркасы'!BK16+'МК Щедро. Флекситанки'!BK16+'МК ЛифтМаркет'!BK16+'МК Укркотлопром'!BK16+'МК Подгорцы.Забор'!BK16+PL_Металлизация!CY16+'МД Бытовка ИТР Нежин'!BK16+'МК Металургбуд.поддоны'!BK16+'МК Нежин-3'!BK16+'МК РДК.Кран'!BK16+'МК Ворота.Запорожье'!BK16+'МД ВООЗ'!BK16+'МД Казарма.Рекламация'!BK16</f>
        <v>0</v>
      </c>
      <c r="BL16" s="3341">
        <f>PL_ЦО_Производство!BL16+'МД ООН'!BL16+'МК Ладыжин-3'!BL16+'МК Староконстантинов'!BL16+'МК Армокаркасы'!BL16+'МК Щедро. Флекситанки'!BL16+'МК ЛифтМаркет'!BL16+'МК Укркотлопром'!BL16+'МК Подгорцы.Забор'!BL16+PL_Металлизация!CZ16+'МД Бытовка ИТР Нежин'!BL16+'МК Металургбуд.поддоны'!BL16+'МК Нежин-3'!BL16+'МК РДК.Кран'!BL16+'МК Ворота.Запорожье'!BL16+'МД ВООЗ'!BL16+'МД Казарма.Рекламация'!BL16</f>
        <v>0</v>
      </c>
      <c r="BM16" s="3349">
        <f t="shared" si="34"/>
        <v>0</v>
      </c>
      <c r="BN16" s="4697" t="e">
        <f t="shared" si="48"/>
        <v>#DIV/0!</v>
      </c>
      <c r="BO16" s="1055"/>
      <c r="BP16" s="3341">
        <f>PL_ЦО_Производство!BP16+'МД ООН'!BP16+'МК Ладыжин-3'!BP16+'МК Староконстантинов'!BP16+'МК Армокаркасы'!BP16+'МК Щедро. Флекситанки'!BP16+'МК ЛифтМаркет'!BP16+'МК Укркотлопром'!BP16+'МК Подгорцы.Забор'!BP16+PL_Металлизация!DD16+'МД Бытовка ИТР Нежин'!BP16+'МК Металургбуд.поддоны'!BP16+'МК Нежин-3'!BP16+'МК РДК.Кран'!BP16+'МК Ворота.Запорожье'!BP16+'МД ВООЗ'!BP16+'МД Казарма.Рекламация'!BP16</f>
        <v>0</v>
      </c>
      <c r="BQ16" s="3341">
        <f>PL_ЦО_Производство!BQ16+'МД ООН'!BQ16+'МК Ладыжин-3'!BQ16+'МК Староконстантинов'!BQ16+'МК Армокаркасы'!BQ16+'МК Щедро. Флекситанки'!BQ16+'МК ЛифтМаркет'!BQ16+'МК Укркотлопром'!BQ16+'МК Подгорцы.Забор'!BQ16+PL_Металлизация!DE16+'МД Бытовка ИТР Нежин'!BQ16+'МК Металургбуд.поддоны'!BQ16+'МК Нежин-3'!BQ16+'МК РДК.Кран'!BQ16+'МК Ворота.Запорожье'!BQ16+'МД ВООЗ'!BQ16+'МД Казарма.Рекламация'!BQ16</f>
        <v>0</v>
      </c>
      <c r="BR16" s="3349">
        <f t="shared" si="35"/>
        <v>0</v>
      </c>
      <c r="BS16" s="4697" t="e">
        <f t="shared" si="49"/>
        <v>#DIV/0!</v>
      </c>
      <c r="BT16" s="1055"/>
      <c r="BU16" s="3341">
        <f>PL_ЦО_Производство!BU16+'МД ООН'!BU16+'МК Ладыжин-3'!BU16+'МК Староконстантинов'!BU16+'МК Армокаркасы'!BU16+'МК Щедро. Флекситанки'!BU16+'МК ЛифтМаркет'!BU16+'МК Укркотлопром'!BU16+'МК Подгорцы.Забор'!BU16+PL_Металлизация!DI16+'МД Бытовка ИТР Нежин'!BU16+'МК Металургбуд.поддоны'!BU16+'МК Нежин-3'!BU16+'МК РДК.Кран'!BU16+'МК Ворота.Запорожье'!BU16+'МД ВООЗ'!BU16+'МД Казарма.Рекламация'!BU16</f>
        <v>0</v>
      </c>
      <c r="BV16" s="3341">
        <f>PL_ЦО_Производство!BV16+'МД ООН'!BV16+'МК Ладыжин-3'!BV16+'МК Староконстантинов'!BV16+'МК Армокаркасы'!BV16+'МК Щедро. Флекситанки'!BV16+'МК ЛифтМаркет'!BV16+'МК Укркотлопром'!BV16+'МК Подгорцы.Забор'!BV16+PL_Металлизация!DJ16+'МД Бытовка ИТР Нежин'!BV16+'МК Металургбуд.поддоны'!BV16+'МК Нежин-3'!BV16+'МК РДК.Кран'!BV16+'МК Ворота.Запорожье'!BV16+'МД ВООЗ'!BV16+'МД Казарма.Рекламация'!BV16</f>
        <v>0</v>
      </c>
      <c r="BW16" s="3349">
        <f t="shared" si="36"/>
        <v>0</v>
      </c>
      <c r="BX16" s="4697" t="e">
        <f t="shared" si="50"/>
        <v>#DIV/0!</v>
      </c>
      <c r="BY16" s="1055"/>
      <c r="BZ16" s="3341">
        <f>PL_ЦО_Производство!BZ16+'МД ООН'!BZ16+'МК Ладыжин-3'!BZ16+'МК Староконстантинов'!BZ16+'МК Армокаркасы'!BZ16+'МК Щедро. Флекситанки'!BZ16+'МК ЛифтМаркет'!BZ16+'МК Укркотлопром'!BZ16+'МК Подгорцы.Забор'!BZ16+PL_Металлизация!DN16+'МД Бытовка ИТР Нежин'!BZ16+'МК Металургбуд.поддоны'!BZ16+'МК Нежин-3'!BZ16+'МК РДК.Кран'!BZ16+'МК Ворота.Запорожье'!BZ16+'МД ВООЗ'!BZ16+'МД Казарма.Рекламация'!BZ16</f>
        <v>0</v>
      </c>
      <c r="CA16" s="3341">
        <f>PL_ЦО_Производство!CA16+'МД ООН'!CA16+'МК Ладыжин-3'!CA16+'МК Староконстантинов'!CA16+'МК Армокаркасы'!CA16+'МК Щедро. Флекситанки'!CA16+'МК ЛифтМаркет'!CA16+'МК Укркотлопром'!CA16+'МК Подгорцы.Забор'!CA16+PL_Металлизация!DO16+'МД Бытовка ИТР Нежин'!CA16+'МК Металургбуд.поддоны'!CA16+'МК Нежин-3'!CA16+'МК РДК.Кран'!CA16+'МК Ворота.Запорожье'!CA16+'МД ВООЗ'!CA16+'МД Казарма.Рекламация'!CA16</f>
        <v>0</v>
      </c>
      <c r="CB16" s="3349">
        <f t="shared" si="37"/>
        <v>0</v>
      </c>
      <c r="CC16" s="4697" t="e">
        <f t="shared" si="51"/>
        <v>#DIV/0!</v>
      </c>
      <c r="CD16" s="1055"/>
      <c r="CE16" s="3341">
        <f>PL_ЦО_Производство!CE16+'МД ООН'!CE16+'МК Ладыжин-3'!CE16+'МК Староконстантинов'!CE16+'МК Армокаркасы'!CE16+'МК Щедро. Флекситанки'!CE16+'МК ЛифтМаркет'!CE16+'МК Укркотлопром'!CE16+'МК Подгорцы.Забор'!CE16+PL_Металлизация!DS16+'МД Бытовка ИТР Нежин'!CE16+'МК Металургбуд.поддоны'!CE16+'МК Нежин-3'!CE16+'МК РДК.Кран'!CE16+'МК Ворота.Запорожье'!CE16+'МД ВООЗ'!CE16+'МД Казарма.Рекламация'!CE16</f>
        <v>0</v>
      </c>
      <c r="CF16" s="3341">
        <f>PL_ЦО_Производство!CF16+'МД ООН'!CF16+'МК Ладыжин-3'!CF16+'МК Староконстантинов'!CF16+'МК Армокаркасы'!CF16+'МК Щедро. Флекситанки'!CF16+'МК ЛифтМаркет'!CF16+'МК Укркотлопром'!CF16+'МК Подгорцы.Забор'!CF16+PL_Металлизация!DT16+'МД Бытовка ИТР Нежин'!CF16+'МК Металургбуд.поддоны'!CF16+'МК Нежин-3'!CF16+'МК РДК.Кран'!CF16+'МК Ворота.Запорожье'!CF16+'МД ВООЗ'!CF16+'МД Казарма.Рекламация'!CF16</f>
        <v>0</v>
      </c>
      <c r="CG16" s="3349">
        <f t="shared" si="38"/>
        <v>0</v>
      </c>
      <c r="CH16" s="4697" t="e">
        <f t="shared" si="52"/>
        <v>#DIV/0!</v>
      </c>
      <c r="CI16" s="1055"/>
      <c r="CJ16" s="3341">
        <f t="shared" si="39"/>
        <v>0</v>
      </c>
      <c r="CK16" s="3341">
        <f t="shared" si="39"/>
        <v>6223621.4999999991</v>
      </c>
      <c r="CL16" s="3349">
        <f>CJ16+CK16*1</f>
        <v>6223621.4999999991</v>
      </c>
      <c r="CM16" s="4697">
        <f t="shared" si="40"/>
        <v>0.12213969077105104</v>
      </c>
      <c r="CN16" s="1434"/>
      <c r="CP16" s="4028">
        <f>+'МК Укркотлопром'!AH9</f>
        <v>0</v>
      </c>
      <c r="CQ16" s="4029" t="s">
        <v>1938</v>
      </c>
    </row>
    <row r="17" spans="1:95" s="1396" customFormat="1" ht="13.8" outlineLevel="2">
      <c r="A17" s="1571"/>
      <c r="B17" s="4698" t="s">
        <v>22</v>
      </c>
      <c r="C17" s="3341"/>
      <c r="D17" s="3341"/>
      <c r="E17" s="3349">
        <f t="shared" si="19"/>
        <v>0</v>
      </c>
      <c r="F17" s="4697" t="e">
        <f t="shared" si="16"/>
        <v>#DIV/0!</v>
      </c>
      <c r="G17" s="2047"/>
      <c r="H17" s="3341"/>
      <c r="I17" s="3341"/>
      <c r="J17" s="3349">
        <f t="shared" si="20"/>
        <v>0</v>
      </c>
      <c r="K17" s="4697" t="e">
        <f t="shared" si="41"/>
        <v>#DIV/0!</v>
      </c>
      <c r="L17" s="2047"/>
      <c r="M17" s="3341"/>
      <c r="N17" s="3341"/>
      <c r="O17" s="3349">
        <f t="shared" si="21"/>
        <v>0</v>
      </c>
      <c r="P17" s="4697" t="e">
        <f t="shared" si="22"/>
        <v>#DIV/0!</v>
      </c>
      <c r="Q17" s="2047"/>
      <c r="R17" s="3427">
        <f>PL_Производство!BF17</f>
        <v>0</v>
      </c>
      <c r="S17" s="3427">
        <f>PL_Производство!BG17</f>
        <v>125000</v>
      </c>
      <c r="T17" s="2012">
        <f t="shared" si="23"/>
        <v>125000</v>
      </c>
      <c r="U17" s="2047"/>
      <c r="V17" s="2047"/>
      <c r="W17" s="3342">
        <f t="shared" si="24"/>
        <v>0</v>
      </c>
      <c r="X17" s="3342">
        <f t="shared" si="24"/>
        <v>3000</v>
      </c>
      <c r="Y17" s="2012">
        <f t="shared" si="25"/>
        <v>3000</v>
      </c>
      <c r="Z17" s="2047"/>
      <c r="AA17" s="2047"/>
      <c r="AB17" s="3341">
        <f>PL_ЦО_Производство!AB17+'МД ООН'!AB17+'МК Ладыжин-3'!AB17+'МК Староконстантинов'!AB17+'МК Армокаркасы'!AB17+'МК Щедро. Флекситанки'!AB17+'МК ЛифтМаркет'!AB17+'МК Укркотлопром'!AB17+'МК Подгорцы.Забор'!AB17+PL_Металлизация!BP17+'МД Бытовка ИТР Нежин'!AB17+'МК Металургбуд.поддоны'!AB17</f>
        <v>0</v>
      </c>
      <c r="AC17" s="3341">
        <f>PL_ЦО_Производство!AC17+'МД ООН'!AC17+'МК Ладыжин-3'!AC17+'МК Староконстантинов'!AC17+'МК Армокаркасы'!AC17+'МК Щедро. Флекситанки'!AC17+'МК ЛифтМаркет'!AC17+'МК Укркотлопром'!AC17+'МК Подгорцы.Забор'!AC17+PL_Металлизация!BQ17+'МД Бытовка ИТР Нежин'!AC17+'МК Металургбуд.поддоны'!AC17</f>
        <v>0</v>
      </c>
      <c r="AD17" s="3349">
        <f t="shared" si="26"/>
        <v>0</v>
      </c>
      <c r="AE17" s="4697">
        <f t="shared" si="27"/>
        <v>0</v>
      </c>
      <c r="AF17" s="2047"/>
      <c r="AG17" s="2043">
        <f>PL_ЦО_Производство!AG17+'МД ООН'!AG17+'МК Ладыжин-3'!AG17+'МК Староконстантинов'!AG17+'МК Армокаркасы'!AG17+'МК Щедро. Флекситанки'!AG17+'МК ЛифтМаркет'!AG17+'МК Укркотлопром'!AG17+'МК Подгорцы.Забор'!AG17+PL_Металлизация!BU17+'МД Бытовка ИТР Нежин'!AG17+'МК Металургбуд.поддоны'!AG17</f>
        <v>0</v>
      </c>
      <c r="AH17" s="2043">
        <f>PL_ЦО_Производство!AH17+'МД ООН'!AH17+'МК Ладыжин-3'!AH17+'МК Староконстантинов'!AH17+'МК Армокаркасы'!AH17+'МК Щедро. Флекситанки'!AH17+'МК ЛифтМаркет'!AH17+'МК Укркотлопром'!AH17+'МК Подгорцы.Забор'!AH17+PL_Металлизация!BV17+'МД Бытовка ИТР Нежин'!AH17+'МК Металургбуд.поддоны'!AH17</f>
        <v>3000</v>
      </c>
      <c r="AI17" s="2045">
        <f t="shared" si="28"/>
        <v>3000</v>
      </c>
      <c r="AJ17" s="4697">
        <f t="shared" si="42"/>
        <v>1.8704984469682304E-3</v>
      </c>
      <c r="AK17" s="2047"/>
      <c r="AL17" s="3341">
        <f>PL_ЦО_Производство!AL17+'МД ООН'!AL17+'МК Ладыжин-3'!AL17+'МК Староконстантинов'!AL17+'МК Армокаркасы'!AL17+'МК Щедро. Флекситанки'!AL17+'МК ЛифтМаркет'!AL17+'МК Укркотлопром'!AL17+'МК Подгорцы.Забор'!AL17+PL_Металлизация!BZ17+'МД Бытовка ИТР Нежин'!AL17+'МК Металургбуд.поддоны'!AL17+'МК Нежин-3'!AL17</f>
        <v>0</v>
      </c>
      <c r="AM17" s="3341">
        <f>PL_ЦО_Производство!AM17+'МД ООН'!AM17+'МК Ладыжин-3'!AM17+'МК Староконстантинов'!AM17+'МК Армокаркасы'!AM17+'МК Щедро. Флекситанки'!AM17+'МК ЛифтМаркет'!AM17+'МК Укркотлопром'!AM17+'МК Подгорцы.Забор'!AM17+PL_Металлизация!CA17+'МД Бытовка ИТР Нежин'!AM17+'МК Металургбуд.поддоны'!AM17+'МК Нежин-3'!AM17</f>
        <v>0</v>
      </c>
      <c r="AN17" s="3349">
        <f t="shared" si="29"/>
        <v>0</v>
      </c>
      <c r="AO17" s="4697">
        <f t="shared" si="43"/>
        <v>0</v>
      </c>
      <c r="AP17" s="2047"/>
      <c r="AQ17" s="3341">
        <f>PL_ЦО_Производство!AQ17+'МД ООН'!AQ17+'МК Ладыжин-3'!AQ17+'МК Староконстантинов'!AQ17+'МК Армокаркасы'!AQ17+'МК Щедро. Флекситанки'!AQ17+'МК ЛифтМаркет'!AQ17+'МК Укркотлопром'!AQ17+'МК Подгорцы.Забор'!AQ17+PL_Металлизация!CE17+'МД Бытовка ИТР Нежин'!AQ17+'МК Металургбуд.поддоны'!AQ17+'МК Нежин-3'!AQ17</f>
        <v>0</v>
      </c>
      <c r="AR17" s="3341">
        <f>PL_ЦО_Производство!AR17+'МД ООН'!AR17+'МК Ладыжин-3'!AR17+'МК Староконстантинов'!AR17+'МК Армокаркасы'!AR17+'МК Щедро. Флекситанки'!AR17+'МК ЛифтМаркет'!AR17+'МК Укркотлопром'!AR17+'МК Подгорцы.Забор'!AR17+PL_Металлизация!CF17+'МД Бытовка ИТР Нежин'!AR17+'МК Металургбуд.поддоны'!AR17+'МК Нежин-3'!AR17</f>
        <v>0</v>
      </c>
      <c r="AS17" s="3349">
        <f t="shared" si="30"/>
        <v>0</v>
      </c>
      <c r="AT17" s="4697">
        <f t="shared" si="44"/>
        <v>0</v>
      </c>
      <c r="AU17" s="2047"/>
      <c r="AV17" s="3341">
        <f>PL_ЦО_Производство!AV17+'МД ООН'!AV17+'МК Армокаркасы'!AV17+'МК Подгорцы.Забор'!AV17+'МК Нежин-3'!AV17+'МК РДК.Кран'!AV17+'МК Ворота.Запорожье'!AV17+'МД ВООЗ'!AV17+'МД Казарма.Рекламация'!AV17</f>
        <v>0</v>
      </c>
      <c r="AW17" s="3341">
        <f>PL_ЦО_Производство!AW17+'МД ООН'!AW17+'МК Армокаркасы'!AW17+'МК Подгорцы.Забор'!AW17+'МК Нежин-3'!AW17+'МК РДК.Кран'!AW17+'МК Ворота.Запорожье'!AW17+'МД ВООЗ'!AW17+'МД Казарма.Рекламация'!AW17</f>
        <v>0</v>
      </c>
      <c r="AX17" s="3349">
        <f t="shared" si="31"/>
        <v>0</v>
      </c>
      <c r="AY17" s="4697">
        <f t="shared" si="45"/>
        <v>0</v>
      </c>
      <c r="AZ17" s="2047"/>
      <c r="BA17" s="3341">
        <f>PL_ЦО_Производство!BA17+'МД ООН'!BA17+'МК Ладыжин-3'!BA17+'МК Староконстантинов'!BA17+'МК Армокаркасы'!BA17+'МК Щедро. Флекситанки'!BA17+'МК ЛифтМаркет'!BA17+'МК Укркотлопром'!BA17+'МК Подгорцы.Забор'!BA17+PL_Металлизация!CO17+'МД Бытовка ИТР Нежин'!BA17+'МК Металургбуд.поддоны'!BA17+'МК Нежин-3'!BA17+'МК РДК.Кран'!BA17+'МК Ворота.Запорожье'!BA17+'МД ВООЗ'!BA17+'МД Казарма.Рекламация'!BA17</f>
        <v>0</v>
      </c>
      <c r="BB17" s="3341">
        <f>PL_ЦО_Производство!BB17+'МД ООН'!BB17+'МК Ладыжин-3'!BB17+'МК Староконстантинов'!BB17+'МК Армокаркасы'!BB17+'МК Щедро. Флекситанки'!BB17+'МК ЛифтМаркет'!BB17+'МК Укркотлопром'!BB17+'МК Подгорцы.Забор'!BB17+PL_Металлизация!CP17+'МД Бытовка ИТР Нежин'!BB17+'МК Металургбуд.поддоны'!BB17+'МК Нежин-3'!BB17+'МК РДК.Кран'!BB17+'МК Ворота.Запорожье'!BB17+'МД ВООЗ'!BB17+'МД Казарма.Рекламация'!BB17</f>
        <v>0</v>
      </c>
      <c r="BC17" s="3349">
        <f t="shared" si="32"/>
        <v>0</v>
      </c>
      <c r="BD17" s="4697">
        <f t="shared" si="46"/>
        <v>0</v>
      </c>
      <c r="BE17" s="2047"/>
      <c r="BF17" s="3341">
        <f>PL_ЦО_Производство!BF17+'МД ООН'!BF17+'МК Ладыжин-3'!BF17+'МК Староконстантинов'!BF17+'МК Армокаркасы'!BF17+'МК Щедро. Флекситанки'!BF17+'МК ЛифтМаркет'!BF17+'МК Укркотлопром'!BF17+'МК Подгорцы.Забор'!BF17+PL_Металлизация!CT17+'МД Бытовка ИТР Нежин'!BF17+'МК Металургбуд.поддоны'!BF17+'МК Нежин-3'!BF17+'МК РДК.Кран'!BF17+'МК Ворота.Запорожье'!BF17+'МД ВООЗ'!BF17+'МД Казарма.Рекламация'!BF17</f>
        <v>0</v>
      </c>
      <c r="BG17" s="3341">
        <f>PL_ЦО_Производство!BG17+'МД ООН'!BG17+'МК Ладыжин-3'!BG17+'МК Староконстантинов'!BG17+'МК Армокаркасы'!BG17+'МК Щедро. Флекситанки'!BG17+'МК ЛифтМаркет'!BG17+'МК Укркотлопром'!BG17+'МК Подгорцы.Забор'!BG17+PL_Металлизация!CU17+'МД Бытовка ИТР Нежин'!BG17+'МК Металургбуд.поддоны'!BG17+'МК Нежин-3'!BG17+'МК РДК.Кран'!BG17+'МК Ворота.Запорожье'!BG17+'МД ВООЗ'!BG17+'МД Казарма.Рекламация'!BG17</f>
        <v>0</v>
      </c>
      <c r="BH17" s="3349">
        <f t="shared" si="33"/>
        <v>0</v>
      </c>
      <c r="BI17" s="4697" t="e">
        <f t="shared" si="47"/>
        <v>#DIV/0!</v>
      </c>
      <c r="BJ17" s="2047"/>
      <c r="BK17" s="3341">
        <f>PL_ЦО_Производство!BK17+'МД ООН'!BK17+'МК Ладыжин-3'!BK17+'МК Староконстантинов'!BK17+'МК Армокаркасы'!BK17+'МК Щедро. Флекситанки'!BK17+'МК ЛифтМаркет'!BK17+'МК Укркотлопром'!BK17+'МК Подгорцы.Забор'!BK17+PL_Металлизация!CY17+'МД Бытовка ИТР Нежин'!BK17+'МК Металургбуд.поддоны'!BK17+'МК Нежин-3'!BK17+'МК РДК.Кран'!BK17+'МК Ворота.Запорожье'!BK17+'МД ВООЗ'!BK17+'МД Казарма.Рекламация'!BK17</f>
        <v>0</v>
      </c>
      <c r="BL17" s="3341">
        <f>PL_ЦО_Производство!BL17+'МД ООН'!BL17+'МК Ладыжин-3'!BL17+'МК Староконстантинов'!BL17+'МК Армокаркасы'!BL17+'МК Щедро. Флекситанки'!BL17+'МК ЛифтМаркет'!BL17+'МК Укркотлопром'!BL17+'МК Подгорцы.Забор'!BL17+PL_Металлизация!CZ17+'МД Бытовка ИТР Нежин'!BL17+'МК Металургбуд.поддоны'!BL17+'МК Нежин-3'!BL17+'МК РДК.Кран'!BL17+'МК Ворота.Запорожье'!BL17+'МД ВООЗ'!BL17+'МД Казарма.Рекламация'!BL17</f>
        <v>0</v>
      </c>
      <c r="BM17" s="3349">
        <f t="shared" si="34"/>
        <v>0</v>
      </c>
      <c r="BN17" s="4697" t="e">
        <f t="shared" si="48"/>
        <v>#DIV/0!</v>
      </c>
      <c r="BO17" s="2047"/>
      <c r="BP17" s="3341">
        <f>PL_ЦО_Производство!BP17+'МД ООН'!BP17+'МК Ладыжин-3'!BP17+'МК Староконстантинов'!BP17+'МК Армокаркасы'!BP17+'МК Щедро. Флекситанки'!BP17+'МК ЛифтМаркет'!BP17+'МК Укркотлопром'!BP17+'МК Подгорцы.Забор'!BP17+PL_Металлизация!DD17+'МД Бытовка ИТР Нежин'!BP17+'МК Металургбуд.поддоны'!BP17+'МК Нежин-3'!BP17+'МК РДК.Кран'!BP17+'МК Ворота.Запорожье'!BP17+'МД ВООЗ'!BP17+'МД Казарма.Рекламация'!BP17</f>
        <v>0</v>
      </c>
      <c r="BQ17" s="3341">
        <f>PL_ЦО_Производство!BQ17+'МД ООН'!BQ17+'МК Ладыжин-3'!BQ17+'МК Староконстантинов'!BQ17+'МК Армокаркасы'!BQ17+'МК Щедро. Флекситанки'!BQ17+'МК ЛифтМаркет'!BQ17+'МК Укркотлопром'!BQ17+'МК Подгорцы.Забор'!BQ17+PL_Металлизация!DE17+'МД Бытовка ИТР Нежин'!BQ17+'МК Металургбуд.поддоны'!BQ17+'МК Нежин-3'!BQ17+'МК РДК.Кран'!BQ17+'МК Ворота.Запорожье'!BQ17+'МД ВООЗ'!BQ17+'МД Казарма.Рекламация'!BQ17</f>
        <v>0</v>
      </c>
      <c r="BR17" s="3349">
        <f t="shared" si="35"/>
        <v>0</v>
      </c>
      <c r="BS17" s="4697" t="e">
        <f t="shared" si="49"/>
        <v>#DIV/0!</v>
      </c>
      <c r="BT17" s="2047"/>
      <c r="BU17" s="3341">
        <f>PL_ЦО_Производство!BU17+'МД ООН'!BU17+'МК Ладыжин-3'!BU17+'МК Староконстантинов'!BU17+'МК Армокаркасы'!BU17+'МК Щедро. Флекситанки'!BU17+'МК ЛифтМаркет'!BU17+'МК Укркотлопром'!BU17+'МК Подгорцы.Забор'!BU17+PL_Металлизация!DI17+'МД Бытовка ИТР Нежин'!BU17+'МК Металургбуд.поддоны'!BU17+'МК Нежин-3'!BU17+'МК РДК.Кран'!BU17+'МК Ворота.Запорожье'!BU17+'МД ВООЗ'!BU17+'МД Казарма.Рекламация'!BU17</f>
        <v>0</v>
      </c>
      <c r="BV17" s="3341">
        <f>PL_ЦО_Производство!BV17+'МД ООН'!BV17+'МК Ладыжин-3'!BV17+'МК Староконстантинов'!BV17+'МК Армокаркасы'!BV17+'МК Щедро. Флекситанки'!BV17+'МК ЛифтМаркет'!BV17+'МК Укркотлопром'!BV17+'МК Подгорцы.Забор'!BV17+PL_Металлизация!DJ17+'МД Бытовка ИТР Нежин'!BV17+'МК Металургбуд.поддоны'!BV17+'МК Нежин-3'!BV17+'МК РДК.Кран'!BV17+'МК Ворота.Запорожье'!BV17+'МД ВООЗ'!BV17+'МД Казарма.Рекламация'!BV17</f>
        <v>0</v>
      </c>
      <c r="BW17" s="3349">
        <f t="shared" si="36"/>
        <v>0</v>
      </c>
      <c r="BX17" s="4697" t="e">
        <f t="shared" si="50"/>
        <v>#DIV/0!</v>
      </c>
      <c r="BY17" s="2047"/>
      <c r="BZ17" s="3341">
        <f>PL_ЦО_Производство!BZ17+'МД ООН'!BZ17+'МК Ладыжин-3'!BZ17+'МК Староконстантинов'!BZ17+'МК Армокаркасы'!BZ17+'МК Щедро. Флекситанки'!BZ17+'МК ЛифтМаркет'!BZ17+'МК Укркотлопром'!BZ17+'МК Подгорцы.Забор'!BZ17+PL_Металлизация!DN17+'МД Бытовка ИТР Нежин'!BZ17+'МК Металургбуд.поддоны'!BZ17+'МК Нежин-3'!BZ17+'МК РДК.Кран'!BZ17+'МК Ворота.Запорожье'!BZ17+'МД ВООЗ'!BZ17+'МД Казарма.Рекламация'!BZ17</f>
        <v>0</v>
      </c>
      <c r="CA17" s="3341">
        <f>PL_ЦО_Производство!CA17+'МД ООН'!CA17+'МК Ладыжин-3'!CA17+'МК Староконстантинов'!CA17+'МК Армокаркасы'!CA17+'МК Щедро. Флекситанки'!CA17+'МК ЛифтМаркет'!CA17+'МК Укркотлопром'!CA17+'МК Подгорцы.Забор'!CA17+PL_Металлизация!DO17+'МД Бытовка ИТР Нежин'!CA17+'МК Металургбуд.поддоны'!CA17+'МК Нежин-3'!CA17+'МК РДК.Кран'!CA17+'МК Ворота.Запорожье'!CA17+'МД ВООЗ'!CA17+'МД Казарма.Рекламация'!CA17</f>
        <v>0</v>
      </c>
      <c r="CB17" s="3349">
        <f t="shared" si="37"/>
        <v>0</v>
      </c>
      <c r="CC17" s="4697" t="e">
        <f t="shared" si="51"/>
        <v>#DIV/0!</v>
      </c>
      <c r="CD17" s="2047"/>
      <c r="CE17" s="3341">
        <f>PL_ЦО_Производство!CE17+'МД ООН'!CE17+'МК Ладыжин-3'!CE17+'МК Староконстантинов'!CE17+'МК Армокаркасы'!CE17+'МК Щедро. Флекситанки'!CE17+'МК ЛифтМаркет'!CE17+'МК Укркотлопром'!CE17+'МК Подгорцы.Забор'!CE17+PL_Металлизация!DS17+'МД Бытовка ИТР Нежин'!CE17+'МК Металургбуд.поддоны'!CE17+'МК Нежин-3'!CE17+'МК РДК.Кран'!CE17+'МК Ворота.Запорожье'!CE17+'МД ВООЗ'!CE17+'МД Казарма.Рекламация'!CE17</f>
        <v>0</v>
      </c>
      <c r="CF17" s="3341">
        <f>PL_ЦО_Производство!CF17+'МД ООН'!CF17+'МК Ладыжин-3'!CF17+'МК Староконстантинов'!CF17+'МК Армокаркасы'!CF17+'МК Щедро. Флекситанки'!CF17+'МК ЛифтМаркет'!CF17+'МК Укркотлопром'!CF17+'МК Подгорцы.Забор'!CF17+PL_Металлизация!DT17+'МД Бытовка ИТР Нежин'!CF17+'МК Металургбуд.поддоны'!CF17+'МК Нежин-3'!CF17+'МК РДК.Кран'!CF17+'МК Ворота.Запорожье'!CF17+'МД ВООЗ'!CF17+'МД Казарма.Рекламация'!CF17</f>
        <v>0</v>
      </c>
      <c r="CG17" s="3349">
        <f t="shared" si="38"/>
        <v>0</v>
      </c>
      <c r="CH17" s="4697" t="e">
        <f t="shared" si="52"/>
        <v>#DIV/0!</v>
      </c>
      <c r="CI17" s="2047"/>
      <c r="CJ17" s="3341">
        <f t="shared" si="39"/>
        <v>0</v>
      </c>
      <c r="CK17" s="3341">
        <f t="shared" si="39"/>
        <v>128000</v>
      </c>
      <c r="CL17" s="3349">
        <f t="shared" si="53"/>
        <v>128000</v>
      </c>
      <c r="CM17" s="4697">
        <f t="shared" si="40"/>
        <v>2.5120230108297129E-3</v>
      </c>
      <c r="CN17" s="1434"/>
      <c r="CP17" s="4028">
        <f>+'МК Подгорцы.Забор'!AH9</f>
        <v>68150.350000000006</v>
      </c>
      <c r="CQ17" s="4029" t="s">
        <v>1939</v>
      </c>
    </row>
    <row r="18" spans="1:95" s="1396" customFormat="1" ht="13.8" outlineLevel="2">
      <c r="A18" s="1571"/>
      <c r="B18" s="4698" t="s">
        <v>0</v>
      </c>
      <c r="C18" s="3341"/>
      <c r="D18" s="3341"/>
      <c r="E18" s="3349">
        <f t="shared" si="19"/>
        <v>0</v>
      </c>
      <c r="F18" s="4697" t="e">
        <f t="shared" si="16"/>
        <v>#DIV/0!</v>
      </c>
      <c r="G18" s="1055"/>
      <c r="H18" s="3341"/>
      <c r="I18" s="3341"/>
      <c r="J18" s="3349">
        <f t="shared" si="20"/>
        <v>0</v>
      </c>
      <c r="K18" s="4697" t="e">
        <f t="shared" si="41"/>
        <v>#DIV/0!</v>
      </c>
      <c r="L18" s="1055"/>
      <c r="M18" s="3341"/>
      <c r="N18" s="3341"/>
      <c r="O18" s="3349">
        <f t="shared" si="21"/>
        <v>0</v>
      </c>
      <c r="P18" s="4697" t="e">
        <f t="shared" si="22"/>
        <v>#DIV/0!</v>
      </c>
      <c r="Q18" s="1055"/>
      <c r="R18" s="3427">
        <f>PL_Производство!BF18</f>
        <v>18228.2</v>
      </c>
      <c r="S18" s="3427">
        <f>PL_Производство!BG18</f>
        <v>322430</v>
      </c>
      <c r="T18" s="2012">
        <f t="shared" si="23"/>
        <v>340658.2</v>
      </c>
      <c r="U18" s="1055"/>
      <c r="V18" s="1055"/>
      <c r="W18" s="3342">
        <f t="shared" si="24"/>
        <v>2001</v>
      </c>
      <c r="X18" s="3342">
        <f t="shared" si="24"/>
        <v>126600</v>
      </c>
      <c r="Y18" s="2012">
        <f t="shared" si="25"/>
        <v>128601</v>
      </c>
      <c r="Z18" s="1055"/>
      <c r="AA18" s="1055"/>
      <c r="AB18" s="3341">
        <f>PL_ЦО_Производство!AB18+'МД ООН'!AB18+'МК Ладыжин-3'!AB18+'МК Староконстантинов'!AB18+'МК Армокаркасы'!AB18+'МК Щедро. Флекситанки'!AB18+'МК ЛифтМаркет'!AB18+'МК Укркотлопром'!AB18+'МК Подгорцы.Забор'!AB18+PL_Металлизация!BP18+'МД Бытовка ИТР Нежин'!AB18+'МК Металургбуд.поддоны'!AB18</f>
        <v>2001</v>
      </c>
      <c r="AC18" s="3341">
        <f>PL_ЦО_Производство!AC18+'МД ООН'!AC18+'МК Ладыжин-3'!AC18+'МК Староконстантинов'!AC18+'МК Армокаркасы'!AC18+'МК Щедро. Флекситанки'!AC18+'МК ЛифтМаркет'!AC18+'МК Укркотлопром'!AC18+'МК Подгорцы.Забор'!AC18+PL_Металлизация!BQ18+'МД Бытовка ИТР Нежин'!AC18+'МК Металургбуд.поддоны'!AC18</f>
        <v>11600</v>
      </c>
      <c r="AD18" s="3349">
        <f t="shared" si="26"/>
        <v>13601</v>
      </c>
      <c r="AE18" s="4697">
        <f t="shared" si="27"/>
        <v>8.6693936208947255E-3</v>
      </c>
      <c r="AF18" s="1055"/>
      <c r="AG18" s="2043">
        <f>PL_ЦО_Производство!AG18+'МД ООН'!AG18+'МК Ладыжин-3'!AG18+'МК Староконстантинов'!AG18+'МК Армокаркасы'!AG18+'МК Щедро. Флекситанки'!AG18+'МК ЛифтМаркет'!AG18+'МК Укркотлопром'!AG18+'МК Подгорцы.Забор'!AG18+PL_Металлизация!BU18+'МД Бытовка ИТР Нежин'!AG18+'МК Металургбуд.поддоны'!AG18</f>
        <v>0</v>
      </c>
      <c r="AH18" s="2043">
        <f>PL_ЦО_Производство!AH18+'МД ООН'!AH18+'МК Ладыжин-3'!AH18+'МК Староконстантинов'!AH18+'МК Армокаркасы'!AH18+'МК Щедро. Флекситанки'!AH18+'МК ЛифтМаркет'!AH18+'МК Укркотлопром'!AH18+'МК Подгорцы.Забор'!AH18+PL_Металлизация!BV18+'МД Бытовка ИТР Нежин'!AH18+'МК Металургбуд.поддоны'!AH18</f>
        <v>1500</v>
      </c>
      <c r="AI18" s="2045">
        <f t="shared" si="28"/>
        <v>1500</v>
      </c>
      <c r="AJ18" s="4697">
        <f t="shared" si="42"/>
        <v>9.352492234841152E-4</v>
      </c>
      <c r="AK18" s="1055"/>
      <c r="AL18" s="3341">
        <f>PL_ЦО_Производство!AL18+'МД ООН'!AL18+'МК Ладыжин-3'!AL18+'МК Староконстантинов'!AL18+'МК Армокаркасы'!AL18+'МК Щедро. Флекситанки'!AL18+'МК ЛифтМаркет'!AL18+'МК Укркотлопром'!AL18+'МК Подгорцы.Забор'!AL18+PL_Металлизация!BZ18+'МД Бытовка ИТР Нежин'!AL18+'МК Металургбуд.поддоны'!AL18+'МК Нежин-3'!AL18</f>
        <v>0</v>
      </c>
      <c r="AM18" s="3341">
        <f>PL_ЦО_Производство!AM18+'МД ООН'!AM18+'МК Ладыжин-3'!AM18+'МК Староконстантинов'!AM18+'МК Армокаркасы'!AM18+'МК Щедро. Флекситанки'!AM18+'МК ЛифтМаркет'!AM18+'МК Укркотлопром'!AM18+'МК Подгорцы.Забор'!AM18+PL_Металлизация!CA18+'МД Бытовка ИТР Нежин'!AM18+'МК Металургбуд.поддоны'!AM18+'МК Нежин-3'!AM18</f>
        <v>4500</v>
      </c>
      <c r="AN18" s="3349">
        <f t="shared" si="29"/>
        <v>4500</v>
      </c>
      <c r="AO18" s="4697">
        <f t="shared" si="43"/>
        <v>2.1574669041545093E-3</v>
      </c>
      <c r="AP18" s="1055"/>
      <c r="AQ18" s="3341">
        <f>PL_ЦО_Производство!AQ18+'МД ООН'!AQ18+'МК Ладыжин-3'!AQ18+'МК Староконстантинов'!AQ18+'МК Армокаркасы'!AQ18+'МК Щедро. Флекситанки'!AQ18+'МК ЛифтМаркет'!AQ18+'МК Укркотлопром'!AQ18+'МК Подгорцы.Забор'!AQ18+PL_Металлизация!CE18+'МД Бытовка ИТР Нежин'!AQ18+'МК Металургбуд.поддоны'!AQ18+'МК Нежин-3'!AQ18</f>
        <v>0</v>
      </c>
      <c r="AR18" s="3341">
        <f>PL_ЦО_Производство!AR18+'МД ООН'!AR18+'МК Ладыжин-3'!AR18+'МК Староконстантинов'!AR18+'МК Армокаркасы'!AR18+'МК Щедро. Флекситанки'!AR18+'МК ЛифтМаркет'!AR18+'МК Укркотлопром'!AR18+'МК Подгорцы.Забор'!AR18+PL_Металлизация!CF18+'МД Бытовка ИТР Нежин'!AR18+'МК Металургбуд.поддоны'!AR18+'МК Нежин-3'!AR18</f>
        <v>30000</v>
      </c>
      <c r="AS18" s="3349">
        <f t="shared" si="30"/>
        <v>30000</v>
      </c>
      <c r="AT18" s="4697">
        <f t="shared" si="44"/>
        <v>1.9337112761993219E-2</v>
      </c>
      <c r="AU18" s="1055"/>
      <c r="AV18" s="3341">
        <f>PL_ЦО_Производство!AV18+'МД ООН'!AV18+'МК Армокаркасы'!AV18+'МК Подгорцы.Забор'!AV18+'МК Нежин-3'!AV18+'МК РДК.Кран'!AV18+'МК Ворота.Запорожье'!AV18+'МД ВООЗ'!AV18+'МД Казарма.Рекламация'!AV18</f>
        <v>0</v>
      </c>
      <c r="AW18" s="3341">
        <f>PL_ЦО_Производство!AW18+'МД ООН'!AW18+'МК Армокаркасы'!AW18+'МК Подгорцы.Забор'!AW18+'МК Нежин-3'!AW18+'МК РДК.Кран'!AW18+'МК Ворота.Запорожье'!AW18+'МД ВООЗ'!AW18+'МД Казарма.Рекламация'!AW18</f>
        <v>19000</v>
      </c>
      <c r="AX18" s="3349">
        <f t="shared" si="31"/>
        <v>19000</v>
      </c>
      <c r="AY18" s="4697">
        <f t="shared" si="45"/>
        <v>1.4205376697465476E-2</v>
      </c>
      <c r="AZ18" s="1055"/>
      <c r="BA18" s="3341">
        <f>PL_ЦО_Производство!BA18+'МД ООН'!BA18+'МК Ладыжин-3'!BA18+'МК Староконстантинов'!BA18+'МК Армокаркасы'!BA18+'МК Щедро. Флекситанки'!BA18+'МК ЛифтМаркет'!BA18+'МК Укркотлопром'!BA18+'МК Подгорцы.Забор'!BA18+PL_Металлизация!CO18+'МД Бытовка ИТР Нежин'!BA18+'МК Металургбуд.поддоны'!BA18+'МК Нежин-3'!BA18+'МК РДК.Кран'!BA18+'МК Ворота.Запорожье'!BA18+'МД ВООЗ'!BA18+'МД Казарма.Рекламация'!BA18</f>
        <v>0</v>
      </c>
      <c r="BB18" s="3341">
        <f>PL_ЦО_Производство!BB18+'МД ООН'!BB18+'МК Ладыжин-3'!BB18+'МК Староконстантинов'!BB18+'МК Армокаркасы'!BB18+'МК Щедро. Флекситанки'!BB18+'МК ЛифтМаркет'!BB18+'МК Укркотлопром'!BB18+'МК Подгорцы.Забор'!BB18+PL_Металлизация!CP18+'МД Бытовка ИТР Нежин'!BB18+'МК Металургбуд.поддоны'!BB18+'МК Нежин-3'!BB18+'МК РДК.Кран'!BB18+'МК Ворота.Запорожье'!BB18+'МД ВООЗ'!BB18+'МД Казарма.Рекламация'!BB18</f>
        <v>60000</v>
      </c>
      <c r="BC18" s="3349">
        <f t="shared" si="32"/>
        <v>60000</v>
      </c>
      <c r="BD18" s="4697">
        <f t="shared" si="46"/>
        <v>4.5518896511027189E-2</v>
      </c>
      <c r="BE18" s="1055"/>
      <c r="BF18" s="3341">
        <f>PL_ЦО_Производство!BF18+'МД ООН'!BF18+'МК Ладыжин-3'!BF18+'МК Староконстантинов'!BF18+'МК Армокаркасы'!BF18+'МК Щедро. Флекситанки'!BF18+'МК ЛифтМаркет'!BF18+'МК Укркотлопром'!BF18+'МК Подгорцы.Забор'!BF18+PL_Металлизация!CT18+'МД Бытовка ИТР Нежин'!BF18+'МК Металургбуд.поддоны'!BF18+'МК Нежин-3'!BF18+'МК РДК.Кран'!BF18+'МК Ворота.Запорожье'!BF18+'МД ВООЗ'!BF18+'МД Казарма.Рекламация'!BF18</f>
        <v>0</v>
      </c>
      <c r="BG18" s="3341">
        <f>PL_ЦО_Производство!BG18+'МД ООН'!BG18+'МК Ладыжин-3'!BG18+'МК Староконстантинов'!BG18+'МК Армокаркасы'!BG18+'МК Щедро. Флекситанки'!BG18+'МК ЛифтМаркет'!BG18+'МК Укркотлопром'!BG18+'МК Подгорцы.Забор'!BG18+PL_Металлизация!CU18+'МД Бытовка ИТР Нежин'!BG18+'МК Металургбуд.поддоны'!BG18+'МК Нежин-3'!BG18+'МК РДК.Кран'!BG18+'МК Ворота.Запорожье'!BG18+'МД ВООЗ'!BG18+'МД Казарма.Рекламация'!BG18</f>
        <v>0</v>
      </c>
      <c r="BH18" s="3349">
        <f t="shared" si="33"/>
        <v>0</v>
      </c>
      <c r="BI18" s="4697" t="e">
        <f t="shared" si="47"/>
        <v>#DIV/0!</v>
      </c>
      <c r="BJ18" s="1055"/>
      <c r="BK18" s="3341">
        <f>PL_ЦО_Производство!BK18+'МД ООН'!BK18+'МК Ладыжин-3'!BK18+'МК Староконстантинов'!BK18+'МК Армокаркасы'!BK18+'МК Щедро. Флекситанки'!BK18+'МК ЛифтМаркет'!BK18+'МК Укркотлопром'!BK18+'МК Подгорцы.Забор'!BK18+PL_Металлизация!CY18+'МД Бытовка ИТР Нежин'!BK18+'МК Металургбуд.поддоны'!BK18+'МК Нежин-3'!BK18+'МК РДК.Кран'!BK18+'МК Ворота.Запорожье'!BK18+'МД ВООЗ'!BK18+'МД Казарма.Рекламация'!BK18</f>
        <v>0</v>
      </c>
      <c r="BL18" s="3341">
        <f>PL_ЦО_Производство!BL18+'МД ООН'!BL18+'МК Ладыжин-3'!BL18+'МК Староконстантинов'!BL18+'МК Армокаркасы'!BL18+'МК Щедро. Флекситанки'!BL18+'МК ЛифтМаркет'!BL18+'МК Укркотлопром'!BL18+'МК Подгорцы.Забор'!BL18+PL_Металлизация!CZ18+'МД Бытовка ИТР Нежин'!BL18+'МК Металургбуд.поддоны'!BL18+'МК Нежин-3'!BL18+'МК РДК.Кран'!BL18+'МК Ворота.Запорожье'!BL18+'МД ВООЗ'!BL18+'МД Казарма.Рекламация'!BL18</f>
        <v>0</v>
      </c>
      <c r="BM18" s="3349">
        <f t="shared" si="34"/>
        <v>0</v>
      </c>
      <c r="BN18" s="4697" t="e">
        <f t="shared" si="48"/>
        <v>#DIV/0!</v>
      </c>
      <c r="BO18" s="1055"/>
      <c r="BP18" s="3341">
        <f>PL_ЦО_Производство!BP18+'МД ООН'!BP18+'МК Ладыжин-3'!BP18+'МК Староконстантинов'!BP18+'МК Армокаркасы'!BP18+'МК Щедро. Флекситанки'!BP18+'МК ЛифтМаркет'!BP18+'МК Укркотлопром'!BP18+'МК Подгорцы.Забор'!BP18+PL_Металлизация!DD18+'МД Бытовка ИТР Нежин'!BP18+'МК Металургбуд.поддоны'!BP18+'МК Нежин-3'!BP18+'МК РДК.Кран'!BP18+'МК Ворота.Запорожье'!BP18+'МД ВООЗ'!BP18+'МД Казарма.Рекламация'!BP18</f>
        <v>0</v>
      </c>
      <c r="BQ18" s="3341">
        <f>PL_ЦО_Производство!BQ18+'МД ООН'!BQ18+'МК Ладыжин-3'!BQ18+'МК Староконстантинов'!BQ18+'МК Армокаркасы'!BQ18+'МК Щедро. Флекситанки'!BQ18+'МК ЛифтМаркет'!BQ18+'МК Укркотлопром'!BQ18+'МК Подгорцы.Забор'!BQ18+PL_Металлизация!DE18+'МД Бытовка ИТР Нежин'!BQ18+'МК Металургбуд.поддоны'!BQ18+'МК Нежин-3'!BQ18+'МК РДК.Кран'!BQ18+'МК Ворота.Запорожье'!BQ18+'МД ВООЗ'!BQ18+'МД Казарма.Рекламация'!BQ18</f>
        <v>0</v>
      </c>
      <c r="BR18" s="3349">
        <f t="shared" si="35"/>
        <v>0</v>
      </c>
      <c r="BS18" s="4697" t="e">
        <f t="shared" si="49"/>
        <v>#DIV/0!</v>
      </c>
      <c r="BT18" s="1055"/>
      <c r="BU18" s="3341">
        <f>PL_ЦО_Производство!BU18+'МД ООН'!BU18+'МК Ладыжин-3'!BU18+'МК Староконстантинов'!BU18+'МК Армокаркасы'!BU18+'МК Щедро. Флекситанки'!BU18+'МК ЛифтМаркет'!BU18+'МК Укркотлопром'!BU18+'МК Подгорцы.Забор'!BU18+PL_Металлизация!DI18+'МД Бытовка ИТР Нежин'!BU18+'МК Металургбуд.поддоны'!BU18+'МК Нежин-3'!BU18+'МК РДК.Кран'!BU18+'МК Ворота.Запорожье'!BU18+'МД ВООЗ'!BU18+'МД Казарма.Рекламация'!BU18</f>
        <v>0</v>
      </c>
      <c r="BV18" s="3341">
        <f>PL_ЦО_Производство!BV18+'МД ООН'!BV18+'МК Ладыжин-3'!BV18+'МК Староконстантинов'!BV18+'МК Армокаркасы'!BV18+'МК Щедро. Флекситанки'!BV18+'МК ЛифтМаркет'!BV18+'МК Укркотлопром'!BV18+'МК Подгорцы.Забор'!BV18+PL_Металлизация!DJ18+'МД Бытовка ИТР Нежин'!BV18+'МК Металургбуд.поддоны'!BV18+'МК Нежин-3'!BV18+'МК РДК.Кран'!BV18+'МК Ворота.Запорожье'!BV18+'МД ВООЗ'!BV18+'МД Казарма.Рекламация'!BV18</f>
        <v>0</v>
      </c>
      <c r="BW18" s="3349">
        <f t="shared" si="36"/>
        <v>0</v>
      </c>
      <c r="BX18" s="4697" t="e">
        <f t="shared" si="50"/>
        <v>#DIV/0!</v>
      </c>
      <c r="BY18" s="1055"/>
      <c r="BZ18" s="3341">
        <f>PL_ЦО_Производство!BZ18+'МД ООН'!BZ18+'МК Ладыжин-3'!BZ18+'МК Староконстантинов'!BZ18+'МК Армокаркасы'!BZ18+'МК Щедро. Флекситанки'!BZ18+'МК ЛифтМаркет'!BZ18+'МК Укркотлопром'!BZ18+'МК Подгорцы.Забор'!BZ18+PL_Металлизация!DN18+'МД Бытовка ИТР Нежин'!BZ18+'МК Металургбуд.поддоны'!BZ18+'МК Нежин-3'!BZ18+'МК РДК.Кран'!BZ18+'МК Ворота.Запорожье'!BZ18+'МД ВООЗ'!BZ18+'МД Казарма.Рекламация'!BZ18</f>
        <v>0</v>
      </c>
      <c r="CA18" s="3341">
        <f>PL_ЦО_Производство!CA18+'МД ООН'!CA18+'МК Ладыжин-3'!CA18+'МК Староконстантинов'!CA18+'МК Армокаркасы'!CA18+'МК Щедро. Флекситанки'!CA18+'МК ЛифтМаркет'!CA18+'МК Укркотлопром'!CA18+'МК Подгорцы.Забор'!CA18+PL_Металлизация!DO18+'МД Бытовка ИТР Нежин'!CA18+'МК Металургбуд.поддоны'!CA18+'МК Нежин-3'!CA18+'МК РДК.Кран'!CA18+'МК Ворота.Запорожье'!CA18+'МД ВООЗ'!CA18+'МД Казарма.Рекламация'!CA18</f>
        <v>0</v>
      </c>
      <c r="CB18" s="3349">
        <f t="shared" si="37"/>
        <v>0</v>
      </c>
      <c r="CC18" s="4697" t="e">
        <f t="shared" si="51"/>
        <v>#DIV/0!</v>
      </c>
      <c r="CD18" s="1055"/>
      <c r="CE18" s="3341">
        <f>PL_ЦО_Производство!CE18+'МД ООН'!CE18+'МК Ладыжин-3'!CE18+'МК Староконстантинов'!CE18+'МК Армокаркасы'!CE18+'МК Щедро. Флекситанки'!CE18+'МК ЛифтМаркет'!CE18+'МК Укркотлопром'!CE18+'МК Подгорцы.Забор'!CE18+PL_Металлизация!DS18+'МД Бытовка ИТР Нежин'!CE18+'МК Металургбуд.поддоны'!CE18+'МК Нежин-3'!CE18+'МК РДК.Кран'!CE18+'МК Ворота.Запорожье'!CE18+'МД ВООЗ'!CE18+'МД Казарма.Рекламация'!CE18</f>
        <v>0</v>
      </c>
      <c r="CF18" s="3341">
        <f>PL_ЦО_Производство!CF18+'МД ООН'!CF18+'МК Ладыжин-3'!CF18+'МК Староконстантинов'!CF18+'МК Армокаркасы'!CF18+'МК Щедро. Флекситанки'!CF18+'МК ЛифтМаркет'!CF18+'МК Укркотлопром'!CF18+'МК Подгорцы.Забор'!CF18+PL_Металлизация!DT18+'МД Бытовка ИТР Нежин'!CF18+'МК Металургбуд.поддоны'!CF18+'МК Нежин-3'!CF18+'МК РДК.Кран'!CF18+'МК Ворота.Запорожье'!CF18+'МД ВООЗ'!CF18+'МД Казарма.Рекламация'!CF18</f>
        <v>0</v>
      </c>
      <c r="CG18" s="3349">
        <f t="shared" si="38"/>
        <v>0</v>
      </c>
      <c r="CH18" s="4697" t="e">
        <f t="shared" si="52"/>
        <v>#DIV/0!</v>
      </c>
      <c r="CI18" s="1055"/>
      <c r="CJ18" s="3341">
        <f t="shared" si="39"/>
        <v>20229.2</v>
      </c>
      <c r="CK18" s="3341">
        <f t="shared" si="39"/>
        <v>449030</v>
      </c>
      <c r="CL18" s="3349">
        <f t="shared" si="53"/>
        <v>469259.2</v>
      </c>
      <c r="CM18" s="4697">
        <f t="shared" si="40"/>
        <v>9.2092961597151756E-3</v>
      </c>
      <c r="CN18" s="1434"/>
      <c r="CP18" s="4028">
        <f>+PL_Металлизация!BV9</f>
        <v>112800</v>
      </c>
      <c r="CQ18" s="4029" t="s">
        <v>1940</v>
      </c>
    </row>
    <row r="19" spans="1:95" s="1396" customFormat="1" ht="13.8" outlineLevel="2">
      <c r="A19" s="1571"/>
      <c r="B19" s="4698" t="s">
        <v>53</v>
      </c>
      <c r="C19" s="3341"/>
      <c r="D19" s="3341"/>
      <c r="E19" s="3349">
        <f t="shared" si="19"/>
        <v>0</v>
      </c>
      <c r="F19" s="4697" t="e">
        <f t="shared" si="16"/>
        <v>#DIV/0!</v>
      </c>
      <c r="G19" s="1055"/>
      <c r="H19" s="3341"/>
      <c r="I19" s="3341"/>
      <c r="J19" s="3349">
        <f t="shared" si="20"/>
        <v>0</v>
      </c>
      <c r="K19" s="4697" t="e">
        <f t="shared" si="41"/>
        <v>#DIV/0!</v>
      </c>
      <c r="L19" s="1055"/>
      <c r="M19" s="3341"/>
      <c r="N19" s="3341"/>
      <c r="O19" s="3349">
        <f t="shared" si="21"/>
        <v>0</v>
      </c>
      <c r="P19" s="4697" t="e">
        <f t="shared" si="22"/>
        <v>#DIV/0!</v>
      </c>
      <c r="Q19" s="1055"/>
      <c r="R19" s="3427">
        <f>PL_Производство!BF19</f>
        <v>1650</v>
      </c>
      <c r="S19" s="3427">
        <f>PL_Производство!BG19</f>
        <v>0</v>
      </c>
      <c r="T19" s="2012">
        <f t="shared" si="23"/>
        <v>1650</v>
      </c>
      <c r="U19" s="1055"/>
      <c r="V19" s="1055"/>
      <c r="W19" s="3342">
        <f t="shared" si="24"/>
        <v>0</v>
      </c>
      <c r="X19" s="3342">
        <f t="shared" si="24"/>
        <v>0</v>
      </c>
      <c r="Y19" s="2012">
        <f t="shared" si="25"/>
        <v>0</v>
      </c>
      <c r="Z19" s="1055"/>
      <c r="AA19" s="1055"/>
      <c r="AB19" s="3341">
        <f>PL_ЦО_Производство!AB19+'МД ООН'!AB19+'МК Ладыжин-3'!AB19+'МК Староконстантинов'!AB19+'МК Армокаркасы'!AB19+'МК Щедро. Флекситанки'!AB19+'МК ЛифтМаркет'!AB19+'МК Укркотлопром'!AB19+'МК Подгорцы.Забор'!AB19+PL_Металлизация!BP19+'МД Бытовка ИТР Нежин'!AB19+'МК Металургбуд.поддоны'!AB19</f>
        <v>0</v>
      </c>
      <c r="AC19" s="3341">
        <f>PL_ЦО_Производство!AC19+'МД ООН'!AC19+'МК Ладыжин-3'!AC19+'МК Староконстантинов'!AC19+'МК Армокаркасы'!AC19+'МК Щедро. Флекситанки'!AC19+'МК ЛифтМаркет'!AC19+'МК Укркотлопром'!AC19+'МК Подгорцы.Забор'!AC19+PL_Металлизация!BQ19+'МД Бытовка ИТР Нежин'!AC19+'МК Металургбуд.поддоны'!AC19</f>
        <v>0</v>
      </c>
      <c r="AD19" s="3349">
        <f t="shared" si="26"/>
        <v>0</v>
      </c>
      <c r="AE19" s="4697">
        <f t="shared" si="27"/>
        <v>0</v>
      </c>
      <c r="AF19" s="1055"/>
      <c r="AG19" s="2043">
        <f>PL_ЦО_Производство!AG19+'МД ООН'!AG19+'МК Ладыжин-3'!AG19+'МК Староконстантинов'!AG19+'МК Армокаркасы'!AG19+'МК Щедро. Флекситанки'!AG19+'МК ЛифтМаркет'!AG19+'МК Укркотлопром'!AG19+'МК Подгорцы.Забор'!AG19+PL_Металлизация!BU19+'МД Бытовка ИТР Нежин'!AG19+'МК Металургбуд.поддоны'!AG19</f>
        <v>0</v>
      </c>
      <c r="AH19" s="2043">
        <f>PL_ЦО_Производство!AH19+'МД ООН'!AH19+'МК Ладыжин-3'!AH19+'МК Староконстантинов'!AH19+'МК Армокаркасы'!AH19+'МК Щедро. Флекситанки'!AH19+'МК ЛифтМаркет'!AH19+'МК Укркотлопром'!AH19+'МК Подгорцы.Забор'!AH19+PL_Металлизация!BV19+'МД Бытовка ИТР Нежин'!AH19+'МК Металургбуд.поддоны'!AH19</f>
        <v>0</v>
      </c>
      <c r="AI19" s="2045">
        <f t="shared" si="28"/>
        <v>0</v>
      </c>
      <c r="AJ19" s="4697">
        <f t="shared" si="42"/>
        <v>0</v>
      </c>
      <c r="AK19" s="1055"/>
      <c r="AL19" s="3341">
        <f>PL_ЦО_Производство!AL19+'МД ООН'!AL19+'МК Ладыжин-3'!AL19+'МК Староконстантинов'!AL19+'МК Армокаркасы'!AL19+'МК Щедро. Флекситанки'!AL19+'МК ЛифтМаркет'!AL19+'МК Укркотлопром'!AL19+'МК Подгорцы.Забор'!AL19+PL_Металлизация!BZ19+'МД Бытовка ИТР Нежин'!AL19+'МК Металургбуд.поддоны'!AL19+'МК Нежин-3'!AL19</f>
        <v>0</v>
      </c>
      <c r="AM19" s="3341">
        <f>PL_ЦО_Производство!AM19+'МД ООН'!AM19+'МК Ладыжин-3'!AM19+'МК Староконстантинов'!AM19+'МК Армокаркасы'!AM19+'МК Щедро. Флекситанки'!AM19+'МК ЛифтМаркет'!AM19+'МК Укркотлопром'!AM19+'МК Подгорцы.Забор'!AM19+PL_Металлизация!CA19+'МД Бытовка ИТР Нежин'!AM19+'МК Металургбуд.поддоны'!AM19+'МК Нежин-3'!AM19</f>
        <v>0</v>
      </c>
      <c r="AN19" s="3349">
        <f t="shared" si="29"/>
        <v>0</v>
      </c>
      <c r="AO19" s="4697">
        <f t="shared" si="43"/>
        <v>0</v>
      </c>
      <c r="AP19" s="1055"/>
      <c r="AQ19" s="3341">
        <f>PL_ЦО_Производство!AQ19+'МД ООН'!AQ19+'МК Ладыжин-3'!AQ19+'МК Староконстантинов'!AQ19+'МК Армокаркасы'!AQ19+'МК Щедро. Флекситанки'!AQ19+'МК ЛифтМаркет'!AQ19+'МК Укркотлопром'!AQ19+'МК Подгорцы.Забор'!AQ19+PL_Металлизация!CE19+'МД Бытовка ИТР Нежин'!AQ19+'МК Металургбуд.поддоны'!AQ19+'МК Нежин-3'!AQ19</f>
        <v>0</v>
      </c>
      <c r="AR19" s="3341">
        <f>PL_ЦО_Производство!AR19+'МД ООН'!AR19+'МК Ладыжин-3'!AR19+'МК Староконстантинов'!AR19+'МК Армокаркасы'!AR19+'МК Щедро. Флекситанки'!AR19+'МК ЛифтМаркет'!AR19+'МК Укркотлопром'!AR19+'МК Подгорцы.Забор'!AR19+PL_Металлизация!CF19+'МД Бытовка ИТР Нежин'!AR19+'МК Металургбуд.поддоны'!AR19+'МК Нежин-3'!AR19</f>
        <v>0</v>
      </c>
      <c r="AS19" s="3349">
        <f t="shared" si="30"/>
        <v>0</v>
      </c>
      <c r="AT19" s="4697">
        <f t="shared" si="44"/>
        <v>0</v>
      </c>
      <c r="AU19" s="1055"/>
      <c r="AV19" s="3341">
        <f>PL_ЦО_Производство!AV19+'МД ООН'!AV19+'МК Армокаркасы'!AV19+'МК Подгорцы.Забор'!AV19+'МК Нежин-3'!AV19+'МК РДК.Кран'!AV19+'МК Ворота.Запорожье'!AV19+'МД ВООЗ'!AV19+'МД Казарма.Рекламация'!AV19</f>
        <v>0</v>
      </c>
      <c r="AW19" s="3341">
        <f>PL_ЦО_Производство!AW19+'МД ООН'!AW19+'МК Армокаркасы'!AW19+'МК Подгорцы.Забор'!AW19+'МК Нежин-3'!AW19+'МК РДК.Кран'!AW19+'МК Ворота.Запорожье'!AW19+'МД ВООЗ'!AW19+'МД Казарма.Рекламация'!AW19</f>
        <v>0</v>
      </c>
      <c r="AX19" s="3349">
        <f t="shared" si="31"/>
        <v>0</v>
      </c>
      <c r="AY19" s="4697">
        <f t="shared" si="45"/>
        <v>0</v>
      </c>
      <c r="AZ19" s="1055"/>
      <c r="BA19" s="3341">
        <f>PL_ЦО_Производство!BA19+'МД ООН'!BA19+'МК Ладыжин-3'!BA19+'МК Староконстантинов'!BA19+'МК Армокаркасы'!BA19+'МК Щедро. Флекситанки'!BA19+'МК ЛифтМаркет'!BA19+'МК Укркотлопром'!BA19+'МК Подгорцы.Забор'!BA19+PL_Металлизация!CO19+'МД Бытовка ИТР Нежин'!BA19+'МК Металургбуд.поддоны'!BA19+'МК Нежин-3'!BA19+'МК РДК.Кран'!BA19+'МК Ворота.Запорожье'!BA19+'МД ВООЗ'!BA19+'МД Казарма.Рекламация'!BA19</f>
        <v>0</v>
      </c>
      <c r="BB19" s="3341">
        <f>PL_ЦО_Производство!BB19+'МД ООН'!BB19+'МК Ладыжин-3'!BB19+'МК Староконстантинов'!BB19+'МК Армокаркасы'!BB19+'МК Щедро. Флекситанки'!BB19+'МК ЛифтМаркет'!BB19+'МК Укркотлопром'!BB19+'МК Подгорцы.Забор'!BB19+PL_Металлизация!CP19+'МД Бытовка ИТР Нежин'!BB19+'МК Металургбуд.поддоны'!BB19+'МК Нежин-3'!BB19+'МК РДК.Кран'!BB19+'МК Ворота.Запорожье'!BB19+'МД ВООЗ'!BB19+'МД Казарма.Рекламация'!BB19</f>
        <v>0</v>
      </c>
      <c r="BC19" s="3349">
        <f t="shared" si="32"/>
        <v>0</v>
      </c>
      <c r="BD19" s="4697">
        <f t="shared" si="46"/>
        <v>0</v>
      </c>
      <c r="BE19" s="1055"/>
      <c r="BF19" s="3341">
        <f>PL_ЦО_Производство!BF19+'МД ООН'!BF19+'МК Ладыжин-3'!BF19+'МК Староконстантинов'!BF19+'МК Армокаркасы'!BF19+'МК Щедро. Флекситанки'!BF19+'МК ЛифтМаркет'!BF19+'МК Укркотлопром'!BF19+'МК Подгорцы.Забор'!BF19+PL_Металлизация!CT19+'МД Бытовка ИТР Нежин'!BF19+'МК Металургбуд.поддоны'!BF19+'МК Нежин-3'!BF19+'МК РДК.Кран'!BF19+'МК Ворота.Запорожье'!BF19+'МД ВООЗ'!BF19+'МД Казарма.Рекламация'!BF19</f>
        <v>0</v>
      </c>
      <c r="BG19" s="3341">
        <f>PL_ЦО_Производство!BG19+'МД ООН'!BG19+'МК Ладыжин-3'!BG19+'МК Староконстантинов'!BG19+'МК Армокаркасы'!BG19+'МК Щедро. Флекситанки'!BG19+'МК ЛифтМаркет'!BG19+'МК Укркотлопром'!BG19+'МК Подгорцы.Забор'!BG19+PL_Металлизация!CU19+'МД Бытовка ИТР Нежин'!BG19+'МК Металургбуд.поддоны'!BG19+'МК Нежин-3'!BG19+'МК РДК.Кран'!BG19+'МК Ворота.Запорожье'!BG19+'МД ВООЗ'!BG19+'МД Казарма.Рекламация'!BG19</f>
        <v>0</v>
      </c>
      <c r="BH19" s="3349">
        <f t="shared" si="33"/>
        <v>0</v>
      </c>
      <c r="BI19" s="4697" t="e">
        <f t="shared" si="47"/>
        <v>#DIV/0!</v>
      </c>
      <c r="BJ19" s="1055"/>
      <c r="BK19" s="3341">
        <f>PL_ЦО_Производство!BK19+'МД ООН'!BK19+'МК Ладыжин-3'!BK19+'МК Староконстантинов'!BK19+'МК Армокаркасы'!BK19+'МК Щедро. Флекситанки'!BK19+'МК ЛифтМаркет'!BK19+'МК Укркотлопром'!BK19+'МК Подгорцы.Забор'!BK19+PL_Металлизация!CY19+'МД Бытовка ИТР Нежин'!BK19+'МК Металургбуд.поддоны'!BK19+'МК Нежин-3'!BK19+'МК РДК.Кран'!BK19+'МК Ворота.Запорожье'!BK19+'МД ВООЗ'!BK19+'МД Казарма.Рекламация'!BK19</f>
        <v>0</v>
      </c>
      <c r="BL19" s="3341">
        <f>PL_ЦО_Производство!BL19+'МД ООН'!BL19+'МК Ладыжин-3'!BL19+'МК Староконстантинов'!BL19+'МК Армокаркасы'!BL19+'МК Щедро. Флекситанки'!BL19+'МК ЛифтМаркет'!BL19+'МК Укркотлопром'!BL19+'МК Подгорцы.Забор'!BL19+PL_Металлизация!CZ19+'МД Бытовка ИТР Нежин'!BL19+'МК Металургбуд.поддоны'!BL19+'МК Нежин-3'!BL19+'МК РДК.Кран'!BL19+'МК Ворота.Запорожье'!BL19+'МД ВООЗ'!BL19+'МД Казарма.Рекламация'!BL19</f>
        <v>0</v>
      </c>
      <c r="BM19" s="3349">
        <f t="shared" si="34"/>
        <v>0</v>
      </c>
      <c r="BN19" s="4697" t="e">
        <f t="shared" si="48"/>
        <v>#DIV/0!</v>
      </c>
      <c r="BO19" s="1055"/>
      <c r="BP19" s="3341">
        <f>PL_ЦО_Производство!BP19+'МД ООН'!BP19+'МК Ладыжин-3'!BP19+'МК Староконстантинов'!BP19+'МК Армокаркасы'!BP19+'МК Щедро. Флекситанки'!BP19+'МК ЛифтМаркет'!BP19+'МК Укркотлопром'!BP19+'МК Подгорцы.Забор'!BP19+PL_Металлизация!DD19+'МД Бытовка ИТР Нежин'!BP19+'МК Металургбуд.поддоны'!BP19+'МК Нежин-3'!BP19+'МК РДК.Кран'!BP19+'МК Ворота.Запорожье'!BP19+'МД ВООЗ'!BP19+'МД Казарма.Рекламация'!BP19</f>
        <v>0</v>
      </c>
      <c r="BQ19" s="3341">
        <f>PL_ЦО_Производство!BQ19+'МД ООН'!BQ19+'МК Ладыжин-3'!BQ19+'МК Староконстантинов'!BQ19+'МК Армокаркасы'!BQ19+'МК Щедро. Флекситанки'!BQ19+'МК ЛифтМаркет'!BQ19+'МК Укркотлопром'!BQ19+'МК Подгорцы.Забор'!BQ19+PL_Металлизация!DE19+'МД Бытовка ИТР Нежин'!BQ19+'МК Металургбуд.поддоны'!BQ19+'МК Нежин-3'!BQ19+'МК РДК.Кран'!BQ19+'МК Ворота.Запорожье'!BQ19+'МД ВООЗ'!BQ19+'МД Казарма.Рекламация'!BQ19</f>
        <v>0</v>
      </c>
      <c r="BR19" s="3349">
        <f t="shared" si="35"/>
        <v>0</v>
      </c>
      <c r="BS19" s="4697" t="e">
        <f t="shared" si="49"/>
        <v>#DIV/0!</v>
      </c>
      <c r="BT19" s="1055"/>
      <c r="BU19" s="3341">
        <f>PL_ЦО_Производство!BU19+'МД ООН'!BU19+'МК Ладыжин-3'!BU19+'МК Староконстантинов'!BU19+'МК Армокаркасы'!BU19+'МК Щедро. Флекситанки'!BU19+'МК ЛифтМаркет'!BU19+'МК Укркотлопром'!BU19+'МК Подгорцы.Забор'!BU19+PL_Металлизация!DI19+'МД Бытовка ИТР Нежин'!BU19+'МК Металургбуд.поддоны'!BU19+'МК Нежин-3'!BU19+'МК РДК.Кран'!BU19+'МК Ворота.Запорожье'!BU19+'МД ВООЗ'!BU19+'МД Казарма.Рекламация'!BU19</f>
        <v>0</v>
      </c>
      <c r="BV19" s="3341">
        <f>PL_ЦО_Производство!BV19+'МД ООН'!BV19+'МК Ладыжин-3'!BV19+'МК Староконстантинов'!BV19+'МК Армокаркасы'!BV19+'МК Щедро. Флекситанки'!BV19+'МК ЛифтМаркет'!BV19+'МК Укркотлопром'!BV19+'МК Подгорцы.Забор'!BV19+PL_Металлизация!DJ19+'МД Бытовка ИТР Нежин'!BV19+'МК Металургбуд.поддоны'!BV19+'МК Нежин-3'!BV19+'МК РДК.Кран'!BV19+'МК Ворота.Запорожье'!BV19+'МД ВООЗ'!BV19+'МД Казарма.Рекламация'!BV19</f>
        <v>0</v>
      </c>
      <c r="BW19" s="3349">
        <f t="shared" si="36"/>
        <v>0</v>
      </c>
      <c r="BX19" s="4697" t="e">
        <f t="shared" si="50"/>
        <v>#DIV/0!</v>
      </c>
      <c r="BY19" s="1055"/>
      <c r="BZ19" s="3341">
        <f>PL_ЦО_Производство!BZ19+'МД ООН'!BZ19+'МК Ладыжин-3'!BZ19+'МК Староконстантинов'!BZ19+'МК Армокаркасы'!BZ19+'МК Щедро. Флекситанки'!BZ19+'МК ЛифтМаркет'!BZ19+'МК Укркотлопром'!BZ19+'МК Подгорцы.Забор'!BZ19+PL_Металлизация!DN19+'МД Бытовка ИТР Нежин'!BZ19+'МК Металургбуд.поддоны'!BZ19+'МК Нежин-3'!BZ19+'МК РДК.Кран'!BZ19+'МК Ворота.Запорожье'!BZ19+'МД ВООЗ'!BZ19+'МД Казарма.Рекламация'!BZ19</f>
        <v>0</v>
      </c>
      <c r="CA19" s="3341">
        <f>PL_ЦО_Производство!CA19+'МД ООН'!CA19+'МК Ладыжин-3'!CA19+'МК Староконстантинов'!CA19+'МК Армокаркасы'!CA19+'МК Щедро. Флекситанки'!CA19+'МК ЛифтМаркет'!CA19+'МК Укркотлопром'!CA19+'МК Подгорцы.Забор'!CA19+PL_Металлизация!DO19+'МД Бытовка ИТР Нежин'!CA19+'МК Металургбуд.поддоны'!CA19+'МК Нежин-3'!CA19+'МК РДК.Кран'!CA19+'МК Ворота.Запорожье'!CA19+'МД ВООЗ'!CA19+'МД Казарма.Рекламация'!CA19</f>
        <v>0</v>
      </c>
      <c r="CB19" s="3349">
        <f t="shared" si="37"/>
        <v>0</v>
      </c>
      <c r="CC19" s="4697" t="e">
        <f t="shared" si="51"/>
        <v>#DIV/0!</v>
      </c>
      <c r="CD19" s="1055"/>
      <c r="CE19" s="3341">
        <f>PL_ЦО_Производство!CE19+'МД ООН'!CE19+'МК Ладыжин-3'!CE19+'МК Староконстантинов'!CE19+'МК Армокаркасы'!CE19+'МК Щедро. Флекситанки'!CE19+'МК ЛифтМаркет'!CE19+'МК Укркотлопром'!CE19+'МК Подгорцы.Забор'!CE19+PL_Металлизация!DS19+'МД Бытовка ИТР Нежин'!CE19+'МК Металургбуд.поддоны'!CE19+'МК Нежин-3'!CE19+'МК РДК.Кран'!CE19+'МК Ворота.Запорожье'!CE19+'МД ВООЗ'!CE19+'МД Казарма.Рекламация'!CE19</f>
        <v>0</v>
      </c>
      <c r="CF19" s="3341">
        <f>PL_ЦО_Производство!CF19+'МД ООН'!CF19+'МК Ладыжин-3'!CF19+'МК Староконстантинов'!CF19+'МК Армокаркасы'!CF19+'МК Щедро. Флекситанки'!CF19+'МК ЛифтМаркет'!CF19+'МК Укркотлопром'!CF19+'МК Подгорцы.Забор'!CF19+PL_Металлизация!DT19+'МД Бытовка ИТР Нежин'!CF19+'МК Металургбуд.поддоны'!CF19+'МК Нежин-3'!CF19+'МК РДК.Кран'!CF19+'МК Ворота.Запорожье'!CF19+'МД ВООЗ'!CF19+'МД Казарма.Рекламация'!CF19</f>
        <v>0</v>
      </c>
      <c r="CG19" s="3349">
        <f t="shared" si="38"/>
        <v>0</v>
      </c>
      <c r="CH19" s="4697" t="e">
        <f t="shared" si="52"/>
        <v>#DIV/0!</v>
      </c>
      <c r="CI19" s="1055"/>
      <c r="CJ19" s="3341">
        <f t="shared" si="39"/>
        <v>1650</v>
      </c>
      <c r="CK19" s="3341">
        <f t="shared" si="39"/>
        <v>0</v>
      </c>
      <c r="CL19" s="3349">
        <f t="shared" si="53"/>
        <v>1650</v>
      </c>
      <c r="CM19" s="4697">
        <f t="shared" si="40"/>
        <v>3.2381546623976769E-5</v>
      </c>
      <c r="CN19" s="1434"/>
      <c r="CP19" s="4028">
        <f>+'МД Бытовка ИТР Нежин'!AH9</f>
        <v>17951.849999999999</v>
      </c>
      <c r="CQ19" s="4029" t="s">
        <v>1941</v>
      </c>
    </row>
    <row r="20" spans="1:95" s="1396" customFormat="1" ht="13.8" outlineLevel="2">
      <c r="A20" s="1571"/>
      <c r="B20" s="4698" t="s">
        <v>57</v>
      </c>
      <c r="C20" s="3341"/>
      <c r="D20" s="3341"/>
      <c r="E20" s="3349">
        <f t="shared" si="19"/>
        <v>0</v>
      </c>
      <c r="F20" s="4697" t="e">
        <f t="shared" si="16"/>
        <v>#DIV/0!</v>
      </c>
      <c r="G20" s="1055"/>
      <c r="H20" s="3341"/>
      <c r="I20" s="3341"/>
      <c r="J20" s="3349">
        <f t="shared" si="20"/>
        <v>0</v>
      </c>
      <c r="K20" s="4697" t="e">
        <f t="shared" si="41"/>
        <v>#DIV/0!</v>
      </c>
      <c r="L20" s="1055"/>
      <c r="M20" s="3341"/>
      <c r="N20" s="3341"/>
      <c r="O20" s="3349">
        <f t="shared" si="21"/>
        <v>0</v>
      </c>
      <c r="P20" s="4697" t="e">
        <f t="shared" si="22"/>
        <v>#DIV/0!</v>
      </c>
      <c r="Q20" s="1055"/>
      <c r="R20" s="3427">
        <f>PL_Производство!BF20</f>
        <v>0</v>
      </c>
      <c r="S20" s="3427">
        <f>PL_Производство!BG20</f>
        <v>0</v>
      </c>
      <c r="T20" s="2012">
        <f t="shared" si="23"/>
        <v>0</v>
      </c>
      <c r="U20" s="1055"/>
      <c r="V20" s="1055"/>
      <c r="W20" s="3342">
        <f t="shared" si="24"/>
        <v>0</v>
      </c>
      <c r="X20" s="3342">
        <f t="shared" si="24"/>
        <v>0</v>
      </c>
      <c r="Y20" s="2012">
        <f t="shared" si="25"/>
        <v>0</v>
      </c>
      <c r="Z20" s="1055"/>
      <c r="AA20" s="1055"/>
      <c r="AB20" s="3341">
        <f>PL_ЦО_Производство!AB20+'МД ООН'!AB20+'МК Ладыжин-3'!AB20+'МК Староконстантинов'!AB20+'МК Армокаркасы'!AB20+'МК Щедро. Флекситанки'!AB20+'МК ЛифтМаркет'!AB20+'МК Укркотлопром'!AB20+'МК Подгорцы.Забор'!AB20+PL_Металлизация!BP20+'МД Бытовка ИТР Нежин'!AB20+'МК Металургбуд.поддоны'!AB20</f>
        <v>0</v>
      </c>
      <c r="AC20" s="3341">
        <f>PL_ЦО_Производство!AC20+'МД ООН'!AC20+'МК Ладыжин-3'!AC20+'МК Староконстантинов'!AC20+'МК Армокаркасы'!AC20+'МК Щедро. Флекситанки'!AC20+'МК ЛифтМаркет'!AC20+'МК Укркотлопром'!AC20+'МК Подгорцы.Забор'!AC20+PL_Металлизация!BQ20+'МД Бытовка ИТР Нежин'!AC20+'МК Металургбуд.поддоны'!AC20</f>
        <v>0</v>
      </c>
      <c r="AD20" s="3349">
        <f t="shared" si="26"/>
        <v>0</v>
      </c>
      <c r="AE20" s="4697">
        <f t="shared" si="27"/>
        <v>0</v>
      </c>
      <c r="AF20" s="1055"/>
      <c r="AG20" s="3341">
        <f>PL_ЦО_Производство!AG20+'МД ООН'!AG20+'МК Ладыжин-3'!AG20+'МК Староконстантинов'!AG20+'МК Армокаркасы'!AG20+'МК Щедро. Флекситанки'!AG20+'МК ЛифтМаркет'!AG20+'МК Укркотлопром'!AG20+'МК Подгорцы.Забор'!AG20+PL_Металлизация!BU20+'МД Бытовка ИТР Нежин'!AG20+'МК Металургбуд.поддоны'!AG20</f>
        <v>0</v>
      </c>
      <c r="AH20" s="3341">
        <f>PL_ЦО_Производство!AH20+'МД ООН'!AH20+'МК Ладыжин-3'!AH20+'МК Староконстантинов'!AH20+'МК Армокаркасы'!AH20+'МК Щедро. Флекситанки'!AH20+'МК ЛифтМаркет'!AH20+'МК Укркотлопром'!AH20+'МК Подгорцы.Забор'!AH20+PL_Металлизация!BV20+'МД Бытовка ИТР Нежин'!AH20+'МК Металургбуд.поддоны'!AH20</f>
        <v>0</v>
      </c>
      <c r="AI20" s="3349">
        <f t="shared" si="28"/>
        <v>0</v>
      </c>
      <c r="AJ20" s="4697">
        <f t="shared" si="42"/>
        <v>0</v>
      </c>
      <c r="AK20" s="1055"/>
      <c r="AL20" s="3341">
        <f>PL_ЦО_Производство!AL20+'МД ООН'!AL20+'МК Ладыжин-3'!AL20+'МК Староконстантинов'!AL20+'МК Армокаркасы'!AL20+'МК Щедро. Флекситанки'!AL20+'МК ЛифтМаркет'!AL20+'МК Укркотлопром'!AL20+'МК Подгорцы.Забор'!AL20+PL_Металлизация!BZ20+'МД Бытовка ИТР Нежин'!AL20+'МК Металургбуд.поддоны'!AL20+'МК Нежин-3'!AL20</f>
        <v>0</v>
      </c>
      <c r="AM20" s="3341">
        <f>PL_ЦО_Производство!AM20+'МД ООН'!AM20+'МК Ладыжин-3'!AM20+'МК Староконстантинов'!AM20+'МК Армокаркасы'!AM20+'МК Щедро. Флекситанки'!AM20+'МК ЛифтМаркет'!AM20+'МК Укркотлопром'!AM20+'МК Подгорцы.Забор'!AM20+PL_Металлизация!CA20+'МД Бытовка ИТР Нежин'!AM20+'МК Металургбуд.поддоны'!AM20+'МК Нежин-3'!AM20</f>
        <v>0</v>
      </c>
      <c r="AN20" s="3349">
        <f t="shared" si="29"/>
        <v>0</v>
      </c>
      <c r="AO20" s="4697">
        <f t="shared" si="43"/>
        <v>0</v>
      </c>
      <c r="AP20" s="1055"/>
      <c r="AQ20" s="3341">
        <f>PL_ЦО_Производство!AQ20+'МД ООН'!AQ20+'МК Ладыжин-3'!AQ20+'МК Староконстантинов'!AQ20+'МК Армокаркасы'!AQ20+'МК Щедро. Флекситанки'!AQ20+'МК ЛифтМаркет'!AQ20+'МК Укркотлопром'!AQ20+'МК Подгорцы.Забор'!AQ20+PL_Металлизация!CE20+'МД Бытовка ИТР Нежин'!AQ20+'МК Металургбуд.поддоны'!AQ20+'МК Нежин-3'!AQ20</f>
        <v>0</v>
      </c>
      <c r="AR20" s="3341">
        <f>PL_ЦО_Производство!AR20+'МД ООН'!AR20+'МК Ладыжин-3'!AR20+'МК Староконстантинов'!AR20+'МК Армокаркасы'!AR20+'МК Щедро. Флекситанки'!AR20+'МК ЛифтМаркет'!AR20+'МК Укркотлопром'!AR20+'МК Подгорцы.Забор'!AR20+PL_Металлизация!CF20+'МД Бытовка ИТР Нежин'!AR20+'МК Металургбуд.поддоны'!AR20+'МК Нежин-3'!AR20</f>
        <v>0</v>
      </c>
      <c r="AS20" s="3349">
        <f t="shared" si="30"/>
        <v>0</v>
      </c>
      <c r="AT20" s="4697">
        <f t="shared" si="44"/>
        <v>0</v>
      </c>
      <c r="AU20" s="1055"/>
      <c r="AV20" s="3341">
        <f>PL_ЦО_Производство!AV20+'МД ООН'!AV20+'МК Армокаркасы'!AV20+'МК Подгорцы.Забор'!AV20+'МК Нежин-3'!AV20+'МК РДК.Кран'!AV20+'МК Ворота.Запорожье'!AV20+'МД ВООЗ'!AV20+'МД Казарма.Рекламация'!AV20</f>
        <v>0</v>
      </c>
      <c r="AW20" s="3341">
        <f>PL_ЦО_Производство!AW20+'МД ООН'!AW20+'МК Армокаркасы'!AW20+'МК Подгорцы.Забор'!AW20+'МК Нежин-3'!AW20+'МК РДК.Кран'!AW20+'МК Ворота.Запорожье'!AW20+'МД ВООЗ'!AW20+'МД Казарма.Рекламация'!AW20</f>
        <v>0</v>
      </c>
      <c r="AX20" s="3349">
        <f t="shared" si="31"/>
        <v>0</v>
      </c>
      <c r="AY20" s="4697">
        <f t="shared" si="45"/>
        <v>0</v>
      </c>
      <c r="AZ20" s="1055"/>
      <c r="BA20" s="3341">
        <f>PL_ЦО_Производство!BA20+'МД ООН'!BA20+'МК Ладыжин-3'!BA20+'МК Староконстантинов'!BA20+'МК Армокаркасы'!BA20+'МК Щедро. Флекситанки'!BA20+'МК ЛифтМаркет'!BA20+'МК Укркотлопром'!BA20+'МК Подгорцы.Забор'!BA20+PL_Металлизация!CO20+'МД Бытовка ИТР Нежин'!BA20+'МК Металургбуд.поддоны'!BA20+'МК Нежин-3'!BA20+'МК РДК.Кран'!BA20+'МК Ворота.Запорожье'!BA20+'МД ВООЗ'!BA20+'МД Казарма.Рекламация'!BA20</f>
        <v>0</v>
      </c>
      <c r="BB20" s="3341">
        <f>PL_ЦО_Производство!BB20+'МД ООН'!BB20+'МК Ладыжин-3'!BB20+'МК Староконстантинов'!BB20+'МК Армокаркасы'!BB20+'МК Щедро. Флекситанки'!BB20+'МК ЛифтМаркет'!BB20+'МК Укркотлопром'!BB20+'МК Подгорцы.Забор'!BB20+PL_Металлизация!CP20+'МД Бытовка ИТР Нежин'!BB20+'МК Металургбуд.поддоны'!BB20+'МК Нежин-3'!BB20+'МК РДК.Кран'!BB20+'МК Ворота.Запорожье'!BB20+'МД ВООЗ'!BB20+'МД Казарма.Рекламация'!BB20</f>
        <v>0</v>
      </c>
      <c r="BC20" s="3349">
        <f t="shared" si="32"/>
        <v>0</v>
      </c>
      <c r="BD20" s="4697">
        <f t="shared" si="46"/>
        <v>0</v>
      </c>
      <c r="BE20" s="1055"/>
      <c r="BF20" s="3341">
        <f>PL_ЦО_Производство!BF20+'МД ООН'!BF20+'МК Ладыжин-3'!BF20+'МК Староконстантинов'!BF20+'МК Армокаркасы'!BF20+'МК Щедро. Флекситанки'!BF20+'МК ЛифтМаркет'!BF20+'МК Укркотлопром'!BF20+'МК Подгорцы.Забор'!BF20+PL_Металлизация!CT20+'МД Бытовка ИТР Нежин'!BF20+'МК Металургбуд.поддоны'!BF20+'МК Нежин-3'!BF20+'МК РДК.Кран'!BF20+'МК Ворота.Запорожье'!BF20+'МД ВООЗ'!BF20+'МД Казарма.Рекламация'!BF20</f>
        <v>0</v>
      </c>
      <c r="BG20" s="3341">
        <f>PL_ЦО_Производство!BG20+'МД ООН'!BG20+'МК Ладыжин-3'!BG20+'МК Староконстантинов'!BG20+'МК Армокаркасы'!BG20+'МК Щедро. Флекситанки'!BG20+'МК ЛифтМаркет'!BG20+'МК Укркотлопром'!BG20+'МК Подгорцы.Забор'!BG20+PL_Металлизация!CU20+'МД Бытовка ИТР Нежин'!BG20+'МК Металургбуд.поддоны'!BG20+'МК Нежин-3'!BG20+'МК РДК.Кран'!BG20+'МК Ворота.Запорожье'!BG20+'МД ВООЗ'!BG20+'МД Казарма.Рекламация'!BG20</f>
        <v>0</v>
      </c>
      <c r="BH20" s="3349">
        <f t="shared" si="33"/>
        <v>0</v>
      </c>
      <c r="BI20" s="4697" t="e">
        <f t="shared" si="47"/>
        <v>#DIV/0!</v>
      </c>
      <c r="BJ20" s="1055"/>
      <c r="BK20" s="3341">
        <f>PL_ЦО_Производство!BK20+'МД ООН'!BK20+'МК Ладыжин-3'!BK20+'МК Староконстантинов'!BK20+'МК Армокаркасы'!BK20+'МК Щедро. Флекситанки'!BK20+'МК ЛифтМаркет'!BK20+'МК Укркотлопром'!BK20+'МК Подгорцы.Забор'!BK20+PL_Металлизация!CY20+'МД Бытовка ИТР Нежин'!BK20+'МК Металургбуд.поддоны'!BK20+'МК Нежин-3'!BK20+'МК РДК.Кран'!BK20+'МК Ворота.Запорожье'!BK20+'МД ВООЗ'!BK20+'МД Казарма.Рекламация'!BK20</f>
        <v>0</v>
      </c>
      <c r="BL20" s="3341">
        <f>PL_ЦО_Производство!BL20+'МД ООН'!BL20+'МК Ладыжин-3'!BL20+'МК Староконстантинов'!BL20+'МК Армокаркасы'!BL20+'МК Щедро. Флекситанки'!BL20+'МК ЛифтМаркет'!BL20+'МК Укркотлопром'!BL20+'МК Подгорцы.Забор'!BL20+PL_Металлизация!CZ20+'МД Бытовка ИТР Нежин'!BL20+'МК Металургбуд.поддоны'!BL20+'МК Нежин-3'!BL20+'МК РДК.Кран'!BL20+'МК Ворота.Запорожье'!BL20+'МД ВООЗ'!BL20+'МД Казарма.Рекламация'!BL20</f>
        <v>0</v>
      </c>
      <c r="BM20" s="3349">
        <f t="shared" si="34"/>
        <v>0</v>
      </c>
      <c r="BN20" s="4697" t="e">
        <f t="shared" si="48"/>
        <v>#DIV/0!</v>
      </c>
      <c r="BO20" s="1055"/>
      <c r="BP20" s="3341">
        <f>PL_ЦО_Производство!BP20+'МД ООН'!BP20+'МК Ладыжин-3'!BP20+'МК Староконстантинов'!BP20+'МК Армокаркасы'!BP20+'МК Щедро. Флекситанки'!BP20+'МК ЛифтМаркет'!BP20+'МК Укркотлопром'!BP20+'МК Подгорцы.Забор'!BP20+PL_Металлизация!DD20+'МД Бытовка ИТР Нежин'!BP20+'МК Металургбуд.поддоны'!BP20+'МК Нежин-3'!BP20+'МК РДК.Кран'!BP20+'МК Ворота.Запорожье'!BP20+'МД ВООЗ'!BP20+'МД Казарма.Рекламация'!BP20</f>
        <v>0</v>
      </c>
      <c r="BQ20" s="3341">
        <f>PL_ЦО_Производство!BQ20+'МД ООН'!BQ20+'МК Ладыжин-3'!BQ20+'МК Староконстантинов'!BQ20+'МК Армокаркасы'!BQ20+'МК Щедро. Флекситанки'!BQ20+'МК ЛифтМаркет'!BQ20+'МК Укркотлопром'!BQ20+'МК Подгорцы.Забор'!BQ20+PL_Металлизация!DE20+'МД Бытовка ИТР Нежин'!BQ20+'МК Металургбуд.поддоны'!BQ20+'МК Нежин-3'!BQ20+'МК РДК.Кран'!BQ20+'МК Ворота.Запорожье'!BQ20+'МД ВООЗ'!BQ20+'МД Казарма.Рекламация'!BQ20</f>
        <v>0</v>
      </c>
      <c r="BR20" s="3349">
        <f t="shared" si="35"/>
        <v>0</v>
      </c>
      <c r="BS20" s="4697" t="e">
        <f t="shared" si="49"/>
        <v>#DIV/0!</v>
      </c>
      <c r="BT20" s="1055"/>
      <c r="BU20" s="3341">
        <f>PL_ЦО_Производство!BU20+'МД ООН'!BU20+'МК Ладыжин-3'!BU20+'МК Староконстантинов'!BU20+'МК Армокаркасы'!BU20+'МК Щедро. Флекситанки'!BU20+'МК ЛифтМаркет'!BU20+'МК Укркотлопром'!BU20+'МК Подгорцы.Забор'!BU20+PL_Металлизация!DI20+'МД Бытовка ИТР Нежин'!BU20+'МК Металургбуд.поддоны'!BU20+'МК Нежин-3'!BU20+'МК РДК.Кран'!BU20+'МК Ворота.Запорожье'!BU20+'МД ВООЗ'!BU20+'МД Казарма.Рекламация'!BU20</f>
        <v>0</v>
      </c>
      <c r="BV20" s="3341">
        <f>PL_ЦО_Производство!BV20+'МД ООН'!BV20+'МК Ладыжин-3'!BV20+'МК Староконстантинов'!BV20+'МК Армокаркасы'!BV20+'МК Щедро. Флекситанки'!BV20+'МК ЛифтМаркет'!BV20+'МК Укркотлопром'!BV20+'МК Подгорцы.Забор'!BV20+PL_Металлизация!DJ20+'МД Бытовка ИТР Нежин'!BV20+'МК Металургбуд.поддоны'!BV20+'МК Нежин-3'!BV20+'МК РДК.Кран'!BV20+'МК Ворота.Запорожье'!BV20+'МД ВООЗ'!BV20+'МД Казарма.Рекламация'!BV20</f>
        <v>0</v>
      </c>
      <c r="BW20" s="3349">
        <f t="shared" si="36"/>
        <v>0</v>
      </c>
      <c r="BX20" s="4697" t="e">
        <f t="shared" si="50"/>
        <v>#DIV/0!</v>
      </c>
      <c r="BY20" s="1055"/>
      <c r="BZ20" s="3341">
        <f>PL_ЦО_Производство!BZ20+'МД ООН'!BZ20+'МК Ладыжин-3'!BZ20+'МК Староконстантинов'!BZ20+'МК Армокаркасы'!BZ20+'МК Щедро. Флекситанки'!BZ20+'МК ЛифтМаркет'!BZ20+'МК Укркотлопром'!BZ20+'МК Подгорцы.Забор'!BZ20+PL_Металлизация!DN20+'МД Бытовка ИТР Нежин'!BZ20+'МК Металургбуд.поддоны'!BZ20+'МК Нежин-3'!BZ20+'МК РДК.Кран'!BZ20+'МК Ворота.Запорожье'!BZ20+'МД ВООЗ'!BZ20+'МД Казарма.Рекламация'!BZ20</f>
        <v>0</v>
      </c>
      <c r="CA20" s="3341">
        <f>PL_ЦО_Производство!CA20+'МД ООН'!CA20+'МК Ладыжин-3'!CA20+'МК Староконстантинов'!CA20+'МК Армокаркасы'!CA20+'МК Щедро. Флекситанки'!CA20+'МК ЛифтМаркет'!CA20+'МК Укркотлопром'!CA20+'МК Подгорцы.Забор'!CA20+PL_Металлизация!DO20+'МД Бытовка ИТР Нежин'!CA20+'МК Металургбуд.поддоны'!CA20+'МК Нежин-3'!CA20+'МК РДК.Кран'!CA20+'МК Ворота.Запорожье'!CA20+'МД ВООЗ'!CA20+'МД Казарма.Рекламация'!CA20</f>
        <v>0</v>
      </c>
      <c r="CB20" s="3349">
        <f t="shared" si="37"/>
        <v>0</v>
      </c>
      <c r="CC20" s="4697" t="e">
        <f t="shared" si="51"/>
        <v>#DIV/0!</v>
      </c>
      <c r="CD20" s="1055"/>
      <c r="CE20" s="3341">
        <f>PL_ЦО_Производство!CE20+'МД ООН'!CE20+'МК Ладыжин-3'!CE20+'МК Староконстантинов'!CE20+'МК Армокаркасы'!CE20+'МК Щедро. Флекситанки'!CE20+'МК ЛифтМаркет'!CE20+'МК Укркотлопром'!CE20+'МК Подгорцы.Забор'!CE20+PL_Металлизация!DS20+'МД Бытовка ИТР Нежин'!CE20+'МК Металургбуд.поддоны'!CE20+'МК Нежин-3'!CE20+'МК РДК.Кран'!CE20+'МК Ворота.Запорожье'!CE20+'МД ВООЗ'!CE20+'МД Казарма.Рекламация'!CE20</f>
        <v>0</v>
      </c>
      <c r="CF20" s="3341">
        <f>PL_ЦО_Производство!CF20+'МД ООН'!CF20+'МК Ладыжин-3'!CF20+'МК Староконстантинов'!CF20+'МК Армокаркасы'!CF20+'МК Щедро. Флекситанки'!CF20+'МК ЛифтМаркет'!CF20+'МК Укркотлопром'!CF20+'МК Подгорцы.Забор'!CF20+PL_Металлизация!DT20+'МД Бытовка ИТР Нежин'!CF20+'МК Металургбуд.поддоны'!CF20+'МК Нежин-3'!CF20+'МК РДК.Кран'!CF20+'МК Ворота.Запорожье'!CF20+'МД ВООЗ'!CF20+'МД Казарма.Рекламация'!CF20</f>
        <v>0</v>
      </c>
      <c r="CG20" s="3349">
        <f t="shared" si="38"/>
        <v>0</v>
      </c>
      <c r="CH20" s="4697" t="e">
        <f t="shared" si="52"/>
        <v>#DIV/0!</v>
      </c>
      <c r="CI20" s="1055"/>
      <c r="CJ20" s="3341">
        <f t="shared" si="39"/>
        <v>0</v>
      </c>
      <c r="CK20" s="3341">
        <f t="shared" si="39"/>
        <v>0</v>
      </c>
      <c r="CL20" s="3349">
        <f t="shared" si="53"/>
        <v>0</v>
      </c>
      <c r="CM20" s="4697">
        <f t="shared" si="40"/>
        <v>0</v>
      </c>
      <c r="CN20" s="1434"/>
      <c r="CP20" s="4028">
        <f>+'МК Металургбуд.поддоны'!AH9</f>
        <v>107188.96</v>
      </c>
      <c r="CQ20" s="4029" t="s">
        <v>1942</v>
      </c>
    </row>
    <row r="21" spans="1:95" s="1396" customFormat="1" ht="13.8" outlineLevel="2">
      <c r="A21" s="1571"/>
      <c r="B21" s="4698" t="s">
        <v>58</v>
      </c>
      <c r="C21" s="3341"/>
      <c r="D21" s="3341"/>
      <c r="E21" s="3349">
        <f t="shared" si="19"/>
        <v>0</v>
      </c>
      <c r="F21" s="4697" t="e">
        <f t="shared" si="16"/>
        <v>#DIV/0!</v>
      </c>
      <c r="G21" s="1615"/>
      <c r="H21" s="3341"/>
      <c r="I21" s="3341"/>
      <c r="J21" s="3349">
        <f t="shared" si="20"/>
        <v>0</v>
      </c>
      <c r="K21" s="4697" t="e">
        <f t="shared" si="41"/>
        <v>#DIV/0!</v>
      </c>
      <c r="L21" s="1615"/>
      <c r="M21" s="3341"/>
      <c r="N21" s="3341"/>
      <c r="O21" s="3349">
        <f t="shared" si="21"/>
        <v>0</v>
      </c>
      <c r="P21" s="4697" t="e">
        <f t="shared" si="22"/>
        <v>#DIV/0!</v>
      </c>
      <c r="Q21" s="1615"/>
      <c r="R21" s="3427">
        <f>PL_Производство!BF21</f>
        <v>466694.50400000002</v>
      </c>
      <c r="S21" s="3427">
        <f>PL_Производство!BG21</f>
        <v>6951.21</v>
      </c>
      <c r="T21" s="2012">
        <f t="shared" si="23"/>
        <v>473645.71400000004</v>
      </c>
      <c r="U21" s="1615"/>
      <c r="V21" s="1615"/>
      <c r="W21" s="3342">
        <f t="shared" si="24"/>
        <v>0</v>
      </c>
      <c r="X21" s="3342">
        <f t="shared" si="24"/>
        <v>0</v>
      </c>
      <c r="Y21" s="2012">
        <f t="shared" si="25"/>
        <v>0</v>
      </c>
      <c r="Z21" s="1615"/>
      <c r="AA21" s="1615"/>
      <c r="AB21" s="3341">
        <f>PL_ЦО_Производство!AB21+'МД ООН'!AB21+'МК Ладыжин-3'!AB21+'МК Староконстантинов'!AB21+'МК Армокаркасы'!AB21+'МК Щедро. Флекситанки'!AB21+'МК ЛифтМаркет'!AB21+'МК Укркотлопром'!AB21+'МК Подгорцы.Забор'!AB21+PL_Металлизация!BP21+'МД Бытовка ИТР Нежин'!AB21+'МК Металургбуд.поддоны'!AB21</f>
        <v>0</v>
      </c>
      <c r="AC21" s="3341">
        <f>PL_ЦО_Производство!AC21+'МД ООН'!AC21+'МК Ладыжин-3'!AC21+'МК Староконстантинов'!AC21+'МК Армокаркасы'!AC21+'МК Щедро. Флекситанки'!AC21+'МК ЛифтМаркет'!AC21+'МК Укркотлопром'!AC21+'МК Подгорцы.Забор'!AC21+PL_Металлизация!BQ21+'МД Бытовка ИТР Нежин'!AC21+'МК Металургбуд.поддоны'!AC21</f>
        <v>0</v>
      </c>
      <c r="AD21" s="3349">
        <f t="shared" si="26"/>
        <v>0</v>
      </c>
      <c r="AE21" s="4697">
        <f t="shared" si="27"/>
        <v>0</v>
      </c>
      <c r="AF21" s="1615"/>
      <c r="AG21" s="3341">
        <f>PL_ЦО_Производство!AG21+'МД ООН'!AG21+'МК Ладыжин-3'!AG21+'МК Староконстантинов'!AG21+'МК Армокаркасы'!AG21+'МК Щедро. Флекситанки'!AG21+'МК ЛифтМаркет'!AG21+'МК Укркотлопром'!AG21+'МК Подгорцы.Забор'!AG21+PL_Металлизация!BU21+'МД Бытовка ИТР Нежин'!AG21+'МК Металургбуд.поддоны'!AG21</f>
        <v>0</v>
      </c>
      <c r="AH21" s="3341">
        <f>PL_ЦО_Производство!AH21+'МД ООН'!AH21+'МК Ладыжин-3'!AH21+'МК Староконстантинов'!AH21+'МК Армокаркасы'!AH21+'МК Щедро. Флекситанки'!AH21+'МК ЛифтМаркет'!AH21+'МК Укркотлопром'!AH21+'МК Подгорцы.Забор'!AH21+PL_Металлизация!BV21+'МД Бытовка ИТР Нежин'!AH21+'МК Металургбуд.поддоны'!AH21</f>
        <v>0</v>
      </c>
      <c r="AI21" s="3349">
        <f t="shared" si="28"/>
        <v>0</v>
      </c>
      <c r="AJ21" s="4697">
        <f t="shared" si="42"/>
        <v>0</v>
      </c>
      <c r="AK21" s="1615"/>
      <c r="AL21" s="3341">
        <f>PL_ЦО_Производство!AL21+'МД ООН'!AL21+'МК Ладыжин-3'!AL21+'МК Староконстантинов'!AL21+'МК Армокаркасы'!AL21+'МК Щедро. Флекситанки'!AL21+'МК ЛифтМаркет'!AL21+'МК Укркотлопром'!AL21+'МК Подгорцы.Забор'!AL21+PL_Металлизация!BZ21+'МД Бытовка ИТР Нежин'!AL21+'МК Металургбуд.поддоны'!AL21+'МК Нежин-3'!AL21</f>
        <v>0</v>
      </c>
      <c r="AM21" s="3341">
        <f>PL_ЦО_Производство!AM21+'МД ООН'!AM21+'МК Ладыжин-3'!AM21+'МК Староконстантинов'!AM21+'МК Армокаркасы'!AM21+'МК Щедро. Флекситанки'!AM21+'МК ЛифтМаркет'!AM21+'МК Укркотлопром'!AM21+'МК Подгорцы.Забор'!AM21+PL_Металлизация!CA21+'МД Бытовка ИТР Нежин'!AM21+'МК Металургбуд.поддоны'!AM21+'МК Нежин-3'!AM21</f>
        <v>0</v>
      </c>
      <c r="AN21" s="3349">
        <f t="shared" si="29"/>
        <v>0</v>
      </c>
      <c r="AO21" s="4697">
        <f t="shared" si="43"/>
        <v>0</v>
      </c>
      <c r="AP21" s="1615"/>
      <c r="AQ21" s="3341">
        <f>PL_ЦО_Производство!AQ21+'МД ООН'!AQ21+'МК Ладыжин-3'!AQ21+'МК Староконстантинов'!AQ21+'МК Армокаркасы'!AQ21+'МК Щедро. Флекситанки'!AQ21+'МК ЛифтМаркет'!AQ21+'МК Укркотлопром'!AQ21+'МК Подгорцы.Забор'!AQ21+PL_Металлизация!CE21+'МД Бытовка ИТР Нежин'!AQ21+'МК Металургбуд.поддоны'!AQ21+'МК Нежин-3'!AQ21</f>
        <v>0</v>
      </c>
      <c r="AR21" s="3341">
        <f>PL_ЦО_Производство!AR21+'МД ООН'!AR21+'МК Ладыжин-3'!AR21+'МК Староконстантинов'!AR21+'МК Армокаркасы'!AR21+'МК Щедро. Флекситанки'!AR21+'МК ЛифтМаркет'!AR21+'МК Укркотлопром'!AR21+'МК Подгорцы.Забор'!AR21+PL_Металлизация!CF21+'МД Бытовка ИТР Нежин'!AR21+'МК Металургбуд.поддоны'!AR21+'МК Нежин-3'!AR21</f>
        <v>0</v>
      </c>
      <c r="AS21" s="3349">
        <f t="shared" si="30"/>
        <v>0</v>
      </c>
      <c r="AT21" s="4697">
        <f t="shared" si="44"/>
        <v>0</v>
      </c>
      <c r="AU21" s="1615"/>
      <c r="AV21" s="3341">
        <f>PL_ЦО_Производство!AV21+'МД ООН'!AV21+'МК Армокаркасы'!AV21+'МК Подгорцы.Забор'!AV21+'МК Нежин-3'!AV21+'МК РДК.Кран'!AV21+'МК Ворота.Запорожье'!AV21+'МД ВООЗ'!AV21+'МД Казарма.Рекламация'!AV21</f>
        <v>0</v>
      </c>
      <c r="AW21" s="3341">
        <f>PL_ЦО_Производство!AW21+'МД ООН'!AW21+'МК Армокаркасы'!AW21+'МК Подгорцы.Забор'!AW21+'МК Нежин-3'!AW21+'МК РДК.Кран'!AW21+'МК Ворота.Запорожье'!AW21+'МД ВООЗ'!AW21+'МД Казарма.Рекламация'!AW21</f>
        <v>0</v>
      </c>
      <c r="AX21" s="3349">
        <f t="shared" si="31"/>
        <v>0</v>
      </c>
      <c r="AY21" s="4697">
        <f t="shared" si="45"/>
        <v>0</v>
      </c>
      <c r="AZ21" s="1615"/>
      <c r="BA21" s="3341">
        <f>PL_ЦО_Производство!BA21+'МД ООН'!BA21+'МК Ладыжин-3'!BA21+'МК Староконстантинов'!BA21+'МК Армокаркасы'!BA21+'МК Щедро. Флекситанки'!BA21+'МК ЛифтМаркет'!BA21+'МК Укркотлопром'!BA21+'МК Подгорцы.Забор'!BA21+PL_Металлизация!CO21+'МД Бытовка ИТР Нежин'!BA21+'МК Металургбуд.поддоны'!BA21+'МК Нежин-3'!BA21+'МК РДК.Кран'!BA21+'МК Ворота.Запорожье'!BA21+'МД ВООЗ'!BA21+'МД Казарма.Рекламация'!BA21</f>
        <v>0</v>
      </c>
      <c r="BB21" s="3341">
        <f>PL_ЦО_Производство!BB21+'МД ООН'!BB21+'МК Ладыжин-3'!BB21+'МК Староконстантинов'!BB21+'МК Армокаркасы'!BB21+'МК Щедро. Флекситанки'!BB21+'МК ЛифтМаркет'!BB21+'МК Укркотлопром'!BB21+'МК Подгорцы.Забор'!BB21+PL_Металлизация!CP21+'МД Бытовка ИТР Нежин'!BB21+'МК Металургбуд.поддоны'!BB21+'МК Нежин-3'!BB21+'МК РДК.Кран'!BB21+'МК Ворота.Запорожье'!BB21+'МД ВООЗ'!BB21+'МД Казарма.Рекламация'!BB21</f>
        <v>0</v>
      </c>
      <c r="BC21" s="3349">
        <f t="shared" si="32"/>
        <v>0</v>
      </c>
      <c r="BD21" s="4697">
        <f t="shared" si="46"/>
        <v>0</v>
      </c>
      <c r="BE21" s="1615"/>
      <c r="BF21" s="3341">
        <f>PL_ЦО_Производство!BF21+'МД ООН'!BF21+'МК Ладыжин-3'!BF21+'МК Староконстантинов'!BF21+'МК Армокаркасы'!BF21+'МК Щедро. Флекситанки'!BF21+'МК ЛифтМаркет'!BF21+'МК Укркотлопром'!BF21+'МК Подгорцы.Забор'!BF21+PL_Металлизация!CT21+'МД Бытовка ИТР Нежин'!BF21+'МК Металургбуд.поддоны'!BF21+'МК Нежин-3'!BF21+'МК РДК.Кран'!BF21+'МК Ворота.Запорожье'!BF21+'МД ВООЗ'!BF21+'МД Казарма.Рекламация'!BF21</f>
        <v>0</v>
      </c>
      <c r="BG21" s="3341">
        <f>PL_ЦО_Производство!BG21+'МД ООН'!BG21+'МК Ладыжин-3'!BG21+'МК Староконстантинов'!BG21+'МК Армокаркасы'!BG21+'МК Щедро. Флекситанки'!BG21+'МК ЛифтМаркет'!BG21+'МК Укркотлопром'!BG21+'МК Подгорцы.Забор'!BG21+PL_Металлизация!CU21+'МД Бытовка ИТР Нежин'!BG21+'МК Металургбуд.поддоны'!BG21+'МК Нежин-3'!BG21+'МК РДК.Кран'!BG21+'МК Ворота.Запорожье'!BG21+'МД ВООЗ'!BG21+'МД Казарма.Рекламация'!BG21</f>
        <v>0</v>
      </c>
      <c r="BH21" s="3349">
        <f t="shared" si="33"/>
        <v>0</v>
      </c>
      <c r="BI21" s="4697" t="e">
        <f t="shared" si="47"/>
        <v>#DIV/0!</v>
      </c>
      <c r="BJ21" s="1615"/>
      <c r="BK21" s="3341">
        <f>PL_ЦО_Производство!BK21+'МД ООН'!BK21+'МК Ладыжин-3'!BK21+'МК Староконстантинов'!BK21+'МК Армокаркасы'!BK21+'МК Щедро. Флекситанки'!BK21+'МК ЛифтМаркет'!BK21+'МК Укркотлопром'!BK21+'МК Подгорцы.Забор'!BK21+PL_Металлизация!CY21+'МД Бытовка ИТР Нежин'!BK21+'МК Металургбуд.поддоны'!BK21+'МК Нежин-3'!BK21+'МК РДК.Кран'!BK21+'МК Ворота.Запорожье'!BK21+'МД ВООЗ'!BK21+'МД Казарма.Рекламация'!BK21</f>
        <v>0</v>
      </c>
      <c r="BL21" s="3341">
        <f>PL_ЦО_Производство!BL21+'МД ООН'!BL21+'МК Ладыжин-3'!BL21+'МК Староконстантинов'!BL21+'МК Армокаркасы'!BL21+'МК Щедро. Флекситанки'!BL21+'МК ЛифтМаркет'!BL21+'МК Укркотлопром'!BL21+'МК Подгорцы.Забор'!BL21+PL_Металлизация!CZ21+'МД Бытовка ИТР Нежин'!BL21+'МК Металургбуд.поддоны'!BL21+'МК Нежин-3'!BL21+'МК РДК.Кран'!BL21+'МК Ворота.Запорожье'!BL21+'МД ВООЗ'!BL21+'МД Казарма.Рекламация'!BL21</f>
        <v>0</v>
      </c>
      <c r="BM21" s="3349">
        <f t="shared" si="34"/>
        <v>0</v>
      </c>
      <c r="BN21" s="4697" t="e">
        <f t="shared" si="48"/>
        <v>#DIV/0!</v>
      </c>
      <c r="BO21" s="1615"/>
      <c r="BP21" s="3341">
        <f>PL_ЦО_Производство!BP21+'МД ООН'!BP21+'МК Ладыжин-3'!BP21+'МК Староконстантинов'!BP21+'МК Армокаркасы'!BP21+'МК Щедро. Флекситанки'!BP21+'МК ЛифтМаркет'!BP21+'МК Укркотлопром'!BP21+'МК Подгорцы.Забор'!BP21+PL_Металлизация!DD21+'МД Бытовка ИТР Нежин'!BP21+'МК Металургбуд.поддоны'!BP21+'МК Нежин-3'!BP21+'МК РДК.Кран'!BP21+'МК Ворота.Запорожье'!BP21+'МД ВООЗ'!BP21+'МД Казарма.Рекламация'!BP21</f>
        <v>0</v>
      </c>
      <c r="BQ21" s="3341">
        <f>PL_ЦО_Производство!BQ21+'МД ООН'!BQ21+'МК Ладыжин-3'!BQ21+'МК Староконстантинов'!BQ21+'МК Армокаркасы'!BQ21+'МК Щедро. Флекситанки'!BQ21+'МК ЛифтМаркет'!BQ21+'МК Укркотлопром'!BQ21+'МК Подгорцы.Забор'!BQ21+PL_Металлизация!DE21+'МД Бытовка ИТР Нежин'!BQ21+'МК Металургбуд.поддоны'!BQ21+'МК Нежин-3'!BQ21+'МК РДК.Кран'!BQ21+'МК Ворота.Запорожье'!BQ21+'МД ВООЗ'!BQ21+'МД Казарма.Рекламация'!BQ21</f>
        <v>0</v>
      </c>
      <c r="BR21" s="3349">
        <f t="shared" si="35"/>
        <v>0</v>
      </c>
      <c r="BS21" s="4697" t="e">
        <f t="shared" si="49"/>
        <v>#DIV/0!</v>
      </c>
      <c r="BT21" s="1615"/>
      <c r="BU21" s="3341">
        <f>PL_ЦО_Производство!BU21+'МД ООН'!BU21+'МК Ладыжин-3'!BU21+'МК Староконстантинов'!BU21+'МК Армокаркасы'!BU21+'МК Щедро. Флекситанки'!BU21+'МК ЛифтМаркет'!BU21+'МК Укркотлопром'!BU21+'МК Подгорцы.Забор'!BU21+PL_Металлизация!DI21+'МД Бытовка ИТР Нежин'!BU21+'МК Металургбуд.поддоны'!BU21+'МК Нежин-3'!BU21+'МК РДК.Кран'!BU21+'МК Ворота.Запорожье'!BU21+'МД ВООЗ'!BU21+'МД Казарма.Рекламация'!BU21</f>
        <v>0</v>
      </c>
      <c r="BV21" s="3341">
        <f>PL_ЦО_Производство!BV21+'МД ООН'!BV21+'МК Ладыжин-3'!BV21+'МК Староконстантинов'!BV21+'МК Армокаркасы'!BV21+'МК Щедро. Флекситанки'!BV21+'МК ЛифтМаркет'!BV21+'МК Укркотлопром'!BV21+'МК Подгорцы.Забор'!BV21+PL_Металлизация!DJ21+'МД Бытовка ИТР Нежин'!BV21+'МК Металургбуд.поддоны'!BV21+'МК Нежин-3'!BV21+'МК РДК.Кран'!BV21+'МК Ворота.Запорожье'!BV21+'МД ВООЗ'!BV21+'МД Казарма.Рекламация'!BV21</f>
        <v>0</v>
      </c>
      <c r="BW21" s="3349">
        <f t="shared" si="36"/>
        <v>0</v>
      </c>
      <c r="BX21" s="4697" t="e">
        <f t="shared" si="50"/>
        <v>#DIV/0!</v>
      </c>
      <c r="BY21" s="1615"/>
      <c r="BZ21" s="3341">
        <f>PL_ЦО_Производство!BZ21+'МД ООН'!BZ21+'МК Ладыжин-3'!BZ21+'МК Староконстантинов'!BZ21+'МК Армокаркасы'!BZ21+'МК Щедро. Флекситанки'!BZ21+'МК ЛифтМаркет'!BZ21+'МК Укркотлопром'!BZ21+'МК Подгорцы.Забор'!BZ21+PL_Металлизация!DN21+'МД Бытовка ИТР Нежин'!BZ21+'МК Металургбуд.поддоны'!BZ21+'МК Нежин-3'!BZ21+'МК РДК.Кран'!BZ21+'МК Ворота.Запорожье'!BZ21+'МД ВООЗ'!BZ21+'МД Казарма.Рекламация'!BZ21</f>
        <v>0</v>
      </c>
      <c r="CA21" s="3341">
        <f>PL_ЦО_Производство!CA21+'МД ООН'!CA21+'МК Ладыжин-3'!CA21+'МК Староконстантинов'!CA21+'МК Армокаркасы'!CA21+'МК Щедро. Флекситанки'!CA21+'МК ЛифтМаркет'!CA21+'МК Укркотлопром'!CA21+'МК Подгорцы.Забор'!CA21+PL_Металлизация!DO21+'МД Бытовка ИТР Нежин'!CA21+'МК Металургбуд.поддоны'!CA21+'МК Нежин-3'!CA21+'МК РДК.Кран'!CA21+'МК Ворота.Запорожье'!CA21+'МД ВООЗ'!CA21+'МД Казарма.Рекламация'!CA21</f>
        <v>0</v>
      </c>
      <c r="CB21" s="3349">
        <f t="shared" si="37"/>
        <v>0</v>
      </c>
      <c r="CC21" s="4697" t="e">
        <f t="shared" si="51"/>
        <v>#DIV/0!</v>
      </c>
      <c r="CD21" s="1615"/>
      <c r="CE21" s="3341">
        <f>PL_ЦО_Производство!CE21+'МД ООН'!CE21+'МК Ладыжин-3'!CE21+'МК Староконстантинов'!CE21+'МК Армокаркасы'!CE21+'МК Щедро. Флекситанки'!CE21+'МК ЛифтМаркет'!CE21+'МК Укркотлопром'!CE21+'МК Подгорцы.Забор'!CE21+PL_Металлизация!DS21+'МД Бытовка ИТР Нежин'!CE21+'МК Металургбуд.поддоны'!CE21+'МК Нежин-3'!CE21+'МК РДК.Кран'!CE21+'МК Ворота.Запорожье'!CE21+'МД ВООЗ'!CE21+'МД Казарма.Рекламация'!CE21</f>
        <v>0</v>
      </c>
      <c r="CF21" s="3341">
        <f>PL_ЦО_Производство!CF21+'МД ООН'!CF21+'МК Ладыжин-3'!CF21+'МК Староконстантинов'!CF21+'МК Армокаркасы'!CF21+'МК Щедро. Флекситанки'!CF21+'МК ЛифтМаркет'!CF21+'МК Укркотлопром'!CF21+'МК Подгорцы.Забор'!CF21+PL_Металлизация!DT21+'МД Бытовка ИТР Нежин'!CF21+'МК Металургбуд.поддоны'!CF21+'МК Нежин-3'!CF21+'МК РДК.Кран'!CF21+'МК Ворота.Запорожье'!CF21+'МД ВООЗ'!CF21+'МД Казарма.Рекламация'!CF21</f>
        <v>0</v>
      </c>
      <c r="CG21" s="3349">
        <f t="shared" si="38"/>
        <v>0</v>
      </c>
      <c r="CH21" s="4697" t="e">
        <f t="shared" si="52"/>
        <v>#DIV/0!</v>
      </c>
      <c r="CI21" s="1615"/>
      <c r="CJ21" s="3341">
        <f t="shared" si="39"/>
        <v>466694.50400000002</v>
      </c>
      <c r="CK21" s="3341">
        <f t="shared" si="39"/>
        <v>6951.21</v>
      </c>
      <c r="CL21" s="3349">
        <f t="shared" si="53"/>
        <v>473645.71400000004</v>
      </c>
      <c r="CM21" s="4697">
        <f t="shared" si="40"/>
        <v>9.2953822855380407E-3</v>
      </c>
      <c r="CN21" s="1434"/>
    </row>
    <row r="22" spans="1:95" s="1396" customFormat="1" ht="13.8" outlineLevel="2">
      <c r="A22" s="1571"/>
      <c r="B22" s="4698" t="s">
        <v>621</v>
      </c>
      <c r="C22" s="3341"/>
      <c r="D22" s="3341"/>
      <c r="E22" s="3349">
        <f t="shared" si="19"/>
        <v>0</v>
      </c>
      <c r="F22" s="4697" t="e">
        <f t="shared" si="16"/>
        <v>#DIV/0!</v>
      </c>
      <c r="G22" s="3342"/>
      <c r="H22" s="3341"/>
      <c r="I22" s="3341"/>
      <c r="J22" s="3349">
        <f t="shared" si="20"/>
        <v>0</v>
      </c>
      <c r="K22" s="4697" t="e">
        <f t="shared" si="41"/>
        <v>#DIV/0!</v>
      </c>
      <c r="L22" s="3342"/>
      <c r="M22" s="3341"/>
      <c r="N22" s="3341"/>
      <c r="O22" s="3349">
        <f t="shared" si="21"/>
        <v>0</v>
      </c>
      <c r="P22" s="4697" t="e">
        <f t="shared" si="22"/>
        <v>#DIV/0!</v>
      </c>
      <c r="Q22" s="3342"/>
      <c r="R22" s="3427">
        <f>PL_Производство!BF22</f>
        <v>0</v>
      </c>
      <c r="S22" s="3427">
        <f>PL_Производство!BG22</f>
        <v>0</v>
      </c>
      <c r="T22" s="2012">
        <f t="shared" si="23"/>
        <v>0</v>
      </c>
      <c r="U22" s="3342"/>
      <c r="V22" s="3342"/>
      <c r="W22" s="3342">
        <f t="shared" si="24"/>
        <v>0</v>
      </c>
      <c r="X22" s="3342">
        <f t="shared" si="24"/>
        <v>0</v>
      </c>
      <c r="Y22" s="2012">
        <f t="shared" si="25"/>
        <v>0</v>
      </c>
      <c r="Z22" s="3342"/>
      <c r="AA22" s="3342"/>
      <c r="AB22" s="3341">
        <f>PL_ЦО_Производство!AB22+'МД ООН'!AB22+'МК Ладыжин-3'!AB22+'МК Староконстантинов'!AB22+'МК Армокаркасы'!AB22+'МК Щедро. Флекситанки'!AB22+'МК ЛифтМаркет'!AB22+'МК Укркотлопром'!AB22+'МК Подгорцы.Забор'!AB22+PL_Металлизация!BP22+'МД Бытовка ИТР Нежин'!AB22+'МК Металургбуд.поддоны'!AB22</f>
        <v>0</v>
      </c>
      <c r="AC22" s="3341">
        <f>PL_ЦО_Производство!AC22+'МД ООН'!AC22+'МК Ладыжин-3'!AC22+'МК Староконстантинов'!AC22+'МК Армокаркасы'!AC22+'МК Щедро. Флекситанки'!AC22+'МК ЛифтМаркет'!AC22+'МК Укркотлопром'!AC22+'МК Подгорцы.Забор'!AC22+PL_Металлизация!BQ22+'МД Бытовка ИТР Нежин'!AC22+'МК Металургбуд.поддоны'!AC22</f>
        <v>0</v>
      </c>
      <c r="AD22" s="3349">
        <f t="shared" si="26"/>
        <v>0</v>
      </c>
      <c r="AE22" s="4697">
        <f t="shared" si="27"/>
        <v>0</v>
      </c>
      <c r="AF22" s="3342"/>
      <c r="AG22" s="3341">
        <f>PL_ЦО_Производство!AG22+'МД ООН'!AG22+'МК Ладыжин-3'!AG22+'МК Староконстантинов'!AG22+'МК Армокаркасы'!AG22+'МК Щедро. Флекситанки'!AG22+'МК ЛифтМаркет'!AG22+'МК Укркотлопром'!AG22+'МК Подгорцы.Забор'!AG22+PL_Металлизация!BU22+'МД Бытовка ИТР Нежин'!AG22+'МК Металургбуд.поддоны'!AG22</f>
        <v>0</v>
      </c>
      <c r="AH22" s="3341">
        <f>PL_ЦО_Производство!AH22+'МД ООН'!AH22+'МК Ладыжин-3'!AH22+'МК Староконстантинов'!AH22+'МК Армокаркасы'!AH22+'МК Щедро. Флекситанки'!AH22+'МК ЛифтМаркет'!AH22+'МК Укркотлопром'!AH22+'МК Подгорцы.Забор'!AH22+PL_Металлизация!BV22+'МД Бытовка ИТР Нежин'!AH22+'МК Металургбуд.поддоны'!AH22</f>
        <v>0</v>
      </c>
      <c r="AI22" s="3349">
        <f t="shared" si="28"/>
        <v>0</v>
      </c>
      <c r="AJ22" s="4697">
        <f t="shared" si="42"/>
        <v>0</v>
      </c>
      <c r="AK22" s="3342"/>
      <c r="AL22" s="3341">
        <f>PL_ЦО_Производство!AL22+'МД ООН'!AL22+'МК Ладыжин-3'!AL22+'МК Староконстантинов'!AL22+'МК Армокаркасы'!AL22+'МК Щедро. Флекситанки'!AL22+'МК ЛифтМаркет'!AL22+'МК Укркотлопром'!AL22+'МК Подгорцы.Забор'!AL22+PL_Металлизация!BZ22+'МД Бытовка ИТР Нежин'!AL22+'МК Металургбуд.поддоны'!AL22+'МК Нежин-3'!AL22</f>
        <v>0</v>
      </c>
      <c r="AM22" s="3341">
        <f>PL_ЦО_Производство!AM22+'МД ООН'!AM22+'МК Ладыжин-3'!AM22+'МК Староконстантинов'!AM22+'МК Армокаркасы'!AM22+'МК Щедро. Флекситанки'!AM22+'МК ЛифтМаркет'!AM22+'МК Укркотлопром'!AM22+'МК Подгорцы.Забор'!AM22+PL_Металлизация!CA22+'МД Бытовка ИТР Нежин'!AM22+'МК Металургбуд.поддоны'!AM22+'МК Нежин-3'!AM22</f>
        <v>0</v>
      </c>
      <c r="AN22" s="3349">
        <f t="shared" si="29"/>
        <v>0</v>
      </c>
      <c r="AO22" s="4697">
        <f t="shared" si="43"/>
        <v>0</v>
      </c>
      <c r="AP22" s="3342"/>
      <c r="AQ22" s="3341">
        <f>PL_ЦО_Производство!AQ22+'МД ООН'!AQ22+'МК Ладыжин-3'!AQ22+'МК Староконстантинов'!AQ22+'МК Армокаркасы'!AQ22+'МК Щедро. Флекситанки'!AQ22+'МК ЛифтМаркет'!AQ22+'МК Укркотлопром'!AQ22+'МК Подгорцы.Забор'!AQ22+PL_Металлизация!CE22+'МД Бытовка ИТР Нежин'!AQ22+'МК Металургбуд.поддоны'!AQ22+'МК Нежин-3'!AQ22</f>
        <v>0</v>
      </c>
      <c r="AR22" s="3341">
        <f>PL_ЦО_Производство!AR22+'МД ООН'!AR22+'МК Ладыжин-3'!AR22+'МК Староконстантинов'!AR22+'МК Армокаркасы'!AR22+'МК Щедро. Флекситанки'!AR22+'МК ЛифтМаркет'!AR22+'МК Укркотлопром'!AR22+'МК Подгорцы.Забор'!AR22+PL_Металлизация!CF22+'МД Бытовка ИТР Нежин'!AR22+'МК Металургбуд.поддоны'!AR22+'МК Нежин-3'!AR22</f>
        <v>0</v>
      </c>
      <c r="AS22" s="3349">
        <f t="shared" si="30"/>
        <v>0</v>
      </c>
      <c r="AT22" s="4697">
        <f t="shared" si="44"/>
        <v>0</v>
      </c>
      <c r="AU22" s="3342"/>
      <c r="AV22" s="3341">
        <f>PL_ЦО_Производство!AV22+'МД ООН'!AV22+'МК Армокаркасы'!AV22+'МК Подгорцы.Забор'!AV22+'МК Нежин-3'!AV22+'МК РДК.Кран'!AV22+'МК Ворота.Запорожье'!AV22+'МД ВООЗ'!AV22+'МД Казарма.Рекламация'!AV22</f>
        <v>0</v>
      </c>
      <c r="AW22" s="3341">
        <f>PL_ЦО_Производство!AW22+'МД ООН'!AW22+'МК Армокаркасы'!AW22+'МК Подгорцы.Забор'!AW22+'МК Нежин-3'!AW22+'МК РДК.Кран'!AW22+'МК Ворота.Запорожье'!AW22+'МД ВООЗ'!AW22+'МД Казарма.Рекламация'!AW22</f>
        <v>0</v>
      </c>
      <c r="AX22" s="3349">
        <f t="shared" si="31"/>
        <v>0</v>
      </c>
      <c r="AY22" s="4697">
        <f t="shared" si="45"/>
        <v>0</v>
      </c>
      <c r="AZ22" s="3342"/>
      <c r="BA22" s="3341">
        <f>PL_ЦО_Производство!BA22+'МД ООН'!BA22+'МК Ладыжин-3'!BA22+'МК Староконстантинов'!BA22+'МК Армокаркасы'!BA22+'МК Щедро. Флекситанки'!BA22+'МК ЛифтМаркет'!BA22+'МК Укркотлопром'!BA22+'МК Подгорцы.Забор'!BA22+PL_Металлизация!CO22+'МД Бытовка ИТР Нежин'!BA22+'МК Металургбуд.поддоны'!BA22+'МК Нежин-3'!BA22+'МК РДК.Кран'!BA22+'МК Ворота.Запорожье'!BA22+'МД ВООЗ'!BA22+'МД Казарма.Рекламация'!BA22</f>
        <v>0</v>
      </c>
      <c r="BB22" s="3341">
        <f>PL_ЦО_Производство!BB22+'МД ООН'!BB22+'МК Ладыжин-3'!BB22+'МК Староконстантинов'!BB22+'МК Армокаркасы'!BB22+'МК Щедро. Флекситанки'!BB22+'МК ЛифтМаркет'!BB22+'МК Укркотлопром'!BB22+'МК Подгорцы.Забор'!BB22+PL_Металлизация!CP22+'МД Бытовка ИТР Нежин'!BB22+'МК Металургбуд.поддоны'!BB22+'МК Нежин-3'!BB22+'МК РДК.Кран'!BB22+'МК Ворота.Запорожье'!BB22+'МД ВООЗ'!BB22+'МД Казарма.Рекламация'!BB22</f>
        <v>0</v>
      </c>
      <c r="BC22" s="3349">
        <f t="shared" si="32"/>
        <v>0</v>
      </c>
      <c r="BD22" s="4697">
        <f t="shared" si="46"/>
        <v>0</v>
      </c>
      <c r="BE22" s="3342"/>
      <c r="BF22" s="3341">
        <f>PL_ЦО_Производство!BF22+'МД ООН'!BF22+'МК Ладыжин-3'!BF22+'МК Староконстантинов'!BF22+'МК Армокаркасы'!BF22+'МК Щедро. Флекситанки'!BF22+'МК ЛифтМаркет'!BF22+'МК Укркотлопром'!BF22+'МК Подгорцы.Забор'!BF22+PL_Металлизация!CT22+'МД Бытовка ИТР Нежин'!BF22+'МК Металургбуд.поддоны'!BF22+'МК Нежин-3'!BF22+'МК РДК.Кран'!BF22+'МК Ворота.Запорожье'!BF22+'МД ВООЗ'!BF22+'МД Казарма.Рекламация'!BF22</f>
        <v>0</v>
      </c>
      <c r="BG22" s="3341">
        <f>PL_ЦО_Производство!BG22+'МД ООН'!BG22+'МК Ладыжин-3'!BG22+'МК Староконстантинов'!BG22+'МК Армокаркасы'!BG22+'МК Щедро. Флекситанки'!BG22+'МК ЛифтМаркет'!BG22+'МК Укркотлопром'!BG22+'МК Подгорцы.Забор'!BG22+PL_Металлизация!CU22+'МД Бытовка ИТР Нежин'!BG22+'МК Металургбуд.поддоны'!BG22+'МК Нежин-3'!BG22+'МК РДК.Кран'!BG22+'МК Ворота.Запорожье'!BG22+'МД ВООЗ'!BG22+'МД Казарма.Рекламация'!BG22</f>
        <v>0</v>
      </c>
      <c r="BH22" s="3349">
        <f t="shared" si="33"/>
        <v>0</v>
      </c>
      <c r="BI22" s="4697" t="e">
        <f t="shared" si="47"/>
        <v>#DIV/0!</v>
      </c>
      <c r="BJ22" s="3342"/>
      <c r="BK22" s="3341">
        <f>PL_ЦО_Производство!BK22+'МД ООН'!BK22+'МК Ладыжин-3'!BK22+'МК Староконстантинов'!BK22+'МК Армокаркасы'!BK22+'МК Щедро. Флекситанки'!BK22+'МК ЛифтМаркет'!BK22+'МК Укркотлопром'!BK22+'МК Подгорцы.Забор'!BK22+PL_Металлизация!CY22+'МД Бытовка ИТР Нежин'!BK22+'МК Металургбуд.поддоны'!BK22+'МК Нежин-3'!BK22+'МК РДК.Кран'!BK22+'МК Ворота.Запорожье'!BK22+'МД ВООЗ'!BK22+'МД Казарма.Рекламация'!BK22</f>
        <v>0</v>
      </c>
      <c r="BL22" s="3341">
        <f>PL_ЦО_Производство!BL22+'МД ООН'!BL22+'МК Ладыжин-3'!BL22+'МК Староконстантинов'!BL22+'МК Армокаркасы'!BL22+'МК Щедро. Флекситанки'!BL22+'МК ЛифтМаркет'!BL22+'МК Укркотлопром'!BL22+'МК Подгорцы.Забор'!BL22+PL_Металлизация!CZ22+'МД Бытовка ИТР Нежин'!BL22+'МК Металургбуд.поддоны'!BL22+'МК Нежин-3'!BL22+'МК РДК.Кран'!BL22+'МК Ворота.Запорожье'!BL22+'МД ВООЗ'!BL22+'МД Казарма.Рекламация'!BL22</f>
        <v>0</v>
      </c>
      <c r="BM22" s="3349">
        <f t="shared" si="34"/>
        <v>0</v>
      </c>
      <c r="BN22" s="4697" t="e">
        <f t="shared" si="48"/>
        <v>#DIV/0!</v>
      </c>
      <c r="BO22" s="3342"/>
      <c r="BP22" s="3341">
        <f>PL_ЦО_Производство!BP22+'МД ООН'!BP22+'МК Ладыжин-3'!BP22+'МК Староконстантинов'!BP22+'МК Армокаркасы'!BP22+'МК Щедро. Флекситанки'!BP22+'МК ЛифтМаркет'!BP22+'МК Укркотлопром'!BP22+'МК Подгорцы.Забор'!BP22+PL_Металлизация!DD22+'МД Бытовка ИТР Нежин'!BP22+'МК Металургбуд.поддоны'!BP22+'МК Нежин-3'!BP22+'МК РДК.Кран'!BP22+'МК Ворота.Запорожье'!BP22+'МД ВООЗ'!BP22+'МД Казарма.Рекламация'!BP22</f>
        <v>0</v>
      </c>
      <c r="BQ22" s="3341">
        <f>PL_ЦО_Производство!BQ22+'МД ООН'!BQ22+'МК Ладыжин-3'!BQ22+'МК Староконстантинов'!BQ22+'МК Армокаркасы'!BQ22+'МК Щедро. Флекситанки'!BQ22+'МК ЛифтМаркет'!BQ22+'МК Укркотлопром'!BQ22+'МК Подгорцы.Забор'!BQ22+PL_Металлизация!DE22+'МД Бытовка ИТР Нежин'!BQ22+'МК Металургбуд.поддоны'!BQ22+'МК Нежин-3'!BQ22+'МК РДК.Кран'!BQ22+'МК Ворота.Запорожье'!BQ22+'МД ВООЗ'!BQ22+'МД Казарма.Рекламация'!BQ22</f>
        <v>0</v>
      </c>
      <c r="BR22" s="3349">
        <f t="shared" si="35"/>
        <v>0</v>
      </c>
      <c r="BS22" s="4697" t="e">
        <f t="shared" si="49"/>
        <v>#DIV/0!</v>
      </c>
      <c r="BT22" s="3342"/>
      <c r="BU22" s="3341">
        <f>PL_ЦО_Производство!BU22+'МД ООН'!BU22+'МК Ладыжин-3'!BU22+'МК Староконстантинов'!BU22+'МК Армокаркасы'!BU22+'МК Щедро. Флекситанки'!BU22+'МК ЛифтМаркет'!BU22+'МК Укркотлопром'!BU22+'МК Подгорцы.Забор'!BU22+PL_Металлизация!DI22+'МД Бытовка ИТР Нежин'!BU22+'МК Металургбуд.поддоны'!BU22+'МК Нежин-3'!BU22+'МК РДК.Кран'!BU22+'МК Ворота.Запорожье'!BU22+'МД ВООЗ'!BU22+'МД Казарма.Рекламация'!BU22</f>
        <v>0</v>
      </c>
      <c r="BV22" s="3341">
        <f>PL_ЦО_Производство!BV22+'МД ООН'!BV22+'МК Ладыжин-3'!BV22+'МК Староконстантинов'!BV22+'МК Армокаркасы'!BV22+'МК Щедро. Флекситанки'!BV22+'МК ЛифтМаркет'!BV22+'МК Укркотлопром'!BV22+'МК Подгорцы.Забор'!BV22+PL_Металлизация!DJ22+'МД Бытовка ИТР Нежин'!BV22+'МК Металургбуд.поддоны'!BV22+'МК Нежин-3'!BV22+'МК РДК.Кран'!BV22+'МК Ворота.Запорожье'!BV22+'МД ВООЗ'!BV22+'МД Казарма.Рекламация'!BV22</f>
        <v>0</v>
      </c>
      <c r="BW22" s="3349">
        <f t="shared" si="36"/>
        <v>0</v>
      </c>
      <c r="BX22" s="4697" t="e">
        <f t="shared" si="50"/>
        <v>#DIV/0!</v>
      </c>
      <c r="BY22" s="3342"/>
      <c r="BZ22" s="3341">
        <f>PL_ЦО_Производство!BZ22+'МД ООН'!BZ22+'МК Ладыжин-3'!BZ22+'МК Староконстантинов'!BZ22+'МК Армокаркасы'!BZ22+'МК Щедро. Флекситанки'!BZ22+'МК ЛифтМаркет'!BZ22+'МК Укркотлопром'!BZ22+'МК Подгорцы.Забор'!BZ22+PL_Металлизация!DN22+'МД Бытовка ИТР Нежин'!BZ22+'МК Металургбуд.поддоны'!BZ22+'МК Нежин-3'!BZ22+'МК РДК.Кран'!BZ22+'МК Ворота.Запорожье'!BZ22+'МД ВООЗ'!BZ22+'МД Казарма.Рекламация'!BZ22</f>
        <v>0</v>
      </c>
      <c r="CA22" s="3341">
        <f>PL_ЦО_Производство!CA22+'МД ООН'!CA22+'МК Ладыжин-3'!CA22+'МК Староконстантинов'!CA22+'МК Армокаркасы'!CA22+'МК Щедро. Флекситанки'!CA22+'МК ЛифтМаркет'!CA22+'МК Укркотлопром'!CA22+'МК Подгорцы.Забор'!CA22+PL_Металлизация!DO22+'МД Бытовка ИТР Нежин'!CA22+'МК Металургбуд.поддоны'!CA22+'МК Нежин-3'!CA22+'МК РДК.Кран'!CA22+'МК Ворота.Запорожье'!CA22+'МД ВООЗ'!CA22+'МД Казарма.Рекламация'!CA22</f>
        <v>0</v>
      </c>
      <c r="CB22" s="3349">
        <f t="shared" si="37"/>
        <v>0</v>
      </c>
      <c r="CC22" s="4697" t="e">
        <f t="shared" si="51"/>
        <v>#DIV/0!</v>
      </c>
      <c r="CD22" s="3342"/>
      <c r="CE22" s="3341">
        <f>PL_ЦО_Производство!CE22+'МД ООН'!CE22+'МК Ладыжин-3'!CE22+'МК Староконстантинов'!CE22+'МК Армокаркасы'!CE22+'МК Щедро. Флекситанки'!CE22+'МК ЛифтМаркет'!CE22+'МК Укркотлопром'!CE22+'МК Подгорцы.Забор'!CE22+PL_Металлизация!DS22+'МД Бытовка ИТР Нежин'!CE22+'МК Металургбуд.поддоны'!CE22+'МК Нежин-3'!CE22+'МК РДК.Кран'!CE22+'МК Ворота.Запорожье'!CE22+'МД ВООЗ'!CE22+'МД Казарма.Рекламация'!CE22</f>
        <v>0</v>
      </c>
      <c r="CF22" s="3341">
        <f>PL_ЦО_Производство!CF22+'МД ООН'!CF22+'МК Ладыжин-3'!CF22+'МК Староконстантинов'!CF22+'МК Армокаркасы'!CF22+'МК Щедро. Флекситанки'!CF22+'МК ЛифтМаркет'!CF22+'МК Укркотлопром'!CF22+'МК Подгорцы.Забор'!CF22+PL_Металлизация!DT22+'МД Бытовка ИТР Нежин'!CF22+'МК Металургбуд.поддоны'!CF22+'МК Нежин-3'!CF22+'МК РДК.Кран'!CF22+'МК Ворота.Запорожье'!CF22+'МД ВООЗ'!CF22+'МД Казарма.Рекламация'!CF22</f>
        <v>0</v>
      </c>
      <c r="CG22" s="3349">
        <f t="shared" si="38"/>
        <v>0</v>
      </c>
      <c r="CH22" s="4697" t="e">
        <f t="shared" si="52"/>
        <v>#DIV/0!</v>
      </c>
      <c r="CI22" s="3342"/>
      <c r="CJ22" s="3341">
        <f t="shared" si="39"/>
        <v>0</v>
      </c>
      <c r="CK22" s="3341">
        <f t="shared" si="39"/>
        <v>0</v>
      </c>
      <c r="CL22" s="3349">
        <f t="shared" si="53"/>
        <v>0</v>
      </c>
      <c r="CM22" s="4697">
        <f t="shared" si="40"/>
        <v>0</v>
      </c>
      <c r="CN22" s="1434"/>
    </row>
    <row r="23" spans="1:95" s="1396" customFormat="1" ht="13.8" outlineLevel="2">
      <c r="A23" s="1571"/>
      <c r="B23" s="4698" t="s">
        <v>630</v>
      </c>
      <c r="C23" s="3341"/>
      <c r="D23" s="3341"/>
      <c r="E23" s="3349">
        <f t="shared" si="19"/>
        <v>0</v>
      </c>
      <c r="F23" s="4697" t="e">
        <f t="shared" si="16"/>
        <v>#DIV/0!</v>
      </c>
      <c r="G23" s="1055"/>
      <c r="H23" s="3341"/>
      <c r="I23" s="3341"/>
      <c r="J23" s="3349">
        <f t="shared" si="20"/>
        <v>0</v>
      </c>
      <c r="K23" s="4697" t="e">
        <f t="shared" si="41"/>
        <v>#DIV/0!</v>
      </c>
      <c r="L23" s="1055"/>
      <c r="M23" s="3341"/>
      <c r="N23" s="3341"/>
      <c r="O23" s="3349">
        <f t="shared" si="21"/>
        <v>0</v>
      </c>
      <c r="P23" s="4697" t="e">
        <f t="shared" si="22"/>
        <v>#DIV/0!</v>
      </c>
      <c r="Q23" s="1055"/>
      <c r="R23" s="3427">
        <f>PL_Производство!BF23</f>
        <v>0</v>
      </c>
      <c r="S23" s="3427">
        <f>PL_Производство!BG23</f>
        <v>0</v>
      </c>
      <c r="T23" s="2012">
        <f t="shared" si="23"/>
        <v>0</v>
      </c>
      <c r="U23" s="1055"/>
      <c r="V23" s="1055"/>
      <c r="W23" s="3342">
        <f t="shared" si="24"/>
        <v>0</v>
      </c>
      <c r="X23" s="3342">
        <f t="shared" si="24"/>
        <v>0</v>
      </c>
      <c r="Y23" s="2012">
        <f t="shared" si="25"/>
        <v>0</v>
      </c>
      <c r="Z23" s="1055"/>
      <c r="AA23" s="1055"/>
      <c r="AB23" s="3341">
        <f>PL_ЦО_Производство!AB23+'МД ООН'!AB23+'МК Ладыжин-3'!AB23+'МК Староконстантинов'!AB23+'МК Армокаркасы'!AB23+'МК Щедро. Флекситанки'!AB23+'МК ЛифтМаркет'!AB23+'МК Укркотлопром'!AB23+'МК Подгорцы.Забор'!AB23+PL_Металлизация!BP23+'МД Бытовка ИТР Нежин'!AB23+'МК Металургбуд.поддоны'!AB23</f>
        <v>0</v>
      </c>
      <c r="AC23" s="3341">
        <f>PL_ЦО_Производство!AC23+'МД ООН'!AC23+'МК Ладыжин-3'!AC23+'МК Староконстантинов'!AC23+'МК Армокаркасы'!AC23+'МК Щедро. Флекситанки'!AC23+'МК ЛифтМаркет'!AC23+'МК Укркотлопром'!AC23+'МК Подгорцы.Забор'!AC23+PL_Металлизация!BQ23+'МД Бытовка ИТР Нежин'!AC23+'МК Металургбуд.поддоны'!AC23</f>
        <v>0</v>
      </c>
      <c r="AD23" s="3349">
        <f t="shared" si="26"/>
        <v>0</v>
      </c>
      <c r="AE23" s="4697">
        <f t="shared" si="27"/>
        <v>0</v>
      </c>
      <c r="AF23" s="1055"/>
      <c r="AG23" s="3341">
        <f>PL_ЦО_Производство!AG23+'МД ООН'!AG23+'МК Ладыжин-3'!AG23+'МК Староконстантинов'!AG23+'МК Армокаркасы'!AG23+'МК Щедро. Флекситанки'!AG23+'МК ЛифтМаркет'!AG23+'МК Укркотлопром'!AG23+'МК Подгорцы.Забор'!AG23+PL_Металлизация!BU23+'МД Бытовка ИТР Нежин'!AG23+'МК Металургбуд.поддоны'!AG23</f>
        <v>0</v>
      </c>
      <c r="AH23" s="3341">
        <f>PL_ЦО_Производство!AH23+'МД ООН'!AH23+'МК Ладыжин-3'!AH23+'МК Староконстантинов'!AH23+'МК Армокаркасы'!AH23+'МК Щедро. Флекситанки'!AH23+'МК ЛифтМаркет'!AH23+'МК Укркотлопром'!AH23+'МК Подгорцы.Забор'!AH23+PL_Металлизация!BV23+'МД Бытовка ИТР Нежин'!AH23+'МК Металургбуд.поддоны'!AH23</f>
        <v>0</v>
      </c>
      <c r="AI23" s="3349">
        <f t="shared" si="28"/>
        <v>0</v>
      </c>
      <c r="AJ23" s="4697">
        <f t="shared" si="42"/>
        <v>0</v>
      </c>
      <c r="AK23" s="1055"/>
      <c r="AL23" s="3341">
        <f>PL_ЦО_Производство!AL23+'МД ООН'!AL23+'МК Ладыжин-3'!AL23+'МК Староконстантинов'!AL23+'МК Армокаркасы'!AL23+'МК Щедро. Флекситанки'!AL23+'МК ЛифтМаркет'!AL23+'МК Укркотлопром'!AL23+'МК Подгорцы.Забор'!AL23+PL_Металлизация!BZ23+'МД Бытовка ИТР Нежин'!AL23+'МК Металургбуд.поддоны'!AL23+'МК Нежин-3'!AL23</f>
        <v>0</v>
      </c>
      <c r="AM23" s="3341">
        <f>PL_ЦО_Производство!AM23+'МД ООН'!AM23+'МК Ладыжин-3'!AM23+'МК Староконстантинов'!AM23+'МК Армокаркасы'!AM23+'МК Щедро. Флекситанки'!AM23+'МК ЛифтМаркет'!AM23+'МК Укркотлопром'!AM23+'МК Подгорцы.Забор'!AM23+PL_Металлизация!CA23+'МД Бытовка ИТР Нежин'!AM23+'МК Металургбуд.поддоны'!AM23+'МК Нежин-3'!AM23</f>
        <v>0</v>
      </c>
      <c r="AN23" s="3349">
        <f t="shared" si="29"/>
        <v>0</v>
      </c>
      <c r="AO23" s="4697">
        <f t="shared" si="43"/>
        <v>0</v>
      </c>
      <c r="AP23" s="1055"/>
      <c r="AQ23" s="3341">
        <f>PL_ЦО_Производство!AQ23+'МД ООН'!AQ23+'МК Ладыжин-3'!AQ23+'МК Староконстантинов'!AQ23+'МК Армокаркасы'!AQ23+'МК Щедро. Флекситанки'!AQ23+'МК ЛифтМаркет'!AQ23+'МК Укркотлопром'!AQ23+'МК Подгорцы.Забор'!AQ23+PL_Металлизация!CE23+'МД Бытовка ИТР Нежин'!AQ23+'МК Металургбуд.поддоны'!AQ23+'МК Нежин-3'!AQ23</f>
        <v>0</v>
      </c>
      <c r="AR23" s="3341">
        <f>PL_ЦО_Производство!AR23+'МД ООН'!AR23+'МК Ладыжин-3'!AR23+'МК Староконстантинов'!AR23+'МК Армокаркасы'!AR23+'МК Щедро. Флекситанки'!AR23+'МК ЛифтМаркет'!AR23+'МК Укркотлопром'!AR23+'МК Подгорцы.Забор'!AR23+PL_Металлизация!CF23+'МД Бытовка ИТР Нежин'!AR23+'МК Металургбуд.поддоны'!AR23+'МК Нежин-3'!AR23</f>
        <v>0</v>
      </c>
      <c r="AS23" s="3349">
        <f t="shared" si="30"/>
        <v>0</v>
      </c>
      <c r="AT23" s="4697">
        <f t="shared" si="44"/>
        <v>0</v>
      </c>
      <c r="AU23" s="1055"/>
      <c r="AV23" s="3341">
        <f>PL_ЦО_Производство!AV23+'МД ООН'!AV23+'МК Армокаркасы'!AV23+'МК Подгорцы.Забор'!AV23+'МК Нежин-3'!AV23+'МК РДК.Кран'!AV23+'МК Ворота.Запорожье'!AV23+'МД ВООЗ'!AV23+'МД Казарма.Рекламация'!AV23</f>
        <v>0</v>
      </c>
      <c r="AW23" s="3341">
        <f>PL_ЦО_Производство!AW23+'МД ООН'!AW23+'МК Армокаркасы'!AW23+'МК Подгорцы.Забор'!AW23+'МК Нежин-3'!AW23+'МК РДК.Кран'!AW23+'МК Ворота.Запорожье'!AW23+'МД ВООЗ'!AW23+'МД Казарма.Рекламация'!AW23</f>
        <v>0</v>
      </c>
      <c r="AX23" s="3349">
        <f t="shared" si="31"/>
        <v>0</v>
      </c>
      <c r="AY23" s="4697">
        <f t="shared" si="45"/>
        <v>0</v>
      </c>
      <c r="AZ23" s="1055"/>
      <c r="BA23" s="3341">
        <f>PL_ЦО_Производство!BA23+'МД ООН'!BA23+'МК Ладыжин-3'!BA23+'МК Староконстантинов'!BA23+'МК Армокаркасы'!BA23+'МК Щедро. Флекситанки'!BA23+'МК ЛифтМаркет'!BA23+'МК Укркотлопром'!BA23+'МК Подгорцы.Забор'!BA23+PL_Металлизация!CO23+'МД Бытовка ИТР Нежин'!BA23+'МК Металургбуд.поддоны'!BA23+'МК Нежин-3'!BA23+'МК РДК.Кран'!BA23+'МК Ворота.Запорожье'!BA23+'МД ВООЗ'!BA23+'МД Казарма.Рекламация'!BA23</f>
        <v>0</v>
      </c>
      <c r="BB23" s="3341">
        <f>PL_ЦО_Производство!BB23+'МД ООН'!BB23+'МК Ладыжин-3'!BB23+'МК Староконстантинов'!BB23+'МК Армокаркасы'!BB23+'МК Щедро. Флекситанки'!BB23+'МК ЛифтМаркет'!BB23+'МК Укркотлопром'!BB23+'МК Подгорцы.Забор'!BB23+PL_Металлизация!CP23+'МД Бытовка ИТР Нежин'!BB23+'МК Металургбуд.поддоны'!BB23+'МК Нежин-3'!BB23+'МК РДК.Кран'!BB23+'МК Ворота.Запорожье'!BB23+'МД ВООЗ'!BB23+'МД Казарма.Рекламация'!BB23</f>
        <v>0</v>
      </c>
      <c r="BC23" s="3349">
        <f t="shared" si="32"/>
        <v>0</v>
      </c>
      <c r="BD23" s="4697">
        <f t="shared" si="46"/>
        <v>0</v>
      </c>
      <c r="BE23" s="1055"/>
      <c r="BF23" s="3341">
        <f>PL_ЦО_Производство!BF23+'МД ООН'!BF23+'МК Ладыжин-3'!BF23+'МК Староконстантинов'!BF23+'МК Армокаркасы'!BF23+'МК Щедро. Флекситанки'!BF23+'МК ЛифтМаркет'!BF23+'МК Укркотлопром'!BF23+'МК Подгорцы.Забор'!BF23+PL_Металлизация!CT23+'МД Бытовка ИТР Нежин'!BF23+'МК Металургбуд.поддоны'!BF23+'МК Нежин-3'!BF23+'МК РДК.Кран'!BF23+'МК Ворота.Запорожье'!BF23+'МД ВООЗ'!BF23+'МД Казарма.Рекламация'!BF23</f>
        <v>0</v>
      </c>
      <c r="BG23" s="3341">
        <f>PL_ЦО_Производство!BG23+'МД ООН'!BG23+'МК Ладыжин-3'!BG23+'МК Староконстантинов'!BG23+'МК Армокаркасы'!BG23+'МК Щедро. Флекситанки'!BG23+'МК ЛифтМаркет'!BG23+'МК Укркотлопром'!BG23+'МК Подгорцы.Забор'!BG23+PL_Металлизация!CU23+'МД Бытовка ИТР Нежин'!BG23+'МК Металургбуд.поддоны'!BG23+'МК Нежин-3'!BG23+'МК РДК.Кран'!BG23+'МК Ворота.Запорожье'!BG23+'МД ВООЗ'!BG23+'МД Казарма.Рекламация'!BG23</f>
        <v>0</v>
      </c>
      <c r="BH23" s="3349">
        <f t="shared" si="33"/>
        <v>0</v>
      </c>
      <c r="BI23" s="4697" t="e">
        <f t="shared" si="47"/>
        <v>#DIV/0!</v>
      </c>
      <c r="BJ23" s="1055"/>
      <c r="BK23" s="3341">
        <f>PL_ЦО_Производство!BK23+'МД ООН'!BK23+'МК Ладыжин-3'!BK23+'МК Староконстантинов'!BK23+'МК Армокаркасы'!BK23+'МК Щедро. Флекситанки'!BK23+'МК ЛифтМаркет'!BK23+'МК Укркотлопром'!BK23+'МК Подгорцы.Забор'!BK23+PL_Металлизация!CY23+'МД Бытовка ИТР Нежин'!BK23+'МК Металургбуд.поддоны'!BK23+'МК Нежин-3'!BK23+'МК РДК.Кран'!BK23+'МК Ворота.Запорожье'!BK23+'МД ВООЗ'!BK23+'МД Казарма.Рекламация'!BK23</f>
        <v>0</v>
      </c>
      <c r="BL23" s="3341">
        <f>PL_ЦО_Производство!BL23+'МД ООН'!BL23+'МК Ладыжин-3'!BL23+'МК Староконстантинов'!BL23+'МК Армокаркасы'!BL23+'МК Щедро. Флекситанки'!BL23+'МК ЛифтМаркет'!BL23+'МК Укркотлопром'!BL23+'МК Подгорцы.Забор'!BL23+PL_Металлизация!CZ23+'МД Бытовка ИТР Нежин'!BL23+'МК Металургбуд.поддоны'!BL23+'МК Нежин-3'!BL23+'МК РДК.Кран'!BL23+'МК Ворота.Запорожье'!BL23+'МД ВООЗ'!BL23+'МД Казарма.Рекламация'!BL23</f>
        <v>0</v>
      </c>
      <c r="BM23" s="3349">
        <f t="shared" si="34"/>
        <v>0</v>
      </c>
      <c r="BN23" s="4697" t="e">
        <f t="shared" si="48"/>
        <v>#DIV/0!</v>
      </c>
      <c r="BO23" s="1055"/>
      <c r="BP23" s="3341">
        <f>PL_ЦО_Производство!BP23+'МД ООН'!BP23+'МК Ладыжин-3'!BP23+'МК Староконстантинов'!BP23+'МК Армокаркасы'!BP23+'МК Щедро. Флекситанки'!BP23+'МК ЛифтМаркет'!BP23+'МК Укркотлопром'!BP23+'МК Подгорцы.Забор'!BP23+PL_Металлизация!DD23+'МД Бытовка ИТР Нежин'!BP23+'МК Металургбуд.поддоны'!BP23+'МК Нежин-3'!BP23+'МК РДК.Кран'!BP23+'МК Ворота.Запорожье'!BP23+'МД ВООЗ'!BP23+'МД Казарма.Рекламация'!BP23</f>
        <v>0</v>
      </c>
      <c r="BQ23" s="3341">
        <f>PL_ЦО_Производство!BQ23+'МД ООН'!BQ23+'МК Ладыжин-3'!BQ23+'МК Староконстантинов'!BQ23+'МК Армокаркасы'!BQ23+'МК Щедро. Флекситанки'!BQ23+'МК ЛифтМаркет'!BQ23+'МК Укркотлопром'!BQ23+'МК Подгорцы.Забор'!BQ23+PL_Металлизация!DE23+'МД Бытовка ИТР Нежин'!BQ23+'МК Металургбуд.поддоны'!BQ23+'МК Нежин-3'!BQ23+'МК РДК.Кран'!BQ23+'МК Ворота.Запорожье'!BQ23+'МД ВООЗ'!BQ23+'МД Казарма.Рекламация'!BQ23</f>
        <v>0</v>
      </c>
      <c r="BR23" s="3349">
        <f t="shared" si="35"/>
        <v>0</v>
      </c>
      <c r="BS23" s="4697" t="e">
        <f t="shared" si="49"/>
        <v>#DIV/0!</v>
      </c>
      <c r="BT23" s="1055"/>
      <c r="BU23" s="3341">
        <f>PL_ЦО_Производство!BU23+'МД ООН'!BU23+'МК Ладыжин-3'!BU23+'МК Староконстантинов'!BU23+'МК Армокаркасы'!BU23+'МК Щедро. Флекситанки'!BU23+'МК ЛифтМаркет'!BU23+'МК Укркотлопром'!BU23+'МК Подгорцы.Забор'!BU23+PL_Металлизация!DI23+'МД Бытовка ИТР Нежин'!BU23+'МК Металургбуд.поддоны'!BU23+'МК Нежин-3'!BU23+'МК РДК.Кран'!BU23+'МК Ворота.Запорожье'!BU23+'МД ВООЗ'!BU23+'МД Казарма.Рекламация'!BU23</f>
        <v>0</v>
      </c>
      <c r="BV23" s="3341">
        <f>PL_ЦО_Производство!BV23+'МД ООН'!BV23+'МК Ладыжин-3'!BV23+'МК Староконстантинов'!BV23+'МК Армокаркасы'!BV23+'МК Щедро. Флекситанки'!BV23+'МК ЛифтМаркет'!BV23+'МК Укркотлопром'!BV23+'МК Подгорцы.Забор'!BV23+PL_Металлизация!DJ23+'МД Бытовка ИТР Нежин'!BV23+'МК Металургбуд.поддоны'!BV23+'МК Нежин-3'!BV23+'МК РДК.Кран'!BV23+'МК Ворота.Запорожье'!BV23+'МД ВООЗ'!BV23+'МД Казарма.Рекламация'!BV23</f>
        <v>0</v>
      </c>
      <c r="BW23" s="3349">
        <f t="shared" si="36"/>
        <v>0</v>
      </c>
      <c r="BX23" s="4697" t="e">
        <f t="shared" si="50"/>
        <v>#DIV/0!</v>
      </c>
      <c r="BY23" s="1055"/>
      <c r="BZ23" s="3341">
        <f>PL_ЦО_Производство!BZ23+'МД ООН'!BZ23+'МК Ладыжин-3'!BZ23+'МК Староконстантинов'!BZ23+'МК Армокаркасы'!BZ23+'МК Щедро. Флекситанки'!BZ23+'МК ЛифтМаркет'!BZ23+'МК Укркотлопром'!BZ23+'МК Подгорцы.Забор'!BZ23+PL_Металлизация!DN23+'МД Бытовка ИТР Нежин'!BZ23+'МК Металургбуд.поддоны'!BZ23+'МК Нежин-3'!BZ23+'МК РДК.Кран'!BZ23+'МК Ворота.Запорожье'!BZ23+'МД ВООЗ'!BZ23+'МД Казарма.Рекламация'!BZ23</f>
        <v>0</v>
      </c>
      <c r="CA23" s="3341">
        <f>PL_ЦО_Производство!CA23+'МД ООН'!CA23+'МК Ладыжин-3'!CA23+'МК Староконстантинов'!CA23+'МК Армокаркасы'!CA23+'МК Щедро. Флекситанки'!CA23+'МК ЛифтМаркет'!CA23+'МК Укркотлопром'!CA23+'МК Подгорцы.Забор'!CA23+PL_Металлизация!DO23+'МД Бытовка ИТР Нежин'!CA23+'МК Металургбуд.поддоны'!CA23+'МК Нежин-3'!CA23+'МК РДК.Кран'!CA23+'МК Ворота.Запорожье'!CA23+'МД ВООЗ'!CA23+'МД Казарма.Рекламация'!CA23</f>
        <v>0</v>
      </c>
      <c r="CB23" s="3349">
        <f t="shared" si="37"/>
        <v>0</v>
      </c>
      <c r="CC23" s="4697" t="e">
        <f t="shared" si="51"/>
        <v>#DIV/0!</v>
      </c>
      <c r="CD23" s="1055"/>
      <c r="CE23" s="3341">
        <f>PL_ЦО_Производство!CE23+'МД ООН'!CE23+'МК Ладыжин-3'!CE23+'МК Староконстантинов'!CE23+'МК Армокаркасы'!CE23+'МК Щедро. Флекситанки'!CE23+'МК ЛифтМаркет'!CE23+'МК Укркотлопром'!CE23+'МК Подгорцы.Забор'!CE23+PL_Металлизация!DS23+'МД Бытовка ИТР Нежин'!CE23+'МК Металургбуд.поддоны'!CE23+'МК Нежин-3'!CE23+'МК РДК.Кран'!CE23+'МК Ворота.Запорожье'!CE23+'МД ВООЗ'!CE23+'МД Казарма.Рекламация'!CE23</f>
        <v>0</v>
      </c>
      <c r="CF23" s="3341">
        <f>PL_ЦО_Производство!CF23+'МД ООН'!CF23+'МК Ладыжин-3'!CF23+'МК Староконстантинов'!CF23+'МК Армокаркасы'!CF23+'МК Щедро. Флекситанки'!CF23+'МК ЛифтМаркет'!CF23+'МК Укркотлопром'!CF23+'МК Подгорцы.Забор'!CF23+PL_Металлизация!DT23+'МД Бытовка ИТР Нежин'!CF23+'МК Металургбуд.поддоны'!CF23+'МК Нежин-3'!CF23+'МК РДК.Кран'!CF23+'МК Ворота.Запорожье'!CF23+'МД ВООЗ'!CF23+'МД Казарма.Рекламация'!CF23</f>
        <v>0</v>
      </c>
      <c r="CG23" s="3349">
        <f t="shared" si="38"/>
        <v>0</v>
      </c>
      <c r="CH23" s="4697" t="e">
        <f t="shared" si="52"/>
        <v>#DIV/0!</v>
      </c>
      <c r="CI23" s="1055"/>
      <c r="CJ23" s="3341">
        <f t="shared" si="39"/>
        <v>0</v>
      </c>
      <c r="CK23" s="3341">
        <f t="shared" si="39"/>
        <v>0</v>
      </c>
      <c r="CL23" s="3349">
        <f t="shared" si="53"/>
        <v>0</v>
      </c>
      <c r="CM23" s="4697">
        <f t="shared" si="40"/>
        <v>0</v>
      </c>
      <c r="CN23" s="1434"/>
    </row>
    <row r="24" spans="1:95" s="1396" customFormat="1" ht="13.8" outlineLevel="2">
      <c r="A24" s="1571"/>
      <c r="B24" s="4698" t="s">
        <v>23</v>
      </c>
      <c r="C24" s="3341"/>
      <c r="D24" s="3341"/>
      <c r="E24" s="3349">
        <f t="shared" si="19"/>
        <v>0</v>
      </c>
      <c r="F24" s="4697" t="e">
        <f t="shared" si="16"/>
        <v>#DIV/0!</v>
      </c>
      <c r="G24" s="3342"/>
      <c r="H24" s="3341"/>
      <c r="I24" s="3341"/>
      <c r="J24" s="3349">
        <f t="shared" si="20"/>
        <v>0</v>
      </c>
      <c r="K24" s="4697" t="e">
        <f t="shared" si="41"/>
        <v>#DIV/0!</v>
      </c>
      <c r="L24" s="3342"/>
      <c r="M24" s="3341"/>
      <c r="N24" s="3341"/>
      <c r="O24" s="3349">
        <f t="shared" si="21"/>
        <v>0</v>
      </c>
      <c r="P24" s="4697" t="e">
        <f t="shared" si="22"/>
        <v>#DIV/0!</v>
      </c>
      <c r="Q24" s="3342"/>
      <c r="R24" s="3427">
        <f>PL_Производство!BF24</f>
        <v>1132507.2</v>
      </c>
      <c r="S24" s="3427">
        <f>PL_Производство!BG24</f>
        <v>0</v>
      </c>
      <c r="T24" s="2012">
        <f t="shared" si="23"/>
        <v>1132507.2</v>
      </c>
      <c r="U24" s="3342"/>
      <c r="V24" s="3342"/>
      <c r="W24" s="3342">
        <f t="shared" si="24"/>
        <v>453800</v>
      </c>
      <c r="X24" s="3342">
        <f t="shared" si="24"/>
        <v>0</v>
      </c>
      <c r="Y24" s="2012">
        <f t="shared" si="25"/>
        <v>453800</v>
      </c>
      <c r="Z24" s="3342"/>
      <c r="AA24" s="3342"/>
      <c r="AB24" s="3341">
        <f>PL_ЦО_Производство!AB24+'МД ООН'!AB24+'МК Ладыжин-3'!AB24+'МК Староконстантинов'!AB24+'МК Армокаркасы'!AB24+'МК Щедро. Флекситанки'!AB24+'МК ЛифтМаркет'!AB24+'МК Укркотлопром'!AB24+'МК Подгорцы.Забор'!AB24+PL_Металлизация!BP24+'МД Бытовка ИТР Нежин'!AB24+'МК Металургбуд.поддоны'!AB24</f>
        <v>267100</v>
      </c>
      <c r="AC24" s="3341">
        <f>PL_ЦО_Производство!AC24+'МД ООН'!AC24+'МК Ладыжин-3'!AC24+'МК Староконстантинов'!AC24+'МК Армокаркасы'!AC24+'МК Щедро. Флекситанки'!AC24+'МК ЛифтМаркет'!AC24+'МК Укркотлопром'!AC24+'МК Подгорцы.Забор'!AC24+PL_Металлизация!BQ24+'МД Бытовка ИТР Нежин'!AC24+'МК Металургбуд.поддоны'!AC24</f>
        <v>0</v>
      </c>
      <c r="AD24" s="3349">
        <f t="shared" si="26"/>
        <v>267100</v>
      </c>
      <c r="AE24" s="4697">
        <f t="shared" si="27"/>
        <v>0.17025182237636802</v>
      </c>
      <c r="AF24" s="3342"/>
      <c r="AG24" s="3341">
        <f>PL_ЦО_Производство!AG24+'МД ООН'!AG24+'МК Ладыжин-3'!AG24+'МК Староконстантинов'!AG24+'МК Армокаркасы'!AG24+'МК Щедро. Флекситанки'!AG24+'МК ЛифтМаркет'!AG24+'МК Укркотлопром'!AG24+'МК Подгорцы.Забор'!AG24+PL_Металлизация!BU24+'МД Бытовка ИТР Нежин'!AG24+'МК Металургбуд.поддоны'!AG24</f>
        <v>12100</v>
      </c>
      <c r="AH24" s="3341">
        <f>PL_ЦО_Производство!AH24+'МД ООН'!AH24+'МК Ладыжин-3'!AH24+'МК Староконстантинов'!AH24+'МК Армокаркасы'!AH24+'МК Щедро. Флекситанки'!AH24+'МК ЛифтМаркет'!AH24+'МК Укркотлопром'!AH24+'МК Подгорцы.Забор'!AH24+PL_Металлизация!BV24+'МД Бытовка ИТР Нежин'!AH24+'МК Металургбуд.поддоны'!AH24</f>
        <v>0</v>
      </c>
      <c r="AI24" s="3349">
        <f t="shared" si="28"/>
        <v>12100</v>
      </c>
      <c r="AJ24" s="4697">
        <f t="shared" si="42"/>
        <v>7.5443437361051961E-3</v>
      </c>
      <c r="AK24" s="3342"/>
      <c r="AL24" s="3341">
        <f>PL_ЦО_Производство!AL24+'МД ООН'!AL24+'МК Ладыжин-3'!AL24+'МК Староконстантинов'!AL24+'МК Армокаркасы'!AL24+'МК Щедро. Флекситанки'!AL24+'МК ЛифтМаркет'!AL24+'МК Укркотлопром'!AL24+'МК Подгорцы.Забор'!AL24+PL_Металлизация!BZ24+'МД Бытовка ИТР Нежин'!AL24+'МК Металургбуд.поддоны'!AL24+'МК Нежин-3'!AL24</f>
        <v>68440</v>
      </c>
      <c r="AM24" s="3341">
        <f>PL_ЦО_Производство!AM24+'МД ООН'!AM24+'МК Ладыжин-3'!AM24+'МК Староконстантинов'!AM24+'МК Армокаркасы'!AM24+'МК Щедро. Флекситанки'!AM24+'МК ЛифтМаркет'!AM24+'МК Укркотлопром'!AM24+'МК Подгорцы.Забор'!AM24+PL_Металлизация!CA24+'МД Бытовка ИТР Нежин'!AM24+'МК Металургбуд.поддоны'!AM24+'МК Нежин-3'!AM24</f>
        <v>0</v>
      </c>
      <c r="AN24" s="3349">
        <f t="shared" si="29"/>
        <v>68440</v>
      </c>
      <c r="AO24" s="4697">
        <f t="shared" si="43"/>
        <v>3.2812674426741024E-2</v>
      </c>
      <c r="AP24" s="3342"/>
      <c r="AQ24" s="3341">
        <f>PL_ЦО_Производство!AQ24+'МД ООН'!AQ24+'МК Ладыжин-3'!AQ24+'МК Староконстантинов'!AQ24+'МК Армокаркасы'!AQ24+'МК Щедро. Флекситанки'!AQ24+'МК ЛифтМаркет'!AQ24+'МК Укркотлопром'!AQ24+'МК Подгорцы.Забор'!AQ24+PL_Металлизация!CE24+'МД Бытовка ИТР Нежин'!AQ24+'МК Металургбуд.поддоны'!AQ24+'МК Нежин-3'!AQ24</f>
        <v>14820</v>
      </c>
      <c r="AR24" s="3341">
        <f>PL_ЦО_Производство!AR24+'МД ООН'!AR24+'МК Ладыжин-3'!AR24+'МК Староконстантинов'!AR24+'МК Армокаркасы'!AR24+'МК Щедро. Флекситанки'!AR24+'МК ЛифтМаркет'!AR24+'МК Укркотлопром'!AR24+'МК Подгорцы.Забор'!AR24+PL_Металлизация!CF24+'МД Бытовка ИТР Нежин'!AR24+'МК Металургбуд.поддоны'!AR24+'МК Нежин-3'!AR24</f>
        <v>0</v>
      </c>
      <c r="AS24" s="3349">
        <f t="shared" si="30"/>
        <v>14820</v>
      </c>
      <c r="AT24" s="4697">
        <f t="shared" si="44"/>
        <v>9.552533704424649E-3</v>
      </c>
      <c r="AU24" s="3342"/>
      <c r="AV24" s="3341">
        <f>PL_ЦО_Производство!AV24+'МД ООН'!AV24+'МК Армокаркасы'!AV24+'МК Подгорцы.Забор'!AV24+'МК Нежин-3'!AV24+'МК РДК.Кран'!AV24+'МК Ворота.Запорожье'!AV24+'МД ВООЗ'!AV24+'МД Казарма.Рекламация'!AV24</f>
        <v>91100</v>
      </c>
      <c r="AW24" s="3341">
        <f>PL_ЦО_Производство!AW24+'МД ООН'!AW24+'МК Армокаркасы'!AW24+'МК Подгорцы.Забор'!AW24+'МК Нежин-3'!AW24+'МК РДК.Кран'!AW24+'МК Ворота.Запорожье'!AW24+'МД ВООЗ'!AW24+'МД Казарма.Рекламация'!AW24</f>
        <v>0</v>
      </c>
      <c r="AX24" s="3349">
        <f t="shared" si="31"/>
        <v>91100</v>
      </c>
      <c r="AY24" s="4697">
        <f t="shared" si="45"/>
        <v>6.811104300732132E-2</v>
      </c>
      <c r="AZ24" s="3342"/>
      <c r="BA24" s="3341">
        <f>PL_ЦО_Производство!BA24+'МД ООН'!BA24+'МК Ладыжин-3'!BA24+'МК Староконстантинов'!BA24+'МК Армокаркасы'!BA24+'МК Щедро. Флекситанки'!BA24+'МК ЛифтМаркет'!BA24+'МК Укркотлопром'!BA24+'МК Подгорцы.Забор'!BA24+PL_Металлизация!CO24+'МД Бытовка ИТР Нежин'!BA24+'МК Металургбуд.поддоны'!BA24+'МК Нежин-3'!BA24+'МК РДК.Кран'!BA24+'МК Ворота.Запорожье'!BA24+'МД ВООЗ'!BA24+'МД Казарма.Рекламация'!BA24</f>
        <v>240</v>
      </c>
      <c r="BB24" s="3341">
        <f>PL_ЦО_Производство!BB24+'МД ООН'!BB24+'МК Ладыжин-3'!BB24+'МК Староконстантинов'!BB24+'МК Армокаркасы'!BB24+'МК Щедро. Флекситанки'!BB24+'МК ЛифтМаркет'!BB24+'МК Укркотлопром'!BB24+'МК Подгорцы.Забор'!BB24+PL_Металлизация!CP24+'МД Бытовка ИТР Нежин'!BB24+'МК Металургбуд.поддоны'!BB24+'МК Нежин-3'!BB24+'МК РДК.Кран'!BB24+'МК Ворота.Запорожье'!BB24+'МД ВООЗ'!BB24+'МД Казарма.Рекламация'!BB24</f>
        <v>0</v>
      </c>
      <c r="BC24" s="3349">
        <f t="shared" si="32"/>
        <v>240</v>
      </c>
      <c r="BD24" s="4697">
        <f t="shared" si="46"/>
        <v>1.8207558604410874E-4</v>
      </c>
      <c r="BE24" s="3342"/>
      <c r="BF24" s="3341">
        <f>PL_ЦО_Производство!BF24+'МД ООН'!BF24+'МК Ладыжин-3'!BF24+'МК Староконстантинов'!BF24+'МК Армокаркасы'!BF24+'МК Щедро. Флекситанки'!BF24+'МК ЛифтМаркет'!BF24+'МК Укркотлопром'!BF24+'МК Подгорцы.Забор'!BF24+PL_Металлизация!CT24+'МД Бытовка ИТР Нежин'!BF24+'МК Металургбуд.поддоны'!BF24+'МК Нежин-3'!BF24+'МК РДК.Кран'!BF24+'МК Ворота.Запорожье'!BF24+'МД ВООЗ'!BF24+'МД Казарма.Рекламация'!BF24</f>
        <v>0</v>
      </c>
      <c r="BG24" s="3341">
        <f>PL_ЦО_Производство!BG24+'МД ООН'!BG24+'МК Ладыжин-3'!BG24+'МК Староконстантинов'!BG24+'МК Армокаркасы'!BG24+'МК Щедро. Флекситанки'!BG24+'МК ЛифтМаркет'!BG24+'МК Укркотлопром'!BG24+'МК Подгорцы.Забор'!BG24+PL_Металлизация!CU24+'МД Бытовка ИТР Нежин'!BG24+'МК Металургбуд.поддоны'!BG24+'МК Нежин-3'!BG24+'МК РДК.Кран'!BG24+'МК Ворота.Запорожье'!BG24+'МД ВООЗ'!BG24+'МД Казарма.Рекламация'!BG24</f>
        <v>0</v>
      </c>
      <c r="BH24" s="3349">
        <f t="shared" si="33"/>
        <v>0</v>
      </c>
      <c r="BI24" s="4697" t="e">
        <f t="shared" si="47"/>
        <v>#DIV/0!</v>
      </c>
      <c r="BJ24" s="3342"/>
      <c r="BK24" s="3341">
        <f>PL_ЦО_Производство!BK24+'МД ООН'!BK24+'МК Ладыжин-3'!BK24+'МК Староконстантинов'!BK24+'МК Армокаркасы'!BK24+'МК Щедро. Флекситанки'!BK24+'МК ЛифтМаркет'!BK24+'МК Укркотлопром'!BK24+'МК Подгорцы.Забор'!BK24+PL_Металлизация!CY24+'МД Бытовка ИТР Нежин'!BK24+'МК Металургбуд.поддоны'!BK24+'МК Нежин-3'!BK24+'МК РДК.Кран'!BK24+'МК Ворота.Запорожье'!BK24+'МД ВООЗ'!BK24+'МД Казарма.Рекламация'!BK24</f>
        <v>0</v>
      </c>
      <c r="BL24" s="3341">
        <f>PL_ЦО_Производство!BL24+'МД ООН'!BL24+'МК Ладыжин-3'!BL24+'МК Староконстантинов'!BL24+'МК Армокаркасы'!BL24+'МК Щедро. Флекситанки'!BL24+'МК ЛифтМаркет'!BL24+'МК Укркотлопром'!BL24+'МК Подгорцы.Забор'!BL24+PL_Металлизация!CZ24+'МД Бытовка ИТР Нежин'!BL24+'МК Металургбуд.поддоны'!BL24+'МК Нежин-3'!BL24+'МК РДК.Кран'!BL24+'МК Ворота.Запорожье'!BL24+'МД ВООЗ'!BL24+'МД Казарма.Рекламация'!BL24</f>
        <v>0</v>
      </c>
      <c r="BM24" s="3349">
        <f t="shared" si="34"/>
        <v>0</v>
      </c>
      <c r="BN24" s="4697" t="e">
        <f t="shared" si="48"/>
        <v>#DIV/0!</v>
      </c>
      <c r="BO24" s="3342"/>
      <c r="BP24" s="3341">
        <f>PL_ЦО_Производство!BP24+'МД ООН'!BP24+'МК Ладыжин-3'!BP24+'МК Староконстантинов'!BP24+'МК Армокаркасы'!BP24+'МК Щедро. Флекситанки'!BP24+'МК ЛифтМаркет'!BP24+'МК Укркотлопром'!BP24+'МК Подгорцы.Забор'!BP24+PL_Металлизация!DD24+'МД Бытовка ИТР Нежин'!BP24+'МК Металургбуд.поддоны'!BP24+'МК Нежин-3'!BP24+'МК РДК.Кран'!BP24+'МК Ворота.Запорожье'!BP24+'МД ВООЗ'!BP24+'МД Казарма.Рекламация'!BP24</f>
        <v>0</v>
      </c>
      <c r="BQ24" s="3341">
        <f>PL_ЦО_Производство!BQ24+'МД ООН'!BQ24+'МК Ладыжин-3'!BQ24+'МК Староконстантинов'!BQ24+'МК Армокаркасы'!BQ24+'МК Щедро. Флекситанки'!BQ24+'МК ЛифтМаркет'!BQ24+'МК Укркотлопром'!BQ24+'МК Подгорцы.Забор'!BQ24+PL_Металлизация!DE24+'МД Бытовка ИТР Нежин'!BQ24+'МК Металургбуд.поддоны'!BQ24+'МК Нежин-3'!BQ24+'МК РДК.Кран'!BQ24+'МК Ворота.Запорожье'!BQ24+'МД ВООЗ'!BQ24+'МД Казарма.Рекламация'!BQ24</f>
        <v>0</v>
      </c>
      <c r="BR24" s="3349">
        <f t="shared" si="35"/>
        <v>0</v>
      </c>
      <c r="BS24" s="4697" t="e">
        <f t="shared" si="49"/>
        <v>#DIV/0!</v>
      </c>
      <c r="BT24" s="3342"/>
      <c r="BU24" s="3341">
        <f>PL_ЦО_Производство!BU24+'МД ООН'!BU24+'МК Ладыжин-3'!BU24+'МК Староконстантинов'!BU24+'МК Армокаркасы'!BU24+'МК Щедро. Флекситанки'!BU24+'МК ЛифтМаркет'!BU24+'МК Укркотлопром'!BU24+'МК Подгорцы.Забор'!BU24+PL_Металлизация!DI24+'МД Бытовка ИТР Нежин'!BU24+'МК Металургбуд.поддоны'!BU24+'МК Нежин-3'!BU24+'МК РДК.Кран'!BU24+'МК Ворота.Запорожье'!BU24+'МД ВООЗ'!BU24+'МД Казарма.Рекламация'!BU24</f>
        <v>0</v>
      </c>
      <c r="BV24" s="3341">
        <f>PL_ЦО_Производство!BV24+'МД ООН'!BV24+'МК Ладыжин-3'!BV24+'МК Староконстантинов'!BV24+'МК Армокаркасы'!BV24+'МК Щедро. Флекситанки'!BV24+'МК ЛифтМаркет'!BV24+'МК Укркотлопром'!BV24+'МК Подгорцы.Забор'!BV24+PL_Металлизация!DJ24+'МД Бытовка ИТР Нежин'!BV24+'МК Металургбуд.поддоны'!BV24+'МК Нежин-3'!BV24+'МК РДК.Кран'!BV24+'МК Ворота.Запорожье'!BV24+'МД ВООЗ'!BV24+'МД Казарма.Рекламация'!BV24</f>
        <v>0</v>
      </c>
      <c r="BW24" s="3349">
        <f t="shared" si="36"/>
        <v>0</v>
      </c>
      <c r="BX24" s="4697" t="e">
        <f t="shared" si="50"/>
        <v>#DIV/0!</v>
      </c>
      <c r="BY24" s="3342"/>
      <c r="BZ24" s="3341">
        <f>PL_ЦО_Производство!BZ24+'МД ООН'!BZ24+'МК Ладыжин-3'!BZ24+'МК Староконстантинов'!BZ24+'МК Армокаркасы'!BZ24+'МК Щедро. Флекситанки'!BZ24+'МК ЛифтМаркет'!BZ24+'МК Укркотлопром'!BZ24+'МК Подгорцы.Забор'!BZ24+PL_Металлизация!DN24+'МД Бытовка ИТР Нежин'!BZ24+'МК Металургбуд.поддоны'!BZ24+'МК Нежин-3'!BZ24+'МК РДК.Кран'!BZ24+'МК Ворота.Запорожье'!BZ24+'МД ВООЗ'!BZ24+'МД Казарма.Рекламация'!BZ24</f>
        <v>0</v>
      </c>
      <c r="CA24" s="3341">
        <f>PL_ЦО_Производство!CA24+'МД ООН'!CA24+'МК Ладыжин-3'!CA24+'МК Староконстантинов'!CA24+'МК Армокаркасы'!CA24+'МК Щедро. Флекситанки'!CA24+'МК ЛифтМаркет'!CA24+'МК Укркотлопром'!CA24+'МК Подгорцы.Забор'!CA24+PL_Металлизация!DO24+'МД Бытовка ИТР Нежин'!CA24+'МК Металургбуд.поддоны'!CA24+'МК Нежин-3'!CA24+'МК РДК.Кран'!CA24+'МК Ворота.Запорожье'!CA24+'МД ВООЗ'!CA24+'МД Казарма.Рекламация'!CA24</f>
        <v>0</v>
      </c>
      <c r="CB24" s="3349">
        <f t="shared" si="37"/>
        <v>0</v>
      </c>
      <c r="CC24" s="4697" t="e">
        <f t="shared" si="51"/>
        <v>#DIV/0!</v>
      </c>
      <c r="CD24" s="3342"/>
      <c r="CE24" s="3341">
        <f>PL_ЦО_Производство!CE24+'МД ООН'!CE24+'МК Ладыжин-3'!CE24+'МК Староконстантинов'!CE24+'МК Армокаркасы'!CE24+'МК Щедро. Флекситанки'!CE24+'МК ЛифтМаркет'!CE24+'МК Укркотлопром'!CE24+'МК Подгорцы.Забор'!CE24+PL_Металлизация!DS24+'МД Бытовка ИТР Нежин'!CE24+'МК Металургбуд.поддоны'!CE24+'МК Нежин-3'!CE24+'МК РДК.Кран'!CE24+'МК Ворота.Запорожье'!CE24+'МД ВООЗ'!CE24+'МД Казарма.Рекламация'!CE24</f>
        <v>0</v>
      </c>
      <c r="CF24" s="3341">
        <f>PL_ЦО_Производство!CF24+'МД ООН'!CF24+'МК Ладыжин-3'!CF24+'МК Староконстантинов'!CF24+'МК Армокаркасы'!CF24+'МК Щедро. Флекситанки'!CF24+'МК ЛифтМаркет'!CF24+'МК Укркотлопром'!CF24+'МК Подгорцы.Забор'!CF24+PL_Металлизация!DT24+'МД Бытовка ИТР Нежин'!CF24+'МК Металургбуд.поддоны'!CF24+'МК Нежин-3'!CF24+'МК РДК.Кран'!CF24+'МК Ворота.Запорожье'!CF24+'МД ВООЗ'!CF24+'МД Казарма.Рекламация'!CF24</f>
        <v>0</v>
      </c>
      <c r="CG24" s="3349">
        <f t="shared" si="38"/>
        <v>0</v>
      </c>
      <c r="CH24" s="4697" t="e">
        <f t="shared" si="52"/>
        <v>#DIV/0!</v>
      </c>
      <c r="CI24" s="3342"/>
      <c r="CJ24" s="3341">
        <f t="shared" si="39"/>
        <v>1586307.2</v>
      </c>
      <c r="CK24" s="3341">
        <f t="shared" si="39"/>
        <v>0</v>
      </c>
      <c r="CL24" s="3349">
        <f t="shared" si="53"/>
        <v>1586307.2</v>
      </c>
      <c r="CM24" s="4697">
        <f t="shared" si="40"/>
        <v>3.1131563973787902E-2</v>
      </c>
      <c r="CN24" s="1434"/>
    </row>
    <row r="25" spans="1:95" s="1396" customFormat="1" ht="13.8" outlineLevel="2">
      <c r="A25" s="1571"/>
      <c r="B25" s="4698" t="s">
        <v>24</v>
      </c>
      <c r="C25" s="3341"/>
      <c r="D25" s="3341"/>
      <c r="E25" s="3349">
        <f t="shared" si="19"/>
        <v>0</v>
      </c>
      <c r="F25" s="4697" t="e">
        <f t="shared" si="16"/>
        <v>#DIV/0!</v>
      </c>
      <c r="G25" s="3342"/>
      <c r="H25" s="3341"/>
      <c r="I25" s="3341"/>
      <c r="J25" s="3349">
        <f t="shared" si="20"/>
        <v>0</v>
      </c>
      <c r="K25" s="4697" t="e">
        <f t="shared" si="41"/>
        <v>#DIV/0!</v>
      </c>
      <c r="L25" s="3342"/>
      <c r="M25" s="3341"/>
      <c r="N25" s="3341"/>
      <c r="O25" s="3349">
        <f t="shared" si="21"/>
        <v>0</v>
      </c>
      <c r="P25" s="4697" t="e">
        <f t="shared" si="22"/>
        <v>#DIV/0!</v>
      </c>
      <c r="Q25" s="3342"/>
      <c r="R25" s="3427">
        <f>PL_Производство!BF25</f>
        <v>551921.03</v>
      </c>
      <c r="S25" s="3427">
        <f>PL_Производство!BG25</f>
        <v>4067.9000000000005</v>
      </c>
      <c r="T25" s="2012">
        <f t="shared" si="23"/>
        <v>555988.93000000005</v>
      </c>
      <c r="U25" s="3342"/>
      <c r="V25" s="3342"/>
      <c r="W25" s="3342">
        <f t="shared" si="24"/>
        <v>742485.90600000008</v>
      </c>
      <c r="X25" s="3342">
        <f t="shared" si="24"/>
        <v>0</v>
      </c>
      <c r="Y25" s="2012">
        <f t="shared" si="25"/>
        <v>742485.90600000008</v>
      </c>
      <c r="Z25" s="3342"/>
      <c r="AA25" s="3342"/>
      <c r="AB25" s="3341">
        <f>PL_ЦО_Производство!AB25+'МД ООН'!AB25+'МК Ладыжин-3'!AB25+'МК Староконстантинов'!AB25+'МК Армокаркасы'!AB25+'МК Щедро. Флекситанки'!AB25+'МК ЛифтМаркет'!AB25+'МК Укркотлопром'!AB25+'МК Подгорцы.Забор'!AB25+PL_Металлизация!BP25+'МД Бытовка ИТР Нежин'!AB25+'МК Металургбуд.поддоны'!AB25</f>
        <v>2580.73</v>
      </c>
      <c r="AC25" s="3341">
        <f>PL_ЦО_Производство!AC25+'МД ООН'!AC25+'МК Ладыжин-3'!AC25+'МК Староконстантинов'!AC25+'МК Армокаркасы'!AC25+'МК Щедро. Флекситанки'!AC25+'МК ЛифтМаркет'!AC25+'МК Укркотлопром'!AC25+'МК Подгорцы.Забор'!AC25+PL_Металлизация!BQ25+'МД Бытовка ИТР Нежин'!AC25+'МК Металургбуд.поддоны'!AC25</f>
        <v>0</v>
      </c>
      <c r="AD25" s="3349">
        <f t="shared" si="26"/>
        <v>2580.73</v>
      </c>
      <c r="AE25" s="4697">
        <f t="shared" si="27"/>
        <v>1.6449793544042091E-3</v>
      </c>
      <c r="AF25" s="3342"/>
      <c r="AG25" s="3341">
        <f>PL_ЦО_Производство!AG25+'МД ООН'!AG25+'МК Ладыжин-3'!AG25+'МК Староконстантинов'!AG25+'МК Армокаркасы'!AG25+'МК Щедро. Флекситанки'!AG25+'МК ЛифтМаркет'!AG25+'МК Укркотлопром'!AG25+'МК Подгорцы.Забор'!AG25+PL_Металлизация!BU25+'МД Бытовка ИТР Нежин'!AG25+'МК Металургбуд.поддоны'!AG25</f>
        <v>141509.136</v>
      </c>
      <c r="AH25" s="3341">
        <f>PL_ЦО_Производство!AH25+'МД ООН'!AH25+'МК Ладыжин-3'!AH25+'МК Староконстантинов'!AH25+'МК Армокаркасы'!AH25+'МК Щедро. Флекситанки'!AH25+'МК ЛифтМаркет'!AH25+'МК Укркотлопром'!AH25+'МК Подгорцы.Забор'!AH25+PL_Металлизация!BV25+'МД Бытовка ИТР Нежин'!AH25+'МК Металургбуд.поддоны'!AH25</f>
        <v>0</v>
      </c>
      <c r="AI25" s="3349">
        <f t="shared" si="28"/>
        <v>141509.136</v>
      </c>
      <c r="AJ25" s="4697">
        <f t="shared" si="42"/>
        <v>8.8230873039938706E-2</v>
      </c>
      <c r="AK25" s="3342"/>
      <c r="AL25" s="3341">
        <f>PL_ЦО_Производство!AL25+'МД ООН'!AL25+'МК Ладыжин-3'!AL25+'МК Староконстантинов'!AL25+'МК Армокаркасы'!AL25+'МК Щедро. Флекситанки'!AL25+'МК ЛифтМаркет'!AL25+'МК Укркотлопром'!AL25+'МК Подгорцы.Забор'!AL25+PL_Металлизация!BZ25+'МД Бытовка ИТР Нежин'!AL25+'МК Металургбуд.поддоны'!AL25+'МК Нежин-3'!AL25</f>
        <v>189680.47600000002</v>
      </c>
      <c r="AM25" s="3341">
        <f>PL_ЦО_Производство!AM25+'МД ООН'!AM25+'МК Ладыжин-3'!AM25+'МК Староконстантинов'!AM25+'МК Армокаркасы'!AM25+'МК Щедро. Флекситанки'!AM25+'МК ЛифтМаркет'!AM25+'МК Укркотлопром'!AM25+'МК Подгорцы.Забор'!AM25+PL_Металлизация!CA25+'МД Бытовка ИТР Нежин'!AM25+'МК Металургбуд.поддоны'!AM25+'МК Нежин-3'!AM25</f>
        <v>0</v>
      </c>
      <c r="AN25" s="3349">
        <f t="shared" si="29"/>
        <v>189680.47600000002</v>
      </c>
      <c r="AO25" s="4697">
        <f t="shared" si="43"/>
        <v>9.0939855407616399E-2</v>
      </c>
      <c r="AP25" s="3342"/>
      <c r="AQ25" s="3341">
        <f>PL_ЦО_Производство!AQ25+'МД ООН'!AQ25+'МК Ладыжин-3'!AQ25+'МК Староконстантинов'!AQ25+'МК Армокаркасы'!AQ25+'МК Щедро. Флекситанки'!AQ25+'МК ЛифтМаркет'!AQ25+'МК Укркотлопром'!AQ25+'МК Подгорцы.Забор'!AQ25+PL_Металлизация!CE25+'МД Бытовка ИТР Нежин'!AQ25+'МК Металургбуд.поддоны'!AQ25+'МК Нежин-3'!AQ25</f>
        <v>100320.52</v>
      </c>
      <c r="AR25" s="3341">
        <f>PL_ЦО_Производство!AR25+'МД ООН'!AR25+'МК Ладыжин-3'!AR25+'МК Староконстантинов'!AR25+'МК Армокаркасы'!AR25+'МК Щедро. Флекситанки'!AR25+'МК ЛифтМаркет'!AR25+'МК Укркотлопром'!AR25+'МК Подгорцы.Забор'!AR25+PL_Металлизация!CF25+'МД Бытовка ИТР Нежин'!AR25+'МК Металургбуд.поддоны'!AR25+'МК Нежин-3'!AR25</f>
        <v>0</v>
      </c>
      <c r="AS25" s="3349">
        <f t="shared" si="30"/>
        <v>100320.52</v>
      </c>
      <c r="AT25" s="4697">
        <f t="shared" si="44"/>
        <v>6.4663640252726529E-2</v>
      </c>
      <c r="AU25" s="3342"/>
      <c r="AV25" s="3341">
        <f>PL_ЦО_Производство!AV25+'МД ООН'!AV25+'МК Армокаркасы'!AV25+'МК Подгорцы.Забор'!AV25+'МК Нежин-3'!AV25+'МК РДК.Кран'!AV25+'МК Ворота.Запорожье'!AV25+'МД ВООЗ'!AV25+'МД Казарма.Рекламация'!AV25</f>
        <v>256972.25999999998</v>
      </c>
      <c r="AW25" s="3341">
        <f>PL_ЦО_Производство!AW25+'МД ООН'!AW25+'МК Армокаркасы'!AW25+'МК Подгорцы.Забор'!AW25+'МК Нежин-3'!AW25+'МК РДК.Кран'!AW25+'МК Ворота.Запорожье'!AW25+'МД ВООЗ'!AW25+'МД Казарма.Рекламация'!AW25</f>
        <v>0</v>
      </c>
      <c r="AX25" s="3349">
        <f t="shared" si="31"/>
        <v>256972.25999999998</v>
      </c>
      <c r="AY25" s="4697">
        <f t="shared" si="45"/>
        <v>0.19212567126837052</v>
      </c>
      <c r="AZ25" s="3342"/>
      <c r="BA25" s="3341">
        <f>PL_ЦО_Производство!BA25+'МД ООН'!BA25+'МК Ладыжин-3'!BA25+'МК Староконстантинов'!BA25+'МК Армокаркасы'!BA25+'МК Щедро. Флекситанки'!BA25+'МК ЛифтМаркет'!BA25+'МК Укркотлопром'!BA25+'МК Подгорцы.Забор'!BA25+PL_Металлизация!CO25+'МД Бытовка ИТР Нежин'!BA25+'МК Металургбуд.поддоны'!BA25+'МК Нежин-3'!BA25+'МК РДК.Кран'!BA25+'МК Ворота.Запорожье'!BA25+'МД ВООЗ'!BA25+'МД Казарма.Рекламация'!BA25</f>
        <v>51422.784000000007</v>
      </c>
      <c r="BB25" s="3341">
        <f>PL_ЦО_Производство!BB25+'МД ООН'!BB25+'МК Ладыжин-3'!BB25+'МК Староконстантинов'!BB25+'МК Армокаркасы'!BB25+'МК Щедро. Флекситанки'!BB25+'МК ЛифтМаркет'!BB25+'МК Укркотлопром'!BB25+'МК Подгорцы.Забор'!BB25+PL_Металлизация!CP25+'МД Бытовка ИТР Нежин'!BB25+'МК Металургбуд.поддоны'!BB25+'МК Нежин-3'!BB25+'МК РДК.Кран'!BB25+'МК Ворота.Запорожье'!BB25+'МД ВООЗ'!BB25+'МД Казарма.Рекламация'!BB25</f>
        <v>0</v>
      </c>
      <c r="BC25" s="3349">
        <f t="shared" si="32"/>
        <v>51422.784000000007</v>
      </c>
      <c r="BD25" s="4697">
        <f t="shared" si="46"/>
        <v>3.9011806386748414E-2</v>
      </c>
      <c r="BE25" s="3342"/>
      <c r="BF25" s="3341">
        <f>PL_ЦО_Производство!BF25+'МД ООН'!BF25+'МК Ладыжин-3'!BF25+'МК Староконстантинов'!BF25+'МК Армокаркасы'!BF25+'МК Щедро. Флекситанки'!BF25+'МК ЛифтМаркет'!BF25+'МК Укркотлопром'!BF25+'МК Подгорцы.Забор'!BF25+PL_Металлизация!CT25+'МД Бытовка ИТР Нежин'!BF25+'МК Металургбуд.поддоны'!BF25+'МК Нежин-3'!BF25+'МК РДК.Кран'!BF25+'МК Ворота.Запорожье'!BF25+'МД ВООЗ'!BF25+'МД Казарма.Рекламация'!BF25</f>
        <v>0</v>
      </c>
      <c r="BG25" s="3341">
        <f>PL_ЦО_Производство!BG25+'МД ООН'!BG25+'МК Ладыжин-3'!BG25+'МК Староконстантинов'!BG25+'МК Армокаркасы'!BG25+'МК Щедро. Флекситанки'!BG25+'МК ЛифтМаркет'!BG25+'МК Укркотлопром'!BG25+'МК Подгорцы.Забор'!BG25+PL_Металлизация!CU25+'МД Бытовка ИТР Нежин'!BG25+'МК Металургбуд.поддоны'!BG25+'МК Нежин-3'!BG25+'МК РДК.Кран'!BG25+'МК Ворота.Запорожье'!BG25+'МД ВООЗ'!BG25+'МД Казарма.Рекламация'!BG25</f>
        <v>0</v>
      </c>
      <c r="BH25" s="3349">
        <f t="shared" si="33"/>
        <v>0</v>
      </c>
      <c r="BI25" s="4697" t="e">
        <f t="shared" si="47"/>
        <v>#DIV/0!</v>
      </c>
      <c r="BJ25" s="3342"/>
      <c r="BK25" s="3341">
        <f>PL_ЦО_Производство!BK25+'МД ООН'!BK25+'МК Ладыжин-3'!BK25+'МК Староконстантинов'!BK25+'МК Армокаркасы'!BK25+'МК Щедро. Флекситанки'!BK25+'МК ЛифтМаркет'!BK25+'МК Укркотлопром'!BK25+'МК Подгорцы.Забор'!BK25+PL_Металлизация!CY25+'МД Бытовка ИТР Нежин'!BK25+'МК Металургбуд.поддоны'!BK25+'МК Нежин-3'!BK25+'МК РДК.Кран'!BK25+'МК Ворота.Запорожье'!BK25+'МД ВООЗ'!BK25+'МД Казарма.Рекламация'!BK25</f>
        <v>0</v>
      </c>
      <c r="BL25" s="3341">
        <f>PL_ЦО_Производство!BL25+'МД ООН'!BL25+'МК Ладыжин-3'!BL25+'МК Староконстантинов'!BL25+'МК Армокаркасы'!BL25+'МК Щедро. Флекситанки'!BL25+'МК ЛифтМаркет'!BL25+'МК Укркотлопром'!BL25+'МК Подгорцы.Забор'!BL25+PL_Металлизация!CZ25+'МД Бытовка ИТР Нежин'!BL25+'МК Металургбуд.поддоны'!BL25+'МК Нежин-3'!BL25+'МК РДК.Кран'!BL25+'МК Ворота.Запорожье'!BL25+'МД ВООЗ'!BL25+'МД Казарма.Рекламация'!BL25</f>
        <v>0</v>
      </c>
      <c r="BM25" s="3349">
        <f t="shared" si="34"/>
        <v>0</v>
      </c>
      <c r="BN25" s="4697" t="e">
        <f t="shared" si="48"/>
        <v>#DIV/0!</v>
      </c>
      <c r="BO25" s="3342"/>
      <c r="BP25" s="3341">
        <f>PL_ЦО_Производство!BP25+'МД ООН'!BP25+'МК Ладыжин-3'!BP25+'МК Староконстантинов'!BP25+'МК Армокаркасы'!BP25+'МК Щедро. Флекситанки'!BP25+'МК ЛифтМаркет'!BP25+'МК Укркотлопром'!BP25+'МК Подгорцы.Забор'!BP25+PL_Металлизация!DD25+'МД Бытовка ИТР Нежин'!BP25+'МК Металургбуд.поддоны'!BP25+'МК Нежин-3'!BP25+'МК РДК.Кран'!BP25+'МК Ворота.Запорожье'!BP25+'МД ВООЗ'!BP25+'МД Казарма.Рекламация'!BP25</f>
        <v>0</v>
      </c>
      <c r="BQ25" s="3341">
        <f>PL_ЦО_Производство!BQ25+'МД ООН'!BQ25+'МК Ладыжин-3'!BQ25+'МК Староконстантинов'!BQ25+'МК Армокаркасы'!BQ25+'МК Щедро. Флекситанки'!BQ25+'МК ЛифтМаркет'!BQ25+'МК Укркотлопром'!BQ25+'МК Подгорцы.Забор'!BQ25+PL_Металлизация!DE25+'МД Бытовка ИТР Нежин'!BQ25+'МК Металургбуд.поддоны'!BQ25+'МК Нежин-3'!BQ25+'МК РДК.Кран'!BQ25+'МК Ворота.Запорожье'!BQ25+'МД ВООЗ'!BQ25+'МД Казарма.Рекламация'!BQ25</f>
        <v>0</v>
      </c>
      <c r="BR25" s="3349">
        <f t="shared" si="35"/>
        <v>0</v>
      </c>
      <c r="BS25" s="4697" t="e">
        <f t="shared" si="49"/>
        <v>#DIV/0!</v>
      </c>
      <c r="BT25" s="3342"/>
      <c r="BU25" s="3341">
        <f>PL_ЦО_Производство!BU25+'МД ООН'!BU25+'МК Ладыжин-3'!BU25+'МК Староконстантинов'!BU25+'МК Армокаркасы'!BU25+'МК Щедро. Флекситанки'!BU25+'МК ЛифтМаркет'!BU25+'МК Укркотлопром'!BU25+'МК Подгорцы.Забор'!BU25+PL_Металлизация!DI25+'МД Бытовка ИТР Нежин'!BU25+'МК Металургбуд.поддоны'!BU25+'МК Нежин-3'!BU25+'МК РДК.Кран'!BU25+'МК Ворота.Запорожье'!BU25+'МД ВООЗ'!BU25+'МД Казарма.Рекламация'!BU25</f>
        <v>0</v>
      </c>
      <c r="BV25" s="3341">
        <f>PL_ЦО_Производство!BV25+'МД ООН'!BV25+'МК Ладыжин-3'!BV25+'МК Староконстантинов'!BV25+'МК Армокаркасы'!BV25+'МК Щедро. Флекситанки'!BV25+'МК ЛифтМаркет'!BV25+'МК Укркотлопром'!BV25+'МК Подгорцы.Забор'!BV25+PL_Металлизация!DJ25+'МД Бытовка ИТР Нежин'!BV25+'МК Металургбуд.поддоны'!BV25+'МК Нежин-3'!BV25+'МК РДК.Кран'!BV25+'МК Ворота.Запорожье'!BV25+'МД ВООЗ'!BV25+'МД Казарма.Рекламация'!BV25</f>
        <v>0</v>
      </c>
      <c r="BW25" s="3349">
        <f t="shared" si="36"/>
        <v>0</v>
      </c>
      <c r="BX25" s="4697" t="e">
        <f t="shared" si="50"/>
        <v>#DIV/0!</v>
      </c>
      <c r="BY25" s="3342"/>
      <c r="BZ25" s="3341">
        <f>PL_ЦО_Производство!BZ25+'МД ООН'!BZ25+'МК Ладыжин-3'!BZ25+'МК Староконстантинов'!BZ25+'МК Армокаркасы'!BZ25+'МК Щедро. Флекситанки'!BZ25+'МК ЛифтМаркет'!BZ25+'МК Укркотлопром'!BZ25+'МК Подгорцы.Забор'!BZ25+PL_Металлизация!DN25+'МД Бытовка ИТР Нежин'!BZ25+'МК Металургбуд.поддоны'!BZ25+'МК Нежин-3'!BZ25+'МК РДК.Кран'!BZ25+'МК Ворота.Запорожье'!BZ25+'МД ВООЗ'!BZ25+'МД Казарма.Рекламация'!BZ25</f>
        <v>0</v>
      </c>
      <c r="CA25" s="3341">
        <f>PL_ЦО_Производство!CA25+'МД ООН'!CA25+'МК Ладыжин-3'!CA25+'МК Староконстантинов'!CA25+'МК Армокаркасы'!CA25+'МК Щедро. Флекситанки'!CA25+'МК ЛифтМаркет'!CA25+'МК Укркотлопром'!CA25+'МК Подгорцы.Забор'!CA25+PL_Металлизация!DO25+'МД Бытовка ИТР Нежин'!CA25+'МК Металургбуд.поддоны'!CA25+'МК Нежин-3'!CA25+'МК РДК.Кран'!CA25+'МК Ворота.Запорожье'!CA25+'МД ВООЗ'!CA25+'МД Казарма.Рекламация'!CA25</f>
        <v>0</v>
      </c>
      <c r="CB25" s="3349">
        <f t="shared" si="37"/>
        <v>0</v>
      </c>
      <c r="CC25" s="4697" t="e">
        <f t="shared" si="51"/>
        <v>#DIV/0!</v>
      </c>
      <c r="CD25" s="3342"/>
      <c r="CE25" s="3341">
        <f>PL_ЦО_Производство!CE25+'МД ООН'!CE25+'МК Ладыжин-3'!CE25+'МК Староконстантинов'!CE25+'МК Армокаркасы'!CE25+'МК Щедро. Флекситанки'!CE25+'МК ЛифтМаркет'!CE25+'МК Укркотлопром'!CE25+'МК Подгорцы.Забор'!CE25+PL_Металлизация!DS25+'МД Бытовка ИТР Нежин'!CE25+'МК Металургбуд.поддоны'!CE25+'МК Нежин-3'!CE25+'МК РДК.Кран'!CE25+'МК Ворота.Запорожье'!CE25+'МД ВООЗ'!CE25+'МД Казарма.Рекламация'!CE25</f>
        <v>0</v>
      </c>
      <c r="CF25" s="3341">
        <f>PL_ЦО_Производство!CF25+'МД ООН'!CF25+'МК Ладыжин-3'!CF25+'МК Староконстантинов'!CF25+'МК Армокаркасы'!CF25+'МК Щедро. Флекситанки'!CF25+'МК ЛифтМаркет'!CF25+'МК Укркотлопром'!CF25+'МК Подгорцы.Забор'!CF25+PL_Металлизация!DT25+'МД Бытовка ИТР Нежин'!CF25+'МК Металургбуд.поддоны'!CF25+'МК Нежин-3'!CF25+'МК РДК.Кран'!CF25+'МК Ворота.Запорожье'!CF25+'МД ВООЗ'!CF25+'МД Казарма.Рекламация'!CF25</f>
        <v>0</v>
      </c>
      <c r="CG25" s="3349">
        <f t="shared" si="38"/>
        <v>0</v>
      </c>
      <c r="CH25" s="4697" t="e">
        <f t="shared" si="52"/>
        <v>#DIV/0!</v>
      </c>
      <c r="CI25" s="3342"/>
      <c r="CJ25" s="3341">
        <f t="shared" si="39"/>
        <v>1294406.9360000002</v>
      </c>
      <c r="CK25" s="3341">
        <f t="shared" si="39"/>
        <v>4067.9000000000005</v>
      </c>
      <c r="CL25" s="3349">
        <f t="shared" si="53"/>
        <v>1298474.8360000001</v>
      </c>
      <c r="CM25" s="4697">
        <f t="shared" si="40"/>
        <v>2.548280208605733E-2</v>
      </c>
      <c r="CN25" s="1434"/>
    </row>
    <row r="26" spans="1:95" s="1396" customFormat="1" ht="13.8" outlineLevel="2">
      <c r="A26" s="1571"/>
      <c r="B26" s="4698" t="s">
        <v>45</v>
      </c>
      <c r="C26" s="3341"/>
      <c r="D26" s="3341"/>
      <c r="E26" s="3349">
        <f t="shared" si="19"/>
        <v>0</v>
      </c>
      <c r="F26" s="4697" t="e">
        <f t="shared" si="16"/>
        <v>#DIV/0!</v>
      </c>
      <c r="G26" s="3342"/>
      <c r="H26" s="3341"/>
      <c r="I26" s="3341"/>
      <c r="J26" s="3349">
        <f t="shared" si="20"/>
        <v>0</v>
      </c>
      <c r="K26" s="4697" t="e">
        <f t="shared" si="41"/>
        <v>#DIV/0!</v>
      </c>
      <c r="L26" s="3342"/>
      <c r="M26" s="3341"/>
      <c r="N26" s="3341"/>
      <c r="O26" s="3349">
        <f t="shared" si="21"/>
        <v>0</v>
      </c>
      <c r="P26" s="4697" t="e">
        <f t="shared" si="22"/>
        <v>#DIV/0!</v>
      </c>
      <c r="Q26" s="3342"/>
      <c r="R26" s="3427">
        <f>PL_Производство!BF26</f>
        <v>19623660.094000001</v>
      </c>
      <c r="S26" s="3427">
        <f>PL_Производство!BG26</f>
        <v>0</v>
      </c>
      <c r="T26" s="2012">
        <f t="shared" si="23"/>
        <v>19623660.094000001</v>
      </c>
      <c r="U26" s="3342"/>
      <c r="V26" s="3342"/>
      <c r="W26" s="3342">
        <f t="shared" si="24"/>
        <v>1057536.9099999999</v>
      </c>
      <c r="X26" s="3342">
        <f t="shared" si="24"/>
        <v>0</v>
      </c>
      <c r="Y26" s="2012">
        <f t="shared" si="25"/>
        <v>1057536.9099999999</v>
      </c>
      <c r="Z26" s="3342"/>
      <c r="AA26" s="3342"/>
      <c r="AB26" s="3341">
        <f>PL_ЦО_Производство!AB26+'МД ООН'!AB26+'МК Ладыжин-3'!AB26+'МК Староконстантинов'!AB26+'МК Армокаркасы'!AB26+'МК Щедро. Флекситанки'!AB26+'МК ЛифтМаркет'!AB26+'МК Укркотлопром'!AB26+'МК Подгорцы.Забор'!AB26+PL_Металлизация!BP26+'МД Бытовка ИТР Нежин'!AB26+'МК Металургбуд.поддоны'!AB26</f>
        <v>4940</v>
      </c>
      <c r="AC26" s="3341">
        <f>PL_ЦО_Производство!AC26+'МД ООН'!AC26+'МК Ладыжин-3'!AC26+'МК Староконстантинов'!AC26+'МК Армокаркасы'!AC26+'МК Щедро. Флекситанки'!AC26+'МК ЛифтМаркет'!AC26+'МК Укркотлопром'!AC26+'МК Подгорцы.Забор'!AC26+PL_Металлизация!BQ26+'МД Бытовка ИТР Нежин'!AC26+'МК Металургбуд.поддоны'!AC26</f>
        <v>0</v>
      </c>
      <c r="AD26" s="3349">
        <f t="shared" si="26"/>
        <v>4940</v>
      </c>
      <c r="AE26" s="4697">
        <f t="shared" si="27"/>
        <v>3.1487982124270234E-3</v>
      </c>
      <c r="AF26" s="3342"/>
      <c r="AG26" s="3341">
        <f>PL_ЦО_Производство!AG26+'МД ООН'!AG26+'МК Ладыжин-3'!AG26+'МК Староконстантинов'!AG26+'МК Армокаркасы'!AG26+'МК Щедро. Флекситанки'!AG26+'МК ЛифтМаркет'!AG26+'МК Укркотлопром'!AG26+'МК Подгорцы.Забор'!AG26+PL_Металлизация!BU26+'МД Бытовка ИТР Нежин'!AG26+'МК Металургбуд.поддоны'!AG26</f>
        <v>243822.78</v>
      </c>
      <c r="AH26" s="3341">
        <f>PL_ЦО_Производство!AH26+'МД ООН'!AH26+'МК Ладыжин-3'!AH26+'МК Староконстантинов'!AH26+'МК Армокаркасы'!AH26+'МК Щедро. Флекситанки'!AH26+'МК ЛифтМаркет'!AH26+'МК Укркотлопром'!AH26+'МК Подгорцы.Забор'!AH26+PL_Металлизация!BV26+'МД Бытовка ИТР Нежин'!AH26+'МК Металургбуд.поддоны'!AH26</f>
        <v>0</v>
      </c>
      <c r="AI26" s="3349">
        <f t="shared" si="28"/>
        <v>243822.78</v>
      </c>
      <c r="AJ26" s="4697">
        <f t="shared" si="42"/>
        <v>0.15202337710849217</v>
      </c>
      <c r="AK26" s="3342"/>
      <c r="AL26" s="3341">
        <f>PL_ЦО_Производство!AL26+'МД ООН'!AL26+'МК Ладыжин-3'!AL26+'МК Староконстантинов'!AL26+'МК Армокаркасы'!AL26+'МК Щедро. Флекситанки'!AL26+'МК ЛифтМаркет'!AL26+'МК Укркотлопром'!AL26+'МК Подгорцы.Забор'!AL26+PL_Металлизация!BZ26+'МД Бытовка ИТР Нежин'!AL26+'МК Металургбуд.поддоны'!AL26+'МК Нежин-3'!AL26</f>
        <v>378320.54399999999</v>
      </c>
      <c r="AM26" s="3341">
        <f>PL_ЦО_Производство!AM26+'МД ООН'!AM26+'МК Ладыжин-3'!AM26+'МК Староконстантинов'!AM26+'МК Армокаркасы'!AM26+'МК Щедро. Флекситанки'!AM26+'МК ЛифтМаркет'!AM26+'МК Укркотлопром'!AM26+'МК Подгорцы.Забор'!AM26+PL_Металлизация!CA26+'МД Бытовка ИТР Нежин'!AM26+'МК Металургбуд.поддоны'!AM26+'МК Нежин-3'!AM26</f>
        <v>0</v>
      </c>
      <c r="AN26" s="3349">
        <f t="shared" si="29"/>
        <v>378320.54399999999</v>
      </c>
      <c r="AO26" s="4697">
        <f t="shared" si="43"/>
        <v>0.18138090063149551</v>
      </c>
      <c r="AP26" s="3342"/>
      <c r="AQ26" s="3341">
        <f>PL_ЦО_Производство!AQ26+'МД ООН'!AQ26+'МК Ладыжин-3'!AQ26+'МК Староконстантинов'!AQ26+'МК Армокаркасы'!AQ26+'МК Щедро. Флекситанки'!AQ26+'МК ЛифтМаркет'!AQ26+'МК Укркотлопром'!AQ26+'МК Подгорцы.Забор'!AQ26+PL_Металлизация!CE26+'МД Бытовка ИТР Нежин'!AQ26+'МК Металургбуд.поддоны'!AQ26+'МК Нежин-3'!AQ26</f>
        <v>340446.05600000004</v>
      </c>
      <c r="AR26" s="3341">
        <f>PL_ЦО_Производство!AR26+'МД ООН'!AR26+'МК Ладыжин-3'!AR26+'МК Староконстантинов'!AR26+'МК Армокаркасы'!AR26+'МК Щедро. Флекситанки'!AR26+'МК ЛифтМаркет'!AR26+'МК Укркотлопром'!AR26+'МК Подгорцы.Забор'!AR26+PL_Металлизация!CF26+'МД Бытовка ИТР Нежин'!AR26+'МК Металургбуд.поддоны'!AR26+'МК Нежин-3'!AR26</f>
        <v>0</v>
      </c>
      <c r="AS26" s="3349">
        <f t="shared" si="30"/>
        <v>340446.05600000004</v>
      </c>
      <c r="AT26" s="4697">
        <f t="shared" si="44"/>
        <v>0.2194414591415953</v>
      </c>
      <c r="AU26" s="3342"/>
      <c r="AV26" s="3341">
        <f>PL_ЦО_Производство!AV26+'МД ООН'!AV26+'МК Армокаркасы'!AV26+'МК Подгорцы.Забор'!AV26+'МК Нежин-3'!AV26+'МК РДК.Кран'!AV26+'МК Ворота.Запорожье'!AV26+'МД ВООЗ'!AV26+'МД Казарма.Рекламация'!AV26</f>
        <v>76369.209999999992</v>
      </c>
      <c r="AW26" s="3341">
        <f>PL_ЦО_Производство!AW26+'МД ООН'!AW26+'МК Армокаркасы'!AW26+'МК Подгорцы.Забор'!AW26+'МК Нежин-3'!AW26+'МК РДК.Кран'!AW26+'МК Ворота.Запорожье'!AW26+'МД ВООЗ'!AW26+'МД Казарма.Рекламация'!AW26</f>
        <v>0</v>
      </c>
      <c r="AX26" s="3349">
        <f t="shared" si="31"/>
        <v>76369.209999999992</v>
      </c>
      <c r="AY26" s="4697">
        <f t="shared" si="45"/>
        <v>5.7097547165149865E-2</v>
      </c>
      <c r="AZ26" s="3342"/>
      <c r="BA26" s="3341">
        <f>PL_ЦО_Производство!BA26+'МД ООН'!BA26+'МК Ладыжин-3'!BA26+'МК Староконстантинов'!BA26+'МК Армокаркасы'!BA26+'МК Щедро. Флекситанки'!BA26+'МК ЛифтМаркет'!BA26+'МК Укркотлопром'!BA26+'МК Подгорцы.Забор'!BA26+PL_Металлизация!CO26+'МД Бытовка ИТР Нежин'!BA26+'МК Металургбуд.поддоны'!BA26+'МК Нежин-3'!BA26+'МК РДК.Кран'!BA26+'МК Ворота.Запорожье'!BA26+'МД ВООЗ'!BA26+'МД Казарма.Рекламация'!BA26</f>
        <v>13638.32</v>
      </c>
      <c r="BB26" s="3341">
        <f>PL_ЦО_Производство!BB26+'МД ООН'!BB26+'МК Ладыжин-3'!BB26+'МК Староконстантинов'!BB26+'МК Армокаркасы'!BB26+'МК Щедро. Флекситанки'!BB26+'МК ЛифтМаркет'!BB26+'МК Укркотлопром'!BB26+'МК Подгорцы.Забор'!BB26+PL_Металлизация!CP26+'МД Бытовка ИТР Нежин'!BB26+'МК Металургбуд.поддоны'!BB26+'МК Нежин-3'!BB26+'МК РДК.Кран'!BB26+'МК Ворота.Запорожье'!BB26+'МД ВООЗ'!BB26+'МД Казарма.Рекламация'!BB26</f>
        <v>0</v>
      </c>
      <c r="BC26" s="3349">
        <f t="shared" si="32"/>
        <v>13638.32</v>
      </c>
      <c r="BD26" s="4697">
        <f t="shared" si="46"/>
        <v>1.0346687944404539E-2</v>
      </c>
      <c r="BE26" s="3342"/>
      <c r="BF26" s="3341">
        <f>PL_ЦО_Производство!BF26+'МД ООН'!BF26+'МК Ладыжин-3'!BF26+'МК Староконстантинов'!BF26+'МК Армокаркасы'!BF26+'МК Щедро. Флекситанки'!BF26+'МК ЛифтМаркет'!BF26+'МК Укркотлопром'!BF26+'МК Подгорцы.Забор'!BF26+PL_Металлизация!CT26+'МД Бытовка ИТР Нежин'!BF26+'МК Металургбуд.поддоны'!BF26+'МК Нежин-3'!BF26+'МК РДК.Кран'!BF26+'МК Ворота.Запорожье'!BF26+'МД ВООЗ'!BF26+'МД Казарма.Рекламация'!BF26</f>
        <v>0</v>
      </c>
      <c r="BG26" s="3341">
        <f>PL_ЦО_Производство!BG26+'МД ООН'!BG26+'МК Ладыжин-3'!BG26+'МК Староконстантинов'!BG26+'МК Армокаркасы'!BG26+'МК Щедро. Флекситанки'!BG26+'МК ЛифтМаркет'!BG26+'МК Укркотлопром'!BG26+'МК Подгорцы.Забор'!BG26+PL_Металлизация!CU26+'МД Бытовка ИТР Нежин'!BG26+'МК Металургбуд.поддоны'!BG26+'МК Нежин-3'!BG26+'МК РДК.Кран'!BG26+'МК Ворота.Запорожье'!BG26+'МД ВООЗ'!BG26+'МД Казарма.Рекламация'!BG26</f>
        <v>0</v>
      </c>
      <c r="BH26" s="3349">
        <f t="shared" si="33"/>
        <v>0</v>
      </c>
      <c r="BI26" s="4697" t="e">
        <f t="shared" si="47"/>
        <v>#DIV/0!</v>
      </c>
      <c r="BJ26" s="3342"/>
      <c r="BK26" s="3341">
        <f>PL_ЦО_Производство!BK26+'МД ООН'!BK26+'МК Ладыжин-3'!BK26+'МК Староконстантинов'!BK26+'МК Армокаркасы'!BK26+'МК Щедро. Флекситанки'!BK26+'МК ЛифтМаркет'!BK26+'МК Укркотлопром'!BK26+'МК Подгорцы.Забор'!BK26+PL_Металлизация!CY26+'МД Бытовка ИТР Нежин'!BK26+'МК Металургбуд.поддоны'!BK26+'МК Нежин-3'!BK26+'МК РДК.Кран'!BK26+'МК Ворота.Запорожье'!BK26+'МД ВООЗ'!BK26+'МД Казарма.Рекламация'!BK26</f>
        <v>0</v>
      </c>
      <c r="BL26" s="3341">
        <f>PL_ЦО_Производство!BL26+'МД ООН'!BL26+'МК Ладыжин-3'!BL26+'МК Староконстантинов'!BL26+'МК Армокаркасы'!BL26+'МК Щедро. Флекситанки'!BL26+'МК ЛифтМаркет'!BL26+'МК Укркотлопром'!BL26+'МК Подгорцы.Забор'!BL26+PL_Металлизация!CZ26+'МД Бытовка ИТР Нежин'!BL26+'МК Металургбуд.поддоны'!BL26+'МК Нежин-3'!BL26+'МК РДК.Кран'!BL26+'МК Ворота.Запорожье'!BL26+'МД ВООЗ'!BL26+'МД Казарма.Рекламация'!BL26</f>
        <v>0</v>
      </c>
      <c r="BM26" s="3349">
        <f t="shared" si="34"/>
        <v>0</v>
      </c>
      <c r="BN26" s="4697" t="e">
        <f t="shared" si="48"/>
        <v>#DIV/0!</v>
      </c>
      <c r="BO26" s="3342"/>
      <c r="BP26" s="3341">
        <f>PL_ЦО_Производство!BP26+'МД ООН'!BP26+'МК Ладыжин-3'!BP26+'МК Староконстантинов'!BP26+'МК Армокаркасы'!BP26+'МК Щедро. Флекситанки'!BP26+'МК ЛифтМаркет'!BP26+'МК Укркотлопром'!BP26+'МК Подгорцы.Забор'!BP26+PL_Металлизация!DD26+'МД Бытовка ИТР Нежин'!BP26+'МК Металургбуд.поддоны'!BP26+'МК Нежин-3'!BP26+'МК РДК.Кран'!BP26+'МК Ворота.Запорожье'!BP26+'МД ВООЗ'!BP26+'МД Казарма.Рекламация'!BP26</f>
        <v>0</v>
      </c>
      <c r="BQ26" s="3341">
        <f>PL_ЦО_Производство!BQ26+'МД ООН'!BQ26+'МК Ладыжин-3'!BQ26+'МК Староконстантинов'!BQ26+'МК Армокаркасы'!BQ26+'МК Щедро. Флекситанки'!BQ26+'МК ЛифтМаркет'!BQ26+'МК Укркотлопром'!BQ26+'МК Подгорцы.Забор'!BQ26+PL_Металлизация!DE26+'МД Бытовка ИТР Нежин'!BQ26+'МК Металургбуд.поддоны'!BQ26+'МК Нежин-3'!BQ26+'МК РДК.Кран'!BQ26+'МК Ворота.Запорожье'!BQ26+'МД ВООЗ'!BQ26+'МД Казарма.Рекламация'!BQ26</f>
        <v>0</v>
      </c>
      <c r="BR26" s="3349">
        <f t="shared" si="35"/>
        <v>0</v>
      </c>
      <c r="BS26" s="4697" t="e">
        <f t="shared" si="49"/>
        <v>#DIV/0!</v>
      </c>
      <c r="BT26" s="3342"/>
      <c r="BU26" s="3341">
        <f>PL_ЦО_Производство!BU26+'МД ООН'!BU26+'МК Ладыжин-3'!BU26+'МК Староконстантинов'!BU26+'МК Армокаркасы'!BU26+'МК Щедро. Флекситанки'!BU26+'МК ЛифтМаркет'!BU26+'МК Укркотлопром'!BU26+'МК Подгорцы.Забор'!BU26+PL_Металлизация!DI26+'МД Бытовка ИТР Нежин'!BU26+'МК Металургбуд.поддоны'!BU26+'МК Нежин-3'!BU26+'МК РДК.Кран'!BU26+'МК Ворота.Запорожье'!BU26+'МД ВООЗ'!BU26+'МД Казарма.Рекламация'!BU26</f>
        <v>0</v>
      </c>
      <c r="BV26" s="3341">
        <f>PL_ЦО_Производство!BV26+'МД ООН'!BV26+'МК Ладыжин-3'!BV26+'МК Староконстантинов'!BV26+'МК Армокаркасы'!BV26+'МК Щедро. Флекситанки'!BV26+'МК ЛифтМаркет'!BV26+'МК Укркотлопром'!BV26+'МК Подгорцы.Забор'!BV26+PL_Металлизация!DJ26+'МД Бытовка ИТР Нежин'!BV26+'МК Металургбуд.поддоны'!BV26+'МК Нежин-3'!BV26+'МК РДК.Кран'!BV26+'МК Ворота.Запорожье'!BV26+'МД ВООЗ'!BV26+'МД Казарма.Рекламация'!BV26</f>
        <v>0</v>
      </c>
      <c r="BW26" s="3349">
        <f t="shared" si="36"/>
        <v>0</v>
      </c>
      <c r="BX26" s="4697" t="e">
        <f t="shared" si="50"/>
        <v>#DIV/0!</v>
      </c>
      <c r="BY26" s="3342"/>
      <c r="BZ26" s="3341">
        <f>PL_ЦО_Производство!BZ26+'МД ООН'!BZ26+'МК Ладыжин-3'!BZ26+'МК Староконстантинов'!BZ26+'МК Армокаркасы'!BZ26+'МК Щедро. Флекситанки'!BZ26+'МК ЛифтМаркет'!BZ26+'МК Укркотлопром'!BZ26+'МК Подгорцы.Забор'!BZ26+PL_Металлизация!DN26+'МД Бытовка ИТР Нежин'!BZ26+'МК Металургбуд.поддоны'!BZ26+'МК Нежин-3'!BZ26+'МК РДК.Кран'!BZ26+'МК Ворота.Запорожье'!BZ26+'МД ВООЗ'!BZ26+'МД Казарма.Рекламация'!BZ26</f>
        <v>0</v>
      </c>
      <c r="CA26" s="3341">
        <f>PL_ЦО_Производство!CA26+'МД ООН'!CA26+'МК Ладыжин-3'!CA26+'МК Староконстантинов'!CA26+'МК Армокаркасы'!CA26+'МК Щедро. Флекситанки'!CA26+'МК ЛифтМаркет'!CA26+'МК Укркотлопром'!CA26+'МК Подгорцы.Забор'!CA26+PL_Металлизация!DO26+'МД Бытовка ИТР Нежин'!CA26+'МК Металургбуд.поддоны'!CA26+'МК Нежин-3'!CA26+'МК РДК.Кран'!CA26+'МК Ворота.Запорожье'!CA26+'МД ВООЗ'!CA26+'МД Казарма.Рекламация'!CA26</f>
        <v>0</v>
      </c>
      <c r="CB26" s="3349">
        <f t="shared" si="37"/>
        <v>0</v>
      </c>
      <c r="CC26" s="4697" t="e">
        <f t="shared" si="51"/>
        <v>#DIV/0!</v>
      </c>
      <c r="CD26" s="3342"/>
      <c r="CE26" s="3341">
        <f>PL_ЦО_Производство!CE26+'МД ООН'!CE26+'МК Ладыжин-3'!CE26+'МК Староконстантинов'!CE26+'МК Армокаркасы'!CE26+'МК Щедро. Флекситанки'!CE26+'МК ЛифтМаркет'!CE26+'МК Укркотлопром'!CE26+'МК Подгорцы.Забор'!CE26+PL_Металлизация!DS26+'МД Бытовка ИТР Нежин'!CE26+'МК Металургбуд.поддоны'!CE26+'МК Нежин-3'!CE26+'МК РДК.Кран'!CE26+'МК Ворота.Запорожье'!CE26+'МД ВООЗ'!CE26+'МД Казарма.Рекламация'!CE26</f>
        <v>0</v>
      </c>
      <c r="CF26" s="3341">
        <f>PL_ЦО_Производство!CF26+'МД ООН'!CF26+'МК Ладыжин-3'!CF26+'МК Староконстантинов'!CF26+'МК Армокаркасы'!CF26+'МК Щедро. Флекситанки'!CF26+'МК ЛифтМаркет'!CF26+'МК Укркотлопром'!CF26+'МК Подгорцы.Забор'!CF26+PL_Металлизация!DT26+'МД Бытовка ИТР Нежин'!CF26+'МК Металургбуд.поддоны'!CF26+'МК Нежин-3'!CF26+'МК РДК.Кран'!CF26+'МК Ворота.Запорожье'!CF26+'МД ВООЗ'!CF26+'МД Казарма.Рекламация'!CF26</f>
        <v>0</v>
      </c>
      <c r="CG26" s="3349">
        <f t="shared" si="38"/>
        <v>0</v>
      </c>
      <c r="CH26" s="4697" t="e">
        <f t="shared" si="52"/>
        <v>#DIV/0!</v>
      </c>
      <c r="CI26" s="3342"/>
      <c r="CJ26" s="3341">
        <f t="shared" si="39"/>
        <v>20681197.004000001</v>
      </c>
      <c r="CK26" s="3341">
        <f t="shared" si="39"/>
        <v>0</v>
      </c>
      <c r="CL26" s="3349">
        <f t="shared" si="53"/>
        <v>20681197.004000001</v>
      </c>
      <c r="CM26" s="4697">
        <f t="shared" si="40"/>
        <v>0.40587220910586347</v>
      </c>
      <c r="CN26" s="1434"/>
    </row>
    <row r="27" spans="1:95" s="1396" customFormat="1" ht="13.8" outlineLevel="2">
      <c r="A27" s="1571"/>
      <c r="B27" s="4698" t="s">
        <v>25</v>
      </c>
      <c r="C27" s="3341"/>
      <c r="D27" s="3341"/>
      <c r="E27" s="3349">
        <f t="shared" si="19"/>
        <v>0</v>
      </c>
      <c r="F27" s="4697" t="e">
        <f t="shared" si="16"/>
        <v>#DIV/0!</v>
      </c>
      <c r="G27" s="3342"/>
      <c r="H27" s="3341"/>
      <c r="I27" s="3341"/>
      <c r="J27" s="3349">
        <f t="shared" si="20"/>
        <v>0</v>
      </c>
      <c r="K27" s="4697" t="e">
        <f t="shared" si="41"/>
        <v>#DIV/0!</v>
      </c>
      <c r="L27" s="3342"/>
      <c r="M27" s="3341"/>
      <c r="N27" s="3341"/>
      <c r="O27" s="3349">
        <f t="shared" si="21"/>
        <v>0</v>
      </c>
      <c r="P27" s="4697" t="e">
        <f t="shared" si="22"/>
        <v>#DIV/0!</v>
      </c>
      <c r="Q27" s="3342"/>
      <c r="R27" s="3427">
        <f>PL_Производство!BF27</f>
        <v>75965.89</v>
      </c>
      <c r="S27" s="3427">
        <f>PL_Производство!BG27</f>
        <v>6835</v>
      </c>
      <c r="T27" s="2012">
        <f t="shared" si="23"/>
        <v>82800.89</v>
      </c>
      <c r="U27" s="3342"/>
      <c r="V27" s="3342"/>
      <c r="W27" s="3342">
        <f t="shared" si="24"/>
        <v>36950.869999999995</v>
      </c>
      <c r="X27" s="3342">
        <f t="shared" si="24"/>
        <v>5562.2</v>
      </c>
      <c r="Y27" s="2012">
        <f t="shared" si="25"/>
        <v>42513.069999999992</v>
      </c>
      <c r="Z27" s="3342"/>
      <c r="AA27" s="3342"/>
      <c r="AB27" s="3341">
        <f>PL_ЦО_Производство!AB27+'МД ООН'!AB27+'МК Ладыжин-3'!AB27+'МК Староконстантинов'!AB27+'МК Армокаркасы'!AB27+'МК Щедро. Флекситанки'!AB27+'МК ЛифтМаркет'!AB27+'МК Укркотлопром'!AB27+'МК Подгорцы.Забор'!AB27+PL_Металлизация!BP27+'МД Бытовка ИТР Нежин'!AB27+'МК Металургбуд.поддоны'!AB27</f>
        <v>0</v>
      </c>
      <c r="AC27" s="3341">
        <f>PL_ЦО_Производство!AC27+'МД ООН'!AC27+'МК Ладыжин-3'!AC27+'МК Староконстантинов'!AC27+'МК Армокаркасы'!AC27+'МК Щедро. Флекситанки'!AC27+'МК ЛифтМаркет'!AC27+'МК Укркотлопром'!AC27+'МК Подгорцы.Забор'!AC27+PL_Металлизация!BQ27+'МД Бытовка ИТР Нежин'!AC27+'МК Металургбуд.поддоны'!AC27</f>
        <v>1366</v>
      </c>
      <c r="AD27" s="3349">
        <f t="shared" si="26"/>
        <v>1366</v>
      </c>
      <c r="AE27" s="4697">
        <f t="shared" si="27"/>
        <v>8.7070007250512438E-4</v>
      </c>
      <c r="AF27" s="3342"/>
      <c r="AG27" s="3341">
        <f>PL_ЦО_Производство!AG27+'МД ООН'!AG27+'МК Ладыжин-3'!AG27+'МК Староконстантинов'!AG27+'МК Армокаркасы'!AG27+'МК Щедро. Флекситанки'!AG27+'МК ЛифтМаркет'!AG27+'МК Укркотлопром'!AG27+'МК Подгорцы.Забор'!AG27+PL_Металлизация!BU27+'МД Бытовка ИТР Нежин'!AG27+'МК Металургбуд.поддоны'!AG27</f>
        <v>4343.59</v>
      </c>
      <c r="AH27" s="3341">
        <f>PL_ЦО_Производство!AH27+'МД ООН'!AH27+'МК Ладыжин-3'!AH27+'МК Староконстантинов'!AH27+'МК Армокаркасы'!AH27+'МК Щедро. Флекситанки'!AH27+'МК ЛифтМаркет'!AH27+'МК Укркотлопром'!AH27+'МК Подгорцы.Забор'!AH27+PL_Металлизация!BV27+'МД Бытовка ИТР Нежин'!AH27+'МК Металургбуд.поддоны'!AH27</f>
        <v>3371.9</v>
      </c>
      <c r="AI27" s="3349">
        <f t="shared" si="28"/>
        <v>7715.49</v>
      </c>
      <c r="AJ27" s="4697">
        <f t="shared" si="42"/>
        <v>4.8106040208663039E-3</v>
      </c>
      <c r="AK27" s="3342"/>
      <c r="AL27" s="3341">
        <f>PL_ЦО_Производство!AL27+'МД ООН'!AL27+'МК Ладыжин-3'!AL27+'МК Староконстантинов'!AL27+'МК Армокаркасы'!AL27+'МК Щедро. Флекситанки'!AL27+'МК ЛифтМаркет'!AL27+'МК Укркотлопром'!AL27+'МК Подгорцы.Забор'!AL27+PL_Металлизация!BZ27+'МД Бытовка ИТР Нежин'!AL27+'МК Металургбуд.поддоны'!AL27+'МК Нежин-3'!AL27</f>
        <v>29652.28</v>
      </c>
      <c r="AM27" s="3341">
        <f>PL_ЦО_Производство!AM27+'МД ООН'!AM27+'МК Ладыжин-3'!AM27+'МК Староконстантинов'!AM27+'МК Армокаркасы'!AM27+'МК Щедро. Флекситанки'!AM27+'МК ЛифтМаркет'!AM27+'МК Укркотлопром'!AM27+'МК Подгорцы.Забор'!AM27+PL_Металлизация!CA27+'МД Бытовка ИТР Нежин'!AM27+'МК Металургбуд.поддоны'!AM27+'МК Нежин-3'!AM27</f>
        <v>824.3</v>
      </c>
      <c r="AN27" s="3349">
        <f t="shared" si="29"/>
        <v>30476.579999999998</v>
      </c>
      <c r="AO27" s="4697">
        <f t="shared" si="43"/>
        <v>1.4611602822626052E-2</v>
      </c>
      <c r="AP27" s="3342"/>
      <c r="AQ27" s="3341">
        <f>PL_ЦО_Производство!AQ27+'МД ООН'!AQ27+'МК Ладыжин-3'!AQ27+'МК Староконстантинов'!AQ27+'МК Армокаркасы'!AQ27+'МК Щедро. Флекситанки'!AQ27+'МК ЛифтМаркет'!AQ27+'МК Укркотлопром'!AQ27+'МК Подгорцы.Забор'!AQ27+PL_Металлизация!CE27+'МД Бытовка ИТР Нежин'!AQ27+'МК Металургбуд.поддоны'!AQ27+'МК Нежин-3'!AQ27</f>
        <v>2955</v>
      </c>
      <c r="AR27" s="3341">
        <f>PL_ЦО_Производство!AR27+'МД ООН'!AR27+'МК Ладыжин-3'!AR27+'МК Староконстантинов'!AR27+'МК Армокаркасы'!AR27+'МК Щедро. Флекситанки'!AR27+'МК ЛифтМаркет'!AR27+'МК Укркотлопром'!AR27+'МК Подгорцы.Забор'!AR27+PL_Металлизация!CF27+'МД Бытовка ИТР Нежин'!AR27+'МК Металургбуд.поддоны'!AR27+'МК Нежин-3'!AR27</f>
        <v>0</v>
      </c>
      <c r="AS27" s="3349">
        <f t="shared" si="30"/>
        <v>2955</v>
      </c>
      <c r="AT27" s="4697">
        <f t="shared" si="44"/>
        <v>1.9047056070563321E-3</v>
      </c>
      <c r="AU27" s="3342"/>
      <c r="AV27" s="3341">
        <f>PL_ЦО_Производство!AV27+'МД ООН'!AV27+'МК Армокаркасы'!AV27+'МК Подгорцы.Забор'!AV27+'МК Нежин-3'!AV27+'МК РДК.Кран'!AV27+'МК Ворота.Запорожье'!AV27+'МД ВООЗ'!AV27+'МД Казарма.Рекламация'!AV27</f>
        <v>0</v>
      </c>
      <c r="AW27" s="3341">
        <f>PL_ЦО_Производство!AW27+'МД ООН'!AW27+'МК Армокаркасы'!AW27+'МК Подгорцы.Забор'!AW27+'МК Нежин-3'!AW27+'МК РДК.Кран'!AW27+'МК Ворота.Запорожье'!AW27+'МД ВООЗ'!AW27+'МД Казарма.Рекламация'!AW27</f>
        <v>0</v>
      </c>
      <c r="AX27" s="3349">
        <f t="shared" si="31"/>
        <v>0</v>
      </c>
      <c r="AY27" s="4697">
        <f t="shared" si="45"/>
        <v>0</v>
      </c>
      <c r="AZ27" s="3342"/>
      <c r="BA27" s="3341">
        <f>PL_ЦО_Производство!BA27+'МД ООН'!BA27+'МК Ладыжин-3'!BA27+'МК Староконстантинов'!BA27+'МК Армокаркасы'!BA27+'МК Щедро. Флекситанки'!BA27+'МК ЛифтМаркет'!BA27+'МК Укркотлопром'!BA27+'МК Подгорцы.Забор'!BA27+PL_Металлизация!CO27+'МД Бытовка ИТР Нежин'!BA27+'МК Металургбуд.поддоны'!BA27+'МК Нежин-3'!BA27+'МК РДК.Кран'!BA27+'МК Ворота.Запорожье'!BA27+'МД ВООЗ'!BA27+'МД Казарма.Рекламация'!BA27</f>
        <v>0</v>
      </c>
      <c r="BB27" s="3341">
        <f>PL_ЦО_Производство!BB27+'МД ООН'!BB27+'МК Ладыжин-3'!BB27+'МК Староконстантинов'!BB27+'МК Армокаркасы'!BB27+'МК Щедро. Флекситанки'!BB27+'МК ЛифтМаркет'!BB27+'МК Укркотлопром'!BB27+'МК Подгорцы.Забор'!BB27+PL_Металлизация!CP27+'МД Бытовка ИТР Нежин'!BB27+'МК Металургбуд.поддоны'!BB27+'МК Нежин-3'!BB27+'МК РДК.Кран'!BB27+'МК Ворота.Запорожье'!BB27+'МД ВООЗ'!BB27+'МД Казарма.Рекламация'!BB27</f>
        <v>0</v>
      </c>
      <c r="BC27" s="3349">
        <f t="shared" si="32"/>
        <v>0</v>
      </c>
      <c r="BD27" s="4697">
        <f t="shared" si="46"/>
        <v>0</v>
      </c>
      <c r="BE27" s="3342"/>
      <c r="BF27" s="3341">
        <f>PL_ЦО_Производство!BF27+'МД ООН'!BF27+'МК Ладыжин-3'!BF27+'МК Староконстантинов'!BF27+'МК Армокаркасы'!BF27+'МК Щедро. Флекситанки'!BF27+'МК ЛифтМаркет'!BF27+'МК Укркотлопром'!BF27+'МК Подгорцы.Забор'!BF27+PL_Металлизация!CT27+'МД Бытовка ИТР Нежин'!BF27+'МК Металургбуд.поддоны'!BF27+'МК Нежин-3'!BF27+'МК РДК.Кран'!BF27+'МК Ворота.Запорожье'!BF27+'МД ВООЗ'!BF27+'МД Казарма.Рекламация'!BF27</f>
        <v>0</v>
      </c>
      <c r="BG27" s="3341">
        <f>PL_ЦО_Производство!BG27+'МД ООН'!BG27+'МК Ладыжин-3'!BG27+'МК Староконстантинов'!BG27+'МК Армокаркасы'!BG27+'МК Щедро. Флекситанки'!BG27+'МК ЛифтМаркет'!BG27+'МК Укркотлопром'!BG27+'МК Подгорцы.Забор'!BG27+PL_Металлизация!CU27+'МД Бытовка ИТР Нежин'!BG27+'МК Металургбуд.поддоны'!BG27+'МК Нежин-3'!BG27+'МК РДК.Кран'!BG27+'МК Ворота.Запорожье'!BG27+'МД ВООЗ'!BG27+'МД Казарма.Рекламация'!BG27</f>
        <v>0</v>
      </c>
      <c r="BH27" s="3349">
        <f t="shared" si="33"/>
        <v>0</v>
      </c>
      <c r="BI27" s="4697" t="e">
        <f t="shared" si="47"/>
        <v>#DIV/0!</v>
      </c>
      <c r="BJ27" s="3342"/>
      <c r="BK27" s="3341">
        <f>PL_ЦО_Производство!BK27+'МД ООН'!BK27+'МК Ладыжин-3'!BK27+'МК Староконстантинов'!BK27+'МК Армокаркасы'!BK27+'МК Щедро. Флекситанки'!BK27+'МК ЛифтМаркет'!BK27+'МК Укркотлопром'!BK27+'МК Подгорцы.Забор'!BK27+PL_Металлизация!CY27+'МД Бытовка ИТР Нежин'!BK27+'МК Металургбуд.поддоны'!BK27+'МК Нежин-3'!BK27+'МК РДК.Кран'!BK27+'МК Ворота.Запорожье'!BK27+'МД ВООЗ'!BK27+'МД Казарма.Рекламация'!BK27</f>
        <v>0</v>
      </c>
      <c r="BL27" s="3341">
        <f>PL_ЦО_Производство!BL27+'МД ООН'!BL27+'МК Ладыжин-3'!BL27+'МК Староконстантинов'!BL27+'МК Армокаркасы'!BL27+'МК Щедро. Флекситанки'!BL27+'МК ЛифтМаркет'!BL27+'МК Укркотлопром'!BL27+'МК Подгорцы.Забор'!BL27+PL_Металлизация!CZ27+'МД Бытовка ИТР Нежин'!BL27+'МК Металургбуд.поддоны'!BL27+'МК Нежин-3'!BL27+'МК РДК.Кран'!BL27+'МК Ворота.Запорожье'!BL27+'МД ВООЗ'!BL27+'МД Казарма.Рекламация'!BL27</f>
        <v>0</v>
      </c>
      <c r="BM27" s="3349">
        <f t="shared" si="34"/>
        <v>0</v>
      </c>
      <c r="BN27" s="4697" t="e">
        <f t="shared" si="48"/>
        <v>#DIV/0!</v>
      </c>
      <c r="BO27" s="3342"/>
      <c r="BP27" s="3341">
        <f>PL_ЦО_Производство!BP27+'МД ООН'!BP27+'МК Ладыжин-3'!BP27+'МК Староконстантинов'!BP27+'МК Армокаркасы'!BP27+'МК Щедро. Флекситанки'!BP27+'МК ЛифтМаркет'!BP27+'МК Укркотлопром'!BP27+'МК Подгорцы.Забор'!BP27+PL_Металлизация!DD27+'МД Бытовка ИТР Нежин'!BP27+'МК Металургбуд.поддоны'!BP27+'МК Нежин-3'!BP27+'МК РДК.Кран'!BP27+'МК Ворота.Запорожье'!BP27+'МД ВООЗ'!BP27+'МД Казарма.Рекламация'!BP27</f>
        <v>0</v>
      </c>
      <c r="BQ27" s="3341">
        <f>PL_ЦО_Производство!BQ27+'МД ООН'!BQ27+'МК Ладыжин-3'!BQ27+'МК Староконстантинов'!BQ27+'МК Армокаркасы'!BQ27+'МК Щедро. Флекситанки'!BQ27+'МК ЛифтМаркет'!BQ27+'МК Укркотлопром'!BQ27+'МК Подгорцы.Забор'!BQ27+PL_Металлизация!DE27+'МД Бытовка ИТР Нежин'!BQ27+'МК Металургбуд.поддоны'!BQ27+'МК Нежин-3'!BQ27+'МК РДК.Кран'!BQ27+'МК Ворота.Запорожье'!BQ27+'МД ВООЗ'!BQ27+'МД Казарма.Рекламация'!BQ27</f>
        <v>0</v>
      </c>
      <c r="BR27" s="3349">
        <f t="shared" si="35"/>
        <v>0</v>
      </c>
      <c r="BS27" s="4697" t="e">
        <f t="shared" si="49"/>
        <v>#DIV/0!</v>
      </c>
      <c r="BT27" s="3342"/>
      <c r="BU27" s="3341">
        <f>PL_ЦО_Производство!BU27+'МД ООН'!BU27+'МК Ладыжин-3'!BU27+'МК Староконстантинов'!BU27+'МК Армокаркасы'!BU27+'МК Щедро. Флекситанки'!BU27+'МК ЛифтМаркет'!BU27+'МК Укркотлопром'!BU27+'МК Подгорцы.Забор'!BU27+PL_Металлизация!DI27+'МД Бытовка ИТР Нежин'!BU27+'МК Металургбуд.поддоны'!BU27+'МК Нежин-3'!BU27+'МК РДК.Кран'!BU27+'МК Ворота.Запорожье'!BU27+'МД ВООЗ'!BU27+'МД Казарма.Рекламация'!BU27</f>
        <v>0</v>
      </c>
      <c r="BV27" s="3341">
        <f>PL_ЦО_Производство!BV27+'МД ООН'!BV27+'МК Ладыжин-3'!BV27+'МК Староконстантинов'!BV27+'МК Армокаркасы'!BV27+'МК Щедро. Флекситанки'!BV27+'МК ЛифтМаркет'!BV27+'МК Укркотлопром'!BV27+'МК Подгорцы.Забор'!BV27+PL_Металлизация!DJ27+'МД Бытовка ИТР Нежин'!BV27+'МК Металургбуд.поддоны'!BV27+'МК Нежин-3'!BV27+'МК РДК.Кран'!BV27+'МК Ворота.Запорожье'!BV27+'МД ВООЗ'!BV27+'МД Казарма.Рекламация'!BV27</f>
        <v>0</v>
      </c>
      <c r="BW27" s="3349">
        <f t="shared" si="36"/>
        <v>0</v>
      </c>
      <c r="BX27" s="4697" t="e">
        <f t="shared" si="50"/>
        <v>#DIV/0!</v>
      </c>
      <c r="BY27" s="3342"/>
      <c r="BZ27" s="3341">
        <f>PL_ЦО_Производство!BZ27+'МД ООН'!BZ27+'МК Ладыжин-3'!BZ27+'МК Староконстантинов'!BZ27+'МК Армокаркасы'!BZ27+'МК Щедро. Флекситанки'!BZ27+'МК ЛифтМаркет'!BZ27+'МК Укркотлопром'!BZ27+'МК Подгорцы.Забор'!BZ27+PL_Металлизация!DN27+'МД Бытовка ИТР Нежин'!BZ27+'МК Металургбуд.поддоны'!BZ27+'МК Нежин-3'!BZ27+'МК РДК.Кран'!BZ27+'МК Ворота.Запорожье'!BZ27+'МД ВООЗ'!BZ27+'МД Казарма.Рекламация'!BZ27</f>
        <v>0</v>
      </c>
      <c r="CA27" s="3341">
        <f>PL_ЦО_Производство!CA27+'МД ООН'!CA27+'МК Ладыжин-3'!CA27+'МК Староконстантинов'!CA27+'МК Армокаркасы'!CA27+'МК Щедро. Флекситанки'!CA27+'МК ЛифтМаркет'!CA27+'МК Укркотлопром'!CA27+'МК Подгорцы.Забор'!CA27+PL_Металлизация!DO27+'МД Бытовка ИТР Нежин'!CA27+'МК Металургбуд.поддоны'!CA27+'МК Нежин-3'!CA27+'МК РДК.Кран'!CA27+'МК Ворота.Запорожье'!CA27+'МД ВООЗ'!CA27+'МД Казарма.Рекламация'!CA27</f>
        <v>0</v>
      </c>
      <c r="CB27" s="3349">
        <f t="shared" si="37"/>
        <v>0</v>
      </c>
      <c r="CC27" s="4697" t="e">
        <f t="shared" si="51"/>
        <v>#DIV/0!</v>
      </c>
      <c r="CD27" s="3342"/>
      <c r="CE27" s="3341">
        <f>PL_ЦО_Производство!CE27+'МД ООН'!CE27+'МК Ладыжин-3'!CE27+'МК Староконстантинов'!CE27+'МК Армокаркасы'!CE27+'МК Щедро. Флекситанки'!CE27+'МК ЛифтМаркет'!CE27+'МК Укркотлопром'!CE27+'МК Подгорцы.Забор'!CE27+PL_Металлизация!DS27+'МД Бытовка ИТР Нежин'!CE27+'МК Металургбуд.поддоны'!CE27+'МК Нежин-3'!CE27+'МК РДК.Кран'!CE27+'МК Ворота.Запорожье'!CE27+'МД ВООЗ'!CE27+'МД Казарма.Рекламация'!CE27</f>
        <v>0</v>
      </c>
      <c r="CF27" s="3341">
        <f>PL_ЦО_Производство!CF27+'МД ООН'!CF27+'МК Ладыжин-3'!CF27+'МК Староконстантинов'!CF27+'МК Армокаркасы'!CF27+'МК Щедро. Флекситанки'!CF27+'МК ЛифтМаркет'!CF27+'МК Укркотлопром'!CF27+'МК Подгорцы.Забор'!CF27+PL_Металлизация!DT27+'МД Бытовка ИТР Нежин'!CF27+'МК Металургбуд.поддоны'!CF27+'МК Нежин-3'!CF27+'МК РДК.Кран'!CF27+'МК Ворота.Запорожье'!CF27+'МД ВООЗ'!CF27+'МД Казарма.Рекламация'!CF27</f>
        <v>0</v>
      </c>
      <c r="CG27" s="3349">
        <f t="shared" si="38"/>
        <v>0</v>
      </c>
      <c r="CH27" s="4697" t="e">
        <f t="shared" si="52"/>
        <v>#DIV/0!</v>
      </c>
      <c r="CI27" s="3342"/>
      <c r="CJ27" s="3341">
        <f t="shared" si="39"/>
        <v>112916.76</v>
      </c>
      <c r="CK27" s="3341">
        <f t="shared" si="39"/>
        <v>12397.2</v>
      </c>
      <c r="CL27" s="3349">
        <f t="shared" si="53"/>
        <v>125313.95999999999</v>
      </c>
      <c r="CM27" s="4697">
        <f t="shared" si="40"/>
        <v>2.459308992954642E-3</v>
      </c>
      <c r="CN27" s="1434"/>
    </row>
    <row r="28" spans="1:95" s="1396" customFormat="1" ht="13.8" outlineLevel="2">
      <c r="A28" s="1571"/>
      <c r="B28" s="4698" t="s">
        <v>52</v>
      </c>
      <c r="C28" s="3341"/>
      <c r="D28" s="3341"/>
      <c r="E28" s="3349">
        <f t="shared" si="19"/>
        <v>0</v>
      </c>
      <c r="F28" s="4697" t="e">
        <f t="shared" si="16"/>
        <v>#DIV/0!</v>
      </c>
      <c r="G28" s="3342"/>
      <c r="H28" s="3341"/>
      <c r="I28" s="3341"/>
      <c r="J28" s="3349">
        <f t="shared" si="20"/>
        <v>0</v>
      </c>
      <c r="K28" s="4697" t="e">
        <f t="shared" si="41"/>
        <v>#DIV/0!</v>
      </c>
      <c r="L28" s="3342"/>
      <c r="M28" s="3341"/>
      <c r="N28" s="3341"/>
      <c r="O28" s="3349">
        <f t="shared" si="21"/>
        <v>0</v>
      </c>
      <c r="P28" s="4697" t="e">
        <f t="shared" si="22"/>
        <v>#DIV/0!</v>
      </c>
      <c r="Q28" s="3409"/>
      <c r="R28" s="3427">
        <f>PL_Производство!BF28</f>
        <v>232279.51</v>
      </c>
      <c r="S28" s="3427">
        <f>PL_Производство!BG28</f>
        <v>3198121.32</v>
      </c>
      <c r="T28" s="2012">
        <f t="shared" si="23"/>
        <v>3430400.83</v>
      </c>
      <c r="U28" s="3409"/>
      <c r="V28" s="3409"/>
      <c r="W28" s="3342">
        <f t="shared" si="24"/>
        <v>55322.090000000004</v>
      </c>
      <c r="X28" s="3342">
        <f t="shared" si="24"/>
        <v>187015.6</v>
      </c>
      <c r="Y28" s="2012">
        <f t="shared" si="25"/>
        <v>242337.69</v>
      </c>
      <c r="Z28" s="3409"/>
      <c r="AA28" s="3409"/>
      <c r="AB28" s="3341">
        <f>PL_ЦО_Производство!AB28+'МД ООН'!AB28+'МК Ладыжин-3'!AB28+'МК Староконстантинов'!AB28+'МК Армокаркасы'!AB28+'МК Щедро. Флекситанки'!AB28+'МК ЛифтМаркет'!AB28+'МК Укркотлопром'!AB28+'МК Подгорцы.Забор'!AB28+PL_Металлизация!BP28+'МД Бытовка ИТР Нежин'!AB28+'МК Металургбуд.поддоны'!AB28</f>
        <v>2119.6</v>
      </c>
      <c r="AC28" s="3341">
        <f>PL_ЦО_Производство!AC28+'МД ООН'!AC28+'МК Ладыжин-3'!AC28+'МК Староконстантинов'!AC28+'МК Армокаркасы'!AC28+'МК Щедро. Флекситанки'!AC28+'МК ЛифтМаркет'!AC28+'МК Укркотлопром'!AC28+'МК Подгорцы.Забор'!AC28+PL_Металлизация!BQ28+'МД Бытовка ИТР Нежин'!AC28+'МК Металургбуд.поддоны'!AC28</f>
        <v>130294.6</v>
      </c>
      <c r="AD28" s="3349">
        <f t="shared" si="26"/>
        <v>132414.20000000001</v>
      </c>
      <c r="AE28" s="4697">
        <f t="shared" si="27"/>
        <v>8.4401942562743804E-2</v>
      </c>
      <c r="AF28" s="3409"/>
      <c r="AG28" s="3341">
        <f>PL_ЦО_Производство!AG28+'МД ООН'!AG28+'МК Ладыжин-3'!AG28+'МК Староконстантинов'!AG28+'МК Армокаркасы'!AG28+'МК Щедро. Флекситанки'!AG28+'МК ЛифтМаркет'!AG28+'МК Укркотлопром'!AG28+'МК Подгорцы.Забор'!AG28+PL_Металлизация!BU28+'МД Бытовка ИТР Нежин'!AG28+'МК Металургбуд.поддоны'!AG28</f>
        <v>13910.93</v>
      </c>
      <c r="AH28" s="3341">
        <f>PL_ЦО_Производство!AH28+'МД ООН'!AH28+'МК Ладыжин-3'!AH28+'МК Староконстантинов'!AH28+'МК Армокаркасы'!AH28+'МК Щедро. Флекситанки'!AH28+'МК ЛифтМаркет'!AH28+'МК Укркотлопром'!AH28+'МК Подгорцы.Забор'!AH28+PL_Металлизация!BV28+'МД Бытовка ИТР Нежин'!AH28+'МК Металургбуд.поддоны'!AH28</f>
        <v>0</v>
      </c>
      <c r="AI28" s="3349">
        <f t="shared" si="28"/>
        <v>13910.93</v>
      </c>
      <c r="AJ28" s="4697">
        <f t="shared" si="42"/>
        <v>8.6734576536279216E-3</v>
      </c>
      <c r="AK28" s="3409"/>
      <c r="AL28" s="3341">
        <f>PL_ЦО_Производство!AL28+'МД ООН'!AL28+'МК Ладыжин-3'!AL28+'МК Староконстантинов'!AL28+'МК Армокаркасы'!AL28+'МК Щедро. Флекситанки'!AL28+'МК ЛифтМаркет'!AL28+'МК Укркотлопром'!AL28+'МК Подгорцы.Забор'!AL28+PL_Металлизация!BZ28+'МД Бытовка ИТР Нежин'!AL28+'МК Металургбуд.поддоны'!AL28+'МК Нежин-3'!AL28</f>
        <v>10422.220000000001</v>
      </c>
      <c r="AM28" s="3341">
        <f>PL_ЦО_Производство!AM28+'МД ООН'!AM28+'МК Ладыжин-3'!AM28+'МК Староконстантинов'!AM28+'МК Армокаркасы'!AM28+'МК Щедро. Флекситанки'!AM28+'МК ЛифтМаркет'!AM28+'МК Укркотлопром'!AM28+'МК Подгорцы.Забор'!AM28+PL_Металлизация!CA28+'МД Бытовка ИТР Нежин'!AM28+'МК Металургбуд.поддоны'!AM28+'МК Нежин-3'!AM28</f>
        <v>0</v>
      </c>
      <c r="AN28" s="3349">
        <f t="shared" si="29"/>
        <v>10422.220000000001</v>
      </c>
      <c r="AO28" s="4697">
        <f t="shared" si="43"/>
        <v>4.9967988261816025E-3</v>
      </c>
      <c r="AP28" s="3409"/>
      <c r="AQ28" s="3341">
        <f>PL_ЦО_Производство!AQ28+'МД ООН'!AQ28+'МК Ладыжин-3'!AQ28+'МК Староконстантинов'!AQ28+'МК Армокаркасы'!AQ28+'МК Щедро. Флекситанки'!AQ28+'МК ЛифтМаркет'!AQ28+'МК Укркотлопром'!AQ28+'МК Подгорцы.Забор'!AQ28+PL_Металлизация!CE28+'МД Бытовка ИТР Нежин'!AQ28+'МК Металургбуд.поддоны'!AQ28+'МК Нежин-3'!AQ28</f>
        <v>8877.9699999999993</v>
      </c>
      <c r="AR28" s="3341">
        <f>PL_ЦО_Производство!AR28+'МД ООН'!AR28+'МК Ладыжин-3'!AR28+'МК Староконстантинов'!AR28+'МК Армокаркасы'!AR28+'МК Щедро. Флекситанки'!AR28+'МК ЛифтМаркет'!AR28+'МК Укркотлопром'!AR28+'МК Подгорцы.Забор'!AR28+PL_Металлизация!CF28+'МД Бытовка ИТР Нежин'!AR28+'МК Металургбуд.поддоны'!AR28+'МК Нежин-3'!AR28</f>
        <v>0</v>
      </c>
      <c r="AS28" s="3349">
        <f t="shared" si="30"/>
        <v>8877.9699999999993</v>
      </c>
      <c r="AT28" s="4697">
        <f t="shared" si="44"/>
        <v>5.7224768995864303E-3</v>
      </c>
      <c r="AU28" s="3409"/>
      <c r="AV28" s="3341">
        <f>PL_ЦО_Производство!AV28+'МД ООН'!AV28+'МК Армокаркасы'!AV28+'МК Подгорцы.Забор'!AV28+'МК Нежин-3'!AV28+'МК РДК.Кран'!AV28+'МК Ворота.Запорожье'!AV28+'МД ВООЗ'!AV28+'МД Казарма.Рекламация'!AV28</f>
        <v>5961.68</v>
      </c>
      <c r="AW28" s="3341">
        <f>PL_ЦО_Производство!AW28+'МД ООН'!AW28+'МК Армокаркасы'!AW28+'МК Подгорцы.Забор'!AW28+'МК Нежин-3'!AW28+'МК РДК.Кран'!AW28+'МК Ворота.Запорожье'!AW28+'МД ВООЗ'!AW28+'МД Казарма.Рекламация'!AW28</f>
        <v>56721</v>
      </c>
      <c r="AX28" s="3349">
        <f t="shared" si="31"/>
        <v>62682.68</v>
      </c>
      <c r="AY28" s="4697">
        <f t="shared" si="45"/>
        <v>4.6864793779299224E-2</v>
      </c>
      <c r="AZ28" s="3409"/>
      <c r="BA28" s="3341">
        <f>PL_ЦО_Производство!BA28+'МД ООН'!BA28+'МК Ладыжин-3'!BA28+'МК Староконстантинов'!BA28+'МК Армокаркасы'!BA28+'МК Щедро. Флекситанки'!BA28+'МК ЛифтМаркет'!BA28+'МК Укркотлопром'!BA28+'МК Подгорцы.Забор'!BA28+PL_Металлизация!CO28+'МД Бытовка ИТР Нежин'!BA28+'МК Металургбуд.поддоны'!BA28+'МК Нежин-3'!BA28+'МК РДК.Кран'!BA28+'МК Ворота.Запорожье'!BA28+'МД ВООЗ'!BA28+'МД Казарма.Рекламация'!BA28</f>
        <v>14029.69</v>
      </c>
      <c r="BB28" s="3341">
        <f>PL_ЦО_Производство!BB28+'МД ООН'!BB28+'МК Ладыжин-3'!BB28+'МК Староконстантинов'!BB28+'МК Армокаркасы'!BB28+'МК Щедро. Флекситанки'!BB28+'МК ЛифтМаркет'!BB28+'МК Укркотлопром'!BB28+'МК Подгорцы.Забор'!BB28+PL_Металлизация!CP28+'МД Бытовка ИТР Нежин'!BB28+'МК Металургбуд.поддоны'!BB28+'МК Нежин-3'!BB28+'МК РДК.Кран'!BB28+'МК Ворота.Запорожье'!BB28+'МД ВООЗ'!BB28+'МД Казарма.Рекламация'!BB28</f>
        <v>0</v>
      </c>
      <c r="BC28" s="3349">
        <f t="shared" si="32"/>
        <v>14029.69</v>
      </c>
      <c r="BD28" s="4697">
        <f t="shared" si="46"/>
        <v>1.0643600119863218E-2</v>
      </c>
      <c r="BE28" s="3409"/>
      <c r="BF28" s="3341">
        <f>PL_ЦО_Производство!BF28+'МД ООН'!BF28+'МК Ладыжин-3'!BF28+'МК Староконстантинов'!BF28+'МК Армокаркасы'!BF28+'МК Щедро. Флекситанки'!BF28+'МК ЛифтМаркет'!BF28+'МК Укркотлопром'!BF28+'МК Подгорцы.Забор'!BF28+PL_Металлизация!CT28+'МД Бытовка ИТР Нежин'!BF28+'МК Металургбуд.поддоны'!BF28+'МК Нежин-3'!BF28+'МК РДК.Кран'!BF28+'МК Ворота.Запорожье'!BF28+'МД ВООЗ'!BF28+'МД Казарма.Рекламация'!BF28</f>
        <v>0</v>
      </c>
      <c r="BG28" s="3341">
        <f>PL_ЦО_Производство!BG28+'МД ООН'!BG28+'МК Ладыжин-3'!BG28+'МК Староконстантинов'!BG28+'МК Армокаркасы'!BG28+'МК Щедро. Флекситанки'!BG28+'МК ЛифтМаркет'!BG28+'МК Укркотлопром'!BG28+'МК Подгорцы.Забор'!BG28+PL_Металлизация!CU28+'МД Бытовка ИТР Нежин'!BG28+'МК Металургбуд.поддоны'!BG28+'МК Нежин-3'!BG28+'МК РДК.Кран'!BG28+'МК Ворота.Запорожье'!BG28+'МД ВООЗ'!BG28+'МД Казарма.Рекламация'!BG28</f>
        <v>0</v>
      </c>
      <c r="BH28" s="3349">
        <f t="shared" si="33"/>
        <v>0</v>
      </c>
      <c r="BI28" s="4697" t="e">
        <f t="shared" si="47"/>
        <v>#DIV/0!</v>
      </c>
      <c r="BJ28" s="3409"/>
      <c r="BK28" s="3341">
        <f>PL_ЦО_Производство!BK28+'МД ООН'!BK28+'МК Ладыжин-3'!BK28+'МК Староконстантинов'!BK28+'МК Армокаркасы'!BK28+'МК Щедро. Флекситанки'!BK28+'МК ЛифтМаркет'!BK28+'МК Укркотлопром'!BK28+'МК Подгорцы.Забор'!BK28+PL_Металлизация!CY28+'МД Бытовка ИТР Нежин'!BK28+'МК Металургбуд.поддоны'!BK28+'МК Нежин-3'!BK28+'МК РДК.Кран'!BK28+'МК Ворота.Запорожье'!BK28+'МД ВООЗ'!BK28+'МД Казарма.Рекламация'!BK28</f>
        <v>0</v>
      </c>
      <c r="BL28" s="3341">
        <f>PL_ЦО_Производство!BL28+'МД ООН'!BL28+'МК Ладыжин-3'!BL28+'МК Староконстантинов'!BL28+'МК Армокаркасы'!BL28+'МК Щедро. Флекситанки'!BL28+'МК ЛифтМаркет'!BL28+'МК Укркотлопром'!BL28+'МК Подгорцы.Забор'!BL28+PL_Металлизация!CZ28+'МД Бытовка ИТР Нежин'!BL28+'МК Металургбуд.поддоны'!BL28+'МК Нежин-3'!BL28+'МК РДК.Кран'!BL28+'МК Ворота.Запорожье'!BL28+'МД ВООЗ'!BL28+'МД Казарма.Рекламация'!BL28</f>
        <v>0</v>
      </c>
      <c r="BM28" s="3349">
        <f t="shared" si="34"/>
        <v>0</v>
      </c>
      <c r="BN28" s="4697" t="e">
        <f t="shared" si="48"/>
        <v>#DIV/0!</v>
      </c>
      <c r="BO28" s="3409"/>
      <c r="BP28" s="3341">
        <f>PL_ЦО_Производство!BP28+'МД ООН'!BP28+'МК Ладыжин-3'!BP28+'МК Староконстантинов'!BP28+'МК Армокаркасы'!BP28+'МК Щедро. Флекситанки'!BP28+'МК ЛифтМаркет'!BP28+'МК Укркотлопром'!BP28+'МК Подгорцы.Забор'!BP28+PL_Металлизация!DD28+'МД Бытовка ИТР Нежин'!BP28+'МК Металургбуд.поддоны'!BP28+'МК Нежин-3'!BP28+'МК РДК.Кран'!BP28+'МК Ворота.Запорожье'!BP28+'МД ВООЗ'!BP28+'МД Казарма.Рекламация'!BP28</f>
        <v>0</v>
      </c>
      <c r="BQ28" s="3341">
        <f>PL_ЦО_Производство!BQ28+'МД ООН'!BQ28+'МК Ладыжин-3'!BQ28+'МК Староконстантинов'!BQ28+'МК Армокаркасы'!BQ28+'МК Щедро. Флекситанки'!BQ28+'МК ЛифтМаркет'!BQ28+'МК Укркотлопром'!BQ28+'МК Подгорцы.Забор'!BQ28+PL_Металлизация!DE28+'МД Бытовка ИТР Нежин'!BQ28+'МК Металургбуд.поддоны'!BQ28+'МК Нежин-3'!BQ28+'МК РДК.Кран'!BQ28+'МК Ворота.Запорожье'!BQ28+'МД ВООЗ'!BQ28+'МД Казарма.Рекламация'!BQ28</f>
        <v>0</v>
      </c>
      <c r="BR28" s="3349">
        <f t="shared" si="35"/>
        <v>0</v>
      </c>
      <c r="BS28" s="4697" t="e">
        <f t="shared" si="49"/>
        <v>#DIV/0!</v>
      </c>
      <c r="BT28" s="3409"/>
      <c r="BU28" s="3341">
        <f>PL_ЦО_Производство!BU28+'МД ООН'!BU28+'МК Ладыжин-3'!BU28+'МК Староконстантинов'!BU28+'МК Армокаркасы'!BU28+'МК Щедро. Флекситанки'!BU28+'МК ЛифтМаркет'!BU28+'МК Укркотлопром'!BU28+'МК Подгорцы.Забор'!BU28+PL_Металлизация!DI28+'МД Бытовка ИТР Нежин'!BU28+'МК Металургбуд.поддоны'!BU28+'МК Нежин-3'!BU28+'МК РДК.Кран'!BU28+'МК Ворота.Запорожье'!BU28+'МД ВООЗ'!BU28+'МД Казарма.Рекламация'!BU28</f>
        <v>0</v>
      </c>
      <c r="BV28" s="3341">
        <f>PL_ЦО_Производство!BV28+'МД ООН'!BV28+'МК Ладыжин-3'!BV28+'МК Староконстантинов'!BV28+'МК Армокаркасы'!BV28+'МК Щедро. Флекситанки'!BV28+'МК ЛифтМаркет'!BV28+'МК Укркотлопром'!BV28+'МК Подгорцы.Забор'!BV28+PL_Металлизация!DJ28+'МД Бытовка ИТР Нежин'!BV28+'МК Металургбуд.поддоны'!BV28+'МК Нежин-3'!BV28+'МК РДК.Кран'!BV28+'МК Ворота.Запорожье'!BV28+'МД ВООЗ'!BV28+'МД Казарма.Рекламация'!BV28</f>
        <v>0</v>
      </c>
      <c r="BW28" s="3349">
        <f t="shared" si="36"/>
        <v>0</v>
      </c>
      <c r="BX28" s="4697" t="e">
        <f t="shared" si="50"/>
        <v>#DIV/0!</v>
      </c>
      <c r="BY28" s="3409"/>
      <c r="BZ28" s="3341">
        <f>PL_ЦО_Производство!BZ28+'МД ООН'!BZ28+'МК Ладыжин-3'!BZ28+'МК Староконстантинов'!BZ28+'МК Армокаркасы'!BZ28+'МК Щедро. Флекситанки'!BZ28+'МК ЛифтМаркет'!BZ28+'МК Укркотлопром'!BZ28+'МК Подгорцы.Забор'!BZ28+PL_Металлизация!DN28+'МД Бытовка ИТР Нежин'!BZ28+'МК Металургбуд.поддоны'!BZ28+'МК Нежин-3'!BZ28+'МК РДК.Кран'!BZ28+'МК Ворота.Запорожье'!BZ28+'МД ВООЗ'!BZ28+'МД Казарма.Рекламация'!BZ28</f>
        <v>0</v>
      </c>
      <c r="CA28" s="3341">
        <f>PL_ЦО_Производство!CA28+'МД ООН'!CA28+'МК Ладыжин-3'!CA28+'МК Староконстантинов'!CA28+'МК Армокаркасы'!CA28+'МК Щедро. Флекситанки'!CA28+'МК ЛифтМаркет'!CA28+'МК Укркотлопром'!CA28+'МК Подгорцы.Забор'!CA28+PL_Металлизация!DO28+'МД Бытовка ИТР Нежин'!CA28+'МК Металургбуд.поддоны'!CA28+'МК Нежин-3'!CA28+'МК РДК.Кран'!CA28+'МК Ворота.Запорожье'!CA28+'МД ВООЗ'!CA28+'МД Казарма.Рекламация'!CA28</f>
        <v>0</v>
      </c>
      <c r="CB28" s="3349">
        <f t="shared" si="37"/>
        <v>0</v>
      </c>
      <c r="CC28" s="4697" t="e">
        <f t="shared" si="51"/>
        <v>#DIV/0!</v>
      </c>
      <c r="CD28" s="3409"/>
      <c r="CE28" s="3341">
        <f>PL_ЦО_Производство!CE28+'МД ООН'!CE28+'МК Ладыжин-3'!CE28+'МК Староконстантинов'!CE28+'МК Армокаркасы'!CE28+'МК Щедро. Флекситанки'!CE28+'МК ЛифтМаркет'!CE28+'МК Укркотлопром'!CE28+'МК Подгорцы.Забор'!CE28+PL_Металлизация!DS28+'МД Бытовка ИТР Нежин'!CE28+'МК Металургбуд.поддоны'!CE28+'МК Нежин-3'!CE28+'МК РДК.Кран'!CE28+'МК Ворота.Запорожье'!CE28+'МД ВООЗ'!CE28+'МД Казарма.Рекламация'!CE28</f>
        <v>0</v>
      </c>
      <c r="CF28" s="3341">
        <f>PL_ЦО_Производство!CF28+'МД ООН'!CF28+'МК Ладыжин-3'!CF28+'МК Староконстантинов'!CF28+'МК Армокаркасы'!CF28+'МК Щедро. Флекситанки'!CF28+'МК ЛифтМаркет'!CF28+'МК Укркотлопром'!CF28+'МК Подгорцы.Забор'!CF28+PL_Металлизация!DT28+'МД Бытовка ИТР Нежин'!CF28+'МК Металургбуд.поддоны'!CF28+'МК Нежин-3'!CF28+'МК РДК.Кран'!CF28+'МК Ворота.Запорожье'!CF28+'МД ВООЗ'!CF28+'МД Казарма.Рекламация'!CF28</f>
        <v>0</v>
      </c>
      <c r="CG28" s="3349">
        <f t="shared" si="38"/>
        <v>0</v>
      </c>
      <c r="CH28" s="4697" t="e">
        <f t="shared" si="52"/>
        <v>#DIV/0!</v>
      </c>
      <c r="CI28" s="3409"/>
      <c r="CJ28" s="3341">
        <f t="shared" si="39"/>
        <v>287601.60000000003</v>
      </c>
      <c r="CK28" s="3341">
        <f t="shared" si="39"/>
        <v>3385136.92</v>
      </c>
      <c r="CL28" s="3349">
        <f t="shared" si="53"/>
        <v>3672738.52</v>
      </c>
      <c r="CM28" s="4697">
        <f t="shared" si="40"/>
        <v>7.2078153710942686E-2</v>
      </c>
      <c r="CN28" s="1434"/>
    </row>
    <row r="29" spans="1:95" s="1396" customFormat="1" ht="13.8" outlineLevel="2">
      <c r="A29" s="1571"/>
      <c r="B29" s="4698" t="s">
        <v>31</v>
      </c>
      <c r="C29" s="3341"/>
      <c r="D29" s="3341"/>
      <c r="E29" s="3349">
        <f t="shared" si="19"/>
        <v>0</v>
      </c>
      <c r="F29" s="4697" t="e">
        <f t="shared" si="16"/>
        <v>#DIV/0!</v>
      </c>
      <c r="G29" s="3342"/>
      <c r="H29" s="3341"/>
      <c r="I29" s="3341"/>
      <c r="J29" s="3349">
        <f t="shared" si="20"/>
        <v>0</v>
      </c>
      <c r="K29" s="4697" t="e">
        <f t="shared" si="41"/>
        <v>#DIV/0!</v>
      </c>
      <c r="L29" s="3342"/>
      <c r="M29" s="3341"/>
      <c r="N29" s="3341"/>
      <c r="O29" s="3349">
        <f t="shared" si="21"/>
        <v>0</v>
      </c>
      <c r="P29" s="4697" t="e">
        <f t="shared" si="22"/>
        <v>#DIV/0!</v>
      </c>
      <c r="Q29" s="3342"/>
      <c r="R29" s="3427">
        <f>PL_Производство!BF29</f>
        <v>0</v>
      </c>
      <c r="S29" s="3427">
        <f>PL_Производство!BG29</f>
        <v>0</v>
      </c>
      <c r="T29" s="2012">
        <f t="shared" si="23"/>
        <v>0</v>
      </c>
      <c r="U29" s="3342"/>
      <c r="V29" s="3342"/>
      <c r="W29" s="3342">
        <f t="shared" si="24"/>
        <v>0</v>
      </c>
      <c r="X29" s="3342">
        <f t="shared" si="24"/>
        <v>0</v>
      </c>
      <c r="Y29" s="2012">
        <f t="shared" si="25"/>
        <v>0</v>
      </c>
      <c r="Z29" s="3342"/>
      <c r="AA29" s="3342"/>
      <c r="AB29" s="3341">
        <f>PL_ЦО_Производство!AB29+'МД ООН'!AB29+'МК Ладыжин-3'!AB29+'МК Староконстантинов'!AB29+'МК Армокаркасы'!AB29+'МК Щедро. Флекситанки'!AB29+'МК ЛифтМаркет'!AB29+'МК Укркотлопром'!AB29+'МК Подгорцы.Забор'!AB29+PL_Металлизация!BP29+'МД Бытовка ИТР Нежин'!AB29+'МК Металургбуд.поддоны'!AB29</f>
        <v>0</v>
      </c>
      <c r="AC29" s="3341">
        <f>PL_ЦО_Производство!AC29+'МД ООН'!AC29+'МК Ладыжин-3'!AC29+'МК Староконстантинов'!AC29+'МК Армокаркасы'!AC29+'МК Щедро. Флекситанки'!AC29+'МК ЛифтМаркет'!AC29+'МК Укркотлопром'!AC29+'МК Подгорцы.Забор'!AC29+PL_Металлизация!BQ29+'МД Бытовка ИТР Нежин'!AC29+'МК Металургбуд.поддоны'!AC29</f>
        <v>0</v>
      </c>
      <c r="AD29" s="3349">
        <f t="shared" si="26"/>
        <v>0</v>
      </c>
      <c r="AE29" s="4697">
        <f t="shared" si="27"/>
        <v>0</v>
      </c>
      <c r="AF29" s="3342"/>
      <c r="AG29" s="3341">
        <f>PL_ЦО_Производство!AG29+'МД ООН'!AG29+'МК Ладыжин-3'!AG29+'МК Староконстантинов'!AG29+'МК Армокаркасы'!AG29+'МК Щедро. Флекситанки'!AG29+'МК ЛифтМаркет'!AG29+'МК Укркотлопром'!AG29+'МК Подгорцы.Забор'!AG29+PL_Металлизация!BU29+'МД Бытовка ИТР Нежин'!AG29+'МК Металургбуд.поддоны'!AG29</f>
        <v>0</v>
      </c>
      <c r="AH29" s="3341">
        <f>PL_ЦО_Производство!AH29+'МД ООН'!AH29+'МК Ладыжин-3'!AH29+'МК Староконстантинов'!AH29+'МК Армокаркасы'!AH29+'МК Щедро. Флекситанки'!AH29+'МК ЛифтМаркет'!AH29+'МК Укркотлопром'!AH29+'МК Подгорцы.Забор'!AH29+PL_Металлизация!BV29+'МД Бытовка ИТР Нежин'!AH29+'МК Металургбуд.поддоны'!AH29</f>
        <v>0</v>
      </c>
      <c r="AI29" s="3349">
        <f t="shared" si="28"/>
        <v>0</v>
      </c>
      <c r="AJ29" s="4697">
        <f t="shared" si="42"/>
        <v>0</v>
      </c>
      <c r="AK29" s="3342"/>
      <c r="AL29" s="3341">
        <f>PL_ЦО_Производство!AL29+'МД ООН'!AL29+'МК Ладыжин-3'!AL29+'МК Староконстантинов'!AL29+'МК Армокаркасы'!AL29+'МК Щедро. Флекситанки'!AL29+'МК ЛифтМаркет'!AL29+'МК Укркотлопром'!AL29+'МК Подгорцы.Забор'!AL29+PL_Металлизация!BZ29+'МД Бытовка ИТР Нежин'!AL29+'МК Металургбуд.поддоны'!AL29+'МК Нежин-3'!AL29</f>
        <v>0</v>
      </c>
      <c r="AM29" s="3341">
        <f>PL_ЦО_Производство!AM29+'МД ООН'!AM29+'МК Ладыжин-3'!AM29+'МК Староконстантинов'!AM29+'МК Армокаркасы'!AM29+'МК Щедро. Флекситанки'!AM29+'МК ЛифтМаркет'!AM29+'МК Укркотлопром'!AM29+'МК Подгорцы.Забор'!AM29+PL_Металлизация!CA29+'МД Бытовка ИТР Нежин'!AM29+'МК Металургбуд.поддоны'!AM29+'МК Нежин-3'!AM29</f>
        <v>0</v>
      </c>
      <c r="AN29" s="3349">
        <f t="shared" si="29"/>
        <v>0</v>
      </c>
      <c r="AO29" s="4697">
        <f t="shared" si="43"/>
        <v>0</v>
      </c>
      <c r="AP29" s="3342"/>
      <c r="AQ29" s="3341">
        <f>PL_ЦО_Производство!AQ29+'МД ООН'!AQ29+'МК Ладыжин-3'!AQ29+'МК Староконстантинов'!AQ29+'МК Армокаркасы'!AQ29+'МК Щедро. Флекситанки'!AQ29+'МК ЛифтМаркет'!AQ29+'МК Укркотлопром'!AQ29+'МК Подгорцы.Забор'!AQ29+PL_Металлизация!CE29+'МД Бытовка ИТР Нежин'!AQ29+'МК Металургбуд.поддоны'!AQ29+'МК Нежин-3'!AQ29</f>
        <v>0</v>
      </c>
      <c r="AR29" s="3341">
        <f>PL_ЦО_Производство!AR29+'МД ООН'!AR29+'МК Ладыжин-3'!AR29+'МК Староконстантинов'!AR29+'МК Армокаркасы'!AR29+'МК Щедро. Флекситанки'!AR29+'МК ЛифтМаркет'!AR29+'МК Укркотлопром'!AR29+'МК Подгорцы.Забор'!AR29+PL_Металлизация!CF29+'МД Бытовка ИТР Нежин'!AR29+'МК Металургбуд.поддоны'!AR29+'МК Нежин-3'!AR29</f>
        <v>0</v>
      </c>
      <c r="AS29" s="3349">
        <f t="shared" si="30"/>
        <v>0</v>
      </c>
      <c r="AT29" s="4697">
        <f t="shared" si="44"/>
        <v>0</v>
      </c>
      <c r="AU29" s="3342"/>
      <c r="AV29" s="3341">
        <f>PL_ЦО_Производство!AV29+'МД ООН'!AV29+'МК Армокаркасы'!AV29+'МК Подгорцы.Забор'!AV29+'МК Нежин-3'!AV29+'МК РДК.Кран'!AV29+'МК Ворота.Запорожье'!AV29+'МД ВООЗ'!AV29+'МД Казарма.Рекламация'!AV29</f>
        <v>0</v>
      </c>
      <c r="AW29" s="3341">
        <f>PL_ЦО_Производство!AW29+'МД ООН'!AW29+'МК Армокаркасы'!AW29+'МК Подгорцы.Забор'!AW29+'МК Нежин-3'!AW29+'МК РДК.Кран'!AW29+'МК Ворота.Запорожье'!AW29+'МД ВООЗ'!AW29+'МД Казарма.Рекламация'!AW29</f>
        <v>0</v>
      </c>
      <c r="AX29" s="3349">
        <f t="shared" si="31"/>
        <v>0</v>
      </c>
      <c r="AY29" s="4697">
        <f t="shared" si="45"/>
        <v>0</v>
      </c>
      <c r="AZ29" s="3342"/>
      <c r="BA29" s="3341">
        <f>PL_ЦО_Производство!BA29+'МД ООН'!BA29+'МК Ладыжин-3'!BA29+'МК Староконстантинов'!BA29+'МК Армокаркасы'!BA29+'МК Щедро. Флекситанки'!BA29+'МК ЛифтМаркет'!BA29+'МК Укркотлопром'!BA29+'МК Подгорцы.Забор'!BA29+PL_Металлизация!CO29+'МД Бытовка ИТР Нежин'!BA29+'МК Металургбуд.поддоны'!BA29+'МК Нежин-3'!BA29+'МК РДК.Кран'!BA29+'МК Ворота.Запорожье'!BA29+'МД ВООЗ'!BA29+'МД Казарма.Рекламация'!BA29</f>
        <v>0</v>
      </c>
      <c r="BB29" s="3341">
        <f>PL_ЦО_Производство!BB29+'МД ООН'!BB29+'МК Ладыжин-3'!BB29+'МК Староконстантинов'!BB29+'МК Армокаркасы'!BB29+'МК Щедро. Флекситанки'!BB29+'МК ЛифтМаркет'!BB29+'МК Укркотлопром'!BB29+'МК Подгорцы.Забор'!BB29+PL_Металлизация!CP29+'МД Бытовка ИТР Нежин'!BB29+'МК Металургбуд.поддоны'!BB29+'МК Нежин-3'!BB29+'МК РДК.Кран'!BB29+'МК Ворота.Запорожье'!BB29+'МД ВООЗ'!BB29+'МД Казарма.Рекламация'!BB29</f>
        <v>0</v>
      </c>
      <c r="BC29" s="3349">
        <f t="shared" si="32"/>
        <v>0</v>
      </c>
      <c r="BD29" s="4697">
        <f t="shared" si="46"/>
        <v>0</v>
      </c>
      <c r="BE29" s="3342"/>
      <c r="BF29" s="3341">
        <f>PL_ЦО_Производство!BF29+'МД ООН'!BF29+'МК Ладыжин-3'!BF29+'МК Староконстантинов'!BF29+'МК Армокаркасы'!BF29+'МК Щедро. Флекситанки'!BF29+'МК ЛифтМаркет'!BF29+'МК Укркотлопром'!BF29+'МК Подгорцы.Забор'!BF29+PL_Металлизация!CT29+'МД Бытовка ИТР Нежин'!BF29+'МК Металургбуд.поддоны'!BF29+'МК Нежин-3'!BF29+'МК РДК.Кран'!BF29+'МК Ворота.Запорожье'!BF29+'МД ВООЗ'!BF29+'МД Казарма.Рекламация'!BF29</f>
        <v>0</v>
      </c>
      <c r="BG29" s="3341">
        <f>PL_ЦО_Производство!BG29+'МД ООН'!BG29+'МК Ладыжин-3'!BG29+'МК Староконстантинов'!BG29+'МК Армокаркасы'!BG29+'МК Щедро. Флекситанки'!BG29+'МК ЛифтМаркет'!BG29+'МК Укркотлопром'!BG29+'МК Подгорцы.Забор'!BG29+PL_Металлизация!CU29+'МД Бытовка ИТР Нежин'!BG29+'МК Металургбуд.поддоны'!BG29+'МК Нежин-3'!BG29+'МК РДК.Кран'!BG29+'МК Ворота.Запорожье'!BG29+'МД ВООЗ'!BG29+'МД Казарма.Рекламация'!BG29</f>
        <v>0</v>
      </c>
      <c r="BH29" s="3349">
        <f t="shared" si="33"/>
        <v>0</v>
      </c>
      <c r="BI29" s="4697" t="e">
        <f t="shared" si="47"/>
        <v>#DIV/0!</v>
      </c>
      <c r="BJ29" s="3342"/>
      <c r="BK29" s="3341">
        <f>PL_ЦО_Производство!BK29+'МД ООН'!BK29+'МК Ладыжин-3'!BK29+'МК Староконстантинов'!BK29+'МК Армокаркасы'!BK29+'МК Щедро. Флекситанки'!BK29+'МК ЛифтМаркет'!BK29+'МК Укркотлопром'!BK29+'МК Подгорцы.Забор'!BK29+PL_Металлизация!CY29+'МД Бытовка ИТР Нежин'!BK29+'МК Металургбуд.поддоны'!BK29+'МК Нежин-3'!BK29+'МК РДК.Кран'!BK29+'МК Ворота.Запорожье'!BK29+'МД ВООЗ'!BK29+'МД Казарма.Рекламация'!BK29</f>
        <v>0</v>
      </c>
      <c r="BL29" s="3341">
        <f>PL_ЦО_Производство!BL29+'МД ООН'!BL29+'МК Ладыжин-3'!BL29+'МК Староконстантинов'!BL29+'МК Армокаркасы'!BL29+'МК Щедро. Флекситанки'!BL29+'МК ЛифтМаркет'!BL29+'МК Укркотлопром'!BL29+'МК Подгорцы.Забор'!BL29+PL_Металлизация!CZ29+'МД Бытовка ИТР Нежин'!BL29+'МК Металургбуд.поддоны'!BL29+'МК Нежин-3'!BL29+'МК РДК.Кран'!BL29+'МК Ворота.Запорожье'!BL29+'МД ВООЗ'!BL29+'МД Казарма.Рекламация'!BL29</f>
        <v>0</v>
      </c>
      <c r="BM29" s="3349">
        <f t="shared" si="34"/>
        <v>0</v>
      </c>
      <c r="BN29" s="4697" t="e">
        <f t="shared" si="48"/>
        <v>#DIV/0!</v>
      </c>
      <c r="BO29" s="3342"/>
      <c r="BP29" s="3341">
        <f>PL_ЦО_Производство!BP29+'МД ООН'!BP29+'МК Ладыжин-3'!BP29+'МК Староконстантинов'!BP29+'МК Армокаркасы'!BP29+'МК Щедро. Флекситанки'!BP29+'МК ЛифтМаркет'!BP29+'МК Укркотлопром'!BP29+'МК Подгорцы.Забор'!BP29+PL_Металлизация!DD29+'МД Бытовка ИТР Нежин'!BP29+'МК Металургбуд.поддоны'!BP29+'МК Нежин-3'!BP29+'МК РДК.Кран'!BP29+'МК Ворота.Запорожье'!BP29+'МД ВООЗ'!BP29+'МД Казарма.Рекламация'!BP29</f>
        <v>0</v>
      </c>
      <c r="BQ29" s="3341">
        <f>PL_ЦО_Производство!BQ29+'МД ООН'!BQ29+'МК Ладыжин-3'!BQ29+'МК Староконстантинов'!BQ29+'МК Армокаркасы'!BQ29+'МК Щедро. Флекситанки'!BQ29+'МК ЛифтМаркет'!BQ29+'МК Укркотлопром'!BQ29+'МК Подгорцы.Забор'!BQ29+PL_Металлизация!DE29+'МД Бытовка ИТР Нежин'!BQ29+'МК Металургбуд.поддоны'!BQ29+'МК Нежин-3'!BQ29+'МК РДК.Кран'!BQ29+'МК Ворота.Запорожье'!BQ29+'МД ВООЗ'!BQ29+'МД Казарма.Рекламация'!BQ29</f>
        <v>0</v>
      </c>
      <c r="BR29" s="3349">
        <f t="shared" si="35"/>
        <v>0</v>
      </c>
      <c r="BS29" s="4697" t="e">
        <f t="shared" si="49"/>
        <v>#DIV/0!</v>
      </c>
      <c r="BT29" s="3342"/>
      <c r="BU29" s="3341">
        <f>PL_ЦО_Производство!BU29+'МД ООН'!BU29+'МК Ладыжин-3'!BU29+'МК Староконстантинов'!BU29+'МК Армокаркасы'!BU29+'МК Щедро. Флекситанки'!BU29+'МК ЛифтМаркет'!BU29+'МК Укркотлопром'!BU29+'МК Подгорцы.Забор'!BU29+PL_Металлизация!DI29+'МД Бытовка ИТР Нежин'!BU29+'МК Металургбуд.поддоны'!BU29+'МК Нежин-3'!BU29+'МК РДК.Кран'!BU29+'МК Ворота.Запорожье'!BU29+'МД ВООЗ'!BU29+'МД Казарма.Рекламация'!BU29</f>
        <v>0</v>
      </c>
      <c r="BV29" s="3341">
        <f>PL_ЦО_Производство!BV29+'МД ООН'!BV29+'МК Ладыжин-3'!BV29+'МК Староконстантинов'!BV29+'МК Армокаркасы'!BV29+'МК Щедро. Флекситанки'!BV29+'МК ЛифтМаркет'!BV29+'МК Укркотлопром'!BV29+'МК Подгорцы.Забор'!BV29+PL_Металлизация!DJ29+'МД Бытовка ИТР Нежин'!BV29+'МК Металургбуд.поддоны'!BV29+'МК Нежин-3'!BV29+'МК РДК.Кран'!BV29+'МК Ворота.Запорожье'!BV29+'МД ВООЗ'!BV29+'МД Казарма.Рекламация'!BV29</f>
        <v>0</v>
      </c>
      <c r="BW29" s="3349">
        <f t="shared" si="36"/>
        <v>0</v>
      </c>
      <c r="BX29" s="4697" t="e">
        <f t="shared" si="50"/>
        <v>#DIV/0!</v>
      </c>
      <c r="BY29" s="3342"/>
      <c r="BZ29" s="3341">
        <f>PL_ЦО_Производство!BZ29+'МД ООН'!BZ29+'МК Ладыжин-3'!BZ29+'МК Староконстантинов'!BZ29+'МК Армокаркасы'!BZ29+'МК Щедро. Флекситанки'!BZ29+'МК ЛифтМаркет'!BZ29+'МК Укркотлопром'!BZ29+'МК Подгорцы.Забор'!BZ29+PL_Металлизация!DN29+'МД Бытовка ИТР Нежин'!BZ29+'МК Металургбуд.поддоны'!BZ29+'МК Нежин-3'!BZ29+'МК РДК.Кран'!BZ29+'МК Ворота.Запорожье'!BZ29+'МД ВООЗ'!BZ29+'МД Казарма.Рекламация'!BZ29</f>
        <v>0</v>
      </c>
      <c r="CA29" s="3341">
        <f>PL_ЦО_Производство!CA29+'МД ООН'!CA29+'МК Ладыжин-3'!CA29+'МК Староконстантинов'!CA29+'МК Армокаркасы'!CA29+'МК Щедро. Флекситанки'!CA29+'МК ЛифтМаркет'!CA29+'МК Укркотлопром'!CA29+'МК Подгорцы.Забор'!CA29+PL_Металлизация!DO29+'МД Бытовка ИТР Нежин'!CA29+'МК Металургбуд.поддоны'!CA29+'МК Нежин-3'!CA29+'МК РДК.Кран'!CA29+'МК Ворота.Запорожье'!CA29+'МД ВООЗ'!CA29+'МД Казарма.Рекламация'!CA29</f>
        <v>0</v>
      </c>
      <c r="CB29" s="3349">
        <f t="shared" si="37"/>
        <v>0</v>
      </c>
      <c r="CC29" s="4697" t="e">
        <f t="shared" si="51"/>
        <v>#DIV/0!</v>
      </c>
      <c r="CD29" s="3342"/>
      <c r="CE29" s="3341">
        <f>PL_ЦО_Производство!CE29+'МД ООН'!CE29+'МК Ладыжин-3'!CE29+'МК Староконстантинов'!CE29+'МК Армокаркасы'!CE29+'МК Щедро. Флекситанки'!CE29+'МК ЛифтМаркет'!CE29+'МК Укркотлопром'!CE29+'МК Подгорцы.Забор'!CE29+PL_Металлизация!DS29+'МД Бытовка ИТР Нежин'!CE29+'МК Металургбуд.поддоны'!CE29+'МК Нежин-3'!CE29+'МК РДК.Кран'!CE29+'МК Ворота.Запорожье'!CE29+'МД ВООЗ'!CE29+'МД Казарма.Рекламация'!CE29</f>
        <v>0</v>
      </c>
      <c r="CF29" s="3341">
        <f>PL_ЦО_Производство!CF29+'МД ООН'!CF29+'МК Ладыжин-3'!CF29+'МК Староконстантинов'!CF29+'МК Армокаркасы'!CF29+'МК Щедро. Флекситанки'!CF29+'МК ЛифтМаркет'!CF29+'МК Укркотлопром'!CF29+'МК Подгорцы.Забор'!CF29+PL_Металлизация!DT29+'МД Бытовка ИТР Нежин'!CF29+'МК Металургбуд.поддоны'!CF29+'МК Нежин-3'!CF29+'МК РДК.Кран'!CF29+'МК Ворота.Запорожье'!CF29+'МД ВООЗ'!CF29+'МД Казарма.Рекламация'!CF29</f>
        <v>0</v>
      </c>
      <c r="CG29" s="3349">
        <f t="shared" si="38"/>
        <v>0</v>
      </c>
      <c r="CH29" s="4697" t="e">
        <f t="shared" si="52"/>
        <v>#DIV/0!</v>
      </c>
      <c r="CI29" s="3342"/>
      <c r="CJ29" s="3341">
        <f t="shared" si="39"/>
        <v>0</v>
      </c>
      <c r="CK29" s="3341">
        <f t="shared" si="39"/>
        <v>0</v>
      </c>
      <c r="CL29" s="3349">
        <f t="shared" si="53"/>
        <v>0</v>
      </c>
      <c r="CM29" s="4697">
        <f t="shared" si="40"/>
        <v>0</v>
      </c>
      <c r="CN29" s="4699"/>
    </row>
    <row r="30" spans="1:95" s="1396" customFormat="1" ht="13.8" outlineLevel="2">
      <c r="A30" s="1571"/>
      <c r="B30" s="4698" t="s">
        <v>62</v>
      </c>
      <c r="C30" s="3341"/>
      <c r="D30" s="3341"/>
      <c r="E30" s="3349">
        <f t="shared" si="19"/>
        <v>0</v>
      </c>
      <c r="F30" s="4697" t="e">
        <f t="shared" si="16"/>
        <v>#DIV/0!</v>
      </c>
      <c r="G30" s="3343"/>
      <c r="H30" s="3341"/>
      <c r="I30" s="3341"/>
      <c r="J30" s="3349">
        <f t="shared" si="20"/>
        <v>0</v>
      </c>
      <c r="K30" s="4697" t="e">
        <f t="shared" si="41"/>
        <v>#DIV/0!</v>
      </c>
      <c r="L30" s="3343"/>
      <c r="M30" s="3341"/>
      <c r="N30" s="3341"/>
      <c r="O30" s="3349">
        <f t="shared" si="21"/>
        <v>0</v>
      </c>
      <c r="P30" s="4697" t="e">
        <f t="shared" si="22"/>
        <v>#DIV/0!</v>
      </c>
      <c r="Q30" s="3342"/>
      <c r="R30" s="3427">
        <f>PL_Производство!BF30</f>
        <v>10000</v>
      </c>
      <c r="S30" s="3427">
        <f>PL_Производство!BG30</f>
        <v>220840</v>
      </c>
      <c r="T30" s="2012">
        <f t="shared" si="23"/>
        <v>230840</v>
      </c>
      <c r="U30" s="3342"/>
      <c r="V30" s="3342"/>
      <c r="W30" s="3342">
        <f t="shared" si="24"/>
        <v>0</v>
      </c>
      <c r="X30" s="3342">
        <f t="shared" si="24"/>
        <v>213697.45</v>
      </c>
      <c r="Y30" s="2012">
        <f t="shared" si="25"/>
        <v>213697.45</v>
      </c>
      <c r="Z30" s="3342"/>
      <c r="AA30" s="3342"/>
      <c r="AB30" s="3341">
        <f>PL_ЦО_Производство!AB30+'МД ООН'!AB30+'МК Ладыжин-3'!AB30+'МК Староконстантинов'!AB30+'МК Армокаркасы'!AB30+'МК Щедро. Флекситанки'!AB30+'МК ЛифтМаркет'!AB30+'МК Укркотлопром'!AB30+'МК Подгорцы.Забор'!AB30+PL_Металлизация!BP30+'МД Бытовка ИТР Нежин'!AB30+'МК Металургбуд.поддоны'!AB30</f>
        <v>0</v>
      </c>
      <c r="AC30" s="3341">
        <f>PL_ЦО_Производство!AC30+'МД ООН'!AC30+'МК Ладыжин-3'!AC30+'МК Староконстантинов'!AC30+'МК Армокаркасы'!AC30+'МК Щедро. Флекситанки'!AC30+'МК ЛифтМаркет'!AC30+'МК Укркотлопром'!AC30+'МК Подгорцы.Забор'!AC30+PL_Металлизация!BQ30+'МД Бытовка ИТР Нежин'!AC30+'МК Металургбуд.поддоны'!AC30</f>
        <v>41839</v>
      </c>
      <c r="AD30" s="3349">
        <f t="shared" si="26"/>
        <v>41839</v>
      </c>
      <c r="AE30" s="4697">
        <f t="shared" si="27"/>
        <v>2.6668536115330817E-2</v>
      </c>
      <c r="AF30" s="3342"/>
      <c r="AG30" s="3341">
        <f>PL_ЦО_Производство!AG30+'МД ООН'!AG30+'МК Ладыжин-3'!AG30+'МК Староконстантинов'!AG30+'МК Армокаркасы'!AG30+'МК Щедро. Флекситанки'!AG30+'МК ЛифтМаркет'!AG30+'МК Укркотлопром'!AG30+'МК Подгорцы.Забор'!AG30+PL_Металлизация!BU30+'МД Бытовка ИТР Нежин'!AG30+'МК Металургбуд.поддоны'!AG30</f>
        <v>0</v>
      </c>
      <c r="AH30" s="3341">
        <f>PL_ЦО_Производство!AH30+'МД ООН'!AH30+'МК Ладыжин-3'!AH30+'МК Староконстантинов'!AH30+'МК Армокаркасы'!AH30+'МК Щедро. Флекситанки'!AH30+'МК ЛифтМаркет'!AH30+'МК Укркотлопром'!AH30+'МК Подгорцы.Забор'!AH30+PL_Металлизация!BV30+'МД Бытовка ИТР Нежин'!AH30+'МК Металургбуд.поддоны'!AH30</f>
        <v>37258.449999999997</v>
      </c>
      <c r="AI30" s="3349">
        <f t="shared" si="28"/>
        <v>37258.449999999997</v>
      </c>
      <c r="AJ30" s="4697">
        <f t="shared" si="42"/>
        <v>2.3230624287147821E-2</v>
      </c>
      <c r="AK30" s="3342"/>
      <c r="AL30" s="3341">
        <f>PL_ЦО_Производство!AL30+'МД ООН'!AL30+'МК Ладыжин-3'!AL30+'МК Староконстантинов'!AL30+'МК Армокаркасы'!AL30+'МК Щедро. Флекситанки'!AL30+'МК ЛифтМаркет'!AL30+'МК Укркотлопром'!AL30+'МК Подгорцы.Забор'!AL30+PL_Металлизация!BZ30+'МД Бытовка ИТР Нежин'!AL30+'МК Металургбуд.поддоны'!AL30+'МК Нежин-3'!AL30</f>
        <v>0</v>
      </c>
      <c r="AM30" s="3341">
        <f>PL_ЦО_Производство!AM30+'МД ООН'!AM30+'МК Ладыжин-3'!AM30+'МК Староконстантинов'!AM30+'МК Армокаркасы'!AM30+'МК Щедро. Флекситанки'!AM30+'МК ЛифтМаркет'!AM30+'МК Укркотлопром'!AM30+'МК Подгорцы.Забор'!AM30+PL_Металлизация!CA30+'МД Бытовка ИТР Нежин'!AM30+'МК Металургбуд.поддоны'!AM30+'МК Нежин-3'!AM30</f>
        <v>36300</v>
      </c>
      <c r="AN30" s="3349">
        <f t="shared" si="29"/>
        <v>36300</v>
      </c>
      <c r="AO30" s="4697">
        <f t="shared" si="43"/>
        <v>1.7403566360179708E-2</v>
      </c>
      <c r="AP30" s="3342"/>
      <c r="AQ30" s="3341">
        <f>PL_ЦО_Производство!AQ30+'МД ООН'!AQ30+'МК Ладыжин-3'!AQ30+'МК Староконстантинов'!AQ30+'МК Армокаркасы'!AQ30+'МК Щедро. Флекситанки'!AQ30+'МК ЛифтМаркет'!AQ30+'МК Укркотлопром'!AQ30+'МК Подгорцы.Забор'!AQ30+PL_Металлизация!CE30+'МД Бытовка ИТР Нежин'!AQ30+'МК Металургбуд.поддоны'!AQ30+'МК Нежин-3'!AQ30</f>
        <v>0</v>
      </c>
      <c r="AR30" s="3341">
        <f>PL_ЦО_Производство!AR30+'МД ООН'!AR30+'МК Ладыжин-3'!AR30+'МК Староконстантинов'!AR30+'МК Армокаркасы'!AR30+'МК Щедро. Флекситанки'!AR30+'МК ЛифтМаркет'!AR30+'МК Укркотлопром'!AR30+'МК Подгорцы.Забор'!AR30+PL_Металлизация!CF30+'МД Бытовка ИТР Нежин'!AR30+'МК Металургбуд.поддоны'!AR30+'МК Нежин-3'!AR30</f>
        <v>29650</v>
      </c>
      <c r="AS30" s="3349">
        <f t="shared" si="30"/>
        <v>29650</v>
      </c>
      <c r="AT30" s="4697">
        <f t="shared" si="44"/>
        <v>1.9111513113103298E-2</v>
      </c>
      <c r="AU30" s="3342"/>
      <c r="AV30" s="3341">
        <f>PL_ЦО_Производство!AV30+'МД ООН'!AV30+'МК Армокаркасы'!AV30+'МК Подгорцы.Забор'!AV30+'МК Нежин-3'!AV30+'МК РДК.Кран'!AV30+'МК Ворота.Запорожье'!AV30+'МД ВООЗ'!AV30+'МД Казарма.Рекламация'!AV30</f>
        <v>0</v>
      </c>
      <c r="AW30" s="3341">
        <f>PL_ЦО_Производство!AW30+'МД ООН'!AW30+'МК Армокаркасы'!AW30+'МК Подгорцы.Забор'!AW30+'МК Нежин-3'!AW30+'МК РДК.Кран'!AW30+'МК Ворота.Запорожье'!AW30+'МД ВООЗ'!AW30+'МД Казарма.Рекламация'!AW30</f>
        <v>27300</v>
      </c>
      <c r="AX30" s="3349">
        <f t="shared" si="31"/>
        <v>27300</v>
      </c>
      <c r="AY30" s="4697">
        <f t="shared" si="45"/>
        <v>2.04108833600425E-2</v>
      </c>
      <c r="AZ30" s="3342"/>
      <c r="BA30" s="3341">
        <f>PL_ЦО_Производство!BA30+'МД ООН'!BA30+'МК Ладыжин-3'!BA30+'МК Староконстантинов'!BA30+'МК Армокаркасы'!BA30+'МК Щедро. Флекситанки'!BA30+'МК ЛифтМаркет'!BA30+'МК Укркотлопром'!BA30+'МК Подгорцы.Забор'!BA30+PL_Металлизация!CO30+'МД Бытовка ИТР Нежин'!BA30+'МК Металургбуд.поддоны'!BA30+'МК Нежин-3'!BA30+'МК РДК.Кран'!BA30+'МК Ворота.Запорожье'!BA30+'МД ВООЗ'!BA30+'МД Казарма.Рекламация'!BA30</f>
        <v>0</v>
      </c>
      <c r="BB30" s="3341">
        <f>PL_ЦО_Производство!BB30+'МД ООН'!BB30+'МК Ладыжин-3'!BB30+'МК Староконстантинов'!BB30+'МК Армокаркасы'!BB30+'МК Щедро. Флекситанки'!BB30+'МК ЛифтМаркет'!BB30+'МК Укркотлопром'!BB30+'МК Подгорцы.Забор'!BB30+PL_Металлизация!CP30+'МД Бытовка ИТР Нежин'!BB30+'МК Металургбуд.поддоны'!BB30+'МК Нежин-3'!BB30+'МК РДК.Кран'!BB30+'МК Ворота.Запорожье'!BB30+'МД ВООЗ'!BB30+'МД Казарма.Рекламация'!BB30</f>
        <v>41350</v>
      </c>
      <c r="BC30" s="3349">
        <f t="shared" si="32"/>
        <v>41350</v>
      </c>
      <c r="BD30" s="4697">
        <f t="shared" si="46"/>
        <v>3.1370106178849569E-2</v>
      </c>
      <c r="BE30" s="3342"/>
      <c r="BF30" s="3341">
        <f>PL_ЦО_Производство!BF30+'МД ООН'!BF30+'МК Ладыжин-3'!BF30+'МК Староконстантинов'!BF30+'МК Армокаркасы'!BF30+'МК Щедро. Флекситанки'!BF30+'МК ЛифтМаркет'!BF30+'МК Укркотлопром'!BF30+'МК Подгорцы.Забор'!BF30+PL_Металлизация!CT30+'МД Бытовка ИТР Нежин'!BF30+'МК Металургбуд.поддоны'!BF30+'МК Нежин-3'!BF30+'МК РДК.Кран'!BF30+'МК Ворота.Запорожье'!BF30+'МД ВООЗ'!BF30+'МД Казарма.Рекламация'!BF30</f>
        <v>0</v>
      </c>
      <c r="BG30" s="3341">
        <f>PL_ЦО_Производство!BG30+'МД ООН'!BG30+'МК Ладыжин-3'!BG30+'МК Староконстантинов'!BG30+'МК Армокаркасы'!BG30+'МК Щедро. Флекситанки'!BG30+'МК ЛифтМаркет'!BG30+'МК Укркотлопром'!BG30+'МК Подгорцы.Забор'!BG30+PL_Металлизация!CU30+'МД Бытовка ИТР Нежин'!BG30+'МК Металургбуд.поддоны'!BG30+'МК Нежин-3'!BG30+'МК РДК.Кран'!BG30+'МК Ворота.Запорожье'!BG30+'МД ВООЗ'!BG30+'МД Казарма.Рекламация'!BG30</f>
        <v>0</v>
      </c>
      <c r="BH30" s="3349">
        <f t="shared" si="33"/>
        <v>0</v>
      </c>
      <c r="BI30" s="4697" t="e">
        <f t="shared" si="47"/>
        <v>#DIV/0!</v>
      </c>
      <c r="BJ30" s="3342"/>
      <c r="BK30" s="3341">
        <f>PL_ЦО_Производство!BK30+'МД ООН'!BK30+'МК Ладыжин-3'!BK30+'МК Староконстантинов'!BK30+'МК Армокаркасы'!BK30+'МК Щедро. Флекситанки'!BK30+'МК ЛифтМаркет'!BK30+'МК Укркотлопром'!BK30+'МК Подгорцы.Забор'!BK30+PL_Металлизация!CY30+'МД Бытовка ИТР Нежин'!BK30+'МК Металургбуд.поддоны'!BK30+'МК Нежин-3'!BK30+'МК РДК.Кран'!BK30+'МК Ворота.Запорожье'!BK30+'МД ВООЗ'!BK30+'МД Казарма.Рекламация'!BK30</f>
        <v>0</v>
      </c>
      <c r="BL30" s="3341">
        <f>PL_ЦО_Производство!BL30+'МД ООН'!BL30+'МК Ладыжин-3'!BL30+'МК Староконстантинов'!BL30+'МК Армокаркасы'!BL30+'МК Щедро. Флекситанки'!BL30+'МК ЛифтМаркет'!BL30+'МК Укркотлопром'!BL30+'МК Подгорцы.Забор'!BL30+PL_Металлизация!CZ30+'МД Бытовка ИТР Нежин'!BL30+'МК Металургбуд.поддоны'!BL30+'МК Нежин-3'!BL30+'МК РДК.Кран'!BL30+'МК Ворота.Запорожье'!BL30+'МД ВООЗ'!BL30+'МД Казарма.Рекламация'!BL30</f>
        <v>0</v>
      </c>
      <c r="BM30" s="3349">
        <f t="shared" si="34"/>
        <v>0</v>
      </c>
      <c r="BN30" s="4697" t="e">
        <f t="shared" si="48"/>
        <v>#DIV/0!</v>
      </c>
      <c r="BO30" s="3342"/>
      <c r="BP30" s="3341">
        <f>PL_ЦО_Производство!BP30+'МД ООН'!BP30+'МК Ладыжин-3'!BP30+'МК Староконстантинов'!BP30+'МК Армокаркасы'!BP30+'МК Щедро. Флекситанки'!BP30+'МК ЛифтМаркет'!BP30+'МК Укркотлопром'!BP30+'МК Подгорцы.Забор'!BP30+PL_Металлизация!DD30+'МД Бытовка ИТР Нежин'!BP30+'МК Металургбуд.поддоны'!BP30+'МК Нежин-3'!BP30+'МК РДК.Кран'!BP30+'МК Ворота.Запорожье'!BP30+'МД ВООЗ'!BP30+'МД Казарма.Рекламация'!BP30</f>
        <v>0</v>
      </c>
      <c r="BQ30" s="3341">
        <f>PL_ЦО_Производство!BQ30+'МД ООН'!BQ30+'МК Ладыжин-3'!BQ30+'МК Староконстантинов'!BQ30+'МК Армокаркасы'!BQ30+'МК Щедро. Флекситанки'!BQ30+'МК ЛифтМаркет'!BQ30+'МК Укркотлопром'!BQ30+'МК Подгорцы.Забор'!BQ30+PL_Металлизация!DE30+'МД Бытовка ИТР Нежин'!BQ30+'МК Металургбуд.поддоны'!BQ30+'МК Нежин-3'!BQ30+'МК РДК.Кран'!BQ30+'МК Ворота.Запорожье'!BQ30+'МД ВООЗ'!BQ30+'МД Казарма.Рекламация'!BQ30</f>
        <v>0</v>
      </c>
      <c r="BR30" s="3349">
        <f t="shared" si="35"/>
        <v>0</v>
      </c>
      <c r="BS30" s="4697" t="e">
        <f t="shared" si="49"/>
        <v>#DIV/0!</v>
      </c>
      <c r="BT30" s="3342"/>
      <c r="BU30" s="3341">
        <f>PL_ЦО_Производство!BU30+'МД ООН'!BU30+'МК Ладыжин-3'!BU30+'МК Староконстантинов'!BU30+'МК Армокаркасы'!BU30+'МК Щедро. Флекситанки'!BU30+'МК ЛифтМаркет'!BU30+'МК Укркотлопром'!BU30+'МК Подгорцы.Забор'!BU30+PL_Металлизация!DI30+'МД Бытовка ИТР Нежин'!BU30+'МК Металургбуд.поддоны'!BU30+'МК Нежин-3'!BU30+'МК РДК.Кран'!BU30+'МК Ворота.Запорожье'!BU30+'МД ВООЗ'!BU30+'МД Казарма.Рекламация'!BU30</f>
        <v>0</v>
      </c>
      <c r="BV30" s="3341">
        <f>PL_ЦО_Производство!BV30+'МД ООН'!BV30+'МК Ладыжин-3'!BV30+'МК Староконстантинов'!BV30+'МК Армокаркасы'!BV30+'МК Щедро. Флекситанки'!BV30+'МК ЛифтМаркет'!BV30+'МК Укркотлопром'!BV30+'МК Подгорцы.Забор'!BV30+PL_Металлизация!DJ30+'МД Бытовка ИТР Нежин'!BV30+'МК Металургбуд.поддоны'!BV30+'МК Нежин-3'!BV30+'МК РДК.Кран'!BV30+'МК Ворота.Запорожье'!BV30+'МД ВООЗ'!BV30+'МД Казарма.Рекламация'!BV30</f>
        <v>0</v>
      </c>
      <c r="BW30" s="3349">
        <f t="shared" si="36"/>
        <v>0</v>
      </c>
      <c r="BX30" s="4697" t="e">
        <f t="shared" si="50"/>
        <v>#DIV/0!</v>
      </c>
      <c r="BY30" s="3342"/>
      <c r="BZ30" s="3341">
        <f>PL_ЦО_Производство!BZ30+'МД ООН'!BZ30+'МК Ладыжин-3'!BZ30+'МК Староконстантинов'!BZ30+'МК Армокаркасы'!BZ30+'МК Щедро. Флекситанки'!BZ30+'МК ЛифтМаркет'!BZ30+'МК Укркотлопром'!BZ30+'МК Подгорцы.Забор'!BZ30+PL_Металлизация!DN30+'МД Бытовка ИТР Нежин'!BZ30+'МК Металургбуд.поддоны'!BZ30+'МК Нежин-3'!BZ30+'МК РДК.Кран'!BZ30+'МК Ворота.Запорожье'!BZ30+'МД ВООЗ'!BZ30+'МД Казарма.Рекламация'!BZ30</f>
        <v>0</v>
      </c>
      <c r="CA30" s="3341">
        <f>PL_ЦО_Производство!CA30+'МД ООН'!CA30+'МК Ладыжин-3'!CA30+'МК Староконстантинов'!CA30+'МК Армокаркасы'!CA30+'МК Щедро. Флекситанки'!CA30+'МК ЛифтМаркет'!CA30+'МК Укркотлопром'!CA30+'МК Подгорцы.Забор'!CA30+PL_Металлизация!DO30+'МД Бытовка ИТР Нежин'!CA30+'МК Металургбуд.поддоны'!CA30+'МК Нежин-3'!CA30+'МК РДК.Кран'!CA30+'МК Ворота.Запорожье'!CA30+'МД ВООЗ'!CA30+'МД Казарма.Рекламация'!CA30</f>
        <v>0</v>
      </c>
      <c r="CB30" s="3349">
        <f t="shared" si="37"/>
        <v>0</v>
      </c>
      <c r="CC30" s="4697" t="e">
        <f t="shared" si="51"/>
        <v>#DIV/0!</v>
      </c>
      <c r="CD30" s="3342"/>
      <c r="CE30" s="3341">
        <f>PL_ЦО_Производство!CE30+'МД ООН'!CE30+'МК Ладыжин-3'!CE30+'МК Староконстантинов'!CE30+'МК Армокаркасы'!CE30+'МК Щедро. Флекситанки'!CE30+'МК ЛифтМаркет'!CE30+'МК Укркотлопром'!CE30+'МК Подгорцы.Забор'!CE30+PL_Металлизация!DS30+'МД Бытовка ИТР Нежин'!CE30+'МК Металургбуд.поддоны'!CE30+'МК Нежин-3'!CE30+'МК РДК.Кран'!CE30+'МК Ворота.Запорожье'!CE30+'МД ВООЗ'!CE30+'МД Казарма.Рекламация'!CE30</f>
        <v>0</v>
      </c>
      <c r="CF30" s="3341">
        <f>PL_ЦО_Производство!CF30+'МД ООН'!CF30+'МК Ладыжин-3'!CF30+'МК Староконстантинов'!CF30+'МК Армокаркасы'!CF30+'МК Щедро. Флекситанки'!CF30+'МК ЛифтМаркет'!CF30+'МК Укркотлопром'!CF30+'МК Подгорцы.Забор'!CF30+PL_Металлизация!DT30+'МД Бытовка ИТР Нежин'!CF30+'МК Металургбуд.поддоны'!CF30+'МК Нежин-3'!CF30+'МК РДК.Кран'!CF30+'МК Ворота.Запорожье'!CF30+'МД ВООЗ'!CF30+'МД Казарма.Рекламация'!CF30</f>
        <v>0</v>
      </c>
      <c r="CG30" s="3349">
        <f t="shared" si="38"/>
        <v>0</v>
      </c>
      <c r="CH30" s="4697" t="e">
        <f t="shared" si="52"/>
        <v>#DIV/0!</v>
      </c>
      <c r="CI30" s="3342"/>
      <c r="CJ30" s="3341">
        <f t="shared" si="39"/>
        <v>10000</v>
      </c>
      <c r="CK30" s="3341">
        <f t="shared" si="39"/>
        <v>434537.45</v>
      </c>
      <c r="CL30" s="3349">
        <f t="shared" si="53"/>
        <v>444537.45</v>
      </c>
      <c r="CM30" s="4697">
        <f t="shared" si="40"/>
        <v>8.7241273716840862E-3</v>
      </c>
      <c r="CN30" s="4699"/>
    </row>
    <row r="31" spans="1:95" s="1396" customFormat="1" ht="13.8" outlineLevel="2">
      <c r="A31" s="1571"/>
      <c r="B31" s="4698" t="s">
        <v>34</v>
      </c>
      <c r="C31" s="3341"/>
      <c r="D31" s="3341"/>
      <c r="E31" s="3349">
        <f t="shared" si="19"/>
        <v>0</v>
      </c>
      <c r="F31" s="4697" t="e">
        <f t="shared" si="16"/>
        <v>#DIV/0!</v>
      </c>
      <c r="G31" s="3343"/>
      <c r="H31" s="3341"/>
      <c r="I31" s="3341"/>
      <c r="J31" s="3349">
        <f t="shared" si="20"/>
        <v>0</v>
      </c>
      <c r="K31" s="4697" t="e">
        <f t="shared" si="41"/>
        <v>#DIV/0!</v>
      </c>
      <c r="L31" s="3343"/>
      <c r="M31" s="3341"/>
      <c r="N31" s="3341"/>
      <c r="O31" s="3349">
        <f t="shared" si="21"/>
        <v>0</v>
      </c>
      <c r="P31" s="4697" t="e">
        <f t="shared" si="22"/>
        <v>#DIV/0!</v>
      </c>
      <c r="Q31" s="3342"/>
      <c r="R31" s="3427">
        <f>PL_Производство!BF31</f>
        <v>0</v>
      </c>
      <c r="S31" s="3427">
        <f>PL_Производство!BG31</f>
        <v>612.05999999999995</v>
      </c>
      <c r="T31" s="2012">
        <f t="shared" si="23"/>
        <v>612.05999999999995</v>
      </c>
      <c r="U31" s="3342"/>
      <c r="V31" s="3342"/>
      <c r="W31" s="3342">
        <f t="shared" si="24"/>
        <v>60950</v>
      </c>
      <c r="X31" s="3342">
        <f t="shared" si="24"/>
        <v>0</v>
      </c>
      <c r="Y31" s="2012">
        <f t="shared" si="25"/>
        <v>60950</v>
      </c>
      <c r="Z31" s="3342"/>
      <c r="AA31" s="3342"/>
      <c r="AB31" s="3341">
        <f>PL_ЦО_Производство!AB31+'МД ООН'!AB31+'МК Ладыжин-3'!AB31+'МК Староконстантинов'!AB31+'МК Армокаркасы'!AB31+'МК Щедро. Флекситанки'!AB31+'МК ЛифтМаркет'!AB31+'МК Укркотлопром'!AB31+'МК Подгорцы.Забор'!AB31+PL_Металлизация!BP31+'МД Бытовка ИТР Нежин'!AB31+'МК Металургбуд.поддоны'!AB31</f>
        <v>0</v>
      </c>
      <c r="AC31" s="3341">
        <f>PL_ЦО_Производство!AC31+'МД ООН'!AC31+'МК Ладыжин-3'!AC31+'МК Староконстантинов'!AC31+'МК Армокаркасы'!AC31+'МК Щедро. Флекситанки'!AC31+'МК ЛифтМаркет'!AC31+'МК Укркотлопром'!AC31+'МК Подгорцы.Забор'!AC31+PL_Металлизация!BQ31+'МД Бытовка ИТР Нежин'!AC31+'МК Металургбуд.поддоны'!AC31</f>
        <v>0</v>
      </c>
      <c r="AD31" s="3349">
        <f t="shared" si="26"/>
        <v>0</v>
      </c>
      <c r="AE31" s="4697">
        <f t="shared" si="27"/>
        <v>0</v>
      </c>
      <c r="AF31" s="3342"/>
      <c r="AG31" s="3341">
        <f>PL_ЦО_Производство!AG31+'МД ООН'!AG31+'МК Ладыжин-3'!AG31+'МК Староконстантинов'!AG31+'МК Армокаркасы'!AG31+'МК Щедро. Флекситанки'!AG31+'МК ЛифтМаркет'!AG31+'МК Укркотлопром'!AG31+'МК Подгорцы.Забор'!AG31+PL_Металлизация!BU31+'МД Бытовка ИТР Нежин'!AG31+'МК Металургбуд.поддоны'!AG31</f>
        <v>0</v>
      </c>
      <c r="AH31" s="3341">
        <f>PL_ЦО_Производство!AH31+'МД ООН'!AH31+'МК Ладыжин-3'!AH31+'МК Староконстантинов'!AH31+'МК Армокаркасы'!AH31+'МК Щедро. Флекситанки'!AH31+'МК ЛифтМаркет'!AH31+'МК Укркотлопром'!AH31+'МК Подгорцы.Забор'!AH31+PL_Металлизация!BV31+'МД Бытовка ИТР Нежин'!AH31+'МК Металургбуд.поддоны'!AH31</f>
        <v>0</v>
      </c>
      <c r="AI31" s="3349">
        <f t="shared" si="28"/>
        <v>0</v>
      </c>
      <c r="AJ31" s="4697">
        <f t="shared" si="42"/>
        <v>0</v>
      </c>
      <c r="AK31" s="3342"/>
      <c r="AL31" s="3341">
        <f>PL_ЦО_Производство!AL31+'МД ООН'!AL31+'МК Ладыжин-3'!AL31+'МК Староконстантинов'!AL31+'МК Армокаркасы'!AL31+'МК Щедро. Флекситанки'!AL31+'МК ЛифтМаркет'!AL31+'МК Укркотлопром'!AL31+'МК Подгорцы.Забор'!AL31+PL_Металлизация!BZ31+'МД Бытовка ИТР Нежин'!AL31+'МК Металургбуд.поддоны'!AL31+'МК Нежин-3'!AL31</f>
        <v>60000</v>
      </c>
      <c r="AM31" s="3341">
        <f>PL_ЦО_Производство!AM31+'МД ООН'!AM31+'МК Ладыжин-3'!AM31+'МК Староконстантинов'!AM31+'МК Армокаркасы'!AM31+'МК Щедро. Флекситанки'!AM31+'МК ЛифтМаркет'!AM31+'МК Укркотлопром'!AM31+'МК Подгорцы.Забор'!AM31+PL_Металлизация!CA31+'МД Бытовка ИТР Нежин'!AM31+'МК Металургбуд.поддоны'!AM31+'МК Нежин-3'!AM31</f>
        <v>0</v>
      </c>
      <c r="AN31" s="3349">
        <f t="shared" si="29"/>
        <v>60000</v>
      </c>
      <c r="AO31" s="4697">
        <f t="shared" si="43"/>
        <v>2.876622538872679E-2</v>
      </c>
      <c r="AP31" s="3342"/>
      <c r="AQ31" s="3341">
        <f>PL_ЦО_Производство!AQ31+'МД ООН'!AQ31+'МК Ладыжин-3'!AQ31+'МК Староконстантинов'!AQ31+'МК Армокаркасы'!AQ31+'МК Щедро. Флекситанки'!AQ31+'МК ЛифтМаркет'!AQ31+'МК Укркотлопром'!AQ31+'МК Подгорцы.Забор'!AQ31+PL_Металлизация!CE31+'МД Бытовка ИТР Нежин'!AQ31+'МК Металургбуд.поддоны'!AQ31+'МК Нежин-3'!AQ31</f>
        <v>0</v>
      </c>
      <c r="AR31" s="3341">
        <f>PL_ЦО_Производство!AR31+'МД ООН'!AR31+'МК Ладыжин-3'!AR31+'МК Староконстантинов'!AR31+'МК Армокаркасы'!AR31+'МК Щедро. Флекситанки'!AR31+'МК ЛифтМаркет'!AR31+'МК Укркотлопром'!AR31+'МК Подгорцы.Забор'!AR31+PL_Металлизация!CF31+'МД Бытовка ИТР Нежин'!AR31+'МК Металургбуд.поддоны'!AR31+'МК Нежин-3'!AR31</f>
        <v>0</v>
      </c>
      <c r="AS31" s="3349">
        <f t="shared" si="30"/>
        <v>0</v>
      </c>
      <c r="AT31" s="4697">
        <f t="shared" si="44"/>
        <v>0</v>
      </c>
      <c r="AU31" s="3342"/>
      <c r="AV31" s="3341">
        <f>PL_ЦО_Производство!AV31+'МД ООН'!AV31+'МК Армокаркасы'!AV31+'МК Подгорцы.Забор'!AV31+'МК Нежин-3'!AV31+'МК РДК.Кран'!AV31+'МК Ворота.Запорожье'!AV31+'МД ВООЗ'!AV31+'МД Казарма.Рекламация'!AV31</f>
        <v>950</v>
      </c>
      <c r="AW31" s="3341">
        <f>PL_ЦО_Производство!AW31+'МД ООН'!AW31+'МК Армокаркасы'!AW31+'МК Подгорцы.Забор'!AW31+'МК Нежин-3'!AW31+'МК РДК.Кран'!AW31+'МК Ворота.Запорожье'!AW31+'МД ВООЗ'!AW31+'МД Казарма.Рекламация'!AW31</f>
        <v>0</v>
      </c>
      <c r="AX31" s="3349">
        <f t="shared" si="31"/>
        <v>950</v>
      </c>
      <c r="AY31" s="4697">
        <f t="shared" si="45"/>
        <v>7.1026883487327382E-4</v>
      </c>
      <c r="AZ31" s="3342"/>
      <c r="BA31" s="3341">
        <f>PL_ЦО_Производство!BA31+'МД ООН'!BA31+'МК Ладыжин-3'!BA31+'МК Староконстантинов'!BA31+'МК Армокаркасы'!BA31+'МК Щедро. Флекситанки'!BA31+'МК ЛифтМаркет'!BA31+'МК Укркотлопром'!BA31+'МК Подгорцы.Забор'!BA31+PL_Металлизация!CO31+'МД Бытовка ИТР Нежин'!BA31+'МК Металургбуд.поддоны'!BA31+'МК Нежин-3'!BA31+'МК РДК.Кран'!BA31+'МК Ворота.Запорожье'!BA31+'МД ВООЗ'!BA31+'МД Казарма.Рекламация'!BA31</f>
        <v>0</v>
      </c>
      <c r="BB31" s="3341">
        <f>PL_ЦО_Производство!BB31+'МД ООН'!BB31+'МК Ладыжин-3'!BB31+'МК Староконстантинов'!BB31+'МК Армокаркасы'!BB31+'МК Щедро. Флекситанки'!BB31+'МК ЛифтМаркет'!BB31+'МК Укркотлопром'!BB31+'МК Подгорцы.Забор'!BB31+PL_Металлизация!CP31+'МД Бытовка ИТР Нежин'!BB31+'МК Металургбуд.поддоны'!BB31+'МК Нежин-3'!BB31+'МК РДК.Кран'!BB31+'МК Ворота.Запорожье'!BB31+'МД ВООЗ'!BB31+'МД Казарма.Рекламация'!BB31</f>
        <v>0</v>
      </c>
      <c r="BC31" s="3349">
        <f t="shared" si="32"/>
        <v>0</v>
      </c>
      <c r="BD31" s="4697">
        <f t="shared" si="46"/>
        <v>0</v>
      </c>
      <c r="BE31" s="3342"/>
      <c r="BF31" s="3341">
        <f>PL_ЦО_Производство!BF31+'МД ООН'!BF31+'МК Ладыжин-3'!BF31+'МК Староконстантинов'!BF31+'МК Армокаркасы'!BF31+'МК Щедро. Флекситанки'!BF31+'МК ЛифтМаркет'!BF31+'МК Укркотлопром'!BF31+'МК Подгорцы.Забор'!BF31+PL_Металлизация!CT31+'МД Бытовка ИТР Нежин'!BF31+'МК Металургбуд.поддоны'!BF31+'МК Нежин-3'!BF31+'МК РДК.Кран'!BF31+'МК Ворота.Запорожье'!BF31+'МД ВООЗ'!BF31+'МД Казарма.Рекламация'!BF31</f>
        <v>0</v>
      </c>
      <c r="BG31" s="3341">
        <f>PL_ЦО_Производство!BG31+'МД ООН'!BG31+'МК Ладыжин-3'!BG31+'МК Староконстантинов'!BG31+'МК Армокаркасы'!BG31+'МК Щедро. Флекситанки'!BG31+'МК ЛифтМаркет'!BG31+'МК Укркотлопром'!BG31+'МК Подгорцы.Забор'!BG31+PL_Металлизация!CU31+'МД Бытовка ИТР Нежин'!BG31+'МК Металургбуд.поддоны'!BG31+'МК Нежин-3'!BG31+'МК РДК.Кран'!BG31+'МК Ворота.Запорожье'!BG31+'МД ВООЗ'!BG31+'МД Казарма.Рекламация'!BG31</f>
        <v>0</v>
      </c>
      <c r="BH31" s="3349">
        <f t="shared" si="33"/>
        <v>0</v>
      </c>
      <c r="BI31" s="4697" t="e">
        <f t="shared" si="47"/>
        <v>#DIV/0!</v>
      </c>
      <c r="BJ31" s="3342"/>
      <c r="BK31" s="3341">
        <f>PL_ЦО_Производство!BK31+'МД ООН'!BK31+'МК Ладыжин-3'!BK31+'МК Староконстантинов'!BK31+'МК Армокаркасы'!BK31+'МК Щедро. Флекситанки'!BK31+'МК ЛифтМаркет'!BK31+'МК Укркотлопром'!BK31+'МК Подгорцы.Забор'!BK31+PL_Металлизация!CY31+'МД Бытовка ИТР Нежин'!BK31+'МК Металургбуд.поддоны'!BK31+'МК Нежин-3'!BK31+'МК РДК.Кран'!BK31+'МК Ворота.Запорожье'!BK31+'МД ВООЗ'!BK31+'МД Казарма.Рекламация'!BK31</f>
        <v>0</v>
      </c>
      <c r="BL31" s="3341">
        <f>PL_ЦО_Производство!BL31+'МД ООН'!BL31+'МК Ладыжин-3'!BL31+'МК Староконстантинов'!BL31+'МК Армокаркасы'!BL31+'МК Щедро. Флекситанки'!BL31+'МК ЛифтМаркет'!BL31+'МК Укркотлопром'!BL31+'МК Подгорцы.Забор'!BL31+PL_Металлизация!CZ31+'МД Бытовка ИТР Нежин'!BL31+'МК Металургбуд.поддоны'!BL31+'МК Нежин-3'!BL31+'МК РДК.Кран'!BL31+'МК Ворота.Запорожье'!BL31+'МД ВООЗ'!BL31+'МД Казарма.Рекламация'!BL31</f>
        <v>0</v>
      </c>
      <c r="BM31" s="3349">
        <f t="shared" si="34"/>
        <v>0</v>
      </c>
      <c r="BN31" s="4697" t="e">
        <f t="shared" si="48"/>
        <v>#DIV/0!</v>
      </c>
      <c r="BO31" s="3342"/>
      <c r="BP31" s="3341">
        <f>PL_ЦО_Производство!BP31+'МД ООН'!BP31+'МК Ладыжин-3'!BP31+'МК Староконстантинов'!BP31+'МК Армокаркасы'!BP31+'МК Щедро. Флекситанки'!BP31+'МК ЛифтМаркет'!BP31+'МК Укркотлопром'!BP31+'МК Подгорцы.Забор'!BP31+PL_Металлизация!DD31+'МД Бытовка ИТР Нежин'!BP31+'МК Металургбуд.поддоны'!BP31+'МК Нежин-3'!BP31+'МК РДК.Кран'!BP31+'МК Ворота.Запорожье'!BP31+'МД ВООЗ'!BP31+'МД Казарма.Рекламация'!BP31</f>
        <v>0</v>
      </c>
      <c r="BQ31" s="3341">
        <f>PL_ЦО_Производство!BQ31+'МД ООН'!BQ31+'МК Ладыжин-3'!BQ31+'МК Староконстантинов'!BQ31+'МК Армокаркасы'!BQ31+'МК Щедро. Флекситанки'!BQ31+'МК ЛифтМаркет'!BQ31+'МК Укркотлопром'!BQ31+'МК Подгорцы.Забор'!BQ31+PL_Металлизация!DE31+'МД Бытовка ИТР Нежин'!BQ31+'МК Металургбуд.поддоны'!BQ31+'МК Нежин-3'!BQ31+'МК РДК.Кран'!BQ31+'МК Ворота.Запорожье'!BQ31+'МД ВООЗ'!BQ31+'МД Казарма.Рекламация'!BQ31</f>
        <v>0</v>
      </c>
      <c r="BR31" s="3349">
        <f t="shared" si="35"/>
        <v>0</v>
      </c>
      <c r="BS31" s="4697" t="e">
        <f t="shared" si="49"/>
        <v>#DIV/0!</v>
      </c>
      <c r="BT31" s="3342"/>
      <c r="BU31" s="3341">
        <f>PL_ЦО_Производство!BU31+'МД ООН'!BU31+'МК Ладыжин-3'!BU31+'МК Староконстантинов'!BU31+'МК Армокаркасы'!BU31+'МК Щедро. Флекситанки'!BU31+'МК ЛифтМаркет'!BU31+'МК Укркотлопром'!BU31+'МК Подгорцы.Забор'!BU31+PL_Металлизация!DI31+'МД Бытовка ИТР Нежин'!BU31+'МК Металургбуд.поддоны'!BU31+'МК Нежин-3'!BU31+'МК РДК.Кран'!BU31+'МК Ворота.Запорожье'!BU31+'МД ВООЗ'!BU31+'МД Казарма.Рекламация'!BU31</f>
        <v>0</v>
      </c>
      <c r="BV31" s="3341">
        <f>PL_ЦО_Производство!BV31+'МД ООН'!BV31+'МК Ладыжин-3'!BV31+'МК Староконстантинов'!BV31+'МК Армокаркасы'!BV31+'МК Щедро. Флекситанки'!BV31+'МК ЛифтМаркет'!BV31+'МК Укркотлопром'!BV31+'МК Подгорцы.Забор'!BV31+PL_Металлизация!DJ31+'МД Бытовка ИТР Нежин'!BV31+'МК Металургбуд.поддоны'!BV31+'МК Нежин-3'!BV31+'МК РДК.Кран'!BV31+'МК Ворота.Запорожье'!BV31+'МД ВООЗ'!BV31+'МД Казарма.Рекламация'!BV31</f>
        <v>0</v>
      </c>
      <c r="BW31" s="3349">
        <f t="shared" si="36"/>
        <v>0</v>
      </c>
      <c r="BX31" s="4697" t="e">
        <f t="shared" si="50"/>
        <v>#DIV/0!</v>
      </c>
      <c r="BY31" s="3342"/>
      <c r="BZ31" s="3341">
        <f>PL_ЦО_Производство!BZ31+'МД ООН'!BZ31+'МК Ладыжин-3'!BZ31+'МК Староконстантинов'!BZ31+'МК Армокаркасы'!BZ31+'МК Щедро. Флекситанки'!BZ31+'МК ЛифтМаркет'!BZ31+'МК Укркотлопром'!BZ31+'МК Подгорцы.Забор'!BZ31+PL_Металлизация!DN31+'МД Бытовка ИТР Нежин'!BZ31+'МК Металургбуд.поддоны'!BZ31+'МК Нежин-3'!BZ31+'МК РДК.Кран'!BZ31+'МК Ворота.Запорожье'!BZ31+'МД ВООЗ'!BZ31+'МД Казарма.Рекламация'!BZ31</f>
        <v>0</v>
      </c>
      <c r="CA31" s="3341">
        <f>PL_ЦО_Производство!CA31+'МД ООН'!CA31+'МК Ладыжин-3'!CA31+'МК Староконстантинов'!CA31+'МК Армокаркасы'!CA31+'МК Щедро. Флекситанки'!CA31+'МК ЛифтМаркет'!CA31+'МК Укркотлопром'!CA31+'МК Подгорцы.Забор'!CA31+PL_Металлизация!DO31+'МД Бытовка ИТР Нежин'!CA31+'МК Металургбуд.поддоны'!CA31+'МК Нежин-3'!CA31+'МК РДК.Кран'!CA31+'МК Ворота.Запорожье'!CA31+'МД ВООЗ'!CA31+'МД Казарма.Рекламация'!CA31</f>
        <v>0</v>
      </c>
      <c r="CB31" s="3349">
        <f t="shared" si="37"/>
        <v>0</v>
      </c>
      <c r="CC31" s="4697" t="e">
        <f t="shared" si="51"/>
        <v>#DIV/0!</v>
      </c>
      <c r="CD31" s="3342"/>
      <c r="CE31" s="3341">
        <f>PL_ЦО_Производство!CE31+'МД ООН'!CE31+'МК Ладыжин-3'!CE31+'МК Староконстантинов'!CE31+'МК Армокаркасы'!CE31+'МК Щедро. Флекситанки'!CE31+'МК ЛифтМаркет'!CE31+'МК Укркотлопром'!CE31+'МК Подгорцы.Забор'!CE31+PL_Металлизация!DS31+'МД Бытовка ИТР Нежин'!CE31+'МК Металургбуд.поддоны'!CE31+'МК Нежин-3'!CE31+'МК РДК.Кран'!CE31+'МК Ворота.Запорожье'!CE31+'МД ВООЗ'!CE31+'МД Казарма.Рекламация'!CE31</f>
        <v>0</v>
      </c>
      <c r="CF31" s="3341">
        <f>PL_ЦО_Производство!CF31+'МД ООН'!CF31+'МК Ладыжин-3'!CF31+'МК Староконстантинов'!CF31+'МК Армокаркасы'!CF31+'МК Щедро. Флекситанки'!CF31+'МК ЛифтМаркет'!CF31+'МК Укркотлопром'!CF31+'МК Подгорцы.Забор'!CF31+PL_Металлизация!DT31+'МД Бытовка ИТР Нежин'!CF31+'МК Металургбуд.поддоны'!CF31+'МК Нежин-3'!CF31+'МК РДК.Кран'!CF31+'МК Ворота.Запорожье'!CF31+'МД ВООЗ'!CF31+'МД Казарма.Рекламация'!CF31</f>
        <v>0</v>
      </c>
      <c r="CG31" s="3349">
        <f t="shared" si="38"/>
        <v>0</v>
      </c>
      <c r="CH31" s="4697" t="e">
        <f t="shared" si="52"/>
        <v>#DIV/0!</v>
      </c>
      <c r="CI31" s="3342"/>
      <c r="CJ31" s="3341">
        <f t="shared" si="39"/>
        <v>60950</v>
      </c>
      <c r="CK31" s="3341">
        <f t="shared" si="39"/>
        <v>612.05999999999995</v>
      </c>
      <c r="CL31" s="3349">
        <f t="shared" si="53"/>
        <v>61562.06</v>
      </c>
      <c r="CM31" s="4697">
        <f t="shared" si="40"/>
        <v>1.2081664946412456E-3</v>
      </c>
      <c r="CN31" s="4699"/>
    </row>
    <row r="32" spans="1:95" s="1396" customFormat="1" ht="13.8" outlineLevel="2">
      <c r="A32" s="1571"/>
      <c r="B32" s="4700" t="s">
        <v>2</v>
      </c>
      <c r="C32" s="3341"/>
      <c r="D32" s="3341"/>
      <c r="E32" s="3349">
        <f t="shared" si="19"/>
        <v>0</v>
      </c>
      <c r="F32" s="4697" t="e">
        <f t="shared" si="16"/>
        <v>#DIV/0!</v>
      </c>
      <c r="G32" s="4701"/>
      <c r="H32" s="3341"/>
      <c r="I32" s="3341"/>
      <c r="J32" s="3349">
        <f t="shared" si="20"/>
        <v>0</v>
      </c>
      <c r="K32" s="4697" t="e">
        <f t="shared" si="41"/>
        <v>#DIV/0!</v>
      </c>
      <c r="L32" s="4701"/>
      <c r="M32" s="3341"/>
      <c r="N32" s="3341"/>
      <c r="O32" s="3349">
        <f t="shared" si="21"/>
        <v>0</v>
      </c>
      <c r="P32" s="4697" t="e">
        <f t="shared" si="22"/>
        <v>#DIV/0!</v>
      </c>
      <c r="Q32" s="4701"/>
      <c r="R32" s="3427">
        <f>PL_Производство!BF32</f>
        <v>15746.07</v>
      </c>
      <c r="S32" s="3427">
        <f>PL_Производство!BG32</f>
        <v>0</v>
      </c>
      <c r="T32" s="2012">
        <f t="shared" si="23"/>
        <v>15746.07</v>
      </c>
      <c r="U32" s="2048"/>
      <c r="V32" s="2048"/>
      <c r="W32" s="3342">
        <f t="shared" si="24"/>
        <v>0</v>
      </c>
      <c r="X32" s="3342">
        <f t="shared" si="24"/>
        <v>0</v>
      </c>
      <c r="Y32" s="2012">
        <f t="shared" si="25"/>
        <v>0</v>
      </c>
      <c r="Z32" s="2048"/>
      <c r="AA32" s="2048"/>
      <c r="AB32" s="3341">
        <f>PL_ЦО_Производство!AB32+'МД ООН'!AB32+'МК Ладыжин-3'!AB32+'МК Староконстантинов'!AB32+'МК Армокаркасы'!AB32+'МК Щедро. Флекситанки'!AB32+'МК ЛифтМаркет'!AB32+'МК Укркотлопром'!AB32+'МК Подгорцы.Забор'!AB32+PL_Металлизация!BP32+'МД Бытовка ИТР Нежин'!AB32+'МК Металургбуд.поддоны'!AB32</f>
        <v>0</v>
      </c>
      <c r="AC32" s="3341">
        <f>PL_ЦО_Производство!AC32+'МД ООН'!AC32+'МК Ладыжин-3'!AC32+'МК Староконстантинов'!AC32+'МК Армокаркасы'!AC32+'МК Щедро. Флекситанки'!AC32+'МК ЛифтМаркет'!AC32+'МК Укркотлопром'!AC32+'МК Подгорцы.Забор'!AC32+PL_Металлизация!BQ32+'МД Бытовка ИТР Нежин'!AC32+'МК Металургбуд.поддоны'!AC32</f>
        <v>0</v>
      </c>
      <c r="AD32" s="3349">
        <f t="shared" si="26"/>
        <v>0</v>
      </c>
      <c r="AE32" s="4697">
        <f t="shared" si="27"/>
        <v>0</v>
      </c>
      <c r="AF32" s="4701"/>
      <c r="AG32" s="3341">
        <f>PL_ЦО_Производство!AG32+'МД ООН'!AG32+'МК Ладыжин-3'!AG32+'МК Староконстантинов'!AG32+'МК Армокаркасы'!AG32+'МК Щедро. Флекситанки'!AG32+'МК ЛифтМаркет'!AG32+'МК Укркотлопром'!AG32+'МК Подгорцы.Забор'!AG32+PL_Металлизация!BU32+'МД Бытовка ИТР Нежин'!AG32+'МК Металургбуд.поддоны'!AG32</f>
        <v>0</v>
      </c>
      <c r="AH32" s="3341">
        <f>PL_ЦО_Производство!AH32+'МД ООН'!AH32+'МК Ладыжин-3'!AH32+'МК Староконстантинов'!AH32+'МК Армокаркасы'!AH32+'МК Щедро. Флекситанки'!AH32+'МК ЛифтМаркет'!AH32+'МК Укркотлопром'!AH32+'МК Подгорцы.Забор'!AH32+PL_Металлизация!BV32+'МД Бытовка ИТР Нежин'!AH32+'МК Металургбуд.поддоны'!AH32</f>
        <v>0</v>
      </c>
      <c r="AI32" s="3349">
        <f t="shared" si="28"/>
        <v>0</v>
      </c>
      <c r="AJ32" s="4697">
        <f t="shared" si="42"/>
        <v>0</v>
      </c>
      <c r="AK32" s="4701"/>
      <c r="AL32" s="3341">
        <f>PL_ЦО_Производство!AL32+'МД ООН'!AL32+'МК Ладыжин-3'!AL32+'МК Староконстантинов'!AL32+'МК Армокаркасы'!AL32+'МК Щедро. Флекситанки'!AL32+'МК ЛифтМаркет'!AL32+'МК Укркотлопром'!AL32+'МК Подгорцы.Забор'!AL32+PL_Металлизация!BZ32+'МД Бытовка ИТР Нежин'!AL32+'МК Металургбуд.поддоны'!AL32+'МК Нежин-3'!AL32</f>
        <v>0</v>
      </c>
      <c r="AM32" s="3341">
        <f>PL_ЦО_Производство!AM32+'МД ООН'!AM32+'МК Ладыжин-3'!AM32+'МК Староконстантинов'!AM32+'МК Армокаркасы'!AM32+'МК Щедро. Флекситанки'!AM32+'МК ЛифтМаркет'!AM32+'МК Укркотлопром'!AM32+'МК Подгорцы.Забор'!AM32+PL_Металлизация!CA32+'МД Бытовка ИТР Нежин'!AM32+'МК Металургбуд.поддоны'!AM32+'МК Нежин-3'!AM32</f>
        <v>0</v>
      </c>
      <c r="AN32" s="3349">
        <f t="shared" si="29"/>
        <v>0</v>
      </c>
      <c r="AO32" s="4697">
        <f t="shared" si="43"/>
        <v>0</v>
      </c>
      <c r="AP32" s="4701"/>
      <c r="AQ32" s="3341">
        <f>PL_ЦО_Производство!AQ32+'МД ООН'!AQ32+'МК Ладыжин-3'!AQ32+'МК Староконстантинов'!AQ32+'МК Армокаркасы'!AQ32+'МК Щедро. Флекситанки'!AQ32+'МК ЛифтМаркет'!AQ32+'МК Укркотлопром'!AQ32+'МК Подгорцы.Забор'!AQ32+PL_Металлизация!CE32+'МД Бытовка ИТР Нежин'!AQ32+'МК Металургбуд.поддоны'!AQ32+'МК Нежин-3'!AQ32</f>
        <v>0</v>
      </c>
      <c r="AR32" s="3341">
        <f>PL_ЦО_Производство!AR32+'МД ООН'!AR32+'МК Ладыжин-3'!AR32+'МК Староконстантинов'!AR32+'МК Армокаркасы'!AR32+'МК Щедро. Флекситанки'!AR32+'МК ЛифтМаркет'!AR32+'МК Укркотлопром'!AR32+'МК Подгорцы.Забор'!AR32+PL_Металлизация!CF32+'МД Бытовка ИТР Нежин'!AR32+'МК Металургбуд.поддоны'!AR32+'МК Нежин-3'!AR32</f>
        <v>0</v>
      </c>
      <c r="AS32" s="3349">
        <f t="shared" si="30"/>
        <v>0</v>
      </c>
      <c r="AT32" s="4697">
        <f t="shared" si="44"/>
        <v>0</v>
      </c>
      <c r="AU32" s="4701"/>
      <c r="AV32" s="3341">
        <f>PL_ЦО_Производство!AV32+'МД ООН'!AV32+'МК Армокаркасы'!AV32+'МК Подгорцы.Забор'!AV32+'МК Нежин-3'!AV32+'МК РДК.Кран'!AV32+'МК Ворота.Запорожье'!AV32+'МД ВООЗ'!AV32+'МД Казарма.Рекламация'!AV32</f>
        <v>0</v>
      </c>
      <c r="AW32" s="3341">
        <f>PL_ЦО_Производство!AW32+'МД ООН'!AW32+'МК Армокаркасы'!AW32+'МК Подгорцы.Забор'!AW32+'МК Нежин-3'!AW32+'МК РДК.Кран'!AW32+'МК Ворота.Запорожье'!AW32+'МД ВООЗ'!AW32+'МД Казарма.Рекламация'!AW32</f>
        <v>0</v>
      </c>
      <c r="AX32" s="3349">
        <f t="shared" si="31"/>
        <v>0</v>
      </c>
      <c r="AY32" s="4697">
        <f t="shared" si="45"/>
        <v>0</v>
      </c>
      <c r="AZ32" s="4701"/>
      <c r="BA32" s="3341">
        <f>PL_ЦО_Производство!BA32+'МД ООН'!BA32+'МК Ладыжин-3'!BA32+'МК Староконстантинов'!BA32+'МК Армокаркасы'!BA32+'МК Щедро. Флекситанки'!BA32+'МК ЛифтМаркет'!BA32+'МК Укркотлопром'!BA32+'МК Подгорцы.Забор'!BA32+PL_Металлизация!CO32+'МД Бытовка ИТР Нежин'!BA32+'МК Металургбуд.поддоны'!BA32+'МК Нежин-3'!BA32+'МК РДК.Кран'!BA32+'МК Ворота.Запорожье'!BA32+'МД ВООЗ'!BA32+'МД Казарма.Рекламация'!BA32</f>
        <v>0</v>
      </c>
      <c r="BB32" s="3341">
        <f>PL_ЦО_Производство!BB32+'МД ООН'!BB32+'МК Ладыжин-3'!BB32+'МК Староконстантинов'!BB32+'МК Армокаркасы'!BB32+'МК Щедро. Флекситанки'!BB32+'МК ЛифтМаркет'!BB32+'МК Укркотлопром'!BB32+'МК Подгорцы.Забор'!BB32+PL_Металлизация!CP32+'МД Бытовка ИТР Нежин'!BB32+'МК Металургбуд.поддоны'!BB32+'МК Нежин-3'!BB32+'МК РДК.Кран'!BB32+'МК Ворота.Запорожье'!BB32+'МД ВООЗ'!BB32+'МД Казарма.Рекламация'!BB32</f>
        <v>0</v>
      </c>
      <c r="BC32" s="3349">
        <f t="shared" si="32"/>
        <v>0</v>
      </c>
      <c r="BD32" s="4697">
        <f t="shared" si="46"/>
        <v>0</v>
      </c>
      <c r="BE32" s="4701"/>
      <c r="BF32" s="3341">
        <f>PL_ЦО_Производство!BF32+'МД ООН'!BF32+'МК Ладыжин-3'!BF32+'МК Староконстантинов'!BF32+'МК Армокаркасы'!BF32+'МК Щедро. Флекситанки'!BF32+'МК ЛифтМаркет'!BF32+'МК Укркотлопром'!BF32+'МК Подгорцы.Забор'!BF32+PL_Металлизация!CT32+'МД Бытовка ИТР Нежин'!BF32+'МК Металургбуд.поддоны'!BF32+'МК Нежин-3'!BF32+'МК РДК.Кран'!BF32+'МК Ворота.Запорожье'!BF32+'МД ВООЗ'!BF32+'МД Казарма.Рекламация'!BF32</f>
        <v>0</v>
      </c>
      <c r="BG32" s="3341">
        <f>PL_ЦО_Производство!BG32+'МД ООН'!BG32+'МК Ладыжин-3'!BG32+'МК Староконстантинов'!BG32+'МК Армокаркасы'!BG32+'МК Щедро. Флекситанки'!BG32+'МК ЛифтМаркет'!BG32+'МК Укркотлопром'!BG32+'МК Подгорцы.Забор'!BG32+PL_Металлизация!CU32+'МД Бытовка ИТР Нежин'!BG32+'МК Металургбуд.поддоны'!BG32+'МК Нежин-3'!BG32+'МК РДК.Кран'!BG32+'МК Ворота.Запорожье'!BG32+'МД ВООЗ'!BG32+'МД Казарма.Рекламация'!BG32</f>
        <v>0</v>
      </c>
      <c r="BH32" s="3349">
        <f t="shared" si="33"/>
        <v>0</v>
      </c>
      <c r="BI32" s="4697" t="e">
        <f t="shared" si="47"/>
        <v>#DIV/0!</v>
      </c>
      <c r="BJ32" s="4701"/>
      <c r="BK32" s="3341">
        <f>PL_ЦО_Производство!BK32+'МД ООН'!BK32+'МК Ладыжин-3'!BK32+'МК Староконстантинов'!BK32+'МК Армокаркасы'!BK32+'МК Щедро. Флекситанки'!BK32+'МК ЛифтМаркет'!BK32+'МК Укркотлопром'!BK32+'МК Подгорцы.Забор'!BK32+PL_Металлизация!CY32+'МД Бытовка ИТР Нежин'!BK32+'МК Металургбуд.поддоны'!BK32+'МК Нежин-3'!BK32+'МК РДК.Кран'!BK32+'МК Ворота.Запорожье'!BK32+'МД ВООЗ'!BK32+'МД Казарма.Рекламация'!BK32</f>
        <v>0</v>
      </c>
      <c r="BL32" s="3341">
        <f>PL_ЦО_Производство!BL32+'МД ООН'!BL32+'МК Ладыжин-3'!BL32+'МК Староконстантинов'!BL32+'МК Армокаркасы'!BL32+'МК Щедро. Флекситанки'!BL32+'МК ЛифтМаркет'!BL32+'МК Укркотлопром'!BL32+'МК Подгорцы.Забор'!BL32+PL_Металлизация!CZ32+'МД Бытовка ИТР Нежин'!BL32+'МК Металургбуд.поддоны'!BL32+'МК Нежин-3'!BL32+'МК РДК.Кран'!BL32+'МК Ворота.Запорожье'!BL32+'МД ВООЗ'!BL32+'МД Казарма.Рекламация'!BL32</f>
        <v>0</v>
      </c>
      <c r="BM32" s="3349">
        <f t="shared" si="34"/>
        <v>0</v>
      </c>
      <c r="BN32" s="4697" t="e">
        <f t="shared" si="48"/>
        <v>#DIV/0!</v>
      </c>
      <c r="BO32" s="4701"/>
      <c r="BP32" s="3341">
        <f>PL_ЦО_Производство!BP32+'МД ООН'!BP32+'МК Ладыжин-3'!BP32+'МК Староконстантинов'!BP32+'МК Армокаркасы'!BP32+'МК Щедро. Флекситанки'!BP32+'МК ЛифтМаркет'!BP32+'МК Укркотлопром'!BP32+'МК Подгорцы.Забор'!BP32+PL_Металлизация!DD32+'МД Бытовка ИТР Нежин'!BP32+'МК Металургбуд.поддоны'!BP32+'МК Нежин-3'!BP32+'МК РДК.Кран'!BP32+'МК Ворота.Запорожье'!BP32+'МД ВООЗ'!BP32+'МД Казарма.Рекламация'!BP32</f>
        <v>0</v>
      </c>
      <c r="BQ32" s="3341">
        <f>PL_ЦО_Производство!BQ32+'МД ООН'!BQ32+'МК Ладыжин-3'!BQ32+'МК Староконстантинов'!BQ32+'МК Армокаркасы'!BQ32+'МК Щедро. Флекситанки'!BQ32+'МК ЛифтМаркет'!BQ32+'МК Укркотлопром'!BQ32+'МК Подгорцы.Забор'!BQ32+PL_Металлизация!DE32+'МД Бытовка ИТР Нежин'!BQ32+'МК Металургбуд.поддоны'!BQ32+'МК Нежин-3'!BQ32+'МК РДК.Кран'!BQ32+'МК Ворота.Запорожье'!BQ32+'МД ВООЗ'!BQ32+'МД Казарма.Рекламация'!BQ32</f>
        <v>0</v>
      </c>
      <c r="BR32" s="3349">
        <f t="shared" si="35"/>
        <v>0</v>
      </c>
      <c r="BS32" s="4697" t="e">
        <f t="shared" si="49"/>
        <v>#DIV/0!</v>
      </c>
      <c r="BT32" s="4701"/>
      <c r="BU32" s="3341">
        <f>PL_ЦО_Производство!BU32+'МД ООН'!BU32+'МК Ладыжин-3'!BU32+'МК Староконстантинов'!BU32+'МК Армокаркасы'!BU32+'МК Щедро. Флекситанки'!BU32+'МК ЛифтМаркет'!BU32+'МК Укркотлопром'!BU32+'МК Подгорцы.Забор'!BU32+PL_Металлизация!DI32+'МД Бытовка ИТР Нежин'!BU32+'МК Металургбуд.поддоны'!BU32+'МК Нежин-3'!BU32+'МК РДК.Кран'!BU32+'МК Ворота.Запорожье'!BU32+'МД ВООЗ'!BU32+'МД Казарма.Рекламация'!BU32</f>
        <v>0</v>
      </c>
      <c r="BV32" s="3341">
        <f>PL_ЦО_Производство!BV32+'МД ООН'!BV32+'МК Ладыжин-3'!BV32+'МК Староконстантинов'!BV32+'МК Армокаркасы'!BV32+'МК Щедро. Флекситанки'!BV32+'МК ЛифтМаркет'!BV32+'МК Укркотлопром'!BV32+'МК Подгорцы.Забор'!BV32+PL_Металлизация!DJ32+'МД Бытовка ИТР Нежин'!BV32+'МК Металургбуд.поддоны'!BV32+'МК Нежин-3'!BV32+'МК РДК.Кран'!BV32+'МК Ворота.Запорожье'!BV32+'МД ВООЗ'!BV32+'МД Казарма.Рекламация'!BV32</f>
        <v>0</v>
      </c>
      <c r="BW32" s="3349">
        <f t="shared" si="36"/>
        <v>0</v>
      </c>
      <c r="BX32" s="4697" t="e">
        <f t="shared" si="50"/>
        <v>#DIV/0!</v>
      </c>
      <c r="BY32" s="4701"/>
      <c r="BZ32" s="3341">
        <f>PL_ЦО_Производство!BZ32+'МД ООН'!BZ32+'МК Ладыжин-3'!BZ32+'МК Староконстантинов'!BZ32+'МК Армокаркасы'!BZ32+'МК Щедро. Флекситанки'!BZ32+'МК ЛифтМаркет'!BZ32+'МК Укркотлопром'!BZ32+'МК Подгорцы.Забор'!BZ32+PL_Металлизация!DN32+'МД Бытовка ИТР Нежин'!BZ32+'МК Металургбуд.поддоны'!BZ32+'МК Нежин-3'!BZ32+'МК РДК.Кран'!BZ32+'МК Ворота.Запорожье'!BZ32+'МД ВООЗ'!BZ32+'МД Казарма.Рекламация'!BZ32</f>
        <v>0</v>
      </c>
      <c r="CA32" s="3341">
        <f>PL_ЦО_Производство!CA32+'МД ООН'!CA32+'МК Ладыжин-3'!CA32+'МК Староконстантинов'!CA32+'МК Армокаркасы'!CA32+'МК Щедро. Флекситанки'!CA32+'МК ЛифтМаркет'!CA32+'МК Укркотлопром'!CA32+'МК Подгорцы.Забор'!CA32+PL_Металлизация!DO32+'МД Бытовка ИТР Нежин'!CA32+'МК Металургбуд.поддоны'!CA32+'МК Нежин-3'!CA32+'МК РДК.Кран'!CA32+'МК Ворота.Запорожье'!CA32+'МД ВООЗ'!CA32+'МД Казарма.Рекламация'!CA32</f>
        <v>0</v>
      </c>
      <c r="CB32" s="3349">
        <f t="shared" si="37"/>
        <v>0</v>
      </c>
      <c r="CC32" s="4697" t="e">
        <f t="shared" si="51"/>
        <v>#DIV/0!</v>
      </c>
      <c r="CD32" s="4701"/>
      <c r="CE32" s="3341">
        <f>PL_ЦО_Производство!CE32+'МД ООН'!CE32+'МК Ладыжин-3'!CE32+'МК Староконстантинов'!CE32+'МК Армокаркасы'!CE32+'МК Щедро. Флекситанки'!CE32+'МК ЛифтМаркет'!CE32+'МК Укркотлопром'!CE32+'МК Подгорцы.Забор'!CE32+PL_Металлизация!DS32+'МД Бытовка ИТР Нежин'!CE32+'МК Металургбуд.поддоны'!CE32+'МК Нежин-3'!CE32+'МК РДК.Кран'!CE32+'МК Ворота.Запорожье'!CE32+'МД ВООЗ'!CE32+'МД Казарма.Рекламация'!CE32</f>
        <v>0</v>
      </c>
      <c r="CF32" s="3341">
        <f>PL_ЦО_Производство!CF32+'МД ООН'!CF32+'МК Ладыжин-3'!CF32+'МК Староконстантинов'!CF32+'МК Армокаркасы'!CF32+'МК Щедро. Флекситанки'!CF32+'МК ЛифтМаркет'!CF32+'МК Укркотлопром'!CF32+'МК Подгорцы.Забор'!CF32+PL_Металлизация!DT32+'МД Бытовка ИТР Нежин'!CF32+'МК Металургбуд.поддоны'!CF32+'МК Нежин-3'!CF32+'МК РДК.Кран'!CF32+'МК Ворота.Запорожье'!CF32+'МД ВООЗ'!CF32+'МД Казарма.Рекламация'!CF32</f>
        <v>0</v>
      </c>
      <c r="CG32" s="3349">
        <f t="shared" si="38"/>
        <v>0</v>
      </c>
      <c r="CH32" s="4697" t="e">
        <f t="shared" si="52"/>
        <v>#DIV/0!</v>
      </c>
      <c r="CI32" s="4701"/>
      <c r="CJ32" s="3341">
        <f t="shared" si="39"/>
        <v>15746.07</v>
      </c>
      <c r="CK32" s="3341">
        <f t="shared" si="39"/>
        <v>0</v>
      </c>
      <c r="CL32" s="3349">
        <f t="shared" si="53"/>
        <v>15746.07</v>
      </c>
      <c r="CM32" s="4697">
        <f t="shared" si="40"/>
        <v>3.0901945445418295E-4</v>
      </c>
      <c r="CN32" s="4699"/>
    </row>
    <row r="33" spans="1:92" s="1396" customFormat="1" ht="14.4" outlineLevel="2" thickBot="1">
      <c r="A33" s="1571"/>
      <c r="B33" s="4705" t="s">
        <v>75</v>
      </c>
      <c r="C33" s="4706"/>
      <c r="D33" s="4706"/>
      <c r="E33" s="4707">
        <f t="shared" ref="E33" si="54">C33+D33*1</f>
        <v>0</v>
      </c>
      <c r="F33" s="4708" t="e">
        <f t="shared" si="16"/>
        <v>#DIV/0!</v>
      </c>
      <c r="G33" s="4709"/>
      <c r="H33" s="4706"/>
      <c r="I33" s="4706"/>
      <c r="J33" s="4707">
        <f>H33+I33*1</f>
        <v>0</v>
      </c>
      <c r="K33" s="4708" t="e">
        <f t="shared" si="41"/>
        <v>#DIV/0!</v>
      </c>
      <c r="L33" s="4709"/>
      <c r="M33" s="4706"/>
      <c r="N33" s="4706"/>
      <c r="O33" s="4707">
        <f t="shared" ref="O33" si="55">M33+N33*1</f>
        <v>0</v>
      </c>
      <c r="P33" s="4697" t="e">
        <f t="shared" si="22"/>
        <v>#DIV/0!</v>
      </c>
      <c r="Q33" s="4709"/>
      <c r="R33" s="4820">
        <f>PL_Производство!BF33</f>
        <v>0</v>
      </c>
      <c r="S33" s="4821">
        <f>PL_Производство!BG33</f>
        <v>0</v>
      </c>
      <c r="T33" s="4712">
        <f t="shared" si="23"/>
        <v>0</v>
      </c>
      <c r="U33" s="4709"/>
      <c r="V33" s="4709"/>
      <c r="W33" s="4711">
        <f t="shared" si="24"/>
        <v>0</v>
      </c>
      <c r="X33" s="4711">
        <f t="shared" si="24"/>
        <v>0</v>
      </c>
      <c r="Y33" s="4712">
        <f t="shared" si="25"/>
        <v>0</v>
      </c>
      <c r="Z33" s="4709"/>
      <c r="AA33" s="4709"/>
      <c r="AB33" s="4715">
        <f>PL_ЦО_Производство!AB33+'МД ООН'!AB33+'МК Ладыжин-3'!AB33+'МК Староконстантинов'!AB33+'МК Армокаркасы'!AB33+'МК Щедро. Флекситанки'!AB33+'МК ЛифтМаркет'!AB33+'МК Укркотлопром'!AB33+'МК Подгорцы.Забор'!AB33+PL_Металлизация!BP33+'МД Бытовка ИТР Нежин'!AB33+'МК Металургбуд.поддоны'!AB33</f>
        <v>0</v>
      </c>
      <c r="AC33" s="4706">
        <f>PL_ЦО_Производство!AC33+'МД ООН'!AC33+'МК Ладыжин-3'!AC33+'МК Староконстантинов'!AC33+'МК Армокаркасы'!AC33+'МК Щедро. Флекситанки'!AC33+'МК ЛифтМаркет'!AC33+'МК Укркотлопром'!AC33+'МК Подгорцы.Забор'!AC33+PL_Металлизация!BQ33+'МД Бытовка ИТР Нежин'!AC33+'МК Металургбуд.поддоны'!AC33</f>
        <v>0</v>
      </c>
      <c r="AD33" s="4707">
        <f t="shared" ref="AD33" si="56">AB33+AC33*1</f>
        <v>0</v>
      </c>
      <c r="AE33" s="4708">
        <f t="shared" si="27"/>
        <v>0</v>
      </c>
      <c r="AF33" s="4709"/>
      <c r="AG33" s="4715">
        <f>PL_ЦО_Производство!AG33+'МД ООН'!AG33+'МК Ладыжин-3'!AG33+'МК Староконстантинов'!AG33+'МК Армокаркасы'!AG33+'МК Щедро. Флекситанки'!AG33+'МК ЛифтМаркет'!AG33+'МК Укркотлопром'!AG33+'МК Подгорцы.Забор'!AG33+PL_Металлизация!BU33+'МД Бытовка ИТР Нежин'!AG33+'МК Металургбуд.поддоны'!AG33</f>
        <v>0</v>
      </c>
      <c r="AH33" s="4706">
        <f>PL_ЦО_Производство!AH33+'МД ООН'!AH33+'МК Ладыжин-3'!AH33+'МК Староконстантинов'!AH33+'МК Армокаркасы'!AH33+'МК Щедро. Флекситанки'!AH33+'МК ЛифтМаркет'!AH33+'МК Укркотлопром'!AH33+'МК Подгорцы.Забор'!AH33+PL_Металлизация!BV33+'МД Бытовка ИТР Нежин'!AH33+'МК Металургбуд.поддоны'!AH33</f>
        <v>0</v>
      </c>
      <c r="AI33" s="4707">
        <f t="shared" ref="AI33" si="57">AG33+AH33*1</f>
        <v>0</v>
      </c>
      <c r="AJ33" s="4708">
        <f t="shared" si="42"/>
        <v>0</v>
      </c>
      <c r="AK33" s="4709"/>
      <c r="AL33" s="4715">
        <f>PL_ЦО_Производство!AL33+'МД ООН'!AL33+'МК Ладыжин-3'!AL33+'МК Староконстантинов'!AL33+'МК Армокаркасы'!AL33+'МК Щедро. Флекситанки'!AL33+'МК ЛифтМаркет'!AL33+'МК Укркотлопром'!AL33+'МК Подгорцы.Забор'!AL33+PL_Металлизация!BZ33+'МД Бытовка ИТР Нежин'!AL33+'МК Металургбуд.поддоны'!AL33+'МК Нежин-3'!AL33</f>
        <v>0</v>
      </c>
      <c r="AM33" s="4706">
        <f>PL_ЦО_Производство!AM33+'МД ООН'!AM33+'МК Ладыжин-3'!AM33+'МК Староконстантинов'!AM33+'МК Армокаркасы'!AM33+'МК Щедро. Флекситанки'!AM33+'МК ЛифтМаркет'!AM33+'МК Укркотлопром'!AM33+'МК Подгорцы.Забор'!AM33+PL_Металлизация!CA33+'МД Бытовка ИТР Нежин'!AM33+'МК Металургбуд.поддоны'!AM33+'МК Нежин-3'!AM33</f>
        <v>0</v>
      </c>
      <c r="AN33" s="4707">
        <f t="shared" ref="AN33" si="58">AL33+AM33*1</f>
        <v>0</v>
      </c>
      <c r="AO33" s="4708">
        <f t="shared" si="43"/>
        <v>0</v>
      </c>
      <c r="AP33" s="4709"/>
      <c r="AQ33" s="4715">
        <f>PL_ЦО_Производство!AQ33+'МД ООН'!AQ33+'МК Ладыжин-3'!AQ33+'МК Староконстантинов'!AQ33+'МК Армокаркасы'!AQ33+'МК Щедро. Флекситанки'!AQ33+'МК ЛифтМаркет'!AQ33+'МК Укркотлопром'!AQ33+'МК Подгорцы.Забор'!AQ33+PL_Металлизация!CE33+'МД Бытовка ИТР Нежин'!AQ33+'МК Металургбуд.поддоны'!AQ33+'МК Нежин-3'!AQ33</f>
        <v>0</v>
      </c>
      <c r="AR33" s="4706">
        <f>PL_ЦО_Производство!AR33+'МД ООН'!AR33+'МК Ладыжин-3'!AR33+'МК Староконстантинов'!AR33+'МК Армокаркасы'!AR33+'МК Щедро. Флекситанки'!AR33+'МК ЛифтМаркет'!AR33+'МК Укркотлопром'!AR33+'МК Подгорцы.Забор'!AR33+PL_Металлизация!CF33+'МД Бытовка ИТР Нежин'!AR33+'МК Металургбуд.поддоны'!AR33+'МК Нежин-3'!AR33</f>
        <v>0</v>
      </c>
      <c r="AS33" s="4707">
        <f t="shared" ref="AS33" si="59">AQ33+AR33*1</f>
        <v>0</v>
      </c>
      <c r="AT33" s="4708">
        <f t="shared" si="44"/>
        <v>0</v>
      </c>
      <c r="AU33" s="4709"/>
      <c r="AV33" s="4715">
        <f>PL_ЦО_Производство!AV33+'МД ООН'!AV33+'МК Армокаркасы'!AV33+'МК Подгорцы.Забор'!AV33+'МК Нежин-3'!AV33+'МК РДК.Кран'!AV33+'МК Ворота.Запорожье'!AV33+'МД ВООЗ'!AV33+'МД Казарма.Рекламация'!AV33</f>
        <v>0</v>
      </c>
      <c r="AW33" s="4706">
        <f>PL_ЦО_Производство!AW33+'МД ООН'!AW33+'МК Армокаркасы'!AW33+'МК Подгорцы.Забор'!AW33+'МК Нежин-3'!AW33+'МК РДК.Кран'!AW33+'МК Ворота.Запорожье'!AW33+'МД ВООЗ'!AW33+'МД Казарма.Рекламация'!AW33</f>
        <v>0</v>
      </c>
      <c r="AX33" s="4707">
        <f t="shared" ref="AX33" si="60">AV33+AW33*1</f>
        <v>0</v>
      </c>
      <c r="AY33" s="4708">
        <f t="shared" si="45"/>
        <v>0</v>
      </c>
      <c r="AZ33" s="4709"/>
      <c r="BA33" s="4715">
        <f>PL_ЦО_Производство!BA33+'МД ООН'!BA33+'МК Ладыжин-3'!BA33+'МК Староконстантинов'!BA33+'МК Армокаркасы'!BA33+'МК Щедро. Флекситанки'!BA33+'МК ЛифтМаркет'!BA33+'МК Укркотлопром'!BA33+'МК Подгорцы.Забор'!BA33+PL_Металлизация!CO33+'МД Бытовка ИТР Нежин'!BA33+'МК Металургбуд.поддоны'!BA33+'МК Нежин-3'!BA33+'МК РДК.Кран'!BA33+'МК Ворота.Запорожье'!BA33+'МД ВООЗ'!BA33+'МД Казарма.Рекламация'!BA33</f>
        <v>0</v>
      </c>
      <c r="BB33" s="4706">
        <f>PL_ЦО_Производство!BB33+'МД ООН'!BB33+'МК Ладыжин-3'!BB33+'МК Староконстантинов'!BB33+'МК Армокаркасы'!BB33+'МК Щедро. Флекситанки'!BB33+'МК ЛифтМаркет'!BB33+'МК Укркотлопром'!BB33+'МК Подгорцы.Забор'!BB33+PL_Металлизация!CP33+'МД Бытовка ИТР Нежин'!BB33+'МК Металургбуд.поддоны'!BB33+'МК Нежин-3'!BB33+'МК РДК.Кран'!BB33+'МК Ворота.Запорожье'!BB33+'МД ВООЗ'!BB33+'МД Казарма.Рекламация'!BB33</f>
        <v>0</v>
      </c>
      <c r="BC33" s="4707">
        <f t="shared" ref="BC33" si="61">BA33+BB33*1</f>
        <v>0</v>
      </c>
      <c r="BD33" s="4708">
        <f t="shared" si="46"/>
        <v>0</v>
      </c>
      <c r="BE33" s="4709"/>
      <c r="BF33" s="4715">
        <f>PL_ЦО_Производство!BF33+'МД ООН'!BF33+'МК Ладыжин-3'!BF33+'МК Староконстантинов'!BF33+'МК Армокаркасы'!BF33+'МК Щедро. Флекситанки'!BF33+'МК ЛифтМаркет'!BF33+'МК Укркотлопром'!BF33+'МК Подгорцы.Забор'!BF33+PL_Металлизация!CT33+'МД Бытовка ИТР Нежин'!BF33+'МК Металургбуд.поддоны'!BF33+'МК Нежин-3'!BF33+'МК РДК.Кран'!BF33+'МК Ворота.Запорожье'!BF33+'МД ВООЗ'!BF33+'МД Казарма.Рекламация'!BF33</f>
        <v>0</v>
      </c>
      <c r="BG33" s="4706">
        <f>PL_ЦО_Производство!BG33+'МД ООН'!BG33+'МК Ладыжин-3'!BG33+'МК Староконстантинов'!BG33+'МК Армокаркасы'!BG33+'МК Щедро. Флекситанки'!BG33+'МК ЛифтМаркет'!BG33+'МК Укркотлопром'!BG33+'МК Подгорцы.Забор'!BG33+PL_Металлизация!CU33+'МД Бытовка ИТР Нежин'!BG33+'МК Металургбуд.поддоны'!BG33+'МК Нежин-3'!BG33+'МК РДК.Кран'!BG33+'МК Ворота.Запорожье'!BG33+'МД ВООЗ'!BG33+'МД Казарма.Рекламация'!BG33</f>
        <v>0</v>
      </c>
      <c r="BH33" s="4707">
        <f t="shared" ref="BH33" si="62">BF33+BG33*1</f>
        <v>0</v>
      </c>
      <c r="BI33" s="4708" t="e">
        <f t="shared" si="47"/>
        <v>#DIV/0!</v>
      </c>
      <c r="BJ33" s="4709"/>
      <c r="BK33" s="4715">
        <f>PL_ЦО_Производство!BK33+'МД ООН'!BK33+'МК Ладыжин-3'!BK33+'МК Староконстантинов'!BK33+'МК Армокаркасы'!BK33+'МК Щедро. Флекситанки'!BK33+'МК ЛифтМаркет'!BK33+'МК Укркотлопром'!BK33+'МК Подгорцы.Забор'!BK33+PL_Металлизация!CY33+'МД Бытовка ИТР Нежин'!BK33+'МК Металургбуд.поддоны'!BK33+'МК Нежин-3'!BK33+'МК РДК.Кран'!BK33+'МК Ворота.Запорожье'!BK33+'МД ВООЗ'!BK33+'МД Казарма.Рекламация'!BK33</f>
        <v>0</v>
      </c>
      <c r="BL33" s="4706">
        <f>PL_ЦО_Производство!BL33+'МД ООН'!BL33+'МК Ладыжин-3'!BL33+'МК Староконстантинов'!BL33+'МК Армокаркасы'!BL33+'МК Щедро. Флекситанки'!BL33+'МК ЛифтМаркет'!BL33+'МК Укркотлопром'!BL33+'МК Подгорцы.Забор'!BL33+PL_Металлизация!CZ33+'МД Бытовка ИТР Нежин'!BL33+'МК Металургбуд.поддоны'!BL33+'МК Нежин-3'!BL33+'МК РДК.Кран'!BL33+'МК Ворота.Запорожье'!BL33+'МД ВООЗ'!BL33+'МД Казарма.Рекламация'!BL33</f>
        <v>0</v>
      </c>
      <c r="BM33" s="4707">
        <f t="shared" ref="BM33" si="63">BK33+BL33*1</f>
        <v>0</v>
      </c>
      <c r="BN33" s="4708" t="e">
        <f t="shared" si="48"/>
        <v>#DIV/0!</v>
      </c>
      <c r="BO33" s="4709"/>
      <c r="BP33" s="4715">
        <f>PL_ЦО_Производство!BP33+'МД ООН'!BP33+'МК Ладыжин-3'!BP33+'МК Староконстантинов'!BP33+'МК Армокаркасы'!BP33+'МК Щедро. Флекситанки'!BP33+'МК ЛифтМаркет'!BP33+'МК Укркотлопром'!BP33+'МК Подгорцы.Забор'!BP33+PL_Металлизация!DD33+'МД Бытовка ИТР Нежин'!BP33+'МК Металургбуд.поддоны'!BP33+'МК Нежин-3'!BP33+'МК РДК.Кран'!BP33+'МК Ворота.Запорожье'!BP33+'МД ВООЗ'!BP33+'МД Казарма.Рекламация'!BP33</f>
        <v>0</v>
      </c>
      <c r="BQ33" s="4706">
        <f>PL_ЦО_Производство!BQ33+'МД ООН'!BQ33+'МК Ладыжин-3'!BQ33+'МК Староконстантинов'!BQ33+'МК Армокаркасы'!BQ33+'МК Щедро. Флекситанки'!BQ33+'МК ЛифтМаркет'!BQ33+'МК Укркотлопром'!BQ33+'МК Подгорцы.Забор'!BQ33+PL_Металлизация!DE33+'МД Бытовка ИТР Нежин'!BQ33+'МК Металургбуд.поддоны'!BQ33+'МК Нежин-3'!BQ33+'МК РДК.Кран'!BQ33+'МК Ворота.Запорожье'!BQ33+'МД ВООЗ'!BQ33+'МД Казарма.Рекламация'!BQ33</f>
        <v>0</v>
      </c>
      <c r="BR33" s="4707">
        <f t="shared" ref="BR33" si="64">BP33+BQ33*1</f>
        <v>0</v>
      </c>
      <c r="BS33" s="4708" t="e">
        <f t="shared" si="49"/>
        <v>#DIV/0!</v>
      </c>
      <c r="BT33" s="4709"/>
      <c r="BU33" s="4715">
        <f>PL_ЦО_Производство!BU33+'МД ООН'!BU33+'МК Ладыжин-3'!BU33+'МК Староконстантинов'!BU33+'МК Армокаркасы'!BU33+'МК Щедро. Флекситанки'!BU33+'МК ЛифтМаркет'!BU33+'МК Укркотлопром'!BU33+'МК Подгорцы.Забор'!BU33+PL_Металлизация!DI33+'МД Бытовка ИТР Нежин'!BU33+'МК Металургбуд.поддоны'!BU33+'МК Нежин-3'!BU33+'МК РДК.Кран'!BU33+'МК Ворота.Запорожье'!BU33+'МД ВООЗ'!BU33+'МД Казарма.Рекламация'!BU33</f>
        <v>0</v>
      </c>
      <c r="BV33" s="4706">
        <f>PL_ЦО_Производство!BV33+'МД ООН'!BV33+'МК Ладыжин-3'!BV33+'МК Староконстантинов'!BV33+'МК Армокаркасы'!BV33+'МК Щедро. Флекситанки'!BV33+'МК ЛифтМаркет'!BV33+'МК Укркотлопром'!BV33+'МК Подгорцы.Забор'!BV33+PL_Металлизация!DJ33+'МД Бытовка ИТР Нежин'!BV33+'МК Металургбуд.поддоны'!BV33+'МК Нежин-3'!BV33+'МК РДК.Кран'!BV33+'МК Ворота.Запорожье'!BV33+'МД ВООЗ'!BV33+'МД Казарма.Рекламация'!BV33</f>
        <v>0</v>
      </c>
      <c r="BW33" s="4707">
        <f t="shared" ref="BW33" si="65">BU33+BV33*1</f>
        <v>0</v>
      </c>
      <c r="BX33" s="4708" t="e">
        <f t="shared" si="50"/>
        <v>#DIV/0!</v>
      </c>
      <c r="BY33" s="4709"/>
      <c r="BZ33" s="4715">
        <f>PL_ЦО_Производство!BZ33+'МД ООН'!BZ33+'МК Ладыжин-3'!BZ33+'МК Староконстантинов'!BZ33+'МК Армокаркасы'!BZ33+'МК Щедро. Флекситанки'!BZ33+'МК ЛифтМаркет'!BZ33+'МК Укркотлопром'!BZ33+'МК Подгорцы.Забор'!BZ33+PL_Металлизация!DN33+'МД Бытовка ИТР Нежин'!BZ33+'МК Металургбуд.поддоны'!BZ33+'МК Нежин-3'!BZ33+'МК РДК.Кран'!BZ33+'МК Ворота.Запорожье'!BZ33+'МД ВООЗ'!BZ33+'МД Казарма.Рекламация'!BZ33</f>
        <v>0</v>
      </c>
      <c r="CA33" s="4706">
        <f>PL_ЦО_Производство!CA33+'МД ООН'!CA33+'МК Ладыжин-3'!CA33+'МК Староконстантинов'!CA33+'МК Армокаркасы'!CA33+'МК Щедро. Флекситанки'!CA33+'МК ЛифтМаркет'!CA33+'МК Укркотлопром'!CA33+'МК Подгорцы.Забор'!CA33+PL_Металлизация!DO33+'МД Бытовка ИТР Нежин'!CA33+'МК Металургбуд.поддоны'!CA33+'МК Нежин-3'!CA33+'МК РДК.Кран'!CA33+'МК Ворота.Запорожье'!CA33+'МД ВООЗ'!CA33+'МД Казарма.Рекламация'!CA33</f>
        <v>0</v>
      </c>
      <c r="CB33" s="4707">
        <f t="shared" ref="CB33" si="66">BZ33+CA33*1</f>
        <v>0</v>
      </c>
      <c r="CC33" s="4708" t="e">
        <f t="shared" si="51"/>
        <v>#DIV/0!</v>
      </c>
      <c r="CD33" s="4709"/>
      <c r="CE33" s="4715">
        <f>PL_ЦО_Производство!CE33+'МД ООН'!CE33+'МК Ладыжин-3'!CE33+'МК Староконстантинов'!CE33+'МК Армокаркасы'!CE33+'МК Щедро. Флекситанки'!CE33+'МК ЛифтМаркет'!CE33+'МК Укркотлопром'!CE33+'МК Подгорцы.Забор'!CE33+PL_Металлизация!DS33+'МД Бытовка ИТР Нежин'!CE33+'МК Металургбуд.поддоны'!CE33+'МК Нежин-3'!CE33+'МК РДК.Кран'!CE33+'МК Ворота.Запорожье'!CE33+'МД ВООЗ'!CE33+'МД Казарма.Рекламация'!CE33</f>
        <v>0</v>
      </c>
      <c r="CF33" s="4706">
        <f>PL_ЦО_Производство!CF33+'МД ООН'!CF33+'МК Ладыжин-3'!CF33+'МК Староконстантинов'!CF33+'МК Армокаркасы'!CF33+'МК Щедро. Флекситанки'!CF33+'МК ЛифтМаркет'!CF33+'МК Укркотлопром'!CF33+'МК Подгорцы.Забор'!CF33+PL_Металлизация!DT33+'МД Бытовка ИТР Нежин'!CF33+'МК Металургбуд.поддоны'!CF33+'МК Нежин-3'!CF33+'МК РДК.Кран'!CF33+'МК Ворота.Запорожье'!CF33+'МД ВООЗ'!CF33+'МД Казарма.Рекламация'!CF33</f>
        <v>0</v>
      </c>
      <c r="CG33" s="4707">
        <f t="shared" ref="CG33" si="67">CE33+CF33*1</f>
        <v>0</v>
      </c>
      <c r="CH33" s="4708" t="e">
        <f t="shared" si="52"/>
        <v>#DIV/0!</v>
      </c>
      <c r="CI33" s="4709"/>
      <c r="CJ33" s="4715">
        <f t="shared" ref="CJ33:CK33" si="68">C33+H33+M33+W33</f>
        <v>0</v>
      </c>
      <c r="CK33" s="4706">
        <f t="shared" si="68"/>
        <v>0</v>
      </c>
      <c r="CL33" s="4707">
        <f t="shared" si="53"/>
        <v>0</v>
      </c>
      <c r="CM33" s="4716">
        <f t="shared" si="40"/>
        <v>0</v>
      </c>
      <c r="CN33" s="4717"/>
    </row>
    <row r="34" spans="1:92" s="1396" customFormat="1" ht="13.8" outlineLevel="2">
      <c r="A34" s="1571"/>
      <c r="B34" s="1616"/>
      <c r="C34" s="3341"/>
      <c r="D34" s="3341"/>
      <c r="E34" s="3368"/>
      <c r="F34" s="3368"/>
      <c r="G34" s="3448"/>
      <c r="H34" s="3341"/>
      <c r="I34" s="3341"/>
      <c r="J34" s="3368"/>
      <c r="K34" s="3368"/>
      <c r="L34" s="3448"/>
      <c r="M34" s="3341"/>
      <c r="N34" s="3341"/>
      <c r="O34" s="3368"/>
      <c r="P34" s="3368"/>
      <c r="Q34" s="3448"/>
      <c r="R34" s="3745"/>
      <c r="S34" s="3745"/>
      <c r="T34" s="3448"/>
      <c r="U34" s="3448"/>
      <c r="V34" s="3448"/>
      <c r="W34" s="3448"/>
      <c r="X34" s="3448"/>
      <c r="Y34" s="3448"/>
      <c r="Z34" s="3448"/>
      <c r="AA34" s="3448"/>
      <c r="AB34" s="3341"/>
      <c r="AC34" s="3341"/>
      <c r="AD34" s="3368"/>
      <c r="AE34" s="3368"/>
      <c r="AF34" s="3448"/>
      <c r="AG34" s="3341"/>
      <c r="AH34" s="3341"/>
      <c r="AI34" s="3368"/>
      <c r="AJ34" s="3368"/>
      <c r="AK34" s="3448"/>
      <c r="AL34" s="3341"/>
      <c r="AM34" s="3341"/>
      <c r="AN34" s="3368"/>
      <c r="AO34" s="3368"/>
      <c r="AP34" s="3448"/>
      <c r="AQ34" s="3341"/>
      <c r="AR34" s="3341"/>
      <c r="AS34" s="3368"/>
      <c r="AT34" s="3368"/>
      <c r="AU34" s="3448"/>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row>
    <row r="35" spans="1:92" s="1396" customFormat="1" ht="13.8" outlineLevel="1">
      <c r="A35" s="1571"/>
      <c r="B35" s="4718" t="s">
        <v>80</v>
      </c>
      <c r="C35" s="4719">
        <f>C36</f>
        <v>0</v>
      </c>
      <c r="D35" s="4719">
        <f>D36</f>
        <v>0</v>
      </c>
      <c r="E35" s="4720">
        <f>E36</f>
        <v>0</v>
      </c>
      <c r="F35" s="4720"/>
      <c r="G35" s="4721"/>
      <c r="H35" s="4719">
        <f>H36</f>
        <v>0</v>
      </c>
      <c r="I35" s="4719">
        <f>I36</f>
        <v>0</v>
      </c>
      <c r="J35" s="4720">
        <f>J36</f>
        <v>0</v>
      </c>
      <c r="K35" s="4720"/>
      <c r="L35" s="4721"/>
      <c r="M35" s="4719">
        <f>M36</f>
        <v>0</v>
      </c>
      <c r="N35" s="4719">
        <f>N36</f>
        <v>0</v>
      </c>
      <c r="O35" s="4720">
        <f>O36</f>
        <v>0</v>
      </c>
      <c r="P35" s="4720"/>
      <c r="Q35" s="4721"/>
      <c r="R35" s="4723">
        <f>R36</f>
        <v>115647.86</v>
      </c>
      <c r="S35" s="4723">
        <f>S36</f>
        <v>0</v>
      </c>
      <c r="T35" s="4720">
        <f>T36</f>
        <v>115647.86</v>
      </c>
      <c r="U35" s="4722"/>
      <c r="V35" s="4722"/>
      <c r="W35" s="4719">
        <f>W36</f>
        <v>40962.959999999999</v>
      </c>
      <c r="X35" s="4719">
        <f>X36</f>
        <v>0</v>
      </c>
      <c r="Y35" s="4720">
        <f>Y36</f>
        <v>40962.959999999999</v>
      </c>
      <c r="Z35" s="4722"/>
      <c r="AA35" s="4722"/>
      <c r="AB35" s="4719">
        <f>AB36</f>
        <v>0</v>
      </c>
      <c r="AC35" s="4719">
        <f>AC36</f>
        <v>0</v>
      </c>
      <c r="AD35" s="4720">
        <f>AD36</f>
        <v>0</v>
      </c>
      <c r="AE35" s="4720"/>
      <c r="AF35" s="4721"/>
      <c r="AG35" s="4719">
        <f>AG36</f>
        <v>0</v>
      </c>
      <c r="AH35" s="4719">
        <f>AH36</f>
        <v>0</v>
      </c>
      <c r="AI35" s="4720">
        <f>AI36</f>
        <v>0</v>
      </c>
      <c r="AJ35" s="4720"/>
      <c r="AK35" s="4721"/>
      <c r="AL35" s="4719">
        <f>AL36</f>
        <v>36887.96</v>
      </c>
      <c r="AM35" s="4719">
        <f>AM36</f>
        <v>0</v>
      </c>
      <c r="AN35" s="4720">
        <f>AN36</f>
        <v>36887.96</v>
      </c>
      <c r="AO35" s="4720"/>
      <c r="AP35" s="4721"/>
      <c r="AQ35" s="4719">
        <f>AQ36</f>
        <v>1487</v>
      </c>
      <c r="AR35" s="4719">
        <f>AR36</f>
        <v>0</v>
      </c>
      <c r="AS35" s="4720">
        <f>AS36</f>
        <v>1487</v>
      </c>
      <c r="AT35" s="4720"/>
      <c r="AU35" s="4721"/>
      <c r="AV35" s="4719">
        <f>AV36</f>
        <v>2588</v>
      </c>
      <c r="AW35" s="4719">
        <f>AW36</f>
        <v>0</v>
      </c>
      <c r="AX35" s="4720">
        <f>AX36</f>
        <v>2588</v>
      </c>
      <c r="AY35" s="4720"/>
      <c r="AZ35" s="4721"/>
      <c r="BA35" s="4719">
        <f>BA36</f>
        <v>0</v>
      </c>
      <c r="BB35" s="4719">
        <f>BB36</f>
        <v>0</v>
      </c>
      <c r="BC35" s="4720">
        <f>BC36</f>
        <v>0</v>
      </c>
      <c r="BD35" s="4720"/>
      <c r="BE35" s="4721"/>
      <c r="BF35" s="4719">
        <f>BF36</f>
        <v>0</v>
      </c>
      <c r="BG35" s="4719">
        <f>BG36</f>
        <v>0</v>
      </c>
      <c r="BH35" s="4720">
        <f>BH36</f>
        <v>0</v>
      </c>
      <c r="BI35" s="4720"/>
      <c r="BJ35" s="4721"/>
      <c r="BK35" s="4719">
        <f>BK36</f>
        <v>0</v>
      </c>
      <c r="BL35" s="4719">
        <f>BL36</f>
        <v>0</v>
      </c>
      <c r="BM35" s="4720">
        <f>BM36</f>
        <v>0</v>
      </c>
      <c r="BN35" s="4720"/>
      <c r="BO35" s="4721"/>
      <c r="BP35" s="4719">
        <f>BP36</f>
        <v>0</v>
      </c>
      <c r="BQ35" s="4719">
        <f>BQ36</f>
        <v>0</v>
      </c>
      <c r="BR35" s="4720">
        <f>BR36</f>
        <v>0</v>
      </c>
      <c r="BS35" s="4720"/>
      <c r="BT35" s="4721"/>
      <c r="BU35" s="4719">
        <f>BU36</f>
        <v>0</v>
      </c>
      <c r="BV35" s="4719">
        <f>BV36</f>
        <v>0</v>
      </c>
      <c r="BW35" s="4720">
        <f>BW36</f>
        <v>0</v>
      </c>
      <c r="BX35" s="4720"/>
      <c r="BY35" s="4721"/>
      <c r="BZ35" s="4719">
        <f>BZ36</f>
        <v>0</v>
      </c>
      <c r="CA35" s="4719">
        <f>CA36</f>
        <v>0</v>
      </c>
      <c r="CB35" s="4720">
        <f>CB36</f>
        <v>0</v>
      </c>
      <c r="CC35" s="4720"/>
      <c r="CD35" s="4721"/>
      <c r="CE35" s="4719">
        <f>CE36</f>
        <v>0</v>
      </c>
      <c r="CF35" s="4719">
        <f>CF36</f>
        <v>0</v>
      </c>
      <c r="CG35" s="4720">
        <f>CG36</f>
        <v>0</v>
      </c>
      <c r="CH35" s="4720"/>
      <c r="CI35" s="4721"/>
      <c r="CJ35" s="4719">
        <f>CJ36</f>
        <v>156610.82</v>
      </c>
      <c r="CK35" s="4719">
        <f>CK36</f>
        <v>0</v>
      </c>
      <c r="CL35" s="4720">
        <f>CL36</f>
        <v>156610.82</v>
      </c>
      <c r="CM35" s="4720"/>
      <c r="CN35" s="4720"/>
    </row>
    <row r="36" spans="1:92" s="1396" customFormat="1" ht="13.8" outlineLevel="2">
      <c r="A36" s="1571"/>
      <c r="B36" s="4698" t="s">
        <v>81</v>
      </c>
      <c r="C36" s="3341"/>
      <c r="D36" s="3341"/>
      <c r="E36" s="3349">
        <f>C36+D36*1</f>
        <v>0</v>
      </c>
      <c r="F36" s="4697" t="e">
        <f>E36/$E$89</f>
        <v>#DIV/0!</v>
      </c>
      <c r="G36" s="3343"/>
      <c r="H36" s="3341"/>
      <c r="I36" s="3341"/>
      <c r="J36" s="3349">
        <f>H36+I36*1</f>
        <v>0</v>
      </c>
      <c r="K36" s="4697" t="e">
        <f t="shared" ref="K36" si="69">J36/J$89</f>
        <v>#DIV/0!</v>
      </c>
      <c r="L36" s="3343"/>
      <c r="M36" s="3341"/>
      <c r="N36" s="3341"/>
      <c r="O36" s="3349">
        <f t="shared" ref="O36" si="70">M36+N36</f>
        <v>0</v>
      </c>
      <c r="P36" s="4697" t="e">
        <f t="shared" ref="P36" si="71">O36/O$89</f>
        <v>#DIV/0!</v>
      </c>
      <c r="Q36" s="3342"/>
      <c r="R36" s="3427">
        <f>PL_Производство!BF36</f>
        <v>115647.86</v>
      </c>
      <c r="S36" s="3427">
        <f>PL_Производство!BG36</f>
        <v>0</v>
      </c>
      <c r="T36" s="2012">
        <f t="shared" ref="T36" si="72">R36+S36</f>
        <v>115647.86</v>
      </c>
      <c r="U36" s="3342"/>
      <c r="V36" s="3342"/>
      <c r="W36" s="3342">
        <f t="shared" ref="W36:X36" si="73">AB36+AG36+AL36+AV36+BA36+BF36+BK36+BP36+BU36+BZ36+CE36+AQ36</f>
        <v>40962.959999999999</v>
      </c>
      <c r="X36" s="3342">
        <f t="shared" si="73"/>
        <v>0</v>
      </c>
      <c r="Y36" s="2012">
        <f t="shared" ref="Y36" si="74">W36+X36</f>
        <v>40962.959999999999</v>
      </c>
      <c r="Z36" s="3342"/>
      <c r="AA36" s="3342"/>
      <c r="AB36" s="3341">
        <f>PL_ЦО_Производство!AB36+'МД ООН'!AB36+'МК Ладыжин-3'!AB36+'МК Староконстантинов'!AB36+'МК Армокаркасы'!AB36+'МК Щедро. Флекситанки'!AB36+'МК ЛифтМаркет'!AB36+'МК Укркотлопром'!AB36+'МК Подгорцы.Забор'!AB36+PL_Металлизация!BP36+'МД Бытовка ИТР Нежин'!AB36+'МК Металургбуд.поддоны'!AB36</f>
        <v>0</v>
      </c>
      <c r="AC36" s="3341">
        <f>PL_ЦО_Производство!AC36+'МД ООН'!AC36+'МК Ладыжин-3'!AC36+'МК Староконстантинов'!AC36+'МК Армокаркасы'!AC36+'МК Щедро. Флекситанки'!AC36+'МК ЛифтМаркет'!AC36+'МК Укркотлопром'!AC36+'МК Подгорцы.Забор'!AC36+PL_Металлизация!BQ36+'МД Бытовка ИТР Нежин'!AC36+'МК Металургбуд.поддоны'!AC36</f>
        <v>0</v>
      </c>
      <c r="AD36" s="3349">
        <f t="shared" ref="AD36" si="75">AB36+AC36</f>
        <v>0</v>
      </c>
      <c r="AE36" s="4697">
        <f>AD36/AD$89</f>
        <v>0</v>
      </c>
      <c r="AF36" s="3342"/>
      <c r="AG36" s="3341">
        <f>PL_ЦО_Производство!AG36+'МД ООН'!AG36+'МК Ладыжин-3'!AG36+'МК Староконстантинов'!AG36+'МК Армокаркасы'!AG36+'МК Щедро. Флекситанки'!AG36+'МК ЛифтМаркет'!AG36+'МК Укркотлопром'!AG36+'МК Подгорцы.Забор'!AG36+PL_Металлизация!BU36+'МД Бытовка ИТР Нежин'!AG36+'МК Металургбуд.поддоны'!AG36</f>
        <v>0</v>
      </c>
      <c r="AH36" s="3341">
        <f>PL_ЦО_Производство!AH36+'МД ООН'!AH36+'МК Ладыжин-3'!AH36+'МК Староконстантинов'!AH36+'МК Армокаркасы'!AH36+'МК Щедро. Флекситанки'!AH36+'МК ЛифтМаркет'!AH36+'МК Укркотлопром'!AH36+'МК Подгорцы.Забор'!AH36+PL_Металлизация!BV36+'МД Бытовка ИТР Нежин'!AH36+'МК Металургбуд.поддоны'!AH36</f>
        <v>0</v>
      </c>
      <c r="AI36" s="3349">
        <f t="shared" ref="AI36" si="76">AG36+AH36</f>
        <v>0</v>
      </c>
      <c r="AJ36" s="4697">
        <f>AI36/AI$89</f>
        <v>0</v>
      </c>
      <c r="AK36" s="3342"/>
      <c r="AL36" s="3341">
        <f>PL_ЦО_Производство!AL36+'МД ООН'!AL36+'МК Ладыжин-3'!AL36+'МК Староконстантинов'!AL36+'МК Армокаркасы'!AL36+'МК Щедро. Флекситанки'!AL36+'МК ЛифтМаркет'!AL36+'МК Укркотлопром'!AL36+'МК Подгорцы.Забор'!AL36+PL_Металлизация!BZ36+'МД Бытовка ИТР Нежин'!AL36+'МК Металургбуд.поддоны'!AL36+'МК Нежин-3'!AL36</f>
        <v>36887.96</v>
      </c>
      <c r="AM36" s="3341">
        <f>PL_ЦО_Производство!AM36+'МД ООН'!AM36+'МК Ладыжин-3'!AM36+'МК Староконстантинов'!AM36+'МК Армокаркасы'!AM36+'МК Щедро. Флекситанки'!AM36+'МК ЛифтМаркет'!AM36+'МК Укркотлопром'!AM36+'МК Подгорцы.Забор'!AM36+PL_Металлизация!CA36+'МД Бытовка ИТР Нежин'!AM36+'МК Металургбуд.поддоны'!AM36+'МК Нежин-3'!AM36</f>
        <v>0</v>
      </c>
      <c r="AN36" s="3349">
        <f t="shared" ref="AN36" si="77">AL36+AM36</f>
        <v>36887.96</v>
      </c>
      <c r="AO36" s="4697">
        <f>AN36/AN$89</f>
        <v>1.768545619150564E-2</v>
      </c>
      <c r="AP36" s="3342"/>
      <c r="AQ36" s="3341">
        <f>PL_ЦО_Производство!AQ36+'МД ООН'!AQ36+'МК Ладыжин-3'!AQ36+'МК Староконстантинов'!AQ36+'МК Армокаркасы'!AQ36+'МК Щедро. Флекситанки'!AQ36+'МК ЛифтМаркет'!AQ36+'МК Укркотлопром'!AQ36+'МК Подгорцы.Забор'!AQ36+PL_Металлизация!CE36+'МД Бытовка ИТР Нежин'!AQ36+'МК Металургбуд.поддоны'!AQ36+'МК Нежин-3'!AQ36</f>
        <v>1487</v>
      </c>
      <c r="AR36" s="3341">
        <f>PL_ЦО_Производство!AR36+'МД ООН'!AR36+'МК Ладыжин-3'!AR36+'МК Староконстантинов'!AR36+'МК Армокаркасы'!AR36+'МК Щедро. Флекситанки'!AR36+'МК ЛифтМаркет'!AR36+'МК Укркотлопром'!AR36+'МК Подгорцы.Забор'!AR36+PL_Металлизация!CF36+'МД Бытовка ИТР Нежин'!AR36+'МК Металургбуд.поддоны'!AR36+'МК Нежин-3'!AR36</f>
        <v>0</v>
      </c>
      <c r="AS36" s="3349">
        <f t="shared" ref="AS36" si="78">AQ36+AR36</f>
        <v>1487</v>
      </c>
      <c r="AT36" s="4697">
        <f>AS36/AS$89</f>
        <v>9.5847622256946383E-4</v>
      </c>
      <c r="AU36" s="3342"/>
      <c r="AV36" s="3341">
        <f>PL_ЦО_Производство!AV36+'МД ООН'!AV36+'МК Армокаркасы'!AV36+'МК Подгорцы.Забор'!AV36+'МК Нежин-3'!AV36+'МК РДК.Кран'!AV36+'МК Ворота.Запорожье'!AV36+'МД ВООЗ'!AV36+'МД Казарма.Рекламация'!AV36</f>
        <v>2588</v>
      </c>
      <c r="AW36" s="3341">
        <f>PL_ЦО_Производство!AW36+'МД ООН'!AW36+'МК Армокаркасы'!AW36+'МК Подгорцы.Забор'!AW36+'МК Нежин-3'!AW36+'МК РДК.Кран'!AW36+'МК Ворота.Запорожье'!AW36+'МД ВООЗ'!AW36+'МД Казарма.Рекламация'!AW36</f>
        <v>0</v>
      </c>
      <c r="AX36" s="3349">
        <f t="shared" ref="AX36" si="79">AV36+AW36</f>
        <v>2588</v>
      </c>
      <c r="AY36" s="4697">
        <f>AX36/AX$89</f>
        <v>1.934921836475824E-3</v>
      </c>
      <c r="AZ36" s="3342"/>
      <c r="BA36" s="3341">
        <f>PL_ЦО_Производство!BA36+'МД ООН'!BA36+'МК Ладыжин-3'!BA36+'МК Староконстантинов'!BA36+'МК Армокаркасы'!BA36+'МК Щедро. Флекситанки'!BA36+'МК ЛифтМаркет'!BA36+'МК Укркотлопром'!BA36+'МК Подгорцы.Забор'!BA36+PL_Металлизация!CO36+'МД Бытовка ИТР Нежин'!BA36+'МК Металургбуд.поддоны'!BA36+'МК Нежин-3'!BA36+'МК РДК.Кран'!BA36+'МК Ворота.Запорожье'!BA36+'МД ВООЗ'!BA36+'МД Казарма.Рекламация'!BA36</f>
        <v>0</v>
      </c>
      <c r="BB36" s="3341">
        <f>PL_ЦО_Производство!BB36+'МД ООН'!BB36+'МК Ладыжин-3'!BB36+'МК Староконстантинов'!BB36+'МК Армокаркасы'!BB36+'МК Щедро. Флекситанки'!BB36+'МК ЛифтМаркет'!BB36+'МК Укркотлопром'!BB36+'МК Подгорцы.Забор'!BB36+PL_Металлизация!CP36+'МД Бытовка ИТР Нежин'!BB36+'МК Металургбуд.поддоны'!BB36+'МК Нежин-3'!BB36+'МК РДК.Кран'!BB36+'МК Ворота.Запорожье'!BB36+'МД ВООЗ'!BB36+'МД Казарма.Рекламация'!BB36</f>
        <v>0</v>
      </c>
      <c r="BC36" s="3349">
        <f t="shared" ref="BC36" si="80">BA36+BB36</f>
        <v>0</v>
      </c>
      <c r="BD36" s="4697">
        <f>BC36/BC$89</f>
        <v>0</v>
      </c>
      <c r="BE36" s="3342"/>
      <c r="BF36" s="3341">
        <f>PL_ЦО_Производство!BF36+'МД ООН'!BF36+'МК Ладыжин-3'!BF36+'МК Староконстантинов'!BF36+'МК Армокаркасы'!BF36+'МК Щедро. Флекситанки'!BF36+'МК ЛифтМаркет'!BF36+'МК Укркотлопром'!BF36+'МК Подгорцы.Забор'!BF36+PL_Металлизация!CT36+'МД Бытовка ИТР Нежин'!BF36+'МК Металургбуд.поддоны'!BF36+'МК Нежин-3'!BF36+'МК РДК.Кран'!BF36+'МК Ворота.Запорожье'!BF36+'МД ВООЗ'!BF36+'МД Казарма.Рекламация'!BF36</f>
        <v>0</v>
      </c>
      <c r="BG36" s="3341">
        <f>PL_ЦО_Производство!BG36+'МД ООН'!BG36+'МК Ладыжин-3'!BG36+'МК Староконстантинов'!BG36+'МК Армокаркасы'!BG36+'МК Щедро. Флекситанки'!BG36+'МК ЛифтМаркет'!BG36+'МК Укркотлопром'!BG36+'МК Подгорцы.Забор'!BG36+PL_Металлизация!CU36+'МД Бытовка ИТР Нежин'!BG36+'МК Металургбуд.поддоны'!BG36+'МК Нежин-3'!BG36+'МК РДК.Кран'!BG36+'МК Ворота.Запорожье'!BG36+'МД ВООЗ'!BG36+'МД Казарма.Рекламация'!BG36</f>
        <v>0</v>
      </c>
      <c r="BH36" s="3349">
        <f t="shared" ref="BH36" si="81">BF36+BG36</f>
        <v>0</v>
      </c>
      <c r="BI36" s="4697" t="e">
        <f>BH36/BH$89</f>
        <v>#DIV/0!</v>
      </c>
      <c r="BJ36" s="3342"/>
      <c r="BK36" s="3341">
        <f>PL_ЦО_Производство!BK36+'МД ООН'!BK36+'МК Ладыжин-3'!BK36+'МК Староконстантинов'!BK36+'МК Армокаркасы'!BK36+'МК Щедро. Флекситанки'!BK36+'МК ЛифтМаркет'!BK36+'МК Укркотлопром'!BK36+'МК Подгорцы.Забор'!BK36+PL_Металлизация!CY36+'МД Бытовка ИТР Нежин'!BK36+'МК Металургбуд.поддоны'!BK36+'МК Нежин-3'!BK36+'МК РДК.Кран'!BK36+'МК Ворота.Запорожье'!BK36+'МД ВООЗ'!BK36+'МД Казарма.Рекламация'!BK36</f>
        <v>0</v>
      </c>
      <c r="BL36" s="3341">
        <f>PL_ЦО_Производство!BL36+'МД ООН'!BL36+'МК Ладыжин-3'!BL36+'МК Староконстантинов'!BL36+'МК Армокаркасы'!BL36+'МК Щедро. Флекситанки'!BL36+'МК ЛифтМаркет'!BL36+'МК Укркотлопром'!BL36+'МК Подгорцы.Забор'!BL36+PL_Металлизация!CZ36+'МД Бытовка ИТР Нежин'!BL36+'МК Металургбуд.поддоны'!BL36+'МК Нежин-3'!BL36+'МК РДК.Кран'!BL36+'МК Ворота.Запорожье'!BL36+'МД ВООЗ'!BL36+'МД Казарма.Рекламация'!BL36</f>
        <v>0</v>
      </c>
      <c r="BM36" s="3349">
        <f t="shared" ref="BM36" si="82">BK36+BL36</f>
        <v>0</v>
      </c>
      <c r="BN36" s="4697" t="e">
        <f>BM36/BM$89</f>
        <v>#DIV/0!</v>
      </c>
      <c r="BO36" s="3342"/>
      <c r="BP36" s="3341">
        <f>PL_ЦО_Производство!BP36+'МД ООН'!BP36+'МК Ладыжин-3'!BP36+'МК Староконстантинов'!BP36+'МК Армокаркасы'!BP36+'МК Щедро. Флекситанки'!BP36+'МК ЛифтМаркет'!BP36+'МК Укркотлопром'!BP36+'МК Подгорцы.Забор'!BP36+PL_Металлизация!DD36+'МД Бытовка ИТР Нежин'!BP36+'МК Металургбуд.поддоны'!BP36+'МК Нежин-3'!BP36+'МК РДК.Кран'!BP36+'МК Ворота.Запорожье'!BP36+'МД ВООЗ'!BP36+'МД Казарма.Рекламация'!BP36</f>
        <v>0</v>
      </c>
      <c r="BQ36" s="3341">
        <f>PL_ЦО_Производство!BQ36+'МД ООН'!BQ36+'МК Ладыжин-3'!BQ36+'МК Староконстантинов'!BQ36+'МК Армокаркасы'!BQ36+'МК Щедро. Флекситанки'!BQ36+'МК ЛифтМаркет'!BQ36+'МК Укркотлопром'!BQ36+'МК Подгорцы.Забор'!BQ36+PL_Металлизация!DE36+'МД Бытовка ИТР Нежин'!BQ36+'МК Металургбуд.поддоны'!BQ36+'МК Нежин-3'!BQ36+'МК РДК.Кран'!BQ36+'МК Ворота.Запорожье'!BQ36+'МД ВООЗ'!BQ36+'МД Казарма.Рекламация'!BQ36</f>
        <v>0</v>
      </c>
      <c r="BR36" s="3349">
        <f t="shared" ref="BR36" si="83">BP36+BQ36</f>
        <v>0</v>
      </c>
      <c r="BS36" s="4697" t="e">
        <f>BR36/BR$89</f>
        <v>#DIV/0!</v>
      </c>
      <c r="BT36" s="3342"/>
      <c r="BU36" s="3341">
        <f>PL_ЦО_Производство!BU36+'МД ООН'!BU36+'МК Ладыжин-3'!BU36+'МК Староконстантинов'!BU36+'МК Армокаркасы'!BU36+'МК Щедро. Флекситанки'!BU36+'МК ЛифтМаркет'!BU36+'МК Укркотлопром'!BU36+'МК Подгорцы.Забор'!BU36+PL_Металлизация!DI36+'МД Бытовка ИТР Нежин'!BU36+'МК Металургбуд.поддоны'!BU36+'МК Нежин-3'!BU36+'МК РДК.Кран'!BU36+'МК Ворота.Запорожье'!BU36+'МД ВООЗ'!BU36+'МД Казарма.Рекламация'!BU36</f>
        <v>0</v>
      </c>
      <c r="BV36" s="3341">
        <f>PL_ЦО_Производство!BV36+'МД ООН'!BV36+'МК Ладыжин-3'!BV36+'МК Староконстантинов'!BV36+'МК Армокаркасы'!BV36+'МК Щедро. Флекситанки'!BV36+'МК ЛифтМаркет'!BV36+'МК Укркотлопром'!BV36+'МК Подгорцы.Забор'!BV36+PL_Металлизация!DJ36+'МД Бытовка ИТР Нежин'!BV36+'МК Металургбуд.поддоны'!BV36+'МК Нежин-3'!BV36+'МК РДК.Кран'!BV36+'МК Ворота.Запорожье'!BV36+'МД ВООЗ'!BV36+'МД Казарма.Рекламация'!BV36</f>
        <v>0</v>
      </c>
      <c r="BW36" s="3349">
        <f t="shared" ref="BW36" si="84">BU36+BV36</f>
        <v>0</v>
      </c>
      <c r="BX36" s="4697" t="e">
        <f>BW36/BW$89</f>
        <v>#DIV/0!</v>
      </c>
      <c r="BY36" s="3342"/>
      <c r="BZ36" s="3341">
        <f>PL_ЦО_Производство!BZ36+'МД ООН'!BZ36+'МК Ладыжин-3'!BZ36+'МК Староконстантинов'!BZ36+'МК Армокаркасы'!BZ36+'МК Щедро. Флекситанки'!BZ36+'МК ЛифтМаркет'!BZ36+'МК Укркотлопром'!BZ36+'МК Подгорцы.Забор'!BZ36+PL_Металлизация!DN36+'МД Бытовка ИТР Нежин'!BZ36+'МК Металургбуд.поддоны'!BZ36+'МК Нежин-3'!BZ36+'МК РДК.Кран'!BZ36+'МК Ворота.Запорожье'!BZ36+'МД ВООЗ'!BZ36+'МД Казарма.Рекламация'!BZ36</f>
        <v>0</v>
      </c>
      <c r="CA36" s="3341">
        <f>PL_ЦО_Производство!CA36+'МД ООН'!CA36+'МК Ладыжин-3'!CA36+'МК Староконстантинов'!CA36+'МК Армокаркасы'!CA36+'МК Щедро. Флекситанки'!CA36+'МК ЛифтМаркет'!CA36+'МК Укркотлопром'!CA36+'МК Подгорцы.Забор'!CA36+PL_Металлизация!DO36+'МД Бытовка ИТР Нежин'!CA36+'МК Металургбуд.поддоны'!CA36+'МК Нежин-3'!CA36+'МК РДК.Кран'!CA36+'МК Ворота.Запорожье'!CA36+'МД ВООЗ'!CA36+'МД Казарма.Рекламация'!CA36</f>
        <v>0</v>
      </c>
      <c r="CB36" s="3349">
        <f t="shared" ref="CB36" si="85">BZ36+CA36</f>
        <v>0</v>
      </c>
      <c r="CC36" s="4697" t="e">
        <f>CB36/CB$89</f>
        <v>#DIV/0!</v>
      </c>
      <c r="CD36" s="3342"/>
      <c r="CE36" s="3341">
        <f>PL_ЦО_Производство!CE36+'МД ООН'!CE36+'МК Ладыжин-3'!CE36+'МК Староконстантинов'!CE36+'МК Армокаркасы'!CE36+'МК Щедро. Флекситанки'!CE36+'МК ЛифтМаркет'!CE36+'МК Укркотлопром'!CE36+'МК Подгорцы.Забор'!CE36+PL_Металлизация!DS36+'МД Бытовка ИТР Нежин'!CE36+'МК Металургбуд.поддоны'!CE36+'МК Нежин-3'!CE36+'МК РДК.Кран'!CE36+'МК Ворота.Запорожье'!CE36+'МД ВООЗ'!CE36+'МД Казарма.Рекламация'!CE36</f>
        <v>0</v>
      </c>
      <c r="CF36" s="3341">
        <f>PL_ЦО_Производство!CF36+'МД ООН'!CF36+'МК Ладыжин-3'!CF36+'МК Староконстантинов'!CF36+'МК Армокаркасы'!CF36+'МК Щедро. Флекситанки'!CF36+'МК ЛифтМаркет'!CF36+'МК Укркотлопром'!CF36+'МК Подгорцы.Забор'!CF36+PL_Металлизация!DT36+'МД Бытовка ИТР Нежин'!CF36+'МК Металургбуд.поддоны'!CF36+'МК Нежин-3'!CF36+'МК РДК.Кран'!CF36+'МК Ворота.Запорожье'!CF36+'МД ВООЗ'!CF36+'МД Казарма.Рекламация'!CF36</f>
        <v>0</v>
      </c>
      <c r="CG36" s="3349">
        <f t="shared" ref="CG36" si="86">CE36+CF36</f>
        <v>0</v>
      </c>
      <c r="CH36" s="4697" t="e">
        <f>CG36/CG$89</f>
        <v>#DIV/0!</v>
      </c>
      <c r="CI36" s="3342"/>
      <c r="CJ36" s="3341">
        <f>R36+W36</f>
        <v>156610.82</v>
      </c>
      <c r="CK36" s="3341">
        <f>S36+X36</f>
        <v>0</v>
      </c>
      <c r="CL36" s="3349">
        <f>CJ36+CK36*1</f>
        <v>156610.82</v>
      </c>
      <c r="CM36" s="4697">
        <f>CL36/$CL$89</f>
        <v>3.0735154967571113E-3</v>
      </c>
      <c r="CN36" s="4699"/>
    </row>
    <row r="37" spans="1:92" s="1396" customFormat="1" ht="14.4" outlineLevel="1" thickBot="1">
      <c r="A37" s="1398"/>
      <c r="B37" s="4734"/>
      <c r="C37" s="3341"/>
      <c r="D37" s="3341"/>
      <c r="E37" s="4735"/>
      <c r="F37" s="4735"/>
      <c r="G37" s="4736"/>
      <c r="H37" s="3341"/>
      <c r="I37" s="3341"/>
      <c r="J37" s="4735"/>
      <c r="K37" s="4735"/>
      <c r="L37" s="4736"/>
      <c r="M37" s="3341"/>
      <c r="N37" s="3341"/>
      <c r="O37" s="4735"/>
      <c r="P37" s="4735"/>
      <c r="Q37" s="4736"/>
      <c r="R37" s="3427">
        <f>PL_Производство!BF37</f>
        <v>0</v>
      </c>
      <c r="S37" s="3427">
        <f>PL_Производство!BG37</f>
        <v>0</v>
      </c>
      <c r="T37" s="3456"/>
      <c r="U37" s="3456"/>
      <c r="V37" s="3456"/>
      <c r="W37" s="3342">
        <f t="shared" ref="W37:X37" si="87">AB37+AG37+AL37+AV37+BA37+BF37+BK37+BP37+BU37+BZ37+CE37</f>
        <v>0</v>
      </c>
      <c r="X37" s="3342">
        <f t="shared" si="87"/>
        <v>0</v>
      </c>
      <c r="Y37" s="3456"/>
      <c r="Z37" s="3456"/>
      <c r="AA37" s="3456"/>
      <c r="AB37" s="3341"/>
      <c r="AC37" s="3341"/>
      <c r="AD37" s="4735"/>
      <c r="AE37" s="4735"/>
      <c r="AF37" s="4736"/>
      <c r="AG37" s="3341"/>
      <c r="AH37" s="3341"/>
      <c r="AI37" s="4735"/>
      <c r="AJ37" s="4735"/>
      <c r="AK37" s="4736"/>
      <c r="AL37" s="3341"/>
      <c r="AM37" s="3341"/>
      <c r="AN37" s="4735"/>
      <c r="AO37" s="4735"/>
      <c r="AP37" s="4736"/>
      <c r="AQ37" s="3341"/>
      <c r="AR37" s="3341"/>
      <c r="AS37" s="4735"/>
      <c r="AT37" s="4735"/>
      <c r="AU37" s="4736"/>
      <c r="AV37" s="3341"/>
      <c r="AW37" s="3341"/>
      <c r="AX37" s="4735"/>
      <c r="AY37" s="4735"/>
      <c r="AZ37" s="4736"/>
      <c r="BA37" s="3341"/>
      <c r="BB37" s="3341"/>
      <c r="BC37" s="4735"/>
      <c r="BD37" s="4735"/>
      <c r="BE37" s="4736"/>
      <c r="BF37" s="3341"/>
      <c r="BG37" s="3341"/>
      <c r="BH37" s="4735"/>
      <c r="BI37" s="4735"/>
      <c r="BJ37" s="4736"/>
      <c r="BK37" s="3341"/>
      <c r="BL37" s="3341"/>
      <c r="BM37" s="4735"/>
      <c r="BN37" s="4735"/>
      <c r="BO37" s="4736"/>
      <c r="BP37" s="3341"/>
      <c r="BQ37" s="3341"/>
      <c r="BR37" s="4735"/>
      <c r="BS37" s="4735"/>
      <c r="BT37" s="4736"/>
      <c r="BU37" s="3341"/>
      <c r="BV37" s="3341"/>
      <c r="BW37" s="4735"/>
      <c r="BX37" s="4735"/>
      <c r="BY37" s="4736"/>
      <c r="BZ37" s="3341"/>
      <c r="CA37" s="3341"/>
      <c r="CB37" s="4735"/>
      <c r="CC37" s="4735"/>
      <c r="CD37" s="4736"/>
      <c r="CE37" s="3341"/>
      <c r="CF37" s="3341"/>
      <c r="CG37" s="4735"/>
      <c r="CH37" s="4735"/>
      <c r="CI37" s="4736"/>
      <c r="CJ37" s="3341"/>
      <c r="CK37" s="3341"/>
      <c r="CL37" s="4735"/>
      <c r="CM37" s="4735"/>
      <c r="CN37" s="4735"/>
    </row>
    <row r="38" spans="1:92"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0</v>
      </c>
      <c r="O38" s="3749">
        <f>(O5)-(O8)</f>
        <v>0</v>
      </c>
      <c r="P38" s="3749"/>
      <c r="Q38" s="3750"/>
      <c r="R38" s="3751">
        <f>(R5)-(R8)</f>
        <v>28027321.981999993</v>
      </c>
      <c r="S38" s="3751">
        <f>(S5)-(S8)</f>
        <v>-10528378.99</v>
      </c>
      <c r="T38" s="3749">
        <f>(T5)-(T8)</f>
        <v>17498942.991999999</v>
      </c>
      <c r="U38" s="3750"/>
      <c r="V38" s="3750"/>
      <c r="W38" s="3749">
        <f>(W5)-(W8)</f>
        <v>2730499.4786580438</v>
      </c>
      <c r="X38" s="3749">
        <f>(X5)-(X8)</f>
        <v>-1936807.9294105545</v>
      </c>
      <c r="Y38" s="3749">
        <f>(Y5)-(Y8)</f>
        <v>793691.54924748931</v>
      </c>
      <c r="Z38" s="3750"/>
      <c r="AA38" s="3750"/>
      <c r="AB38" s="3749">
        <f>(AB5)-(AB8)</f>
        <v>-307353.66399999993</v>
      </c>
      <c r="AC38" s="3749">
        <f>(AC5)-(AC8)</f>
        <v>-486773.54599999997</v>
      </c>
      <c r="AD38" s="3749">
        <f>(AD5)-(AD8)</f>
        <v>-794127.21</v>
      </c>
      <c r="AE38" s="3749"/>
      <c r="AF38" s="3750"/>
      <c r="AG38" s="3749">
        <f>(AG5)-(AG8)</f>
        <v>474187.45399999991</v>
      </c>
      <c r="AH38" s="3749">
        <f>(AH5)-(AH8)</f>
        <v>-486086.27</v>
      </c>
      <c r="AI38" s="3749">
        <f>(AI5)-(AI8)</f>
        <v>-11898.815999999875</v>
      </c>
      <c r="AJ38" s="3749"/>
      <c r="AK38" s="3750"/>
      <c r="AL38" s="3749">
        <f>(AL5)-(AL8)</f>
        <v>770499.86999999988</v>
      </c>
      <c r="AM38" s="3749">
        <f>(AM5)-(AM8)</f>
        <v>272669.85000000003</v>
      </c>
      <c r="AN38" s="3749">
        <f>(AN5)-(AN8)</f>
        <v>1043169.72</v>
      </c>
      <c r="AO38" s="3749"/>
      <c r="AP38" s="3750"/>
      <c r="AQ38" s="3749">
        <f>(AQ5)-(AQ8)</f>
        <v>645511.34400000004</v>
      </c>
      <c r="AR38" s="3749">
        <f>(AR5)-(AR8)</f>
        <v>-410270</v>
      </c>
      <c r="AS38" s="3749">
        <f>(AS5)-(AS8)</f>
        <v>235241.34400000004</v>
      </c>
      <c r="AT38" s="3749"/>
      <c r="AU38" s="3750"/>
      <c r="AV38" s="3749">
        <f>(AV5)-(AV8)</f>
        <v>1233311.06</v>
      </c>
      <c r="AW38" s="3749">
        <f>(AW5)-(AW8)</f>
        <v>-329892</v>
      </c>
      <c r="AX38" s="3749">
        <f>(AX5)-(AX8)</f>
        <v>903419.05999999994</v>
      </c>
      <c r="AY38" s="3749"/>
      <c r="AZ38" s="3750"/>
      <c r="BA38" s="3749">
        <f>(BA5)-(BA8)</f>
        <v>-85656.585341956408</v>
      </c>
      <c r="BB38" s="3749">
        <f>(BB5)-(BB8)</f>
        <v>-496455.96341055422</v>
      </c>
      <c r="BC38" s="3749">
        <f>(BC5)-(BC8)</f>
        <v>-582112.54875251057</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30757821.460658032</v>
      </c>
      <c r="CK38" s="3751">
        <f>(CK5)-(CK8)</f>
        <v>-12465186.919410553</v>
      </c>
      <c r="CL38" s="3751">
        <f>(CL5)-(CL8)</f>
        <v>18292634.54124748</v>
      </c>
      <c r="CM38" s="3749"/>
      <c r="CN38" s="3749"/>
    </row>
    <row r="39" spans="1:92"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753"/>
      <c r="S39" s="3753"/>
      <c r="T39" s="3459"/>
      <c r="U39" s="3459"/>
      <c r="V39" s="3459"/>
      <c r="W39" s="3459"/>
      <c r="X39" s="3459"/>
      <c r="Y39" s="3459"/>
      <c r="Z39" s="3459"/>
      <c r="AA39" s="3459"/>
      <c r="AB39" s="2003">
        <f>IFERROR(AB38/(AB5),0)</f>
        <v>-1.4580344592030356</v>
      </c>
      <c r="AC39" s="2003">
        <f>IFERROR(AC38/(AC5),0)</f>
        <v>0</v>
      </c>
      <c r="AD39" s="2004">
        <f>IFERROR(AD38/(AD5),0)</f>
        <v>-3.7672068785578747</v>
      </c>
      <c r="AE39" s="2004"/>
      <c r="AF39" s="1056"/>
      <c r="AG39" s="2003">
        <f>IFERROR(AG38/(AG5),0)</f>
        <v>0.43166295105363361</v>
      </c>
      <c r="AH39" s="2003">
        <f>IFERROR(AH38/(AH5),0)</f>
        <v>0</v>
      </c>
      <c r="AI39" s="2004">
        <f>IFERROR(AI38/(AI5),0)</f>
        <v>-1.0831745937766079E-2</v>
      </c>
      <c r="AJ39" s="2004"/>
      <c r="AK39" s="1056"/>
      <c r="AL39" s="2003">
        <f>IFERROR(AL38/(AL5),0)</f>
        <v>0.42354200792587121</v>
      </c>
      <c r="AM39" s="2003">
        <f>IFERROR(AM38/(AM5),0)</f>
        <v>0.34777359157644377</v>
      </c>
      <c r="AN39" s="2004">
        <f>IFERROR(AN38/(AN5),0)</f>
        <v>0.40072194273885225</v>
      </c>
      <c r="AO39" s="2004"/>
      <c r="AP39" s="1056"/>
      <c r="AQ39" s="2003">
        <f>IFERROR(AQ38/(AQ5),0)</f>
        <v>0.49046558795107625</v>
      </c>
      <c r="AR39" s="2003">
        <f>IFERROR(AR38/(AR5),0)</f>
        <v>0</v>
      </c>
      <c r="AS39" s="2004">
        <f>IFERROR(AS38/(AS5),0)</f>
        <v>0.17873858479450888</v>
      </c>
      <c r="AT39" s="2004"/>
      <c r="AU39" s="1056"/>
      <c r="AV39" s="2003">
        <f>IFERROR(AV38/(AV5),0)</f>
        <v>0.68702477034928178</v>
      </c>
      <c r="AW39" s="2003">
        <f>IFERROR(AW38/(AW5),0)</f>
        <v>0</v>
      </c>
      <c r="AX39" s="2004">
        <f>IFERROR(AX38/(AX5),0)</f>
        <v>0.50325606601278994</v>
      </c>
      <c r="AY39" s="2004"/>
      <c r="AZ39" s="1056"/>
      <c r="BA39" s="2003">
        <f>IFERROR(BA38/(BA5),0)</f>
        <v>-0.42828292670978202</v>
      </c>
      <c r="BB39" s="2003">
        <f>IFERROR(BB38/(BB5),0)</f>
        <v>0</v>
      </c>
      <c r="BC39" s="2004">
        <f>IFERROR(BC38/(BC5),0)</f>
        <v>-2.910562743762553</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0.51489212405351781</v>
      </c>
      <c r="CK39" s="2003">
        <f>IFERROR(CK38/(CK5),0)</f>
        <v>-15.898577802551747</v>
      </c>
      <c r="CL39" s="2004">
        <f>IFERROR(CL38/(CL5),0)</f>
        <v>0.30225526767684258</v>
      </c>
      <c r="CM39" s="2004"/>
      <c r="CN39" s="2004"/>
    </row>
    <row r="40" spans="1:92" ht="14.4" outlineLevel="1" thickBot="1">
      <c r="A40" s="1567"/>
      <c r="B40" s="4742"/>
      <c r="C40" s="4743"/>
      <c r="D40" s="4743"/>
      <c r="E40" s="4743"/>
      <c r="F40" s="4743"/>
      <c r="G40" s="4744"/>
      <c r="H40" s="4743"/>
      <c r="I40" s="4743"/>
      <c r="J40" s="4743"/>
      <c r="K40" s="4743"/>
      <c r="L40" s="4744"/>
      <c r="M40" s="4743"/>
      <c r="N40" s="4743"/>
      <c r="O40" s="4743"/>
      <c r="P40" s="4743"/>
      <c r="Q40" s="4744"/>
      <c r="R40" s="4822"/>
      <c r="S40" s="4822"/>
      <c r="T40" s="4744"/>
      <c r="U40" s="4744"/>
      <c r="V40" s="4744"/>
      <c r="W40" s="4744"/>
      <c r="X40" s="4744"/>
      <c r="Y40" s="4744"/>
      <c r="Z40" s="4744"/>
      <c r="AA40" s="4744"/>
      <c r="AB40" s="4743"/>
      <c r="AC40" s="4743"/>
      <c r="AD40" s="4743"/>
      <c r="AE40" s="4743"/>
      <c r="AF40" s="4744"/>
      <c r="AG40" s="4743"/>
      <c r="AH40" s="4743"/>
      <c r="AI40" s="4743"/>
      <c r="AJ40" s="4743"/>
      <c r="AK40" s="4744"/>
      <c r="AL40" s="4743"/>
      <c r="AM40" s="4743"/>
      <c r="AN40" s="4743"/>
      <c r="AO40" s="4743"/>
      <c r="AP40" s="4744"/>
      <c r="AQ40" s="4743"/>
      <c r="AR40" s="4743"/>
      <c r="AS40" s="4743"/>
      <c r="AT40" s="4743"/>
      <c r="AU40" s="4744"/>
      <c r="AV40" s="4743"/>
      <c r="AW40" s="4743"/>
      <c r="AX40" s="4743"/>
      <c r="AY40" s="4743"/>
      <c r="AZ40" s="4744"/>
      <c r="BA40" s="4743"/>
      <c r="BB40" s="4743"/>
      <c r="BC40" s="4743"/>
      <c r="BD40" s="4743"/>
      <c r="BE40" s="4744"/>
      <c r="BF40" s="4743"/>
      <c r="BG40" s="4743"/>
      <c r="BH40" s="4743"/>
      <c r="BI40" s="4743"/>
      <c r="BJ40" s="4744"/>
      <c r="BK40" s="4743"/>
      <c r="BL40" s="4743"/>
      <c r="BM40" s="4743"/>
      <c r="BN40" s="4743"/>
      <c r="BO40" s="4744"/>
      <c r="BP40" s="4743"/>
      <c r="BQ40" s="4743"/>
      <c r="BR40" s="4743"/>
      <c r="BS40" s="4743"/>
      <c r="BT40" s="4744"/>
      <c r="BU40" s="4743"/>
      <c r="BV40" s="4743"/>
      <c r="BW40" s="4743"/>
      <c r="BX40" s="4743"/>
      <c r="BY40" s="4744"/>
      <c r="BZ40" s="4743"/>
      <c r="CA40" s="4743"/>
      <c r="CB40" s="4743"/>
      <c r="CC40" s="4743"/>
      <c r="CD40" s="4744"/>
      <c r="CE40" s="4743"/>
      <c r="CF40" s="4743"/>
      <c r="CG40" s="4743"/>
      <c r="CH40" s="4743"/>
      <c r="CI40" s="4744"/>
      <c r="CJ40" s="4743"/>
      <c r="CK40" s="4743"/>
      <c r="CL40" s="4743"/>
      <c r="CM40" s="4743"/>
      <c r="CN40" s="4743"/>
    </row>
    <row r="41" spans="1:92" ht="13.8" outlineLevel="1">
      <c r="A41" s="1405"/>
      <c r="B41" s="1415" t="s">
        <v>26</v>
      </c>
      <c r="C41" s="2013">
        <f>SUM(C42:C48)</f>
        <v>0</v>
      </c>
      <c r="D41" s="2013">
        <f>SUM(D42:D48)</f>
        <v>0</v>
      </c>
      <c r="E41" s="2014">
        <f>SUM(E42:E48)</f>
        <v>0</v>
      </c>
      <c r="F41" s="4749" t="e">
        <f>E41/$E$89</f>
        <v>#DIV/0!</v>
      </c>
      <c r="G41" s="1057"/>
      <c r="H41" s="2013">
        <f>SUM(H42:H48)</f>
        <v>0</v>
      </c>
      <c r="I41" s="2013">
        <f>SUM(I42:I48)</f>
        <v>0</v>
      </c>
      <c r="J41" s="2014">
        <f>SUM(J42:J48)</f>
        <v>0</v>
      </c>
      <c r="K41" s="4749" t="e">
        <f>J41/$E$89</f>
        <v>#DIV/0!</v>
      </c>
      <c r="L41" s="1057"/>
      <c r="M41" s="2013">
        <f>SUM(M42:M48)</f>
        <v>0</v>
      </c>
      <c r="N41" s="2013">
        <f>SUM(N42:N48)</f>
        <v>0</v>
      </c>
      <c r="O41" s="2014">
        <f>SUM(O42:O48)</f>
        <v>0</v>
      </c>
      <c r="P41" s="4749" t="e">
        <f>O41/$E$89</f>
        <v>#DIV/0!</v>
      </c>
      <c r="Q41" s="1057"/>
      <c r="R41" s="2013">
        <f>SUM(R42:R48)</f>
        <v>121635.43</v>
      </c>
      <c r="S41" s="2013">
        <f>SUM(S42:S48)</f>
        <v>35878.660000000003</v>
      </c>
      <c r="T41" s="2014">
        <f>SUM(T42:T48)</f>
        <v>157514.08999999997</v>
      </c>
      <c r="U41" s="4749"/>
      <c r="V41" s="3460"/>
      <c r="W41" s="2013">
        <f>SUM(W42:W48)</f>
        <v>27808.370000000003</v>
      </c>
      <c r="X41" s="2013">
        <f>SUM(X42:X48)</f>
        <v>5336</v>
      </c>
      <c r="Y41" s="2014">
        <f>SUM(Y42:Y48)</f>
        <v>33144.370000000003</v>
      </c>
      <c r="Z41" s="4749"/>
      <c r="AA41" s="3460"/>
      <c r="AB41" s="2013">
        <f>SUM(AB42:AB48)</f>
        <v>3567.56</v>
      </c>
      <c r="AC41" s="2013">
        <f>SUM(AC42:AC48)</f>
        <v>0</v>
      </c>
      <c r="AD41" s="2014">
        <f>SUM(AD42:AD48)</f>
        <v>3567.56</v>
      </c>
      <c r="AE41" s="4749"/>
      <c r="AF41" s="1057"/>
      <c r="AG41" s="2013">
        <f>SUM(AG42:AG48)</f>
        <v>5005.0599999999995</v>
      </c>
      <c r="AH41" s="2013">
        <f>SUM(AH42:AH48)</f>
        <v>0</v>
      </c>
      <c r="AI41" s="2014">
        <f>SUM(AI42:AI48)</f>
        <v>5005.0599999999995</v>
      </c>
      <c r="AJ41" s="4749"/>
      <c r="AK41" s="1057"/>
      <c r="AL41" s="2013">
        <f>SUM(AL42:AL48)</f>
        <v>4000.1800000000003</v>
      </c>
      <c r="AM41" s="2013">
        <f>SUM(AM42:AM48)</f>
        <v>0</v>
      </c>
      <c r="AN41" s="2014">
        <f>SUM(AN42:AN48)</f>
        <v>4000.1800000000003</v>
      </c>
      <c r="AO41" s="4749"/>
      <c r="AP41" s="1057"/>
      <c r="AQ41" s="2013">
        <f>SUM(AQ42:AQ48)</f>
        <v>9675.57</v>
      </c>
      <c r="AR41" s="2013">
        <f>SUM(AR42:AR48)</f>
        <v>86</v>
      </c>
      <c r="AS41" s="2014">
        <f>SUM(AS42:AS48)</f>
        <v>9761.57</v>
      </c>
      <c r="AT41" s="4749"/>
      <c r="AU41" s="1057"/>
      <c r="AV41" s="2013">
        <f>SUM(AV42:AV48)</f>
        <v>3215</v>
      </c>
      <c r="AW41" s="2013">
        <f>SUM(AW42:AW48)</f>
        <v>2450</v>
      </c>
      <c r="AX41" s="2014">
        <f>SUM(AX42:AX48)</f>
        <v>5665</v>
      </c>
      <c r="AY41" s="4749"/>
      <c r="AZ41" s="1057"/>
      <c r="BA41" s="2013">
        <f>SUM(BA42:BA48)</f>
        <v>2345</v>
      </c>
      <c r="BB41" s="2013">
        <f>SUM(BB42:BB48)</f>
        <v>2800</v>
      </c>
      <c r="BC41" s="2014">
        <f>SUM(BC42:BC48)</f>
        <v>5145</v>
      </c>
      <c r="BD41" s="4749"/>
      <c r="BE41" s="1057"/>
      <c r="BF41" s="2013">
        <f>SUM(BF42:BF48)</f>
        <v>0</v>
      </c>
      <c r="BG41" s="2013">
        <f>SUM(BG42:BG48)</f>
        <v>0</v>
      </c>
      <c r="BH41" s="2014">
        <f>SUM(BH42:BH48)</f>
        <v>0</v>
      </c>
      <c r="BI41" s="4749"/>
      <c r="BJ41" s="1057"/>
      <c r="BK41" s="2013">
        <f>SUM(BK42:BK48)</f>
        <v>0</v>
      </c>
      <c r="BL41" s="2013">
        <f>SUM(BL42:BL48)</f>
        <v>0</v>
      </c>
      <c r="BM41" s="2014">
        <f>SUM(BM42:BM48)</f>
        <v>0</v>
      </c>
      <c r="BN41" s="4749"/>
      <c r="BO41" s="1057"/>
      <c r="BP41" s="2013">
        <f>SUM(BP42:BP48)</f>
        <v>0</v>
      </c>
      <c r="BQ41" s="2013">
        <f>SUM(BQ42:BQ48)</f>
        <v>0</v>
      </c>
      <c r="BR41" s="2014">
        <f>SUM(BR42:BR48)</f>
        <v>0</v>
      </c>
      <c r="BS41" s="4749"/>
      <c r="BT41" s="1057"/>
      <c r="BU41" s="2013">
        <f>SUM(BU42:BU48)</f>
        <v>0</v>
      </c>
      <c r="BV41" s="2013">
        <f>SUM(BV42:BV48)</f>
        <v>0</v>
      </c>
      <c r="BW41" s="2014">
        <f>SUM(BW42:BW48)</f>
        <v>0</v>
      </c>
      <c r="BX41" s="4749"/>
      <c r="BY41" s="1057"/>
      <c r="BZ41" s="2013">
        <f>SUM(BZ42:BZ48)</f>
        <v>0</v>
      </c>
      <c r="CA41" s="2013">
        <f>SUM(CA42:CA48)</f>
        <v>0</v>
      </c>
      <c r="CB41" s="2014">
        <f>SUM(CB42:CB48)</f>
        <v>0</v>
      </c>
      <c r="CC41" s="4749"/>
      <c r="CD41" s="1057"/>
      <c r="CE41" s="2013">
        <f>SUM(CE42:CE48)</f>
        <v>0</v>
      </c>
      <c r="CF41" s="2013">
        <f>SUM(CF42:CF48)</f>
        <v>0</v>
      </c>
      <c r="CG41" s="2014">
        <f>SUM(CG42:CG48)</f>
        <v>0</v>
      </c>
      <c r="CH41" s="4749"/>
      <c r="CI41" s="1057"/>
      <c r="CJ41" s="2013">
        <f>SUM(CJ42:CJ48)</f>
        <v>149443.79999999999</v>
      </c>
      <c r="CK41" s="2013">
        <f>SUM(CK42:CK48)</f>
        <v>41214.660000000003</v>
      </c>
      <c r="CL41" s="2014">
        <f>SUM(CL42:CL48)</f>
        <v>190658.46000000002</v>
      </c>
      <c r="CM41" s="4749">
        <f t="shared" ref="CM41:CM49" si="88">CL41/$CL$89</f>
        <v>3.7417065525730971E-3</v>
      </c>
      <c r="CN41" s="2006"/>
    </row>
    <row r="42" spans="1:92" ht="13.8" outlineLevel="2">
      <c r="A42" s="4833"/>
      <c r="B42" s="4750" t="s">
        <v>7</v>
      </c>
      <c r="C42" s="3341"/>
      <c r="D42" s="3341"/>
      <c r="E42" s="3349">
        <f t="shared" ref="E42:E48" si="89">C42+D42</f>
        <v>0</v>
      </c>
      <c r="F42" s="4697" t="e">
        <f t="shared" ref="F42:F48" si="90">E42/$E$89</f>
        <v>#DIV/0!</v>
      </c>
      <c r="G42" s="4751"/>
      <c r="H42" s="3341"/>
      <c r="I42" s="3341"/>
      <c r="J42" s="3349">
        <f t="shared" ref="J42:J48" si="91">H42+I42</f>
        <v>0</v>
      </c>
      <c r="K42" s="4697" t="e">
        <f t="shared" ref="K42:K48" si="92">J42/J$89</f>
        <v>#DIV/0!</v>
      </c>
      <c r="L42" s="4751"/>
      <c r="M42" s="3341"/>
      <c r="N42" s="3341"/>
      <c r="O42" s="3349">
        <f t="shared" ref="O42:O48" si="93">M42+N42</f>
        <v>0</v>
      </c>
      <c r="P42" s="4697" t="e">
        <f t="shared" ref="P42:P48" si="94">O42/O$89</f>
        <v>#DIV/0!</v>
      </c>
      <c r="Q42" s="4751"/>
      <c r="R42" s="3427">
        <f>PL_Производство!BF42</f>
        <v>0</v>
      </c>
      <c r="S42" s="3427">
        <f>PL_Производство!BG42</f>
        <v>0</v>
      </c>
      <c r="T42" s="2012">
        <f t="shared" ref="T42:T48" si="95">R42+S42</f>
        <v>0</v>
      </c>
      <c r="U42" s="3462"/>
      <c r="V42" s="3462"/>
      <c r="W42" s="3342">
        <f t="shared" ref="W42:X48" si="96">AB42+AG42+AL42+AV42+BA42+BF42+BK42+BP42+BU42+BZ42+CE42+AQ42</f>
        <v>0</v>
      </c>
      <c r="X42" s="3342">
        <f t="shared" si="96"/>
        <v>0</v>
      </c>
      <c r="Y42" s="2012">
        <f t="shared" ref="Y42:Y48" si="97">W42+X42</f>
        <v>0</v>
      </c>
      <c r="Z42" s="3462"/>
      <c r="AA42" s="3462"/>
      <c r="AB42" s="3341">
        <f>PL_ЦО_Производство!AB42+'МД ООН'!AB42+'МК Ладыжин-3'!AB42+'МК Староконстантинов'!AB42+'МК Армокаркасы'!AB42+'МК Щедро. Флекситанки'!AB42+'МК ЛифтМаркет'!AB42+'МК Укркотлопром'!AB42+'МК Подгорцы.Забор'!AB42+PL_Металлизация!BP42+'МД Бытовка ИТР Нежин'!AB42+'МК Металургбуд.поддоны'!AB42</f>
        <v>0</v>
      </c>
      <c r="AC42" s="3341">
        <f>PL_ЦО_Производство!AC42+'МД ООН'!AC42+'МК Ладыжин-3'!AC42+'МК Староконстантинов'!AC42+'МК Армокаркасы'!AC42+'МК Щедро. Флекситанки'!AC42+'МК ЛифтМаркет'!AC42+'МК Укркотлопром'!AC42+'МК Подгорцы.Забор'!AC42+PL_Металлизация!BQ42+'МД Бытовка ИТР Нежин'!AC42+'МК Металургбуд.поддоны'!AC42</f>
        <v>0</v>
      </c>
      <c r="AD42" s="3349">
        <f t="shared" ref="AD42:AD48" si="98">AB42+AC42</f>
        <v>0</v>
      </c>
      <c r="AE42" s="4697">
        <f t="shared" ref="AE42:AE49" si="99">AD42/AD$89</f>
        <v>0</v>
      </c>
      <c r="AF42" s="4751"/>
      <c r="AG42" s="3341">
        <f>PL_ЦО_Производство!AG42+'МД ООН'!AG42+'МК Ладыжин-3'!AG42+'МК Староконстантинов'!AG42+'МК Армокаркасы'!AG42+'МК Щедро. Флекситанки'!AG42+'МК ЛифтМаркет'!AG42+'МК Укркотлопром'!AG42+'МК Подгорцы.Забор'!AG42+PL_Металлизация!BU42+'МД Бытовка ИТР Нежин'!AG42+'МК Металургбуд.поддоны'!AG42</f>
        <v>0</v>
      </c>
      <c r="AH42" s="3341">
        <f>PL_ЦО_Производство!AH42+'МД ООН'!AH42+'МК Ладыжин-3'!AH42+'МК Староконстантинов'!AH42+'МК Армокаркасы'!AH42+'МК Щедро. Флекситанки'!AH42+'МК ЛифтМаркет'!AH42+'МК Укркотлопром'!AH42+'МК Подгорцы.Забор'!AH42+PL_Металлизация!BV42+'МД Бытовка ИТР Нежин'!AH42+'МК Металургбуд.поддоны'!AH42</f>
        <v>0</v>
      </c>
      <c r="AI42" s="3349">
        <f t="shared" ref="AI42:AI48" si="100">AG42+AH42</f>
        <v>0</v>
      </c>
      <c r="AJ42" s="4697">
        <f t="shared" ref="AJ42:AJ49" si="101">AI42/AI$89</f>
        <v>0</v>
      </c>
      <c r="AK42" s="4751"/>
      <c r="AL42" s="3341">
        <f>PL_ЦО_Производство!AL42+'МД ООН'!AL42+'МК Ладыжин-3'!AL42+'МК Староконстантинов'!AL42+'МК Армокаркасы'!AL42+'МК Щедро. Флекситанки'!AL42+'МК ЛифтМаркет'!AL42+'МК Укркотлопром'!AL42+'МК Подгорцы.Забор'!AL42+PL_Металлизация!BZ42+'МД Бытовка ИТР Нежин'!AL42+'МК Металургбуд.поддоны'!AL42+'МК Нежин-3'!AL42</f>
        <v>0</v>
      </c>
      <c r="AM42" s="3341">
        <f>PL_ЦО_Производство!AM42+'МД ООН'!AM42+'МК Ладыжин-3'!AM42+'МК Староконстантинов'!AM42+'МК Армокаркасы'!AM42+'МК Щедро. Флекситанки'!AM42+'МК ЛифтМаркет'!AM42+'МК Укркотлопром'!AM42+'МК Подгорцы.Забор'!AM42+PL_Металлизация!CA42+'МД Бытовка ИТР Нежин'!AM42+'МК Металургбуд.поддоны'!AM42+'МК Нежин-3'!AM42</f>
        <v>0</v>
      </c>
      <c r="AN42" s="3349">
        <f t="shared" ref="AN42:AN48" si="102">AL42+AM42</f>
        <v>0</v>
      </c>
      <c r="AO42" s="4697">
        <f t="shared" ref="AO42:AO49" si="103">AN42/AN$89</f>
        <v>0</v>
      </c>
      <c r="AP42" s="4751"/>
      <c r="AQ42" s="3341">
        <f>PL_ЦО_Производство!AQ42+'МД ООН'!AQ42+'МК Ладыжин-3'!AQ42+'МК Староконстантинов'!AQ42+'МК Армокаркасы'!AQ42+'МК Щедро. Флекситанки'!AQ42+'МК ЛифтМаркет'!AQ42+'МК Укркотлопром'!AQ42+'МК Подгорцы.Забор'!AQ42+PL_Металлизация!CE42+'МД Бытовка ИТР Нежин'!AQ42+'МК Металургбуд.поддоны'!AQ42+'МК Нежин-3'!AQ42</f>
        <v>0</v>
      </c>
      <c r="AR42" s="3341">
        <f>PL_ЦО_Производство!AR42+'МД ООН'!AR42+'МК Ладыжин-3'!AR42+'МК Староконстантинов'!AR42+'МК Армокаркасы'!AR42+'МК Щедро. Флекситанки'!AR42+'МК ЛифтМаркет'!AR42+'МК Укркотлопром'!AR42+'МК Подгорцы.Забор'!AR42+PL_Металлизация!CF42+'МД Бытовка ИТР Нежин'!AR42+'МК Металургбуд.поддоны'!AR42+'МК Нежин-3'!AR42</f>
        <v>0</v>
      </c>
      <c r="AS42" s="3349">
        <f t="shared" ref="AS42:AS48" si="104">AQ42+AR42</f>
        <v>0</v>
      </c>
      <c r="AT42" s="4697">
        <f t="shared" ref="AT42:AT49" si="105">AS42/AS$89</f>
        <v>0</v>
      </c>
      <c r="AU42" s="4751"/>
      <c r="AV42" s="3341">
        <f>PL_ЦО_Производство!AV42+'МД ООН'!AV42+'МК Армокаркасы'!AV42+'МК Подгорцы.Забор'!AV42+'МК Нежин-3'!AV42+'МК РДК.Кран'!AV42+'МК Ворота.Запорожье'!AV42+'МД ВООЗ'!AV42+'МД Казарма.Рекламация'!AV42</f>
        <v>0</v>
      </c>
      <c r="AW42" s="3341">
        <f>PL_ЦО_Производство!AW42+'МД ООН'!AW42+'МК Армокаркасы'!AW42+'МК Подгорцы.Забор'!AW42+'МК Нежин-3'!AW42+'МК РДК.Кран'!AW42+'МК Ворота.Запорожье'!AW42+'МД ВООЗ'!AW42+'МД Казарма.Рекламация'!AW42</f>
        <v>0</v>
      </c>
      <c r="AX42" s="3349">
        <f t="shared" ref="AX42:AX48" si="106">AV42+AW42</f>
        <v>0</v>
      </c>
      <c r="AY42" s="4697">
        <f t="shared" ref="AY42:AY49" si="107">AX42/AX$89</f>
        <v>0</v>
      </c>
      <c r="AZ42" s="4751"/>
      <c r="BA42" s="3341">
        <f>PL_ЦО_Производство!BA42+'МД ООН'!BA42+'МК Ладыжин-3'!BA42+'МК Староконстантинов'!BA42+'МК Армокаркасы'!BA42+'МК Щедро. Флекситанки'!BA42+'МК ЛифтМаркет'!BA42+'МК Укркотлопром'!BA42+'МК Подгорцы.Забор'!BA42+PL_Металлизация!CO42+'МД Бытовка ИТР Нежин'!BA42+'МК Металургбуд.поддоны'!BA42+'МК Нежин-3'!BA42+'МК РДК.Кран'!BA42+'МК Ворота.Запорожье'!BA42+'МД ВООЗ'!BA42+'МД Казарма.Рекламация'!BA42</f>
        <v>0</v>
      </c>
      <c r="BB42" s="3341">
        <f>PL_ЦО_Производство!BB42+'МД ООН'!BB42+'МК Ладыжин-3'!BB42+'МК Староконстантинов'!BB42+'МК Армокаркасы'!BB42+'МК Щедро. Флекситанки'!BB42+'МК ЛифтМаркет'!BB42+'МК Укркотлопром'!BB42+'МК Подгорцы.Забор'!BB42+PL_Металлизация!CP42+'МД Бытовка ИТР Нежин'!BB42+'МК Металургбуд.поддоны'!BB42+'МК Нежин-3'!BB42+'МК РДК.Кран'!BB42+'МК Ворота.Запорожье'!BB42+'МД ВООЗ'!BB42+'МД Казарма.Рекламация'!BB42</f>
        <v>0</v>
      </c>
      <c r="BC42" s="3349">
        <f t="shared" ref="BC42:BC48" si="108">BA42+BB42</f>
        <v>0</v>
      </c>
      <c r="BD42" s="4697">
        <f t="shared" ref="BD42:BD49" si="109">BC42/BC$89</f>
        <v>0</v>
      </c>
      <c r="BE42" s="4751"/>
      <c r="BF42" s="3341">
        <f>PL_ЦО_Производство!BF42+'МД ООН'!BF42+'МК Ладыжин-3'!BF42+'МК Староконстантинов'!BF42+'МК Армокаркасы'!BF42+'МК Щедро. Флекситанки'!BF42+'МК ЛифтМаркет'!BF42+'МК Укркотлопром'!BF42+'МК Подгорцы.Забор'!BF42+PL_Металлизация!CT42+'МД Бытовка ИТР Нежин'!BF42+'МК Металургбуд.поддоны'!BF42+'МК Нежин-3'!BF42+'МК РДК.Кран'!BF42+'МК Ворота.Запорожье'!BF42+'МД ВООЗ'!BF42+'МД Казарма.Рекламация'!BF42</f>
        <v>0</v>
      </c>
      <c r="BG42" s="3341">
        <f>PL_ЦО_Производство!BG42+'МД ООН'!BG42+'МК Ладыжин-3'!BG42+'МК Староконстантинов'!BG42+'МК Армокаркасы'!BG42+'МК Щедро. Флекситанки'!BG42+'МК ЛифтМаркет'!BG42+'МК Укркотлопром'!BG42+'МК Подгорцы.Забор'!BG42+PL_Металлизация!CU42+'МД Бытовка ИТР Нежин'!BG42+'МК Металургбуд.поддоны'!BG42+'МК Нежин-3'!BG42+'МК РДК.Кран'!BG42+'МК Ворота.Запорожье'!BG42+'МД ВООЗ'!BG42+'МД Казарма.Рекламация'!BG42</f>
        <v>0</v>
      </c>
      <c r="BH42" s="3349">
        <f t="shared" ref="BH42:BH48" si="110">BF42+BG42</f>
        <v>0</v>
      </c>
      <c r="BI42" s="4697" t="e">
        <f t="shared" ref="BI42:BI49" si="111">BH42/BH$89</f>
        <v>#DIV/0!</v>
      </c>
      <c r="BJ42" s="4751"/>
      <c r="BK42" s="3341">
        <f>PL_ЦО_Производство!BK42+'МД ООН'!BK42+'МК Ладыжин-3'!BK42+'МК Староконстантинов'!BK42+'МК Армокаркасы'!BK42+'МК Щедро. Флекситанки'!BK42+'МК ЛифтМаркет'!BK42+'МК Укркотлопром'!BK42+'МК Подгорцы.Забор'!BK42+PL_Металлизация!CY42+'МД Бытовка ИТР Нежин'!BK42+'МК Металургбуд.поддоны'!BK42+'МК Нежин-3'!BK42+'МК РДК.Кран'!BK42+'МК Ворота.Запорожье'!BK42+'МД ВООЗ'!BK42+'МД Казарма.Рекламация'!BK42</f>
        <v>0</v>
      </c>
      <c r="BL42" s="3341">
        <f>PL_ЦО_Производство!BL42+'МД ООН'!BL42+'МК Ладыжин-3'!BL42+'МК Староконстантинов'!BL42+'МК Армокаркасы'!BL42+'МК Щедро. Флекситанки'!BL42+'МК ЛифтМаркет'!BL42+'МК Укркотлопром'!BL42+'МК Подгорцы.Забор'!BL42+PL_Металлизация!CZ42+'МД Бытовка ИТР Нежин'!BL42+'МК Металургбуд.поддоны'!BL42+'МК Нежин-3'!BL42+'МК РДК.Кран'!BL42+'МК Ворота.Запорожье'!BL42+'МД ВООЗ'!BL42+'МД Казарма.Рекламация'!BL42</f>
        <v>0</v>
      </c>
      <c r="BM42" s="3349">
        <f t="shared" ref="BM42:BM48" si="112">BK42+BL42</f>
        <v>0</v>
      </c>
      <c r="BN42" s="4697" t="e">
        <f t="shared" ref="BN42:BN49" si="113">BM42/BM$89</f>
        <v>#DIV/0!</v>
      </c>
      <c r="BO42" s="4751"/>
      <c r="BP42" s="3341">
        <f>PL_ЦО_Производство!BP42+'МД ООН'!BP42+'МК Ладыжин-3'!BP42+'МК Староконстантинов'!BP42+'МК Армокаркасы'!BP42+'МК Щедро. Флекситанки'!BP42+'МК ЛифтМаркет'!BP42+'МК Укркотлопром'!BP42+'МК Подгорцы.Забор'!BP42+PL_Металлизация!DD42+'МД Бытовка ИТР Нежин'!BP42+'МК Металургбуд.поддоны'!BP42+'МК Нежин-3'!BP42+'МК РДК.Кран'!BP42+'МК Ворота.Запорожье'!BP42+'МД ВООЗ'!BP42+'МД Казарма.Рекламация'!BP42</f>
        <v>0</v>
      </c>
      <c r="BQ42" s="3341">
        <f>PL_ЦО_Производство!BQ42+'МД ООН'!BQ42+'МК Ладыжин-3'!BQ42+'МК Староконстантинов'!BQ42+'МК Армокаркасы'!BQ42+'МК Щедро. Флекситанки'!BQ42+'МК ЛифтМаркет'!BQ42+'МК Укркотлопром'!BQ42+'МК Подгорцы.Забор'!BQ42+PL_Металлизация!DE42+'МД Бытовка ИТР Нежин'!BQ42+'МК Металургбуд.поддоны'!BQ42+'МК Нежин-3'!BQ42+'МК РДК.Кран'!BQ42+'МК Ворота.Запорожье'!BQ42+'МД ВООЗ'!BQ42+'МД Казарма.Рекламация'!BQ42</f>
        <v>0</v>
      </c>
      <c r="BR42" s="3349">
        <f t="shared" ref="BR42:BR48" si="114">BP42+BQ42</f>
        <v>0</v>
      </c>
      <c r="BS42" s="4697" t="e">
        <f t="shared" ref="BS42:BS49" si="115">BR42/BR$89</f>
        <v>#DIV/0!</v>
      </c>
      <c r="BT42" s="4751"/>
      <c r="BU42" s="3341">
        <f>PL_ЦО_Производство!BU42+'МД ООН'!BU42+'МК Ладыжин-3'!BU42+'МК Староконстантинов'!BU42+'МК Армокаркасы'!BU42+'МК Щедро. Флекситанки'!BU42+'МК ЛифтМаркет'!BU42+'МК Укркотлопром'!BU42+'МК Подгорцы.Забор'!BU42+PL_Металлизация!DI42+'МД Бытовка ИТР Нежин'!BU42+'МК Металургбуд.поддоны'!BU42+'МК Нежин-3'!BU42+'МК РДК.Кран'!BU42+'МК Ворота.Запорожье'!BU42+'МД ВООЗ'!BU42+'МД Казарма.Рекламация'!BU42</f>
        <v>0</v>
      </c>
      <c r="BV42" s="3341">
        <f>PL_ЦО_Производство!BV42+'МД ООН'!BV42+'МК Ладыжин-3'!BV42+'МК Староконстантинов'!BV42+'МК Армокаркасы'!BV42+'МК Щедро. Флекситанки'!BV42+'МК ЛифтМаркет'!BV42+'МК Укркотлопром'!BV42+'МК Подгорцы.Забор'!BV42+PL_Металлизация!DJ42+'МД Бытовка ИТР Нежин'!BV42+'МК Металургбуд.поддоны'!BV42+'МК Нежин-3'!BV42+'МК РДК.Кран'!BV42+'МК Ворота.Запорожье'!BV42+'МД ВООЗ'!BV42+'МД Казарма.Рекламация'!BV42</f>
        <v>0</v>
      </c>
      <c r="BW42" s="3349">
        <f t="shared" ref="BW42:BW48" si="116">BU42+BV42</f>
        <v>0</v>
      </c>
      <c r="BX42" s="4697" t="e">
        <f t="shared" ref="BX42:BX49" si="117">BW42/BW$89</f>
        <v>#DIV/0!</v>
      </c>
      <c r="BY42" s="4751"/>
      <c r="BZ42" s="3341">
        <f>PL_ЦО_Производство!BZ42+'МД ООН'!BZ42+'МК Ладыжин-3'!BZ42+'МК Староконстантинов'!BZ42+'МК Армокаркасы'!BZ42+'МК Щедро. Флекситанки'!BZ42+'МК ЛифтМаркет'!BZ42+'МК Укркотлопром'!BZ42+'МК Подгорцы.Забор'!BZ42+PL_Металлизация!DN42+'МД Бытовка ИТР Нежин'!BZ42+'МК Металургбуд.поддоны'!BZ42+'МК Нежин-3'!BZ42+'МК РДК.Кран'!BZ42+'МК Ворота.Запорожье'!BZ42+'МД ВООЗ'!BZ42+'МД Казарма.Рекламация'!BZ42</f>
        <v>0</v>
      </c>
      <c r="CA42" s="3341">
        <f>PL_ЦО_Производство!CA42+'МД ООН'!CA42+'МК Ладыжин-3'!CA42+'МК Староконстантинов'!CA42+'МК Армокаркасы'!CA42+'МК Щедро. Флекситанки'!CA42+'МК ЛифтМаркет'!CA42+'МК Укркотлопром'!CA42+'МК Подгорцы.Забор'!CA42+PL_Металлизация!DO42+'МД Бытовка ИТР Нежин'!CA42+'МК Металургбуд.поддоны'!CA42+'МК Нежин-3'!CA42+'МК РДК.Кран'!CA42+'МК Ворота.Запорожье'!CA42+'МД ВООЗ'!CA42+'МД Казарма.Рекламация'!CA42</f>
        <v>0</v>
      </c>
      <c r="CB42" s="3349">
        <f t="shared" ref="CB42:CB48" si="118">BZ42+CA42</f>
        <v>0</v>
      </c>
      <c r="CC42" s="4697" t="e">
        <f t="shared" ref="CC42:CC49" si="119">CB42/CB$89</f>
        <v>#DIV/0!</v>
      </c>
      <c r="CD42" s="4751"/>
      <c r="CE42" s="3341">
        <f>PL_ЦО_Производство!CE42+'МД ООН'!CE42+'МК Ладыжин-3'!CE42+'МК Староконстантинов'!CE42+'МК Армокаркасы'!CE42+'МК Щедро. Флекситанки'!CE42+'МК ЛифтМаркет'!CE42+'МК Укркотлопром'!CE42+'МК Подгорцы.Забор'!CE42+PL_Металлизация!DS42+'МД Бытовка ИТР Нежин'!CE42+'МК Металургбуд.поддоны'!CE42+'МК Нежин-3'!CE42+'МК РДК.Кран'!CE42+'МК Ворота.Запорожье'!CE42+'МД ВООЗ'!CE42+'МД Казарма.Рекламация'!CE42</f>
        <v>0</v>
      </c>
      <c r="CF42" s="3341">
        <f>PL_ЦО_Производство!CF42+'МД ООН'!CF42+'МК Ладыжин-3'!CF42+'МК Староконстантинов'!CF42+'МК Армокаркасы'!CF42+'МК Щедро. Флекситанки'!CF42+'МК ЛифтМаркет'!CF42+'МК Укркотлопром'!CF42+'МК Подгорцы.Забор'!CF42+PL_Металлизация!DT42+'МД Бытовка ИТР Нежин'!CF42+'МК Металургбуд.поддоны'!CF42+'МК Нежин-3'!CF42+'МК РДК.Кран'!CF42+'МК Ворота.Запорожье'!CF42+'МД ВООЗ'!CF42+'МД Казарма.Рекламация'!CF42</f>
        <v>0</v>
      </c>
      <c r="CG42" s="3349">
        <f t="shared" ref="CG42:CG48" si="120">CE42+CF42</f>
        <v>0</v>
      </c>
      <c r="CH42" s="4697" t="e">
        <f t="shared" ref="CH42:CH49" si="121">CG42/CG$89</f>
        <v>#DIV/0!</v>
      </c>
      <c r="CI42" s="4751"/>
      <c r="CJ42" s="3341">
        <f t="shared" ref="CJ42:CK48" si="122">R42+W42</f>
        <v>0</v>
      </c>
      <c r="CK42" s="3341">
        <f t="shared" si="122"/>
        <v>0</v>
      </c>
      <c r="CL42" s="2012">
        <f t="shared" ref="CL42:CL48" si="123">CJ42+CK42*1</f>
        <v>0</v>
      </c>
      <c r="CM42" s="4697">
        <f t="shared" si="88"/>
        <v>0</v>
      </c>
      <c r="CN42" s="4699"/>
    </row>
    <row r="43" spans="1:92" ht="13.8" outlineLevel="2">
      <c r="A43" s="4833"/>
      <c r="B43" s="4750" t="s">
        <v>27</v>
      </c>
      <c r="C43" s="3341"/>
      <c r="D43" s="3341"/>
      <c r="E43" s="3349">
        <f t="shared" si="89"/>
        <v>0</v>
      </c>
      <c r="F43" s="4697" t="e">
        <f t="shared" si="90"/>
        <v>#DIV/0!</v>
      </c>
      <c r="G43" s="4751"/>
      <c r="H43" s="3341"/>
      <c r="I43" s="3341"/>
      <c r="J43" s="3349">
        <f t="shared" si="91"/>
        <v>0</v>
      </c>
      <c r="K43" s="4697" t="e">
        <f t="shared" si="92"/>
        <v>#DIV/0!</v>
      </c>
      <c r="L43" s="4751"/>
      <c r="M43" s="3341"/>
      <c r="N43" s="3341"/>
      <c r="O43" s="3349">
        <f t="shared" si="93"/>
        <v>0</v>
      </c>
      <c r="P43" s="4697" t="e">
        <f t="shared" si="94"/>
        <v>#DIV/0!</v>
      </c>
      <c r="Q43" s="4751"/>
      <c r="R43" s="3427">
        <f>PL_Производство!BF43</f>
        <v>0</v>
      </c>
      <c r="S43" s="3427">
        <f>PL_Производство!BG43</f>
        <v>79</v>
      </c>
      <c r="T43" s="2012">
        <f t="shared" si="95"/>
        <v>79</v>
      </c>
      <c r="U43" s="3462"/>
      <c r="V43" s="3462"/>
      <c r="W43" s="3342">
        <f t="shared" si="96"/>
        <v>0</v>
      </c>
      <c r="X43" s="3342">
        <f t="shared" si="96"/>
        <v>0</v>
      </c>
      <c r="Y43" s="2012">
        <f t="shared" si="97"/>
        <v>0</v>
      </c>
      <c r="Z43" s="3462"/>
      <c r="AA43" s="3462"/>
      <c r="AB43" s="3341">
        <f>PL_ЦО_Производство!AB43+'МД ООН'!AB43+'МК Ладыжин-3'!AB43+'МК Староконстантинов'!AB43+'МК Армокаркасы'!AB43+'МК Щедро. Флекситанки'!AB43+'МК ЛифтМаркет'!AB43+'МК Укркотлопром'!AB43+'МК Подгорцы.Забор'!AB43+PL_Металлизация!BP43+'МД Бытовка ИТР Нежин'!AB43+'МК Металургбуд.поддоны'!AB43</f>
        <v>0</v>
      </c>
      <c r="AC43" s="3341">
        <f>PL_ЦО_Производство!AC43+'МД ООН'!AC43+'МК Ладыжин-3'!AC43+'МК Староконстантинов'!AC43+'МК Армокаркасы'!AC43+'МК Щедро. Флекситанки'!AC43+'МК ЛифтМаркет'!AC43+'МК Укркотлопром'!AC43+'МК Подгорцы.Забор'!AC43+PL_Металлизация!BQ43+'МД Бытовка ИТР Нежин'!AC43+'МК Металургбуд.поддоны'!AC43</f>
        <v>0</v>
      </c>
      <c r="AD43" s="3349">
        <f t="shared" si="98"/>
        <v>0</v>
      </c>
      <c r="AE43" s="4697">
        <f t="shared" si="99"/>
        <v>0</v>
      </c>
      <c r="AF43" s="4751"/>
      <c r="AG43" s="3341">
        <f>PL_ЦО_Производство!AG43+'МД ООН'!AG43+'МК Ладыжин-3'!AG43+'МК Староконстантинов'!AG43+'МК Армокаркасы'!AG43+'МК Щедро. Флекситанки'!AG43+'МК ЛифтМаркет'!AG43+'МК Укркотлопром'!AG43+'МК Подгорцы.Забор'!AG43+PL_Металлизация!BU43+'МД Бытовка ИТР Нежин'!AG43+'МК Металургбуд.поддоны'!AG43</f>
        <v>0</v>
      </c>
      <c r="AH43" s="3341">
        <f>PL_ЦО_Производство!AH43+'МД ООН'!AH43+'МК Ладыжин-3'!AH43+'МК Староконстантинов'!AH43+'МК Армокаркасы'!AH43+'МК Щедро. Флекситанки'!AH43+'МК ЛифтМаркет'!AH43+'МК Укркотлопром'!AH43+'МК Подгорцы.Забор'!AH43+PL_Металлизация!BV43+'МД Бытовка ИТР Нежин'!AH43+'МК Металургбуд.поддоны'!AH43</f>
        <v>0</v>
      </c>
      <c r="AI43" s="3349">
        <f t="shared" si="100"/>
        <v>0</v>
      </c>
      <c r="AJ43" s="4697">
        <f t="shared" si="101"/>
        <v>0</v>
      </c>
      <c r="AK43" s="4751"/>
      <c r="AL43" s="3341">
        <f>PL_ЦО_Производство!AL43+'МД ООН'!AL43+'МК Ладыжин-3'!AL43+'МК Староконстантинов'!AL43+'МК Армокаркасы'!AL43+'МК Щедро. Флекситанки'!AL43+'МК ЛифтМаркет'!AL43+'МК Укркотлопром'!AL43+'МК Подгорцы.Забор'!AL43+PL_Металлизация!BZ43+'МД Бытовка ИТР Нежин'!AL43+'МК Металургбуд.поддоны'!AL43+'МК Нежин-3'!AL43</f>
        <v>0</v>
      </c>
      <c r="AM43" s="3341">
        <f>PL_ЦО_Производство!AM43+'МД ООН'!AM43+'МК Ладыжин-3'!AM43+'МК Староконстантинов'!AM43+'МК Армокаркасы'!AM43+'МК Щедро. Флекситанки'!AM43+'МК ЛифтМаркет'!AM43+'МК Укркотлопром'!AM43+'МК Подгорцы.Забор'!AM43+PL_Металлизация!CA43+'МД Бытовка ИТР Нежин'!AM43+'МК Металургбуд.поддоны'!AM43+'МК Нежин-3'!AM43</f>
        <v>0</v>
      </c>
      <c r="AN43" s="3349">
        <f t="shared" si="102"/>
        <v>0</v>
      </c>
      <c r="AO43" s="4697">
        <f t="shared" si="103"/>
        <v>0</v>
      </c>
      <c r="AP43" s="4751"/>
      <c r="AQ43" s="3341">
        <f>PL_ЦО_Производство!AQ43+'МД ООН'!AQ43+'МК Ладыжин-3'!AQ43+'МК Староконстантинов'!AQ43+'МК Армокаркасы'!AQ43+'МК Щедро. Флекситанки'!AQ43+'МК ЛифтМаркет'!AQ43+'МК Укркотлопром'!AQ43+'МК Подгорцы.Забор'!AQ43+PL_Металлизация!CE43+'МД Бытовка ИТР Нежин'!AQ43+'МК Металургбуд.поддоны'!AQ43+'МК Нежин-3'!AQ43</f>
        <v>0</v>
      </c>
      <c r="AR43" s="3341">
        <f>PL_ЦО_Производство!AR43+'МД ООН'!AR43+'МК Ладыжин-3'!AR43+'МК Староконстантинов'!AR43+'МК Армокаркасы'!AR43+'МК Щедро. Флекситанки'!AR43+'МК ЛифтМаркет'!AR43+'МК Укркотлопром'!AR43+'МК Подгорцы.Забор'!AR43+PL_Металлизация!CF43+'МД Бытовка ИТР Нежин'!AR43+'МК Металургбуд.поддоны'!AR43+'МК Нежин-3'!AR43</f>
        <v>0</v>
      </c>
      <c r="AS43" s="3349">
        <f t="shared" si="104"/>
        <v>0</v>
      </c>
      <c r="AT43" s="4697">
        <f t="shared" si="105"/>
        <v>0</v>
      </c>
      <c r="AU43" s="4751"/>
      <c r="AV43" s="3341">
        <f>PL_ЦО_Производство!AV43+'МД ООН'!AV43+'МК Армокаркасы'!AV43+'МК Подгорцы.Забор'!AV43+'МК Нежин-3'!AV43+'МК РДК.Кран'!AV43+'МК Ворота.Запорожье'!AV43+'МД ВООЗ'!AV43+'МД Казарма.Рекламация'!AV43</f>
        <v>0</v>
      </c>
      <c r="AW43" s="3341">
        <f>PL_ЦО_Производство!AW43+'МД ООН'!AW43+'МК Армокаркасы'!AW43+'МК Подгорцы.Забор'!AW43+'МК Нежин-3'!AW43+'МК РДК.Кран'!AW43+'МК Ворота.Запорожье'!AW43+'МД ВООЗ'!AW43+'МД Казарма.Рекламация'!AW43</f>
        <v>0</v>
      </c>
      <c r="AX43" s="3349">
        <f t="shared" si="106"/>
        <v>0</v>
      </c>
      <c r="AY43" s="4697">
        <f t="shared" si="107"/>
        <v>0</v>
      </c>
      <c r="AZ43" s="4751"/>
      <c r="BA43" s="3341">
        <f>PL_ЦО_Производство!BA43+'МД ООН'!BA43+'МК Ладыжин-3'!BA43+'МК Староконстантинов'!BA43+'МК Армокаркасы'!BA43+'МК Щедро. Флекситанки'!BA43+'МК ЛифтМаркет'!BA43+'МК Укркотлопром'!BA43+'МК Подгорцы.Забор'!BA43+PL_Металлизация!CO43+'МД Бытовка ИТР Нежин'!BA43+'МК Металургбуд.поддоны'!BA43+'МК Нежин-3'!BA43+'МК РДК.Кран'!BA43+'МК Ворота.Запорожье'!BA43+'МД ВООЗ'!BA43+'МД Казарма.Рекламация'!BA43</f>
        <v>0</v>
      </c>
      <c r="BB43" s="3341">
        <f>PL_ЦО_Производство!BB43+'МД ООН'!BB43+'МК Ладыжин-3'!BB43+'МК Староконстантинов'!BB43+'МК Армокаркасы'!BB43+'МК Щедро. Флекситанки'!BB43+'МК ЛифтМаркет'!BB43+'МК Укркотлопром'!BB43+'МК Подгорцы.Забор'!BB43+PL_Металлизация!CP43+'МД Бытовка ИТР Нежин'!BB43+'МК Металургбуд.поддоны'!BB43+'МК Нежин-3'!BB43+'МК РДК.Кран'!BB43+'МК Ворота.Запорожье'!BB43+'МД ВООЗ'!BB43+'МД Казарма.Рекламация'!BB43</f>
        <v>0</v>
      </c>
      <c r="BC43" s="3349">
        <f t="shared" si="108"/>
        <v>0</v>
      </c>
      <c r="BD43" s="4697">
        <f t="shared" si="109"/>
        <v>0</v>
      </c>
      <c r="BE43" s="4751"/>
      <c r="BF43" s="3341">
        <f>PL_ЦО_Производство!BF43+'МД ООН'!BF43+'МК Ладыжин-3'!BF43+'МК Староконстантинов'!BF43+'МК Армокаркасы'!BF43+'МК Щедро. Флекситанки'!BF43+'МК ЛифтМаркет'!BF43+'МК Укркотлопром'!BF43+'МК Подгорцы.Забор'!BF43+PL_Металлизация!CT43+'МД Бытовка ИТР Нежин'!BF43+'МК Металургбуд.поддоны'!BF43+'МК Нежин-3'!BF43+'МК РДК.Кран'!BF43+'МК Ворота.Запорожье'!BF43+'МД ВООЗ'!BF43+'МД Казарма.Рекламация'!BF43</f>
        <v>0</v>
      </c>
      <c r="BG43" s="3341">
        <f>PL_ЦО_Производство!BG43+'МД ООН'!BG43+'МК Ладыжин-3'!BG43+'МК Староконстантинов'!BG43+'МК Армокаркасы'!BG43+'МК Щедро. Флекситанки'!BG43+'МК ЛифтМаркет'!BG43+'МК Укркотлопром'!BG43+'МК Подгорцы.Забор'!BG43+PL_Металлизация!CU43+'МД Бытовка ИТР Нежин'!BG43+'МК Металургбуд.поддоны'!BG43+'МК Нежин-3'!BG43+'МК РДК.Кран'!BG43+'МК Ворота.Запорожье'!BG43+'МД ВООЗ'!BG43+'МД Казарма.Рекламация'!BG43</f>
        <v>0</v>
      </c>
      <c r="BH43" s="3349">
        <f t="shared" si="110"/>
        <v>0</v>
      </c>
      <c r="BI43" s="4697" t="e">
        <f t="shared" si="111"/>
        <v>#DIV/0!</v>
      </c>
      <c r="BJ43" s="4751"/>
      <c r="BK43" s="3341">
        <f>PL_ЦО_Производство!BK43+'МД ООН'!BK43+'МК Ладыжин-3'!BK43+'МК Староконстантинов'!BK43+'МК Армокаркасы'!BK43+'МК Щедро. Флекситанки'!BK43+'МК ЛифтМаркет'!BK43+'МК Укркотлопром'!BK43+'МК Подгорцы.Забор'!BK43+PL_Металлизация!CY43+'МД Бытовка ИТР Нежин'!BK43+'МК Металургбуд.поддоны'!BK43+'МК Нежин-3'!BK43+'МК РДК.Кран'!BK43+'МК Ворота.Запорожье'!BK43+'МД ВООЗ'!BK43+'МД Казарма.Рекламация'!BK43</f>
        <v>0</v>
      </c>
      <c r="BL43" s="3341">
        <f>PL_ЦО_Производство!BL43+'МД ООН'!BL43+'МК Ладыжин-3'!BL43+'МК Староконстантинов'!BL43+'МК Армокаркасы'!BL43+'МК Щедро. Флекситанки'!BL43+'МК ЛифтМаркет'!BL43+'МК Укркотлопром'!BL43+'МК Подгорцы.Забор'!BL43+PL_Металлизация!CZ43+'МД Бытовка ИТР Нежин'!BL43+'МК Металургбуд.поддоны'!BL43+'МК Нежин-3'!BL43+'МК РДК.Кран'!BL43+'МК Ворота.Запорожье'!BL43+'МД ВООЗ'!BL43+'МД Казарма.Рекламация'!BL43</f>
        <v>0</v>
      </c>
      <c r="BM43" s="3349">
        <f t="shared" si="112"/>
        <v>0</v>
      </c>
      <c r="BN43" s="4697" t="e">
        <f t="shared" si="113"/>
        <v>#DIV/0!</v>
      </c>
      <c r="BO43" s="4751"/>
      <c r="BP43" s="3341">
        <f>PL_ЦО_Производство!BP43+'МД ООН'!BP43+'МК Ладыжин-3'!BP43+'МК Староконстантинов'!BP43+'МК Армокаркасы'!BP43+'МК Щедро. Флекситанки'!BP43+'МК ЛифтМаркет'!BP43+'МК Укркотлопром'!BP43+'МК Подгорцы.Забор'!BP43+PL_Металлизация!DD43+'МД Бытовка ИТР Нежин'!BP43+'МК Металургбуд.поддоны'!BP43+'МК Нежин-3'!BP43+'МК РДК.Кран'!BP43+'МК Ворота.Запорожье'!BP43+'МД ВООЗ'!BP43+'МД Казарма.Рекламация'!BP43</f>
        <v>0</v>
      </c>
      <c r="BQ43" s="3341">
        <f>PL_ЦО_Производство!BQ43+'МД ООН'!BQ43+'МК Ладыжин-3'!BQ43+'МК Староконстантинов'!BQ43+'МК Армокаркасы'!BQ43+'МК Щедро. Флекситанки'!BQ43+'МК ЛифтМаркет'!BQ43+'МК Укркотлопром'!BQ43+'МК Подгорцы.Забор'!BQ43+PL_Металлизация!DE43+'МД Бытовка ИТР Нежин'!BQ43+'МК Металургбуд.поддоны'!BQ43+'МК Нежин-3'!BQ43+'МК РДК.Кран'!BQ43+'МК Ворота.Запорожье'!BQ43+'МД ВООЗ'!BQ43+'МД Казарма.Рекламация'!BQ43</f>
        <v>0</v>
      </c>
      <c r="BR43" s="3349">
        <f t="shared" si="114"/>
        <v>0</v>
      </c>
      <c r="BS43" s="4697" t="e">
        <f t="shared" si="115"/>
        <v>#DIV/0!</v>
      </c>
      <c r="BT43" s="4751"/>
      <c r="BU43" s="3341">
        <f>PL_ЦО_Производство!BU43+'МД ООН'!BU43+'МК Ладыжин-3'!BU43+'МК Староконстантинов'!BU43+'МК Армокаркасы'!BU43+'МК Щедро. Флекситанки'!BU43+'МК ЛифтМаркет'!BU43+'МК Укркотлопром'!BU43+'МК Подгорцы.Забор'!BU43+PL_Металлизация!DI43+'МД Бытовка ИТР Нежин'!BU43+'МК Металургбуд.поддоны'!BU43+'МК Нежин-3'!BU43+'МК РДК.Кран'!BU43+'МК Ворота.Запорожье'!BU43+'МД ВООЗ'!BU43+'МД Казарма.Рекламация'!BU43</f>
        <v>0</v>
      </c>
      <c r="BV43" s="3341">
        <f>PL_ЦО_Производство!BV43+'МД ООН'!BV43+'МК Ладыжин-3'!BV43+'МК Староконстантинов'!BV43+'МК Армокаркасы'!BV43+'МК Щедро. Флекситанки'!BV43+'МК ЛифтМаркет'!BV43+'МК Укркотлопром'!BV43+'МК Подгорцы.Забор'!BV43+PL_Металлизация!DJ43+'МД Бытовка ИТР Нежин'!BV43+'МК Металургбуд.поддоны'!BV43+'МК Нежин-3'!BV43+'МК РДК.Кран'!BV43+'МК Ворота.Запорожье'!BV43+'МД ВООЗ'!BV43+'МД Казарма.Рекламация'!BV43</f>
        <v>0</v>
      </c>
      <c r="BW43" s="3349">
        <f t="shared" si="116"/>
        <v>0</v>
      </c>
      <c r="BX43" s="4697" t="e">
        <f t="shared" si="117"/>
        <v>#DIV/0!</v>
      </c>
      <c r="BY43" s="4751"/>
      <c r="BZ43" s="3341">
        <f>PL_ЦО_Производство!BZ43+'МД ООН'!BZ43+'МК Ладыжин-3'!BZ43+'МК Староконстантинов'!BZ43+'МК Армокаркасы'!BZ43+'МК Щедро. Флекситанки'!BZ43+'МК ЛифтМаркет'!BZ43+'МК Укркотлопром'!BZ43+'МК Подгорцы.Забор'!BZ43+PL_Металлизация!DN43+'МД Бытовка ИТР Нежин'!BZ43+'МК Металургбуд.поддоны'!BZ43+'МК Нежин-3'!BZ43+'МК РДК.Кран'!BZ43+'МК Ворота.Запорожье'!BZ43+'МД ВООЗ'!BZ43+'МД Казарма.Рекламация'!BZ43</f>
        <v>0</v>
      </c>
      <c r="CA43" s="3341">
        <f>PL_ЦО_Производство!CA43+'МД ООН'!CA43+'МК Ладыжин-3'!CA43+'МК Староконстантинов'!CA43+'МК Армокаркасы'!CA43+'МК Щедро. Флекситанки'!CA43+'МК ЛифтМаркет'!CA43+'МК Укркотлопром'!CA43+'МК Подгорцы.Забор'!CA43+PL_Металлизация!DO43+'МД Бытовка ИТР Нежин'!CA43+'МК Металургбуд.поддоны'!CA43+'МК Нежин-3'!CA43+'МК РДК.Кран'!CA43+'МК Ворота.Запорожье'!CA43+'МД ВООЗ'!CA43+'МД Казарма.Рекламация'!CA43</f>
        <v>0</v>
      </c>
      <c r="CB43" s="3349">
        <f t="shared" si="118"/>
        <v>0</v>
      </c>
      <c r="CC43" s="4697" t="e">
        <f t="shared" si="119"/>
        <v>#DIV/0!</v>
      </c>
      <c r="CD43" s="4751"/>
      <c r="CE43" s="3341">
        <f>PL_ЦО_Производство!CE43+'МД ООН'!CE43+'МК Ладыжин-3'!CE43+'МК Староконстантинов'!CE43+'МК Армокаркасы'!CE43+'МК Щедро. Флекситанки'!CE43+'МК ЛифтМаркет'!CE43+'МК Укркотлопром'!CE43+'МК Подгорцы.Забор'!CE43+PL_Металлизация!DS43+'МД Бытовка ИТР Нежин'!CE43+'МК Металургбуд.поддоны'!CE43+'МК Нежин-3'!CE43+'МК РДК.Кран'!CE43+'МК Ворота.Запорожье'!CE43+'МД ВООЗ'!CE43+'МД Казарма.Рекламация'!CE43</f>
        <v>0</v>
      </c>
      <c r="CF43" s="3341">
        <f>PL_ЦО_Производство!CF43+'МД ООН'!CF43+'МК Ладыжин-3'!CF43+'МК Староконстантинов'!CF43+'МК Армокаркасы'!CF43+'МК Щедро. Флекситанки'!CF43+'МК ЛифтМаркет'!CF43+'МК Укркотлопром'!CF43+'МК Подгорцы.Забор'!CF43+PL_Металлизация!DT43+'МД Бытовка ИТР Нежин'!CF43+'МК Металургбуд.поддоны'!CF43+'МК Нежин-3'!CF43+'МК РДК.Кран'!CF43+'МК Ворота.Запорожье'!CF43+'МД ВООЗ'!CF43+'МД Казарма.Рекламация'!CF43</f>
        <v>0</v>
      </c>
      <c r="CG43" s="3349">
        <f t="shared" si="120"/>
        <v>0</v>
      </c>
      <c r="CH43" s="4697" t="e">
        <f t="shared" si="121"/>
        <v>#DIV/0!</v>
      </c>
      <c r="CI43" s="4751"/>
      <c r="CJ43" s="3341">
        <f t="shared" si="122"/>
        <v>0</v>
      </c>
      <c r="CK43" s="3341">
        <f t="shared" si="122"/>
        <v>79</v>
      </c>
      <c r="CL43" s="2012">
        <f t="shared" si="123"/>
        <v>79</v>
      </c>
      <c r="CM43" s="4697">
        <f t="shared" si="88"/>
        <v>1.5503892019964634E-6</v>
      </c>
      <c r="CN43" s="4699"/>
    </row>
    <row r="44" spans="1:92" ht="13.8" outlineLevel="2">
      <c r="A44" s="4833"/>
      <c r="B44" s="4728" t="s">
        <v>28</v>
      </c>
      <c r="C44" s="3341"/>
      <c r="D44" s="3341"/>
      <c r="E44" s="3349">
        <f t="shared" si="89"/>
        <v>0</v>
      </c>
      <c r="F44" s="4697" t="e">
        <f t="shared" si="90"/>
        <v>#DIV/0!</v>
      </c>
      <c r="G44" s="4751"/>
      <c r="H44" s="3341"/>
      <c r="I44" s="3341"/>
      <c r="J44" s="3349">
        <f t="shared" si="91"/>
        <v>0</v>
      </c>
      <c r="K44" s="4697" t="e">
        <f t="shared" si="92"/>
        <v>#DIV/0!</v>
      </c>
      <c r="L44" s="4751"/>
      <c r="M44" s="3341"/>
      <c r="N44" s="3341"/>
      <c r="O44" s="3349">
        <f t="shared" si="93"/>
        <v>0</v>
      </c>
      <c r="P44" s="4697" t="e">
        <f t="shared" si="94"/>
        <v>#DIV/0!</v>
      </c>
      <c r="Q44" s="4751"/>
      <c r="R44" s="3427">
        <f>PL_Производство!BF44</f>
        <v>15857.23</v>
      </c>
      <c r="S44" s="3427">
        <f>PL_Производство!BG44</f>
        <v>28669.66</v>
      </c>
      <c r="T44" s="2012">
        <f t="shared" si="95"/>
        <v>44526.89</v>
      </c>
      <c r="U44" s="3462"/>
      <c r="V44" s="3462"/>
      <c r="W44" s="3342">
        <f t="shared" si="96"/>
        <v>9100</v>
      </c>
      <c r="X44" s="3342">
        <f t="shared" si="96"/>
        <v>5250</v>
      </c>
      <c r="Y44" s="2012">
        <f t="shared" si="97"/>
        <v>14350</v>
      </c>
      <c r="Z44" s="3462"/>
      <c r="AA44" s="3462"/>
      <c r="AB44" s="3341">
        <f>PL_ЦО_Производство!AB44+'МД ООН'!AB44+'МК Ладыжин-3'!AB44+'МК Староконстантинов'!AB44+'МК Армокаркасы'!AB44+'МК Щедро. Флекситанки'!AB44+'МК ЛифтМаркет'!AB44+'МК Укркотлопром'!AB44+'МК Подгорцы.Забор'!AB44+PL_Металлизация!BP44+'МД Бытовка ИТР Нежин'!AB44+'МК Металургбуд.поддоны'!AB44</f>
        <v>2100</v>
      </c>
      <c r="AC44" s="3341">
        <f>PL_ЦО_Производство!AC44+'МД ООН'!AC44+'МК Ладыжин-3'!AC44+'МК Староконстантинов'!AC44+'МК Армокаркасы'!AC44+'МК Щедро. Флекситанки'!AC44+'МК ЛифтМаркет'!AC44+'МК Укркотлопром'!AC44+'МК Подгорцы.Забор'!AC44+PL_Металлизация!BQ44+'МД Бытовка ИТР Нежин'!AC44+'МК Металургбуд.поддоны'!AC44</f>
        <v>0</v>
      </c>
      <c r="AD44" s="3349">
        <f t="shared" si="98"/>
        <v>2100</v>
      </c>
      <c r="AE44" s="4697">
        <f t="shared" si="99"/>
        <v>1.3385579445539979E-3</v>
      </c>
      <c r="AF44" s="4751"/>
      <c r="AG44" s="3341">
        <f>PL_ЦО_Производство!AG44+'МД ООН'!AG44+'МК Ладыжин-3'!AG44+'МК Староконстантинов'!AG44+'МК Армокаркасы'!AG44+'МК Щедро. Флекситанки'!AG44+'МК ЛифтМаркет'!AG44+'МК Укркотлопром'!AG44+'МК Подгорцы.Забор'!AG44+PL_Металлизация!BU44+'МД Бытовка ИТР Нежин'!AG44+'МК Металургбуд.поддоны'!AG44</f>
        <v>2100</v>
      </c>
      <c r="AH44" s="3341">
        <f>PL_ЦО_Производство!AH44+'МД ООН'!AH44+'МК Ладыжин-3'!AH44+'МК Староконстантинов'!AH44+'МК Армокаркасы'!AH44+'МК Щедро. Флекситанки'!AH44+'МК ЛифтМаркет'!AH44+'МК Укркотлопром'!AH44+'МК Подгорцы.Забор'!AH44+PL_Металлизация!BV44+'МД Бытовка ИТР Нежин'!AH44+'МК Металургбуд.поддоны'!AH44</f>
        <v>0</v>
      </c>
      <c r="AI44" s="3349">
        <f t="shared" si="100"/>
        <v>2100</v>
      </c>
      <c r="AJ44" s="4697">
        <f t="shared" si="101"/>
        <v>1.3093489128777613E-3</v>
      </c>
      <c r="AK44" s="4751"/>
      <c r="AL44" s="3341">
        <f>PL_ЦО_Производство!AL44+'МД ООН'!AL44+'МК Ладыжин-3'!AL44+'МК Староконстантинов'!AL44+'МК Армокаркасы'!AL44+'МК Щедро. Флекситанки'!AL44+'МК ЛифтМаркет'!AL44+'МК Укркотлопром'!AL44+'МК Подгорцы.Забор'!AL44+PL_Металлизация!BZ44+'МД Бытовка ИТР Нежин'!AL44+'МК Металургбуд.поддоны'!AL44+'МК Нежин-3'!AL44</f>
        <v>2100</v>
      </c>
      <c r="AM44" s="3341">
        <f>PL_ЦО_Производство!AM44+'МД ООН'!AM44+'МК Ладыжин-3'!AM44+'МК Староконстантинов'!AM44+'МК Армокаркасы'!AM44+'МК Щедро. Флекситанки'!AM44+'МК ЛифтМаркет'!AM44+'МК Укркотлопром'!AM44+'МК Подгорцы.Забор'!AM44+PL_Металлизация!CA44+'МД Бытовка ИТР Нежин'!AM44+'МК Металургбуд.поддоны'!AM44+'МК Нежин-3'!AM44</f>
        <v>0</v>
      </c>
      <c r="AN44" s="3349">
        <f t="shared" si="102"/>
        <v>2100</v>
      </c>
      <c r="AO44" s="4697">
        <f t="shared" si="103"/>
        <v>1.0068178886054376E-3</v>
      </c>
      <c r="AP44" s="4751"/>
      <c r="AQ44" s="3341">
        <f>PL_ЦО_Производство!AQ44+'МД ООН'!AQ44+'МК Ладыжин-3'!AQ44+'МК Староконстантинов'!AQ44+'МК Армокаркасы'!AQ44+'МК Щедро. Флекситанки'!AQ44+'МК ЛифтМаркет'!AQ44+'МК Укркотлопром'!AQ44+'МК Подгорцы.Забор'!AQ44+PL_Металлизация!CE44+'МД Бытовка ИТР Нежин'!AQ44+'МК Металургбуд.поддоны'!AQ44+'МК Нежин-3'!AQ44</f>
        <v>2800</v>
      </c>
      <c r="AR44" s="3341">
        <f>PL_ЦО_Производство!AR44+'МД ООН'!AR44+'МК Ладыжин-3'!AR44+'МК Староконстантинов'!AR44+'МК Армокаркасы'!AR44+'МК Щедро. Флекситанки'!AR44+'МК ЛифтМаркет'!AR44+'МК Укркотлопром'!AR44+'МК Подгорцы.Забор'!AR44+PL_Металлизация!CF44+'МД Бытовка ИТР Нежин'!AR44+'МК Металургбуд.поддоны'!AR44+'МК Нежин-3'!AR44</f>
        <v>0</v>
      </c>
      <c r="AS44" s="3349">
        <f t="shared" si="104"/>
        <v>2800</v>
      </c>
      <c r="AT44" s="4697">
        <f t="shared" si="105"/>
        <v>1.804797191119367E-3</v>
      </c>
      <c r="AU44" s="4751"/>
      <c r="AV44" s="3341">
        <f>PL_ЦО_Производство!AV44+'МД ООН'!AV44+'МК Армокаркасы'!AV44+'МК Подгорцы.Забор'!AV44+'МК Нежин-3'!AV44+'МК РДК.Кран'!AV44+'МК Ворота.Запорожье'!AV44+'МД ВООЗ'!AV44+'МД Казарма.Рекламация'!AV44</f>
        <v>0</v>
      </c>
      <c r="AW44" s="3341">
        <f>PL_ЦО_Производство!AW44+'МД ООН'!AW44+'МК Армокаркасы'!AW44+'МК Подгорцы.Забор'!AW44+'МК Нежин-3'!AW44+'МК РДК.Кран'!AW44+'МК Ворота.Запорожье'!AW44+'МД ВООЗ'!AW44+'МД Казарма.Рекламация'!AW44</f>
        <v>2450</v>
      </c>
      <c r="AX44" s="3349">
        <f t="shared" si="106"/>
        <v>2450</v>
      </c>
      <c r="AY44" s="4697">
        <f t="shared" si="107"/>
        <v>1.8317459425679168E-3</v>
      </c>
      <c r="AZ44" s="4751"/>
      <c r="BA44" s="3341">
        <f>PL_ЦО_Производство!BA44+'МД ООН'!BA44+'МК Ладыжин-3'!BA44+'МК Староконстантинов'!BA44+'МК Армокаркасы'!BA44+'МК Щедро. Флекситанки'!BA44+'МК ЛифтМаркет'!BA44+'МК Укркотлопром'!BA44+'МК Подгорцы.Забор'!BA44+PL_Металлизация!CO44+'МД Бытовка ИТР Нежин'!BA44+'МК Металургбуд.поддоны'!BA44+'МК Нежин-3'!BA44+'МК РДК.Кран'!BA44+'МК Ворота.Запорожье'!BA44+'МД ВООЗ'!BA44+'МД Казарма.Рекламация'!BA44</f>
        <v>0</v>
      </c>
      <c r="BB44" s="3341">
        <f>PL_ЦО_Производство!BB44+'МД ООН'!BB44+'МК Ладыжин-3'!BB44+'МК Староконстантинов'!BB44+'МК Армокаркасы'!BB44+'МК Щедро. Флекситанки'!BB44+'МК ЛифтМаркет'!BB44+'МК Укркотлопром'!BB44+'МК Подгорцы.Забор'!BB44+PL_Металлизация!CP44+'МД Бытовка ИТР Нежин'!BB44+'МК Металургбуд.поддоны'!BB44+'МК Нежин-3'!BB44+'МК РДК.Кран'!BB44+'МК Ворота.Запорожье'!BB44+'МД ВООЗ'!BB44+'МД Казарма.Рекламация'!BB44</f>
        <v>2800</v>
      </c>
      <c r="BC44" s="3349">
        <f t="shared" si="108"/>
        <v>2800</v>
      </c>
      <c r="BD44" s="4697">
        <f t="shared" si="109"/>
        <v>2.124215170514602E-3</v>
      </c>
      <c r="BE44" s="4751"/>
      <c r="BF44" s="3341">
        <f>PL_ЦО_Производство!BF44+'МД ООН'!BF44+'МК Ладыжин-3'!BF44+'МК Староконстантинов'!BF44+'МК Армокаркасы'!BF44+'МК Щедро. Флекситанки'!BF44+'МК ЛифтМаркет'!BF44+'МК Укркотлопром'!BF44+'МК Подгорцы.Забор'!BF44+PL_Металлизация!CT44+'МД Бытовка ИТР Нежин'!BF44+'МК Металургбуд.поддоны'!BF44+'МК Нежин-3'!BF44+'МК РДК.Кран'!BF44+'МК Ворота.Запорожье'!BF44+'МД ВООЗ'!BF44+'МД Казарма.Рекламация'!BF44</f>
        <v>0</v>
      </c>
      <c r="BG44" s="3341">
        <f>PL_ЦО_Производство!BG44+'МД ООН'!BG44+'МК Ладыжин-3'!BG44+'МК Староконстантинов'!BG44+'МК Армокаркасы'!BG44+'МК Щедро. Флекситанки'!BG44+'МК ЛифтМаркет'!BG44+'МК Укркотлопром'!BG44+'МК Подгорцы.Забор'!BG44+PL_Металлизация!CU44+'МД Бытовка ИТР Нежин'!BG44+'МК Металургбуд.поддоны'!BG44+'МК Нежин-3'!BG44+'МК РДК.Кран'!BG44+'МК Ворота.Запорожье'!BG44+'МД ВООЗ'!BG44+'МД Казарма.Рекламация'!BG44</f>
        <v>0</v>
      </c>
      <c r="BH44" s="3349">
        <f t="shared" si="110"/>
        <v>0</v>
      </c>
      <c r="BI44" s="4697" t="e">
        <f t="shared" si="111"/>
        <v>#DIV/0!</v>
      </c>
      <c r="BJ44" s="4751"/>
      <c r="BK44" s="3341">
        <f>PL_ЦО_Производство!BK44+'МД ООН'!BK44+'МК Ладыжин-3'!BK44+'МК Староконстантинов'!BK44+'МК Армокаркасы'!BK44+'МК Щедро. Флекситанки'!BK44+'МК ЛифтМаркет'!BK44+'МК Укркотлопром'!BK44+'МК Подгорцы.Забор'!BK44+PL_Металлизация!CY44+'МД Бытовка ИТР Нежин'!BK44+'МК Металургбуд.поддоны'!BK44+'МК Нежин-3'!BK44+'МК РДК.Кран'!BK44+'МК Ворота.Запорожье'!BK44+'МД ВООЗ'!BK44+'МД Казарма.Рекламация'!BK44</f>
        <v>0</v>
      </c>
      <c r="BL44" s="3341">
        <f>PL_ЦО_Производство!BL44+'МД ООН'!BL44+'МК Ладыжин-3'!BL44+'МК Староконстантинов'!BL44+'МК Армокаркасы'!BL44+'МК Щедро. Флекситанки'!BL44+'МК ЛифтМаркет'!BL44+'МК Укркотлопром'!BL44+'МК Подгорцы.Забор'!BL44+PL_Металлизация!CZ44+'МД Бытовка ИТР Нежин'!BL44+'МК Металургбуд.поддоны'!BL44+'МК Нежин-3'!BL44+'МК РДК.Кран'!BL44+'МК Ворота.Запорожье'!BL44+'МД ВООЗ'!BL44+'МД Казарма.Рекламация'!BL44</f>
        <v>0</v>
      </c>
      <c r="BM44" s="3349">
        <f t="shared" si="112"/>
        <v>0</v>
      </c>
      <c r="BN44" s="4697" t="e">
        <f t="shared" si="113"/>
        <v>#DIV/0!</v>
      </c>
      <c r="BO44" s="4751"/>
      <c r="BP44" s="3341">
        <f>PL_ЦО_Производство!BP44+'МД ООН'!BP44+'МК Ладыжин-3'!BP44+'МК Староконстантинов'!BP44+'МК Армокаркасы'!BP44+'МК Щедро. Флекситанки'!BP44+'МК ЛифтМаркет'!BP44+'МК Укркотлопром'!BP44+'МК Подгорцы.Забор'!BP44+PL_Металлизация!DD44+'МД Бытовка ИТР Нежин'!BP44+'МК Металургбуд.поддоны'!BP44+'МК Нежин-3'!BP44+'МК РДК.Кран'!BP44+'МК Ворота.Запорожье'!BP44+'МД ВООЗ'!BP44+'МД Казарма.Рекламация'!BP44</f>
        <v>0</v>
      </c>
      <c r="BQ44" s="3341">
        <f>PL_ЦО_Производство!BQ44+'МД ООН'!BQ44+'МК Ладыжин-3'!BQ44+'МК Староконстантинов'!BQ44+'МК Армокаркасы'!BQ44+'МК Щедро. Флекситанки'!BQ44+'МК ЛифтМаркет'!BQ44+'МК Укркотлопром'!BQ44+'МК Подгорцы.Забор'!BQ44+PL_Металлизация!DE44+'МД Бытовка ИТР Нежин'!BQ44+'МК Металургбуд.поддоны'!BQ44+'МК Нежин-3'!BQ44+'МК РДК.Кран'!BQ44+'МК Ворота.Запорожье'!BQ44+'МД ВООЗ'!BQ44+'МД Казарма.Рекламация'!BQ44</f>
        <v>0</v>
      </c>
      <c r="BR44" s="3349">
        <f t="shared" si="114"/>
        <v>0</v>
      </c>
      <c r="BS44" s="4697" t="e">
        <f t="shared" si="115"/>
        <v>#DIV/0!</v>
      </c>
      <c r="BT44" s="4751"/>
      <c r="BU44" s="3341">
        <f>PL_ЦО_Производство!BU44+'МД ООН'!BU44+'МК Ладыжин-3'!BU44+'МК Староконстантинов'!BU44+'МК Армокаркасы'!BU44+'МК Щедро. Флекситанки'!BU44+'МК ЛифтМаркет'!BU44+'МК Укркотлопром'!BU44+'МК Подгорцы.Забор'!BU44+PL_Металлизация!DI44+'МД Бытовка ИТР Нежин'!BU44+'МК Металургбуд.поддоны'!BU44+'МК Нежин-3'!BU44+'МК РДК.Кран'!BU44+'МК Ворота.Запорожье'!BU44+'МД ВООЗ'!BU44+'МД Казарма.Рекламация'!BU44</f>
        <v>0</v>
      </c>
      <c r="BV44" s="3341">
        <f>PL_ЦО_Производство!BV44+'МД ООН'!BV44+'МК Ладыжин-3'!BV44+'МК Староконстантинов'!BV44+'МК Армокаркасы'!BV44+'МК Щедро. Флекситанки'!BV44+'МК ЛифтМаркет'!BV44+'МК Укркотлопром'!BV44+'МК Подгорцы.Забор'!BV44+PL_Металлизация!DJ44+'МД Бытовка ИТР Нежин'!BV44+'МК Металургбуд.поддоны'!BV44+'МК Нежин-3'!BV44+'МК РДК.Кран'!BV44+'МК Ворота.Запорожье'!BV44+'МД ВООЗ'!BV44+'МД Казарма.Рекламация'!BV44</f>
        <v>0</v>
      </c>
      <c r="BW44" s="3349">
        <f t="shared" si="116"/>
        <v>0</v>
      </c>
      <c r="BX44" s="4697" t="e">
        <f t="shared" si="117"/>
        <v>#DIV/0!</v>
      </c>
      <c r="BY44" s="4751"/>
      <c r="BZ44" s="3341">
        <f>PL_ЦО_Производство!BZ44+'МД ООН'!BZ44+'МК Ладыжин-3'!BZ44+'МК Староконстантинов'!BZ44+'МК Армокаркасы'!BZ44+'МК Щедро. Флекситанки'!BZ44+'МК ЛифтМаркет'!BZ44+'МК Укркотлопром'!BZ44+'МК Подгорцы.Забор'!BZ44+PL_Металлизация!DN44+'МД Бытовка ИТР Нежин'!BZ44+'МК Металургбуд.поддоны'!BZ44+'МК Нежин-3'!BZ44+'МК РДК.Кран'!BZ44+'МК Ворота.Запорожье'!BZ44+'МД ВООЗ'!BZ44+'МД Казарма.Рекламация'!BZ44</f>
        <v>0</v>
      </c>
      <c r="CA44" s="3341">
        <f>PL_ЦО_Производство!CA44+'МД ООН'!CA44+'МК Ладыжин-3'!CA44+'МК Староконстантинов'!CA44+'МК Армокаркасы'!CA44+'МК Щедро. Флекситанки'!CA44+'МК ЛифтМаркет'!CA44+'МК Укркотлопром'!CA44+'МК Подгорцы.Забор'!CA44+PL_Металлизация!DO44+'МД Бытовка ИТР Нежин'!CA44+'МК Металургбуд.поддоны'!CA44+'МК Нежин-3'!CA44+'МК РДК.Кран'!CA44+'МК Ворота.Запорожье'!CA44+'МД ВООЗ'!CA44+'МД Казарма.Рекламация'!CA44</f>
        <v>0</v>
      </c>
      <c r="CB44" s="3349">
        <f t="shared" si="118"/>
        <v>0</v>
      </c>
      <c r="CC44" s="4697" t="e">
        <f t="shared" si="119"/>
        <v>#DIV/0!</v>
      </c>
      <c r="CD44" s="4751"/>
      <c r="CE44" s="3341">
        <f>PL_ЦО_Производство!CE44+'МД ООН'!CE44+'МК Ладыжин-3'!CE44+'МК Староконстантинов'!CE44+'МК Армокаркасы'!CE44+'МК Щедро. Флекситанки'!CE44+'МК ЛифтМаркет'!CE44+'МК Укркотлопром'!CE44+'МК Подгорцы.Забор'!CE44+PL_Металлизация!DS44+'МД Бытовка ИТР Нежин'!CE44+'МК Металургбуд.поддоны'!CE44+'МК Нежин-3'!CE44+'МК РДК.Кран'!CE44+'МК Ворота.Запорожье'!CE44+'МД ВООЗ'!CE44+'МД Казарма.Рекламация'!CE44</f>
        <v>0</v>
      </c>
      <c r="CF44" s="3341">
        <f>PL_ЦО_Производство!CF44+'МД ООН'!CF44+'МК Ладыжин-3'!CF44+'МК Староконстантинов'!CF44+'МК Армокаркасы'!CF44+'МК Щедро. Флекситанки'!CF44+'МК ЛифтМаркет'!CF44+'МК Укркотлопром'!CF44+'МК Подгорцы.Забор'!CF44+PL_Металлизация!DT44+'МД Бытовка ИТР Нежин'!CF44+'МК Металургбуд.поддоны'!CF44+'МК Нежин-3'!CF44+'МК РДК.Кран'!CF44+'МК Ворота.Запорожье'!CF44+'МД ВООЗ'!CF44+'МД Казарма.Рекламация'!CF44</f>
        <v>0</v>
      </c>
      <c r="CG44" s="3349">
        <f t="shared" si="120"/>
        <v>0</v>
      </c>
      <c r="CH44" s="4697" t="e">
        <f t="shared" si="121"/>
        <v>#DIV/0!</v>
      </c>
      <c r="CI44" s="4751"/>
      <c r="CJ44" s="3341">
        <f t="shared" si="122"/>
        <v>24957.23</v>
      </c>
      <c r="CK44" s="3341">
        <f t="shared" si="122"/>
        <v>33919.660000000003</v>
      </c>
      <c r="CL44" s="2012">
        <f t="shared" si="123"/>
        <v>58876.89</v>
      </c>
      <c r="CM44" s="4697">
        <f t="shared" si="88"/>
        <v>1.1554695506725767E-3</v>
      </c>
      <c r="CN44" s="4699"/>
    </row>
    <row r="45" spans="1:92" ht="13.8" outlineLevel="2">
      <c r="A45" s="4833"/>
      <c r="B45" s="4750" t="s">
        <v>8</v>
      </c>
      <c r="C45" s="3341"/>
      <c r="D45" s="3341"/>
      <c r="E45" s="3349">
        <f t="shared" si="89"/>
        <v>0</v>
      </c>
      <c r="F45" s="4697" t="e">
        <f t="shared" si="90"/>
        <v>#DIV/0!</v>
      </c>
      <c r="G45" s="4751"/>
      <c r="H45" s="3341"/>
      <c r="I45" s="3341"/>
      <c r="J45" s="3349">
        <f t="shared" si="91"/>
        <v>0</v>
      </c>
      <c r="K45" s="4697" t="e">
        <f t="shared" si="92"/>
        <v>#DIV/0!</v>
      </c>
      <c r="L45" s="4751"/>
      <c r="M45" s="3341"/>
      <c r="N45" s="3341"/>
      <c r="O45" s="3349">
        <f t="shared" si="93"/>
        <v>0</v>
      </c>
      <c r="P45" s="4697" t="e">
        <f t="shared" si="94"/>
        <v>#DIV/0!</v>
      </c>
      <c r="Q45" s="4751"/>
      <c r="R45" s="3427">
        <f>PL_Производство!BF45</f>
        <v>6000</v>
      </c>
      <c r="S45" s="3427">
        <f>PL_Производство!BG45</f>
        <v>6000</v>
      </c>
      <c r="T45" s="2012">
        <f t="shared" si="95"/>
        <v>12000</v>
      </c>
      <c r="U45" s="3462"/>
      <c r="V45" s="3462"/>
      <c r="W45" s="3342">
        <f t="shared" si="96"/>
        <v>6000</v>
      </c>
      <c r="X45" s="3342">
        <f t="shared" si="96"/>
        <v>0</v>
      </c>
      <c r="Y45" s="2012">
        <f t="shared" si="97"/>
        <v>6000</v>
      </c>
      <c r="Z45" s="3462"/>
      <c r="AA45" s="3462"/>
      <c r="AB45" s="3341">
        <f>PL_ЦО_Производство!AB45+'МД ООН'!AB45+'МК Ладыжин-3'!AB45+'МК Староконстантинов'!AB45+'МК Армокаркасы'!AB45+'МК Щедро. Флекситанки'!AB45+'МК ЛифтМаркет'!AB45+'МК Укркотлопром'!AB45+'МК Подгорцы.Забор'!AB45+PL_Металлизация!BP45+'МД Бытовка ИТР Нежин'!AB45+'МК Металургбуд.поддоны'!AB45</f>
        <v>0</v>
      </c>
      <c r="AC45" s="3341">
        <f>PL_ЦО_Производство!AC45+'МД ООН'!AC45+'МК Ладыжин-3'!AC45+'МК Староконстантинов'!AC45+'МК Армокаркасы'!AC45+'МК Щедро. Флекситанки'!AC45+'МК ЛифтМаркет'!AC45+'МК Укркотлопром'!AC45+'МК Подгорцы.Забор'!AC45+PL_Металлизация!BQ45+'МД Бытовка ИТР Нежин'!AC45+'МК Металургбуд.поддоны'!AC45</f>
        <v>0</v>
      </c>
      <c r="AD45" s="3349">
        <f t="shared" si="98"/>
        <v>0</v>
      </c>
      <c r="AE45" s="4697">
        <f t="shared" si="99"/>
        <v>0</v>
      </c>
      <c r="AF45" s="4751"/>
      <c r="AG45" s="3341">
        <f>PL_ЦО_Производство!AG45+'МД ООН'!AG45+'МК Ладыжин-3'!AG45+'МК Староконстантинов'!AG45+'МК Армокаркасы'!AG45+'МК Щедро. Флекситанки'!AG45+'МК ЛифтМаркет'!AG45+'МК Укркотлопром'!AG45+'МК Подгорцы.Забор'!AG45+PL_Металлизация!BU45+'МД Бытовка ИТР Нежин'!AG45+'МК Металургбуд.поддоны'!AG45</f>
        <v>0</v>
      </c>
      <c r="AH45" s="3341">
        <f>PL_ЦО_Производство!AH45+'МД ООН'!AH45+'МК Ладыжин-3'!AH45+'МК Староконстантинов'!AH45+'МК Армокаркасы'!AH45+'МК Щедро. Флекситанки'!AH45+'МК ЛифтМаркет'!AH45+'МК Укркотлопром'!AH45+'МК Подгорцы.Забор'!AH45+PL_Металлизация!BV45+'МД Бытовка ИТР Нежин'!AH45+'МК Металургбуд.поддоны'!AH45</f>
        <v>0</v>
      </c>
      <c r="AI45" s="3349">
        <f t="shared" si="100"/>
        <v>0</v>
      </c>
      <c r="AJ45" s="4697">
        <f t="shared" si="101"/>
        <v>0</v>
      </c>
      <c r="AK45" s="4751"/>
      <c r="AL45" s="3341">
        <f>PL_ЦО_Производство!AL45+'МД ООН'!AL45+'МК Ладыжин-3'!AL45+'МК Староконстантинов'!AL45+'МК Армокаркасы'!AL45+'МК Щедро. Флекситанки'!AL45+'МК ЛифтМаркет'!AL45+'МК Укркотлопром'!AL45+'МК Подгорцы.Забор'!AL45+PL_Металлизация!BZ45+'МД Бытовка ИТР Нежин'!AL45+'МК Металургбуд.поддоны'!AL45+'МК Нежин-3'!AL45</f>
        <v>0</v>
      </c>
      <c r="AM45" s="3341">
        <f>PL_ЦО_Производство!AM45+'МД ООН'!AM45+'МК Ладыжин-3'!AM45+'МК Староконстантинов'!AM45+'МК Армокаркасы'!AM45+'МК Щедро. Флекситанки'!AM45+'МК ЛифтМаркет'!AM45+'МК Укркотлопром'!AM45+'МК Подгорцы.Забор'!AM45+PL_Металлизация!CA45+'МД Бытовка ИТР Нежин'!AM45+'МК Металургбуд.поддоны'!AM45+'МК Нежин-3'!AM45</f>
        <v>0</v>
      </c>
      <c r="AN45" s="3349">
        <f t="shared" si="102"/>
        <v>0</v>
      </c>
      <c r="AO45" s="4697">
        <f t="shared" si="103"/>
        <v>0</v>
      </c>
      <c r="AP45" s="4751"/>
      <c r="AQ45" s="3341">
        <f>PL_ЦО_Производство!AQ45+'МД ООН'!AQ45+'МК Ладыжин-3'!AQ45+'МК Староконстантинов'!AQ45+'МК Армокаркасы'!AQ45+'МК Щедро. Флекситанки'!AQ45+'МК ЛифтМаркет'!AQ45+'МК Укркотлопром'!AQ45+'МК Подгорцы.Забор'!AQ45+PL_Металлизация!CE45+'МД Бытовка ИТР Нежин'!AQ45+'МК Металургбуд.поддоны'!AQ45+'МК Нежин-3'!AQ45</f>
        <v>2000</v>
      </c>
      <c r="AR45" s="3341">
        <f>PL_ЦО_Производство!AR45+'МД ООН'!AR45+'МК Ладыжин-3'!AR45+'МК Староконстантинов'!AR45+'МК Армокаркасы'!AR45+'МК Щедро. Флекситанки'!AR45+'МК ЛифтМаркет'!AR45+'МК Укркотлопром'!AR45+'МК Подгорцы.Забор'!AR45+PL_Металлизация!CF45+'МД Бытовка ИТР Нежин'!AR45+'МК Металургбуд.поддоны'!AR45+'МК Нежин-3'!AR45</f>
        <v>0</v>
      </c>
      <c r="AS45" s="3349">
        <f t="shared" si="104"/>
        <v>2000</v>
      </c>
      <c r="AT45" s="4697">
        <f t="shared" si="105"/>
        <v>1.2891408507995478E-3</v>
      </c>
      <c r="AU45" s="4751"/>
      <c r="AV45" s="3341">
        <f>PL_ЦО_Производство!AV45+'МД ООН'!AV45+'МК Армокаркасы'!AV45+'МК Подгорцы.Забор'!AV45+'МК Нежин-3'!AV45+'МК РДК.Кран'!AV45+'МК Ворота.Запорожье'!AV45+'МД ВООЗ'!AV45+'МД Казарма.Рекламация'!AV45</f>
        <v>2000</v>
      </c>
      <c r="AW45" s="3341">
        <f>PL_ЦО_Производство!AW45+'МД ООН'!AW45+'МК Армокаркасы'!AW45+'МК Подгорцы.Забор'!AW45+'МК Нежин-3'!AW45+'МК РДК.Кран'!AW45+'МК Ворота.Запорожье'!AW45+'МД ВООЗ'!AW45+'МД Казарма.Рекламация'!AW45</f>
        <v>0</v>
      </c>
      <c r="AX45" s="3349">
        <f t="shared" si="106"/>
        <v>2000</v>
      </c>
      <c r="AY45" s="4697">
        <f t="shared" si="107"/>
        <v>1.495302810259524E-3</v>
      </c>
      <c r="AZ45" s="4751"/>
      <c r="BA45" s="3341">
        <f>PL_ЦО_Производство!BA45+'МД ООН'!BA45+'МК Ладыжин-3'!BA45+'МК Староконстантинов'!BA45+'МК Армокаркасы'!BA45+'МК Щедро. Флекситанки'!BA45+'МК ЛифтМаркет'!BA45+'МК Укркотлопром'!BA45+'МК Подгорцы.Забор'!BA45+PL_Металлизация!CO45+'МД Бытовка ИТР Нежин'!BA45+'МК Металургбуд.поддоны'!BA45+'МК Нежин-3'!BA45+'МК РДК.Кран'!BA45+'МК Ворота.Запорожье'!BA45+'МД ВООЗ'!BA45+'МД Казарма.Рекламация'!BA45</f>
        <v>2000</v>
      </c>
      <c r="BB45" s="3341">
        <f>PL_ЦО_Производство!BB45+'МД ООН'!BB45+'МК Ладыжин-3'!BB45+'МК Староконстантинов'!BB45+'МК Армокаркасы'!BB45+'МК Щедро. Флекситанки'!BB45+'МК ЛифтМаркет'!BB45+'МК Укркотлопром'!BB45+'МК Подгорцы.Забор'!BB45+PL_Металлизация!CP45+'МД Бытовка ИТР Нежин'!BB45+'МК Металургбуд.поддоны'!BB45+'МК Нежин-3'!BB45+'МК РДК.Кран'!BB45+'МК Ворота.Запорожье'!BB45+'МД ВООЗ'!BB45+'МД Казарма.Рекламация'!BB45</f>
        <v>0</v>
      </c>
      <c r="BC45" s="3349">
        <f t="shared" si="108"/>
        <v>2000</v>
      </c>
      <c r="BD45" s="4697">
        <f t="shared" si="109"/>
        <v>1.5172965503675729E-3</v>
      </c>
      <c r="BE45" s="4751"/>
      <c r="BF45" s="3341">
        <f>PL_ЦО_Производство!BF45+'МД ООН'!BF45+'МК Ладыжин-3'!BF45+'МК Староконстантинов'!BF45+'МК Армокаркасы'!BF45+'МК Щедро. Флекситанки'!BF45+'МК ЛифтМаркет'!BF45+'МК Укркотлопром'!BF45+'МК Подгорцы.Забор'!BF45+PL_Металлизация!CT45+'МД Бытовка ИТР Нежин'!BF45+'МК Металургбуд.поддоны'!BF45+'МК Нежин-3'!BF45+'МК РДК.Кран'!BF45+'МК Ворота.Запорожье'!BF45+'МД ВООЗ'!BF45+'МД Казарма.Рекламация'!BF45</f>
        <v>0</v>
      </c>
      <c r="BG45" s="3341">
        <f>PL_ЦО_Производство!BG45+'МД ООН'!BG45+'МК Ладыжин-3'!BG45+'МК Староконстантинов'!BG45+'МК Армокаркасы'!BG45+'МК Щедро. Флекситанки'!BG45+'МК ЛифтМаркет'!BG45+'МК Укркотлопром'!BG45+'МК Подгорцы.Забор'!BG45+PL_Металлизация!CU45+'МД Бытовка ИТР Нежин'!BG45+'МК Металургбуд.поддоны'!BG45+'МК Нежин-3'!BG45+'МК РДК.Кран'!BG45+'МК Ворота.Запорожье'!BG45+'МД ВООЗ'!BG45+'МД Казарма.Рекламация'!BG45</f>
        <v>0</v>
      </c>
      <c r="BH45" s="3349">
        <f t="shared" si="110"/>
        <v>0</v>
      </c>
      <c r="BI45" s="4697" t="e">
        <f t="shared" si="111"/>
        <v>#DIV/0!</v>
      </c>
      <c r="BJ45" s="4751"/>
      <c r="BK45" s="3341">
        <f>PL_ЦО_Производство!BK45+'МД ООН'!BK45+'МК Ладыжин-3'!BK45+'МК Староконстантинов'!BK45+'МК Армокаркасы'!BK45+'МК Щедро. Флекситанки'!BK45+'МК ЛифтМаркет'!BK45+'МК Укркотлопром'!BK45+'МК Подгорцы.Забор'!BK45+PL_Металлизация!CY45+'МД Бытовка ИТР Нежин'!BK45+'МК Металургбуд.поддоны'!BK45+'МК Нежин-3'!BK45+'МК РДК.Кран'!BK45+'МК Ворота.Запорожье'!BK45+'МД ВООЗ'!BK45+'МД Казарма.Рекламация'!BK45</f>
        <v>0</v>
      </c>
      <c r="BL45" s="3341">
        <f>PL_ЦО_Производство!BL45+'МД ООН'!BL45+'МК Ладыжин-3'!BL45+'МК Староконстантинов'!BL45+'МК Армокаркасы'!BL45+'МК Щедро. Флекситанки'!BL45+'МК ЛифтМаркет'!BL45+'МК Укркотлопром'!BL45+'МК Подгорцы.Забор'!BL45+PL_Металлизация!CZ45+'МД Бытовка ИТР Нежин'!BL45+'МК Металургбуд.поддоны'!BL45+'МК Нежин-3'!BL45+'МК РДК.Кран'!BL45+'МК Ворота.Запорожье'!BL45+'МД ВООЗ'!BL45+'МД Казарма.Рекламация'!BL45</f>
        <v>0</v>
      </c>
      <c r="BM45" s="3349">
        <f t="shared" si="112"/>
        <v>0</v>
      </c>
      <c r="BN45" s="4697" t="e">
        <f t="shared" si="113"/>
        <v>#DIV/0!</v>
      </c>
      <c r="BO45" s="4751"/>
      <c r="BP45" s="3341">
        <f>PL_ЦО_Производство!BP45+'МД ООН'!BP45+'МК Ладыжин-3'!BP45+'МК Староконстантинов'!BP45+'МК Армокаркасы'!BP45+'МК Щедро. Флекситанки'!BP45+'МК ЛифтМаркет'!BP45+'МК Укркотлопром'!BP45+'МК Подгорцы.Забор'!BP45+PL_Металлизация!DD45+'МД Бытовка ИТР Нежин'!BP45+'МК Металургбуд.поддоны'!BP45+'МК Нежин-3'!BP45+'МК РДК.Кран'!BP45+'МК Ворота.Запорожье'!BP45+'МД ВООЗ'!BP45+'МД Казарма.Рекламация'!BP45</f>
        <v>0</v>
      </c>
      <c r="BQ45" s="3341">
        <f>PL_ЦО_Производство!BQ45+'МД ООН'!BQ45+'МК Ладыжин-3'!BQ45+'МК Староконстантинов'!BQ45+'МК Армокаркасы'!BQ45+'МК Щедро. Флекситанки'!BQ45+'МК ЛифтМаркет'!BQ45+'МК Укркотлопром'!BQ45+'МК Подгорцы.Забор'!BQ45+PL_Металлизация!DE45+'МД Бытовка ИТР Нежин'!BQ45+'МК Металургбуд.поддоны'!BQ45+'МК Нежин-3'!BQ45+'МК РДК.Кран'!BQ45+'МК Ворота.Запорожье'!BQ45+'МД ВООЗ'!BQ45+'МД Казарма.Рекламация'!BQ45</f>
        <v>0</v>
      </c>
      <c r="BR45" s="3349">
        <f t="shared" si="114"/>
        <v>0</v>
      </c>
      <c r="BS45" s="4697" t="e">
        <f t="shared" si="115"/>
        <v>#DIV/0!</v>
      </c>
      <c r="BT45" s="4751"/>
      <c r="BU45" s="3341">
        <f>PL_ЦО_Производство!BU45+'МД ООН'!BU45+'МК Ладыжин-3'!BU45+'МК Староконстантинов'!BU45+'МК Армокаркасы'!BU45+'МК Щедро. Флекситанки'!BU45+'МК ЛифтМаркет'!BU45+'МК Укркотлопром'!BU45+'МК Подгорцы.Забор'!BU45+PL_Металлизация!DI45+'МД Бытовка ИТР Нежин'!BU45+'МК Металургбуд.поддоны'!BU45+'МК Нежин-3'!BU45+'МК РДК.Кран'!BU45+'МК Ворота.Запорожье'!BU45+'МД ВООЗ'!BU45+'МД Казарма.Рекламация'!BU45</f>
        <v>0</v>
      </c>
      <c r="BV45" s="3341">
        <f>PL_ЦО_Производство!BV45+'МД ООН'!BV45+'МК Ладыжин-3'!BV45+'МК Староконстантинов'!BV45+'МК Армокаркасы'!BV45+'МК Щедро. Флекситанки'!BV45+'МК ЛифтМаркет'!BV45+'МК Укркотлопром'!BV45+'МК Подгорцы.Забор'!BV45+PL_Металлизация!DJ45+'МД Бытовка ИТР Нежин'!BV45+'МК Металургбуд.поддоны'!BV45+'МК Нежин-3'!BV45+'МК РДК.Кран'!BV45+'МК Ворота.Запорожье'!BV45+'МД ВООЗ'!BV45+'МД Казарма.Рекламация'!BV45</f>
        <v>0</v>
      </c>
      <c r="BW45" s="3349">
        <f t="shared" si="116"/>
        <v>0</v>
      </c>
      <c r="BX45" s="4697" t="e">
        <f t="shared" si="117"/>
        <v>#DIV/0!</v>
      </c>
      <c r="BY45" s="4751"/>
      <c r="BZ45" s="3341">
        <f>PL_ЦО_Производство!BZ45+'МД ООН'!BZ45+'МК Ладыжин-3'!BZ45+'МК Староконстантинов'!BZ45+'МК Армокаркасы'!BZ45+'МК Щедро. Флекситанки'!BZ45+'МК ЛифтМаркет'!BZ45+'МК Укркотлопром'!BZ45+'МК Подгорцы.Забор'!BZ45+PL_Металлизация!DN45+'МД Бытовка ИТР Нежин'!BZ45+'МК Металургбуд.поддоны'!BZ45+'МК Нежин-3'!BZ45+'МК РДК.Кран'!BZ45+'МК Ворота.Запорожье'!BZ45+'МД ВООЗ'!BZ45+'МД Казарма.Рекламация'!BZ45</f>
        <v>0</v>
      </c>
      <c r="CA45" s="3341">
        <f>PL_ЦО_Производство!CA45+'МД ООН'!CA45+'МК Ладыжин-3'!CA45+'МК Староконстантинов'!CA45+'МК Армокаркасы'!CA45+'МК Щедро. Флекситанки'!CA45+'МК ЛифтМаркет'!CA45+'МК Укркотлопром'!CA45+'МК Подгорцы.Забор'!CA45+PL_Металлизация!DO45+'МД Бытовка ИТР Нежин'!CA45+'МК Металургбуд.поддоны'!CA45+'МК Нежин-3'!CA45+'МК РДК.Кран'!CA45+'МК Ворота.Запорожье'!CA45+'МД ВООЗ'!CA45+'МД Казарма.Рекламация'!CA45</f>
        <v>0</v>
      </c>
      <c r="CB45" s="3349">
        <f t="shared" si="118"/>
        <v>0</v>
      </c>
      <c r="CC45" s="4697" t="e">
        <f t="shared" si="119"/>
        <v>#DIV/0!</v>
      </c>
      <c r="CD45" s="4751"/>
      <c r="CE45" s="3341">
        <f>PL_ЦО_Производство!CE45+'МД ООН'!CE45+'МК Ладыжин-3'!CE45+'МК Староконстантинов'!CE45+'МК Армокаркасы'!CE45+'МК Щедро. Флекситанки'!CE45+'МК ЛифтМаркет'!CE45+'МК Укркотлопром'!CE45+'МК Подгорцы.Забор'!CE45+PL_Металлизация!DS45+'МД Бытовка ИТР Нежин'!CE45+'МК Металургбуд.поддоны'!CE45+'МК Нежин-3'!CE45+'МК РДК.Кран'!CE45+'МК Ворота.Запорожье'!CE45+'МД ВООЗ'!CE45+'МД Казарма.Рекламация'!CE45</f>
        <v>0</v>
      </c>
      <c r="CF45" s="3341">
        <f>PL_ЦО_Производство!CF45+'МД ООН'!CF45+'МК Ладыжин-3'!CF45+'МК Староконстантинов'!CF45+'МК Армокаркасы'!CF45+'МК Щедро. Флекситанки'!CF45+'МК ЛифтМаркет'!CF45+'МК Укркотлопром'!CF45+'МК Подгорцы.Забор'!CF45+PL_Металлизация!DT45+'МД Бытовка ИТР Нежин'!CF45+'МК Металургбуд.поддоны'!CF45+'МК Нежин-3'!CF45+'МК РДК.Кран'!CF45+'МК Ворота.Запорожье'!CF45+'МД ВООЗ'!CF45+'МД Казарма.Рекламация'!CF45</f>
        <v>0</v>
      </c>
      <c r="CG45" s="3349">
        <f t="shared" si="120"/>
        <v>0</v>
      </c>
      <c r="CH45" s="4697" t="e">
        <f t="shared" si="121"/>
        <v>#DIV/0!</v>
      </c>
      <c r="CI45" s="4751"/>
      <c r="CJ45" s="3341">
        <f t="shared" si="122"/>
        <v>12000</v>
      </c>
      <c r="CK45" s="3341">
        <f t="shared" si="122"/>
        <v>6000</v>
      </c>
      <c r="CL45" s="2012">
        <f t="shared" si="123"/>
        <v>18000</v>
      </c>
      <c r="CM45" s="4697">
        <f t="shared" si="88"/>
        <v>3.532532358979284E-4</v>
      </c>
      <c r="CN45" s="4699"/>
    </row>
    <row r="46" spans="1:92" ht="13.8" outlineLevel="2">
      <c r="A46" s="4833"/>
      <c r="B46" s="4750" t="s">
        <v>29</v>
      </c>
      <c r="C46" s="3341"/>
      <c r="D46" s="3341"/>
      <c r="E46" s="3349">
        <f t="shared" si="89"/>
        <v>0</v>
      </c>
      <c r="F46" s="4697" t="e">
        <f t="shared" si="90"/>
        <v>#DIV/0!</v>
      </c>
      <c r="G46" s="4751"/>
      <c r="H46" s="3341"/>
      <c r="I46" s="3341"/>
      <c r="J46" s="3349">
        <f t="shared" si="91"/>
        <v>0</v>
      </c>
      <c r="K46" s="4697" t="e">
        <f t="shared" si="92"/>
        <v>#DIV/0!</v>
      </c>
      <c r="L46" s="4751"/>
      <c r="M46" s="3341"/>
      <c r="N46" s="3341"/>
      <c r="O46" s="3349">
        <f t="shared" si="93"/>
        <v>0</v>
      </c>
      <c r="P46" s="4697" t="e">
        <f t="shared" si="94"/>
        <v>#DIV/0!</v>
      </c>
      <c r="Q46" s="4751"/>
      <c r="R46" s="3427">
        <f>PL_Производство!BF46</f>
        <v>4900</v>
      </c>
      <c r="S46" s="3427">
        <f>PL_Производство!BG46</f>
        <v>0</v>
      </c>
      <c r="T46" s="2012">
        <f t="shared" si="95"/>
        <v>4900</v>
      </c>
      <c r="U46" s="3462"/>
      <c r="V46" s="3462"/>
      <c r="W46" s="3342">
        <f t="shared" si="96"/>
        <v>0</v>
      </c>
      <c r="X46" s="3342">
        <f t="shared" si="96"/>
        <v>0</v>
      </c>
      <c r="Y46" s="2012">
        <f t="shared" si="97"/>
        <v>0</v>
      </c>
      <c r="Z46" s="3462"/>
      <c r="AA46" s="3462"/>
      <c r="AB46" s="3341">
        <f>PL_ЦО_Производство!AB46+'МД ООН'!AB46+'МК Ладыжин-3'!AB46+'МК Староконстантинов'!AB46+'МК Армокаркасы'!AB46+'МК Щедро. Флекситанки'!AB46+'МК ЛифтМаркет'!AB46+'МК Укркотлопром'!AB46+'МК Подгорцы.Забор'!AB46+PL_Металлизация!BP46+'МД Бытовка ИТР Нежин'!AB46+'МК Металургбуд.поддоны'!AB46</f>
        <v>0</v>
      </c>
      <c r="AC46" s="3341">
        <f>PL_ЦО_Производство!AC46+'МД ООН'!AC46+'МК Ладыжин-3'!AC46+'МК Староконстантинов'!AC46+'МК Армокаркасы'!AC46+'МК Щедро. Флекситанки'!AC46+'МК ЛифтМаркет'!AC46+'МК Укркотлопром'!AC46+'МК Подгорцы.Забор'!AC46+PL_Металлизация!BQ46+'МД Бытовка ИТР Нежин'!AC46+'МК Металургбуд.поддоны'!AC46</f>
        <v>0</v>
      </c>
      <c r="AD46" s="3349">
        <f t="shared" si="98"/>
        <v>0</v>
      </c>
      <c r="AE46" s="4697">
        <f t="shared" si="99"/>
        <v>0</v>
      </c>
      <c r="AF46" s="4751"/>
      <c r="AG46" s="3341">
        <f>PL_ЦО_Производство!AG46+'МД ООН'!AG46+'МК Ладыжин-3'!AG46+'МК Староконстантинов'!AG46+'МК Армокаркасы'!AG46+'МК Щедро. Флекситанки'!AG46+'МК ЛифтМаркет'!AG46+'МК Укркотлопром'!AG46+'МК Подгорцы.Забор'!AG46+PL_Металлизация!BU46+'МД Бытовка ИТР Нежин'!AG46+'МК Металургбуд.поддоны'!AG46</f>
        <v>0</v>
      </c>
      <c r="AH46" s="3341">
        <f>PL_ЦО_Производство!AH46+'МД ООН'!AH46+'МК Ладыжин-3'!AH46+'МК Староконстантинов'!AH46+'МК Армокаркасы'!AH46+'МК Щедро. Флекситанки'!AH46+'МК ЛифтМаркет'!AH46+'МК Укркотлопром'!AH46+'МК Подгорцы.Забор'!AH46+PL_Металлизация!BV46+'МД Бытовка ИТР Нежин'!AH46+'МК Металургбуд.поддоны'!AH46</f>
        <v>0</v>
      </c>
      <c r="AI46" s="3349">
        <f t="shared" si="100"/>
        <v>0</v>
      </c>
      <c r="AJ46" s="4697">
        <f t="shared" si="101"/>
        <v>0</v>
      </c>
      <c r="AK46" s="4751"/>
      <c r="AL46" s="3341">
        <f>PL_ЦО_Производство!AL46+'МД ООН'!AL46+'МК Ладыжин-3'!AL46+'МК Староконстантинов'!AL46+'МК Армокаркасы'!AL46+'МК Щедро. Флекситанки'!AL46+'МК ЛифтМаркет'!AL46+'МК Укркотлопром'!AL46+'МК Подгорцы.Забор'!AL46+PL_Металлизация!BZ46+'МД Бытовка ИТР Нежин'!AL46+'МК Металургбуд.поддоны'!AL46+'МК Нежин-3'!AL46</f>
        <v>0</v>
      </c>
      <c r="AM46" s="3341">
        <f>PL_ЦО_Производство!AM46+'МД ООН'!AM46+'МК Ладыжин-3'!AM46+'МК Староконстантинов'!AM46+'МК Армокаркасы'!AM46+'МК Щедро. Флекситанки'!AM46+'МК ЛифтМаркет'!AM46+'МК Укркотлопром'!AM46+'МК Подгорцы.Забор'!AM46+PL_Металлизация!CA46+'МД Бытовка ИТР Нежин'!AM46+'МК Металургбуд.поддоны'!AM46+'МК Нежин-3'!AM46</f>
        <v>0</v>
      </c>
      <c r="AN46" s="3349">
        <f t="shared" si="102"/>
        <v>0</v>
      </c>
      <c r="AO46" s="4697">
        <f t="shared" si="103"/>
        <v>0</v>
      </c>
      <c r="AP46" s="4751"/>
      <c r="AQ46" s="3341">
        <f>PL_ЦО_Производство!AQ46+'МД ООН'!AQ46+'МК Ладыжин-3'!AQ46+'МК Староконстантинов'!AQ46+'МК Армокаркасы'!AQ46+'МК Щедро. Флекситанки'!AQ46+'МК ЛифтМаркет'!AQ46+'МК Укркотлопром'!AQ46+'МК Подгорцы.Забор'!AQ46+PL_Металлизация!CE46+'МД Бытовка ИТР Нежин'!AQ46+'МК Металургбуд.поддоны'!AQ46+'МК Нежин-3'!AQ46</f>
        <v>0</v>
      </c>
      <c r="AR46" s="3341">
        <f>PL_ЦО_Производство!AR46+'МД ООН'!AR46+'МК Ладыжин-3'!AR46+'МК Староконстантинов'!AR46+'МК Армокаркасы'!AR46+'МК Щедро. Флекситанки'!AR46+'МК ЛифтМаркет'!AR46+'МК Укркотлопром'!AR46+'МК Подгорцы.Забор'!AR46+PL_Металлизация!CF46+'МД Бытовка ИТР Нежин'!AR46+'МК Металургбуд.поддоны'!AR46+'МК Нежин-3'!AR46</f>
        <v>0</v>
      </c>
      <c r="AS46" s="3349">
        <f t="shared" si="104"/>
        <v>0</v>
      </c>
      <c r="AT46" s="4697">
        <f t="shared" si="105"/>
        <v>0</v>
      </c>
      <c r="AU46" s="4751"/>
      <c r="AV46" s="3341">
        <f>PL_ЦО_Производство!AV46+'МД ООН'!AV46+'МК Армокаркасы'!AV46+'МК Подгорцы.Забор'!AV46+'МК Нежин-3'!AV46+'МК РДК.Кран'!AV46+'МК Ворота.Запорожье'!AV46+'МД ВООЗ'!AV46+'МД Казарма.Рекламация'!AV46</f>
        <v>0</v>
      </c>
      <c r="AW46" s="3341">
        <f>PL_ЦО_Производство!AW46+'МД ООН'!AW46+'МК Армокаркасы'!AW46+'МК Подгорцы.Забор'!AW46+'МК Нежин-3'!AW46+'МК РДК.Кран'!AW46+'МК Ворота.Запорожье'!AW46+'МД ВООЗ'!AW46+'МД Казарма.Рекламация'!AW46</f>
        <v>0</v>
      </c>
      <c r="AX46" s="3349">
        <f t="shared" si="106"/>
        <v>0</v>
      </c>
      <c r="AY46" s="4697">
        <f t="shared" si="107"/>
        <v>0</v>
      </c>
      <c r="AZ46" s="4751"/>
      <c r="BA46" s="3341">
        <f>PL_ЦО_Производство!BA46+'МД ООН'!BA46+'МК Ладыжин-3'!BA46+'МК Староконстантинов'!BA46+'МК Армокаркасы'!BA46+'МК Щедро. Флекситанки'!BA46+'МК ЛифтМаркет'!BA46+'МК Укркотлопром'!BA46+'МК Подгорцы.Забор'!BA46+PL_Металлизация!CO46+'МД Бытовка ИТР Нежин'!BA46+'МК Металургбуд.поддоны'!BA46+'МК Нежин-3'!BA46+'МК РДК.Кран'!BA46+'МК Ворота.Запорожье'!BA46+'МД ВООЗ'!BA46+'МД Казарма.Рекламация'!BA46</f>
        <v>0</v>
      </c>
      <c r="BB46" s="3341">
        <f>PL_ЦО_Производство!BB46+'МД ООН'!BB46+'МК Ладыжин-3'!BB46+'МК Староконстантинов'!BB46+'МК Армокаркасы'!BB46+'МК Щедро. Флекситанки'!BB46+'МК ЛифтМаркет'!BB46+'МК Укркотлопром'!BB46+'МК Подгорцы.Забор'!BB46+PL_Металлизация!CP46+'МД Бытовка ИТР Нежин'!BB46+'МК Металургбуд.поддоны'!BB46+'МК Нежин-3'!BB46+'МК РДК.Кран'!BB46+'МК Ворота.Запорожье'!BB46+'МД ВООЗ'!BB46+'МД Казарма.Рекламация'!BB46</f>
        <v>0</v>
      </c>
      <c r="BC46" s="3349">
        <f t="shared" si="108"/>
        <v>0</v>
      </c>
      <c r="BD46" s="4697">
        <f t="shared" si="109"/>
        <v>0</v>
      </c>
      <c r="BE46" s="4751"/>
      <c r="BF46" s="3341">
        <f>PL_ЦО_Производство!BF46+'МД ООН'!BF46+'МК Ладыжин-3'!BF46+'МК Староконстантинов'!BF46+'МК Армокаркасы'!BF46+'МК Щедро. Флекситанки'!BF46+'МК ЛифтМаркет'!BF46+'МК Укркотлопром'!BF46+'МК Подгорцы.Забор'!BF46+PL_Металлизация!CT46+'МД Бытовка ИТР Нежин'!BF46+'МК Металургбуд.поддоны'!BF46+'МК Нежин-3'!BF46+'МК РДК.Кран'!BF46+'МК Ворота.Запорожье'!BF46+'МД ВООЗ'!BF46+'МД Казарма.Рекламация'!BF46</f>
        <v>0</v>
      </c>
      <c r="BG46" s="3341">
        <f>PL_ЦО_Производство!BG46+'МД ООН'!BG46+'МК Ладыжин-3'!BG46+'МК Староконстантинов'!BG46+'МК Армокаркасы'!BG46+'МК Щедро. Флекситанки'!BG46+'МК ЛифтМаркет'!BG46+'МК Укркотлопром'!BG46+'МК Подгорцы.Забор'!BG46+PL_Металлизация!CU46+'МД Бытовка ИТР Нежин'!BG46+'МК Металургбуд.поддоны'!BG46+'МК Нежин-3'!BG46+'МК РДК.Кран'!BG46+'МК Ворота.Запорожье'!BG46+'МД ВООЗ'!BG46+'МД Казарма.Рекламация'!BG46</f>
        <v>0</v>
      </c>
      <c r="BH46" s="3349">
        <f t="shared" si="110"/>
        <v>0</v>
      </c>
      <c r="BI46" s="4697" t="e">
        <f t="shared" si="111"/>
        <v>#DIV/0!</v>
      </c>
      <c r="BJ46" s="4751"/>
      <c r="BK46" s="3341">
        <f>PL_ЦО_Производство!BK46+'МД ООН'!BK46+'МК Ладыжин-3'!BK46+'МК Староконстантинов'!BK46+'МК Армокаркасы'!BK46+'МК Щедро. Флекситанки'!BK46+'МК ЛифтМаркет'!BK46+'МК Укркотлопром'!BK46+'МК Подгорцы.Забор'!BK46+PL_Металлизация!CY46+'МД Бытовка ИТР Нежин'!BK46+'МК Металургбуд.поддоны'!BK46+'МК Нежин-3'!BK46+'МК РДК.Кран'!BK46+'МК Ворота.Запорожье'!BK46+'МД ВООЗ'!BK46+'МД Казарма.Рекламация'!BK46</f>
        <v>0</v>
      </c>
      <c r="BL46" s="3341">
        <f>PL_ЦО_Производство!BL46+'МД ООН'!BL46+'МК Ладыжин-3'!BL46+'МК Староконстантинов'!BL46+'МК Армокаркасы'!BL46+'МК Щедро. Флекситанки'!BL46+'МК ЛифтМаркет'!BL46+'МК Укркотлопром'!BL46+'МК Подгорцы.Забор'!BL46+PL_Металлизация!CZ46+'МД Бытовка ИТР Нежин'!BL46+'МК Металургбуд.поддоны'!BL46+'МК Нежин-3'!BL46+'МК РДК.Кран'!BL46+'МК Ворота.Запорожье'!BL46+'МД ВООЗ'!BL46+'МД Казарма.Рекламация'!BL46</f>
        <v>0</v>
      </c>
      <c r="BM46" s="3349">
        <f t="shared" si="112"/>
        <v>0</v>
      </c>
      <c r="BN46" s="4697" t="e">
        <f t="shared" si="113"/>
        <v>#DIV/0!</v>
      </c>
      <c r="BO46" s="4751"/>
      <c r="BP46" s="3341">
        <f>PL_ЦО_Производство!BP46+'МД ООН'!BP46+'МК Ладыжин-3'!BP46+'МК Староконстантинов'!BP46+'МК Армокаркасы'!BP46+'МК Щедро. Флекситанки'!BP46+'МК ЛифтМаркет'!BP46+'МК Укркотлопром'!BP46+'МК Подгорцы.Забор'!BP46+PL_Металлизация!DD46+'МД Бытовка ИТР Нежин'!BP46+'МК Металургбуд.поддоны'!BP46+'МК Нежин-3'!BP46+'МК РДК.Кран'!BP46+'МК Ворота.Запорожье'!BP46+'МД ВООЗ'!BP46+'МД Казарма.Рекламация'!BP46</f>
        <v>0</v>
      </c>
      <c r="BQ46" s="3341">
        <f>PL_ЦО_Производство!BQ46+'МД ООН'!BQ46+'МК Ладыжин-3'!BQ46+'МК Староконстантинов'!BQ46+'МК Армокаркасы'!BQ46+'МК Щедро. Флекситанки'!BQ46+'МК ЛифтМаркет'!BQ46+'МК Укркотлопром'!BQ46+'МК Подгорцы.Забор'!BQ46+PL_Металлизация!DE46+'МД Бытовка ИТР Нежин'!BQ46+'МК Металургбуд.поддоны'!BQ46+'МК Нежин-3'!BQ46+'МК РДК.Кран'!BQ46+'МК Ворота.Запорожье'!BQ46+'МД ВООЗ'!BQ46+'МД Казарма.Рекламация'!BQ46</f>
        <v>0</v>
      </c>
      <c r="BR46" s="3349">
        <f t="shared" si="114"/>
        <v>0</v>
      </c>
      <c r="BS46" s="4697" t="e">
        <f t="shared" si="115"/>
        <v>#DIV/0!</v>
      </c>
      <c r="BT46" s="4751"/>
      <c r="BU46" s="3341">
        <f>PL_ЦО_Производство!BU46+'МД ООН'!BU46+'МК Ладыжин-3'!BU46+'МК Староконстантинов'!BU46+'МК Армокаркасы'!BU46+'МК Щедро. Флекситанки'!BU46+'МК ЛифтМаркет'!BU46+'МК Укркотлопром'!BU46+'МК Подгорцы.Забор'!BU46+PL_Металлизация!DI46+'МД Бытовка ИТР Нежин'!BU46+'МК Металургбуд.поддоны'!BU46+'МК Нежин-3'!BU46+'МК РДК.Кран'!BU46+'МК Ворота.Запорожье'!BU46+'МД ВООЗ'!BU46+'МД Казарма.Рекламация'!BU46</f>
        <v>0</v>
      </c>
      <c r="BV46" s="3341">
        <f>PL_ЦО_Производство!BV46+'МД ООН'!BV46+'МК Ладыжин-3'!BV46+'МК Староконстантинов'!BV46+'МК Армокаркасы'!BV46+'МК Щедро. Флекситанки'!BV46+'МК ЛифтМаркет'!BV46+'МК Укркотлопром'!BV46+'МК Подгорцы.Забор'!BV46+PL_Металлизация!DJ46+'МД Бытовка ИТР Нежин'!BV46+'МК Металургбуд.поддоны'!BV46+'МК Нежин-3'!BV46+'МК РДК.Кран'!BV46+'МК Ворота.Запорожье'!BV46+'МД ВООЗ'!BV46+'МД Казарма.Рекламация'!BV46</f>
        <v>0</v>
      </c>
      <c r="BW46" s="3349">
        <f t="shared" si="116"/>
        <v>0</v>
      </c>
      <c r="BX46" s="4697" t="e">
        <f t="shared" si="117"/>
        <v>#DIV/0!</v>
      </c>
      <c r="BY46" s="4751"/>
      <c r="BZ46" s="3341">
        <f>PL_ЦО_Производство!BZ46+'МД ООН'!BZ46+'МК Ладыжин-3'!BZ46+'МК Староконстантинов'!BZ46+'МК Армокаркасы'!BZ46+'МК Щедро. Флекситанки'!BZ46+'МК ЛифтМаркет'!BZ46+'МК Укркотлопром'!BZ46+'МК Подгорцы.Забор'!BZ46+PL_Металлизация!DN46+'МД Бытовка ИТР Нежин'!BZ46+'МК Металургбуд.поддоны'!BZ46+'МК Нежин-3'!BZ46+'МК РДК.Кран'!BZ46+'МК Ворота.Запорожье'!BZ46+'МД ВООЗ'!BZ46+'МД Казарма.Рекламация'!BZ46</f>
        <v>0</v>
      </c>
      <c r="CA46" s="3341">
        <f>PL_ЦО_Производство!CA46+'МД ООН'!CA46+'МК Ладыжин-3'!CA46+'МК Староконстантинов'!CA46+'МК Армокаркасы'!CA46+'МК Щедро. Флекситанки'!CA46+'МК ЛифтМаркет'!CA46+'МК Укркотлопром'!CA46+'МК Подгорцы.Забор'!CA46+PL_Металлизация!DO46+'МД Бытовка ИТР Нежин'!CA46+'МК Металургбуд.поддоны'!CA46+'МК Нежин-3'!CA46+'МК РДК.Кран'!CA46+'МК Ворота.Запорожье'!CA46+'МД ВООЗ'!CA46+'МД Казарма.Рекламация'!CA46</f>
        <v>0</v>
      </c>
      <c r="CB46" s="3349">
        <f t="shared" si="118"/>
        <v>0</v>
      </c>
      <c r="CC46" s="4697" t="e">
        <f t="shared" si="119"/>
        <v>#DIV/0!</v>
      </c>
      <c r="CD46" s="4751"/>
      <c r="CE46" s="3341">
        <f>PL_ЦО_Производство!CE46+'МД ООН'!CE46+'МК Ладыжин-3'!CE46+'МК Староконстантинов'!CE46+'МК Армокаркасы'!CE46+'МК Щедро. Флекситанки'!CE46+'МК ЛифтМаркет'!CE46+'МК Укркотлопром'!CE46+'МК Подгорцы.Забор'!CE46+PL_Металлизация!DS46+'МД Бытовка ИТР Нежин'!CE46+'МК Металургбуд.поддоны'!CE46+'МК Нежин-3'!CE46+'МК РДК.Кран'!CE46+'МК Ворота.Запорожье'!CE46+'МД ВООЗ'!CE46+'МД Казарма.Рекламация'!CE46</f>
        <v>0</v>
      </c>
      <c r="CF46" s="3341">
        <f>PL_ЦО_Производство!CF46+'МД ООН'!CF46+'МК Ладыжин-3'!CF46+'МК Староконстантинов'!CF46+'МК Армокаркасы'!CF46+'МК Щедро. Флекситанки'!CF46+'МК ЛифтМаркет'!CF46+'МК Укркотлопром'!CF46+'МК Подгорцы.Забор'!CF46+PL_Металлизация!DT46+'МД Бытовка ИТР Нежин'!CF46+'МК Металургбуд.поддоны'!CF46+'МК Нежин-3'!CF46+'МК РДК.Кран'!CF46+'МК Ворота.Запорожье'!CF46+'МД ВООЗ'!CF46+'МД Казарма.Рекламация'!CF46</f>
        <v>0</v>
      </c>
      <c r="CG46" s="3349">
        <f t="shared" si="120"/>
        <v>0</v>
      </c>
      <c r="CH46" s="4697" t="e">
        <f t="shared" si="121"/>
        <v>#DIV/0!</v>
      </c>
      <c r="CI46" s="4751"/>
      <c r="CJ46" s="3341">
        <f t="shared" si="122"/>
        <v>4900</v>
      </c>
      <c r="CK46" s="3341">
        <f t="shared" si="122"/>
        <v>0</v>
      </c>
      <c r="CL46" s="2012">
        <f t="shared" si="123"/>
        <v>4900</v>
      </c>
      <c r="CM46" s="4697">
        <f t="shared" si="88"/>
        <v>9.6163380883324955E-5</v>
      </c>
      <c r="CN46" s="4699"/>
    </row>
    <row r="47" spans="1:92" ht="13.8" outlineLevel="2">
      <c r="A47" s="4833"/>
      <c r="B47" s="4750" t="s">
        <v>30</v>
      </c>
      <c r="C47" s="3341"/>
      <c r="D47" s="3341"/>
      <c r="E47" s="3349">
        <f t="shared" si="89"/>
        <v>0</v>
      </c>
      <c r="F47" s="4697" t="e">
        <f t="shared" si="90"/>
        <v>#DIV/0!</v>
      </c>
      <c r="G47" s="4751"/>
      <c r="H47" s="3341"/>
      <c r="I47" s="3341"/>
      <c r="J47" s="3349">
        <f t="shared" si="91"/>
        <v>0</v>
      </c>
      <c r="K47" s="4697" t="e">
        <f t="shared" si="92"/>
        <v>#DIV/0!</v>
      </c>
      <c r="L47" s="4751"/>
      <c r="M47" s="3341"/>
      <c r="N47" s="3341"/>
      <c r="O47" s="3349">
        <f t="shared" si="93"/>
        <v>0</v>
      </c>
      <c r="P47" s="4697" t="e">
        <f t="shared" si="94"/>
        <v>#DIV/0!</v>
      </c>
      <c r="Q47" s="4751"/>
      <c r="R47" s="3427">
        <f>PL_Производство!BF47</f>
        <v>83733.149999999994</v>
      </c>
      <c r="S47" s="3427">
        <f>PL_Производство!BG47</f>
        <v>1130</v>
      </c>
      <c r="T47" s="2012">
        <f t="shared" si="95"/>
        <v>84863.15</v>
      </c>
      <c r="U47" s="3462"/>
      <c r="V47" s="3462"/>
      <c r="W47" s="3342">
        <f t="shared" si="96"/>
        <v>8791.9700000000012</v>
      </c>
      <c r="X47" s="3342">
        <f t="shared" si="96"/>
        <v>86</v>
      </c>
      <c r="Y47" s="2012">
        <f t="shared" si="97"/>
        <v>8877.9700000000012</v>
      </c>
      <c r="Z47" s="3462"/>
      <c r="AA47" s="3462"/>
      <c r="AB47" s="3341">
        <f>PL_ЦО_Производство!AB47+'МД ООН'!AB47+'МК Ладыжин-3'!AB47+'МК Староконстантинов'!AB47+'МК Армокаркасы'!AB47+'МК Щедро. Флекситанки'!AB47+'МК ЛифтМаркет'!AB47+'МК Укркотлопром'!AB47+'МК Подгорцы.Забор'!AB47+PL_Металлизация!BP47+'МД Бытовка ИТР Нежин'!AB47+'МК Металургбуд.поддоны'!AB47</f>
        <v>1467.56</v>
      </c>
      <c r="AC47" s="3341">
        <f>PL_ЦО_Производство!AC47+'МД ООН'!AC47+'МК Ладыжин-3'!AC47+'МК Староконстантинов'!AC47+'МК Армокаркасы'!AC47+'МК Щедро. Флекситанки'!AC47+'МК ЛифтМаркет'!AC47+'МК Укркотлопром'!AC47+'МК Подгорцы.Забор'!AC47+PL_Металлизация!BQ47+'МД Бытовка ИТР Нежин'!AC47+'МК Металургбуд.поддоны'!AC47</f>
        <v>0</v>
      </c>
      <c r="AD47" s="3349">
        <f t="shared" si="98"/>
        <v>1467.56</v>
      </c>
      <c r="AE47" s="4697">
        <f t="shared" si="99"/>
        <v>9.3543528433793577E-4</v>
      </c>
      <c r="AF47" s="4751"/>
      <c r="AG47" s="3341">
        <f>PL_ЦО_Производство!AG47+'МД ООН'!AG47+'МК Ладыжин-3'!AG47+'МК Староконстантинов'!AG47+'МК Армокаркасы'!AG47+'МК Щедро. Флекситанки'!AG47+'МК ЛифтМаркет'!AG47+'МК Укркотлопром'!AG47+'МК Подгорцы.Забор'!AG47+PL_Металлизация!BU47+'МД Бытовка ИТР Нежин'!AG47+'МК Металургбуд.поддоны'!AG47</f>
        <v>2905.06</v>
      </c>
      <c r="AH47" s="3341">
        <f>PL_ЦО_Производство!AH47+'МД ООН'!AH47+'МК Ладыжин-3'!AH47+'МК Староконстантинов'!AH47+'МК Армокаркасы'!AH47+'МК Щедро. Флекситанки'!AH47+'МК ЛифтМаркет'!AH47+'МК Укркотлопром'!AH47+'МК Подгорцы.Забор'!AH47+PL_Металлизация!BV47+'МД Бытовка ИТР Нежин'!AH47+'МК Металургбуд.поддоны'!AH47</f>
        <v>0</v>
      </c>
      <c r="AI47" s="3349">
        <f t="shared" si="100"/>
        <v>2905.06</v>
      </c>
      <c r="AJ47" s="4697">
        <f t="shared" si="101"/>
        <v>1.8113034061165091E-3</v>
      </c>
      <c r="AK47" s="4751"/>
      <c r="AL47" s="3341">
        <f>PL_ЦО_Производство!AL47+'МД ООН'!AL47+'МК Ладыжин-3'!AL47+'МК Староконстантинов'!AL47+'МК Армокаркасы'!AL47+'МК Щедро. Флекситанки'!AL47+'МК ЛифтМаркет'!AL47+'МК Укркотлопром'!AL47+'МК Подгорцы.Забор'!AL47+PL_Металлизация!BZ47+'МД Бытовка ИТР Нежин'!AL47+'МК Металургбуд.поддоны'!AL47+'МК Нежин-3'!AL47</f>
        <v>1900.18</v>
      </c>
      <c r="AM47" s="3341">
        <f>PL_ЦО_Производство!AM47+'МД ООН'!AM47+'МК Ладыжин-3'!AM47+'МК Староконстантинов'!AM47+'МК Армокаркасы'!AM47+'МК Щедро. Флекситанки'!AM47+'МК ЛифтМаркет'!AM47+'МК Укркотлопром'!AM47+'МК Подгорцы.Забор'!AM47+PL_Металлизация!CA47+'МД Бытовка ИТР Нежин'!AM47+'МК Металургбуд.поддоны'!AM47+'МК Нежин-3'!AM47</f>
        <v>0</v>
      </c>
      <c r="AN47" s="3349">
        <f t="shared" si="102"/>
        <v>1900.18</v>
      </c>
      <c r="AO47" s="4697">
        <f t="shared" si="103"/>
        <v>9.1101676931918123E-4</v>
      </c>
      <c r="AP47" s="4751"/>
      <c r="AQ47" s="3341">
        <f>PL_ЦО_Производство!AQ47+'МД ООН'!AQ47+'МК Ладыжин-3'!AQ47+'МК Староконстантинов'!AQ47+'МК Армокаркасы'!AQ47+'МК Щедро. Флекситанки'!AQ47+'МК ЛифтМаркет'!AQ47+'МК Укркотлопром'!AQ47+'МК Подгорцы.Забор'!AQ47+PL_Металлизация!CE47+'МД Бытовка ИТР Нежин'!AQ47+'МК Металургбуд.поддоны'!AQ47+'МК Нежин-3'!AQ47</f>
        <v>1339.17</v>
      </c>
      <c r="AR47" s="3341">
        <f>PL_ЦО_Производство!AR47+'МД ООН'!AR47+'МК Ладыжин-3'!AR47+'МК Староконстантинов'!AR47+'МК Армокаркасы'!AR47+'МК Щедро. Флекситанки'!AR47+'МК ЛифтМаркет'!AR47+'МК Укркотлопром'!AR47+'МК Подгорцы.Забор'!AR47+PL_Металлизация!CF47+'МД Бытовка ИТР Нежин'!AR47+'МК Металургбуд.поддоны'!AR47+'МК Нежин-3'!AR47</f>
        <v>86</v>
      </c>
      <c r="AS47" s="3349">
        <f t="shared" si="104"/>
        <v>1425.17</v>
      </c>
      <c r="AT47" s="4697">
        <f t="shared" si="105"/>
        <v>9.1862243316699589E-4</v>
      </c>
      <c r="AU47" s="4751"/>
      <c r="AV47" s="3341">
        <f>PL_ЦО_Производство!AV47+'МД ООН'!AV47+'МК Армокаркасы'!AV47+'МК Подгорцы.Забор'!AV47+'МК Нежин-3'!AV47+'МК РДК.Кран'!AV47+'МК Ворота.Запорожье'!AV47+'МД ВООЗ'!AV47+'МД Казарма.Рекламация'!AV47</f>
        <v>835</v>
      </c>
      <c r="AW47" s="3341">
        <f>PL_ЦО_Производство!AW47+'МД ООН'!AW47+'МК Армокаркасы'!AW47+'МК Подгорцы.Забор'!AW47+'МК Нежин-3'!AW47+'МК РДК.Кран'!AW47+'МК Ворота.Запорожье'!AW47+'МД ВООЗ'!AW47+'МД Казарма.Рекламация'!AW47</f>
        <v>0</v>
      </c>
      <c r="AX47" s="3349">
        <f t="shared" si="106"/>
        <v>835</v>
      </c>
      <c r="AY47" s="4697">
        <f t="shared" si="107"/>
        <v>6.2428892328335122E-4</v>
      </c>
      <c r="AZ47" s="4751"/>
      <c r="BA47" s="3341">
        <f>PL_ЦО_Производство!BA47+'МД ООН'!BA47+'МК Ладыжин-3'!BA47+'МК Староконстантинов'!BA47+'МК Армокаркасы'!BA47+'МК Щедро. Флекситанки'!BA47+'МК ЛифтМаркет'!BA47+'МК Укркотлопром'!BA47+'МК Подгорцы.Забор'!BA47+PL_Металлизация!CO47+'МД Бытовка ИТР Нежин'!BA47+'МК Металургбуд.поддоны'!BA47+'МК Нежин-3'!BA47+'МК РДК.Кран'!BA47+'МК Ворота.Запорожье'!BA47+'МД ВООЗ'!BA47+'МД Казарма.Рекламация'!BA47</f>
        <v>345</v>
      </c>
      <c r="BB47" s="3341">
        <f>PL_ЦО_Производство!BB47+'МД ООН'!BB47+'МК Ладыжин-3'!BB47+'МК Староконстантинов'!BB47+'МК Армокаркасы'!BB47+'МК Щедро. Флекситанки'!BB47+'МК ЛифтМаркет'!BB47+'МК Укркотлопром'!BB47+'МК Подгорцы.Забор'!BB47+PL_Металлизация!CP47+'МД Бытовка ИТР Нежин'!BB47+'МК Металургбуд.поддоны'!BB47+'МК Нежин-3'!BB47+'МК РДК.Кран'!BB47+'МК Ворота.Запорожье'!BB47+'МД ВООЗ'!BB47+'МД Казарма.Рекламация'!BB47</f>
        <v>0</v>
      </c>
      <c r="BC47" s="3349">
        <f t="shared" si="108"/>
        <v>345</v>
      </c>
      <c r="BD47" s="4697">
        <f t="shared" si="109"/>
        <v>2.6173365493840635E-4</v>
      </c>
      <c r="BE47" s="4751"/>
      <c r="BF47" s="3341">
        <f>PL_ЦО_Производство!BF47+'МД ООН'!BF47+'МК Ладыжин-3'!BF47+'МК Староконстантинов'!BF47+'МК Армокаркасы'!BF47+'МК Щедро. Флекситанки'!BF47+'МК ЛифтМаркет'!BF47+'МК Укркотлопром'!BF47+'МК Подгорцы.Забор'!BF47+PL_Металлизация!CT47+'МД Бытовка ИТР Нежин'!BF47+'МК Металургбуд.поддоны'!BF47+'МК Нежин-3'!BF47+'МК РДК.Кран'!BF47+'МК Ворота.Запорожье'!BF47+'МД ВООЗ'!BF47+'МД Казарма.Рекламация'!BF47</f>
        <v>0</v>
      </c>
      <c r="BG47" s="3341">
        <f>PL_ЦО_Производство!BG47+'МД ООН'!BG47+'МК Ладыжин-3'!BG47+'МК Староконстантинов'!BG47+'МК Армокаркасы'!BG47+'МК Щедро. Флекситанки'!BG47+'МК ЛифтМаркет'!BG47+'МК Укркотлопром'!BG47+'МК Подгорцы.Забор'!BG47+PL_Металлизация!CU47+'МД Бытовка ИТР Нежин'!BG47+'МК Металургбуд.поддоны'!BG47+'МК Нежин-3'!BG47+'МК РДК.Кран'!BG47+'МК Ворота.Запорожье'!BG47+'МД ВООЗ'!BG47+'МД Казарма.Рекламация'!BG47</f>
        <v>0</v>
      </c>
      <c r="BH47" s="3349">
        <f t="shared" si="110"/>
        <v>0</v>
      </c>
      <c r="BI47" s="4697" t="e">
        <f t="shared" si="111"/>
        <v>#DIV/0!</v>
      </c>
      <c r="BJ47" s="4751"/>
      <c r="BK47" s="3341">
        <f>PL_ЦО_Производство!BK47+'МД ООН'!BK47+'МК Ладыжин-3'!BK47+'МК Староконстантинов'!BK47+'МК Армокаркасы'!BK47+'МК Щедро. Флекситанки'!BK47+'МК ЛифтМаркет'!BK47+'МК Укркотлопром'!BK47+'МК Подгорцы.Забор'!BK47+PL_Металлизация!CY47+'МД Бытовка ИТР Нежин'!BK47+'МК Металургбуд.поддоны'!BK47+'МК Нежин-3'!BK47+'МК РДК.Кран'!BK47+'МК Ворота.Запорожье'!BK47+'МД ВООЗ'!BK47+'МД Казарма.Рекламация'!BK47</f>
        <v>0</v>
      </c>
      <c r="BL47" s="3341">
        <f>PL_ЦО_Производство!BL47+'МД ООН'!BL47+'МК Ладыжин-3'!BL47+'МК Староконстантинов'!BL47+'МК Армокаркасы'!BL47+'МК Щедро. Флекситанки'!BL47+'МК ЛифтМаркет'!BL47+'МК Укркотлопром'!BL47+'МК Подгорцы.Забор'!BL47+PL_Металлизация!CZ47+'МД Бытовка ИТР Нежин'!BL47+'МК Металургбуд.поддоны'!BL47+'МК Нежин-3'!BL47+'МК РДК.Кран'!BL47+'МК Ворота.Запорожье'!BL47+'МД ВООЗ'!BL47+'МД Казарма.Рекламация'!BL47</f>
        <v>0</v>
      </c>
      <c r="BM47" s="3349">
        <f t="shared" si="112"/>
        <v>0</v>
      </c>
      <c r="BN47" s="4697" t="e">
        <f t="shared" si="113"/>
        <v>#DIV/0!</v>
      </c>
      <c r="BO47" s="4751"/>
      <c r="BP47" s="3341">
        <f>PL_ЦО_Производство!BP47+'МД ООН'!BP47+'МК Ладыжин-3'!BP47+'МК Староконстантинов'!BP47+'МК Армокаркасы'!BP47+'МК Щедро. Флекситанки'!BP47+'МК ЛифтМаркет'!BP47+'МК Укркотлопром'!BP47+'МК Подгорцы.Забор'!BP47+PL_Металлизация!DD47+'МД Бытовка ИТР Нежин'!BP47+'МК Металургбуд.поддоны'!BP47+'МК Нежин-3'!BP47+'МК РДК.Кран'!BP47+'МК Ворота.Запорожье'!BP47+'МД ВООЗ'!BP47+'МД Казарма.Рекламация'!BP47</f>
        <v>0</v>
      </c>
      <c r="BQ47" s="3341">
        <f>PL_ЦО_Производство!BQ47+'МД ООН'!BQ47+'МК Ладыжин-3'!BQ47+'МК Староконстантинов'!BQ47+'МК Армокаркасы'!BQ47+'МК Щедро. Флекситанки'!BQ47+'МК ЛифтМаркет'!BQ47+'МК Укркотлопром'!BQ47+'МК Подгорцы.Забор'!BQ47+PL_Металлизация!DE47+'МД Бытовка ИТР Нежин'!BQ47+'МК Металургбуд.поддоны'!BQ47+'МК Нежин-3'!BQ47+'МК РДК.Кран'!BQ47+'МК Ворота.Запорожье'!BQ47+'МД ВООЗ'!BQ47+'МД Казарма.Рекламация'!BQ47</f>
        <v>0</v>
      </c>
      <c r="BR47" s="3349">
        <f t="shared" si="114"/>
        <v>0</v>
      </c>
      <c r="BS47" s="4697" t="e">
        <f t="shared" si="115"/>
        <v>#DIV/0!</v>
      </c>
      <c r="BT47" s="4751"/>
      <c r="BU47" s="3341">
        <f>PL_ЦО_Производство!BU47+'МД ООН'!BU47+'МК Ладыжин-3'!BU47+'МК Староконстантинов'!BU47+'МК Армокаркасы'!BU47+'МК Щедро. Флекситанки'!BU47+'МК ЛифтМаркет'!BU47+'МК Укркотлопром'!BU47+'МК Подгорцы.Забор'!BU47+PL_Металлизация!DI47+'МД Бытовка ИТР Нежин'!BU47+'МК Металургбуд.поддоны'!BU47+'МК Нежин-3'!BU47+'МК РДК.Кран'!BU47+'МК Ворота.Запорожье'!BU47+'МД ВООЗ'!BU47+'МД Казарма.Рекламация'!BU47</f>
        <v>0</v>
      </c>
      <c r="BV47" s="3341">
        <f>PL_ЦО_Производство!BV47+'МД ООН'!BV47+'МК Ладыжин-3'!BV47+'МК Староконстантинов'!BV47+'МК Армокаркасы'!BV47+'МК Щедро. Флекситанки'!BV47+'МК ЛифтМаркет'!BV47+'МК Укркотлопром'!BV47+'МК Подгорцы.Забор'!BV47+PL_Металлизация!DJ47+'МД Бытовка ИТР Нежин'!BV47+'МК Металургбуд.поддоны'!BV47+'МК Нежин-3'!BV47+'МК РДК.Кран'!BV47+'МК Ворота.Запорожье'!BV47+'МД ВООЗ'!BV47+'МД Казарма.Рекламация'!BV47</f>
        <v>0</v>
      </c>
      <c r="BW47" s="3349">
        <f t="shared" si="116"/>
        <v>0</v>
      </c>
      <c r="BX47" s="4697" t="e">
        <f t="shared" si="117"/>
        <v>#DIV/0!</v>
      </c>
      <c r="BY47" s="4751"/>
      <c r="BZ47" s="3341">
        <f>PL_ЦО_Производство!BZ47+'МД ООН'!BZ47+'МК Ладыжин-3'!BZ47+'МК Староконстантинов'!BZ47+'МК Армокаркасы'!BZ47+'МК Щедро. Флекситанки'!BZ47+'МК ЛифтМаркет'!BZ47+'МК Укркотлопром'!BZ47+'МК Подгорцы.Забор'!BZ47+PL_Металлизация!DN47+'МД Бытовка ИТР Нежин'!BZ47+'МК Металургбуд.поддоны'!BZ47+'МК Нежин-3'!BZ47+'МК РДК.Кран'!BZ47+'МК Ворота.Запорожье'!BZ47+'МД ВООЗ'!BZ47+'МД Казарма.Рекламация'!BZ47</f>
        <v>0</v>
      </c>
      <c r="CA47" s="3341">
        <f>PL_ЦО_Производство!CA47+'МД ООН'!CA47+'МК Ладыжин-3'!CA47+'МК Староконстантинов'!CA47+'МК Армокаркасы'!CA47+'МК Щедро. Флекситанки'!CA47+'МК ЛифтМаркет'!CA47+'МК Укркотлопром'!CA47+'МК Подгорцы.Забор'!CA47+PL_Металлизация!DO47+'МД Бытовка ИТР Нежин'!CA47+'МК Металургбуд.поддоны'!CA47+'МК Нежин-3'!CA47+'МК РДК.Кран'!CA47+'МК Ворота.Запорожье'!CA47+'МД ВООЗ'!CA47+'МД Казарма.Рекламация'!CA47</f>
        <v>0</v>
      </c>
      <c r="CB47" s="3349">
        <f t="shared" si="118"/>
        <v>0</v>
      </c>
      <c r="CC47" s="4697" t="e">
        <f t="shared" si="119"/>
        <v>#DIV/0!</v>
      </c>
      <c r="CD47" s="4751"/>
      <c r="CE47" s="3341">
        <f>PL_ЦО_Производство!CE47+'МД ООН'!CE47+'МК Ладыжин-3'!CE47+'МК Староконстантинов'!CE47+'МК Армокаркасы'!CE47+'МК Щедро. Флекситанки'!CE47+'МК ЛифтМаркет'!CE47+'МК Укркотлопром'!CE47+'МК Подгорцы.Забор'!CE47+PL_Металлизация!DS47+'МД Бытовка ИТР Нежин'!CE47+'МК Металургбуд.поддоны'!CE47+'МК Нежин-3'!CE47+'МК РДК.Кран'!CE47+'МК Ворота.Запорожье'!CE47+'МД ВООЗ'!CE47+'МД Казарма.Рекламация'!CE47</f>
        <v>0</v>
      </c>
      <c r="CF47" s="3341">
        <f>PL_ЦО_Производство!CF47+'МД ООН'!CF47+'МК Ладыжин-3'!CF47+'МК Староконстантинов'!CF47+'МК Армокаркасы'!CF47+'МК Щедро. Флекситанки'!CF47+'МК ЛифтМаркет'!CF47+'МК Укркотлопром'!CF47+'МК Подгорцы.Забор'!CF47+PL_Металлизация!DT47+'МД Бытовка ИТР Нежин'!CF47+'МК Металургбуд.поддоны'!CF47+'МК Нежин-3'!CF47+'МК РДК.Кран'!CF47+'МК Ворота.Запорожье'!CF47+'МД ВООЗ'!CF47+'МД Казарма.Рекламация'!CF47</f>
        <v>0</v>
      </c>
      <c r="CG47" s="3349">
        <f t="shared" si="120"/>
        <v>0</v>
      </c>
      <c r="CH47" s="4697" t="e">
        <f t="shared" si="121"/>
        <v>#DIV/0!</v>
      </c>
      <c r="CI47" s="4751"/>
      <c r="CJ47" s="3341">
        <f t="shared" si="122"/>
        <v>92525.119999999995</v>
      </c>
      <c r="CK47" s="3341">
        <f t="shared" si="122"/>
        <v>1216</v>
      </c>
      <c r="CL47" s="2012">
        <f t="shared" si="123"/>
        <v>93741.119999999995</v>
      </c>
      <c r="CM47" s="4697">
        <f t="shared" si="88"/>
        <v>1.8396863320386673E-3</v>
      </c>
      <c r="CN47" s="4699"/>
    </row>
    <row r="48" spans="1:92" ht="13.8" outlineLevel="2">
      <c r="A48" s="4833"/>
      <c r="B48" s="4750" t="s">
        <v>15</v>
      </c>
      <c r="C48" s="3341"/>
      <c r="D48" s="3341"/>
      <c r="E48" s="3349">
        <f t="shared" si="89"/>
        <v>0</v>
      </c>
      <c r="F48" s="4697" t="e">
        <f t="shared" si="90"/>
        <v>#DIV/0!</v>
      </c>
      <c r="G48" s="4751"/>
      <c r="H48" s="3341"/>
      <c r="I48" s="3341"/>
      <c r="J48" s="3349">
        <f t="shared" si="91"/>
        <v>0</v>
      </c>
      <c r="K48" s="4697" t="e">
        <f t="shared" si="92"/>
        <v>#DIV/0!</v>
      </c>
      <c r="L48" s="4751"/>
      <c r="M48" s="3341"/>
      <c r="N48" s="3341"/>
      <c r="O48" s="3349">
        <f t="shared" si="93"/>
        <v>0</v>
      </c>
      <c r="P48" s="4697" t="e">
        <f t="shared" si="94"/>
        <v>#DIV/0!</v>
      </c>
      <c r="Q48" s="4751"/>
      <c r="R48" s="3427">
        <f>PL_Производство!BF48</f>
        <v>11145.05</v>
      </c>
      <c r="S48" s="3427">
        <f>PL_Производство!BG48</f>
        <v>0</v>
      </c>
      <c r="T48" s="2012">
        <f t="shared" si="95"/>
        <v>11145.05</v>
      </c>
      <c r="U48" s="4754"/>
      <c r="V48" s="4751"/>
      <c r="W48" s="4755">
        <f t="shared" si="96"/>
        <v>3916.4</v>
      </c>
      <c r="X48" s="4755">
        <f t="shared" si="96"/>
        <v>0</v>
      </c>
      <c r="Y48" s="4756">
        <f t="shared" si="97"/>
        <v>3916.4</v>
      </c>
      <c r="Z48" s="4751"/>
      <c r="AA48" s="4751"/>
      <c r="AB48" s="3341">
        <f>PL_ЦО_Производство!AB48+'МД ООН'!AB48+'МК Ладыжин-3'!AB48+'МК Староконстантинов'!AB48+'МК Армокаркасы'!AB48+'МК Щедро. Флекситанки'!AB48+'МК ЛифтМаркет'!AB48+'МК Укркотлопром'!AB48+'МК Подгорцы.Забор'!AB48+PL_Металлизация!BP48+'МД Бытовка ИТР Нежин'!AB48+'МК Металургбуд.поддоны'!AB48</f>
        <v>0</v>
      </c>
      <c r="AC48" s="3341">
        <f>PL_ЦО_Производство!AC48+'МД ООН'!AC48+'МК Ладыжин-3'!AC48+'МК Староконстантинов'!AC48+'МК Армокаркасы'!AC48+'МК Щедро. Флекситанки'!AC48+'МК ЛифтМаркет'!AC48+'МК Укркотлопром'!AC48+'МК Подгорцы.Забор'!AC48+PL_Металлизация!BQ48+'МД Бытовка ИТР Нежин'!AC48+'МК Металургбуд.поддоны'!AC48</f>
        <v>0</v>
      </c>
      <c r="AD48" s="4757">
        <f t="shared" si="98"/>
        <v>0</v>
      </c>
      <c r="AE48" s="4697">
        <f t="shared" si="99"/>
        <v>0</v>
      </c>
      <c r="AF48" s="4751"/>
      <c r="AG48" s="3341">
        <f>PL_ЦО_Производство!AG48+'МД ООН'!AG48+'МК Ладыжин-3'!AG48+'МК Староконстантинов'!AG48+'МК Армокаркасы'!AG48+'МК Щедро. Флекситанки'!AG48+'МК ЛифтМаркет'!AG48+'МК Укркотлопром'!AG48+'МК Подгорцы.Забор'!AG48+PL_Металлизация!BU48+'МД Бытовка ИТР Нежин'!AG48+'МК Металургбуд.поддоны'!AG48</f>
        <v>0</v>
      </c>
      <c r="AH48" s="3341">
        <f>PL_ЦО_Производство!AH48+'МД ООН'!AH48+'МК Ладыжин-3'!AH48+'МК Староконстантинов'!AH48+'МК Армокаркасы'!AH48+'МК Щедро. Флекситанки'!AH48+'МК ЛифтМаркет'!AH48+'МК Укркотлопром'!AH48+'МК Подгорцы.Забор'!AH48+PL_Металлизация!BV48+'МД Бытовка ИТР Нежин'!AH48+'МК Металургбуд.поддоны'!AH48</f>
        <v>0</v>
      </c>
      <c r="AI48" s="4757">
        <f t="shared" si="100"/>
        <v>0</v>
      </c>
      <c r="AJ48" s="4697">
        <f t="shared" si="101"/>
        <v>0</v>
      </c>
      <c r="AK48" s="4751"/>
      <c r="AL48" s="3341">
        <f>PL_ЦО_Производство!AL48+'МД ООН'!AL48+'МК Ладыжин-3'!AL48+'МК Староконстантинов'!AL48+'МК Армокаркасы'!AL48+'МК Щедро. Флекситанки'!AL48+'МК ЛифтМаркет'!AL48+'МК Укркотлопром'!AL48+'МК Подгорцы.Забор'!AL48+PL_Металлизация!BZ48+'МД Бытовка ИТР Нежин'!AL48+'МК Металургбуд.поддоны'!AL48+'МК Нежин-3'!AL48</f>
        <v>0</v>
      </c>
      <c r="AM48" s="3341">
        <f>PL_ЦО_Производство!AM48+'МД ООН'!AM48+'МК Ладыжин-3'!AM48+'МК Староконстантинов'!AM48+'МК Армокаркасы'!AM48+'МК Щедро. Флекситанки'!AM48+'МК ЛифтМаркет'!AM48+'МК Укркотлопром'!AM48+'МК Подгорцы.Забор'!AM48+PL_Металлизация!CA48+'МД Бытовка ИТР Нежин'!AM48+'МК Металургбуд.поддоны'!AM48+'МК Нежин-3'!AM48</f>
        <v>0</v>
      </c>
      <c r="AN48" s="4757">
        <f t="shared" si="102"/>
        <v>0</v>
      </c>
      <c r="AO48" s="4697">
        <f t="shared" si="103"/>
        <v>0</v>
      </c>
      <c r="AP48" s="4751"/>
      <c r="AQ48" s="3341">
        <f>PL_ЦО_Производство!AQ48+'МД ООН'!AQ48+'МК Ладыжин-3'!AQ48+'МК Староконстантинов'!AQ48+'МК Армокаркасы'!AQ48+'МК Щедро. Флекситанки'!AQ48+'МК ЛифтМаркет'!AQ48+'МК Укркотлопром'!AQ48+'МК Подгорцы.Забор'!AQ48+PL_Металлизация!CE48+'МД Бытовка ИТР Нежин'!AQ48+'МК Металургбуд.поддоны'!AQ48+'МК Нежин-3'!AQ48</f>
        <v>3536.4</v>
      </c>
      <c r="AR48" s="3341">
        <f>PL_ЦО_Производство!AR48+'МД ООН'!AR48+'МК Ладыжин-3'!AR48+'МК Староконстантинов'!AR48+'МК Армокаркасы'!AR48+'МК Щедро. Флекситанки'!AR48+'МК ЛифтМаркет'!AR48+'МК Укркотлопром'!AR48+'МК Подгорцы.Забор'!AR48+PL_Металлизация!CF48+'МД Бытовка ИТР Нежин'!AR48+'МК Металургбуд.поддоны'!AR48+'МК Нежин-3'!AR48</f>
        <v>0</v>
      </c>
      <c r="AS48" s="4757">
        <f t="shared" si="104"/>
        <v>3536.4</v>
      </c>
      <c r="AT48" s="4697">
        <f t="shared" si="105"/>
        <v>2.2794588523837606E-3</v>
      </c>
      <c r="AU48" s="4751"/>
      <c r="AV48" s="3341">
        <f>PL_ЦО_Производство!AV48+'МД ООН'!AV48+'МК Армокаркасы'!AV48+'МК Подгорцы.Забор'!AV48+'МК Нежин-3'!AV48+'МК РДК.Кран'!AV48+'МК Ворота.Запорожье'!AV48+'МД ВООЗ'!AV48+'МД Казарма.Рекламация'!AV48</f>
        <v>380</v>
      </c>
      <c r="AW48" s="3341">
        <f>PL_ЦО_Производство!AW48+'МД ООН'!AW48+'МК Армокаркасы'!AW48+'МК Подгорцы.Забор'!AW48+'МК Нежин-3'!AW48+'МК РДК.Кран'!AW48+'МК Ворота.Запорожье'!AW48+'МД ВООЗ'!AW48+'МД Казарма.Рекламация'!AW48</f>
        <v>0</v>
      </c>
      <c r="AX48" s="4757">
        <f t="shared" si="106"/>
        <v>380</v>
      </c>
      <c r="AY48" s="4697">
        <f t="shared" si="107"/>
        <v>2.8410753394930954E-4</v>
      </c>
      <c r="AZ48" s="4751"/>
      <c r="BA48" s="3341">
        <f>PL_ЦО_Производство!BA48+'МД ООН'!BA48+'МК Ладыжин-3'!BA48+'МК Староконстантинов'!BA48+'МК Армокаркасы'!BA48+'МК Щедро. Флекситанки'!BA48+'МК ЛифтМаркет'!BA48+'МК Укркотлопром'!BA48+'МК Подгорцы.Забор'!BA48+PL_Металлизация!CO48+'МД Бытовка ИТР Нежин'!BA48+'МК Металургбуд.поддоны'!BA48+'МК Нежин-3'!BA48+'МК РДК.Кран'!BA48+'МК Ворота.Запорожье'!BA48+'МД ВООЗ'!BA48+'МД Казарма.Рекламация'!BA48</f>
        <v>0</v>
      </c>
      <c r="BB48" s="3341">
        <f>PL_ЦО_Производство!BB48+'МД ООН'!BB48+'МК Ладыжин-3'!BB48+'МК Староконстантинов'!BB48+'МК Армокаркасы'!BB48+'МК Щедро. Флекситанки'!BB48+'МК ЛифтМаркет'!BB48+'МК Укркотлопром'!BB48+'МК Подгорцы.Забор'!BB48+PL_Металлизация!CP48+'МД Бытовка ИТР Нежин'!BB48+'МК Металургбуд.поддоны'!BB48+'МК Нежин-3'!BB48+'МК РДК.Кран'!BB48+'МК Ворота.Запорожье'!BB48+'МД ВООЗ'!BB48+'МД Казарма.Рекламация'!BB48</f>
        <v>0</v>
      </c>
      <c r="BC48" s="4757">
        <f t="shared" si="108"/>
        <v>0</v>
      </c>
      <c r="BD48" s="4697">
        <f t="shared" si="109"/>
        <v>0</v>
      </c>
      <c r="BE48" s="4751"/>
      <c r="BF48" s="3341">
        <f>PL_ЦО_Производство!BF48+'МД ООН'!BF48+'МК Ладыжин-3'!BF48+'МК Староконстантинов'!BF48+'МК Армокаркасы'!BF48+'МК Щедро. Флекситанки'!BF48+'МК ЛифтМаркет'!BF48+'МК Укркотлопром'!BF48+'МК Подгорцы.Забор'!BF48+PL_Металлизация!CT48+'МД Бытовка ИТР Нежин'!BF48+'МК Металургбуд.поддоны'!BF48+'МК Нежин-3'!BF48+'МК РДК.Кран'!BF48+'МК Ворота.Запорожье'!BF48+'МД ВООЗ'!BF48+'МД Казарма.Рекламация'!BF48</f>
        <v>0</v>
      </c>
      <c r="BG48" s="3341">
        <f>PL_ЦО_Производство!BG48+'МД ООН'!BG48+'МК Ладыжин-3'!BG48+'МК Староконстантинов'!BG48+'МК Армокаркасы'!BG48+'МК Щедро. Флекситанки'!BG48+'МК ЛифтМаркет'!BG48+'МК Укркотлопром'!BG48+'МК Подгорцы.Забор'!BG48+PL_Металлизация!CU48+'МД Бытовка ИТР Нежин'!BG48+'МК Металургбуд.поддоны'!BG48+'МК Нежин-3'!BG48+'МК РДК.Кран'!BG48+'МК Ворота.Запорожье'!BG48+'МД ВООЗ'!BG48+'МД Казарма.Рекламация'!BG48</f>
        <v>0</v>
      </c>
      <c r="BH48" s="4757">
        <f t="shared" si="110"/>
        <v>0</v>
      </c>
      <c r="BI48" s="4697" t="e">
        <f t="shared" si="111"/>
        <v>#DIV/0!</v>
      </c>
      <c r="BJ48" s="4751"/>
      <c r="BK48" s="3341">
        <f>PL_ЦО_Производство!BK48+'МД ООН'!BK48+'МК Ладыжин-3'!BK48+'МК Староконстантинов'!BK48+'МК Армокаркасы'!BK48+'МК Щедро. Флекситанки'!BK48+'МК ЛифтМаркет'!BK48+'МК Укркотлопром'!BK48+'МК Подгорцы.Забор'!BK48+PL_Металлизация!CY48+'МД Бытовка ИТР Нежин'!BK48+'МК Металургбуд.поддоны'!BK48+'МК Нежин-3'!BK48+'МК РДК.Кран'!BK48+'МК Ворота.Запорожье'!BK48+'МД ВООЗ'!BK48+'МД Казарма.Рекламация'!BK48</f>
        <v>0</v>
      </c>
      <c r="BL48" s="3341">
        <f>PL_ЦО_Производство!BL48+'МД ООН'!BL48+'МК Ладыжин-3'!BL48+'МК Староконстантинов'!BL48+'МК Армокаркасы'!BL48+'МК Щедро. Флекситанки'!BL48+'МК ЛифтМаркет'!BL48+'МК Укркотлопром'!BL48+'МК Подгорцы.Забор'!BL48+PL_Металлизация!CZ48+'МД Бытовка ИТР Нежин'!BL48+'МК Металургбуд.поддоны'!BL48+'МК Нежин-3'!BL48+'МК РДК.Кран'!BL48+'МК Ворота.Запорожье'!BL48+'МД ВООЗ'!BL48+'МД Казарма.Рекламация'!BL48</f>
        <v>0</v>
      </c>
      <c r="BM48" s="4757">
        <f t="shared" si="112"/>
        <v>0</v>
      </c>
      <c r="BN48" s="4697" t="e">
        <f t="shared" si="113"/>
        <v>#DIV/0!</v>
      </c>
      <c r="BO48" s="4751"/>
      <c r="BP48" s="3341">
        <f>PL_ЦО_Производство!BP48+'МД ООН'!BP48+'МК Ладыжин-3'!BP48+'МК Староконстантинов'!BP48+'МК Армокаркасы'!BP48+'МК Щедро. Флекситанки'!BP48+'МК ЛифтМаркет'!BP48+'МК Укркотлопром'!BP48+'МК Подгорцы.Забор'!BP48+PL_Металлизация!DD48+'МД Бытовка ИТР Нежин'!BP48+'МК Металургбуд.поддоны'!BP48+'МК Нежин-3'!BP48+'МК РДК.Кран'!BP48+'МК Ворота.Запорожье'!BP48+'МД ВООЗ'!BP48+'МД Казарма.Рекламация'!BP48</f>
        <v>0</v>
      </c>
      <c r="BQ48" s="3341">
        <f>PL_ЦО_Производство!BQ48+'МД ООН'!BQ48+'МК Ладыжин-3'!BQ48+'МК Староконстантинов'!BQ48+'МК Армокаркасы'!BQ48+'МК Щедро. Флекситанки'!BQ48+'МК ЛифтМаркет'!BQ48+'МК Укркотлопром'!BQ48+'МК Подгорцы.Забор'!BQ48+PL_Металлизация!DE48+'МД Бытовка ИТР Нежин'!BQ48+'МК Металургбуд.поддоны'!BQ48+'МК Нежин-3'!BQ48+'МК РДК.Кран'!BQ48+'МК Ворота.Запорожье'!BQ48+'МД ВООЗ'!BQ48+'МД Казарма.Рекламация'!BQ48</f>
        <v>0</v>
      </c>
      <c r="BR48" s="4757">
        <f t="shared" si="114"/>
        <v>0</v>
      </c>
      <c r="BS48" s="4697" t="e">
        <f t="shared" si="115"/>
        <v>#DIV/0!</v>
      </c>
      <c r="BT48" s="4751"/>
      <c r="BU48" s="3341">
        <f>PL_ЦО_Производство!BU48+'МД ООН'!BU48+'МК Ладыжин-3'!BU48+'МК Староконстантинов'!BU48+'МК Армокаркасы'!BU48+'МК Щедро. Флекситанки'!BU48+'МК ЛифтМаркет'!BU48+'МК Укркотлопром'!BU48+'МК Подгорцы.Забор'!BU48+PL_Металлизация!DI48+'МД Бытовка ИТР Нежин'!BU48+'МК Металургбуд.поддоны'!BU48+'МК Нежин-3'!BU48+'МК РДК.Кран'!BU48+'МК Ворота.Запорожье'!BU48+'МД ВООЗ'!BU48+'МД Казарма.Рекламация'!BU48</f>
        <v>0</v>
      </c>
      <c r="BV48" s="3341">
        <f>PL_ЦО_Производство!BV48+'МД ООН'!BV48+'МК Ладыжин-3'!BV48+'МК Староконстантинов'!BV48+'МК Армокаркасы'!BV48+'МК Щедро. Флекситанки'!BV48+'МК ЛифтМаркет'!BV48+'МК Укркотлопром'!BV48+'МК Подгорцы.Забор'!BV48+PL_Металлизация!DJ48+'МД Бытовка ИТР Нежин'!BV48+'МК Металургбуд.поддоны'!BV48+'МК Нежин-3'!BV48+'МК РДК.Кран'!BV48+'МК Ворота.Запорожье'!BV48+'МД ВООЗ'!BV48+'МД Казарма.Рекламация'!BV48</f>
        <v>0</v>
      </c>
      <c r="BW48" s="4757">
        <f t="shared" si="116"/>
        <v>0</v>
      </c>
      <c r="BX48" s="4697" t="e">
        <f t="shared" si="117"/>
        <v>#DIV/0!</v>
      </c>
      <c r="BY48" s="4751"/>
      <c r="BZ48" s="3341">
        <f>PL_ЦО_Производство!BZ48+'МД ООН'!BZ48+'МК Ладыжин-3'!BZ48+'МК Староконстантинов'!BZ48+'МК Армокаркасы'!BZ48+'МК Щедро. Флекситанки'!BZ48+'МК ЛифтМаркет'!BZ48+'МК Укркотлопром'!BZ48+'МК Подгорцы.Забор'!BZ48+PL_Металлизация!DN48+'МД Бытовка ИТР Нежин'!BZ48+'МК Металургбуд.поддоны'!BZ48+'МК Нежин-3'!BZ48+'МК РДК.Кран'!BZ48+'МК Ворота.Запорожье'!BZ48+'МД ВООЗ'!BZ48+'МД Казарма.Рекламация'!BZ48</f>
        <v>0</v>
      </c>
      <c r="CA48" s="3341">
        <f>PL_ЦО_Производство!CA48+'МД ООН'!CA48+'МК Ладыжин-3'!CA48+'МК Староконстантинов'!CA48+'МК Армокаркасы'!CA48+'МК Щедро. Флекситанки'!CA48+'МК ЛифтМаркет'!CA48+'МК Укркотлопром'!CA48+'МК Подгорцы.Забор'!CA48+PL_Металлизация!DO48+'МД Бытовка ИТР Нежин'!CA48+'МК Металургбуд.поддоны'!CA48+'МК Нежин-3'!CA48+'МК РДК.Кран'!CA48+'МК Ворота.Запорожье'!CA48+'МД ВООЗ'!CA48+'МД Казарма.Рекламация'!CA48</f>
        <v>0</v>
      </c>
      <c r="CB48" s="4757">
        <f t="shared" si="118"/>
        <v>0</v>
      </c>
      <c r="CC48" s="4697" t="e">
        <f t="shared" si="119"/>
        <v>#DIV/0!</v>
      </c>
      <c r="CD48" s="4751"/>
      <c r="CE48" s="3341">
        <f>PL_ЦО_Производство!CE48+'МД ООН'!CE48+'МК Ладыжин-3'!CE48+'МК Староконстантинов'!CE48+'МК Армокаркасы'!CE48+'МК Щедро. Флекситанки'!CE48+'МК ЛифтМаркет'!CE48+'МК Укркотлопром'!CE48+'МК Подгорцы.Забор'!CE48+PL_Металлизация!DS48+'МД Бытовка ИТР Нежин'!CE48+'МК Металургбуд.поддоны'!CE48+'МК Нежин-3'!CE48+'МК РДК.Кран'!CE48+'МК Ворота.Запорожье'!CE48+'МД ВООЗ'!CE48+'МД Казарма.Рекламация'!CE48</f>
        <v>0</v>
      </c>
      <c r="CF48" s="3341">
        <f>PL_ЦО_Производство!CF48+'МД ООН'!CF48+'МК Ладыжин-3'!CF48+'МК Староконстантинов'!CF48+'МК Армокаркасы'!CF48+'МК Щедро. Флекситанки'!CF48+'МК ЛифтМаркет'!CF48+'МК Укркотлопром'!CF48+'МК Подгорцы.Забор'!CF48+PL_Металлизация!DT48+'МД Бытовка ИТР Нежин'!CF48+'МК Металургбуд.поддоны'!CF48+'МК Нежин-3'!CF48+'МК РДК.Кран'!CF48+'МК Ворота.Запорожье'!CF48+'МД ВООЗ'!CF48+'МД Казарма.Рекламация'!CF48</f>
        <v>0</v>
      </c>
      <c r="CG48" s="4757">
        <f t="shared" si="120"/>
        <v>0</v>
      </c>
      <c r="CH48" s="4697" t="e">
        <f t="shared" si="121"/>
        <v>#DIV/0!</v>
      </c>
      <c r="CI48" s="4751"/>
      <c r="CJ48" s="3341">
        <f t="shared" si="122"/>
        <v>15061.449999999999</v>
      </c>
      <c r="CK48" s="3341">
        <f t="shared" si="122"/>
        <v>0</v>
      </c>
      <c r="CL48" s="2012">
        <f t="shared" si="123"/>
        <v>15061.449999999999</v>
      </c>
      <c r="CM48" s="4697">
        <f t="shared" si="88"/>
        <v>2.9558366387860295E-4</v>
      </c>
      <c r="CN48" s="4699"/>
    </row>
    <row r="49" spans="1:92" s="1396" customFormat="1" ht="14.4" outlineLevel="2" thickBot="1">
      <c r="A49" s="1405"/>
      <c r="B49" s="4758"/>
      <c r="C49" s="3341"/>
      <c r="D49" s="3341"/>
      <c r="E49" s="4735"/>
      <c r="F49" s="4708"/>
      <c r="G49" s="4736"/>
      <c r="H49" s="3341"/>
      <c r="I49" s="3341"/>
      <c r="J49" s="4735"/>
      <c r="K49" s="4708"/>
      <c r="L49" s="4736"/>
      <c r="M49" s="3341"/>
      <c r="N49" s="3341"/>
      <c r="O49" s="4735"/>
      <c r="P49" s="4708"/>
      <c r="Q49" s="4736"/>
      <c r="R49" s="3755"/>
      <c r="S49" s="3755"/>
      <c r="T49" s="3456"/>
      <c r="U49" s="3733"/>
      <c r="V49" s="3734"/>
      <c r="W49" s="3734"/>
      <c r="X49" s="3734"/>
      <c r="Y49" s="3734"/>
      <c r="Z49" s="3734"/>
      <c r="AA49" s="3734"/>
      <c r="AB49" s="3375"/>
      <c r="AC49" s="3375"/>
      <c r="AD49" s="4735"/>
      <c r="AE49" s="4708">
        <f t="shared" si="99"/>
        <v>0</v>
      </c>
      <c r="AF49" s="4736"/>
      <c r="AG49" s="3375"/>
      <c r="AH49" s="3375"/>
      <c r="AI49" s="4735"/>
      <c r="AJ49" s="4708">
        <f t="shared" si="101"/>
        <v>0</v>
      </c>
      <c r="AK49" s="4736"/>
      <c r="AL49" s="3375"/>
      <c r="AM49" s="3375"/>
      <c r="AN49" s="4735"/>
      <c r="AO49" s="4708">
        <f t="shared" si="103"/>
        <v>0</v>
      </c>
      <c r="AP49" s="4736"/>
      <c r="AQ49" s="3375"/>
      <c r="AR49" s="3375"/>
      <c r="AS49" s="4735"/>
      <c r="AT49" s="4708">
        <f t="shared" si="105"/>
        <v>0</v>
      </c>
      <c r="AU49" s="4736"/>
      <c r="AV49" s="3375"/>
      <c r="AW49" s="3375"/>
      <c r="AX49" s="4735"/>
      <c r="AY49" s="4708">
        <f t="shared" si="107"/>
        <v>0</v>
      </c>
      <c r="AZ49" s="4736"/>
      <c r="BA49" s="3375"/>
      <c r="BB49" s="3375"/>
      <c r="BC49" s="4735"/>
      <c r="BD49" s="4708">
        <f t="shared" si="109"/>
        <v>0</v>
      </c>
      <c r="BE49" s="4736"/>
      <c r="BF49" s="3375"/>
      <c r="BG49" s="3375"/>
      <c r="BH49" s="4735"/>
      <c r="BI49" s="4708" t="e">
        <f t="shared" si="111"/>
        <v>#DIV/0!</v>
      </c>
      <c r="BJ49" s="4736"/>
      <c r="BK49" s="3375"/>
      <c r="BL49" s="3375"/>
      <c r="BM49" s="4735"/>
      <c r="BN49" s="4708" t="e">
        <f t="shared" si="113"/>
        <v>#DIV/0!</v>
      </c>
      <c r="BO49" s="4736"/>
      <c r="BP49" s="3375"/>
      <c r="BQ49" s="3375"/>
      <c r="BR49" s="4735"/>
      <c r="BS49" s="4708" t="e">
        <f t="shared" si="115"/>
        <v>#DIV/0!</v>
      </c>
      <c r="BT49" s="4736"/>
      <c r="BU49" s="3375"/>
      <c r="BV49" s="3375"/>
      <c r="BW49" s="4735"/>
      <c r="BX49" s="4708" t="e">
        <f t="shared" si="117"/>
        <v>#DIV/0!</v>
      </c>
      <c r="BY49" s="4736"/>
      <c r="BZ49" s="3375"/>
      <c r="CA49" s="3375"/>
      <c r="CB49" s="4735"/>
      <c r="CC49" s="4708" t="e">
        <f t="shared" si="119"/>
        <v>#DIV/0!</v>
      </c>
      <c r="CD49" s="4736"/>
      <c r="CE49" s="3375"/>
      <c r="CF49" s="3375"/>
      <c r="CG49" s="4735"/>
      <c r="CH49" s="4708" t="e">
        <f t="shared" si="121"/>
        <v>#DIV/0!</v>
      </c>
      <c r="CI49" s="4736"/>
      <c r="CJ49" s="3341"/>
      <c r="CK49" s="3341"/>
      <c r="CL49" s="4735"/>
      <c r="CM49" s="4697">
        <f t="shared" si="88"/>
        <v>0</v>
      </c>
      <c r="CN49" s="4735"/>
    </row>
    <row r="50" spans="1:92" s="1396" customFormat="1" ht="13.8" outlineLevel="1">
      <c r="A50" s="1565"/>
      <c r="B50" s="1410" t="s">
        <v>59</v>
      </c>
      <c r="C50" s="2015">
        <f>C52+C51</f>
        <v>0</v>
      </c>
      <c r="D50" s="2015">
        <f>D52+D51</f>
        <v>0</v>
      </c>
      <c r="E50" s="2014">
        <f>SUM(E51:E52)</f>
        <v>0</v>
      </c>
      <c r="F50" s="4749" t="e">
        <f>E50/$E$89</f>
        <v>#DIV/0!</v>
      </c>
      <c r="G50" s="1057"/>
      <c r="H50" s="2015">
        <f>H52+H51</f>
        <v>0</v>
      </c>
      <c r="I50" s="2015">
        <f>I52+I51</f>
        <v>0</v>
      </c>
      <c r="J50" s="2014">
        <f>SUM(J51:J52)</f>
        <v>0</v>
      </c>
      <c r="K50" s="4749" t="e">
        <f>J50/$E$89</f>
        <v>#DIV/0!</v>
      </c>
      <c r="L50" s="1057"/>
      <c r="M50" s="2015">
        <f>M52+M51</f>
        <v>0</v>
      </c>
      <c r="N50" s="2015">
        <f>N52+N51</f>
        <v>0</v>
      </c>
      <c r="O50" s="2014">
        <f>SUM(O51:O52)</f>
        <v>0</v>
      </c>
      <c r="P50" s="4749" t="e">
        <f>O50/$E$89</f>
        <v>#DIV/0!</v>
      </c>
      <c r="Q50" s="1057"/>
      <c r="R50" s="2015">
        <f>R52+R51</f>
        <v>13775</v>
      </c>
      <c r="S50" s="2015">
        <f>S52+S51</f>
        <v>0</v>
      </c>
      <c r="T50" s="2015">
        <f>SUM(T51:T52)</f>
        <v>13775</v>
      </c>
      <c r="U50" s="1535"/>
      <c r="V50" s="3460"/>
      <c r="W50" s="2013">
        <f>W52+W51</f>
        <v>5329</v>
      </c>
      <c r="X50" s="2013">
        <f>X52+X51</f>
        <v>0</v>
      </c>
      <c r="Y50" s="2013">
        <f>SUM(Y51:Y52)</f>
        <v>5329</v>
      </c>
      <c r="Z50" s="1535"/>
      <c r="AA50" s="3460"/>
      <c r="AB50" s="2013">
        <f>AB52+AB51</f>
        <v>0</v>
      </c>
      <c r="AC50" s="2013">
        <f>AC52+AC51</f>
        <v>0</v>
      </c>
      <c r="AD50" s="2013">
        <f>SUM(AD51:AD52)</f>
        <v>0</v>
      </c>
      <c r="AE50" s="1535"/>
      <c r="AF50" s="3735"/>
      <c r="AG50" s="2013">
        <f>AG52+AG51</f>
        <v>1150</v>
      </c>
      <c r="AH50" s="2013">
        <f>AH52+AH51</f>
        <v>0</v>
      </c>
      <c r="AI50" s="2013">
        <f>SUM(AI51:AI52)</f>
        <v>1150</v>
      </c>
      <c r="AJ50" s="1535"/>
      <c r="AK50" s="1057"/>
      <c r="AL50" s="2013">
        <f>AL52+AL51</f>
        <v>4080</v>
      </c>
      <c r="AM50" s="2013">
        <f>AM52+AM51</f>
        <v>0</v>
      </c>
      <c r="AN50" s="2013">
        <f>SUM(AN51:AN52)</f>
        <v>4080</v>
      </c>
      <c r="AO50" s="1535"/>
      <c r="AP50" s="1057"/>
      <c r="AQ50" s="2013">
        <f>AQ52+AQ51</f>
        <v>0</v>
      </c>
      <c r="AR50" s="2013">
        <f>AR52+AR51</f>
        <v>0</v>
      </c>
      <c r="AS50" s="2013">
        <f>SUM(AS51:AS52)</f>
        <v>0</v>
      </c>
      <c r="AT50" s="1535"/>
      <c r="AU50" s="1057"/>
      <c r="AV50" s="2013">
        <f>AV52+AV51</f>
        <v>0</v>
      </c>
      <c r="AW50" s="2013">
        <f>AW52+AW51</f>
        <v>0</v>
      </c>
      <c r="AX50" s="2013">
        <f>SUM(AX51:AX52)</f>
        <v>0</v>
      </c>
      <c r="AY50" s="1535"/>
      <c r="AZ50" s="1057"/>
      <c r="BA50" s="2013">
        <f>BA52+BA51</f>
        <v>99</v>
      </c>
      <c r="BB50" s="2013">
        <f>BB52+BB51</f>
        <v>0</v>
      </c>
      <c r="BC50" s="2013">
        <f>SUM(BC51:BC52)</f>
        <v>99</v>
      </c>
      <c r="BD50" s="1535"/>
      <c r="BE50" s="1057"/>
      <c r="BF50" s="2013">
        <f>BF52+BF51</f>
        <v>0</v>
      </c>
      <c r="BG50" s="2013">
        <f>BG52+BG51</f>
        <v>0</v>
      </c>
      <c r="BH50" s="2013">
        <f>SUM(BH51:BH52)</f>
        <v>0</v>
      </c>
      <c r="BI50" s="1535"/>
      <c r="BJ50" s="1057"/>
      <c r="BK50" s="2013">
        <f>BK52+BK51</f>
        <v>0</v>
      </c>
      <c r="BL50" s="2013">
        <f>BL52+BL51</f>
        <v>0</v>
      </c>
      <c r="BM50" s="2013">
        <f>SUM(BM51:BM52)</f>
        <v>0</v>
      </c>
      <c r="BN50" s="1535"/>
      <c r="BO50" s="1057"/>
      <c r="BP50" s="2013">
        <f>BP52+BP51</f>
        <v>0</v>
      </c>
      <c r="BQ50" s="2013">
        <f>BQ52+BQ51</f>
        <v>0</v>
      </c>
      <c r="BR50" s="2013">
        <f>SUM(BR51:BR52)</f>
        <v>0</v>
      </c>
      <c r="BS50" s="1535"/>
      <c r="BT50" s="1057"/>
      <c r="BU50" s="2013">
        <f>BU52+BU51</f>
        <v>0</v>
      </c>
      <c r="BV50" s="2013">
        <f>BV52+BV51</f>
        <v>0</v>
      </c>
      <c r="BW50" s="2013">
        <f>SUM(BW51:BW52)</f>
        <v>0</v>
      </c>
      <c r="BX50" s="1535"/>
      <c r="BY50" s="1057"/>
      <c r="BZ50" s="2013">
        <f>BZ52+BZ51</f>
        <v>0</v>
      </c>
      <c r="CA50" s="2013">
        <f>CA52+CA51</f>
        <v>0</v>
      </c>
      <c r="CB50" s="2013">
        <f>SUM(CB51:CB52)</f>
        <v>0</v>
      </c>
      <c r="CC50" s="1535"/>
      <c r="CD50" s="1057"/>
      <c r="CE50" s="2013">
        <f>CE52+CE51</f>
        <v>0</v>
      </c>
      <c r="CF50" s="2013">
        <f>CF52+CF51</f>
        <v>0</v>
      </c>
      <c r="CG50" s="2013">
        <f>SUM(CG51:CG52)</f>
        <v>0</v>
      </c>
      <c r="CH50" s="1535"/>
      <c r="CI50" s="1057"/>
      <c r="CJ50" s="2015">
        <f>CJ52+CJ51</f>
        <v>19104</v>
      </c>
      <c r="CK50" s="2015">
        <f>CK52+CK51</f>
        <v>0</v>
      </c>
      <c r="CL50" s="2015">
        <f>SUM(CL51:CL52)</f>
        <v>19104</v>
      </c>
      <c r="CM50" s="2006"/>
      <c r="CN50" s="2006"/>
    </row>
    <row r="51" spans="1:92" s="1396" customFormat="1" ht="13.8" outlineLevel="1">
      <c r="A51" s="1566"/>
      <c r="B51" s="4750" t="s">
        <v>60</v>
      </c>
      <c r="C51" s="3341"/>
      <c r="D51" s="3341"/>
      <c r="E51" s="3349">
        <f t="shared" ref="E51:E52" si="124">C51+D51</f>
        <v>0</v>
      </c>
      <c r="F51" s="4697" t="e">
        <f t="shared" ref="F51:F71" si="125">E51/$E$89</f>
        <v>#DIV/0!</v>
      </c>
      <c r="G51" s="4729"/>
      <c r="H51" s="3341"/>
      <c r="I51" s="3341"/>
      <c r="J51" s="3349">
        <f>H51+I51</f>
        <v>0</v>
      </c>
      <c r="K51" s="4697" t="e">
        <f t="shared" ref="K51:K52" si="126">J51/J$89</f>
        <v>#DIV/0!</v>
      </c>
      <c r="L51" s="4729"/>
      <c r="M51" s="3341"/>
      <c r="N51" s="3341"/>
      <c r="O51" s="3349">
        <f t="shared" ref="O51:O52" si="127">M51+N51</f>
        <v>0</v>
      </c>
      <c r="P51" s="4697" t="e">
        <f t="shared" ref="P51:P53" si="128">O51/O$89</f>
        <v>#DIV/0!</v>
      </c>
      <c r="Q51" s="4729"/>
      <c r="R51" s="3427">
        <f>PL_Производство!BF51</f>
        <v>2399</v>
      </c>
      <c r="S51" s="3427">
        <f>PL_Производство!BG51</f>
        <v>0</v>
      </c>
      <c r="T51" s="2012">
        <f t="shared" ref="T51:T52" si="129">R51+S51</f>
        <v>2399</v>
      </c>
      <c r="U51" s="3455"/>
      <c r="V51" s="3455"/>
      <c r="W51" s="3342">
        <f t="shared" ref="W51:X52" si="130">AB51+AG51+AL51+AV51+BA51+BF51+BK51+BP51+BU51+BZ51+CE51+AQ51</f>
        <v>1249</v>
      </c>
      <c r="X51" s="3342">
        <f t="shared" si="130"/>
        <v>0</v>
      </c>
      <c r="Y51" s="2012">
        <f t="shared" ref="Y51:Y52" si="131">W51+X51</f>
        <v>1249</v>
      </c>
      <c r="Z51" s="3455"/>
      <c r="AA51" s="3455"/>
      <c r="AB51" s="3341">
        <f>PL_ЦО_Производство!AB51+'МД ООН'!AB51+'МК Ладыжин-3'!AB51+'МК Староконстантинов'!AB51+'МК Армокаркасы'!AB51+'МК Щедро. Флекситанки'!AB51+'МК ЛифтМаркет'!AB51+'МК Укркотлопром'!AB51+'МК Подгорцы.Забор'!AB51+PL_Металлизация!BP51+'МД Бытовка ИТР Нежин'!AB51+'МК Металургбуд.поддоны'!AB51</f>
        <v>0</v>
      </c>
      <c r="AC51" s="3341">
        <f>PL_ЦО_Производство!AC51+'МД ООН'!AC51+'МК Ладыжин-3'!AC51+'МК Староконстантинов'!AC51+'МК Армокаркасы'!AC51+'МК Щедро. Флекситанки'!AC51+'МК ЛифтМаркет'!AC51+'МК Укркотлопром'!AC51+'МК Подгорцы.Забор'!AC51+PL_Металлизация!BQ51+'МД Бытовка ИТР Нежин'!AC51+'МК Металургбуд.поддоны'!AC51</f>
        <v>0</v>
      </c>
      <c r="AD51" s="3349">
        <f t="shared" ref="AD51:AD52" si="132">AB51+AC51</f>
        <v>0</v>
      </c>
      <c r="AE51" s="4697">
        <f>AD51/AD$89</f>
        <v>0</v>
      </c>
      <c r="AF51" s="4729"/>
      <c r="AG51" s="3341">
        <f>PL_ЦО_Производство!AG51+'МД ООН'!AG51+'МК Ладыжин-3'!AG51+'МК Староконстантинов'!AG51+'МК Армокаркасы'!AG51+'МК Щедро. Флекситанки'!AG51+'МК ЛифтМаркет'!AG51+'МК Укркотлопром'!AG51+'МК Подгорцы.Забор'!AG51+PL_Металлизация!BU51+'МД Бытовка ИТР Нежин'!AG51+'МК Металургбуд.поддоны'!AG51</f>
        <v>1150</v>
      </c>
      <c r="AH51" s="3341">
        <f>PL_ЦО_Производство!AH51+'МД ООН'!AH51+'МК Ладыжин-3'!AH51+'МК Староконстантинов'!AH51+'МК Армокаркасы'!AH51+'МК Щедро. Флекситанки'!AH51+'МК ЛифтМаркет'!AH51+'МК Укркотлопром'!AH51+'МК Подгорцы.Забор'!AH51+PL_Металлизация!BV51+'МД Бытовка ИТР Нежин'!AH51+'МК Металургбуд.поддоны'!AH51</f>
        <v>0</v>
      </c>
      <c r="AI51" s="3349">
        <f t="shared" ref="AI51:AI52" si="133">AG51+AH51</f>
        <v>1150</v>
      </c>
      <c r="AJ51" s="4697">
        <f t="shared" ref="AJ51:AJ53" si="134">AI51/AI$89</f>
        <v>7.1702440467115501E-4</v>
      </c>
      <c r="AK51" s="4729"/>
      <c r="AL51" s="3341">
        <f>PL_ЦО_Производство!AL51+'МД ООН'!AL51+'МК Ладыжин-3'!AL51+'МК Староконстантинов'!AL51+'МК Армокаркасы'!AL51+'МК Щедро. Флекситанки'!AL51+'МК ЛифтМаркет'!AL51+'МК Укркотлопром'!AL51+'МК Подгорцы.Забор'!AL51+PL_Металлизация!BZ51+'МД Бытовка ИТР Нежин'!AL51+'МК Металургбуд.поддоны'!AL51+'МК Нежин-3'!AL51</f>
        <v>0</v>
      </c>
      <c r="AM51" s="3341">
        <f>PL_ЦО_Производство!AM51+'МД ООН'!AM51+'МК Ладыжин-3'!AM51+'МК Староконстантинов'!AM51+'МК Армокаркасы'!AM51+'МК Щедро. Флекситанки'!AM51+'МК ЛифтМаркет'!AM51+'МК Укркотлопром'!AM51+'МК Подгорцы.Забор'!AM51+PL_Металлизация!CA51+'МД Бытовка ИТР Нежин'!AM51+'МК Металургбуд.поддоны'!AM51+'МК Нежин-3'!AM51</f>
        <v>0</v>
      </c>
      <c r="AN51" s="3349">
        <f t="shared" ref="AN51:AN52" si="135">AL51+AM51</f>
        <v>0</v>
      </c>
      <c r="AO51" s="4697">
        <f t="shared" ref="AO51:AO53" si="136">AN51/AN$89</f>
        <v>0</v>
      </c>
      <c r="AP51" s="4729"/>
      <c r="AQ51" s="3341">
        <f>PL_ЦО_Производство!AQ51+'МД ООН'!AQ51+'МК Ладыжин-3'!AQ51+'МК Староконстантинов'!AQ51+'МК Армокаркасы'!AQ51+'МК Щедро. Флекситанки'!AQ51+'МК ЛифтМаркет'!AQ51+'МК Укркотлопром'!AQ51+'МК Подгорцы.Забор'!AQ51+PL_Металлизация!CE51+'МД Бытовка ИТР Нежин'!AQ51+'МК Металургбуд.поддоны'!AQ51+'МК Нежин-3'!AQ51</f>
        <v>0</v>
      </c>
      <c r="AR51" s="3341">
        <f>PL_ЦО_Производство!AR51+'МД ООН'!AR51+'МК Ладыжин-3'!AR51+'МК Староконстантинов'!AR51+'МК Армокаркасы'!AR51+'МК Щедро. Флекситанки'!AR51+'МК ЛифтМаркет'!AR51+'МК Укркотлопром'!AR51+'МК Подгорцы.Забор'!AR51+PL_Металлизация!CF51+'МД Бытовка ИТР Нежин'!AR51+'МК Металургбуд.поддоны'!AR51+'МК Нежин-3'!AR51</f>
        <v>0</v>
      </c>
      <c r="AS51" s="3349">
        <f t="shared" ref="AS51:AS52" si="137">AQ51+AR51</f>
        <v>0</v>
      </c>
      <c r="AT51" s="4697">
        <f t="shared" ref="AT51:AT53" si="138">AS51/AS$89</f>
        <v>0</v>
      </c>
      <c r="AU51" s="4729"/>
      <c r="AV51" s="3341">
        <f>PL_ЦО_Производство!AV51+'МД ООН'!AV51+'МК Армокаркасы'!AV51+'МК Подгорцы.Забор'!AV51+'МК Нежин-3'!AV51+'МК РДК.Кран'!AV51+'МК Ворота.Запорожье'!AV51+'МД ВООЗ'!AV51+'МД Казарма.Рекламация'!AV51</f>
        <v>0</v>
      </c>
      <c r="AW51" s="3341">
        <f>PL_ЦО_Производство!AW51+'МД ООН'!AW51+'МК Армокаркасы'!AW51+'МК Подгорцы.Забор'!AW51+'МК Нежин-3'!AW51+'МК РДК.Кран'!AW51+'МК Ворота.Запорожье'!AW51+'МД ВООЗ'!AW51+'МД Казарма.Рекламация'!AW51</f>
        <v>0</v>
      </c>
      <c r="AX51" s="3349">
        <f t="shared" ref="AX51:AX52" si="139">AV51+AW51</f>
        <v>0</v>
      </c>
      <c r="AY51" s="4697">
        <f t="shared" ref="AY51:AY53" si="140">AX51/AX$89</f>
        <v>0</v>
      </c>
      <c r="AZ51" s="4729"/>
      <c r="BA51" s="3341">
        <f>PL_ЦО_Производство!BA51+'МД ООН'!BA51+'МК Ладыжин-3'!BA51+'МК Староконстантинов'!BA51+'МК Армокаркасы'!BA51+'МК Щедро. Флекситанки'!BA51+'МК ЛифтМаркет'!BA51+'МК Укркотлопром'!BA51+'МК Подгорцы.Забор'!BA51+PL_Металлизация!CO51+'МД Бытовка ИТР Нежин'!BA51+'МК Металургбуд.поддоны'!BA51+'МК Нежин-3'!BA51+'МК РДК.Кран'!BA51+'МК Ворота.Запорожье'!BA51+'МД ВООЗ'!BA51+'МД Казарма.Рекламация'!BA51</f>
        <v>99</v>
      </c>
      <c r="BB51" s="3341">
        <f>PL_ЦО_Производство!BB51+'МД ООН'!BB51+'МК Ладыжин-3'!BB51+'МК Староконстантинов'!BB51+'МК Армокаркасы'!BB51+'МК Щедро. Флекситанки'!BB51+'МК ЛифтМаркет'!BB51+'МК Укркотлопром'!BB51+'МК Подгорцы.Забор'!BB51+PL_Металлизация!CP51+'МД Бытовка ИТР Нежин'!BB51+'МК Металургбуд.поддоны'!BB51+'МК Нежин-3'!BB51+'МК РДК.Кран'!BB51+'МК Ворота.Запорожье'!BB51+'МД ВООЗ'!BB51+'МД Казарма.Рекламация'!BB51</f>
        <v>0</v>
      </c>
      <c r="BC51" s="3349">
        <f t="shared" ref="BC51:BC52" si="141">BA51+BB51</f>
        <v>99</v>
      </c>
      <c r="BD51" s="4697">
        <f t="shared" ref="BD51:BD53" si="142">BC51/BC$89</f>
        <v>7.5106179243194853E-5</v>
      </c>
      <c r="BE51" s="4729"/>
      <c r="BF51" s="3341">
        <f>PL_ЦО_Производство!BF51+'МД ООН'!BF51+'МК Ладыжин-3'!BF51+'МК Староконстантинов'!BF51+'МК Армокаркасы'!BF51+'МК Щедро. Флекситанки'!BF51+'МК ЛифтМаркет'!BF51+'МК Укркотлопром'!BF51+'МК Подгорцы.Забор'!BF51+PL_Металлизация!CT51+'МД Бытовка ИТР Нежин'!BF51+'МК Металургбуд.поддоны'!BF51+'МК Нежин-3'!BF51+'МК РДК.Кран'!BF51+'МК Ворота.Запорожье'!BF51+'МД ВООЗ'!BF51+'МД Казарма.Рекламация'!BF51</f>
        <v>0</v>
      </c>
      <c r="BG51" s="3341">
        <f>PL_ЦО_Производство!BG51+'МД ООН'!BG51+'МК Ладыжин-3'!BG51+'МК Староконстантинов'!BG51+'МК Армокаркасы'!BG51+'МК Щедро. Флекситанки'!BG51+'МК ЛифтМаркет'!BG51+'МК Укркотлопром'!BG51+'МК Подгорцы.Забор'!BG51+PL_Металлизация!CU51+'МД Бытовка ИТР Нежин'!BG51+'МК Металургбуд.поддоны'!BG51+'МК Нежин-3'!BG51+'МК РДК.Кран'!BG51+'МК Ворота.Запорожье'!BG51+'МД ВООЗ'!BG51+'МД Казарма.Рекламация'!BG51</f>
        <v>0</v>
      </c>
      <c r="BH51" s="3349">
        <f t="shared" ref="BH51:BH52" si="143">BF51+BG51</f>
        <v>0</v>
      </c>
      <c r="BI51" s="4697" t="e">
        <f t="shared" ref="BI51:BI53" si="144">BH51/BH$89</f>
        <v>#DIV/0!</v>
      </c>
      <c r="BJ51" s="4729"/>
      <c r="BK51" s="3341">
        <f>PL_ЦО_Производство!BK51+'МД ООН'!BK51+'МК Ладыжин-3'!BK51+'МК Староконстантинов'!BK51+'МК Армокаркасы'!BK51+'МК Щедро. Флекситанки'!BK51+'МК ЛифтМаркет'!BK51+'МК Укркотлопром'!BK51+'МК Подгорцы.Забор'!BK51+PL_Металлизация!CY51+'МД Бытовка ИТР Нежин'!BK51+'МК Металургбуд.поддоны'!BK51+'МК Нежин-3'!BK51+'МК РДК.Кран'!BK51+'МК Ворота.Запорожье'!BK51+'МД ВООЗ'!BK51+'МД Казарма.Рекламация'!BK51</f>
        <v>0</v>
      </c>
      <c r="BL51" s="3341">
        <f>PL_ЦО_Производство!BL51+'МД ООН'!BL51+'МК Ладыжин-3'!BL51+'МК Староконстантинов'!BL51+'МК Армокаркасы'!BL51+'МК Щедро. Флекситанки'!BL51+'МК ЛифтМаркет'!BL51+'МК Укркотлопром'!BL51+'МК Подгорцы.Забор'!BL51+PL_Металлизация!CZ51+'МД Бытовка ИТР Нежин'!BL51+'МК Металургбуд.поддоны'!BL51+'МК Нежин-3'!BL51+'МК РДК.Кран'!BL51+'МК Ворота.Запорожье'!BL51+'МД ВООЗ'!BL51+'МД Казарма.Рекламация'!BL51</f>
        <v>0</v>
      </c>
      <c r="BM51" s="3349">
        <f t="shared" ref="BM51:BM52" si="145">BK51+BL51</f>
        <v>0</v>
      </c>
      <c r="BN51" s="4697" t="e">
        <f t="shared" ref="BN51:BN53" si="146">BM51/BM$89</f>
        <v>#DIV/0!</v>
      </c>
      <c r="BO51" s="4729"/>
      <c r="BP51" s="3341">
        <f>PL_ЦО_Производство!BP51+'МД ООН'!BP51+'МК Ладыжин-3'!BP51+'МК Староконстантинов'!BP51+'МК Армокаркасы'!BP51+'МК Щедро. Флекситанки'!BP51+'МК ЛифтМаркет'!BP51+'МК Укркотлопром'!BP51+'МК Подгорцы.Забор'!BP51+PL_Металлизация!DD51+'МД Бытовка ИТР Нежин'!BP51+'МК Металургбуд.поддоны'!BP51+'МК Нежин-3'!BP51+'МК РДК.Кран'!BP51+'МК Ворота.Запорожье'!BP51+'МД ВООЗ'!BP51+'МД Казарма.Рекламация'!BP51</f>
        <v>0</v>
      </c>
      <c r="BQ51" s="3341">
        <f>PL_ЦО_Производство!BQ51+'МД ООН'!BQ51+'МК Ладыжин-3'!BQ51+'МК Староконстантинов'!BQ51+'МК Армокаркасы'!BQ51+'МК Щедро. Флекситанки'!BQ51+'МК ЛифтМаркет'!BQ51+'МК Укркотлопром'!BQ51+'МК Подгорцы.Забор'!BQ51+PL_Металлизация!DE51+'МД Бытовка ИТР Нежин'!BQ51+'МК Металургбуд.поддоны'!BQ51+'МК Нежин-3'!BQ51+'МК РДК.Кран'!BQ51+'МК Ворота.Запорожье'!BQ51+'МД ВООЗ'!BQ51+'МД Казарма.Рекламация'!BQ51</f>
        <v>0</v>
      </c>
      <c r="BR51" s="3349">
        <f t="shared" ref="BR51:BR52" si="147">BP51+BQ51</f>
        <v>0</v>
      </c>
      <c r="BS51" s="4697" t="e">
        <f t="shared" ref="BS51:BS53" si="148">BR51/BR$89</f>
        <v>#DIV/0!</v>
      </c>
      <c r="BT51" s="4729"/>
      <c r="BU51" s="3341">
        <f>PL_ЦО_Производство!BU51+'МД ООН'!BU51+'МК Ладыжин-3'!BU51+'МК Староконстантинов'!BU51+'МК Армокаркасы'!BU51+'МК Щедро. Флекситанки'!BU51+'МК ЛифтМаркет'!BU51+'МК Укркотлопром'!BU51+'МК Подгорцы.Забор'!BU51+PL_Металлизация!DI51+'МД Бытовка ИТР Нежин'!BU51+'МК Металургбуд.поддоны'!BU51+'МК Нежин-3'!BU51+'МК РДК.Кран'!BU51+'МК Ворота.Запорожье'!BU51+'МД ВООЗ'!BU51+'МД Казарма.Рекламация'!BU51</f>
        <v>0</v>
      </c>
      <c r="BV51" s="3341">
        <f>PL_ЦО_Производство!BV51+'МД ООН'!BV51+'МК Ладыжин-3'!BV51+'МК Староконстантинов'!BV51+'МК Армокаркасы'!BV51+'МК Щедро. Флекситанки'!BV51+'МК ЛифтМаркет'!BV51+'МК Укркотлопром'!BV51+'МК Подгорцы.Забор'!BV51+PL_Металлизация!DJ51+'МД Бытовка ИТР Нежин'!BV51+'МК Металургбуд.поддоны'!BV51+'МК Нежин-3'!BV51+'МК РДК.Кран'!BV51+'МК Ворота.Запорожье'!BV51+'МД ВООЗ'!BV51+'МД Казарма.Рекламация'!BV51</f>
        <v>0</v>
      </c>
      <c r="BW51" s="3349">
        <f t="shared" ref="BW51:BW52" si="149">BU51+BV51</f>
        <v>0</v>
      </c>
      <c r="BX51" s="4697" t="e">
        <f t="shared" ref="BX51:BX53" si="150">BW51/BW$89</f>
        <v>#DIV/0!</v>
      </c>
      <c r="BY51" s="4729"/>
      <c r="BZ51" s="3341">
        <f>PL_ЦО_Производство!BZ51+'МД ООН'!BZ51+'МК Ладыжин-3'!BZ51+'МК Староконстантинов'!BZ51+'МК Армокаркасы'!BZ51+'МК Щедро. Флекситанки'!BZ51+'МК ЛифтМаркет'!BZ51+'МК Укркотлопром'!BZ51+'МК Подгорцы.Забор'!BZ51+PL_Металлизация!DN51+'МД Бытовка ИТР Нежин'!BZ51+'МК Металургбуд.поддоны'!BZ51+'МК Нежин-3'!BZ51+'МК РДК.Кран'!BZ51+'МК Ворота.Запорожье'!BZ51+'МД ВООЗ'!BZ51+'МД Казарма.Рекламация'!BZ51</f>
        <v>0</v>
      </c>
      <c r="CA51" s="3341">
        <f>PL_ЦО_Производство!CA51+'МД ООН'!CA51+'МК Ладыжин-3'!CA51+'МК Староконстантинов'!CA51+'МК Армокаркасы'!CA51+'МК Щедро. Флекситанки'!CA51+'МК ЛифтМаркет'!CA51+'МК Укркотлопром'!CA51+'МК Подгорцы.Забор'!CA51+PL_Металлизация!DO51+'МД Бытовка ИТР Нежин'!CA51+'МК Металургбуд.поддоны'!CA51+'МК Нежин-3'!CA51+'МК РДК.Кран'!CA51+'МК Ворота.Запорожье'!CA51+'МД ВООЗ'!CA51+'МД Казарма.Рекламация'!CA51</f>
        <v>0</v>
      </c>
      <c r="CB51" s="3349">
        <f t="shared" ref="CB51:CB52" si="151">BZ51+CA51</f>
        <v>0</v>
      </c>
      <c r="CC51" s="4697" t="e">
        <f t="shared" ref="CC51:CC53" si="152">CB51/CB$89</f>
        <v>#DIV/0!</v>
      </c>
      <c r="CD51" s="4729"/>
      <c r="CE51" s="3341">
        <f>PL_ЦО_Производство!CE51+'МД ООН'!CE51+'МК Ладыжин-3'!CE51+'МК Староконстантинов'!CE51+'МК Армокаркасы'!CE51+'МК Щедро. Флекситанки'!CE51+'МК ЛифтМаркет'!CE51+'МК Укркотлопром'!CE51+'МК Подгорцы.Забор'!CE51+PL_Металлизация!DS51+'МД Бытовка ИТР Нежин'!CE51+'МК Металургбуд.поддоны'!CE51+'МК Нежин-3'!CE51+'МК РДК.Кран'!CE51+'МК Ворота.Запорожье'!CE51+'МД ВООЗ'!CE51+'МД Казарма.Рекламация'!CE51</f>
        <v>0</v>
      </c>
      <c r="CF51" s="3341">
        <f>PL_ЦО_Производство!CF51+'МД ООН'!CF51+'МК Ладыжин-3'!CF51+'МК Староконстантинов'!CF51+'МК Армокаркасы'!CF51+'МК Щедро. Флекситанки'!CF51+'МК ЛифтМаркет'!CF51+'МК Укркотлопром'!CF51+'МК Подгорцы.Забор'!CF51+PL_Металлизация!DT51+'МД Бытовка ИТР Нежин'!CF51+'МК Металургбуд.поддоны'!CF51+'МК Нежин-3'!CF51+'МК РДК.Кран'!CF51+'МК Ворота.Запорожье'!CF51+'МД ВООЗ'!CF51+'МД Казарма.Рекламация'!CF51</f>
        <v>0</v>
      </c>
      <c r="CG51" s="3349">
        <f t="shared" ref="CG51:CG52" si="153">CE51+CF51</f>
        <v>0</v>
      </c>
      <c r="CH51" s="4697" t="e">
        <f t="shared" ref="CH51:CH53" si="154">CG51/CG$89</f>
        <v>#DIV/0!</v>
      </c>
      <c r="CI51" s="4729"/>
      <c r="CJ51" s="3341">
        <f t="shared" ref="CJ51:CK52" si="155">R51+W51</f>
        <v>3648</v>
      </c>
      <c r="CK51" s="3341">
        <f t="shared" si="155"/>
        <v>0</v>
      </c>
      <c r="CL51" s="2012">
        <f>CJ51+CK51*1</f>
        <v>3648</v>
      </c>
      <c r="CM51" s="4697">
        <f>CL51/$CL$89</f>
        <v>7.1592655808646824E-5</v>
      </c>
      <c r="CN51" s="4733"/>
    </row>
    <row r="52" spans="1:92" ht="13.8" outlineLevel="2">
      <c r="A52" s="1566"/>
      <c r="B52" s="4750" t="s">
        <v>61</v>
      </c>
      <c r="C52" s="3341"/>
      <c r="D52" s="3341"/>
      <c r="E52" s="3349">
        <f t="shared" si="124"/>
        <v>0</v>
      </c>
      <c r="F52" s="4697" t="e">
        <f t="shared" si="125"/>
        <v>#DIV/0!</v>
      </c>
      <c r="G52" s="4729"/>
      <c r="H52" s="3341"/>
      <c r="I52" s="3341"/>
      <c r="J52" s="3349">
        <f>H52+I52</f>
        <v>0</v>
      </c>
      <c r="K52" s="4697" t="e">
        <f t="shared" si="126"/>
        <v>#DIV/0!</v>
      </c>
      <c r="L52" s="4729"/>
      <c r="M52" s="3341"/>
      <c r="N52" s="3341"/>
      <c r="O52" s="3349">
        <f t="shared" si="127"/>
        <v>0</v>
      </c>
      <c r="P52" s="4697" t="e">
        <f t="shared" si="128"/>
        <v>#DIV/0!</v>
      </c>
      <c r="Q52" s="4729"/>
      <c r="R52" s="3427">
        <f>PL_Производство!BF52</f>
        <v>11376</v>
      </c>
      <c r="S52" s="3427">
        <f>PL_Производство!BG52</f>
        <v>0</v>
      </c>
      <c r="T52" s="2012">
        <f t="shared" si="129"/>
        <v>11376</v>
      </c>
      <c r="U52" s="3455"/>
      <c r="V52" s="3455"/>
      <c r="W52" s="3342">
        <f t="shared" si="130"/>
        <v>4080</v>
      </c>
      <c r="X52" s="3342">
        <f t="shared" si="130"/>
        <v>0</v>
      </c>
      <c r="Y52" s="2012">
        <f t="shared" si="131"/>
        <v>4080</v>
      </c>
      <c r="Z52" s="3455"/>
      <c r="AA52" s="3455"/>
      <c r="AB52" s="3341">
        <f>PL_ЦО_Производство!AB52+'МД ООН'!AB52+'МК Ладыжин-3'!AB52+'МК Староконстантинов'!AB52+'МК Армокаркасы'!AB52+'МК Щедро. Флекситанки'!AB52+'МК ЛифтМаркет'!AB52+'МК Укркотлопром'!AB52+'МК Подгорцы.Забор'!AB52+PL_Металлизация!BP52+'МД Бытовка ИТР Нежин'!AB52+'МК Металургбуд.поддоны'!AB52</f>
        <v>0</v>
      </c>
      <c r="AC52" s="3341">
        <f>PL_ЦО_Производство!AC52+'МД ООН'!AC52+'МК Ладыжин-3'!AC52+'МК Староконстантинов'!AC52+'МК Армокаркасы'!AC52+'МК Щедро. Флекситанки'!AC52+'МК ЛифтМаркет'!AC52+'МК Укркотлопром'!AC52+'МК Подгорцы.Забор'!AC52+PL_Металлизация!BQ52+'МД Бытовка ИТР Нежин'!AC52+'МК Металургбуд.поддоны'!AC52</f>
        <v>0</v>
      </c>
      <c r="AD52" s="3349">
        <f t="shared" si="132"/>
        <v>0</v>
      </c>
      <c r="AE52" s="4697">
        <f>AD52/AD$89</f>
        <v>0</v>
      </c>
      <c r="AF52" s="4729"/>
      <c r="AG52" s="3341">
        <f>PL_ЦО_Производство!AG52+'МД ООН'!AG52+'МК Ладыжин-3'!AG52+'МК Староконстантинов'!AG52+'МК Армокаркасы'!AG52+'МК Щедро. Флекситанки'!AG52+'МК ЛифтМаркет'!AG52+'МК Укркотлопром'!AG52+'МК Подгорцы.Забор'!AG52+PL_Металлизация!BU52+'МД Бытовка ИТР Нежин'!AG52+'МК Металургбуд.поддоны'!AG52</f>
        <v>0</v>
      </c>
      <c r="AH52" s="3341">
        <f>PL_ЦО_Производство!AH52+'МД ООН'!AH52+'МК Ладыжин-3'!AH52+'МК Староконстантинов'!AH52+'МК Армокаркасы'!AH52+'МК Щедро. Флекситанки'!AH52+'МК ЛифтМаркет'!AH52+'МК Укркотлопром'!AH52+'МК Подгорцы.Забор'!AH52+PL_Металлизация!BV52+'МД Бытовка ИТР Нежин'!AH52+'МК Металургбуд.поддоны'!AH52</f>
        <v>0</v>
      </c>
      <c r="AI52" s="3349">
        <f t="shared" si="133"/>
        <v>0</v>
      </c>
      <c r="AJ52" s="4697">
        <f t="shared" si="134"/>
        <v>0</v>
      </c>
      <c r="AK52" s="4729"/>
      <c r="AL52" s="3341">
        <f>PL_ЦО_Производство!AL52+'МД ООН'!AL52+'МК Ладыжин-3'!AL52+'МК Староконстантинов'!AL52+'МК Армокаркасы'!AL52+'МК Щедро. Флекситанки'!AL52+'МК ЛифтМаркет'!AL52+'МК Укркотлопром'!AL52+'МК Подгорцы.Забор'!AL52+PL_Металлизация!BZ52+'МД Бытовка ИТР Нежин'!AL52+'МК Металургбуд.поддоны'!AL52+'МК Нежин-3'!AL52</f>
        <v>4080</v>
      </c>
      <c r="AM52" s="3341">
        <f>PL_ЦО_Производство!AM52+'МД ООН'!AM52+'МК Ладыжин-3'!AM52+'МК Староконстантинов'!AM52+'МК Армокаркасы'!AM52+'МК Щедро. Флекситанки'!AM52+'МК ЛифтМаркет'!AM52+'МК Укркотлопром'!AM52+'МК Подгорцы.Забор'!AM52+PL_Металлизация!CA52+'МД Бытовка ИТР Нежин'!AM52+'МК Металургбуд.поддоны'!AM52+'МК Нежин-3'!AM52</f>
        <v>0</v>
      </c>
      <c r="AN52" s="3349">
        <f t="shared" si="135"/>
        <v>4080</v>
      </c>
      <c r="AO52" s="4697">
        <f t="shared" si="136"/>
        <v>1.9561033264334218E-3</v>
      </c>
      <c r="AP52" s="4729"/>
      <c r="AQ52" s="3341">
        <f>PL_ЦО_Производство!AQ52+'МД ООН'!AQ52+'МК Ладыжин-3'!AQ52+'МК Староконстантинов'!AQ52+'МК Армокаркасы'!AQ52+'МК Щедро. Флекситанки'!AQ52+'МК ЛифтМаркет'!AQ52+'МК Укркотлопром'!AQ52+'МК Подгорцы.Забор'!AQ52+PL_Металлизация!CE52+'МД Бытовка ИТР Нежин'!AQ52+'МК Металургбуд.поддоны'!AQ52+'МК Нежин-3'!AQ52</f>
        <v>0</v>
      </c>
      <c r="AR52" s="3341">
        <f>PL_ЦО_Производство!AR52+'МД ООН'!AR52+'МК Ладыжин-3'!AR52+'МК Староконстантинов'!AR52+'МК Армокаркасы'!AR52+'МК Щедро. Флекситанки'!AR52+'МК ЛифтМаркет'!AR52+'МК Укркотлопром'!AR52+'МК Подгорцы.Забор'!AR52+PL_Металлизация!CF52+'МД Бытовка ИТР Нежин'!AR52+'МК Металургбуд.поддоны'!AR52+'МК Нежин-3'!AR52</f>
        <v>0</v>
      </c>
      <c r="AS52" s="3349">
        <f t="shared" si="137"/>
        <v>0</v>
      </c>
      <c r="AT52" s="4697">
        <f t="shared" si="138"/>
        <v>0</v>
      </c>
      <c r="AU52" s="4729"/>
      <c r="AV52" s="3341">
        <f>PL_ЦО_Производство!AV52+'МД ООН'!AV52+'МК Армокаркасы'!AV52+'МК Подгорцы.Забор'!AV52+'МК Нежин-3'!AV52+'МК РДК.Кран'!AV52+'МК Ворота.Запорожье'!AV52+'МД ВООЗ'!AV52+'МД Казарма.Рекламация'!AV52</f>
        <v>0</v>
      </c>
      <c r="AW52" s="3341">
        <f>PL_ЦО_Производство!AW52+'МД ООН'!AW52+'МК Армокаркасы'!AW52+'МК Подгорцы.Забор'!AW52+'МК Нежин-3'!AW52+'МК РДК.Кран'!AW52+'МК Ворота.Запорожье'!AW52+'МД ВООЗ'!AW52+'МД Казарма.Рекламация'!AW52</f>
        <v>0</v>
      </c>
      <c r="AX52" s="3349">
        <f t="shared" si="139"/>
        <v>0</v>
      </c>
      <c r="AY52" s="4697">
        <f t="shared" si="140"/>
        <v>0</v>
      </c>
      <c r="AZ52" s="4729"/>
      <c r="BA52" s="3341">
        <f>PL_ЦО_Производство!BA52+'МД ООН'!BA52+'МК Ладыжин-3'!BA52+'МК Староконстантинов'!BA52+'МК Армокаркасы'!BA52+'МК Щедро. Флекситанки'!BA52+'МК ЛифтМаркет'!BA52+'МК Укркотлопром'!BA52+'МК Подгорцы.Забор'!BA52+PL_Металлизация!CO52+'МД Бытовка ИТР Нежин'!BA52+'МК Металургбуд.поддоны'!BA52+'МК Нежин-3'!BA52+'МК РДК.Кран'!BA52+'МК Ворота.Запорожье'!BA52+'МД ВООЗ'!BA52+'МД Казарма.Рекламация'!BA52</f>
        <v>0</v>
      </c>
      <c r="BB52" s="3341">
        <f>PL_ЦО_Производство!BB52+'МД ООН'!BB52+'МК Ладыжин-3'!BB52+'МК Староконстантинов'!BB52+'МК Армокаркасы'!BB52+'МК Щедро. Флекситанки'!BB52+'МК ЛифтМаркет'!BB52+'МК Укркотлопром'!BB52+'МК Подгорцы.Забор'!BB52+PL_Металлизация!CP52+'МД Бытовка ИТР Нежин'!BB52+'МК Металургбуд.поддоны'!BB52+'МК Нежин-3'!BB52+'МК РДК.Кран'!BB52+'МК Ворота.Запорожье'!BB52+'МД ВООЗ'!BB52+'МД Казарма.Рекламация'!BB52</f>
        <v>0</v>
      </c>
      <c r="BC52" s="3349">
        <f t="shared" si="141"/>
        <v>0</v>
      </c>
      <c r="BD52" s="4697">
        <f t="shared" si="142"/>
        <v>0</v>
      </c>
      <c r="BE52" s="4729"/>
      <c r="BF52" s="3341">
        <f>PL_ЦО_Производство!BF52+'МД ООН'!BF52+'МК Ладыжин-3'!BF52+'МК Староконстантинов'!BF52+'МК Армокаркасы'!BF52+'МК Щедро. Флекситанки'!BF52+'МК ЛифтМаркет'!BF52+'МК Укркотлопром'!BF52+'МК Подгорцы.Забор'!BF52+PL_Металлизация!CT52+'МД Бытовка ИТР Нежин'!BF52+'МК Металургбуд.поддоны'!BF52+'МК Нежин-3'!BF52+'МК РДК.Кран'!BF52+'МК Ворота.Запорожье'!BF52+'МД ВООЗ'!BF52+'МД Казарма.Рекламация'!BF52</f>
        <v>0</v>
      </c>
      <c r="BG52" s="3341">
        <f>PL_ЦО_Производство!BG52+'МД ООН'!BG52+'МК Ладыжин-3'!BG52+'МК Староконстантинов'!BG52+'МК Армокаркасы'!BG52+'МК Щедро. Флекситанки'!BG52+'МК ЛифтМаркет'!BG52+'МК Укркотлопром'!BG52+'МК Подгорцы.Забор'!BG52+PL_Металлизация!CU52+'МД Бытовка ИТР Нежин'!BG52+'МК Металургбуд.поддоны'!BG52+'МК Нежин-3'!BG52+'МК РДК.Кран'!BG52+'МК Ворота.Запорожье'!BG52+'МД ВООЗ'!BG52+'МД Казарма.Рекламация'!BG52</f>
        <v>0</v>
      </c>
      <c r="BH52" s="3349">
        <f t="shared" si="143"/>
        <v>0</v>
      </c>
      <c r="BI52" s="4697" t="e">
        <f t="shared" si="144"/>
        <v>#DIV/0!</v>
      </c>
      <c r="BJ52" s="4729"/>
      <c r="BK52" s="3341">
        <f>PL_ЦО_Производство!BK52+'МД ООН'!BK52+'МК Ладыжин-3'!BK52+'МК Староконстантинов'!BK52+'МК Армокаркасы'!BK52+'МК Щедро. Флекситанки'!BK52+'МК ЛифтМаркет'!BK52+'МК Укркотлопром'!BK52+'МК Подгорцы.Забор'!BK52+PL_Металлизация!CY52+'МД Бытовка ИТР Нежин'!BK52+'МК Металургбуд.поддоны'!BK52+'МК Нежин-3'!BK52+'МК РДК.Кран'!BK52+'МК Ворота.Запорожье'!BK52+'МД ВООЗ'!BK52+'МД Казарма.Рекламация'!BK52</f>
        <v>0</v>
      </c>
      <c r="BL52" s="3341">
        <f>PL_ЦО_Производство!BL52+'МД ООН'!BL52+'МК Ладыжин-3'!BL52+'МК Староконстантинов'!BL52+'МК Армокаркасы'!BL52+'МК Щедро. Флекситанки'!BL52+'МК ЛифтМаркет'!BL52+'МК Укркотлопром'!BL52+'МК Подгорцы.Забор'!BL52+PL_Металлизация!CZ52+'МД Бытовка ИТР Нежин'!BL52+'МК Металургбуд.поддоны'!BL52+'МК Нежин-3'!BL52+'МК РДК.Кран'!BL52+'МК Ворота.Запорожье'!BL52+'МД ВООЗ'!BL52+'МД Казарма.Рекламация'!BL52</f>
        <v>0</v>
      </c>
      <c r="BM52" s="3349">
        <f t="shared" si="145"/>
        <v>0</v>
      </c>
      <c r="BN52" s="4697" t="e">
        <f t="shared" si="146"/>
        <v>#DIV/0!</v>
      </c>
      <c r="BO52" s="4729"/>
      <c r="BP52" s="3341">
        <f>PL_ЦО_Производство!BP52+'МД ООН'!BP52+'МК Ладыжин-3'!BP52+'МК Староконстантинов'!BP52+'МК Армокаркасы'!BP52+'МК Щедро. Флекситанки'!BP52+'МК ЛифтМаркет'!BP52+'МК Укркотлопром'!BP52+'МК Подгорцы.Забор'!BP52+PL_Металлизация!DD52+'МД Бытовка ИТР Нежин'!BP52+'МК Металургбуд.поддоны'!BP52+'МК Нежин-3'!BP52+'МК РДК.Кран'!BP52+'МК Ворота.Запорожье'!BP52+'МД ВООЗ'!BP52+'МД Казарма.Рекламация'!BP52</f>
        <v>0</v>
      </c>
      <c r="BQ52" s="3341">
        <f>PL_ЦО_Производство!BQ52+'МД ООН'!BQ52+'МК Ладыжин-3'!BQ52+'МК Староконстантинов'!BQ52+'МК Армокаркасы'!BQ52+'МК Щедро. Флекситанки'!BQ52+'МК ЛифтМаркет'!BQ52+'МК Укркотлопром'!BQ52+'МК Подгорцы.Забор'!BQ52+PL_Металлизация!DE52+'МД Бытовка ИТР Нежин'!BQ52+'МК Металургбуд.поддоны'!BQ52+'МК Нежин-3'!BQ52+'МК РДК.Кран'!BQ52+'МК Ворота.Запорожье'!BQ52+'МД ВООЗ'!BQ52+'МД Казарма.Рекламация'!BQ52</f>
        <v>0</v>
      </c>
      <c r="BR52" s="3349">
        <f t="shared" si="147"/>
        <v>0</v>
      </c>
      <c r="BS52" s="4697" t="e">
        <f t="shared" si="148"/>
        <v>#DIV/0!</v>
      </c>
      <c r="BT52" s="4729"/>
      <c r="BU52" s="3341">
        <f>PL_ЦО_Производство!BU52+'МД ООН'!BU52+'МК Ладыжин-3'!BU52+'МК Староконстантинов'!BU52+'МК Армокаркасы'!BU52+'МК Щедро. Флекситанки'!BU52+'МК ЛифтМаркет'!BU52+'МК Укркотлопром'!BU52+'МК Подгорцы.Забор'!BU52+PL_Металлизация!DI52+'МД Бытовка ИТР Нежин'!BU52+'МК Металургбуд.поддоны'!BU52+'МК Нежин-3'!BU52+'МК РДК.Кран'!BU52+'МК Ворота.Запорожье'!BU52+'МД ВООЗ'!BU52+'МД Казарма.Рекламация'!BU52</f>
        <v>0</v>
      </c>
      <c r="BV52" s="3341">
        <f>PL_ЦО_Производство!BV52+'МД ООН'!BV52+'МК Ладыжин-3'!BV52+'МК Староконстантинов'!BV52+'МК Армокаркасы'!BV52+'МК Щедро. Флекситанки'!BV52+'МК ЛифтМаркет'!BV52+'МК Укркотлопром'!BV52+'МК Подгорцы.Забор'!BV52+PL_Металлизация!DJ52+'МД Бытовка ИТР Нежин'!BV52+'МК Металургбуд.поддоны'!BV52+'МК Нежин-3'!BV52+'МК РДК.Кран'!BV52+'МК Ворота.Запорожье'!BV52+'МД ВООЗ'!BV52+'МД Казарма.Рекламация'!BV52</f>
        <v>0</v>
      </c>
      <c r="BW52" s="3349">
        <f t="shared" si="149"/>
        <v>0</v>
      </c>
      <c r="BX52" s="4697" t="e">
        <f t="shared" si="150"/>
        <v>#DIV/0!</v>
      </c>
      <c r="BY52" s="4729"/>
      <c r="BZ52" s="3341">
        <f>PL_ЦО_Производство!BZ52+'МД ООН'!BZ52+'МК Ладыжин-3'!BZ52+'МК Староконстантинов'!BZ52+'МК Армокаркасы'!BZ52+'МК Щедро. Флекситанки'!BZ52+'МК ЛифтМаркет'!BZ52+'МК Укркотлопром'!BZ52+'МК Подгорцы.Забор'!BZ52+PL_Металлизация!DN52+'МД Бытовка ИТР Нежин'!BZ52+'МК Металургбуд.поддоны'!BZ52+'МК Нежин-3'!BZ52+'МК РДК.Кран'!BZ52+'МК Ворота.Запорожье'!BZ52+'МД ВООЗ'!BZ52+'МД Казарма.Рекламация'!BZ52</f>
        <v>0</v>
      </c>
      <c r="CA52" s="3341">
        <f>PL_ЦО_Производство!CA52+'МД ООН'!CA52+'МК Ладыжин-3'!CA52+'МК Староконстантинов'!CA52+'МК Армокаркасы'!CA52+'МК Щедро. Флекситанки'!CA52+'МК ЛифтМаркет'!CA52+'МК Укркотлопром'!CA52+'МК Подгорцы.Забор'!CA52+PL_Металлизация!DO52+'МД Бытовка ИТР Нежин'!CA52+'МК Металургбуд.поддоны'!CA52+'МК Нежин-3'!CA52+'МК РДК.Кран'!CA52+'МК Ворота.Запорожье'!CA52+'МД ВООЗ'!CA52+'МД Казарма.Рекламация'!CA52</f>
        <v>0</v>
      </c>
      <c r="CB52" s="3349">
        <f t="shared" si="151"/>
        <v>0</v>
      </c>
      <c r="CC52" s="4697" t="e">
        <f t="shared" si="152"/>
        <v>#DIV/0!</v>
      </c>
      <c r="CD52" s="4729"/>
      <c r="CE52" s="3341">
        <f>PL_ЦО_Производство!CE52+'МД ООН'!CE52+'МК Ладыжин-3'!CE52+'МК Староконстантинов'!CE52+'МК Армокаркасы'!CE52+'МК Щедро. Флекситанки'!CE52+'МК ЛифтМаркет'!CE52+'МК Укркотлопром'!CE52+'МК Подгорцы.Забор'!CE52+PL_Металлизация!DS52+'МД Бытовка ИТР Нежин'!CE52+'МК Металургбуд.поддоны'!CE52+'МК Нежин-3'!CE52+'МК РДК.Кран'!CE52+'МК Ворота.Запорожье'!CE52+'МД ВООЗ'!CE52+'МД Казарма.Рекламация'!CE52</f>
        <v>0</v>
      </c>
      <c r="CF52" s="3341">
        <f>PL_ЦО_Производство!CF52+'МД ООН'!CF52+'МК Ладыжин-3'!CF52+'МК Староконстантинов'!CF52+'МК Армокаркасы'!CF52+'МК Щедро. Флекситанки'!CF52+'МК ЛифтМаркет'!CF52+'МК Укркотлопром'!CF52+'МК Подгорцы.Забор'!CF52+PL_Металлизация!DT52+'МД Бытовка ИТР Нежин'!CF52+'МК Металургбуд.поддоны'!CF52+'МК Нежин-3'!CF52+'МК РДК.Кран'!CF52+'МК Ворота.Запорожье'!CF52+'МД ВООЗ'!CF52+'МД Казарма.Рекламация'!CF52</f>
        <v>0</v>
      </c>
      <c r="CG52" s="3349">
        <f t="shared" si="153"/>
        <v>0</v>
      </c>
      <c r="CH52" s="4697" t="e">
        <f t="shared" si="154"/>
        <v>#DIV/0!</v>
      </c>
      <c r="CI52" s="4729"/>
      <c r="CJ52" s="3341">
        <f t="shared" si="155"/>
        <v>15456</v>
      </c>
      <c r="CK52" s="3341">
        <f t="shared" si="155"/>
        <v>0</v>
      </c>
      <c r="CL52" s="2012">
        <f>CJ52+CK52*1</f>
        <v>15456</v>
      </c>
      <c r="CM52" s="4697">
        <f>CL52/$CL$89</f>
        <v>3.0332677855768786E-4</v>
      </c>
      <c r="CN52" s="4733"/>
    </row>
    <row r="53" spans="1:92" ht="14.4" outlineLevel="1" thickBot="1">
      <c r="A53" s="1413"/>
      <c r="B53" s="4759"/>
      <c r="C53" s="3341"/>
      <c r="D53" s="3341"/>
      <c r="E53" s="4760"/>
      <c r="F53" s="4697" t="e">
        <f t="shared" si="125"/>
        <v>#DIV/0!</v>
      </c>
      <c r="G53" s="4761"/>
      <c r="H53" s="3341"/>
      <c r="I53" s="3341"/>
      <c r="J53" s="4760"/>
      <c r="K53" s="4697" t="e">
        <f t="shared" ref="K53:K54" si="156">J53/$E$89</f>
        <v>#DIV/0!</v>
      </c>
      <c r="L53" s="4761"/>
      <c r="M53" s="3341"/>
      <c r="N53" s="3341"/>
      <c r="O53" s="4760"/>
      <c r="P53" s="4697" t="e">
        <f t="shared" si="128"/>
        <v>#DIV/0!</v>
      </c>
      <c r="Q53" s="4761"/>
      <c r="R53" s="4823"/>
      <c r="S53" s="4824"/>
      <c r="T53" s="4761"/>
      <c r="U53" s="4761"/>
      <c r="V53" s="4761"/>
      <c r="W53" s="4761"/>
      <c r="X53" s="4761"/>
      <c r="Y53" s="4761"/>
      <c r="Z53" s="4761"/>
      <c r="AA53" s="4761"/>
      <c r="AB53" s="4706"/>
      <c r="AC53" s="4706"/>
      <c r="AD53" s="4760"/>
      <c r="AE53" s="4708">
        <f>AD53/AD$89</f>
        <v>0</v>
      </c>
      <c r="AF53" s="4761"/>
      <c r="AG53" s="4706"/>
      <c r="AH53" s="4706"/>
      <c r="AI53" s="4760"/>
      <c r="AJ53" s="4708">
        <f t="shared" si="134"/>
        <v>0</v>
      </c>
      <c r="AK53" s="4761"/>
      <c r="AL53" s="4706"/>
      <c r="AM53" s="4706"/>
      <c r="AN53" s="4760"/>
      <c r="AO53" s="4708">
        <f t="shared" si="136"/>
        <v>0</v>
      </c>
      <c r="AP53" s="4761"/>
      <c r="AQ53" s="4706"/>
      <c r="AR53" s="4706"/>
      <c r="AS53" s="4760"/>
      <c r="AT53" s="4708">
        <f t="shared" si="138"/>
        <v>0</v>
      </c>
      <c r="AU53" s="4761"/>
      <c r="AV53" s="3375">
        <f>PL_ЦО_Производство!AV53+'МД ООН'!AV53+'МК Ладыжин-3'!AV53+'МК Староконстантинов'!AV53+'МК Армокаркасы'!AV53+'МК Щедро. Флекситанки'!AV53+'МК ЛифтМаркет'!AV53+'МК Укркотлопром'!AV53+'МК Подгорцы.Забор'!AV53+PL_Металлизация!CJ53+'МД Бытовка ИТР Нежин'!AV53+'МК Металургбуд.поддоны'!AV53+'МК Нежин-3'!AV53+'МК РДК.Кран'!AV53+'МК Ворота.Запорожье'!AV53+'МД ВООЗ'!AV53+'МД Казарма.Рекламация'!AV53</f>
        <v>0</v>
      </c>
      <c r="AW53" s="3375">
        <f>PL_ЦО_Производство!AW53+'МД ООН'!AW53+'МК Ладыжин-3'!AW53+'МК Староконстантинов'!AW53+'МК Армокаркасы'!AW53+'МК Щедро. Флекситанки'!AW53+'МК ЛифтМаркет'!AW53+'МК Укркотлопром'!AW53+'МК Подгорцы.Забор'!AW53+PL_Металлизация!CK53+'МД Бытовка ИТР Нежин'!AW53+'МК Металургбуд.поддоны'!AW53+'МК Нежин-3'!AW53+'МК РДК.Кран'!AW53+'МК Ворота.Запорожье'!AW53+'МД ВООЗ'!AW53+'МД Казарма.Рекламация'!AW53</f>
        <v>0</v>
      </c>
      <c r="AX53" s="4760"/>
      <c r="AY53" s="4708">
        <f t="shared" si="140"/>
        <v>0</v>
      </c>
      <c r="AZ53" s="4761"/>
      <c r="BA53" s="3375">
        <f>PL_ЦО_Производство!BA53+'МД ООН'!BA53+'МК Ладыжин-3'!BA53+'МК Староконстантинов'!BA53+'МК Армокаркасы'!BA53+'МК Щедро. Флекситанки'!BA53+'МК ЛифтМаркет'!BA53+'МК Укркотлопром'!BA53+'МК Подгорцы.Забор'!BA53+PL_Металлизация!CO53+'МД Бытовка ИТР Нежин'!BA53+'МК Металургбуд.поддоны'!BA53+'МК Нежин-3'!BA53+'МК РДК.Кран'!BA53+'МК Ворота.Запорожье'!BA53+'МД ВООЗ'!BA53+'МД Казарма.Рекламация'!BA53</f>
        <v>0</v>
      </c>
      <c r="BB53" s="3375">
        <f>PL_ЦО_Производство!BB53+'МД ООН'!BB53+'МК Ладыжин-3'!BB53+'МК Староконстантинов'!BB53+'МК Армокаркасы'!BB53+'МК Щедро. Флекситанки'!BB53+'МК ЛифтМаркет'!BB53+'МК Укркотлопром'!BB53+'МК Подгорцы.Забор'!BB53+PL_Металлизация!CP53+'МД Бытовка ИТР Нежин'!BB53+'МК Металургбуд.поддоны'!BB53+'МК Нежин-3'!BB53+'МК РДК.Кран'!BB53+'МК Ворота.Запорожье'!BB53+'МД ВООЗ'!BB53+'МД Казарма.Рекламация'!BB53</f>
        <v>0</v>
      </c>
      <c r="BC53" s="4760"/>
      <c r="BD53" s="4708">
        <f t="shared" si="142"/>
        <v>0</v>
      </c>
      <c r="BE53" s="4761"/>
      <c r="BF53" s="3375">
        <f>PL_ЦО_Производство!BF53+'МД ООН'!BF53+'МК Ладыжин-3'!BF53+'МК Староконстантинов'!BF53+'МК Армокаркасы'!BF53+'МК Щедро. Флекситанки'!BF53+'МК ЛифтМаркет'!BF53+'МК Укркотлопром'!BF53+'МК Подгорцы.Забор'!BF53+PL_Металлизация!CT53+'МД Бытовка ИТР Нежин'!BF53+'МК Металургбуд.поддоны'!BF53+'МК Нежин-3'!BF53+'МК РДК.Кран'!BF53+'МК Ворота.Запорожье'!BF53+'МД ВООЗ'!BF53+'МД Казарма.Рекламация'!BF53</f>
        <v>0</v>
      </c>
      <c r="BG53" s="3375">
        <f>PL_ЦО_Производство!BG53+'МД ООН'!BG53+'МК Ладыжин-3'!BG53+'МК Староконстантинов'!BG53+'МК Армокаркасы'!BG53+'МК Щедро. Флекситанки'!BG53+'МК ЛифтМаркет'!BG53+'МК Укркотлопром'!BG53+'МК Подгорцы.Забор'!BG53+PL_Металлизация!CU53+'МД Бытовка ИТР Нежин'!BG53+'МК Металургбуд.поддоны'!BG53+'МК Нежин-3'!BG53+'МК РДК.Кран'!BG53+'МК Ворота.Запорожье'!BG53+'МД ВООЗ'!BG53+'МД Казарма.Рекламация'!BG53</f>
        <v>0</v>
      </c>
      <c r="BH53" s="4760"/>
      <c r="BI53" s="4708" t="e">
        <f t="shared" si="144"/>
        <v>#DIV/0!</v>
      </c>
      <c r="BJ53" s="4761"/>
      <c r="BK53" s="3375">
        <f>PL_ЦО_Производство!BK53+'МД ООН'!BK53+'МК Ладыжин-3'!BK53+'МК Староконстантинов'!BK53+'МК Армокаркасы'!BK53+'МК Щедро. Флекситанки'!BK53+'МК ЛифтМаркет'!BK53+'МК Укркотлопром'!BK53+'МК Подгорцы.Забор'!BK53+PL_Металлизация!CY53+'МД Бытовка ИТР Нежин'!BK53+'МК Металургбуд.поддоны'!BK53+'МК Нежин-3'!BK53+'МК РДК.Кран'!BK53+'МК Ворота.Запорожье'!BK53+'МД ВООЗ'!BK53+'МД Казарма.Рекламация'!BK53</f>
        <v>0</v>
      </c>
      <c r="BL53" s="3375">
        <f>PL_ЦО_Производство!BL53+'МД ООН'!BL53+'МК Ладыжин-3'!BL53+'МК Староконстантинов'!BL53+'МК Армокаркасы'!BL53+'МК Щедро. Флекситанки'!BL53+'МК ЛифтМаркет'!BL53+'МК Укркотлопром'!BL53+'МК Подгорцы.Забор'!BL53+PL_Металлизация!CZ53+'МД Бытовка ИТР Нежин'!BL53+'МК Металургбуд.поддоны'!BL53+'МК Нежин-3'!BL53+'МК РДК.Кран'!BL53+'МК Ворота.Запорожье'!BL53+'МД ВООЗ'!BL53+'МД Казарма.Рекламация'!BL53</f>
        <v>0</v>
      </c>
      <c r="BM53" s="4760"/>
      <c r="BN53" s="4708" t="e">
        <f t="shared" si="146"/>
        <v>#DIV/0!</v>
      </c>
      <c r="BO53" s="4761"/>
      <c r="BP53" s="3375">
        <f>PL_ЦО_Производство!BP53+'МД ООН'!BP53+'МК Ладыжин-3'!BP53+'МК Староконстантинов'!BP53+'МК Армокаркасы'!BP53+'МК Щедро. Флекситанки'!BP53+'МК ЛифтМаркет'!BP53+'МК Укркотлопром'!BP53+'МК Подгорцы.Забор'!BP53+PL_Металлизация!DD53+'МД Бытовка ИТР Нежин'!BP53+'МК Металургбуд.поддоны'!BP53+'МК Нежин-3'!BP53+'МК РДК.Кран'!BP53+'МК Ворота.Запорожье'!BP53+'МД ВООЗ'!BP53+'МД Казарма.Рекламация'!BP53</f>
        <v>0</v>
      </c>
      <c r="BQ53" s="3375">
        <f>PL_ЦО_Производство!BQ53+'МД ООН'!BQ53+'МК Ладыжин-3'!BQ53+'МК Староконстантинов'!BQ53+'МК Армокаркасы'!BQ53+'МК Щедро. Флекситанки'!BQ53+'МК ЛифтМаркет'!BQ53+'МК Укркотлопром'!BQ53+'МК Подгорцы.Забор'!BQ53+PL_Металлизация!DE53+'МД Бытовка ИТР Нежин'!BQ53+'МК Металургбуд.поддоны'!BQ53+'МК Нежин-3'!BQ53+'МК РДК.Кран'!BQ53+'МК Ворота.Запорожье'!BQ53+'МД ВООЗ'!BQ53+'МД Казарма.Рекламация'!BQ53</f>
        <v>0</v>
      </c>
      <c r="BR53" s="4760"/>
      <c r="BS53" s="4708" t="e">
        <f t="shared" si="148"/>
        <v>#DIV/0!</v>
      </c>
      <c r="BT53" s="4761"/>
      <c r="BU53" s="3375">
        <f>PL_ЦО_Производство!BU53+'МД ООН'!BU53+'МК Ладыжин-3'!BU53+'МК Староконстантинов'!BU53+'МК Армокаркасы'!BU53+'МК Щедро. Флекситанки'!BU53+'МК ЛифтМаркет'!BU53+'МК Укркотлопром'!BU53+'МК Подгорцы.Забор'!BU53+PL_Металлизация!DI53+'МД Бытовка ИТР Нежин'!BU53+'МК Металургбуд.поддоны'!BU53+'МК Нежин-3'!BU53+'МК РДК.Кран'!BU53+'МК Ворота.Запорожье'!BU53+'МД ВООЗ'!BU53+'МД Казарма.Рекламация'!BU53</f>
        <v>0</v>
      </c>
      <c r="BV53" s="3375">
        <f>PL_ЦО_Производство!BV53+'МД ООН'!BV53+'МК Ладыжин-3'!BV53+'МК Староконстантинов'!BV53+'МК Армокаркасы'!BV53+'МК Щедро. Флекситанки'!BV53+'МК ЛифтМаркет'!BV53+'МК Укркотлопром'!BV53+'МК Подгорцы.Забор'!BV53+PL_Металлизация!DJ53+'МД Бытовка ИТР Нежин'!BV53+'МК Металургбуд.поддоны'!BV53+'МК Нежин-3'!BV53+'МК РДК.Кран'!BV53+'МК Ворота.Запорожье'!BV53+'МД ВООЗ'!BV53+'МД Казарма.Рекламация'!BV53</f>
        <v>0</v>
      </c>
      <c r="BW53" s="4760"/>
      <c r="BX53" s="4708" t="e">
        <f t="shared" si="150"/>
        <v>#DIV/0!</v>
      </c>
      <c r="BY53" s="4761"/>
      <c r="BZ53" s="3375">
        <f>PL_ЦО_Производство!BZ53+'МД ООН'!BZ53+'МК Ладыжин-3'!BZ53+'МК Староконстантинов'!BZ53+'МК Армокаркасы'!BZ53+'МК Щедро. Флекситанки'!BZ53+'МК ЛифтМаркет'!BZ53+'МК Укркотлопром'!BZ53+'МК Подгорцы.Забор'!BZ53+PL_Металлизация!DN53+'МД Бытовка ИТР Нежин'!BZ53+'МК Металургбуд.поддоны'!BZ53+'МК Нежин-3'!BZ53+'МК РДК.Кран'!BZ53+'МК Ворота.Запорожье'!BZ53+'МД ВООЗ'!BZ53+'МД Казарма.Рекламация'!BZ53</f>
        <v>0</v>
      </c>
      <c r="CA53" s="3375">
        <f>PL_ЦО_Производство!CA53+'МД ООН'!CA53+'МК Ладыжин-3'!CA53+'МК Староконстантинов'!CA53+'МК Армокаркасы'!CA53+'МК Щедро. Флекситанки'!CA53+'МК ЛифтМаркет'!CA53+'МК Укркотлопром'!CA53+'МК Подгорцы.Забор'!CA53+PL_Металлизация!DO53+'МД Бытовка ИТР Нежин'!CA53+'МК Металургбуд.поддоны'!CA53+'МК Нежин-3'!CA53+'МК РДК.Кран'!CA53+'МК Ворота.Запорожье'!CA53+'МД ВООЗ'!CA53+'МД Казарма.Рекламация'!CA53</f>
        <v>0</v>
      </c>
      <c r="CB53" s="4760"/>
      <c r="CC53" s="4708" t="e">
        <f t="shared" si="152"/>
        <v>#DIV/0!</v>
      </c>
      <c r="CD53" s="4761"/>
      <c r="CE53" s="3375">
        <f>PL_ЦО_Производство!CE53+'МД ООН'!CE53+'МК Ладыжин-3'!CE53+'МК Староконстантинов'!CE53+'МК Армокаркасы'!CE53+'МК Щедро. Флекситанки'!CE53+'МК ЛифтМаркет'!CE53+'МК Укркотлопром'!CE53+'МК Подгорцы.Забор'!CE53+PL_Металлизация!DS53+'МД Бытовка ИТР Нежин'!CE53+'МК Металургбуд.поддоны'!CE53+'МК Нежин-3'!CE53+'МК РДК.Кран'!CE53+'МК Ворота.Запорожье'!CE53+'МД ВООЗ'!CE53+'МД Казарма.Рекламация'!CE53</f>
        <v>0</v>
      </c>
      <c r="CF53" s="3375">
        <f>PL_ЦО_Производство!CF53+'МД ООН'!CF53+'МК Ладыжин-3'!CF53+'МК Староконстантинов'!CF53+'МК Армокаркасы'!CF53+'МК Щедро. Флекситанки'!CF53+'МК ЛифтМаркет'!CF53+'МК Укркотлопром'!CF53+'МК Подгорцы.Забор'!CF53+PL_Металлизация!DT53+'МД Бытовка ИТР Нежин'!CF53+'МК Металургбуд.поддоны'!CF53+'МК Нежин-3'!CF53+'МК РДК.Кран'!CF53+'МК Ворота.Запорожье'!CF53+'МД ВООЗ'!CF53+'МД Казарма.Рекламация'!CF53</f>
        <v>0</v>
      </c>
      <c r="CG53" s="4760"/>
      <c r="CH53" s="4708" t="e">
        <f t="shared" si="154"/>
        <v>#DIV/0!</v>
      </c>
      <c r="CI53" s="4761"/>
      <c r="CJ53" s="4706">
        <f t="shared" ref="CJ53:CK53" si="157">C53+H53+M53+W53</f>
        <v>0</v>
      </c>
      <c r="CK53" s="4706">
        <f t="shared" si="157"/>
        <v>0</v>
      </c>
      <c r="CL53" s="4760"/>
      <c r="CM53" s="4760"/>
      <c r="CN53" s="4760"/>
    </row>
    <row r="54" spans="1:92" ht="13.8" outlineLevel="1">
      <c r="A54" s="1570"/>
      <c r="B54" s="1410" t="s">
        <v>1</v>
      </c>
      <c r="C54" s="2015">
        <f>SUM(C55:C72)</f>
        <v>0</v>
      </c>
      <c r="D54" s="2015">
        <f>SUM(D55:D72)</f>
        <v>0</v>
      </c>
      <c r="E54" s="2014">
        <f>SUM(E55:E72)</f>
        <v>0</v>
      </c>
      <c r="F54" s="4749" t="e">
        <f t="shared" si="125"/>
        <v>#DIV/0!</v>
      </c>
      <c r="G54" s="1057"/>
      <c r="H54" s="2015">
        <f>SUM(H55:H72)</f>
        <v>0</v>
      </c>
      <c r="I54" s="2015">
        <f>SUM(I55:I72)</f>
        <v>0</v>
      </c>
      <c r="J54" s="2014">
        <f>SUM(J55:J72)</f>
        <v>0</v>
      </c>
      <c r="K54" s="4749" t="e">
        <f t="shared" si="156"/>
        <v>#DIV/0!</v>
      </c>
      <c r="L54" s="1057"/>
      <c r="M54" s="2015">
        <f>SUM(M55:M72)</f>
        <v>0</v>
      </c>
      <c r="N54" s="2015">
        <f>SUM(N55:N72)</f>
        <v>0</v>
      </c>
      <c r="O54" s="2014">
        <f>SUM(O55:O72)</f>
        <v>0</v>
      </c>
      <c r="P54" s="4749" t="e">
        <f t="shared" ref="P54" si="158">O54/$E$89</f>
        <v>#DIV/0!</v>
      </c>
      <c r="Q54" s="1057"/>
      <c r="R54" s="2013">
        <f>SUM(R55:R72)</f>
        <v>2794331.7</v>
      </c>
      <c r="S54" s="2013">
        <f>SUM(S55:S72)</f>
        <v>1631688.6600000001</v>
      </c>
      <c r="T54" s="2013">
        <f>SUM(T55:T72)</f>
        <v>4426020.3600000013</v>
      </c>
      <c r="U54" s="1535"/>
      <c r="V54" s="3460"/>
      <c r="W54" s="2013">
        <f>SUM(W55:W72)</f>
        <v>1691657.81</v>
      </c>
      <c r="X54" s="2013">
        <f>SUM(X55:X72)</f>
        <v>694983.31359999999</v>
      </c>
      <c r="Y54" s="2013">
        <f>SUM(Y55:Y72)</f>
        <v>2386641.1236</v>
      </c>
      <c r="Z54" s="1535"/>
      <c r="AA54" s="3460"/>
      <c r="AB54" s="2013">
        <f>SUM(AB55:AB72)</f>
        <v>304412.53999999998</v>
      </c>
      <c r="AC54" s="2013">
        <f>SUM(AC55:AC72)</f>
        <v>112724.45879999999</v>
      </c>
      <c r="AD54" s="2013">
        <f>SUM(AD55:AD72)</f>
        <v>417136.9988</v>
      </c>
      <c r="AE54" s="1535"/>
      <c r="AF54" s="3735"/>
      <c r="AG54" s="2013">
        <f>SUM(AG55:AG72)</f>
        <v>287634.16000000003</v>
      </c>
      <c r="AH54" s="2013">
        <f>SUM(AH55:AH72)</f>
        <v>108258.8548</v>
      </c>
      <c r="AI54" s="2013">
        <f>SUM(AI55:AI72)</f>
        <v>395893.0148</v>
      </c>
      <c r="AJ54" s="1535"/>
      <c r="AK54" s="3735"/>
      <c r="AL54" s="2013">
        <f>SUM(AL55:AL72)</f>
        <v>279716.61</v>
      </c>
      <c r="AM54" s="2013">
        <f>SUM(AM55:AM72)</f>
        <v>108425</v>
      </c>
      <c r="AN54" s="2013">
        <f>SUM(AN55:AN72)</f>
        <v>388141.61</v>
      </c>
      <c r="AO54" s="1535"/>
      <c r="AP54" s="3735"/>
      <c r="AQ54" s="2013">
        <f>SUM(AQ55:AQ72)</f>
        <v>273665.24</v>
      </c>
      <c r="AR54" s="2013">
        <f>SUM(AR55:AR72)</f>
        <v>108150</v>
      </c>
      <c r="AS54" s="2013">
        <f>SUM(AS55:AS72)</f>
        <v>381815.24</v>
      </c>
      <c r="AT54" s="1535"/>
      <c r="AU54" s="3735"/>
      <c r="AV54" s="2013">
        <f>SUM(AV55:AV72)</f>
        <v>246905.26</v>
      </c>
      <c r="AW54" s="2013">
        <f>SUM(AW55:AW72)</f>
        <v>120600</v>
      </c>
      <c r="AX54" s="2013">
        <f>SUM(AX55:AX72)</f>
        <v>367505.26</v>
      </c>
      <c r="AY54" s="1535"/>
      <c r="AZ54" s="3735"/>
      <c r="BA54" s="2013">
        <f>SUM(BA55:BA72)</f>
        <v>299324</v>
      </c>
      <c r="BB54" s="2013">
        <f>SUM(BB55:BB72)</f>
        <v>136825</v>
      </c>
      <c r="BC54" s="2013">
        <f>SUM(BC55:BC72)</f>
        <v>436149.00000000006</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4485989.5100000007</v>
      </c>
      <c r="CK54" s="2013">
        <f>SUM(CK55:CK72)</f>
        <v>2326671.9736000001</v>
      </c>
      <c r="CL54" s="2013">
        <f>SUM(CL55:CL72)</f>
        <v>6812661.4836000009</v>
      </c>
      <c r="CM54" s="1535">
        <f t="shared" ref="CM54:CM71" si="159">CL54/$CL$89</f>
        <v>0.13369970634216011</v>
      </c>
      <c r="CN54" s="1061"/>
    </row>
    <row r="55" spans="1:92" ht="13.8" outlineLevel="2">
      <c r="A55" s="1571"/>
      <c r="B55" s="4728" t="s">
        <v>77</v>
      </c>
      <c r="C55" s="3349"/>
      <c r="D55" s="3349"/>
      <c r="E55" s="3349">
        <f t="shared" ref="E55:E71" si="160">C55+D55</f>
        <v>0</v>
      </c>
      <c r="F55" s="4697" t="e">
        <f t="shared" si="125"/>
        <v>#DIV/0!</v>
      </c>
      <c r="G55" s="4751"/>
      <c r="H55" s="3349"/>
      <c r="I55" s="3349"/>
      <c r="J55" s="3349">
        <f t="shared" ref="J55:J71" si="161">H55+I55</f>
        <v>0</v>
      </c>
      <c r="K55" s="4697" t="e">
        <f t="shared" ref="K55:K72" si="162">J55/J$89</f>
        <v>#DIV/0!</v>
      </c>
      <c r="L55" s="4751"/>
      <c r="M55" s="3349"/>
      <c r="N55" s="3349"/>
      <c r="O55" s="3349">
        <f t="shared" ref="O55:O71" si="163">M55+N55</f>
        <v>0</v>
      </c>
      <c r="P55" s="4697" t="e">
        <f t="shared" ref="P55:P72" si="164">O55/O$89</f>
        <v>#DIV/0!</v>
      </c>
      <c r="Q55" s="4751"/>
      <c r="R55" s="3427">
        <f>PL_Производство!BF55</f>
        <v>639703.87999999989</v>
      </c>
      <c r="S55" s="3427">
        <f>PL_Производство!BG55</f>
        <v>881782.58000000007</v>
      </c>
      <c r="T55" s="2012">
        <f t="shared" ref="T55:T71" si="165">R55+S55</f>
        <v>1521486.46</v>
      </c>
      <c r="U55" s="3462"/>
      <c r="V55" s="3462"/>
      <c r="W55" s="3342">
        <f t="shared" ref="W55:X71" si="166">AB55+AG55+AL55+AV55+BA55+BF55+BK55+BP55+BU55+BZ55+CE55+AQ55</f>
        <v>442134.98000000004</v>
      </c>
      <c r="X55" s="3342">
        <f t="shared" si="166"/>
        <v>685000</v>
      </c>
      <c r="Y55" s="2012">
        <f t="shared" ref="Y55:Y71" si="167">W55+X55</f>
        <v>1127134.98</v>
      </c>
      <c r="Z55" s="3462"/>
      <c r="AA55" s="3462"/>
      <c r="AB55" s="3341">
        <f>PL_ЦО_Производство!AB55+'МД ООН'!AB55+'МК Ладыжин-3'!AB55+'МК Староконстантинов'!AB55+'МК Армокаркасы'!AB55+'МК Щедро. Флекситанки'!AB55+'МК ЛифтМаркет'!AB55+'МК Укркотлопром'!AB55+'МК Подгорцы.Забор'!AB55+PL_Металлизация!BP55+'МД Бытовка ИТР Нежин'!AB55+'МК Металургбуд.поддоны'!AB55</f>
        <v>76254.83</v>
      </c>
      <c r="AC55" s="3341">
        <f>PL_ЦО_Производство!AC55+'МД ООН'!AC55+'МК Ладыжин-3'!AC55+'МК Староконстантинов'!AC55+'МК Армокаркасы'!AC55+'МК Щедро. Флекситанки'!AC55+'МК ЛифтМаркет'!AC55+'МК Укркотлопром'!AC55+'МК Подгорцы.Забор'!AC55+PL_Металлизация!BQ55+'МД Бытовка ИТР Нежин'!AC55+'МК Металургбуд.поддоны'!AC55</f>
        <v>111500</v>
      </c>
      <c r="AD55" s="3349">
        <f t="shared" ref="AD55:AD71" si="168">AB55+AC55</f>
        <v>187754.83000000002</v>
      </c>
      <c r="AE55" s="4697">
        <f t="shared" ref="AE55:AE71" si="169">AD55/AD$89</f>
        <v>0.11967653301185015</v>
      </c>
      <c r="AF55" s="4751"/>
      <c r="AG55" s="2043">
        <f>PL_ЦО_Производство!AG55+'МД ООН'!AG55+'МК Ладыжин-3'!AG55+'МК Староконстантинов'!AG55+'МК Армокаркасы'!AG55+'МК Щедро. Флекситанки'!AG55+'МК ЛифтМаркет'!AG55+'МК Укркотлопром'!AG55+'МК Подгорцы.Забор'!AG55+PL_Металлизация!BU55+'МД Бытовка ИТР Нежин'!AG55+'МК Металургбуд.поддоны'!AG55</f>
        <v>80797.31</v>
      </c>
      <c r="AH55" s="2043">
        <f>PL_ЦО_Производство!AH55+'МД ООН'!AH55+'МК Ладыжин-3'!AH55+'МК Староконстантинов'!AH55+'МК Армокаркасы'!AH55+'МК Щедро. Флекситанки'!AH55+'МК ЛифтМаркет'!AH55+'МК Укркотлопром'!AH55+'МК Подгорцы.Забор'!AH55+PL_Металлизация!BV55+'МД Бытовка ИТР Нежин'!AH55+'МК Металургбуд.поддоны'!AH55</f>
        <v>106950</v>
      </c>
      <c r="AI55" s="2045">
        <f t="shared" ref="AI55:AI71" si="170">AG55+AH55</f>
        <v>187747.31</v>
      </c>
      <c r="AJ55" s="4697">
        <f t="shared" ref="AJ55:AJ71" si="171">AI55/AI$89</f>
        <v>0.11706035059248764</v>
      </c>
      <c r="AK55" s="4751"/>
      <c r="AL55" s="2043">
        <f>PL_ЦО_Производство!AL55+'МД ООН'!AL55+'МК Ладыжин-3'!AL55+'МК Староконстантинов'!AL55+'МК Армокаркасы'!AL55+'МК Щедро. Флекситанки'!AL55+'МК ЛифтМаркет'!AL55+'МК Укркотлопром'!AL55+'МК Подгорцы.Забор'!AL55+PL_Металлизация!BZ55+'МД Бытовка ИТР Нежин'!AL55+'МК Металургбуд.поддоны'!AL55+'МК Нежин-3'!AL55</f>
        <v>74729.62</v>
      </c>
      <c r="AM55" s="2043">
        <f>PL_ЦО_Производство!AM55+'МД ООН'!AM55+'МК Ладыжин-3'!AM55+'МК Староконстантинов'!AM55+'МК Армокаркасы'!AM55+'МК Щедро. Флекситанки'!AM55+'МК ЛифтМаркет'!AM55+'МК Укркотлопром'!AM55+'МК Подгорцы.Забор'!AM55+PL_Металлизация!CA55+'МД Бытовка ИТР Нежин'!AM55+'МК Металургбуд.поддоны'!AM55+'МК Нежин-3'!AM55</f>
        <v>108150</v>
      </c>
      <c r="AN55" s="2045">
        <f t="shared" ref="AN55:AN71" si="172">AL55+AM55</f>
        <v>182879.62</v>
      </c>
      <c r="AO55" s="4697">
        <f t="shared" ref="AO55:AO71" si="173">AN55/AN$89</f>
        <v>8.7679272798745128E-2</v>
      </c>
      <c r="AP55" s="4751"/>
      <c r="AQ55" s="3341">
        <f>PL_ЦО_Производство!AQ55+'МД ООН'!AQ55+'МК Ладыжин-3'!AQ55+'МК Староконстантинов'!AQ55+'МК Армокаркасы'!AQ55+'МК Щедро. Флекситанки'!AQ55+'МК ЛифтМаркет'!AQ55+'МК Укркотлопром'!AQ55+'МК Подгорцы.Забор'!AQ55+PL_Металлизация!CE55+'МД Бытовка ИТР Нежин'!AQ55+'МК Металургбуд.поддоны'!AQ55+'МК Нежин-3'!AQ55</f>
        <v>65638.710000000006</v>
      </c>
      <c r="AR55" s="3341">
        <f>PL_ЦО_Производство!AR55+'МД ООН'!AR55+'МК Ладыжин-3'!AR55+'МК Староконстантинов'!AR55+'МК Армокаркасы'!AR55+'МК Щедро. Флекситанки'!AR55+'МК ЛифтМаркет'!AR55+'МК Укркотлопром'!AR55+'МК Подгорцы.Забор'!AR55+PL_Металлизация!CF55+'МД Бытовка ИТР Нежин'!AR55+'МК Металургбуд.поддоны'!AR55+'МК Нежин-3'!AR55</f>
        <v>108150</v>
      </c>
      <c r="AS55" s="3349">
        <f t="shared" ref="AS55:AS71" si="174">AQ55+AR55</f>
        <v>173788.71000000002</v>
      </c>
      <c r="AT55" s="4697">
        <f t="shared" ref="AT55:AT71" si="175">AS55/AS$89</f>
        <v>0.11201906273437796</v>
      </c>
      <c r="AU55" s="4751"/>
      <c r="AV55" s="3341">
        <f>PL_ЦО_Производство!AV55+'МД ООН'!AV55+'МК Армокаркасы'!AV55+'МК Подгорцы.Забор'!AV55+'МК Нежин-3'!AV55+'МК РДК.Кран'!AV55+'МК Ворота.Запорожье'!AV55+'МД ВООЗ'!AV55+'МД Казарма.Рекламация'!AV55</f>
        <v>70145.14</v>
      </c>
      <c r="AW55" s="3341">
        <f>PL_ЦО_Производство!AW55+'МД ООН'!AW55+'МК Армокаркасы'!AW55+'МК Подгорцы.Забор'!AW55+'МК Нежин-3'!AW55+'МК РДК.Кран'!AW55+'МК Ворота.Запорожье'!AW55+'МД ВООЗ'!AW55+'МД Казарма.Рекламация'!AW55</f>
        <v>117600</v>
      </c>
      <c r="AX55" s="3349">
        <f t="shared" ref="AX55:AX71" si="176">AV55+AW55</f>
        <v>187745.14</v>
      </c>
      <c r="AY55" s="4697">
        <f t="shared" ref="AY55:AY71" si="177">AX55/AX$89</f>
        <v>0.14036791772728388</v>
      </c>
      <c r="AZ55" s="4751"/>
      <c r="BA55" s="3341">
        <f>PL_ЦО_Производство!BA55+'МД ООН'!BA55+'МК Ладыжин-3'!BA55+'МК Староконстантинов'!BA55+'МК Армокаркасы'!BA55+'МК Щедро. Флекситанки'!BA55+'МК ЛифтМаркет'!BA55+'МК Укркотлопром'!BA55+'МК Подгорцы.Забор'!BA55+PL_Металлизация!CO55+'МД Бытовка ИТР Нежин'!BA55+'МК Металургбуд.поддоны'!BA55+'МК Нежин-3'!BA55+'МК РДК.Кран'!BA55+'МК Ворота.Запорожье'!BA55+'МД ВООЗ'!BA55+'МД Казарма.Рекламация'!BA55</f>
        <v>74569.37</v>
      </c>
      <c r="BB55" s="3341">
        <f>PL_ЦО_Производство!BB55+'МД ООН'!BB55+'МК Ладыжин-3'!BB55+'МК Староконстантинов'!BB55+'МК Армокаркасы'!BB55+'МК Щедро. Флекситанки'!BB55+'МК ЛифтМаркет'!BB55+'МК Укркотлопром'!BB55+'МК Подгорцы.Забор'!BB55+PL_Металлизация!CP55+'МД Бытовка ИТР Нежин'!BB55+'МК Металургбуд.поддоны'!BB55+'МК Нежин-3'!BB55+'МК РДК.Кран'!BB55+'МК Ворота.Запорожье'!BB55+'МД ВООЗ'!BB55+'МД Казарма.Рекламация'!BB55</f>
        <v>132650</v>
      </c>
      <c r="BC55" s="3349">
        <f t="shared" ref="BC55:BC71" si="178">BA55+BB55</f>
        <v>207219.37</v>
      </c>
      <c r="BD55" s="4697">
        <f t="shared" ref="BD55:BD71" si="179">BC55/BC$89</f>
        <v>0.15720661763517085</v>
      </c>
      <c r="BE55" s="4751"/>
      <c r="BF55" s="3341">
        <f>PL_ЦО_Производство!BF55+'МД ООН'!BF55+'МК Ладыжин-3'!BF55+'МК Староконстантинов'!BF55+'МК Армокаркасы'!BF55+'МК Щедро. Флекситанки'!BF55+'МК ЛифтМаркет'!BF55+'МК Укркотлопром'!BF55+'МК Подгорцы.Забор'!BF55+PL_Металлизация!CT55+'МД Бытовка ИТР Нежин'!BF55+'МК Металургбуд.поддоны'!BF55+'МК Нежин-3'!BF55+'МК РДК.Кран'!BF55+'МК Ворота.Запорожье'!BF55+'МД ВООЗ'!BF55+'МД Казарма.Рекламация'!BF55</f>
        <v>0</v>
      </c>
      <c r="BG55" s="3341">
        <f>PL_ЦО_Производство!BG55+'МД ООН'!BG55+'МК Ладыжин-3'!BG55+'МК Староконстантинов'!BG55+'МК Армокаркасы'!BG55+'МК Щедро. Флекситанки'!BG55+'МК ЛифтМаркет'!BG55+'МК Укркотлопром'!BG55+'МК Подгорцы.Забор'!BG55+PL_Металлизация!CU55+'МД Бытовка ИТР Нежин'!BG55+'МК Металургбуд.поддоны'!BG55+'МК Нежин-3'!BG55+'МК РДК.Кран'!BG55+'МК Ворота.Запорожье'!BG55+'МД ВООЗ'!BG55+'МД Казарма.Рекламация'!BG55</f>
        <v>0</v>
      </c>
      <c r="BH55" s="3349">
        <f t="shared" ref="BH55:BH71" si="180">BF55+BG55</f>
        <v>0</v>
      </c>
      <c r="BI55" s="4697" t="e">
        <f t="shared" ref="BI55:BI71" si="181">BH55/BH$89</f>
        <v>#DIV/0!</v>
      </c>
      <c r="BJ55" s="4751"/>
      <c r="BK55" s="3341">
        <f>PL_ЦО_Производство!BK55+'МД ООН'!BK55+'МК Ладыжин-3'!BK55+'МК Староконстантинов'!BK55+'МК Армокаркасы'!BK55+'МК Щедро. Флекситанки'!BK55+'МК ЛифтМаркет'!BK55+'МК Укркотлопром'!BK55+'МК Подгорцы.Забор'!BK55+PL_Металлизация!CY55+'МД Бытовка ИТР Нежин'!BK55+'МК Металургбуд.поддоны'!BK55+'МК Нежин-3'!BK55+'МК РДК.Кран'!BK55+'МК Ворота.Запорожье'!BK55+'МД ВООЗ'!BK55+'МД Казарма.Рекламация'!BK55</f>
        <v>0</v>
      </c>
      <c r="BL55" s="3341">
        <f>PL_ЦО_Производство!BL55+'МД ООН'!BL55+'МК Ладыжин-3'!BL55+'МК Староконстантинов'!BL55+'МК Армокаркасы'!BL55+'МК Щедро. Флекситанки'!BL55+'МК ЛифтМаркет'!BL55+'МК Укркотлопром'!BL55+'МК Подгорцы.Забор'!BL55+PL_Металлизация!CZ55+'МД Бытовка ИТР Нежин'!BL55+'МК Металургбуд.поддоны'!BL55+'МК Нежин-3'!BL55+'МК РДК.Кран'!BL55+'МК Ворота.Запорожье'!BL55+'МД ВООЗ'!BL55+'МД Казарма.Рекламация'!BL55</f>
        <v>0</v>
      </c>
      <c r="BM55" s="3349">
        <f t="shared" ref="BM55:BM71" si="182">BK55+BL55</f>
        <v>0</v>
      </c>
      <c r="BN55" s="4697" t="e">
        <f t="shared" ref="BN55:BN71" si="183">BM55/BM$89</f>
        <v>#DIV/0!</v>
      </c>
      <c r="BO55" s="4751"/>
      <c r="BP55" s="3341">
        <f>PL_ЦО_Производство!BP55+'МД ООН'!BP55+'МК Ладыжин-3'!BP55+'МК Староконстантинов'!BP55+'МК Армокаркасы'!BP55+'МК Щедро. Флекситанки'!BP55+'МК ЛифтМаркет'!BP55+'МК Укркотлопром'!BP55+'МК Подгорцы.Забор'!BP55+PL_Металлизация!DD55+'МД Бытовка ИТР Нежин'!BP55+'МК Металургбуд.поддоны'!BP55+'МК Нежин-3'!BP55+'МК РДК.Кран'!BP55+'МК Ворота.Запорожье'!BP55+'МД ВООЗ'!BP55+'МД Казарма.Рекламация'!BP55</f>
        <v>0</v>
      </c>
      <c r="BQ55" s="3341">
        <f>PL_ЦО_Производство!BQ55+'МД ООН'!BQ55+'МК Ладыжин-3'!BQ55+'МК Староконстантинов'!BQ55+'МК Армокаркасы'!BQ55+'МК Щедро. Флекситанки'!BQ55+'МК ЛифтМаркет'!BQ55+'МК Укркотлопром'!BQ55+'МК Подгорцы.Забор'!BQ55+PL_Металлизация!DE55+'МД Бытовка ИТР Нежин'!BQ55+'МК Металургбуд.поддоны'!BQ55+'МК Нежин-3'!BQ55+'МК РДК.Кран'!BQ55+'МК Ворота.Запорожье'!BQ55+'МД ВООЗ'!BQ55+'МД Казарма.Рекламация'!BQ55</f>
        <v>0</v>
      </c>
      <c r="BR55" s="3349">
        <f t="shared" ref="BR55:BR71" si="184">BP55+BQ55</f>
        <v>0</v>
      </c>
      <c r="BS55" s="4697" t="e">
        <f t="shared" ref="BS55:BS71" si="185">BR55/BR$89</f>
        <v>#DIV/0!</v>
      </c>
      <c r="BT55" s="4751"/>
      <c r="BU55" s="3341">
        <f>PL_ЦО_Производство!BU55+'МД ООН'!BU55+'МК Ладыжин-3'!BU55+'МК Староконстантинов'!BU55+'МК Армокаркасы'!BU55+'МК Щедро. Флекситанки'!BU55+'МК ЛифтМаркет'!BU55+'МК Укркотлопром'!BU55+'МК Подгорцы.Забор'!BU55+PL_Металлизация!DI55+'МД Бытовка ИТР Нежин'!BU55+'МК Металургбуд.поддоны'!BU55+'МК Нежин-3'!BU55+'МК РДК.Кран'!BU55+'МК Ворота.Запорожье'!BU55+'МД ВООЗ'!BU55+'МД Казарма.Рекламация'!BU55</f>
        <v>0</v>
      </c>
      <c r="BV55" s="3341">
        <f>PL_ЦО_Производство!BV55+'МД ООН'!BV55+'МК Ладыжин-3'!BV55+'МК Староконстантинов'!BV55+'МК Армокаркасы'!BV55+'МК Щедро. Флекситанки'!BV55+'МК ЛифтМаркет'!BV55+'МК Укркотлопром'!BV55+'МК Подгорцы.Забор'!BV55+PL_Металлизация!DJ55+'МД Бытовка ИТР Нежин'!BV55+'МК Металургбуд.поддоны'!BV55+'МК Нежин-3'!BV55+'МК РДК.Кран'!BV55+'МК Ворота.Запорожье'!BV55+'МД ВООЗ'!BV55+'МД Казарма.Рекламация'!BV55</f>
        <v>0</v>
      </c>
      <c r="BW55" s="3349">
        <f t="shared" ref="BW55:BW71" si="186">BU55+BV55</f>
        <v>0</v>
      </c>
      <c r="BX55" s="4697" t="e">
        <f t="shared" ref="BX55:BX71" si="187">BW55/BW$89</f>
        <v>#DIV/0!</v>
      </c>
      <c r="BY55" s="4751"/>
      <c r="BZ55" s="3341">
        <f>PL_ЦО_Производство!BZ55+'МД ООН'!BZ55+'МК Ладыжин-3'!BZ55+'МК Староконстантинов'!BZ55+'МК Армокаркасы'!BZ55+'МК Щедро. Флекситанки'!BZ55+'МК ЛифтМаркет'!BZ55+'МК Укркотлопром'!BZ55+'МК Подгорцы.Забор'!BZ55+PL_Металлизация!DN55+'МД Бытовка ИТР Нежин'!BZ55+'МК Металургбуд.поддоны'!BZ55+'МК Нежин-3'!BZ55+'МК РДК.Кран'!BZ55+'МК Ворота.Запорожье'!BZ55+'МД ВООЗ'!BZ55+'МД Казарма.Рекламация'!BZ55</f>
        <v>0</v>
      </c>
      <c r="CA55" s="3341">
        <f>PL_ЦО_Производство!CA55+'МД ООН'!CA55+'МК Ладыжин-3'!CA55+'МК Староконстантинов'!CA55+'МК Армокаркасы'!CA55+'МК Щедро. Флекситанки'!CA55+'МК ЛифтМаркет'!CA55+'МК Укркотлопром'!CA55+'МК Подгорцы.Забор'!CA55+PL_Металлизация!DO55+'МД Бытовка ИТР Нежин'!CA55+'МК Металургбуд.поддоны'!CA55+'МК Нежин-3'!CA55+'МК РДК.Кран'!CA55+'МК Ворота.Запорожье'!CA55+'МД ВООЗ'!CA55+'МД Казарма.Рекламация'!CA55</f>
        <v>0</v>
      </c>
      <c r="CB55" s="3349">
        <f t="shared" ref="CB55:CB71" si="188">BZ55+CA55</f>
        <v>0</v>
      </c>
      <c r="CC55" s="4697" t="e">
        <f t="shared" ref="CC55:CC71" si="189">CB55/CB$89</f>
        <v>#DIV/0!</v>
      </c>
      <c r="CD55" s="4751"/>
      <c r="CE55" s="3341">
        <f>PL_ЦО_Производство!CE55+'МД ООН'!CE55+'МК Ладыжин-3'!CE55+'МК Староконстантинов'!CE55+'МК Армокаркасы'!CE55+'МК Щедро. Флекситанки'!CE55+'МК ЛифтМаркет'!CE55+'МК Укркотлопром'!CE55+'МК Подгорцы.Забор'!CE55+PL_Металлизация!DS55+'МД Бытовка ИТР Нежин'!CE55+'МК Металургбуд.поддоны'!CE55+'МК Нежин-3'!CE55+'МК РДК.Кран'!CE55+'МК Ворота.Запорожье'!CE55+'МД ВООЗ'!CE55+'МД Казарма.Рекламация'!CE55</f>
        <v>0</v>
      </c>
      <c r="CF55" s="3341">
        <f>PL_ЦО_Производство!CF55+'МД ООН'!CF55+'МК Ладыжин-3'!CF55+'МК Староконстантинов'!CF55+'МК Армокаркасы'!CF55+'МК Щедро. Флекситанки'!CF55+'МК ЛифтМаркет'!CF55+'МК Укркотлопром'!CF55+'МК Подгорцы.Забор'!CF55+PL_Металлизация!DT55+'МД Бытовка ИТР Нежин'!CF55+'МК Металургбуд.поддоны'!CF55+'МК Нежин-3'!CF55+'МК РДК.Кран'!CF55+'МК Ворота.Запорожье'!CF55+'МД ВООЗ'!CF55+'МД Казарма.Рекламация'!CF55</f>
        <v>0</v>
      </c>
      <c r="CG55" s="3349">
        <f t="shared" ref="CG55:CG71" si="190">CE55+CF55</f>
        <v>0</v>
      </c>
      <c r="CH55" s="4697" t="e">
        <f t="shared" ref="CH55:CH71" si="191">CG55/CG$89</f>
        <v>#DIV/0!</v>
      </c>
      <c r="CI55" s="4751"/>
      <c r="CJ55" s="3341">
        <f t="shared" ref="CJ55:CK71" si="192">R55+W55</f>
        <v>1081838.8599999999</v>
      </c>
      <c r="CK55" s="3341">
        <f t="shared" si="192"/>
        <v>1566782.58</v>
      </c>
      <c r="CL55" s="2012">
        <f t="shared" ref="CL55:CL71" si="193">CJ55+CK55*1</f>
        <v>2648621.44</v>
      </c>
      <c r="CM55" s="4697">
        <f t="shared" si="159"/>
        <v>5.1979671908257266E-2</v>
      </c>
      <c r="CN55" s="4699"/>
    </row>
    <row r="56" spans="1:92" ht="13.8" outlineLevel="2">
      <c r="A56" s="1571"/>
      <c r="B56" s="4728" t="s">
        <v>76</v>
      </c>
      <c r="C56" s="3349"/>
      <c r="D56" s="3349"/>
      <c r="E56" s="3349">
        <f t="shared" si="160"/>
        <v>0</v>
      </c>
      <c r="F56" s="4697" t="e">
        <f t="shared" si="125"/>
        <v>#DIV/0!</v>
      </c>
      <c r="G56" s="4751"/>
      <c r="H56" s="3349"/>
      <c r="I56" s="3349"/>
      <c r="J56" s="3349">
        <f t="shared" si="161"/>
        <v>0</v>
      </c>
      <c r="K56" s="4697" t="e">
        <f t="shared" si="162"/>
        <v>#DIV/0!</v>
      </c>
      <c r="L56" s="4751"/>
      <c r="M56" s="3349"/>
      <c r="N56" s="3349"/>
      <c r="O56" s="3349">
        <f t="shared" si="163"/>
        <v>0</v>
      </c>
      <c r="P56" s="4697" t="e">
        <f t="shared" si="164"/>
        <v>#DIV/0!</v>
      </c>
      <c r="Q56" s="4751"/>
      <c r="R56" s="3427">
        <f>PL_Производство!BF56</f>
        <v>166935.42000000001</v>
      </c>
      <c r="S56" s="3427">
        <f>PL_Производство!BG56</f>
        <v>0</v>
      </c>
      <c r="T56" s="2012">
        <f t="shared" si="165"/>
        <v>166935.42000000001</v>
      </c>
      <c r="U56" s="3462"/>
      <c r="V56" s="3462"/>
      <c r="W56" s="3342">
        <f t="shared" si="166"/>
        <v>114156.67000000001</v>
      </c>
      <c r="X56" s="3342">
        <f t="shared" si="166"/>
        <v>0</v>
      </c>
      <c r="Y56" s="2012">
        <f t="shared" si="167"/>
        <v>114156.67000000001</v>
      </c>
      <c r="Z56" s="3462"/>
      <c r="AA56" s="3462"/>
      <c r="AB56" s="3341">
        <f>PL_ЦО_Производство!AB56+'МД ООН'!AB56+'МК Ладыжин-3'!AB56+'МК Староконстантинов'!AB56+'МК Армокаркасы'!AB56+'МК Щедро. Флекситанки'!AB56+'МК ЛифтМаркет'!AB56+'МК Укркотлопром'!AB56+'МК Подгорцы.Забор'!AB56+PL_Металлизация!BP56+'МД Бытовка ИТР Нежин'!AB56+'МК Металургбуд.поддоны'!AB56</f>
        <v>20672.21</v>
      </c>
      <c r="AC56" s="3341">
        <f>PL_ЦО_Производство!AC56+'МД ООН'!AC56+'МК Ладыжин-3'!AC56+'МК Староконстантинов'!AC56+'МК Армокаркасы'!AC56+'МК Щедро. Флекситанки'!AC56+'МК ЛифтМаркет'!AC56+'МК Укркотлопром'!AC56+'МК Подгорцы.Забор'!AC56+PL_Металлизация!BQ56+'МД Бытовка ИТР Нежин'!AC56+'МК Металургбуд.поддоны'!AC56</f>
        <v>0</v>
      </c>
      <c r="AD56" s="3349">
        <f t="shared" si="168"/>
        <v>20672.21</v>
      </c>
      <c r="AE56" s="4697">
        <f t="shared" si="169"/>
        <v>1.3176643298566E-2</v>
      </c>
      <c r="AF56" s="4751"/>
      <c r="AG56" s="2043">
        <f>PL_ЦО_Производство!AG56+'МД ООН'!AG56+'МК Ладыжин-3'!AG56+'МК Староконстантинов'!AG56+'МК Армокаркасы'!AG56+'МК Щедро. Флекситанки'!AG56+'МК ЛифтМаркет'!AG56+'МК Укркотлопром'!AG56+'МК Подгорцы.Забор'!AG56+PL_Металлизация!BU56+'МД Бытовка ИТР Нежин'!AG56+'МК Металургбуд.поддоны'!AG56</f>
        <v>21210.82</v>
      </c>
      <c r="AH56" s="2043">
        <f>PL_ЦО_Производство!AH56+'МД ООН'!AH56+'МК Ладыжин-3'!AH56+'МК Староконстантинов'!AH56+'МК Армокаркасы'!AH56+'МК Щедро. Флекситанки'!AH56+'МК ЛифтМаркет'!AH56+'МК Укркотлопром'!AH56+'МК Подгорцы.Забор'!AH56+PL_Металлизация!BV56+'МД Бытовка ИТР Нежин'!AH56+'МК Металургбуд.поддоны'!AH56</f>
        <v>0</v>
      </c>
      <c r="AI56" s="2045">
        <f t="shared" si="170"/>
        <v>21210.82</v>
      </c>
      <c r="AJ56" s="4697">
        <f t="shared" si="171"/>
        <v>1.3224935289640895E-2</v>
      </c>
      <c r="AK56" s="4751"/>
      <c r="AL56" s="2043">
        <f>PL_ЦО_Производство!AL56+'МД ООН'!AL56+'МК Ладыжин-3'!AL56+'МК Староконстантинов'!AL56+'МК Армокаркасы'!AL56+'МК Щедро. Флекситанки'!AL56+'МК ЛифтМаркет'!AL56+'МК Укркотлопром'!AL56+'МК Подгорцы.Забор'!AL56+PL_Металлизация!BZ56+'МД Бытовка ИТР Нежин'!AL56+'МК Металургбуд.поддоны'!AL56+'МК Нежин-3'!AL56</f>
        <v>18029.54</v>
      </c>
      <c r="AM56" s="2043">
        <f>PL_ЦО_Производство!AM56+'МД ООН'!AM56+'МК Ладыжин-3'!AM56+'МК Староконстантинов'!AM56+'МК Армокаркасы'!AM56+'МК Щедро. Флекситанки'!AM56+'МК ЛифтМаркет'!AM56+'МК Укркотлопром'!AM56+'МК Подгорцы.Забор'!AM56+PL_Металлизация!CA56+'МД Бытовка ИТР Нежин'!AM56+'МК Металургбуд.поддоны'!AM56+'МК Нежин-3'!AM56</f>
        <v>0</v>
      </c>
      <c r="AN56" s="2045">
        <f t="shared" si="172"/>
        <v>18029.54</v>
      </c>
      <c r="AO56" s="4697">
        <f t="shared" si="173"/>
        <v>8.6440301882510871E-3</v>
      </c>
      <c r="AP56" s="4751"/>
      <c r="AQ56" s="3341">
        <f>PL_ЦО_Производство!AQ56+'МД ООН'!AQ56+'МК Ладыжин-3'!AQ56+'МК Староконстантинов'!AQ56+'МК Армокаркасы'!AQ56+'МК Щедро. Флекситанки'!AQ56+'МК ЛифтМаркет'!AQ56+'МК Укркотлопром'!AQ56+'МК Подгорцы.Забор'!AQ56+PL_Металлизация!CE56+'МД Бытовка ИТР Нежин'!AQ56+'МК Металургбуд.поддоны'!AQ56+'МК Нежин-3'!AQ56</f>
        <v>16881.990000000002</v>
      </c>
      <c r="AR56" s="3341">
        <f>PL_ЦО_Производство!AR56+'МД ООН'!AR56+'МК Ладыжин-3'!AR56+'МК Староконстантинов'!AR56+'МК Армокаркасы'!AR56+'МК Щедро. Флекситанки'!AR56+'МК ЛифтМаркет'!AR56+'МК Укркотлопром'!AR56+'МК Подгорцы.Забор'!AR56+PL_Металлизация!CF56+'МД Бытовка ИТР Нежин'!AR56+'МК Металургбуд.поддоны'!AR56+'МК Нежин-3'!AR56</f>
        <v>0</v>
      </c>
      <c r="AS56" s="3349">
        <f t="shared" si="174"/>
        <v>16881.990000000002</v>
      </c>
      <c r="AT56" s="4697">
        <f t="shared" si="175"/>
        <v>1.0881631475894731E-2</v>
      </c>
      <c r="AU56" s="4751"/>
      <c r="AV56" s="3341">
        <f>PL_ЦО_Производство!AV56+'МД ООН'!AV56+'МК Армокаркасы'!AV56+'МК Подгорцы.Забор'!AV56+'МК Нежин-3'!AV56+'МК РДК.Кран'!AV56+'МК Ворота.Запорожье'!AV56+'МД ВООЗ'!AV56+'МД Казарма.Рекламация'!AV56</f>
        <v>18076.5</v>
      </c>
      <c r="AW56" s="3341">
        <f>PL_ЦО_Производство!AW56+'МД ООН'!AW56+'МК Армокаркасы'!AW56+'МК Подгорцы.Забор'!AW56+'МК Нежин-3'!AW56+'МК РДК.Кран'!AW56+'МК Ворота.Запорожье'!AW56+'МД ВООЗ'!AW56+'МД Казарма.Рекламация'!AW56</f>
        <v>0</v>
      </c>
      <c r="AX56" s="3349">
        <f t="shared" si="176"/>
        <v>18076.5</v>
      </c>
      <c r="AY56" s="4697">
        <f t="shared" si="177"/>
        <v>1.3514920624828142E-2</v>
      </c>
      <c r="AZ56" s="4751"/>
      <c r="BA56" s="3341">
        <f>PL_ЦО_Производство!BA56+'МД ООН'!BA56+'МК Ладыжин-3'!BA56+'МК Староконстантинов'!BA56+'МК Армокаркасы'!BA56+'МК Щедро. Флекситанки'!BA56+'МК ЛифтМаркет'!BA56+'МК Укркотлопром'!BA56+'МК Подгорцы.Забор'!BA56+PL_Металлизация!CO56+'МД Бытовка ИТР Нежин'!BA56+'МК Металургбуд.поддоны'!BA56+'МК Нежин-3'!BA56+'МК РДК.Кран'!BA56+'МК Ворота.Запорожье'!BA56+'МД ВООЗ'!BA56+'МД Казарма.Рекламация'!BA56</f>
        <v>19285.61</v>
      </c>
      <c r="BB56" s="3341">
        <f>PL_ЦО_Производство!BB56+'МД ООН'!BB56+'МК Ладыжин-3'!BB56+'МК Староконстантинов'!BB56+'МК Армокаркасы'!BB56+'МК Щедро. Флекситанки'!BB56+'МК ЛифтМаркет'!BB56+'МК Укркотлопром'!BB56+'МК Подгорцы.Забор'!BB56+PL_Металлизация!CP56+'МД Бытовка ИТР Нежин'!BB56+'МК Металургбуд.поддоны'!BB56+'МК Нежин-3'!BB56+'МК РДК.Кран'!BB56+'МК Ворота.Запорожье'!BB56+'МД ВООЗ'!BB56+'МД Казарма.Рекламация'!BB56</f>
        <v>0</v>
      </c>
      <c r="BC56" s="3349">
        <f t="shared" si="178"/>
        <v>19285.61</v>
      </c>
      <c r="BD56" s="4697">
        <f t="shared" si="179"/>
        <v>1.4630994762367185E-2</v>
      </c>
      <c r="BE56" s="4751"/>
      <c r="BF56" s="3341">
        <f>PL_ЦО_Производство!BF56+'МД ООН'!BF56+'МК Ладыжин-3'!BF56+'МК Староконстантинов'!BF56+'МК Армокаркасы'!BF56+'МК Щедро. Флекситанки'!BF56+'МК ЛифтМаркет'!BF56+'МК Укркотлопром'!BF56+'МК Подгорцы.Забор'!BF56+PL_Металлизация!CT56+'МД Бытовка ИТР Нежин'!BF56+'МК Металургбуд.поддоны'!BF56+'МК Нежин-3'!BF56+'МК РДК.Кран'!BF56+'МК Ворота.Запорожье'!BF56+'МД ВООЗ'!BF56+'МД Казарма.Рекламация'!BF56</f>
        <v>0</v>
      </c>
      <c r="BG56" s="3341">
        <f>PL_ЦО_Производство!BG56+'МД ООН'!BG56+'МК Ладыжин-3'!BG56+'МК Староконстантинов'!BG56+'МК Армокаркасы'!BG56+'МК Щедро. Флекситанки'!BG56+'МК ЛифтМаркет'!BG56+'МК Укркотлопром'!BG56+'МК Подгорцы.Забор'!BG56+PL_Металлизация!CU56+'МД Бытовка ИТР Нежин'!BG56+'МК Металургбуд.поддоны'!BG56+'МК Нежин-3'!BG56+'МК РДК.Кран'!BG56+'МК Ворота.Запорожье'!BG56+'МД ВООЗ'!BG56+'МД Казарма.Рекламация'!BG56</f>
        <v>0</v>
      </c>
      <c r="BH56" s="3349">
        <f t="shared" si="180"/>
        <v>0</v>
      </c>
      <c r="BI56" s="4697" t="e">
        <f t="shared" si="181"/>
        <v>#DIV/0!</v>
      </c>
      <c r="BJ56" s="4751"/>
      <c r="BK56" s="3341">
        <f>PL_ЦО_Производство!BK56+'МД ООН'!BK56+'МК Ладыжин-3'!BK56+'МК Староконстантинов'!BK56+'МК Армокаркасы'!BK56+'МК Щедро. Флекситанки'!BK56+'МК ЛифтМаркет'!BK56+'МК Укркотлопром'!BK56+'МК Подгорцы.Забор'!BK56+PL_Металлизация!CY56+'МД Бытовка ИТР Нежин'!BK56+'МК Металургбуд.поддоны'!BK56+'МК Нежин-3'!BK56+'МК РДК.Кран'!BK56+'МК Ворота.Запорожье'!BK56+'МД ВООЗ'!BK56+'МД Казарма.Рекламация'!BK56</f>
        <v>0</v>
      </c>
      <c r="BL56" s="3341">
        <f>PL_ЦО_Производство!BL56+'МД ООН'!BL56+'МК Ладыжин-3'!BL56+'МК Староконстантинов'!BL56+'МК Армокаркасы'!BL56+'МК Щедро. Флекситанки'!BL56+'МК ЛифтМаркет'!BL56+'МК Укркотлопром'!BL56+'МК Подгорцы.Забор'!BL56+PL_Металлизация!CZ56+'МД Бытовка ИТР Нежин'!BL56+'МК Металургбуд.поддоны'!BL56+'МК Нежин-3'!BL56+'МК РДК.Кран'!BL56+'МК Ворота.Запорожье'!BL56+'МД ВООЗ'!BL56+'МД Казарма.Рекламация'!BL56</f>
        <v>0</v>
      </c>
      <c r="BM56" s="3349">
        <f t="shared" si="182"/>
        <v>0</v>
      </c>
      <c r="BN56" s="4697" t="e">
        <f t="shared" si="183"/>
        <v>#DIV/0!</v>
      </c>
      <c r="BO56" s="4751"/>
      <c r="BP56" s="3341">
        <f>PL_ЦО_Производство!BP56+'МД ООН'!BP56+'МК Ладыжин-3'!BP56+'МК Староконстантинов'!BP56+'МК Армокаркасы'!BP56+'МК Щедро. Флекситанки'!BP56+'МК ЛифтМаркет'!BP56+'МК Укркотлопром'!BP56+'МК Подгорцы.Забор'!BP56+PL_Металлизация!DD56+'МД Бытовка ИТР Нежин'!BP56+'МК Металургбуд.поддоны'!BP56+'МК Нежин-3'!BP56+'МК РДК.Кран'!BP56+'МК Ворота.Запорожье'!BP56+'МД ВООЗ'!BP56+'МД Казарма.Рекламация'!BP56</f>
        <v>0</v>
      </c>
      <c r="BQ56" s="3341">
        <f>PL_ЦО_Производство!BQ56+'МД ООН'!BQ56+'МК Ладыжин-3'!BQ56+'МК Староконстантинов'!BQ56+'МК Армокаркасы'!BQ56+'МК Щедро. Флекситанки'!BQ56+'МК ЛифтМаркет'!BQ56+'МК Укркотлопром'!BQ56+'МК Подгорцы.Забор'!BQ56+PL_Металлизация!DE56+'МД Бытовка ИТР Нежин'!BQ56+'МК Металургбуд.поддоны'!BQ56+'МК Нежин-3'!BQ56+'МК РДК.Кран'!BQ56+'МК Ворота.Запорожье'!BQ56+'МД ВООЗ'!BQ56+'МД Казарма.Рекламация'!BQ56</f>
        <v>0</v>
      </c>
      <c r="BR56" s="3349">
        <f t="shared" si="184"/>
        <v>0</v>
      </c>
      <c r="BS56" s="4697" t="e">
        <f t="shared" si="185"/>
        <v>#DIV/0!</v>
      </c>
      <c r="BT56" s="4751"/>
      <c r="BU56" s="3341">
        <f>PL_ЦО_Производство!BU56+'МД ООН'!BU56+'МК Ладыжин-3'!BU56+'МК Староконстантинов'!BU56+'МК Армокаркасы'!BU56+'МК Щедро. Флекситанки'!BU56+'МК ЛифтМаркет'!BU56+'МК Укркотлопром'!BU56+'МК Подгорцы.Забор'!BU56+PL_Металлизация!DI56+'МД Бытовка ИТР Нежин'!BU56+'МК Металургбуд.поддоны'!BU56+'МК Нежин-3'!BU56+'МК РДК.Кран'!BU56+'МК Ворота.Запорожье'!BU56+'МД ВООЗ'!BU56+'МД Казарма.Рекламация'!BU56</f>
        <v>0</v>
      </c>
      <c r="BV56" s="3341">
        <f>PL_ЦО_Производство!BV56+'МД ООН'!BV56+'МК Ладыжин-3'!BV56+'МК Староконстантинов'!BV56+'МК Армокаркасы'!BV56+'МК Щедро. Флекситанки'!BV56+'МК ЛифтМаркет'!BV56+'МК Укркотлопром'!BV56+'МК Подгорцы.Забор'!BV56+PL_Металлизация!DJ56+'МД Бытовка ИТР Нежин'!BV56+'МК Металургбуд.поддоны'!BV56+'МК Нежин-3'!BV56+'МК РДК.Кран'!BV56+'МК Ворота.Запорожье'!BV56+'МД ВООЗ'!BV56+'МД Казарма.Рекламация'!BV56</f>
        <v>0</v>
      </c>
      <c r="BW56" s="3349">
        <f t="shared" si="186"/>
        <v>0</v>
      </c>
      <c r="BX56" s="4697" t="e">
        <f t="shared" si="187"/>
        <v>#DIV/0!</v>
      </c>
      <c r="BY56" s="4751"/>
      <c r="BZ56" s="3341">
        <f>PL_ЦО_Производство!BZ56+'МД ООН'!BZ56+'МК Ладыжин-3'!BZ56+'МК Староконстантинов'!BZ56+'МК Армокаркасы'!BZ56+'МК Щедро. Флекситанки'!BZ56+'МК ЛифтМаркет'!BZ56+'МК Укркотлопром'!BZ56+'МК Подгорцы.Забор'!BZ56+PL_Металлизация!DN56+'МД Бытовка ИТР Нежин'!BZ56+'МК Металургбуд.поддоны'!BZ56+'МК Нежин-3'!BZ56+'МК РДК.Кран'!BZ56+'МК Ворота.Запорожье'!BZ56+'МД ВООЗ'!BZ56+'МД Казарма.Рекламация'!BZ56</f>
        <v>0</v>
      </c>
      <c r="CA56" s="3341">
        <f>PL_ЦО_Производство!CA56+'МД ООН'!CA56+'МК Ладыжин-3'!CA56+'МК Староконстантинов'!CA56+'МК Армокаркасы'!CA56+'МК Щедро. Флекситанки'!CA56+'МК ЛифтМаркет'!CA56+'МК Укркотлопром'!CA56+'МК Подгорцы.Забор'!CA56+PL_Металлизация!DO56+'МД Бытовка ИТР Нежин'!CA56+'МК Металургбуд.поддоны'!CA56+'МК Нежин-3'!CA56+'МК РДК.Кран'!CA56+'МК Ворота.Запорожье'!CA56+'МД ВООЗ'!CA56+'МД Казарма.Рекламация'!CA56</f>
        <v>0</v>
      </c>
      <c r="CB56" s="3349">
        <f t="shared" si="188"/>
        <v>0</v>
      </c>
      <c r="CC56" s="4697" t="e">
        <f t="shared" si="189"/>
        <v>#DIV/0!</v>
      </c>
      <c r="CD56" s="4751"/>
      <c r="CE56" s="3341">
        <f>PL_ЦО_Производство!CE56+'МД ООН'!CE56+'МК Ладыжин-3'!CE56+'МК Староконстантинов'!CE56+'МК Армокаркасы'!CE56+'МК Щедро. Флекситанки'!CE56+'МК ЛифтМаркет'!CE56+'МК Укркотлопром'!CE56+'МК Подгорцы.Забор'!CE56+PL_Металлизация!DS56+'МД Бытовка ИТР Нежин'!CE56+'МК Металургбуд.поддоны'!CE56+'МК Нежин-3'!CE56+'МК РДК.Кран'!CE56+'МК Ворота.Запорожье'!CE56+'МД ВООЗ'!CE56+'МД Казарма.Рекламация'!CE56</f>
        <v>0</v>
      </c>
      <c r="CF56" s="3341">
        <f>PL_ЦО_Производство!CF56+'МД ООН'!CF56+'МК Ладыжин-3'!CF56+'МК Староконстантинов'!CF56+'МК Армокаркасы'!CF56+'МК Щедро. Флекситанки'!CF56+'МК ЛифтМаркет'!CF56+'МК Укркотлопром'!CF56+'МК Подгорцы.Забор'!CF56+PL_Металлизация!DT56+'МД Бытовка ИТР Нежин'!CF56+'МК Металургбуд.поддоны'!CF56+'МК Нежин-3'!CF56+'МК РДК.Кран'!CF56+'МК Ворота.Запорожье'!CF56+'МД ВООЗ'!CF56+'МД Казарма.Рекламация'!CF56</f>
        <v>0</v>
      </c>
      <c r="CG56" s="3349">
        <f t="shared" si="190"/>
        <v>0</v>
      </c>
      <c r="CH56" s="4697" t="e">
        <f t="shared" si="191"/>
        <v>#DIV/0!</v>
      </c>
      <c r="CI56" s="4751"/>
      <c r="CJ56" s="3341">
        <f t="shared" si="192"/>
        <v>281092.09000000003</v>
      </c>
      <c r="CK56" s="3341">
        <f t="shared" si="192"/>
        <v>0</v>
      </c>
      <c r="CL56" s="2012">
        <f t="shared" si="193"/>
        <v>281092.09000000003</v>
      </c>
      <c r="CM56" s="4697">
        <f t="shared" si="159"/>
        <v>5.5164827987673184E-3</v>
      </c>
      <c r="CN56" s="4699"/>
    </row>
    <row r="57" spans="1:92" ht="13.8" outlineLevel="2">
      <c r="A57" s="1571"/>
      <c r="B57" s="4728" t="s">
        <v>68</v>
      </c>
      <c r="C57" s="3349"/>
      <c r="D57" s="3349"/>
      <c r="E57" s="3349">
        <f t="shared" si="160"/>
        <v>0</v>
      </c>
      <c r="F57" s="4697" t="e">
        <f t="shared" si="125"/>
        <v>#DIV/0!</v>
      </c>
      <c r="G57" s="4751"/>
      <c r="H57" s="3349"/>
      <c r="I57" s="3349"/>
      <c r="J57" s="3349">
        <f t="shared" si="161"/>
        <v>0</v>
      </c>
      <c r="K57" s="4697" t="e">
        <f t="shared" si="162"/>
        <v>#DIV/0!</v>
      </c>
      <c r="L57" s="4751"/>
      <c r="M57" s="3349"/>
      <c r="N57" s="3349"/>
      <c r="O57" s="3349">
        <f t="shared" si="163"/>
        <v>0</v>
      </c>
      <c r="P57" s="4697" t="e">
        <f t="shared" si="164"/>
        <v>#DIV/0!</v>
      </c>
      <c r="Q57" s="4751"/>
      <c r="R57" s="3427">
        <f>PL_Производство!BF57</f>
        <v>155093.53999999998</v>
      </c>
      <c r="S57" s="3427">
        <f>PL_Производство!BG57</f>
        <v>0</v>
      </c>
      <c r="T57" s="2012">
        <f t="shared" si="165"/>
        <v>155093.53999999998</v>
      </c>
      <c r="U57" s="3462"/>
      <c r="V57" s="3462"/>
      <c r="W57" s="3342">
        <f t="shared" si="166"/>
        <v>108329.55</v>
      </c>
      <c r="X57" s="3342">
        <f t="shared" si="166"/>
        <v>0</v>
      </c>
      <c r="Y57" s="2012">
        <f t="shared" si="167"/>
        <v>108329.55</v>
      </c>
      <c r="Z57" s="3462"/>
      <c r="AA57" s="3462"/>
      <c r="AB57" s="3341">
        <f>PL_ЦО_Производство!AB57+'МД ООН'!AB57+'МК Ладыжин-3'!AB57+'МК Староконстантинов'!AB57+'МК Армокаркасы'!AB57+'МК Щедро. Флекситанки'!AB57+'МК ЛифтМаркет'!AB57+'МК Укркотлопром'!AB57+'МК Подгорцы.Забор'!AB57+PL_Металлизация!BP57+'МД Бытовка ИТР Нежин'!AB57+'МК Металургбуд.поддоны'!AB57</f>
        <v>18264.84</v>
      </c>
      <c r="AC57" s="3341">
        <f>PL_ЦО_Производство!AC57+'МД ООН'!AC57+'МК Ладыжин-3'!AC57+'МК Староконстантинов'!AC57+'МК Армокаркасы'!AC57+'МК Щедро. Флекситанки'!AC57+'МК ЛифтМаркет'!AC57+'МК Укркотлопром'!AC57+'МК Подгорцы.Забор'!AC57+PL_Металлизация!BQ57+'МД Бытовка ИТР Нежин'!AC57+'МК Металургбуд.поддоны'!AC57</f>
        <v>0</v>
      </c>
      <c r="AD57" s="3349">
        <f t="shared" si="168"/>
        <v>18264.84</v>
      </c>
      <c r="AE57" s="4697">
        <f t="shared" si="169"/>
        <v>1.1642165089527449E-2</v>
      </c>
      <c r="AF57" s="4751"/>
      <c r="AG57" s="2043">
        <f>PL_ЦО_Производство!AG57+'МД ООН'!AG57+'МК Ладыжин-3'!AG57+'МК Староконстантинов'!AG57+'МК Армокаркасы'!AG57+'МК Щедро. Флекситанки'!AG57+'МК ЛифтМаркет'!AG57+'МК Укркотлопром'!AG57+'МК Подгорцы.Забор'!AG57+PL_Металлизация!BU57+'МД Бытовка ИТР Нежин'!AG57+'МК Металургбуд.поддоны'!AG57</f>
        <v>19572.019999999997</v>
      </c>
      <c r="AH57" s="2043">
        <f>PL_ЦО_Производство!AH57+'МД ООН'!AH57+'МК Ладыжин-3'!AH57+'МК Староконстантинов'!AH57+'МК Армокаркасы'!AH57+'МК Щедро. Флекситанки'!AH57+'МК ЛифтМаркет'!AH57+'МК Укркотлопром'!AH57+'МК Подгорцы.Забор'!AH57+PL_Металлизация!BV57+'МД Бытовка ИТР Нежин'!AH57+'МК Металургбуд.поддоны'!AH57</f>
        <v>0</v>
      </c>
      <c r="AI57" s="2045">
        <f t="shared" si="170"/>
        <v>19572.019999999997</v>
      </c>
      <c r="AJ57" s="4697">
        <f t="shared" si="171"/>
        <v>1.2203144338010381E-2</v>
      </c>
      <c r="AK57" s="4751"/>
      <c r="AL57" s="2043">
        <f>PL_ЦО_Производство!AL57+'МД ООН'!AL57+'МК Ладыжин-3'!AL57+'МК Староконстантинов'!AL57+'МК Армокаркасы'!AL57+'МК Щедро. Флекситанки'!AL57+'МК ЛифтМаркет'!AL57+'МК Укркотлопром'!AL57+'МК Подгорцы.Забор'!AL57+PL_Металлизация!BZ57+'МД Бытовка ИТР Нежин'!AL57+'МК Металургбуд.поддоны'!AL57+'МК Нежин-3'!AL57</f>
        <v>19537.560000000001</v>
      </c>
      <c r="AM57" s="2043">
        <f>PL_ЦО_Производство!AM57+'МД ООН'!AM57+'МК Ладыжин-3'!AM57+'МК Староконстантинов'!AM57+'МК Армокаркасы'!AM57+'МК Щедро. Флекситанки'!AM57+'МК ЛифтМаркет'!AM57+'МК Укркотлопром'!AM57+'МК Подгорцы.Забор'!AM57+PL_Металлизация!CA57+'МД Бытовка ИТР Нежин'!AM57+'МК Металургбуд.поддоны'!AM57+'МК Нежин-3'!AM57</f>
        <v>0</v>
      </c>
      <c r="AN57" s="2045">
        <f t="shared" si="172"/>
        <v>19537.560000000001</v>
      </c>
      <c r="AO57" s="4697">
        <f t="shared" si="173"/>
        <v>9.3670309084295505E-3</v>
      </c>
      <c r="AP57" s="4751"/>
      <c r="AQ57" s="3341">
        <f>PL_ЦО_Производство!AQ57+'МД ООН'!AQ57+'МК Ладыжин-3'!AQ57+'МК Староконстантинов'!AQ57+'МК Армокаркасы'!AQ57+'МК Щедро. Флекситанки'!AQ57+'МК ЛифтМаркет'!AQ57+'МК Укркотлопром'!AQ57+'МК Подгорцы.Забор'!AQ57+PL_Металлизация!CE57+'МД Бытовка ИТР Нежин'!AQ57+'МК Металургбуд.поддоны'!AQ57+'МК Нежин-3'!AQ57</f>
        <v>15900.06</v>
      </c>
      <c r="AR57" s="3341">
        <f>PL_ЦО_Производство!AR57+'МД ООН'!AR57+'МК Ладыжин-3'!AR57+'МК Староконстантинов'!AR57+'МК Армокаркасы'!AR57+'МК Щедро. Флекситанки'!AR57+'МК ЛифтМаркет'!AR57+'МК Укркотлопром'!AR57+'МК Подгорцы.Забор'!AR57+PL_Металлизация!CF57+'МД Бытовка ИТР Нежин'!AR57+'МК Металургбуд.поддоны'!AR57+'МК Нежин-3'!AR57</f>
        <v>0</v>
      </c>
      <c r="AS57" s="3349">
        <f t="shared" si="174"/>
        <v>15900.06</v>
      </c>
      <c r="AT57" s="4697">
        <f t="shared" si="175"/>
        <v>1.0248708438081929E-2</v>
      </c>
      <c r="AU57" s="4751"/>
      <c r="AV57" s="3341">
        <f>PL_ЦО_Производство!AV57+'МД ООН'!AV57+'МК Армокаркасы'!AV57+'МК Подгорцы.Забор'!AV57+'МК Нежин-3'!AV57+'МК РДК.Кран'!AV57+'МК Ворота.Запорожье'!AV57+'МД ВООЗ'!AV57+'МД Казарма.Рекламация'!AV57</f>
        <v>16991.68</v>
      </c>
      <c r="AW57" s="3341">
        <f>PL_ЦО_Производство!AW57+'МД ООН'!AW57+'МК Армокаркасы'!AW57+'МК Подгорцы.Забор'!AW57+'МК Нежин-3'!AW57+'МК РДК.Кран'!AW57+'МК Ворота.Запорожье'!AW57+'МД ВООЗ'!AW57+'МД Казарма.Рекламация'!AW57</f>
        <v>0</v>
      </c>
      <c r="AX57" s="3349">
        <f t="shared" si="176"/>
        <v>16991.68</v>
      </c>
      <c r="AY57" s="4697">
        <f t="shared" si="177"/>
        <v>1.2703853427515274E-2</v>
      </c>
      <c r="AZ57" s="4751"/>
      <c r="BA57" s="3341">
        <f>PL_ЦО_Производство!BA57+'МД ООН'!BA57+'МК Ладыжин-3'!BA57+'МК Староконстантинов'!BA57+'МК Армокаркасы'!BA57+'МК Щедро. Флекситанки'!BA57+'МК ЛифтМаркет'!BA57+'МК Укркотлопром'!BA57+'МК Подгорцы.Забор'!BA57+PL_Металлизация!CO57+'МД Бытовка ИТР Нежин'!BA57+'МК Металургбуд.поддоны'!BA57+'МК Нежин-3'!BA57+'МК РДК.Кран'!BA57+'МК Ворота.Запорожье'!BA57+'МД ВООЗ'!BA57+'МД Казарма.Рекламация'!BA57</f>
        <v>18063.39</v>
      </c>
      <c r="BB57" s="3341">
        <f>PL_ЦО_Производство!BB57+'МД ООН'!BB57+'МК Ладыжин-3'!BB57+'МК Староконстантинов'!BB57+'МК Армокаркасы'!BB57+'МК Щедро. Флекситанки'!BB57+'МК ЛифтМаркет'!BB57+'МК Укркотлопром'!BB57+'МК Подгорцы.Забор'!BB57+PL_Металлизация!CP57+'МД Бытовка ИТР Нежин'!BB57+'МК Металургбуд.поддоны'!BB57+'МК Нежин-3'!BB57+'МК РДК.Кран'!BB57+'МК Ворота.Запорожье'!BB57+'МД ВООЗ'!BB57+'МД Казарма.Рекламация'!BB57</f>
        <v>0</v>
      </c>
      <c r="BC57" s="3349">
        <f t="shared" si="178"/>
        <v>18063.39</v>
      </c>
      <c r="BD57" s="4697">
        <f t="shared" si="179"/>
        <v>1.3703759667472056E-2</v>
      </c>
      <c r="BE57" s="4751"/>
      <c r="BF57" s="3341">
        <f>PL_ЦО_Производство!BF57+'МД ООН'!BF57+'МК Ладыжин-3'!BF57+'МК Староконстантинов'!BF57+'МК Армокаркасы'!BF57+'МК Щедро. Флекситанки'!BF57+'МК ЛифтМаркет'!BF57+'МК Укркотлопром'!BF57+'МК Подгорцы.Забор'!BF57+PL_Металлизация!CT57+'МД Бытовка ИТР Нежин'!BF57+'МК Металургбуд.поддоны'!BF57+'МК Нежин-3'!BF57+'МК РДК.Кран'!BF57+'МК Ворота.Запорожье'!BF57+'МД ВООЗ'!BF57+'МД Казарма.Рекламация'!BF57</f>
        <v>0</v>
      </c>
      <c r="BG57" s="3341">
        <f>PL_ЦО_Производство!BG57+'МД ООН'!BG57+'МК Ладыжин-3'!BG57+'МК Староконстантинов'!BG57+'МК Армокаркасы'!BG57+'МК Щедро. Флекситанки'!BG57+'МК ЛифтМаркет'!BG57+'МК Укркотлопром'!BG57+'МК Подгорцы.Забор'!BG57+PL_Металлизация!CU57+'МД Бытовка ИТР Нежин'!BG57+'МК Металургбуд.поддоны'!BG57+'МК Нежин-3'!BG57+'МК РДК.Кран'!BG57+'МК Ворота.Запорожье'!BG57+'МД ВООЗ'!BG57+'МД Казарма.Рекламация'!BG57</f>
        <v>0</v>
      </c>
      <c r="BH57" s="3349">
        <f t="shared" si="180"/>
        <v>0</v>
      </c>
      <c r="BI57" s="4697" t="e">
        <f t="shared" si="181"/>
        <v>#DIV/0!</v>
      </c>
      <c r="BJ57" s="4751"/>
      <c r="BK57" s="3341">
        <f>PL_ЦО_Производство!BK57+'МД ООН'!BK57+'МК Ладыжин-3'!BK57+'МК Староконстантинов'!BK57+'МК Армокаркасы'!BK57+'МК Щедро. Флекситанки'!BK57+'МК ЛифтМаркет'!BK57+'МК Укркотлопром'!BK57+'МК Подгорцы.Забор'!BK57+PL_Металлизация!CY57+'МД Бытовка ИТР Нежин'!BK57+'МК Металургбуд.поддоны'!BK57+'МК Нежин-3'!BK57+'МК РДК.Кран'!BK57+'МК Ворота.Запорожье'!BK57+'МД ВООЗ'!BK57+'МД Казарма.Рекламация'!BK57</f>
        <v>0</v>
      </c>
      <c r="BL57" s="3341">
        <f>PL_ЦО_Производство!BL57+'МД ООН'!BL57+'МК Ладыжин-3'!BL57+'МК Староконстантинов'!BL57+'МК Армокаркасы'!BL57+'МК Щедро. Флекситанки'!BL57+'МК ЛифтМаркет'!BL57+'МК Укркотлопром'!BL57+'МК Подгорцы.Забор'!BL57+PL_Металлизация!CZ57+'МД Бытовка ИТР Нежин'!BL57+'МК Металургбуд.поддоны'!BL57+'МК Нежин-3'!BL57+'МК РДК.Кран'!BL57+'МК Ворота.Запорожье'!BL57+'МД ВООЗ'!BL57+'МД Казарма.Рекламация'!BL57</f>
        <v>0</v>
      </c>
      <c r="BM57" s="3349">
        <f t="shared" si="182"/>
        <v>0</v>
      </c>
      <c r="BN57" s="4697" t="e">
        <f t="shared" si="183"/>
        <v>#DIV/0!</v>
      </c>
      <c r="BO57" s="4751"/>
      <c r="BP57" s="3341">
        <f>PL_ЦО_Производство!BP57+'МД ООН'!BP57+'МК Ладыжин-3'!BP57+'МК Староконстантинов'!BP57+'МК Армокаркасы'!BP57+'МК Щедро. Флекситанки'!BP57+'МК ЛифтМаркет'!BP57+'МК Укркотлопром'!BP57+'МК Подгорцы.Забор'!BP57+PL_Металлизация!DD57+'МД Бытовка ИТР Нежин'!BP57+'МК Металургбуд.поддоны'!BP57+'МК Нежин-3'!BP57+'МК РДК.Кран'!BP57+'МК Ворота.Запорожье'!BP57+'МД ВООЗ'!BP57+'МД Казарма.Рекламация'!BP57</f>
        <v>0</v>
      </c>
      <c r="BQ57" s="3341">
        <f>PL_ЦО_Производство!BQ57+'МД ООН'!BQ57+'МК Ладыжин-3'!BQ57+'МК Староконстантинов'!BQ57+'МК Армокаркасы'!BQ57+'МК Щедро. Флекситанки'!BQ57+'МК ЛифтМаркет'!BQ57+'МК Укркотлопром'!BQ57+'МК Подгорцы.Забор'!BQ57+PL_Металлизация!DE57+'МД Бытовка ИТР Нежин'!BQ57+'МК Металургбуд.поддоны'!BQ57+'МК Нежин-3'!BQ57+'МК РДК.Кран'!BQ57+'МК Ворота.Запорожье'!BQ57+'МД ВООЗ'!BQ57+'МД Казарма.Рекламация'!BQ57</f>
        <v>0</v>
      </c>
      <c r="BR57" s="3349">
        <f t="shared" si="184"/>
        <v>0</v>
      </c>
      <c r="BS57" s="4697" t="e">
        <f t="shared" si="185"/>
        <v>#DIV/0!</v>
      </c>
      <c r="BT57" s="4751"/>
      <c r="BU57" s="3341">
        <f>PL_ЦО_Производство!BU57+'МД ООН'!BU57+'МК Ладыжин-3'!BU57+'МК Староконстантинов'!BU57+'МК Армокаркасы'!BU57+'МК Щедро. Флекситанки'!BU57+'МК ЛифтМаркет'!BU57+'МК Укркотлопром'!BU57+'МК Подгорцы.Забор'!BU57+PL_Металлизация!DI57+'МД Бытовка ИТР Нежин'!BU57+'МК Металургбуд.поддоны'!BU57+'МК Нежин-3'!BU57+'МК РДК.Кран'!BU57+'МК Ворота.Запорожье'!BU57+'МД ВООЗ'!BU57+'МД Казарма.Рекламация'!BU57</f>
        <v>0</v>
      </c>
      <c r="BV57" s="3341">
        <f>PL_ЦО_Производство!BV57+'МД ООН'!BV57+'МК Ладыжин-3'!BV57+'МК Староконстантинов'!BV57+'МК Армокаркасы'!BV57+'МК Щедро. Флекситанки'!BV57+'МК ЛифтМаркет'!BV57+'МК Укркотлопром'!BV57+'МК Подгорцы.Забор'!BV57+PL_Металлизация!DJ57+'МД Бытовка ИТР Нежин'!BV57+'МК Металургбуд.поддоны'!BV57+'МК Нежин-3'!BV57+'МК РДК.Кран'!BV57+'МК Ворота.Запорожье'!BV57+'МД ВООЗ'!BV57+'МД Казарма.Рекламация'!BV57</f>
        <v>0</v>
      </c>
      <c r="BW57" s="3349">
        <f t="shared" si="186"/>
        <v>0</v>
      </c>
      <c r="BX57" s="4697" t="e">
        <f t="shared" si="187"/>
        <v>#DIV/0!</v>
      </c>
      <c r="BY57" s="4751"/>
      <c r="BZ57" s="3341">
        <f>PL_ЦО_Производство!BZ57+'МД ООН'!BZ57+'МК Ладыжин-3'!BZ57+'МК Староконстантинов'!BZ57+'МК Армокаркасы'!BZ57+'МК Щедро. Флекситанки'!BZ57+'МК ЛифтМаркет'!BZ57+'МК Укркотлопром'!BZ57+'МК Подгорцы.Забор'!BZ57+PL_Металлизация!DN57+'МД Бытовка ИТР Нежин'!BZ57+'МК Металургбуд.поддоны'!BZ57+'МК Нежин-3'!BZ57+'МК РДК.Кран'!BZ57+'МК Ворота.Запорожье'!BZ57+'МД ВООЗ'!BZ57+'МД Казарма.Рекламация'!BZ57</f>
        <v>0</v>
      </c>
      <c r="CA57" s="3341">
        <f>PL_ЦО_Производство!CA57+'МД ООН'!CA57+'МК Ладыжин-3'!CA57+'МК Староконстантинов'!CA57+'МК Армокаркасы'!CA57+'МК Щедро. Флекситанки'!CA57+'МК ЛифтМаркет'!CA57+'МК Укркотлопром'!CA57+'МК Подгорцы.Забор'!CA57+PL_Металлизация!DO57+'МД Бытовка ИТР Нежин'!CA57+'МК Металургбуд.поддоны'!CA57+'МК Нежин-3'!CA57+'МК РДК.Кран'!CA57+'МК Ворота.Запорожье'!CA57+'МД ВООЗ'!CA57+'МД Казарма.Рекламация'!CA57</f>
        <v>0</v>
      </c>
      <c r="CB57" s="3349">
        <f t="shared" si="188"/>
        <v>0</v>
      </c>
      <c r="CC57" s="4697" t="e">
        <f t="shared" si="189"/>
        <v>#DIV/0!</v>
      </c>
      <c r="CD57" s="4751"/>
      <c r="CE57" s="3341">
        <f>PL_ЦО_Производство!CE57+'МД ООН'!CE57+'МК Ладыжин-3'!CE57+'МК Староконстантинов'!CE57+'МК Армокаркасы'!CE57+'МК Щедро. Флекситанки'!CE57+'МК ЛифтМаркет'!CE57+'МК Укркотлопром'!CE57+'МК Подгорцы.Забор'!CE57+PL_Металлизация!DS57+'МД Бытовка ИТР Нежин'!CE57+'МК Металургбуд.поддоны'!CE57+'МК Нежин-3'!CE57+'МК РДК.Кран'!CE57+'МК Ворота.Запорожье'!CE57+'МД ВООЗ'!CE57+'МД Казарма.Рекламация'!CE57</f>
        <v>0</v>
      </c>
      <c r="CF57" s="3341">
        <f>PL_ЦО_Производство!CF57+'МД ООН'!CF57+'МК Ладыжин-3'!CF57+'МК Староконстантинов'!CF57+'МК Армокаркасы'!CF57+'МК Щедро. Флекситанки'!CF57+'МК ЛифтМаркет'!CF57+'МК Укркотлопром'!CF57+'МК Подгорцы.Забор'!CF57+PL_Металлизация!DT57+'МД Бытовка ИТР Нежин'!CF57+'МК Металургбуд.поддоны'!CF57+'МК Нежин-3'!CF57+'МК РДК.Кран'!CF57+'МК Ворота.Запорожье'!CF57+'МД ВООЗ'!CF57+'МД Казарма.Рекламация'!CF57</f>
        <v>0</v>
      </c>
      <c r="CG57" s="3349">
        <f t="shared" si="190"/>
        <v>0</v>
      </c>
      <c r="CH57" s="4697" t="e">
        <f t="shared" si="191"/>
        <v>#DIV/0!</v>
      </c>
      <c r="CI57" s="4751"/>
      <c r="CJ57" s="3341">
        <f t="shared" si="192"/>
        <v>263423.08999999997</v>
      </c>
      <c r="CK57" s="3341">
        <f t="shared" si="192"/>
        <v>0</v>
      </c>
      <c r="CL57" s="2012">
        <f t="shared" si="193"/>
        <v>263423.08999999997</v>
      </c>
      <c r="CM57" s="4697">
        <f t="shared" si="159"/>
        <v>5.1697254973739563E-3</v>
      </c>
      <c r="CN57" s="4699"/>
    </row>
    <row r="58" spans="1:92" ht="13.8" outlineLevel="2">
      <c r="A58" s="1571"/>
      <c r="B58" s="4728" t="s">
        <v>67</v>
      </c>
      <c r="C58" s="3349"/>
      <c r="D58" s="3349"/>
      <c r="E58" s="3349">
        <f t="shared" si="160"/>
        <v>0</v>
      </c>
      <c r="F58" s="4697" t="e">
        <f t="shared" si="125"/>
        <v>#DIV/0!</v>
      </c>
      <c r="G58" s="4751"/>
      <c r="H58" s="3349"/>
      <c r="I58" s="3349"/>
      <c r="J58" s="3349">
        <f t="shared" si="161"/>
        <v>0</v>
      </c>
      <c r="K58" s="4697" t="e">
        <f t="shared" si="162"/>
        <v>#DIV/0!</v>
      </c>
      <c r="L58" s="4751"/>
      <c r="M58" s="3349"/>
      <c r="N58" s="3349"/>
      <c r="O58" s="3349">
        <f t="shared" si="163"/>
        <v>0</v>
      </c>
      <c r="P58" s="4697" t="e">
        <f t="shared" si="164"/>
        <v>#DIV/0!</v>
      </c>
      <c r="Q58" s="4751"/>
      <c r="R58" s="3427">
        <f>PL_Производство!BF58</f>
        <v>0</v>
      </c>
      <c r="S58" s="3427">
        <f>PL_Производство!BG58</f>
        <v>0</v>
      </c>
      <c r="T58" s="2012">
        <f t="shared" si="165"/>
        <v>0</v>
      </c>
      <c r="U58" s="3462"/>
      <c r="V58" s="3462"/>
      <c r="W58" s="3342">
        <f t="shared" si="166"/>
        <v>0</v>
      </c>
      <c r="X58" s="3342">
        <f t="shared" si="166"/>
        <v>0</v>
      </c>
      <c r="Y58" s="2012">
        <f t="shared" si="167"/>
        <v>0</v>
      </c>
      <c r="Z58" s="3462"/>
      <c r="AA58" s="3462"/>
      <c r="AB58" s="3341">
        <f>PL_ЦО_Производство!AB58+'МД ООН'!AB58+'МК Ладыжин-3'!AB58+'МК Староконстантинов'!AB58+'МК Армокаркасы'!AB58+'МК Щедро. Флекситанки'!AB58+'МК ЛифтМаркет'!AB58+'МК Укркотлопром'!AB58+'МК Подгорцы.Забор'!AB58+PL_Металлизация!BP58+'МД Бытовка ИТР Нежин'!AB58+'МК Металургбуд.поддоны'!AB58</f>
        <v>0</v>
      </c>
      <c r="AC58" s="3341">
        <f>PL_ЦО_Производство!AC58+'МД ООН'!AC58+'МК Ладыжин-3'!AC58+'МК Староконстантинов'!AC58+'МК Армокаркасы'!AC58+'МК Щедро. Флекситанки'!AC58+'МК ЛифтМаркет'!AC58+'МК Укркотлопром'!AC58+'МК Подгорцы.Забор'!AC58+PL_Металлизация!BQ58+'МД Бытовка ИТР Нежин'!AC58+'МК Металургбуд.поддоны'!AC58</f>
        <v>0</v>
      </c>
      <c r="AD58" s="3349">
        <f t="shared" si="168"/>
        <v>0</v>
      </c>
      <c r="AE58" s="4697">
        <f t="shared" si="169"/>
        <v>0</v>
      </c>
      <c r="AF58" s="4751"/>
      <c r="AG58" s="2043">
        <f>PL_ЦО_Производство!AG58+'МД ООН'!AG58+'МК Ладыжин-3'!AG58+'МК Староконстантинов'!AG58+'МК Армокаркасы'!AG58+'МК Щедро. Флекситанки'!AG58+'МК ЛифтМаркет'!AG58+'МК Укркотлопром'!AG58+'МК Подгорцы.Забор'!AG58+PL_Металлизация!BU58+'МД Бытовка ИТР Нежин'!AG58+'МК Металургбуд.поддоны'!AG58</f>
        <v>0</v>
      </c>
      <c r="AH58" s="2043">
        <f>PL_ЦО_Производство!AH58+'МД ООН'!AH58+'МК Ладыжин-3'!AH58+'МК Староконстантинов'!AH58+'МК Армокаркасы'!AH58+'МК Щедро. Флекситанки'!AH58+'МК ЛифтМаркет'!AH58+'МК Укркотлопром'!AH58+'МК Подгорцы.Забор'!AH58+PL_Металлизация!BV58+'МД Бытовка ИТР Нежин'!AH58+'МК Металургбуд.поддоны'!AH58</f>
        <v>0</v>
      </c>
      <c r="AI58" s="2045">
        <f t="shared" si="170"/>
        <v>0</v>
      </c>
      <c r="AJ58" s="4697">
        <f t="shared" si="171"/>
        <v>0</v>
      </c>
      <c r="AK58" s="4751"/>
      <c r="AL58" s="2043">
        <f>PL_ЦО_Производство!AL58+'МД ООН'!AL58+'МК Ладыжин-3'!AL58+'МК Староконстантинов'!AL58+'МК Армокаркасы'!AL58+'МК Щедро. Флекситанки'!AL58+'МК ЛифтМаркет'!AL58+'МК Укркотлопром'!AL58+'МК Подгорцы.Забор'!AL58+PL_Металлизация!BZ58+'МД Бытовка ИТР Нежин'!AL58+'МК Металургбуд.поддоны'!AL58+'МК Нежин-3'!AL58</f>
        <v>0</v>
      </c>
      <c r="AM58" s="2043">
        <f>PL_ЦО_Производство!AM58+'МД ООН'!AM58+'МК Ладыжин-3'!AM58+'МК Староконстантинов'!AM58+'МК Армокаркасы'!AM58+'МК Щедро. Флекситанки'!AM58+'МК ЛифтМаркет'!AM58+'МК Укркотлопром'!AM58+'МК Подгорцы.Забор'!AM58+PL_Металлизация!CA58+'МД Бытовка ИТР Нежин'!AM58+'МК Металургбуд.поддоны'!AM58+'МК Нежин-3'!AM58</f>
        <v>0</v>
      </c>
      <c r="AN58" s="2045">
        <f t="shared" si="172"/>
        <v>0</v>
      </c>
      <c r="AO58" s="4697">
        <f t="shared" si="173"/>
        <v>0</v>
      </c>
      <c r="AP58" s="4751"/>
      <c r="AQ58" s="3341">
        <f>PL_ЦО_Производство!AQ58+'МД ООН'!AQ58+'МК Ладыжин-3'!AQ58+'МК Староконстантинов'!AQ58+'МК Армокаркасы'!AQ58+'МК Щедро. Флекситанки'!AQ58+'МК ЛифтМаркет'!AQ58+'МК Укркотлопром'!AQ58+'МК Подгорцы.Забор'!AQ58+PL_Металлизация!CE58+'МД Бытовка ИТР Нежин'!AQ58+'МК Металургбуд.поддоны'!AQ58+'МК Нежин-3'!AQ58</f>
        <v>0</v>
      </c>
      <c r="AR58" s="3341">
        <f>PL_ЦО_Производство!AR58+'МД ООН'!AR58+'МК Ладыжин-3'!AR58+'МК Староконстантинов'!AR58+'МК Армокаркасы'!AR58+'МК Щедро. Флекситанки'!AR58+'МК ЛифтМаркет'!AR58+'МК Укркотлопром'!AR58+'МК Подгорцы.Забор'!AR58+PL_Металлизация!CF58+'МД Бытовка ИТР Нежин'!AR58+'МК Металургбуд.поддоны'!AR58+'МК Нежин-3'!AR58</f>
        <v>0</v>
      </c>
      <c r="AS58" s="3349">
        <f t="shared" si="174"/>
        <v>0</v>
      </c>
      <c r="AT58" s="4697">
        <f t="shared" si="175"/>
        <v>0</v>
      </c>
      <c r="AU58" s="4751"/>
      <c r="AV58" s="3341">
        <f>PL_ЦО_Производство!AV58+'МД ООН'!AV58+'МК Армокаркасы'!AV58+'МК Подгорцы.Забор'!AV58+'МК Нежин-3'!AV58+'МК РДК.Кран'!AV58+'МК Ворота.Запорожье'!AV58+'МД ВООЗ'!AV58+'МД Казарма.Рекламация'!AV58</f>
        <v>0</v>
      </c>
      <c r="AW58" s="3341">
        <f>PL_ЦО_Производство!AW58+'МД ООН'!AW58+'МК Армокаркасы'!AW58+'МК Подгорцы.Забор'!AW58+'МК Нежин-3'!AW58+'МК РДК.Кран'!AW58+'МК Ворота.Запорожье'!AW58+'МД ВООЗ'!AW58+'МД Казарма.Рекламация'!AW58</f>
        <v>0</v>
      </c>
      <c r="AX58" s="3349">
        <f t="shared" si="176"/>
        <v>0</v>
      </c>
      <c r="AY58" s="4697">
        <f t="shared" si="177"/>
        <v>0</v>
      </c>
      <c r="AZ58" s="4751"/>
      <c r="BA58" s="3341">
        <f>PL_ЦО_Производство!BA58+'МД ООН'!BA58+'МК Ладыжин-3'!BA58+'МК Староконстантинов'!BA58+'МК Армокаркасы'!BA58+'МК Щедро. Флекситанки'!BA58+'МК ЛифтМаркет'!BA58+'МК Укркотлопром'!BA58+'МК Подгорцы.Забор'!BA58+PL_Металлизация!CO58+'МД Бытовка ИТР Нежин'!BA58+'МК Металургбуд.поддоны'!BA58+'МК Нежин-3'!BA58+'МК РДК.Кран'!BA58+'МК Ворота.Запорожье'!BA58+'МД ВООЗ'!BA58+'МД Казарма.Рекламация'!BA58</f>
        <v>0</v>
      </c>
      <c r="BB58" s="3341">
        <f>PL_ЦО_Производство!BB58+'МД ООН'!BB58+'МК Ладыжин-3'!BB58+'МК Староконстантинов'!BB58+'МК Армокаркасы'!BB58+'МК Щедро. Флекситанки'!BB58+'МК ЛифтМаркет'!BB58+'МК Укркотлопром'!BB58+'МК Подгорцы.Забор'!BB58+PL_Металлизация!CP58+'МД Бытовка ИТР Нежин'!BB58+'МК Металургбуд.поддоны'!BB58+'МК Нежин-3'!BB58+'МК РДК.Кран'!BB58+'МК Ворота.Запорожье'!BB58+'МД ВООЗ'!BB58+'МД Казарма.Рекламация'!BB58</f>
        <v>0</v>
      </c>
      <c r="BC58" s="3349">
        <f t="shared" si="178"/>
        <v>0</v>
      </c>
      <c r="BD58" s="4697">
        <f t="shared" si="179"/>
        <v>0</v>
      </c>
      <c r="BE58" s="4751"/>
      <c r="BF58" s="3341">
        <f>PL_ЦО_Производство!BF58+'МД ООН'!BF58+'МК Ладыжин-3'!BF58+'МК Староконстантинов'!BF58+'МК Армокаркасы'!BF58+'МК Щедро. Флекситанки'!BF58+'МК ЛифтМаркет'!BF58+'МК Укркотлопром'!BF58+'МК Подгорцы.Забор'!BF58+PL_Металлизация!CT58+'МД Бытовка ИТР Нежин'!BF58+'МК Металургбуд.поддоны'!BF58+'МК Нежин-3'!BF58+'МК РДК.Кран'!BF58+'МК Ворота.Запорожье'!BF58+'МД ВООЗ'!BF58+'МД Казарма.Рекламация'!BF58</f>
        <v>0</v>
      </c>
      <c r="BG58" s="3341">
        <f>PL_ЦО_Производство!BG58+'МД ООН'!BG58+'МК Ладыжин-3'!BG58+'МК Староконстантинов'!BG58+'МК Армокаркасы'!BG58+'МК Щедро. Флекситанки'!BG58+'МК ЛифтМаркет'!BG58+'МК Укркотлопром'!BG58+'МК Подгорцы.Забор'!BG58+PL_Металлизация!CU58+'МД Бытовка ИТР Нежин'!BG58+'МК Металургбуд.поддоны'!BG58+'МК Нежин-3'!BG58+'МК РДК.Кран'!BG58+'МК Ворота.Запорожье'!BG58+'МД ВООЗ'!BG58+'МД Казарма.Рекламация'!BG58</f>
        <v>0</v>
      </c>
      <c r="BH58" s="3349">
        <f t="shared" si="180"/>
        <v>0</v>
      </c>
      <c r="BI58" s="4697" t="e">
        <f t="shared" si="181"/>
        <v>#DIV/0!</v>
      </c>
      <c r="BJ58" s="4751"/>
      <c r="BK58" s="3341">
        <f>PL_ЦО_Производство!BK58+'МД ООН'!BK58+'МК Ладыжин-3'!BK58+'МК Староконстантинов'!BK58+'МК Армокаркасы'!BK58+'МК Щедро. Флекситанки'!BK58+'МК ЛифтМаркет'!BK58+'МК Укркотлопром'!BK58+'МК Подгорцы.Забор'!BK58+PL_Металлизация!CY58+'МД Бытовка ИТР Нежин'!BK58+'МК Металургбуд.поддоны'!BK58+'МК Нежин-3'!BK58+'МК РДК.Кран'!BK58+'МК Ворота.Запорожье'!BK58+'МД ВООЗ'!BK58+'МД Казарма.Рекламация'!BK58</f>
        <v>0</v>
      </c>
      <c r="BL58" s="3341">
        <f>PL_ЦО_Производство!BL58+'МД ООН'!BL58+'МК Ладыжин-3'!BL58+'МК Староконстантинов'!BL58+'МК Армокаркасы'!BL58+'МК Щедро. Флекситанки'!BL58+'МК ЛифтМаркет'!BL58+'МК Укркотлопром'!BL58+'МК Подгорцы.Забор'!BL58+PL_Металлизация!CZ58+'МД Бытовка ИТР Нежин'!BL58+'МК Металургбуд.поддоны'!BL58+'МК Нежин-3'!BL58+'МК РДК.Кран'!BL58+'МК Ворота.Запорожье'!BL58+'МД ВООЗ'!BL58+'МД Казарма.Рекламация'!BL58</f>
        <v>0</v>
      </c>
      <c r="BM58" s="3349">
        <f t="shared" si="182"/>
        <v>0</v>
      </c>
      <c r="BN58" s="4697" t="e">
        <f t="shared" si="183"/>
        <v>#DIV/0!</v>
      </c>
      <c r="BO58" s="4751"/>
      <c r="BP58" s="3341">
        <f>PL_ЦО_Производство!BP58+'МД ООН'!BP58+'МК Ладыжин-3'!BP58+'МК Староконстантинов'!BP58+'МК Армокаркасы'!BP58+'МК Щедро. Флекситанки'!BP58+'МК ЛифтМаркет'!BP58+'МК Укркотлопром'!BP58+'МК Подгорцы.Забор'!BP58+PL_Металлизация!DD58+'МД Бытовка ИТР Нежин'!BP58+'МК Металургбуд.поддоны'!BP58+'МК Нежин-3'!BP58+'МК РДК.Кран'!BP58+'МК Ворота.Запорожье'!BP58+'МД ВООЗ'!BP58+'МД Казарма.Рекламация'!BP58</f>
        <v>0</v>
      </c>
      <c r="BQ58" s="3341">
        <f>PL_ЦО_Производство!BQ58+'МД ООН'!BQ58+'МК Ладыжин-3'!BQ58+'МК Староконстантинов'!BQ58+'МК Армокаркасы'!BQ58+'МК Щедро. Флекситанки'!BQ58+'МК ЛифтМаркет'!BQ58+'МК Укркотлопром'!BQ58+'МК Подгорцы.Забор'!BQ58+PL_Металлизация!DE58+'МД Бытовка ИТР Нежин'!BQ58+'МК Металургбуд.поддоны'!BQ58+'МК Нежин-3'!BQ58+'МК РДК.Кран'!BQ58+'МК Ворота.Запорожье'!BQ58+'МД ВООЗ'!BQ58+'МД Казарма.Рекламация'!BQ58</f>
        <v>0</v>
      </c>
      <c r="BR58" s="3349">
        <f t="shared" si="184"/>
        <v>0</v>
      </c>
      <c r="BS58" s="4697" t="e">
        <f t="shared" si="185"/>
        <v>#DIV/0!</v>
      </c>
      <c r="BT58" s="4751"/>
      <c r="BU58" s="3341">
        <f>PL_ЦО_Производство!BU58+'МД ООН'!BU58+'МК Ладыжин-3'!BU58+'МК Староконстантинов'!BU58+'МК Армокаркасы'!BU58+'МК Щедро. Флекситанки'!BU58+'МК ЛифтМаркет'!BU58+'МК Укркотлопром'!BU58+'МК Подгорцы.Забор'!BU58+PL_Металлизация!DI58+'МД Бытовка ИТР Нежин'!BU58+'МК Металургбуд.поддоны'!BU58+'МК Нежин-3'!BU58+'МК РДК.Кран'!BU58+'МК Ворота.Запорожье'!BU58+'МД ВООЗ'!BU58+'МД Казарма.Рекламация'!BU58</f>
        <v>0</v>
      </c>
      <c r="BV58" s="3341">
        <f>PL_ЦО_Производство!BV58+'МД ООН'!BV58+'МК Ладыжин-3'!BV58+'МК Староконстантинов'!BV58+'МК Армокаркасы'!BV58+'МК Щедро. Флекситанки'!BV58+'МК ЛифтМаркет'!BV58+'МК Укркотлопром'!BV58+'МК Подгорцы.Забор'!BV58+PL_Металлизация!DJ58+'МД Бытовка ИТР Нежин'!BV58+'МК Металургбуд.поддоны'!BV58+'МК Нежин-3'!BV58+'МК РДК.Кран'!BV58+'МК Ворота.Запорожье'!BV58+'МД ВООЗ'!BV58+'МД Казарма.Рекламация'!BV58</f>
        <v>0</v>
      </c>
      <c r="BW58" s="3349">
        <f t="shared" si="186"/>
        <v>0</v>
      </c>
      <c r="BX58" s="4697" t="e">
        <f t="shared" si="187"/>
        <v>#DIV/0!</v>
      </c>
      <c r="BY58" s="4751"/>
      <c r="BZ58" s="3341">
        <f>PL_ЦО_Производство!BZ58+'МД ООН'!BZ58+'МК Ладыжин-3'!BZ58+'МК Староконстантинов'!BZ58+'МК Армокаркасы'!BZ58+'МК Щедро. Флекситанки'!BZ58+'МК ЛифтМаркет'!BZ58+'МК Укркотлопром'!BZ58+'МК Подгорцы.Забор'!BZ58+PL_Металлизация!DN58+'МД Бытовка ИТР Нежин'!BZ58+'МК Металургбуд.поддоны'!BZ58+'МК Нежин-3'!BZ58+'МК РДК.Кран'!BZ58+'МК Ворота.Запорожье'!BZ58+'МД ВООЗ'!BZ58+'МД Казарма.Рекламация'!BZ58</f>
        <v>0</v>
      </c>
      <c r="CA58" s="3341">
        <f>PL_ЦО_Производство!CA58+'МД ООН'!CA58+'МК Ладыжин-3'!CA58+'МК Староконстантинов'!CA58+'МК Армокаркасы'!CA58+'МК Щедро. Флекситанки'!CA58+'МК ЛифтМаркет'!CA58+'МК Укркотлопром'!CA58+'МК Подгорцы.Забор'!CA58+PL_Металлизация!DO58+'МД Бытовка ИТР Нежин'!CA58+'МК Металургбуд.поддоны'!CA58+'МК Нежин-3'!CA58+'МК РДК.Кран'!CA58+'МК Ворота.Запорожье'!CA58+'МД ВООЗ'!CA58+'МД Казарма.Рекламация'!CA58</f>
        <v>0</v>
      </c>
      <c r="CB58" s="3349">
        <f t="shared" si="188"/>
        <v>0</v>
      </c>
      <c r="CC58" s="4697" t="e">
        <f t="shared" si="189"/>
        <v>#DIV/0!</v>
      </c>
      <c r="CD58" s="4751"/>
      <c r="CE58" s="3341">
        <f>PL_ЦО_Производство!CE58+'МД ООН'!CE58+'МК Ладыжин-3'!CE58+'МК Староконстантинов'!CE58+'МК Армокаркасы'!CE58+'МК Щедро. Флекситанки'!CE58+'МК ЛифтМаркет'!CE58+'МК Укркотлопром'!CE58+'МК Подгорцы.Забор'!CE58+PL_Металлизация!DS58+'МД Бытовка ИТР Нежин'!CE58+'МК Металургбуд.поддоны'!CE58+'МК Нежин-3'!CE58+'МК РДК.Кран'!CE58+'МК Ворота.Запорожье'!CE58+'МД ВООЗ'!CE58+'МД Казарма.Рекламация'!CE58</f>
        <v>0</v>
      </c>
      <c r="CF58" s="3341">
        <f>PL_ЦО_Производство!CF58+'МД ООН'!CF58+'МК Ладыжин-3'!CF58+'МК Староконстантинов'!CF58+'МК Армокаркасы'!CF58+'МК Щедро. Флекситанки'!CF58+'МК ЛифтМаркет'!CF58+'МК Укркотлопром'!CF58+'МК Подгорцы.Забор'!CF58+PL_Металлизация!DT58+'МД Бытовка ИТР Нежин'!CF58+'МК Металургбуд.поддоны'!CF58+'МК Нежин-3'!CF58+'МК РДК.Кран'!CF58+'МК Ворота.Запорожье'!CF58+'МД ВООЗ'!CF58+'МД Казарма.Рекламация'!CF58</f>
        <v>0</v>
      </c>
      <c r="CG58" s="3349">
        <f t="shared" si="190"/>
        <v>0</v>
      </c>
      <c r="CH58" s="4697" t="e">
        <f t="shared" si="191"/>
        <v>#DIV/0!</v>
      </c>
      <c r="CI58" s="4751"/>
      <c r="CJ58" s="3341">
        <f t="shared" si="192"/>
        <v>0</v>
      </c>
      <c r="CK58" s="3341">
        <f t="shared" si="192"/>
        <v>0</v>
      </c>
      <c r="CL58" s="2012">
        <f t="shared" si="193"/>
        <v>0</v>
      </c>
      <c r="CM58" s="4697">
        <f t="shared" si="159"/>
        <v>0</v>
      </c>
      <c r="CN58" s="4699"/>
    </row>
    <row r="59" spans="1:92" ht="13.8" outlineLevel="2">
      <c r="A59" s="1571"/>
      <c r="B59" s="4728" t="s">
        <v>66</v>
      </c>
      <c r="C59" s="3349"/>
      <c r="D59" s="3349"/>
      <c r="E59" s="3349">
        <f t="shared" si="160"/>
        <v>0</v>
      </c>
      <c r="F59" s="4697" t="e">
        <f t="shared" si="125"/>
        <v>#DIV/0!</v>
      </c>
      <c r="G59" s="4751"/>
      <c r="H59" s="3349"/>
      <c r="I59" s="3349"/>
      <c r="J59" s="3349">
        <f t="shared" si="161"/>
        <v>0</v>
      </c>
      <c r="K59" s="4697" t="e">
        <f t="shared" si="162"/>
        <v>#DIV/0!</v>
      </c>
      <c r="L59" s="4751"/>
      <c r="M59" s="3349"/>
      <c r="N59" s="3349"/>
      <c r="O59" s="3349">
        <f t="shared" si="163"/>
        <v>0</v>
      </c>
      <c r="P59" s="4697" t="e">
        <f t="shared" si="164"/>
        <v>#DIV/0!</v>
      </c>
      <c r="Q59" s="4751"/>
      <c r="R59" s="3427">
        <f>PL_Производство!BF59</f>
        <v>0</v>
      </c>
      <c r="S59" s="3427">
        <f>PL_Производство!BG59</f>
        <v>0</v>
      </c>
      <c r="T59" s="2012">
        <f t="shared" si="165"/>
        <v>0</v>
      </c>
      <c r="U59" s="3462"/>
      <c r="V59" s="3462"/>
      <c r="W59" s="3342">
        <f t="shared" si="166"/>
        <v>0</v>
      </c>
      <c r="X59" s="3342">
        <f t="shared" si="166"/>
        <v>0</v>
      </c>
      <c r="Y59" s="2012">
        <f t="shared" si="167"/>
        <v>0</v>
      </c>
      <c r="Z59" s="3462"/>
      <c r="AA59" s="3462"/>
      <c r="AB59" s="3341">
        <f>PL_ЦО_Производство!AB59+'МД ООН'!AB59+'МК Ладыжин-3'!AB59+'МК Староконстантинов'!AB59+'МК Армокаркасы'!AB59+'МК Щедро. Флекситанки'!AB59+'МК ЛифтМаркет'!AB59+'МК Укркотлопром'!AB59+'МК Подгорцы.Забор'!AB59+PL_Металлизация!BP59+'МД Бытовка ИТР Нежин'!AB59+'МК Металургбуд.поддоны'!AB59</f>
        <v>0</v>
      </c>
      <c r="AC59" s="3341">
        <f>PL_ЦО_Производство!AC59+'МД ООН'!AC59+'МК Ладыжин-3'!AC59+'МК Староконстантинов'!AC59+'МК Армокаркасы'!AC59+'МК Щедро. Флекситанки'!AC59+'МК ЛифтМаркет'!AC59+'МК Укркотлопром'!AC59+'МК Подгорцы.Забор'!AC59+PL_Металлизация!BQ59+'МД Бытовка ИТР Нежин'!AC59+'МК Металургбуд.поддоны'!AC59</f>
        <v>0</v>
      </c>
      <c r="AD59" s="3349">
        <f t="shared" si="168"/>
        <v>0</v>
      </c>
      <c r="AE59" s="4697">
        <f t="shared" si="169"/>
        <v>0</v>
      </c>
      <c r="AF59" s="4751"/>
      <c r="AG59" s="2043">
        <f>PL_ЦО_Производство!AG59+'МД ООН'!AG59+'МК Ладыжин-3'!AG59+'МК Староконстантинов'!AG59+'МК Армокаркасы'!AG59+'МК Щедро. Флекситанки'!AG59+'МК ЛифтМаркет'!AG59+'МК Укркотлопром'!AG59+'МК Подгорцы.Забор'!AG59+PL_Металлизация!BU59+'МД Бытовка ИТР Нежин'!AG59+'МК Металургбуд.поддоны'!AG59</f>
        <v>0</v>
      </c>
      <c r="AH59" s="2043">
        <f>PL_ЦО_Производство!AH59+'МД ООН'!AH59+'МК Ладыжин-3'!AH59+'МК Староконстантинов'!AH59+'МК Армокаркасы'!AH59+'МК Щедро. Флекситанки'!AH59+'МК ЛифтМаркет'!AH59+'МК Укркотлопром'!AH59+'МК Подгорцы.Забор'!AH59+PL_Металлизация!BV59+'МД Бытовка ИТР Нежин'!AH59+'МК Металургбуд.поддоны'!AH59</f>
        <v>0</v>
      </c>
      <c r="AI59" s="2045">
        <f t="shared" si="170"/>
        <v>0</v>
      </c>
      <c r="AJ59" s="4697">
        <f t="shared" si="171"/>
        <v>0</v>
      </c>
      <c r="AK59" s="4751"/>
      <c r="AL59" s="2043">
        <f>PL_ЦО_Производство!AL59+'МД ООН'!AL59+'МК Ладыжин-3'!AL59+'МК Староконстантинов'!AL59+'МК Армокаркасы'!AL59+'МК Щедро. Флекситанки'!AL59+'МК ЛифтМаркет'!AL59+'МК Укркотлопром'!AL59+'МК Подгорцы.Забор'!AL59+PL_Металлизация!BZ59+'МД Бытовка ИТР Нежин'!AL59+'МК Металургбуд.поддоны'!AL59+'МК Нежин-3'!AL59</f>
        <v>0</v>
      </c>
      <c r="AM59" s="2043">
        <f>PL_ЦО_Производство!AM59+'МД ООН'!AM59+'МК Ладыжин-3'!AM59+'МК Староконстантинов'!AM59+'МК Армокаркасы'!AM59+'МК Щедро. Флекситанки'!AM59+'МК ЛифтМаркет'!AM59+'МК Укркотлопром'!AM59+'МК Подгорцы.Забор'!AM59+PL_Металлизация!CA59+'МД Бытовка ИТР Нежин'!AM59+'МК Металургбуд.поддоны'!AM59+'МК Нежин-3'!AM59</f>
        <v>0</v>
      </c>
      <c r="AN59" s="2045">
        <f t="shared" si="172"/>
        <v>0</v>
      </c>
      <c r="AO59" s="4697">
        <f t="shared" si="173"/>
        <v>0</v>
      </c>
      <c r="AP59" s="4751"/>
      <c r="AQ59" s="3341">
        <f>PL_ЦО_Производство!AQ59+'МД ООН'!AQ59+'МК Ладыжин-3'!AQ59+'МК Староконстантинов'!AQ59+'МК Армокаркасы'!AQ59+'МК Щедро. Флекситанки'!AQ59+'МК ЛифтМаркет'!AQ59+'МК Укркотлопром'!AQ59+'МК Подгорцы.Забор'!AQ59+PL_Металлизация!CE59+'МД Бытовка ИТР Нежин'!AQ59+'МК Металургбуд.поддоны'!AQ59+'МК Нежин-3'!AQ59</f>
        <v>0</v>
      </c>
      <c r="AR59" s="3341">
        <f>PL_ЦО_Производство!AR59+'МД ООН'!AR59+'МК Ладыжин-3'!AR59+'МК Староконстантинов'!AR59+'МК Армокаркасы'!AR59+'МК Щедро. Флекситанки'!AR59+'МК ЛифтМаркет'!AR59+'МК Укркотлопром'!AR59+'МК Подгорцы.Забор'!AR59+PL_Металлизация!CF59+'МД Бытовка ИТР Нежин'!AR59+'МК Металургбуд.поддоны'!AR59+'МК Нежин-3'!AR59</f>
        <v>0</v>
      </c>
      <c r="AS59" s="3349">
        <f t="shared" si="174"/>
        <v>0</v>
      </c>
      <c r="AT59" s="4697">
        <f t="shared" si="175"/>
        <v>0</v>
      </c>
      <c r="AU59" s="4751"/>
      <c r="AV59" s="3341">
        <f>PL_ЦО_Производство!AV59+'МД ООН'!AV59+'МК Армокаркасы'!AV59+'МК Подгорцы.Забор'!AV59+'МК Нежин-3'!AV59+'МК РДК.Кран'!AV59+'МК Ворота.Запорожье'!AV59+'МД ВООЗ'!AV59+'МД Казарма.Рекламация'!AV59</f>
        <v>0</v>
      </c>
      <c r="AW59" s="3341">
        <f>PL_ЦО_Производство!AW59+'МД ООН'!AW59+'МК Армокаркасы'!AW59+'МК Подгорцы.Забор'!AW59+'МК Нежин-3'!AW59+'МК РДК.Кран'!AW59+'МК Ворота.Запорожье'!AW59+'МД ВООЗ'!AW59+'МД Казарма.Рекламация'!AW59</f>
        <v>0</v>
      </c>
      <c r="AX59" s="3349">
        <f t="shared" si="176"/>
        <v>0</v>
      </c>
      <c r="AY59" s="4697">
        <f t="shared" si="177"/>
        <v>0</v>
      </c>
      <c r="AZ59" s="4751"/>
      <c r="BA59" s="3341">
        <f>PL_ЦО_Производство!BA59+'МД ООН'!BA59+'МК Ладыжин-3'!BA59+'МК Староконстантинов'!BA59+'МК Армокаркасы'!BA59+'МК Щедро. Флекситанки'!BA59+'МК ЛифтМаркет'!BA59+'МК Укркотлопром'!BA59+'МК Подгорцы.Забор'!BA59+PL_Металлизация!CO59+'МД Бытовка ИТР Нежин'!BA59+'МК Металургбуд.поддоны'!BA59+'МК Нежин-3'!BA59+'МК РДК.Кран'!BA59+'МК Ворота.Запорожье'!BA59+'МД ВООЗ'!BA59+'МД Казарма.Рекламация'!BA59</f>
        <v>0</v>
      </c>
      <c r="BB59" s="3341">
        <f>PL_ЦО_Производство!BB59+'МД ООН'!BB59+'МК Ладыжин-3'!BB59+'МК Староконстантинов'!BB59+'МК Армокаркасы'!BB59+'МК Щедро. Флекситанки'!BB59+'МК ЛифтМаркет'!BB59+'МК Укркотлопром'!BB59+'МК Подгорцы.Забор'!BB59+PL_Металлизация!CP59+'МД Бытовка ИТР Нежин'!BB59+'МК Металургбуд.поддоны'!BB59+'МК Нежин-3'!BB59+'МК РДК.Кран'!BB59+'МК Ворота.Запорожье'!BB59+'МД ВООЗ'!BB59+'МД Казарма.Рекламация'!BB59</f>
        <v>0</v>
      </c>
      <c r="BC59" s="3349">
        <f t="shared" si="178"/>
        <v>0</v>
      </c>
      <c r="BD59" s="4697">
        <f t="shared" si="179"/>
        <v>0</v>
      </c>
      <c r="BE59" s="4751"/>
      <c r="BF59" s="3341">
        <f>PL_ЦО_Производство!BF59+'МД ООН'!BF59+'МК Ладыжин-3'!BF59+'МК Староконстантинов'!BF59+'МК Армокаркасы'!BF59+'МК Щедро. Флекситанки'!BF59+'МК ЛифтМаркет'!BF59+'МК Укркотлопром'!BF59+'МК Подгорцы.Забор'!BF59+PL_Металлизация!CT59+'МД Бытовка ИТР Нежин'!BF59+'МК Металургбуд.поддоны'!BF59+'МК Нежин-3'!BF59+'МК РДК.Кран'!BF59+'МК Ворота.Запорожье'!BF59+'МД ВООЗ'!BF59+'МД Казарма.Рекламация'!BF59</f>
        <v>0</v>
      </c>
      <c r="BG59" s="3341">
        <f>PL_ЦО_Производство!BG59+'МД ООН'!BG59+'МК Ладыжин-3'!BG59+'МК Староконстантинов'!BG59+'МК Армокаркасы'!BG59+'МК Щедро. Флекситанки'!BG59+'МК ЛифтМаркет'!BG59+'МК Укркотлопром'!BG59+'МК Подгорцы.Забор'!BG59+PL_Металлизация!CU59+'МД Бытовка ИТР Нежин'!BG59+'МК Металургбуд.поддоны'!BG59+'МК Нежин-3'!BG59+'МК РДК.Кран'!BG59+'МК Ворота.Запорожье'!BG59+'МД ВООЗ'!BG59+'МД Казарма.Рекламация'!BG59</f>
        <v>0</v>
      </c>
      <c r="BH59" s="3349">
        <f t="shared" si="180"/>
        <v>0</v>
      </c>
      <c r="BI59" s="4697" t="e">
        <f t="shared" si="181"/>
        <v>#DIV/0!</v>
      </c>
      <c r="BJ59" s="4751"/>
      <c r="BK59" s="3341">
        <f>PL_ЦО_Производство!BK59+'МД ООН'!BK59+'МК Ладыжин-3'!BK59+'МК Староконстантинов'!BK59+'МК Армокаркасы'!BK59+'МК Щедро. Флекситанки'!BK59+'МК ЛифтМаркет'!BK59+'МК Укркотлопром'!BK59+'МК Подгорцы.Забор'!BK59+PL_Металлизация!CY59+'МД Бытовка ИТР Нежин'!BK59+'МК Металургбуд.поддоны'!BK59+'МК Нежин-3'!BK59+'МК РДК.Кран'!BK59+'МК Ворота.Запорожье'!BK59+'МД ВООЗ'!BK59+'МД Казарма.Рекламация'!BK59</f>
        <v>0</v>
      </c>
      <c r="BL59" s="3341">
        <f>PL_ЦО_Производство!BL59+'МД ООН'!BL59+'МК Ладыжин-3'!BL59+'МК Староконстантинов'!BL59+'МК Армокаркасы'!BL59+'МК Щедро. Флекситанки'!BL59+'МК ЛифтМаркет'!BL59+'МК Укркотлопром'!BL59+'МК Подгорцы.Забор'!BL59+PL_Металлизация!CZ59+'МД Бытовка ИТР Нежин'!BL59+'МК Металургбуд.поддоны'!BL59+'МК Нежин-3'!BL59+'МК РДК.Кран'!BL59+'МК Ворота.Запорожье'!BL59+'МД ВООЗ'!BL59+'МД Казарма.Рекламация'!BL59</f>
        <v>0</v>
      </c>
      <c r="BM59" s="3349">
        <f t="shared" si="182"/>
        <v>0</v>
      </c>
      <c r="BN59" s="4697" t="e">
        <f t="shared" si="183"/>
        <v>#DIV/0!</v>
      </c>
      <c r="BO59" s="4751"/>
      <c r="BP59" s="3341">
        <f>PL_ЦО_Производство!BP59+'МД ООН'!BP59+'МК Ладыжин-3'!BP59+'МК Староконстантинов'!BP59+'МК Армокаркасы'!BP59+'МК Щедро. Флекситанки'!BP59+'МК ЛифтМаркет'!BP59+'МК Укркотлопром'!BP59+'МК Подгорцы.Забор'!BP59+PL_Металлизация!DD59+'МД Бытовка ИТР Нежин'!BP59+'МК Металургбуд.поддоны'!BP59+'МК Нежин-3'!BP59+'МК РДК.Кран'!BP59+'МК Ворота.Запорожье'!BP59+'МД ВООЗ'!BP59+'МД Казарма.Рекламация'!BP59</f>
        <v>0</v>
      </c>
      <c r="BQ59" s="3341">
        <f>PL_ЦО_Производство!BQ59+'МД ООН'!BQ59+'МК Ладыжин-3'!BQ59+'МК Староконстантинов'!BQ59+'МК Армокаркасы'!BQ59+'МК Щедро. Флекситанки'!BQ59+'МК ЛифтМаркет'!BQ59+'МК Укркотлопром'!BQ59+'МК Подгорцы.Забор'!BQ59+PL_Металлизация!DE59+'МД Бытовка ИТР Нежин'!BQ59+'МК Металургбуд.поддоны'!BQ59+'МК Нежин-3'!BQ59+'МК РДК.Кран'!BQ59+'МК Ворота.Запорожье'!BQ59+'МД ВООЗ'!BQ59+'МД Казарма.Рекламация'!BQ59</f>
        <v>0</v>
      </c>
      <c r="BR59" s="3349">
        <f t="shared" si="184"/>
        <v>0</v>
      </c>
      <c r="BS59" s="4697" t="e">
        <f t="shared" si="185"/>
        <v>#DIV/0!</v>
      </c>
      <c r="BT59" s="4751"/>
      <c r="BU59" s="3341">
        <f>PL_ЦО_Производство!BU59+'МД ООН'!BU59+'МК Ладыжин-3'!BU59+'МК Староконстантинов'!BU59+'МК Армокаркасы'!BU59+'МК Щедро. Флекситанки'!BU59+'МК ЛифтМаркет'!BU59+'МК Укркотлопром'!BU59+'МК Подгорцы.Забор'!BU59+PL_Металлизация!DI59+'МД Бытовка ИТР Нежин'!BU59+'МК Металургбуд.поддоны'!BU59+'МК Нежин-3'!BU59+'МК РДК.Кран'!BU59+'МК Ворота.Запорожье'!BU59+'МД ВООЗ'!BU59+'МД Казарма.Рекламация'!BU59</f>
        <v>0</v>
      </c>
      <c r="BV59" s="3341">
        <f>PL_ЦО_Производство!BV59+'МД ООН'!BV59+'МК Ладыжин-3'!BV59+'МК Староконстантинов'!BV59+'МК Армокаркасы'!BV59+'МК Щедро. Флекситанки'!BV59+'МК ЛифтМаркет'!BV59+'МК Укркотлопром'!BV59+'МК Подгорцы.Забор'!BV59+PL_Металлизация!DJ59+'МД Бытовка ИТР Нежин'!BV59+'МК Металургбуд.поддоны'!BV59+'МК Нежин-3'!BV59+'МК РДК.Кран'!BV59+'МК Ворота.Запорожье'!BV59+'МД ВООЗ'!BV59+'МД Казарма.Рекламация'!BV59</f>
        <v>0</v>
      </c>
      <c r="BW59" s="3349">
        <f t="shared" si="186"/>
        <v>0</v>
      </c>
      <c r="BX59" s="4697" t="e">
        <f t="shared" si="187"/>
        <v>#DIV/0!</v>
      </c>
      <c r="BY59" s="4751"/>
      <c r="BZ59" s="3341">
        <f>PL_ЦО_Производство!BZ59+'МД ООН'!BZ59+'МК Ладыжин-3'!BZ59+'МК Староконстантинов'!BZ59+'МК Армокаркасы'!BZ59+'МК Щедро. Флекситанки'!BZ59+'МК ЛифтМаркет'!BZ59+'МК Укркотлопром'!BZ59+'МК Подгорцы.Забор'!BZ59+PL_Металлизация!DN59+'МД Бытовка ИТР Нежин'!BZ59+'МК Металургбуд.поддоны'!BZ59+'МК Нежин-3'!BZ59+'МК РДК.Кран'!BZ59+'МК Ворота.Запорожье'!BZ59+'МД ВООЗ'!BZ59+'МД Казарма.Рекламация'!BZ59</f>
        <v>0</v>
      </c>
      <c r="CA59" s="3341">
        <f>PL_ЦО_Производство!CA59+'МД ООН'!CA59+'МК Ладыжин-3'!CA59+'МК Староконстантинов'!CA59+'МК Армокаркасы'!CA59+'МК Щедро. Флекситанки'!CA59+'МК ЛифтМаркет'!CA59+'МК Укркотлопром'!CA59+'МК Подгорцы.Забор'!CA59+PL_Металлизация!DO59+'МД Бытовка ИТР Нежин'!CA59+'МК Металургбуд.поддоны'!CA59+'МК Нежин-3'!CA59+'МК РДК.Кран'!CA59+'МК Ворота.Запорожье'!CA59+'МД ВООЗ'!CA59+'МД Казарма.Рекламация'!CA59</f>
        <v>0</v>
      </c>
      <c r="CB59" s="3349">
        <f t="shared" si="188"/>
        <v>0</v>
      </c>
      <c r="CC59" s="4697" t="e">
        <f t="shared" si="189"/>
        <v>#DIV/0!</v>
      </c>
      <c r="CD59" s="4751"/>
      <c r="CE59" s="3341">
        <f>PL_ЦО_Производство!CE59+'МД ООН'!CE59+'МК Ладыжин-3'!CE59+'МК Староконстантинов'!CE59+'МК Армокаркасы'!CE59+'МК Щедро. Флекситанки'!CE59+'МК ЛифтМаркет'!CE59+'МК Укркотлопром'!CE59+'МК Подгорцы.Забор'!CE59+PL_Металлизация!DS59+'МД Бытовка ИТР Нежин'!CE59+'МК Металургбуд.поддоны'!CE59+'МК Нежин-3'!CE59+'МК РДК.Кран'!CE59+'МК Ворота.Запорожье'!CE59+'МД ВООЗ'!CE59+'МД Казарма.Рекламация'!CE59</f>
        <v>0</v>
      </c>
      <c r="CF59" s="3341">
        <f>PL_ЦО_Производство!CF59+'МД ООН'!CF59+'МК Ладыжин-3'!CF59+'МК Староконстантинов'!CF59+'МК Армокаркасы'!CF59+'МК Щедро. Флекситанки'!CF59+'МК ЛифтМаркет'!CF59+'МК Укркотлопром'!CF59+'МК Подгорцы.Забор'!CF59+PL_Металлизация!DT59+'МД Бытовка ИТР Нежин'!CF59+'МК Металургбуд.поддоны'!CF59+'МК Нежин-3'!CF59+'МК РДК.Кран'!CF59+'МК Ворота.Запорожье'!CF59+'МД ВООЗ'!CF59+'МД Казарма.Рекламация'!CF59</f>
        <v>0</v>
      </c>
      <c r="CG59" s="3349">
        <f t="shared" si="190"/>
        <v>0</v>
      </c>
      <c r="CH59" s="4697" t="e">
        <f t="shared" si="191"/>
        <v>#DIV/0!</v>
      </c>
      <c r="CI59" s="4751"/>
      <c r="CJ59" s="3341">
        <f t="shared" si="192"/>
        <v>0</v>
      </c>
      <c r="CK59" s="3341">
        <f t="shared" si="192"/>
        <v>0</v>
      </c>
      <c r="CL59" s="2012">
        <f t="shared" si="193"/>
        <v>0</v>
      </c>
      <c r="CM59" s="4697">
        <f t="shared" si="159"/>
        <v>0</v>
      </c>
      <c r="CN59" s="4699"/>
    </row>
    <row r="60" spans="1:92" ht="13.8" outlineLevel="2">
      <c r="A60" s="1571"/>
      <c r="B60" s="4728" t="s">
        <v>65</v>
      </c>
      <c r="C60" s="3349"/>
      <c r="D60" s="3349"/>
      <c r="E60" s="3349">
        <f t="shared" si="160"/>
        <v>0</v>
      </c>
      <c r="F60" s="4697" t="e">
        <f t="shared" si="125"/>
        <v>#DIV/0!</v>
      </c>
      <c r="G60" s="4751"/>
      <c r="H60" s="3349"/>
      <c r="I60" s="3349"/>
      <c r="J60" s="3349">
        <f t="shared" si="161"/>
        <v>0</v>
      </c>
      <c r="K60" s="4697" t="e">
        <f t="shared" si="162"/>
        <v>#DIV/0!</v>
      </c>
      <c r="L60" s="4751"/>
      <c r="M60" s="3349"/>
      <c r="N60" s="3349"/>
      <c r="O60" s="3349">
        <f t="shared" si="163"/>
        <v>0</v>
      </c>
      <c r="P60" s="4697" t="e">
        <f t="shared" si="164"/>
        <v>#DIV/0!</v>
      </c>
      <c r="Q60" s="4751"/>
      <c r="R60" s="3427">
        <f>PL_Производство!BF60</f>
        <v>0</v>
      </c>
      <c r="S60" s="3427">
        <f>PL_Производство!BG60</f>
        <v>0</v>
      </c>
      <c r="T60" s="2012">
        <f t="shared" si="165"/>
        <v>0</v>
      </c>
      <c r="U60" s="3462"/>
      <c r="V60" s="3462"/>
      <c r="W60" s="3342">
        <f t="shared" si="166"/>
        <v>0</v>
      </c>
      <c r="X60" s="3342">
        <f t="shared" si="166"/>
        <v>0</v>
      </c>
      <c r="Y60" s="2012">
        <f t="shared" si="167"/>
        <v>0</v>
      </c>
      <c r="Z60" s="3462"/>
      <c r="AA60" s="3462"/>
      <c r="AB60" s="3341">
        <f>PL_ЦО_Производство!AB60+'МД ООН'!AB60+'МК Ладыжин-3'!AB60+'МК Староконстантинов'!AB60+'МК Армокаркасы'!AB60+'МК Щедро. Флекситанки'!AB60+'МК ЛифтМаркет'!AB60+'МК Укркотлопром'!AB60+'МК Подгорцы.Забор'!AB60+PL_Металлизация!BP60+'МД Бытовка ИТР Нежин'!AB60+'МК Металургбуд.поддоны'!AB60</f>
        <v>0</v>
      </c>
      <c r="AC60" s="3341">
        <f>PL_ЦО_Производство!AC60+'МД ООН'!AC60+'МК Ладыжин-3'!AC60+'МК Староконстантинов'!AC60+'МК Армокаркасы'!AC60+'МК Щедро. Флекситанки'!AC60+'МК ЛифтМаркет'!AC60+'МК Укркотлопром'!AC60+'МК Подгорцы.Забор'!AC60+PL_Металлизация!BQ60+'МД Бытовка ИТР Нежин'!AC60+'МК Металургбуд.поддоны'!AC60</f>
        <v>0</v>
      </c>
      <c r="AD60" s="3349">
        <f t="shared" si="168"/>
        <v>0</v>
      </c>
      <c r="AE60" s="4697">
        <f t="shared" si="169"/>
        <v>0</v>
      </c>
      <c r="AF60" s="4751"/>
      <c r="AG60" s="3341">
        <f>PL_ЦО_Производство!AG60+'МД ООН'!AG60+'МК Ладыжин-3'!AG60+'МК Староконстантинов'!AG60+'МК Армокаркасы'!AG60+'МК Щедро. Флекситанки'!AG60+'МК ЛифтМаркет'!AG60+'МК Укркотлопром'!AG60+'МК Подгорцы.Забор'!AG60+PL_Металлизация!BU60+'МД Бытовка ИТР Нежин'!AG60+'МК Металургбуд.поддоны'!AG60</f>
        <v>0</v>
      </c>
      <c r="AH60" s="3341">
        <f>PL_ЦО_Производство!AH60+'МД ООН'!AH60+'МК Ладыжин-3'!AH60+'МК Староконстантинов'!AH60+'МК Армокаркасы'!AH60+'МК Щедро. Флекситанки'!AH60+'МК ЛифтМаркет'!AH60+'МК Укркотлопром'!AH60+'МК Подгорцы.Забор'!AH60+PL_Металлизация!BV60+'МД Бытовка ИТР Нежин'!AH60+'МК Металургбуд.поддоны'!AH60</f>
        <v>0</v>
      </c>
      <c r="AI60" s="3349">
        <f t="shared" si="170"/>
        <v>0</v>
      </c>
      <c r="AJ60" s="4697">
        <f t="shared" si="171"/>
        <v>0</v>
      </c>
      <c r="AK60" s="4751"/>
      <c r="AL60" s="3341">
        <f>PL_ЦО_Производство!AL60+'МД ООН'!AL60+'МК Ладыжин-3'!AL60+'МК Староконстантинов'!AL60+'МК Армокаркасы'!AL60+'МК Щедро. Флекситанки'!AL60+'МК ЛифтМаркет'!AL60+'МК Укркотлопром'!AL60+'МК Подгорцы.Забор'!AL60+PL_Металлизация!BZ60+'МД Бытовка ИТР Нежин'!AL60+'МК Металургбуд.поддоны'!AL60+'МК Нежин-3'!AL60</f>
        <v>0</v>
      </c>
      <c r="AM60" s="3341">
        <f>PL_ЦО_Производство!AM60+'МД ООН'!AM60+'МК Ладыжин-3'!AM60+'МК Староконстантинов'!AM60+'МК Армокаркасы'!AM60+'МК Щедро. Флекситанки'!AM60+'МК ЛифтМаркет'!AM60+'МК Укркотлопром'!AM60+'МК Подгорцы.Забор'!AM60+PL_Металлизация!CA60+'МД Бытовка ИТР Нежин'!AM60+'МК Металургбуд.поддоны'!AM60+'МК Нежин-3'!AM60</f>
        <v>0</v>
      </c>
      <c r="AN60" s="3349">
        <f t="shared" si="172"/>
        <v>0</v>
      </c>
      <c r="AO60" s="4697">
        <f t="shared" si="173"/>
        <v>0</v>
      </c>
      <c r="AP60" s="4751"/>
      <c r="AQ60" s="3341">
        <f>PL_ЦО_Производство!AQ60+'МД ООН'!AQ60+'МК Ладыжин-3'!AQ60+'МК Староконстантинов'!AQ60+'МК Армокаркасы'!AQ60+'МК Щедро. Флекситанки'!AQ60+'МК ЛифтМаркет'!AQ60+'МК Укркотлопром'!AQ60+'МК Подгорцы.Забор'!AQ60+PL_Металлизация!CE60+'МД Бытовка ИТР Нежин'!AQ60+'МК Металургбуд.поддоны'!AQ60+'МК Нежин-3'!AQ60</f>
        <v>0</v>
      </c>
      <c r="AR60" s="3341">
        <f>PL_ЦО_Производство!AR60+'МД ООН'!AR60+'МК Ладыжин-3'!AR60+'МК Староконстантинов'!AR60+'МК Армокаркасы'!AR60+'МК Щедро. Флекситанки'!AR60+'МК ЛифтМаркет'!AR60+'МК Укркотлопром'!AR60+'МК Подгорцы.Забор'!AR60+PL_Металлизация!CF60+'МД Бытовка ИТР Нежин'!AR60+'МК Металургбуд.поддоны'!AR60+'МК Нежин-3'!AR60</f>
        <v>0</v>
      </c>
      <c r="AS60" s="3349">
        <f t="shared" si="174"/>
        <v>0</v>
      </c>
      <c r="AT60" s="4697">
        <f t="shared" si="175"/>
        <v>0</v>
      </c>
      <c r="AU60" s="4751"/>
      <c r="AV60" s="3341">
        <f>PL_ЦО_Производство!AV60+'МД ООН'!AV60+'МК Армокаркасы'!AV60+'МК Подгорцы.Забор'!AV60+'МК Нежин-3'!AV60+'МК РДК.Кран'!AV60+'МК Ворота.Запорожье'!AV60+'МД ВООЗ'!AV60+'МД Казарма.Рекламация'!AV60</f>
        <v>0</v>
      </c>
      <c r="AW60" s="3341">
        <f>PL_ЦО_Производство!AW60+'МД ООН'!AW60+'МК Армокаркасы'!AW60+'МК Подгорцы.Забор'!AW60+'МК Нежин-3'!AW60+'МК РДК.Кран'!AW60+'МК Ворота.Запорожье'!AW60+'МД ВООЗ'!AW60+'МД Казарма.Рекламация'!AW60</f>
        <v>0</v>
      </c>
      <c r="AX60" s="3349">
        <f t="shared" si="176"/>
        <v>0</v>
      </c>
      <c r="AY60" s="4697">
        <f t="shared" si="177"/>
        <v>0</v>
      </c>
      <c r="AZ60" s="4751"/>
      <c r="BA60" s="3341">
        <f>PL_ЦО_Производство!BA60+'МД ООН'!BA60+'МК Ладыжин-3'!BA60+'МК Староконстантинов'!BA60+'МК Армокаркасы'!BA60+'МК Щедро. Флекситанки'!BA60+'МК ЛифтМаркет'!BA60+'МК Укркотлопром'!BA60+'МК Подгорцы.Забор'!BA60+PL_Металлизация!CO60+'МД Бытовка ИТР Нежин'!BA60+'МК Металургбуд.поддоны'!BA60+'МК Нежин-3'!BA60+'МК РДК.Кран'!BA60+'МК Ворота.Запорожье'!BA60+'МД ВООЗ'!BA60+'МД Казарма.Рекламация'!BA60</f>
        <v>0</v>
      </c>
      <c r="BB60" s="3341">
        <f>PL_ЦО_Производство!BB60+'МД ООН'!BB60+'МК Ладыжин-3'!BB60+'МК Староконстантинов'!BB60+'МК Армокаркасы'!BB60+'МК Щедро. Флекситанки'!BB60+'МК ЛифтМаркет'!BB60+'МК Укркотлопром'!BB60+'МК Подгорцы.Забор'!BB60+PL_Металлизация!CP60+'МД Бытовка ИТР Нежин'!BB60+'МК Металургбуд.поддоны'!BB60+'МК Нежин-3'!BB60+'МК РДК.Кран'!BB60+'МК Ворота.Запорожье'!BB60+'МД ВООЗ'!BB60+'МД Казарма.Рекламация'!BB60</f>
        <v>0</v>
      </c>
      <c r="BC60" s="3349">
        <f t="shared" si="178"/>
        <v>0</v>
      </c>
      <c r="BD60" s="4697">
        <f t="shared" si="179"/>
        <v>0</v>
      </c>
      <c r="BE60" s="4751"/>
      <c r="BF60" s="3341">
        <f>PL_ЦО_Производство!BF60+'МД ООН'!BF60+'МК Ладыжин-3'!BF60+'МК Староконстантинов'!BF60+'МК Армокаркасы'!BF60+'МК Щедро. Флекситанки'!BF60+'МК ЛифтМаркет'!BF60+'МК Укркотлопром'!BF60+'МК Подгорцы.Забор'!BF60+PL_Металлизация!CT60+'МД Бытовка ИТР Нежин'!BF60+'МК Металургбуд.поддоны'!BF60+'МК Нежин-3'!BF60+'МК РДК.Кран'!BF60+'МК Ворота.Запорожье'!BF60+'МД ВООЗ'!BF60+'МД Казарма.Рекламация'!BF60</f>
        <v>0</v>
      </c>
      <c r="BG60" s="3341">
        <f>PL_ЦО_Производство!BG60+'МД ООН'!BG60+'МК Ладыжин-3'!BG60+'МК Староконстантинов'!BG60+'МК Армокаркасы'!BG60+'МК Щедро. Флекситанки'!BG60+'МК ЛифтМаркет'!BG60+'МК Укркотлопром'!BG60+'МК Подгорцы.Забор'!BG60+PL_Металлизация!CU60+'МД Бытовка ИТР Нежин'!BG60+'МК Металургбуд.поддоны'!BG60+'МК Нежин-3'!BG60+'МК РДК.Кран'!BG60+'МК Ворота.Запорожье'!BG60+'МД ВООЗ'!BG60+'МД Казарма.Рекламация'!BG60</f>
        <v>0</v>
      </c>
      <c r="BH60" s="3349">
        <f t="shared" si="180"/>
        <v>0</v>
      </c>
      <c r="BI60" s="4697" t="e">
        <f t="shared" si="181"/>
        <v>#DIV/0!</v>
      </c>
      <c r="BJ60" s="4751"/>
      <c r="BK60" s="3341">
        <f>PL_ЦО_Производство!BK60+'МД ООН'!BK60+'МК Ладыжин-3'!BK60+'МК Староконстантинов'!BK60+'МК Армокаркасы'!BK60+'МК Щедро. Флекситанки'!BK60+'МК ЛифтМаркет'!BK60+'МК Укркотлопром'!BK60+'МК Подгорцы.Забор'!BK60+PL_Металлизация!CY60+'МД Бытовка ИТР Нежин'!BK60+'МК Металургбуд.поддоны'!BK60+'МК Нежин-3'!BK60+'МК РДК.Кран'!BK60+'МК Ворота.Запорожье'!BK60+'МД ВООЗ'!BK60+'МД Казарма.Рекламация'!BK60</f>
        <v>0</v>
      </c>
      <c r="BL60" s="3341">
        <f>PL_ЦО_Производство!BL60+'МД ООН'!BL60+'МК Ладыжин-3'!BL60+'МК Староконстантинов'!BL60+'МК Армокаркасы'!BL60+'МК Щедро. Флекситанки'!BL60+'МК ЛифтМаркет'!BL60+'МК Укркотлопром'!BL60+'МК Подгорцы.Забор'!BL60+PL_Металлизация!CZ60+'МД Бытовка ИТР Нежин'!BL60+'МК Металургбуд.поддоны'!BL60+'МК Нежин-3'!BL60+'МК РДК.Кран'!BL60+'МК Ворота.Запорожье'!BL60+'МД ВООЗ'!BL60+'МД Казарма.Рекламация'!BL60</f>
        <v>0</v>
      </c>
      <c r="BM60" s="3349">
        <f t="shared" si="182"/>
        <v>0</v>
      </c>
      <c r="BN60" s="4697" t="e">
        <f t="shared" si="183"/>
        <v>#DIV/0!</v>
      </c>
      <c r="BO60" s="4751"/>
      <c r="BP60" s="3341">
        <f>PL_ЦО_Производство!BP60+'МД ООН'!BP60+'МК Ладыжин-3'!BP60+'МК Староконстантинов'!BP60+'МК Армокаркасы'!BP60+'МК Щедро. Флекситанки'!BP60+'МК ЛифтМаркет'!BP60+'МК Укркотлопром'!BP60+'МК Подгорцы.Забор'!BP60+PL_Металлизация!DD60+'МД Бытовка ИТР Нежин'!BP60+'МК Металургбуд.поддоны'!BP60+'МК Нежин-3'!BP60+'МК РДК.Кран'!BP60+'МК Ворота.Запорожье'!BP60+'МД ВООЗ'!BP60+'МД Казарма.Рекламация'!BP60</f>
        <v>0</v>
      </c>
      <c r="BQ60" s="3341">
        <f>PL_ЦО_Производство!BQ60+'МД ООН'!BQ60+'МК Ладыжин-3'!BQ60+'МК Староконстантинов'!BQ60+'МК Армокаркасы'!BQ60+'МК Щедро. Флекситанки'!BQ60+'МК ЛифтМаркет'!BQ60+'МК Укркотлопром'!BQ60+'МК Подгорцы.Забор'!BQ60+PL_Металлизация!DE60+'МД Бытовка ИТР Нежин'!BQ60+'МК Металургбуд.поддоны'!BQ60+'МК Нежин-3'!BQ60+'МК РДК.Кран'!BQ60+'МК Ворота.Запорожье'!BQ60+'МД ВООЗ'!BQ60+'МД Казарма.Рекламация'!BQ60</f>
        <v>0</v>
      </c>
      <c r="BR60" s="3349">
        <f t="shared" si="184"/>
        <v>0</v>
      </c>
      <c r="BS60" s="4697" t="e">
        <f t="shared" si="185"/>
        <v>#DIV/0!</v>
      </c>
      <c r="BT60" s="4751"/>
      <c r="BU60" s="3341">
        <f>PL_ЦО_Производство!BU60+'МД ООН'!BU60+'МК Ладыжин-3'!BU60+'МК Староконстантинов'!BU60+'МК Армокаркасы'!BU60+'МК Щедро. Флекситанки'!BU60+'МК ЛифтМаркет'!BU60+'МК Укркотлопром'!BU60+'МК Подгорцы.Забор'!BU60+PL_Металлизация!DI60+'МД Бытовка ИТР Нежин'!BU60+'МК Металургбуд.поддоны'!BU60+'МК Нежин-3'!BU60+'МК РДК.Кран'!BU60+'МК Ворота.Запорожье'!BU60+'МД ВООЗ'!BU60+'МД Казарма.Рекламация'!BU60</f>
        <v>0</v>
      </c>
      <c r="BV60" s="3341">
        <f>PL_ЦО_Производство!BV60+'МД ООН'!BV60+'МК Ладыжин-3'!BV60+'МК Староконстантинов'!BV60+'МК Армокаркасы'!BV60+'МК Щедро. Флекситанки'!BV60+'МК ЛифтМаркет'!BV60+'МК Укркотлопром'!BV60+'МК Подгорцы.Забор'!BV60+PL_Металлизация!DJ60+'МД Бытовка ИТР Нежин'!BV60+'МК Металургбуд.поддоны'!BV60+'МК Нежин-3'!BV60+'МК РДК.Кран'!BV60+'МК Ворота.Запорожье'!BV60+'МД ВООЗ'!BV60+'МД Казарма.Рекламация'!BV60</f>
        <v>0</v>
      </c>
      <c r="BW60" s="3349">
        <f t="shared" si="186"/>
        <v>0</v>
      </c>
      <c r="BX60" s="4697" t="e">
        <f t="shared" si="187"/>
        <v>#DIV/0!</v>
      </c>
      <c r="BY60" s="4751"/>
      <c r="BZ60" s="3341">
        <f>PL_ЦО_Производство!BZ60+'МД ООН'!BZ60+'МК Ладыжин-3'!BZ60+'МК Староконстантинов'!BZ60+'МК Армокаркасы'!BZ60+'МК Щедро. Флекситанки'!BZ60+'МК ЛифтМаркет'!BZ60+'МК Укркотлопром'!BZ60+'МК Подгорцы.Забор'!BZ60+PL_Металлизация!DN60+'МД Бытовка ИТР Нежин'!BZ60+'МК Металургбуд.поддоны'!BZ60+'МК Нежин-3'!BZ60+'МК РДК.Кран'!BZ60+'МК Ворота.Запорожье'!BZ60+'МД ВООЗ'!BZ60+'МД Казарма.Рекламация'!BZ60</f>
        <v>0</v>
      </c>
      <c r="CA60" s="3341">
        <f>PL_ЦО_Производство!CA60+'МД ООН'!CA60+'МК Ладыжин-3'!CA60+'МК Староконстантинов'!CA60+'МК Армокаркасы'!CA60+'МК Щедро. Флекситанки'!CA60+'МК ЛифтМаркет'!CA60+'МК Укркотлопром'!CA60+'МК Подгорцы.Забор'!CA60+PL_Металлизация!DO60+'МД Бытовка ИТР Нежин'!CA60+'МК Металургбуд.поддоны'!CA60+'МК Нежин-3'!CA60+'МК РДК.Кран'!CA60+'МК Ворота.Запорожье'!CA60+'МД ВООЗ'!CA60+'МД Казарма.Рекламация'!CA60</f>
        <v>0</v>
      </c>
      <c r="CB60" s="3349">
        <f t="shared" si="188"/>
        <v>0</v>
      </c>
      <c r="CC60" s="4697" t="e">
        <f t="shared" si="189"/>
        <v>#DIV/0!</v>
      </c>
      <c r="CD60" s="4751"/>
      <c r="CE60" s="3341">
        <f>PL_ЦО_Производство!CE60+'МД ООН'!CE60+'МК Ладыжин-3'!CE60+'МК Староконстантинов'!CE60+'МК Армокаркасы'!CE60+'МК Щедро. Флекситанки'!CE60+'МК ЛифтМаркет'!CE60+'МК Укркотлопром'!CE60+'МК Подгорцы.Забор'!CE60+PL_Металлизация!DS60+'МД Бытовка ИТР Нежин'!CE60+'МК Металургбуд.поддоны'!CE60+'МК Нежин-3'!CE60+'МК РДК.Кран'!CE60+'МК Ворота.Запорожье'!CE60+'МД ВООЗ'!CE60+'МД Казарма.Рекламация'!CE60</f>
        <v>0</v>
      </c>
      <c r="CF60" s="3341">
        <f>PL_ЦО_Производство!CF60+'МД ООН'!CF60+'МК Ладыжин-3'!CF60+'МК Староконстантинов'!CF60+'МК Армокаркасы'!CF60+'МК Щедро. Флекситанки'!CF60+'МК ЛифтМаркет'!CF60+'МК Укркотлопром'!CF60+'МК Подгорцы.Забор'!CF60+PL_Металлизация!DT60+'МД Бытовка ИТР Нежин'!CF60+'МК Металургбуд.поддоны'!CF60+'МК Нежин-3'!CF60+'МК РДК.Кран'!CF60+'МК Ворота.Запорожье'!CF60+'МД ВООЗ'!CF60+'МД Казарма.Рекламация'!CF60</f>
        <v>0</v>
      </c>
      <c r="CG60" s="3349">
        <f t="shared" si="190"/>
        <v>0</v>
      </c>
      <c r="CH60" s="4697" t="e">
        <f t="shared" si="191"/>
        <v>#DIV/0!</v>
      </c>
      <c r="CI60" s="4751"/>
      <c r="CJ60" s="3341">
        <f t="shared" si="192"/>
        <v>0</v>
      </c>
      <c r="CK60" s="3341">
        <f t="shared" si="192"/>
        <v>0</v>
      </c>
      <c r="CL60" s="2012">
        <f t="shared" si="193"/>
        <v>0</v>
      </c>
      <c r="CM60" s="4697">
        <f t="shared" si="159"/>
        <v>0</v>
      </c>
      <c r="CN60" s="4699"/>
    </row>
    <row r="61" spans="1:92" ht="13.8" outlineLevel="2">
      <c r="A61" s="1571"/>
      <c r="B61" s="4728" t="s">
        <v>32</v>
      </c>
      <c r="C61" s="3349"/>
      <c r="D61" s="3349"/>
      <c r="E61" s="3349">
        <f t="shared" si="160"/>
        <v>0</v>
      </c>
      <c r="F61" s="4697" t="e">
        <f t="shared" si="125"/>
        <v>#DIV/0!</v>
      </c>
      <c r="G61" s="4751"/>
      <c r="H61" s="3349"/>
      <c r="I61" s="3349"/>
      <c r="J61" s="3349">
        <f t="shared" si="161"/>
        <v>0</v>
      </c>
      <c r="K61" s="4697" t="e">
        <f t="shared" si="162"/>
        <v>#DIV/0!</v>
      </c>
      <c r="L61" s="4751"/>
      <c r="M61" s="3349"/>
      <c r="N61" s="3349"/>
      <c r="O61" s="3349">
        <f t="shared" si="163"/>
        <v>0</v>
      </c>
      <c r="P61" s="4697" t="e">
        <f t="shared" si="164"/>
        <v>#DIV/0!</v>
      </c>
      <c r="Q61" s="4751"/>
      <c r="R61" s="3427">
        <f>PL_Производство!BF61</f>
        <v>0</v>
      </c>
      <c r="S61" s="3427">
        <f>PL_Производство!BG61</f>
        <v>663000</v>
      </c>
      <c r="T61" s="2012">
        <f t="shared" si="165"/>
        <v>663000</v>
      </c>
      <c r="U61" s="3462"/>
      <c r="V61" s="3462"/>
      <c r="W61" s="3342">
        <f t="shared" si="166"/>
        <v>0</v>
      </c>
      <c r="X61" s="3342">
        <f t="shared" si="166"/>
        <v>0</v>
      </c>
      <c r="Y61" s="2012">
        <f t="shared" si="167"/>
        <v>0</v>
      </c>
      <c r="Z61" s="3462"/>
      <c r="AA61" s="3462"/>
      <c r="AB61" s="3341">
        <f>PL_ЦО_Производство!AB61+'МД ООН'!AB61+'МК Ладыжин-3'!AB61+'МК Староконстантинов'!AB61+'МК Армокаркасы'!AB61+'МК Щедро. Флекситанки'!AB61+'МК ЛифтМаркет'!AB61+'МК Укркотлопром'!AB61+'МК Подгорцы.Забор'!AB61+PL_Металлизация!BP61+'МД Бытовка ИТР Нежин'!AB61+'МК Металургбуд.поддоны'!AB61</f>
        <v>0</v>
      </c>
      <c r="AC61" s="3341">
        <f>PL_ЦО_Производство!AC61+'МД ООН'!AC61+'МК Ладыжин-3'!AC61+'МК Староконстантинов'!AC61+'МК Армокаркасы'!AC61+'МК Щедро. Флекситанки'!AC61+'МК ЛифтМаркет'!AC61+'МК Укркотлопром'!AC61+'МК Подгорцы.Забор'!AC61+PL_Металлизация!BQ61+'МД Бытовка ИТР Нежин'!AC61+'МК Металургбуд.поддоны'!AC61</f>
        <v>0</v>
      </c>
      <c r="AD61" s="3349">
        <f t="shared" si="168"/>
        <v>0</v>
      </c>
      <c r="AE61" s="4697">
        <f t="shared" si="169"/>
        <v>0</v>
      </c>
      <c r="AF61" s="4751"/>
      <c r="AG61" s="3341">
        <f>PL_ЦО_Производство!AG61+'МД ООН'!AG61+'МК Ладыжин-3'!AG61+'МК Староконстантинов'!AG61+'МК Армокаркасы'!AG61+'МК Щедро. Флекситанки'!AG61+'МК ЛифтМаркет'!AG61+'МК Укркотлопром'!AG61+'МК Подгорцы.Забор'!AG61+PL_Металлизация!BU61+'МД Бытовка ИТР Нежин'!AG61+'МК Металургбуд.поддоны'!AG61</f>
        <v>0</v>
      </c>
      <c r="AH61" s="3341">
        <f>PL_ЦО_Производство!AH61+'МД ООН'!AH61+'МК Ладыжин-3'!AH61+'МК Староконстантинов'!AH61+'МК Армокаркасы'!AH61+'МК Щедро. Флекситанки'!AH61+'МК ЛифтМаркет'!AH61+'МК Укркотлопром'!AH61+'МК Подгорцы.Забор'!AH61+PL_Металлизация!BV61+'МД Бытовка ИТР Нежин'!AH61+'МК Металургбуд.поддоны'!AH61</f>
        <v>0</v>
      </c>
      <c r="AI61" s="3349">
        <f t="shared" si="170"/>
        <v>0</v>
      </c>
      <c r="AJ61" s="4697">
        <f t="shared" si="171"/>
        <v>0</v>
      </c>
      <c r="AK61" s="4751"/>
      <c r="AL61" s="3341">
        <f>PL_ЦО_Производство!AL61+'МД ООН'!AL61+'МК Ладыжин-3'!AL61+'МК Староконстантинов'!AL61+'МК Армокаркасы'!AL61+'МК Щедро. Флекситанки'!AL61+'МК ЛифтМаркет'!AL61+'МК Укркотлопром'!AL61+'МК Подгорцы.Забор'!AL61+PL_Металлизация!BZ61+'МД Бытовка ИТР Нежин'!AL61+'МК Металургбуд.поддоны'!AL61+'МК Нежин-3'!AL61</f>
        <v>0</v>
      </c>
      <c r="AM61" s="3341">
        <f>PL_ЦО_Производство!AM61+'МД ООН'!AM61+'МК Ладыжин-3'!AM61+'МК Староконстантинов'!AM61+'МК Армокаркасы'!AM61+'МК Щедро. Флекситанки'!AM61+'МК ЛифтМаркет'!AM61+'МК Укркотлопром'!AM61+'МК Подгорцы.Забор'!AM61+PL_Металлизация!CA61+'МД Бытовка ИТР Нежин'!AM61+'МК Металургбуд.поддоны'!AM61+'МК Нежин-3'!AM61</f>
        <v>0</v>
      </c>
      <c r="AN61" s="3349">
        <f t="shared" si="172"/>
        <v>0</v>
      </c>
      <c r="AO61" s="4697">
        <f t="shared" si="173"/>
        <v>0</v>
      </c>
      <c r="AP61" s="4751"/>
      <c r="AQ61" s="3341">
        <f>PL_ЦО_Производство!AQ61+'МД ООН'!AQ61+'МК Ладыжин-3'!AQ61+'МК Староконстантинов'!AQ61+'МК Армокаркасы'!AQ61+'МК Щедро. Флекситанки'!AQ61+'МК ЛифтМаркет'!AQ61+'МК Укркотлопром'!AQ61+'МК Подгорцы.Забор'!AQ61+PL_Металлизация!CE61+'МД Бытовка ИТР Нежин'!AQ61+'МК Металургбуд.поддоны'!AQ61+'МК Нежин-3'!AQ61</f>
        <v>0</v>
      </c>
      <c r="AR61" s="3341">
        <f>PL_ЦО_Производство!AR61+'МД ООН'!AR61+'МК Ладыжин-3'!AR61+'МК Староконстантинов'!AR61+'МК Армокаркасы'!AR61+'МК Щедро. Флекситанки'!AR61+'МК ЛифтМаркет'!AR61+'МК Укркотлопром'!AR61+'МК Подгорцы.Забор'!AR61+PL_Металлизация!CF61+'МД Бытовка ИТР Нежин'!AR61+'МК Металургбуд.поддоны'!AR61+'МК Нежин-3'!AR61</f>
        <v>0</v>
      </c>
      <c r="AS61" s="3349">
        <f t="shared" si="174"/>
        <v>0</v>
      </c>
      <c r="AT61" s="4697">
        <f t="shared" si="175"/>
        <v>0</v>
      </c>
      <c r="AU61" s="4751"/>
      <c r="AV61" s="3341">
        <f>PL_ЦО_Производство!AV61+'МД ООН'!AV61+'МК Армокаркасы'!AV61+'МК Подгорцы.Забор'!AV61+'МК Нежин-3'!AV61+'МК РДК.Кран'!AV61+'МК Ворота.Запорожье'!AV61+'МД ВООЗ'!AV61+'МД Казарма.Рекламация'!AV61</f>
        <v>0</v>
      </c>
      <c r="AW61" s="3341">
        <f>PL_ЦО_Производство!AW61+'МД ООН'!AW61+'МК Армокаркасы'!AW61+'МК Подгорцы.Забор'!AW61+'МК Нежин-3'!AW61+'МК РДК.Кран'!AW61+'МК Ворота.Запорожье'!AW61+'МД ВООЗ'!AW61+'МД Казарма.Рекламация'!AW61</f>
        <v>0</v>
      </c>
      <c r="AX61" s="3349">
        <f t="shared" si="176"/>
        <v>0</v>
      </c>
      <c r="AY61" s="4697">
        <f t="shared" si="177"/>
        <v>0</v>
      </c>
      <c r="AZ61" s="4751"/>
      <c r="BA61" s="3341">
        <f>PL_ЦО_Производство!BA61+'МД ООН'!BA61+'МК Ладыжин-3'!BA61+'МК Староконстантинов'!BA61+'МК Армокаркасы'!BA61+'МК Щедро. Флекситанки'!BA61+'МК ЛифтМаркет'!BA61+'МК Укркотлопром'!BA61+'МК Подгорцы.Забор'!BA61+PL_Металлизация!CO61+'МД Бытовка ИТР Нежин'!BA61+'МК Металургбуд.поддоны'!BA61+'МК Нежин-3'!BA61+'МК РДК.Кран'!BA61+'МК Ворота.Запорожье'!BA61+'МД ВООЗ'!BA61+'МД Казарма.Рекламация'!BA61</f>
        <v>0</v>
      </c>
      <c r="BB61" s="3341">
        <f>PL_ЦО_Производство!BB61+'МД ООН'!BB61+'МК Ладыжин-3'!BB61+'МК Староконстантинов'!BB61+'МК Армокаркасы'!BB61+'МК Щедро. Флекситанки'!BB61+'МК ЛифтМаркет'!BB61+'МК Укркотлопром'!BB61+'МК Подгорцы.Забор'!BB61+PL_Металлизация!CP61+'МД Бытовка ИТР Нежин'!BB61+'МК Металургбуд.поддоны'!BB61+'МК Нежин-3'!BB61+'МК РДК.Кран'!BB61+'МК Ворота.Запорожье'!BB61+'МД ВООЗ'!BB61+'МД Казарма.Рекламация'!BB61</f>
        <v>0</v>
      </c>
      <c r="BC61" s="3349">
        <f t="shared" si="178"/>
        <v>0</v>
      </c>
      <c r="BD61" s="4697">
        <f t="shared" si="179"/>
        <v>0</v>
      </c>
      <c r="BE61" s="4751"/>
      <c r="BF61" s="3341">
        <f>PL_ЦО_Производство!BF61+'МД ООН'!BF61+'МК Ладыжин-3'!BF61+'МК Староконстантинов'!BF61+'МК Армокаркасы'!BF61+'МК Щедро. Флекситанки'!BF61+'МК ЛифтМаркет'!BF61+'МК Укркотлопром'!BF61+'МК Подгорцы.Забор'!BF61+PL_Металлизация!CT61+'МД Бытовка ИТР Нежин'!BF61+'МК Металургбуд.поддоны'!BF61+'МК Нежин-3'!BF61+'МК РДК.Кран'!BF61+'МК Ворота.Запорожье'!BF61+'МД ВООЗ'!BF61+'МД Казарма.Рекламация'!BF61</f>
        <v>0</v>
      </c>
      <c r="BG61" s="3341">
        <f>PL_ЦО_Производство!BG61+'МД ООН'!BG61+'МК Ладыжин-3'!BG61+'МК Староконстантинов'!BG61+'МК Армокаркасы'!BG61+'МК Щедро. Флекситанки'!BG61+'МК ЛифтМаркет'!BG61+'МК Укркотлопром'!BG61+'МК Подгорцы.Забор'!BG61+PL_Металлизация!CU61+'МД Бытовка ИТР Нежин'!BG61+'МК Металургбуд.поддоны'!BG61+'МК Нежин-3'!BG61+'МК РДК.Кран'!BG61+'МК Ворота.Запорожье'!BG61+'МД ВООЗ'!BG61+'МД Казарма.Рекламация'!BG61</f>
        <v>0</v>
      </c>
      <c r="BH61" s="3349">
        <f t="shared" si="180"/>
        <v>0</v>
      </c>
      <c r="BI61" s="4697" t="e">
        <f t="shared" si="181"/>
        <v>#DIV/0!</v>
      </c>
      <c r="BJ61" s="4751"/>
      <c r="BK61" s="3341">
        <f>PL_ЦО_Производство!BK61+'МД ООН'!BK61+'МК Ладыжин-3'!BK61+'МК Староконстантинов'!BK61+'МК Армокаркасы'!BK61+'МК Щедро. Флекситанки'!BK61+'МК ЛифтМаркет'!BK61+'МК Укркотлопром'!BK61+'МК Подгорцы.Забор'!BK61+PL_Металлизация!CY61+'МД Бытовка ИТР Нежин'!BK61+'МК Металургбуд.поддоны'!BK61+'МК Нежин-3'!BK61+'МК РДК.Кран'!BK61+'МК Ворота.Запорожье'!BK61+'МД ВООЗ'!BK61+'МД Казарма.Рекламация'!BK61</f>
        <v>0</v>
      </c>
      <c r="BL61" s="3341">
        <f>PL_ЦО_Производство!BL61+'МД ООН'!BL61+'МК Ладыжин-3'!BL61+'МК Староконстантинов'!BL61+'МК Армокаркасы'!BL61+'МК Щедро. Флекситанки'!BL61+'МК ЛифтМаркет'!BL61+'МК Укркотлопром'!BL61+'МК Подгорцы.Забор'!BL61+PL_Металлизация!CZ61+'МД Бытовка ИТР Нежин'!BL61+'МК Металургбуд.поддоны'!BL61+'МК Нежин-3'!BL61+'МК РДК.Кран'!BL61+'МК Ворота.Запорожье'!BL61+'МД ВООЗ'!BL61+'МД Казарма.Рекламация'!BL61</f>
        <v>0</v>
      </c>
      <c r="BM61" s="3349">
        <f t="shared" si="182"/>
        <v>0</v>
      </c>
      <c r="BN61" s="4697" t="e">
        <f t="shared" si="183"/>
        <v>#DIV/0!</v>
      </c>
      <c r="BO61" s="4751"/>
      <c r="BP61" s="3341">
        <f>PL_ЦО_Производство!BP61+'МД ООН'!BP61+'МК Ладыжин-3'!BP61+'МК Староконстантинов'!BP61+'МК Армокаркасы'!BP61+'МК Щедро. Флекситанки'!BP61+'МК ЛифтМаркет'!BP61+'МК Укркотлопром'!BP61+'МК Подгорцы.Забор'!BP61+PL_Металлизация!DD61+'МД Бытовка ИТР Нежин'!BP61+'МК Металургбуд.поддоны'!BP61+'МК Нежин-3'!BP61+'МК РДК.Кран'!BP61+'МК Ворота.Запорожье'!BP61+'МД ВООЗ'!BP61+'МД Казарма.Рекламация'!BP61</f>
        <v>0</v>
      </c>
      <c r="BQ61" s="3341">
        <f>PL_ЦО_Производство!BQ61+'МД ООН'!BQ61+'МК Ладыжин-3'!BQ61+'МК Староконстантинов'!BQ61+'МК Армокаркасы'!BQ61+'МК Щедро. Флекситанки'!BQ61+'МК ЛифтМаркет'!BQ61+'МК Укркотлопром'!BQ61+'МК Подгорцы.Забор'!BQ61+PL_Металлизация!DE61+'МД Бытовка ИТР Нежин'!BQ61+'МК Металургбуд.поддоны'!BQ61+'МК Нежин-3'!BQ61+'МК РДК.Кран'!BQ61+'МК Ворота.Запорожье'!BQ61+'МД ВООЗ'!BQ61+'МД Казарма.Рекламация'!BQ61</f>
        <v>0</v>
      </c>
      <c r="BR61" s="3349">
        <f t="shared" si="184"/>
        <v>0</v>
      </c>
      <c r="BS61" s="4697" t="e">
        <f t="shared" si="185"/>
        <v>#DIV/0!</v>
      </c>
      <c r="BT61" s="4751"/>
      <c r="BU61" s="3341">
        <f>PL_ЦО_Производство!BU61+'МД ООН'!BU61+'МК Ладыжин-3'!BU61+'МК Староконстантинов'!BU61+'МК Армокаркасы'!BU61+'МК Щедро. Флекситанки'!BU61+'МК ЛифтМаркет'!BU61+'МК Укркотлопром'!BU61+'МК Подгорцы.Забор'!BU61+PL_Металлизация!DI61+'МД Бытовка ИТР Нежин'!BU61+'МК Металургбуд.поддоны'!BU61+'МК Нежин-3'!BU61+'МК РДК.Кран'!BU61+'МК Ворота.Запорожье'!BU61+'МД ВООЗ'!BU61+'МД Казарма.Рекламация'!BU61</f>
        <v>0</v>
      </c>
      <c r="BV61" s="3341">
        <f>PL_ЦО_Производство!BV61+'МД ООН'!BV61+'МК Ладыжин-3'!BV61+'МК Староконстантинов'!BV61+'МК Армокаркасы'!BV61+'МК Щедро. Флекситанки'!BV61+'МК ЛифтМаркет'!BV61+'МК Укркотлопром'!BV61+'МК Подгорцы.Забор'!BV61+PL_Металлизация!DJ61+'МД Бытовка ИТР Нежин'!BV61+'МК Металургбуд.поддоны'!BV61+'МК Нежин-3'!BV61+'МК РДК.Кран'!BV61+'МК Ворота.Запорожье'!BV61+'МД ВООЗ'!BV61+'МД Казарма.Рекламация'!BV61</f>
        <v>0</v>
      </c>
      <c r="BW61" s="3349">
        <f t="shared" si="186"/>
        <v>0</v>
      </c>
      <c r="BX61" s="4697" t="e">
        <f t="shared" si="187"/>
        <v>#DIV/0!</v>
      </c>
      <c r="BY61" s="4751"/>
      <c r="BZ61" s="3341">
        <f>PL_ЦО_Производство!BZ61+'МД ООН'!BZ61+'МК Ладыжин-3'!BZ61+'МК Староконстантинов'!BZ61+'МК Армокаркасы'!BZ61+'МК Щедро. Флекситанки'!BZ61+'МК ЛифтМаркет'!BZ61+'МК Укркотлопром'!BZ61+'МК Подгорцы.Забор'!BZ61+PL_Металлизация!DN61+'МД Бытовка ИТР Нежин'!BZ61+'МК Металургбуд.поддоны'!BZ61+'МК Нежин-3'!BZ61+'МК РДК.Кран'!BZ61+'МК Ворота.Запорожье'!BZ61+'МД ВООЗ'!BZ61+'МД Казарма.Рекламация'!BZ61</f>
        <v>0</v>
      </c>
      <c r="CA61" s="3341">
        <f>PL_ЦО_Производство!CA61+'МД ООН'!CA61+'МК Ладыжин-3'!CA61+'МК Староконстантинов'!CA61+'МК Армокаркасы'!CA61+'МК Щедро. Флекситанки'!CA61+'МК ЛифтМаркет'!CA61+'МК Укркотлопром'!CA61+'МК Подгорцы.Забор'!CA61+PL_Металлизация!DO61+'МД Бытовка ИТР Нежин'!CA61+'МК Металургбуд.поддоны'!CA61+'МК Нежин-3'!CA61+'МК РДК.Кран'!CA61+'МК Ворота.Запорожье'!CA61+'МД ВООЗ'!CA61+'МД Казарма.Рекламация'!CA61</f>
        <v>0</v>
      </c>
      <c r="CB61" s="3349">
        <f t="shared" si="188"/>
        <v>0</v>
      </c>
      <c r="CC61" s="4697" t="e">
        <f t="shared" si="189"/>
        <v>#DIV/0!</v>
      </c>
      <c r="CD61" s="4751"/>
      <c r="CE61" s="3341">
        <f>PL_ЦО_Производство!CE61+'МД ООН'!CE61+'МК Ладыжин-3'!CE61+'МК Староконстантинов'!CE61+'МК Армокаркасы'!CE61+'МК Щедро. Флекситанки'!CE61+'МК ЛифтМаркет'!CE61+'МК Укркотлопром'!CE61+'МК Подгорцы.Забор'!CE61+PL_Металлизация!DS61+'МД Бытовка ИТР Нежин'!CE61+'МК Металургбуд.поддоны'!CE61+'МК Нежин-3'!CE61+'МК РДК.Кран'!CE61+'МК Ворота.Запорожье'!CE61+'МД ВООЗ'!CE61+'МД Казарма.Рекламация'!CE61</f>
        <v>0</v>
      </c>
      <c r="CF61" s="3341">
        <f>PL_ЦО_Производство!CF61+'МД ООН'!CF61+'МК Ладыжин-3'!CF61+'МК Староконстантинов'!CF61+'МК Армокаркасы'!CF61+'МК Щедро. Флекситанки'!CF61+'МК ЛифтМаркет'!CF61+'МК Укркотлопром'!CF61+'МК Подгорцы.Забор'!CF61+PL_Металлизация!DT61+'МД Бытовка ИТР Нежин'!CF61+'МК Металургбуд.поддоны'!CF61+'МК Нежин-3'!CF61+'МК РДК.Кран'!CF61+'МК Ворота.Запорожье'!CF61+'МД ВООЗ'!CF61+'МД Казарма.Рекламация'!CF61</f>
        <v>0</v>
      </c>
      <c r="CG61" s="3349">
        <f t="shared" si="190"/>
        <v>0</v>
      </c>
      <c r="CH61" s="4697" t="e">
        <f t="shared" si="191"/>
        <v>#DIV/0!</v>
      </c>
      <c r="CI61" s="4751"/>
      <c r="CJ61" s="3341">
        <f t="shared" si="192"/>
        <v>0</v>
      </c>
      <c r="CK61" s="3341">
        <f t="shared" si="192"/>
        <v>663000</v>
      </c>
      <c r="CL61" s="2012">
        <f t="shared" si="193"/>
        <v>663000</v>
      </c>
      <c r="CM61" s="4697">
        <f t="shared" si="159"/>
        <v>1.3011494188907029E-2</v>
      </c>
      <c r="CN61" s="4699"/>
    </row>
    <row r="62" spans="1:92" ht="13.8" outlineLevel="2">
      <c r="A62" s="1571"/>
      <c r="B62" s="4728" t="s">
        <v>33</v>
      </c>
      <c r="C62" s="3349"/>
      <c r="D62" s="3349"/>
      <c r="E62" s="3349">
        <f t="shared" si="160"/>
        <v>0</v>
      </c>
      <c r="F62" s="4697" t="e">
        <f t="shared" si="125"/>
        <v>#DIV/0!</v>
      </c>
      <c r="G62" s="4751"/>
      <c r="H62" s="3349"/>
      <c r="I62" s="3349"/>
      <c r="J62" s="3349">
        <f t="shared" si="161"/>
        <v>0</v>
      </c>
      <c r="K62" s="4697" t="e">
        <f t="shared" si="162"/>
        <v>#DIV/0!</v>
      </c>
      <c r="L62" s="4751"/>
      <c r="M62" s="3349"/>
      <c r="N62" s="3349"/>
      <c r="O62" s="3349">
        <f t="shared" si="163"/>
        <v>0</v>
      </c>
      <c r="P62" s="4697" t="e">
        <f t="shared" si="164"/>
        <v>#DIV/0!</v>
      </c>
      <c r="Q62" s="4751"/>
      <c r="R62" s="3427">
        <f>PL_Производство!BF62</f>
        <v>45591.14</v>
      </c>
      <c r="S62" s="3427">
        <f>PL_Производство!BG62</f>
        <v>0</v>
      </c>
      <c r="T62" s="2012">
        <f t="shared" si="165"/>
        <v>45591.14</v>
      </c>
      <c r="U62" s="3462"/>
      <c r="V62" s="3462"/>
      <c r="W62" s="3342">
        <f t="shared" si="166"/>
        <v>18721</v>
      </c>
      <c r="X62" s="3342">
        <f t="shared" si="166"/>
        <v>0</v>
      </c>
      <c r="Y62" s="2012">
        <f t="shared" si="167"/>
        <v>18721</v>
      </c>
      <c r="Z62" s="3462"/>
      <c r="AA62" s="3462"/>
      <c r="AB62" s="3341">
        <f>PL_ЦО_Производство!AB62+'МД ООН'!AB62+'МК Ладыжин-3'!AB62+'МК Староконстантинов'!AB62+'МК Армокаркасы'!AB62+'МК Щедро. Флекситанки'!AB62+'МК ЛифтМаркет'!AB62+'МК Укркотлопром'!AB62+'МК Подгорцы.Забор'!AB62+PL_Металлизация!BP62+'МД Бытовка ИТР Нежин'!AB62+'МК Металургбуд.поддоны'!AB62</f>
        <v>1111</v>
      </c>
      <c r="AC62" s="3341">
        <f>PL_ЦО_Производство!AC62+'МД ООН'!AC62+'МК Ладыжин-3'!AC62+'МК Староконстантинов'!AC62+'МК Армокаркасы'!AC62+'МК Щедро. Флекситанки'!AC62+'МК ЛифтМаркет'!AC62+'МК Укркотлопром'!AC62+'МК Подгорцы.Забор'!AC62+PL_Металлизация!BQ62+'МД Бытовка ИТР Нежин'!AC62+'МК Металургбуд.поддоны'!AC62</f>
        <v>0</v>
      </c>
      <c r="AD62" s="3349">
        <f t="shared" si="168"/>
        <v>1111</v>
      </c>
      <c r="AE62" s="4697">
        <f t="shared" si="169"/>
        <v>7.0816089352356741E-4</v>
      </c>
      <c r="AF62" s="4751"/>
      <c r="AG62" s="3341">
        <f>PL_ЦО_Производство!AG62+'МД ООН'!AG62+'МК Ладыжин-3'!AG62+'МК Староконстантинов'!AG62+'МК Армокаркасы'!AG62+'МК Щедро. Флекситанки'!AG62+'МК ЛифтМаркет'!AG62+'МК Укркотлопром'!AG62+'МК Подгорцы.Забор'!AG62+PL_Металлизация!BU62+'МД Бытовка ИТР Нежин'!AG62+'МК Металургбуд.поддоны'!AG62</f>
        <v>3335</v>
      </c>
      <c r="AH62" s="3341">
        <f>PL_ЦО_Производство!AH62+'МД ООН'!AH62+'МК Ладыжин-3'!AH62+'МК Староконстантинов'!AH62+'МК Армокаркасы'!AH62+'МК Щедро. Флекситанки'!AH62+'МК ЛифтМаркет'!AH62+'МК Укркотлопром'!AH62+'МК Подгорцы.Забор'!AH62+PL_Металлизация!BV62+'МД Бытовка ИТР Нежин'!AH62+'МК Металургбуд.поддоны'!AH62</f>
        <v>0</v>
      </c>
      <c r="AI62" s="3349">
        <f t="shared" si="170"/>
        <v>3335</v>
      </c>
      <c r="AJ62" s="4697">
        <f t="shared" si="171"/>
        <v>2.0793707735463495E-3</v>
      </c>
      <c r="AK62" s="4751"/>
      <c r="AL62" s="3341">
        <f>PL_ЦО_Производство!AL62+'МД ООН'!AL62+'МК Ладыжин-3'!AL62+'МК Староконстантинов'!AL62+'МК Армокаркасы'!AL62+'МК Щедро. Флекситанки'!AL62+'МК ЛифтМаркет'!AL62+'МК Укркотлопром'!AL62+'МК Подгорцы.Забор'!AL62+PL_Металлизация!BZ62+'МД Бытовка ИТР Нежин'!AL62+'МК Металургбуд.поддоны'!AL62+'МК Нежин-3'!AL62</f>
        <v>3335</v>
      </c>
      <c r="AM62" s="3341">
        <f>PL_ЦО_Производство!AM62+'МД ООН'!AM62+'МК Ладыжин-3'!AM62+'МК Староконстантинов'!AM62+'МК Армокаркасы'!AM62+'МК Щедро. Флекситанки'!AM62+'МК ЛифтМаркет'!AM62+'МК Укркотлопром'!AM62+'МК Подгорцы.Забор'!AM62+PL_Металлизация!CA62+'МД Бытовка ИТР Нежин'!AM62+'МК Металургбуд.поддоны'!AM62+'МК Нежин-3'!AM62</f>
        <v>0</v>
      </c>
      <c r="AN62" s="3349">
        <f t="shared" si="172"/>
        <v>3335</v>
      </c>
      <c r="AO62" s="4697">
        <f t="shared" si="173"/>
        <v>1.5989226945233976E-3</v>
      </c>
      <c r="AP62" s="4751"/>
      <c r="AQ62" s="3341">
        <f>PL_ЦО_Производство!AQ62+'МД ООН'!AQ62+'МК Ладыжин-3'!AQ62+'МК Староконстантинов'!AQ62+'МК Армокаркасы'!AQ62+'МК Щедро. Флекситанки'!AQ62+'МК ЛифтМаркет'!AQ62+'МК Укркотлопром'!AQ62+'МК Подгорцы.Забор'!AQ62+PL_Металлизация!CE62+'МД Бытовка ИТР Нежин'!AQ62+'МК Металургбуд.поддоны'!AQ62+'МК Нежин-3'!AQ62</f>
        <v>3335</v>
      </c>
      <c r="AR62" s="3341">
        <f>PL_ЦО_Производство!AR62+'МД ООН'!AR62+'МК Ладыжин-3'!AR62+'МК Староконстантинов'!AR62+'МК Армокаркасы'!AR62+'МК Щедро. Флекситанки'!AR62+'МК ЛифтМаркет'!AR62+'МК Укркотлопром'!AR62+'МК Подгорцы.Забор'!AR62+PL_Металлизация!CF62+'МД Бытовка ИТР Нежин'!AR62+'МК Металургбуд.поддоны'!AR62+'МК Нежин-3'!AR62</f>
        <v>0</v>
      </c>
      <c r="AS62" s="3349">
        <f t="shared" si="174"/>
        <v>3335</v>
      </c>
      <c r="AT62" s="4697">
        <f t="shared" si="175"/>
        <v>2.149642368708246E-3</v>
      </c>
      <c r="AU62" s="4751"/>
      <c r="AV62" s="3341">
        <f>PL_ЦО_Производство!AV62+'МД ООН'!AV62+'МК Армокаркасы'!AV62+'МК Подгорцы.Забор'!AV62+'МК Нежин-3'!AV62+'МК РДК.Кран'!AV62+'МК Ворота.Запорожье'!AV62+'МД ВООЗ'!AV62+'МД Казарма.Рекламация'!AV62</f>
        <v>3802.5</v>
      </c>
      <c r="AW62" s="3341">
        <f>PL_ЦО_Производство!AW62+'МД ООН'!AW62+'МК Армокаркасы'!AW62+'МК Подгорцы.Забор'!AW62+'МК Нежин-3'!AW62+'МК РДК.Кран'!AW62+'МК Ворота.Запорожье'!AW62+'МД ВООЗ'!AW62+'МД Казарма.Рекламация'!AW62</f>
        <v>0</v>
      </c>
      <c r="AX62" s="3349">
        <f t="shared" si="176"/>
        <v>3802.5</v>
      </c>
      <c r="AY62" s="4697">
        <f t="shared" si="177"/>
        <v>2.8429444680059196E-3</v>
      </c>
      <c r="AZ62" s="4751"/>
      <c r="BA62" s="3341">
        <f>PL_ЦО_Производство!BA62+'МД ООН'!BA62+'МК Ладыжин-3'!BA62+'МК Староконстантинов'!BA62+'МК Армокаркасы'!BA62+'МК Щедро. Флекситанки'!BA62+'МК ЛифтМаркет'!BA62+'МК Укркотлопром'!BA62+'МК Подгорцы.Забор'!BA62+PL_Металлизация!CO62+'МД Бытовка ИТР Нежин'!BA62+'МК Металургбуд.поддоны'!BA62+'МК Нежин-3'!BA62+'МК РДК.Кран'!BA62+'МК Ворота.Запорожье'!BA62+'МД ВООЗ'!BA62+'МД Казарма.Рекламация'!BA62</f>
        <v>3802.5</v>
      </c>
      <c r="BB62" s="3341">
        <f>PL_ЦО_Производство!BB62+'МД ООН'!BB62+'МК Ладыжин-3'!BB62+'МК Староконстантинов'!BB62+'МК Армокаркасы'!BB62+'МК Щедро. Флекситанки'!BB62+'МК ЛифтМаркет'!BB62+'МК Укркотлопром'!BB62+'МК Подгорцы.Забор'!BB62+PL_Металлизация!CP62+'МД Бытовка ИТР Нежин'!BB62+'МК Металургбуд.поддоны'!BB62+'МК Нежин-3'!BB62+'МК РДК.Кран'!BB62+'МК Ворота.Запорожье'!BB62+'МД ВООЗ'!BB62+'МД Казарма.Рекламация'!BB62</f>
        <v>0</v>
      </c>
      <c r="BC62" s="3349">
        <f t="shared" si="178"/>
        <v>3802.5</v>
      </c>
      <c r="BD62" s="4697">
        <f t="shared" si="179"/>
        <v>2.8847600663863479E-3</v>
      </c>
      <c r="BE62" s="4751"/>
      <c r="BF62" s="3341">
        <f>PL_ЦО_Производство!BF62+'МД ООН'!BF62+'МК Ладыжин-3'!BF62+'МК Староконстантинов'!BF62+'МК Армокаркасы'!BF62+'МК Щедро. Флекситанки'!BF62+'МК ЛифтМаркет'!BF62+'МК Укркотлопром'!BF62+'МК Подгорцы.Забор'!BF62+PL_Металлизация!CT62+'МД Бытовка ИТР Нежин'!BF62+'МК Металургбуд.поддоны'!BF62+'МК Нежин-3'!BF62+'МК РДК.Кран'!BF62+'МК Ворота.Запорожье'!BF62+'МД ВООЗ'!BF62+'МД Казарма.Рекламация'!BF62</f>
        <v>0</v>
      </c>
      <c r="BG62" s="3341">
        <f>PL_ЦО_Производство!BG62+'МД ООН'!BG62+'МК Ладыжин-3'!BG62+'МК Староконстантинов'!BG62+'МК Армокаркасы'!BG62+'МК Щедро. Флекситанки'!BG62+'МК ЛифтМаркет'!BG62+'МК Укркотлопром'!BG62+'МК Подгорцы.Забор'!BG62+PL_Металлизация!CU62+'МД Бытовка ИТР Нежин'!BG62+'МК Металургбуд.поддоны'!BG62+'МК Нежин-3'!BG62+'МК РДК.Кран'!BG62+'МК Ворота.Запорожье'!BG62+'МД ВООЗ'!BG62+'МД Казарма.Рекламация'!BG62</f>
        <v>0</v>
      </c>
      <c r="BH62" s="3349">
        <f t="shared" si="180"/>
        <v>0</v>
      </c>
      <c r="BI62" s="4697" t="e">
        <f t="shared" si="181"/>
        <v>#DIV/0!</v>
      </c>
      <c r="BJ62" s="4751"/>
      <c r="BK62" s="3341">
        <f>PL_ЦО_Производство!BK62+'МД ООН'!BK62+'МК Ладыжин-3'!BK62+'МК Староконстантинов'!BK62+'МК Армокаркасы'!BK62+'МК Щедро. Флекситанки'!BK62+'МК ЛифтМаркет'!BK62+'МК Укркотлопром'!BK62+'МК Подгорцы.Забор'!BK62+PL_Металлизация!CY62+'МД Бытовка ИТР Нежин'!BK62+'МК Металургбуд.поддоны'!BK62+'МК Нежин-3'!BK62+'МК РДК.Кран'!BK62+'МК Ворота.Запорожье'!BK62+'МД ВООЗ'!BK62+'МД Казарма.Рекламация'!BK62</f>
        <v>0</v>
      </c>
      <c r="BL62" s="3341">
        <f>PL_ЦО_Производство!BL62+'МД ООН'!BL62+'МК Ладыжин-3'!BL62+'МК Староконстантинов'!BL62+'МК Армокаркасы'!BL62+'МК Щедро. Флекситанки'!BL62+'МК ЛифтМаркет'!BL62+'МК Укркотлопром'!BL62+'МК Подгорцы.Забор'!BL62+PL_Металлизация!CZ62+'МД Бытовка ИТР Нежин'!BL62+'МК Металургбуд.поддоны'!BL62+'МК Нежин-3'!BL62+'МК РДК.Кран'!BL62+'МК Ворота.Запорожье'!BL62+'МД ВООЗ'!BL62+'МД Казарма.Рекламация'!BL62</f>
        <v>0</v>
      </c>
      <c r="BM62" s="3349">
        <f t="shared" si="182"/>
        <v>0</v>
      </c>
      <c r="BN62" s="4697" t="e">
        <f t="shared" si="183"/>
        <v>#DIV/0!</v>
      </c>
      <c r="BO62" s="4751"/>
      <c r="BP62" s="3341">
        <f>PL_ЦО_Производство!BP62+'МД ООН'!BP62+'МК Ладыжин-3'!BP62+'МК Староконстантинов'!BP62+'МК Армокаркасы'!BP62+'МК Щедро. Флекситанки'!BP62+'МК ЛифтМаркет'!BP62+'МК Укркотлопром'!BP62+'МК Подгорцы.Забор'!BP62+PL_Металлизация!DD62+'МД Бытовка ИТР Нежин'!BP62+'МК Металургбуд.поддоны'!BP62+'МК Нежин-3'!BP62+'МК РДК.Кран'!BP62+'МК Ворота.Запорожье'!BP62+'МД ВООЗ'!BP62+'МД Казарма.Рекламация'!BP62</f>
        <v>0</v>
      </c>
      <c r="BQ62" s="3341">
        <f>PL_ЦО_Производство!BQ62+'МД ООН'!BQ62+'МК Ладыжин-3'!BQ62+'МК Староконстантинов'!BQ62+'МК Армокаркасы'!BQ62+'МК Щедро. Флекситанки'!BQ62+'МК ЛифтМаркет'!BQ62+'МК Укркотлопром'!BQ62+'МК Подгорцы.Забор'!BQ62+PL_Металлизация!DE62+'МД Бытовка ИТР Нежин'!BQ62+'МК Металургбуд.поддоны'!BQ62+'МК Нежин-3'!BQ62+'МК РДК.Кран'!BQ62+'МК Ворота.Запорожье'!BQ62+'МД ВООЗ'!BQ62+'МД Казарма.Рекламация'!BQ62</f>
        <v>0</v>
      </c>
      <c r="BR62" s="3349">
        <f t="shared" si="184"/>
        <v>0</v>
      </c>
      <c r="BS62" s="4697" t="e">
        <f t="shared" si="185"/>
        <v>#DIV/0!</v>
      </c>
      <c r="BT62" s="4751"/>
      <c r="BU62" s="3341">
        <f>PL_ЦО_Производство!BU62+'МД ООН'!BU62+'МК Ладыжин-3'!BU62+'МК Староконстантинов'!BU62+'МК Армокаркасы'!BU62+'МК Щедро. Флекситанки'!BU62+'МК ЛифтМаркет'!BU62+'МК Укркотлопром'!BU62+'МК Подгорцы.Забор'!BU62+PL_Металлизация!DI62+'МД Бытовка ИТР Нежин'!BU62+'МК Металургбуд.поддоны'!BU62+'МК Нежин-3'!BU62+'МК РДК.Кран'!BU62+'МК Ворота.Запорожье'!BU62+'МД ВООЗ'!BU62+'МД Казарма.Рекламация'!BU62</f>
        <v>0</v>
      </c>
      <c r="BV62" s="3341">
        <f>PL_ЦО_Производство!BV62+'МД ООН'!BV62+'МК Ладыжин-3'!BV62+'МК Староконстантинов'!BV62+'МК Армокаркасы'!BV62+'МК Щедро. Флекситанки'!BV62+'МК ЛифтМаркет'!BV62+'МК Укркотлопром'!BV62+'МК Подгорцы.Забор'!BV62+PL_Металлизация!DJ62+'МД Бытовка ИТР Нежин'!BV62+'МК Металургбуд.поддоны'!BV62+'МК Нежин-3'!BV62+'МК РДК.Кран'!BV62+'МК Ворота.Запорожье'!BV62+'МД ВООЗ'!BV62+'МД Казарма.Рекламация'!BV62</f>
        <v>0</v>
      </c>
      <c r="BW62" s="3349">
        <f t="shared" si="186"/>
        <v>0</v>
      </c>
      <c r="BX62" s="4697" t="e">
        <f t="shared" si="187"/>
        <v>#DIV/0!</v>
      </c>
      <c r="BY62" s="4751"/>
      <c r="BZ62" s="3341">
        <f>PL_ЦО_Производство!BZ62+'МД ООН'!BZ62+'МК Ладыжин-3'!BZ62+'МК Староконстантинов'!BZ62+'МК Армокаркасы'!BZ62+'МК Щедро. Флекситанки'!BZ62+'МК ЛифтМаркет'!BZ62+'МК Укркотлопром'!BZ62+'МК Подгорцы.Забор'!BZ62+PL_Металлизация!DN62+'МД Бытовка ИТР Нежин'!BZ62+'МК Металургбуд.поддоны'!BZ62+'МК Нежин-3'!BZ62+'МК РДК.Кран'!BZ62+'МК Ворота.Запорожье'!BZ62+'МД ВООЗ'!BZ62+'МД Казарма.Рекламация'!BZ62</f>
        <v>0</v>
      </c>
      <c r="CA62" s="3341">
        <f>PL_ЦО_Производство!CA62+'МД ООН'!CA62+'МК Ладыжин-3'!CA62+'МК Староконстантинов'!CA62+'МК Армокаркасы'!CA62+'МК Щедро. Флекситанки'!CA62+'МК ЛифтМаркет'!CA62+'МК Укркотлопром'!CA62+'МК Подгорцы.Забор'!CA62+PL_Металлизация!DO62+'МД Бытовка ИТР Нежин'!CA62+'МК Металургбуд.поддоны'!CA62+'МК Нежин-3'!CA62+'МК РДК.Кран'!CA62+'МК Ворота.Запорожье'!CA62+'МД ВООЗ'!CA62+'МД Казарма.Рекламация'!CA62</f>
        <v>0</v>
      </c>
      <c r="CB62" s="3349">
        <f t="shared" si="188"/>
        <v>0</v>
      </c>
      <c r="CC62" s="4697" t="e">
        <f t="shared" si="189"/>
        <v>#DIV/0!</v>
      </c>
      <c r="CD62" s="4751"/>
      <c r="CE62" s="3341">
        <f>PL_ЦО_Производство!CE62+'МД ООН'!CE62+'МК Ладыжин-3'!CE62+'МК Староконстантинов'!CE62+'МК Армокаркасы'!CE62+'МК Щедро. Флекситанки'!CE62+'МК ЛифтМаркет'!CE62+'МК Укркотлопром'!CE62+'МК Подгорцы.Забор'!CE62+PL_Металлизация!DS62+'МД Бытовка ИТР Нежин'!CE62+'МК Металургбуд.поддоны'!CE62+'МК Нежин-3'!CE62+'МК РДК.Кран'!CE62+'МК Ворота.Запорожье'!CE62+'МД ВООЗ'!CE62+'МД Казарма.Рекламация'!CE62</f>
        <v>0</v>
      </c>
      <c r="CF62" s="3341">
        <f>PL_ЦО_Производство!CF62+'МД ООН'!CF62+'МК Ладыжин-3'!CF62+'МК Староконстантинов'!CF62+'МК Армокаркасы'!CF62+'МК Щедро. Флекситанки'!CF62+'МК ЛифтМаркет'!CF62+'МК Укркотлопром'!CF62+'МК Подгорцы.Забор'!CF62+PL_Металлизация!DT62+'МД Бытовка ИТР Нежин'!CF62+'МК Металургбуд.поддоны'!CF62+'МК Нежин-3'!CF62+'МК РДК.Кран'!CF62+'МК Ворота.Запорожье'!CF62+'МД ВООЗ'!CF62+'МД Казарма.Рекламация'!CF62</f>
        <v>0</v>
      </c>
      <c r="CG62" s="3349">
        <f t="shared" si="190"/>
        <v>0</v>
      </c>
      <c r="CH62" s="4697" t="e">
        <f t="shared" si="191"/>
        <v>#DIV/0!</v>
      </c>
      <c r="CI62" s="4751"/>
      <c r="CJ62" s="3341">
        <f t="shared" si="192"/>
        <v>64312.14</v>
      </c>
      <c r="CK62" s="3341">
        <f t="shared" si="192"/>
        <v>0</v>
      </c>
      <c r="CL62" s="2012">
        <f t="shared" si="193"/>
        <v>64312.14</v>
      </c>
      <c r="CM62" s="4697">
        <f t="shared" si="159"/>
        <v>1.262137309028922E-3</v>
      </c>
      <c r="CN62" s="4699"/>
    </row>
    <row r="63" spans="1:92" ht="13.8" outlineLevel="2">
      <c r="A63" s="1571"/>
      <c r="B63" s="4728" t="s">
        <v>35</v>
      </c>
      <c r="C63" s="3349"/>
      <c r="D63" s="3349"/>
      <c r="E63" s="3349">
        <f t="shared" si="160"/>
        <v>0</v>
      </c>
      <c r="F63" s="4697" t="e">
        <f t="shared" si="125"/>
        <v>#DIV/0!</v>
      </c>
      <c r="G63" s="4751"/>
      <c r="H63" s="3349"/>
      <c r="I63" s="3349"/>
      <c r="J63" s="3349">
        <f t="shared" si="161"/>
        <v>0</v>
      </c>
      <c r="K63" s="4697" t="e">
        <f t="shared" si="162"/>
        <v>#DIV/0!</v>
      </c>
      <c r="L63" s="4751"/>
      <c r="M63" s="3349"/>
      <c r="N63" s="3349"/>
      <c r="O63" s="3349">
        <f t="shared" si="163"/>
        <v>0</v>
      </c>
      <c r="P63" s="4697" t="e">
        <f t="shared" si="164"/>
        <v>#DIV/0!</v>
      </c>
      <c r="Q63" s="4751"/>
      <c r="R63" s="3427">
        <f>PL_Производство!BF63</f>
        <v>160146.56</v>
      </c>
      <c r="S63" s="3427">
        <f>PL_Производство!BG63</f>
        <v>0</v>
      </c>
      <c r="T63" s="2012">
        <f t="shared" si="165"/>
        <v>160146.56</v>
      </c>
      <c r="U63" s="3462"/>
      <c r="V63" s="3462"/>
      <c r="W63" s="3342">
        <f t="shared" si="166"/>
        <v>30000</v>
      </c>
      <c r="X63" s="3342">
        <f t="shared" si="166"/>
        <v>0</v>
      </c>
      <c r="Y63" s="2012">
        <f t="shared" si="167"/>
        <v>30000</v>
      </c>
      <c r="Z63" s="3462"/>
      <c r="AA63" s="3462"/>
      <c r="AB63" s="3341">
        <f>PL_ЦО_Производство!AB63+'МД ООН'!AB63+'МК Ладыжин-3'!AB63+'МК Староконстантинов'!AB63+'МК Армокаркасы'!AB63+'МК Щедро. Флекситанки'!AB63+'МК ЛифтМаркет'!AB63+'МК Укркотлопром'!AB63+'МК Подгорцы.Забор'!AB63+PL_Металлизация!BP63+'МД Бытовка ИТР Нежин'!AB63+'МК Металургбуд.поддоны'!AB63</f>
        <v>5000</v>
      </c>
      <c r="AC63" s="3341">
        <f>PL_ЦО_Производство!AC63+'МД ООН'!AC63+'МК Ладыжин-3'!AC63+'МК Староконстантинов'!AC63+'МК Армокаркасы'!AC63+'МК Щедро. Флекситанки'!AC63+'МК ЛифтМаркет'!AC63+'МК Укркотлопром'!AC63+'МК Подгорцы.Забор'!AC63+PL_Металлизация!BQ63+'МД Бытовка ИТР Нежин'!AC63+'МК Металургбуд.поддоны'!AC63</f>
        <v>0</v>
      </c>
      <c r="AD63" s="3349">
        <f t="shared" si="168"/>
        <v>5000</v>
      </c>
      <c r="AE63" s="4697">
        <f t="shared" si="169"/>
        <v>3.1870427251285663E-3</v>
      </c>
      <c r="AF63" s="4751"/>
      <c r="AG63" s="3341">
        <f>PL_ЦО_Производство!AG63+'МД ООН'!AG63+'МК Ладыжин-3'!AG63+'МК Староконстантинов'!AG63+'МК Армокаркасы'!AG63+'МК Щедро. Флекситанки'!AG63+'МК ЛифтМаркет'!AG63+'МК Укркотлопром'!AG63+'МК Подгорцы.Забор'!AG63+PL_Металлизация!BU63+'МД Бытовка ИТР Нежин'!AG63+'МК Металургбуд.поддоны'!AG63</f>
        <v>5000</v>
      </c>
      <c r="AH63" s="3341">
        <f>PL_ЦО_Производство!AH63+'МД ООН'!AH63+'МК Ладыжин-3'!AH63+'МК Староконстантинов'!AH63+'МК Армокаркасы'!AH63+'МК Щедро. Флекситанки'!AH63+'МК ЛифтМаркет'!AH63+'МК Укркотлопром'!AH63+'МК Подгорцы.Забор'!AH63+PL_Металлизация!BV63+'МД Бытовка ИТР Нежин'!AH63+'МК Металургбуд.поддоны'!AH63</f>
        <v>0</v>
      </c>
      <c r="AI63" s="3349">
        <f t="shared" si="170"/>
        <v>5000</v>
      </c>
      <c r="AJ63" s="4697">
        <f t="shared" si="171"/>
        <v>3.1174974116137174E-3</v>
      </c>
      <c r="AK63" s="4751"/>
      <c r="AL63" s="3341">
        <f>PL_ЦО_Производство!AL63+'МД ООН'!AL63+'МК Ладыжин-3'!AL63+'МК Староконстантинов'!AL63+'МК Армокаркасы'!AL63+'МК Щедро. Флекситанки'!AL63+'МК ЛифтМаркет'!AL63+'МК Укркотлопром'!AL63+'МК Подгорцы.Забор'!AL63+PL_Металлизация!BZ63+'МД Бытовка ИТР Нежин'!AL63+'МК Металургбуд.поддоны'!AL63+'МК Нежин-3'!AL63</f>
        <v>5000</v>
      </c>
      <c r="AM63" s="3341">
        <f>PL_ЦО_Производство!AM63+'МД ООН'!AM63+'МК Ладыжин-3'!AM63+'МК Староконстантинов'!AM63+'МК Армокаркасы'!AM63+'МК Щедро. Флекситанки'!AM63+'МК ЛифтМаркет'!AM63+'МК Укркотлопром'!AM63+'МК Подгорцы.Забор'!AM63+PL_Металлизация!CA63+'МД Бытовка ИТР Нежин'!AM63+'МК Металургбуд.поддоны'!AM63+'МК Нежин-3'!AM63</f>
        <v>0</v>
      </c>
      <c r="AN63" s="3349">
        <f t="shared" si="172"/>
        <v>5000</v>
      </c>
      <c r="AO63" s="4697">
        <f t="shared" si="173"/>
        <v>2.3971854490605661E-3</v>
      </c>
      <c r="AP63" s="4751"/>
      <c r="AQ63" s="3341">
        <f>PL_ЦО_Производство!AQ63+'МД ООН'!AQ63+'МК Ладыжин-3'!AQ63+'МК Староконстантинов'!AQ63+'МК Армокаркасы'!AQ63+'МК Щедро. Флекситанки'!AQ63+'МК ЛифтМаркет'!AQ63+'МК Укркотлопром'!AQ63+'МК Подгорцы.Забор'!AQ63+PL_Металлизация!CE63+'МД Бытовка ИТР Нежин'!AQ63+'МК Металургбуд.поддоны'!AQ63+'МК Нежин-3'!AQ63</f>
        <v>5000</v>
      </c>
      <c r="AR63" s="3341">
        <f>PL_ЦО_Производство!AR63+'МД ООН'!AR63+'МК Ладыжин-3'!AR63+'МК Староконстантинов'!AR63+'МК Армокаркасы'!AR63+'МК Щедро. Флекситанки'!AR63+'МК ЛифтМаркет'!AR63+'МК Укркотлопром'!AR63+'МК Подгорцы.Забор'!AR63+PL_Металлизация!CF63+'МД Бытовка ИТР Нежин'!AR63+'МК Металургбуд.поддоны'!AR63+'МК Нежин-3'!AR63</f>
        <v>0</v>
      </c>
      <c r="AS63" s="3349">
        <f t="shared" si="174"/>
        <v>5000</v>
      </c>
      <c r="AT63" s="4697">
        <f t="shared" si="175"/>
        <v>3.2228521269988698E-3</v>
      </c>
      <c r="AU63" s="4751"/>
      <c r="AV63" s="3341">
        <f>PL_ЦО_Производство!AV63+'МД ООН'!AV63+'МК Армокаркасы'!AV63+'МК Подгорцы.Забор'!AV63+'МК Нежин-3'!AV63+'МК РДК.Кран'!AV63+'МК Ворота.Запорожье'!AV63+'МД ВООЗ'!AV63+'МД Казарма.Рекламация'!AV63</f>
        <v>5000</v>
      </c>
      <c r="AW63" s="3341">
        <f>PL_ЦО_Производство!AW63+'МД ООН'!AW63+'МК Армокаркасы'!AW63+'МК Подгорцы.Забор'!AW63+'МК Нежин-3'!AW63+'МК РДК.Кран'!AW63+'МК Ворота.Запорожье'!AW63+'МД ВООЗ'!AW63+'МД Казарма.Рекламация'!AW63</f>
        <v>0</v>
      </c>
      <c r="AX63" s="3349">
        <f t="shared" si="176"/>
        <v>5000</v>
      </c>
      <c r="AY63" s="4697">
        <f t="shared" si="177"/>
        <v>3.7382570256488099E-3</v>
      </c>
      <c r="AZ63" s="4751"/>
      <c r="BA63" s="3341">
        <f>PL_ЦО_Производство!BA63+'МД ООН'!BA63+'МК Ладыжин-3'!BA63+'МК Староконстантинов'!BA63+'МК Армокаркасы'!BA63+'МК Щедро. Флекситанки'!BA63+'МК ЛифтМаркет'!BA63+'МК Укркотлопром'!BA63+'МК Подгорцы.Забор'!BA63+PL_Металлизация!CO63+'МД Бытовка ИТР Нежин'!BA63+'МК Металургбуд.поддоны'!BA63+'МК Нежин-3'!BA63+'МК РДК.Кран'!BA63+'МК Ворота.Запорожье'!BA63+'МД ВООЗ'!BA63+'МД Казарма.Рекламация'!BA63</f>
        <v>5000</v>
      </c>
      <c r="BB63" s="3341">
        <f>PL_ЦО_Производство!BB63+'МД ООН'!BB63+'МК Ладыжин-3'!BB63+'МК Староконстантинов'!BB63+'МК Армокаркасы'!BB63+'МК Щедро. Флекситанки'!BB63+'МК ЛифтМаркет'!BB63+'МК Укркотлопром'!BB63+'МК Подгорцы.Забор'!BB63+PL_Металлизация!CP63+'МД Бытовка ИТР Нежин'!BB63+'МК Металургбуд.поддоны'!BB63+'МК Нежин-3'!BB63+'МК РДК.Кран'!BB63+'МК Ворота.Запорожье'!BB63+'МД ВООЗ'!BB63+'МД Казарма.Рекламация'!BB63</f>
        <v>0</v>
      </c>
      <c r="BC63" s="3349">
        <f t="shared" si="178"/>
        <v>5000</v>
      </c>
      <c r="BD63" s="4697">
        <f t="shared" si="179"/>
        <v>3.7932413759189324E-3</v>
      </c>
      <c r="BE63" s="4751"/>
      <c r="BF63" s="3341">
        <f>PL_ЦО_Производство!BF63+'МД ООН'!BF63+'МК Ладыжин-3'!BF63+'МК Староконстантинов'!BF63+'МК Армокаркасы'!BF63+'МК Щедро. Флекситанки'!BF63+'МК ЛифтМаркет'!BF63+'МК Укркотлопром'!BF63+'МК Подгорцы.Забор'!BF63+PL_Металлизация!CT63+'МД Бытовка ИТР Нежин'!BF63+'МК Металургбуд.поддоны'!BF63+'МК Нежин-3'!BF63+'МК РДК.Кран'!BF63+'МК Ворота.Запорожье'!BF63+'МД ВООЗ'!BF63+'МД Казарма.Рекламация'!BF63</f>
        <v>0</v>
      </c>
      <c r="BG63" s="3341">
        <f>PL_ЦО_Производство!BG63+'МД ООН'!BG63+'МК Ладыжин-3'!BG63+'МК Староконстантинов'!BG63+'МК Армокаркасы'!BG63+'МК Щедро. Флекситанки'!BG63+'МК ЛифтМаркет'!BG63+'МК Укркотлопром'!BG63+'МК Подгорцы.Забор'!BG63+PL_Металлизация!CU63+'МД Бытовка ИТР Нежин'!BG63+'МК Металургбуд.поддоны'!BG63+'МК Нежин-3'!BG63+'МК РДК.Кран'!BG63+'МК Ворота.Запорожье'!BG63+'МД ВООЗ'!BG63+'МД Казарма.Рекламация'!BG63</f>
        <v>0</v>
      </c>
      <c r="BH63" s="3349">
        <f t="shared" si="180"/>
        <v>0</v>
      </c>
      <c r="BI63" s="4697" t="e">
        <f t="shared" si="181"/>
        <v>#DIV/0!</v>
      </c>
      <c r="BJ63" s="4751"/>
      <c r="BK63" s="3341">
        <f>PL_ЦО_Производство!BK63+'МД ООН'!BK63+'МК Ладыжин-3'!BK63+'МК Староконстантинов'!BK63+'МК Армокаркасы'!BK63+'МК Щедро. Флекситанки'!BK63+'МК ЛифтМаркет'!BK63+'МК Укркотлопром'!BK63+'МК Подгорцы.Забор'!BK63+PL_Металлизация!CY63+'МД Бытовка ИТР Нежин'!BK63+'МК Металургбуд.поддоны'!BK63+'МК Нежин-3'!BK63+'МК РДК.Кран'!BK63+'МК Ворота.Запорожье'!BK63+'МД ВООЗ'!BK63+'МД Казарма.Рекламация'!BK63</f>
        <v>0</v>
      </c>
      <c r="BL63" s="3341">
        <f>PL_ЦО_Производство!BL63+'МД ООН'!BL63+'МК Ладыжин-3'!BL63+'МК Староконстантинов'!BL63+'МК Армокаркасы'!BL63+'МК Щедро. Флекситанки'!BL63+'МК ЛифтМаркет'!BL63+'МК Укркотлопром'!BL63+'МК Подгорцы.Забор'!BL63+PL_Металлизация!CZ63+'МД Бытовка ИТР Нежин'!BL63+'МК Металургбуд.поддоны'!BL63+'МК Нежин-3'!BL63+'МК РДК.Кран'!BL63+'МК Ворота.Запорожье'!BL63+'МД ВООЗ'!BL63+'МД Казарма.Рекламация'!BL63</f>
        <v>0</v>
      </c>
      <c r="BM63" s="3349">
        <f t="shared" si="182"/>
        <v>0</v>
      </c>
      <c r="BN63" s="4697" t="e">
        <f t="shared" si="183"/>
        <v>#DIV/0!</v>
      </c>
      <c r="BO63" s="4751"/>
      <c r="BP63" s="3341">
        <f>PL_ЦО_Производство!BP63+'МД ООН'!BP63+'МК Ладыжин-3'!BP63+'МК Староконстантинов'!BP63+'МК Армокаркасы'!BP63+'МК Щедро. Флекситанки'!BP63+'МК ЛифтМаркет'!BP63+'МК Укркотлопром'!BP63+'МК Подгорцы.Забор'!BP63+PL_Металлизация!DD63+'МД Бытовка ИТР Нежин'!BP63+'МК Металургбуд.поддоны'!BP63+'МК Нежин-3'!BP63+'МК РДК.Кран'!BP63+'МК Ворота.Запорожье'!BP63+'МД ВООЗ'!BP63+'МД Казарма.Рекламация'!BP63</f>
        <v>0</v>
      </c>
      <c r="BQ63" s="3341">
        <f>PL_ЦО_Производство!BQ63+'МД ООН'!BQ63+'МК Ладыжин-3'!BQ63+'МК Староконстантинов'!BQ63+'МК Армокаркасы'!BQ63+'МК Щедро. Флекситанки'!BQ63+'МК ЛифтМаркет'!BQ63+'МК Укркотлопром'!BQ63+'МК Подгорцы.Забор'!BQ63+PL_Металлизация!DE63+'МД Бытовка ИТР Нежин'!BQ63+'МК Металургбуд.поддоны'!BQ63+'МК Нежин-3'!BQ63+'МК РДК.Кран'!BQ63+'МК Ворота.Запорожье'!BQ63+'МД ВООЗ'!BQ63+'МД Казарма.Рекламация'!BQ63</f>
        <v>0</v>
      </c>
      <c r="BR63" s="3349">
        <f t="shared" si="184"/>
        <v>0</v>
      </c>
      <c r="BS63" s="4697" t="e">
        <f t="shared" si="185"/>
        <v>#DIV/0!</v>
      </c>
      <c r="BT63" s="4751"/>
      <c r="BU63" s="3341">
        <f>PL_ЦО_Производство!BU63+'МД ООН'!BU63+'МК Ладыжин-3'!BU63+'МК Староконстантинов'!BU63+'МК Армокаркасы'!BU63+'МК Щедро. Флекситанки'!BU63+'МК ЛифтМаркет'!BU63+'МК Укркотлопром'!BU63+'МК Подгорцы.Забор'!BU63+PL_Металлизация!DI63+'МД Бытовка ИТР Нежин'!BU63+'МК Металургбуд.поддоны'!BU63+'МК Нежин-3'!BU63+'МК РДК.Кран'!BU63+'МК Ворота.Запорожье'!BU63+'МД ВООЗ'!BU63+'МД Казарма.Рекламация'!BU63</f>
        <v>0</v>
      </c>
      <c r="BV63" s="3341">
        <f>PL_ЦО_Производство!BV63+'МД ООН'!BV63+'МК Ладыжин-3'!BV63+'МК Староконстантинов'!BV63+'МК Армокаркасы'!BV63+'МК Щедро. Флекситанки'!BV63+'МК ЛифтМаркет'!BV63+'МК Укркотлопром'!BV63+'МК Подгорцы.Забор'!BV63+PL_Металлизация!DJ63+'МД Бытовка ИТР Нежин'!BV63+'МК Металургбуд.поддоны'!BV63+'МК Нежин-3'!BV63+'МК РДК.Кран'!BV63+'МК Ворота.Запорожье'!BV63+'МД ВООЗ'!BV63+'МД Казарма.Рекламация'!BV63</f>
        <v>0</v>
      </c>
      <c r="BW63" s="3349">
        <f t="shared" si="186"/>
        <v>0</v>
      </c>
      <c r="BX63" s="4697" t="e">
        <f t="shared" si="187"/>
        <v>#DIV/0!</v>
      </c>
      <c r="BY63" s="4751"/>
      <c r="BZ63" s="3341">
        <f>PL_ЦО_Производство!BZ63+'МД ООН'!BZ63+'МК Ладыжин-3'!BZ63+'МК Староконстантинов'!BZ63+'МК Армокаркасы'!BZ63+'МК Щедро. Флекситанки'!BZ63+'МК ЛифтМаркет'!BZ63+'МК Укркотлопром'!BZ63+'МК Подгорцы.Забор'!BZ63+PL_Металлизация!DN63+'МД Бытовка ИТР Нежин'!BZ63+'МК Металургбуд.поддоны'!BZ63+'МК Нежин-3'!BZ63+'МК РДК.Кран'!BZ63+'МК Ворота.Запорожье'!BZ63+'МД ВООЗ'!BZ63+'МД Казарма.Рекламация'!BZ63</f>
        <v>0</v>
      </c>
      <c r="CA63" s="3341">
        <f>PL_ЦО_Производство!CA63+'МД ООН'!CA63+'МК Ладыжин-3'!CA63+'МК Староконстантинов'!CA63+'МК Армокаркасы'!CA63+'МК Щедро. Флекситанки'!CA63+'МК ЛифтМаркет'!CA63+'МК Укркотлопром'!CA63+'МК Подгорцы.Забор'!CA63+PL_Металлизация!DO63+'МД Бытовка ИТР Нежин'!CA63+'МК Металургбуд.поддоны'!CA63+'МК Нежин-3'!CA63+'МК РДК.Кран'!CA63+'МК Ворота.Запорожье'!CA63+'МД ВООЗ'!CA63+'МД Казарма.Рекламация'!CA63</f>
        <v>0</v>
      </c>
      <c r="CB63" s="3349">
        <f t="shared" si="188"/>
        <v>0</v>
      </c>
      <c r="CC63" s="4697" t="e">
        <f t="shared" si="189"/>
        <v>#DIV/0!</v>
      </c>
      <c r="CD63" s="4751"/>
      <c r="CE63" s="3341">
        <f>PL_ЦО_Производство!CE63+'МД ООН'!CE63+'МК Ладыжин-3'!CE63+'МК Староконстантинов'!CE63+'МК Армокаркасы'!CE63+'МК Щедро. Флекситанки'!CE63+'МК ЛифтМаркет'!CE63+'МК Укркотлопром'!CE63+'МК Подгорцы.Забор'!CE63+PL_Металлизация!DS63+'МД Бытовка ИТР Нежин'!CE63+'МК Металургбуд.поддоны'!CE63+'МК Нежин-3'!CE63+'МК РДК.Кран'!CE63+'МК Ворота.Запорожье'!CE63+'МД ВООЗ'!CE63+'МД Казарма.Рекламация'!CE63</f>
        <v>0</v>
      </c>
      <c r="CF63" s="3341">
        <f>PL_ЦО_Производство!CF63+'МД ООН'!CF63+'МК Ладыжин-3'!CF63+'МК Староконстантинов'!CF63+'МК Армокаркасы'!CF63+'МК Щедро. Флекситанки'!CF63+'МК ЛифтМаркет'!CF63+'МК Укркотлопром'!CF63+'МК Подгорцы.Забор'!CF63+PL_Металлизация!DT63+'МД Бытовка ИТР Нежин'!CF63+'МК Металургбуд.поддоны'!CF63+'МК Нежин-3'!CF63+'МК РДК.Кран'!CF63+'МК Ворота.Запорожье'!CF63+'МД ВООЗ'!CF63+'МД Казарма.Рекламация'!CF63</f>
        <v>0</v>
      </c>
      <c r="CG63" s="3349">
        <f t="shared" si="190"/>
        <v>0</v>
      </c>
      <c r="CH63" s="4697" t="e">
        <f t="shared" si="191"/>
        <v>#DIV/0!</v>
      </c>
      <c r="CI63" s="4751"/>
      <c r="CJ63" s="3341">
        <f t="shared" si="192"/>
        <v>190146.56</v>
      </c>
      <c r="CK63" s="3341">
        <f t="shared" si="192"/>
        <v>0</v>
      </c>
      <c r="CL63" s="2012">
        <f t="shared" si="193"/>
        <v>190146.56</v>
      </c>
      <c r="CM63" s="4697">
        <f t="shared" si="159"/>
        <v>3.7316604230477552E-3</v>
      </c>
      <c r="CN63" s="4699"/>
    </row>
    <row r="64" spans="1:92" ht="13.8" outlineLevel="2">
      <c r="A64" s="1571"/>
      <c r="B64" s="4728" t="s">
        <v>63</v>
      </c>
      <c r="C64" s="3349"/>
      <c r="D64" s="3349"/>
      <c r="E64" s="3349">
        <f t="shared" si="160"/>
        <v>0</v>
      </c>
      <c r="F64" s="4697" t="e">
        <f t="shared" si="125"/>
        <v>#DIV/0!</v>
      </c>
      <c r="G64" s="4751"/>
      <c r="H64" s="3349"/>
      <c r="I64" s="3349"/>
      <c r="J64" s="3349">
        <f t="shared" si="161"/>
        <v>0</v>
      </c>
      <c r="K64" s="4697" t="e">
        <f t="shared" si="162"/>
        <v>#DIV/0!</v>
      </c>
      <c r="L64" s="4751"/>
      <c r="M64" s="3349"/>
      <c r="N64" s="3349"/>
      <c r="O64" s="3349">
        <f t="shared" si="163"/>
        <v>0</v>
      </c>
      <c r="P64" s="4697" t="e">
        <f t="shared" si="164"/>
        <v>#DIV/0!</v>
      </c>
      <c r="Q64" s="4751"/>
      <c r="R64" s="3427">
        <f>PL_Производство!BF64</f>
        <v>1500088.1600000001</v>
      </c>
      <c r="S64" s="3427">
        <f>PL_Производство!BG64</f>
        <v>0</v>
      </c>
      <c r="T64" s="2012">
        <f t="shared" si="165"/>
        <v>1500088.1600000001</v>
      </c>
      <c r="U64" s="3462"/>
      <c r="V64" s="3462"/>
      <c r="W64" s="3342">
        <f t="shared" si="166"/>
        <v>865646.26</v>
      </c>
      <c r="X64" s="3342">
        <f t="shared" si="166"/>
        <v>0</v>
      </c>
      <c r="Y64" s="2012">
        <f t="shared" si="167"/>
        <v>865646.26</v>
      </c>
      <c r="Z64" s="3462"/>
      <c r="AA64" s="3462"/>
      <c r="AB64" s="3341">
        <f>PL_ЦО_Производство!AB64+'МД ООН'!AB64+'МК Ладыжин-3'!AB64+'МК Староконстантинов'!AB64+'МК Армокаркасы'!AB64+'МК Щедро. Флекситанки'!AB64+'МК ЛифтМаркет'!AB64+'МК Укркотлопром'!AB64+'МК Подгорцы.Забор'!AB64+PL_Металлизация!BP64+'МД Бытовка ИТР Нежин'!AB64+'МК Металургбуд.поддоны'!AB64</f>
        <v>153765.56</v>
      </c>
      <c r="AC64" s="3341">
        <f>PL_ЦО_Производство!AC64+'МД ООН'!AC64+'МК Ладыжин-3'!AC64+'МК Староконстантинов'!AC64+'МК Армокаркасы'!AC64+'МК Щедро. Флекситанки'!AC64+'МК ЛифтМаркет'!AC64+'МК Укркотлопром'!AC64+'МК Подгорцы.Забор'!AC64+PL_Металлизация!BQ64+'МД Бытовка ИТР Нежин'!AC64+'МК Металургбуд.поддоны'!AC64</f>
        <v>0</v>
      </c>
      <c r="AD64" s="3349">
        <f t="shared" si="168"/>
        <v>153765.56</v>
      </c>
      <c r="AE64" s="4697">
        <f t="shared" si="169"/>
        <v>9.8011481874664019E-2</v>
      </c>
      <c r="AF64" s="4751"/>
      <c r="AG64" s="3341">
        <f>PL_ЦО_Производство!AG64+'МД ООН'!AG64+'МК Ладыжин-3'!AG64+'МК Староконстантинов'!AG64+'МК Армокаркасы'!AG64+'МК Щедро. Флекситанки'!AG64+'МК ЛифтМаркет'!AG64+'МК Укркотлопром'!AG64+'МК Подгорцы.Забор'!AG64+PL_Металлизация!BU64+'МД Бытовка ИТР Нежин'!AG64+'МК Металургбуд.поддоны'!AG64</f>
        <v>156284.01</v>
      </c>
      <c r="AH64" s="3341">
        <f>PL_ЦО_Производство!AH64+'МД ООН'!AH64+'МК Ладыжин-3'!AH64+'МК Староконстантинов'!AH64+'МК Армокаркасы'!AH64+'МК Щедро. Флекситанки'!AH64+'МК ЛифтМаркет'!AH64+'МК Укркотлопром'!AH64+'МК Подгорцы.Забор'!AH64+PL_Металлизация!BV64+'МД Бытовка ИТР Нежин'!AH64+'МК Металургбуд.поддоны'!AH64</f>
        <v>0</v>
      </c>
      <c r="AI64" s="3349">
        <f t="shared" si="170"/>
        <v>156284.01</v>
      </c>
      <c r="AJ64" s="4697">
        <f t="shared" si="171"/>
        <v>9.744299933032248E-2</v>
      </c>
      <c r="AK64" s="4751"/>
      <c r="AL64" s="3341">
        <f>PL_ЦО_Производство!AL64+'МД ООН'!AL64+'МК Ладыжин-3'!AL64+'МК Староконстантинов'!AL64+'МК Армокаркасы'!AL64+'МК Щедро. Флекситанки'!AL64+'МК ЛифтМаркет'!AL64+'МК Укркотлопром'!AL64+'МК Подгорцы.Забор'!AL64+PL_Металлизация!BZ64+'МД Бытовка ИТР Нежин'!AL64+'МК Металургбуд.поддоны'!AL64+'МК Нежин-3'!AL64</f>
        <v>157606.39999999999</v>
      </c>
      <c r="AM64" s="3341">
        <f>PL_ЦО_Производство!AM64+'МД ООН'!AM64+'МК Ладыжин-3'!AM64+'МК Староконстантинов'!AM64+'МК Армокаркасы'!AM64+'МК Щедро. Флекситанки'!AM64+'МК ЛифтМаркет'!AM64+'МК Укркотлопром'!AM64+'МК Подгорцы.Забор'!AM64+PL_Металлизация!CA64+'МД Бытовка ИТР Нежин'!AM64+'МК Металургбуд.поддоны'!AM64+'МК Нежин-3'!AM64</f>
        <v>0</v>
      </c>
      <c r="AN64" s="3349">
        <f t="shared" si="172"/>
        <v>157606.39999999999</v>
      </c>
      <c r="AO64" s="4697">
        <f t="shared" si="173"/>
        <v>7.5562353751763831E-2</v>
      </c>
      <c r="AP64" s="4751"/>
      <c r="AQ64" s="3341">
        <f>PL_ЦО_Производство!AQ64+'МД ООН'!AQ64+'МК Ладыжин-3'!AQ64+'МК Староконстантинов'!AQ64+'МК Армокаркасы'!AQ64+'МК Щедро. Флекситанки'!AQ64+'МК ЛифтМаркет'!AQ64+'МК Укркотлопром'!AQ64+'МК Подгорцы.Забор'!AQ64+PL_Металлизация!CE64+'МД Бытовка ИТР Нежин'!AQ64+'МК Металургбуд.поддоны'!AQ64+'МК Нежин-3'!AQ64</f>
        <v>146050.5</v>
      </c>
      <c r="AR64" s="3341">
        <f>PL_ЦО_Производство!AR64+'МД ООН'!AR64+'МК Ладыжин-3'!AR64+'МК Староконстантинов'!AR64+'МК Армокаркасы'!AR64+'МК Щедро. Флекситанки'!AR64+'МК ЛифтМаркет'!AR64+'МК Укркотлопром'!AR64+'МК Подгорцы.Забор'!AR64+PL_Металлизация!CF64+'МД Бытовка ИТР Нежин'!AR64+'МК Металургбуд.поддоны'!AR64+'МК Нежин-3'!AR64</f>
        <v>0</v>
      </c>
      <c r="AS64" s="3349">
        <f t="shared" si="174"/>
        <v>146050.5</v>
      </c>
      <c r="AT64" s="4697">
        <f t="shared" si="175"/>
        <v>9.4139832914849689E-2</v>
      </c>
      <c r="AU64" s="4751"/>
      <c r="AV64" s="3341">
        <f>PL_ЦО_Производство!AV64+'МД ООН'!AV64+'МК Армокаркасы'!AV64+'МК Подгорцы.Забор'!AV64+'МК Нежин-3'!AV64+'МК РДК.Кран'!AV64+'МК Ворота.Запорожье'!AV64+'МД ВООЗ'!AV64+'МД Казарма.Рекламация'!AV64</f>
        <v>130828.75</v>
      </c>
      <c r="AW64" s="3341">
        <f>PL_ЦО_Производство!AW64+'МД ООН'!AW64+'МК Армокаркасы'!AW64+'МК Подгорцы.Забор'!AW64+'МК Нежин-3'!AW64+'МК РДК.Кран'!AW64+'МК Ворота.Запорожье'!AW64+'МД ВООЗ'!AW64+'МД Казарма.Рекламация'!AW64</f>
        <v>0</v>
      </c>
      <c r="AX64" s="3349">
        <f t="shared" si="176"/>
        <v>130828.75</v>
      </c>
      <c r="AY64" s="4697">
        <f t="shared" si="177"/>
        <v>9.781429876887035E-2</v>
      </c>
      <c r="AZ64" s="4751"/>
      <c r="BA64" s="3341">
        <f>PL_ЦО_Производство!BA64+'МД ООН'!BA64+'МК Ладыжин-3'!BA64+'МК Староконстантинов'!BA64+'МК Армокаркасы'!BA64+'МК Щедро. Флекситанки'!BA64+'МК ЛифтМаркет'!BA64+'МК Укркотлопром'!BA64+'МК Подгорцы.Забор'!BA64+PL_Металлизация!CO64+'МД Бытовка ИТР Нежин'!BA64+'МК Металургбуд.поддоны'!BA64+'МК Нежин-3'!BA64+'МК РДК.Кран'!BA64+'МК Ворота.Запорожье'!BA64+'МД ВООЗ'!BA64+'МД Казарма.Рекламация'!BA64</f>
        <v>121111.04000000001</v>
      </c>
      <c r="BB64" s="3341">
        <f>PL_ЦО_Производство!BB64+'МД ООН'!BB64+'МК Ладыжин-3'!BB64+'МК Староконстантинов'!BB64+'МК Армокаркасы'!BB64+'МК Щедро. Флекситанки'!BB64+'МК ЛифтМаркет'!BB64+'МК Укркотлопром'!BB64+'МК Подгорцы.Забор'!BB64+PL_Металлизация!CP64+'МД Бытовка ИТР Нежин'!BB64+'МК Металургбуд.поддоны'!BB64+'МК Нежин-3'!BB64+'МК РДК.Кран'!BB64+'МК Ворота.Запорожье'!BB64+'МД ВООЗ'!BB64+'МД Казарма.Рекламация'!BB64</f>
        <v>0</v>
      </c>
      <c r="BC64" s="3349">
        <f t="shared" si="178"/>
        <v>121111.04000000001</v>
      </c>
      <c r="BD64" s="4697">
        <f t="shared" si="179"/>
        <v>9.1880681601714573E-2</v>
      </c>
      <c r="BE64" s="4751"/>
      <c r="BF64" s="3341">
        <f>PL_ЦО_Производство!BF64+'МД ООН'!BF64+'МК Ладыжин-3'!BF64+'МК Староконстантинов'!BF64+'МК Армокаркасы'!BF64+'МК Щедро. Флекситанки'!BF64+'МК ЛифтМаркет'!BF64+'МК Укркотлопром'!BF64+'МК Подгорцы.Забор'!BF64+PL_Металлизация!CT64+'МД Бытовка ИТР Нежин'!BF64+'МК Металургбуд.поддоны'!BF64+'МК Нежин-3'!BF64+'МК РДК.Кран'!BF64+'МК Ворота.Запорожье'!BF64+'МД ВООЗ'!BF64+'МД Казарма.Рекламация'!BF64</f>
        <v>0</v>
      </c>
      <c r="BG64" s="3341">
        <f>PL_ЦО_Производство!BG64+'МД ООН'!BG64+'МК Ладыжин-3'!BG64+'МК Староконстантинов'!BG64+'МК Армокаркасы'!BG64+'МК Щедро. Флекситанки'!BG64+'МК ЛифтМаркет'!BG64+'МК Укркотлопром'!BG64+'МК Подгорцы.Забор'!BG64+PL_Металлизация!CU64+'МД Бытовка ИТР Нежин'!BG64+'МК Металургбуд.поддоны'!BG64+'МК Нежин-3'!BG64+'МК РДК.Кран'!BG64+'МК Ворота.Запорожье'!BG64+'МД ВООЗ'!BG64+'МД Казарма.Рекламация'!BG64</f>
        <v>0</v>
      </c>
      <c r="BH64" s="3349">
        <f t="shared" si="180"/>
        <v>0</v>
      </c>
      <c r="BI64" s="4697" t="e">
        <f t="shared" si="181"/>
        <v>#DIV/0!</v>
      </c>
      <c r="BJ64" s="4751"/>
      <c r="BK64" s="3341">
        <f>PL_ЦО_Производство!BK64+'МД ООН'!BK64+'МК Ладыжин-3'!BK64+'МК Староконстантинов'!BK64+'МК Армокаркасы'!BK64+'МК Щедро. Флекситанки'!BK64+'МК ЛифтМаркет'!BK64+'МК Укркотлопром'!BK64+'МК Подгорцы.Забор'!BK64+PL_Металлизация!CY64+'МД Бытовка ИТР Нежин'!BK64+'МК Металургбуд.поддоны'!BK64+'МК Нежин-3'!BK64+'МК РДК.Кран'!BK64+'МК Ворота.Запорожье'!BK64+'МД ВООЗ'!BK64+'МД Казарма.Рекламация'!BK64</f>
        <v>0</v>
      </c>
      <c r="BL64" s="3341">
        <f>PL_ЦО_Производство!BL64+'МД ООН'!BL64+'МК Ладыжин-3'!BL64+'МК Староконстантинов'!BL64+'МК Армокаркасы'!BL64+'МК Щедро. Флекситанки'!BL64+'МК ЛифтМаркет'!BL64+'МК Укркотлопром'!BL64+'МК Подгорцы.Забор'!BL64+PL_Металлизация!CZ64+'МД Бытовка ИТР Нежин'!BL64+'МК Металургбуд.поддоны'!BL64+'МК Нежин-3'!BL64+'МК РДК.Кран'!BL64+'МК Ворота.Запорожье'!BL64+'МД ВООЗ'!BL64+'МД Казарма.Рекламация'!BL64</f>
        <v>0</v>
      </c>
      <c r="BM64" s="3349">
        <f t="shared" si="182"/>
        <v>0</v>
      </c>
      <c r="BN64" s="4697" t="e">
        <f t="shared" si="183"/>
        <v>#DIV/0!</v>
      </c>
      <c r="BO64" s="4751"/>
      <c r="BP64" s="3341">
        <f>PL_ЦО_Производство!BP64+'МД ООН'!BP64+'МК Ладыжин-3'!BP64+'МК Староконстантинов'!BP64+'МК Армокаркасы'!BP64+'МК Щедро. Флекситанки'!BP64+'МК ЛифтМаркет'!BP64+'МК Укркотлопром'!BP64+'МК Подгорцы.Забор'!BP64+PL_Металлизация!DD64+'МД Бытовка ИТР Нежин'!BP64+'МК Металургбуд.поддоны'!BP64+'МК Нежин-3'!BP64+'МК РДК.Кран'!BP64+'МК Ворота.Запорожье'!BP64+'МД ВООЗ'!BP64+'МД Казарма.Рекламация'!BP64</f>
        <v>0</v>
      </c>
      <c r="BQ64" s="3341">
        <f>PL_ЦО_Производство!BQ64+'МД ООН'!BQ64+'МК Ладыжин-3'!BQ64+'МК Староконстантинов'!BQ64+'МК Армокаркасы'!BQ64+'МК Щедро. Флекситанки'!BQ64+'МК ЛифтМаркет'!BQ64+'МК Укркотлопром'!BQ64+'МК Подгорцы.Забор'!BQ64+PL_Металлизация!DE64+'МД Бытовка ИТР Нежин'!BQ64+'МК Металургбуд.поддоны'!BQ64+'МК Нежин-3'!BQ64+'МК РДК.Кран'!BQ64+'МК Ворота.Запорожье'!BQ64+'МД ВООЗ'!BQ64+'МД Казарма.Рекламация'!BQ64</f>
        <v>0</v>
      </c>
      <c r="BR64" s="3349">
        <f t="shared" si="184"/>
        <v>0</v>
      </c>
      <c r="BS64" s="4697" t="e">
        <f t="shared" si="185"/>
        <v>#DIV/0!</v>
      </c>
      <c r="BT64" s="4751"/>
      <c r="BU64" s="3341">
        <f>PL_ЦО_Производство!BU64+'МД ООН'!BU64+'МК Ладыжин-3'!BU64+'МК Староконстантинов'!BU64+'МК Армокаркасы'!BU64+'МК Щедро. Флекситанки'!BU64+'МК ЛифтМаркет'!BU64+'МК Укркотлопром'!BU64+'МК Подгорцы.Забор'!BU64+PL_Металлизация!DI64+'МД Бытовка ИТР Нежин'!BU64+'МК Металургбуд.поддоны'!BU64+'МК Нежин-3'!BU64+'МК РДК.Кран'!BU64+'МК Ворота.Запорожье'!BU64+'МД ВООЗ'!BU64+'МД Казарма.Рекламация'!BU64</f>
        <v>0</v>
      </c>
      <c r="BV64" s="3341">
        <f>PL_ЦО_Производство!BV64+'МД ООН'!BV64+'МК Ладыжин-3'!BV64+'МК Староконстантинов'!BV64+'МК Армокаркасы'!BV64+'МК Щедро. Флекситанки'!BV64+'МК ЛифтМаркет'!BV64+'МК Укркотлопром'!BV64+'МК Подгорцы.Забор'!BV64+PL_Металлизация!DJ64+'МД Бытовка ИТР Нежин'!BV64+'МК Металургбуд.поддоны'!BV64+'МК Нежин-3'!BV64+'МК РДК.Кран'!BV64+'МК Ворота.Запорожье'!BV64+'МД ВООЗ'!BV64+'МД Казарма.Рекламация'!BV64</f>
        <v>0</v>
      </c>
      <c r="BW64" s="3349">
        <f t="shared" si="186"/>
        <v>0</v>
      </c>
      <c r="BX64" s="4697" t="e">
        <f t="shared" si="187"/>
        <v>#DIV/0!</v>
      </c>
      <c r="BY64" s="4751"/>
      <c r="BZ64" s="3341">
        <f>PL_ЦО_Производство!BZ64+'МД ООН'!BZ64+'МК Ладыжин-3'!BZ64+'МК Староконстантинов'!BZ64+'МК Армокаркасы'!BZ64+'МК Щедро. Флекситанки'!BZ64+'МК ЛифтМаркет'!BZ64+'МК Укркотлопром'!BZ64+'МК Подгорцы.Забор'!BZ64+PL_Металлизация!DN64+'МД Бытовка ИТР Нежин'!BZ64+'МК Металургбуд.поддоны'!BZ64+'МК Нежин-3'!BZ64+'МК РДК.Кран'!BZ64+'МК Ворота.Запорожье'!BZ64+'МД ВООЗ'!BZ64+'МД Казарма.Рекламация'!BZ64</f>
        <v>0</v>
      </c>
      <c r="CA64" s="3341">
        <f>PL_ЦО_Производство!CA64+'МД ООН'!CA64+'МК Ладыжин-3'!CA64+'МК Староконстантинов'!CA64+'МК Армокаркасы'!CA64+'МК Щедро. Флекситанки'!CA64+'МК ЛифтМаркет'!CA64+'МК Укркотлопром'!CA64+'МК Подгорцы.Забор'!CA64+PL_Металлизация!DO64+'МД Бытовка ИТР Нежин'!CA64+'МК Металургбуд.поддоны'!CA64+'МК Нежин-3'!CA64+'МК РДК.Кран'!CA64+'МК Ворота.Запорожье'!CA64+'МД ВООЗ'!CA64+'МД Казарма.Рекламация'!CA64</f>
        <v>0</v>
      </c>
      <c r="CB64" s="3349">
        <f t="shared" si="188"/>
        <v>0</v>
      </c>
      <c r="CC64" s="4697" t="e">
        <f t="shared" si="189"/>
        <v>#DIV/0!</v>
      </c>
      <c r="CD64" s="4751"/>
      <c r="CE64" s="3341">
        <f>PL_ЦО_Производство!CE64+'МД ООН'!CE64+'МК Ладыжин-3'!CE64+'МК Староконстантинов'!CE64+'МК Армокаркасы'!CE64+'МК Щедро. Флекситанки'!CE64+'МК ЛифтМаркет'!CE64+'МК Укркотлопром'!CE64+'МК Подгорцы.Забор'!CE64+PL_Металлизация!DS64+'МД Бытовка ИТР Нежин'!CE64+'МК Металургбуд.поддоны'!CE64+'МК Нежин-3'!CE64+'МК РДК.Кран'!CE64+'МК Ворота.Запорожье'!CE64+'МД ВООЗ'!CE64+'МД Казарма.Рекламация'!CE64</f>
        <v>0</v>
      </c>
      <c r="CF64" s="3341">
        <f>PL_ЦО_Производство!CF64+'МД ООН'!CF64+'МК Ладыжин-3'!CF64+'МК Староконстантинов'!CF64+'МК Армокаркасы'!CF64+'МК Щедро. Флекситанки'!CF64+'МК ЛифтМаркет'!CF64+'МК Укркотлопром'!CF64+'МК Подгорцы.Забор'!CF64+PL_Металлизация!DT64+'МД Бытовка ИТР Нежин'!CF64+'МК Металургбуд.поддоны'!CF64+'МК Нежин-3'!CF64+'МК РДК.Кран'!CF64+'МК Ворота.Запорожье'!CF64+'МД ВООЗ'!CF64+'МД Казарма.Рекламация'!CF64</f>
        <v>0</v>
      </c>
      <c r="CG64" s="3349">
        <f t="shared" si="190"/>
        <v>0</v>
      </c>
      <c r="CH64" s="4697" t="e">
        <f t="shared" si="191"/>
        <v>#DIV/0!</v>
      </c>
      <c r="CI64" s="4751"/>
      <c r="CJ64" s="3341">
        <f t="shared" si="192"/>
        <v>2365734.42</v>
      </c>
      <c r="CK64" s="3341">
        <f t="shared" si="192"/>
        <v>0</v>
      </c>
      <c r="CL64" s="2012">
        <f t="shared" si="193"/>
        <v>2365734.42</v>
      </c>
      <c r="CM64" s="4697">
        <f t="shared" si="159"/>
        <v>4.6427963285561598E-2</v>
      </c>
      <c r="CN64" s="4699"/>
    </row>
    <row r="65" spans="1:95" ht="13.8" outlineLevel="2">
      <c r="A65" s="1571"/>
      <c r="B65" s="4728" t="s">
        <v>36</v>
      </c>
      <c r="C65" s="3341"/>
      <c r="D65" s="3341"/>
      <c r="E65" s="3349">
        <f t="shared" si="160"/>
        <v>0</v>
      </c>
      <c r="F65" s="4697" t="e">
        <f t="shared" si="125"/>
        <v>#DIV/0!</v>
      </c>
      <c r="G65" s="4751"/>
      <c r="H65" s="3341"/>
      <c r="I65" s="3341"/>
      <c r="J65" s="3349">
        <f t="shared" si="161"/>
        <v>0</v>
      </c>
      <c r="K65" s="4697" t="e">
        <f t="shared" si="162"/>
        <v>#DIV/0!</v>
      </c>
      <c r="L65" s="4751"/>
      <c r="M65" s="3341"/>
      <c r="N65" s="3341"/>
      <c r="O65" s="3349">
        <f t="shared" si="163"/>
        <v>0</v>
      </c>
      <c r="P65" s="4697" t="e">
        <f t="shared" si="164"/>
        <v>#DIV/0!</v>
      </c>
      <c r="Q65" s="4751"/>
      <c r="R65" s="3427">
        <f>PL_Производство!BF65</f>
        <v>0</v>
      </c>
      <c r="S65" s="3427">
        <f>PL_Производство!BG65</f>
        <v>0</v>
      </c>
      <c r="T65" s="2012">
        <f t="shared" si="165"/>
        <v>0</v>
      </c>
      <c r="U65" s="3462"/>
      <c r="V65" s="3462"/>
      <c r="W65" s="3342">
        <f t="shared" si="166"/>
        <v>1818.5</v>
      </c>
      <c r="X65" s="3342">
        <f t="shared" si="166"/>
        <v>0</v>
      </c>
      <c r="Y65" s="2012">
        <f t="shared" si="167"/>
        <v>1818.5</v>
      </c>
      <c r="Z65" s="3462"/>
      <c r="AA65" s="3462"/>
      <c r="AB65" s="3341">
        <f>PL_ЦО_Производство!AB65+'МД ООН'!AB65+'МК Ладыжин-3'!AB65+'МК Староконстантинов'!AB65+'МК Армокаркасы'!AB65+'МК Щедро. Флекситанки'!AB65+'МК ЛифтМаркет'!AB65+'МК Укркотлопром'!AB65+'МК Подгорцы.Забор'!AB65+PL_Металлизация!BP65+'МД Бытовка ИТР Нежин'!AB65+'МК Металургбуд.поддоны'!AB65</f>
        <v>0</v>
      </c>
      <c r="AC65" s="3341">
        <f>PL_ЦО_Производство!AC65+'МД ООН'!AC65+'МК Ладыжин-3'!AC65+'МК Староконстантинов'!AC65+'МК Армокаркасы'!AC65+'МК Щедро. Флекситанки'!AC65+'МК ЛифтМаркет'!AC65+'МК Укркотлопром'!AC65+'МК Подгорцы.Забор'!AC65+PL_Металлизация!BQ65+'МД Бытовка ИТР Нежин'!AC65+'МК Металургбуд.поддоны'!AC65</f>
        <v>0</v>
      </c>
      <c r="AD65" s="3349">
        <f t="shared" si="168"/>
        <v>0</v>
      </c>
      <c r="AE65" s="4697">
        <f t="shared" si="169"/>
        <v>0</v>
      </c>
      <c r="AF65" s="4751"/>
      <c r="AG65" s="3341">
        <f>PL_ЦО_Производство!AG65+'МД ООН'!AG65+'МК Ладыжин-3'!AG65+'МК Староконстантинов'!AG65+'МК Армокаркасы'!AG65+'МК Щедро. Флекситанки'!AG65+'МК ЛифтМаркет'!AG65+'МК Укркотлопром'!AG65+'МК Подгорцы.Забор'!AG65+PL_Металлизация!BU65+'МД Бытовка ИТР Нежин'!AG65+'МК Металургбуд.поддоны'!AG65</f>
        <v>0</v>
      </c>
      <c r="AH65" s="3341">
        <f>PL_ЦО_Производство!AH65+'МД ООН'!AH65+'МК Ладыжин-3'!AH65+'МК Староконстантинов'!AH65+'МК Армокаркасы'!AH65+'МК Щедро. Флекситанки'!AH65+'МК ЛифтМаркет'!AH65+'МК Укркотлопром'!AH65+'МК Подгорцы.Забор'!AH65+PL_Металлизация!BV65+'МД Бытовка ИТР Нежин'!AH65+'МК Металургбуд.поддоны'!AH65</f>
        <v>0</v>
      </c>
      <c r="AI65" s="3349">
        <f t="shared" si="170"/>
        <v>0</v>
      </c>
      <c r="AJ65" s="4697">
        <f t="shared" si="171"/>
        <v>0</v>
      </c>
      <c r="AK65" s="4751"/>
      <c r="AL65" s="3341">
        <f>PL_ЦО_Производство!AL65+'МД ООН'!AL65+'МК Ладыжин-3'!AL65+'МК Староконстантинов'!AL65+'МК Армокаркасы'!AL65+'МК Щедро. Флекситанки'!AL65+'МК ЛифтМаркет'!AL65+'МК Укркотлопром'!AL65+'МК Подгорцы.Забор'!AL65+PL_Металлизация!BZ65+'МД Бытовка ИТР Нежин'!AL65+'МК Металургбуд.поддоны'!AL65+'МК Нежин-3'!AL65</f>
        <v>0</v>
      </c>
      <c r="AM65" s="3341">
        <f>PL_ЦО_Производство!AM65+'МД ООН'!AM65+'МК Ладыжин-3'!AM65+'МК Староконстантинов'!AM65+'МК Армокаркасы'!AM65+'МК Щедро. Флекситанки'!AM65+'МК ЛифтМаркет'!AM65+'МК Укркотлопром'!AM65+'МК Подгорцы.Забор'!AM65+PL_Металлизация!CA65+'МД Бытовка ИТР Нежин'!AM65+'МК Металургбуд.поддоны'!AM65+'МК Нежин-3'!AM65</f>
        <v>0</v>
      </c>
      <c r="AN65" s="3349">
        <f t="shared" si="172"/>
        <v>0</v>
      </c>
      <c r="AO65" s="4697">
        <f t="shared" si="173"/>
        <v>0</v>
      </c>
      <c r="AP65" s="4751"/>
      <c r="AQ65" s="3341">
        <f>PL_ЦО_Производство!AQ65+'МД ООН'!AQ65+'МК Ладыжин-3'!AQ65+'МК Староконстантинов'!AQ65+'МК Армокаркасы'!AQ65+'МК Щедро. Флекситанки'!AQ65+'МК ЛифтМаркет'!AQ65+'МК Укркотлопром'!AQ65+'МК Подгорцы.Забор'!AQ65+PL_Металлизация!CE65+'МД Бытовка ИТР Нежин'!AQ65+'МК Металургбуд.поддоны'!AQ65+'МК Нежин-3'!AQ65</f>
        <v>0</v>
      </c>
      <c r="AR65" s="3341">
        <f>PL_ЦО_Производство!AR65+'МД ООН'!AR65+'МК Ладыжин-3'!AR65+'МК Староконстантинов'!AR65+'МК Армокаркасы'!AR65+'МК Щедро. Флекситанки'!AR65+'МК ЛифтМаркет'!AR65+'МК Укркотлопром'!AR65+'МК Подгорцы.Забор'!AR65+PL_Металлизация!CF65+'МД Бытовка ИТР Нежин'!AR65+'МК Металургбуд.поддоны'!AR65+'МК Нежин-3'!AR65</f>
        <v>0</v>
      </c>
      <c r="AS65" s="3349">
        <f t="shared" si="174"/>
        <v>0</v>
      </c>
      <c r="AT65" s="4697">
        <f t="shared" si="175"/>
        <v>0</v>
      </c>
      <c r="AU65" s="4751"/>
      <c r="AV65" s="3341">
        <f>PL_ЦО_Производство!AV65+'МД ООН'!AV65+'МК Армокаркасы'!AV65+'МК Подгорцы.Забор'!AV65+'МК Нежин-3'!AV65+'МК РДК.Кран'!AV65+'МК Ворота.Запорожье'!AV65+'МД ВООЗ'!AV65+'МД Казарма.Рекламация'!AV65</f>
        <v>0</v>
      </c>
      <c r="AW65" s="3341">
        <f>PL_ЦО_Производство!AW65+'МД ООН'!AW65+'МК Армокаркасы'!AW65+'МК Подгорцы.Забор'!AW65+'МК Нежин-3'!AW65+'МК РДК.Кран'!AW65+'МК Ворота.Запорожье'!AW65+'МД ВООЗ'!AW65+'МД Казарма.Рекламация'!AW65</f>
        <v>0</v>
      </c>
      <c r="AX65" s="3349">
        <f t="shared" si="176"/>
        <v>0</v>
      </c>
      <c r="AY65" s="4697">
        <f t="shared" si="177"/>
        <v>0</v>
      </c>
      <c r="AZ65" s="4751"/>
      <c r="BA65" s="3341">
        <f>PL_ЦО_Производство!BA65+'МД ООН'!BA65+'МК Ладыжин-3'!BA65+'МК Староконстантинов'!BA65+'МК Армокаркасы'!BA65+'МК Щедро. Флекситанки'!BA65+'МК ЛифтМаркет'!BA65+'МК Укркотлопром'!BA65+'МК Подгорцы.Забор'!BA65+PL_Металлизация!CO65+'МД Бытовка ИТР Нежин'!BA65+'МК Металургбуд.поддоны'!BA65+'МК Нежин-3'!BA65+'МК РДК.Кран'!BA65+'МК Ворота.Запорожье'!BA65+'МД ВООЗ'!BA65+'МД Казарма.Рекламация'!BA65</f>
        <v>1818.5</v>
      </c>
      <c r="BB65" s="3341">
        <f>PL_ЦО_Производство!BB65+'МД ООН'!BB65+'МК Ладыжин-3'!BB65+'МК Староконстантинов'!BB65+'МК Армокаркасы'!BB65+'МК Щедро. Флекситанки'!BB65+'МК ЛифтМаркет'!BB65+'МК Укркотлопром'!BB65+'МК Подгорцы.Забор'!BB65+PL_Металлизация!CP65+'МД Бытовка ИТР Нежин'!BB65+'МК Металургбуд.поддоны'!BB65+'МК Нежин-3'!BB65+'МК РДК.Кран'!BB65+'МК Ворота.Запорожье'!BB65+'МД ВООЗ'!BB65+'МД Казарма.Рекламация'!BB65</f>
        <v>0</v>
      </c>
      <c r="BC65" s="3349">
        <f t="shared" si="178"/>
        <v>1818.5</v>
      </c>
      <c r="BD65" s="4697">
        <f t="shared" si="179"/>
        <v>1.3796018884217156E-3</v>
      </c>
      <c r="BE65" s="4751"/>
      <c r="BF65" s="3341">
        <f>PL_ЦО_Производство!BF65+'МД ООН'!BF65+'МК Ладыжин-3'!BF65+'МК Староконстантинов'!BF65+'МК Армокаркасы'!BF65+'МК Щедро. Флекситанки'!BF65+'МК ЛифтМаркет'!BF65+'МК Укркотлопром'!BF65+'МК Подгорцы.Забор'!BF65+PL_Металлизация!CT65+'МД Бытовка ИТР Нежин'!BF65+'МК Металургбуд.поддоны'!BF65+'МК Нежин-3'!BF65+'МК РДК.Кран'!BF65+'МК Ворота.Запорожье'!BF65+'МД ВООЗ'!BF65+'МД Казарма.Рекламация'!BF65</f>
        <v>0</v>
      </c>
      <c r="BG65" s="3341">
        <f>PL_ЦО_Производство!BG65+'МД ООН'!BG65+'МК Ладыжин-3'!BG65+'МК Староконстантинов'!BG65+'МК Армокаркасы'!BG65+'МК Щедро. Флекситанки'!BG65+'МК ЛифтМаркет'!BG65+'МК Укркотлопром'!BG65+'МК Подгорцы.Забор'!BG65+PL_Металлизация!CU65+'МД Бытовка ИТР Нежин'!BG65+'МК Металургбуд.поддоны'!BG65+'МК Нежин-3'!BG65+'МК РДК.Кран'!BG65+'МК Ворота.Запорожье'!BG65+'МД ВООЗ'!BG65+'МД Казарма.Рекламация'!BG65</f>
        <v>0</v>
      </c>
      <c r="BH65" s="3349">
        <f t="shared" si="180"/>
        <v>0</v>
      </c>
      <c r="BI65" s="4697" t="e">
        <f t="shared" si="181"/>
        <v>#DIV/0!</v>
      </c>
      <c r="BJ65" s="4751"/>
      <c r="BK65" s="3341">
        <f>PL_ЦО_Производство!BK65+'МД ООН'!BK65+'МК Ладыжин-3'!BK65+'МК Староконстантинов'!BK65+'МК Армокаркасы'!BK65+'МК Щедро. Флекситанки'!BK65+'МК ЛифтМаркет'!BK65+'МК Укркотлопром'!BK65+'МК Подгорцы.Забор'!BK65+PL_Металлизация!CY65+'МД Бытовка ИТР Нежин'!BK65+'МК Металургбуд.поддоны'!BK65+'МК Нежин-3'!BK65+'МК РДК.Кран'!BK65+'МК Ворота.Запорожье'!BK65+'МД ВООЗ'!BK65+'МД Казарма.Рекламация'!BK65</f>
        <v>0</v>
      </c>
      <c r="BL65" s="3341">
        <f>PL_ЦО_Производство!BL65+'МД ООН'!BL65+'МК Ладыжин-3'!BL65+'МК Староконстантинов'!BL65+'МК Армокаркасы'!BL65+'МК Щедро. Флекситанки'!BL65+'МК ЛифтМаркет'!BL65+'МК Укркотлопром'!BL65+'МК Подгорцы.Забор'!BL65+PL_Металлизация!CZ65+'МД Бытовка ИТР Нежин'!BL65+'МК Металургбуд.поддоны'!BL65+'МК Нежин-3'!BL65+'МК РДК.Кран'!BL65+'МК Ворота.Запорожье'!BL65+'МД ВООЗ'!BL65+'МД Казарма.Рекламация'!BL65</f>
        <v>0</v>
      </c>
      <c r="BM65" s="3349">
        <f t="shared" si="182"/>
        <v>0</v>
      </c>
      <c r="BN65" s="4697" t="e">
        <f t="shared" si="183"/>
        <v>#DIV/0!</v>
      </c>
      <c r="BO65" s="4751"/>
      <c r="BP65" s="3341">
        <f>PL_ЦО_Производство!BP65+'МД ООН'!BP65+'МК Ладыжин-3'!BP65+'МК Староконстантинов'!BP65+'МК Армокаркасы'!BP65+'МК Щедро. Флекситанки'!BP65+'МК ЛифтМаркет'!BP65+'МК Укркотлопром'!BP65+'МК Подгорцы.Забор'!BP65+PL_Металлизация!DD65+'МД Бытовка ИТР Нежин'!BP65+'МК Металургбуд.поддоны'!BP65+'МК Нежин-3'!BP65+'МК РДК.Кран'!BP65+'МК Ворота.Запорожье'!BP65+'МД ВООЗ'!BP65+'МД Казарма.Рекламация'!BP65</f>
        <v>0</v>
      </c>
      <c r="BQ65" s="3341">
        <f>PL_ЦО_Производство!BQ65+'МД ООН'!BQ65+'МК Ладыжин-3'!BQ65+'МК Староконстантинов'!BQ65+'МК Армокаркасы'!BQ65+'МК Щедро. Флекситанки'!BQ65+'МК ЛифтМаркет'!BQ65+'МК Укркотлопром'!BQ65+'МК Подгорцы.Забор'!BQ65+PL_Металлизация!DE65+'МД Бытовка ИТР Нежин'!BQ65+'МК Металургбуд.поддоны'!BQ65+'МК Нежин-3'!BQ65+'МК РДК.Кран'!BQ65+'МК Ворота.Запорожье'!BQ65+'МД ВООЗ'!BQ65+'МД Казарма.Рекламация'!BQ65</f>
        <v>0</v>
      </c>
      <c r="BR65" s="3349">
        <f t="shared" si="184"/>
        <v>0</v>
      </c>
      <c r="BS65" s="4697" t="e">
        <f t="shared" si="185"/>
        <v>#DIV/0!</v>
      </c>
      <c r="BT65" s="4751"/>
      <c r="BU65" s="3341">
        <f>PL_ЦО_Производство!BU65+'МД ООН'!BU65+'МК Ладыжин-3'!BU65+'МК Староконстантинов'!BU65+'МК Армокаркасы'!BU65+'МК Щедро. Флекситанки'!BU65+'МК ЛифтМаркет'!BU65+'МК Укркотлопром'!BU65+'МК Подгорцы.Забор'!BU65+PL_Металлизация!DI65+'МД Бытовка ИТР Нежин'!BU65+'МК Металургбуд.поддоны'!BU65+'МК Нежин-3'!BU65+'МК РДК.Кран'!BU65+'МК Ворота.Запорожье'!BU65+'МД ВООЗ'!BU65+'МД Казарма.Рекламация'!BU65</f>
        <v>0</v>
      </c>
      <c r="BV65" s="3341">
        <f>PL_ЦО_Производство!BV65+'МД ООН'!BV65+'МК Ладыжин-3'!BV65+'МК Староконстантинов'!BV65+'МК Армокаркасы'!BV65+'МК Щедро. Флекситанки'!BV65+'МК ЛифтМаркет'!BV65+'МК Укркотлопром'!BV65+'МК Подгорцы.Забор'!BV65+PL_Металлизация!DJ65+'МД Бытовка ИТР Нежин'!BV65+'МК Металургбуд.поддоны'!BV65+'МК Нежин-3'!BV65+'МК РДК.Кран'!BV65+'МК Ворота.Запорожье'!BV65+'МД ВООЗ'!BV65+'МД Казарма.Рекламация'!BV65</f>
        <v>0</v>
      </c>
      <c r="BW65" s="3349">
        <f t="shared" si="186"/>
        <v>0</v>
      </c>
      <c r="BX65" s="4697" t="e">
        <f t="shared" si="187"/>
        <v>#DIV/0!</v>
      </c>
      <c r="BY65" s="4751"/>
      <c r="BZ65" s="3341">
        <f>PL_ЦО_Производство!BZ65+'МД ООН'!BZ65+'МК Ладыжин-3'!BZ65+'МК Староконстантинов'!BZ65+'МК Армокаркасы'!BZ65+'МК Щедро. Флекситанки'!BZ65+'МК ЛифтМаркет'!BZ65+'МК Укркотлопром'!BZ65+'МК Подгорцы.Забор'!BZ65+PL_Металлизация!DN65+'МД Бытовка ИТР Нежин'!BZ65+'МК Металургбуд.поддоны'!BZ65+'МК Нежин-3'!BZ65+'МК РДК.Кран'!BZ65+'МК Ворота.Запорожье'!BZ65+'МД ВООЗ'!BZ65+'МД Казарма.Рекламация'!BZ65</f>
        <v>0</v>
      </c>
      <c r="CA65" s="3341">
        <f>PL_ЦО_Производство!CA65+'МД ООН'!CA65+'МК Ладыжин-3'!CA65+'МК Староконстантинов'!CA65+'МК Армокаркасы'!CA65+'МК Щедро. Флекситанки'!CA65+'МК ЛифтМаркет'!CA65+'МК Укркотлопром'!CA65+'МК Подгорцы.Забор'!CA65+PL_Металлизация!DO65+'МД Бытовка ИТР Нежин'!CA65+'МК Металургбуд.поддоны'!CA65+'МК Нежин-3'!CA65+'МК РДК.Кран'!CA65+'МК Ворота.Запорожье'!CA65+'МД ВООЗ'!CA65+'МД Казарма.Рекламация'!CA65</f>
        <v>0</v>
      </c>
      <c r="CB65" s="3349">
        <f t="shared" si="188"/>
        <v>0</v>
      </c>
      <c r="CC65" s="4697" t="e">
        <f t="shared" si="189"/>
        <v>#DIV/0!</v>
      </c>
      <c r="CD65" s="4751"/>
      <c r="CE65" s="3341">
        <f>PL_ЦО_Производство!CE65+'МД ООН'!CE65+'МК Ладыжин-3'!CE65+'МК Староконстантинов'!CE65+'МК Армокаркасы'!CE65+'МК Щедро. Флекситанки'!CE65+'МК ЛифтМаркет'!CE65+'МК Укркотлопром'!CE65+'МК Подгорцы.Забор'!CE65+PL_Металлизация!DS65+'МД Бытовка ИТР Нежин'!CE65+'МК Металургбуд.поддоны'!CE65+'МК Нежин-3'!CE65+'МК РДК.Кран'!CE65+'МК Ворота.Запорожье'!CE65+'МД ВООЗ'!CE65+'МД Казарма.Рекламация'!CE65</f>
        <v>0</v>
      </c>
      <c r="CF65" s="3341">
        <f>PL_ЦО_Производство!CF65+'МД ООН'!CF65+'МК Ладыжин-3'!CF65+'МК Староконстантинов'!CF65+'МК Армокаркасы'!CF65+'МК Щедро. Флекситанки'!CF65+'МК ЛифтМаркет'!CF65+'МК Укркотлопром'!CF65+'МК Подгорцы.Забор'!CF65+PL_Металлизация!DT65+'МД Бытовка ИТР Нежин'!CF65+'МК Металургбуд.поддоны'!CF65+'МК Нежин-3'!CF65+'МК РДК.Кран'!CF65+'МК Ворота.Запорожье'!CF65+'МД ВООЗ'!CF65+'МД Казарма.Рекламация'!CF65</f>
        <v>0</v>
      </c>
      <c r="CG65" s="3349">
        <f t="shared" si="190"/>
        <v>0</v>
      </c>
      <c r="CH65" s="4697" t="e">
        <f t="shared" si="191"/>
        <v>#DIV/0!</v>
      </c>
      <c r="CI65" s="4751"/>
      <c r="CJ65" s="3341">
        <f t="shared" si="192"/>
        <v>1818.5</v>
      </c>
      <c r="CK65" s="3341">
        <f t="shared" si="192"/>
        <v>0</v>
      </c>
      <c r="CL65" s="2012">
        <f t="shared" si="193"/>
        <v>1818.5</v>
      </c>
      <c r="CM65" s="4697">
        <f t="shared" si="159"/>
        <v>3.5688389415576819E-5</v>
      </c>
      <c r="CN65" s="4699"/>
    </row>
    <row r="66" spans="1:95" s="1396" customFormat="1" ht="13.8" outlineLevel="2">
      <c r="A66" s="1571"/>
      <c r="B66" s="4728" t="s">
        <v>37</v>
      </c>
      <c r="C66" s="3341"/>
      <c r="D66" s="3341"/>
      <c r="E66" s="3349">
        <f t="shared" si="160"/>
        <v>0</v>
      </c>
      <c r="F66" s="4697" t="e">
        <f t="shared" si="125"/>
        <v>#DIV/0!</v>
      </c>
      <c r="G66" s="4751"/>
      <c r="H66" s="3341"/>
      <c r="I66" s="3341"/>
      <c r="J66" s="3349">
        <f t="shared" si="161"/>
        <v>0</v>
      </c>
      <c r="K66" s="4697" t="e">
        <f t="shared" si="162"/>
        <v>#DIV/0!</v>
      </c>
      <c r="L66" s="4751"/>
      <c r="M66" s="3341"/>
      <c r="N66" s="3341"/>
      <c r="O66" s="3349">
        <f t="shared" si="163"/>
        <v>0</v>
      </c>
      <c r="P66" s="4697" t="e">
        <f t="shared" si="164"/>
        <v>#DIV/0!</v>
      </c>
      <c r="Q66" s="4751"/>
      <c r="R66" s="3427">
        <f>PL_Производство!BF66</f>
        <v>8901.98</v>
      </c>
      <c r="S66" s="3427">
        <f>PL_Производство!BG66</f>
        <v>2450</v>
      </c>
      <c r="T66" s="2012">
        <f t="shared" si="165"/>
        <v>11351.98</v>
      </c>
      <c r="U66" s="3462"/>
      <c r="V66" s="3462"/>
      <c r="W66" s="3342">
        <f t="shared" si="166"/>
        <v>0</v>
      </c>
      <c r="X66" s="3342">
        <f t="shared" si="166"/>
        <v>4000</v>
      </c>
      <c r="Y66" s="2012">
        <f t="shared" si="167"/>
        <v>4000</v>
      </c>
      <c r="Z66" s="3462"/>
      <c r="AA66" s="3462"/>
      <c r="AB66" s="3341">
        <f>PL_ЦО_Производство!AB66+'МД ООН'!AB66+'МК Ладыжин-3'!AB66+'МК Староконстантинов'!AB66+'МК Армокаркасы'!AB66+'МК Щедро. Флекситанки'!AB66+'МК ЛифтМаркет'!AB66+'МК Укркотлопром'!AB66+'МК Подгорцы.Забор'!AB66+PL_Металлизация!BP66+'МД Бытовка ИТР Нежин'!AB66+'МК Металургбуд.поддоны'!AB66</f>
        <v>0</v>
      </c>
      <c r="AC66" s="3341">
        <f>PL_ЦО_Производство!AC66+'МД ООН'!AC66+'МК Ладыжин-3'!AC66+'МК Староконстантинов'!AC66+'МК Армокаркасы'!AC66+'МК Щедро. Флекситанки'!AC66+'МК ЛифтМаркет'!AC66+'МК Укркотлопром'!AC66+'МК Подгорцы.Забор'!AC66+PL_Металлизация!BQ66+'МД Бытовка ИТР Нежин'!AC66+'МК Металургбуд.поддоны'!AC66</f>
        <v>0</v>
      </c>
      <c r="AD66" s="3349">
        <f t="shared" si="168"/>
        <v>0</v>
      </c>
      <c r="AE66" s="4697">
        <f t="shared" si="169"/>
        <v>0</v>
      </c>
      <c r="AF66" s="4751"/>
      <c r="AG66" s="3341">
        <f>PL_ЦО_Производство!AG66+'МД ООН'!AG66+'МК Ладыжин-3'!AG66+'МК Староконстантинов'!AG66+'МК Армокаркасы'!AG66+'МК Щедро. Флекситанки'!AG66+'МК ЛифтМаркет'!AG66+'МК Укркотлопром'!AG66+'МК Подгорцы.Забор'!AG66+PL_Металлизация!BU66+'МД Бытовка ИТР Нежин'!AG66+'МК Металургбуд.поддоны'!AG66</f>
        <v>0</v>
      </c>
      <c r="AH66" s="3341">
        <f>PL_ЦО_Производство!AH66+'МД ООН'!AH66+'МК Ладыжин-3'!AH66+'МК Староконстантинов'!AH66+'МК Армокаркасы'!AH66+'МК Щедро. Флекситанки'!AH66+'МК ЛифтМаркет'!AH66+'МК Укркотлопром'!AH66+'МК Подгорцы.Забор'!AH66+PL_Металлизация!BV66+'МД Бытовка ИТР Нежин'!AH66+'МК Металургбуд.поддоны'!AH66</f>
        <v>0</v>
      </c>
      <c r="AI66" s="3349">
        <f t="shared" si="170"/>
        <v>0</v>
      </c>
      <c r="AJ66" s="4697">
        <f t="shared" si="171"/>
        <v>0</v>
      </c>
      <c r="AK66" s="4751"/>
      <c r="AL66" s="3341">
        <f>PL_ЦО_Производство!AL66+'МД ООН'!AL66+'МК Ладыжин-3'!AL66+'МК Староконстантинов'!AL66+'МК Армокаркасы'!AL66+'МК Щедро. Флекситанки'!AL66+'МК ЛифтМаркет'!AL66+'МК Укркотлопром'!AL66+'МК Подгорцы.Забор'!AL66+PL_Металлизация!BZ66+'МД Бытовка ИТР Нежин'!AL66+'МК Металургбуд.поддоны'!AL66+'МК Нежин-3'!AL66</f>
        <v>0</v>
      </c>
      <c r="AM66" s="3341">
        <f>PL_ЦО_Производство!AM66+'МД ООН'!AM66+'МК Ладыжин-3'!AM66+'МК Староконстантинов'!AM66+'МК Армокаркасы'!AM66+'МК Щедро. Флекситанки'!AM66+'МК ЛифтМаркет'!AM66+'МК Укркотлопром'!AM66+'МК Подгорцы.Забор'!AM66+PL_Металлизация!CA66+'МД Бытовка ИТР Нежин'!AM66+'МК Металургбуд.поддоны'!AM66+'МК Нежин-3'!AM66</f>
        <v>0</v>
      </c>
      <c r="AN66" s="3349">
        <f t="shared" si="172"/>
        <v>0</v>
      </c>
      <c r="AO66" s="4697">
        <f t="shared" si="173"/>
        <v>0</v>
      </c>
      <c r="AP66" s="4751"/>
      <c r="AQ66" s="3341">
        <f>PL_ЦО_Производство!AQ66+'МД ООН'!AQ66+'МК Ладыжин-3'!AQ66+'МК Староконстантинов'!AQ66+'МК Армокаркасы'!AQ66+'МК Щедро. Флекситанки'!AQ66+'МК ЛифтМаркет'!AQ66+'МК Укркотлопром'!AQ66+'МК Подгорцы.Забор'!AQ66+PL_Металлизация!CE66+'МД Бытовка ИТР Нежин'!AQ66+'МК Металургбуд.поддоны'!AQ66+'МК Нежин-3'!AQ66</f>
        <v>0</v>
      </c>
      <c r="AR66" s="3341">
        <f>PL_ЦО_Производство!AR66+'МД ООН'!AR66+'МК Ладыжин-3'!AR66+'МК Староконстантинов'!AR66+'МК Армокаркасы'!AR66+'МК Щедро. Флекситанки'!AR66+'МК ЛифтМаркет'!AR66+'МК Укркотлопром'!AR66+'МК Подгорцы.Забор'!AR66+PL_Металлизация!CF66+'МД Бытовка ИТР Нежин'!AR66+'МК Металургбуд.поддоны'!AR66+'МК Нежин-3'!AR66</f>
        <v>0</v>
      </c>
      <c r="AS66" s="3349">
        <f t="shared" si="174"/>
        <v>0</v>
      </c>
      <c r="AT66" s="4697">
        <f t="shared" si="175"/>
        <v>0</v>
      </c>
      <c r="AU66" s="4751"/>
      <c r="AV66" s="3341">
        <f>PL_ЦО_Производство!AV66+'МД ООН'!AV66+'МК Армокаркасы'!AV66+'МК Подгорцы.Забор'!AV66+'МК Нежин-3'!AV66+'МК РДК.Кран'!AV66+'МК Ворота.Запорожье'!AV66+'МД ВООЗ'!AV66+'МД Казарма.Рекламация'!AV66</f>
        <v>0</v>
      </c>
      <c r="AW66" s="3341">
        <f>PL_ЦО_Производство!AW66+'МД ООН'!AW66+'МК Армокаркасы'!AW66+'МК Подгорцы.Забор'!AW66+'МК Нежин-3'!AW66+'МК РДК.Кран'!AW66+'МК Ворота.Запорожье'!AW66+'МД ВООЗ'!AW66+'МД Казарма.Рекламация'!AW66</f>
        <v>0</v>
      </c>
      <c r="AX66" s="3349">
        <f t="shared" si="176"/>
        <v>0</v>
      </c>
      <c r="AY66" s="4697">
        <f t="shared" si="177"/>
        <v>0</v>
      </c>
      <c r="AZ66" s="4751"/>
      <c r="BA66" s="3341">
        <f>PL_ЦО_Производство!BA66+'МД ООН'!BA66+'МК Ладыжин-3'!BA66+'МК Староконстантинов'!BA66+'МК Армокаркасы'!BA66+'МК Щедро. Флекситанки'!BA66+'МК ЛифтМаркет'!BA66+'МК Укркотлопром'!BA66+'МК Подгорцы.Забор'!BA66+PL_Металлизация!CO66+'МД Бытовка ИТР Нежин'!BA66+'МК Металургбуд.поддоны'!BA66+'МК Нежин-3'!BA66+'МК РДК.Кран'!BA66+'МК Ворота.Запорожье'!BA66+'МД ВООЗ'!BA66+'МД Казарма.Рекламация'!BA66</f>
        <v>0</v>
      </c>
      <c r="BB66" s="3341">
        <f>PL_ЦО_Производство!BB66+'МД ООН'!BB66+'МК Ладыжин-3'!BB66+'МК Староконстантинов'!BB66+'МК Армокаркасы'!BB66+'МК Щедро. Флекситанки'!BB66+'МК ЛифтМаркет'!BB66+'МК Укркотлопром'!BB66+'МК Подгорцы.Забор'!BB66+PL_Металлизация!CP66+'МД Бытовка ИТР Нежин'!BB66+'МК Металургбуд.поддоны'!BB66+'МК Нежин-3'!BB66+'МК РДК.Кран'!BB66+'МК Ворота.Запорожье'!BB66+'МД ВООЗ'!BB66+'МД Казарма.Рекламация'!BB66</f>
        <v>4000</v>
      </c>
      <c r="BC66" s="3349">
        <f t="shared" si="178"/>
        <v>4000</v>
      </c>
      <c r="BD66" s="4697">
        <f t="shared" si="179"/>
        <v>3.0345931007351458E-3</v>
      </c>
      <c r="BE66" s="4751"/>
      <c r="BF66" s="3341">
        <f>PL_ЦО_Производство!BF66+'МД ООН'!BF66+'МК Ладыжин-3'!BF66+'МК Староконстантинов'!BF66+'МК Армокаркасы'!BF66+'МК Щедро. Флекситанки'!BF66+'МК ЛифтМаркет'!BF66+'МК Укркотлопром'!BF66+'МК Подгорцы.Забор'!BF66+PL_Металлизация!CT66+'МД Бытовка ИТР Нежин'!BF66+'МК Металургбуд.поддоны'!BF66+'МК Нежин-3'!BF66+'МК РДК.Кран'!BF66+'МК Ворота.Запорожье'!BF66+'МД ВООЗ'!BF66+'МД Казарма.Рекламация'!BF66</f>
        <v>0</v>
      </c>
      <c r="BG66" s="3341">
        <f>PL_ЦО_Производство!BG66+'МД ООН'!BG66+'МК Ладыжин-3'!BG66+'МК Староконстантинов'!BG66+'МК Армокаркасы'!BG66+'МК Щедро. Флекситанки'!BG66+'МК ЛифтМаркет'!BG66+'МК Укркотлопром'!BG66+'МК Подгорцы.Забор'!BG66+PL_Металлизация!CU66+'МД Бытовка ИТР Нежин'!BG66+'МК Металургбуд.поддоны'!BG66+'МК Нежин-3'!BG66+'МК РДК.Кран'!BG66+'МК Ворота.Запорожье'!BG66+'МД ВООЗ'!BG66+'МД Казарма.Рекламация'!BG66</f>
        <v>0</v>
      </c>
      <c r="BH66" s="3349">
        <f t="shared" si="180"/>
        <v>0</v>
      </c>
      <c r="BI66" s="4697" t="e">
        <f t="shared" si="181"/>
        <v>#DIV/0!</v>
      </c>
      <c r="BJ66" s="4751"/>
      <c r="BK66" s="3341">
        <f>PL_ЦО_Производство!BK66+'МД ООН'!BK66+'МК Ладыжин-3'!BK66+'МК Староконстантинов'!BK66+'МК Армокаркасы'!BK66+'МК Щедро. Флекситанки'!BK66+'МК ЛифтМаркет'!BK66+'МК Укркотлопром'!BK66+'МК Подгорцы.Забор'!BK66+PL_Металлизация!CY66+'МД Бытовка ИТР Нежин'!BK66+'МК Металургбуд.поддоны'!BK66+'МК Нежин-3'!BK66+'МК РДК.Кран'!BK66+'МК Ворота.Запорожье'!BK66+'МД ВООЗ'!BK66+'МД Казарма.Рекламация'!BK66</f>
        <v>0</v>
      </c>
      <c r="BL66" s="3341">
        <f>PL_ЦО_Производство!BL66+'МД ООН'!BL66+'МК Ладыжин-3'!BL66+'МК Староконстантинов'!BL66+'МК Армокаркасы'!BL66+'МК Щедро. Флекситанки'!BL66+'МК ЛифтМаркет'!BL66+'МК Укркотлопром'!BL66+'МК Подгорцы.Забор'!BL66+PL_Металлизация!CZ66+'МД Бытовка ИТР Нежин'!BL66+'МК Металургбуд.поддоны'!BL66+'МК Нежин-3'!BL66+'МК РДК.Кран'!BL66+'МК Ворота.Запорожье'!BL66+'МД ВООЗ'!BL66+'МД Казарма.Рекламация'!BL66</f>
        <v>0</v>
      </c>
      <c r="BM66" s="3349">
        <f t="shared" si="182"/>
        <v>0</v>
      </c>
      <c r="BN66" s="4697" t="e">
        <f t="shared" si="183"/>
        <v>#DIV/0!</v>
      </c>
      <c r="BO66" s="4751"/>
      <c r="BP66" s="3341">
        <f>PL_ЦО_Производство!BP66+'МД ООН'!BP66+'МК Ладыжин-3'!BP66+'МК Староконстантинов'!BP66+'МК Армокаркасы'!BP66+'МК Щедро. Флекситанки'!BP66+'МК ЛифтМаркет'!BP66+'МК Укркотлопром'!BP66+'МК Подгорцы.Забор'!BP66+PL_Металлизация!DD66+'МД Бытовка ИТР Нежин'!BP66+'МК Металургбуд.поддоны'!BP66+'МК Нежин-3'!BP66+'МК РДК.Кран'!BP66+'МК Ворота.Запорожье'!BP66+'МД ВООЗ'!BP66+'МД Казарма.Рекламация'!BP66</f>
        <v>0</v>
      </c>
      <c r="BQ66" s="3341">
        <f>PL_ЦО_Производство!BQ66+'МД ООН'!BQ66+'МК Ладыжин-3'!BQ66+'МК Староконстантинов'!BQ66+'МК Армокаркасы'!BQ66+'МК Щедро. Флекситанки'!BQ66+'МК ЛифтМаркет'!BQ66+'МК Укркотлопром'!BQ66+'МК Подгорцы.Забор'!BQ66+PL_Металлизация!DE66+'МД Бытовка ИТР Нежин'!BQ66+'МК Металургбуд.поддоны'!BQ66+'МК Нежин-3'!BQ66+'МК РДК.Кран'!BQ66+'МК Ворота.Запорожье'!BQ66+'МД ВООЗ'!BQ66+'МД Казарма.Рекламация'!BQ66</f>
        <v>0</v>
      </c>
      <c r="BR66" s="3349">
        <f t="shared" si="184"/>
        <v>0</v>
      </c>
      <c r="BS66" s="4697" t="e">
        <f t="shared" si="185"/>
        <v>#DIV/0!</v>
      </c>
      <c r="BT66" s="4751"/>
      <c r="BU66" s="3341">
        <f>PL_ЦО_Производство!BU66+'МД ООН'!BU66+'МК Ладыжин-3'!BU66+'МК Староконстантинов'!BU66+'МК Армокаркасы'!BU66+'МК Щедро. Флекситанки'!BU66+'МК ЛифтМаркет'!BU66+'МК Укркотлопром'!BU66+'МК Подгорцы.Забор'!BU66+PL_Металлизация!DI66+'МД Бытовка ИТР Нежин'!BU66+'МК Металургбуд.поддоны'!BU66+'МК Нежин-3'!BU66+'МК РДК.Кран'!BU66+'МК Ворота.Запорожье'!BU66+'МД ВООЗ'!BU66+'МД Казарма.Рекламация'!BU66</f>
        <v>0</v>
      </c>
      <c r="BV66" s="3341">
        <f>PL_ЦО_Производство!BV66+'МД ООН'!BV66+'МК Ладыжин-3'!BV66+'МК Староконстантинов'!BV66+'МК Армокаркасы'!BV66+'МК Щедро. Флекситанки'!BV66+'МК ЛифтМаркет'!BV66+'МК Укркотлопром'!BV66+'МК Подгорцы.Забор'!BV66+PL_Металлизация!DJ66+'МД Бытовка ИТР Нежин'!BV66+'МК Металургбуд.поддоны'!BV66+'МК Нежин-3'!BV66+'МК РДК.Кран'!BV66+'МК Ворота.Запорожье'!BV66+'МД ВООЗ'!BV66+'МД Казарма.Рекламация'!BV66</f>
        <v>0</v>
      </c>
      <c r="BW66" s="3349">
        <f t="shared" si="186"/>
        <v>0</v>
      </c>
      <c r="BX66" s="4697" t="e">
        <f t="shared" si="187"/>
        <v>#DIV/0!</v>
      </c>
      <c r="BY66" s="4751"/>
      <c r="BZ66" s="3341">
        <f>PL_ЦО_Производство!BZ66+'МД ООН'!BZ66+'МК Ладыжин-3'!BZ66+'МК Староконстантинов'!BZ66+'МК Армокаркасы'!BZ66+'МК Щедро. Флекситанки'!BZ66+'МК ЛифтМаркет'!BZ66+'МК Укркотлопром'!BZ66+'МК Подгорцы.Забор'!BZ66+PL_Металлизация!DN66+'МД Бытовка ИТР Нежин'!BZ66+'МК Металургбуд.поддоны'!BZ66+'МК Нежин-3'!BZ66+'МК РДК.Кран'!BZ66+'МК Ворота.Запорожье'!BZ66+'МД ВООЗ'!BZ66+'МД Казарма.Рекламация'!BZ66</f>
        <v>0</v>
      </c>
      <c r="CA66" s="3341">
        <f>PL_ЦО_Производство!CA66+'МД ООН'!CA66+'МК Ладыжин-3'!CA66+'МК Староконстантинов'!CA66+'МК Армокаркасы'!CA66+'МК Щедро. Флекситанки'!CA66+'МК ЛифтМаркет'!CA66+'МК Укркотлопром'!CA66+'МК Подгорцы.Забор'!CA66+PL_Металлизация!DO66+'МД Бытовка ИТР Нежин'!CA66+'МК Металургбуд.поддоны'!CA66+'МК Нежин-3'!CA66+'МК РДК.Кран'!CA66+'МК Ворота.Запорожье'!CA66+'МД ВООЗ'!CA66+'МД Казарма.Рекламация'!CA66</f>
        <v>0</v>
      </c>
      <c r="CB66" s="3349">
        <f t="shared" si="188"/>
        <v>0</v>
      </c>
      <c r="CC66" s="4697" t="e">
        <f t="shared" si="189"/>
        <v>#DIV/0!</v>
      </c>
      <c r="CD66" s="4751"/>
      <c r="CE66" s="3341">
        <f>PL_ЦО_Производство!CE66+'МД ООН'!CE66+'МК Ладыжин-3'!CE66+'МК Староконстантинов'!CE66+'МК Армокаркасы'!CE66+'МК Щедро. Флекситанки'!CE66+'МК ЛифтМаркет'!CE66+'МК Укркотлопром'!CE66+'МК Подгорцы.Забор'!CE66+PL_Металлизация!DS66+'МД Бытовка ИТР Нежин'!CE66+'МК Металургбуд.поддоны'!CE66+'МК Нежин-3'!CE66+'МК РДК.Кран'!CE66+'МК Ворота.Запорожье'!CE66+'МД ВООЗ'!CE66+'МД Казарма.Рекламация'!CE66</f>
        <v>0</v>
      </c>
      <c r="CF66" s="3341">
        <f>PL_ЦО_Производство!CF66+'МД ООН'!CF66+'МК Ладыжин-3'!CF66+'МК Староконстантинов'!CF66+'МК Армокаркасы'!CF66+'МК Щедро. Флекситанки'!CF66+'МК ЛифтМаркет'!CF66+'МК Укркотлопром'!CF66+'МК Подгорцы.Забор'!CF66+PL_Металлизация!DT66+'МД Бытовка ИТР Нежин'!CF66+'МК Металургбуд.поддоны'!CF66+'МК Нежин-3'!CF66+'МК РДК.Кран'!CF66+'МК Ворота.Запорожье'!CF66+'МД ВООЗ'!CF66+'МД Казарма.Рекламация'!CF66</f>
        <v>0</v>
      </c>
      <c r="CG66" s="3349">
        <f t="shared" si="190"/>
        <v>0</v>
      </c>
      <c r="CH66" s="4697" t="e">
        <f t="shared" si="191"/>
        <v>#DIV/0!</v>
      </c>
      <c r="CI66" s="4751"/>
      <c r="CJ66" s="3341">
        <f t="shared" si="192"/>
        <v>8901.98</v>
      </c>
      <c r="CK66" s="3341">
        <f t="shared" si="192"/>
        <v>6450</v>
      </c>
      <c r="CL66" s="2012">
        <f t="shared" si="193"/>
        <v>15351.98</v>
      </c>
      <c r="CM66" s="4697">
        <f t="shared" si="159"/>
        <v>3.0128536735779326E-4</v>
      </c>
      <c r="CN66" s="4699"/>
    </row>
    <row r="67" spans="1:95" s="1396" customFormat="1" ht="13.8" outlineLevel="2">
      <c r="A67" s="1571"/>
      <c r="B67" s="4728" t="s">
        <v>3</v>
      </c>
      <c r="C67" s="3341"/>
      <c r="D67" s="3341"/>
      <c r="E67" s="3349">
        <f t="shared" si="160"/>
        <v>0</v>
      </c>
      <c r="F67" s="4697" t="e">
        <f t="shared" si="125"/>
        <v>#DIV/0!</v>
      </c>
      <c r="G67" s="4751"/>
      <c r="H67" s="3341"/>
      <c r="I67" s="3341"/>
      <c r="J67" s="3349">
        <f t="shared" si="161"/>
        <v>0</v>
      </c>
      <c r="K67" s="4697" t="e">
        <f t="shared" si="162"/>
        <v>#DIV/0!</v>
      </c>
      <c r="L67" s="4751"/>
      <c r="M67" s="3341"/>
      <c r="N67" s="3341"/>
      <c r="O67" s="3349">
        <f t="shared" si="163"/>
        <v>0</v>
      </c>
      <c r="P67" s="4697" t="e">
        <f t="shared" si="164"/>
        <v>#DIV/0!</v>
      </c>
      <c r="Q67" s="4751"/>
      <c r="R67" s="3427">
        <f>PL_Производство!BF67</f>
        <v>93149.04</v>
      </c>
      <c r="S67" s="3427">
        <f>PL_Производство!BG67</f>
        <v>0</v>
      </c>
      <c r="T67" s="2012">
        <f t="shared" si="165"/>
        <v>93149.04</v>
      </c>
      <c r="U67" s="3462"/>
      <c r="V67" s="3462"/>
      <c r="W67" s="3342">
        <f t="shared" si="166"/>
        <v>0</v>
      </c>
      <c r="X67" s="3342">
        <f t="shared" si="166"/>
        <v>0</v>
      </c>
      <c r="Y67" s="2012">
        <f t="shared" si="167"/>
        <v>0</v>
      </c>
      <c r="Z67" s="3462"/>
      <c r="AA67" s="3462"/>
      <c r="AB67" s="3341">
        <f>PL_ЦО_Производство!AB67+'МД ООН'!AB67+'МК Ладыжин-3'!AB67+'МК Староконстантинов'!AB67+'МК Армокаркасы'!AB67+'МК Щедро. Флекситанки'!AB67+'МК ЛифтМаркет'!AB67+'МК Укркотлопром'!AB67+'МК Подгорцы.Забор'!AB67+PL_Металлизация!BP67+'МД Бытовка ИТР Нежин'!AB67+'МК Металургбуд.поддоны'!AB67</f>
        <v>0</v>
      </c>
      <c r="AC67" s="3341">
        <f>PL_ЦО_Производство!AC67+'МД ООН'!AC67+'МК Ладыжин-3'!AC67+'МК Староконстантинов'!AC67+'МК Армокаркасы'!AC67+'МК Щедро. Флекситанки'!AC67+'МК ЛифтМаркет'!AC67+'МК Укркотлопром'!AC67+'МК Подгорцы.Забор'!AC67+PL_Металлизация!BQ67+'МД Бытовка ИТР Нежин'!AC67+'МК Металургбуд.поддоны'!AC67</f>
        <v>0</v>
      </c>
      <c r="AD67" s="3349">
        <f t="shared" si="168"/>
        <v>0</v>
      </c>
      <c r="AE67" s="4697">
        <f t="shared" si="169"/>
        <v>0</v>
      </c>
      <c r="AF67" s="4751"/>
      <c r="AG67" s="3341">
        <f>PL_ЦО_Производство!AG67+'МД ООН'!AG67+'МК Ладыжин-3'!AG67+'МК Староконстантинов'!AG67+'МК Армокаркасы'!AG67+'МК Щедро. Флекситанки'!AG67+'МК ЛифтМаркет'!AG67+'МК Укркотлопром'!AG67+'МК Подгорцы.Забор'!AG67+PL_Металлизация!BU67+'МД Бытовка ИТР Нежин'!AG67+'МК Металургбуд.поддоны'!AG67</f>
        <v>0</v>
      </c>
      <c r="AH67" s="3341">
        <f>PL_ЦО_Производство!AH67+'МД ООН'!AH67+'МК Ладыжин-3'!AH67+'МК Староконстантинов'!AH67+'МК Армокаркасы'!AH67+'МК Щедро. Флекситанки'!AH67+'МК ЛифтМаркет'!AH67+'МК Укркотлопром'!AH67+'МК Подгорцы.Забор'!AH67+PL_Металлизация!BV67+'МД Бытовка ИТР Нежин'!AH67+'МК Металургбуд.поддоны'!AH67</f>
        <v>0</v>
      </c>
      <c r="AI67" s="3349">
        <f t="shared" si="170"/>
        <v>0</v>
      </c>
      <c r="AJ67" s="4697">
        <f t="shared" si="171"/>
        <v>0</v>
      </c>
      <c r="AK67" s="4751"/>
      <c r="AL67" s="3341">
        <f>PL_ЦО_Производство!AL67+'МД ООН'!AL67+'МК Ладыжин-3'!AL67+'МК Староконстантинов'!AL67+'МК Армокаркасы'!AL67+'МК Щедро. Флекситанки'!AL67+'МК ЛифтМаркет'!AL67+'МК Укркотлопром'!AL67+'МК Подгорцы.Забор'!AL67+PL_Металлизация!BZ67+'МД Бытовка ИТР Нежин'!AL67+'МК Металургбуд.поддоны'!AL67+'МК Нежин-3'!AL67</f>
        <v>0</v>
      </c>
      <c r="AM67" s="3341">
        <f>PL_ЦО_Производство!AM67+'МД ООН'!AM67+'МК Ладыжин-3'!AM67+'МК Староконстантинов'!AM67+'МК Армокаркасы'!AM67+'МК Щедро. Флекситанки'!AM67+'МК ЛифтМаркет'!AM67+'МК Укркотлопром'!AM67+'МК Подгорцы.Забор'!AM67+PL_Металлизация!CA67+'МД Бытовка ИТР Нежин'!AM67+'МК Металургбуд.поддоны'!AM67+'МК Нежин-3'!AM67</f>
        <v>0</v>
      </c>
      <c r="AN67" s="3349">
        <f t="shared" si="172"/>
        <v>0</v>
      </c>
      <c r="AO67" s="4697">
        <f t="shared" si="173"/>
        <v>0</v>
      </c>
      <c r="AP67" s="4751"/>
      <c r="AQ67" s="3341">
        <f>PL_ЦО_Производство!AQ67+'МД ООН'!AQ67+'МК Ладыжин-3'!AQ67+'МК Староконстантинов'!AQ67+'МК Армокаркасы'!AQ67+'МК Щедро. Флекситанки'!AQ67+'МК ЛифтМаркет'!AQ67+'МК Укркотлопром'!AQ67+'МК Подгорцы.Забор'!AQ67+PL_Металлизация!CE67+'МД Бытовка ИТР Нежин'!AQ67+'МК Металургбуд.поддоны'!AQ67+'МК Нежин-3'!AQ67</f>
        <v>0</v>
      </c>
      <c r="AR67" s="3341">
        <f>PL_ЦО_Производство!AR67+'МД ООН'!AR67+'МК Ладыжин-3'!AR67+'МК Староконстантинов'!AR67+'МК Армокаркасы'!AR67+'МК Щедро. Флекситанки'!AR67+'МК ЛифтМаркет'!AR67+'МК Укркотлопром'!AR67+'МК Подгорцы.Забор'!AR67+PL_Металлизация!CF67+'МД Бытовка ИТР Нежин'!AR67+'МК Металургбуд.поддоны'!AR67+'МК Нежин-3'!AR67</f>
        <v>0</v>
      </c>
      <c r="AS67" s="3349">
        <f t="shared" si="174"/>
        <v>0</v>
      </c>
      <c r="AT67" s="4697">
        <f t="shared" si="175"/>
        <v>0</v>
      </c>
      <c r="AU67" s="4751"/>
      <c r="AV67" s="3341">
        <f>PL_ЦО_Производство!AV67+'МД ООН'!AV67+'МК Армокаркасы'!AV67+'МК Подгорцы.Забор'!AV67+'МК Нежин-3'!AV67+'МК РДК.Кран'!AV67+'МК Ворота.Запорожье'!AV67+'МД ВООЗ'!AV67+'МД Казарма.Рекламация'!AV67</f>
        <v>0</v>
      </c>
      <c r="AW67" s="3341">
        <f>PL_ЦО_Производство!AW67+'МД ООН'!AW67+'МК Армокаркасы'!AW67+'МК Подгорцы.Забор'!AW67+'МК Нежин-3'!AW67+'МК РДК.Кран'!AW67+'МК Ворота.Запорожье'!AW67+'МД ВООЗ'!AW67+'МД Казарма.Рекламация'!AW67</f>
        <v>0</v>
      </c>
      <c r="AX67" s="3349">
        <f t="shared" si="176"/>
        <v>0</v>
      </c>
      <c r="AY67" s="4697">
        <f t="shared" si="177"/>
        <v>0</v>
      </c>
      <c r="AZ67" s="4751"/>
      <c r="BA67" s="3341">
        <f>PL_ЦО_Производство!BA67+'МД ООН'!BA67+'МК Ладыжин-3'!BA67+'МК Староконстантинов'!BA67+'МК Армокаркасы'!BA67+'МК Щедро. Флекситанки'!BA67+'МК ЛифтМаркет'!BA67+'МК Укркотлопром'!BA67+'МК Подгорцы.Забор'!BA67+PL_Металлизация!CO67+'МД Бытовка ИТР Нежин'!BA67+'МК Металургбуд.поддоны'!BA67+'МК Нежин-3'!BA67+'МК РДК.Кран'!BA67+'МК Ворота.Запорожье'!BA67+'МД ВООЗ'!BA67+'МД Казарма.Рекламация'!BA67</f>
        <v>0</v>
      </c>
      <c r="BB67" s="3341">
        <f>PL_ЦО_Производство!BB67+'МД ООН'!BB67+'МК Ладыжин-3'!BB67+'МК Староконстантинов'!BB67+'МК Армокаркасы'!BB67+'МК Щедро. Флекситанки'!BB67+'МК ЛифтМаркет'!BB67+'МК Укркотлопром'!BB67+'МК Подгорцы.Забор'!BB67+PL_Металлизация!CP67+'МД Бытовка ИТР Нежин'!BB67+'МК Металургбуд.поддоны'!BB67+'МК Нежин-3'!BB67+'МК РДК.Кран'!BB67+'МК Ворота.Запорожье'!BB67+'МД ВООЗ'!BB67+'МД Казарма.Рекламация'!BB67</f>
        <v>0</v>
      </c>
      <c r="BC67" s="3349">
        <f t="shared" si="178"/>
        <v>0</v>
      </c>
      <c r="BD67" s="4697">
        <f t="shared" si="179"/>
        <v>0</v>
      </c>
      <c r="BE67" s="4751"/>
      <c r="BF67" s="3341">
        <f>PL_ЦО_Производство!BF67+'МД ООН'!BF67+'МК Ладыжин-3'!BF67+'МК Староконстантинов'!BF67+'МК Армокаркасы'!BF67+'МК Щедро. Флекситанки'!BF67+'МК ЛифтМаркет'!BF67+'МК Укркотлопром'!BF67+'МК Подгорцы.Забор'!BF67+PL_Металлизация!CT67+'МД Бытовка ИТР Нежин'!BF67+'МК Металургбуд.поддоны'!BF67+'МК Нежин-3'!BF67+'МК РДК.Кран'!BF67+'МК Ворота.Запорожье'!BF67+'МД ВООЗ'!BF67+'МД Казарма.Рекламация'!BF67</f>
        <v>0</v>
      </c>
      <c r="BG67" s="3341">
        <f>PL_ЦО_Производство!BG67+'МД ООН'!BG67+'МК Ладыжин-3'!BG67+'МК Староконстантинов'!BG67+'МК Армокаркасы'!BG67+'МК Щедро. Флекситанки'!BG67+'МК ЛифтМаркет'!BG67+'МК Укркотлопром'!BG67+'МК Подгорцы.Забор'!BG67+PL_Металлизация!CU67+'МД Бытовка ИТР Нежин'!BG67+'МК Металургбуд.поддоны'!BG67+'МК Нежин-3'!BG67+'МК РДК.Кран'!BG67+'МК Ворота.Запорожье'!BG67+'МД ВООЗ'!BG67+'МД Казарма.Рекламация'!BG67</f>
        <v>0</v>
      </c>
      <c r="BH67" s="3349">
        <f t="shared" si="180"/>
        <v>0</v>
      </c>
      <c r="BI67" s="4697" t="e">
        <f t="shared" si="181"/>
        <v>#DIV/0!</v>
      </c>
      <c r="BJ67" s="4751"/>
      <c r="BK67" s="3341">
        <f>PL_ЦО_Производство!BK67+'МД ООН'!BK67+'МК Ладыжин-3'!BK67+'МК Староконстантинов'!BK67+'МК Армокаркасы'!BK67+'МК Щедро. Флекситанки'!BK67+'МК ЛифтМаркет'!BK67+'МК Укркотлопром'!BK67+'МК Подгорцы.Забор'!BK67+PL_Металлизация!CY67+'МД Бытовка ИТР Нежин'!BK67+'МК Металургбуд.поддоны'!BK67+'МК Нежин-3'!BK67+'МК РДК.Кран'!BK67+'МК Ворота.Запорожье'!BK67+'МД ВООЗ'!BK67+'МД Казарма.Рекламация'!BK67</f>
        <v>0</v>
      </c>
      <c r="BL67" s="3341">
        <f>PL_ЦО_Производство!BL67+'МД ООН'!BL67+'МК Ладыжин-3'!BL67+'МК Староконстантинов'!BL67+'МК Армокаркасы'!BL67+'МК Щедро. Флекситанки'!BL67+'МК ЛифтМаркет'!BL67+'МК Укркотлопром'!BL67+'МК Подгорцы.Забор'!BL67+PL_Металлизация!CZ67+'МД Бытовка ИТР Нежин'!BL67+'МК Металургбуд.поддоны'!BL67+'МК Нежин-3'!BL67+'МК РДК.Кран'!BL67+'МК Ворота.Запорожье'!BL67+'МД ВООЗ'!BL67+'МД Казарма.Рекламация'!BL67</f>
        <v>0</v>
      </c>
      <c r="BM67" s="3349">
        <f t="shared" si="182"/>
        <v>0</v>
      </c>
      <c r="BN67" s="4697" t="e">
        <f t="shared" si="183"/>
        <v>#DIV/0!</v>
      </c>
      <c r="BO67" s="4751"/>
      <c r="BP67" s="3341">
        <f>PL_ЦО_Производство!BP67+'МД ООН'!BP67+'МК Ладыжин-3'!BP67+'МК Староконстантинов'!BP67+'МК Армокаркасы'!BP67+'МК Щедро. Флекситанки'!BP67+'МК ЛифтМаркет'!BP67+'МК Укркотлопром'!BP67+'МК Подгорцы.Забор'!BP67+PL_Металлизация!DD67+'МД Бытовка ИТР Нежин'!BP67+'МК Металургбуд.поддоны'!BP67+'МК Нежин-3'!BP67+'МК РДК.Кран'!BP67+'МК Ворота.Запорожье'!BP67+'МД ВООЗ'!BP67+'МД Казарма.Рекламация'!BP67</f>
        <v>0</v>
      </c>
      <c r="BQ67" s="3341">
        <f>PL_ЦО_Производство!BQ67+'МД ООН'!BQ67+'МК Ладыжин-3'!BQ67+'МК Староконстантинов'!BQ67+'МК Армокаркасы'!BQ67+'МК Щедро. Флекситанки'!BQ67+'МК ЛифтМаркет'!BQ67+'МК Укркотлопром'!BQ67+'МК Подгорцы.Забор'!BQ67+PL_Металлизация!DE67+'МД Бытовка ИТР Нежин'!BQ67+'МК Металургбуд.поддоны'!BQ67+'МК Нежин-3'!BQ67+'МК РДК.Кран'!BQ67+'МК Ворота.Запорожье'!BQ67+'МД ВООЗ'!BQ67+'МД Казарма.Рекламация'!BQ67</f>
        <v>0</v>
      </c>
      <c r="BR67" s="3349">
        <f t="shared" si="184"/>
        <v>0</v>
      </c>
      <c r="BS67" s="4697" t="e">
        <f t="shared" si="185"/>
        <v>#DIV/0!</v>
      </c>
      <c r="BT67" s="4751"/>
      <c r="BU67" s="3341">
        <f>PL_ЦО_Производство!BU67+'МД ООН'!BU67+'МК Ладыжин-3'!BU67+'МК Староконстантинов'!BU67+'МК Армокаркасы'!BU67+'МК Щедро. Флекситанки'!BU67+'МК ЛифтМаркет'!BU67+'МК Укркотлопром'!BU67+'МК Подгорцы.Забор'!BU67+PL_Металлизация!DI67+'МД Бытовка ИТР Нежин'!BU67+'МК Металургбуд.поддоны'!BU67+'МК Нежин-3'!BU67+'МК РДК.Кран'!BU67+'МК Ворота.Запорожье'!BU67+'МД ВООЗ'!BU67+'МД Казарма.Рекламация'!BU67</f>
        <v>0</v>
      </c>
      <c r="BV67" s="3341">
        <f>PL_ЦО_Производство!BV67+'МД ООН'!BV67+'МК Ладыжин-3'!BV67+'МК Староконстантинов'!BV67+'МК Армокаркасы'!BV67+'МК Щедро. Флекситанки'!BV67+'МК ЛифтМаркет'!BV67+'МК Укркотлопром'!BV67+'МК Подгорцы.Забор'!BV67+PL_Металлизация!DJ67+'МД Бытовка ИТР Нежин'!BV67+'МК Металургбуд.поддоны'!BV67+'МК Нежин-3'!BV67+'МК РДК.Кран'!BV67+'МК Ворота.Запорожье'!BV67+'МД ВООЗ'!BV67+'МД Казарма.Рекламация'!BV67</f>
        <v>0</v>
      </c>
      <c r="BW67" s="3349">
        <f t="shared" si="186"/>
        <v>0</v>
      </c>
      <c r="BX67" s="4697" t="e">
        <f t="shared" si="187"/>
        <v>#DIV/0!</v>
      </c>
      <c r="BY67" s="4751"/>
      <c r="BZ67" s="3341">
        <f>PL_ЦО_Производство!BZ67+'МД ООН'!BZ67+'МК Ладыжин-3'!BZ67+'МК Староконстантинов'!BZ67+'МК Армокаркасы'!BZ67+'МК Щедро. Флекситанки'!BZ67+'МК ЛифтМаркет'!BZ67+'МК Укркотлопром'!BZ67+'МК Подгорцы.Забор'!BZ67+PL_Металлизация!DN67+'МД Бытовка ИТР Нежин'!BZ67+'МК Металургбуд.поддоны'!BZ67+'МК Нежин-3'!BZ67+'МК РДК.Кран'!BZ67+'МК Ворота.Запорожье'!BZ67+'МД ВООЗ'!BZ67+'МД Казарма.Рекламация'!BZ67</f>
        <v>0</v>
      </c>
      <c r="CA67" s="3341">
        <f>PL_ЦО_Производство!CA67+'МД ООН'!CA67+'МК Ладыжин-3'!CA67+'МК Староконстантинов'!CA67+'МК Армокаркасы'!CA67+'МК Щедро. Флекситанки'!CA67+'МК ЛифтМаркет'!CA67+'МК Укркотлопром'!CA67+'МК Подгорцы.Забор'!CA67+PL_Металлизация!DO67+'МД Бытовка ИТР Нежин'!CA67+'МК Металургбуд.поддоны'!CA67+'МК Нежин-3'!CA67+'МК РДК.Кран'!CA67+'МК Ворота.Запорожье'!CA67+'МД ВООЗ'!CA67+'МД Казарма.Рекламация'!CA67</f>
        <v>0</v>
      </c>
      <c r="CB67" s="3349">
        <f t="shared" si="188"/>
        <v>0</v>
      </c>
      <c r="CC67" s="4697" t="e">
        <f t="shared" si="189"/>
        <v>#DIV/0!</v>
      </c>
      <c r="CD67" s="4751"/>
      <c r="CE67" s="3341">
        <f>PL_ЦО_Производство!CE67+'МД ООН'!CE67+'МК Ладыжин-3'!CE67+'МК Староконстантинов'!CE67+'МК Армокаркасы'!CE67+'МК Щедро. Флекситанки'!CE67+'МК ЛифтМаркет'!CE67+'МК Укркотлопром'!CE67+'МК Подгорцы.Забор'!CE67+PL_Металлизация!DS67+'МД Бытовка ИТР Нежин'!CE67+'МК Металургбуд.поддоны'!CE67+'МК Нежин-3'!CE67+'МК РДК.Кран'!CE67+'МК Ворота.Запорожье'!CE67+'МД ВООЗ'!CE67+'МД Казарма.Рекламация'!CE67</f>
        <v>0</v>
      </c>
      <c r="CF67" s="3341">
        <f>PL_ЦО_Производство!CF67+'МД ООН'!CF67+'МК Ладыжин-3'!CF67+'МК Староконстантинов'!CF67+'МК Армокаркасы'!CF67+'МК Щедро. Флекситанки'!CF67+'МК ЛифтМаркет'!CF67+'МК Укркотлопром'!CF67+'МК Подгорцы.Забор'!CF67+PL_Металлизация!DT67+'МД Бытовка ИТР Нежин'!CF67+'МК Металургбуд.поддоны'!CF67+'МК Нежин-3'!CF67+'МК РДК.Кран'!CF67+'МК Ворота.Запорожье'!CF67+'МД ВООЗ'!CF67+'МД Казарма.Рекламация'!CF67</f>
        <v>0</v>
      </c>
      <c r="CG67" s="3349">
        <f t="shared" si="190"/>
        <v>0</v>
      </c>
      <c r="CH67" s="4697" t="e">
        <f t="shared" si="191"/>
        <v>#DIV/0!</v>
      </c>
      <c r="CI67" s="4751"/>
      <c r="CJ67" s="3341">
        <f t="shared" si="192"/>
        <v>93149.04</v>
      </c>
      <c r="CK67" s="3341">
        <f t="shared" si="192"/>
        <v>0</v>
      </c>
      <c r="CL67" s="2012">
        <f t="shared" si="193"/>
        <v>93149.04</v>
      </c>
      <c r="CM67" s="4697">
        <f t="shared" si="159"/>
        <v>1.8280666555991981E-3</v>
      </c>
      <c r="CN67" s="4699"/>
    </row>
    <row r="68" spans="1:95" s="1396" customFormat="1" ht="13.8" outlineLevel="2">
      <c r="A68" s="1571"/>
      <c r="B68" s="4728" t="s">
        <v>5</v>
      </c>
      <c r="C68" s="3341"/>
      <c r="D68" s="3341"/>
      <c r="E68" s="3349">
        <f t="shared" si="160"/>
        <v>0</v>
      </c>
      <c r="F68" s="4697" t="e">
        <f t="shared" si="125"/>
        <v>#DIV/0!</v>
      </c>
      <c r="G68" s="3341"/>
      <c r="H68" s="3341"/>
      <c r="I68" s="3341"/>
      <c r="J68" s="3349">
        <f t="shared" si="161"/>
        <v>0</v>
      </c>
      <c r="K68" s="4697" t="e">
        <f t="shared" si="162"/>
        <v>#DIV/0!</v>
      </c>
      <c r="L68" s="3341"/>
      <c r="M68" s="3341"/>
      <c r="N68" s="3341"/>
      <c r="O68" s="3349">
        <f t="shared" si="163"/>
        <v>0</v>
      </c>
      <c r="P68" s="4697" t="e">
        <f t="shared" si="164"/>
        <v>#DIV/0!</v>
      </c>
      <c r="Q68" s="3341"/>
      <c r="R68" s="3427">
        <f>PL_Производство!BF68</f>
        <v>24721.980000000003</v>
      </c>
      <c r="S68" s="3427">
        <f>PL_Производство!BG68</f>
        <v>32028.600000000002</v>
      </c>
      <c r="T68" s="2012">
        <f t="shared" si="165"/>
        <v>56750.58</v>
      </c>
      <c r="U68" s="3341"/>
      <c r="V68" s="3341"/>
      <c r="W68" s="3342">
        <f t="shared" si="166"/>
        <v>77544.850000000006</v>
      </c>
      <c r="X68" s="3342">
        <f t="shared" si="166"/>
        <v>2983.3136000000004</v>
      </c>
      <c r="Y68" s="2012">
        <f t="shared" si="167"/>
        <v>80528.1636</v>
      </c>
      <c r="Z68" s="3341"/>
      <c r="AA68" s="3341"/>
      <c r="AB68" s="3341">
        <f>PL_ЦО_Производство!AB68+'МД ООН'!AB68+'МК Ладыжин-3'!AB68+'МК Староконстантинов'!AB68+'МК Армокаркасы'!AB68+'МК Щедро. Флекситанки'!AB68+'МК ЛифтМаркет'!AB68+'МК Укркотлопром'!AB68+'МК Подгорцы.Забор'!AB68+PL_Металлизация!BP68+'МД Бытовка ИТР Нежин'!AB68+'МК Металургбуд.поддоны'!AB68</f>
        <v>1038.0999999999999</v>
      </c>
      <c r="AC68" s="3341">
        <f>PL_ЦО_Производство!AC68+'МД ООН'!AC68+'МК Ладыжин-3'!AC68+'МК Староконстантинов'!AC68+'МК Армокаркасы'!AC68+'МК Щедро. Флекситанки'!AC68+'МК ЛифтМаркет'!AC68+'МК Укркотлопром'!AC68+'МК Подгорцы.Забор'!AC68+PL_Металлизация!BQ68+'МД Бытовка ИТР Нежин'!AC68+'МК Металургбуд.поддоны'!AC68</f>
        <v>1224.4588000000001</v>
      </c>
      <c r="AD68" s="3349">
        <f t="shared" si="168"/>
        <v>2262.5587999999998</v>
      </c>
      <c r="AE68" s="4697">
        <f t="shared" si="169"/>
        <v>1.4421743127431238E-3</v>
      </c>
      <c r="AF68" s="3341"/>
      <c r="AG68" s="3341">
        <f>PL_ЦО_Производство!AG68+'МД ООН'!AG68+'МК Ладыжин-3'!AG68+'МК Староконстантинов'!AG68+'МК Армокаркасы'!AG68+'МК Щедро. Флекситанки'!AG68+'МК ЛифтМаркет'!AG68+'МК Укркотлопром'!AG68+'МК Подгорцы.Забор'!AG68+PL_Металлизация!BU68+'МД Бытовка ИТР Нежин'!AG68+'МК Металургбуд.поддоны'!AG68</f>
        <v>1435</v>
      </c>
      <c r="AH68" s="3341">
        <f>PL_ЦО_Производство!AH68+'МД ООН'!AH68+'МК Ладыжин-3'!AH68+'МК Староконстантинов'!AH68+'МК Армокаркасы'!AH68+'МК Щедро. Флекситанки'!AH68+'МК ЛифтМаркет'!AH68+'МК Укркотлопром'!AH68+'МК Подгорцы.Забор'!AH68+PL_Металлизация!BV68+'МД Бытовка ИТР Нежин'!AH68+'МК Металургбуд.поддоны'!AH68</f>
        <v>1308.8548000000001</v>
      </c>
      <c r="AI68" s="3349">
        <f t="shared" si="170"/>
        <v>2743.8548000000001</v>
      </c>
      <c r="AJ68" s="4697">
        <f t="shared" si="171"/>
        <v>1.710792047368775E-3</v>
      </c>
      <c r="AK68" s="3341"/>
      <c r="AL68" s="3341">
        <f>PL_ЦО_Производство!AL68+'МД ООН'!AL68+'МК Ладыжин-3'!AL68+'МК Староконстантинов'!AL68+'МК Армокаркасы'!AL68+'МК Щедро. Флекситанки'!AL68+'МК ЛифтМаркет'!AL68+'МК Укркотлопром'!AL68+'МК Подгорцы.Забор'!AL68+PL_Металлизация!BZ68+'МД Бытовка ИТР Нежин'!AL68+'МК Металургбуд.поддоны'!AL68+'МК Нежин-3'!AL68</f>
        <v>1478.49</v>
      </c>
      <c r="AM68" s="3341">
        <f>PL_ЦО_Производство!AM68+'МД ООН'!AM68+'МК Ладыжин-3'!AM68+'МК Староконстантинов'!AM68+'МК Армокаркасы'!AM68+'МК Щедро. Флекситанки'!AM68+'МК ЛифтМаркет'!AM68+'МК Укркотлопром'!AM68+'МК Подгорцы.Забор'!AM68+PL_Металлизация!CA68+'МД Бытовка ИТР Нежин'!AM68+'МК Металургбуд.поддоны'!AM68+'МК Нежин-3'!AM68</f>
        <v>275</v>
      </c>
      <c r="AN68" s="3349">
        <f t="shared" si="172"/>
        <v>1753.49</v>
      </c>
      <c r="AO68" s="4697">
        <f t="shared" si="173"/>
        <v>8.4068814261464234E-4</v>
      </c>
      <c r="AP68" s="3341"/>
      <c r="AQ68" s="3341">
        <f>PL_ЦО_Производство!AQ68+'МД ООН'!AQ68+'МК Ладыжин-3'!AQ68+'МК Староконстантинов'!AQ68+'МК Армокаркасы'!AQ68+'МК Щедро. Флекситанки'!AQ68+'МК ЛифтМаркет'!AQ68+'МК Укркотлопром'!AQ68+'МК Подгорцы.Забор'!AQ68+PL_Металлизация!CE68+'МД Бытовка ИТР Нежин'!AQ68+'МК Металургбуд.поддоны'!AQ68+'МК Нежин-3'!AQ68</f>
        <v>15858.98</v>
      </c>
      <c r="AR68" s="3341">
        <f>PL_ЦО_Производство!AR68+'МД ООН'!AR68+'МК Ладыжин-3'!AR68+'МК Староконстантинов'!AR68+'МК Армокаркасы'!AR68+'МК Щедро. Флекситанки'!AR68+'МК ЛифтМаркет'!AR68+'МК Укркотлопром'!AR68+'МК Подгорцы.Забор'!AR68+PL_Металлизация!CF68+'МД Бытовка ИТР Нежин'!AR68+'МК Металургбуд.поддоны'!AR68+'МК Нежин-3'!AR68</f>
        <v>0</v>
      </c>
      <c r="AS68" s="3349">
        <f t="shared" si="174"/>
        <v>15858.98</v>
      </c>
      <c r="AT68" s="4697">
        <f t="shared" si="175"/>
        <v>1.0222229485006507E-2</v>
      </c>
      <c r="AU68" s="3341"/>
      <c r="AV68" s="3341">
        <f>PL_ЦО_Производство!AV68+'МД ООН'!AV68+'МК Армокаркасы'!AV68+'МК Подгорцы.Забор'!AV68+'МК Нежин-3'!AV68+'МК РДК.Кран'!AV68+'МК Ворота.Запорожье'!AV68+'МД ВООЗ'!AV68+'МД Казарма.Рекламация'!AV68</f>
        <v>2060.69</v>
      </c>
      <c r="AW68" s="3341">
        <f>PL_ЦО_Производство!AW68+'МД ООН'!AW68+'МК Армокаркасы'!AW68+'МК Подгорцы.Забор'!AW68+'МК Нежин-3'!AW68+'МК РДК.Кран'!AW68+'МК Ворота.Запорожье'!AW68+'МД ВООЗ'!AW68+'МД Казарма.Рекламация'!AW68</f>
        <v>0</v>
      </c>
      <c r="AX68" s="3349">
        <f t="shared" si="176"/>
        <v>2060.69</v>
      </c>
      <c r="AY68" s="4697">
        <f t="shared" si="177"/>
        <v>1.5406777740368492E-3</v>
      </c>
      <c r="AZ68" s="3341"/>
      <c r="BA68" s="3341">
        <f>PL_ЦО_Производство!BA68+'МД ООН'!BA68+'МК Ладыжин-3'!BA68+'МК Староконстантинов'!BA68+'МК Армокаркасы'!BA68+'МК Щедро. Флекситанки'!BA68+'МК ЛифтМаркет'!BA68+'МК Укркотлопром'!BA68+'МК Подгорцы.Забор'!BA68+PL_Металлизация!CO68+'МД Бытовка ИТР Нежин'!BA68+'МК Металургбуд.поддоны'!BA68+'МК Нежин-3'!BA68+'МК РДК.Кран'!BA68+'МК Ворота.Запорожье'!BA68+'МД ВООЗ'!BA68+'МД Казарма.Рекламация'!BA68</f>
        <v>55673.590000000004</v>
      </c>
      <c r="BB68" s="3341">
        <f>PL_ЦО_Производство!BB68+'МД ООН'!BB68+'МК Ладыжин-3'!BB68+'МК Староконстантинов'!BB68+'МК Армокаркасы'!BB68+'МК Щедро. Флекситанки'!BB68+'МК ЛифтМаркет'!BB68+'МК Укркотлопром'!BB68+'МК Подгорцы.Забор'!BB68+PL_Металлизация!CP68+'МД Бытовка ИТР Нежин'!BB68+'МК Металургбуд.поддоны'!BB68+'МК Нежин-3'!BB68+'МК РДК.Кран'!BB68+'МК Ворота.Запорожье'!BB68+'МД ВООЗ'!BB68+'МД Казарма.Рекламация'!BB68</f>
        <v>175</v>
      </c>
      <c r="BC68" s="3349">
        <f t="shared" si="178"/>
        <v>55848.590000000004</v>
      </c>
      <c r="BD68" s="4697">
        <f t="shared" si="179"/>
        <v>4.2369436474946467E-2</v>
      </c>
      <c r="BE68" s="3341"/>
      <c r="BF68" s="3341">
        <f>PL_ЦО_Производство!BF68+'МД ООН'!BF68+'МК Ладыжин-3'!BF68+'МК Староконстантинов'!BF68+'МК Армокаркасы'!BF68+'МК Щедро. Флекситанки'!BF68+'МК ЛифтМаркет'!BF68+'МК Укркотлопром'!BF68+'МК Подгорцы.Забор'!BF68+PL_Металлизация!CT68+'МД Бытовка ИТР Нежин'!BF68+'МК Металургбуд.поддоны'!BF68+'МК Нежин-3'!BF68+'МК РДК.Кран'!BF68+'МК Ворота.Запорожье'!BF68+'МД ВООЗ'!BF68+'МД Казарма.Рекламация'!BF68</f>
        <v>0</v>
      </c>
      <c r="BG68" s="3341">
        <f>PL_ЦО_Производство!BG68+'МД ООН'!BG68+'МК Ладыжин-3'!BG68+'МК Староконстантинов'!BG68+'МК Армокаркасы'!BG68+'МК Щедро. Флекситанки'!BG68+'МК ЛифтМаркет'!BG68+'МК Укркотлопром'!BG68+'МК Подгорцы.Забор'!BG68+PL_Металлизация!CU68+'МД Бытовка ИТР Нежин'!BG68+'МК Металургбуд.поддоны'!BG68+'МК Нежин-3'!BG68+'МК РДК.Кран'!BG68+'МК Ворота.Запорожье'!BG68+'МД ВООЗ'!BG68+'МД Казарма.Рекламация'!BG68</f>
        <v>0</v>
      </c>
      <c r="BH68" s="3349">
        <f t="shared" si="180"/>
        <v>0</v>
      </c>
      <c r="BI68" s="4697" t="e">
        <f t="shared" si="181"/>
        <v>#DIV/0!</v>
      </c>
      <c r="BJ68" s="3341"/>
      <c r="BK68" s="3341">
        <f>PL_ЦО_Производство!BK68+'МД ООН'!BK68+'МК Ладыжин-3'!BK68+'МК Староконстантинов'!BK68+'МК Армокаркасы'!BK68+'МК Щедро. Флекситанки'!BK68+'МК ЛифтМаркет'!BK68+'МК Укркотлопром'!BK68+'МК Подгорцы.Забор'!BK68+PL_Металлизация!CY68+'МД Бытовка ИТР Нежин'!BK68+'МК Металургбуд.поддоны'!BK68+'МК Нежин-3'!BK68+'МК РДК.Кран'!BK68+'МК Ворота.Запорожье'!BK68+'МД ВООЗ'!BK68+'МД Казарма.Рекламация'!BK68</f>
        <v>0</v>
      </c>
      <c r="BL68" s="3341">
        <f>PL_ЦО_Производство!BL68+'МД ООН'!BL68+'МК Ладыжин-3'!BL68+'МК Староконстантинов'!BL68+'МК Армокаркасы'!BL68+'МК Щедро. Флекситанки'!BL68+'МК ЛифтМаркет'!BL68+'МК Укркотлопром'!BL68+'МК Подгорцы.Забор'!BL68+PL_Металлизация!CZ68+'МД Бытовка ИТР Нежин'!BL68+'МК Металургбуд.поддоны'!BL68+'МК Нежин-3'!BL68+'МК РДК.Кран'!BL68+'МК Ворота.Запорожье'!BL68+'МД ВООЗ'!BL68+'МД Казарма.Рекламация'!BL68</f>
        <v>0</v>
      </c>
      <c r="BM68" s="3349">
        <f t="shared" si="182"/>
        <v>0</v>
      </c>
      <c r="BN68" s="4697" t="e">
        <f t="shared" si="183"/>
        <v>#DIV/0!</v>
      </c>
      <c r="BO68" s="3341"/>
      <c r="BP68" s="3341">
        <f>PL_ЦО_Производство!BP68+'МД ООН'!BP68+'МК Ладыжин-3'!BP68+'МК Староконстантинов'!BP68+'МК Армокаркасы'!BP68+'МК Щедро. Флекситанки'!BP68+'МК ЛифтМаркет'!BP68+'МК Укркотлопром'!BP68+'МК Подгорцы.Забор'!BP68+PL_Металлизация!DD68+'МД Бытовка ИТР Нежин'!BP68+'МК Металургбуд.поддоны'!BP68+'МК Нежин-3'!BP68+'МК РДК.Кран'!BP68+'МК Ворота.Запорожье'!BP68+'МД ВООЗ'!BP68+'МД Казарма.Рекламация'!BP68</f>
        <v>0</v>
      </c>
      <c r="BQ68" s="3341">
        <f>PL_ЦО_Производство!BQ68+'МД ООН'!BQ68+'МК Ладыжин-3'!BQ68+'МК Староконстантинов'!BQ68+'МК Армокаркасы'!BQ68+'МК Щедро. Флекситанки'!BQ68+'МК ЛифтМаркет'!BQ68+'МК Укркотлопром'!BQ68+'МК Подгорцы.Забор'!BQ68+PL_Металлизация!DE68+'МД Бытовка ИТР Нежин'!BQ68+'МК Металургбуд.поддоны'!BQ68+'МК Нежин-3'!BQ68+'МК РДК.Кран'!BQ68+'МК Ворота.Запорожье'!BQ68+'МД ВООЗ'!BQ68+'МД Казарма.Рекламация'!BQ68</f>
        <v>0</v>
      </c>
      <c r="BR68" s="3349">
        <f t="shared" si="184"/>
        <v>0</v>
      </c>
      <c r="BS68" s="4697" t="e">
        <f t="shared" si="185"/>
        <v>#DIV/0!</v>
      </c>
      <c r="BT68" s="3341"/>
      <c r="BU68" s="3341">
        <f>PL_ЦО_Производство!BU68+'МД ООН'!BU68+'МК Ладыжин-3'!BU68+'МК Староконстантинов'!BU68+'МК Армокаркасы'!BU68+'МК Щедро. Флекситанки'!BU68+'МК ЛифтМаркет'!BU68+'МК Укркотлопром'!BU68+'МК Подгорцы.Забор'!BU68+PL_Металлизация!DI68+'МД Бытовка ИТР Нежин'!BU68+'МК Металургбуд.поддоны'!BU68+'МК Нежин-3'!BU68+'МК РДК.Кран'!BU68+'МК Ворота.Запорожье'!BU68+'МД ВООЗ'!BU68+'МД Казарма.Рекламация'!BU68</f>
        <v>0</v>
      </c>
      <c r="BV68" s="3341">
        <f>PL_ЦО_Производство!BV68+'МД ООН'!BV68+'МК Ладыжин-3'!BV68+'МК Староконстантинов'!BV68+'МК Армокаркасы'!BV68+'МК Щедро. Флекситанки'!BV68+'МК ЛифтМаркет'!BV68+'МК Укркотлопром'!BV68+'МК Подгорцы.Забор'!BV68+PL_Металлизация!DJ68+'МД Бытовка ИТР Нежин'!BV68+'МК Металургбуд.поддоны'!BV68+'МК Нежин-3'!BV68+'МК РДК.Кран'!BV68+'МК Ворота.Запорожье'!BV68+'МД ВООЗ'!BV68+'МД Казарма.Рекламация'!BV68</f>
        <v>0</v>
      </c>
      <c r="BW68" s="3349">
        <f t="shared" si="186"/>
        <v>0</v>
      </c>
      <c r="BX68" s="4697" t="e">
        <f t="shared" si="187"/>
        <v>#DIV/0!</v>
      </c>
      <c r="BY68" s="3341"/>
      <c r="BZ68" s="3341">
        <f>PL_ЦО_Производство!BZ68+'МД ООН'!BZ68+'МК Ладыжин-3'!BZ68+'МК Староконстантинов'!BZ68+'МК Армокаркасы'!BZ68+'МК Щедро. Флекситанки'!BZ68+'МК ЛифтМаркет'!BZ68+'МК Укркотлопром'!BZ68+'МК Подгорцы.Забор'!BZ68+PL_Металлизация!DN68+'МД Бытовка ИТР Нежин'!BZ68+'МК Металургбуд.поддоны'!BZ68+'МК Нежин-3'!BZ68+'МК РДК.Кран'!BZ68+'МК Ворота.Запорожье'!BZ68+'МД ВООЗ'!BZ68+'МД Казарма.Рекламация'!BZ68</f>
        <v>0</v>
      </c>
      <c r="CA68" s="3341">
        <f>PL_ЦО_Производство!CA68+'МД ООН'!CA68+'МК Ладыжин-3'!CA68+'МК Староконстантинов'!CA68+'МК Армокаркасы'!CA68+'МК Щедро. Флекситанки'!CA68+'МК ЛифтМаркет'!CA68+'МК Укркотлопром'!CA68+'МК Подгорцы.Забор'!CA68+PL_Металлизация!DO68+'МД Бытовка ИТР Нежин'!CA68+'МК Металургбуд.поддоны'!CA68+'МК Нежин-3'!CA68+'МК РДК.Кран'!CA68+'МК Ворота.Запорожье'!CA68+'МД ВООЗ'!CA68+'МД Казарма.Рекламация'!CA68</f>
        <v>0</v>
      </c>
      <c r="CB68" s="3349">
        <f t="shared" si="188"/>
        <v>0</v>
      </c>
      <c r="CC68" s="4697" t="e">
        <f t="shared" si="189"/>
        <v>#DIV/0!</v>
      </c>
      <c r="CD68" s="3341"/>
      <c r="CE68" s="3341">
        <f>PL_ЦО_Производство!CE68+'МД ООН'!CE68+'МК Ладыжин-3'!CE68+'МК Староконстантинов'!CE68+'МК Армокаркасы'!CE68+'МК Щедро. Флекситанки'!CE68+'МК ЛифтМаркет'!CE68+'МК Укркотлопром'!CE68+'МК Подгорцы.Забор'!CE68+PL_Металлизация!DS68+'МД Бытовка ИТР Нежин'!CE68+'МК Металургбуд.поддоны'!CE68+'МК Нежин-3'!CE68+'МК РДК.Кран'!CE68+'МК Ворота.Запорожье'!CE68+'МД ВООЗ'!CE68+'МД Казарма.Рекламация'!CE68</f>
        <v>0</v>
      </c>
      <c r="CF68" s="3341">
        <f>PL_ЦО_Производство!CF68+'МД ООН'!CF68+'МК Ладыжин-3'!CF68+'МК Староконстантинов'!CF68+'МК Армокаркасы'!CF68+'МК Щедро. Флекситанки'!CF68+'МК ЛифтМаркет'!CF68+'МК Укркотлопром'!CF68+'МК Подгорцы.Забор'!CF68+PL_Металлизация!DT68+'МД Бытовка ИТР Нежин'!CF68+'МК Металургбуд.поддоны'!CF68+'МК Нежин-3'!CF68+'МК РДК.Кран'!CF68+'МК Ворота.Запорожье'!CF68+'МД ВООЗ'!CF68+'МД Казарма.Рекламация'!CF68</f>
        <v>0</v>
      </c>
      <c r="CG68" s="3349">
        <f t="shared" si="190"/>
        <v>0</v>
      </c>
      <c r="CH68" s="4697" t="e">
        <f t="shared" si="191"/>
        <v>#DIV/0!</v>
      </c>
      <c r="CI68" s="3341"/>
      <c r="CJ68" s="3341">
        <f t="shared" si="192"/>
        <v>102266.83000000002</v>
      </c>
      <c r="CK68" s="3341">
        <f t="shared" si="192"/>
        <v>35011.9136</v>
      </c>
      <c r="CL68" s="2012">
        <f t="shared" si="193"/>
        <v>137278.74360000002</v>
      </c>
      <c r="CM68" s="4697">
        <f t="shared" si="159"/>
        <v>2.6941200220390016E-3</v>
      </c>
      <c r="CN68" s="4699"/>
    </row>
    <row r="69" spans="1:95" s="1396" customFormat="1" ht="13.8" outlineLevel="2">
      <c r="A69" s="1571"/>
      <c r="B69" s="4728" t="s">
        <v>42</v>
      </c>
      <c r="C69" s="3341"/>
      <c r="D69" s="3341"/>
      <c r="E69" s="3349">
        <f t="shared" si="160"/>
        <v>0</v>
      </c>
      <c r="F69" s="4697" t="e">
        <f t="shared" si="125"/>
        <v>#DIV/0!</v>
      </c>
      <c r="G69" s="4751"/>
      <c r="H69" s="3341"/>
      <c r="I69" s="3341"/>
      <c r="J69" s="3349">
        <f t="shared" si="161"/>
        <v>0</v>
      </c>
      <c r="K69" s="4697" t="e">
        <f t="shared" si="162"/>
        <v>#DIV/0!</v>
      </c>
      <c r="L69" s="4751"/>
      <c r="M69" s="3341"/>
      <c r="N69" s="3341"/>
      <c r="O69" s="3349">
        <f t="shared" si="163"/>
        <v>0</v>
      </c>
      <c r="P69" s="4697" t="e">
        <f t="shared" si="164"/>
        <v>#DIV/0!</v>
      </c>
      <c r="Q69" s="4751"/>
      <c r="R69" s="3427">
        <f>PL_Производство!BF69</f>
        <v>0</v>
      </c>
      <c r="S69" s="3427">
        <f>PL_Производство!BG69</f>
        <v>0</v>
      </c>
      <c r="T69" s="2012">
        <f t="shared" si="165"/>
        <v>0</v>
      </c>
      <c r="U69" s="3462"/>
      <c r="V69" s="3462"/>
      <c r="W69" s="3342">
        <f t="shared" si="166"/>
        <v>5000</v>
      </c>
      <c r="X69" s="3342">
        <f t="shared" si="166"/>
        <v>0</v>
      </c>
      <c r="Y69" s="2012">
        <f t="shared" si="167"/>
        <v>5000</v>
      </c>
      <c r="Z69" s="3462"/>
      <c r="AA69" s="3462"/>
      <c r="AB69" s="3341">
        <f>PL_ЦО_Производство!AB69+'МД ООН'!AB69+'МК Ладыжин-3'!AB69+'МК Староконстантинов'!AB69+'МК Армокаркасы'!AB69+'МК Щедро. Флекситанки'!AB69+'МК ЛифтМаркет'!AB69+'МК Укркотлопром'!AB69+'МК Подгорцы.Забор'!AB69+PL_Металлизация!BP69+'МД Бытовка ИТР Нежин'!AB69+'МК Металургбуд.поддоны'!AB69</f>
        <v>0</v>
      </c>
      <c r="AC69" s="3341">
        <f>PL_ЦО_Производство!AC69+'МД ООН'!AC69+'МК Ладыжин-3'!AC69+'МК Староконстантинов'!AC69+'МК Армокаркасы'!AC69+'МК Щедро. Флекситанки'!AC69+'МК ЛифтМаркет'!AC69+'МК Укркотлопром'!AC69+'МК Подгорцы.Забор'!AC69+PL_Металлизация!BQ69+'МД Бытовка ИТР Нежин'!AC69+'МК Металургбуд.поддоны'!AC69</f>
        <v>0</v>
      </c>
      <c r="AD69" s="3349">
        <f t="shared" si="168"/>
        <v>0</v>
      </c>
      <c r="AE69" s="4697">
        <f t="shared" si="169"/>
        <v>0</v>
      </c>
      <c r="AF69" s="4751"/>
      <c r="AG69" s="3341">
        <f>PL_ЦО_Производство!AG69+'МД ООН'!AG69+'МК Ладыжин-3'!AG69+'МК Староконстантинов'!AG69+'МК Армокаркасы'!AG69+'МК Щедро. Флекситанки'!AG69+'МК ЛифтМаркет'!AG69+'МК Укркотлопром'!AG69+'МК Подгорцы.Забор'!AG69+PL_Металлизация!BU69+'МД Бытовка ИТР Нежин'!AG69+'МК Металургбуд.поддоны'!AG69</f>
        <v>0</v>
      </c>
      <c r="AH69" s="3341">
        <f>PL_ЦО_Производство!AH69+'МД ООН'!AH69+'МК Ладыжин-3'!AH69+'МК Староконстантинов'!AH69+'МК Армокаркасы'!AH69+'МК Щедро. Флекситанки'!AH69+'МК ЛифтМаркет'!AH69+'МК Укркотлопром'!AH69+'МК Подгорцы.Забор'!AH69+PL_Металлизация!BV69+'МД Бытовка ИТР Нежин'!AH69+'МК Металургбуд.поддоны'!AH69</f>
        <v>0</v>
      </c>
      <c r="AI69" s="3349">
        <f t="shared" si="170"/>
        <v>0</v>
      </c>
      <c r="AJ69" s="4697">
        <f t="shared" si="171"/>
        <v>0</v>
      </c>
      <c r="AK69" s="4751"/>
      <c r="AL69" s="3341">
        <f>PL_ЦО_Производство!AL69+'МД ООН'!AL69+'МК Ладыжин-3'!AL69+'МК Староконстантинов'!AL69+'МК Армокаркасы'!AL69+'МК Щедро. Флекситанки'!AL69+'МК ЛифтМаркет'!AL69+'МК Укркотлопром'!AL69+'МК Подгорцы.Забор'!AL69+PL_Металлизация!BZ69+'МД Бытовка ИТР Нежин'!AL69+'МК Металургбуд.поддоны'!AL69+'МК Нежин-3'!AL69</f>
        <v>0</v>
      </c>
      <c r="AM69" s="3341">
        <f>PL_ЦО_Производство!AM69+'МД ООН'!AM69+'МК Ладыжин-3'!AM69+'МК Староконстантинов'!AM69+'МК Армокаркасы'!AM69+'МК Щедро. Флекситанки'!AM69+'МК ЛифтМаркет'!AM69+'МК Укркотлопром'!AM69+'МК Подгорцы.Забор'!AM69+PL_Металлизация!CA69+'МД Бытовка ИТР Нежин'!AM69+'МК Металургбуд.поддоны'!AM69+'МК Нежин-3'!AM69</f>
        <v>0</v>
      </c>
      <c r="AN69" s="3349">
        <f t="shared" si="172"/>
        <v>0</v>
      </c>
      <c r="AO69" s="4697">
        <f t="shared" si="173"/>
        <v>0</v>
      </c>
      <c r="AP69" s="4751"/>
      <c r="AQ69" s="3341">
        <f>PL_ЦО_Производство!AQ69+'МД ООН'!AQ69+'МК Ладыжин-3'!AQ69+'МК Староконстантинов'!AQ69+'МК Армокаркасы'!AQ69+'МК Щедро. Флекситанки'!AQ69+'МК ЛифтМаркет'!AQ69+'МК Укркотлопром'!AQ69+'МК Подгорцы.Забор'!AQ69+PL_Металлизация!CE69+'МД Бытовка ИТР Нежин'!AQ69+'МК Металургбуд.поддоны'!AQ69+'МК Нежин-3'!AQ69</f>
        <v>5000</v>
      </c>
      <c r="AR69" s="3341">
        <f>PL_ЦО_Производство!AR69+'МД ООН'!AR69+'МК Ладыжин-3'!AR69+'МК Староконстантинов'!AR69+'МК Армокаркасы'!AR69+'МК Щедро. Флекситанки'!AR69+'МК ЛифтМаркет'!AR69+'МК Укркотлопром'!AR69+'МК Подгорцы.Забор'!AR69+PL_Металлизация!CF69+'МД Бытовка ИТР Нежин'!AR69+'МК Металургбуд.поддоны'!AR69+'МК Нежин-3'!AR69</f>
        <v>0</v>
      </c>
      <c r="AS69" s="3349">
        <f t="shared" si="174"/>
        <v>5000</v>
      </c>
      <c r="AT69" s="4697">
        <f t="shared" si="175"/>
        <v>3.2228521269988698E-3</v>
      </c>
      <c r="AU69" s="4751"/>
      <c r="AV69" s="3341">
        <f>PL_ЦО_Производство!AV69+'МД ООН'!AV69+'МК Армокаркасы'!AV69+'МК Подгорцы.Забор'!AV69+'МК Нежин-3'!AV69+'МК РДК.Кран'!AV69+'МК Ворота.Запорожье'!AV69+'МД ВООЗ'!AV69+'МД Казарма.Рекламация'!AV69</f>
        <v>0</v>
      </c>
      <c r="AW69" s="3341">
        <f>PL_ЦО_Производство!AW69+'МД ООН'!AW69+'МК Армокаркасы'!AW69+'МК Подгорцы.Забор'!AW69+'МК Нежин-3'!AW69+'МК РДК.Кран'!AW69+'МК Ворота.Запорожье'!AW69+'МД ВООЗ'!AW69+'МД Казарма.Рекламация'!AW69</f>
        <v>0</v>
      </c>
      <c r="AX69" s="3349">
        <f t="shared" si="176"/>
        <v>0</v>
      </c>
      <c r="AY69" s="4697">
        <f t="shared" si="177"/>
        <v>0</v>
      </c>
      <c r="AZ69" s="4751"/>
      <c r="BA69" s="3341">
        <f>PL_ЦО_Производство!BA69+'МД ООН'!BA69+'МК Ладыжин-3'!BA69+'МК Староконстантинов'!BA69+'МК Армокаркасы'!BA69+'МК Щедро. Флекситанки'!BA69+'МК ЛифтМаркет'!BA69+'МК Укркотлопром'!BA69+'МК Подгорцы.Забор'!BA69+PL_Металлизация!CO69+'МД Бытовка ИТР Нежин'!BA69+'МК Металургбуд.поддоны'!BA69+'МК Нежин-3'!BA69+'МК РДК.Кран'!BA69+'МК Ворота.Запорожье'!BA69+'МД ВООЗ'!BA69+'МД Казарма.Рекламация'!BA69</f>
        <v>0</v>
      </c>
      <c r="BB69" s="3341">
        <f>PL_ЦО_Производство!BB69+'МД ООН'!BB69+'МК Ладыжин-3'!BB69+'МК Староконстантинов'!BB69+'МК Армокаркасы'!BB69+'МК Щедро. Флекситанки'!BB69+'МК ЛифтМаркет'!BB69+'МК Укркотлопром'!BB69+'МК Подгорцы.Забор'!BB69+PL_Металлизация!CP69+'МД Бытовка ИТР Нежин'!BB69+'МК Металургбуд.поддоны'!BB69+'МК Нежин-3'!BB69+'МК РДК.Кран'!BB69+'МК Ворота.Запорожье'!BB69+'МД ВООЗ'!BB69+'МД Казарма.Рекламация'!BB69</f>
        <v>0</v>
      </c>
      <c r="BC69" s="3349">
        <f t="shared" si="178"/>
        <v>0</v>
      </c>
      <c r="BD69" s="4697">
        <f t="shared" si="179"/>
        <v>0</v>
      </c>
      <c r="BE69" s="4751"/>
      <c r="BF69" s="3341">
        <f>PL_ЦО_Производство!BF69+'МД ООН'!BF69+'МК Ладыжин-3'!BF69+'МК Староконстантинов'!BF69+'МК Армокаркасы'!BF69+'МК Щедро. Флекситанки'!BF69+'МК ЛифтМаркет'!BF69+'МК Укркотлопром'!BF69+'МК Подгорцы.Забор'!BF69+PL_Металлизация!CT69+'МД Бытовка ИТР Нежин'!BF69+'МК Металургбуд.поддоны'!BF69+'МК Нежин-3'!BF69+'МК РДК.Кран'!BF69+'МК Ворота.Запорожье'!BF69+'МД ВООЗ'!BF69+'МД Казарма.Рекламация'!BF69</f>
        <v>0</v>
      </c>
      <c r="BG69" s="3341">
        <f>PL_ЦО_Производство!BG69+'МД ООН'!BG69+'МК Ладыжин-3'!BG69+'МК Староконстантинов'!BG69+'МК Армокаркасы'!BG69+'МК Щедро. Флекситанки'!BG69+'МК ЛифтМаркет'!BG69+'МК Укркотлопром'!BG69+'МК Подгорцы.Забор'!BG69+PL_Металлизация!CU69+'МД Бытовка ИТР Нежин'!BG69+'МК Металургбуд.поддоны'!BG69+'МК Нежин-3'!BG69+'МК РДК.Кран'!BG69+'МК Ворота.Запорожье'!BG69+'МД ВООЗ'!BG69+'МД Казарма.Рекламация'!BG69</f>
        <v>0</v>
      </c>
      <c r="BH69" s="3349">
        <f t="shared" si="180"/>
        <v>0</v>
      </c>
      <c r="BI69" s="4697" t="e">
        <f t="shared" si="181"/>
        <v>#DIV/0!</v>
      </c>
      <c r="BJ69" s="4751"/>
      <c r="BK69" s="3341">
        <f>PL_ЦО_Производство!BK69+'МД ООН'!BK69+'МК Ладыжин-3'!BK69+'МК Староконстантинов'!BK69+'МК Армокаркасы'!BK69+'МК Щедро. Флекситанки'!BK69+'МК ЛифтМаркет'!BK69+'МК Укркотлопром'!BK69+'МК Подгорцы.Забор'!BK69+PL_Металлизация!CY69+'МД Бытовка ИТР Нежин'!BK69+'МК Металургбуд.поддоны'!BK69+'МК Нежин-3'!BK69+'МК РДК.Кран'!BK69+'МК Ворота.Запорожье'!BK69+'МД ВООЗ'!BK69+'МД Казарма.Рекламация'!BK69</f>
        <v>0</v>
      </c>
      <c r="BL69" s="3341">
        <f>PL_ЦО_Производство!BL69+'МД ООН'!BL69+'МК Ладыжин-3'!BL69+'МК Староконстантинов'!BL69+'МК Армокаркасы'!BL69+'МК Щедро. Флекситанки'!BL69+'МК ЛифтМаркет'!BL69+'МК Укркотлопром'!BL69+'МК Подгорцы.Забор'!BL69+PL_Металлизация!CZ69+'МД Бытовка ИТР Нежин'!BL69+'МК Металургбуд.поддоны'!BL69+'МК Нежин-3'!BL69+'МК РДК.Кран'!BL69+'МК Ворота.Запорожье'!BL69+'МД ВООЗ'!BL69+'МД Казарма.Рекламация'!BL69</f>
        <v>0</v>
      </c>
      <c r="BM69" s="3349">
        <f t="shared" si="182"/>
        <v>0</v>
      </c>
      <c r="BN69" s="4697" t="e">
        <f t="shared" si="183"/>
        <v>#DIV/0!</v>
      </c>
      <c r="BO69" s="4751"/>
      <c r="BP69" s="3341">
        <f>PL_ЦО_Производство!BP69+'МД ООН'!BP69+'МК Ладыжин-3'!BP69+'МК Староконстантинов'!BP69+'МК Армокаркасы'!BP69+'МК Щедро. Флекситанки'!BP69+'МК ЛифтМаркет'!BP69+'МК Укркотлопром'!BP69+'МК Подгорцы.Забор'!BP69+PL_Металлизация!DD69+'МД Бытовка ИТР Нежин'!BP69+'МК Металургбуд.поддоны'!BP69+'МК Нежин-3'!BP69+'МК РДК.Кран'!BP69+'МК Ворота.Запорожье'!BP69+'МД ВООЗ'!BP69+'МД Казарма.Рекламация'!BP69</f>
        <v>0</v>
      </c>
      <c r="BQ69" s="3341">
        <f>PL_ЦО_Производство!BQ69+'МД ООН'!BQ69+'МК Ладыжин-3'!BQ69+'МК Староконстантинов'!BQ69+'МК Армокаркасы'!BQ69+'МК Щедро. Флекситанки'!BQ69+'МК ЛифтМаркет'!BQ69+'МК Укркотлопром'!BQ69+'МК Подгорцы.Забор'!BQ69+PL_Металлизация!DE69+'МД Бытовка ИТР Нежин'!BQ69+'МК Металургбуд.поддоны'!BQ69+'МК Нежин-3'!BQ69+'МК РДК.Кран'!BQ69+'МК Ворота.Запорожье'!BQ69+'МД ВООЗ'!BQ69+'МД Казарма.Рекламация'!BQ69</f>
        <v>0</v>
      </c>
      <c r="BR69" s="3349">
        <f t="shared" si="184"/>
        <v>0</v>
      </c>
      <c r="BS69" s="4697" t="e">
        <f t="shared" si="185"/>
        <v>#DIV/0!</v>
      </c>
      <c r="BT69" s="4751"/>
      <c r="BU69" s="3341">
        <f>PL_ЦО_Производство!BU69+'МД ООН'!BU69+'МК Ладыжин-3'!BU69+'МК Староконстантинов'!BU69+'МК Армокаркасы'!BU69+'МК Щедро. Флекситанки'!BU69+'МК ЛифтМаркет'!BU69+'МК Укркотлопром'!BU69+'МК Подгорцы.Забор'!BU69+PL_Металлизация!DI69+'МД Бытовка ИТР Нежин'!BU69+'МК Металургбуд.поддоны'!BU69+'МК Нежин-3'!BU69+'МК РДК.Кран'!BU69+'МК Ворота.Запорожье'!BU69+'МД ВООЗ'!BU69+'МД Казарма.Рекламация'!BU69</f>
        <v>0</v>
      </c>
      <c r="BV69" s="3341">
        <f>PL_ЦО_Производство!BV69+'МД ООН'!BV69+'МК Ладыжин-3'!BV69+'МК Староконстантинов'!BV69+'МК Армокаркасы'!BV69+'МК Щедро. Флекситанки'!BV69+'МК ЛифтМаркет'!BV69+'МК Укркотлопром'!BV69+'МК Подгорцы.Забор'!BV69+PL_Металлизация!DJ69+'МД Бытовка ИТР Нежин'!BV69+'МК Металургбуд.поддоны'!BV69+'МК Нежин-3'!BV69+'МК РДК.Кран'!BV69+'МК Ворота.Запорожье'!BV69+'МД ВООЗ'!BV69+'МД Казарма.Рекламация'!BV69</f>
        <v>0</v>
      </c>
      <c r="BW69" s="3349">
        <f t="shared" si="186"/>
        <v>0</v>
      </c>
      <c r="BX69" s="4697" t="e">
        <f t="shared" si="187"/>
        <v>#DIV/0!</v>
      </c>
      <c r="BY69" s="4751"/>
      <c r="BZ69" s="3341">
        <f>PL_ЦО_Производство!BZ69+'МД ООН'!BZ69+'МК Ладыжин-3'!BZ69+'МК Староконстантинов'!BZ69+'МК Армокаркасы'!BZ69+'МК Щедро. Флекситанки'!BZ69+'МК ЛифтМаркет'!BZ69+'МК Укркотлопром'!BZ69+'МК Подгорцы.Забор'!BZ69+PL_Металлизация!DN69+'МД Бытовка ИТР Нежин'!BZ69+'МК Металургбуд.поддоны'!BZ69+'МК Нежин-3'!BZ69+'МК РДК.Кран'!BZ69+'МК Ворота.Запорожье'!BZ69+'МД ВООЗ'!BZ69+'МД Казарма.Рекламация'!BZ69</f>
        <v>0</v>
      </c>
      <c r="CA69" s="3341">
        <f>PL_ЦО_Производство!CA69+'МД ООН'!CA69+'МК Ладыжин-3'!CA69+'МК Староконстантинов'!CA69+'МК Армокаркасы'!CA69+'МК Щедро. Флекситанки'!CA69+'МК ЛифтМаркет'!CA69+'МК Укркотлопром'!CA69+'МК Подгорцы.Забор'!CA69+PL_Металлизация!DO69+'МД Бытовка ИТР Нежин'!CA69+'МК Металургбуд.поддоны'!CA69+'МК Нежин-3'!CA69+'МК РДК.Кран'!CA69+'МК Ворота.Запорожье'!CA69+'МД ВООЗ'!CA69+'МД Казарма.Рекламация'!CA69</f>
        <v>0</v>
      </c>
      <c r="CB69" s="3349">
        <f t="shared" si="188"/>
        <v>0</v>
      </c>
      <c r="CC69" s="4697" t="e">
        <f t="shared" si="189"/>
        <v>#DIV/0!</v>
      </c>
      <c r="CD69" s="4751"/>
      <c r="CE69" s="3341">
        <f>PL_ЦО_Производство!CE69+'МД ООН'!CE69+'МК Ладыжин-3'!CE69+'МК Староконстантинов'!CE69+'МК Армокаркасы'!CE69+'МК Щедро. Флекситанки'!CE69+'МК ЛифтМаркет'!CE69+'МК Укркотлопром'!CE69+'МК Подгорцы.Забор'!CE69+PL_Металлизация!DS69+'МД Бытовка ИТР Нежин'!CE69+'МК Металургбуд.поддоны'!CE69+'МК Нежин-3'!CE69+'МК РДК.Кран'!CE69+'МК Ворота.Запорожье'!CE69+'МД ВООЗ'!CE69+'МД Казарма.Рекламация'!CE69</f>
        <v>0</v>
      </c>
      <c r="CF69" s="3341">
        <f>PL_ЦО_Производство!CF69+'МД ООН'!CF69+'МК Ладыжин-3'!CF69+'МК Староконстантинов'!CF69+'МК Армокаркасы'!CF69+'МК Щедро. Флекситанки'!CF69+'МК ЛифтМаркет'!CF69+'МК Укркотлопром'!CF69+'МК Подгорцы.Забор'!CF69+PL_Металлизация!DT69+'МД Бытовка ИТР Нежин'!CF69+'МК Металургбуд.поддоны'!CF69+'МК Нежин-3'!CF69+'МК РДК.Кран'!CF69+'МК Ворота.Запорожье'!CF69+'МД ВООЗ'!CF69+'МД Казарма.Рекламация'!CF69</f>
        <v>0</v>
      </c>
      <c r="CG69" s="3349">
        <f t="shared" si="190"/>
        <v>0</v>
      </c>
      <c r="CH69" s="4697" t="e">
        <f t="shared" si="191"/>
        <v>#DIV/0!</v>
      </c>
      <c r="CI69" s="4751"/>
      <c r="CJ69" s="3341">
        <f t="shared" si="192"/>
        <v>5000</v>
      </c>
      <c r="CK69" s="3341">
        <f t="shared" si="192"/>
        <v>0</v>
      </c>
      <c r="CL69" s="2012">
        <f t="shared" si="193"/>
        <v>5000</v>
      </c>
      <c r="CM69" s="4697">
        <f t="shared" si="159"/>
        <v>9.8125898860535658E-5</v>
      </c>
      <c r="CN69" s="4699"/>
    </row>
    <row r="70" spans="1:95" s="1396" customFormat="1" ht="13.8" outlineLevel="2">
      <c r="A70" s="1571"/>
      <c r="B70" s="4728" t="s">
        <v>6</v>
      </c>
      <c r="C70" s="3341"/>
      <c r="D70" s="3341"/>
      <c r="E70" s="3349">
        <f t="shared" si="160"/>
        <v>0</v>
      </c>
      <c r="F70" s="4697" t="e">
        <f t="shared" si="125"/>
        <v>#DIV/0!</v>
      </c>
      <c r="G70" s="4751"/>
      <c r="H70" s="3341"/>
      <c r="I70" s="3341"/>
      <c r="J70" s="3349">
        <f t="shared" si="161"/>
        <v>0</v>
      </c>
      <c r="K70" s="4697" t="e">
        <f t="shared" si="162"/>
        <v>#DIV/0!</v>
      </c>
      <c r="L70" s="4751"/>
      <c r="M70" s="3341"/>
      <c r="N70" s="3341"/>
      <c r="O70" s="3349">
        <f t="shared" si="163"/>
        <v>0</v>
      </c>
      <c r="P70" s="4697" t="e">
        <f t="shared" si="164"/>
        <v>#DIV/0!</v>
      </c>
      <c r="Q70" s="4751"/>
      <c r="R70" s="3427">
        <f>PL_Производство!BF70</f>
        <v>0</v>
      </c>
      <c r="S70" s="3427">
        <f>PL_Производство!BG70</f>
        <v>52427.479999999996</v>
      </c>
      <c r="T70" s="2012">
        <f t="shared" si="165"/>
        <v>52427.479999999996</v>
      </c>
      <c r="U70" s="3462"/>
      <c r="V70" s="3462"/>
      <c r="W70" s="3342">
        <f t="shared" si="166"/>
        <v>0</v>
      </c>
      <c r="X70" s="3342">
        <f t="shared" si="166"/>
        <v>3000</v>
      </c>
      <c r="Y70" s="2012">
        <f t="shared" si="167"/>
        <v>3000</v>
      </c>
      <c r="Z70" s="3462"/>
      <c r="AA70" s="3462"/>
      <c r="AB70" s="3341">
        <f>PL_ЦО_Производство!AB70+'МД ООН'!AB70+'МК Ладыжин-3'!AB70+'МК Староконстантинов'!AB70+'МК Армокаркасы'!AB70+'МК Щедро. Флекситанки'!AB70+'МК ЛифтМаркет'!AB70+'МК Укркотлопром'!AB70+'МК Подгорцы.Забор'!AB70+PL_Металлизация!BP70+'МД Бытовка ИТР Нежин'!AB70+'МК Металургбуд.поддоны'!AB70</f>
        <v>0</v>
      </c>
      <c r="AC70" s="3341">
        <f>PL_ЦО_Производство!AC70+'МД ООН'!AC70+'МК Ладыжин-3'!AC70+'МК Староконстантинов'!AC70+'МК Армокаркасы'!AC70+'МК Щедро. Флекситанки'!AC70+'МК ЛифтМаркет'!AC70+'МК Укркотлопром'!AC70+'МК Подгорцы.Забор'!AC70+PL_Металлизация!BQ70+'МД Бытовка ИТР Нежин'!AC70+'МК Металургбуд.поддоны'!AC70</f>
        <v>0</v>
      </c>
      <c r="AD70" s="3349">
        <f t="shared" si="168"/>
        <v>0</v>
      </c>
      <c r="AE70" s="4697">
        <f t="shared" si="169"/>
        <v>0</v>
      </c>
      <c r="AF70" s="4751"/>
      <c r="AG70" s="3341">
        <f>PL_ЦО_Производство!AG70+'МД ООН'!AG70+'МК Ладыжин-3'!AG70+'МК Староконстантинов'!AG70+'МК Армокаркасы'!AG70+'МК Щедро. Флекситанки'!AG70+'МК ЛифтМаркет'!AG70+'МК Укркотлопром'!AG70+'МК Подгорцы.Забор'!AG70+PL_Металлизация!BU70+'МД Бытовка ИТР Нежин'!AG70+'МК Металургбуд.поддоны'!AG70</f>
        <v>0</v>
      </c>
      <c r="AH70" s="3341">
        <f>PL_ЦО_Производство!AH70+'МД ООН'!AH70+'МК Ладыжин-3'!AH70+'МК Староконстантинов'!AH70+'МК Армокаркасы'!AH70+'МК Щедро. Флекситанки'!AH70+'МК ЛифтМаркет'!AH70+'МК Укркотлопром'!AH70+'МК Подгорцы.Забор'!AH70+PL_Металлизация!BV70+'МД Бытовка ИТР Нежин'!AH70+'МК Металургбуд.поддоны'!AH70</f>
        <v>0</v>
      </c>
      <c r="AI70" s="3349">
        <f t="shared" si="170"/>
        <v>0</v>
      </c>
      <c r="AJ70" s="4697">
        <f t="shared" si="171"/>
        <v>0</v>
      </c>
      <c r="AK70" s="4751"/>
      <c r="AL70" s="3341">
        <f>PL_ЦО_Производство!AL70+'МД ООН'!AL70+'МК Ладыжин-3'!AL70+'МК Староконстантинов'!AL70+'МК Армокаркасы'!AL70+'МК Щедро. Флекситанки'!AL70+'МК ЛифтМаркет'!AL70+'МК Укркотлопром'!AL70+'МК Подгорцы.Забор'!AL70+PL_Металлизация!BZ70+'МД Бытовка ИТР Нежин'!AL70+'МК Металургбуд.поддоны'!AL70+'МК Нежин-3'!AL70</f>
        <v>0</v>
      </c>
      <c r="AM70" s="3341">
        <f>PL_ЦО_Производство!AM70+'МД ООН'!AM70+'МК Ладыжин-3'!AM70+'МК Староконстантинов'!AM70+'МК Армокаркасы'!AM70+'МК Щедро. Флекситанки'!AM70+'МК ЛифтМаркет'!AM70+'МК Укркотлопром'!AM70+'МК Подгорцы.Забор'!AM70+PL_Металлизация!CA70+'МД Бытовка ИТР Нежин'!AM70+'МК Металургбуд.поддоны'!AM70+'МК Нежин-3'!AM70</f>
        <v>0</v>
      </c>
      <c r="AN70" s="3349">
        <f t="shared" si="172"/>
        <v>0</v>
      </c>
      <c r="AO70" s="4697">
        <f t="shared" si="173"/>
        <v>0</v>
      </c>
      <c r="AP70" s="4751"/>
      <c r="AQ70" s="3341">
        <f>PL_ЦО_Производство!AQ70+'МД ООН'!AQ70+'МК Ладыжин-3'!AQ70+'МК Староконстантинов'!AQ70+'МК Армокаркасы'!AQ70+'МК Щедро. Флекситанки'!AQ70+'МК ЛифтМаркет'!AQ70+'МК Укркотлопром'!AQ70+'МК Подгорцы.Забор'!AQ70+PL_Металлизация!CE70+'МД Бытовка ИТР Нежин'!AQ70+'МК Металургбуд.поддоны'!AQ70+'МК Нежин-3'!AQ70</f>
        <v>0</v>
      </c>
      <c r="AR70" s="3341">
        <f>PL_ЦО_Производство!AR70+'МД ООН'!AR70+'МК Ладыжин-3'!AR70+'МК Староконстантинов'!AR70+'МК Армокаркасы'!AR70+'МК Щедро. Флекситанки'!AR70+'МК ЛифтМаркет'!AR70+'МК Укркотлопром'!AR70+'МК Подгорцы.Забор'!AR70+PL_Металлизация!CF70+'МД Бытовка ИТР Нежин'!AR70+'МК Металургбуд.поддоны'!AR70+'МК Нежин-3'!AR70</f>
        <v>0</v>
      </c>
      <c r="AS70" s="3349">
        <f t="shared" si="174"/>
        <v>0</v>
      </c>
      <c r="AT70" s="4697">
        <f t="shared" si="175"/>
        <v>0</v>
      </c>
      <c r="AU70" s="4751"/>
      <c r="AV70" s="3341">
        <f>PL_ЦО_Производство!AV70+'МД ООН'!AV70+'МК Армокаркасы'!AV70+'МК Подгорцы.Забор'!AV70+'МК Нежин-3'!AV70+'МК РДК.Кран'!AV70+'МК Ворота.Запорожье'!AV70+'МД ВООЗ'!AV70+'МД Казарма.Рекламация'!AV70</f>
        <v>0</v>
      </c>
      <c r="AW70" s="3341">
        <f>PL_ЦО_Производство!AW70+'МД ООН'!AW70+'МК Армокаркасы'!AW70+'МК Подгорцы.Забор'!AW70+'МК Нежин-3'!AW70+'МК РДК.Кран'!AW70+'МК Ворота.Запорожье'!AW70+'МД ВООЗ'!AW70+'МД Казарма.Рекламация'!AW70</f>
        <v>3000</v>
      </c>
      <c r="AX70" s="3349">
        <f t="shared" si="176"/>
        <v>3000</v>
      </c>
      <c r="AY70" s="4697">
        <f t="shared" si="177"/>
        <v>2.242954215389286E-3</v>
      </c>
      <c r="AZ70" s="4751"/>
      <c r="BA70" s="3341">
        <f>PL_ЦО_Производство!BA70+'МД ООН'!BA70+'МК Ладыжин-3'!BA70+'МК Староконстантинов'!BA70+'МК Армокаркасы'!BA70+'МК Щедро. Флекситанки'!BA70+'МК ЛифтМаркет'!BA70+'МК Укркотлопром'!BA70+'МК Подгорцы.Забор'!BA70+PL_Металлизация!CO70+'МД Бытовка ИТР Нежин'!BA70+'МК Металургбуд.поддоны'!BA70+'МК Нежин-3'!BA70+'МК РДК.Кран'!BA70+'МК Ворота.Запорожье'!BA70+'МД ВООЗ'!BA70+'МД Казарма.Рекламация'!BA70</f>
        <v>0</v>
      </c>
      <c r="BB70" s="3341">
        <f>PL_ЦО_Производство!BB70+'МД ООН'!BB70+'МК Ладыжин-3'!BB70+'МК Староконстантинов'!BB70+'МК Армокаркасы'!BB70+'МК Щедро. Флекситанки'!BB70+'МК ЛифтМаркет'!BB70+'МК Укркотлопром'!BB70+'МК Подгорцы.Забор'!BB70+PL_Металлизация!CP70+'МД Бытовка ИТР Нежин'!BB70+'МК Металургбуд.поддоны'!BB70+'МК Нежин-3'!BB70+'МК РДК.Кран'!BB70+'МК Ворота.Запорожье'!BB70+'МД ВООЗ'!BB70+'МД Казарма.Рекламация'!BB70</f>
        <v>0</v>
      </c>
      <c r="BC70" s="3349">
        <f t="shared" si="178"/>
        <v>0</v>
      </c>
      <c r="BD70" s="4697">
        <f t="shared" si="179"/>
        <v>0</v>
      </c>
      <c r="BE70" s="4751"/>
      <c r="BF70" s="3341">
        <f>PL_ЦО_Производство!BF70+'МД ООН'!BF70+'МК Ладыжин-3'!BF70+'МК Староконстантинов'!BF70+'МК Армокаркасы'!BF70+'МК Щедро. Флекситанки'!BF70+'МК ЛифтМаркет'!BF70+'МК Укркотлопром'!BF70+'МК Подгорцы.Забор'!BF70+PL_Металлизация!CT70+'МД Бытовка ИТР Нежин'!BF70+'МК Металургбуд.поддоны'!BF70+'МК Нежин-3'!BF70+'МК РДК.Кран'!BF70+'МК Ворота.Запорожье'!BF70+'МД ВООЗ'!BF70+'МД Казарма.Рекламация'!BF70</f>
        <v>0</v>
      </c>
      <c r="BG70" s="3341">
        <f>PL_ЦО_Производство!BG70+'МД ООН'!BG70+'МК Ладыжин-3'!BG70+'МК Староконстантинов'!BG70+'МК Армокаркасы'!BG70+'МК Щедро. Флекситанки'!BG70+'МК ЛифтМаркет'!BG70+'МК Укркотлопром'!BG70+'МК Подгорцы.Забор'!BG70+PL_Металлизация!CU70+'МД Бытовка ИТР Нежин'!BG70+'МК Металургбуд.поддоны'!BG70+'МК Нежин-3'!BG70+'МК РДК.Кран'!BG70+'МК Ворота.Запорожье'!BG70+'МД ВООЗ'!BG70+'МД Казарма.Рекламация'!BG70</f>
        <v>0</v>
      </c>
      <c r="BH70" s="3349">
        <f t="shared" si="180"/>
        <v>0</v>
      </c>
      <c r="BI70" s="4697" t="e">
        <f t="shared" si="181"/>
        <v>#DIV/0!</v>
      </c>
      <c r="BJ70" s="4751"/>
      <c r="BK70" s="3341">
        <f>PL_ЦО_Производство!BK70+'МД ООН'!BK70+'МК Ладыжин-3'!BK70+'МК Староконстантинов'!BK70+'МК Армокаркасы'!BK70+'МК Щедро. Флекситанки'!BK70+'МК ЛифтМаркет'!BK70+'МК Укркотлопром'!BK70+'МК Подгорцы.Забор'!BK70+PL_Металлизация!CY70+'МД Бытовка ИТР Нежин'!BK70+'МК Металургбуд.поддоны'!BK70+'МК Нежин-3'!BK70+'МК РДК.Кран'!BK70+'МК Ворота.Запорожье'!BK70+'МД ВООЗ'!BK70+'МД Казарма.Рекламация'!BK70</f>
        <v>0</v>
      </c>
      <c r="BL70" s="3341">
        <f>PL_ЦО_Производство!BL70+'МД ООН'!BL70+'МК Ладыжин-3'!BL70+'МК Староконстантинов'!BL70+'МК Армокаркасы'!BL70+'МК Щедро. Флекситанки'!BL70+'МК ЛифтМаркет'!BL70+'МК Укркотлопром'!BL70+'МК Подгорцы.Забор'!BL70+PL_Металлизация!CZ70+'МД Бытовка ИТР Нежин'!BL70+'МК Металургбуд.поддоны'!BL70+'МК Нежин-3'!BL70+'МК РДК.Кран'!BL70+'МК Ворота.Запорожье'!BL70+'МД ВООЗ'!BL70+'МД Казарма.Рекламация'!BL70</f>
        <v>0</v>
      </c>
      <c r="BM70" s="3349">
        <f t="shared" si="182"/>
        <v>0</v>
      </c>
      <c r="BN70" s="4697" t="e">
        <f t="shared" si="183"/>
        <v>#DIV/0!</v>
      </c>
      <c r="BO70" s="4751"/>
      <c r="BP70" s="3341">
        <f>PL_ЦО_Производство!BP70+'МД ООН'!BP70+'МК Ладыжин-3'!BP70+'МК Староконстантинов'!BP70+'МК Армокаркасы'!BP70+'МК Щедро. Флекситанки'!BP70+'МК ЛифтМаркет'!BP70+'МК Укркотлопром'!BP70+'МК Подгорцы.Забор'!BP70+PL_Металлизация!DD70+'МД Бытовка ИТР Нежин'!BP70+'МК Металургбуд.поддоны'!BP70+'МК Нежин-3'!BP70+'МК РДК.Кран'!BP70+'МК Ворота.Запорожье'!BP70+'МД ВООЗ'!BP70+'МД Казарма.Рекламация'!BP70</f>
        <v>0</v>
      </c>
      <c r="BQ70" s="3341">
        <f>PL_ЦО_Производство!BQ70+'МД ООН'!BQ70+'МК Ладыжин-3'!BQ70+'МК Староконстантинов'!BQ70+'МК Армокаркасы'!BQ70+'МК Щедро. Флекситанки'!BQ70+'МК ЛифтМаркет'!BQ70+'МК Укркотлопром'!BQ70+'МК Подгорцы.Забор'!BQ70+PL_Металлизация!DE70+'МД Бытовка ИТР Нежин'!BQ70+'МК Металургбуд.поддоны'!BQ70+'МК Нежин-3'!BQ70+'МК РДК.Кран'!BQ70+'МК Ворота.Запорожье'!BQ70+'МД ВООЗ'!BQ70+'МД Казарма.Рекламация'!BQ70</f>
        <v>0</v>
      </c>
      <c r="BR70" s="3349">
        <f t="shared" si="184"/>
        <v>0</v>
      </c>
      <c r="BS70" s="4697" t="e">
        <f t="shared" si="185"/>
        <v>#DIV/0!</v>
      </c>
      <c r="BT70" s="4751"/>
      <c r="BU70" s="3341">
        <f>PL_ЦО_Производство!BU70+'МД ООН'!BU70+'МК Ладыжин-3'!BU70+'МК Староконстантинов'!BU70+'МК Армокаркасы'!BU70+'МК Щедро. Флекситанки'!BU70+'МК ЛифтМаркет'!BU70+'МК Укркотлопром'!BU70+'МК Подгорцы.Забор'!BU70+PL_Металлизация!DI70+'МД Бытовка ИТР Нежин'!BU70+'МК Металургбуд.поддоны'!BU70+'МК Нежин-3'!BU70+'МК РДК.Кран'!BU70+'МК Ворота.Запорожье'!BU70+'МД ВООЗ'!BU70+'МД Казарма.Рекламация'!BU70</f>
        <v>0</v>
      </c>
      <c r="BV70" s="3341">
        <f>PL_ЦО_Производство!BV70+'МД ООН'!BV70+'МК Ладыжин-3'!BV70+'МК Староконстантинов'!BV70+'МК Армокаркасы'!BV70+'МК Щедро. Флекситанки'!BV70+'МК ЛифтМаркет'!BV70+'МК Укркотлопром'!BV70+'МК Подгорцы.Забор'!BV70+PL_Металлизация!DJ70+'МД Бытовка ИТР Нежин'!BV70+'МК Металургбуд.поддоны'!BV70+'МК Нежин-3'!BV70+'МК РДК.Кран'!BV70+'МК Ворота.Запорожье'!BV70+'МД ВООЗ'!BV70+'МД Казарма.Рекламация'!BV70</f>
        <v>0</v>
      </c>
      <c r="BW70" s="3349">
        <f t="shared" si="186"/>
        <v>0</v>
      </c>
      <c r="BX70" s="4697" t="e">
        <f t="shared" si="187"/>
        <v>#DIV/0!</v>
      </c>
      <c r="BY70" s="4751"/>
      <c r="BZ70" s="3341">
        <f>PL_ЦО_Производство!BZ70+'МД ООН'!BZ70+'МК Ладыжин-3'!BZ70+'МК Староконстантинов'!BZ70+'МК Армокаркасы'!BZ70+'МК Щедро. Флекситанки'!BZ70+'МК ЛифтМаркет'!BZ70+'МК Укркотлопром'!BZ70+'МК Подгорцы.Забор'!BZ70+PL_Металлизация!DN70+'МД Бытовка ИТР Нежин'!BZ70+'МК Металургбуд.поддоны'!BZ70+'МК Нежин-3'!BZ70+'МК РДК.Кран'!BZ70+'МК Ворота.Запорожье'!BZ70+'МД ВООЗ'!BZ70+'МД Казарма.Рекламация'!BZ70</f>
        <v>0</v>
      </c>
      <c r="CA70" s="3341">
        <f>PL_ЦО_Производство!CA70+'МД ООН'!CA70+'МК Ладыжин-3'!CA70+'МК Староконстантинов'!CA70+'МК Армокаркасы'!CA70+'МК Щедро. Флекситанки'!CA70+'МК ЛифтМаркет'!CA70+'МК Укркотлопром'!CA70+'МК Подгорцы.Забор'!CA70+PL_Металлизация!DO70+'МД Бытовка ИТР Нежин'!CA70+'МК Металургбуд.поддоны'!CA70+'МК Нежин-3'!CA70+'МК РДК.Кран'!CA70+'МК Ворота.Запорожье'!CA70+'МД ВООЗ'!CA70+'МД Казарма.Рекламация'!CA70</f>
        <v>0</v>
      </c>
      <c r="CB70" s="3349">
        <f t="shared" si="188"/>
        <v>0</v>
      </c>
      <c r="CC70" s="4697" t="e">
        <f t="shared" si="189"/>
        <v>#DIV/0!</v>
      </c>
      <c r="CD70" s="4751"/>
      <c r="CE70" s="3341">
        <f>PL_ЦО_Производство!CE70+'МД ООН'!CE70+'МК Ладыжин-3'!CE70+'МК Староконстантинов'!CE70+'МК Армокаркасы'!CE70+'МК Щедро. Флекситанки'!CE70+'МК ЛифтМаркет'!CE70+'МК Укркотлопром'!CE70+'МК Подгорцы.Забор'!CE70+PL_Металлизация!DS70+'МД Бытовка ИТР Нежин'!CE70+'МК Металургбуд.поддоны'!CE70+'МК Нежин-3'!CE70+'МК РДК.Кран'!CE70+'МК Ворота.Запорожье'!CE70+'МД ВООЗ'!CE70+'МД Казарма.Рекламация'!CE70</f>
        <v>0</v>
      </c>
      <c r="CF70" s="3341">
        <f>PL_ЦО_Производство!CF70+'МД ООН'!CF70+'МК Ладыжин-3'!CF70+'МК Староконстантинов'!CF70+'МК Армокаркасы'!CF70+'МК Щедро. Флекситанки'!CF70+'МК ЛифтМаркет'!CF70+'МК Укркотлопром'!CF70+'МК Подгорцы.Забор'!CF70+PL_Металлизация!DT70+'МД Бытовка ИТР Нежин'!CF70+'МК Металургбуд.поддоны'!CF70+'МК Нежин-3'!CF70+'МК РДК.Кран'!CF70+'МК Ворота.Запорожье'!CF70+'МД ВООЗ'!CF70+'МД Казарма.Рекламация'!CF70</f>
        <v>0</v>
      </c>
      <c r="CG70" s="3349">
        <f t="shared" si="190"/>
        <v>0</v>
      </c>
      <c r="CH70" s="4697" t="e">
        <f t="shared" si="191"/>
        <v>#DIV/0!</v>
      </c>
      <c r="CI70" s="4751"/>
      <c r="CJ70" s="3341">
        <f t="shared" si="192"/>
        <v>0</v>
      </c>
      <c r="CK70" s="3341">
        <f t="shared" si="192"/>
        <v>55427.479999999996</v>
      </c>
      <c r="CL70" s="2012">
        <f t="shared" si="193"/>
        <v>55427.479999999996</v>
      </c>
      <c r="CM70" s="4697">
        <f t="shared" si="159"/>
        <v>1.0877742593148726E-3</v>
      </c>
      <c r="CN70" s="4699"/>
    </row>
    <row r="71" spans="1:95" s="1396" customFormat="1" ht="13.8" outlineLevel="2">
      <c r="A71" s="1571"/>
      <c r="B71" s="4728" t="s">
        <v>78</v>
      </c>
      <c r="C71" s="3341"/>
      <c r="D71" s="3341"/>
      <c r="E71" s="3349">
        <f t="shared" si="160"/>
        <v>0</v>
      </c>
      <c r="F71" s="4697" t="e">
        <f t="shared" si="125"/>
        <v>#DIV/0!</v>
      </c>
      <c r="G71" s="4751"/>
      <c r="H71" s="3341"/>
      <c r="I71" s="3341"/>
      <c r="J71" s="3349">
        <f t="shared" si="161"/>
        <v>0</v>
      </c>
      <c r="K71" s="4697" t="e">
        <f t="shared" si="162"/>
        <v>#DIV/0!</v>
      </c>
      <c r="L71" s="4751"/>
      <c r="M71" s="3341"/>
      <c r="N71" s="3341"/>
      <c r="O71" s="3349">
        <f t="shared" si="163"/>
        <v>0</v>
      </c>
      <c r="P71" s="4697" t="e">
        <f t="shared" si="164"/>
        <v>#DIV/0!</v>
      </c>
      <c r="Q71" s="4751"/>
      <c r="R71" s="3427">
        <f>PL_Производство!BF71</f>
        <v>0</v>
      </c>
      <c r="S71" s="3427">
        <f>PL_Производство!BG71</f>
        <v>0</v>
      </c>
      <c r="T71" s="2012">
        <f t="shared" si="165"/>
        <v>0</v>
      </c>
      <c r="U71" s="3462"/>
      <c r="V71" s="3462"/>
      <c r="W71" s="3342">
        <f t="shared" si="166"/>
        <v>28306</v>
      </c>
      <c r="X71" s="3342">
        <f t="shared" si="166"/>
        <v>0</v>
      </c>
      <c r="Y71" s="2012">
        <f t="shared" si="167"/>
        <v>28306</v>
      </c>
      <c r="Z71" s="3462"/>
      <c r="AA71" s="3462"/>
      <c r="AB71" s="3341">
        <f>PL_ЦО_Производство!AB71+'МД ООН'!AB71+'МК Ладыжин-3'!AB71+'МК Староконстантинов'!AB71+'МК Армокаркасы'!AB71+'МК Щедро. Флекситанки'!AB71+'МК ЛифтМаркет'!AB71+'МК Укркотлопром'!AB71+'МК Подгорцы.Забор'!AB71+PL_Металлизация!BP71+'МД Бытовка ИТР Нежин'!AB71+'МК Металургбуд.поддоны'!AB71</f>
        <v>28306</v>
      </c>
      <c r="AC71" s="3341">
        <f>PL_ЦО_Производство!AC71+'МД ООН'!AC71+'МК Ладыжин-3'!AC71+'МК Староконстантинов'!AC71+'МК Армокаркасы'!AC71+'МК Щедро. Флекситанки'!AC71+'МК ЛифтМаркет'!AC71+'МК Укркотлопром'!AC71+'МК Подгорцы.Забор'!AC71+PL_Металлизация!BQ71+'МД Бытовка ИТР Нежин'!AC71+'МК Металургбуд.поддоны'!AC71</f>
        <v>0</v>
      </c>
      <c r="AD71" s="3349">
        <f t="shared" si="168"/>
        <v>28306</v>
      </c>
      <c r="AE71" s="4697">
        <f t="shared" si="169"/>
        <v>1.804248627549784E-2</v>
      </c>
      <c r="AF71" s="4751"/>
      <c r="AG71" s="3341">
        <f>PL_ЦО_Производство!AG71+'МД ООН'!AG71+'МК Ладыжин-3'!AG71+'МК Староконстантинов'!AG71+'МК Армокаркасы'!AG71+'МК Щедро. Флекситанки'!AG71+'МК ЛифтМаркет'!AG71+'МК Укркотлопром'!AG71+'МК Подгорцы.Забор'!AG71+PL_Металлизация!BU71+'МД Бытовка ИТР Нежин'!AG71+'МК Металургбуд.поддоны'!AG71</f>
        <v>0</v>
      </c>
      <c r="AH71" s="3341">
        <f>PL_ЦО_Производство!AH71+'МД ООН'!AH71+'МК Ладыжин-3'!AH71+'МК Староконстантинов'!AH71+'МК Армокаркасы'!AH71+'МК Щедро. Флекситанки'!AH71+'МК ЛифтМаркет'!AH71+'МК Укркотлопром'!AH71+'МК Подгорцы.Забор'!AH71+PL_Металлизация!BV71+'МД Бытовка ИТР Нежин'!AH71+'МК Металургбуд.поддоны'!AH71</f>
        <v>0</v>
      </c>
      <c r="AI71" s="3349">
        <f t="shared" si="170"/>
        <v>0</v>
      </c>
      <c r="AJ71" s="4697">
        <f t="shared" si="171"/>
        <v>0</v>
      </c>
      <c r="AK71" s="4751"/>
      <c r="AL71" s="3341">
        <f>PL_ЦО_Производство!AL71+'МД ООН'!AL71+'МК Ладыжин-3'!AL71+'МК Староконстантинов'!AL71+'МК Армокаркасы'!AL71+'МК Щедро. Флекситанки'!AL71+'МК ЛифтМаркет'!AL71+'МК Укркотлопром'!AL71+'МК Подгорцы.Забор'!AL71+PL_Металлизация!BZ71+'МД Бытовка ИТР Нежин'!AL71+'МК Металургбуд.поддоны'!AL71+'МК Нежин-3'!AL71</f>
        <v>0</v>
      </c>
      <c r="AM71" s="3341">
        <f>PL_ЦО_Производство!AM71+'МД ООН'!AM71+'МК Ладыжин-3'!AM71+'МК Староконстантинов'!AM71+'МК Армокаркасы'!AM71+'МК Щедро. Флекситанки'!AM71+'МК ЛифтМаркет'!AM71+'МК Укркотлопром'!AM71+'МК Подгорцы.Забор'!AM71+PL_Металлизация!CA71+'МД Бытовка ИТР Нежин'!AM71+'МК Металургбуд.поддоны'!AM71+'МК Нежин-3'!AM71</f>
        <v>0</v>
      </c>
      <c r="AN71" s="3349">
        <f t="shared" si="172"/>
        <v>0</v>
      </c>
      <c r="AO71" s="4697">
        <f t="shared" si="173"/>
        <v>0</v>
      </c>
      <c r="AP71" s="4751"/>
      <c r="AQ71" s="3341">
        <f>PL_ЦО_Производство!AQ71+'МД ООН'!AQ71+'МК Ладыжин-3'!AQ71+'МК Староконстантинов'!AQ71+'МК Армокаркасы'!AQ71+'МК Щедро. Флекситанки'!AQ71+'МК ЛифтМаркет'!AQ71+'МК Укркотлопром'!AQ71+'МК Подгорцы.Забор'!AQ71+PL_Металлизация!CE71+'МД Бытовка ИТР Нежин'!AQ71+'МК Металургбуд.поддоны'!AQ71+'МК Нежин-3'!AQ71</f>
        <v>0</v>
      </c>
      <c r="AR71" s="3341">
        <f>PL_ЦО_Производство!AR71+'МД ООН'!AR71+'МК Ладыжин-3'!AR71+'МК Староконстантинов'!AR71+'МК Армокаркасы'!AR71+'МК Щедро. Флекситанки'!AR71+'МК ЛифтМаркет'!AR71+'МК Укркотлопром'!AR71+'МК Подгорцы.Забор'!AR71+PL_Металлизация!CF71+'МД Бытовка ИТР Нежин'!AR71+'МК Металургбуд.поддоны'!AR71+'МК Нежин-3'!AR71</f>
        <v>0</v>
      </c>
      <c r="AS71" s="3349">
        <f t="shared" si="174"/>
        <v>0</v>
      </c>
      <c r="AT71" s="4697">
        <f t="shared" si="175"/>
        <v>0</v>
      </c>
      <c r="AU71" s="4751"/>
      <c r="AV71" s="3341">
        <f>PL_ЦО_Производство!AV71+'МД ООН'!AV71+'МК Армокаркасы'!AV71+'МК Подгорцы.Забор'!AV71+'МК Нежин-3'!AV71+'МК РДК.Кран'!AV71+'МК Ворота.Запорожье'!AV71+'МД ВООЗ'!AV71+'МД Казарма.Рекламация'!AV71</f>
        <v>0</v>
      </c>
      <c r="AW71" s="3341">
        <f>PL_ЦО_Производство!AW71+'МД ООН'!AW71+'МК Армокаркасы'!AW71+'МК Подгорцы.Забор'!AW71+'МК Нежин-3'!AW71+'МК РДК.Кран'!AW71+'МК Ворота.Запорожье'!AW71+'МД ВООЗ'!AW71+'МД Казарма.Рекламация'!AW71</f>
        <v>0</v>
      </c>
      <c r="AX71" s="3349">
        <f t="shared" si="176"/>
        <v>0</v>
      </c>
      <c r="AY71" s="4697">
        <f t="shared" si="177"/>
        <v>0</v>
      </c>
      <c r="AZ71" s="4751"/>
      <c r="BA71" s="3341">
        <f>PL_ЦО_Производство!BA71+'МД ООН'!BA71+'МК Ладыжин-3'!BA71+'МК Староконстантинов'!BA71+'МК Армокаркасы'!BA71+'МК Щедро. Флекситанки'!BA71+'МК ЛифтМаркет'!BA71+'МК Укркотлопром'!BA71+'МК Подгорцы.Забор'!BA71+PL_Металлизация!CO71+'МД Бытовка ИТР Нежин'!BA71+'МК Металургбуд.поддоны'!BA71+'МК Нежин-3'!BA71+'МК РДК.Кран'!BA71+'МК Ворота.Запорожье'!BA71+'МД ВООЗ'!BA71+'МД Казарма.Рекламация'!BA71</f>
        <v>0</v>
      </c>
      <c r="BB71" s="3341">
        <f>PL_ЦО_Производство!BB71+'МД ООН'!BB71+'МК Ладыжин-3'!BB71+'МК Староконстантинов'!BB71+'МК Армокаркасы'!BB71+'МК Щедро. Флекситанки'!BB71+'МК ЛифтМаркет'!BB71+'МК Укркотлопром'!BB71+'МК Подгорцы.Забор'!BB71+PL_Металлизация!CP71+'МД Бытовка ИТР Нежин'!BB71+'МК Металургбуд.поддоны'!BB71+'МК Нежин-3'!BB71+'МК РДК.Кран'!BB71+'МК Ворота.Запорожье'!BB71+'МД ВООЗ'!BB71+'МД Казарма.Рекламация'!BB71</f>
        <v>0</v>
      </c>
      <c r="BC71" s="3349">
        <f t="shared" si="178"/>
        <v>0</v>
      </c>
      <c r="BD71" s="4697">
        <f t="shared" si="179"/>
        <v>0</v>
      </c>
      <c r="BE71" s="4751"/>
      <c r="BF71" s="3341">
        <f>PL_ЦО_Производство!BF71+'МД ООН'!BF71+'МК Ладыжин-3'!BF71+'МК Староконстантинов'!BF71+'МК Армокаркасы'!BF71+'МК Щедро. Флекситанки'!BF71+'МК ЛифтМаркет'!BF71+'МК Укркотлопром'!BF71+'МК Подгорцы.Забор'!BF71+PL_Металлизация!CT71+'МД Бытовка ИТР Нежин'!BF71+'МК Металургбуд.поддоны'!BF71+'МК Нежин-3'!BF71+'МК РДК.Кран'!BF71+'МК Ворота.Запорожье'!BF71+'МД ВООЗ'!BF71+'МД Казарма.Рекламация'!BF71</f>
        <v>0</v>
      </c>
      <c r="BG71" s="3341">
        <f>PL_ЦО_Производство!BG71+'МД ООН'!BG71+'МК Ладыжин-3'!BG71+'МК Староконстантинов'!BG71+'МК Армокаркасы'!BG71+'МК Щедро. Флекситанки'!BG71+'МК ЛифтМаркет'!BG71+'МК Укркотлопром'!BG71+'МК Подгорцы.Забор'!BG71+PL_Металлизация!CU71+'МД Бытовка ИТР Нежин'!BG71+'МК Металургбуд.поддоны'!BG71+'МК Нежин-3'!BG71+'МК РДК.Кран'!BG71+'МК Ворота.Запорожье'!BG71+'МД ВООЗ'!BG71+'МД Казарма.Рекламация'!BG71</f>
        <v>0</v>
      </c>
      <c r="BH71" s="3349">
        <f t="shared" si="180"/>
        <v>0</v>
      </c>
      <c r="BI71" s="4697" t="e">
        <f t="shared" si="181"/>
        <v>#DIV/0!</v>
      </c>
      <c r="BJ71" s="4751"/>
      <c r="BK71" s="3341">
        <f>PL_ЦО_Производство!BK71+'МД ООН'!BK71+'МК Ладыжин-3'!BK71+'МК Староконстантинов'!BK71+'МК Армокаркасы'!BK71+'МК Щедро. Флекситанки'!BK71+'МК ЛифтМаркет'!BK71+'МК Укркотлопром'!BK71+'МК Подгорцы.Забор'!BK71+PL_Металлизация!CY71+'МД Бытовка ИТР Нежин'!BK71+'МК Металургбуд.поддоны'!BK71+'МК Нежин-3'!BK71+'МК РДК.Кран'!BK71+'МК Ворота.Запорожье'!BK71+'МД ВООЗ'!BK71+'МД Казарма.Рекламация'!BK71</f>
        <v>0</v>
      </c>
      <c r="BL71" s="3341">
        <f>PL_ЦО_Производство!BL71+'МД ООН'!BL71+'МК Ладыжин-3'!BL71+'МК Староконстантинов'!BL71+'МК Армокаркасы'!BL71+'МК Щедро. Флекситанки'!BL71+'МК ЛифтМаркет'!BL71+'МК Укркотлопром'!BL71+'МК Подгорцы.Забор'!BL71+PL_Металлизация!CZ71+'МД Бытовка ИТР Нежин'!BL71+'МК Металургбуд.поддоны'!BL71+'МК Нежин-3'!BL71+'МК РДК.Кран'!BL71+'МК Ворота.Запорожье'!BL71+'МД ВООЗ'!BL71+'МД Казарма.Рекламация'!BL71</f>
        <v>0</v>
      </c>
      <c r="BM71" s="3349">
        <f t="shared" si="182"/>
        <v>0</v>
      </c>
      <c r="BN71" s="4697" t="e">
        <f t="shared" si="183"/>
        <v>#DIV/0!</v>
      </c>
      <c r="BO71" s="4751"/>
      <c r="BP71" s="3341">
        <f>PL_ЦО_Производство!BP71+'МД ООН'!BP71+'МК Ладыжин-3'!BP71+'МК Староконстантинов'!BP71+'МК Армокаркасы'!BP71+'МК Щедро. Флекситанки'!BP71+'МК ЛифтМаркет'!BP71+'МК Укркотлопром'!BP71+'МК Подгорцы.Забор'!BP71+PL_Металлизация!DD71+'МД Бытовка ИТР Нежин'!BP71+'МК Металургбуд.поддоны'!BP71+'МК Нежин-3'!BP71+'МК РДК.Кран'!BP71+'МК Ворота.Запорожье'!BP71+'МД ВООЗ'!BP71+'МД Казарма.Рекламация'!BP71</f>
        <v>0</v>
      </c>
      <c r="BQ71" s="3341">
        <f>PL_ЦО_Производство!BQ71+'МД ООН'!BQ71+'МК Ладыжин-3'!BQ71+'МК Староконстантинов'!BQ71+'МК Армокаркасы'!BQ71+'МК Щедро. Флекситанки'!BQ71+'МК ЛифтМаркет'!BQ71+'МК Укркотлопром'!BQ71+'МК Подгорцы.Забор'!BQ71+PL_Металлизация!DE71+'МД Бытовка ИТР Нежин'!BQ71+'МК Металургбуд.поддоны'!BQ71+'МК Нежин-3'!BQ71+'МК РДК.Кран'!BQ71+'МК Ворота.Запорожье'!BQ71+'МД ВООЗ'!BQ71+'МД Казарма.Рекламация'!BQ71</f>
        <v>0</v>
      </c>
      <c r="BR71" s="3349">
        <f t="shared" si="184"/>
        <v>0</v>
      </c>
      <c r="BS71" s="4697" t="e">
        <f t="shared" si="185"/>
        <v>#DIV/0!</v>
      </c>
      <c r="BT71" s="4751"/>
      <c r="BU71" s="3341">
        <f>PL_ЦО_Производство!BU71+'МД ООН'!BU71+'МК Ладыжин-3'!BU71+'МК Староконстантинов'!BU71+'МК Армокаркасы'!BU71+'МК Щедро. Флекситанки'!BU71+'МК ЛифтМаркет'!BU71+'МК Укркотлопром'!BU71+'МК Подгорцы.Забор'!BU71+PL_Металлизация!DI71+'МД Бытовка ИТР Нежин'!BU71+'МК Металургбуд.поддоны'!BU71+'МК Нежин-3'!BU71+'МК РДК.Кран'!BU71+'МК Ворота.Запорожье'!BU71+'МД ВООЗ'!BU71+'МД Казарма.Рекламация'!BU71</f>
        <v>0</v>
      </c>
      <c r="BV71" s="3341">
        <f>PL_ЦО_Производство!BV71+'МД ООН'!BV71+'МК Ладыжин-3'!BV71+'МК Староконстантинов'!BV71+'МК Армокаркасы'!BV71+'МК Щедро. Флекситанки'!BV71+'МК ЛифтМаркет'!BV71+'МК Укркотлопром'!BV71+'МК Подгорцы.Забор'!BV71+PL_Металлизация!DJ71+'МД Бытовка ИТР Нежин'!BV71+'МК Металургбуд.поддоны'!BV71+'МК Нежин-3'!BV71+'МК РДК.Кран'!BV71+'МК Ворота.Запорожье'!BV71+'МД ВООЗ'!BV71+'МД Казарма.Рекламация'!BV71</f>
        <v>0</v>
      </c>
      <c r="BW71" s="3349">
        <f t="shared" si="186"/>
        <v>0</v>
      </c>
      <c r="BX71" s="4697" t="e">
        <f t="shared" si="187"/>
        <v>#DIV/0!</v>
      </c>
      <c r="BY71" s="4751"/>
      <c r="BZ71" s="3341">
        <f>PL_ЦО_Производство!BZ71+'МД ООН'!BZ71+'МК Ладыжин-3'!BZ71+'МК Староконстантинов'!BZ71+'МК Армокаркасы'!BZ71+'МК Щедро. Флекситанки'!BZ71+'МК ЛифтМаркет'!BZ71+'МК Укркотлопром'!BZ71+'МК Подгорцы.Забор'!BZ71+PL_Металлизация!DN71+'МД Бытовка ИТР Нежин'!BZ71+'МК Металургбуд.поддоны'!BZ71+'МК Нежин-3'!BZ71+'МК РДК.Кран'!BZ71+'МК Ворота.Запорожье'!BZ71+'МД ВООЗ'!BZ71+'МД Казарма.Рекламация'!BZ71</f>
        <v>0</v>
      </c>
      <c r="CA71" s="3341">
        <f>PL_ЦО_Производство!CA71+'МД ООН'!CA71+'МК Ладыжин-3'!CA71+'МК Староконстантинов'!CA71+'МК Армокаркасы'!CA71+'МК Щедро. Флекситанки'!CA71+'МК ЛифтМаркет'!CA71+'МК Укркотлопром'!CA71+'МК Подгорцы.Забор'!CA71+PL_Металлизация!DO71+'МД Бытовка ИТР Нежин'!CA71+'МК Металургбуд.поддоны'!CA71+'МК Нежин-3'!CA71+'МК РДК.Кран'!CA71+'МК Ворота.Запорожье'!CA71+'МД ВООЗ'!CA71+'МД Казарма.Рекламация'!CA71</f>
        <v>0</v>
      </c>
      <c r="CB71" s="3349">
        <f t="shared" si="188"/>
        <v>0</v>
      </c>
      <c r="CC71" s="4697" t="e">
        <f t="shared" si="189"/>
        <v>#DIV/0!</v>
      </c>
      <c r="CD71" s="4751"/>
      <c r="CE71" s="3341">
        <f>PL_ЦО_Производство!CE71+'МД ООН'!CE71+'МК Ладыжин-3'!CE71+'МК Староконстантинов'!CE71+'МК Армокаркасы'!CE71+'МК Щедро. Флекситанки'!CE71+'МК ЛифтМаркет'!CE71+'МК Укркотлопром'!CE71+'МК Подгорцы.Забор'!CE71+PL_Металлизация!DS71+'МД Бытовка ИТР Нежин'!CE71+'МК Металургбуд.поддоны'!CE71+'МК Нежин-3'!CE71+'МК РДК.Кран'!CE71+'МК Ворота.Запорожье'!CE71+'МД ВООЗ'!CE71+'МД Казарма.Рекламация'!CE71</f>
        <v>0</v>
      </c>
      <c r="CF71" s="3341">
        <f>PL_ЦО_Производство!CF71+'МД ООН'!CF71+'МК Ладыжин-3'!CF71+'МК Староконстантинов'!CF71+'МК Армокаркасы'!CF71+'МК Щедро. Флекситанки'!CF71+'МК ЛифтМаркет'!CF71+'МК Укркотлопром'!CF71+'МК Подгорцы.Забор'!CF71+PL_Металлизация!DT71+'МД Бытовка ИТР Нежин'!CF71+'МК Металургбуд.поддоны'!CF71+'МК Нежин-3'!CF71+'МК РДК.Кран'!CF71+'МК Ворота.Запорожье'!CF71+'МД ВООЗ'!CF71+'МД Казарма.Рекламация'!CF71</f>
        <v>0</v>
      </c>
      <c r="CG71" s="3349">
        <f t="shared" si="190"/>
        <v>0</v>
      </c>
      <c r="CH71" s="4697" t="e">
        <f t="shared" si="191"/>
        <v>#DIV/0!</v>
      </c>
      <c r="CI71" s="4751"/>
      <c r="CJ71" s="3341">
        <f t="shared" si="192"/>
        <v>28306</v>
      </c>
      <c r="CK71" s="3341">
        <f t="shared" si="192"/>
        <v>0</v>
      </c>
      <c r="CL71" s="2012">
        <f t="shared" si="193"/>
        <v>28306</v>
      </c>
      <c r="CM71" s="4697">
        <f t="shared" si="159"/>
        <v>5.5551033862926455E-4</v>
      </c>
      <c r="CN71" s="4699"/>
    </row>
    <row r="72" spans="1:95" s="1396" customFormat="1" ht="13.8" outlineLevel="2">
      <c r="A72" s="1571"/>
      <c r="B72" s="4768"/>
      <c r="C72" s="4704"/>
      <c r="D72" s="4704"/>
      <c r="E72" s="4756"/>
      <c r="F72" s="4697"/>
      <c r="G72" s="4751"/>
      <c r="H72" s="4704"/>
      <c r="I72" s="4704"/>
      <c r="J72" s="4756"/>
      <c r="K72" s="4697" t="e">
        <f t="shared" si="162"/>
        <v>#DIV/0!</v>
      </c>
      <c r="L72" s="4751"/>
      <c r="M72" s="4704"/>
      <c r="N72" s="4704"/>
      <c r="O72" s="4756"/>
      <c r="P72" s="4697" t="e">
        <f t="shared" si="164"/>
        <v>#DIV/0!</v>
      </c>
      <c r="Q72" s="4751"/>
      <c r="R72" s="4825"/>
      <c r="S72" s="4825"/>
      <c r="T72" s="4751"/>
      <c r="U72" s="4751"/>
      <c r="V72" s="4751"/>
      <c r="W72" s="4751"/>
      <c r="X72" s="4751"/>
      <c r="Y72" s="4751"/>
      <c r="Z72" s="4751"/>
      <c r="AA72" s="4751"/>
      <c r="AB72" s="4704"/>
      <c r="AC72" s="4704"/>
      <c r="AD72" s="4756"/>
      <c r="AE72" s="4697"/>
      <c r="AF72" s="4751"/>
      <c r="AG72" s="4704"/>
      <c r="AH72" s="4704"/>
      <c r="AI72" s="4756"/>
      <c r="AJ72" s="4697"/>
      <c r="AK72" s="4751"/>
      <c r="AL72" s="4704"/>
      <c r="AM72" s="4704"/>
      <c r="AN72" s="4756"/>
      <c r="AO72" s="4697"/>
      <c r="AP72" s="4751"/>
      <c r="AQ72" s="4704"/>
      <c r="AR72" s="4704"/>
      <c r="AS72" s="4756"/>
      <c r="AT72" s="4697"/>
      <c r="AU72" s="4751"/>
      <c r="AV72" s="4704"/>
      <c r="AW72" s="4704"/>
      <c r="AX72" s="4756"/>
      <c r="AY72" s="4697"/>
      <c r="AZ72" s="4751"/>
      <c r="BA72" s="4704"/>
      <c r="BB72" s="4704"/>
      <c r="BC72" s="4756"/>
      <c r="BD72" s="4697"/>
      <c r="BE72" s="4751"/>
      <c r="BF72" s="4704"/>
      <c r="BG72" s="4704"/>
      <c r="BH72" s="4756"/>
      <c r="BI72" s="4697"/>
      <c r="BJ72" s="4751"/>
      <c r="BK72" s="4704"/>
      <c r="BL72" s="4704"/>
      <c r="BM72" s="4756"/>
      <c r="BN72" s="4697"/>
      <c r="BO72" s="4751"/>
      <c r="BP72" s="4704"/>
      <c r="BQ72" s="4704"/>
      <c r="BR72" s="4756"/>
      <c r="BS72" s="4697"/>
      <c r="BT72" s="4751"/>
      <c r="BU72" s="4704"/>
      <c r="BV72" s="4704"/>
      <c r="BW72" s="4756"/>
      <c r="BX72" s="4697"/>
      <c r="BY72" s="4751"/>
      <c r="BZ72" s="4704"/>
      <c r="CA72" s="4704"/>
      <c r="CB72" s="4756"/>
      <c r="CC72" s="4697"/>
      <c r="CD72" s="4751"/>
      <c r="CE72" s="4704"/>
      <c r="CF72" s="4704"/>
      <c r="CG72" s="4756"/>
      <c r="CH72" s="4697"/>
      <c r="CI72" s="4751"/>
      <c r="CJ72" s="4704"/>
      <c r="CK72" s="4704"/>
      <c r="CL72" s="4756"/>
      <c r="CM72" s="4697">
        <f>CL72/$CL$89</f>
        <v>0</v>
      </c>
      <c r="CN72" s="4699"/>
    </row>
    <row r="73" spans="1:95"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718163.23</v>
      </c>
      <c r="S73" s="3757">
        <f>S74</f>
        <v>0</v>
      </c>
      <c r="T73" s="3739">
        <f>T74</f>
        <v>0</v>
      </c>
      <c r="U73" s="3738"/>
      <c r="V73" s="3742"/>
      <c r="W73" s="555">
        <f>W74</f>
        <v>0</v>
      </c>
      <c r="X73" s="3738">
        <f>X74</f>
        <v>0</v>
      </c>
      <c r="Y73" s="3739">
        <f>Y74</f>
        <v>0</v>
      </c>
      <c r="Z73" s="3738"/>
      <c r="AA73" s="3742"/>
      <c r="AB73" s="555">
        <f>AB74</f>
        <v>0</v>
      </c>
      <c r="AC73" s="3738">
        <f>AC74</f>
        <v>0</v>
      </c>
      <c r="AD73" s="3739">
        <f>AD74</f>
        <v>0</v>
      </c>
      <c r="AE73" s="3738"/>
      <c r="AF73" s="3741"/>
      <c r="AG73" s="4773">
        <f>AG74</f>
        <v>0</v>
      </c>
      <c r="AH73" s="3738">
        <f>AH74</f>
        <v>0</v>
      </c>
      <c r="AI73" s="3739">
        <f>AI74</f>
        <v>0</v>
      </c>
      <c r="AJ73" s="3738"/>
      <c r="AK73" s="3741"/>
      <c r="AL73" s="555">
        <f>AL74</f>
        <v>0</v>
      </c>
      <c r="AM73" s="4826">
        <f>AM74</f>
        <v>0</v>
      </c>
      <c r="AN73" s="3739">
        <f>AN74</f>
        <v>0</v>
      </c>
      <c r="AO73" s="3738"/>
      <c r="AP73" s="3741"/>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row>
    <row r="74" spans="1:95" s="1396" customFormat="1" ht="14.4" outlineLevel="1" thickBot="1">
      <c r="A74" s="1413"/>
      <c r="B74" s="1051" t="s">
        <v>64</v>
      </c>
      <c r="C74" s="3341"/>
      <c r="D74" s="3341"/>
      <c r="E74" s="3386">
        <f>C74+D74*1</f>
        <v>0</v>
      </c>
      <c r="F74" s="3386"/>
      <c r="G74" s="3468"/>
      <c r="H74" s="3341"/>
      <c r="I74" s="3341"/>
      <c r="J74" s="3386">
        <f>H74+I74*1</f>
        <v>0</v>
      </c>
      <c r="K74" s="4697" t="e">
        <f t="shared" ref="K74" si="194">J74/J$89</f>
        <v>#DIV/0!</v>
      </c>
      <c r="L74" s="3468"/>
      <c r="M74" s="3341"/>
      <c r="N74" s="3341"/>
      <c r="O74" s="3386">
        <f>M74+N74*1</f>
        <v>0</v>
      </c>
      <c r="P74" s="4697" t="e">
        <f t="shared" ref="P74" si="195">O74/O$89</f>
        <v>#DIV/0!</v>
      </c>
      <c r="Q74" s="3468"/>
      <c r="R74" s="3427">
        <f>PL_Производство!BF74</f>
        <v>718163.23</v>
      </c>
      <c r="S74" s="3427">
        <f>PL_Производство!BG74</f>
        <v>0</v>
      </c>
      <c r="T74" s="3469"/>
      <c r="U74" s="3469"/>
      <c r="V74" s="3469"/>
      <c r="W74" s="3342">
        <f t="shared" ref="W74:X74" si="196">AB74+AG74+AL74+AV74+BA74+BF74+BK74+BP74+BU74+BZ74+CE74+AQ74</f>
        <v>0</v>
      </c>
      <c r="X74" s="3342">
        <f t="shared" si="196"/>
        <v>0</v>
      </c>
      <c r="Y74" s="2012">
        <f t="shared" ref="Y74" si="197">W74+X74</f>
        <v>0</v>
      </c>
      <c r="Z74" s="3469"/>
      <c r="AA74" s="3469"/>
      <c r="AB74" s="3341">
        <f>PL_ЦО_Производство!AB74+'МД ООН'!AB74+'МК Ладыжин-3'!AB74+'МК Староконстантинов'!AB74+'МК Армокаркасы'!AB74+'МК Щедро. Флекситанки'!AB74+'МК ЛифтМаркет'!AB74+'МК Укркотлопром'!AB74+'МК Подгорцы.Забор'!AB74+PL_Металлизация!BP74</f>
        <v>0</v>
      </c>
      <c r="AC74" s="3341">
        <f>PL_ЦО_Производство!AC74+'МД ООН'!AC74+'МК Ладыжин-3'!AC74+'МК Староконстантинов'!AC74+'МК Армокаркасы'!AC74+'МК Щедро. Флекситанки'!AC74+'МК ЛифтМаркет'!AC74+'МК Укркотлопром'!AC74+'МК Подгорцы.Забор'!AC74+PL_Металлизация!BQ74</f>
        <v>0</v>
      </c>
      <c r="AD74" s="3386">
        <f>AB74+AC74*1</f>
        <v>0</v>
      </c>
      <c r="AE74" s="3386"/>
      <c r="AF74" s="3468"/>
      <c r="AG74" s="3341">
        <f>PL_ЦО_Производство!AG74+'МД ООН'!AG74+'МК Ладыжин-3'!AG74+'МК Староконстантинов'!AG74+'МК Армокаркасы'!AG74+'МК Щедро. Флекситанки'!AG74+'МК ЛифтМаркет'!AG74+'МК Укркотлопром'!AG74+'МК Подгорцы.Забор'!AG74+PL_Металлизация!BU74+'МД Бытовка ИТР Нежин'!AG74+'МК Металургбуд.поддоны'!AG74</f>
        <v>0</v>
      </c>
      <c r="AH74" s="3341">
        <f>PL_ЦО_Производство!AH74+'МД ООН'!AH74+'МК Ладыжин-3'!AH74+'МК Староконстантинов'!AH74+'МК Армокаркасы'!AH74+'МК Щедро. Флекситанки'!AH74+'МК ЛифтМаркет'!AH74+'МК Укркотлопром'!AH74+'МК Подгорцы.Забор'!AH74+PL_Металлизация!BV74+'МД Бытовка ИТР Нежин'!AH74+'МК Металургбуд.поддоны'!AH74</f>
        <v>0</v>
      </c>
      <c r="AI74" s="3349">
        <f>AG74+AH74*1</f>
        <v>0</v>
      </c>
      <c r="AJ74" s="3386"/>
      <c r="AK74" s="3468"/>
      <c r="AL74" s="3341">
        <f>PL_ЦО_Производство!AL74+'МД ООН'!AL74+'МК Ладыжин-3'!AL74+'МК Староконстантинов'!AL74+'МК Армокаркасы'!AL74+'МК Щедро. Флекситанки'!AL74+'МК ЛифтМаркет'!AL74+'МК Укркотлопром'!AL74+'МК Подгорцы.Забор'!AL74+PL_Металлизация!BZ74+'МД Бытовка ИТР Нежин'!AL74+'МК Металургбуд.поддоны'!AL74+'МК Нежин-3'!AL74</f>
        <v>0</v>
      </c>
      <c r="AM74" s="3341">
        <f>PL_ЦО_Производство!AM74+'МД ООН'!AM74+'МК Ладыжин-3'!AM74+'МК Староконстантинов'!AM74+'МК Армокаркасы'!AM74+'МК Щедро. Флекситанки'!AM74+'МК ЛифтМаркет'!AM74+'МК Укркотлопром'!AM74+'МК Подгорцы.Забор'!AM74+PL_Металлизация!CA74+'МД Бытовка ИТР Нежин'!AM74+'МК Металургбуд.поддоны'!AM74+'МК Нежин-3'!AM74</f>
        <v>0</v>
      </c>
      <c r="AN74" s="3349">
        <f t="shared" ref="AN74" si="198">AL74+AM74</f>
        <v>0</v>
      </c>
      <c r="AO74" s="3386"/>
      <c r="AP74" s="3468"/>
      <c r="AQ74" s="3341">
        <f>PL_ЦО_Производство!AQ74+'МД ООН'!AQ74+'МК Ладыжин-3'!AQ74+'МК Староконстантинов'!AQ74+'МК Армокаркасы'!AQ74+'МК Щедро. Флекситанки'!AQ74+'МК ЛифтМаркет'!AQ74+'МК Укркотлопром'!AQ74+'МК Подгорцы.Забор'!AQ74+PL_Металлизация!CE74</f>
        <v>0</v>
      </c>
      <c r="AR74" s="3341">
        <f>PL_ЦО_Производство!AR74+'МД ООН'!AR74+'МК Ладыжин-3'!AR74+'МК Староконстантинов'!AR74+'МК Армокаркасы'!AR74+'МК Щедро. Флекситанки'!AR74+'МК ЛифтМаркет'!AR74+'МК Укркотлопром'!AR74+'МК Подгорцы.Забор'!AR74+PL_Металлизация!CF74</f>
        <v>0</v>
      </c>
      <c r="AS74" s="3349">
        <f t="shared" ref="AS74" si="199">AQ74+AR74</f>
        <v>0</v>
      </c>
      <c r="AT74" s="3386"/>
      <c r="AU74" s="3468"/>
      <c r="AV74" s="3341">
        <f>PL_ЦО_Производство!AV74+'МД ООН'!AV74+'МК Армокаркасы'!AV74+'МК Подгорцы.Забор'!AV74+'МК Нежин-3'!AV74+'МК РДК.Кран'!AV74+'МК Ворота.Запорожье'!AV74+'МД ВООЗ'!AV74+'МД Казарма.Рекламация'!AV74</f>
        <v>0</v>
      </c>
      <c r="AW74" s="3341">
        <f>PL_ЦО_Производство!AW74+'МД ООН'!AW74+'МК Армокаркасы'!AW74+'МК Подгорцы.Забор'!AW74+'МК Нежин-3'!AW74+'МК РДК.Кран'!AW74+'МК Ворота.Запорожье'!AW74+'МД ВООЗ'!AW74+'МД Казарма.Рекламация'!AW74</f>
        <v>0</v>
      </c>
      <c r="AX74" s="2012">
        <f>AV74+AW74</f>
        <v>0</v>
      </c>
      <c r="AY74" s="3386"/>
      <c r="AZ74" s="3468"/>
      <c r="BA74" s="3341">
        <f>PL_ЦО_Производство!BA74+'МД ООН'!BA74+'МК Ладыжин-3'!BA74+'МК Староконстантинов'!BA74+'МК Армокаркасы'!BA74+'МК Щедро. Флекситанки'!BA74+'МК ЛифтМаркет'!BA74+'МК Укркотлопром'!BA74+'МК Подгорцы.Забор'!BA74+PL_Металлизация!CO74</f>
        <v>0</v>
      </c>
      <c r="BB74" s="3341">
        <f>PL_ЦО_Производство!BB74+'МД ООН'!BB74+'МК Ладыжин-3'!BB74+'МК Староконстантинов'!BB74+'МК Армокаркасы'!BB74+'МК Щедро. Флекситанки'!BB74+'МК ЛифтМаркет'!BB74+'МК Укркотлопром'!BB74+'МК Подгорцы.Забор'!BB74+PL_Металлизация!CP74</f>
        <v>0</v>
      </c>
      <c r="BC74" s="3386">
        <f>BA74+BB74*1</f>
        <v>0</v>
      </c>
      <c r="BD74" s="3386"/>
      <c r="BE74" s="3468"/>
      <c r="BF74" s="3341">
        <f>PL_ЦО_Производство!BF74+'МД ООН'!BF74+'МК Ладыжин-3'!BF74+'МК Староконстантинов'!BF74+'МК Армокаркасы'!BF74+'МК Щедро. Флекситанки'!BF74+'МК ЛифтМаркет'!BF74+'МК Укркотлопром'!BF74+'МК Подгорцы.Забор'!BF74+PL_Металлизация!CT74</f>
        <v>0</v>
      </c>
      <c r="BG74" s="3341">
        <f>PL_ЦО_Производство!BG74+'МД ООН'!BG74+'МК Ладыжин-3'!BG74+'МК Староконстантинов'!BG74+'МК Армокаркасы'!BG74+'МК Щедро. Флекситанки'!BG74+'МК ЛифтМаркет'!BG74+'МК Укркотлопром'!BG74+'МК Подгорцы.Забор'!BG74+PL_Металлизация!CU74</f>
        <v>0</v>
      </c>
      <c r="BH74" s="3386">
        <f>BF74+BG74*1</f>
        <v>0</v>
      </c>
      <c r="BI74" s="3386"/>
      <c r="BJ74" s="3468"/>
      <c r="BK74" s="3341">
        <f>PL_ЦО_Производство!BK74+'МД ООН'!BK74+'МК Ладыжин-3'!BK74+'МК Староконстантинов'!BK74+'МК Армокаркасы'!BK74+'МК Щедро. Флекситанки'!BK74+'МК ЛифтМаркет'!BK74+'МК Укркотлопром'!BK74+'МК Подгорцы.Забор'!BK74+PL_Металлизация!CY74</f>
        <v>0</v>
      </c>
      <c r="BL74" s="3341">
        <f>PL_ЦО_Производство!BL74+'МД ООН'!BL74+'МК Ладыжин-3'!BL74+'МК Староконстантинов'!BL74+'МК Армокаркасы'!BL74+'МК Щедро. Флекситанки'!BL74+'МК ЛифтМаркет'!BL74+'МК Укркотлопром'!BL74+'МК Подгорцы.Забор'!BL74+PL_Металлизация!CZ74</f>
        <v>0</v>
      </c>
      <c r="BM74" s="3386">
        <f>BK74+BL74*1</f>
        <v>0</v>
      </c>
      <c r="BN74" s="3386"/>
      <c r="BO74" s="3468"/>
      <c r="BP74" s="3341">
        <f>PL_ЦО_Производство!BP74+'МД ООН'!BP74+'МК Ладыжин-3'!BP74+'МК Староконстантинов'!BP74+'МК Армокаркасы'!BP74+'МК Щедро. Флекситанки'!BP74+'МК ЛифтМаркет'!BP74+'МК Укркотлопром'!BP74+'МК Подгорцы.Забор'!BP74+PL_Металлизация!DD74</f>
        <v>0</v>
      </c>
      <c r="BQ74" s="3341">
        <f>PL_ЦО_Производство!BQ74+'МД ООН'!BQ74+'МК Ладыжин-3'!BQ74+'МК Староконстантинов'!BQ74+'МК Армокаркасы'!BQ74+'МК Щедро. Флекситанки'!BQ74+'МК ЛифтМаркет'!BQ74+'МК Укркотлопром'!BQ74+'МК Подгорцы.Забор'!BQ74+PL_Металлизация!DE74</f>
        <v>0</v>
      </c>
      <c r="BR74" s="3386">
        <f>BP74+BQ74*1</f>
        <v>0</v>
      </c>
      <c r="BS74" s="3386"/>
      <c r="BT74" s="3468"/>
      <c r="BU74" s="3341">
        <f>PL_ЦО_Производство!BU74+'МД ООН'!BU74+'МК Ладыжин-3'!BU74+'МК Староконстантинов'!BU74+'МК Армокаркасы'!BU74+'МК Щедро. Флекситанки'!BU74+'МК ЛифтМаркет'!BU74+'МК Укркотлопром'!BU74+'МК Подгорцы.Забор'!BU74+PL_Металлизация!DI74</f>
        <v>0</v>
      </c>
      <c r="BV74" s="3341">
        <f>PL_ЦО_Производство!BV74+'МД ООН'!BV74+'МК Ладыжин-3'!BV74+'МК Староконстантинов'!BV74+'МК Армокаркасы'!BV74+'МК Щедро. Флекситанки'!BV74+'МК ЛифтМаркет'!BV74+'МК Укркотлопром'!BV74+'МК Подгорцы.Забор'!BV74+PL_Металлизация!DJ74</f>
        <v>0</v>
      </c>
      <c r="BW74" s="3386">
        <f>BU74+BV74*1</f>
        <v>0</v>
      </c>
      <c r="BX74" s="3386"/>
      <c r="BY74" s="3468"/>
      <c r="BZ74" s="3341">
        <f>PL_ЦО_Производство!BZ74+'МД ООН'!BZ74+'МК Ладыжин-3'!BZ74+'МК Староконстантинов'!BZ74+'МК Армокаркасы'!BZ74+'МК Щедро. Флекситанки'!BZ74+'МК ЛифтМаркет'!BZ74+'МК Укркотлопром'!BZ74+'МК Подгорцы.Забор'!BZ74+PL_Металлизация!DN74</f>
        <v>0</v>
      </c>
      <c r="CA74" s="3341">
        <f>PL_ЦО_Производство!CA74+'МД ООН'!CA74+'МК Ладыжин-3'!CA74+'МК Староконстантинов'!CA74+'МК Армокаркасы'!CA74+'МК Щедро. Флекситанки'!CA74+'МК ЛифтМаркет'!CA74+'МК Укркотлопром'!CA74+'МК Подгорцы.Забор'!CA74+PL_Металлизация!DO74</f>
        <v>0</v>
      </c>
      <c r="CB74" s="3386">
        <f>BZ74+CA74*1</f>
        <v>0</v>
      </c>
      <c r="CC74" s="3386"/>
      <c r="CD74" s="3468"/>
      <c r="CE74" s="3341">
        <f>PL_ЦО_Производство!CE74+'МД ООН'!CE74+'МК Ладыжин-3'!CE74+'МК Староконстантинов'!CE74+'МК Армокаркасы'!CE74+'МК Щедро. Флекситанки'!CE74+'МК ЛифтМаркет'!CE74+'МК Укркотлопром'!CE74+'МК Подгорцы.Забор'!CE74+PL_Металлизация!DS74</f>
        <v>0</v>
      </c>
      <c r="CF74" s="3341">
        <f>PL_ЦО_Производство!CF74+'МД ООН'!CF74+'МК Ладыжин-3'!CF74+'МК Староконстантинов'!CF74+'МК Армокаркасы'!CF74+'МК Щедро. Флекситанки'!CF74+'МК ЛифтМаркет'!CF74+'МК Укркотлопром'!CF74+'МК Подгорцы.Забор'!CF74+PL_Металлизация!DT74</f>
        <v>0</v>
      </c>
      <c r="CG74" s="3386">
        <f>CE74+CF74*1</f>
        <v>0</v>
      </c>
      <c r="CH74" s="3386"/>
      <c r="CI74" s="3468"/>
      <c r="CJ74" s="3341">
        <f>C74+H74+M74</f>
        <v>0</v>
      </c>
      <c r="CK74" s="3341">
        <f>D74+I74+N74</f>
        <v>0</v>
      </c>
      <c r="CL74" s="3386">
        <f>CJ74+CK74*1</f>
        <v>0</v>
      </c>
      <c r="CM74" s="3386"/>
      <c r="CN74" s="3386"/>
      <c r="CP74" s="3983">
        <f>'МД ООН'!AG73</f>
        <v>0</v>
      </c>
      <c r="CQ74" s="3778" t="s">
        <v>1932</v>
      </c>
    </row>
    <row r="75" spans="1:95"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0</v>
      </c>
      <c r="O75" s="1508">
        <f>O38-O41-O50-O54</f>
        <v>0</v>
      </c>
      <c r="P75" s="1953"/>
      <c r="Q75" s="1058"/>
      <c r="R75" s="1958">
        <f>R38-R41-R50-R54</f>
        <v>25097579.851999994</v>
      </c>
      <c r="S75" s="1958">
        <f>S38-S41-S50-S54</f>
        <v>-12195946.310000001</v>
      </c>
      <c r="T75" s="1508">
        <f>T38-T41-T50-T54</f>
        <v>12901633.541999998</v>
      </c>
      <c r="U75" s="3470"/>
      <c r="V75" s="3470"/>
      <c r="W75" s="1450">
        <f>W38-W41-W50-W54</f>
        <v>1005704.2986580436</v>
      </c>
      <c r="X75" s="1450">
        <f>X38-X41-X50-X54</f>
        <v>-2637127.2430105545</v>
      </c>
      <c r="Y75" s="1508">
        <f>Y38-Y41-Y50-Y54</f>
        <v>-1631422.9443525109</v>
      </c>
      <c r="Z75" s="3470"/>
      <c r="AA75" s="3470"/>
      <c r="AB75" s="1450">
        <f>AB38-AB41-AB50-AB54</f>
        <v>-615333.76399999997</v>
      </c>
      <c r="AC75" s="1450">
        <f>AC38-AC41-AC50-AC54</f>
        <v>-599498.0048</v>
      </c>
      <c r="AD75" s="1508">
        <f>AD38-AD41-AD50-AD54</f>
        <v>-1214831.7688</v>
      </c>
      <c r="AE75" s="1953"/>
      <c r="AF75" s="1058"/>
      <c r="AG75" s="1450">
        <f>AG38-AG41-AG50-AG54</f>
        <v>180398.23399999988</v>
      </c>
      <c r="AH75" s="1450">
        <f>AH38-AH41-AH50-AH54</f>
        <v>-594345.12479999999</v>
      </c>
      <c r="AI75" s="1508">
        <f>AI38-AI41-AI50-AI54</f>
        <v>-413946.89079999988</v>
      </c>
      <c r="AJ75" s="1953"/>
      <c r="AK75" s="1058"/>
      <c r="AL75" s="1450">
        <f>AL38-AL41-AL50-AL54</f>
        <v>482703.07999999984</v>
      </c>
      <c r="AM75" s="1450">
        <f>AM38-AM41-AM50-AM54</f>
        <v>164244.85000000003</v>
      </c>
      <c r="AN75" s="1508">
        <f>AN38-AN41-AN50-AN54</f>
        <v>646947.92999999993</v>
      </c>
      <c r="AO75" s="1953"/>
      <c r="AP75" s="1058"/>
      <c r="AQ75" s="1450">
        <f>AQ38-AQ41-AQ50-AQ54</f>
        <v>362170.5340000001</v>
      </c>
      <c r="AR75" s="1450">
        <f>AR38-AR41-AR50-AR54</f>
        <v>-518506</v>
      </c>
      <c r="AS75" s="1508">
        <f>AS38-AS41-AS50-AS54</f>
        <v>-156335.46599999996</v>
      </c>
      <c r="AT75" s="1953"/>
      <c r="AU75" s="1058"/>
      <c r="AV75" s="1450">
        <f>AV38-AV41-AV50-AV54</f>
        <v>983190.8</v>
      </c>
      <c r="AW75" s="1450">
        <f>AW38-AW41-AW50-AW54</f>
        <v>-452942</v>
      </c>
      <c r="AX75" s="1508">
        <f>AX38-AX41-AX50-AX54</f>
        <v>530248.79999999993</v>
      </c>
      <c r="AY75" s="1953"/>
      <c r="AZ75" s="1058"/>
      <c r="BA75" s="1450">
        <f>BA38-BA41-BA50-BA54</f>
        <v>-387424.58534195641</v>
      </c>
      <c r="BB75" s="1450">
        <f>BB38-BB41-BB50-BB54</f>
        <v>-636080.96341055422</v>
      </c>
      <c r="BC75" s="1508">
        <f>BC38-BC41-BC50-BC54</f>
        <v>-1023505.5487525107</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26103284.15065803</v>
      </c>
      <c r="CK75" s="1450">
        <f>CK38-CK41-CK50-CK54</f>
        <v>-14833073.553010553</v>
      </c>
      <c r="CL75" s="1508">
        <f>CL38-CL41-CL50-CL54</f>
        <v>11270210.597647477</v>
      </c>
      <c r="CM75" s="1953"/>
      <c r="CN75" s="1953"/>
      <c r="CP75" s="3983">
        <f>'МК Ладыжин-3'!AG73</f>
        <v>0</v>
      </c>
      <c r="CQ75" s="3778" t="s">
        <v>1933</v>
      </c>
    </row>
    <row r="76" spans="1:95"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753"/>
      <c r="S76" s="3753"/>
      <c r="T76" s="3459"/>
      <c r="U76" s="3459"/>
      <c r="V76" s="3459"/>
      <c r="W76" s="3459"/>
      <c r="X76" s="3459"/>
      <c r="Y76" s="3459"/>
      <c r="Z76" s="3459"/>
      <c r="AA76" s="3459"/>
      <c r="AB76" s="2003">
        <f>IFERROR(AB75/AB5,0)</f>
        <v>-2.9190406261859581</v>
      </c>
      <c r="AC76" s="2003">
        <f>IFERROR(AC75/AC5,0)</f>
        <v>0</v>
      </c>
      <c r="AD76" s="2004">
        <f>IFERROR(AD75/AD5,0)</f>
        <v>-5.7629590550284631</v>
      </c>
      <c r="AE76" s="2004"/>
      <c r="AF76" s="1056"/>
      <c r="AG76" s="2003">
        <f>IFERROR(AG75/AG5,0)</f>
        <v>0.16422035926176973</v>
      </c>
      <c r="AH76" s="2003">
        <f>IFERROR(AH75/AH5,0)</f>
        <v>0</v>
      </c>
      <c r="AI76" s="2004">
        <f>IFERROR(AI75/AI5,0)</f>
        <v>-0.37682468178967088</v>
      </c>
      <c r="AJ76" s="2004"/>
      <c r="AK76" s="1056"/>
      <c r="AL76" s="2003">
        <f>IFERROR(AL75/AL5,0)</f>
        <v>0.26534077382154836</v>
      </c>
      <c r="AM76" s="2003">
        <f>IFERROR(AM75/AM5,0)</f>
        <v>0.2094841852974734</v>
      </c>
      <c r="AN76" s="2004">
        <f>IFERROR(AN75/AN5,0)</f>
        <v>0.24851778803594776</v>
      </c>
      <c r="AO76" s="2004"/>
      <c r="AP76" s="1056"/>
      <c r="AQ76" s="2003">
        <f>IFERROR(AQ75/AQ5,0)</f>
        <v>0.27518057668226709</v>
      </c>
      <c r="AR76" s="2003">
        <f>IFERROR(AR75/AR5,0)</f>
        <v>0</v>
      </c>
      <c r="AS76" s="2004">
        <f>IFERROR(AS75/AS5,0)</f>
        <v>-0.1187851568558886</v>
      </c>
      <c r="AT76" s="2004"/>
      <c r="AU76" s="1056"/>
      <c r="AV76" s="2003">
        <f>IFERROR(AV75/AV5,0)</f>
        <v>0.54769348584251465</v>
      </c>
      <c r="AW76" s="2003">
        <f>IFERROR(AW75/AW5,0)</f>
        <v>0</v>
      </c>
      <c r="AX76" s="2004">
        <f>IFERROR(AX75/AX5,0)</f>
        <v>0.29537889658427469</v>
      </c>
      <c r="AY76" s="2004"/>
      <c r="AZ76" s="1056"/>
      <c r="BA76" s="2003">
        <f>IFERROR(BA75/BA5,0)</f>
        <v>-1.937122926709782</v>
      </c>
      <c r="BB76" s="2003">
        <f>IFERROR(BB75/BB5,0)</f>
        <v>0</v>
      </c>
      <c r="BC76" s="2004">
        <f>IFERROR(BC75/BC5,0)</f>
        <v>-5.1175277437625537</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0.43697423233619664</v>
      </c>
      <c r="CK76" s="2003">
        <f>IFERROR(CK75/CK5,0)</f>
        <v>-18.918671292950215</v>
      </c>
      <c r="CL76" s="2004">
        <f>IFERROR(CL75/CL5,0)</f>
        <v>0.18622142771644848</v>
      </c>
      <c r="CM76" s="2004"/>
      <c r="CN76" s="2004"/>
      <c r="CP76" s="3983">
        <f>'МК Староконстантинов'!AG73</f>
        <v>0</v>
      </c>
      <c r="CQ76" s="3778" t="s">
        <v>1934</v>
      </c>
    </row>
    <row r="77" spans="1:95" s="1396" customFormat="1" ht="14.4" outlineLevel="1" thickBot="1">
      <c r="A77" s="1566"/>
      <c r="B77" s="4771" t="s">
        <v>9</v>
      </c>
      <c r="C77" s="4772">
        <f>C78-C79</f>
        <v>0</v>
      </c>
      <c r="D77" s="4772">
        <f>D78-D79</f>
        <v>0</v>
      </c>
      <c r="E77" s="4773">
        <f>E78-E79</f>
        <v>0</v>
      </c>
      <c r="F77" s="4774"/>
      <c r="G77" s="4775"/>
      <c r="H77" s="4772">
        <f>H78-H79</f>
        <v>0</v>
      </c>
      <c r="I77" s="4772">
        <f>I78-I79</f>
        <v>0</v>
      </c>
      <c r="J77" s="4773">
        <f>J78-J79</f>
        <v>0</v>
      </c>
      <c r="K77" s="4774"/>
      <c r="L77" s="4775"/>
      <c r="M77" s="4772">
        <f>M78-M79</f>
        <v>0</v>
      </c>
      <c r="N77" s="4772">
        <f>N78-N79</f>
        <v>0</v>
      </c>
      <c r="O77" s="4773">
        <f>O78-O79</f>
        <v>0</v>
      </c>
      <c r="P77" s="4774"/>
      <c r="Q77" s="4775"/>
      <c r="R77" s="4772">
        <f>R78-R79</f>
        <v>-877115.40366370254</v>
      </c>
      <c r="S77" s="4772">
        <f>S78-S79</f>
        <v>0</v>
      </c>
      <c r="T77" s="4773">
        <f>T78-T79</f>
        <v>-877115.40366370254</v>
      </c>
      <c r="U77" s="4776"/>
      <c r="V77" s="4776"/>
      <c r="W77" s="4772">
        <f>W78-W79</f>
        <v>-512552.53095267847</v>
      </c>
      <c r="X77" s="4772">
        <f>X78-X79</f>
        <v>0</v>
      </c>
      <c r="Y77" s="4773">
        <f>Y78-Y79</f>
        <v>-512552.53095267847</v>
      </c>
      <c r="Z77" s="4776"/>
      <c r="AA77" s="4776"/>
      <c r="AB77" s="4772">
        <f>AB78-AB79</f>
        <v>-93943.987853443468</v>
      </c>
      <c r="AC77" s="4772">
        <f>AC78-AC79</f>
        <v>0</v>
      </c>
      <c r="AD77" s="4773">
        <f>AD78-AD79</f>
        <v>-93943.987853443468</v>
      </c>
      <c r="AE77" s="4774"/>
      <c r="AF77" s="4775"/>
      <c r="AG77" s="4772">
        <f>AG78-AG79</f>
        <v>-89957.079010686153</v>
      </c>
      <c r="AH77" s="4772">
        <f>AH78-AH79</f>
        <v>0</v>
      </c>
      <c r="AI77" s="4773">
        <f>AI78-AI79</f>
        <v>-89957.079010686153</v>
      </c>
      <c r="AJ77" s="4774"/>
      <c r="AK77" s="4775"/>
      <c r="AL77" s="4772">
        <f>AL78-AL79</f>
        <v>-91783.498473867308</v>
      </c>
      <c r="AM77" s="4772">
        <f>AM78-AM79</f>
        <v>0</v>
      </c>
      <c r="AN77" s="4773">
        <f>AN78-AN79</f>
        <v>-91783.498473867308</v>
      </c>
      <c r="AO77" s="4774"/>
      <c r="AP77" s="4775"/>
      <c r="AQ77" s="4772">
        <f>AQ78-AQ79</f>
        <v>-76303.988253097836</v>
      </c>
      <c r="AR77" s="4772">
        <f>AR78-AR79</f>
        <v>0</v>
      </c>
      <c r="AS77" s="4773">
        <f>AS78-AS79</f>
        <v>-76303.988253097836</v>
      </c>
      <c r="AT77" s="4774"/>
      <c r="AU77" s="4775"/>
      <c r="AV77" s="4772">
        <f>AV78-AV79</f>
        <v>-67536.938895086569</v>
      </c>
      <c r="AW77" s="4772">
        <f>AW78-AW79</f>
        <v>0</v>
      </c>
      <c r="AX77" s="4773">
        <f>AX78-AX79</f>
        <v>-67536.938895086569</v>
      </c>
      <c r="AY77" s="4774"/>
      <c r="AZ77" s="4775"/>
      <c r="BA77" s="4772">
        <f>BA78-BA79</f>
        <v>-93027.038466497179</v>
      </c>
      <c r="BB77" s="4772">
        <f>BB78-BB79</f>
        <v>0</v>
      </c>
      <c r="BC77" s="4773">
        <f>BC78-BC79</f>
        <v>-93027.038466497179</v>
      </c>
      <c r="BD77" s="4774"/>
      <c r="BE77" s="4775"/>
      <c r="BF77" s="4772">
        <f>BF78-BF79</f>
        <v>0</v>
      </c>
      <c r="BG77" s="4772">
        <f>BG78-BG79</f>
        <v>0</v>
      </c>
      <c r="BH77" s="4773">
        <f>BH78-BH79</f>
        <v>0</v>
      </c>
      <c r="BI77" s="4774"/>
      <c r="BJ77" s="4775"/>
      <c r="BK77" s="4772">
        <f>BK78-BK79</f>
        <v>0</v>
      </c>
      <c r="BL77" s="4772">
        <f>BL78-BL79</f>
        <v>0</v>
      </c>
      <c r="BM77" s="4773">
        <f>BM78-BM79</f>
        <v>0</v>
      </c>
      <c r="BN77" s="4774"/>
      <c r="BO77" s="4775"/>
      <c r="BP77" s="4772">
        <f>BP78-BP79</f>
        <v>0</v>
      </c>
      <c r="BQ77" s="4772">
        <f>BQ78-BQ79</f>
        <v>0</v>
      </c>
      <c r="BR77" s="4773">
        <f>BR78-BR79</f>
        <v>0</v>
      </c>
      <c r="BS77" s="4774"/>
      <c r="BT77" s="4775"/>
      <c r="BU77" s="4772">
        <f>BU78-BU79</f>
        <v>0</v>
      </c>
      <c r="BV77" s="4772">
        <f>BV78-BV79</f>
        <v>0</v>
      </c>
      <c r="BW77" s="4773">
        <f>BW78-BW79</f>
        <v>0</v>
      </c>
      <c r="BX77" s="4774"/>
      <c r="BY77" s="4775"/>
      <c r="BZ77" s="4772">
        <f>BZ78-BZ79</f>
        <v>0</v>
      </c>
      <c r="CA77" s="4772">
        <f>CA78-CA79</f>
        <v>0</v>
      </c>
      <c r="CB77" s="4773">
        <f>CB78-CB79</f>
        <v>0</v>
      </c>
      <c r="CC77" s="4774"/>
      <c r="CD77" s="4775"/>
      <c r="CE77" s="4772">
        <f>CE78-CE79</f>
        <v>0</v>
      </c>
      <c r="CF77" s="4772">
        <f>CF78-CF79</f>
        <v>0</v>
      </c>
      <c r="CG77" s="4773">
        <f>CG78-CG79</f>
        <v>0</v>
      </c>
      <c r="CH77" s="4774"/>
      <c r="CI77" s="4775"/>
      <c r="CJ77" s="4772">
        <f>CJ78-CJ79</f>
        <v>-1389667.9346163808</v>
      </c>
      <c r="CK77" s="4772">
        <f>CK78-CK79</f>
        <v>0</v>
      </c>
      <c r="CL77" s="4773">
        <f>CL78-CL79</f>
        <v>-1389667.9346163808</v>
      </c>
      <c r="CM77" s="4774"/>
      <c r="CN77" s="4774"/>
      <c r="CP77" s="3983">
        <f>+'МК Армокаркасы'!AG73</f>
        <v>0</v>
      </c>
      <c r="CQ77" s="3778" t="s">
        <v>1935</v>
      </c>
    </row>
    <row r="78" spans="1:95" s="1396" customFormat="1" ht="13.8" outlineLevel="2">
      <c r="A78" s="1405"/>
      <c r="B78" s="1400" t="s">
        <v>43</v>
      </c>
      <c r="C78" s="3341"/>
      <c r="D78" s="3341"/>
      <c r="E78" s="3391">
        <f>C78+D78*1.15</f>
        <v>0</v>
      </c>
      <c r="F78" s="3391"/>
      <c r="G78" s="3473"/>
      <c r="H78" s="3341"/>
      <c r="I78" s="3341"/>
      <c r="J78" s="3391">
        <f>H78+I78*1.15</f>
        <v>0</v>
      </c>
      <c r="K78" s="4697" t="e">
        <f t="shared" ref="K78:K79" si="200">J78/J$89</f>
        <v>#DIV/0!</v>
      </c>
      <c r="L78" s="3473"/>
      <c r="M78" s="3341"/>
      <c r="N78" s="3341"/>
      <c r="O78" s="3391">
        <f>M78+N78*1.15</f>
        <v>0</v>
      </c>
      <c r="P78" s="4697" t="e">
        <f t="shared" ref="P78:P79" si="201">O78/O$89</f>
        <v>#DIV/0!</v>
      </c>
      <c r="Q78" s="3473"/>
      <c r="R78" s="3427">
        <f>PL_Производство!BF78</f>
        <v>147210.88000000003</v>
      </c>
      <c r="S78" s="3427">
        <f>PL_Производство!BG78</f>
        <v>0</v>
      </c>
      <c r="T78" s="2012">
        <f t="shared" ref="T78:T79" si="202">R78+S78</f>
        <v>147210.88000000003</v>
      </c>
      <c r="U78" s="3474"/>
      <c r="V78" s="3474"/>
      <c r="W78" s="3342">
        <f t="shared" ref="W78:X79" si="203">AB78+AG78+AL78+AV78+BA78+BF78+BK78+BP78+BU78+BZ78+CE78+AQ78</f>
        <v>11186.03</v>
      </c>
      <c r="X78" s="3342">
        <f t="shared" si="203"/>
        <v>0</v>
      </c>
      <c r="Y78" s="2012">
        <f t="shared" ref="Y78:Y79" si="204">W78+X78</f>
        <v>11186.03</v>
      </c>
      <c r="Z78" s="3474"/>
      <c r="AA78" s="3474"/>
      <c r="AB78" s="3341">
        <f>PL_ЦО_Производство!AB78+'МД ООН'!AB78+'МК Ладыжин-3'!AB78+'МК Староконстантинов'!AB78+'МК Армокаркасы'!AB78+'МК Щедро. Флекситанки'!AB78+'МК ЛифтМаркет'!AB78+'МК Укркотлопром'!AB78+'МК Подгорцы.Забор'!AB78+PL_Металлизация!BP78+'МД Бытовка ИТР Нежин'!AB78+'МК Металургбуд.поддоны'!AB78</f>
        <v>3648.76</v>
      </c>
      <c r="AC78" s="3341">
        <f>PL_ЦО_Производство!AC78+'МД ООН'!AC78+'МК Ладыжин-3'!AC78+'МК Староконстантинов'!AC78+'МК Армокаркасы'!AC78+'МК Щедро. Флекситанки'!AC78+'МК ЛифтМаркет'!AC78+'МК Укркотлопром'!AC78+'МК Подгорцы.Забор'!AC78+PL_Металлизация!BQ78+'МД Бытовка ИТР Нежин'!AC78+'МК Металургбуд.поддоны'!AC78</f>
        <v>0</v>
      </c>
      <c r="AD78" s="2012">
        <f>AB78+AC78*1.15</f>
        <v>3648.76</v>
      </c>
      <c r="AE78" s="3391"/>
      <c r="AF78" s="3473"/>
      <c r="AG78" s="3341">
        <f>PL_ЦО_Производство!AG78+'МД ООН'!AG78+'МК Ладыжин-3'!AG78+'МК Староконстантинов'!AG78+'МК Армокаркасы'!AG78+'МК Щедро. Флекситанки'!AG78+'МК ЛифтМаркет'!AG78+'МК Укркотлопром'!AG78+'МК Подгорцы.Забор'!AG78+PL_Металлизация!BU78+'МД Бытовка ИТР Нежин'!AG78+'МК Металургбуд.поддоны'!AG78</f>
        <v>1433.39</v>
      </c>
      <c r="AH78" s="3341">
        <f>PL_ЦО_Производство!AH78+'МД ООН'!AH78+'МК Ладыжин-3'!AH78+'МК Староконстантинов'!AH78+'МК Армокаркасы'!AH78+'МК Щедро. Флекситанки'!AH78+'МК ЛифтМаркет'!AH78+'МК Укркотлопром'!AH78+'МК Подгорцы.Забор'!AH78+PL_Металлизация!BV78+'МД Бытовка ИТР Нежин'!AH78+'МК Металургбуд.поддоны'!AH78</f>
        <v>0</v>
      </c>
      <c r="AI78" s="2012">
        <f>AG78+AH78*1.15</f>
        <v>1433.39</v>
      </c>
      <c r="AJ78" s="3391"/>
      <c r="AK78" s="3473"/>
      <c r="AL78" s="3341">
        <f>PL_ЦО_Производство!AL78+'МД ООН'!AL78+'МК Ладыжин-3'!AL78+'МК Староконстантинов'!AL78+'МК Армокаркасы'!AL78+'МК Щедро. Флекситанки'!AL78+'МК ЛифтМаркет'!AL78+'МК Укркотлопром'!AL78+'МК Подгорцы.Забор'!AL78+PL_Металлизация!BZ78+'МД Бытовка ИТР Нежин'!AL78+'МК Металургбуд.поддоны'!AL78+'МК Нежин-3'!AL78</f>
        <v>830.01</v>
      </c>
      <c r="AM78" s="3341">
        <f>PL_ЦО_Производство!AM78+'МД ООН'!AM78+'МК Ладыжин-3'!AM78+'МК Староконстантинов'!AM78+'МК Армокаркасы'!AM78+'МК Щедро. Флекситанки'!AM78+'МК ЛифтМаркет'!AM78+'МК Укркотлопром'!AM78+'МК Подгорцы.Забор'!AM78+PL_Металлизация!CA78+'МД Бытовка ИТР Нежин'!AM78+'МК Металургбуд.поддоны'!AM78+'МК Нежин-3'!AM78</f>
        <v>0</v>
      </c>
      <c r="AN78" s="2012">
        <f>AL78+AM78*1.15</f>
        <v>830.01</v>
      </c>
      <c r="AO78" s="3391"/>
      <c r="AP78" s="3473"/>
      <c r="AQ78" s="3341">
        <f>PL_ЦО_Производство!AQ78+'МД ООН'!AQ78+'МК Ладыжин-3'!AQ78+'МК Староконстантинов'!AQ78+'МК Армокаркасы'!AQ78+'МК Щедро. Флекситанки'!AQ78+'МК ЛифтМаркет'!AQ78+'МК Укркотлопром'!AQ78+'МК Подгорцы.Забор'!AQ78+PL_Металлизация!CE78+'МД Бытовка ИТР Нежин'!AQ78+'МК Металургбуд.поддоны'!AQ78+'МК Нежин-3'!AQ78</f>
        <v>1174.8599999999999</v>
      </c>
      <c r="AR78" s="3341">
        <f>PL_ЦО_Производство!AR78+'МД ООН'!AR78+'МК Ладыжин-3'!AR78+'МК Староконстантинов'!AR78+'МК Армокаркасы'!AR78+'МК Щедро. Флекситанки'!AR78+'МК ЛифтМаркет'!AR78+'МК Укркотлопром'!AR78+'МК Подгорцы.Забор'!AR78+PL_Металлизация!CF78+'МД Бытовка ИТР Нежин'!AR78+'МК Металургбуд.поддоны'!AR78+'МК Нежин-3'!AR78</f>
        <v>0</v>
      </c>
      <c r="AS78" s="2012">
        <f>AQ78+AR78*1.15</f>
        <v>1174.8599999999999</v>
      </c>
      <c r="AT78" s="3391"/>
      <c r="AU78" s="3473"/>
      <c r="AV78" s="3341">
        <f>PL_ЦО_Производство!AV78+'МД ООН'!AV78+'МК Армокаркасы'!AV78+'МК Подгорцы.Забор'!AV78+'МК Нежин-3'!AV78+'МК РДК.Кран'!AV78+'МК Ворота.Запорожье'!AV78+'МД ВООЗ'!AV78+'МД Казарма.Рекламация'!AV78</f>
        <v>2497.71</v>
      </c>
      <c r="AW78" s="3341">
        <f>PL_ЦО_Производство!AW78+'МД ООН'!AW78+'МК Армокаркасы'!AW78+'МК Подгорцы.Забор'!AW78+'МК Нежин-3'!AW78+'МК РДК.Кран'!AW78+'МК Ворота.Запорожье'!AW78+'МД ВООЗ'!AW78+'МД Казарма.Рекламация'!AW78</f>
        <v>0</v>
      </c>
      <c r="AX78" s="2012">
        <f>AV78+AW78*1.15</f>
        <v>2497.71</v>
      </c>
      <c r="AY78" s="3391"/>
      <c r="AZ78" s="3473"/>
      <c r="BA78" s="3341">
        <f>PL_ЦО_Производство!BA78+'МД ООН'!BA78+'МК Ладыжин-3'!BA78+'МК Староконстантинов'!BA78+'МК Армокаркасы'!BA78+'МК Щедро. Флекситанки'!BA78+'МК ЛифтМаркет'!BA78+'МК Укркотлопром'!BA78+'МК Подгорцы.Забор'!BA78+PL_Металлизация!CO78+'МД Бытовка ИТР Нежин'!BA78+'МК Металургбуд.поддоны'!BA78+'МК Нежин-3'!BA78+'МК РДК.Кран'!BA78+'МК Ворота.Запорожье'!BA78+'МД ВООЗ'!BA78+'МД Казарма.Рекламация'!BA78</f>
        <v>1601.3</v>
      </c>
      <c r="BB78" s="3341">
        <f>PL_ЦО_Производство!BB78+'МД ООН'!BB78+'МК Ладыжин-3'!BB78+'МК Староконстантинов'!BB78+'МК Армокаркасы'!BB78+'МК Щедро. Флекситанки'!BB78+'МК ЛифтМаркет'!BB78+'МК Укркотлопром'!BB78+'МК Подгорцы.Забор'!BB78+PL_Металлизация!CP78+'МД Бытовка ИТР Нежин'!BB78+'МК Металургбуд.поддоны'!BB78+'МК Нежин-3'!BB78+'МК РДК.Кран'!BB78+'МК Ворота.Запорожье'!BB78+'МД ВООЗ'!BB78+'МД Казарма.Рекламация'!BB78</f>
        <v>0</v>
      </c>
      <c r="BC78" s="2012">
        <f>BA78+BB78*1.15</f>
        <v>1601.3</v>
      </c>
      <c r="BD78" s="3391"/>
      <c r="BE78" s="3473"/>
      <c r="BF78" s="3341">
        <f>PL_ЦО_Производство!BF78+'МД ООН'!BF78+'МК Ладыжин-3'!BF78+'МК Староконстантинов'!BF78+'МК Армокаркасы'!BF78+'МК Щедро. Флекситанки'!BF78+'МК ЛифтМаркет'!BF78+'МК Укркотлопром'!BF78+'МК Подгорцы.Забор'!BF78+PL_Металлизация!CT78+'МД Бытовка ИТР Нежин'!BF78+'МК Металургбуд.поддоны'!BF78+'МК Нежин-3'!BF78+'МК РДК.Кран'!BF78+'МК Ворота.Запорожье'!BF78+'МД ВООЗ'!BF78+'МД Казарма.Рекламация'!BF78</f>
        <v>0</v>
      </c>
      <c r="BG78" s="3341">
        <f>PL_ЦО_Производство!BG78+'МД ООН'!BG78+'МК Ладыжин-3'!BG78+'МК Староконстантинов'!BG78+'МК Армокаркасы'!BG78+'МК Щедро. Флекситанки'!BG78+'МК ЛифтМаркет'!BG78+'МК Укркотлопром'!BG78+'МК Подгорцы.Забор'!BG78+PL_Металлизация!CU78+'МД Бытовка ИТР Нежин'!BG78+'МК Металургбуд.поддоны'!BG78+'МК Нежин-3'!BG78+'МК РДК.Кран'!BG78+'МК Ворота.Запорожье'!BG78+'МД ВООЗ'!BG78+'МД Казарма.Рекламация'!BG78</f>
        <v>0</v>
      </c>
      <c r="BH78" s="2012">
        <f>BF78+BG78*1.15</f>
        <v>0</v>
      </c>
      <c r="BI78" s="3391"/>
      <c r="BJ78" s="3473"/>
      <c r="BK78" s="3341">
        <f>PL_ЦО_Производство!BK78+'МД ООН'!BK78+'МК Ладыжин-3'!BK78+'МК Староконстантинов'!BK78+'МК Армокаркасы'!BK78+'МК Щедро. Флекситанки'!BK78+'МК ЛифтМаркет'!BK78+'МК Укркотлопром'!BK78+'МК Подгорцы.Забор'!BK78+PL_Металлизация!CY78+'МД Бытовка ИТР Нежин'!BK78+'МК Металургбуд.поддоны'!BK78+'МК Нежин-3'!BK78+'МК РДК.Кран'!BK78+'МК Ворота.Запорожье'!BK78+'МД ВООЗ'!BK78+'МД Казарма.Рекламация'!BK78</f>
        <v>0</v>
      </c>
      <c r="BL78" s="3341">
        <f>PL_ЦО_Производство!BL78+'МД ООН'!BL78+'МК Ладыжин-3'!BL78+'МК Староконстантинов'!BL78+'МК Армокаркасы'!BL78+'МК Щедро. Флекситанки'!BL78+'МК ЛифтМаркет'!BL78+'МК Укркотлопром'!BL78+'МК Подгорцы.Забор'!BL78+PL_Металлизация!CZ78+'МД Бытовка ИТР Нежин'!BL78+'МК Металургбуд.поддоны'!BL78+'МК Нежин-3'!BL78+'МК РДК.Кран'!BL78+'МК Ворота.Запорожье'!BL78+'МД ВООЗ'!BL78+'МД Казарма.Рекламация'!BL78</f>
        <v>0</v>
      </c>
      <c r="BM78" s="2012">
        <f>BK78+BL78*1.15</f>
        <v>0</v>
      </c>
      <c r="BN78" s="3391"/>
      <c r="BO78" s="3473"/>
      <c r="BP78" s="3341">
        <f>PL_ЦО_Производство!BP78+'МД ООН'!BP78+'МК Ладыжин-3'!BP78+'МК Староконстантинов'!BP78+'МК Армокаркасы'!BP78+'МК Щедро. Флекситанки'!BP78+'МК ЛифтМаркет'!BP78+'МК Укркотлопром'!BP78+'МК Подгорцы.Забор'!BP78+PL_Металлизация!DD78+'МД Бытовка ИТР Нежин'!BP78+'МК Металургбуд.поддоны'!BP78+'МК Нежин-3'!BP78+'МК РДК.Кран'!BP78+'МК Ворота.Запорожье'!BP78+'МД ВООЗ'!BP78+'МД Казарма.Рекламация'!BP78</f>
        <v>0</v>
      </c>
      <c r="BQ78" s="3341">
        <f>PL_ЦО_Производство!BQ78+'МД ООН'!BQ78+'МК Ладыжин-3'!BQ78+'МК Староконстантинов'!BQ78+'МК Армокаркасы'!BQ78+'МК Щедро. Флекситанки'!BQ78+'МК ЛифтМаркет'!BQ78+'МК Укркотлопром'!BQ78+'МК Подгорцы.Забор'!BQ78+PL_Металлизация!DE78+'МД Бытовка ИТР Нежин'!BQ78+'МК Металургбуд.поддоны'!BQ78+'МК Нежин-3'!BQ78+'МК РДК.Кран'!BQ78+'МК Ворота.Запорожье'!BQ78+'МД ВООЗ'!BQ78+'МД Казарма.Рекламация'!BQ78</f>
        <v>0</v>
      </c>
      <c r="BR78" s="2012">
        <f>BP78+BQ78*1.15</f>
        <v>0</v>
      </c>
      <c r="BS78" s="3391"/>
      <c r="BT78" s="3473"/>
      <c r="BU78" s="3341">
        <f>PL_ЦО_Производство!BU78+'МД ООН'!BU78+'МК Ладыжин-3'!BU78+'МК Староконстантинов'!BU78+'МК Армокаркасы'!BU78+'МК Щедро. Флекситанки'!BU78+'МК ЛифтМаркет'!BU78+'МК Укркотлопром'!BU78+'МК Подгорцы.Забор'!BU78+PL_Металлизация!DI78+'МД Бытовка ИТР Нежин'!BU78+'МК Металургбуд.поддоны'!BU78+'МК Нежин-3'!BU78+'МК РДК.Кран'!BU78+'МК Ворота.Запорожье'!BU78+'МД ВООЗ'!BU78+'МД Казарма.Рекламация'!BU78</f>
        <v>0</v>
      </c>
      <c r="BV78" s="3341">
        <f>PL_ЦО_Производство!BV78+'МД ООН'!BV78+'МК Ладыжин-3'!BV78+'МК Староконстантинов'!BV78+'МК Армокаркасы'!BV78+'МК Щедро. Флекситанки'!BV78+'МК ЛифтМаркет'!BV78+'МК Укркотлопром'!BV78+'МК Подгорцы.Забор'!BV78+PL_Металлизация!DJ78+'МД Бытовка ИТР Нежин'!BV78+'МК Металургбуд.поддоны'!BV78+'МК Нежин-3'!BV78+'МК РДК.Кран'!BV78+'МК Ворота.Запорожье'!BV78+'МД ВООЗ'!BV78+'МД Казарма.Рекламация'!BV78</f>
        <v>0</v>
      </c>
      <c r="BW78" s="2012">
        <f>BU78+BV78*1.15</f>
        <v>0</v>
      </c>
      <c r="BX78" s="3391"/>
      <c r="BY78" s="3473"/>
      <c r="BZ78" s="3341">
        <f>PL_ЦО_Производство!BZ78+'МД ООН'!BZ78+'МК Ладыжин-3'!BZ78+'МК Староконстантинов'!BZ78+'МК Армокаркасы'!BZ78+'МК Щедро. Флекситанки'!BZ78+'МК ЛифтМаркет'!BZ78+'МК Укркотлопром'!BZ78+'МК Подгорцы.Забор'!BZ78+PL_Металлизация!DN78+'МД Бытовка ИТР Нежин'!BZ78+'МК Металургбуд.поддоны'!BZ78+'МК Нежин-3'!BZ78+'МК РДК.Кран'!BZ78+'МК Ворота.Запорожье'!BZ78+'МД ВООЗ'!BZ78+'МД Казарма.Рекламация'!BZ78</f>
        <v>0</v>
      </c>
      <c r="CA78" s="3341">
        <f>PL_ЦО_Производство!CA78+'МД ООН'!CA78+'МК Ладыжин-3'!CA78+'МК Староконстантинов'!CA78+'МК Армокаркасы'!CA78+'МК Щедро. Флекситанки'!CA78+'МК ЛифтМаркет'!CA78+'МК Укркотлопром'!CA78+'МК Подгорцы.Забор'!CA78+PL_Металлизация!DO78+'МД Бытовка ИТР Нежин'!CA78+'МК Металургбуд.поддоны'!CA78+'МК Нежин-3'!CA78+'МК РДК.Кран'!CA78+'МК Ворота.Запорожье'!CA78+'МД ВООЗ'!CA78+'МД Казарма.Рекламация'!CA78</f>
        <v>0</v>
      </c>
      <c r="CB78" s="2012">
        <f>BZ78+CA78*1.15</f>
        <v>0</v>
      </c>
      <c r="CC78" s="3391"/>
      <c r="CD78" s="3473"/>
      <c r="CE78" s="3341">
        <f>PL_ЦО_Производство!CE78+'МД ООН'!CE78+'МК Ладыжин-3'!CE78+'МК Староконстантинов'!CE78+'МК Армокаркасы'!CE78+'МК Щедро. Флекситанки'!CE78+'МК ЛифтМаркет'!CE78+'МК Укркотлопром'!CE78+'МК Подгорцы.Забор'!CE78+PL_Металлизация!DS78+'МД Бытовка ИТР Нежин'!CE78+'МК Металургбуд.поддоны'!CE78+'МК Нежин-3'!CE78+'МК РДК.Кран'!CE78+'МК Ворота.Запорожье'!CE78+'МД ВООЗ'!CE78+'МД Казарма.Рекламация'!CE78</f>
        <v>0</v>
      </c>
      <c r="CF78" s="3341">
        <f>PL_ЦО_Производство!CF78+'МД ООН'!CF78+'МК Ладыжин-3'!CF78+'МК Староконстантинов'!CF78+'МК Армокаркасы'!CF78+'МК Щедро. Флекситанки'!CF78+'МК ЛифтМаркет'!CF78+'МК Укркотлопром'!CF78+'МК Подгорцы.Забор'!CF78+PL_Металлизация!DT78+'МД Бытовка ИТР Нежин'!CF78+'МК Металургбуд.поддоны'!CF78+'МК Нежин-3'!CF78+'МК РДК.Кран'!CF78+'МК Ворота.Запорожье'!CF78+'МД ВООЗ'!CF78+'МД Казарма.Рекламация'!CF78</f>
        <v>0</v>
      </c>
      <c r="CG78" s="2012">
        <f>CE78+CF78*1.15</f>
        <v>0</v>
      </c>
      <c r="CH78" s="3391"/>
      <c r="CI78" s="3473"/>
      <c r="CJ78" s="3341">
        <f t="shared" ref="CJ78:CK79" si="205">R78+W78</f>
        <v>158396.91000000003</v>
      </c>
      <c r="CK78" s="3341">
        <f t="shared" si="205"/>
        <v>0</v>
      </c>
      <c r="CL78" s="2012">
        <f>CJ78+CK78*1.15</f>
        <v>158396.91000000003</v>
      </c>
      <c r="CM78" s="3391"/>
      <c r="CN78" s="3391"/>
      <c r="CP78" s="3983">
        <f>+'МК Щедро. Флекситанки'!AG73</f>
        <v>0</v>
      </c>
      <c r="CQ78" s="3778" t="s">
        <v>1936</v>
      </c>
    </row>
    <row r="79" spans="1:95" s="1396" customFormat="1" ht="13.8" outlineLevel="2">
      <c r="A79" s="1405"/>
      <c r="B79" s="4779" t="s">
        <v>79</v>
      </c>
      <c r="C79" s="3341">
        <f>(D8+D41+D50+D54)/(1-'расчет 2024'!$M$21)*'расчет 2024'!$M$21</f>
        <v>0</v>
      </c>
      <c r="D79" s="3341"/>
      <c r="E79" s="2012">
        <f>C79+D79</f>
        <v>0</v>
      </c>
      <c r="F79" s="4733"/>
      <c r="G79" s="4729"/>
      <c r="H79" s="3341">
        <f>(I8+I41+I50+I54)/(1-'расчет 2024'!$M$23)*'расчет 2024'!$M$23</f>
        <v>0</v>
      </c>
      <c r="I79" s="3341"/>
      <c r="J79" s="2012">
        <f>H79+I79</f>
        <v>0</v>
      </c>
      <c r="K79" s="4697" t="e">
        <f t="shared" si="200"/>
        <v>#DIV/0!</v>
      </c>
      <c r="L79" s="4729"/>
      <c r="M79" s="3341">
        <f>(N8+N41+N50+N54)/(1-'расчет 2024'!$M$23)*'расчет 2024'!$M$23</f>
        <v>0</v>
      </c>
      <c r="N79" s="3341"/>
      <c r="O79" s="2012">
        <f>M79+N79</f>
        <v>0</v>
      </c>
      <c r="P79" s="4697" t="e">
        <f t="shared" si="201"/>
        <v>#DIV/0!</v>
      </c>
      <c r="Q79" s="4729"/>
      <c r="R79" s="3427">
        <f>PL_Производство!BF79</f>
        <v>1024326.2836637025</v>
      </c>
      <c r="S79" s="3427">
        <f>PL_Производство!BG79</f>
        <v>0</v>
      </c>
      <c r="T79" s="2012">
        <f t="shared" si="202"/>
        <v>1024326.2836637025</v>
      </c>
      <c r="U79" s="3455"/>
      <c r="V79" s="3455"/>
      <c r="W79" s="3342">
        <f t="shared" si="203"/>
        <v>523738.5609526785</v>
      </c>
      <c r="X79" s="3342">
        <f t="shared" si="203"/>
        <v>0</v>
      </c>
      <c r="Y79" s="2012">
        <f t="shared" si="204"/>
        <v>523738.5609526785</v>
      </c>
      <c r="Z79" s="3455"/>
      <c r="AA79" s="3455"/>
      <c r="AB79" s="3341">
        <f>PL_ЦО_Производство!AB79+'МД ООН'!AB79+'МК Ладыжин-3'!AB79+'МК Староконстантинов'!AB79+'МК Армокаркасы'!AB79+'МК Щедро. Флекситанки'!AB79+'МК ЛифтМаркет'!AB79+'МК Укркотлопром'!AB79+'МК Подгорцы.Забор'!AB79+PL_Металлизация!BP79+'МД Бытовка ИТР Нежин'!AB79+'МК Металургбуд.поддоны'!AB79</f>
        <v>97592.747853443463</v>
      </c>
      <c r="AC79" s="3341">
        <f>PL_ЦО_Производство!AC79+'МД ООН'!AC79+'МК Ладыжин-3'!AC79+'МК Староконстантинов'!AC79+'МК Армокаркасы'!AC79+'МК Щедро. Флекситанки'!AC79+'МК ЛифтМаркет'!AC79+'МК Укркотлопром'!AC79+'МК Подгорцы.Забор'!AC79+PL_Металлизация!BQ79+'МД Бытовка ИТР Нежин'!AC79+'МК Металургбуд.поддоны'!AC79</f>
        <v>0</v>
      </c>
      <c r="AD79" s="2012">
        <f>AB79+AC79</f>
        <v>97592.747853443463</v>
      </c>
      <c r="AE79" s="4733"/>
      <c r="AF79" s="4729"/>
      <c r="AG79" s="3341">
        <f>PL_ЦО_Производство!AG79+'МД ООН'!AG79+'МК Ладыжин-3'!AG79+'МК Староконстантинов'!AG79+'МК Армокаркасы'!AG79+'МК Щедро. Флекситанки'!AG79+'МК ЛифтМаркет'!AG79+'МК Укркотлопром'!AG79+'МК Подгорцы.Забор'!AG79+PL_Металлизация!BU79+'МД Бытовка ИТР Нежин'!AG79+'МК Металургбуд.поддоны'!AG79</f>
        <v>91390.469010686153</v>
      </c>
      <c r="AH79" s="3341">
        <f>PL_ЦО_Производство!AH79+'МД ООН'!AH79+'МК Ладыжин-3'!AH79+'МК Староконстантинов'!AH79+'МК Армокаркасы'!AH79+'МК Щедро. Флекситанки'!AH79+'МК ЛифтМаркет'!AH79+'МК Укркотлопром'!AH79+'МК Подгорцы.Забор'!AH79+PL_Металлизация!BV79+'МД Бытовка ИТР Нежин'!AH79+'МК Металургбуд.поддоны'!AH79</f>
        <v>0</v>
      </c>
      <c r="AI79" s="2012">
        <f>AG79+AH79</f>
        <v>91390.469010686153</v>
      </c>
      <c r="AJ79" s="4733"/>
      <c r="AK79" s="4729"/>
      <c r="AL79" s="3341">
        <f>PL_ЦО_Производство!AL79+'МД ООН'!AL79+'МК Ладыжин-3'!AL79+'МК Староконстантинов'!AL79+'МК Армокаркасы'!AL79+'МК Щедро. Флекситанки'!AL79+'МК ЛифтМаркет'!AL79+'МК Укркотлопром'!AL79+'МК Подгорцы.Забор'!AL79+PL_Металлизация!BZ79+'МД Бытовка ИТР Нежин'!AL79+'МК Металургбуд.поддоны'!AL79+'МК Нежин-3'!AL79</f>
        <v>92613.508473867303</v>
      </c>
      <c r="AM79" s="3341">
        <f>PL_ЦО_Производство!AM79+'МД ООН'!AM79+'МК Ладыжин-3'!AM79+'МК Староконстантинов'!AM79+'МК Армокаркасы'!AM79+'МК Щедро. Флекситанки'!AM79+'МК ЛифтМаркет'!AM79+'МК Укркотлопром'!AM79+'МК Подгорцы.Забор'!AM79+PL_Металлизация!CA79+'МД Бытовка ИТР Нежин'!AM79+'МК Металургбуд.поддоны'!AM79+'МК Нежин-3'!AM79</f>
        <v>0</v>
      </c>
      <c r="AN79" s="2012">
        <f>AL79+AM79</f>
        <v>92613.508473867303</v>
      </c>
      <c r="AO79" s="4733"/>
      <c r="AP79" s="4729"/>
      <c r="AQ79" s="3341">
        <f>PL_ЦО_Производство!AQ79+'МД ООН'!AQ79+'МК Ладыжин-3'!AQ79+'МК Староконстантинов'!AQ79+'МК Армокаркасы'!AQ79+'МК Щедро. Флекситанки'!AQ79+'МК ЛифтМаркет'!AQ79+'МК Укркотлопром'!AQ79+'МК Подгорцы.Забор'!AQ79+PL_Металлизация!CE79+'МД Бытовка ИТР Нежин'!AQ79+'МК Металургбуд.поддоны'!AQ79+'МК Нежин-3'!AQ79</f>
        <v>77478.848253097836</v>
      </c>
      <c r="AR79" s="3341">
        <f>PL_ЦО_Производство!AR79+'МД ООН'!AR79+'МК Ладыжин-3'!AR79+'МК Староконстантинов'!AR79+'МК Армокаркасы'!AR79+'МК Щедро. Флекситанки'!AR79+'МК ЛифтМаркет'!AR79+'МК Укркотлопром'!AR79+'МК Подгорцы.Забор'!AR79+PL_Металлизация!CF79+'МД Бытовка ИТР Нежин'!AR79+'МК Металургбуд.поддоны'!AR79+'МК Нежин-3'!AR79</f>
        <v>0</v>
      </c>
      <c r="AS79" s="2012">
        <f>AQ79+AR79</f>
        <v>77478.848253097836</v>
      </c>
      <c r="AT79" s="4733"/>
      <c r="AU79" s="4729"/>
      <c r="AV79" s="3341">
        <f>PL_ЦО_Производство!AV79+'МД ООН'!AV79+'МК Армокаркасы'!AV79+'МК Подгорцы.Забор'!AV79+'МК Нежин-3'!AV79+'МК РДК.Кран'!AV79+'МК Ворота.Запорожье'!AV79+'МД ВООЗ'!AV79+'МД Казарма.Рекламация'!AV79</f>
        <v>70034.648895086575</v>
      </c>
      <c r="AW79" s="3341">
        <f>PL_ЦО_Производство!AW79+'МД ООН'!AW79+'МК Армокаркасы'!AW79+'МК Подгорцы.Забор'!AW79+'МК Нежин-3'!AW79+'МК РДК.Кран'!AW79+'МК Ворота.Запорожье'!AW79+'МД ВООЗ'!AW79+'МД Казарма.Рекламация'!AW79</f>
        <v>0</v>
      </c>
      <c r="AX79" s="2012">
        <f>AV79+AW79</f>
        <v>70034.648895086575</v>
      </c>
      <c r="AY79" s="4733"/>
      <c r="AZ79" s="4729"/>
      <c r="BA79" s="3341">
        <f>PL_ЦО_Производство!BA79+'МД ООН'!BA79+'МК Ладыжин-3'!BA79+'МК Староконстантинов'!BA79+'МК Армокаркасы'!BA79+'МК Щедро. Флекситанки'!BA79+'МК ЛифтМаркет'!BA79+'МК Укркотлопром'!BA79+'МК Подгорцы.Забор'!BA79+PL_Металлизация!CO79+'МД Бытовка ИТР Нежин'!BA79+'МК Металургбуд.поддоны'!BA79+'МК Нежин-3'!BA79+'МК РДК.Кран'!BA79+'МК Ворота.Запорожье'!BA79+'МД ВООЗ'!BA79+'МД Казарма.Рекламация'!BA79</f>
        <v>94628.338466497182</v>
      </c>
      <c r="BB79" s="3341">
        <f>PL_ЦО_Производство!BB79+'МД ООН'!BB79+'МК Ладыжин-3'!BB79+'МК Староконстантинов'!BB79+'МК Армокаркасы'!BB79+'МК Щедро. Флекситанки'!BB79+'МК ЛифтМаркет'!BB79+'МК Укркотлопром'!BB79+'МК Подгорцы.Забор'!BB79+PL_Металлизация!CP79+'МД Бытовка ИТР Нежин'!BB79+'МК Металургбуд.поддоны'!BB79+'МК Нежин-3'!BB79+'МК РДК.Кран'!BB79+'МК Ворота.Запорожье'!BB79+'МД ВООЗ'!BB79+'МД Казарма.Рекламация'!BB79</f>
        <v>0</v>
      </c>
      <c r="BC79" s="2012">
        <f>BA79+BB79</f>
        <v>94628.338466497182</v>
      </c>
      <c r="BD79" s="4733"/>
      <c r="BE79" s="4729"/>
      <c r="BF79" s="3341">
        <f>PL_ЦО_Производство!BF79+'МД ООН'!BF79+'МК Ладыжин-3'!BF79+'МК Староконстантинов'!BF79+'МК Армокаркасы'!BF79+'МК Щедро. Флекситанки'!BF79+'МК ЛифтМаркет'!BF79+'МК Укркотлопром'!BF79+'МК Подгорцы.Забор'!BF79+PL_Металлизация!CT79+'МД Бытовка ИТР Нежин'!BF79+'МК Металургбуд.поддоны'!BF79+'МК Нежин-3'!BF79+'МК РДК.Кран'!BF79+'МК Ворота.Запорожье'!BF79+'МД ВООЗ'!BF79+'МД Казарма.Рекламация'!BF79</f>
        <v>0</v>
      </c>
      <c r="BG79" s="3341">
        <f>PL_ЦО_Производство!BG79+'МД ООН'!BG79+'МК Ладыжин-3'!BG79+'МК Староконстантинов'!BG79+'МК Армокаркасы'!BG79+'МК Щедро. Флекситанки'!BG79+'МК ЛифтМаркет'!BG79+'МК Укркотлопром'!BG79+'МК Подгорцы.Забор'!BG79+PL_Металлизация!CU79+'МД Бытовка ИТР Нежин'!BG79+'МК Металургбуд.поддоны'!BG79+'МК Нежин-3'!BG79+'МК РДК.Кран'!BG79+'МК Ворота.Запорожье'!BG79+'МД ВООЗ'!BG79+'МД Казарма.Рекламация'!BG79</f>
        <v>0</v>
      </c>
      <c r="BH79" s="2012">
        <f>BF79+BG79</f>
        <v>0</v>
      </c>
      <c r="BI79" s="4733"/>
      <c r="BJ79" s="4729"/>
      <c r="BK79" s="3341">
        <f>PL_ЦО_Производство!BK79+'МД ООН'!BK79+'МК Ладыжин-3'!BK79+'МК Староконстантинов'!BK79+'МК Армокаркасы'!BK79+'МК Щедро. Флекситанки'!BK79+'МК ЛифтМаркет'!BK79+'МК Укркотлопром'!BK79+'МК Подгорцы.Забор'!BK79+PL_Металлизация!CY79+'МД Бытовка ИТР Нежин'!BK79+'МК Металургбуд.поддоны'!BK79+'МК Нежин-3'!BK79+'МК РДК.Кран'!BK79+'МК Ворота.Запорожье'!BK79+'МД ВООЗ'!BK79+'МД Казарма.Рекламация'!BK79</f>
        <v>0</v>
      </c>
      <c r="BL79" s="3341">
        <f>PL_ЦО_Производство!BL79+'МД ООН'!BL79+'МК Ладыжин-3'!BL79+'МК Староконстантинов'!BL79+'МК Армокаркасы'!BL79+'МК Щедро. Флекситанки'!BL79+'МК ЛифтМаркет'!BL79+'МК Укркотлопром'!BL79+'МК Подгорцы.Забор'!BL79+PL_Металлизация!CZ79+'МД Бытовка ИТР Нежин'!BL79+'МК Металургбуд.поддоны'!BL79+'МК Нежин-3'!BL79+'МК РДК.Кран'!BL79+'МК Ворота.Запорожье'!BL79+'МД ВООЗ'!BL79+'МД Казарма.Рекламация'!BL79</f>
        <v>0</v>
      </c>
      <c r="BM79" s="2012">
        <f>BK79+BL79</f>
        <v>0</v>
      </c>
      <c r="BN79" s="4733"/>
      <c r="BO79" s="4729"/>
      <c r="BP79" s="3341">
        <f>PL_ЦО_Производство!BP79+'МД ООН'!BP79+'МК Ладыжин-3'!BP79+'МК Староконстантинов'!BP79+'МК Армокаркасы'!BP79+'МК Щедро. Флекситанки'!BP79+'МК ЛифтМаркет'!BP79+'МК Укркотлопром'!BP79+'МК Подгорцы.Забор'!BP79+PL_Металлизация!DD79+'МД Бытовка ИТР Нежин'!BP79+'МК Металургбуд.поддоны'!BP79+'МК Нежин-3'!BP79+'МК РДК.Кран'!BP79+'МК Ворота.Запорожье'!BP79+'МД ВООЗ'!BP79+'МД Казарма.Рекламация'!BP79</f>
        <v>0</v>
      </c>
      <c r="BQ79" s="3341">
        <f>PL_ЦО_Производство!BQ79+'МД ООН'!BQ79+'МК Ладыжин-3'!BQ79+'МК Староконстантинов'!BQ79+'МК Армокаркасы'!BQ79+'МК Щедро. Флекситанки'!BQ79+'МК ЛифтМаркет'!BQ79+'МК Укркотлопром'!BQ79+'МК Подгорцы.Забор'!BQ79+PL_Металлизация!DE79+'МД Бытовка ИТР Нежин'!BQ79+'МК Металургбуд.поддоны'!BQ79+'МК Нежин-3'!BQ79+'МК РДК.Кран'!BQ79+'МК Ворота.Запорожье'!BQ79+'МД ВООЗ'!BQ79+'МД Казарма.Рекламация'!BQ79</f>
        <v>0</v>
      </c>
      <c r="BR79" s="2012">
        <f>BP79+BQ79</f>
        <v>0</v>
      </c>
      <c r="BS79" s="4733"/>
      <c r="BT79" s="4729"/>
      <c r="BU79" s="3341">
        <f>PL_ЦО_Производство!BU79+'МД ООН'!BU79+'МК Ладыжин-3'!BU79+'МК Староконстантинов'!BU79+'МК Армокаркасы'!BU79+'МК Щедро. Флекситанки'!BU79+'МК ЛифтМаркет'!BU79+'МК Укркотлопром'!BU79+'МК Подгорцы.Забор'!BU79+PL_Металлизация!DI79+'МД Бытовка ИТР Нежин'!BU79+'МК Металургбуд.поддоны'!BU79+'МК Нежин-3'!BU79+'МК РДК.Кран'!BU79+'МК Ворота.Запорожье'!BU79+'МД ВООЗ'!BU79+'МД Казарма.Рекламация'!BU79</f>
        <v>0</v>
      </c>
      <c r="BV79" s="3341">
        <f>PL_ЦО_Производство!BV79+'МД ООН'!BV79+'МК Ладыжин-3'!BV79+'МК Староконстантинов'!BV79+'МК Армокаркасы'!BV79+'МК Щедро. Флекситанки'!BV79+'МК ЛифтМаркет'!BV79+'МК Укркотлопром'!BV79+'МК Подгорцы.Забор'!BV79+PL_Металлизация!DJ79+'МД Бытовка ИТР Нежин'!BV79+'МК Металургбуд.поддоны'!BV79+'МК Нежин-3'!BV79+'МК РДК.Кран'!BV79+'МК Ворота.Запорожье'!BV79+'МД ВООЗ'!BV79+'МД Казарма.Рекламация'!BV79</f>
        <v>0</v>
      </c>
      <c r="BW79" s="2012">
        <f>BU79+BV79</f>
        <v>0</v>
      </c>
      <c r="BX79" s="4733"/>
      <c r="BY79" s="4729"/>
      <c r="BZ79" s="3341">
        <f>PL_ЦО_Производство!BZ79+'МД ООН'!BZ79+'МК Ладыжин-3'!BZ79+'МК Староконстантинов'!BZ79+'МК Армокаркасы'!BZ79+'МК Щедро. Флекситанки'!BZ79+'МК ЛифтМаркет'!BZ79+'МК Укркотлопром'!BZ79+'МК Подгорцы.Забор'!BZ79+PL_Металлизация!DN79+'МД Бытовка ИТР Нежин'!BZ79+'МК Металургбуд.поддоны'!BZ79+'МК Нежин-3'!BZ79+'МК РДК.Кран'!BZ79+'МК Ворота.Запорожье'!BZ79+'МД ВООЗ'!BZ79+'МД Казарма.Рекламация'!BZ79</f>
        <v>0</v>
      </c>
      <c r="CA79" s="3341">
        <f>PL_ЦО_Производство!CA79+'МД ООН'!CA79+'МК Ладыжин-3'!CA79+'МК Староконстантинов'!CA79+'МК Армокаркасы'!CA79+'МК Щедро. Флекситанки'!CA79+'МК ЛифтМаркет'!CA79+'МК Укркотлопром'!CA79+'МК Подгорцы.Забор'!CA79+PL_Металлизация!DO79+'МД Бытовка ИТР Нежин'!CA79+'МК Металургбуд.поддоны'!CA79+'МК Нежин-3'!CA79+'МК РДК.Кран'!CA79+'МК Ворота.Запорожье'!CA79+'МД ВООЗ'!CA79+'МД Казарма.Рекламация'!CA79</f>
        <v>0</v>
      </c>
      <c r="CB79" s="2012">
        <f>BZ79+CA79</f>
        <v>0</v>
      </c>
      <c r="CC79" s="4733"/>
      <c r="CD79" s="4729"/>
      <c r="CE79" s="3341">
        <f>PL_ЦО_Производство!CE79+'МД ООН'!CE79+'МК Ладыжин-3'!CE79+'МК Староконстантинов'!CE79+'МК Армокаркасы'!CE79+'МК Щедро. Флекситанки'!CE79+'МК ЛифтМаркет'!CE79+'МК Укркотлопром'!CE79+'МК Подгорцы.Забор'!CE79+PL_Металлизация!DS79+'МД Бытовка ИТР Нежин'!CE79+'МК Металургбуд.поддоны'!CE79+'МК Нежин-3'!CE79+'МК РДК.Кран'!CE79+'МК Ворота.Запорожье'!CE79+'МД ВООЗ'!CE79+'МД Казарма.Рекламация'!CE79</f>
        <v>0</v>
      </c>
      <c r="CF79" s="3341">
        <f>PL_ЦО_Производство!CF79+'МД ООН'!CF79+'МК Ладыжин-3'!CF79+'МК Староконстантинов'!CF79+'МК Армокаркасы'!CF79+'МК Щедро. Флекситанки'!CF79+'МК ЛифтМаркет'!CF79+'МК Укркотлопром'!CF79+'МК Подгорцы.Забор'!CF79+PL_Металлизация!DT79+'МД Бытовка ИТР Нежин'!CF79+'МК Металургбуд.поддоны'!CF79+'МК Нежин-3'!CF79+'МК РДК.Кран'!CF79+'МК Ворота.Запорожье'!CF79+'МД ВООЗ'!CF79+'МД Казарма.Рекламация'!CF79</f>
        <v>0</v>
      </c>
      <c r="CG79" s="2012">
        <f>CE79+CF79</f>
        <v>0</v>
      </c>
      <c r="CH79" s="4733"/>
      <c r="CI79" s="4729"/>
      <c r="CJ79" s="3341">
        <f t="shared" si="205"/>
        <v>1548064.844616381</v>
      </c>
      <c r="CK79" s="3341">
        <f t="shared" si="205"/>
        <v>0</v>
      </c>
      <c r="CL79" s="2012">
        <f t="shared" ref="CL79" si="206">CJ79+CK79*1</f>
        <v>1548064.844616381</v>
      </c>
      <c r="CM79" s="4733"/>
      <c r="CN79" s="4733"/>
      <c r="CP79" s="3983">
        <f>+'МК ЛифтМаркет'!AG73</f>
        <v>0</v>
      </c>
      <c r="CQ79" s="3778" t="s">
        <v>1937</v>
      </c>
    </row>
    <row r="80" spans="1:95" ht="13.8" outlineLevel="2">
      <c r="A80" s="1397"/>
      <c r="B80" s="4768"/>
      <c r="C80" s="3341"/>
      <c r="D80" s="3341"/>
      <c r="E80" s="4780"/>
      <c r="F80" s="4780"/>
      <c r="G80" s="4781"/>
      <c r="H80" s="3341"/>
      <c r="I80" s="3341"/>
      <c r="J80" s="4780"/>
      <c r="K80" s="4780"/>
      <c r="L80" s="4781"/>
      <c r="M80" s="3341"/>
      <c r="N80" s="3341"/>
      <c r="O80" s="4780"/>
      <c r="P80" s="4780"/>
      <c r="Q80" s="4781"/>
      <c r="R80" s="3745"/>
      <c r="S80" s="3745"/>
      <c r="T80" s="3448"/>
      <c r="U80" s="3448"/>
      <c r="V80" s="3448"/>
      <c r="W80" s="3448"/>
      <c r="X80" s="3448"/>
      <c r="Y80" s="3448"/>
      <c r="Z80" s="3448"/>
      <c r="AA80" s="3448"/>
      <c r="AB80" s="3341"/>
      <c r="AC80" s="3341"/>
      <c r="AD80" s="4780"/>
      <c r="AE80" s="4780"/>
      <c r="AF80" s="4781"/>
      <c r="AG80" s="3341"/>
      <c r="AH80" s="3341"/>
      <c r="AI80" s="4780"/>
      <c r="AJ80" s="4780"/>
      <c r="AK80" s="4781"/>
      <c r="AL80" s="3341"/>
      <c r="AM80" s="3341"/>
      <c r="AN80" s="4780"/>
      <c r="AO80" s="4780"/>
      <c r="AP80" s="4781"/>
      <c r="AQ80" s="3341"/>
      <c r="AR80" s="3341"/>
      <c r="AS80" s="4780"/>
      <c r="AT80" s="4780"/>
      <c r="AU80" s="4781"/>
      <c r="AV80" s="3341"/>
      <c r="AW80" s="3341"/>
      <c r="AX80" s="4780"/>
      <c r="AY80" s="4780"/>
      <c r="AZ80" s="4781"/>
      <c r="BA80" s="3341"/>
      <c r="BB80" s="3341"/>
      <c r="BC80" s="4780"/>
      <c r="BD80" s="4780"/>
      <c r="BE80" s="4781"/>
      <c r="BF80" s="3341"/>
      <c r="BG80" s="3341"/>
      <c r="BH80" s="4780"/>
      <c r="BI80" s="4780"/>
      <c r="BJ80" s="4781"/>
      <c r="BK80" s="3341"/>
      <c r="BL80" s="3341"/>
      <c r="BM80" s="4780"/>
      <c r="BN80" s="4780"/>
      <c r="BO80" s="4781"/>
      <c r="BP80" s="3341"/>
      <c r="BQ80" s="3341"/>
      <c r="BR80" s="4780"/>
      <c r="BS80" s="4780"/>
      <c r="BT80" s="4781"/>
      <c r="BU80" s="3341"/>
      <c r="BV80" s="3341"/>
      <c r="BW80" s="4780"/>
      <c r="BX80" s="4780"/>
      <c r="BY80" s="4781"/>
      <c r="BZ80" s="3341"/>
      <c r="CA80" s="3341"/>
      <c r="CB80" s="4780"/>
      <c r="CC80" s="4780"/>
      <c r="CD80" s="4781"/>
      <c r="CE80" s="3341"/>
      <c r="CF80" s="3341"/>
      <c r="CG80" s="4780"/>
      <c r="CH80" s="4780"/>
      <c r="CI80" s="4781"/>
      <c r="CJ80" s="3341">
        <f>C80+H80+M80</f>
        <v>0</v>
      </c>
      <c r="CK80" s="3341">
        <f>D80+I80+N80</f>
        <v>0</v>
      </c>
      <c r="CL80" s="4780"/>
      <c r="CM80" s="4780"/>
      <c r="CN80" s="4780"/>
      <c r="CP80" s="3983">
        <f>+'МК Укркотлопром'!AG73</f>
        <v>0</v>
      </c>
      <c r="CQ80" s="3778" t="s">
        <v>1938</v>
      </c>
    </row>
    <row r="81" spans="1:95" s="1396" customFormat="1" ht="14.4" outlineLevel="1" thickBot="1">
      <c r="A81" s="1419"/>
      <c r="B81" s="4771" t="s">
        <v>12</v>
      </c>
      <c r="C81" s="4772">
        <f>(C75+C78)-C79</f>
        <v>0</v>
      </c>
      <c r="D81" s="4772">
        <f>(D75+D78)-D79</f>
        <v>0</v>
      </c>
      <c r="E81" s="4773">
        <f>(E75+E78)-E79</f>
        <v>0</v>
      </c>
      <c r="F81" s="4774"/>
      <c r="G81" s="4775"/>
      <c r="H81" s="4772">
        <f>(H75+H78)-H79</f>
        <v>0</v>
      </c>
      <c r="I81" s="4772">
        <f>(I75+I78)-I79</f>
        <v>0</v>
      </c>
      <c r="J81" s="4773">
        <f>(J75+J78)-J79</f>
        <v>0</v>
      </c>
      <c r="K81" s="4774"/>
      <c r="L81" s="4775"/>
      <c r="M81" s="4772">
        <f>(M75+M78)-M79</f>
        <v>0</v>
      </c>
      <c r="N81" s="4772">
        <f>(N75+N78)-N79</f>
        <v>0</v>
      </c>
      <c r="O81" s="4773">
        <f>(O75+O78)-O79</f>
        <v>0</v>
      </c>
      <c r="P81" s="4774"/>
      <c r="Q81" s="4775"/>
      <c r="R81" s="4772">
        <f>(R75+R78)-R79</f>
        <v>24220464.448336292</v>
      </c>
      <c r="S81" s="4772">
        <f>(S75+S78)-S79</f>
        <v>-12195946.310000001</v>
      </c>
      <c r="T81" s="4773">
        <f>(T75+T78)-T79</f>
        <v>12024518.138336295</v>
      </c>
      <c r="U81" s="4776"/>
      <c r="V81" s="4776"/>
      <c r="W81" s="4772">
        <f>(W75+W78)-W79</f>
        <v>493151.76770536514</v>
      </c>
      <c r="X81" s="4772">
        <f>(X75+X78)-X79</f>
        <v>-2637127.2430105545</v>
      </c>
      <c r="Y81" s="4773">
        <f>(Y75+Y78)-Y79</f>
        <v>-2143975.4753051894</v>
      </c>
      <c r="Z81" s="4776"/>
      <c r="AA81" s="4776"/>
      <c r="AB81" s="4772">
        <f>(AB75+AB78)-AB79</f>
        <v>-709277.75185344345</v>
      </c>
      <c r="AC81" s="4772">
        <f>(AC75+AC78)-AC79</f>
        <v>-599498.0048</v>
      </c>
      <c r="AD81" s="4773">
        <f>(AD75+AD78)-AD79</f>
        <v>-1308775.7566534434</v>
      </c>
      <c r="AE81" s="4774"/>
      <c r="AF81" s="4775"/>
      <c r="AG81" s="4772">
        <f>(AG75+AG78)-AG79</f>
        <v>90441.154989313742</v>
      </c>
      <c r="AH81" s="4772">
        <f>(AH75+AH78)-AH79</f>
        <v>-594345.12479999999</v>
      </c>
      <c r="AI81" s="4773">
        <f>(AI75+AI78)-AI79</f>
        <v>-503903.96981068602</v>
      </c>
      <c r="AJ81" s="4774"/>
      <c r="AK81" s="4775"/>
      <c r="AL81" s="4772">
        <f>(AL75+AL78)-AL79</f>
        <v>390919.58152613253</v>
      </c>
      <c r="AM81" s="4772">
        <f>(AM75+AM78)-AM79</f>
        <v>164244.85000000003</v>
      </c>
      <c r="AN81" s="4773">
        <f>(AN75+AN78)-AN79</f>
        <v>555164.43152613263</v>
      </c>
      <c r="AO81" s="4774"/>
      <c r="AP81" s="4775"/>
      <c r="AQ81" s="4772">
        <f>(AQ75+AQ78)-AQ79</f>
        <v>285866.54574690224</v>
      </c>
      <c r="AR81" s="4772">
        <f>(AR75+AR78)-AR79</f>
        <v>-518506</v>
      </c>
      <c r="AS81" s="4773">
        <f>(AS75+AS78)-AS79</f>
        <v>-232639.45425309782</v>
      </c>
      <c r="AT81" s="4774"/>
      <c r="AU81" s="4775"/>
      <c r="AV81" s="4772">
        <f>(AV75+AV78)-AV79</f>
        <v>915653.86110491341</v>
      </c>
      <c r="AW81" s="4772">
        <f>(AW75+AW78)-AW79</f>
        <v>-452942</v>
      </c>
      <c r="AX81" s="4773">
        <f>(AX75+AX78)-AX79</f>
        <v>462711.86110491329</v>
      </c>
      <c r="AY81" s="4774"/>
      <c r="AZ81" s="4775"/>
      <c r="BA81" s="4772">
        <f>(BA75+BA78)-BA79</f>
        <v>-480451.62380845362</v>
      </c>
      <c r="BB81" s="4772">
        <f>(BB75+BB78)-BB79</f>
        <v>-636080.96341055422</v>
      </c>
      <c r="BC81" s="4773">
        <f>(BC75+BC78)-BC79</f>
        <v>-1116532.5872190078</v>
      </c>
      <c r="BD81" s="4774"/>
      <c r="BE81" s="4775"/>
      <c r="BF81" s="4772">
        <f>(BF75+BF78)-BF79</f>
        <v>0</v>
      </c>
      <c r="BG81" s="4772">
        <f>(BG75+BG78)-BG79</f>
        <v>0</v>
      </c>
      <c r="BH81" s="4773">
        <f>(BH75+BH78)-BH79</f>
        <v>0</v>
      </c>
      <c r="BI81" s="4774"/>
      <c r="BJ81" s="4775"/>
      <c r="BK81" s="4772">
        <f>(BK75+BK78)-BK79</f>
        <v>0</v>
      </c>
      <c r="BL81" s="4772">
        <f>(BL75+BL78)-BL79</f>
        <v>0</v>
      </c>
      <c r="BM81" s="4773">
        <f>(BM75+BM78)-BM79</f>
        <v>0</v>
      </c>
      <c r="BN81" s="4774"/>
      <c r="BO81" s="4775"/>
      <c r="BP81" s="4772">
        <f>(BP75+BP78)-BP79</f>
        <v>0</v>
      </c>
      <c r="BQ81" s="4772">
        <f>(BQ75+BQ78)-BQ79</f>
        <v>0</v>
      </c>
      <c r="BR81" s="4773">
        <f>(BR75+BR78)-BR79</f>
        <v>0</v>
      </c>
      <c r="BS81" s="4774"/>
      <c r="BT81" s="4775"/>
      <c r="BU81" s="4772">
        <f>(BU75+BU78)-BU79</f>
        <v>0</v>
      </c>
      <c r="BV81" s="4772">
        <f>(BV75+BV78)-BV79</f>
        <v>0</v>
      </c>
      <c r="BW81" s="4773">
        <f>(BW75+BW78)-BW79</f>
        <v>0</v>
      </c>
      <c r="BX81" s="4774"/>
      <c r="BY81" s="4775"/>
      <c r="BZ81" s="4772">
        <f>(BZ75+BZ78)-BZ79</f>
        <v>0</v>
      </c>
      <c r="CA81" s="4772">
        <f>(CA75+CA78)-CA79</f>
        <v>0</v>
      </c>
      <c r="CB81" s="4773">
        <f>(CB75+CB78)-CB79</f>
        <v>0</v>
      </c>
      <c r="CC81" s="4774"/>
      <c r="CD81" s="4775"/>
      <c r="CE81" s="4772">
        <f>(CE75+CE78)-CE79</f>
        <v>0</v>
      </c>
      <c r="CF81" s="4772">
        <f>(CF75+CF78)-CF79</f>
        <v>0</v>
      </c>
      <c r="CG81" s="4773">
        <f>(CG75+CG78)-CG79</f>
        <v>0</v>
      </c>
      <c r="CH81" s="4774"/>
      <c r="CI81" s="4775"/>
      <c r="CJ81" s="4772">
        <f>(CJ75+CJ78)-CJ79</f>
        <v>24713616.216041651</v>
      </c>
      <c r="CK81" s="4772">
        <f>(CK75+CK78)-CK79</f>
        <v>-14833073.553010553</v>
      </c>
      <c r="CL81" s="4773">
        <f>(CL75+CL78)-CL79</f>
        <v>9880542.6630310956</v>
      </c>
      <c r="CM81" s="4774"/>
      <c r="CN81" s="4774"/>
      <c r="CP81" s="3983">
        <f>+'МК Подгорцы.Забор'!AG73</f>
        <v>0</v>
      </c>
      <c r="CQ81" s="3778" t="s">
        <v>1939</v>
      </c>
    </row>
    <row r="82" spans="1:95" s="1396" customFormat="1" ht="13.8" outlineLevel="2">
      <c r="A82" s="1565"/>
      <c r="B82" s="1400" t="s">
        <v>38</v>
      </c>
      <c r="C82" s="3341"/>
      <c r="D82" s="3341"/>
      <c r="E82" s="3390">
        <f>C82+D82</f>
        <v>0</v>
      </c>
      <c r="F82" s="3381"/>
      <c r="G82" s="3455"/>
      <c r="H82" s="3341"/>
      <c r="I82" s="3341"/>
      <c r="J82" s="3390">
        <f>H82+I82</f>
        <v>0</v>
      </c>
      <c r="K82" s="4697" t="e">
        <f t="shared" ref="K82" si="207">J82/J$89</f>
        <v>#DIV/0!</v>
      </c>
      <c r="L82" s="3455"/>
      <c r="M82" s="3341"/>
      <c r="N82" s="3341"/>
      <c r="O82" s="3390">
        <f>M82+N82</f>
        <v>0</v>
      </c>
      <c r="P82" s="4697" t="e">
        <f t="shared" ref="P82" si="208">O82/O$89</f>
        <v>#DIV/0!</v>
      </c>
      <c r="Q82" s="3455"/>
      <c r="R82" s="3427">
        <f t="shared" ref="R82:S82" si="209">M82+H82+C82</f>
        <v>0</v>
      </c>
      <c r="S82" s="3427">
        <f t="shared" si="209"/>
        <v>0</v>
      </c>
      <c r="T82" s="2012">
        <f t="shared" ref="T82" si="210">R82+S82</f>
        <v>0</v>
      </c>
      <c r="U82" s="3455"/>
      <c r="V82" s="3455"/>
      <c r="W82" s="3342">
        <f t="shared" ref="W82:X82" si="211">AB82+AG82+AL82+AV82+BA82+BF82+BK82+BP82+BU82+BZ82+CE82+AQ82</f>
        <v>45628</v>
      </c>
      <c r="X82" s="3342">
        <f t="shared" si="211"/>
        <v>0</v>
      </c>
      <c r="Y82" s="2012">
        <f t="shared" ref="Y82" si="212">W82+X82</f>
        <v>45628</v>
      </c>
      <c r="Z82" s="3455"/>
      <c r="AA82" s="3455"/>
      <c r="AB82" s="3341">
        <f>PL_ЦО_Производство!AB82+'МД ООН'!AB82+'МК Ладыжин-3'!AB82+'МК Староконстантинов'!AB82+'МК Армокаркасы'!AB82+'МК Щедро. Флекситанки'!AB82+'МК ЛифтМаркет'!AB82+'МК Укркотлопром'!AB82+'МК Подгорцы.Забор'!AB82+PL_Металлизация!BP82+'МД Бытовка ИТР Нежин'!AB82+'МК Металургбуд.поддоны'!AB82</f>
        <v>45628</v>
      </c>
      <c r="AC82" s="3341">
        <f>PL_ЦО_Производство!AC82+'МД ООН'!AC82+'МК Ладыжин-3'!AC82+'МК Староконстантинов'!AC82+'МК Армокаркасы'!AC82+'МК Щедро. Флекситанки'!AC82+'МК ЛифтМаркет'!AC82+'МК Укркотлопром'!AC82+'МК Подгорцы.Забор'!AC82+PL_Металлизация!BQ82+'МД Бытовка ИТР Нежин'!AC82+'МК Металургбуд.поддоны'!AC82</f>
        <v>0</v>
      </c>
      <c r="AD82" s="3390">
        <f>AB82+AC82</f>
        <v>45628</v>
      </c>
      <c r="AE82" s="3381"/>
      <c r="AF82" s="3455"/>
      <c r="AG82" s="3341">
        <f>PL_ЦО_Производство!AG82+'МД ООН'!AG82+'МК Ладыжин-3'!AG82+'МК Староконстантинов'!AG82+'МК Армокаркасы'!AG82+'МК Щедро. Флекситанки'!AG82+'МК ЛифтМаркет'!AG82+'МК Укркотлопром'!AG82+'МК Подгорцы.Забор'!AG82+PL_Металлизация!BU82+'МД Бытовка ИТР Нежин'!AG82+'МК Металургбуд.поддоны'!AG82</f>
        <v>0</v>
      </c>
      <c r="AH82" s="3341">
        <f>PL_ЦО_Производство!AH82+'МД ООН'!AH82+'МК Ладыжин-3'!AH82+'МК Староконстантинов'!AH82+'МК Армокаркасы'!AH82+'МК Щедро. Флекситанки'!AH82+'МК ЛифтМаркет'!AH82+'МК Укркотлопром'!AH82+'МК Подгорцы.Забор'!AH82+PL_Металлизация!BV82+'МД Бытовка ИТР Нежин'!AH82+'МК Металургбуд.поддоны'!AH82</f>
        <v>0</v>
      </c>
      <c r="AI82" s="3390">
        <f>AG82+AH82</f>
        <v>0</v>
      </c>
      <c r="AJ82" s="3381"/>
      <c r="AK82" s="3455"/>
      <c r="AL82" s="3341">
        <f>PL_ЦО_Производство!AL82+'МД ООН'!AL82+'МК Ладыжин-3'!AL82+'МК Староконстантинов'!AL82+'МК Армокаркасы'!AL82+'МК Щедро. Флекситанки'!AL82+'МК ЛифтМаркет'!AL82+'МК Укркотлопром'!AL82+'МК Подгорцы.Забор'!AL82+PL_Металлизация!BZ82+'МД Бытовка ИТР Нежин'!AL82+'МК Металургбуд.поддоны'!AL82+'МК Нежин-3'!AL82</f>
        <v>0</v>
      </c>
      <c r="AM82" s="3341">
        <f>PL_ЦО_Производство!AM82+'МД ООН'!AM82+'МК Ладыжин-3'!AM82+'МК Староконстантинов'!AM82+'МК Армокаркасы'!AM82+'МК Щедро. Флекситанки'!AM82+'МК ЛифтМаркет'!AM82+'МК Укркотлопром'!AM82+'МК Подгорцы.Забор'!AM82+PL_Металлизация!CA82+'МД Бытовка ИТР Нежин'!AM82+'МК Металургбуд.поддоны'!AM82+'МК Нежин-3'!AM82</f>
        <v>0</v>
      </c>
      <c r="AN82" s="3390">
        <f>AL82+AM82</f>
        <v>0</v>
      </c>
      <c r="AO82" s="3381"/>
      <c r="AP82" s="3455"/>
      <c r="AQ82" s="3341">
        <f>PL_ЦО_Производство!AQ82+'МД ООН'!AQ82+'МК Ладыжин-3'!AQ82+'МК Староконстантинов'!AQ82+'МК Армокаркасы'!AQ82+'МК Щедро. Флекситанки'!AQ82+'МК ЛифтМаркет'!AQ82+'МК Укркотлопром'!AQ82+'МК Подгорцы.Забор'!AQ82+PL_Металлизация!CE82+'МД Бытовка ИТР Нежин'!AQ82+'МК Металургбуд.поддоны'!AQ82+'МК Нежин-3'!AQ82</f>
        <v>0</v>
      </c>
      <c r="AR82" s="3341">
        <f>PL_ЦО_Производство!AR82+'МД ООН'!AR82+'МК Ладыжин-3'!AR82+'МК Староконстантинов'!AR82+'МК Армокаркасы'!AR82+'МК Щедро. Флекситанки'!AR82+'МК ЛифтМаркет'!AR82+'МК Укркотлопром'!AR82+'МК Подгорцы.Забор'!AR82+PL_Металлизация!CF82+'МД Бытовка ИТР Нежин'!AR82+'МК Металургбуд.поддоны'!AR82+'МК Нежин-3'!AR82</f>
        <v>0</v>
      </c>
      <c r="AS82" s="3390">
        <f>AQ82+AR82</f>
        <v>0</v>
      </c>
      <c r="AT82" s="3381"/>
      <c r="AU82" s="3455"/>
      <c r="AV82" s="3341">
        <f>PL_ЦО_Производство!AV82+'МД ООН'!AV82+'МК Армокаркасы'!AV82+'МК Подгорцы.Забор'!AV82+'МК Нежин-3'!AV82+'МК РДК.Кран'!AV82+'МК Ворота.Запорожье'!AV82+'МД ВООЗ'!AV82+'МД Казарма.Рекламация'!AV82</f>
        <v>0</v>
      </c>
      <c r="AW82" s="3341">
        <f>PL_ЦО_Производство!AW82+'МД ООН'!AW82+'МК Армокаркасы'!AW82+'МК Подгорцы.Забор'!AW82+'МК Нежин-3'!AW82+'МК РДК.Кран'!AW82+'МК Ворота.Запорожье'!AW82+'МД ВООЗ'!AW82+'МД Казарма.Рекламация'!AW82</f>
        <v>0</v>
      </c>
      <c r="AX82" s="3390">
        <f>AV82+AW82</f>
        <v>0</v>
      </c>
      <c r="AY82" s="3381"/>
      <c r="AZ82" s="3455"/>
      <c r="BA82" s="3341">
        <f>PL_ЦО_Производство!BA82+'МД ООН'!BA82+'МК Ладыжин-3'!BA82+'МК Староконстантинов'!BA82+'МК Армокаркасы'!BA82+'МК Щедро. Флекситанки'!BA82+'МК ЛифтМаркет'!BA82+'МК Укркотлопром'!BA82+'МК Подгорцы.Забор'!BA82+PL_Металлизация!CO82+'МД Бытовка ИТР Нежин'!BA82+'МК Металургбуд.поддоны'!BA82+'МК Нежин-3'!BA82</f>
        <v>0</v>
      </c>
      <c r="BB82" s="3341">
        <f>PL_ЦО_Производство!BB82+'МД ООН'!BB82+'МК Ладыжин-3'!BB82+'МК Староконстантинов'!BB82+'МК Армокаркасы'!BB82+'МК Щедро. Флекситанки'!BB82+'МК ЛифтМаркет'!BB82+'МК Укркотлопром'!BB82+'МК Подгорцы.Забор'!BB82+PL_Металлизация!CP82+'МД Бытовка ИТР Нежин'!BB82+'МК Металургбуд.поддоны'!BB82+'МК Нежин-3'!BB82</f>
        <v>0</v>
      </c>
      <c r="BC82" s="3390">
        <f>BA82+BB82</f>
        <v>0</v>
      </c>
      <c r="BD82" s="3381"/>
      <c r="BE82" s="3455"/>
      <c r="BF82" s="3341">
        <f>PL_ЦО_Производство!BF82+'МД ООН'!BF82+'МК Ладыжин-3'!BF82+'МК Староконстантинов'!BF82+'МК Армокаркасы'!BF82+'МК Щедро. Флекситанки'!BF82+'МК ЛифтМаркет'!BF82+'МК Укркотлопром'!BF82+'МК Подгорцы.Забор'!BF82+PL_Металлизация!CT82+'МД Бытовка ИТР Нежин'!BF82+'МК Металургбуд.поддоны'!BF82+'МК Нежин-3'!BF82</f>
        <v>0</v>
      </c>
      <c r="BG82" s="3341">
        <f>PL_ЦО_Производство!BG82+'МД ООН'!BG82+'МК Ладыжин-3'!BG82+'МК Староконстантинов'!BG82+'МК Армокаркасы'!BG82+'МК Щедро. Флекситанки'!BG82+'МК ЛифтМаркет'!BG82+'МК Укркотлопром'!BG82+'МК Подгорцы.Забор'!BG82+PL_Металлизация!CU82+'МД Бытовка ИТР Нежин'!BG82+'МК Металургбуд.поддоны'!BG82+'МК Нежин-3'!BG82</f>
        <v>0</v>
      </c>
      <c r="BH82" s="3390">
        <f>BF82+BG82</f>
        <v>0</v>
      </c>
      <c r="BI82" s="3381"/>
      <c r="BJ82" s="3455"/>
      <c r="BK82" s="3341">
        <f>PL_ЦО_Производство!BK82+'МД ООН'!BK82+'МК Ладыжин-3'!BK82+'МК Староконстантинов'!BK82+'МК Армокаркасы'!BK82+'МК Щедро. Флекситанки'!BK82+'МК ЛифтМаркет'!BK82+'МК Укркотлопром'!BK82+'МК Подгорцы.Забор'!BK82+PL_Металлизация!CY82+'МД Бытовка ИТР Нежин'!BK82+'МК Металургбуд.поддоны'!BK82+'МК Нежин-3'!BK82</f>
        <v>0</v>
      </c>
      <c r="BL82" s="3341">
        <f>PL_ЦО_Производство!BL82+'МД ООН'!BL82+'МК Ладыжин-3'!BL82+'МК Староконстантинов'!BL82+'МК Армокаркасы'!BL82+'МК Щедро. Флекситанки'!BL82+'МК ЛифтМаркет'!BL82+'МК Укркотлопром'!BL82+'МК Подгорцы.Забор'!BL82+PL_Металлизация!CZ82+'МД Бытовка ИТР Нежин'!BL82+'МК Металургбуд.поддоны'!BL82+'МК Нежин-3'!BL82</f>
        <v>0</v>
      </c>
      <c r="BM82" s="3390">
        <f>BK82+BL82</f>
        <v>0</v>
      </c>
      <c r="BN82" s="3381"/>
      <c r="BO82" s="3455"/>
      <c r="BP82" s="3341">
        <f>PL_ЦО_Производство!BP82+'МД ООН'!BP82+'МК Ладыжин-3'!BP82+'МК Староконстантинов'!BP82+'МК Армокаркасы'!BP82+'МК Щедро. Флекситанки'!BP82+'МК ЛифтМаркет'!BP82+'МК Укркотлопром'!BP82+'МК Подгорцы.Забор'!BP82+PL_Металлизация!DD82+'МД Бытовка ИТР Нежин'!BP82+'МК Металургбуд.поддоны'!BP82+'МК Нежин-3'!BP82</f>
        <v>0</v>
      </c>
      <c r="BQ82" s="3341">
        <f>PL_ЦО_Производство!BQ82+'МД ООН'!BQ82+'МК Ладыжин-3'!BQ82+'МК Староконстантинов'!BQ82+'МК Армокаркасы'!BQ82+'МК Щедро. Флекситанки'!BQ82+'МК ЛифтМаркет'!BQ82+'МК Укркотлопром'!BQ82+'МК Подгорцы.Забор'!BQ82+PL_Металлизация!DE82+'МД Бытовка ИТР Нежин'!BQ82+'МК Металургбуд.поддоны'!BQ82+'МК Нежин-3'!BQ82</f>
        <v>0</v>
      </c>
      <c r="BR82" s="3390">
        <f>BP82+BQ82</f>
        <v>0</v>
      </c>
      <c r="BS82" s="3381"/>
      <c r="BT82" s="3455"/>
      <c r="BU82" s="3341">
        <f>PL_ЦО_Производство!BU82+'МД ООН'!BU82+'МК Ладыжин-3'!BU82+'МК Староконстантинов'!BU82+'МК Армокаркасы'!BU82+'МК Щедро. Флекситанки'!BU82+'МК ЛифтМаркет'!BU82+'МК Укркотлопром'!BU82+'МК Подгорцы.Забор'!BU82+PL_Металлизация!DI82+'МД Бытовка ИТР Нежин'!BU82+'МК Металургбуд.поддоны'!BU82+'МК Нежин-3'!BU82</f>
        <v>0</v>
      </c>
      <c r="BV82" s="3341">
        <f>PL_ЦО_Производство!BV82+'МД ООН'!BV82+'МК Ладыжин-3'!BV82+'МК Староконстантинов'!BV82+'МК Армокаркасы'!BV82+'МК Щедро. Флекситанки'!BV82+'МК ЛифтМаркет'!BV82+'МК Укркотлопром'!BV82+'МК Подгорцы.Забор'!BV82+PL_Металлизация!DJ82+'МД Бытовка ИТР Нежин'!BV82+'МК Металургбуд.поддоны'!BV82+'МК Нежин-3'!BV82</f>
        <v>0</v>
      </c>
      <c r="BW82" s="3390">
        <f>BU82+BV82</f>
        <v>0</v>
      </c>
      <c r="BX82" s="3381"/>
      <c r="BY82" s="3455"/>
      <c r="BZ82" s="3341">
        <f>PL_ЦО_Производство!BZ82+'МД ООН'!BZ82+'МК Ладыжин-3'!BZ82+'МК Староконстантинов'!BZ82+'МК Армокаркасы'!BZ82+'МК Щедро. Флекситанки'!BZ82+'МК ЛифтМаркет'!BZ82+'МК Укркотлопром'!BZ82+'МК Подгорцы.Забор'!BZ82+PL_Металлизация!DN82+'МД Бытовка ИТР Нежин'!BZ82+'МК Металургбуд.поддоны'!BZ82+'МК Нежин-3'!BZ82</f>
        <v>0</v>
      </c>
      <c r="CA82" s="3341">
        <f>PL_ЦО_Производство!CA82+'МД ООН'!CA82+'МК Ладыжин-3'!CA82+'МК Староконстантинов'!CA82+'МК Армокаркасы'!CA82+'МК Щедро. Флекситанки'!CA82+'МК ЛифтМаркет'!CA82+'МК Укркотлопром'!CA82+'МК Подгорцы.Забор'!CA82+PL_Металлизация!DO82+'МД Бытовка ИТР Нежин'!CA82+'МК Металургбуд.поддоны'!CA82+'МК Нежин-3'!CA82</f>
        <v>0</v>
      </c>
      <c r="CB82" s="3390">
        <f>BZ82+CA82</f>
        <v>0</v>
      </c>
      <c r="CC82" s="3381"/>
      <c r="CD82" s="3455"/>
      <c r="CE82" s="3341">
        <f>PL_ЦО_Производство!CE82+'МД ООН'!CE82+'МК Ладыжин-3'!CE82+'МК Староконстантинов'!CE82+'МК Армокаркасы'!CE82+'МК Щедро. Флекситанки'!CE82+'МК ЛифтМаркет'!CE82+'МК Укркотлопром'!CE82+'МК Подгорцы.Забор'!CE82+PL_Металлизация!DS82+'МД Бытовка ИТР Нежин'!CE82+'МК Металургбуд.поддоны'!CE82+'МК Нежин-3'!CE82</f>
        <v>0</v>
      </c>
      <c r="CF82" s="3341">
        <f>PL_ЦО_Производство!CF82+'МД ООН'!CF82+'МК Ладыжин-3'!CF82+'МК Староконстантинов'!CF82+'МК Армокаркасы'!CF82+'МК Щедро. Флекситанки'!CF82+'МК ЛифтМаркет'!CF82+'МК Укркотлопром'!CF82+'МК Подгорцы.Забор'!CF82+PL_Металлизация!DT82+'МД Бытовка ИТР Нежин'!CF82+'МК Металургбуд.поддоны'!CF82+'МК Нежин-3'!CF82</f>
        <v>0</v>
      </c>
      <c r="CG82" s="3390">
        <f>CE82+CF82</f>
        <v>0</v>
      </c>
      <c r="CH82" s="3381"/>
      <c r="CI82" s="3455"/>
      <c r="CJ82" s="3341"/>
      <c r="CK82" s="3341"/>
      <c r="CL82" s="3390">
        <f>CJ82+CK82</f>
        <v>0</v>
      </c>
      <c r="CM82" s="3381"/>
      <c r="CN82" s="3381"/>
      <c r="CP82" s="3983">
        <f>+PL_Металлизация!BU73</f>
        <v>0</v>
      </c>
      <c r="CQ82" s="3778" t="s">
        <v>1940</v>
      </c>
    </row>
    <row r="83" spans="1:95" s="1396" customFormat="1" ht="13.8" outlineLevel="1">
      <c r="A83" s="1405"/>
      <c r="B83" s="4787" t="s">
        <v>13</v>
      </c>
      <c r="C83" s="4788">
        <f>(C81+C7)-C36</f>
        <v>0</v>
      </c>
      <c r="D83" s="4788">
        <f>(D81+D7)-D36</f>
        <v>0</v>
      </c>
      <c r="E83" s="4789">
        <f>(E81+E7)-E36</f>
        <v>0</v>
      </c>
      <c r="F83" s="4790"/>
      <c r="G83" s="4791"/>
      <c r="H83" s="4788">
        <f>(H81+H7)-H36</f>
        <v>0</v>
      </c>
      <c r="I83" s="4788">
        <f>(I81+I7)-I36</f>
        <v>0</v>
      </c>
      <c r="J83" s="4789">
        <f>(J81+J7)-J36</f>
        <v>0</v>
      </c>
      <c r="K83" s="4790"/>
      <c r="L83" s="4791"/>
      <c r="M83" s="4788">
        <f>(M81+M7)-M36</f>
        <v>0</v>
      </c>
      <c r="N83" s="4788">
        <f>(N81+N7)-N36</f>
        <v>0</v>
      </c>
      <c r="O83" s="4789">
        <f>(O81+O7)-O36</f>
        <v>0</v>
      </c>
      <c r="P83" s="4790"/>
      <c r="Q83" s="4791"/>
      <c r="R83" s="4788">
        <f>(R81+R7)-R36</f>
        <v>24104816.588336293</v>
      </c>
      <c r="S83" s="4788">
        <f>(S81+S7)-S36</f>
        <v>-12195946.310000001</v>
      </c>
      <c r="T83" s="4789">
        <f>(T81+T7)-T36</f>
        <v>11908870.278336296</v>
      </c>
      <c r="U83" s="4792"/>
      <c r="V83" s="4792"/>
      <c r="W83" s="4788">
        <f>(W81+W7)-W36</f>
        <v>452188.80770536512</v>
      </c>
      <c r="X83" s="4788">
        <f>(X81+X7)-X36</f>
        <v>-2637127.2430105545</v>
      </c>
      <c r="Y83" s="4789">
        <f>(Y81+Y7)-Y36</f>
        <v>-2184938.4353051893</v>
      </c>
      <c r="Z83" s="4792"/>
      <c r="AA83" s="4792"/>
      <c r="AB83" s="4788">
        <f>(AB81+AB7)-AB36</f>
        <v>-709277.75185344345</v>
      </c>
      <c r="AC83" s="4788">
        <f>(AC81+AC7)-AC36</f>
        <v>-599498.0048</v>
      </c>
      <c r="AD83" s="4789">
        <f>(AD81+AD7)-AD36</f>
        <v>-1308775.7566534434</v>
      </c>
      <c r="AE83" s="4790"/>
      <c r="AF83" s="4791"/>
      <c r="AG83" s="4788">
        <f>(AG81+AG7)-AG36</f>
        <v>90441.154989313742</v>
      </c>
      <c r="AH83" s="4788">
        <f>(AH81+AH7)-AH36</f>
        <v>-594345.12479999999</v>
      </c>
      <c r="AI83" s="4789">
        <f>(AI81+AI7)-AI36</f>
        <v>-503903.96981068602</v>
      </c>
      <c r="AJ83" s="4790"/>
      <c r="AK83" s="4791"/>
      <c r="AL83" s="4788">
        <f>(AL81)-AL36</f>
        <v>354031.62152613251</v>
      </c>
      <c r="AM83" s="4788">
        <f>(AM81)-AM36</f>
        <v>164244.85000000003</v>
      </c>
      <c r="AN83" s="4789">
        <f>(AN81+AN7)-AN36</f>
        <v>518276.47152613261</v>
      </c>
      <c r="AO83" s="4790"/>
      <c r="AP83" s="4791"/>
      <c r="AQ83" s="4788">
        <f>(AQ81+AQ7)-AQ36</f>
        <v>284379.54574690224</v>
      </c>
      <c r="AR83" s="4788">
        <f>(AR81+AR7)-AR36</f>
        <v>-518506</v>
      </c>
      <c r="AS83" s="4789">
        <f>(AS81+AS7)-AS36</f>
        <v>-234126.45425309782</v>
      </c>
      <c r="AT83" s="4790"/>
      <c r="AU83" s="4791"/>
      <c r="AV83" s="4788">
        <f>(AV81+AV7)-AV36</f>
        <v>913065.86110491341</v>
      </c>
      <c r="AW83" s="4788">
        <f>(AW81+AW7)-AW36</f>
        <v>-452942</v>
      </c>
      <c r="AX83" s="4789">
        <f>(AX81+AX7)-AX36</f>
        <v>460123.86110491329</v>
      </c>
      <c r="AY83" s="4790"/>
      <c r="AZ83" s="4791"/>
      <c r="BA83" s="4788">
        <f>(BA81+BA7)-BA36</f>
        <v>-480451.62380845362</v>
      </c>
      <c r="BB83" s="4788">
        <f>(BB81+BB7)-BB36</f>
        <v>-636080.96341055422</v>
      </c>
      <c r="BC83" s="4789">
        <f>(BC81+BC7)-BC36</f>
        <v>-1116532.5872190078</v>
      </c>
      <c r="BD83" s="4790"/>
      <c r="BE83" s="4791"/>
      <c r="BF83" s="4788">
        <f>(BF81+BF7)-BF36</f>
        <v>0</v>
      </c>
      <c r="BG83" s="4788">
        <f>(BG81+BG7)-BG36</f>
        <v>0</v>
      </c>
      <c r="BH83" s="4789">
        <f>(BH81+BH7)-BH36</f>
        <v>0</v>
      </c>
      <c r="BI83" s="4790"/>
      <c r="BJ83" s="4791"/>
      <c r="BK83" s="4788">
        <f>(BK81+BK7)-BK36</f>
        <v>0</v>
      </c>
      <c r="BL83" s="4788">
        <f>(BL81+BL7)-BL36</f>
        <v>0</v>
      </c>
      <c r="BM83" s="4789">
        <f>(BM81+BM7)-BM36</f>
        <v>0</v>
      </c>
      <c r="BN83" s="4790"/>
      <c r="BO83" s="4791"/>
      <c r="BP83" s="4788">
        <f>(BP81+BP7)-BP36</f>
        <v>0</v>
      </c>
      <c r="BQ83" s="4788">
        <f>(BQ81+BQ7)-BQ36</f>
        <v>0</v>
      </c>
      <c r="BR83" s="4789">
        <f>(BR81+BR7)-BR36</f>
        <v>0</v>
      </c>
      <c r="BS83" s="4790"/>
      <c r="BT83" s="4791"/>
      <c r="BU83" s="4788">
        <f>(BU81+BU7)-BU36</f>
        <v>0</v>
      </c>
      <c r="BV83" s="4788">
        <f>(BV81+BV7)-BV36</f>
        <v>0</v>
      </c>
      <c r="BW83" s="4789">
        <f>(BW81+BW7)-BW36</f>
        <v>0</v>
      </c>
      <c r="BX83" s="4790"/>
      <c r="BY83" s="4791"/>
      <c r="BZ83" s="4788">
        <f>(BZ81+BZ7)-BZ36</f>
        <v>0</v>
      </c>
      <c r="CA83" s="4788">
        <f>(CA81+CA7)-CA36</f>
        <v>0</v>
      </c>
      <c r="CB83" s="4789">
        <f>(CB81+CB7)-CB36</f>
        <v>0</v>
      </c>
      <c r="CC83" s="4790"/>
      <c r="CD83" s="4791"/>
      <c r="CE83" s="4788">
        <f>(CE81+CE7)-CE36</f>
        <v>0</v>
      </c>
      <c r="CF83" s="4788">
        <f>(CF81+CF7)-CF36</f>
        <v>0</v>
      </c>
      <c r="CG83" s="4789">
        <f>(CG81+CG7)-CG36</f>
        <v>0</v>
      </c>
      <c r="CH83" s="4790"/>
      <c r="CI83" s="4791"/>
      <c r="CJ83" s="4788">
        <f>(CJ81+CJ7)-CJ36</f>
        <v>24557005.39604165</v>
      </c>
      <c r="CK83" s="4788">
        <f>(CK81+CK7)-CK36</f>
        <v>-14833073.553010553</v>
      </c>
      <c r="CL83" s="4789">
        <f>(CL81+CL7)-CL36</f>
        <v>9723931.8430310953</v>
      </c>
      <c r="CM83" s="4790"/>
      <c r="CN83" s="4790"/>
      <c r="CP83" s="3983">
        <f>+'МД Бытовка ИТР Нежин'!AG73</f>
        <v>0</v>
      </c>
      <c r="CQ83" s="3778" t="s">
        <v>1941</v>
      </c>
    </row>
    <row r="84" spans="1:95" s="1396" customFormat="1" ht="14.4" outlineLevel="1" thickBot="1">
      <c r="A84" s="1405"/>
      <c r="B84" s="4795" t="s">
        <v>14</v>
      </c>
      <c r="C84" s="4796">
        <f>C83-C73-C82</f>
        <v>0</v>
      </c>
      <c r="D84" s="4796">
        <f>D83-D73-D82</f>
        <v>0</v>
      </c>
      <c r="E84" s="4796">
        <f>E83-E73-E82</f>
        <v>0</v>
      </c>
      <c r="F84" s="4797"/>
      <c r="G84" s="4798"/>
      <c r="H84" s="4796">
        <f>H83-H73-H82</f>
        <v>0</v>
      </c>
      <c r="I84" s="4796">
        <f>I83-I73-I82</f>
        <v>0</v>
      </c>
      <c r="J84" s="4796">
        <f>J83-J73-J82</f>
        <v>0</v>
      </c>
      <c r="K84" s="4797"/>
      <c r="L84" s="4798"/>
      <c r="M84" s="4796">
        <f>M83-M73-M82</f>
        <v>0</v>
      </c>
      <c r="N84" s="4796">
        <f>N83-N73-N82</f>
        <v>0</v>
      </c>
      <c r="O84" s="4796">
        <f>O83-O73-O82</f>
        <v>0</v>
      </c>
      <c r="P84" s="4797"/>
      <c r="Q84" s="4798"/>
      <c r="R84" s="4796">
        <f>R83-R73-R82</f>
        <v>23386653.358336292</v>
      </c>
      <c r="S84" s="4796">
        <f>S83-S73-S82</f>
        <v>-12195946.310000001</v>
      </c>
      <c r="T84" s="4796">
        <f>T83-T73-T82</f>
        <v>11908870.278336296</v>
      </c>
      <c r="U84" s="4798"/>
      <c r="V84" s="4798"/>
      <c r="W84" s="4710">
        <f t="shared" ref="W84" si="213">AB84+AG84+AL84+AV84+BA84+BF84+BK84+BP84+BU84+BZ84+CE84</f>
        <v>122181.26195846259</v>
      </c>
      <c r="X84" s="4711">
        <f>AC84+AH84+AM84+AW84+BB84+BG84+BL84+BQ84+BV84+CA84+CF84</f>
        <v>-2118621.2430105545</v>
      </c>
      <c r="Y84" s="4796">
        <f>Y83-Y73-Y82</f>
        <v>-2230566.4353051893</v>
      </c>
      <c r="Z84" s="4798"/>
      <c r="AA84" s="4798"/>
      <c r="AB84" s="4796">
        <f>AB83-AB73-AB82</f>
        <v>-754905.75185344345</v>
      </c>
      <c r="AC84" s="4796">
        <f>AC83-AC73-AC82</f>
        <v>-599498.0048</v>
      </c>
      <c r="AD84" s="4796">
        <f>AD83-AD73-AD82</f>
        <v>-1354403.7566534434</v>
      </c>
      <c r="AE84" s="4797"/>
      <c r="AF84" s="4798"/>
      <c r="AG84" s="4796">
        <f>AG83-AG73-AG82</f>
        <v>90441.154989313742</v>
      </c>
      <c r="AH84" s="4796">
        <f>AH83-AH73-AH82</f>
        <v>-594345.12479999999</v>
      </c>
      <c r="AI84" s="4796">
        <f>AI83-AI73-AI82</f>
        <v>-503903.96981068602</v>
      </c>
      <c r="AJ84" s="4797"/>
      <c r="AK84" s="4798"/>
      <c r="AL84" s="4796">
        <f>AL83-AL73-AL82</f>
        <v>354031.62152613251</v>
      </c>
      <c r="AM84" s="4796">
        <f>AM83-AM73-AM82</f>
        <v>164244.85000000003</v>
      </c>
      <c r="AN84" s="4796">
        <f>AN83-AN73-AN82</f>
        <v>518276.47152613261</v>
      </c>
      <c r="AO84" s="4797"/>
      <c r="AP84" s="4798"/>
      <c r="AQ84" s="4796">
        <f>AQ83-AQ73-AQ82</f>
        <v>284379.54574690224</v>
      </c>
      <c r="AR84" s="4796">
        <f>AR83-AR73-AR82</f>
        <v>-518506</v>
      </c>
      <c r="AS84" s="4796">
        <f>AS83-AS73-AS82</f>
        <v>-234126.45425309782</v>
      </c>
      <c r="AT84" s="4797"/>
      <c r="AU84" s="4798"/>
      <c r="AV84" s="4796">
        <f>AV83-AV73-AV82</f>
        <v>913065.86110491341</v>
      </c>
      <c r="AW84" s="4796">
        <f>AW83-AW73-AW82</f>
        <v>-452942</v>
      </c>
      <c r="AX84" s="4796">
        <f>AX83-AX73-AX82</f>
        <v>460123.86110491329</v>
      </c>
      <c r="AY84" s="4797"/>
      <c r="AZ84" s="4798"/>
      <c r="BA84" s="4796">
        <f>BA83-BA73-BA82</f>
        <v>-480451.62380845362</v>
      </c>
      <c r="BB84" s="4796">
        <f>BB83-BB73-BB82</f>
        <v>-636080.96341055422</v>
      </c>
      <c r="BC84" s="4796">
        <f>BC83-BC73-BC82</f>
        <v>-1116532.5872190078</v>
      </c>
      <c r="BD84" s="4797"/>
      <c r="BE84" s="4798"/>
      <c r="BF84" s="4796">
        <f>BF83-BF73-BF82</f>
        <v>0</v>
      </c>
      <c r="BG84" s="4796">
        <f>BG83-BG73-BG82</f>
        <v>0</v>
      </c>
      <c r="BH84" s="4796">
        <f>BH83-BH73-BH82</f>
        <v>0</v>
      </c>
      <c r="BI84" s="4797"/>
      <c r="BJ84" s="4798"/>
      <c r="BK84" s="4796">
        <f>BK83-BK73-BK82</f>
        <v>0</v>
      </c>
      <c r="BL84" s="4796">
        <f>BL83-BL73-BL82</f>
        <v>0</v>
      </c>
      <c r="BM84" s="4796">
        <f>BM83-BM73-BM82</f>
        <v>0</v>
      </c>
      <c r="BN84" s="4797"/>
      <c r="BO84" s="4798"/>
      <c r="BP84" s="4796">
        <f>BP83-BP73-BP82</f>
        <v>0</v>
      </c>
      <c r="BQ84" s="4796">
        <f>BQ83-BQ73-BQ82</f>
        <v>0</v>
      </c>
      <c r="BR84" s="4796">
        <f>BR83-BR73-BR82</f>
        <v>0</v>
      </c>
      <c r="BS84" s="4797"/>
      <c r="BT84" s="4798"/>
      <c r="BU84" s="4796">
        <f>BU83-BU73-BU82</f>
        <v>0</v>
      </c>
      <c r="BV84" s="4796">
        <f>BV83-BV73-BV82</f>
        <v>0</v>
      </c>
      <c r="BW84" s="4796">
        <f>BW83-BW73-BW82</f>
        <v>0</v>
      </c>
      <c r="BX84" s="4797"/>
      <c r="BY84" s="4798"/>
      <c r="BZ84" s="4796">
        <f>BZ83-BZ73-BZ82</f>
        <v>0</v>
      </c>
      <c r="CA84" s="4796">
        <f>CA83-CA73-CA82</f>
        <v>0</v>
      </c>
      <c r="CB84" s="4796">
        <f>CB83-CB73-CB82</f>
        <v>0</v>
      </c>
      <c r="CC84" s="4797"/>
      <c r="CD84" s="4798"/>
      <c r="CE84" s="4796">
        <f>CE83-CE73-CE82</f>
        <v>0</v>
      </c>
      <c r="CF84" s="4796">
        <f>CF83-CF73-CF82</f>
        <v>0</v>
      </c>
      <c r="CG84" s="4796">
        <f>CG83-CG73-CG82</f>
        <v>0</v>
      </c>
      <c r="CH84" s="4797"/>
      <c r="CI84" s="4798"/>
      <c r="CJ84" s="4706">
        <f t="shared" ref="CJ84:CK84" si="214">C84+H84+M84+W84</f>
        <v>122181.26195846259</v>
      </c>
      <c r="CK84" s="4706">
        <f t="shared" si="214"/>
        <v>-2118621.2430105545</v>
      </c>
      <c r="CL84" s="4796">
        <f>CL83-CL73-CL82</f>
        <v>9723931.8430310953</v>
      </c>
      <c r="CM84" s="4797"/>
      <c r="CN84" s="4797"/>
      <c r="CP84" s="3983">
        <f>+'МК Металургбуд.поддоны'!AG73</f>
        <v>0</v>
      </c>
      <c r="CQ84" s="3778" t="s">
        <v>1942</v>
      </c>
    </row>
    <row r="85" spans="1:95" s="1396" customFormat="1" ht="13.8" outlineLevel="3">
      <c r="A85" s="1565"/>
      <c r="B85" s="1403" t="s">
        <v>44</v>
      </c>
      <c r="C85" s="3341"/>
      <c r="D85" s="3341"/>
      <c r="E85" s="2012">
        <f>C85+D85*1.15</f>
        <v>0</v>
      </c>
      <c r="F85" s="3381"/>
      <c r="G85" s="3455"/>
      <c r="H85" s="3341"/>
      <c r="I85" s="3341"/>
      <c r="J85" s="2012">
        <f>H85+I85*1.15</f>
        <v>0</v>
      </c>
      <c r="K85" s="4697" t="e">
        <f t="shared" ref="K85" si="215">J85/J$89</f>
        <v>#DIV/0!</v>
      </c>
      <c r="L85" s="3455"/>
      <c r="M85" s="3341"/>
      <c r="N85" s="3341"/>
      <c r="O85" s="2012">
        <f>M85+N85*1.15</f>
        <v>0</v>
      </c>
      <c r="P85" s="4697" t="e">
        <f t="shared" ref="P85" si="216">O85/O$89</f>
        <v>#DIV/0!</v>
      </c>
      <c r="Q85" s="3455"/>
      <c r="R85" s="3427"/>
      <c r="S85" s="3427"/>
      <c r="T85" s="2012"/>
      <c r="U85" s="3455"/>
      <c r="V85" s="3455"/>
      <c r="W85" s="3342">
        <f t="shared" ref="W85:X85" si="217">AB85+AG85+AL85+AV85+BA85+BF85+BK85+BP85+BU85+BZ85+CE85+AQ85</f>
        <v>0</v>
      </c>
      <c r="X85" s="3342">
        <f t="shared" si="217"/>
        <v>0</v>
      </c>
      <c r="Y85" s="2012">
        <f t="shared" ref="Y85" si="218">W85+X85</f>
        <v>0</v>
      </c>
      <c r="Z85" s="3455"/>
      <c r="AA85" s="3455"/>
      <c r="AB85" s="3341">
        <f>PL_ЦО_Производство!AB85+'МД ООН'!AB85+'МК Ладыжин-3'!AB85+'МК Староконстантинов'!AB85+'МК Армокаркасы'!AB85+'МК Щедро. Флекситанки'!AB85+'МК ЛифтМаркет'!AB85+'МК Укркотлопром'!AB85+'МК Подгорцы.Забор'!AB85+PL_Металлизация!BP85+'МД Бытовка ИТР Нежин'!AB85+'МК Металургбуд.поддоны'!AB85</f>
        <v>0</v>
      </c>
      <c r="AC85" s="3341">
        <f>PL_ЦО_Производство!AC85+'МД ООН'!AC85+'МК Ладыжин-3'!AC85+'МК Староконстантинов'!AC85+'МК Армокаркасы'!AC85+'МК Щедро. Флекситанки'!AC85+'МК ЛифтМаркет'!AC85+'МК Укркотлопром'!AC85+'МК Подгорцы.Забор'!AC85+PL_Металлизация!BQ85+'МД Бытовка ИТР Нежин'!AC85+'МК Металургбуд.поддоны'!AC85</f>
        <v>0</v>
      </c>
      <c r="AD85" s="2012">
        <f>AB85+AC85*1.15</f>
        <v>0</v>
      </c>
      <c r="AE85" s="3381"/>
      <c r="AF85" s="3455"/>
      <c r="AG85" s="3341">
        <f>PL_ЦО_Производство!AG85+'МД ООН'!AG85+'МК Ладыжин-3'!AG85+'МК Староконстантинов'!AG85+'МК Армокаркасы'!AG85+'МК Щедро. Флекситанки'!AG85+'МК ЛифтМаркет'!AG85+'МК Укркотлопром'!AG85+'МК Подгорцы.Забор'!AG85+PL_Металлизация!BU85+'МД Бытовка ИТР Нежин'!AG85+'МК Металургбуд.поддоны'!AG85</f>
        <v>0</v>
      </c>
      <c r="AH85" s="3341">
        <f>PL_ЦО_Производство!AH85+'МД ООН'!AH85+'МК Ладыжин-3'!AH85+'МК Староконстантинов'!AH85+'МК Армокаркасы'!AH85+'МК Щедро. Флекситанки'!AH85+'МК ЛифтМаркет'!AH85+'МК Укркотлопром'!AH85+'МК Подгорцы.Забор'!AH85+PL_Металлизация!BV85+'МД Бытовка ИТР Нежин'!AH85+'МК Металургбуд.поддоны'!AH85</f>
        <v>0</v>
      </c>
      <c r="AI85" s="2012">
        <f>AG85+AH85*1.15</f>
        <v>0</v>
      </c>
      <c r="AJ85" s="3381"/>
      <c r="AK85" s="3455"/>
      <c r="AL85" s="3341">
        <f>PL_ЦО_Производство!AL85+'МД ООН'!AL85+'МК Ладыжин-3'!AL85+'МК Староконстантинов'!AL85+'МК Армокаркасы'!AL85+'МК Щедро. Флекситанки'!AL85+'МК ЛифтМаркет'!AL85+'МК Укркотлопром'!AL85+'МК Подгорцы.Забор'!AL85+PL_Металлизация!BZ85+'МД Бытовка ИТР Нежин'!AL85+'МК Металургбуд.поддоны'!AL85+'МК Нежин-3'!AL85</f>
        <v>0</v>
      </c>
      <c r="AM85" s="3341">
        <f>PL_ЦО_Производство!AM85+'МД ООН'!AM85+'МК Ладыжин-3'!AM85+'МК Староконстантинов'!AM85+'МК Армокаркасы'!AM85+'МК Щедро. Флекситанки'!AM85+'МК ЛифтМаркет'!AM85+'МК Укркотлопром'!AM85+'МК Подгорцы.Забор'!AM85+PL_Металлизация!CA85+'МД Бытовка ИТР Нежин'!AM85+'МК Металургбуд.поддоны'!AM85+'МК Нежин-3'!AM85</f>
        <v>0</v>
      </c>
      <c r="AN85" s="2012">
        <f>AL85+AM85*1.15</f>
        <v>0</v>
      </c>
      <c r="AO85" s="3381"/>
      <c r="AP85" s="3455"/>
      <c r="AQ85" s="3341">
        <f>PL_ЦО_Производство!AQ85+'МД ООН'!AQ85+'МК Ладыжин-3'!AQ85+'МК Староконстантинов'!AQ85+'МК Армокаркасы'!AQ85+'МК Щедро. Флекситанки'!AQ85+'МК ЛифтМаркет'!AQ85+'МК Укркотлопром'!AQ85+'МК Подгорцы.Забор'!AQ85+PL_Металлизация!CE85+'МД Бытовка ИТР Нежин'!AQ85+'МК Металургбуд.поддоны'!AQ85+'МК Нежин-3'!AQ85</f>
        <v>0</v>
      </c>
      <c r="AR85" s="3341">
        <f>PL_ЦО_Производство!AR85+'МД ООН'!AR85+'МК Ладыжин-3'!AR85+'МК Староконстантинов'!AR85+'МК Армокаркасы'!AR85+'МК Щедро. Флекситанки'!AR85+'МК ЛифтМаркет'!AR85+'МК Укркотлопром'!AR85+'МК Подгорцы.Забор'!AR85+PL_Металлизация!CF85+'МД Бытовка ИТР Нежин'!AR85+'МК Металургбуд.поддоны'!AR85+'МК Нежин-3'!AR85</f>
        <v>0</v>
      </c>
      <c r="AS85" s="2012">
        <f>AQ85+AR85*1.15</f>
        <v>0</v>
      </c>
      <c r="AT85" s="3381"/>
      <c r="AU85" s="3455"/>
      <c r="AV85" s="3341">
        <f>PL_ЦО_Производство!AV85+'МД ООН'!AV85+'МК Ладыжин-3'!AV85+'МК Староконстантинов'!AV85+'МК Армокаркасы'!AV85+'МК Щедро. Флекситанки'!AV85+'МК ЛифтМаркет'!AV85+'МК Укркотлопром'!AV85+'МК Подгорцы.Забор'!AV85+PL_Металлизация!CJ85+'МД Бытовка ИТР Нежин'!AV85+'МК Металургбуд.поддоны'!AV85+'МК Нежин-3'!AV85+'МК РДК.Кран'!AV85+'МК Ворота.Запорожье'!AV85+'МД ВООЗ'!AV85+'МД Казарма.Рекламация'!AV85</f>
        <v>0</v>
      </c>
      <c r="AW85" s="3341">
        <f>PL_ЦО_Производство!AW85+'МД ООН'!AW85+'МК Ладыжин-3'!AW85+'МК Староконстантинов'!AW85+'МК Армокаркасы'!AW85+'МК Щедро. Флекситанки'!AW85+'МК ЛифтМаркет'!AW85+'МК Укркотлопром'!AW85+'МК Подгорцы.Забор'!AW85+PL_Металлизация!CK85+'МД Бытовка ИТР Нежин'!AW85+'МК Металургбуд.поддоны'!AW85+'МК Нежин-3'!AW85+'МК РДК.Кран'!AW85+'МК Ворота.Запорожье'!AW85+'МД ВООЗ'!AW85+'МД Казарма.Рекламация'!AW85</f>
        <v>0</v>
      </c>
      <c r="AX85" s="2012">
        <f>AV85+AW85*1.15</f>
        <v>0</v>
      </c>
      <c r="AY85" s="3381"/>
      <c r="AZ85" s="3455"/>
      <c r="BA85" s="3341">
        <f>PL_ЦО_Производство!BA85+'МД ООН'!BA85+'МК Ладыжин-3'!BA85+'МК Староконстантинов'!BA85+'МК Армокаркасы'!BA85+'МК Щедро. Флекситанки'!BA85+'МК ЛифтМаркет'!BA85+'МК Укркотлопром'!BA85+'МК Подгорцы.Забор'!BA85+PL_Металлизация!CO85+'МД Бытовка ИТР Нежин'!BA85+'МК Металургбуд.поддоны'!BA85+'МК Нежин-3'!BA85+'МК РДК.Кран'!BA85+'МК Ворота.Запорожье'!BA85+'МД ВООЗ'!BA85+'МД Казарма.Рекламация'!BA85</f>
        <v>0</v>
      </c>
      <c r="BB85" s="3341">
        <f>PL_ЦО_Производство!BB85+'МД ООН'!BB85+'МК Ладыжин-3'!BB85+'МК Староконстантинов'!BB85+'МК Армокаркасы'!BB85+'МК Щедро. Флекситанки'!BB85+'МК ЛифтМаркет'!BB85+'МК Укркотлопром'!BB85+'МК Подгорцы.Забор'!BB85+PL_Металлизация!CP85+'МД Бытовка ИТР Нежин'!BB85+'МК Металургбуд.поддоны'!BB85+'МК Нежин-3'!BB85+'МК РДК.Кран'!BB85+'МК Ворота.Запорожье'!BB85+'МД ВООЗ'!BB85+'МД Казарма.Рекламация'!BB85</f>
        <v>0</v>
      </c>
      <c r="BC85" s="2012">
        <f>BA85+BB85*1.15</f>
        <v>0</v>
      </c>
      <c r="BD85" s="3381"/>
      <c r="BE85" s="3455"/>
      <c r="BF85" s="3341">
        <f>PL_ЦО_Производство!BF85+'МД ООН'!BF85+'МК Ладыжин-3'!BF85+'МК Староконстантинов'!BF85+'МК Армокаркасы'!BF85+'МК Щедро. Флекситанки'!BF85+'МК ЛифтМаркет'!BF85+'МК Укркотлопром'!BF85+'МК Подгорцы.Забор'!BF85+PL_Металлизация!CT85+'МД Бытовка ИТР Нежин'!BF85+'МК Металургбуд.поддоны'!BF85+'МК Нежин-3'!BF85+'МК РДК.Кран'!BF85+'МК Ворота.Запорожье'!BF85+'МД ВООЗ'!BF85+'МД Казарма.Рекламация'!BF85</f>
        <v>0</v>
      </c>
      <c r="BG85" s="3341">
        <f>PL_ЦО_Производство!BG85+'МД ООН'!BG85+'МК Ладыжин-3'!BG85+'МК Староконстантинов'!BG85+'МК Армокаркасы'!BG85+'МК Щедро. Флекситанки'!BG85+'МК ЛифтМаркет'!BG85+'МК Укркотлопром'!BG85+'МК Подгорцы.Забор'!BG85+PL_Металлизация!CU85+'МД Бытовка ИТР Нежин'!BG85+'МК Металургбуд.поддоны'!BG85+'МК Нежин-3'!BG85+'МК РДК.Кран'!BG85+'МК Ворота.Запорожье'!BG85+'МД ВООЗ'!BG85+'МД Казарма.Рекламация'!BG85</f>
        <v>0</v>
      </c>
      <c r="BH85" s="2012">
        <f>BF85+BG85*1.15</f>
        <v>0</v>
      </c>
      <c r="BI85" s="3381"/>
      <c r="BJ85" s="3455"/>
      <c r="BK85" s="3341">
        <f>PL_ЦО_Производство!BK85+'МД ООН'!BK85+'МК Ладыжин-3'!BK85+'МК Староконстантинов'!BK85+'МК Армокаркасы'!BK85+'МК Щедро. Флекситанки'!BK85+'МК ЛифтМаркет'!BK85+'МК Укркотлопром'!BK85+'МК Подгорцы.Забор'!BK85+PL_Металлизация!CY85+'МД Бытовка ИТР Нежин'!BK85+'МК Металургбуд.поддоны'!BK85+'МК Нежин-3'!BK85+'МК РДК.Кран'!BK85+'МК Ворота.Запорожье'!BK85+'МД ВООЗ'!BK85+'МД Казарма.Рекламация'!BK85</f>
        <v>0</v>
      </c>
      <c r="BL85" s="3341">
        <f>PL_ЦО_Производство!BL85+'МД ООН'!BL85+'МК Ладыжин-3'!BL85+'МК Староконстантинов'!BL85+'МК Армокаркасы'!BL85+'МК Щедро. Флекситанки'!BL85+'МК ЛифтМаркет'!BL85+'МК Укркотлопром'!BL85+'МК Подгорцы.Забор'!BL85+PL_Металлизация!CZ85+'МД Бытовка ИТР Нежин'!BL85+'МК Металургбуд.поддоны'!BL85+'МК Нежин-3'!BL85+'МК РДК.Кран'!BL85+'МК Ворота.Запорожье'!BL85+'МД ВООЗ'!BL85+'МД Казарма.Рекламация'!BL85</f>
        <v>0</v>
      </c>
      <c r="BM85" s="2012">
        <f>BK85+BL85*1.15</f>
        <v>0</v>
      </c>
      <c r="BN85" s="3381"/>
      <c r="BO85" s="3455"/>
      <c r="BP85" s="3341">
        <f>PL_ЦО_Производство!BP85+'МД ООН'!BP85+'МК Ладыжин-3'!BP85+'МК Староконстантинов'!BP85+'МК Армокаркасы'!BP85+'МК Щедро. Флекситанки'!BP85+'МК ЛифтМаркет'!BP85+'МК Укркотлопром'!BP85+'МК Подгорцы.Забор'!BP85+PL_Металлизация!DD85+'МД Бытовка ИТР Нежин'!BP85+'МК Металургбуд.поддоны'!BP85+'МК Нежин-3'!BP85+'МК РДК.Кран'!BP85+'МК Ворота.Запорожье'!BP85+'МД ВООЗ'!BP85+'МД Казарма.Рекламация'!BP85</f>
        <v>0</v>
      </c>
      <c r="BQ85" s="3341">
        <f>PL_ЦО_Производство!BQ85+'МД ООН'!BQ85+'МК Ладыжин-3'!BQ85+'МК Староконстантинов'!BQ85+'МК Армокаркасы'!BQ85+'МК Щедро. Флекситанки'!BQ85+'МК ЛифтМаркет'!BQ85+'МК Укркотлопром'!BQ85+'МК Подгорцы.Забор'!BQ85+PL_Металлизация!DE85+'МД Бытовка ИТР Нежин'!BQ85+'МК Металургбуд.поддоны'!BQ85+'МК Нежин-3'!BQ85+'МК РДК.Кран'!BQ85+'МК Ворота.Запорожье'!BQ85+'МД ВООЗ'!BQ85+'МД Казарма.Рекламация'!BQ85</f>
        <v>0</v>
      </c>
      <c r="BR85" s="2012">
        <f>BP85+BQ85*1.15</f>
        <v>0</v>
      </c>
      <c r="BS85" s="3381"/>
      <c r="BT85" s="3455"/>
      <c r="BU85" s="3341">
        <f>PL_ЦО_Производство!BU85+'МД ООН'!BU85+'МК Ладыжин-3'!BU85+'МК Староконстантинов'!BU85+'МК Армокаркасы'!BU85+'МК Щедро. Флекситанки'!BU85+'МК ЛифтМаркет'!BU85+'МК Укркотлопром'!BU85+'МК Подгорцы.Забор'!BU85+PL_Металлизация!DI85+'МД Бытовка ИТР Нежин'!BU85+'МК Металургбуд.поддоны'!BU85+'МК Нежин-3'!BU85+'МК РДК.Кран'!BU85+'МК Ворота.Запорожье'!BU85+'МД ВООЗ'!BU85+'МД Казарма.Рекламация'!BU85</f>
        <v>0</v>
      </c>
      <c r="BV85" s="3341">
        <f>PL_ЦО_Производство!BV85+'МД ООН'!BV85+'МК Ладыжин-3'!BV85+'МК Староконстантинов'!BV85+'МК Армокаркасы'!BV85+'МК Щедро. Флекситанки'!BV85+'МК ЛифтМаркет'!BV85+'МК Укркотлопром'!BV85+'МК Подгорцы.Забор'!BV85+PL_Металлизация!DJ85+'МД Бытовка ИТР Нежин'!BV85+'МК Металургбуд.поддоны'!BV85+'МК Нежин-3'!BV85+'МК РДК.Кран'!BV85+'МК Ворота.Запорожье'!BV85+'МД ВООЗ'!BV85+'МД Казарма.Рекламация'!BV85</f>
        <v>0</v>
      </c>
      <c r="BW85" s="2012">
        <f>BU85+BV85*1.15</f>
        <v>0</v>
      </c>
      <c r="BX85" s="3381"/>
      <c r="BY85" s="3455"/>
      <c r="BZ85" s="3341">
        <f>PL_ЦО_Производство!BZ85+'МД ООН'!BZ85+'МК Ладыжин-3'!BZ85+'МК Староконстантинов'!BZ85+'МК Армокаркасы'!BZ85+'МК Щедро. Флекситанки'!BZ85+'МК ЛифтМаркет'!BZ85+'МК Укркотлопром'!BZ85+'МК Подгорцы.Забор'!BZ85+PL_Металлизация!DN85+'МД Бытовка ИТР Нежин'!BZ85+'МК Металургбуд.поддоны'!BZ85+'МК Нежин-3'!BZ85+'МК РДК.Кран'!BZ85+'МК Ворота.Запорожье'!BZ85+'МД ВООЗ'!BZ85+'МД Казарма.Рекламация'!BZ85</f>
        <v>0</v>
      </c>
      <c r="CA85" s="3341">
        <f>PL_ЦО_Производство!CA85+'МД ООН'!CA85+'МК Ладыжин-3'!CA85+'МК Староконстантинов'!CA85+'МК Армокаркасы'!CA85+'МК Щедро. Флекситанки'!CA85+'МК ЛифтМаркет'!CA85+'МК Укркотлопром'!CA85+'МК Подгорцы.Забор'!CA85+PL_Металлизация!DO85+'МД Бытовка ИТР Нежин'!CA85+'МК Металургбуд.поддоны'!CA85+'МК Нежин-3'!CA85+'МК РДК.Кран'!CA85+'МК Ворота.Запорожье'!CA85+'МД ВООЗ'!CA85+'МД Казарма.Рекламация'!CA85</f>
        <v>0</v>
      </c>
      <c r="CB85" s="2012">
        <f>BZ85+CA85*1.15</f>
        <v>0</v>
      </c>
      <c r="CC85" s="3381"/>
      <c r="CD85" s="3455"/>
      <c r="CE85" s="3341">
        <f>PL_ЦО_Производство!CE85+'МД ООН'!CE85+'МК Ладыжин-3'!CE85+'МК Староконстантинов'!CE85+'МК Армокаркасы'!CE85+'МК Щедро. Флекситанки'!CE85+'МК ЛифтМаркет'!CE85+'МК Укркотлопром'!CE85+'МК Подгорцы.Забор'!CE85+PL_Металлизация!DS85+'МД Бытовка ИТР Нежин'!CE85+'МК Металургбуд.поддоны'!CE85+'МК Нежин-3'!CE85+'МК РДК.Кран'!CE85+'МК Ворота.Запорожье'!CE85+'МД ВООЗ'!CE85+'МД Казарма.Рекламация'!CE85</f>
        <v>0</v>
      </c>
      <c r="CF85" s="3341">
        <f>PL_ЦО_Производство!CF85+'МД ООН'!CF85+'МК Ладыжин-3'!CF85+'МК Староконстантинов'!CF85+'МК Армокаркасы'!CF85+'МК Щедро. Флекситанки'!CF85+'МК ЛифтМаркет'!CF85+'МК Укркотлопром'!CF85+'МК Подгорцы.Забор'!CF85+PL_Металлизация!DT85+'МД Бытовка ИТР Нежин'!CF85+'МК Металургбуд.поддоны'!CF85+'МК Нежин-3'!CF85+'МК РДК.Кран'!CF85+'МК Ворота.Запорожье'!CF85+'МД ВООЗ'!CF85+'МД Казарма.Рекламация'!CF85</f>
        <v>0</v>
      </c>
      <c r="CG85" s="2012">
        <f>CE85+CF85*1.15</f>
        <v>0</v>
      </c>
      <c r="CH85" s="3381"/>
      <c r="CI85" s="3455"/>
      <c r="CJ85" s="3341">
        <f>R85+W85</f>
        <v>0</v>
      </c>
      <c r="CK85" s="3341">
        <f>S85+X85</f>
        <v>0</v>
      </c>
      <c r="CL85" s="2012">
        <f>CJ85+CK85*1</f>
        <v>0</v>
      </c>
      <c r="CM85" s="3381"/>
      <c r="CN85" s="3381"/>
    </row>
    <row r="86" spans="1:95" s="1396" customFormat="1" ht="27.6">
      <c r="A86" s="1405"/>
      <c r="B86" s="4801" t="s">
        <v>50</v>
      </c>
      <c r="C86" s="4802">
        <f>C84-C85</f>
        <v>0</v>
      </c>
      <c r="D86" s="4802">
        <f>D84-D85</f>
        <v>0</v>
      </c>
      <c r="E86" s="4802">
        <f>E84-E85</f>
        <v>0</v>
      </c>
      <c r="F86" s="4803"/>
      <c r="G86" s="4804"/>
      <c r="H86" s="4802">
        <f>H84-H85</f>
        <v>0</v>
      </c>
      <c r="I86" s="4802">
        <f>I84-I85</f>
        <v>0</v>
      </c>
      <c r="J86" s="4802">
        <f>J84-J85</f>
        <v>0</v>
      </c>
      <c r="K86" s="4803"/>
      <c r="L86" s="4804"/>
      <c r="M86" s="4802">
        <f>M84-M85</f>
        <v>0</v>
      </c>
      <c r="N86" s="4802">
        <f>N84-N85</f>
        <v>0</v>
      </c>
      <c r="O86" s="4802">
        <f>O84-O85</f>
        <v>0</v>
      </c>
      <c r="P86" s="4803"/>
      <c r="Q86" s="4804"/>
      <c r="R86" s="4802">
        <f>R84-R85</f>
        <v>23386653.358336292</v>
      </c>
      <c r="S86" s="4802">
        <f>S84-S85</f>
        <v>-12195946.310000001</v>
      </c>
      <c r="T86" s="4802">
        <f>T84-T85</f>
        <v>11908870.278336296</v>
      </c>
      <c r="U86" s="4804"/>
      <c r="V86" s="4804"/>
      <c r="W86" s="4802">
        <f>W84-W85</f>
        <v>122181.26195846259</v>
      </c>
      <c r="X86" s="4802">
        <f>X84-X85</f>
        <v>-2118621.2430105545</v>
      </c>
      <c r="Y86" s="4802">
        <f>Y84-Y85</f>
        <v>-2230566.4353051893</v>
      </c>
      <c r="Z86" s="4804"/>
      <c r="AA86" s="4804"/>
      <c r="AB86" s="4802">
        <f>AB84-AB85</f>
        <v>-754905.75185344345</v>
      </c>
      <c r="AC86" s="4802">
        <f>AC84-AC85</f>
        <v>-599498.0048</v>
      </c>
      <c r="AD86" s="4802">
        <f>AD84-AD85</f>
        <v>-1354403.7566534434</v>
      </c>
      <c r="AE86" s="4803"/>
      <c r="AF86" s="4804"/>
      <c r="AG86" s="4802">
        <f>AG84-AG85</f>
        <v>90441.154989313742</v>
      </c>
      <c r="AH86" s="4802">
        <f>AH84-AH85</f>
        <v>-594345.12479999999</v>
      </c>
      <c r="AI86" s="4802">
        <f>AI84-AI85</f>
        <v>-503903.96981068602</v>
      </c>
      <c r="AJ86" s="4803"/>
      <c r="AK86" s="4804"/>
      <c r="AL86" s="4802">
        <f>AL84-AL85</f>
        <v>354031.62152613251</v>
      </c>
      <c r="AM86" s="4802">
        <f>AM84-AM85</f>
        <v>164244.85000000003</v>
      </c>
      <c r="AN86" s="4802">
        <f>AN84-AN85</f>
        <v>518276.47152613261</v>
      </c>
      <c r="AO86" s="4803"/>
      <c r="AP86" s="4804"/>
      <c r="AQ86" s="4802">
        <f>AQ84-AQ85</f>
        <v>284379.54574690224</v>
      </c>
      <c r="AR86" s="4802">
        <f>AR84-AR85</f>
        <v>-518506</v>
      </c>
      <c r="AS86" s="4802">
        <f>AS84-AS85</f>
        <v>-234126.45425309782</v>
      </c>
      <c r="AT86" s="4803"/>
      <c r="AU86" s="4804"/>
      <c r="AV86" s="4802">
        <f>AV84-AV85</f>
        <v>913065.86110491341</v>
      </c>
      <c r="AW86" s="4802">
        <f>AW84-AW85</f>
        <v>-452942</v>
      </c>
      <c r="AX86" s="4802">
        <f>AX84-AX85</f>
        <v>460123.86110491329</v>
      </c>
      <c r="AY86" s="4803"/>
      <c r="AZ86" s="4804"/>
      <c r="BA86" s="4802">
        <f>BA84-BA85</f>
        <v>-480451.62380845362</v>
      </c>
      <c r="BB86" s="4802">
        <f>BB84-BB85</f>
        <v>-636080.96341055422</v>
      </c>
      <c r="BC86" s="4802">
        <f>BC84-BC85</f>
        <v>-1116532.5872190078</v>
      </c>
      <c r="BD86" s="4803"/>
      <c r="BE86" s="4804"/>
      <c r="BF86" s="4802">
        <f>BF84-BF85</f>
        <v>0</v>
      </c>
      <c r="BG86" s="4802">
        <f>BG84-BG85</f>
        <v>0</v>
      </c>
      <c r="BH86" s="4802">
        <f>BH84-BH85</f>
        <v>0</v>
      </c>
      <c r="BI86" s="4803"/>
      <c r="BJ86" s="4804"/>
      <c r="BK86" s="4802">
        <f>BK84-BK85</f>
        <v>0</v>
      </c>
      <c r="BL86" s="4802">
        <f>BL84-BL85</f>
        <v>0</v>
      </c>
      <c r="BM86" s="4802">
        <f>BM84-BM85</f>
        <v>0</v>
      </c>
      <c r="BN86" s="4803"/>
      <c r="BO86" s="4804"/>
      <c r="BP86" s="4802">
        <f>BP84-BP85</f>
        <v>0</v>
      </c>
      <c r="BQ86" s="4802">
        <f>BQ84-BQ85</f>
        <v>0</v>
      </c>
      <c r="BR86" s="4802">
        <f>BR84-BR85</f>
        <v>0</v>
      </c>
      <c r="BS86" s="4803"/>
      <c r="BT86" s="4804"/>
      <c r="BU86" s="4802">
        <f>BU84-BU85</f>
        <v>0</v>
      </c>
      <c r="BV86" s="4802">
        <f>BV84-BV85</f>
        <v>0</v>
      </c>
      <c r="BW86" s="4802">
        <f>BW84-BW85</f>
        <v>0</v>
      </c>
      <c r="BX86" s="4803"/>
      <c r="BY86" s="4804"/>
      <c r="BZ86" s="4802">
        <f>BZ84-BZ85</f>
        <v>0</v>
      </c>
      <c r="CA86" s="4802">
        <f>CA84-CA85</f>
        <v>0</v>
      </c>
      <c r="CB86" s="4802">
        <f>CB84-CB85</f>
        <v>0</v>
      </c>
      <c r="CC86" s="4803"/>
      <c r="CD86" s="4804"/>
      <c r="CE86" s="4802">
        <f>CE84-CE85</f>
        <v>0</v>
      </c>
      <c r="CF86" s="4802">
        <f>CF84-CF85</f>
        <v>0</v>
      </c>
      <c r="CG86" s="4802">
        <f>CG84-CG85</f>
        <v>0</v>
      </c>
      <c r="CH86" s="4803"/>
      <c r="CI86" s="4804"/>
      <c r="CJ86" s="4802">
        <f>CJ84-CJ85</f>
        <v>122181.26195846259</v>
      </c>
      <c r="CK86" s="4802">
        <f>CK84-CK85</f>
        <v>-2118621.2430105545</v>
      </c>
      <c r="CL86" s="4802">
        <f>CL84-CL85</f>
        <v>9723931.8430310953</v>
      </c>
      <c r="CM86" s="4803"/>
      <c r="CN86" s="4803"/>
      <c r="CP86" s="933"/>
    </row>
    <row r="87" spans="1:95" s="1396" customFormat="1" ht="14.4" thickBot="1">
      <c r="A87" s="1567"/>
      <c r="B87" s="4806" t="s">
        <v>51</v>
      </c>
      <c r="C87" s="4807">
        <f>IFERROR(C86/C5,0)</f>
        <v>0</v>
      </c>
      <c r="D87" s="4808">
        <f>IFERROR(D86/D5,0)</f>
        <v>0</v>
      </c>
      <c r="E87" s="4809">
        <f>IFERROR(E86/E5,0)</f>
        <v>0</v>
      </c>
      <c r="F87" s="4810"/>
      <c r="G87" s="4811"/>
      <c r="H87" s="4807">
        <f>IFERROR(H86/H5,0)</f>
        <v>0</v>
      </c>
      <c r="I87" s="4808">
        <f>IFERROR(I86/I5,0)</f>
        <v>0</v>
      </c>
      <c r="J87" s="4809">
        <f>IFERROR(J86/J5,0)</f>
        <v>0</v>
      </c>
      <c r="K87" s="4810"/>
      <c r="L87" s="4811"/>
      <c r="M87" s="4807">
        <f>IFERROR(M86/M5,0)</f>
        <v>0</v>
      </c>
      <c r="N87" s="4808">
        <f>IFERROR(N86/N5,0)</f>
        <v>0</v>
      </c>
      <c r="O87" s="4809">
        <f>IFERROR(O86/O5,0)</f>
        <v>0</v>
      </c>
      <c r="P87" s="4810"/>
      <c r="Q87" s="4811"/>
      <c r="R87" s="4812"/>
      <c r="S87" s="4812"/>
      <c r="T87" s="4812"/>
      <c r="U87" s="4812"/>
      <c r="V87" s="4812"/>
      <c r="W87" s="4812"/>
      <c r="X87" s="4812"/>
      <c r="Y87" s="4812"/>
      <c r="Z87" s="4812"/>
      <c r="AA87" s="4812"/>
      <c r="AB87" s="4807">
        <f>IFERROR(AB86/AB5,0)</f>
        <v>-3.5811468304243048</v>
      </c>
      <c r="AC87" s="4808">
        <f>IFERROR(AC86/AC5,0)</f>
        <v>0</v>
      </c>
      <c r="AD87" s="4809">
        <f>IFERROR(AD86/AD5,0)</f>
        <v>-6.4250652592668098</v>
      </c>
      <c r="AE87" s="4810"/>
      <c r="AF87" s="4811"/>
      <c r="AG87" s="4807">
        <f>IFERROR(AG86/AG5,0)</f>
        <v>8.2330511973828471E-2</v>
      </c>
      <c r="AH87" s="4808">
        <f>IFERROR(AH86/AH5,0)</f>
        <v>0</v>
      </c>
      <c r="AI87" s="4809">
        <f>IFERROR(AI86/AI5,0)</f>
        <v>-0.45871452907761212</v>
      </c>
      <c r="AJ87" s="4810"/>
      <c r="AK87" s="4811"/>
      <c r="AL87" s="4807">
        <f>IFERROR(AL86/AL5,0)</f>
        <v>0.19461036878621443</v>
      </c>
      <c r="AM87" s="4808">
        <f>IFERROR(AM86/AM5,0)</f>
        <v>0.2094841852974734</v>
      </c>
      <c r="AN87" s="4809">
        <f>IFERROR(AN86/AN5,0)</f>
        <v>0.19909009105995648</v>
      </c>
      <c r="AO87" s="4810"/>
      <c r="AP87" s="4811"/>
      <c r="AQ87" s="4807">
        <f>IFERROR(AQ86/AQ5,0)</f>
        <v>0.21607425245498765</v>
      </c>
      <c r="AR87" s="4808">
        <f>IFERROR(AR86/AR5,0)</f>
        <v>0</v>
      </c>
      <c r="AS87" s="4809">
        <f>IFERROR(AS86/AS5,0)</f>
        <v>-0.17789148108316805</v>
      </c>
      <c r="AT87" s="4810"/>
      <c r="AU87" s="4811"/>
      <c r="AV87" s="4807">
        <f>IFERROR(AV86/AV5,0)</f>
        <v>0.50862988574786017</v>
      </c>
      <c r="AW87" s="4808">
        <f>IFERROR(AW86/AW5,0)</f>
        <v>0</v>
      </c>
      <c r="AX87" s="4809">
        <f>IFERROR(AX86/AX5,0)</f>
        <v>0.25631529648962031</v>
      </c>
      <c r="AY87" s="4810"/>
      <c r="AZ87" s="4811"/>
      <c r="BA87" s="4807">
        <f>IFERROR(BA86/BA5,0)</f>
        <v>-2.4022581190422683</v>
      </c>
      <c r="BB87" s="4808">
        <f>IFERROR(BB86/BB5,0)</f>
        <v>0</v>
      </c>
      <c r="BC87" s="4809">
        <f>IFERROR(BC86/BC5,0)</f>
        <v>-5.5826629360950388</v>
      </c>
      <c r="BD87" s="4810"/>
      <c r="BE87" s="4811"/>
      <c r="BF87" s="4807">
        <f>IFERROR(BF86/BF5,0)</f>
        <v>0</v>
      </c>
      <c r="BG87" s="4808">
        <f>IFERROR(BG86/BG5,0)</f>
        <v>0</v>
      </c>
      <c r="BH87" s="4809">
        <f>IFERROR(BH86/BH5,0)</f>
        <v>0</v>
      </c>
      <c r="BI87" s="4810"/>
      <c r="BJ87" s="4811"/>
      <c r="BK87" s="4807">
        <f>IFERROR(BK86/BK5,0)</f>
        <v>0</v>
      </c>
      <c r="BL87" s="4808">
        <f>IFERROR(BL86/BL5,0)</f>
        <v>0</v>
      </c>
      <c r="BM87" s="4809">
        <f>IFERROR(BM86/BM5,0)</f>
        <v>0</v>
      </c>
      <c r="BN87" s="4810"/>
      <c r="BO87" s="4811"/>
      <c r="BP87" s="4807">
        <f>IFERROR(BP86/BP5,0)</f>
        <v>0</v>
      </c>
      <c r="BQ87" s="4808">
        <f>IFERROR(BQ86/BQ5,0)</f>
        <v>0</v>
      </c>
      <c r="BR87" s="4809">
        <f>IFERROR(BR86/BR5,0)</f>
        <v>0</v>
      </c>
      <c r="BS87" s="4810"/>
      <c r="BT87" s="4811"/>
      <c r="BU87" s="4807">
        <f>IFERROR(BU86/BU5,0)</f>
        <v>0</v>
      </c>
      <c r="BV87" s="4808">
        <f>IFERROR(BV86/BV5,0)</f>
        <v>0</v>
      </c>
      <c r="BW87" s="4809">
        <f>IFERROR(BW86/BW5,0)</f>
        <v>0</v>
      </c>
      <c r="BX87" s="4810"/>
      <c r="BY87" s="4811"/>
      <c r="BZ87" s="4807">
        <f>IFERROR(BZ86/BZ5,0)</f>
        <v>0</v>
      </c>
      <c r="CA87" s="4808">
        <f>IFERROR(CA86/CA5,0)</f>
        <v>0</v>
      </c>
      <c r="CB87" s="4809">
        <f>IFERROR(CB86/CB5,0)</f>
        <v>0</v>
      </c>
      <c r="CC87" s="4810"/>
      <c r="CD87" s="4811"/>
      <c r="CE87" s="4807">
        <f>IFERROR(CE86/CE5,0)</f>
        <v>0</v>
      </c>
      <c r="CF87" s="4808">
        <f>IFERROR(CF86/CF5,0)</f>
        <v>0</v>
      </c>
      <c r="CG87" s="4809">
        <f>IFERROR(CG86/CG5,0)</f>
        <v>0</v>
      </c>
      <c r="CH87" s="4810"/>
      <c r="CI87" s="4811"/>
      <c r="CJ87" s="4807">
        <f>IFERROR(CJ86/CJ5,0)</f>
        <v>2.0453389252486471E-3</v>
      </c>
      <c r="CK87" s="4808">
        <f>IFERROR(CK86/CK5,0)</f>
        <v>-2.7021708446017412</v>
      </c>
      <c r="CL87" s="4809">
        <f>IFERROR(CL86/CL5,0)</f>
        <v>0.16067175099679776</v>
      </c>
      <c r="CM87" s="4810"/>
      <c r="CN87" s="4810"/>
    </row>
    <row r="88" spans="1:95"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1611"/>
      <c r="AG88" s="1954"/>
      <c r="AH88" s="1954"/>
      <c r="AI88" s="1954"/>
      <c r="AJ88" s="1954"/>
      <c r="AK88" s="1611"/>
      <c r="AL88" s="1954"/>
      <c r="AM88" s="1954"/>
      <c r="AN88" s="1954"/>
      <c r="AO88" s="1954"/>
      <c r="AP88" s="1611"/>
      <c r="AQ88" s="1954"/>
      <c r="AR88" s="1954"/>
      <c r="AS88" s="1954"/>
      <c r="AT88" s="1954"/>
      <c r="AU88" s="1611"/>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row>
    <row r="89" spans="1:95">
      <c r="B89" s="1562" t="s">
        <v>56</v>
      </c>
      <c r="E89" s="1960">
        <f>E8+E36+E41+E50+E54+E73+E79+E82+E85</f>
        <v>0</v>
      </c>
      <c r="G89" s="1963"/>
      <c r="J89" s="1960">
        <f>J8+J36+J41+J50+J54+J73+J79+J82+J85</f>
        <v>0</v>
      </c>
      <c r="L89" s="1963"/>
      <c r="O89" s="1960">
        <f>O8+O36+O41+O50+O54+O73+O79+O82+O85</f>
        <v>0</v>
      </c>
      <c r="Q89" s="1963"/>
      <c r="R89" s="1963"/>
      <c r="S89" s="1963"/>
      <c r="T89" s="1960">
        <f>T8+T36+T41+T50+T54+T73+T79+T82+T85</f>
        <v>41535016.301663704</v>
      </c>
      <c r="U89" s="1963"/>
      <c r="V89" s="1963"/>
      <c r="W89" s="1963"/>
      <c r="X89" s="1963"/>
      <c r="Y89" s="1960">
        <f>Y8+Y36+Y41+Y50+Y54+Y73+Y79+Y82+Y85</f>
        <v>9465558.9453051891</v>
      </c>
      <c r="Z89" s="1963"/>
      <c r="AA89" s="1963"/>
      <c r="AD89" s="1960">
        <f>AD8+AD36+AD41+AD50+AD54+AD73+AD79+AD82+AD85</f>
        <v>1568852.5166534435</v>
      </c>
      <c r="AF89" s="1963"/>
      <c r="AI89" s="1960">
        <f>AI8+AI36+AI41+AI50+AI54+AI73+AI79+AI82+AI85</f>
        <v>1603850.5698106862</v>
      </c>
      <c r="AK89" s="1963"/>
      <c r="AN89" s="1960">
        <f>AN8+AN36+AN41+AN50+AN54+AN73+AN79+AN82+AN85</f>
        <v>2085779.3884738672</v>
      </c>
      <c r="AP89" s="1963"/>
      <c r="AS89" s="1960">
        <f>AS8+AS36+AS41+AS50+AS54+AS73+AS79+AS82+AS85</f>
        <v>1551420.8542530979</v>
      </c>
      <c r="AU89" s="1963"/>
      <c r="AX89" s="1960">
        <f>AX8+AX36+AX41+AX50+AX54+AX73+AX79+AX82+AX85</f>
        <v>1337521.7288950866</v>
      </c>
      <c r="AZ89" s="1963"/>
      <c r="BC89" s="1960">
        <f>BC8+BC36+BC41+BC50+BC54+BC73+BC79+BC82+BC85</f>
        <v>1318133.8872190078</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50954947.246968895</v>
      </c>
    </row>
    <row r="90" spans="1:95">
      <c r="C90" s="1963"/>
      <c r="D90" s="1963"/>
      <c r="E90" s="1963"/>
      <c r="F90" s="1963"/>
      <c r="G90" s="1963"/>
      <c r="H90" s="1963"/>
      <c r="I90" s="1963"/>
      <c r="J90" s="1963"/>
      <c r="K90" s="1963"/>
      <c r="L90" s="1963"/>
      <c r="M90" s="1963"/>
      <c r="N90" s="1963"/>
      <c r="O90" s="1963"/>
      <c r="P90" s="1963"/>
      <c r="Q90" s="1963"/>
      <c r="R90" s="1963"/>
      <c r="S90" s="1963"/>
      <c r="T90" s="1606"/>
      <c r="U90" s="1963"/>
      <c r="V90" s="1963"/>
      <c r="W90" s="1963"/>
      <c r="X90" s="1963"/>
      <c r="Y90" s="1606"/>
      <c r="Z90" s="1963"/>
      <c r="AA90" s="1963"/>
      <c r="AB90" s="1963"/>
      <c r="AC90" s="1963"/>
      <c r="AD90" s="3980" t="b">
        <f>PL_ЦО_Производство!AD89+'МД ООН'!AD89+'МК Ладыжин-3'!AD89+'МК Староконстантинов'!AD89+'МК Армокаркасы'!AD89+'МК Щедро. Флекситанки'!AD89+'МК ЛифтМаркет'!AD89+'МК Укркотлопром'!AD89+'МК Подгорцы.Забор'!AD89+PL_Металлизация!BR89+'МД Бытовка ИТР Нежин'!AD89+'МК Металургбуд.поддоны'!AD89=AD89</f>
        <v>1</v>
      </c>
      <c r="AE90" s="1963"/>
      <c r="AF90" s="1963"/>
      <c r="AG90" s="1963"/>
      <c r="AH90" s="1963"/>
      <c r="AI90" s="3980" t="b">
        <f>PL_ЦО_Производство!AI89+'МД ООН'!AI89+'МК Ладыжин-3'!AI89+'МК Староконстантинов'!AI89+'МК Армокаркасы'!AI89+'МК Щедро. Флекситанки'!AI89+'МК ЛифтМаркет'!AI89+'МК Укркотлопром'!AI89+'МК Подгорцы.Забор'!AI89+PL_Металлизация!BW89+'МД Бытовка ИТР Нежин'!AI89+'МК Металургбуд.поддоны'!AI89=AI89</f>
        <v>1</v>
      </c>
      <c r="AJ90" s="1963"/>
      <c r="AK90" s="1963"/>
      <c r="AL90" s="1963"/>
      <c r="AM90" s="1963"/>
      <c r="AN90" s="3980" t="b">
        <f>PL_ЦО_Производство!AN89+'МД ООН'!AN89+'МК Ладыжин-3'!AN89+'МК Староконстантинов'!AN89+'МК Армокаркасы'!AN89+'МК Щедро. Флекситанки'!AN89+'МК ЛифтМаркет'!AN89+'МК Укркотлопром'!AN89+'МК Подгорцы.Забор'!AN89+PL_Металлизация!CB89+'МД Бытовка ИТР Нежин'!AN89+'МК Металургбуд.поддоны'!AN89+'МК Нежин-3'!AN89=AN89</f>
        <v>1</v>
      </c>
      <c r="AO90" s="1963"/>
      <c r="AP90" s="1963"/>
      <c r="AQ90" s="1963"/>
      <c r="AR90" s="1963"/>
      <c r="AS90" s="3980" t="b">
        <f>PL_ЦО_Производство!AS89+'МД ООН'!AS89+'МК Ладыжин-3'!AS89+'МК Староконстантинов'!AS89+'МК Армокаркасы'!AS89+'МК Щедро. Флекситанки'!AS89+'МК ЛифтМаркет'!AS89+'МК Укркотлопром'!AS89+'МК Подгорцы.Забор'!AS89+PL_Металлизация!CG89+'МД Бытовка ИТР Нежин'!AS89+'МК Металургбуд.поддоны'!AS89+'МК Нежин-3'!AS89+'МК РДК.Кран'!AS89+'МК Ворота.Запорожье'!AS89+'МД ВООЗ'!AS89+'МД Казарма.Рекламация'!AS89=AS89</f>
        <v>1</v>
      </c>
      <c r="AT90" s="1963"/>
      <c r="AU90" s="1963"/>
      <c r="AV90" s="1963"/>
      <c r="AW90" s="1963"/>
      <c r="AX90" s="3980" t="b">
        <f>PL_ЦО_Производство!AX89+'МД ООН'!AX89+'МК Армокаркасы'!AX89+'МК Подгорцы.Забор'!AX89+'МК Нежин-3'!AX89+'МК РДК.Кран'!AX89+'МК Ворота.Запорожье'!AX89+'МД ВООЗ'!AX89+'МД Казарма.Рекламация'!AX89=AX89</f>
        <v>1</v>
      </c>
      <c r="AY90" s="1963"/>
      <c r="AZ90" s="1963"/>
      <c r="BA90" s="1963"/>
      <c r="BB90" s="1963"/>
      <c r="BC90" s="3980" t="b">
        <f>PL_ЦО_Производство!BC89+'МД ООН'!BC89+'МК Ладыжин-3'!BC89+'МК Староконстантинов'!BC89+'МК Армокаркасы'!BC89+'МК Щедро. Флекситанки'!BC89+'МК ЛифтМаркет'!BC89+'МК Укркотлопром'!BC89+'МК Подгорцы.Забор'!BC89+PL_Металлизация!CQ89+'МД Бытовка ИТР Нежин'!BC89+'МК Металургбуд.поддоны'!BC89+'МК Нежин-3'!BC89+'МК РДК.Кран'!BC89+'МК Ворота.Запорожье'!BC89+'МД ВООЗ'!BC89+'МД Казарма.Рекламация'!BC89=BC89</f>
        <v>1</v>
      </c>
      <c r="BD90" s="1963"/>
      <c r="BE90" s="1963"/>
      <c r="BF90" s="1963"/>
      <c r="BG90" s="1963"/>
      <c r="BH90" s="3980" t="b">
        <f>PL_ЦО_Производство!BH89+'МД ООН'!BH89+'МК Ладыжин-3'!BH89+'МК Староконстантинов'!BH89+'МК Армокаркасы'!BH89+'МК Щедро. Флекситанки'!BH89+'МК ЛифтМаркет'!BH89+'МК Укркотлопром'!BH89+'МК Подгорцы.Забор'!BH89+PL_Металлизация!CV89+'МД Бытовка ИТР Нежин'!BH89+'МК Металургбуд.поддоны'!BH89+'МК Нежин-3'!BH89+'МК РДК.Кран'!BH89+'МК Ворота.Запорожье'!BH89+'МД ВООЗ'!BH89+'МД Казарма.Рекламация'!BH89=BH89</f>
        <v>1</v>
      </c>
      <c r="BI90" s="1963"/>
      <c r="BJ90" s="1963"/>
      <c r="BK90" s="1963"/>
      <c r="BL90" s="1963"/>
      <c r="BM90" s="3980" t="b">
        <f>PL_ЦО_Производство!BM89+'МД ООН'!BM89+'МК Ладыжин-3'!BM89+'МК Староконстантинов'!BM89+'МК Армокаркасы'!BM89+'МК Щедро. Флекситанки'!BM89+'МК ЛифтМаркет'!BM89+'МК Укркотлопром'!BM89+'МК Подгорцы.Забор'!BM89+PL_Металлизация!DA89+'МД Бытовка ИТР Нежин'!BM89+'МК Металургбуд.поддоны'!BM89+'МК Нежин-3'!BM89+'МК РДК.Кран'!BM89+'МК Ворота.Запорожье'!BM89+'МД ВООЗ'!BM89+'МД Казарма.Рекламация'!BM89=BM89</f>
        <v>1</v>
      </c>
      <c r="BN90" s="1963"/>
      <c r="BO90" s="1963"/>
      <c r="BP90" s="1963"/>
      <c r="BQ90" s="1963"/>
      <c r="BR90" s="3980" t="b">
        <f>PL_ЦО_Производство!BR89+'МД ООН'!BR89+'МК Ладыжин-3'!BR89+'МК Староконстантинов'!BR89+'МК Армокаркасы'!BR89+'МК Щедро. Флекситанки'!BR89+'МК ЛифтМаркет'!BR89+'МК Укркотлопром'!BR89+'МК Подгорцы.Забор'!BR89+PL_Металлизация!DF89+'МД Бытовка ИТР Нежин'!BR89+'МК Металургбуд.поддоны'!BR89+'МК Нежин-3'!BR89+'МК РДК.Кран'!BR89+'МК Ворота.Запорожье'!BR89+'МД ВООЗ'!BR89+'МД Казарма.Рекламация'!BR89=BR89</f>
        <v>1</v>
      </c>
      <c r="BS90" s="1963"/>
      <c r="BT90" s="1963"/>
      <c r="BU90" s="1963"/>
      <c r="BV90" s="1963"/>
      <c r="BW90" s="3980" t="b">
        <f>PL_ЦО_Производство!BW89+'МД ООН'!BW89+'МК Ладыжин-3'!BW89+'МК Староконстантинов'!BW89+'МК Армокаркасы'!BW89+'МК Щедро. Флекситанки'!BW89+'МК ЛифтМаркет'!BW89+'МК Укркотлопром'!BW89+'МК Подгорцы.Забор'!BW89+PL_Металлизация!DK89+'МД Бытовка ИТР Нежин'!BW89+'МК Металургбуд.поддоны'!BW89+'МК Нежин-3'!BW89+'МК РДК.Кран'!BW89+'МК Ворота.Запорожье'!BW89+'МД ВООЗ'!BW89+'МД Казарма.Рекламация'!BW89=BW89</f>
        <v>1</v>
      </c>
      <c r="BX90" s="1963"/>
      <c r="BY90" s="1963"/>
      <c r="BZ90" s="1963"/>
      <c r="CA90" s="1963"/>
      <c r="CB90" s="3980" t="b">
        <f>PL_ЦО_Производство!CB89+'МД ООН'!CB89+'МК Ладыжин-3'!CB89+'МК Староконстантинов'!CB89+'МК Армокаркасы'!CB89+'МК Щедро. Флекситанки'!CB89+'МК ЛифтМаркет'!CB89+'МК Укркотлопром'!CB89+'МК Подгорцы.Забор'!CB89+PL_Металлизация!DP89+'МД Бытовка ИТР Нежин'!CB89+'МК Металургбуд.поддоны'!CB89+'МК Нежин-3'!CB89+'МК РДК.Кран'!CB89+'МК Ворота.Запорожье'!CB89+'МД ВООЗ'!CB89+'МД Казарма.Рекламация'!CB89=CB89</f>
        <v>1</v>
      </c>
      <c r="CC90" s="1963"/>
      <c r="CD90" s="1963"/>
      <c r="CE90" s="1963"/>
      <c r="CF90" s="1963"/>
      <c r="CG90" s="3980" t="b">
        <f>PL_ЦО_Производство!CG89+'МД ООН'!CG89+'МК Ладыжин-3'!CG89+'МК Староконстантинов'!CG89+'МК Армокаркасы'!CG89+'МК Щедро. Флекситанки'!CG89+'МК ЛифтМаркет'!CG89+'МК Укркотлопром'!CG89+'МК Подгорцы.Забор'!CG89+PL_Металлизация!DU89+'МД Бытовка ИТР Нежин'!CG89+'МК Металургбуд.поддоны'!CG89+'МК Нежин-3'!CG89+'МК РДК.Кран'!CG89+'МК Ворота.Запорожье'!CG89+'МД ВООЗ'!CG89+'МД Казарма.Рекламация'!CG89=CG89</f>
        <v>1</v>
      </c>
      <c r="CH90" s="1963"/>
      <c r="CI90" s="1963"/>
      <c r="CL90" s="1592"/>
    </row>
    <row r="91" spans="1:95"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963"/>
      <c r="AG91" s="1963"/>
      <c r="AH91" s="1963"/>
      <c r="AI91" s="1963"/>
      <c r="AJ91" s="1963"/>
      <c r="AK91" s="1963"/>
      <c r="AL91" s="1963"/>
      <c r="AM91" s="1963"/>
      <c r="AN91" s="1963"/>
      <c r="AO91" s="1963"/>
      <c r="AP91" s="1963"/>
      <c r="AQ91" s="1963"/>
      <c r="AR91" s="1963"/>
      <c r="AS91" s="1963"/>
      <c r="AT91" s="1963"/>
      <c r="AU91" s="1963"/>
      <c r="AV91" s="1963"/>
      <c r="AW91" s="1963"/>
      <c r="AX91" s="1963"/>
      <c r="AY91" s="1963"/>
      <c r="AZ91" s="420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row>
    <row r="92" spans="1:95" s="1396" customFormat="1" ht="13.2" hidden="1" customHeight="1" outlineLevel="1">
      <c r="A92" s="1402"/>
      <c r="B92" s="1402"/>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P92" s="1963"/>
      <c r="AQ92" s="1963"/>
      <c r="AR92" s="1963"/>
      <c r="AS92" s="1963"/>
      <c r="AT92" s="1963"/>
      <c r="AU92" s="1963"/>
      <c r="AV92" s="1963"/>
      <c r="AW92" s="1963"/>
      <c r="AX92" s="1963"/>
      <c r="AY92" s="1963"/>
      <c r="AZ92" s="420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c r="CJ92" s="1952"/>
      <c r="CK92" s="1952"/>
      <c r="CL92" s="1952"/>
      <c r="CM92" s="1952"/>
      <c r="CN92" s="1952"/>
    </row>
    <row r="93" spans="1:95" ht="13.8" hidden="1" outlineLevel="1" thickBot="1">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963"/>
      <c r="AG93" s="4060" t="s">
        <v>2006</v>
      </c>
      <c r="AH93" s="4061" t="s">
        <v>2007</v>
      </c>
      <c r="AI93" s="4062" t="s">
        <v>1820</v>
      </c>
      <c r="AJ93" s="1963"/>
      <c r="AK93" s="1963"/>
      <c r="AL93" s="4060" t="s">
        <v>2006</v>
      </c>
      <c r="AM93" s="4061" t="s">
        <v>2007</v>
      </c>
      <c r="AN93" s="4062" t="s">
        <v>1820</v>
      </c>
      <c r="AO93" s="1963"/>
      <c r="AP93" s="1963"/>
      <c r="AQ93" s="1963"/>
      <c r="AR93" s="4204" t="s">
        <v>2072</v>
      </c>
      <c r="AS93" s="4205">
        <f ca="1">SUM(AS94:AS109)</f>
        <v>1551420.8542530979</v>
      </c>
      <c r="AT93" s="1963"/>
      <c r="AU93" s="1963"/>
      <c r="AV93" s="1963"/>
      <c r="AW93" s="4204" t="s">
        <v>2072</v>
      </c>
      <c r="AX93" s="4205">
        <f ca="1">SUM(AX94:AX109)</f>
        <v>460123.86110491317</v>
      </c>
      <c r="AY93" s="3791">
        <v>86</v>
      </c>
      <c r="AZ93" s="1963"/>
      <c r="BA93" s="1963"/>
      <c r="BB93" s="4204" t="s">
        <v>2072</v>
      </c>
      <c r="BC93" s="4205">
        <f ca="1">SUM(BC94:BC109)</f>
        <v>1318133.8872190081</v>
      </c>
      <c r="BD93" s="1963"/>
      <c r="BE93" s="1963"/>
      <c r="BF93" s="1963"/>
      <c r="BG93" s="4204" t="s">
        <v>2072</v>
      </c>
      <c r="BH93" s="4205">
        <f ca="1">SUM(BH94:BH109)</f>
        <v>0</v>
      </c>
      <c r="BI93" s="1963"/>
      <c r="BJ93" s="1963"/>
      <c r="BK93" s="1963"/>
      <c r="BL93" s="4204" t="s">
        <v>2072</v>
      </c>
      <c r="BM93" s="4205">
        <f ca="1">SUM(BM94:BM109)</f>
        <v>0</v>
      </c>
      <c r="BN93" s="1963"/>
      <c r="BO93" s="1963"/>
      <c r="BP93" s="1963"/>
      <c r="BQ93" s="4204" t="s">
        <v>2072</v>
      </c>
      <c r="BR93" s="4205">
        <f ca="1">SUM(BR94:BR109)</f>
        <v>0</v>
      </c>
      <c r="BS93" s="1963"/>
      <c r="BT93" s="1963"/>
      <c r="BU93" s="1963"/>
      <c r="BV93" s="4204" t="s">
        <v>2072</v>
      </c>
      <c r="BW93" s="4205">
        <f ca="1">SUM(BW94:BW109)</f>
        <v>0</v>
      </c>
      <c r="BX93" s="1963"/>
      <c r="BY93" s="1963"/>
      <c r="BZ93" s="1963"/>
      <c r="CA93" s="4204" t="s">
        <v>2072</v>
      </c>
      <c r="CB93" s="4205">
        <f ca="1">SUM(CB94:CB109)</f>
        <v>0</v>
      </c>
      <c r="CC93" s="1963"/>
      <c r="CD93" s="1963"/>
      <c r="CE93" s="1963"/>
      <c r="CF93" s="4204" t="s">
        <v>2072</v>
      </c>
      <c r="CG93" s="4205">
        <f ca="1">SUM(CG94:CG109)</f>
        <v>0</v>
      </c>
      <c r="CH93" s="1963"/>
      <c r="CI93" s="1963"/>
    </row>
    <row r="94" spans="1:95" s="1396" customFormat="1" ht="13.8" hidden="1" outlineLevel="1" thickBo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4063">
        <f>SUM(AG95:AG107)</f>
        <v>30375.98</v>
      </c>
      <c r="AH94" s="4063">
        <f>SUM(AH95:AH107)</f>
        <v>0</v>
      </c>
      <c r="AI94" s="4063">
        <f>SUM(AI95:AI107)</f>
        <v>30375.98</v>
      </c>
      <c r="AJ94" s="4064"/>
      <c r="AK94" s="1963"/>
      <c r="AL94" s="4063">
        <f>SUM(AL95:AL107)</f>
        <v>191501.09000000003</v>
      </c>
      <c r="AM94" s="4063">
        <f>SUM(AM95:AM107)</f>
        <v>423050</v>
      </c>
      <c r="AN94" s="4063">
        <f>SUM(AN95:AN107)</f>
        <v>614551.09000000008</v>
      </c>
      <c r="AO94" s="4064"/>
      <c r="AP94" s="1963"/>
      <c r="AQ94" s="1963"/>
      <c r="AR94" s="2110" t="s">
        <v>2008</v>
      </c>
      <c r="AS94" s="1963">
        <f t="shared" ref="AS94:AS110" ca="1" si="219">HYPERLINK(CONCATENATE("#'",AR94,"'!",AT94),INDIRECT(CONCATENATE("'",AR94,"'!",AT94)))</f>
        <v>560235.46537080465</v>
      </c>
      <c r="AT94" s="1963" t="s">
        <v>2073</v>
      </c>
      <c r="AU94" s="4206">
        <f ca="1">COLUMN(INDIRECT(AT94))</f>
        <v>45</v>
      </c>
      <c r="AV94" s="1963"/>
      <c r="AW94" s="2110" t="s">
        <v>2008</v>
      </c>
      <c r="AX94" s="4207">
        <f t="shared" ref="AX94:AX110" ca="1" si="220">HYPERLINK(CONCATENATE("#'",AW94,"'!",AY94),INDIRECT(CONCATENATE("'",AW94,"'!",AY94)))</f>
        <v>-523154.73883312679</v>
      </c>
      <c r="AY94" s="1963" t="str">
        <f ca="1">ADDRESS($AY$93,AZ94,4)</f>
        <v>AX86</v>
      </c>
      <c r="AZ94" s="4206">
        <f t="shared" ref="AZ94:AZ109" ca="1" si="221">AU94+5</f>
        <v>50</v>
      </c>
      <c r="BA94" s="1963"/>
      <c r="BB94" s="2110" t="s">
        <v>2008</v>
      </c>
      <c r="BC94" s="1963">
        <f t="shared" ref="BC94:BC110" ca="1" si="222">HYPERLINK(CONCATENATE("#'",BB94,"'!",BD94),INDIRECT(CONCATENATE("'",BB94,"'!",BD94)))</f>
        <v>673030.41630153765</v>
      </c>
      <c r="BD94" s="1963" t="str">
        <f ca="1">ADDRESS(89,BE94,4)</f>
        <v>BC89</v>
      </c>
      <c r="BE94" s="4206">
        <f t="shared" ref="BE94:BE109" ca="1" si="223">AZ94+5</f>
        <v>55</v>
      </c>
      <c r="BF94" s="1963"/>
      <c r="BG94" s="2110" t="s">
        <v>2008</v>
      </c>
      <c r="BH94" s="1963">
        <f t="shared" ref="BH94:BH110" ca="1" si="224">HYPERLINK(CONCATENATE("#'",BG94,"'!",BI94),INDIRECT(CONCATENATE("'",BG94,"'!",BI94)))</f>
        <v>0</v>
      </c>
      <c r="BI94" s="1963" t="str">
        <f ca="1">ADDRESS(89,BJ94,4)</f>
        <v>BH89</v>
      </c>
      <c r="BJ94" s="4206">
        <f t="shared" ref="BJ94:BJ109" ca="1" si="225">BE94+5</f>
        <v>60</v>
      </c>
      <c r="BK94" s="1963"/>
      <c r="BL94" s="2110" t="s">
        <v>2008</v>
      </c>
      <c r="BM94" s="1963">
        <f t="shared" ref="BM94:BM110" ca="1" si="226">HYPERLINK(CONCATENATE("#'",BL94,"'!",BN94),INDIRECT(CONCATENATE("'",BL94,"'!",BN94)))</f>
        <v>0</v>
      </c>
      <c r="BN94" s="1963" t="str">
        <f ca="1">ADDRESS(89,BO94,4)</f>
        <v>BM89</v>
      </c>
      <c r="BO94" s="4206">
        <f t="shared" ref="BO94:BO109" ca="1" si="227">BJ94+5</f>
        <v>65</v>
      </c>
      <c r="BP94" s="1963"/>
      <c r="BQ94" s="2110" t="s">
        <v>2008</v>
      </c>
      <c r="BR94" s="1963">
        <f t="shared" ref="BR94:BR110" ca="1" si="228">HYPERLINK(CONCATENATE("#'",BQ94,"'!",BS94),INDIRECT(CONCATENATE("'",BQ94,"'!",BS94)))</f>
        <v>0</v>
      </c>
      <c r="BS94" s="1963" t="str">
        <f ca="1">ADDRESS(89,BT94,4)</f>
        <v>BR89</v>
      </c>
      <c r="BT94" s="4206">
        <f t="shared" ref="BT94:BT109" ca="1" si="229">BO94+5</f>
        <v>70</v>
      </c>
      <c r="BU94" s="1963"/>
      <c r="BV94" s="2110" t="s">
        <v>2008</v>
      </c>
      <c r="BW94" s="1963">
        <f t="shared" ref="BW94:BW110" ca="1" si="230">HYPERLINK(CONCATENATE("#'",BV94,"'!",BX94),INDIRECT(CONCATENATE("'",BV94,"'!",BX94)))</f>
        <v>0</v>
      </c>
      <c r="BX94" s="1963" t="str">
        <f ca="1">ADDRESS(89,BY94,4)</f>
        <v>BW89</v>
      </c>
      <c r="BY94" s="4206">
        <f t="shared" ref="BY94:BY109" ca="1" si="231">BT94+5</f>
        <v>75</v>
      </c>
      <c r="BZ94" s="1963"/>
      <c r="CA94" s="2110" t="s">
        <v>2008</v>
      </c>
      <c r="CB94" s="1963">
        <f t="shared" ref="CB94:CB110" ca="1" si="232">HYPERLINK(CONCATENATE("#'",CA94,"'!",CC94),INDIRECT(CONCATENATE("'",CA94,"'!",CC94)))</f>
        <v>0</v>
      </c>
      <c r="CC94" s="1963" t="str">
        <f ca="1">ADDRESS(89,CD94,4)</f>
        <v>CB89</v>
      </c>
      <c r="CD94" s="4206">
        <f t="shared" ref="CD94:CD109" ca="1" si="233">BY94+5</f>
        <v>80</v>
      </c>
      <c r="CE94" s="1963"/>
      <c r="CF94" s="2110" t="s">
        <v>2008</v>
      </c>
      <c r="CG94" s="1963">
        <f t="shared" ref="CG94:CG110" ca="1" si="234">HYPERLINK(CONCATENATE("#'",CF94,"'!",CH94),INDIRECT(CONCATENATE("'",CF94,"'!",CH94)))</f>
        <v>0</v>
      </c>
      <c r="CH94" s="1963" t="str">
        <f ca="1">ADDRESS(89,CI94,4)</f>
        <v>CG89</v>
      </c>
      <c r="CI94" s="4206">
        <f t="shared" ref="CI94:CI109" ca="1" si="235">CD94+5</f>
        <v>85</v>
      </c>
      <c r="CJ94" s="1952"/>
      <c r="CK94" s="1952"/>
      <c r="CL94" s="687"/>
      <c r="CM94" s="1952"/>
      <c r="CN94" s="1952"/>
    </row>
    <row r="95" spans="1:95" s="1396" customFormat="1" ht="13.2" hidden="1" customHeight="1" outlineLevel="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4065"/>
      <c r="Z95" s="1963"/>
      <c r="AA95" s="1963"/>
      <c r="AB95" s="1963"/>
      <c r="AC95" s="1963"/>
      <c r="AD95" s="1963"/>
      <c r="AE95" s="1963"/>
      <c r="AF95" s="1963"/>
      <c r="AG95" s="4028">
        <f>'МД ООН'!AG11</f>
        <v>6073.64</v>
      </c>
      <c r="AH95" s="4066">
        <f>'МД ООН'!AH11</f>
        <v>0</v>
      </c>
      <c r="AI95" s="4067">
        <f>'МД ООН'!AI11</f>
        <v>6073.64</v>
      </c>
      <c r="AJ95" s="4068" t="s">
        <v>1932</v>
      </c>
      <c r="AK95" s="1963"/>
      <c r="AL95" s="4028">
        <f>'МД ООН'!AL9</f>
        <v>6375.67</v>
      </c>
      <c r="AM95" s="4066">
        <f>'МД ООН'!AM9</f>
        <v>12255.98</v>
      </c>
      <c r="AN95" s="4067">
        <f>'МД ООН'!AN9</f>
        <v>18631.650000000001</v>
      </c>
      <c r="AO95" s="4068" t="s">
        <v>1932</v>
      </c>
      <c r="AP95" s="3985">
        <f>AO113+AO118</f>
        <v>12985.98</v>
      </c>
      <c r="AQ95" s="1963"/>
      <c r="AR95" s="2110" t="s">
        <v>1932</v>
      </c>
      <c r="AS95" s="1963">
        <f t="shared" ca="1" si="219"/>
        <v>6275.7054750472926</v>
      </c>
      <c r="AT95" s="1963" t="s">
        <v>2073</v>
      </c>
      <c r="AU95" s="4206">
        <f t="shared" ref="AU95:AU110" ca="1" si="236">COLUMN(INDIRECT(AT95))</f>
        <v>45</v>
      </c>
      <c r="AV95" s="1963"/>
      <c r="AW95" s="2110" t="s">
        <v>1932</v>
      </c>
      <c r="AX95" s="4207">
        <f t="shared" ca="1" si="220"/>
        <v>-950</v>
      </c>
      <c r="AY95" s="1963" t="str">
        <f t="shared" ref="AY95:AY110" ca="1" si="237">ADDRESS($AY$93,AZ95,4)</f>
        <v>AX86</v>
      </c>
      <c r="AZ95" s="4206">
        <f t="shared" ca="1" si="221"/>
        <v>50</v>
      </c>
      <c r="BA95" s="1963"/>
      <c r="BB95" s="2110" t="s">
        <v>1932</v>
      </c>
      <c r="BC95" s="1963">
        <f t="shared" ca="1" si="222"/>
        <v>17283.270269629036</v>
      </c>
      <c r="BD95" s="1963" t="str">
        <f t="shared" ref="BD95:BD110" ca="1" si="238">ADDRESS(89,BE95,4)</f>
        <v>BC89</v>
      </c>
      <c r="BE95" s="4206">
        <f t="shared" ca="1" si="223"/>
        <v>55</v>
      </c>
      <c r="BF95" s="1963"/>
      <c r="BG95" s="2110" t="s">
        <v>1932</v>
      </c>
      <c r="BH95" s="1963">
        <f t="shared" ca="1" si="224"/>
        <v>0</v>
      </c>
      <c r="BI95" s="1963" t="str">
        <f t="shared" ref="BI95:BI110" ca="1" si="239">ADDRESS(89,BJ95,4)</f>
        <v>BH89</v>
      </c>
      <c r="BJ95" s="4206">
        <f t="shared" ca="1" si="225"/>
        <v>60</v>
      </c>
      <c r="BK95" s="1963"/>
      <c r="BL95" s="2110" t="s">
        <v>1932</v>
      </c>
      <c r="BM95" s="1963">
        <f t="shared" ca="1" si="226"/>
        <v>0</v>
      </c>
      <c r="BN95" s="1963" t="str">
        <f t="shared" ref="BN95:BN110" ca="1" si="240">ADDRESS(89,BO95,4)</f>
        <v>BM89</v>
      </c>
      <c r="BO95" s="4206">
        <f t="shared" ca="1" si="227"/>
        <v>65</v>
      </c>
      <c r="BP95" s="1963"/>
      <c r="BQ95" s="2110" t="s">
        <v>1932</v>
      </c>
      <c r="BR95" s="1963">
        <f t="shared" ca="1" si="228"/>
        <v>0</v>
      </c>
      <c r="BS95" s="1963" t="str">
        <f t="shared" ref="BS95:BS110" ca="1" si="241">ADDRESS(89,BT95,4)</f>
        <v>BR89</v>
      </c>
      <c r="BT95" s="4206">
        <f t="shared" ca="1" si="229"/>
        <v>70</v>
      </c>
      <c r="BU95" s="1963"/>
      <c r="BV95" s="2110" t="s">
        <v>1932</v>
      </c>
      <c r="BW95" s="1963">
        <f t="shared" ca="1" si="230"/>
        <v>0</v>
      </c>
      <c r="BX95" s="1963" t="str">
        <f t="shared" ref="BX95:BX110" ca="1" si="242">ADDRESS(89,BY95,4)</f>
        <v>BW89</v>
      </c>
      <c r="BY95" s="4206">
        <f t="shared" ca="1" si="231"/>
        <v>75</v>
      </c>
      <c r="BZ95" s="1963"/>
      <c r="CA95" s="2110" t="s">
        <v>1932</v>
      </c>
      <c r="CB95" s="1963">
        <f t="shared" ca="1" si="232"/>
        <v>0</v>
      </c>
      <c r="CC95" s="1963" t="str">
        <f t="shared" ref="CC95:CC110" ca="1" si="243">ADDRESS(89,CD95,4)</f>
        <v>CB89</v>
      </c>
      <c r="CD95" s="4206">
        <f t="shared" ca="1" si="233"/>
        <v>80</v>
      </c>
      <c r="CE95" s="1963"/>
      <c r="CF95" s="2110" t="s">
        <v>1932</v>
      </c>
      <c r="CG95" s="1963">
        <f t="shared" ca="1" si="234"/>
        <v>0</v>
      </c>
      <c r="CH95" s="1963" t="str">
        <f t="shared" ref="CH95:CH110" ca="1" si="244">ADDRESS(89,CI95,4)</f>
        <v>CG89</v>
      </c>
      <c r="CI95" s="4206">
        <f t="shared" ca="1" si="235"/>
        <v>85</v>
      </c>
      <c r="CJ95" s="1952"/>
      <c r="CK95" s="1952"/>
      <c r="CL95" s="1952"/>
      <c r="CM95" s="1952"/>
      <c r="CN95" s="1952"/>
    </row>
    <row r="96" spans="1:95" s="1396" customFormat="1" ht="13.2" hidden="1" customHeight="1" outlineLevel="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4065"/>
      <c r="Z96" s="1963"/>
      <c r="AA96" s="1963"/>
      <c r="AB96" s="1963"/>
      <c r="AC96" s="1963"/>
      <c r="AD96" s="1963"/>
      <c r="AE96" s="1963"/>
      <c r="AF96" s="1963"/>
      <c r="AG96" s="4028">
        <f>'МК Ладыжин-3'!AG11</f>
        <v>0</v>
      </c>
      <c r="AH96" s="4066">
        <f>'МК Ладыжин-3'!AH11</f>
        <v>0</v>
      </c>
      <c r="AI96" s="4067">
        <f>'МК Ладыжин-3'!AI11</f>
        <v>0</v>
      </c>
      <c r="AJ96" s="4068" t="s">
        <v>1933</v>
      </c>
      <c r="AK96" s="1963"/>
      <c r="AL96" s="4028">
        <f>'МК Ладыжин-3'!AL9</f>
        <v>0</v>
      </c>
      <c r="AM96" s="4066">
        <f>'МК Ладыжин-3'!AM9</f>
        <v>0</v>
      </c>
      <c r="AN96" s="4067">
        <f>'МК Ладыжин-3'!AN9</f>
        <v>0</v>
      </c>
      <c r="AO96" s="4068" t="s">
        <v>1933</v>
      </c>
      <c r="AP96" s="1963"/>
      <c r="AQ96" s="1963"/>
      <c r="AR96" s="2110" t="s">
        <v>1933</v>
      </c>
      <c r="AS96" s="1963">
        <f t="shared" ca="1" si="219"/>
        <v>0</v>
      </c>
      <c r="AT96" s="1963" t="s">
        <v>2073</v>
      </c>
      <c r="AU96" s="4206">
        <f t="shared" ca="1" si="236"/>
        <v>45</v>
      </c>
      <c r="AV96" s="1963"/>
      <c r="AW96" s="2110" t="s">
        <v>1933</v>
      </c>
      <c r="AX96" s="4207">
        <f t="shared" ca="1" si="220"/>
        <v>0</v>
      </c>
      <c r="AY96" s="1963" t="str">
        <f t="shared" ca="1" si="237"/>
        <v>AX86</v>
      </c>
      <c r="AZ96" s="4206">
        <f t="shared" ca="1" si="221"/>
        <v>50</v>
      </c>
      <c r="BA96" s="1963"/>
      <c r="BB96" s="2110" t="s">
        <v>1933</v>
      </c>
      <c r="BC96" s="1963">
        <f t="shared" ca="1" si="222"/>
        <v>0</v>
      </c>
      <c r="BD96" s="1963" t="str">
        <f t="shared" ca="1" si="238"/>
        <v>BC89</v>
      </c>
      <c r="BE96" s="4206">
        <f t="shared" ca="1" si="223"/>
        <v>55</v>
      </c>
      <c r="BF96" s="1963"/>
      <c r="BG96" s="2110" t="s">
        <v>1933</v>
      </c>
      <c r="BH96" s="1963">
        <f t="shared" ca="1" si="224"/>
        <v>0</v>
      </c>
      <c r="BI96" s="1963" t="str">
        <f t="shared" ca="1" si="239"/>
        <v>BH89</v>
      </c>
      <c r="BJ96" s="4206">
        <f t="shared" ca="1" si="225"/>
        <v>60</v>
      </c>
      <c r="BK96" s="1963"/>
      <c r="BL96" s="2110" t="s">
        <v>1933</v>
      </c>
      <c r="BM96" s="1963">
        <f t="shared" ca="1" si="226"/>
        <v>0</v>
      </c>
      <c r="BN96" s="1963" t="str">
        <f t="shared" ca="1" si="240"/>
        <v>BM89</v>
      </c>
      <c r="BO96" s="4206">
        <f t="shared" ca="1" si="227"/>
        <v>65</v>
      </c>
      <c r="BP96" s="1963"/>
      <c r="BQ96" s="2110" t="s">
        <v>1933</v>
      </c>
      <c r="BR96" s="1963">
        <f t="shared" ca="1" si="228"/>
        <v>0</v>
      </c>
      <c r="BS96" s="1963" t="str">
        <f t="shared" ca="1" si="241"/>
        <v>BR89</v>
      </c>
      <c r="BT96" s="4206">
        <f t="shared" ca="1" si="229"/>
        <v>70</v>
      </c>
      <c r="BU96" s="1963"/>
      <c r="BV96" s="2110" t="s">
        <v>1933</v>
      </c>
      <c r="BW96" s="1963">
        <f t="shared" ca="1" si="230"/>
        <v>0</v>
      </c>
      <c r="BX96" s="1963" t="str">
        <f t="shared" ca="1" si="242"/>
        <v>BW89</v>
      </c>
      <c r="BY96" s="4206">
        <f t="shared" ca="1" si="231"/>
        <v>75</v>
      </c>
      <c r="BZ96" s="1963"/>
      <c r="CA96" s="2110" t="s">
        <v>1933</v>
      </c>
      <c r="CB96" s="1963">
        <f t="shared" ca="1" si="232"/>
        <v>0</v>
      </c>
      <c r="CC96" s="1963" t="str">
        <f t="shared" ca="1" si="243"/>
        <v>CB89</v>
      </c>
      <c r="CD96" s="4206">
        <f t="shared" ca="1" si="233"/>
        <v>80</v>
      </c>
      <c r="CE96" s="1963"/>
      <c r="CF96" s="2110" t="s">
        <v>1933</v>
      </c>
      <c r="CG96" s="1963">
        <f t="shared" ca="1" si="234"/>
        <v>0</v>
      </c>
      <c r="CH96" s="1963" t="str">
        <f t="shared" ca="1" si="244"/>
        <v>CG89</v>
      </c>
      <c r="CI96" s="4206">
        <f t="shared" ca="1" si="235"/>
        <v>85</v>
      </c>
      <c r="CJ96" s="1952"/>
      <c r="CK96" s="1952"/>
      <c r="CL96" s="1952"/>
      <c r="CM96" s="1952"/>
      <c r="CN96" s="1952"/>
    </row>
    <row r="97" spans="1:92" s="1396" customFormat="1" ht="13.2" hidden="1" customHeight="1" outlineLevel="1">
      <c r="A97" s="1402"/>
      <c r="B97" s="1655"/>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4028">
        <f>'МК Староконстантинов'!AG11</f>
        <v>0</v>
      </c>
      <c r="AH97" s="4066">
        <f>'МК Староконстантинов'!AH11</f>
        <v>0</v>
      </c>
      <c r="AI97" s="4067">
        <f>'МК Староконстантинов'!AI11</f>
        <v>0</v>
      </c>
      <c r="AJ97" s="4068" t="s">
        <v>1934</v>
      </c>
      <c r="AK97" s="1963"/>
      <c r="AL97" s="4028">
        <f>'МК Староконстантинов'!AL9</f>
        <v>0</v>
      </c>
      <c r="AM97" s="4066">
        <f>'МК Староконстантинов'!AM9</f>
        <v>0</v>
      </c>
      <c r="AN97" s="4067">
        <f>'МК Староконстантинов'!AN9</f>
        <v>0</v>
      </c>
      <c r="AO97" s="4068" t="s">
        <v>1934</v>
      </c>
      <c r="AP97" s="1963"/>
      <c r="AQ97" s="1963"/>
      <c r="AR97" s="2110" t="s">
        <v>1934</v>
      </c>
      <c r="AS97" s="1963">
        <f t="shared" ca="1" si="219"/>
        <v>845</v>
      </c>
      <c r="AT97" s="1963" t="s">
        <v>2073</v>
      </c>
      <c r="AU97" s="4206">
        <f t="shared" ca="1" si="236"/>
        <v>45</v>
      </c>
      <c r="AV97" s="1963"/>
      <c r="AW97" s="2110" t="s">
        <v>1934</v>
      </c>
      <c r="AX97" s="4207">
        <f t="shared" ca="1" si="220"/>
        <v>0</v>
      </c>
      <c r="AY97" s="1963" t="str">
        <f t="shared" ca="1" si="237"/>
        <v>AX86</v>
      </c>
      <c r="AZ97" s="4206">
        <f t="shared" ca="1" si="221"/>
        <v>50</v>
      </c>
      <c r="BA97" s="1963"/>
      <c r="BB97" s="2110" t="s">
        <v>1934</v>
      </c>
      <c r="BC97" s="1963">
        <f t="shared" ca="1" si="222"/>
        <v>0</v>
      </c>
      <c r="BD97" s="1963" t="str">
        <f t="shared" ca="1" si="238"/>
        <v>BC89</v>
      </c>
      <c r="BE97" s="4206">
        <f t="shared" ca="1" si="223"/>
        <v>55</v>
      </c>
      <c r="BF97" s="1963"/>
      <c r="BG97" s="2110" t="s">
        <v>1934</v>
      </c>
      <c r="BH97" s="1963">
        <f t="shared" ca="1" si="224"/>
        <v>0</v>
      </c>
      <c r="BI97" s="1963" t="str">
        <f t="shared" ca="1" si="239"/>
        <v>BH89</v>
      </c>
      <c r="BJ97" s="4206">
        <f t="shared" ca="1" si="225"/>
        <v>60</v>
      </c>
      <c r="BK97" s="1963"/>
      <c r="BL97" s="2110" t="s">
        <v>1934</v>
      </c>
      <c r="BM97" s="1963">
        <f t="shared" ca="1" si="226"/>
        <v>0</v>
      </c>
      <c r="BN97" s="1963" t="str">
        <f t="shared" ca="1" si="240"/>
        <v>BM89</v>
      </c>
      <c r="BO97" s="4206">
        <f t="shared" ca="1" si="227"/>
        <v>65</v>
      </c>
      <c r="BP97" s="1963"/>
      <c r="BQ97" s="2110" t="s">
        <v>1934</v>
      </c>
      <c r="BR97" s="1963">
        <f t="shared" ca="1" si="228"/>
        <v>0</v>
      </c>
      <c r="BS97" s="1963" t="str">
        <f t="shared" ca="1" si="241"/>
        <v>BR89</v>
      </c>
      <c r="BT97" s="4206">
        <f t="shared" ca="1" si="229"/>
        <v>70</v>
      </c>
      <c r="BU97" s="1963"/>
      <c r="BV97" s="2110" t="s">
        <v>1934</v>
      </c>
      <c r="BW97" s="1963">
        <f t="shared" ca="1" si="230"/>
        <v>0</v>
      </c>
      <c r="BX97" s="1963" t="str">
        <f t="shared" ca="1" si="242"/>
        <v>BW89</v>
      </c>
      <c r="BY97" s="4206">
        <f t="shared" ca="1" si="231"/>
        <v>75</v>
      </c>
      <c r="BZ97" s="1963"/>
      <c r="CA97" s="2110" t="s">
        <v>1934</v>
      </c>
      <c r="CB97" s="1963">
        <f t="shared" ca="1" si="232"/>
        <v>0</v>
      </c>
      <c r="CC97" s="1963" t="str">
        <f t="shared" ca="1" si="243"/>
        <v>CB89</v>
      </c>
      <c r="CD97" s="4206">
        <f t="shared" ca="1" si="233"/>
        <v>80</v>
      </c>
      <c r="CE97" s="1963"/>
      <c r="CF97" s="2110" t="s">
        <v>1934</v>
      </c>
      <c r="CG97" s="1963">
        <f t="shared" ca="1" si="234"/>
        <v>0</v>
      </c>
      <c r="CH97" s="1963" t="str">
        <f t="shared" ca="1" si="244"/>
        <v>CG89</v>
      </c>
      <c r="CI97" s="4206">
        <f t="shared" ca="1" si="235"/>
        <v>85</v>
      </c>
      <c r="CJ97" s="1952"/>
      <c r="CK97" s="1952"/>
      <c r="CL97" s="1952"/>
      <c r="CM97" s="1952"/>
      <c r="CN97" s="1952"/>
    </row>
    <row r="98" spans="1:92" ht="13.2" hidden="1" customHeight="1" outlineLevel="1">
      <c r="C98" s="1963"/>
      <c r="D98" s="1963"/>
      <c r="E98" s="1963"/>
      <c r="F98" s="1963"/>
      <c r="G98" s="1963"/>
      <c r="H98" s="1963"/>
      <c r="I98" s="1963"/>
      <c r="J98" s="1963"/>
      <c r="K98" s="1963"/>
      <c r="L98" s="1963"/>
      <c r="M98" s="1963"/>
      <c r="N98" s="1963"/>
      <c r="O98" s="1963"/>
      <c r="P98" s="1963"/>
      <c r="Q98" s="1963"/>
      <c r="R98" s="1963"/>
      <c r="S98" s="1963"/>
      <c r="T98" s="1963"/>
      <c r="U98" s="1963"/>
      <c r="V98" s="1963"/>
      <c r="W98" s="1963"/>
      <c r="X98" s="1963"/>
      <c r="Y98" s="1963"/>
      <c r="Z98" s="1963"/>
      <c r="AA98" s="1963"/>
      <c r="AB98" s="1963"/>
      <c r="AC98" s="1963"/>
      <c r="AD98" s="1963"/>
      <c r="AE98" s="1963"/>
      <c r="AF98" s="1963"/>
      <c r="AG98" s="4028">
        <f>+'МК Армокаркасы'!AG11</f>
        <v>0</v>
      </c>
      <c r="AH98" s="4066">
        <f>+'МК Армокаркасы'!AH11</f>
        <v>0</v>
      </c>
      <c r="AI98" s="4067">
        <f>+'МК Армокаркасы'!AI11</f>
        <v>0</v>
      </c>
      <c r="AJ98" s="4068" t="s">
        <v>1935</v>
      </c>
      <c r="AK98" s="1963"/>
      <c r="AL98" s="4028">
        <f>+'МК Армокаркасы'!AL9</f>
        <v>0</v>
      </c>
      <c r="AM98" s="4066">
        <f>+'МК Армокаркасы'!AM9</f>
        <v>0</v>
      </c>
      <c r="AN98" s="4067">
        <f>+'МК Армокаркасы'!AN9</f>
        <v>0</v>
      </c>
      <c r="AO98" s="4068" t="s">
        <v>1935</v>
      </c>
      <c r="AP98" s="1963"/>
      <c r="AQ98" s="1963"/>
      <c r="AR98" s="2110" t="s">
        <v>1935</v>
      </c>
      <c r="AS98" s="1963">
        <f t="shared" ca="1" si="219"/>
        <v>0</v>
      </c>
      <c r="AT98" s="1963" t="s">
        <v>2073</v>
      </c>
      <c r="AU98" s="4206">
        <f t="shared" ca="1" si="236"/>
        <v>45</v>
      </c>
      <c r="AV98" s="1963"/>
      <c r="AW98" s="2110" t="s">
        <v>1935</v>
      </c>
      <c r="AX98" s="4207">
        <f t="shared" ca="1" si="220"/>
        <v>-65196.82601545169</v>
      </c>
      <c r="AY98" s="1963" t="str">
        <f t="shared" ca="1" si="237"/>
        <v>AX86</v>
      </c>
      <c r="AZ98" s="4206">
        <f t="shared" ca="1" si="221"/>
        <v>50</v>
      </c>
      <c r="BA98" s="1963"/>
      <c r="BB98" s="2110" t="s">
        <v>1935</v>
      </c>
      <c r="BC98" s="1963">
        <f t="shared" ca="1" si="222"/>
        <v>0</v>
      </c>
      <c r="BD98" s="1963" t="str">
        <f t="shared" ca="1" si="238"/>
        <v>BC89</v>
      </c>
      <c r="BE98" s="4206">
        <f t="shared" ca="1" si="223"/>
        <v>55</v>
      </c>
      <c r="BF98" s="1963"/>
      <c r="BG98" s="2110" t="s">
        <v>1935</v>
      </c>
      <c r="BH98" s="1963">
        <f t="shared" ca="1" si="224"/>
        <v>0</v>
      </c>
      <c r="BI98" s="1963" t="str">
        <f t="shared" ca="1" si="239"/>
        <v>BH89</v>
      </c>
      <c r="BJ98" s="4206">
        <f t="shared" ca="1" si="225"/>
        <v>60</v>
      </c>
      <c r="BK98" s="1963"/>
      <c r="BL98" s="2110" t="s">
        <v>1935</v>
      </c>
      <c r="BM98" s="1963">
        <f t="shared" ca="1" si="226"/>
        <v>0</v>
      </c>
      <c r="BN98" s="1963" t="str">
        <f t="shared" ca="1" si="240"/>
        <v>BM89</v>
      </c>
      <c r="BO98" s="4206">
        <f t="shared" ca="1" si="227"/>
        <v>65</v>
      </c>
      <c r="BP98" s="1963"/>
      <c r="BQ98" s="2110" t="s">
        <v>1935</v>
      </c>
      <c r="BR98" s="1963">
        <f t="shared" ca="1" si="228"/>
        <v>0</v>
      </c>
      <c r="BS98" s="1963" t="str">
        <f t="shared" ca="1" si="241"/>
        <v>BR89</v>
      </c>
      <c r="BT98" s="4206">
        <f t="shared" ca="1" si="229"/>
        <v>70</v>
      </c>
      <c r="BU98" s="1963"/>
      <c r="BV98" s="2110" t="s">
        <v>1935</v>
      </c>
      <c r="BW98" s="1963">
        <f t="shared" ca="1" si="230"/>
        <v>0</v>
      </c>
      <c r="BX98" s="1963" t="str">
        <f t="shared" ca="1" si="242"/>
        <v>BW89</v>
      </c>
      <c r="BY98" s="4206">
        <f t="shared" ca="1" si="231"/>
        <v>75</v>
      </c>
      <c r="BZ98" s="1963"/>
      <c r="CA98" s="2110" t="s">
        <v>1935</v>
      </c>
      <c r="CB98" s="1963">
        <f t="shared" ca="1" si="232"/>
        <v>0</v>
      </c>
      <c r="CC98" s="1963" t="str">
        <f t="shared" ca="1" si="243"/>
        <v>CB89</v>
      </c>
      <c r="CD98" s="4206">
        <f t="shared" ca="1" si="233"/>
        <v>80</v>
      </c>
      <c r="CE98" s="1963"/>
      <c r="CF98" s="2110" t="s">
        <v>1935</v>
      </c>
      <c r="CG98" s="1963">
        <f t="shared" ca="1" si="234"/>
        <v>0</v>
      </c>
      <c r="CH98" s="1963" t="str">
        <f t="shared" ca="1" si="244"/>
        <v>CG89</v>
      </c>
      <c r="CI98" s="4206">
        <f t="shared" ca="1" si="235"/>
        <v>85</v>
      </c>
    </row>
    <row r="99" spans="1:92" s="1396" customFormat="1" ht="13.2" hidden="1" customHeight="1" outlineLevel="1">
      <c r="A99" s="1402"/>
      <c r="B99" s="1402"/>
      <c r="C99" s="1952"/>
      <c r="D99" s="1952"/>
      <c r="E99" s="1952"/>
      <c r="F99" s="1952"/>
      <c r="G99" s="1952"/>
      <c r="H99" s="1952"/>
      <c r="I99" s="1952"/>
      <c r="J99" s="1952"/>
      <c r="K99" s="1952"/>
      <c r="L99" s="1952"/>
      <c r="M99" s="1952"/>
      <c r="N99" s="1952"/>
      <c r="O99" s="1952"/>
      <c r="P99" s="1952"/>
      <c r="Q99" s="1952"/>
      <c r="R99" s="1952"/>
      <c r="S99" s="1952"/>
      <c r="T99" s="1952"/>
      <c r="U99" s="1952"/>
      <c r="V99" s="1952"/>
      <c r="W99" s="1952"/>
      <c r="X99" s="1952"/>
      <c r="Y99" s="1952"/>
      <c r="Z99" s="1952"/>
      <c r="AA99" s="1952"/>
      <c r="AB99" s="1952"/>
      <c r="AC99" s="1952"/>
      <c r="AD99" s="1952"/>
      <c r="AE99" s="1952"/>
      <c r="AF99" s="1952"/>
      <c r="AG99" s="4028">
        <f>+'МК Щедро. Флекситанки'!AG11</f>
        <v>0</v>
      </c>
      <c r="AH99" s="4066">
        <f>+'МК Щедро. Флекситанки'!AH11</f>
        <v>0</v>
      </c>
      <c r="AI99" s="4067">
        <f>+'МК Щедро. Флекситанки'!AI11</f>
        <v>0</v>
      </c>
      <c r="AJ99" s="4068" t="s">
        <v>1936</v>
      </c>
      <c r="AK99" s="1952"/>
      <c r="AL99" s="4028">
        <f>+'МК Щедро. Флекситанки'!AL9</f>
        <v>0</v>
      </c>
      <c r="AM99" s="4066">
        <f>+'МК Щедро. Флекситанки'!AM9</f>
        <v>0</v>
      </c>
      <c r="AN99" s="4067">
        <f>+'МК Щедро. Флекситанки'!AN9</f>
        <v>0</v>
      </c>
      <c r="AO99" s="4068" t="s">
        <v>1936</v>
      </c>
      <c r="AP99" s="1952"/>
      <c r="AQ99" s="1952"/>
      <c r="AR99" s="2110" t="s">
        <v>1936</v>
      </c>
      <c r="AS99" s="1963">
        <f t="shared" ca="1" si="219"/>
        <v>0</v>
      </c>
      <c r="AT99" s="1963" t="s">
        <v>2073</v>
      </c>
      <c r="AU99" s="4206">
        <f t="shared" ca="1" si="236"/>
        <v>45</v>
      </c>
      <c r="AV99" s="1952"/>
      <c r="AW99" s="2110" t="s">
        <v>1936</v>
      </c>
      <c r="AX99" s="4207">
        <f t="shared" ca="1" si="220"/>
        <v>0</v>
      </c>
      <c r="AY99" s="1963" t="str">
        <f t="shared" ca="1" si="237"/>
        <v>AX86</v>
      </c>
      <c r="AZ99" s="4206">
        <f t="shared" ca="1" si="221"/>
        <v>50</v>
      </c>
      <c r="BA99" s="1952"/>
      <c r="BB99" s="2110" t="s">
        <v>1936</v>
      </c>
      <c r="BC99" s="1963">
        <f t="shared" ca="1" si="222"/>
        <v>0</v>
      </c>
      <c r="BD99" s="1963" t="str">
        <f t="shared" ca="1" si="238"/>
        <v>BC89</v>
      </c>
      <c r="BE99" s="4206">
        <f t="shared" ca="1" si="223"/>
        <v>55</v>
      </c>
      <c r="BF99" s="1952"/>
      <c r="BG99" s="2110" t="s">
        <v>1936</v>
      </c>
      <c r="BH99" s="1963">
        <f t="shared" ca="1" si="224"/>
        <v>0</v>
      </c>
      <c r="BI99" s="1963" t="str">
        <f t="shared" ca="1" si="239"/>
        <v>BH89</v>
      </c>
      <c r="BJ99" s="4206">
        <f t="shared" ca="1" si="225"/>
        <v>60</v>
      </c>
      <c r="BK99" s="1952"/>
      <c r="BL99" s="2110" t="s">
        <v>1936</v>
      </c>
      <c r="BM99" s="1963">
        <f t="shared" ca="1" si="226"/>
        <v>0</v>
      </c>
      <c r="BN99" s="1963" t="str">
        <f t="shared" ca="1" si="240"/>
        <v>BM89</v>
      </c>
      <c r="BO99" s="4206">
        <f t="shared" ca="1" si="227"/>
        <v>65</v>
      </c>
      <c r="BP99" s="1952"/>
      <c r="BQ99" s="2110" t="s">
        <v>1936</v>
      </c>
      <c r="BR99" s="1963">
        <f t="shared" ca="1" si="228"/>
        <v>0</v>
      </c>
      <c r="BS99" s="1963" t="str">
        <f t="shared" ca="1" si="241"/>
        <v>BR89</v>
      </c>
      <c r="BT99" s="4206">
        <f t="shared" ca="1" si="229"/>
        <v>70</v>
      </c>
      <c r="BU99" s="1952"/>
      <c r="BV99" s="2110" t="s">
        <v>1936</v>
      </c>
      <c r="BW99" s="1963">
        <f t="shared" ca="1" si="230"/>
        <v>0</v>
      </c>
      <c r="BX99" s="1963" t="str">
        <f t="shared" ca="1" si="242"/>
        <v>BW89</v>
      </c>
      <c r="BY99" s="4206">
        <f t="shared" ca="1" si="231"/>
        <v>75</v>
      </c>
      <c r="BZ99" s="1952"/>
      <c r="CA99" s="2110" t="s">
        <v>1936</v>
      </c>
      <c r="CB99" s="1963">
        <f t="shared" ca="1" si="232"/>
        <v>0</v>
      </c>
      <c r="CC99" s="1963" t="str">
        <f t="shared" ca="1" si="243"/>
        <v>CB89</v>
      </c>
      <c r="CD99" s="4206">
        <f t="shared" ca="1" si="233"/>
        <v>80</v>
      </c>
      <c r="CE99" s="1952"/>
      <c r="CF99" s="2110" t="s">
        <v>1936</v>
      </c>
      <c r="CG99" s="1963">
        <f t="shared" ca="1" si="234"/>
        <v>0</v>
      </c>
      <c r="CH99" s="1963" t="str">
        <f t="shared" ca="1" si="244"/>
        <v>CG89</v>
      </c>
      <c r="CI99" s="4206">
        <f t="shared" ca="1" si="235"/>
        <v>85</v>
      </c>
      <c r="CJ99" s="1952"/>
      <c r="CK99" s="1952"/>
      <c r="CL99" s="1952"/>
      <c r="CM99" s="1952"/>
      <c r="CN99" s="1952"/>
    </row>
    <row r="100" spans="1:92" ht="13.2" hidden="1" customHeight="1" outlineLevel="1">
      <c r="AG100" s="4028">
        <f>+'МК ЛифтМаркет'!AG11</f>
        <v>0</v>
      </c>
      <c r="AH100" s="4066">
        <f>+'МК ЛифтМаркет'!AH11</f>
        <v>0</v>
      </c>
      <c r="AI100" s="4067">
        <f>+'МК ЛифтМаркет'!AI11</f>
        <v>0</v>
      </c>
      <c r="AJ100" s="4068" t="s">
        <v>1937</v>
      </c>
      <c r="AL100" s="4028">
        <f>+'МК ЛифтМаркет'!AL9</f>
        <v>0</v>
      </c>
      <c r="AM100" s="4066">
        <f>+'МК ЛифтМаркет'!AM9</f>
        <v>0</v>
      </c>
      <c r="AN100" s="4067">
        <f>+'МК ЛифтМаркет'!AN9</f>
        <v>0</v>
      </c>
      <c r="AO100" s="4068" t="s">
        <v>1937</v>
      </c>
      <c r="AR100" s="2110" t="s">
        <v>1937</v>
      </c>
      <c r="AS100" s="1963">
        <f t="shared" ca="1" si="219"/>
        <v>0</v>
      </c>
      <c r="AT100" s="1963" t="s">
        <v>2073</v>
      </c>
      <c r="AU100" s="4206">
        <f t="shared" ca="1" si="236"/>
        <v>45</v>
      </c>
      <c r="AW100" s="2110" t="s">
        <v>1937</v>
      </c>
      <c r="AX100" s="4207">
        <f t="shared" ca="1" si="220"/>
        <v>0</v>
      </c>
      <c r="AY100" s="1963" t="str">
        <f t="shared" ca="1" si="237"/>
        <v>AX86</v>
      </c>
      <c r="AZ100" s="4206">
        <f t="shared" ca="1" si="221"/>
        <v>50</v>
      </c>
      <c r="BB100" s="2110" t="s">
        <v>1937</v>
      </c>
      <c r="BC100" s="1963">
        <f t="shared" ca="1" si="222"/>
        <v>0</v>
      </c>
      <c r="BD100" s="1963" t="str">
        <f t="shared" ca="1" si="238"/>
        <v>BC89</v>
      </c>
      <c r="BE100" s="4206">
        <f t="shared" ca="1" si="223"/>
        <v>55</v>
      </c>
      <c r="BG100" s="2110" t="s">
        <v>1937</v>
      </c>
      <c r="BH100" s="1963">
        <f t="shared" ca="1" si="224"/>
        <v>0</v>
      </c>
      <c r="BI100" s="1963" t="str">
        <f t="shared" ca="1" si="239"/>
        <v>BH89</v>
      </c>
      <c r="BJ100" s="4206">
        <f t="shared" ca="1" si="225"/>
        <v>60</v>
      </c>
      <c r="BL100" s="2110" t="s">
        <v>1937</v>
      </c>
      <c r="BM100" s="1963">
        <f t="shared" ca="1" si="226"/>
        <v>0</v>
      </c>
      <c r="BN100" s="1963" t="str">
        <f t="shared" ca="1" si="240"/>
        <v>BM89</v>
      </c>
      <c r="BO100" s="4206">
        <f t="shared" ca="1" si="227"/>
        <v>65</v>
      </c>
      <c r="BQ100" s="2110" t="s">
        <v>1937</v>
      </c>
      <c r="BR100" s="1963">
        <f t="shared" ca="1" si="228"/>
        <v>0</v>
      </c>
      <c r="BS100" s="1963" t="str">
        <f t="shared" ca="1" si="241"/>
        <v>BR89</v>
      </c>
      <c r="BT100" s="4206">
        <f t="shared" ca="1" si="229"/>
        <v>70</v>
      </c>
      <c r="BV100" s="2110" t="s">
        <v>1937</v>
      </c>
      <c r="BW100" s="1963">
        <f t="shared" ca="1" si="230"/>
        <v>0</v>
      </c>
      <c r="BX100" s="1963" t="str">
        <f t="shared" ca="1" si="242"/>
        <v>BW89</v>
      </c>
      <c r="BY100" s="4206">
        <f t="shared" ca="1" si="231"/>
        <v>75</v>
      </c>
      <c r="CA100" s="2110" t="s">
        <v>1937</v>
      </c>
      <c r="CB100" s="1963">
        <f t="shared" ca="1" si="232"/>
        <v>0</v>
      </c>
      <c r="CC100" s="1963" t="str">
        <f t="shared" ca="1" si="243"/>
        <v>CB89</v>
      </c>
      <c r="CD100" s="4206">
        <f t="shared" ca="1" si="233"/>
        <v>80</v>
      </c>
      <c r="CF100" s="2110" t="s">
        <v>1937</v>
      </c>
      <c r="CG100" s="1963">
        <f t="shared" ca="1" si="234"/>
        <v>0</v>
      </c>
      <c r="CH100" s="1963" t="str">
        <f t="shared" ca="1" si="244"/>
        <v>CG89</v>
      </c>
      <c r="CI100" s="4206">
        <f t="shared" ca="1" si="235"/>
        <v>85</v>
      </c>
    </row>
    <row r="101" spans="1:92" ht="13.2" hidden="1" customHeight="1" outlineLevel="1">
      <c r="AG101" s="4028">
        <f>+'МК Укркотлопром'!AG11</f>
        <v>0</v>
      </c>
      <c r="AH101" s="4066">
        <f>+'МК Укркотлопром'!AH11</f>
        <v>0</v>
      </c>
      <c r="AI101" s="4067">
        <f>+'МК Укркотлопром'!AI11</f>
        <v>0</v>
      </c>
      <c r="AJ101" s="4068" t="s">
        <v>1938</v>
      </c>
      <c r="AL101" s="4028">
        <f>+'МК Укркотлопром'!AL9</f>
        <v>0</v>
      </c>
      <c r="AM101" s="4066">
        <f>+'МК Укркотлопром'!AM9</f>
        <v>0</v>
      </c>
      <c r="AN101" s="4067">
        <f>+'МК Укркотлопром'!AN9</f>
        <v>0</v>
      </c>
      <c r="AO101" s="4068" t="s">
        <v>1938</v>
      </c>
      <c r="AR101" s="2110" t="s">
        <v>1938</v>
      </c>
      <c r="AS101" s="1963">
        <f t="shared" ca="1" si="219"/>
        <v>0</v>
      </c>
      <c r="AT101" s="1963" t="s">
        <v>2073</v>
      </c>
      <c r="AU101" s="4206">
        <f t="shared" ca="1" si="236"/>
        <v>45</v>
      </c>
      <c r="AW101" s="2110" t="s">
        <v>1938</v>
      </c>
      <c r="AX101" s="4207">
        <f t="shared" ca="1" si="220"/>
        <v>0</v>
      </c>
      <c r="AY101" s="1963" t="str">
        <f t="shared" ca="1" si="237"/>
        <v>AX86</v>
      </c>
      <c r="AZ101" s="4206">
        <f t="shared" ca="1" si="221"/>
        <v>50</v>
      </c>
      <c r="BB101" s="2110" t="s">
        <v>1938</v>
      </c>
      <c r="BC101" s="1963">
        <f t="shared" ca="1" si="222"/>
        <v>0</v>
      </c>
      <c r="BD101" s="1963" t="str">
        <f t="shared" ca="1" si="238"/>
        <v>BC89</v>
      </c>
      <c r="BE101" s="4206">
        <f t="shared" ca="1" si="223"/>
        <v>55</v>
      </c>
      <c r="BG101" s="2110" t="s">
        <v>1938</v>
      </c>
      <c r="BH101" s="1963">
        <f t="shared" ca="1" si="224"/>
        <v>0</v>
      </c>
      <c r="BI101" s="1963" t="str">
        <f t="shared" ca="1" si="239"/>
        <v>BH89</v>
      </c>
      <c r="BJ101" s="4206">
        <f t="shared" ca="1" si="225"/>
        <v>60</v>
      </c>
      <c r="BL101" s="2110" t="s">
        <v>1938</v>
      </c>
      <c r="BM101" s="1963">
        <f t="shared" ca="1" si="226"/>
        <v>0</v>
      </c>
      <c r="BN101" s="1963" t="str">
        <f t="shared" ca="1" si="240"/>
        <v>BM89</v>
      </c>
      <c r="BO101" s="4206">
        <f t="shared" ca="1" si="227"/>
        <v>65</v>
      </c>
      <c r="BQ101" s="2110" t="s">
        <v>1938</v>
      </c>
      <c r="BR101" s="1963">
        <f t="shared" ca="1" si="228"/>
        <v>0</v>
      </c>
      <c r="BS101" s="1963" t="str">
        <f t="shared" ca="1" si="241"/>
        <v>BR89</v>
      </c>
      <c r="BT101" s="4206">
        <f t="shared" ca="1" si="229"/>
        <v>70</v>
      </c>
      <c r="BV101" s="2110" t="s">
        <v>1938</v>
      </c>
      <c r="BW101" s="1963">
        <f t="shared" ca="1" si="230"/>
        <v>0</v>
      </c>
      <c r="BX101" s="1963" t="str">
        <f t="shared" ca="1" si="242"/>
        <v>BW89</v>
      </c>
      <c r="BY101" s="4206">
        <f t="shared" ca="1" si="231"/>
        <v>75</v>
      </c>
      <c r="CA101" s="2110" t="s">
        <v>1938</v>
      </c>
      <c r="CB101" s="1963">
        <f t="shared" ca="1" si="232"/>
        <v>0</v>
      </c>
      <c r="CC101" s="1963" t="str">
        <f t="shared" ca="1" si="243"/>
        <v>CB89</v>
      </c>
      <c r="CD101" s="4206">
        <f t="shared" ca="1" si="233"/>
        <v>80</v>
      </c>
      <c r="CF101" s="2110" t="s">
        <v>1938</v>
      </c>
      <c r="CG101" s="1963">
        <f t="shared" ca="1" si="234"/>
        <v>0</v>
      </c>
      <c r="CH101" s="1963" t="str">
        <f t="shared" ca="1" si="244"/>
        <v>CG89</v>
      </c>
      <c r="CI101" s="4206">
        <f t="shared" ca="1" si="235"/>
        <v>85</v>
      </c>
    </row>
    <row r="102" spans="1:92" ht="13.2" hidden="1" customHeight="1" outlineLevel="1">
      <c r="AG102" s="4028">
        <f>+'МК Подгорцы.Забор'!AG11</f>
        <v>6573.77</v>
      </c>
      <c r="AH102" s="4066">
        <f>+'МК Подгорцы.Забор'!AH11</f>
        <v>0</v>
      </c>
      <c r="AI102" s="4067">
        <f>+'МК Подгорцы.Забор'!AI11</f>
        <v>6573.77</v>
      </c>
      <c r="AJ102" s="4068" t="s">
        <v>1939</v>
      </c>
      <c r="AL102" s="4028">
        <f>+'МК Подгорцы.Забор'!AL9</f>
        <v>28005.82</v>
      </c>
      <c r="AM102" s="4066">
        <f>+'МК Подгорцы.Забор'!AM9</f>
        <v>56238.26</v>
      </c>
      <c r="AN102" s="4067">
        <f>+'МК Подгорцы.Забор'!AN9</f>
        <v>84244.08</v>
      </c>
      <c r="AO102" s="4068" t="s">
        <v>1939</v>
      </c>
      <c r="AP102" s="3114">
        <f>AO114+AO119</f>
        <v>99426.26</v>
      </c>
      <c r="AR102" s="2110" t="s">
        <v>1939</v>
      </c>
      <c r="AS102" s="1963">
        <f t="shared" ca="1" si="219"/>
        <v>409166.12052960863</v>
      </c>
      <c r="AT102" s="1963" t="s">
        <v>2073</v>
      </c>
      <c r="AU102" s="4206">
        <f t="shared" ca="1" si="236"/>
        <v>45</v>
      </c>
      <c r="AW102" s="2110" t="s">
        <v>1939</v>
      </c>
      <c r="AX102" s="4207">
        <f t="shared" ca="1" si="220"/>
        <v>30646.753390958471</v>
      </c>
      <c r="AY102" s="1963" t="str">
        <f t="shared" ca="1" si="237"/>
        <v>AX86</v>
      </c>
      <c r="AZ102" s="4206">
        <f t="shared" ca="1" si="221"/>
        <v>50</v>
      </c>
      <c r="BB102" s="2110" t="s">
        <v>1939</v>
      </c>
      <c r="BC102" s="1963">
        <f t="shared" ca="1" si="222"/>
        <v>0</v>
      </c>
      <c r="BD102" s="1963" t="str">
        <f t="shared" ca="1" si="238"/>
        <v>BC89</v>
      </c>
      <c r="BE102" s="4206">
        <f t="shared" ca="1" si="223"/>
        <v>55</v>
      </c>
      <c r="BG102" s="2110" t="s">
        <v>1939</v>
      </c>
      <c r="BH102" s="1963">
        <f t="shared" ca="1" si="224"/>
        <v>0</v>
      </c>
      <c r="BI102" s="1963" t="str">
        <f t="shared" ca="1" si="239"/>
        <v>BH89</v>
      </c>
      <c r="BJ102" s="4206">
        <f t="shared" ca="1" si="225"/>
        <v>60</v>
      </c>
      <c r="BL102" s="2110" t="s">
        <v>1939</v>
      </c>
      <c r="BM102" s="1963">
        <f t="shared" ca="1" si="226"/>
        <v>0</v>
      </c>
      <c r="BN102" s="1963" t="str">
        <f t="shared" ca="1" si="240"/>
        <v>BM89</v>
      </c>
      <c r="BO102" s="4206">
        <f t="shared" ca="1" si="227"/>
        <v>65</v>
      </c>
      <c r="BQ102" s="2110" t="s">
        <v>1939</v>
      </c>
      <c r="BR102" s="1963">
        <f t="shared" ca="1" si="228"/>
        <v>0</v>
      </c>
      <c r="BS102" s="1963" t="str">
        <f t="shared" ca="1" si="241"/>
        <v>BR89</v>
      </c>
      <c r="BT102" s="4206">
        <f t="shared" ca="1" si="229"/>
        <v>70</v>
      </c>
      <c r="BV102" s="2110" t="s">
        <v>1939</v>
      </c>
      <c r="BW102" s="1963">
        <f t="shared" ca="1" si="230"/>
        <v>0</v>
      </c>
      <c r="BX102" s="1963" t="str">
        <f t="shared" ca="1" si="242"/>
        <v>BW89</v>
      </c>
      <c r="BY102" s="4206">
        <f t="shared" ca="1" si="231"/>
        <v>75</v>
      </c>
      <c r="CA102" s="2110" t="s">
        <v>1939</v>
      </c>
      <c r="CB102" s="1963">
        <f t="shared" ca="1" si="232"/>
        <v>0</v>
      </c>
      <c r="CC102" s="1963" t="str">
        <f t="shared" ca="1" si="243"/>
        <v>CB89</v>
      </c>
      <c r="CD102" s="4206">
        <f t="shared" ca="1" si="233"/>
        <v>80</v>
      </c>
      <c r="CF102" s="2110" t="s">
        <v>1939</v>
      </c>
      <c r="CG102" s="1963">
        <f t="shared" ca="1" si="234"/>
        <v>0</v>
      </c>
      <c r="CH102" s="1963" t="str">
        <f t="shared" ca="1" si="244"/>
        <v>CG89</v>
      </c>
      <c r="CI102" s="4206">
        <f t="shared" ca="1" si="235"/>
        <v>85</v>
      </c>
    </row>
    <row r="103" spans="1:92" ht="13.2" hidden="1" customHeight="1" outlineLevel="1">
      <c r="AG103" s="4028">
        <f>+PL_Металлизация!BU11</f>
        <v>0</v>
      </c>
      <c r="AH103" s="4066">
        <f>+PL_Металлизация!BV11</f>
        <v>0</v>
      </c>
      <c r="AI103" s="4067">
        <f>+PL_Металлизация!BW11</f>
        <v>0</v>
      </c>
      <c r="AJ103" s="4068" t="s">
        <v>1940</v>
      </c>
      <c r="AL103" s="4028">
        <f>+PL_Металлизация!BZ9</f>
        <v>2302.81</v>
      </c>
      <c r="AM103" s="4066">
        <f>+PL_Металлизация!CA9</f>
        <v>27300</v>
      </c>
      <c r="AN103" s="4067">
        <f>+PL_Металлизация!CB9</f>
        <v>29602.81</v>
      </c>
      <c r="AO103" s="4068" t="s">
        <v>1940</v>
      </c>
      <c r="AR103" s="2110" t="s">
        <v>1941</v>
      </c>
      <c r="AS103" s="1963">
        <f t="shared" ca="1" si="219"/>
        <v>0</v>
      </c>
      <c r="AT103" s="1963" t="s">
        <v>2073</v>
      </c>
      <c r="AU103" s="4206">
        <f t="shared" ca="1" si="236"/>
        <v>45</v>
      </c>
      <c r="AW103" s="2110" t="s">
        <v>1941</v>
      </c>
      <c r="AX103" s="4207">
        <f t="shared" ca="1" si="220"/>
        <v>0</v>
      </c>
      <c r="AY103" s="1963" t="str">
        <f t="shared" ca="1" si="237"/>
        <v>AX86</v>
      </c>
      <c r="AZ103" s="4206">
        <f t="shared" ca="1" si="221"/>
        <v>50</v>
      </c>
      <c r="BB103" s="2110" t="s">
        <v>1941</v>
      </c>
      <c r="BC103" s="1963">
        <f t="shared" ca="1" si="222"/>
        <v>0</v>
      </c>
      <c r="BD103" s="1963" t="str">
        <f t="shared" ca="1" si="238"/>
        <v>BC89</v>
      </c>
      <c r="BE103" s="4206">
        <f t="shared" ca="1" si="223"/>
        <v>55</v>
      </c>
      <c r="BG103" s="2110" t="s">
        <v>1941</v>
      </c>
      <c r="BH103" s="1963">
        <f t="shared" ca="1" si="224"/>
        <v>0</v>
      </c>
      <c r="BI103" s="1963" t="str">
        <f t="shared" ca="1" si="239"/>
        <v>BH89</v>
      </c>
      <c r="BJ103" s="4206">
        <f t="shared" ca="1" si="225"/>
        <v>60</v>
      </c>
      <c r="BL103" s="2110" t="s">
        <v>1941</v>
      </c>
      <c r="BM103" s="1963">
        <f t="shared" ca="1" si="226"/>
        <v>0</v>
      </c>
      <c r="BN103" s="1963" t="str">
        <f t="shared" ca="1" si="240"/>
        <v>BM89</v>
      </c>
      <c r="BO103" s="4206">
        <f t="shared" ca="1" si="227"/>
        <v>65</v>
      </c>
      <c r="BQ103" s="2110" t="s">
        <v>1941</v>
      </c>
      <c r="BR103" s="1963">
        <f t="shared" ca="1" si="228"/>
        <v>0</v>
      </c>
      <c r="BS103" s="1963" t="str">
        <f t="shared" ca="1" si="241"/>
        <v>BR89</v>
      </c>
      <c r="BT103" s="4206">
        <f t="shared" ca="1" si="229"/>
        <v>70</v>
      </c>
      <c r="BV103" s="2110" t="s">
        <v>1941</v>
      </c>
      <c r="BW103" s="1963">
        <f t="shared" ca="1" si="230"/>
        <v>0</v>
      </c>
      <c r="BX103" s="1963" t="str">
        <f t="shared" ca="1" si="242"/>
        <v>BW89</v>
      </c>
      <c r="BY103" s="4206">
        <f t="shared" ca="1" si="231"/>
        <v>75</v>
      </c>
      <c r="CA103" s="2110" t="s">
        <v>1941</v>
      </c>
      <c r="CB103" s="1963">
        <f t="shared" ca="1" si="232"/>
        <v>0</v>
      </c>
      <c r="CC103" s="1963" t="str">
        <f t="shared" ca="1" si="243"/>
        <v>CB89</v>
      </c>
      <c r="CD103" s="4206">
        <f t="shared" ca="1" si="233"/>
        <v>80</v>
      </c>
      <c r="CF103" s="2110" t="s">
        <v>1941</v>
      </c>
      <c r="CG103" s="1963">
        <f t="shared" ca="1" si="234"/>
        <v>0</v>
      </c>
      <c r="CH103" s="1963" t="str">
        <f t="shared" ca="1" si="244"/>
        <v>CG89</v>
      </c>
      <c r="CI103" s="4206">
        <f t="shared" ca="1" si="235"/>
        <v>85</v>
      </c>
    </row>
    <row r="104" spans="1:92" ht="13.2" hidden="1" customHeight="1" outlineLevel="1">
      <c r="AG104" s="4028">
        <f>+PL_ЦО_Производство!AG11</f>
        <v>7122.62</v>
      </c>
      <c r="AH104" s="4066">
        <f>+PL_ЦО_Производство!AH11</f>
        <v>0</v>
      </c>
      <c r="AI104" s="4067">
        <f>+PL_ЦО_Производство!AI11</f>
        <v>7122.62</v>
      </c>
      <c r="AJ104" s="4068" t="s">
        <v>2008</v>
      </c>
      <c r="AL104" s="4028">
        <f>+PL_ЦО_Производство!AL9</f>
        <v>8712.6000000000095</v>
      </c>
      <c r="AM104" s="4066">
        <f>+PL_ЦО_Производство!AM9</f>
        <v>26551.95</v>
      </c>
      <c r="AN104" s="4067">
        <f>+PL_ЦО_Производство!AN9</f>
        <v>35264.55000000001</v>
      </c>
      <c r="AO104" s="4068" t="s">
        <v>2008</v>
      </c>
      <c r="AR104" s="2110" t="s">
        <v>1942</v>
      </c>
      <c r="AS104" s="1963">
        <f t="shared" ca="1" si="219"/>
        <v>0</v>
      </c>
      <c r="AT104" s="1963" t="s">
        <v>2073</v>
      </c>
      <c r="AU104" s="4206">
        <f t="shared" ca="1" si="236"/>
        <v>45</v>
      </c>
      <c r="AW104" s="2110" t="s">
        <v>1942</v>
      </c>
      <c r="AX104" s="4207">
        <f t="shared" ca="1" si="220"/>
        <v>0</v>
      </c>
      <c r="AY104" s="1963" t="str">
        <f t="shared" ca="1" si="237"/>
        <v>AX86</v>
      </c>
      <c r="AZ104" s="4206">
        <f t="shared" ca="1" si="221"/>
        <v>50</v>
      </c>
      <c r="BB104" s="2110" t="s">
        <v>1942</v>
      </c>
      <c r="BC104" s="1963">
        <f t="shared" ca="1" si="222"/>
        <v>0</v>
      </c>
      <c r="BD104" s="1963" t="str">
        <f t="shared" ca="1" si="238"/>
        <v>BC89</v>
      </c>
      <c r="BE104" s="4206">
        <f t="shared" ca="1" si="223"/>
        <v>55</v>
      </c>
      <c r="BG104" s="2110" t="s">
        <v>1942</v>
      </c>
      <c r="BH104" s="1963">
        <f t="shared" ca="1" si="224"/>
        <v>0</v>
      </c>
      <c r="BI104" s="1963" t="str">
        <f t="shared" ca="1" si="239"/>
        <v>BH89</v>
      </c>
      <c r="BJ104" s="4206">
        <f t="shared" ca="1" si="225"/>
        <v>60</v>
      </c>
      <c r="BL104" s="2110" t="s">
        <v>1942</v>
      </c>
      <c r="BM104" s="1963">
        <f t="shared" ca="1" si="226"/>
        <v>0</v>
      </c>
      <c r="BN104" s="1963" t="str">
        <f t="shared" ca="1" si="240"/>
        <v>BM89</v>
      </c>
      <c r="BO104" s="4206">
        <f t="shared" ca="1" si="227"/>
        <v>65</v>
      </c>
      <c r="BQ104" s="2110" t="s">
        <v>1942</v>
      </c>
      <c r="BR104" s="1963">
        <f t="shared" ca="1" si="228"/>
        <v>0</v>
      </c>
      <c r="BS104" s="1963" t="str">
        <f t="shared" ca="1" si="241"/>
        <v>BR89</v>
      </c>
      <c r="BT104" s="4206">
        <f t="shared" ca="1" si="229"/>
        <v>70</v>
      </c>
      <c r="BV104" s="2110" t="s">
        <v>1942</v>
      </c>
      <c r="BW104" s="1963">
        <f t="shared" ca="1" si="230"/>
        <v>0</v>
      </c>
      <c r="BX104" s="1963" t="str">
        <f t="shared" ca="1" si="242"/>
        <v>BW89</v>
      </c>
      <c r="BY104" s="4206">
        <f t="shared" ca="1" si="231"/>
        <v>75</v>
      </c>
      <c r="CA104" s="2110" t="s">
        <v>1942</v>
      </c>
      <c r="CB104" s="1963">
        <f t="shared" ca="1" si="232"/>
        <v>0</v>
      </c>
      <c r="CC104" s="1963" t="str">
        <f t="shared" ca="1" si="243"/>
        <v>CB89</v>
      </c>
      <c r="CD104" s="4206">
        <f t="shared" ca="1" si="233"/>
        <v>80</v>
      </c>
      <c r="CF104" s="2110" t="s">
        <v>1942</v>
      </c>
      <c r="CG104" s="1963">
        <f t="shared" ca="1" si="234"/>
        <v>0</v>
      </c>
      <c r="CH104" s="1963" t="str">
        <f t="shared" ca="1" si="244"/>
        <v>CG89</v>
      </c>
      <c r="CI104" s="4206">
        <f t="shared" ca="1" si="235"/>
        <v>85</v>
      </c>
    </row>
    <row r="105" spans="1:92" ht="13.2" hidden="1" customHeight="1" outlineLevel="1">
      <c r="AG105" s="4028">
        <f>+'МД Бытовка ИТР Нежин'!AG11</f>
        <v>1501.15</v>
      </c>
      <c r="AH105" s="4066">
        <f>+'МД Бытовка ИТР Нежин'!AH11</f>
        <v>0</v>
      </c>
      <c r="AI105" s="4067">
        <f>+'МД Бытовка ИТР Нежин'!AI11</f>
        <v>1501.15</v>
      </c>
      <c r="AJ105" s="4068" t="s">
        <v>1941</v>
      </c>
      <c r="AL105" s="4028">
        <f>+'МД Бытовка ИТР Нежин'!AL9</f>
        <v>1610</v>
      </c>
      <c r="AM105" s="4066">
        <f>+'МД Бытовка ИТР Нежин'!AM9</f>
        <v>3020</v>
      </c>
      <c r="AN105" s="4067">
        <f>+'МД Бытовка ИТР Нежин'!AN9</f>
        <v>4630</v>
      </c>
      <c r="AO105" s="4068" t="s">
        <v>1941</v>
      </c>
      <c r="AP105" s="3114">
        <f>AO115</f>
        <v>3229</v>
      </c>
      <c r="AR105" s="2110" t="s">
        <v>2009</v>
      </c>
      <c r="AS105" s="1963">
        <f t="shared" ca="1" si="219"/>
        <v>574898.56287763733</v>
      </c>
      <c r="AT105" s="1963" t="s">
        <v>2073</v>
      </c>
      <c r="AU105" s="4206">
        <f t="shared" ca="1" si="236"/>
        <v>45</v>
      </c>
      <c r="AW105" s="2110" t="s">
        <v>2009</v>
      </c>
      <c r="AX105" s="4207">
        <f t="shared" ca="1" si="220"/>
        <v>1085402.9545161782</v>
      </c>
      <c r="AY105" s="1963" t="str">
        <f t="shared" ca="1" si="237"/>
        <v>AX86</v>
      </c>
      <c r="AZ105" s="4206">
        <f t="shared" ca="1" si="221"/>
        <v>50</v>
      </c>
      <c r="BB105" s="2110" t="s">
        <v>2009</v>
      </c>
      <c r="BC105" s="1963">
        <f t="shared" ca="1" si="222"/>
        <v>6221.13</v>
      </c>
      <c r="BD105" s="1963" t="str">
        <f t="shared" ca="1" si="238"/>
        <v>BC89</v>
      </c>
      <c r="BE105" s="4206">
        <f t="shared" ca="1" si="223"/>
        <v>55</v>
      </c>
      <c r="BG105" s="2110" t="s">
        <v>2009</v>
      </c>
      <c r="BH105" s="1963">
        <f t="shared" ca="1" si="224"/>
        <v>0</v>
      </c>
      <c r="BI105" s="1963" t="str">
        <f t="shared" ca="1" si="239"/>
        <v>BH89</v>
      </c>
      <c r="BJ105" s="4206">
        <f t="shared" ca="1" si="225"/>
        <v>60</v>
      </c>
      <c r="BL105" s="2110" t="s">
        <v>2009</v>
      </c>
      <c r="BM105" s="1963">
        <f t="shared" ca="1" si="226"/>
        <v>0</v>
      </c>
      <c r="BN105" s="1963" t="str">
        <f t="shared" ca="1" si="240"/>
        <v>BM89</v>
      </c>
      <c r="BO105" s="4206">
        <f t="shared" ca="1" si="227"/>
        <v>65</v>
      </c>
      <c r="BQ105" s="2110" t="s">
        <v>2009</v>
      </c>
      <c r="BR105" s="1963">
        <f t="shared" ca="1" si="228"/>
        <v>0</v>
      </c>
      <c r="BS105" s="1963" t="str">
        <f t="shared" ca="1" si="241"/>
        <v>BR89</v>
      </c>
      <c r="BT105" s="4206">
        <f t="shared" ca="1" si="229"/>
        <v>70</v>
      </c>
      <c r="BV105" s="2110" t="s">
        <v>2009</v>
      </c>
      <c r="BW105" s="1963">
        <f t="shared" ca="1" si="230"/>
        <v>0</v>
      </c>
      <c r="BX105" s="1963" t="str">
        <f t="shared" ca="1" si="242"/>
        <v>BW89</v>
      </c>
      <c r="BY105" s="4206">
        <f t="shared" ca="1" si="231"/>
        <v>75</v>
      </c>
      <c r="CA105" s="2110" t="s">
        <v>2009</v>
      </c>
      <c r="CB105" s="1963">
        <f t="shared" ca="1" si="232"/>
        <v>0</v>
      </c>
      <c r="CC105" s="1963" t="str">
        <f t="shared" ca="1" si="243"/>
        <v>CB89</v>
      </c>
      <c r="CD105" s="4206">
        <f t="shared" ca="1" si="233"/>
        <v>80</v>
      </c>
      <c r="CF105" s="2110" t="s">
        <v>2009</v>
      </c>
      <c r="CG105" s="1963">
        <f t="shared" ca="1" si="234"/>
        <v>0</v>
      </c>
      <c r="CH105" s="1963" t="str">
        <f t="shared" ca="1" si="244"/>
        <v>CG89</v>
      </c>
      <c r="CI105" s="4206">
        <f t="shared" ca="1" si="235"/>
        <v>85</v>
      </c>
    </row>
    <row r="106" spans="1:92" ht="13.2" hidden="1" customHeight="1" outlineLevel="1">
      <c r="AG106" s="4028">
        <f>+'МК Металургбуд.поддоны'!AG11</f>
        <v>9104.7999999999993</v>
      </c>
      <c r="AH106" s="4066">
        <f>+'МК Металургбуд.поддоны'!AH11</f>
        <v>0</v>
      </c>
      <c r="AI106" s="4067">
        <f>+'МК Металургбуд.поддоны'!AI11</f>
        <v>9104.7999999999993</v>
      </c>
      <c r="AJ106" s="4068" t="s">
        <v>1942</v>
      </c>
      <c r="AL106" s="4028">
        <f>+'МК Металургбуд.поддоны'!AL9</f>
        <v>42658</v>
      </c>
      <c r="AM106" s="4066">
        <f>+'МК Металургбуд.поддоны'!AM9</f>
        <v>80022</v>
      </c>
      <c r="AN106" s="4067">
        <f>+'МК Металургбуд.поддоны'!AN9</f>
        <v>122680</v>
      </c>
      <c r="AO106" s="4068" t="s">
        <v>1942</v>
      </c>
      <c r="AP106" s="3114">
        <f>AO112</f>
        <v>80022</v>
      </c>
      <c r="AR106" s="2110" t="s">
        <v>2074</v>
      </c>
      <c r="AS106" s="1963">
        <f t="shared" ca="1" si="219"/>
        <v>0</v>
      </c>
      <c r="AT106" s="1963" t="s">
        <v>2073</v>
      </c>
      <c r="AU106" s="4206">
        <f t="shared" ca="1" si="236"/>
        <v>45</v>
      </c>
      <c r="AW106" s="2110" t="s">
        <v>2074</v>
      </c>
      <c r="AX106" s="4207">
        <f t="shared" ca="1" si="220"/>
        <v>-52786.438444886408</v>
      </c>
      <c r="AY106" s="1963" t="str">
        <f t="shared" ca="1" si="237"/>
        <v>AX86</v>
      </c>
      <c r="AZ106" s="4206">
        <f t="shared" ca="1" si="221"/>
        <v>50</v>
      </c>
      <c r="BB106" s="2110" t="s">
        <v>2074</v>
      </c>
      <c r="BC106" s="1963">
        <f t="shared" ca="1" si="222"/>
        <v>64067.617135087596</v>
      </c>
      <c r="BD106" s="1963" t="str">
        <f t="shared" ca="1" si="238"/>
        <v>BC89</v>
      </c>
      <c r="BE106" s="4206">
        <f t="shared" ca="1" si="223"/>
        <v>55</v>
      </c>
      <c r="BG106" s="2110" t="s">
        <v>2074</v>
      </c>
      <c r="BH106" s="1963">
        <f t="shared" ca="1" si="224"/>
        <v>0</v>
      </c>
      <c r="BI106" s="1963" t="str">
        <f t="shared" ca="1" si="239"/>
        <v>BH89</v>
      </c>
      <c r="BJ106" s="4206">
        <f t="shared" ca="1" si="225"/>
        <v>60</v>
      </c>
      <c r="BL106" s="2110" t="s">
        <v>2074</v>
      </c>
      <c r="BM106" s="1963">
        <f t="shared" ca="1" si="226"/>
        <v>0</v>
      </c>
      <c r="BN106" s="1963" t="str">
        <f t="shared" ca="1" si="240"/>
        <v>BM89</v>
      </c>
      <c r="BO106" s="4206">
        <f t="shared" ca="1" si="227"/>
        <v>65</v>
      </c>
      <c r="BQ106" s="2110" t="s">
        <v>2074</v>
      </c>
      <c r="BR106" s="1963">
        <f t="shared" ca="1" si="228"/>
        <v>0</v>
      </c>
      <c r="BS106" s="1963" t="str">
        <f t="shared" ca="1" si="241"/>
        <v>BR89</v>
      </c>
      <c r="BT106" s="4206">
        <f t="shared" ca="1" si="229"/>
        <v>70</v>
      </c>
      <c r="BV106" s="2110" t="s">
        <v>2074</v>
      </c>
      <c r="BW106" s="1963">
        <f t="shared" ca="1" si="230"/>
        <v>0</v>
      </c>
      <c r="BX106" s="1963" t="str">
        <f t="shared" ca="1" si="242"/>
        <v>BW89</v>
      </c>
      <c r="BY106" s="4206">
        <f t="shared" ca="1" si="231"/>
        <v>75</v>
      </c>
      <c r="CA106" s="2110" t="s">
        <v>2074</v>
      </c>
      <c r="CB106" s="1963">
        <f t="shared" ca="1" si="232"/>
        <v>0</v>
      </c>
      <c r="CC106" s="1963" t="str">
        <f t="shared" ca="1" si="243"/>
        <v>CB89</v>
      </c>
      <c r="CD106" s="4206">
        <f t="shared" ca="1" si="233"/>
        <v>80</v>
      </c>
      <c r="CF106" s="2110" t="s">
        <v>2074</v>
      </c>
      <c r="CG106" s="1963">
        <f t="shared" ca="1" si="234"/>
        <v>0</v>
      </c>
      <c r="CH106" s="1963" t="str">
        <f t="shared" ca="1" si="244"/>
        <v>CG89</v>
      </c>
      <c r="CI106" s="4206">
        <f t="shared" ca="1" si="235"/>
        <v>85</v>
      </c>
    </row>
    <row r="107" spans="1:92" ht="13.8" hidden="1" outlineLevel="1" thickBot="1">
      <c r="AG107" s="4069">
        <f>+'МК Нежин-3'!AG11</f>
        <v>0</v>
      </c>
      <c r="AH107" s="4070">
        <f>+'МК Нежин-3'!AH11</f>
        <v>0</v>
      </c>
      <c r="AI107" s="4071">
        <f>+'МК Нежин-3'!AI11</f>
        <v>0</v>
      </c>
      <c r="AJ107" s="4068" t="s">
        <v>2009</v>
      </c>
      <c r="AL107" s="4069">
        <f>+'МК Нежин-3'!AL9</f>
        <v>101836.19</v>
      </c>
      <c r="AM107" s="4070">
        <f>+'МК Нежин-3'!AM9</f>
        <v>217661.81</v>
      </c>
      <c r="AN107" s="4071">
        <f>+'МК Нежин-3'!AN9</f>
        <v>319498</v>
      </c>
      <c r="AO107" s="4068" t="s">
        <v>2009</v>
      </c>
      <c r="AP107" s="3114">
        <f>AO117+AO121</f>
        <v>179600.81</v>
      </c>
      <c r="AR107" s="2110" t="s">
        <v>2075</v>
      </c>
      <c r="AS107" s="1963">
        <f t="shared" ca="1" si="219"/>
        <v>0</v>
      </c>
      <c r="AT107" s="1963" t="s">
        <v>2073</v>
      </c>
      <c r="AU107" s="4206">
        <f t="shared" ca="1" si="236"/>
        <v>45</v>
      </c>
      <c r="AW107" s="2110" t="s">
        <v>2075</v>
      </c>
      <c r="AX107" s="4207">
        <f t="shared" ca="1" si="220"/>
        <v>-8977.6024477931624</v>
      </c>
      <c r="AY107" s="1963" t="str">
        <f t="shared" ca="1" si="237"/>
        <v>AX86</v>
      </c>
      <c r="AZ107" s="4206">
        <f t="shared" ca="1" si="221"/>
        <v>50</v>
      </c>
      <c r="BB107" s="2110" t="s">
        <v>2075</v>
      </c>
      <c r="BC107" s="1963">
        <f t="shared" ca="1" si="222"/>
        <v>0</v>
      </c>
      <c r="BD107" s="1963" t="str">
        <f t="shared" ca="1" si="238"/>
        <v>BC89</v>
      </c>
      <c r="BE107" s="4206">
        <f t="shared" ca="1" si="223"/>
        <v>55</v>
      </c>
      <c r="BG107" s="2110" t="s">
        <v>2075</v>
      </c>
      <c r="BH107" s="1963">
        <f t="shared" ca="1" si="224"/>
        <v>0</v>
      </c>
      <c r="BI107" s="1963" t="str">
        <f t="shared" ca="1" si="239"/>
        <v>BH89</v>
      </c>
      <c r="BJ107" s="4206">
        <f t="shared" ca="1" si="225"/>
        <v>60</v>
      </c>
      <c r="BL107" s="2110" t="s">
        <v>2075</v>
      </c>
      <c r="BM107" s="1963">
        <f t="shared" ca="1" si="226"/>
        <v>0</v>
      </c>
      <c r="BN107" s="1963" t="str">
        <f t="shared" ca="1" si="240"/>
        <v>BM89</v>
      </c>
      <c r="BO107" s="4206">
        <f t="shared" ca="1" si="227"/>
        <v>65</v>
      </c>
      <c r="BQ107" s="2110" t="s">
        <v>2075</v>
      </c>
      <c r="BR107" s="1963">
        <f t="shared" ca="1" si="228"/>
        <v>0</v>
      </c>
      <c r="BS107" s="1963" t="str">
        <f t="shared" ca="1" si="241"/>
        <v>BR89</v>
      </c>
      <c r="BT107" s="4206">
        <f t="shared" ca="1" si="229"/>
        <v>70</v>
      </c>
      <c r="BV107" s="2110" t="s">
        <v>2075</v>
      </c>
      <c r="BW107" s="1963">
        <f t="shared" ca="1" si="230"/>
        <v>0</v>
      </c>
      <c r="BX107" s="1963" t="str">
        <f t="shared" ca="1" si="242"/>
        <v>BW89</v>
      </c>
      <c r="BY107" s="4206">
        <f t="shared" ca="1" si="231"/>
        <v>75</v>
      </c>
      <c r="CA107" s="2110" t="s">
        <v>2075</v>
      </c>
      <c r="CB107" s="1963">
        <f t="shared" ca="1" si="232"/>
        <v>0</v>
      </c>
      <c r="CC107" s="1963" t="str">
        <f t="shared" ca="1" si="243"/>
        <v>CB89</v>
      </c>
      <c r="CD107" s="4206">
        <f t="shared" ca="1" si="233"/>
        <v>80</v>
      </c>
      <c r="CF107" s="2110" t="s">
        <v>2075</v>
      </c>
      <c r="CG107" s="1963">
        <f t="shared" ca="1" si="234"/>
        <v>0</v>
      </c>
      <c r="CH107" s="1963" t="str">
        <f t="shared" ca="1" si="244"/>
        <v>CG89</v>
      </c>
      <c r="CI107" s="4206">
        <f t="shared" ca="1" si="235"/>
        <v>85</v>
      </c>
    </row>
    <row r="108" spans="1:92" ht="13.2" hidden="1" customHeight="1" outlineLevel="1">
      <c r="AG108" s="4827"/>
      <c r="AL108" s="4827"/>
      <c r="AM108" s="1952">
        <f>192280+203470+27300</f>
        <v>423050</v>
      </c>
      <c r="AR108" s="2110" t="s">
        <v>2076</v>
      </c>
      <c r="AS108" s="1963">
        <f t="shared" ca="1" si="219"/>
        <v>0</v>
      </c>
      <c r="AT108" s="1963" t="s">
        <v>2073</v>
      </c>
      <c r="AU108" s="4206">
        <f t="shared" ca="1" si="236"/>
        <v>45</v>
      </c>
      <c r="AW108" s="2110" t="s">
        <v>2076</v>
      </c>
      <c r="AX108" s="4207">
        <f t="shared" ca="1" si="220"/>
        <v>0</v>
      </c>
      <c r="AY108" s="1963" t="str">
        <f t="shared" ca="1" si="237"/>
        <v>AX86</v>
      </c>
      <c r="AZ108" s="4206">
        <f t="shared" ca="1" si="221"/>
        <v>50</v>
      </c>
      <c r="BB108" s="2110" t="s">
        <v>2076</v>
      </c>
      <c r="BC108" s="1963">
        <f t="shared" ca="1" si="222"/>
        <v>544282.43215155113</v>
      </c>
      <c r="BD108" s="1963" t="str">
        <f t="shared" ca="1" si="238"/>
        <v>BC89</v>
      </c>
      <c r="BE108" s="4206">
        <f t="shared" ca="1" si="223"/>
        <v>55</v>
      </c>
      <c r="BG108" s="2110" t="s">
        <v>2076</v>
      </c>
      <c r="BH108" s="1963">
        <f t="shared" ca="1" si="224"/>
        <v>0</v>
      </c>
      <c r="BI108" s="1963" t="str">
        <f t="shared" ca="1" si="239"/>
        <v>BH89</v>
      </c>
      <c r="BJ108" s="4206">
        <f t="shared" ca="1" si="225"/>
        <v>60</v>
      </c>
      <c r="BL108" s="2110" t="s">
        <v>2076</v>
      </c>
      <c r="BM108" s="1963">
        <f t="shared" ca="1" si="226"/>
        <v>0</v>
      </c>
      <c r="BN108" s="1963" t="str">
        <f t="shared" ca="1" si="240"/>
        <v>BM89</v>
      </c>
      <c r="BO108" s="4206">
        <f t="shared" ca="1" si="227"/>
        <v>65</v>
      </c>
      <c r="BQ108" s="2110" t="s">
        <v>2076</v>
      </c>
      <c r="BR108" s="1963">
        <f t="shared" ca="1" si="228"/>
        <v>0</v>
      </c>
      <c r="BS108" s="1963" t="str">
        <f t="shared" ca="1" si="241"/>
        <v>BR89</v>
      </c>
      <c r="BT108" s="4206">
        <f t="shared" ca="1" si="229"/>
        <v>70</v>
      </c>
      <c r="BV108" s="2110" t="s">
        <v>2076</v>
      </c>
      <c r="BW108" s="1963">
        <f t="shared" ca="1" si="230"/>
        <v>0</v>
      </c>
      <c r="BX108" s="1963" t="str">
        <f t="shared" ca="1" si="242"/>
        <v>BW89</v>
      </c>
      <c r="BY108" s="4206">
        <f t="shared" ca="1" si="231"/>
        <v>75</v>
      </c>
      <c r="CA108" s="2110" t="s">
        <v>2076</v>
      </c>
      <c r="CB108" s="1963">
        <f t="shared" ca="1" si="232"/>
        <v>0</v>
      </c>
      <c r="CC108" s="1963" t="str">
        <f t="shared" ca="1" si="243"/>
        <v>CB89</v>
      </c>
      <c r="CD108" s="4206">
        <f t="shared" ca="1" si="233"/>
        <v>80</v>
      </c>
      <c r="CF108" s="2110" t="s">
        <v>2076</v>
      </c>
      <c r="CG108" s="1963">
        <f t="shared" ca="1" si="234"/>
        <v>0</v>
      </c>
      <c r="CH108" s="1963" t="str">
        <f t="shared" ca="1" si="244"/>
        <v>CG89</v>
      </c>
      <c r="CI108" s="4206">
        <f t="shared" ca="1" si="235"/>
        <v>85</v>
      </c>
    </row>
    <row r="109" spans="1:92" ht="13.2" hidden="1" customHeight="1" outlineLevel="1">
      <c r="AG109" s="1952">
        <f>AG108-AG94</f>
        <v>-30375.98</v>
      </c>
      <c r="AL109" s="1952">
        <f>AL108-AL94</f>
        <v>-191501.09000000003</v>
      </c>
      <c r="AM109" s="1952">
        <f>AM108-AM94</f>
        <v>0</v>
      </c>
      <c r="AR109" s="2110" t="s">
        <v>2077</v>
      </c>
      <c r="AS109" s="1963">
        <f t="shared" ca="1" si="219"/>
        <v>0</v>
      </c>
      <c r="AT109" s="1963" t="s">
        <v>2073</v>
      </c>
      <c r="AU109" s="4206">
        <f t="shared" ca="1" si="236"/>
        <v>45</v>
      </c>
      <c r="AW109" s="2110" t="s">
        <v>2077</v>
      </c>
      <c r="AX109" s="4207">
        <f t="shared" ca="1" si="220"/>
        <v>-4860.2410609653489</v>
      </c>
      <c r="AY109" s="1963" t="str">
        <f t="shared" ca="1" si="237"/>
        <v>AX86</v>
      </c>
      <c r="AZ109" s="4206">
        <f t="shared" ca="1" si="221"/>
        <v>50</v>
      </c>
      <c r="BB109" s="2110" t="s">
        <v>2077</v>
      </c>
      <c r="BC109" s="1963">
        <f t="shared" ca="1" si="222"/>
        <v>13249.021361202478</v>
      </c>
      <c r="BD109" s="1963" t="str">
        <f t="shared" ca="1" si="238"/>
        <v>BC89</v>
      </c>
      <c r="BE109" s="4206">
        <f t="shared" ca="1" si="223"/>
        <v>55</v>
      </c>
      <c r="BG109" s="2110" t="s">
        <v>2077</v>
      </c>
      <c r="BH109" s="1963">
        <f t="shared" ca="1" si="224"/>
        <v>0</v>
      </c>
      <c r="BI109" s="1963" t="str">
        <f t="shared" ca="1" si="239"/>
        <v>BH89</v>
      </c>
      <c r="BJ109" s="4206">
        <f t="shared" ca="1" si="225"/>
        <v>60</v>
      </c>
      <c r="BL109" s="2110" t="s">
        <v>2077</v>
      </c>
      <c r="BM109" s="1963">
        <f t="shared" ca="1" si="226"/>
        <v>0</v>
      </c>
      <c r="BN109" s="1963" t="str">
        <f t="shared" ca="1" si="240"/>
        <v>BM89</v>
      </c>
      <c r="BO109" s="4206">
        <f t="shared" ca="1" si="227"/>
        <v>65</v>
      </c>
      <c r="BQ109" s="2110" t="s">
        <v>2077</v>
      </c>
      <c r="BR109" s="1963">
        <f t="shared" ca="1" si="228"/>
        <v>0</v>
      </c>
      <c r="BS109" s="1963" t="str">
        <f t="shared" ca="1" si="241"/>
        <v>BR89</v>
      </c>
      <c r="BT109" s="4206">
        <f t="shared" ca="1" si="229"/>
        <v>70</v>
      </c>
      <c r="BV109" s="2110" t="s">
        <v>2077</v>
      </c>
      <c r="BW109" s="1963">
        <f t="shared" ca="1" si="230"/>
        <v>0</v>
      </c>
      <c r="BX109" s="1963" t="str">
        <f t="shared" ca="1" si="242"/>
        <v>BW89</v>
      </c>
      <c r="BY109" s="4206">
        <f t="shared" ca="1" si="231"/>
        <v>75</v>
      </c>
      <c r="CA109" s="2110" t="s">
        <v>2077</v>
      </c>
      <c r="CB109" s="1963">
        <f t="shared" ca="1" si="232"/>
        <v>0</v>
      </c>
      <c r="CC109" s="1963" t="str">
        <f t="shared" ca="1" si="243"/>
        <v>CB89</v>
      </c>
      <c r="CD109" s="4206">
        <f t="shared" ca="1" si="233"/>
        <v>80</v>
      </c>
      <c r="CF109" s="2110" t="s">
        <v>2077</v>
      </c>
      <c r="CG109" s="1963">
        <f t="shared" ca="1" si="234"/>
        <v>0</v>
      </c>
      <c r="CH109" s="1963" t="str">
        <f t="shared" ca="1" si="244"/>
        <v>CG89</v>
      </c>
      <c r="CI109" s="4206">
        <f t="shared" ca="1" si="235"/>
        <v>85</v>
      </c>
    </row>
    <row r="110" spans="1:92" ht="13.2" hidden="1" customHeight="1" outlineLevel="1">
      <c r="AR110" s="2110" t="s">
        <v>1940</v>
      </c>
      <c r="AS110" s="1963">
        <f t="shared" ca="1" si="219"/>
        <v>0</v>
      </c>
      <c r="AT110" s="1952" t="s">
        <v>2078</v>
      </c>
      <c r="AU110" s="4206">
        <f t="shared" ca="1" si="236"/>
        <v>85</v>
      </c>
      <c r="AW110" s="2110" t="s">
        <v>1940</v>
      </c>
      <c r="AX110" s="4207">
        <f t="shared" ca="1" si="220"/>
        <v>0</v>
      </c>
      <c r="AY110" s="1963" t="str">
        <f t="shared" ca="1" si="237"/>
        <v>CL86</v>
      </c>
      <c r="AZ110" s="4206">
        <f ca="1">AU110+5</f>
        <v>90</v>
      </c>
      <c r="BB110" s="2110" t="s">
        <v>1940</v>
      </c>
      <c r="BC110" s="1963">
        <f t="shared" ca="1" si="222"/>
        <v>0</v>
      </c>
      <c r="BD110" s="1963" t="str">
        <f t="shared" ca="1" si="238"/>
        <v>CQ89</v>
      </c>
      <c r="BE110" s="4206">
        <f ca="1">AZ110+5</f>
        <v>95</v>
      </c>
      <c r="BG110" s="2110" t="s">
        <v>1940</v>
      </c>
      <c r="BH110" s="1963">
        <f t="shared" ca="1" si="224"/>
        <v>0</v>
      </c>
      <c r="BI110" s="1963" t="str">
        <f t="shared" ca="1" si="239"/>
        <v>CV89</v>
      </c>
      <c r="BJ110" s="4206">
        <f ca="1">BE110+5</f>
        <v>100</v>
      </c>
      <c r="BL110" s="2110" t="s">
        <v>1940</v>
      </c>
      <c r="BM110" s="1963">
        <f t="shared" ca="1" si="226"/>
        <v>0</v>
      </c>
      <c r="BN110" s="1963" t="str">
        <f t="shared" ca="1" si="240"/>
        <v>DA89</v>
      </c>
      <c r="BO110" s="4206">
        <f ca="1">BJ110+5</f>
        <v>105</v>
      </c>
      <c r="BQ110" s="2110" t="s">
        <v>1940</v>
      </c>
      <c r="BR110" s="1963">
        <f t="shared" ca="1" si="228"/>
        <v>0</v>
      </c>
      <c r="BS110" s="1963" t="str">
        <f t="shared" ca="1" si="241"/>
        <v>DF89</v>
      </c>
      <c r="BT110" s="4206">
        <f ca="1">BO110+5</f>
        <v>110</v>
      </c>
      <c r="BV110" s="2110" t="s">
        <v>1940</v>
      </c>
      <c r="BW110" s="1963">
        <f t="shared" ca="1" si="230"/>
        <v>0</v>
      </c>
      <c r="BX110" s="1963" t="str">
        <f t="shared" ca="1" si="242"/>
        <v>DK89</v>
      </c>
      <c r="BY110" s="4206">
        <f ca="1">BT110+5</f>
        <v>115</v>
      </c>
      <c r="CA110" s="2110" t="s">
        <v>1940</v>
      </c>
      <c r="CB110" s="1963">
        <f t="shared" ca="1" si="232"/>
        <v>0</v>
      </c>
      <c r="CC110" s="1963" t="str">
        <f t="shared" ca="1" si="243"/>
        <v>DP89</v>
      </c>
      <c r="CD110" s="4206">
        <f ca="1">BY110+5</f>
        <v>120</v>
      </c>
      <c r="CF110" s="2110" t="s">
        <v>1940</v>
      </c>
      <c r="CG110" s="1963">
        <f t="shared" ca="1" si="234"/>
        <v>0</v>
      </c>
      <c r="CH110" s="1963" t="str">
        <f t="shared" ca="1" si="244"/>
        <v>DU89</v>
      </c>
      <c r="CI110" s="4206">
        <f ca="1">CD110+5</f>
        <v>125</v>
      </c>
    </row>
    <row r="111" spans="1:92" ht="13.2" hidden="1" customHeight="1" outlineLevel="1">
      <c r="AL111" s="1952">
        <f>COLUMN()</f>
        <v>38</v>
      </c>
      <c r="AR111" s="1395"/>
      <c r="AS111" s="1395"/>
      <c r="AT111" s="1395"/>
    </row>
    <row r="112" spans="1:92" ht="13.8" hidden="1" outlineLevel="1" thickBot="1">
      <c r="AK112" s="1952" t="s">
        <v>2010</v>
      </c>
      <c r="AL112" s="4828">
        <v>1</v>
      </c>
      <c r="AM112" s="4829" t="s">
        <v>1942</v>
      </c>
      <c r="AN112" s="4829" t="s">
        <v>21</v>
      </c>
      <c r="AO112" s="4830">
        <v>80022</v>
      </c>
      <c r="AP112" s="4829" t="s">
        <v>1453</v>
      </c>
      <c r="AW112" s="4204" t="s">
        <v>2072</v>
      </c>
      <c r="AX112" s="4205">
        <f ca="1">SUM(AX113:AX128)</f>
        <v>0</v>
      </c>
      <c r="AY112" s="3791">
        <v>74</v>
      </c>
      <c r="AZ112" s="1963"/>
    </row>
    <row r="113" spans="1:92" ht="13.2" hidden="1" customHeight="1" outlineLevel="1">
      <c r="AK113" s="1952" t="s">
        <v>2010</v>
      </c>
      <c r="AL113" s="4828">
        <v>2</v>
      </c>
      <c r="AM113" s="4829" t="s">
        <v>1932</v>
      </c>
      <c r="AN113" s="4829" t="s">
        <v>21</v>
      </c>
      <c r="AO113" s="4830">
        <v>11193</v>
      </c>
      <c r="AP113" s="4829" t="s">
        <v>1453</v>
      </c>
      <c r="AW113" s="2110" t="s">
        <v>2008</v>
      </c>
      <c r="AX113" s="4207">
        <f t="shared" ref="AX113:AX129" ca="1" si="245">HYPERLINK(CONCATENATE("#'",AW113,"'!",AY113),INDIRECT(CONCATENATE("'",AW113,"'!",AY113)))</f>
        <v>0</v>
      </c>
      <c r="AY113" s="1963" t="str">
        <f>ADDRESS($AY$112,AZ113,4)</f>
        <v>AL74</v>
      </c>
      <c r="AZ113" s="4425">
        <v>38</v>
      </c>
    </row>
    <row r="114" spans="1:92" ht="13.2" hidden="1" customHeight="1" outlineLevel="1">
      <c r="A114" s="1395"/>
      <c r="B114" s="1395"/>
      <c r="C114" s="1395"/>
      <c r="D114" s="1395"/>
      <c r="E114" s="1395"/>
      <c r="F114" s="1395"/>
      <c r="G114" s="1395"/>
      <c r="H114" s="1395"/>
      <c r="I114" s="1395"/>
      <c r="J114" s="1395"/>
      <c r="K114" s="1395"/>
      <c r="L114" s="1395"/>
      <c r="M114" s="1395"/>
      <c r="N114" s="1395"/>
      <c r="O114" s="1395"/>
      <c r="P114" s="1395"/>
      <c r="Q114" s="1395"/>
      <c r="R114" s="1395"/>
      <c r="S114" s="1395"/>
      <c r="T114" s="1395"/>
      <c r="U114" s="1395"/>
      <c r="V114" s="1395"/>
      <c r="W114" s="1395"/>
      <c r="X114" s="1395"/>
      <c r="Y114" s="1395"/>
      <c r="Z114" s="1395"/>
      <c r="AA114" s="1395"/>
      <c r="AB114" s="1395"/>
      <c r="AC114" s="1395"/>
      <c r="AD114" s="1395"/>
      <c r="AE114" s="1395"/>
      <c r="AF114" s="1395"/>
      <c r="AG114" s="1395"/>
      <c r="AH114" s="1395"/>
      <c r="AI114" s="1395"/>
      <c r="AJ114" s="1395"/>
      <c r="AK114" s="1952" t="s">
        <v>2010</v>
      </c>
      <c r="AL114" s="4828">
        <v>3</v>
      </c>
      <c r="AM114" s="4829" t="s">
        <v>1939</v>
      </c>
      <c r="AN114" s="4829" t="s">
        <v>21</v>
      </c>
      <c r="AO114" s="4830">
        <v>79305</v>
      </c>
      <c r="AP114" s="4829" t="s">
        <v>1453</v>
      </c>
      <c r="AQ114" s="1395"/>
      <c r="AR114" s="1395"/>
      <c r="AS114" s="1395"/>
      <c r="AT114" s="1395"/>
      <c r="AU114" s="1395"/>
      <c r="AV114" s="1395"/>
      <c r="AW114" s="2110" t="s">
        <v>1932</v>
      </c>
      <c r="AX114" s="4207">
        <f t="shared" ca="1" si="245"/>
        <v>0</v>
      </c>
      <c r="AY114" s="1963" t="str">
        <f t="shared" ref="AY114:AY129" si="246">ADDRESS($AY$112,AZ114,4)</f>
        <v>AL74</v>
      </c>
      <c r="AZ114" s="4206">
        <f>AZ113</f>
        <v>38</v>
      </c>
      <c r="BA114" s="1395"/>
      <c r="BB114" s="1395"/>
      <c r="BC114" s="1395"/>
      <c r="BD114" s="1395"/>
      <c r="BE114" s="1395"/>
      <c r="BF114" s="1395"/>
      <c r="BG114" s="1395"/>
      <c r="BH114" s="1395"/>
      <c r="BI114" s="1395"/>
      <c r="BJ114" s="1395"/>
      <c r="BK114" s="1395"/>
      <c r="BL114" s="1395"/>
      <c r="BM114" s="1395"/>
      <c r="BN114" s="1395"/>
      <c r="BO114" s="1395"/>
      <c r="BP114" s="1395"/>
      <c r="BQ114" s="1395"/>
      <c r="BR114" s="1395"/>
      <c r="BS114" s="1395"/>
      <c r="BT114" s="1395"/>
      <c r="BU114" s="1395"/>
      <c r="BV114" s="1395"/>
      <c r="BW114" s="1395"/>
      <c r="BX114" s="1395"/>
      <c r="BY114" s="1395"/>
      <c r="BZ114" s="1395"/>
      <c r="CA114" s="1395"/>
      <c r="CB114" s="1395"/>
      <c r="CC114" s="1395"/>
      <c r="CD114" s="1395"/>
      <c r="CE114" s="1395"/>
      <c r="CF114" s="1395"/>
      <c r="CG114" s="1395"/>
      <c r="CH114" s="1395"/>
      <c r="CI114" s="1395"/>
      <c r="CJ114" s="1395"/>
      <c r="CK114" s="1395"/>
      <c r="CL114" s="1395"/>
      <c r="CM114" s="1395"/>
      <c r="CN114" s="1395"/>
    </row>
    <row r="115" spans="1:92" ht="13.2" hidden="1" customHeight="1" outlineLevel="1">
      <c r="A115" s="1395"/>
      <c r="B115" s="1395"/>
      <c r="C115" s="1395"/>
      <c r="D115" s="1395"/>
      <c r="E115" s="1395"/>
      <c r="F115" s="1395"/>
      <c r="G115" s="1395"/>
      <c r="H115" s="1395"/>
      <c r="I115" s="1395"/>
      <c r="J115" s="1395"/>
      <c r="K115" s="1395"/>
      <c r="L115" s="1395"/>
      <c r="M115" s="1395"/>
      <c r="N115" s="1395"/>
      <c r="O115" s="1395"/>
      <c r="P115" s="1395"/>
      <c r="Q115" s="1395"/>
      <c r="R115" s="1395"/>
      <c r="S115" s="1395"/>
      <c r="T115" s="1395"/>
      <c r="U115" s="1395"/>
      <c r="V115" s="1395"/>
      <c r="W115" s="1395"/>
      <c r="X115" s="1395"/>
      <c r="Y115" s="1395"/>
      <c r="Z115" s="1395"/>
      <c r="AA115" s="1395"/>
      <c r="AB115" s="1395"/>
      <c r="AC115" s="1395"/>
      <c r="AD115" s="1395"/>
      <c r="AE115" s="1395"/>
      <c r="AF115" s="1395"/>
      <c r="AG115" s="1395"/>
      <c r="AH115" s="1395"/>
      <c r="AI115" s="1395"/>
      <c r="AJ115" s="1395"/>
      <c r="AK115" s="1952" t="s">
        <v>2010</v>
      </c>
      <c r="AL115" s="4828">
        <v>4</v>
      </c>
      <c r="AM115" s="4829" t="s">
        <v>1941</v>
      </c>
      <c r="AN115" s="4829" t="s">
        <v>21</v>
      </c>
      <c r="AO115" s="4830">
        <v>3229</v>
      </c>
      <c r="AP115" s="4829" t="s">
        <v>1453</v>
      </c>
      <c r="AQ115" s="1395"/>
      <c r="AR115" s="1395"/>
      <c r="AS115" s="1395"/>
      <c r="AT115" s="1395"/>
      <c r="AU115" s="1395"/>
      <c r="AV115" s="1395"/>
      <c r="AW115" s="2110" t="s">
        <v>1933</v>
      </c>
      <c r="AX115" s="4207">
        <f t="shared" ca="1" si="245"/>
        <v>0</v>
      </c>
      <c r="AY115" s="1963" t="str">
        <f t="shared" si="246"/>
        <v>AL74</v>
      </c>
      <c r="AZ115" s="4206">
        <f t="shared" ref="AZ115:AZ128" si="247">AZ114</f>
        <v>38</v>
      </c>
      <c r="BA115" s="1395"/>
      <c r="BB115" s="1395"/>
      <c r="BC115" s="1395"/>
      <c r="BD115" s="1395"/>
      <c r="BE115" s="1395"/>
      <c r="BF115" s="1395"/>
      <c r="BG115" s="1395"/>
      <c r="BH115" s="1395"/>
      <c r="BI115" s="1395"/>
      <c r="BJ115" s="1395"/>
      <c r="BK115" s="1395"/>
      <c r="BL115" s="1395"/>
      <c r="BM115" s="1395"/>
      <c r="BN115" s="1395"/>
      <c r="BO115" s="1395"/>
      <c r="BP115" s="1395"/>
      <c r="BQ115" s="1395"/>
      <c r="BR115" s="1395"/>
      <c r="BS115" s="1395"/>
      <c r="BT115" s="1395"/>
      <c r="BU115" s="1395"/>
      <c r="BV115" s="1395"/>
      <c r="BW115" s="1395"/>
      <c r="BX115" s="1395"/>
      <c r="BY115" s="1395"/>
      <c r="BZ115" s="1395"/>
      <c r="CA115" s="1395"/>
      <c r="CB115" s="1395"/>
      <c r="CC115" s="1395"/>
      <c r="CD115" s="1395"/>
      <c r="CE115" s="1395"/>
      <c r="CF115" s="1395"/>
      <c r="CG115" s="1395"/>
      <c r="CH115" s="1395"/>
      <c r="CI115" s="1395"/>
      <c r="CJ115" s="1395"/>
      <c r="CK115" s="1395"/>
      <c r="CL115" s="1395"/>
      <c r="CM115" s="1395"/>
      <c r="CN115" s="1395"/>
    </row>
    <row r="116" spans="1:92" ht="13.2" hidden="1" customHeight="1" outlineLevel="1">
      <c r="A116" s="1395"/>
      <c r="B116" s="1395"/>
      <c r="C116" s="1395"/>
      <c r="D116" s="1395"/>
      <c r="E116" s="1395"/>
      <c r="F116" s="1395"/>
      <c r="G116" s="1395"/>
      <c r="H116" s="1395"/>
      <c r="I116" s="1395"/>
      <c r="J116" s="1395"/>
      <c r="K116" s="1395"/>
      <c r="L116" s="1395"/>
      <c r="M116" s="1395"/>
      <c r="N116" s="1395"/>
      <c r="O116" s="1395"/>
      <c r="P116" s="1395"/>
      <c r="Q116" s="1395"/>
      <c r="R116" s="1395"/>
      <c r="S116" s="1395"/>
      <c r="T116" s="1395"/>
      <c r="U116" s="1395"/>
      <c r="V116" s="1395"/>
      <c r="W116" s="1395"/>
      <c r="X116" s="1395"/>
      <c r="Y116" s="1395"/>
      <c r="Z116" s="1395"/>
      <c r="AA116" s="1395"/>
      <c r="AB116" s="1395"/>
      <c r="AC116" s="1395"/>
      <c r="AD116" s="1395"/>
      <c r="AE116" s="1395"/>
      <c r="AF116" s="1395"/>
      <c r="AG116" s="1395"/>
      <c r="AH116" s="1395"/>
      <c r="AI116" s="1395"/>
      <c r="AJ116" s="1395"/>
      <c r="AK116" s="1952" t="s">
        <v>2010</v>
      </c>
      <c r="AL116" s="4828">
        <v>5</v>
      </c>
      <c r="AM116" s="4829" t="s">
        <v>2011</v>
      </c>
      <c r="AN116" s="4829" t="s">
        <v>2012</v>
      </c>
      <c r="AO116" s="4831">
        <v>3287</v>
      </c>
      <c r="AP116" s="4829" t="s">
        <v>1453</v>
      </c>
      <c r="AQ116" s="1395"/>
      <c r="AR116" s="1395"/>
      <c r="AS116" s="1395"/>
      <c r="AT116" s="1395"/>
      <c r="AU116" s="1395"/>
      <c r="AV116" s="1395"/>
      <c r="AW116" s="2110" t="s">
        <v>1934</v>
      </c>
      <c r="AX116" s="4207">
        <f t="shared" ca="1" si="245"/>
        <v>0</v>
      </c>
      <c r="AY116" s="1963" t="str">
        <f t="shared" si="246"/>
        <v>AL74</v>
      </c>
      <c r="AZ116" s="4206">
        <f t="shared" si="247"/>
        <v>38</v>
      </c>
      <c r="BA116" s="1395"/>
      <c r="BB116" s="1395"/>
      <c r="BC116" s="1395"/>
      <c r="BD116" s="1395"/>
      <c r="BE116" s="1395"/>
      <c r="BF116" s="1395"/>
      <c r="BG116" s="1395"/>
      <c r="BH116" s="1395"/>
      <c r="BI116" s="1395"/>
      <c r="BJ116" s="1395"/>
      <c r="BK116" s="1395"/>
      <c r="BL116" s="1395"/>
      <c r="BM116" s="1395"/>
      <c r="BN116" s="1395"/>
      <c r="BO116" s="1395"/>
      <c r="BP116" s="1395"/>
      <c r="BQ116" s="1395"/>
      <c r="BR116" s="1395"/>
      <c r="BS116" s="1395"/>
      <c r="BT116" s="1395"/>
      <c r="BU116" s="1395"/>
      <c r="BV116" s="1395"/>
      <c r="BW116" s="1395"/>
      <c r="BX116" s="1395"/>
      <c r="BY116" s="1395"/>
      <c r="BZ116" s="1395"/>
      <c r="CA116" s="1395"/>
      <c r="CB116" s="1395"/>
      <c r="CC116" s="1395"/>
      <c r="CD116" s="1395"/>
      <c r="CE116" s="1395"/>
      <c r="CF116" s="1395"/>
      <c r="CG116" s="1395"/>
      <c r="CH116" s="1395"/>
      <c r="CI116" s="1395"/>
      <c r="CJ116" s="1395"/>
      <c r="CK116" s="1395"/>
      <c r="CL116" s="1395"/>
      <c r="CM116" s="1395"/>
      <c r="CN116" s="1395"/>
    </row>
    <row r="117" spans="1:92" ht="13.2" hidden="1" customHeight="1" outlineLevel="1">
      <c r="A117" s="1395"/>
      <c r="B117" s="1395"/>
      <c r="C117" s="1395"/>
      <c r="D117" s="1395"/>
      <c r="E117" s="1395"/>
      <c r="F117" s="1395"/>
      <c r="G117" s="1395"/>
      <c r="H117" s="1395"/>
      <c r="I117" s="1395"/>
      <c r="J117" s="1395"/>
      <c r="K117" s="1395"/>
      <c r="L117" s="1395"/>
      <c r="M117" s="1395"/>
      <c r="N117" s="1395"/>
      <c r="O117" s="1395"/>
      <c r="P117" s="1395"/>
      <c r="Q117" s="1395"/>
      <c r="R117" s="1395"/>
      <c r="S117" s="1395"/>
      <c r="T117" s="1395"/>
      <c r="U117" s="1395"/>
      <c r="V117" s="1395"/>
      <c r="W117" s="1395"/>
      <c r="X117" s="1395"/>
      <c r="Y117" s="1395"/>
      <c r="Z117" s="1395"/>
      <c r="AA117" s="1395"/>
      <c r="AB117" s="1395"/>
      <c r="AC117" s="1395"/>
      <c r="AD117" s="1395"/>
      <c r="AE117" s="1395"/>
      <c r="AF117" s="1395"/>
      <c r="AG117" s="1395"/>
      <c r="AH117" s="1395"/>
      <c r="AI117" s="1395"/>
      <c r="AJ117" s="1395"/>
      <c r="AK117" s="1952" t="s">
        <v>2010</v>
      </c>
      <c r="AL117" s="4828">
        <v>6</v>
      </c>
      <c r="AM117" s="4829" t="s">
        <v>2009</v>
      </c>
      <c r="AN117" s="4829" t="s">
        <v>21</v>
      </c>
      <c r="AO117" s="4830">
        <v>15244</v>
      </c>
      <c r="AP117" s="4829" t="s">
        <v>1453</v>
      </c>
      <c r="AQ117" s="1395"/>
      <c r="AR117" s="1395"/>
      <c r="AS117" s="1395"/>
      <c r="AT117" s="1395"/>
      <c r="AU117" s="1395"/>
      <c r="AV117" s="1395"/>
      <c r="AW117" s="2110" t="s">
        <v>1935</v>
      </c>
      <c r="AX117" s="4207">
        <f t="shared" ca="1" si="245"/>
        <v>0</v>
      </c>
      <c r="AY117" s="1963" t="str">
        <f t="shared" si="246"/>
        <v>AL74</v>
      </c>
      <c r="AZ117" s="4206">
        <f t="shared" si="247"/>
        <v>38</v>
      </c>
      <c r="BA117" s="1395"/>
      <c r="BB117" s="1395"/>
      <c r="BC117" s="1395"/>
      <c r="BD117" s="1395"/>
      <c r="BE117" s="1395"/>
      <c r="BF117" s="1395"/>
      <c r="BG117" s="1395"/>
      <c r="BH117" s="1395"/>
      <c r="BI117" s="1395"/>
      <c r="BJ117" s="1395"/>
      <c r="BK117" s="1395"/>
      <c r="BL117" s="1395"/>
      <c r="BM117" s="1395"/>
      <c r="BN117" s="1395"/>
      <c r="BO117" s="1395"/>
      <c r="BP117" s="1395"/>
      <c r="BQ117" s="1395"/>
      <c r="BR117" s="1395"/>
      <c r="BS117" s="1395"/>
      <c r="BT117" s="1395"/>
      <c r="BU117" s="1395"/>
      <c r="BV117" s="1395"/>
      <c r="BW117" s="1395"/>
      <c r="BX117" s="1395"/>
      <c r="BY117" s="1395"/>
      <c r="BZ117" s="1395"/>
      <c r="CA117" s="1395"/>
      <c r="CB117" s="1395"/>
      <c r="CC117" s="1395"/>
      <c r="CD117" s="1395"/>
      <c r="CE117" s="1395"/>
      <c r="CF117" s="1395"/>
      <c r="CG117" s="1395"/>
      <c r="CH117" s="1395"/>
      <c r="CI117" s="1395"/>
      <c r="CJ117" s="1395"/>
      <c r="CK117" s="1395"/>
      <c r="CL117" s="1395"/>
      <c r="CM117" s="1395"/>
      <c r="CN117" s="1395"/>
    </row>
    <row r="118" spans="1:92" ht="13.2" hidden="1" customHeight="1" outlineLevel="1">
      <c r="A118" s="1395"/>
      <c r="B118" s="1395"/>
      <c r="C118" s="1395"/>
      <c r="D118" s="1395"/>
      <c r="E118" s="1395"/>
      <c r="F118" s="1395"/>
      <c r="G118" s="1395"/>
      <c r="H118" s="1395"/>
      <c r="I118" s="1395"/>
      <c r="J118" s="1395"/>
      <c r="K118" s="1395"/>
      <c r="L118" s="1395"/>
      <c r="M118" s="1395"/>
      <c r="N118" s="1395"/>
      <c r="O118" s="1395"/>
      <c r="P118" s="1395"/>
      <c r="Q118" s="1395"/>
      <c r="R118" s="1395"/>
      <c r="S118" s="1395"/>
      <c r="T118" s="1395"/>
      <c r="U118" s="1395"/>
      <c r="V118" s="1395"/>
      <c r="W118" s="1395"/>
      <c r="X118" s="1395"/>
      <c r="Y118" s="1395"/>
      <c r="Z118" s="1395"/>
      <c r="AA118" s="1395"/>
      <c r="AB118" s="1395"/>
      <c r="AC118" s="1395"/>
      <c r="AD118" s="1395"/>
      <c r="AE118" s="1395"/>
      <c r="AF118" s="1395"/>
      <c r="AG118" s="1395"/>
      <c r="AH118" s="1395"/>
      <c r="AI118" s="1395"/>
      <c r="AJ118" s="1395"/>
      <c r="AK118" s="1952" t="s">
        <v>2013</v>
      </c>
      <c r="AL118" s="4828">
        <v>1</v>
      </c>
      <c r="AM118" s="4829" t="s">
        <v>1932</v>
      </c>
      <c r="AN118" s="4829" t="s">
        <v>21</v>
      </c>
      <c r="AO118" s="4830">
        <v>1792.98</v>
      </c>
      <c r="AP118" s="4829" t="s">
        <v>1453</v>
      </c>
      <c r="AQ118" s="1395"/>
      <c r="AR118" s="1395"/>
      <c r="AS118" s="1395"/>
      <c r="AT118" s="1395"/>
      <c r="AU118" s="1395"/>
      <c r="AV118" s="1395"/>
      <c r="AW118" s="2110" t="s">
        <v>1936</v>
      </c>
      <c r="AX118" s="4207">
        <f t="shared" ca="1" si="245"/>
        <v>0</v>
      </c>
      <c r="AY118" s="1963" t="str">
        <f t="shared" si="246"/>
        <v>AL74</v>
      </c>
      <c r="AZ118" s="4206">
        <f t="shared" si="247"/>
        <v>38</v>
      </c>
      <c r="BA118" s="1395"/>
      <c r="BB118" s="1395"/>
      <c r="BC118" s="1395"/>
      <c r="BD118" s="1395"/>
      <c r="BE118" s="1395"/>
      <c r="BF118" s="1395"/>
      <c r="BG118" s="1395"/>
      <c r="BH118" s="1395"/>
      <c r="BI118" s="1395"/>
      <c r="BJ118" s="1395"/>
      <c r="BK118" s="1395"/>
      <c r="BL118" s="1395"/>
      <c r="BM118" s="1395"/>
      <c r="BN118" s="1395"/>
      <c r="BO118" s="1395"/>
      <c r="BP118" s="1395"/>
      <c r="BQ118" s="1395"/>
      <c r="BR118" s="1395"/>
      <c r="BS118" s="1395"/>
      <c r="BT118" s="1395"/>
      <c r="BU118" s="1395"/>
      <c r="BV118" s="1395"/>
      <c r="BW118" s="1395"/>
      <c r="BX118" s="1395"/>
      <c r="BY118" s="1395"/>
      <c r="BZ118" s="1395"/>
      <c r="CA118" s="1395"/>
      <c r="CB118" s="1395"/>
      <c r="CC118" s="1395"/>
      <c r="CD118" s="1395"/>
      <c r="CE118" s="1395"/>
      <c r="CF118" s="1395"/>
      <c r="CG118" s="1395"/>
      <c r="CH118" s="1395"/>
      <c r="CI118" s="1395"/>
      <c r="CJ118" s="1395"/>
      <c r="CK118" s="1395"/>
      <c r="CL118" s="1395"/>
      <c r="CM118" s="1395"/>
      <c r="CN118" s="1395"/>
    </row>
    <row r="119" spans="1:92" ht="13.2" hidden="1" customHeight="1" outlineLevel="1">
      <c r="A119" s="1395"/>
      <c r="B119" s="1395"/>
      <c r="C119" s="1395"/>
      <c r="D119" s="1395"/>
      <c r="E119" s="1395"/>
      <c r="F119" s="1395"/>
      <c r="G119" s="1395"/>
      <c r="H119" s="1395"/>
      <c r="I119" s="1395"/>
      <c r="J119" s="1395"/>
      <c r="K119" s="1395"/>
      <c r="L119" s="1395"/>
      <c r="M119" s="1395"/>
      <c r="N119" s="1395"/>
      <c r="O119" s="1395"/>
      <c r="P119" s="1395"/>
      <c r="Q119" s="1395"/>
      <c r="R119" s="1395"/>
      <c r="S119" s="1395"/>
      <c r="T119" s="1395"/>
      <c r="U119" s="1395"/>
      <c r="V119" s="1395"/>
      <c r="W119" s="1395"/>
      <c r="X119" s="1395"/>
      <c r="Y119" s="1395"/>
      <c r="Z119" s="1395"/>
      <c r="AA119" s="1395"/>
      <c r="AB119" s="1395"/>
      <c r="AC119" s="1395"/>
      <c r="AD119" s="1395"/>
      <c r="AE119" s="1395"/>
      <c r="AF119" s="1395"/>
      <c r="AG119" s="1395"/>
      <c r="AH119" s="1395"/>
      <c r="AI119" s="1395"/>
      <c r="AJ119" s="1395"/>
      <c r="AK119" s="1952" t="s">
        <v>2013</v>
      </c>
      <c r="AL119" s="4828">
        <v>2</v>
      </c>
      <c r="AM119" s="4829" t="s">
        <v>1939</v>
      </c>
      <c r="AN119" s="4829" t="s">
        <v>21</v>
      </c>
      <c r="AO119" s="4830">
        <v>20121.259999999998</v>
      </c>
      <c r="AP119" s="4829" t="s">
        <v>1453</v>
      </c>
      <c r="AQ119" s="1395"/>
      <c r="AR119" s="1395"/>
      <c r="AS119" s="1395"/>
      <c r="AT119" s="1395"/>
      <c r="AU119" s="1395"/>
      <c r="AV119" s="1395"/>
      <c r="AW119" s="2110" t="s">
        <v>1937</v>
      </c>
      <c r="AX119" s="4207">
        <f t="shared" ca="1" si="245"/>
        <v>0</v>
      </c>
      <c r="AY119" s="1963" t="str">
        <f t="shared" si="246"/>
        <v>AL74</v>
      </c>
      <c r="AZ119" s="4206">
        <f t="shared" si="247"/>
        <v>38</v>
      </c>
      <c r="BA119" s="1395"/>
      <c r="BB119" s="1395"/>
      <c r="BC119" s="1395"/>
      <c r="BD119" s="1395"/>
      <c r="BE119" s="1395"/>
      <c r="BF119" s="1395"/>
      <c r="BG119" s="1395"/>
      <c r="BH119" s="1395"/>
      <c r="BI119" s="1395"/>
      <c r="BJ119" s="1395"/>
      <c r="BK119" s="1395"/>
      <c r="BL119" s="1395"/>
      <c r="BM119" s="1395"/>
      <c r="BN119" s="1395"/>
      <c r="BO119" s="1395"/>
      <c r="BP119" s="1395"/>
      <c r="BQ119" s="1395"/>
      <c r="BR119" s="1395"/>
      <c r="BS119" s="1395"/>
      <c r="BT119" s="1395"/>
      <c r="BU119" s="1395"/>
      <c r="BV119" s="1395"/>
      <c r="BW119" s="1395"/>
      <c r="BX119" s="1395"/>
      <c r="BY119" s="1395"/>
      <c r="BZ119" s="1395"/>
      <c r="CA119" s="1395"/>
      <c r="CB119" s="1395"/>
      <c r="CC119" s="1395"/>
      <c r="CD119" s="1395"/>
      <c r="CE119" s="1395"/>
      <c r="CF119" s="1395"/>
      <c r="CG119" s="1395"/>
      <c r="CH119" s="1395"/>
      <c r="CI119" s="1395"/>
      <c r="CJ119" s="1395"/>
      <c r="CK119" s="1395"/>
      <c r="CL119" s="1395"/>
      <c r="CM119" s="1395"/>
      <c r="CN119" s="1395"/>
    </row>
    <row r="120" spans="1:92" ht="13.2" hidden="1" customHeight="1" outlineLevel="1">
      <c r="A120" s="1395"/>
      <c r="B120" s="1395"/>
      <c r="C120" s="1395"/>
      <c r="D120" s="1395"/>
      <c r="E120" s="1395"/>
      <c r="F120" s="1395"/>
      <c r="G120" s="1395"/>
      <c r="H120" s="1395"/>
      <c r="I120" s="1395"/>
      <c r="J120" s="1395"/>
      <c r="K120" s="1395"/>
      <c r="L120" s="1395"/>
      <c r="M120" s="1395"/>
      <c r="N120" s="1395"/>
      <c r="O120" s="1395"/>
      <c r="P120" s="1395"/>
      <c r="Q120" s="1395"/>
      <c r="R120" s="1395"/>
      <c r="S120" s="1395"/>
      <c r="T120" s="1395"/>
      <c r="U120" s="1395"/>
      <c r="V120" s="1395"/>
      <c r="W120" s="1395"/>
      <c r="X120" s="1395"/>
      <c r="Y120" s="1395"/>
      <c r="Z120" s="1395"/>
      <c r="AA120" s="1395"/>
      <c r="AB120" s="1395"/>
      <c r="AC120" s="1395"/>
      <c r="AD120" s="1395"/>
      <c r="AE120" s="1395"/>
      <c r="AF120" s="1395"/>
      <c r="AG120" s="1395"/>
      <c r="AH120" s="1395"/>
      <c r="AI120" s="1395"/>
      <c r="AJ120" s="1395"/>
      <c r="AK120" s="1952" t="s">
        <v>2013</v>
      </c>
      <c r="AL120" s="4828">
        <v>3</v>
      </c>
      <c r="AM120" s="4829" t="s">
        <v>2011</v>
      </c>
      <c r="AN120" s="4829" t="s">
        <v>2012</v>
      </c>
      <c r="AO120" s="4831">
        <v>17198.95</v>
      </c>
      <c r="AP120" s="4829" t="s">
        <v>1453</v>
      </c>
      <c r="AQ120" s="1395"/>
      <c r="AR120" s="1395"/>
      <c r="AS120" s="1395"/>
      <c r="AT120" s="1395"/>
      <c r="AU120" s="1395"/>
      <c r="AV120" s="1395"/>
      <c r="AW120" s="2110" t="s">
        <v>1938</v>
      </c>
      <c r="AX120" s="4207">
        <f t="shared" ca="1" si="245"/>
        <v>0</v>
      </c>
      <c r="AY120" s="1963" t="str">
        <f t="shared" si="246"/>
        <v>AL74</v>
      </c>
      <c r="AZ120" s="4206">
        <f t="shared" si="247"/>
        <v>38</v>
      </c>
      <c r="BA120" s="1395"/>
      <c r="BB120" s="1395"/>
      <c r="BC120" s="1395"/>
      <c r="BD120" s="1395"/>
      <c r="BE120" s="1395"/>
      <c r="BF120" s="1395"/>
      <c r="BG120" s="1395"/>
      <c r="BH120" s="1395"/>
      <c r="BI120" s="1395"/>
      <c r="BJ120" s="1395"/>
      <c r="BK120" s="1395"/>
      <c r="BL120" s="1395"/>
      <c r="BM120" s="1395"/>
      <c r="BN120" s="1395"/>
      <c r="BO120" s="1395"/>
      <c r="BP120" s="1395"/>
      <c r="BQ120" s="1395"/>
      <c r="BR120" s="1395"/>
      <c r="BS120" s="1395"/>
      <c r="BT120" s="1395"/>
      <c r="BU120" s="1395"/>
      <c r="BV120" s="1395"/>
      <c r="BW120" s="1395"/>
      <c r="BX120" s="1395"/>
      <c r="BY120" s="1395"/>
      <c r="BZ120" s="1395"/>
      <c r="CA120" s="1395"/>
      <c r="CB120" s="1395"/>
      <c r="CC120" s="1395"/>
      <c r="CD120" s="1395"/>
      <c r="CE120" s="1395"/>
      <c r="CF120" s="1395"/>
      <c r="CG120" s="1395"/>
      <c r="CH120" s="1395"/>
      <c r="CI120" s="1395"/>
      <c r="CJ120" s="1395"/>
      <c r="CK120" s="1395"/>
      <c r="CL120" s="1395"/>
      <c r="CM120" s="1395"/>
      <c r="CN120" s="1395"/>
    </row>
    <row r="121" spans="1:92" ht="13.2" hidden="1" customHeight="1" outlineLevel="1">
      <c r="A121" s="1395"/>
      <c r="B121" s="1395"/>
      <c r="C121" s="1395"/>
      <c r="D121" s="1395"/>
      <c r="E121" s="1395"/>
      <c r="F121" s="1395"/>
      <c r="G121" s="1395"/>
      <c r="H121" s="1395"/>
      <c r="I121" s="1395"/>
      <c r="J121" s="1395"/>
      <c r="K121" s="1395"/>
      <c r="L121" s="1395"/>
      <c r="M121" s="1395"/>
      <c r="N121" s="1395"/>
      <c r="O121" s="1395"/>
      <c r="P121" s="1395"/>
      <c r="Q121" s="1395"/>
      <c r="R121" s="1395"/>
      <c r="S121" s="1395"/>
      <c r="T121" s="1395"/>
      <c r="U121" s="1395"/>
      <c r="V121" s="1395"/>
      <c r="W121" s="1395"/>
      <c r="X121" s="1395"/>
      <c r="Y121" s="1395"/>
      <c r="Z121" s="1395"/>
      <c r="AA121" s="1395"/>
      <c r="AB121" s="1395"/>
      <c r="AC121" s="1395"/>
      <c r="AD121" s="1395"/>
      <c r="AE121" s="1395"/>
      <c r="AF121" s="1395"/>
      <c r="AG121" s="1395"/>
      <c r="AH121" s="1395"/>
      <c r="AI121" s="1395"/>
      <c r="AJ121" s="1395"/>
      <c r="AK121" s="1952" t="s">
        <v>2013</v>
      </c>
      <c r="AL121" s="4828">
        <v>4</v>
      </c>
      <c r="AM121" s="4829" t="s">
        <v>2009</v>
      </c>
      <c r="AN121" s="4829" t="s">
        <v>21</v>
      </c>
      <c r="AO121" s="4830">
        <v>164356.81</v>
      </c>
      <c r="AP121" s="4829" t="s">
        <v>1453</v>
      </c>
      <c r="AQ121" s="1395"/>
      <c r="AR121" s="1395"/>
      <c r="AS121" s="1395"/>
      <c r="AT121" s="1395"/>
      <c r="AU121" s="1395"/>
      <c r="AV121" s="1395"/>
      <c r="AW121" s="2110" t="s">
        <v>1939</v>
      </c>
      <c r="AX121" s="4207">
        <f t="shared" ca="1" si="245"/>
        <v>0</v>
      </c>
      <c r="AY121" s="1963" t="str">
        <f t="shared" si="246"/>
        <v>AL74</v>
      </c>
      <c r="AZ121" s="4206">
        <f t="shared" si="247"/>
        <v>38</v>
      </c>
      <c r="BA121" s="1395"/>
      <c r="BB121" s="1395"/>
      <c r="BC121" s="1395"/>
      <c r="BD121" s="1395"/>
      <c r="BE121" s="1395"/>
      <c r="BF121" s="1395"/>
      <c r="BG121" s="1395"/>
      <c r="BH121" s="1395"/>
      <c r="BI121" s="1395"/>
      <c r="BJ121" s="1395"/>
      <c r="BK121" s="1395"/>
      <c r="BL121" s="1395"/>
      <c r="BM121" s="1395"/>
      <c r="BN121" s="1395"/>
      <c r="BO121" s="1395"/>
      <c r="BP121" s="1395"/>
      <c r="BQ121" s="1395"/>
      <c r="BR121" s="1395"/>
      <c r="BS121" s="1395"/>
      <c r="BT121" s="1395"/>
      <c r="BU121" s="1395"/>
      <c r="BV121" s="1395"/>
      <c r="BW121" s="1395"/>
      <c r="BX121" s="1395"/>
      <c r="BY121" s="1395"/>
      <c r="BZ121" s="1395"/>
      <c r="CA121" s="1395"/>
      <c r="CB121" s="1395"/>
      <c r="CC121" s="1395"/>
      <c r="CD121" s="1395"/>
      <c r="CE121" s="1395"/>
      <c r="CF121" s="1395"/>
      <c r="CG121" s="1395"/>
      <c r="CH121" s="1395"/>
      <c r="CI121" s="1395"/>
      <c r="CJ121" s="1395"/>
      <c r="CK121" s="1395"/>
      <c r="CL121" s="1395"/>
      <c r="CM121" s="1395"/>
      <c r="CN121" s="1395"/>
    </row>
    <row r="122" spans="1:92" ht="13.2" hidden="1" customHeight="1" outlineLevel="1">
      <c r="AW122" s="2110" t="s">
        <v>1941</v>
      </c>
      <c r="AX122" s="4207">
        <f t="shared" ca="1" si="245"/>
        <v>0</v>
      </c>
      <c r="AY122" s="1963" t="str">
        <f t="shared" si="246"/>
        <v>AL74</v>
      </c>
      <c r="AZ122" s="4206">
        <f t="shared" si="247"/>
        <v>38</v>
      </c>
    </row>
    <row r="123" spans="1:92" ht="13.2" hidden="1" customHeight="1" outlineLevel="1">
      <c r="AW123" s="2110" t="s">
        <v>1942</v>
      </c>
      <c r="AX123" s="4207">
        <f t="shared" ca="1" si="245"/>
        <v>0</v>
      </c>
      <c r="AY123" s="1963" t="str">
        <f t="shared" si="246"/>
        <v>AL74</v>
      </c>
      <c r="AZ123" s="4206">
        <f t="shared" si="247"/>
        <v>38</v>
      </c>
    </row>
    <row r="124" spans="1:92" ht="13.2" hidden="1" customHeight="1" outlineLevel="1">
      <c r="AW124" s="2110" t="s">
        <v>2009</v>
      </c>
      <c r="AX124" s="4207">
        <f t="shared" ca="1" si="245"/>
        <v>0</v>
      </c>
      <c r="AY124" s="1963" t="str">
        <f t="shared" si="246"/>
        <v>AL74</v>
      </c>
      <c r="AZ124" s="4206">
        <f t="shared" si="247"/>
        <v>38</v>
      </c>
    </row>
    <row r="125" spans="1:92" ht="13.2" hidden="1" customHeight="1" outlineLevel="1">
      <c r="AW125" s="2110" t="s">
        <v>2074</v>
      </c>
      <c r="AX125" s="4207">
        <f t="shared" ca="1" si="245"/>
        <v>0</v>
      </c>
      <c r="AY125" s="1963" t="str">
        <f t="shared" si="246"/>
        <v>AL74</v>
      </c>
      <c r="AZ125" s="4206">
        <f t="shared" si="247"/>
        <v>38</v>
      </c>
    </row>
    <row r="126" spans="1:92" ht="13.2" hidden="1" customHeight="1" outlineLevel="1">
      <c r="AW126" s="2110" t="s">
        <v>2075</v>
      </c>
      <c r="AX126" s="4207">
        <f t="shared" ca="1" si="245"/>
        <v>0</v>
      </c>
      <c r="AY126" s="1963" t="str">
        <f t="shared" si="246"/>
        <v>AL74</v>
      </c>
      <c r="AZ126" s="4206">
        <f t="shared" si="247"/>
        <v>38</v>
      </c>
    </row>
    <row r="127" spans="1:92" ht="13.2" hidden="1" customHeight="1" outlineLevel="1">
      <c r="AW127" s="2110" t="s">
        <v>2076</v>
      </c>
      <c r="AX127" s="4207">
        <f t="shared" ca="1" si="245"/>
        <v>0</v>
      </c>
      <c r="AY127" s="1963" t="str">
        <f t="shared" si="246"/>
        <v>AL74</v>
      </c>
      <c r="AZ127" s="4206">
        <f t="shared" si="247"/>
        <v>38</v>
      </c>
    </row>
    <row r="128" spans="1:92" ht="13.2" hidden="1" customHeight="1" outlineLevel="1">
      <c r="AW128" s="2110" t="s">
        <v>2077</v>
      </c>
      <c r="AX128" s="4207">
        <f t="shared" ca="1" si="245"/>
        <v>0</v>
      </c>
      <c r="AY128" s="1963" t="str">
        <f t="shared" si="246"/>
        <v>AL74</v>
      </c>
      <c r="AZ128" s="4206">
        <f t="shared" si="247"/>
        <v>38</v>
      </c>
    </row>
    <row r="129" spans="49:52" s="1395" customFormat="1" ht="13.2" hidden="1" customHeight="1" outlineLevel="1">
      <c r="AW129" s="2110" t="s">
        <v>1940</v>
      </c>
      <c r="AX129" s="4207">
        <f t="shared" ca="1" si="245"/>
        <v>0</v>
      </c>
      <c r="AY129" s="1963" t="str">
        <f t="shared" si="246"/>
        <v>CJ74</v>
      </c>
      <c r="AZ129" s="4206">
        <f>AZ128+50</f>
        <v>88</v>
      </c>
    </row>
    <row r="130" spans="49:52" s="1395" customFormat="1" collapsed="1">
      <c r="AW130" s="1952"/>
      <c r="AX130" s="1952"/>
      <c r="AY130" s="1952"/>
      <c r="AZ130" s="1952"/>
    </row>
  </sheetData>
  <mergeCells count="21">
    <mergeCell ref="CJ2:CN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 ref="A2:B2"/>
    <mergeCell ref="C2:G3"/>
    <mergeCell ref="H2:L3"/>
    <mergeCell ref="M2:Q3"/>
    <mergeCell ref="R2:V3"/>
    <mergeCell ref="W2:AA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111"/>
  <sheetViews>
    <sheetView showZeros="0" tabSelected="1" zoomScale="70" zoomScaleNormal="70" workbookViewId="0">
      <pane xSplit="2" ySplit="5" topLeftCell="BA48" activePane="bottomRight" state="frozen"/>
      <selection activeCell="Y90" sqref="Y90"/>
      <selection pane="topRight" activeCell="Y90" sqref="Y90"/>
      <selection pane="bottomLeft" activeCell="Y90" sqref="Y90"/>
      <selection pane="bottomRight" activeCell="CW61" sqref="CW61"/>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hidden="1" customWidth="1" outlineLevel="1" collapsed="1"/>
    <col min="19" max="22" width="13.44140625" style="1952" hidden="1" customWidth="1" outlineLevel="1"/>
    <col min="23" max="23" width="13.44140625" style="1952" customWidth="1" collapsed="1"/>
    <col min="24" max="27" width="13.44140625" style="1952" customWidth="1"/>
    <col min="28" max="30" width="12.44140625" style="1522" hidden="1" customWidth="1" outlineLevel="1"/>
    <col min="31" max="31" width="12.44140625" style="1952" hidden="1" customWidth="1" outlineLevel="1"/>
    <col min="32" max="32" width="42.88671875" style="3792" hidden="1" customWidth="1" outlineLevel="1"/>
    <col min="33" max="33" width="12.44140625" style="1952" hidden="1" customWidth="1" outlineLevel="1" collapsed="1"/>
    <col min="34" max="36" width="12.44140625" style="1952" hidden="1" customWidth="1" outlineLevel="1"/>
    <col min="37" max="37" width="43.33203125" style="1952" hidden="1" customWidth="1" outlineLevel="1"/>
    <col min="38" max="38" width="12.88671875" style="1952" hidden="1" customWidth="1" outlineLevel="1" collapsed="1"/>
    <col min="39" max="41" width="12.88671875" style="1952" hidden="1" customWidth="1" outlineLevel="1"/>
    <col min="42" max="42" width="43.33203125" style="1586" hidden="1" customWidth="1" outlineLevel="1"/>
    <col min="43" max="43" width="12.88671875" style="1952" hidden="1" customWidth="1" outlineLevel="1" collapsed="1"/>
    <col min="44" max="46" width="12.88671875" style="1952" hidden="1" customWidth="1" outlineLevel="1"/>
    <col min="47" max="47" width="41.5546875" style="1586" hidden="1" customWidth="1" outlineLevel="1"/>
    <col min="48" max="48" width="13.5546875" style="1952" customWidth="1" collapsed="1"/>
    <col min="49" max="51" width="13.5546875" style="1952" customWidth="1"/>
    <col min="52" max="52" width="44.44140625" style="1952" customWidth="1"/>
    <col min="53" max="56" width="12.88671875" style="1952" customWidth="1"/>
    <col min="57" max="57" width="52.21875" style="1952" customWidth="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14.33203125" style="1952" customWidth="1"/>
    <col min="93" max="93" width="2.88671875" style="1395"/>
    <col min="94" max="95" width="12.88671875" style="1952" hidden="1" customWidth="1" outlineLevel="1"/>
    <col min="96" max="96" width="14.5546875" style="1952" hidden="1" customWidth="1" outlineLevel="1"/>
    <col min="97" max="97" width="2.88671875" style="1395" hidden="1" customWidth="1" outlineLevel="1"/>
    <col min="98" max="98" width="11.6640625" style="1522" hidden="1" customWidth="1" outlineLevel="1"/>
    <col min="99" max="99" width="8.33203125" style="1395" hidden="1" customWidth="1" outlineLevel="1"/>
    <col min="100" max="100" width="8.44140625" style="1395" hidden="1" customWidth="1" outlineLevel="1"/>
    <col min="101" max="101" width="7.6640625" style="1395" bestFit="1" customWidth="1" collapsed="1"/>
    <col min="102" max="16384" width="2.88671875" style="1395"/>
  </cols>
  <sheetData>
    <row r="1" spans="1:98" ht="13.8" thickBot="1"/>
    <row r="2" spans="1:98" ht="13.8">
      <c r="A2" s="4834" t="s">
        <v>1892</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2163</v>
      </c>
      <c r="CK2" s="4875"/>
      <c r="CL2" s="4875"/>
      <c r="CM2" s="4875"/>
      <c r="CN2" s="4876"/>
      <c r="CP2" s="5168" t="s">
        <v>1920</v>
      </c>
      <c r="CQ2" s="5169"/>
      <c r="CR2" s="5170"/>
    </row>
    <row r="3" spans="1:98"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71"/>
      <c r="CQ3" s="5172"/>
      <c r="CR3" s="5173"/>
    </row>
    <row r="4" spans="1:98"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3790" t="s">
        <v>55</v>
      </c>
      <c r="AC4" s="3790" t="s">
        <v>18</v>
      </c>
      <c r="AD4" s="3763" t="s">
        <v>39</v>
      </c>
      <c r="AE4" s="1962" t="s">
        <v>40</v>
      </c>
      <c r="AF4" s="3793"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1474" t="s">
        <v>1850</v>
      </c>
      <c r="CQ4" s="1474" t="s">
        <v>1919</v>
      </c>
      <c r="CR4" s="1474" t="s">
        <v>1826</v>
      </c>
    </row>
    <row r="5" spans="1:98"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200000</v>
      </c>
      <c r="X5" s="1466">
        <f>X6</f>
        <v>45100</v>
      </c>
      <c r="Y5" s="1466">
        <f>Y6+Y7</f>
        <v>245100</v>
      </c>
      <c r="Z5" s="1466"/>
      <c r="AA5" s="1466"/>
      <c r="AB5" s="1018">
        <f>AB6</f>
        <v>200000</v>
      </c>
      <c r="AC5" s="1018">
        <f>AC6</f>
        <v>0</v>
      </c>
      <c r="AD5" s="1018">
        <f>AD6+AD7</f>
        <v>200000</v>
      </c>
      <c r="AE5" s="1466"/>
      <c r="AF5" s="3794"/>
      <c r="AG5" s="1466">
        <f>AG6</f>
        <v>0</v>
      </c>
      <c r="AH5" s="1466">
        <f>AH6</f>
        <v>0</v>
      </c>
      <c r="AI5" s="1466">
        <f>AI6+AI7</f>
        <v>0</v>
      </c>
      <c r="AJ5" s="1466"/>
      <c r="AK5" s="1466"/>
      <c r="AL5" s="1466">
        <f>AL6+AL7</f>
        <v>0</v>
      </c>
      <c r="AM5" s="1466">
        <f>AM6+AM7</f>
        <v>45100</v>
      </c>
      <c r="AN5" s="1466">
        <f>AN6+AN7</f>
        <v>45100</v>
      </c>
      <c r="AO5" s="1466"/>
      <c r="AP5" s="3718"/>
      <c r="AQ5" s="1466">
        <f>AQ6</f>
        <v>0</v>
      </c>
      <c r="AR5" s="1466">
        <f>AR6</f>
        <v>0</v>
      </c>
      <c r="AS5" s="1466">
        <f>AS6+AS7</f>
        <v>0</v>
      </c>
      <c r="AT5" s="1466"/>
      <c r="AU5" s="3718"/>
      <c r="AV5" s="1466">
        <f>AV6</f>
        <v>0</v>
      </c>
      <c r="AW5" s="1466">
        <f>AW6</f>
        <v>0</v>
      </c>
      <c r="AX5" s="1466">
        <f>AX6+AX7</f>
        <v>0</v>
      </c>
      <c r="AY5" s="1466"/>
      <c r="AZ5" s="1466"/>
      <c r="BA5" s="1466">
        <f>BA6</f>
        <v>0</v>
      </c>
      <c r="BB5" s="1466">
        <f>BB6</f>
        <v>0</v>
      </c>
      <c r="BC5" s="1466">
        <f>BC6+BC7</f>
        <v>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200000</v>
      </c>
      <c r="CK5" s="1466">
        <f>CK6</f>
        <v>45100</v>
      </c>
      <c r="CL5" s="1466">
        <f>CL6</f>
        <v>245100</v>
      </c>
      <c r="CM5" s="1466"/>
      <c r="CN5" s="1466"/>
      <c r="CP5" s="1955">
        <f>CP6</f>
        <v>0</v>
      </c>
      <c r="CQ5" s="1955">
        <f>CQ6</f>
        <v>0</v>
      </c>
      <c r="CR5" s="3440">
        <f>CR6</f>
        <v>0</v>
      </c>
      <c r="CT5" s="2624"/>
    </row>
    <row r="6" spans="1:98" s="1396" customFormat="1" ht="26.4"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200000</v>
      </c>
      <c r="X6" s="3342">
        <f>AC6+AH6+AM6+AW6+BB6+BG6+BL6+BQ6+BV6+CA6+CF6+AR6</f>
        <v>45100</v>
      </c>
      <c r="Y6" s="2012">
        <f t="shared" ref="Y6:Y7" si="3">W6+X6</f>
        <v>245100</v>
      </c>
      <c r="Z6" s="3342"/>
      <c r="AA6" s="3342"/>
      <c r="AB6" s="3349">
        <v>200000</v>
      </c>
      <c r="AC6" s="3349"/>
      <c r="AD6" s="2012">
        <f t="shared" ref="AD6:AD7" si="4">AB6+AC6</f>
        <v>200000</v>
      </c>
      <c r="AE6" s="3341"/>
      <c r="AF6" s="3436" t="s">
        <v>1893</v>
      </c>
      <c r="AG6" s="3341"/>
      <c r="AH6" s="3341"/>
      <c r="AI6" s="2012">
        <f t="shared" ref="AI6:AI7" si="5">AG6+AH6</f>
        <v>0</v>
      </c>
      <c r="AJ6" s="3341"/>
      <c r="AK6" s="3342"/>
      <c r="AL6" s="1674"/>
      <c r="AM6" s="3341">
        <f>27600+17500</f>
        <v>45100</v>
      </c>
      <c r="AN6" s="2012">
        <f t="shared" ref="AN6:AN7" si="6">AL6+AM6</f>
        <v>45100</v>
      </c>
      <c r="AO6" s="3341"/>
      <c r="AP6" s="4692" t="s">
        <v>2022</v>
      </c>
      <c r="AQ6" s="3341"/>
      <c r="AR6" s="3341"/>
      <c r="AS6" s="2012">
        <f t="shared" ref="AS6:AS7" si="7">AQ6+AR6</f>
        <v>0</v>
      </c>
      <c r="AT6" s="3341"/>
      <c r="AU6" s="3409"/>
      <c r="AV6" s="3341"/>
      <c r="AW6" s="3341"/>
      <c r="AX6" s="2012">
        <f t="shared" ref="AX6:AX7" si="8">AV6+AW6</f>
        <v>0</v>
      </c>
      <c r="AY6" s="3341"/>
      <c r="AZ6" s="3342"/>
      <c r="BA6" s="3341"/>
      <c r="BB6" s="3341"/>
      <c r="BC6" s="2012">
        <f t="shared" ref="BC6:BC7" si="9">BA6+BB6</f>
        <v>0</v>
      </c>
      <c r="BD6" s="3341"/>
      <c r="BE6" s="3342"/>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f>
        <v>200000</v>
      </c>
      <c r="CK6" s="3341">
        <f>D6+I6+N6+X6</f>
        <v>45100</v>
      </c>
      <c r="CL6" s="2012">
        <f>CJ6+CK6</f>
        <v>245100</v>
      </c>
      <c r="CM6" s="3341"/>
      <c r="CN6" s="3341"/>
      <c r="CP6" s="2012"/>
      <c r="CQ6" s="2012"/>
      <c r="CR6" s="4614">
        <f>CP6-CQ6</f>
        <v>0</v>
      </c>
      <c r="CS6" s="3305"/>
      <c r="CT6" s="2624"/>
    </row>
    <row r="7" spans="1:98" s="1396" customFormat="1" ht="14.4" outlineLevel="1" collapsed="1" thickBot="1">
      <c r="A7" s="1571"/>
      <c r="B7" s="4693" t="s">
        <v>41</v>
      </c>
      <c r="C7" s="3341"/>
      <c r="D7" s="3341"/>
      <c r="E7" s="2012">
        <f t="shared" si="0"/>
        <v>0</v>
      </c>
      <c r="F7" s="4694"/>
      <c r="G7" s="4694"/>
      <c r="H7" s="3341"/>
      <c r="I7" s="3341"/>
      <c r="J7" s="2012">
        <f>H7+I7</f>
        <v>0</v>
      </c>
      <c r="K7" s="4694"/>
      <c r="L7" s="4694"/>
      <c r="M7" s="3341"/>
      <c r="N7" s="3341"/>
      <c r="O7" s="2012">
        <f t="shared" si="1"/>
        <v>0</v>
      </c>
      <c r="P7" s="4694"/>
      <c r="Q7" s="4694"/>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9"/>
      <c r="AC7" s="3349"/>
      <c r="AD7" s="2012">
        <f t="shared" si="4"/>
        <v>0</v>
      </c>
      <c r="AE7" s="4694"/>
      <c r="AF7" s="4695"/>
      <c r="AG7" s="3341"/>
      <c r="AH7" s="3341"/>
      <c r="AI7" s="2012">
        <f t="shared" si="5"/>
        <v>0</v>
      </c>
      <c r="AJ7" s="4694"/>
      <c r="AK7" s="4694"/>
      <c r="AL7" s="3341"/>
      <c r="AM7" s="3341"/>
      <c r="AN7" s="2012">
        <f t="shared" si="6"/>
        <v>0</v>
      </c>
      <c r="AO7" s="4694"/>
      <c r="AP7" s="4692"/>
      <c r="AQ7" s="3341"/>
      <c r="AR7" s="3341"/>
      <c r="AS7" s="2012">
        <f t="shared" si="7"/>
        <v>0</v>
      </c>
      <c r="AT7" s="4694"/>
      <c r="AU7" s="4696"/>
      <c r="AV7" s="3341"/>
      <c r="AW7" s="3341"/>
      <c r="AX7" s="2012">
        <f t="shared" si="8"/>
        <v>0</v>
      </c>
      <c r="AY7" s="4694"/>
      <c r="AZ7" s="4694"/>
      <c r="BA7" s="3341"/>
      <c r="BB7" s="3341"/>
      <c r="BC7" s="2012">
        <f t="shared" si="9"/>
        <v>0</v>
      </c>
      <c r="BD7" s="4694"/>
      <c r="BE7" s="4694"/>
      <c r="BF7" s="3341"/>
      <c r="BG7" s="3341"/>
      <c r="BH7" s="2012">
        <f t="shared" si="10"/>
        <v>0</v>
      </c>
      <c r="BI7" s="4694"/>
      <c r="BJ7" s="4694"/>
      <c r="BK7" s="3341"/>
      <c r="BL7" s="3341"/>
      <c r="BM7" s="2012">
        <f t="shared" si="11"/>
        <v>0</v>
      </c>
      <c r="BN7" s="4694"/>
      <c r="BO7" s="4694"/>
      <c r="BP7" s="3341"/>
      <c r="BQ7" s="3341"/>
      <c r="BR7" s="2012">
        <f t="shared" si="12"/>
        <v>0</v>
      </c>
      <c r="BS7" s="4694"/>
      <c r="BT7" s="4694"/>
      <c r="BU7" s="3341"/>
      <c r="BV7" s="3341"/>
      <c r="BW7" s="2012">
        <f t="shared" si="13"/>
        <v>0</v>
      </c>
      <c r="BX7" s="4694"/>
      <c r="BY7" s="4694"/>
      <c r="BZ7" s="3341"/>
      <c r="CA7" s="3341"/>
      <c r="CB7" s="2012">
        <f t="shared" si="14"/>
        <v>0</v>
      </c>
      <c r="CC7" s="4694"/>
      <c r="CD7" s="4694"/>
      <c r="CE7" s="3341"/>
      <c r="CF7" s="3341"/>
      <c r="CG7" s="2012">
        <f t="shared" si="15"/>
        <v>0</v>
      </c>
      <c r="CH7" s="4694"/>
      <c r="CI7" s="4694"/>
      <c r="CJ7" s="3341">
        <f>C7+H7+M7+W7</f>
        <v>0</v>
      </c>
      <c r="CK7" s="3341">
        <f>D7+I7+N7+X7</f>
        <v>0</v>
      </c>
      <c r="CL7" s="2012">
        <f>CJ7+CK7</f>
        <v>0</v>
      </c>
      <c r="CM7" s="4694"/>
      <c r="CN7" s="4694"/>
      <c r="CP7" s="2012"/>
      <c r="CQ7" s="2012"/>
      <c r="CR7" s="3442"/>
      <c r="CT7" s="2624"/>
    </row>
    <row r="8" spans="1:98" s="1396" customFormat="1" ht="14.4" outlineLevel="1" thickBot="1">
      <c r="A8" s="1571"/>
      <c r="B8" s="1463" t="s">
        <v>16</v>
      </c>
      <c r="C8" s="1957">
        <f>SUM(C9:C33)</f>
        <v>0</v>
      </c>
      <c r="D8" s="1957">
        <f>SUM(D9:D33)</f>
        <v>0</v>
      </c>
      <c r="E8" s="1484">
        <f>SUM(E9:E33)</f>
        <v>0</v>
      </c>
      <c r="F8" s="1528" t="e">
        <f t="shared" ref="F8:F33" si="16">E8/$E$89</f>
        <v>#DIV/0!</v>
      </c>
      <c r="G8" s="1466"/>
      <c r="H8" s="1957">
        <f>SUM(H9:H33)</f>
        <v>0</v>
      </c>
      <c r="I8" s="1957">
        <f>SUM(I9:I33)</f>
        <v>0</v>
      </c>
      <c r="J8" s="1484">
        <f>SUM(J9:J33)</f>
        <v>0</v>
      </c>
      <c r="K8" s="1528" t="e">
        <f t="shared" ref="K8" si="17">J8/$E$89</f>
        <v>#DIV/0!</v>
      </c>
      <c r="L8" s="1466"/>
      <c r="M8" s="1957">
        <f>SUM(M9:M33)</f>
        <v>0</v>
      </c>
      <c r="N8" s="1957">
        <f>SUM(N9:N33)</f>
        <v>0</v>
      </c>
      <c r="O8" s="1484">
        <f>SUM(O9:O33)</f>
        <v>0</v>
      </c>
      <c r="P8" s="1528" t="e">
        <f t="shared" ref="P8" si="18">O8/$E$89</f>
        <v>#DIV/0!</v>
      </c>
      <c r="Q8" s="1466"/>
      <c r="R8" s="1957">
        <f>SUM(R9:R33)</f>
        <v>0</v>
      </c>
      <c r="S8" s="1957">
        <f>SUM(S9:S33)</f>
        <v>0</v>
      </c>
      <c r="T8" s="1484">
        <f>SUM(T9:T33)</f>
        <v>0</v>
      </c>
      <c r="U8" s="1528"/>
      <c r="V8" s="1466"/>
      <c r="W8" s="1957">
        <f>SUM(W9:W33)</f>
        <v>404773.09987341758</v>
      </c>
      <c r="X8" s="1957">
        <f>SUM(X9:X33)</f>
        <v>683630.56620253169</v>
      </c>
      <c r="Y8" s="1484">
        <f>SUM(Y9:Y33)</f>
        <v>1088403.6660759491</v>
      </c>
      <c r="Z8" s="1528"/>
      <c r="AA8" s="1466"/>
      <c r="AB8" s="1957">
        <f>SUM(AB9:AB33)</f>
        <v>22097.1</v>
      </c>
      <c r="AC8" s="1957">
        <f>SUM(AC9:AC33)</f>
        <v>221866.48</v>
      </c>
      <c r="AD8" s="1484">
        <f>SUM(AD9:AD33)</f>
        <v>243963.58000000002</v>
      </c>
      <c r="AE8" s="1528"/>
      <c r="AF8" s="3794"/>
      <c r="AG8" s="1957">
        <f>SUM(AG9:AG33)</f>
        <v>77332.350000000006</v>
      </c>
      <c r="AH8" s="1957">
        <f>SUM(AH9:AH33)</f>
        <v>102947.37999999999</v>
      </c>
      <c r="AI8" s="1484">
        <f>SUM(AI9:AI33)</f>
        <v>180279.72999999998</v>
      </c>
      <c r="AJ8" s="1528"/>
      <c r="AK8" s="1466"/>
      <c r="AL8" s="1957">
        <f>SUM(AL9:AL33)</f>
        <v>98163.580000000016</v>
      </c>
      <c r="AM8" s="1957">
        <f>SUM(AM9:AM33)</f>
        <v>110376.25</v>
      </c>
      <c r="AN8" s="1484">
        <f>SUM(AN9:AN33)</f>
        <v>208539.83000000002</v>
      </c>
      <c r="AO8" s="1528"/>
      <c r="AP8" s="3718"/>
      <c r="AQ8" s="1957">
        <f>SUM(AQ9:AQ33)</f>
        <v>51928.029873417523</v>
      </c>
      <c r="AR8" s="1957">
        <f>SUM(AR9:AR33)</f>
        <v>86190.456202531641</v>
      </c>
      <c r="AS8" s="1484">
        <f>SUM(AS9:AS33)</f>
        <v>138118.48607594916</v>
      </c>
      <c r="AT8" s="1528"/>
      <c r="AU8" s="3718"/>
      <c r="AV8" s="1957">
        <f>SUM(AV9:AV33)</f>
        <v>43982.569999999985</v>
      </c>
      <c r="AW8" s="1957">
        <f>SUM(AW9:AW33)</f>
        <v>74100</v>
      </c>
      <c r="AX8" s="1484">
        <f>SUM(AX9:AX33)</f>
        <v>118082.57</v>
      </c>
      <c r="AY8" s="1528"/>
      <c r="AZ8" s="1466"/>
      <c r="BA8" s="1957">
        <f>SUM(BA9:BA33)</f>
        <v>111269.47</v>
      </c>
      <c r="BB8" s="1957">
        <f>SUM(BB9:BB33)</f>
        <v>88150</v>
      </c>
      <c r="BC8" s="1484">
        <f>SUM(BC9:BC33)</f>
        <v>199419.47</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404773.09987341758</v>
      </c>
      <c r="CK8" s="1957">
        <f>SUM(CK9:CK33)</f>
        <v>683630.56620253169</v>
      </c>
      <c r="CL8" s="1484">
        <f>SUM(CL9:CL33)</f>
        <v>1088403.6660759491</v>
      </c>
      <c r="CM8" s="1528"/>
      <c r="CN8" s="1466"/>
      <c r="CP8" s="1484">
        <f>SUM(CP9:CP33)</f>
        <v>0</v>
      </c>
      <c r="CQ8" s="1484">
        <f>SUM(CQ9:CQ33)</f>
        <v>0</v>
      </c>
      <c r="CR8" s="3440">
        <f>SUM(CR9:CR33)</f>
        <v>0</v>
      </c>
      <c r="CT8" s="2624"/>
    </row>
    <row r="9" spans="1:98" s="1396" customFormat="1" ht="39.6" outlineLevel="2">
      <c r="A9" s="1571"/>
      <c r="B9" s="1424" t="s">
        <v>74</v>
      </c>
      <c r="C9" s="3341"/>
      <c r="D9" s="3341"/>
      <c r="E9" s="3349">
        <f t="shared" ref="E9:E32" si="19">C9+D9</f>
        <v>0</v>
      </c>
      <c r="F9" s="4697" t="e">
        <f t="shared" si="16"/>
        <v>#DIV/0!</v>
      </c>
      <c r="G9" s="2047"/>
      <c r="H9" s="3341"/>
      <c r="I9" s="3341"/>
      <c r="J9" s="3349">
        <f t="shared" ref="J9:J32" si="20">H9+I9</f>
        <v>0</v>
      </c>
      <c r="K9" s="4697" t="e">
        <f>J9/J$89</f>
        <v>#DIV/0!</v>
      </c>
      <c r="L9" s="2047"/>
      <c r="M9" s="3341"/>
      <c r="N9" s="3341"/>
      <c r="O9" s="3349">
        <f t="shared" ref="O9:O32" si="21">M9+N9</f>
        <v>0</v>
      </c>
      <c r="P9" s="4697" t="e">
        <f t="shared" ref="P9:P33" si="22">O9/O$89</f>
        <v>#DIV/0!</v>
      </c>
      <c r="Q9" s="2047"/>
      <c r="R9" s="3342">
        <f t="shared" ref="R9:S33" si="23">M9+H9+C9</f>
        <v>0</v>
      </c>
      <c r="S9" s="3342">
        <f t="shared" si="23"/>
        <v>0</v>
      </c>
      <c r="T9" s="2012">
        <f t="shared" ref="T9:T33" si="24">R9+S9</f>
        <v>0</v>
      </c>
      <c r="U9" s="2047"/>
      <c r="V9" s="2047"/>
      <c r="W9" s="3342">
        <f t="shared" ref="W9:X33" si="25">AB9+AG9+AL9+AV9+BA9+BF9+BK9+BP9+BU9+BZ9+CE9+AQ9</f>
        <v>41413.809873417515</v>
      </c>
      <c r="X9" s="3342">
        <f t="shared" si="25"/>
        <v>71073.766202531639</v>
      </c>
      <c r="Y9" s="2012">
        <f t="shared" ref="Y9:Y33" si="26">W9+X9</f>
        <v>112487.57607594915</v>
      </c>
      <c r="Z9" s="3341"/>
      <c r="AA9" s="3341"/>
      <c r="AB9" s="2045"/>
      <c r="AC9" s="2045">
        <f>24011.88-3753-9313</f>
        <v>10945.880000000001</v>
      </c>
      <c r="AD9" s="3349">
        <f t="shared" ref="AD9:AD32" si="27">AB9+AC9</f>
        <v>10945.880000000001</v>
      </c>
      <c r="AE9" s="4697">
        <f>AD9/AD$89</f>
        <v>1.4312746722227501E-2</v>
      </c>
      <c r="AF9" s="3795" t="s">
        <v>1894</v>
      </c>
      <c r="AG9" s="3341">
        <v>17518.919999999998</v>
      </c>
      <c r="AH9" s="3341">
        <f>17869.48+6066</f>
        <v>23935.48</v>
      </c>
      <c r="AI9" s="3349">
        <f t="shared" ref="AI9:AI32" si="28">AG9+AH9</f>
        <v>41454.399999999994</v>
      </c>
      <c r="AJ9" s="4697">
        <f>AI9/AI$89</f>
        <v>6.7251615024358821E-2</v>
      </c>
      <c r="AK9" s="3795" t="s">
        <v>1952</v>
      </c>
      <c r="AL9" s="3341">
        <v>8712.6000000000095</v>
      </c>
      <c r="AM9" s="3341">
        <f>3287+17198.95+6066</f>
        <v>26551.95</v>
      </c>
      <c r="AN9" s="3349">
        <f t="shared" ref="AN9:AN32" si="29">AL9+AM9</f>
        <v>35264.55000000001</v>
      </c>
      <c r="AO9" s="4697">
        <f>AN9/AN$89</f>
        <v>5.2294599364400798E-2</v>
      </c>
      <c r="AP9" s="3795" t="s">
        <v>1952</v>
      </c>
      <c r="AQ9" s="3341">
        <v>4217.9098734175204</v>
      </c>
      <c r="AR9" s="3341">
        <f>8104.44569620263+1536.01050632901</f>
        <v>9640.4562025316391</v>
      </c>
      <c r="AS9" s="3349">
        <f t="shared" ref="AS9:AS32" si="30">AQ9+AR9</f>
        <v>13858.366075949159</v>
      </c>
      <c r="AT9" s="4697">
        <f>AS9/AS$89</f>
        <v>2.4736681150267205E-2</v>
      </c>
      <c r="AU9" s="3795" t="s">
        <v>1952</v>
      </c>
      <c r="AV9" s="3341">
        <v>3625.4299999999898</v>
      </c>
      <c r="AW9" s="3341"/>
      <c r="AX9" s="3349">
        <f t="shared" ref="AX9:AX32" si="31">AV9+AW9</f>
        <v>3625.4299999999898</v>
      </c>
      <c r="AY9" s="4697">
        <f>AX9/AX$89</f>
        <v>6.8970096268892601E-3</v>
      </c>
      <c r="AZ9" s="3795" t="s">
        <v>2095</v>
      </c>
      <c r="BA9" s="3341">
        <v>7338.95</v>
      </c>
      <c r="BB9" s="3341"/>
      <c r="BC9" s="3349">
        <f t="shared" ref="BC9:BC32" si="32">BA9+BB9</f>
        <v>7338.95</v>
      </c>
      <c r="BD9" s="4697">
        <f>BC9/BC$89</f>
        <v>1.0904336300771185E-2</v>
      </c>
      <c r="BE9" s="3795" t="s">
        <v>2095</v>
      </c>
      <c r="BF9" s="3341"/>
      <c r="BG9" s="3341"/>
      <c r="BH9" s="3349">
        <f t="shared" ref="BH9:BH32" si="33">BF9+BG9</f>
        <v>0</v>
      </c>
      <c r="BI9" s="4697" t="e">
        <f>BH9/BH$89</f>
        <v>#DIV/0!</v>
      </c>
      <c r="BJ9" s="2047"/>
      <c r="BK9" s="3341"/>
      <c r="BL9" s="3341"/>
      <c r="BM9" s="3349">
        <f t="shared" ref="BM9:BM32" si="34">BK9+BL9</f>
        <v>0</v>
      </c>
      <c r="BN9" s="4697" t="e">
        <f>BM9/BM$89</f>
        <v>#DIV/0!</v>
      </c>
      <c r="BO9" s="2047"/>
      <c r="BP9" s="3341"/>
      <c r="BQ9" s="3341"/>
      <c r="BR9" s="3349">
        <f t="shared" ref="BR9:BR32" si="35">BP9+BQ9</f>
        <v>0</v>
      </c>
      <c r="BS9" s="4697" t="e">
        <f>BR9/BR$89</f>
        <v>#DIV/0!</v>
      </c>
      <c r="BT9" s="2047"/>
      <c r="BU9" s="3341"/>
      <c r="BV9" s="3341"/>
      <c r="BW9" s="3349">
        <f t="shared" ref="BW9:BW32" si="36">BU9+BV9</f>
        <v>0</v>
      </c>
      <c r="BX9" s="4697" t="e">
        <f>BW9/BW$89</f>
        <v>#DIV/0!</v>
      </c>
      <c r="BY9" s="2047"/>
      <c r="BZ9" s="3341"/>
      <c r="CA9" s="3341"/>
      <c r="CB9" s="3349">
        <f t="shared" ref="CB9:CB32" si="37">BZ9+CA9</f>
        <v>0</v>
      </c>
      <c r="CC9" s="4697" t="e">
        <f>CB9/CB$89</f>
        <v>#DIV/0!</v>
      </c>
      <c r="CD9" s="2047"/>
      <c r="CE9" s="3341"/>
      <c r="CF9" s="3341"/>
      <c r="CG9" s="3349">
        <f t="shared" ref="CG9:CG32" si="38">CE9+CF9</f>
        <v>0</v>
      </c>
      <c r="CH9" s="4697" t="e">
        <f>CG9/CG$89</f>
        <v>#DIV/0!</v>
      </c>
      <c r="CI9" s="2047"/>
      <c r="CJ9" s="3341">
        <f t="shared" ref="CJ9:CK33" si="39">C9+H9+M9+W9</f>
        <v>41413.809873417515</v>
      </c>
      <c r="CK9" s="3341">
        <f t="shared" si="39"/>
        <v>71073.766202531639</v>
      </c>
      <c r="CL9" s="3349">
        <f>CJ9+CK9*1</f>
        <v>112487.57607594915</v>
      </c>
      <c r="CM9" s="4697">
        <f t="shared" ref="CM9:CM33" si="40">CL9/$CL$89</f>
        <v>2.9489975999139675E-2</v>
      </c>
      <c r="CN9" s="1434"/>
      <c r="CP9" s="4615"/>
      <c r="CQ9" s="2012"/>
      <c r="CR9" s="4614">
        <f>CP9-CQ9</f>
        <v>0</v>
      </c>
      <c r="CS9" s="3307"/>
      <c r="CT9" s="3443"/>
    </row>
    <row r="10" spans="1:98" s="1396" customFormat="1" ht="13.8" outlineLevel="2">
      <c r="A10" s="1571"/>
      <c r="B10" s="1424" t="s">
        <v>72</v>
      </c>
      <c r="C10" s="3341"/>
      <c r="D10" s="3341"/>
      <c r="E10" s="3349">
        <f t="shared" si="19"/>
        <v>0</v>
      </c>
      <c r="F10" s="4697" t="e">
        <f t="shared" si="16"/>
        <v>#DIV/0!</v>
      </c>
      <c r="G10" s="2047"/>
      <c r="H10" s="3341"/>
      <c r="I10" s="3341"/>
      <c r="J10" s="3349">
        <f t="shared" si="20"/>
        <v>0</v>
      </c>
      <c r="K10" s="4697" t="e">
        <f t="shared" ref="K10:K33" si="41">J10/J$89</f>
        <v>#DIV/0!</v>
      </c>
      <c r="L10" s="2047"/>
      <c r="M10" s="3341"/>
      <c r="N10" s="3341"/>
      <c r="O10" s="3349">
        <f t="shared" si="21"/>
        <v>0</v>
      </c>
      <c r="P10" s="4697" t="e">
        <f t="shared" si="22"/>
        <v>#DIV/0!</v>
      </c>
      <c r="Q10" s="2047"/>
      <c r="R10" s="3342">
        <f t="shared" si="23"/>
        <v>0</v>
      </c>
      <c r="S10" s="3342">
        <f t="shared" si="23"/>
        <v>0</v>
      </c>
      <c r="T10" s="2012">
        <f t="shared" si="24"/>
        <v>0</v>
      </c>
      <c r="U10" s="2047"/>
      <c r="V10" s="2047"/>
      <c r="W10" s="3342">
        <f t="shared" si="25"/>
        <v>68274.600000000006</v>
      </c>
      <c r="X10" s="3342">
        <f t="shared" si="25"/>
        <v>0</v>
      </c>
      <c r="Y10" s="2012">
        <f t="shared" si="26"/>
        <v>68274.600000000006</v>
      </c>
      <c r="Z10" s="3341"/>
      <c r="AA10" s="3341"/>
      <c r="AB10" s="2045"/>
      <c r="AC10" s="3349"/>
      <c r="AD10" s="3349">
        <f t="shared" si="27"/>
        <v>0</v>
      </c>
      <c r="AE10" s="4697">
        <f t="shared" ref="AE10:AE33" si="42">AD10/AD$89</f>
        <v>0</v>
      </c>
      <c r="AF10" s="3795"/>
      <c r="AG10" s="3341">
        <v>14458.79</v>
      </c>
      <c r="AH10" s="3341"/>
      <c r="AI10" s="3349">
        <f t="shared" si="28"/>
        <v>14458.79</v>
      </c>
      <c r="AJ10" s="4697">
        <f t="shared" ref="AJ10:AJ33" si="43">AI10/AI$89</f>
        <v>2.345654451151263E-2</v>
      </c>
      <c r="AK10" s="2047"/>
      <c r="AL10" s="3341">
        <v>11558.52</v>
      </c>
      <c r="AM10" s="3341"/>
      <c r="AN10" s="3349">
        <f t="shared" si="29"/>
        <v>11558.52</v>
      </c>
      <c r="AO10" s="4697">
        <f t="shared" ref="AO10:AO33" si="44">AN10/AN$89</f>
        <v>1.7140390920780606E-2</v>
      </c>
      <c r="AP10" s="3780"/>
      <c r="AQ10" s="3341">
        <v>6540.7</v>
      </c>
      <c r="AR10" s="3341"/>
      <c r="AS10" s="3349">
        <f t="shared" si="30"/>
        <v>6540.7</v>
      </c>
      <c r="AT10" s="4697">
        <f t="shared" ref="AT10:AT33" si="45">AS10/AS$89</f>
        <v>1.1674912432883712E-2</v>
      </c>
      <c r="AU10" s="3780"/>
      <c r="AV10" s="3341">
        <v>3964.81</v>
      </c>
      <c r="AW10" s="3341"/>
      <c r="AX10" s="3349">
        <f t="shared" si="31"/>
        <v>3964.81</v>
      </c>
      <c r="AY10" s="4697">
        <f t="shared" ref="AY10:AY33" si="46">AX10/AX$89</f>
        <v>7.5426453520787556E-3</v>
      </c>
      <c r="AZ10" s="2047"/>
      <c r="BA10" s="3341">
        <v>31751.78</v>
      </c>
      <c r="BB10" s="3341"/>
      <c r="BC10" s="3349">
        <f t="shared" si="32"/>
        <v>31751.78</v>
      </c>
      <c r="BD10" s="4697">
        <f t="shared" ref="BD10:BD33" si="47">BC10/BC$89</f>
        <v>4.7177332897499029E-2</v>
      </c>
      <c r="BE10" s="2047"/>
      <c r="BF10" s="3341"/>
      <c r="BG10" s="3341"/>
      <c r="BH10" s="3349">
        <f t="shared" si="33"/>
        <v>0</v>
      </c>
      <c r="BI10" s="4697" t="e">
        <f t="shared" ref="BI10:BI33" si="48">BH10/BH$89</f>
        <v>#DIV/0!</v>
      </c>
      <c r="BJ10" s="2047"/>
      <c r="BK10" s="3341"/>
      <c r="BL10" s="3341"/>
      <c r="BM10" s="3349">
        <f t="shared" si="34"/>
        <v>0</v>
      </c>
      <c r="BN10" s="4697" t="e">
        <f t="shared" ref="BN10:BN33" si="49">BM10/BM$89</f>
        <v>#DIV/0!</v>
      </c>
      <c r="BO10" s="2047"/>
      <c r="BP10" s="3341"/>
      <c r="BQ10" s="3341"/>
      <c r="BR10" s="3349">
        <f t="shared" si="35"/>
        <v>0</v>
      </c>
      <c r="BS10" s="4697" t="e">
        <f t="shared" ref="BS10:BS33" si="50">BR10/BR$89</f>
        <v>#DIV/0!</v>
      </c>
      <c r="BT10" s="2047"/>
      <c r="BU10" s="3341"/>
      <c r="BV10" s="3341"/>
      <c r="BW10" s="3349">
        <f t="shared" si="36"/>
        <v>0</v>
      </c>
      <c r="BX10" s="4697" t="e">
        <f t="shared" ref="BX10:BX33" si="51">BW10/BW$89</f>
        <v>#DIV/0!</v>
      </c>
      <c r="BY10" s="2047"/>
      <c r="BZ10" s="3341"/>
      <c r="CA10" s="3341"/>
      <c r="CB10" s="3349">
        <f t="shared" si="37"/>
        <v>0</v>
      </c>
      <c r="CC10" s="4697" t="e">
        <f t="shared" ref="CC10:CC33" si="52">CB10/CB$89</f>
        <v>#DIV/0!</v>
      </c>
      <c r="CD10" s="2047"/>
      <c r="CE10" s="3341"/>
      <c r="CF10" s="3341"/>
      <c r="CG10" s="3349">
        <f t="shared" si="38"/>
        <v>0</v>
      </c>
      <c r="CH10" s="4697" t="e">
        <f t="shared" ref="CH10:CH33" si="53">CG10/CG$89</f>
        <v>#DIV/0!</v>
      </c>
      <c r="CI10" s="2047"/>
      <c r="CJ10" s="3341">
        <f t="shared" si="39"/>
        <v>68274.600000000006</v>
      </c>
      <c r="CK10" s="3341">
        <f t="shared" si="39"/>
        <v>0</v>
      </c>
      <c r="CL10" s="3349">
        <f t="shared" ref="CL10:CL33" si="54">CJ10+CK10*1</f>
        <v>68274.600000000006</v>
      </c>
      <c r="CM10" s="4697">
        <f t="shared" si="40"/>
        <v>1.7899010589324523E-2</v>
      </c>
      <c r="CN10" s="1434"/>
      <c r="CP10" s="4615"/>
      <c r="CQ10" s="2012"/>
      <c r="CR10" s="4614">
        <f t="shared" ref="CR10:CR33" si="55">CP10-CQ10</f>
        <v>0</v>
      </c>
      <c r="CT10" s="2624"/>
    </row>
    <row r="11" spans="1:98" s="1396" customFormat="1" ht="13.8" outlineLevel="2">
      <c r="A11" s="1571"/>
      <c r="B11" s="1424" t="s">
        <v>69</v>
      </c>
      <c r="C11" s="3341"/>
      <c r="D11" s="3341"/>
      <c r="E11" s="3349">
        <f t="shared" si="19"/>
        <v>0</v>
      </c>
      <c r="F11" s="4697" t="e">
        <f t="shared" si="16"/>
        <v>#DIV/0!</v>
      </c>
      <c r="G11" s="1055"/>
      <c r="H11" s="3341"/>
      <c r="I11" s="3341"/>
      <c r="J11" s="3349">
        <f t="shared" si="20"/>
        <v>0</v>
      </c>
      <c r="K11" s="4697" t="e">
        <f t="shared" si="41"/>
        <v>#DIV/0!</v>
      </c>
      <c r="L11" s="1055"/>
      <c r="M11" s="3341"/>
      <c r="N11" s="3341"/>
      <c r="O11" s="3349">
        <f t="shared" si="21"/>
        <v>0</v>
      </c>
      <c r="P11" s="4697" t="e">
        <f t="shared" si="22"/>
        <v>#DIV/0!</v>
      </c>
      <c r="Q11" s="1055"/>
      <c r="R11" s="3342">
        <f t="shared" si="23"/>
        <v>0</v>
      </c>
      <c r="S11" s="3342">
        <f t="shared" si="23"/>
        <v>0</v>
      </c>
      <c r="T11" s="2012">
        <f t="shared" si="24"/>
        <v>0</v>
      </c>
      <c r="U11" s="1055"/>
      <c r="V11" s="1055"/>
      <c r="W11" s="3342">
        <f t="shared" si="25"/>
        <v>78146.73</v>
      </c>
      <c r="X11" s="3342">
        <f t="shared" si="25"/>
        <v>0</v>
      </c>
      <c r="Y11" s="2012">
        <f t="shared" si="26"/>
        <v>78146.73</v>
      </c>
      <c r="Z11" s="3341"/>
      <c r="AA11" s="3341"/>
      <c r="AB11" s="2045"/>
      <c r="AC11" s="3349"/>
      <c r="AD11" s="3349">
        <f t="shared" si="27"/>
        <v>0</v>
      </c>
      <c r="AE11" s="4697">
        <f t="shared" si="42"/>
        <v>0</v>
      </c>
      <c r="AF11" s="3795"/>
      <c r="AG11" s="3341">
        <v>7122.62</v>
      </c>
      <c r="AH11" s="3341"/>
      <c r="AI11" s="3349">
        <f t="shared" si="28"/>
        <v>7122.62</v>
      </c>
      <c r="AJ11" s="4697">
        <f t="shared" si="43"/>
        <v>1.1555050807750171E-2</v>
      </c>
      <c r="AK11" s="1055"/>
      <c r="AL11" s="3341">
        <v>13040.46</v>
      </c>
      <c r="AM11" s="3341"/>
      <c r="AN11" s="3349">
        <f t="shared" si="29"/>
        <v>13040.46</v>
      </c>
      <c r="AO11" s="4697">
        <f t="shared" si="44"/>
        <v>1.9337993288656565E-2</v>
      </c>
      <c r="AP11" s="3720"/>
      <c r="AQ11" s="3341">
        <v>9358.9500000000007</v>
      </c>
      <c r="AR11" s="3341"/>
      <c r="AS11" s="3349">
        <f t="shared" si="30"/>
        <v>9358.9500000000007</v>
      </c>
      <c r="AT11" s="4697">
        <f t="shared" si="45"/>
        <v>1.6705386535651692E-2</v>
      </c>
      <c r="AU11" s="3720"/>
      <c r="AV11" s="3341">
        <v>10453.15</v>
      </c>
      <c r="AW11" s="3341"/>
      <c r="AX11" s="3349">
        <f t="shared" si="31"/>
        <v>10453.15</v>
      </c>
      <c r="AY11" s="4697">
        <f t="shared" si="46"/>
        <v>1.9886048325665553E-2</v>
      </c>
      <c r="AZ11" s="1055"/>
      <c r="BA11" s="3341">
        <v>38171.550000000003</v>
      </c>
      <c r="BB11" s="3341"/>
      <c r="BC11" s="3349">
        <f t="shared" si="32"/>
        <v>38171.550000000003</v>
      </c>
      <c r="BD11" s="4697">
        <f t="shared" si="47"/>
        <v>5.6715935974724227E-2</v>
      </c>
      <c r="BE11" s="1055"/>
      <c r="BF11" s="3341"/>
      <c r="BG11" s="3341"/>
      <c r="BH11" s="3349">
        <f t="shared" si="33"/>
        <v>0</v>
      </c>
      <c r="BI11" s="4697" t="e">
        <f t="shared" si="48"/>
        <v>#DIV/0!</v>
      </c>
      <c r="BJ11" s="1055"/>
      <c r="BK11" s="3341"/>
      <c r="BL11" s="3341"/>
      <c r="BM11" s="3349">
        <f t="shared" si="34"/>
        <v>0</v>
      </c>
      <c r="BN11" s="4697" t="e">
        <f t="shared" si="49"/>
        <v>#DIV/0!</v>
      </c>
      <c r="BO11" s="1055"/>
      <c r="BP11" s="3341"/>
      <c r="BQ11" s="3341"/>
      <c r="BR11" s="3349">
        <f t="shared" si="35"/>
        <v>0</v>
      </c>
      <c r="BS11" s="4697" t="e">
        <f t="shared" si="50"/>
        <v>#DIV/0!</v>
      </c>
      <c r="BT11" s="1055"/>
      <c r="BU11" s="3341"/>
      <c r="BV11" s="3341"/>
      <c r="BW11" s="3349">
        <f t="shared" si="36"/>
        <v>0</v>
      </c>
      <c r="BX11" s="4697" t="e">
        <f t="shared" si="51"/>
        <v>#DIV/0!</v>
      </c>
      <c r="BY11" s="1055"/>
      <c r="BZ11" s="3341"/>
      <c r="CA11" s="3341"/>
      <c r="CB11" s="3349">
        <f t="shared" si="37"/>
        <v>0</v>
      </c>
      <c r="CC11" s="4697" t="e">
        <f t="shared" si="52"/>
        <v>#DIV/0!</v>
      </c>
      <c r="CD11" s="1055"/>
      <c r="CE11" s="3341"/>
      <c r="CF11" s="3341"/>
      <c r="CG11" s="3349">
        <f t="shared" si="38"/>
        <v>0</v>
      </c>
      <c r="CH11" s="4697" t="e">
        <f t="shared" si="53"/>
        <v>#DIV/0!</v>
      </c>
      <c r="CI11" s="1055"/>
      <c r="CJ11" s="3341">
        <f t="shared" si="39"/>
        <v>78146.73</v>
      </c>
      <c r="CK11" s="3341">
        <f t="shared" si="39"/>
        <v>0</v>
      </c>
      <c r="CL11" s="3349">
        <f t="shared" si="54"/>
        <v>78146.73</v>
      </c>
      <c r="CM11" s="4697">
        <f t="shared" si="40"/>
        <v>2.0487108643493835E-2</v>
      </c>
      <c r="CN11" s="1434"/>
      <c r="CP11" s="4615"/>
      <c r="CQ11" s="2012"/>
      <c r="CR11" s="4614">
        <f t="shared" si="55"/>
        <v>0</v>
      </c>
      <c r="CT11" s="2624"/>
    </row>
    <row r="12" spans="1:98" s="1396" customFormat="1" ht="13.8" outlineLevel="2">
      <c r="A12" s="1571"/>
      <c r="B12" s="1424" t="s">
        <v>73</v>
      </c>
      <c r="C12" s="3341"/>
      <c r="D12" s="3341"/>
      <c r="E12" s="3349">
        <f t="shared" si="19"/>
        <v>0</v>
      </c>
      <c r="F12" s="4697" t="e">
        <f t="shared" si="16"/>
        <v>#DIV/0!</v>
      </c>
      <c r="G12" s="1055"/>
      <c r="H12" s="3341"/>
      <c r="I12" s="3341"/>
      <c r="J12" s="3349">
        <f t="shared" si="20"/>
        <v>0</v>
      </c>
      <c r="K12" s="4697" t="e">
        <f t="shared" si="41"/>
        <v>#DIV/0!</v>
      </c>
      <c r="L12" s="1055"/>
      <c r="M12" s="3341"/>
      <c r="N12" s="3341"/>
      <c r="O12" s="3349">
        <f t="shared" si="21"/>
        <v>0</v>
      </c>
      <c r="P12" s="4697" t="e">
        <f t="shared" si="22"/>
        <v>#DIV/0!</v>
      </c>
      <c r="Q12" s="1055"/>
      <c r="R12" s="3342">
        <f t="shared" si="23"/>
        <v>0</v>
      </c>
      <c r="S12" s="3342">
        <f t="shared" si="23"/>
        <v>0</v>
      </c>
      <c r="T12" s="2012">
        <f t="shared" si="24"/>
        <v>0</v>
      </c>
      <c r="U12" s="1055"/>
      <c r="V12" s="1055"/>
      <c r="W12" s="3342">
        <f t="shared" si="25"/>
        <v>79091.22</v>
      </c>
      <c r="X12" s="3342">
        <f t="shared" si="25"/>
        <v>280900</v>
      </c>
      <c r="Y12" s="2012">
        <f t="shared" si="26"/>
        <v>359991.22</v>
      </c>
      <c r="Z12" s="1055"/>
      <c r="AA12" s="1055"/>
      <c r="AB12" s="3349">
        <v>13181.87</v>
      </c>
      <c r="AC12" s="3349">
        <v>46800</v>
      </c>
      <c r="AD12" s="3349">
        <f t="shared" si="27"/>
        <v>59981.87</v>
      </c>
      <c r="AE12" s="4697">
        <f t="shared" si="42"/>
        <v>7.8431822131758797E-2</v>
      </c>
      <c r="AF12" s="3795" t="s">
        <v>1895</v>
      </c>
      <c r="AG12" s="2045">
        <v>13181.87</v>
      </c>
      <c r="AH12" s="2045">
        <v>46900</v>
      </c>
      <c r="AI12" s="3349">
        <f t="shared" si="28"/>
        <v>60081.87</v>
      </c>
      <c r="AJ12" s="4697">
        <f t="shared" si="43"/>
        <v>9.7471023369861201E-2</v>
      </c>
      <c r="AK12" s="3795" t="s">
        <v>1895</v>
      </c>
      <c r="AL12" s="3349">
        <v>13181.87</v>
      </c>
      <c r="AM12" s="3349">
        <v>46700</v>
      </c>
      <c r="AN12" s="3349">
        <f t="shared" si="29"/>
        <v>59881.87</v>
      </c>
      <c r="AO12" s="4697">
        <f t="shared" si="44"/>
        <v>8.880018037494114E-2</v>
      </c>
      <c r="AP12" s="3795" t="s">
        <v>1895</v>
      </c>
      <c r="AQ12" s="3349">
        <v>13181.87</v>
      </c>
      <c r="AR12" s="3349">
        <v>46900</v>
      </c>
      <c r="AS12" s="3349">
        <f t="shared" si="30"/>
        <v>60081.87</v>
      </c>
      <c r="AT12" s="4697">
        <f t="shared" si="45"/>
        <v>0.10724396028772196</v>
      </c>
      <c r="AU12" s="3795" t="s">
        <v>1895</v>
      </c>
      <c r="AV12" s="3349">
        <v>13181.87</v>
      </c>
      <c r="AW12" s="3349">
        <v>46800</v>
      </c>
      <c r="AX12" s="3349">
        <f t="shared" si="31"/>
        <v>59981.87</v>
      </c>
      <c r="AY12" s="4697">
        <f t="shared" si="46"/>
        <v>0.11410937042745861</v>
      </c>
      <c r="AZ12" s="3795" t="s">
        <v>1895</v>
      </c>
      <c r="BA12" s="3349">
        <v>13181.87</v>
      </c>
      <c r="BB12" s="3349">
        <v>46800</v>
      </c>
      <c r="BC12" s="3349">
        <f t="shared" si="32"/>
        <v>59981.87</v>
      </c>
      <c r="BD12" s="4697">
        <f t="shared" si="47"/>
        <v>8.912207910247899E-2</v>
      </c>
      <c r="BE12" s="3795" t="s">
        <v>1895</v>
      </c>
      <c r="BF12" s="3341"/>
      <c r="BG12" s="3341"/>
      <c r="BH12" s="3349">
        <f t="shared" si="33"/>
        <v>0</v>
      </c>
      <c r="BI12" s="4697" t="e">
        <f t="shared" si="48"/>
        <v>#DIV/0!</v>
      </c>
      <c r="BJ12" s="1055"/>
      <c r="BK12" s="3341"/>
      <c r="BL12" s="3341"/>
      <c r="BM12" s="3349">
        <f t="shared" si="34"/>
        <v>0</v>
      </c>
      <c r="BN12" s="4697" t="e">
        <f t="shared" si="49"/>
        <v>#DIV/0!</v>
      </c>
      <c r="BO12" s="1055"/>
      <c r="BP12" s="3341"/>
      <c r="BQ12" s="3341"/>
      <c r="BR12" s="3349">
        <f t="shared" si="35"/>
        <v>0</v>
      </c>
      <c r="BS12" s="4697" t="e">
        <f t="shared" si="50"/>
        <v>#DIV/0!</v>
      </c>
      <c r="BT12" s="1055"/>
      <c r="BU12" s="3341"/>
      <c r="BV12" s="3341"/>
      <c r="BW12" s="3349">
        <f t="shared" si="36"/>
        <v>0</v>
      </c>
      <c r="BX12" s="4697" t="e">
        <f t="shared" si="51"/>
        <v>#DIV/0!</v>
      </c>
      <c r="BY12" s="1055"/>
      <c r="BZ12" s="3341"/>
      <c r="CA12" s="3341"/>
      <c r="CB12" s="3349">
        <f t="shared" si="37"/>
        <v>0</v>
      </c>
      <c r="CC12" s="4697" t="e">
        <f t="shared" si="52"/>
        <v>#DIV/0!</v>
      </c>
      <c r="CD12" s="1055"/>
      <c r="CE12" s="3341"/>
      <c r="CF12" s="3341"/>
      <c r="CG12" s="3349">
        <f t="shared" si="38"/>
        <v>0</v>
      </c>
      <c r="CH12" s="4697" t="e">
        <f t="shared" si="53"/>
        <v>#DIV/0!</v>
      </c>
      <c r="CI12" s="1055"/>
      <c r="CJ12" s="3341">
        <f t="shared" si="39"/>
        <v>79091.22</v>
      </c>
      <c r="CK12" s="3341">
        <f t="shared" si="39"/>
        <v>280900</v>
      </c>
      <c r="CL12" s="3349">
        <f t="shared" si="54"/>
        <v>359991.22</v>
      </c>
      <c r="CM12" s="4697">
        <f t="shared" si="40"/>
        <v>9.4376044075598436E-2</v>
      </c>
      <c r="CN12" s="1434"/>
      <c r="CP12" s="4615"/>
      <c r="CQ12" s="2012"/>
      <c r="CR12" s="4614">
        <f t="shared" si="55"/>
        <v>0</v>
      </c>
      <c r="CT12" s="2624"/>
    </row>
    <row r="13" spans="1:98" s="1396" customFormat="1" ht="13.8" outlineLevel="2">
      <c r="A13" s="1571"/>
      <c r="B13" s="1424" t="s">
        <v>71</v>
      </c>
      <c r="C13" s="3341"/>
      <c r="D13" s="3341"/>
      <c r="E13" s="3349">
        <f t="shared" si="19"/>
        <v>0</v>
      </c>
      <c r="F13" s="4697" t="e">
        <f t="shared" si="16"/>
        <v>#DIV/0!</v>
      </c>
      <c r="G13" s="1055"/>
      <c r="H13" s="3341"/>
      <c r="I13" s="3341"/>
      <c r="J13" s="3349">
        <f t="shared" si="20"/>
        <v>0</v>
      </c>
      <c r="K13" s="4697" t="e">
        <f t="shared" si="41"/>
        <v>#DIV/0!</v>
      </c>
      <c r="L13" s="1055"/>
      <c r="M13" s="3341"/>
      <c r="N13" s="3341"/>
      <c r="O13" s="3349">
        <f t="shared" si="21"/>
        <v>0</v>
      </c>
      <c r="P13" s="4697" t="e">
        <f t="shared" si="22"/>
        <v>#DIV/0!</v>
      </c>
      <c r="Q13" s="1055"/>
      <c r="R13" s="3342">
        <f t="shared" si="23"/>
        <v>0</v>
      </c>
      <c r="S13" s="3342">
        <f t="shared" si="23"/>
        <v>0</v>
      </c>
      <c r="T13" s="2012">
        <f t="shared" si="24"/>
        <v>0</v>
      </c>
      <c r="U13" s="1055"/>
      <c r="V13" s="1055"/>
      <c r="W13" s="3342">
        <f t="shared" si="25"/>
        <v>19158.780000000002</v>
      </c>
      <c r="X13" s="3342">
        <f t="shared" si="25"/>
        <v>0</v>
      </c>
      <c r="Y13" s="2012">
        <f t="shared" si="26"/>
        <v>19158.780000000002</v>
      </c>
      <c r="Z13" s="1055"/>
      <c r="AA13" s="1055"/>
      <c r="AB13" s="3349">
        <v>3193.13</v>
      </c>
      <c r="AC13" s="3349"/>
      <c r="AD13" s="3349">
        <f t="shared" si="27"/>
        <v>3193.13</v>
      </c>
      <c r="AE13" s="4697">
        <f t="shared" si="42"/>
        <v>4.175311710081446E-3</v>
      </c>
      <c r="AF13" s="3795"/>
      <c r="AG13" s="2045">
        <v>3193.13</v>
      </c>
      <c r="AH13" s="2045"/>
      <c r="AI13" s="3349">
        <f t="shared" si="28"/>
        <v>3193.13</v>
      </c>
      <c r="AJ13" s="4697">
        <f t="shared" si="43"/>
        <v>5.1802257295421213E-3</v>
      </c>
      <c r="AK13" s="3795"/>
      <c r="AL13" s="3349">
        <v>3193.13</v>
      </c>
      <c r="AM13" s="3349"/>
      <c r="AN13" s="3349">
        <f t="shared" si="29"/>
        <v>3193.13</v>
      </c>
      <c r="AO13" s="4697">
        <f t="shared" si="44"/>
        <v>4.7351647495416527E-3</v>
      </c>
      <c r="AP13" s="3795"/>
      <c r="AQ13" s="3349">
        <v>3193.13</v>
      </c>
      <c r="AR13" s="3349"/>
      <c r="AS13" s="3349">
        <f t="shared" si="30"/>
        <v>3193.13</v>
      </c>
      <c r="AT13" s="4697">
        <f t="shared" si="45"/>
        <v>5.6996213152742019E-3</v>
      </c>
      <c r="AU13" s="3795"/>
      <c r="AV13" s="3349">
        <v>3193.13</v>
      </c>
      <c r="AW13" s="3349"/>
      <c r="AX13" s="3349">
        <f t="shared" si="31"/>
        <v>3193.13</v>
      </c>
      <c r="AY13" s="4697">
        <f t="shared" si="46"/>
        <v>6.074603109123322E-3</v>
      </c>
      <c r="AZ13" s="3795"/>
      <c r="BA13" s="3349">
        <v>3193.13</v>
      </c>
      <c r="BB13" s="3349"/>
      <c r="BC13" s="3349">
        <f t="shared" si="32"/>
        <v>3193.13</v>
      </c>
      <c r="BD13" s="4697">
        <f t="shared" si="47"/>
        <v>4.7444066756254641E-3</v>
      </c>
      <c r="BE13" s="3795"/>
      <c r="BF13" s="3341"/>
      <c r="BG13" s="3341"/>
      <c r="BH13" s="3349">
        <f t="shared" si="33"/>
        <v>0</v>
      </c>
      <c r="BI13" s="4697" t="e">
        <f t="shared" si="48"/>
        <v>#DIV/0!</v>
      </c>
      <c r="BJ13" s="1055"/>
      <c r="BK13" s="3341"/>
      <c r="BL13" s="3341"/>
      <c r="BM13" s="3349">
        <f t="shared" si="34"/>
        <v>0</v>
      </c>
      <c r="BN13" s="4697" t="e">
        <f t="shared" si="49"/>
        <v>#DIV/0!</v>
      </c>
      <c r="BO13" s="1055"/>
      <c r="BP13" s="3341"/>
      <c r="BQ13" s="3341"/>
      <c r="BR13" s="3349">
        <f t="shared" si="35"/>
        <v>0</v>
      </c>
      <c r="BS13" s="4697" t="e">
        <f t="shared" si="50"/>
        <v>#DIV/0!</v>
      </c>
      <c r="BT13" s="1055"/>
      <c r="BU13" s="3341"/>
      <c r="BV13" s="3341"/>
      <c r="BW13" s="3349">
        <f t="shared" si="36"/>
        <v>0</v>
      </c>
      <c r="BX13" s="4697" t="e">
        <f t="shared" si="51"/>
        <v>#DIV/0!</v>
      </c>
      <c r="BY13" s="1055"/>
      <c r="BZ13" s="3341"/>
      <c r="CA13" s="3341"/>
      <c r="CB13" s="3349">
        <f t="shared" si="37"/>
        <v>0</v>
      </c>
      <c r="CC13" s="4697" t="e">
        <f t="shared" si="52"/>
        <v>#DIV/0!</v>
      </c>
      <c r="CD13" s="1055"/>
      <c r="CE13" s="3341"/>
      <c r="CF13" s="3341"/>
      <c r="CG13" s="3349">
        <f t="shared" si="38"/>
        <v>0</v>
      </c>
      <c r="CH13" s="4697" t="e">
        <f t="shared" si="53"/>
        <v>#DIV/0!</v>
      </c>
      <c r="CI13" s="1055"/>
      <c r="CJ13" s="3341">
        <f t="shared" si="39"/>
        <v>19158.780000000002</v>
      </c>
      <c r="CK13" s="3341">
        <f t="shared" si="39"/>
        <v>0</v>
      </c>
      <c r="CL13" s="3349">
        <f t="shared" si="54"/>
        <v>19158.780000000002</v>
      </c>
      <c r="CM13" s="4697">
        <f t="shared" si="40"/>
        <v>5.0227054585239451E-3</v>
      </c>
      <c r="CN13" s="1434"/>
      <c r="CP13" s="4615"/>
      <c r="CQ13" s="2012"/>
      <c r="CR13" s="4614">
        <f t="shared" si="55"/>
        <v>0</v>
      </c>
      <c r="CT13" s="2624"/>
    </row>
    <row r="14" spans="1:98" s="1396" customFormat="1" ht="13.8" outlineLevel="2">
      <c r="A14" s="1571"/>
      <c r="B14" s="1424" t="s">
        <v>70</v>
      </c>
      <c r="C14" s="3341"/>
      <c r="D14" s="3341"/>
      <c r="E14" s="3349">
        <f t="shared" si="19"/>
        <v>0</v>
      </c>
      <c r="F14" s="4697" t="e">
        <f t="shared" si="16"/>
        <v>#DIV/0!</v>
      </c>
      <c r="G14" s="1055"/>
      <c r="H14" s="3341"/>
      <c r="I14" s="3341"/>
      <c r="J14" s="3349">
        <f t="shared" si="20"/>
        <v>0</v>
      </c>
      <c r="K14" s="4697" t="e">
        <f t="shared" si="41"/>
        <v>#DIV/0!</v>
      </c>
      <c r="L14" s="1055"/>
      <c r="M14" s="3341"/>
      <c r="N14" s="3341"/>
      <c r="O14" s="3349">
        <f t="shared" si="21"/>
        <v>0</v>
      </c>
      <c r="P14" s="4697" t="e">
        <f t="shared" si="22"/>
        <v>#DIV/0!</v>
      </c>
      <c r="Q14" s="1055"/>
      <c r="R14" s="3342">
        <f t="shared" si="23"/>
        <v>0</v>
      </c>
      <c r="S14" s="3342">
        <f t="shared" si="23"/>
        <v>0</v>
      </c>
      <c r="T14" s="2012">
        <f t="shared" si="24"/>
        <v>0</v>
      </c>
      <c r="U14" s="1055"/>
      <c r="V14" s="1055"/>
      <c r="W14" s="3342">
        <f t="shared" si="25"/>
        <v>21615</v>
      </c>
      <c r="X14" s="3342">
        <f t="shared" si="25"/>
        <v>0</v>
      </c>
      <c r="Y14" s="2012">
        <f t="shared" si="26"/>
        <v>21615</v>
      </c>
      <c r="Z14" s="1055"/>
      <c r="AA14" s="1055"/>
      <c r="AB14" s="3349">
        <v>3602.5</v>
      </c>
      <c r="AC14" s="3349"/>
      <c r="AD14" s="3349">
        <f t="shared" si="27"/>
        <v>3602.5</v>
      </c>
      <c r="AE14" s="4697">
        <f t="shared" si="42"/>
        <v>4.7106007070079857E-3</v>
      </c>
      <c r="AF14" s="3795"/>
      <c r="AG14" s="2045">
        <v>3602.5</v>
      </c>
      <c r="AH14" s="2045"/>
      <c r="AI14" s="3349">
        <f t="shared" si="28"/>
        <v>3602.5</v>
      </c>
      <c r="AJ14" s="4697">
        <f t="shared" si="43"/>
        <v>5.844348081874365E-3</v>
      </c>
      <c r="AK14" s="3795"/>
      <c r="AL14" s="3349">
        <v>3602.5</v>
      </c>
      <c r="AM14" s="3349"/>
      <c r="AN14" s="3349">
        <f t="shared" si="29"/>
        <v>3602.5</v>
      </c>
      <c r="AO14" s="4697">
        <f t="shared" si="44"/>
        <v>5.3422287881244434E-3</v>
      </c>
      <c r="AP14" s="3795"/>
      <c r="AQ14" s="3349">
        <v>3602.5</v>
      </c>
      <c r="AR14" s="3349"/>
      <c r="AS14" s="3349">
        <f t="shared" si="30"/>
        <v>3602.5</v>
      </c>
      <c r="AT14" s="4697">
        <f t="shared" si="45"/>
        <v>6.4303319276933016E-3</v>
      </c>
      <c r="AU14" s="3795"/>
      <c r="AV14" s="3349">
        <v>3602.5</v>
      </c>
      <c r="AW14" s="3349"/>
      <c r="AX14" s="3349">
        <f t="shared" si="31"/>
        <v>3602.5</v>
      </c>
      <c r="AY14" s="4697">
        <f t="shared" si="46"/>
        <v>6.8533876480496468E-3</v>
      </c>
      <c r="AZ14" s="3795"/>
      <c r="BA14" s="3349">
        <v>3602.5</v>
      </c>
      <c r="BB14" s="3349"/>
      <c r="BC14" s="3349">
        <f t="shared" si="32"/>
        <v>3602.5</v>
      </c>
      <c r="BD14" s="4697">
        <f t="shared" si="47"/>
        <v>5.3526555601997828E-3</v>
      </c>
      <c r="BE14" s="3795"/>
      <c r="BF14" s="3341"/>
      <c r="BG14" s="3341"/>
      <c r="BH14" s="3349">
        <f t="shared" si="33"/>
        <v>0</v>
      </c>
      <c r="BI14" s="4697" t="e">
        <f t="shared" si="48"/>
        <v>#DIV/0!</v>
      </c>
      <c r="BJ14" s="1055"/>
      <c r="BK14" s="3341"/>
      <c r="BL14" s="3341"/>
      <c r="BM14" s="3349">
        <f t="shared" si="34"/>
        <v>0</v>
      </c>
      <c r="BN14" s="4697" t="e">
        <f t="shared" si="49"/>
        <v>#DIV/0!</v>
      </c>
      <c r="BO14" s="1055"/>
      <c r="BP14" s="3341"/>
      <c r="BQ14" s="3341"/>
      <c r="BR14" s="3349">
        <f t="shared" si="35"/>
        <v>0</v>
      </c>
      <c r="BS14" s="4697" t="e">
        <f t="shared" si="50"/>
        <v>#DIV/0!</v>
      </c>
      <c r="BT14" s="1055"/>
      <c r="BU14" s="3341"/>
      <c r="BV14" s="3341"/>
      <c r="BW14" s="3349">
        <f t="shared" si="36"/>
        <v>0</v>
      </c>
      <c r="BX14" s="4697" t="e">
        <f t="shared" si="51"/>
        <v>#DIV/0!</v>
      </c>
      <c r="BY14" s="1055"/>
      <c r="BZ14" s="3341"/>
      <c r="CA14" s="3341"/>
      <c r="CB14" s="3349">
        <f t="shared" si="37"/>
        <v>0</v>
      </c>
      <c r="CC14" s="4697" t="e">
        <f t="shared" si="52"/>
        <v>#DIV/0!</v>
      </c>
      <c r="CD14" s="1055"/>
      <c r="CE14" s="3341"/>
      <c r="CF14" s="3341"/>
      <c r="CG14" s="3349">
        <f t="shared" si="38"/>
        <v>0</v>
      </c>
      <c r="CH14" s="4697" t="e">
        <f t="shared" si="53"/>
        <v>#DIV/0!</v>
      </c>
      <c r="CI14" s="1055"/>
      <c r="CJ14" s="3341">
        <f t="shared" si="39"/>
        <v>21615</v>
      </c>
      <c r="CK14" s="3341">
        <f t="shared" si="39"/>
        <v>0</v>
      </c>
      <c r="CL14" s="3349">
        <f t="shared" si="54"/>
        <v>21615</v>
      </c>
      <c r="CM14" s="4697">
        <f t="shared" si="40"/>
        <v>5.666633182592788E-3</v>
      </c>
      <c r="CN14" s="1434"/>
      <c r="CP14" s="4615"/>
      <c r="CQ14" s="2012"/>
      <c r="CR14" s="4614">
        <f t="shared" si="55"/>
        <v>0</v>
      </c>
      <c r="CT14" s="2624"/>
    </row>
    <row r="15" spans="1:98" s="1396" customFormat="1" ht="13.8" outlineLevel="2">
      <c r="A15" s="1571"/>
      <c r="B15" s="4698" t="s">
        <v>20</v>
      </c>
      <c r="C15" s="3341"/>
      <c r="D15" s="3341"/>
      <c r="E15" s="3349">
        <f t="shared" si="19"/>
        <v>0</v>
      </c>
      <c r="F15" s="4697" t="e">
        <f t="shared" si="16"/>
        <v>#DIV/0!</v>
      </c>
      <c r="G15" s="1055"/>
      <c r="H15" s="3341"/>
      <c r="I15" s="3341"/>
      <c r="J15" s="3349">
        <f t="shared" si="20"/>
        <v>0</v>
      </c>
      <c r="K15" s="4697" t="e">
        <f t="shared" si="41"/>
        <v>#DIV/0!</v>
      </c>
      <c r="L15" s="1055"/>
      <c r="M15" s="3341"/>
      <c r="N15" s="3341"/>
      <c r="O15" s="3349">
        <f t="shared" si="21"/>
        <v>0</v>
      </c>
      <c r="P15" s="4697" t="e">
        <f t="shared" si="22"/>
        <v>#DIV/0!</v>
      </c>
      <c r="Q15" s="1055"/>
      <c r="R15" s="3342">
        <f t="shared" si="23"/>
        <v>0</v>
      </c>
      <c r="S15" s="3342">
        <f t="shared" si="23"/>
        <v>0</v>
      </c>
      <c r="T15" s="2012">
        <f t="shared" si="24"/>
        <v>0</v>
      </c>
      <c r="U15" s="1055"/>
      <c r="V15" s="1055"/>
      <c r="W15" s="3342">
        <f t="shared" si="25"/>
        <v>0</v>
      </c>
      <c r="X15" s="3342">
        <f t="shared" si="25"/>
        <v>0</v>
      </c>
      <c r="Y15" s="2012">
        <f t="shared" si="26"/>
        <v>0</v>
      </c>
      <c r="Z15" s="1055"/>
      <c r="AA15" s="1055"/>
      <c r="AB15" s="3349"/>
      <c r="AC15" s="3349"/>
      <c r="AD15" s="3349">
        <f t="shared" si="27"/>
        <v>0</v>
      </c>
      <c r="AE15" s="4697">
        <f t="shared" si="42"/>
        <v>0</v>
      </c>
      <c r="AF15" s="3795"/>
      <c r="AG15" s="2043"/>
      <c r="AH15" s="2043"/>
      <c r="AI15" s="3349">
        <f t="shared" si="28"/>
        <v>0</v>
      </c>
      <c r="AJ15" s="4697">
        <f t="shared" si="43"/>
        <v>0</v>
      </c>
      <c r="AK15" s="1055"/>
      <c r="AL15" s="3341"/>
      <c r="AM15" s="3341"/>
      <c r="AN15" s="3349">
        <f t="shared" si="29"/>
        <v>0</v>
      </c>
      <c r="AO15" s="4697">
        <f t="shared" si="44"/>
        <v>0</v>
      </c>
      <c r="AP15" s="3720"/>
      <c r="AQ15" s="3341"/>
      <c r="AR15" s="3341"/>
      <c r="AS15" s="3349">
        <f t="shared" si="30"/>
        <v>0</v>
      </c>
      <c r="AT15" s="4697">
        <f t="shared" si="45"/>
        <v>0</v>
      </c>
      <c r="AU15" s="3720"/>
      <c r="AV15" s="3341"/>
      <c r="AW15" s="3341"/>
      <c r="AX15" s="3349">
        <f t="shared" si="31"/>
        <v>0</v>
      </c>
      <c r="AY15" s="4697">
        <f t="shared" si="46"/>
        <v>0</v>
      </c>
      <c r="AZ15" s="1055"/>
      <c r="BA15" s="3341"/>
      <c r="BB15" s="3341"/>
      <c r="BC15" s="3349">
        <f t="shared" si="32"/>
        <v>0</v>
      </c>
      <c r="BD15" s="4697">
        <f t="shared" si="47"/>
        <v>0</v>
      </c>
      <c r="BE15" s="1055"/>
      <c r="BF15" s="3341"/>
      <c r="BG15" s="3341"/>
      <c r="BH15" s="3349">
        <f t="shared" si="33"/>
        <v>0</v>
      </c>
      <c r="BI15" s="4697" t="e">
        <f t="shared" si="48"/>
        <v>#DIV/0!</v>
      </c>
      <c r="BJ15" s="1055"/>
      <c r="BK15" s="3341"/>
      <c r="BL15" s="3341"/>
      <c r="BM15" s="3349">
        <f t="shared" si="34"/>
        <v>0</v>
      </c>
      <c r="BN15" s="4697" t="e">
        <f t="shared" si="49"/>
        <v>#DIV/0!</v>
      </c>
      <c r="BO15" s="1055"/>
      <c r="BP15" s="3341"/>
      <c r="BQ15" s="3341"/>
      <c r="BR15" s="3349">
        <f t="shared" si="35"/>
        <v>0</v>
      </c>
      <c r="BS15" s="4697" t="e">
        <f t="shared" si="50"/>
        <v>#DIV/0!</v>
      </c>
      <c r="BT15" s="1055"/>
      <c r="BU15" s="3341"/>
      <c r="BV15" s="3341"/>
      <c r="BW15" s="3349">
        <f t="shared" si="36"/>
        <v>0</v>
      </c>
      <c r="BX15" s="4697" t="e">
        <f t="shared" si="51"/>
        <v>#DIV/0!</v>
      </c>
      <c r="BY15" s="1055"/>
      <c r="BZ15" s="3341"/>
      <c r="CA15" s="3341"/>
      <c r="CB15" s="3349">
        <f t="shared" si="37"/>
        <v>0</v>
      </c>
      <c r="CC15" s="4697" t="e">
        <f t="shared" si="52"/>
        <v>#DIV/0!</v>
      </c>
      <c r="CD15" s="1055"/>
      <c r="CE15" s="3341"/>
      <c r="CF15" s="3341"/>
      <c r="CG15" s="3349">
        <f t="shared" si="38"/>
        <v>0</v>
      </c>
      <c r="CH15" s="4697" t="e">
        <f t="shared" si="53"/>
        <v>#DIV/0!</v>
      </c>
      <c r="CI15" s="1055"/>
      <c r="CJ15" s="3341">
        <f t="shared" si="39"/>
        <v>0</v>
      </c>
      <c r="CK15" s="3341">
        <f t="shared" si="39"/>
        <v>0</v>
      </c>
      <c r="CL15" s="3349">
        <f t="shared" si="54"/>
        <v>0</v>
      </c>
      <c r="CM15" s="4697">
        <f t="shared" si="40"/>
        <v>0</v>
      </c>
      <c r="CN15" s="1434"/>
      <c r="CP15" s="4615"/>
      <c r="CQ15" s="2012"/>
      <c r="CR15" s="4614">
        <f t="shared" si="55"/>
        <v>0</v>
      </c>
      <c r="CT15" s="2624"/>
    </row>
    <row r="16" spans="1:98" s="1396" customFormat="1" ht="13.8" outlineLevel="2">
      <c r="A16" s="1571"/>
      <c r="B16" s="4698" t="s">
        <v>21</v>
      </c>
      <c r="C16" s="3341"/>
      <c r="D16" s="3341"/>
      <c r="E16" s="3349">
        <f t="shared" si="19"/>
        <v>0</v>
      </c>
      <c r="F16" s="4697" t="e">
        <f t="shared" si="16"/>
        <v>#DIV/0!</v>
      </c>
      <c r="G16" s="1055"/>
      <c r="H16" s="3341"/>
      <c r="I16" s="3341"/>
      <c r="J16" s="3349">
        <f t="shared" si="20"/>
        <v>0</v>
      </c>
      <c r="K16" s="4697" t="e">
        <f t="shared" si="41"/>
        <v>#DIV/0!</v>
      </c>
      <c r="L16" s="1055"/>
      <c r="M16" s="3341"/>
      <c r="N16" s="3341"/>
      <c r="O16" s="3349">
        <f t="shared" si="21"/>
        <v>0</v>
      </c>
      <c r="P16" s="4697" t="e">
        <f t="shared" si="22"/>
        <v>#DIV/0!</v>
      </c>
      <c r="Q16" s="1055"/>
      <c r="R16" s="3342">
        <f t="shared" si="23"/>
        <v>0</v>
      </c>
      <c r="S16" s="3342">
        <f t="shared" si="23"/>
        <v>0</v>
      </c>
      <c r="T16" s="2012">
        <f t="shared" si="24"/>
        <v>0</v>
      </c>
      <c r="U16" s="1055"/>
      <c r="V16" s="1055"/>
      <c r="W16" s="3342">
        <f t="shared" si="25"/>
        <v>0</v>
      </c>
      <c r="X16" s="3342">
        <f t="shared" si="25"/>
        <v>0</v>
      </c>
      <c r="Y16" s="2012">
        <f t="shared" si="26"/>
        <v>0</v>
      </c>
      <c r="Z16" s="1055"/>
      <c r="AA16" s="1055"/>
      <c r="AB16" s="3349"/>
      <c r="AC16" s="3349"/>
      <c r="AD16" s="3349">
        <f t="shared" si="27"/>
        <v>0</v>
      </c>
      <c r="AE16" s="4697">
        <f t="shared" si="42"/>
        <v>0</v>
      </c>
      <c r="AF16" s="3795"/>
      <c r="AG16" s="2043"/>
      <c r="AH16" s="2043"/>
      <c r="AI16" s="3349">
        <f t="shared" si="28"/>
        <v>0</v>
      </c>
      <c r="AJ16" s="4697">
        <f t="shared" si="43"/>
        <v>0</v>
      </c>
      <c r="AK16" s="1055"/>
      <c r="AL16" s="3341"/>
      <c r="AM16" s="3341"/>
      <c r="AN16" s="3349">
        <f t="shared" si="29"/>
        <v>0</v>
      </c>
      <c r="AO16" s="4697">
        <f t="shared" si="44"/>
        <v>0</v>
      </c>
      <c r="AP16" s="3720"/>
      <c r="AQ16" s="3341"/>
      <c r="AR16" s="3341"/>
      <c r="AS16" s="3349">
        <f t="shared" si="30"/>
        <v>0</v>
      </c>
      <c r="AT16" s="4697">
        <f t="shared" si="45"/>
        <v>0</v>
      </c>
      <c r="AU16" s="3720"/>
      <c r="AV16" s="3341"/>
      <c r="AW16" s="3341"/>
      <c r="AX16" s="3349">
        <f t="shared" si="31"/>
        <v>0</v>
      </c>
      <c r="AY16" s="4697">
        <f t="shared" si="46"/>
        <v>0</v>
      </c>
      <c r="AZ16" s="1055"/>
      <c r="BA16" s="3341"/>
      <c r="BB16" s="3341"/>
      <c r="BC16" s="3349">
        <f t="shared" si="32"/>
        <v>0</v>
      </c>
      <c r="BD16" s="4697">
        <f t="shared" si="47"/>
        <v>0</v>
      </c>
      <c r="BE16" s="1055"/>
      <c r="BF16" s="3341"/>
      <c r="BG16" s="3341"/>
      <c r="BH16" s="3349">
        <f t="shared" si="33"/>
        <v>0</v>
      </c>
      <c r="BI16" s="4697" t="e">
        <f t="shared" si="48"/>
        <v>#DIV/0!</v>
      </c>
      <c r="BJ16" s="1055"/>
      <c r="BK16" s="3341"/>
      <c r="BL16" s="3341"/>
      <c r="BM16" s="3349">
        <f t="shared" si="34"/>
        <v>0</v>
      </c>
      <c r="BN16" s="4697" t="e">
        <f t="shared" si="49"/>
        <v>#DIV/0!</v>
      </c>
      <c r="BO16" s="1055"/>
      <c r="BP16" s="3341"/>
      <c r="BQ16" s="3341"/>
      <c r="BR16" s="3349">
        <f t="shared" si="35"/>
        <v>0</v>
      </c>
      <c r="BS16" s="4697" t="e">
        <f t="shared" si="50"/>
        <v>#DIV/0!</v>
      </c>
      <c r="BT16" s="1055"/>
      <c r="BU16" s="3341"/>
      <c r="BV16" s="3341"/>
      <c r="BW16" s="3349">
        <f t="shared" si="36"/>
        <v>0</v>
      </c>
      <c r="BX16" s="4697" t="e">
        <f t="shared" si="51"/>
        <v>#DIV/0!</v>
      </c>
      <c r="BY16" s="1055"/>
      <c r="BZ16" s="3341"/>
      <c r="CA16" s="3341"/>
      <c r="CB16" s="3349">
        <f t="shared" si="37"/>
        <v>0</v>
      </c>
      <c r="CC16" s="4697" t="e">
        <f t="shared" si="52"/>
        <v>#DIV/0!</v>
      </c>
      <c r="CD16" s="1055"/>
      <c r="CE16" s="3341"/>
      <c r="CF16" s="3341"/>
      <c r="CG16" s="3349">
        <f t="shared" si="38"/>
        <v>0</v>
      </c>
      <c r="CH16" s="4697" t="e">
        <f t="shared" si="53"/>
        <v>#DIV/0!</v>
      </c>
      <c r="CI16" s="1055"/>
      <c r="CJ16" s="3341">
        <f t="shared" si="39"/>
        <v>0</v>
      </c>
      <c r="CK16" s="3341">
        <f t="shared" si="39"/>
        <v>0</v>
      </c>
      <c r="CL16" s="3349">
        <f>CJ16+CK16*1</f>
        <v>0</v>
      </c>
      <c r="CM16" s="4697">
        <f t="shared" si="40"/>
        <v>0</v>
      </c>
      <c r="CN16" s="1434"/>
      <c r="CP16" s="4615"/>
      <c r="CQ16" s="2012"/>
      <c r="CR16" s="4614">
        <f t="shared" si="55"/>
        <v>0</v>
      </c>
      <c r="CT16" s="2624"/>
    </row>
    <row r="17" spans="1:100" s="1396" customFormat="1" ht="13.8" outlineLevel="2">
      <c r="A17" s="1571"/>
      <c r="B17" s="4698" t="s">
        <v>22</v>
      </c>
      <c r="C17" s="3341"/>
      <c r="D17" s="3341"/>
      <c r="E17" s="3349">
        <f t="shared" si="19"/>
        <v>0</v>
      </c>
      <c r="F17" s="4697" t="e">
        <f t="shared" si="16"/>
        <v>#DIV/0!</v>
      </c>
      <c r="G17" s="2047"/>
      <c r="H17" s="3341"/>
      <c r="I17" s="3341"/>
      <c r="J17" s="3349">
        <f t="shared" si="20"/>
        <v>0</v>
      </c>
      <c r="K17" s="4697" t="e">
        <f t="shared" si="41"/>
        <v>#DIV/0!</v>
      </c>
      <c r="L17" s="2047"/>
      <c r="M17" s="3341"/>
      <c r="N17" s="3341"/>
      <c r="O17" s="3349">
        <f t="shared" si="21"/>
        <v>0</v>
      </c>
      <c r="P17" s="4697" t="e">
        <f t="shared" si="22"/>
        <v>#DIV/0!</v>
      </c>
      <c r="Q17" s="2047"/>
      <c r="R17" s="3342">
        <f t="shared" si="23"/>
        <v>0</v>
      </c>
      <c r="S17" s="3342">
        <f t="shared" si="23"/>
        <v>0</v>
      </c>
      <c r="T17" s="2012">
        <f t="shared" si="24"/>
        <v>0</v>
      </c>
      <c r="U17" s="2047"/>
      <c r="V17" s="2047"/>
      <c r="W17" s="3342">
        <f t="shared" si="25"/>
        <v>0</v>
      </c>
      <c r="X17" s="3342">
        <f t="shared" si="25"/>
        <v>0</v>
      </c>
      <c r="Y17" s="2012">
        <f t="shared" si="26"/>
        <v>0</v>
      </c>
      <c r="Z17" s="2047"/>
      <c r="AA17" s="2047"/>
      <c r="AB17" s="3349"/>
      <c r="AC17" s="3349"/>
      <c r="AD17" s="3349">
        <f t="shared" si="27"/>
        <v>0</v>
      </c>
      <c r="AE17" s="4697">
        <f t="shared" si="42"/>
        <v>0</v>
      </c>
      <c r="AF17" s="3795"/>
      <c r="AG17" s="3341"/>
      <c r="AH17" s="3341"/>
      <c r="AI17" s="3349">
        <f t="shared" si="28"/>
        <v>0</v>
      </c>
      <c r="AJ17" s="4697">
        <f t="shared" si="43"/>
        <v>0</v>
      </c>
      <c r="AK17" s="2047"/>
      <c r="AL17" s="3341"/>
      <c r="AM17" s="3341"/>
      <c r="AN17" s="3349">
        <f t="shared" si="29"/>
        <v>0</v>
      </c>
      <c r="AO17" s="4697">
        <f t="shared" si="44"/>
        <v>0</v>
      </c>
      <c r="AP17" s="3780"/>
      <c r="AQ17" s="3341"/>
      <c r="AR17" s="3341"/>
      <c r="AS17" s="3349">
        <f t="shared" si="30"/>
        <v>0</v>
      </c>
      <c r="AT17" s="4697">
        <f t="shared" si="45"/>
        <v>0</v>
      </c>
      <c r="AU17" s="3780"/>
      <c r="AV17" s="3341"/>
      <c r="AW17" s="3341"/>
      <c r="AX17" s="3349">
        <f t="shared" si="31"/>
        <v>0</v>
      </c>
      <c r="AY17" s="4697">
        <f t="shared" si="46"/>
        <v>0</v>
      </c>
      <c r="AZ17" s="2047"/>
      <c r="BA17" s="3341"/>
      <c r="BB17" s="3341"/>
      <c r="BC17" s="3349">
        <f t="shared" si="32"/>
        <v>0</v>
      </c>
      <c r="BD17" s="4697">
        <f t="shared" si="47"/>
        <v>0</v>
      </c>
      <c r="BE17" s="2047"/>
      <c r="BF17" s="3341"/>
      <c r="BG17" s="3341"/>
      <c r="BH17" s="3349">
        <f t="shared" si="33"/>
        <v>0</v>
      </c>
      <c r="BI17" s="4697" t="e">
        <f t="shared" si="48"/>
        <v>#DIV/0!</v>
      </c>
      <c r="BJ17" s="2047"/>
      <c r="BK17" s="3341"/>
      <c r="BL17" s="3341"/>
      <c r="BM17" s="3349">
        <f t="shared" si="34"/>
        <v>0</v>
      </c>
      <c r="BN17" s="4697" t="e">
        <f t="shared" si="49"/>
        <v>#DIV/0!</v>
      </c>
      <c r="BO17" s="2047"/>
      <c r="BP17" s="3341"/>
      <c r="BQ17" s="3341"/>
      <c r="BR17" s="3349">
        <f t="shared" si="35"/>
        <v>0</v>
      </c>
      <c r="BS17" s="4697" t="e">
        <f t="shared" si="50"/>
        <v>#DIV/0!</v>
      </c>
      <c r="BT17" s="2047"/>
      <c r="BU17" s="3341"/>
      <c r="BV17" s="3341"/>
      <c r="BW17" s="3349">
        <f t="shared" si="36"/>
        <v>0</v>
      </c>
      <c r="BX17" s="4697" t="e">
        <f t="shared" si="51"/>
        <v>#DIV/0!</v>
      </c>
      <c r="BY17" s="2047"/>
      <c r="BZ17" s="3341"/>
      <c r="CA17" s="3341"/>
      <c r="CB17" s="3349">
        <f t="shared" si="37"/>
        <v>0</v>
      </c>
      <c r="CC17" s="4697" t="e">
        <f t="shared" si="52"/>
        <v>#DIV/0!</v>
      </c>
      <c r="CD17" s="2047"/>
      <c r="CE17" s="3341"/>
      <c r="CF17" s="3341"/>
      <c r="CG17" s="3349">
        <f t="shared" si="38"/>
        <v>0</v>
      </c>
      <c r="CH17" s="4697" t="e">
        <f t="shared" si="53"/>
        <v>#DIV/0!</v>
      </c>
      <c r="CI17" s="2047"/>
      <c r="CJ17" s="3341">
        <f t="shared" si="39"/>
        <v>0</v>
      </c>
      <c r="CK17" s="3341">
        <f t="shared" si="39"/>
        <v>0</v>
      </c>
      <c r="CL17" s="3349">
        <f t="shared" si="54"/>
        <v>0</v>
      </c>
      <c r="CM17" s="4697">
        <f t="shared" si="40"/>
        <v>0</v>
      </c>
      <c r="CN17" s="1434"/>
      <c r="CP17" s="4615"/>
      <c r="CQ17" s="2012"/>
      <c r="CR17" s="4614">
        <f t="shared" si="55"/>
        <v>0</v>
      </c>
      <c r="CS17" s="3307"/>
      <c r="CT17" s="3443"/>
    </row>
    <row r="18" spans="1:100" s="1396" customFormat="1" ht="13.8" outlineLevel="2">
      <c r="A18" s="1571"/>
      <c r="B18" s="4698" t="s">
        <v>0</v>
      </c>
      <c r="C18" s="3341"/>
      <c r="D18" s="3341"/>
      <c r="E18" s="3349">
        <f t="shared" si="19"/>
        <v>0</v>
      </c>
      <c r="F18" s="4697" t="e">
        <f t="shared" si="16"/>
        <v>#DIV/0!</v>
      </c>
      <c r="G18" s="1055"/>
      <c r="H18" s="3341"/>
      <c r="I18" s="3341"/>
      <c r="J18" s="3349">
        <f t="shared" si="20"/>
        <v>0</v>
      </c>
      <c r="K18" s="4697" t="e">
        <f t="shared" si="41"/>
        <v>#DIV/0!</v>
      </c>
      <c r="L18" s="1055"/>
      <c r="M18" s="3341"/>
      <c r="N18" s="3341"/>
      <c r="O18" s="3349">
        <f t="shared" si="21"/>
        <v>0</v>
      </c>
      <c r="P18" s="4697" t="e">
        <f t="shared" si="22"/>
        <v>#DIV/0!</v>
      </c>
      <c r="Q18" s="1055"/>
      <c r="R18" s="3342">
        <f t="shared" si="23"/>
        <v>0</v>
      </c>
      <c r="S18" s="3342">
        <f t="shared" si="23"/>
        <v>0</v>
      </c>
      <c r="T18" s="2012">
        <f t="shared" si="24"/>
        <v>0</v>
      </c>
      <c r="U18" s="1055"/>
      <c r="V18" s="1055"/>
      <c r="W18" s="3342">
        <f t="shared" si="25"/>
        <v>0</v>
      </c>
      <c r="X18" s="3342">
        <f t="shared" si="25"/>
        <v>0</v>
      </c>
      <c r="Y18" s="2012">
        <f t="shared" si="26"/>
        <v>0</v>
      </c>
      <c r="Z18" s="1055"/>
      <c r="AA18" s="1055"/>
      <c r="AB18" s="3349"/>
      <c r="AC18" s="3349"/>
      <c r="AD18" s="3349">
        <f t="shared" si="27"/>
        <v>0</v>
      </c>
      <c r="AE18" s="4697">
        <f t="shared" si="42"/>
        <v>0</v>
      </c>
      <c r="AF18" s="3795"/>
      <c r="AG18" s="3341"/>
      <c r="AH18" s="3341"/>
      <c r="AI18" s="3349">
        <f t="shared" si="28"/>
        <v>0</v>
      </c>
      <c r="AJ18" s="4697">
        <f t="shared" si="43"/>
        <v>0</v>
      </c>
      <c r="AK18" s="1055"/>
      <c r="AL18" s="3341"/>
      <c r="AM18" s="3341"/>
      <c r="AN18" s="3349">
        <f t="shared" si="29"/>
        <v>0</v>
      </c>
      <c r="AO18" s="4697">
        <f t="shared" si="44"/>
        <v>0</v>
      </c>
      <c r="AP18" s="3720"/>
      <c r="AQ18" s="3341"/>
      <c r="AR18" s="3341"/>
      <c r="AS18" s="3349">
        <f t="shared" si="30"/>
        <v>0</v>
      </c>
      <c r="AT18" s="4697">
        <f t="shared" si="45"/>
        <v>0</v>
      </c>
      <c r="AU18" s="3720"/>
      <c r="AV18" s="3341"/>
      <c r="AW18" s="3341"/>
      <c r="AX18" s="3349">
        <f t="shared" si="31"/>
        <v>0</v>
      </c>
      <c r="AY18" s="4697">
        <f t="shared" si="46"/>
        <v>0</v>
      </c>
      <c r="AZ18" s="1055"/>
      <c r="BA18" s="3341"/>
      <c r="BB18" s="3341"/>
      <c r="BC18" s="3349">
        <f t="shared" si="32"/>
        <v>0</v>
      </c>
      <c r="BD18" s="4697">
        <f t="shared" si="47"/>
        <v>0</v>
      </c>
      <c r="BE18" s="1055"/>
      <c r="BF18" s="3341"/>
      <c r="BG18" s="3341"/>
      <c r="BH18" s="3349">
        <f t="shared" si="33"/>
        <v>0</v>
      </c>
      <c r="BI18" s="4697" t="e">
        <f t="shared" si="48"/>
        <v>#DIV/0!</v>
      </c>
      <c r="BJ18" s="1055"/>
      <c r="BK18" s="3341"/>
      <c r="BL18" s="3341"/>
      <c r="BM18" s="3349">
        <f t="shared" si="34"/>
        <v>0</v>
      </c>
      <c r="BN18" s="4697" t="e">
        <f t="shared" si="49"/>
        <v>#DIV/0!</v>
      </c>
      <c r="BO18" s="1055"/>
      <c r="BP18" s="3341"/>
      <c r="BQ18" s="3341"/>
      <c r="BR18" s="3349">
        <f t="shared" si="35"/>
        <v>0</v>
      </c>
      <c r="BS18" s="4697" t="e">
        <f t="shared" si="50"/>
        <v>#DIV/0!</v>
      </c>
      <c r="BT18" s="1055"/>
      <c r="BU18" s="3341"/>
      <c r="BV18" s="3341"/>
      <c r="BW18" s="3349">
        <f t="shared" si="36"/>
        <v>0</v>
      </c>
      <c r="BX18" s="4697" t="e">
        <f t="shared" si="51"/>
        <v>#DIV/0!</v>
      </c>
      <c r="BY18" s="1055"/>
      <c r="BZ18" s="3341"/>
      <c r="CA18" s="3341"/>
      <c r="CB18" s="3349">
        <f t="shared" si="37"/>
        <v>0</v>
      </c>
      <c r="CC18" s="4697" t="e">
        <f t="shared" si="52"/>
        <v>#DIV/0!</v>
      </c>
      <c r="CD18" s="1055"/>
      <c r="CE18" s="3341"/>
      <c r="CF18" s="3341"/>
      <c r="CG18" s="3349">
        <f t="shared" si="38"/>
        <v>0</v>
      </c>
      <c r="CH18" s="4697" t="e">
        <f t="shared" si="53"/>
        <v>#DIV/0!</v>
      </c>
      <c r="CI18" s="1055"/>
      <c r="CJ18" s="3341">
        <f t="shared" si="39"/>
        <v>0</v>
      </c>
      <c r="CK18" s="3341">
        <f t="shared" si="39"/>
        <v>0</v>
      </c>
      <c r="CL18" s="3349">
        <f t="shared" si="54"/>
        <v>0</v>
      </c>
      <c r="CM18" s="4697">
        <f t="shared" si="40"/>
        <v>0</v>
      </c>
      <c r="CN18" s="1434"/>
      <c r="CP18" s="4615"/>
      <c r="CQ18" s="2012"/>
      <c r="CR18" s="4614">
        <f t="shared" si="55"/>
        <v>0</v>
      </c>
      <c r="CT18" s="2624"/>
    </row>
    <row r="19" spans="1:100" s="1396" customFormat="1" ht="13.8" outlineLevel="2">
      <c r="A19" s="1571"/>
      <c r="B19" s="4698" t="s">
        <v>53</v>
      </c>
      <c r="C19" s="3341"/>
      <c r="D19" s="3341"/>
      <c r="E19" s="3349">
        <f t="shared" si="19"/>
        <v>0</v>
      </c>
      <c r="F19" s="4697" t="e">
        <f t="shared" si="16"/>
        <v>#DIV/0!</v>
      </c>
      <c r="G19" s="1055"/>
      <c r="H19" s="3341"/>
      <c r="I19" s="3341"/>
      <c r="J19" s="3349">
        <f t="shared" si="20"/>
        <v>0</v>
      </c>
      <c r="K19" s="4697" t="e">
        <f t="shared" si="41"/>
        <v>#DIV/0!</v>
      </c>
      <c r="L19" s="1055"/>
      <c r="M19" s="3341"/>
      <c r="N19" s="3341"/>
      <c r="O19" s="3349">
        <f t="shared" si="21"/>
        <v>0</v>
      </c>
      <c r="P19" s="4697" t="e">
        <f t="shared" si="22"/>
        <v>#DIV/0!</v>
      </c>
      <c r="Q19" s="1055"/>
      <c r="R19" s="3342">
        <f t="shared" si="23"/>
        <v>0</v>
      </c>
      <c r="S19" s="3342">
        <f t="shared" si="23"/>
        <v>0</v>
      </c>
      <c r="T19" s="2012">
        <f t="shared" si="24"/>
        <v>0</v>
      </c>
      <c r="U19" s="1055"/>
      <c r="V19" s="1055"/>
      <c r="W19" s="3342">
        <f t="shared" si="25"/>
        <v>0</v>
      </c>
      <c r="X19" s="3342">
        <f t="shared" si="25"/>
        <v>0</v>
      </c>
      <c r="Y19" s="2012">
        <f t="shared" si="26"/>
        <v>0</v>
      </c>
      <c r="Z19" s="1055"/>
      <c r="AA19" s="1055"/>
      <c r="AB19" s="3349"/>
      <c r="AC19" s="3349"/>
      <c r="AD19" s="3349">
        <f t="shared" si="27"/>
        <v>0</v>
      </c>
      <c r="AE19" s="4697">
        <f t="shared" si="42"/>
        <v>0</v>
      </c>
      <c r="AF19" s="3795"/>
      <c r="AG19" s="3341"/>
      <c r="AH19" s="3341"/>
      <c r="AI19" s="3349">
        <f t="shared" si="28"/>
        <v>0</v>
      </c>
      <c r="AJ19" s="4697">
        <f t="shared" si="43"/>
        <v>0</v>
      </c>
      <c r="AK19" s="1055"/>
      <c r="AL19" s="3341"/>
      <c r="AM19" s="3341"/>
      <c r="AN19" s="3349">
        <f t="shared" si="29"/>
        <v>0</v>
      </c>
      <c r="AO19" s="4697">
        <f t="shared" si="44"/>
        <v>0</v>
      </c>
      <c r="AP19" s="3720"/>
      <c r="AQ19" s="3341"/>
      <c r="AR19" s="3341"/>
      <c r="AS19" s="3349">
        <f t="shared" si="30"/>
        <v>0</v>
      </c>
      <c r="AT19" s="4697">
        <f t="shared" si="45"/>
        <v>0</v>
      </c>
      <c r="AU19" s="3720"/>
      <c r="AV19" s="3341"/>
      <c r="AW19" s="3341"/>
      <c r="AX19" s="3349">
        <f t="shared" si="31"/>
        <v>0</v>
      </c>
      <c r="AY19" s="4697">
        <f t="shared" si="46"/>
        <v>0</v>
      </c>
      <c r="AZ19" s="1055"/>
      <c r="BA19" s="3341"/>
      <c r="BB19" s="3341"/>
      <c r="BC19" s="3349">
        <f t="shared" si="32"/>
        <v>0</v>
      </c>
      <c r="BD19" s="4697">
        <f t="shared" si="47"/>
        <v>0</v>
      </c>
      <c r="BE19" s="1055"/>
      <c r="BF19" s="3341"/>
      <c r="BG19" s="3341"/>
      <c r="BH19" s="3349">
        <f t="shared" si="33"/>
        <v>0</v>
      </c>
      <c r="BI19" s="4697" t="e">
        <f t="shared" si="48"/>
        <v>#DIV/0!</v>
      </c>
      <c r="BJ19" s="1055"/>
      <c r="BK19" s="3341"/>
      <c r="BL19" s="3341"/>
      <c r="BM19" s="3349">
        <f t="shared" si="34"/>
        <v>0</v>
      </c>
      <c r="BN19" s="4697" t="e">
        <f t="shared" si="49"/>
        <v>#DIV/0!</v>
      </c>
      <c r="BO19" s="1055"/>
      <c r="BP19" s="3341"/>
      <c r="BQ19" s="3341"/>
      <c r="BR19" s="3349">
        <f t="shared" si="35"/>
        <v>0</v>
      </c>
      <c r="BS19" s="4697" t="e">
        <f t="shared" si="50"/>
        <v>#DIV/0!</v>
      </c>
      <c r="BT19" s="1055"/>
      <c r="BU19" s="3341"/>
      <c r="BV19" s="3341"/>
      <c r="BW19" s="3349">
        <f t="shared" si="36"/>
        <v>0</v>
      </c>
      <c r="BX19" s="4697" t="e">
        <f t="shared" si="51"/>
        <v>#DIV/0!</v>
      </c>
      <c r="BY19" s="1055"/>
      <c r="BZ19" s="3341"/>
      <c r="CA19" s="3341"/>
      <c r="CB19" s="3349">
        <f t="shared" si="37"/>
        <v>0</v>
      </c>
      <c r="CC19" s="4697" t="e">
        <f t="shared" si="52"/>
        <v>#DIV/0!</v>
      </c>
      <c r="CD19" s="1055"/>
      <c r="CE19" s="3341"/>
      <c r="CF19" s="3341"/>
      <c r="CG19" s="3349">
        <f t="shared" si="38"/>
        <v>0</v>
      </c>
      <c r="CH19" s="4697" t="e">
        <f t="shared" si="53"/>
        <v>#DIV/0!</v>
      </c>
      <c r="CI19" s="1055"/>
      <c r="CJ19" s="3341">
        <f t="shared" si="39"/>
        <v>0</v>
      </c>
      <c r="CK19" s="3341">
        <f t="shared" si="39"/>
        <v>0</v>
      </c>
      <c r="CL19" s="3349">
        <f t="shared" si="54"/>
        <v>0</v>
      </c>
      <c r="CM19" s="4697">
        <f t="shared" si="40"/>
        <v>0</v>
      </c>
      <c r="CN19" s="1434"/>
      <c r="CP19" s="4615"/>
      <c r="CQ19" s="2012"/>
      <c r="CR19" s="4614">
        <f t="shared" si="55"/>
        <v>0</v>
      </c>
      <c r="CT19" s="2624"/>
    </row>
    <row r="20" spans="1:100" s="1396" customFormat="1" ht="13.8" outlineLevel="2">
      <c r="A20" s="1571"/>
      <c r="B20" s="4698" t="s">
        <v>57</v>
      </c>
      <c r="C20" s="3341"/>
      <c r="D20" s="3341"/>
      <c r="E20" s="3349">
        <f t="shared" si="19"/>
        <v>0</v>
      </c>
      <c r="F20" s="4697" t="e">
        <f t="shared" si="16"/>
        <v>#DIV/0!</v>
      </c>
      <c r="G20" s="1055"/>
      <c r="H20" s="3341"/>
      <c r="I20" s="3341"/>
      <c r="J20" s="3349">
        <f t="shared" si="20"/>
        <v>0</v>
      </c>
      <c r="K20" s="4697" t="e">
        <f t="shared" si="41"/>
        <v>#DIV/0!</v>
      </c>
      <c r="L20" s="1055"/>
      <c r="M20" s="3341"/>
      <c r="N20" s="3341"/>
      <c r="O20" s="3349">
        <f t="shared" si="21"/>
        <v>0</v>
      </c>
      <c r="P20" s="4697" t="e">
        <f t="shared" si="22"/>
        <v>#DIV/0!</v>
      </c>
      <c r="Q20" s="1055"/>
      <c r="R20" s="3342">
        <f t="shared" si="23"/>
        <v>0</v>
      </c>
      <c r="S20" s="3342">
        <f t="shared" si="23"/>
        <v>0</v>
      </c>
      <c r="T20" s="2012">
        <f t="shared" si="24"/>
        <v>0</v>
      </c>
      <c r="U20" s="1055"/>
      <c r="V20" s="1055"/>
      <c r="W20" s="3342">
        <f t="shared" si="25"/>
        <v>0</v>
      </c>
      <c r="X20" s="3342">
        <f t="shared" si="25"/>
        <v>0</v>
      </c>
      <c r="Y20" s="2012">
        <f t="shared" si="26"/>
        <v>0</v>
      </c>
      <c r="Z20" s="1055"/>
      <c r="AA20" s="1055"/>
      <c r="AB20" s="3349"/>
      <c r="AC20" s="3349"/>
      <c r="AD20" s="3349">
        <f t="shared" si="27"/>
        <v>0</v>
      </c>
      <c r="AE20" s="4697">
        <f t="shared" si="42"/>
        <v>0</v>
      </c>
      <c r="AF20" s="3795"/>
      <c r="AG20" s="3341"/>
      <c r="AH20" s="3341"/>
      <c r="AI20" s="3349">
        <f t="shared" si="28"/>
        <v>0</v>
      </c>
      <c r="AJ20" s="4697">
        <f t="shared" si="43"/>
        <v>0</v>
      </c>
      <c r="AK20" s="1055"/>
      <c r="AL20" s="3341"/>
      <c r="AM20" s="3341"/>
      <c r="AN20" s="3349">
        <f t="shared" si="29"/>
        <v>0</v>
      </c>
      <c r="AO20" s="4697">
        <f t="shared" si="44"/>
        <v>0</v>
      </c>
      <c r="AP20" s="3720"/>
      <c r="AQ20" s="3341"/>
      <c r="AR20" s="3341"/>
      <c r="AS20" s="3349">
        <f t="shared" si="30"/>
        <v>0</v>
      </c>
      <c r="AT20" s="4697">
        <f t="shared" si="45"/>
        <v>0</v>
      </c>
      <c r="AU20" s="3720"/>
      <c r="AV20" s="3341"/>
      <c r="AW20" s="3341"/>
      <c r="AX20" s="3349">
        <f t="shared" si="31"/>
        <v>0</v>
      </c>
      <c r="AY20" s="4697">
        <f t="shared" si="46"/>
        <v>0</v>
      </c>
      <c r="AZ20" s="1055"/>
      <c r="BA20" s="3341"/>
      <c r="BB20" s="3341"/>
      <c r="BC20" s="3349">
        <f t="shared" si="32"/>
        <v>0</v>
      </c>
      <c r="BD20" s="4697">
        <f t="shared" si="47"/>
        <v>0</v>
      </c>
      <c r="BE20" s="1055"/>
      <c r="BF20" s="3341"/>
      <c r="BG20" s="3341"/>
      <c r="BH20" s="3349">
        <f t="shared" si="33"/>
        <v>0</v>
      </c>
      <c r="BI20" s="4697" t="e">
        <f t="shared" si="48"/>
        <v>#DIV/0!</v>
      </c>
      <c r="BJ20" s="1055"/>
      <c r="BK20" s="3341"/>
      <c r="BL20" s="3341"/>
      <c r="BM20" s="3349">
        <f t="shared" si="34"/>
        <v>0</v>
      </c>
      <c r="BN20" s="4697" t="e">
        <f t="shared" si="49"/>
        <v>#DIV/0!</v>
      </c>
      <c r="BO20" s="1055"/>
      <c r="BP20" s="3341"/>
      <c r="BQ20" s="3341"/>
      <c r="BR20" s="3349">
        <f t="shared" si="35"/>
        <v>0</v>
      </c>
      <c r="BS20" s="4697" t="e">
        <f t="shared" si="50"/>
        <v>#DIV/0!</v>
      </c>
      <c r="BT20" s="1055"/>
      <c r="BU20" s="3341"/>
      <c r="BV20" s="3341"/>
      <c r="BW20" s="3349">
        <f t="shared" si="36"/>
        <v>0</v>
      </c>
      <c r="BX20" s="4697" t="e">
        <f t="shared" si="51"/>
        <v>#DIV/0!</v>
      </c>
      <c r="BY20" s="1055"/>
      <c r="BZ20" s="3341"/>
      <c r="CA20" s="3341"/>
      <c r="CB20" s="3349">
        <f t="shared" si="37"/>
        <v>0</v>
      </c>
      <c r="CC20" s="4697" t="e">
        <f t="shared" si="52"/>
        <v>#DIV/0!</v>
      </c>
      <c r="CD20" s="1055"/>
      <c r="CE20" s="3341"/>
      <c r="CF20" s="3341"/>
      <c r="CG20" s="3349">
        <f t="shared" si="38"/>
        <v>0</v>
      </c>
      <c r="CH20" s="4697" t="e">
        <f t="shared" si="53"/>
        <v>#DIV/0!</v>
      </c>
      <c r="CI20" s="1055"/>
      <c r="CJ20" s="3341">
        <f t="shared" si="39"/>
        <v>0</v>
      </c>
      <c r="CK20" s="3341">
        <f t="shared" si="39"/>
        <v>0</v>
      </c>
      <c r="CL20" s="3349">
        <f t="shared" si="54"/>
        <v>0</v>
      </c>
      <c r="CM20" s="4697">
        <f t="shared" si="40"/>
        <v>0</v>
      </c>
      <c r="CN20" s="1434"/>
      <c r="CP20" s="4615"/>
      <c r="CQ20" s="2012"/>
      <c r="CR20" s="4614">
        <f t="shared" si="55"/>
        <v>0</v>
      </c>
      <c r="CT20" s="2624"/>
    </row>
    <row r="21" spans="1:100" s="1396" customFormat="1" ht="13.8" outlineLevel="2">
      <c r="A21" s="1571"/>
      <c r="B21" s="4698" t="s">
        <v>58</v>
      </c>
      <c r="C21" s="3341"/>
      <c r="D21" s="3341"/>
      <c r="E21" s="3349">
        <f t="shared" si="19"/>
        <v>0</v>
      </c>
      <c r="F21" s="4697" t="e">
        <f t="shared" si="16"/>
        <v>#DIV/0!</v>
      </c>
      <c r="G21" s="1615"/>
      <c r="H21" s="3341"/>
      <c r="I21" s="3341"/>
      <c r="J21" s="3349">
        <f t="shared" si="20"/>
        <v>0</v>
      </c>
      <c r="K21" s="4697" t="e">
        <f t="shared" si="41"/>
        <v>#DIV/0!</v>
      </c>
      <c r="L21" s="1615"/>
      <c r="M21" s="3341"/>
      <c r="N21" s="3341"/>
      <c r="O21" s="3349">
        <f t="shared" si="21"/>
        <v>0</v>
      </c>
      <c r="P21" s="4697" t="e">
        <f t="shared" si="22"/>
        <v>#DIV/0!</v>
      </c>
      <c r="Q21" s="1615"/>
      <c r="R21" s="3342">
        <f t="shared" si="23"/>
        <v>0</v>
      </c>
      <c r="S21" s="3342">
        <f t="shared" si="23"/>
        <v>0</v>
      </c>
      <c r="T21" s="2012">
        <f t="shared" si="24"/>
        <v>0</v>
      </c>
      <c r="U21" s="1615"/>
      <c r="V21" s="1615"/>
      <c r="W21" s="3342">
        <f t="shared" si="25"/>
        <v>0</v>
      </c>
      <c r="X21" s="3342">
        <f t="shared" si="25"/>
        <v>0</v>
      </c>
      <c r="Y21" s="2012">
        <f t="shared" si="26"/>
        <v>0</v>
      </c>
      <c r="Z21" s="1615"/>
      <c r="AA21" s="1615"/>
      <c r="AB21" s="3349"/>
      <c r="AC21" s="3349"/>
      <c r="AD21" s="3349">
        <f t="shared" si="27"/>
        <v>0</v>
      </c>
      <c r="AE21" s="4697">
        <f t="shared" si="42"/>
        <v>0</v>
      </c>
      <c r="AF21" s="3795"/>
      <c r="AG21" s="3341"/>
      <c r="AH21" s="3341"/>
      <c r="AI21" s="3349">
        <f t="shared" si="28"/>
        <v>0</v>
      </c>
      <c r="AJ21" s="4697">
        <f t="shared" si="43"/>
        <v>0</v>
      </c>
      <c r="AK21" s="1615"/>
      <c r="AL21" s="3341"/>
      <c r="AM21" s="3341"/>
      <c r="AN21" s="3349">
        <f t="shared" si="29"/>
        <v>0</v>
      </c>
      <c r="AO21" s="4697">
        <f t="shared" si="44"/>
        <v>0</v>
      </c>
      <c r="AP21" s="3781"/>
      <c r="AQ21" s="3341"/>
      <c r="AR21" s="3341"/>
      <c r="AS21" s="3349">
        <f t="shared" si="30"/>
        <v>0</v>
      </c>
      <c r="AT21" s="4697">
        <f t="shared" si="45"/>
        <v>0</v>
      </c>
      <c r="AU21" s="3781"/>
      <c r="AV21" s="3341"/>
      <c r="AW21" s="3341"/>
      <c r="AX21" s="3349">
        <f t="shared" si="31"/>
        <v>0</v>
      </c>
      <c r="AY21" s="4697">
        <f t="shared" si="46"/>
        <v>0</v>
      </c>
      <c r="AZ21" s="1615"/>
      <c r="BA21" s="3341"/>
      <c r="BB21" s="3341"/>
      <c r="BC21" s="3349">
        <f t="shared" si="32"/>
        <v>0</v>
      </c>
      <c r="BD21" s="4697">
        <f t="shared" si="47"/>
        <v>0</v>
      </c>
      <c r="BE21" s="1615"/>
      <c r="BF21" s="3341"/>
      <c r="BG21" s="3341"/>
      <c r="BH21" s="3349">
        <f t="shared" si="33"/>
        <v>0</v>
      </c>
      <c r="BI21" s="4697" t="e">
        <f t="shared" si="48"/>
        <v>#DIV/0!</v>
      </c>
      <c r="BJ21" s="1615"/>
      <c r="BK21" s="3341"/>
      <c r="BL21" s="3341"/>
      <c r="BM21" s="3349">
        <f t="shared" si="34"/>
        <v>0</v>
      </c>
      <c r="BN21" s="4697" t="e">
        <f t="shared" si="49"/>
        <v>#DIV/0!</v>
      </c>
      <c r="BO21" s="1615"/>
      <c r="BP21" s="3341"/>
      <c r="BQ21" s="3341"/>
      <c r="BR21" s="3349">
        <f t="shared" si="35"/>
        <v>0</v>
      </c>
      <c r="BS21" s="4697" t="e">
        <f t="shared" si="50"/>
        <v>#DIV/0!</v>
      </c>
      <c r="BT21" s="1615"/>
      <c r="BU21" s="3341"/>
      <c r="BV21" s="3341"/>
      <c r="BW21" s="3349">
        <f t="shared" si="36"/>
        <v>0</v>
      </c>
      <c r="BX21" s="4697" t="e">
        <f t="shared" si="51"/>
        <v>#DIV/0!</v>
      </c>
      <c r="BY21" s="1615"/>
      <c r="BZ21" s="3341"/>
      <c r="CA21" s="3341"/>
      <c r="CB21" s="3349">
        <f t="shared" si="37"/>
        <v>0</v>
      </c>
      <c r="CC21" s="4697" t="e">
        <f t="shared" si="52"/>
        <v>#DIV/0!</v>
      </c>
      <c r="CD21" s="1615"/>
      <c r="CE21" s="3341"/>
      <c r="CF21" s="3341"/>
      <c r="CG21" s="3349">
        <f t="shared" si="38"/>
        <v>0</v>
      </c>
      <c r="CH21" s="4697" t="e">
        <f t="shared" si="53"/>
        <v>#DIV/0!</v>
      </c>
      <c r="CI21" s="1615"/>
      <c r="CJ21" s="3341">
        <f t="shared" si="39"/>
        <v>0</v>
      </c>
      <c r="CK21" s="3341">
        <f t="shared" si="39"/>
        <v>0</v>
      </c>
      <c r="CL21" s="3349">
        <f t="shared" si="54"/>
        <v>0</v>
      </c>
      <c r="CM21" s="4697">
        <f t="shared" si="40"/>
        <v>0</v>
      </c>
      <c r="CN21" s="1434"/>
      <c r="CP21" s="4615"/>
      <c r="CQ21" s="2012"/>
      <c r="CR21" s="4614">
        <f t="shared" si="55"/>
        <v>0</v>
      </c>
      <c r="CT21" s="2624"/>
    </row>
    <row r="22" spans="1:100" s="1396" customFormat="1" ht="13.8" outlineLevel="2">
      <c r="A22" s="1571"/>
      <c r="B22" s="4698" t="s">
        <v>621</v>
      </c>
      <c r="C22" s="3341"/>
      <c r="D22" s="3341"/>
      <c r="E22" s="3349">
        <f t="shared" si="19"/>
        <v>0</v>
      </c>
      <c r="F22" s="4697" t="e">
        <f t="shared" si="16"/>
        <v>#DIV/0!</v>
      </c>
      <c r="G22" s="3342"/>
      <c r="H22" s="3341"/>
      <c r="I22" s="3341"/>
      <c r="J22" s="3349">
        <f t="shared" si="20"/>
        <v>0</v>
      </c>
      <c r="K22" s="4697" t="e">
        <f t="shared" si="41"/>
        <v>#DIV/0!</v>
      </c>
      <c r="L22" s="3342"/>
      <c r="M22" s="3341"/>
      <c r="N22" s="3341"/>
      <c r="O22" s="3349">
        <f t="shared" si="21"/>
        <v>0</v>
      </c>
      <c r="P22" s="4697" t="e">
        <f t="shared" si="22"/>
        <v>#DIV/0!</v>
      </c>
      <c r="Q22" s="3342"/>
      <c r="R22" s="3342">
        <f t="shared" si="23"/>
        <v>0</v>
      </c>
      <c r="S22" s="3342">
        <f t="shared" si="23"/>
        <v>0</v>
      </c>
      <c r="T22" s="2012">
        <f t="shared" si="24"/>
        <v>0</v>
      </c>
      <c r="U22" s="3342"/>
      <c r="V22" s="3342"/>
      <c r="W22" s="3342">
        <f t="shared" si="25"/>
        <v>0</v>
      </c>
      <c r="X22" s="3342">
        <f t="shared" si="25"/>
        <v>0</v>
      </c>
      <c r="Y22" s="2012">
        <f t="shared" si="26"/>
        <v>0</v>
      </c>
      <c r="Z22" s="3342"/>
      <c r="AA22" s="3342"/>
      <c r="AB22" s="3349"/>
      <c r="AC22" s="3349"/>
      <c r="AD22" s="3349">
        <f t="shared" si="27"/>
        <v>0</v>
      </c>
      <c r="AE22" s="4697">
        <f t="shared" si="42"/>
        <v>0</v>
      </c>
      <c r="AF22" s="3436"/>
      <c r="AG22" s="3341"/>
      <c r="AH22" s="3341"/>
      <c r="AI22" s="3349">
        <f t="shared" si="28"/>
        <v>0</v>
      </c>
      <c r="AJ22" s="4697">
        <f t="shared" si="43"/>
        <v>0</v>
      </c>
      <c r="AK22" s="3342"/>
      <c r="AL22" s="3341"/>
      <c r="AM22" s="3341"/>
      <c r="AN22" s="3349">
        <f t="shared" si="29"/>
        <v>0</v>
      </c>
      <c r="AO22" s="4697">
        <f t="shared" si="44"/>
        <v>0</v>
      </c>
      <c r="AP22" s="3409"/>
      <c r="AQ22" s="3341"/>
      <c r="AR22" s="3341"/>
      <c r="AS22" s="3349">
        <f t="shared" si="30"/>
        <v>0</v>
      </c>
      <c r="AT22" s="4697">
        <f t="shared" si="45"/>
        <v>0</v>
      </c>
      <c r="AU22" s="3409"/>
      <c r="AV22" s="3341"/>
      <c r="AW22" s="3341"/>
      <c r="AX22" s="3349">
        <f t="shared" si="31"/>
        <v>0</v>
      </c>
      <c r="AY22" s="4697">
        <f t="shared" si="46"/>
        <v>0</v>
      </c>
      <c r="AZ22" s="3342"/>
      <c r="BA22" s="3341"/>
      <c r="BB22" s="3341"/>
      <c r="BC22" s="3349">
        <f t="shared" si="32"/>
        <v>0</v>
      </c>
      <c r="BD22" s="4697">
        <f t="shared" si="47"/>
        <v>0</v>
      </c>
      <c r="BE22" s="3342"/>
      <c r="BF22" s="3341"/>
      <c r="BG22" s="3341"/>
      <c r="BH22" s="3349">
        <f t="shared" si="33"/>
        <v>0</v>
      </c>
      <c r="BI22" s="4697" t="e">
        <f t="shared" si="48"/>
        <v>#DIV/0!</v>
      </c>
      <c r="BJ22" s="3342"/>
      <c r="BK22" s="3341"/>
      <c r="BL22" s="3341"/>
      <c r="BM22" s="3349">
        <f t="shared" si="34"/>
        <v>0</v>
      </c>
      <c r="BN22" s="4697" t="e">
        <f t="shared" si="49"/>
        <v>#DIV/0!</v>
      </c>
      <c r="BO22" s="3342"/>
      <c r="BP22" s="3341"/>
      <c r="BQ22" s="3341"/>
      <c r="BR22" s="3349">
        <f t="shared" si="35"/>
        <v>0</v>
      </c>
      <c r="BS22" s="4697" t="e">
        <f t="shared" si="50"/>
        <v>#DIV/0!</v>
      </c>
      <c r="BT22" s="3342"/>
      <c r="BU22" s="3341"/>
      <c r="BV22" s="3341"/>
      <c r="BW22" s="3349">
        <f t="shared" si="36"/>
        <v>0</v>
      </c>
      <c r="BX22" s="4697" t="e">
        <f t="shared" si="51"/>
        <v>#DIV/0!</v>
      </c>
      <c r="BY22" s="3342"/>
      <c r="BZ22" s="3341"/>
      <c r="CA22" s="3341"/>
      <c r="CB22" s="3349">
        <f t="shared" si="37"/>
        <v>0</v>
      </c>
      <c r="CC22" s="4697" t="e">
        <f t="shared" si="52"/>
        <v>#DIV/0!</v>
      </c>
      <c r="CD22" s="3342"/>
      <c r="CE22" s="3341"/>
      <c r="CF22" s="3341"/>
      <c r="CG22" s="3349">
        <f t="shared" si="38"/>
        <v>0</v>
      </c>
      <c r="CH22" s="4697" t="e">
        <f t="shared" si="53"/>
        <v>#DIV/0!</v>
      </c>
      <c r="CI22" s="3342"/>
      <c r="CJ22" s="3341">
        <f t="shared" si="39"/>
        <v>0</v>
      </c>
      <c r="CK22" s="3341">
        <f t="shared" si="39"/>
        <v>0</v>
      </c>
      <c r="CL22" s="3349">
        <f t="shared" si="54"/>
        <v>0</v>
      </c>
      <c r="CM22" s="4697">
        <f t="shared" si="40"/>
        <v>0</v>
      </c>
      <c r="CN22" s="1434"/>
      <c r="CP22" s="4615"/>
      <c r="CQ22" s="2012"/>
      <c r="CR22" s="4614">
        <f t="shared" si="55"/>
        <v>0</v>
      </c>
      <c r="CT22" s="3443">
        <f>CQ22</f>
        <v>0</v>
      </c>
    </row>
    <row r="23" spans="1:100" s="1396" customFormat="1" ht="13.8" outlineLevel="2">
      <c r="A23" s="1571"/>
      <c r="B23" s="4698" t="s">
        <v>630</v>
      </c>
      <c r="C23" s="3341"/>
      <c r="D23" s="3341"/>
      <c r="E23" s="3349">
        <f t="shared" si="19"/>
        <v>0</v>
      </c>
      <c r="F23" s="4697" t="e">
        <f t="shared" si="16"/>
        <v>#DIV/0!</v>
      </c>
      <c r="G23" s="1055"/>
      <c r="H23" s="3341"/>
      <c r="I23" s="3341"/>
      <c r="J23" s="3349">
        <f t="shared" si="20"/>
        <v>0</v>
      </c>
      <c r="K23" s="4697" t="e">
        <f t="shared" si="41"/>
        <v>#DIV/0!</v>
      </c>
      <c r="L23" s="1055"/>
      <c r="M23" s="3341"/>
      <c r="N23" s="3341"/>
      <c r="O23" s="3349">
        <f t="shared" si="21"/>
        <v>0</v>
      </c>
      <c r="P23" s="4697" t="e">
        <f t="shared" si="22"/>
        <v>#DIV/0!</v>
      </c>
      <c r="Q23" s="1055"/>
      <c r="R23" s="3342">
        <f t="shared" si="23"/>
        <v>0</v>
      </c>
      <c r="S23" s="3342">
        <f t="shared" si="23"/>
        <v>0</v>
      </c>
      <c r="T23" s="2012">
        <f t="shared" si="24"/>
        <v>0</v>
      </c>
      <c r="U23" s="1055"/>
      <c r="V23" s="1055"/>
      <c r="W23" s="3342">
        <f t="shared" si="25"/>
        <v>0</v>
      </c>
      <c r="X23" s="3342">
        <f t="shared" si="25"/>
        <v>0</v>
      </c>
      <c r="Y23" s="2012">
        <f t="shared" si="26"/>
        <v>0</v>
      </c>
      <c r="Z23" s="1055"/>
      <c r="AA23" s="1055"/>
      <c r="AB23" s="3349"/>
      <c r="AC23" s="3349"/>
      <c r="AD23" s="3349">
        <f t="shared" si="27"/>
        <v>0</v>
      </c>
      <c r="AE23" s="4697">
        <f t="shared" si="42"/>
        <v>0</v>
      </c>
      <c r="AF23" s="3795"/>
      <c r="AG23" s="3341"/>
      <c r="AH23" s="3341"/>
      <c r="AI23" s="3349">
        <f t="shared" si="28"/>
        <v>0</v>
      </c>
      <c r="AJ23" s="4697">
        <f t="shared" si="43"/>
        <v>0</v>
      </c>
      <c r="AK23" s="1055"/>
      <c r="AL23" s="3341"/>
      <c r="AM23" s="3341"/>
      <c r="AN23" s="3349">
        <f t="shared" si="29"/>
        <v>0</v>
      </c>
      <c r="AO23" s="4697">
        <f t="shared" si="44"/>
        <v>0</v>
      </c>
      <c r="AP23" s="3720"/>
      <c r="AQ23" s="3341"/>
      <c r="AR23" s="3341"/>
      <c r="AS23" s="3349">
        <f t="shared" si="30"/>
        <v>0</v>
      </c>
      <c r="AT23" s="4697">
        <f t="shared" si="45"/>
        <v>0</v>
      </c>
      <c r="AU23" s="3720"/>
      <c r="AV23" s="3341"/>
      <c r="AW23" s="3341"/>
      <c r="AX23" s="3349">
        <f t="shared" si="31"/>
        <v>0</v>
      </c>
      <c r="AY23" s="4697">
        <f t="shared" si="46"/>
        <v>0</v>
      </c>
      <c r="AZ23" s="1055"/>
      <c r="BA23" s="3341"/>
      <c r="BB23" s="3341"/>
      <c r="BC23" s="3349">
        <f t="shared" si="32"/>
        <v>0</v>
      </c>
      <c r="BD23" s="4697">
        <f t="shared" si="47"/>
        <v>0</v>
      </c>
      <c r="BE23" s="1055"/>
      <c r="BF23" s="3341"/>
      <c r="BG23" s="3341"/>
      <c r="BH23" s="3349">
        <f t="shared" si="33"/>
        <v>0</v>
      </c>
      <c r="BI23" s="4697" t="e">
        <f t="shared" si="48"/>
        <v>#DIV/0!</v>
      </c>
      <c r="BJ23" s="1055"/>
      <c r="BK23" s="3341"/>
      <c r="BL23" s="3341"/>
      <c r="BM23" s="3349">
        <f t="shared" si="34"/>
        <v>0</v>
      </c>
      <c r="BN23" s="4697" t="e">
        <f t="shared" si="49"/>
        <v>#DIV/0!</v>
      </c>
      <c r="BO23" s="1055"/>
      <c r="BP23" s="3341"/>
      <c r="BQ23" s="3341"/>
      <c r="BR23" s="3349">
        <f t="shared" si="35"/>
        <v>0</v>
      </c>
      <c r="BS23" s="4697" t="e">
        <f t="shared" si="50"/>
        <v>#DIV/0!</v>
      </c>
      <c r="BT23" s="1055"/>
      <c r="BU23" s="3341"/>
      <c r="BV23" s="3341"/>
      <c r="BW23" s="3349">
        <f t="shared" si="36"/>
        <v>0</v>
      </c>
      <c r="BX23" s="4697" t="e">
        <f t="shared" si="51"/>
        <v>#DIV/0!</v>
      </c>
      <c r="BY23" s="1055"/>
      <c r="BZ23" s="3341"/>
      <c r="CA23" s="3341"/>
      <c r="CB23" s="3349">
        <f t="shared" si="37"/>
        <v>0</v>
      </c>
      <c r="CC23" s="4697" t="e">
        <f t="shared" si="52"/>
        <v>#DIV/0!</v>
      </c>
      <c r="CD23" s="1055"/>
      <c r="CE23" s="3341"/>
      <c r="CF23" s="3341"/>
      <c r="CG23" s="3349">
        <f t="shared" si="38"/>
        <v>0</v>
      </c>
      <c r="CH23" s="4697" t="e">
        <f t="shared" si="53"/>
        <v>#DIV/0!</v>
      </c>
      <c r="CI23" s="1055"/>
      <c r="CJ23" s="3341">
        <f t="shared" si="39"/>
        <v>0</v>
      </c>
      <c r="CK23" s="3341">
        <f t="shared" si="39"/>
        <v>0</v>
      </c>
      <c r="CL23" s="3349">
        <f t="shared" si="54"/>
        <v>0</v>
      </c>
      <c r="CM23" s="4697">
        <f t="shared" si="40"/>
        <v>0</v>
      </c>
      <c r="CN23" s="1434"/>
      <c r="CP23" s="4615"/>
      <c r="CQ23" s="2012"/>
      <c r="CR23" s="4614">
        <f t="shared" si="55"/>
        <v>0</v>
      </c>
      <c r="CT23" s="2624"/>
    </row>
    <row r="24" spans="1:100" s="1396" customFormat="1" ht="13.8" outlineLevel="2">
      <c r="A24" s="1571"/>
      <c r="B24" s="4698" t="s">
        <v>23</v>
      </c>
      <c r="C24" s="3341"/>
      <c r="D24" s="3341"/>
      <c r="E24" s="3349">
        <f t="shared" si="19"/>
        <v>0</v>
      </c>
      <c r="F24" s="4697" t="e">
        <f t="shared" si="16"/>
        <v>#DIV/0!</v>
      </c>
      <c r="G24" s="3342"/>
      <c r="H24" s="3341"/>
      <c r="I24" s="3341"/>
      <c r="J24" s="3349">
        <f t="shared" si="20"/>
        <v>0</v>
      </c>
      <c r="K24" s="4697" t="e">
        <f t="shared" si="41"/>
        <v>#DIV/0!</v>
      </c>
      <c r="L24" s="3342"/>
      <c r="M24" s="3341"/>
      <c r="N24" s="3341"/>
      <c r="O24" s="3349">
        <f t="shared" si="21"/>
        <v>0</v>
      </c>
      <c r="P24" s="4697" t="e">
        <f t="shared" si="22"/>
        <v>#DIV/0!</v>
      </c>
      <c r="Q24" s="3342"/>
      <c r="R24" s="3342">
        <f t="shared" si="23"/>
        <v>0</v>
      </c>
      <c r="S24" s="3342">
        <f t="shared" si="23"/>
        <v>0</v>
      </c>
      <c r="T24" s="2012">
        <f t="shared" si="24"/>
        <v>0</v>
      </c>
      <c r="U24" s="3342"/>
      <c r="V24" s="3342"/>
      <c r="W24" s="3342">
        <f t="shared" si="25"/>
        <v>4800</v>
      </c>
      <c r="X24" s="3342">
        <f t="shared" si="25"/>
        <v>0</v>
      </c>
      <c r="Y24" s="2012">
        <f t="shared" si="26"/>
        <v>4800</v>
      </c>
      <c r="Z24" s="3342"/>
      <c r="AA24" s="3342"/>
      <c r="AB24" s="3349"/>
      <c r="AC24" s="3349"/>
      <c r="AD24" s="3349">
        <f t="shared" si="27"/>
        <v>0</v>
      </c>
      <c r="AE24" s="4697">
        <f t="shared" si="42"/>
        <v>0</v>
      </c>
      <c r="AF24" s="3436"/>
      <c r="AG24" s="3341"/>
      <c r="AH24" s="3341"/>
      <c r="AI24" s="3349">
        <f t="shared" si="28"/>
        <v>0</v>
      </c>
      <c r="AJ24" s="4697">
        <f t="shared" si="43"/>
        <v>0</v>
      </c>
      <c r="AK24" s="3342"/>
      <c r="AL24" s="2043">
        <v>4800</v>
      </c>
      <c r="AM24" s="3341"/>
      <c r="AN24" s="3349">
        <f t="shared" si="29"/>
        <v>4800</v>
      </c>
      <c r="AO24" s="4697">
        <f t="shared" si="44"/>
        <v>7.1180286420533872E-3</v>
      </c>
      <c r="AP24" s="1164" t="s">
        <v>1967</v>
      </c>
      <c r="AQ24" s="3341"/>
      <c r="AR24" s="3341"/>
      <c r="AS24" s="3349">
        <f t="shared" si="30"/>
        <v>0</v>
      </c>
      <c r="AT24" s="4697">
        <f t="shared" si="45"/>
        <v>0</v>
      </c>
      <c r="AU24" s="3409"/>
      <c r="AV24" s="3341"/>
      <c r="AW24" s="3341"/>
      <c r="AX24" s="3349">
        <f t="shared" si="31"/>
        <v>0</v>
      </c>
      <c r="AY24" s="4697">
        <f t="shared" si="46"/>
        <v>0</v>
      </c>
      <c r="AZ24" s="3342"/>
      <c r="BA24" s="3341"/>
      <c r="BB24" s="3341"/>
      <c r="BC24" s="3349">
        <f t="shared" si="32"/>
        <v>0</v>
      </c>
      <c r="BD24" s="4697">
        <f t="shared" si="47"/>
        <v>0</v>
      </c>
      <c r="BE24" s="3342"/>
      <c r="BF24" s="3341"/>
      <c r="BG24" s="3341"/>
      <c r="BH24" s="3349">
        <f t="shared" si="33"/>
        <v>0</v>
      </c>
      <c r="BI24" s="4697" t="e">
        <f t="shared" si="48"/>
        <v>#DIV/0!</v>
      </c>
      <c r="BJ24" s="3342"/>
      <c r="BK24" s="3341"/>
      <c r="BL24" s="3341"/>
      <c r="BM24" s="3349">
        <f t="shared" si="34"/>
        <v>0</v>
      </c>
      <c r="BN24" s="4697" t="e">
        <f t="shared" si="49"/>
        <v>#DIV/0!</v>
      </c>
      <c r="BO24" s="3342"/>
      <c r="BP24" s="3341"/>
      <c r="BQ24" s="3341"/>
      <c r="BR24" s="3349">
        <f t="shared" si="35"/>
        <v>0</v>
      </c>
      <c r="BS24" s="4697" t="e">
        <f t="shared" si="50"/>
        <v>#DIV/0!</v>
      </c>
      <c r="BT24" s="3342"/>
      <c r="BU24" s="3341"/>
      <c r="BV24" s="3341"/>
      <c r="BW24" s="3349">
        <f t="shared" si="36"/>
        <v>0</v>
      </c>
      <c r="BX24" s="4697" t="e">
        <f t="shared" si="51"/>
        <v>#DIV/0!</v>
      </c>
      <c r="BY24" s="3342"/>
      <c r="BZ24" s="3341"/>
      <c r="CA24" s="3341"/>
      <c r="CB24" s="3349">
        <f t="shared" si="37"/>
        <v>0</v>
      </c>
      <c r="CC24" s="4697" t="e">
        <f t="shared" si="52"/>
        <v>#DIV/0!</v>
      </c>
      <c r="CD24" s="3342"/>
      <c r="CE24" s="3341"/>
      <c r="CF24" s="3341"/>
      <c r="CG24" s="3349">
        <f t="shared" si="38"/>
        <v>0</v>
      </c>
      <c r="CH24" s="4697" t="e">
        <f t="shared" si="53"/>
        <v>#DIV/0!</v>
      </c>
      <c r="CI24" s="3342"/>
      <c r="CJ24" s="3341">
        <f t="shared" si="39"/>
        <v>4800</v>
      </c>
      <c r="CK24" s="3341">
        <f t="shared" si="39"/>
        <v>0</v>
      </c>
      <c r="CL24" s="3349">
        <f t="shared" si="54"/>
        <v>4800</v>
      </c>
      <c r="CM24" s="4697">
        <f t="shared" si="40"/>
        <v>1.2583779447811882E-3</v>
      </c>
      <c r="CN24" s="1434"/>
      <c r="CP24" s="4615"/>
      <c r="CQ24" s="2012"/>
      <c r="CR24" s="4614">
        <f t="shared" si="55"/>
        <v>0</v>
      </c>
      <c r="CT24" s="2624"/>
    </row>
    <row r="25" spans="1:100" s="1396" customFormat="1" ht="13.8" outlineLevel="2">
      <c r="A25" s="1571"/>
      <c r="B25" s="4698" t="s">
        <v>24</v>
      </c>
      <c r="C25" s="3341"/>
      <c r="D25" s="3341"/>
      <c r="E25" s="3349">
        <f t="shared" si="19"/>
        <v>0</v>
      </c>
      <c r="F25" s="4697" t="e">
        <f t="shared" si="16"/>
        <v>#DIV/0!</v>
      </c>
      <c r="G25" s="3342"/>
      <c r="H25" s="3341"/>
      <c r="I25" s="3341"/>
      <c r="J25" s="3349">
        <f t="shared" si="20"/>
        <v>0</v>
      </c>
      <c r="K25" s="4697" t="e">
        <f t="shared" si="41"/>
        <v>#DIV/0!</v>
      </c>
      <c r="L25" s="3342"/>
      <c r="M25" s="3341"/>
      <c r="N25" s="3341"/>
      <c r="O25" s="3349">
        <f t="shared" si="21"/>
        <v>0</v>
      </c>
      <c r="P25" s="4697" t="e">
        <f t="shared" si="22"/>
        <v>#DIV/0!</v>
      </c>
      <c r="Q25" s="3342"/>
      <c r="R25" s="3342">
        <f t="shared" si="23"/>
        <v>0</v>
      </c>
      <c r="S25" s="3342">
        <f t="shared" si="23"/>
        <v>0</v>
      </c>
      <c r="T25" s="2012">
        <f t="shared" si="24"/>
        <v>0</v>
      </c>
      <c r="U25" s="3342"/>
      <c r="V25" s="3342"/>
      <c r="W25" s="3342">
        <f t="shared" si="25"/>
        <v>0</v>
      </c>
      <c r="X25" s="3342">
        <f t="shared" si="25"/>
        <v>0</v>
      </c>
      <c r="Y25" s="2012">
        <f t="shared" si="26"/>
        <v>0</v>
      </c>
      <c r="Z25" s="3342"/>
      <c r="AA25" s="3342"/>
      <c r="AB25" s="3349"/>
      <c r="AC25" s="3349"/>
      <c r="AD25" s="3349">
        <f t="shared" si="27"/>
        <v>0</v>
      </c>
      <c r="AE25" s="4697">
        <f t="shared" si="42"/>
        <v>0</v>
      </c>
      <c r="AF25" s="3436"/>
      <c r="AG25" s="3341"/>
      <c r="AH25" s="3341"/>
      <c r="AI25" s="3349">
        <f t="shared" si="28"/>
        <v>0</v>
      </c>
      <c r="AJ25" s="4697">
        <f t="shared" si="43"/>
        <v>0</v>
      </c>
      <c r="AK25" s="3342"/>
      <c r="AL25" s="3341"/>
      <c r="AM25" s="3341"/>
      <c r="AN25" s="3349">
        <f t="shared" si="29"/>
        <v>0</v>
      </c>
      <c r="AO25" s="4697">
        <f t="shared" si="44"/>
        <v>0</v>
      </c>
      <c r="AP25" s="3409"/>
      <c r="AQ25" s="3341"/>
      <c r="AR25" s="3341"/>
      <c r="AS25" s="3349">
        <f t="shared" si="30"/>
        <v>0</v>
      </c>
      <c r="AT25" s="4697">
        <f t="shared" si="45"/>
        <v>0</v>
      </c>
      <c r="AU25" s="3409"/>
      <c r="AV25" s="3341"/>
      <c r="AW25" s="3341"/>
      <c r="AX25" s="3349">
        <f t="shared" si="31"/>
        <v>0</v>
      </c>
      <c r="AY25" s="4697">
        <f t="shared" si="46"/>
        <v>0</v>
      </c>
      <c r="AZ25" s="3342"/>
      <c r="BA25" s="3341"/>
      <c r="BB25" s="3341"/>
      <c r="BC25" s="3349">
        <f t="shared" si="32"/>
        <v>0</v>
      </c>
      <c r="BD25" s="4697">
        <f t="shared" si="47"/>
        <v>0</v>
      </c>
      <c r="BE25" s="3342"/>
      <c r="BF25" s="3341"/>
      <c r="BG25" s="3341"/>
      <c r="BH25" s="3349">
        <f t="shared" si="33"/>
        <v>0</v>
      </c>
      <c r="BI25" s="4697" t="e">
        <f t="shared" si="48"/>
        <v>#DIV/0!</v>
      </c>
      <c r="BJ25" s="3342"/>
      <c r="BK25" s="3341"/>
      <c r="BL25" s="3341"/>
      <c r="BM25" s="3349">
        <f t="shared" si="34"/>
        <v>0</v>
      </c>
      <c r="BN25" s="4697" t="e">
        <f t="shared" si="49"/>
        <v>#DIV/0!</v>
      </c>
      <c r="BO25" s="3342"/>
      <c r="BP25" s="3341"/>
      <c r="BQ25" s="3341"/>
      <c r="BR25" s="3349">
        <f t="shared" si="35"/>
        <v>0</v>
      </c>
      <c r="BS25" s="4697" t="e">
        <f t="shared" si="50"/>
        <v>#DIV/0!</v>
      </c>
      <c r="BT25" s="3342"/>
      <c r="BU25" s="3341"/>
      <c r="BV25" s="3341"/>
      <c r="BW25" s="3349">
        <f t="shared" si="36"/>
        <v>0</v>
      </c>
      <c r="BX25" s="4697" t="e">
        <f t="shared" si="51"/>
        <v>#DIV/0!</v>
      </c>
      <c r="BY25" s="3342"/>
      <c r="BZ25" s="3341"/>
      <c r="CA25" s="3341"/>
      <c r="CB25" s="3349">
        <f t="shared" si="37"/>
        <v>0</v>
      </c>
      <c r="CC25" s="4697" t="e">
        <f t="shared" si="52"/>
        <v>#DIV/0!</v>
      </c>
      <c r="CD25" s="3342"/>
      <c r="CE25" s="3341"/>
      <c r="CF25" s="3341"/>
      <c r="CG25" s="3349">
        <f t="shared" si="38"/>
        <v>0</v>
      </c>
      <c r="CH25" s="4697" t="e">
        <f t="shared" si="53"/>
        <v>#DIV/0!</v>
      </c>
      <c r="CI25" s="3342"/>
      <c r="CJ25" s="3341">
        <f t="shared" si="39"/>
        <v>0</v>
      </c>
      <c r="CK25" s="3341">
        <f t="shared" si="39"/>
        <v>0</v>
      </c>
      <c r="CL25" s="3349">
        <f t="shared" si="54"/>
        <v>0</v>
      </c>
      <c r="CM25" s="4697">
        <f t="shared" si="40"/>
        <v>0</v>
      </c>
      <c r="CN25" s="1434"/>
      <c r="CP25" s="4615"/>
      <c r="CQ25" s="2012"/>
      <c r="CR25" s="4614">
        <f t="shared" si="55"/>
        <v>0</v>
      </c>
      <c r="CS25" s="3305"/>
      <c r="CT25" s="2624"/>
    </row>
    <row r="26" spans="1:100" s="1396" customFormat="1" ht="13.8" outlineLevel="2">
      <c r="A26" s="1571"/>
      <c r="B26" s="4698" t="s">
        <v>45</v>
      </c>
      <c r="C26" s="3341"/>
      <c r="D26" s="3341"/>
      <c r="E26" s="3349">
        <f t="shared" si="19"/>
        <v>0</v>
      </c>
      <c r="F26" s="4697" t="e">
        <f t="shared" si="16"/>
        <v>#DIV/0!</v>
      </c>
      <c r="G26" s="3342"/>
      <c r="H26" s="3341"/>
      <c r="I26" s="3341"/>
      <c r="J26" s="3349">
        <f t="shared" si="20"/>
        <v>0</v>
      </c>
      <c r="K26" s="4697" t="e">
        <f t="shared" si="41"/>
        <v>#DIV/0!</v>
      </c>
      <c r="L26" s="3342"/>
      <c r="M26" s="3341"/>
      <c r="N26" s="3341"/>
      <c r="O26" s="3349">
        <f t="shared" si="21"/>
        <v>0</v>
      </c>
      <c r="P26" s="4697" t="e">
        <f t="shared" si="22"/>
        <v>#DIV/0!</v>
      </c>
      <c r="Q26" s="3342"/>
      <c r="R26" s="3342">
        <f t="shared" si="23"/>
        <v>0</v>
      </c>
      <c r="S26" s="3342">
        <f t="shared" si="23"/>
        <v>0</v>
      </c>
      <c r="T26" s="2012">
        <f t="shared" si="24"/>
        <v>0</v>
      </c>
      <c r="U26" s="3342"/>
      <c r="V26" s="3342"/>
      <c r="W26" s="3342">
        <f t="shared" si="25"/>
        <v>0</v>
      </c>
      <c r="X26" s="3342">
        <f t="shared" si="25"/>
        <v>0</v>
      </c>
      <c r="Y26" s="2012">
        <f t="shared" si="26"/>
        <v>0</v>
      </c>
      <c r="Z26" s="3342"/>
      <c r="AA26" s="3342"/>
      <c r="AB26" s="3349"/>
      <c r="AC26" s="3349"/>
      <c r="AD26" s="3349">
        <f t="shared" si="27"/>
        <v>0</v>
      </c>
      <c r="AE26" s="4697">
        <f t="shared" si="42"/>
        <v>0</v>
      </c>
      <c r="AF26" s="3436"/>
      <c r="AG26" s="3341"/>
      <c r="AH26" s="3341"/>
      <c r="AI26" s="3349">
        <f t="shared" si="28"/>
        <v>0</v>
      </c>
      <c r="AJ26" s="4697">
        <f t="shared" si="43"/>
        <v>0</v>
      </c>
      <c r="AK26" s="3342"/>
      <c r="AL26" s="3341"/>
      <c r="AM26" s="3341"/>
      <c r="AN26" s="3349">
        <f t="shared" si="29"/>
        <v>0</v>
      </c>
      <c r="AO26" s="4697">
        <f t="shared" si="44"/>
        <v>0</v>
      </c>
      <c r="AP26" s="3409"/>
      <c r="AQ26" s="3341"/>
      <c r="AR26" s="3341"/>
      <c r="AS26" s="3349">
        <f t="shared" si="30"/>
        <v>0</v>
      </c>
      <c r="AT26" s="4697">
        <f t="shared" si="45"/>
        <v>0</v>
      </c>
      <c r="AU26" s="3409"/>
      <c r="AV26" s="3341"/>
      <c r="AW26" s="3341"/>
      <c r="AX26" s="3349">
        <f t="shared" si="31"/>
        <v>0</v>
      </c>
      <c r="AY26" s="4697">
        <f t="shared" si="46"/>
        <v>0</v>
      </c>
      <c r="AZ26" s="3342"/>
      <c r="BA26" s="3341"/>
      <c r="BB26" s="3341"/>
      <c r="BC26" s="3349">
        <f t="shared" si="32"/>
        <v>0</v>
      </c>
      <c r="BD26" s="4697">
        <f t="shared" si="47"/>
        <v>0</v>
      </c>
      <c r="BE26" s="3342"/>
      <c r="BF26" s="3341"/>
      <c r="BG26" s="3341"/>
      <c r="BH26" s="3349">
        <f t="shared" si="33"/>
        <v>0</v>
      </c>
      <c r="BI26" s="4697" t="e">
        <f t="shared" si="48"/>
        <v>#DIV/0!</v>
      </c>
      <c r="BJ26" s="3342"/>
      <c r="BK26" s="3341"/>
      <c r="BL26" s="3341"/>
      <c r="BM26" s="3349">
        <f t="shared" si="34"/>
        <v>0</v>
      </c>
      <c r="BN26" s="4697" t="e">
        <f t="shared" si="49"/>
        <v>#DIV/0!</v>
      </c>
      <c r="BO26" s="3342"/>
      <c r="BP26" s="3341"/>
      <c r="BQ26" s="3341"/>
      <c r="BR26" s="3349">
        <f t="shared" si="35"/>
        <v>0</v>
      </c>
      <c r="BS26" s="4697" t="e">
        <f t="shared" si="50"/>
        <v>#DIV/0!</v>
      </c>
      <c r="BT26" s="3342"/>
      <c r="BU26" s="3341"/>
      <c r="BV26" s="3341"/>
      <c r="BW26" s="3349">
        <f t="shared" si="36"/>
        <v>0</v>
      </c>
      <c r="BX26" s="4697" t="e">
        <f t="shared" si="51"/>
        <v>#DIV/0!</v>
      </c>
      <c r="BY26" s="3342"/>
      <c r="BZ26" s="3341"/>
      <c r="CA26" s="3341"/>
      <c r="CB26" s="3349">
        <f t="shared" si="37"/>
        <v>0</v>
      </c>
      <c r="CC26" s="4697" t="e">
        <f t="shared" si="52"/>
        <v>#DIV/0!</v>
      </c>
      <c r="CD26" s="3342"/>
      <c r="CE26" s="3341"/>
      <c r="CF26" s="3341"/>
      <c r="CG26" s="3349">
        <f t="shared" si="38"/>
        <v>0</v>
      </c>
      <c r="CH26" s="4697" t="e">
        <f t="shared" si="53"/>
        <v>#DIV/0!</v>
      </c>
      <c r="CI26" s="3342"/>
      <c r="CJ26" s="3341">
        <f t="shared" si="39"/>
        <v>0</v>
      </c>
      <c r="CK26" s="3341">
        <f t="shared" si="39"/>
        <v>0</v>
      </c>
      <c r="CL26" s="3349">
        <f t="shared" si="54"/>
        <v>0</v>
      </c>
      <c r="CM26" s="4697">
        <f t="shared" si="40"/>
        <v>0</v>
      </c>
      <c r="CN26" s="1434"/>
      <c r="CP26" s="4615"/>
      <c r="CQ26" s="2012"/>
      <c r="CR26" s="4614">
        <f t="shared" si="55"/>
        <v>0</v>
      </c>
      <c r="CS26" s="3305"/>
      <c r="CT26" s="2624"/>
    </row>
    <row r="27" spans="1:100" s="1396" customFormat="1" ht="96.6" outlineLevel="2">
      <c r="A27" s="1571"/>
      <c r="B27" s="4698" t="s">
        <v>25</v>
      </c>
      <c r="C27" s="3341"/>
      <c r="D27" s="3341"/>
      <c r="E27" s="3349">
        <f t="shared" si="19"/>
        <v>0</v>
      </c>
      <c r="F27" s="4697" t="e">
        <f t="shared" si="16"/>
        <v>#DIV/0!</v>
      </c>
      <c r="G27" s="3342"/>
      <c r="H27" s="3341"/>
      <c r="I27" s="3341"/>
      <c r="J27" s="3349">
        <f t="shared" si="20"/>
        <v>0</v>
      </c>
      <c r="K27" s="4697" t="e">
        <f t="shared" si="41"/>
        <v>#DIV/0!</v>
      </c>
      <c r="L27" s="3342"/>
      <c r="M27" s="3341"/>
      <c r="N27" s="3341"/>
      <c r="O27" s="3349">
        <f t="shared" si="21"/>
        <v>0</v>
      </c>
      <c r="P27" s="4697" t="e">
        <f t="shared" si="22"/>
        <v>#DIV/0!</v>
      </c>
      <c r="Q27" s="3342"/>
      <c r="R27" s="3342">
        <f t="shared" si="23"/>
        <v>0</v>
      </c>
      <c r="S27" s="3342">
        <f t="shared" si="23"/>
        <v>0</v>
      </c>
      <c r="T27" s="2012">
        <f t="shared" si="24"/>
        <v>0</v>
      </c>
      <c r="U27" s="3342"/>
      <c r="V27" s="3342"/>
      <c r="W27" s="3342">
        <f t="shared" si="25"/>
        <v>36950.869999999995</v>
      </c>
      <c r="X27" s="3342">
        <f t="shared" si="25"/>
        <v>5562.2</v>
      </c>
      <c r="Y27" s="2012">
        <f t="shared" si="26"/>
        <v>42513.069999999992</v>
      </c>
      <c r="Z27" s="3342"/>
      <c r="AA27" s="3342"/>
      <c r="AB27" s="3349"/>
      <c r="AC27" s="3349">
        <f>700+666</f>
        <v>1366</v>
      </c>
      <c r="AD27" s="3349">
        <f t="shared" si="27"/>
        <v>1366</v>
      </c>
      <c r="AE27" s="4697">
        <f t="shared" si="42"/>
        <v>1.7861708718314804E-3</v>
      </c>
      <c r="AF27" s="3436" t="s">
        <v>1896</v>
      </c>
      <c r="AG27" s="3341">
        <f>3428.82+914.77</f>
        <v>4343.59</v>
      </c>
      <c r="AH27" s="3341">
        <f>1480+600+100+55+1136.9</f>
        <v>3371.9</v>
      </c>
      <c r="AI27" s="3349">
        <f t="shared" si="28"/>
        <v>7715.49</v>
      </c>
      <c r="AJ27" s="4697">
        <f t="shared" si="43"/>
        <v>1.2516865838229242E-2</v>
      </c>
      <c r="AK27" s="3342" t="s">
        <v>1951</v>
      </c>
      <c r="AL27" s="3341">
        <f>1815+2350+25487.28</f>
        <v>29652.28</v>
      </c>
      <c r="AM27" s="3341">
        <f>474.3+150+200</f>
        <v>824.3</v>
      </c>
      <c r="AN27" s="3349">
        <f t="shared" si="29"/>
        <v>30476.579999999998</v>
      </c>
      <c r="AO27" s="4697">
        <f t="shared" si="44"/>
        <v>4.5194410281631542E-2</v>
      </c>
      <c r="AP27" s="3409" t="s">
        <v>1968</v>
      </c>
      <c r="AQ27" s="3341">
        <v>2955</v>
      </c>
      <c r="AR27" s="3341"/>
      <c r="AS27" s="3349">
        <f t="shared" si="30"/>
        <v>2955</v>
      </c>
      <c r="AT27" s="4697">
        <f t="shared" si="45"/>
        <v>5.2745678962758374E-3</v>
      </c>
      <c r="AU27" s="3409" t="s">
        <v>2047</v>
      </c>
      <c r="AV27" s="3341"/>
      <c r="AW27" s="3341"/>
      <c r="AX27" s="3349">
        <f t="shared" si="31"/>
        <v>0</v>
      </c>
      <c r="AY27" s="4697">
        <f t="shared" si="46"/>
        <v>0</v>
      </c>
      <c r="AZ27" s="3342"/>
      <c r="BA27" s="3341"/>
      <c r="BB27" s="3341"/>
      <c r="BC27" s="3349">
        <f t="shared" si="32"/>
        <v>0</v>
      </c>
      <c r="BD27" s="4697">
        <f t="shared" si="47"/>
        <v>0</v>
      </c>
      <c r="BE27" s="3342"/>
      <c r="BF27" s="3341"/>
      <c r="BG27" s="3341"/>
      <c r="BH27" s="3349">
        <f t="shared" si="33"/>
        <v>0</v>
      </c>
      <c r="BI27" s="4697" t="e">
        <f t="shared" si="48"/>
        <v>#DIV/0!</v>
      </c>
      <c r="BJ27" s="3342"/>
      <c r="BK27" s="3341"/>
      <c r="BL27" s="3341"/>
      <c r="BM27" s="3349">
        <f t="shared" si="34"/>
        <v>0</v>
      </c>
      <c r="BN27" s="4697" t="e">
        <f t="shared" si="49"/>
        <v>#DIV/0!</v>
      </c>
      <c r="BO27" s="3342"/>
      <c r="BP27" s="3341"/>
      <c r="BQ27" s="3341"/>
      <c r="BR27" s="3349">
        <f t="shared" si="35"/>
        <v>0</v>
      </c>
      <c r="BS27" s="4697" t="e">
        <f t="shared" si="50"/>
        <v>#DIV/0!</v>
      </c>
      <c r="BT27" s="3342"/>
      <c r="BU27" s="3341"/>
      <c r="BV27" s="3341"/>
      <c r="BW27" s="3349">
        <f t="shared" si="36"/>
        <v>0</v>
      </c>
      <c r="BX27" s="4697" t="e">
        <f t="shared" si="51"/>
        <v>#DIV/0!</v>
      </c>
      <c r="BY27" s="3342"/>
      <c r="BZ27" s="3341"/>
      <c r="CA27" s="3341"/>
      <c r="CB27" s="3349">
        <f t="shared" si="37"/>
        <v>0</v>
      </c>
      <c r="CC27" s="4697" t="e">
        <f t="shared" si="52"/>
        <v>#DIV/0!</v>
      </c>
      <c r="CD27" s="3342"/>
      <c r="CE27" s="3341"/>
      <c r="CF27" s="3341"/>
      <c r="CG27" s="3349">
        <f t="shared" si="38"/>
        <v>0</v>
      </c>
      <c r="CH27" s="4697" t="e">
        <f t="shared" si="53"/>
        <v>#DIV/0!</v>
      </c>
      <c r="CI27" s="3342"/>
      <c r="CJ27" s="3341">
        <f t="shared" si="39"/>
        <v>36950.869999999995</v>
      </c>
      <c r="CK27" s="3341">
        <f t="shared" si="39"/>
        <v>5562.2</v>
      </c>
      <c r="CL27" s="3349">
        <f t="shared" si="54"/>
        <v>42513.069999999992</v>
      </c>
      <c r="CM27" s="4697">
        <f t="shared" si="40"/>
        <v>1.1145314511028912E-2</v>
      </c>
      <c r="CN27" s="1434"/>
      <c r="CP27" s="4615"/>
      <c r="CQ27" s="2012"/>
      <c r="CR27" s="4614">
        <f t="shared" si="55"/>
        <v>0</v>
      </c>
      <c r="CS27" s="3307"/>
      <c r="CT27" s="3443"/>
    </row>
    <row r="28" spans="1:100" s="1396" customFormat="1" ht="56.4" customHeight="1" outlineLevel="2">
      <c r="A28" s="1571"/>
      <c r="B28" s="4698" t="s">
        <v>52</v>
      </c>
      <c r="C28" s="3341"/>
      <c r="D28" s="3341"/>
      <c r="E28" s="3349">
        <f t="shared" si="19"/>
        <v>0</v>
      </c>
      <c r="F28" s="4697" t="e">
        <f t="shared" si="16"/>
        <v>#DIV/0!</v>
      </c>
      <c r="G28" s="3342"/>
      <c r="H28" s="3341"/>
      <c r="I28" s="3341"/>
      <c r="J28" s="3349">
        <f t="shared" si="20"/>
        <v>0</v>
      </c>
      <c r="K28" s="4697" t="e">
        <f t="shared" si="41"/>
        <v>#DIV/0!</v>
      </c>
      <c r="L28" s="3342"/>
      <c r="M28" s="3341"/>
      <c r="N28" s="3341"/>
      <c r="O28" s="3349">
        <f t="shared" si="21"/>
        <v>0</v>
      </c>
      <c r="P28" s="4697" t="e">
        <f t="shared" si="22"/>
        <v>#DIV/0!</v>
      </c>
      <c r="Q28" s="3409"/>
      <c r="R28" s="3342">
        <f t="shared" si="23"/>
        <v>0</v>
      </c>
      <c r="S28" s="3342">
        <f t="shared" si="23"/>
        <v>0</v>
      </c>
      <c r="T28" s="2012">
        <f t="shared" si="24"/>
        <v>0</v>
      </c>
      <c r="U28" s="3409"/>
      <c r="V28" s="3409"/>
      <c r="W28" s="3342">
        <f t="shared" si="25"/>
        <v>55322.090000000004</v>
      </c>
      <c r="X28" s="3342">
        <f t="shared" si="25"/>
        <v>130294.6</v>
      </c>
      <c r="Y28" s="2012">
        <f t="shared" si="26"/>
        <v>185616.69</v>
      </c>
      <c r="Z28" s="3409"/>
      <c r="AA28" s="3409"/>
      <c r="AB28" s="3349">
        <v>2119.6</v>
      </c>
      <c r="AC28" s="3349">
        <f>130000+294.6</f>
        <v>130294.6</v>
      </c>
      <c r="AD28" s="3349">
        <f t="shared" si="27"/>
        <v>132414.20000000001</v>
      </c>
      <c r="AE28" s="4697">
        <f t="shared" si="42"/>
        <v>0.1731437679772094</v>
      </c>
      <c r="AF28" s="3436" t="s">
        <v>1897</v>
      </c>
      <c r="AG28" s="2043">
        <f>1869.4+9598+2443.53</f>
        <v>13910.93</v>
      </c>
      <c r="AH28" s="3341"/>
      <c r="AI28" s="3349">
        <f t="shared" si="28"/>
        <v>13910.93</v>
      </c>
      <c r="AJ28" s="4697">
        <f t="shared" si="43"/>
        <v>2.2567749358109249E-2</v>
      </c>
      <c r="AK28" s="1164" t="s">
        <v>1962</v>
      </c>
      <c r="AL28" s="3341">
        <f>6672.22+3750</f>
        <v>10422.220000000001</v>
      </c>
      <c r="AM28" s="3341"/>
      <c r="AN28" s="3349">
        <f t="shared" si="29"/>
        <v>10422.220000000001</v>
      </c>
      <c r="AO28" s="4697">
        <f t="shared" si="44"/>
        <v>1.5455345932037845E-2</v>
      </c>
      <c r="AP28" s="1164" t="s">
        <v>1969</v>
      </c>
      <c r="AQ28" s="2043">
        <v>8877.9699999999993</v>
      </c>
      <c r="AR28" s="3341"/>
      <c r="AS28" s="3349">
        <f t="shared" si="30"/>
        <v>8877.9699999999993</v>
      </c>
      <c r="AT28" s="4697">
        <f t="shared" si="45"/>
        <v>1.5846854668730963E-2</v>
      </c>
      <c r="AU28" s="3409" t="s">
        <v>2048</v>
      </c>
      <c r="AV28" s="3341">
        <v>5961.68</v>
      </c>
      <c r="AW28" s="3341"/>
      <c r="AX28" s="3349">
        <f t="shared" si="31"/>
        <v>5961.68</v>
      </c>
      <c r="AY28" s="4697">
        <f t="shared" si="46"/>
        <v>1.1341486210582822E-2</v>
      </c>
      <c r="AZ28" s="3409" t="s">
        <v>1962</v>
      </c>
      <c r="BA28" s="3341">
        <f>12070.09+1959.6</f>
        <v>14029.69</v>
      </c>
      <c r="BB28" s="3341"/>
      <c r="BC28" s="3349">
        <f t="shared" si="32"/>
        <v>14029.69</v>
      </c>
      <c r="BD28" s="4697">
        <f t="shared" si="47"/>
        <v>2.0845551196774267E-2</v>
      </c>
      <c r="BE28" s="3409" t="s">
        <v>1962</v>
      </c>
      <c r="BF28" s="3341"/>
      <c r="BG28" s="3341"/>
      <c r="BH28" s="3349">
        <f t="shared" si="33"/>
        <v>0</v>
      </c>
      <c r="BI28" s="4697" t="e">
        <f t="shared" si="48"/>
        <v>#DIV/0!</v>
      </c>
      <c r="BJ28" s="3409"/>
      <c r="BK28" s="3341"/>
      <c r="BL28" s="3341"/>
      <c r="BM28" s="3349">
        <f t="shared" si="34"/>
        <v>0</v>
      </c>
      <c r="BN28" s="4697" t="e">
        <f t="shared" si="49"/>
        <v>#DIV/0!</v>
      </c>
      <c r="BO28" s="3409"/>
      <c r="BP28" s="3341"/>
      <c r="BQ28" s="3341"/>
      <c r="BR28" s="3349">
        <f t="shared" si="35"/>
        <v>0</v>
      </c>
      <c r="BS28" s="4697" t="e">
        <f t="shared" si="50"/>
        <v>#DIV/0!</v>
      </c>
      <c r="BT28" s="3409"/>
      <c r="BU28" s="3341"/>
      <c r="BV28" s="3341"/>
      <c r="BW28" s="3349">
        <f t="shared" si="36"/>
        <v>0</v>
      </c>
      <c r="BX28" s="4697" t="e">
        <f t="shared" si="51"/>
        <v>#DIV/0!</v>
      </c>
      <c r="BY28" s="3409"/>
      <c r="BZ28" s="3341"/>
      <c r="CA28" s="3341"/>
      <c r="CB28" s="3349">
        <f t="shared" si="37"/>
        <v>0</v>
      </c>
      <c r="CC28" s="4697" t="e">
        <f t="shared" si="52"/>
        <v>#DIV/0!</v>
      </c>
      <c r="CD28" s="3409"/>
      <c r="CE28" s="3341"/>
      <c r="CF28" s="3341"/>
      <c r="CG28" s="3349">
        <f t="shared" si="38"/>
        <v>0</v>
      </c>
      <c r="CH28" s="4697" t="e">
        <f t="shared" si="53"/>
        <v>#DIV/0!</v>
      </c>
      <c r="CI28" s="3409"/>
      <c r="CJ28" s="3341">
        <f t="shared" si="39"/>
        <v>55322.090000000004</v>
      </c>
      <c r="CK28" s="3341">
        <f t="shared" si="39"/>
        <v>130294.6</v>
      </c>
      <c r="CL28" s="3349">
        <f t="shared" si="54"/>
        <v>185616.69</v>
      </c>
      <c r="CM28" s="4697">
        <f t="shared" si="40"/>
        <v>4.8661656016518111E-2</v>
      </c>
      <c r="CN28" s="1434"/>
      <c r="CP28" s="4615"/>
      <c r="CQ28" s="2012"/>
      <c r="CR28" s="4614">
        <f t="shared" si="55"/>
        <v>0</v>
      </c>
      <c r="CS28" s="3307"/>
      <c r="CT28" s="3443"/>
    </row>
    <row r="29" spans="1:100" s="1396" customFormat="1" ht="13.8" outlineLevel="2">
      <c r="A29" s="1571"/>
      <c r="B29" s="4698" t="s">
        <v>31</v>
      </c>
      <c r="C29" s="3341"/>
      <c r="D29" s="3341"/>
      <c r="E29" s="3349">
        <f t="shared" si="19"/>
        <v>0</v>
      </c>
      <c r="F29" s="4697" t="e">
        <f t="shared" si="16"/>
        <v>#DIV/0!</v>
      </c>
      <c r="G29" s="3342"/>
      <c r="H29" s="3341"/>
      <c r="I29" s="3341"/>
      <c r="J29" s="3349">
        <f t="shared" si="20"/>
        <v>0</v>
      </c>
      <c r="K29" s="4697" t="e">
        <f t="shared" si="41"/>
        <v>#DIV/0!</v>
      </c>
      <c r="L29" s="3342"/>
      <c r="M29" s="3341"/>
      <c r="N29" s="3341"/>
      <c r="O29" s="3349">
        <f t="shared" si="21"/>
        <v>0</v>
      </c>
      <c r="P29" s="4697" t="e">
        <f t="shared" si="22"/>
        <v>#DIV/0!</v>
      </c>
      <c r="Q29" s="3342"/>
      <c r="R29" s="3342">
        <f t="shared" si="23"/>
        <v>0</v>
      </c>
      <c r="S29" s="3342">
        <f t="shared" si="23"/>
        <v>0</v>
      </c>
      <c r="T29" s="2012">
        <f t="shared" si="24"/>
        <v>0</v>
      </c>
      <c r="U29" s="3342"/>
      <c r="V29" s="3342"/>
      <c r="W29" s="3342">
        <f t="shared" si="25"/>
        <v>0</v>
      </c>
      <c r="X29" s="3342">
        <f t="shared" si="25"/>
        <v>0</v>
      </c>
      <c r="Y29" s="2012">
        <f t="shared" si="26"/>
        <v>0</v>
      </c>
      <c r="Z29" s="3342"/>
      <c r="AA29" s="3342"/>
      <c r="AB29" s="3349"/>
      <c r="AC29" s="3349"/>
      <c r="AD29" s="3349">
        <f t="shared" si="27"/>
        <v>0</v>
      </c>
      <c r="AE29" s="4697">
        <f t="shared" si="42"/>
        <v>0</v>
      </c>
      <c r="AF29" s="3436"/>
      <c r="AG29" s="3341"/>
      <c r="AH29" s="3341"/>
      <c r="AI29" s="3349">
        <f t="shared" si="28"/>
        <v>0</v>
      </c>
      <c r="AJ29" s="4697">
        <f t="shared" si="43"/>
        <v>0</v>
      </c>
      <c r="AK29" s="3342"/>
      <c r="AL29" s="3341"/>
      <c r="AM29" s="3341"/>
      <c r="AN29" s="3349">
        <f t="shared" si="29"/>
        <v>0</v>
      </c>
      <c r="AO29" s="4697">
        <f t="shared" si="44"/>
        <v>0</v>
      </c>
      <c r="AP29" s="3409"/>
      <c r="AQ29" s="3341"/>
      <c r="AR29" s="3341"/>
      <c r="AS29" s="3349">
        <f t="shared" si="30"/>
        <v>0</v>
      </c>
      <c r="AT29" s="4697">
        <f t="shared" si="45"/>
        <v>0</v>
      </c>
      <c r="AU29" s="3409"/>
      <c r="AV29" s="3341"/>
      <c r="AW29" s="3341"/>
      <c r="AX29" s="3349">
        <f t="shared" si="31"/>
        <v>0</v>
      </c>
      <c r="AY29" s="4697">
        <f t="shared" si="46"/>
        <v>0</v>
      </c>
      <c r="AZ29" s="3342"/>
      <c r="BA29" s="3341"/>
      <c r="BB29" s="3341"/>
      <c r="BC29" s="3349">
        <f t="shared" si="32"/>
        <v>0</v>
      </c>
      <c r="BD29" s="4697">
        <f t="shared" si="47"/>
        <v>0</v>
      </c>
      <c r="BE29" s="3342"/>
      <c r="BF29" s="3341"/>
      <c r="BG29" s="3341"/>
      <c r="BH29" s="3349">
        <f t="shared" si="33"/>
        <v>0</v>
      </c>
      <c r="BI29" s="4697" t="e">
        <f t="shared" si="48"/>
        <v>#DIV/0!</v>
      </c>
      <c r="BJ29" s="3342"/>
      <c r="BK29" s="3341"/>
      <c r="BL29" s="3341"/>
      <c r="BM29" s="3349">
        <f t="shared" si="34"/>
        <v>0</v>
      </c>
      <c r="BN29" s="4697" t="e">
        <f t="shared" si="49"/>
        <v>#DIV/0!</v>
      </c>
      <c r="BO29" s="3342"/>
      <c r="BP29" s="3341"/>
      <c r="BQ29" s="3341"/>
      <c r="BR29" s="3349">
        <f t="shared" si="35"/>
        <v>0</v>
      </c>
      <c r="BS29" s="4697" t="e">
        <f t="shared" si="50"/>
        <v>#DIV/0!</v>
      </c>
      <c r="BT29" s="3342"/>
      <c r="BU29" s="3341"/>
      <c r="BV29" s="3341"/>
      <c r="BW29" s="3349">
        <f t="shared" si="36"/>
        <v>0</v>
      </c>
      <c r="BX29" s="4697" t="e">
        <f t="shared" si="51"/>
        <v>#DIV/0!</v>
      </c>
      <c r="BY29" s="3342"/>
      <c r="BZ29" s="3341"/>
      <c r="CA29" s="3341"/>
      <c r="CB29" s="3349">
        <f t="shared" si="37"/>
        <v>0</v>
      </c>
      <c r="CC29" s="4697" t="e">
        <f t="shared" si="52"/>
        <v>#DIV/0!</v>
      </c>
      <c r="CD29" s="3342"/>
      <c r="CE29" s="3341"/>
      <c r="CF29" s="3341"/>
      <c r="CG29" s="3349">
        <f t="shared" si="38"/>
        <v>0</v>
      </c>
      <c r="CH29" s="4697" t="e">
        <f t="shared" si="53"/>
        <v>#DIV/0!</v>
      </c>
      <c r="CI29" s="3342"/>
      <c r="CJ29" s="3341">
        <f t="shared" si="39"/>
        <v>0</v>
      </c>
      <c r="CK29" s="3341">
        <f t="shared" si="39"/>
        <v>0</v>
      </c>
      <c r="CL29" s="3349">
        <f t="shared" si="54"/>
        <v>0</v>
      </c>
      <c r="CM29" s="4697">
        <f t="shared" si="40"/>
        <v>0</v>
      </c>
      <c r="CN29" s="4699"/>
      <c r="CP29" s="4615"/>
      <c r="CQ29" s="2012"/>
      <c r="CR29" s="4614">
        <f t="shared" si="55"/>
        <v>0</v>
      </c>
      <c r="CT29" s="2624"/>
    </row>
    <row r="30" spans="1:100" s="1396" customFormat="1" ht="105.6" customHeight="1" outlineLevel="2">
      <c r="A30" s="1571"/>
      <c r="B30" s="4698" t="s">
        <v>62</v>
      </c>
      <c r="C30" s="3341"/>
      <c r="D30" s="3341"/>
      <c r="E30" s="3349">
        <f t="shared" si="19"/>
        <v>0</v>
      </c>
      <c r="F30" s="4697" t="e">
        <f t="shared" si="16"/>
        <v>#DIV/0!</v>
      </c>
      <c r="G30" s="3343"/>
      <c r="H30" s="3341"/>
      <c r="I30" s="3341"/>
      <c r="J30" s="3349">
        <f t="shared" si="20"/>
        <v>0</v>
      </c>
      <c r="K30" s="4697" t="e">
        <f t="shared" si="41"/>
        <v>#DIV/0!</v>
      </c>
      <c r="L30" s="3343"/>
      <c r="M30" s="3341"/>
      <c r="N30" s="3341"/>
      <c r="O30" s="3349">
        <f t="shared" si="21"/>
        <v>0</v>
      </c>
      <c r="P30" s="4697" t="e">
        <f t="shared" si="22"/>
        <v>#DIV/0!</v>
      </c>
      <c r="Q30" s="3342"/>
      <c r="R30" s="3342">
        <f t="shared" si="23"/>
        <v>0</v>
      </c>
      <c r="S30" s="3342">
        <f t="shared" si="23"/>
        <v>0</v>
      </c>
      <c r="T30" s="2012">
        <f t="shared" si="24"/>
        <v>0</v>
      </c>
      <c r="U30" s="3342"/>
      <c r="V30" s="3342"/>
      <c r="W30" s="3342">
        <f t="shared" si="25"/>
        <v>0</v>
      </c>
      <c r="X30" s="3342">
        <f t="shared" si="25"/>
        <v>195800</v>
      </c>
      <c r="Y30" s="2012">
        <f t="shared" si="26"/>
        <v>195800</v>
      </c>
      <c r="Z30" s="3342"/>
      <c r="AA30" s="3342"/>
      <c r="AB30" s="3349"/>
      <c r="AC30" s="3349">
        <f>12000+20460</f>
        <v>32460</v>
      </c>
      <c r="AD30" s="3349">
        <f t="shared" si="27"/>
        <v>32460</v>
      </c>
      <c r="AE30" s="4697">
        <f t="shared" si="42"/>
        <v>4.2444441068557728E-2</v>
      </c>
      <c r="AF30" s="3436" t="s">
        <v>1898</v>
      </c>
      <c r="AG30" s="3341"/>
      <c r="AH30" s="3341">
        <f>16740+7000+5000</f>
        <v>28740</v>
      </c>
      <c r="AI30" s="3349">
        <f t="shared" si="28"/>
        <v>28740</v>
      </c>
      <c r="AJ30" s="4697">
        <f t="shared" si="43"/>
        <v>4.6625000381143443E-2</v>
      </c>
      <c r="AK30" s="3436" t="s">
        <v>1961</v>
      </c>
      <c r="AL30" s="3341"/>
      <c r="AM30" s="3341">
        <f>9*60*20+(4000+3000+5000)+4500*3</f>
        <v>36300</v>
      </c>
      <c r="AN30" s="3349">
        <f t="shared" si="29"/>
        <v>36300</v>
      </c>
      <c r="AO30" s="4697">
        <f t="shared" si="44"/>
        <v>5.3830091605528742E-2</v>
      </c>
      <c r="AP30" s="3409" t="s">
        <v>1970</v>
      </c>
      <c r="AQ30" s="3341"/>
      <c r="AR30" s="3341">
        <f>4000+3000+4500+13000+2000+2450+700</f>
        <v>29650</v>
      </c>
      <c r="AS30" s="3349">
        <f t="shared" si="30"/>
        <v>29650</v>
      </c>
      <c r="AT30" s="4697">
        <f t="shared" si="45"/>
        <v>5.2924175338266863E-2</v>
      </c>
      <c r="AU30" s="3409" t="s">
        <v>2049</v>
      </c>
      <c r="AV30" s="3341"/>
      <c r="AW30" s="3341">
        <f>4000+3000+4500+13000+1000+950+700+150</f>
        <v>27300</v>
      </c>
      <c r="AX30" s="3349">
        <f t="shared" si="31"/>
        <v>27300</v>
      </c>
      <c r="AY30" s="4697">
        <f t="shared" si="46"/>
        <v>5.1935456708329032E-2</v>
      </c>
      <c r="AZ30" s="3409" t="s">
        <v>2096</v>
      </c>
      <c r="BA30" s="3341"/>
      <c r="BB30" s="3341">
        <f>4000+3000+4500+13000+8000*2+350+500</f>
        <v>41350</v>
      </c>
      <c r="BC30" s="3349">
        <f t="shared" si="32"/>
        <v>41350</v>
      </c>
      <c r="BD30" s="4697">
        <f t="shared" si="47"/>
        <v>6.143853085753255E-2</v>
      </c>
      <c r="BE30" s="3409" t="s">
        <v>2177</v>
      </c>
      <c r="BF30" s="3341"/>
      <c r="BG30" s="3341"/>
      <c r="BH30" s="3349">
        <f t="shared" si="33"/>
        <v>0</v>
      </c>
      <c r="BI30" s="4697" t="e">
        <f t="shared" si="48"/>
        <v>#DIV/0!</v>
      </c>
      <c r="BJ30" s="3342"/>
      <c r="BK30" s="3341"/>
      <c r="BL30" s="3341"/>
      <c r="BM30" s="3349">
        <f t="shared" si="34"/>
        <v>0</v>
      </c>
      <c r="BN30" s="4697" t="e">
        <f t="shared" si="49"/>
        <v>#DIV/0!</v>
      </c>
      <c r="BO30" s="3342"/>
      <c r="BP30" s="3341"/>
      <c r="BQ30" s="3341"/>
      <c r="BR30" s="3349">
        <f t="shared" si="35"/>
        <v>0</v>
      </c>
      <c r="BS30" s="4697" t="e">
        <f t="shared" si="50"/>
        <v>#DIV/0!</v>
      </c>
      <c r="BT30" s="3342"/>
      <c r="BU30" s="3341"/>
      <c r="BV30" s="3341"/>
      <c r="BW30" s="3349">
        <f t="shared" si="36"/>
        <v>0</v>
      </c>
      <c r="BX30" s="4697" t="e">
        <f t="shared" si="51"/>
        <v>#DIV/0!</v>
      </c>
      <c r="BY30" s="3342"/>
      <c r="BZ30" s="3341"/>
      <c r="CA30" s="3341"/>
      <c r="CB30" s="3349">
        <f t="shared" si="37"/>
        <v>0</v>
      </c>
      <c r="CC30" s="4697" t="e">
        <f t="shared" si="52"/>
        <v>#DIV/0!</v>
      </c>
      <c r="CD30" s="3342"/>
      <c r="CE30" s="3341"/>
      <c r="CF30" s="3341"/>
      <c r="CG30" s="3349">
        <f t="shared" si="38"/>
        <v>0</v>
      </c>
      <c r="CH30" s="4697" t="e">
        <f t="shared" si="53"/>
        <v>#DIV/0!</v>
      </c>
      <c r="CI30" s="3342"/>
      <c r="CJ30" s="3341">
        <f t="shared" si="39"/>
        <v>0</v>
      </c>
      <c r="CK30" s="3341">
        <f t="shared" si="39"/>
        <v>195800</v>
      </c>
      <c r="CL30" s="3349">
        <f t="shared" si="54"/>
        <v>195800</v>
      </c>
      <c r="CM30" s="4697">
        <f t="shared" si="40"/>
        <v>5.13313336641993E-2</v>
      </c>
      <c r="CN30" s="4699"/>
      <c r="CP30" s="4615"/>
      <c r="CQ30" s="2012"/>
      <c r="CR30" s="4614">
        <f t="shared" si="55"/>
        <v>0</v>
      </c>
      <c r="CS30" s="3307"/>
      <c r="CT30" s="3443"/>
    </row>
    <row r="31" spans="1:100" s="1396" customFormat="1" ht="13.8" outlineLevel="2">
      <c r="A31" s="1571"/>
      <c r="B31" s="4698" t="s">
        <v>34</v>
      </c>
      <c r="C31" s="3341"/>
      <c r="D31" s="3341"/>
      <c r="E31" s="3349">
        <f t="shared" si="19"/>
        <v>0</v>
      </c>
      <c r="F31" s="4697" t="e">
        <f t="shared" si="16"/>
        <v>#DIV/0!</v>
      </c>
      <c r="G31" s="3343"/>
      <c r="H31" s="3341"/>
      <c r="I31" s="3341"/>
      <c r="J31" s="3349">
        <f t="shared" si="20"/>
        <v>0</v>
      </c>
      <c r="K31" s="4697" t="e">
        <f t="shared" si="41"/>
        <v>#DIV/0!</v>
      </c>
      <c r="L31" s="3343"/>
      <c r="M31" s="3341"/>
      <c r="N31" s="3341"/>
      <c r="O31" s="3349">
        <f t="shared" si="21"/>
        <v>0</v>
      </c>
      <c r="P31" s="4697" t="e">
        <f t="shared" si="22"/>
        <v>#DIV/0!</v>
      </c>
      <c r="Q31" s="3342"/>
      <c r="R31" s="3342">
        <f t="shared" si="23"/>
        <v>0</v>
      </c>
      <c r="S31" s="3342">
        <f t="shared" si="23"/>
        <v>0</v>
      </c>
      <c r="T31" s="2012">
        <f t="shared" si="24"/>
        <v>0</v>
      </c>
      <c r="U31" s="3342"/>
      <c r="V31" s="3342"/>
      <c r="W31" s="3342">
        <f t="shared" si="25"/>
        <v>0</v>
      </c>
      <c r="X31" s="3342">
        <f t="shared" si="25"/>
        <v>0</v>
      </c>
      <c r="Y31" s="2012">
        <f t="shared" si="26"/>
        <v>0</v>
      </c>
      <c r="Z31" s="3342"/>
      <c r="AA31" s="3342"/>
      <c r="AB31" s="3349"/>
      <c r="AC31" s="3349"/>
      <c r="AD31" s="3349">
        <f t="shared" si="27"/>
        <v>0</v>
      </c>
      <c r="AE31" s="4697">
        <f t="shared" si="42"/>
        <v>0</v>
      </c>
      <c r="AF31" s="3436"/>
      <c r="AG31" s="3341"/>
      <c r="AH31" s="3341"/>
      <c r="AI31" s="3349">
        <f t="shared" si="28"/>
        <v>0</v>
      </c>
      <c r="AJ31" s="4697">
        <f t="shared" si="43"/>
        <v>0</v>
      </c>
      <c r="AK31" s="3342"/>
      <c r="AL31" s="3341"/>
      <c r="AM31" s="3341"/>
      <c r="AN31" s="3349">
        <f t="shared" si="29"/>
        <v>0</v>
      </c>
      <c r="AO31" s="4697">
        <f t="shared" si="44"/>
        <v>0</v>
      </c>
      <c r="AP31" s="3409"/>
      <c r="AQ31" s="3341"/>
      <c r="AR31" s="3341"/>
      <c r="AS31" s="3349">
        <f t="shared" si="30"/>
        <v>0</v>
      </c>
      <c r="AT31" s="4697">
        <f t="shared" si="45"/>
        <v>0</v>
      </c>
      <c r="AU31" s="3409"/>
      <c r="AV31" s="3341"/>
      <c r="AW31" s="3341"/>
      <c r="AX31" s="3349">
        <f t="shared" si="31"/>
        <v>0</v>
      </c>
      <c r="AY31" s="4697">
        <f t="shared" si="46"/>
        <v>0</v>
      </c>
      <c r="AZ31" s="3342"/>
      <c r="BA31" s="3341"/>
      <c r="BB31" s="3341"/>
      <c r="BC31" s="3349">
        <f t="shared" si="32"/>
        <v>0</v>
      </c>
      <c r="BD31" s="4697">
        <f t="shared" si="47"/>
        <v>0</v>
      </c>
      <c r="BE31" s="3342"/>
      <c r="BF31" s="3341"/>
      <c r="BG31" s="3341"/>
      <c r="BH31" s="3349">
        <f t="shared" si="33"/>
        <v>0</v>
      </c>
      <c r="BI31" s="4697" t="e">
        <f t="shared" si="48"/>
        <v>#DIV/0!</v>
      </c>
      <c r="BJ31" s="3342"/>
      <c r="BK31" s="3341"/>
      <c r="BL31" s="3341"/>
      <c r="BM31" s="3349">
        <f t="shared" si="34"/>
        <v>0</v>
      </c>
      <c r="BN31" s="4697" t="e">
        <f t="shared" si="49"/>
        <v>#DIV/0!</v>
      </c>
      <c r="BO31" s="3342"/>
      <c r="BP31" s="3341"/>
      <c r="BQ31" s="3341"/>
      <c r="BR31" s="3349">
        <f t="shared" si="35"/>
        <v>0</v>
      </c>
      <c r="BS31" s="4697" t="e">
        <f t="shared" si="50"/>
        <v>#DIV/0!</v>
      </c>
      <c r="BT31" s="3342"/>
      <c r="BU31" s="3341"/>
      <c r="BV31" s="3341"/>
      <c r="BW31" s="3349">
        <f t="shared" si="36"/>
        <v>0</v>
      </c>
      <c r="BX31" s="4697" t="e">
        <f t="shared" si="51"/>
        <v>#DIV/0!</v>
      </c>
      <c r="BY31" s="3342"/>
      <c r="BZ31" s="3341"/>
      <c r="CA31" s="3341"/>
      <c r="CB31" s="3349">
        <f t="shared" si="37"/>
        <v>0</v>
      </c>
      <c r="CC31" s="4697" t="e">
        <f t="shared" si="52"/>
        <v>#DIV/0!</v>
      </c>
      <c r="CD31" s="3342"/>
      <c r="CE31" s="3341"/>
      <c r="CF31" s="3341"/>
      <c r="CG31" s="3349">
        <f t="shared" si="38"/>
        <v>0</v>
      </c>
      <c r="CH31" s="4697" t="e">
        <f t="shared" si="53"/>
        <v>#DIV/0!</v>
      </c>
      <c r="CI31" s="3342"/>
      <c r="CJ31" s="3341">
        <f t="shared" si="39"/>
        <v>0</v>
      </c>
      <c r="CK31" s="3341">
        <f t="shared" si="39"/>
        <v>0</v>
      </c>
      <c r="CL31" s="3349">
        <f t="shared" si="54"/>
        <v>0</v>
      </c>
      <c r="CM31" s="4697">
        <f t="shared" si="40"/>
        <v>0</v>
      </c>
      <c r="CN31" s="4699"/>
      <c r="CP31" s="4615"/>
      <c r="CQ31" s="2012">
        <f t="shared" ref="CQ31:CQ32" si="56">CL31</f>
        <v>0</v>
      </c>
      <c r="CR31" s="4614">
        <f t="shared" si="55"/>
        <v>0</v>
      </c>
      <c r="CS31" s="3307"/>
      <c r="CT31" s="3443"/>
      <c r="CV31" s="933"/>
    </row>
    <row r="32" spans="1:100" s="1396" customFormat="1" ht="13.8" outlineLevel="2">
      <c r="A32" s="1571"/>
      <c r="B32" s="4700" t="s">
        <v>2</v>
      </c>
      <c r="C32" s="3341"/>
      <c r="D32" s="3341"/>
      <c r="E32" s="3349">
        <f t="shared" si="19"/>
        <v>0</v>
      </c>
      <c r="F32" s="4697" t="e">
        <f t="shared" si="16"/>
        <v>#DIV/0!</v>
      </c>
      <c r="G32" s="4701"/>
      <c r="H32" s="3341"/>
      <c r="I32" s="3341"/>
      <c r="J32" s="3349">
        <f t="shared" si="20"/>
        <v>0</v>
      </c>
      <c r="K32" s="4697" t="e">
        <f t="shared" si="41"/>
        <v>#DIV/0!</v>
      </c>
      <c r="L32" s="4701"/>
      <c r="M32" s="3341"/>
      <c r="N32" s="3341"/>
      <c r="O32" s="3349">
        <f t="shared" si="21"/>
        <v>0</v>
      </c>
      <c r="P32" s="4697" t="e">
        <f t="shared" si="22"/>
        <v>#DIV/0!</v>
      </c>
      <c r="Q32" s="4701"/>
      <c r="R32" s="3342">
        <f t="shared" si="23"/>
        <v>0</v>
      </c>
      <c r="S32" s="3342">
        <f t="shared" si="23"/>
        <v>0</v>
      </c>
      <c r="T32" s="2012">
        <f t="shared" si="24"/>
        <v>0</v>
      </c>
      <c r="U32" s="2048"/>
      <c r="V32" s="2048"/>
      <c r="W32" s="3342">
        <f t="shared" si="25"/>
        <v>0</v>
      </c>
      <c r="X32" s="3342">
        <f t="shared" si="25"/>
        <v>0</v>
      </c>
      <c r="Y32" s="2012">
        <f t="shared" si="26"/>
        <v>0</v>
      </c>
      <c r="Z32" s="2048"/>
      <c r="AA32" s="2048"/>
      <c r="AB32" s="3349"/>
      <c r="AC32" s="3349"/>
      <c r="AD32" s="3349">
        <f t="shared" si="27"/>
        <v>0</v>
      </c>
      <c r="AE32" s="4697">
        <f t="shared" si="42"/>
        <v>0</v>
      </c>
      <c r="AF32" s="3436"/>
      <c r="AG32" s="3341"/>
      <c r="AH32" s="3341"/>
      <c r="AI32" s="3349">
        <f t="shared" si="28"/>
        <v>0</v>
      </c>
      <c r="AJ32" s="4697">
        <f t="shared" si="43"/>
        <v>0</v>
      </c>
      <c r="AK32" s="4701"/>
      <c r="AL32" s="3341"/>
      <c r="AM32" s="3341"/>
      <c r="AN32" s="3349">
        <f t="shared" si="29"/>
        <v>0</v>
      </c>
      <c r="AO32" s="4697">
        <f t="shared" si="44"/>
        <v>0</v>
      </c>
      <c r="AP32" s="4702"/>
      <c r="AQ32" s="3341"/>
      <c r="AR32" s="3341"/>
      <c r="AS32" s="3349">
        <f t="shared" si="30"/>
        <v>0</v>
      </c>
      <c r="AT32" s="4697">
        <f t="shared" si="45"/>
        <v>0</v>
      </c>
      <c r="AU32" s="4702"/>
      <c r="AV32" s="3341"/>
      <c r="AW32" s="3341"/>
      <c r="AX32" s="3349">
        <f t="shared" si="31"/>
        <v>0</v>
      </c>
      <c r="AY32" s="4697">
        <f t="shared" si="46"/>
        <v>0</v>
      </c>
      <c r="AZ32" s="4701"/>
      <c r="BA32" s="3341"/>
      <c r="BB32" s="3341"/>
      <c r="BC32" s="3349">
        <f t="shared" si="32"/>
        <v>0</v>
      </c>
      <c r="BD32" s="4697">
        <f t="shared" si="47"/>
        <v>0</v>
      </c>
      <c r="BE32" s="4701"/>
      <c r="BF32" s="3341"/>
      <c r="BG32" s="3341"/>
      <c r="BH32" s="3349">
        <f t="shared" si="33"/>
        <v>0</v>
      </c>
      <c r="BI32" s="4697" t="e">
        <f t="shared" si="48"/>
        <v>#DIV/0!</v>
      </c>
      <c r="BJ32" s="4701"/>
      <c r="BK32" s="3341"/>
      <c r="BL32" s="3341"/>
      <c r="BM32" s="3349">
        <f t="shared" si="34"/>
        <v>0</v>
      </c>
      <c r="BN32" s="4697" t="e">
        <f t="shared" si="49"/>
        <v>#DIV/0!</v>
      </c>
      <c r="BO32" s="4701"/>
      <c r="BP32" s="3341"/>
      <c r="BQ32" s="3341"/>
      <c r="BR32" s="3349">
        <f t="shared" si="35"/>
        <v>0</v>
      </c>
      <c r="BS32" s="4697" t="e">
        <f t="shared" si="50"/>
        <v>#DIV/0!</v>
      </c>
      <c r="BT32" s="4701"/>
      <c r="BU32" s="3341"/>
      <c r="BV32" s="3341"/>
      <c r="BW32" s="3349">
        <f t="shared" si="36"/>
        <v>0</v>
      </c>
      <c r="BX32" s="4697" t="e">
        <f t="shared" si="51"/>
        <v>#DIV/0!</v>
      </c>
      <c r="BY32" s="4701"/>
      <c r="BZ32" s="3341"/>
      <c r="CA32" s="3341"/>
      <c r="CB32" s="3349">
        <f t="shared" si="37"/>
        <v>0</v>
      </c>
      <c r="CC32" s="4697" t="e">
        <f t="shared" si="52"/>
        <v>#DIV/0!</v>
      </c>
      <c r="CD32" s="4701"/>
      <c r="CE32" s="3341"/>
      <c r="CF32" s="3341"/>
      <c r="CG32" s="3349">
        <f t="shared" si="38"/>
        <v>0</v>
      </c>
      <c r="CH32" s="4697" t="e">
        <f t="shared" si="53"/>
        <v>#DIV/0!</v>
      </c>
      <c r="CI32" s="4701"/>
      <c r="CJ32" s="4703">
        <f t="shared" si="39"/>
        <v>0</v>
      </c>
      <c r="CK32" s="4704">
        <f t="shared" si="39"/>
        <v>0</v>
      </c>
      <c r="CL32" s="3349">
        <f t="shared" si="54"/>
        <v>0</v>
      </c>
      <c r="CM32" s="4697">
        <f t="shared" si="40"/>
        <v>0</v>
      </c>
      <c r="CN32" s="4699"/>
      <c r="CP32" s="4615"/>
      <c r="CQ32" s="2012">
        <f t="shared" si="56"/>
        <v>0</v>
      </c>
      <c r="CR32" s="4614">
        <f t="shared" si="55"/>
        <v>0</v>
      </c>
      <c r="CT32" s="2624"/>
    </row>
    <row r="33" spans="1:98" s="1396" customFormat="1" ht="14.4" outlineLevel="2" thickBot="1">
      <c r="A33" s="1571"/>
      <c r="B33" s="4705" t="s">
        <v>75</v>
      </c>
      <c r="C33" s="4706"/>
      <c r="D33" s="4706"/>
      <c r="E33" s="4707">
        <f t="shared" ref="E33" si="57">C33+D33*1</f>
        <v>0</v>
      </c>
      <c r="F33" s="4708" t="e">
        <f t="shared" si="16"/>
        <v>#DIV/0!</v>
      </c>
      <c r="G33" s="4709"/>
      <c r="H33" s="4706"/>
      <c r="I33" s="4706"/>
      <c r="J33" s="4707">
        <f>H33+I33*1</f>
        <v>0</v>
      </c>
      <c r="K33" s="4708" t="e">
        <f t="shared" si="41"/>
        <v>#DIV/0!</v>
      </c>
      <c r="L33" s="4709"/>
      <c r="M33" s="4706"/>
      <c r="N33" s="4706"/>
      <c r="O33" s="4707">
        <f t="shared" ref="O33" si="58">M33+N33*1</f>
        <v>0</v>
      </c>
      <c r="P33" s="4697" t="e">
        <f t="shared" si="22"/>
        <v>#DIV/0!</v>
      </c>
      <c r="Q33" s="4709"/>
      <c r="R33" s="4710">
        <f t="shared" si="23"/>
        <v>0</v>
      </c>
      <c r="S33" s="4711">
        <f t="shared" si="23"/>
        <v>0</v>
      </c>
      <c r="T33" s="4712">
        <f t="shared" si="24"/>
        <v>0</v>
      </c>
      <c r="U33" s="4709"/>
      <c r="V33" s="4709"/>
      <c r="W33" s="4711">
        <f t="shared" si="25"/>
        <v>0</v>
      </c>
      <c r="X33" s="4711">
        <f t="shared" si="25"/>
        <v>0</v>
      </c>
      <c r="Y33" s="4712">
        <f t="shared" si="26"/>
        <v>0</v>
      </c>
      <c r="Z33" s="4709"/>
      <c r="AA33" s="4709"/>
      <c r="AB33" s="4707"/>
      <c r="AC33" s="4707"/>
      <c r="AD33" s="4707">
        <f t="shared" ref="AD33" si="59">AB33+AC33*1</f>
        <v>0</v>
      </c>
      <c r="AE33" s="4708">
        <f t="shared" si="42"/>
        <v>0</v>
      </c>
      <c r="AF33" s="4713"/>
      <c r="AG33" s="4706"/>
      <c r="AH33" s="4706"/>
      <c r="AI33" s="4707">
        <f t="shared" ref="AI33" si="60">AG33+AH33*1</f>
        <v>0</v>
      </c>
      <c r="AJ33" s="4708">
        <f t="shared" si="43"/>
        <v>0</v>
      </c>
      <c r="AK33" s="4709"/>
      <c r="AL33" s="4706"/>
      <c r="AM33" s="4706"/>
      <c r="AN33" s="4707">
        <f t="shared" ref="AN33" si="61">AL33+AM33*1</f>
        <v>0</v>
      </c>
      <c r="AO33" s="4708">
        <f t="shared" si="44"/>
        <v>0</v>
      </c>
      <c r="AP33" s="4714"/>
      <c r="AQ33" s="4706"/>
      <c r="AR33" s="4706"/>
      <c r="AS33" s="4707">
        <f t="shared" ref="AS33" si="62">AQ33+AR33*1</f>
        <v>0</v>
      </c>
      <c r="AT33" s="4708">
        <f t="shared" si="45"/>
        <v>0</v>
      </c>
      <c r="AU33" s="4714"/>
      <c r="AV33" s="4706"/>
      <c r="AW33" s="4706"/>
      <c r="AX33" s="4707">
        <f t="shared" ref="AX33" si="63">AV33+AW33*1</f>
        <v>0</v>
      </c>
      <c r="AY33" s="4708">
        <f t="shared" si="46"/>
        <v>0</v>
      </c>
      <c r="AZ33" s="4709"/>
      <c r="BA33" s="4706"/>
      <c r="BB33" s="4706"/>
      <c r="BC33" s="4707">
        <f t="shared" ref="BC33" si="64">BA33+BB33*1</f>
        <v>0</v>
      </c>
      <c r="BD33" s="4708">
        <f t="shared" si="47"/>
        <v>0</v>
      </c>
      <c r="BE33" s="4709"/>
      <c r="BF33" s="4706"/>
      <c r="BG33" s="4706"/>
      <c r="BH33" s="4707">
        <f t="shared" ref="BH33" si="65">BF33+BG33*1</f>
        <v>0</v>
      </c>
      <c r="BI33" s="4708" t="e">
        <f t="shared" si="48"/>
        <v>#DIV/0!</v>
      </c>
      <c r="BJ33" s="4709"/>
      <c r="BK33" s="4706"/>
      <c r="BL33" s="4706"/>
      <c r="BM33" s="4707">
        <f t="shared" ref="BM33" si="66">BK33+BL33*1</f>
        <v>0</v>
      </c>
      <c r="BN33" s="4708" t="e">
        <f t="shared" si="49"/>
        <v>#DIV/0!</v>
      </c>
      <c r="BO33" s="4709"/>
      <c r="BP33" s="4706"/>
      <c r="BQ33" s="4706"/>
      <c r="BR33" s="4707">
        <f t="shared" ref="BR33" si="67">BP33+BQ33*1</f>
        <v>0</v>
      </c>
      <c r="BS33" s="4708" t="e">
        <f t="shared" si="50"/>
        <v>#DIV/0!</v>
      </c>
      <c r="BT33" s="4709"/>
      <c r="BU33" s="4706"/>
      <c r="BV33" s="4706"/>
      <c r="BW33" s="4707">
        <f t="shared" ref="BW33" si="68">BU33+BV33*1</f>
        <v>0</v>
      </c>
      <c r="BX33" s="4708" t="e">
        <f t="shared" si="51"/>
        <v>#DIV/0!</v>
      </c>
      <c r="BY33" s="4709"/>
      <c r="BZ33" s="4706"/>
      <c r="CA33" s="4706"/>
      <c r="CB33" s="4707">
        <f t="shared" ref="CB33" si="69">BZ33+CA33*1</f>
        <v>0</v>
      </c>
      <c r="CC33" s="4708" t="e">
        <f t="shared" si="52"/>
        <v>#DIV/0!</v>
      </c>
      <c r="CD33" s="4709"/>
      <c r="CE33" s="4706"/>
      <c r="CF33" s="4706"/>
      <c r="CG33" s="4707">
        <f t="shared" ref="CG33" si="70">CE33+CF33*1</f>
        <v>0</v>
      </c>
      <c r="CH33" s="4708" t="e">
        <f t="shared" si="53"/>
        <v>#DIV/0!</v>
      </c>
      <c r="CI33" s="4709"/>
      <c r="CJ33" s="4715">
        <f t="shared" si="39"/>
        <v>0</v>
      </c>
      <c r="CK33" s="4706">
        <f t="shared" si="39"/>
        <v>0</v>
      </c>
      <c r="CL33" s="4707">
        <f t="shared" si="54"/>
        <v>0</v>
      </c>
      <c r="CM33" s="4716">
        <f t="shared" si="40"/>
        <v>0</v>
      </c>
      <c r="CN33" s="4717"/>
      <c r="CP33" s="4615"/>
      <c r="CQ33" s="4615"/>
      <c r="CR33" s="4614">
        <f t="shared" si="55"/>
        <v>0</v>
      </c>
      <c r="CT33" s="2624"/>
    </row>
    <row r="34" spans="1:98"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9"/>
      <c r="AC34" s="3349"/>
      <c r="AD34" s="3784"/>
      <c r="AE34" s="3368"/>
      <c r="AF34" s="3796"/>
      <c r="AG34" s="3341"/>
      <c r="AH34" s="3341"/>
      <c r="AI34" s="3368"/>
      <c r="AJ34" s="3368"/>
      <c r="AK34" s="3448"/>
      <c r="AL34" s="3341"/>
      <c r="AM34" s="3341"/>
      <c r="AN34" s="3368"/>
      <c r="AO34" s="3368"/>
      <c r="AP34" s="3721"/>
      <c r="AQ34" s="3341"/>
      <c r="AR34" s="3341"/>
      <c r="AS34" s="3368"/>
      <c r="AT34" s="3368"/>
      <c r="AU34" s="3721"/>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3449"/>
      <c r="CQ34" s="3449"/>
      <c r="CR34" s="3450"/>
      <c r="CT34" s="2624"/>
    </row>
    <row r="35" spans="1:98" s="1396" customFormat="1" ht="13.8" outlineLevel="1">
      <c r="A35" s="1571"/>
      <c r="B35" s="4718" t="s">
        <v>80</v>
      </c>
      <c r="C35" s="4719">
        <f>C36</f>
        <v>0</v>
      </c>
      <c r="D35" s="4719">
        <f>D36</f>
        <v>0</v>
      </c>
      <c r="E35" s="4720">
        <f>E36</f>
        <v>0</v>
      </c>
      <c r="F35" s="4720"/>
      <c r="G35" s="4721"/>
      <c r="H35" s="4719">
        <f>H36</f>
        <v>0</v>
      </c>
      <c r="I35" s="4719">
        <f>I36</f>
        <v>0</v>
      </c>
      <c r="J35" s="4720">
        <f>J36</f>
        <v>0</v>
      </c>
      <c r="K35" s="4720"/>
      <c r="L35" s="4721"/>
      <c r="M35" s="4719">
        <f>M36</f>
        <v>0</v>
      </c>
      <c r="N35" s="4719">
        <f>N36</f>
        <v>0</v>
      </c>
      <c r="O35" s="4720">
        <f>O36</f>
        <v>0</v>
      </c>
      <c r="P35" s="4720"/>
      <c r="Q35" s="4721"/>
      <c r="R35" s="4719">
        <f>R36</f>
        <v>0</v>
      </c>
      <c r="S35" s="4719">
        <f>S36</f>
        <v>0</v>
      </c>
      <c r="T35" s="4720">
        <f>T36</f>
        <v>0</v>
      </c>
      <c r="U35" s="4722"/>
      <c r="V35" s="4722"/>
      <c r="W35" s="4719">
        <f>W36</f>
        <v>40962.959999999999</v>
      </c>
      <c r="X35" s="4719">
        <f>X36</f>
        <v>0</v>
      </c>
      <c r="Y35" s="4720">
        <f>Y36</f>
        <v>40962.959999999999</v>
      </c>
      <c r="Z35" s="4722"/>
      <c r="AA35" s="4722"/>
      <c r="AB35" s="4723">
        <f>AB36</f>
        <v>0</v>
      </c>
      <c r="AC35" s="4723">
        <f>AC36</f>
        <v>0</v>
      </c>
      <c r="AD35" s="4724">
        <f>AD36</f>
        <v>0</v>
      </c>
      <c r="AE35" s="4720"/>
      <c r="AF35" s="4725"/>
      <c r="AG35" s="4719">
        <f>AG36</f>
        <v>0</v>
      </c>
      <c r="AH35" s="4719">
        <f>AH36</f>
        <v>0</v>
      </c>
      <c r="AI35" s="4720">
        <f>AI36</f>
        <v>0</v>
      </c>
      <c r="AJ35" s="4720"/>
      <c r="AK35" s="4721"/>
      <c r="AL35" s="4719">
        <f>AL36</f>
        <v>36887.96</v>
      </c>
      <c r="AM35" s="4719">
        <f>AM36</f>
        <v>0</v>
      </c>
      <c r="AN35" s="4720">
        <f>AN36</f>
        <v>36887.96</v>
      </c>
      <c r="AO35" s="4720"/>
      <c r="AP35" s="4726"/>
      <c r="AQ35" s="4719">
        <f>AQ36</f>
        <v>1487</v>
      </c>
      <c r="AR35" s="4719">
        <f>AR36</f>
        <v>0</v>
      </c>
      <c r="AS35" s="4720">
        <f>AS36</f>
        <v>1487</v>
      </c>
      <c r="AT35" s="4720"/>
      <c r="AU35" s="4726"/>
      <c r="AV35" s="4719">
        <f>AV36</f>
        <v>2588</v>
      </c>
      <c r="AW35" s="4719">
        <f>AW36</f>
        <v>0</v>
      </c>
      <c r="AX35" s="4720">
        <f>AX36</f>
        <v>2588</v>
      </c>
      <c r="AY35" s="4720"/>
      <c r="AZ35" s="4721"/>
      <c r="BA35" s="4719">
        <f>BA36</f>
        <v>0</v>
      </c>
      <c r="BB35" s="4719">
        <f>BB36</f>
        <v>0</v>
      </c>
      <c r="BC35" s="4720">
        <f>BC36</f>
        <v>0</v>
      </c>
      <c r="BD35" s="4720"/>
      <c r="BE35" s="4721"/>
      <c r="BF35" s="4719">
        <f>BF36</f>
        <v>0</v>
      </c>
      <c r="BG35" s="4719">
        <f>BG36</f>
        <v>0</v>
      </c>
      <c r="BH35" s="4720">
        <f>BH36</f>
        <v>0</v>
      </c>
      <c r="BI35" s="4720"/>
      <c r="BJ35" s="4721"/>
      <c r="BK35" s="4719">
        <f>BK36</f>
        <v>0</v>
      </c>
      <c r="BL35" s="4719">
        <f>BL36</f>
        <v>0</v>
      </c>
      <c r="BM35" s="4720">
        <f>BM36</f>
        <v>0</v>
      </c>
      <c r="BN35" s="4720"/>
      <c r="BO35" s="4721"/>
      <c r="BP35" s="4719">
        <f>BP36</f>
        <v>0</v>
      </c>
      <c r="BQ35" s="4719">
        <f>BQ36</f>
        <v>0</v>
      </c>
      <c r="BR35" s="4720">
        <f>BR36</f>
        <v>0</v>
      </c>
      <c r="BS35" s="4720"/>
      <c r="BT35" s="4721"/>
      <c r="BU35" s="4719">
        <f>BU36</f>
        <v>0</v>
      </c>
      <c r="BV35" s="4719">
        <f>BV36</f>
        <v>0</v>
      </c>
      <c r="BW35" s="4720">
        <f>BW36</f>
        <v>0</v>
      </c>
      <c r="BX35" s="4720"/>
      <c r="BY35" s="4721"/>
      <c r="BZ35" s="4719">
        <f>BZ36</f>
        <v>0</v>
      </c>
      <c r="CA35" s="4719">
        <f>CA36</f>
        <v>0</v>
      </c>
      <c r="CB35" s="4720">
        <f>CB36</f>
        <v>0</v>
      </c>
      <c r="CC35" s="4720"/>
      <c r="CD35" s="4721"/>
      <c r="CE35" s="4719">
        <f>CE36</f>
        <v>0</v>
      </c>
      <c r="CF35" s="4719">
        <f>CF36</f>
        <v>0</v>
      </c>
      <c r="CG35" s="4720">
        <f>CG36</f>
        <v>0</v>
      </c>
      <c r="CH35" s="4720"/>
      <c r="CI35" s="4721"/>
      <c r="CJ35" s="4719">
        <f>CJ36</f>
        <v>40962.959999999999</v>
      </c>
      <c r="CK35" s="4719">
        <f>CK36</f>
        <v>0</v>
      </c>
      <c r="CL35" s="4720">
        <f>CL36</f>
        <v>40962.959999999999</v>
      </c>
      <c r="CM35" s="4720"/>
      <c r="CN35" s="4720"/>
      <c r="CP35" s="4720">
        <f>CP36</f>
        <v>0</v>
      </c>
      <c r="CQ35" s="4720">
        <f>CQ36</f>
        <v>40962.959999999999</v>
      </c>
      <c r="CR35" s="4727">
        <f>CR36</f>
        <v>-40962.959999999999</v>
      </c>
      <c r="CT35" s="2624"/>
    </row>
    <row r="36" spans="1:98" s="1396" customFormat="1" ht="39.6" outlineLevel="3">
      <c r="A36" s="1571"/>
      <c r="B36" s="4728" t="s">
        <v>81</v>
      </c>
      <c r="C36" s="3341"/>
      <c r="D36" s="3341"/>
      <c r="E36" s="2012">
        <f>C36+D36*1</f>
        <v>0</v>
      </c>
      <c r="F36" s="4697" t="e">
        <f>E36/$E$89</f>
        <v>#DIV/0!</v>
      </c>
      <c r="G36" s="4729"/>
      <c r="H36" s="3341"/>
      <c r="I36" s="3341"/>
      <c r="J36" s="2012">
        <f>H36+I36*1</f>
        <v>0</v>
      </c>
      <c r="K36" s="4697" t="e">
        <f t="shared" ref="K36" si="71">J36/J$89</f>
        <v>#DIV/0!</v>
      </c>
      <c r="L36" s="4729"/>
      <c r="M36" s="3341"/>
      <c r="N36" s="3341"/>
      <c r="O36" s="3349">
        <f t="shared" ref="O36" si="72">M36+N36</f>
        <v>0</v>
      </c>
      <c r="P36" s="4697" t="e">
        <f t="shared" ref="P36" si="73">O36/O$89</f>
        <v>#DIV/0!</v>
      </c>
      <c r="Q36" s="4729"/>
      <c r="R36" s="3342">
        <f t="shared" ref="R36:S36" si="74">M36+H36+C36</f>
        <v>0</v>
      </c>
      <c r="S36" s="3342">
        <f t="shared" si="74"/>
        <v>0</v>
      </c>
      <c r="T36" s="2012">
        <f t="shared" ref="T36" si="75">R36+S36</f>
        <v>0</v>
      </c>
      <c r="U36" s="3455"/>
      <c r="V36" s="3455"/>
      <c r="W36" s="3342">
        <f t="shared" ref="W36:X36" si="76">AB36+AG36+AL36+AV36+BA36+BF36+BK36+BP36+BU36+BZ36+CE36+AQ36</f>
        <v>40962.959999999999</v>
      </c>
      <c r="X36" s="3342">
        <f t="shared" si="76"/>
        <v>0</v>
      </c>
      <c r="Y36" s="2012">
        <f t="shared" ref="Y36" si="77">W36+X36</f>
        <v>40962.959999999999</v>
      </c>
      <c r="Z36" s="3455"/>
      <c r="AA36" s="3455"/>
      <c r="AB36" s="3349"/>
      <c r="AC36" s="3349"/>
      <c r="AD36" s="3349">
        <f t="shared" ref="AD36" si="78">AB36+AC36</f>
        <v>0</v>
      </c>
      <c r="AE36" s="4697">
        <f>AD36/AD$89</f>
        <v>0</v>
      </c>
      <c r="AF36" s="4730"/>
      <c r="AG36" s="3341"/>
      <c r="AH36" s="3341"/>
      <c r="AI36" s="3349">
        <f t="shared" ref="AI36" si="79">AG36+AH36</f>
        <v>0</v>
      </c>
      <c r="AJ36" s="4697">
        <f>AI36/AI$89</f>
        <v>0</v>
      </c>
      <c r="AK36" s="4729"/>
      <c r="AL36" s="2043">
        <f>24009.96+12878</f>
        <v>36887.96</v>
      </c>
      <c r="AM36" s="3341"/>
      <c r="AN36" s="3349">
        <f t="shared" ref="AN36" si="80">AL36+AM36</f>
        <v>36887.96</v>
      </c>
      <c r="AO36" s="4697">
        <f>AN36/AN$89</f>
        <v>5.4701990797274926E-2</v>
      </c>
      <c r="AP36" s="4731" t="s">
        <v>1971</v>
      </c>
      <c r="AQ36" s="3341">
        <v>1487</v>
      </c>
      <c r="AR36" s="3341"/>
      <c r="AS36" s="3349">
        <f t="shared" ref="AS36" si="81">AQ36+AR36</f>
        <v>1487</v>
      </c>
      <c r="AT36" s="4697">
        <f>AS36/AS$89</f>
        <v>2.6542411038112251E-3</v>
      </c>
      <c r="AU36" s="4732" t="s">
        <v>2050</v>
      </c>
      <c r="AV36" s="3341">
        <v>2588</v>
      </c>
      <c r="AW36" s="3341"/>
      <c r="AX36" s="3349">
        <f t="shared" ref="AX36" si="82">AV36+AW36</f>
        <v>2588</v>
      </c>
      <c r="AY36" s="4697">
        <f>AX36/AX$89</f>
        <v>4.9234052000423278E-3</v>
      </c>
      <c r="AZ36" s="4729" t="s">
        <v>2124</v>
      </c>
      <c r="BA36" s="3341"/>
      <c r="BB36" s="3341"/>
      <c r="BC36" s="3349">
        <f t="shared" ref="BC36" si="83">BA36+BB36</f>
        <v>0</v>
      </c>
      <c r="BD36" s="4697">
        <f>BC36/BC$89</f>
        <v>0</v>
      </c>
      <c r="BE36" s="4729"/>
      <c r="BF36" s="3341"/>
      <c r="BG36" s="3341"/>
      <c r="BH36" s="3349">
        <f t="shared" ref="BH36" si="84">BF36+BG36</f>
        <v>0</v>
      </c>
      <c r="BI36" s="4697" t="e">
        <f>BH36/BH$89</f>
        <v>#DIV/0!</v>
      </c>
      <c r="BJ36" s="4729"/>
      <c r="BK36" s="3341"/>
      <c r="BL36" s="3341"/>
      <c r="BM36" s="3349">
        <f t="shared" ref="BM36" si="85">BK36+BL36</f>
        <v>0</v>
      </c>
      <c r="BN36" s="4697" t="e">
        <f>BM36/BM$89</f>
        <v>#DIV/0!</v>
      </c>
      <c r="BO36" s="4729"/>
      <c r="BP36" s="3341"/>
      <c r="BQ36" s="3341"/>
      <c r="BR36" s="3349">
        <f t="shared" ref="BR36" si="86">BP36+BQ36</f>
        <v>0</v>
      </c>
      <c r="BS36" s="4697" t="e">
        <f>BR36/BR$89</f>
        <v>#DIV/0!</v>
      </c>
      <c r="BT36" s="4729"/>
      <c r="BU36" s="3341"/>
      <c r="BV36" s="3341"/>
      <c r="BW36" s="3349">
        <f t="shared" ref="BW36" si="87">BU36+BV36</f>
        <v>0</v>
      </c>
      <c r="BX36" s="4697" t="e">
        <f>BW36/BW$89</f>
        <v>#DIV/0!</v>
      </c>
      <c r="BY36" s="4729"/>
      <c r="BZ36" s="3341"/>
      <c r="CA36" s="3341"/>
      <c r="CB36" s="3349">
        <f t="shared" ref="CB36" si="88">BZ36+CA36</f>
        <v>0</v>
      </c>
      <c r="CC36" s="4697" t="e">
        <f>CB36/CB$89</f>
        <v>#DIV/0!</v>
      </c>
      <c r="CD36" s="4729"/>
      <c r="CE36" s="3341"/>
      <c r="CF36" s="3341"/>
      <c r="CG36" s="3349">
        <f t="shared" ref="CG36" si="89">CE36+CF36</f>
        <v>0</v>
      </c>
      <c r="CH36" s="4697" t="e">
        <f>CG36/CG$89</f>
        <v>#DIV/0!</v>
      </c>
      <c r="CI36" s="4729"/>
      <c r="CJ36" s="3341">
        <f t="shared" ref="CJ36:CK36" si="90">C36+H36+M36+W36</f>
        <v>40962.959999999999</v>
      </c>
      <c r="CK36" s="3341">
        <f t="shared" si="90"/>
        <v>0</v>
      </c>
      <c r="CL36" s="2012">
        <f>CJ36+CK36*1</f>
        <v>40962.959999999999</v>
      </c>
      <c r="CM36" s="4697">
        <f>CL36/$CL$89</f>
        <v>1.073893446186542E-2</v>
      </c>
      <c r="CN36" s="4733"/>
      <c r="CP36" s="2012"/>
      <c r="CQ36" s="2012">
        <f t="shared" ref="CQ36" si="91">CL36</f>
        <v>40962.959999999999</v>
      </c>
      <c r="CR36" s="4614">
        <f t="shared" ref="CR36" si="92">CP36-CQ36</f>
        <v>-40962.959999999999</v>
      </c>
      <c r="CT36" s="3443"/>
    </row>
    <row r="37" spans="1:98" s="1396" customFormat="1" ht="14.4" outlineLevel="1" thickBot="1">
      <c r="A37" s="1398"/>
      <c r="B37" s="4734"/>
      <c r="C37" s="3341"/>
      <c r="D37" s="3341"/>
      <c r="E37" s="4735"/>
      <c r="F37" s="4735"/>
      <c r="G37" s="4736"/>
      <c r="H37" s="3341"/>
      <c r="I37" s="3341"/>
      <c r="J37" s="4735"/>
      <c r="K37" s="4735"/>
      <c r="L37" s="4736"/>
      <c r="M37" s="3341"/>
      <c r="N37" s="3341"/>
      <c r="O37" s="4735"/>
      <c r="P37" s="4735"/>
      <c r="Q37" s="4736"/>
      <c r="R37" s="3456"/>
      <c r="S37" s="3456"/>
      <c r="T37" s="3456"/>
      <c r="U37" s="3456"/>
      <c r="V37" s="3456"/>
      <c r="W37" s="3342">
        <f t="shared" ref="W37:X37" si="93">AB37+AG37+AL37+AV37+BA37+BF37+BK37+BP37+BU37+BZ37+CE37</f>
        <v>0</v>
      </c>
      <c r="X37" s="3342">
        <f t="shared" si="93"/>
        <v>0</v>
      </c>
      <c r="Y37" s="3456"/>
      <c r="Z37" s="3456"/>
      <c r="AA37" s="3456"/>
      <c r="AB37" s="3349"/>
      <c r="AC37" s="3349"/>
      <c r="AD37" s="4737"/>
      <c r="AE37" s="4735"/>
      <c r="AF37" s="4738"/>
      <c r="AG37" s="3341"/>
      <c r="AH37" s="3341"/>
      <c r="AI37" s="4735"/>
      <c r="AJ37" s="4735"/>
      <c r="AK37" s="4736"/>
      <c r="AL37" s="3341"/>
      <c r="AM37" s="3341"/>
      <c r="AN37" s="4735"/>
      <c r="AO37" s="4735"/>
      <c r="AP37" s="4739"/>
      <c r="AQ37" s="3341"/>
      <c r="AR37" s="3341"/>
      <c r="AS37" s="4735"/>
      <c r="AT37" s="4735"/>
      <c r="AU37" s="4739"/>
      <c r="AV37" s="3341"/>
      <c r="AW37" s="3341"/>
      <c r="AX37" s="4735"/>
      <c r="AY37" s="4735"/>
      <c r="AZ37" s="4736"/>
      <c r="BA37" s="3341"/>
      <c r="BB37" s="3341"/>
      <c r="BC37" s="4735"/>
      <c r="BD37" s="4735"/>
      <c r="BE37" s="4736"/>
      <c r="BF37" s="3341"/>
      <c r="BG37" s="3341"/>
      <c r="BH37" s="4735"/>
      <c r="BI37" s="4735"/>
      <c r="BJ37" s="4736"/>
      <c r="BK37" s="3341"/>
      <c r="BL37" s="3341"/>
      <c r="BM37" s="4735"/>
      <c r="BN37" s="4735"/>
      <c r="BO37" s="4736"/>
      <c r="BP37" s="3341"/>
      <c r="BQ37" s="3341"/>
      <c r="BR37" s="4735"/>
      <c r="BS37" s="4735"/>
      <c r="BT37" s="4736"/>
      <c r="BU37" s="3341"/>
      <c r="BV37" s="3341"/>
      <c r="BW37" s="4735"/>
      <c r="BX37" s="4735"/>
      <c r="BY37" s="4736"/>
      <c r="BZ37" s="3341"/>
      <c r="CA37" s="3341"/>
      <c r="CB37" s="4735"/>
      <c r="CC37" s="4735"/>
      <c r="CD37" s="4736"/>
      <c r="CE37" s="3341"/>
      <c r="CF37" s="3341"/>
      <c r="CG37" s="4735"/>
      <c r="CH37" s="4735"/>
      <c r="CI37" s="4736"/>
      <c r="CJ37" s="3341"/>
      <c r="CK37" s="3341"/>
      <c r="CL37" s="4735"/>
      <c r="CM37" s="4735"/>
      <c r="CN37" s="4735"/>
      <c r="CP37" s="4740"/>
      <c r="CQ37" s="4740"/>
      <c r="CR37" s="4741"/>
      <c r="CT37" s="2624"/>
    </row>
    <row r="38" spans="1:98"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0</v>
      </c>
      <c r="O38" s="3749">
        <f>(O5)-(O8)</f>
        <v>0</v>
      </c>
      <c r="P38" s="3749"/>
      <c r="Q38" s="3750"/>
      <c r="R38" s="3749">
        <f>(R5)-(R8)</f>
        <v>0</v>
      </c>
      <c r="S38" s="3749">
        <f>(S5)-(S8)</f>
        <v>0</v>
      </c>
      <c r="T38" s="3749">
        <f>(T5)-(T8)</f>
        <v>0</v>
      </c>
      <c r="U38" s="3750"/>
      <c r="V38" s="3750"/>
      <c r="W38" s="3749">
        <f>(W5)-(W8)</f>
        <v>-204773.09987341758</v>
      </c>
      <c r="X38" s="3749">
        <f>(X5)-(X8)</f>
        <v>-638530.56620253169</v>
      </c>
      <c r="Y38" s="3749">
        <f>(Y5)-(Y8)</f>
        <v>-843303.66607594909</v>
      </c>
      <c r="Z38" s="3750"/>
      <c r="AA38" s="3750"/>
      <c r="AB38" s="3751">
        <f>(AB5)-(AB8)</f>
        <v>177902.9</v>
      </c>
      <c r="AC38" s="3751">
        <f>(AC5)-(AC8)</f>
        <v>-221866.48</v>
      </c>
      <c r="AD38" s="3751">
        <f>AB38+AC38</f>
        <v>-43963.580000000016</v>
      </c>
      <c r="AE38" s="3749"/>
      <c r="AF38" s="3797"/>
      <c r="AG38" s="3749">
        <f>(AG5)-(AG8)</f>
        <v>-77332.350000000006</v>
      </c>
      <c r="AH38" s="3749">
        <f>(AH5)-(AH8)</f>
        <v>-102947.37999999999</v>
      </c>
      <c r="AI38" s="3749">
        <f>(AI5)-(AI8)</f>
        <v>-180279.72999999998</v>
      </c>
      <c r="AJ38" s="3749"/>
      <c r="AK38" s="3750"/>
      <c r="AL38" s="3749">
        <f>(AL5)-(AL8)</f>
        <v>-98163.580000000016</v>
      </c>
      <c r="AM38" s="3749">
        <f>(AM5)-(AM8)</f>
        <v>-65276.25</v>
      </c>
      <c r="AN38" s="3749">
        <f>(AN5)-(AN8)</f>
        <v>-163439.83000000002</v>
      </c>
      <c r="AO38" s="3749"/>
      <c r="AP38" s="3749"/>
      <c r="AQ38" s="3749">
        <f>(AQ5)-(AQ8)</f>
        <v>-51928.029873417523</v>
      </c>
      <c r="AR38" s="3749">
        <f>(AR5)-(AR8)</f>
        <v>-86190.456202531641</v>
      </c>
      <c r="AS38" s="3749">
        <f>(AS5)-(AS8)</f>
        <v>-138118.48607594916</v>
      </c>
      <c r="AT38" s="3749"/>
      <c r="AU38" s="3749"/>
      <c r="AV38" s="3749">
        <f>(AV5)-(AV8)</f>
        <v>-43982.569999999985</v>
      </c>
      <c r="AW38" s="3749">
        <f>(AW5)-(AW8)</f>
        <v>-74100</v>
      </c>
      <c r="AX38" s="3749">
        <f>(AX5)-(AX8)</f>
        <v>-118082.57</v>
      </c>
      <c r="AY38" s="3749"/>
      <c r="AZ38" s="3750"/>
      <c r="BA38" s="3749">
        <f>(BA5)-(BA8)</f>
        <v>-111269.47</v>
      </c>
      <c r="BB38" s="3749">
        <f>(BB5)-(BB8)</f>
        <v>-88150</v>
      </c>
      <c r="BC38" s="3749">
        <f>(BC5)-(BC8)</f>
        <v>-199419.47</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-204773.09987341758</v>
      </c>
      <c r="CK38" s="3751">
        <f>(CK5)-(CK8)</f>
        <v>-638530.56620253169</v>
      </c>
      <c r="CL38" s="3751">
        <f>(CL5)-(CL8)</f>
        <v>-843303.66607594909</v>
      </c>
      <c r="CM38" s="3749"/>
      <c r="CN38" s="3749"/>
      <c r="CP38" s="3749">
        <f>(CP5)-(CP8)</f>
        <v>0</v>
      </c>
      <c r="CQ38" s="3760">
        <f>(CQ5)-(CQ8)</f>
        <v>0</v>
      </c>
      <c r="CR38" s="3749">
        <f>(CR5)-(CR8)</f>
        <v>0</v>
      </c>
      <c r="CT38" s="3761"/>
    </row>
    <row r="39" spans="1:98"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2003">
        <f>IFERROR(AB38/(AB5),0)</f>
        <v>0.88951449999999999</v>
      </c>
      <c r="AC39" s="2003">
        <f>IFERROR(AC38/(AC5),0)</f>
        <v>0</v>
      </c>
      <c r="AD39" s="2003">
        <f>IFERROR(AD38/(AD5),0)</f>
        <v>-0.21981790000000009</v>
      </c>
      <c r="AE39" s="2004"/>
      <c r="AF39" s="3798"/>
      <c r="AG39" s="2003">
        <f>IFERROR(AG38/(AG5),0)</f>
        <v>0</v>
      </c>
      <c r="AH39" s="2003">
        <f>IFERROR(AH38/(AH5),0)</f>
        <v>0</v>
      </c>
      <c r="AI39" s="2004">
        <f>IFERROR(AI38/(AI5),0)</f>
        <v>0</v>
      </c>
      <c r="AJ39" s="2004"/>
      <c r="AK39" s="1056"/>
      <c r="AL39" s="2003">
        <f>IFERROR(AL38/(AL5),0)</f>
        <v>0</v>
      </c>
      <c r="AM39" s="2003">
        <f>IFERROR(AM38/(AM5),0)</f>
        <v>-1.4473669623059866</v>
      </c>
      <c r="AN39" s="2004">
        <f>IFERROR(AN38/(AN5),0)</f>
        <v>-3.6239430155210646</v>
      </c>
      <c r="AO39" s="2004"/>
      <c r="AP39" s="3722"/>
      <c r="AQ39" s="2003">
        <f>IFERROR(AQ38/(AQ5),0)</f>
        <v>0</v>
      </c>
      <c r="AR39" s="2003">
        <f>IFERROR(AR38/(AR5),0)</f>
        <v>0</v>
      </c>
      <c r="AS39" s="2004">
        <f>IFERROR(AS38/(AS5),0)</f>
        <v>0</v>
      </c>
      <c r="AT39" s="2004"/>
      <c r="AU39" s="3722"/>
      <c r="AV39" s="2003">
        <f>IFERROR(AV38/(AV5),0)</f>
        <v>0</v>
      </c>
      <c r="AW39" s="2003">
        <f>IFERROR(AW38/(AW5),0)</f>
        <v>0</v>
      </c>
      <c r="AX39" s="2004">
        <f>IFERROR(AX38/(AX5),0)</f>
        <v>0</v>
      </c>
      <c r="AY39" s="2004"/>
      <c r="AZ39" s="1056"/>
      <c r="BA39" s="2003">
        <f>IFERROR(BA38/(BA5),0)</f>
        <v>0</v>
      </c>
      <c r="BB39" s="2003">
        <f>IFERROR(BB38/(BB5),0)</f>
        <v>0</v>
      </c>
      <c r="BC39" s="2004">
        <f>IFERROR(BC38/(BC5),0)</f>
        <v>0</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-1.0238654993670879</v>
      </c>
      <c r="CK39" s="2003">
        <f>IFERROR(CK38/(CK5),0)</f>
        <v>-14.158105680765669</v>
      </c>
      <c r="CL39" s="2004">
        <f>IFERROR(CL38/(CL5),0)</f>
        <v>-3.4406514323784134</v>
      </c>
      <c r="CM39" s="2004"/>
      <c r="CN39" s="2004"/>
      <c r="CP39" s="2004" t="e">
        <f>CP38/(CP5)</f>
        <v>#DIV/0!</v>
      </c>
      <c r="CQ39" s="2004">
        <f>IFERROR(CQ38/(CQ5),0)</f>
        <v>0</v>
      </c>
      <c r="CR39" s="2004" t="e">
        <f>CR38/(CR5)</f>
        <v>#DIV/0!</v>
      </c>
    </row>
    <row r="40" spans="1:98" ht="14.4" outlineLevel="1" thickBot="1">
      <c r="A40" s="1567"/>
      <c r="B40" s="4742"/>
      <c r="C40" s="4743"/>
      <c r="D40" s="4743"/>
      <c r="E40" s="4743"/>
      <c r="F40" s="4743"/>
      <c r="G40" s="4744"/>
      <c r="H40" s="4743"/>
      <c r="I40" s="4743"/>
      <c r="J40" s="4743"/>
      <c r="K40" s="4743"/>
      <c r="L40" s="4744"/>
      <c r="M40" s="4743"/>
      <c r="N40" s="4743"/>
      <c r="O40" s="4743"/>
      <c r="P40" s="4743"/>
      <c r="Q40" s="4744"/>
      <c r="R40" s="4744"/>
      <c r="S40" s="4744"/>
      <c r="T40" s="4744"/>
      <c r="U40" s="4744"/>
      <c r="V40" s="4744"/>
      <c r="W40" s="4744"/>
      <c r="X40" s="4744"/>
      <c r="Y40" s="4744"/>
      <c r="Z40" s="4744"/>
      <c r="AA40" s="4744"/>
      <c r="AB40" s="4745"/>
      <c r="AC40" s="4745"/>
      <c r="AD40" s="4745"/>
      <c r="AE40" s="4743"/>
      <c r="AF40" s="4746"/>
      <c r="AG40" s="4743"/>
      <c r="AH40" s="4743"/>
      <c r="AI40" s="4743"/>
      <c r="AJ40" s="4743"/>
      <c r="AK40" s="4744"/>
      <c r="AL40" s="4743"/>
      <c r="AM40" s="4743"/>
      <c r="AN40" s="4743"/>
      <c r="AO40" s="4743"/>
      <c r="AP40" s="4747"/>
      <c r="AQ40" s="4743"/>
      <c r="AR40" s="4743"/>
      <c r="AS40" s="4743"/>
      <c r="AT40" s="4743"/>
      <c r="AU40" s="4747"/>
      <c r="AV40" s="4743"/>
      <c r="AW40" s="4743"/>
      <c r="AX40" s="4743"/>
      <c r="AY40" s="4743"/>
      <c r="AZ40" s="4744"/>
      <c r="BA40" s="4743"/>
      <c r="BB40" s="4743"/>
      <c r="BC40" s="4743"/>
      <c r="BD40" s="4743"/>
      <c r="BE40" s="4744"/>
      <c r="BF40" s="4743"/>
      <c r="BG40" s="4743"/>
      <c r="BH40" s="4743"/>
      <c r="BI40" s="4743"/>
      <c r="BJ40" s="4744"/>
      <c r="BK40" s="4743"/>
      <c r="BL40" s="4743"/>
      <c r="BM40" s="4743"/>
      <c r="BN40" s="4743"/>
      <c r="BO40" s="4744"/>
      <c r="BP40" s="4743"/>
      <c r="BQ40" s="4743"/>
      <c r="BR40" s="4743"/>
      <c r="BS40" s="4743"/>
      <c r="BT40" s="4744"/>
      <c r="BU40" s="4743"/>
      <c r="BV40" s="4743"/>
      <c r="BW40" s="4743"/>
      <c r="BX40" s="4743"/>
      <c r="BY40" s="4744"/>
      <c r="BZ40" s="4743"/>
      <c r="CA40" s="4743"/>
      <c r="CB40" s="4743"/>
      <c r="CC40" s="4743"/>
      <c r="CD40" s="4744"/>
      <c r="CE40" s="4743"/>
      <c r="CF40" s="4743"/>
      <c r="CG40" s="4743"/>
      <c r="CH40" s="4743"/>
      <c r="CI40" s="4744"/>
      <c r="CJ40" s="4743"/>
      <c r="CK40" s="4743"/>
      <c r="CL40" s="4743"/>
      <c r="CM40" s="4743"/>
      <c r="CN40" s="4743"/>
      <c r="CP40" s="4748"/>
      <c r="CQ40" s="4748"/>
      <c r="CR40" s="4748"/>
    </row>
    <row r="41" spans="1:98" ht="13.8" outlineLevel="1">
      <c r="A41" s="1405"/>
      <c r="B41" s="1415" t="s">
        <v>26</v>
      </c>
      <c r="C41" s="2013">
        <f>SUM(C42:C48)</f>
        <v>0</v>
      </c>
      <c r="D41" s="2013">
        <f>SUM(D42:D48)</f>
        <v>0</v>
      </c>
      <c r="E41" s="2014">
        <f>SUM(E42:E48)</f>
        <v>0</v>
      </c>
      <c r="F41" s="4749" t="e">
        <f>E41/$E$89</f>
        <v>#DIV/0!</v>
      </c>
      <c r="G41" s="1057"/>
      <c r="H41" s="2013">
        <f>SUM(H42:H48)</f>
        <v>0</v>
      </c>
      <c r="I41" s="2013">
        <f>SUM(I42:I48)</f>
        <v>0</v>
      </c>
      <c r="J41" s="2014">
        <f>SUM(J42:J48)</f>
        <v>0</v>
      </c>
      <c r="K41" s="4749" t="e">
        <f>J41/$E$89</f>
        <v>#DIV/0!</v>
      </c>
      <c r="L41" s="1057"/>
      <c r="M41" s="2013">
        <f>SUM(M42:M48)</f>
        <v>0</v>
      </c>
      <c r="N41" s="2013">
        <f>SUM(N42:N48)</f>
        <v>0</v>
      </c>
      <c r="O41" s="2014">
        <f>SUM(O42:O48)</f>
        <v>0</v>
      </c>
      <c r="P41" s="4749" t="e">
        <f>O41/$E$89</f>
        <v>#DIV/0!</v>
      </c>
      <c r="Q41" s="1057"/>
      <c r="R41" s="2013">
        <f>SUM(R42:R48)</f>
        <v>0</v>
      </c>
      <c r="S41" s="2013">
        <f>SUM(S42:S48)</f>
        <v>0</v>
      </c>
      <c r="T41" s="2014">
        <f>SUM(T42:T48)</f>
        <v>0</v>
      </c>
      <c r="U41" s="4749"/>
      <c r="V41" s="3460"/>
      <c r="W41" s="2013">
        <f>SUM(W42:W48)</f>
        <v>27808.370000000003</v>
      </c>
      <c r="X41" s="2013">
        <f>SUM(X42:X48)</f>
        <v>5336</v>
      </c>
      <c r="Y41" s="2014">
        <f>SUM(Y42:Y48)</f>
        <v>33144.370000000003</v>
      </c>
      <c r="Z41" s="4749"/>
      <c r="AA41" s="3460"/>
      <c r="AB41" s="2013">
        <f>SUM(AB42:AB48)</f>
        <v>3567.56</v>
      </c>
      <c r="AC41" s="2013">
        <f>SUM(AC42:AC48)</f>
        <v>0</v>
      </c>
      <c r="AD41" s="2014">
        <f>SUM(AD42:AD48)</f>
        <v>3567.56</v>
      </c>
      <c r="AE41" s="4749"/>
      <c r="AF41" s="3799"/>
      <c r="AG41" s="2013">
        <f>SUM(AG42:AG48)</f>
        <v>5005.0599999999995</v>
      </c>
      <c r="AH41" s="2013">
        <f>SUM(AH42:AH48)</f>
        <v>0</v>
      </c>
      <c r="AI41" s="2014">
        <f>SUM(AI42:AI48)</f>
        <v>5005.0599999999995</v>
      </c>
      <c r="AJ41" s="4749"/>
      <c r="AK41" s="1057"/>
      <c r="AL41" s="2013">
        <f>SUM(AL42:AL48)</f>
        <v>4000.1800000000003</v>
      </c>
      <c r="AM41" s="2013">
        <f>SUM(AM42:AM48)</f>
        <v>0</v>
      </c>
      <c r="AN41" s="2014">
        <f>SUM(AN42:AN48)</f>
        <v>4000.1800000000003</v>
      </c>
      <c r="AO41" s="4749"/>
      <c r="AP41" s="3723"/>
      <c r="AQ41" s="2013">
        <f>SUM(AQ42:AQ48)</f>
        <v>9675.57</v>
      </c>
      <c r="AR41" s="2013">
        <f>SUM(AR42:AR48)</f>
        <v>86</v>
      </c>
      <c r="AS41" s="2014">
        <f>SUM(AS42:AS48)</f>
        <v>9761.57</v>
      </c>
      <c r="AT41" s="4749"/>
      <c r="AU41" s="3723"/>
      <c r="AV41" s="2013">
        <f>SUM(AV42:AV48)</f>
        <v>3215</v>
      </c>
      <c r="AW41" s="2013">
        <f>SUM(AW42:AW48)</f>
        <v>2450</v>
      </c>
      <c r="AX41" s="2014">
        <f>SUM(AX42:AX48)</f>
        <v>5665</v>
      </c>
      <c r="AY41" s="4749"/>
      <c r="AZ41" s="1057"/>
      <c r="BA41" s="2013">
        <f>SUM(BA42:BA48)</f>
        <v>2345</v>
      </c>
      <c r="BB41" s="2013">
        <f>SUM(BB42:BB48)</f>
        <v>2800</v>
      </c>
      <c r="BC41" s="2014">
        <f>SUM(BC42:BC48)</f>
        <v>5145</v>
      </c>
      <c r="BD41" s="4749"/>
      <c r="BE41" s="1057"/>
      <c r="BF41" s="2013">
        <f>SUM(BF42:BF48)</f>
        <v>0</v>
      </c>
      <c r="BG41" s="2013">
        <f>SUM(BG42:BG48)</f>
        <v>0</v>
      </c>
      <c r="BH41" s="2014">
        <f>SUM(BH42:BH48)</f>
        <v>0</v>
      </c>
      <c r="BI41" s="4749"/>
      <c r="BJ41" s="1057"/>
      <c r="BK41" s="2013">
        <f>SUM(BK42:BK48)</f>
        <v>0</v>
      </c>
      <c r="BL41" s="2013">
        <f>SUM(BL42:BL48)</f>
        <v>0</v>
      </c>
      <c r="BM41" s="2014">
        <f>SUM(BM42:BM48)</f>
        <v>0</v>
      </c>
      <c r="BN41" s="4749"/>
      <c r="BO41" s="1057"/>
      <c r="BP41" s="2013">
        <f>SUM(BP42:BP48)</f>
        <v>0</v>
      </c>
      <c r="BQ41" s="2013">
        <f>SUM(BQ42:BQ48)</f>
        <v>0</v>
      </c>
      <c r="BR41" s="2014">
        <f>SUM(BR42:BR48)</f>
        <v>0</v>
      </c>
      <c r="BS41" s="4749"/>
      <c r="BT41" s="1057"/>
      <c r="BU41" s="2013">
        <f>SUM(BU42:BU48)</f>
        <v>0</v>
      </c>
      <c r="BV41" s="2013">
        <f>SUM(BV42:BV48)</f>
        <v>0</v>
      </c>
      <c r="BW41" s="2014">
        <f>SUM(BW42:BW48)</f>
        <v>0</v>
      </c>
      <c r="BX41" s="4749"/>
      <c r="BY41" s="1057"/>
      <c r="BZ41" s="2013">
        <f>SUM(BZ42:BZ48)</f>
        <v>0</v>
      </c>
      <c r="CA41" s="2013">
        <f>SUM(CA42:CA48)</f>
        <v>0</v>
      </c>
      <c r="CB41" s="2014">
        <f>SUM(CB42:CB48)</f>
        <v>0</v>
      </c>
      <c r="CC41" s="4749"/>
      <c r="CD41" s="1057"/>
      <c r="CE41" s="2013">
        <f>SUM(CE42:CE48)</f>
        <v>0</v>
      </c>
      <c r="CF41" s="2013">
        <f>SUM(CF42:CF48)</f>
        <v>0</v>
      </c>
      <c r="CG41" s="2014">
        <f>SUM(CG42:CG48)</f>
        <v>0</v>
      </c>
      <c r="CH41" s="4749"/>
      <c r="CI41" s="1057"/>
      <c r="CJ41" s="2013">
        <f>SUM(CJ42:CJ48)</f>
        <v>27808.370000000003</v>
      </c>
      <c r="CK41" s="2013">
        <f>SUM(CK42:CK48)</f>
        <v>5336</v>
      </c>
      <c r="CL41" s="2014">
        <f>SUM(CL42:CL48)</f>
        <v>33144.370000000003</v>
      </c>
      <c r="CM41" s="4749">
        <f t="shared" ref="CM41:CM49" si="94">CL41/$CL$89</f>
        <v>8.6891967086806816E-3</v>
      </c>
      <c r="CN41" s="2006"/>
      <c r="CP41" s="2014">
        <f>SUM(CP42:CP48)</f>
        <v>0</v>
      </c>
      <c r="CQ41" s="2014">
        <f>SUM(CQ42:CQ48)</f>
        <v>0</v>
      </c>
      <c r="CR41" s="2014"/>
    </row>
    <row r="42" spans="1:98" ht="13.8" outlineLevel="2">
      <c r="A42" s="4833"/>
      <c r="B42" s="4750" t="s">
        <v>7</v>
      </c>
      <c r="C42" s="3341"/>
      <c r="D42" s="3341"/>
      <c r="E42" s="3349">
        <f t="shared" ref="E42:E48" si="95">C42+D42</f>
        <v>0</v>
      </c>
      <c r="F42" s="4697" t="e">
        <f t="shared" ref="F42:F48" si="96">E42/$E$89</f>
        <v>#DIV/0!</v>
      </c>
      <c r="G42" s="4751"/>
      <c r="H42" s="3341"/>
      <c r="I42" s="3341"/>
      <c r="J42" s="3349">
        <f t="shared" ref="J42:J48" si="97">H42+I42</f>
        <v>0</v>
      </c>
      <c r="K42" s="4697" t="e">
        <f t="shared" ref="K42:K48" si="98">J42/J$89</f>
        <v>#DIV/0!</v>
      </c>
      <c r="L42" s="4751"/>
      <c r="M42" s="3341"/>
      <c r="N42" s="3341"/>
      <c r="O42" s="3349">
        <f t="shared" ref="O42:O48" si="99">M42+N42</f>
        <v>0</v>
      </c>
      <c r="P42" s="4697" t="e">
        <f t="shared" ref="P42:P48" si="100">O42/O$89</f>
        <v>#DIV/0!</v>
      </c>
      <c r="Q42" s="4751"/>
      <c r="R42" s="3342">
        <f t="shared" ref="R42:S48" si="101">M42+H42+C42</f>
        <v>0</v>
      </c>
      <c r="S42" s="3342">
        <f t="shared" si="101"/>
        <v>0</v>
      </c>
      <c r="T42" s="2012">
        <f t="shared" ref="T42:T48" si="102">R42+S42</f>
        <v>0</v>
      </c>
      <c r="U42" s="3462"/>
      <c r="V42" s="3462"/>
      <c r="W42" s="3342">
        <f t="shared" ref="W42:X48" si="103">AB42+AG42+AL42+AV42+BA42+BF42+BK42+BP42+BU42+BZ42+CE42+AQ42</f>
        <v>0</v>
      </c>
      <c r="X42" s="3342">
        <f t="shared" si="103"/>
        <v>0</v>
      </c>
      <c r="Y42" s="2012">
        <f t="shared" ref="Y42:Y48" si="104">W42+X42</f>
        <v>0</v>
      </c>
      <c r="Z42" s="3462"/>
      <c r="AA42" s="3462"/>
      <c r="AB42" s="3349"/>
      <c r="AC42" s="3349"/>
      <c r="AD42" s="3349">
        <f t="shared" ref="AD42:AD48" si="105">AB42+AC42</f>
        <v>0</v>
      </c>
      <c r="AE42" s="4697">
        <f t="shared" ref="AE42:AE49" si="106">AD42/AD$89</f>
        <v>0</v>
      </c>
      <c r="AF42" s="4752"/>
      <c r="AG42" s="3341"/>
      <c r="AH42" s="3341"/>
      <c r="AI42" s="3349">
        <f t="shared" ref="AI42:AI48" si="107">AG42+AH42</f>
        <v>0</v>
      </c>
      <c r="AJ42" s="4697">
        <f t="shared" ref="AJ42:AJ49" si="108">AI42/AI$89</f>
        <v>0</v>
      </c>
      <c r="AK42" s="4751"/>
      <c r="AL42" s="3341"/>
      <c r="AM42" s="3341"/>
      <c r="AN42" s="3349">
        <f t="shared" ref="AN42:AN48" si="109">AL42+AM42</f>
        <v>0</v>
      </c>
      <c r="AO42" s="4697">
        <f t="shared" ref="AO42:AO49" si="110">AN42/AN$89</f>
        <v>0</v>
      </c>
      <c r="AP42" s="4753"/>
      <c r="AQ42" s="3341"/>
      <c r="AR42" s="3341"/>
      <c r="AS42" s="3349">
        <f t="shared" ref="AS42:AS48" si="111">AQ42+AR42</f>
        <v>0</v>
      </c>
      <c r="AT42" s="4697">
        <f t="shared" ref="AT42:AT49" si="112">AS42/AS$89</f>
        <v>0</v>
      </c>
      <c r="AU42" s="4753"/>
      <c r="AV42" s="3341"/>
      <c r="AW42" s="3341"/>
      <c r="AX42" s="3349">
        <f t="shared" ref="AX42:AX48" si="113">AV42+AW42</f>
        <v>0</v>
      </c>
      <c r="AY42" s="4697">
        <f t="shared" ref="AY42:AY49" si="114">AX42/AX$89</f>
        <v>0</v>
      </c>
      <c r="AZ42" s="4751"/>
      <c r="BA42" s="3341"/>
      <c r="BB42" s="3341"/>
      <c r="BC42" s="3349">
        <f t="shared" ref="BC42:BC48" si="115">BA42+BB42</f>
        <v>0</v>
      </c>
      <c r="BD42" s="4697">
        <f t="shared" ref="BD42:BD49" si="116">BC42/BC$89</f>
        <v>0</v>
      </c>
      <c r="BE42" s="4751"/>
      <c r="BF42" s="3341"/>
      <c r="BG42" s="3341"/>
      <c r="BH42" s="3349">
        <f t="shared" ref="BH42:BH48" si="117">BF42+BG42</f>
        <v>0</v>
      </c>
      <c r="BI42" s="4697" t="e">
        <f t="shared" ref="BI42:BI49" si="118">BH42/BH$89</f>
        <v>#DIV/0!</v>
      </c>
      <c r="BJ42" s="4751"/>
      <c r="BK42" s="3341"/>
      <c r="BL42" s="3341"/>
      <c r="BM42" s="3349">
        <f t="shared" ref="BM42:BM48" si="119">BK42+BL42</f>
        <v>0</v>
      </c>
      <c r="BN42" s="4697" t="e">
        <f t="shared" ref="BN42:BN49" si="120">BM42/BM$89</f>
        <v>#DIV/0!</v>
      </c>
      <c r="BO42" s="4751"/>
      <c r="BP42" s="3341"/>
      <c r="BQ42" s="3341"/>
      <c r="BR42" s="3349">
        <f t="shared" ref="BR42:BR48" si="121">BP42+BQ42</f>
        <v>0</v>
      </c>
      <c r="BS42" s="4697" t="e">
        <f t="shared" ref="BS42:BS49" si="122">BR42/BR$89</f>
        <v>#DIV/0!</v>
      </c>
      <c r="BT42" s="4751"/>
      <c r="BU42" s="3341"/>
      <c r="BV42" s="3341"/>
      <c r="BW42" s="3349">
        <f t="shared" ref="BW42:BW48" si="123">BU42+BV42</f>
        <v>0</v>
      </c>
      <c r="BX42" s="4697" t="e">
        <f t="shared" ref="BX42:BX49" si="124">BW42/BW$89</f>
        <v>#DIV/0!</v>
      </c>
      <c r="BY42" s="4751"/>
      <c r="BZ42" s="3341"/>
      <c r="CA42" s="3341"/>
      <c r="CB42" s="3349">
        <f t="shared" ref="CB42:CB48" si="125">BZ42+CA42</f>
        <v>0</v>
      </c>
      <c r="CC42" s="4697" t="e">
        <f t="shared" ref="CC42:CC49" si="126">CB42/CB$89</f>
        <v>#DIV/0!</v>
      </c>
      <c r="CD42" s="4751"/>
      <c r="CE42" s="3341"/>
      <c r="CF42" s="3341"/>
      <c r="CG42" s="3349">
        <f t="shared" ref="CG42:CG48" si="127">CE42+CF42</f>
        <v>0</v>
      </c>
      <c r="CH42" s="4697" t="e">
        <f t="shared" ref="CH42:CH49" si="128">CG42/CG$89</f>
        <v>#DIV/0!</v>
      </c>
      <c r="CI42" s="4751"/>
      <c r="CJ42" s="3341">
        <f t="shared" ref="CJ42:CK48" si="129">C42+H42+M42+W42</f>
        <v>0</v>
      </c>
      <c r="CK42" s="3341">
        <f t="shared" si="129"/>
        <v>0</v>
      </c>
      <c r="CL42" s="2012">
        <f t="shared" ref="CL42:CL48" si="130">CJ42+CK42*1</f>
        <v>0</v>
      </c>
      <c r="CM42" s="4697">
        <f t="shared" si="94"/>
        <v>0</v>
      </c>
      <c r="CN42" s="4699"/>
      <c r="CP42" s="2012">
        <f t="shared" ref="CP42:CQ48" si="131">CN42+CO42*1</f>
        <v>0</v>
      </c>
      <c r="CQ42" s="2012">
        <f t="shared" si="131"/>
        <v>0</v>
      </c>
      <c r="CR42" s="4614"/>
    </row>
    <row r="43" spans="1:98" ht="13.8" outlineLevel="2">
      <c r="A43" s="4833"/>
      <c r="B43" s="4750" t="s">
        <v>27</v>
      </c>
      <c r="C43" s="3341"/>
      <c r="D43" s="3341"/>
      <c r="E43" s="3349">
        <f t="shared" si="95"/>
        <v>0</v>
      </c>
      <c r="F43" s="4697" t="e">
        <f t="shared" si="96"/>
        <v>#DIV/0!</v>
      </c>
      <c r="G43" s="4751"/>
      <c r="H43" s="3341"/>
      <c r="I43" s="3341"/>
      <c r="J43" s="3349">
        <f t="shared" si="97"/>
        <v>0</v>
      </c>
      <c r="K43" s="4697" t="e">
        <f t="shared" si="98"/>
        <v>#DIV/0!</v>
      </c>
      <c r="L43" s="4751"/>
      <c r="M43" s="3341"/>
      <c r="N43" s="3341"/>
      <c r="O43" s="3349">
        <f t="shared" si="99"/>
        <v>0</v>
      </c>
      <c r="P43" s="4697" t="e">
        <f t="shared" si="100"/>
        <v>#DIV/0!</v>
      </c>
      <c r="Q43" s="4751"/>
      <c r="R43" s="3342">
        <f t="shared" si="101"/>
        <v>0</v>
      </c>
      <c r="S43" s="3342">
        <f t="shared" si="101"/>
        <v>0</v>
      </c>
      <c r="T43" s="2012">
        <f t="shared" si="102"/>
        <v>0</v>
      </c>
      <c r="U43" s="3462"/>
      <c r="V43" s="3462"/>
      <c r="W43" s="3342">
        <f t="shared" si="103"/>
        <v>0</v>
      </c>
      <c r="X43" s="3342">
        <f t="shared" si="103"/>
        <v>0</v>
      </c>
      <c r="Y43" s="2012">
        <f t="shared" si="104"/>
        <v>0</v>
      </c>
      <c r="Z43" s="3462"/>
      <c r="AA43" s="3462"/>
      <c r="AB43" s="3349"/>
      <c r="AC43" s="3349"/>
      <c r="AD43" s="3349">
        <f t="shared" si="105"/>
        <v>0</v>
      </c>
      <c r="AE43" s="4697">
        <f t="shared" si="106"/>
        <v>0</v>
      </c>
      <c r="AF43" s="4752"/>
      <c r="AG43" s="3341"/>
      <c r="AH43" s="3341"/>
      <c r="AI43" s="3349">
        <f t="shared" si="107"/>
        <v>0</v>
      </c>
      <c r="AJ43" s="4697">
        <f t="shared" si="108"/>
        <v>0</v>
      </c>
      <c r="AK43" s="4751"/>
      <c r="AL43" s="3341"/>
      <c r="AM43" s="3341"/>
      <c r="AN43" s="3349">
        <f t="shared" si="109"/>
        <v>0</v>
      </c>
      <c r="AO43" s="4697">
        <f t="shared" si="110"/>
        <v>0</v>
      </c>
      <c r="AP43" s="4753"/>
      <c r="AQ43" s="3341"/>
      <c r="AR43" s="3341"/>
      <c r="AS43" s="3349">
        <f t="shared" si="111"/>
        <v>0</v>
      </c>
      <c r="AT43" s="4697">
        <f t="shared" si="112"/>
        <v>0</v>
      </c>
      <c r="AU43" s="4753"/>
      <c r="AV43" s="3341"/>
      <c r="AW43" s="3341"/>
      <c r="AX43" s="3349">
        <f t="shared" si="113"/>
        <v>0</v>
      </c>
      <c r="AY43" s="4697">
        <f t="shared" si="114"/>
        <v>0</v>
      </c>
      <c r="AZ43" s="4751"/>
      <c r="BA43" s="3341"/>
      <c r="BB43" s="3341"/>
      <c r="BC43" s="3349">
        <f t="shared" si="115"/>
        <v>0</v>
      </c>
      <c r="BD43" s="4697">
        <f t="shared" si="116"/>
        <v>0</v>
      </c>
      <c r="BE43" s="4751"/>
      <c r="BF43" s="3341"/>
      <c r="BG43" s="3341"/>
      <c r="BH43" s="3349">
        <f t="shared" si="117"/>
        <v>0</v>
      </c>
      <c r="BI43" s="4697" t="e">
        <f t="shared" si="118"/>
        <v>#DIV/0!</v>
      </c>
      <c r="BJ43" s="4751"/>
      <c r="BK43" s="3341"/>
      <c r="BL43" s="3341"/>
      <c r="BM43" s="3349">
        <f t="shared" si="119"/>
        <v>0</v>
      </c>
      <c r="BN43" s="4697" t="e">
        <f t="shared" si="120"/>
        <v>#DIV/0!</v>
      </c>
      <c r="BO43" s="4751"/>
      <c r="BP43" s="3341"/>
      <c r="BQ43" s="3341"/>
      <c r="BR43" s="3349">
        <f t="shared" si="121"/>
        <v>0</v>
      </c>
      <c r="BS43" s="4697" t="e">
        <f t="shared" si="122"/>
        <v>#DIV/0!</v>
      </c>
      <c r="BT43" s="4751"/>
      <c r="BU43" s="3341"/>
      <c r="BV43" s="3341"/>
      <c r="BW43" s="3349">
        <f t="shared" si="123"/>
        <v>0</v>
      </c>
      <c r="BX43" s="4697" t="e">
        <f t="shared" si="124"/>
        <v>#DIV/0!</v>
      </c>
      <c r="BY43" s="4751"/>
      <c r="BZ43" s="3341"/>
      <c r="CA43" s="3341"/>
      <c r="CB43" s="3349">
        <f t="shared" si="125"/>
        <v>0</v>
      </c>
      <c r="CC43" s="4697" t="e">
        <f t="shared" si="126"/>
        <v>#DIV/0!</v>
      </c>
      <c r="CD43" s="4751"/>
      <c r="CE43" s="3341"/>
      <c r="CF43" s="3341"/>
      <c r="CG43" s="3349">
        <f t="shared" si="127"/>
        <v>0</v>
      </c>
      <c r="CH43" s="4697" t="e">
        <f t="shared" si="128"/>
        <v>#DIV/0!</v>
      </c>
      <c r="CI43" s="4751"/>
      <c r="CJ43" s="3341">
        <f t="shared" si="129"/>
        <v>0</v>
      </c>
      <c r="CK43" s="3341">
        <f t="shared" si="129"/>
        <v>0</v>
      </c>
      <c r="CL43" s="2012">
        <f t="shared" si="130"/>
        <v>0</v>
      </c>
      <c r="CM43" s="4697">
        <f t="shared" si="94"/>
        <v>0</v>
      </c>
      <c r="CN43" s="4699"/>
      <c r="CP43" s="2012">
        <f t="shared" si="131"/>
        <v>0</v>
      </c>
      <c r="CQ43" s="2012">
        <f t="shared" si="131"/>
        <v>0</v>
      </c>
      <c r="CR43" s="4614"/>
    </row>
    <row r="44" spans="1:98" ht="13.8" outlineLevel="2">
      <c r="A44" s="4833"/>
      <c r="B44" s="4728" t="s">
        <v>28</v>
      </c>
      <c r="C44" s="3341"/>
      <c r="D44" s="3341"/>
      <c r="E44" s="3349">
        <f t="shared" si="95"/>
        <v>0</v>
      </c>
      <c r="F44" s="4697" t="e">
        <f t="shared" si="96"/>
        <v>#DIV/0!</v>
      </c>
      <c r="G44" s="4751"/>
      <c r="H44" s="3341"/>
      <c r="I44" s="3341"/>
      <c r="J44" s="3349">
        <f t="shared" si="97"/>
        <v>0</v>
      </c>
      <c r="K44" s="4697" t="e">
        <f t="shared" si="98"/>
        <v>#DIV/0!</v>
      </c>
      <c r="L44" s="4751"/>
      <c r="M44" s="3341"/>
      <c r="N44" s="3341"/>
      <c r="O44" s="3349">
        <f t="shared" si="99"/>
        <v>0</v>
      </c>
      <c r="P44" s="4697" t="e">
        <f t="shared" si="100"/>
        <v>#DIV/0!</v>
      </c>
      <c r="Q44" s="4751"/>
      <c r="R44" s="3342">
        <f t="shared" si="101"/>
        <v>0</v>
      </c>
      <c r="S44" s="3342">
        <f t="shared" si="101"/>
        <v>0</v>
      </c>
      <c r="T44" s="2012">
        <f t="shared" si="102"/>
        <v>0</v>
      </c>
      <c r="U44" s="3462"/>
      <c r="V44" s="3462"/>
      <c r="W44" s="3342">
        <f t="shared" si="103"/>
        <v>9100</v>
      </c>
      <c r="X44" s="3342">
        <f t="shared" si="103"/>
        <v>5250</v>
      </c>
      <c r="Y44" s="2012">
        <f t="shared" si="104"/>
        <v>14350</v>
      </c>
      <c r="Z44" s="3462"/>
      <c r="AA44" s="3462"/>
      <c r="AB44" s="3341">
        <v>2100</v>
      </c>
      <c r="AC44" s="3341"/>
      <c r="AD44" s="3349">
        <f t="shared" si="105"/>
        <v>2100</v>
      </c>
      <c r="AE44" s="4697">
        <f t="shared" si="106"/>
        <v>2.7459435072079859E-3</v>
      </c>
      <c r="AF44" s="4047" t="s">
        <v>1972</v>
      </c>
      <c r="AG44" s="3341">
        <v>2100</v>
      </c>
      <c r="AH44" s="3341"/>
      <c r="AI44" s="3349">
        <f t="shared" si="107"/>
        <v>2100</v>
      </c>
      <c r="AJ44" s="4697">
        <f t="shared" si="108"/>
        <v>3.4068371886012954E-3</v>
      </c>
      <c r="AK44" s="4047" t="s">
        <v>1972</v>
      </c>
      <c r="AL44" s="3341">
        <v>2100</v>
      </c>
      <c r="AM44" s="3341"/>
      <c r="AN44" s="3349">
        <f t="shared" si="109"/>
        <v>2100</v>
      </c>
      <c r="AO44" s="4697">
        <f t="shared" si="110"/>
        <v>3.1141375308983569E-3</v>
      </c>
      <c r="AP44" s="4193" t="s">
        <v>1972</v>
      </c>
      <c r="AQ44" s="3341">
        <v>2800</v>
      </c>
      <c r="AR44" s="3341"/>
      <c r="AS44" s="3349">
        <f t="shared" si="111"/>
        <v>2800</v>
      </c>
      <c r="AT44" s="4697">
        <f t="shared" si="112"/>
        <v>4.99789851423768E-3</v>
      </c>
      <c r="AU44" s="4193" t="s">
        <v>1972</v>
      </c>
      <c r="AV44" s="3341"/>
      <c r="AW44" s="3341">
        <v>2450</v>
      </c>
      <c r="AX44" s="3349">
        <f t="shared" si="113"/>
        <v>2450</v>
      </c>
      <c r="AY44" s="4697">
        <f t="shared" si="114"/>
        <v>4.6608743199782468E-3</v>
      </c>
      <c r="AZ44" s="4193" t="s">
        <v>2097</v>
      </c>
      <c r="BA44" s="3341"/>
      <c r="BB44" s="3341">
        <v>2800</v>
      </c>
      <c r="BC44" s="3349">
        <f t="shared" si="115"/>
        <v>2800</v>
      </c>
      <c r="BD44" s="4697">
        <f t="shared" si="116"/>
        <v>4.1602874583093388E-3</v>
      </c>
      <c r="BE44" s="4193" t="s">
        <v>1972</v>
      </c>
      <c r="BF44" s="3341"/>
      <c r="BG44" s="3341"/>
      <c r="BH44" s="3349">
        <f t="shared" si="117"/>
        <v>0</v>
      </c>
      <c r="BI44" s="4697" t="e">
        <f t="shared" si="118"/>
        <v>#DIV/0!</v>
      </c>
      <c r="BJ44" s="4751"/>
      <c r="BK44" s="3341"/>
      <c r="BL44" s="3341"/>
      <c r="BM44" s="3349">
        <f t="shared" si="119"/>
        <v>0</v>
      </c>
      <c r="BN44" s="4697" t="e">
        <f t="shared" si="120"/>
        <v>#DIV/0!</v>
      </c>
      <c r="BO44" s="4751"/>
      <c r="BP44" s="3341"/>
      <c r="BQ44" s="3341"/>
      <c r="BR44" s="3349">
        <f t="shared" si="121"/>
        <v>0</v>
      </c>
      <c r="BS44" s="4697" t="e">
        <f t="shared" si="122"/>
        <v>#DIV/0!</v>
      </c>
      <c r="BT44" s="4751"/>
      <c r="BU44" s="3341"/>
      <c r="BV44" s="3341"/>
      <c r="BW44" s="3349">
        <f t="shared" si="123"/>
        <v>0</v>
      </c>
      <c r="BX44" s="4697" t="e">
        <f t="shared" si="124"/>
        <v>#DIV/0!</v>
      </c>
      <c r="BY44" s="4751"/>
      <c r="BZ44" s="3341"/>
      <c r="CA44" s="3341"/>
      <c r="CB44" s="3349">
        <f t="shared" si="125"/>
        <v>0</v>
      </c>
      <c r="CC44" s="4697" t="e">
        <f t="shared" si="126"/>
        <v>#DIV/0!</v>
      </c>
      <c r="CD44" s="4751"/>
      <c r="CE44" s="3341"/>
      <c r="CF44" s="3341"/>
      <c r="CG44" s="3349">
        <f t="shared" si="127"/>
        <v>0</v>
      </c>
      <c r="CH44" s="4697" t="e">
        <f t="shared" si="128"/>
        <v>#DIV/0!</v>
      </c>
      <c r="CI44" s="4751"/>
      <c r="CJ44" s="3341">
        <f t="shared" si="129"/>
        <v>9100</v>
      </c>
      <c r="CK44" s="3341">
        <f t="shared" si="129"/>
        <v>5250</v>
      </c>
      <c r="CL44" s="2012">
        <f t="shared" si="130"/>
        <v>14350</v>
      </c>
      <c r="CM44" s="4697">
        <f t="shared" si="94"/>
        <v>3.7620257307520938E-3</v>
      </c>
      <c r="CN44" s="4699"/>
      <c r="CP44" s="2012">
        <f t="shared" si="131"/>
        <v>0</v>
      </c>
      <c r="CQ44" s="2012">
        <f t="shared" si="131"/>
        <v>0</v>
      </c>
      <c r="CR44" s="4614"/>
    </row>
    <row r="45" spans="1:98" ht="13.8" outlineLevel="2">
      <c r="A45" s="4833"/>
      <c r="B45" s="4750" t="s">
        <v>8</v>
      </c>
      <c r="C45" s="3341"/>
      <c r="D45" s="3341"/>
      <c r="E45" s="3349">
        <f t="shared" si="95"/>
        <v>0</v>
      </c>
      <c r="F45" s="4697" t="e">
        <f t="shared" si="96"/>
        <v>#DIV/0!</v>
      </c>
      <c r="G45" s="4751"/>
      <c r="H45" s="3341"/>
      <c r="I45" s="3341"/>
      <c r="J45" s="3349">
        <f t="shared" si="97"/>
        <v>0</v>
      </c>
      <c r="K45" s="4697" t="e">
        <f t="shared" si="98"/>
        <v>#DIV/0!</v>
      </c>
      <c r="L45" s="4751"/>
      <c r="M45" s="3341"/>
      <c r="N45" s="3341"/>
      <c r="O45" s="3349">
        <f t="shared" si="99"/>
        <v>0</v>
      </c>
      <c r="P45" s="4697" t="e">
        <f t="shared" si="100"/>
        <v>#DIV/0!</v>
      </c>
      <c r="Q45" s="4751"/>
      <c r="R45" s="3342">
        <f t="shared" si="101"/>
        <v>0</v>
      </c>
      <c r="S45" s="3342">
        <f t="shared" si="101"/>
        <v>0</v>
      </c>
      <c r="T45" s="2012">
        <f t="shared" si="102"/>
        <v>0</v>
      </c>
      <c r="U45" s="3462"/>
      <c r="V45" s="3462"/>
      <c r="W45" s="3342">
        <f t="shared" si="103"/>
        <v>6000</v>
      </c>
      <c r="X45" s="3342">
        <f t="shared" si="103"/>
        <v>0</v>
      </c>
      <c r="Y45" s="2012">
        <f t="shared" si="104"/>
        <v>6000</v>
      </c>
      <c r="Z45" s="3462"/>
      <c r="AA45" s="3462"/>
      <c r="AB45" s="3349"/>
      <c r="AC45" s="3349"/>
      <c r="AD45" s="3349">
        <f t="shared" si="105"/>
        <v>0</v>
      </c>
      <c r="AE45" s="4697">
        <f t="shared" si="106"/>
        <v>0</v>
      </c>
      <c r="AF45" s="4752"/>
      <c r="AG45" s="3341"/>
      <c r="AH45" s="3341"/>
      <c r="AI45" s="3349">
        <f t="shared" si="107"/>
        <v>0</v>
      </c>
      <c r="AJ45" s="4697">
        <f t="shared" si="108"/>
        <v>0</v>
      </c>
      <c r="AK45" s="4751"/>
      <c r="AL45" s="3341"/>
      <c r="AM45" s="3341"/>
      <c r="AN45" s="3349">
        <f t="shared" si="109"/>
        <v>0</v>
      </c>
      <c r="AO45" s="4697">
        <f t="shared" si="110"/>
        <v>0</v>
      </c>
      <c r="AP45" s="4753"/>
      <c r="AQ45" s="3341">
        <v>2000</v>
      </c>
      <c r="AR45" s="3341"/>
      <c r="AS45" s="3349">
        <f t="shared" si="111"/>
        <v>2000</v>
      </c>
      <c r="AT45" s="4697">
        <f t="shared" si="112"/>
        <v>3.5699275101697715E-3</v>
      </c>
      <c r="AU45" s="4753" t="s">
        <v>2051</v>
      </c>
      <c r="AV45" s="3341">
        <v>2000</v>
      </c>
      <c r="AW45" s="3341"/>
      <c r="AX45" s="3349">
        <f t="shared" si="113"/>
        <v>2000</v>
      </c>
      <c r="AY45" s="4697">
        <f t="shared" si="114"/>
        <v>3.8047953632475485E-3</v>
      </c>
      <c r="AZ45" s="4193" t="s">
        <v>2098</v>
      </c>
      <c r="BA45" s="3341">
        <v>2000</v>
      </c>
      <c r="BB45" s="3341"/>
      <c r="BC45" s="3349">
        <f t="shared" si="115"/>
        <v>2000</v>
      </c>
      <c r="BD45" s="4697">
        <f t="shared" si="116"/>
        <v>2.9716338987923847E-3</v>
      </c>
      <c r="BE45" s="4193" t="s">
        <v>2178</v>
      </c>
      <c r="BF45" s="3341"/>
      <c r="BG45" s="3341"/>
      <c r="BH45" s="3349">
        <f t="shared" si="117"/>
        <v>0</v>
      </c>
      <c r="BI45" s="4697" t="e">
        <f t="shared" si="118"/>
        <v>#DIV/0!</v>
      </c>
      <c r="BJ45" s="4751"/>
      <c r="BK45" s="3341"/>
      <c r="BL45" s="3341"/>
      <c r="BM45" s="3349">
        <f t="shared" si="119"/>
        <v>0</v>
      </c>
      <c r="BN45" s="4697" t="e">
        <f t="shared" si="120"/>
        <v>#DIV/0!</v>
      </c>
      <c r="BO45" s="4751"/>
      <c r="BP45" s="3341"/>
      <c r="BQ45" s="3341"/>
      <c r="BR45" s="3349">
        <f t="shared" si="121"/>
        <v>0</v>
      </c>
      <c r="BS45" s="4697" t="e">
        <f t="shared" si="122"/>
        <v>#DIV/0!</v>
      </c>
      <c r="BT45" s="4751"/>
      <c r="BU45" s="3341"/>
      <c r="BV45" s="3341"/>
      <c r="BW45" s="3349">
        <f t="shared" si="123"/>
        <v>0</v>
      </c>
      <c r="BX45" s="4697" t="e">
        <f t="shared" si="124"/>
        <v>#DIV/0!</v>
      </c>
      <c r="BY45" s="4751"/>
      <c r="BZ45" s="3341"/>
      <c r="CA45" s="3341"/>
      <c r="CB45" s="3349">
        <f t="shared" si="125"/>
        <v>0</v>
      </c>
      <c r="CC45" s="4697" t="e">
        <f t="shared" si="126"/>
        <v>#DIV/0!</v>
      </c>
      <c r="CD45" s="4751"/>
      <c r="CE45" s="3341"/>
      <c r="CF45" s="3341"/>
      <c r="CG45" s="3349">
        <f t="shared" si="127"/>
        <v>0</v>
      </c>
      <c r="CH45" s="4697" t="e">
        <f t="shared" si="128"/>
        <v>#DIV/0!</v>
      </c>
      <c r="CI45" s="4751"/>
      <c r="CJ45" s="3341">
        <f t="shared" si="129"/>
        <v>6000</v>
      </c>
      <c r="CK45" s="3341">
        <f t="shared" si="129"/>
        <v>0</v>
      </c>
      <c r="CL45" s="2012">
        <f t="shared" si="130"/>
        <v>6000</v>
      </c>
      <c r="CM45" s="4697">
        <f t="shared" si="94"/>
        <v>1.5729724309764851E-3</v>
      </c>
      <c r="CN45" s="4699"/>
      <c r="CP45" s="2012">
        <f t="shared" si="131"/>
        <v>0</v>
      </c>
      <c r="CQ45" s="2012">
        <f t="shared" si="131"/>
        <v>0</v>
      </c>
      <c r="CR45" s="4614"/>
    </row>
    <row r="46" spans="1:98" ht="13.8" outlineLevel="2">
      <c r="A46" s="4833"/>
      <c r="B46" s="4750" t="s">
        <v>29</v>
      </c>
      <c r="C46" s="3341"/>
      <c r="D46" s="3341"/>
      <c r="E46" s="3349">
        <f t="shared" si="95"/>
        <v>0</v>
      </c>
      <c r="F46" s="4697" t="e">
        <f t="shared" si="96"/>
        <v>#DIV/0!</v>
      </c>
      <c r="G46" s="4751"/>
      <c r="H46" s="3341"/>
      <c r="I46" s="3341"/>
      <c r="J46" s="3349">
        <f t="shared" si="97"/>
        <v>0</v>
      </c>
      <c r="K46" s="4697" t="e">
        <f t="shared" si="98"/>
        <v>#DIV/0!</v>
      </c>
      <c r="L46" s="4751"/>
      <c r="M46" s="3341"/>
      <c r="N46" s="3341"/>
      <c r="O46" s="3349">
        <f t="shared" si="99"/>
        <v>0</v>
      </c>
      <c r="P46" s="4697" t="e">
        <f t="shared" si="100"/>
        <v>#DIV/0!</v>
      </c>
      <c r="Q46" s="4751"/>
      <c r="R46" s="3342">
        <f t="shared" si="101"/>
        <v>0</v>
      </c>
      <c r="S46" s="3342">
        <f t="shared" si="101"/>
        <v>0</v>
      </c>
      <c r="T46" s="2012">
        <f t="shared" si="102"/>
        <v>0</v>
      </c>
      <c r="U46" s="3462"/>
      <c r="V46" s="3462"/>
      <c r="W46" s="3342">
        <f t="shared" si="103"/>
        <v>0</v>
      </c>
      <c r="X46" s="3342">
        <f t="shared" si="103"/>
        <v>0</v>
      </c>
      <c r="Y46" s="2012">
        <f t="shared" si="104"/>
        <v>0</v>
      </c>
      <c r="Z46" s="3462"/>
      <c r="AA46" s="3462"/>
      <c r="AB46" s="3349"/>
      <c r="AC46" s="3349"/>
      <c r="AD46" s="3349">
        <f t="shared" si="105"/>
        <v>0</v>
      </c>
      <c r="AE46" s="4697">
        <f t="shared" si="106"/>
        <v>0</v>
      </c>
      <c r="AF46" s="4752"/>
      <c r="AG46" s="3341"/>
      <c r="AH46" s="3341"/>
      <c r="AI46" s="3349">
        <f t="shared" si="107"/>
        <v>0</v>
      </c>
      <c r="AJ46" s="4697">
        <f t="shared" si="108"/>
        <v>0</v>
      </c>
      <c r="AK46" s="4751"/>
      <c r="AL46" s="3341"/>
      <c r="AM46" s="3341"/>
      <c r="AN46" s="3349">
        <f t="shared" si="109"/>
        <v>0</v>
      </c>
      <c r="AO46" s="4697">
        <f t="shared" si="110"/>
        <v>0</v>
      </c>
      <c r="AP46" s="4753"/>
      <c r="AQ46" s="3341"/>
      <c r="AR46" s="3341"/>
      <c r="AS46" s="3349">
        <f t="shared" si="111"/>
        <v>0</v>
      </c>
      <c r="AT46" s="4697">
        <f t="shared" si="112"/>
        <v>0</v>
      </c>
      <c r="AU46" s="4753"/>
      <c r="AV46" s="3341"/>
      <c r="AW46" s="3341"/>
      <c r="AX46" s="3349">
        <f t="shared" si="113"/>
        <v>0</v>
      </c>
      <c r="AY46" s="4697">
        <f t="shared" si="114"/>
        <v>0</v>
      </c>
      <c r="AZ46" s="4193"/>
      <c r="BA46" s="3341"/>
      <c r="BB46" s="3341"/>
      <c r="BC46" s="3349">
        <f t="shared" si="115"/>
        <v>0</v>
      </c>
      <c r="BD46" s="4697">
        <f t="shared" si="116"/>
        <v>0</v>
      </c>
      <c r="BE46" s="4751"/>
      <c r="BF46" s="3341"/>
      <c r="BG46" s="3341"/>
      <c r="BH46" s="3349">
        <f t="shared" si="117"/>
        <v>0</v>
      </c>
      <c r="BI46" s="4697" t="e">
        <f t="shared" si="118"/>
        <v>#DIV/0!</v>
      </c>
      <c r="BJ46" s="4751"/>
      <c r="BK46" s="3341"/>
      <c r="BL46" s="3341"/>
      <c r="BM46" s="3349">
        <f t="shared" si="119"/>
        <v>0</v>
      </c>
      <c r="BN46" s="4697" t="e">
        <f t="shared" si="120"/>
        <v>#DIV/0!</v>
      </c>
      <c r="BO46" s="4751"/>
      <c r="BP46" s="3341"/>
      <c r="BQ46" s="3341"/>
      <c r="BR46" s="3349">
        <f t="shared" si="121"/>
        <v>0</v>
      </c>
      <c r="BS46" s="4697" t="e">
        <f t="shared" si="122"/>
        <v>#DIV/0!</v>
      </c>
      <c r="BT46" s="4751"/>
      <c r="BU46" s="3341"/>
      <c r="BV46" s="3341"/>
      <c r="BW46" s="3349">
        <f t="shared" si="123"/>
        <v>0</v>
      </c>
      <c r="BX46" s="4697" t="e">
        <f t="shared" si="124"/>
        <v>#DIV/0!</v>
      </c>
      <c r="BY46" s="4751"/>
      <c r="BZ46" s="3341"/>
      <c r="CA46" s="3341"/>
      <c r="CB46" s="3349">
        <f t="shared" si="125"/>
        <v>0</v>
      </c>
      <c r="CC46" s="4697" t="e">
        <f t="shared" si="126"/>
        <v>#DIV/0!</v>
      </c>
      <c r="CD46" s="4751"/>
      <c r="CE46" s="3341"/>
      <c r="CF46" s="3341"/>
      <c r="CG46" s="3349">
        <f t="shared" si="127"/>
        <v>0</v>
      </c>
      <c r="CH46" s="4697" t="e">
        <f t="shared" si="128"/>
        <v>#DIV/0!</v>
      </c>
      <c r="CI46" s="4751"/>
      <c r="CJ46" s="3341">
        <f t="shared" si="129"/>
        <v>0</v>
      </c>
      <c r="CK46" s="3341">
        <f t="shared" si="129"/>
        <v>0</v>
      </c>
      <c r="CL46" s="2012">
        <f t="shared" si="130"/>
        <v>0</v>
      </c>
      <c r="CM46" s="4697">
        <f t="shared" si="94"/>
        <v>0</v>
      </c>
      <c r="CN46" s="4699"/>
      <c r="CP46" s="2012">
        <f t="shared" si="131"/>
        <v>0</v>
      </c>
      <c r="CQ46" s="2012">
        <f t="shared" si="131"/>
        <v>0</v>
      </c>
      <c r="CR46" s="4614"/>
    </row>
    <row r="47" spans="1:98" ht="13.8" outlineLevel="2">
      <c r="A47" s="4833"/>
      <c r="B47" s="4750" t="s">
        <v>30</v>
      </c>
      <c r="C47" s="3341"/>
      <c r="D47" s="3341"/>
      <c r="E47" s="3349">
        <f t="shared" si="95"/>
        <v>0</v>
      </c>
      <c r="F47" s="4697" t="e">
        <f t="shared" si="96"/>
        <v>#DIV/0!</v>
      </c>
      <c r="G47" s="4751"/>
      <c r="H47" s="3341"/>
      <c r="I47" s="3341"/>
      <c r="J47" s="3349">
        <f t="shared" si="97"/>
        <v>0</v>
      </c>
      <c r="K47" s="4697" t="e">
        <f t="shared" si="98"/>
        <v>#DIV/0!</v>
      </c>
      <c r="L47" s="4751"/>
      <c r="M47" s="3341"/>
      <c r="N47" s="3341"/>
      <c r="O47" s="3349">
        <f t="shared" si="99"/>
        <v>0</v>
      </c>
      <c r="P47" s="4697" t="e">
        <f t="shared" si="100"/>
        <v>#DIV/0!</v>
      </c>
      <c r="Q47" s="4751"/>
      <c r="R47" s="3342">
        <f t="shared" si="101"/>
        <v>0</v>
      </c>
      <c r="S47" s="3342">
        <f t="shared" si="101"/>
        <v>0</v>
      </c>
      <c r="T47" s="2012">
        <f t="shared" si="102"/>
        <v>0</v>
      </c>
      <c r="U47" s="3462"/>
      <c r="V47" s="3462"/>
      <c r="W47" s="3342">
        <f t="shared" si="103"/>
        <v>8791.9700000000012</v>
      </c>
      <c r="X47" s="3342">
        <f t="shared" si="103"/>
        <v>86</v>
      </c>
      <c r="Y47" s="2012">
        <f t="shared" si="104"/>
        <v>8877.9700000000012</v>
      </c>
      <c r="Z47" s="3462"/>
      <c r="AA47" s="3462"/>
      <c r="AB47" s="3349">
        <f>822.56+645</f>
        <v>1467.56</v>
      </c>
      <c r="AC47" s="3349"/>
      <c r="AD47" s="3349">
        <f t="shared" si="105"/>
        <v>1467.56</v>
      </c>
      <c r="AE47" s="4697">
        <f t="shared" si="106"/>
        <v>1.9189699302086436E-3</v>
      </c>
      <c r="AF47" s="4752" t="s">
        <v>1899</v>
      </c>
      <c r="AG47" s="3341">
        <f>700.06+2205</f>
        <v>2905.06</v>
      </c>
      <c r="AH47" s="3341"/>
      <c r="AI47" s="3349">
        <f t="shared" si="107"/>
        <v>2905.06</v>
      </c>
      <c r="AJ47" s="4697">
        <f t="shared" si="108"/>
        <v>4.7128887824371803E-3</v>
      </c>
      <c r="AK47" s="4752" t="s">
        <v>1950</v>
      </c>
      <c r="AL47" s="3341">
        <v>1900.18</v>
      </c>
      <c r="AM47" s="3341"/>
      <c r="AN47" s="3349">
        <f t="shared" si="109"/>
        <v>1900.18</v>
      </c>
      <c r="AO47" s="4697">
        <f t="shared" si="110"/>
        <v>2.8178199302202095E-3</v>
      </c>
      <c r="AP47" s="4752" t="s">
        <v>1973</v>
      </c>
      <c r="AQ47" s="3341">
        <v>1339.17</v>
      </c>
      <c r="AR47" s="2043">
        <v>86</v>
      </c>
      <c r="AS47" s="3349">
        <f t="shared" si="111"/>
        <v>1425.17</v>
      </c>
      <c r="AT47" s="4697">
        <f t="shared" si="112"/>
        <v>2.5438767948343269E-3</v>
      </c>
      <c r="AU47" s="4752" t="s">
        <v>2046</v>
      </c>
      <c r="AV47" s="3341">
        <f>270+565</f>
        <v>835</v>
      </c>
      <c r="AW47" s="3341"/>
      <c r="AX47" s="3349">
        <f t="shared" si="113"/>
        <v>835</v>
      </c>
      <c r="AY47" s="4697">
        <f t="shared" si="114"/>
        <v>1.5885020641558513E-3</v>
      </c>
      <c r="AZ47" s="4193" t="s">
        <v>2099</v>
      </c>
      <c r="BA47" s="3341">
        <v>345</v>
      </c>
      <c r="BB47" s="3341"/>
      <c r="BC47" s="3349">
        <f t="shared" si="115"/>
        <v>345</v>
      </c>
      <c r="BD47" s="4697">
        <f t="shared" si="116"/>
        <v>5.1260684754168633E-4</v>
      </c>
      <c r="BE47" s="4193" t="s">
        <v>2164</v>
      </c>
      <c r="BF47" s="3341"/>
      <c r="BG47" s="3341"/>
      <c r="BH47" s="3349">
        <f t="shared" si="117"/>
        <v>0</v>
      </c>
      <c r="BI47" s="4697" t="e">
        <f t="shared" si="118"/>
        <v>#DIV/0!</v>
      </c>
      <c r="BJ47" s="4751"/>
      <c r="BK47" s="3341"/>
      <c r="BL47" s="3341"/>
      <c r="BM47" s="3349">
        <f t="shared" si="119"/>
        <v>0</v>
      </c>
      <c r="BN47" s="4697" t="e">
        <f t="shared" si="120"/>
        <v>#DIV/0!</v>
      </c>
      <c r="BO47" s="4751"/>
      <c r="BP47" s="3341"/>
      <c r="BQ47" s="3341"/>
      <c r="BR47" s="3349">
        <f t="shared" si="121"/>
        <v>0</v>
      </c>
      <c r="BS47" s="4697" t="e">
        <f t="shared" si="122"/>
        <v>#DIV/0!</v>
      </c>
      <c r="BT47" s="4751"/>
      <c r="BU47" s="3341"/>
      <c r="BV47" s="3341"/>
      <c r="BW47" s="3349">
        <f t="shared" si="123"/>
        <v>0</v>
      </c>
      <c r="BX47" s="4697" t="e">
        <f t="shared" si="124"/>
        <v>#DIV/0!</v>
      </c>
      <c r="BY47" s="4751"/>
      <c r="BZ47" s="3341"/>
      <c r="CA47" s="3341"/>
      <c r="CB47" s="3349">
        <f t="shared" si="125"/>
        <v>0</v>
      </c>
      <c r="CC47" s="4697" t="e">
        <f t="shared" si="126"/>
        <v>#DIV/0!</v>
      </c>
      <c r="CD47" s="4751"/>
      <c r="CE47" s="3341"/>
      <c r="CF47" s="3341"/>
      <c r="CG47" s="3349">
        <f t="shared" si="127"/>
        <v>0</v>
      </c>
      <c r="CH47" s="4697" t="e">
        <f t="shared" si="128"/>
        <v>#DIV/0!</v>
      </c>
      <c r="CI47" s="4751"/>
      <c r="CJ47" s="3341">
        <f t="shared" si="129"/>
        <v>8791.9700000000012</v>
      </c>
      <c r="CK47" s="3341">
        <f t="shared" si="129"/>
        <v>86</v>
      </c>
      <c r="CL47" s="2012">
        <f t="shared" si="130"/>
        <v>8877.9700000000012</v>
      </c>
      <c r="CM47" s="4697">
        <f t="shared" si="94"/>
        <v>2.3274670088393847E-3</v>
      </c>
      <c r="CN47" s="4699"/>
      <c r="CP47" s="2012">
        <f t="shared" si="131"/>
        <v>0</v>
      </c>
      <c r="CQ47" s="2012">
        <f t="shared" si="131"/>
        <v>0</v>
      </c>
      <c r="CR47" s="4614"/>
    </row>
    <row r="48" spans="1:98" ht="13.8" outlineLevel="2">
      <c r="A48" s="4833"/>
      <c r="B48" s="4750" t="s">
        <v>15</v>
      </c>
      <c r="C48" s="3341"/>
      <c r="D48" s="3341"/>
      <c r="E48" s="3349">
        <f t="shared" si="95"/>
        <v>0</v>
      </c>
      <c r="F48" s="4697" t="e">
        <f t="shared" si="96"/>
        <v>#DIV/0!</v>
      </c>
      <c r="G48" s="4751"/>
      <c r="H48" s="3341"/>
      <c r="I48" s="3341"/>
      <c r="J48" s="3349">
        <f t="shared" si="97"/>
        <v>0</v>
      </c>
      <c r="K48" s="4697" t="e">
        <f t="shared" si="98"/>
        <v>#DIV/0!</v>
      </c>
      <c r="L48" s="4751"/>
      <c r="M48" s="3341"/>
      <c r="N48" s="3341"/>
      <c r="O48" s="3349">
        <f t="shared" si="99"/>
        <v>0</v>
      </c>
      <c r="P48" s="4697" t="e">
        <f t="shared" si="100"/>
        <v>#DIV/0!</v>
      </c>
      <c r="Q48" s="4751"/>
      <c r="R48" s="3342">
        <f t="shared" si="101"/>
        <v>0</v>
      </c>
      <c r="S48" s="3342">
        <f t="shared" si="101"/>
        <v>0</v>
      </c>
      <c r="T48" s="2012">
        <f t="shared" si="102"/>
        <v>0</v>
      </c>
      <c r="U48" s="4754"/>
      <c r="V48" s="4751"/>
      <c r="W48" s="4755">
        <f t="shared" si="103"/>
        <v>3916.4</v>
      </c>
      <c r="X48" s="4755">
        <f t="shared" si="103"/>
        <v>0</v>
      </c>
      <c r="Y48" s="4756">
        <f t="shared" si="104"/>
        <v>3916.4</v>
      </c>
      <c r="Z48" s="4751"/>
      <c r="AA48" s="4751"/>
      <c r="AB48" s="4757"/>
      <c r="AC48" s="4757"/>
      <c r="AD48" s="4757">
        <f t="shared" si="105"/>
        <v>0</v>
      </c>
      <c r="AE48" s="4697">
        <f t="shared" si="106"/>
        <v>0</v>
      </c>
      <c r="AF48" s="4752"/>
      <c r="AG48" s="4704"/>
      <c r="AH48" s="3341"/>
      <c r="AI48" s="3349">
        <f t="shared" si="107"/>
        <v>0</v>
      </c>
      <c r="AJ48" s="4697">
        <f t="shared" si="108"/>
        <v>0</v>
      </c>
      <c r="AK48" s="4751"/>
      <c r="AL48" s="3341"/>
      <c r="AM48" s="3341"/>
      <c r="AN48" s="3349">
        <f t="shared" si="109"/>
        <v>0</v>
      </c>
      <c r="AO48" s="4697">
        <f t="shared" si="110"/>
        <v>0</v>
      </c>
      <c r="AP48" s="4753"/>
      <c r="AQ48" s="3341">
        <v>3536.4</v>
      </c>
      <c r="AR48" s="3341"/>
      <c r="AS48" s="3349">
        <f t="shared" si="111"/>
        <v>3536.4</v>
      </c>
      <c r="AT48" s="4697">
        <f t="shared" si="112"/>
        <v>6.3123458234821909E-3</v>
      </c>
      <c r="AU48" s="4753" t="s">
        <v>2052</v>
      </c>
      <c r="AV48" s="3341">
        <v>380</v>
      </c>
      <c r="AW48" s="3341"/>
      <c r="AX48" s="3349">
        <f t="shared" si="113"/>
        <v>380</v>
      </c>
      <c r="AY48" s="4697">
        <f t="shared" si="114"/>
        <v>7.229111190170342E-4</v>
      </c>
      <c r="AZ48" s="4193" t="s">
        <v>2052</v>
      </c>
      <c r="BA48" s="3341"/>
      <c r="BB48" s="3341"/>
      <c r="BC48" s="3349">
        <f t="shared" si="115"/>
        <v>0</v>
      </c>
      <c r="BD48" s="4697">
        <f t="shared" si="116"/>
        <v>0</v>
      </c>
      <c r="BE48" s="4751"/>
      <c r="BF48" s="3341"/>
      <c r="BG48" s="3341"/>
      <c r="BH48" s="3349">
        <f t="shared" si="117"/>
        <v>0</v>
      </c>
      <c r="BI48" s="4697" t="e">
        <f t="shared" si="118"/>
        <v>#DIV/0!</v>
      </c>
      <c r="BJ48" s="4751"/>
      <c r="BK48" s="3341"/>
      <c r="BL48" s="3341"/>
      <c r="BM48" s="3349">
        <f t="shared" si="119"/>
        <v>0</v>
      </c>
      <c r="BN48" s="4697" t="e">
        <f t="shared" si="120"/>
        <v>#DIV/0!</v>
      </c>
      <c r="BO48" s="4751"/>
      <c r="BP48" s="3341"/>
      <c r="BQ48" s="3341"/>
      <c r="BR48" s="3349">
        <f t="shared" si="121"/>
        <v>0</v>
      </c>
      <c r="BS48" s="4697" t="e">
        <f t="shared" si="122"/>
        <v>#DIV/0!</v>
      </c>
      <c r="BT48" s="4751"/>
      <c r="BU48" s="3341"/>
      <c r="BV48" s="3341"/>
      <c r="BW48" s="3349">
        <f t="shared" si="123"/>
        <v>0</v>
      </c>
      <c r="BX48" s="4697" t="e">
        <f t="shared" si="124"/>
        <v>#DIV/0!</v>
      </c>
      <c r="BY48" s="4751"/>
      <c r="BZ48" s="3341"/>
      <c r="CA48" s="3341"/>
      <c r="CB48" s="3349">
        <f t="shared" si="125"/>
        <v>0</v>
      </c>
      <c r="CC48" s="4697" t="e">
        <f t="shared" si="126"/>
        <v>#DIV/0!</v>
      </c>
      <c r="CD48" s="4751"/>
      <c r="CE48" s="3341"/>
      <c r="CF48" s="3341"/>
      <c r="CG48" s="3349">
        <f t="shared" si="127"/>
        <v>0</v>
      </c>
      <c r="CH48" s="4697" t="e">
        <f t="shared" si="128"/>
        <v>#DIV/0!</v>
      </c>
      <c r="CI48" s="4751"/>
      <c r="CJ48" s="3341">
        <f t="shared" si="129"/>
        <v>3916.4</v>
      </c>
      <c r="CK48" s="3341">
        <f t="shared" si="129"/>
        <v>0</v>
      </c>
      <c r="CL48" s="2012">
        <f t="shared" si="130"/>
        <v>3916.4</v>
      </c>
      <c r="CM48" s="4697">
        <f t="shared" si="94"/>
        <v>1.0267315381127177E-3</v>
      </c>
      <c r="CN48" s="4699"/>
      <c r="CP48" s="2012">
        <f t="shared" si="131"/>
        <v>0</v>
      </c>
      <c r="CQ48" s="2012">
        <f t="shared" si="131"/>
        <v>0</v>
      </c>
      <c r="CR48" s="4614"/>
    </row>
    <row r="49" spans="1:98" s="1396" customFormat="1" ht="14.4" outlineLevel="2" thickBot="1">
      <c r="A49" s="1405"/>
      <c r="B49" s="4758"/>
      <c r="C49" s="3341"/>
      <c r="D49" s="3341"/>
      <c r="E49" s="4735"/>
      <c r="F49" s="4708"/>
      <c r="G49" s="4736"/>
      <c r="H49" s="3341"/>
      <c r="I49" s="3341"/>
      <c r="J49" s="4735"/>
      <c r="K49" s="4708"/>
      <c r="L49" s="4736"/>
      <c r="M49" s="3341"/>
      <c r="N49" s="3341"/>
      <c r="O49" s="4735"/>
      <c r="P49" s="4708"/>
      <c r="Q49" s="4736"/>
      <c r="R49" s="3456"/>
      <c r="S49" s="3456"/>
      <c r="T49" s="3456"/>
      <c r="U49" s="3733"/>
      <c r="V49" s="3734"/>
      <c r="W49" s="3734"/>
      <c r="X49" s="3734"/>
      <c r="Y49" s="3734"/>
      <c r="Z49" s="3734"/>
      <c r="AA49" s="3734"/>
      <c r="AB49" s="3367"/>
      <c r="AC49" s="3367"/>
      <c r="AD49" s="4737"/>
      <c r="AE49" s="4708">
        <f t="shared" si="106"/>
        <v>0</v>
      </c>
      <c r="AF49" s="4738"/>
      <c r="AG49" s="3375"/>
      <c r="AH49" s="3341"/>
      <c r="AI49" s="4735"/>
      <c r="AJ49" s="4708">
        <f t="shared" si="108"/>
        <v>0</v>
      </c>
      <c r="AK49" s="4736"/>
      <c r="AL49" s="3341"/>
      <c r="AM49" s="3341"/>
      <c r="AN49" s="4735"/>
      <c r="AO49" s="4708">
        <f t="shared" si="110"/>
        <v>0</v>
      </c>
      <c r="AP49" s="4739"/>
      <c r="AQ49" s="3341"/>
      <c r="AR49" s="3341"/>
      <c r="AS49" s="4735"/>
      <c r="AT49" s="4708">
        <f t="shared" si="112"/>
        <v>0</v>
      </c>
      <c r="AU49" s="4739"/>
      <c r="AV49" s="3341"/>
      <c r="AW49" s="3341"/>
      <c r="AX49" s="4735"/>
      <c r="AY49" s="4708">
        <f t="shared" si="114"/>
        <v>0</v>
      </c>
      <c r="AZ49" s="4736"/>
      <c r="BA49" s="3341"/>
      <c r="BB49" s="3341"/>
      <c r="BC49" s="4735"/>
      <c r="BD49" s="4708">
        <f t="shared" si="116"/>
        <v>0</v>
      </c>
      <c r="BE49" s="4736"/>
      <c r="BF49" s="3341"/>
      <c r="BG49" s="3341"/>
      <c r="BH49" s="4735"/>
      <c r="BI49" s="4708" t="e">
        <f t="shared" si="118"/>
        <v>#DIV/0!</v>
      </c>
      <c r="BJ49" s="4736"/>
      <c r="BK49" s="3341"/>
      <c r="BL49" s="3341"/>
      <c r="BM49" s="4735"/>
      <c r="BN49" s="4708" t="e">
        <f t="shared" si="120"/>
        <v>#DIV/0!</v>
      </c>
      <c r="BO49" s="4736"/>
      <c r="BP49" s="3341"/>
      <c r="BQ49" s="3341"/>
      <c r="BR49" s="4735"/>
      <c r="BS49" s="4708" t="e">
        <f t="shared" si="122"/>
        <v>#DIV/0!</v>
      </c>
      <c r="BT49" s="4736"/>
      <c r="BU49" s="3341"/>
      <c r="BV49" s="3341"/>
      <c r="BW49" s="4735"/>
      <c r="BX49" s="4708" t="e">
        <f t="shared" si="124"/>
        <v>#DIV/0!</v>
      </c>
      <c r="BY49" s="4736"/>
      <c r="BZ49" s="3341"/>
      <c r="CA49" s="3341"/>
      <c r="CB49" s="4735"/>
      <c r="CC49" s="4708" t="e">
        <f t="shared" si="126"/>
        <v>#DIV/0!</v>
      </c>
      <c r="CD49" s="4736"/>
      <c r="CE49" s="3341"/>
      <c r="CF49" s="3341"/>
      <c r="CG49" s="4735"/>
      <c r="CH49" s="4708" t="e">
        <f t="shared" si="128"/>
        <v>#DIV/0!</v>
      </c>
      <c r="CI49" s="4736"/>
      <c r="CJ49" s="3341"/>
      <c r="CK49" s="3341"/>
      <c r="CL49" s="4735"/>
      <c r="CM49" s="4697">
        <f t="shared" si="94"/>
        <v>0</v>
      </c>
      <c r="CN49" s="4735"/>
      <c r="CP49" s="4740"/>
      <c r="CQ49" s="4740"/>
      <c r="CR49" s="4614"/>
      <c r="CT49" s="2624"/>
    </row>
    <row r="50" spans="1:98" s="1396" customFormat="1" ht="13.8" outlineLevel="1">
      <c r="A50" s="1565"/>
      <c r="B50" s="1410" t="s">
        <v>59</v>
      </c>
      <c r="C50" s="2015">
        <f>C52+C51</f>
        <v>0</v>
      </c>
      <c r="D50" s="2015">
        <f>D52+D51</f>
        <v>0</v>
      </c>
      <c r="E50" s="2014">
        <f>SUM(E51:E52)</f>
        <v>0</v>
      </c>
      <c r="F50" s="4749" t="e">
        <f>E50/$E$89</f>
        <v>#DIV/0!</v>
      </c>
      <c r="G50" s="1057"/>
      <c r="H50" s="2015">
        <f>H52+H51</f>
        <v>0</v>
      </c>
      <c r="I50" s="2015">
        <f>I52+I51</f>
        <v>0</v>
      </c>
      <c r="J50" s="2014">
        <f>SUM(J51:J52)</f>
        <v>0</v>
      </c>
      <c r="K50" s="4749" t="e">
        <f>J50/$E$89</f>
        <v>#DIV/0!</v>
      </c>
      <c r="L50" s="1057"/>
      <c r="M50" s="2015">
        <f>M52+M51</f>
        <v>0</v>
      </c>
      <c r="N50" s="2015">
        <f>N52+N51</f>
        <v>0</v>
      </c>
      <c r="O50" s="2014">
        <f>SUM(O51:O52)</f>
        <v>0</v>
      </c>
      <c r="P50" s="4749" t="e">
        <f>O50/$E$89</f>
        <v>#DIV/0!</v>
      </c>
      <c r="Q50" s="1057"/>
      <c r="R50" s="2015">
        <f>R52+R51</f>
        <v>0</v>
      </c>
      <c r="S50" s="2015">
        <f>S52+S51</f>
        <v>0</v>
      </c>
      <c r="T50" s="2015">
        <f>SUM(T51:T52)</f>
        <v>0</v>
      </c>
      <c r="U50" s="1535"/>
      <c r="V50" s="3460"/>
      <c r="W50" s="2013">
        <f>W52+W51</f>
        <v>5329</v>
      </c>
      <c r="X50" s="2013">
        <f>X52+X51</f>
        <v>0</v>
      </c>
      <c r="Y50" s="2013">
        <f>SUM(Y51:Y52)</f>
        <v>5329</v>
      </c>
      <c r="Z50" s="1535"/>
      <c r="AA50" s="3460"/>
      <c r="AB50" s="2013">
        <f>AB52+AB51</f>
        <v>0</v>
      </c>
      <c r="AC50" s="2013">
        <f>AC52+AC51</f>
        <v>0</v>
      </c>
      <c r="AD50" s="2013">
        <f>SUM(AD51:AD52)</f>
        <v>0</v>
      </c>
      <c r="AE50" s="1535"/>
      <c r="AF50" s="3800"/>
      <c r="AG50" s="2013">
        <f>AG52+AG51</f>
        <v>1150</v>
      </c>
      <c r="AH50" s="2015">
        <f>AH52+AH51</f>
        <v>0</v>
      </c>
      <c r="AI50" s="2015">
        <f>SUM(AI51:AI52)</f>
        <v>1150</v>
      </c>
      <c r="AJ50" s="1535"/>
      <c r="AK50" s="1057"/>
      <c r="AL50" s="2015">
        <f>AL52+AL51</f>
        <v>4080</v>
      </c>
      <c r="AM50" s="2015">
        <f>AM52+AM51</f>
        <v>0</v>
      </c>
      <c r="AN50" s="2015">
        <f>SUM(AN51:AN52)</f>
        <v>4080</v>
      </c>
      <c r="AO50" s="1535"/>
      <c r="AP50" s="3723"/>
      <c r="AQ50" s="2015">
        <f>AQ52+AQ51</f>
        <v>0</v>
      </c>
      <c r="AR50" s="2015">
        <f>AR52+AR51</f>
        <v>0</v>
      </c>
      <c r="AS50" s="2015">
        <f>SUM(AS51:AS52)</f>
        <v>0</v>
      </c>
      <c r="AT50" s="1535"/>
      <c r="AU50" s="3723"/>
      <c r="AV50" s="2015">
        <f>AV52+AV51</f>
        <v>0</v>
      </c>
      <c r="AW50" s="2015">
        <f>AW52+AW51</f>
        <v>0</v>
      </c>
      <c r="AX50" s="2015">
        <f>SUM(AX51:AX52)</f>
        <v>0</v>
      </c>
      <c r="AY50" s="1535"/>
      <c r="AZ50" s="1057"/>
      <c r="BA50" s="2015">
        <f>BA52+BA51</f>
        <v>99</v>
      </c>
      <c r="BB50" s="2015">
        <f>BB52+BB51</f>
        <v>0</v>
      </c>
      <c r="BC50" s="2015">
        <f>SUM(BC51:BC52)</f>
        <v>99</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5329</v>
      </c>
      <c r="CK50" s="2015">
        <f>CK52+CK51</f>
        <v>0</v>
      </c>
      <c r="CL50" s="2015">
        <f>SUM(CL51:CL52)</f>
        <v>5329</v>
      </c>
      <c r="CM50" s="2006"/>
      <c r="CN50" s="2006"/>
      <c r="CP50" s="2015">
        <f>SUM(CP51:CP52)</f>
        <v>0</v>
      </c>
      <c r="CQ50" s="2015">
        <f>SUM(CQ51:CQ52)</f>
        <v>0</v>
      </c>
      <c r="CR50" s="2015"/>
      <c r="CT50" s="2624"/>
    </row>
    <row r="51" spans="1:98" s="1396" customFormat="1" ht="13.8" outlineLevel="1">
      <c r="A51" s="1566"/>
      <c r="B51" s="4750" t="s">
        <v>60</v>
      </c>
      <c r="C51" s="3341"/>
      <c r="D51" s="3341"/>
      <c r="E51" s="3349">
        <f t="shared" ref="E51:E52" si="132">C51+D51</f>
        <v>0</v>
      </c>
      <c r="F51" s="4697" t="e">
        <f t="shared" ref="F51:F71" si="133">E51/$E$89</f>
        <v>#DIV/0!</v>
      </c>
      <c r="G51" s="4729"/>
      <c r="H51" s="3341"/>
      <c r="I51" s="3341"/>
      <c r="J51" s="3349">
        <f>H51+I51</f>
        <v>0</v>
      </c>
      <c r="K51" s="4697" t="e">
        <f t="shared" ref="K51:K52" si="134">J51/J$89</f>
        <v>#DIV/0!</v>
      </c>
      <c r="L51" s="4729"/>
      <c r="M51" s="3341"/>
      <c r="N51" s="3341"/>
      <c r="O51" s="3349">
        <f t="shared" ref="O51:O52" si="135">M51+N51</f>
        <v>0</v>
      </c>
      <c r="P51" s="4697" t="e">
        <f t="shared" ref="P51:P53" si="136">O51/O$89</f>
        <v>#DIV/0!</v>
      </c>
      <c r="Q51" s="4729"/>
      <c r="R51" s="3342">
        <f t="shared" ref="R51:S52" si="137">M51+H51+C51</f>
        <v>0</v>
      </c>
      <c r="S51" s="3342">
        <f t="shared" si="137"/>
        <v>0</v>
      </c>
      <c r="T51" s="2012">
        <f t="shared" ref="T51:T52" si="138">R51+S51</f>
        <v>0</v>
      </c>
      <c r="U51" s="3455"/>
      <c r="V51" s="3455"/>
      <c r="W51" s="3342">
        <f t="shared" ref="W51:X52" si="139">AB51+AG51+AL51+AV51+BA51+BF51+BK51+BP51+BU51+BZ51+CE51+AQ51</f>
        <v>1249</v>
      </c>
      <c r="X51" s="3342">
        <f t="shared" si="139"/>
        <v>0</v>
      </c>
      <c r="Y51" s="2012">
        <f t="shared" ref="Y51:Y52" si="140">W51+X51</f>
        <v>1249</v>
      </c>
      <c r="Z51" s="3455"/>
      <c r="AA51" s="3455"/>
      <c r="AB51" s="3349"/>
      <c r="AC51" s="3349"/>
      <c r="AD51" s="3349">
        <f t="shared" ref="AD51:AD52" si="141">AB51+AC51</f>
        <v>0</v>
      </c>
      <c r="AE51" s="4697">
        <f t="shared" ref="AE51:AE53" si="142">AD51/AD$89</f>
        <v>0</v>
      </c>
      <c r="AF51" s="4730"/>
      <c r="AG51" s="3341">
        <v>1150</v>
      </c>
      <c r="AH51" s="3341"/>
      <c r="AI51" s="3349">
        <f t="shared" ref="AI51:AI52" si="143">AG51+AH51</f>
        <v>1150</v>
      </c>
      <c r="AJ51" s="4697">
        <f t="shared" ref="AJ51:AJ53" si="144">AI51/AI$89</f>
        <v>1.8656489366149951E-3</v>
      </c>
      <c r="AK51" s="4729" t="s">
        <v>1943</v>
      </c>
      <c r="AL51" s="3341"/>
      <c r="AM51" s="3341"/>
      <c r="AN51" s="3349">
        <f t="shared" ref="AN51:AN52" si="145">AL51+AM51</f>
        <v>0</v>
      </c>
      <c r="AO51" s="4697">
        <f t="shared" ref="AO51:AO53" si="146">AN51/AN$89</f>
        <v>0</v>
      </c>
      <c r="AP51" s="4732"/>
      <c r="AQ51" s="3341"/>
      <c r="AR51" s="3341"/>
      <c r="AS51" s="3349">
        <f t="shared" ref="AS51:AS52" si="147">AQ51+AR51</f>
        <v>0</v>
      </c>
      <c r="AT51" s="4697">
        <f t="shared" ref="AT51:AT53" si="148">AS51/AS$89</f>
        <v>0</v>
      </c>
      <c r="AU51" s="4732"/>
      <c r="AV51" s="3341"/>
      <c r="AW51" s="3341"/>
      <c r="AX51" s="3349">
        <f t="shared" ref="AX51:AX52" si="149">AV51+AW51</f>
        <v>0</v>
      </c>
      <c r="AY51" s="4697">
        <f t="shared" ref="AY51:AY53" si="150">AX51/AX$89</f>
        <v>0</v>
      </c>
      <c r="AZ51" s="4729"/>
      <c r="BA51" s="3341">
        <v>99</v>
      </c>
      <c r="BB51" s="3341"/>
      <c r="BC51" s="3349">
        <f t="shared" ref="BC51:BC52" si="151">BA51+BB51</f>
        <v>99</v>
      </c>
      <c r="BD51" s="4697">
        <f t="shared" ref="BD51:BD53" si="152">BC51/BC$89</f>
        <v>1.4709587799022303E-4</v>
      </c>
      <c r="BE51" s="4729" t="s">
        <v>2165</v>
      </c>
      <c r="BF51" s="3341"/>
      <c r="BG51" s="3341"/>
      <c r="BH51" s="3349">
        <f t="shared" ref="BH51:BH52" si="153">BF51+BG51</f>
        <v>0</v>
      </c>
      <c r="BI51" s="4697" t="e">
        <f t="shared" ref="BI51:BI53" si="154">BH51/BH$89</f>
        <v>#DIV/0!</v>
      </c>
      <c r="BJ51" s="4729"/>
      <c r="BK51" s="3341"/>
      <c r="BL51" s="3341"/>
      <c r="BM51" s="3349">
        <f t="shared" ref="BM51:BM52" si="155">BK51+BL51</f>
        <v>0</v>
      </c>
      <c r="BN51" s="4697" t="e">
        <f t="shared" ref="BN51:BN53" si="156">BM51/BM$89</f>
        <v>#DIV/0!</v>
      </c>
      <c r="BO51" s="4729"/>
      <c r="BP51" s="3341"/>
      <c r="BQ51" s="3341"/>
      <c r="BR51" s="3349">
        <f t="shared" ref="BR51:BR52" si="157">BP51+BQ51</f>
        <v>0</v>
      </c>
      <c r="BS51" s="4697" t="e">
        <f t="shared" ref="BS51:BS53" si="158">BR51/BR$89</f>
        <v>#DIV/0!</v>
      </c>
      <c r="BT51" s="4729"/>
      <c r="BU51" s="3341"/>
      <c r="BV51" s="3341"/>
      <c r="BW51" s="3349">
        <f t="shared" ref="BW51:BW52" si="159">BU51+BV51</f>
        <v>0</v>
      </c>
      <c r="BX51" s="4697" t="e">
        <f t="shared" ref="BX51:BX53" si="160">BW51/BW$89</f>
        <v>#DIV/0!</v>
      </c>
      <c r="BY51" s="4729"/>
      <c r="BZ51" s="3341"/>
      <c r="CA51" s="3341"/>
      <c r="CB51" s="3349">
        <f t="shared" ref="CB51:CB52" si="161">BZ51+CA51</f>
        <v>0</v>
      </c>
      <c r="CC51" s="4697" t="e">
        <f t="shared" ref="CC51:CC53" si="162">CB51/CB$89</f>
        <v>#DIV/0!</v>
      </c>
      <c r="CD51" s="4729"/>
      <c r="CE51" s="3341"/>
      <c r="CF51" s="3341"/>
      <c r="CG51" s="3349">
        <f t="shared" ref="CG51:CG52" si="163">CE51+CF51</f>
        <v>0</v>
      </c>
      <c r="CH51" s="4697" t="e">
        <f t="shared" ref="CH51:CH53" si="164">CG51/CG$89</f>
        <v>#DIV/0!</v>
      </c>
      <c r="CI51" s="4729"/>
      <c r="CJ51" s="3341">
        <f t="shared" ref="CJ51:CK53" si="165">C51+H51+M51+W51</f>
        <v>1249</v>
      </c>
      <c r="CK51" s="3341">
        <f t="shared" si="165"/>
        <v>0</v>
      </c>
      <c r="CL51" s="2012">
        <f>CJ51+CK51*1</f>
        <v>1249</v>
      </c>
      <c r="CM51" s="4697">
        <f>CL51/$CL$89</f>
        <v>3.2744042771493831E-4</v>
      </c>
      <c r="CN51" s="4733"/>
      <c r="CP51" s="2012">
        <f>CN51+CO51*1</f>
        <v>0</v>
      </c>
      <c r="CQ51" s="2012">
        <f>CO51+CP51*1</f>
        <v>0</v>
      </c>
      <c r="CR51" s="4614"/>
      <c r="CT51" s="2624"/>
    </row>
    <row r="52" spans="1:98" ht="13.8" outlineLevel="2">
      <c r="A52" s="1566"/>
      <c r="B52" s="4750" t="s">
        <v>61</v>
      </c>
      <c r="C52" s="3341"/>
      <c r="D52" s="3341"/>
      <c r="E52" s="3349">
        <f t="shared" si="132"/>
        <v>0</v>
      </c>
      <c r="F52" s="4697" t="e">
        <f t="shared" si="133"/>
        <v>#DIV/0!</v>
      </c>
      <c r="G52" s="4729"/>
      <c r="H52" s="3341"/>
      <c r="I52" s="3341"/>
      <c r="J52" s="3349">
        <f>H52+I52</f>
        <v>0</v>
      </c>
      <c r="K52" s="4697" t="e">
        <f t="shared" si="134"/>
        <v>#DIV/0!</v>
      </c>
      <c r="L52" s="4729"/>
      <c r="M52" s="3341"/>
      <c r="N52" s="3341"/>
      <c r="O52" s="3349">
        <f t="shared" si="135"/>
        <v>0</v>
      </c>
      <c r="P52" s="4697" t="e">
        <f t="shared" si="136"/>
        <v>#DIV/0!</v>
      </c>
      <c r="Q52" s="4729"/>
      <c r="R52" s="3342">
        <f t="shared" si="137"/>
        <v>0</v>
      </c>
      <c r="S52" s="3342">
        <f t="shared" si="137"/>
        <v>0</v>
      </c>
      <c r="T52" s="2012">
        <f t="shared" si="138"/>
        <v>0</v>
      </c>
      <c r="U52" s="3455"/>
      <c r="V52" s="3455"/>
      <c r="W52" s="3342">
        <f t="shared" si="139"/>
        <v>4080</v>
      </c>
      <c r="X52" s="3342">
        <f t="shared" si="139"/>
        <v>0</v>
      </c>
      <c r="Y52" s="2012">
        <f t="shared" si="140"/>
        <v>4080</v>
      </c>
      <c r="Z52" s="3455"/>
      <c r="AA52" s="3455"/>
      <c r="AB52" s="3349"/>
      <c r="AC52" s="3349"/>
      <c r="AD52" s="3349">
        <f t="shared" si="141"/>
        <v>0</v>
      </c>
      <c r="AE52" s="4697">
        <f t="shared" si="142"/>
        <v>0</v>
      </c>
      <c r="AF52" s="4730"/>
      <c r="AG52" s="3341"/>
      <c r="AH52" s="3341"/>
      <c r="AI52" s="3349">
        <f t="shared" si="143"/>
        <v>0</v>
      </c>
      <c r="AJ52" s="4697">
        <f t="shared" si="144"/>
        <v>0</v>
      </c>
      <c r="AK52" s="4729"/>
      <c r="AL52" s="3341">
        <v>4080</v>
      </c>
      <c r="AM52" s="3341"/>
      <c r="AN52" s="3349">
        <f t="shared" si="145"/>
        <v>4080</v>
      </c>
      <c r="AO52" s="4697">
        <f t="shared" si="146"/>
        <v>6.0503243457453787E-3</v>
      </c>
      <c r="AP52" s="4732" t="s">
        <v>1974</v>
      </c>
      <c r="AQ52" s="3341"/>
      <c r="AR52" s="3341"/>
      <c r="AS52" s="3349">
        <f t="shared" si="147"/>
        <v>0</v>
      </c>
      <c r="AT52" s="4697">
        <f t="shared" si="148"/>
        <v>0</v>
      </c>
      <c r="AU52" s="4732"/>
      <c r="AV52" s="3341"/>
      <c r="AW52" s="3341"/>
      <c r="AX52" s="3349">
        <f t="shared" si="149"/>
        <v>0</v>
      </c>
      <c r="AY52" s="4697">
        <f t="shared" si="150"/>
        <v>0</v>
      </c>
      <c r="AZ52" s="4729"/>
      <c r="BA52" s="3341"/>
      <c r="BB52" s="3341"/>
      <c r="BC52" s="3349">
        <f t="shared" si="151"/>
        <v>0</v>
      </c>
      <c r="BD52" s="4697">
        <f t="shared" si="152"/>
        <v>0</v>
      </c>
      <c r="BE52" s="4729"/>
      <c r="BF52" s="3341"/>
      <c r="BG52" s="3341"/>
      <c r="BH52" s="3349">
        <f t="shared" si="153"/>
        <v>0</v>
      </c>
      <c r="BI52" s="4697" t="e">
        <f t="shared" si="154"/>
        <v>#DIV/0!</v>
      </c>
      <c r="BJ52" s="4729"/>
      <c r="BK52" s="3341"/>
      <c r="BL52" s="3341"/>
      <c r="BM52" s="3349">
        <f t="shared" si="155"/>
        <v>0</v>
      </c>
      <c r="BN52" s="4697" t="e">
        <f t="shared" si="156"/>
        <v>#DIV/0!</v>
      </c>
      <c r="BO52" s="4729"/>
      <c r="BP52" s="3341"/>
      <c r="BQ52" s="3341"/>
      <c r="BR52" s="3349">
        <f t="shared" si="157"/>
        <v>0</v>
      </c>
      <c r="BS52" s="4697" t="e">
        <f t="shared" si="158"/>
        <v>#DIV/0!</v>
      </c>
      <c r="BT52" s="4729"/>
      <c r="BU52" s="3341"/>
      <c r="BV52" s="3341"/>
      <c r="BW52" s="3349">
        <f t="shared" si="159"/>
        <v>0</v>
      </c>
      <c r="BX52" s="4697" t="e">
        <f t="shared" si="160"/>
        <v>#DIV/0!</v>
      </c>
      <c r="BY52" s="4729"/>
      <c r="BZ52" s="3341"/>
      <c r="CA52" s="3341"/>
      <c r="CB52" s="3349">
        <f t="shared" si="161"/>
        <v>0</v>
      </c>
      <c r="CC52" s="4697" t="e">
        <f t="shared" si="162"/>
        <v>#DIV/0!</v>
      </c>
      <c r="CD52" s="4729"/>
      <c r="CE52" s="3341"/>
      <c r="CF52" s="3341"/>
      <c r="CG52" s="3349">
        <f t="shared" si="163"/>
        <v>0</v>
      </c>
      <c r="CH52" s="4697" t="e">
        <f t="shared" si="164"/>
        <v>#DIV/0!</v>
      </c>
      <c r="CI52" s="4729"/>
      <c r="CJ52" s="3341">
        <f t="shared" si="165"/>
        <v>4080</v>
      </c>
      <c r="CK52" s="3341">
        <f t="shared" si="165"/>
        <v>0</v>
      </c>
      <c r="CL52" s="2012">
        <f>CJ52+CK52*1</f>
        <v>4080</v>
      </c>
      <c r="CM52" s="4697">
        <f>CL52/$CL$89</f>
        <v>1.0696212530640098E-3</v>
      </c>
      <c r="CN52" s="4733"/>
      <c r="CP52" s="2012">
        <f>CN52+CO52*1</f>
        <v>0</v>
      </c>
      <c r="CQ52" s="2012">
        <f>CO52+CP52*1</f>
        <v>0</v>
      </c>
      <c r="CR52" s="4614"/>
    </row>
    <row r="53" spans="1:98" ht="14.4" outlineLevel="1" thickBot="1">
      <c r="A53" s="1413"/>
      <c r="B53" s="4759"/>
      <c r="C53" s="3341"/>
      <c r="D53" s="3341"/>
      <c r="E53" s="4760"/>
      <c r="F53" s="4697" t="e">
        <f t="shared" si="133"/>
        <v>#DIV/0!</v>
      </c>
      <c r="G53" s="4761"/>
      <c r="H53" s="3341"/>
      <c r="I53" s="3341"/>
      <c r="J53" s="4760"/>
      <c r="K53" s="4697" t="e">
        <f t="shared" ref="K53:K54" si="166">J53/$E$89</f>
        <v>#DIV/0!</v>
      </c>
      <c r="L53" s="4761"/>
      <c r="M53" s="3341"/>
      <c r="N53" s="3341"/>
      <c r="O53" s="4760"/>
      <c r="P53" s="4697" t="e">
        <f t="shared" si="136"/>
        <v>#DIV/0!</v>
      </c>
      <c r="Q53" s="4761"/>
      <c r="R53" s="4762"/>
      <c r="S53" s="4761"/>
      <c r="T53" s="4761"/>
      <c r="U53" s="4761"/>
      <c r="V53" s="4761"/>
      <c r="W53" s="4761"/>
      <c r="X53" s="4761"/>
      <c r="Y53" s="4761"/>
      <c r="Z53" s="4761"/>
      <c r="AA53" s="4761"/>
      <c r="AB53" s="4707"/>
      <c r="AC53" s="4707"/>
      <c r="AD53" s="4763"/>
      <c r="AE53" s="4708">
        <f t="shared" si="142"/>
        <v>0</v>
      </c>
      <c r="AF53" s="4764"/>
      <c r="AG53" s="4706"/>
      <c r="AH53" s="4706"/>
      <c r="AI53" s="4760"/>
      <c r="AJ53" s="4708">
        <f t="shared" si="144"/>
        <v>0</v>
      </c>
      <c r="AK53" s="4761"/>
      <c r="AL53" s="4706"/>
      <c r="AM53" s="4706"/>
      <c r="AN53" s="4760"/>
      <c r="AO53" s="4708">
        <f t="shared" si="146"/>
        <v>0</v>
      </c>
      <c r="AP53" s="4765"/>
      <c r="AQ53" s="4706"/>
      <c r="AR53" s="4706"/>
      <c r="AS53" s="4760"/>
      <c r="AT53" s="4708">
        <f t="shared" si="148"/>
        <v>0</v>
      </c>
      <c r="AU53" s="4765"/>
      <c r="AV53" s="4706"/>
      <c r="AW53" s="4706"/>
      <c r="AX53" s="4760"/>
      <c r="AY53" s="4708">
        <f t="shared" si="150"/>
        <v>0</v>
      </c>
      <c r="AZ53" s="4761"/>
      <c r="BA53" s="4706"/>
      <c r="BB53" s="4706"/>
      <c r="BC53" s="4760"/>
      <c r="BD53" s="4708">
        <f t="shared" si="152"/>
        <v>0</v>
      </c>
      <c r="BE53" s="4761"/>
      <c r="BF53" s="4706"/>
      <c r="BG53" s="4706"/>
      <c r="BH53" s="4760"/>
      <c r="BI53" s="4708" t="e">
        <f t="shared" si="154"/>
        <v>#DIV/0!</v>
      </c>
      <c r="BJ53" s="4761"/>
      <c r="BK53" s="4706"/>
      <c r="BL53" s="4706"/>
      <c r="BM53" s="4760"/>
      <c r="BN53" s="4708" t="e">
        <f t="shared" si="156"/>
        <v>#DIV/0!</v>
      </c>
      <c r="BO53" s="4761"/>
      <c r="BP53" s="4706"/>
      <c r="BQ53" s="4706"/>
      <c r="BR53" s="4760"/>
      <c r="BS53" s="4708" t="e">
        <f t="shared" si="158"/>
        <v>#DIV/0!</v>
      </c>
      <c r="BT53" s="4761"/>
      <c r="BU53" s="4706"/>
      <c r="BV53" s="4706"/>
      <c r="BW53" s="4760"/>
      <c r="BX53" s="4708" t="e">
        <f t="shared" si="160"/>
        <v>#DIV/0!</v>
      </c>
      <c r="BY53" s="4761"/>
      <c r="BZ53" s="4706"/>
      <c r="CA53" s="4706"/>
      <c r="CB53" s="4760"/>
      <c r="CC53" s="4708" t="e">
        <f t="shared" si="162"/>
        <v>#DIV/0!</v>
      </c>
      <c r="CD53" s="4761"/>
      <c r="CE53" s="4706"/>
      <c r="CF53" s="4706"/>
      <c r="CG53" s="4760"/>
      <c r="CH53" s="4708" t="e">
        <f t="shared" si="164"/>
        <v>#DIV/0!</v>
      </c>
      <c r="CI53" s="4761"/>
      <c r="CJ53" s="4706">
        <f t="shared" si="165"/>
        <v>0</v>
      </c>
      <c r="CK53" s="4706">
        <f t="shared" si="165"/>
        <v>0</v>
      </c>
      <c r="CL53" s="4760"/>
      <c r="CM53" s="4760"/>
      <c r="CN53" s="4760"/>
      <c r="CP53" s="4766"/>
      <c r="CQ53" s="4766"/>
      <c r="CR53" s="4614"/>
    </row>
    <row r="54" spans="1:98" ht="13.8" outlineLevel="1">
      <c r="A54" s="1570"/>
      <c r="B54" s="1410" t="s">
        <v>1</v>
      </c>
      <c r="C54" s="2015">
        <f>SUM(C55:C72)</f>
        <v>0</v>
      </c>
      <c r="D54" s="2015">
        <f>SUM(D55:D72)</f>
        <v>0</v>
      </c>
      <c r="E54" s="2014">
        <f>SUM(E55:E72)</f>
        <v>0</v>
      </c>
      <c r="F54" s="4749" t="e">
        <f t="shared" si="133"/>
        <v>#DIV/0!</v>
      </c>
      <c r="G54" s="1057"/>
      <c r="H54" s="2015">
        <f>SUM(H55:H72)</f>
        <v>0</v>
      </c>
      <c r="I54" s="2015">
        <f>SUM(I55:I72)</f>
        <v>0</v>
      </c>
      <c r="J54" s="2014">
        <f>SUM(J55:J72)</f>
        <v>0</v>
      </c>
      <c r="K54" s="4749" t="e">
        <f t="shared" si="166"/>
        <v>#DIV/0!</v>
      </c>
      <c r="L54" s="1057"/>
      <c r="M54" s="2015">
        <f>SUM(M55:M72)</f>
        <v>0</v>
      </c>
      <c r="N54" s="2015">
        <f>SUM(N55:N72)</f>
        <v>0</v>
      </c>
      <c r="O54" s="2014">
        <f>SUM(O55:O72)</f>
        <v>0</v>
      </c>
      <c r="P54" s="4749" t="e">
        <f t="shared" ref="P54" si="167">O54/$E$89</f>
        <v>#DIV/0!</v>
      </c>
      <c r="Q54" s="1057"/>
      <c r="R54" s="2013">
        <f>SUM(R55:R72)</f>
        <v>0</v>
      </c>
      <c r="S54" s="2013">
        <f>SUM(S55:S72)</f>
        <v>0</v>
      </c>
      <c r="T54" s="2013">
        <f>SUM(T55:T72)</f>
        <v>0</v>
      </c>
      <c r="U54" s="1535"/>
      <c r="V54" s="3460"/>
      <c r="W54" s="2013">
        <f>SUM(W55:W72)</f>
        <v>1689839.31</v>
      </c>
      <c r="X54" s="2013">
        <f>SUM(X55:X72)</f>
        <v>694983.31359999999</v>
      </c>
      <c r="Y54" s="2013">
        <f>SUM(Y55:Y72)</f>
        <v>2384822.6236</v>
      </c>
      <c r="Z54" s="1535"/>
      <c r="AA54" s="3460"/>
      <c r="AB54" s="2013">
        <f>SUM(AB55:AB72)</f>
        <v>304412.53999999998</v>
      </c>
      <c r="AC54" s="2013">
        <f>SUM(AC55:AC72)</f>
        <v>112724.45879999999</v>
      </c>
      <c r="AD54" s="2013">
        <f>SUM(AD55:AD72)</f>
        <v>417136.9988</v>
      </c>
      <c r="AE54" s="1535"/>
      <c r="AF54" s="3800"/>
      <c r="AG54" s="2013">
        <f>SUM(AG55:AG72)</f>
        <v>287634.16000000003</v>
      </c>
      <c r="AH54" s="2013">
        <f>SUM(AH55:AH72)</f>
        <v>108258.8548</v>
      </c>
      <c r="AI54" s="2013">
        <f>SUM(AI55:AI72)</f>
        <v>395893.0148</v>
      </c>
      <c r="AJ54" s="1535"/>
      <c r="AK54" s="3735"/>
      <c r="AL54" s="2013">
        <f>SUM(AL55:AL72)</f>
        <v>279716.61</v>
      </c>
      <c r="AM54" s="2013">
        <f>SUM(AM55:AM72)</f>
        <v>108425</v>
      </c>
      <c r="AN54" s="2013">
        <f>SUM(AN55:AN72)</f>
        <v>388141.61</v>
      </c>
      <c r="AO54" s="1535"/>
      <c r="AP54" s="3782"/>
      <c r="AQ54" s="2013">
        <f>SUM(AQ55:AQ72)</f>
        <v>273665.24</v>
      </c>
      <c r="AR54" s="2013">
        <f>SUM(AR55:AR72)</f>
        <v>108150</v>
      </c>
      <c r="AS54" s="2013">
        <f>SUM(AS55:AS72)</f>
        <v>381815.24</v>
      </c>
      <c r="AT54" s="1535"/>
      <c r="AU54" s="3782"/>
      <c r="AV54" s="2013">
        <f>SUM(AV55:AV72)</f>
        <v>246905.26</v>
      </c>
      <c r="AW54" s="2013">
        <f>SUM(AW55:AW72)</f>
        <v>120600</v>
      </c>
      <c r="AX54" s="2013">
        <f>SUM(AX55:AX72)</f>
        <v>367505.26</v>
      </c>
      <c r="AY54" s="1535"/>
      <c r="AZ54" s="3735"/>
      <c r="BA54" s="2013">
        <f>SUM(BA55:BA72)</f>
        <v>297505.5</v>
      </c>
      <c r="BB54" s="2013">
        <f>SUM(BB55:BB72)</f>
        <v>136825</v>
      </c>
      <c r="BC54" s="2013">
        <f>SUM(BC55:BC72)</f>
        <v>434330.50000000006</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1689839.31</v>
      </c>
      <c r="CK54" s="2013">
        <f>SUM(CK55:CK72)</f>
        <v>694983.31359999999</v>
      </c>
      <c r="CL54" s="2013">
        <f>SUM(CL55:CL72)</f>
        <v>2384822.6236</v>
      </c>
      <c r="CM54" s="1535">
        <f t="shared" ref="CM54:CM71" si="168">CL54/$CL$89</f>
        <v>0.62521003994863522</v>
      </c>
      <c r="CN54" s="1061"/>
      <c r="CP54" s="2015">
        <f>SUM(CP55:CP72)</f>
        <v>0</v>
      </c>
      <c r="CQ54" s="2015">
        <f>SUM(CQ55:CQ72)</f>
        <v>0</v>
      </c>
      <c r="CR54" s="2015"/>
    </row>
    <row r="55" spans="1:98" ht="26.4" outlineLevel="2">
      <c r="A55" s="1571"/>
      <c r="B55" s="4728" t="s">
        <v>77</v>
      </c>
      <c r="C55" s="3349"/>
      <c r="D55" s="3349"/>
      <c r="E55" s="3349">
        <f t="shared" ref="E55:E71" si="169">C55+D55</f>
        <v>0</v>
      </c>
      <c r="F55" s="4697" t="e">
        <f t="shared" si="133"/>
        <v>#DIV/0!</v>
      </c>
      <c r="G55" s="4751"/>
      <c r="H55" s="3349"/>
      <c r="I55" s="3349"/>
      <c r="J55" s="3349">
        <f t="shared" ref="J55:J71" si="170">H55+I55</f>
        <v>0</v>
      </c>
      <c r="K55" s="4697" t="e">
        <f t="shared" ref="K55:K72" si="171">J55/J$89</f>
        <v>#DIV/0!</v>
      </c>
      <c r="L55" s="4751"/>
      <c r="M55" s="3349"/>
      <c r="N55" s="3349"/>
      <c r="O55" s="3349">
        <f t="shared" ref="O55:O71" si="172">M55+N55</f>
        <v>0</v>
      </c>
      <c r="P55" s="4697" t="e">
        <f t="shared" ref="P55:P72" si="173">O55/O$89</f>
        <v>#DIV/0!</v>
      </c>
      <c r="Q55" s="4751"/>
      <c r="R55" s="3342">
        <f t="shared" ref="R55:S71" si="174">M55+H55+C55</f>
        <v>0</v>
      </c>
      <c r="S55" s="3342">
        <f t="shared" si="174"/>
        <v>0</v>
      </c>
      <c r="T55" s="2012">
        <f t="shared" ref="T55:T71" si="175">R55+S55</f>
        <v>0</v>
      </c>
      <c r="U55" s="3462"/>
      <c r="V55" s="3462"/>
      <c r="W55" s="3342">
        <f t="shared" ref="W55:X71" si="176">AB55+AG55+AL55+AV55+BA55+BF55+BK55+BP55+BU55+BZ55+CE55+AQ55</f>
        <v>442134.98000000004</v>
      </c>
      <c r="X55" s="3342">
        <f t="shared" si="176"/>
        <v>685000</v>
      </c>
      <c r="Y55" s="2012">
        <f t="shared" ref="Y55:Y71" si="177">W55+X55</f>
        <v>1127134.98</v>
      </c>
      <c r="Z55" s="3462"/>
      <c r="AA55" s="3462"/>
      <c r="AB55" s="3349">
        <f>74753.51+1501.32</f>
        <v>76254.83</v>
      </c>
      <c r="AC55" s="3349">
        <f>17100+18800+14800+12700+18900+19600+9600</f>
        <v>111500</v>
      </c>
      <c r="AD55" s="3349">
        <f t="shared" ref="AD55:AD71" si="178">AB55+AC55</f>
        <v>187754.83000000002</v>
      </c>
      <c r="AE55" s="4697">
        <f t="shared" ref="AE55:AE71" si="179">AD55/AD$89</f>
        <v>0.24550674113592344</v>
      </c>
      <c r="AF55" s="3436" t="s">
        <v>1900</v>
      </c>
      <c r="AG55" s="2045">
        <f>79971.63+825.68</f>
        <v>80797.31</v>
      </c>
      <c r="AH55" s="2045">
        <f>12700+19600+14700+9500+18700+17000+14750</f>
        <v>106950</v>
      </c>
      <c r="AI55" s="3349">
        <f t="shared" ref="AI55:AI71" si="180">AG55+AH55</f>
        <v>187747.31</v>
      </c>
      <c r="AJ55" s="4697">
        <f t="shared" ref="AJ55:AJ71" si="181">AI55/AI$89</f>
        <v>0.30458310369897901</v>
      </c>
      <c r="AK55" s="3436" t="s">
        <v>1900</v>
      </c>
      <c r="AL55" s="3349">
        <v>74729.62</v>
      </c>
      <c r="AM55" s="3349">
        <f>17600+27600+21700+9500+17000+14750</f>
        <v>108150</v>
      </c>
      <c r="AN55" s="3349">
        <f t="shared" ref="AN55:AN71" si="182">AL55+AM55</f>
        <v>182879.62</v>
      </c>
      <c r="AO55" s="4697">
        <f t="shared" ref="AO55:AO71" si="183">AN55/AN$89</f>
        <v>0.27119632775163321</v>
      </c>
      <c r="AP55" s="3436" t="s">
        <v>1975</v>
      </c>
      <c r="AQ55" s="3349">
        <v>65638.710000000006</v>
      </c>
      <c r="AR55" s="3349">
        <f>17600+27600+21700+9500+17000+14750</f>
        <v>108150</v>
      </c>
      <c r="AS55" s="3349">
        <f t="shared" ref="AS55:AS71" si="184">AQ55+AR55</f>
        <v>173788.71000000002</v>
      </c>
      <c r="AT55" s="4697">
        <f t="shared" ref="AT55:AT71" si="185">AS55/AS$89</f>
        <v>0.3102065483929583</v>
      </c>
      <c r="AU55" s="3436" t="s">
        <v>2053</v>
      </c>
      <c r="AV55" s="3349">
        <v>70145.14</v>
      </c>
      <c r="AW55" s="3349">
        <v>117600</v>
      </c>
      <c r="AX55" s="3349">
        <f t="shared" ref="AX55:AX71" si="186">AV55+AW55</f>
        <v>187745.14</v>
      </c>
      <c r="AY55" s="4697">
        <f t="shared" ref="AY55:AY71" si="187">AX55/AX$89</f>
        <v>0.35716591907213091</v>
      </c>
      <c r="AZ55" s="3436" t="s">
        <v>2053</v>
      </c>
      <c r="BA55" s="3349">
        <v>74569.37</v>
      </c>
      <c r="BB55" s="3349">
        <v>132650</v>
      </c>
      <c r="BC55" s="3349">
        <f t="shared" ref="BC55:BC71" si="188">BA55+BB55</f>
        <v>207219.37</v>
      </c>
      <c r="BD55" s="4697">
        <f t="shared" ref="BD55:BD71" si="189">BC55/BC$89</f>
        <v>0.30789005218920085</v>
      </c>
      <c r="BE55" s="3436" t="s">
        <v>2171</v>
      </c>
      <c r="BF55" s="3349"/>
      <c r="BG55" s="3349"/>
      <c r="BH55" s="3349">
        <f t="shared" ref="BH55:BH71" si="190">BF55+BG55</f>
        <v>0</v>
      </c>
      <c r="BI55" s="4697" t="e">
        <f t="shared" ref="BI55:BI71" si="191">BH55/BH$89</f>
        <v>#DIV/0!</v>
      </c>
      <c r="BJ55" s="4751"/>
      <c r="BK55" s="3349"/>
      <c r="BL55" s="3349"/>
      <c r="BM55" s="3349">
        <f t="shared" ref="BM55:BM71" si="192">BK55+BL55</f>
        <v>0</v>
      </c>
      <c r="BN55" s="4697" t="e">
        <f t="shared" ref="BN55:BN71" si="193">BM55/BM$89</f>
        <v>#DIV/0!</v>
      </c>
      <c r="BO55" s="4751"/>
      <c r="BP55" s="3349"/>
      <c r="BQ55" s="3349"/>
      <c r="BR55" s="3349">
        <f t="shared" ref="BR55:BR71" si="194">BP55+BQ55</f>
        <v>0</v>
      </c>
      <c r="BS55" s="4697" t="e">
        <f t="shared" ref="BS55:BS71" si="195">BR55/BR$89</f>
        <v>#DIV/0!</v>
      </c>
      <c r="BT55" s="4751"/>
      <c r="BU55" s="3349"/>
      <c r="BV55" s="3349"/>
      <c r="BW55" s="3349">
        <f t="shared" ref="BW55:BW71" si="196">BU55+BV55</f>
        <v>0</v>
      </c>
      <c r="BX55" s="4697" t="e">
        <f t="shared" ref="BX55:BX71" si="197">BW55/BW$89</f>
        <v>#DIV/0!</v>
      </c>
      <c r="BY55" s="4751"/>
      <c r="BZ55" s="3349"/>
      <c r="CA55" s="3349"/>
      <c r="CB55" s="3349">
        <f t="shared" ref="CB55:CB71" si="198">BZ55+CA55</f>
        <v>0</v>
      </c>
      <c r="CC55" s="4697" t="e">
        <f t="shared" ref="CC55:CC71" si="199">CB55/CB$89</f>
        <v>#DIV/0!</v>
      </c>
      <c r="CD55" s="4751"/>
      <c r="CE55" s="3349"/>
      <c r="CF55" s="3349"/>
      <c r="CG55" s="3349">
        <f t="shared" ref="CG55:CG71" si="200">CE55+CF55</f>
        <v>0</v>
      </c>
      <c r="CH55" s="4697" t="e">
        <f t="shared" ref="CH55:CH71" si="201">CG55/CG$89</f>
        <v>#DIV/0!</v>
      </c>
      <c r="CI55" s="4751"/>
      <c r="CJ55" s="3341">
        <f t="shared" ref="CJ55:CK71" si="202">C55+H55+M55+W55</f>
        <v>442134.98000000004</v>
      </c>
      <c r="CK55" s="3341">
        <f t="shared" si="202"/>
        <v>685000</v>
      </c>
      <c r="CL55" s="2012">
        <f t="shared" ref="CL55:CL71" si="203">CJ55+CK55*1</f>
        <v>1127134.98</v>
      </c>
      <c r="CM55" s="4697">
        <f t="shared" si="168"/>
        <v>0.2954920415882053</v>
      </c>
      <c r="CN55" s="4699"/>
      <c r="CP55" s="2012">
        <f t="shared" ref="CP55:CQ71" si="204">CN55+CO55*1</f>
        <v>0</v>
      </c>
      <c r="CQ55" s="2012">
        <f t="shared" si="204"/>
        <v>0</v>
      </c>
      <c r="CR55" s="4614"/>
    </row>
    <row r="56" spans="1:98" ht="13.8" outlineLevel="2">
      <c r="A56" s="1571"/>
      <c r="B56" s="4728" t="s">
        <v>76</v>
      </c>
      <c r="C56" s="3349"/>
      <c r="D56" s="3349"/>
      <c r="E56" s="3349">
        <f t="shared" si="169"/>
        <v>0</v>
      </c>
      <c r="F56" s="4697" t="e">
        <f t="shared" si="133"/>
        <v>#DIV/0!</v>
      </c>
      <c r="G56" s="4751"/>
      <c r="H56" s="3349"/>
      <c r="I56" s="3349"/>
      <c r="J56" s="3349">
        <f t="shared" si="170"/>
        <v>0</v>
      </c>
      <c r="K56" s="4697" t="e">
        <f t="shared" si="171"/>
        <v>#DIV/0!</v>
      </c>
      <c r="L56" s="4751"/>
      <c r="M56" s="3349"/>
      <c r="N56" s="3349"/>
      <c r="O56" s="3349">
        <f t="shared" si="172"/>
        <v>0</v>
      </c>
      <c r="P56" s="4697" t="e">
        <f t="shared" si="173"/>
        <v>#DIV/0!</v>
      </c>
      <c r="Q56" s="4751"/>
      <c r="R56" s="3342">
        <f t="shared" si="174"/>
        <v>0</v>
      </c>
      <c r="S56" s="3342">
        <f t="shared" si="174"/>
        <v>0</v>
      </c>
      <c r="T56" s="2012">
        <f t="shared" si="175"/>
        <v>0</v>
      </c>
      <c r="U56" s="3462"/>
      <c r="V56" s="3462"/>
      <c r="W56" s="3342">
        <f t="shared" si="176"/>
        <v>114156.67000000001</v>
      </c>
      <c r="X56" s="3342">
        <f t="shared" si="176"/>
        <v>0</v>
      </c>
      <c r="Y56" s="2012">
        <f t="shared" si="177"/>
        <v>114156.67000000001</v>
      </c>
      <c r="Z56" s="3462"/>
      <c r="AA56" s="3462"/>
      <c r="AB56" s="3349">
        <f>20308.53+363.68</f>
        <v>20672.21</v>
      </c>
      <c r="AC56" s="3349"/>
      <c r="AD56" s="3349">
        <f t="shared" si="178"/>
        <v>20672.21</v>
      </c>
      <c r="AE56" s="4697">
        <f t="shared" si="179"/>
        <v>2.7030819442447618E-2</v>
      </c>
      <c r="AF56" s="4752"/>
      <c r="AG56" s="2045">
        <f>21124.56+86.26</f>
        <v>21210.82</v>
      </c>
      <c r="AH56" s="2045"/>
      <c r="AI56" s="3349">
        <f t="shared" si="180"/>
        <v>21210.82</v>
      </c>
      <c r="AJ56" s="4697">
        <f t="shared" si="181"/>
        <v>3.4410385893680062E-2</v>
      </c>
      <c r="AK56" s="4751"/>
      <c r="AL56" s="3349">
        <v>18029.54</v>
      </c>
      <c r="AM56" s="3349"/>
      <c r="AN56" s="3349">
        <f t="shared" si="182"/>
        <v>18029.54</v>
      </c>
      <c r="AO56" s="4697">
        <f t="shared" si="183"/>
        <v>2.6736412942301505E-2</v>
      </c>
      <c r="AP56" s="4753"/>
      <c r="AQ56" s="3349">
        <v>16881.990000000002</v>
      </c>
      <c r="AR56" s="3349"/>
      <c r="AS56" s="3349">
        <f t="shared" si="184"/>
        <v>16881.990000000002</v>
      </c>
      <c r="AT56" s="4697">
        <f t="shared" si="185"/>
        <v>3.0133740263705494E-2</v>
      </c>
      <c r="AU56" s="4753"/>
      <c r="AV56" s="3349">
        <v>18076.5</v>
      </c>
      <c r="AW56" s="3349"/>
      <c r="AX56" s="3349">
        <f t="shared" si="186"/>
        <v>18076.5</v>
      </c>
      <c r="AY56" s="4697">
        <f t="shared" si="187"/>
        <v>3.4388691691872156E-2</v>
      </c>
      <c r="AZ56" s="4751"/>
      <c r="BA56" s="3349">
        <v>19285.61</v>
      </c>
      <c r="BB56" s="3349"/>
      <c r="BC56" s="3349">
        <f t="shared" si="188"/>
        <v>19285.61</v>
      </c>
      <c r="BD56" s="4697">
        <f t="shared" si="189"/>
        <v>2.8654886217444702E-2</v>
      </c>
      <c r="BE56" s="4751"/>
      <c r="BF56" s="3349"/>
      <c r="BG56" s="3349"/>
      <c r="BH56" s="3349">
        <f t="shared" si="190"/>
        <v>0</v>
      </c>
      <c r="BI56" s="4697" t="e">
        <f t="shared" si="191"/>
        <v>#DIV/0!</v>
      </c>
      <c r="BJ56" s="4751"/>
      <c r="BK56" s="3349"/>
      <c r="BL56" s="3349"/>
      <c r="BM56" s="3349">
        <f t="shared" si="192"/>
        <v>0</v>
      </c>
      <c r="BN56" s="4697" t="e">
        <f t="shared" si="193"/>
        <v>#DIV/0!</v>
      </c>
      <c r="BO56" s="4751"/>
      <c r="BP56" s="3349"/>
      <c r="BQ56" s="3349"/>
      <c r="BR56" s="3349">
        <f t="shared" si="194"/>
        <v>0</v>
      </c>
      <c r="BS56" s="4697" t="e">
        <f t="shared" si="195"/>
        <v>#DIV/0!</v>
      </c>
      <c r="BT56" s="4751"/>
      <c r="BU56" s="3349"/>
      <c r="BV56" s="3349"/>
      <c r="BW56" s="3349">
        <f t="shared" si="196"/>
        <v>0</v>
      </c>
      <c r="BX56" s="4697" t="e">
        <f t="shared" si="197"/>
        <v>#DIV/0!</v>
      </c>
      <c r="BY56" s="4751"/>
      <c r="BZ56" s="3349"/>
      <c r="CA56" s="3349"/>
      <c r="CB56" s="3349">
        <f t="shared" si="198"/>
        <v>0</v>
      </c>
      <c r="CC56" s="4697" t="e">
        <f t="shared" si="199"/>
        <v>#DIV/0!</v>
      </c>
      <c r="CD56" s="4751"/>
      <c r="CE56" s="3349"/>
      <c r="CF56" s="3349"/>
      <c r="CG56" s="3349">
        <f t="shared" si="200"/>
        <v>0</v>
      </c>
      <c r="CH56" s="4697" t="e">
        <f t="shared" si="201"/>
        <v>#DIV/0!</v>
      </c>
      <c r="CI56" s="4751"/>
      <c r="CJ56" s="3341">
        <f t="shared" si="202"/>
        <v>114156.67000000001</v>
      </c>
      <c r="CK56" s="3341">
        <f t="shared" si="202"/>
        <v>0</v>
      </c>
      <c r="CL56" s="2012">
        <f t="shared" si="203"/>
        <v>114156.67000000001</v>
      </c>
      <c r="CM56" s="4697">
        <f t="shared" si="168"/>
        <v>2.9927549120346737E-2</v>
      </c>
      <c r="CN56" s="4699"/>
      <c r="CP56" s="2012">
        <f t="shared" si="204"/>
        <v>0</v>
      </c>
      <c r="CQ56" s="2012">
        <f t="shared" si="204"/>
        <v>0</v>
      </c>
      <c r="CR56" s="4614"/>
    </row>
    <row r="57" spans="1:98" ht="13.8" outlineLevel="2">
      <c r="A57" s="1571"/>
      <c r="B57" s="4728" t="s">
        <v>68</v>
      </c>
      <c r="C57" s="3349"/>
      <c r="D57" s="3349"/>
      <c r="E57" s="3349">
        <f t="shared" si="169"/>
        <v>0</v>
      </c>
      <c r="F57" s="4697" t="e">
        <f t="shared" si="133"/>
        <v>#DIV/0!</v>
      </c>
      <c r="G57" s="4751"/>
      <c r="H57" s="3349"/>
      <c r="I57" s="3349"/>
      <c r="J57" s="3349">
        <f t="shared" si="170"/>
        <v>0</v>
      </c>
      <c r="K57" s="4697" t="e">
        <f t="shared" si="171"/>
        <v>#DIV/0!</v>
      </c>
      <c r="L57" s="4751"/>
      <c r="M57" s="3349"/>
      <c r="N57" s="3349"/>
      <c r="O57" s="3349">
        <f t="shared" si="172"/>
        <v>0</v>
      </c>
      <c r="P57" s="4697" t="e">
        <f t="shared" si="173"/>
        <v>#DIV/0!</v>
      </c>
      <c r="Q57" s="4751"/>
      <c r="R57" s="3342">
        <f t="shared" si="174"/>
        <v>0</v>
      </c>
      <c r="S57" s="3342">
        <f t="shared" si="174"/>
        <v>0</v>
      </c>
      <c r="T57" s="2012">
        <f t="shared" si="175"/>
        <v>0</v>
      </c>
      <c r="U57" s="3462"/>
      <c r="V57" s="3462"/>
      <c r="W57" s="3342">
        <f t="shared" si="176"/>
        <v>108329.55</v>
      </c>
      <c r="X57" s="3342">
        <f t="shared" si="176"/>
        <v>0</v>
      </c>
      <c r="Y57" s="2012">
        <f t="shared" si="177"/>
        <v>108329.55</v>
      </c>
      <c r="Z57" s="3462"/>
      <c r="AA57" s="3462"/>
      <c r="AB57" s="3349">
        <f>18107.99+156.85</f>
        <v>18264.84</v>
      </c>
      <c r="AC57" s="3349"/>
      <c r="AD57" s="3349">
        <f t="shared" si="178"/>
        <v>18264.84</v>
      </c>
      <c r="AE57" s="4697">
        <f t="shared" si="179"/>
        <v>2.3882961337234623E-2</v>
      </c>
      <c r="AF57" s="4752"/>
      <c r="AG57" s="2045">
        <f>19372.01+200.01</f>
        <v>19572.019999999997</v>
      </c>
      <c r="AH57" s="2045"/>
      <c r="AI57" s="3349">
        <f t="shared" si="180"/>
        <v>19572.019999999997</v>
      </c>
      <c r="AJ57" s="4697">
        <f t="shared" si="181"/>
        <v>3.1751755043832527E-2</v>
      </c>
      <c r="AK57" s="4751"/>
      <c r="AL57" s="3349">
        <v>19537.560000000001</v>
      </c>
      <c r="AM57" s="3349"/>
      <c r="AN57" s="3349">
        <f t="shared" si="182"/>
        <v>19537.560000000001</v>
      </c>
      <c r="AO57" s="4697">
        <f t="shared" si="183"/>
        <v>2.8972689932465955E-2</v>
      </c>
      <c r="AP57" s="4753"/>
      <c r="AQ57" s="3349">
        <v>15900.06</v>
      </c>
      <c r="AR57" s="3349"/>
      <c r="AS57" s="3349">
        <f t="shared" si="184"/>
        <v>15900.06</v>
      </c>
      <c r="AT57" s="4697">
        <f t="shared" si="185"/>
        <v>2.8381030803674989E-2</v>
      </c>
      <c r="AU57" s="4753"/>
      <c r="AV57" s="3349">
        <v>16991.68</v>
      </c>
      <c r="AW57" s="3349"/>
      <c r="AX57" s="3349">
        <f t="shared" si="186"/>
        <v>16991.68</v>
      </c>
      <c r="AY57" s="4697">
        <f t="shared" si="187"/>
        <v>3.232493263889305E-2</v>
      </c>
      <c r="AZ57" s="4751"/>
      <c r="BA57" s="3349">
        <v>18063.39</v>
      </c>
      <c r="BB57" s="3349"/>
      <c r="BC57" s="3349">
        <f t="shared" si="188"/>
        <v>18063.39</v>
      </c>
      <c r="BD57" s="4697">
        <f t="shared" si="189"/>
        <v>2.6838891025553684E-2</v>
      </c>
      <c r="BE57" s="4751"/>
      <c r="BF57" s="3349"/>
      <c r="BG57" s="3349"/>
      <c r="BH57" s="3349">
        <f t="shared" si="190"/>
        <v>0</v>
      </c>
      <c r="BI57" s="4697" t="e">
        <f t="shared" si="191"/>
        <v>#DIV/0!</v>
      </c>
      <c r="BJ57" s="4751"/>
      <c r="BK57" s="3349"/>
      <c r="BL57" s="3349"/>
      <c r="BM57" s="3349">
        <f t="shared" si="192"/>
        <v>0</v>
      </c>
      <c r="BN57" s="4697" t="e">
        <f t="shared" si="193"/>
        <v>#DIV/0!</v>
      </c>
      <c r="BO57" s="4751"/>
      <c r="BP57" s="3349"/>
      <c r="BQ57" s="3349"/>
      <c r="BR57" s="3349">
        <f t="shared" si="194"/>
        <v>0</v>
      </c>
      <c r="BS57" s="4697" t="e">
        <f t="shared" si="195"/>
        <v>#DIV/0!</v>
      </c>
      <c r="BT57" s="4751"/>
      <c r="BU57" s="3349"/>
      <c r="BV57" s="3349"/>
      <c r="BW57" s="3349">
        <f t="shared" si="196"/>
        <v>0</v>
      </c>
      <c r="BX57" s="4697" t="e">
        <f t="shared" si="197"/>
        <v>#DIV/0!</v>
      </c>
      <c r="BY57" s="4751"/>
      <c r="BZ57" s="3349"/>
      <c r="CA57" s="3349"/>
      <c r="CB57" s="3349">
        <f t="shared" si="198"/>
        <v>0</v>
      </c>
      <c r="CC57" s="4697" t="e">
        <f t="shared" si="199"/>
        <v>#DIV/0!</v>
      </c>
      <c r="CD57" s="4751"/>
      <c r="CE57" s="3349"/>
      <c r="CF57" s="3349"/>
      <c r="CG57" s="3349">
        <f t="shared" si="200"/>
        <v>0</v>
      </c>
      <c r="CH57" s="4697" t="e">
        <f t="shared" si="201"/>
        <v>#DIV/0!</v>
      </c>
      <c r="CI57" s="4751"/>
      <c r="CJ57" s="3341">
        <f t="shared" si="202"/>
        <v>108329.55</v>
      </c>
      <c r="CK57" s="3341">
        <f t="shared" si="202"/>
        <v>0</v>
      </c>
      <c r="CL57" s="2012">
        <f t="shared" si="203"/>
        <v>108329.55</v>
      </c>
      <c r="CM57" s="4697">
        <f t="shared" si="168"/>
        <v>2.8399899268348117E-2</v>
      </c>
      <c r="CN57" s="4699"/>
      <c r="CP57" s="2012">
        <f t="shared" si="204"/>
        <v>0</v>
      </c>
      <c r="CQ57" s="2012">
        <f t="shared" si="204"/>
        <v>0</v>
      </c>
      <c r="CR57" s="4614"/>
    </row>
    <row r="58" spans="1:98" ht="13.8" outlineLevel="2">
      <c r="A58" s="1571"/>
      <c r="B58" s="4728" t="s">
        <v>67</v>
      </c>
      <c r="C58" s="3349"/>
      <c r="D58" s="3349"/>
      <c r="E58" s="3349">
        <f t="shared" si="169"/>
        <v>0</v>
      </c>
      <c r="F58" s="4697" t="e">
        <f t="shared" si="133"/>
        <v>#DIV/0!</v>
      </c>
      <c r="G58" s="4751"/>
      <c r="H58" s="3349"/>
      <c r="I58" s="3349"/>
      <c r="J58" s="3349">
        <f t="shared" si="170"/>
        <v>0</v>
      </c>
      <c r="K58" s="4697" t="e">
        <f t="shared" si="171"/>
        <v>#DIV/0!</v>
      </c>
      <c r="L58" s="4751"/>
      <c r="M58" s="3349"/>
      <c r="N58" s="3349"/>
      <c r="O58" s="3349">
        <f t="shared" si="172"/>
        <v>0</v>
      </c>
      <c r="P58" s="4697" t="e">
        <f t="shared" si="173"/>
        <v>#DIV/0!</v>
      </c>
      <c r="Q58" s="4751"/>
      <c r="R58" s="3342">
        <f t="shared" si="174"/>
        <v>0</v>
      </c>
      <c r="S58" s="3342">
        <f t="shared" si="174"/>
        <v>0</v>
      </c>
      <c r="T58" s="2012">
        <f t="shared" si="175"/>
        <v>0</v>
      </c>
      <c r="U58" s="3462"/>
      <c r="V58" s="3462"/>
      <c r="W58" s="3342">
        <f t="shared" si="176"/>
        <v>0</v>
      </c>
      <c r="X58" s="3342">
        <f t="shared" si="176"/>
        <v>0</v>
      </c>
      <c r="Y58" s="2012">
        <f t="shared" si="177"/>
        <v>0</v>
      </c>
      <c r="Z58" s="3462"/>
      <c r="AA58" s="3462"/>
      <c r="AB58" s="3349"/>
      <c r="AC58" s="3349"/>
      <c r="AD58" s="3349">
        <f t="shared" si="178"/>
        <v>0</v>
      </c>
      <c r="AE58" s="4697">
        <f t="shared" si="179"/>
        <v>0</v>
      </c>
      <c r="AF58" s="4752"/>
      <c r="AG58" s="2045"/>
      <c r="AH58" s="2045"/>
      <c r="AI58" s="3349">
        <f t="shared" si="180"/>
        <v>0</v>
      </c>
      <c r="AJ58" s="4697">
        <f t="shared" si="181"/>
        <v>0</v>
      </c>
      <c r="AK58" s="4751"/>
      <c r="AL58" s="3349"/>
      <c r="AM58" s="3349"/>
      <c r="AN58" s="3349">
        <f t="shared" si="182"/>
        <v>0</v>
      </c>
      <c r="AO58" s="4697">
        <f t="shared" si="183"/>
        <v>0</v>
      </c>
      <c r="AP58" s="4753"/>
      <c r="AQ58" s="3349"/>
      <c r="AR58" s="3349"/>
      <c r="AS58" s="3349">
        <f t="shared" si="184"/>
        <v>0</v>
      </c>
      <c r="AT58" s="4697">
        <f t="shared" si="185"/>
        <v>0</v>
      </c>
      <c r="AU58" s="4753"/>
      <c r="AV58" s="3349"/>
      <c r="AW58" s="3349"/>
      <c r="AX58" s="3349">
        <f t="shared" si="186"/>
        <v>0</v>
      </c>
      <c r="AY58" s="4697">
        <f t="shared" si="187"/>
        <v>0</v>
      </c>
      <c r="AZ58" s="4751"/>
      <c r="BA58" s="3349"/>
      <c r="BB58" s="3349"/>
      <c r="BC58" s="3349">
        <f t="shared" si="188"/>
        <v>0</v>
      </c>
      <c r="BD58" s="4697">
        <f t="shared" si="189"/>
        <v>0</v>
      </c>
      <c r="BE58" s="4751"/>
      <c r="BF58" s="3349"/>
      <c r="BG58" s="3349"/>
      <c r="BH58" s="3349">
        <f t="shared" si="190"/>
        <v>0</v>
      </c>
      <c r="BI58" s="4697" t="e">
        <f t="shared" si="191"/>
        <v>#DIV/0!</v>
      </c>
      <c r="BJ58" s="4751"/>
      <c r="BK58" s="3349"/>
      <c r="BL58" s="3349"/>
      <c r="BM58" s="3349">
        <f t="shared" si="192"/>
        <v>0</v>
      </c>
      <c r="BN58" s="4697" t="e">
        <f t="shared" si="193"/>
        <v>#DIV/0!</v>
      </c>
      <c r="BO58" s="4751"/>
      <c r="BP58" s="3349"/>
      <c r="BQ58" s="3349"/>
      <c r="BR58" s="3349">
        <f t="shared" si="194"/>
        <v>0</v>
      </c>
      <c r="BS58" s="4697" t="e">
        <f t="shared" si="195"/>
        <v>#DIV/0!</v>
      </c>
      <c r="BT58" s="4751"/>
      <c r="BU58" s="3349"/>
      <c r="BV58" s="3349"/>
      <c r="BW58" s="3349">
        <f t="shared" si="196"/>
        <v>0</v>
      </c>
      <c r="BX58" s="4697" t="e">
        <f t="shared" si="197"/>
        <v>#DIV/0!</v>
      </c>
      <c r="BY58" s="4751"/>
      <c r="BZ58" s="3349"/>
      <c r="CA58" s="3349"/>
      <c r="CB58" s="3349">
        <f t="shared" si="198"/>
        <v>0</v>
      </c>
      <c r="CC58" s="4697" t="e">
        <f t="shared" si="199"/>
        <v>#DIV/0!</v>
      </c>
      <c r="CD58" s="4751"/>
      <c r="CE58" s="3349"/>
      <c r="CF58" s="3349"/>
      <c r="CG58" s="3349">
        <f t="shared" si="200"/>
        <v>0</v>
      </c>
      <c r="CH58" s="4697" t="e">
        <f t="shared" si="201"/>
        <v>#DIV/0!</v>
      </c>
      <c r="CI58" s="4751"/>
      <c r="CJ58" s="3341">
        <f t="shared" si="202"/>
        <v>0</v>
      </c>
      <c r="CK58" s="3341">
        <f t="shared" si="202"/>
        <v>0</v>
      </c>
      <c r="CL58" s="2012">
        <f t="shared" si="203"/>
        <v>0</v>
      </c>
      <c r="CM58" s="4697">
        <f t="shared" si="168"/>
        <v>0</v>
      </c>
      <c r="CN58" s="4699"/>
      <c r="CP58" s="2012">
        <f t="shared" si="204"/>
        <v>0</v>
      </c>
      <c r="CQ58" s="2012">
        <f t="shared" si="204"/>
        <v>0</v>
      </c>
      <c r="CR58" s="4614"/>
    </row>
    <row r="59" spans="1:98" ht="13.8" outlineLevel="2">
      <c r="A59" s="1571"/>
      <c r="B59" s="4728" t="s">
        <v>66</v>
      </c>
      <c r="C59" s="3349"/>
      <c r="D59" s="3349"/>
      <c r="E59" s="3349">
        <f t="shared" si="169"/>
        <v>0</v>
      </c>
      <c r="F59" s="4697" t="e">
        <f t="shared" si="133"/>
        <v>#DIV/0!</v>
      </c>
      <c r="G59" s="4751"/>
      <c r="H59" s="3349"/>
      <c r="I59" s="3349"/>
      <c r="J59" s="3349">
        <f t="shared" si="170"/>
        <v>0</v>
      </c>
      <c r="K59" s="4697" t="e">
        <f t="shared" si="171"/>
        <v>#DIV/0!</v>
      </c>
      <c r="L59" s="4751"/>
      <c r="M59" s="3349"/>
      <c r="N59" s="3349"/>
      <c r="O59" s="3349">
        <f t="shared" si="172"/>
        <v>0</v>
      </c>
      <c r="P59" s="4697" t="e">
        <f t="shared" si="173"/>
        <v>#DIV/0!</v>
      </c>
      <c r="Q59" s="4751"/>
      <c r="R59" s="3342">
        <f t="shared" si="174"/>
        <v>0</v>
      </c>
      <c r="S59" s="3342">
        <f t="shared" si="174"/>
        <v>0</v>
      </c>
      <c r="T59" s="2012">
        <f t="shared" si="175"/>
        <v>0</v>
      </c>
      <c r="U59" s="3462"/>
      <c r="V59" s="3462"/>
      <c r="W59" s="3342">
        <f t="shared" si="176"/>
        <v>0</v>
      </c>
      <c r="X59" s="3342">
        <f t="shared" si="176"/>
        <v>0</v>
      </c>
      <c r="Y59" s="2012">
        <f t="shared" si="177"/>
        <v>0</v>
      </c>
      <c r="Z59" s="3462"/>
      <c r="AA59" s="3462"/>
      <c r="AB59" s="3349"/>
      <c r="AC59" s="3349"/>
      <c r="AD59" s="3349">
        <f t="shared" si="178"/>
        <v>0</v>
      </c>
      <c r="AE59" s="4697">
        <f t="shared" si="179"/>
        <v>0</v>
      </c>
      <c r="AF59" s="4752"/>
      <c r="AG59" s="3349"/>
      <c r="AH59" s="3349"/>
      <c r="AI59" s="3349">
        <f t="shared" si="180"/>
        <v>0</v>
      </c>
      <c r="AJ59" s="4697">
        <f t="shared" si="181"/>
        <v>0</v>
      </c>
      <c r="AK59" s="4751"/>
      <c r="AL59" s="3349"/>
      <c r="AM59" s="3349"/>
      <c r="AN59" s="3349">
        <f t="shared" si="182"/>
        <v>0</v>
      </c>
      <c r="AO59" s="4697">
        <f t="shared" si="183"/>
        <v>0</v>
      </c>
      <c r="AP59" s="4753"/>
      <c r="AQ59" s="3349"/>
      <c r="AR59" s="3349"/>
      <c r="AS59" s="3349">
        <f t="shared" si="184"/>
        <v>0</v>
      </c>
      <c r="AT59" s="4697">
        <f t="shared" si="185"/>
        <v>0</v>
      </c>
      <c r="AU59" s="4753"/>
      <c r="AV59" s="3349"/>
      <c r="AW59" s="3349"/>
      <c r="AX59" s="3349">
        <f t="shared" si="186"/>
        <v>0</v>
      </c>
      <c r="AY59" s="4697">
        <f t="shared" si="187"/>
        <v>0</v>
      </c>
      <c r="AZ59" s="4751"/>
      <c r="BA59" s="3349"/>
      <c r="BB59" s="3349"/>
      <c r="BC59" s="3349">
        <f t="shared" si="188"/>
        <v>0</v>
      </c>
      <c r="BD59" s="4697">
        <f t="shared" si="189"/>
        <v>0</v>
      </c>
      <c r="BE59" s="4751"/>
      <c r="BF59" s="3349"/>
      <c r="BG59" s="3349"/>
      <c r="BH59" s="3349">
        <f t="shared" si="190"/>
        <v>0</v>
      </c>
      <c r="BI59" s="4697" t="e">
        <f t="shared" si="191"/>
        <v>#DIV/0!</v>
      </c>
      <c r="BJ59" s="4751"/>
      <c r="BK59" s="3349"/>
      <c r="BL59" s="3349"/>
      <c r="BM59" s="3349">
        <f t="shared" si="192"/>
        <v>0</v>
      </c>
      <c r="BN59" s="4697" t="e">
        <f t="shared" si="193"/>
        <v>#DIV/0!</v>
      </c>
      <c r="BO59" s="4751"/>
      <c r="BP59" s="3349"/>
      <c r="BQ59" s="3349"/>
      <c r="BR59" s="3349">
        <f t="shared" si="194"/>
        <v>0</v>
      </c>
      <c r="BS59" s="4697" t="e">
        <f t="shared" si="195"/>
        <v>#DIV/0!</v>
      </c>
      <c r="BT59" s="4751"/>
      <c r="BU59" s="3349"/>
      <c r="BV59" s="3349"/>
      <c r="BW59" s="3349">
        <f t="shared" si="196"/>
        <v>0</v>
      </c>
      <c r="BX59" s="4697" t="e">
        <f t="shared" si="197"/>
        <v>#DIV/0!</v>
      </c>
      <c r="BY59" s="4751"/>
      <c r="BZ59" s="3349"/>
      <c r="CA59" s="3349"/>
      <c r="CB59" s="3349">
        <f t="shared" si="198"/>
        <v>0</v>
      </c>
      <c r="CC59" s="4697" t="e">
        <f t="shared" si="199"/>
        <v>#DIV/0!</v>
      </c>
      <c r="CD59" s="4751"/>
      <c r="CE59" s="3349"/>
      <c r="CF59" s="3349"/>
      <c r="CG59" s="3349">
        <f t="shared" si="200"/>
        <v>0</v>
      </c>
      <c r="CH59" s="4697" t="e">
        <f t="shared" si="201"/>
        <v>#DIV/0!</v>
      </c>
      <c r="CI59" s="4751"/>
      <c r="CJ59" s="3341">
        <f t="shared" si="202"/>
        <v>0</v>
      </c>
      <c r="CK59" s="3341">
        <f t="shared" si="202"/>
        <v>0</v>
      </c>
      <c r="CL59" s="2012">
        <f t="shared" si="203"/>
        <v>0</v>
      </c>
      <c r="CM59" s="4697">
        <f t="shared" si="168"/>
        <v>0</v>
      </c>
      <c r="CN59" s="4699"/>
      <c r="CP59" s="2012">
        <f t="shared" si="204"/>
        <v>0</v>
      </c>
      <c r="CQ59" s="2012">
        <f t="shared" si="204"/>
        <v>0</v>
      </c>
      <c r="CR59" s="4614"/>
    </row>
    <row r="60" spans="1:98" ht="13.8" outlineLevel="2">
      <c r="A60" s="1571"/>
      <c r="B60" s="4728" t="s">
        <v>65</v>
      </c>
      <c r="C60" s="3349"/>
      <c r="D60" s="3349"/>
      <c r="E60" s="3349">
        <f t="shared" si="169"/>
        <v>0</v>
      </c>
      <c r="F60" s="4697" t="e">
        <f t="shared" si="133"/>
        <v>#DIV/0!</v>
      </c>
      <c r="G60" s="4751"/>
      <c r="H60" s="3349"/>
      <c r="I60" s="3349"/>
      <c r="J60" s="3349">
        <f t="shared" si="170"/>
        <v>0</v>
      </c>
      <c r="K60" s="4697" t="e">
        <f t="shared" si="171"/>
        <v>#DIV/0!</v>
      </c>
      <c r="L60" s="4751"/>
      <c r="M60" s="3349"/>
      <c r="N60" s="3349"/>
      <c r="O60" s="3349">
        <f t="shared" si="172"/>
        <v>0</v>
      </c>
      <c r="P60" s="4697" t="e">
        <f t="shared" si="173"/>
        <v>#DIV/0!</v>
      </c>
      <c r="Q60" s="4751"/>
      <c r="R60" s="3342">
        <f t="shared" si="174"/>
        <v>0</v>
      </c>
      <c r="S60" s="3342">
        <f t="shared" si="174"/>
        <v>0</v>
      </c>
      <c r="T60" s="2012">
        <f t="shared" si="175"/>
        <v>0</v>
      </c>
      <c r="U60" s="3462"/>
      <c r="V60" s="3462"/>
      <c r="W60" s="3342">
        <f t="shared" si="176"/>
        <v>0</v>
      </c>
      <c r="X60" s="3342">
        <f t="shared" si="176"/>
        <v>0</v>
      </c>
      <c r="Y60" s="2012">
        <f t="shared" si="177"/>
        <v>0</v>
      </c>
      <c r="Z60" s="3462"/>
      <c r="AA60" s="3462"/>
      <c r="AB60" s="3349"/>
      <c r="AC60" s="3349"/>
      <c r="AD60" s="3349">
        <f t="shared" si="178"/>
        <v>0</v>
      </c>
      <c r="AE60" s="4697">
        <f t="shared" si="179"/>
        <v>0</v>
      </c>
      <c r="AF60" s="4752"/>
      <c r="AG60" s="3349"/>
      <c r="AH60" s="3349"/>
      <c r="AI60" s="3349">
        <f t="shared" si="180"/>
        <v>0</v>
      </c>
      <c r="AJ60" s="4697">
        <f t="shared" si="181"/>
        <v>0</v>
      </c>
      <c r="AK60" s="4751"/>
      <c r="AL60" s="3349"/>
      <c r="AM60" s="3349"/>
      <c r="AN60" s="3349">
        <f t="shared" si="182"/>
        <v>0</v>
      </c>
      <c r="AO60" s="4697">
        <f t="shared" si="183"/>
        <v>0</v>
      </c>
      <c r="AP60" s="4753"/>
      <c r="AQ60" s="3349"/>
      <c r="AR60" s="3349"/>
      <c r="AS60" s="3349">
        <f t="shared" si="184"/>
        <v>0</v>
      </c>
      <c r="AT60" s="4697">
        <f t="shared" si="185"/>
        <v>0</v>
      </c>
      <c r="AU60" s="4753"/>
      <c r="AV60" s="3349"/>
      <c r="AW60" s="3349"/>
      <c r="AX60" s="3349">
        <f t="shared" si="186"/>
        <v>0</v>
      </c>
      <c r="AY60" s="4697">
        <f t="shared" si="187"/>
        <v>0</v>
      </c>
      <c r="AZ60" s="4751"/>
      <c r="BA60" s="3349"/>
      <c r="BB60" s="3349"/>
      <c r="BC60" s="3349">
        <f t="shared" si="188"/>
        <v>0</v>
      </c>
      <c r="BD60" s="4697">
        <f t="shared" si="189"/>
        <v>0</v>
      </c>
      <c r="BE60" s="4751"/>
      <c r="BF60" s="3349"/>
      <c r="BG60" s="3349"/>
      <c r="BH60" s="3349">
        <f t="shared" si="190"/>
        <v>0</v>
      </c>
      <c r="BI60" s="4697" t="e">
        <f t="shared" si="191"/>
        <v>#DIV/0!</v>
      </c>
      <c r="BJ60" s="4751"/>
      <c r="BK60" s="3349"/>
      <c r="BL60" s="3349"/>
      <c r="BM60" s="3349">
        <f t="shared" si="192"/>
        <v>0</v>
      </c>
      <c r="BN60" s="4697" t="e">
        <f t="shared" si="193"/>
        <v>#DIV/0!</v>
      </c>
      <c r="BO60" s="4751"/>
      <c r="BP60" s="3349"/>
      <c r="BQ60" s="3349"/>
      <c r="BR60" s="3349">
        <f t="shared" si="194"/>
        <v>0</v>
      </c>
      <c r="BS60" s="4697" t="e">
        <f t="shared" si="195"/>
        <v>#DIV/0!</v>
      </c>
      <c r="BT60" s="4751"/>
      <c r="BU60" s="3349"/>
      <c r="BV60" s="3349"/>
      <c r="BW60" s="3349">
        <f t="shared" si="196"/>
        <v>0</v>
      </c>
      <c r="BX60" s="4697" t="e">
        <f t="shared" si="197"/>
        <v>#DIV/0!</v>
      </c>
      <c r="BY60" s="4751"/>
      <c r="BZ60" s="3349"/>
      <c r="CA60" s="3349"/>
      <c r="CB60" s="3349">
        <f t="shared" si="198"/>
        <v>0</v>
      </c>
      <c r="CC60" s="4697" t="e">
        <f t="shared" si="199"/>
        <v>#DIV/0!</v>
      </c>
      <c r="CD60" s="4751"/>
      <c r="CE60" s="3349"/>
      <c r="CF60" s="3349"/>
      <c r="CG60" s="3349">
        <f t="shared" si="200"/>
        <v>0</v>
      </c>
      <c r="CH60" s="4697" t="e">
        <f t="shared" si="201"/>
        <v>#DIV/0!</v>
      </c>
      <c r="CI60" s="4751"/>
      <c r="CJ60" s="3341">
        <f t="shared" si="202"/>
        <v>0</v>
      </c>
      <c r="CK60" s="3341">
        <f t="shared" si="202"/>
        <v>0</v>
      </c>
      <c r="CL60" s="2012">
        <f t="shared" si="203"/>
        <v>0</v>
      </c>
      <c r="CM60" s="4697">
        <f t="shared" si="168"/>
        <v>0</v>
      </c>
      <c r="CN60" s="4699"/>
      <c r="CP60" s="2012">
        <f t="shared" si="204"/>
        <v>0</v>
      </c>
      <c r="CQ60" s="2012">
        <f t="shared" si="204"/>
        <v>0</v>
      </c>
      <c r="CR60" s="4614"/>
    </row>
    <row r="61" spans="1:98" ht="13.8" outlineLevel="2">
      <c r="A61" s="1571"/>
      <c r="B61" s="4728" t="s">
        <v>32</v>
      </c>
      <c r="C61" s="3349"/>
      <c r="D61" s="3349"/>
      <c r="E61" s="3349">
        <f t="shared" si="169"/>
        <v>0</v>
      </c>
      <c r="F61" s="4697" t="e">
        <f t="shared" si="133"/>
        <v>#DIV/0!</v>
      </c>
      <c r="G61" s="4751"/>
      <c r="H61" s="3349"/>
      <c r="I61" s="3349"/>
      <c r="J61" s="3349">
        <f t="shared" si="170"/>
        <v>0</v>
      </c>
      <c r="K61" s="4697" t="e">
        <f t="shared" si="171"/>
        <v>#DIV/0!</v>
      </c>
      <c r="L61" s="4751"/>
      <c r="M61" s="3349"/>
      <c r="N61" s="3349"/>
      <c r="O61" s="3349">
        <f t="shared" si="172"/>
        <v>0</v>
      </c>
      <c r="P61" s="4697" t="e">
        <f t="shared" si="173"/>
        <v>#DIV/0!</v>
      </c>
      <c r="Q61" s="4751"/>
      <c r="R61" s="3342">
        <f t="shared" si="174"/>
        <v>0</v>
      </c>
      <c r="S61" s="3342">
        <f t="shared" si="174"/>
        <v>0</v>
      </c>
      <c r="T61" s="2012">
        <f t="shared" si="175"/>
        <v>0</v>
      </c>
      <c r="U61" s="3462"/>
      <c r="V61" s="3462"/>
      <c r="W61" s="3342">
        <f t="shared" si="176"/>
        <v>0</v>
      </c>
      <c r="X61" s="3342">
        <f t="shared" si="176"/>
        <v>0</v>
      </c>
      <c r="Y61" s="2012">
        <f t="shared" si="177"/>
        <v>0</v>
      </c>
      <c r="Z61" s="3462"/>
      <c r="AA61" s="3462"/>
      <c r="AB61" s="3349"/>
      <c r="AC61" s="3349"/>
      <c r="AD61" s="3349">
        <f t="shared" si="178"/>
        <v>0</v>
      </c>
      <c r="AE61" s="4697">
        <f t="shared" si="179"/>
        <v>0</v>
      </c>
      <c r="AF61" s="4752"/>
      <c r="AG61" s="3349"/>
      <c r="AH61" s="3349"/>
      <c r="AI61" s="3349">
        <f t="shared" si="180"/>
        <v>0</v>
      </c>
      <c r="AJ61" s="4697">
        <f t="shared" si="181"/>
        <v>0</v>
      </c>
      <c r="AK61" s="4751"/>
      <c r="AL61" s="3349"/>
      <c r="AM61" s="3349"/>
      <c r="AN61" s="3349">
        <f t="shared" si="182"/>
        <v>0</v>
      </c>
      <c r="AO61" s="4697">
        <f t="shared" si="183"/>
        <v>0</v>
      </c>
      <c r="AP61" s="4753"/>
      <c r="AQ61" s="3349"/>
      <c r="AR61" s="3349"/>
      <c r="AS61" s="3349">
        <f t="shared" si="184"/>
        <v>0</v>
      </c>
      <c r="AT61" s="4697">
        <f t="shared" si="185"/>
        <v>0</v>
      </c>
      <c r="AU61" s="4753"/>
      <c r="AV61" s="3349"/>
      <c r="AW61" s="3349"/>
      <c r="AX61" s="3349">
        <f t="shared" si="186"/>
        <v>0</v>
      </c>
      <c r="AY61" s="4697">
        <f t="shared" si="187"/>
        <v>0</v>
      </c>
      <c r="AZ61" s="4751"/>
      <c r="BA61" s="3349"/>
      <c r="BB61" s="3349"/>
      <c r="BC61" s="3349">
        <f t="shared" si="188"/>
        <v>0</v>
      </c>
      <c r="BD61" s="4697">
        <f t="shared" si="189"/>
        <v>0</v>
      </c>
      <c r="BE61" s="4751"/>
      <c r="BF61" s="3349"/>
      <c r="BG61" s="3349"/>
      <c r="BH61" s="3349">
        <f t="shared" si="190"/>
        <v>0</v>
      </c>
      <c r="BI61" s="4697" t="e">
        <f t="shared" si="191"/>
        <v>#DIV/0!</v>
      </c>
      <c r="BJ61" s="4751"/>
      <c r="BK61" s="3349"/>
      <c r="BL61" s="3349"/>
      <c r="BM61" s="3349">
        <f t="shared" si="192"/>
        <v>0</v>
      </c>
      <c r="BN61" s="4697" t="e">
        <f t="shared" si="193"/>
        <v>#DIV/0!</v>
      </c>
      <c r="BO61" s="4751"/>
      <c r="BP61" s="3349"/>
      <c r="BQ61" s="3349"/>
      <c r="BR61" s="3349">
        <f t="shared" si="194"/>
        <v>0</v>
      </c>
      <c r="BS61" s="4697" t="e">
        <f t="shared" si="195"/>
        <v>#DIV/0!</v>
      </c>
      <c r="BT61" s="4751"/>
      <c r="BU61" s="3349"/>
      <c r="BV61" s="3349"/>
      <c r="BW61" s="3349">
        <f t="shared" si="196"/>
        <v>0</v>
      </c>
      <c r="BX61" s="4697" t="e">
        <f t="shared" si="197"/>
        <v>#DIV/0!</v>
      </c>
      <c r="BY61" s="4751"/>
      <c r="BZ61" s="3349"/>
      <c r="CA61" s="3349"/>
      <c r="CB61" s="3349">
        <f t="shared" si="198"/>
        <v>0</v>
      </c>
      <c r="CC61" s="4697" t="e">
        <f t="shared" si="199"/>
        <v>#DIV/0!</v>
      </c>
      <c r="CD61" s="4751"/>
      <c r="CE61" s="3349"/>
      <c r="CF61" s="3349"/>
      <c r="CG61" s="3349">
        <f t="shared" si="200"/>
        <v>0</v>
      </c>
      <c r="CH61" s="4697" t="e">
        <f t="shared" si="201"/>
        <v>#DIV/0!</v>
      </c>
      <c r="CI61" s="4751"/>
      <c r="CJ61" s="3341">
        <f t="shared" si="202"/>
        <v>0</v>
      </c>
      <c r="CK61" s="3341">
        <f t="shared" si="202"/>
        <v>0</v>
      </c>
      <c r="CL61" s="2012">
        <f t="shared" si="203"/>
        <v>0</v>
      </c>
      <c r="CM61" s="4697">
        <f t="shared" si="168"/>
        <v>0</v>
      </c>
      <c r="CN61" s="4699"/>
      <c r="CP61" s="2012">
        <f t="shared" si="204"/>
        <v>0</v>
      </c>
      <c r="CQ61" s="2012">
        <f t="shared" si="204"/>
        <v>0</v>
      </c>
      <c r="CR61" s="4614"/>
    </row>
    <row r="62" spans="1:98" ht="26.4" outlineLevel="2">
      <c r="A62" s="1571"/>
      <c r="B62" s="4728" t="s">
        <v>33</v>
      </c>
      <c r="C62" s="3349"/>
      <c r="D62" s="3349"/>
      <c r="E62" s="3349">
        <f t="shared" si="169"/>
        <v>0</v>
      </c>
      <c r="F62" s="4697" t="e">
        <f t="shared" si="133"/>
        <v>#DIV/0!</v>
      </c>
      <c r="G62" s="4751"/>
      <c r="H62" s="3349"/>
      <c r="I62" s="3349"/>
      <c r="J62" s="3349">
        <f t="shared" si="170"/>
        <v>0</v>
      </c>
      <c r="K62" s="4697" t="e">
        <f t="shared" si="171"/>
        <v>#DIV/0!</v>
      </c>
      <c r="L62" s="4751"/>
      <c r="M62" s="3349"/>
      <c r="N62" s="3349"/>
      <c r="O62" s="3349">
        <f t="shared" si="172"/>
        <v>0</v>
      </c>
      <c r="P62" s="4697" t="e">
        <f t="shared" si="173"/>
        <v>#DIV/0!</v>
      </c>
      <c r="Q62" s="4751"/>
      <c r="R62" s="3342">
        <f t="shared" si="174"/>
        <v>0</v>
      </c>
      <c r="S62" s="3342">
        <f t="shared" si="174"/>
        <v>0</v>
      </c>
      <c r="T62" s="2012">
        <f t="shared" si="175"/>
        <v>0</v>
      </c>
      <c r="U62" s="3462"/>
      <c r="V62" s="3462"/>
      <c r="W62" s="3342">
        <f t="shared" si="176"/>
        <v>18721</v>
      </c>
      <c r="X62" s="3342">
        <f t="shared" si="176"/>
        <v>0</v>
      </c>
      <c r="Y62" s="2012">
        <f t="shared" si="177"/>
        <v>18721</v>
      </c>
      <c r="Z62" s="3462"/>
      <c r="AA62" s="3462"/>
      <c r="AB62" s="3349">
        <f>1+1110</f>
        <v>1111</v>
      </c>
      <c r="AC62" s="3349"/>
      <c r="AD62" s="3349">
        <f t="shared" si="178"/>
        <v>1111</v>
      </c>
      <c r="AE62" s="4697">
        <f t="shared" si="179"/>
        <v>1.4527348745276534E-3</v>
      </c>
      <c r="AF62" s="4767" t="s">
        <v>1901</v>
      </c>
      <c r="AG62" s="3349">
        <f>2225+1110</f>
        <v>3335</v>
      </c>
      <c r="AH62" s="3349"/>
      <c r="AI62" s="3349">
        <f t="shared" si="180"/>
        <v>3335</v>
      </c>
      <c r="AJ62" s="4697">
        <f t="shared" si="181"/>
        <v>5.4103819161834855E-3</v>
      </c>
      <c r="AK62" s="4767" t="s">
        <v>1946</v>
      </c>
      <c r="AL62" s="3349">
        <f>2225+1110</f>
        <v>3335</v>
      </c>
      <c r="AM62" s="3349"/>
      <c r="AN62" s="3349">
        <f t="shared" si="182"/>
        <v>3335</v>
      </c>
      <c r="AO62" s="4697">
        <f t="shared" si="183"/>
        <v>4.9455469835933425E-3</v>
      </c>
      <c r="AP62" s="4767" t="s">
        <v>1976</v>
      </c>
      <c r="AQ62" s="3349">
        <f>2225+1110</f>
        <v>3335</v>
      </c>
      <c r="AR62" s="3349"/>
      <c r="AS62" s="3349">
        <f t="shared" si="184"/>
        <v>3335</v>
      </c>
      <c r="AT62" s="4697">
        <f t="shared" si="185"/>
        <v>5.9528541232080944E-3</v>
      </c>
      <c r="AU62" s="4767" t="s">
        <v>2054</v>
      </c>
      <c r="AV62" s="3349">
        <f>2692.5+1110</f>
        <v>3802.5</v>
      </c>
      <c r="AW62" s="3349"/>
      <c r="AX62" s="3349">
        <f t="shared" si="186"/>
        <v>3802.5</v>
      </c>
      <c r="AY62" s="4697">
        <f t="shared" si="187"/>
        <v>7.2338671843744009E-3</v>
      </c>
      <c r="AZ62" s="4767" t="s">
        <v>2100</v>
      </c>
      <c r="BA62" s="3349">
        <f>2692.5+1110</f>
        <v>3802.5</v>
      </c>
      <c r="BB62" s="3349"/>
      <c r="BC62" s="3349">
        <f t="shared" si="188"/>
        <v>3802.5</v>
      </c>
      <c r="BD62" s="4697">
        <f t="shared" si="189"/>
        <v>5.6498189500790216E-3</v>
      </c>
      <c r="BE62" s="4767" t="s">
        <v>2166</v>
      </c>
      <c r="BF62" s="3349"/>
      <c r="BG62" s="3349"/>
      <c r="BH62" s="3349">
        <f t="shared" si="190"/>
        <v>0</v>
      </c>
      <c r="BI62" s="4697" t="e">
        <f t="shared" si="191"/>
        <v>#DIV/0!</v>
      </c>
      <c r="BJ62" s="4751"/>
      <c r="BK62" s="3349"/>
      <c r="BL62" s="3349"/>
      <c r="BM62" s="3349">
        <f t="shared" si="192"/>
        <v>0</v>
      </c>
      <c r="BN62" s="4697" t="e">
        <f t="shared" si="193"/>
        <v>#DIV/0!</v>
      </c>
      <c r="BO62" s="4751"/>
      <c r="BP62" s="3349"/>
      <c r="BQ62" s="3349"/>
      <c r="BR62" s="3349">
        <f t="shared" si="194"/>
        <v>0</v>
      </c>
      <c r="BS62" s="4697" t="e">
        <f t="shared" si="195"/>
        <v>#DIV/0!</v>
      </c>
      <c r="BT62" s="4751"/>
      <c r="BU62" s="3349"/>
      <c r="BV62" s="3349"/>
      <c r="BW62" s="3349">
        <f t="shared" si="196"/>
        <v>0</v>
      </c>
      <c r="BX62" s="4697" t="e">
        <f t="shared" si="197"/>
        <v>#DIV/0!</v>
      </c>
      <c r="BY62" s="4751"/>
      <c r="BZ62" s="3349"/>
      <c r="CA62" s="3349"/>
      <c r="CB62" s="3349">
        <f t="shared" si="198"/>
        <v>0</v>
      </c>
      <c r="CC62" s="4697" t="e">
        <f t="shared" si="199"/>
        <v>#DIV/0!</v>
      </c>
      <c r="CD62" s="4751"/>
      <c r="CE62" s="3349"/>
      <c r="CF62" s="3349"/>
      <c r="CG62" s="3349">
        <f t="shared" si="200"/>
        <v>0</v>
      </c>
      <c r="CH62" s="4697" t="e">
        <f t="shared" si="201"/>
        <v>#DIV/0!</v>
      </c>
      <c r="CI62" s="4751"/>
      <c r="CJ62" s="3341">
        <f t="shared" si="202"/>
        <v>18721</v>
      </c>
      <c r="CK62" s="3341">
        <f t="shared" si="202"/>
        <v>0</v>
      </c>
      <c r="CL62" s="2012">
        <f t="shared" si="203"/>
        <v>18721</v>
      </c>
      <c r="CM62" s="4697">
        <f t="shared" si="168"/>
        <v>4.9079361467184628E-3</v>
      </c>
      <c r="CN62" s="4699"/>
      <c r="CP62" s="2012">
        <f t="shared" si="204"/>
        <v>0</v>
      </c>
      <c r="CQ62" s="2012">
        <f t="shared" si="204"/>
        <v>0</v>
      </c>
      <c r="CR62" s="4614"/>
    </row>
    <row r="63" spans="1:98" ht="13.8" outlineLevel="2">
      <c r="A63" s="1571"/>
      <c r="B63" s="4728" t="s">
        <v>35</v>
      </c>
      <c r="C63" s="3349"/>
      <c r="D63" s="3349"/>
      <c r="E63" s="3349">
        <f t="shared" si="169"/>
        <v>0</v>
      </c>
      <c r="F63" s="4697" t="e">
        <f t="shared" si="133"/>
        <v>#DIV/0!</v>
      </c>
      <c r="G63" s="4751"/>
      <c r="H63" s="3349"/>
      <c r="I63" s="3349"/>
      <c r="J63" s="3349">
        <f t="shared" si="170"/>
        <v>0</v>
      </c>
      <c r="K63" s="4697" t="e">
        <f t="shared" si="171"/>
        <v>#DIV/0!</v>
      </c>
      <c r="L63" s="4751"/>
      <c r="M63" s="3349"/>
      <c r="N63" s="3349"/>
      <c r="O63" s="3349">
        <f t="shared" si="172"/>
        <v>0</v>
      </c>
      <c r="P63" s="4697" t="e">
        <f t="shared" si="173"/>
        <v>#DIV/0!</v>
      </c>
      <c r="Q63" s="4751"/>
      <c r="R63" s="3342">
        <f t="shared" si="174"/>
        <v>0</v>
      </c>
      <c r="S63" s="3342">
        <f t="shared" si="174"/>
        <v>0</v>
      </c>
      <c r="T63" s="2012">
        <f t="shared" si="175"/>
        <v>0</v>
      </c>
      <c r="U63" s="3462"/>
      <c r="V63" s="3462"/>
      <c r="W63" s="3342">
        <f t="shared" si="176"/>
        <v>30000</v>
      </c>
      <c r="X63" s="3342">
        <f t="shared" si="176"/>
        <v>0</v>
      </c>
      <c r="Y63" s="2012">
        <f t="shared" si="177"/>
        <v>30000</v>
      </c>
      <c r="Z63" s="3462"/>
      <c r="AA63" s="3462"/>
      <c r="AB63" s="2045">
        <v>5000</v>
      </c>
      <c r="AC63" s="3349"/>
      <c r="AD63" s="3349">
        <f t="shared" si="178"/>
        <v>5000</v>
      </c>
      <c r="AE63" s="4697">
        <f t="shared" si="179"/>
        <v>6.5379607314475854E-3</v>
      </c>
      <c r="AF63" s="4752" t="s">
        <v>1905</v>
      </c>
      <c r="AG63" s="2045">
        <v>5000</v>
      </c>
      <c r="AH63" s="3349"/>
      <c r="AI63" s="3349">
        <f t="shared" si="180"/>
        <v>5000</v>
      </c>
      <c r="AJ63" s="4697">
        <f t="shared" si="181"/>
        <v>8.1115171157173701E-3</v>
      </c>
      <c r="AK63" s="4752" t="s">
        <v>1944</v>
      </c>
      <c r="AL63" s="2045">
        <v>5000</v>
      </c>
      <c r="AM63" s="3349"/>
      <c r="AN63" s="3349">
        <f t="shared" si="182"/>
        <v>5000</v>
      </c>
      <c r="AO63" s="4697">
        <f t="shared" si="183"/>
        <v>7.4146131688056114E-3</v>
      </c>
      <c r="AP63" s="4752" t="s">
        <v>1977</v>
      </c>
      <c r="AQ63" s="2045">
        <v>5000</v>
      </c>
      <c r="AR63" s="3349"/>
      <c r="AS63" s="3349">
        <f t="shared" si="184"/>
        <v>5000</v>
      </c>
      <c r="AT63" s="4697">
        <f t="shared" si="185"/>
        <v>8.9248187754244288E-3</v>
      </c>
      <c r="AU63" s="4752" t="s">
        <v>2055</v>
      </c>
      <c r="AV63" s="2045">
        <v>5000</v>
      </c>
      <c r="AW63" s="3349"/>
      <c r="AX63" s="3349">
        <f t="shared" si="186"/>
        <v>5000</v>
      </c>
      <c r="AY63" s="4697">
        <f t="shared" si="187"/>
        <v>9.511988408118871E-3</v>
      </c>
      <c r="AZ63" s="4752" t="s">
        <v>2101</v>
      </c>
      <c r="BA63" s="2045">
        <v>5000</v>
      </c>
      <c r="BB63" s="3349"/>
      <c r="BC63" s="3349">
        <f t="shared" si="188"/>
        <v>5000</v>
      </c>
      <c r="BD63" s="4697">
        <f t="shared" si="189"/>
        <v>7.4290847469809613E-3</v>
      </c>
      <c r="BE63" s="4752" t="s">
        <v>2167</v>
      </c>
      <c r="BF63" s="3349"/>
      <c r="BG63" s="3349"/>
      <c r="BH63" s="3349">
        <f t="shared" si="190"/>
        <v>0</v>
      </c>
      <c r="BI63" s="4697" t="e">
        <f t="shared" si="191"/>
        <v>#DIV/0!</v>
      </c>
      <c r="BJ63" s="4751"/>
      <c r="BK63" s="3349"/>
      <c r="BL63" s="3349"/>
      <c r="BM63" s="3349">
        <f t="shared" si="192"/>
        <v>0</v>
      </c>
      <c r="BN63" s="4697" t="e">
        <f t="shared" si="193"/>
        <v>#DIV/0!</v>
      </c>
      <c r="BO63" s="4751"/>
      <c r="BP63" s="3349"/>
      <c r="BQ63" s="3349"/>
      <c r="BR63" s="3349">
        <f t="shared" si="194"/>
        <v>0</v>
      </c>
      <c r="BS63" s="4697" t="e">
        <f t="shared" si="195"/>
        <v>#DIV/0!</v>
      </c>
      <c r="BT63" s="4751"/>
      <c r="BU63" s="3349"/>
      <c r="BV63" s="3349"/>
      <c r="BW63" s="3349">
        <f t="shared" si="196"/>
        <v>0</v>
      </c>
      <c r="BX63" s="4697" t="e">
        <f t="shared" si="197"/>
        <v>#DIV/0!</v>
      </c>
      <c r="BY63" s="4751"/>
      <c r="BZ63" s="3349"/>
      <c r="CA63" s="3349"/>
      <c r="CB63" s="3349">
        <f t="shared" si="198"/>
        <v>0</v>
      </c>
      <c r="CC63" s="4697" t="e">
        <f t="shared" si="199"/>
        <v>#DIV/0!</v>
      </c>
      <c r="CD63" s="4751"/>
      <c r="CE63" s="3349"/>
      <c r="CF63" s="3349"/>
      <c r="CG63" s="3349">
        <f t="shared" si="200"/>
        <v>0</v>
      </c>
      <c r="CH63" s="4697" t="e">
        <f t="shared" si="201"/>
        <v>#DIV/0!</v>
      </c>
      <c r="CI63" s="4751"/>
      <c r="CJ63" s="3341">
        <f t="shared" si="202"/>
        <v>30000</v>
      </c>
      <c r="CK63" s="3341">
        <f t="shared" si="202"/>
        <v>0</v>
      </c>
      <c r="CL63" s="2012">
        <f t="shared" si="203"/>
        <v>30000</v>
      </c>
      <c r="CM63" s="4697">
        <f t="shared" si="168"/>
        <v>7.8648621548824266E-3</v>
      </c>
      <c r="CN63" s="4699"/>
      <c r="CP63" s="2012">
        <f t="shared" si="204"/>
        <v>0</v>
      </c>
      <c r="CQ63" s="2012">
        <f t="shared" si="204"/>
        <v>0</v>
      </c>
      <c r="CR63" s="4614"/>
    </row>
    <row r="64" spans="1:98" ht="26.4" outlineLevel="2">
      <c r="A64" s="1571"/>
      <c r="B64" s="4728" t="s">
        <v>63</v>
      </c>
      <c r="C64" s="3349"/>
      <c r="D64" s="3349"/>
      <c r="E64" s="3349">
        <f t="shared" si="169"/>
        <v>0</v>
      </c>
      <c r="F64" s="4697" t="e">
        <f t="shared" si="133"/>
        <v>#DIV/0!</v>
      </c>
      <c r="G64" s="4751"/>
      <c r="H64" s="3349"/>
      <c r="I64" s="3349"/>
      <c r="J64" s="3349">
        <f t="shared" si="170"/>
        <v>0</v>
      </c>
      <c r="K64" s="4697" t="e">
        <f t="shared" si="171"/>
        <v>#DIV/0!</v>
      </c>
      <c r="L64" s="4751"/>
      <c r="M64" s="3349"/>
      <c r="N64" s="3349"/>
      <c r="O64" s="3349">
        <f t="shared" si="172"/>
        <v>0</v>
      </c>
      <c r="P64" s="4697" t="e">
        <f t="shared" si="173"/>
        <v>#DIV/0!</v>
      </c>
      <c r="Q64" s="4751"/>
      <c r="R64" s="3342">
        <f t="shared" si="174"/>
        <v>0</v>
      </c>
      <c r="S64" s="3342">
        <f t="shared" si="174"/>
        <v>0</v>
      </c>
      <c r="T64" s="2012">
        <f t="shared" si="175"/>
        <v>0</v>
      </c>
      <c r="U64" s="3462"/>
      <c r="V64" s="3462"/>
      <c r="W64" s="3342">
        <f t="shared" si="176"/>
        <v>865646.26</v>
      </c>
      <c r="X64" s="3342">
        <f t="shared" si="176"/>
        <v>0</v>
      </c>
      <c r="Y64" s="2012">
        <f t="shared" si="177"/>
        <v>865646.26</v>
      </c>
      <c r="Z64" s="3462"/>
      <c r="AA64" s="3462"/>
      <c r="AB64" s="3349">
        <f>107908+45857.56</f>
        <v>153765.56</v>
      </c>
      <c r="AC64" s="3349"/>
      <c r="AD64" s="3349">
        <f t="shared" si="178"/>
        <v>153765.56</v>
      </c>
      <c r="AE64" s="4697"/>
      <c r="AF64" s="3436" t="s">
        <v>1902</v>
      </c>
      <c r="AG64" s="3349">
        <f>107908+48376.01</f>
        <v>156284.01</v>
      </c>
      <c r="AH64" s="3349"/>
      <c r="AI64" s="3349">
        <f t="shared" si="180"/>
        <v>156284.01</v>
      </c>
      <c r="AJ64" s="4697"/>
      <c r="AK64" s="3436" t="s">
        <v>1945</v>
      </c>
      <c r="AL64" s="3349">
        <f>107908+49698.4</f>
        <v>157606.39999999999</v>
      </c>
      <c r="AM64" s="3349"/>
      <c r="AN64" s="3349">
        <f t="shared" si="182"/>
        <v>157606.39999999999</v>
      </c>
      <c r="AO64" s="4697">
        <f t="shared" si="183"/>
        <v>0.23371809778560892</v>
      </c>
      <c r="AP64" s="3436" t="s">
        <v>1978</v>
      </c>
      <c r="AQ64" s="3349">
        <f>107908+38142.5</f>
        <v>146050.5</v>
      </c>
      <c r="AR64" s="3349"/>
      <c r="AS64" s="3349">
        <f t="shared" si="184"/>
        <v>146050.5</v>
      </c>
      <c r="AT64" s="4697">
        <f t="shared" si="185"/>
        <v>0.2606948489120251</v>
      </c>
      <c r="AU64" s="3436" t="s">
        <v>2056</v>
      </c>
      <c r="AV64" s="3349">
        <f>107908+22920.75</f>
        <v>130828.75</v>
      </c>
      <c r="AW64" s="3349"/>
      <c r="AX64" s="3349">
        <f t="shared" si="186"/>
        <v>130828.75</v>
      </c>
      <c r="AY64" s="4697">
        <f t="shared" si="187"/>
        <v>0.24888831068973635</v>
      </c>
      <c r="AZ64" s="3436" t="s">
        <v>2102</v>
      </c>
      <c r="BA64" s="3349">
        <f>107908+13203.04</f>
        <v>121111.04000000001</v>
      </c>
      <c r="BB64" s="3349"/>
      <c r="BC64" s="3349">
        <f t="shared" si="188"/>
        <v>121111.04000000001</v>
      </c>
      <c r="BD64" s="4697">
        <f t="shared" si="189"/>
        <v>0.17994883599100023</v>
      </c>
      <c r="BE64" s="3436" t="s">
        <v>2168</v>
      </c>
      <c r="BF64" s="3349"/>
      <c r="BG64" s="3349"/>
      <c r="BH64" s="3349">
        <f t="shared" si="190"/>
        <v>0</v>
      </c>
      <c r="BI64" s="4697" t="e">
        <f t="shared" si="191"/>
        <v>#DIV/0!</v>
      </c>
      <c r="BJ64" s="4751"/>
      <c r="BK64" s="3349"/>
      <c r="BL64" s="3349"/>
      <c r="BM64" s="3349">
        <f t="shared" si="192"/>
        <v>0</v>
      </c>
      <c r="BN64" s="4697" t="e">
        <f t="shared" si="193"/>
        <v>#DIV/0!</v>
      </c>
      <c r="BO64" s="4751"/>
      <c r="BP64" s="3349"/>
      <c r="BQ64" s="3349"/>
      <c r="BR64" s="3349">
        <f t="shared" si="194"/>
        <v>0</v>
      </c>
      <c r="BS64" s="4697" t="e">
        <f t="shared" si="195"/>
        <v>#DIV/0!</v>
      </c>
      <c r="BT64" s="4751"/>
      <c r="BU64" s="3349"/>
      <c r="BV64" s="3349"/>
      <c r="BW64" s="3349">
        <f t="shared" si="196"/>
        <v>0</v>
      </c>
      <c r="BX64" s="4697" t="e">
        <f t="shared" si="197"/>
        <v>#DIV/0!</v>
      </c>
      <c r="BY64" s="4751"/>
      <c r="BZ64" s="3349"/>
      <c r="CA64" s="3349"/>
      <c r="CB64" s="3349">
        <f t="shared" si="198"/>
        <v>0</v>
      </c>
      <c r="CC64" s="4697" t="e">
        <f t="shared" si="199"/>
        <v>#DIV/0!</v>
      </c>
      <c r="CD64" s="4751"/>
      <c r="CE64" s="3349"/>
      <c r="CF64" s="3349"/>
      <c r="CG64" s="3349">
        <f t="shared" si="200"/>
        <v>0</v>
      </c>
      <c r="CH64" s="4697" t="e">
        <f t="shared" si="201"/>
        <v>#DIV/0!</v>
      </c>
      <c r="CI64" s="4751"/>
      <c r="CJ64" s="3341">
        <f t="shared" si="202"/>
        <v>865646.26</v>
      </c>
      <c r="CK64" s="3341">
        <f t="shared" si="202"/>
        <v>0</v>
      </c>
      <c r="CL64" s="2012">
        <f t="shared" si="203"/>
        <v>865646.26</v>
      </c>
      <c r="CM64" s="4697">
        <f t="shared" si="168"/>
        <v>0.22693961699298376</v>
      </c>
      <c r="CN64" s="4699"/>
      <c r="CP64" s="2012">
        <f t="shared" si="204"/>
        <v>0</v>
      </c>
      <c r="CQ64" s="2012">
        <f t="shared" si="204"/>
        <v>0</v>
      </c>
      <c r="CR64" s="4614"/>
    </row>
    <row r="65" spans="1:98" ht="13.8" outlineLevel="2">
      <c r="A65" s="1571"/>
      <c r="B65" s="4728" t="s">
        <v>36</v>
      </c>
      <c r="C65" s="3341"/>
      <c r="D65" s="3341"/>
      <c r="E65" s="3349">
        <f t="shared" si="169"/>
        <v>0</v>
      </c>
      <c r="F65" s="4697" t="e">
        <f t="shared" si="133"/>
        <v>#DIV/0!</v>
      </c>
      <c r="G65" s="4751"/>
      <c r="H65" s="3341"/>
      <c r="I65" s="3341"/>
      <c r="J65" s="3349">
        <f t="shared" si="170"/>
        <v>0</v>
      </c>
      <c r="K65" s="4697" t="e">
        <f t="shared" si="171"/>
        <v>#DIV/0!</v>
      </c>
      <c r="L65" s="4751"/>
      <c r="M65" s="3341"/>
      <c r="N65" s="3341"/>
      <c r="O65" s="3349">
        <f t="shared" si="172"/>
        <v>0</v>
      </c>
      <c r="P65" s="4697" t="e">
        <f t="shared" si="173"/>
        <v>#DIV/0!</v>
      </c>
      <c r="Q65" s="4751"/>
      <c r="R65" s="3342">
        <f t="shared" si="174"/>
        <v>0</v>
      </c>
      <c r="S65" s="3342">
        <f t="shared" si="174"/>
        <v>0</v>
      </c>
      <c r="T65" s="2012">
        <f t="shared" si="175"/>
        <v>0</v>
      </c>
      <c r="U65" s="3462"/>
      <c r="V65" s="3462"/>
      <c r="W65" s="3342">
        <f t="shared" si="176"/>
        <v>0</v>
      </c>
      <c r="X65" s="3342">
        <f t="shared" si="176"/>
        <v>0</v>
      </c>
      <c r="Y65" s="2012">
        <f t="shared" si="177"/>
        <v>0</v>
      </c>
      <c r="Z65" s="3462"/>
      <c r="AA65" s="3462"/>
      <c r="AB65" s="3349"/>
      <c r="AC65" s="3349"/>
      <c r="AD65" s="3349">
        <f t="shared" si="178"/>
        <v>0</v>
      </c>
      <c r="AE65" s="4697">
        <f t="shared" si="179"/>
        <v>0</v>
      </c>
      <c r="AF65" s="4752"/>
      <c r="AG65" s="3341"/>
      <c r="AH65" s="3341"/>
      <c r="AI65" s="3349">
        <f t="shared" si="180"/>
        <v>0</v>
      </c>
      <c r="AJ65" s="4697">
        <f t="shared" si="181"/>
        <v>0</v>
      </c>
      <c r="AK65" s="4751"/>
      <c r="AL65" s="2043"/>
      <c r="AM65" s="3341"/>
      <c r="AN65" s="3349">
        <f t="shared" si="182"/>
        <v>0</v>
      </c>
      <c r="AO65" s="4697">
        <f t="shared" si="183"/>
        <v>0</v>
      </c>
      <c r="AP65" s="4753"/>
      <c r="AQ65" s="3341"/>
      <c r="AR65" s="3341"/>
      <c r="AS65" s="3349">
        <f t="shared" si="184"/>
        <v>0</v>
      </c>
      <c r="AT65" s="4697">
        <f t="shared" si="185"/>
        <v>0</v>
      </c>
      <c r="AU65" s="4753"/>
      <c r="AV65" s="3341"/>
      <c r="AW65" s="3341"/>
      <c r="AX65" s="3349">
        <f t="shared" si="186"/>
        <v>0</v>
      </c>
      <c r="AY65" s="4697">
        <f t="shared" si="187"/>
        <v>0</v>
      </c>
      <c r="AZ65" s="4751"/>
      <c r="BA65" s="3341"/>
      <c r="BB65" s="3341"/>
      <c r="BC65" s="3349">
        <f t="shared" si="188"/>
        <v>0</v>
      </c>
      <c r="BD65" s="4697">
        <f t="shared" si="189"/>
        <v>0</v>
      </c>
      <c r="BE65" s="4751"/>
      <c r="BF65" s="3341"/>
      <c r="BG65" s="3341"/>
      <c r="BH65" s="3349">
        <f t="shared" si="190"/>
        <v>0</v>
      </c>
      <c r="BI65" s="4697" t="e">
        <f t="shared" si="191"/>
        <v>#DIV/0!</v>
      </c>
      <c r="BJ65" s="4751"/>
      <c r="BK65" s="3341"/>
      <c r="BL65" s="3341"/>
      <c r="BM65" s="3349">
        <f t="shared" si="192"/>
        <v>0</v>
      </c>
      <c r="BN65" s="4697" t="e">
        <f t="shared" si="193"/>
        <v>#DIV/0!</v>
      </c>
      <c r="BO65" s="4751"/>
      <c r="BP65" s="3341"/>
      <c r="BQ65" s="3341"/>
      <c r="BR65" s="3349">
        <f t="shared" si="194"/>
        <v>0</v>
      </c>
      <c r="BS65" s="4697" t="e">
        <f t="shared" si="195"/>
        <v>#DIV/0!</v>
      </c>
      <c r="BT65" s="4751"/>
      <c r="BU65" s="3341"/>
      <c r="BV65" s="3341"/>
      <c r="BW65" s="3349">
        <f t="shared" si="196"/>
        <v>0</v>
      </c>
      <c r="BX65" s="4697" t="e">
        <f t="shared" si="197"/>
        <v>#DIV/0!</v>
      </c>
      <c r="BY65" s="4751"/>
      <c r="BZ65" s="3341"/>
      <c r="CA65" s="3341"/>
      <c r="CB65" s="3349">
        <f t="shared" si="198"/>
        <v>0</v>
      </c>
      <c r="CC65" s="4697" t="e">
        <f t="shared" si="199"/>
        <v>#DIV/0!</v>
      </c>
      <c r="CD65" s="4751"/>
      <c r="CE65" s="3341"/>
      <c r="CF65" s="3341"/>
      <c r="CG65" s="3349">
        <f t="shared" si="200"/>
        <v>0</v>
      </c>
      <c r="CH65" s="4697" t="e">
        <f t="shared" si="201"/>
        <v>#DIV/0!</v>
      </c>
      <c r="CI65" s="4751"/>
      <c r="CJ65" s="3341">
        <f t="shared" si="202"/>
        <v>0</v>
      </c>
      <c r="CK65" s="3341">
        <f t="shared" si="202"/>
        <v>0</v>
      </c>
      <c r="CL65" s="2012">
        <f t="shared" si="203"/>
        <v>0</v>
      </c>
      <c r="CM65" s="4697">
        <f t="shared" si="168"/>
        <v>0</v>
      </c>
      <c r="CN65" s="4699"/>
      <c r="CP65" s="2012">
        <f t="shared" si="204"/>
        <v>0</v>
      </c>
      <c r="CQ65" s="2012">
        <f t="shared" si="204"/>
        <v>0</v>
      </c>
      <c r="CR65" s="4614"/>
    </row>
    <row r="66" spans="1:98" s="1396" customFormat="1" ht="13.8" outlineLevel="2">
      <c r="A66" s="1571"/>
      <c r="B66" s="4728" t="s">
        <v>37</v>
      </c>
      <c r="C66" s="3341"/>
      <c r="D66" s="3341"/>
      <c r="E66" s="3349">
        <f t="shared" si="169"/>
        <v>0</v>
      </c>
      <c r="F66" s="4697" t="e">
        <f t="shared" si="133"/>
        <v>#DIV/0!</v>
      </c>
      <c r="G66" s="4751"/>
      <c r="H66" s="3341"/>
      <c r="I66" s="3341"/>
      <c r="J66" s="3349">
        <f t="shared" si="170"/>
        <v>0</v>
      </c>
      <c r="K66" s="4697" t="e">
        <f t="shared" si="171"/>
        <v>#DIV/0!</v>
      </c>
      <c r="L66" s="4751"/>
      <c r="M66" s="3341"/>
      <c r="N66" s="3341"/>
      <c r="O66" s="3349">
        <f t="shared" si="172"/>
        <v>0</v>
      </c>
      <c r="P66" s="4697" t="e">
        <f t="shared" si="173"/>
        <v>#DIV/0!</v>
      </c>
      <c r="Q66" s="4751"/>
      <c r="R66" s="3342">
        <f t="shared" si="174"/>
        <v>0</v>
      </c>
      <c r="S66" s="3342">
        <f t="shared" si="174"/>
        <v>0</v>
      </c>
      <c r="T66" s="2012">
        <f t="shared" si="175"/>
        <v>0</v>
      </c>
      <c r="U66" s="3462"/>
      <c r="V66" s="3462"/>
      <c r="W66" s="3342">
        <f t="shared" si="176"/>
        <v>0</v>
      </c>
      <c r="X66" s="3342">
        <f t="shared" si="176"/>
        <v>4000</v>
      </c>
      <c r="Y66" s="2012">
        <f t="shared" si="177"/>
        <v>4000</v>
      </c>
      <c r="Z66" s="3462"/>
      <c r="AA66" s="3462"/>
      <c r="AB66" s="3349"/>
      <c r="AC66" s="3349"/>
      <c r="AD66" s="3349">
        <f t="shared" si="178"/>
        <v>0</v>
      </c>
      <c r="AE66" s="4697">
        <f t="shared" si="179"/>
        <v>0</v>
      </c>
      <c r="AF66" s="4752"/>
      <c r="AG66" s="3341"/>
      <c r="AH66" s="3341"/>
      <c r="AI66" s="3349">
        <f t="shared" si="180"/>
        <v>0</v>
      </c>
      <c r="AJ66" s="4697">
        <f t="shared" si="181"/>
        <v>0</v>
      </c>
      <c r="AK66" s="4751"/>
      <c r="AL66" s="3341"/>
      <c r="AM66" s="3341"/>
      <c r="AN66" s="3349">
        <f t="shared" si="182"/>
        <v>0</v>
      </c>
      <c r="AO66" s="4697">
        <f t="shared" si="183"/>
        <v>0</v>
      </c>
      <c r="AP66" s="4753"/>
      <c r="AQ66" s="3341"/>
      <c r="AR66" s="3341"/>
      <c r="AS66" s="3349">
        <f t="shared" si="184"/>
        <v>0</v>
      </c>
      <c r="AT66" s="4697">
        <f t="shared" si="185"/>
        <v>0</v>
      </c>
      <c r="AU66" s="4753"/>
      <c r="AV66" s="3341"/>
      <c r="AW66" s="3341"/>
      <c r="AX66" s="3349">
        <f t="shared" si="186"/>
        <v>0</v>
      </c>
      <c r="AY66" s="4697">
        <f t="shared" si="187"/>
        <v>0</v>
      </c>
      <c r="AZ66" s="4751"/>
      <c r="BA66" s="3341"/>
      <c r="BB66" s="3341">
        <v>4000</v>
      </c>
      <c r="BC66" s="3349">
        <f t="shared" si="188"/>
        <v>4000</v>
      </c>
      <c r="BD66" s="4428">
        <f t="shared" si="189"/>
        <v>5.9432677975847694E-3</v>
      </c>
      <c r="BE66" s="4429" t="s">
        <v>2152</v>
      </c>
      <c r="BF66" s="3341"/>
      <c r="BG66" s="3341"/>
      <c r="BH66" s="3349">
        <f t="shared" si="190"/>
        <v>0</v>
      </c>
      <c r="BI66" s="4697" t="e">
        <f t="shared" si="191"/>
        <v>#DIV/0!</v>
      </c>
      <c r="BJ66" s="4751"/>
      <c r="BK66" s="3341"/>
      <c r="BL66" s="3341"/>
      <c r="BM66" s="3349">
        <f t="shared" si="192"/>
        <v>0</v>
      </c>
      <c r="BN66" s="4697" t="e">
        <f t="shared" si="193"/>
        <v>#DIV/0!</v>
      </c>
      <c r="BO66" s="4751"/>
      <c r="BP66" s="3341"/>
      <c r="BQ66" s="3341"/>
      <c r="BR66" s="3349">
        <f t="shared" si="194"/>
        <v>0</v>
      </c>
      <c r="BS66" s="4697" t="e">
        <f t="shared" si="195"/>
        <v>#DIV/0!</v>
      </c>
      <c r="BT66" s="4751"/>
      <c r="BU66" s="3341"/>
      <c r="BV66" s="3341"/>
      <c r="BW66" s="3349">
        <f t="shared" si="196"/>
        <v>0</v>
      </c>
      <c r="BX66" s="4697" t="e">
        <f t="shared" si="197"/>
        <v>#DIV/0!</v>
      </c>
      <c r="BY66" s="4751"/>
      <c r="BZ66" s="3341"/>
      <c r="CA66" s="3341"/>
      <c r="CB66" s="3349">
        <f t="shared" si="198"/>
        <v>0</v>
      </c>
      <c r="CC66" s="4697" t="e">
        <f t="shared" si="199"/>
        <v>#DIV/0!</v>
      </c>
      <c r="CD66" s="4751"/>
      <c r="CE66" s="3341"/>
      <c r="CF66" s="3341"/>
      <c r="CG66" s="3349">
        <f t="shared" si="200"/>
        <v>0</v>
      </c>
      <c r="CH66" s="4697" t="e">
        <f t="shared" si="201"/>
        <v>#DIV/0!</v>
      </c>
      <c r="CI66" s="4751"/>
      <c r="CJ66" s="3341">
        <f t="shared" si="202"/>
        <v>0</v>
      </c>
      <c r="CK66" s="3341">
        <f t="shared" si="202"/>
        <v>4000</v>
      </c>
      <c r="CL66" s="2012">
        <f t="shared" si="203"/>
        <v>4000</v>
      </c>
      <c r="CM66" s="4697">
        <f t="shared" si="168"/>
        <v>1.0486482873176568E-3</v>
      </c>
      <c r="CN66" s="4699"/>
      <c r="CP66" s="2012">
        <f t="shared" si="204"/>
        <v>0</v>
      </c>
      <c r="CQ66" s="2012">
        <f t="shared" si="204"/>
        <v>0</v>
      </c>
      <c r="CR66" s="4614"/>
      <c r="CT66" s="2624"/>
    </row>
    <row r="67" spans="1:98" s="1396" customFormat="1" ht="13.8" outlineLevel="2">
      <c r="A67" s="1571"/>
      <c r="B67" s="4728" t="s">
        <v>3</v>
      </c>
      <c r="C67" s="3341"/>
      <c r="D67" s="3341"/>
      <c r="E67" s="3349">
        <f t="shared" si="169"/>
        <v>0</v>
      </c>
      <c r="F67" s="4697" t="e">
        <f t="shared" si="133"/>
        <v>#DIV/0!</v>
      </c>
      <c r="G67" s="4751"/>
      <c r="H67" s="3341"/>
      <c r="I67" s="3341"/>
      <c r="J67" s="3349">
        <f t="shared" si="170"/>
        <v>0</v>
      </c>
      <c r="K67" s="4697" t="e">
        <f t="shared" si="171"/>
        <v>#DIV/0!</v>
      </c>
      <c r="L67" s="4751"/>
      <c r="M67" s="3341"/>
      <c r="N67" s="3341"/>
      <c r="O67" s="3349">
        <f t="shared" si="172"/>
        <v>0</v>
      </c>
      <c r="P67" s="4697" t="e">
        <f t="shared" si="173"/>
        <v>#DIV/0!</v>
      </c>
      <c r="Q67" s="4751"/>
      <c r="R67" s="3342">
        <f t="shared" si="174"/>
        <v>0</v>
      </c>
      <c r="S67" s="3342">
        <f t="shared" si="174"/>
        <v>0</v>
      </c>
      <c r="T67" s="2012">
        <f t="shared" si="175"/>
        <v>0</v>
      </c>
      <c r="U67" s="3462"/>
      <c r="V67" s="3462"/>
      <c r="W67" s="3342">
        <f t="shared" si="176"/>
        <v>0</v>
      </c>
      <c r="X67" s="3342">
        <f t="shared" si="176"/>
        <v>0</v>
      </c>
      <c r="Y67" s="2012">
        <f t="shared" si="177"/>
        <v>0</v>
      </c>
      <c r="Z67" s="3462"/>
      <c r="AA67" s="3462"/>
      <c r="AB67" s="3349"/>
      <c r="AC67" s="3349"/>
      <c r="AD67" s="3349">
        <f t="shared" si="178"/>
        <v>0</v>
      </c>
      <c r="AE67" s="4697">
        <f t="shared" si="179"/>
        <v>0</v>
      </c>
      <c r="AF67" s="4752"/>
      <c r="AG67" s="3341"/>
      <c r="AH67" s="3341"/>
      <c r="AI67" s="3349">
        <f t="shared" si="180"/>
        <v>0</v>
      </c>
      <c r="AJ67" s="4697">
        <f t="shared" si="181"/>
        <v>0</v>
      </c>
      <c r="AK67" s="4751"/>
      <c r="AL67" s="3341"/>
      <c r="AM67" s="3341"/>
      <c r="AN67" s="3349">
        <f t="shared" si="182"/>
        <v>0</v>
      </c>
      <c r="AO67" s="4697">
        <f t="shared" si="183"/>
        <v>0</v>
      </c>
      <c r="AP67" s="4753"/>
      <c r="AQ67" s="3341"/>
      <c r="AR67" s="3341"/>
      <c r="AS67" s="3349">
        <f t="shared" si="184"/>
        <v>0</v>
      </c>
      <c r="AT67" s="4697">
        <f t="shared" si="185"/>
        <v>0</v>
      </c>
      <c r="AU67" s="4753"/>
      <c r="AV67" s="3341"/>
      <c r="AW67" s="3341"/>
      <c r="AX67" s="3349">
        <f t="shared" si="186"/>
        <v>0</v>
      </c>
      <c r="AY67" s="4697">
        <f t="shared" si="187"/>
        <v>0</v>
      </c>
      <c r="AZ67" s="4751"/>
      <c r="BA67" s="3341"/>
      <c r="BB67" s="3341"/>
      <c r="BC67" s="3349">
        <f t="shared" si="188"/>
        <v>0</v>
      </c>
      <c r="BD67" s="4697">
        <f t="shared" si="189"/>
        <v>0</v>
      </c>
      <c r="BE67" s="4751"/>
      <c r="BF67" s="3341"/>
      <c r="BG67" s="3341"/>
      <c r="BH67" s="3349">
        <f t="shared" si="190"/>
        <v>0</v>
      </c>
      <c r="BI67" s="4697" t="e">
        <f t="shared" si="191"/>
        <v>#DIV/0!</v>
      </c>
      <c r="BJ67" s="4751"/>
      <c r="BK67" s="3341"/>
      <c r="BL67" s="3341"/>
      <c r="BM67" s="3349">
        <f t="shared" si="192"/>
        <v>0</v>
      </c>
      <c r="BN67" s="4697" t="e">
        <f t="shared" si="193"/>
        <v>#DIV/0!</v>
      </c>
      <c r="BO67" s="4751"/>
      <c r="BP67" s="3341"/>
      <c r="BQ67" s="3341"/>
      <c r="BR67" s="3349">
        <f t="shared" si="194"/>
        <v>0</v>
      </c>
      <c r="BS67" s="4697" t="e">
        <f t="shared" si="195"/>
        <v>#DIV/0!</v>
      </c>
      <c r="BT67" s="4751"/>
      <c r="BU67" s="3341"/>
      <c r="BV67" s="3341"/>
      <c r="BW67" s="3349">
        <f t="shared" si="196"/>
        <v>0</v>
      </c>
      <c r="BX67" s="4697" t="e">
        <f t="shared" si="197"/>
        <v>#DIV/0!</v>
      </c>
      <c r="BY67" s="4751"/>
      <c r="BZ67" s="3341"/>
      <c r="CA67" s="3341"/>
      <c r="CB67" s="3349">
        <f t="shared" si="198"/>
        <v>0</v>
      </c>
      <c r="CC67" s="4697" t="e">
        <f t="shared" si="199"/>
        <v>#DIV/0!</v>
      </c>
      <c r="CD67" s="4751"/>
      <c r="CE67" s="3341"/>
      <c r="CF67" s="3341"/>
      <c r="CG67" s="3349">
        <f t="shared" si="200"/>
        <v>0</v>
      </c>
      <c r="CH67" s="4697" t="e">
        <f t="shared" si="201"/>
        <v>#DIV/0!</v>
      </c>
      <c r="CI67" s="4751"/>
      <c r="CJ67" s="3341">
        <f t="shared" si="202"/>
        <v>0</v>
      </c>
      <c r="CK67" s="3341">
        <f t="shared" si="202"/>
        <v>0</v>
      </c>
      <c r="CL67" s="2012">
        <f t="shared" si="203"/>
        <v>0</v>
      </c>
      <c r="CM67" s="4697">
        <f t="shared" si="168"/>
        <v>0</v>
      </c>
      <c r="CN67" s="4699"/>
      <c r="CP67" s="2012">
        <f t="shared" si="204"/>
        <v>0</v>
      </c>
      <c r="CQ67" s="2012">
        <f t="shared" si="204"/>
        <v>0</v>
      </c>
      <c r="CR67" s="4614"/>
      <c r="CT67" s="2624"/>
    </row>
    <row r="68" spans="1:98" s="1396" customFormat="1" ht="26.4" outlineLevel="2">
      <c r="A68" s="1571"/>
      <c r="B68" s="4728" t="s">
        <v>5</v>
      </c>
      <c r="C68" s="3341"/>
      <c r="D68" s="3341"/>
      <c r="E68" s="3349">
        <f t="shared" si="169"/>
        <v>0</v>
      </c>
      <c r="F68" s="4697" t="e">
        <f t="shared" si="133"/>
        <v>#DIV/0!</v>
      </c>
      <c r="G68" s="3341"/>
      <c r="H68" s="3341"/>
      <c r="I68" s="3341"/>
      <c r="J68" s="3349">
        <f t="shared" si="170"/>
        <v>0</v>
      </c>
      <c r="K68" s="4697" t="e">
        <f t="shared" si="171"/>
        <v>#DIV/0!</v>
      </c>
      <c r="L68" s="3341"/>
      <c r="M68" s="3341"/>
      <c r="N68" s="3341"/>
      <c r="O68" s="3349">
        <f t="shared" si="172"/>
        <v>0</v>
      </c>
      <c r="P68" s="4697" t="e">
        <f t="shared" si="173"/>
        <v>#DIV/0!</v>
      </c>
      <c r="Q68" s="3341"/>
      <c r="R68" s="3342">
        <f t="shared" si="174"/>
        <v>0</v>
      </c>
      <c r="S68" s="3342">
        <f t="shared" si="174"/>
        <v>0</v>
      </c>
      <c r="T68" s="2012">
        <f t="shared" si="175"/>
        <v>0</v>
      </c>
      <c r="U68" s="3341"/>
      <c r="V68" s="3341"/>
      <c r="W68" s="3342">
        <f t="shared" si="176"/>
        <v>77544.850000000006</v>
      </c>
      <c r="X68" s="3342">
        <f t="shared" si="176"/>
        <v>2983.3136000000004</v>
      </c>
      <c r="Y68" s="2012">
        <f t="shared" si="177"/>
        <v>80528.1636</v>
      </c>
      <c r="Z68" s="3341"/>
      <c r="AA68" s="3341"/>
      <c r="AB68" s="3349">
        <v>1038.0999999999999</v>
      </c>
      <c r="AC68" s="3349">
        <f>AC9*0.01+AC55*0.01</f>
        <v>1224.4588000000001</v>
      </c>
      <c r="AD68" s="3349">
        <f t="shared" si="178"/>
        <v>2262.5587999999998</v>
      </c>
      <c r="AE68" s="4697">
        <f t="shared" si="179"/>
        <v>2.9585041173982342E-3</v>
      </c>
      <c r="AF68" s="3801"/>
      <c r="AG68" s="3341">
        <v>1435</v>
      </c>
      <c r="AH68" s="3349">
        <f>AH9*0.01+AH55*0.01</f>
        <v>1308.8548000000001</v>
      </c>
      <c r="AI68" s="3349">
        <f t="shared" si="180"/>
        <v>2743.8548000000001</v>
      </c>
      <c r="AJ68" s="4697">
        <f t="shared" si="181"/>
        <v>4.4513650346486525E-3</v>
      </c>
      <c r="AK68" s="3341" t="s">
        <v>562</v>
      </c>
      <c r="AL68" s="3341">
        <v>1478.49</v>
      </c>
      <c r="AM68" s="3349">
        <v>275</v>
      </c>
      <c r="AN68" s="3349">
        <f t="shared" si="182"/>
        <v>1753.49</v>
      </c>
      <c r="AO68" s="4697">
        <f t="shared" si="183"/>
        <v>2.6002900090737902E-3</v>
      </c>
      <c r="AP68" s="3719" t="s">
        <v>1979</v>
      </c>
      <c r="AQ68" s="2043">
        <f>14749.98+1109</f>
        <v>15858.98</v>
      </c>
      <c r="AR68" s="2043"/>
      <c r="AS68" s="2045">
        <f t="shared" si="184"/>
        <v>15858.98</v>
      </c>
      <c r="AT68" s="4697">
        <f t="shared" si="185"/>
        <v>2.8307704492616104E-2</v>
      </c>
      <c r="AU68" s="4197" t="s">
        <v>2066</v>
      </c>
      <c r="AV68" s="3341">
        <v>2060.69</v>
      </c>
      <c r="AW68" s="3341"/>
      <c r="AX68" s="3349">
        <f t="shared" si="186"/>
        <v>2060.69</v>
      </c>
      <c r="AY68" s="4697">
        <f t="shared" si="187"/>
        <v>3.9202518785452951E-3</v>
      </c>
      <c r="AZ68" s="3341" t="s">
        <v>562</v>
      </c>
      <c r="BA68" s="3341">
        <f>1606.08+54067.51</f>
        <v>55673.590000000004</v>
      </c>
      <c r="BB68" s="3341">
        <v>175</v>
      </c>
      <c r="BC68" s="3349">
        <f t="shared" si="188"/>
        <v>55848.590000000004</v>
      </c>
      <c r="BD68" s="4697">
        <f t="shared" si="189"/>
        <v>8.2980781621878691E-2</v>
      </c>
      <c r="BE68" s="4767" t="s">
        <v>2176</v>
      </c>
      <c r="BF68" s="3341"/>
      <c r="BG68" s="3341"/>
      <c r="BH68" s="3349">
        <f t="shared" si="190"/>
        <v>0</v>
      </c>
      <c r="BI68" s="4697" t="e">
        <f t="shared" si="191"/>
        <v>#DIV/0!</v>
      </c>
      <c r="BJ68" s="3341"/>
      <c r="BK68" s="3341"/>
      <c r="BL68" s="3341"/>
      <c r="BM68" s="3349">
        <f t="shared" si="192"/>
        <v>0</v>
      </c>
      <c r="BN68" s="4697" t="e">
        <f t="shared" si="193"/>
        <v>#DIV/0!</v>
      </c>
      <c r="BO68" s="3341"/>
      <c r="BP68" s="3341"/>
      <c r="BQ68" s="3341"/>
      <c r="BR68" s="3349">
        <f t="shared" si="194"/>
        <v>0</v>
      </c>
      <c r="BS68" s="4697" t="e">
        <f t="shared" si="195"/>
        <v>#DIV/0!</v>
      </c>
      <c r="BT68" s="3341"/>
      <c r="BU68" s="3341"/>
      <c r="BV68" s="3341"/>
      <c r="BW68" s="3349">
        <f t="shared" si="196"/>
        <v>0</v>
      </c>
      <c r="BX68" s="4697" t="e">
        <f t="shared" si="197"/>
        <v>#DIV/0!</v>
      </c>
      <c r="BY68" s="3341"/>
      <c r="BZ68" s="3341"/>
      <c r="CA68" s="3341"/>
      <c r="CB68" s="3349">
        <f t="shared" si="198"/>
        <v>0</v>
      </c>
      <c r="CC68" s="4697" t="e">
        <f t="shared" si="199"/>
        <v>#DIV/0!</v>
      </c>
      <c r="CD68" s="3341"/>
      <c r="CE68" s="3341"/>
      <c r="CF68" s="3341"/>
      <c r="CG68" s="3349">
        <f t="shared" si="200"/>
        <v>0</v>
      </c>
      <c r="CH68" s="4697" t="e">
        <f t="shared" si="201"/>
        <v>#DIV/0!</v>
      </c>
      <c r="CI68" s="3341"/>
      <c r="CJ68" s="3341">
        <f t="shared" si="202"/>
        <v>77544.850000000006</v>
      </c>
      <c r="CK68" s="3341">
        <f t="shared" si="202"/>
        <v>2983.3136000000004</v>
      </c>
      <c r="CL68" s="2012">
        <f t="shared" si="203"/>
        <v>80528.1636</v>
      </c>
      <c r="CM68" s="4697">
        <f t="shared" si="168"/>
        <v>2.1111430209994016E-2</v>
      </c>
      <c r="CN68" s="4699"/>
      <c r="CP68" s="2012">
        <f t="shared" si="204"/>
        <v>0</v>
      </c>
      <c r="CQ68" s="2012">
        <f t="shared" si="204"/>
        <v>0</v>
      </c>
      <c r="CR68" s="4614"/>
      <c r="CT68" s="2624"/>
    </row>
    <row r="69" spans="1:98" s="1396" customFormat="1" ht="13.8" outlineLevel="2">
      <c r="A69" s="1571"/>
      <c r="B69" s="4728" t="s">
        <v>42</v>
      </c>
      <c r="C69" s="3341"/>
      <c r="D69" s="3341"/>
      <c r="E69" s="3349">
        <f t="shared" si="169"/>
        <v>0</v>
      </c>
      <c r="F69" s="4697" t="e">
        <f t="shared" si="133"/>
        <v>#DIV/0!</v>
      </c>
      <c r="G69" s="4751"/>
      <c r="H69" s="3341"/>
      <c r="I69" s="3341"/>
      <c r="J69" s="3349">
        <f t="shared" si="170"/>
        <v>0</v>
      </c>
      <c r="K69" s="4697" t="e">
        <f t="shared" si="171"/>
        <v>#DIV/0!</v>
      </c>
      <c r="L69" s="4751"/>
      <c r="M69" s="3341"/>
      <c r="N69" s="3341"/>
      <c r="O69" s="3349">
        <f t="shared" si="172"/>
        <v>0</v>
      </c>
      <c r="P69" s="4697" t="e">
        <f t="shared" si="173"/>
        <v>#DIV/0!</v>
      </c>
      <c r="Q69" s="4751"/>
      <c r="R69" s="3342">
        <f t="shared" si="174"/>
        <v>0</v>
      </c>
      <c r="S69" s="3342">
        <f t="shared" si="174"/>
        <v>0</v>
      </c>
      <c r="T69" s="2012">
        <f t="shared" si="175"/>
        <v>0</v>
      </c>
      <c r="U69" s="3462"/>
      <c r="V69" s="3462"/>
      <c r="W69" s="3342">
        <f t="shared" si="176"/>
        <v>5000</v>
      </c>
      <c r="X69" s="3342">
        <f t="shared" si="176"/>
        <v>0</v>
      </c>
      <c r="Y69" s="2012">
        <f t="shared" si="177"/>
        <v>5000</v>
      </c>
      <c r="Z69" s="3462"/>
      <c r="AA69" s="3462"/>
      <c r="AB69" s="3349"/>
      <c r="AC69" s="3349"/>
      <c r="AD69" s="3349">
        <f t="shared" si="178"/>
        <v>0</v>
      </c>
      <c r="AE69" s="4697">
        <f t="shared" si="179"/>
        <v>0</v>
      </c>
      <c r="AF69" s="4752"/>
      <c r="AG69" s="3341"/>
      <c r="AH69" s="3341"/>
      <c r="AI69" s="3349">
        <f t="shared" si="180"/>
        <v>0</v>
      </c>
      <c r="AJ69" s="4697">
        <f t="shared" si="181"/>
        <v>0</v>
      </c>
      <c r="AK69" s="4751"/>
      <c r="AL69" s="3341"/>
      <c r="AM69" s="3341"/>
      <c r="AN69" s="3349">
        <f t="shared" si="182"/>
        <v>0</v>
      </c>
      <c r="AO69" s="4697">
        <f t="shared" si="183"/>
        <v>0</v>
      </c>
      <c r="AP69" s="4753"/>
      <c r="AQ69" s="2043">
        <v>5000</v>
      </c>
      <c r="AR69" s="2043"/>
      <c r="AS69" s="2045">
        <f t="shared" si="184"/>
        <v>5000</v>
      </c>
      <c r="AT69" s="4697">
        <f t="shared" si="185"/>
        <v>8.9248187754244288E-3</v>
      </c>
      <c r="AU69" s="4753" t="s">
        <v>2057</v>
      </c>
      <c r="AV69" s="3341"/>
      <c r="AW69" s="3341"/>
      <c r="AX69" s="3349">
        <f t="shared" si="186"/>
        <v>0</v>
      </c>
      <c r="AY69" s="4697">
        <f t="shared" si="187"/>
        <v>0</v>
      </c>
      <c r="AZ69" s="4751"/>
      <c r="BA69" s="3341"/>
      <c r="BB69" s="3341"/>
      <c r="BC69" s="3349">
        <f t="shared" si="188"/>
        <v>0</v>
      </c>
      <c r="BD69" s="4697">
        <f t="shared" si="189"/>
        <v>0</v>
      </c>
      <c r="BE69" s="4751"/>
      <c r="BF69" s="3341"/>
      <c r="BG69" s="3341"/>
      <c r="BH69" s="3349">
        <f t="shared" si="190"/>
        <v>0</v>
      </c>
      <c r="BI69" s="4697" t="e">
        <f t="shared" si="191"/>
        <v>#DIV/0!</v>
      </c>
      <c r="BJ69" s="4751"/>
      <c r="BK69" s="3341"/>
      <c r="BL69" s="3341"/>
      <c r="BM69" s="3349">
        <f t="shared" si="192"/>
        <v>0</v>
      </c>
      <c r="BN69" s="4697" t="e">
        <f t="shared" si="193"/>
        <v>#DIV/0!</v>
      </c>
      <c r="BO69" s="4751"/>
      <c r="BP69" s="3341"/>
      <c r="BQ69" s="3341"/>
      <c r="BR69" s="3349">
        <f t="shared" si="194"/>
        <v>0</v>
      </c>
      <c r="BS69" s="4697" t="e">
        <f t="shared" si="195"/>
        <v>#DIV/0!</v>
      </c>
      <c r="BT69" s="4751"/>
      <c r="BU69" s="3341"/>
      <c r="BV69" s="3341"/>
      <c r="BW69" s="3349">
        <f t="shared" si="196"/>
        <v>0</v>
      </c>
      <c r="BX69" s="4697" t="e">
        <f t="shared" si="197"/>
        <v>#DIV/0!</v>
      </c>
      <c r="BY69" s="4751"/>
      <c r="BZ69" s="3341"/>
      <c r="CA69" s="3341"/>
      <c r="CB69" s="3349">
        <f t="shared" si="198"/>
        <v>0</v>
      </c>
      <c r="CC69" s="4697" t="e">
        <f t="shared" si="199"/>
        <v>#DIV/0!</v>
      </c>
      <c r="CD69" s="4751"/>
      <c r="CE69" s="3341"/>
      <c r="CF69" s="3341"/>
      <c r="CG69" s="3349">
        <f t="shared" si="200"/>
        <v>0</v>
      </c>
      <c r="CH69" s="4697" t="e">
        <f t="shared" si="201"/>
        <v>#DIV/0!</v>
      </c>
      <c r="CI69" s="4751"/>
      <c r="CJ69" s="3341">
        <f t="shared" si="202"/>
        <v>5000</v>
      </c>
      <c r="CK69" s="3341">
        <f t="shared" si="202"/>
        <v>0</v>
      </c>
      <c r="CL69" s="2012">
        <f t="shared" si="203"/>
        <v>5000</v>
      </c>
      <c r="CM69" s="4697">
        <f t="shared" si="168"/>
        <v>1.310810359147071E-3</v>
      </c>
      <c r="CN69" s="4699"/>
      <c r="CP69" s="2012">
        <f t="shared" si="204"/>
        <v>0</v>
      </c>
      <c r="CQ69" s="2012">
        <f t="shared" si="204"/>
        <v>0</v>
      </c>
      <c r="CR69" s="4614"/>
      <c r="CT69" s="2624"/>
    </row>
    <row r="70" spans="1:98" s="1396" customFormat="1" ht="13.8" outlineLevel="2">
      <c r="A70" s="1571"/>
      <c r="B70" s="4728" t="s">
        <v>6</v>
      </c>
      <c r="C70" s="3341"/>
      <c r="D70" s="3341"/>
      <c r="E70" s="3349">
        <f t="shared" si="169"/>
        <v>0</v>
      </c>
      <c r="F70" s="4697" t="e">
        <f t="shared" si="133"/>
        <v>#DIV/0!</v>
      </c>
      <c r="G70" s="4751"/>
      <c r="H70" s="3341"/>
      <c r="I70" s="3341"/>
      <c r="J70" s="3349">
        <f t="shared" si="170"/>
        <v>0</v>
      </c>
      <c r="K70" s="4697" t="e">
        <f t="shared" si="171"/>
        <v>#DIV/0!</v>
      </c>
      <c r="L70" s="4751"/>
      <c r="M70" s="3341"/>
      <c r="N70" s="3341"/>
      <c r="O70" s="3349">
        <f t="shared" si="172"/>
        <v>0</v>
      </c>
      <c r="P70" s="4697" t="e">
        <f t="shared" si="173"/>
        <v>#DIV/0!</v>
      </c>
      <c r="Q70" s="4751"/>
      <c r="R70" s="3342">
        <f t="shared" si="174"/>
        <v>0</v>
      </c>
      <c r="S70" s="3342">
        <f t="shared" si="174"/>
        <v>0</v>
      </c>
      <c r="T70" s="2012">
        <f t="shared" si="175"/>
        <v>0</v>
      </c>
      <c r="U70" s="3462"/>
      <c r="V70" s="3462"/>
      <c r="W70" s="3342">
        <f t="shared" si="176"/>
        <v>0</v>
      </c>
      <c r="X70" s="3342">
        <f t="shared" si="176"/>
        <v>3000</v>
      </c>
      <c r="Y70" s="2012">
        <f t="shared" si="177"/>
        <v>3000</v>
      </c>
      <c r="Z70" s="3462"/>
      <c r="AA70" s="3462"/>
      <c r="AB70" s="3349"/>
      <c r="AC70" s="3349"/>
      <c r="AD70" s="3349">
        <f t="shared" si="178"/>
        <v>0</v>
      </c>
      <c r="AE70" s="4697">
        <f t="shared" si="179"/>
        <v>0</v>
      </c>
      <c r="AF70" s="4752"/>
      <c r="AG70" s="3341"/>
      <c r="AH70" s="3341"/>
      <c r="AI70" s="3349">
        <f t="shared" si="180"/>
        <v>0</v>
      </c>
      <c r="AJ70" s="4697">
        <f t="shared" si="181"/>
        <v>0</v>
      </c>
      <c r="AK70" s="4751"/>
      <c r="AL70" s="3341"/>
      <c r="AM70" s="3341"/>
      <c r="AN70" s="3349">
        <f t="shared" si="182"/>
        <v>0</v>
      </c>
      <c r="AO70" s="4697">
        <f t="shared" si="183"/>
        <v>0</v>
      </c>
      <c r="AP70" s="4753"/>
      <c r="AQ70" s="3341"/>
      <c r="AR70" s="3341"/>
      <c r="AS70" s="3349">
        <f t="shared" si="184"/>
        <v>0</v>
      </c>
      <c r="AT70" s="4697">
        <f t="shared" si="185"/>
        <v>0</v>
      </c>
      <c r="AU70" s="4753"/>
      <c r="AV70" s="3341"/>
      <c r="AW70" s="3341">
        <v>3000</v>
      </c>
      <c r="AX70" s="3349">
        <f t="shared" si="186"/>
        <v>3000</v>
      </c>
      <c r="AY70" s="4697">
        <f t="shared" si="187"/>
        <v>5.7071930448713221E-3</v>
      </c>
      <c r="AZ70" s="3341" t="s">
        <v>2103</v>
      </c>
      <c r="BA70" s="3341"/>
      <c r="BB70" s="3341"/>
      <c r="BC70" s="3349">
        <f t="shared" si="188"/>
        <v>0</v>
      </c>
      <c r="BD70" s="4697">
        <f t="shared" si="189"/>
        <v>0</v>
      </c>
      <c r="BE70" s="4751"/>
      <c r="BF70" s="3341"/>
      <c r="BG70" s="3341"/>
      <c r="BH70" s="3349">
        <f t="shared" si="190"/>
        <v>0</v>
      </c>
      <c r="BI70" s="4697" t="e">
        <f t="shared" si="191"/>
        <v>#DIV/0!</v>
      </c>
      <c r="BJ70" s="4751"/>
      <c r="BK70" s="3341"/>
      <c r="BL70" s="3341"/>
      <c r="BM70" s="3349">
        <f t="shared" si="192"/>
        <v>0</v>
      </c>
      <c r="BN70" s="4697" t="e">
        <f t="shared" si="193"/>
        <v>#DIV/0!</v>
      </c>
      <c r="BO70" s="4751"/>
      <c r="BP70" s="3341"/>
      <c r="BQ70" s="3341"/>
      <c r="BR70" s="3349">
        <f t="shared" si="194"/>
        <v>0</v>
      </c>
      <c r="BS70" s="4697" t="e">
        <f t="shared" si="195"/>
        <v>#DIV/0!</v>
      </c>
      <c r="BT70" s="4751"/>
      <c r="BU70" s="3341"/>
      <c r="BV70" s="3341"/>
      <c r="BW70" s="3349">
        <f t="shared" si="196"/>
        <v>0</v>
      </c>
      <c r="BX70" s="4697" t="e">
        <f t="shared" si="197"/>
        <v>#DIV/0!</v>
      </c>
      <c r="BY70" s="4751"/>
      <c r="BZ70" s="3341"/>
      <c r="CA70" s="3341"/>
      <c r="CB70" s="3349">
        <f t="shared" si="198"/>
        <v>0</v>
      </c>
      <c r="CC70" s="4697" t="e">
        <f t="shared" si="199"/>
        <v>#DIV/0!</v>
      </c>
      <c r="CD70" s="4751"/>
      <c r="CE70" s="3341"/>
      <c r="CF70" s="3341"/>
      <c r="CG70" s="3349">
        <f t="shared" si="200"/>
        <v>0</v>
      </c>
      <c r="CH70" s="4697" t="e">
        <f t="shared" si="201"/>
        <v>#DIV/0!</v>
      </c>
      <c r="CI70" s="4751"/>
      <c r="CJ70" s="3341">
        <f t="shared" si="202"/>
        <v>0</v>
      </c>
      <c r="CK70" s="3341">
        <f t="shared" si="202"/>
        <v>3000</v>
      </c>
      <c r="CL70" s="2012">
        <f t="shared" si="203"/>
        <v>3000</v>
      </c>
      <c r="CM70" s="4697">
        <f t="shared" si="168"/>
        <v>7.8648621548824257E-4</v>
      </c>
      <c r="CN70" s="4699"/>
      <c r="CP70" s="2012">
        <f t="shared" si="204"/>
        <v>0</v>
      </c>
      <c r="CQ70" s="2012">
        <f t="shared" si="204"/>
        <v>0</v>
      </c>
      <c r="CR70" s="4614"/>
      <c r="CT70" s="2624"/>
    </row>
    <row r="71" spans="1:98" s="1396" customFormat="1" ht="26.4" outlineLevel="2">
      <c r="A71" s="1571"/>
      <c r="B71" s="4728" t="s">
        <v>78</v>
      </c>
      <c r="C71" s="3341"/>
      <c r="D71" s="3341"/>
      <c r="E71" s="3349">
        <f t="shared" si="169"/>
        <v>0</v>
      </c>
      <c r="F71" s="4697" t="e">
        <f t="shared" si="133"/>
        <v>#DIV/0!</v>
      </c>
      <c r="G71" s="4751"/>
      <c r="H71" s="3341"/>
      <c r="I71" s="3341"/>
      <c r="J71" s="3349">
        <f t="shared" si="170"/>
        <v>0</v>
      </c>
      <c r="K71" s="4697" t="e">
        <f t="shared" si="171"/>
        <v>#DIV/0!</v>
      </c>
      <c r="L71" s="4751"/>
      <c r="M71" s="3341"/>
      <c r="N71" s="3341"/>
      <c r="O71" s="3349">
        <f t="shared" si="172"/>
        <v>0</v>
      </c>
      <c r="P71" s="4697" t="e">
        <f t="shared" si="173"/>
        <v>#DIV/0!</v>
      </c>
      <c r="Q71" s="4751"/>
      <c r="R71" s="3342">
        <f t="shared" si="174"/>
        <v>0</v>
      </c>
      <c r="S71" s="3342">
        <f t="shared" si="174"/>
        <v>0</v>
      </c>
      <c r="T71" s="2012">
        <f t="shared" si="175"/>
        <v>0</v>
      </c>
      <c r="U71" s="3462"/>
      <c r="V71" s="3462"/>
      <c r="W71" s="3342">
        <f t="shared" si="176"/>
        <v>28306</v>
      </c>
      <c r="X71" s="3342">
        <f t="shared" si="176"/>
        <v>0</v>
      </c>
      <c r="Y71" s="2012">
        <f t="shared" si="177"/>
        <v>28306</v>
      </c>
      <c r="Z71" s="3462"/>
      <c r="AA71" s="3462"/>
      <c r="AB71" s="2045">
        <f>20887+7419</f>
        <v>28306</v>
      </c>
      <c r="AC71" s="3349"/>
      <c r="AD71" s="3349">
        <f t="shared" si="178"/>
        <v>28306</v>
      </c>
      <c r="AE71" s="4697">
        <f t="shared" si="179"/>
        <v>3.7012703292871069E-2</v>
      </c>
      <c r="AF71" s="3809" t="s">
        <v>1904</v>
      </c>
      <c r="AG71" s="3341"/>
      <c r="AH71" s="3341"/>
      <c r="AI71" s="3349">
        <f t="shared" si="180"/>
        <v>0</v>
      </c>
      <c r="AJ71" s="4697">
        <f t="shared" si="181"/>
        <v>0</v>
      </c>
      <c r="AK71" s="4751"/>
      <c r="AL71" s="3341"/>
      <c r="AM71" s="3341"/>
      <c r="AN71" s="3349">
        <f t="shared" si="182"/>
        <v>0</v>
      </c>
      <c r="AO71" s="4697">
        <f t="shared" si="183"/>
        <v>0</v>
      </c>
      <c r="AP71" s="4753"/>
      <c r="AQ71" s="3341"/>
      <c r="AR71" s="3341"/>
      <c r="AS71" s="3349">
        <f t="shared" si="184"/>
        <v>0</v>
      </c>
      <c r="AT71" s="4697">
        <f t="shared" si="185"/>
        <v>0</v>
      </c>
      <c r="AU71" s="4753"/>
      <c r="AV71" s="3341"/>
      <c r="AW71" s="3341"/>
      <c r="AX71" s="3349">
        <f t="shared" si="186"/>
        <v>0</v>
      </c>
      <c r="AY71" s="4697">
        <f t="shared" si="187"/>
        <v>0</v>
      </c>
      <c r="AZ71" s="4751"/>
      <c r="BA71" s="3341"/>
      <c r="BB71" s="3341"/>
      <c r="BC71" s="3349">
        <f t="shared" si="188"/>
        <v>0</v>
      </c>
      <c r="BD71" s="4697">
        <f t="shared" si="189"/>
        <v>0</v>
      </c>
      <c r="BE71" s="4751"/>
      <c r="BF71" s="3341"/>
      <c r="BG71" s="3341"/>
      <c r="BH71" s="3349">
        <f t="shared" si="190"/>
        <v>0</v>
      </c>
      <c r="BI71" s="4697" t="e">
        <f t="shared" si="191"/>
        <v>#DIV/0!</v>
      </c>
      <c r="BJ71" s="4751"/>
      <c r="BK71" s="3341"/>
      <c r="BL71" s="3341"/>
      <c r="BM71" s="3349">
        <f t="shared" si="192"/>
        <v>0</v>
      </c>
      <c r="BN71" s="4697" t="e">
        <f t="shared" si="193"/>
        <v>#DIV/0!</v>
      </c>
      <c r="BO71" s="4751"/>
      <c r="BP71" s="3341"/>
      <c r="BQ71" s="3341"/>
      <c r="BR71" s="3349">
        <f t="shared" si="194"/>
        <v>0</v>
      </c>
      <c r="BS71" s="4697" t="e">
        <f t="shared" si="195"/>
        <v>#DIV/0!</v>
      </c>
      <c r="BT71" s="4751"/>
      <c r="BU71" s="3341"/>
      <c r="BV71" s="3341"/>
      <c r="BW71" s="3349">
        <f t="shared" si="196"/>
        <v>0</v>
      </c>
      <c r="BX71" s="4697" t="e">
        <f t="shared" si="197"/>
        <v>#DIV/0!</v>
      </c>
      <c r="BY71" s="4751"/>
      <c r="BZ71" s="3341"/>
      <c r="CA71" s="3341"/>
      <c r="CB71" s="3349">
        <f t="shared" si="198"/>
        <v>0</v>
      </c>
      <c r="CC71" s="4697" t="e">
        <f t="shared" si="199"/>
        <v>#DIV/0!</v>
      </c>
      <c r="CD71" s="4751"/>
      <c r="CE71" s="3341"/>
      <c r="CF71" s="3341"/>
      <c r="CG71" s="3349">
        <f t="shared" si="200"/>
        <v>0</v>
      </c>
      <c r="CH71" s="4697" t="e">
        <f t="shared" si="201"/>
        <v>#DIV/0!</v>
      </c>
      <c r="CI71" s="4751"/>
      <c r="CJ71" s="3341">
        <f t="shared" si="202"/>
        <v>28306</v>
      </c>
      <c r="CK71" s="3341">
        <f t="shared" si="202"/>
        <v>0</v>
      </c>
      <c r="CL71" s="2012">
        <f t="shared" si="203"/>
        <v>28306</v>
      </c>
      <c r="CM71" s="4697">
        <f t="shared" si="168"/>
        <v>7.4207596052033985E-3</v>
      </c>
      <c r="CN71" s="4699"/>
      <c r="CP71" s="2012">
        <f t="shared" si="204"/>
        <v>0</v>
      </c>
      <c r="CQ71" s="2012">
        <f t="shared" si="204"/>
        <v>0</v>
      </c>
      <c r="CR71" s="4614"/>
      <c r="CT71" s="2624"/>
    </row>
    <row r="72" spans="1:98" s="1396" customFormat="1" ht="13.8" outlineLevel="2">
      <c r="A72" s="1571"/>
      <c r="B72" s="4768"/>
      <c r="C72" s="4704"/>
      <c r="D72" s="4704"/>
      <c r="E72" s="4756"/>
      <c r="F72" s="4697"/>
      <c r="G72" s="4751"/>
      <c r="H72" s="4704"/>
      <c r="I72" s="4704"/>
      <c r="J72" s="4756"/>
      <c r="K72" s="4697" t="e">
        <f t="shared" si="171"/>
        <v>#DIV/0!</v>
      </c>
      <c r="L72" s="4751"/>
      <c r="M72" s="4704"/>
      <c r="N72" s="4704"/>
      <c r="O72" s="4756"/>
      <c r="P72" s="4697" t="e">
        <f t="shared" si="173"/>
        <v>#DIV/0!</v>
      </c>
      <c r="Q72" s="4751"/>
      <c r="R72" s="4751"/>
      <c r="S72" s="4751"/>
      <c r="T72" s="4751"/>
      <c r="U72" s="4751"/>
      <c r="V72" s="4751"/>
      <c r="W72" s="4751"/>
      <c r="X72" s="4751"/>
      <c r="Y72" s="4751"/>
      <c r="Z72" s="4751"/>
      <c r="AA72" s="4751"/>
      <c r="AB72" s="4757"/>
      <c r="AC72" s="4757"/>
      <c r="AD72" s="4756"/>
      <c r="AE72" s="4697"/>
      <c r="AF72" s="4752"/>
      <c r="AG72" s="4704"/>
      <c r="AH72" s="4704"/>
      <c r="AI72" s="4756"/>
      <c r="AJ72" s="4697"/>
      <c r="AK72" s="4751"/>
      <c r="AL72" s="4704"/>
      <c r="AM72" s="4704"/>
      <c r="AN72" s="4756"/>
      <c r="AO72" s="4697"/>
      <c r="AP72" s="4753"/>
      <c r="AQ72" s="4704"/>
      <c r="AR72" s="4704"/>
      <c r="AS72" s="4756"/>
      <c r="AT72" s="4697"/>
      <c r="AU72" s="4753"/>
      <c r="AV72" s="4704"/>
      <c r="AW72" s="4704"/>
      <c r="AX72" s="4756"/>
      <c r="AY72" s="4697"/>
      <c r="AZ72" s="4751"/>
      <c r="BA72" s="4704"/>
      <c r="BB72" s="4704"/>
      <c r="BC72" s="4756"/>
      <c r="BD72" s="4697"/>
      <c r="BE72" s="4751"/>
      <c r="BF72" s="4704"/>
      <c r="BG72" s="4704"/>
      <c r="BH72" s="4756"/>
      <c r="BI72" s="4697"/>
      <c r="BJ72" s="4751"/>
      <c r="BK72" s="4704"/>
      <c r="BL72" s="4704"/>
      <c r="BM72" s="4756"/>
      <c r="BN72" s="4697"/>
      <c r="BO72" s="4751"/>
      <c r="BP72" s="4704"/>
      <c r="BQ72" s="4704"/>
      <c r="BR72" s="4756"/>
      <c r="BS72" s="4697"/>
      <c r="BT72" s="4751"/>
      <c r="BU72" s="4704"/>
      <c r="BV72" s="4704"/>
      <c r="BW72" s="4756"/>
      <c r="BX72" s="4697"/>
      <c r="BY72" s="4751"/>
      <c r="BZ72" s="4704"/>
      <c r="CA72" s="4704"/>
      <c r="CB72" s="4756"/>
      <c r="CC72" s="4697"/>
      <c r="CD72" s="4751"/>
      <c r="CE72" s="4704"/>
      <c r="CF72" s="4704"/>
      <c r="CG72" s="4756"/>
      <c r="CH72" s="4697"/>
      <c r="CI72" s="4751"/>
      <c r="CJ72" s="4704"/>
      <c r="CK72" s="4704"/>
      <c r="CL72" s="4756"/>
      <c r="CM72" s="4697">
        <f>CL72/$CL$89</f>
        <v>0</v>
      </c>
      <c r="CN72" s="4699"/>
      <c r="CP72" s="2030"/>
      <c r="CQ72" s="2030"/>
      <c r="CR72" s="4613"/>
      <c r="CT72" s="2624"/>
    </row>
    <row r="73" spans="1:98"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Y74</f>
        <v>0</v>
      </c>
      <c r="Z73" s="3738"/>
      <c r="AA73" s="3742"/>
      <c r="AB73" s="555">
        <f>AB74</f>
        <v>0</v>
      </c>
      <c r="AC73" s="3757">
        <f>AC74</f>
        <v>0</v>
      </c>
      <c r="AD73" s="3788">
        <f>AD74</f>
        <v>0</v>
      </c>
      <c r="AE73" s="3738"/>
      <c r="AF73" s="3802"/>
      <c r="AG73" s="555">
        <f>AG74</f>
        <v>0</v>
      </c>
      <c r="AH73" s="3738">
        <f>AH74</f>
        <v>0</v>
      </c>
      <c r="AI73" s="3739">
        <f>AI74</f>
        <v>0</v>
      </c>
      <c r="AJ73" s="3738"/>
      <c r="AK73" s="3741"/>
      <c r="AL73" s="555">
        <f>AL74</f>
        <v>0</v>
      </c>
      <c r="AM73" s="3738">
        <f>AM74</f>
        <v>0</v>
      </c>
      <c r="AN73" s="3739">
        <f>AN74</f>
        <v>0</v>
      </c>
      <c r="AO73" s="3738"/>
      <c r="AP73" s="3783"/>
      <c r="AQ73" s="555">
        <f>AQ74</f>
        <v>0</v>
      </c>
      <c r="AR73" s="3738">
        <f>AR74</f>
        <v>0</v>
      </c>
      <c r="AS73" s="3739">
        <f>AS74</f>
        <v>0</v>
      </c>
      <c r="AT73" s="3738"/>
      <c r="AU73" s="3783"/>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4769">
        <f>CP74</f>
        <v>0</v>
      </c>
      <c r="CQ73" s="4769">
        <f>CQ74</f>
        <v>0</v>
      </c>
      <c r="CR73" s="4769"/>
      <c r="CT73" s="2624"/>
    </row>
    <row r="74" spans="1:98" s="1396" customFormat="1" ht="14.4" outlineLevel="1" thickBot="1">
      <c r="A74" s="1413"/>
      <c r="B74" s="1051" t="s">
        <v>64</v>
      </c>
      <c r="C74" s="3341"/>
      <c r="D74" s="3341"/>
      <c r="E74" s="3386">
        <f>C74+D74*1</f>
        <v>0</v>
      </c>
      <c r="F74" s="3386"/>
      <c r="G74" s="3468"/>
      <c r="H74" s="3341"/>
      <c r="I74" s="3341"/>
      <c r="J74" s="3386">
        <f>H74+I74*1</f>
        <v>0</v>
      </c>
      <c r="K74" s="4697" t="e">
        <f t="shared" ref="K74" si="205">J74/J$89</f>
        <v>#DIV/0!</v>
      </c>
      <c r="L74" s="3468"/>
      <c r="M74" s="3341"/>
      <c r="N74" s="3341"/>
      <c r="O74" s="3386">
        <f>M74+N74*1</f>
        <v>0</v>
      </c>
      <c r="P74" s="4697" t="e">
        <f t="shared" ref="P74" si="206">O74/O$89</f>
        <v>#DIV/0!</v>
      </c>
      <c r="Q74" s="3468"/>
      <c r="R74" s="3469"/>
      <c r="S74" s="3469"/>
      <c r="T74" s="3469"/>
      <c r="U74" s="3469"/>
      <c r="V74" s="3469"/>
      <c r="W74" s="3342">
        <f t="shared" ref="W74:X74" si="207">AB74+AG74+AL74+AV74+BA74+BF74+BK74+BP74+BU74+BZ74+CE74+AQ74</f>
        <v>0</v>
      </c>
      <c r="X74" s="3342">
        <f t="shared" si="207"/>
        <v>0</v>
      </c>
      <c r="Y74" s="3469"/>
      <c r="Z74" s="3469"/>
      <c r="AA74" s="3469"/>
      <c r="AB74" s="3349"/>
      <c r="AC74" s="3349"/>
      <c r="AD74" s="3789">
        <f>AB74+AC74*1</f>
        <v>0</v>
      </c>
      <c r="AE74" s="3386"/>
      <c r="AF74" s="3803"/>
      <c r="AG74" s="2043"/>
      <c r="AH74" s="2043"/>
      <c r="AI74" s="2045">
        <f>AG74+AH74*1</f>
        <v>0</v>
      </c>
      <c r="AJ74" s="1648"/>
      <c r="AK74" s="4030"/>
      <c r="AL74" s="3341"/>
      <c r="AM74" s="3341"/>
      <c r="AN74" s="3386">
        <f>AL74+AM74*1</f>
        <v>0</v>
      </c>
      <c r="AO74" s="3386"/>
      <c r="AP74" s="3724"/>
      <c r="AQ74" s="3341"/>
      <c r="AR74" s="3341"/>
      <c r="AS74" s="3386">
        <f>AQ74+AR74*1</f>
        <v>0</v>
      </c>
      <c r="AT74" s="3386"/>
      <c r="AU74" s="3724"/>
      <c r="AV74" s="3341"/>
      <c r="AW74" s="3341"/>
      <c r="AX74" s="3386">
        <f>AV74+AW74*1</f>
        <v>0</v>
      </c>
      <c r="AY74" s="3386"/>
      <c r="AZ74" s="3468"/>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C74+H74+M74</f>
        <v>0</v>
      </c>
      <c r="CK74" s="3341">
        <f>D74+I74+N74</f>
        <v>0</v>
      </c>
      <c r="CL74" s="3386">
        <f>CJ74+CK74*1</f>
        <v>0</v>
      </c>
      <c r="CM74" s="3386"/>
      <c r="CN74" s="3386"/>
      <c r="CP74" s="4770">
        <f>CN74+CO74*1</f>
        <v>0</v>
      </c>
      <c r="CQ74" s="4770">
        <f>CO74+CP74*1</f>
        <v>0</v>
      </c>
      <c r="CR74" s="4770"/>
      <c r="CT74" s="2624"/>
    </row>
    <row r="75" spans="1:98"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0</v>
      </c>
      <c r="O75" s="1508">
        <f>O38-O41-O50-O54</f>
        <v>0</v>
      </c>
      <c r="P75" s="1953"/>
      <c r="Q75" s="1058"/>
      <c r="R75" s="1450">
        <f>R38-R41-R50-R54</f>
        <v>0</v>
      </c>
      <c r="S75" s="1450">
        <f>S38-S41-S50-S54</f>
        <v>0</v>
      </c>
      <c r="T75" s="1508">
        <f>T38-T41-T50-T54</f>
        <v>0</v>
      </c>
      <c r="U75" s="3470"/>
      <c r="V75" s="3470"/>
      <c r="W75" s="1450">
        <f>W38-W41-W50-W54</f>
        <v>-1927749.7798734177</v>
      </c>
      <c r="X75" s="1450">
        <f>X38-X41-X50-X54</f>
        <v>-1338849.8798025316</v>
      </c>
      <c r="Y75" s="1508">
        <f>Y38-Y41-Y50-Y54</f>
        <v>-3266599.6596759493</v>
      </c>
      <c r="Z75" s="3470"/>
      <c r="AA75" s="3470"/>
      <c r="AB75" s="1958">
        <f>AB38-AB41-AB50-AB54</f>
        <v>-130077.19999999998</v>
      </c>
      <c r="AC75" s="1958">
        <f>AC38-AC41-AC50-AC54</f>
        <v>-334590.9388</v>
      </c>
      <c r="AD75" s="1508">
        <f>AB75+AC75</f>
        <v>-464668.13879999996</v>
      </c>
      <c r="AE75" s="1953"/>
      <c r="AF75" s="3804"/>
      <c r="AG75" s="1450">
        <f>AG38-AG41-AG50-AG54</f>
        <v>-371121.57000000007</v>
      </c>
      <c r="AH75" s="1450">
        <f>AH38-AH41-AH50-AH54</f>
        <v>-211206.23479999998</v>
      </c>
      <c r="AI75" s="1508">
        <f>AI38-AI41-AI50-AI54</f>
        <v>-582327.80480000004</v>
      </c>
      <c r="AJ75" s="1953"/>
      <c r="AK75" s="1058"/>
      <c r="AL75" s="1450">
        <f>AL38-AL41-AL50-AL54</f>
        <v>-385960.37</v>
      </c>
      <c r="AM75" s="1450">
        <f>AM38-AM41-AM50-AM54</f>
        <v>-173701.25</v>
      </c>
      <c r="AN75" s="1508">
        <f>AN38-AN41-AN50-AN54</f>
        <v>-559661.62</v>
      </c>
      <c r="AO75" s="1953"/>
      <c r="AP75" s="3725"/>
      <c r="AQ75" s="1450">
        <f>AQ38-AQ41-AQ50-AQ54</f>
        <v>-335268.83987341751</v>
      </c>
      <c r="AR75" s="1450">
        <f>AR38-AR41-AR50-AR54</f>
        <v>-194426.45620253164</v>
      </c>
      <c r="AS75" s="1508">
        <f>AS38-AS41-AS50-AS54</f>
        <v>-529695.29607594921</v>
      </c>
      <c r="AT75" s="1953"/>
      <c r="AU75" s="3725"/>
      <c r="AV75" s="1450">
        <f>AV38-AV41-AV50-AV54</f>
        <v>-294102.83</v>
      </c>
      <c r="AW75" s="1450">
        <f>AW38-AW41-AW50-AW54</f>
        <v>-197150</v>
      </c>
      <c r="AX75" s="1508">
        <f>AX38-AX41-AX50-AX54</f>
        <v>-491252.83</v>
      </c>
      <c r="AY75" s="1953"/>
      <c r="AZ75" s="1058"/>
      <c r="BA75" s="1450">
        <f>BA38-BA41-BA50-BA54</f>
        <v>-411218.97</v>
      </c>
      <c r="BB75" s="1450">
        <f>BB38-BB41-BB50-BB54</f>
        <v>-227775</v>
      </c>
      <c r="BC75" s="1508">
        <f>BC38-BC41-BC50-BC54</f>
        <v>-638993.97000000009</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-1927749.7798734177</v>
      </c>
      <c r="CK75" s="1450">
        <f>CK38-CK41-CK50-CK54</f>
        <v>-1338849.8798025316</v>
      </c>
      <c r="CL75" s="1508">
        <f>CL38-CL41-CL50-CL54</f>
        <v>-3266599.6596759493</v>
      </c>
      <c r="CM75" s="1953"/>
      <c r="CN75" s="1953"/>
      <c r="CP75" s="3471">
        <f>CP38-CP41-CP50-CP54</f>
        <v>0</v>
      </c>
      <c r="CQ75" s="3471">
        <f>CQ38-CQ41-CQ50-CQ54</f>
        <v>0</v>
      </c>
      <c r="CR75" s="3471">
        <f>CR38-CR41-CR50-CR54</f>
        <v>0</v>
      </c>
      <c r="CT75" s="2624"/>
    </row>
    <row r="76" spans="1:98"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3785">
        <f>IFERROR(AB75/AB5,0)</f>
        <v>-0.65038599999999991</v>
      </c>
      <c r="AC76" s="3785">
        <f>IFERROR(AC75/AC5,0)</f>
        <v>0</v>
      </c>
      <c r="AD76" s="3786">
        <f>IFERROR(AD75/AD5,0)</f>
        <v>-2.3233406939999997</v>
      </c>
      <c r="AE76" s="2004"/>
      <c r="AF76" s="3798"/>
      <c r="AG76" s="2003">
        <f>IFERROR(AG75/AG5,0)</f>
        <v>0</v>
      </c>
      <c r="AH76" s="2003">
        <f>IFERROR(AH75/AH5,0)</f>
        <v>0</v>
      </c>
      <c r="AI76" s="2004">
        <f>IFERROR(AI75/AI5,0)</f>
        <v>0</v>
      </c>
      <c r="AJ76" s="2004"/>
      <c r="AK76" s="1056"/>
      <c r="AL76" s="2003">
        <f>IFERROR(AL75/AL5,0)</f>
        <v>0</v>
      </c>
      <c r="AM76" s="2003">
        <f>IFERROR(AM75/AM5,0)</f>
        <v>-3.851468957871397</v>
      </c>
      <c r="AN76" s="2004">
        <f>IFERROR(AN75/AN5,0)</f>
        <v>-12.409348558758314</v>
      </c>
      <c r="AO76" s="2004"/>
      <c r="AP76" s="3722"/>
      <c r="AQ76" s="2003">
        <f>IFERROR(AQ75/AQ5,0)</f>
        <v>0</v>
      </c>
      <c r="AR76" s="2003">
        <f>IFERROR(AR75/AR5,0)</f>
        <v>0</v>
      </c>
      <c r="AS76" s="2004">
        <f>IFERROR(AS75/AS5,0)</f>
        <v>0</v>
      </c>
      <c r="AT76" s="2004"/>
      <c r="AU76" s="3722"/>
      <c r="AV76" s="2003">
        <f>IFERROR(AV75/AV5,0)</f>
        <v>0</v>
      </c>
      <c r="AW76" s="2003">
        <f>IFERROR(AW75/AW5,0)</f>
        <v>0</v>
      </c>
      <c r="AX76" s="2004">
        <f>IFERROR(AX75/AX5,0)</f>
        <v>0</v>
      </c>
      <c r="AY76" s="2004"/>
      <c r="AZ76" s="1056"/>
      <c r="BA76" s="2003">
        <f>IFERROR(BA75/BA5,0)</f>
        <v>0</v>
      </c>
      <c r="BB76" s="2003">
        <f>IFERROR(BB75/BB5,0)</f>
        <v>0</v>
      </c>
      <c r="BC76" s="2004">
        <f>IFERROR(BC75/BC5,0)</f>
        <v>0</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-9.6387488993670889</v>
      </c>
      <c r="CK76" s="2003">
        <f>IFERROR(CK75/CK5,0)</f>
        <v>-29.686250106486288</v>
      </c>
      <c r="CL76" s="2004">
        <f>IFERROR(CL75/CL5,0)</f>
        <v>-13.327619990517949</v>
      </c>
      <c r="CM76" s="2004"/>
      <c r="CN76" s="2004"/>
      <c r="CP76" s="2004" t="e">
        <f>CP75/CP5</f>
        <v>#DIV/0!</v>
      </c>
      <c r="CQ76" s="2004">
        <f>IFERROR(CQ75/CQ5,0)</f>
        <v>0</v>
      </c>
      <c r="CR76" s="2004" t="e">
        <f>CR75/CR5</f>
        <v>#DIV/0!</v>
      </c>
      <c r="CT76" s="2624"/>
    </row>
    <row r="77" spans="1:98" s="1396" customFormat="1" ht="14.4" outlineLevel="1" thickBot="1">
      <c r="A77" s="1566"/>
      <c r="B77" s="4771" t="s">
        <v>9</v>
      </c>
      <c r="C77" s="4772">
        <f>C78-C79</f>
        <v>0</v>
      </c>
      <c r="D77" s="4772">
        <f>D78-D79</f>
        <v>0</v>
      </c>
      <c r="E77" s="4773">
        <f>E78-E79</f>
        <v>0</v>
      </c>
      <c r="F77" s="4774"/>
      <c r="G77" s="4775"/>
      <c r="H77" s="4772">
        <f>H78-H79</f>
        <v>0</v>
      </c>
      <c r="I77" s="4772">
        <f>I78-I79</f>
        <v>0</v>
      </c>
      <c r="J77" s="4773">
        <f>J78-J79</f>
        <v>0</v>
      </c>
      <c r="K77" s="4774"/>
      <c r="L77" s="4775"/>
      <c r="M77" s="4772">
        <f>M78-M79</f>
        <v>0</v>
      </c>
      <c r="N77" s="4772">
        <f>N78-N79</f>
        <v>0</v>
      </c>
      <c r="O77" s="4773">
        <f>O78-O79</f>
        <v>0</v>
      </c>
      <c r="P77" s="4774"/>
      <c r="Q77" s="4775"/>
      <c r="R77" s="4772">
        <f>R78-R79</f>
        <v>0</v>
      </c>
      <c r="S77" s="4772">
        <f>S78-S79</f>
        <v>0</v>
      </c>
      <c r="T77" s="4773">
        <f>T78-T79</f>
        <v>0</v>
      </c>
      <c r="U77" s="4776"/>
      <c r="V77" s="4776"/>
      <c r="W77" s="4772">
        <f>W78-W79</f>
        <v>-204957.65434758773</v>
      </c>
      <c r="X77" s="4772">
        <f>X78-X79</f>
        <v>0</v>
      </c>
      <c r="Y77" s="4773">
        <f>Y78-Y79</f>
        <v>-204957.65434758773</v>
      </c>
      <c r="Z77" s="4776"/>
      <c r="AA77" s="4776"/>
      <c r="AB77" s="4772">
        <f>AB78-AB79</f>
        <v>-50819.559932522541</v>
      </c>
      <c r="AC77" s="4772">
        <f>AC78-AC79</f>
        <v>0</v>
      </c>
      <c r="AD77" s="4773">
        <f>AD78-AD79</f>
        <v>-50819.559932522541</v>
      </c>
      <c r="AE77" s="4774"/>
      <c r="AF77" s="4777"/>
      <c r="AG77" s="4772">
        <f>AG78-AG79</f>
        <v>-32646.306863492173</v>
      </c>
      <c r="AH77" s="4772">
        <f>AH78-AH79</f>
        <v>0</v>
      </c>
      <c r="AI77" s="4773">
        <f>AI78-AI79</f>
        <v>-32646.306863492173</v>
      </c>
      <c r="AJ77" s="4774"/>
      <c r="AK77" s="4775"/>
      <c r="AL77" s="4772">
        <f>AL78-AL79</f>
        <v>-31864.423122053231</v>
      </c>
      <c r="AM77" s="4772">
        <f>AM78-AM79</f>
        <v>0</v>
      </c>
      <c r="AN77" s="4773">
        <f>AN78-AN79</f>
        <v>-31864.423122053231</v>
      </c>
      <c r="AO77" s="4774"/>
      <c r="AP77" s="4778"/>
      <c r="AQ77" s="4772">
        <f>AQ78-AQ79</f>
        <v>-27878.309294855469</v>
      </c>
      <c r="AR77" s="4772">
        <f>AR78-AR79</f>
        <v>0</v>
      </c>
      <c r="AS77" s="4773">
        <f>AS78-AS79</f>
        <v>-27878.309294855469</v>
      </c>
      <c r="AT77" s="4774"/>
      <c r="AU77" s="4778"/>
      <c r="AV77" s="4772">
        <f>AV78-AV79</f>
        <v>-29313.908833126807</v>
      </c>
      <c r="AW77" s="4772">
        <f>AW78-AW79</f>
        <v>0</v>
      </c>
      <c r="AX77" s="4773">
        <f>AX78-AX79</f>
        <v>-29313.908833126807</v>
      </c>
      <c r="AY77" s="4774"/>
      <c r="AZ77" s="4775"/>
      <c r="BA77" s="4772">
        <f>BA78-BA79</f>
        <v>-32435.146301537523</v>
      </c>
      <c r="BB77" s="4772">
        <f>BB78-BB79</f>
        <v>0</v>
      </c>
      <c r="BC77" s="4773">
        <f>BC78-BC79</f>
        <v>-32435.146301537523</v>
      </c>
      <c r="BD77" s="4774"/>
      <c r="BE77" s="4775"/>
      <c r="BF77" s="4772">
        <f>BF78-BF79</f>
        <v>0</v>
      </c>
      <c r="BG77" s="4772">
        <f>BG78-BG79</f>
        <v>0</v>
      </c>
      <c r="BH77" s="4773">
        <f>BH78-BH79</f>
        <v>0</v>
      </c>
      <c r="BI77" s="4774"/>
      <c r="BJ77" s="4775"/>
      <c r="BK77" s="4772">
        <f>BK78-BK79</f>
        <v>0</v>
      </c>
      <c r="BL77" s="4772">
        <f>BL78-BL79</f>
        <v>0</v>
      </c>
      <c r="BM77" s="4773">
        <f>BM78-BM79</f>
        <v>0</v>
      </c>
      <c r="BN77" s="4774"/>
      <c r="BO77" s="4775"/>
      <c r="BP77" s="4772">
        <f>BP78-BP79</f>
        <v>0</v>
      </c>
      <c r="BQ77" s="4772">
        <f>BQ78-BQ79</f>
        <v>0</v>
      </c>
      <c r="BR77" s="4773">
        <f>BR78-BR79</f>
        <v>0</v>
      </c>
      <c r="BS77" s="4774"/>
      <c r="BT77" s="4775"/>
      <c r="BU77" s="4772">
        <f>BU78-BU79</f>
        <v>0</v>
      </c>
      <c r="BV77" s="4772">
        <f>BV78-BV79</f>
        <v>0</v>
      </c>
      <c r="BW77" s="4773">
        <f>BW78-BW79</f>
        <v>0</v>
      </c>
      <c r="BX77" s="4774"/>
      <c r="BY77" s="4775"/>
      <c r="BZ77" s="4772">
        <f>BZ78-BZ79</f>
        <v>0</v>
      </c>
      <c r="CA77" s="4772">
        <f>CA78-CA79</f>
        <v>0</v>
      </c>
      <c r="CB77" s="4773">
        <f>CB78-CB79</f>
        <v>0</v>
      </c>
      <c r="CC77" s="4774"/>
      <c r="CD77" s="4775"/>
      <c r="CE77" s="4772">
        <f>CE78-CE79</f>
        <v>0</v>
      </c>
      <c r="CF77" s="4772">
        <f>CF78-CF79</f>
        <v>0</v>
      </c>
      <c r="CG77" s="4773">
        <f>CG78-CG79</f>
        <v>0</v>
      </c>
      <c r="CH77" s="4774"/>
      <c r="CI77" s="4775"/>
      <c r="CJ77" s="4772">
        <f>CJ78-CJ79</f>
        <v>-204957.65434758773</v>
      </c>
      <c r="CK77" s="4772">
        <f>CK78-CK79</f>
        <v>0</v>
      </c>
      <c r="CL77" s="4773">
        <f>CL78-CL79</f>
        <v>-204957.65434758773</v>
      </c>
      <c r="CM77" s="4774"/>
      <c r="CN77" s="4774"/>
      <c r="CP77" s="4773">
        <f>CP78-CP79</f>
        <v>0</v>
      </c>
      <c r="CQ77" s="4773">
        <f>CQ78-CQ79</f>
        <v>0</v>
      </c>
      <c r="CR77" s="4773"/>
      <c r="CT77" s="2624"/>
    </row>
    <row r="78" spans="1:98" s="1396" customFormat="1" ht="13.8" outlineLevel="2">
      <c r="A78" s="1405"/>
      <c r="B78" s="1400" t="s">
        <v>43</v>
      </c>
      <c r="C78" s="3341"/>
      <c r="D78" s="3341"/>
      <c r="E78" s="3391">
        <f>C78+D78*1.15</f>
        <v>0</v>
      </c>
      <c r="F78" s="3391"/>
      <c r="G78" s="3473"/>
      <c r="H78" s="3341"/>
      <c r="I78" s="3341"/>
      <c r="J78" s="3391">
        <f>H78+I78*1.15</f>
        <v>0</v>
      </c>
      <c r="K78" s="4697" t="e">
        <f t="shared" ref="K78:K79" si="208">J78/J$89</f>
        <v>#DIV/0!</v>
      </c>
      <c r="L78" s="3473"/>
      <c r="M78" s="3341"/>
      <c r="N78" s="3341"/>
      <c r="O78" s="3391">
        <f>M78+N78*1.15</f>
        <v>0</v>
      </c>
      <c r="P78" s="4697" t="e">
        <f t="shared" ref="P78:P79" si="209">O78/O$89</f>
        <v>#DIV/0!</v>
      </c>
      <c r="Q78" s="3473"/>
      <c r="R78" s="3342">
        <f t="shared" ref="R78:S79" si="210">M78+H78+C78</f>
        <v>0</v>
      </c>
      <c r="S78" s="3342">
        <f t="shared" si="210"/>
        <v>0</v>
      </c>
      <c r="T78" s="2012">
        <f t="shared" ref="T78:T79" si="211">R78+S78</f>
        <v>0</v>
      </c>
      <c r="U78" s="3474"/>
      <c r="V78" s="3474"/>
      <c r="W78" s="3342">
        <f t="shared" ref="W78:X79" si="212">AB78+AG78+AL78+AV78+BA78+BF78+BK78+BP78+BU78+BZ78+CE78+AQ78</f>
        <v>11186.03</v>
      </c>
      <c r="X78" s="3342">
        <f t="shared" si="212"/>
        <v>0</v>
      </c>
      <c r="Y78" s="2012">
        <f t="shared" ref="Y78:Y79" si="213">W78+X78</f>
        <v>11186.03</v>
      </c>
      <c r="Z78" s="3474"/>
      <c r="AA78" s="3474"/>
      <c r="AB78" s="3349">
        <v>3648.76</v>
      </c>
      <c r="AC78" s="3349"/>
      <c r="AD78" s="3349">
        <f>AB78+AC78*1.15</f>
        <v>3648.76</v>
      </c>
      <c r="AE78" s="3391"/>
      <c r="AF78" s="3805" t="s">
        <v>1903</v>
      </c>
      <c r="AG78" s="3341">
        <v>1433.39</v>
      </c>
      <c r="AH78" s="3341"/>
      <c r="AI78" s="2012">
        <f>AG78+AH78*1.15</f>
        <v>1433.39</v>
      </c>
      <c r="AJ78" s="3391"/>
      <c r="AK78" s="3805" t="s">
        <v>1903</v>
      </c>
      <c r="AL78" s="3341">
        <v>830.01</v>
      </c>
      <c r="AM78" s="3341"/>
      <c r="AN78" s="2012">
        <f>AL78+AM78</f>
        <v>830.01</v>
      </c>
      <c r="AO78" s="3391"/>
      <c r="AP78" s="3805" t="s">
        <v>1903</v>
      </c>
      <c r="AQ78" s="3341">
        <v>1174.8599999999999</v>
      </c>
      <c r="AR78" s="3341"/>
      <c r="AS78" s="2012">
        <f>AQ78+AR78</f>
        <v>1174.8599999999999</v>
      </c>
      <c r="AT78" s="3391"/>
      <c r="AU78" s="3805" t="s">
        <v>1903</v>
      </c>
      <c r="AV78" s="3341">
        <v>2497.71</v>
      </c>
      <c r="AW78" s="3341"/>
      <c r="AX78" s="2012">
        <f>AV78+AW78</f>
        <v>2497.71</v>
      </c>
      <c r="AY78" s="3391"/>
      <c r="AZ78" s="3805" t="s">
        <v>1903</v>
      </c>
      <c r="BA78" s="3341">
        <v>1601.3</v>
      </c>
      <c r="BB78" s="3341"/>
      <c r="BC78" s="2012">
        <f>BA78+BB78*1.15</f>
        <v>1601.3</v>
      </c>
      <c r="BD78" s="3391"/>
      <c r="BE78" s="3805" t="s">
        <v>2169</v>
      </c>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14">C78+H78+M78+W78</f>
        <v>11186.03</v>
      </c>
      <c r="CK78" s="3341">
        <f t="shared" si="214"/>
        <v>0</v>
      </c>
      <c r="CL78" s="2012">
        <f>CJ78+CK78*1.15</f>
        <v>11186.03</v>
      </c>
      <c r="CM78" s="3391"/>
      <c r="CN78" s="3391"/>
      <c r="CP78" s="3475">
        <f>CN78+CO78*1.15</f>
        <v>0</v>
      </c>
      <c r="CQ78" s="3475">
        <f>CO78+CP78*1.15</f>
        <v>0</v>
      </c>
      <c r="CR78" s="4614"/>
      <c r="CT78" s="2624"/>
    </row>
    <row r="79" spans="1:98" s="1396" customFormat="1" ht="13.8" outlineLevel="2">
      <c r="A79" s="1405"/>
      <c r="B79" s="4779" t="s">
        <v>79</v>
      </c>
      <c r="C79" s="3341">
        <f>(D8+D41+D50+D54)/(1-'расчет 2024'!$M$21)*'расчет 2024'!$M$21</f>
        <v>0</v>
      </c>
      <c r="D79" s="3341"/>
      <c r="E79" s="2012">
        <f>C79+D79</f>
        <v>0</v>
      </c>
      <c r="F79" s="4733"/>
      <c r="G79" s="4729"/>
      <c r="H79" s="3341">
        <f>(I8+I41+I50+I54)/(1-'расчет 2024'!$M$23)*'расчет 2024'!$M$23</f>
        <v>0</v>
      </c>
      <c r="I79" s="3341"/>
      <c r="J79" s="2012">
        <f>H79+I79</f>
        <v>0</v>
      </c>
      <c r="K79" s="4697" t="e">
        <f t="shared" si="208"/>
        <v>#DIV/0!</v>
      </c>
      <c r="L79" s="4729"/>
      <c r="M79" s="3341">
        <f>(N8+N41+N50+N54)/(1-'расчет 2024'!$M$23)*'расчет 2024'!$M$23</f>
        <v>0</v>
      </c>
      <c r="N79" s="3341"/>
      <c r="O79" s="2012">
        <f>M79+N79</f>
        <v>0</v>
      </c>
      <c r="P79" s="4697" t="e">
        <f t="shared" si="209"/>
        <v>#DIV/0!</v>
      </c>
      <c r="Q79" s="4729"/>
      <c r="R79" s="3342">
        <f t="shared" si="210"/>
        <v>0</v>
      </c>
      <c r="S79" s="3342">
        <f t="shared" si="210"/>
        <v>0</v>
      </c>
      <c r="T79" s="2012">
        <f t="shared" si="211"/>
        <v>0</v>
      </c>
      <c r="U79" s="3455"/>
      <c r="V79" s="3455"/>
      <c r="W79" s="3342">
        <f t="shared" si="212"/>
        <v>216143.68434758772</v>
      </c>
      <c r="X79" s="3342">
        <f t="shared" si="212"/>
        <v>0</v>
      </c>
      <c r="Y79" s="2012">
        <f t="shared" si="213"/>
        <v>216143.68434758772</v>
      </c>
      <c r="Z79" s="3455"/>
      <c r="AA79" s="3455"/>
      <c r="AB79" s="3349">
        <f>(AC8+AC41+AC50+AC54)/(1-'расчет 2024'!$M$24)*'расчет 2024'!$M$24</f>
        <v>54468.319932522543</v>
      </c>
      <c r="AC79" s="3349"/>
      <c r="AD79" s="2012">
        <f>AB79+AC79</f>
        <v>54468.319932522543</v>
      </c>
      <c r="AE79" s="4733"/>
      <c r="AF79" s="4730"/>
      <c r="AG79" s="3341">
        <f>(AH8+AH41+AH50+AH54)/(1-'расчет 2024'!$M$23)*'расчет 2024'!$M$23</f>
        <v>34079.696863492172</v>
      </c>
      <c r="AH79" s="3341"/>
      <c r="AI79" s="2012">
        <f>AG79+AH79</f>
        <v>34079.696863492172</v>
      </c>
      <c r="AJ79" s="4733"/>
      <c r="AK79" s="4729"/>
      <c r="AL79" s="3341">
        <f>(AM8+AM41+AM50+AM54)/(1-'расчет 2024'!$M$25)*'расчет 2024'!$M$25</f>
        <v>32694.433122053229</v>
      </c>
      <c r="AM79" s="3341"/>
      <c r="AN79" s="2012">
        <f>AL79+AM79</f>
        <v>32694.433122053229</v>
      </c>
      <c r="AO79" s="4733"/>
      <c r="AP79" s="4732"/>
      <c r="AQ79" s="3341">
        <f>(AR8+AR41+AR50+AR54)/(1-'расчет 2024'!$M$28)*'расчет 2024'!$M$28</f>
        <v>29053.16929485547</v>
      </c>
      <c r="AR79" s="3341"/>
      <c r="AS79" s="2012">
        <f>AQ79+AR79</f>
        <v>29053.16929485547</v>
      </c>
      <c r="AT79" s="4733"/>
      <c r="AU79" s="4732"/>
      <c r="AV79" s="3341">
        <f>(AW8+AW41+AW50+AW54)/(1-'расчет 2024'!$M$23)*'расчет 2024'!$M$23</f>
        <v>31811.618833126806</v>
      </c>
      <c r="AW79" s="3341"/>
      <c r="AX79" s="2012">
        <f>AV79+AW79</f>
        <v>31811.618833126806</v>
      </c>
      <c r="AY79" s="4733"/>
      <c r="AZ79" s="4729"/>
      <c r="BA79" s="3341">
        <f>(BB8+BB41+BB50+BB54)/(1-'расчет 2024'!$M$28)*'расчет 2024'!$M$28</f>
        <v>34036.446301537522</v>
      </c>
      <c r="BB79" s="3341"/>
      <c r="BC79" s="2012">
        <f>BA79+BB79</f>
        <v>34036.446301537522</v>
      </c>
      <c r="BD79" s="4733"/>
      <c r="BE79" s="4729"/>
      <c r="BF79" s="3341">
        <f>(BG8+BG41+BG50+BG54)/(1-'расчет 2024'!$M$23)*'расчет 2024'!$M$23</f>
        <v>0</v>
      </c>
      <c r="BG79" s="3341"/>
      <c r="BH79" s="2012">
        <f>BF79+BG79</f>
        <v>0</v>
      </c>
      <c r="BI79" s="4733"/>
      <c r="BJ79" s="4729"/>
      <c r="BK79" s="3341"/>
      <c r="BL79" s="3341"/>
      <c r="BM79" s="2012">
        <f>BK79+BL79</f>
        <v>0</v>
      </c>
      <c r="BN79" s="4733"/>
      <c r="BO79" s="4729"/>
      <c r="BP79" s="3341">
        <f>(BQ8+BQ41+BQ50+BQ54)/(1-'расчет 2024'!$M$23)*'расчет 2024'!$M$23</f>
        <v>0</v>
      </c>
      <c r="BQ79" s="3341"/>
      <c r="BR79" s="2012">
        <f>BP79+BQ79</f>
        <v>0</v>
      </c>
      <c r="BS79" s="4733"/>
      <c r="BT79" s="4729"/>
      <c r="BU79" s="3341">
        <f>(BV8+BV41+BV50+BV54)/(1-'расчет 2024'!$M$23)*'расчет 2024'!$M$23</f>
        <v>0</v>
      </c>
      <c r="BV79" s="3341"/>
      <c r="BW79" s="2012">
        <f>BU79+BV79</f>
        <v>0</v>
      </c>
      <c r="BX79" s="4733"/>
      <c r="BY79" s="4729"/>
      <c r="BZ79" s="3341">
        <f>(CA8+CA41+CA50+CA54)/(1-'расчет 2024'!$M$23)*'расчет 2024'!$M$23</f>
        <v>0</v>
      </c>
      <c r="CA79" s="3341"/>
      <c r="CB79" s="2012">
        <f>BZ79+CA79</f>
        <v>0</v>
      </c>
      <c r="CC79" s="4733"/>
      <c r="CD79" s="4729"/>
      <c r="CE79" s="3341">
        <f>(CF8+CF41+CF50+CF54)/(1-'расчет 2024'!$M$23)*'расчет 2024'!$M$23</f>
        <v>0</v>
      </c>
      <c r="CF79" s="3341"/>
      <c r="CG79" s="2012">
        <f>CE79+CF79</f>
        <v>0</v>
      </c>
      <c r="CH79" s="4733"/>
      <c r="CI79" s="4729"/>
      <c r="CJ79" s="3341">
        <f t="shared" si="214"/>
        <v>216143.68434758772</v>
      </c>
      <c r="CK79" s="3341">
        <f t="shared" si="214"/>
        <v>0</v>
      </c>
      <c r="CL79" s="2012">
        <f t="shared" ref="CL79" si="215">CJ79+CK79*1</f>
        <v>216143.68434758772</v>
      </c>
      <c r="CM79" s="4733"/>
      <c r="CN79" s="4733"/>
      <c r="CP79" s="2012">
        <f t="shared" ref="CP79" si="216">CN79+CO79*1</f>
        <v>0</v>
      </c>
      <c r="CQ79" s="2012"/>
      <c r="CR79" s="4614">
        <f t="shared" ref="CR79" si="217">CP79-CQ79</f>
        <v>0</v>
      </c>
      <c r="CT79" s="2624"/>
    </row>
    <row r="80" spans="1:98" ht="13.8" outlineLevel="2">
      <c r="A80" s="1397"/>
      <c r="B80" s="4768"/>
      <c r="C80" s="3341"/>
      <c r="D80" s="3341"/>
      <c r="E80" s="4780"/>
      <c r="F80" s="4780"/>
      <c r="G80" s="4781"/>
      <c r="H80" s="3341"/>
      <c r="I80" s="3341"/>
      <c r="J80" s="4780"/>
      <c r="K80" s="4780"/>
      <c r="L80" s="4781"/>
      <c r="M80" s="3341"/>
      <c r="N80" s="3341"/>
      <c r="O80" s="4780"/>
      <c r="P80" s="4780"/>
      <c r="Q80" s="4781"/>
      <c r="R80" s="3448"/>
      <c r="S80" s="3448"/>
      <c r="T80" s="3448"/>
      <c r="U80" s="3448"/>
      <c r="V80" s="3448"/>
      <c r="W80" s="3448"/>
      <c r="X80" s="3448"/>
      <c r="Y80" s="3448"/>
      <c r="Z80" s="3448"/>
      <c r="AA80" s="3448"/>
      <c r="AB80" s="3349"/>
      <c r="AC80" s="3349"/>
      <c r="AD80" s="4782"/>
      <c r="AE80" s="4780"/>
      <c r="AF80" s="4783"/>
      <c r="AG80" s="3341"/>
      <c r="AH80" s="3341"/>
      <c r="AI80" s="4780"/>
      <c r="AJ80" s="4780"/>
      <c r="AK80" s="4781"/>
      <c r="AL80" s="3341"/>
      <c r="AM80" s="3341"/>
      <c r="AN80" s="4780"/>
      <c r="AO80" s="4780"/>
      <c r="AP80" s="4784"/>
      <c r="AQ80" s="3341"/>
      <c r="AR80" s="3341"/>
      <c r="AS80" s="4780"/>
      <c r="AT80" s="4780"/>
      <c r="AU80" s="4784"/>
      <c r="AV80" s="3341"/>
      <c r="AW80" s="3341"/>
      <c r="AX80" s="4780"/>
      <c r="AY80" s="4780"/>
      <c r="AZ80" s="4781"/>
      <c r="BA80" s="3341"/>
      <c r="BB80" s="3341"/>
      <c r="BC80" s="4780"/>
      <c r="BD80" s="4780"/>
      <c r="BE80" s="4781"/>
      <c r="BF80" s="3341"/>
      <c r="BG80" s="3341"/>
      <c r="BH80" s="4780"/>
      <c r="BI80" s="4780"/>
      <c r="BJ80" s="4781"/>
      <c r="BK80" s="3341"/>
      <c r="BL80" s="3341"/>
      <c r="BM80" s="4780"/>
      <c r="BN80" s="4780"/>
      <c r="BO80" s="4781"/>
      <c r="BP80" s="3341"/>
      <c r="BQ80" s="3341"/>
      <c r="BR80" s="4780"/>
      <c r="BS80" s="4780"/>
      <c r="BT80" s="4781"/>
      <c r="BU80" s="3341"/>
      <c r="BV80" s="3341"/>
      <c r="BW80" s="4780"/>
      <c r="BX80" s="4780"/>
      <c r="BY80" s="4781"/>
      <c r="BZ80" s="3341"/>
      <c r="CA80" s="3341"/>
      <c r="CB80" s="4780"/>
      <c r="CC80" s="4780"/>
      <c r="CD80" s="4781"/>
      <c r="CE80" s="3341"/>
      <c r="CF80" s="3341"/>
      <c r="CG80" s="4780"/>
      <c r="CH80" s="4780"/>
      <c r="CI80" s="4781"/>
      <c r="CJ80" s="3341">
        <f>C80+H80+M80</f>
        <v>0</v>
      </c>
      <c r="CK80" s="3341">
        <f>D80+I80+N80</f>
        <v>0</v>
      </c>
      <c r="CL80" s="4780"/>
      <c r="CM80" s="4780"/>
      <c r="CN80" s="4780"/>
      <c r="CP80" s="4785"/>
      <c r="CQ80" s="4785"/>
      <c r="CR80" s="4614"/>
    </row>
    <row r="81" spans="1:101" s="1396" customFormat="1" ht="14.4" outlineLevel="1" thickBot="1">
      <c r="A81" s="1419"/>
      <c r="B81" s="4771" t="s">
        <v>12</v>
      </c>
      <c r="C81" s="4772">
        <f>(C75+C78)-C79</f>
        <v>0</v>
      </c>
      <c r="D81" s="4772">
        <f>(D75+D78)-D79</f>
        <v>0</v>
      </c>
      <c r="E81" s="4773">
        <f>(E75+E78)-E79</f>
        <v>0</v>
      </c>
      <c r="F81" s="4774"/>
      <c r="G81" s="4775"/>
      <c r="H81" s="4772">
        <f>(H75+H78)-H79</f>
        <v>0</v>
      </c>
      <c r="I81" s="4772">
        <f>(I75+I78)-I79</f>
        <v>0</v>
      </c>
      <c r="J81" s="4773">
        <f>(J75+J78)-J79</f>
        <v>0</v>
      </c>
      <c r="K81" s="4774"/>
      <c r="L81" s="4775"/>
      <c r="M81" s="4772">
        <f>(M75+M78)-M79</f>
        <v>0</v>
      </c>
      <c r="N81" s="4772">
        <f>(N75+N78)-N79</f>
        <v>0</v>
      </c>
      <c r="O81" s="4773">
        <f>(O75+O78)-O79</f>
        <v>0</v>
      </c>
      <c r="P81" s="4774"/>
      <c r="Q81" s="4775"/>
      <c r="R81" s="4772">
        <f>(R75+R78)-R79</f>
        <v>0</v>
      </c>
      <c r="S81" s="4772">
        <f>(S75+S78)-S79</f>
        <v>0</v>
      </c>
      <c r="T81" s="4773">
        <f>(T75+T78)-T79</f>
        <v>0</v>
      </c>
      <c r="U81" s="4776"/>
      <c r="V81" s="4776"/>
      <c r="W81" s="4772">
        <f>(W75+W78)-W79</f>
        <v>-2132707.4342210055</v>
      </c>
      <c r="X81" s="4772">
        <f>(X75+X78)-X79</f>
        <v>-1338849.8798025316</v>
      </c>
      <c r="Y81" s="4773">
        <f>(Y75+Y78)-Y79</f>
        <v>-3471557.3140235371</v>
      </c>
      <c r="Z81" s="4776"/>
      <c r="AA81" s="4776"/>
      <c r="AB81" s="4772">
        <f>(AB75+AB78)-AB79</f>
        <v>-180896.75993252255</v>
      </c>
      <c r="AC81" s="4772">
        <f>(AC75+AC78)-AC79</f>
        <v>-334590.9388</v>
      </c>
      <c r="AD81" s="4773">
        <f>(AD75+AD78)-AD79</f>
        <v>-515487.69873252249</v>
      </c>
      <c r="AE81" s="4774"/>
      <c r="AF81" s="4777"/>
      <c r="AG81" s="4772">
        <f>(AG75+AG78)-AG79</f>
        <v>-403767.87686349225</v>
      </c>
      <c r="AH81" s="4772">
        <f>(AH75+AH78)-AH79</f>
        <v>-211206.23479999998</v>
      </c>
      <c r="AI81" s="4773">
        <f>(AI75+AI78)-AI79</f>
        <v>-614974.11166349216</v>
      </c>
      <c r="AJ81" s="4774"/>
      <c r="AK81" s="4775"/>
      <c r="AL81" s="4772">
        <f>(AL75+AL78)-AL79</f>
        <v>-417824.7931220532</v>
      </c>
      <c r="AM81" s="4772">
        <f>(AM75+AM78)-AM79</f>
        <v>-173701.25</v>
      </c>
      <c r="AN81" s="4773">
        <f>(AN75+AN78)-AN79</f>
        <v>-591526.04312205326</v>
      </c>
      <c r="AO81" s="4774"/>
      <c r="AP81" s="4778"/>
      <c r="AQ81" s="4772">
        <f>(AQ75+AQ78)-AQ79</f>
        <v>-363147.14916827297</v>
      </c>
      <c r="AR81" s="4772">
        <f>(AR75+AR78)-AR79</f>
        <v>-194426.45620253164</v>
      </c>
      <c r="AS81" s="4773">
        <f>(AS75+AS78)-AS79</f>
        <v>-557573.60537080467</v>
      </c>
      <c r="AT81" s="4774"/>
      <c r="AU81" s="4778"/>
      <c r="AV81" s="4772">
        <f>(AV75+AV78)-AV79</f>
        <v>-323416.73883312679</v>
      </c>
      <c r="AW81" s="4772">
        <f>(AW75+AW78)-AW79</f>
        <v>-197150</v>
      </c>
      <c r="AX81" s="4773">
        <f>(AX75+AX78)-AX79</f>
        <v>-520566.73883312679</v>
      </c>
      <c r="AY81" s="4774"/>
      <c r="AZ81" s="4775"/>
      <c r="BA81" s="4772">
        <f>(BA75+BA78)-BA79</f>
        <v>-443654.11630153749</v>
      </c>
      <c r="BB81" s="4772">
        <f>(BB75+BB78)-BB79</f>
        <v>-227775</v>
      </c>
      <c r="BC81" s="4773">
        <f>(BC75+BC78)-BC79</f>
        <v>-671429.11630153761</v>
      </c>
      <c r="BD81" s="4774"/>
      <c r="BE81" s="4775"/>
      <c r="BF81" s="4772">
        <f>(BF75+BF78)-BF79</f>
        <v>0</v>
      </c>
      <c r="BG81" s="4772">
        <f>(BG75+BG78)-BG79</f>
        <v>0</v>
      </c>
      <c r="BH81" s="4773">
        <f>(BH75+BH78)-BH79</f>
        <v>0</v>
      </c>
      <c r="BI81" s="4774"/>
      <c r="BJ81" s="4775"/>
      <c r="BK81" s="4772">
        <f>(BK75+BK78)-BK79</f>
        <v>0</v>
      </c>
      <c r="BL81" s="4772">
        <f>(BL75+BL78)-BL79</f>
        <v>0</v>
      </c>
      <c r="BM81" s="4773">
        <f>(BM75+BM78)-BM79</f>
        <v>0</v>
      </c>
      <c r="BN81" s="4774"/>
      <c r="BO81" s="4775"/>
      <c r="BP81" s="4772">
        <f>(BP75+BP78)-BP79</f>
        <v>0</v>
      </c>
      <c r="BQ81" s="4772">
        <f>(BQ75+BQ78)-BQ79</f>
        <v>0</v>
      </c>
      <c r="BR81" s="4773">
        <f>(BR75+BR78)-BR79</f>
        <v>0</v>
      </c>
      <c r="BS81" s="4774"/>
      <c r="BT81" s="4775"/>
      <c r="BU81" s="4772">
        <f>(BU75+BU78)-BU79</f>
        <v>0</v>
      </c>
      <c r="BV81" s="4772">
        <f>(BV75+BV78)-BV79</f>
        <v>0</v>
      </c>
      <c r="BW81" s="4773">
        <f>(BW75+BW78)-BW79</f>
        <v>0</v>
      </c>
      <c r="BX81" s="4774"/>
      <c r="BY81" s="4775"/>
      <c r="BZ81" s="4772">
        <f>(BZ75+BZ78)-BZ79</f>
        <v>0</v>
      </c>
      <c r="CA81" s="4772">
        <f>(CA75+CA78)-CA79</f>
        <v>0</v>
      </c>
      <c r="CB81" s="4773">
        <f>(CB75+CB78)-CB79</f>
        <v>0</v>
      </c>
      <c r="CC81" s="4774"/>
      <c r="CD81" s="4775"/>
      <c r="CE81" s="4772">
        <f>(CE75+CE78)-CE79</f>
        <v>0</v>
      </c>
      <c r="CF81" s="4772">
        <f>(CF75+CF78)-CF79</f>
        <v>0</v>
      </c>
      <c r="CG81" s="4773">
        <f>(CG75+CG78)-CG79</f>
        <v>0</v>
      </c>
      <c r="CH81" s="4774"/>
      <c r="CI81" s="4775"/>
      <c r="CJ81" s="4772">
        <f>(CJ75+CJ78)-CJ79</f>
        <v>-2132707.4342210055</v>
      </c>
      <c r="CK81" s="4772">
        <f>(CK75+CK78)-CK79</f>
        <v>-1338849.8798025316</v>
      </c>
      <c r="CL81" s="4773">
        <f>(CL75+CL78)-CL79</f>
        <v>-3471557.3140235371</v>
      </c>
      <c r="CM81" s="4774"/>
      <c r="CN81" s="4774"/>
      <c r="CP81" s="4773">
        <f>(CP75+CP78)-CP79</f>
        <v>0</v>
      </c>
      <c r="CQ81" s="4786">
        <f>(CQ75+CQ78)-CQ79</f>
        <v>0</v>
      </c>
      <c r="CR81" s="4773">
        <f>(CR75+CR78)-CR79</f>
        <v>0</v>
      </c>
      <c r="CT81" s="2624"/>
    </row>
    <row r="82" spans="1:101" s="1396" customFormat="1" ht="13.8" outlineLevel="2">
      <c r="A82" s="1565"/>
      <c r="B82" s="1400" t="s">
        <v>38</v>
      </c>
      <c r="C82" s="3341"/>
      <c r="D82" s="3341"/>
      <c r="E82" s="3390">
        <f>C82+D82</f>
        <v>0</v>
      </c>
      <c r="F82" s="3381"/>
      <c r="G82" s="3455"/>
      <c r="H82" s="3341"/>
      <c r="I82" s="3341"/>
      <c r="J82" s="3390">
        <f>H82+I82</f>
        <v>0</v>
      </c>
      <c r="K82" s="4697" t="e">
        <f t="shared" ref="K82" si="218">J82/J$89</f>
        <v>#DIV/0!</v>
      </c>
      <c r="L82" s="3455"/>
      <c r="M82" s="3341"/>
      <c r="N82" s="3341"/>
      <c r="O82" s="3390">
        <f>M82+N82</f>
        <v>0</v>
      </c>
      <c r="P82" s="4697" t="e">
        <f t="shared" ref="P82" si="219">O82/O$89</f>
        <v>#DIV/0!</v>
      </c>
      <c r="Q82" s="3455"/>
      <c r="R82" s="3342">
        <f t="shared" ref="R82:S82" si="220">M82+H82+C82</f>
        <v>0</v>
      </c>
      <c r="S82" s="3342">
        <f t="shared" si="220"/>
        <v>0</v>
      </c>
      <c r="T82" s="2012">
        <f t="shared" ref="T82" si="221">R82+S82</f>
        <v>0</v>
      </c>
      <c r="U82" s="3455"/>
      <c r="V82" s="3455"/>
      <c r="W82" s="3342">
        <f t="shared" ref="W82:X82" si="222">AB82+AG82+AL82+AV82+BA82+BF82+BK82+BP82+BU82+BZ82+CE82+AQ82</f>
        <v>45628</v>
      </c>
      <c r="X82" s="3342">
        <f t="shared" si="222"/>
        <v>0</v>
      </c>
      <c r="Y82" s="2012">
        <f t="shared" ref="Y82" si="223">W82+X82</f>
        <v>45628</v>
      </c>
      <c r="Z82" s="3455"/>
      <c r="AA82" s="3455"/>
      <c r="AB82" s="3349">
        <v>45628</v>
      </c>
      <c r="AC82" s="3349"/>
      <c r="AD82" s="3390">
        <f>AB82+AC82</f>
        <v>45628</v>
      </c>
      <c r="AE82" s="3381"/>
      <c r="AF82" s="3806" t="s">
        <v>1911</v>
      </c>
      <c r="AG82" s="3341"/>
      <c r="AH82" s="3341"/>
      <c r="AI82" s="3390">
        <f>AG82+AH82</f>
        <v>0</v>
      </c>
      <c r="AJ82" s="3381"/>
      <c r="AK82" s="3455"/>
      <c r="AL82" s="3341"/>
      <c r="AM82" s="3341"/>
      <c r="AN82" s="3390">
        <f>AL82+AM82</f>
        <v>0</v>
      </c>
      <c r="AO82" s="3381"/>
      <c r="AP82" s="3727"/>
      <c r="AQ82" s="3341"/>
      <c r="AR82" s="3341"/>
      <c r="AS82" s="3390">
        <f>AQ82+AR82</f>
        <v>0</v>
      </c>
      <c r="AT82" s="3381"/>
      <c r="AU82" s="3727"/>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f t="shared" ref="CJ82:CK82" si="224">C82+H82+M82+W82</f>
        <v>45628</v>
      </c>
      <c r="CK82" s="3341">
        <f t="shared" si="224"/>
        <v>0</v>
      </c>
      <c r="CL82" s="2012">
        <f>CJ82+CK82*1.15</f>
        <v>45628</v>
      </c>
      <c r="CM82" s="3381"/>
      <c r="CN82" s="3381"/>
      <c r="CP82" s="3415">
        <f>CN82+CO82</f>
        <v>0</v>
      </c>
      <c r="CQ82" s="3415">
        <f>CO82+CP82</f>
        <v>0</v>
      </c>
      <c r="CR82" s="3415"/>
      <c r="CT82" s="2624"/>
    </row>
    <row r="83" spans="1:101" s="1396" customFormat="1" ht="13.8" outlineLevel="1">
      <c r="A83" s="1405"/>
      <c r="B83" s="4787" t="s">
        <v>13</v>
      </c>
      <c r="C83" s="4788">
        <f>(C81+C7)-C36</f>
        <v>0</v>
      </c>
      <c r="D83" s="4788">
        <f>(D81+D7)-D36</f>
        <v>0</v>
      </c>
      <c r="E83" s="4789">
        <f>(E81+E7)-E36</f>
        <v>0</v>
      </c>
      <c r="F83" s="4790"/>
      <c r="G83" s="4791"/>
      <c r="H83" s="4788">
        <f>(H81+H7)-H36</f>
        <v>0</v>
      </c>
      <c r="I83" s="4788">
        <f>(I81+I7)-I36</f>
        <v>0</v>
      </c>
      <c r="J83" s="4789">
        <f>(J81+J7)-J36</f>
        <v>0</v>
      </c>
      <c r="K83" s="4790"/>
      <c r="L83" s="4791"/>
      <c r="M83" s="4788">
        <f>(M81+M7)-M36</f>
        <v>0</v>
      </c>
      <c r="N83" s="4788">
        <f>(N81+N7)-N36</f>
        <v>0</v>
      </c>
      <c r="O83" s="4789">
        <f>(O81+O7)-O36</f>
        <v>0</v>
      </c>
      <c r="P83" s="4790"/>
      <c r="Q83" s="4791"/>
      <c r="R83" s="4788">
        <f>(R81+R7)-R36</f>
        <v>0</v>
      </c>
      <c r="S83" s="4788">
        <f>(S81+S7)-S36</f>
        <v>0</v>
      </c>
      <c r="T83" s="4789">
        <f>(T81+T7)-T36</f>
        <v>0</v>
      </c>
      <c r="U83" s="4792"/>
      <c r="V83" s="4792"/>
      <c r="W83" s="4788">
        <f>(W81+W7)-W36</f>
        <v>-2173670.3942210055</v>
      </c>
      <c r="X83" s="4788">
        <f>(X81+X7)-X36</f>
        <v>-1338849.8798025316</v>
      </c>
      <c r="Y83" s="4789">
        <f>(Y81+Y7)-Y36</f>
        <v>-3512520.2740235371</v>
      </c>
      <c r="Z83" s="4792"/>
      <c r="AA83" s="4792"/>
      <c r="AB83" s="4788">
        <f>(AB81+AB7)-AB36</f>
        <v>-180896.75993252255</v>
      </c>
      <c r="AC83" s="4788">
        <f>(AC81+AC7)-AC36</f>
        <v>-334590.9388</v>
      </c>
      <c r="AD83" s="4789">
        <f>(AD81+AD7)-AD36</f>
        <v>-515487.69873252249</v>
      </c>
      <c r="AE83" s="4790"/>
      <c r="AF83" s="4793"/>
      <c r="AG83" s="4788">
        <f>(AG81+AG7)-AG36</f>
        <v>-403767.87686349225</v>
      </c>
      <c r="AH83" s="4788">
        <f>(AH81+AH7)-AH36</f>
        <v>-211206.23479999998</v>
      </c>
      <c r="AI83" s="4789">
        <f>(AI81+AI7)-AI36</f>
        <v>-614974.11166349216</v>
      </c>
      <c r="AJ83" s="4790"/>
      <c r="AK83" s="4791"/>
      <c r="AL83" s="4788">
        <f>(AL81+AL7)-AL36</f>
        <v>-454712.75312205323</v>
      </c>
      <c r="AM83" s="4788">
        <f>(AM81+AM7)-AM36</f>
        <v>-173701.25</v>
      </c>
      <c r="AN83" s="4789">
        <f>(AN81+AN7)-AN36</f>
        <v>-628414.00312205323</v>
      </c>
      <c r="AO83" s="4790"/>
      <c r="AP83" s="4794"/>
      <c r="AQ83" s="4788">
        <f>(AQ81+AQ7)-AQ36</f>
        <v>-364634.14916827297</v>
      </c>
      <c r="AR83" s="4788">
        <f>(AR81+AR7)-AR36</f>
        <v>-194426.45620253164</v>
      </c>
      <c r="AS83" s="4789">
        <f>(AS81+AS7)-AS36</f>
        <v>-559060.60537080467</v>
      </c>
      <c r="AT83" s="4790"/>
      <c r="AU83" s="4794"/>
      <c r="AV83" s="4788">
        <f>(AV81+AV7)-AV36</f>
        <v>-326004.73883312679</v>
      </c>
      <c r="AW83" s="4788">
        <f>(AW81+AW7)-AW36</f>
        <v>-197150</v>
      </c>
      <c r="AX83" s="4789">
        <f>(AX81+AX7)-AX36</f>
        <v>-523154.73883312679</v>
      </c>
      <c r="AY83" s="4790"/>
      <c r="AZ83" s="4791"/>
      <c r="BA83" s="4788">
        <f>(BA81+BA7)-BA36</f>
        <v>-443654.11630153749</v>
      </c>
      <c r="BB83" s="4788">
        <f>(BB81+BB7)-BB36</f>
        <v>-227775</v>
      </c>
      <c r="BC83" s="4789">
        <f>(BC81+BC7)-BC36</f>
        <v>-671429.11630153761</v>
      </c>
      <c r="BD83" s="4790"/>
      <c r="BE83" s="4791"/>
      <c r="BF83" s="4788">
        <f>(BF81+BF7)-BF36</f>
        <v>0</v>
      </c>
      <c r="BG83" s="4788">
        <f>(BG81+BG7)-BG36</f>
        <v>0</v>
      </c>
      <c r="BH83" s="4789">
        <f>(BH81+BH7)-BH36</f>
        <v>0</v>
      </c>
      <c r="BI83" s="4790"/>
      <c r="BJ83" s="4791"/>
      <c r="BK83" s="4788">
        <f>(BK81+BK7)-BK36</f>
        <v>0</v>
      </c>
      <c r="BL83" s="4788">
        <f>(BL81+BL7)-BL36</f>
        <v>0</v>
      </c>
      <c r="BM83" s="4789">
        <f>(BM81+BM7)-BM36</f>
        <v>0</v>
      </c>
      <c r="BN83" s="4790"/>
      <c r="BO83" s="4791"/>
      <c r="BP83" s="4788">
        <f>(BP81+BP7)-BP36</f>
        <v>0</v>
      </c>
      <c r="BQ83" s="4788">
        <f>(BQ81+BQ7)-BQ36</f>
        <v>0</v>
      </c>
      <c r="BR83" s="4789">
        <f>(BR81+BR7)-BR36</f>
        <v>0</v>
      </c>
      <c r="BS83" s="4790"/>
      <c r="BT83" s="4791"/>
      <c r="BU83" s="4788">
        <f>(BU81+BU7)-BU36</f>
        <v>0</v>
      </c>
      <c r="BV83" s="4788">
        <f>(BV81+BV7)-BV36</f>
        <v>0</v>
      </c>
      <c r="BW83" s="4789">
        <f>(BW81+BW7)-BW36</f>
        <v>0</v>
      </c>
      <c r="BX83" s="4790"/>
      <c r="BY83" s="4791"/>
      <c r="BZ83" s="4788">
        <f>(BZ81+BZ7)-BZ36</f>
        <v>0</v>
      </c>
      <c r="CA83" s="4788">
        <f>(CA81+CA7)-CA36</f>
        <v>0</v>
      </c>
      <c r="CB83" s="4789">
        <f>(CB81+CB7)-CB36</f>
        <v>0</v>
      </c>
      <c r="CC83" s="4790"/>
      <c r="CD83" s="4791"/>
      <c r="CE83" s="4788">
        <f>(CE81+CE7)-CE36</f>
        <v>0</v>
      </c>
      <c r="CF83" s="4788">
        <f>(CF81+CF7)-CF36</f>
        <v>0</v>
      </c>
      <c r="CG83" s="4789">
        <f>(CG81+CG7)-CG36</f>
        <v>0</v>
      </c>
      <c r="CH83" s="4790"/>
      <c r="CI83" s="4791"/>
      <c r="CJ83" s="4788">
        <f>(CJ81+CJ7)-CJ36</f>
        <v>-2173670.3942210055</v>
      </c>
      <c r="CK83" s="4788">
        <f>(CK81+CK7)-CK36</f>
        <v>-1338849.8798025316</v>
      </c>
      <c r="CL83" s="4789">
        <f>(CL81+CL7)-CL36</f>
        <v>-3512520.2740235371</v>
      </c>
      <c r="CM83" s="4790"/>
      <c r="CN83" s="4790"/>
      <c r="CP83" s="3481">
        <f>(CP81+CP7)-CP36</f>
        <v>0</v>
      </c>
      <c r="CQ83" s="3481">
        <f>(CQ81+CQ7)-CQ36</f>
        <v>-40962.959999999999</v>
      </c>
      <c r="CR83" s="3481">
        <f>(CR81+CR7)-CR36</f>
        <v>40962.959999999999</v>
      </c>
      <c r="CT83" s="2624"/>
    </row>
    <row r="84" spans="1:101" s="1396" customFormat="1" ht="14.4" outlineLevel="1" thickBot="1">
      <c r="A84" s="1405"/>
      <c r="B84" s="4795" t="s">
        <v>14</v>
      </c>
      <c r="C84" s="4796">
        <f>C83-C73-C82</f>
        <v>0</v>
      </c>
      <c r="D84" s="4796">
        <f>D83-D73-D82</f>
        <v>0</v>
      </c>
      <c r="E84" s="4796">
        <f>E83-E73-E82</f>
        <v>0</v>
      </c>
      <c r="F84" s="4797"/>
      <c r="G84" s="4798"/>
      <c r="H84" s="4796">
        <f>H83-H73-H82</f>
        <v>0</v>
      </c>
      <c r="I84" s="4796">
        <f>I83-I73-I82</f>
        <v>0</v>
      </c>
      <c r="J84" s="4796">
        <f>J83-J73-J82</f>
        <v>0</v>
      </c>
      <c r="K84" s="4797"/>
      <c r="L84" s="4798"/>
      <c r="M84" s="4796">
        <f>M83-M73-M82</f>
        <v>0</v>
      </c>
      <c r="N84" s="4796">
        <f>N83-N73-N82</f>
        <v>0</v>
      </c>
      <c r="O84" s="4796">
        <f>O83-O73-O82</f>
        <v>0</v>
      </c>
      <c r="P84" s="4797"/>
      <c r="Q84" s="4798"/>
      <c r="R84" s="4796">
        <f>R83-R73-R82</f>
        <v>0</v>
      </c>
      <c r="S84" s="4796">
        <f>S83-S73-S82</f>
        <v>0</v>
      </c>
      <c r="T84" s="4796">
        <f>T83-T73-T82</f>
        <v>0</v>
      </c>
      <c r="U84" s="4798"/>
      <c r="V84" s="4798"/>
      <c r="W84" s="4710">
        <f t="shared" ref="W84:X84" si="225">AB84+AG84+AL84+AV84+BA84+BF84+BK84+BP84+BU84+BZ84+CE84</f>
        <v>-1854664.2450527323</v>
      </c>
      <c r="X84" s="4711">
        <f t="shared" si="225"/>
        <v>-1144423.4235999999</v>
      </c>
      <c r="Y84" s="4796">
        <f>Y83-Y73-Y82</f>
        <v>-3558148.2740235371</v>
      </c>
      <c r="Z84" s="4798"/>
      <c r="AA84" s="4798"/>
      <c r="AB84" s="4796">
        <f>AB83-AB73-AB82</f>
        <v>-226524.75993252255</v>
      </c>
      <c r="AC84" s="4796">
        <f>AC83-AC73-AC82</f>
        <v>-334590.9388</v>
      </c>
      <c r="AD84" s="4796">
        <f>AD83-AD73-AD82</f>
        <v>-561115.69873252255</v>
      </c>
      <c r="AE84" s="4797"/>
      <c r="AF84" s="4799"/>
      <c r="AG84" s="4796">
        <f>AG83-AG73-AG82</f>
        <v>-403767.87686349225</v>
      </c>
      <c r="AH84" s="4796">
        <f>AH83-AH73-AH82</f>
        <v>-211206.23479999998</v>
      </c>
      <c r="AI84" s="4796">
        <f>AI83-AI73-AI82</f>
        <v>-614974.11166349216</v>
      </c>
      <c r="AJ84" s="4797"/>
      <c r="AK84" s="4798"/>
      <c r="AL84" s="4796">
        <f>AL83-AL73-AL82</f>
        <v>-454712.75312205323</v>
      </c>
      <c r="AM84" s="4796">
        <f>AM83-AM73-AM82</f>
        <v>-173701.25</v>
      </c>
      <c r="AN84" s="4796">
        <f>AN83-AN73-AN82</f>
        <v>-628414.00312205323</v>
      </c>
      <c r="AO84" s="4797"/>
      <c r="AP84" s="4800"/>
      <c r="AQ84" s="4796">
        <f>AQ83-AQ73-AQ82</f>
        <v>-364634.14916827297</v>
      </c>
      <c r="AR84" s="4796">
        <f>AR83-AR73-AR82</f>
        <v>-194426.45620253164</v>
      </c>
      <c r="AS84" s="4796">
        <f>AS83-AS73-AS82</f>
        <v>-559060.60537080467</v>
      </c>
      <c r="AT84" s="4797"/>
      <c r="AU84" s="4800"/>
      <c r="AV84" s="4796">
        <f>AV83-AV73-AV82</f>
        <v>-326004.73883312679</v>
      </c>
      <c r="AW84" s="4796">
        <f>AW83-AW73-AW82</f>
        <v>-197150</v>
      </c>
      <c r="AX84" s="4796">
        <f>AX83-AX73-AX82</f>
        <v>-523154.73883312679</v>
      </c>
      <c r="AY84" s="4797"/>
      <c r="AZ84" s="4798"/>
      <c r="BA84" s="4796">
        <f>BA83-BA73-BA82</f>
        <v>-443654.11630153749</v>
      </c>
      <c r="BB84" s="4796">
        <f>BB83-BB73-BB82</f>
        <v>-227775</v>
      </c>
      <c r="BC84" s="4796">
        <f>BC83-BC73-BC82</f>
        <v>-671429.11630153761</v>
      </c>
      <c r="BD84" s="4797"/>
      <c r="BE84" s="4798"/>
      <c r="BF84" s="4796">
        <f>BF83-BF73-BF82</f>
        <v>0</v>
      </c>
      <c r="BG84" s="4796">
        <f>BG83-BG73-BG82</f>
        <v>0</v>
      </c>
      <c r="BH84" s="4796">
        <f>BH83-BH73-BH82</f>
        <v>0</v>
      </c>
      <c r="BI84" s="4797"/>
      <c r="BJ84" s="4798"/>
      <c r="BK84" s="4796">
        <f>BK83-BK73-BK82</f>
        <v>0</v>
      </c>
      <c r="BL84" s="4796">
        <f>BL83-BL73-BL82</f>
        <v>0</v>
      </c>
      <c r="BM84" s="4796">
        <f>BM83-BM73-BM82</f>
        <v>0</v>
      </c>
      <c r="BN84" s="4797"/>
      <c r="BO84" s="4798"/>
      <c r="BP84" s="4796">
        <f>BP83-BP73-BP82</f>
        <v>0</v>
      </c>
      <c r="BQ84" s="4796">
        <f>BQ83-BQ73-BQ82</f>
        <v>0</v>
      </c>
      <c r="BR84" s="4796">
        <f>BR83-BR73-BR82</f>
        <v>0</v>
      </c>
      <c r="BS84" s="4797"/>
      <c r="BT84" s="4798"/>
      <c r="BU84" s="4796">
        <f>BU83-BU73-BU82</f>
        <v>0</v>
      </c>
      <c r="BV84" s="4796">
        <f>BV83-BV73-BV82</f>
        <v>0</v>
      </c>
      <c r="BW84" s="4796">
        <f>BW83-BW73-BW82</f>
        <v>0</v>
      </c>
      <c r="BX84" s="4797"/>
      <c r="BY84" s="4798"/>
      <c r="BZ84" s="4796">
        <f>BZ83-BZ73-BZ82</f>
        <v>0</v>
      </c>
      <c r="CA84" s="4796">
        <f>CA83-CA73-CA82</f>
        <v>0</v>
      </c>
      <c r="CB84" s="4796">
        <f>CB83-CB73-CB82</f>
        <v>0</v>
      </c>
      <c r="CC84" s="4797"/>
      <c r="CD84" s="4798"/>
      <c r="CE84" s="4796">
        <f>CE83-CE73-CE82</f>
        <v>0</v>
      </c>
      <c r="CF84" s="4796">
        <f>CF83-CF73-CF82</f>
        <v>0</v>
      </c>
      <c r="CG84" s="4796">
        <f>CG83-CG73-CG82</f>
        <v>0</v>
      </c>
      <c r="CH84" s="4797"/>
      <c r="CI84" s="4798"/>
      <c r="CJ84" s="4706">
        <f t="shared" ref="CJ84:CK84" si="226">C84+H84+M84+W84</f>
        <v>-1854664.2450527323</v>
      </c>
      <c r="CK84" s="4706">
        <f t="shared" si="226"/>
        <v>-1144423.4235999999</v>
      </c>
      <c r="CL84" s="4796">
        <f>CL83-CL73-CL82</f>
        <v>-3558148.2740235371</v>
      </c>
      <c r="CM84" s="4797"/>
      <c r="CN84" s="4797"/>
      <c r="CP84" s="3309">
        <f>CP83-CP73-CP82</f>
        <v>0</v>
      </c>
      <c r="CQ84" s="3484">
        <f>CQ83-CQ73-CQ82</f>
        <v>-40962.959999999999</v>
      </c>
      <c r="CR84" s="3309">
        <f>CR83-CR73-CR82</f>
        <v>40962.959999999999</v>
      </c>
      <c r="CT84" s="2624"/>
    </row>
    <row r="85" spans="1:101" s="1396" customFormat="1" ht="13.8" outlineLevel="3">
      <c r="A85" s="1565"/>
      <c r="B85" s="1403" t="s">
        <v>44</v>
      </c>
      <c r="C85" s="3341"/>
      <c r="D85" s="3341"/>
      <c r="E85" s="2012">
        <f>C85+D85*1.15</f>
        <v>0</v>
      </c>
      <c r="F85" s="3381"/>
      <c r="G85" s="3455"/>
      <c r="H85" s="3341"/>
      <c r="I85" s="3341"/>
      <c r="J85" s="2012">
        <f>H85+I85*1.15</f>
        <v>0</v>
      </c>
      <c r="K85" s="4697" t="e">
        <f t="shared" ref="K85" si="227">J85/J$89</f>
        <v>#DIV/0!</v>
      </c>
      <c r="L85" s="3455"/>
      <c r="M85" s="3341"/>
      <c r="N85" s="3341"/>
      <c r="O85" s="2012">
        <f>M85+N85*1.15</f>
        <v>0</v>
      </c>
      <c r="P85" s="4697" t="e">
        <f t="shared" ref="P85" si="228">O85/O$89</f>
        <v>#DIV/0!</v>
      </c>
      <c r="Q85" s="3455"/>
      <c r="R85" s="3342">
        <f t="shared" ref="R85:S85" si="229">M85+H85+C85</f>
        <v>0</v>
      </c>
      <c r="S85" s="3342">
        <f t="shared" si="229"/>
        <v>0</v>
      </c>
      <c r="T85" s="2012">
        <f t="shared" ref="T85" si="230">R85+S85</f>
        <v>0</v>
      </c>
      <c r="U85" s="3455"/>
      <c r="V85" s="3455"/>
      <c r="W85" s="3342">
        <f t="shared" ref="W85:X85" si="231">AB85+AG85+AL85+AV85+BA85+BF85+BK85+BP85+BU85+BZ85+CE85+AQ85</f>
        <v>0</v>
      </c>
      <c r="X85" s="3342">
        <f t="shared" si="231"/>
        <v>0</v>
      </c>
      <c r="Y85" s="2012">
        <f t="shared" ref="Y85" si="232">W85+X85</f>
        <v>0</v>
      </c>
      <c r="Z85" s="3455"/>
      <c r="AA85" s="3455"/>
      <c r="AB85" s="2045"/>
      <c r="AC85" s="2045"/>
      <c r="AD85" s="2012">
        <f>AB85+AC85*1.15</f>
        <v>0</v>
      </c>
      <c r="AE85" s="3808"/>
      <c r="AF85" s="3809"/>
      <c r="AG85" s="3341"/>
      <c r="AH85" s="3341"/>
      <c r="AI85" s="2012">
        <f>AG85+AH85*1.15</f>
        <v>0</v>
      </c>
      <c r="AJ85" s="3381"/>
      <c r="AK85" s="3455"/>
      <c r="AL85" s="3341"/>
      <c r="AM85" s="3341"/>
      <c r="AN85" s="2012">
        <f>AL85+AM85*1.15</f>
        <v>0</v>
      </c>
      <c r="AO85" s="3381"/>
      <c r="AP85" s="3727"/>
      <c r="AQ85" s="3341"/>
      <c r="AR85" s="3341"/>
      <c r="AS85" s="2012">
        <f>AQ85+AR85*1.15</f>
        <v>0</v>
      </c>
      <c r="AT85" s="3381"/>
      <c r="AU85" s="3727"/>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2124">
        <f>CN85+CO85*1.15</f>
        <v>0</v>
      </c>
      <c r="CQ85" s="2124">
        <f>CO85+CP85*1.15</f>
        <v>0</v>
      </c>
      <c r="CR85" s="2124"/>
      <c r="CT85" s="2624"/>
    </row>
    <row r="86" spans="1:101" s="1396" customFormat="1" ht="27.6">
      <c r="A86" s="1405"/>
      <c r="B86" s="4801" t="s">
        <v>50</v>
      </c>
      <c r="C86" s="4802">
        <f>C84-C85</f>
        <v>0</v>
      </c>
      <c r="D86" s="4802">
        <f>D84-D85</f>
        <v>0</v>
      </c>
      <c r="E86" s="4802">
        <f>E84-E85</f>
        <v>0</v>
      </c>
      <c r="F86" s="4803"/>
      <c r="G86" s="4804"/>
      <c r="H86" s="4802">
        <f>H84-H85</f>
        <v>0</v>
      </c>
      <c r="I86" s="4802">
        <f>I84-I85</f>
        <v>0</v>
      </c>
      <c r="J86" s="4802">
        <f>J84-J85</f>
        <v>0</v>
      </c>
      <c r="K86" s="4803"/>
      <c r="L86" s="4804"/>
      <c r="M86" s="4802">
        <f>M84-M85</f>
        <v>0</v>
      </c>
      <c r="N86" s="4802">
        <f>N84-N85</f>
        <v>0</v>
      </c>
      <c r="O86" s="4802">
        <f>O84-O85</f>
        <v>0</v>
      </c>
      <c r="P86" s="4803"/>
      <c r="Q86" s="4804"/>
      <c r="R86" s="4802">
        <f>R84-R85</f>
        <v>0</v>
      </c>
      <c r="S86" s="4802">
        <f>S84-S85</f>
        <v>0</v>
      </c>
      <c r="T86" s="4802">
        <f>T84-T85</f>
        <v>0</v>
      </c>
      <c r="U86" s="4804"/>
      <c r="V86" s="4804"/>
      <c r="W86" s="4802">
        <f>W84-W85</f>
        <v>-1854664.2450527323</v>
      </c>
      <c r="X86" s="4802">
        <f>X84-X85</f>
        <v>-1144423.4235999999</v>
      </c>
      <c r="Y86" s="4802">
        <f>Y84-Y85</f>
        <v>-3558148.2740235371</v>
      </c>
      <c r="Z86" s="4804"/>
      <c r="AA86" s="4804"/>
      <c r="AB86" s="4802">
        <f>AB84-AB85</f>
        <v>-226524.75993252255</v>
      </c>
      <c r="AC86" s="4802">
        <f>AC84-AC85</f>
        <v>-334590.9388</v>
      </c>
      <c r="AD86" s="4802">
        <f>AD84-AD85</f>
        <v>-561115.69873252255</v>
      </c>
      <c r="AE86" s="4803"/>
      <c r="AF86" s="4793"/>
      <c r="AG86" s="4802">
        <f>AG84-AG85</f>
        <v>-403767.87686349225</v>
      </c>
      <c r="AH86" s="4802">
        <f>AH84-AH85</f>
        <v>-211206.23479999998</v>
      </c>
      <c r="AI86" s="4802">
        <f>AI84-AI85</f>
        <v>-614974.11166349216</v>
      </c>
      <c r="AJ86" s="4803"/>
      <c r="AK86" s="4804"/>
      <c r="AL86" s="4802">
        <f>AL84-AL85</f>
        <v>-454712.75312205323</v>
      </c>
      <c r="AM86" s="4802">
        <f>AM84-AM85</f>
        <v>-173701.25</v>
      </c>
      <c r="AN86" s="4802">
        <f>AN84-AN85</f>
        <v>-628414.00312205323</v>
      </c>
      <c r="AO86" s="4803"/>
      <c r="AP86" s="4805"/>
      <c r="AQ86" s="4802">
        <f>AQ84-AQ85</f>
        <v>-364634.14916827297</v>
      </c>
      <c r="AR86" s="4802">
        <f>AR84-AR85</f>
        <v>-194426.45620253164</v>
      </c>
      <c r="AS86" s="4802">
        <f>AS84-AS85</f>
        <v>-559060.60537080467</v>
      </c>
      <c r="AT86" s="4803"/>
      <c r="AU86" s="4805"/>
      <c r="AV86" s="4802">
        <f>AV84-AV85</f>
        <v>-326004.73883312679</v>
      </c>
      <c r="AW86" s="4802">
        <f>AW84-AW85</f>
        <v>-197150</v>
      </c>
      <c r="AX86" s="4802">
        <f>AX84-AX85</f>
        <v>-523154.73883312679</v>
      </c>
      <c r="AY86" s="4803"/>
      <c r="AZ86" s="4804"/>
      <c r="BA86" s="4802">
        <f>BA84-BA85</f>
        <v>-443654.11630153749</v>
      </c>
      <c r="BB86" s="4802">
        <f>BB84-BB85</f>
        <v>-227775</v>
      </c>
      <c r="BC86" s="4802">
        <f>BC84-BC85</f>
        <v>-671429.11630153761</v>
      </c>
      <c r="BD86" s="4803"/>
      <c r="BE86" s="4804"/>
      <c r="BF86" s="4802">
        <f>BF84-BF85</f>
        <v>0</v>
      </c>
      <c r="BG86" s="4802">
        <f>BG84-BG85</f>
        <v>0</v>
      </c>
      <c r="BH86" s="4802">
        <f>BH84-BH85</f>
        <v>0</v>
      </c>
      <c r="BI86" s="4803"/>
      <c r="BJ86" s="4804"/>
      <c r="BK86" s="4802">
        <f>BK84-BK85</f>
        <v>0</v>
      </c>
      <c r="BL86" s="4802">
        <f>BL84-BL85</f>
        <v>0</v>
      </c>
      <c r="BM86" s="4802">
        <f>BM84-BM85</f>
        <v>0</v>
      </c>
      <c r="BN86" s="4803"/>
      <c r="BO86" s="4804"/>
      <c r="BP86" s="4802">
        <f>BP84-BP85</f>
        <v>0</v>
      </c>
      <c r="BQ86" s="4802">
        <f>BQ84-BQ85</f>
        <v>0</v>
      </c>
      <c r="BR86" s="4802">
        <f>BR84-BR85</f>
        <v>0</v>
      </c>
      <c r="BS86" s="4803"/>
      <c r="BT86" s="4804"/>
      <c r="BU86" s="4802">
        <f>BU84-BU85</f>
        <v>0</v>
      </c>
      <c r="BV86" s="4802">
        <f>BV84-BV85</f>
        <v>0</v>
      </c>
      <c r="BW86" s="4802">
        <f>BW84-BW85</f>
        <v>0</v>
      </c>
      <c r="BX86" s="4803"/>
      <c r="BY86" s="4804"/>
      <c r="BZ86" s="4802">
        <f>BZ84-BZ85</f>
        <v>0</v>
      </c>
      <c r="CA86" s="4802">
        <f>CA84-CA85</f>
        <v>0</v>
      </c>
      <c r="CB86" s="4802">
        <f>CB84-CB85</f>
        <v>0</v>
      </c>
      <c r="CC86" s="4803"/>
      <c r="CD86" s="4804"/>
      <c r="CE86" s="4802">
        <f>CE84-CE85</f>
        <v>0</v>
      </c>
      <c r="CF86" s="4802">
        <f>CF84-CF85</f>
        <v>0</v>
      </c>
      <c r="CG86" s="4802">
        <f>CG84-CG85</f>
        <v>0</v>
      </c>
      <c r="CH86" s="4803"/>
      <c r="CI86" s="4804"/>
      <c r="CJ86" s="4802">
        <f>CJ84-CJ85</f>
        <v>-1854664.2450527323</v>
      </c>
      <c r="CK86" s="4802">
        <f>CK84-CK85</f>
        <v>-1144423.4235999999</v>
      </c>
      <c r="CL86" s="4802">
        <f>CL84-CL85</f>
        <v>-3558148.2740235371</v>
      </c>
      <c r="CM86" s="4803"/>
      <c r="CN86" s="4803"/>
      <c r="CP86" s="3481">
        <f>CP84-CP85</f>
        <v>0</v>
      </c>
      <c r="CQ86" s="3481">
        <f>CQ84-CQ85</f>
        <v>-40962.959999999999</v>
      </c>
      <c r="CR86" s="3481">
        <f>CR84-CR85</f>
        <v>40962.959999999999</v>
      </c>
      <c r="CT86" s="2624">
        <f>CT6-SUM(CT8:CT37)</f>
        <v>0</v>
      </c>
      <c r="CW86" s="933"/>
    </row>
    <row r="87" spans="1:101" s="1396" customFormat="1" ht="14.4" thickBot="1">
      <c r="A87" s="1567"/>
      <c r="B87" s="4806" t="s">
        <v>51</v>
      </c>
      <c r="C87" s="4807">
        <f>IFERROR(C86/C5,0)</f>
        <v>0</v>
      </c>
      <c r="D87" s="4808">
        <f>IFERROR(D86/D5,0)</f>
        <v>0</v>
      </c>
      <c r="E87" s="4809">
        <f>IFERROR(E86/E5,0)</f>
        <v>0</v>
      </c>
      <c r="F87" s="4810"/>
      <c r="G87" s="4811"/>
      <c r="H87" s="4807">
        <f>IFERROR(H86/H5,0)</f>
        <v>0</v>
      </c>
      <c r="I87" s="4808">
        <f>IFERROR(I86/I5,0)</f>
        <v>0</v>
      </c>
      <c r="J87" s="4809">
        <f>IFERROR(J86/J5,0)</f>
        <v>0</v>
      </c>
      <c r="K87" s="4810"/>
      <c r="L87" s="4811"/>
      <c r="M87" s="4807">
        <f>IFERROR(M86/M5,0)</f>
        <v>0</v>
      </c>
      <c r="N87" s="4808">
        <f>IFERROR(N86/N5,0)</f>
        <v>0</v>
      </c>
      <c r="O87" s="4809">
        <f>IFERROR(O86/O5,0)</f>
        <v>0</v>
      </c>
      <c r="P87" s="4810"/>
      <c r="Q87" s="4811"/>
      <c r="R87" s="4812"/>
      <c r="S87" s="4812"/>
      <c r="T87" s="4812"/>
      <c r="U87" s="4812"/>
      <c r="V87" s="4812"/>
      <c r="W87" s="4812"/>
      <c r="X87" s="4812"/>
      <c r="Y87" s="4812"/>
      <c r="Z87" s="4812"/>
      <c r="AA87" s="4812"/>
      <c r="AB87" s="4813">
        <f>IFERROR(AB86/AB5,0)</f>
        <v>-1.1326237996626127</v>
      </c>
      <c r="AC87" s="4814">
        <f>IFERROR(AC86/AC5,0)</f>
        <v>0</v>
      </c>
      <c r="AD87" s="4815">
        <f>IFERROR(AD86/AD5,0)</f>
        <v>-2.8055784936626127</v>
      </c>
      <c r="AE87" s="4810"/>
      <c r="AF87" s="4816"/>
      <c r="AG87" s="4807">
        <f>IFERROR(AG86/AG5,0)</f>
        <v>0</v>
      </c>
      <c r="AH87" s="4808">
        <f>IFERROR(AH86/AH5,0)</f>
        <v>0</v>
      </c>
      <c r="AI87" s="4809">
        <f>IFERROR(AI86/AI5,0)</f>
        <v>0</v>
      </c>
      <c r="AJ87" s="4810"/>
      <c r="AK87" s="4811"/>
      <c r="AL87" s="4807">
        <f>IFERROR(AL86/AL5,0)</f>
        <v>0</v>
      </c>
      <c r="AM87" s="4808">
        <f>IFERROR(AM86/AM5,0)</f>
        <v>-3.851468957871397</v>
      </c>
      <c r="AN87" s="4809">
        <f>IFERROR(AN86/AN5,0)</f>
        <v>-13.933791643504506</v>
      </c>
      <c r="AO87" s="4810"/>
      <c r="AP87" s="4817"/>
      <c r="AQ87" s="4807">
        <f>IFERROR(AQ86/AQ5,0)</f>
        <v>0</v>
      </c>
      <c r="AR87" s="4808">
        <f>IFERROR(AR86/AR5,0)</f>
        <v>0</v>
      </c>
      <c r="AS87" s="4809">
        <f>IFERROR(AS86/AS5,0)</f>
        <v>0</v>
      </c>
      <c r="AT87" s="4810"/>
      <c r="AU87" s="4817"/>
      <c r="AV87" s="4807">
        <f>IFERROR(AV86/AV5,0)</f>
        <v>0</v>
      </c>
      <c r="AW87" s="4808">
        <f>IFERROR(AW86/AW5,0)</f>
        <v>0</v>
      </c>
      <c r="AX87" s="4809">
        <f>IFERROR(AX86/AX5,0)</f>
        <v>0</v>
      </c>
      <c r="AY87" s="4810"/>
      <c r="AZ87" s="4811"/>
      <c r="BA87" s="4807">
        <f>IFERROR(BA86/BA5,0)</f>
        <v>0</v>
      </c>
      <c r="BB87" s="4808">
        <f>IFERROR(BB86/BB5,0)</f>
        <v>0</v>
      </c>
      <c r="BC87" s="4809">
        <f>IFERROR(BC86/BC5,0)</f>
        <v>0</v>
      </c>
      <c r="BD87" s="4810"/>
      <c r="BE87" s="4811"/>
      <c r="BF87" s="4807">
        <f>IFERROR(BF86/BF5,0)</f>
        <v>0</v>
      </c>
      <c r="BG87" s="4808">
        <f>IFERROR(BG86/BG5,0)</f>
        <v>0</v>
      </c>
      <c r="BH87" s="4809">
        <f>IFERROR(BH86/BH5,0)</f>
        <v>0</v>
      </c>
      <c r="BI87" s="4810"/>
      <c r="BJ87" s="4811"/>
      <c r="BK87" s="4807">
        <f>IFERROR(BK86/BK5,0)</f>
        <v>0</v>
      </c>
      <c r="BL87" s="4808">
        <f>IFERROR(BL86/BL5,0)</f>
        <v>0</v>
      </c>
      <c r="BM87" s="4809">
        <f>IFERROR(BM86/BM5,0)</f>
        <v>0</v>
      </c>
      <c r="BN87" s="4810"/>
      <c r="BO87" s="4811"/>
      <c r="BP87" s="4807">
        <f>IFERROR(BP86/BP5,0)</f>
        <v>0</v>
      </c>
      <c r="BQ87" s="4808">
        <f>IFERROR(BQ86/BQ5,0)</f>
        <v>0</v>
      </c>
      <c r="BR87" s="4809">
        <f>IFERROR(BR86/BR5,0)</f>
        <v>0</v>
      </c>
      <c r="BS87" s="4810"/>
      <c r="BT87" s="4811"/>
      <c r="BU87" s="4807">
        <f>IFERROR(BU86/BU5,0)</f>
        <v>0</v>
      </c>
      <c r="BV87" s="4808">
        <f>IFERROR(BV86/BV5,0)</f>
        <v>0</v>
      </c>
      <c r="BW87" s="4809">
        <f>IFERROR(BW86/BW5,0)</f>
        <v>0</v>
      </c>
      <c r="BX87" s="4810"/>
      <c r="BY87" s="4811"/>
      <c r="BZ87" s="4807">
        <f>IFERROR(BZ86/BZ5,0)</f>
        <v>0</v>
      </c>
      <c r="CA87" s="4808">
        <f>IFERROR(CA86/CA5,0)</f>
        <v>0</v>
      </c>
      <c r="CB87" s="4809">
        <f>IFERROR(CB86/CB5,0)</f>
        <v>0</v>
      </c>
      <c r="CC87" s="4810"/>
      <c r="CD87" s="4811"/>
      <c r="CE87" s="4807">
        <f>IFERROR(CE86/CE5,0)</f>
        <v>0</v>
      </c>
      <c r="CF87" s="4808">
        <f>IFERROR(CF86/CF5,0)</f>
        <v>0</v>
      </c>
      <c r="CG87" s="4809">
        <f>IFERROR(CG86/CG5,0)</f>
        <v>0</v>
      </c>
      <c r="CH87" s="4810"/>
      <c r="CI87" s="4811"/>
      <c r="CJ87" s="4807">
        <f>IFERROR(CJ86/CJ5,0)</f>
        <v>-9.2733212252636612</v>
      </c>
      <c r="CK87" s="4808">
        <f>IFERROR(CK86/CK5,0)</f>
        <v>-25.375242208425718</v>
      </c>
      <c r="CL87" s="4809">
        <f>IFERROR(CL86/CL5,0)</f>
        <v>-14.517128820985464</v>
      </c>
      <c r="CM87" s="4810"/>
      <c r="CN87" s="4810"/>
      <c r="CP87" s="4809" t="e">
        <f>CP86/CP5</f>
        <v>#DIV/0!</v>
      </c>
      <c r="CQ87" s="4818">
        <f>IFERROR(CQ86/CQ5,0)</f>
        <v>0</v>
      </c>
      <c r="CR87" s="4809" t="e">
        <f>CR86/CR5</f>
        <v>#DIV/0!</v>
      </c>
      <c r="CT87" s="2624"/>
    </row>
    <row r="88" spans="1:101"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521"/>
      <c r="AC88" s="1521"/>
      <c r="AD88" s="1521"/>
      <c r="AE88" s="1954"/>
      <c r="AF88" s="3807"/>
      <c r="AG88" s="1954"/>
      <c r="AH88" s="1954"/>
      <c r="AI88" s="1954"/>
      <c r="AJ88" s="1954"/>
      <c r="AK88" s="1611"/>
      <c r="AL88" s="1954"/>
      <c r="AM88" s="1954"/>
      <c r="AN88" s="1954"/>
      <c r="AO88" s="1954"/>
      <c r="AP88" s="3729"/>
      <c r="AQ88" s="1954"/>
      <c r="AR88" s="1954"/>
      <c r="AS88" s="1954"/>
      <c r="AT88" s="1954"/>
      <c r="AU88" s="3729"/>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1954"/>
      <c r="CQ88" s="1954"/>
      <c r="CR88" s="1954"/>
    </row>
    <row r="89" spans="1:101">
      <c r="B89" s="1562" t="s">
        <v>56</v>
      </c>
      <c r="E89" s="1960">
        <f>E8+E36+E41+E50+E54+E73+E79+E82+E85</f>
        <v>0</v>
      </c>
      <c r="G89" s="1963"/>
      <c r="J89" s="1960">
        <f>J8+J36+J41+J50+J54+J73+J79+J82+J85</f>
        <v>0</v>
      </c>
      <c r="L89" s="1963"/>
      <c r="O89" s="1960">
        <f>O8+O36+O41+O50+O54+O73+O79+O82+O85</f>
        <v>0</v>
      </c>
      <c r="Q89" s="1963"/>
      <c r="R89" s="1963"/>
      <c r="S89" s="1963"/>
      <c r="T89" s="1960">
        <f>T8+T36+T41+T50+T54+T73+T79+T82+T85</f>
        <v>0</v>
      </c>
      <c r="U89" s="1963"/>
      <c r="V89" s="1963"/>
      <c r="W89" s="1963"/>
      <c r="X89" s="1963"/>
      <c r="Y89" s="1960">
        <f>Y8+Y36+Y41+Y50+Y54+Y73+Y79+Y82+Y85</f>
        <v>3814434.3040235369</v>
      </c>
      <c r="Z89" s="1963"/>
      <c r="AA89" s="1963"/>
      <c r="AD89" s="1960">
        <f>AD8+AD36+AD41+AD50+AD54+AD73+AD79+AD82+AD85</f>
        <v>764764.45873252256</v>
      </c>
      <c r="AI89" s="1960">
        <f>AI8+AI36+AI41+AI50+AI54+AI73+AI79+AI82+AI85</f>
        <v>616407.50166349218</v>
      </c>
      <c r="AK89" s="1963"/>
      <c r="AN89" s="1960">
        <f>AN8+AN36+AN41+AN50+AN54+AN73+AN79+AN82+AN85</f>
        <v>674344.01312205323</v>
      </c>
      <c r="AS89" s="1960">
        <f>AS8+AS36+AS41+AS50+AS54+AS73+AS79+AS82+AS85</f>
        <v>560235.46537080465</v>
      </c>
      <c r="AX89" s="1960">
        <f>AX8+AX36+AX41+AX50+AX54+AX73+AX79+AX82+AX85</f>
        <v>525652.44883312681</v>
      </c>
      <c r="AZ89" s="1963"/>
      <c r="BC89" s="1960">
        <f>BC8+BC36+BC41+BC50+BC54+BC73+BC79+BC82+BC85</f>
        <v>673030.41630153765</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3814434.3040235369</v>
      </c>
    </row>
    <row r="90" spans="1:101">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3791"/>
      <c r="AC90" s="3791"/>
      <c r="AD90" s="3791"/>
      <c r="AE90" s="1963"/>
      <c r="AG90" s="1963"/>
      <c r="AH90" s="1963"/>
      <c r="AI90" s="1963"/>
      <c r="AJ90" s="1963"/>
      <c r="AK90" s="1963"/>
      <c r="AL90" s="1963"/>
      <c r="AM90" s="1963"/>
      <c r="AN90" s="1963"/>
      <c r="AO90" s="1963"/>
      <c r="AQ90" s="1963"/>
      <c r="AR90" s="1963"/>
      <c r="AS90" s="1963"/>
      <c r="AT90" s="1963"/>
      <c r="AV90" s="1963"/>
      <c r="AW90" s="1963"/>
      <c r="AX90" s="1963"/>
      <c r="AY90" s="1963"/>
      <c r="AZ90" s="1963"/>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t="b">
        <f>J89+O89+E89+Y89=CL89</f>
        <v>1</v>
      </c>
    </row>
    <row r="91" spans="1:101"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3791"/>
      <c r="AC91" s="3791"/>
      <c r="AD91" s="3791"/>
      <c r="AE91" s="1963"/>
      <c r="AF91" s="3792"/>
      <c r="AG91" s="1963"/>
      <c r="AH91" s="1963"/>
      <c r="AI91" s="1963"/>
      <c r="AJ91" s="1963"/>
      <c r="AK91" s="1963"/>
      <c r="AL91" s="1963"/>
      <c r="AM91" s="1963"/>
      <c r="AN91" s="1963"/>
      <c r="AO91" s="1963"/>
      <c r="AP91" s="1586"/>
      <c r="AQ91" s="1963"/>
      <c r="AR91" s="1963"/>
      <c r="AS91" s="1963"/>
      <c r="AT91" s="1963"/>
      <c r="AU91" s="1586"/>
      <c r="AV91" s="1963"/>
      <c r="AW91" s="1963"/>
      <c r="AX91" s="1963"/>
      <c r="AY91" s="1963"/>
      <c r="AZ91" s="196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c r="CP91" s="1952"/>
      <c r="CQ91" s="1952"/>
      <c r="CR91" s="1952"/>
      <c r="CT91" s="2624"/>
    </row>
    <row r="92" spans="1:101">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3791"/>
      <c r="AC92" s="3791"/>
      <c r="AD92" s="3791"/>
      <c r="AE92" s="1963"/>
      <c r="AG92" s="1963"/>
      <c r="AH92" s="1963"/>
      <c r="AI92" s="1963"/>
      <c r="AJ92" s="1963"/>
      <c r="AK92" s="1963"/>
      <c r="AL92" s="1963"/>
      <c r="AM92" s="1963"/>
      <c r="AN92" s="1963"/>
      <c r="AO92" s="1963"/>
      <c r="AQ92" s="1963"/>
      <c r="AR92" s="1963"/>
      <c r="AS92" s="1963"/>
      <c r="AT92" s="1963"/>
      <c r="AV92" s="1963"/>
      <c r="AW92" s="1963"/>
      <c r="AX92" s="1963"/>
      <c r="AY92" s="1963"/>
      <c r="AZ92" s="196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1" s="1396" customFormat="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3791"/>
      <c r="AC93" s="3791"/>
      <c r="AD93" s="3791"/>
      <c r="AE93" s="1963"/>
      <c r="AF93" s="3792"/>
      <c r="AG93" s="1963"/>
      <c r="AH93" s="1963"/>
      <c r="AI93" s="1963"/>
      <c r="AJ93" s="1963"/>
      <c r="AK93" s="1963"/>
      <c r="AL93" s="1963"/>
      <c r="AM93" s="1963"/>
      <c r="AN93" s="1963"/>
      <c r="AO93" s="1963"/>
      <c r="AP93" s="1586"/>
      <c r="AQ93" s="1963"/>
      <c r="AR93" s="1963"/>
      <c r="AS93" s="1963"/>
      <c r="AT93" s="1963"/>
      <c r="AU93" s="1586"/>
      <c r="AV93" s="1963"/>
      <c r="AW93" s="1963"/>
      <c r="AX93" s="1963"/>
      <c r="AY93" s="1963"/>
      <c r="AZ93" s="1963"/>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52"/>
      <c r="CK93" s="1952"/>
      <c r="CL93" s="687"/>
      <c r="CM93" s="1952"/>
      <c r="CN93" s="1952"/>
      <c r="CP93" s="1952"/>
      <c r="CQ93" s="1952"/>
      <c r="CR93" s="1952"/>
      <c r="CT93" s="2624"/>
    </row>
    <row r="94" spans="1:101" s="1396" customForma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3791"/>
      <c r="AC94" s="3791"/>
      <c r="AD94" s="3791"/>
      <c r="AE94" s="1963"/>
      <c r="AF94" s="3792"/>
      <c r="AG94" s="1963"/>
      <c r="AH94" s="1963"/>
      <c r="AI94" s="1963"/>
      <c r="AJ94" s="1963"/>
      <c r="AK94" s="1963"/>
      <c r="AL94" s="1963"/>
      <c r="AM94" s="1963"/>
      <c r="AN94" s="1963"/>
      <c r="AO94" s="1963"/>
      <c r="AP94" s="1586"/>
      <c r="AQ94" s="1963"/>
      <c r="AR94" s="1963"/>
      <c r="AS94" s="1963"/>
      <c r="AT94" s="1963"/>
      <c r="AU94" s="1586"/>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52"/>
      <c r="CK94" s="1952"/>
      <c r="CL94" s="1952"/>
      <c r="CM94" s="1952"/>
      <c r="CN94" s="1952"/>
      <c r="CP94" s="1952"/>
      <c r="CQ94" s="1952"/>
      <c r="CR94" s="1952"/>
      <c r="CT94" s="2624"/>
    </row>
    <row r="95" spans="1:101" s="1396" customFormat="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3791"/>
      <c r="AC95" s="3791"/>
      <c r="AD95" s="3791"/>
      <c r="AE95" s="1963"/>
      <c r="AF95" s="3792"/>
      <c r="AG95" s="1963"/>
      <c r="AH95" s="1963"/>
      <c r="AI95" s="1963"/>
      <c r="AJ95" s="1963"/>
      <c r="AK95" s="1963"/>
      <c r="AL95" s="1963"/>
      <c r="AM95" s="1963"/>
      <c r="AN95" s="1963"/>
      <c r="AO95" s="1963"/>
      <c r="AP95" s="1586"/>
      <c r="AQ95" s="1963"/>
      <c r="AR95" s="1963"/>
      <c r="AS95" s="1963"/>
      <c r="AT95" s="1963"/>
      <c r="AU95" s="1586"/>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52"/>
      <c r="CK95" s="1952"/>
      <c r="CL95" s="1952"/>
      <c r="CM95" s="1952"/>
      <c r="CN95" s="1952"/>
      <c r="CP95" s="1952"/>
      <c r="CQ95" s="1952"/>
      <c r="CR95" s="1952"/>
      <c r="CT95" s="2624"/>
    </row>
    <row r="96" spans="1:101" s="1396" customFormat="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3791"/>
      <c r="AC96" s="3791"/>
      <c r="AD96" s="3791"/>
      <c r="AE96" s="1963"/>
      <c r="AF96" s="3792"/>
      <c r="AG96" s="1963"/>
      <c r="AH96" s="1963"/>
      <c r="AI96" s="1963"/>
      <c r="AJ96" s="1963"/>
      <c r="AK96" s="1963"/>
      <c r="AL96" s="1963"/>
      <c r="AM96" s="1963"/>
      <c r="AN96" s="1963"/>
      <c r="AO96" s="1963"/>
      <c r="AP96" s="1586"/>
      <c r="AQ96" s="1963"/>
      <c r="AR96" s="1963"/>
      <c r="AS96" s="1963"/>
      <c r="AT96" s="1963"/>
      <c r="AU96" s="1586"/>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52"/>
      <c r="CK96" s="1952"/>
      <c r="CL96" s="1952"/>
      <c r="CM96" s="1952"/>
      <c r="CN96" s="1952"/>
      <c r="CP96" s="1952"/>
      <c r="CQ96" s="1952"/>
      <c r="CR96" s="1952"/>
      <c r="CT96" s="2624"/>
    </row>
    <row r="97" spans="1:98">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3791"/>
      <c r="AC97" s="3791"/>
      <c r="AD97" s="3791"/>
      <c r="AE97" s="1963"/>
      <c r="AG97" s="1963"/>
      <c r="AH97" s="1963"/>
      <c r="AI97" s="1963"/>
      <c r="AJ97" s="1963"/>
      <c r="AK97" s="1963"/>
      <c r="AL97" s="1963"/>
      <c r="AM97" s="1963"/>
      <c r="AN97" s="1963"/>
      <c r="AO97" s="1963"/>
      <c r="AQ97" s="1963"/>
      <c r="AR97" s="1963"/>
      <c r="AS97" s="1963"/>
      <c r="AT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98"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522"/>
      <c r="AC98" s="1522"/>
      <c r="AD98" s="1522"/>
      <c r="AE98" s="1952"/>
      <c r="AF98" s="3792"/>
      <c r="AG98" s="1952"/>
      <c r="AH98" s="1952"/>
      <c r="AI98" s="1952"/>
      <c r="AJ98" s="1952"/>
      <c r="AK98" s="1952"/>
      <c r="AL98" s="1952"/>
      <c r="AM98" s="1952"/>
      <c r="AN98" s="1952"/>
      <c r="AO98" s="1952"/>
      <c r="AP98" s="1586"/>
      <c r="AQ98" s="1952"/>
      <c r="AR98" s="1952"/>
      <c r="AS98" s="1952"/>
      <c r="AT98" s="1952"/>
      <c r="AU98" s="1586"/>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1952"/>
      <c r="CQ98" s="1952"/>
      <c r="CR98" s="1952"/>
      <c r="CT98" s="2624"/>
    </row>
    <row r="105" spans="1:98">
      <c r="AT105" s="4819"/>
    </row>
    <row r="106" spans="1:98">
      <c r="AT106" s="4819"/>
    </row>
    <row r="107" spans="1:98">
      <c r="AT107" s="4819"/>
    </row>
    <row r="108" spans="1:98">
      <c r="AT108" s="4819"/>
    </row>
    <row r="109" spans="1:98">
      <c r="AT109" s="4819"/>
    </row>
    <row r="110" spans="1:98">
      <c r="AT110" s="4819"/>
    </row>
    <row r="111" spans="1:98">
      <c r="AT111" s="4819"/>
    </row>
  </sheetData>
  <mergeCells count="22">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 ref="W2:AA3"/>
    <mergeCell ref="A2:B2"/>
    <mergeCell ref="C2:G3"/>
    <mergeCell ref="H2:L3"/>
    <mergeCell ref="M2:Q3"/>
    <mergeCell ref="R2:V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70" zoomScaleNormal="70" workbookViewId="0">
      <pane xSplit="2" ySplit="5" topLeftCell="Y60" activePane="bottomRight" state="frozen"/>
      <selection activeCell="Y90" sqref="Y90"/>
      <selection pane="topRight" activeCell="Y90" sqref="Y90"/>
      <selection pane="bottomLeft" activeCell="Y90" sqref="Y90"/>
      <selection pane="bottomRight" activeCell="AM83" sqref="AM83"/>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hidden="1" customWidth="1" outlineLevel="1" collapsed="1"/>
    <col min="19" max="22" width="13.44140625" style="1952" hidden="1" customWidth="1" outlineLevel="1"/>
    <col min="23" max="23" width="13.44140625" style="1952" customWidth="1" collapsed="1"/>
    <col min="24" max="27" width="13.44140625" style="1952" customWidth="1"/>
    <col min="28" max="31" width="12.88671875" style="1952" hidden="1" customWidth="1" outlineLevel="1"/>
    <col min="32" max="32" width="29.33203125" style="1952" hidden="1" customWidth="1" outlineLevel="1"/>
    <col min="33" max="36" width="12.88671875" style="1952" hidden="1" customWidth="1" outlineLevel="1"/>
    <col min="37" max="37" width="26.109375" style="1952" hidden="1" customWidth="1" outlineLevel="1"/>
    <col min="38" max="38" width="12.88671875" style="1952" customWidth="1" collapsed="1"/>
    <col min="39" max="41" width="12.88671875" style="1952" customWidth="1"/>
    <col min="42" max="42" width="26.109375" style="1952" customWidth="1"/>
    <col min="43" max="46" width="12.88671875" style="1952" hidden="1" customWidth="1" outlineLevel="1"/>
    <col min="47" max="47" width="26.109375" style="1952" hidden="1" customWidth="1" outlineLevel="1"/>
    <col min="48" max="51" width="12.88671875" style="1952" hidden="1" customWidth="1" outlineLevel="1"/>
    <col min="52" max="52" width="26.109375" style="1952" hidden="1" customWidth="1" outlineLevel="1"/>
    <col min="53" max="56" width="12.88671875" style="1952" hidden="1" customWidth="1" outlineLevel="1"/>
    <col min="57" max="57" width="26.109375" style="1952" hidden="1" customWidth="1" outlineLevel="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14.33203125" style="1952" customWidth="1"/>
    <col min="93" max="93" width="2.88671875" style="1395"/>
    <col min="94" max="95" width="12.88671875" style="1952" customWidth="1"/>
    <col min="96" max="96" width="14.5546875" style="1952" customWidth="1"/>
    <col min="97" max="97" width="2.88671875" style="1395" hidden="1" customWidth="1" outlineLevel="1"/>
    <col min="98" max="98" width="11.6640625" style="1522" hidden="1" customWidth="1" outlineLevel="1"/>
    <col min="99" max="99" width="8.33203125" style="1395" hidden="1" customWidth="1" outlineLevel="1"/>
    <col min="100" max="100" width="8.44140625" style="1395" hidden="1" customWidth="1" outlineLevel="1"/>
    <col min="101" max="101" width="7.6640625" style="1395" bestFit="1" customWidth="1" collapsed="1"/>
    <col min="102" max="16384" width="2.88671875" style="1395"/>
  </cols>
  <sheetData>
    <row r="1" spans="1:98" ht="13.8" thickBot="1"/>
    <row r="2" spans="1:98" ht="13.8">
      <c r="A2" s="4834" t="s">
        <v>1867</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1921</v>
      </c>
      <c r="CK2" s="4875"/>
      <c r="CL2" s="4875"/>
      <c r="CM2" s="4875"/>
      <c r="CN2" s="4876"/>
      <c r="CP2" s="5168" t="s">
        <v>1868</v>
      </c>
      <c r="CQ2" s="5169"/>
      <c r="CR2" s="5170"/>
    </row>
    <row r="3" spans="1:98"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71"/>
      <c r="CQ3" s="5172"/>
      <c r="CR3" s="5173"/>
    </row>
    <row r="4" spans="1:98"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1474" t="s">
        <v>1850</v>
      </c>
      <c r="CQ4" s="1474" t="s">
        <v>1919</v>
      </c>
      <c r="CR4" s="1474" t="s">
        <v>1826</v>
      </c>
    </row>
    <row r="5" spans="1:98"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0</v>
      </c>
      <c r="X5" s="1466">
        <f>X6</f>
        <v>0</v>
      </c>
      <c r="Y5" s="1466">
        <f>Y6+Y7</f>
        <v>0</v>
      </c>
      <c r="Z5" s="1466"/>
      <c r="AA5" s="1466"/>
      <c r="AB5" s="1466">
        <f>AB6</f>
        <v>0</v>
      </c>
      <c r="AC5" s="1466">
        <f>AC6</f>
        <v>0</v>
      </c>
      <c r="AD5" s="1466">
        <f>AD6+AD7</f>
        <v>0</v>
      </c>
      <c r="AE5" s="1466"/>
      <c r="AF5" s="1466"/>
      <c r="AG5" s="1466">
        <f>AG6</f>
        <v>0</v>
      </c>
      <c r="AH5" s="1466">
        <f>AH6</f>
        <v>0</v>
      </c>
      <c r="AI5" s="1466">
        <f>AI6+AI7</f>
        <v>0</v>
      </c>
      <c r="AJ5" s="1466"/>
      <c r="AK5" s="1466"/>
      <c r="AL5" s="1466">
        <f>AL6</f>
        <v>0</v>
      </c>
      <c r="AM5" s="1466">
        <f>AM6</f>
        <v>0</v>
      </c>
      <c r="AN5" s="1466">
        <f>AN6+AN7</f>
        <v>0</v>
      </c>
      <c r="AO5" s="1466"/>
      <c r="AP5" s="1466"/>
      <c r="AQ5" s="1466">
        <f>AQ6</f>
        <v>0</v>
      </c>
      <c r="AR5" s="1466">
        <f>AR6</f>
        <v>0</v>
      </c>
      <c r="AS5" s="1466">
        <f>AS6+AS7</f>
        <v>0</v>
      </c>
      <c r="AT5" s="1466"/>
      <c r="AU5" s="1466"/>
      <c r="AV5" s="1466">
        <f>AV6</f>
        <v>0</v>
      </c>
      <c r="AW5" s="1466">
        <f>AW6</f>
        <v>0</v>
      </c>
      <c r="AX5" s="1466">
        <f>AX6+AX7</f>
        <v>0</v>
      </c>
      <c r="AY5" s="1466"/>
      <c r="AZ5" s="1466"/>
      <c r="BA5" s="1466">
        <f>BA6</f>
        <v>0</v>
      </c>
      <c r="BB5" s="1466">
        <f>BB6</f>
        <v>0</v>
      </c>
      <c r="BC5" s="1466">
        <f>BC6+BC7</f>
        <v>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0</v>
      </c>
      <c r="CK5" s="1466">
        <f>CK6</f>
        <v>0</v>
      </c>
      <c r="CL5" s="1466">
        <f>CL6</f>
        <v>0</v>
      </c>
      <c r="CM5" s="1466"/>
      <c r="CN5" s="1466"/>
      <c r="CP5" s="1955">
        <f>CP6</f>
        <v>0</v>
      </c>
      <c r="CQ5" s="1955">
        <f>CQ6</f>
        <v>0</v>
      </c>
      <c r="CR5" s="3440">
        <f>CR6</f>
        <v>0</v>
      </c>
      <c r="CT5" s="2624"/>
    </row>
    <row r="6" spans="1:98" s="1396" customFormat="1" ht="13.8"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0</v>
      </c>
      <c r="X6" s="3342">
        <f>AC6+AH6+AM6+AW6+BB6+BG6+BL6+BQ6+BV6+CA6+CF6+AR6</f>
        <v>0</v>
      </c>
      <c r="Y6" s="2012">
        <f t="shared" ref="Y6:Y7" si="3">W6+X6</f>
        <v>0</v>
      </c>
      <c r="Z6" s="3342"/>
      <c r="AA6" s="3342"/>
      <c r="AB6" s="3341"/>
      <c r="AC6" s="3341"/>
      <c r="AD6" s="2012">
        <f t="shared" ref="AD6:AD7" si="4">AB6+AC6</f>
        <v>0</v>
      </c>
      <c r="AE6" s="3341"/>
      <c r="AF6" s="3342"/>
      <c r="AG6" s="3341"/>
      <c r="AH6" s="3341"/>
      <c r="AI6" s="2012">
        <f t="shared" ref="AI6:AI7" si="5">AG6+AH6</f>
        <v>0</v>
      </c>
      <c r="AJ6" s="3341"/>
      <c r="AK6" s="3342"/>
      <c r="AL6" s="3341"/>
      <c r="AM6" s="3341"/>
      <c r="AN6" s="2012">
        <f t="shared" ref="AN6:AN7" si="6">AL6+AM6</f>
        <v>0</v>
      </c>
      <c r="AO6" s="3341"/>
      <c r="AP6" s="3342"/>
      <c r="AQ6" s="3341"/>
      <c r="AR6" s="3341"/>
      <c r="AS6" s="2012">
        <f t="shared" ref="AS6:AS7" si="7">AQ6+AR6</f>
        <v>0</v>
      </c>
      <c r="AT6" s="3341"/>
      <c r="AU6" s="3342"/>
      <c r="AV6" s="3341"/>
      <c r="AW6" s="3341"/>
      <c r="AX6" s="2012">
        <f t="shared" ref="AX6:AX7" si="8">AV6+AW6</f>
        <v>0</v>
      </c>
      <c r="AY6" s="3341"/>
      <c r="AZ6" s="3342"/>
      <c r="BA6" s="3341"/>
      <c r="BB6" s="3341"/>
      <c r="BC6" s="2012">
        <f t="shared" ref="BC6:BC7" si="9">BA6+BB6</f>
        <v>0</v>
      </c>
      <c r="BD6" s="3341"/>
      <c r="BE6" s="3342"/>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f>
        <v>0</v>
      </c>
      <c r="CK6" s="3341">
        <f>D6+I6+N6+X6</f>
        <v>0</v>
      </c>
      <c r="CL6" s="2012">
        <f>CJ6+CK6</f>
        <v>0</v>
      </c>
      <c r="CM6" s="3341"/>
      <c r="CN6" s="3341"/>
      <c r="CP6" s="2012"/>
      <c r="CQ6" s="2012"/>
      <c r="CR6" s="4161">
        <f>CP6-CQ6</f>
        <v>0</v>
      </c>
      <c r="CS6" s="3305"/>
      <c r="CT6" s="2624"/>
    </row>
    <row r="7" spans="1:98" s="1396" customFormat="1" ht="14.4" outlineLevel="1" collapsed="1" thickBot="1">
      <c r="A7" s="1571"/>
      <c r="B7" s="4072" t="s">
        <v>41</v>
      </c>
      <c r="C7" s="3341"/>
      <c r="D7" s="3341"/>
      <c r="E7" s="2012">
        <f t="shared" si="0"/>
        <v>0</v>
      </c>
      <c r="F7" s="4073"/>
      <c r="G7" s="4073"/>
      <c r="H7" s="3341"/>
      <c r="I7" s="3341"/>
      <c r="J7" s="2012">
        <f>H7+I7</f>
        <v>0</v>
      </c>
      <c r="K7" s="4073"/>
      <c r="L7" s="4073"/>
      <c r="M7" s="3341"/>
      <c r="N7" s="3341"/>
      <c r="O7" s="2012">
        <f t="shared" si="1"/>
        <v>0</v>
      </c>
      <c r="P7" s="4073"/>
      <c r="Q7" s="4073"/>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1"/>
      <c r="AC7" s="3341"/>
      <c r="AD7" s="2012">
        <f t="shared" si="4"/>
        <v>0</v>
      </c>
      <c r="AE7" s="4073"/>
      <c r="AF7" s="4073"/>
      <c r="AG7" s="3341"/>
      <c r="AH7" s="3341"/>
      <c r="AI7" s="2012">
        <f t="shared" si="5"/>
        <v>0</v>
      </c>
      <c r="AJ7" s="4073"/>
      <c r="AK7" s="4073"/>
      <c r="AL7" s="3341"/>
      <c r="AM7" s="3341"/>
      <c r="AN7" s="2012">
        <f t="shared" si="6"/>
        <v>0</v>
      </c>
      <c r="AO7" s="4073"/>
      <c r="AP7" s="4073"/>
      <c r="AQ7" s="3341"/>
      <c r="AR7" s="3341"/>
      <c r="AS7" s="2012">
        <f t="shared" si="7"/>
        <v>0</v>
      </c>
      <c r="AT7" s="4073"/>
      <c r="AU7" s="4073"/>
      <c r="AV7" s="3341"/>
      <c r="AW7" s="3341"/>
      <c r="AX7" s="2012">
        <f t="shared" si="8"/>
        <v>0</v>
      </c>
      <c r="AY7" s="4073"/>
      <c r="AZ7" s="4073"/>
      <c r="BA7" s="3341"/>
      <c r="BB7" s="3341"/>
      <c r="BC7" s="2012">
        <f t="shared" si="9"/>
        <v>0</v>
      </c>
      <c r="BD7" s="4073"/>
      <c r="BE7" s="4073"/>
      <c r="BF7" s="3341"/>
      <c r="BG7" s="3341"/>
      <c r="BH7" s="2012">
        <f t="shared" si="10"/>
        <v>0</v>
      </c>
      <c r="BI7" s="4073"/>
      <c r="BJ7" s="4073"/>
      <c r="BK7" s="3341"/>
      <c r="BL7" s="3341"/>
      <c r="BM7" s="2012">
        <f t="shared" si="11"/>
        <v>0</v>
      </c>
      <c r="BN7" s="4073"/>
      <c r="BO7" s="4073"/>
      <c r="BP7" s="3341"/>
      <c r="BQ7" s="3341"/>
      <c r="BR7" s="2012">
        <f t="shared" si="12"/>
        <v>0</v>
      </c>
      <c r="BS7" s="4073"/>
      <c r="BT7" s="4073"/>
      <c r="BU7" s="3341"/>
      <c r="BV7" s="3341"/>
      <c r="BW7" s="2012">
        <f t="shared" si="13"/>
        <v>0</v>
      </c>
      <c r="BX7" s="4073"/>
      <c r="BY7" s="4073"/>
      <c r="BZ7" s="3341"/>
      <c r="CA7" s="3341"/>
      <c r="CB7" s="2012">
        <f t="shared" si="14"/>
        <v>0</v>
      </c>
      <c r="CC7" s="4073"/>
      <c r="CD7" s="4073"/>
      <c r="CE7" s="3341"/>
      <c r="CF7" s="3341"/>
      <c r="CG7" s="2012">
        <f t="shared" si="15"/>
        <v>0</v>
      </c>
      <c r="CH7" s="4073"/>
      <c r="CI7" s="4073"/>
      <c r="CJ7" s="3341">
        <f>C7+H7+M7+W7</f>
        <v>0</v>
      </c>
      <c r="CK7" s="3341">
        <f>D7+I7+N7+X7</f>
        <v>0</v>
      </c>
      <c r="CL7" s="2012">
        <f>CJ7+CK7</f>
        <v>0</v>
      </c>
      <c r="CM7" s="4073"/>
      <c r="CN7" s="4073"/>
      <c r="CP7" s="2012"/>
      <c r="CQ7" s="2012"/>
      <c r="CR7" s="3442"/>
      <c r="CT7" s="2624"/>
    </row>
    <row r="8" spans="1:98" s="1396" customFormat="1" ht="14.4" outlineLevel="1" thickBot="1">
      <c r="A8" s="1571"/>
      <c r="B8" s="1463" t="s">
        <v>16</v>
      </c>
      <c r="C8" s="1957">
        <f>SUM(C9:C33)</f>
        <v>0</v>
      </c>
      <c r="D8" s="1957">
        <f>SUM(D9:D33)</f>
        <v>0</v>
      </c>
      <c r="E8" s="1484">
        <f>SUM(E9:E33)</f>
        <v>0</v>
      </c>
      <c r="F8" s="1528" t="e">
        <f t="shared" ref="F8:F33" si="16">E8/$E$89</f>
        <v>#DIV/0!</v>
      </c>
      <c r="G8" s="1466"/>
      <c r="H8" s="1957">
        <f>SUM(H9:H33)</f>
        <v>0</v>
      </c>
      <c r="I8" s="1957">
        <f>SUM(I9:I33)</f>
        <v>0</v>
      </c>
      <c r="J8" s="1484">
        <f>SUM(J9:J33)</f>
        <v>0</v>
      </c>
      <c r="K8" s="1528" t="e">
        <f t="shared" ref="K8" si="17">J8/$E$89</f>
        <v>#DIV/0!</v>
      </c>
      <c r="L8" s="1466"/>
      <c r="M8" s="1957">
        <f>SUM(M9:M33)</f>
        <v>0</v>
      </c>
      <c r="N8" s="1957">
        <f>SUM(N9:N33)</f>
        <v>0</v>
      </c>
      <c r="O8" s="1484">
        <f>SUM(O9:O33)</f>
        <v>0</v>
      </c>
      <c r="P8" s="1528" t="e">
        <f t="shared" ref="P8" si="18">O8/$E$89</f>
        <v>#DIV/0!</v>
      </c>
      <c r="Q8" s="1466"/>
      <c r="R8" s="1957">
        <f>SUM(R9:R33)</f>
        <v>0</v>
      </c>
      <c r="S8" s="1957">
        <f>SUM(S9:S33)</f>
        <v>0</v>
      </c>
      <c r="T8" s="1484">
        <f>SUM(T9:T33)</f>
        <v>0</v>
      </c>
      <c r="U8" s="1528"/>
      <c r="V8" s="1466"/>
      <c r="W8" s="1957">
        <f>SUM(W9:W33)</f>
        <v>0</v>
      </c>
      <c r="X8" s="1957">
        <f>SUM(X9:X33)</f>
        <v>0</v>
      </c>
      <c r="Y8" s="1484">
        <f>SUM(Y9:Y33)</f>
        <v>0</v>
      </c>
      <c r="Z8" s="1528"/>
      <c r="AA8" s="1466"/>
      <c r="AB8" s="1957">
        <f>SUM(AB9:AB33)</f>
        <v>0</v>
      </c>
      <c r="AC8" s="1957">
        <f>SUM(AC9:AC33)</f>
        <v>0</v>
      </c>
      <c r="AD8" s="1484">
        <f>SUM(AD9:AD33)</f>
        <v>0</v>
      </c>
      <c r="AE8" s="1528"/>
      <c r="AF8" s="1466"/>
      <c r="AG8" s="1957">
        <f>SUM(AG9:AG33)</f>
        <v>0</v>
      </c>
      <c r="AH8" s="1957">
        <f>SUM(AH9:AH33)</f>
        <v>0</v>
      </c>
      <c r="AI8" s="1484">
        <f>SUM(AI9:AI33)</f>
        <v>0</v>
      </c>
      <c r="AJ8" s="1528"/>
      <c r="AK8" s="1466"/>
      <c r="AL8" s="1957">
        <f>SUM(AL9:AL33)</f>
        <v>0</v>
      </c>
      <c r="AM8" s="1957">
        <f>SUM(AM9:AM33)</f>
        <v>0</v>
      </c>
      <c r="AN8" s="1484">
        <f>SUM(AN9:AN33)</f>
        <v>0</v>
      </c>
      <c r="AO8" s="1528"/>
      <c r="AP8" s="1466"/>
      <c r="AQ8" s="1957">
        <f>SUM(AQ9:AQ33)</f>
        <v>0</v>
      </c>
      <c r="AR8" s="1957">
        <f>SUM(AR9:AR33)</f>
        <v>0</v>
      </c>
      <c r="AS8" s="1484">
        <f>SUM(AS9:AS33)</f>
        <v>0</v>
      </c>
      <c r="AT8" s="1528"/>
      <c r="AU8" s="1466"/>
      <c r="AV8" s="1957">
        <f>SUM(AV9:AV33)</f>
        <v>0</v>
      </c>
      <c r="AW8" s="1957">
        <f>SUM(AW9:AW33)</f>
        <v>0</v>
      </c>
      <c r="AX8" s="1484">
        <f>SUM(AX9:AX33)</f>
        <v>0</v>
      </c>
      <c r="AY8" s="1528"/>
      <c r="AZ8" s="1466"/>
      <c r="BA8" s="1957">
        <f>SUM(BA9:BA33)</f>
        <v>0</v>
      </c>
      <c r="BB8" s="1957">
        <f>SUM(BB9:BB33)</f>
        <v>0</v>
      </c>
      <c r="BC8" s="1484">
        <f>SUM(BC9:BC33)</f>
        <v>0</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0</v>
      </c>
      <c r="CK8" s="1957">
        <f>SUM(CK9:CK33)</f>
        <v>0</v>
      </c>
      <c r="CL8" s="1484">
        <f>SUM(CL9:CL33)</f>
        <v>0</v>
      </c>
      <c r="CM8" s="1528"/>
      <c r="CN8" s="1466"/>
      <c r="CP8" s="1484">
        <f>SUM(CP9:CP33)</f>
        <v>0</v>
      </c>
      <c r="CQ8" s="1484">
        <f>SUM(CQ9:CQ33)</f>
        <v>0</v>
      </c>
      <c r="CR8" s="3440">
        <f>SUM(CR9:CR33)</f>
        <v>0</v>
      </c>
      <c r="CT8" s="2624"/>
    </row>
    <row r="9" spans="1:98" s="1396" customFormat="1" ht="13.8" outlineLevel="2">
      <c r="A9" s="1571"/>
      <c r="B9" s="1424" t="s">
        <v>74</v>
      </c>
      <c r="C9" s="3341"/>
      <c r="D9" s="3341"/>
      <c r="E9" s="3349">
        <f t="shared" ref="E9:E32" si="19">C9+D9</f>
        <v>0</v>
      </c>
      <c r="F9" s="4074" t="e">
        <f t="shared" si="16"/>
        <v>#DIV/0!</v>
      </c>
      <c r="G9" s="2047"/>
      <c r="H9" s="3341"/>
      <c r="I9" s="3341"/>
      <c r="J9" s="3349">
        <f t="shared" ref="J9:J32" si="20">H9+I9</f>
        <v>0</v>
      </c>
      <c r="K9" s="4074" t="e">
        <f>J9/J$89</f>
        <v>#DIV/0!</v>
      </c>
      <c r="L9" s="2047"/>
      <c r="M9" s="3341"/>
      <c r="N9" s="3341"/>
      <c r="O9" s="3349">
        <f t="shared" ref="O9:O32" si="21">M9+N9</f>
        <v>0</v>
      </c>
      <c r="P9" s="4074" t="e">
        <f t="shared" ref="P9:P33" si="22">O9/O$89</f>
        <v>#DIV/0!</v>
      </c>
      <c r="Q9" s="2047"/>
      <c r="R9" s="3342">
        <f t="shared" ref="R9:S33" si="23">M9+H9+C9</f>
        <v>0</v>
      </c>
      <c r="S9" s="3342">
        <f t="shared" si="23"/>
        <v>0</v>
      </c>
      <c r="T9" s="2012">
        <f t="shared" ref="T9:T33" si="24">R9+S9</f>
        <v>0</v>
      </c>
      <c r="U9" s="2047"/>
      <c r="V9" s="2047"/>
      <c r="W9" s="3342">
        <f t="shared" ref="W9:X33" si="25">AB9+AG9+AL9+AV9+BA9+BF9+BK9+BP9+BU9+BZ9+CE9+AQ9</f>
        <v>0</v>
      </c>
      <c r="X9" s="3342">
        <f t="shared" si="25"/>
        <v>0</v>
      </c>
      <c r="Y9" s="2012">
        <f t="shared" ref="Y9:Y33" si="26">W9+X9</f>
        <v>0</v>
      </c>
      <c r="Z9" s="2047"/>
      <c r="AA9" s="2047"/>
      <c r="AB9" s="3341"/>
      <c r="AC9" s="3341"/>
      <c r="AD9" s="3349">
        <f t="shared" ref="AD9:AD32" si="27">AB9+AC9</f>
        <v>0</v>
      </c>
      <c r="AE9" s="4074" t="e">
        <f>AD9/AD$89</f>
        <v>#DIV/0!</v>
      </c>
      <c r="AF9" s="2047"/>
      <c r="AG9" s="3341"/>
      <c r="AH9" s="3341"/>
      <c r="AI9" s="3349">
        <f t="shared" ref="AI9:AI32" si="28">AG9+AH9</f>
        <v>0</v>
      </c>
      <c r="AJ9" s="4074" t="e">
        <f>AI9/AI$89</f>
        <v>#DIV/0!</v>
      </c>
      <c r="AK9" s="2047"/>
      <c r="AL9" s="3341"/>
      <c r="AM9" s="3341"/>
      <c r="AN9" s="3349">
        <f t="shared" ref="AN9:AN32" si="29">AL9+AM9</f>
        <v>0</v>
      </c>
      <c r="AO9" s="4074" t="e">
        <f>AN9/AN$89</f>
        <v>#DIV/0!</v>
      </c>
      <c r="AP9" s="2047"/>
      <c r="AQ9" s="3341"/>
      <c r="AR9" s="3341"/>
      <c r="AS9" s="3349">
        <f t="shared" ref="AS9:AS32" si="30">AQ9+AR9</f>
        <v>0</v>
      </c>
      <c r="AT9" s="4074" t="e">
        <f>AS9/AS$89</f>
        <v>#DIV/0!</v>
      </c>
      <c r="AU9" s="2047"/>
      <c r="AV9" s="3341"/>
      <c r="AW9" s="3341"/>
      <c r="AX9" s="3349">
        <f t="shared" ref="AX9:AX32" si="31">AV9+AW9</f>
        <v>0</v>
      </c>
      <c r="AY9" s="4074" t="e">
        <f>AX9/AX$89</f>
        <v>#DIV/0!</v>
      </c>
      <c r="AZ9" s="2047"/>
      <c r="BA9" s="3341"/>
      <c r="BB9" s="3341"/>
      <c r="BC9" s="3349">
        <f t="shared" ref="BC9:BC32" si="32">BA9+BB9</f>
        <v>0</v>
      </c>
      <c r="BD9" s="4074" t="e">
        <f>BC9/BC$89</f>
        <v>#DIV/0!</v>
      </c>
      <c r="BE9" s="2047"/>
      <c r="BF9" s="3341"/>
      <c r="BG9" s="3341"/>
      <c r="BH9" s="3349">
        <f t="shared" ref="BH9:BH32" si="33">BF9+BG9</f>
        <v>0</v>
      </c>
      <c r="BI9" s="4074" t="e">
        <f>BH9/BH$89</f>
        <v>#DIV/0!</v>
      </c>
      <c r="BJ9" s="2047"/>
      <c r="BK9" s="3341"/>
      <c r="BL9" s="3341"/>
      <c r="BM9" s="3349">
        <f t="shared" ref="BM9:BM32" si="34">BK9+BL9</f>
        <v>0</v>
      </c>
      <c r="BN9" s="4074" t="e">
        <f>BM9/BM$89</f>
        <v>#DIV/0!</v>
      </c>
      <c r="BO9" s="2047"/>
      <c r="BP9" s="3341"/>
      <c r="BQ9" s="3341"/>
      <c r="BR9" s="3349">
        <f t="shared" ref="BR9:BR32" si="35">BP9+BQ9</f>
        <v>0</v>
      </c>
      <c r="BS9" s="4074" t="e">
        <f>BR9/BR$89</f>
        <v>#DIV/0!</v>
      </c>
      <c r="BT9" s="2047"/>
      <c r="BU9" s="3341"/>
      <c r="BV9" s="3341"/>
      <c r="BW9" s="3349">
        <f t="shared" ref="BW9:BW32" si="36">BU9+BV9</f>
        <v>0</v>
      </c>
      <c r="BX9" s="4074" t="e">
        <f>BW9/BW$89</f>
        <v>#DIV/0!</v>
      </c>
      <c r="BY9" s="2047"/>
      <c r="BZ9" s="3341"/>
      <c r="CA9" s="3341"/>
      <c r="CB9" s="3349">
        <f t="shared" ref="CB9:CB32" si="37">BZ9+CA9</f>
        <v>0</v>
      </c>
      <c r="CC9" s="4074" t="e">
        <f>CB9/CB$89</f>
        <v>#DIV/0!</v>
      </c>
      <c r="CD9" s="2047"/>
      <c r="CE9" s="3341"/>
      <c r="CF9" s="3341"/>
      <c r="CG9" s="3349">
        <f t="shared" ref="CG9:CG32" si="38">CE9+CF9</f>
        <v>0</v>
      </c>
      <c r="CH9" s="4074" t="e">
        <f>CG9/CG$89</f>
        <v>#DIV/0!</v>
      </c>
      <c r="CI9" s="2047"/>
      <c r="CJ9" s="3341">
        <f t="shared" ref="CJ9:CK33" si="39">C9+H9+M9+W9</f>
        <v>0</v>
      </c>
      <c r="CK9" s="3341">
        <f t="shared" si="39"/>
        <v>0</v>
      </c>
      <c r="CL9" s="3349">
        <f>CJ9+CK9*1</f>
        <v>0</v>
      </c>
      <c r="CM9" s="4074" t="e">
        <f t="shared" ref="CM9:CM33" si="40">CL9/$CL$89</f>
        <v>#DIV/0!</v>
      </c>
      <c r="CN9" s="1434"/>
      <c r="CP9" s="4159"/>
      <c r="CQ9" s="2012">
        <f t="shared" ref="CQ9:CQ32" si="41">CL9</f>
        <v>0</v>
      </c>
      <c r="CR9" s="4161">
        <f>CP9-CQ9</f>
        <v>0</v>
      </c>
      <c r="CS9" s="3307"/>
      <c r="CT9" s="3443"/>
    </row>
    <row r="10" spans="1:98" s="1396" customFormat="1" ht="13.8" outlineLevel="2">
      <c r="A10" s="1571"/>
      <c r="B10" s="1424" t="s">
        <v>72</v>
      </c>
      <c r="C10" s="3341"/>
      <c r="D10" s="3341"/>
      <c r="E10" s="3349">
        <f t="shared" si="19"/>
        <v>0</v>
      </c>
      <c r="F10" s="4074" t="e">
        <f t="shared" si="16"/>
        <v>#DIV/0!</v>
      </c>
      <c r="G10" s="2047"/>
      <c r="H10" s="3341"/>
      <c r="I10" s="3341"/>
      <c r="J10" s="3349">
        <f t="shared" si="20"/>
        <v>0</v>
      </c>
      <c r="K10" s="4074" t="e">
        <f t="shared" ref="K10:K33" si="42">J10/J$89</f>
        <v>#DIV/0!</v>
      </c>
      <c r="L10" s="2047"/>
      <c r="M10" s="3341"/>
      <c r="N10" s="3341"/>
      <c r="O10" s="3349">
        <f t="shared" si="21"/>
        <v>0</v>
      </c>
      <c r="P10" s="4074" t="e">
        <f t="shared" si="22"/>
        <v>#DIV/0!</v>
      </c>
      <c r="Q10" s="2047"/>
      <c r="R10" s="3342">
        <f t="shared" si="23"/>
        <v>0</v>
      </c>
      <c r="S10" s="3342">
        <f t="shared" si="23"/>
        <v>0</v>
      </c>
      <c r="T10" s="2012">
        <f t="shared" si="24"/>
        <v>0</v>
      </c>
      <c r="U10" s="2047"/>
      <c r="V10" s="2047"/>
      <c r="W10" s="3342">
        <f t="shared" si="25"/>
        <v>0</v>
      </c>
      <c r="X10" s="3342">
        <f t="shared" si="25"/>
        <v>0</v>
      </c>
      <c r="Y10" s="2012">
        <f t="shared" si="26"/>
        <v>0</v>
      </c>
      <c r="Z10" s="2047"/>
      <c r="AA10" s="2047"/>
      <c r="AB10" s="3341"/>
      <c r="AC10" s="3341"/>
      <c r="AD10" s="3349">
        <f t="shared" si="27"/>
        <v>0</v>
      </c>
      <c r="AE10" s="4074" t="e">
        <f t="shared" ref="AE10:AE33" si="43">AD10/AD$89</f>
        <v>#DIV/0!</v>
      </c>
      <c r="AF10" s="2047"/>
      <c r="AG10" s="3341"/>
      <c r="AH10" s="3341"/>
      <c r="AI10" s="3349">
        <f t="shared" si="28"/>
        <v>0</v>
      </c>
      <c r="AJ10" s="4074" t="e">
        <f t="shared" ref="AJ10:AJ33" si="44">AI10/AI$89</f>
        <v>#DIV/0!</v>
      </c>
      <c r="AK10" s="2047"/>
      <c r="AL10" s="3341"/>
      <c r="AM10" s="3341"/>
      <c r="AN10" s="3349">
        <f t="shared" si="29"/>
        <v>0</v>
      </c>
      <c r="AO10" s="4074" t="e">
        <f t="shared" ref="AO10:AO33" si="45">AN10/AN$89</f>
        <v>#DIV/0!</v>
      </c>
      <c r="AP10" s="2047"/>
      <c r="AQ10" s="3341"/>
      <c r="AR10" s="3341"/>
      <c r="AS10" s="3349">
        <f t="shared" si="30"/>
        <v>0</v>
      </c>
      <c r="AT10" s="4074" t="e">
        <f t="shared" ref="AT10:AT33" si="46">AS10/AS$89</f>
        <v>#DIV/0!</v>
      </c>
      <c r="AU10" s="2047"/>
      <c r="AV10" s="3341"/>
      <c r="AW10" s="3341"/>
      <c r="AX10" s="3349">
        <f t="shared" si="31"/>
        <v>0</v>
      </c>
      <c r="AY10" s="4074" t="e">
        <f t="shared" ref="AY10:AY33" si="47">AX10/AX$89</f>
        <v>#DIV/0!</v>
      </c>
      <c r="AZ10" s="2047"/>
      <c r="BA10" s="3341"/>
      <c r="BB10" s="3341"/>
      <c r="BC10" s="3349">
        <f t="shared" si="32"/>
        <v>0</v>
      </c>
      <c r="BD10" s="4074" t="e">
        <f t="shared" ref="BD10:BD33" si="48">BC10/BC$89</f>
        <v>#DIV/0!</v>
      </c>
      <c r="BE10" s="2047"/>
      <c r="BF10" s="3341"/>
      <c r="BG10" s="3341"/>
      <c r="BH10" s="3349">
        <f t="shared" si="33"/>
        <v>0</v>
      </c>
      <c r="BI10" s="4074" t="e">
        <f t="shared" ref="BI10:BI33" si="49">BH10/BH$89</f>
        <v>#DIV/0!</v>
      </c>
      <c r="BJ10" s="2047"/>
      <c r="BK10" s="3341"/>
      <c r="BL10" s="3341"/>
      <c r="BM10" s="3349">
        <f t="shared" si="34"/>
        <v>0</v>
      </c>
      <c r="BN10" s="4074" t="e">
        <f t="shared" ref="BN10:BN33" si="50">BM10/BM$89</f>
        <v>#DIV/0!</v>
      </c>
      <c r="BO10" s="2047"/>
      <c r="BP10" s="3341"/>
      <c r="BQ10" s="3341"/>
      <c r="BR10" s="3349">
        <f t="shared" si="35"/>
        <v>0</v>
      </c>
      <c r="BS10" s="4074" t="e">
        <f t="shared" ref="BS10:BS33" si="51">BR10/BR$89</f>
        <v>#DIV/0!</v>
      </c>
      <c r="BT10" s="2047"/>
      <c r="BU10" s="3341"/>
      <c r="BV10" s="3341"/>
      <c r="BW10" s="3349">
        <f t="shared" si="36"/>
        <v>0</v>
      </c>
      <c r="BX10" s="4074" t="e">
        <f t="shared" ref="BX10:BX33" si="52">BW10/BW$89</f>
        <v>#DIV/0!</v>
      </c>
      <c r="BY10" s="2047"/>
      <c r="BZ10" s="3341"/>
      <c r="CA10" s="3341"/>
      <c r="CB10" s="3349">
        <f t="shared" si="37"/>
        <v>0</v>
      </c>
      <c r="CC10" s="4074" t="e">
        <f t="shared" ref="CC10:CC33" si="53">CB10/CB$89</f>
        <v>#DIV/0!</v>
      </c>
      <c r="CD10" s="2047"/>
      <c r="CE10" s="3341"/>
      <c r="CF10" s="3341"/>
      <c r="CG10" s="3349">
        <f t="shared" si="38"/>
        <v>0</v>
      </c>
      <c r="CH10" s="4074" t="e">
        <f t="shared" ref="CH10:CH33" si="54">CG10/CG$89</f>
        <v>#DIV/0!</v>
      </c>
      <c r="CI10" s="2047"/>
      <c r="CJ10" s="3341">
        <f t="shared" si="39"/>
        <v>0</v>
      </c>
      <c r="CK10" s="3341">
        <f t="shared" si="39"/>
        <v>0</v>
      </c>
      <c r="CL10" s="3349">
        <f t="shared" ref="CL10:CL33" si="55">CJ10+CK10*1</f>
        <v>0</v>
      </c>
      <c r="CM10" s="4074" t="e">
        <f t="shared" si="40"/>
        <v>#DIV/0!</v>
      </c>
      <c r="CN10" s="1434"/>
      <c r="CP10" s="4159"/>
      <c r="CQ10" s="2012">
        <f t="shared" si="41"/>
        <v>0</v>
      </c>
      <c r="CR10" s="4161">
        <f t="shared" ref="CR10:CR33" si="56">CP10-CQ10</f>
        <v>0</v>
      </c>
      <c r="CT10" s="2624"/>
    </row>
    <row r="11" spans="1:98" s="1396" customFormat="1" ht="13.8" outlineLevel="2">
      <c r="A11" s="1571"/>
      <c r="B11" s="1424" t="s">
        <v>69</v>
      </c>
      <c r="C11" s="3341"/>
      <c r="D11" s="3341"/>
      <c r="E11" s="3349">
        <f t="shared" si="19"/>
        <v>0</v>
      </c>
      <c r="F11" s="4074" t="e">
        <f t="shared" si="16"/>
        <v>#DIV/0!</v>
      </c>
      <c r="G11" s="1055"/>
      <c r="H11" s="3341"/>
      <c r="I11" s="3341"/>
      <c r="J11" s="3349">
        <f t="shared" si="20"/>
        <v>0</v>
      </c>
      <c r="K11" s="4074" t="e">
        <f t="shared" si="42"/>
        <v>#DIV/0!</v>
      </c>
      <c r="L11" s="1055"/>
      <c r="M11" s="3341"/>
      <c r="N11" s="3341"/>
      <c r="O11" s="3349">
        <f t="shared" si="21"/>
        <v>0</v>
      </c>
      <c r="P11" s="4074" t="e">
        <f t="shared" si="22"/>
        <v>#DIV/0!</v>
      </c>
      <c r="Q11" s="1055"/>
      <c r="R11" s="3342">
        <f t="shared" si="23"/>
        <v>0</v>
      </c>
      <c r="S11" s="3342">
        <f t="shared" si="23"/>
        <v>0</v>
      </c>
      <c r="T11" s="2012">
        <f t="shared" si="24"/>
        <v>0</v>
      </c>
      <c r="U11" s="1055"/>
      <c r="V11" s="1055"/>
      <c r="W11" s="3342">
        <f t="shared" si="25"/>
        <v>0</v>
      </c>
      <c r="X11" s="3342">
        <f t="shared" si="25"/>
        <v>0</v>
      </c>
      <c r="Y11" s="2012">
        <f t="shared" si="26"/>
        <v>0</v>
      </c>
      <c r="Z11" s="1055"/>
      <c r="AA11" s="1055"/>
      <c r="AB11" s="3341"/>
      <c r="AC11" s="3341"/>
      <c r="AD11" s="3349">
        <f t="shared" si="27"/>
        <v>0</v>
      </c>
      <c r="AE11" s="4074" t="e">
        <f t="shared" si="43"/>
        <v>#DIV/0!</v>
      </c>
      <c r="AF11" s="1055"/>
      <c r="AG11" s="3341"/>
      <c r="AH11" s="3341"/>
      <c r="AI11" s="3349">
        <f t="shared" si="28"/>
        <v>0</v>
      </c>
      <c r="AJ11" s="4074" t="e">
        <f t="shared" si="44"/>
        <v>#DIV/0!</v>
      </c>
      <c r="AK11" s="1055"/>
      <c r="AL11" s="3341"/>
      <c r="AM11" s="3341"/>
      <c r="AN11" s="3349">
        <f t="shared" si="29"/>
        <v>0</v>
      </c>
      <c r="AO11" s="4074" t="e">
        <f t="shared" si="45"/>
        <v>#DIV/0!</v>
      </c>
      <c r="AP11" s="1055"/>
      <c r="AQ11" s="3341"/>
      <c r="AR11" s="3341"/>
      <c r="AS11" s="3349">
        <f t="shared" si="30"/>
        <v>0</v>
      </c>
      <c r="AT11" s="4074" t="e">
        <f t="shared" si="46"/>
        <v>#DIV/0!</v>
      </c>
      <c r="AU11" s="1055"/>
      <c r="AV11" s="3341"/>
      <c r="AW11" s="3341"/>
      <c r="AX11" s="3349">
        <f t="shared" si="31"/>
        <v>0</v>
      </c>
      <c r="AY11" s="4074" t="e">
        <f t="shared" si="47"/>
        <v>#DIV/0!</v>
      </c>
      <c r="AZ11" s="1055"/>
      <c r="BA11" s="3341"/>
      <c r="BB11" s="3341"/>
      <c r="BC11" s="3349">
        <f t="shared" si="32"/>
        <v>0</v>
      </c>
      <c r="BD11" s="4074" t="e">
        <f t="shared" si="48"/>
        <v>#DIV/0!</v>
      </c>
      <c r="BE11" s="1055"/>
      <c r="BF11" s="3341"/>
      <c r="BG11" s="3341"/>
      <c r="BH11" s="3349">
        <f t="shared" si="33"/>
        <v>0</v>
      </c>
      <c r="BI11" s="4074" t="e">
        <f t="shared" si="49"/>
        <v>#DIV/0!</v>
      </c>
      <c r="BJ11" s="1055"/>
      <c r="BK11" s="3341"/>
      <c r="BL11" s="3341"/>
      <c r="BM11" s="3349">
        <f t="shared" si="34"/>
        <v>0</v>
      </c>
      <c r="BN11" s="4074" t="e">
        <f t="shared" si="50"/>
        <v>#DIV/0!</v>
      </c>
      <c r="BO11" s="1055"/>
      <c r="BP11" s="3341"/>
      <c r="BQ11" s="3341"/>
      <c r="BR11" s="3349">
        <f t="shared" si="35"/>
        <v>0</v>
      </c>
      <c r="BS11" s="4074" t="e">
        <f t="shared" si="51"/>
        <v>#DIV/0!</v>
      </c>
      <c r="BT11" s="1055"/>
      <c r="BU11" s="3341"/>
      <c r="BV11" s="3341"/>
      <c r="BW11" s="3349">
        <f t="shared" si="36"/>
        <v>0</v>
      </c>
      <c r="BX11" s="4074" t="e">
        <f t="shared" si="52"/>
        <v>#DIV/0!</v>
      </c>
      <c r="BY11" s="1055"/>
      <c r="BZ11" s="3341"/>
      <c r="CA11" s="3341"/>
      <c r="CB11" s="3349">
        <f t="shared" si="37"/>
        <v>0</v>
      </c>
      <c r="CC11" s="4074" t="e">
        <f t="shared" si="53"/>
        <v>#DIV/0!</v>
      </c>
      <c r="CD11" s="1055"/>
      <c r="CE11" s="3341"/>
      <c r="CF11" s="3341"/>
      <c r="CG11" s="3349">
        <f t="shared" si="38"/>
        <v>0</v>
      </c>
      <c r="CH11" s="4074" t="e">
        <f t="shared" si="54"/>
        <v>#DIV/0!</v>
      </c>
      <c r="CI11" s="1055"/>
      <c r="CJ11" s="3341">
        <f t="shared" si="39"/>
        <v>0</v>
      </c>
      <c r="CK11" s="3341">
        <f t="shared" si="39"/>
        <v>0</v>
      </c>
      <c r="CL11" s="3349">
        <f t="shared" si="55"/>
        <v>0</v>
      </c>
      <c r="CM11" s="4074" t="e">
        <f t="shared" si="40"/>
        <v>#DIV/0!</v>
      </c>
      <c r="CN11" s="1434"/>
      <c r="CP11" s="4159"/>
      <c r="CQ11" s="2012">
        <f t="shared" si="41"/>
        <v>0</v>
      </c>
      <c r="CR11" s="4161">
        <f t="shared" si="56"/>
        <v>0</v>
      </c>
      <c r="CT11" s="2624"/>
    </row>
    <row r="12" spans="1:98" s="1396" customFormat="1" ht="13.8" outlineLevel="2">
      <c r="A12" s="1571"/>
      <c r="B12" s="1424" t="s">
        <v>73</v>
      </c>
      <c r="C12" s="3341"/>
      <c r="D12" s="3341"/>
      <c r="E12" s="3349">
        <f t="shared" si="19"/>
        <v>0</v>
      </c>
      <c r="F12" s="4074" t="e">
        <f t="shared" si="16"/>
        <v>#DIV/0!</v>
      </c>
      <c r="G12" s="1055"/>
      <c r="H12" s="3341"/>
      <c r="I12" s="3341"/>
      <c r="J12" s="3349">
        <f t="shared" si="20"/>
        <v>0</v>
      </c>
      <c r="K12" s="4074" t="e">
        <f t="shared" si="42"/>
        <v>#DIV/0!</v>
      </c>
      <c r="L12" s="1055"/>
      <c r="M12" s="3341"/>
      <c r="N12" s="3341"/>
      <c r="O12" s="3349">
        <f t="shared" si="21"/>
        <v>0</v>
      </c>
      <c r="P12" s="4074" t="e">
        <f t="shared" si="22"/>
        <v>#DIV/0!</v>
      </c>
      <c r="Q12" s="1055"/>
      <c r="R12" s="3342">
        <f t="shared" si="23"/>
        <v>0</v>
      </c>
      <c r="S12" s="3342">
        <f t="shared" si="23"/>
        <v>0</v>
      </c>
      <c r="T12" s="2012">
        <f t="shared" si="24"/>
        <v>0</v>
      </c>
      <c r="U12" s="1055"/>
      <c r="V12" s="1055"/>
      <c r="W12" s="3342">
        <f t="shared" si="25"/>
        <v>0</v>
      </c>
      <c r="X12" s="3342">
        <f t="shared" si="25"/>
        <v>0</v>
      </c>
      <c r="Y12" s="2012">
        <f t="shared" si="26"/>
        <v>0</v>
      </c>
      <c r="Z12" s="1055"/>
      <c r="AA12" s="1055"/>
      <c r="AB12" s="3341"/>
      <c r="AC12" s="3341"/>
      <c r="AD12" s="3349">
        <f t="shared" si="27"/>
        <v>0</v>
      </c>
      <c r="AE12" s="4074" t="e">
        <f t="shared" si="43"/>
        <v>#DIV/0!</v>
      </c>
      <c r="AF12" s="1055"/>
      <c r="AG12" s="3341"/>
      <c r="AH12" s="3341"/>
      <c r="AI12" s="3349">
        <f t="shared" si="28"/>
        <v>0</v>
      </c>
      <c r="AJ12" s="4074" t="e">
        <f t="shared" si="44"/>
        <v>#DIV/0!</v>
      </c>
      <c r="AK12" s="1055"/>
      <c r="AL12" s="3341"/>
      <c r="AM12" s="3341"/>
      <c r="AN12" s="3349">
        <f t="shared" si="29"/>
        <v>0</v>
      </c>
      <c r="AO12" s="4074" t="e">
        <f t="shared" si="45"/>
        <v>#DIV/0!</v>
      </c>
      <c r="AP12" s="1055"/>
      <c r="AQ12" s="3341"/>
      <c r="AR12" s="3341"/>
      <c r="AS12" s="3349">
        <f t="shared" si="30"/>
        <v>0</v>
      </c>
      <c r="AT12" s="4074" t="e">
        <f t="shared" si="46"/>
        <v>#DIV/0!</v>
      </c>
      <c r="AU12" s="1055"/>
      <c r="AV12" s="3341"/>
      <c r="AW12" s="3341"/>
      <c r="AX12" s="3349">
        <f t="shared" si="31"/>
        <v>0</v>
      </c>
      <c r="AY12" s="4074" t="e">
        <f t="shared" si="47"/>
        <v>#DIV/0!</v>
      </c>
      <c r="AZ12" s="1055"/>
      <c r="BA12" s="3341"/>
      <c r="BB12" s="3341"/>
      <c r="BC12" s="3349">
        <f t="shared" si="32"/>
        <v>0</v>
      </c>
      <c r="BD12" s="4074" t="e">
        <f t="shared" si="48"/>
        <v>#DIV/0!</v>
      </c>
      <c r="BE12" s="1055"/>
      <c r="BF12" s="3341"/>
      <c r="BG12" s="3341"/>
      <c r="BH12" s="3349">
        <f t="shared" si="33"/>
        <v>0</v>
      </c>
      <c r="BI12" s="4074" t="e">
        <f t="shared" si="49"/>
        <v>#DIV/0!</v>
      </c>
      <c r="BJ12" s="1055"/>
      <c r="BK12" s="3341"/>
      <c r="BL12" s="3341"/>
      <c r="BM12" s="3349">
        <f t="shared" si="34"/>
        <v>0</v>
      </c>
      <c r="BN12" s="4074" t="e">
        <f t="shared" si="50"/>
        <v>#DIV/0!</v>
      </c>
      <c r="BO12" s="1055"/>
      <c r="BP12" s="3341"/>
      <c r="BQ12" s="3341"/>
      <c r="BR12" s="3349">
        <f t="shared" si="35"/>
        <v>0</v>
      </c>
      <c r="BS12" s="4074" t="e">
        <f t="shared" si="51"/>
        <v>#DIV/0!</v>
      </c>
      <c r="BT12" s="1055"/>
      <c r="BU12" s="3341"/>
      <c r="BV12" s="3341"/>
      <c r="BW12" s="3349">
        <f t="shared" si="36"/>
        <v>0</v>
      </c>
      <c r="BX12" s="4074" t="e">
        <f t="shared" si="52"/>
        <v>#DIV/0!</v>
      </c>
      <c r="BY12" s="1055"/>
      <c r="BZ12" s="3341"/>
      <c r="CA12" s="3341"/>
      <c r="CB12" s="3349">
        <f t="shared" si="37"/>
        <v>0</v>
      </c>
      <c r="CC12" s="4074" t="e">
        <f t="shared" si="53"/>
        <v>#DIV/0!</v>
      </c>
      <c r="CD12" s="1055"/>
      <c r="CE12" s="3341"/>
      <c r="CF12" s="3341"/>
      <c r="CG12" s="3349">
        <f t="shared" si="38"/>
        <v>0</v>
      </c>
      <c r="CH12" s="4074" t="e">
        <f t="shared" si="54"/>
        <v>#DIV/0!</v>
      </c>
      <c r="CI12" s="1055"/>
      <c r="CJ12" s="3341">
        <f t="shared" si="39"/>
        <v>0</v>
      </c>
      <c r="CK12" s="3341">
        <f t="shared" si="39"/>
        <v>0</v>
      </c>
      <c r="CL12" s="3349">
        <f t="shared" si="55"/>
        <v>0</v>
      </c>
      <c r="CM12" s="4074" t="e">
        <f t="shared" si="40"/>
        <v>#DIV/0!</v>
      </c>
      <c r="CN12" s="1434"/>
      <c r="CP12" s="4159"/>
      <c r="CQ12" s="2012">
        <f t="shared" si="41"/>
        <v>0</v>
      </c>
      <c r="CR12" s="4161">
        <f t="shared" si="56"/>
        <v>0</v>
      </c>
      <c r="CT12" s="2624"/>
    </row>
    <row r="13" spans="1:98" s="1396" customFormat="1" ht="13.8" outlineLevel="2">
      <c r="A13" s="1571"/>
      <c r="B13" s="1424" t="s">
        <v>71</v>
      </c>
      <c r="C13" s="3341"/>
      <c r="D13" s="3341"/>
      <c r="E13" s="3349">
        <f t="shared" si="19"/>
        <v>0</v>
      </c>
      <c r="F13" s="4074" t="e">
        <f t="shared" si="16"/>
        <v>#DIV/0!</v>
      </c>
      <c r="G13" s="1055"/>
      <c r="H13" s="3341"/>
      <c r="I13" s="3341"/>
      <c r="J13" s="3349">
        <f t="shared" si="20"/>
        <v>0</v>
      </c>
      <c r="K13" s="4074" t="e">
        <f t="shared" si="42"/>
        <v>#DIV/0!</v>
      </c>
      <c r="L13" s="1055"/>
      <c r="M13" s="3341"/>
      <c r="N13" s="3341"/>
      <c r="O13" s="3349">
        <f t="shared" si="21"/>
        <v>0</v>
      </c>
      <c r="P13" s="4074" t="e">
        <f t="shared" si="22"/>
        <v>#DIV/0!</v>
      </c>
      <c r="Q13" s="1055"/>
      <c r="R13" s="3342">
        <f t="shared" si="23"/>
        <v>0</v>
      </c>
      <c r="S13" s="3342">
        <f t="shared" si="23"/>
        <v>0</v>
      </c>
      <c r="T13" s="2012">
        <f t="shared" si="24"/>
        <v>0</v>
      </c>
      <c r="U13" s="1055"/>
      <c r="V13" s="1055"/>
      <c r="W13" s="3342">
        <f t="shared" si="25"/>
        <v>0</v>
      </c>
      <c r="X13" s="3342">
        <f t="shared" si="25"/>
        <v>0</v>
      </c>
      <c r="Y13" s="2012">
        <f t="shared" si="26"/>
        <v>0</v>
      </c>
      <c r="Z13" s="1055"/>
      <c r="AA13" s="1055"/>
      <c r="AB13" s="3341"/>
      <c r="AC13" s="3341"/>
      <c r="AD13" s="3349">
        <f t="shared" si="27"/>
        <v>0</v>
      </c>
      <c r="AE13" s="4074" t="e">
        <f t="shared" si="43"/>
        <v>#DIV/0!</v>
      </c>
      <c r="AF13" s="1055"/>
      <c r="AG13" s="3341"/>
      <c r="AH13" s="3341"/>
      <c r="AI13" s="3349">
        <f t="shared" si="28"/>
        <v>0</v>
      </c>
      <c r="AJ13" s="4074" t="e">
        <f t="shared" si="44"/>
        <v>#DIV/0!</v>
      </c>
      <c r="AK13" s="1055"/>
      <c r="AL13" s="3341"/>
      <c r="AM13" s="3341"/>
      <c r="AN13" s="3349">
        <f t="shared" si="29"/>
        <v>0</v>
      </c>
      <c r="AO13" s="4074" t="e">
        <f t="shared" si="45"/>
        <v>#DIV/0!</v>
      </c>
      <c r="AP13" s="1055"/>
      <c r="AQ13" s="3341"/>
      <c r="AR13" s="3341"/>
      <c r="AS13" s="3349">
        <f t="shared" si="30"/>
        <v>0</v>
      </c>
      <c r="AT13" s="4074" t="e">
        <f t="shared" si="46"/>
        <v>#DIV/0!</v>
      </c>
      <c r="AU13" s="1055"/>
      <c r="AV13" s="3341"/>
      <c r="AW13" s="3341"/>
      <c r="AX13" s="3349">
        <f t="shared" si="31"/>
        <v>0</v>
      </c>
      <c r="AY13" s="4074" t="e">
        <f t="shared" si="47"/>
        <v>#DIV/0!</v>
      </c>
      <c r="AZ13" s="1055"/>
      <c r="BA13" s="3341"/>
      <c r="BB13" s="3341"/>
      <c r="BC13" s="3349">
        <f t="shared" si="32"/>
        <v>0</v>
      </c>
      <c r="BD13" s="4074" t="e">
        <f t="shared" si="48"/>
        <v>#DIV/0!</v>
      </c>
      <c r="BE13" s="1055"/>
      <c r="BF13" s="3341"/>
      <c r="BG13" s="3341"/>
      <c r="BH13" s="3349">
        <f t="shared" si="33"/>
        <v>0</v>
      </c>
      <c r="BI13" s="4074" t="e">
        <f t="shared" si="49"/>
        <v>#DIV/0!</v>
      </c>
      <c r="BJ13" s="1055"/>
      <c r="BK13" s="3341"/>
      <c r="BL13" s="3341"/>
      <c r="BM13" s="3349">
        <f t="shared" si="34"/>
        <v>0</v>
      </c>
      <c r="BN13" s="4074" t="e">
        <f t="shared" si="50"/>
        <v>#DIV/0!</v>
      </c>
      <c r="BO13" s="1055"/>
      <c r="BP13" s="3341"/>
      <c r="BQ13" s="3341"/>
      <c r="BR13" s="3349">
        <f t="shared" si="35"/>
        <v>0</v>
      </c>
      <c r="BS13" s="4074" t="e">
        <f t="shared" si="51"/>
        <v>#DIV/0!</v>
      </c>
      <c r="BT13" s="1055"/>
      <c r="BU13" s="3341"/>
      <c r="BV13" s="3341"/>
      <c r="BW13" s="3349">
        <f t="shared" si="36"/>
        <v>0</v>
      </c>
      <c r="BX13" s="4074" t="e">
        <f t="shared" si="52"/>
        <v>#DIV/0!</v>
      </c>
      <c r="BY13" s="1055"/>
      <c r="BZ13" s="3341"/>
      <c r="CA13" s="3341"/>
      <c r="CB13" s="3349">
        <f t="shared" si="37"/>
        <v>0</v>
      </c>
      <c r="CC13" s="4074" t="e">
        <f t="shared" si="53"/>
        <v>#DIV/0!</v>
      </c>
      <c r="CD13" s="1055"/>
      <c r="CE13" s="3341"/>
      <c r="CF13" s="3341"/>
      <c r="CG13" s="3349">
        <f t="shared" si="38"/>
        <v>0</v>
      </c>
      <c r="CH13" s="4074" t="e">
        <f t="shared" si="54"/>
        <v>#DIV/0!</v>
      </c>
      <c r="CI13" s="1055"/>
      <c r="CJ13" s="3341">
        <f t="shared" si="39"/>
        <v>0</v>
      </c>
      <c r="CK13" s="3341">
        <f t="shared" si="39"/>
        <v>0</v>
      </c>
      <c r="CL13" s="3349">
        <f t="shared" si="55"/>
        <v>0</v>
      </c>
      <c r="CM13" s="4074" t="e">
        <f t="shared" si="40"/>
        <v>#DIV/0!</v>
      </c>
      <c r="CN13" s="1434"/>
      <c r="CP13" s="4159"/>
      <c r="CQ13" s="2012">
        <f t="shared" si="41"/>
        <v>0</v>
      </c>
      <c r="CR13" s="4161">
        <f t="shared" si="56"/>
        <v>0</v>
      </c>
      <c r="CT13" s="2624"/>
    </row>
    <row r="14" spans="1:98" s="1396" customFormat="1" ht="13.8" outlineLevel="2">
      <c r="A14" s="1571"/>
      <c r="B14" s="1424" t="s">
        <v>70</v>
      </c>
      <c r="C14" s="3341"/>
      <c r="D14" s="3341"/>
      <c r="E14" s="3349">
        <f t="shared" si="19"/>
        <v>0</v>
      </c>
      <c r="F14" s="4074" t="e">
        <f t="shared" si="16"/>
        <v>#DIV/0!</v>
      </c>
      <c r="G14" s="1055"/>
      <c r="H14" s="3341"/>
      <c r="I14" s="3341"/>
      <c r="J14" s="3349">
        <f t="shared" si="20"/>
        <v>0</v>
      </c>
      <c r="K14" s="4074" t="e">
        <f t="shared" si="42"/>
        <v>#DIV/0!</v>
      </c>
      <c r="L14" s="1055"/>
      <c r="M14" s="3341"/>
      <c r="N14" s="3341"/>
      <c r="O14" s="3349">
        <f t="shared" si="21"/>
        <v>0</v>
      </c>
      <c r="P14" s="4074" t="e">
        <f t="shared" si="22"/>
        <v>#DIV/0!</v>
      </c>
      <c r="Q14" s="1055"/>
      <c r="R14" s="3342">
        <f t="shared" si="23"/>
        <v>0</v>
      </c>
      <c r="S14" s="3342">
        <f t="shared" si="23"/>
        <v>0</v>
      </c>
      <c r="T14" s="2012">
        <f t="shared" si="24"/>
        <v>0</v>
      </c>
      <c r="U14" s="1055"/>
      <c r="V14" s="1055"/>
      <c r="W14" s="3342">
        <f t="shared" si="25"/>
        <v>0</v>
      </c>
      <c r="X14" s="3342">
        <f t="shared" si="25"/>
        <v>0</v>
      </c>
      <c r="Y14" s="2012">
        <f t="shared" si="26"/>
        <v>0</v>
      </c>
      <c r="Z14" s="1055"/>
      <c r="AA14" s="1055"/>
      <c r="AB14" s="3341"/>
      <c r="AC14" s="3341"/>
      <c r="AD14" s="3349">
        <f t="shared" si="27"/>
        <v>0</v>
      </c>
      <c r="AE14" s="4074" t="e">
        <f t="shared" si="43"/>
        <v>#DIV/0!</v>
      </c>
      <c r="AF14" s="1055"/>
      <c r="AG14" s="3341"/>
      <c r="AH14" s="3341"/>
      <c r="AI14" s="3349">
        <f t="shared" si="28"/>
        <v>0</v>
      </c>
      <c r="AJ14" s="4074" t="e">
        <f t="shared" si="44"/>
        <v>#DIV/0!</v>
      </c>
      <c r="AK14" s="1055"/>
      <c r="AL14" s="3341"/>
      <c r="AM14" s="3341"/>
      <c r="AN14" s="3349">
        <f t="shared" si="29"/>
        <v>0</v>
      </c>
      <c r="AO14" s="4074" t="e">
        <f t="shared" si="45"/>
        <v>#DIV/0!</v>
      </c>
      <c r="AP14" s="1055"/>
      <c r="AQ14" s="3341"/>
      <c r="AR14" s="3341"/>
      <c r="AS14" s="3349">
        <f t="shared" si="30"/>
        <v>0</v>
      </c>
      <c r="AT14" s="4074" t="e">
        <f t="shared" si="46"/>
        <v>#DIV/0!</v>
      </c>
      <c r="AU14" s="1055"/>
      <c r="AV14" s="3341"/>
      <c r="AW14" s="3341"/>
      <c r="AX14" s="3349">
        <f t="shared" si="31"/>
        <v>0</v>
      </c>
      <c r="AY14" s="4074" t="e">
        <f t="shared" si="47"/>
        <v>#DIV/0!</v>
      </c>
      <c r="AZ14" s="1055"/>
      <c r="BA14" s="3341"/>
      <c r="BB14" s="3341"/>
      <c r="BC14" s="3349">
        <f t="shared" si="32"/>
        <v>0</v>
      </c>
      <c r="BD14" s="4074" t="e">
        <f t="shared" si="48"/>
        <v>#DIV/0!</v>
      </c>
      <c r="BE14" s="1055"/>
      <c r="BF14" s="3341"/>
      <c r="BG14" s="3341"/>
      <c r="BH14" s="3349">
        <f t="shared" si="33"/>
        <v>0</v>
      </c>
      <c r="BI14" s="4074" t="e">
        <f t="shared" si="49"/>
        <v>#DIV/0!</v>
      </c>
      <c r="BJ14" s="1055"/>
      <c r="BK14" s="3341"/>
      <c r="BL14" s="3341"/>
      <c r="BM14" s="3349">
        <f t="shared" si="34"/>
        <v>0</v>
      </c>
      <c r="BN14" s="4074" t="e">
        <f t="shared" si="50"/>
        <v>#DIV/0!</v>
      </c>
      <c r="BO14" s="1055"/>
      <c r="BP14" s="3341"/>
      <c r="BQ14" s="3341"/>
      <c r="BR14" s="3349">
        <f t="shared" si="35"/>
        <v>0</v>
      </c>
      <c r="BS14" s="4074" t="e">
        <f t="shared" si="51"/>
        <v>#DIV/0!</v>
      </c>
      <c r="BT14" s="1055"/>
      <c r="BU14" s="3341"/>
      <c r="BV14" s="3341"/>
      <c r="BW14" s="3349">
        <f t="shared" si="36"/>
        <v>0</v>
      </c>
      <c r="BX14" s="4074" t="e">
        <f t="shared" si="52"/>
        <v>#DIV/0!</v>
      </c>
      <c r="BY14" s="1055"/>
      <c r="BZ14" s="3341"/>
      <c r="CA14" s="3341"/>
      <c r="CB14" s="3349">
        <f t="shared" si="37"/>
        <v>0</v>
      </c>
      <c r="CC14" s="4074" t="e">
        <f t="shared" si="53"/>
        <v>#DIV/0!</v>
      </c>
      <c r="CD14" s="1055"/>
      <c r="CE14" s="3341"/>
      <c r="CF14" s="3341"/>
      <c r="CG14" s="3349">
        <f t="shared" si="38"/>
        <v>0</v>
      </c>
      <c r="CH14" s="4074" t="e">
        <f t="shared" si="54"/>
        <v>#DIV/0!</v>
      </c>
      <c r="CI14" s="1055"/>
      <c r="CJ14" s="3341">
        <f t="shared" si="39"/>
        <v>0</v>
      </c>
      <c r="CK14" s="3341">
        <f t="shared" si="39"/>
        <v>0</v>
      </c>
      <c r="CL14" s="3349">
        <f t="shared" si="55"/>
        <v>0</v>
      </c>
      <c r="CM14" s="4074" t="e">
        <f t="shared" si="40"/>
        <v>#DIV/0!</v>
      </c>
      <c r="CN14" s="1434"/>
      <c r="CP14" s="4159"/>
      <c r="CQ14" s="2012">
        <f t="shared" si="41"/>
        <v>0</v>
      </c>
      <c r="CR14" s="4161">
        <f t="shared" si="56"/>
        <v>0</v>
      </c>
      <c r="CT14" s="2624"/>
    </row>
    <row r="15" spans="1:98" s="1396" customFormat="1" ht="13.8" outlineLevel="2">
      <c r="A15" s="1571"/>
      <c r="B15" s="4075" t="s">
        <v>20</v>
      </c>
      <c r="C15" s="3341"/>
      <c r="D15" s="3341"/>
      <c r="E15" s="3349">
        <f t="shared" si="19"/>
        <v>0</v>
      </c>
      <c r="F15" s="4074" t="e">
        <f t="shared" si="16"/>
        <v>#DIV/0!</v>
      </c>
      <c r="G15" s="1055"/>
      <c r="H15" s="3341"/>
      <c r="I15" s="3341"/>
      <c r="J15" s="3349">
        <f t="shared" si="20"/>
        <v>0</v>
      </c>
      <c r="K15" s="4074" t="e">
        <f t="shared" si="42"/>
        <v>#DIV/0!</v>
      </c>
      <c r="L15" s="1055"/>
      <c r="M15" s="3341"/>
      <c r="N15" s="3341"/>
      <c r="O15" s="3349">
        <f t="shared" si="21"/>
        <v>0</v>
      </c>
      <c r="P15" s="4074" t="e">
        <f t="shared" si="22"/>
        <v>#DIV/0!</v>
      </c>
      <c r="Q15" s="1055"/>
      <c r="R15" s="3342">
        <f t="shared" si="23"/>
        <v>0</v>
      </c>
      <c r="S15" s="3342">
        <f t="shared" si="23"/>
        <v>0</v>
      </c>
      <c r="T15" s="2012">
        <f t="shared" si="24"/>
        <v>0</v>
      </c>
      <c r="U15" s="1055"/>
      <c r="V15" s="1055"/>
      <c r="W15" s="3342">
        <f t="shared" si="25"/>
        <v>0</v>
      </c>
      <c r="X15" s="3342">
        <f t="shared" si="25"/>
        <v>0</v>
      </c>
      <c r="Y15" s="2012">
        <f t="shared" si="26"/>
        <v>0</v>
      </c>
      <c r="Z15" s="1055"/>
      <c r="AA15" s="1055"/>
      <c r="AB15" s="3341"/>
      <c r="AC15" s="3341"/>
      <c r="AD15" s="3349">
        <f t="shared" si="27"/>
        <v>0</v>
      </c>
      <c r="AE15" s="4074" t="e">
        <f t="shared" si="43"/>
        <v>#DIV/0!</v>
      </c>
      <c r="AF15" s="1055"/>
      <c r="AG15" s="3341"/>
      <c r="AH15" s="3341"/>
      <c r="AI15" s="3349">
        <f t="shared" si="28"/>
        <v>0</v>
      </c>
      <c r="AJ15" s="4074" t="e">
        <f t="shared" si="44"/>
        <v>#DIV/0!</v>
      </c>
      <c r="AK15" s="1055"/>
      <c r="AL15" s="3341"/>
      <c r="AM15" s="3341"/>
      <c r="AN15" s="3349">
        <f t="shared" si="29"/>
        <v>0</v>
      </c>
      <c r="AO15" s="4074" t="e">
        <f t="shared" si="45"/>
        <v>#DIV/0!</v>
      </c>
      <c r="AP15" s="1055"/>
      <c r="AQ15" s="3341"/>
      <c r="AR15" s="3341"/>
      <c r="AS15" s="3349">
        <f t="shared" si="30"/>
        <v>0</v>
      </c>
      <c r="AT15" s="4074" t="e">
        <f t="shared" si="46"/>
        <v>#DIV/0!</v>
      </c>
      <c r="AU15" s="1055"/>
      <c r="AV15" s="3341"/>
      <c r="AW15" s="3341"/>
      <c r="AX15" s="3349">
        <f t="shared" si="31"/>
        <v>0</v>
      </c>
      <c r="AY15" s="4074" t="e">
        <f t="shared" si="47"/>
        <v>#DIV/0!</v>
      </c>
      <c r="AZ15" s="1055"/>
      <c r="BA15" s="3341"/>
      <c r="BB15" s="3341"/>
      <c r="BC15" s="3349">
        <f t="shared" si="32"/>
        <v>0</v>
      </c>
      <c r="BD15" s="4074" t="e">
        <f t="shared" si="48"/>
        <v>#DIV/0!</v>
      </c>
      <c r="BE15" s="1055"/>
      <c r="BF15" s="3341"/>
      <c r="BG15" s="3341"/>
      <c r="BH15" s="3349">
        <f t="shared" si="33"/>
        <v>0</v>
      </c>
      <c r="BI15" s="4074" t="e">
        <f t="shared" si="49"/>
        <v>#DIV/0!</v>
      </c>
      <c r="BJ15" s="1055"/>
      <c r="BK15" s="3341"/>
      <c r="BL15" s="3341"/>
      <c r="BM15" s="3349">
        <f t="shared" si="34"/>
        <v>0</v>
      </c>
      <c r="BN15" s="4074" t="e">
        <f t="shared" si="50"/>
        <v>#DIV/0!</v>
      </c>
      <c r="BO15" s="1055"/>
      <c r="BP15" s="3341"/>
      <c r="BQ15" s="3341"/>
      <c r="BR15" s="3349">
        <f t="shared" si="35"/>
        <v>0</v>
      </c>
      <c r="BS15" s="4074" t="e">
        <f t="shared" si="51"/>
        <v>#DIV/0!</v>
      </c>
      <c r="BT15" s="1055"/>
      <c r="BU15" s="3341"/>
      <c r="BV15" s="3341"/>
      <c r="BW15" s="3349">
        <f t="shared" si="36"/>
        <v>0</v>
      </c>
      <c r="BX15" s="4074" t="e">
        <f t="shared" si="52"/>
        <v>#DIV/0!</v>
      </c>
      <c r="BY15" s="1055"/>
      <c r="BZ15" s="3341"/>
      <c r="CA15" s="3341"/>
      <c r="CB15" s="3349">
        <f t="shared" si="37"/>
        <v>0</v>
      </c>
      <c r="CC15" s="4074" t="e">
        <f t="shared" si="53"/>
        <v>#DIV/0!</v>
      </c>
      <c r="CD15" s="1055"/>
      <c r="CE15" s="3341"/>
      <c r="CF15" s="3341"/>
      <c r="CG15" s="3349">
        <f t="shared" si="38"/>
        <v>0</v>
      </c>
      <c r="CH15" s="4074" t="e">
        <f t="shared" si="54"/>
        <v>#DIV/0!</v>
      </c>
      <c r="CI15" s="1055"/>
      <c r="CJ15" s="3341">
        <f t="shared" si="39"/>
        <v>0</v>
      </c>
      <c r="CK15" s="3341">
        <f t="shared" si="39"/>
        <v>0</v>
      </c>
      <c r="CL15" s="3349">
        <f t="shared" si="55"/>
        <v>0</v>
      </c>
      <c r="CM15" s="4074" t="e">
        <f t="shared" si="40"/>
        <v>#DIV/0!</v>
      </c>
      <c r="CN15" s="1434"/>
      <c r="CP15" s="4159"/>
      <c r="CQ15" s="2012">
        <f t="shared" si="41"/>
        <v>0</v>
      </c>
      <c r="CR15" s="4161">
        <f t="shared" si="56"/>
        <v>0</v>
      </c>
      <c r="CT15" s="2624"/>
    </row>
    <row r="16" spans="1:98" s="1396" customFormat="1" ht="13.8" outlineLevel="2">
      <c r="A16" s="1571"/>
      <c r="B16" s="4075" t="s">
        <v>21</v>
      </c>
      <c r="C16" s="3341"/>
      <c r="D16" s="3341"/>
      <c r="E16" s="3349">
        <f t="shared" si="19"/>
        <v>0</v>
      </c>
      <c r="F16" s="4074" t="e">
        <f t="shared" si="16"/>
        <v>#DIV/0!</v>
      </c>
      <c r="G16" s="1055"/>
      <c r="H16" s="3341"/>
      <c r="I16" s="3341"/>
      <c r="J16" s="3349">
        <f t="shared" si="20"/>
        <v>0</v>
      </c>
      <c r="K16" s="4074" t="e">
        <f t="shared" si="42"/>
        <v>#DIV/0!</v>
      </c>
      <c r="L16" s="1055"/>
      <c r="M16" s="3341"/>
      <c r="N16" s="3341"/>
      <c r="O16" s="3349">
        <f t="shared" si="21"/>
        <v>0</v>
      </c>
      <c r="P16" s="4074" t="e">
        <f t="shared" si="22"/>
        <v>#DIV/0!</v>
      </c>
      <c r="Q16" s="1055"/>
      <c r="R16" s="3342">
        <f t="shared" si="23"/>
        <v>0</v>
      </c>
      <c r="S16" s="3342">
        <f t="shared" si="23"/>
        <v>0</v>
      </c>
      <c r="T16" s="2012">
        <f t="shared" si="24"/>
        <v>0</v>
      </c>
      <c r="U16" s="1055"/>
      <c r="V16" s="1055"/>
      <c r="W16" s="3342">
        <f t="shared" si="25"/>
        <v>0</v>
      </c>
      <c r="X16" s="3342">
        <f t="shared" si="25"/>
        <v>0</v>
      </c>
      <c r="Y16" s="2012">
        <f t="shared" si="26"/>
        <v>0</v>
      </c>
      <c r="Z16" s="1055"/>
      <c r="AA16" s="1055"/>
      <c r="AB16" s="3341"/>
      <c r="AC16" s="3341"/>
      <c r="AD16" s="3349">
        <f t="shared" si="27"/>
        <v>0</v>
      </c>
      <c r="AE16" s="4074" t="e">
        <f t="shared" si="43"/>
        <v>#DIV/0!</v>
      </c>
      <c r="AF16" s="1055"/>
      <c r="AG16" s="3341"/>
      <c r="AH16" s="3341"/>
      <c r="AI16" s="3349">
        <f t="shared" si="28"/>
        <v>0</v>
      </c>
      <c r="AJ16" s="4074" t="e">
        <f t="shared" si="44"/>
        <v>#DIV/0!</v>
      </c>
      <c r="AK16" s="1055"/>
      <c r="AL16" s="3341"/>
      <c r="AM16" s="3341"/>
      <c r="AN16" s="3349">
        <f t="shared" si="29"/>
        <v>0</v>
      </c>
      <c r="AO16" s="4074" t="e">
        <f t="shared" si="45"/>
        <v>#DIV/0!</v>
      </c>
      <c r="AP16" s="1055"/>
      <c r="AQ16" s="3341"/>
      <c r="AR16" s="3341"/>
      <c r="AS16" s="3349">
        <f t="shared" si="30"/>
        <v>0</v>
      </c>
      <c r="AT16" s="4074" t="e">
        <f t="shared" si="46"/>
        <v>#DIV/0!</v>
      </c>
      <c r="AU16" s="1055"/>
      <c r="AV16" s="3341"/>
      <c r="AW16" s="3341"/>
      <c r="AX16" s="3349">
        <f t="shared" si="31"/>
        <v>0</v>
      </c>
      <c r="AY16" s="4074" t="e">
        <f t="shared" si="47"/>
        <v>#DIV/0!</v>
      </c>
      <c r="AZ16" s="1055"/>
      <c r="BA16" s="3341"/>
      <c r="BB16" s="3341"/>
      <c r="BC16" s="3349">
        <f t="shared" si="32"/>
        <v>0</v>
      </c>
      <c r="BD16" s="4074" t="e">
        <f t="shared" si="48"/>
        <v>#DIV/0!</v>
      </c>
      <c r="BE16" s="1055"/>
      <c r="BF16" s="3341"/>
      <c r="BG16" s="3341"/>
      <c r="BH16" s="3349">
        <f t="shared" si="33"/>
        <v>0</v>
      </c>
      <c r="BI16" s="4074" t="e">
        <f t="shared" si="49"/>
        <v>#DIV/0!</v>
      </c>
      <c r="BJ16" s="1055"/>
      <c r="BK16" s="3341"/>
      <c r="BL16" s="3341"/>
      <c r="BM16" s="3349">
        <f t="shared" si="34"/>
        <v>0</v>
      </c>
      <c r="BN16" s="4074" t="e">
        <f t="shared" si="50"/>
        <v>#DIV/0!</v>
      </c>
      <c r="BO16" s="1055"/>
      <c r="BP16" s="3341"/>
      <c r="BQ16" s="3341"/>
      <c r="BR16" s="3349">
        <f t="shared" si="35"/>
        <v>0</v>
      </c>
      <c r="BS16" s="4074" t="e">
        <f t="shared" si="51"/>
        <v>#DIV/0!</v>
      </c>
      <c r="BT16" s="1055"/>
      <c r="BU16" s="3341"/>
      <c r="BV16" s="3341"/>
      <c r="BW16" s="3349">
        <f t="shared" si="36"/>
        <v>0</v>
      </c>
      <c r="BX16" s="4074" t="e">
        <f t="shared" si="52"/>
        <v>#DIV/0!</v>
      </c>
      <c r="BY16" s="1055"/>
      <c r="BZ16" s="3341"/>
      <c r="CA16" s="3341"/>
      <c r="CB16" s="3349">
        <f t="shared" si="37"/>
        <v>0</v>
      </c>
      <c r="CC16" s="4074" t="e">
        <f t="shared" si="53"/>
        <v>#DIV/0!</v>
      </c>
      <c r="CD16" s="1055"/>
      <c r="CE16" s="3341"/>
      <c r="CF16" s="3341"/>
      <c r="CG16" s="3349">
        <f t="shared" si="38"/>
        <v>0</v>
      </c>
      <c r="CH16" s="4074" t="e">
        <f t="shared" si="54"/>
        <v>#DIV/0!</v>
      </c>
      <c r="CI16" s="1055"/>
      <c r="CJ16" s="3341">
        <f t="shared" si="39"/>
        <v>0</v>
      </c>
      <c r="CK16" s="3341">
        <f t="shared" si="39"/>
        <v>0</v>
      </c>
      <c r="CL16" s="3349">
        <f>CJ16+CK16*1</f>
        <v>0</v>
      </c>
      <c r="CM16" s="4074" t="e">
        <f t="shared" si="40"/>
        <v>#DIV/0!</v>
      </c>
      <c r="CN16" s="1434"/>
      <c r="CP16" s="4159"/>
      <c r="CQ16" s="2012">
        <f t="shared" si="41"/>
        <v>0</v>
      </c>
      <c r="CR16" s="4161">
        <f t="shared" si="56"/>
        <v>0</v>
      </c>
      <c r="CT16" s="2624"/>
    </row>
    <row r="17" spans="1:100" s="1396" customFormat="1" ht="13.8" outlineLevel="2">
      <c r="A17" s="1571"/>
      <c r="B17" s="4075" t="s">
        <v>22</v>
      </c>
      <c r="C17" s="3341"/>
      <c r="D17" s="3341"/>
      <c r="E17" s="3349">
        <f t="shared" si="19"/>
        <v>0</v>
      </c>
      <c r="F17" s="4074" t="e">
        <f t="shared" si="16"/>
        <v>#DIV/0!</v>
      </c>
      <c r="G17" s="2047"/>
      <c r="H17" s="3341"/>
      <c r="I17" s="3341"/>
      <c r="J17" s="3349">
        <f t="shared" si="20"/>
        <v>0</v>
      </c>
      <c r="K17" s="4074" t="e">
        <f t="shared" si="42"/>
        <v>#DIV/0!</v>
      </c>
      <c r="L17" s="2047"/>
      <c r="M17" s="3341"/>
      <c r="N17" s="3341"/>
      <c r="O17" s="3349">
        <f t="shared" si="21"/>
        <v>0</v>
      </c>
      <c r="P17" s="4074" t="e">
        <f t="shared" si="22"/>
        <v>#DIV/0!</v>
      </c>
      <c r="Q17" s="2047"/>
      <c r="R17" s="3342">
        <f t="shared" si="23"/>
        <v>0</v>
      </c>
      <c r="S17" s="3342">
        <f t="shared" si="23"/>
        <v>0</v>
      </c>
      <c r="T17" s="2012">
        <f t="shared" si="24"/>
        <v>0</v>
      </c>
      <c r="U17" s="2047"/>
      <c r="V17" s="2047"/>
      <c r="W17" s="3342">
        <f t="shared" si="25"/>
        <v>0</v>
      </c>
      <c r="X17" s="3342">
        <f t="shared" si="25"/>
        <v>0</v>
      </c>
      <c r="Y17" s="2012">
        <f t="shared" si="26"/>
        <v>0</v>
      </c>
      <c r="Z17" s="2047"/>
      <c r="AA17" s="2047"/>
      <c r="AB17" s="3341"/>
      <c r="AC17" s="3341"/>
      <c r="AD17" s="3349">
        <f t="shared" si="27"/>
        <v>0</v>
      </c>
      <c r="AE17" s="4074" t="e">
        <f t="shared" si="43"/>
        <v>#DIV/0!</v>
      </c>
      <c r="AF17" s="2047"/>
      <c r="AG17" s="3341"/>
      <c r="AH17" s="3341"/>
      <c r="AI17" s="3349">
        <f t="shared" si="28"/>
        <v>0</v>
      </c>
      <c r="AJ17" s="4074" t="e">
        <f t="shared" si="44"/>
        <v>#DIV/0!</v>
      </c>
      <c r="AK17" s="2047"/>
      <c r="AL17" s="3341"/>
      <c r="AM17" s="3341"/>
      <c r="AN17" s="3349">
        <f t="shared" si="29"/>
        <v>0</v>
      </c>
      <c r="AO17" s="4074" t="e">
        <f t="shared" si="45"/>
        <v>#DIV/0!</v>
      </c>
      <c r="AP17" s="2047"/>
      <c r="AQ17" s="3341"/>
      <c r="AR17" s="3341"/>
      <c r="AS17" s="3349">
        <f t="shared" si="30"/>
        <v>0</v>
      </c>
      <c r="AT17" s="4074" t="e">
        <f t="shared" si="46"/>
        <v>#DIV/0!</v>
      </c>
      <c r="AU17" s="2047"/>
      <c r="AV17" s="3341"/>
      <c r="AW17" s="3341"/>
      <c r="AX17" s="3349">
        <f t="shared" si="31"/>
        <v>0</v>
      </c>
      <c r="AY17" s="4074" t="e">
        <f t="shared" si="47"/>
        <v>#DIV/0!</v>
      </c>
      <c r="AZ17" s="2047"/>
      <c r="BA17" s="3341"/>
      <c r="BB17" s="3341"/>
      <c r="BC17" s="3349">
        <f t="shared" si="32"/>
        <v>0</v>
      </c>
      <c r="BD17" s="4074" t="e">
        <f t="shared" si="48"/>
        <v>#DIV/0!</v>
      </c>
      <c r="BE17" s="2047"/>
      <c r="BF17" s="3341"/>
      <c r="BG17" s="3341"/>
      <c r="BH17" s="3349">
        <f t="shared" si="33"/>
        <v>0</v>
      </c>
      <c r="BI17" s="4074" t="e">
        <f t="shared" si="49"/>
        <v>#DIV/0!</v>
      </c>
      <c r="BJ17" s="2047"/>
      <c r="BK17" s="3341"/>
      <c r="BL17" s="3341"/>
      <c r="BM17" s="3349">
        <f t="shared" si="34"/>
        <v>0</v>
      </c>
      <c r="BN17" s="4074" t="e">
        <f t="shared" si="50"/>
        <v>#DIV/0!</v>
      </c>
      <c r="BO17" s="2047"/>
      <c r="BP17" s="3341"/>
      <c r="BQ17" s="3341"/>
      <c r="BR17" s="3349">
        <f t="shared" si="35"/>
        <v>0</v>
      </c>
      <c r="BS17" s="4074" t="e">
        <f t="shared" si="51"/>
        <v>#DIV/0!</v>
      </c>
      <c r="BT17" s="2047"/>
      <c r="BU17" s="3341"/>
      <c r="BV17" s="3341"/>
      <c r="BW17" s="3349">
        <f t="shared" si="36"/>
        <v>0</v>
      </c>
      <c r="BX17" s="4074" t="e">
        <f t="shared" si="52"/>
        <v>#DIV/0!</v>
      </c>
      <c r="BY17" s="2047"/>
      <c r="BZ17" s="3341"/>
      <c r="CA17" s="3341"/>
      <c r="CB17" s="3349">
        <f t="shared" si="37"/>
        <v>0</v>
      </c>
      <c r="CC17" s="4074" t="e">
        <f t="shared" si="53"/>
        <v>#DIV/0!</v>
      </c>
      <c r="CD17" s="2047"/>
      <c r="CE17" s="3341"/>
      <c r="CF17" s="3341"/>
      <c r="CG17" s="3349">
        <f t="shared" si="38"/>
        <v>0</v>
      </c>
      <c r="CH17" s="4074" t="e">
        <f t="shared" si="54"/>
        <v>#DIV/0!</v>
      </c>
      <c r="CI17" s="2047"/>
      <c r="CJ17" s="3341">
        <f t="shared" si="39"/>
        <v>0</v>
      </c>
      <c r="CK17" s="3341">
        <f t="shared" si="39"/>
        <v>0</v>
      </c>
      <c r="CL17" s="3349">
        <f t="shared" si="55"/>
        <v>0</v>
      </c>
      <c r="CM17" s="4074" t="e">
        <f t="shared" si="40"/>
        <v>#DIV/0!</v>
      </c>
      <c r="CN17" s="1434"/>
      <c r="CP17" s="4159"/>
      <c r="CQ17" s="2012">
        <f t="shared" si="41"/>
        <v>0</v>
      </c>
      <c r="CR17" s="4161">
        <f t="shared" si="56"/>
        <v>0</v>
      </c>
      <c r="CS17" s="3307"/>
      <c r="CT17" s="3443"/>
    </row>
    <row r="18" spans="1:100" s="1396" customFormat="1" ht="13.8" outlineLevel="2">
      <c r="A18" s="1571"/>
      <c r="B18" s="4075" t="s">
        <v>0</v>
      </c>
      <c r="C18" s="3341"/>
      <c r="D18" s="3341"/>
      <c r="E18" s="3349">
        <f t="shared" si="19"/>
        <v>0</v>
      </c>
      <c r="F18" s="4074" t="e">
        <f t="shared" si="16"/>
        <v>#DIV/0!</v>
      </c>
      <c r="G18" s="1055"/>
      <c r="H18" s="3341"/>
      <c r="I18" s="3341"/>
      <c r="J18" s="3349">
        <f t="shared" si="20"/>
        <v>0</v>
      </c>
      <c r="K18" s="4074" t="e">
        <f t="shared" si="42"/>
        <v>#DIV/0!</v>
      </c>
      <c r="L18" s="1055"/>
      <c r="M18" s="3341"/>
      <c r="N18" s="3341"/>
      <c r="O18" s="3349">
        <f t="shared" si="21"/>
        <v>0</v>
      </c>
      <c r="P18" s="4074" t="e">
        <f t="shared" si="22"/>
        <v>#DIV/0!</v>
      </c>
      <c r="Q18" s="1055"/>
      <c r="R18" s="3342">
        <f t="shared" si="23"/>
        <v>0</v>
      </c>
      <c r="S18" s="3342">
        <f t="shared" si="23"/>
        <v>0</v>
      </c>
      <c r="T18" s="2012">
        <f t="shared" si="24"/>
        <v>0</v>
      </c>
      <c r="U18" s="1055"/>
      <c r="V18" s="1055"/>
      <c r="W18" s="3342">
        <f t="shared" si="25"/>
        <v>0</v>
      </c>
      <c r="X18" s="3342">
        <f t="shared" si="25"/>
        <v>0</v>
      </c>
      <c r="Y18" s="2012">
        <f t="shared" si="26"/>
        <v>0</v>
      </c>
      <c r="Z18" s="1055"/>
      <c r="AA18" s="1055"/>
      <c r="AB18" s="3341"/>
      <c r="AC18" s="3341"/>
      <c r="AD18" s="3349">
        <f t="shared" si="27"/>
        <v>0</v>
      </c>
      <c r="AE18" s="4074" t="e">
        <f t="shared" si="43"/>
        <v>#DIV/0!</v>
      </c>
      <c r="AF18" s="1055"/>
      <c r="AG18" s="3341"/>
      <c r="AH18" s="3341"/>
      <c r="AI18" s="3349">
        <f t="shared" si="28"/>
        <v>0</v>
      </c>
      <c r="AJ18" s="4074" t="e">
        <f t="shared" si="44"/>
        <v>#DIV/0!</v>
      </c>
      <c r="AK18" s="1055"/>
      <c r="AL18" s="3341"/>
      <c r="AM18" s="3341"/>
      <c r="AN18" s="3349">
        <f t="shared" si="29"/>
        <v>0</v>
      </c>
      <c r="AO18" s="4074" t="e">
        <f t="shared" si="45"/>
        <v>#DIV/0!</v>
      </c>
      <c r="AP18" s="1055"/>
      <c r="AQ18" s="3341"/>
      <c r="AR18" s="3341"/>
      <c r="AS18" s="3349">
        <f t="shared" si="30"/>
        <v>0</v>
      </c>
      <c r="AT18" s="4074" t="e">
        <f t="shared" si="46"/>
        <v>#DIV/0!</v>
      </c>
      <c r="AU18" s="1055"/>
      <c r="AV18" s="3341"/>
      <c r="AW18" s="3341"/>
      <c r="AX18" s="3349">
        <f t="shared" si="31"/>
        <v>0</v>
      </c>
      <c r="AY18" s="4074" t="e">
        <f t="shared" si="47"/>
        <v>#DIV/0!</v>
      </c>
      <c r="AZ18" s="1055"/>
      <c r="BA18" s="3341"/>
      <c r="BB18" s="3341"/>
      <c r="BC18" s="3349">
        <f t="shared" si="32"/>
        <v>0</v>
      </c>
      <c r="BD18" s="4074" t="e">
        <f t="shared" si="48"/>
        <v>#DIV/0!</v>
      </c>
      <c r="BE18" s="1055"/>
      <c r="BF18" s="3341"/>
      <c r="BG18" s="3341"/>
      <c r="BH18" s="3349">
        <f t="shared" si="33"/>
        <v>0</v>
      </c>
      <c r="BI18" s="4074" t="e">
        <f t="shared" si="49"/>
        <v>#DIV/0!</v>
      </c>
      <c r="BJ18" s="1055"/>
      <c r="BK18" s="3341"/>
      <c r="BL18" s="3341"/>
      <c r="BM18" s="3349">
        <f t="shared" si="34"/>
        <v>0</v>
      </c>
      <c r="BN18" s="4074" t="e">
        <f t="shared" si="50"/>
        <v>#DIV/0!</v>
      </c>
      <c r="BO18" s="1055"/>
      <c r="BP18" s="3341"/>
      <c r="BQ18" s="3341"/>
      <c r="BR18" s="3349">
        <f t="shared" si="35"/>
        <v>0</v>
      </c>
      <c r="BS18" s="4074" t="e">
        <f t="shared" si="51"/>
        <v>#DIV/0!</v>
      </c>
      <c r="BT18" s="1055"/>
      <c r="BU18" s="3341"/>
      <c r="BV18" s="3341"/>
      <c r="BW18" s="3349">
        <f t="shared" si="36"/>
        <v>0</v>
      </c>
      <c r="BX18" s="4074" t="e">
        <f t="shared" si="52"/>
        <v>#DIV/0!</v>
      </c>
      <c r="BY18" s="1055"/>
      <c r="BZ18" s="3341"/>
      <c r="CA18" s="3341"/>
      <c r="CB18" s="3349">
        <f t="shared" si="37"/>
        <v>0</v>
      </c>
      <c r="CC18" s="4074" t="e">
        <f t="shared" si="53"/>
        <v>#DIV/0!</v>
      </c>
      <c r="CD18" s="1055"/>
      <c r="CE18" s="3341"/>
      <c r="CF18" s="3341"/>
      <c r="CG18" s="3349">
        <f t="shared" si="38"/>
        <v>0</v>
      </c>
      <c r="CH18" s="4074" t="e">
        <f t="shared" si="54"/>
        <v>#DIV/0!</v>
      </c>
      <c r="CI18" s="1055"/>
      <c r="CJ18" s="3341">
        <f t="shared" si="39"/>
        <v>0</v>
      </c>
      <c r="CK18" s="3341">
        <f t="shared" si="39"/>
        <v>0</v>
      </c>
      <c r="CL18" s="3349">
        <f t="shared" si="55"/>
        <v>0</v>
      </c>
      <c r="CM18" s="4074" t="e">
        <f t="shared" si="40"/>
        <v>#DIV/0!</v>
      </c>
      <c r="CN18" s="1434"/>
      <c r="CP18" s="4159"/>
      <c r="CQ18" s="2012">
        <f t="shared" si="41"/>
        <v>0</v>
      </c>
      <c r="CR18" s="4161">
        <f t="shared" si="56"/>
        <v>0</v>
      </c>
      <c r="CT18" s="2624"/>
    </row>
    <row r="19" spans="1:100" s="1396" customFormat="1" ht="13.8" outlineLevel="2">
      <c r="A19" s="1571"/>
      <c r="B19" s="4075" t="s">
        <v>53</v>
      </c>
      <c r="C19" s="3341"/>
      <c r="D19" s="3341"/>
      <c r="E19" s="3349">
        <f t="shared" si="19"/>
        <v>0</v>
      </c>
      <c r="F19" s="4074" t="e">
        <f t="shared" si="16"/>
        <v>#DIV/0!</v>
      </c>
      <c r="G19" s="1055"/>
      <c r="H19" s="3341"/>
      <c r="I19" s="3341"/>
      <c r="J19" s="3349">
        <f t="shared" si="20"/>
        <v>0</v>
      </c>
      <c r="K19" s="4074" t="e">
        <f t="shared" si="42"/>
        <v>#DIV/0!</v>
      </c>
      <c r="L19" s="1055"/>
      <c r="M19" s="3341"/>
      <c r="N19" s="3341"/>
      <c r="O19" s="3349">
        <f t="shared" si="21"/>
        <v>0</v>
      </c>
      <c r="P19" s="4074" t="e">
        <f t="shared" si="22"/>
        <v>#DIV/0!</v>
      </c>
      <c r="Q19" s="1055"/>
      <c r="R19" s="3342">
        <f t="shared" si="23"/>
        <v>0</v>
      </c>
      <c r="S19" s="3342">
        <f t="shared" si="23"/>
        <v>0</v>
      </c>
      <c r="T19" s="2012">
        <f t="shared" si="24"/>
        <v>0</v>
      </c>
      <c r="U19" s="1055"/>
      <c r="V19" s="1055"/>
      <c r="W19" s="3342">
        <f t="shared" si="25"/>
        <v>0</v>
      </c>
      <c r="X19" s="3342">
        <f t="shared" si="25"/>
        <v>0</v>
      </c>
      <c r="Y19" s="2012">
        <f t="shared" si="26"/>
        <v>0</v>
      </c>
      <c r="Z19" s="1055"/>
      <c r="AA19" s="1055"/>
      <c r="AB19" s="3341"/>
      <c r="AC19" s="3341"/>
      <c r="AD19" s="3349">
        <f t="shared" si="27"/>
        <v>0</v>
      </c>
      <c r="AE19" s="4074" t="e">
        <f t="shared" si="43"/>
        <v>#DIV/0!</v>
      </c>
      <c r="AF19" s="1055"/>
      <c r="AG19" s="3341"/>
      <c r="AH19" s="3341"/>
      <c r="AI19" s="3349">
        <f t="shared" si="28"/>
        <v>0</v>
      </c>
      <c r="AJ19" s="4074" t="e">
        <f t="shared" si="44"/>
        <v>#DIV/0!</v>
      </c>
      <c r="AK19" s="1055"/>
      <c r="AL19" s="3341"/>
      <c r="AM19" s="3341"/>
      <c r="AN19" s="3349">
        <f t="shared" si="29"/>
        <v>0</v>
      </c>
      <c r="AO19" s="4074" t="e">
        <f t="shared" si="45"/>
        <v>#DIV/0!</v>
      </c>
      <c r="AP19" s="1055"/>
      <c r="AQ19" s="3341"/>
      <c r="AR19" s="3341"/>
      <c r="AS19" s="3349">
        <f t="shared" si="30"/>
        <v>0</v>
      </c>
      <c r="AT19" s="4074" t="e">
        <f t="shared" si="46"/>
        <v>#DIV/0!</v>
      </c>
      <c r="AU19" s="1055"/>
      <c r="AV19" s="3341"/>
      <c r="AW19" s="3341"/>
      <c r="AX19" s="3349">
        <f t="shared" si="31"/>
        <v>0</v>
      </c>
      <c r="AY19" s="4074" t="e">
        <f t="shared" si="47"/>
        <v>#DIV/0!</v>
      </c>
      <c r="AZ19" s="1055"/>
      <c r="BA19" s="3341"/>
      <c r="BB19" s="3341"/>
      <c r="BC19" s="3349">
        <f t="shared" si="32"/>
        <v>0</v>
      </c>
      <c r="BD19" s="4074" t="e">
        <f t="shared" si="48"/>
        <v>#DIV/0!</v>
      </c>
      <c r="BE19" s="1055"/>
      <c r="BF19" s="3341"/>
      <c r="BG19" s="3341"/>
      <c r="BH19" s="3349">
        <f t="shared" si="33"/>
        <v>0</v>
      </c>
      <c r="BI19" s="4074" t="e">
        <f t="shared" si="49"/>
        <v>#DIV/0!</v>
      </c>
      <c r="BJ19" s="1055"/>
      <c r="BK19" s="3341"/>
      <c r="BL19" s="3341"/>
      <c r="BM19" s="3349">
        <f t="shared" si="34"/>
        <v>0</v>
      </c>
      <c r="BN19" s="4074" t="e">
        <f t="shared" si="50"/>
        <v>#DIV/0!</v>
      </c>
      <c r="BO19" s="1055"/>
      <c r="BP19" s="3341"/>
      <c r="BQ19" s="3341"/>
      <c r="BR19" s="3349">
        <f t="shared" si="35"/>
        <v>0</v>
      </c>
      <c r="BS19" s="4074" t="e">
        <f t="shared" si="51"/>
        <v>#DIV/0!</v>
      </c>
      <c r="BT19" s="1055"/>
      <c r="BU19" s="3341"/>
      <c r="BV19" s="3341"/>
      <c r="BW19" s="3349">
        <f t="shared" si="36"/>
        <v>0</v>
      </c>
      <c r="BX19" s="4074" t="e">
        <f t="shared" si="52"/>
        <v>#DIV/0!</v>
      </c>
      <c r="BY19" s="1055"/>
      <c r="BZ19" s="3341"/>
      <c r="CA19" s="3341"/>
      <c r="CB19" s="3349">
        <f t="shared" si="37"/>
        <v>0</v>
      </c>
      <c r="CC19" s="4074" t="e">
        <f t="shared" si="53"/>
        <v>#DIV/0!</v>
      </c>
      <c r="CD19" s="1055"/>
      <c r="CE19" s="3341"/>
      <c r="CF19" s="3341"/>
      <c r="CG19" s="3349">
        <f t="shared" si="38"/>
        <v>0</v>
      </c>
      <c r="CH19" s="4074" t="e">
        <f t="shared" si="54"/>
        <v>#DIV/0!</v>
      </c>
      <c r="CI19" s="1055"/>
      <c r="CJ19" s="3341">
        <f t="shared" si="39"/>
        <v>0</v>
      </c>
      <c r="CK19" s="3341">
        <f t="shared" si="39"/>
        <v>0</v>
      </c>
      <c r="CL19" s="3349">
        <f t="shared" si="55"/>
        <v>0</v>
      </c>
      <c r="CM19" s="4074" t="e">
        <f t="shared" si="40"/>
        <v>#DIV/0!</v>
      </c>
      <c r="CN19" s="1434"/>
      <c r="CP19" s="4159"/>
      <c r="CQ19" s="2012">
        <f t="shared" si="41"/>
        <v>0</v>
      </c>
      <c r="CR19" s="4161">
        <f t="shared" si="56"/>
        <v>0</v>
      </c>
      <c r="CT19" s="2624"/>
    </row>
    <row r="20" spans="1:100" s="1396" customFormat="1" ht="13.8" outlineLevel="2">
      <c r="A20" s="1571"/>
      <c r="B20" s="4075" t="s">
        <v>57</v>
      </c>
      <c r="C20" s="3341"/>
      <c r="D20" s="3341"/>
      <c r="E20" s="3349">
        <f t="shared" si="19"/>
        <v>0</v>
      </c>
      <c r="F20" s="4074" t="e">
        <f t="shared" si="16"/>
        <v>#DIV/0!</v>
      </c>
      <c r="G20" s="1055"/>
      <c r="H20" s="3341"/>
      <c r="I20" s="3341"/>
      <c r="J20" s="3349">
        <f t="shared" si="20"/>
        <v>0</v>
      </c>
      <c r="K20" s="4074" t="e">
        <f t="shared" si="42"/>
        <v>#DIV/0!</v>
      </c>
      <c r="L20" s="1055"/>
      <c r="M20" s="3341"/>
      <c r="N20" s="3341"/>
      <c r="O20" s="3349">
        <f t="shared" si="21"/>
        <v>0</v>
      </c>
      <c r="P20" s="4074" t="e">
        <f t="shared" si="22"/>
        <v>#DIV/0!</v>
      </c>
      <c r="Q20" s="1055"/>
      <c r="R20" s="3342">
        <f t="shared" si="23"/>
        <v>0</v>
      </c>
      <c r="S20" s="3342">
        <f t="shared" si="23"/>
        <v>0</v>
      </c>
      <c r="T20" s="2012">
        <f t="shared" si="24"/>
        <v>0</v>
      </c>
      <c r="U20" s="1055"/>
      <c r="V20" s="1055"/>
      <c r="W20" s="3342">
        <f t="shared" si="25"/>
        <v>0</v>
      </c>
      <c r="X20" s="3342">
        <f t="shared" si="25"/>
        <v>0</v>
      </c>
      <c r="Y20" s="2012">
        <f t="shared" si="26"/>
        <v>0</v>
      </c>
      <c r="Z20" s="1055"/>
      <c r="AA20" s="1055"/>
      <c r="AB20" s="3341"/>
      <c r="AC20" s="3341"/>
      <c r="AD20" s="3349">
        <f t="shared" si="27"/>
        <v>0</v>
      </c>
      <c r="AE20" s="4074" t="e">
        <f t="shared" si="43"/>
        <v>#DIV/0!</v>
      </c>
      <c r="AF20" s="1055"/>
      <c r="AG20" s="3341"/>
      <c r="AH20" s="3341"/>
      <c r="AI20" s="3349">
        <f t="shared" si="28"/>
        <v>0</v>
      </c>
      <c r="AJ20" s="4074" t="e">
        <f t="shared" si="44"/>
        <v>#DIV/0!</v>
      </c>
      <c r="AK20" s="1055"/>
      <c r="AL20" s="3341"/>
      <c r="AM20" s="3341"/>
      <c r="AN20" s="3349">
        <f t="shared" si="29"/>
        <v>0</v>
      </c>
      <c r="AO20" s="4074" t="e">
        <f t="shared" si="45"/>
        <v>#DIV/0!</v>
      </c>
      <c r="AP20" s="1055"/>
      <c r="AQ20" s="3341"/>
      <c r="AR20" s="3341"/>
      <c r="AS20" s="3349">
        <f t="shared" si="30"/>
        <v>0</v>
      </c>
      <c r="AT20" s="4074" t="e">
        <f t="shared" si="46"/>
        <v>#DIV/0!</v>
      </c>
      <c r="AU20" s="1055"/>
      <c r="AV20" s="3341"/>
      <c r="AW20" s="3341"/>
      <c r="AX20" s="3349">
        <f t="shared" si="31"/>
        <v>0</v>
      </c>
      <c r="AY20" s="4074" t="e">
        <f t="shared" si="47"/>
        <v>#DIV/0!</v>
      </c>
      <c r="AZ20" s="1055"/>
      <c r="BA20" s="3341"/>
      <c r="BB20" s="3341"/>
      <c r="BC20" s="3349">
        <f t="shared" si="32"/>
        <v>0</v>
      </c>
      <c r="BD20" s="4074" t="e">
        <f t="shared" si="48"/>
        <v>#DIV/0!</v>
      </c>
      <c r="BE20" s="1055"/>
      <c r="BF20" s="3341"/>
      <c r="BG20" s="3341"/>
      <c r="BH20" s="3349">
        <f t="shared" si="33"/>
        <v>0</v>
      </c>
      <c r="BI20" s="4074" t="e">
        <f t="shared" si="49"/>
        <v>#DIV/0!</v>
      </c>
      <c r="BJ20" s="1055"/>
      <c r="BK20" s="3341"/>
      <c r="BL20" s="3341"/>
      <c r="BM20" s="3349">
        <f t="shared" si="34"/>
        <v>0</v>
      </c>
      <c r="BN20" s="4074" t="e">
        <f t="shared" si="50"/>
        <v>#DIV/0!</v>
      </c>
      <c r="BO20" s="1055"/>
      <c r="BP20" s="3341"/>
      <c r="BQ20" s="3341"/>
      <c r="BR20" s="3349">
        <f t="shared" si="35"/>
        <v>0</v>
      </c>
      <c r="BS20" s="4074" t="e">
        <f t="shared" si="51"/>
        <v>#DIV/0!</v>
      </c>
      <c r="BT20" s="1055"/>
      <c r="BU20" s="3341"/>
      <c r="BV20" s="3341"/>
      <c r="BW20" s="3349">
        <f t="shared" si="36"/>
        <v>0</v>
      </c>
      <c r="BX20" s="4074" t="e">
        <f t="shared" si="52"/>
        <v>#DIV/0!</v>
      </c>
      <c r="BY20" s="1055"/>
      <c r="BZ20" s="3341"/>
      <c r="CA20" s="3341"/>
      <c r="CB20" s="3349">
        <f t="shared" si="37"/>
        <v>0</v>
      </c>
      <c r="CC20" s="4074" t="e">
        <f t="shared" si="53"/>
        <v>#DIV/0!</v>
      </c>
      <c r="CD20" s="1055"/>
      <c r="CE20" s="3341"/>
      <c r="CF20" s="3341"/>
      <c r="CG20" s="3349">
        <f t="shared" si="38"/>
        <v>0</v>
      </c>
      <c r="CH20" s="4074" t="e">
        <f t="shared" si="54"/>
        <v>#DIV/0!</v>
      </c>
      <c r="CI20" s="1055"/>
      <c r="CJ20" s="3341">
        <f t="shared" si="39"/>
        <v>0</v>
      </c>
      <c r="CK20" s="3341">
        <f t="shared" si="39"/>
        <v>0</v>
      </c>
      <c r="CL20" s="3349">
        <f t="shared" si="55"/>
        <v>0</v>
      </c>
      <c r="CM20" s="4074" t="e">
        <f t="shared" si="40"/>
        <v>#DIV/0!</v>
      </c>
      <c r="CN20" s="1434"/>
      <c r="CP20" s="4159"/>
      <c r="CQ20" s="2012">
        <f t="shared" si="41"/>
        <v>0</v>
      </c>
      <c r="CR20" s="4161">
        <f t="shared" si="56"/>
        <v>0</v>
      </c>
      <c r="CT20" s="2624"/>
    </row>
    <row r="21" spans="1:100" s="1396" customFormat="1" ht="13.8" outlineLevel="2">
      <c r="A21" s="1571"/>
      <c r="B21" s="4075" t="s">
        <v>58</v>
      </c>
      <c r="C21" s="3341"/>
      <c r="D21" s="3341"/>
      <c r="E21" s="3349">
        <f t="shared" si="19"/>
        <v>0</v>
      </c>
      <c r="F21" s="4074" t="e">
        <f t="shared" si="16"/>
        <v>#DIV/0!</v>
      </c>
      <c r="G21" s="1615"/>
      <c r="H21" s="3341"/>
      <c r="I21" s="3341"/>
      <c r="J21" s="3349">
        <f t="shared" si="20"/>
        <v>0</v>
      </c>
      <c r="K21" s="4074" t="e">
        <f t="shared" si="42"/>
        <v>#DIV/0!</v>
      </c>
      <c r="L21" s="1615"/>
      <c r="M21" s="3341"/>
      <c r="N21" s="3341"/>
      <c r="O21" s="3349">
        <f t="shared" si="21"/>
        <v>0</v>
      </c>
      <c r="P21" s="4074" t="e">
        <f t="shared" si="22"/>
        <v>#DIV/0!</v>
      </c>
      <c r="Q21" s="1615"/>
      <c r="R21" s="3342">
        <f t="shared" si="23"/>
        <v>0</v>
      </c>
      <c r="S21" s="3342">
        <f t="shared" si="23"/>
        <v>0</v>
      </c>
      <c r="T21" s="2012">
        <f t="shared" si="24"/>
        <v>0</v>
      </c>
      <c r="U21" s="1615"/>
      <c r="V21" s="1615"/>
      <c r="W21" s="3342">
        <f t="shared" si="25"/>
        <v>0</v>
      </c>
      <c r="X21" s="3342">
        <f t="shared" si="25"/>
        <v>0</v>
      </c>
      <c r="Y21" s="2012">
        <f t="shared" si="26"/>
        <v>0</v>
      </c>
      <c r="Z21" s="1615"/>
      <c r="AA21" s="1615"/>
      <c r="AB21" s="3341"/>
      <c r="AC21" s="3341"/>
      <c r="AD21" s="3349">
        <f t="shared" si="27"/>
        <v>0</v>
      </c>
      <c r="AE21" s="4074" t="e">
        <f t="shared" si="43"/>
        <v>#DIV/0!</v>
      </c>
      <c r="AF21" s="1615"/>
      <c r="AG21" s="3341"/>
      <c r="AH21" s="3341"/>
      <c r="AI21" s="3349">
        <f t="shared" si="28"/>
        <v>0</v>
      </c>
      <c r="AJ21" s="4074" t="e">
        <f t="shared" si="44"/>
        <v>#DIV/0!</v>
      </c>
      <c r="AK21" s="1615"/>
      <c r="AL21" s="3341"/>
      <c r="AM21" s="3341"/>
      <c r="AN21" s="3349">
        <f t="shared" si="29"/>
        <v>0</v>
      </c>
      <c r="AO21" s="4074" t="e">
        <f t="shared" si="45"/>
        <v>#DIV/0!</v>
      </c>
      <c r="AP21" s="1615"/>
      <c r="AQ21" s="3341"/>
      <c r="AR21" s="3341"/>
      <c r="AS21" s="3349">
        <f t="shared" si="30"/>
        <v>0</v>
      </c>
      <c r="AT21" s="4074" t="e">
        <f t="shared" si="46"/>
        <v>#DIV/0!</v>
      </c>
      <c r="AU21" s="1615"/>
      <c r="AV21" s="3341"/>
      <c r="AW21" s="3341"/>
      <c r="AX21" s="3349">
        <f t="shared" si="31"/>
        <v>0</v>
      </c>
      <c r="AY21" s="4074" t="e">
        <f t="shared" si="47"/>
        <v>#DIV/0!</v>
      </c>
      <c r="AZ21" s="1615"/>
      <c r="BA21" s="3341"/>
      <c r="BB21" s="3341"/>
      <c r="BC21" s="3349">
        <f t="shared" si="32"/>
        <v>0</v>
      </c>
      <c r="BD21" s="4074" t="e">
        <f t="shared" si="48"/>
        <v>#DIV/0!</v>
      </c>
      <c r="BE21" s="1615"/>
      <c r="BF21" s="3341"/>
      <c r="BG21" s="3341"/>
      <c r="BH21" s="3349">
        <f t="shared" si="33"/>
        <v>0</v>
      </c>
      <c r="BI21" s="4074" t="e">
        <f t="shared" si="49"/>
        <v>#DIV/0!</v>
      </c>
      <c r="BJ21" s="1615"/>
      <c r="BK21" s="3341"/>
      <c r="BL21" s="3341"/>
      <c r="BM21" s="3349">
        <f t="shared" si="34"/>
        <v>0</v>
      </c>
      <c r="BN21" s="4074" t="e">
        <f t="shared" si="50"/>
        <v>#DIV/0!</v>
      </c>
      <c r="BO21" s="1615"/>
      <c r="BP21" s="3341"/>
      <c r="BQ21" s="3341"/>
      <c r="BR21" s="3349">
        <f t="shared" si="35"/>
        <v>0</v>
      </c>
      <c r="BS21" s="4074" t="e">
        <f t="shared" si="51"/>
        <v>#DIV/0!</v>
      </c>
      <c r="BT21" s="1615"/>
      <c r="BU21" s="3341"/>
      <c r="BV21" s="3341"/>
      <c r="BW21" s="3349">
        <f t="shared" si="36"/>
        <v>0</v>
      </c>
      <c r="BX21" s="4074" t="e">
        <f t="shared" si="52"/>
        <v>#DIV/0!</v>
      </c>
      <c r="BY21" s="1615"/>
      <c r="BZ21" s="3341"/>
      <c r="CA21" s="3341"/>
      <c r="CB21" s="3349">
        <f t="shared" si="37"/>
        <v>0</v>
      </c>
      <c r="CC21" s="4074" t="e">
        <f t="shared" si="53"/>
        <v>#DIV/0!</v>
      </c>
      <c r="CD21" s="1615"/>
      <c r="CE21" s="3341"/>
      <c r="CF21" s="3341"/>
      <c r="CG21" s="3349">
        <f t="shared" si="38"/>
        <v>0</v>
      </c>
      <c r="CH21" s="4074" t="e">
        <f t="shared" si="54"/>
        <v>#DIV/0!</v>
      </c>
      <c r="CI21" s="1615"/>
      <c r="CJ21" s="3341">
        <f t="shared" si="39"/>
        <v>0</v>
      </c>
      <c r="CK21" s="3341">
        <f t="shared" si="39"/>
        <v>0</v>
      </c>
      <c r="CL21" s="3349">
        <f t="shared" si="55"/>
        <v>0</v>
      </c>
      <c r="CM21" s="4074" t="e">
        <f t="shared" si="40"/>
        <v>#DIV/0!</v>
      </c>
      <c r="CN21" s="1434"/>
      <c r="CP21" s="4159"/>
      <c r="CQ21" s="2012">
        <f t="shared" si="41"/>
        <v>0</v>
      </c>
      <c r="CR21" s="4161">
        <f t="shared" si="56"/>
        <v>0</v>
      </c>
      <c r="CT21" s="2624"/>
    </row>
    <row r="22" spans="1:100" s="1396" customFormat="1" ht="13.8" outlineLevel="2">
      <c r="A22" s="1571"/>
      <c r="B22" s="4075" t="s">
        <v>621</v>
      </c>
      <c r="C22" s="3341"/>
      <c r="D22" s="3341"/>
      <c r="E22" s="3349">
        <f t="shared" si="19"/>
        <v>0</v>
      </c>
      <c r="F22" s="4074" t="e">
        <f t="shared" si="16"/>
        <v>#DIV/0!</v>
      </c>
      <c r="G22" s="3342"/>
      <c r="H22" s="3341"/>
      <c r="I22" s="3341"/>
      <c r="J22" s="3349">
        <f t="shared" si="20"/>
        <v>0</v>
      </c>
      <c r="K22" s="4074" t="e">
        <f t="shared" si="42"/>
        <v>#DIV/0!</v>
      </c>
      <c r="L22" s="3342"/>
      <c r="M22" s="3341"/>
      <c r="N22" s="3341"/>
      <c r="O22" s="3349">
        <f t="shared" si="21"/>
        <v>0</v>
      </c>
      <c r="P22" s="4074" t="e">
        <f t="shared" si="22"/>
        <v>#DIV/0!</v>
      </c>
      <c r="Q22" s="3342"/>
      <c r="R22" s="3342">
        <f t="shared" si="23"/>
        <v>0</v>
      </c>
      <c r="S22" s="3342">
        <f t="shared" si="23"/>
        <v>0</v>
      </c>
      <c r="T22" s="2012">
        <f t="shared" si="24"/>
        <v>0</v>
      </c>
      <c r="U22" s="3342"/>
      <c r="V22" s="3342"/>
      <c r="W22" s="3342">
        <f t="shared" si="25"/>
        <v>0</v>
      </c>
      <c r="X22" s="3342">
        <f t="shared" si="25"/>
        <v>0</v>
      </c>
      <c r="Y22" s="2012">
        <f t="shared" si="26"/>
        <v>0</v>
      </c>
      <c r="Z22" s="3342"/>
      <c r="AA22" s="3342"/>
      <c r="AB22" s="3341"/>
      <c r="AC22" s="3341"/>
      <c r="AD22" s="3349">
        <f t="shared" si="27"/>
        <v>0</v>
      </c>
      <c r="AE22" s="4074" t="e">
        <f t="shared" si="43"/>
        <v>#DIV/0!</v>
      </c>
      <c r="AF22" s="3342"/>
      <c r="AG22" s="3341"/>
      <c r="AH22" s="3341"/>
      <c r="AI22" s="3349">
        <f t="shared" si="28"/>
        <v>0</v>
      </c>
      <c r="AJ22" s="4074" t="e">
        <f t="shared" si="44"/>
        <v>#DIV/0!</v>
      </c>
      <c r="AK22" s="3342"/>
      <c r="AL22" s="3341"/>
      <c r="AM22" s="3341"/>
      <c r="AN22" s="3349">
        <f t="shared" si="29"/>
        <v>0</v>
      </c>
      <c r="AO22" s="4074" t="e">
        <f t="shared" si="45"/>
        <v>#DIV/0!</v>
      </c>
      <c r="AP22" s="3342"/>
      <c r="AQ22" s="3341"/>
      <c r="AR22" s="3341"/>
      <c r="AS22" s="3349">
        <f t="shared" si="30"/>
        <v>0</v>
      </c>
      <c r="AT22" s="4074" t="e">
        <f t="shared" si="46"/>
        <v>#DIV/0!</v>
      </c>
      <c r="AU22" s="3342"/>
      <c r="AV22" s="3341"/>
      <c r="AW22" s="3341"/>
      <c r="AX22" s="3349">
        <f t="shared" si="31"/>
        <v>0</v>
      </c>
      <c r="AY22" s="4074" t="e">
        <f t="shared" si="47"/>
        <v>#DIV/0!</v>
      </c>
      <c r="AZ22" s="3342"/>
      <c r="BA22" s="3341"/>
      <c r="BB22" s="3341"/>
      <c r="BC22" s="3349">
        <f t="shared" si="32"/>
        <v>0</v>
      </c>
      <c r="BD22" s="4074" t="e">
        <f t="shared" si="48"/>
        <v>#DIV/0!</v>
      </c>
      <c r="BE22" s="3342"/>
      <c r="BF22" s="3341"/>
      <c r="BG22" s="3341"/>
      <c r="BH22" s="3349">
        <f t="shared" si="33"/>
        <v>0</v>
      </c>
      <c r="BI22" s="4074" t="e">
        <f t="shared" si="49"/>
        <v>#DIV/0!</v>
      </c>
      <c r="BJ22" s="3342"/>
      <c r="BK22" s="3341"/>
      <c r="BL22" s="3341"/>
      <c r="BM22" s="3349">
        <f t="shared" si="34"/>
        <v>0</v>
      </c>
      <c r="BN22" s="4074" t="e">
        <f t="shared" si="50"/>
        <v>#DIV/0!</v>
      </c>
      <c r="BO22" s="3342"/>
      <c r="BP22" s="3341"/>
      <c r="BQ22" s="3341"/>
      <c r="BR22" s="3349">
        <f t="shared" si="35"/>
        <v>0</v>
      </c>
      <c r="BS22" s="4074" t="e">
        <f t="shared" si="51"/>
        <v>#DIV/0!</v>
      </c>
      <c r="BT22" s="3342"/>
      <c r="BU22" s="3341"/>
      <c r="BV22" s="3341"/>
      <c r="BW22" s="3349">
        <f t="shared" si="36"/>
        <v>0</v>
      </c>
      <c r="BX22" s="4074" t="e">
        <f t="shared" si="52"/>
        <v>#DIV/0!</v>
      </c>
      <c r="BY22" s="3342"/>
      <c r="BZ22" s="3341"/>
      <c r="CA22" s="3341"/>
      <c r="CB22" s="3349">
        <f t="shared" si="37"/>
        <v>0</v>
      </c>
      <c r="CC22" s="4074" t="e">
        <f t="shared" si="53"/>
        <v>#DIV/0!</v>
      </c>
      <c r="CD22" s="3342"/>
      <c r="CE22" s="3341"/>
      <c r="CF22" s="3341"/>
      <c r="CG22" s="3349">
        <f t="shared" si="38"/>
        <v>0</v>
      </c>
      <c r="CH22" s="4074" t="e">
        <f t="shared" si="54"/>
        <v>#DIV/0!</v>
      </c>
      <c r="CI22" s="3342"/>
      <c r="CJ22" s="3341">
        <f t="shared" si="39"/>
        <v>0</v>
      </c>
      <c r="CK22" s="3341">
        <f t="shared" si="39"/>
        <v>0</v>
      </c>
      <c r="CL22" s="3349">
        <f t="shared" si="55"/>
        <v>0</v>
      </c>
      <c r="CM22" s="4074" t="e">
        <f t="shared" si="40"/>
        <v>#DIV/0!</v>
      </c>
      <c r="CN22" s="1434"/>
      <c r="CP22" s="4159"/>
      <c r="CQ22" s="2012">
        <f t="shared" si="41"/>
        <v>0</v>
      </c>
      <c r="CR22" s="4161">
        <f t="shared" si="56"/>
        <v>0</v>
      </c>
      <c r="CT22" s="3443">
        <f>CQ22</f>
        <v>0</v>
      </c>
    </row>
    <row r="23" spans="1:100" s="1396" customFormat="1" ht="13.8" outlineLevel="2">
      <c r="A23" s="1571"/>
      <c r="B23" s="4075" t="s">
        <v>630</v>
      </c>
      <c r="C23" s="3341"/>
      <c r="D23" s="3341"/>
      <c r="E23" s="3349">
        <f t="shared" si="19"/>
        <v>0</v>
      </c>
      <c r="F23" s="4074" t="e">
        <f t="shared" si="16"/>
        <v>#DIV/0!</v>
      </c>
      <c r="G23" s="1055"/>
      <c r="H23" s="3341"/>
      <c r="I23" s="3341"/>
      <c r="J23" s="3349">
        <f t="shared" si="20"/>
        <v>0</v>
      </c>
      <c r="K23" s="4074" t="e">
        <f t="shared" si="42"/>
        <v>#DIV/0!</v>
      </c>
      <c r="L23" s="1055"/>
      <c r="M23" s="3341"/>
      <c r="N23" s="3341"/>
      <c r="O23" s="3349">
        <f t="shared" si="21"/>
        <v>0</v>
      </c>
      <c r="P23" s="4074" t="e">
        <f t="shared" si="22"/>
        <v>#DIV/0!</v>
      </c>
      <c r="Q23" s="1055"/>
      <c r="R23" s="3342">
        <f t="shared" si="23"/>
        <v>0</v>
      </c>
      <c r="S23" s="3342">
        <f t="shared" si="23"/>
        <v>0</v>
      </c>
      <c r="T23" s="2012">
        <f t="shared" si="24"/>
        <v>0</v>
      </c>
      <c r="U23" s="1055"/>
      <c r="V23" s="1055"/>
      <c r="W23" s="3342">
        <f t="shared" si="25"/>
        <v>0</v>
      </c>
      <c r="X23" s="3342">
        <f t="shared" si="25"/>
        <v>0</v>
      </c>
      <c r="Y23" s="2012">
        <f t="shared" si="26"/>
        <v>0</v>
      </c>
      <c r="Z23" s="1055"/>
      <c r="AA23" s="1055"/>
      <c r="AB23" s="3341"/>
      <c r="AC23" s="3341"/>
      <c r="AD23" s="3349">
        <f t="shared" si="27"/>
        <v>0</v>
      </c>
      <c r="AE23" s="4074" t="e">
        <f t="shared" si="43"/>
        <v>#DIV/0!</v>
      </c>
      <c r="AF23" s="1055"/>
      <c r="AG23" s="3341"/>
      <c r="AH23" s="3341"/>
      <c r="AI23" s="3349">
        <f t="shared" si="28"/>
        <v>0</v>
      </c>
      <c r="AJ23" s="4074" t="e">
        <f t="shared" si="44"/>
        <v>#DIV/0!</v>
      </c>
      <c r="AK23" s="1055"/>
      <c r="AL23" s="3341"/>
      <c r="AM23" s="3341"/>
      <c r="AN23" s="3349">
        <f t="shared" si="29"/>
        <v>0</v>
      </c>
      <c r="AO23" s="4074" t="e">
        <f t="shared" si="45"/>
        <v>#DIV/0!</v>
      </c>
      <c r="AP23" s="1055"/>
      <c r="AQ23" s="3341"/>
      <c r="AR23" s="3341"/>
      <c r="AS23" s="3349">
        <f t="shared" si="30"/>
        <v>0</v>
      </c>
      <c r="AT23" s="4074" t="e">
        <f t="shared" si="46"/>
        <v>#DIV/0!</v>
      </c>
      <c r="AU23" s="1055"/>
      <c r="AV23" s="3341"/>
      <c r="AW23" s="3341"/>
      <c r="AX23" s="3349">
        <f t="shared" si="31"/>
        <v>0</v>
      </c>
      <c r="AY23" s="4074" t="e">
        <f t="shared" si="47"/>
        <v>#DIV/0!</v>
      </c>
      <c r="AZ23" s="1055"/>
      <c r="BA23" s="3341"/>
      <c r="BB23" s="3341"/>
      <c r="BC23" s="3349">
        <f t="shared" si="32"/>
        <v>0</v>
      </c>
      <c r="BD23" s="4074" t="e">
        <f t="shared" si="48"/>
        <v>#DIV/0!</v>
      </c>
      <c r="BE23" s="1055"/>
      <c r="BF23" s="3341"/>
      <c r="BG23" s="3341"/>
      <c r="BH23" s="3349">
        <f t="shared" si="33"/>
        <v>0</v>
      </c>
      <c r="BI23" s="4074" t="e">
        <f t="shared" si="49"/>
        <v>#DIV/0!</v>
      </c>
      <c r="BJ23" s="1055"/>
      <c r="BK23" s="3341"/>
      <c r="BL23" s="3341"/>
      <c r="BM23" s="3349">
        <f t="shared" si="34"/>
        <v>0</v>
      </c>
      <c r="BN23" s="4074" t="e">
        <f t="shared" si="50"/>
        <v>#DIV/0!</v>
      </c>
      <c r="BO23" s="1055"/>
      <c r="BP23" s="3341"/>
      <c r="BQ23" s="3341"/>
      <c r="BR23" s="3349">
        <f t="shared" si="35"/>
        <v>0</v>
      </c>
      <c r="BS23" s="4074" t="e">
        <f t="shared" si="51"/>
        <v>#DIV/0!</v>
      </c>
      <c r="BT23" s="1055"/>
      <c r="BU23" s="3341"/>
      <c r="BV23" s="3341"/>
      <c r="BW23" s="3349">
        <f t="shared" si="36"/>
        <v>0</v>
      </c>
      <c r="BX23" s="4074" t="e">
        <f t="shared" si="52"/>
        <v>#DIV/0!</v>
      </c>
      <c r="BY23" s="1055"/>
      <c r="BZ23" s="3341"/>
      <c r="CA23" s="3341"/>
      <c r="CB23" s="3349">
        <f t="shared" si="37"/>
        <v>0</v>
      </c>
      <c r="CC23" s="4074" t="e">
        <f t="shared" si="53"/>
        <v>#DIV/0!</v>
      </c>
      <c r="CD23" s="1055"/>
      <c r="CE23" s="3341"/>
      <c r="CF23" s="3341"/>
      <c r="CG23" s="3349">
        <f t="shared" si="38"/>
        <v>0</v>
      </c>
      <c r="CH23" s="4074" t="e">
        <f t="shared" si="54"/>
        <v>#DIV/0!</v>
      </c>
      <c r="CI23" s="1055"/>
      <c r="CJ23" s="3341">
        <f t="shared" si="39"/>
        <v>0</v>
      </c>
      <c r="CK23" s="3341">
        <f t="shared" si="39"/>
        <v>0</v>
      </c>
      <c r="CL23" s="3349">
        <f t="shared" si="55"/>
        <v>0</v>
      </c>
      <c r="CM23" s="4074" t="e">
        <f t="shared" si="40"/>
        <v>#DIV/0!</v>
      </c>
      <c r="CN23" s="1434"/>
      <c r="CP23" s="4159"/>
      <c r="CQ23" s="2012">
        <f t="shared" si="41"/>
        <v>0</v>
      </c>
      <c r="CR23" s="4161">
        <f t="shared" si="56"/>
        <v>0</v>
      </c>
      <c r="CT23" s="2624"/>
    </row>
    <row r="24" spans="1:100" s="1396" customFormat="1" ht="13.8" outlineLevel="2">
      <c r="A24" s="1571"/>
      <c r="B24" s="4075" t="s">
        <v>23</v>
      </c>
      <c r="C24" s="3341"/>
      <c r="D24" s="3341"/>
      <c r="E24" s="3349">
        <f t="shared" si="19"/>
        <v>0</v>
      </c>
      <c r="F24" s="4074" t="e">
        <f t="shared" si="16"/>
        <v>#DIV/0!</v>
      </c>
      <c r="G24" s="3342"/>
      <c r="H24" s="3341"/>
      <c r="I24" s="3341"/>
      <c r="J24" s="3349">
        <f t="shared" si="20"/>
        <v>0</v>
      </c>
      <c r="K24" s="4074" t="e">
        <f t="shared" si="42"/>
        <v>#DIV/0!</v>
      </c>
      <c r="L24" s="3342"/>
      <c r="M24" s="3341"/>
      <c r="N24" s="3341"/>
      <c r="O24" s="3349">
        <f t="shared" si="21"/>
        <v>0</v>
      </c>
      <c r="P24" s="4074" t="e">
        <f t="shared" si="22"/>
        <v>#DIV/0!</v>
      </c>
      <c r="Q24" s="3342"/>
      <c r="R24" s="3342">
        <f t="shared" si="23"/>
        <v>0</v>
      </c>
      <c r="S24" s="3342">
        <f t="shared" si="23"/>
        <v>0</v>
      </c>
      <c r="T24" s="2012">
        <f t="shared" si="24"/>
        <v>0</v>
      </c>
      <c r="U24" s="3342"/>
      <c r="V24" s="3342"/>
      <c r="W24" s="3342">
        <f t="shared" si="25"/>
        <v>0</v>
      </c>
      <c r="X24" s="3342">
        <f t="shared" si="25"/>
        <v>0</v>
      </c>
      <c r="Y24" s="2012">
        <f t="shared" si="26"/>
        <v>0</v>
      </c>
      <c r="Z24" s="3342"/>
      <c r="AA24" s="3342"/>
      <c r="AB24" s="3341"/>
      <c r="AC24" s="3341"/>
      <c r="AD24" s="3349">
        <f t="shared" si="27"/>
        <v>0</v>
      </c>
      <c r="AE24" s="4074" t="e">
        <f t="shared" si="43"/>
        <v>#DIV/0!</v>
      </c>
      <c r="AF24" s="3342"/>
      <c r="AG24" s="3341"/>
      <c r="AH24" s="3341"/>
      <c r="AI24" s="3349">
        <f t="shared" si="28"/>
        <v>0</v>
      </c>
      <c r="AJ24" s="4074" t="e">
        <f t="shared" si="44"/>
        <v>#DIV/0!</v>
      </c>
      <c r="AK24" s="3342"/>
      <c r="AL24" s="3341"/>
      <c r="AM24" s="3341"/>
      <c r="AN24" s="3349">
        <f t="shared" si="29"/>
        <v>0</v>
      </c>
      <c r="AO24" s="4074" t="e">
        <f t="shared" si="45"/>
        <v>#DIV/0!</v>
      </c>
      <c r="AP24" s="3342"/>
      <c r="AQ24" s="3341"/>
      <c r="AR24" s="3341"/>
      <c r="AS24" s="3349">
        <f t="shared" si="30"/>
        <v>0</v>
      </c>
      <c r="AT24" s="4074" t="e">
        <f t="shared" si="46"/>
        <v>#DIV/0!</v>
      </c>
      <c r="AU24" s="3342"/>
      <c r="AV24" s="3341"/>
      <c r="AW24" s="3341"/>
      <c r="AX24" s="3349">
        <f t="shared" si="31"/>
        <v>0</v>
      </c>
      <c r="AY24" s="4074" t="e">
        <f t="shared" si="47"/>
        <v>#DIV/0!</v>
      </c>
      <c r="AZ24" s="3342"/>
      <c r="BA24" s="3341"/>
      <c r="BB24" s="3341"/>
      <c r="BC24" s="3349">
        <f t="shared" si="32"/>
        <v>0</v>
      </c>
      <c r="BD24" s="4074" t="e">
        <f t="shared" si="48"/>
        <v>#DIV/0!</v>
      </c>
      <c r="BE24" s="3342"/>
      <c r="BF24" s="3341"/>
      <c r="BG24" s="3341"/>
      <c r="BH24" s="3349">
        <f t="shared" si="33"/>
        <v>0</v>
      </c>
      <c r="BI24" s="4074" t="e">
        <f t="shared" si="49"/>
        <v>#DIV/0!</v>
      </c>
      <c r="BJ24" s="3342"/>
      <c r="BK24" s="3341"/>
      <c r="BL24" s="3341"/>
      <c r="BM24" s="3349">
        <f t="shared" si="34"/>
        <v>0</v>
      </c>
      <c r="BN24" s="4074" t="e">
        <f t="shared" si="50"/>
        <v>#DIV/0!</v>
      </c>
      <c r="BO24" s="3342"/>
      <c r="BP24" s="3341"/>
      <c r="BQ24" s="3341"/>
      <c r="BR24" s="3349">
        <f t="shared" si="35"/>
        <v>0</v>
      </c>
      <c r="BS24" s="4074" t="e">
        <f t="shared" si="51"/>
        <v>#DIV/0!</v>
      </c>
      <c r="BT24" s="3342"/>
      <c r="BU24" s="3341"/>
      <c r="BV24" s="3341"/>
      <c r="BW24" s="3349">
        <f t="shared" si="36"/>
        <v>0</v>
      </c>
      <c r="BX24" s="4074" t="e">
        <f t="shared" si="52"/>
        <v>#DIV/0!</v>
      </c>
      <c r="BY24" s="3342"/>
      <c r="BZ24" s="3341"/>
      <c r="CA24" s="3341"/>
      <c r="CB24" s="3349">
        <f t="shared" si="37"/>
        <v>0</v>
      </c>
      <c r="CC24" s="4074" t="e">
        <f t="shared" si="53"/>
        <v>#DIV/0!</v>
      </c>
      <c r="CD24" s="3342"/>
      <c r="CE24" s="3341"/>
      <c r="CF24" s="3341"/>
      <c r="CG24" s="3349">
        <f t="shared" si="38"/>
        <v>0</v>
      </c>
      <c r="CH24" s="4074" t="e">
        <f t="shared" si="54"/>
        <v>#DIV/0!</v>
      </c>
      <c r="CI24" s="3342"/>
      <c r="CJ24" s="3341">
        <f t="shared" si="39"/>
        <v>0</v>
      </c>
      <c r="CK24" s="3341">
        <f t="shared" si="39"/>
        <v>0</v>
      </c>
      <c r="CL24" s="3349">
        <f t="shared" si="55"/>
        <v>0</v>
      </c>
      <c r="CM24" s="4074" t="e">
        <f t="shared" si="40"/>
        <v>#DIV/0!</v>
      </c>
      <c r="CN24" s="1434"/>
      <c r="CP24" s="4159"/>
      <c r="CQ24" s="2012">
        <f t="shared" si="41"/>
        <v>0</v>
      </c>
      <c r="CR24" s="4161">
        <f t="shared" si="56"/>
        <v>0</v>
      </c>
      <c r="CT24" s="2624"/>
    </row>
    <row r="25" spans="1:100" s="1396" customFormat="1" ht="13.8" outlineLevel="2">
      <c r="A25" s="1571"/>
      <c r="B25" s="4075" t="s">
        <v>24</v>
      </c>
      <c r="C25" s="3341"/>
      <c r="D25" s="3341"/>
      <c r="E25" s="3349">
        <f t="shared" si="19"/>
        <v>0</v>
      </c>
      <c r="F25" s="4074" t="e">
        <f t="shared" si="16"/>
        <v>#DIV/0!</v>
      </c>
      <c r="G25" s="3342"/>
      <c r="H25" s="3341"/>
      <c r="I25" s="3341"/>
      <c r="J25" s="3349">
        <f t="shared" si="20"/>
        <v>0</v>
      </c>
      <c r="K25" s="4074" t="e">
        <f t="shared" si="42"/>
        <v>#DIV/0!</v>
      </c>
      <c r="L25" s="3342"/>
      <c r="M25" s="3341"/>
      <c r="N25" s="3341"/>
      <c r="O25" s="3349">
        <f t="shared" si="21"/>
        <v>0</v>
      </c>
      <c r="P25" s="4074" t="e">
        <f t="shared" si="22"/>
        <v>#DIV/0!</v>
      </c>
      <c r="Q25" s="3342"/>
      <c r="R25" s="3342">
        <f t="shared" si="23"/>
        <v>0</v>
      </c>
      <c r="S25" s="3342">
        <f t="shared" si="23"/>
        <v>0</v>
      </c>
      <c r="T25" s="2012">
        <f t="shared" si="24"/>
        <v>0</v>
      </c>
      <c r="U25" s="3342"/>
      <c r="V25" s="3342"/>
      <c r="W25" s="3342">
        <f t="shared" si="25"/>
        <v>0</v>
      </c>
      <c r="X25" s="3342">
        <f t="shared" si="25"/>
        <v>0</v>
      </c>
      <c r="Y25" s="2012">
        <f t="shared" si="26"/>
        <v>0</v>
      </c>
      <c r="Z25" s="3342"/>
      <c r="AA25" s="3342"/>
      <c r="AB25" s="3341"/>
      <c r="AC25" s="3341"/>
      <c r="AD25" s="3349">
        <f t="shared" si="27"/>
        <v>0</v>
      </c>
      <c r="AE25" s="4074" t="e">
        <f t="shared" si="43"/>
        <v>#DIV/0!</v>
      </c>
      <c r="AF25" s="3342"/>
      <c r="AG25" s="3341"/>
      <c r="AH25" s="3341"/>
      <c r="AI25" s="3349">
        <f t="shared" si="28"/>
        <v>0</v>
      </c>
      <c r="AJ25" s="4074" t="e">
        <f t="shared" si="44"/>
        <v>#DIV/0!</v>
      </c>
      <c r="AK25" s="3342"/>
      <c r="AL25" s="3341"/>
      <c r="AM25" s="3341"/>
      <c r="AN25" s="3349">
        <f t="shared" si="29"/>
        <v>0</v>
      </c>
      <c r="AO25" s="4074" t="e">
        <f t="shared" si="45"/>
        <v>#DIV/0!</v>
      </c>
      <c r="AP25" s="3342"/>
      <c r="AQ25" s="3341"/>
      <c r="AR25" s="3341"/>
      <c r="AS25" s="3349">
        <f t="shared" si="30"/>
        <v>0</v>
      </c>
      <c r="AT25" s="4074" t="e">
        <f t="shared" si="46"/>
        <v>#DIV/0!</v>
      </c>
      <c r="AU25" s="3342"/>
      <c r="AV25" s="3341"/>
      <c r="AW25" s="3341"/>
      <c r="AX25" s="3349">
        <f t="shared" si="31"/>
        <v>0</v>
      </c>
      <c r="AY25" s="4074" t="e">
        <f t="shared" si="47"/>
        <v>#DIV/0!</v>
      </c>
      <c r="AZ25" s="3342"/>
      <c r="BA25" s="3341"/>
      <c r="BB25" s="3341"/>
      <c r="BC25" s="3349">
        <f t="shared" si="32"/>
        <v>0</v>
      </c>
      <c r="BD25" s="4074" t="e">
        <f t="shared" si="48"/>
        <v>#DIV/0!</v>
      </c>
      <c r="BE25" s="3342"/>
      <c r="BF25" s="3341"/>
      <c r="BG25" s="3341"/>
      <c r="BH25" s="3349">
        <f t="shared" si="33"/>
        <v>0</v>
      </c>
      <c r="BI25" s="4074" t="e">
        <f t="shared" si="49"/>
        <v>#DIV/0!</v>
      </c>
      <c r="BJ25" s="3342"/>
      <c r="BK25" s="3341"/>
      <c r="BL25" s="3341"/>
      <c r="BM25" s="3349">
        <f t="shared" si="34"/>
        <v>0</v>
      </c>
      <c r="BN25" s="4074" t="e">
        <f t="shared" si="50"/>
        <v>#DIV/0!</v>
      </c>
      <c r="BO25" s="3342"/>
      <c r="BP25" s="3341"/>
      <c r="BQ25" s="3341"/>
      <c r="BR25" s="3349">
        <f t="shared" si="35"/>
        <v>0</v>
      </c>
      <c r="BS25" s="4074" t="e">
        <f t="shared" si="51"/>
        <v>#DIV/0!</v>
      </c>
      <c r="BT25" s="3342"/>
      <c r="BU25" s="3341"/>
      <c r="BV25" s="3341"/>
      <c r="BW25" s="3349">
        <f t="shared" si="36"/>
        <v>0</v>
      </c>
      <c r="BX25" s="4074" t="e">
        <f t="shared" si="52"/>
        <v>#DIV/0!</v>
      </c>
      <c r="BY25" s="3342"/>
      <c r="BZ25" s="3341"/>
      <c r="CA25" s="3341"/>
      <c r="CB25" s="3349">
        <f t="shared" si="37"/>
        <v>0</v>
      </c>
      <c r="CC25" s="4074" t="e">
        <f t="shared" si="53"/>
        <v>#DIV/0!</v>
      </c>
      <c r="CD25" s="3342"/>
      <c r="CE25" s="3341"/>
      <c r="CF25" s="3341"/>
      <c r="CG25" s="3349">
        <f t="shared" si="38"/>
        <v>0</v>
      </c>
      <c r="CH25" s="4074" t="e">
        <f t="shared" si="54"/>
        <v>#DIV/0!</v>
      </c>
      <c r="CI25" s="3342"/>
      <c r="CJ25" s="3341">
        <f t="shared" si="39"/>
        <v>0</v>
      </c>
      <c r="CK25" s="3341">
        <f t="shared" si="39"/>
        <v>0</v>
      </c>
      <c r="CL25" s="3349">
        <f t="shared" si="55"/>
        <v>0</v>
      </c>
      <c r="CM25" s="4074" t="e">
        <f t="shared" si="40"/>
        <v>#DIV/0!</v>
      </c>
      <c r="CN25" s="1434"/>
      <c r="CP25" s="4159"/>
      <c r="CQ25" s="2012"/>
      <c r="CR25" s="4161">
        <f t="shared" si="56"/>
        <v>0</v>
      </c>
      <c r="CS25" s="3305"/>
      <c r="CT25" s="2624"/>
    </row>
    <row r="26" spans="1:100" s="1396" customFormat="1" ht="13.8" outlineLevel="2">
      <c r="A26" s="1571"/>
      <c r="B26" s="4075" t="s">
        <v>45</v>
      </c>
      <c r="C26" s="3341"/>
      <c r="D26" s="3341"/>
      <c r="E26" s="3349">
        <f t="shared" si="19"/>
        <v>0</v>
      </c>
      <c r="F26" s="4074" t="e">
        <f t="shared" si="16"/>
        <v>#DIV/0!</v>
      </c>
      <c r="G26" s="3342"/>
      <c r="H26" s="3341"/>
      <c r="I26" s="3341"/>
      <c r="J26" s="3349">
        <f t="shared" si="20"/>
        <v>0</v>
      </c>
      <c r="K26" s="4074" t="e">
        <f t="shared" si="42"/>
        <v>#DIV/0!</v>
      </c>
      <c r="L26" s="3342"/>
      <c r="M26" s="3341"/>
      <c r="N26" s="3341"/>
      <c r="O26" s="3349">
        <f t="shared" si="21"/>
        <v>0</v>
      </c>
      <c r="P26" s="4074" t="e">
        <f t="shared" si="22"/>
        <v>#DIV/0!</v>
      </c>
      <c r="Q26" s="3342"/>
      <c r="R26" s="3342">
        <f t="shared" si="23"/>
        <v>0</v>
      </c>
      <c r="S26" s="3342">
        <f t="shared" si="23"/>
        <v>0</v>
      </c>
      <c r="T26" s="2012">
        <f t="shared" si="24"/>
        <v>0</v>
      </c>
      <c r="U26" s="3342"/>
      <c r="V26" s="3342"/>
      <c r="W26" s="3342">
        <f t="shared" si="25"/>
        <v>0</v>
      </c>
      <c r="X26" s="3342">
        <f t="shared" si="25"/>
        <v>0</v>
      </c>
      <c r="Y26" s="2012">
        <f t="shared" si="26"/>
        <v>0</v>
      </c>
      <c r="Z26" s="3342"/>
      <c r="AA26" s="3342"/>
      <c r="AB26" s="3341"/>
      <c r="AC26" s="3341"/>
      <c r="AD26" s="3349">
        <f t="shared" si="27"/>
        <v>0</v>
      </c>
      <c r="AE26" s="4074" t="e">
        <f t="shared" si="43"/>
        <v>#DIV/0!</v>
      </c>
      <c r="AF26" s="3342"/>
      <c r="AG26" s="3341"/>
      <c r="AH26" s="3341"/>
      <c r="AI26" s="3349">
        <f t="shared" si="28"/>
        <v>0</v>
      </c>
      <c r="AJ26" s="4074" t="e">
        <f t="shared" si="44"/>
        <v>#DIV/0!</v>
      </c>
      <c r="AK26" s="3342"/>
      <c r="AL26" s="3341"/>
      <c r="AM26" s="3341"/>
      <c r="AN26" s="3349">
        <f t="shared" si="29"/>
        <v>0</v>
      </c>
      <c r="AO26" s="4074" t="e">
        <f t="shared" si="45"/>
        <v>#DIV/0!</v>
      </c>
      <c r="AP26" s="3342"/>
      <c r="AQ26" s="3341"/>
      <c r="AR26" s="3341"/>
      <c r="AS26" s="3349">
        <f t="shared" si="30"/>
        <v>0</v>
      </c>
      <c r="AT26" s="4074" t="e">
        <f t="shared" si="46"/>
        <v>#DIV/0!</v>
      </c>
      <c r="AU26" s="3342"/>
      <c r="AV26" s="3341"/>
      <c r="AW26" s="3341"/>
      <c r="AX26" s="3349">
        <f t="shared" si="31"/>
        <v>0</v>
      </c>
      <c r="AY26" s="4074" t="e">
        <f t="shared" si="47"/>
        <v>#DIV/0!</v>
      </c>
      <c r="AZ26" s="3342"/>
      <c r="BA26" s="3341"/>
      <c r="BB26" s="3341"/>
      <c r="BC26" s="3349">
        <f t="shared" si="32"/>
        <v>0</v>
      </c>
      <c r="BD26" s="4074" t="e">
        <f t="shared" si="48"/>
        <v>#DIV/0!</v>
      </c>
      <c r="BE26" s="3342"/>
      <c r="BF26" s="3341"/>
      <c r="BG26" s="3341"/>
      <c r="BH26" s="3349">
        <f t="shared" si="33"/>
        <v>0</v>
      </c>
      <c r="BI26" s="4074" t="e">
        <f t="shared" si="49"/>
        <v>#DIV/0!</v>
      </c>
      <c r="BJ26" s="3342"/>
      <c r="BK26" s="3341"/>
      <c r="BL26" s="3341"/>
      <c r="BM26" s="3349">
        <f t="shared" si="34"/>
        <v>0</v>
      </c>
      <c r="BN26" s="4074" t="e">
        <f t="shared" si="50"/>
        <v>#DIV/0!</v>
      </c>
      <c r="BO26" s="3342"/>
      <c r="BP26" s="3341"/>
      <c r="BQ26" s="3341"/>
      <c r="BR26" s="3349">
        <f t="shared" si="35"/>
        <v>0</v>
      </c>
      <c r="BS26" s="4074" t="e">
        <f t="shared" si="51"/>
        <v>#DIV/0!</v>
      </c>
      <c r="BT26" s="3342"/>
      <c r="BU26" s="3341"/>
      <c r="BV26" s="3341"/>
      <c r="BW26" s="3349">
        <f t="shared" si="36"/>
        <v>0</v>
      </c>
      <c r="BX26" s="4074" t="e">
        <f t="shared" si="52"/>
        <v>#DIV/0!</v>
      </c>
      <c r="BY26" s="3342"/>
      <c r="BZ26" s="3341"/>
      <c r="CA26" s="3341"/>
      <c r="CB26" s="3349">
        <f t="shared" si="37"/>
        <v>0</v>
      </c>
      <c r="CC26" s="4074" t="e">
        <f t="shared" si="53"/>
        <v>#DIV/0!</v>
      </c>
      <c r="CD26" s="3342"/>
      <c r="CE26" s="3341"/>
      <c r="CF26" s="3341"/>
      <c r="CG26" s="3349">
        <f t="shared" si="38"/>
        <v>0</v>
      </c>
      <c r="CH26" s="4074" t="e">
        <f t="shared" si="54"/>
        <v>#DIV/0!</v>
      </c>
      <c r="CI26" s="3342"/>
      <c r="CJ26" s="3341">
        <f t="shared" si="39"/>
        <v>0</v>
      </c>
      <c r="CK26" s="3341">
        <f t="shared" si="39"/>
        <v>0</v>
      </c>
      <c r="CL26" s="3349">
        <f t="shared" si="55"/>
        <v>0</v>
      </c>
      <c r="CM26" s="4074" t="e">
        <f t="shared" si="40"/>
        <v>#DIV/0!</v>
      </c>
      <c r="CN26" s="1434"/>
      <c r="CP26" s="4159"/>
      <c r="CQ26" s="2012"/>
      <c r="CR26" s="4161">
        <f t="shared" si="56"/>
        <v>0</v>
      </c>
      <c r="CS26" s="3305"/>
      <c r="CT26" s="2624"/>
    </row>
    <row r="27" spans="1:100" s="1396" customFormat="1" ht="13.8" outlineLevel="2">
      <c r="A27" s="1571"/>
      <c r="B27" s="4075" t="s">
        <v>25</v>
      </c>
      <c r="C27" s="3341"/>
      <c r="D27" s="3341"/>
      <c r="E27" s="3349">
        <f t="shared" si="19"/>
        <v>0</v>
      </c>
      <c r="F27" s="4074" t="e">
        <f t="shared" si="16"/>
        <v>#DIV/0!</v>
      </c>
      <c r="G27" s="3342"/>
      <c r="H27" s="3341"/>
      <c r="I27" s="3341"/>
      <c r="J27" s="3349">
        <f t="shared" si="20"/>
        <v>0</v>
      </c>
      <c r="K27" s="4074" t="e">
        <f t="shared" si="42"/>
        <v>#DIV/0!</v>
      </c>
      <c r="L27" s="3342"/>
      <c r="M27" s="3341"/>
      <c r="N27" s="3341"/>
      <c r="O27" s="3349">
        <f t="shared" si="21"/>
        <v>0</v>
      </c>
      <c r="P27" s="4074" t="e">
        <f t="shared" si="22"/>
        <v>#DIV/0!</v>
      </c>
      <c r="Q27" s="3342"/>
      <c r="R27" s="3342">
        <f t="shared" si="23"/>
        <v>0</v>
      </c>
      <c r="S27" s="3342">
        <f t="shared" si="23"/>
        <v>0</v>
      </c>
      <c r="T27" s="2012">
        <f t="shared" si="24"/>
        <v>0</v>
      </c>
      <c r="U27" s="3342"/>
      <c r="V27" s="3342"/>
      <c r="W27" s="3342">
        <f t="shared" si="25"/>
        <v>0</v>
      </c>
      <c r="X27" s="3342">
        <f t="shared" si="25"/>
        <v>0</v>
      </c>
      <c r="Y27" s="2012">
        <f t="shared" si="26"/>
        <v>0</v>
      </c>
      <c r="Z27" s="3342"/>
      <c r="AA27" s="3342"/>
      <c r="AB27" s="3341"/>
      <c r="AC27" s="3341"/>
      <c r="AD27" s="3349">
        <f t="shared" si="27"/>
        <v>0</v>
      </c>
      <c r="AE27" s="4074" t="e">
        <f t="shared" si="43"/>
        <v>#DIV/0!</v>
      </c>
      <c r="AF27" s="3342"/>
      <c r="AG27" s="3341"/>
      <c r="AH27" s="3341"/>
      <c r="AI27" s="3349">
        <f t="shared" si="28"/>
        <v>0</v>
      </c>
      <c r="AJ27" s="4074" t="e">
        <f t="shared" si="44"/>
        <v>#DIV/0!</v>
      </c>
      <c r="AK27" s="3342"/>
      <c r="AL27" s="3341"/>
      <c r="AM27" s="3341"/>
      <c r="AN27" s="3349">
        <f t="shared" si="29"/>
        <v>0</v>
      </c>
      <c r="AO27" s="4074" t="e">
        <f t="shared" si="45"/>
        <v>#DIV/0!</v>
      </c>
      <c r="AP27" s="3342"/>
      <c r="AQ27" s="3341"/>
      <c r="AR27" s="3341"/>
      <c r="AS27" s="3349">
        <f t="shared" si="30"/>
        <v>0</v>
      </c>
      <c r="AT27" s="4074" t="e">
        <f t="shared" si="46"/>
        <v>#DIV/0!</v>
      </c>
      <c r="AU27" s="3342"/>
      <c r="AV27" s="3341"/>
      <c r="AW27" s="3341"/>
      <c r="AX27" s="3349">
        <f t="shared" si="31"/>
        <v>0</v>
      </c>
      <c r="AY27" s="4074" t="e">
        <f t="shared" si="47"/>
        <v>#DIV/0!</v>
      </c>
      <c r="AZ27" s="3342"/>
      <c r="BA27" s="3341"/>
      <c r="BB27" s="3341"/>
      <c r="BC27" s="3349">
        <f t="shared" si="32"/>
        <v>0</v>
      </c>
      <c r="BD27" s="4074" t="e">
        <f t="shared" si="48"/>
        <v>#DIV/0!</v>
      </c>
      <c r="BE27" s="3342"/>
      <c r="BF27" s="3341"/>
      <c r="BG27" s="3341"/>
      <c r="BH27" s="3349">
        <f t="shared" si="33"/>
        <v>0</v>
      </c>
      <c r="BI27" s="4074" t="e">
        <f t="shared" si="49"/>
        <v>#DIV/0!</v>
      </c>
      <c r="BJ27" s="3342"/>
      <c r="BK27" s="3341"/>
      <c r="BL27" s="3341"/>
      <c r="BM27" s="3349">
        <f t="shared" si="34"/>
        <v>0</v>
      </c>
      <c r="BN27" s="4074" t="e">
        <f t="shared" si="50"/>
        <v>#DIV/0!</v>
      </c>
      <c r="BO27" s="3342"/>
      <c r="BP27" s="3341"/>
      <c r="BQ27" s="3341"/>
      <c r="BR27" s="3349">
        <f t="shared" si="35"/>
        <v>0</v>
      </c>
      <c r="BS27" s="4074" t="e">
        <f t="shared" si="51"/>
        <v>#DIV/0!</v>
      </c>
      <c r="BT27" s="3342"/>
      <c r="BU27" s="3341"/>
      <c r="BV27" s="3341"/>
      <c r="BW27" s="3349">
        <f t="shared" si="36"/>
        <v>0</v>
      </c>
      <c r="BX27" s="4074" t="e">
        <f t="shared" si="52"/>
        <v>#DIV/0!</v>
      </c>
      <c r="BY27" s="3342"/>
      <c r="BZ27" s="3341"/>
      <c r="CA27" s="3341"/>
      <c r="CB27" s="3349">
        <f t="shared" si="37"/>
        <v>0</v>
      </c>
      <c r="CC27" s="4074" t="e">
        <f t="shared" si="53"/>
        <v>#DIV/0!</v>
      </c>
      <c r="CD27" s="3342"/>
      <c r="CE27" s="3341"/>
      <c r="CF27" s="3341"/>
      <c r="CG27" s="3349">
        <f t="shared" si="38"/>
        <v>0</v>
      </c>
      <c r="CH27" s="4074" t="e">
        <f t="shared" si="54"/>
        <v>#DIV/0!</v>
      </c>
      <c r="CI27" s="3342"/>
      <c r="CJ27" s="3341">
        <f t="shared" si="39"/>
        <v>0</v>
      </c>
      <c r="CK27" s="3341">
        <f t="shared" si="39"/>
        <v>0</v>
      </c>
      <c r="CL27" s="3349">
        <f t="shared" si="55"/>
        <v>0</v>
      </c>
      <c r="CM27" s="4074" t="e">
        <f t="shared" si="40"/>
        <v>#DIV/0!</v>
      </c>
      <c r="CN27" s="1434"/>
      <c r="CP27" s="4159"/>
      <c r="CQ27" s="2012">
        <f t="shared" si="41"/>
        <v>0</v>
      </c>
      <c r="CR27" s="4161">
        <f t="shared" si="56"/>
        <v>0</v>
      </c>
      <c r="CS27" s="3307"/>
      <c r="CT27" s="3443"/>
    </row>
    <row r="28" spans="1:100" s="1396" customFormat="1" ht="13.8" outlineLevel="2">
      <c r="A28" s="1571"/>
      <c r="B28" s="4075" t="s">
        <v>52</v>
      </c>
      <c r="C28" s="3341"/>
      <c r="D28" s="3341"/>
      <c r="E28" s="3349">
        <f t="shared" si="19"/>
        <v>0</v>
      </c>
      <c r="F28" s="4074" t="e">
        <f t="shared" si="16"/>
        <v>#DIV/0!</v>
      </c>
      <c r="G28" s="3342"/>
      <c r="H28" s="3341"/>
      <c r="I28" s="3341"/>
      <c r="J28" s="3349">
        <f t="shared" si="20"/>
        <v>0</v>
      </c>
      <c r="K28" s="4074" t="e">
        <f t="shared" si="42"/>
        <v>#DIV/0!</v>
      </c>
      <c r="L28" s="3342"/>
      <c r="M28" s="3341"/>
      <c r="N28" s="3341"/>
      <c r="O28" s="3349">
        <f t="shared" si="21"/>
        <v>0</v>
      </c>
      <c r="P28" s="4074" t="e">
        <f t="shared" si="22"/>
        <v>#DIV/0!</v>
      </c>
      <c r="Q28" s="3409"/>
      <c r="R28" s="3342">
        <f t="shared" si="23"/>
        <v>0</v>
      </c>
      <c r="S28" s="3342">
        <f t="shared" si="23"/>
        <v>0</v>
      </c>
      <c r="T28" s="2012">
        <f t="shared" si="24"/>
        <v>0</v>
      </c>
      <c r="U28" s="3409"/>
      <c r="V28" s="3409"/>
      <c r="W28" s="3342">
        <f t="shared" si="25"/>
        <v>0</v>
      </c>
      <c r="X28" s="3342">
        <f t="shared" si="25"/>
        <v>0</v>
      </c>
      <c r="Y28" s="2012">
        <f t="shared" si="26"/>
        <v>0</v>
      </c>
      <c r="Z28" s="3409"/>
      <c r="AA28" s="3409"/>
      <c r="AB28" s="3341"/>
      <c r="AC28" s="3341"/>
      <c r="AD28" s="3349">
        <f t="shared" si="27"/>
        <v>0</v>
      </c>
      <c r="AE28" s="4074" t="e">
        <f t="shared" si="43"/>
        <v>#DIV/0!</v>
      </c>
      <c r="AF28" s="3409"/>
      <c r="AG28" s="3341"/>
      <c r="AH28" s="3341"/>
      <c r="AI28" s="3349">
        <f t="shared" si="28"/>
        <v>0</v>
      </c>
      <c r="AJ28" s="4074" t="e">
        <f t="shared" si="44"/>
        <v>#DIV/0!</v>
      </c>
      <c r="AK28" s="3409"/>
      <c r="AL28" s="3341"/>
      <c r="AM28" s="3341"/>
      <c r="AN28" s="3349">
        <f t="shared" si="29"/>
        <v>0</v>
      </c>
      <c r="AO28" s="4074" t="e">
        <f t="shared" si="45"/>
        <v>#DIV/0!</v>
      </c>
      <c r="AP28" s="3409"/>
      <c r="AQ28" s="3341"/>
      <c r="AR28" s="3341"/>
      <c r="AS28" s="3349">
        <f t="shared" si="30"/>
        <v>0</v>
      </c>
      <c r="AT28" s="4074" t="e">
        <f t="shared" si="46"/>
        <v>#DIV/0!</v>
      </c>
      <c r="AU28" s="3409"/>
      <c r="AV28" s="3341"/>
      <c r="AW28" s="3341"/>
      <c r="AX28" s="3349">
        <f t="shared" si="31"/>
        <v>0</v>
      </c>
      <c r="AY28" s="4074" t="e">
        <f t="shared" si="47"/>
        <v>#DIV/0!</v>
      </c>
      <c r="AZ28" s="3409"/>
      <c r="BA28" s="3341"/>
      <c r="BB28" s="3341"/>
      <c r="BC28" s="3349">
        <f t="shared" si="32"/>
        <v>0</v>
      </c>
      <c r="BD28" s="4074" t="e">
        <f t="shared" si="48"/>
        <v>#DIV/0!</v>
      </c>
      <c r="BE28" s="3409"/>
      <c r="BF28" s="3341"/>
      <c r="BG28" s="3341"/>
      <c r="BH28" s="3349">
        <f t="shared" si="33"/>
        <v>0</v>
      </c>
      <c r="BI28" s="4074" t="e">
        <f t="shared" si="49"/>
        <v>#DIV/0!</v>
      </c>
      <c r="BJ28" s="3409"/>
      <c r="BK28" s="3341"/>
      <c r="BL28" s="3341"/>
      <c r="BM28" s="3349">
        <f t="shared" si="34"/>
        <v>0</v>
      </c>
      <c r="BN28" s="4074" t="e">
        <f t="shared" si="50"/>
        <v>#DIV/0!</v>
      </c>
      <c r="BO28" s="3409"/>
      <c r="BP28" s="3341"/>
      <c r="BQ28" s="3341"/>
      <c r="BR28" s="3349">
        <f t="shared" si="35"/>
        <v>0</v>
      </c>
      <c r="BS28" s="4074" t="e">
        <f t="shared" si="51"/>
        <v>#DIV/0!</v>
      </c>
      <c r="BT28" s="3409"/>
      <c r="BU28" s="3341"/>
      <c r="BV28" s="3341"/>
      <c r="BW28" s="3349">
        <f t="shared" si="36"/>
        <v>0</v>
      </c>
      <c r="BX28" s="4074" t="e">
        <f t="shared" si="52"/>
        <v>#DIV/0!</v>
      </c>
      <c r="BY28" s="3409"/>
      <c r="BZ28" s="3341"/>
      <c r="CA28" s="3341"/>
      <c r="CB28" s="3349">
        <f t="shared" si="37"/>
        <v>0</v>
      </c>
      <c r="CC28" s="4074" t="e">
        <f t="shared" si="53"/>
        <v>#DIV/0!</v>
      </c>
      <c r="CD28" s="3409"/>
      <c r="CE28" s="3341"/>
      <c r="CF28" s="3341"/>
      <c r="CG28" s="3349">
        <f t="shared" si="38"/>
        <v>0</v>
      </c>
      <c r="CH28" s="4074" t="e">
        <f t="shared" si="54"/>
        <v>#DIV/0!</v>
      </c>
      <c r="CI28" s="3409"/>
      <c r="CJ28" s="3341">
        <f t="shared" si="39"/>
        <v>0</v>
      </c>
      <c r="CK28" s="3341">
        <f t="shared" si="39"/>
        <v>0</v>
      </c>
      <c r="CL28" s="3349">
        <f t="shared" si="55"/>
        <v>0</v>
      </c>
      <c r="CM28" s="4074" t="e">
        <f t="shared" si="40"/>
        <v>#DIV/0!</v>
      </c>
      <c r="CN28" s="1434"/>
      <c r="CP28" s="4159"/>
      <c r="CQ28" s="2012">
        <f t="shared" si="41"/>
        <v>0</v>
      </c>
      <c r="CR28" s="4161">
        <f t="shared" si="56"/>
        <v>0</v>
      </c>
      <c r="CS28" s="3307"/>
      <c r="CT28" s="3443"/>
    </row>
    <row r="29" spans="1:100" s="1396" customFormat="1" ht="13.8" outlineLevel="2">
      <c r="A29" s="1571"/>
      <c r="B29" s="4075" t="s">
        <v>31</v>
      </c>
      <c r="C29" s="3341"/>
      <c r="D29" s="3341"/>
      <c r="E29" s="3349">
        <f t="shared" si="19"/>
        <v>0</v>
      </c>
      <c r="F29" s="4074" t="e">
        <f t="shared" si="16"/>
        <v>#DIV/0!</v>
      </c>
      <c r="G29" s="3342"/>
      <c r="H29" s="3341"/>
      <c r="I29" s="3341"/>
      <c r="J29" s="3349">
        <f t="shared" si="20"/>
        <v>0</v>
      </c>
      <c r="K29" s="4074" t="e">
        <f t="shared" si="42"/>
        <v>#DIV/0!</v>
      </c>
      <c r="L29" s="3342"/>
      <c r="M29" s="3341"/>
      <c r="N29" s="3341"/>
      <c r="O29" s="3349">
        <f t="shared" si="21"/>
        <v>0</v>
      </c>
      <c r="P29" s="4074" t="e">
        <f t="shared" si="22"/>
        <v>#DIV/0!</v>
      </c>
      <c r="Q29" s="3342"/>
      <c r="R29" s="3342">
        <f t="shared" si="23"/>
        <v>0</v>
      </c>
      <c r="S29" s="3342">
        <f t="shared" si="23"/>
        <v>0</v>
      </c>
      <c r="T29" s="2012">
        <f t="shared" si="24"/>
        <v>0</v>
      </c>
      <c r="U29" s="3342"/>
      <c r="V29" s="3342"/>
      <c r="W29" s="3342">
        <f t="shared" si="25"/>
        <v>0</v>
      </c>
      <c r="X29" s="3342">
        <f t="shared" si="25"/>
        <v>0</v>
      </c>
      <c r="Y29" s="2012">
        <f t="shared" si="26"/>
        <v>0</v>
      </c>
      <c r="Z29" s="3342"/>
      <c r="AA29" s="3342"/>
      <c r="AB29" s="3341"/>
      <c r="AC29" s="3341"/>
      <c r="AD29" s="3349">
        <f t="shared" si="27"/>
        <v>0</v>
      </c>
      <c r="AE29" s="4074" t="e">
        <f t="shared" si="43"/>
        <v>#DIV/0!</v>
      </c>
      <c r="AF29" s="3342"/>
      <c r="AG29" s="3341"/>
      <c r="AH29" s="3341"/>
      <c r="AI29" s="3349">
        <f t="shared" si="28"/>
        <v>0</v>
      </c>
      <c r="AJ29" s="4074" t="e">
        <f t="shared" si="44"/>
        <v>#DIV/0!</v>
      </c>
      <c r="AK29" s="3342"/>
      <c r="AL29" s="3341"/>
      <c r="AM29" s="3341"/>
      <c r="AN29" s="3349">
        <f t="shared" si="29"/>
        <v>0</v>
      </c>
      <c r="AO29" s="4074" t="e">
        <f t="shared" si="45"/>
        <v>#DIV/0!</v>
      </c>
      <c r="AP29" s="3342"/>
      <c r="AQ29" s="3341"/>
      <c r="AR29" s="3341"/>
      <c r="AS29" s="3349">
        <f t="shared" si="30"/>
        <v>0</v>
      </c>
      <c r="AT29" s="4074" t="e">
        <f t="shared" si="46"/>
        <v>#DIV/0!</v>
      </c>
      <c r="AU29" s="3342"/>
      <c r="AV29" s="3341"/>
      <c r="AW29" s="3341"/>
      <c r="AX29" s="3349">
        <f t="shared" si="31"/>
        <v>0</v>
      </c>
      <c r="AY29" s="4074" t="e">
        <f t="shared" si="47"/>
        <v>#DIV/0!</v>
      </c>
      <c r="AZ29" s="3342"/>
      <c r="BA29" s="3341"/>
      <c r="BB29" s="3341"/>
      <c r="BC29" s="3349">
        <f t="shared" si="32"/>
        <v>0</v>
      </c>
      <c r="BD29" s="4074" t="e">
        <f t="shared" si="48"/>
        <v>#DIV/0!</v>
      </c>
      <c r="BE29" s="3342"/>
      <c r="BF29" s="3341"/>
      <c r="BG29" s="3341"/>
      <c r="BH29" s="3349">
        <f t="shared" si="33"/>
        <v>0</v>
      </c>
      <c r="BI29" s="4074" t="e">
        <f t="shared" si="49"/>
        <v>#DIV/0!</v>
      </c>
      <c r="BJ29" s="3342"/>
      <c r="BK29" s="3341"/>
      <c r="BL29" s="3341"/>
      <c r="BM29" s="3349">
        <f t="shared" si="34"/>
        <v>0</v>
      </c>
      <c r="BN29" s="4074" t="e">
        <f t="shared" si="50"/>
        <v>#DIV/0!</v>
      </c>
      <c r="BO29" s="3342"/>
      <c r="BP29" s="3341"/>
      <c r="BQ29" s="3341"/>
      <c r="BR29" s="3349">
        <f t="shared" si="35"/>
        <v>0</v>
      </c>
      <c r="BS29" s="4074" t="e">
        <f t="shared" si="51"/>
        <v>#DIV/0!</v>
      </c>
      <c r="BT29" s="3342"/>
      <c r="BU29" s="3341"/>
      <c r="BV29" s="3341"/>
      <c r="BW29" s="3349">
        <f t="shared" si="36"/>
        <v>0</v>
      </c>
      <c r="BX29" s="4074" t="e">
        <f t="shared" si="52"/>
        <v>#DIV/0!</v>
      </c>
      <c r="BY29" s="3342"/>
      <c r="BZ29" s="3341"/>
      <c r="CA29" s="3341"/>
      <c r="CB29" s="3349">
        <f t="shared" si="37"/>
        <v>0</v>
      </c>
      <c r="CC29" s="4074" t="e">
        <f t="shared" si="53"/>
        <v>#DIV/0!</v>
      </c>
      <c r="CD29" s="3342"/>
      <c r="CE29" s="3341"/>
      <c r="CF29" s="3341"/>
      <c r="CG29" s="3349">
        <f t="shared" si="38"/>
        <v>0</v>
      </c>
      <c r="CH29" s="4074" t="e">
        <f t="shared" si="54"/>
        <v>#DIV/0!</v>
      </c>
      <c r="CI29" s="3342"/>
      <c r="CJ29" s="3341">
        <f t="shared" si="39"/>
        <v>0</v>
      </c>
      <c r="CK29" s="3341">
        <f t="shared" si="39"/>
        <v>0</v>
      </c>
      <c r="CL29" s="3349">
        <f t="shared" si="55"/>
        <v>0</v>
      </c>
      <c r="CM29" s="4074" t="e">
        <f t="shared" si="40"/>
        <v>#DIV/0!</v>
      </c>
      <c r="CN29" s="4076"/>
      <c r="CP29" s="4159"/>
      <c r="CQ29" s="2012">
        <f t="shared" si="41"/>
        <v>0</v>
      </c>
      <c r="CR29" s="4161">
        <f t="shared" si="56"/>
        <v>0</v>
      </c>
      <c r="CT29" s="2624"/>
    </row>
    <row r="30" spans="1:100" s="1396" customFormat="1" ht="13.8" outlineLevel="2">
      <c r="A30" s="1571"/>
      <c r="B30" s="4075" t="s">
        <v>62</v>
      </c>
      <c r="C30" s="3341"/>
      <c r="D30" s="3341"/>
      <c r="E30" s="3349">
        <f t="shared" si="19"/>
        <v>0</v>
      </c>
      <c r="F30" s="4074" t="e">
        <f t="shared" si="16"/>
        <v>#DIV/0!</v>
      </c>
      <c r="G30" s="3343"/>
      <c r="H30" s="3341"/>
      <c r="I30" s="3341"/>
      <c r="J30" s="3349">
        <f t="shared" si="20"/>
        <v>0</v>
      </c>
      <c r="K30" s="4074" t="e">
        <f t="shared" si="42"/>
        <v>#DIV/0!</v>
      </c>
      <c r="L30" s="3343"/>
      <c r="M30" s="3341"/>
      <c r="N30" s="3341"/>
      <c r="O30" s="3349">
        <f t="shared" si="21"/>
        <v>0</v>
      </c>
      <c r="P30" s="4074" t="e">
        <f t="shared" si="22"/>
        <v>#DIV/0!</v>
      </c>
      <c r="Q30" s="3342"/>
      <c r="R30" s="3342">
        <f t="shared" si="23"/>
        <v>0</v>
      </c>
      <c r="S30" s="3342">
        <f t="shared" si="23"/>
        <v>0</v>
      </c>
      <c r="T30" s="2012">
        <f t="shared" si="24"/>
        <v>0</v>
      </c>
      <c r="U30" s="3342"/>
      <c r="V30" s="3342"/>
      <c r="W30" s="3342">
        <f t="shared" si="25"/>
        <v>0</v>
      </c>
      <c r="X30" s="3342">
        <f t="shared" si="25"/>
        <v>0</v>
      </c>
      <c r="Y30" s="2012">
        <f t="shared" si="26"/>
        <v>0</v>
      </c>
      <c r="Z30" s="3342"/>
      <c r="AA30" s="3342"/>
      <c r="AB30" s="3341"/>
      <c r="AC30" s="3341"/>
      <c r="AD30" s="3349">
        <f t="shared" si="27"/>
        <v>0</v>
      </c>
      <c r="AE30" s="4074" t="e">
        <f t="shared" si="43"/>
        <v>#DIV/0!</v>
      </c>
      <c r="AF30" s="3342"/>
      <c r="AG30" s="3341"/>
      <c r="AH30" s="3341"/>
      <c r="AI30" s="3349">
        <f t="shared" si="28"/>
        <v>0</v>
      </c>
      <c r="AJ30" s="4074" t="e">
        <f t="shared" si="44"/>
        <v>#DIV/0!</v>
      </c>
      <c r="AK30" s="3342"/>
      <c r="AL30" s="3341"/>
      <c r="AM30" s="3341"/>
      <c r="AN30" s="3349">
        <f t="shared" si="29"/>
        <v>0</v>
      </c>
      <c r="AO30" s="4074" t="e">
        <f t="shared" si="45"/>
        <v>#DIV/0!</v>
      </c>
      <c r="AP30" s="3342"/>
      <c r="AQ30" s="3341"/>
      <c r="AR30" s="3341"/>
      <c r="AS30" s="3349">
        <f t="shared" si="30"/>
        <v>0</v>
      </c>
      <c r="AT30" s="4074" t="e">
        <f t="shared" si="46"/>
        <v>#DIV/0!</v>
      </c>
      <c r="AU30" s="3342"/>
      <c r="AV30" s="3341"/>
      <c r="AW30" s="3341"/>
      <c r="AX30" s="3349">
        <f t="shared" si="31"/>
        <v>0</v>
      </c>
      <c r="AY30" s="4074" t="e">
        <f t="shared" si="47"/>
        <v>#DIV/0!</v>
      </c>
      <c r="AZ30" s="3342"/>
      <c r="BA30" s="3341"/>
      <c r="BB30" s="3341"/>
      <c r="BC30" s="3349">
        <f t="shared" si="32"/>
        <v>0</v>
      </c>
      <c r="BD30" s="4074" t="e">
        <f t="shared" si="48"/>
        <v>#DIV/0!</v>
      </c>
      <c r="BE30" s="3342"/>
      <c r="BF30" s="3341"/>
      <c r="BG30" s="3341"/>
      <c r="BH30" s="3349">
        <f t="shared" si="33"/>
        <v>0</v>
      </c>
      <c r="BI30" s="4074" t="e">
        <f t="shared" si="49"/>
        <v>#DIV/0!</v>
      </c>
      <c r="BJ30" s="3342"/>
      <c r="BK30" s="3341"/>
      <c r="BL30" s="3341"/>
      <c r="BM30" s="3349">
        <f t="shared" si="34"/>
        <v>0</v>
      </c>
      <c r="BN30" s="4074" t="e">
        <f t="shared" si="50"/>
        <v>#DIV/0!</v>
      </c>
      <c r="BO30" s="3342"/>
      <c r="BP30" s="3341"/>
      <c r="BQ30" s="3341"/>
      <c r="BR30" s="3349">
        <f t="shared" si="35"/>
        <v>0</v>
      </c>
      <c r="BS30" s="4074" t="e">
        <f t="shared" si="51"/>
        <v>#DIV/0!</v>
      </c>
      <c r="BT30" s="3342"/>
      <c r="BU30" s="3341"/>
      <c r="BV30" s="3341"/>
      <c r="BW30" s="3349">
        <f t="shared" si="36"/>
        <v>0</v>
      </c>
      <c r="BX30" s="4074" t="e">
        <f t="shared" si="52"/>
        <v>#DIV/0!</v>
      </c>
      <c r="BY30" s="3342"/>
      <c r="BZ30" s="3341"/>
      <c r="CA30" s="3341"/>
      <c r="CB30" s="3349">
        <f t="shared" si="37"/>
        <v>0</v>
      </c>
      <c r="CC30" s="4074" t="e">
        <f t="shared" si="53"/>
        <v>#DIV/0!</v>
      </c>
      <c r="CD30" s="3342"/>
      <c r="CE30" s="3341"/>
      <c r="CF30" s="3341"/>
      <c r="CG30" s="3349">
        <f t="shared" si="38"/>
        <v>0</v>
      </c>
      <c r="CH30" s="4074" t="e">
        <f t="shared" si="54"/>
        <v>#DIV/0!</v>
      </c>
      <c r="CI30" s="3342"/>
      <c r="CJ30" s="3341">
        <f t="shared" si="39"/>
        <v>0</v>
      </c>
      <c r="CK30" s="3341">
        <f t="shared" si="39"/>
        <v>0</v>
      </c>
      <c r="CL30" s="3349">
        <f t="shared" si="55"/>
        <v>0</v>
      </c>
      <c r="CM30" s="4074" t="e">
        <f t="shared" si="40"/>
        <v>#DIV/0!</v>
      </c>
      <c r="CN30" s="4076"/>
      <c r="CP30" s="4159"/>
      <c r="CQ30" s="2012">
        <f t="shared" si="41"/>
        <v>0</v>
      </c>
      <c r="CR30" s="4161">
        <f t="shared" si="56"/>
        <v>0</v>
      </c>
      <c r="CS30" s="3307"/>
      <c r="CT30" s="3443"/>
    </row>
    <row r="31" spans="1:100" s="1396" customFormat="1" ht="13.8" outlineLevel="2">
      <c r="A31" s="1571"/>
      <c r="B31" s="4075" t="s">
        <v>34</v>
      </c>
      <c r="C31" s="3341"/>
      <c r="D31" s="3341"/>
      <c r="E31" s="3349">
        <f t="shared" si="19"/>
        <v>0</v>
      </c>
      <c r="F31" s="4074" t="e">
        <f t="shared" si="16"/>
        <v>#DIV/0!</v>
      </c>
      <c r="G31" s="3343"/>
      <c r="H31" s="3341"/>
      <c r="I31" s="3341"/>
      <c r="J31" s="3349">
        <f t="shared" si="20"/>
        <v>0</v>
      </c>
      <c r="K31" s="4074" t="e">
        <f t="shared" si="42"/>
        <v>#DIV/0!</v>
      </c>
      <c r="L31" s="3343"/>
      <c r="M31" s="3341"/>
      <c r="N31" s="3341"/>
      <c r="O31" s="3349">
        <f t="shared" si="21"/>
        <v>0</v>
      </c>
      <c r="P31" s="4074" t="e">
        <f t="shared" si="22"/>
        <v>#DIV/0!</v>
      </c>
      <c r="Q31" s="3342"/>
      <c r="R31" s="3342">
        <f t="shared" si="23"/>
        <v>0</v>
      </c>
      <c r="S31" s="3342">
        <f t="shared" si="23"/>
        <v>0</v>
      </c>
      <c r="T31" s="2012">
        <f t="shared" si="24"/>
        <v>0</v>
      </c>
      <c r="U31" s="3342"/>
      <c r="V31" s="3342"/>
      <c r="W31" s="3342">
        <f t="shared" si="25"/>
        <v>0</v>
      </c>
      <c r="X31" s="3342">
        <f t="shared" si="25"/>
        <v>0</v>
      </c>
      <c r="Y31" s="2012">
        <f t="shared" si="26"/>
        <v>0</v>
      </c>
      <c r="Z31" s="3342"/>
      <c r="AA31" s="3342"/>
      <c r="AB31" s="3341"/>
      <c r="AC31" s="3341"/>
      <c r="AD31" s="3349">
        <f t="shared" si="27"/>
        <v>0</v>
      </c>
      <c r="AE31" s="4074" t="e">
        <f t="shared" si="43"/>
        <v>#DIV/0!</v>
      </c>
      <c r="AF31" s="3342"/>
      <c r="AG31" s="3341"/>
      <c r="AH31" s="3341"/>
      <c r="AI31" s="3349">
        <f t="shared" si="28"/>
        <v>0</v>
      </c>
      <c r="AJ31" s="4074" t="e">
        <f t="shared" si="44"/>
        <v>#DIV/0!</v>
      </c>
      <c r="AK31" s="3342"/>
      <c r="AL31" s="3341"/>
      <c r="AM31" s="3341"/>
      <c r="AN31" s="3349">
        <f t="shared" si="29"/>
        <v>0</v>
      </c>
      <c r="AO31" s="4074" t="e">
        <f t="shared" si="45"/>
        <v>#DIV/0!</v>
      </c>
      <c r="AP31" s="3342"/>
      <c r="AQ31" s="3341"/>
      <c r="AR31" s="3341"/>
      <c r="AS31" s="3349">
        <f t="shared" si="30"/>
        <v>0</v>
      </c>
      <c r="AT31" s="4074" t="e">
        <f t="shared" si="46"/>
        <v>#DIV/0!</v>
      </c>
      <c r="AU31" s="3342"/>
      <c r="AV31" s="3341"/>
      <c r="AW31" s="3341"/>
      <c r="AX31" s="3349">
        <f t="shared" si="31"/>
        <v>0</v>
      </c>
      <c r="AY31" s="4074" t="e">
        <f t="shared" si="47"/>
        <v>#DIV/0!</v>
      </c>
      <c r="AZ31" s="3342"/>
      <c r="BA31" s="3341"/>
      <c r="BB31" s="3341"/>
      <c r="BC31" s="3349">
        <f t="shared" si="32"/>
        <v>0</v>
      </c>
      <c r="BD31" s="4074" t="e">
        <f t="shared" si="48"/>
        <v>#DIV/0!</v>
      </c>
      <c r="BE31" s="3342"/>
      <c r="BF31" s="3341"/>
      <c r="BG31" s="3341"/>
      <c r="BH31" s="3349">
        <f t="shared" si="33"/>
        <v>0</v>
      </c>
      <c r="BI31" s="4074" t="e">
        <f t="shared" si="49"/>
        <v>#DIV/0!</v>
      </c>
      <c r="BJ31" s="3342"/>
      <c r="BK31" s="3341"/>
      <c r="BL31" s="3341"/>
      <c r="BM31" s="3349">
        <f t="shared" si="34"/>
        <v>0</v>
      </c>
      <c r="BN31" s="4074" t="e">
        <f t="shared" si="50"/>
        <v>#DIV/0!</v>
      </c>
      <c r="BO31" s="3342"/>
      <c r="BP31" s="3341"/>
      <c r="BQ31" s="3341"/>
      <c r="BR31" s="3349">
        <f t="shared" si="35"/>
        <v>0</v>
      </c>
      <c r="BS31" s="4074" t="e">
        <f t="shared" si="51"/>
        <v>#DIV/0!</v>
      </c>
      <c r="BT31" s="3342"/>
      <c r="BU31" s="3341"/>
      <c r="BV31" s="3341"/>
      <c r="BW31" s="3349">
        <f t="shared" si="36"/>
        <v>0</v>
      </c>
      <c r="BX31" s="4074" t="e">
        <f t="shared" si="52"/>
        <v>#DIV/0!</v>
      </c>
      <c r="BY31" s="3342"/>
      <c r="BZ31" s="3341"/>
      <c r="CA31" s="3341"/>
      <c r="CB31" s="3349">
        <f t="shared" si="37"/>
        <v>0</v>
      </c>
      <c r="CC31" s="4074" t="e">
        <f t="shared" si="53"/>
        <v>#DIV/0!</v>
      </c>
      <c r="CD31" s="3342"/>
      <c r="CE31" s="3341"/>
      <c r="CF31" s="3341"/>
      <c r="CG31" s="3349">
        <f t="shared" si="38"/>
        <v>0</v>
      </c>
      <c r="CH31" s="4074" t="e">
        <f t="shared" si="54"/>
        <v>#DIV/0!</v>
      </c>
      <c r="CI31" s="3342"/>
      <c r="CJ31" s="3341">
        <f t="shared" si="39"/>
        <v>0</v>
      </c>
      <c r="CK31" s="3341">
        <f t="shared" si="39"/>
        <v>0</v>
      </c>
      <c r="CL31" s="3349">
        <f t="shared" si="55"/>
        <v>0</v>
      </c>
      <c r="CM31" s="4074" t="e">
        <f t="shared" si="40"/>
        <v>#DIV/0!</v>
      </c>
      <c r="CN31" s="4076"/>
      <c r="CP31" s="4159"/>
      <c r="CQ31" s="2012">
        <f t="shared" si="41"/>
        <v>0</v>
      </c>
      <c r="CR31" s="4161">
        <f t="shared" si="56"/>
        <v>0</v>
      </c>
      <c r="CS31" s="3307"/>
      <c r="CT31" s="3443"/>
      <c r="CV31" s="933"/>
    </row>
    <row r="32" spans="1:100" s="1396" customFormat="1" ht="13.8" outlineLevel="2">
      <c r="A32" s="1571"/>
      <c r="B32" s="4077" t="s">
        <v>2</v>
      </c>
      <c r="C32" s="3341"/>
      <c r="D32" s="3341"/>
      <c r="E32" s="3349">
        <f t="shared" si="19"/>
        <v>0</v>
      </c>
      <c r="F32" s="4074" t="e">
        <f t="shared" si="16"/>
        <v>#DIV/0!</v>
      </c>
      <c r="G32" s="4078"/>
      <c r="H32" s="3341"/>
      <c r="I32" s="3341"/>
      <c r="J32" s="3349">
        <f t="shared" si="20"/>
        <v>0</v>
      </c>
      <c r="K32" s="4074" t="e">
        <f t="shared" si="42"/>
        <v>#DIV/0!</v>
      </c>
      <c r="L32" s="4078"/>
      <c r="M32" s="3341"/>
      <c r="N32" s="3341"/>
      <c r="O32" s="3349">
        <f t="shared" si="21"/>
        <v>0</v>
      </c>
      <c r="P32" s="4074" t="e">
        <f t="shared" si="22"/>
        <v>#DIV/0!</v>
      </c>
      <c r="Q32" s="4078"/>
      <c r="R32" s="3342">
        <f t="shared" si="23"/>
        <v>0</v>
      </c>
      <c r="S32" s="3342">
        <f t="shared" si="23"/>
        <v>0</v>
      </c>
      <c r="T32" s="2012">
        <f t="shared" si="24"/>
        <v>0</v>
      </c>
      <c r="U32" s="2048"/>
      <c r="V32" s="2048"/>
      <c r="W32" s="3342">
        <f t="shared" si="25"/>
        <v>0</v>
      </c>
      <c r="X32" s="3342">
        <f t="shared" si="25"/>
        <v>0</v>
      </c>
      <c r="Y32" s="2012">
        <f t="shared" si="26"/>
        <v>0</v>
      </c>
      <c r="Z32" s="2048"/>
      <c r="AA32" s="2048"/>
      <c r="AB32" s="3341"/>
      <c r="AC32" s="3341"/>
      <c r="AD32" s="3349">
        <f t="shared" si="27"/>
        <v>0</v>
      </c>
      <c r="AE32" s="4074" t="e">
        <f t="shared" si="43"/>
        <v>#DIV/0!</v>
      </c>
      <c r="AF32" s="4078"/>
      <c r="AG32" s="3341"/>
      <c r="AH32" s="3341"/>
      <c r="AI32" s="3349">
        <f t="shared" si="28"/>
        <v>0</v>
      </c>
      <c r="AJ32" s="4074" t="e">
        <f t="shared" si="44"/>
        <v>#DIV/0!</v>
      </c>
      <c r="AK32" s="4078"/>
      <c r="AL32" s="3341"/>
      <c r="AM32" s="3341"/>
      <c r="AN32" s="3349">
        <f t="shared" si="29"/>
        <v>0</v>
      </c>
      <c r="AO32" s="4074" t="e">
        <f t="shared" si="45"/>
        <v>#DIV/0!</v>
      </c>
      <c r="AP32" s="4078"/>
      <c r="AQ32" s="3341"/>
      <c r="AR32" s="3341"/>
      <c r="AS32" s="3349">
        <f t="shared" si="30"/>
        <v>0</v>
      </c>
      <c r="AT32" s="4074" t="e">
        <f t="shared" si="46"/>
        <v>#DIV/0!</v>
      </c>
      <c r="AU32" s="4078"/>
      <c r="AV32" s="3341"/>
      <c r="AW32" s="3341"/>
      <c r="AX32" s="3349">
        <f t="shared" si="31"/>
        <v>0</v>
      </c>
      <c r="AY32" s="4074" t="e">
        <f t="shared" si="47"/>
        <v>#DIV/0!</v>
      </c>
      <c r="AZ32" s="4078"/>
      <c r="BA32" s="3341"/>
      <c r="BB32" s="3341"/>
      <c r="BC32" s="3349">
        <f t="shared" si="32"/>
        <v>0</v>
      </c>
      <c r="BD32" s="4074" t="e">
        <f t="shared" si="48"/>
        <v>#DIV/0!</v>
      </c>
      <c r="BE32" s="4078"/>
      <c r="BF32" s="3341"/>
      <c r="BG32" s="3341"/>
      <c r="BH32" s="3349">
        <f t="shared" si="33"/>
        <v>0</v>
      </c>
      <c r="BI32" s="4074" t="e">
        <f t="shared" si="49"/>
        <v>#DIV/0!</v>
      </c>
      <c r="BJ32" s="4078"/>
      <c r="BK32" s="3341"/>
      <c r="BL32" s="3341"/>
      <c r="BM32" s="3349">
        <f t="shared" si="34"/>
        <v>0</v>
      </c>
      <c r="BN32" s="4074" t="e">
        <f t="shared" si="50"/>
        <v>#DIV/0!</v>
      </c>
      <c r="BO32" s="4078"/>
      <c r="BP32" s="3341"/>
      <c r="BQ32" s="3341"/>
      <c r="BR32" s="3349">
        <f t="shared" si="35"/>
        <v>0</v>
      </c>
      <c r="BS32" s="4074" t="e">
        <f t="shared" si="51"/>
        <v>#DIV/0!</v>
      </c>
      <c r="BT32" s="4078"/>
      <c r="BU32" s="3341"/>
      <c r="BV32" s="3341"/>
      <c r="BW32" s="3349">
        <f t="shared" si="36"/>
        <v>0</v>
      </c>
      <c r="BX32" s="4074" t="e">
        <f t="shared" si="52"/>
        <v>#DIV/0!</v>
      </c>
      <c r="BY32" s="4078"/>
      <c r="BZ32" s="3341"/>
      <c r="CA32" s="3341"/>
      <c r="CB32" s="3349">
        <f t="shared" si="37"/>
        <v>0</v>
      </c>
      <c r="CC32" s="4074" t="e">
        <f t="shared" si="53"/>
        <v>#DIV/0!</v>
      </c>
      <c r="CD32" s="4078"/>
      <c r="CE32" s="3341"/>
      <c r="CF32" s="3341"/>
      <c r="CG32" s="3349">
        <f t="shared" si="38"/>
        <v>0</v>
      </c>
      <c r="CH32" s="4074" t="e">
        <f t="shared" si="54"/>
        <v>#DIV/0!</v>
      </c>
      <c r="CI32" s="4078"/>
      <c r="CJ32" s="4079">
        <f t="shared" si="39"/>
        <v>0</v>
      </c>
      <c r="CK32" s="4080">
        <f t="shared" si="39"/>
        <v>0</v>
      </c>
      <c r="CL32" s="3349">
        <f t="shared" si="55"/>
        <v>0</v>
      </c>
      <c r="CM32" s="4074" t="e">
        <f t="shared" si="40"/>
        <v>#DIV/0!</v>
      </c>
      <c r="CN32" s="4076"/>
      <c r="CP32" s="4159"/>
      <c r="CQ32" s="2012">
        <f t="shared" si="41"/>
        <v>0</v>
      </c>
      <c r="CR32" s="4161">
        <f t="shared" si="56"/>
        <v>0</v>
      </c>
      <c r="CT32" s="2624"/>
    </row>
    <row r="33" spans="1:98" s="1396" customFormat="1" ht="14.4" outlineLevel="2" thickBot="1">
      <c r="A33" s="1571"/>
      <c r="B33" s="4081" t="s">
        <v>75</v>
      </c>
      <c r="C33" s="4082"/>
      <c r="D33" s="4082"/>
      <c r="E33" s="4083">
        <f t="shared" ref="E33" si="57">C33+D33*1</f>
        <v>0</v>
      </c>
      <c r="F33" s="4084" t="e">
        <f t="shared" si="16"/>
        <v>#DIV/0!</v>
      </c>
      <c r="G33" s="4085"/>
      <c r="H33" s="4082"/>
      <c r="I33" s="4082"/>
      <c r="J33" s="4083">
        <f>H33+I33*1</f>
        <v>0</v>
      </c>
      <c r="K33" s="4084" t="e">
        <f t="shared" si="42"/>
        <v>#DIV/0!</v>
      </c>
      <c r="L33" s="4085"/>
      <c r="M33" s="4082"/>
      <c r="N33" s="4082"/>
      <c r="O33" s="4083">
        <f t="shared" ref="O33" si="58">M33+N33*1</f>
        <v>0</v>
      </c>
      <c r="P33" s="4074" t="e">
        <f t="shared" si="22"/>
        <v>#DIV/0!</v>
      </c>
      <c r="Q33" s="4085"/>
      <c r="R33" s="4086">
        <f t="shared" si="23"/>
        <v>0</v>
      </c>
      <c r="S33" s="4087">
        <f t="shared" si="23"/>
        <v>0</v>
      </c>
      <c r="T33" s="4088">
        <f t="shared" si="24"/>
        <v>0</v>
      </c>
      <c r="U33" s="4085"/>
      <c r="V33" s="4085"/>
      <c r="W33" s="4087">
        <f t="shared" si="25"/>
        <v>0</v>
      </c>
      <c r="X33" s="4087">
        <f t="shared" si="25"/>
        <v>0</v>
      </c>
      <c r="Y33" s="4088">
        <f t="shared" si="26"/>
        <v>0</v>
      </c>
      <c r="Z33" s="4085"/>
      <c r="AA33" s="4085"/>
      <c r="AB33" s="4082"/>
      <c r="AC33" s="4082"/>
      <c r="AD33" s="4083">
        <f t="shared" ref="AD33" si="59">AB33+AC33*1</f>
        <v>0</v>
      </c>
      <c r="AE33" s="4084" t="e">
        <f t="shared" si="43"/>
        <v>#DIV/0!</v>
      </c>
      <c r="AF33" s="4085"/>
      <c r="AG33" s="4082"/>
      <c r="AH33" s="4082"/>
      <c r="AI33" s="4083">
        <f t="shared" ref="AI33" si="60">AG33+AH33*1</f>
        <v>0</v>
      </c>
      <c r="AJ33" s="4084" t="e">
        <f t="shared" si="44"/>
        <v>#DIV/0!</v>
      </c>
      <c r="AK33" s="4085"/>
      <c r="AL33" s="4082"/>
      <c r="AM33" s="4082"/>
      <c r="AN33" s="4083">
        <f t="shared" ref="AN33" si="61">AL33+AM33*1</f>
        <v>0</v>
      </c>
      <c r="AO33" s="4084" t="e">
        <f t="shared" si="45"/>
        <v>#DIV/0!</v>
      </c>
      <c r="AP33" s="4085"/>
      <c r="AQ33" s="4082"/>
      <c r="AR33" s="4082"/>
      <c r="AS33" s="4083">
        <f t="shared" ref="AS33" si="62">AQ33+AR33*1</f>
        <v>0</v>
      </c>
      <c r="AT33" s="4084" t="e">
        <f t="shared" si="46"/>
        <v>#DIV/0!</v>
      </c>
      <c r="AU33" s="4085"/>
      <c r="AV33" s="4082"/>
      <c r="AW33" s="4082"/>
      <c r="AX33" s="4083">
        <f t="shared" ref="AX33" si="63">AV33+AW33*1</f>
        <v>0</v>
      </c>
      <c r="AY33" s="4084" t="e">
        <f t="shared" si="47"/>
        <v>#DIV/0!</v>
      </c>
      <c r="AZ33" s="4085"/>
      <c r="BA33" s="4082"/>
      <c r="BB33" s="4082"/>
      <c r="BC33" s="4083">
        <f t="shared" ref="BC33" si="64">BA33+BB33*1</f>
        <v>0</v>
      </c>
      <c r="BD33" s="4084" t="e">
        <f t="shared" si="48"/>
        <v>#DIV/0!</v>
      </c>
      <c r="BE33" s="4085"/>
      <c r="BF33" s="4082"/>
      <c r="BG33" s="4082"/>
      <c r="BH33" s="4083">
        <f t="shared" ref="BH33" si="65">BF33+BG33*1</f>
        <v>0</v>
      </c>
      <c r="BI33" s="4084" t="e">
        <f t="shared" si="49"/>
        <v>#DIV/0!</v>
      </c>
      <c r="BJ33" s="4085"/>
      <c r="BK33" s="4082"/>
      <c r="BL33" s="4082"/>
      <c r="BM33" s="4083">
        <f t="shared" ref="BM33" si="66">BK33+BL33*1</f>
        <v>0</v>
      </c>
      <c r="BN33" s="4084" t="e">
        <f t="shared" si="50"/>
        <v>#DIV/0!</v>
      </c>
      <c r="BO33" s="4085"/>
      <c r="BP33" s="4082"/>
      <c r="BQ33" s="4082"/>
      <c r="BR33" s="4083">
        <f t="shared" ref="BR33" si="67">BP33+BQ33*1</f>
        <v>0</v>
      </c>
      <c r="BS33" s="4084" t="e">
        <f t="shared" si="51"/>
        <v>#DIV/0!</v>
      </c>
      <c r="BT33" s="4085"/>
      <c r="BU33" s="4082"/>
      <c r="BV33" s="4082"/>
      <c r="BW33" s="4083">
        <f t="shared" ref="BW33" si="68">BU33+BV33*1</f>
        <v>0</v>
      </c>
      <c r="BX33" s="4084" t="e">
        <f t="shared" si="52"/>
        <v>#DIV/0!</v>
      </c>
      <c r="BY33" s="4085"/>
      <c r="BZ33" s="4082"/>
      <c r="CA33" s="4082"/>
      <c r="CB33" s="4083">
        <f t="shared" ref="CB33" si="69">BZ33+CA33*1</f>
        <v>0</v>
      </c>
      <c r="CC33" s="4084" t="e">
        <f t="shared" si="53"/>
        <v>#DIV/0!</v>
      </c>
      <c r="CD33" s="4085"/>
      <c r="CE33" s="4082"/>
      <c r="CF33" s="4082"/>
      <c r="CG33" s="4083">
        <f t="shared" ref="CG33" si="70">CE33+CF33*1</f>
        <v>0</v>
      </c>
      <c r="CH33" s="4084" t="e">
        <f t="shared" si="54"/>
        <v>#DIV/0!</v>
      </c>
      <c r="CI33" s="4085"/>
      <c r="CJ33" s="4089">
        <f t="shared" si="39"/>
        <v>0</v>
      </c>
      <c r="CK33" s="4082">
        <f t="shared" si="39"/>
        <v>0</v>
      </c>
      <c r="CL33" s="4083">
        <f t="shared" si="55"/>
        <v>0</v>
      </c>
      <c r="CM33" s="4090" t="e">
        <f t="shared" si="40"/>
        <v>#DIV/0!</v>
      </c>
      <c r="CN33" s="4091"/>
      <c r="CP33" s="4159"/>
      <c r="CQ33" s="4159"/>
      <c r="CR33" s="4161">
        <f t="shared" si="56"/>
        <v>0</v>
      </c>
      <c r="CT33" s="2624"/>
    </row>
    <row r="34" spans="1:98"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1"/>
      <c r="AC34" s="3341"/>
      <c r="AD34" s="3368"/>
      <c r="AE34" s="3368"/>
      <c r="AF34" s="3448"/>
      <c r="AG34" s="3341"/>
      <c r="AH34" s="3341"/>
      <c r="AI34" s="3368"/>
      <c r="AJ34" s="3368"/>
      <c r="AK34" s="3448"/>
      <c r="AL34" s="3341"/>
      <c r="AM34" s="3341"/>
      <c r="AN34" s="3368"/>
      <c r="AO34" s="3368"/>
      <c r="AP34" s="3448"/>
      <c r="AQ34" s="3341"/>
      <c r="AR34" s="3341"/>
      <c r="AS34" s="3368"/>
      <c r="AT34" s="3368"/>
      <c r="AU34" s="3448"/>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3449"/>
      <c r="CQ34" s="3449"/>
      <c r="CR34" s="3450"/>
      <c r="CT34" s="2624"/>
    </row>
    <row r="35" spans="1:98" s="1396" customFormat="1" ht="13.8" outlineLevel="1">
      <c r="A35" s="1571"/>
      <c r="B35" s="4092" t="s">
        <v>80</v>
      </c>
      <c r="C35" s="4093">
        <f>C36</f>
        <v>0</v>
      </c>
      <c r="D35" s="4093">
        <f>D36</f>
        <v>0</v>
      </c>
      <c r="E35" s="4094">
        <f>E36</f>
        <v>0</v>
      </c>
      <c r="F35" s="4094"/>
      <c r="G35" s="4095"/>
      <c r="H35" s="4093">
        <f>H36</f>
        <v>0</v>
      </c>
      <c r="I35" s="4093">
        <f>I36</f>
        <v>0</v>
      </c>
      <c r="J35" s="4094">
        <f>J36</f>
        <v>0</v>
      </c>
      <c r="K35" s="4094"/>
      <c r="L35" s="4095"/>
      <c r="M35" s="4093">
        <f>M36</f>
        <v>0</v>
      </c>
      <c r="N35" s="4093">
        <f>N36</f>
        <v>0</v>
      </c>
      <c r="O35" s="4094">
        <f>O36</f>
        <v>0</v>
      </c>
      <c r="P35" s="4094"/>
      <c r="Q35" s="4095"/>
      <c r="R35" s="4093">
        <f>R36</f>
        <v>0</v>
      </c>
      <c r="S35" s="4093">
        <f>S36</f>
        <v>0</v>
      </c>
      <c r="T35" s="4094">
        <f>T36</f>
        <v>0</v>
      </c>
      <c r="U35" s="4096"/>
      <c r="V35" s="4096"/>
      <c r="W35" s="4093">
        <f>W36</f>
        <v>0</v>
      </c>
      <c r="X35" s="4093">
        <f>X36</f>
        <v>0</v>
      </c>
      <c r="Y35" s="4094">
        <f>Y36</f>
        <v>0</v>
      </c>
      <c r="Z35" s="4096"/>
      <c r="AA35" s="4096"/>
      <c r="AB35" s="4093">
        <f>AB36</f>
        <v>0</v>
      </c>
      <c r="AC35" s="4093">
        <f>AC36</f>
        <v>0</v>
      </c>
      <c r="AD35" s="4094">
        <f>AD36</f>
        <v>0</v>
      </c>
      <c r="AE35" s="4094"/>
      <c r="AF35" s="4095"/>
      <c r="AG35" s="4093">
        <f>AG36</f>
        <v>0</v>
      </c>
      <c r="AH35" s="4093">
        <f>AH36</f>
        <v>0</v>
      </c>
      <c r="AI35" s="4094">
        <f>AI36</f>
        <v>0</v>
      </c>
      <c r="AJ35" s="4094"/>
      <c r="AK35" s="4095"/>
      <c r="AL35" s="4093">
        <f>AL36</f>
        <v>0</v>
      </c>
      <c r="AM35" s="4093">
        <f>AM36</f>
        <v>0</v>
      </c>
      <c r="AN35" s="4094">
        <f>AN36</f>
        <v>0</v>
      </c>
      <c r="AO35" s="4094"/>
      <c r="AP35" s="4095"/>
      <c r="AQ35" s="4093">
        <f>AQ36</f>
        <v>0</v>
      </c>
      <c r="AR35" s="4093">
        <f>AR36</f>
        <v>0</v>
      </c>
      <c r="AS35" s="4094">
        <f>AS36</f>
        <v>0</v>
      </c>
      <c r="AT35" s="4094"/>
      <c r="AU35" s="4095"/>
      <c r="AV35" s="4093">
        <f>AV36</f>
        <v>0</v>
      </c>
      <c r="AW35" s="4093">
        <f>AW36</f>
        <v>0</v>
      </c>
      <c r="AX35" s="4094">
        <f>AX36</f>
        <v>0</v>
      </c>
      <c r="AY35" s="4094"/>
      <c r="AZ35" s="4095"/>
      <c r="BA35" s="4093">
        <f>BA36</f>
        <v>0</v>
      </c>
      <c r="BB35" s="4093">
        <f>BB36</f>
        <v>0</v>
      </c>
      <c r="BC35" s="4094">
        <f>BC36</f>
        <v>0</v>
      </c>
      <c r="BD35" s="4094"/>
      <c r="BE35" s="4095"/>
      <c r="BF35" s="4093">
        <f>BF36</f>
        <v>0</v>
      </c>
      <c r="BG35" s="4093">
        <f>BG36</f>
        <v>0</v>
      </c>
      <c r="BH35" s="4094">
        <f>BH36</f>
        <v>0</v>
      </c>
      <c r="BI35" s="4094"/>
      <c r="BJ35" s="4095"/>
      <c r="BK35" s="4093">
        <f>BK36</f>
        <v>0</v>
      </c>
      <c r="BL35" s="4093">
        <f>BL36</f>
        <v>0</v>
      </c>
      <c r="BM35" s="4094">
        <f>BM36</f>
        <v>0</v>
      </c>
      <c r="BN35" s="4094"/>
      <c r="BO35" s="4095"/>
      <c r="BP35" s="4093">
        <f>BP36</f>
        <v>0</v>
      </c>
      <c r="BQ35" s="4093">
        <f>BQ36</f>
        <v>0</v>
      </c>
      <c r="BR35" s="4094">
        <f>BR36</f>
        <v>0</v>
      </c>
      <c r="BS35" s="4094"/>
      <c r="BT35" s="4095"/>
      <c r="BU35" s="4093">
        <f>BU36</f>
        <v>0</v>
      </c>
      <c r="BV35" s="4093">
        <f>BV36</f>
        <v>0</v>
      </c>
      <c r="BW35" s="4094">
        <f>BW36</f>
        <v>0</v>
      </c>
      <c r="BX35" s="4094"/>
      <c r="BY35" s="4095"/>
      <c r="BZ35" s="4093">
        <f>BZ36</f>
        <v>0</v>
      </c>
      <c r="CA35" s="4093">
        <f>CA36</f>
        <v>0</v>
      </c>
      <c r="CB35" s="4094">
        <f>CB36</f>
        <v>0</v>
      </c>
      <c r="CC35" s="4094"/>
      <c r="CD35" s="4095"/>
      <c r="CE35" s="4093">
        <f>CE36</f>
        <v>0</v>
      </c>
      <c r="CF35" s="4093">
        <f>CF36</f>
        <v>0</v>
      </c>
      <c r="CG35" s="4094">
        <f>CG36</f>
        <v>0</v>
      </c>
      <c r="CH35" s="4094"/>
      <c r="CI35" s="4095"/>
      <c r="CJ35" s="4093">
        <f>CJ36</f>
        <v>0</v>
      </c>
      <c r="CK35" s="4093">
        <f>CK36</f>
        <v>0</v>
      </c>
      <c r="CL35" s="4094">
        <f>CL36</f>
        <v>0</v>
      </c>
      <c r="CM35" s="4094"/>
      <c r="CN35" s="4094"/>
      <c r="CP35" s="4094">
        <f>CP36</f>
        <v>0</v>
      </c>
      <c r="CQ35" s="4094">
        <f>CQ36</f>
        <v>0</v>
      </c>
      <c r="CR35" s="4097">
        <f>CR36</f>
        <v>0</v>
      </c>
      <c r="CT35" s="2624"/>
    </row>
    <row r="36" spans="1:98" s="1396" customFormat="1" ht="13.8" outlineLevel="3">
      <c r="A36" s="1571"/>
      <c r="B36" s="4098" t="s">
        <v>81</v>
      </c>
      <c r="C36" s="3341"/>
      <c r="D36" s="3341"/>
      <c r="E36" s="2012">
        <f>C36+D36*1</f>
        <v>0</v>
      </c>
      <c r="F36" s="4074" t="e">
        <f>E36/$E$89</f>
        <v>#DIV/0!</v>
      </c>
      <c r="G36" s="4099"/>
      <c r="H36" s="3341"/>
      <c r="I36" s="3341"/>
      <c r="J36" s="2012">
        <f>H36+I36*1</f>
        <v>0</v>
      </c>
      <c r="K36" s="4074" t="e">
        <f t="shared" ref="K36" si="71">J36/J$89</f>
        <v>#DIV/0!</v>
      </c>
      <c r="L36" s="4099"/>
      <c r="M36" s="3341"/>
      <c r="N36" s="3341"/>
      <c r="O36" s="3349">
        <f t="shared" ref="O36" si="72">M36+N36</f>
        <v>0</v>
      </c>
      <c r="P36" s="4074" t="e">
        <f t="shared" ref="P36" si="73">O36/O$89</f>
        <v>#DIV/0!</v>
      </c>
      <c r="Q36" s="4099"/>
      <c r="R36" s="3342">
        <f t="shared" ref="R36:S36" si="74">M36+H36+C36</f>
        <v>0</v>
      </c>
      <c r="S36" s="3342">
        <f t="shared" si="74"/>
        <v>0</v>
      </c>
      <c r="T36" s="2012">
        <f t="shared" ref="T36" si="75">R36+S36</f>
        <v>0</v>
      </c>
      <c r="U36" s="3455"/>
      <c r="V36" s="3455"/>
      <c r="W36" s="3342">
        <f t="shared" ref="W36:X36" si="76">AB36+AG36+AL36+AV36+BA36+BF36+BK36+BP36+BU36+BZ36+CE36+AQ36</f>
        <v>0</v>
      </c>
      <c r="X36" s="3342">
        <f t="shared" si="76"/>
        <v>0</v>
      </c>
      <c r="Y36" s="2012">
        <f t="shared" ref="Y36" si="77">W36+X36</f>
        <v>0</v>
      </c>
      <c r="Z36" s="3455"/>
      <c r="AA36" s="3455"/>
      <c r="AB36" s="3341"/>
      <c r="AC36" s="3341"/>
      <c r="AD36" s="3349">
        <f t="shared" ref="AD36" si="78">AB36+AC36</f>
        <v>0</v>
      </c>
      <c r="AE36" s="4074" t="e">
        <f>AD36/AD$89</f>
        <v>#DIV/0!</v>
      </c>
      <c r="AF36" s="4099"/>
      <c r="AG36" s="3341"/>
      <c r="AH36" s="3341"/>
      <c r="AI36" s="3349">
        <f t="shared" ref="AI36" si="79">AG36+AH36</f>
        <v>0</v>
      </c>
      <c r="AJ36" s="4074" t="e">
        <f>AI36/AI$89</f>
        <v>#DIV/0!</v>
      </c>
      <c r="AK36" s="4099"/>
      <c r="AL36" s="3341"/>
      <c r="AM36" s="3341"/>
      <c r="AN36" s="3349">
        <f t="shared" ref="AN36" si="80">AL36+AM36</f>
        <v>0</v>
      </c>
      <c r="AO36" s="4074" t="e">
        <f>AN36/AN$89</f>
        <v>#DIV/0!</v>
      </c>
      <c r="AP36" s="4099"/>
      <c r="AQ36" s="3341"/>
      <c r="AR36" s="3341"/>
      <c r="AS36" s="3349">
        <f t="shared" ref="AS36" si="81">AQ36+AR36</f>
        <v>0</v>
      </c>
      <c r="AT36" s="4074" t="e">
        <f>AS36/AS$89</f>
        <v>#DIV/0!</v>
      </c>
      <c r="AU36" s="4099"/>
      <c r="AV36" s="3341"/>
      <c r="AW36" s="3341"/>
      <c r="AX36" s="3349">
        <f t="shared" ref="AX36" si="82">AV36+AW36</f>
        <v>0</v>
      </c>
      <c r="AY36" s="4074" t="e">
        <f>AX36/AX$89</f>
        <v>#DIV/0!</v>
      </c>
      <c r="AZ36" s="4099"/>
      <c r="BA36" s="3341"/>
      <c r="BB36" s="3341"/>
      <c r="BC36" s="3349">
        <f t="shared" ref="BC36" si="83">BA36+BB36</f>
        <v>0</v>
      </c>
      <c r="BD36" s="4074" t="e">
        <f>BC36/BC$89</f>
        <v>#DIV/0!</v>
      </c>
      <c r="BE36" s="4099"/>
      <c r="BF36" s="3341"/>
      <c r="BG36" s="3341"/>
      <c r="BH36" s="3349">
        <f t="shared" ref="BH36" si="84">BF36+BG36</f>
        <v>0</v>
      </c>
      <c r="BI36" s="4074" t="e">
        <f>BH36/BH$89</f>
        <v>#DIV/0!</v>
      </c>
      <c r="BJ36" s="4099"/>
      <c r="BK36" s="3341"/>
      <c r="BL36" s="3341"/>
      <c r="BM36" s="3349">
        <f t="shared" ref="BM36" si="85">BK36+BL36</f>
        <v>0</v>
      </c>
      <c r="BN36" s="4074" t="e">
        <f>BM36/BM$89</f>
        <v>#DIV/0!</v>
      </c>
      <c r="BO36" s="4099"/>
      <c r="BP36" s="3341"/>
      <c r="BQ36" s="3341"/>
      <c r="BR36" s="3349">
        <f t="shared" ref="BR36" si="86">BP36+BQ36</f>
        <v>0</v>
      </c>
      <c r="BS36" s="4074" t="e">
        <f>BR36/BR$89</f>
        <v>#DIV/0!</v>
      </c>
      <c r="BT36" s="4099"/>
      <c r="BU36" s="3341"/>
      <c r="BV36" s="3341"/>
      <c r="BW36" s="3349">
        <f t="shared" ref="BW36" si="87">BU36+BV36</f>
        <v>0</v>
      </c>
      <c r="BX36" s="4074" t="e">
        <f>BW36/BW$89</f>
        <v>#DIV/0!</v>
      </c>
      <c r="BY36" s="4099"/>
      <c r="BZ36" s="3341"/>
      <c r="CA36" s="3341"/>
      <c r="CB36" s="3349">
        <f t="shared" ref="CB36" si="88">BZ36+CA36</f>
        <v>0</v>
      </c>
      <c r="CC36" s="4074" t="e">
        <f>CB36/CB$89</f>
        <v>#DIV/0!</v>
      </c>
      <c r="CD36" s="4099"/>
      <c r="CE36" s="3341"/>
      <c r="CF36" s="3341"/>
      <c r="CG36" s="3349">
        <f t="shared" ref="CG36" si="89">CE36+CF36</f>
        <v>0</v>
      </c>
      <c r="CH36" s="4074" t="e">
        <f>CG36/CG$89</f>
        <v>#DIV/0!</v>
      </c>
      <c r="CI36" s="4099"/>
      <c r="CJ36" s="3341">
        <f t="shared" ref="CJ36:CK36" si="90">C36+H36+M36+W36</f>
        <v>0</v>
      </c>
      <c r="CK36" s="3341">
        <f t="shared" si="90"/>
        <v>0</v>
      </c>
      <c r="CL36" s="2012">
        <f>CJ36+CK36*1</f>
        <v>0</v>
      </c>
      <c r="CM36" s="4074" t="e">
        <f>CL36/$CL$89</f>
        <v>#DIV/0!</v>
      </c>
      <c r="CN36" s="4100"/>
      <c r="CP36" s="2012"/>
      <c r="CQ36" s="2012">
        <f t="shared" ref="CQ36" si="91">CL36</f>
        <v>0</v>
      </c>
      <c r="CR36" s="4161">
        <f t="shared" ref="CR36" si="92">CP36-CQ36</f>
        <v>0</v>
      </c>
      <c r="CT36" s="3443"/>
    </row>
    <row r="37" spans="1:98" s="1396" customFormat="1" ht="14.4" outlineLevel="1" thickBot="1">
      <c r="A37" s="1398"/>
      <c r="B37" s="4101"/>
      <c r="C37" s="3341"/>
      <c r="D37" s="3341"/>
      <c r="E37" s="4102"/>
      <c r="F37" s="4102"/>
      <c r="G37" s="4103"/>
      <c r="H37" s="3341"/>
      <c r="I37" s="3341"/>
      <c r="J37" s="4102"/>
      <c r="K37" s="4102"/>
      <c r="L37" s="4103"/>
      <c r="M37" s="3341"/>
      <c r="N37" s="3341"/>
      <c r="O37" s="4102"/>
      <c r="P37" s="4102"/>
      <c r="Q37" s="4103"/>
      <c r="R37" s="3456"/>
      <c r="S37" s="3456"/>
      <c r="T37" s="3456"/>
      <c r="U37" s="3456"/>
      <c r="V37" s="3456"/>
      <c r="W37" s="3342">
        <f t="shared" ref="W37:X37" si="93">AB37+AG37+AL37+AV37+BA37+BF37+BK37+BP37+BU37+BZ37+CE37</f>
        <v>0</v>
      </c>
      <c r="X37" s="3342">
        <f t="shared" si="93"/>
        <v>0</v>
      </c>
      <c r="Y37" s="3456"/>
      <c r="Z37" s="3456"/>
      <c r="AA37" s="3456"/>
      <c r="AB37" s="3341"/>
      <c r="AC37" s="3341"/>
      <c r="AD37" s="4102"/>
      <c r="AE37" s="4102"/>
      <c r="AF37" s="4103"/>
      <c r="AG37" s="3341"/>
      <c r="AH37" s="3341"/>
      <c r="AI37" s="4102"/>
      <c r="AJ37" s="4102"/>
      <c r="AK37" s="4103"/>
      <c r="AL37" s="3341"/>
      <c r="AM37" s="3341"/>
      <c r="AN37" s="4102"/>
      <c r="AO37" s="4102"/>
      <c r="AP37" s="4103"/>
      <c r="AQ37" s="3341"/>
      <c r="AR37" s="3341"/>
      <c r="AS37" s="4102"/>
      <c r="AT37" s="4102"/>
      <c r="AU37" s="4103"/>
      <c r="AV37" s="3341"/>
      <c r="AW37" s="3341"/>
      <c r="AX37" s="4102"/>
      <c r="AY37" s="4102"/>
      <c r="AZ37" s="4103"/>
      <c r="BA37" s="3341"/>
      <c r="BB37" s="3341"/>
      <c r="BC37" s="4102"/>
      <c r="BD37" s="4102"/>
      <c r="BE37" s="4103"/>
      <c r="BF37" s="3341"/>
      <c r="BG37" s="3341"/>
      <c r="BH37" s="4102"/>
      <c r="BI37" s="4102"/>
      <c r="BJ37" s="4103"/>
      <c r="BK37" s="3341"/>
      <c r="BL37" s="3341"/>
      <c r="BM37" s="4102"/>
      <c r="BN37" s="4102"/>
      <c r="BO37" s="4103"/>
      <c r="BP37" s="3341"/>
      <c r="BQ37" s="3341"/>
      <c r="BR37" s="4102"/>
      <c r="BS37" s="4102"/>
      <c r="BT37" s="4103"/>
      <c r="BU37" s="3341"/>
      <c r="BV37" s="3341"/>
      <c r="BW37" s="4102"/>
      <c r="BX37" s="4102"/>
      <c r="BY37" s="4103"/>
      <c r="BZ37" s="3341"/>
      <c r="CA37" s="3341"/>
      <c r="CB37" s="4102"/>
      <c r="CC37" s="4102"/>
      <c r="CD37" s="4103"/>
      <c r="CE37" s="3341"/>
      <c r="CF37" s="3341"/>
      <c r="CG37" s="4102"/>
      <c r="CH37" s="4102"/>
      <c r="CI37" s="4103"/>
      <c r="CJ37" s="3341"/>
      <c r="CK37" s="3341"/>
      <c r="CL37" s="4102"/>
      <c r="CM37" s="4102"/>
      <c r="CN37" s="4102"/>
      <c r="CP37" s="4104"/>
      <c r="CQ37" s="4104"/>
      <c r="CR37" s="4105"/>
      <c r="CT37" s="2624"/>
    </row>
    <row r="38" spans="1:98"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0</v>
      </c>
      <c r="O38" s="3749">
        <f>(O5)-(O8)</f>
        <v>0</v>
      </c>
      <c r="P38" s="3749"/>
      <c r="Q38" s="3750"/>
      <c r="R38" s="3749">
        <f>(R5)-(R8)</f>
        <v>0</v>
      </c>
      <c r="S38" s="3749">
        <f>(S5)-(S8)</f>
        <v>0</v>
      </c>
      <c r="T38" s="3749">
        <f>(T5)-(T8)</f>
        <v>0</v>
      </c>
      <c r="U38" s="3750"/>
      <c r="V38" s="3750"/>
      <c r="W38" s="3749">
        <f>(W5)-(W8)</f>
        <v>0</v>
      </c>
      <c r="X38" s="3749">
        <f>(X5)-(X8)</f>
        <v>0</v>
      </c>
      <c r="Y38" s="3749">
        <f>(Y5)-(Y8)</f>
        <v>0</v>
      </c>
      <c r="Z38" s="3750"/>
      <c r="AA38" s="3750"/>
      <c r="AB38" s="3749">
        <f>(AB5)-(AB8)</f>
        <v>0</v>
      </c>
      <c r="AC38" s="3749">
        <f>(AC5)-(AC8)</f>
        <v>0</v>
      </c>
      <c r="AD38" s="3749">
        <f>(AD5)-(AD8)</f>
        <v>0</v>
      </c>
      <c r="AE38" s="3749"/>
      <c r="AF38" s="3750"/>
      <c r="AG38" s="3749">
        <f>(AG5)-(AG8)</f>
        <v>0</v>
      </c>
      <c r="AH38" s="3749">
        <f>(AH5)-(AH8)</f>
        <v>0</v>
      </c>
      <c r="AI38" s="3749">
        <f>(AI5)-(AI8)</f>
        <v>0</v>
      </c>
      <c r="AJ38" s="3749"/>
      <c r="AK38" s="3750"/>
      <c r="AL38" s="3749">
        <f>(AL5)-(AL8)</f>
        <v>0</v>
      </c>
      <c r="AM38" s="3749">
        <f>(AM5)-(AM8)</f>
        <v>0</v>
      </c>
      <c r="AN38" s="3749">
        <f>(AN5)-(AN8)</f>
        <v>0</v>
      </c>
      <c r="AO38" s="3749"/>
      <c r="AP38" s="3750"/>
      <c r="AQ38" s="3749">
        <f>(AQ5)-(AQ8)</f>
        <v>0</v>
      </c>
      <c r="AR38" s="3749">
        <f>(AR5)-(AR8)</f>
        <v>0</v>
      </c>
      <c r="AS38" s="3749">
        <f>(AS5)-(AS8)</f>
        <v>0</v>
      </c>
      <c r="AT38" s="3749"/>
      <c r="AU38" s="3750"/>
      <c r="AV38" s="3749">
        <f>(AV5)-(AV8)</f>
        <v>0</v>
      </c>
      <c r="AW38" s="3749">
        <f>(AW5)-(AW8)</f>
        <v>0</v>
      </c>
      <c r="AX38" s="3749">
        <f>(AX5)-(AX8)</f>
        <v>0</v>
      </c>
      <c r="AY38" s="3749"/>
      <c r="AZ38" s="3750"/>
      <c r="BA38" s="3749">
        <f>(BA5)-(BA8)</f>
        <v>0</v>
      </c>
      <c r="BB38" s="3749">
        <f>(BB5)-(BB8)</f>
        <v>0</v>
      </c>
      <c r="BC38" s="3749">
        <f>(BC5)-(BC8)</f>
        <v>0</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0</v>
      </c>
      <c r="CK38" s="3751">
        <f>(CK5)-(CK8)</f>
        <v>0</v>
      </c>
      <c r="CL38" s="3751">
        <f>(CL5)-(CL8)</f>
        <v>0</v>
      </c>
      <c r="CM38" s="3749"/>
      <c r="CN38" s="3749"/>
      <c r="CP38" s="3749">
        <f>(CP5)-(CP8)</f>
        <v>0</v>
      </c>
      <c r="CQ38" s="3760">
        <f>(CQ5)-(CQ8)</f>
        <v>0</v>
      </c>
      <c r="CR38" s="3749">
        <f>(CR5)-(CR8)</f>
        <v>0</v>
      </c>
      <c r="CT38" s="3761"/>
    </row>
    <row r="39" spans="1:98"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2003">
        <f>IFERROR(AB38/(AB5),0)</f>
        <v>0</v>
      </c>
      <c r="AC39" s="2003">
        <f>IFERROR(AC38/(AC5),0)</f>
        <v>0</v>
      </c>
      <c r="AD39" s="2004">
        <f>IFERROR(AD38/(AD5),0)</f>
        <v>0</v>
      </c>
      <c r="AE39" s="2004"/>
      <c r="AF39" s="1056"/>
      <c r="AG39" s="2003">
        <f>IFERROR(AG38/(AG5),0)</f>
        <v>0</v>
      </c>
      <c r="AH39" s="2003">
        <f>IFERROR(AH38/(AH5),0)</f>
        <v>0</v>
      </c>
      <c r="AI39" s="2004">
        <f>IFERROR(AI38/(AI5),0)</f>
        <v>0</v>
      </c>
      <c r="AJ39" s="2004"/>
      <c r="AK39" s="1056"/>
      <c r="AL39" s="2003">
        <f>IFERROR(AL38/(AL5),0)</f>
        <v>0</v>
      </c>
      <c r="AM39" s="2003">
        <f>IFERROR(AM38/(AM5),0)</f>
        <v>0</v>
      </c>
      <c r="AN39" s="2004">
        <f>IFERROR(AN38/(AN5),0)</f>
        <v>0</v>
      </c>
      <c r="AO39" s="2004"/>
      <c r="AP39" s="1056"/>
      <c r="AQ39" s="2003">
        <f>IFERROR(AQ38/(AQ5),0)</f>
        <v>0</v>
      </c>
      <c r="AR39" s="2003">
        <f>IFERROR(AR38/(AR5),0)</f>
        <v>0</v>
      </c>
      <c r="AS39" s="2004">
        <f>IFERROR(AS38/(AS5),0)</f>
        <v>0</v>
      </c>
      <c r="AT39" s="2004"/>
      <c r="AU39" s="1056"/>
      <c r="AV39" s="2003">
        <f>IFERROR(AV38/(AV5),0)</f>
        <v>0</v>
      </c>
      <c r="AW39" s="2003">
        <f>IFERROR(AW38/(AW5),0)</f>
        <v>0</v>
      </c>
      <c r="AX39" s="2004">
        <f>IFERROR(AX38/(AX5),0)</f>
        <v>0</v>
      </c>
      <c r="AY39" s="2004"/>
      <c r="AZ39" s="1056"/>
      <c r="BA39" s="2003">
        <f>IFERROR(BA38/(BA5),0)</f>
        <v>0</v>
      </c>
      <c r="BB39" s="2003">
        <f>IFERROR(BB38/(BB5),0)</f>
        <v>0</v>
      </c>
      <c r="BC39" s="2004">
        <f>IFERROR(BC38/(BC5),0)</f>
        <v>0</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v>
      </c>
      <c r="CK39" s="2003">
        <f>IFERROR(CK38/(CK5),0)</f>
        <v>0</v>
      </c>
      <c r="CL39" s="2004">
        <f>IFERROR(CL38/(CL5),0)</f>
        <v>0</v>
      </c>
      <c r="CM39" s="2004"/>
      <c r="CN39" s="2004"/>
      <c r="CP39" s="2004" t="e">
        <f>CP38/(CP5)</f>
        <v>#DIV/0!</v>
      </c>
      <c r="CQ39" s="2004">
        <f>IFERROR(CQ38/(CQ5),0)</f>
        <v>0</v>
      </c>
      <c r="CR39" s="2004" t="e">
        <f>CR38/(CR5)</f>
        <v>#DIV/0!</v>
      </c>
    </row>
    <row r="40" spans="1:98" ht="14.4" outlineLevel="1" thickBot="1">
      <c r="A40" s="1567"/>
      <c r="B40" s="4106"/>
      <c r="C40" s="4107"/>
      <c r="D40" s="4107"/>
      <c r="E40" s="4107"/>
      <c r="F40" s="4107"/>
      <c r="G40" s="4108"/>
      <c r="H40" s="4107"/>
      <c r="I40" s="4107"/>
      <c r="J40" s="4107"/>
      <c r="K40" s="4107"/>
      <c r="L40" s="4108"/>
      <c r="M40" s="4107"/>
      <c r="N40" s="4107"/>
      <c r="O40" s="4107"/>
      <c r="P40" s="4107"/>
      <c r="Q40" s="4108"/>
      <c r="R40" s="4108"/>
      <c r="S40" s="4108"/>
      <c r="T40" s="4108"/>
      <c r="U40" s="4108"/>
      <c r="V40" s="4108"/>
      <c r="W40" s="4108"/>
      <c r="X40" s="4108"/>
      <c r="Y40" s="4108"/>
      <c r="Z40" s="4108"/>
      <c r="AA40" s="4108"/>
      <c r="AB40" s="4107"/>
      <c r="AC40" s="4107"/>
      <c r="AD40" s="4107"/>
      <c r="AE40" s="4107"/>
      <c r="AF40" s="4108"/>
      <c r="AG40" s="4107"/>
      <c r="AH40" s="4107"/>
      <c r="AI40" s="4107"/>
      <c r="AJ40" s="4107"/>
      <c r="AK40" s="4108"/>
      <c r="AL40" s="4107"/>
      <c r="AM40" s="4107"/>
      <c r="AN40" s="4107"/>
      <c r="AO40" s="4107"/>
      <c r="AP40" s="4108"/>
      <c r="AQ40" s="4107"/>
      <c r="AR40" s="4107"/>
      <c r="AS40" s="4107"/>
      <c r="AT40" s="4107"/>
      <c r="AU40" s="4108"/>
      <c r="AV40" s="4107"/>
      <c r="AW40" s="4107"/>
      <c r="AX40" s="4107"/>
      <c r="AY40" s="4107"/>
      <c r="AZ40" s="4108"/>
      <c r="BA40" s="4107"/>
      <c r="BB40" s="4107"/>
      <c r="BC40" s="4107"/>
      <c r="BD40" s="4107"/>
      <c r="BE40" s="4108"/>
      <c r="BF40" s="4107"/>
      <c r="BG40" s="4107"/>
      <c r="BH40" s="4107"/>
      <c r="BI40" s="4107"/>
      <c r="BJ40" s="4108"/>
      <c r="BK40" s="4107"/>
      <c r="BL40" s="4107"/>
      <c r="BM40" s="4107"/>
      <c r="BN40" s="4107"/>
      <c r="BO40" s="4108"/>
      <c r="BP40" s="4107"/>
      <c r="BQ40" s="4107"/>
      <c r="BR40" s="4107"/>
      <c r="BS40" s="4107"/>
      <c r="BT40" s="4108"/>
      <c r="BU40" s="4107"/>
      <c r="BV40" s="4107"/>
      <c r="BW40" s="4107"/>
      <c r="BX40" s="4107"/>
      <c r="BY40" s="4108"/>
      <c r="BZ40" s="4107"/>
      <c r="CA40" s="4107"/>
      <c r="CB40" s="4107"/>
      <c r="CC40" s="4107"/>
      <c r="CD40" s="4108"/>
      <c r="CE40" s="4107"/>
      <c r="CF40" s="4107"/>
      <c r="CG40" s="4107"/>
      <c r="CH40" s="4107"/>
      <c r="CI40" s="4108"/>
      <c r="CJ40" s="4107"/>
      <c r="CK40" s="4107"/>
      <c r="CL40" s="4107"/>
      <c r="CM40" s="4107"/>
      <c r="CN40" s="4107"/>
      <c r="CP40" s="4109"/>
      <c r="CQ40" s="4109"/>
      <c r="CR40" s="4109"/>
    </row>
    <row r="41" spans="1:98" ht="13.8" outlineLevel="1">
      <c r="A41" s="1405"/>
      <c r="B41" s="1415" t="s">
        <v>26</v>
      </c>
      <c r="C41" s="2013">
        <f>SUM(C42:C48)</f>
        <v>0</v>
      </c>
      <c r="D41" s="2013">
        <f>SUM(D42:D48)</f>
        <v>0</v>
      </c>
      <c r="E41" s="2014">
        <f>SUM(E42:E48)</f>
        <v>0</v>
      </c>
      <c r="F41" s="4110" t="e">
        <f>E41/$E$89</f>
        <v>#DIV/0!</v>
      </c>
      <c r="G41" s="1057"/>
      <c r="H41" s="2013">
        <f>SUM(H42:H48)</f>
        <v>0</v>
      </c>
      <c r="I41" s="2013">
        <f>SUM(I42:I48)</f>
        <v>0</v>
      </c>
      <c r="J41" s="2014">
        <f>SUM(J42:J48)</f>
        <v>0</v>
      </c>
      <c r="K41" s="4110" t="e">
        <f>J41/$E$89</f>
        <v>#DIV/0!</v>
      </c>
      <c r="L41" s="1057"/>
      <c r="M41" s="2013">
        <f>SUM(M42:M48)</f>
        <v>0</v>
      </c>
      <c r="N41" s="2013">
        <f>SUM(N42:N48)</f>
        <v>0</v>
      </c>
      <c r="O41" s="2014">
        <f>SUM(O42:O48)</f>
        <v>0</v>
      </c>
      <c r="P41" s="4110" t="e">
        <f>O41/$E$89</f>
        <v>#DIV/0!</v>
      </c>
      <c r="Q41" s="1057"/>
      <c r="R41" s="2013">
        <f>SUM(R42:R48)</f>
        <v>0</v>
      </c>
      <c r="S41" s="2013">
        <f>SUM(S42:S48)</f>
        <v>0</v>
      </c>
      <c r="T41" s="2014">
        <f>SUM(T42:T48)</f>
        <v>0</v>
      </c>
      <c r="U41" s="4110"/>
      <c r="V41" s="3460"/>
      <c r="W41" s="2013">
        <f>SUM(W42:W48)</f>
        <v>0</v>
      </c>
      <c r="X41" s="2013">
        <f>SUM(X42:X48)</f>
        <v>0</v>
      </c>
      <c r="Y41" s="2014">
        <f>SUM(Y42:Y48)</f>
        <v>0</v>
      </c>
      <c r="Z41" s="4110"/>
      <c r="AA41" s="3460"/>
      <c r="AB41" s="2013">
        <f>SUM(AB42:AB48)</f>
        <v>0</v>
      </c>
      <c r="AC41" s="2013">
        <f>SUM(AC42:AC48)</f>
        <v>0</v>
      </c>
      <c r="AD41" s="2014">
        <f>SUM(AD42:AD48)</f>
        <v>0</v>
      </c>
      <c r="AE41" s="4110"/>
      <c r="AF41" s="1057"/>
      <c r="AG41" s="2013">
        <f>SUM(AG42:AG48)</f>
        <v>0</v>
      </c>
      <c r="AH41" s="2013">
        <f>SUM(AH42:AH48)</f>
        <v>0</v>
      </c>
      <c r="AI41" s="2014">
        <f>SUM(AI42:AI48)</f>
        <v>0</v>
      </c>
      <c r="AJ41" s="4110"/>
      <c r="AK41" s="1057"/>
      <c r="AL41" s="2013">
        <f>SUM(AL42:AL48)</f>
        <v>0</v>
      </c>
      <c r="AM41" s="2013">
        <f>SUM(AM42:AM48)</f>
        <v>0</v>
      </c>
      <c r="AN41" s="2014">
        <f>SUM(AN42:AN48)</f>
        <v>0</v>
      </c>
      <c r="AO41" s="4110"/>
      <c r="AP41" s="1057"/>
      <c r="AQ41" s="2013">
        <f>SUM(AQ42:AQ48)</f>
        <v>0</v>
      </c>
      <c r="AR41" s="2013">
        <f>SUM(AR42:AR48)</f>
        <v>0</v>
      </c>
      <c r="AS41" s="2014">
        <f>SUM(AS42:AS48)</f>
        <v>0</v>
      </c>
      <c r="AT41" s="4110"/>
      <c r="AU41" s="1057"/>
      <c r="AV41" s="2013">
        <f>SUM(AV42:AV48)</f>
        <v>0</v>
      </c>
      <c r="AW41" s="2013">
        <f>SUM(AW42:AW48)</f>
        <v>0</v>
      </c>
      <c r="AX41" s="2014">
        <f>SUM(AX42:AX48)</f>
        <v>0</v>
      </c>
      <c r="AY41" s="4110"/>
      <c r="AZ41" s="1057"/>
      <c r="BA41" s="2013">
        <f>SUM(BA42:BA48)</f>
        <v>0</v>
      </c>
      <c r="BB41" s="2013">
        <f>SUM(BB42:BB48)</f>
        <v>0</v>
      </c>
      <c r="BC41" s="2014">
        <f>SUM(BC42:BC48)</f>
        <v>0</v>
      </c>
      <c r="BD41" s="4110"/>
      <c r="BE41" s="1057"/>
      <c r="BF41" s="2013">
        <f>SUM(BF42:BF48)</f>
        <v>0</v>
      </c>
      <c r="BG41" s="2013">
        <f>SUM(BG42:BG48)</f>
        <v>0</v>
      </c>
      <c r="BH41" s="2014">
        <f>SUM(BH42:BH48)</f>
        <v>0</v>
      </c>
      <c r="BI41" s="4110"/>
      <c r="BJ41" s="1057"/>
      <c r="BK41" s="2013">
        <f>SUM(BK42:BK48)</f>
        <v>0</v>
      </c>
      <c r="BL41" s="2013">
        <f>SUM(BL42:BL48)</f>
        <v>0</v>
      </c>
      <c r="BM41" s="2014">
        <f>SUM(BM42:BM48)</f>
        <v>0</v>
      </c>
      <c r="BN41" s="4110"/>
      <c r="BO41" s="1057"/>
      <c r="BP41" s="2013">
        <f>SUM(BP42:BP48)</f>
        <v>0</v>
      </c>
      <c r="BQ41" s="2013">
        <f>SUM(BQ42:BQ48)</f>
        <v>0</v>
      </c>
      <c r="BR41" s="2014">
        <f>SUM(BR42:BR48)</f>
        <v>0</v>
      </c>
      <c r="BS41" s="4110"/>
      <c r="BT41" s="1057"/>
      <c r="BU41" s="2013">
        <f>SUM(BU42:BU48)</f>
        <v>0</v>
      </c>
      <c r="BV41" s="2013">
        <f>SUM(BV42:BV48)</f>
        <v>0</v>
      </c>
      <c r="BW41" s="2014">
        <f>SUM(BW42:BW48)</f>
        <v>0</v>
      </c>
      <c r="BX41" s="4110"/>
      <c r="BY41" s="1057"/>
      <c r="BZ41" s="2013">
        <f>SUM(BZ42:BZ48)</f>
        <v>0</v>
      </c>
      <c r="CA41" s="2013">
        <f>SUM(CA42:CA48)</f>
        <v>0</v>
      </c>
      <c r="CB41" s="2014">
        <f>SUM(CB42:CB48)</f>
        <v>0</v>
      </c>
      <c r="CC41" s="4110"/>
      <c r="CD41" s="1057"/>
      <c r="CE41" s="2013">
        <f>SUM(CE42:CE48)</f>
        <v>0</v>
      </c>
      <c r="CF41" s="2013">
        <f>SUM(CF42:CF48)</f>
        <v>0</v>
      </c>
      <c r="CG41" s="2014">
        <f>SUM(CG42:CG48)</f>
        <v>0</v>
      </c>
      <c r="CH41" s="4110"/>
      <c r="CI41" s="1057"/>
      <c r="CJ41" s="2013">
        <f>SUM(CJ42:CJ48)</f>
        <v>0</v>
      </c>
      <c r="CK41" s="2013">
        <f>SUM(CK42:CK48)</f>
        <v>0</v>
      </c>
      <c r="CL41" s="2014">
        <f>SUM(CL42:CL48)</f>
        <v>0</v>
      </c>
      <c r="CM41" s="4110" t="e">
        <f t="shared" ref="CM41:CM49" si="94">CL41/$CL$89</f>
        <v>#DIV/0!</v>
      </c>
      <c r="CN41" s="2006"/>
      <c r="CP41" s="2014">
        <f>SUM(CP42:CP48)</f>
        <v>0</v>
      </c>
      <c r="CQ41" s="2014">
        <f>SUM(CQ42:CQ48)</f>
        <v>0</v>
      </c>
      <c r="CR41" s="2014"/>
    </row>
    <row r="42" spans="1:98" ht="13.8" outlineLevel="2">
      <c r="A42" s="4833"/>
      <c r="B42" s="4111" t="s">
        <v>7</v>
      </c>
      <c r="C42" s="3341"/>
      <c r="D42" s="3341"/>
      <c r="E42" s="3349">
        <f t="shared" ref="E42:E48" si="95">C42+D42</f>
        <v>0</v>
      </c>
      <c r="F42" s="4074" t="e">
        <f t="shared" ref="F42:F48" si="96">E42/$E$89</f>
        <v>#DIV/0!</v>
      </c>
      <c r="G42" s="4112"/>
      <c r="H42" s="3341"/>
      <c r="I42" s="3341"/>
      <c r="J42" s="3349">
        <f t="shared" ref="J42:J48" si="97">H42+I42</f>
        <v>0</v>
      </c>
      <c r="K42" s="4074" t="e">
        <f t="shared" ref="K42:K48" si="98">J42/J$89</f>
        <v>#DIV/0!</v>
      </c>
      <c r="L42" s="4112"/>
      <c r="M42" s="3341"/>
      <c r="N42" s="3341"/>
      <c r="O42" s="3349">
        <f t="shared" ref="O42:O48" si="99">M42+N42</f>
        <v>0</v>
      </c>
      <c r="P42" s="4074" t="e">
        <f t="shared" ref="P42:P48" si="100">O42/O$89</f>
        <v>#DIV/0!</v>
      </c>
      <c r="Q42" s="4112"/>
      <c r="R42" s="3342">
        <f t="shared" ref="R42:S48" si="101">M42+H42+C42</f>
        <v>0</v>
      </c>
      <c r="S42" s="3342">
        <f t="shared" si="101"/>
        <v>0</v>
      </c>
      <c r="T42" s="2012">
        <f t="shared" ref="T42:T48" si="102">R42+S42</f>
        <v>0</v>
      </c>
      <c r="U42" s="3462"/>
      <c r="V42" s="3462"/>
      <c r="W42" s="3342">
        <f t="shared" ref="W42:X48" si="103">AB42+AG42+AL42+AV42+BA42+BF42+BK42+BP42+BU42+BZ42+CE42+AQ42</f>
        <v>0</v>
      </c>
      <c r="X42" s="3342">
        <f t="shared" si="103"/>
        <v>0</v>
      </c>
      <c r="Y42" s="2012">
        <f t="shared" ref="Y42:Y48" si="104">W42+X42</f>
        <v>0</v>
      </c>
      <c r="Z42" s="3462"/>
      <c r="AA42" s="3462"/>
      <c r="AB42" s="3341"/>
      <c r="AC42" s="3341"/>
      <c r="AD42" s="3349">
        <f t="shared" ref="AD42:AD48" si="105">AB42+AC42</f>
        <v>0</v>
      </c>
      <c r="AE42" s="4074" t="e">
        <f t="shared" ref="AE42:AE49" si="106">AD42/AD$89</f>
        <v>#DIV/0!</v>
      </c>
      <c r="AF42" s="4112"/>
      <c r="AG42" s="3341"/>
      <c r="AH42" s="3341"/>
      <c r="AI42" s="3349">
        <f t="shared" ref="AI42:AI48" si="107">AG42+AH42</f>
        <v>0</v>
      </c>
      <c r="AJ42" s="4074" t="e">
        <f t="shared" ref="AJ42:AJ49" si="108">AI42/AI$89</f>
        <v>#DIV/0!</v>
      </c>
      <c r="AK42" s="4112"/>
      <c r="AL42" s="3341"/>
      <c r="AM42" s="3341"/>
      <c r="AN42" s="3349">
        <f t="shared" ref="AN42:AN48" si="109">AL42+AM42</f>
        <v>0</v>
      </c>
      <c r="AO42" s="4074" t="e">
        <f t="shared" ref="AO42:AO49" si="110">AN42/AN$89</f>
        <v>#DIV/0!</v>
      </c>
      <c r="AP42" s="4112"/>
      <c r="AQ42" s="3341"/>
      <c r="AR42" s="3341"/>
      <c r="AS42" s="3349">
        <f t="shared" ref="AS42:AS48" si="111">AQ42+AR42</f>
        <v>0</v>
      </c>
      <c r="AT42" s="4074" t="e">
        <f t="shared" ref="AT42:AT49" si="112">AS42/AS$89</f>
        <v>#DIV/0!</v>
      </c>
      <c r="AU42" s="4112"/>
      <c r="AV42" s="3341"/>
      <c r="AW42" s="3341"/>
      <c r="AX42" s="3349">
        <f t="shared" ref="AX42:AX48" si="113">AV42+AW42</f>
        <v>0</v>
      </c>
      <c r="AY42" s="4074" t="e">
        <f t="shared" ref="AY42:AY49" si="114">AX42/AX$89</f>
        <v>#DIV/0!</v>
      </c>
      <c r="AZ42" s="4112"/>
      <c r="BA42" s="3341"/>
      <c r="BB42" s="3341"/>
      <c r="BC42" s="3349">
        <f t="shared" ref="BC42:BC48" si="115">BA42+BB42</f>
        <v>0</v>
      </c>
      <c r="BD42" s="4074" t="e">
        <f t="shared" ref="BD42:BD49" si="116">BC42/BC$89</f>
        <v>#DIV/0!</v>
      </c>
      <c r="BE42" s="4112"/>
      <c r="BF42" s="3341"/>
      <c r="BG42" s="3341"/>
      <c r="BH42" s="3349">
        <f t="shared" ref="BH42:BH48" si="117">BF42+BG42</f>
        <v>0</v>
      </c>
      <c r="BI42" s="4074" t="e">
        <f t="shared" ref="BI42:BI49" si="118">BH42/BH$89</f>
        <v>#DIV/0!</v>
      </c>
      <c r="BJ42" s="4112"/>
      <c r="BK42" s="3341"/>
      <c r="BL42" s="3341"/>
      <c r="BM42" s="3349">
        <f t="shared" ref="BM42:BM48" si="119">BK42+BL42</f>
        <v>0</v>
      </c>
      <c r="BN42" s="4074" t="e">
        <f t="shared" ref="BN42:BN49" si="120">BM42/BM$89</f>
        <v>#DIV/0!</v>
      </c>
      <c r="BO42" s="4112"/>
      <c r="BP42" s="3341"/>
      <c r="BQ42" s="3341"/>
      <c r="BR42" s="3349">
        <f t="shared" ref="BR42:BR48" si="121">BP42+BQ42</f>
        <v>0</v>
      </c>
      <c r="BS42" s="4074" t="e">
        <f t="shared" ref="BS42:BS49" si="122">BR42/BR$89</f>
        <v>#DIV/0!</v>
      </c>
      <c r="BT42" s="4112"/>
      <c r="BU42" s="3341"/>
      <c r="BV42" s="3341"/>
      <c r="BW42" s="3349">
        <f t="shared" ref="BW42:BW48" si="123">BU42+BV42</f>
        <v>0</v>
      </c>
      <c r="BX42" s="4074" t="e">
        <f t="shared" ref="BX42:BX49" si="124">BW42/BW$89</f>
        <v>#DIV/0!</v>
      </c>
      <c r="BY42" s="4112"/>
      <c r="BZ42" s="3341"/>
      <c r="CA42" s="3341"/>
      <c r="CB42" s="3349">
        <f t="shared" ref="CB42:CB48" si="125">BZ42+CA42</f>
        <v>0</v>
      </c>
      <c r="CC42" s="4074" t="e">
        <f t="shared" ref="CC42:CC49" si="126">CB42/CB$89</f>
        <v>#DIV/0!</v>
      </c>
      <c r="CD42" s="4112"/>
      <c r="CE42" s="3341"/>
      <c r="CF42" s="3341"/>
      <c r="CG42" s="3349">
        <f t="shared" ref="CG42:CG48" si="127">CE42+CF42</f>
        <v>0</v>
      </c>
      <c r="CH42" s="4074" t="e">
        <f t="shared" ref="CH42:CH49" si="128">CG42/CG$89</f>
        <v>#DIV/0!</v>
      </c>
      <c r="CI42" s="4112"/>
      <c r="CJ42" s="3341">
        <f t="shared" ref="CJ42:CK48" si="129">C42+H42+M42+W42</f>
        <v>0</v>
      </c>
      <c r="CK42" s="3341">
        <f t="shared" si="129"/>
        <v>0</v>
      </c>
      <c r="CL42" s="2012">
        <f t="shared" ref="CL42:CL48" si="130">CJ42+CK42*1</f>
        <v>0</v>
      </c>
      <c r="CM42" s="4074" t="e">
        <f t="shared" si="94"/>
        <v>#DIV/0!</v>
      </c>
      <c r="CN42" s="4076"/>
      <c r="CP42" s="2012">
        <f t="shared" ref="CP42:CQ48" si="131">CN42+CO42*1</f>
        <v>0</v>
      </c>
      <c r="CQ42" s="2012">
        <f t="shared" si="131"/>
        <v>0</v>
      </c>
      <c r="CR42" s="4161"/>
    </row>
    <row r="43" spans="1:98" ht="13.8" outlineLevel="2">
      <c r="A43" s="4833"/>
      <c r="B43" s="4111" t="s">
        <v>27</v>
      </c>
      <c r="C43" s="3341"/>
      <c r="D43" s="3341"/>
      <c r="E43" s="3349">
        <f t="shared" si="95"/>
        <v>0</v>
      </c>
      <c r="F43" s="4074" t="e">
        <f t="shared" si="96"/>
        <v>#DIV/0!</v>
      </c>
      <c r="G43" s="4112"/>
      <c r="H43" s="3341"/>
      <c r="I43" s="3341"/>
      <c r="J43" s="3349">
        <f t="shared" si="97"/>
        <v>0</v>
      </c>
      <c r="K43" s="4074" t="e">
        <f t="shared" si="98"/>
        <v>#DIV/0!</v>
      </c>
      <c r="L43" s="4112"/>
      <c r="M43" s="3341"/>
      <c r="N43" s="3341"/>
      <c r="O43" s="3349">
        <f t="shared" si="99"/>
        <v>0</v>
      </c>
      <c r="P43" s="4074" t="e">
        <f t="shared" si="100"/>
        <v>#DIV/0!</v>
      </c>
      <c r="Q43" s="4112"/>
      <c r="R43" s="3342">
        <f t="shared" si="101"/>
        <v>0</v>
      </c>
      <c r="S43" s="3342">
        <f t="shared" si="101"/>
        <v>0</v>
      </c>
      <c r="T43" s="2012">
        <f t="shared" si="102"/>
        <v>0</v>
      </c>
      <c r="U43" s="3462"/>
      <c r="V43" s="3462"/>
      <c r="W43" s="3342">
        <f t="shared" si="103"/>
        <v>0</v>
      </c>
      <c r="X43" s="3342">
        <f t="shared" si="103"/>
        <v>0</v>
      </c>
      <c r="Y43" s="2012">
        <f t="shared" si="104"/>
        <v>0</v>
      </c>
      <c r="Z43" s="3462"/>
      <c r="AA43" s="3462"/>
      <c r="AB43" s="3341"/>
      <c r="AC43" s="3341"/>
      <c r="AD43" s="3349">
        <f t="shared" si="105"/>
        <v>0</v>
      </c>
      <c r="AE43" s="4074" t="e">
        <f t="shared" si="106"/>
        <v>#DIV/0!</v>
      </c>
      <c r="AF43" s="4112"/>
      <c r="AG43" s="3341"/>
      <c r="AH43" s="3341"/>
      <c r="AI43" s="3349">
        <f t="shared" si="107"/>
        <v>0</v>
      </c>
      <c r="AJ43" s="4074" t="e">
        <f t="shared" si="108"/>
        <v>#DIV/0!</v>
      </c>
      <c r="AK43" s="4112"/>
      <c r="AL43" s="3341"/>
      <c r="AM43" s="3341"/>
      <c r="AN43" s="3349">
        <f t="shared" si="109"/>
        <v>0</v>
      </c>
      <c r="AO43" s="4074" t="e">
        <f t="shared" si="110"/>
        <v>#DIV/0!</v>
      </c>
      <c r="AP43" s="4112"/>
      <c r="AQ43" s="3341"/>
      <c r="AR43" s="3341"/>
      <c r="AS43" s="3349">
        <f t="shared" si="111"/>
        <v>0</v>
      </c>
      <c r="AT43" s="4074" t="e">
        <f t="shared" si="112"/>
        <v>#DIV/0!</v>
      </c>
      <c r="AU43" s="4112"/>
      <c r="AV43" s="3341"/>
      <c r="AW43" s="3341"/>
      <c r="AX43" s="3349">
        <f t="shared" si="113"/>
        <v>0</v>
      </c>
      <c r="AY43" s="4074" t="e">
        <f t="shared" si="114"/>
        <v>#DIV/0!</v>
      </c>
      <c r="AZ43" s="4112"/>
      <c r="BA43" s="3341"/>
      <c r="BB43" s="3341"/>
      <c r="BC43" s="3349">
        <f t="shared" si="115"/>
        <v>0</v>
      </c>
      <c r="BD43" s="4074" t="e">
        <f t="shared" si="116"/>
        <v>#DIV/0!</v>
      </c>
      <c r="BE43" s="4112"/>
      <c r="BF43" s="3341"/>
      <c r="BG43" s="3341"/>
      <c r="BH43" s="3349">
        <f t="shared" si="117"/>
        <v>0</v>
      </c>
      <c r="BI43" s="4074" t="e">
        <f t="shared" si="118"/>
        <v>#DIV/0!</v>
      </c>
      <c r="BJ43" s="4112"/>
      <c r="BK43" s="3341"/>
      <c r="BL43" s="3341"/>
      <c r="BM43" s="3349">
        <f t="shared" si="119"/>
        <v>0</v>
      </c>
      <c r="BN43" s="4074" t="e">
        <f t="shared" si="120"/>
        <v>#DIV/0!</v>
      </c>
      <c r="BO43" s="4112"/>
      <c r="BP43" s="3341"/>
      <c r="BQ43" s="3341"/>
      <c r="BR43" s="3349">
        <f t="shared" si="121"/>
        <v>0</v>
      </c>
      <c r="BS43" s="4074" t="e">
        <f t="shared" si="122"/>
        <v>#DIV/0!</v>
      </c>
      <c r="BT43" s="4112"/>
      <c r="BU43" s="3341"/>
      <c r="BV43" s="3341"/>
      <c r="BW43" s="3349">
        <f t="shared" si="123"/>
        <v>0</v>
      </c>
      <c r="BX43" s="4074" t="e">
        <f t="shared" si="124"/>
        <v>#DIV/0!</v>
      </c>
      <c r="BY43" s="4112"/>
      <c r="BZ43" s="3341"/>
      <c r="CA43" s="3341"/>
      <c r="CB43" s="3349">
        <f t="shared" si="125"/>
        <v>0</v>
      </c>
      <c r="CC43" s="4074" t="e">
        <f t="shared" si="126"/>
        <v>#DIV/0!</v>
      </c>
      <c r="CD43" s="4112"/>
      <c r="CE43" s="3341"/>
      <c r="CF43" s="3341"/>
      <c r="CG43" s="3349">
        <f t="shared" si="127"/>
        <v>0</v>
      </c>
      <c r="CH43" s="4074" t="e">
        <f t="shared" si="128"/>
        <v>#DIV/0!</v>
      </c>
      <c r="CI43" s="4112"/>
      <c r="CJ43" s="3341">
        <f t="shared" si="129"/>
        <v>0</v>
      </c>
      <c r="CK43" s="3341">
        <f t="shared" si="129"/>
        <v>0</v>
      </c>
      <c r="CL43" s="2012">
        <f t="shared" si="130"/>
        <v>0</v>
      </c>
      <c r="CM43" s="4074" t="e">
        <f t="shared" si="94"/>
        <v>#DIV/0!</v>
      </c>
      <c r="CN43" s="4076"/>
      <c r="CP43" s="2012">
        <f t="shared" si="131"/>
        <v>0</v>
      </c>
      <c r="CQ43" s="2012">
        <f t="shared" si="131"/>
        <v>0</v>
      </c>
      <c r="CR43" s="4161"/>
    </row>
    <row r="44" spans="1:98" ht="13.8" outlineLevel="2">
      <c r="A44" s="4833"/>
      <c r="B44" s="4098" t="s">
        <v>28</v>
      </c>
      <c r="C44" s="3341"/>
      <c r="D44" s="3341"/>
      <c r="E44" s="3349">
        <f t="shared" si="95"/>
        <v>0</v>
      </c>
      <c r="F44" s="4074" t="e">
        <f t="shared" si="96"/>
        <v>#DIV/0!</v>
      </c>
      <c r="G44" s="4112"/>
      <c r="H44" s="3341"/>
      <c r="I44" s="3341"/>
      <c r="J44" s="3349">
        <f t="shared" si="97"/>
        <v>0</v>
      </c>
      <c r="K44" s="4074" t="e">
        <f t="shared" si="98"/>
        <v>#DIV/0!</v>
      </c>
      <c r="L44" s="4112"/>
      <c r="M44" s="3341"/>
      <c r="N44" s="3341"/>
      <c r="O44" s="3349">
        <f t="shared" si="99"/>
        <v>0</v>
      </c>
      <c r="P44" s="4074" t="e">
        <f t="shared" si="100"/>
        <v>#DIV/0!</v>
      </c>
      <c r="Q44" s="4112"/>
      <c r="R44" s="3342">
        <f t="shared" si="101"/>
        <v>0</v>
      </c>
      <c r="S44" s="3342">
        <f t="shared" si="101"/>
        <v>0</v>
      </c>
      <c r="T44" s="2012">
        <f t="shared" si="102"/>
        <v>0</v>
      </c>
      <c r="U44" s="3462"/>
      <c r="V44" s="3462"/>
      <c r="W44" s="3342">
        <f t="shared" si="103"/>
        <v>0</v>
      </c>
      <c r="X44" s="3342">
        <f t="shared" si="103"/>
        <v>0</v>
      </c>
      <c r="Y44" s="2012">
        <f t="shared" si="104"/>
        <v>0</v>
      </c>
      <c r="Z44" s="3462"/>
      <c r="AA44" s="3462"/>
      <c r="AB44" s="3341"/>
      <c r="AC44" s="3341"/>
      <c r="AD44" s="3349">
        <f t="shared" si="105"/>
        <v>0</v>
      </c>
      <c r="AE44" s="4074" t="e">
        <f t="shared" si="106"/>
        <v>#DIV/0!</v>
      </c>
      <c r="AF44" s="4112"/>
      <c r="AG44" s="3341"/>
      <c r="AH44" s="3341"/>
      <c r="AI44" s="3349">
        <f t="shared" si="107"/>
        <v>0</v>
      </c>
      <c r="AJ44" s="4074" t="e">
        <f t="shared" si="108"/>
        <v>#DIV/0!</v>
      </c>
      <c r="AK44" s="4112"/>
      <c r="AL44" s="3341"/>
      <c r="AM44" s="3341"/>
      <c r="AN44" s="3349">
        <f t="shared" si="109"/>
        <v>0</v>
      </c>
      <c r="AO44" s="4074" t="e">
        <f t="shared" si="110"/>
        <v>#DIV/0!</v>
      </c>
      <c r="AP44" s="4112"/>
      <c r="AQ44" s="3341"/>
      <c r="AR44" s="3341"/>
      <c r="AS44" s="3349">
        <f t="shared" si="111"/>
        <v>0</v>
      </c>
      <c r="AT44" s="4074" t="e">
        <f t="shared" si="112"/>
        <v>#DIV/0!</v>
      </c>
      <c r="AU44" s="4112"/>
      <c r="AV44" s="3341"/>
      <c r="AW44" s="3341"/>
      <c r="AX44" s="3349">
        <f t="shared" si="113"/>
        <v>0</v>
      </c>
      <c r="AY44" s="4074" t="e">
        <f t="shared" si="114"/>
        <v>#DIV/0!</v>
      </c>
      <c r="AZ44" s="4112"/>
      <c r="BA44" s="3341"/>
      <c r="BB44" s="3341"/>
      <c r="BC44" s="3349">
        <f t="shared" si="115"/>
        <v>0</v>
      </c>
      <c r="BD44" s="4074" t="e">
        <f t="shared" si="116"/>
        <v>#DIV/0!</v>
      </c>
      <c r="BE44" s="4112"/>
      <c r="BF44" s="3341"/>
      <c r="BG44" s="3341"/>
      <c r="BH44" s="3349">
        <f t="shared" si="117"/>
        <v>0</v>
      </c>
      <c r="BI44" s="4074" t="e">
        <f t="shared" si="118"/>
        <v>#DIV/0!</v>
      </c>
      <c r="BJ44" s="4112"/>
      <c r="BK44" s="3341"/>
      <c r="BL44" s="3341"/>
      <c r="BM44" s="3349">
        <f t="shared" si="119"/>
        <v>0</v>
      </c>
      <c r="BN44" s="4074" t="e">
        <f t="shared" si="120"/>
        <v>#DIV/0!</v>
      </c>
      <c r="BO44" s="4112"/>
      <c r="BP44" s="3341"/>
      <c r="BQ44" s="3341"/>
      <c r="BR44" s="3349">
        <f t="shared" si="121"/>
        <v>0</v>
      </c>
      <c r="BS44" s="4074" t="e">
        <f t="shared" si="122"/>
        <v>#DIV/0!</v>
      </c>
      <c r="BT44" s="4112"/>
      <c r="BU44" s="3341"/>
      <c r="BV44" s="3341"/>
      <c r="BW44" s="3349">
        <f t="shared" si="123"/>
        <v>0</v>
      </c>
      <c r="BX44" s="4074" t="e">
        <f t="shared" si="124"/>
        <v>#DIV/0!</v>
      </c>
      <c r="BY44" s="4112"/>
      <c r="BZ44" s="3341"/>
      <c r="CA44" s="3341"/>
      <c r="CB44" s="3349">
        <f t="shared" si="125"/>
        <v>0</v>
      </c>
      <c r="CC44" s="4074" t="e">
        <f t="shared" si="126"/>
        <v>#DIV/0!</v>
      </c>
      <c r="CD44" s="4112"/>
      <c r="CE44" s="3341"/>
      <c r="CF44" s="3341"/>
      <c r="CG44" s="3349">
        <f t="shared" si="127"/>
        <v>0</v>
      </c>
      <c r="CH44" s="4074" t="e">
        <f t="shared" si="128"/>
        <v>#DIV/0!</v>
      </c>
      <c r="CI44" s="4112"/>
      <c r="CJ44" s="3341">
        <f t="shared" si="129"/>
        <v>0</v>
      </c>
      <c r="CK44" s="3341">
        <f t="shared" si="129"/>
        <v>0</v>
      </c>
      <c r="CL44" s="2012">
        <f t="shared" si="130"/>
        <v>0</v>
      </c>
      <c r="CM44" s="4074" t="e">
        <f t="shared" si="94"/>
        <v>#DIV/0!</v>
      </c>
      <c r="CN44" s="4076"/>
      <c r="CP44" s="2012">
        <f t="shared" si="131"/>
        <v>0</v>
      </c>
      <c r="CQ44" s="2012">
        <f t="shared" si="131"/>
        <v>0</v>
      </c>
      <c r="CR44" s="4161"/>
    </row>
    <row r="45" spans="1:98" ht="13.8" outlineLevel="2">
      <c r="A45" s="4833"/>
      <c r="B45" s="4111" t="s">
        <v>8</v>
      </c>
      <c r="C45" s="3341"/>
      <c r="D45" s="3341"/>
      <c r="E45" s="3349">
        <f t="shared" si="95"/>
        <v>0</v>
      </c>
      <c r="F45" s="4074" t="e">
        <f t="shared" si="96"/>
        <v>#DIV/0!</v>
      </c>
      <c r="G45" s="4112"/>
      <c r="H45" s="3341"/>
      <c r="I45" s="3341"/>
      <c r="J45" s="3349">
        <f t="shared" si="97"/>
        <v>0</v>
      </c>
      <c r="K45" s="4074" t="e">
        <f t="shared" si="98"/>
        <v>#DIV/0!</v>
      </c>
      <c r="L45" s="4112"/>
      <c r="M45" s="3341"/>
      <c r="N45" s="3341"/>
      <c r="O45" s="3349">
        <f t="shared" si="99"/>
        <v>0</v>
      </c>
      <c r="P45" s="4074" t="e">
        <f t="shared" si="100"/>
        <v>#DIV/0!</v>
      </c>
      <c r="Q45" s="4112"/>
      <c r="R45" s="3342">
        <f t="shared" si="101"/>
        <v>0</v>
      </c>
      <c r="S45" s="3342">
        <f t="shared" si="101"/>
        <v>0</v>
      </c>
      <c r="T45" s="2012">
        <f t="shared" si="102"/>
        <v>0</v>
      </c>
      <c r="U45" s="3462"/>
      <c r="V45" s="3462"/>
      <c r="W45" s="3342">
        <f t="shared" si="103"/>
        <v>0</v>
      </c>
      <c r="X45" s="3342">
        <f t="shared" si="103"/>
        <v>0</v>
      </c>
      <c r="Y45" s="2012">
        <f t="shared" si="104"/>
        <v>0</v>
      </c>
      <c r="Z45" s="3462"/>
      <c r="AA45" s="3462"/>
      <c r="AB45" s="3341"/>
      <c r="AC45" s="3341"/>
      <c r="AD45" s="3349">
        <f t="shared" si="105"/>
        <v>0</v>
      </c>
      <c r="AE45" s="4074" t="e">
        <f t="shared" si="106"/>
        <v>#DIV/0!</v>
      </c>
      <c r="AF45" s="4112"/>
      <c r="AG45" s="3341"/>
      <c r="AH45" s="3341"/>
      <c r="AI45" s="3349">
        <f t="shared" si="107"/>
        <v>0</v>
      </c>
      <c r="AJ45" s="4074" t="e">
        <f t="shared" si="108"/>
        <v>#DIV/0!</v>
      </c>
      <c r="AK45" s="4112"/>
      <c r="AL45" s="3341"/>
      <c r="AM45" s="3341"/>
      <c r="AN45" s="3349">
        <f t="shared" si="109"/>
        <v>0</v>
      </c>
      <c r="AO45" s="4074" t="e">
        <f t="shared" si="110"/>
        <v>#DIV/0!</v>
      </c>
      <c r="AP45" s="4112"/>
      <c r="AQ45" s="3341"/>
      <c r="AR45" s="3341"/>
      <c r="AS45" s="3349">
        <f t="shared" si="111"/>
        <v>0</v>
      </c>
      <c r="AT45" s="4074" t="e">
        <f t="shared" si="112"/>
        <v>#DIV/0!</v>
      </c>
      <c r="AU45" s="4112"/>
      <c r="AV45" s="3341"/>
      <c r="AW45" s="3341"/>
      <c r="AX45" s="3349">
        <f t="shared" si="113"/>
        <v>0</v>
      </c>
      <c r="AY45" s="4074" t="e">
        <f t="shared" si="114"/>
        <v>#DIV/0!</v>
      </c>
      <c r="AZ45" s="4112"/>
      <c r="BA45" s="3341"/>
      <c r="BB45" s="3341"/>
      <c r="BC45" s="3349">
        <f t="shared" si="115"/>
        <v>0</v>
      </c>
      <c r="BD45" s="4074" t="e">
        <f t="shared" si="116"/>
        <v>#DIV/0!</v>
      </c>
      <c r="BE45" s="4112"/>
      <c r="BF45" s="3341"/>
      <c r="BG45" s="3341"/>
      <c r="BH45" s="3349">
        <f t="shared" si="117"/>
        <v>0</v>
      </c>
      <c r="BI45" s="4074" t="e">
        <f t="shared" si="118"/>
        <v>#DIV/0!</v>
      </c>
      <c r="BJ45" s="4112"/>
      <c r="BK45" s="3341"/>
      <c r="BL45" s="3341"/>
      <c r="BM45" s="3349">
        <f t="shared" si="119"/>
        <v>0</v>
      </c>
      <c r="BN45" s="4074" t="e">
        <f t="shared" si="120"/>
        <v>#DIV/0!</v>
      </c>
      <c r="BO45" s="4112"/>
      <c r="BP45" s="3341"/>
      <c r="BQ45" s="3341"/>
      <c r="BR45" s="3349">
        <f t="shared" si="121"/>
        <v>0</v>
      </c>
      <c r="BS45" s="4074" t="e">
        <f t="shared" si="122"/>
        <v>#DIV/0!</v>
      </c>
      <c r="BT45" s="4112"/>
      <c r="BU45" s="3341"/>
      <c r="BV45" s="3341"/>
      <c r="BW45" s="3349">
        <f t="shared" si="123"/>
        <v>0</v>
      </c>
      <c r="BX45" s="4074" t="e">
        <f t="shared" si="124"/>
        <v>#DIV/0!</v>
      </c>
      <c r="BY45" s="4112"/>
      <c r="BZ45" s="3341"/>
      <c r="CA45" s="3341"/>
      <c r="CB45" s="3349">
        <f t="shared" si="125"/>
        <v>0</v>
      </c>
      <c r="CC45" s="4074" t="e">
        <f t="shared" si="126"/>
        <v>#DIV/0!</v>
      </c>
      <c r="CD45" s="4112"/>
      <c r="CE45" s="3341"/>
      <c r="CF45" s="3341"/>
      <c r="CG45" s="3349">
        <f t="shared" si="127"/>
        <v>0</v>
      </c>
      <c r="CH45" s="4074" t="e">
        <f t="shared" si="128"/>
        <v>#DIV/0!</v>
      </c>
      <c r="CI45" s="4112"/>
      <c r="CJ45" s="3341">
        <f t="shared" si="129"/>
        <v>0</v>
      </c>
      <c r="CK45" s="3341">
        <f t="shared" si="129"/>
        <v>0</v>
      </c>
      <c r="CL45" s="2012">
        <f t="shared" si="130"/>
        <v>0</v>
      </c>
      <c r="CM45" s="4074" t="e">
        <f t="shared" si="94"/>
        <v>#DIV/0!</v>
      </c>
      <c r="CN45" s="4076"/>
      <c r="CP45" s="2012">
        <f t="shared" si="131"/>
        <v>0</v>
      </c>
      <c r="CQ45" s="2012">
        <f t="shared" si="131"/>
        <v>0</v>
      </c>
      <c r="CR45" s="4161"/>
    </row>
    <row r="46" spans="1:98" ht="13.8" outlineLevel="2">
      <c r="A46" s="4833"/>
      <c r="B46" s="4111" t="s">
        <v>29</v>
      </c>
      <c r="C46" s="3341"/>
      <c r="D46" s="3341"/>
      <c r="E46" s="3349">
        <f t="shared" si="95"/>
        <v>0</v>
      </c>
      <c r="F46" s="4074" t="e">
        <f t="shared" si="96"/>
        <v>#DIV/0!</v>
      </c>
      <c r="G46" s="4112"/>
      <c r="H46" s="3341"/>
      <c r="I46" s="3341"/>
      <c r="J46" s="3349">
        <f t="shared" si="97"/>
        <v>0</v>
      </c>
      <c r="K46" s="4074" t="e">
        <f t="shared" si="98"/>
        <v>#DIV/0!</v>
      </c>
      <c r="L46" s="4112"/>
      <c r="M46" s="3341"/>
      <c r="N46" s="3341"/>
      <c r="O46" s="3349">
        <f t="shared" si="99"/>
        <v>0</v>
      </c>
      <c r="P46" s="4074" t="e">
        <f t="shared" si="100"/>
        <v>#DIV/0!</v>
      </c>
      <c r="Q46" s="4112"/>
      <c r="R46" s="3342">
        <f t="shared" si="101"/>
        <v>0</v>
      </c>
      <c r="S46" s="3342">
        <f t="shared" si="101"/>
        <v>0</v>
      </c>
      <c r="T46" s="2012">
        <f t="shared" si="102"/>
        <v>0</v>
      </c>
      <c r="U46" s="3462"/>
      <c r="V46" s="3462"/>
      <c r="W46" s="3342">
        <f t="shared" si="103"/>
        <v>0</v>
      </c>
      <c r="X46" s="3342">
        <f t="shared" si="103"/>
        <v>0</v>
      </c>
      <c r="Y46" s="2012">
        <f t="shared" si="104"/>
        <v>0</v>
      </c>
      <c r="Z46" s="3462"/>
      <c r="AA46" s="3462"/>
      <c r="AB46" s="3341"/>
      <c r="AC46" s="3341"/>
      <c r="AD46" s="3349">
        <f t="shared" si="105"/>
        <v>0</v>
      </c>
      <c r="AE46" s="4074" t="e">
        <f t="shared" si="106"/>
        <v>#DIV/0!</v>
      </c>
      <c r="AF46" s="4112"/>
      <c r="AG46" s="3341"/>
      <c r="AH46" s="3341"/>
      <c r="AI46" s="3349">
        <f t="shared" si="107"/>
        <v>0</v>
      </c>
      <c r="AJ46" s="4074" t="e">
        <f t="shared" si="108"/>
        <v>#DIV/0!</v>
      </c>
      <c r="AK46" s="4112"/>
      <c r="AL46" s="3341"/>
      <c r="AM46" s="3341"/>
      <c r="AN46" s="3349">
        <f t="shared" si="109"/>
        <v>0</v>
      </c>
      <c r="AO46" s="4074" t="e">
        <f t="shared" si="110"/>
        <v>#DIV/0!</v>
      </c>
      <c r="AP46" s="4112"/>
      <c r="AQ46" s="3341"/>
      <c r="AR46" s="3341"/>
      <c r="AS46" s="3349">
        <f t="shared" si="111"/>
        <v>0</v>
      </c>
      <c r="AT46" s="4074" t="e">
        <f t="shared" si="112"/>
        <v>#DIV/0!</v>
      </c>
      <c r="AU46" s="4112"/>
      <c r="AV46" s="3341"/>
      <c r="AW46" s="3341"/>
      <c r="AX46" s="3349">
        <f t="shared" si="113"/>
        <v>0</v>
      </c>
      <c r="AY46" s="4074" t="e">
        <f t="shared" si="114"/>
        <v>#DIV/0!</v>
      </c>
      <c r="AZ46" s="4112"/>
      <c r="BA46" s="3341"/>
      <c r="BB46" s="3341"/>
      <c r="BC46" s="3349">
        <f t="shared" si="115"/>
        <v>0</v>
      </c>
      <c r="BD46" s="4074" t="e">
        <f t="shared" si="116"/>
        <v>#DIV/0!</v>
      </c>
      <c r="BE46" s="4112"/>
      <c r="BF46" s="3341"/>
      <c r="BG46" s="3341"/>
      <c r="BH46" s="3349">
        <f t="shared" si="117"/>
        <v>0</v>
      </c>
      <c r="BI46" s="4074" t="e">
        <f t="shared" si="118"/>
        <v>#DIV/0!</v>
      </c>
      <c r="BJ46" s="4112"/>
      <c r="BK46" s="3341"/>
      <c r="BL46" s="3341"/>
      <c r="BM46" s="3349">
        <f t="shared" si="119"/>
        <v>0</v>
      </c>
      <c r="BN46" s="4074" t="e">
        <f t="shared" si="120"/>
        <v>#DIV/0!</v>
      </c>
      <c r="BO46" s="4112"/>
      <c r="BP46" s="3341"/>
      <c r="BQ46" s="3341"/>
      <c r="BR46" s="3349">
        <f t="shared" si="121"/>
        <v>0</v>
      </c>
      <c r="BS46" s="4074" t="e">
        <f t="shared" si="122"/>
        <v>#DIV/0!</v>
      </c>
      <c r="BT46" s="4112"/>
      <c r="BU46" s="3341"/>
      <c r="BV46" s="3341"/>
      <c r="BW46" s="3349">
        <f t="shared" si="123"/>
        <v>0</v>
      </c>
      <c r="BX46" s="4074" t="e">
        <f t="shared" si="124"/>
        <v>#DIV/0!</v>
      </c>
      <c r="BY46" s="4112"/>
      <c r="BZ46" s="3341"/>
      <c r="CA46" s="3341"/>
      <c r="CB46" s="3349">
        <f t="shared" si="125"/>
        <v>0</v>
      </c>
      <c r="CC46" s="4074" t="e">
        <f t="shared" si="126"/>
        <v>#DIV/0!</v>
      </c>
      <c r="CD46" s="4112"/>
      <c r="CE46" s="3341"/>
      <c r="CF46" s="3341"/>
      <c r="CG46" s="3349">
        <f t="shared" si="127"/>
        <v>0</v>
      </c>
      <c r="CH46" s="4074" t="e">
        <f t="shared" si="128"/>
        <v>#DIV/0!</v>
      </c>
      <c r="CI46" s="4112"/>
      <c r="CJ46" s="3341">
        <f t="shared" si="129"/>
        <v>0</v>
      </c>
      <c r="CK46" s="3341">
        <f t="shared" si="129"/>
        <v>0</v>
      </c>
      <c r="CL46" s="2012">
        <f t="shared" si="130"/>
        <v>0</v>
      </c>
      <c r="CM46" s="4074" t="e">
        <f t="shared" si="94"/>
        <v>#DIV/0!</v>
      </c>
      <c r="CN46" s="4076"/>
      <c r="CP46" s="2012">
        <f t="shared" si="131"/>
        <v>0</v>
      </c>
      <c r="CQ46" s="2012">
        <f t="shared" si="131"/>
        <v>0</v>
      </c>
      <c r="CR46" s="4161"/>
    </row>
    <row r="47" spans="1:98" ht="13.8" outlineLevel="2">
      <c r="A47" s="4833"/>
      <c r="B47" s="4111" t="s">
        <v>30</v>
      </c>
      <c r="C47" s="3341"/>
      <c r="D47" s="3341"/>
      <c r="E47" s="3349">
        <f t="shared" si="95"/>
        <v>0</v>
      </c>
      <c r="F47" s="4074" t="e">
        <f t="shared" si="96"/>
        <v>#DIV/0!</v>
      </c>
      <c r="G47" s="4112"/>
      <c r="H47" s="3341"/>
      <c r="I47" s="3341"/>
      <c r="J47" s="3349">
        <f t="shared" si="97"/>
        <v>0</v>
      </c>
      <c r="K47" s="4074" t="e">
        <f t="shared" si="98"/>
        <v>#DIV/0!</v>
      </c>
      <c r="L47" s="4112"/>
      <c r="M47" s="3341"/>
      <c r="N47" s="3341"/>
      <c r="O47" s="3349">
        <f t="shared" si="99"/>
        <v>0</v>
      </c>
      <c r="P47" s="4074" t="e">
        <f t="shared" si="100"/>
        <v>#DIV/0!</v>
      </c>
      <c r="Q47" s="4112"/>
      <c r="R47" s="3342">
        <f t="shared" si="101"/>
        <v>0</v>
      </c>
      <c r="S47" s="3342">
        <f t="shared" si="101"/>
        <v>0</v>
      </c>
      <c r="T47" s="2012">
        <f t="shared" si="102"/>
        <v>0</v>
      </c>
      <c r="U47" s="3462"/>
      <c r="V47" s="3462"/>
      <c r="W47" s="3342">
        <f t="shared" si="103"/>
        <v>0</v>
      </c>
      <c r="X47" s="3342">
        <f t="shared" si="103"/>
        <v>0</v>
      </c>
      <c r="Y47" s="2012">
        <f t="shared" si="104"/>
        <v>0</v>
      </c>
      <c r="Z47" s="3462"/>
      <c r="AA47" s="3462"/>
      <c r="AB47" s="3341"/>
      <c r="AC47" s="3341"/>
      <c r="AD47" s="3349">
        <f t="shared" si="105"/>
        <v>0</v>
      </c>
      <c r="AE47" s="4074" t="e">
        <f t="shared" si="106"/>
        <v>#DIV/0!</v>
      </c>
      <c r="AF47" s="4112"/>
      <c r="AG47" s="3341"/>
      <c r="AH47" s="3341"/>
      <c r="AI47" s="3349">
        <f t="shared" si="107"/>
        <v>0</v>
      </c>
      <c r="AJ47" s="4074" t="e">
        <f t="shared" si="108"/>
        <v>#DIV/0!</v>
      </c>
      <c r="AK47" s="4112"/>
      <c r="AL47" s="3341"/>
      <c r="AM47" s="3341"/>
      <c r="AN47" s="3349">
        <f t="shared" si="109"/>
        <v>0</v>
      </c>
      <c r="AO47" s="4074" t="e">
        <f t="shared" si="110"/>
        <v>#DIV/0!</v>
      </c>
      <c r="AP47" s="4112"/>
      <c r="AQ47" s="3341"/>
      <c r="AR47" s="3341"/>
      <c r="AS47" s="3349">
        <f t="shared" si="111"/>
        <v>0</v>
      </c>
      <c r="AT47" s="4074" t="e">
        <f t="shared" si="112"/>
        <v>#DIV/0!</v>
      </c>
      <c r="AU47" s="4112"/>
      <c r="AV47" s="3341"/>
      <c r="AW47" s="3341"/>
      <c r="AX47" s="3349">
        <f t="shared" si="113"/>
        <v>0</v>
      </c>
      <c r="AY47" s="4074" t="e">
        <f t="shared" si="114"/>
        <v>#DIV/0!</v>
      </c>
      <c r="AZ47" s="4112"/>
      <c r="BA47" s="3341"/>
      <c r="BB47" s="3341"/>
      <c r="BC47" s="3349">
        <f t="shared" si="115"/>
        <v>0</v>
      </c>
      <c r="BD47" s="4074" t="e">
        <f t="shared" si="116"/>
        <v>#DIV/0!</v>
      </c>
      <c r="BE47" s="4112"/>
      <c r="BF47" s="3341"/>
      <c r="BG47" s="3341"/>
      <c r="BH47" s="3349">
        <f t="shared" si="117"/>
        <v>0</v>
      </c>
      <c r="BI47" s="4074" t="e">
        <f t="shared" si="118"/>
        <v>#DIV/0!</v>
      </c>
      <c r="BJ47" s="4112"/>
      <c r="BK47" s="3341"/>
      <c r="BL47" s="3341"/>
      <c r="BM47" s="3349">
        <f t="shared" si="119"/>
        <v>0</v>
      </c>
      <c r="BN47" s="4074" t="e">
        <f t="shared" si="120"/>
        <v>#DIV/0!</v>
      </c>
      <c r="BO47" s="4112"/>
      <c r="BP47" s="3341"/>
      <c r="BQ47" s="3341"/>
      <c r="BR47" s="3349">
        <f t="shared" si="121"/>
        <v>0</v>
      </c>
      <c r="BS47" s="4074" t="e">
        <f t="shared" si="122"/>
        <v>#DIV/0!</v>
      </c>
      <c r="BT47" s="4112"/>
      <c r="BU47" s="3341"/>
      <c r="BV47" s="3341"/>
      <c r="BW47" s="3349">
        <f t="shared" si="123"/>
        <v>0</v>
      </c>
      <c r="BX47" s="4074" t="e">
        <f t="shared" si="124"/>
        <v>#DIV/0!</v>
      </c>
      <c r="BY47" s="4112"/>
      <c r="BZ47" s="3341"/>
      <c r="CA47" s="3341"/>
      <c r="CB47" s="3349">
        <f t="shared" si="125"/>
        <v>0</v>
      </c>
      <c r="CC47" s="4074" t="e">
        <f t="shared" si="126"/>
        <v>#DIV/0!</v>
      </c>
      <c r="CD47" s="4112"/>
      <c r="CE47" s="3341"/>
      <c r="CF47" s="3341"/>
      <c r="CG47" s="3349">
        <f t="shared" si="127"/>
        <v>0</v>
      </c>
      <c r="CH47" s="4074" t="e">
        <f t="shared" si="128"/>
        <v>#DIV/0!</v>
      </c>
      <c r="CI47" s="4112"/>
      <c r="CJ47" s="3341">
        <f t="shared" si="129"/>
        <v>0</v>
      </c>
      <c r="CK47" s="3341">
        <f t="shared" si="129"/>
        <v>0</v>
      </c>
      <c r="CL47" s="2012">
        <f t="shared" si="130"/>
        <v>0</v>
      </c>
      <c r="CM47" s="4074" t="e">
        <f t="shared" si="94"/>
        <v>#DIV/0!</v>
      </c>
      <c r="CN47" s="4076"/>
      <c r="CP47" s="2012">
        <f t="shared" si="131"/>
        <v>0</v>
      </c>
      <c r="CQ47" s="2012">
        <f t="shared" si="131"/>
        <v>0</v>
      </c>
      <c r="CR47" s="4161"/>
    </row>
    <row r="48" spans="1:98" ht="13.8" outlineLevel="2">
      <c r="A48" s="4833"/>
      <c r="B48" s="4111" t="s">
        <v>15</v>
      </c>
      <c r="C48" s="3341"/>
      <c r="D48" s="3341"/>
      <c r="E48" s="3349">
        <f t="shared" si="95"/>
        <v>0</v>
      </c>
      <c r="F48" s="4074" t="e">
        <f t="shared" si="96"/>
        <v>#DIV/0!</v>
      </c>
      <c r="G48" s="4112"/>
      <c r="H48" s="3341"/>
      <c r="I48" s="3341"/>
      <c r="J48" s="3349">
        <f t="shared" si="97"/>
        <v>0</v>
      </c>
      <c r="K48" s="4074" t="e">
        <f t="shared" si="98"/>
        <v>#DIV/0!</v>
      </c>
      <c r="L48" s="4112"/>
      <c r="M48" s="3341"/>
      <c r="N48" s="3341"/>
      <c r="O48" s="3349">
        <f t="shared" si="99"/>
        <v>0</v>
      </c>
      <c r="P48" s="4074" t="e">
        <f t="shared" si="100"/>
        <v>#DIV/0!</v>
      </c>
      <c r="Q48" s="4112"/>
      <c r="R48" s="3342">
        <f t="shared" si="101"/>
        <v>0</v>
      </c>
      <c r="S48" s="3342">
        <f t="shared" si="101"/>
        <v>0</v>
      </c>
      <c r="T48" s="2012">
        <f t="shared" si="102"/>
        <v>0</v>
      </c>
      <c r="U48" s="4113"/>
      <c r="V48" s="4112"/>
      <c r="W48" s="4114">
        <f t="shared" si="103"/>
        <v>0</v>
      </c>
      <c r="X48" s="4114">
        <f t="shared" si="103"/>
        <v>0</v>
      </c>
      <c r="Y48" s="4115">
        <f t="shared" si="104"/>
        <v>0</v>
      </c>
      <c r="Z48" s="4112"/>
      <c r="AA48" s="4112"/>
      <c r="AB48" s="4080"/>
      <c r="AC48" s="4080"/>
      <c r="AD48" s="4116">
        <f t="shared" si="105"/>
        <v>0</v>
      </c>
      <c r="AE48" s="4074" t="e">
        <f t="shared" si="106"/>
        <v>#DIV/0!</v>
      </c>
      <c r="AF48" s="4112"/>
      <c r="AG48" s="4080"/>
      <c r="AH48" s="3341"/>
      <c r="AI48" s="3349">
        <f t="shared" si="107"/>
        <v>0</v>
      </c>
      <c r="AJ48" s="4074" t="e">
        <f t="shared" si="108"/>
        <v>#DIV/0!</v>
      </c>
      <c r="AK48" s="4112"/>
      <c r="AL48" s="3341"/>
      <c r="AM48" s="3341"/>
      <c r="AN48" s="3349">
        <f t="shared" si="109"/>
        <v>0</v>
      </c>
      <c r="AO48" s="4074" t="e">
        <f t="shared" si="110"/>
        <v>#DIV/0!</v>
      </c>
      <c r="AP48" s="4112"/>
      <c r="AQ48" s="3341"/>
      <c r="AR48" s="3341"/>
      <c r="AS48" s="3349">
        <f t="shared" si="111"/>
        <v>0</v>
      </c>
      <c r="AT48" s="4074" t="e">
        <f t="shared" si="112"/>
        <v>#DIV/0!</v>
      </c>
      <c r="AU48" s="4112"/>
      <c r="AV48" s="3341"/>
      <c r="AW48" s="3341"/>
      <c r="AX48" s="3349">
        <f t="shared" si="113"/>
        <v>0</v>
      </c>
      <c r="AY48" s="4074" t="e">
        <f t="shared" si="114"/>
        <v>#DIV/0!</v>
      </c>
      <c r="AZ48" s="4112"/>
      <c r="BA48" s="3341"/>
      <c r="BB48" s="3341"/>
      <c r="BC48" s="3349">
        <f t="shared" si="115"/>
        <v>0</v>
      </c>
      <c r="BD48" s="4074" t="e">
        <f t="shared" si="116"/>
        <v>#DIV/0!</v>
      </c>
      <c r="BE48" s="4112"/>
      <c r="BF48" s="3341"/>
      <c r="BG48" s="3341"/>
      <c r="BH48" s="3349">
        <f t="shared" si="117"/>
        <v>0</v>
      </c>
      <c r="BI48" s="4074" t="e">
        <f t="shared" si="118"/>
        <v>#DIV/0!</v>
      </c>
      <c r="BJ48" s="4112"/>
      <c r="BK48" s="3341"/>
      <c r="BL48" s="3341"/>
      <c r="BM48" s="3349">
        <f t="shared" si="119"/>
        <v>0</v>
      </c>
      <c r="BN48" s="4074" t="e">
        <f t="shared" si="120"/>
        <v>#DIV/0!</v>
      </c>
      <c r="BO48" s="4112"/>
      <c r="BP48" s="3341"/>
      <c r="BQ48" s="3341"/>
      <c r="BR48" s="3349">
        <f t="shared" si="121"/>
        <v>0</v>
      </c>
      <c r="BS48" s="4074" t="e">
        <f t="shared" si="122"/>
        <v>#DIV/0!</v>
      </c>
      <c r="BT48" s="4112"/>
      <c r="BU48" s="3341"/>
      <c r="BV48" s="3341"/>
      <c r="BW48" s="3349">
        <f t="shared" si="123"/>
        <v>0</v>
      </c>
      <c r="BX48" s="4074" t="e">
        <f t="shared" si="124"/>
        <v>#DIV/0!</v>
      </c>
      <c r="BY48" s="4112"/>
      <c r="BZ48" s="3341"/>
      <c r="CA48" s="3341"/>
      <c r="CB48" s="3349">
        <f t="shared" si="125"/>
        <v>0</v>
      </c>
      <c r="CC48" s="4074" t="e">
        <f t="shared" si="126"/>
        <v>#DIV/0!</v>
      </c>
      <c r="CD48" s="4112"/>
      <c r="CE48" s="3341"/>
      <c r="CF48" s="3341"/>
      <c r="CG48" s="3349">
        <f t="shared" si="127"/>
        <v>0</v>
      </c>
      <c r="CH48" s="4074" t="e">
        <f t="shared" si="128"/>
        <v>#DIV/0!</v>
      </c>
      <c r="CI48" s="4112"/>
      <c r="CJ48" s="3341">
        <f t="shared" si="129"/>
        <v>0</v>
      </c>
      <c r="CK48" s="3341">
        <f t="shared" si="129"/>
        <v>0</v>
      </c>
      <c r="CL48" s="2012">
        <f t="shared" si="130"/>
        <v>0</v>
      </c>
      <c r="CM48" s="4074" t="e">
        <f t="shared" si="94"/>
        <v>#DIV/0!</v>
      </c>
      <c r="CN48" s="4076"/>
      <c r="CP48" s="2012">
        <f t="shared" si="131"/>
        <v>0</v>
      </c>
      <c r="CQ48" s="2012">
        <f t="shared" si="131"/>
        <v>0</v>
      </c>
      <c r="CR48" s="4161"/>
    </row>
    <row r="49" spans="1:98" s="1396" customFormat="1" ht="14.4" outlineLevel="2" thickBot="1">
      <c r="A49" s="1405"/>
      <c r="B49" s="4117"/>
      <c r="C49" s="3341"/>
      <c r="D49" s="3341"/>
      <c r="E49" s="4102"/>
      <c r="F49" s="4084"/>
      <c r="G49" s="4103"/>
      <c r="H49" s="3341"/>
      <c r="I49" s="3341"/>
      <c r="J49" s="4102"/>
      <c r="K49" s="4084"/>
      <c r="L49" s="4103"/>
      <c r="M49" s="3341"/>
      <c r="N49" s="3341"/>
      <c r="O49" s="4102"/>
      <c r="P49" s="4084"/>
      <c r="Q49" s="4103"/>
      <c r="R49" s="3456"/>
      <c r="S49" s="3456"/>
      <c r="T49" s="3456"/>
      <c r="U49" s="3733"/>
      <c r="V49" s="3734"/>
      <c r="W49" s="3734"/>
      <c r="X49" s="3734"/>
      <c r="Y49" s="3734"/>
      <c r="Z49" s="3734"/>
      <c r="AA49" s="3734"/>
      <c r="AB49" s="3375"/>
      <c r="AC49" s="3375"/>
      <c r="AD49" s="4102"/>
      <c r="AE49" s="4084" t="e">
        <f t="shared" si="106"/>
        <v>#DIV/0!</v>
      </c>
      <c r="AF49" s="4103"/>
      <c r="AG49" s="3375"/>
      <c r="AH49" s="3341"/>
      <c r="AI49" s="4102"/>
      <c r="AJ49" s="4084" t="e">
        <f t="shared" si="108"/>
        <v>#DIV/0!</v>
      </c>
      <c r="AK49" s="4103"/>
      <c r="AL49" s="3341"/>
      <c r="AM49" s="3341"/>
      <c r="AN49" s="4102"/>
      <c r="AO49" s="4084" t="e">
        <f t="shared" si="110"/>
        <v>#DIV/0!</v>
      </c>
      <c r="AP49" s="4103"/>
      <c r="AQ49" s="3341"/>
      <c r="AR49" s="3341"/>
      <c r="AS49" s="4102"/>
      <c r="AT49" s="4084" t="e">
        <f t="shared" si="112"/>
        <v>#DIV/0!</v>
      </c>
      <c r="AU49" s="4103"/>
      <c r="AV49" s="3341"/>
      <c r="AW49" s="3341"/>
      <c r="AX49" s="4102"/>
      <c r="AY49" s="4084" t="e">
        <f t="shared" si="114"/>
        <v>#DIV/0!</v>
      </c>
      <c r="AZ49" s="4103"/>
      <c r="BA49" s="3341"/>
      <c r="BB49" s="3341"/>
      <c r="BC49" s="4102"/>
      <c r="BD49" s="4084" t="e">
        <f t="shared" si="116"/>
        <v>#DIV/0!</v>
      </c>
      <c r="BE49" s="4103"/>
      <c r="BF49" s="3341"/>
      <c r="BG49" s="3341"/>
      <c r="BH49" s="4102"/>
      <c r="BI49" s="4084" t="e">
        <f t="shared" si="118"/>
        <v>#DIV/0!</v>
      </c>
      <c r="BJ49" s="4103"/>
      <c r="BK49" s="3341"/>
      <c r="BL49" s="3341"/>
      <c r="BM49" s="4102"/>
      <c r="BN49" s="4084" t="e">
        <f t="shared" si="120"/>
        <v>#DIV/0!</v>
      </c>
      <c r="BO49" s="4103"/>
      <c r="BP49" s="3341"/>
      <c r="BQ49" s="3341"/>
      <c r="BR49" s="4102"/>
      <c r="BS49" s="4084" t="e">
        <f t="shared" si="122"/>
        <v>#DIV/0!</v>
      </c>
      <c r="BT49" s="4103"/>
      <c r="BU49" s="3341"/>
      <c r="BV49" s="3341"/>
      <c r="BW49" s="4102"/>
      <c r="BX49" s="4084" t="e">
        <f t="shared" si="124"/>
        <v>#DIV/0!</v>
      </c>
      <c r="BY49" s="4103"/>
      <c r="BZ49" s="3341"/>
      <c r="CA49" s="3341"/>
      <c r="CB49" s="4102"/>
      <c r="CC49" s="4084" t="e">
        <f t="shared" si="126"/>
        <v>#DIV/0!</v>
      </c>
      <c r="CD49" s="4103"/>
      <c r="CE49" s="3341"/>
      <c r="CF49" s="3341"/>
      <c r="CG49" s="4102"/>
      <c r="CH49" s="4084" t="e">
        <f t="shared" si="128"/>
        <v>#DIV/0!</v>
      </c>
      <c r="CI49" s="4103"/>
      <c r="CJ49" s="3341"/>
      <c r="CK49" s="3341"/>
      <c r="CL49" s="4102"/>
      <c r="CM49" s="4074" t="e">
        <f t="shared" si="94"/>
        <v>#DIV/0!</v>
      </c>
      <c r="CN49" s="4102"/>
      <c r="CP49" s="4104"/>
      <c r="CQ49" s="4104"/>
      <c r="CR49" s="4161"/>
      <c r="CT49" s="2624"/>
    </row>
    <row r="50" spans="1:98" s="1396" customFormat="1" ht="13.8" outlineLevel="1">
      <c r="A50" s="1565"/>
      <c r="B50" s="1410" t="s">
        <v>59</v>
      </c>
      <c r="C50" s="2015">
        <f>C52+C51</f>
        <v>0</v>
      </c>
      <c r="D50" s="2015">
        <f>D52+D51</f>
        <v>0</v>
      </c>
      <c r="E50" s="2014">
        <f>SUM(E51:E52)</f>
        <v>0</v>
      </c>
      <c r="F50" s="4110" t="e">
        <f>E50/$E$89</f>
        <v>#DIV/0!</v>
      </c>
      <c r="G50" s="1057"/>
      <c r="H50" s="2015">
        <f>H52+H51</f>
        <v>0</v>
      </c>
      <c r="I50" s="2015">
        <f>I52+I51</f>
        <v>0</v>
      </c>
      <c r="J50" s="2014">
        <f>SUM(J51:J52)</f>
        <v>0</v>
      </c>
      <c r="K50" s="4110" t="e">
        <f>J50/$E$89</f>
        <v>#DIV/0!</v>
      </c>
      <c r="L50" s="1057"/>
      <c r="M50" s="2015">
        <f>M52+M51</f>
        <v>0</v>
      </c>
      <c r="N50" s="2015">
        <f>N52+N51</f>
        <v>0</v>
      </c>
      <c r="O50" s="2014">
        <f>SUM(O51:O52)</f>
        <v>0</v>
      </c>
      <c r="P50" s="4110" t="e">
        <f>O50/$E$89</f>
        <v>#DIV/0!</v>
      </c>
      <c r="Q50" s="1057"/>
      <c r="R50" s="2015">
        <f>R52+R51</f>
        <v>0</v>
      </c>
      <c r="S50" s="2015">
        <f>S52+S51</f>
        <v>0</v>
      </c>
      <c r="T50" s="2015">
        <f>SUM(T51:T52)</f>
        <v>0</v>
      </c>
      <c r="U50" s="1535"/>
      <c r="V50" s="3460"/>
      <c r="W50" s="2013">
        <f>W52+W51</f>
        <v>0</v>
      </c>
      <c r="X50" s="2013">
        <f>X52+X51</f>
        <v>0</v>
      </c>
      <c r="Y50" s="2013">
        <f>SUM(Y51:Y52)</f>
        <v>0</v>
      </c>
      <c r="Z50" s="1535"/>
      <c r="AA50" s="3460"/>
      <c r="AB50" s="2013">
        <f>AB52+AB51</f>
        <v>0</v>
      </c>
      <c r="AC50" s="2013">
        <f>AC52+AC51</f>
        <v>0</v>
      </c>
      <c r="AD50" s="2013">
        <f>SUM(AD51:AD52)</f>
        <v>0</v>
      </c>
      <c r="AE50" s="1535"/>
      <c r="AF50" s="3735"/>
      <c r="AG50" s="2013">
        <f>AG52+AG51</f>
        <v>0</v>
      </c>
      <c r="AH50" s="2015">
        <f>AH52+AH51</f>
        <v>0</v>
      </c>
      <c r="AI50" s="2015">
        <f>SUM(AI51:AI52)</f>
        <v>0</v>
      </c>
      <c r="AJ50" s="1535"/>
      <c r="AK50" s="1057"/>
      <c r="AL50" s="2015">
        <f>AL52+AL51</f>
        <v>0</v>
      </c>
      <c r="AM50" s="2015">
        <f>AM52+AM51</f>
        <v>0</v>
      </c>
      <c r="AN50" s="2015">
        <f>SUM(AN51:AN52)</f>
        <v>0</v>
      </c>
      <c r="AO50" s="1535"/>
      <c r="AP50" s="1057"/>
      <c r="AQ50" s="2015">
        <f>AQ52+AQ51</f>
        <v>0</v>
      </c>
      <c r="AR50" s="2015">
        <f>AR52+AR51</f>
        <v>0</v>
      </c>
      <c r="AS50" s="2015">
        <f>SUM(AS51:AS52)</f>
        <v>0</v>
      </c>
      <c r="AT50" s="1535"/>
      <c r="AU50" s="1057"/>
      <c r="AV50" s="2015">
        <f>AV52+AV51</f>
        <v>0</v>
      </c>
      <c r="AW50" s="2015">
        <f>AW52+AW51</f>
        <v>0</v>
      </c>
      <c r="AX50" s="2015">
        <f>SUM(AX51:AX52)</f>
        <v>0</v>
      </c>
      <c r="AY50" s="1535"/>
      <c r="AZ50" s="1057"/>
      <c r="BA50" s="2015">
        <f>BA52+BA51</f>
        <v>0</v>
      </c>
      <c r="BB50" s="2015">
        <f>BB52+BB51</f>
        <v>0</v>
      </c>
      <c r="BC50" s="2015">
        <f>SUM(BC51:BC52)</f>
        <v>0</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0</v>
      </c>
      <c r="CK50" s="2015">
        <f>CK52+CK51</f>
        <v>0</v>
      </c>
      <c r="CL50" s="2015">
        <f>SUM(CL51:CL52)</f>
        <v>0</v>
      </c>
      <c r="CM50" s="2006"/>
      <c r="CN50" s="2006"/>
      <c r="CP50" s="2015">
        <f>SUM(CP51:CP52)</f>
        <v>0</v>
      </c>
      <c r="CQ50" s="2015">
        <f>SUM(CQ51:CQ52)</f>
        <v>0</v>
      </c>
      <c r="CR50" s="2015"/>
      <c r="CT50" s="2624"/>
    </row>
    <row r="51" spans="1:98" s="1396" customFormat="1" ht="13.8" outlineLevel="1">
      <c r="A51" s="1566"/>
      <c r="B51" s="4111" t="s">
        <v>60</v>
      </c>
      <c r="C51" s="3341"/>
      <c r="D51" s="3341"/>
      <c r="E51" s="3349">
        <f t="shared" ref="E51:E52" si="132">C51+D51</f>
        <v>0</v>
      </c>
      <c r="F51" s="4074" t="e">
        <f t="shared" ref="F51:F71" si="133">E51/$E$89</f>
        <v>#DIV/0!</v>
      </c>
      <c r="G51" s="4099"/>
      <c r="H51" s="3341"/>
      <c r="I51" s="3341"/>
      <c r="J51" s="3349">
        <f>H51+I51</f>
        <v>0</v>
      </c>
      <c r="K51" s="4074" t="e">
        <f t="shared" ref="K51:K52" si="134">J51/J$89</f>
        <v>#DIV/0!</v>
      </c>
      <c r="L51" s="4099"/>
      <c r="M51" s="3341"/>
      <c r="N51" s="3341"/>
      <c r="O51" s="3349">
        <f t="shared" ref="O51:O52" si="135">M51+N51</f>
        <v>0</v>
      </c>
      <c r="P51" s="4074" t="e">
        <f t="shared" ref="P51:P53" si="136">O51/O$89</f>
        <v>#DIV/0!</v>
      </c>
      <c r="Q51" s="4099"/>
      <c r="R51" s="3342">
        <f t="shared" ref="R51:S52" si="137">M51+H51+C51</f>
        <v>0</v>
      </c>
      <c r="S51" s="3342">
        <f t="shared" si="137"/>
        <v>0</v>
      </c>
      <c r="T51" s="2012">
        <f t="shared" ref="T51:T52" si="138">R51+S51</f>
        <v>0</v>
      </c>
      <c r="U51" s="3455"/>
      <c r="V51" s="3455"/>
      <c r="W51" s="3342">
        <f t="shared" ref="W51:X52" si="139">AB51+AG51+AL51+AV51+BA51+BF51+BK51+BP51+BU51+BZ51+CE51+AQ51</f>
        <v>0</v>
      </c>
      <c r="X51" s="3342">
        <f t="shared" si="139"/>
        <v>0</v>
      </c>
      <c r="Y51" s="2012">
        <f t="shared" ref="Y51:Y52" si="140">W51+X51</f>
        <v>0</v>
      </c>
      <c r="Z51" s="3455"/>
      <c r="AA51" s="3455"/>
      <c r="AB51" s="3341"/>
      <c r="AC51" s="3341"/>
      <c r="AD51" s="3349">
        <f t="shared" ref="AD51:AD52" si="141">AB51+AC51</f>
        <v>0</v>
      </c>
      <c r="AE51" s="4074" t="e">
        <f t="shared" ref="AE51:AE53" si="142">AD51/AD$89</f>
        <v>#DIV/0!</v>
      </c>
      <c r="AF51" s="4099"/>
      <c r="AG51" s="3341"/>
      <c r="AH51" s="3341"/>
      <c r="AI51" s="3349">
        <f t="shared" ref="AI51:AI52" si="143">AG51+AH51</f>
        <v>0</v>
      </c>
      <c r="AJ51" s="4074" t="e">
        <f t="shared" ref="AJ51:AJ53" si="144">AI51/AI$89</f>
        <v>#DIV/0!</v>
      </c>
      <c r="AK51" s="4099"/>
      <c r="AL51" s="3341"/>
      <c r="AM51" s="3341"/>
      <c r="AN51" s="3349">
        <f t="shared" ref="AN51:AN52" si="145">AL51+AM51</f>
        <v>0</v>
      </c>
      <c r="AO51" s="4074" t="e">
        <f t="shared" ref="AO51:AO53" si="146">AN51/AN$89</f>
        <v>#DIV/0!</v>
      </c>
      <c r="AP51" s="4099"/>
      <c r="AQ51" s="3341"/>
      <c r="AR51" s="3341"/>
      <c r="AS51" s="3349">
        <f t="shared" ref="AS51:AS52" si="147">AQ51+AR51</f>
        <v>0</v>
      </c>
      <c r="AT51" s="4074" t="e">
        <f t="shared" ref="AT51:AT53" si="148">AS51/AS$89</f>
        <v>#DIV/0!</v>
      </c>
      <c r="AU51" s="4099"/>
      <c r="AV51" s="3341"/>
      <c r="AW51" s="3341"/>
      <c r="AX51" s="3349">
        <f t="shared" ref="AX51:AX52" si="149">AV51+AW51</f>
        <v>0</v>
      </c>
      <c r="AY51" s="4074" t="e">
        <f t="shared" ref="AY51:AY53" si="150">AX51/AX$89</f>
        <v>#DIV/0!</v>
      </c>
      <c r="AZ51" s="4099"/>
      <c r="BA51" s="3341"/>
      <c r="BB51" s="3341"/>
      <c r="BC51" s="3349">
        <f t="shared" ref="BC51:BC52" si="151">BA51+BB51</f>
        <v>0</v>
      </c>
      <c r="BD51" s="4074" t="e">
        <f t="shared" ref="BD51:BD53" si="152">BC51/BC$89</f>
        <v>#DIV/0!</v>
      </c>
      <c r="BE51" s="4099"/>
      <c r="BF51" s="3341"/>
      <c r="BG51" s="3341"/>
      <c r="BH51" s="3349">
        <f t="shared" ref="BH51:BH52" si="153">BF51+BG51</f>
        <v>0</v>
      </c>
      <c r="BI51" s="4074" t="e">
        <f t="shared" ref="BI51:BI53" si="154">BH51/BH$89</f>
        <v>#DIV/0!</v>
      </c>
      <c r="BJ51" s="4099"/>
      <c r="BK51" s="3341"/>
      <c r="BL51" s="3341"/>
      <c r="BM51" s="3349">
        <f t="shared" ref="BM51:BM52" si="155">BK51+BL51</f>
        <v>0</v>
      </c>
      <c r="BN51" s="4074" t="e">
        <f t="shared" ref="BN51:BN53" si="156">BM51/BM$89</f>
        <v>#DIV/0!</v>
      </c>
      <c r="BO51" s="4099"/>
      <c r="BP51" s="3341"/>
      <c r="BQ51" s="3341"/>
      <c r="BR51" s="3349">
        <f t="shared" ref="BR51:BR52" si="157">BP51+BQ51</f>
        <v>0</v>
      </c>
      <c r="BS51" s="4074" t="e">
        <f t="shared" ref="BS51:BS53" si="158">BR51/BR$89</f>
        <v>#DIV/0!</v>
      </c>
      <c r="BT51" s="4099"/>
      <c r="BU51" s="3341"/>
      <c r="BV51" s="3341"/>
      <c r="BW51" s="3349">
        <f t="shared" ref="BW51:BW52" si="159">BU51+BV51</f>
        <v>0</v>
      </c>
      <c r="BX51" s="4074" t="e">
        <f t="shared" ref="BX51:BX53" si="160">BW51/BW$89</f>
        <v>#DIV/0!</v>
      </c>
      <c r="BY51" s="4099"/>
      <c r="BZ51" s="3341"/>
      <c r="CA51" s="3341"/>
      <c r="CB51" s="3349">
        <f t="shared" ref="CB51:CB52" si="161">BZ51+CA51</f>
        <v>0</v>
      </c>
      <c r="CC51" s="4074" t="e">
        <f t="shared" ref="CC51:CC53" si="162">CB51/CB$89</f>
        <v>#DIV/0!</v>
      </c>
      <c r="CD51" s="4099"/>
      <c r="CE51" s="3341"/>
      <c r="CF51" s="3341"/>
      <c r="CG51" s="3349">
        <f t="shared" ref="CG51:CG52" si="163">CE51+CF51</f>
        <v>0</v>
      </c>
      <c r="CH51" s="4074" t="e">
        <f t="shared" ref="CH51:CH53" si="164">CG51/CG$89</f>
        <v>#DIV/0!</v>
      </c>
      <c r="CI51" s="4099"/>
      <c r="CJ51" s="3341">
        <f t="shared" ref="CJ51:CK53" si="165">C51+H51+M51+W51</f>
        <v>0</v>
      </c>
      <c r="CK51" s="3341">
        <f t="shared" si="165"/>
        <v>0</v>
      </c>
      <c r="CL51" s="2012">
        <f>CJ51+CK51*1</f>
        <v>0</v>
      </c>
      <c r="CM51" s="4074" t="e">
        <f>CL51/$CL$89</f>
        <v>#DIV/0!</v>
      </c>
      <c r="CN51" s="4100"/>
      <c r="CP51" s="2012">
        <f>CN51+CO51*1</f>
        <v>0</v>
      </c>
      <c r="CQ51" s="2012">
        <f>CO51+CP51*1</f>
        <v>0</v>
      </c>
      <c r="CR51" s="4161"/>
      <c r="CT51" s="2624"/>
    </row>
    <row r="52" spans="1:98" ht="13.8" outlineLevel="2">
      <c r="A52" s="1566"/>
      <c r="B52" s="4111" t="s">
        <v>61</v>
      </c>
      <c r="C52" s="3341"/>
      <c r="D52" s="3341"/>
      <c r="E52" s="3349">
        <f t="shared" si="132"/>
        <v>0</v>
      </c>
      <c r="F52" s="4074" t="e">
        <f t="shared" si="133"/>
        <v>#DIV/0!</v>
      </c>
      <c r="G52" s="4099"/>
      <c r="H52" s="3341"/>
      <c r="I52" s="3341"/>
      <c r="J52" s="3349">
        <f>H52+I52</f>
        <v>0</v>
      </c>
      <c r="K52" s="4074" t="e">
        <f t="shared" si="134"/>
        <v>#DIV/0!</v>
      </c>
      <c r="L52" s="4099"/>
      <c r="M52" s="3341"/>
      <c r="N52" s="3341"/>
      <c r="O52" s="3349">
        <f t="shared" si="135"/>
        <v>0</v>
      </c>
      <c r="P52" s="4074" t="e">
        <f t="shared" si="136"/>
        <v>#DIV/0!</v>
      </c>
      <c r="Q52" s="4099"/>
      <c r="R52" s="3342">
        <f t="shared" si="137"/>
        <v>0</v>
      </c>
      <c r="S52" s="3342">
        <f t="shared" si="137"/>
        <v>0</v>
      </c>
      <c r="T52" s="2012">
        <f t="shared" si="138"/>
        <v>0</v>
      </c>
      <c r="U52" s="3455"/>
      <c r="V52" s="3455"/>
      <c r="W52" s="3342">
        <f t="shared" si="139"/>
        <v>0</v>
      </c>
      <c r="X52" s="3342">
        <f t="shared" si="139"/>
        <v>0</v>
      </c>
      <c r="Y52" s="2012">
        <f t="shared" si="140"/>
        <v>0</v>
      </c>
      <c r="Z52" s="3455"/>
      <c r="AA52" s="3455"/>
      <c r="AB52" s="3341"/>
      <c r="AC52" s="3341"/>
      <c r="AD52" s="3349">
        <f t="shared" si="141"/>
        <v>0</v>
      </c>
      <c r="AE52" s="4074" t="e">
        <f t="shared" si="142"/>
        <v>#DIV/0!</v>
      </c>
      <c r="AF52" s="4099"/>
      <c r="AG52" s="3341"/>
      <c r="AH52" s="3341"/>
      <c r="AI52" s="3349">
        <f t="shared" si="143"/>
        <v>0</v>
      </c>
      <c r="AJ52" s="4074" t="e">
        <f t="shared" si="144"/>
        <v>#DIV/0!</v>
      </c>
      <c r="AK52" s="4099"/>
      <c r="AL52" s="3341"/>
      <c r="AM52" s="3341"/>
      <c r="AN52" s="3349">
        <f t="shared" si="145"/>
        <v>0</v>
      </c>
      <c r="AO52" s="4074" t="e">
        <f t="shared" si="146"/>
        <v>#DIV/0!</v>
      </c>
      <c r="AP52" s="4099"/>
      <c r="AQ52" s="3341"/>
      <c r="AR52" s="3341"/>
      <c r="AS52" s="3349">
        <f t="shared" si="147"/>
        <v>0</v>
      </c>
      <c r="AT52" s="4074" t="e">
        <f t="shared" si="148"/>
        <v>#DIV/0!</v>
      </c>
      <c r="AU52" s="4099"/>
      <c r="AV52" s="3341"/>
      <c r="AW52" s="3341"/>
      <c r="AX52" s="3349">
        <f t="shared" si="149"/>
        <v>0</v>
      </c>
      <c r="AY52" s="4074" t="e">
        <f t="shared" si="150"/>
        <v>#DIV/0!</v>
      </c>
      <c r="AZ52" s="4099"/>
      <c r="BA52" s="3341"/>
      <c r="BB52" s="3341"/>
      <c r="BC52" s="3349">
        <f t="shared" si="151"/>
        <v>0</v>
      </c>
      <c r="BD52" s="4074" t="e">
        <f t="shared" si="152"/>
        <v>#DIV/0!</v>
      </c>
      <c r="BE52" s="4099"/>
      <c r="BF52" s="3341"/>
      <c r="BG52" s="3341"/>
      <c r="BH52" s="3349">
        <f t="shared" si="153"/>
        <v>0</v>
      </c>
      <c r="BI52" s="4074" t="e">
        <f t="shared" si="154"/>
        <v>#DIV/0!</v>
      </c>
      <c r="BJ52" s="4099"/>
      <c r="BK52" s="3341"/>
      <c r="BL52" s="3341"/>
      <c r="BM52" s="3349">
        <f t="shared" si="155"/>
        <v>0</v>
      </c>
      <c r="BN52" s="4074" t="e">
        <f t="shared" si="156"/>
        <v>#DIV/0!</v>
      </c>
      <c r="BO52" s="4099"/>
      <c r="BP52" s="3341"/>
      <c r="BQ52" s="3341"/>
      <c r="BR52" s="3349">
        <f t="shared" si="157"/>
        <v>0</v>
      </c>
      <c r="BS52" s="4074" t="e">
        <f t="shared" si="158"/>
        <v>#DIV/0!</v>
      </c>
      <c r="BT52" s="4099"/>
      <c r="BU52" s="3341"/>
      <c r="BV52" s="3341"/>
      <c r="BW52" s="3349">
        <f t="shared" si="159"/>
        <v>0</v>
      </c>
      <c r="BX52" s="4074" t="e">
        <f t="shared" si="160"/>
        <v>#DIV/0!</v>
      </c>
      <c r="BY52" s="4099"/>
      <c r="BZ52" s="3341"/>
      <c r="CA52" s="3341"/>
      <c r="CB52" s="3349">
        <f t="shared" si="161"/>
        <v>0</v>
      </c>
      <c r="CC52" s="4074" t="e">
        <f t="shared" si="162"/>
        <v>#DIV/0!</v>
      </c>
      <c r="CD52" s="4099"/>
      <c r="CE52" s="3341"/>
      <c r="CF52" s="3341"/>
      <c r="CG52" s="3349">
        <f t="shared" si="163"/>
        <v>0</v>
      </c>
      <c r="CH52" s="4074" t="e">
        <f t="shared" si="164"/>
        <v>#DIV/0!</v>
      </c>
      <c r="CI52" s="4099"/>
      <c r="CJ52" s="3341">
        <f t="shared" si="165"/>
        <v>0</v>
      </c>
      <c r="CK52" s="3341">
        <f t="shared" si="165"/>
        <v>0</v>
      </c>
      <c r="CL52" s="2012">
        <f>CJ52+CK52*1</f>
        <v>0</v>
      </c>
      <c r="CM52" s="4074" t="e">
        <f>CL52/$CL$89</f>
        <v>#DIV/0!</v>
      </c>
      <c r="CN52" s="4100"/>
      <c r="CP52" s="2012">
        <f>CN52+CO52*1</f>
        <v>0</v>
      </c>
      <c r="CQ52" s="2012">
        <f>CO52+CP52*1</f>
        <v>0</v>
      </c>
      <c r="CR52" s="4161"/>
    </row>
    <row r="53" spans="1:98" ht="14.4" outlineLevel="1" thickBot="1">
      <c r="A53" s="1413"/>
      <c r="B53" s="4118"/>
      <c r="C53" s="3341"/>
      <c r="D53" s="3341"/>
      <c r="E53" s="4119"/>
      <c r="F53" s="4074" t="e">
        <f t="shared" si="133"/>
        <v>#DIV/0!</v>
      </c>
      <c r="G53" s="4120"/>
      <c r="H53" s="3341"/>
      <c r="I53" s="3341"/>
      <c r="J53" s="4119"/>
      <c r="K53" s="4074" t="e">
        <f t="shared" ref="K53:K54" si="166">J53/$E$89</f>
        <v>#DIV/0!</v>
      </c>
      <c r="L53" s="4120"/>
      <c r="M53" s="3341"/>
      <c r="N53" s="3341"/>
      <c r="O53" s="4119"/>
      <c r="P53" s="4074" t="e">
        <f t="shared" si="136"/>
        <v>#DIV/0!</v>
      </c>
      <c r="Q53" s="4120"/>
      <c r="R53" s="4121"/>
      <c r="S53" s="4120"/>
      <c r="T53" s="4120"/>
      <c r="U53" s="4120"/>
      <c r="V53" s="4120"/>
      <c r="W53" s="4120"/>
      <c r="X53" s="4120"/>
      <c r="Y53" s="4120"/>
      <c r="Z53" s="4120"/>
      <c r="AA53" s="4120"/>
      <c r="AB53" s="4082"/>
      <c r="AC53" s="4082"/>
      <c r="AD53" s="4119"/>
      <c r="AE53" s="4084" t="e">
        <f t="shared" si="142"/>
        <v>#DIV/0!</v>
      </c>
      <c r="AF53" s="4120"/>
      <c r="AG53" s="4082"/>
      <c r="AH53" s="4082"/>
      <c r="AI53" s="4119"/>
      <c r="AJ53" s="4084" t="e">
        <f t="shared" si="144"/>
        <v>#DIV/0!</v>
      </c>
      <c r="AK53" s="4120"/>
      <c r="AL53" s="4082"/>
      <c r="AM53" s="4082"/>
      <c r="AN53" s="4119"/>
      <c r="AO53" s="4084" t="e">
        <f t="shared" si="146"/>
        <v>#DIV/0!</v>
      </c>
      <c r="AP53" s="4120"/>
      <c r="AQ53" s="4082"/>
      <c r="AR53" s="4082"/>
      <c r="AS53" s="4119"/>
      <c r="AT53" s="4084" t="e">
        <f t="shared" si="148"/>
        <v>#DIV/0!</v>
      </c>
      <c r="AU53" s="4120"/>
      <c r="AV53" s="4082"/>
      <c r="AW53" s="4082"/>
      <c r="AX53" s="4119"/>
      <c r="AY53" s="4084" t="e">
        <f t="shared" si="150"/>
        <v>#DIV/0!</v>
      </c>
      <c r="AZ53" s="4120"/>
      <c r="BA53" s="4082"/>
      <c r="BB53" s="4082"/>
      <c r="BC53" s="4119"/>
      <c r="BD53" s="4084" t="e">
        <f t="shared" si="152"/>
        <v>#DIV/0!</v>
      </c>
      <c r="BE53" s="4120"/>
      <c r="BF53" s="4082"/>
      <c r="BG53" s="4082"/>
      <c r="BH53" s="4119"/>
      <c r="BI53" s="4084" t="e">
        <f t="shared" si="154"/>
        <v>#DIV/0!</v>
      </c>
      <c r="BJ53" s="4120"/>
      <c r="BK53" s="4082"/>
      <c r="BL53" s="4082"/>
      <c r="BM53" s="4119"/>
      <c r="BN53" s="4084" t="e">
        <f t="shared" si="156"/>
        <v>#DIV/0!</v>
      </c>
      <c r="BO53" s="4120"/>
      <c r="BP53" s="4082"/>
      <c r="BQ53" s="4082"/>
      <c r="BR53" s="4119"/>
      <c r="BS53" s="4084" t="e">
        <f t="shared" si="158"/>
        <v>#DIV/0!</v>
      </c>
      <c r="BT53" s="4120"/>
      <c r="BU53" s="4082"/>
      <c r="BV53" s="4082"/>
      <c r="BW53" s="4119"/>
      <c r="BX53" s="4084" t="e">
        <f t="shared" si="160"/>
        <v>#DIV/0!</v>
      </c>
      <c r="BY53" s="4120"/>
      <c r="BZ53" s="4082"/>
      <c r="CA53" s="4082"/>
      <c r="CB53" s="4119"/>
      <c r="CC53" s="4084" t="e">
        <f t="shared" si="162"/>
        <v>#DIV/0!</v>
      </c>
      <c r="CD53" s="4120"/>
      <c r="CE53" s="4082"/>
      <c r="CF53" s="4082"/>
      <c r="CG53" s="4119"/>
      <c r="CH53" s="4084" t="e">
        <f t="shared" si="164"/>
        <v>#DIV/0!</v>
      </c>
      <c r="CI53" s="4120"/>
      <c r="CJ53" s="4082">
        <f t="shared" si="165"/>
        <v>0</v>
      </c>
      <c r="CK53" s="4082">
        <f t="shared" si="165"/>
        <v>0</v>
      </c>
      <c r="CL53" s="4119"/>
      <c r="CM53" s="4119"/>
      <c r="CN53" s="4119"/>
      <c r="CP53" s="4122"/>
      <c r="CQ53" s="4122"/>
      <c r="CR53" s="4161"/>
    </row>
    <row r="54" spans="1:98" ht="13.8" outlineLevel="1">
      <c r="A54" s="1570"/>
      <c r="B54" s="1410" t="s">
        <v>1</v>
      </c>
      <c r="C54" s="2015">
        <f>SUM(C55:C72)</f>
        <v>0</v>
      </c>
      <c r="D54" s="2015">
        <f>SUM(D55:D72)</f>
        <v>0</v>
      </c>
      <c r="E54" s="2014">
        <f>SUM(E55:E72)</f>
        <v>0</v>
      </c>
      <c r="F54" s="4110" t="e">
        <f t="shared" si="133"/>
        <v>#DIV/0!</v>
      </c>
      <c r="G54" s="1057"/>
      <c r="H54" s="2015">
        <f>SUM(H55:H72)</f>
        <v>0</v>
      </c>
      <c r="I54" s="2015">
        <f>SUM(I55:I72)</f>
        <v>0</v>
      </c>
      <c r="J54" s="2014">
        <f>SUM(J55:J72)</f>
        <v>0</v>
      </c>
      <c r="K54" s="4110" t="e">
        <f t="shared" si="166"/>
        <v>#DIV/0!</v>
      </c>
      <c r="L54" s="1057"/>
      <c r="M54" s="2015">
        <f>SUM(M55:M72)</f>
        <v>0</v>
      </c>
      <c r="N54" s="2015">
        <f>SUM(N55:N72)</f>
        <v>0</v>
      </c>
      <c r="O54" s="2014">
        <f>SUM(O55:O72)</f>
        <v>0</v>
      </c>
      <c r="P54" s="4110" t="e">
        <f t="shared" ref="P54" si="167">O54/$E$89</f>
        <v>#DIV/0!</v>
      </c>
      <c r="Q54" s="1057"/>
      <c r="R54" s="2013">
        <f>SUM(R55:R72)</f>
        <v>0</v>
      </c>
      <c r="S54" s="2013">
        <f>SUM(S55:S72)</f>
        <v>0</v>
      </c>
      <c r="T54" s="2013">
        <f>SUM(T55:T72)</f>
        <v>0</v>
      </c>
      <c r="U54" s="1535"/>
      <c r="V54" s="3460"/>
      <c r="W54" s="2013">
        <f>SUM(W55:W72)</f>
        <v>0</v>
      </c>
      <c r="X54" s="2013">
        <f>SUM(X55:X72)</f>
        <v>0</v>
      </c>
      <c r="Y54" s="2013">
        <f>SUM(Y55:Y72)</f>
        <v>0</v>
      </c>
      <c r="Z54" s="1535"/>
      <c r="AA54" s="3460"/>
      <c r="AB54" s="2013">
        <f>SUM(AB55:AB72)</f>
        <v>0</v>
      </c>
      <c r="AC54" s="2013">
        <f>SUM(AC55:AC72)</f>
        <v>0</v>
      </c>
      <c r="AD54" s="2013">
        <f>SUM(AD55:AD72)</f>
        <v>0</v>
      </c>
      <c r="AE54" s="1535"/>
      <c r="AF54" s="3735"/>
      <c r="AG54" s="2013">
        <f>SUM(AG55:AG72)</f>
        <v>0</v>
      </c>
      <c r="AH54" s="2013">
        <f>SUM(AH55:AH72)</f>
        <v>0</v>
      </c>
      <c r="AI54" s="2013">
        <f>SUM(AI55:AI72)</f>
        <v>0</v>
      </c>
      <c r="AJ54" s="1535"/>
      <c r="AK54" s="3735"/>
      <c r="AL54" s="2013">
        <f>SUM(AL55:AL72)</f>
        <v>0</v>
      </c>
      <c r="AM54" s="2013">
        <f>SUM(AM55:AM72)</f>
        <v>0</v>
      </c>
      <c r="AN54" s="2013">
        <f>SUM(AN55:AN72)</f>
        <v>0</v>
      </c>
      <c r="AO54" s="1535"/>
      <c r="AP54" s="3735"/>
      <c r="AQ54" s="2013">
        <f>SUM(AQ55:AQ72)</f>
        <v>0</v>
      </c>
      <c r="AR54" s="2013">
        <f>SUM(AR55:AR72)</f>
        <v>0</v>
      </c>
      <c r="AS54" s="2013">
        <f>SUM(AS55:AS72)</f>
        <v>0</v>
      </c>
      <c r="AT54" s="1535"/>
      <c r="AU54" s="3735"/>
      <c r="AV54" s="2013">
        <f>SUM(AV55:AV72)</f>
        <v>0</v>
      </c>
      <c r="AW54" s="2013">
        <f>SUM(AW55:AW72)</f>
        <v>0</v>
      </c>
      <c r="AX54" s="2013">
        <f>SUM(AX55:AX72)</f>
        <v>0</v>
      </c>
      <c r="AY54" s="1535"/>
      <c r="AZ54" s="3735"/>
      <c r="BA54" s="2013">
        <f>SUM(BA55:BA72)</f>
        <v>0</v>
      </c>
      <c r="BB54" s="2013">
        <f>SUM(BB55:BB72)</f>
        <v>0</v>
      </c>
      <c r="BC54" s="2013">
        <f>SUM(BC55:BC72)</f>
        <v>0</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0</v>
      </c>
      <c r="CK54" s="2013">
        <f>SUM(CK55:CK72)</f>
        <v>0</v>
      </c>
      <c r="CL54" s="2013">
        <f>SUM(CL55:CL72)</f>
        <v>0</v>
      </c>
      <c r="CM54" s="1535" t="e">
        <f t="shared" ref="CM54:CM71" si="168">CL54/$CL$89</f>
        <v>#DIV/0!</v>
      </c>
      <c r="CN54" s="1061"/>
      <c r="CP54" s="2015">
        <f>SUM(CP55:CP72)</f>
        <v>0</v>
      </c>
      <c r="CQ54" s="2015">
        <f>SUM(CQ55:CQ72)</f>
        <v>0</v>
      </c>
      <c r="CR54" s="2015"/>
    </row>
    <row r="55" spans="1:98" ht="13.8" outlineLevel="2">
      <c r="A55" s="1571"/>
      <c r="B55" s="4098" t="s">
        <v>77</v>
      </c>
      <c r="C55" s="3349"/>
      <c r="D55" s="3349"/>
      <c r="E55" s="3349">
        <f t="shared" ref="E55:E71" si="169">C55+D55</f>
        <v>0</v>
      </c>
      <c r="F55" s="4074" t="e">
        <f t="shared" si="133"/>
        <v>#DIV/0!</v>
      </c>
      <c r="G55" s="4112"/>
      <c r="H55" s="3349"/>
      <c r="I55" s="3349"/>
      <c r="J55" s="3349">
        <f t="shared" ref="J55:J71" si="170">H55+I55</f>
        <v>0</v>
      </c>
      <c r="K55" s="4074" t="e">
        <f t="shared" ref="K55:K72" si="171">J55/J$89</f>
        <v>#DIV/0!</v>
      </c>
      <c r="L55" s="4112"/>
      <c r="M55" s="3349"/>
      <c r="N55" s="3349"/>
      <c r="O55" s="3349">
        <f t="shared" ref="O55:O71" si="172">M55+N55</f>
        <v>0</v>
      </c>
      <c r="P55" s="4074" t="e">
        <f t="shared" ref="P55:P72" si="173">O55/O$89</f>
        <v>#DIV/0!</v>
      </c>
      <c r="Q55" s="4112"/>
      <c r="R55" s="3342">
        <f t="shared" ref="R55:S71" si="174">M55+H55+C55</f>
        <v>0</v>
      </c>
      <c r="S55" s="3342">
        <f t="shared" si="174"/>
        <v>0</v>
      </c>
      <c r="T55" s="2012">
        <f t="shared" ref="T55:T71" si="175">R55+S55</f>
        <v>0</v>
      </c>
      <c r="U55" s="3462"/>
      <c r="V55" s="3462"/>
      <c r="W55" s="3342">
        <f t="shared" ref="W55:X71" si="176">AB55+AG55+AL55+AV55+BA55+BF55+BK55+BP55+BU55+BZ55+CE55+AQ55</f>
        <v>0</v>
      </c>
      <c r="X55" s="3342">
        <f t="shared" si="176"/>
        <v>0</v>
      </c>
      <c r="Y55" s="2012">
        <f t="shared" ref="Y55:Y71" si="177">W55+X55</f>
        <v>0</v>
      </c>
      <c r="Z55" s="3462"/>
      <c r="AA55" s="3462"/>
      <c r="AB55" s="3349"/>
      <c r="AC55" s="3349"/>
      <c r="AD55" s="3349">
        <f t="shared" ref="AD55:AD71" si="178">AB55+AC55</f>
        <v>0</v>
      </c>
      <c r="AE55" s="4074" t="e">
        <f t="shared" ref="AE55:AE71" si="179">AD55/AD$89</f>
        <v>#DIV/0!</v>
      </c>
      <c r="AF55" s="4112"/>
      <c r="AG55" s="3349"/>
      <c r="AH55" s="3349"/>
      <c r="AI55" s="3349">
        <f t="shared" ref="AI55:AI71" si="180">AG55+AH55</f>
        <v>0</v>
      </c>
      <c r="AJ55" s="4074" t="e">
        <f t="shared" ref="AJ55:AJ71" si="181">AI55/AI$89</f>
        <v>#DIV/0!</v>
      </c>
      <c r="AK55" s="4112"/>
      <c r="AL55" s="3349"/>
      <c r="AM55" s="3349"/>
      <c r="AN55" s="3349">
        <f t="shared" ref="AN55:AN71" si="182">AL55+AM55</f>
        <v>0</v>
      </c>
      <c r="AO55" s="4074" t="e">
        <f t="shared" ref="AO55:AO71" si="183">AN55/AN$89</f>
        <v>#DIV/0!</v>
      </c>
      <c r="AP55" s="4112"/>
      <c r="AQ55" s="3349"/>
      <c r="AR55" s="3349"/>
      <c r="AS55" s="3349">
        <f t="shared" ref="AS55:AS71" si="184">AQ55+AR55</f>
        <v>0</v>
      </c>
      <c r="AT55" s="4074" t="e">
        <f t="shared" ref="AT55:AT71" si="185">AS55/AS$89</f>
        <v>#DIV/0!</v>
      </c>
      <c r="AU55" s="4112"/>
      <c r="AV55" s="3349"/>
      <c r="AW55" s="3349"/>
      <c r="AX55" s="3349">
        <f t="shared" ref="AX55:AX71" si="186">AV55+AW55</f>
        <v>0</v>
      </c>
      <c r="AY55" s="4074" t="e">
        <f t="shared" ref="AY55:AY71" si="187">AX55/AX$89</f>
        <v>#DIV/0!</v>
      </c>
      <c r="AZ55" s="4112"/>
      <c r="BA55" s="3349"/>
      <c r="BB55" s="3349"/>
      <c r="BC55" s="3349">
        <f t="shared" ref="BC55:BC71" si="188">BA55+BB55</f>
        <v>0</v>
      </c>
      <c r="BD55" s="4074" t="e">
        <f t="shared" ref="BD55:BD71" si="189">BC55/BC$89</f>
        <v>#DIV/0!</v>
      </c>
      <c r="BE55" s="4112"/>
      <c r="BF55" s="3349"/>
      <c r="BG55" s="3349"/>
      <c r="BH55" s="3349">
        <f t="shared" ref="BH55:BH71" si="190">BF55+BG55</f>
        <v>0</v>
      </c>
      <c r="BI55" s="4074" t="e">
        <f t="shared" ref="BI55:BI71" si="191">BH55/BH$89</f>
        <v>#DIV/0!</v>
      </c>
      <c r="BJ55" s="4112"/>
      <c r="BK55" s="3349"/>
      <c r="BL55" s="3349"/>
      <c r="BM55" s="3349">
        <f t="shared" ref="BM55:BM71" si="192">BK55+BL55</f>
        <v>0</v>
      </c>
      <c r="BN55" s="4074" t="e">
        <f t="shared" ref="BN55:BN71" si="193">BM55/BM$89</f>
        <v>#DIV/0!</v>
      </c>
      <c r="BO55" s="4112"/>
      <c r="BP55" s="3349"/>
      <c r="BQ55" s="3349"/>
      <c r="BR55" s="3349">
        <f t="shared" ref="BR55:BR71" si="194">BP55+BQ55</f>
        <v>0</v>
      </c>
      <c r="BS55" s="4074" t="e">
        <f t="shared" ref="BS55:BS71" si="195">BR55/BR$89</f>
        <v>#DIV/0!</v>
      </c>
      <c r="BT55" s="4112"/>
      <c r="BU55" s="3349"/>
      <c r="BV55" s="3349"/>
      <c r="BW55" s="3349">
        <f t="shared" ref="BW55:BW71" si="196">BU55+BV55</f>
        <v>0</v>
      </c>
      <c r="BX55" s="4074" t="e">
        <f t="shared" ref="BX55:BX71" si="197">BW55/BW$89</f>
        <v>#DIV/0!</v>
      </c>
      <c r="BY55" s="4112"/>
      <c r="BZ55" s="3349"/>
      <c r="CA55" s="3349"/>
      <c r="CB55" s="3349">
        <f t="shared" ref="CB55:CB71" si="198">BZ55+CA55</f>
        <v>0</v>
      </c>
      <c r="CC55" s="4074" t="e">
        <f t="shared" ref="CC55:CC71" si="199">CB55/CB$89</f>
        <v>#DIV/0!</v>
      </c>
      <c r="CD55" s="4112"/>
      <c r="CE55" s="3349"/>
      <c r="CF55" s="3349"/>
      <c r="CG55" s="3349">
        <f t="shared" ref="CG55:CG71" si="200">CE55+CF55</f>
        <v>0</v>
      </c>
      <c r="CH55" s="4074" t="e">
        <f t="shared" ref="CH55:CH71" si="201">CG55/CG$89</f>
        <v>#DIV/0!</v>
      </c>
      <c r="CI55" s="4112"/>
      <c r="CJ55" s="3341">
        <f t="shared" ref="CJ55:CK71" si="202">C55+H55+M55+W55</f>
        <v>0</v>
      </c>
      <c r="CK55" s="3341">
        <f t="shared" si="202"/>
        <v>0</v>
      </c>
      <c r="CL55" s="2012">
        <f t="shared" ref="CL55:CL71" si="203">CJ55+CK55*1</f>
        <v>0</v>
      </c>
      <c r="CM55" s="4074" t="e">
        <f t="shared" si="168"/>
        <v>#DIV/0!</v>
      </c>
      <c r="CN55" s="4076"/>
      <c r="CP55" s="2012">
        <f t="shared" ref="CP55:CQ71" si="204">CN55+CO55*1</f>
        <v>0</v>
      </c>
      <c r="CQ55" s="2012">
        <f t="shared" si="204"/>
        <v>0</v>
      </c>
      <c r="CR55" s="4161"/>
    </row>
    <row r="56" spans="1:98" ht="13.8" outlineLevel="2">
      <c r="A56" s="1571"/>
      <c r="B56" s="4098" t="s">
        <v>76</v>
      </c>
      <c r="C56" s="3349"/>
      <c r="D56" s="3349"/>
      <c r="E56" s="3349">
        <f t="shared" si="169"/>
        <v>0</v>
      </c>
      <c r="F56" s="4074" t="e">
        <f t="shared" si="133"/>
        <v>#DIV/0!</v>
      </c>
      <c r="G56" s="4112"/>
      <c r="H56" s="3349"/>
      <c r="I56" s="3349"/>
      <c r="J56" s="3349">
        <f t="shared" si="170"/>
        <v>0</v>
      </c>
      <c r="K56" s="4074" t="e">
        <f t="shared" si="171"/>
        <v>#DIV/0!</v>
      </c>
      <c r="L56" s="4112"/>
      <c r="M56" s="3349"/>
      <c r="N56" s="3349"/>
      <c r="O56" s="3349">
        <f t="shared" si="172"/>
        <v>0</v>
      </c>
      <c r="P56" s="4074" t="e">
        <f t="shared" si="173"/>
        <v>#DIV/0!</v>
      </c>
      <c r="Q56" s="4112"/>
      <c r="R56" s="3342">
        <f t="shared" si="174"/>
        <v>0</v>
      </c>
      <c r="S56" s="3342">
        <f t="shared" si="174"/>
        <v>0</v>
      </c>
      <c r="T56" s="2012">
        <f t="shared" si="175"/>
        <v>0</v>
      </c>
      <c r="U56" s="3462"/>
      <c r="V56" s="3462"/>
      <c r="W56" s="3342">
        <f t="shared" si="176"/>
        <v>0</v>
      </c>
      <c r="X56" s="3342">
        <f t="shared" si="176"/>
        <v>0</v>
      </c>
      <c r="Y56" s="2012">
        <f t="shared" si="177"/>
        <v>0</v>
      </c>
      <c r="Z56" s="3462"/>
      <c r="AA56" s="3462"/>
      <c r="AB56" s="3349"/>
      <c r="AC56" s="3349"/>
      <c r="AD56" s="3349">
        <f t="shared" si="178"/>
        <v>0</v>
      </c>
      <c r="AE56" s="4074" t="e">
        <f t="shared" si="179"/>
        <v>#DIV/0!</v>
      </c>
      <c r="AF56" s="4112"/>
      <c r="AG56" s="3349"/>
      <c r="AH56" s="3349"/>
      <c r="AI56" s="3349">
        <f t="shared" si="180"/>
        <v>0</v>
      </c>
      <c r="AJ56" s="4074" t="e">
        <f t="shared" si="181"/>
        <v>#DIV/0!</v>
      </c>
      <c r="AK56" s="4112"/>
      <c r="AL56" s="3349"/>
      <c r="AM56" s="3349"/>
      <c r="AN56" s="3349">
        <f t="shared" si="182"/>
        <v>0</v>
      </c>
      <c r="AO56" s="4074" t="e">
        <f t="shared" si="183"/>
        <v>#DIV/0!</v>
      </c>
      <c r="AP56" s="4112"/>
      <c r="AQ56" s="3349"/>
      <c r="AR56" s="3349"/>
      <c r="AS56" s="3349">
        <f t="shared" si="184"/>
        <v>0</v>
      </c>
      <c r="AT56" s="4074" t="e">
        <f t="shared" si="185"/>
        <v>#DIV/0!</v>
      </c>
      <c r="AU56" s="4112"/>
      <c r="AV56" s="3349"/>
      <c r="AW56" s="3349"/>
      <c r="AX56" s="3349">
        <f t="shared" si="186"/>
        <v>0</v>
      </c>
      <c r="AY56" s="4074" t="e">
        <f t="shared" si="187"/>
        <v>#DIV/0!</v>
      </c>
      <c r="AZ56" s="4112"/>
      <c r="BA56" s="3349"/>
      <c r="BB56" s="3349"/>
      <c r="BC56" s="3349">
        <f t="shared" si="188"/>
        <v>0</v>
      </c>
      <c r="BD56" s="4074" t="e">
        <f t="shared" si="189"/>
        <v>#DIV/0!</v>
      </c>
      <c r="BE56" s="4112"/>
      <c r="BF56" s="3349"/>
      <c r="BG56" s="3349"/>
      <c r="BH56" s="3349">
        <f t="shared" si="190"/>
        <v>0</v>
      </c>
      <c r="BI56" s="4074" t="e">
        <f t="shared" si="191"/>
        <v>#DIV/0!</v>
      </c>
      <c r="BJ56" s="4112"/>
      <c r="BK56" s="3349"/>
      <c r="BL56" s="3349"/>
      <c r="BM56" s="3349">
        <f t="shared" si="192"/>
        <v>0</v>
      </c>
      <c r="BN56" s="4074" t="e">
        <f t="shared" si="193"/>
        <v>#DIV/0!</v>
      </c>
      <c r="BO56" s="4112"/>
      <c r="BP56" s="3349"/>
      <c r="BQ56" s="3349"/>
      <c r="BR56" s="3349">
        <f t="shared" si="194"/>
        <v>0</v>
      </c>
      <c r="BS56" s="4074" t="e">
        <f t="shared" si="195"/>
        <v>#DIV/0!</v>
      </c>
      <c r="BT56" s="4112"/>
      <c r="BU56" s="3349"/>
      <c r="BV56" s="3349"/>
      <c r="BW56" s="3349">
        <f t="shared" si="196"/>
        <v>0</v>
      </c>
      <c r="BX56" s="4074" t="e">
        <f t="shared" si="197"/>
        <v>#DIV/0!</v>
      </c>
      <c r="BY56" s="4112"/>
      <c r="BZ56" s="3349"/>
      <c r="CA56" s="3349"/>
      <c r="CB56" s="3349">
        <f t="shared" si="198"/>
        <v>0</v>
      </c>
      <c r="CC56" s="4074" t="e">
        <f t="shared" si="199"/>
        <v>#DIV/0!</v>
      </c>
      <c r="CD56" s="4112"/>
      <c r="CE56" s="3349"/>
      <c r="CF56" s="3349"/>
      <c r="CG56" s="3349">
        <f t="shared" si="200"/>
        <v>0</v>
      </c>
      <c r="CH56" s="4074" t="e">
        <f t="shared" si="201"/>
        <v>#DIV/0!</v>
      </c>
      <c r="CI56" s="4112"/>
      <c r="CJ56" s="3341">
        <f t="shared" si="202"/>
        <v>0</v>
      </c>
      <c r="CK56" s="3341">
        <f t="shared" si="202"/>
        <v>0</v>
      </c>
      <c r="CL56" s="2012">
        <f t="shared" si="203"/>
        <v>0</v>
      </c>
      <c r="CM56" s="4074" t="e">
        <f t="shared" si="168"/>
        <v>#DIV/0!</v>
      </c>
      <c r="CN56" s="4076"/>
      <c r="CP56" s="2012">
        <f t="shared" si="204"/>
        <v>0</v>
      </c>
      <c r="CQ56" s="2012">
        <f t="shared" si="204"/>
        <v>0</v>
      </c>
      <c r="CR56" s="4161"/>
    </row>
    <row r="57" spans="1:98" ht="13.8" outlineLevel="2">
      <c r="A57" s="1571"/>
      <c r="B57" s="4098" t="s">
        <v>68</v>
      </c>
      <c r="C57" s="3349"/>
      <c r="D57" s="3349"/>
      <c r="E57" s="3349">
        <f t="shared" si="169"/>
        <v>0</v>
      </c>
      <c r="F57" s="4074" t="e">
        <f t="shared" si="133"/>
        <v>#DIV/0!</v>
      </c>
      <c r="G57" s="4112"/>
      <c r="H57" s="3349"/>
      <c r="I57" s="3349"/>
      <c r="J57" s="3349">
        <f t="shared" si="170"/>
        <v>0</v>
      </c>
      <c r="K57" s="4074" t="e">
        <f t="shared" si="171"/>
        <v>#DIV/0!</v>
      </c>
      <c r="L57" s="4112"/>
      <c r="M57" s="3349"/>
      <c r="N57" s="3349"/>
      <c r="O57" s="3349">
        <f t="shared" si="172"/>
        <v>0</v>
      </c>
      <c r="P57" s="4074" t="e">
        <f t="shared" si="173"/>
        <v>#DIV/0!</v>
      </c>
      <c r="Q57" s="4112"/>
      <c r="R57" s="3342">
        <f t="shared" si="174"/>
        <v>0</v>
      </c>
      <c r="S57" s="3342">
        <f t="shared" si="174"/>
        <v>0</v>
      </c>
      <c r="T57" s="2012">
        <f t="shared" si="175"/>
        <v>0</v>
      </c>
      <c r="U57" s="3462"/>
      <c r="V57" s="3462"/>
      <c r="W57" s="3342">
        <f t="shared" si="176"/>
        <v>0</v>
      </c>
      <c r="X57" s="3342">
        <f t="shared" si="176"/>
        <v>0</v>
      </c>
      <c r="Y57" s="2012">
        <f t="shared" si="177"/>
        <v>0</v>
      </c>
      <c r="Z57" s="3462"/>
      <c r="AA57" s="3462"/>
      <c r="AB57" s="3349"/>
      <c r="AC57" s="3349"/>
      <c r="AD57" s="3349">
        <f t="shared" si="178"/>
        <v>0</v>
      </c>
      <c r="AE57" s="4074" t="e">
        <f t="shared" si="179"/>
        <v>#DIV/0!</v>
      </c>
      <c r="AF57" s="4112"/>
      <c r="AG57" s="3349"/>
      <c r="AH57" s="3349"/>
      <c r="AI57" s="3349">
        <f t="shared" si="180"/>
        <v>0</v>
      </c>
      <c r="AJ57" s="4074" t="e">
        <f t="shared" si="181"/>
        <v>#DIV/0!</v>
      </c>
      <c r="AK57" s="4112"/>
      <c r="AL57" s="3349"/>
      <c r="AM57" s="3349"/>
      <c r="AN57" s="3349">
        <f t="shared" si="182"/>
        <v>0</v>
      </c>
      <c r="AO57" s="4074" t="e">
        <f t="shared" si="183"/>
        <v>#DIV/0!</v>
      </c>
      <c r="AP57" s="4112"/>
      <c r="AQ57" s="3349"/>
      <c r="AR57" s="3349"/>
      <c r="AS57" s="3349">
        <f t="shared" si="184"/>
        <v>0</v>
      </c>
      <c r="AT57" s="4074" t="e">
        <f t="shared" si="185"/>
        <v>#DIV/0!</v>
      </c>
      <c r="AU57" s="4112"/>
      <c r="AV57" s="3349"/>
      <c r="AW57" s="3349"/>
      <c r="AX57" s="3349">
        <f t="shared" si="186"/>
        <v>0</v>
      </c>
      <c r="AY57" s="4074" t="e">
        <f t="shared" si="187"/>
        <v>#DIV/0!</v>
      </c>
      <c r="AZ57" s="4112"/>
      <c r="BA57" s="3349"/>
      <c r="BB57" s="3349"/>
      <c r="BC57" s="3349">
        <f t="shared" si="188"/>
        <v>0</v>
      </c>
      <c r="BD57" s="4074" t="e">
        <f t="shared" si="189"/>
        <v>#DIV/0!</v>
      </c>
      <c r="BE57" s="4112"/>
      <c r="BF57" s="3349"/>
      <c r="BG57" s="3349"/>
      <c r="BH57" s="3349">
        <f t="shared" si="190"/>
        <v>0</v>
      </c>
      <c r="BI57" s="4074" t="e">
        <f t="shared" si="191"/>
        <v>#DIV/0!</v>
      </c>
      <c r="BJ57" s="4112"/>
      <c r="BK57" s="3349"/>
      <c r="BL57" s="3349"/>
      <c r="BM57" s="3349">
        <f t="shared" si="192"/>
        <v>0</v>
      </c>
      <c r="BN57" s="4074" t="e">
        <f t="shared" si="193"/>
        <v>#DIV/0!</v>
      </c>
      <c r="BO57" s="4112"/>
      <c r="BP57" s="3349"/>
      <c r="BQ57" s="3349"/>
      <c r="BR57" s="3349">
        <f t="shared" si="194"/>
        <v>0</v>
      </c>
      <c r="BS57" s="4074" t="e">
        <f t="shared" si="195"/>
        <v>#DIV/0!</v>
      </c>
      <c r="BT57" s="4112"/>
      <c r="BU57" s="3349"/>
      <c r="BV57" s="3349"/>
      <c r="BW57" s="3349">
        <f t="shared" si="196"/>
        <v>0</v>
      </c>
      <c r="BX57" s="4074" t="e">
        <f t="shared" si="197"/>
        <v>#DIV/0!</v>
      </c>
      <c r="BY57" s="4112"/>
      <c r="BZ57" s="3349"/>
      <c r="CA57" s="3349"/>
      <c r="CB57" s="3349">
        <f t="shared" si="198"/>
        <v>0</v>
      </c>
      <c r="CC57" s="4074" t="e">
        <f t="shared" si="199"/>
        <v>#DIV/0!</v>
      </c>
      <c r="CD57" s="4112"/>
      <c r="CE57" s="3349"/>
      <c r="CF57" s="3349"/>
      <c r="CG57" s="3349">
        <f t="shared" si="200"/>
        <v>0</v>
      </c>
      <c r="CH57" s="4074" t="e">
        <f t="shared" si="201"/>
        <v>#DIV/0!</v>
      </c>
      <c r="CI57" s="4112"/>
      <c r="CJ57" s="3341">
        <f t="shared" si="202"/>
        <v>0</v>
      </c>
      <c r="CK57" s="3341">
        <f t="shared" si="202"/>
        <v>0</v>
      </c>
      <c r="CL57" s="2012">
        <f t="shared" si="203"/>
        <v>0</v>
      </c>
      <c r="CM57" s="4074" t="e">
        <f t="shared" si="168"/>
        <v>#DIV/0!</v>
      </c>
      <c r="CN57" s="4076"/>
      <c r="CP57" s="2012">
        <f t="shared" si="204"/>
        <v>0</v>
      </c>
      <c r="CQ57" s="2012">
        <f t="shared" si="204"/>
        <v>0</v>
      </c>
      <c r="CR57" s="4161"/>
    </row>
    <row r="58" spans="1:98" ht="13.8" outlineLevel="2">
      <c r="A58" s="1571"/>
      <c r="B58" s="4098" t="s">
        <v>67</v>
      </c>
      <c r="C58" s="3349"/>
      <c r="D58" s="3349"/>
      <c r="E58" s="3349">
        <f t="shared" si="169"/>
        <v>0</v>
      </c>
      <c r="F58" s="4074" t="e">
        <f t="shared" si="133"/>
        <v>#DIV/0!</v>
      </c>
      <c r="G58" s="4112"/>
      <c r="H58" s="3349"/>
      <c r="I58" s="3349"/>
      <c r="J58" s="3349">
        <f t="shared" si="170"/>
        <v>0</v>
      </c>
      <c r="K58" s="4074" t="e">
        <f t="shared" si="171"/>
        <v>#DIV/0!</v>
      </c>
      <c r="L58" s="4112"/>
      <c r="M58" s="3349"/>
      <c r="N58" s="3349"/>
      <c r="O58" s="3349">
        <f t="shared" si="172"/>
        <v>0</v>
      </c>
      <c r="P58" s="4074" t="e">
        <f t="shared" si="173"/>
        <v>#DIV/0!</v>
      </c>
      <c r="Q58" s="4112"/>
      <c r="R58" s="3342">
        <f t="shared" si="174"/>
        <v>0</v>
      </c>
      <c r="S58" s="3342">
        <f t="shared" si="174"/>
        <v>0</v>
      </c>
      <c r="T58" s="2012">
        <f t="shared" si="175"/>
        <v>0</v>
      </c>
      <c r="U58" s="3462"/>
      <c r="V58" s="3462"/>
      <c r="W58" s="3342">
        <f t="shared" si="176"/>
        <v>0</v>
      </c>
      <c r="X58" s="3342">
        <f t="shared" si="176"/>
        <v>0</v>
      </c>
      <c r="Y58" s="2012">
        <f t="shared" si="177"/>
        <v>0</v>
      </c>
      <c r="Z58" s="3462"/>
      <c r="AA58" s="3462"/>
      <c r="AB58" s="3349"/>
      <c r="AC58" s="3349"/>
      <c r="AD58" s="3349">
        <f t="shared" si="178"/>
        <v>0</v>
      </c>
      <c r="AE58" s="4074" t="e">
        <f t="shared" si="179"/>
        <v>#DIV/0!</v>
      </c>
      <c r="AF58" s="4112"/>
      <c r="AG58" s="3349"/>
      <c r="AH58" s="3349"/>
      <c r="AI58" s="3349">
        <f t="shared" si="180"/>
        <v>0</v>
      </c>
      <c r="AJ58" s="4074" t="e">
        <f t="shared" si="181"/>
        <v>#DIV/0!</v>
      </c>
      <c r="AK58" s="4112"/>
      <c r="AL58" s="3349"/>
      <c r="AM58" s="3349"/>
      <c r="AN58" s="3349">
        <f t="shared" si="182"/>
        <v>0</v>
      </c>
      <c r="AO58" s="4074" t="e">
        <f t="shared" si="183"/>
        <v>#DIV/0!</v>
      </c>
      <c r="AP58" s="4112"/>
      <c r="AQ58" s="3349"/>
      <c r="AR58" s="3349"/>
      <c r="AS58" s="3349">
        <f t="shared" si="184"/>
        <v>0</v>
      </c>
      <c r="AT58" s="4074" t="e">
        <f t="shared" si="185"/>
        <v>#DIV/0!</v>
      </c>
      <c r="AU58" s="4112"/>
      <c r="AV58" s="3349"/>
      <c r="AW58" s="3349"/>
      <c r="AX58" s="3349">
        <f t="shared" si="186"/>
        <v>0</v>
      </c>
      <c r="AY58" s="4074" t="e">
        <f t="shared" si="187"/>
        <v>#DIV/0!</v>
      </c>
      <c r="AZ58" s="4112"/>
      <c r="BA58" s="3349"/>
      <c r="BB58" s="3349"/>
      <c r="BC58" s="3349">
        <f t="shared" si="188"/>
        <v>0</v>
      </c>
      <c r="BD58" s="4074" t="e">
        <f t="shared" si="189"/>
        <v>#DIV/0!</v>
      </c>
      <c r="BE58" s="4112"/>
      <c r="BF58" s="3349"/>
      <c r="BG58" s="3349"/>
      <c r="BH58" s="3349">
        <f t="shared" si="190"/>
        <v>0</v>
      </c>
      <c r="BI58" s="4074" t="e">
        <f t="shared" si="191"/>
        <v>#DIV/0!</v>
      </c>
      <c r="BJ58" s="4112"/>
      <c r="BK58" s="3349"/>
      <c r="BL58" s="3349"/>
      <c r="BM58" s="3349">
        <f t="shared" si="192"/>
        <v>0</v>
      </c>
      <c r="BN58" s="4074" t="e">
        <f t="shared" si="193"/>
        <v>#DIV/0!</v>
      </c>
      <c r="BO58" s="4112"/>
      <c r="BP58" s="3349"/>
      <c r="BQ58" s="3349"/>
      <c r="BR58" s="3349">
        <f t="shared" si="194"/>
        <v>0</v>
      </c>
      <c r="BS58" s="4074" t="e">
        <f t="shared" si="195"/>
        <v>#DIV/0!</v>
      </c>
      <c r="BT58" s="4112"/>
      <c r="BU58" s="3349"/>
      <c r="BV58" s="3349"/>
      <c r="BW58" s="3349">
        <f t="shared" si="196"/>
        <v>0</v>
      </c>
      <c r="BX58" s="4074" t="e">
        <f t="shared" si="197"/>
        <v>#DIV/0!</v>
      </c>
      <c r="BY58" s="4112"/>
      <c r="BZ58" s="3349"/>
      <c r="CA58" s="3349"/>
      <c r="CB58" s="3349">
        <f t="shared" si="198"/>
        <v>0</v>
      </c>
      <c r="CC58" s="4074" t="e">
        <f t="shared" si="199"/>
        <v>#DIV/0!</v>
      </c>
      <c r="CD58" s="4112"/>
      <c r="CE58" s="3349"/>
      <c r="CF58" s="3349"/>
      <c r="CG58" s="3349">
        <f t="shared" si="200"/>
        <v>0</v>
      </c>
      <c r="CH58" s="4074" t="e">
        <f t="shared" si="201"/>
        <v>#DIV/0!</v>
      </c>
      <c r="CI58" s="4112"/>
      <c r="CJ58" s="3341">
        <f t="shared" si="202"/>
        <v>0</v>
      </c>
      <c r="CK58" s="3341">
        <f t="shared" si="202"/>
        <v>0</v>
      </c>
      <c r="CL58" s="2012">
        <f t="shared" si="203"/>
        <v>0</v>
      </c>
      <c r="CM58" s="4074" t="e">
        <f t="shared" si="168"/>
        <v>#DIV/0!</v>
      </c>
      <c r="CN58" s="4076"/>
      <c r="CP58" s="2012">
        <f t="shared" si="204"/>
        <v>0</v>
      </c>
      <c r="CQ58" s="2012">
        <f t="shared" si="204"/>
        <v>0</v>
      </c>
      <c r="CR58" s="4161"/>
    </row>
    <row r="59" spans="1:98" ht="13.8" outlineLevel="2">
      <c r="A59" s="1571"/>
      <c r="B59" s="4098" t="s">
        <v>66</v>
      </c>
      <c r="C59" s="3349"/>
      <c r="D59" s="3349"/>
      <c r="E59" s="3349">
        <f t="shared" si="169"/>
        <v>0</v>
      </c>
      <c r="F59" s="4074" t="e">
        <f t="shared" si="133"/>
        <v>#DIV/0!</v>
      </c>
      <c r="G59" s="4112"/>
      <c r="H59" s="3349"/>
      <c r="I59" s="3349"/>
      <c r="J59" s="3349">
        <f t="shared" si="170"/>
        <v>0</v>
      </c>
      <c r="K59" s="4074" t="e">
        <f t="shared" si="171"/>
        <v>#DIV/0!</v>
      </c>
      <c r="L59" s="4112"/>
      <c r="M59" s="3349"/>
      <c r="N59" s="3349"/>
      <c r="O59" s="3349">
        <f t="shared" si="172"/>
        <v>0</v>
      </c>
      <c r="P59" s="4074" t="e">
        <f t="shared" si="173"/>
        <v>#DIV/0!</v>
      </c>
      <c r="Q59" s="4112"/>
      <c r="R59" s="3342">
        <f t="shared" si="174"/>
        <v>0</v>
      </c>
      <c r="S59" s="3342">
        <f t="shared" si="174"/>
        <v>0</v>
      </c>
      <c r="T59" s="2012">
        <f t="shared" si="175"/>
        <v>0</v>
      </c>
      <c r="U59" s="3462"/>
      <c r="V59" s="3462"/>
      <c r="W59" s="3342">
        <f t="shared" si="176"/>
        <v>0</v>
      </c>
      <c r="X59" s="3342">
        <f t="shared" si="176"/>
        <v>0</v>
      </c>
      <c r="Y59" s="2012">
        <f t="shared" si="177"/>
        <v>0</v>
      </c>
      <c r="Z59" s="3462"/>
      <c r="AA59" s="3462"/>
      <c r="AB59" s="3349"/>
      <c r="AC59" s="3349"/>
      <c r="AD59" s="3349">
        <f t="shared" si="178"/>
        <v>0</v>
      </c>
      <c r="AE59" s="4074" t="e">
        <f t="shared" si="179"/>
        <v>#DIV/0!</v>
      </c>
      <c r="AF59" s="4112"/>
      <c r="AG59" s="3349"/>
      <c r="AH59" s="3349"/>
      <c r="AI59" s="3349">
        <f t="shared" si="180"/>
        <v>0</v>
      </c>
      <c r="AJ59" s="4074" t="e">
        <f t="shared" si="181"/>
        <v>#DIV/0!</v>
      </c>
      <c r="AK59" s="4112"/>
      <c r="AL59" s="3349"/>
      <c r="AM59" s="3349"/>
      <c r="AN59" s="3349">
        <f t="shared" si="182"/>
        <v>0</v>
      </c>
      <c r="AO59" s="4074" t="e">
        <f t="shared" si="183"/>
        <v>#DIV/0!</v>
      </c>
      <c r="AP59" s="4112"/>
      <c r="AQ59" s="3349"/>
      <c r="AR59" s="3349"/>
      <c r="AS59" s="3349">
        <f t="shared" si="184"/>
        <v>0</v>
      </c>
      <c r="AT59" s="4074" t="e">
        <f t="shared" si="185"/>
        <v>#DIV/0!</v>
      </c>
      <c r="AU59" s="4112"/>
      <c r="AV59" s="3349"/>
      <c r="AW59" s="3349"/>
      <c r="AX59" s="3349">
        <f t="shared" si="186"/>
        <v>0</v>
      </c>
      <c r="AY59" s="4074" t="e">
        <f t="shared" si="187"/>
        <v>#DIV/0!</v>
      </c>
      <c r="AZ59" s="4112"/>
      <c r="BA59" s="3349"/>
      <c r="BB59" s="3349"/>
      <c r="BC59" s="3349">
        <f t="shared" si="188"/>
        <v>0</v>
      </c>
      <c r="BD59" s="4074" t="e">
        <f t="shared" si="189"/>
        <v>#DIV/0!</v>
      </c>
      <c r="BE59" s="4112"/>
      <c r="BF59" s="3349"/>
      <c r="BG59" s="3349"/>
      <c r="BH59" s="3349">
        <f t="shared" si="190"/>
        <v>0</v>
      </c>
      <c r="BI59" s="4074" t="e">
        <f t="shared" si="191"/>
        <v>#DIV/0!</v>
      </c>
      <c r="BJ59" s="4112"/>
      <c r="BK59" s="3349"/>
      <c r="BL59" s="3349"/>
      <c r="BM59" s="3349">
        <f t="shared" si="192"/>
        <v>0</v>
      </c>
      <c r="BN59" s="4074" t="e">
        <f t="shared" si="193"/>
        <v>#DIV/0!</v>
      </c>
      <c r="BO59" s="4112"/>
      <c r="BP59" s="3349"/>
      <c r="BQ59" s="3349"/>
      <c r="BR59" s="3349">
        <f t="shared" si="194"/>
        <v>0</v>
      </c>
      <c r="BS59" s="4074" t="e">
        <f t="shared" si="195"/>
        <v>#DIV/0!</v>
      </c>
      <c r="BT59" s="4112"/>
      <c r="BU59" s="3349"/>
      <c r="BV59" s="3349"/>
      <c r="BW59" s="3349">
        <f t="shared" si="196"/>
        <v>0</v>
      </c>
      <c r="BX59" s="4074" t="e">
        <f t="shared" si="197"/>
        <v>#DIV/0!</v>
      </c>
      <c r="BY59" s="4112"/>
      <c r="BZ59" s="3349"/>
      <c r="CA59" s="3349"/>
      <c r="CB59" s="3349">
        <f t="shared" si="198"/>
        <v>0</v>
      </c>
      <c r="CC59" s="4074" t="e">
        <f t="shared" si="199"/>
        <v>#DIV/0!</v>
      </c>
      <c r="CD59" s="4112"/>
      <c r="CE59" s="3349"/>
      <c r="CF59" s="3349"/>
      <c r="CG59" s="3349">
        <f t="shared" si="200"/>
        <v>0</v>
      </c>
      <c r="CH59" s="4074" t="e">
        <f t="shared" si="201"/>
        <v>#DIV/0!</v>
      </c>
      <c r="CI59" s="4112"/>
      <c r="CJ59" s="3341">
        <f t="shared" si="202"/>
        <v>0</v>
      </c>
      <c r="CK59" s="3341">
        <f t="shared" si="202"/>
        <v>0</v>
      </c>
      <c r="CL59" s="2012">
        <f t="shared" si="203"/>
        <v>0</v>
      </c>
      <c r="CM59" s="4074" t="e">
        <f t="shared" si="168"/>
        <v>#DIV/0!</v>
      </c>
      <c r="CN59" s="4076"/>
      <c r="CP59" s="2012">
        <f t="shared" si="204"/>
        <v>0</v>
      </c>
      <c r="CQ59" s="2012">
        <f t="shared" si="204"/>
        <v>0</v>
      </c>
      <c r="CR59" s="4161"/>
    </row>
    <row r="60" spans="1:98" ht="13.8" outlineLevel="2">
      <c r="A60" s="1571"/>
      <c r="B60" s="4098" t="s">
        <v>65</v>
      </c>
      <c r="C60" s="3349"/>
      <c r="D60" s="3349"/>
      <c r="E60" s="3349">
        <f t="shared" si="169"/>
        <v>0</v>
      </c>
      <c r="F60" s="4074" t="e">
        <f t="shared" si="133"/>
        <v>#DIV/0!</v>
      </c>
      <c r="G60" s="4112"/>
      <c r="H60" s="3349"/>
      <c r="I60" s="3349"/>
      <c r="J60" s="3349">
        <f t="shared" si="170"/>
        <v>0</v>
      </c>
      <c r="K60" s="4074" t="e">
        <f t="shared" si="171"/>
        <v>#DIV/0!</v>
      </c>
      <c r="L60" s="4112"/>
      <c r="M60" s="3349"/>
      <c r="N60" s="3349"/>
      <c r="O60" s="3349">
        <f t="shared" si="172"/>
        <v>0</v>
      </c>
      <c r="P60" s="4074" t="e">
        <f t="shared" si="173"/>
        <v>#DIV/0!</v>
      </c>
      <c r="Q60" s="4112"/>
      <c r="R60" s="3342">
        <f t="shared" si="174"/>
        <v>0</v>
      </c>
      <c r="S60" s="3342">
        <f t="shared" si="174"/>
        <v>0</v>
      </c>
      <c r="T60" s="2012">
        <f t="shared" si="175"/>
        <v>0</v>
      </c>
      <c r="U60" s="3462"/>
      <c r="V60" s="3462"/>
      <c r="W60" s="3342">
        <f t="shared" si="176"/>
        <v>0</v>
      </c>
      <c r="X60" s="3342">
        <f t="shared" si="176"/>
        <v>0</v>
      </c>
      <c r="Y60" s="2012">
        <f t="shared" si="177"/>
        <v>0</v>
      </c>
      <c r="Z60" s="3462"/>
      <c r="AA60" s="3462"/>
      <c r="AB60" s="3349"/>
      <c r="AC60" s="3349"/>
      <c r="AD60" s="3349">
        <f t="shared" si="178"/>
        <v>0</v>
      </c>
      <c r="AE60" s="4074" t="e">
        <f t="shared" si="179"/>
        <v>#DIV/0!</v>
      </c>
      <c r="AF60" s="4112"/>
      <c r="AG60" s="3349"/>
      <c r="AH60" s="3349"/>
      <c r="AI60" s="3349">
        <f t="shared" si="180"/>
        <v>0</v>
      </c>
      <c r="AJ60" s="4074" t="e">
        <f t="shared" si="181"/>
        <v>#DIV/0!</v>
      </c>
      <c r="AK60" s="4112"/>
      <c r="AL60" s="3349"/>
      <c r="AM60" s="3349"/>
      <c r="AN60" s="3349">
        <f t="shared" si="182"/>
        <v>0</v>
      </c>
      <c r="AO60" s="4074" t="e">
        <f t="shared" si="183"/>
        <v>#DIV/0!</v>
      </c>
      <c r="AP60" s="4112"/>
      <c r="AQ60" s="3349"/>
      <c r="AR60" s="3349"/>
      <c r="AS60" s="3349">
        <f t="shared" si="184"/>
        <v>0</v>
      </c>
      <c r="AT60" s="4074" t="e">
        <f t="shared" si="185"/>
        <v>#DIV/0!</v>
      </c>
      <c r="AU60" s="4112"/>
      <c r="AV60" s="3349"/>
      <c r="AW60" s="3349"/>
      <c r="AX60" s="3349">
        <f t="shared" si="186"/>
        <v>0</v>
      </c>
      <c r="AY60" s="4074" t="e">
        <f t="shared" si="187"/>
        <v>#DIV/0!</v>
      </c>
      <c r="AZ60" s="4112"/>
      <c r="BA60" s="3349"/>
      <c r="BB60" s="3349"/>
      <c r="BC60" s="3349">
        <f t="shared" si="188"/>
        <v>0</v>
      </c>
      <c r="BD60" s="4074" t="e">
        <f t="shared" si="189"/>
        <v>#DIV/0!</v>
      </c>
      <c r="BE60" s="4112"/>
      <c r="BF60" s="3349"/>
      <c r="BG60" s="3349"/>
      <c r="BH60" s="3349">
        <f t="shared" si="190"/>
        <v>0</v>
      </c>
      <c r="BI60" s="4074" t="e">
        <f t="shared" si="191"/>
        <v>#DIV/0!</v>
      </c>
      <c r="BJ60" s="4112"/>
      <c r="BK60" s="3349"/>
      <c r="BL60" s="3349"/>
      <c r="BM60" s="3349">
        <f t="shared" si="192"/>
        <v>0</v>
      </c>
      <c r="BN60" s="4074" t="e">
        <f t="shared" si="193"/>
        <v>#DIV/0!</v>
      </c>
      <c r="BO60" s="4112"/>
      <c r="BP60" s="3349"/>
      <c r="BQ60" s="3349"/>
      <c r="BR60" s="3349">
        <f t="shared" si="194"/>
        <v>0</v>
      </c>
      <c r="BS60" s="4074" t="e">
        <f t="shared" si="195"/>
        <v>#DIV/0!</v>
      </c>
      <c r="BT60" s="4112"/>
      <c r="BU60" s="3349"/>
      <c r="BV60" s="3349"/>
      <c r="BW60" s="3349">
        <f t="shared" si="196"/>
        <v>0</v>
      </c>
      <c r="BX60" s="4074" t="e">
        <f t="shared" si="197"/>
        <v>#DIV/0!</v>
      </c>
      <c r="BY60" s="4112"/>
      <c r="BZ60" s="3349"/>
      <c r="CA60" s="3349"/>
      <c r="CB60" s="3349">
        <f t="shared" si="198"/>
        <v>0</v>
      </c>
      <c r="CC60" s="4074" t="e">
        <f t="shared" si="199"/>
        <v>#DIV/0!</v>
      </c>
      <c r="CD60" s="4112"/>
      <c r="CE60" s="3349"/>
      <c r="CF60" s="3349"/>
      <c r="CG60" s="3349">
        <f t="shared" si="200"/>
        <v>0</v>
      </c>
      <c r="CH60" s="4074" t="e">
        <f t="shared" si="201"/>
        <v>#DIV/0!</v>
      </c>
      <c r="CI60" s="4112"/>
      <c r="CJ60" s="3341">
        <f t="shared" si="202"/>
        <v>0</v>
      </c>
      <c r="CK60" s="3341">
        <f t="shared" si="202"/>
        <v>0</v>
      </c>
      <c r="CL60" s="2012">
        <f t="shared" si="203"/>
        <v>0</v>
      </c>
      <c r="CM60" s="4074" t="e">
        <f t="shared" si="168"/>
        <v>#DIV/0!</v>
      </c>
      <c r="CN60" s="4076"/>
      <c r="CP60" s="2012">
        <f t="shared" si="204"/>
        <v>0</v>
      </c>
      <c r="CQ60" s="2012">
        <f t="shared" si="204"/>
        <v>0</v>
      </c>
      <c r="CR60" s="4161"/>
    </row>
    <row r="61" spans="1:98" ht="13.8" outlineLevel="2">
      <c r="A61" s="1571"/>
      <c r="B61" s="4098" t="s">
        <v>32</v>
      </c>
      <c r="C61" s="3349"/>
      <c r="D61" s="3349"/>
      <c r="E61" s="3349">
        <f t="shared" si="169"/>
        <v>0</v>
      </c>
      <c r="F61" s="4074" t="e">
        <f t="shared" si="133"/>
        <v>#DIV/0!</v>
      </c>
      <c r="G61" s="4112"/>
      <c r="H61" s="3349"/>
      <c r="I61" s="3349"/>
      <c r="J61" s="3349">
        <f t="shared" si="170"/>
        <v>0</v>
      </c>
      <c r="K61" s="4074" t="e">
        <f t="shared" si="171"/>
        <v>#DIV/0!</v>
      </c>
      <c r="L61" s="4112"/>
      <c r="M61" s="3349"/>
      <c r="N61" s="3349"/>
      <c r="O61" s="3349">
        <f t="shared" si="172"/>
        <v>0</v>
      </c>
      <c r="P61" s="4074" t="e">
        <f t="shared" si="173"/>
        <v>#DIV/0!</v>
      </c>
      <c r="Q61" s="4112"/>
      <c r="R61" s="3342">
        <f t="shared" si="174"/>
        <v>0</v>
      </c>
      <c r="S61" s="3342">
        <f t="shared" si="174"/>
        <v>0</v>
      </c>
      <c r="T61" s="2012">
        <f t="shared" si="175"/>
        <v>0</v>
      </c>
      <c r="U61" s="3462"/>
      <c r="V61" s="3462"/>
      <c r="W61" s="3342">
        <f t="shared" si="176"/>
        <v>0</v>
      </c>
      <c r="X61" s="3342">
        <f t="shared" si="176"/>
        <v>0</v>
      </c>
      <c r="Y61" s="2012">
        <f t="shared" si="177"/>
        <v>0</v>
      </c>
      <c r="Z61" s="3462"/>
      <c r="AA61" s="3462"/>
      <c r="AB61" s="3349"/>
      <c r="AC61" s="3349"/>
      <c r="AD61" s="3349">
        <f t="shared" si="178"/>
        <v>0</v>
      </c>
      <c r="AE61" s="4074" t="e">
        <f t="shared" si="179"/>
        <v>#DIV/0!</v>
      </c>
      <c r="AF61" s="4112"/>
      <c r="AG61" s="3349"/>
      <c r="AH61" s="3349"/>
      <c r="AI61" s="3349">
        <f t="shared" si="180"/>
        <v>0</v>
      </c>
      <c r="AJ61" s="4074" t="e">
        <f t="shared" si="181"/>
        <v>#DIV/0!</v>
      </c>
      <c r="AK61" s="4112"/>
      <c r="AL61" s="3349"/>
      <c r="AM61" s="3349"/>
      <c r="AN61" s="3349">
        <f t="shared" si="182"/>
        <v>0</v>
      </c>
      <c r="AO61" s="4074" t="e">
        <f t="shared" si="183"/>
        <v>#DIV/0!</v>
      </c>
      <c r="AP61" s="4112"/>
      <c r="AQ61" s="3349"/>
      <c r="AR61" s="3349"/>
      <c r="AS61" s="3349">
        <f t="shared" si="184"/>
        <v>0</v>
      </c>
      <c r="AT61" s="4074" t="e">
        <f t="shared" si="185"/>
        <v>#DIV/0!</v>
      </c>
      <c r="AU61" s="4112"/>
      <c r="AV61" s="3349"/>
      <c r="AW61" s="3349"/>
      <c r="AX61" s="3349">
        <f t="shared" si="186"/>
        <v>0</v>
      </c>
      <c r="AY61" s="4074" t="e">
        <f t="shared" si="187"/>
        <v>#DIV/0!</v>
      </c>
      <c r="AZ61" s="4112"/>
      <c r="BA61" s="3349"/>
      <c r="BB61" s="3349"/>
      <c r="BC61" s="3349">
        <f t="shared" si="188"/>
        <v>0</v>
      </c>
      <c r="BD61" s="4074" t="e">
        <f t="shared" si="189"/>
        <v>#DIV/0!</v>
      </c>
      <c r="BE61" s="4112"/>
      <c r="BF61" s="3349"/>
      <c r="BG61" s="3349"/>
      <c r="BH61" s="3349">
        <f t="shared" si="190"/>
        <v>0</v>
      </c>
      <c r="BI61" s="4074" t="e">
        <f t="shared" si="191"/>
        <v>#DIV/0!</v>
      </c>
      <c r="BJ61" s="4112"/>
      <c r="BK61" s="3349"/>
      <c r="BL61" s="3349"/>
      <c r="BM61" s="3349">
        <f t="shared" si="192"/>
        <v>0</v>
      </c>
      <c r="BN61" s="4074" t="e">
        <f t="shared" si="193"/>
        <v>#DIV/0!</v>
      </c>
      <c r="BO61" s="4112"/>
      <c r="BP61" s="3349"/>
      <c r="BQ61" s="3349"/>
      <c r="BR61" s="3349">
        <f t="shared" si="194"/>
        <v>0</v>
      </c>
      <c r="BS61" s="4074" t="e">
        <f t="shared" si="195"/>
        <v>#DIV/0!</v>
      </c>
      <c r="BT61" s="4112"/>
      <c r="BU61" s="3349"/>
      <c r="BV61" s="3349"/>
      <c r="BW61" s="3349">
        <f t="shared" si="196"/>
        <v>0</v>
      </c>
      <c r="BX61" s="4074" t="e">
        <f t="shared" si="197"/>
        <v>#DIV/0!</v>
      </c>
      <c r="BY61" s="4112"/>
      <c r="BZ61" s="3349"/>
      <c r="CA61" s="3349"/>
      <c r="CB61" s="3349">
        <f t="shared" si="198"/>
        <v>0</v>
      </c>
      <c r="CC61" s="4074" t="e">
        <f t="shared" si="199"/>
        <v>#DIV/0!</v>
      </c>
      <c r="CD61" s="4112"/>
      <c r="CE61" s="3349"/>
      <c r="CF61" s="3349"/>
      <c r="CG61" s="3349">
        <f t="shared" si="200"/>
        <v>0</v>
      </c>
      <c r="CH61" s="4074" t="e">
        <f t="shared" si="201"/>
        <v>#DIV/0!</v>
      </c>
      <c r="CI61" s="4112"/>
      <c r="CJ61" s="3341">
        <f t="shared" si="202"/>
        <v>0</v>
      </c>
      <c r="CK61" s="3341">
        <f t="shared" si="202"/>
        <v>0</v>
      </c>
      <c r="CL61" s="2012">
        <f t="shared" si="203"/>
        <v>0</v>
      </c>
      <c r="CM61" s="4074" t="e">
        <f t="shared" si="168"/>
        <v>#DIV/0!</v>
      </c>
      <c r="CN61" s="4076"/>
      <c r="CP61" s="2012">
        <f t="shared" si="204"/>
        <v>0</v>
      </c>
      <c r="CQ61" s="2012">
        <f t="shared" si="204"/>
        <v>0</v>
      </c>
      <c r="CR61" s="4161"/>
    </row>
    <row r="62" spans="1:98" ht="13.8" outlineLevel="2">
      <c r="A62" s="1571"/>
      <c r="B62" s="4098" t="s">
        <v>33</v>
      </c>
      <c r="C62" s="3349"/>
      <c r="D62" s="3349"/>
      <c r="E62" s="3349">
        <f t="shared" si="169"/>
        <v>0</v>
      </c>
      <c r="F62" s="4074" t="e">
        <f t="shared" si="133"/>
        <v>#DIV/0!</v>
      </c>
      <c r="G62" s="4112"/>
      <c r="H62" s="3349"/>
      <c r="I62" s="3349"/>
      <c r="J62" s="3349">
        <f t="shared" si="170"/>
        <v>0</v>
      </c>
      <c r="K62" s="4074" t="e">
        <f t="shared" si="171"/>
        <v>#DIV/0!</v>
      </c>
      <c r="L62" s="4112"/>
      <c r="M62" s="3349"/>
      <c r="N62" s="3349"/>
      <c r="O62" s="3349">
        <f t="shared" si="172"/>
        <v>0</v>
      </c>
      <c r="P62" s="4074" t="e">
        <f t="shared" si="173"/>
        <v>#DIV/0!</v>
      </c>
      <c r="Q62" s="4112"/>
      <c r="R62" s="3342">
        <f t="shared" si="174"/>
        <v>0</v>
      </c>
      <c r="S62" s="3342">
        <f t="shared" si="174"/>
        <v>0</v>
      </c>
      <c r="T62" s="2012">
        <f t="shared" si="175"/>
        <v>0</v>
      </c>
      <c r="U62" s="3462"/>
      <c r="V62" s="3462"/>
      <c r="W62" s="3342">
        <f t="shared" si="176"/>
        <v>0</v>
      </c>
      <c r="X62" s="3342">
        <f t="shared" si="176"/>
        <v>0</v>
      </c>
      <c r="Y62" s="2012">
        <f t="shared" si="177"/>
        <v>0</v>
      </c>
      <c r="Z62" s="3462"/>
      <c r="AA62" s="3462"/>
      <c r="AB62" s="3349"/>
      <c r="AC62" s="3349"/>
      <c r="AD62" s="3349">
        <f t="shared" si="178"/>
        <v>0</v>
      </c>
      <c r="AE62" s="4074" t="e">
        <f t="shared" si="179"/>
        <v>#DIV/0!</v>
      </c>
      <c r="AF62" s="4112"/>
      <c r="AG62" s="3349"/>
      <c r="AH62" s="3349"/>
      <c r="AI62" s="3349">
        <f t="shared" si="180"/>
        <v>0</v>
      </c>
      <c r="AJ62" s="4074" t="e">
        <f t="shared" si="181"/>
        <v>#DIV/0!</v>
      </c>
      <c r="AK62" s="4112"/>
      <c r="AL62" s="3349"/>
      <c r="AM62" s="3349"/>
      <c r="AN62" s="3349">
        <f t="shared" si="182"/>
        <v>0</v>
      </c>
      <c r="AO62" s="4074" t="e">
        <f t="shared" si="183"/>
        <v>#DIV/0!</v>
      </c>
      <c r="AP62" s="4112"/>
      <c r="AQ62" s="3349"/>
      <c r="AR62" s="3349"/>
      <c r="AS62" s="3349">
        <f t="shared" si="184"/>
        <v>0</v>
      </c>
      <c r="AT62" s="4074" t="e">
        <f t="shared" si="185"/>
        <v>#DIV/0!</v>
      </c>
      <c r="AU62" s="4112"/>
      <c r="AV62" s="3349"/>
      <c r="AW62" s="3349"/>
      <c r="AX62" s="3349">
        <f t="shared" si="186"/>
        <v>0</v>
      </c>
      <c r="AY62" s="4074" t="e">
        <f t="shared" si="187"/>
        <v>#DIV/0!</v>
      </c>
      <c r="AZ62" s="4112"/>
      <c r="BA62" s="3349"/>
      <c r="BB62" s="3349"/>
      <c r="BC62" s="3349">
        <f t="shared" si="188"/>
        <v>0</v>
      </c>
      <c r="BD62" s="4074" t="e">
        <f t="shared" si="189"/>
        <v>#DIV/0!</v>
      </c>
      <c r="BE62" s="4112"/>
      <c r="BF62" s="3349"/>
      <c r="BG62" s="3349"/>
      <c r="BH62" s="3349">
        <f t="shared" si="190"/>
        <v>0</v>
      </c>
      <c r="BI62" s="4074" t="e">
        <f t="shared" si="191"/>
        <v>#DIV/0!</v>
      </c>
      <c r="BJ62" s="4112"/>
      <c r="BK62" s="3349"/>
      <c r="BL62" s="3349"/>
      <c r="BM62" s="3349">
        <f t="shared" si="192"/>
        <v>0</v>
      </c>
      <c r="BN62" s="4074" t="e">
        <f t="shared" si="193"/>
        <v>#DIV/0!</v>
      </c>
      <c r="BO62" s="4112"/>
      <c r="BP62" s="3349"/>
      <c r="BQ62" s="3349"/>
      <c r="BR62" s="3349">
        <f t="shared" si="194"/>
        <v>0</v>
      </c>
      <c r="BS62" s="4074" t="e">
        <f t="shared" si="195"/>
        <v>#DIV/0!</v>
      </c>
      <c r="BT62" s="4112"/>
      <c r="BU62" s="3349"/>
      <c r="BV62" s="3349"/>
      <c r="BW62" s="3349">
        <f t="shared" si="196"/>
        <v>0</v>
      </c>
      <c r="BX62" s="4074" t="e">
        <f t="shared" si="197"/>
        <v>#DIV/0!</v>
      </c>
      <c r="BY62" s="4112"/>
      <c r="BZ62" s="3349"/>
      <c r="CA62" s="3349"/>
      <c r="CB62" s="3349">
        <f t="shared" si="198"/>
        <v>0</v>
      </c>
      <c r="CC62" s="4074" t="e">
        <f t="shared" si="199"/>
        <v>#DIV/0!</v>
      </c>
      <c r="CD62" s="4112"/>
      <c r="CE62" s="3349"/>
      <c r="CF62" s="3349"/>
      <c r="CG62" s="3349">
        <f t="shared" si="200"/>
        <v>0</v>
      </c>
      <c r="CH62" s="4074" t="e">
        <f t="shared" si="201"/>
        <v>#DIV/0!</v>
      </c>
      <c r="CI62" s="4112"/>
      <c r="CJ62" s="3341">
        <f t="shared" si="202"/>
        <v>0</v>
      </c>
      <c r="CK62" s="3341">
        <f t="shared" si="202"/>
        <v>0</v>
      </c>
      <c r="CL62" s="2012">
        <f t="shared" si="203"/>
        <v>0</v>
      </c>
      <c r="CM62" s="4074" t="e">
        <f t="shared" si="168"/>
        <v>#DIV/0!</v>
      </c>
      <c r="CN62" s="4076"/>
      <c r="CP62" s="2012">
        <f t="shared" si="204"/>
        <v>0</v>
      </c>
      <c r="CQ62" s="2012">
        <f t="shared" si="204"/>
        <v>0</v>
      </c>
      <c r="CR62" s="4161"/>
    </row>
    <row r="63" spans="1:98" ht="13.8" outlineLevel="2">
      <c r="A63" s="1571"/>
      <c r="B63" s="4098" t="s">
        <v>35</v>
      </c>
      <c r="C63" s="3349"/>
      <c r="D63" s="3349"/>
      <c r="E63" s="3349">
        <f t="shared" si="169"/>
        <v>0</v>
      </c>
      <c r="F63" s="4074" t="e">
        <f t="shared" si="133"/>
        <v>#DIV/0!</v>
      </c>
      <c r="G63" s="4112"/>
      <c r="H63" s="3349"/>
      <c r="I63" s="3349"/>
      <c r="J63" s="3349">
        <f t="shared" si="170"/>
        <v>0</v>
      </c>
      <c r="K63" s="4074" t="e">
        <f t="shared" si="171"/>
        <v>#DIV/0!</v>
      </c>
      <c r="L63" s="4112"/>
      <c r="M63" s="3349"/>
      <c r="N63" s="3349"/>
      <c r="O63" s="3349">
        <f t="shared" si="172"/>
        <v>0</v>
      </c>
      <c r="P63" s="4074" t="e">
        <f t="shared" si="173"/>
        <v>#DIV/0!</v>
      </c>
      <c r="Q63" s="4112"/>
      <c r="R63" s="3342">
        <f t="shared" si="174"/>
        <v>0</v>
      </c>
      <c r="S63" s="3342">
        <f t="shared" si="174"/>
        <v>0</v>
      </c>
      <c r="T63" s="2012">
        <f t="shared" si="175"/>
        <v>0</v>
      </c>
      <c r="U63" s="3462"/>
      <c r="V63" s="3462"/>
      <c r="W63" s="3342">
        <f t="shared" si="176"/>
        <v>0</v>
      </c>
      <c r="X63" s="3342">
        <f t="shared" si="176"/>
        <v>0</v>
      </c>
      <c r="Y63" s="2012">
        <f t="shared" si="177"/>
        <v>0</v>
      </c>
      <c r="Z63" s="3462"/>
      <c r="AA63" s="3462"/>
      <c r="AB63" s="3349"/>
      <c r="AC63" s="3349"/>
      <c r="AD63" s="3349">
        <f t="shared" si="178"/>
        <v>0</v>
      </c>
      <c r="AE63" s="4074" t="e">
        <f t="shared" si="179"/>
        <v>#DIV/0!</v>
      </c>
      <c r="AF63" s="4112"/>
      <c r="AG63" s="3349"/>
      <c r="AH63" s="3349"/>
      <c r="AI63" s="3349">
        <f t="shared" si="180"/>
        <v>0</v>
      </c>
      <c r="AJ63" s="4074" t="e">
        <f t="shared" si="181"/>
        <v>#DIV/0!</v>
      </c>
      <c r="AK63" s="4112"/>
      <c r="AL63" s="3349"/>
      <c r="AM63" s="3349"/>
      <c r="AN63" s="3349">
        <f t="shared" si="182"/>
        <v>0</v>
      </c>
      <c r="AO63" s="4074" t="e">
        <f t="shared" si="183"/>
        <v>#DIV/0!</v>
      </c>
      <c r="AP63" s="4112"/>
      <c r="AQ63" s="3349"/>
      <c r="AR63" s="3349"/>
      <c r="AS63" s="3349">
        <f t="shared" si="184"/>
        <v>0</v>
      </c>
      <c r="AT63" s="4074" t="e">
        <f t="shared" si="185"/>
        <v>#DIV/0!</v>
      </c>
      <c r="AU63" s="4112"/>
      <c r="AV63" s="3349"/>
      <c r="AW63" s="3349"/>
      <c r="AX63" s="3349">
        <f t="shared" si="186"/>
        <v>0</v>
      </c>
      <c r="AY63" s="4074" t="e">
        <f t="shared" si="187"/>
        <v>#DIV/0!</v>
      </c>
      <c r="AZ63" s="4112"/>
      <c r="BA63" s="3349"/>
      <c r="BB63" s="3349"/>
      <c r="BC63" s="3349">
        <f t="shared" si="188"/>
        <v>0</v>
      </c>
      <c r="BD63" s="4074" t="e">
        <f t="shared" si="189"/>
        <v>#DIV/0!</v>
      </c>
      <c r="BE63" s="4112"/>
      <c r="BF63" s="3349"/>
      <c r="BG63" s="3349"/>
      <c r="BH63" s="3349">
        <f t="shared" si="190"/>
        <v>0</v>
      </c>
      <c r="BI63" s="4074" t="e">
        <f t="shared" si="191"/>
        <v>#DIV/0!</v>
      </c>
      <c r="BJ63" s="4112"/>
      <c r="BK63" s="3349"/>
      <c r="BL63" s="3349"/>
      <c r="BM63" s="3349">
        <f t="shared" si="192"/>
        <v>0</v>
      </c>
      <c r="BN63" s="4074" t="e">
        <f t="shared" si="193"/>
        <v>#DIV/0!</v>
      </c>
      <c r="BO63" s="4112"/>
      <c r="BP63" s="3349"/>
      <c r="BQ63" s="3349"/>
      <c r="BR63" s="3349">
        <f t="shared" si="194"/>
        <v>0</v>
      </c>
      <c r="BS63" s="4074" t="e">
        <f t="shared" si="195"/>
        <v>#DIV/0!</v>
      </c>
      <c r="BT63" s="4112"/>
      <c r="BU63" s="3349"/>
      <c r="BV63" s="3349"/>
      <c r="BW63" s="3349">
        <f t="shared" si="196"/>
        <v>0</v>
      </c>
      <c r="BX63" s="4074" t="e">
        <f t="shared" si="197"/>
        <v>#DIV/0!</v>
      </c>
      <c r="BY63" s="4112"/>
      <c r="BZ63" s="3349"/>
      <c r="CA63" s="3349"/>
      <c r="CB63" s="3349">
        <f t="shared" si="198"/>
        <v>0</v>
      </c>
      <c r="CC63" s="4074" t="e">
        <f t="shared" si="199"/>
        <v>#DIV/0!</v>
      </c>
      <c r="CD63" s="4112"/>
      <c r="CE63" s="3349"/>
      <c r="CF63" s="3349"/>
      <c r="CG63" s="3349">
        <f t="shared" si="200"/>
        <v>0</v>
      </c>
      <c r="CH63" s="4074" t="e">
        <f t="shared" si="201"/>
        <v>#DIV/0!</v>
      </c>
      <c r="CI63" s="4112"/>
      <c r="CJ63" s="3341">
        <f t="shared" si="202"/>
        <v>0</v>
      </c>
      <c r="CK63" s="3341">
        <f t="shared" si="202"/>
        <v>0</v>
      </c>
      <c r="CL63" s="2012">
        <f t="shared" si="203"/>
        <v>0</v>
      </c>
      <c r="CM63" s="4074" t="e">
        <f t="shared" si="168"/>
        <v>#DIV/0!</v>
      </c>
      <c r="CN63" s="4076"/>
      <c r="CP63" s="2012">
        <f t="shared" si="204"/>
        <v>0</v>
      </c>
      <c r="CQ63" s="2012">
        <f t="shared" si="204"/>
        <v>0</v>
      </c>
      <c r="CR63" s="4161"/>
    </row>
    <row r="64" spans="1:98" ht="13.8" outlineLevel="2">
      <c r="A64" s="1571"/>
      <c r="B64" s="4098" t="s">
        <v>63</v>
      </c>
      <c r="C64" s="3349"/>
      <c r="D64" s="3349"/>
      <c r="E64" s="3349">
        <f t="shared" si="169"/>
        <v>0</v>
      </c>
      <c r="F64" s="4074" t="e">
        <f t="shared" si="133"/>
        <v>#DIV/0!</v>
      </c>
      <c r="G64" s="4112"/>
      <c r="H64" s="3349"/>
      <c r="I64" s="3349"/>
      <c r="J64" s="3349">
        <f t="shared" si="170"/>
        <v>0</v>
      </c>
      <c r="K64" s="4074" t="e">
        <f t="shared" si="171"/>
        <v>#DIV/0!</v>
      </c>
      <c r="L64" s="4112"/>
      <c r="M64" s="3349"/>
      <c r="N64" s="3349"/>
      <c r="O64" s="3349">
        <f t="shared" si="172"/>
        <v>0</v>
      </c>
      <c r="P64" s="4074" t="e">
        <f t="shared" si="173"/>
        <v>#DIV/0!</v>
      </c>
      <c r="Q64" s="4112"/>
      <c r="R64" s="3342">
        <f t="shared" si="174"/>
        <v>0</v>
      </c>
      <c r="S64" s="3342">
        <f t="shared" si="174"/>
        <v>0</v>
      </c>
      <c r="T64" s="2012">
        <f t="shared" si="175"/>
        <v>0</v>
      </c>
      <c r="U64" s="3462"/>
      <c r="V64" s="3462"/>
      <c r="W64" s="3342">
        <f t="shared" si="176"/>
        <v>0</v>
      </c>
      <c r="X64" s="3342">
        <f t="shared" si="176"/>
        <v>0</v>
      </c>
      <c r="Y64" s="2012">
        <f t="shared" si="177"/>
        <v>0</v>
      </c>
      <c r="Z64" s="3462"/>
      <c r="AA64" s="3462"/>
      <c r="AB64" s="3349"/>
      <c r="AC64" s="3349"/>
      <c r="AD64" s="3349">
        <f t="shared" si="178"/>
        <v>0</v>
      </c>
      <c r="AE64" s="4074" t="e">
        <f t="shared" si="179"/>
        <v>#DIV/0!</v>
      </c>
      <c r="AF64" s="4112"/>
      <c r="AG64" s="3349"/>
      <c r="AH64" s="3349"/>
      <c r="AI64" s="3349">
        <f t="shared" si="180"/>
        <v>0</v>
      </c>
      <c r="AJ64" s="4074" t="e">
        <f t="shared" si="181"/>
        <v>#DIV/0!</v>
      </c>
      <c r="AK64" s="4112"/>
      <c r="AL64" s="3349"/>
      <c r="AM64" s="3349"/>
      <c r="AN64" s="3349">
        <f t="shared" si="182"/>
        <v>0</v>
      </c>
      <c r="AO64" s="4074" t="e">
        <f t="shared" si="183"/>
        <v>#DIV/0!</v>
      </c>
      <c r="AP64" s="4112"/>
      <c r="AQ64" s="3349"/>
      <c r="AR64" s="3349"/>
      <c r="AS64" s="3349">
        <f t="shared" si="184"/>
        <v>0</v>
      </c>
      <c r="AT64" s="4074" t="e">
        <f t="shared" si="185"/>
        <v>#DIV/0!</v>
      </c>
      <c r="AU64" s="4112"/>
      <c r="AV64" s="3349"/>
      <c r="AW64" s="3349"/>
      <c r="AX64" s="3349">
        <f t="shared" si="186"/>
        <v>0</v>
      </c>
      <c r="AY64" s="4074" t="e">
        <f t="shared" si="187"/>
        <v>#DIV/0!</v>
      </c>
      <c r="AZ64" s="4112"/>
      <c r="BA64" s="3349"/>
      <c r="BB64" s="3349"/>
      <c r="BC64" s="3349">
        <f t="shared" si="188"/>
        <v>0</v>
      </c>
      <c r="BD64" s="4074" t="e">
        <f t="shared" si="189"/>
        <v>#DIV/0!</v>
      </c>
      <c r="BE64" s="4112"/>
      <c r="BF64" s="3349"/>
      <c r="BG64" s="3349"/>
      <c r="BH64" s="3349">
        <f t="shared" si="190"/>
        <v>0</v>
      </c>
      <c r="BI64" s="4074" t="e">
        <f t="shared" si="191"/>
        <v>#DIV/0!</v>
      </c>
      <c r="BJ64" s="4112"/>
      <c r="BK64" s="3349"/>
      <c r="BL64" s="3349"/>
      <c r="BM64" s="3349">
        <f t="shared" si="192"/>
        <v>0</v>
      </c>
      <c r="BN64" s="4074" t="e">
        <f t="shared" si="193"/>
        <v>#DIV/0!</v>
      </c>
      <c r="BO64" s="4112"/>
      <c r="BP64" s="3349"/>
      <c r="BQ64" s="3349"/>
      <c r="BR64" s="3349">
        <f t="shared" si="194"/>
        <v>0</v>
      </c>
      <c r="BS64" s="4074" t="e">
        <f t="shared" si="195"/>
        <v>#DIV/0!</v>
      </c>
      <c r="BT64" s="4112"/>
      <c r="BU64" s="3349"/>
      <c r="BV64" s="3349"/>
      <c r="BW64" s="3349">
        <f t="shared" si="196"/>
        <v>0</v>
      </c>
      <c r="BX64" s="4074" t="e">
        <f t="shared" si="197"/>
        <v>#DIV/0!</v>
      </c>
      <c r="BY64" s="4112"/>
      <c r="BZ64" s="3349"/>
      <c r="CA64" s="3349"/>
      <c r="CB64" s="3349">
        <f t="shared" si="198"/>
        <v>0</v>
      </c>
      <c r="CC64" s="4074" t="e">
        <f t="shared" si="199"/>
        <v>#DIV/0!</v>
      </c>
      <c r="CD64" s="4112"/>
      <c r="CE64" s="3349"/>
      <c r="CF64" s="3349"/>
      <c r="CG64" s="3349">
        <f t="shared" si="200"/>
        <v>0</v>
      </c>
      <c r="CH64" s="4074" t="e">
        <f t="shared" si="201"/>
        <v>#DIV/0!</v>
      </c>
      <c r="CI64" s="4112"/>
      <c r="CJ64" s="3341">
        <f t="shared" si="202"/>
        <v>0</v>
      </c>
      <c r="CK64" s="3341">
        <f t="shared" si="202"/>
        <v>0</v>
      </c>
      <c r="CL64" s="2012">
        <f t="shared" si="203"/>
        <v>0</v>
      </c>
      <c r="CM64" s="4074" t="e">
        <f t="shared" si="168"/>
        <v>#DIV/0!</v>
      </c>
      <c r="CN64" s="4076"/>
      <c r="CP64" s="2012">
        <f t="shared" si="204"/>
        <v>0</v>
      </c>
      <c r="CQ64" s="2012">
        <f t="shared" si="204"/>
        <v>0</v>
      </c>
      <c r="CR64" s="4161"/>
    </row>
    <row r="65" spans="1:98" ht="13.8" outlineLevel="2">
      <c r="A65" s="1571"/>
      <c r="B65" s="4098" t="s">
        <v>36</v>
      </c>
      <c r="C65" s="3341"/>
      <c r="D65" s="3341"/>
      <c r="E65" s="3349">
        <f t="shared" si="169"/>
        <v>0</v>
      </c>
      <c r="F65" s="4074" t="e">
        <f t="shared" si="133"/>
        <v>#DIV/0!</v>
      </c>
      <c r="G65" s="4112"/>
      <c r="H65" s="3341"/>
      <c r="I65" s="3341"/>
      <c r="J65" s="3349">
        <f t="shared" si="170"/>
        <v>0</v>
      </c>
      <c r="K65" s="4074" t="e">
        <f t="shared" si="171"/>
        <v>#DIV/0!</v>
      </c>
      <c r="L65" s="4112"/>
      <c r="M65" s="3341"/>
      <c r="N65" s="3341"/>
      <c r="O65" s="3349">
        <f t="shared" si="172"/>
        <v>0</v>
      </c>
      <c r="P65" s="4074" t="e">
        <f t="shared" si="173"/>
        <v>#DIV/0!</v>
      </c>
      <c r="Q65" s="4112"/>
      <c r="R65" s="3342">
        <f t="shared" si="174"/>
        <v>0</v>
      </c>
      <c r="S65" s="3342">
        <f t="shared" si="174"/>
        <v>0</v>
      </c>
      <c r="T65" s="2012">
        <f t="shared" si="175"/>
        <v>0</v>
      </c>
      <c r="U65" s="3462"/>
      <c r="V65" s="3462"/>
      <c r="W65" s="3342">
        <f t="shared" si="176"/>
        <v>0</v>
      </c>
      <c r="X65" s="3342">
        <f t="shared" si="176"/>
        <v>0</v>
      </c>
      <c r="Y65" s="2012">
        <f t="shared" si="177"/>
        <v>0</v>
      </c>
      <c r="Z65" s="3462"/>
      <c r="AA65" s="3462"/>
      <c r="AB65" s="3341"/>
      <c r="AC65" s="3341"/>
      <c r="AD65" s="3349">
        <f t="shared" si="178"/>
        <v>0</v>
      </c>
      <c r="AE65" s="4074" t="e">
        <f t="shared" si="179"/>
        <v>#DIV/0!</v>
      </c>
      <c r="AF65" s="4112"/>
      <c r="AG65" s="3341"/>
      <c r="AH65" s="3341"/>
      <c r="AI65" s="3349">
        <f t="shared" si="180"/>
        <v>0</v>
      </c>
      <c r="AJ65" s="4074" t="e">
        <f t="shared" si="181"/>
        <v>#DIV/0!</v>
      </c>
      <c r="AK65" s="4112"/>
      <c r="AL65" s="3341"/>
      <c r="AM65" s="3341"/>
      <c r="AN65" s="3349">
        <f t="shared" si="182"/>
        <v>0</v>
      </c>
      <c r="AO65" s="4074" t="e">
        <f t="shared" si="183"/>
        <v>#DIV/0!</v>
      </c>
      <c r="AP65" s="4112"/>
      <c r="AQ65" s="3341"/>
      <c r="AR65" s="3341"/>
      <c r="AS65" s="3349">
        <f t="shared" si="184"/>
        <v>0</v>
      </c>
      <c r="AT65" s="4074" t="e">
        <f t="shared" si="185"/>
        <v>#DIV/0!</v>
      </c>
      <c r="AU65" s="4112"/>
      <c r="AV65" s="3341"/>
      <c r="AW65" s="3341"/>
      <c r="AX65" s="3349">
        <f t="shared" si="186"/>
        <v>0</v>
      </c>
      <c r="AY65" s="4074" t="e">
        <f t="shared" si="187"/>
        <v>#DIV/0!</v>
      </c>
      <c r="AZ65" s="4112"/>
      <c r="BA65" s="3341"/>
      <c r="BB65" s="3341"/>
      <c r="BC65" s="3349">
        <f t="shared" si="188"/>
        <v>0</v>
      </c>
      <c r="BD65" s="4074" t="e">
        <f t="shared" si="189"/>
        <v>#DIV/0!</v>
      </c>
      <c r="BE65" s="4112"/>
      <c r="BF65" s="3341"/>
      <c r="BG65" s="3341"/>
      <c r="BH65" s="3349">
        <f t="shared" si="190"/>
        <v>0</v>
      </c>
      <c r="BI65" s="4074" t="e">
        <f t="shared" si="191"/>
        <v>#DIV/0!</v>
      </c>
      <c r="BJ65" s="4112"/>
      <c r="BK65" s="3341"/>
      <c r="BL65" s="3341"/>
      <c r="BM65" s="3349">
        <f t="shared" si="192"/>
        <v>0</v>
      </c>
      <c r="BN65" s="4074" t="e">
        <f t="shared" si="193"/>
        <v>#DIV/0!</v>
      </c>
      <c r="BO65" s="4112"/>
      <c r="BP65" s="3341"/>
      <c r="BQ65" s="3341"/>
      <c r="BR65" s="3349">
        <f t="shared" si="194"/>
        <v>0</v>
      </c>
      <c r="BS65" s="4074" t="e">
        <f t="shared" si="195"/>
        <v>#DIV/0!</v>
      </c>
      <c r="BT65" s="4112"/>
      <c r="BU65" s="3341"/>
      <c r="BV65" s="3341"/>
      <c r="BW65" s="3349">
        <f t="shared" si="196"/>
        <v>0</v>
      </c>
      <c r="BX65" s="4074" t="e">
        <f t="shared" si="197"/>
        <v>#DIV/0!</v>
      </c>
      <c r="BY65" s="4112"/>
      <c r="BZ65" s="3341"/>
      <c r="CA65" s="3341"/>
      <c r="CB65" s="3349">
        <f t="shared" si="198"/>
        <v>0</v>
      </c>
      <c r="CC65" s="4074" t="e">
        <f t="shared" si="199"/>
        <v>#DIV/0!</v>
      </c>
      <c r="CD65" s="4112"/>
      <c r="CE65" s="3341"/>
      <c r="CF65" s="3341"/>
      <c r="CG65" s="3349">
        <f t="shared" si="200"/>
        <v>0</v>
      </c>
      <c r="CH65" s="4074" t="e">
        <f t="shared" si="201"/>
        <v>#DIV/0!</v>
      </c>
      <c r="CI65" s="4112"/>
      <c r="CJ65" s="3341">
        <f t="shared" si="202"/>
        <v>0</v>
      </c>
      <c r="CK65" s="3341">
        <f t="shared" si="202"/>
        <v>0</v>
      </c>
      <c r="CL65" s="2012">
        <f t="shared" si="203"/>
        <v>0</v>
      </c>
      <c r="CM65" s="4074" t="e">
        <f t="shared" si="168"/>
        <v>#DIV/0!</v>
      </c>
      <c r="CN65" s="4076"/>
      <c r="CP65" s="2012">
        <f t="shared" si="204"/>
        <v>0</v>
      </c>
      <c r="CQ65" s="2012">
        <f t="shared" si="204"/>
        <v>0</v>
      </c>
      <c r="CR65" s="4161"/>
    </row>
    <row r="66" spans="1:98" s="1396" customFormat="1" ht="13.8" outlineLevel="2">
      <c r="A66" s="1571"/>
      <c r="B66" s="4098" t="s">
        <v>37</v>
      </c>
      <c r="C66" s="3341"/>
      <c r="D66" s="3341"/>
      <c r="E66" s="3349">
        <f t="shared" si="169"/>
        <v>0</v>
      </c>
      <c r="F66" s="4074" t="e">
        <f t="shared" si="133"/>
        <v>#DIV/0!</v>
      </c>
      <c r="G66" s="4112"/>
      <c r="H66" s="3341"/>
      <c r="I66" s="3341"/>
      <c r="J66" s="3349">
        <f t="shared" si="170"/>
        <v>0</v>
      </c>
      <c r="K66" s="4074" t="e">
        <f t="shared" si="171"/>
        <v>#DIV/0!</v>
      </c>
      <c r="L66" s="4112"/>
      <c r="M66" s="3341"/>
      <c r="N66" s="3341"/>
      <c r="O66" s="3349">
        <f t="shared" si="172"/>
        <v>0</v>
      </c>
      <c r="P66" s="4074" t="e">
        <f t="shared" si="173"/>
        <v>#DIV/0!</v>
      </c>
      <c r="Q66" s="4112"/>
      <c r="R66" s="3342">
        <f t="shared" si="174"/>
        <v>0</v>
      </c>
      <c r="S66" s="3342">
        <f t="shared" si="174"/>
        <v>0</v>
      </c>
      <c r="T66" s="2012">
        <f t="shared" si="175"/>
        <v>0</v>
      </c>
      <c r="U66" s="3462"/>
      <c r="V66" s="3462"/>
      <c r="W66" s="3342">
        <f t="shared" si="176"/>
        <v>0</v>
      </c>
      <c r="X66" s="3342">
        <f t="shared" si="176"/>
        <v>0</v>
      </c>
      <c r="Y66" s="2012">
        <f t="shared" si="177"/>
        <v>0</v>
      </c>
      <c r="Z66" s="3462"/>
      <c r="AA66" s="3462"/>
      <c r="AB66" s="3341"/>
      <c r="AC66" s="3341"/>
      <c r="AD66" s="3349">
        <f t="shared" si="178"/>
        <v>0</v>
      </c>
      <c r="AE66" s="4074" t="e">
        <f t="shared" si="179"/>
        <v>#DIV/0!</v>
      </c>
      <c r="AF66" s="4112"/>
      <c r="AG66" s="3341"/>
      <c r="AH66" s="3341"/>
      <c r="AI66" s="3349">
        <f t="shared" si="180"/>
        <v>0</v>
      </c>
      <c r="AJ66" s="4074" t="e">
        <f t="shared" si="181"/>
        <v>#DIV/0!</v>
      </c>
      <c r="AK66" s="4112"/>
      <c r="AL66" s="3341"/>
      <c r="AM66" s="3341"/>
      <c r="AN66" s="3349">
        <f t="shared" si="182"/>
        <v>0</v>
      </c>
      <c r="AO66" s="4074" t="e">
        <f t="shared" si="183"/>
        <v>#DIV/0!</v>
      </c>
      <c r="AP66" s="4112"/>
      <c r="AQ66" s="3341"/>
      <c r="AR66" s="3341"/>
      <c r="AS66" s="3349">
        <f t="shared" si="184"/>
        <v>0</v>
      </c>
      <c r="AT66" s="4074" t="e">
        <f t="shared" si="185"/>
        <v>#DIV/0!</v>
      </c>
      <c r="AU66" s="4112"/>
      <c r="AV66" s="3341"/>
      <c r="AW66" s="3341"/>
      <c r="AX66" s="3349">
        <f t="shared" si="186"/>
        <v>0</v>
      </c>
      <c r="AY66" s="4074" t="e">
        <f t="shared" si="187"/>
        <v>#DIV/0!</v>
      </c>
      <c r="AZ66" s="4112"/>
      <c r="BA66" s="3341"/>
      <c r="BB66" s="3341"/>
      <c r="BC66" s="3349">
        <f t="shared" si="188"/>
        <v>0</v>
      </c>
      <c r="BD66" s="4074" t="e">
        <f t="shared" si="189"/>
        <v>#DIV/0!</v>
      </c>
      <c r="BE66" s="4112"/>
      <c r="BF66" s="3341"/>
      <c r="BG66" s="3341"/>
      <c r="BH66" s="3349">
        <f t="shared" si="190"/>
        <v>0</v>
      </c>
      <c r="BI66" s="4074" t="e">
        <f t="shared" si="191"/>
        <v>#DIV/0!</v>
      </c>
      <c r="BJ66" s="4112"/>
      <c r="BK66" s="3341"/>
      <c r="BL66" s="3341"/>
      <c r="BM66" s="3349">
        <f t="shared" si="192"/>
        <v>0</v>
      </c>
      <c r="BN66" s="4074" t="e">
        <f t="shared" si="193"/>
        <v>#DIV/0!</v>
      </c>
      <c r="BO66" s="4112"/>
      <c r="BP66" s="3341"/>
      <c r="BQ66" s="3341"/>
      <c r="BR66" s="3349">
        <f t="shared" si="194"/>
        <v>0</v>
      </c>
      <c r="BS66" s="4074" t="e">
        <f t="shared" si="195"/>
        <v>#DIV/0!</v>
      </c>
      <c r="BT66" s="4112"/>
      <c r="BU66" s="3341"/>
      <c r="BV66" s="3341"/>
      <c r="BW66" s="3349">
        <f t="shared" si="196"/>
        <v>0</v>
      </c>
      <c r="BX66" s="4074" t="e">
        <f t="shared" si="197"/>
        <v>#DIV/0!</v>
      </c>
      <c r="BY66" s="4112"/>
      <c r="BZ66" s="3341"/>
      <c r="CA66" s="3341"/>
      <c r="CB66" s="3349">
        <f t="shared" si="198"/>
        <v>0</v>
      </c>
      <c r="CC66" s="4074" t="e">
        <f t="shared" si="199"/>
        <v>#DIV/0!</v>
      </c>
      <c r="CD66" s="4112"/>
      <c r="CE66" s="3341"/>
      <c r="CF66" s="3341"/>
      <c r="CG66" s="3349">
        <f t="shared" si="200"/>
        <v>0</v>
      </c>
      <c r="CH66" s="4074" t="e">
        <f t="shared" si="201"/>
        <v>#DIV/0!</v>
      </c>
      <c r="CI66" s="4112"/>
      <c r="CJ66" s="3341">
        <f t="shared" si="202"/>
        <v>0</v>
      </c>
      <c r="CK66" s="3341">
        <f t="shared" si="202"/>
        <v>0</v>
      </c>
      <c r="CL66" s="2012">
        <f t="shared" si="203"/>
        <v>0</v>
      </c>
      <c r="CM66" s="4074" t="e">
        <f t="shared" si="168"/>
        <v>#DIV/0!</v>
      </c>
      <c r="CN66" s="4076"/>
      <c r="CP66" s="2012">
        <f t="shared" si="204"/>
        <v>0</v>
      </c>
      <c r="CQ66" s="2012">
        <f t="shared" si="204"/>
        <v>0</v>
      </c>
      <c r="CR66" s="4161"/>
      <c r="CT66" s="2624"/>
    </row>
    <row r="67" spans="1:98" s="1396" customFormat="1" ht="13.8" outlineLevel="2">
      <c r="A67" s="1571"/>
      <c r="B67" s="4098" t="s">
        <v>3</v>
      </c>
      <c r="C67" s="3341"/>
      <c r="D67" s="3341"/>
      <c r="E67" s="3349">
        <f t="shared" si="169"/>
        <v>0</v>
      </c>
      <c r="F67" s="4074" t="e">
        <f t="shared" si="133"/>
        <v>#DIV/0!</v>
      </c>
      <c r="G67" s="4112"/>
      <c r="H67" s="3341"/>
      <c r="I67" s="3341"/>
      <c r="J67" s="3349">
        <f t="shared" si="170"/>
        <v>0</v>
      </c>
      <c r="K67" s="4074" t="e">
        <f t="shared" si="171"/>
        <v>#DIV/0!</v>
      </c>
      <c r="L67" s="4112"/>
      <c r="M67" s="3341"/>
      <c r="N67" s="3341"/>
      <c r="O67" s="3349">
        <f t="shared" si="172"/>
        <v>0</v>
      </c>
      <c r="P67" s="4074" t="e">
        <f t="shared" si="173"/>
        <v>#DIV/0!</v>
      </c>
      <c r="Q67" s="4112"/>
      <c r="R67" s="3342">
        <f t="shared" si="174"/>
        <v>0</v>
      </c>
      <c r="S67" s="3342">
        <f t="shared" si="174"/>
        <v>0</v>
      </c>
      <c r="T67" s="2012">
        <f t="shared" si="175"/>
        <v>0</v>
      </c>
      <c r="U67" s="3462"/>
      <c r="V67" s="3462"/>
      <c r="W67" s="3342">
        <f t="shared" si="176"/>
        <v>0</v>
      </c>
      <c r="X67" s="3342">
        <f t="shared" si="176"/>
        <v>0</v>
      </c>
      <c r="Y67" s="2012">
        <f t="shared" si="177"/>
        <v>0</v>
      </c>
      <c r="Z67" s="3462"/>
      <c r="AA67" s="3462"/>
      <c r="AB67" s="3341"/>
      <c r="AC67" s="3341"/>
      <c r="AD67" s="3349">
        <f t="shared" si="178"/>
        <v>0</v>
      </c>
      <c r="AE67" s="4074" t="e">
        <f t="shared" si="179"/>
        <v>#DIV/0!</v>
      </c>
      <c r="AF67" s="4112"/>
      <c r="AG67" s="3341"/>
      <c r="AH67" s="3341"/>
      <c r="AI67" s="3349">
        <f t="shared" si="180"/>
        <v>0</v>
      </c>
      <c r="AJ67" s="4074" t="e">
        <f t="shared" si="181"/>
        <v>#DIV/0!</v>
      </c>
      <c r="AK67" s="4112"/>
      <c r="AL67" s="3341"/>
      <c r="AM67" s="3341"/>
      <c r="AN67" s="3349">
        <f t="shared" si="182"/>
        <v>0</v>
      </c>
      <c r="AO67" s="4074" t="e">
        <f t="shared" si="183"/>
        <v>#DIV/0!</v>
      </c>
      <c r="AP67" s="4112"/>
      <c r="AQ67" s="3341"/>
      <c r="AR67" s="3341"/>
      <c r="AS67" s="3349">
        <f t="shared" si="184"/>
        <v>0</v>
      </c>
      <c r="AT67" s="4074" t="e">
        <f t="shared" si="185"/>
        <v>#DIV/0!</v>
      </c>
      <c r="AU67" s="4112"/>
      <c r="AV67" s="3341"/>
      <c r="AW67" s="3341"/>
      <c r="AX67" s="3349">
        <f t="shared" si="186"/>
        <v>0</v>
      </c>
      <c r="AY67" s="4074" t="e">
        <f t="shared" si="187"/>
        <v>#DIV/0!</v>
      </c>
      <c r="AZ67" s="4112"/>
      <c r="BA67" s="3341"/>
      <c r="BB67" s="3341"/>
      <c r="BC67" s="3349">
        <f t="shared" si="188"/>
        <v>0</v>
      </c>
      <c r="BD67" s="4074" t="e">
        <f t="shared" si="189"/>
        <v>#DIV/0!</v>
      </c>
      <c r="BE67" s="4112"/>
      <c r="BF67" s="3341"/>
      <c r="BG67" s="3341"/>
      <c r="BH67" s="3349">
        <f t="shared" si="190"/>
        <v>0</v>
      </c>
      <c r="BI67" s="4074" t="e">
        <f t="shared" si="191"/>
        <v>#DIV/0!</v>
      </c>
      <c r="BJ67" s="4112"/>
      <c r="BK67" s="3341"/>
      <c r="BL67" s="3341"/>
      <c r="BM67" s="3349">
        <f t="shared" si="192"/>
        <v>0</v>
      </c>
      <c r="BN67" s="4074" t="e">
        <f t="shared" si="193"/>
        <v>#DIV/0!</v>
      </c>
      <c r="BO67" s="4112"/>
      <c r="BP67" s="3341"/>
      <c r="BQ67" s="3341"/>
      <c r="BR67" s="3349">
        <f t="shared" si="194"/>
        <v>0</v>
      </c>
      <c r="BS67" s="4074" t="e">
        <f t="shared" si="195"/>
        <v>#DIV/0!</v>
      </c>
      <c r="BT67" s="4112"/>
      <c r="BU67" s="3341"/>
      <c r="BV67" s="3341"/>
      <c r="BW67" s="3349">
        <f t="shared" si="196"/>
        <v>0</v>
      </c>
      <c r="BX67" s="4074" t="e">
        <f t="shared" si="197"/>
        <v>#DIV/0!</v>
      </c>
      <c r="BY67" s="4112"/>
      <c r="BZ67" s="3341"/>
      <c r="CA67" s="3341"/>
      <c r="CB67" s="3349">
        <f t="shared" si="198"/>
        <v>0</v>
      </c>
      <c r="CC67" s="4074" t="e">
        <f t="shared" si="199"/>
        <v>#DIV/0!</v>
      </c>
      <c r="CD67" s="4112"/>
      <c r="CE67" s="3341"/>
      <c r="CF67" s="3341"/>
      <c r="CG67" s="3349">
        <f t="shared" si="200"/>
        <v>0</v>
      </c>
      <c r="CH67" s="4074" t="e">
        <f t="shared" si="201"/>
        <v>#DIV/0!</v>
      </c>
      <c r="CI67" s="4112"/>
      <c r="CJ67" s="3341">
        <f t="shared" si="202"/>
        <v>0</v>
      </c>
      <c r="CK67" s="3341">
        <f t="shared" si="202"/>
        <v>0</v>
      </c>
      <c r="CL67" s="2012">
        <f t="shared" si="203"/>
        <v>0</v>
      </c>
      <c r="CM67" s="4074" t="e">
        <f t="shared" si="168"/>
        <v>#DIV/0!</v>
      </c>
      <c r="CN67" s="4076"/>
      <c r="CP67" s="2012">
        <f t="shared" si="204"/>
        <v>0</v>
      </c>
      <c r="CQ67" s="2012">
        <f t="shared" si="204"/>
        <v>0</v>
      </c>
      <c r="CR67" s="4161"/>
      <c r="CT67" s="2624"/>
    </row>
    <row r="68" spans="1:98" s="1396" customFormat="1" ht="13.8" outlineLevel="2">
      <c r="A68" s="1571"/>
      <c r="B68" s="4098" t="s">
        <v>5</v>
      </c>
      <c r="C68" s="3341"/>
      <c r="D68" s="3341"/>
      <c r="E68" s="3349">
        <f t="shared" si="169"/>
        <v>0</v>
      </c>
      <c r="F68" s="4074" t="e">
        <f t="shared" si="133"/>
        <v>#DIV/0!</v>
      </c>
      <c r="G68" s="3341"/>
      <c r="H68" s="3341"/>
      <c r="I68" s="3341"/>
      <c r="J68" s="3349">
        <f t="shared" si="170"/>
        <v>0</v>
      </c>
      <c r="K68" s="4074" t="e">
        <f t="shared" si="171"/>
        <v>#DIV/0!</v>
      </c>
      <c r="L68" s="3341"/>
      <c r="M68" s="3341"/>
      <c r="N68" s="3341"/>
      <c r="O68" s="3349">
        <f t="shared" si="172"/>
        <v>0</v>
      </c>
      <c r="P68" s="4074" t="e">
        <f t="shared" si="173"/>
        <v>#DIV/0!</v>
      </c>
      <c r="Q68" s="3341"/>
      <c r="R68" s="3342">
        <f t="shared" si="174"/>
        <v>0</v>
      </c>
      <c r="S68" s="3342">
        <f t="shared" si="174"/>
        <v>0</v>
      </c>
      <c r="T68" s="2012">
        <f t="shared" si="175"/>
        <v>0</v>
      </c>
      <c r="U68" s="3341"/>
      <c r="V68" s="3341"/>
      <c r="W68" s="3342">
        <f t="shared" si="176"/>
        <v>0</v>
      </c>
      <c r="X68" s="3342">
        <f t="shared" si="176"/>
        <v>0</v>
      </c>
      <c r="Y68" s="2012">
        <f t="shared" si="177"/>
        <v>0</v>
      </c>
      <c r="Z68" s="3341"/>
      <c r="AA68" s="3341"/>
      <c r="AB68" s="3341"/>
      <c r="AC68" s="3341"/>
      <c r="AD68" s="3349">
        <f t="shared" si="178"/>
        <v>0</v>
      </c>
      <c r="AE68" s="4074" t="e">
        <f t="shared" si="179"/>
        <v>#DIV/0!</v>
      </c>
      <c r="AF68" s="3341"/>
      <c r="AG68" s="3341"/>
      <c r="AH68" s="3341"/>
      <c r="AI68" s="3349">
        <f t="shared" si="180"/>
        <v>0</v>
      </c>
      <c r="AJ68" s="4074" t="e">
        <f t="shared" si="181"/>
        <v>#DIV/0!</v>
      </c>
      <c r="AK68" s="3341"/>
      <c r="AL68" s="3341"/>
      <c r="AM68" s="3341"/>
      <c r="AN68" s="3349">
        <f t="shared" si="182"/>
        <v>0</v>
      </c>
      <c r="AO68" s="4074" t="e">
        <f t="shared" si="183"/>
        <v>#DIV/0!</v>
      </c>
      <c r="AP68" s="3341"/>
      <c r="AQ68" s="3341"/>
      <c r="AR68" s="3341"/>
      <c r="AS68" s="3349">
        <f t="shared" si="184"/>
        <v>0</v>
      </c>
      <c r="AT68" s="4074" t="e">
        <f t="shared" si="185"/>
        <v>#DIV/0!</v>
      </c>
      <c r="AU68" s="3341"/>
      <c r="AV68" s="3341"/>
      <c r="AW68" s="3341"/>
      <c r="AX68" s="3349">
        <f t="shared" si="186"/>
        <v>0</v>
      </c>
      <c r="AY68" s="4074" t="e">
        <f t="shared" si="187"/>
        <v>#DIV/0!</v>
      </c>
      <c r="AZ68" s="3341"/>
      <c r="BA68" s="3341"/>
      <c r="BB68" s="3341"/>
      <c r="BC68" s="3349">
        <f t="shared" si="188"/>
        <v>0</v>
      </c>
      <c r="BD68" s="4074" t="e">
        <f t="shared" si="189"/>
        <v>#DIV/0!</v>
      </c>
      <c r="BE68" s="3341"/>
      <c r="BF68" s="3341"/>
      <c r="BG68" s="3341"/>
      <c r="BH68" s="3349">
        <f t="shared" si="190"/>
        <v>0</v>
      </c>
      <c r="BI68" s="4074" t="e">
        <f t="shared" si="191"/>
        <v>#DIV/0!</v>
      </c>
      <c r="BJ68" s="3341"/>
      <c r="BK68" s="3341"/>
      <c r="BL68" s="3341"/>
      <c r="BM68" s="3349">
        <f t="shared" si="192"/>
        <v>0</v>
      </c>
      <c r="BN68" s="4074" t="e">
        <f t="shared" si="193"/>
        <v>#DIV/0!</v>
      </c>
      <c r="BO68" s="3341"/>
      <c r="BP68" s="3341"/>
      <c r="BQ68" s="3341"/>
      <c r="BR68" s="3349">
        <f t="shared" si="194"/>
        <v>0</v>
      </c>
      <c r="BS68" s="4074" t="e">
        <f t="shared" si="195"/>
        <v>#DIV/0!</v>
      </c>
      <c r="BT68" s="3341"/>
      <c r="BU68" s="3341"/>
      <c r="BV68" s="3341"/>
      <c r="BW68" s="3349">
        <f t="shared" si="196"/>
        <v>0</v>
      </c>
      <c r="BX68" s="4074" t="e">
        <f t="shared" si="197"/>
        <v>#DIV/0!</v>
      </c>
      <c r="BY68" s="3341"/>
      <c r="BZ68" s="3341"/>
      <c r="CA68" s="3341"/>
      <c r="CB68" s="3349">
        <f t="shared" si="198"/>
        <v>0</v>
      </c>
      <c r="CC68" s="4074" t="e">
        <f t="shared" si="199"/>
        <v>#DIV/0!</v>
      </c>
      <c r="CD68" s="3341"/>
      <c r="CE68" s="3341"/>
      <c r="CF68" s="3341"/>
      <c r="CG68" s="3349">
        <f t="shared" si="200"/>
        <v>0</v>
      </c>
      <c r="CH68" s="4074" t="e">
        <f t="shared" si="201"/>
        <v>#DIV/0!</v>
      </c>
      <c r="CI68" s="3341"/>
      <c r="CJ68" s="3341">
        <f t="shared" si="202"/>
        <v>0</v>
      </c>
      <c r="CK68" s="3341">
        <f t="shared" si="202"/>
        <v>0</v>
      </c>
      <c r="CL68" s="2012">
        <f t="shared" si="203"/>
        <v>0</v>
      </c>
      <c r="CM68" s="4074" t="e">
        <f t="shared" si="168"/>
        <v>#DIV/0!</v>
      </c>
      <c r="CN68" s="4076"/>
      <c r="CP68" s="2012">
        <f t="shared" si="204"/>
        <v>0</v>
      </c>
      <c r="CQ68" s="2012">
        <f t="shared" si="204"/>
        <v>0</v>
      </c>
      <c r="CR68" s="4161"/>
      <c r="CT68" s="2624"/>
    </row>
    <row r="69" spans="1:98" s="1396" customFormat="1" ht="13.8" outlineLevel="2">
      <c r="A69" s="1571"/>
      <c r="B69" s="4098" t="s">
        <v>42</v>
      </c>
      <c r="C69" s="3341"/>
      <c r="D69" s="3341"/>
      <c r="E69" s="3349">
        <f t="shared" si="169"/>
        <v>0</v>
      </c>
      <c r="F69" s="4074" t="e">
        <f t="shared" si="133"/>
        <v>#DIV/0!</v>
      </c>
      <c r="G69" s="4112"/>
      <c r="H69" s="3341"/>
      <c r="I69" s="3341"/>
      <c r="J69" s="3349">
        <f t="shared" si="170"/>
        <v>0</v>
      </c>
      <c r="K69" s="4074" t="e">
        <f t="shared" si="171"/>
        <v>#DIV/0!</v>
      </c>
      <c r="L69" s="4112"/>
      <c r="M69" s="3341"/>
      <c r="N69" s="3341"/>
      <c r="O69" s="3349">
        <f t="shared" si="172"/>
        <v>0</v>
      </c>
      <c r="P69" s="4074" t="e">
        <f t="shared" si="173"/>
        <v>#DIV/0!</v>
      </c>
      <c r="Q69" s="4112"/>
      <c r="R69" s="3342">
        <f t="shared" si="174"/>
        <v>0</v>
      </c>
      <c r="S69" s="3342">
        <f t="shared" si="174"/>
        <v>0</v>
      </c>
      <c r="T69" s="2012">
        <f t="shared" si="175"/>
        <v>0</v>
      </c>
      <c r="U69" s="3462"/>
      <c r="V69" s="3462"/>
      <c r="W69" s="3342">
        <f t="shared" si="176"/>
        <v>0</v>
      </c>
      <c r="X69" s="3342">
        <f t="shared" si="176"/>
        <v>0</v>
      </c>
      <c r="Y69" s="2012">
        <f t="shared" si="177"/>
        <v>0</v>
      </c>
      <c r="Z69" s="3462"/>
      <c r="AA69" s="3462"/>
      <c r="AB69" s="3341"/>
      <c r="AC69" s="3341"/>
      <c r="AD69" s="3349">
        <f t="shared" si="178"/>
        <v>0</v>
      </c>
      <c r="AE69" s="4074" t="e">
        <f t="shared" si="179"/>
        <v>#DIV/0!</v>
      </c>
      <c r="AF69" s="4112"/>
      <c r="AG69" s="3341"/>
      <c r="AH69" s="3341"/>
      <c r="AI69" s="3349">
        <f t="shared" si="180"/>
        <v>0</v>
      </c>
      <c r="AJ69" s="4074" t="e">
        <f t="shared" si="181"/>
        <v>#DIV/0!</v>
      </c>
      <c r="AK69" s="4112"/>
      <c r="AL69" s="3341"/>
      <c r="AM69" s="3341"/>
      <c r="AN69" s="3349">
        <f t="shared" si="182"/>
        <v>0</v>
      </c>
      <c r="AO69" s="4074" t="e">
        <f t="shared" si="183"/>
        <v>#DIV/0!</v>
      </c>
      <c r="AP69" s="4112"/>
      <c r="AQ69" s="3341"/>
      <c r="AR69" s="3341"/>
      <c r="AS69" s="3349">
        <f t="shared" si="184"/>
        <v>0</v>
      </c>
      <c r="AT69" s="4074" t="e">
        <f t="shared" si="185"/>
        <v>#DIV/0!</v>
      </c>
      <c r="AU69" s="4112"/>
      <c r="AV69" s="3341"/>
      <c r="AW69" s="3341"/>
      <c r="AX69" s="3349">
        <f t="shared" si="186"/>
        <v>0</v>
      </c>
      <c r="AY69" s="4074" t="e">
        <f t="shared" si="187"/>
        <v>#DIV/0!</v>
      </c>
      <c r="AZ69" s="4112"/>
      <c r="BA69" s="3341"/>
      <c r="BB69" s="3341"/>
      <c r="BC69" s="3349">
        <f t="shared" si="188"/>
        <v>0</v>
      </c>
      <c r="BD69" s="4074" t="e">
        <f t="shared" si="189"/>
        <v>#DIV/0!</v>
      </c>
      <c r="BE69" s="4112"/>
      <c r="BF69" s="3341"/>
      <c r="BG69" s="3341"/>
      <c r="BH69" s="3349">
        <f t="shared" si="190"/>
        <v>0</v>
      </c>
      <c r="BI69" s="4074" t="e">
        <f t="shared" si="191"/>
        <v>#DIV/0!</v>
      </c>
      <c r="BJ69" s="4112"/>
      <c r="BK69" s="3341"/>
      <c r="BL69" s="3341"/>
      <c r="BM69" s="3349">
        <f t="shared" si="192"/>
        <v>0</v>
      </c>
      <c r="BN69" s="4074" t="e">
        <f t="shared" si="193"/>
        <v>#DIV/0!</v>
      </c>
      <c r="BO69" s="4112"/>
      <c r="BP69" s="3341"/>
      <c r="BQ69" s="3341"/>
      <c r="BR69" s="3349">
        <f t="shared" si="194"/>
        <v>0</v>
      </c>
      <c r="BS69" s="4074" t="e">
        <f t="shared" si="195"/>
        <v>#DIV/0!</v>
      </c>
      <c r="BT69" s="4112"/>
      <c r="BU69" s="3341"/>
      <c r="BV69" s="3341"/>
      <c r="BW69" s="3349">
        <f t="shared" si="196"/>
        <v>0</v>
      </c>
      <c r="BX69" s="4074" t="e">
        <f t="shared" si="197"/>
        <v>#DIV/0!</v>
      </c>
      <c r="BY69" s="4112"/>
      <c r="BZ69" s="3341"/>
      <c r="CA69" s="3341"/>
      <c r="CB69" s="3349">
        <f t="shared" si="198"/>
        <v>0</v>
      </c>
      <c r="CC69" s="4074" t="e">
        <f t="shared" si="199"/>
        <v>#DIV/0!</v>
      </c>
      <c r="CD69" s="4112"/>
      <c r="CE69" s="3341"/>
      <c r="CF69" s="3341"/>
      <c r="CG69" s="3349">
        <f t="shared" si="200"/>
        <v>0</v>
      </c>
      <c r="CH69" s="4074" t="e">
        <f t="shared" si="201"/>
        <v>#DIV/0!</v>
      </c>
      <c r="CI69" s="4112"/>
      <c r="CJ69" s="3341">
        <f t="shared" si="202"/>
        <v>0</v>
      </c>
      <c r="CK69" s="3341">
        <f t="shared" si="202"/>
        <v>0</v>
      </c>
      <c r="CL69" s="2012">
        <f t="shared" si="203"/>
        <v>0</v>
      </c>
      <c r="CM69" s="4074" t="e">
        <f t="shared" si="168"/>
        <v>#DIV/0!</v>
      </c>
      <c r="CN69" s="4076"/>
      <c r="CP69" s="2012">
        <f t="shared" si="204"/>
        <v>0</v>
      </c>
      <c r="CQ69" s="2012">
        <f t="shared" si="204"/>
        <v>0</v>
      </c>
      <c r="CR69" s="4161"/>
      <c r="CT69" s="2624"/>
    </row>
    <row r="70" spans="1:98" s="1396" customFormat="1" ht="13.8" outlineLevel="2">
      <c r="A70" s="1571"/>
      <c r="B70" s="4098" t="s">
        <v>6</v>
      </c>
      <c r="C70" s="3341"/>
      <c r="D70" s="3341"/>
      <c r="E70" s="3349">
        <f t="shared" si="169"/>
        <v>0</v>
      </c>
      <c r="F70" s="4074" t="e">
        <f t="shared" si="133"/>
        <v>#DIV/0!</v>
      </c>
      <c r="G70" s="4112"/>
      <c r="H70" s="3341"/>
      <c r="I70" s="3341"/>
      <c r="J70" s="3349">
        <f t="shared" si="170"/>
        <v>0</v>
      </c>
      <c r="K70" s="4074" t="e">
        <f t="shared" si="171"/>
        <v>#DIV/0!</v>
      </c>
      <c r="L70" s="4112"/>
      <c r="M70" s="3341"/>
      <c r="N70" s="3341"/>
      <c r="O70" s="3349">
        <f t="shared" si="172"/>
        <v>0</v>
      </c>
      <c r="P70" s="4074" t="e">
        <f t="shared" si="173"/>
        <v>#DIV/0!</v>
      </c>
      <c r="Q70" s="4112"/>
      <c r="R70" s="3342">
        <f t="shared" si="174"/>
        <v>0</v>
      </c>
      <c r="S70" s="3342">
        <f t="shared" si="174"/>
        <v>0</v>
      </c>
      <c r="T70" s="2012">
        <f t="shared" si="175"/>
        <v>0</v>
      </c>
      <c r="U70" s="3462"/>
      <c r="V70" s="3462"/>
      <c r="W70" s="3342">
        <f t="shared" si="176"/>
        <v>0</v>
      </c>
      <c r="X70" s="3342">
        <f t="shared" si="176"/>
        <v>0</v>
      </c>
      <c r="Y70" s="2012">
        <f t="shared" si="177"/>
        <v>0</v>
      </c>
      <c r="Z70" s="3462"/>
      <c r="AA70" s="3462"/>
      <c r="AB70" s="3341"/>
      <c r="AC70" s="3341"/>
      <c r="AD70" s="3349">
        <f t="shared" si="178"/>
        <v>0</v>
      </c>
      <c r="AE70" s="4074" t="e">
        <f t="shared" si="179"/>
        <v>#DIV/0!</v>
      </c>
      <c r="AF70" s="4112"/>
      <c r="AG70" s="3341"/>
      <c r="AH70" s="3341"/>
      <c r="AI70" s="3349">
        <f t="shared" si="180"/>
        <v>0</v>
      </c>
      <c r="AJ70" s="4074" t="e">
        <f t="shared" si="181"/>
        <v>#DIV/0!</v>
      </c>
      <c r="AK70" s="4112"/>
      <c r="AL70" s="3341"/>
      <c r="AM70" s="3341"/>
      <c r="AN70" s="3349">
        <f t="shared" si="182"/>
        <v>0</v>
      </c>
      <c r="AO70" s="4074" t="e">
        <f t="shared" si="183"/>
        <v>#DIV/0!</v>
      </c>
      <c r="AP70" s="4112"/>
      <c r="AQ70" s="3341"/>
      <c r="AR70" s="3341"/>
      <c r="AS70" s="3349">
        <f t="shared" si="184"/>
        <v>0</v>
      </c>
      <c r="AT70" s="4074" t="e">
        <f t="shared" si="185"/>
        <v>#DIV/0!</v>
      </c>
      <c r="AU70" s="4112"/>
      <c r="AV70" s="3341"/>
      <c r="AW70" s="3341"/>
      <c r="AX70" s="3349">
        <f t="shared" si="186"/>
        <v>0</v>
      </c>
      <c r="AY70" s="4074" t="e">
        <f t="shared" si="187"/>
        <v>#DIV/0!</v>
      </c>
      <c r="AZ70" s="4112"/>
      <c r="BA70" s="3341"/>
      <c r="BB70" s="3341"/>
      <c r="BC70" s="3349">
        <f t="shared" si="188"/>
        <v>0</v>
      </c>
      <c r="BD70" s="4074" t="e">
        <f t="shared" si="189"/>
        <v>#DIV/0!</v>
      </c>
      <c r="BE70" s="4112"/>
      <c r="BF70" s="3341"/>
      <c r="BG70" s="3341"/>
      <c r="BH70" s="3349">
        <f t="shared" si="190"/>
        <v>0</v>
      </c>
      <c r="BI70" s="4074" t="e">
        <f t="shared" si="191"/>
        <v>#DIV/0!</v>
      </c>
      <c r="BJ70" s="4112"/>
      <c r="BK70" s="3341"/>
      <c r="BL70" s="3341"/>
      <c r="BM70" s="3349">
        <f t="shared" si="192"/>
        <v>0</v>
      </c>
      <c r="BN70" s="4074" t="e">
        <f t="shared" si="193"/>
        <v>#DIV/0!</v>
      </c>
      <c r="BO70" s="4112"/>
      <c r="BP70" s="3341"/>
      <c r="BQ70" s="3341"/>
      <c r="BR70" s="3349">
        <f t="shared" si="194"/>
        <v>0</v>
      </c>
      <c r="BS70" s="4074" t="e">
        <f t="shared" si="195"/>
        <v>#DIV/0!</v>
      </c>
      <c r="BT70" s="4112"/>
      <c r="BU70" s="3341"/>
      <c r="BV70" s="3341"/>
      <c r="BW70" s="3349">
        <f t="shared" si="196"/>
        <v>0</v>
      </c>
      <c r="BX70" s="4074" t="e">
        <f t="shared" si="197"/>
        <v>#DIV/0!</v>
      </c>
      <c r="BY70" s="4112"/>
      <c r="BZ70" s="3341"/>
      <c r="CA70" s="3341"/>
      <c r="CB70" s="3349">
        <f t="shared" si="198"/>
        <v>0</v>
      </c>
      <c r="CC70" s="4074" t="e">
        <f t="shared" si="199"/>
        <v>#DIV/0!</v>
      </c>
      <c r="CD70" s="4112"/>
      <c r="CE70" s="3341"/>
      <c r="CF70" s="3341"/>
      <c r="CG70" s="3349">
        <f t="shared" si="200"/>
        <v>0</v>
      </c>
      <c r="CH70" s="4074" t="e">
        <f t="shared" si="201"/>
        <v>#DIV/0!</v>
      </c>
      <c r="CI70" s="4112"/>
      <c r="CJ70" s="3341">
        <f t="shared" si="202"/>
        <v>0</v>
      </c>
      <c r="CK70" s="3341">
        <f t="shared" si="202"/>
        <v>0</v>
      </c>
      <c r="CL70" s="2012">
        <f t="shared" si="203"/>
        <v>0</v>
      </c>
      <c r="CM70" s="4074" t="e">
        <f t="shared" si="168"/>
        <v>#DIV/0!</v>
      </c>
      <c r="CN70" s="4076"/>
      <c r="CP70" s="2012">
        <f t="shared" si="204"/>
        <v>0</v>
      </c>
      <c r="CQ70" s="2012">
        <f t="shared" si="204"/>
        <v>0</v>
      </c>
      <c r="CR70" s="4161"/>
      <c r="CT70" s="2624"/>
    </row>
    <row r="71" spans="1:98" s="1396" customFormat="1" ht="13.8" outlineLevel="2">
      <c r="A71" s="1571"/>
      <c r="B71" s="4098" t="s">
        <v>78</v>
      </c>
      <c r="C71" s="3341"/>
      <c r="D71" s="3341"/>
      <c r="E71" s="3349">
        <f t="shared" si="169"/>
        <v>0</v>
      </c>
      <c r="F71" s="4074" t="e">
        <f t="shared" si="133"/>
        <v>#DIV/0!</v>
      </c>
      <c r="G71" s="4112"/>
      <c r="H71" s="3341"/>
      <c r="I71" s="3341"/>
      <c r="J71" s="3349">
        <f t="shared" si="170"/>
        <v>0</v>
      </c>
      <c r="K71" s="4074" t="e">
        <f t="shared" si="171"/>
        <v>#DIV/0!</v>
      </c>
      <c r="L71" s="4112"/>
      <c r="M71" s="3341"/>
      <c r="N71" s="3341"/>
      <c r="O71" s="3349">
        <f t="shared" si="172"/>
        <v>0</v>
      </c>
      <c r="P71" s="4074" t="e">
        <f t="shared" si="173"/>
        <v>#DIV/0!</v>
      </c>
      <c r="Q71" s="4112"/>
      <c r="R71" s="3342">
        <f t="shared" si="174"/>
        <v>0</v>
      </c>
      <c r="S71" s="3342">
        <f t="shared" si="174"/>
        <v>0</v>
      </c>
      <c r="T71" s="2012">
        <f t="shared" si="175"/>
        <v>0</v>
      </c>
      <c r="U71" s="3462"/>
      <c r="V71" s="3462"/>
      <c r="W71" s="3342">
        <f t="shared" si="176"/>
        <v>0</v>
      </c>
      <c r="X71" s="3342">
        <f t="shared" si="176"/>
        <v>0</v>
      </c>
      <c r="Y71" s="2012">
        <f t="shared" si="177"/>
        <v>0</v>
      </c>
      <c r="Z71" s="3462"/>
      <c r="AA71" s="3462"/>
      <c r="AB71" s="3341"/>
      <c r="AC71" s="3341"/>
      <c r="AD71" s="3349">
        <f t="shared" si="178"/>
        <v>0</v>
      </c>
      <c r="AE71" s="4074" t="e">
        <f t="shared" si="179"/>
        <v>#DIV/0!</v>
      </c>
      <c r="AF71" s="4112"/>
      <c r="AG71" s="3341"/>
      <c r="AH71" s="3341"/>
      <c r="AI71" s="3349">
        <f t="shared" si="180"/>
        <v>0</v>
      </c>
      <c r="AJ71" s="4074" t="e">
        <f t="shared" si="181"/>
        <v>#DIV/0!</v>
      </c>
      <c r="AK71" s="4112"/>
      <c r="AL71" s="3341"/>
      <c r="AM71" s="3341"/>
      <c r="AN71" s="3349">
        <f t="shared" si="182"/>
        <v>0</v>
      </c>
      <c r="AO71" s="4074" t="e">
        <f t="shared" si="183"/>
        <v>#DIV/0!</v>
      </c>
      <c r="AP71" s="4112"/>
      <c r="AQ71" s="3341"/>
      <c r="AR71" s="3341"/>
      <c r="AS71" s="3349">
        <f t="shared" si="184"/>
        <v>0</v>
      </c>
      <c r="AT71" s="4074" t="e">
        <f t="shared" si="185"/>
        <v>#DIV/0!</v>
      </c>
      <c r="AU71" s="4112"/>
      <c r="AV71" s="3341"/>
      <c r="AW71" s="3341"/>
      <c r="AX71" s="3349">
        <f t="shared" si="186"/>
        <v>0</v>
      </c>
      <c r="AY71" s="4074" t="e">
        <f t="shared" si="187"/>
        <v>#DIV/0!</v>
      </c>
      <c r="AZ71" s="4112"/>
      <c r="BA71" s="3341"/>
      <c r="BB71" s="3341"/>
      <c r="BC71" s="3349">
        <f t="shared" si="188"/>
        <v>0</v>
      </c>
      <c r="BD71" s="4074" t="e">
        <f t="shared" si="189"/>
        <v>#DIV/0!</v>
      </c>
      <c r="BE71" s="4112"/>
      <c r="BF71" s="3341"/>
      <c r="BG71" s="3341"/>
      <c r="BH71" s="3349">
        <f t="shared" si="190"/>
        <v>0</v>
      </c>
      <c r="BI71" s="4074" t="e">
        <f t="shared" si="191"/>
        <v>#DIV/0!</v>
      </c>
      <c r="BJ71" s="4112"/>
      <c r="BK71" s="3341"/>
      <c r="BL71" s="3341"/>
      <c r="BM71" s="3349">
        <f t="shared" si="192"/>
        <v>0</v>
      </c>
      <c r="BN71" s="4074" t="e">
        <f t="shared" si="193"/>
        <v>#DIV/0!</v>
      </c>
      <c r="BO71" s="4112"/>
      <c r="BP71" s="3341"/>
      <c r="BQ71" s="3341"/>
      <c r="BR71" s="3349">
        <f t="shared" si="194"/>
        <v>0</v>
      </c>
      <c r="BS71" s="4074" t="e">
        <f t="shared" si="195"/>
        <v>#DIV/0!</v>
      </c>
      <c r="BT71" s="4112"/>
      <c r="BU71" s="3341"/>
      <c r="BV71" s="3341"/>
      <c r="BW71" s="3349">
        <f t="shared" si="196"/>
        <v>0</v>
      </c>
      <c r="BX71" s="4074" t="e">
        <f t="shared" si="197"/>
        <v>#DIV/0!</v>
      </c>
      <c r="BY71" s="4112"/>
      <c r="BZ71" s="3341"/>
      <c r="CA71" s="3341"/>
      <c r="CB71" s="3349">
        <f t="shared" si="198"/>
        <v>0</v>
      </c>
      <c r="CC71" s="4074" t="e">
        <f t="shared" si="199"/>
        <v>#DIV/0!</v>
      </c>
      <c r="CD71" s="4112"/>
      <c r="CE71" s="3341"/>
      <c r="CF71" s="3341"/>
      <c r="CG71" s="3349">
        <f t="shared" si="200"/>
        <v>0</v>
      </c>
      <c r="CH71" s="4074" t="e">
        <f t="shared" si="201"/>
        <v>#DIV/0!</v>
      </c>
      <c r="CI71" s="4112"/>
      <c r="CJ71" s="3341">
        <f t="shared" si="202"/>
        <v>0</v>
      </c>
      <c r="CK71" s="3341">
        <f t="shared" si="202"/>
        <v>0</v>
      </c>
      <c r="CL71" s="2012">
        <f t="shared" si="203"/>
        <v>0</v>
      </c>
      <c r="CM71" s="4074" t="e">
        <f t="shared" si="168"/>
        <v>#DIV/0!</v>
      </c>
      <c r="CN71" s="4076"/>
      <c r="CP71" s="2012">
        <f t="shared" si="204"/>
        <v>0</v>
      </c>
      <c r="CQ71" s="2012">
        <f t="shared" si="204"/>
        <v>0</v>
      </c>
      <c r="CR71" s="4161"/>
      <c r="CT71" s="2624"/>
    </row>
    <row r="72" spans="1:98" s="1396" customFormat="1" ht="13.8" outlineLevel="2">
      <c r="A72" s="1571"/>
      <c r="B72" s="4123"/>
      <c r="C72" s="4080"/>
      <c r="D72" s="4080"/>
      <c r="E72" s="4115"/>
      <c r="F72" s="4074"/>
      <c r="G72" s="4112"/>
      <c r="H72" s="4080"/>
      <c r="I72" s="4080"/>
      <c r="J72" s="4115"/>
      <c r="K72" s="4074" t="e">
        <f t="shared" si="171"/>
        <v>#DIV/0!</v>
      </c>
      <c r="L72" s="4112"/>
      <c r="M72" s="4080"/>
      <c r="N72" s="4080"/>
      <c r="O72" s="4115"/>
      <c r="P72" s="4074" t="e">
        <f t="shared" si="173"/>
        <v>#DIV/0!</v>
      </c>
      <c r="Q72" s="4112"/>
      <c r="R72" s="4112"/>
      <c r="S72" s="4112"/>
      <c r="T72" s="4112"/>
      <c r="U72" s="4112"/>
      <c r="V72" s="4112"/>
      <c r="W72" s="4112"/>
      <c r="X72" s="4112"/>
      <c r="Y72" s="4112"/>
      <c r="Z72" s="4112"/>
      <c r="AA72" s="4112"/>
      <c r="AB72" s="4080"/>
      <c r="AC72" s="4080"/>
      <c r="AD72" s="4115"/>
      <c r="AE72" s="4074"/>
      <c r="AF72" s="4112"/>
      <c r="AG72" s="4080"/>
      <c r="AH72" s="4080"/>
      <c r="AI72" s="4115"/>
      <c r="AJ72" s="4074"/>
      <c r="AK72" s="4112"/>
      <c r="AL72" s="4080"/>
      <c r="AM72" s="4080"/>
      <c r="AN72" s="4115"/>
      <c r="AO72" s="4074"/>
      <c r="AP72" s="4112"/>
      <c r="AQ72" s="4080"/>
      <c r="AR72" s="4080"/>
      <c r="AS72" s="4115"/>
      <c r="AT72" s="4074"/>
      <c r="AU72" s="4112"/>
      <c r="AV72" s="4080"/>
      <c r="AW72" s="4080"/>
      <c r="AX72" s="4115"/>
      <c r="AY72" s="4074"/>
      <c r="AZ72" s="4112"/>
      <c r="BA72" s="4080"/>
      <c r="BB72" s="4080"/>
      <c r="BC72" s="4115"/>
      <c r="BD72" s="4074"/>
      <c r="BE72" s="4112"/>
      <c r="BF72" s="4080"/>
      <c r="BG72" s="4080"/>
      <c r="BH72" s="4115"/>
      <c r="BI72" s="4074"/>
      <c r="BJ72" s="4112"/>
      <c r="BK72" s="4080"/>
      <c r="BL72" s="4080"/>
      <c r="BM72" s="4115"/>
      <c r="BN72" s="4074"/>
      <c r="BO72" s="4112"/>
      <c r="BP72" s="4080"/>
      <c r="BQ72" s="4080"/>
      <c r="BR72" s="4115"/>
      <c r="BS72" s="4074"/>
      <c r="BT72" s="4112"/>
      <c r="BU72" s="4080"/>
      <c r="BV72" s="4080"/>
      <c r="BW72" s="4115"/>
      <c r="BX72" s="4074"/>
      <c r="BY72" s="4112"/>
      <c r="BZ72" s="4080"/>
      <c r="CA72" s="4080"/>
      <c r="CB72" s="4115"/>
      <c r="CC72" s="4074"/>
      <c r="CD72" s="4112"/>
      <c r="CE72" s="4080"/>
      <c r="CF72" s="4080"/>
      <c r="CG72" s="4115"/>
      <c r="CH72" s="4074"/>
      <c r="CI72" s="4112"/>
      <c r="CJ72" s="4080"/>
      <c r="CK72" s="4080"/>
      <c r="CL72" s="4115"/>
      <c r="CM72" s="4074" t="e">
        <f>CL72/$CL$89</f>
        <v>#DIV/0!</v>
      </c>
      <c r="CN72" s="4076"/>
      <c r="CP72" s="2030"/>
      <c r="CQ72" s="2030"/>
      <c r="CR72" s="4160"/>
      <c r="CT72" s="2624"/>
    </row>
    <row r="73" spans="1:98"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Y74</f>
        <v>0</v>
      </c>
      <c r="Z73" s="3738"/>
      <c r="AA73" s="3742"/>
      <c r="AB73" s="555">
        <f>AB74</f>
        <v>0</v>
      </c>
      <c r="AC73" s="3738">
        <f>AC74</f>
        <v>0</v>
      </c>
      <c r="AD73" s="3739">
        <f>AD74</f>
        <v>0</v>
      </c>
      <c r="AE73" s="3738"/>
      <c r="AF73" s="3741"/>
      <c r="AG73" s="555">
        <f>AG74</f>
        <v>0</v>
      </c>
      <c r="AH73" s="3738">
        <f>AH74</f>
        <v>0</v>
      </c>
      <c r="AI73" s="3739">
        <f>AI74</f>
        <v>0</v>
      </c>
      <c r="AJ73" s="3738"/>
      <c r="AK73" s="3741"/>
      <c r="AL73" s="555">
        <f>AL74</f>
        <v>0</v>
      </c>
      <c r="AM73" s="3738">
        <f>AM74</f>
        <v>0</v>
      </c>
      <c r="AN73" s="3739">
        <f>AN74</f>
        <v>0</v>
      </c>
      <c r="AO73" s="3738"/>
      <c r="AP73" s="3741"/>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4124">
        <f>CP74</f>
        <v>0</v>
      </c>
      <c r="CQ73" s="4124">
        <f>CQ74</f>
        <v>0</v>
      </c>
      <c r="CR73" s="4124"/>
      <c r="CT73" s="2624"/>
    </row>
    <row r="74" spans="1:98" s="1396" customFormat="1" ht="14.4" outlineLevel="1" thickBot="1">
      <c r="A74" s="1413"/>
      <c r="B74" s="1051" t="s">
        <v>64</v>
      </c>
      <c r="C74" s="3341"/>
      <c r="D74" s="3341"/>
      <c r="E74" s="3386">
        <f>C74+D74*1</f>
        <v>0</v>
      </c>
      <c r="F74" s="3386"/>
      <c r="G74" s="3468"/>
      <c r="H74" s="3341"/>
      <c r="I74" s="3341"/>
      <c r="J74" s="3386">
        <f>H74+I74*1</f>
        <v>0</v>
      </c>
      <c r="K74" s="4074" t="e">
        <f t="shared" ref="K74" si="205">J74/J$89</f>
        <v>#DIV/0!</v>
      </c>
      <c r="L74" s="3468"/>
      <c r="M74" s="3341"/>
      <c r="N74" s="3341"/>
      <c r="O74" s="3386">
        <f>M74+N74*1</f>
        <v>0</v>
      </c>
      <c r="P74" s="4074" t="e">
        <f t="shared" ref="P74" si="206">O74/O$89</f>
        <v>#DIV/0!</v>
      </c>
      <c r="Q74" s="3468"/>
      <c r="R74" s="3469"/>
      <c r="S74" s="3469"/>
      <c r="T74" s="3469"/>
      <c r="U74" s="3469"/>
      <c r="V74" s="3469"/>
      <c r="W74" s="3342">
        <f t="shared" ref="W74:X74" si="207">AB74+AG74+AL74+AV74+BA74+BF74+BK74+BP74+BU74+BZ74+CE74+AQ74</f>
        <v>0</v>
      </c>
      <c r="X74" s="3342">
        <f t="shared" si="207"/>
        <v>0</v>
      </c>
      <c r="Y74" s="3469"/>
      <c r="Z74" s="3469"/>
      <c r="AA74" s="3469"/>
      <c r="AB74" s="3341"/>
      <c r="AC74" s="3341"/>
      <c r="AD74" s="3386">
        <f>AB74+AC74*1</f>
        <v>0</v>
      </c>
      <c r="AE74" s="3386"/>
      <c r="AF74" s="3468"/>
      <c r="AG74" s="3341"/>
      <c r="AH74" s="3341"/>
      <c r="AI74" s="3386">
        <f>AG74+AH74*1</f>
        <v>0</v>
      </c>
      <c r="AJ74" s="3386"/>
      <c r="AK74" s="3468"/>
      <c r="AL74" s="3341"/>
      <c r="AM74" s="3341"/>
      <c r="AN74" s="3386">
        <f>AL74+AM74*1</f>
        <v>0</v>
      </c>
      <c r="AO74" s="3386"/>
      <c r="AP74" s="3468"/>
      <c r="AQ74" s="3341"/>
      <c r="AR74" s="3341"/>
      <c r="AS74" s="3386">
        <f>AQ74+AR74*1</f>
        <v>0</v>
      </c>
      <c r="AT74" s="3386"/>
      <c r="AU74" s="3468"/>
      <c r="AV74" s="3341"/>
      <c r="AW74" s="3341"/>
      <c r="AX74" s="3386">
        <f>AV74+AW74*1</f>
        <v>0</v>
      </c>
      <c r="AY74" s="3386"/>
      <c r="AZ74" s="3468"/>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C74+H74+M74</f>
        <v>0</v>
      </c>
      <c r="CK74" s="3341">
        <f>D74+I74+N74</f>
        <v>0</v>
      </c>
      <c r="CL74" s="3386">
        <f>CJ74+CK74*1</f>
        <v>0</v>
      </c>
      <c r="CM74" s="3386"/>
      <c r="CN74" s="3386"/>
      <c r="CP74" s="4125">
        <f>CN74+CO74*1</f>
        <v>0</v>
      </c>
      <c r="CQ74" s="4125">
        <f>CO74+CP74*1</f>
        <v>0</v>
      </c>
      <c r="CR74" s="4125"/>
      <c r="CT74" s="2624"/>
    </row>
    <row r="75" spans="1:98"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0</v>
      </c>
      <c r="O75" s="1508">
        <f>O38-O41-O50-O54</f>
        <v>0</v>
      </c>
      <c r="P75" s="1953"/>
      <c r="Q75" s="1058"/>
      <c r="R75" s="1450">
        <f>R38-R41-R50-R54</f>
        <v>0</v>
      </c>
      <c r="S75" s="1450">
        <f>S38-S41-S50-S54</f>
        <v>0</v>
      </c>
      <c r="T75" s="1508">
        <f>T38-T41-T50-T54</f>
        <v>0</v>
      </c>
      <c r="U75" s="3470"/>
      <c r="V75" s="3470"/>
      <c r="W75" s="1450">
        <f>W38-W41-W50-W54</f>
        <v>0</v>
      </c>
      <c r="X75" s="1450">
        <f>X38-X41-X50-X54</f>
        <v>0</v>
      </c>
      <c r="Y75" s="1508">
        <f>Y38-Y41-Y50-Y54</f>
        <v>0</v>
      </c>
      <c r="Z75" s="3470"/>
      <c r="AA75" s="3470"/>
      <c r="AB75" s="1450">
        <f>AB38-AB41-AB50-AB54</f>
        <v>0</v>
      </c>
      <c r="AC75" s="1450">
        <f>AC38-AC41-AC50-AC54</f>
        <v>0</v>
      </c>
      <c r="AD75" s="1508">
        <f>AD38-AD41-AD50-AD54</f>
        <v>0</v>
      </c>
      <c r="AE75" s="1953"/>
      <c r="AF75" s="1058"/>
      <c r="AG75" s="1450">
        <f>AG38-AG41-AG50-AG54</f>
        <v>0</v>
      </c>
      <c r="AH75" s="1450">
        <f>AH38-AH41-AH50-AH54</f>
        <v>0</v>
      </c>
      <c r="AI75" s="1508">
        <f>AI38-AI41-AI50-AI54</f>
        <v>0</v>
      </c>
      <c r="AJ75" s="1953"/>
      <c r="AK75" s="1058"/>
      <c r="AL75" s="1450">
        <f>AL38-AL41-AL50-AL54</f>
        <v>0</v>
      </c>
      <c r="AM75" s="1450">
        <f>AM38-AM41-AM50-AM54</f>
        <v>0</v>
      </c>
      <c r="AN75" s="1508">
        <f>AN38-AN41-AN50-AN54</f>
        <v>0</v>
      </c>
      <c r="AO75" s="1953"/>
      <c r="AP75" s="1058"/>
      <c r="AQ75" s="1450">
        <f>AQ38-AQ41-AQ50-AQ54</f>
        <v>0</v>
      </c>
      <c r="AR75" s="1450">
        <f>AR38-AR41-AR50-AR54</f>
        <v>0</v>
      </c>
      <c r="AS75" s="1508">
        <f>AS38-AS41-AS50-AS54</f>
        <v>0</v>
      </c>
      <c r="AT75" s="1953"/>
      <c r="AU75" s="1058"/>
      <c r="AV75" s="1450">
        <f>AV38-AV41-AV50-AV54</f>
        <v>0</v>
      </c>
      <c r="AW75" s="1450">
        <f>AW38-AW41-AW50-AW54</f>
        <v>0</v>
      </c>
      <c r="AX75" s="1508">
        <f>AX38-AX41-AX50-AX54</f>
        <v>0</v>
      </c>
      <c r="AY75" s="1953"/>
      <c r="AZ75" s="1058"/>
      <c r="BA75" s="1450">
        <f>BA38-BA41-BA50-BA54</f>
        <v>0</v>
      </c>
      <c r="BB75" s="1450">
        <f>BB38-BB41-BB50-BB54</f>
        <v>0</v>
      </c>
      <c r="BC75" s="1508">
        <f>BC38-BC41-BC50-BC54</f>
        <v>0</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0</v>
      </c>
      <c r="CK75" s="1450">
        <f>CK38-CK41-CK50-CK54</f>
        <v>0</v>
      </c>
      <c r="CL75" s="1508">
        <f>CL38-CL41-CL50-CL54</f>
        <v>0</v>
      </c>
      <c r="CM75" s="1953"/>
      <c r="CN75" s="1953"/>
      <c r="CP75" s="3471">
        <f>CP38-CP41-CP50-CP54</f>
        <v>0</v>
      </c>
      <c r="CQ75" s="3471">
        <f>CQ38-CQ41-CQ50-CQ54</f>
        <v>0</v>
      </c>
      <c r="CR75" s="3471">
        <f>CR38-CR41-CR50-CR54</f>
        <v>0</v>
      </c>
      <c r="CT75" s="2624"/>
    </row>
    <row r="76" spans="1:98"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2003">
        <f>IFERROR(AB75/AB5,0)</f>
        <v>0</v>
      </c>
      <c r="AC76" s="2003">
        <f>IFERROR(AC75/AC5,0)</f>
        <v>0</v>
      </c>
      <c r="AD76" s="2004">
        <f>IFERROR(AD75/AD5,0)</f>
        <v>0</v>
      </c>
      <c r="AE76" s="2004"/>
      <c r="AF76" s="1056"/>
      <c r="AG76" s="2003">
        <f>IFERROR(AG75/AG5,0)</f>
        <v>0</v>
      </c>
      <c r="AH76" s="2003">
        <f>IFERROR(AH75/AH5,0)</f>
        <v>0</v>
      </c>
      <c r="AI76" s="2004">
        <f>IFERROR(AI75/AI5,0)</f>
        <v>0</v>
      </c>
      <c r="AJ76" s="2004"/>
      <c r="AK76" s="1056"/>
      <c r="AL76" s="2003">
        <f>IFERROR(AL75/AL5,0)</f>
        <v>0</v>
      </c>
      <c r="AM76" s="2003">
        <f>IFERROR(AM75/AM5,0)</f>
        <v>0</v>
      </c>
      <c r="AN76" s="2004">
        <f>IFERROR(AN75/AN5,0)</f>
        <v>0</v>
      </c>
      <c r="AO76" s="2004"/>
      <c r="AP76" s="1056"/>
      <c r="AQ76" s="2003">
        <f>IFERROR(AQ75/AQ5,0)</f>
        <v>0</v>
      </c>
      <c r="AR76" s="2003">
        <f>IFERROR(AR75/AR5,0)</f>
        <v>0</v>
      </c>
      <c r="AS76" s="2004">
        <f>IFERROR(AS75/AS5,0)</f>
        <v>0</v>
      </c>
      <c r="AT76" s="2004"/>
      <c r="AU76" s="1056"/>
      <c r="AV76" s="2003">
        <f>IFERROR(AV75/AV5,0)</f>
        <v>0</v>
      </c>
      <c r="AW76" s="2003">
        <f>IFERROR(AW75/AW5,0)</f>
        <v>0</v>
      </c>
      <c r="AX76" s="2004">
        <f>IFERROR(AX75/AX5,0)</f>
        <v>0</v>
      </c>
      <c r="AY76" s="2004"/>
      <c r="AZ76" s="1056"/>
      <c r="BA76" s="2003">
        <f>IFERROR(BA75/BA5,0)</f>
        <v>0</v>
      </c>
      <c r="BB76" s="2003">
        <f>IFERROR(BB75/BB5,0)</f>
        <v>0</v>
      </c>
      <c r="BC76" s="2004">
        <f>IFERROR(BC75/BC5,0)</f>
        <v>0</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v>
      </c>
      <c r="CK76" s="2003">
        <f>IFERROR(CK75/CK5,0)</f>
        <v>0</v>
      </c>
      <c r="CL76" s="2004">
        <f>IFERROR(CL75/CL5,0)</f>
        <v>0</v>
      </c>
      <c r="CM76" s="2004"/>
      <c r="CN76" s="2004"/>
      <c r="CP76" s="2004" t="e">
        <f>CP75/CP5</f>
        <v>#DIV/0!</v>
      </c>
      <c r="CQ76" s="2004">
        <f>IFERROR(CQ75/CQ5,0)</f>
        <v>0</v>
      </c>
      <c r="CR76" s="2004" t="e">
        <f>CR75/CR5</f>
        <v>#DIV/0!</v>
      </c>
      <c r="CT76" s="2624"/>
    </row>
    <row r="77" spans="1:98" s="1396" customFormat="1" ht="14.4" outlineLevel="1" thickBot="1">
      <c r="A77" s="1566"/>
      <c r="B77" s="4126" t="s">
        <v>9</v>
      </c>
      <c r="C77" s="4127">
        <f>C78-C79</f>
        <v>0</v>
      </c>
      <c r="D77" s="4127">
        <f>D78-D79</f>
        <v>0</v>
      </c>
      <c r="E77" s="4128">
        <f>E78-E79</f>
        <v>0</v>
      </c>
      <c r="F77" s="4129"/>
      <c r="G77" s="4130"/>
      <c r="H77" s="4127">
        <f>H78-H79</f>
        <v>0</v>
      </c>
      <c r="I77" s="4127">
        <f>I78-I79</f>
        <v>0</v>
      </c>
      <c r="J77" s="4128">
        <f>J78-J79</f>
        <v>0</v>
      </c>
      <c r="K77" s="4129"/>
      <c r="L77" s="4130"/>
      <c r="M77" s="4127">
        <f>M78-M79</f>
        <v>0</v>
      </c>
      <c r="N77" s="4127">
        <f>N78-N79</f>
        <v>0</v>
      </c>
      <c r="O77" s="4128">
        <f>O78-O79</f>
        <v>0</v>
      </c>
      <c r="P77" s="4129"/>
      <c r="Q77" s="4130"/>
      <c r="R77" s="4127">
        <f>R78-R79</f>
        <v>0</v>
      </c>
      <c r="S77" s="4127">
        <f>S78-S79</f>
        <v>0</v>
      </c>
      <c r="T77" s="4128">
        <f>T78-T79</f>
        <v>0</v>
      </c>
      <c r="U77" s="4131"/>
      <c r="V77" s="4131"/>
      <c r="W77" s="4127">
        <f>W78-W79</f>
        <v>0</v>
      </c>
      <c r="X77" s="4127">
        <f>X78-X79</f>
        <v>0</v>
      </c>
      <c r="Y77" s="4128">
        <f>Y78-Y79</f>
        <v>0</v>
      </c>
      <c r="Z77" s="4131"/>
      <c r="AA77" s="4131"/>
      <c r="AB77" s="4127">
        <f>AB78-AB79</f>
        <v>0</v>
      </c>
      <c r="AC77" s="4127">
        <f>AC78-AC79</f>
        <v>0</v>
      </c>
      <c r="AD77" s="4128">
        <f>AD78-AD79</f>
        <v>0</v>
      </c>
      <c r="AE77" s="4129"/>
      <c r="AF77" s="4130"/>
      <c r="AG77" s="4127">
        <f>AG78-AG79</f>
        <v>0</v>
      </c>
      <c r="AH77" s="4127">
        <f>AH78-AH79</f>
        <v>0</v>
      </c>
      <c r="AI77" s="4128">
        <f>AI78-AI79</f>
        <v>0</v>
      </c>
      <c r="AJ77" s="4129"/>
      <c r="AK77" s="4130"/>
      <c r="AL77" s="4127">
        <f>AL78-AL79</f>
        <v>0</v>
      </c>
      <c r="AM77" s="4127">
        <f>AM78-AM79</f>
        <v>0</v>
      </c>
      <c r="AN77" s="4128">
        <f>AN78-AN79</f>
        <v>0</v>
      </c>
      <c r="AO77" s="4129"/>
      <c r="AP77" s="4130"/>
      <c r="AQ77" s="4127">
        <f>AQ78-AQ79</f>
        <v>0</v>
      </c>
      <c r="AR77" s="4127">
        <f>AR78-AR79</f>
        <v>0</v>
      </c>
      <c r="AS77" s="4128">
        <f>AS78-AS79</f>
        <v>0</v>
      </c>
      <c r="AT77" s="4129"/>
      <c r="AU77" s="4130"/>
      <c r="AV77" s="4127">
        <f>AV78-AV79</f>
        <v>0</v>
      </c>
      <c r="AW77" s="4127">
        <f>AW78-AW79</f>
        <v>0</v>
      </c>
      <c r="AX77" s="4128">
        <f>AX78-AX79</f>
        <v>0</v>
      </c>
      <c r="AY77" s="4129"/>
      <c r="AZ77" s="4130"/>
      <c r="BA77" s="4127">
        <f>BA78-BA79</f>
        <v>0</v>
      </c>
      <c r="BB77" s="4127">
        <f>BB78-BB79</f>
        <v>0</v>
      </c>
      <c r="BC77" s="4128">
        <f>BC78-BC79</f>
        <v>0</v>
      </c>
      <c r="BD77" s="4129"/>
      <c r="BE77" s="4130"/>
      <c r="BF77" s="4127">
        <f>BF78-BF79</f>
        <v>0</v>
      </c>
      <c r="BG77" s="4127">
        <f>BG78-BG79</f>
        <v>0</v>
      </c>
      <c r="BH77" s="4128">
        <f>BH78-BH79</f>
        <v>0</v>
      </c>
      <c r="BI77" s="4129"/>
      <c r="BJ77" s="4130"/>
      <c r="BK77" s="4127">
        <f>BK78-BK79</f>
        <v>0</v>
      </c>
      <c r="BL77" s="4127">
        <f>BL78-BL79</f>
        <v>0</v>
      </c>
      <c r="BM77" s="4128">
        <f>BM78-BM79</f>
        <v>0</v>
      </c>
      <c r="BN77" s="4129"/>
      <c r="BO77" s="4130"/>
      <c r="BP77" s="4127">
        <f>BP78-BP79</f>
        <v>0</v>
      </c>
      <c r="BQ77" s="4127">
        <f>BQ78-BQ79</f>
        <v>0</v>
      </c>
      <c r="BR77" s="4128">
        <f>BR78-BR79</f>
        <v>0</v>
      </c>
      <c r="BS77" s="4129"/>
      <c r="BT77" s="4130"/>
      <c r="BU77" s="4127">
        <f>BU78-BU79</f>
        <v>0</v>
      </c>
      <c r="BV77" s="4127">
        <f>BV78-BV79</f>
        <v>0</v>
      </c>
      <c r="BW77" s="4128">
        <f>BW78-BW79</f>
        <v>0</v>
      </c>
      <c r="BX77" s="4129"/>
      <c r="BY77" s="4130"/>
      <c r="BZ77" s="4127">
        <f>BZ78-BZ79</f>
        <v>0</v>
      </c>
      <c r="CA77" s="4127">
        <f>CA78-CA79</f>
        <v>0</v>
      </c>
      <c r="CB77" s="4128">
        <f>CB78-CB79</f>
        <v>0</v>
      </c>
      <c r="CC77" s="4129"/>
      <c r="CD77" s="4130"/>
      <c r="CE77" s="4127">
        <f>CE78-CE79</f>
        <v>0</v>
      </c>
      <c r="CF77" s="4127">
        <f>CF78-CF79</f>
        <v>0</v>
      </c>
      <c r="CG77" s="4128">
        <f>CG78-CG79</f>
        <v>0</v>
      </c>
      <c r="CH77" s="4129"/>
      <c r="CI77" s="4130"/>
      <c r="CJ77" s="4127">
        <f>CJ78-CJ79</f>
        <v>0</v>
      </c>
      <c r="CK77" s="4127">
        <f>CK78-CK79</f>
        <v>0</v>
      </c>
      <c r="CL77" s="4128">
        <f>CL78-CL79</f>
        <v>0</v>
      </c>
      <c r="CM77" s="4129"/>
      <c r="CN77" s="4129"/>
      <c r="CP77" s="4128">
        <f>CP78-CP79</f>
        <v>0</v>
      </c>
      <c r="CQ77" s="4128">
        <f>CQ78-CQ79</f>
        <v>0</v>
      </c>
      <c r="CR77" s="4128"/>
      <c r="CT77" s="2624"/>
    </row>
    <row r="78" spans="1:98" s="1396" customFormat="1" ht="13.8" outlineLevel="2">
      <c r="A78" s="1405"/>
      <c r="B78" s="1400" t="s">
        <v>43</v>
      </c>
      <c r="C78" s="3341"/>
      <c r="D78" s="3341"/>
      <c r="E78" s="3391">
        <f>C78+D78*1.15</f>
        <v>0</v>
      </c>
      <c r="F78" s="3391"/>
      <c r="G78" s="3473"/>
      <c r="H78" s="3341"/>
      <c r="I78" s="3341"/>
      <c r="J78" s="3391">
        <f>H78+I78*1.15</f>
        <v>0</v>
      </c>
      <c r="K78" s="4074" t="e">
        <f t="shared" ref="K78:K79" si="208">J78/J$89</f>
        <v>#DIV/0!</v>
      </c>
      <c r="L78" s="3473"/>
      <c r="M78" s="3341"/>
      <c r="N78" s="3341"/>
      <c r="O78" s="3391">
        <f>M78+N78*1.15</f>
        <v>0</v>
      </c>
      <c r="P78" s="4074" t="e">
        <f t="shared" ref="P78:P79" si="209">O78/O$89</f>
        <v>#DIV/0!</v>
      </c>
      <c r="Q78" s="3473"/>
      <c r="R78" s="3342">
        <f t="shared" ref="R78:S79" si="210">M78+H78+C78</f>
        <v>0</v>
      </c>
      <c r="S78" s="3342">
        <f t="shared" si="210"/>
        <v>0</v>
      </c>
      <c r="T78" s="2012">
        <f t="shared" ref="T78:T79" si="211">R78+S78</f>
        <v>0</v>
      </c>
      <c r="U78" s="3474"/>
      <c r="V78" s="3474"/>
      <c r="W78" s="3342">
        <f t="shared" ref="W78:X79" si="212">AB78+AG78+AL78+AV78+BA78+BF78+BK78+BP78+BU78+BZ78+CE78+AQ78</f>
        <v>0</v>
      </c>
      <c r="X78" s="3342">
        <f t="shared" si="212"/>
        <v>0</v>
      </c>
      <c r="Y78" s="2012">
        <f t="shared" ref="Y78:Y79" si="213">W78+X78</f>
        <v>0</v>
      </c>
      <c r="Z78" s="3474"/>
      <c r="AA78" s="3474"/>
      <c r="AB78" s="3341"/>
      <c r="AC78" s="3341"/>
      <c r="AD78" s="3391">
        <f>AB78+AC78*1.15</f>
        <v>0</v>
      </c>
      <c r="AE78" s="3391"/>
      <c r="AF78" s="3473"/>
      <c r="AG78" s="3341"/>
      <c r="AH78" s="3341"/>
      <c r="AI78" s="3391">
        <f>AG78+AH78*1.15</f>
        <v>0</v>
      </c>
      <c r="AJ78" s="3391"/>
      <c r="AK78" s="3473"/>
      <c r="AL78" s="3341"/>
      <c r="AM78" s="3341"/>
      <c r="AN78" s="3391">
        <f>AL78+AM78*1.15</f>
        <v>0</v>
      </c>
      <c r="AO78" s="3391"/>
      <c r="AP78" s="3473"/>
      <c r="AQ78" s="3341"/>
      <c r="AR78" s="3341"/>
      <c r="AS78" s="3391">
        <f>AQ78+AR78*1.15</f>
        <v>0</v>
      </c>
      <c r="AT78" s="3391"/>
      <c r="AU78" s="3473"/>
      <c r="AV78" s="3341"/>
      <c r="AW78" s="3341"/>
      <c r="AX78" s="3391">
        <f>AV78+AW78*1.15</f>
        <v>0</v>
      </c>
      <c r="AY78" s="3391"/>
      <c r="AZ78" s="3473"/>
      <c r="BA78" s="3341"/>
      <c r="BB78" s="3341"/>
      <c r="BC78" s="3391">
        <f>BA78+BB78*1.15</f>
        <v>0</v>
      </c>
      <c r="BD78" s="3391"/>
      <c r="BE78" s="3473"/>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14">C78+H78+M78+W78</f>
        <v>0</v>
      </c>
      <c r="CK78" s="3341">
        <f t="shared" si="214"/>
        <v>0</v>
      </c>
      <c r="CL78" s="3391">
        <f>CJ78+CK78*1.15</f>
        <v>0</v>
      </c>
      <c r="CM78" s="3391"/>
      <c r="CN78" s="3391"/>
      <c r="CP78" s="3475">
        <f>CN78+CO78*1.15</f>
        <v>0</v>
      </c>
      <c r="CQ78" s="3475">
        <f>CO78+CP78*1.15</f>
        <v>0</v>
      </c>
      <c r="CR78" s="4161"/>
      <c r="CT78" s="2624"/>
    </row>
    <row r="79" spans="1:98" s="1396" customFormat="1" ht="13.8" outlineLevel="2">
      <c r="A79" s="1405"/>
      <c r="B79" s="4132" t="s">
        <v>79</v>
      </c>
      <c r="C79" s="3341">
        <f>(D8+D41+D50+D54)/(1-'расчет 2024'!$M$21)*'расчет 2024'!$M$21</f>
        <v>0</v>
      </c>
      <c r="D79" s="3341"/>
      <c r="E79" s="2012">
        <f>C79+D79</f>
        <v>0</v>
      </c>
      <c r="F79" s="4100"/>
      <c r="G79" s="4099"/>
      <c r="H79" s="3341">
        <f>(I8+I41+I50+I54)/(1-'расчет 2024'!$M$23)*'расчет 2024'!$M$23</f>
        <v>0</v>
      </c>
      <c r="I79" s="3341"/>
      <c r="J79" s="2012">
        <f>H79+I79</f>
        <v>0</v>
      </c>
      <c r="K79" s="4074" t="e">
        <f t="shared" si="208"/>
        <v>#DIV/0!</v>
      </c>
      <c r="L79" s="4099"/>
      <c r="M79" s="3341">
        <f>(N8+N41+N50+N54)/(1-'расчет 2024'!$M$23)*'расчет 2024'!$M$23</f>
        <v>0</v>
      </c>
      <c r="N79" s="3341"/>
      <c r="O79" s="2012">
        <f>M79+N79</f>
        <v>0</v>
      </c>
      <c r="P79" s="4074" t="e">
        <f t="shared" si="209"/>
        <v>#DIV/0!</v>
      </c>
      <c r="Q79" s="4099"/>
      <c r="R79" s="3342">
        <f t="shared" si="210"/>
        <v>0</v>
      </c>
      <c r="S79" s="3342">
        <f t="shared" si="210"/>
        <v>0</v>
      </c>
      <c r="T79" s="2012">
        <f t="shared" si="211"/>
        <v>0</v>
      </c>
      <c r="U79" s="3455"/>
      <c r="V79" s="3455"/>
      <c r="W79" s="3342">
        <f t="shared" si="212"/>
        <v>0</v>
      </c>
      <c r="X79" s="3342">
        <f t="shared" si="212"/>
        <v>0</v>
      </c>
      <c r="Y79" s="2012">
        <f t="shared" si="213"/>
        <v>0</v>
      </c>
      <c r="Z79" s="3455"/>
      <c r="AA79" s="3455"/>
      <c r="AB79" s="3341">
        <f>(AC8+AC41+AC50+AC54)/(1-'расчет 2024'!$M$23)*'расчет 2024'!$M$23</f>
        <v>0</v>
      </c>
      <c r="AC79" s="3341"/>
      <c r="AD79" s="2012">
        <f>AB79+AC79</f>
        <v>0</v>
      </c>
      <c r="AE79" s="4100"/>
      <c r="AF79" s="4099"/>
      <c r="AG79" s="3341">
        <f>(AH8+AH41+AH50+AH54)/(1-'расчет 2024'!$M$23)*'расчет 2024'!$M$23</f>
        <v>0</v>
      </c>
      <c r="AH79" s="3341"/>
      <c r="AI79" s="2012">
        <f>AG79+AH79</f>
        <v>0</v>
      </c>
      <c r="AJ79" s="4100"/>
      <c r="AK79" s="4099"/>
      <c r="AL79" s="3341">
        <f>(AM8+AM41+AM50+AM54)/(1-'расчет 2024'!$M$23)*'расчет 2024'!$M$23</f>
        <v>0</v>
      </c>
      <c r="AM79" s="3341"/>
      <c r="AN79" s="2012">
        <f>AL79+AM79</f>
        <v>0</v>
      </c>
      <c r="AO79" s="4100"/>
      <c r="AP79" s="4099"/>
      <c r="AQ79" s="3341">
        <f>(AR8+AR41+AR50+AR54)/(1-'расчет 2024'!$M$23)*'расчет 2024'!$M$23</f>
        <v>0</v>
      </c>
      <c r="AR79" s="3341"/>
      <c r="AS79" s="2012">
        <f>AQ79+AR79</f>
        <v>0</v>
      </c>
      <c r="AT79" s="4100"/>
      <c r="AU79" s="4099"/>
      <c r="AV79" s="3341">
        <f>(AW8+AW41+AW50+AW54)/(1-'расчет 2024'!$M$23)*'расчет 2024'!$M$23</f>
        <v>0</v>
      </c>
      <c r="AW79" s="3341"/>
      <c r="AX79" s="2012">
        <f>AV79+AW79</f>
        <v>0</v>
      </c>
      <c r="AY79" s="4100"/>
      <c r="AZ79" s="4099"/>
      <c r="BA79" s="3341">
        <f>(BB8+BB41+BB50+BB54)/(1-'расчет 2024'!$M$23)*'расчет 2024'!$M$23</f>
        <v>0</v>
      </c>
      <c r="BB79" s="3341"/>
      <c r="BC79" s="2012">
        <f>BA79+BB79</f>
        <v>0</v>
      </c>
      <c r="BD79" s="4100"/>
      <c r="BE79" s="4099"/>
      <c r="BF79" s="3341">
        <f>(BG8+BG41+BG50+BG54)/(1-'расчет 2024'!$M$23)*'расчет 2024'!$M$23</f>
        <v>0</v>
      </c>
      <c r="BG79" s="3341"/>
      <c r="BH79" s="2012">
        <f>BF79+BG79</f>
        <v>0</v>
      </c>
      <c r="BI79" s="4100"/>
      <c r="BJ79" s="4099"/>
      <c r="BK79" s="3341"/>
      <c r="BL79" s="3341"/>
      <c r="BM79" s="2012">
        <f>BK79+BL79</f>
        <v>0</v>
      </c>
      <c r="BN79" s="4100"/>
      <c r="BO79" s="4099"/>
      <c r="BP79" s="3341">
        <f>(BQ8+BQ41+BQ50+BQ54)/(1-'расчет 2024'!$M$23)*'расчет 2024'!$M$23</f>
        <v>0</v>
      </c>
      <c r="BQ79" s="3341"/>
      <c r="BR79" s="2012">
        <f>BP79+BQ79</f>
        <v>0</v>
      </c>
      <c r="BS79" s="4100"/>
      <c r="BT79" s="4099"/>
      <c r="BU79" s="3341">
        <f>(BV8+BV41+BV50+BV54)/(1-'расчет 2024'!$M$23)*'расчет 2024'!$M$23</f>
        <v>0</v>
      </c>
      <c r="BV79" s="3341"/>
      <c r="BW79" s="2012">
        <f>BU79+BV79</f>
        <v>0</v>
      </c>
      <c r="BX79" s="4100"/>
      <c r="BY79" s="4099"/>
      <c r="BZ79" s="3341">
        <f>(CA8+CA41+CA50+CA54)/(1-'расчет 2024'!$M$23)*'расчет 2024'!$M$23</f>
        <v>0</v>
      </c>
      <c r="CA79" s="3341"/>
      <c r="CB79" s="2012">
        <f>BZ79+CA79</f>
        <v>0</v>
      </c>
      <c r="CC79" s="4100"/>
      <c r="CD79" s="4099"/>
      <c r="CE79" s="3341">
        <f>(CF8+CF41+CF50+CF54)/(1-'расчет 2024'!$M$23)*'расчет 2024'!$M$23</f>
        <v>0</v>
      </c>
      <c r="CF79" s="3341"/>
      <c r="CG79" s="2012">
        <f>CE79+CF79</f>
        <v>0</v>
      </c>
      <c r="CH79" s="4100"/>
      <c r="CI79" s="4099"/>
      <c r="CJ79" s="3341">
        <f t="shared" si="214"/>
        <v>0</v>
      </c>
      <c r="CK79" s="3341">
        <f t="shared" si="214"/>
        <v>0</v>
      </c>
      <c r="CL79" s="2012">
        <f t="shared" ref="CL79" si="215">CJ79+CK79*1</f>
        <v>0</v>
      </c>
      <c r="CM79" s="4100"/>
      <c r="CN79" s="4100"/>
      <c r="CP79" s="2012">
        <f t="shared" ref="CP79" si="216">CN79+CO79*1</f>
        <v>0</v>
      </c>
      <c r="CQ79" s="2012"/>
      <c r="CR79" s="4161">
        <f t="shared" ref="CR79" si="217">CP79-CQ79</f>
        <v>0</v>
      </c>
      <c r="CT79" s="2624"/>
    </row>
    <row r="80" spans="1:98" ht="13.8" outlineLevel="2">
      <c r="A80" s="1397"/>
      <c r="B80" s="4123"/>
      <c r="C80" s="3341"/>
      <c r="D80" s="3341"/>
      <c r="E80" s="4133"/>
      <c r="F80" s="4133"/>
      <c r="G80" s="4134"/>
      <c r="H80" s="3341"/>
      <c r="I80" s="3341"/>
      <c r="J80" s="4133"/>
      <c r="K80" s="4133"/>
      <c r="L80" s="4134"/>
      <c r="M80" s="3341"/>
      <c r="N80" s="3341"/>
      <c r="O80" s="4133"/>
      <c r="P80" s="4133"/>
      <c r="Q80" s="4134"/>
      <c r="R80" s="3448"/>
      <c r="S80" s="3448"/>
      <c r="T80" s="3448"/>
      <c r="U80" s="3448"/>
      <c r="V80" s="3448"/>
      <c r="W80" s="3448"/>
      <c r="X80" s="3448"/>
      <c r="Y80" s="3448"/>
      <c r="Z80" s="3448"/>
      <c r="AA80" s="3448"/>
      <c r="AB80" s="3341"/>
      <c r="AC80" s="3341"/>
      <c r="AD80" s="4133"/>
      <c r="AE80" s="4133"/>
      <c r="AF80" s="4134"/>
      <c r="AG80" s="3341"/>
      <c r="AH80" s="3341"/>
      <c r="AI80" s="4133"/>
      <c r="AJ80" s="4133"/>
      <c r="AK80" s="4134"/>
      <c r="AL80" s="3341"/>
      <c r="AM80" s="3341"/>
      <c r="AN80" s="4133"/>
      <c r="AO80" s="4133"/>
      <c r="AP80" s="4134"/>
      <c r="AQ80" s="3341"/>
      <c r="AR80" s="3341"/>
      <c r="AS80" s="4133"/>
      <c r="AT80" s="4133"/>
      <c r="AU80" s="4134"/>
      <c r="AV80" s="3341"/>
      <c r="AW80" s="3341"/>
      <c r="AX80" s="4133"/>
      <c r="AY80" s="4133"/>
      <c r="AZ80" s="4134"/>
      <c r="BA80" s="3341"/>
      <c r="BB80" s="3341"/>
      <c r="BC80" s="4133"/>
      <c r="BD80" s="4133"/>
      <c r="BE80" s="4134"/>
      <c r="BF80" s="3341"/>
      <c r="BG80" s="3341"/>
      <c r="BH80" s="4133"/>
      <c r="BI80" s="4133"/>
      <c r="BJ80" s="4134"/>
      <c r="BK80" s="3341"/>
      <c r="BL80" s="3341"/>
      <c r="BM80" s="4133"/>
      <c r="BN80" s="4133"/>
      <c r="BO80" s="4134"/>
      <c r="BP80" s="3341"/>
      <c r="BQ80" s="3341"/>
      <c r="BR80" s="4133"/>
      <c r="BS80" s="4133"/>
      <c r="BT80" s="4134"/>
      <c r="BU80" s="3341"/>
      <c r="BV80" s="3341"/>
      <c r="BW80" s="4133"/>
      <c r="BX80" s="4133"/>
      <c r="BY80" s="4134"/>
      <c r="BZ80" s="3341"/>
      <c r="CA80" s="3341"/>
      <c r="CB80" s="4133"/>
      <c r="CC80" s="4133"/>
      <c r="CD80" s="4134"/>
      <c r="CE80" s="3341"/>
      <c r="CF80" s="3341"/>
      <c r="CG80" s="4133"/>
      <c r="CH80" s="4133"/>
      <c r="CI80" s="4134"/>
      <c r="CJ80" s="3341">
        <f>C80+H80+M80</f>
        <v>0</v>
      </c>
      <c r="CK80" s="3341">
        <f>D80+I80+N80</f>
        <v>0</v>
      </c>
      <c r="CL80" s="4133"/>
      <c r="CM80" s="4133"/>
      <c r="CN80" s="4133"/>
      <c r="CP80" s="4135"/>
      <c r="CQ80" s="4135"/>
      <c r="CR80" s="4161"/>
    </row>
    <row r="81" spans="1:101" s="1396" customFormat="1" ht="14.4" outlineLevel="1" thickBot="1">
      <c r="A81" s="1419"/>
      <c r="B81" s="4126" t="s">
        <v>12</v>
      </c>
      <c r="C81" s="4127">
        <f>(C75+C78)-C79</f>
        <v>0</v>
      </c>
      <c r="D81" s="4127">
        <f>(D75+D78)-D79</f>
        <v>0</v>
      </c>
      <c r="E81" s="4128">
        <f>(E75+E78)-E79</f>
        <v>0</v>
      </c>
      <c r="F81" s="4129"/>
      <c r="G81" s="4130"/>
      <c r="H81" s="4127">
        <f>(H75+H78)-H79</f>
        <v>0</v>
      </c>
      <c r="I81" s="4127">
        <f>(I75+I78)-I79</f>
        <v>0</v>
      </c>
      <c r="J81" s="4128">
        <f>(J75+J78)-J79</f>
        <v>0</v>
      </c>
      <c r="K81" s="4129"/>
      <c r="L81" s="4130"/>
      <c r="M81" s="4127">
        <f>(M75+M78)-M79</f>
        <v>0</v>
      </c>
      <c r="N81" s="4127">
        <f>(N75+N78)-N79</f>
        <v>0</v>
      </c>
      <c r="O81" s="4128">
        <f>(O75+O78)-O79</f>
        <v>0</v>
      </c>
      <c r="P81" s="4129"/>
      <c r="Q81" s="4130"/>
      <c r="R81" s="4127">
        <f>(R75+R78)-R79</f>
        <v>0</v>
      </c>
      <c r="S81" s="4127">
        <f>(S75+S78)-S79</f>
        <v>0</v>
      </c>
      <c r="T81" s="4128">
        <f>(T75+T78)-T79</f>
        <v>0</v>
      </c>
      <c r="U81" s="4131"/>
      <c r="V81" s="4131"/>
      <c r="W81" s="4127">
        <f>(W75+W78)-W79</f>
        <v>0</v>
      </c>
      <c r="X81" s="4127">
        <f>(X75+X78)-X79</f>
        <v>0</v>
      </c>
      <c r="Y81" s="4128">
        <f>(Y75+Y78)-Y79</f>
        <v>0</v>
      </c>
      <c r="Z81" s="4131"/>
      <c r="AA81" s="4131"/>
      <c r="AB81" s="4127">
        <f>(AB75+AB78)-AB79</f>
        <v>0</v>
      </c>
      <c r="AC81" s="4127">
        <f>(AC75+AC78)-AC79</f>
        <v>0</v>
      </c>
      <c r="AD81" s="4128">
        <f>(AD75+AD78)-AD79</f>
        <v>0</v>
      </c>
      <c r="AE81" s="4129"/>
      <c r="AF81" s="4130"/>
      <c r="AG81" s="4127">
        <f>(AG75+AG78)-AG79</f>
        <v>0</v>
      </c>
      <c r="AH81" s="4127">
        <f>(AH75+AH78)-AH79</f>
        <v>0</v>
      </c>
      <c r="AI81" s="4128">
        <f>(AI75+AI78)-AI79</f>
        <v>0</v>
      </c>
      <c r="AJ81" s="4129"/>
      <c r="AK81" s="4130"/>
      <c r="AL81" s="4127">
        <f>(AL75+AL78)-AL79</f>
        <v>0</v>
      </c>
      <c r="AM81" s="4127">
        <f>(AM75+AM78)-AM79</f>
        <v>0</v>
      </c>
      <c r="AN81" s="4128">
        <f>(AN75+AN78)-AN79</f>
        <v>0</v>
      </c>
      <c r="AO81" s="4129"/>
      <c r="AP81" s="4130"/>
      <c r="AQ81" s="4127">
        <f>(AQ75+AQ78)-AQ79</f>
        <v>0</v>
      </c>
      <c r="AR81" s="4127">
        <f>(AR75+AR78)-AR79</f>
        <v>0</v>
      </c>
      <c r="AS81" s="4128">
        <f>(AS75+AS78)-AS79</f>
        <v>0</v>
      </c>
      <c r="AT81" s="4129"/>
      <c r="AU81" s="4130"/>
      <c r="AV81" s="4127">
        <f>(AV75+AV78)-AV79</f>
        <v>0</v>
      </c>
      <c r="AW81" s="4127">
        <f>(AW75+AW78)-AW79</f>
        <v>0</v>
      </c>
      <c r="AX81" s="4128">
        <f>(AX75+AX78)-AX79</f>
        <v>0</v>
      </c>
      <c r="AY81" s="4129"/>
      <c r="AZ81" s="4130"/>
      <c r="BA81" s="4127">
        <f>(BA75+BA78)-BA79</f>
        <v>0</v>
      </c>
      <c r="BB81" s="4127">
        <f>(BB75+BB78)-BB79</f>
        <v>0</v>
      </c>
      <c r="BC81" s="4128">
        <f>(BC75+BC78)-BC79</f>
        <v>0</v>
      </c>
      <c r="BD81" s="4129"/>
      <c r="BE81" s="4130"/>
      <c r="BF81" s="4127">
        <f>(BF75+BF78)-BF79</f>
        <v>0</v>
      </c>
      <c r="BG81" s="4127">
        <f>(BG75+BG78)-BG79</f>
        <v>0</v>
      </c>
      <c r="BH81" s="4128">
        <f>(BH75+BH78)-BH79</f>
        <v>0</v>
      </c>
      <c r="BI81" s="4129"/>
      <c r="BJ81" s="4130"/>
      <c r="BK81" s="4127">
        <f>(BK75+BK78)-BK79</f>
        <v>0</v>
      </c>
      <c r="BL81" s="4127">
        <f>(BL75+BL78)-BL79</f>
        <v>0</v>
      </c>
      <c r="BM81" s="4128">
        <f>(BM75+BM78)-BM79</f>
        <v>0</v>
      </c>
      <c r="BN81" s="4129"/>
      <c r="BO81" s="4130"/>
      <c r="BP81" s="4127">
        <f>(BP75+BP78)-BP79</f>
        <v>0</v>
      </c>
      <c r="BQ81" s="4127">
        <f>(BQ75+BQ78)-BQ79</f>
        <v>0</v>
      </c>
      <c r="BR81" s="4128">
        <f>(BR75+BR78)-BR79</f>
        <v>0</v>
      </c>
      <c r="BS81" s="4129"/>
      <c r="BT81" s="4130"/>
      <c r="BU81" s="4127">
        <f>(BU75+BU78)-BU79</f>
        <v>0</v>
      </c>
      <c r="BV81" s="4127">
        <f>(BV75+BV78)-BV79</f>
        <v>0</v>
      </c>
      <c r="BW81" s="4128">
        <f>(BW75+BW78)-BW79</f>
        <v>0</v>
      </c>
      <c r="BX81" s="4129"/>
      <c r="BY81" s="4130"/>
      <c r="BZ81" s="4127">
        <f>(BZ75+BZ78)-BZ79</f>
        <v>0</v>
      </c>
      <c r="CA81" s="4127">
        <f>(CA75+CA78)-CA79</f>
        <v>0</v>
      </c>
      <c r="CB81" s="4128">
        <f>(CB75+CB78)-CB79</f>
        <v>0</v>
      </c>
      <c r="CC81" s="4129"/>
      <c r="CD81" s="4130"/>
      <c r="CE81" s="4127">
        <f>(CE75+CE78)-CE79</f>
        <v>0</v>
      </c>
      <c r="CF81" s="4127">
        <f>(CF75+CF78)-CF79</f>
        <v>0</v>
      </c>
      <c r="CG81" s="4128">
        <f>(CG75+CG78)-CG79</f>
        <v>0</v>
      </c>
      <c r="CH81" s="4129"/>
      <c r="CI81" s="4130"/>
      <c r="CJ81" s="4127">
        <f>(CJ75+CJ78)-CJ79</f>
        <v>0</v>
      </c>
      <c r="CK81" s="4127">
        <f>(CK75+CK78)-CK79</f>
        <v>0</v>
      </c>
      <c r="CL81" s="4128">
        <f>(CL75+CL78)-CL79</f>
        <v>0</v>
      </c>
      <c r="CM81" s="4129"/>
      <c r="CN81" s="4129"/>
      <c r="CP81" s="4128">
        <f>(CP75+CP78)-CP79</f>
        <v>0</v>
      </c>
      <c r="CQ81" s="4136">
        <f>(CQ75+CQ78)-CQ79</f>
        <v>0</v>
      </c>
      <c r="CR81" s="4128">
        <f>(CR75+CR78)-CR79</f>
        <v>0</v>
      </c>
      <c r="CT81" s="2624"/>
    </row>
    <row r="82" spans="1:101" s="1396" customFormat="1" ht="13.8" outlineLevel="2">
      <c r="A82" s="1565"/>
      <c r="B82" s="1400" t="s">
        <v>38</v>
      </c>
      <c r="C82" s="3341"/>
      <c r="D82" s="3341"/>
      <c r="E82" s="3390">
        <f>C82+D82</f>
        <v>0</v>
      </c>
      <c r="F82" s="3381"/>
      <c r="G82" s="3455"/>
      <c r="H82" s="3341"/>
      <c r="I82" s="3341"/>
      <c r="J82" s="3390">
        <f>H82+I82</f>
        <v>0</v>
      </c>
      <c r="K82" s="4074" t="e">
        <f t="shared" ref="K82" si="218">J82/J$89</f>
        <v>#DIV/0!</v>
      </c>
      <c r="L82" s="3455"/>
      <c r="M82" s="3341"/>
      <c r="N82" s="3341"/>
      <c r="O82" s="3390">
        <f>M82+N82</f>
        <v>0</v>
      </c>
      <c r="P82" s="4074" t="e">
        <f t="shared" ref="P82" si="219">O82/O$89</f>
        <v>#DIV/0!</v>
      </c>
      <c r="Q82" s="3455"/>
      <c r="R82" s="3342">
        <f t="shared" ref="R82:S82" si="220">M82+H82+C82</f>
        <v>0</v>
      </c>
      <c r="S82" s="3342">
        <f t="shared" si="220"/>
        <v>0</v>
      </c>
      <c r="T82" s="2012">
        <f t="shared" ref="T82" si="221">R82+S82</f>
        <v>0</v>
      </c>
      <c r="U82" s="3455"/>
      <c r="V82" s="3455"/>
      <c r="W82" s="3342">
        <f t="shared" ref="W82:X82" si="222">AB82+AG82+AL82+AV82+BA82+BF82+BK82+BP82+BU82+BZ82+CE82+AQ82</f>
        <v>0</v>
      </c>
      <c r="X82" s="3342">
        <f t="shared" si="222"/>
        <v>0</v>
      </c>
      <c r="Y82" s="2012">
        <f t="shared" ref="Y82" si="223">W82+X82</f>
        <v>0</v>
      </c>
      <c r="Z82" s="3455"/>
      <c r="AA82" s="3455"/>
      <c r="AB82" s="3341"/>
      <c r="AC82" s="3341"/>
      <c r="AD82" s="3390">
        <f>AB82+AC82</f>
        <v>0</v>
      </c>
      <c r="AE82" s="3381"/>
      <c r="AF82" s="3455"/>
      <c r="AG82" s="3341"/>
      <c r="AH82" s="3341"/>
      <c r="AI82" s="3390">
        <f>AG82+AH82</f>
        <v>0</v>
      </c>
      <c r="AJ82" s="3381"/>
      <c r="AK82" s="3455"/>
      <c r="AL82" s="3341"/>
      <c r="AM82" s="3341"/>
      <c r="AN82" s="3390">
        <f>AL82+AM82</f>
        <v>0</v>
      </c>
      <c r="AO82" s="3381"/>
      <c r="AP82" s="3455"/>
      <c r="AQ82" s="3341"/>
      <c r="AR82" s="3341"/>
      <c r="AS82" s="3390">
        <f>AQ82+AR82</f>
        <v>0</v>
      </c>
      <c r="AT82" s="3381"/>
      <c r="AU82" s="3455"/>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381"/>
      <c r="CP82" s="3415">
        <f>CN82+CO82</f>
        <v>0</v>
      </c>
      <c r="CQ82" s="3415">
        <f>CO82+CP82</f>
        <v>0</v>
      </c>
      <c r="CR82" s="3415"/>
      <c r="CT82" s="2624"/>
    </row>
    <row r="83" spans="1:101" s="1396" customFormat="1" ht="13.8" outlineLevel="1">
      <c r="A83" s="1405"/>
      <c r="B83" s="4137" t="s">
        <v>13</v>
      </c>
      <c r="C83" s="4138">
        <f>(C81+C7)-C36</f>
        <v>0</v>
      </c>
      <c r="D83" s="4138">
        <f>(D81+D7)-D36</f>
        <v>0</v>
      </c>
      <c r="E83" s="4139">
        <f>(E81+E7)-E36</f>
        <v>0</v>
      </c>
      <c r="F83" s="4140"/>
      <c r="G83" s="4141"/>
      <c r="H83" s="4138">
        <f>(H81+H7)-H36</f>
        <v>0</v>
      </c>
      <c r="I83" s="4138">
        <f>(I81+I7)-I36</f>
        <v>0</v>
      </c>
      <c r="J83" s="4139">
        <f>(J81+J7)-J36</f>
        <v>0</v>
      </c>
      <c r="K83" s="4140"/>
      <c r="L83" s="4141"/>
      <c r="M83" s="4138">
        <f>(M81+M7)-M36</f>
        <v>0</v>
      </c>
      <c r="N83" s="4138">
        <f>(N81+N7)-N36</f>
        <v>0</v>
      </c>
      <c r="O83" s="4139">
        <f>(O81+O7)-O36</f>
        <v>0</v>
      </c>
      <c r="P83" s="4140"/>
      <c r="Q83" s="4141"/>
      <c r="R83" s="4138">
        <f>(R81+R7)-R36</f>
        <v>0</v>
      </c>
      <c r="S83" s="4138">
        <f>(S81+S7)-S36</f>
        <v>0</v>
      </c>
      <c r="T83" s="4139">
        <f>(T81+T7)-T36</f>
        <v>0</v>
      </c>
      <c r="U83" s="4142"/>
      <c r="V83" s="4142"/>
      <c r="W83" s="4138">
        <f>(W81+W7)-W36</f>
        <v>0</v>
      </c>
      <c r="X83" s="4138">
        <f>(X81+X7)-X36</f>
        <v>0</v>
      </c>
      <c r="Y83" s="4139">
        <f>(Y81+Y7)-Y36</f>
        <v>0</v>
      </c>
      <c r="Z83" s="4142"/>
      <c r="AA83" s="4142"/>
      <c r="AB83" s="4138">
        <f>(AB81+AB7)-AB36</f>
        <v>0</v>
      </c>
      <c r="AC83" s="4138">
        <f>(AC81+AC7)-AC36</f>
        <v>0</v>
      </c>
      <c r="AD83" s="4139">
        <f>(AD81+AD7)-AD36</f>
        <v>0</v>
      </c>
      <c r="AE83" s="4140"/>
      <c r="AF83" s="4141"/>
      <c r="AG83" s="4138">
        <f>(AG81+AG7)-AG36</f>
        <v>0</v>
      </c>
      <c r="AH83" s="4138">
        <f>(AH81+AH7)-AH36</f>
        <v>0</v>
      </c>
      <c r="AI83" s="4139">
        <f>(AI81+AI7)-AI36</f>
        <v>0</v>
      </c>
      <c r="AJ83" s="4140"/>
      <c r="AK83" s="4141"/>
      <c r="AL83" s="4138">
        <f>(AL81+AL7)-AL36</f>
        <v>0</v>
      </c>
      <c r="AM83" s="4138">
        <f>(AM81+AM7)-AM36</f>
        <v>0</v>
      </c>
      <c r="AN83" s="4139">
        <f>(AN81+AN7)-AN36</f>
        <v>0</v>
      </c>
      <c r="AO83" s="4140"/>
      <c r="AP83" s="4141"/>
      <c r="AQ83" s="4138">
        <f>(AQ81+AQ7)-AQ36</f>
        <v>0</v>
      </c>
      <c r="AR83" s="4138">
        <f>(AR81+AR7)-AR36</f>
        <v>0</v>
      </c>
      <c r="AS83" s="4139">
        <f>(AS81+AS7)-AS36</f>
        <v>0</v>
      </c>
      <c r="AT83" s="4140"/>
      <c r="AU83" s="4141"/>
      <c r="AV83" s="4138">
        <f>(AV81+AV7)-AV36</f>
        <v>0</v>
      </c>
      <c r="AW83" s="4138">
        <f>(AW81+AW7)-AW36</f>
        <v>0</v>
      </c>
      <c r="AX83" s="4139">
        <f>(AX81+AX7)-AX36</f>
        <v>0</v>
      </c>
      <c r="AY83" s="4140"/>
      <c r="AZ83" s="4141"/>
      <c r="BA83" s="4138">
        <f>(BA81+BA7)-BA36</f>
        <v>0</v>
      </c>
      <c r="BB83" s="4138">
        <f>(BB81+BB7)-BB36</f>
        <v>0</v>
      </c>
      <c r="BC83" s="4139">
        <f>(BC81+BC7)-BC36</f>
        <v>0</v>
      </c>
      <c r="BD83" s="4140"/>
      <c r="BE83" s="4141"/>
      <c r="BF83" s="4138">
        <f>(BF81+BF7)-BF36</f>
        <v>0</v>
      </c>
      <c r="BG83" s="4138">
        <f>(BG81+BG7)-BG36</f>
        <v>0</v>
      </c>
      <c r="BH83" s="4139">
        <f>(BH81+BH7)-BH36</f>
        <v>0</v>
      </c>
      <c r="BI83" s="4140"/>
      <c r="BJ83" s="4141"/>
      <c r="BK83" s="4138">
        <f>(BK81+BK7)-BK36</f>
        <v>0</v>
      </c>
      <c r="BL83" s="4138">
        <f>(BL81+BL7)-BL36</f>
        <v>0</v>
      </c>
      <c r="BM83" s="4139">
        <f>(BM81+BM7)-BM36</f>
        <v>0</v>
      </c>
      <c r="BN83" s="4140"/>
      <c r="BO83" s="4141"/>
      <c r="BP83" s="4138">
        <f>(BP81+BP7)-BP36</f>
        <v>0</v>
      </c>
      <c r="BQ83" s="4138">
        <f>(BQ81+BQ7)-BQ36</f>
        <v>0</v>
      </c>
      <c r="BR83" s="4139">
        <f>(BR81+BR7)-BR36</f>
        <v>0</v>
      </c>
      <c r="BS83" s="4140"/>
      <c r="BT83" s="4141"/>
      <c r="BU83" s="4138">
        <f>(BU81+BU7)-BU36</f>
        <v>0</v>
      </c>
      <c r="BV83" s="4138">
        <f>(BV81+BV7)-BV36</f>
        <v>0</v>
      </c>
      <c r="BW83" s="4139">
        <f>(BW81+BW7)-BW36</f>
        <v>0</v>
      </c>
      <c r="BX83" s="4140"/>
      <c r="BY83" s="4141"/>
      <c r="BZ83" s="4138">
        <f>(BZ81+BZ7)-BZ36</f>
        <v>0</v>
      </c>
      <c r="CA83" s="4138">
        <f>(CA81+CA7)-CA36</f>
        <v>0</v>
      </c>
      <c r="CB83" s="4139">
        <f>(CB81+CB7)-CB36</f>
        <v>0</v>
      </c>
      <c r="CC83" s="4140"/>
      <c r="CD83" s="4141"/>
      <c r="CE83" s="4138">
        <f>(CE81+CE7)-CE36</f>
        <v>0</v>
      </c>
      <c r="CF83" s="4138">
        <f>(CF81+CF7)-CF36</f>
        <v>0</v>
      </c>
      <c r="CG83" s="4139">
        <f>(CG81+CG7)-CG36</f>
        <v>0</v>
      </c>
      <c r="CH83" s="4140"/>
      <c r="CI83" s="4141"/>
      <c r="CJ83" s="4138">
        <f>(CJ81+CJ7)-CJ36</f>
        <v>0</v>
      </c>
      <c r="CK83" s="4138">
        <f>(CK81+CK7)-CK36</f>
        <v>0</v>
      </c>
      <c r="CL83" s="4139">
        <f>(CL81+CL7)-CL36</f>
        <v>0</v>
      </c>
      <c r="CM83" s="4140"/>
      <c r="CN83" s="4140"/>
      <c r="CP83" s="3481">
        <f>(CP81+CP7)-CP36</f>
        <v>0</v>
      </c>
      <c r="CQ83" s="3481">
        <f>(CQ81+CQ7)-CQ36</f>
        <v>0</v>
      </c>
      <c r="CR83" s="3481">
        <f>(CR81+CR7)-CR36</f>
        <v>0</v>
      </c>
      <c r="CT83" s="2624"/>
    </row>
    <row r="84" spans="1:101" s="1396" customFormat="1" ht="14.4" outlineLevel="1" thickBot="1">
      <c r="A84" s="1405"/>
      <c r="B84" s="4143" t="s">
        <v>14</v>
      </c>
      <c r="C84" s="4144">
        <f>C83-C73-C82</f>
        <v>0</v>
      </c>
      <c r="D84" s="4144">
        <f>D83-D73-D82</f>
        <v>0</v>
      </c>
      <c r="E84" s="4144">
        <f>E83-E73-E82</f>
        <v>0</v>
      </c>
      <c r="F84" s="4145"/>
      <c r="G84" s="4146"/>
      <c r="H84" s="4144">
        <f>H83-H73-H82</f>
        <v>0</v>
      </c>
      <c r="I84" s="4144">
        <f>I83-I73-I82</f>
        <v>0</v>
      </c>
      <c r="J84" s="4144">
        <f>J83-J73-J82</f>
        <v>0</v>
      </c>
      <c r="K84" s="4145"/>
      <c r="L84" s="4146"/>
      <c r="M84" s="4144">
        <f>M83-M73-M82</f>
        <v>0</v>
      </c>
      <c r="N84" s="4144">
        <f>N83-N73-N82</f>
        <v>0</v>
      </c>
      <c r="O84" s="4144">
        <f>O83-O73-O82</f>
        <v>0</v>
      </c>
      <c r="P84" s="4145"/>
      <c r="Q84" s="4146"/>
      <c r="R84" s="4144">
        <f>R83-R73-R82</f>
        <v>0</v>
      </c>
      <c r="S84" s="4144">
        <f>S83-S73-S82</f>
        <v>0</v>
      </c>
      <c r="T84" s="4144">
        <f>T83-T73-T82</f>
        <v>0</v>
      </c>
      <c r="U84" s="4146"/>
      <c r="V84" s="4146"/>
      <c r="W84" s="4086">
        <f t="shared" ref="W84:X84" si="224">AB84+AG84+AL84+AV84+BA84+BF84+BK84+BP84+BU84+BZ84+CE84</f>
        <v>0</v>
      </c>
      <c r="X84" s="4087">
        <f t="shared" si="224"/>
        <v>0</v>
      </c>
      <c r="Y84" s="4144">
        <f>Y83-Y73-Y82</f>
        <v>0</v>
      </c>
      <c r="Z84" s="4146"/>
      <c r="AA84" s="4146"/>
      <c r="AB84" s="4144">
        <f>AB83-AB73-AB82</f>
        <v>0</v>
      </c>
      <c r="AC84" s="4144">
        <f>AC83-AC73-AC82</f>
        <v>0</v>
      </c>
      <c r="AD84" s="4144">
        <f>AD83-AD73-AD82</f>
        <v>0</v>
      </c>
      <c r="AE84" s="4145"/>
      <c r="AF84" s="4146"/>
      <c r="AG84" s="4144">
        <f>AG83-AG73-AG82</f>
        <v>0</v>
      </c>
      <c r="AH84" s="4144">
        <f>AH83-AH73-AH82</f>
        <v>0</v>
      </c>
      <c r="AI84" s="4144">
        <f>AI83-AI73-AI82</f>
        <v>0</v>
      </c>
      <c r="AJ84" s="4145"/>
      <c r="AK84" s="4146"/>
      <c r="AL84" s="4144">
        <f>AL83-AL73-AL82</f>
        <v>0</v>
      </c>
      <c r="AM84" s="4144">
        <f>AM83-AM73-AM82</f>
        <v>0</v>
      </c>
      <c r="AN84" s="4144">
        <f>AN83-AN73-AN82</f>
        <v>0</v>
      </c>
      <c r="AO84" s="4145"/>
      <c r="AP84" s="4146"/>
      <c r="AQ84" s="4144">
        <f>AQ83-AQ73-AQ82</f>
        <v>0</v>
      </c>
      <c r="AR84" s="4144">
        <f>AR83-AR73-AR82</f>
        <v>0</v>
      </c>
      <c r="AS84" s="4144">
        <f>AS83-AS73-AS82</f>
        <v>0</v>
      </c>
      <c r="AT84" s="4145"/>
      <c r="AU84" s="4146"/>
      <c r="AV84" s="4144">
        <f>AV83-AV73-AV82</f>
        <v>0</v>
      </c>
      <c r="AW84" s="4144">
        <f>AW83-AW73-AW82</f>
        <v>0</v>
      </c>
      <c r="AX84" s="4144">
        <f>AX83-AX73-AX82</f>
        <v>0</v>
      </c>
      <c r="AY84" s="4145"/>
      <c r="AZ84" s="4146"/>
      <c r="BA84" s="4144">
        <f>BA83-BA73-BA82</f>
        <v>0</v>
      </c>
      <c r="BB84" s="4144">
        <f>BB83-BB73-BB82</f>
        <v>0</v>
      </c>
      <c r="BC84" s="4144">
        <f>BC83-BC73-BC82</f>
        <v>0</v>
      </c>
      <c r="BD84" s="4145"/>
      <c r="BE84" s="4146"/>
      <c r="BF84" s="4144">
        <f>BF83-BF73-BF82</f>
        <v>0</v>
      </c>
      <c r="BG84" s="4144">
        <f>BG83-BG73-BG82</f>
        <v>0</v>
      </c>
      <c r="BH84" s="4144">
        <f>BH83-BH73-BH82</f>
        <v>0</v>
      </c>
      <c r="BI84" s="4145"/>
      <c r="BJ84" s="4146"/>
      <c r="BK84" s="4144">
        <f>BK83-BK73-BK82</f>
        <v>0</v>
      </c>
      <c r="BL84" s="4144">
        <f>BL83-BL73-BL82</f>
        <v>0</v>
      </c>
      <c r="BM84" s="4144">
        <f>BM83-BM73-BM82</f>
        <v>0</v>
      </c>
      <c r="BN84" s="4145"/>
      <c r="BO84" s="4146"/>
      <c r="BP84" s="4144">
        <f>BP83-BP73-BP82</f>
        <v>0</v>
      </c>
      <c r="BQ84" s="4144">
        <f>BQ83-BQ73-BQ82</f>
        <v>0</v>
      </c>
      <c r="BR84" s="4144">
        <f>BR83-BR73-BR82</f>
        <v>0</v>
      </c>
      <c r="BS84" s="4145"/>
      <c r="BT84" s="4146"/>
      <c r="BU84" s="4144">
        <f>BU83-BU73-BU82</f>
        <v>0</v>
      </c>
      <c r="BV84" s="4144">
        <f>BV83-BV73-BV82</f>
        <v>0</v>
      </c>
      <c r="BW84" s="4144">
        <f>BW83-BW73-BW82</f>
        <v>0</v>
      </c>
      <c r="BX84" s="4145"/>
      <c r="BY84" s="4146"/>
      <c r="BZ84" s="4144">
        <f>BZ83-BZ73-BZ82</f>
        <v>0</v>
      </c>
      <c r="CA84" s="4144">
        <f>CA83-CA73-CA82</f>
        <v>0</v>
      </c>
      <c r="CB84" s="4144">
        <f>CB83-CB73-CB82</f>
        <v>0</v>
      </c>
      <c r="CC84" s="4145"/>
      <c r="CD84" s="4146"/>
      <c r="CE84" s="4144">
        <f>CE83-CE73-CE82</f>
        <v>0</v>
      </c>
      <c r="CF84" s="4144">
        <f>CF83-CF73-CF82</f>
        <v>0</v>
      </c>
      <c r="CG84" s="4144">
        <f>CG83-CG73-CG82</f>
        <v>0</v>
      </c>
      <c r="CH84" s="4145"/>
      <c r="CI84" s="4146"/>
      <c r="CJ84" s="4082">
        <f t="shared" ref="CJ84:CK84" si="225">C84+H84+M84+W84</f>
        <v>0</v>
      </c>
      <c r="CK84" s="4082">
        <f t="shared" si="225"/>
        <v>0</v>
      </c>
      <c r="CL84" s="4144">
        <f>CL83-CL73-CL82</f>
        <v>0</v>
      </c>
      <c r="CM84" s="4145"/>
      <c r="CN84" s="4145"/>
      <c r="CP84" s="3309">
        <f>CP83-CP73-CP82</f>
        <v>0</v>
      </c>
      <c r="CQ84" s="3484">
        <f>CQ83-CQ73-CQ82</f>
        <v>0</v>
      </c>
      <c r="CR84" s="3309">
        <f>CR83-CR73-CR82</f>
        <v>0</v>
      </c>
      <c r="CT84" s="2624"/>
    </row>
    <row r="85" spans="1:101" s="1396" customFormat="1" ht="13.8" outlineLevel="3">
      <c r="A85" s="1565"/>
      <c r="B85" s="1403" t="s">
        <v>44</v>
      </c>
      <c r="C85" s="3341"/>
      <c r="D85" s="3341"/>
      <c r="E85" s="2012">
        <f>C85+D85*1.15</f>
        <v>0</v>
      </c>
      <c r="F85" s="3381"/>
      <c r="G85" s="3455"/>
      <c r="H85" s="3341"/>
      <c r="I85" s="3341"/>
      <c r="J85" s="2012">
        <f>H85+I85*1.15</f>
        <v>0</v>
      </c>
      <c r="K85" s="4074" t="e">
        <f t="shared" ref="K85" si="226">J85/J$89</f>
        <v>#DIV/0!</v>
      </c>
      <c r="L85" s="3455"/>
      <c r="M85" s="3341"/>
      <c r="N85" s="3341"/>
      <c r="O85" s="2012">
        <f>M85+N85*1.15</f>
        <v>0</v>
      </c>
      <c r="P85" s="4074" t="e">
        <f t="shared" ref="P85" si="227">O85/O$89</f>
        <v>#DIV/0!</v>
      </c>
      <c r="Q85" s="3455"/>
      <c r="R85" s="3342">
        <f t="shared" ref="R85:S85" si="228">M85+H85+C85</f>
        <v>0</v>
      </c>
      <c r="S85" s="3342">
        <f t="shared" si="228"/>
        <v>0</v>
      </c>
      <c r="T85" s="2012">
        <f t="shared" ref="T85" si="229">R85+S85</f>
        <v>0</v>
      </c>
      <c r="U85" s="3455"/>
      <c r="V85" s="3455"/>
      <c r="W85" s="3342">
        <f t="shared" ref="W85:X85" si="230">AB85+AG85+AL85+AV85+BA85+BF85+BK85+BP85+BU85+BZ85+CE85+AQ85</f>
        <v>0</v>
      </c>
      <c r="X85" s="3342">
        <f t="shared" si="230"/>
        <v>0</v>
      </c>
      <c r="Y85" s="2012">
        <f t="shared" ref="Y85" si="231">W85+X85</f>
        <v>0</v>
      </c>
      <c r="Z85" s="3455"/>
      <c r="AA85" s="3455"/>
      <c r="AB85" s="3341"/>
      <c r="AC85" s="3341"/>
      <c r="AD85" s="2012">
        <f>AB85+AC85*1.15</f>
        <v>0</v>
      </c>
      <c r="AE85" s="3381"/>
      <c r="AF85" s="3455"/>
      <c r="AG85" s="3341"/>
      <c r="AH85" s="3341"/>
      <c r="AI85" s="2012">
        <f>AG85+AH85*1.15</f>
        <v>0</v>
      </c>
      <c r="AJ85" s="3381"/>
      <c r="AK85" s="3455"/>
      <c r="AL85" s="3341"/>
      <c r="AM85" s="3341"/>
      <c r="AN85" s="2012">
        <f>AL85+AM85*1.15</f>
        <v>0</v>
      </c>
      <c r="AO85" s="3381"/>
      <c r="AP85" s="3455"/>
      <c r="AQ85" s="3341"/>
      <c r="AR85" s="3341"/>
      <c r="AS85" s="2012">
        <f>AQ85+AR85*1.15</f>
        <v>0</v>
      </c>
      <c r="AT85" s="3381"/>
      <c r="AU85" s="3455"/>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2124">
        <f>CN85+CO85*1.15</f>
        <v>0</v>
      </c>
      <c r="CQ85" s="2124">
        <f>CO85+CP85*1.15</f>
        <v>0</v>
      </c>
      <c r="CR85" s="2124"/>
      <c r="CT85" s="2624"/>
    </row>
    <row r="86" spans="1:101" s="1396" customFormat="1" ht="27.6">
      <c r="A86" s="1405"/>
      <c r="B86" s="4147" t="s">
        <v>50</v>
      </c>
      <c r="C86" s="4148">
        <f>C84-C85</f>
        <v>0</v>
      </c>
      <c r="D86" s="4148">
        <f>D84-D85</f>
        <v>0</v>
      </c>
      <c r="E86" s="4148">
        <f>E84-E85</f>
        <v>0</v>
      </c>
      <c r="F86" s="4149"/>
      <c r="G86" s="4150"/>
      <c r="H86" s="4148">
        <f>H84-H85</f>
        <v>0</v>
      </c>
      <c r="I86" s="4148">
        <f>I84-I85</f>
        <v>0</v>
      </c>
      <c r="J86" s="4148">
        <f>J84-J85</f>
        <v>0</v>
      </c>
      <c r="K86" s="4149"/>
      <c r="L86" s="4150"/>
      <c r="M86" s="4148">
        <f>M84-M85</f>
        <v>0</v>
      </c>
      <c r="N86" s="4148">
        <f>N84-N85</f>
        <v>0</v>
      </c>
      <c r="O86" s="4148">
        <f>O84-O85</f>
        <v>0</v>
      </c>
      <c r="P86" s="4149"/>
      <c r="Q86" s="4150"/>
      <c r="R86" s="4148">
        <f>R84-R85</f>
        <v>0</v>
      </c>
      <c r="S86" s="4148">
        <f>S84-S85</f>
        <v>0</v>
      </c>
      <c r="T86" s="4148">
        <f>T84-T85</f>
        <v>0</v>
      </c>
      <c r="U86" s="4150"/>
      <c r="V86" s="4150"/>
      <c r="W86" s="4148">
        <f>W84-W85</f>
        <v>0</v>
      </c>
      <c r="X86" s="4148">
        <f>X84-X85</f>
        <v>0</v>
      </c>
      <c r="Y86" s="4148">
        <f>Y84-Y85</f>
        <v>0</v>
      </c>
      <c r="Z86" s="4150"/>
      <c r="AA86" s="4150"/>
      <c r="AB86" s="4148">
        <f>AB84-AB85</f>
        <v>0</v>
      </c>
      <c r="AC86" s="4148">
        <f>AC84-AC85</f>
        <v>0</v>
      </c>
      <c r="AD86" s="4148">
        <f>AD84-AD85</f>
        <v>0</v>
      </c>
      <c r="AE86" s="4149"/>
      <c r="AF86" s="4150"/>
      <c r="AG86" s="4148">
        <f>AG84-AG85</f>
        <v>0</v>
      </c>
      <c r="AH86" s="4148">
        <f>AH84-AH85</f>
        <v>0</v>
      </c>
      <c r="AI86" s="4148">
        <f>AI84-AI85</f>
        <v>0</v>
      </c>
      <c r="AJ86" s="4149"/>
      <c r="AK86" s="4150"/>
      <c r="AL86" s="4148">
        <f>AL84-AL85</f>
        <v>0</v>
      </c>
      <c r="AM86" s="4148">
        <f>AM84-AM85</f>
        <v>0</v>
      </c>
      <c r="AN86" s="4148">
        <f>AN84-AN85</f>
        <v>0</v>
      </c>
      <c r="AO86" s="4149"/>
      <c r="AP86" s="4150"/>
      <c r="AQ86" s="4148">
        <f>AQ84-AQ85</f>
        <v>0</v>
      </c>
      <c r="AR86" s="4148">
        <f>AR84-AR85</f>
        <v>0</v>
      </c>
      <c r="AS86" s="4148">
        <f>AS84-AS85</f>
        <v>0</v>
      </c>
      <c r="AT86" s="4149"/>
      <c r="AU86" s="4150"/>
      <c r="AV86" s="4148">
        <f>AV84-AV85</f>
        <v>0</v>
      </c>
      <c r="AW86" s="4148">
        <f>AW84-AW85</f>
        <v>0</v>
      </c>
      <c r="AX86" s="4148">
        <f>AX84-AX85</f>
        <v>0</v>
      </c>
      <c r="AY86" s="4149"/>
      <c r="AZ86" s="4150"/>
      <c r="BA86" s="4148">
        <f>BA84-BA85</f>
        <v>0</v>
      </c>
      <c r="BB86" s="4148">
        <f>BB84-BB85</f>
        <v>0</v>
      </c>
      <c r="BC86" s="4148">
        <f>BC84-BC85</f>
        <v>0</v>
      </c>
      <c r="BD86" s="4149"/>
      <c r="BE86" s="4150"/>
      <c r="BF86" s="4148">
        <f>BF84-BF85</f>
        <v>0</v>
      </c>
      <c r="BG86" s="4148">
        <f>BG84-BG85</f>
        <v>0</v>
      </c>
      <c r="BH86" s="4148">
        <f>BH84-BH85</f>
        <v>0</v>
      </c>
      <c r="BI86" s="4149"/>
      <c r="BJ86" s="4150"/>
      <c r="BK86" s="4148">
        <f>BK84-BK85</f>
        <v>0</v>
      </c>
      <c r="BL86" s="4148">
        <f>BL84-BL85</f>
        <v>0</v>
      </c>
      <c r="BM86" s="4148">
        <f>BM84-BM85</f>
        <v>0</v>
      </c>
      <c r="BN86" s="4149"/>
      <c r="BO86" s="4150"/>
      <c r="BP86" s="4148">
        <f>BP84-BP85</f>
        <v>0</v>
      </c>
      <c r="BQ86" s="4148">
        <f>BQ84-BQ85</f>
        <v>0</v>
      </c>
      <c r="BR86" s="4148">
        <f>BR84-BR85</f>
        <v>0</v>
      </c>
      <c r="BS86" s="4149"/>
      <c r="BT86" s="4150"/>
      <c r="BU86" s="4148">
        <f>BU84-BU85</f>
        <v>0</v>
      </c>
      <c r="BV86" s="4148">
        <f>BV84-BV85</f>
        <v>0</v>
      </c>
      <c r="BW86" s="4148">
        <f>BW84-BW85</f>
        <v>0</v>
      </c>
      <c r="BX86" s="4149"/>
      <c r="BY86" s="4150"/>
      <c r="BZ86" s="4148">
        <f>BZ84-BZ85</f>
        <v>0</v>
      </c>
      <c r="CA86" s="4148">
        <f>CA84-CA85</f>
        <v>0</v>
      </c>
      <c r="CB86" s="4148">
        <f>CB84-CB85</f>
        <v>0</v>
      </c>
      <c r="CC86" s="4149"/>
      <c r="CD86" s="4150"/>
      <c r="CE86" s="4148">
        <f>CE84-CE85</f>
        <v>0</v>
      </c>
      <c r="CF86" s="4148">
        <f>CF84-CF85</f>
        <v>0</v>
      </c>
      <c r="CG86" s="4148">
        <f>CG84-CG85</f>
        <v>0</v>
      </c>
      <c r="CH86" s="4149"/>
      <c r="CI86" s="4150"/>
      <c r="CJ86" s="4148">
        <f>CJ84-CJ85</f>
        <v>0</v>
      </c>
      <c r="CK86" s="4148">
        <f>CK84-CK85</f>
        <v>0</v>
      </c>
      <c r="CL86" s="4148">
        <f>CL84-CL85</f>
        <v>0</v>
      </c>
      <c r="CM86" s="4149"/>
      <c r="CN86" s="4149"/>
      <c r="CP86" s="3481">
        <f>CP84-CP85</f>
        <v>0</v>
      </c>
      <c r="CQ86" s="3481">
        <f>CQ84-CQ85</f>
        <v>0</v>
      </c>
      <c r="CR86" s="3481">
        <f>CR84-CR85</f>
        <v>0</v>
      </c>
      <c r="CT86" s="2624">
        <f>CT6-SUM(CT8:CT37)</f>
        <v>0</v>
      </c>
      <c r="CW86" s="933"/>
    </row>
    <row r="87" spans="1:101" s="1396" customFormat="1" ht="14.4" thickBot="1">
      <c r="A87" s="1567"/>
      <c r="B87" s="4151" t="s">
        <v>51</v>
      </c>
      <c r="C87" s="4152">
        <f>IFERROR(C86/C5,0)</f>
        <v>0</v>
      </c>
      <c r="D87" s="4153">
        <f>IFERROR(D86/D5,0)</f>
        <v>0</v>
      </c>
      <c r="E87" s="4154">
        <f>IFERROR(E86/E5,0)</f>
        <v>0</v>
      </c>
      <c r="F87" s="4155"/>
      <c r="G87" s="4156"/>
      <c r="H87" s="4152">
        <f>IFERROR(H86/H5,0)</f>
        <v>0</v>
      </c>
      <c r="I87" s="4153">
        <f>IFERROR(I86/I5,0)</f>
        <v>0</v>
      </c>
      <c r="J87" s="4154">
        <f>IFERROR(J86/J5,0)</f>
        <v>0</v>
      </c>
      <c r="K87" s="4155"/>
      <c r="L87" s="4156"/>
      <c r="M87" s="4152">
        <f>IFERROR(M86/M5,0)</f>
        <v>0</v>
      </c>
      <c r="N87" s="4153">
        <f>IFERROR(N86/N5,0)</f>
        <v>0</v>
      </c>
      <c r="O87" s="4154">
        <f>IFERROR(O86/O5,0)</f>
        <v>0</v>
      </c>
      <c r="P87" s="4155"/>
      <c r="Q87" s="4156"/>
      <c r="R87" s="4157"/>
      <c r="S87" s="4157"/>
      <c r="T87" s="4157"/>
      <c r="U87" s="4157"/>
      <c r="V87" s="4157"/>
      <c r="W87" s="4157"/>
      <c r="X87" s="4157"/>
      <c r="Y87" s="4157"/>
      <c r="Z87" s="4157"/>
      <c r="AA87" s="4157"/>
      <c r="AB87" s="4152">
        <f>IFERROR(AB86/AB5,0)</f>
        <v>0</v>
      </c>
      <c r="AC87" s="4153">
        <f>IFERROR(AC86/AC5,0)</f>
        <v>0</v>
      </c>
      <c r="AD87" s="4154">
        <f>IFERROR(AD86/AD5,0)</f>
        <v>0</v>
      </c>
      <c r="AE87" s="4155"/>
      <c r="AF87" s="4156"/>
      <c r="AG87" s="4152">
        <f>IFERROR(AG86/AG5,0)</f>
        <v>0</v>
      </c>
      <c r="AH87" s="4153">
        <f>IFERROR(AH86/AH5,0)</f>
        <v>0</v>
      </c>
      <c r="AI87" s="4154">
        <f>IFERROR(AI86/AI5,0)</f>
        <v>0</v>
      </c>
      <c r="AJ87" s="4155"/>
      <c r="AK87" s="4156"/>
      <c r="AL87" s="4152">
        <f>IFERROR(AL86/AL5,0)</f>
        <v>0</v>
      </c>
      <c r="AM87" s="4153">
        <f>IFERROR(AM86/AM5,0)</f>
        <v>0</v>
      </c>
      <c r="AN87" s="4154">
        <f>IFERROR(AN86/AN5,0)</f>
        <v>0</v>
      </c>
      <c r="AO87" s="4155"/>
      <c r="AP87" s="4156"/>
      <c r="AQ87" s="4152">
        <f>IFERROR(AQ86/AQ5,0)</f>
        <v>0</v>
      </c>
      <c r="AR87" s="4153">
        <f>IFERROR(AR86/AR5,0)</f>
        <v>0</v>
      </c>
      <c r="AS87" s="4154">
        <f>IFERROR(AS86/AS5,0)</f>
        <v>0</v>
      </c>
      <c r="AT87" s="4155"/>
      <c r="AU87" s="4156"/>
      <c r="AV87" s="4152">
        <f>IFERROR(AV86/AV5,0)</f>
        <v>0</v>
      </c>
      <c r="AW87" s="4153">
        <f>IFERROR(AW86/AW5,0)</f>
        <v>0</v>
      </c>
      <c r="AX87" s="4154">
        <f>IFERROR(AX86/AX5,0)</f>
        <v>0</v>
      </c>
      <c r="AY87" s="4155"/>
      <c r="AZ87" s="4156"/>
      <c r="BA87" s="4152">
        <f>IFERROR(BA86/BA5,0)</f>
        <v>0</v>
      </c>
      <c r="BB87" s="4153">
        <f>IFERROR(BB86/BB5,0)</f>
        <v>0</v>
      </c>
      <c r="BC87" s="4154">
        <f>IFERROR(BC86/BC5,0)</f>
        <v>0</v>
      </c>
      <c r="BD87" s="4155"/>
      <c r="BE87" s="4156"/>
      <c r="BF87" s="4152">
        <f>IFERROR(BF86/BF5,0)</f>
        <v>0</v>
      </c>
      <c r="BG87" s="4153">
        <f>IFERROR(BG86/BG5,0)</f>
        <v>0</v>
      </c>
      <c r="BH87" s="4154">
        <f>IFERROR(BH86/BH5,0)</f>
        <v>0</v>
      </c>
      <c r="BI87" s="4155"/>
      <c r="BJ87" s="4156"/>
      <c r="BK87" s="4152">
        <f>IFERROR(BK86/BK5,0)</f>
        <v>0</v>
      </c>
      <c r="BL87" s="4153">
        <f>IFERROR(BL86/BL5,0)</f>
        <v>0</v>
      </c>
      <c r="BM87" s="4154">
        <f>IFERROR(BM86/BM5,0)</f>
        <v>0</v>
      </c>
      <c r="BN87" s="4155"/>
      <c r="BO87" s="4156"/>
      <c r="BP87" s="4152">
        <f>IFERROR(BP86/BP5,0)</f>
        <v>0</v>
      </c>
      <c r="BQ87" s="4153">
        <f>IFERROR(BQ86/BQ5,0)</f>
        <v>0</v>
      </c>
      <c r="BR87" s="4154">
        <f>IFERROR(BR86/BR5,0)</f>
        <v>0</v>
      </c>
      <c r="BS87" s="4155"/>
      <c r="BT87" s="4156"/>
      <c r="BU87" s="4152">
        <f>IFERROR(BU86/BU5,0)</f>
        <v>0</v>
      </c>
      <c r="BV87" s="4153">
        <f>IFERROR(BV86/BV5,0)</f>
        <v>0</v>
      </c>
      <c r="BW87" s="4154">
        <f>IFERROR(BW86/BW5,0)</f>
        <v>0</v>
      </c>
      <c r="BX87" s="4155"/>
      <c r="BY87" s="4156"/>
      <c r="BZ87" s="4152">
        <f>IFERROR(BZ86/BZ5,0)</f>
        <v>0</v>
      </c>
      <c r="CA87" s="4153">
        <f>IFERROR(CA86/CA5,0)</f>
        <v>0</v>
      </c>
      <c r="CB87" s="4154">
        <f>IFERROR(CB86/CB5,0)</f>
        <v>0</v>
      </c>
      <c r="CC87" s="4155"/>
      <c r="CD87" s="4156"/>
      <c r="CE87" s="4152">
        <f>IFERROR(CE86/CE5,0)</f>
        <v>0</v>
      </c>
      <c r="CF87" s="4153">
        <f>IFERROR(CF86/CF5,0)</f>
        <v>0</v>
      </c>
      <c r="CG87" s="4154">
        <f>IFERROR(CG86/CG5,0)</f>
        <v>0</v>
      </c>
      <c r="CH87" s="4155"/>
      <c r="CI87" s="4156"/>
      <c r="CJ87" s="4152">
        <f>IFERROR(CJ86/CJ5,0)</f>
        <v>0</v>
      </c>
      <c r="CK87" s="4153">
        <f>IFERROR(CK86/CK5,0)</f>
        <v>0</v>
      </c>
      <c r="CL87" s="4154">
        <f>IFERROR(CL86/CL5,0)</f>
        <v>0</v>
      </c>
      <c r="CM87" s="4155"/>
      <c r="CN87" s="4155"/>
      <c r="CP87" s="4154" t="e">
        <f>CP86/CP5</f>
        <v>#DIV/0!</v>
      </c>
      <c r="CQ87" s="4162">
        <f>IFERROR(CQ86/CQ5,0)</f>
        <v>0</v>
      </c>
      <c r="CR87" s="4154" t="e">
        <f>CR86/CR5</f>
        <v>#DIV/0!</v>
      </c>
      <c r="CT87" s="2624"/>
    </row>
    <row r="88" spans="1:101"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1611"/>
      <c r="AG88" s="1954"/>
      <c r="AH88" s="1954"/>
      <c r="AI88" s="1954"/>
      <c r="AJ88" s="1954"/>
      <c r="AK88" s="1611"/>
      <c r="AL88" s="1954"/>
      <c r="AM88" s="1954"/>
      <c r="AN88" s="1954"/>
      <c r="AO88" s="1954"/>
      <c r="AP88" s="1611"/>
      <c r="AQ88" s="1954"/>
      <c r="AR88" s="1954"/>
      <c r="AS88" s="1954"/>
      <c r="AT88" s="1954"/>
      <c r="AU88" s="1611"/>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1954"/>
      <c r="CQ88" s="1954"/>
      <c r="CR88" s="1954"/>
    </row>
    <row r="89" spans="1:101">
      <c r="B89" s="1562" t="s">
        <v>56</v>
      </c>
      <c r="E89" s="1960">
        <f>E8+E36+E41+E50+E54+E73+E79+E82+E85</f>
        <v>0</v>
      </c>
      <c r="G89" s="1963"/>
      <c r="J89" s="1960">
        <f>J8+J36+J41+J50+J54+J73+J79+J82+J85</f>
        <v>0</v>
      </c>
      <c r="L89" s="1963"/>
      <c r="O89" s="1960">
        <f>O8+O36+O41+O50+O54+O73+O79+O82+O85</f>
        <v>0</v>
      </c>
      <c r="Q89" s="1963"/>
      <c r="R89" s="1963"/>
      <c r="S89" s="1963"/>
      <c r="T89" s="1960">
        <f>T8+T36+T41+T50+T54+T73+T79+T82+T85</f>
        <v>0</v>
      </c>
      <c r="U89" s="1963"/>
      <c r="V89" s="1963"/>
      <c r="W89" s="1963"/>
      <c r="X89" s="1963"/>
      <c r="Y89" s="1960">
        <f>Y8+Y36+Y41+Y50+Y54+Y73+Y79+Y82+Y85</f>
        <v>0</v>
      </c>
      <c r="Z89" s="1963"/>
      <c r="AA89" s="1963"/>
      <c r="AD89" s="1960">
        <f>AD8+AD36+AD41+AD50+AD54+AD73+AD79+AD82+AD85</f>
        <v>0</v>
      </c>
      <c r="AF89" s="1963"/>
      <c r="AI89" s="1960">
        <f>AI8+AI36+AI41+AI50+AI54+AI73+AI79+AI82+AI85</f>
        <v>0</v>
      </c>
      <c r="AK89" s="1963"/>
      <c r="AN89" s="1960">
        <f>AN8+AN36+AN41+AN50+AN54+AN73+AN79+AN82+AN85</f>
        <v>0</v>
      </c>
      <c r="AP89" s="1963"/>
      <c r="AS89" s="1960">
        <f>AS8+AS36+AS41+AS50+AS54+AS73+AS79+AS82+AS85</f>
        <v>0</v>
      </c>
      <c r="AU89" s="1963"/>
      <c r="AX89" s="1960">
        <f>AX8+AX36+AX41+AX50+AX54+AX73+AX79+AX82+AX85</f>
        <v>0</v>
      </c>
      <c r="AZ89" s="1963"/>
      <c r="BC89" s="1960">
        <f>BC8+BC36+BC41+BC50+BC54+BC73+BC79+BC82+BC85</f>
        <v>0</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0</v>
      </c>
    </row>
    <row r="90" spans="1:101">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1963"/>
      <c r="AC90" s="1963"/>
      <c r="AD90" s="1963"/>
      <c r="AE90" s="1963"/>
      <c r="AF90" s="1963"/>
      <c r="AG90" s="1963"/>
      <c r="AH90" s="1963"/>
      <c r="AI90" s="1963"/>
      <c r="AJ90" s="1963"/>
      <c r="AK90" s="1963"/>
      <c r="AL90" s="1963"/>
      <c r="AM90" s="1963"/>
      <c r="AN90" s="1963"/>
      <c r="AO90" s="1963"/>
      <c r="AP90" s="1963"/>
      <c r="AQ90" s="1963"/>
      <c r="AR90" s="1963"/>
      <c r="AS90" s="1963"/>
      <c r="AT90" s="1963"/>
      <c r="AU90" s="1963"/>
      <c r="AV90" s="1963"/>
      <c r="AW90" s="1963"/>
      <c r="AX90" s="1963"/>
      <c r="AY90" s="1963"/>
      <c r="AZ90" s="1963"/>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t="b">
        <f>J89+O89+E89+Y89=CL89</f>
        <v>1</v>
      </c>
    </row>
    <row r="91" spans="1:101"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963"/>
      <c r="AG91" s="1963"/>
      <c r="AH91" s="1963"/>
      <c r="AI91" s="1963"/>
      <c r="AJ91" s="1963"/>
      <c r="AK91" s="1963"/>
      <c r="AL91" s="1963"/>
      <c r="AM91" s="1963"/>
      <c r="AN91" s="1963"/>
      <c r="AO91" s="1963"/>
      <c r="AP91" s="1963"/>
      <c r="AQ91" s="1963"/>
      <c r="AR91" s="1963"/>
      <c r="AS91" s="1963"/>
      <c r="AT91" s="1963"/>
      <c r="AU91" s="1963"/>
      <c r="AV91" s="1963"/>
      <c r="AW91" s="1963"/>
      <c r="AX91" s="1963"/>
      <c r="AY91" s="1963"/>
      <c r="AZ91" s="196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c r="CP91" s="1952"/>
      <c r="CQ91" s="1952"/>
      <c r="CR91" s="1952"/>
      <c r="CT91" s="2624"/>
    </row>
    <row r="92" spans="1:101">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P92" s="1963"/>
      <c r="AQ92" s="1963"/>
      <c r="AR92" s="1963"/>
      <c r="AS92" s="1963"/>
      <c r="AT92" s="1963"/>
      <c r="AU92" s="1963"/>
      <c r="AV92" s="1963"/>
      <c r="AW92" s="1963"/>
      <c r="AX92" s="1963"/>
      <c r="AY92" s="1963"/>
      <c r="AZ92" s="196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1" s="1396" customFormat="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963"/>
      <c r="AG93" s="1963"/>
      <c r="AH93" s="1963"/>
      <c r="AI93" s="1963"/>
      <c r="AJ93" s="1963"/>
      <c r="AK93" s="1963"/>
      <c r="AL93" s="1963"/>
      <c r="AM93" s="1963"/>
      <c r="AN93" s="1963"/>
      <c r="AO93" s="1963"/>
      <c r="AP93" s="1963"/>
      <c r="AQ93" s="1963"/>
      <c r="AR93" s="1963"/>
      <c r="AS93" s="1963"/>
      <c r="AT93" s="1963"/>
      <c r="AU93" s="1963"/>
      <c r="AV93" s="1963"/>
      <c r="AW93" s="1963"/>
      <c r="AX93" s="1963"/>
      <c r="AY93" s="1963"/>
      <c r="AZ93" s="1963"/>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52"/>
      <c r="CK93" s="1952"/>
      <c r="CL93" s="687"/>
      <c r="CM93" s="1952"/>
      <c r="CN93" s="1952"/>
      <c r="CP93" s="1952"/>
      <c r="CQ93" s="1952"/>
      <c r="CR93" s="1952"/>
      <c r="CT93" s="2624"/>
    </row>
    <row r="94" spans="1:101" s="1396" customForma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963"/>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52"/>
      <c r="CK94" s="1952"/>
      <c r="CL94" s="1952"/>
      <c r="CM94" s="1952"/>
      <c r="CN94" s="1952"/>
      <c r="CP94" s="1952"/>
      <c r="CQ94" s="1952"/>
      <c r="CR94" s="1952"/>
      <c r="CT94" s="2624"/>
    </row>
    <row r="95" spans="1:101" s="1396" customFormat="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963"/>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52"/>
      <c r="CK95" s="1952"/>
      <c r="CL95" s="1952"/>
      <c r="CM95" s="1952"/>
      <c r="CN95" s="1952"/>
      <c r="CP95" s="1952"/>
      <c r="CQ95" s="1952"/>
      <c r="CR95" s="1952"/>
      <c r="CT95" s="2624"/>
    </row>
    <row r="96" spans="1:101" s="1396" customFormat="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963"/>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52"/>
      <c r="CK96" s="1952"/>
      <c r="CL96" s="1952"/>
      <c r="CM96" s="1952"/>
      <c r="CN96" s="1952"/>
      <c r="CP96" s="1952"/>
      <c r="CQ96" s="1952"/>
      <c r="CR96" s="1952"/>
      <c r="CT96" s="2624"/>
    </row>
    <row r="97" spans="1:98">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1963"/>
      <c r="AH97" s="1963"/>
      <c r="AI97" s="1963"/>
      <c r="AJ97" s="1963"/>
      <c r="AK97" s="1963"/>
      <c r="AL97" s="1963"/>
      <c r="AM97" s="1963"/>
      <c r="AN97" s="1963"/>
      <c r="AO97" s="1963"/>
      <c r="AP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98"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952"/>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1952"/>
      <c r="CQ98" s="1952"/>
      <c r="CR98" s="1952"/>
      <c r="CT98" s="2624"/>
    </row>
  </sheetData>
  <mergeCells count="22">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 ref="W2:AA3"/>
    <mergeCell ref="A2:B2"/>
    <mergeCell ref="C2:G3"/>
    <mergeCell ref="H2:L3"/>
    <mergeCell ref="M2:Q3"/>
    <mergeCell ref="R2:V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P72" activePane="bottomRight" state="frozen"/>
      <selection activeCell="Y90" sqref="Y90"/>
      <selection pane="topRight" activeCell="Y90" sqref="Y90"/>
      <selection pane="bottomLeft" activeCell="Y90" sqref="Y90"/>
      <selection pane="bottomRight" activeCell="AU31" sqref="AU31"/>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hidden="1" customWidth="1" outlineLevel="1" collapsed="1"/>
    <col min="19" max="22" width="13.44140625" style="1952" hidden="1" customWidth="1" outlineLevel="1"/>
    <col min="23" max="23" width="13.44140625" style="1952" customWidth="1" collapsed="1"/>
    <col min="24" max="27" width="13.44140625" style="1952" customWidth="1"/>
    <col min="28" max="31" width="12.88671875" style="1952" hidden="1" customWidth="1" outlineLevel="1"/>
    <col min="32" max="32" width="29.33203125" style="1952" hidden="1" customWidth="1" outlineLevel="1"/>
    <col min="33" max="36" width="12.88671875" style="1952" hidden="1" customWidth="1" outlineLevel="1"/>
    <col min="37" max="37" width="26.109375" style="1952" hidden="1" customWidth="1" outlineLevel="1"/>
    <col min="38" max="38" width="12.88671875" style="1952" hidden="1" customWidth="1" outlineLevel="1" collapsed="1"/>
    <col min="39" max="41" width="12.88671875" style="1952" hidden="1" customWidth="1" outlineLevel="1"/>
    <col min="42" max="42" width="31.33203125" style="1586" hidden="1" customWidth="1" outlineLevel="1"/>
    <col min="43" max="43" width="12.88671875" style="1952" customWidth="1" collapsed="1"/>
    <col min="44" max="46" width="12.88671875" style="1952" customWidth="1"/>
    <col min="47" max="47" width="31.44140625" style="1952" customWidth="1"/>
    <col min="48" max="51" width="12.88671875" style="1952" customWidth="1"/>
    <col min="52" max="52" width="26.109375" style="1952" customWidth="1"/>
    <col min="53" max="56" width="12.88671875" style="1952" hidden="1" customWidth="1" outlineLevel="1"/>
    <col min="57" max="57" width="26.109375" style="1952" hidden="1" customWidth="1" outlineLevel="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14.33203125" style="1952" customWidth="1"/>
    <col min="93" max="93" width="2.88671875" style="1395"/>
    <col min="94" max="95" width="12.88671875" style="1952" customWidth="1" outlineLevel="1"/>
    <col min="96" max="96" width="14.5546875" style="1952" customWidth="1" outlineLevel="1"/>
    <col min="97" max="97" width="2.88671875" style="1395" customWidth="1" outlineLevel="1"/>
    <col min="98" max="98" width="11.6640625" style="1522" customWidth="1" outlineLevel="1"/>
    <col min="99" max="99" width="8.33203125" style="1395" customWidth="1" outlineLevel="1"/>
    <col min="100" max="100" width="8.44140625" style="1395" customWidth="1" outlineLevel="1"/>
    <col min="101" max="101" width="7.6640625" style="1395" bestFit="1" customWidth="1"/>
    <col min="102" max="16384" width="2.88671875" style="1395"/>
  </cols>
  <sheetData>
    <row r="1" spans="1:99" ht="13.8" thickBot="1"/>
    <row r="2" spans="1:99" ht="13.8">
      <c r="A2" s="4834" t="s">
        <v>1869</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2079</v>
      </c>
      <c r="CK2" s="4875"/>
      <c r="CL2" s="4875"/>
      <c r="CM2" s="4875"/>
      <c r="CN2" s="4876"/>
      <c r="CP2" s="5168" t="s">
        <v>1981</v>
      </c>
      <c r="CQ2" s="5169"/>
      <c r="CR2" s="5170"/>
    </row>
    <row r="3" spans="1:99"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71"/>
      <c r="CQ3" s="5172"/>
      <c r="CR3" s="5173"/>
    </row>
    <row r="4" spans="1:99"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1474" t="s">
        <v>1850</v>
      </c>
      <c r="CQ4" s="1474" t="s">
        <v>2080</v>
      </c>
      <c r="CR4" s="1474" t="s">
        <v>1826</v>
      </c>
    </row>
    <row r="5" spans="1:99"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115499.66</v>
      </c>
      <c r="X5" s="1466">
        <f>X6</f>
        <v>0</v>
      </c>
      <c r="Y5" s="1466">
        <f>Y6+Y7</f>
        <v>115499.66</v>
      </c>
      <c r="Z5" s="1466"/>
      <c r="AA5" s="1466"/>
      <c r="AB5" s="1466">
        <f>AB6</f>
        <v>10800</v>
      </c>
      <c r="AC5" s="1466">
        <f>AC6</f>
        <v>0</v>
      </c>
      <c r="AD5" s="1466">
        <f>AD6+AD7</f>
        <v>10800</v>
      </c>
      <c r="AE5" s="1466"/>
      <c r="AF5" s="1466"/>
      <c r="AG5" s="1466">
        <f>AG6</f>
        <v>0</v>
      </c>
      <c r="AH5" s="1466">
        <f>AH6</f>
        <v>0</v>
      </c>
      <c r="AI5" s="1466">
        <f>AI6+AI7</f>
        <v>0</v>
      </c>
      <c r="AJ5" s="1466"/>
      <c r="AK5" s="1466"/>
      <c r="AL5" s="1466">
        <f>AL6</f>
        <v>93699.66</v>
      </c>
      <c r="AM5" s="1466">
        <f>AM6</f>
        <v>0</v>
      </c>
      <c r="AN5" s="1466">
        <f>AN6+AN7</f>
        <v>93699.66</v>
      </c>
      <c r="AO5" s="1466"/>
      <c r="AP5" s="3718"/>
      <c r="AQ5" s="1466">
        <f>AQ6</f>
        <v>11000</v>
      </c>
      <c r="AR5" s="1466">
        <f>AR6</f>
        <v>0</v>
      </c>
      <c r="AS5" s="1466">
        <f>AS6+AS7</f>
        <v>11000</v>
      </c>
      <c r="AT5" s="1466"/>
      <c r="AU5" s="1466"/>
      <c r="AV5" s="1466">
        <f>AV6</f>
        <v>0</v>
      </c>
      <c r="AW5" s="1466">
        <f>AW6</f>
        <v>0</v>
      </c>
      <c r="AX5" s="1466">
        <f>AX6+AX7</f>
        <v>0</v>
      </c>
      <c r="AY5" s="1466"/>
      <c r="AZ5" s="1466"/>
      <c r="BA5" s="1466">
        <f>BA6</f>
        <v>0</v>
      </c>
      <c r="BB5" s="1466">
        <f>BB6</f>
        <v>0</v>
      </c>
      <c r="BC5" s="1466">
        <f>BC6+BC7</f>
        <v>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115499.66</v>
      </c>
      <c r="CK5" s="1466">
        <f>CK6</f>
        <v>0</v>
      </c>
      <c r="CL5" s="1466">
        <f>CL6</f>
        <v>115499.66</v>
      </c>
      <c r="CM5" s="1466"/>
      <c r="CN5" s="1466"/>
      <c r="CP5" s="1955">
        <f>CP6</f>
        <v>104499.66</v>
      </c>
      <c r="CQ5" s="1955">
        <f>CQ6</f>
        <v>115499.66</v>
      </c>
      <c r="CR5" s="3440">
        <f>CR6</f>
        <v>-11000</v>
      </c>
      <c r="CT5" s="2624"/>
    </row>
    <row r="6" spans="1:99" s="1396" customFormat="1" ht="92.4"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115499.66</v>
      </c>
      <c r="X6" s="3342">
        <f>AC6+AH6+AM6+AW6+BB6+BG6+BL6+BQ6+BV6+CA6+CF6+AR6</f>
        <v>0</v>
      </c>
      <c r="Y6" s="2012">
        <f t="shared" ref="Y6:Y7" si="3">W6+X6</f>
        <v>115499.66</v>
      </c>
      <c r="Z6" s="3342"/>
      <c r="AA6" s="3342"/>
      <c r="AB6" s="3349">
        <v>10800</v>
      </c>
      <c r="AC6" s="3349"/>
      <c r="AD6" s="2012">
        <f t="shared" ref="AD6:AD7" si="4">AB6+AC6</f>
        <v>10800</v>
      </c>
      <c r="AE6" s="3341"/>
      <c r="AF6" s="3342" t="s">
        <v>1890</v>
      </c>
      <c r="AG6" s="3341"/>
      <c r="AH6" s="3341"/>
      <c r="AI6" s="2012">
        <f t="shared" ref="AI6:AI7" si="5">AG6+AH6</f>
        <v>0</v>
      </c>
      <c r="AJ6" s="3341"/>
      <c r="AK6" s="3342"/>
      <c r="AL6" s="3341">
        <f>75699.66+18000</f>
        <v>93699.66</v>
      </c>
      <c r="AM6" s="3341"/>
      <c r="AN6" s="2012">
        <f t="shared" ref="AN6:AN7" si="6">AL6+AM6</f>
        <v>93699.66</v>
      </c>
      <c r="AO6" s="3341"/>
      <c r="AP6" s="3409" t="s">
        <v>1983</v>
      </c>
      <c r="AQ6" s="3341">
        <v>11000</v>
      </c>
      <c r="AR6" s="3341"/>
      <c r="AS6" s="2012">
        <f t="shared" ref="AS6:AS7" si="7">AQ6+AR6</f>
        <v>11000</v>
      </c>
      <c r="AT6" s="3341"/>
      <c r="AU6" s="3409" t="s">
        <v>2058</v>
      </c>
      <c r="AV6" s="3341"/>
      <c r="AW6" s="3341"/>
      <c r="AX6" s="2012">
        <f t="shared" ref="AX6:AX7" si="8">AV6+AW6</f>
        <v>0</v>
      </c>
      <c r="AY6" s="3341"/>
      <c r="AZ6" s="3342"/>
      <c r="BA6" s="3341"/>
      <c r="BB6" s="3341"/>
      <c r="BC6" s="2012">
        <f t="shared" ref="BC6:BC7" si="9">BA6+BB6</f>
        <v>0</v>
      </c>
      <c r="BD6" s="3341"/>
      <c r="BE6" s="3342"/>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f>
        <v>115499.66</v>
      </c>
      <c r="CK6" s="3341">
        <f>D6+I6+N6+X6</f>
        <v>0</v>
      </c>
      <c r="CL6" s="2012">
        <f>CJ6+CK6</f>
        <v>115499.66</v>
      </c>
      <c r="CM6" s="3341"/>
      <c r="CN6" s="3341"/>
      <c r="CP6" s="2012">
        <f>93699.66+10800</f>
        <v>104499.66</v>
      </c>
      <c r="CQ6" s="2012">
        <f t="shared" ref="CQ6" si="16">CL6</f>
        <v>115499.66</v>
      </c>
      <c r="CR6" s="4202">
        <f>CP6-CQ6</f>
        <v>-11000</v>
      </c>
      <c r="CS6" s="3307"/>
      <c r="CT6" s="3779"/>
    </row>
    <row r="7" spans="1:99" s="1396" customFormat="1" ht="14.4" outlineLevel="1" collapsed="1" thickBot="1">
      <c r="A7" s="1571"/>
      <c r="B7" s="4208" t="s">
        <v>41</v>
      </c>
      <c r="C7" s="3341"/>
      <c r="D7" s="3341"/>
      <c r="E7" s="2012">
        <f t="shared" si="0"/>
        <v>0</v>
      </c>
      <c r="F7" s="4209"/>
      <c r="G7" s="4209"/>
      <c r="H7" s="3341"/>
      <c r="I7" s="3341"/>
      <c r="J7" s="2012">
        <f>H7+I7</f>
        <v>0</v>
      </c>
      <c r="K7" s="4209"/>
      <c r="L7" s="4209"/>
      <c r="M7" s="3341"/>
      <c r="N7" s="3341"/>
      <c r="O7" s="2012">
        <f t="shared" si="1"/>
        <v>0</v>
      </c>
      <c r="P7" s="4209"/>
      <c r="Q7" s="4209"/>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9"/>
      <c r="AC7" s="3349"/>
      <c r="AD7" s="2012">
        <f t="shared" si="4"/>
        <v>0</v>
      </c>
      <c r="AE7" s="4209"/>
      <c r="AF7" s="4209"/>
      <c r="AG7" s="3341"/>
      <c r="AH7" s="3341"/>
      <c r="AI7" s="2012">
        <f t="shared" si="5"/>
        <v>0</v>
      </c>
      <c r="AJ7" s="4209"/>
      <c r="AK7" s="4209"/>
      <c r="AL7" s="3341"/>
      <c r="AM7" s="3341"/>
      <c r="AN7" s="2012">
        <f t="shared" si="6"/>
        <v>0</v>
      </c>
      <c r="AO7" s="4209"/>
      <c r="AP7" s="4210"/>
      <c r="AQ7" s="3341"/>
      <c r="AR7" s="3341"/>
      <c r="AS7" s="2012">
        <f t="shared" si="7"/>
        <v>0</v>
      </c>
      <c r="AT7" s="4209"/>
      <c r="AU7" s="4209"/>
      <c r="AV7" s="3341"/>
      <c r="AW7" s="3341"/>
      <c r="AX7" s="2012">
        <f t="shared" si="8"/>
        <v>0</v>
      </c>
      <c r="AY7" s="4209"/>
      <c r="AZ7" s="4209"/>
      <c r="BA7" s="3341"/>
      <c r="BB7" s="3341"/>
      <c r="BC7" s="2012">
        <f t="shared" si="9"/>
        <v>0</v>
      </c>
      <c r="BD7" s="4209"/>
      <c r="BE7" s="4209"/>
      <c r="BF7" s="3341"/>
      <c r="BG7" s="3341"/>
      <c r="BH7" s="2012">
        <f t="shared" si="10"/>
        <v>0</v>
      </c>
      <c r="BI7" s="4209"/>
      <c r="BJ7" s="4209"/>
      <c r="BK7" s="3341"/>
      <c r="BL7" s="3341"/>
      <c r="BM7" s="2012">
        <f t="shared" si="11"/>
        <v>0</v>
      </c>
      <c r="BN7" s="4209"/>
      <c r="BO7" s="4209"/>
      <c r="BP7" s="3341"/>
      <c r="BQ7" s="3341"/>
      <c r="BR7" s="2012">
        <f t="shared" si="12"/>
        <v>0</v>
      </c>
      <c r="BS7" s="4209"/>
      <c r="BT7" s="4209"/>
      <c r="BU7" s="3341"/>
      <c r="BV7" s="3341"/>
      <c r="BW7" s="2012">
        <f t="shared" si="13"/>
        <v>0</v>
      </c>
      <c r="BX7" s="4209"/>
      <c r="BY7" s="4209"/>
      <c r="BZ7" s="3341"/>
      <c r="CA7" s="3341"/>
      <c r="CB7" s="2012">
        <f t="shared" si="14"/>
        <v>0</v>
      </c>
      <c r="CC7" s="4209"/>
      <c r="CD7" s="4209"/>
      <c r="CE7" s="3341"/>
      <c r="CF7" s="3341"/>
      <c r="CG7" s="2012">
        <f t="shared" si="15"/>
        <v>0</v>
      </c>
      <c r="CH7" s="4209"/>
      <c r="CI7" s="4209"/>
      <c r="CJ7" s="3341">
        <f>C7+H7+M7+W7</f>
        <v>0</v>
      </c>
      <c r="CK7" s="3341">
        <f>D7+I7+N7+X7</f>
        <v>0</v>
      </c>
      <c r="CL7" s="2012">
        <f>CJ7+CK7</f>
        <v>0</v>
      </c>
      <c r="CM7" s="4209"/>
      <c r="CN7" s="4209"/>
      <c r="CP7" s="2012"/>
      <c r="CQ7" s="2012"/>
      <c r="CR7" s="3442"/>
      <c r="CT7" s="2624"/>
    </row>
    <row r="8" spans="1:99" s="1396" customFormat="1" ht="14.4" outlineLevel="1" thickBot="1">
      <c r="A8" s="1571"/>
      <c r="B8" s="1463" t="s">
        <v>16</v>
      </c>
      <c r="C8" s="1957">
        <f>SUM(C9:C33)</f>
        <v>0</v>
      </c>
      <c r="D8" s="1957">
        <f>SUM(D9:D33)</f>
        <v>0</v>
      </c>
      <c r="E8" s="1484">
        <f>SUM(E9:E33)</f>
        <v>0</v>
      </c>
      <c r="F8" s="1528" t="e">
        <f t="shared" ref="F8:F33" si="17">E8/$E$89</f>
        <v>#DIV/0!</v>
      </c>
      <c r="G8" s="1466"/>
      <c r="H8" s="1957">
        <f>SUM(H9:H33)</f>
        <v>0</v>
      </c>
      <c r="I8" s="1957">
        <f>SUM(I9:I33)</f>
        <v>9680</v>
      </c>
      <c r="J8" s="1484">
        <f>SUM(J9:J33)</f>
        <v>9680</v>
      </c>
      <c r="K8" s="1528" t="e">
        <f t="shared" ref="K8" si="18">J8/$E$89</f>
        <v>#DIV/0!</v>
      </c>
      <c r="L8" s="1466"/>
      <c r="M8" s="1957">
        <f>SUM(M9:M33)</f>
        <v>8000</v>
      </c>
      <c r="N8" s="1957">
        <f>SUM(N9:N33)</f>
        <v>0</v>
      </c>
      <c r="O8" s="1484">
        <f>SUM(O9:O33)</f>
        <v>8000</v>
      </c>
      <c r="P8" s="1528" t="e">
        <f t="shared" ref="P8" si="19">O8/$E$89</f>
        <v>#DIV/0!</v>
      </c>
      <c r="Q8" s="1466"/>
      <c r="R8" s="1957">
        <f>SUM(R9:R33)</f>
        <v>8000</v>
      </c>
      <c r="S8" s="1957">
        <f>SUM(S9:S33)</f>
        <v>9680</v>
      </c>
      <c r="T8" s="1484">
        <f>SUM(T9:T33)</f>
        <v>17680</v>
      </c>
      <c r="U8" s="1528"/>
      <c r="V8" s="1466"/>
      <c r="W8" s="1957">
        <f>SUM(W9:W33)</f>
        <v>31554.98</v>
      </c>
      <c r="X8" s="1957">
        <f>SUM(X9:X33)</f>
        <v>9313</v>
      </c>
      <c r="Y8" s="1484">
        <f>SUM(Y9:Y33)</f>
        <v>40867.979999999996</v>
      </c>
      <c r="Z8" s="1528"/>
      <c r="AA8" s="1466"/>
      <c r="AB8" s="1957">
        <f>SUM(AB9:AB33)</f>
        <v>0</v>
      </c>
      <c r="AC8" s="1957">
        <f>SUM(AC9:AC33)</f>
        <v>9313</v>
      </c>
      <c r="AD8" s="1484">
        <f>SUM(AD9:AD33)</f>
        <v>9313</v>
      </c>
      <c r="AE8" s="1528"/>
      <c r="AF8" s="1466"/>
      <c r="AG8" s="1957">
        <f>SUM(AG9:AG33)</f>
        <v>0</v>
      </c>
      <c r="AH8" s="1957">
        <f>SUM(AH9:AH33)</f>
        <v>0</v>
      </c>
      <c r="AI8" s="1484">
        <f>SUM(AI9:AI33)</f>
        <v>0</v>
      </c>
      <c r="AJ8" s="1528"/>
      <c r="AK8" s="1466"/>
      <c r="AL8" s="1957">
        <f>SUM(AL9:AL33)</f>
        <v>30709.98</v>
      </c>
      <c r="AM8" s="1957">
        <f>SUM(AM9:AM33)</f>
        <v>0</v>
      </c>
      <c r="AN8" s="1484">
        <f>SUM(AN9:AN33)</f>
        <v>30709.98</v>
      </c>
      <c r="AO8" s="1528"/>
      <c r="AP8" s="3718"/>
      <c r="AQ8" s="1957">
        <f>SUM(AQ9:AQ33)</f>
        <v>845</v>
      </c>
      <c r="AR8" s="1957">
        <f>SUM(AR9:AR33)</f>
        <v>0</v>
      </c>
      <c r="AS8" s="1484">
        <f>SUM(AS9:AS33)</f>
        <v>845</v>
      </c>
      <c r="AT8" s="1528"/>
      <c r="AU8" s="1466"/>
      <c r="AV8" s="1957">
        <f>SUM(AV9:AV33)</f>
        <v>0</v>
      </c>
      <c r="AW8" s="1957">
        <f>SUM(AW9:AW33)</f>
        <v>0</v>
      </c>
      <c r="AX8" s="1484">
        <f>SUM(AX9:AX33)</f>
        <v>0</v>
      </c>
      <c r="AY8" s="1528"/>
      <c r="AZ8" s="1466"/>
      <c r="BA8" s="1957">
        <f>SUM(BA9:BA33)</f>
        <v>0</v>
      </c>
      <c r="BB8" s="1957">
        <f>SUM(BB9:BB33)</f>
        <v>0</v>
      </c>
      <c r="BC8" s="1484">
        <f>SUM(BC9:BC33)</f>
        <v>0</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39554.979999999996</v>
      </c>
      <c r="CK8" s="1957">
        <f>SUM(CK9:CK33)</f>
        <v>18993</v>
      </c>
      <c r="CL8" s="1484">
        <f>SUM(CL9:CL33)</f>
        <v>58547.979999999996</v>
      </c>
      <c r="CM8" s="1528"/>
      <c r="CN8" s="1466"/>
      <c r="CP8" s="1484">
        <f>SUM(CP9:CP33)</f>
        <v>60567.68</v>
      </c>
      <c r="CQ8" s="1484">
        <f>SUM(CQ9:CQ33)</f>
        <v>58547.979999999996</v>
      </c>
      <c r="CR8" s="3440">
        <f>SUM(CR9:CR33)</f>
        <v>2019.7000000000007</v>
      </c>
      <c r="CT8" s="2624"/>
    </row>
    <row r="9" spans="1:99" s="1396" customFormat="1" ht="72" outlineLevel="2">
      <c r="A9" s="1571"/>
      <c r="B9" s="1424" t="s">
        <v>74</v>
      </c>
      <c r="C9" s="3341"/>
      <c r="D9" s="3341"/>
      <c r="E9" s="3349">
        <f t="shared" ref="E9:E32" si="20">C9+D9</f>
        <v>0</v>
      </c>
      <c r="F9" s="4211" t="e">
        <f t="shared" si="17"/>
        <v>#DIV/0!</v>
      </c>
      <c r="G9" s="2047"/>
      <c r="H9" s="3341"/>
      <c r="I9" s="3341">
        <v>9680</v>
      </c>
      <c r="J9" s="3349">
        <f t="shared" ref="J9:J32" si="21">H9+I9</f>
        <v>9680</v>
      </c>
      <c r="K9" s="4211">
        <f>J9/J$89</f>
        <v>0.86106134733301332</v>
      </c>
      <c r="L9" s="2047"/>
      <c r="M9" s="3341"/>
      <c r="N9" s="3341"/>
      <c r="O9" s="3349">
        <f t="shared" ref="O9:O32" si="22">M9+N9</f>
        <v>0</v>
      </c>
      <c r="P9" s="4211">
        <f t="shared" ref="P9:P33" si="23">O9/O$89</f>
        <v>0</v>
      </c>
      <c r="Q9" s="2047"/>
      <c r="R9" s="3342">
        <f t="shared" ref="R9:S33" si="24">M9+H9+C9</f>
        <v>0</v>
      </c>
      <c r="S9" s="3342">
        <f t="shared" si="24"/>
        <v>9680</v>
      </c>
      <c r="T9" s="2012">
        <f t="shared" ref="T9:T33" si="25">R9+S9</f>
        <v>9680</v>
      </c>
      <c r="U9" s="2047"/>
      <c r="V9" s="2047"/>
      <c r="W9" s="3342">
        <f t="shared" ref="W9:X33" si="26">AB9+AG9+AL9+AV9+BA9+BF9+BK9+BP9+BU9+BZ9+CE9+AQ9</f>
        <v>0</v>
      </c>
      <c r="X9" s="3342">
        <f t="shared" si="26"/>
        <v>9313</v>
      </c>
      <c r="Y9" s="2012">
        <f t="shared" ref="Y9:Y33" si="27">W9+X9</f>
        <v>9313</v>
      </c>
      <c r="Z9" s="2047"/>
      <c r="AA9" s="2047"/>
      <c r="AB9" s="3349"/>
      <c r="AC9" s="3349">
        <v>9313</v>
      </c>
      <c r="AD9" s="3349">
        <f t="shared" ref="AD9:AD32" si="28">AB9+AC9</f>
        <v>9313</v>
      </c>
      <c r="AE9" s="4211">
        <f>AD9/AD$89</f>
        <v>0.8599999390582056</v>
      </c>
      <c r="AF9" s="2047" t="s">
        <v>1891</v>
      </c>
      <c r="AG9" s="3341"/>
      <c r="AH9" s="3341"/>
      <c r="AI9" s="3349">
        <f t="shared" ref="AI9:AI32" si="29">AG9+AH9</f>
        <v>0</v>
      </c>
      <c r="AJ9" s="4211" t="e">
        <f>AI9/AI$89</f>
        <v>#DIV/0!</v>
      </c>
      <c r="AK9" s="2047"/>
      <c r="AL9" s="3341"/>
      <c r="AM9" s="3341"/>
      <c r="AN9" s="3349">
        <f t="shared" ref="AN9:AN32" si="30">AL9+AM9</f>
        <v>0</v>
      </c>
      <c r="AO9" s="4211">
        <f>AN9/AN$89</f>
        <v>0</v>
      </c>
      <c r="AP9" s="3780"/>
      <c r="AQ9" s="3341"/>
      <c r="AR9" s="3341"/>
      <c r="AS9" s="3349">
        <f t="shared" ref="AS9:AS32" si="31">AQ9+AR9</f>
        <v>0</v>
      </c>
      <c r="AT9" s="4211">
        <f>AS9/AS$89</f>
        <v>0</v>
      </c>
      <c r="AU9" s="2047"/>
      <c r="AV9" s="3341"/>
      <c r="AW9" s="3341"/>
      <c r="AX9" s="3349">
        <f t="shared" ref="AX9:AX32" si="32">AV9+AW9</f>
        <v>0</v>
      </c>
      <c r="AY9" s="4211" t="e">
        <f>AX9/AX$89</f>
        <v>#DIV/0!</v>
      </c>
      <c r="AZ9" s="2047"/>
      <c r="BA9" s="3341"/>
      <c r="BB9" s="3341"/>
      <c r="BC9" s="3349">
        <f t="shared" ref="BC9:BC32" si="33">BA9+BB9</f>
        <v>0</v>
      </c>
      <c r="BD9" s="4211" t="e">
        <f>BC9/BC$89</f>
        <v>#DIV/0!</v>
      </c>
      <c r="BE9" s="2047"/>
      <c r="BF9" s="3341"/>
      <c r="BG9" s="3341"/>
      <c r="BH9" s="3349">
        <f t="shared" ref="BH9:BH32" si="34">BF9+BG9</f>
        <v>0</v>
      </c>
      <c r="BI9" s="4211" t="e">
        <f>BH9/BH$89</f>
        <v>#DIV/0!</v>
      </c>
      <c r="BJ9" s="2047"/>
      <c r="BK9" s="3341"/>
      <c r="BL9" s="3341"/>
      <c r="BM9" s="3349">
        <f t="shared" ref="BM9:BM32" si="35">BK9+BL9</f>
        <v>0</v>
      </c>
      <c r="BN9" s="4211" t="e">
        <f>BM9/BM$89</f>
        <v>#DIV/0!</v>
      </c>
      <c r="BO9" s="2047"/>
      <c r="BP9" s="3341"/>
      <c r="BQ9" s="3341"/>
      <c r="BR9" s="3349">
        <f t="shared" ref="BR9:BR32" si="36">BP9+BQ9</f>
        <v>0</v>
      </c>
      <c r="BS9" s="4211" t="e">
        <f>BR9/BR$89</f>
        <v>#DIV/0!</v>
      </c>
      <c r="BT9" s="2047"/>
      <c r="BU9" s="3341"/>
      <c r="BV9" s="3341"/>
      <c r="BW9" s="3349">
        <f t="shared" ref="BW9:BW32" si="37">BU9+BV9</f>
        <v>0</v>
      </c>
      <c r="BX9" s="4211" t="e">
        <f>BW9/BW$89</f>
        <v>#DIV/0!</v>
      </c>
      <c r="BY9" s="2047"/>
      <c r="BZ9" s="3341"/>
      <c r="CA9" s="3341"/>
      <c r="CB9" s="3349">
        <f t="shared" ref="CB9:CB32" si="38">BZ9+CA9</f>
        <v>0</v>
      </c>
      <c r="CC9" s="4211" t="e">
        <f>CB9/CB$89</f>
        <v>#DIV/0!</v>
      </c>
      <c r="CD9" s="2047"/>
      <c r="CE9" s="3341"/>
      <c r="CF9" s="3341"/>
      <c r="CG9" s="3349">
        <f t="shared" ref="CG9:CG32" si="39">CE9+CF9</f>
        <v>0</v>
      </c>
      <c r="CH9" s="4211" t="e">
        <f>CG9/CG$89</f>
        <v>#DIV/0!</v>
      </c>
      <c r="CI9" s="2047"/>
      <c r="CJ9" s="3341">
        <f t="shared" ref="CJ9:CK33" si="40">C9+H9+M9+W9</f>
        <v>0</v>
      </c>
      <c r="CK9" s="3341">
        <f>D9+I9+N9+X9</f>
        <v>18993</v>
      </c>
      <c r="CL9" s="3349">
        <f>CJ9+CK9*1</f>
        <v>18993</v>
      </c>
      <c r="CM9" s="4211">
        <f t="shared" ref="CM9:CM33" si="41">CL9/$CL$89</f>
        <v>0.30819788592860559</v>
      </c>
      <c r="CN9" s="1434"/>
      <c r="CP9" s="4200">
        <v>12523.5</v>
      </c>
      <c r="CQ9" s="2012">
        <f t="shared" ref="CQ9:CQ32" si="42">CL9</f>
        <v>18993</v>
      </c>
      <c r="CR9" s="4202">
        <f>CP9-CQ9</f>
        <v>-6469.5</v>
      </c>
      <c r="CS9" s="3307"/>
      <c r="CT9" s="4189">
        <f>CR9/CP9</f>
        <v>-0.51658881303150073</v>
      </c>
      <c r="CU9" s="933"/>
    </row>
    <row r="10" spans="1:99" s="1396" customFormat="1" ht="13.8" outlineLevel="2">
      <c r="A10" s="1571"/>
      <c r="B10" s="1424" t="s">
        <v>72</v>
      </c>
      <c r="C10" s="3341"/>
      <c r="D10" s="3341"/>
      <c r="E10" s="3349">
        <f t="shared" si="20"/>
        <v>0</v>
      </c>
      <c r="F10" s="4211" t="e">
        <f t="shared" si="17"/>
        <v>#DIV/0!</v>
      </c>
      <c r="G10" s="2047"/>
      <c r="H10" s="3341"/>
      <c r="I10" s="3341"/>
      <c r="J10" s="3349">
        <f t="shared" si="21"/>
        <v>0</v>
      </c>
      <c r="K10" s="4211">
        <f t="shared" ref="K10:K33" si="43">J10/J$89</f>
        <v>0</v>
      </c>
      <c r="L10" s="2047"/>
      <c r="M10" s="3341"/>
      <c r="N10" s="3341"/>
      <c r="O10" s="3349">
        <f t="shared" si="22"/>
        <v>0</v>
      </c>
      <c r="P10" s="4211">
        <f t="shared" si="23"/>
        <v>0</v>
      </c>
      <c r="Q10" s="2047"/>
      <c r="R10" s="3342">
        <f t="shared" si="24"/>
        <v>0</v>
      </c>
      <c r="S10" s="3342">
        <f t="shared" si="24"/>
        <v>0</v>
      </c>
      <c r="T10" s="2012">
        <f t="shared" si="25"/>
        <v>0</v>
      </c>
      <c r="U10" s="2047"/>
      <c r="V10" s="2047"/>
      <c r="W10" s="3342">
        <f t="shared" si="26"/>
        <v>0</v>
      </c>
      <c r="X10" s="3342">
        <f t="shared" si="26"/>
        <v>0</v>
      </c>
      <c r="Y10" s="2012">
        <f t="shared" si="27"/>
        <v>0</v>
      </c>
      <c r="Z10" s="2047"/>
      <c r="AA10" s="2047"/>
      <c r="AB10" s="3349"/>
      <c r="AC10" s="3349"/>
      <c r="AD10" s="3349">
        <f t="shared" si="28"/>
        <v>0</v>
      </c>
      <c r="AE10" s="4211">
        <f t="shared" ref="AE10:AE33" si="44">AD10/AD$89</f>
        <v>0</v>
      </c>
      <c r="AF10" s="2047"/>
      <c r="AG10" s="3341"/>
      <c r="AH10" s="3341"/>
      <c r="AI10" s="3349">
        <f t="shared" si="29"/>
        <v>0</v>
      </c>
      <c r="AJ10" s="4211" t="e">
        <f t="shared" ref="AJ10:AJ33" si="45">AI10/AI$89</f>
        <v>#DIV/0!</v>
      </c>
      <c r="AK10" s="2047"/>
      <c r="AL10" s="3341"/>
      <c r="AM10" s="3341"/>
      <c r="AN10" s="3349">
        <f t="shared" si="30"/>
        <v>0</v>
      </c>
      <c r="AO10" s="4211">
        <f t="shared" ref="AO10:AO33" si="46">AN10/AN$89</f>
        <v>0</v>
      </c>
      <c r="AP10" s="3780"/>
      <c r="AQ10" s="3341"/>
      <c r="AR10" s="3341"/>
      <c r="AS10" s="3349">
        <f t="shared" si="31"/>
        <v>0</v>
      </c>
      <c r="AT10" s="4211">
        <f t="shared" ref="AT10:AT33" si="47">AS10/AS$89</f>
        <v>0</v>
      </c>
      <c r="AU10" s="2047"/>
      <c r="AV10" s="3341"/>
      <c r="AW10" s="3341"/>
      <c r="AX10" s="3349">
        <f t="shared" si="32"/>
        <v>0</v>
      </c>
      <c r="AY10" s="4211" t="e">
        <f t="shared" ref="AY10:AY33" si="48">AX10/AX$89</f>
        <v>#DIV/0!</v>
      </c>
      <c r="AZ10" s="2047"/>
      <c r="BA10" s="3341"/>
      <c r="BB10" s="3341"/>
      <c r="BC10" s="3349">
        <f t="shared" si="33"/>
        <v>0</v>
      </c>
      <c r="BD10" s="4211" t="e">
        <f t="shared" ref="BD10:BD33" si="49">BC10/BC$89</f>
        <v>#DIV/0!</v>
      </c>
      <c r="BE10" s="2047"/>
      <c r="BF10" s="3341"/>
      <c r="BG10" s="3341"/>
      <c r="BH10" s="3349">
        <f t="shared" si="34"/>
        <v>0</v>
      </c>
      <c r="BI10" s="4211" t="e">
        <f t="shared" ref="BI10:BI33" si="50">BH10/BH$89</f>
        <v>#DIV/0!</v>
      </c>
      <c r="BJ10" s="2047"/>
      <c r="BK10" s="3341"/>
      <c r="BL10" s="3341"/>
      <c r="BM10" s="3349">
        <f t="shared" si="35"/>
        <v>0</v>
      </c>
      <c r="BN10" s="4211" t="e">
        <f t="shared" ref="BN10:BN33" si="51">BM10/BM$89</f>
        <v>#DIV/0!</v>
      </c>
      <c r="BO10" s="2047"/>
      <c r="BP10" s="3341"/>
      <c r="BQ10" s="3341"/>
      <c r="BR10" s="3349">
        <f t="shared" si="36"/>
        <v>0</v>
      </c>
      <c r="BS10" s="4211" t="e">
        <f t="shared" ref="BS10:BS33" si="52">BR10/BR$89</f>
        <v>#DIV/0!</v>
      </c>
      <c r="BT10" s="2047"/>
      <c r="BU10" s="3341"/>
      <c r="BV10" s="3341"/>
      <c r="BW10" s="3349">
        <f t="shared" si="37"/>
        <v>0</v>
      </c>
      <c r="BX10" s="4211" t="e">
        <f t="shared" ref="BX10:BX33" si="53">BW10/BW$89</f>
        <v>#DIV/0!</v>
      </c>
      <c r="BY10" s="2047"/>
      <c r="BZ10" s="3341"/>
      <c r="CA10" s="3341"/>
      <c r="CB10" s="3349">
        <f t="shared" si="38"/>
        <v>0</v>
      </c>
      <c r="CC10" s="4211" t="e">
        <f t="shared" ref="CC10:CC33" si="54">CB10/CB$89</f>
        <v>#DIV/0!</v>
      </c>
      <c r="CD10" s="2047"/>
      <c r="CE10" s="3341"/>
      <c r="CF10" s="3341"/>
      <c r="CG10" s="3349">
        <f t="shared" si="39"/>
        <v>0</v>
      </c>
      <c r="CH10" s="4211" t="e">
        <f t="shared" ref="CH10:CH33" si="55">CG10/CG$89</f>
        <v>#DIV/0!</v>
      </c>
      <c r="CI10" s="2047"/>
      <c r="CJ10" s="3341">
        <f t="shared" si="40"/>
        <v>0</v>
      </c>
      <c r="CK10" s="3341">
        <f t="shared" si="40"/>
        <v>0</v>
      </c>
      <c r="CL10" s="3349">
        <f t="shared" ref="CL10:CL33" si="56">CJ10+CK10*1</f>
        <v>0</v>
      </c>
      <c r="CM10" s="4211">
        <f t="shared" si="41"/>
        <v>0</v>
      </c>
      <c r="CN10" s="1434"/>
      <c r="CP10" s="4200"/>
      <c r="CQ10" s="2012">
        <f t="shared" si="42"/>
        <v>0</v>
      </c>
      <c r="CR10" s="4202">
        <f t="shared" ref="CR10:CR33" si="57">CP10-CQ10</f>
        <v>0</v>
      </c>
      <c r="CT10" s="2624"/>
    </row>
    <row r="11" spans="1:99" s="1396" customFormat="1" ht="13.8" outlineLevel="2">
      <c r="A11" s="1571"/>
      <c r="B11" s="1424" t="s">
        <v>69</v>
      </c>
      <c r="C11" s="3341"/>
      <c r="D11" s="3341"/>
      <c r="E11" s="3349">
        <f t="shared" si="20"/>
        <v>0</v>
      </c>
      <c r="F11" s="4211" t="e">
        <f t="shared" si="17"/>
        <v>#DIV/0!</v>
      </c>
      <c r="G11" s="1055"/>
      <c r="H11" s="3341"/>
      <c r="I11" s="3341"/>
      <c r="J11" s="3349">
        <f t="shared" si="21"/>
        <v>0</v>
      </c>
      <c r="K11" s="4211">
        <f t="shared" si="43"/>
        <v>0</v>
      </c>
      <c r="L11" s="1055"/>
      <c r="M11" s="3341"/>
      <c r="N11" s="3341"/>
      <c r="O11" s="3349">
        <f t="shared" si="22"/>
        <v>0</v>
      </c>
      <c r="P11" s="4211">
        <f t="shared" si="23"/>
        <v>0</v>
      </c>
      <c r="Q11" s="1055"/>
      <c r="R11" s="3342">
        <f t="shared" si="24"/>
        <v>0</v>
      </c>
      <c r="S11" s="3342">
        <f t="shared" si="24"/>
        <v>0</v>
      </c>
      <c r="T11" s="2012">
        <f t="shared" si="25"/>
        <v>0</v>
      </c>
      <c r="U11" s="1055"/>
      <c r="V11" s="1055"/>
      <c r="W11" s="3342">
        <f t="shared" si="26"/>
        <v>0</v>
      </c>
      <c r="X11" s="3342">
        <f t="shared" si="26"/>
        <v>0</v>
      </c>
      <c r="Y11" s="2012">
        <f t="shared" si="27"/>
        <v>0</v>
      </c>
      <c r="Z11" s="1055"/>
      <c r="AA11" s="1055"/>
      <c r="AB11" s="3349"/>
      <c r="AC11" s="3349"/>
      <c r="AD11" s="3349">
        <f t="shared" si="28"/>
        <v>0</v>
      </c>
      <c r="AE11" s="4211">
        <f t="shared" si="44"/>
        <v>0</v>
      </c>
      <c r="AF11" s="1055"/>
      <c r="AG11" s="3341"/>
      <c r="AH11" s="3341"/>
      <c r="AI11" s="3349">
        <f t="shared" si="29"/>
        <v>0</v>
      </c>
      <c r="AJ11" s="4211" t="e">
        <f t="shared" si="45"/>
        <v>#DIV/0!</v>
      </c>
      <c r="AK11" s="1055"/>
      <c r="AL11" s="3341"/>
      <c r="AM11" s="3341"/>
      <c r="AN11" s="3349">
        <f t="shared" si="30"/>
        <v>0</v>
      </c>
      <c r="AO11" s="4211">
        <f t="shared" si="46"/>
        <v>0</v>
      </c>
      <c r="AP11" s="3720"/>
      <c r="AQ11" s="3341"/>
      <c r="AR11" s="3341"/>
      <c r="AS11" s="3349">
        <f t="shared" si="31"/>
        <v>0</v>
      </c>
      <c r="AT11" s="4211">
        <f t="shared" si="47"/>
        <v>0</v>
      </c>
      <c r="AU11" s="1055"/>
      <c r="AV11" s="3341"/>
      <c r="AW11" s="3341"/>
      <c r="AX11" s="3349">
        <f t="shared" si="32"/>
        <v>0</v>
      </c>
      <c r="AY11" s="4211" t="e">
        <f t="shared" si="48"/>
        <v>#DIV/0!</v>
      </c>
      <c r="AZ11" s="1055"/>
      <c r="BA11" s="3341"/>
      <c r="BB11" s="3341"/>
      <c r="BC11" s="3349">
        <f t="shared" si="33"/>
        <v>0</v>
      </c>
      <c r="BD11" s="4211" t="e">
        <f t="shared" si="49"/>
        <v>#DIV/0!</v>
      </c>
      <c r="BE11" s="1055"/>
      <c r="BF11" s="3341"/>
      <c r="BG11" s="3341"/>
      <c r="BH11" s="3349">
        <f t="shared" si="34"/>
        <v>0</v>
      </c>
      <c r="BI11" s="4211" t="e">
        <f t="shared" si="50"/>
        <v>#DIV/0!</v>
      </c>
      <c r="BJ11" s="1055"/>
      <c r="BK11" s="3341"/>
      <c r="BL11" s="3341"/>
      <c r="BM11" s="3349">
        <f t="shared" si="35"/>
        <v>0</v>
      </c>
      <c r="BN11" s="4211" t="e">
        <f t="shared" si="51"/>
        <v>#DIV/0!</v>
      </c>
      <c r="BO11" s="1055"/>
      <c r="BP11" s="3341"/>
      <c r="BQ11" s="3341"/>
      <c r="BR11" s="3349">
        <f t="shared" si="36"/>
        <v>0</v>
      </c>
      <c r="BS11" s="4211" t="e">
        <f t="shared" si="52"/>
        <v>#DIV/0!</v>
      </c>
      <c r="BT11" s="1055"/>
      <c r="BU11" s="3341"/>
      <c r="BV11" s="3341"/>
      <c r="BW11" s="3349">
        <f t="shared" si="37"/>
        <v>0</v>
      </c>
      <c r="BX11" s="4211" t="e">
        <f t="shared" si="53"/>
        <v>#DIV/0!</v>
      </c>
      <c r="BY11" s="1055"/>
      <c r="BZ11" s="3341"/>
      <c r="CA11" s="3341"/>
      <c r="CB11" s="3349">
        <f t="shared" si="38"/>
        <v>0</v>
      </c>
      <c r="CC11" s="4211" t="e">
        <f t="shared" si="54"/>
        <v>#DIV/0!</v>
      </c>
      <c r="CD11" s="1055"/>
      <c r="CE11" s="3341"/>
      <c r="CF11" s="3341"/>
      <c r="CG11" s="3349">
        <f t="shared" si="39"/>
        <v>0</v>
      </c>
      <c r="CH11" s="4211" t="e">
        <f t="shared" si="55"/>
        <v>#DIV/0!</v>
      </c>
      <c r="CI11" s="1055"/>
      <c r="CJ11" s="3341">
        <f t="shared" si="40"/>
        <v>0</v>
      </c>
      <c r="CK11" s="3341">
        <f t="shared" si="40"/>
        <v>0</v>
      </c>
      <c r="CL11" s="3349">
        <f t="shared" si="56"/>
        <v>0</v>
      </c>
      <c r="CM11" s="4211">
        <f t="shared" si="41"/>
        <v>0</v>
      </c>
      <c r="CN11" s="1434"/>
      <c r="CP11" s="4200"/>
      <c r="CQ11" s="2012">
        <f t="shared" si="42"/>
        <v>0</v>
      </c>
      <c r="CR11" s="4202">
        <f t="shared" si="57"/>
        <v>0</v>
      </c>
      <c r="CT11" s="2624"/>
    </row>
    <row r="12" spans="1:99" s="1396" customFormat="1" ht="13.8" outlineLevel="2">
      <c r="A12" s="1571"/>
      <c r="B12" s="1424" t="s">
        <v>73</v>
      </c>
      <c r="C12" s="3341"/>
      <c r="D12" s="3341"/>
      <c r="E12" s="3349">
        <f t="shared" si="20"/>
        <v>0</v>
      </c>
      <c r="F12" s="4211" t="e">
        <f t="shared" si="17"/>
        <v>#DIV/0!</v>
      </c>
      <c r="G12" s="1055"/>
      <c r="H12" s="3341"/>
      <c r="I12" s="3341"/>
      <c r="J12" s="3349">
        <f t="shared" si="21"/>
        <v>0</v>
      </c>
      <c r="K12" s="4211">
        <f t="shared" si="43"/>
        <v>0</v>
      </c>
      <c r="L12" s="1055"/>
      <c r="M12" s="3341"/>
      <c r="N12" s="3341"/>
      <c r="O12" s="3349">
        <f t="shared" si="22"/>
        <v>0</v>
      </c>
      <c r="P12" s="4211">
        <f t="shared" si="23"/>
        <v>0</v>
      </c>
      <c r="Q12" s="1055"/>
      <c r="R12" s="3342">
        <f t="shared" si="24"/>
        <v>0</v>
      </c>
      <c r="S12" s="3342">
        <f t="shared" si="24"/>
        <v>0</v>
      </c>
      <c r="T12" s="2012">
        <f t="shared" si="25"/>
        <v>0</v>
      </c>
      <c r="U12" s="1055"/>
      <c r="V12" s="1055"/>
      <c r="W12" s="3342">
        <f t="shared" si="26"/>
        <v>0</v>
      </c>
      <c r="X12" s="3342">
        <f t="shared" si="26"/>
        <v>0</v>
      </c>
      <c r="Y12" s="2012">
        <f t="shared" si="27"/>
        <v>0</v>
      </c>
      <c r="Z12" s="1055"/>
      <c r="AA12" s="1055"/>
      <c r="AB12" s="3349"/>
      <c r="AC12" s="3349"/>
      <c r="AD12" s="3349">
        <f t="shared" si="28"/>
        <v>0</v>
      </c>
      <c r="AE12" s="4211">
        <f t="shared" si="44"/>
        <v>0</v>
      </c>
      <c r="AF12" s="1055"/>
      <c r="AG12" s="3341"/>
      <c r="AH12" s="3341"/>
      <c r="AI12" s="3349">
        <f t="shared" si="29"/>
        <v>0</v>
      </c>
      <c r="AJ12" s="4211" t="e">
        <f t="shared" si="45"/>
        <v>#DIV/0!</v>
      </c>
      <c r="AK12" s="1055"/>
      <c r="AL12" s="3341"/>
      <c r="AM12" s="3341"/>
      <c r="AN12" s="3349">
        <f t="shared" si="30"/>
        <v>0</v>
      </c>
      <c r="AO12" s="4211">
        <f t="shared" si="46"/>
        <v>0</v>
      </c>
      <c r="AP12" s="3720"/>
      <c r="AQ12" s="3341"/>
      <c r="AR12" s="3341"/>
      <c r="AS12" s="3349">
        <f t="shared" si="31"/>
        <v>0</v>
      </c>
      <c r="AT12" s="4211">
        <f t="shared" si="47"/>
        <v>0</v>
      </c>
      <c r="AU12" s="1055"/>
      <c r="AV12" s="3341"/>
      <c r="AW12" s="3341"/>
      <c r="AX12" s="3349">
        <f t="shared" si="32"/>
        <v>0</v>
      </c>
      <c r="AY12" s="4211" t="e">
        <f t="shared" si="48"/>
        <v>#DIV/0!</v>
      </c>
      <c r="AZ12" s="1055"/>
      <c r="BA12" s="3341"/>
      <c r="BB12" s="3341"/>
      <c r="BC12" s="3349">
        <f t="shared" si="33"/>
        <v>0</v>
      </c>
      <c r="BD12" s="4211" t="e">
        <f t="shared" si="49"/>
        <v>#DIV/0!</v>
      </c>
      <c r="BE12" s="1055"/>
      <c r="BF12" s="3341"/>
      <c r="BG12" s="3341"/>
      <c r="BH12" s="3349">
        <f t="shared" si="34"/>
        <v>0</v>
      </c>
      <c r="BI12" s="4211" t="e">
        <f t="shared" si="50"/>
        <v>#DIV/0!</v>
      </c>
      <c r="BJ12" s="1055"/>
      <c r="BK12" s="3341"/>
      <c r="BL12" s="3341"/>
      <c r="BM12" s="3349">
        <f t="shared" si="35"/>
        <v>0</v>
      </c>
      <c r="BN12" s="4211" t="e">
        <f t="shared" si="51"/>
        <v>#DIV/0!</v>
      </c>
      <c r="BO12" s="1055"/>
      <c r="BP12" s="3341"/>
      <c r="BQ12" s="3341"/>
      <c r="BR12" s="3349">
        <f t="shared" si="36"/>
        <v>0</v>
      </c>
      <c r="BS12" s="4211" t="e">
        <f t="shared" si="52"/>
        <v>#DIV/0!</v>
      </c>
      <c r="BT12" s="1055"/>
      <c r="BU12" s="3341"/>
      <c r="BV12" s="3341"/>
      <c r="BW12" s="3349">
        <f t="shared" si="37"/>
        <v>0</v>
      </c>
      <c r="BX12" s="4211" t="e">
        <f t="shared" si="53"/>
        <v>#DIV/0!</v>
      </c>
      <c r="BY12" s="1055"/>
      <c r="BZ12" s="3341"/>
      <c r="CA12" s="3341"/>
      <c r="CB12" s="3349">
        <f t="shared" si="38"/>
        <v>0</v>
      </c>
      <c r="CC12" s="4211" t="e">
        <f t="shared" si="54"/>
        <v>#DIV/0!</v>
      </c>
      <c r="CD12" s="1055"/>
      <c r="CE12" s="3341"/>
      <c r="CF12" s="3341"/>
      <c r="CG12" s="3349">
        <f t="shared" si="39"/>
        <v>0</v>
      </c>
      <c r="CH12" s="4211" t="e">
        <f t="shared" si="55"/>
        <v>#DIV/0!</v>
      </c>
      <c r="CI12" s="1055"/>
      <c r="CJ12" s="3341">
        <f t="shared" si="40"/>
        <v>0</v>
      </c>
      <c r="CK12" s="3341">
        <f t="shared" si="40"/>
        <v>0</v>
      </c>
      <c r="CL12" s="3349">
        <f t="shared" si="56"/>
        <v>0</v>
      </c>
      <c r="CM12" s="4211">
        <f t="shared" si="41"/>
        <v>0</v>
      </c>
      <c r="CN12" s="1434"/>
      <c r="CP12" s="4200"/>
      <c r="CQ12" s="2012">
        <f t="shared" si="42"/>
        <v>0</v>
      </c>
      <c r="CR12" s="4202">
        <f t="shared" si="57"/>
        <v>0</v>
      </c>
      <c r="CT12" s="2624"/>
    </row>
    <row r="13" spans="1:99" s="1396" customFormat="1" ht="13.8" outlineLevel="2">
      <c r="A13" s="1571"/>
      <c r="B13" s="1424" t="s">
        <v>71</v>
      </c>
      <c r="C13" s="3341"/>
      <c r="D13" s="3341"/>
      <c r="E13" s="3349">
        <f t="shared" si="20"/>
        <v>0</v>
      </c>
      <c r="F13" s="4211" t="e">
        <f t="shared" si="17"/>
        <v>#DIV/0!</v>
      </c>
      <c r="G13" s="1055"/>
      <c r="H13" s="3341"/>
      <c r="I13" s="3341"/>
      <c r="J13" s="3349">
        <f t="shared" si="21"/>
        <v>0</v>
      </c>
      <c r="K13" s="4211">
        <f t="shared" si="43"/>
        <v>0</v>
      </c>
      <c r="L13" s="1055"/>
      <c r="M13" s="3341"/>
      <c r="N13" s="3341"/>
      <c r="O13" s="3349">
        <f t="shared" si="22"/>
        <v>0</v>
      </c>
      <c r="P13" s="4211">
        <f t="shared" si="23"/>
        <v>0</v>
      </c>
      <c r="Q13" s="1055"/>
      <c r="R13" s="3342">
        <f t="shared" si="24"/>
        <v>0</v>
      </c>
      <c r="S13" s="3342">
        <f t="shared" si="24"/>
        <v>0</v>
      </c>
      <c r="T13" s="2012">
        <f t="shared" si="25"/>
        <v>0</v>
      </c>
      <c r="U13" s="1055"/>
      <c r="V13" s="1055"/>
      <c r="W13" s="3342">
        <f t="shared" si="26"/>
        <v>0</v>
      </c>
      <c r="X13" s="3342">
        <f t="shared" si="26"/>
        <v>0</v>
      </c>
      <c r="Y13" s="2012">
        <f t="shared" si="27"/>
        <v>0</v>
      </c>
      <c r="Z13" s="1055"/>
      <c r="AA13" s="1055"/>
      <c r="AB13" s="3349"/>
      <c r="AC13" s="3349"/>
      <c r="AD13" s="3349">
        <f t="shared" si="28"/>
        <v>0</v>
      </c>
      <c r="AE13" s="4211">
        <f t="shared" si="44"/>
        <v>0</v>
      </c>
      <c r="AF13" s="1055"/>
      <c r="AG13" s="3341"/>
      <c r="AH13" s="3341"/>
      <c r="AI13" s="3349">
        <f t="shared" si="29"/>
        <v>0</v>
      </c>
      <c r="AJ13" s="4211" t="e">
        <f t="shared" si="45"/>
        <v>#DIV/0!</v>
      </c>
      <c r="AK13" s="1055"/>
      <c r="AL13" s="3341"/>
      <c r="AM13" s="3341"/>
      <c r="AN13" s="3349">
        <f t="shared" si="30"/>
        <v>0</v>
      </c>
      <c r="AO13" s="4211">
        <f t="shared" si="46"/>
        <v>0</v>
      </c>
      <c r="AP13" s="3720"/>
      <c r="AQ13" s="3341"/>
      <c r="AR13" s="3341"/>
      <c r="AS13" s="3349">
        <f t="shared" si="31"/>
        <v>0</v>
      </c>
      <c r="AT13" s="4211">
        <f t="shared" si="47"/>
        <v>0</v>
      </c>
      <c r="AU13" s="1055"/>
      <c r="AV13" s="3341"/>
      <c r="AW13" s="3341"/>
      <c r="AX13" s="3349">
        <f t="shared" si="32"/>
        <v>0</v>
      </c>
      <c r="AY13" s="4211" t="e">
        <f t="shared" si="48"/>
        <v>#DIV/0!</v>
      </c>
      <c r="AZ13" s="1055"/>
      <c r="BA13" s="3341"/>
      <c r="BB13" s="3341"/>
      <c r="BC13" s="3349">
        <f t="shared" si="33"/>
        <v>0</v>
      </c>
      <c r="BD13" s="4211" t="e">
        <f t="shared" si="49"/>
        <v>#DIV/0!</v>
      </c>
      <c r="BE13" s="1055"/>
      <c r="BF13" s="3341"/>
      <c r="BG13" s="3341"/>
      <c r="BH13" s="3349">
        <f t="shared" si="34"/>
        <v>0</v>
      </c>
      <c r="BI13" s="4211" t="e">
        <f t="shared" si="50"/>
        <v>#DIV/0!</v>
      </c>
      <c r="BJ13" s="1055"/>
      <c r="BK13" s="3341"/>
      <c r="BL13" s="3341"/>
      <c r="BM13" s="3349">
        <f t="shared" si="35"/>
        <v>0</v>
      </c>
      <c r="BN13" s="4211" t="e">
        <f t="shared" si="51"/>
        <v>#DIV/0!</v>
      </c>
      <c r="BO13" s="1055"/>
      <c r="BP13" s="3341"/>
      <c r="BQ13" s="3341"/>
      <c r="BR13" s="3349">
        <f t="shared" si="36"/>
        <v>0</v>
      </c>
      <c r="BS13" s="4211" t="e">
        <f t="shared" si="52"/>
        <v>#DIV/0!</v>
      </c>
      <c r="BT13" s="1055"/>
      <c r="BU13" s="3341"/>
      <c r="BV13" s="3341"/>
      <c r="BW13" s="3349">
        <f t="shared" si="37"/>
        <v>0</v>
      </c>
      <c r="BX13" s="4211" t="e">
        <f t="shared" si="53"/>
        <v>#DIV/0!</v>
      </c>
      <c r="BY13" s="1055"/>
      <c r="BZ13" s="3341"/>
      <c r="CA13" s="3341"/>
      <c r="CB13" s="3349">
        <f t="shared" si="38"/>
        <v>0</v>
      </c>
      <c r="CC13" s="4211" t="e">
        <f t="shared" si="54"/>
        <v>#DIV/0!</v>
      </c>
      <c r="CD13" s="1055"/>
      <c r="CE13" s="3341"/>
      <c r="CF13" s="3341"/>
      <c r="CG13" s="3349">
        <f t="shared" si="39"/>
        <v>0</v>
      </c>
      <c r="CH13" s="4211" t="e">
        <f t="shared" si="55"/>
        <v>#DIV/0!</v>
      </c>
      <c r="CI13" s="1055"/>
      <c r="CJ13" s="3341">
        <f t="shared" si="40"/>
        <v>0</v>
      </c>
      <c r="CK13" s="3341">
        <f t="shared" si="40"/>
        <v>0</v>
      </c>
      <c r="CL13" s="3349">
        <f t="shared" si="56"/>
        <v>0</v>
      </c>
      <c r="CM13" s="4211">
        <f t="shared" si="41"/>
        <v>0</v>
      </c>
      <c r="CN13" s="1434"/>
      <c r="CP13" s="4200"/>
      <c r="CQ13" s="2012">
        <f t="shared" si="42"/>
        <v>0</v>
      </c>
      <c r="CR13" s="4202">
        <f t="shared" si="57"/>
        <v>0</v>
      </c>
      <c r="CT13" s="2624"/>
    </row>
    <row r="14" spans="1:99" s="1396" customFormat="1" ht="13.8" outlineLevel="2">
      <c r="A14" s="1571"/>
      <c r="B14" s="1424" t="s">
        <v>70</v>
      </c>
      <c r="C14" s="3341"/>
      <c r="D14" s="3341"/>
      <c r="E14" s="3349">
        <f t="shared" si="20"/>
        <v>0</v>
      </c>
      <c r="F14" s="4211" t="e">
        <f t="shared" si="17"/>
        <v>#DIV/0!</v>
      </c>
      <c r="G14" s="1055"/>
      <c r="H14" s="3341"/>
      <c r="I14" s="3341"/>
      <c r="J14" s="3349">
        <f t="shared" si="21"/>
        <v>0</v>
      </c>
      <c r="K14" s="4211">
        <f t="shared" si="43"/>
        <v>0</v>
      </c>
      <c r="L14" s="1055"/>
      <c r="M14" s="3341"/>
      <c r="N14" s="3341"/>
      <c r="O14" s="3349">
        <f t="shared" si="22"/>
        <v>0</v>
      </c>
      <c r="P14" s="4211">
        <f t="shared" si="23"/>
        <v>0</v>
      </c>
      <c r="Q14" s="1055"/>
      <c r="R14" s="3342">
        <f t="shared" si="24"/>
        <v>0</v>
      </c>
      <c r="S14" s="3342">
        <f t="shared" si="24"/>
        <v>0</v>
      </c>
      <c r="T14" s="2012">
        <f t="shared" si="25"/>
        <v>0</v>
      </c>
      <c r="U14" s="1055"/>
      <c r="V14" s="1055"/>
      <c r="W14" s="3342">
        <f t="shared" si="26"/>
        <v>0</v>
      </c>
      <c r="X14" s="3342">
        <f t="shared" si="26"/>
        <v>0</v>
      </c>
      <c r="Y14" s="2012">
        <f t="shared" si="27"/>
        <v>0</v>
      </c>
      <c r="Z14" s="1055"/>
      <c r="AA14" s="1055"/>
      <c r="AB14" s="3349"/>
      <c r="AC14" s="3349"/>
      <c r="AD14" s="3349">
        <f t="shared" si="28"/>
        <v>0</v>
      </c>
      <c r="AE14" s="4211">
        <f t="shared" si="44"/>
        <v>0</v>
      </c>
      <c r="AF14" s="1055"/>
      <c r="AG14" s="3341"/>
      <c r="AH14" s="3341"/>
      <c r="AI14" s="3349">
        <f t="shared" si="29"/>
        <v>0</v>
      </c>
      <c r="AJ14" s="4211" t="e">
        <f t="shared" si="45"/>
        <v>#DIV/0!</v>
      </c>
      <c r="AK14" s="1055"/>
      <c r="AL14" s="3341"/>
      <c r="AM14" s="3341"/>
      <c r="AN14" s="3349">
        <f t="shared" si="30"/>
        <v>0</v>
      </c>
      <c r="AO14" s="4211">
        <f t="shared" si="46"/>
        <v>0</v>
      </c>
      <c r="AP14" s="3720"/>
      <c r="AQ14" s="3341"/>
      <c r="AR14" s="3341"/>
      <c r="AS14" s="3349">
        <f t="shared" si="31"/>
        <v>0</v>
      </c>
      <c r="AT14" s="4211">
        <f t="shared" si="47"/>
        <v>0</v>
      </c>
      <c r="AU14" s="1055"/>
      <c r="AV14" s="3341"/>
      <c r="AW14" s="3341"/>
      <c r="AX14" s="3349">
        <f t="shared" si="32"/>
        <v>0</v>
      </c>
      <c r="AY14" s="4211" t="e">
        <f t="shared" si="48"/>
        <v>#DIV/0!</v>
      </c>
      <c r="AZ14" s="1055"/>
      <c r="BA14" s="3341"/>
      <c r="BB14" s="3341"/>
      <c r="BC14" s="3349">
        <f t="shared" si="33"/>
        <v>0</v>
      </c>
      <c r="BD14" s="4211" t="e">
        <f t="shared" si="49"/>
        <v>#DIV/0!</v>
      </c>
      <c r="BE14" s="1055"/>
      <c r="BF14" s="3341"/>
      <c r="BG14" s="3341"/>
      <c r="BH14" s="3349">
        <f t="shared" si="34"/>
        <v>0</v>
      </c>
      <c r="BI14" s="4211" t="e">
        <f t="shared" si="50"/>
        <v>#DIV/0!</v>
      </c>
      <c r="BJ14" s="1055"/>
      <c r="BK14" s="3341"/>
      <c r="BL14" s="3341"/>
      <c r="BM14" s="3349">
        <f t="shared" si="35"/>
        <v>0</v>
      </c>
      <c r="BN14" s="4211" t="e">
        <f t="shared" si="51"/>
        <v>#DIV/0!</v>
      </c>
      <c r="BO14" s="1055"/>
      <c r="BP14" s="3341"/>
      <c r="BQ14" s="3341"/>
      <c r="BR14" s="3349">
        <f t="shared" si="36"/>
        <v>0</v>
      </c>
      <c r="BS14" s="4211" t="e">
        <f t="shared" si="52"/>
        <v>#DIV/0!</v>
      </c>
      <c r="BT14" s="1055"/>
      <c r="BU14" s="3341"/>
      <c r="BV14" s="3341"/>
      <c r="BW14" s="3349">
        <f t="shared" si="37"/>
        <v>0</v>
      </c>
      <c r="BX14" s="4211" t="e">
        <f t="shared" si="53"/>
        <v>#DIV/0!</v>
      </c>
      <c r="BY14" s="1055"/>
      <c r="BZ14" s="3341"/>
      <c r="CA14" s="3341"/>
      <c r="CB14" s="3349">
        <f t="shared" si="38"/>
        <v>0</v>
      </c>
      <c r="CC14" s="4211" t="e">
        <f t="shared" si="54"/>
        <v>#DIV/0!</v>
      </c>
      <c r="CD14" s="1055"/>
      <c r="CE14" s="3341"/>
      <c r="CF14" s="3341"/>
      <c r="CG14" s="3349">
        <f t="shared" si="39"/>
        <v>0</v>
      </c>
      <c r="CH14" s="4211" t="e">
        <f t="shared" si="55"/>
        <v>#DIV/0!</v>
      </c>
      <c r="CI14" s="1055"/>
      <c r="CJ14" s="3341">
        <f t="shared" si="40"/>
        <v>0</v>
      </c>
      <c r="CK14" s="3341">
        <f t="shared" si="40"/>
        <v>0</v>
      </c>
      <c r="CL14" s="3349">
        <f t="shared" si="56"/>
        <v>0</v>
      </c>
      <c r="CM14" s="4211">
        <f t="shared" si="41"/>
        <v>0</v>
      </c>
      <c r="CN14" s="1434"/>
      <c r="CP14" s="4200"/>
      <c r="CQ14" s="2012">
        <f t="shared" si="42"/>
        <v>0</v>
      </c>
      <c r="CR14" s="4202">
        <f t="shared" si="57"/>
        <v>0</v>
      </c>
      <c r="CT14" s="2624"/>
    </row>
    <row r="15" spans="1:99" s="1396" customFormat="1" ht="13.8" outlineLevel="2">
      <c r="A15" s="1571"/>
      <c r="B15" s="4212" t="s">
        <v>20</v>
      </c>
      <c r="C15" s="3341"/>
      <c r="D15" s="3341"/>
      <c r="E15" s="3349">
        <f t="shared" si="20"/>
        <v>0</v>
      </c>
      <c r="F15" s="4211" t="e">
        <f t="shared" si="17"/>
        <v>#DIV/0!</v>
      </c>
      <c r="G15" s="1055"/>
      <c r="H15" s="3341"/>
      <c r="I15" s="3341"/>
      <c r="J15" s="3349">
        <f t="shared" si="21"/>
        <v>0</v>
      </c>
      <c r="K15" s="4211">
        <f t="shared" si="43"/>
        <v>0</v>
      </c>
      <c r="L15" s="1055"/>
      <c r="M15" s="3341"/>
      <c r="N15" s="3341"/>
      <c r="O15" s="3349">
        <f t="shared" si="22"/>
        <v>0</v>
      </c>
      <c r="P15" s="4211">
        <f t="shared" si="23"/>
        <v>0</v>
      </c>
      <c r="Q15" s="1055"/>
      <c r="R15" s="3342">
        <f t="shared" si="24"/>
        <v>0</v>
      </c>
      <c r="S15" s="3342">
        <f t="shared" si="24"/>
        <v>0</v>
      </c>
      <c r="T15" s="2012">
        <f t="shared" si="25"/>
        <v>0</v>
      </c>
      <c r="U15" s="1055"/>
      <c r="V15" s="1055"/>
      <c r="W15" s="3342">
        <f t="shared" si="26"/>
        <v>0</v>
      </c>
      <c r="X15" s="3342">
        <f t="shared" si="26"/>
        <v>0</v>
      </c>
      <c r="Y15" s="2012">
        <f t="shared" si="27"/>
        <v>0</v>
      </c>
      <c r="Z15" s="1055"/>
      <c r="AA15" s="1055"/>
      <c r="AB15" s="3349"/>
      <c r="AC15" s="3349"/>
      <c r="AD15" s="3349">
        <f t="shared" si="28"/>
        <v>0</v>
      </c>
      <c r="AE15" s="4211">
        <f t="shared" si="44"/>
        <v>0</v>
      </c>
      <c r="AF15" s="1055"/>
      <c r="AG15" s="3341"/>
      <c r="AH15" s="3341"/>
      <c r="AI15" s="3349">
        <f t="shared" si="29"/>
        <v>0</v>
      </c>
      <c r="AJ15" s="4211" t="e">
        <f t="shared" si="45"/>
        <v>#DIV/0!</v>
      </c>
      <c r="AK15" s="1055"/>
      <c r="AL15" s="3341"/>
      <c r="AM15" s="3341"/>
      <c r="AN15" s="3349">
        <f t="shared" si="30"/>
        <v>0</v>
      </c>
      <c r="AO15" s="4211">
        <f t="shared" si="46"/>
        <v>0</v>
      </c>
      <c r="AP15" s="3720"/>
      <c r="AQ15" s="3341"/>
      <c r="AR15" s="3341"/>
      <c r="AS15" s="3349">
        <f t="shared" si="31"/>
        <v>0</v>
      </c>
      <c r="AT15" s="4211">
        <f t="shared" si="47"/>
        <v>0</v>
      </c>
      <c r="AU15" s="1055"/>
      <c r="AV15" s="3341"/>
      <c r="AW15" s="3341"/>
      <c r="AX15" s="3349">
        <f t="shared" si="32"/>
        <v>0</v>
      </c>
      <c r="AY15" s="4211" t="e">
        <f t="shared" si="48"/>
        <v>#DIV/0!</v>
      </c>
      <c r="AZ15" s="1055"/>
      <c r="BA15" s="3341"/>
      <c r="BB15" s="3341"/>
      <c r="BC15" s="3349">
        <f t="shared" si="33"/>
        <v>0</v>
      </c>
      <c r="BD15" s="4211" t="e">
        <f t="shared" si="49"/>
        <v>#DIV/0!</v>
      </c>
      <c r="BE15" s="1055"/>
      <c r="BF15" s="3341"/>
      <c r="BG15" s="3341"/>
      <c r="BH15" s="3349">
        <f t="shared" si="34"/>
        <v>0</v>
      </c>
      <c r="BI15" s="4211" t="e">
        <f t="shared" si="50"/>
        <v>#DIV/0!</v>
      </c>
      <c r="BJ15" s="1055"/>
      <c r="BK15" s="3341"/>
      <c r="BL15" s="3341"/>
      <c r="BM15" s="3349">
        <f t="shared" si="35"/>
        <v>0</v>
      </c>
      <c r="BN15" s="4211" t="e">
        <f t="shared" si="51"/>
        <v>#DIV/0!</v>
      </c>
      <c r="BO15" s="1055"/>
      <c r="BP15" s="3341"/>
      <c r="BQ15" s="3341"/>
      <c r="BR15" s="3349">
        <f t="shared" si="36"/>
        <v>0</v>
      </c>
      <c r="BS15" s="4211" t="e">
        <f t="shared" si="52"/>
        <v>#DIV/0!</v>
      </c>
      <c r="BT15" s="1055"/>
      <c r="BU15" s="3341"/>
      <c r="BV15" s="3341"/>
      <c r="BW15" s="3349">
        <f t="shared" si="37"/>
        <v>0</v>
      </c>
      <c r="BX15" s="4211" t="e">
        <f t="shared" si="53"/>
        <v>#DIV/0!</v>
      </c>
      <c r="BY15" s="1055"/>
      <c r="BZ15" s="3341"/>
      <c r="CA15" s="3341"/>
      <c r="CB15" s="3349">
        <f t="shared" si="38"/>
        <v>0</v>
      </c>
      <c r="CC15" s="4211" t="e">
        <f t="shared" si="54"/>
        <v>#DIV/0!</v>
      </c>
      <c r="CD15" s="1055"/>
      <c r="CE15" s="3341"/>
      <c r="CF15" s="3341"/>
      <c r="CG15" s="3349">
        <f t="shared" si="39"/>
        <v>0</v>
      </c>
      <c r="CH15" s="4211" t="e">
        <f t="shared" si="55"/>
        <v>#DIV/0!</v>
      </c>
      <c r="CI15" s="1055"/>
      <c r="CJ15" s="3341">
        <f t="shared" si="40"/>
        <v>0</v>
      </c>
      <c r="CK15" s="3341">
        <f t="shared" si="40"/>
        <v>0</v>
      </c>
      <c r="CL15" s="3349">
        <f t="shared" si="56"/>
        <v>0</v>
      </c>
      <c r="CM15" s="4211">
        <f t="shared" si="41"/>
        <v>0</v>
      </c>
      <c r="CN15" s="1434"/>
      <c r="CP15" s="4200"/>
      <c r="CQ15" s="2012">
        <f t="shared" si="42"/>
        <v>0</v>
      </c>
      <c r="CR15" s="4202">
        <f t="shared" si="57"/>
        <v>0</v>
      </c>
      <c r="CT15" s="2624"/>
    </row>
    <row r="16" spans="1:99" s="1396" customFormat="1" ht="13.8" outlineLevel="2">
      <c r="A16" s="1571"/>
      <c r="B16" s="4212" t="s">
        <v>21</v>
      </c>
      <c r="C16" s="3341"/>
      <c r="D16" s="3341"/>
      <c r="E16" s="3349">
        <f t="shared" si="20"/>
        <v>0</v>
      </c>
      <c r="F16" s="4211" t="e">
        <f t="shared" si="17"/>
        <v>#DIV/0!</v>
      </c>
      <c r="G16" s="1055"/>
      <c r="H16" s="3341"/>
      <c r="I16" s="3341"/>
      <c r="J16" s="3349">
        <f t="shared" si="21"/>
        <v>0</v>
      </c>
      <c r="K16" s="4211">
        <f t="shared" si="43"/>
        <v>0</v>
      </c>
      <c r="L16" s="1055"/>
      <c r="M16" s="3341"/>
      <c r="N16" s="3341"/>
      <c r="O16" s="3349">
        <f t="shared" si="22"/>
        <v>0</v>
      </c>
      <c r="P16" s="4211">
        <f t="shared" si="23"/>
        <v>0</v>
      </c>
      <c r="Q16" s="1055"/>
      <c r="R16" s="3342">
        <f t="shared" si="24"/>
        <v>0</v>
      </c>
      <c r="S16" s="3342">
        <f t="shared" si="24"/>
        <v>0</v>
      </c>
      <c r="T16" s="2012">
        <f t="shared" si="25"/>
        <v>0</v>
      </c>
      <c r="U16" s="1055"/>
      <c r="V16" s="1055"/>
      <c r="W16" s="3342">
        <f t="shared" si="26"/>
        <v>0</v>
      </c>
      <c r="X16" s="3342">
        <f t="shared" si="26"/>
        <v>0</v>
      </c>
      <c r="Y16" s="2012">
        <f t="shared" si="27"/>
        <v>0</v>
      </c>
      <c r="Z16" s="1055"/>
      <c r="AA16" s="1055"/>
      <c r="AB16" s="3349"/>
      <c r="AC16" s="3349"/>
      <c r="AD16" s="3349">
        <f t="shared" si="28"/>
        <v>0</v>
      </c>
      <c r="AE16" s="4211">
        <f t="shared" si="44"/>
        <v>0</v>
      </c>
      <c r="AF16" s="1055"/>
      <c r="AG16" s="3341"/>
      <c r="AH16" s="3341"/>
      <c r="AI16" s="3349">
        <f t="shared" si="29"/>
        <v>0</v>
      </c>
      <c r="AJ16" s="4211" t="e">
        <f t="shared" si="45"/>
        <v>#DIV/0!</v>
      </c>
      <c r="AK16" s="1055"/>
      <c r="AL16" s="3341"/>
      <c r="AM16" s="3341"/>
      <c r="AN16" s="3349">
        <f t="shared" si="30"/>
        <v>0</v>
      </c>
      <c r="AO16" s="4211">
        <f t="shared" si="46"/>
        <v>0</v>
      </c>
      <c r="AP16" s="3720"/>
      <c r="AQ16" s="3341"/>
      <c r="AR16" s="3341"/>
      <c r="AS16" s="3349">
        <f t="shared" si="31"/>
        <v>0</v>
      </c>
      <c r="AT16" s="4211">
        <f t="shared" si="47"/>
        <v>0</v>
      </c>
      <c r="AU16" s="1055"/>
      <c r="AV16" s="3341"/>
      <c r="AW16" s="3341"/>
      <c r="AX16" s="3349">
        <f t="shared" si="32"/>
        <v>0</v>
      </c>
      <c r="AY16" s="4211" t="e">
        <f t="shared" si="48"/>
        <v>#DIV/0!</v>
      </c>
      <c r="AZ16" s="1055"/>
      <c r="BA16" s="3341"/>
      <c r="BB16" s="3341"/>
      <c r="BC16" s="3349">
        <f t="shared" si="33"/>
        <v>0</v>
      </c>
      <c r="BD16" s="4211" t="e">
        <f t="shared" si="49"/>
        <v>#DIV/0!</v>
      </c>
      <c r="BE16" s="1055"/>
      <c r="BF16" s="3341"/>
      <c r="BG16" s="3341"/>
      <c r="BH16" s="3349">
        <f t="shared" si="34"/>
        <v>0</v>
      </c>
      <c r="BI16" s="4211" t="e">
        <f t="shared" si="50"/>
        <v>#DIV/0!</v>
      </c>
      <c r="BJ16" s="1055"/>
      <c r="BK16" s="3341"/>
      <c r="BL16" s="3341"/>
      <c r="BM16" s="3349">
        <f t="shared" si="35"/>
        <v>0</v>
      </c>
      <c r="BN16" s="4211" t="e">
        <f t="shared" si="51"/>
        <v>#DIV/0!</v>
      </c>
      <c r="BO16" s="1055"/>
      <c r="BP16" s="3341"/>
      <c r="BQ16" s="3341"/>
      <c r="BR16" s="3349">
        <f t="shared" si="36"/>
        <v>0</v>
      </c>
      <c r="BS16" s="4211" t="e">
        <f t="shared" si="52"/>
        <v>#DIV/0!</v>
      </c>
      <c r="BT16" s="1055"/>
      <c r="BU16" s="3341"/>
      <c r="BV16" s="3341"/>
      <c r="BW16" s="3349">
        <f t="shared" si="37"/>
        <v>0</v>
      </c>
      <c r="BX16" s="4211" t="e">
        <f t="shared" si="53"/>
        <v>#DIV/0!</v>
      </c>
      <c r="BY16" s="1055"/>
      <c r="BZ16" s="3341"/>
      <c r="CA16" s="3341"/>
      <c r="CB16" s="3349">
        <f t="shared" si="38"/>
        <v>0</v>
      </c>
      <c r="CC16" s="4211" t="e">
        <f t="shared" si="54"/>
        <v>#DIV/0!</v>
      </c>
      <c r="CD16" s="1055"/>
      <c r="CE16" s="3341"/>
      <c r="CF16" s="3341"/>
      <c r="CG16" s="3349">
        <f t="shared" si="39"/>
        <v>0</v>
      </c>
      <c r="CH16" s="4211" t="e">
        <f t="shared" si="55"/>
        <v>#DIV/0!</v>
      </c>
      <c r="CI16" s="1055"/>
      <c r="CJ16" s="3341">
        <f t="shared" si="40"/>
        <v>0</v>
      </c>
      <c r="CK16" s="3341">
        <f t="shared" si="40"/>
        <v>0</v>
      </c>
      <c r="CL16" s="3349">
        <f>CJ16+CK16*1</f>
        <v>0</v>
      </c>
      <c r="CM16" s="4211">
        <f t="shared" si="41"/>
        <v>0</v>
      </c>
      <c r="CN16" s="1434"/>
      <c r="CP16" s="4200"/>
      <c r="CQ16" s="2012">
        <f t="shared" si="42"/>
        <v>0</v>
      </c>
      <c r="CR16" s="4202">
        <f t="shared" si="57"/>
        <v>0</v>
      </c>
      <c r="CT16" s="2624"/>
    </row>
    <row r="17" spans="1:100" s="1396" customFormat="1" ht="13.8" outlineLevel="2">
      <c r="A17" s="1571"/>
      <c r="B17" s="4212" t="s">
        <v>22</v>
      </c>
      <c r="C17" s="3341"/>
      <c r="D17" s="3341"/>
      <c r="E17" s="3349">
        <f t="shared" si="20"/>
        <v>0</v>
      </c>
      <c r="F17" s="4211" t="e">
        <f t="shared" si="17"/>
        <v>#DIV/0!</v>
      </c>
      <c r="G17" s="2047"/>
      <c r="H17" s="3341"/>
      <c r="I17" s="3341"/>
      <c r="J17" s="3349">
        <f t="shared" si="21"/>
        <v>0</v>
      </c>
      <c r="K17" s="4211">
        <f t="shared" si="43"/>
        <v>0</v>
      </c>
      <c r="L17" s="2047"/>
      <c r="M17" s="3341"/>
      <c r="N17" s="3341"/>
      <c r="O17" s="3349">
        <f t="shared" si="22"/>
        <v>0</v>
      </c>
      <c r="P17" s="4211">
        <f t="shared" si="23"/>
        <v>0</v>
      </c>
      <c r="Q17" s="2047"/>
      <c r="R17" s="3342">
        <f t="shared" si="24"/>
        <v>0</v>
      </c>
      <c r="S17" s="3342">
        <f t="shared" si="24"/>
        <v>0</v>
      </c>
      <c r="T17" s="2012">
        <f t="shared" si="25"/>
        <v>0</v>
      </c>
      <c r="U17" s="2047"/>
      <c r="V17" s="2047"/>
      <c r="W17" s="3342">
        <f t="shared" si="26"/>
        <v>0</v>
      </c>
      <c r="X17" s="3342">
        <f t="shared" si="26"/>
        <v>0</v>
      </c>
      <c r="Y17" s="2012">
        <f t="shared" si="27"/>
        <v>0</v>
      </c>
      <c r="Z17" s="2047"/>
      <c r="AA17" s="2047"/>
      <c r="AB17" s="3349"/>
      <c r="AC17" s="3349"/>
      <c r="AD17" s="3349">
        <f t="shared" si="28"/>
        <v>0</v>
      </c>
      <c r="AE17" s="4211">
        <f t="shared" si="44"/>
        <v>0</v>
      </c>
      <c r="AF17" s="2047"/>
      <c r="AG17" s="3341"/>
      <c r="AH17" s="3341"/>
      <c r="AI17" s="3349">
        <f t="shared" si="29"/>
        <v>0</v>
      </c>
      <c r="AJ17" s="4211" t="e">
        <f t="shared" si="45"/>
        <v>#DIV/0!</v>
      </c>
      <c r="AK17" s="2047"/>
      <c r="AL17" s="3341"/>
      <c r="AM17" s="3341"/>
      <c r="AN17" s="3349">
        <f t="shared" si="30"/>
        <v>0</v>
      </c>
      <c r="AO17" s="4211">
        <f t="shared" si="46"/>
        <v>0</v>
      </c>
      <c r="AP17" s="3780"/>
      <c r="AQ17" s="3341"/>
      <c r="AR17" s="3341"/>
      <c r="AS17" s="3349">
        <f t="shared" si="31"/>
        <v>0</v>
      </c>
      <c r="AT17" s="4211">
        <f t="shared" si="47"/>
        <v>0</v>
      </c>
      <c r="AU17" s="2047"/>
      <c r="AV17" s="3341"/>
      <c r="AW17" s="3341"/>
      <c r="AX17" s="3349">
        <f t="shared" si="32"/>
        <v>0</v>
      </c>
      <c r="AY17" s="4211" t="e">
        <f t="shared" si="48"/>
        <v>#DIV/0!</v>
      </c>
      <c r="AZ17" s="2047"/>
      <c r="BA17" s="3341"/>
      <c r="BB17" s="3341"/>
      <c r="BC17" s="3349">
        <f t="shared" si="33"/>
        <v>0</v>
      </c>
      <c r="BD17" s="4211" t="e">
        <f t="shared" si="49"/>
        <v>#DIV/0!</v>
      </c>
      <c r="BE17" s="2047"/>
      <c r="BF17" s="3341"/>
      <c r="BG17" s="3341"/>
      <c r="BH17" s="3349">
        <f t="shared" si="34"/>
        <v>0</v>
      </c>
      <c r="BI17" s="4211" t="e">
        <f t="shared" si="50"/>
        <v>#DIV/0!</v>
      </c>
      <c r="BJ17" s="2047"/>
      <c r="BK17" s="3341"/>
      <c r="BL17" s="3341"/>
      <c r="BM17" s="3349">
        <f t="shared" si="35"/>
        <v>0</v>
      </c>
      <c r="BN17" s="4211" t="e">
        <f t="shared" si="51"/>
        <v>#DIV/0!</v>
      </c>
      <c r="BO17" s="2047"/>
      <c r="BP17" s="3341"/>
      <c r="BQ17" s="3341"/>
      <c r="BR17" s="3349">
        <f t="shared" si="36"/>
        <v>0</v>
      </c>
      <c r="BS17" s="4211" t="e">
        <f t="shared" si="52"/>
        <v>#DIV/0!</v>
      </c>
      <c r="BT17" s="2047"/>
      <c r="BU17" s="3341"/>
      <c r="BV17" s="3341"/>
      <c r="BW17" s="3349">
        <f t="shared" si="37"/>
        <v>0</v>
      </c>
      <c r="BX17" s="4211" t="e">
        <f t="shared" si="53"/>
        <v>#DIV/0!</v>
      </c>
      <c r="BY17" s="2047"/>
      <c r="BZ17" s="3341"/>
      <c r="CA17" s="3341"/>
      <c r="CB17" s="3349">
        <f t="shared" si="38"/>
        <v>0</v>
      </c>
      <c r="CC17" s="4211" t="e">
        <f t="shared" si="54"/>
        <v>#DIV/0!</v>
      </c>
      <c r="CD17" s="2047"/>
      <c r="CE17" s="3341"/>
      <c r="CF17" s="3341"/>
      <c r="CG17" s="3349">
        <f t="shared" si="39"/>
        <v>0</v>
      </c>
      <c r="CH17" s="4211" t="e">
        <f t="shared" si="55"/>
        <v>#DIV/0!</v>
      </c>
      <c r="CI17" s="2047"/>
      <c r="CJ17" s="3341">
        <f t="shared" si="40"/>
        <v>0</v>
      </c>
      <c r="CK17" s="3341">
        <f t="shared" si="40"/>
        <v>0</v>
      </c>
      <c r="CL17" s="3349">
        <f t="shared" si="56"/>
        <v>0</v>
      </c>
      <c r="CM17" s="4211">
        <f t="shared" si="41"/>
        <v>0</v>
      </c>
      <c r="CN17" s="1434"/>
      <c r="CP17" s="4200"/>
      <c r="CQ17" s="2012">
        <f t="shared" si="42"/>
        <v>0</v>
      </c>
      <c r="CR17" s="4202">
        <f t="shared" si="57"/>
        <v>0</v>
      </c>
      <c r="CS17" s="3307"/>
      <c r="CT17" s="3443"/>
    </row>
    <row r="18" spans="1:100" s="1396" customFormat="1" ht="13.8" outlineLevel="2">
      <c r="A18" s="1571"/>
      <c r="B18" s="4212" t="s">
        <v>0</v>
      </c>
      <c r="C18" s="3341"/>
      <c r="D18" s="3341"/>
      <c r="E18" s="3349">
        <f t="shared" si="20"/>
        <v>0</v>
      </c>
      <c r="F18" s="4211" t="e">
        <f t="shared" si="17"/>
        <v>#DIV/0!</v>
      </c>
      <c r="G18" s="1055"/>
      <c r="H18" s="3341"/>
      <c r="I18" s="3341"/>
      <c r="J18" s="3349">
        <f t="shared" si="21"/>
        <v>0</v>
      </c>
      <c r="K18" s="4211">
        <f t="shared" si="43"/>
        <v>0</v>
      </c>
      <c r="L18" s="1055"/>
      <c r="M18" s="3341"/>
      <c r="N18" s="3341"/>
      <c r="O18" s="3349">
        <f t="shared" si="22"/>
        <v>0</v>
      </c>
      <c r="P18" s="4211">
        <f t="shared" si="23"/>
        <v>0</v>
      </c>
      <c r="Q18" s="1055"/>
      <c r="R18" s="3342">
        <f t="shared" si="24"/>
        <v>0</v>
      </c>
      <c r="S18" s="3342">
        <f t="shared" si="24"/>
        <v>0</v>
      </c>
      <c r="T18" s="2012">
        <f t="shared" si="25"/>
        <v>0</v>
      </c>
      <c r="U18" s="1055"/>
      <c r="V18" s="1055"/>
      <c r="W18" s="3342">
        <f t="shared" si="26"/>
        <v>0</v>
      </c>
      <c r="X18" s="3342">
        <f t="shared" si="26"/>
        <v>0</v>
      </c>
      <c r="Y18" s="2012">
        <f t="shared" si="27"/>
        <v>0</v>
      </c>
      <c r="Z18" s="1055"/>
      <c r="AA18" s="1055"/>
      <c r="AB18" s="3349"/>
      <c r="AC18" s="3349"/>
      <c r="AD18" s="3349">
        <f t="shared" si="28"/>
        <v>0</v>
      </c>
      <c r="AE18" s="4211">
        <f t="shared" si="44"/>
        <v>0</v>
      </c>
      <c r="AF18" s="1055"/>
      <c r="AG18" s="3341"/>
      <c r="AH18" s="3341"/>
      <c r="AI18" s="3349">
        <f t="shared" si="29"/>
        <v>0</v>
      </c>
      <c r="AJ18" s="4211" t="e">
        <f t="shared" si="45"/>
        <v>#DIV/0!</v>
      </c>
      <c r="AK18" s="1055"/>
      <c r="AL18" s="3341"/>
      <c r="AM18" s="3341"/>
      <c r="AN18" s="3349">
        <f t="shared" si="30"/>
        <v>0</v>
      </c>
      <c r="AO18" s="4211">
        <f t="shared" si="46"/>
        <v>0</v>
      </c>
      <c r="AP18" s="3720"/>
      <c r="AQ18" s="3341"/>
      <c r="AR18" s="3341"/>
      <c r="AS18" s="3349">
        <f t="shared" si="31"/>
        <v>0</v>
      </c>
      <c r="AT18" s="4211">
        <f t="shared" si="47"/>
        <v>0</v>
      </c>
      <c r="AU18" s="1055"/>
      <c r="AV18" s="3341"/>
      <c r="AW18" s="3341"/>
      <c r="AX18" s="3349">
        <f t="shared" si="32"/>
        <v>0</v>
      </c>
      <c r="AY18" s="4211" t="e">
        <f t="shared" si="48"/>
        <v>#DIV/0!</v>
      </c>
      <c r="AZ18" s="1055"/>
      <c r="BA18" s="3341"/>
      <c r="BB18" s="3341"/>
      <c r="BC18" s="3349">
        <f t="shared" si="33"/>
        <v>0</v>
      </c>
      <c r="BD18" s="4211" t="e">
        <f t="shared" si="49"/>
        <v>#DIV/0!</v>
      </c>
      <c r="BE18" s="1055"/>
      <c r="BF18" s="3341"/>
      <c r="BG18" s="3341"/>
      <c r="BH18" s="3349">
        <f t="shared" si="34"/>
        <v>0</v>
      </c>
      <c r="BI18" s="4211" t="e">
        <f t="shared" si="50"/>
        <v>#DIV/0!</v>
      </c>
      <c r="BJ18" s="1055"/>
      <c r="BK18" s="3341"/>
      <c r="BL18" s="3341"/>
      <c r="BM18" s="3349">
        <f t="shared" si="35"/>
        <v>0</v>
      </c>
      <c r="BN18" s="4211" t="e">
        <f t="shared" si="51"/>
        <v>#DIV/0!</v>
      </c>
      <c r="BO18" s="1055"/>
      <c r="BP18" s="3341"/>
      <c r="BQ18" s="3341"/>
      <c r="BR18" s="3349">
        <f t="shared" si="36"/>
        <v>0</v>
      </c>
      <c r="BS18" s="4211" t="e">
        <f t="shared" si="52"/>
        <v>#DIV/0!</v>
      </c>
      <c r="BT18" s="1055"/>
      <c r="BU18" s="3341"/>
      <c r="BV18" s="3341"/>
      <c r="BW18" s="3349">
        <f t="shared" si="37"/>
        <v>0</v>
      </c>
      <c r="BX18" s="4211" t="e">
        <f t="shared" si="53"/>
        <v>#DIV/0!</v>
      </c>
      <c r="BY18" s="1055"/>
      <c r="BZ18" s="3341"/>
      <c r="CA18" s="3341"/>
      <c r="CB18" s="3349">
        <f t="shared" si="38"/>
        <v>0</v>
      </c>
      <c r="CC18" s="4211" t="e">
        <f t="shared" si="54"/>
        <v>#DIV/0!</v>
      </c>
      <c r="CD18" s="1055"/>
      <c r="CE18" s="3341"/>
      <c r="CF18" s="3341"/>
      <c r="CG18" s="3349">
        <f t="shared" si="39"/>
        <v>0</v>
      </c>
      <c r="CH18" s="4211" t="e">
        <f t="shared" si="55"/>
        <v>#DIV/0!</v>
      </c>
      <c r="CI18" s="1055"/>
      <c r="CJ18" s="3341">
        <f t="shared" si="40"/>
        <v>0</v>
      </c>
      <c r="CK18" s="3341">
        <f t="shared" si="40"/>
        <v>0</v>
      </c>
      <c r="CL18" s="3349">
        <f t="shared" si="56"/>
        <v>0</v>
      </c>
      <c r="CM18" s="4211">
        <f t="shared" si="41"/>
        <v>0</v>
      </c>
      <c r="CN18" s="1434"/>
      <c r="CP18" s="4200"/>
      <c r="CQ18" s="2012">
        <f t="shared" si="42"/>
        <v>0</v>
      </c>
      <c r="CR18" s="4202">
        <f t="shared" si="57"/>
        <v>0</v>
      </c>
      <c r="CT18" s="2624"/>
    </row>
    <row r="19" spans="1:100" s="1396" customFormat="1" ht="13.8" outlineLevel="2">
      <c r="A19" s="1571"/>
      <c r="B19" s="4212" t="s">
        <v>53</v>
      </c>
      <c r="C19" s="3341"/>
      <c r="D19" s="3341"/>
      <c r="E19" s="3349">
        <f t="shared" si="20"/>
        <v>0</v>
      </c>
      <c r="F19" s="4211" t="e">
        <f t="shared" si="17"/>
        <v>#DIV/0!</v>
      </c>
      <c r="G19" s="1055"/>
      <c r="H19" s="3341"/>
      <c r="I19" s="3341"/>
      <c r="J19" s="3349">
        <f t="shared" si="21"/>
        <v>0</v>
      </c>
      <c r="K19" s="4211">
        <f t="shared" si="43"/>
        <v>0</v>
      </c>
      <c r="L19" s="1055"/>
      <c r="M19" s="3341"/>
      <c r="N19" s="3341"/>
      <c r="O19" s="3349">
        <f t="shared" si="22"/>
        <v>0</v>
      </c>
      <c r="P19" s="4211">
        <f t="shared" si="23"/>
        <v>0</v>
      </c>
      <c r="Q19" s="1055"/>
      <c r="R19" s="3342">
        <f t="shared" si="24"/>
        <v>0</v>
      </c>
      <c r="S19" s="3342">
        <f t="shared" si="24"/>
        <v>0</v>
      </c>
      <c r="T19" s="2012">
        <f t="shared" si="25"/>
        <v>0</v>
      </c>
      <c r="U19" s="1055"/>
      <c r="V19" s="1055"/>
      <c r="W19" s="3342">
        <f t="shared" si="26"/>
        <v>0</v>
      </c>
      <c r="X19" s="3342">
        <f t="shared" si="26"/>
        <v>0</v>
      </c>
      <c r="Y19" s="2012">
        <f t="shared" si="27"/>
        <v>0</v>
      </c>
      <c r="Z19" s="1055"/>
      <c r="AA19" s="1055"/>
      <c r="AB19" s="3349"/>
      <c r="AC19" s="3349"/>
      <c r="AD19" s="3349">
        <f t="shared" si="28"/>
        <v>0</v>
      </c>
      <c r="AE19" s="4211">
        <f t="shared" si="44"/>
        <v>0</v>
      </c>
      <c r="AF19" s="1055"/>
      <c r="AG19" s="3341"/>
      <c r="AH19" s="3341"/>
      <c r="AI19" s="3349">
        <f t="shared" si="29"/>
        <v>0</v>
      </c>
      <c r="AJ19" s="4211" t="e">
        <f t="shared" si="45"/>
        <v>#DIV/0!</v>
      </c>
      <c r="AK19" s="1055"/>
      <c r="AL19" s="3341"/>
      <c r="AM19" s="3341"/>
      <c r="AN19" s="3349">
        <f t="shared" si="30"/>
        <v>0</v>
      </c>
      <c r="AO19" s="4211">
        <f t="shared" si="46"/>
        <v>0</v>
      </c>
      <c r="AP19" s="3720"/>
      <c r="AQ19" s="3341"/>
      <c r="AR19" s="3341"/>
      <c r="AS19" s="3349">
        <f t="shared" si="31"/>
        <v>0</v>
      </c>
      <c r="AT19" s="4211">
        <f t="shared" si="47"/>
        <v>0</v>
      </c>
      <c r="AU19" s="1055"/>
      <c r="AV19" s="3341"/>
      <c r="AW19" s="3341"/>
      <c r="AX19" s="3349">
        <f t="shared" si="32"/>
        <v>0</v>
      </c>
      <c r="AY19" s="4211" t="e">
        <f t="shared" si="48"/>
        <v>#DIV/0!</v>
      </c>
      <c r="AZ19" s="1055"/>
      <c r="BA19" s="3341"/>
      <c r="BB19" s="3341"/>
      <c r="BC19" s="3349">
        <f t="shared" si="33"/>
        <v>0</v>
      </c>
      <c r="BD19" s="4211" t="e">
        <f t="shared" si="49"/>
        <v>#DIV/0!</v>
      </c>
      <c r="BE19" s="1055"/>
      <c r="BF19" s="3341"/>
      <c r="BG19" s="3341"/>
      <c r="BH19" s="3349">
        <f t="shared" si="34"/>
        <v>0</v>
      </c>
      <c r="BI19" s="4211" t="e">
        <f t="shared" si="50"/>
        <v>#DIV/0!</v>
      </c>
      <c r="BJ19" s="1055"/>
      <c r="BK19" s="3341"/>
      <c r="BL19" s="3341"/>
      <c r="BM19" s="3349">
        <f t="shared" si="35"/>
        <v>0</v>
      </c>
      <c r="BN19" s="4211" t="e">
        <f t="shared" si="51"/>
        <v>#DIV/0!</v>
      </c>
      <c r="BO19" s="1055"/>
      <c r="BP19" s="3341"/>
      <c r="BQ19" s="3341"/>
      <c r="BR19" s="3349">
        <f t="shared" si="36"/>
        <v>0</v>
      </c>
      <c r="BS19" s="4211" t="e">
        <f t="shared" si="52"/>
        <v>#DIV/0!</v>
      </c>
      <c r="BT19" s="1055"/>
      <c r="BU19" s="3341"/>
      <c r="BV19" s="3341"/>
      <c r="BW19" s="3349">
        <f t="shared" si="37"/>
        <v>0</v>
      </c>
      <c r="BX19" s="4211" t="e">
        <f t="shared" si="53"/>
        <v>#DIV/0!</v>
      </c>
      <c r="BY19" s="1055"/>
      <c r="BZ19" s="3341"/>
      <c r="CA19" s="3341"/>
      <c r="CB19" s="3349">
        <f t="shared" si="38"/>
        <v>0</v>
      </c>
      <c r="CC19" s="4211" t="e">
        <f t="shared" si="54"/>
        <v>#DIV/0!</v>
      </c>
      <c r="CD19" s="1055"/>
      <c r="CE19" s="3341"/>
      <c r="CF19" s="3341"/>
      <c r="CG19" s="3349">
        <f t="shared" si="39"/>
        <v>0</v>
      </c>
      <c r="CH19" s="4211" t="e">
        <f t="shared" si="55"/>
        <v>#DIV/0!</v>
      </c>
      <c r="CI19" s="1055"/>
      <c r="CJ19" s="3341">
        <f t="shared" si="40"/>
        <v>0</v>
      </c>
      <c r="CK19" s="3341">
        <f t="shared" si="40"/>
        <v>0</v>
      </c>
      <c r="CL19" s="3349">
        <f t="shared" si="56"/>
        <v>0</v>
      </c>
      <c r="CM19" s="4211">
        <f t="shared" si="41"/>
        <v>0</v>
      </c>
      <c r="CN19" s="1434"/>
      <c r="CP19" s="4200"/>
      <c r="CQ19" s="2012">
        <f t="shared" si="42"/>
        <v>0</v>
      </c>
      <c r="CR19" s="4202">
        <f t="shared" si="57"/>
        <v>0</v>
      </c>
      <c r="CT19" s="2624"/>
    </row>
    <row r="20" spans="1:100" s="1396" customFormat="1" ht="13.8" outlineLevel="2">
      <c r="A20" s="1571"/>
      <c r="B20" s="4212" t="s">
        <v>57</v>
      </c>
      <c r="C20" s="3341"/>
      <c r="D20" s="3341"/>
      <c r="E20" s="3349">
        <f t="shared" si="20"/>
        <v>0</v>
      </c>
      <c r="F20" s="4211" t="e">
        <f t="shared" si="17"/>
        <v>#DIV/0!</v>
      </c>
      <c r="G20" s="1055"/>
      <c r="H20" s="3341"/>
      <c r="I20" s="3341"/>
      <c r="J20" s="3349">
        <f t="shared" si="21"/>
        <v>0</v>
      </c>
      <c r="K20" s="4211">
        <f t="shared" si="43"/>
        <v>0</v>
      </c>
      <c r="L20" s="1055"/>
      <c r="M20" s="3341"/>
      <c r="N20" s="3341"/>
      <c r="O20" s="3349">
        <f t="shared" si="22"/>
        <v>0</v>
      </c>
      <c r="P20" s="4211">
        <f t="shared" si="23"/>
        <v>0</v>
      </c>
      <c r="Q20" s="1055"/>
      <c r="R20" s="3342">
        <f t="shared" si="24"/>
        <v>0</v>
      </c>
      <c r="S20" s="3342">
        <f t="shared" si="24"/>
        <v>0</v>
      </c>
      <c r="T20" s="2012">
        <f t="shared" si="25"/>
        <v>0</v>
      </c>
      <c r="U20" s="1055"/>
      <c r="V20" s="1055"/>
      <c r="W20" s="3342">
        <f t="shared" si="26"/>
        <v>0</v>
      </c>
      <c r="X20" s="3342">
        <f t="shared" si="26"/>
        <v>0</v>
      </c>
      <c r="Y20" s="2012">
        <f t="shared" si="27"/>
        <v>0</v>
      </c>
      <c r="Z20" s="1055"/>
      <c r="AA20" s="1055"/>
      <c r="AB20" s="3349"/>
      <c r="AC20" s="3349"/>
      <c r="AD20" s="3349">
        <f t="shared" si="28"/>
        <v>0</v>
      </c>
      <c r="AE20" s="4211">
        <f t="shared" si="44"/>
        <v>0</v>
      </c>
      <c r="AF20" s="1055"/>
      <c r="AG20" s="3341"/>
      <c r="AH20" s="3341"/>
      <c r="AI20" s="3349">
        <f t="shared" si="29"/>
        <v>0</v>
      </c>
      <c r="AJ20" s="4211" t="e">
        <f t="shared" si="45"/>
        <v>#DIV/0!</v>
      </c>
      <c r="AK20" s="1055"/>
      <c r="AL20" s="3341"/>
      <c r="AM20" s="3341"/>
      <c r="AN20" s="3349">
        <f t="shared" si="30"/>
        <v>0</v>
      </c>
      <c r="AO20" s="4211">
        <f t="shared" si="46"/>
        <v>0</v>
      </c>
      <c r="AP20" s="3720"/>
      <c r="AQ20" s="3341"/>
      <c r="AR20" s="3341"/>
      <c r="AS20" s="3349">
        <f t="shared" si="31"/>
        <v>0</v>
      </c>
      <c r="AT20" s="4211">
        <f t="shared" si="47"/>
        <v>0</v>
      </c>
      <c r="AU20" s="1055"/>
      <c r="AV20" s="3341"/>
      <c r="AW20" s="3341"/>
      <c r="AX20" s="3349">
        <f t="shared" si="32"/>
        <v>0</v>
      </c>
      <c r="AY20" s="4211" t="e">
        <f t="shared" si="48"/>
        <v>#DIV/0!</v>
      </c>
      <c r="AZ20" s="1055"/>
      <c r="BA20" s="3341"/>
      <c r="BB20" s="3341"/>
      <c r="BC20" s="3349">
        <f t="shared" si="33"/>
        <v>0</v>
      </c>
      <c r="BD20" s="4211" t="e">
        <f t="shared" si="49"/>
        <v>#DIV/0!</v>
      </c>
      <c r="BE20" s="1055"/>
      <c r="BF20" s="3341"/>
      <c r="BG20" s="3341"/>
      <c r="BH20" s="3349">
        <f t="shared" si="34"/>
        <v>0</v>
      </c>
      <c r="BI20" s="4211" t="e">
        <f t="shared" si="50"/>
        <v>#DIV/0!</v>
      </c>
      <c r="BJ20" s="1055"/>
      <c r="BK20" s="3341"/>
      <c r="BL20" s="3341"/>
      <c r="BM20" s="3349">
        <f t="shared" si="35"/>
        <v>0</v>
      </c>
      <c r="BN20" s="4211" t="e">
        <f t="shared" si="51"/>
        <v>#DIV/0!</v>
      </c>
      <c r="BO20" s="1055"/>
      <c r="BP20" s="3341"/>
      <c r="BQ20" s="3341"/>
      <c r="BR20" s="3349">
        <f t="shared" si="36"/>
        <v>0</v>
      </c>
      <c r="BS20" s="4211" t="e">
        <f t="shared" si="52"/>
        <v>#DIV/0!</v>
      </c>
      <c r="BT20" s="1055"/>
      <c r="BU20" s="3341"/>
      <c r="BV20" s="3341"/>
      <c r="BW20" s="3349">
        <f t="shared" si="37"/>
        <v>0</v>
      </c>
      <c r="BX20" s="4211" t="e">
        <f t="shared" si="53"/>
        <v>#DIV/0!</v>
      </c>
      <c r="BY20" s="1055"/>
      <c r="BZ20" s="3341"/>
      <c r="CA20" s="3341"/>
      <c r="CB20" s="3349">
        <f t="shared" si="38"/>
        <v>0</v>
      </c>
      <c r="CC20" s="4211" t="e">
        <f t="shared" si="54"/>
        <v>#DIV/0!</v>
      </c>
      <c r="CD20" s="1055"/>
      <c r="CE20" s="3341"/>
      <c r="CF20" s="3341"/>
      <c r="CG20" s="3349">
        <f t="shared" si="39"/>
        <v>0</v>
      </c>
      <c r="CH20" s="4211" t="e">
        <f t="shared" si="55"/>
        <v>#DIV/0!</v>
      </c>
      <c r="CI20" s="1055"/>
      <c r="CJ20" s="3341">
        <f t="shared" si="40"/>
        <v>0</v>
      </c>
      <c r="CK20" s="3341">
        <f t="shared" si="40"/>
        <v>0</v>
      </c>
      <c r="CL20" s="3349">
        <f t="shared" si="56"/>
        <v>0</v>
      </c>
      <c r="CM20" s="4211">
        <f t="shared" si="41"/>
        <v>0</v>
      </c>
      <c r="CN20" s="1434"/>
      <c r="CP20" s="4200"/>
      <c r="CQ20" s="2012">
        <f t="shared" si="42"/>
        <v>0</v>
      </c>
      <c r="CR20" s="4202">
        <f t="shared" si="57"/>
        <v>0</v>
      </c>
      <c r="CT20" s="2624"/>
    </row>
    <row r="21" spans="1:100" s="1396" customFormat="1" ht="13.8" outlineLevel="2">
      <c r="A21" s="1571"/>
      <c r="B21" s="4212" t="s">
        <v>58</v>
      </c>
      <c r="C21" s="3341"/>
      <c r="D21" s="3341"/>
      <c r="E21" s="3349">
        <f t="shared" si="20"/>
        <v>0</v>
      </c>
      <c r="F21" s="4211" t="e">
        <f t="shared" si="17"/>
        <v>#DIV/0!</v>
      </c>
      <c r="G21" s="1615"/>
      <c r="H21" s="3341"/>
      <c r="I21" s="3341"/>
      <c r="J21" s="3349">
        <f t="shared" si="21"/>
        <v>0</v>
      </c>
      <c r="K21" s="4211">
        <f t="shared" si="43"/>
        <v>0</v>
      </c>
      <c r="L21" s="1615"/>
      <c r="M21" s="3341"/>
      <c r="N21" s="3341"/>
      <c r="O21" s="3349">
        <f t="shared" si="22"/>
        <v>0</v>
      </c>
      <c r="P21" s="4211">
        <f t="shared" si="23"/>
        <v>0</v>
      </c>
      <c r="Q21" s="1615"/>
      <c r="R21" s="3342">
        <f t="shared" si="24"/>
        <v>0</v>
      </c>
      <c r="S21" s="3342">
        <f t="shared" si="24"/>
        <v>0</v>
      </c>
      <c r="T21" s="2012">
        <f t="shared" si="25"/>
        <v>0</v>
      </c>
      <c r="U21" s="1615"/>
      <c r="V21" s="1615"/>
      <c r="W21" s="3342">
        <f t="shared" si="26"/>
        <v>0</v>
      </c>
      <c r="X21" s="3342">
        <f t="shared" si="26"/>
        <v>0</v>
      </c>
      <c r="Y21" s="2012">
        <f t="shared" si="27"/>
        <v>0</v>
      </c>
      <c r="Z21" s="1615"/>
      <c r="AA21" s="1615"/>
      <c r="AB21" s="3349"/>
      <c r="AC21" s="3349"/>
      <c r="AD21" s="3349">
        <f t="shared" si="28"/>
        <v>0</v>
      </c>
      <c r="AE21" s="4211">
        <f t="shared" si="44"/>
        <v>0</v>
      </c>
      <c r="AF21" s="1615"/>
      <c r="AG21" s="3341"/>
      <c r="AH21" s="3341"/>
      <c r="AI21" s="3349">
        <f t="shared" si="29"/>
        <v>0</v>
      </c>
      <c r="AJ21" s="4211" t="e">
        <f t="shared" si="45"/>
        <v>#DIV/0!</v>
      </c>
      <c r="AK21" s="1615"/>
      <c r="AL21" s="3341"/>
      <c r="AM21" s="3341"/>
      <c r="AN21" s="3349">
        <f t="shared" si="30"/>
        <v>0</v>
      </c>
      <c r="AO21" s="4211">
        <f t="shared" si="46"/>
        <v>0</v>
      </c>
      <c r="AP21" s="3781"/>
      <c r="AQ21" s="3341"/>
      <c r="AR21" s="3341"/>
      <c r="AS21" s="3349">
        <f t="shared" si="31"/>
        <v>0</v>
      </c>
      <c r="AT21" s="4211">
        <f t="shared" si="47"/>
        <v>0</v>
      </c>
      <c r="AU21" s="1615"/>
      <c r="AV21" s="3341"/>
      <c r="AW21" s="3341"/>
      <c r="AX21" s="3349">
        <f t="shared" si="32"/>
        <v>0</v>
      </c>
      <c r="AY21" s="4211" t="e">
        <f t="shared" si="48"/>
        <v>#DIV/0!</v>
      </c>
      <c r="AZ21" s="1615"/>
      <c r="BA21" s="3341"/>
      <c r="BB21" s="3341"/>
      <c r="BC21" s="3349">
        <f t="shared" si="33"/>
        <v>0</v>
      </c>
      <c r="BD21" s="4211" t="e">
        <f t="shared" si="49"/>
        <v>#DIV/0!</v>
      </c>
      <c r="BE21" s="1615"/>
      <c r="BF21" s="3341"/>
      <c r="BG21" s="3341"/>
      <c r="BH21" s="3349">
        <f t="shared" si="34"/>
        <v>0</v>
      </c>
      <c r="BI21" s="4211" t="e">
        <f t="shared" si="50"/>
        <v>#DIV/0!</v>
      </c>
      <c r="BJ21" s="1615"/>
      <c r="BK21" s="3341"/>
      <c r="BL21" s="3341"/>
      <c r="BM21" s="3349">
        <f t="shared" si="35"/>
        <v>0</v>
      </c>
      <c r="BN21" s="4211" t="e">
        <f t="shared" si="51"/>
        <v>#DIV/0!</v>
      </c>
      <c r="BO21" s="1615"/>
      <c r="BP21" s="3341"/>
      <c r="BQ21" s="3341"/>
      <c r="BR21" s="3349">
        <f t="shared" si="36"/>
        <v>0</v>
      </c>
      <c r="BS21" s="4211" t="e">
        <f t="shared" si="52"/>
        <v>#DIV/0!</v>
      </c>
      <c r="BT21" s="1615"/>
      <c r="BU21" s="3341"/>
      <c r="BV21" s="3341"/>
      <c r="BW21" s="3349">
        <f t="shared" si="37"/>
        <v>0</v>
      </c>
      <c r="BX21" s="4211" t="e">
        <f t="shared" si="53"/>
        <v>#DIV/0!</v>
      </c>
      <c r="BY21" s="1615"/>
      <c r="BZ21" s="3341"/>
      <c r="CA21" s="3341"/>
      <c r="CB21" s="3349">
        <f t="shared" si="38"/>
        <v>0</v>
      </c>
      <c r="CC21" s="4211" t="e">
        <f t="shared" si="54"/>
        <v>#DIV/0!</v>
      </c>
      <c r="CD21" s="1615"/>
      <c r="CE21" s="3341"/>
      <c r="CF21" s="3341"/>
      <c r="CG21" s="3349">
        <f t="shared" si="39"/>
        <v>0</v>
      </c>
      <c r="CH21" s="4211" t="e">
        <f t="shared" si="55"/>
        <v>#DIV/0!</v>
      </c>
      <c r="CI21" s="1615"/>
      <c r="CJ21" s="3341">
        <f t="shared" si="40"/>
        <v>0</v>
      </c>
      <c r="CK21" s="3341">
        <f t="shared" si="40"/>
        <v>0</v>
      </c>
      <c r="CL21" s="3349">
        <f t="shared" si="56"/>
        <v>0</v>
      </c>
      <c r="CM21" s="4211">
        <f t="shared" si="41"/>
        <v>0</v>
      </c>
      <c r="CN21" s="1434"/>
      <c r="CP21" s="4200"/>
      <c r="CQ21" s="2012">
        <f t="shared" si="42"/>
        <v>0</v>
      </c>
      <c r="CR21" s="4202">
        <f t="shared" si="57"/>
        <v>0</v>
      </c>
      <c r="CT21" s="2624"/>
    </row>
    <row r="22" spans="1:100" s="1396" customFormat="1" ht="13.8" outlineLevel="2">
      <c r="A22" s="1571"/>
      <c r="B22" s="4212" t="s">
        <v>621</v>
      </c>
      <c r="C22" s="3341"/>
      <c r="D22" s="3341"/>
      <c r="E22" s="3349">
        <f t="shared" si="20"/>
        <v>0</v>
      </c>
      <c r="F22" s="4211" t="e">
        <f t="shared" si="17"/>
        <v>#DIV/0!</v>
      </c>
      <c r="G22" s="3342"/>
      <c r="H22" s="3341"/>
      <c r="I22" s="3341"/>
      <c r="J22" s="3349">
        <f t="shared" si="21"/>
        <v>0</v>
      </c>
      <c r="K22" s="4211">
        <f t="shared" si="43"/>
        <v>0</v>
      </c>
      <c r="L22" s="3342"/>
      <c r="M22" s="3341"/>
      <c r="N22" s="3341"/>
      <c r="O22" s="3349">
        <f t="shared" si="22"/>
        <v>0</v>
      </c>
      <c r="P22" s="4211">
        <f t="shared" si="23"/>
        <v>0</v>
      </c>
      <c r="Q22" s="3342"/>
      <c r="R22" s="3342">
        <f t="shared" si="24"/>
        <v>0</v>
      </c>
      <c r="S22" s="3342">
        <f t="shared" si="24"/>
        <v>0</v>
      </c>
      <c r="T22" s="2012">
        <f t="shared" si="25"/>
        <v>0</v>
      </c>
      <c r="U22" s="3342"/>
      <c r="V22" s="3342"/>
      <c r="W22" s="3342">
        <f t="shared" si="26"/>
        <v>0</v>
      </c>
      <c r="X22" s="3342">
        <f t="shared" si="26"/>
        <v>0</v>
      </c>
      <c r="Y22" s="2012">
        <f t="shared" si="27"/>
        <v>0</v>
      </c>
      <c r="Z22" s="3342"/>
      <c r="AA22" s="3342"/>
      <c r="AB22" s="3349"/>
      <c r="AC22" s="3349"/>
      <c r="AD22" s="3349">
        <f t="shared" si="28"/>
        <v>0</v>
      </c>
      <c r="AE22" s="4211">
        <f t="shared" si="44"/>
        <v>0</v>
      </c>
      <c r="AF22" s="3342"/>
      <c r="AG22" s="3341"/>
      <c r="AH22" s="3341"/>
      <c r="AI22" s="3349">
        <f t="shared" si="29"/>
        <v>0</v>
      </c>
      <c r="AJ22" s="4211" t="e">
        <f t="shared" si="45"/>
        <v>#DIV/0!</v>
      </c>
      <c r="AK22" s="3342"/>
      <c r="AL22" s="3341"/>
      <c r="AM22" s="3341"/>
      <c r="AN22" s="3349">
        <f t="shared" si="30"/>
        <v>0</v>
      </c>
      <c r="AO22" s="4211">
        <f t="shared" si="46"/>
        <v>0</v>
      </c>
      <c r="AP22" s="3409"/>
      <c r="AQ22" s="3341"/>
      <c r="AR22" s="3341"/>
      <c r="AS22" s="3349">
        <f t="shared" si="31"/>
        <v>0</v>
      </c>
      <c r="AT22" s="4211">
        <f t="shared" si="47"/>
        <v>0</v>
      </c>
      <c r="AU22" s="3342"/>
      <c r="AV22" s="3341"/>
      <c r="AW22" s="3341"/>
      <c r="AX22" s="3349">
        <f t="shared" si="32"/>
        <v>0</v>
      </c>
      <c r="AY22" s="4211" t="e">
        <f t="shared" si="48"/>
        <v>#DIV/0!</v>
      </c>
      <c r="AZ22" s="3342"/>
      <c r="BA22" s="3341"/>
      <c r="BB22" s="3341"/>
      <c r="BC22" s="3349">
        <f t="shared" si="33"/>
        <v>0</v>
      </c>
      <c r="BD22" s="4211" t="e">
        <f t="shared" si="49"/>
        <v>#DIV/0!</v>
      </c>
      <c r="BE22" s="3342"/>
      <c r="BF22" s="3341"/>
      <c r="BG22" s="3341"/>
      <c r="BH22" s="3349">
        <f t="shared" si="34"/>
        <v>0</v>
      </c>
      <c r="BI22" s="4211" t="e">
        <f t="shared" si="50"/>
        <v>#DIV/0!</v>
      </c>
      <c r="BJ22" s="3342"/>
      <c r="BK22" s="3341"/>
      <c r="BL22" s="3341"/>
      <c r="BM22" s="3349">
        <f t="shared" si="35"/>
        <v>0</v>
      </c>
      <c r="BN22" s="4211" t="e">
        <f t="shared" si="51"/>
        <v>#DIV/0!</v>
      </c>
      <c r="BO22" s="3342"/>
      <c r="BP22" s="3341"/>
      <c r="BQ22" s="3341"/>
      <c r="BR22" s="3349">
        <f t="shared" si="36"/>
        <v>0</v>
      </c>
      <c r="BS22" s="4211" t="e">
        <f t="shared" si="52"/>
        <v>#DIV/0!</v>
      </c>
      <c r="BT22" s="3342"/>
      <c r="BU22" s="3341"/>
      <c r="BV22" s="3341"/>
      <c r="BW22" s="3349">
        <f t="shared" si="37"/>
        <v>0</v>
      </c>
      <c r="BX22" s="4211" t="e">
        <f t="shared" si="53"/>
        <v>#DIV/0!</v>
      </c>
      <c r="BY22" s="3342"/>
      <c r="BZ22" s="3341"/>
      <c r="CA22" s="3341"/>
      <c r="CB22" s="3349">
        <f t="shared" si="38"/>
        <v>0</v>
      </c>
      <c r="CC22" s="4211" t="e">
        <f t="shared" si="54"/>
        <v>#DIV/0!</v>
      </c>
      <c r="CD22" s="3342"/>
      <c r="CE22" s="3341"/>
      <c r="CF22" s="3341"/>
      <c r="CG22" s="3349">
        <f t="shared" si="39"/>
        <v>0</v>
      </c>
      <c r="CH22" s="4211" t="e">
        <f t="shared" si="55"/>
        <v>#DIV/0!</v>
      </c>
      <c r="CI22" s="3342"/>
      <c r="CJ22" s="3341">
        <f t="shared" si="40"/>
        <v>0</v>
      </c>
      <c r="CK22" s="3341">
        <f t="shared" si="40"/>
        <v>0</v>
      </c>
      <c r="CL22" s="3349">
        <f t="shared" si="56"/>
        <v>0</v>
      </c>
      <c r="CM22" s="4211">
        <f t="shared" si="41"/>
        <v>0</v>
      </c>
      <c r="CN22" s="1434"/>
      <c r="CP22" s="4200"/>
      <c r="CQ22" s="2012">
        <f t="shared" si="42"/>
        <v>0</v>
      </c>
      <c r="CR22" s="4202">
        <f t="shared" si="57"/>
        <v>0</v>
      </c>
      <c r="CT22" s="3443">
        <f>CQ22</f>
        <v>0</v>
      </c>
    </row>
    <row r="23" spans="1:100" s="1396" customFormat="1" ht="13.8" outlineLevel="2">
      <c r="A23" s="1571"/>
      <c r="B23" s="4212" t="s">
        <v>630</v>
      </c>
      <c r="C23" s="3341"/>
      <c r="D23" s="3341"/>
      <c r="E23" s="3349">
        <f t="shared" si="20"/>
        <v>0</v>
      </c>
      <c r="F23" s="4211" t="e">
        <f t="shared" si="17"/>
        <v>#DIV/0!</v>
      </c>
      <c r="G23" s="1055"/>
      <c r="H23" s="3341"/>
      <c r="I23" s="3341"/>
      <c r="J23" s="3349">
        <f t="shared" si="21"/>
        <v>0</v>
      </c>
      <c r="K23" s="4211">
        <f t="shared" si="43"/>
        <v>0</v>
      </c>
      <c r="L23" s="1055"/>
      <c r="M23" s="3341"/>
      <c r="N23" s="3341"/>
      <c r="O23" s="3349">
        <f t="shared" si="22"/>
        <v>0</v>
      </c>
      <c r="P23" s="4211">
        <f t="shared" si="23"/>
        <v>0</v>
      </c>
      <c r="Q23" s="1055"/>
      <c r="R23" s="3342">
        <f t="shared" si="24"/>
        <v>0</v>
      </c>
      <c r="S23" s="3342">
        <f t="shared" si="24"/>
        <v>0</v>
      </c>
      <c r="T23" s="2012">
        <f t="shared" si="25"/>
        <v>0</v>
      </c>
      <c r="U23" s="1055"/>
      <c r="V23" s="1055"/>
      <c r="W23" s="3342">
        <f t="shared" si="26"/>
        <v>0</v>
      </c>
      <c r="X23" s="3342">
        <f t="shared" si="26"/>
        <v>0</v>
      </c>
      <c r="Y23" s="2012">
        <f t="shared" si="27"/>
        <v>0</v>
      </c>
      <c r="Z23" s="1055"/>
      <c r="AA23" s="1055"/>
      <c r="AB23" s="3349"/>
      <c r="AC23" s="3349"/>
      <c r="AD23" s="3349">
        <f t="shared" si="28"/>
        <v>0</v>
      </c>
      <c r="AE23" s="4211">
        <f t="shared" si="44"/>
        <v>0</v>
      </c>
      <c r="AF23" s="1055"/>
      <c r="AG23" s="3341"/>
      <c r="AH23" s="3341"/>
      <c r="AI23" s="3349">
        <f t="shared" si="29"/>
        <v>0</v>
      </c>
      <c r="AJ23" s="4211" t="e">
        <f t="shared" si="45"/>
        <v>#DIV/0!</v>
      </c>
      <c r="AK23" s="1055"/>
      <c r="AL23" s="3341"/>
      <c r="AM23" s="3341"/>
      <c r="AN23" s="3349">
        <f t="shared" si="30"/>
        <v>0</v>
      </c>
      <c r="AO23" s="4211">
        <f t="shared" si="46"/>
        <v>0</v>
      </c>
      <c r="AP23" s="3720"/>
      <c r="AQ23" s="3341"/>
      <c r="AR23" s="3341"/>
      <c r="AS23" s="3349">
        <f t="shared" si="31"/>
        <v>0</v>
      </c>
      <c r="AT23" s="4211">
        <f t="shared" si="47"/>
        <v>0</v>
      </c>
      <c r="AU23" s="1055"/>
      <c r="AV23" s="3341"/>
      <c r="AW23" s="3341"/>
      <c r="AX23" s="3349">
        <f t="shared" si="32"/>
        <v>0</v>
      </c>
      <c r="AY23" s="4211" t="e">
        <f t="shared" si="48"/>
        <v>#DIV/0!</v>
      </c>
      <c r="AZ23" s="1055"/>
      <c r="BA23" s="3341"/>
      <c r="BB23" s="3341"/>
      <c r="BC23" s="3349">
        <f t="shared" si="33"/>
        <v>0</v>
      </c>
      <c r="BD23" s="4211" t="e">
        <f t="shared" si="49"/>
        <v>#DIV/0!</v>
      </c>
      <c r="BE23" s="1055"/>
      <c r="BF23" s="3341"/>
      <c r="BG23" s="3341"/>
      <c r="BH23" s="3349">
        <f t="shared" si="34"/>
        <v>0</v>
      </c>
      <c r="BI23" s="4211" t="e">
        <f t="shared" si="50"/>
        <v>#DIV/0!</v>
      </c>
      <c r="BJ23" s="1055"/>
      <c r="BK23" s="3341"/>
      <c r="BL23" s="3341"/>
      <c r="BM23" s="3349">
        <f t="shared" si="35"/>
        <v>0</v>
      </c>
      <c r="BN23" s="4211" t="e">
        <f t="shared" si="51"/>
        <v>#DIV/0!</v>
      </c>
      <c r="BO23" s="1055"/>
      <c r="BP23" s="3341"/>
      <c r="BQ23" s="3341"/>
      <c r="BR23" s="3349">
        <f t="shared" si="36"/>
        <v>0</v>
      </c>
      <c r="BS23" s="4211" t="e">
        <f t="shared" si="52"/>
        <v>#DIV/0!</v>
      </c>
      <c r="BT23" s="1055"/>
      <c r="BU23" s="3341"/>
      <c r="BV23" s="3341"/>
      <c r="BW23" s="3349">
        <f t="shared" si="37"/>
        <v>0</v>
      </c>
      <c r="BX23" s="4211" t="e">
        <f t="shared" si="53"/>
        <v>#DIV/0!</v>
      </c>
      <c r="BY23" s="1055"/>
      <c r="BZ23" s="3341"/>
      <c r="CA23" s="3341"/>
      <c r="CB23" s="3349">
        <f t="shared" si="38"/>
        <v>0</v>
      </c>
      <c r="CC23" s="4211" t="e">
        <f t="shared" si="54"/>
        <v>#DIV/0!</v>
      </c>
      <c r="CD23" s="1055"/>
      <c r="CE23" s="3341"/>
      <c r="CF23" s="3341"/>
      <c r="CG23" s="3349">
        <f t="shared" si="39"/>
        <v>0</v>
      </c>
      <c r="CH23" s="4211" t="e">
        <f t="shared" si="55"/>
        <v>#DIV/0!</v>
      </c>
      <c r="CI23" s="1055"/>
      <c r="CJ23" s="3341">
        <f t="shared" si="40"/>
        <v>0</v>
      </c>
      <c r="CK23" s="3341">
        <f t="shared" si="40"/>
        <v>0</v>
      </c>
      <c r="CL23" s="3349">
        <f t="shared" si="56"/>
        <v>0</v>
      </c>
      <c r="CM23" s="4211">
        <f t="shared" si="41"/>
        <v>0</v>
      </c>
      <c r="CN23" s="1434"/>
      <c r="CP23" s="4200"/>
      <c r="CQ23" s="2012">
        <f t="shared" si="42"/>
        <v>0</v>
      </c>
      <c r="CR23" s="4202">
        <f t="shared" si="57"/>
        <v>0</v>
      </c>
      <c r="CT23" s="2624"/>
    </row>
    <row r="24" spans="1:100" s="1396" customFormat="1" ht="13.8" outlineLevel="2">
      <c r="A24" s="1571"/>
      <c r="B24" s="4212" t="s">
        <v>23</v>
      </c>
      <c r="C24" s="3341"/>
      <c r="D24" s="3341"/>
      <c r="E24" s="3349">
        <f t="shared" si="20"/>
        <v>0</v>
      </c>
      <c r="F24" s="4211" t="e">
        <f t="shared" si="17"/>
        <v>#DIV/0!</v>
      </c>
      <c r="G24" s="3342"/>
      <c r="H24" s="3341"/>
      <c r="I24" s="3341"/>
      <c r="J24" s="3349">
        <f t="shared" si="21"/>
        <v>0</v>
      </c>
      <c r="K24" s="4211">
        <f t="shared" si="43"/>
        <v>0</v>
      </c>
      <c r="L24" s="3342"/>
      <c r="M24" s="3341">
        <v>8000</v>
      </c>
      <c r="N24" s="3341"/>
      <c r="O24" s="3349">
        <f t="shared" si="22"/>
        <v>8000</v>
      </c>
      <c r="P24" s="4211">
        <f t="shared" si="23"/>
        <v>1</v>
      </c>
      <c r="Q24" s="3342"/>
      <c r="R24" s="3342">
        <f t="shared" si="24"/>
        <v>8000</v>
      </c>
      <c r="S24" s="3342">
        <f t="shared" si="24"/>
        <v>0</v>
      </c>
      <c r="T24" s="2012">
        <f t="shared" si="25"/>
        <v>8000</v>
      </c>
      <c r="U24" s="3342"/>
      <c r="V24" s="3342"/>
      <c r="W24" s="3342">
        <f t="shared" si="26"/>
        <v>0</v>
      </c>
      <c r="X24" s="3342">
        <f t="shared" si="26"/>
        <v>0</v>
      </c>
      <c r="Y24" s="2012">
        <f t="shared" si="27"/>
        <v>0</v>
      </c>
      <c r="Z24" s="3342"/>
      <c r="AA24" s="3342"/>
      <c r="AB24" s="3349"/>
      <c r="AC24" s="3349"/>
      <c r="AD24" s="3349">
        <f t="shared" si="28"/>
        <v>0</v>
      </c>
      <c r="AE24" s="4211">
        <f t="shared" si="44"/>
        <v>0</v>
      </c>
      <c r="AF24" s="3342"/>
      <c r="AG24" s="3341"/>
      <c r="AH24" s="3341"/>
      <c r="AI24" s="3349">
        <f t="shared" si="29"/>
        <v>0</v>
      </c>
      <c r="AJ24" s="4211" t="e">
        <f t="shared" si="45"/>
        <v>#DIV/0!</v>
      </c>
      <c r="AK24" s="3342"/>
      <c r="AL24" s="3341"/>
      <c r="AM24" s="3341"/>
      <c r="AN24" s="3349">
        <f t="shared" si="30"/>
        <v>0</v>
      </c>
      <c r="AO24" s="4211">
        <f t="shared" si="46"/>
        <v>0</v>
      </c>
      <c r="AP24" s="3409"/>
      <c r="AQ24" s="3341"/>
      <c r="AR24" s="3341"/>
      <c r="AS24" s="3349">
        <f t="shared" si="31"/>
        <v>0</v>
      </c>
      <c r="AT24" s="4211">
        <f t="shared" si="47"/>
        <v>0</v>
      </c>
      <c r="AU24" s="3342"/>
      <c r="AV24" s="3341"/>
      <c r="AW24" s="3341"/>
      <c r="AX24" s="3349">
        <f t="shared" si="32"/>
        <v>0</v>
      </c>
      <c r="AY24" s="4211" t="e">
        <f t="shared" si="48"/>
        <v>#DIV/0!</v>
      </c>
      <c r="AZ24" s="3342"/>
      <c r="BA24" s="3341"/>
      <c r="BB24" s="3341"/>
      <c r="BC24" s="3349">
        <f t="shared" si="33"/>
        <v>0</v>
      </c>
      <c r="BD24" s="4211" t="e">
        <f t="shared" si="49"/>
        <v>#DIV/0!</v>
      </c>
      <c r="BE24" s="3342"/>
      <c r="BF24" s="3341"/>
      <c r="BG24" s="3341"/>
      <c r="BH24" s="3349">
        <f t="shared" si="34"/>
        <v>0</v>
      </c>
      <c r="BI24" s="4211" t="e">
        <f t="shared" si="50"/>
        <v>#DIV/0!</v>
      </c>
      <c r="BJ24" s="3342"/>
      <c r="BK24" s="3341"/>
      <c r="BL24" s="3341"/>
      <c r="BM24" s="3349">
        <f t="shared" si="35"/>
        <v>0</v>
      </c>
      <c r="BN24" s="4211" t="e">
        <f t="shared" si="51"/>
        <v>#DIV/0!</v>
      </c>
      <c r="BO24" s="3342"/>
      <c r="BP24" s="3341"/>
      <c r="BQ24" s="3341"/>
      <c r="BR24" s="3349">
        <f t="shared" si="36"/>
        <v>0</v>
      </c>
      <c r="BS24" s="4211" t="e">
        <f t="shared" si="52"/>
        <v>#DIV/0!</v>
      </c>
      <c r="BT24" s="3342"/>
      <c r="BU24" s="3341"/>
      <c r="BV24" s="3341"/>
      <c r="BW24" s="3349">
        <f t="shared" si="37"/>
        <v>0</v>
      </c>
      <c r="BX24" s="4211" t="e">
        <f t="shared" si="53"/>
        <v>#DIV/0!</v>
      </c>
      <c r="BY24" s="3342"/>
      <c r="BZ24" s="3341"/>
      <c r="CA24" s="3341"/>
      <c r="CB24" s="3349">
        <f t="shared" si="38"/>
        <v>0</v>
      </c>
      <c r="CC24" s="4211" t="e">
        <f t="shared" si="54"/>
        <v>#DIV/0!</v>
      </c>
      <c r="CD24" s="3342"/>
      <c r="CE24" s="3341"/>
      <c r="CF24" s="3341"/>
      <c r="CG24" s="3349">
        <f t="shared" si="39"/>
        <v>0</v>
      </c>
      <c r="CH24" s="4211" t="e">
        <f t="shared" si="55"/>
        <v>#DIV/0!</v>
      </c>
      <c r="CI24" s="3342"/>
      <c r="CJ24" s="3341">
        <f>C24+H24+M24+W24</f>
        <v>8000</v>
      </c>
      <c r="CK24" s="3341">
        <f t="shared" si="40"/>
        <v>0</v>
      </c>
      <c r="CL24" s="3349">
        <f t="shared" si="56"/>
        <v>8000</v>
      </c>
      <c r="CM24" s="4211">
        <f t="shared" si="41"/>
        <v>0.12981535762801269</v>
      </c>
      <c r="CN24" s="1434"/>
      <c r="CP24" s="4200">
        <v>5000</v>
      </c>
      <c r="CQ24" s="2012">
        <f t="shared" si="42"/>
        <v>8000</v>
      </c>
      <c r="CR24" s="4202">
        <f t="shared" si="57"/>
        <v>-3000</v>
      </c>
      <c r="CT24" s="4189">
        <f>CR24/CP24</f>
        <v>-0.6</v>
      </c>
    </row>
    <row r="25" spans="1:100" s="1396" customFormat="1" ht="13.8" outlineLevel="2">
      <c r="A25" s="1571"/>
      <c r="B25" s="4212" t="s">
        <v>24</v>
      </c>
      <c r="C25" s="3341"/>
      <c r="D25" s="3341"/>
      <c r="E25" s="3349">
        <f t="shared" si="20"/>
        <v>0</v>
      </c>
      <c r="F25" s="4211" t="e">
        <f t="shared" si="17"/>
        <v>#DIV/0!</v>
      </c>
      <c r="G25" s="3342"/>
      <c r="H25" s="3341"/>
      <c r="I25" s="3341"/>
      <c r="J25" s="3349">
        <f t="shared" si="21"/>
        <v>0</v>
      </c>
      <c r="K25" s="4211">
        <f t="shared" si="43"/>
        <v>0</v>
      </c>
      <c r="L25" s="3342"/>
      <c r="M25" s="3341"/>
      <c r="N25" s="3341"/>
      <c r="O25" s="3349">
        <f t="shared" si="22"/>
        <v>0</v>
      </c>
      <c r="P25" s="4211">
        <f t="shared" si="23"/>
        <v>0</v>
      </c>
      <c r="Q25" s="3342"/>
      <c r="R25" s="3342">
        <f t="shared" si="24"/>
        <v>0</v>
      </c>
      <c r="S25" s="3342">
        <f t="shared" si="24"/>
        <v>0</v>
      </c>
      <c r="T25" s="2012">
        <f t="shared" si="25"/>
        <v>0</v>
      </c>
      <c r="U25" s="3342"/>
      <c r="V25" s="3342"/>
      <c r="W25" s="3342">
        <f t="shared" si="26"/>
        <v>4397.8899999999994</v>
      </c>
      <c r="X25" s="3342">
        <f t="shared" si="26"/>
        <v>0</v>
      </c>
      <c r="Y25" s="2012">
        <f t="shared" si="27"/>
        <v>4397.8899999999994</v>
      </c>
      <c r="Z25" s="3342"/>
      <c r="AA25" s="3342"/>
      <c r="AB25" s="3349"/>
      <c r="AC25" s="3349"/>
      <c r="AD25" s="3349">
        <f t="shared" si="28"/>
        <v>0</v>
      </c>
      <c r="AE25" s="4211">
        <f t="shared" si="44"/>
        <v>0</v>
      </c>
      <c r="AF25" s="3342"/>
      <c r="AG25" s="3341"/>
      <c r="AH25" s="3341"/>
      <c r="AI25" s="3349">
        <f t="shared" si="29"/>
        <v>0</v>
      </c>
      <c r="AJ25" s="4211" t="e">
        <f t="shared" si="45"/>
        <v>#DIV/0!</v>
      </c>
      <c r="AK25" s="3342"/>
      <c r="AL25" s="3341">
        <v>3552.89</v>
      </c>
      <c r="AM25" s="3341"/>
      <c r="AN25" s="3349">
        <f t="shared" si="30"/>
        <v>3552.89</v>
      </c>
      <c r="AO25" s="4211">
        <f t="shared" si="46"/>
        <v>0.1156917067350744</v>
      </c>
      <c r="AP25" s="3409" t="s">
        <v>1984</v>
      </c>
      <c r="AQ25" s="3341">
        <v>845</v>
      </c>
      <c r="AR25" s="3341"/>
      <c r="AS25" s="3349">
        <f t="shared" si="31"/>
        <v>845</v>
      </c>
      <c r="AT25" s="4211">
        <f t="shared" si="47"/>
        <v>1</v>
      </c>
      <c r="AU25" s="3342" t="s">
        <v>2067</v>
      </c>
      <c r="AV25" s="3341"/>
      <c r="AW25" s="3341"/>
      <c r="AX25" s="3349">
        <f t="shared" si="32"/>
        <v>0</v>
      </c>
      <c r="AY25" s="4211" t="e">
        <f t="shared" si="48"/>
        <v>#DIV/0!</v>
      </c>
      <c r="AZ25" s="3342"/>
      <c r="BA25" s="3341"/>
      <c r="BB25" s="3341"/>
      <c r="BC25" s="3349">
        <f t="shared" si="33"/>
        <v>0</v>
      </c>
      <c r="BD25" s="4211" t="e">
        <f t="shared" si="49"/>
        <v>#DIV/0!</v>
      </c>
      <c r="BE25" s="3342"/>
      <c r="BF25" s="3341"/>
      <c r="BG25" s="3341"/>
      <c r="BH25" s="3349">
        <f t="shared" si="34"/>
        <v>0</v>
      </c>
      <c r="BI25" s="4211" t="e">
        <f t="shared" si="50"/>
        <v>#DIV/0!</v>
      </c>
      <c r="BJ25" s="3342"/>
      <c r="BK25" s="3341"/>
      <c r="BL25" s="3341"/>
      <c r="BM25" s="3349">
        <f t="shared" si="35"/>
        <v>0</v>
      </c>
      <c r="BN25" s="4211" t="e">
        <f t="shared" si="51"/>
        <v>#DIV/0!</v>
      </c>
      <c r="BO25" s="3342"/>
      <c r="BP25" s="3341"/>
      <c r="BQ25" s="3341"/>
      <c r="BR25" s="3349">
        <f t="shared" si="36"/>
        <v>0</v>
      </c>
      <c r="BS25" s="4211" t="e">
        <f t="shared" si="52"/>
        <v>#DIV/0!</v>
      </c>
      <c r="BT25" s="3342"/>
      <c r="BU25" s="3341"/>
      <c r="BV25" s="3341"/>
      <c r="BW25" s="3349">
        <f t="shared" si="37"/>
        <v>0</v>
      </c>
      <c r="BX25" s="4211" t="e">
        <f t="shared" si="53"/>
        <v>#DIV/0!</v>
      </c>
      <c r="BY25" s="3342"/>
      <c r="BZ25" s="3341"/>
      <c r="CA25" s="3341"/>
      <c r="CB25" s="3349">
        <f t="shared" si="38"/>
        <v>0</v>
      </c>
      <c r="CC25" s="4211" t="e">
        <f t="shared" si="54"/>
        <v>#DIV/0!</v>
      </c>
      <c r="CD25" s="3342"/>
      <c r="CE25" s="3341"/>
      <c r="CF25" s="3341"/>
      <c r="CG25" s="3349">
        <f t="shared" si="39"/>
        <v>0</v>
      </c>
      <c r="CH25" s="4211" t="e">
        <f t="shared" si="55"/>
        <v>#DIV/0!</v>
      </c>
      <c r="CI25" s="3342"/>
      <c r="CJ25" s="3341">
        <f t="shared" si="40"/>
        <v>4397.8899999999994</v>
      </c>
      <c r="CK25" s="3341">
        <f t="shared" si="40"/>
        <v>0</v>
      </c>
      <c r="CL25" s="3349">
        <f t="shared" si="56"/>
        <v>4397.8899999999994</v>
      </c>
      <c r="CM25" s="4211">
        <f t="shared" si="41"/>
        <v>7.1364207894832582E-2</v>
      </c>
      <c r="CN25" s="1434"/>
      <c r="CP25" s="4200">
        <v>5044.18</v>
      </c>
      <c r="CQ25" s="2012">
        <f t="shared" si="42"/>
        <v>4397.8899999999994</v>
      </c>
      <c r="CR25" s="4202">
        <f t="shared" si="57"/>
        <v>646.29000000000087</v>
      </c>
      <c r="CS25" s="3307"/>
      <c r="CT25" s="4189">
        <f t="shared" ref="CT25:CT26" si="58">CR25/CP25</f>
        <v>0.12812587972673473</v>
      </c>
    </row>
    <row r="26" spans="1:100" s="1396" customFormat="1" ht="26.4" outlineLevel="2">
      <c r="A26" s="1571"/>
      <c r="B26" s="4212" t="s">
        <v>45</v>
      </c>
      <c r="C26" s="3341"/>
      <c r="D26" s="3341"/>
      <c r="E26" s="3349">
        <f t="shared" si="20"/>
        <v>0</v>
      </c>
      <c r="F26" s="4211" t="e">
        <f t="shared" si="17"/>
        <v>#DIV/0!</v>
      </c>
      <c r="G26" s="3342"/>
      <c r="H26" s="3341"/>
      <c r="I26" s="3341"/>
      <c r="J26" s="3349">
        <f t="shared" si="21"/>
        <v>0</v>
      </c>
      <c r="K26" s="4211">
        <f t="shared" si="43"/>
        <v>0</v>
      </c>
      <c r="L26" s="3342"/>
      <c r="M26" s="3341"/>
      <c r="N26" s="3341"/>
      <c r="O26" s="3349">
        <f t="shared" si="22"/>
        <v>0</v>
      </c>
      <c r="P26" s="4211">
        <f t="shared" si="23"/>
        <v>0</v>
      </c>
      <c r="Q26" s="3342"/>
      <c r="R26" s="3342">
        <f t="shared" si="24"/>
        <v>0</v>
      </c>
      <c r="S26" s="3342">
        <f t="shared" si="24"/>
        <v>0</v>
      </c>
      <c r="T26" s="2012">
        <f t="shared" si="25"/>
        <v>0</v>
      </c>
      <c r="U26" s="3342"/>
      <c r="V26" s="3342"/>
      <c r="W26" s="3342">
        <f t="shared" si="26"/>
        <v>27157.09</v>
      </c>
      <c r="X26" s="3342">
        <f t="shared" si="26"/>
        <v>0</v>
      </c>
      <c r="Y26" s="2012">
        <f t="shared" si="27"/>
        <v>27157.09</v>
      </c>
      <c r="Z26" s="3342"/>
      <c r="AA26" s="3342"/>
      <c r="AB26" s="3349"/>
      <c r="AC26" s="3349"/>
      <c r="AD26" s="3349">
        <f t="shared" si="28"/>
        <v>0</v>
      </c>
      <c r="AE26" s="4211">
        <f t="shared" si="44"/>
        <v>0</v>
      </c>
      <c r="AF26" s="3342"/>
      <c r="AG26" s="3341"/>
      <c r="AH26" s="3341"/>
      <c r="AI26" s="3349">
        <f t="shared" si="29"/>
        <v>0</v>
      </c>
      <c r="AJ26" s="4211" t="e">
        <f t="shared" si="45"/>
        <v>#DIV/0!</v>
      </c>
      <c r="AK26" s="3342"/>
      <c r="AL26" s="3341">
        <v>27157.09</v>
      </c>
      <c r="AM26" s="3341"/>
      <c r="AN26" s="3349">
        <f t="shared" si="30"/>
        <v>27157.09</v>
      </c>
      <c r="AO26" s="4211">
        <f t="shared" si="46"/>
        <v>0.88430829326492566</v>
      </c>
      <c r="AP26" s="3409" t="s">
        <v>1985</v>
      </c>
      <c r="AQ26" s="3341"/>
      <c r="AR26" s="3341"/>
      <c r="AS26" s="3349">
        <f t="shared" si="31"/>
        <v>0</v>
      </c>
      <c r="AT26" s="4211">
        <f t="shared" si="47"/>
        <v>0</v>
      </c>
      <c r="AU26" s="3342"/>
      <c r="AV26" s="3341"/>
      <c r="AW26" s="3341"/>
      <c r="AX26" s="3349">
        <f t="shared" si="32"/>
        <v>0</v>
      </c>
      <c r="AY26" s="4211" t="e">
        <f t="shared" si="48"/>
        <v>#DIV/0!</v>
      </c>
      <c r="AZ26" s="3342"/>
      <c r="BA26" s="3341"/>
      <c r="BB26" s="3341"/>
      <c r="BC26" s="3349">
        <f t="shared" si="33"/>
        <v>0</v>
      </c>
      <c r="BD26" s="4211" t="e">
        <f t="shared" si="49"/>
        <v>#DIV/0!</v>
      </c>
      <c r="BE26" s="3342"/>
      <c r="BF26" s="3341"/>
      <c r="BG26" s="3341"/>
      <c r="BH26" s="3349">
        <f t="shared" si="34"/>
        <v>0</v>
      </c>
      <c r="BI26" s="4211" t="e">
        <f t="shared" si="50"/>
        <v>#DIV/0!</v>
      </c>
      <c r="BJ26" s="3342"/>
      <c r="BK26" s="3341"/>
      <c r="BL26" s="3341"/>
      <c r="BM26" s="3349">
        <f t="shared" si="35"/>
        <v>0</v>
      </c>
      <c r="BN26" s="4211" t="e">
        <f t="shared" si="51"/>
        <v>#DIV/0!</v>
      </c>
      <c r="BO26" s="3342"/>
      <c r="BP26" s="3341"/>
      <c r="BQ26" s="3341"/>
      <c r="BR26" s="3349">
        <f t="shared" si="36"/>
        <v>0</v>
      </c>
      <c r="BS26" s="4211" t="e">
        <f t="shared" si="52"/>
        <v>#DIV/0!</v>
      </c>
      <c r="BT26" s="3342"/>
      <c r="BU26" s="3341"/>
      <c r="BV26" s="3341"/>
      <c r="BW26" s="3349">
        <f t="shared" si="37"/>
        <v>0</v>
      </c>
      <c r="BX26" s="4211" t="e">
        <f t="shared" si="53"/>
        <v>#DIV/0!</v>
      </c>
      <c r="BY26" s="3342"/>
      <c r="BZ26" s="3341"/>
      <c r="CA26" s="3341"/>
      <c r="CB26" s="3349">
        <f t="shared" si="38"/>
        <v>0</v>
      </c>
      <c r="CC26" s="4211" t="e">
        <f t="shared" si="54"/>
        <v>#DIV/0!</v>
      </c>
      <c r="CD26" s="3342"/>
      <c r="CE26" s="3341"/>
      <c r="CF26" s="3341"/>
      <c r="CG26" s="3349">
        <f t="shared" si="39"/>
        <v>0</v>
      </c>
      <c r="CH26" s="4211" t="e">
        <f t="shared" si="55"/>
        <v>#DIV/0!</v>
      </c>
      <c r="CI26" s="3342"/>
      <c r="CJ26" s="3341">
        <f t="shared" si="40"/>
        <v>27157.09</v>
      </c>
      <c r="CK26" s="3341">
        <f t="shared" si="40"/>
        <v>0</v>
      </c>
      <c r="CL26" s="3349">
        <f t="shared" si="56"/>
        <v>27157.09</v>
      </c>
      <c r="CM26" s="4211">
        <f t="shared" si="41"/>
        <v>0.4406759188107659</v>
      </c>
      <c r="CN26" s="1434"/>
      <c r="CP26" s="4200">
        <v>38000</v>
      </c>
      <c r="CQ26" s="2012">
        <f t="shared" si="42"/>
        <v>27157.09</v>
      </c>
      <c r="CR26" s="4202">
        <f t="shared" si="57"/>
        <v>10842.91</v>
      </c>
      <c r="CS26" s="3307"/>
      <c r="CT26" s="4189">
        <f t="shared" si="58"/>
        <v>0.28533973684210528</v>
      </c>
    </row>
    <row r="27" spans="1:100" s="1396" customFormat="1" ht="13.8" outlineLevel="2">
      <c r="A27" s="1571"/>
      <c r="B27" s="4212" t="s">
        <v>25</v>
      </c>
      <c r="C27" s="3341"/>
      <c r="D27" s="3341"/>
      <c r="E27" s="3349">
        <f t="shared" si="20"/>
        <v>0</v>
      </c>
      <c r="F27" s="4211" t="e">
        <f t="shared" si="17"/>
        <v>#DIV/0!</v>
      </c>
      <c r="G27" s="3342"/>
      <c r="H27" s="3341"/>
      <c r="I27" s="3341"/>
      <c r="J27" s="3349">
        <f t="shared" si="21"/>
        <v>0</v>
      </c>
      <c r="K27" s="4211">
        <f t="shared" si="43"/>
        <v>0</v>
      </c>
      <c r="L27" s="3342"/>
      <c r="M27" s="3341"/>
      <c r="N27" s="3341"/>
      <c r="O27" s="3349">
        <f t="shared" si="22"/>
        <v>0</v>
      </c>
      <c r="P27" s="4211">
        <f t="shared" si="23"/>
        <v>0</v>
      </c>
      <c r="Q27" s="3342"/>
      <c r="R27" s="3342">
        <f t="shared" si="24"/>
        <v>0</v>
      </c>
      <c r="S27" s="3342">
        <f t="shared" si="24"/>
        <v>0</v>
      </c>
      <c r="T27" s="2012">
        <f t="shared" si="25"/>
        <v>0</v>
      </c>
      <c r="U27" s="3342"/>
      <c r="V27" s="3342"/>
      <c r="W27" s="3342">
        <f t="shared" si="26"/>
        <v>0</v>
      </c>
      <c r="X27" s="3342">
        <f t="shared" si="26"/>
        <v>0</v>
      </c>
      <c r="Y27" s="2012">
        <f t="shared" si="27"/>
        <v>0</v>
      </c>
      <c r="Z27" s="3342"/>
      <c r="AA27" s="3342"/>
      <c r="AB27" s="3349"/>
      <c r="AC27" s="3349"/>
      <c r="AD27" s="3349">
        <f t="shared" si="28"/>
        <v>0</v>
      </c>
      <c r="AE27" s="4211">
        <f t="shared" si="44"/>
        <v>0</v>
      </c>
      <c r="AF27" s="3342"/>
      <c r="AG27" s="3341"/>
      <c r="AH27" s="3341"/>
      <c r="AI27" s="3349">
        <f t="shared" si="29"/>
        <v>0</v>
      </c>
      <c r="AJ27" s="4211" t="e">
        <f t="shared" si="45"/>
        <v>#DIV/0!</v>
      </c>
      <c r="AK27" s="3342"/>
      <c r="AL27" s="3341"/>
      <c r="AM27" s="3341"/>
      <c r="AN27" s="3349">
        <f t="shared" si="30"/>
        <v>0</v>
      </c>
      <c r="AO27" s="4211">
        <f t="shared" si="46"/>
        <v>0</v>
      </c>
      <c r="AP27" s="3409"/>
      <c r="AQ27" s="3341"/>
      <c r="AR27" s="3341"/>
      <c r="AS27" s="3349">
        <f t="shared" si="31"/>
        <v>0</v>
      </c>
      <c r="AT27" s="4211">
        <f t="shared" si="47"/>
        <v>0</v>
      </c>
      <c r="AU27" s="3342"/>
      <c r="AV27" s="3341"/>
      <c r="AW27" s="3341"/>
      <c r="AX27" s="3349">
        <f t="shared" si="32"/>
        <v>0</v>
      </c>
      <c r="AY27" s="4211" t="e">
        <f t="shared" si="48"/>
        <v>#DIV/0!</v>
      </c>
      <c r="AZ27" s="3342"/>
      <c r="BA27" s="3341"/>
      <c r="BB27" s="3341"/>
      <c r="BC27" s="3349">
        <f t="shared" si="33"/>
        <v>0</v>
      </c>
      <c r="BD27" s="4211" t="e">
        <f t="shared" si="49"/>
        <v>#DIV/0!</v>
      </c>
      <c r="BE27" s="3342"/>
      <c r="BF27" s="3341"/>
      <c r="BG27" s="3341"/>
      <c r="BH27" s="3349">
        <f t="shared" si="34"/>
        <v>0</v>
      </c>
      <c r="BI27" s="4211" t="e">
        <f t="shared" si="50"/>
        <v>#DIV/0!</v>
      </c>
      <c r="BJ27" s="3342"/>
      <c r="BK27" s="3341"/>
      <c r="BL27" s="3341"/>
      <c r="BM27" s="3349">
        <f t="shared" si="35"/>
        <v>0</v>
      </c>
      <c r="BN27" s="4211" t="e">
        <f t="shared" si="51"/>
        <v>#DIV/0!</v>
      </c>
      <c r="BO27" s="3342"/>
      <c r="BP27" s="3341"/>
      <c r="BQ27" s="3341"/>
      <c r="BR27" s="3349">
        <f t="shared" si="36"/>
        <v>0</v>
      </c>
      <c r="BS27" s="4211" t="e">
        <f t="shared" si="52"/>
        <v>#DIV/0!</v>
      </c>
      <c r="BT27" s="3342"/>
      <c r="BU27" s="3341"/>
      <c r="BV27" s="3341"/>
      <c r="BW27" s="3349">
        <f t="shared" si="37"/>
        <v>0</v>
      </c>
      <c r="BX27" s="4211" t="e">
        <f t="shared" si="53"/>
        <v>#DIV/0!</v>
      </c>
      <c r="BY27" s="3342"/>
      <c r="BZ27" s="3341"/>
      <c r="CA27" s="3341"/>
      <c r="CB27" s="3349">
        <f t="shared" si="38"/>
        <v>0</v>
      </c>
      <c r="CC27" s="4211" t="e">
        <f t="shared" si="54"/>
        <v>#DIV/0!</v>
      </c>
      <c r="CD27" s="3342"/>
      <c r="CE27" s="3341"/>
      <c r="CF27" s="3341"/>
      <c r="CG27" s="3349">
        <f t="shared" si="39"/>
        <v>0</v>
      </c>
      <c r="CH27" s="4211" t="e">
        <f t="shared" si="55"/>
        <v>#DIV/0!</v>
      </c>
      <c r="CI27" s="3342"/>
      <c r="CJ27" s="3341">
        <f t="shared" si="40"/>
        <v>0</v>
      </c>
      <c r="CK27" s="3341">
        <f t="shared" si="40"/>
        <v>0</v>
      </c>
      <c r="CL27" s="3349">
        <f t="shared" si="56"/>
        <v>0</v>
      </c>
      <c r="CM27" s="4211">
        <f t="shared" si="41"/>
        <v>0</v>
      </c>
      <c r="CN27" s="1434"/>
      <c r="CP27" s="4200"/>
      <c r="CQ27" s="2012">
        <f t="shared" si="42"/>
        <v>0</v>
      </c>
      <c r="CR27" s="4202">
        <f t="shared" si="57"/>
        <v>0</v>
      </c>
      <c r="CS27" s="3307"/>
      <c r="CT27" s="3443"/>
    </row>
    <row r="28" spans="1:100" s="1396" customFormat="1" ht="13.8" outlineLevel="2">
      <c r="A28" s="1571"/>
      <c r="B28" s="4212" t="s">
        <v>52</v>
      </c>
      <c r="C28" s="3341"/>
      <c r="D28" s="3341"/>
      <c r="E28" s="3349">
        <f t="shared" si="20"/>
        <v>0</v>
      </c>
      <c r="F28" s="4211" t="e">
        <f t="shared" si="17"/>
        <v>#DIV/0!</v>
      </c>
      <c r="G28" s="3342"/>
      <c r="H28" s="3341"/>
      <c r="I28" s="3341"/>
      <c r="J28" s="3349">
        <f t="shared" si="21"/>
        <v>0</v>
      </c>
      <c r="K28" s="4211">
        <f t="shared" si="43"/>
        <v>0</v>
      </c>
      <c r="L28" s="3342"/>
      <c r="M28" s="3341"/>
      <c r="N28" s="3341"/>
      <c r="O28" s="3349">
        <f t="shared" si="22"/>
        <v>0</v>
      </c>
      <c r="P28" s="4211">
        <f t="shared" si="23"/>
        <v>0</v>
      </c>
      <c r="Q28" s="3409"/>
      <c r="R28" s="3342">
        <f t="shared" si="24"/>
        <v>0</v>
      </c>
      <c r="S28" s="3342">
        <f t="shared" si="24"/>
        <v>0</v>
      </c>
      <c r="T28" s="2012">
        <f t="shared" si="25"/>
        <v>0</v>
      </c>
      <c r="U28" s="3409"/>
      <c r="V28" s="3409"/>
      <c r="W28" s="3342">
        <f t="shared" si="26"/>
        <v>0</v>
      </c>
      <c r="X28" s="3342">
        <f t="shared" si="26"/>
        <v>0</v>
      </c>
      <c r="Y28" s="2012">
        <f t="shared" si="27"/>
        <v>0</v>
      </c>
      <c r="Z28" s="3409"/>
      <c r="AA28" s="3409"/>
      <c r="AB28" s="3349"/>
      <c r="AC28" s="3349"/>
      <c r="AD28" s="3349">
        <f t="shared" si="28"/>
        <v>0</v>
      </c>
      <c r="AE28" s="4211">
        <f t="shared" si="44"/>
        <v>0</v>
      </c>
      <c r="AF28" s="3409"/>
      <c r="AG28" s="3341"/>
      <c r="AH28" s="3341"/>
      <c r="AI28" s="3349">
        <f t="shared" si="29"/>
        <v>0</v>
      </c>
      <c r="AJ28" s="4211" t="e">
        <f t="shared" si="45"/>
        <v>#DIV/0!</v>
      </c>
      <c r="AK28" s="3409"/>
      <c r="AL28" s="3341"/>
      <c r="AM28" s="3341"/>
      <c r="AN28" s="3349">
        <f t="shared" si="30"/>
        <v>0</v>
      </c>
      <c r="AO28" s="4211">
        <f t="shared" si="46"/>
        <v>0</v>
      </c>
      <c r="AP28" s="3409"/>
      <c r="AQ28" s="3341"/>
      <c r="AR28" s="3341"/>
      <c r="AS28" s="3349">
        <f t="shared" si="31"/>
        <v>0</v>
      </c>
      <c r="AT28" s="4211">
        <f t="shared" si="47"/>
        <v>0</v>
      </c>
      <c r="AU28" s="3409"/>
      <c r="AV28" s="3341"/>
      <c r="AW28" s="3341"/>
      <c r="AX28" s="3349">
        <f t="shared" si="32"/>
        <v>0</v>
      </c>
      <c r="AY28" s="4211" t="e">
        <f t="shared" si="48"/>
        <v>#DIV/0!</v>
      </c>
      <c r="AZ28" s="3409"/>
      <c r="BA28" s="3341"/>
      <c r="BB28" s="3341"/>
      <c r="BC28" s="3349">
        <f t="shared" si="33"/>
        <v>0</v>
      </c>
      <c r="BD28" s="4211" t="e">
        <f t="shared" si="49"/>
        <v>#DIV/0!</v>
      </c>
      <c r="BE28" s="3409"/>
      <c r="BF28" s="3341"/>
      <c r="BG28" s="3341"/>
      <c r="BH28" s="3349">
        <f t="shared" si="34"/>
        <v>0</v>
      </c>
      <c r="BI28" s="4211" t="e">
        <f t="shared" si="50"/>
        <v>#DIV/0!</v>
      </c>
      <c r="BJ28" s="3409"/>
      <c r="BK28" s="3341"/>
      <c r="BL28" s="3341"/>
      <c r="BM28" s="3349">
        <f t="shared" si="35"/>
        <v>0</v>
      </c>
      <c r="BN28" s="4211" t="e">
        <f t="shared" si="51"/>
        <v>#DIV/0!</v>
      </c>
      <c r="BO28" s="3409"/>
      <c r="BP28" s="3341"/>
      <c r="BQ28" s="3341"/>
      <c r="BR28" s="3349">
        <f t="shared" si="36"/>
        <v>0</v>
      </c>
      <c r="BS28" s="4211" t="e">
        <f t="shared" si="52"/>
        <v>#DIV/0!</v>
      </c>
      <c r="BT28" s="3409"/>
      <c r="BU28" s="3341"/>
      <c r="BV28" s="3341"/>
      <c r="BW28" s="3349">
        <f t="shared" si="37"/>
        <v>0</v>
      </c>
      <c r="BX28" s="4211" t="e">
        <f t="shared" si="53"/>
        <v>#DIV/0!</v>
      </c>
      <c r="BY28" s="3409"/>
      <c r="BZ28" s="3341"/>
      <c r="CA28" s="3341"/>
      <c r="CB28" s="3349">
        <f t="shared" si="38"/>
        <v>0</v>
      </c>
      <c r="CC28" s="4211" t="e">
        <f t="shared" si="54"/>
        <v>#DIV/0!</v>
      </c>
      <c r="CD28" s="3409"/>
      <c r="CE28" s="3341"/>
      <c r="CF28" s="3341"/>
      <c r="CG28" s="3349">
        <f t="shared" si="39"/>
        <v>0</v>
      </c>
      <c r="CH28" s="4211" t="e">
        <f t="shared" si="55"/>
        <v>#DIV/0!</v>
      </c>
      <c r="CI28" s="3409"/>
      <c r="CJ28" s="3341">
        <f t="shared" si="40"/>
        <v>0</v>
      </c>
      <c r="CK28" s="3341">
        <f t="shared" si="40"/>
        <v>0</v>
      </c>
      <c r="CL28" s="3349">
        <f t="shared" si="56"/>
        <v>0</v>
      </c>
      <c r="CM28" s="4211">
        <f t="shared" si="41"/>
        <v>0</v>
      </c>
      <c r="CN28" s="1434"/>
      <c r="CP28" s="4200"/>
      <c r="CQ28" s="2012">
        <f t="shared" si="42"/>
        <v>0</v>
      </c>
      <c r="CR28" s="4202">
        <f t="shared" si="57"/>
        <v>0</v>
      </c>
      <c r="CS28" s="3307"/>
      <c r="CT28" s="3443"/>
    </row>
    <row r="29" spans="1:100" s="1396" customFormat="1" ht="13.8" outlineLevel="2">
      <c r="A29" s="1571"/>
      <c r="B29" s="4212" t="s">
        <v>31</v>
      </c>
      <c r="C29" s="3341"/>
      <c r="D29" s="3341"/>
      <c r="E29" s="3349">
        <f t="shared" si="20"/>
        <v>0</v>
      </c>
      <c r="F29" s="4211" t="e">
        <f t="shared" si="17"/>
        <v>#DIV/0!</v>
      </c>
      <c r="G29" s="3342"/>
      <c r="H29" s="3341"/>
      <c r="I29" s="3341"/>
      <c r="J29" s="3349">
        <f t="shared" si="21"/>
        <v>0</v>
      </c>
      <c r="K29" s="4211">
        <f t="shared" si="43"/>
        <v>0</v>
      </c>
      <c r="L29" s="3342"/>
      <c r="M29" s="3341"/>
      <c r="N29" s="3341"/>
      <c r="O29" s="3349">
        <f t="shared" si="22"/>
        <v>0</v>
      </c>
      <c r="P29" s="4211">
        <f t="shared" si="23"/>
        <v>0</v>
      </c>
      <c r="Q29" s="3342"/>
      <c r="R29" s="3342">
        <f t="shared" si="24"/>
        <v>0</v>
      </c>
      <c r="S29" s="3342">
        <f t="shared" si="24"/>
        <v>0</v>
      </c>
      <c r="T29" s="2012">
        <f t="shared" si="25"/>
        <v>0</v>
      </c>
      <c r="U29" s="3342"/>
      <c r="V29" s="3342"/>
      <c r="W29" s="3342">
        <f t="shared" si="26"/>
        <v>0</v>
      </c>
      <c r="X29" s="3342">
        <f t="shared" si="26"/>
        <v>0</v>
      </c>
      <c r="Y29" s="2012">
        <f t="shared" si="27"/>
        <v>0</v>
      </c>
      <c r="Z29" s="3342"/>
      <c r="AA29" s="3342"/>
      <c r="AB29" s="3349"/>
      <c r="AC29" s="3349"/>
      <c r="AD29" s="3349">
        <f t="shared" si="28"/>
        <v>0</v>
      </c>
      <c r="AE29" s="4211">
        <f t="shared" si="44"/>
        <v>0</v>
      </c>
      <c r="AF29" s="3342"/>
      <c r="AG29" s="3341"/>
      <c r="AH29" s="3341"/>
      <c r="AI29" s="3349">
        <f t="shared" si="29"/>
        <v>0</v>
      </c>
      <c r="AJ29" s="4211" t="e">
        <f t="shared" si="45"/>
        <v>#DIV/0!</v>
      </c>
      <c r="AK29" s="3342"/>
      <c r="AL29" s="3341"/>
      <c r="AM29" s="3341"/>
      <c r="AN29" s="3349">
        <f t="shared" si="30"/>
        <v>0</v>
      </c>
      <c r="AO29" s="4211">
        <f t="shared" si="46"/>
        <v>0</v>
      </c>
      <c r="AP29" s="3409"/>
      <c r="AQ29" s="3341"/>
      <c r="AR29" s="3341"/>
      <c r="AS29" s="3349">
        <f t="shared" si="31"/>
        <v>0</v>
      </c>
      <c r="AT29" s="4211">
        <f t="shared" si="47"/>
        <v>0</v>
      </c>
      <c r="AU29" s="3342"/>
      <c r="AV29" s="3341"/>
      <c r="AW29" s="3341"/>
      <c r="AX29" s="3349">
        <f t="shared" si="32"/>
        <v>0</v>
      </c>
      <c r="AY29" s="4211" t="e">
        <f t="shared" si="48"/>
        <v>#DIV/0!</v>
      </c>
      <c r="AZ29" s="3342"/>
      <c r="BA29" s="3341"/>
      <c r="BB29" s="3341"/>
      <c r="BC29" s="3349">
        <f t="shared" si="33"/>
        <v>0</v>
      </c>
      <c r="BD29" s="4211" t="e">
        <f t="shared" si="49"/>
        <v>#DIV/0!</v>
      </c>
      <c r="BE29" s="3342"/>
      <c r="BF29" s="3341"/>
      <c r="BG29" s="3341"/>
      <c r="BH29" s="3349">
        <f t="shared" si="34"/>
        <v>0</v>
      </c>
      <c r="BI29" s="4211" t="e">
        <f t="shared" si="50"/>
        <v>#DIV/0!</v>
      </c>
      <c r="BJ29" s="3342"/>
      <c r="BK29" s="3341"/>
      <c r="BL29" s="3341"/>
      <c r="BM29" s="3349">
        <f t="shared" si="35"/>
        <v>0</v>
      </c>
      <c r="BN29" s="4211" t="e">
        <f t="shared" si="51"/>
        <v>#DIV/0!</v>
      </c>
      <c r="BO29" s="3342"/>
      <c r="BP29" s="3341"/>
      <c r="BQ29" s="3341"/>
      <c r="BR29" s="3349">
        <f t="shared" si="36"/>
        <v>0</v>
      </c>
      <c r="BS29" s="4211" t="e">
        <f t="shared" si="52"/>
        <v>#DIV/0!</v>
      </c>
      <c r="BT29" s="3342"/>
      <c r="BU29" s="3341"/>
      <c r="BV29" s="3341"/>
      <c r="BW29" s="3349">
        <f t="shared" si="37"/>
        <v>0</v>
      </c>
      <c r="BX29" s="4211" t="e">
        <f t="shared" si="53"/>
        <v>#DIV/0!</v>
      </c>
      <c r="BY29" s="3342"/>
      <c r="BZ29" s="3341"/>
      <c r="CA29" s="3341"/>
      <c r="CB29" s="3349">
        <f t="shared" si="38"/>
        <v>0</v>
      </c>
      <c r="CC29" s="4211" t="e">
        <f t="shared" si="54"/>
        <v>#DIV/0!</v>
      </c>
      <c r="CD29" s="3342"/>
      <c r="CE29" s="3341"/>
      <c r="CF29" s="3341"/>
      <c r="CG29" s="3349">
        <f t="shared" si="39"/>
        <v>0</v>
      </c>
      <c r="CH29" s="4211" t="e">
        <f t="shared" si="55"/>
        <v>#DIV/0!</v>
      </c>
      <c r="CI29" s="3342"/>
      <c r="CJ29" s="3341">
        <f t="shared" si="40"/>
        <v>0</v>
      </c>
      <c r="CK29" s="3341">
        <f t="shared" si="40"/>
        <v>0</v>
      </c>
      <c r="CL29" s="3349">
        <f t="shared" si="56"/>
        <v>0</v>
      </c>
      <c r="CM29" s="4211">
        <f t="shared" si="41"/>
        <v>0</v>
      </c>
      <c r="CN29" s="4213"/>
      <c r="CP29" s="4200"/>
      <c r="CQ29" s="2012">
        <f t="shared" si="42"/>
        <v>0</v>
      </c>
      <c r="CR29" s="4202">
        <f t="shared" si="57"/>
        <v>0</v>
      </c>
      <c r="CT29" s="2624"/>
    </row>
    <row r="30" spans="1:100" s="1396" customFormat="1" ht="13.8" outlineLevel="2">
      <c r="A30" s="1571"/>
      <c r="B30" s="4212" t="s">
        <v>62</v>
      </c>
      <c r="C30" s="3341"/>
      <c r="D30" s="3341"/>
      <c r="E30" s="3349">
        <f t="shared" si="20"/>
        <v>0</v>
      </c>
      <c r="F30" s="4211" t="e">
        <f t="shared" si="17"/>
        <v>#DIV/0!</v>
      </c>
      <c r="G30" s="3343"/>
      <c r="H30" s="3341"/>
      <c r="I30" s="3341"/>
      <c r="J30" s="3349">
        <f t="shared" si="21"/>
        <v>0</v>
      </c>
      <c r="K30" s="4211">
        <f t="shared" si="43"/>
        <v>0</v>
      </c>
      <c r="L30" s="3343"/>
      <c r="M30" s="3341"/>
      <c r="N30" s="3341"/>
      <c r="O30" s="3349">
        <f t="shared" si="22"/>
        <v>0</v>
      </c>
      <c r="P30" s="4211">
        <f t="shared" si="23"/>
        <v>0</v>
      </c>
      <c r="Q30" s="3342"/>
      <c r="R30" s="3342">
        <f t="shared" si="24"/>
        <v>0</v>
      </c>
      <c r="S30" s="3342">
        <f t="shared" si="24"/>
        <v>0</v>
      </c>
      <c r="T30" s="2012">
        <f t="shared" si="25"/>
        <v>0</v>
      </c>
      <c r="U30" s="3342"/>
      <c r="V30" s="3342"/>
      <c r="W30" s="3342">
        <f t="shared" si="26"/>
        <v>0</v>
      </c>
      <c r="X30" s="3342">
        <f t="shared" si="26"/>
        <v>0</v>
      </c>
      <c r="Y30" s="2012">
        <f t="shared" si="27"/>
        <v>0</v>
      </c>
      <c r="Z30" s="3342"/>
      <c r="AA30" s="3342"/>
      <c r="AB30" s="3349"/>
      <c r="AC30" s="3349"/>
      <c r="AD30" s="3349">
        <f t="shared" si="28"/>
        <v>0</v>
      </c>
      <c r="AE30" s="4211">
        <f t="shared" si="44"/>
        <v>0</v>
      </c>
      <c r="AF30" s="3342"/>
      <c r="AG30" s="3341"/>
      <c r="AH30" s="3341"/>
      <c r="AI30" s="3349">
        <f t="shared" si="29"/>
        <v>0</v>
      </c>
      <c r="AJ30" s="4211" t="e">
        <f t="shared" si="45"/>
        <v>#DIV/0!</v>
      </c>
      <c r="AK30" s="3342"/>
      <c r="AL30" s="3341"/>
      <c r="AM30" s="3341"/>
      <c r="AN30" s="3349">
        <f t="shared" si="30"/>
        <v>0</v>
      </c>
      <c r="AO30" s="4211">
        <f t="shared" si="46"/>
        <v>0</v>
      </c>
      <c r="AP30" s="3409"/>
      <c r="AQ30" s="3341"/>
      <c r="AR30" s="3341"/>
      <c r="AS30" s="3349">
        <f t="shared" si="31"/>
        <v>0</v>
      </c>
      <c r="AT30" s="4211">
        <f t="shared" si="47"/>
        <v>0</v>
      </c>
      <c r="AU30" s="3342"/>
      <c r="AV30" s="3341"/>
      <c r="AW30" s="3341"/>
      <c r="AX30" s="3349">
        <f t="shared" si="32"/>
        <v>0</v>
      </c>
      <c r="AY30" s="4211" t="e">
        <f t="shared" si="48"/>
        <v>#DIV/0!</v>
      </c>
      <c r="AZ30" s="3342"/>
      <c r="BA30" s="3341"/>
      <c r="BB30" s="3341"/>
      <c r="BC30" s="3349">
        <f t="shared" si="33"/>
        <v>0</v>
      </c>
      <c r="BD30" s="4211" t="e">
        <f t="shared" si="49"/>
        <v>#DIV/0!</v>
      </c>
      <c r="BE30" s="3342"/>
      <c r="BF30" s="3341"/>
      <c r="BG30" s="3341"/>
      <c r="BH30" s="3349">
        <f t="shared" si="34"/>
        <v>0</v>
      </c>
      <c r="BI30" s="4211" t="e">
        <f t="shared" si="50"/>
        <v>#DIV/0!</v>
      </c>
      <c r="BJ30" s="3342"/>
      <c r="BK30" s="3341"/>
      <c r="BL30" s="3341"/>
      <c r="BM30" s="3349">
        <f t="shared" si="35"/>
        <v>0</v>
      </c>
      <c r="BN30" s="4211" t="e">
        <f t="shared" si="51"/>
        <v>#DIV/0!</v>
      </c>
      <c r="BO30" s="3342"/>
      <c r="BP30" s="3341"/>
      <c r="BQ30" s="3341"/>
      <c r="BR30" s="3349">
        <f t="shared" si="36"/>
        <v>0</v>
      </c>
      <c r="BS30" s="4211" t="e">
        <f t="shared" si="52"/>
        <v>#DIV/0!</v>
      </c>
      <c r="BT30" s="3342"/>
      <c r="BU30" s="3341"/>
      <c r="BV30" s="3341"/>
      <c r="BW30" s="3349">
        <f t="shared" si="37"/>
        <v>0</v>
      </c>
      <c r="BX30" s="4211" t="e">
        <f t="shared" si="53"/>
        <v>#DIV/0!</v>
      </c>
      <c r="BY30" s="3342"/>
      <c r="BZ30" s="3341"/>
      <c r="CA30" s="3341"/>
      <c r="CB30" s="3349">
        <f t="shared" si="38"/>
        <v>0</v>
      </c>
      <c r="CC30" s="4211" t="e">
        <f t="shared" si="54"/>
        <v>#DIV/0!</v>
      </c>
      <c r="CD30" s="3342"/>
      <c r="CE30" s="3341"/>
      <c r="CF30" s="3341"/>
      <c r="CG30" s="3349">
        <f t="shared" si="39"/>
        <v>0</v>
      </c>
      <c r="CH30" s="4211" t="e">
        <f t="shared" si="55"/>
        <v>#DIV/0!</v>
      </c>
      <c r="CI30" s="3342"/>
      <c r="CJ30" s="3341">
        <f t="shared" si="40"/>
        <v>0</v>
      </c>
      <c r="CK30" s="3341">
        <f t="shared" si="40"/>
        <v>0</v>
      </c>
      <c r="CL30" s="3349">
        <f t="shared" si="56"/>
        <v>0</v>
      </c>
      <c r="CM30" s="4211">
        <f t="shared" si="41"/>
        <v>0</v>
      </c>
      <c r="CN30" s="4213"/>
      <c r="CP30" s="4200"/>
      <c r="CQ30" s="2012">
        <f t="shared" si="42"/>
        <v>0</v>
      </c>
      <c r="CR30" s="4202">
        <f t="shared" si="57"/>
        <v>0</v>
      </c>
      <c r="CS30" s="3307"/>
      <c r="CT30" s="3443"/>
    </row>
    <row r="31" spans="1:100" s="1396" customFormat="1" ht="13.8" outlineLevel="2">
      <c r="A31" s="1571"/>
      <c r="B31" s="4212" t="s">
        <v>34</v>
      </c>
      <c r="C31" s="3341"/>
      <c r="D31" s="3341"/>
      <c r="E31" s="3349">
        <f t="shared" si="20"/>
        <v>0</v>
      </c>
      <c r="F31" s="4211" t="e">
        <f t="shared" si="17"/>
        <v>#DIV/0!</v>
      </c>
      <c r="G31" s="3343"/>
      <c r="H31" s="3341"/>
      <c r="I31" s="3341"/>
      <c r="J31" s="3349">
        <f t="shared" si="21"/>
        <v>0</v>
      </c>
      <c r="K31" s="4211">
        <f t="shared" si="43"/>
        <v>0</v>
      </c>
      <c r="L31" s="3343"/>
      <c r="M31" s="3341"/>
      <c r="N31" s="3341"/>
      <c r="O31" s="3349">
        <f t="shared" si="22"/>
        <v>0</v>
      </c>
      <c r="P31" s="4211">
        <f t="shared" si="23"/>
        <v>0</v>
      </c>
      <c r="Q31" s="3342"/>
      <c r="R31" s="3342">
        <f t="shared" si="24"/>
        <v>0</v>
      </c>
      <c r="S31" s="3342">
        <f t="shared" si="24"/>
        <v>0</v>
      </c>
      <c r="T31" s="2012">
        <f t="shared" si="25"/>
        <v>0</v>
      </c>
      <c r="U31" s="3342"/>
      <c r="V31" s="3342"/>
      <c r="W31" s="3342">
        <f t="shared" si="26"/>
        <v>0</v>
      </c>
      <c r="X31" s="3342">
        <f t="shared" si="26"/>
        <v>0</v>
      </c>
      <c r="Y31" s="2012">
        <f t="shared" si="27"/>
        <v>0</v>
      </c>
      <c r="Z31" s="3342"/>
      <c r="AA31" s="3342"/>
      <c r="AB31" s="3349"/>
      <c r="AC31" s="3349"/>
      <c r="AD31" s="3349">
        <f t="shared" si="28"/>
        <v>0</v>
      </c>
      <c r="AE31" s="4211">
        <f t="shared" si="44"/>
        <v>0</v>
      </c>
      <c r="AF31" s="3342"/>
      <c r="AG31" s="3341"/>
      <c r="AH31" s="3341"/>
      <c r="AI31" s="3349">
        <f t="shared" si="29"/>
        <v>0</v>
      </c>
      <c r="AJ31" s="4211" t="e">
        <f t="shared" si="45"/>
        <v>#DIV/0!</v>
      </c>
      <c r="AK31" s="3342"/>
      <c r="AL31" s="3341"/>
      <c r="AM31" s="3341"/>
      <c r="AN31" s="3349">
        <f t="shared" si="30"/>
        <v>0</v>
      </c>
      <c r="AO31" s="4211">
        <f t="shared" si="46"/>
        <v>0</v>
      </c>
      <c r="AP31" s="3409"/>
      <c r="AQ31" s="3341"/>
      <c r="AR31" s="3341"/>
      <c r="AS31" s="3349">
        <f t="shared" si="31"/>
        <v>0</v>
      </c>
      <c r="AT31" s="4211">
        <f t="shared" si="47"/>
        <v>0</v>
      </c>
      <c r="AU31" s="3342"/>
      <c r="AV31" s="3341"/>
      <c r="AW31" s="3341"/>
      <c r="AX31" s="3349">
        <f t="shared" si="32"/>
        <v>0</v>
      </c>
      <c r="AY31" s="4211" t="e">
        <f t="shared" si="48"/>
        <v>#DIV/0!</v>
      </c>
      <c r="AZ31" s="3342"/>
      <c r="BA31" s="3341"/>
      <c r="BB31" s="3341"/>
      <c r="BC31" s="3349">
        <f t="shared" si="33"/>
        <v>0</v>
      </c>
      <c r="BD31" s="4211" t="e">
        <f t="shared" si="49"/>
        <v>#DIV/0!</v>
      </c>
      <c r="BE31" s="3342"/>
      <c r="BF31" s="3341"/>
      <c r="BG31" s="3341"/>
      <c r="BH31" s="3349">
        <f t="shared" si="34"/>
        <v>0</v>
      </c>
      <c r="BI31" s="4211" t="e">
        <f t="shared" si="50"/>
        <v>#DIV/0!</v>
      </c>
      <c r="BJ31" s="3342"/>
      <c r="BK31" s="3341"/>
      <c r="BL31" s="3341"/>
      <c r="BM31" s="3349">
        <f t="shared" si="35"/>
        <v>0</v>
      </c>
      <c r="BN31" s="4211" t="e">
        <f t="shared" si="51"/>
        <v>#DIV/0!</v>
      </c>
      <c r="BO31" s="3342"/>
      <c r="BP31" s="3341"/>
      <c r="BQ31" s="3341"/>
      <c r="BR31" s="3349">
        <f t="shared" si="36"/>
        <v>0</v>
      </c>
      <c r="BS31" s="4211" t="e">
        <f t="shared" si="52"/>
        <v>#DIV/0!</v>
      </c>
      <c r="BT31" s="3342"/>
      <c r="BU31" s="3341"/>
      <c r="BV31" s="3341"/>
      <c r="BW31" s="3349">
        <f t="shared" si="37"/>
        <v>0</v>
      </c>
      <c r="BX31" s="4211" t="e">
        <f t="shared" si="53"/>
        <v>#DIV/0!</v>
      </c>
      <c r="BY31" s="3342"/>
      <c r="BZ31" s="3341"/>
      <c r="CA31" s="3341"/>
      <c r="CB31" s="3349">
        <f t="shared" si="38"/>
        <v>0</v>
      </c>
      <c r="CC31" s="4211" t="e">
        <f t="shared" si="54"/>
        <v>#DIV/0!</v>
      </c>
      <c r="CD31" s="3342"/>
      <c r="CE31" s="3341"/>
      <c r="CF31" s="3341"/>
      <c r="CG31" s="3349">
        <f t="shared" si="39"/>
        <v>0</v>
      </c>
      <c r="CH31" s="4211" t="e">
        <f t="shared" si="55"/>
        <v>#DIV/0!</v>
      </c>
      <c r="CI31" s="3342"/>
      <c r="CJ31" s="3341">
        <f t="shared" si="40"/>
        <v>0</v>
      </c>
      <c r="CK31" s="3341">
        <f t="shared" si="40"/>
        <v>0</v>
      </c>
      <c r="CL31" s="3349">
        <f t="shared" si="56"/>
        <v>0</v>
      </c>
      <c r="CM31" s="4211">
        <f t="shared" si="41"/>
        <v>0</v>
      </c>
      <c r="CN31" s="4213"/>
      <c r="CP31" s="4200"/>
      <c r="CQ31" s="2012">
        <f t="shared" si="42"/>
        <v>0</v>
      </c>
      <c r="CR31" s="4202">
        <f t="shared" si="57"/>
        <v>0</v>
      </c>
      <c r="CS31" s="3307"/>
      <c r="CT31" s="3443"/>
      <c r="CV31" s="933"/>
    </row>
    <row r="32" spans="1:100" s="1396" customFormat="1" ht="13.8" outlineLevel="2">
      <c r="A32" s="1571"/>
      <c r="B32" s="4214" t="s">
        <v>2</v>
      </c>
      <c r="C32" s="3341"/>
      <c r="D32" s="3341"/>
      <c r="E32" s="3349">
        <f t="shared" si="20"/>
        <v>0</v>
      </c>
      <c r="F32" s="4211" t="e">
        <f t="shared" si="17"/>
        <v>#DIV/0!</v>
      </c>
      <c r="G32" s="4215"/>
      <c r="H32" s="3341"/>
      <c r="I32" s="3341"/>
      <c r="J32" s="3349">
        <f t="shared" si="21"/>
        <v>0</v>
      </c>
      <c r="K32" s="4211">
        <f t="shared" si="43"/>
        <v>0</v>
      </c>
      <c r="L32" s="4215"/>
      <c r="M32" s="3341"/>
      <c r="N32" s="3341"/>
      <c r="O32" s="3349">
        <f t="shared" si="22"/>
        <v>0</v>
      </c>
      <c r="P32" s="4211">
        <f t="shared" si="23"/>
        <v>0</v>
      </c>
      <c r="Q32" s="4215"/>
      <c r="R32" s="3342">
        <f t="shared" si="24"/>
        <v>0</v>
      </c>
      <c r="S32" s="3342">
        <f t="shared" si="24"/>
        <v>0</v>
      </c>
      <c r="T32" s="2012">
        <f t="shared" si="25"/>
        <v>0</v>
      </c>
      <c r="U32" s="2048"/>
      <c r="V32" s="2048"/>
      <c r="W32" s="3342">
        <f t="shared" si="26"/>
        <v>0</v>
      </c>
      <c r="X32" s="3342">
        <f t="shared" si="26"/>
        <v>0</v>
      </c>
      <c r="Y32" s="2012">
        <f t="shared" si="27"/>
        <v>0</v>
      </c>
      <c r="Z32" s="2048"/>
      <c r="AA32" s="2048"/>
      <c r="AB32" s="3349"/>
      <c r="AC32" s="3349"/>
      <c r="AD32" s="3349">
        <f t="shared" si="28"/>
        <v>0</v>
      </c>
      <c r="AE32" s="4211">
        <f t="shared" si="44"/>
        <v>0</v>
      </c>
      <c r="AF32" s="4215"/>
      <c r="AG32" s="3341"/>
      <c r="AH32" s="3341"/>
      <c r="AI32" s="3349">
        <f t="shared" si="29"/>
        <v>0</v>
      </c>
      <c r="AJ32" s="4211" t="e">
        <f t="shared" si="45"/>
        <v>#DIV/0!</v>
      </c>
      <c r="AK32" s="4215"/>
      <c r="AL32" s="3341"/>
      <c r="AM32" s="3341"/>
      <c r="AN32" s="3349">
        <f t="shared" si="30"/>
        <v>0</v>
      </c>
      <c r="AO32" s="4211">
        <f t="shared" si="46"/>
        <v>0</v>
      </c>
      <c r="AP32" s="4216"/>
      <c r="AQ32" s="3341"/>
      <c r="AR32" s="3341"/>
      <c r="AS32" s="3349">
        <f t="shared" si="31"/>
        <v>0</v>
      </c>
      <c r="AT32" s="4211">
        <f t="shared" si="47"/>
        <v>0</v>
      </c>
      <c r="AU32" s="4215"/>
      <c r="AV32" s="3341"/>
      <c r="AW32" s="3341"/>
      <c r="AX32" s="3349">
        <f t="shared" si="32"/>
        <v>0</v>
      </c>
      <c r="AY32" s="4211" t="e">
        <f t="shared" si="48"/>
        <v>#DIV/0!</v>
      </c>
      <c r="AZ32" s="4215"/>
      <c r="BA32" s="3341"/>
      <c r="BB32" s="3341"/>
      <c r="BC32" s="3349">
        <f t="shared" si="33"/>
        <v>0</v>
      </c>
      <c r="BD32" s="4211" t="e">
        <f t="shared" si="49"/>
        <v>#DIV/0!</v>
      </c>
      <c r="BE32" s="4215"/>
      <c r="BF32" s="3341"/>
      <c r="BG32" s="3341"/>
      <c r="BH32" s="3349">
        <f t="shared" si="34"/>
        <v>0</v>
      </c>
      <c r="BI32" s="4211" t="e">
        <f t="shared" si="50"/>
        <v>#DIV/0!</v>
      </c>
      <c r="BJ32" s="4215"/>
      <c r="BK32" s="3341"/>
      <c r="BL32" s="3341"/>
      <c r="BM32" s="3349">
        <f t="shared" si="35"/>
        <v>0</v>
      </c>
      <c r="BN32" s="4211" t="e">
        <f t="shared" si="51"/>
        <v>#DIV/0!</v>
      </c>
      <c r="BO32" s="4215"/>
      <c r="BP32" s="3341"/>
      <c r="BQ32" s="3341"/>
      <c r="BR32" s="3349">
        <f t="shared" si="36"/>
        <v>0</v>
      </c>
      <c r="BS32" s="4211" t="e">
        <f t="shared" si="52"/>
        <v>#DIV/0!</v>
      </c>
      <c r="BT32" s="4215"/>
      <c r="BU32" s="3341"/>
      <c r="BV32" s="3341"/>
      <c r="BW32" s="3349">
        <f t="shared" si="37"/>
        <v>0</v>
      </c>
      <c r="BX32" s="4211" t="e">
        <f t="shared" si="53"/>
        <v>#DIV/0!</v>
      </c>
      <c r="BY32" s="4215"/>
      <c r="BZ32" s="3341"/>
      <c r="CA32" s="3341"/>
      <c r="CB32" s="3349">
        <f t="shared" si="38"/>
        <v>0</v>
      </c>
      <c r="CC32" s="4211" t="e">
        <f t="shared" si="54"/>
        <v>#DIV/0!</v>
      </c>
      <c r="CD32" s="4215"/>
      <c r="CE32" s="3341"/>
      <c r="CF32" s="3341"/>
      <c r="CG32" s="3349">
        <f t="shared" si="39"/>
        <v>0</v>
      </c>
      <c r="CH32" s="4211" t="e">
        <f t="shared" si="55"/>
        <v>#DIV/0!</v>
      </c>
      <c r="CI32" s="4215"/>
      <c r="CJ32" s="4217">
        <f t="shared" si="40"/>
        <v>0</v>
      </c>
      <c r="CK32" s="4218">
        <f t="shared" si="40"/>
        <v>0</v>
      </c>
      <c r="CL32" s="3349">
        <f t="shared" si="56"/>
        <v>0</v>
      </c>
      <c r="CM32" s="4211">
        <f t="shared" si="41"/>
        <v>0</v>
      </c>
      <c r="CN32" s="4213"/>
      <c r="CP32" s="4200"/>
      <c r="CQ32" s="2012">
        <f t="shared" si="42"/>
        <v>0</v>
      </c>
      <c r="CR32" s="4202">
        <f t="shared" si="57"/>
        <v>0</v>
      </c>
      <c r="CT32" s="2624"/>
    </row>
    <row r="33" spans="1:98" s="1396" customFormat="1" ht="14.4" outlineLevel="2" thickBot="1">
      <c r="A33" s="1571"/>
      <c r="B33" s="4219" t="s">
        <v>75</v>
      </c>
      <c r="C33" s="4220"/>
      <c r="D33" s="4220"/>
      <c r="E33" s="4221">
        <f t="shared" ref="E33" si="59">C33+D33*1</f>
        <v>0</v>
      </c>
      <c r="F33" s="4222" t="e">
        <f t="shared" si="17"/>
        <v>#DIV/0!</v>
      </c>
      <c r="G33" s="4223"/>
      <c r="H33" s="4220"/>
      <c r="I33" s="4220"/>
      <c r="J33" s="4221">
        <f>H33+I33*1</f>
        <v>0</v>
      </c>
      <c r="K33" s="4222">
        <f t="shared" si="43"/>
        <v>0</v>
      </c>
      <c r="L33" s="4223"/>
      <c r="M33" s="4220"/>
      <c r="N33" s="4220"/>
      <c r="O33" s="4221">
        <f t="shared" ref="O33" si="60">M33+N33*1</f>
        <v>0</v>
      </c>
      <c r="P33" s="4211">
        <f t="shared" si="23"/>
        <v>0</v>
      </c>
      <c r="Q33" s="4223"/>
      <c r="R33" s="4224">
        <f t="shared" si="24"/>
        <v>0</v>
      </c>
      <c r="S33" s="4225">
        <f t="shared" si="24"/>
        <v>0</v>
      </c>
      <c r="T33" s="4226">
        <f t="shared" si="25"/>
        <v>0</v>
      </c>
      <c r="U33" s="4223"/>
      <c r="V33" s="4223"/>
      <c r="W33" s="4225">
        <f t="shared" si="26"/>
        <v>0</v>
      </c>
      <c r="X33" s="4225">
        <f t="shared" si="26"/>
        <v>0</v>
      </c>
      <c r="Y33" s="4226">
        <f t="shared" si="27"/>
        <v>0</v>
      </c>
      <c r="Z33" s="4223"/>
      <c r="AA33" s="4223"/>
      <c r="AB33" s="4221"/>
      <c r="AC33" s="4221"/>
      <c r="AD33" s="4221">
        <f t="shared" ref="AD33" si="61">AB33+AC33*1</f>
        <v>0</v>
      </c>
      <c r="AE33" s="4222">
        <f t="shared" si="44"/>
        <v>0</v>
      </c>
      <c r="AF33" s="4223"/>
      <c r="AG33" s="4220"/>
      <c r="AH33" s="4220"/>
      <c r="AI33" s="4221">
        <f t="shared" ref="AI33" si="62">AG33+AH33*1</f>
        <v>0</v>
      </c>
      <c r="AJ33" s="4222" t="e">
        <f t="shared" si="45"/>
        <v>#DIV/0!</v>
      </c>
      <c r="AK33" s="4223"/>
      <c r="AL33" s="4220"/>
      <c r="AM33" s="4220"/>
      <c r="AN33" s="4221">
        <f t="shared" ref="AN33" si="63">AL33+AM33*1</f>
        <v>0</v>
      </c>
      <c r="AO33" s="4222">
        <f t="shared" si="46"/>
        <v>0</v>
      </c>
      <c r="AP33" s="4227"/>
      <c r="AQ33" s="4220"/>
      <c r="AR33" s="4220"/>
      <c r="AS33" s="4221">
        <f t="shared" ref="AS33" si="64">AQ33+AR33*1</f>
        <v>0</v>
      </c>
      <c r="AT33" s="4222">
        <f t="shared" si="47"/>
        <v>0</v>
      </c>
      <c r="AU33" s="4223"/>
      <c r="AV33" s="4220"/>
      <c r="AW33" s="4220"/>
      <c r="AX33" s="4221">
        <f t="shared" ref="AX33" si="65">AV33+AW33*1</f>
        <v>0</v>
      </c>
      <c r="AY33" s="4222" t="e">
        <f t="shared" si="48"/>
        <v>#DIV/0!</v>
      </c>
      <c r="AZ33" s="4223"/>
      <c r="BA33" s="4220"/>
      <c r="BB33" s="4220"/>
      <c r="BC33" s="4221">
        <f t="shared" ref="BC33" si="66">BA33+BB33*1</f>
        <v>0</v>
      </c>
      <c r="BD33" s="4222" t="e">
        <f t="shared" si="49"/>
        <v>#DIV/0!</v>
      </c>
      <c r="BE33" s="4223"/>
      <c r="BF33" s="4220"/>
      <c r="BG33" s="4220"/>
      <c r="BH33" s="4221">
        <f t="shared" ref="BH33" si="67">BF33+BG33*1</f>
        <v>0</v>
      </c>
      <c r="BI33" s="4222" t="e">
        <f t="shared" si="50"/>
        <v>#DIV/0!</v>
      </c>
      <c r="BJ33" s="4223"/>
      <c r="BK33" s="4220"/>
      <c r="BL33" s="4220"/>
      <c r="BM33" s="4221">
        <f t="shared" ref="BM33" si="68">BK33+BL33*1</f>
        <v>0</v>
      </c>
      <c r="BN33" s="4222" t="e">
        <f t="shared" si="51"/>
        <v>#DIV/0!</v>
      </c>
      <c r="BO33" s="4223"/>
      <c r="BP33" s="4220"/>
      <c r="BQ33" s="4220"/>
      <c r="BR33" s="4221">
        <f t="shared" ref="BR33" si="69">BP33+BQ33*1</f>
        <v>0</v>
      </c>
      <c r="BS33" s="4222" t="e">
        <f t="shared" si="52"/>
        <v>#DIV/0!</v>
      </c>
      <c r="BT33" s="4223"/>
      <c r="BU33" s="4220"/>
      <c r="BV33" s="4220"/>
      <c r="BW33" s="4221">
        <f t="shared" ref="BW33" si="70">BU33+BV33*1</f>
        <v>0</v>
      </c>
      <c r="BX33" s="4222" t="e">
        <f t="shared" si="53"/>
        <v>#DIV/0!</v>
      </c>
      <c r="BY33" s="4223"/>
      <c r="BZ33" s="4220"/>
      <c r="CA33" s="4220"/>
      <c r="CB33" s="4221">
        <f t="shared" ref="CB33" si="71">BZ33+CA33*1</f>
        <v>0</v>
      </c>
      <c r="CC33" s="4222" t="e">
        <f t="shared" si="54"/>
        <v>#DIV/0!</v>
      </c>
      <c r="CD33" s="4223"/>
      <c r="CE33" s="4220"/>
      <c r="CF33" s="4220"/>
      <c r="CG33" s="4221">
        <f t="shared" ref="CG33" si="72">CE33+CF33*1</f>
        <v>0</v>
      </c>
      <c r="CH33" s="4222" t="e">
        <f t="shared" si="55"/>
        <v>#DIV/0!</v>
      </c>
      <c r="CI33" s="4223"/>
      <c r="CJ33" s="4228">
        <f t="shared" si="40"/>
        <v>0</v>
      </c>
      <c r="CK33" s="4220">
        <f t="shared" si="40"/>
        <v>0</v>
      </c>
      <c r="CL33" s="4221">
        <f t="shared" si="56"/>
        <v>0</v>
      </c>
      <c r="CM33" s="4229">
        <f t="shared" si="41"/>
        <v>0</v>
      </c>
      <c r="CN33" s="4230"/>
      <c r="CP33" s="4200"/>
      <c r="CQ33" s="4200"/>
      <c r="CR33" s="4202">
        <f t="shared" si="57"/>
        <v>0</v>
      </c>
      <c r="CT33" s="2624"/>
    </row>
    <row r="34" spans="1:98"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9"/>
      <c r="AC34" s="3349"/>
      <c r="AD34" s="3784"/>
      <c r="AE34" s="3368"/>
      <c r="AF34" s="3448"/>
      <c r="AG34" s="3341"/>
      <c r="AH34" s="3341"/>
      <c r="AI34" s="3368"/>
      <c r="AJ34" s="3368"/>
      <c r="AK34" s="3448"/>
      <c r="AL34" s="3341"/>
      <c r="AM34" s="3341"/>
      <c r="AN34" s="3368"/>
      <c r="AO34" s="3368"/>
      <c r="AP34" s="3721"/>
      <c r="AQ34" s="3341"/>
      <c r="AR34" s="3341"/>
      <c r="AS34" s="3368"/>
      <c r="AT34" s="3368"/>
      <c r="AU34" s="3448"/>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3449"/>
      <c r="CQ34" s="3449"/>
      <c r="CR34" s="3450"/>
      <c r="CT34" s="2624"/>
    </row>
    <row r="35" spans="1:98" s="1396" customFormat="1" ht="13.8" outlineLevel="1">
      <c r="A35" s="1571"/>
      <c r="B35" s="4231" t="s">
        <v>80</v>
      </c>
      <c r="C35" s="4232">
        <f>C36</f>
        <v>0</v>
      </c>
      <c r="D35" s="4232">
        <f>D36</f>
        <v>0</v>
      </c>
      <c r="E35" s="4233">
        <f>E36</f>
        <v>0</v>
      </c>
      <c r="F35" s="4233"/>
      <c r="G35" s="4234"/>
      <c r="H35" s="4232">
        <f>H36</f>
        <v>0</v>
      </c>
      <c r="I35" s="4232">
        <f>I36</f>
        <v>0</v>
      </c>
      <c r="J35" s="4233">
        <f>J36</f>
        <v>0</v>
      </c>
      <c r="K35" s="4233"/>
      <c r="L35" s="4234"/>
      <c r="M35" s="4232">
        <f>M36</f>
        <v>0</v>
      </c>
      <c r="N35" s="4232">
        <f>N36</f>
        <v>0</v>
      </c>
      <c r="O35" s="4233">
        <f>O36</f>
        <v>0</v>
      </c>
      <c r="P35" s="4233"/>
      <c r="Q35" s="4234"/>
      <c r="R35" s="4232">
        <f>R36</f>
        <v>0</v>
      </c>
      <c r="S35" s="4232">
        <f>S36</f>
        <v>0</v>
      </c>
      <c r="T35" s="4233">
        <f>T36</f>
        <v>0</v>
      </c>
      <c r="U35" s="4235"/>
      <c r="V35" s="4235"/>
      <c r="W35" s="4232">
        <f>W36</f>
        <v>0</v>
      </c>
      <c r="X35" s="4232">
        <f>X36</f>
        <v>0</v>
      </c>
      <c r="Y35" s="4233">
        <f>Y36</f>
        <v>0</v>
      </c>
      <c r="Z35" s="4235"/>
      <c r="AA35" s="4235"/>
      <c r="AB35" s="4236">
        <f>AB36</f>
        <v>0</v>
      </c>
      <c r="AC35" s="4236">
        <f>AC36</f>
        <v>0</v>
      </c>
      <c r="AD35" s="4237">
        <f>AD36</f>
        <v>0</v>
      </c>
      <c r="AE35" s="4233"/>
      <c r="AF35" s="4234"/>
      <c r="AG35" s="4232">
        <f>AG36</f>
        <v>0</v>
      </c>
      <c r="AH35" s="4232">
        <f>AH36</f>
        <v>0</v>
      </c>
      <c r="AI35" s="4233">
        <f>AI36</f>
        <v>0</v>
      </c>
      <c r="AJ35" s="4233"/>
      <c r="AK35" s="4234"/>
      <c r="AL35" s="4232">
        <f>AL36</f>
        <v>0</v>
      </c>
      <c r="AM35" s="4232">
        <f>AM36</f>
        <v>0</v>
      </c>
      <c r="AN35" s="4233">
        <f>AN36</f>
        <v>0</v>
      </c>
      <c r="AO35" s="4233"/>
      <c r="AP35" s="4238"/>
      <c r="AQ35" s="4232">
        <f>AQ36</f>
        <v>0</v>
      </c>
      <c r="AR35" s="4232">
        <f>AR36</f>
        <v>0</v>
      </c>
      <c r="AS35" s="4233">
        <f>AS36</f>
        <v>0</v>
      </c>
      <c r="AT35" s="4233"/>
      <c r="AU35" s="4234"/>
      <c r="AV35" s="4232">
        <f>AV36</f>
        <v>0</v>
      </c>
      <c r="AW35" s="4232">
        <f>AW36</f>
        <v>0</v>
      </c>
      <c r="AX35" s="4233">
        <f>AX36</f>
        <v>0</v>
      </c>
      <c r="AY35" s="4233"/>
      <c r="AZ35" s="4234"/>
      <c r="BA35" s="4232">
        <f>BA36</f>
        <v>0</v>
      </c>
      <c r="BB35" s="4232">
        <f>BB36</f>
        <v>0</v>
      </c>
      <c r="BC35" s="4233">
        <f>BC36</f>
        <v>0</v>
      </c>
      <c r="BD35" s="4233"/>
      <c r="BE35" s="4234"/>
      <c r="BF35" s="4232">
        <f>BF36</f>
        <v>0</v>
      </c>
      <c r="BG35" s="4232">
        <f>BG36</f>
        <v>0</v>
      </c>
      <c r="BH35" s="4233">
        <f>BH36</f>
        <v>0</v>
      </c>
      <c r="BI35" s="4233"/>
      <c r="BJ35" s="4234"/>
      <c r="BK35" s="4232">
        <f>BK36</f>
        <v>0</v>
      </c>
      <c r="BL35" s="4232">
        <f>BL36</f>
        <v>0</v>
      </c>
      <c r="BM35" s="4233">
        <f>BM36</f>
        <v>0</v>
      </c>
      <c r="BN35" s="4233"/>
      <c r="BO35" s="4234"/>
      <c r="BP35" s="4232">
        <f>BP36</f>
        <v>0</v>
      </c>
      <c r="BQ35" s="4232">
        <f>BQ36</f>
        <v>0</v>
      </c>
      <c r="BR35" s="4233">
        <f>BR36</f>
        <v>0</v>
      </c>
      <c r="BS35" s="4233"/>
      <c r="BT35" s="4234"/>
      <c r="BU35" s="4232">
        <f>BU36</f>
        <v>0</v>
      </c>
      <c r="BV35" s="4232">
        <f>BV36</f>
        <v>0</v>
      </c>
      <c r="BW35" s="4233">
        <f>BW36</f>
        <v>0</v>
      </c>
      <c r="BX35" s="4233"/>
      <c r="BY35" s="4234"/>
      <c r="BZ35" s="4232">
        <f>BZ36</f>
        <v>0</v>
      </c>
      <c r="CA35" s="4232">
        <f>CA36</f>
        <v>0</v>
      </c>
      <c r="CB35" s="4233">
        <f>CB36</f>
        <v>0</v>
      </c>
      <c r="CC35" s="4233"/>
      <c r="CD35" s="4234"/>
      <c r="CE35" s="4232">
        <f>CE36</f>
        <v>0</v>
      </c>
      <c r="CF35" s="4232">
        <f>CF36</f>
        <v>0</v>
      </c>
      <c r="CG35" s="4233">
        <f>CG36</f>
        <v>0</v>
      </c>
      <c r="CH35" s="4233"/>
      <c r="CI35" s="4234"/>
      <c r="CJ35" s="4232">
        <f>CJ36</f>
        <v>0</v>
      </c>
      <c r="CK35" s="4232">
        <f>CK36</f>
        <v>0</v>
      </c>
      <c r="CL35" s="4233">
        <f>CL36</f>
        <v>0</v>
      </c>
      <c r="CM35" s="4233"/>
      <c r="CN35" s="4233"/>
      <c r="CP35" s="4233">
        <f>CP36</f>
        <v>0</v>
      </c>
      <c r="CQ35" s="4233">
        <f>CQ36</f>
        <v>0</v>
      </c>
      <c r="CR35" s="4239">
        <f>CR36</f>
        <v>0</v>
      </c>
      <c r="CT35" s="2624"/>
    </row>
    <row r="36" spans="1:98" s="1396" customFormat="1" ht="13.8" outlineLevel="3">
      <c r="A36" s="1571"/>
      <c r="B36" s="4240" t="s">
        <v>81</v>
      </c>
      <c r="C36" s="3341"/>
      <c r="D36" s="3341"/>
      <c r="E36" s="2012">
        <f>C36+D36*1</f>
        <v>0</v>
      </c>
      <c r="F36" s="4211" t="e">
        <f>E36/$E$89</f>
        <v>#DIV/0!</v>
      </c>
      <c r="G36" s="4241"/>
      <c r="H36" s="3341"/>
      <c r="I36" s="3341"/>
      <c r="J36" s="2012">
        <f>H36+I36*1</f>
        <v>0</v>
      </c>
      <c r="K36" s="4211">
        <f t="shared" ref="K36" si="73">J36/J$89</f>
        <v>0</v>
      </c>
      <c r="L36" s="4241"/>
      <c r="M36" s="3341"/>
      <c r="N36" s="3341"/>
      <c r="O36" s="3349">
        <f t="shared" ref="O36" si="74">M36+N36</f>
        <v>0</v>
      </c>
      <c r="P36" s="4211">
        <f t="shared" ref="P36" si="75">O36/O$89</f>
        <v>0</v>
      </c>
      <c r="Q36" s="4241"/>
      <c r="R36" s="3342">
        <f t="shared" ref="R36:S36" si="76">M36+H36+C36</f>
        <v>0</v>
      </c>
      <c r="S36" s="3342">
        <f t="shared" si="76"/>
        <v>0</v>
      </c>
      <c r="T36" s="2012">
        <f t="shared" ref="T36" si="77">R36+S36</f>
        <v>0</v>
      </c>
      <c r="U36" s="3455"/>
      <c r="V36" s="3455"/>
      <c r="W36" s="3342">
        <f t="shared" ref="W36:X36" si="78">AB36+AG36+AL36+AV36+BA36+BF36+BK36+BP36+BU36+BZ36+CE36+AQ36</f>
        <v>0</v>
      </c>
      <c r="X36" s="3342">
        <f t="shared" si="78"/>
        <v>0</v>
      </c>
      <c r="Y36" s="2012">
        <f t="shared" ref="Y36" si="79">W36+X36</f>
        <v>0</v>
      </c>
      <c r="Z36" s="3455"/>
      <c r="AA36" s="3455"/>
      <c r="AB36" s="3349"/>
      <c r="AC36" s="3349"/>
      <c r="AD36" s="3349">
        <f t="shared" ref="AD36" si="80">AB36+AC36</f>
        <v>0</v>
      </c>
      <c r="AE36" s="4211">
        <f>AD36/AD$89</f>
        <v>0</v>
      </c>
      <c r="AF36" s="4241"/>
      <c r="AG36" s="3341"/>
      <c r="AH36" s="3341"/>
      <c r="AI36" s="3349">
        <f t="shared" ref="AI36" si="81">AG36+AH36</f>
        <v>0</v>
      </c>
      <c r="AJ36" s="4211" t="e">
        <f>AI36/AI$89</f>
        <v>#DIV/0!</v>
      </c>
      <c r="AK36" s="4241"/>
      <c r="AL36" s="3341"/>
      <c r="AM36" s="3341"/>
      <c r="AN36" s="3349">
        <f t="shared" ref="AN36" si="82">AL36+AM36</f>
        <v>0</v>
      </c>
      <c r="AO36" s="4211">
        <f>AN36/AN$89</f>
        <v>0</v>
      </c>
      <c r="AP36" s="4242"/>
      <c r="AQ36" s="3341"/>
      <c r="AR36" s="3341"/>
      <c r="AS36" s="3349">
        <f t="shared" ref="AS36" si="83">AQ36+AR36</f>
        <v>0</v>
      </c>
      <c r="AT36" s="4211">
        <f>AS36/AS$89</f>
        <v>0</v>
      </c>
      <c r="AU36" s="4241"/>
      <c r="AV36" s="3341"/>
      <c r="AW36" s="3341"/>
      <c r="AX36" s="3349">
        <f t="shared" ref="AX36" si="84">AV36+AW36</f>
        <v>0</v>
      </c>
      <c r="AY36" s="4211" t="e">
        <f>AX36/AX$89</f>
        <v>#DIV/0!</v>
      </c>
      <c r="AZ36" s="4241"/>
      <c r="BA36" s="3341"/>
      <c r="BB36" s="3341"/>
      <c r="BC36" s="3349">
        <f t="shared" ref="BC36" si="85">BA36+BB36</f>
        <v>0</v>
      </c>
      <c r="BD36" s="4211" t="e">
        <f>BC36/BC$89</f>
        <v>#DIV/0!</v>
      </c>
      <c r="BE36" s="4241"/>
      <c r="BF36" s="3341"/>
      <c r="BG36" s="3341"/>
      <c r="BH36" s="3349">
        <f t="shared" ref="BH36" si="86">BF36+BG36</f>
        <v>0</v>
      </c>
      <c r="BI36" s="4211" t="e">
        <f>BH36/BH$89</f>
        <v>#DIV/0!</v>
      </c>
      <c r="BJ36" s="4241"/>
      <c r="BK36" s="3341"/>
      <c r="BL36" s="3341"/>
      <c r="BM36" s="3349">
        <f t="shared" ref="BM36" si="87">BK36+BL36</f>
        <v>0</v>
      </c>
      <c r="BN36" s="4211" t="e">
        <f>BM36/BM$89</f>
        <v>#DIV/0!</v>
      </c>
      <c r="BO36" s="4241"/>
      <c r="BP36" s="3341"/>
      <c r="BQ36" s="3341"/>
      <c r="BR36" s="3349">
        <f t="shared" ref="BR36" si="88">BP36+BQ36</f>
        <v>0</v>
      </c>
      <c r="BS36" s="4211" t="e">
        <f>BR36/BR$89</f>
        <v>#DIV/0!</v>
      </c>
      <c r="BT36" s="4241"/>
      <c r="BU36" s="3341"/>
      <c r="BV36" s="3341"/>
      <c r="BW36" s="3349">
        <f t="shared" ref="BW36" si="89">BU36+BV36</f>
        <v>0</v>
      </c>
      <c r="BX36" s="4211" t="e">
        <f>BW36/BW$89</f>
        <v>#DIV/0!</v>
      </c>
      <c r="BY36" s="4241"/>
      <c r="BZ36" s="3341"/>
      <c r="CA36" s="3341"/>
      <c r="CB36" s="3349">
        <f t="shared" ref="CB36" si="90">BZ36+CA36</f>
        <v>0</v>
      </c>
      <c r="CC36" s="4211" t="e">
        <f>CB36/CB$89</f>
        <v>#DIV/0!</v>
      </c>
      <c r="CD36" s="4241"/>
      <c r="CE36" s="3341"/>
      <c r="CF36" s="3341"/>
      <c r="CG36" s="3349">
        <f t="shared" ref="CG36" si="91">CE36+CF36</f>
        <v>0</v>
      </c>
      <c r="CH36" s="4211" t="e">
        <f>CG36/CG$89</f>
        <v>#DIV/0!</v>
      </c>
      <c r="CI36" s="4241"/>
      <c r="CJ36" s="3341">
        <f t="shared" ref="CJ36:CK36" si="92">C36+H36+M36+W36</f>
        <v>0</v>
      </c>
      <c r="CK36" s="3341">
        <f t="shared" si="92"/>
        <v>0</v>
      </c>
      <c r="CL36" s="2012">
        <f>CJ36+CK36*1</f>
        <v>0</v>
      </c>
      <c r="CM36" s="4211">
        <f>CL36/$CL$89</f>
        <v>0</v>
      </c>
      <c r="CN36" s="4243"/>
      <c r="CP36" s="2012"/>
      <c r="CQ36" s="2012">
        <f t="shared" ref="CQ36" si="93">CL36</f>
        <v>0</v>
      </c>
      <c r="CR36" s="4202">
        <f t="shared" ref="CR36" si="94">CP36-CQ36</f>
        <v>0</v>
      </c>
      <c r="CT36" s="3443"/>
    </row>
    <row r="37" spans="1:98" s="1396" customFormat="1" ht="14.4" outlineLevel="1" thickBot="1">
      <c r="A37" s="1398"/>
      <c r="B37" s="4244"/>
      <c r="C37" s="3341"/>
      <c r="D37" s="3341"/>
      <c r="E37" s="4245"/>
      <c r="F37" s="4245"/>
      <c r="G37" s="4246"/>
      <c r="H37" s="3341"/>
      <c r="I37" s="3341"/>
      <c r="J37" s="4245"/>
      <c r="K37" s="4245"/>
      <c r="L37" s="4246"/>
      <c r="M37" s="3341"/>
      <c r="N37" s="3341"/>
      <c r="O37" s="4245"/>
      <c r="P37" s="4245"/>
      <c r="Q37" s="4246"/>
      <c r="R37" s="3456"/>
      <c r="S37" s="3456"/>
      <c r="T37" s="3456"/>
      <c r="U37" s="3456"/>
      <c r="V37" s="3456"/>
      <c r="W37" s="3342">
        <f t="shared" ref="W37:X37" si="95">AB37+AG37+AL37+AV37+BA37+BF37+BK37+BP37+BU37+BZ37+CE37</f>
        <v>0</v>
      </c>
      <c r="X37" s="3342">
        <f t="shared" si="95"/>
        <v>0</v>
      </c>
      <c r="Y37" s="3456"/>
      <c r="Z37" s="3456"/>
      <c r="AA37" s="3456"/>
      <c r="AB37" s="3349"/>
      <c r="AC37" s="3349"/>
      <c r="AD37" s="4247"/>
      <c r="AE37" s="4245"/>
      <c r="AF37" s="4246"/>
      <c r="AG37" s="3341"/>
      <c r="AH37" s="3341"/>
      <c r="AI37" s="4245"/>
      <c r="AJ37" s="4245"/>
      <c r="AK37" s="4246"/>
      <c r="AL37" s="3341"/>
      <c r="AM37" s="3341"/>
      <c r="AN37" s="4245"/>
      <c r="AO37" s="4245"/>
      <c r="AP37" s="4248"/>
      <c r="AQ37" s="3341"/>
      <c r="AR37" s="3341"/>
      <c r="AS37" s="4245"/>
      <c r="AT37" s="4245"/>
      <c r="AU37" s="4246"/>
      <c r="AV37" s="3341"/>
      <c r="AW37" s="3341"/>
      <c r="AX37" s="4245"/>
      <c r="AY37" s="4245"/>
      <c r="AZ37" s="4246"/>
      <c r="BA37" s="3341"/>
      <c r="BB37" s="3341"/>
      <c r="BC37" s="4245"/>
      <c r="BD37" s="4245"/>
      <c r="BE37" s="4246"/>
      <c r="BF37" s="3341"/>
      <c r="BG37" s="3341"/>
      <c r="BH37" s="4245"/>
      <c r="BI37" s="4245"/>
      <c r="BJ37" s="4246"/>
      <c r="BK37" s="3341"/>
      <c r="BL37" s="3341"/>
      <c r="BM37" s="4245"/>
      <c r="BN37" s="4245"/>
      <c r="BO37" s="4246"/>
      <c r="BP37" s="3341"/>
      <c r="BQ37" s="3341"/>
      <c r="BR37" s="4245"/>
      <c r="BS37" s="4245"/>
      <c r="BT37" s="4246"/>
      <c r="BU37" s="3341"/>
      <c r="BV37" s="3341"/>
      <c r="BW37" s="4245"/>
      <c r="BX37" s="4245"/>
      <c r="BY37" s="4246"/>
      <c r="BZ37" s="3341"/>
      <c r="CA37" s="3341"/>
      <c r="CB37" s="4245"/>
      <c r="CC37" s="4245"/>
      <c r="CD37" s="4246"/>
      <c r="CE37" s="3341"/>
      <c r="CF37" s="3341"/>
      <c r="CG37" s="4245"/>
      <c r="CH37" s="4245"/>
      <c r="CI37" s="4246"/>
      <c r="CJ37" s="3341"/>
      <c r="CK37" s="3341"/>
      <c r="CL37" s="4245"/>
      <c r="CM37" s="4245"/>
      <c r="CN37" s="4245"/>
      <c r="CP37" s="4249"/>
      <c r="CQ37" s="4249"/>
      <c r="CR37" s="4250"/>
      <c r="CT37" s="2624"/>
    </row>
    <row r="38" spans="1:98" s="3752" customFormat="1" ht="14.4" thickBot="1">
      <c r="A38" s="3747"/>
      <c r="B38" s="3748" t="s">
        <v>46</v>
      </c>
      <c r="C38" s="3749">
        <f>(C5)-(C8)</f>
        <v>0</v>
      </c>
      <c r="D38" s="3749">
        <f>(D5)-(D8)</f>
        <v>0</v>
      </c>
      <c r="E38" s="3749">
        <f>(E5)-(E8)</f>
        <v>0</v>
      </c>
      <c r="F38" s="3749"/>
      <c r="G38" s="3750"/>
      <c r="H38" s="3749">
        <f>(H5)-(H8)</f>
        <v>0</v>
      </c>
      <c r="I38" s="3749">
        <f>(I5)-(I8)</f>
        <v>-9680</v>
      </c>
      <c r="J38" s="3749">
        <f>(J5)-(J8)</f>
        <v>-9680</v>
      </c>
      <c r="K38" s="3749"/>
      <c r="L38" s="3750"/>
      <c r="M38" s="3749">
        <f>(M5)-(M8)</f>
        <v>-8000</v>
      </c>
      <c r="N38" s="3749">
        <f>(N5)-(N8)</f>
        <v>0</v>
      </c>
      <c r="O38" s="3749">
        <f>(O5)-(O8)</f>
        <v>-8000</v>
      </c>
      <c r="P38" s="3749"/>
      <c r="Q38" s="3750"/>
      <c r="R38" s="3749">
        <f>(R5)-(R8)</f>
        <v>-8000</v>
      </c>
      <c r="S38" s="3749">
        <f>(S5)-(S8)</f>
        <v>-9680</v>
      </c>
      <c r="T38" s="3749">
        <f>(T5)-(T8)</f>
        <v>-17680</v>
      </c>
      <c r="U38" s="3750"/>
      <c r="V38" s="3750"/>
      <c r="W38" s="3749">
        <f>(W5)-(W8)</f>
        <v>83944.680000000008</v>
      </c>
      <c r="X38" s="3749">
        <f>(X5)-(X8)</f>
        <v>-9313</v>
      </c>
      <c r="Y38" s="3749">
        <f>(Y5)-(Y8)</f>
        <v>74631.680000000008</v>
      </c>
      <c r="Z38" s="3750"/>
      <c r="AA38" s="3750"/>
      <c r="AB38" s="3751">
        <f>(AB5)-(AB8)</f>
        <v>10800</v>
      </c>
      <c r="AC38" s="3751">
        <f>(AC5)-(AC8)</f>
        <v>-9313</v>
      </c>
      <c r="AD38" s="3751">
        <f>(AD5)-(AD8)</f>
        <v>1487</v>
      </c>
      <c r="AE38" s="3749"/>
      <c r="AF38" s="3750"/>
      <c r="AG38" s="3749">
        <f>(AG5)-(AG8)</f>
        <v>0</v>
      </c>
      <c r="AH38" s="3749">
        <f>(AH5)-(AH8)</f>
        <v>0</v>
      </c>
      <c r="AI38" s="3749">
        <f>(AI5)-(AI8)</f>
        <v>0</v>
      </c>
      <c r="AJ38" s="3749"/>
      <c r="AK38" s="3750"/>
      <c r="AL38" s="3749">
        <f>(AL5)-(AL8)</f>
        <v>62989.680000000008</v>
      </c>
      <c r="AM38" s="3749">
        <f>(AM5)-(AM8)</f>
        <v>0</v>
      </c>
      <c r="AN38" s="3749">
        <f>(AN5)-(AN8)</f>
        <v>62989.680000000008</v>
      </c>
      <c r="AO38" s="3749"/>
      <c r="AP38" s="3749"/>
      <c r="AQ38" s="3749">
        <f>(AQ5)-(AQ8)</f>
        <v>10155</v>
      </c>
      <c r="AR38" s="3749">
        <f>(AR5)-(AR8)</f>
        <v>0</v>
      </c>
      <c r="AS38" s="3749">
        <f>(AS5)-(AS8)</f>
        <v>10155</v>
      </c>
      <c r="AT38" s="3749"/>
      <c r="AU38" s="3750"/>
      <c r="AV38" s="3749">
        <f>(AV5)-(AV8)</f>
        <v>0</v>
      </c>
      <c r="AW38" s="3749">
        <f>(AW5)-(AW8)</f>
        <v>0</v>
      </c>
      <c r="AX38" s="3749">
        <f>(AX5)-(AX8)</f>
        <v>0</v>
      </c>
      <c r="AY38" s="3749"/>
      <c r="AZ38" s="3750"/>
      <c r="BA38" s="3749">
        <f>(BA5)-(BA8)</f>
        <v>0</v>
      </c>
      <c r="BB38" s="3749">
        <f>(BB5)-(BB8)</f>
        <v>0</v>
      </c>
      <c r="BC38" s="3749">
        <f>(BC5)-(BC8)</f>
        <v>0</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75944.680000000008</v>
      </c>
      <c r="CK38" s="3751">
        <f>(CK5)-(CK8)</f>
        <v>-18993</v>
      </c>
      <c r="CL38" s="3751">
        <f>(CL5)-(CL8)</f>
        <v>56951.680000000008</v>
      </c>
      <c r="CM38" s="3749"/>
      <c r="CN38" s="3749"/>
      <c r="CP38" s="3749">
        <f>(CP5)-(CP8)</f>
        <v>43931.98</v>
      </c>
      <c r="CQ38" s="3760">
        <f>(CQ5)-(CQ8)</f>
        <v>56951.680000000008</v>
      </c>
      <c r="CR38" s="3749">
        <f>(CR5)-(CR8)</f>
        <v>-13019.7</v>
      </c>
      <c r="CT38" s="3761"/>
    </row>
    <row r="39" spans="1:98"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3785">
        <f>IFERROR(AB38/(AB5),0)</f>
        <v>1</v>
      </c>
      <c r="AC39" s="3785">
        <f>IFERROR(AC38/(AC5),0)</f>
        <v>0</v>
      </c>
      <c r="AD39" s="3786">
        <f>IFERROR(AD38/(AD5),0)</f>
        <v>0.13768518518518519</v>
      </c>
      <c r="AE39" s="2004"/>
      <c r="AF39" s="1056"/>
      <c r="AG39" s="2003">
        <f>IFERROR(AG38/(AG5),0)</f>
        <v>0</v>
      </c>
      <c r="AH39" s="2003">
        <f>IFERROR(AH38/(AH5),0)</f>
        <v>0</v>
      </c>
      <c r="AI39" s="2004">
        <f>IFERROR(AI38/(AI5),0)</f>
        <v>0</v>
      </c>
      <c r="AJ39" s="2004"/>
      <c r="AK39" s="1056"/>
      <c r="AL39" s="2003">
        <f>IFERROR(AL38/(AL5),0)</f>
        <v>0.67225089183888187</v>
      </c>
      <c r="AM39" s="2003">
        <f>IFERROR(AM38/(AM5),0)</f>
        <v>0</v>
      </c>
      <c r="AN39" s="2004">
        <f>IFERROR(AN38/(AN5),0)</f>
        <v>0.67225089183888187</v>
      </c>
      <c r="AO39" s="2004"/>
      <c r="AP39" s="3722"/>
      <c r="AQ39" s="2003">
        <f>IFERROR(AQ38/(AQ5),0)</f>
        <v>0.92318181818181821</v>
      </c>
      <c r="AR39" s="2003">
        <f>IFERROR(AR38/(AR5),0)</f>
        <v>0</v>
      </c>
      <c r="AS39" s="2004">
        <f>IFERROR(AS38/(AS5),0)</f>
        <v>0.92318181818181821</v>
      </c>
      <c r="AT39" s="2004"/>
      <c r="AU39" s="1056"/>
      <c r="AV39" s="2003">
        <f>IFERROR(AV38/(AV5),0)</f>
        <v>0</v>
      </c>
      <c r="AW39" s="2003">
        <f>IFERROR(AW38/(AW5),0)</f>
        <v>0</v>
      </c>
      <c r="AX39" s="2004">
        <f>IFERROR(AX38/(AX5),0)</f>
        <v>0</v>
      </c>
      <c r="AY39" s="2004"/>
      <c r="AZ39" s="1056"/>
      <c r="BA39" s="2003">
        <f>IFERROR(BA38/(BA5),0)</f>
        <v>0</v>
      </c>
      <c r="BB39" s="2003">
        <f>IFERROR(BB38/(BB5),0)</f>
        <v>0</v>
      </c>
      <c r="BC39" s="2004">
        <f>IFERROR(BC38/(BC5),0)</f>
        <v>0</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0.65753163256065006</v>
      </c>
      <c r="CK39" s="2003">
        <f>IFERROR(CK38/(CK5),0)</f>
        <v>0</v>
      </c>
      <c r="CL39" s="2004">
        <f>IFERROR(CL38/(CL5),0)</f>
        <v>0.49308959004727809</v>
      </c>
      <c r="CM39" s="2004"/>
      <c r="CN39" s="2004"/>
      <c r="CP39" s="2004">
        <f>CP38/(CP5)</f>
        <v>0.42040309030670531</v>
      </c>
      <c r="CQ39" s="2004">
        <f>IFERROR(CQ38/(CQ5),0)</f>
        <v>0.49308959004727809</v>
      </c>
      <c r="CR39" s="2004">
        <f>CR38/(CR5)</f>
        <v>1.1836090909090911</v>
      </c>
    </row>
    <row r="40" spans="1:98" ht="14.4" outlineLevel="1" thickBot="1">
      <c r="A40" s="1567"/>
      <c r="B40" s="4251"/>
      <c r="C40" s="4252"/>
      <c r="D40" s="4252"/>
      <c r="E40" s="4252"/>
      <c r="F40" s="4252"/>
      <c r="G40" s="4253"/>
      <c r="H40" s="4252"/>
      <c r="I40" s="4252"/>
      <c r="J40" s="4252"/>
      <c r="K40" s="4252"/>
      <c r="L40" s="4253"/>
      <c r="M40" s="4252"/>
      <c r="N40" s="4252"/>
      <c r="O40" s="4252"/>
      <c r="P40" s="4252"/>
      <c r="Q40" s="4253"/>
      <c r="R40" s="4253"/>
      <c r="S40" s="4253"/>
      <c r="T40" s="4253"/>
      <c r="U40" s="4253"/>
      <c r="V40" s="4253"/>
      <c r="W40" s="4253"/>
      <c r="X40" s="4253"/>
      <c r="Y40" s="4253"/>
      <c r="Z40" s="4253"/>
      <c r="AA40" s="4253"/>
      <c r="AB40" s="4254"/>
      <c r="AC40" s="4254"/>
      <c r="AD40" s="4254"/>
      <c r="AE40" s="4252"/>
      <c r="AF40" s="4253"/>
      <c r="AG40" s="4252"/>
      <c r="AH40" s="4252"/>
      <c r="AI40" s="4252"/>
      <c r="AJ40" s="4252"/>
      <c r="AK40" s="4253"/>
      <c r="AL40" s="4252"/>
      <c r="AM40" s="4252"/>
      <c r="AN40" s="4252"/>
      <c r="AO40" s="4252"/>
      <c r="AP40" s="4255"/>
      <c r="AQ40" s="4252"/>
      <c r="AR40" s="4252"/>
      <c r="AS40" s="4252"/>
      <c r="AT40" s="4252"/>
      <c r="AU40" s="4253"/>
      <c r="AV40" s="4252"/>
      <c r="AW40" s="4252"/>
      <c r="AX40" s="4252"/>
      <c r="AY40" s="4252"/>
      <c r="AZ40" s="4253"/>
      <c r="BA40" s="4252"/>
      <c r="BB40" s="4252"/>
      <c r="BC40" s="4252"/>
      <c r="BD40" s="4252"/>
      <c r="BE40" s="4253"/>
      <c r="BF40" s="4252"/>
      <c r="BG40" s="4252"/>
      <c r="BH40" s="4252"/>
      <c r="BI40" s="4252"/>
      <c r="BJ40" s="4253"/>
      <c r="BK40" s="4252"/>
      <c r="BL40" s="4252"/>
      <c r="BM40" s="4252"/>
      <c r="BN40" s="4252"/>
      <c r="BO40" s="4253"/>
      <c r="BP40" s="4252"/>
      <c r="BQ40" s="4252"/>
      <c r="BR40" s="4252"/>
      <c r="BS40" s="4252"/>
      <c r="BT40" s="4253"/>
      <c r="BU40" s="4252"/>
      <c r="BV40" s="4252"/>
      <c r="BW40" s="4252"/>
      <c r="BX40" s="4252"/>
      <c r="BY40" s="4253"/>
      <c r="BZ40" s="4252"/>
      <c r="CA40" s="4252"/>
      <c r="CB40" s="4252"/>
      <c r="CC40" s="4252"/>
      <c r="CD40" s="4253"/>
      <c r="CE40" s="4252"/>
      <c r="CF40" s="4252"/>
      <c r="CG40" s="4252"/>
      <c r="CH40" s="4252"/>
      <c r="CI40" s="4253"/>
      <c r="CJ40" s="4252"/>
      <c r="CK40" s="4252"/>
      <c r="CL40" s="4252"/>
      <c r="CM40" s="4252"/>
      <c r="CN40" s="4252"/>
      <c r="CP40" s="4256"/>
      <c r="CQ40" s="4256"/>
      <c r="CR40" s="4256"/>
    </row>
    <row r="41" spans="1:98" ht="13.8" outlineLevel="1">
      <c r="A41" s="1405"/>
      <c r="B41" s="1415" t="s">
        <v>26</v>
      </c>
      <c r="C41" s="2013">
        <f>SUM(C42:C48)</f>
        <v>0</v>
      </c>
      <c r="D41" s="2013">
        <f>SUM(D42:D48)</f>
        <v>0</v>
      </c>
      <c r="E41" s="2014">
        <f>SUM(E42:E48)</f>
        <v>0</v>
      </c>
      <c r="F41" s="4257" t="e">
        <f>E41/$E$89</f>
        <v>#DIV/0!</v>
      </c>
      <c r="G41" s="1057"/>
      <c r="H41" s="2013">
        <f>SUM(H42:H48)</f>
        <v>0</v>
      </c>
      <c r="I41" s="2013">
        <f>SUM(I42:I48)</f>
        <v>0</v>
      </c>
      <c r="J41" s="2014">
        <f>SUM(J42:J48)</f>
        <v>0</v>
      </c>
      <c r="K41" s="4257" t="e">
        <f>J41/$E$89</f>
        <v>#DIV/0!</v>
      </c>
      <c r="L41" s="1057"/>
      <c r="M41" s="2013">
        <f>SUM(M42:M48)</f>
        <v>0</v>
      </c>
      <c r="N41" s="2013">
        <f>SUM(N42:N48)</f>
        <v>0</v>
      </c>
      <c r="O41" s="2014">
        <f>SUM(O42:O48)</f>
        <v>0</v>
      </c>
      <c r="P41" s="4257" t="e">
        <f>O41/$E$89</f>
        <v>#DIV/0!</v>
      </c>
      <c r="Q41" s="1057"/>
      <c r="R41" s="2013">
        <f>SUM(R42:R48)</f>
        <v>0</v>
      </c>
      <c r="S41" s="2013">
        <f>SUM(S42:S48)</f>
        <v>0</v>
      </c>
      <c r="T41" s="2014">
        <f>SUM(T42:T48)</f>
        <v>0</v>
      </c>
      <c r="U41" s="4257"/>
      <c r="V41" s="3460"/>
      <c r="W41" s="2013">
        <f>SUM(W42:W48)</f>
        <v>0</v>
      </c>
      <c r="X41" s="2013">
        <f>SUM(X42:X48)</f>
        <v>0</v>
      </c>
      <c r="Y41" s="2014">
        <f>SUM(Y42:Y48)</f>
        <v>0</v>
      </c>
      <c r="Z41" s="4257"/>
      <c r="AA41" s="3460"/>
      <c r="AB41" s="2013">
        <f>SUM(AB42:AB48)</f>
        <v>0</v>
      </c>
      <c r="AC41" s="2013">
        <f>SUM(AC42:AC48)</f>
        <v>0</v>
      </c>
      <c r="AD41" s="2014">
        <f>SUM(AD42:AD48)</f>
        <v>0</v>
      </c>
      <c r="AE41" s="4257"/>
      <c r="AF41" s="1057"/>
      <c r="AG41" s="2013">
        <f>SUM(AG42:AG48)</f>
        <v>0</v>
      </c>
      <c r="AH41" s="2013">
        <f>SUM(AH42:AH48)</f>
        <v>0</v>
      </c>
      <c r="AI41" s="2014">
        <f>SUM(AI42:AI48)</f>
        <v>0</v>
      </c>
      <c r="AJ41" s="4257"/>
      <c r="AK41" s="1057"/>
      <c r="AL41" s="2013">
        <f>SUM(AL42:AL48)</f>
        <v>0</v>
      </c>
      <c r="AM41" s="2013">
        <f>SUM(AM42:AM48)</f>
        <v>0</v>
      </c>
      <c r="AN41" s="2014">
        <f>SUM(AN42:AN48)</f>
        <v>0</v>
      </c>
      <c r="AO41" s="4257"/>
      <c r="AP41" s="3723"/>
      <c r="AQ41" s="2013">
        <f>SUM(AQ42:AQ48)</f>
        <v>0</v>
      </c>
      <c r="AR41" s="2013">
        <f>SUM(AR42:AR48)</f>
        <v>0</v>
      </c>
      <c r="AS41" s="2014">
        <f>SUM(AS42:AS48)</f>
        <v>0</v>
      </c>
      <c r="AT41" s="4257"/>
      <c r="AU41" s="1057"/>
      <c r="AV41" s="2013">
        <f>SUM(AV42:AV48)</f>
        <v>0</v>
      </c>
      <c r="AW41" s="2013">
        <f>SUM(AW42:AW48)</f>
        <v>0</v>
      </c>
      <c r="AX41" s="2014">
        <f>SUM(AX42:AX48)</f>
        <v>0</v>
      </c>
      <c r="AY41" s="4257"/>
      <c r="AZ41" s="1057"/>
      <c r="BA41" s="2013">
        <f>SUM(BA42:BA48)</f>
        <v>0</v>
      </c>
      <c r="BB41" s="2013">
        <f>SUM(BB42:BB48)</f>
        <v>0</v>
      </c>
      <c r="BC41" s="2014">
        <f>SUM(BC42:BC48)</f>
        <v>0</v>
      </c>
      <c r="BD41" s="4257"/>
      <c r="BE41" s="1057"/>
      <c r="BF41" s="2013">
        <f>SUM(BF42:BF48)</f>
        <v>0</v>
      </c>
      <c r="BG41" s="2013">
        <f>SUM(BG42:BG48)</f>
        <v>0</v>
      </c>
      <c r="BH41" s="2014">
        <f>SUM(BH42:BH48)</f>
        <v>0</v>
      </c>
      <c r="BI41" s="4257"/>
      <c r="BJ41" s="1057"/>
      <c r="BK41" s="2013">
        <f>SUM(BK42:BK48)</f>
        <v>0</v>
      </c>
      <c r="BL41" s="2013">
        <f>SUM(BL42:BL48)</f>
        <v>0</v>
      </c>
      <c r="BM41" s="2014">
        <f>SUM(BM42:BM48)</f>
        <v>0</v>
      </c>
      <c r="BN41" s="4257"/>
      <c r="BO41" s="1057"/>
      <c r="BP41" s="2013">
        <f>SUM(BP42:BP48)</f>
        <v>0</v>
      </c>
      <c r="BQ41" s="2013">
        <f>SUM(BQ42:BQ48)</f>
        <v>0</v>
      </c>
      <c r="BR41" s="2014">
        <f>SUM(BR42:BR48)</f>
        <v>0</v>
      </c>
      <c r="BS41" s="4257"/>
      <c r="BT41" s="1057"/>
      <c r="BU41" s="2013">
        <f>SUM(BU42:BU48)</f>
        <v>0</v>
      </c>
      <c r="BV41" s="2013">
        <f>SUM(BV42:BV48)</f>
        <v>0</v>
      </c>
      <c r="BW41" s="2014">
        <f>SUM(BW42:BW48)</f>
        <v>0</v>
      </c>
      <c r="BX41" s="4257"/>
      <c r="BY41" s="1057"/>
      <c r="BZ41" s="2013">
        <f>SUM(BZ42:BZ48)</f>
        <v>0</v>
      </c>
      <c r="CA41" s="2013">
        <f>SUM(CA42:CA48)</f>
        <v>0</v>
      </c>
      <c r="CB41" s="2014">
        <f>SUM(CB42:CB48)</f>
        <v>0</v>
      </c>
      <c r="CC41" s="4257"/>
      <c r="CD41" s="1057"/>
      <c r="CE41" s="2013">
        <f>SUM(CE42:CE48)</f>
        <v>0</v>
      </c>
      <c r="CF41" s="2013">
        <f>SUM(CF42:CF48)</f>
        <v>0</v>
      </c>
      <c r="CG41" s="2014">
        <f>SUM(CG42:CG48)</f>
        <v>0</v>
      </c>
      <c r="CH41" s="4257"/>
      <c r="CI41" s="1057"/>
      <c r="CJ41" s="2013">
        <f>SUM(CJ42:CJ48)</f>
        <v>0</v>
      </c>
      <c r="CK41" s="2013">
        <f>SUM(CK42:CK48)</f>
        <v>0</v>
      </c>
      <c r="CL41" s="2014">
        <f>SUM(CL42:CL48)</f>
        <v>0</v>
      </c>
      <c r="CM41" s="4257">
        <f t="shared" ref="CM41:CM49" si="96">CL41/$CL$89</f>
        <v>0</v>
      </c>
      <c r="CN41" s="2006"/>
      <c r="CP41" s="2014">
        <f>SUM(CP42:CP48)</f>
        <v>0</v>
      </c>
      <c r="CQ41" s="2014">
        <f>SUM(CQ42:CQ48)</f>
        <v>0</v>
      </c>
      <c r="CR41" s="2014"/>
    </row>
    <row r="42" spans="1:98" ht="13.8" outlineLevel="2">
      <c r="A42" s="4833"/>
      <c r="B42" s="4258" t="s">
        <v>7</v>
      </c>
      <c r="C42" s="3341"/>
      <c r="D42" s="3341"/>
      <c r="E42" s="3349">
        <f t="shared" ref="E42:E48" si="97">C42+D42</f>
        <v>0</v>
      </c>
      <c r="F42" s="4211" t="e">
        <f t="shared" ref="F42:F48" si="98">E42/$E$89</f>
        <v>#DIV/0!</v>
      </c>
      <c r="G42" s="4259"/>
      <c r="H42" s="3341"/>
      <c r="I42" s="3341"/>
      <c r="J42" s="3349">
        <f t="shared" ref="J42:J48" si="99">H42+I42</f>
        <v>0</v>
      </c>
      <c r="K42" s="4211">
        <f t="shared" ref="K42:K48" si="100">J42/J$89</f>
        <v>0</v>
      </c>
      <c r="L42" s="4259"/>
      <c r="M42" s="3341"/>
      <c r="N42" s="3341"/>
      <c r="O42" s="3349">
        <f t="shared" ref="O42:O48" si="101">M42+N42</f>
        <v>0</v>
      </c>
      <c r="P42" s="4211">
        <f t="shared" ref="P42:P48" si="102">O42/O$89</f>
        <v>0</v>
      </c>
      <c r="Q42" s="4259"/>
      <c r="R42" s="3342">
        <f t="shared" ref="R42:S48" si="103">M42+H42+C42</f>
        <v>0</v>
      </c>
      <c r="S42" s="3342">
        <f t="shared" si="103"/>
        <v>0</v>
      </c>
      <c r="T42" s="2012">
        <f t="shared" ref="T42:T48" si="104">R42+S42</f>
        <v>0</v>
      </c>
      <c r="U42" s="3462"/>
      <c r="V42" s="3462"/>
      <c r="W42" s="3342">
        <f t="shared" ref="W42:X48" si="105">AB42+AG42+AL42+AV42+BA42+BF42+BK42+BP42+BU42+BZ42+CE42+AQ42</f>
        <v>0</v>
      </c>
      <c r="X42" s="3342">
        <f t="shared" si="105"/>
        <v>0</v>
      </c>
      <c r="Y42" s="2012">
        <f t="shared" ref="Y42:Y48" si="106">W42+X42</f>
        <v>0</v>
      </c>
      <c r="Z42" s="3462"/>
      <c r="AA42" s="3462"/>
      <c r="AB42" s="3349"/>
      <c r="AC42" s="3349"/>
      <c r="AD42" s="3349">
        <f t="shared" ref="AD42:AD48" si="107">AB42+AC42</f>
        <v>0</v>
      </c>
      <c r="AE42" s="4211">
        <f t="shared" ref="AE42:AE49" si="108">AD42/AD$89</f>
        <v>0</v>
      </c>
      <c r="AF42" s="4259"/>
      <c r="AG42" s="3341"/>
      <c r="AH42" s="3341"/>
      <c r="AI42" s="3349">
        <f t="shared" ref="AI42:AI48" si="109">AG42+AH42</f>
        <v>0</v>
      </c>
      <c r="AJ42" s="4211" t="e">
        <f t="shared" ref="AJ42:AJ49" si="110">AI42/AI$89</f>
        <v>#DIV/0!</v>
      </c>
      <c r="AK42" s="4259"/>
      <c r="AL42" s="3341"/>
      <c r="AM42" s="3341"/>
      <c r="AN42" s="3349">
        <f t="shared" ref="AN42:AN48" si="111">AL42+AM42</f>
        <v>0</v>
      </c>
      <c r="AO42" s="4211">
        <f t="shared" ref="AO42:AO49" si="112">AN42/AN$89</f>
        <v>0</v>
      </c>
      <c r="AP42" s="4260"/>
      <c r="AQ42" s="3341"/>
      <c r="AR42" s="3341"/>
      <c r="AS42" s="3349">
        <f t="shared" ref="AS42:AS48" si="113">AQ42+AR42</f>
        <v>0</v>
      </c>
      <c r="AT42" s="4211">
        <f t="shared" ref="AT42:AT49" si="114">AS42/AS$89</f>
        <v>0</v>
      </c>
      <c r="AU42" s="4259"/>
      <c r="AV42" s="3341"/>
      <c r="AW42" s="3341"/>
      <c r="AX42" s="3349">
        <f t="shared" ref="AX42:AX48" si="115">AV42+AW42</f>
        <v>0</v>
      </c>
      <c r="AY42" s="4211" t="e">
        <f t="shared" ref="AY42:AY49" si="116">AX42/AX$89</f>
        <v>#DIV/0!</v>
      </c>
      <c r="AZ42" s="4259"/>
      <c r="BA42" s="3341"/>
      <c r="BB42" s="3341"/>
      <c r="BC42" s="3349">
        <f t="shared" ref="BC42:BC48" si="117">BA42+BB42</f>
        <v>0</v>
      </c>
      <c r="BD42" s="4211" t="e">
        <f t="shared" ref="BD42:BD49" si="118">BC42/BC$89</f>
        <v>#DIV/0!</v>
      </c>
      <c r="BE42" s="4259"/>
      <c r="BF42" s="3341"/>
      <c r="BG42" s="3341"/>
      <c r="BH42" s="3349">
        <f t="shared" ref="BH42:BH48" si="119">BF42+BG42</f>
        <v>0</v>
      </c>
      <c r="BI42" s="4211" t="e">
        <f t="shared" ref="BI42:BI49" si="120">BH42/BH$89</f>
        <v>#DIV/0!</v>
      </c>
      <c r="BJ42" s="4259"/>
      <c r="BK42" s="3341"/>
      <c r="BL42" s="3341"/>
      <c r="BM42" s="3349">
        <f t="shared" ref="BM42:BM48" si="121">BK42+BL42</f>
        <v>0</v>
      </c>
      <c r="BN42" s="4211" t="e">
        <f t="shared" ref="BN42:BN49" si="122">BM42/BM$89</f>
        <v>#DIV/0!</v>
      </c>
      <c r="BO42" s="4259"/>
      <c r="BP42" s="3341"/>
      <c r="BQ42" s="3341"/>
      <c r="BR42" s="3349">
        <f t="shared" ref="BR42:BR48" si="123">BP42+BQ42</f>
        <v>0</v>
      </c>
      <c r="BS42" s="4211" t="e">
        <f t="shared" ref="BS42:BS49" si="124">BR42/BR$89</f>
        <v>#DIV/0!</v>
      </c>
      <c r="BT42" s="4259"/>
      <c r="BU42" s="3341"/>
      <c r="BV42" s="3341"/>
      <c r="BW42" s="3349">
        <f t="shared" ref="BW42:BW48" si="125">BU42+BV42</f>
        <v>0</v>
      </c>
      <c r="BX42" s="4211" t="e">
        <f t="shared" ref="BX42:BX49" si="126">BW42/BW$89</f>
        <v>#DIV/0!</v>
      </c>
      <c r="BY42" s="4259"/>
      <c r="BZ42" s="3341"/>
      <c r="CA42" s="3341"/>
      <c r="CB42" s="3349">
        <f t="shared" ref="CB42:CB48" si="127">BZ42+CA42</f>
        <v>0</v>
      </c>
      <c r="CC42" s="4211" t="e">
        <f t="shared" ref="CC42:CC49" si="128">CB42/CB$89</f>
        <v>#DIV/0!</v>
      </c>
      <c r="CD42" s="4259"/>
      <c r="CE42" s="3341"/>
      <c r="CF42" s="3341"/>
      <c r="CG42" s="3349">
        <f t="shared" ref="CG42:CG48" si="129">CE42+CF42</f>
        <v>0</v>
      </c>
      <c r="CH42" s="4211" t="e">
        <f t="shared" ref="CH42:CH49" si="130">CG42/CG$89</f>
        <v>#DIV/0!</v>
      </c>
      <c r="CI42" s="4259"/>
      <c r="CJ42" s="3341">
        <f t="shared" ref="CJ42:CK48" si="131">C42+H42+M42+W42</f>
        <v>0</v>
      </c>
      <c r="CK42" s="3341">
        <f t="shared" si="131"/>
        <v>0</v>
      </c>
      <c r="CL42" s="2012">
        <f t="shared" ref="CL42:CL48" si="132">CJ42+CK42*1</f>
        <v>0</v>
      </c>
      <c r="CM42" s="4211">
        <f t="shared" si="96"/>
        <v>0</v>
      </c>
      <c r="CN42" s="4213"/>
      <c r="CP42" s="2012">
        <f t="shared" ref="CP42:CQ48" si="133">CN42+CO42*1</f>
        <v>0</v>
      </c>
      <c r="CQ42" s="2012">
        <f t="shared" si="133"/>
        <v>0</v>
      </c>
      <c r="CR42" s="4202"/>
    </row>
    <row r="43" spans="1:98" ht="13.8" outlineLevel="2">
      <c r="A43" s="4833"/>
      <c r="B43" s="4258" t="s">
        <v>27</v>
      </c>
      <c r="C43" s="3341"/>
      <c r="D43" s="3341"/>
      <c r="E43" s="3349">
        <f t="shared" si="97"/>
        <v>0</v>
      </c>
      <c r="F43" s="4211" t="e">
        <f t="shared" si="98"/>
        <v>#DIV/0!</v>
      </c>
      <c r="G43" s="4259"/>
      <c r="H43" s="3341"/>
      <c r="I43" s="3341"/>
      <c r="J43" s="3349">
        <f t="shared" si="99"/>
        <v>0</v>
      </c>
      <c r="K43" s="4211">
        <f t="shared" si="100"/>
        <v>0</v>
      </c>
      <c r="L43" s="4259"/>
      <c r="M43" s="3341"/>
      <c r="N43" s="3341"/>
      <c r="O43" s="3349">
        <f t="shared" si="101"/>
        <v>0</v>
      </c>
      <c r="P43" s="4211">
        <f t="shared" si="102"/>
        <v>0</v>
      </c>
      <c r="Q43" s="4259"/>
      <c r="R43" s="3342">
        <f t="shared" si="103"/>
        <v>0</v>
      </c>
      <c r="S43" s="3342">
        <f t="shared" si="103"/>
        <v>0</v>
      </c>
      <c r="T43" s="2012">
        <f t="shared" si="104"/>
        <v>0</v>
      </c>
      <c r="U43" s="3462"/>
      <c r="V43" s="3462"/>
      <c r="W43" s="3342">
        <f t="shared" si="105"/>
        <v>0</v>
      </c>
      <c r="X43" s="3342">
        <f t="shared" si="105"/>
        <v>0</v>
      </c>
      <c r="Y43" s="2012">
        <f t="shared" si="106"/>
        <v>0</v>
      </c>
      <c r="Z43" s="3462"/>
      <c r="AA43" s="3462"/>
      <c r="AB43" s="3349"/>
      <c r="AC43" s="3349"/>
      <c r="AD43" s="3349">
        <f t="shared" si="107"/>
        <v>0</v>
      </c>
      <c r="AE43" s="4211">
        <f t="shared" si="108"/>
        <v>0</v>
      </c>
      <c r="AF43" s="4259"/>
      <c r="AG43" s="3341"/>
      <c r="AH43" s="3341"/>
      <c r="AI43" s="3349">
        <f t="shared" si="109"/>
        <v>0</v>
      </c>
      <c r="AJ43" s="4211" t="e">
        <f t="shared" si="110"/>
        <v>#DIV/0!</v>
      </c>
      <c r="AK43" s="4259"/>
      <c r="AL43" s="3341"/>
      <c r="AM43" s="3341"/>
      <c r="AN43" s="3349">
        <f t="shared" si="111"/>
        <v>0</v>
      </c>
      <c r="AO43" s="4211">
        <f t="shared" si="112"/>
        <v>0</v>
      </c>
      <c r="AP43" s="4260"/>
      <c r="AQ43" s="3341"/>
      <c r="AR43" s="3341"/>
      <c r="AS43" s="3349">
        <f t="shared" si="113"/>
        <v>0</v>
      </c>
      <c r="AT43" s="4211">
        <f t="shared" si="114"/>
        <v>0</v>
      </c>
      <c r="AU43" s="4259"/>
      <c r="AV43" s="3341"/>
      <c r="AW43" s="3341"/>
      <c r="AX43" s="3349">
        <f t="shared" si="115"/>
        <v>0</v>
      </c>
      <c r="AY43" s="4211" t="e">
        <f t="shared" si="116"/>
        <v>#DIV/0!</v>
      </c>
      <c r="AZ43" s="4259"/>
      <c r="BA43" s="3341"/>
      <c r="BB43" s="3341"/>
      <c r="BC43" s="3349">
        <f t="shared" si="117"/>
        <v>0</v>
      </c>
      <c r="BD43" s="4211" t="e">
        <f t="shared" si="118"/>
        <v>#DIV/0!</v>
      </c>
      <c r="BE43" s="4259"/>
      <c r="BF43" s="3341"/>
      <c r="BG43" s="3341"/>
      <c r="BH43" s="3349">
        <f t="shared" si="119"/>
        <v>0</v>
      </c>
      <c r="BI43" s="4211" t="e">
        <f t="shared" si="120"/>
        <v>#DIV/0!</v>
      </c>
      <c r="BJ43" s="4259"/>
      <c r="BK43" s="3341"/>
      <c r="BL43" s="3341"/>
      <c r="BM43" s="3349">
        <f t="shared" si="121"/>
        <v>0</v>
      </c>
      <c r="BN43" s="4211" t="e">
        <f t="shared" si="122"/>
        <v>#DIV/0!</v>
      </c>
      <c r="BO43" s="4259"/>
      <c r="BP43" s="3341"/>
      <c r="BQ43" s="3341"/>
      <c r="BR43" s="3349">
        <f t="shared" si="123"/>
        <v>0</v>
      </c>
      <c r="BS43" s="4211" t="e">
        <f t="shared" si="124"/>
        <v>#DIV/0!</v>
      </c>
      <c r="BT43" s="4259"/>
      <c r="BU43" s="3341"/>
      <c r="BV43" s="3341"/>
      <c r="BW43" s="3349">
        <f t="shared" si="125"/>
        <v>0</v>
      </c>
      <c r="BX43" s="4211" t="e">
        <f t="shared" si="126"/>
        <v>#DIV/0!</v>
      </c>
      <c r="BY43" s="4259"/>
      <c r="BZ43" s="3341"/>
      <c r="CA43" s="3341"/>
      <c r="CB43" s="3349">
        <f t="shared" si="127"/>
        <v>0</v>
      </c>
      <c r="CC43" s="4211" t="e">
        <f t="shared" si="128"/>
        <v>#DIV/0!</v>
      </c>
      <c r="CD43" s="4259"/>
      <c r="CE43" s="3341"/>
      <c r="CF43" s="3341"/>
      <c r="CG43" s="3349">
        <f t="shared" si="129"/>
        <v>0</v>
      </c>
      <c r="CH43" s="4211" t="e">
        <f t="shared" si="130"/>
        <v>#DIV/0!</v>
      </c>
      <c r="CI43" s="4259"/>
      <c r="CJ43" s="3341">
        <f t="shared" si="131"/>
        <v>0</v>
      </c>
      <c r="CK43" s="3341">
        <f t="shared" si="131"/>
        <v>0</v>
      </c>
      <c r="CL43" s="2012">
        <f t="shared" si="132"/>
        <v>0</v>
      </c>
      <c r="CM43" s="4211">
        <f t="shared" si="96"/>
        <v>0</v>
      </c>
      <c r="CN43" s="4213"/>
      <c r="CP43" s="2012">
        <f t="shared" si="133"/>
        <v>0</v>
      </c>
      <c r="CQ43" s="2012">
        <f t="shared" si="133"/>
        <v>0</v>
      </c>
      <c r="CR43" s="4202"/>
    </row>
    <row r="44" spans="1:98" ht="13.8" outlineLevel="2">
      <c r="A44" s="4833"/>
      <c r="B44" s="4240" t="s">
        <v>28</v>
      </c>
      <c r="C44" s="3341"/>
      <c r="D44" s="3341"/>
      <c r="E44" s="3349">
        <f t="shared" si="97"/>
        <v>0</v>
      </c>
      <c r="F44" s="4211" t="e">
        <f t="shared" si="98"/>
        <v>#DIV/0!</v>
      </c>
      <c r="G44" s="4259"/>
      <c r="H44" s="3341"/>
      <c r="I44" s="3341"/>
      <c r="J44" s="3349">
        <f t="shared" si="99"/>
        <v>0</v>
      </c>
      <c r="K44" s="4211">
        <f t="shared" si="100"/>
        <v>0</v>
      </c>
      <c r="L44" s="4259"/>
      <c r="M44" s="3341"/>
      <c r="N44" s="3341"/>
      <c r="O44" s="3349">
        <f t="shared" si="101"/>
        <v>0</v>
      </c>
      <c r="P44" s="4211">
        <f t="shared" si="102"/>
        <v>0</v>
      </c>
      <c r="Q44" s="4259"/>
      <c r="R44" s="3342">
        <f t="shared" si="103"/>
        <v>0</v>
      </c>
      <c r="S44" s="3342">
        <f t="shared" si="103"/>
        <v>0</v>
      </c>
      <c r="T44" s="2012">
        <f t="shared" si="104"/>
        <v>0</v>
      </c>
      <c r="U44" s="3462"/>
      <c r="V44" s="3462"/>
      <c r="W44" s="3342">
        <f t="shared" si="105"/>
        <v>0</v>
      </c>
      <c r="X44" s="3342">
        <f t="shared" si="105"/>
        <v>0</v>
      </c>
      <c r="Y44" s="2012">
        <f t="shared" si="106"/>
        <v>0</v>
      </c>
      <c r="Z44" s="3462"/>
      <c r="AA44" s="3462"/>
      <c r="AB44" s="3349"/>
      <c r="AC44" s="3349"/>
      <c r="AD44" s="3349">
        <f t="shared" si="107"/>
        <v>0</v>
      </c>
      <c r="AE44" s="4211">
        <f t="shared" si="108"/>
        <v>0</v>
      </c>
      <c r="AF44" s="4259"/>
      <c r="AG44" s="3341"/>
      <c r="AH44" s="3341"/>
      <c r="AI44" s="3349">
        <f t="shared" si="109"/>
        <v>0</v>
      </c>
      <c r="AJ44" s="4211" t="e">
        <f t="shared" si="110"/>
        <v>#DIV/0!</v>
      </c>
      <c r="AK44" s="4259"/>
      <c r="AL44" s="3341"/>
      <c r="AM44" s="3341"/>
      <c r="AN44" s="3349">
        <f t="shared" si="111"/>
        <v>0</v>
      </c>
      <c r="AO44" s="4211">
        <f t="shared" si="112"/>
        <v>0</v>
      </c>
      <c r="AP44" s="4260"/>
      <c r="AQ44" s="3341"/>
      <c r="AR44" s="3341"/>
      <c r="AS44" s="3349">
        <f t="shared" si="113"/>
        <v>0</v>
      </c>
      <c r="AT44" s="4211">
        <f t="shared" si="114"/>
        <v>0</v>
      </c>
      <c r="AU44" s="4259"/>
      <c r="AV44" s="3341"/>
      <c r="AW44" s="3341"/>
      <c r="AX44" s="3349">
        <f t="shared" si="115"/>
        <v>0</v>
      </c>
      <c r="AY44" s="4211" t="e">
        <f t="shared" si="116"/>
        <v>#DIV/0!</v>
      </c>
      <c r="AZ44" s="4259"/>
      <c r="BA44" s="3341"/>
      <c r="BB44" s="3341"/>
      <c r="BC44" s="3349">
        <f t="shared" si="117"/>
        <v>0</v>
      </c>
      <c r="BD44" s="4211" t="e">
        <f t="shared" si="118"/>
        <v>#DIV/0!</v>
      </c>
      <c r="BE44" s="4259"/>
      <c r="BF44" s="3341"/>
      <c r="BG44" s="3341"/>
      <c r="BH44" s="3349">
        <f t="shared" si="119"/>
        <v>0</v>
      </c>
      <c r="BI44" s="4211" t="e">
        <f t="shared" si="120"/>
        <v>#DIV/0!</v>
      </c>
      <c r="BJ44" s="4259"/>
      <c r="BK44" s="3341"/>
      <c r="BL44" s="3341"/>
      <c r="BM44" s="3349">
        <f t="shared" si="121"/>
        <v>0</v>
      </c>
      <c r="BN44" s="4211" t="e">
        <f t="shared" si="122"/>
        <v>#DIV/0!</v>
      </c>
      <c r="BO44" s="4259"/>
      <c r="BP44" s="3341"/>
      <c r="BQ44" s="3341"/>
      <c r="BR44" s="3349">
        <f t="shared" si="123"/>
        <v>0</v>
      </c>
      <c r="BS44" s="4211" t="e">
        <f t="shared" si="124"/>
        <v>#DIV/0!</v>
      </c>
      <c r="BT44" s="4259"/>
      <c r="BU44" s="3341"/>
      <c r="BV44" s="3341"/>
      <c r="BW44" s="3349">
        <f t="shared" si="125"/>
        <v>0</v>
      </c>
      <c r="BX44" s="4211" t="e">
        <f t="shared" si="126"/>
        <v>#DIV/0!</v>
      </c>
      <c r="BY44" s="4259"/>
      <c r="BZ44" s="3341"/>
      <c r="CA44" s="3341"/>
      <c r="CB44" s="3349">
        <f t="shared" si="127"/>
        <v>0</v>
      </c>
      <c r="CC44" s="4211" t="e">
        <f t="shared" si="128"/>
        <v>#DIV/0!</v>
      </c>
      <c r="CD44" s="4259"/>
      <c r="CE44" s="3341"/>
      <c r="CF44" s="3341"/>
      <c r="CG44" s="3349">
        <f t="shared" si="129"/>
        <v>0</v>
      </c>
      <c r="CH44" s="4211" t="e">
        <f t="shared" si="130"/>
        <v>#DIV/0!</v>
      </c>
      <c r="CI44" s="4259"/>
      <c r="CJ44" s="3341">
        <f t="shared" si="131"/>
        <v>0</v>
      </c>
      <c r="CK44" s="3341">
        <f t="shared" si="131"/>
        <v>0</v>
      </c>
      <c r="CL44" s="2012">
        <f t="shared" si="132"/>
        <v>0</v>
      </c>
      <c r="CM44" s="4211">
        <f t="shared" si="96"/>
        <v>0</v>
      </c>
      <c r="CN44" s="4213"/>
      <c r="CP44" s="2012">
        <f t="shared" si="133"/>
        <v>0</v>
      </c>
      <c r="CQ44" s="2012">
        <f t="shared" si="133"/>
        <v>0</v>
      </c>
      <c r="CR44" s="4202"/>
    </row>
    <row r="45" spans="1:98" ht="13.8" outlineLevel="2">
      <c r="A45" s="4833"/>
      <c r="B45" s="4258" t="s">
        <v>8</v>
      </c>
      <c r="C45" s="3341"/>
      <c r="D45" s="3341"/>
      <c r="E45" s="3349">
        <f t="shared" si="97"/>
        <v>0</v>
      </c>
      <c r="F45" s="4211" t="e">
        <f t="shared" si="98"/>
        <v>#DIV/0!</v>
      </c>
      <c r="G45" s="4259"/>
      <c r="H45" s="3341"/>
      <c r="I45" s="3341"/>
      <c r="J45" s="3349">
        <f t="shared" si="99"/>
        <v>0</v>
      </c>
      <c r="K45" s="4211">
        <f t="shared" si="100"/>
        <v>0</v>
      </c>
      <c r="L45" s="4259"/>
      <c r="M45" s="3341"/>
      <c r="N45" s="3341"/>
      <c r="O45" s="3349">
        <f t="shared" si="101"/>
        <v>0</v>
      </c>
      <c r="P45" s="4211">
        <f t="shared" si="102"/>
        <v>0</v>
      </c>
      <c r="Q45" s="4259"/>
      <c r="R45" s="3342">
        <f t="shared" si="103"/>
        <v>0</v>
      </c>
      <c r="S45" s="3342">
        <f t="shared" si="103"/>
        <v>0</v>
      </c>
      <c r="T45" s="2012">
        <f t="shared" si="104"/>
        <v>0</v>
      </c>
      <c r="U45" s="3462"/>
      <c r="V45" s="3462"/>
      <c r="W45" s="3342">
        <f t="shared" si="105"/>
        <v>0</v>
      </c>
      <c r="X45" s="3342">
        <f t="shared" si="105"/>
        <v>0</v>
      </c>
      <c r="Y45" s="2012">
        <f t="shared" si="106"/>
        <v>0</v>
      </c>
      <c r="Z45" s="3462"/>
      <c r="AA45" s="3462"/>
      <c r="AB45" s="3349"/>
      <c r="AC45" s="3349"/>
      <c r="AD45" s="3349">
        <f t="shared" si="107"/>
        <v>0</v>
      </c>
      <c r="AE45" s="4211">
        <f t="shared" si="108"/>
        <v>0</v>
      </c>
      <c r="AF45" s="4259"/>
      <c r="AG45" s="3341"/>
      <c r="AH45" s="3341"/>
      <c r="AI45" s="3349">
        <f t="shared" si="109"/>
        <v>0</v>
      </c>
      <c r="AJ45" s="4211" t="e">
        <f t="shared" si="110"/>
        <v>#DIV/0!</v>
      </c>
      <c r="AK45" s="4259"/>
      <c r="AL45" s="3341"/>
      <c r="AM45" s="3341"/>
      <c r="AN45" s="3349">
        <f t="shared" si="111"/>
        <v>0</v>
      </c>
      <c r="AO45" s="4211">
        <f t="shared" si="112"/>
        <v>0</v>
      </c>
      <c r="AP45" s="4260"/>
      <c r="AQ45" s="3341"/>
      <c r="AR45" s="3341"/>
      <c r="AS45" s="3349">
        <f t="shared" si="113"/>
        <v>0</v>
      </c>
      <c r="AT45" s="4211">
        <f t="shared" si="114"/>
        <v>0</v>
      </c>
      <c r="AU45" s="4259"/>
      <c r="AV45" s="3341"/>
      <c r="AW45" s="3341"/>
      <c r="AX45" s="3349">
        <f t="shared" si="115"/>
        <v>0</v>
      </c>
      <c r="AY45" s="4211" t="e">
        <f t="shared" si="116"/>
        <v>#DIV/0!</v>
      </c>
      <c r="AZ45" s="4259"/>
      <c r="BA45" s="3341"/>
      <c r="BB45" s="3341"/>
      <c r="BC45" s="3349">
        <f t="shared" si="117"/>
        <v>0</v>
      </c>
      <c r="BD45" s="4211" t="e">
        <f t="shared" si="118"/>
        <v>#DIV/0!</v>
      </c>
      <c r="BE45" s="4259"/>
      <c r="BF45" s="3341"/>
      <c r="BG45" s="3341"/>
      <c r="BH45" s="3349">
        <f t="shared" si="119"/>
        <v>0</v>
      </c>
      <c r="BI45" s="4211" t="e">
        <f t="shared" si="120"/>
        <v>#DIV/0!</v>
      </c>
      <c r="BJ45" s="4259"/>
      <c r="BK45" s="3341"/>
      <c r="BL45" s="3341"/>
      <c r="BM45" s="3349">
        <f t="shared" si="121"/>
        <v>0</v>
      </c>
      <c r="BN45" s="4211" t="e">
        <f t="shared" si="122"/>
        <v>#DIV/0!</v>
      </c>
      <c r="BO45" s="4259"/>
      <c r="BP45" s="3341"/>
      <c r="BQ45" s="3341"/>
      <c r="BR45" s="3349">
        <f t="shared" si="123"/>
        <v>0</v>
      </c>
      <c r="BS45" s="4211" t="e">
        <f t="shared" si="124"/>
        <v>#DIV/0!</v>
      </c>
      <c r="BT45" s="4259"/>
      <c r="BU45" s="3341"/>
      <c r="BV45" s="3341"/>
      <c r="BW45" s="3349">
        <f t="shared" si="125"/>
        <v>0</v>
      </c>
      <c r="BX45" s="4211" t="e">
        <f t="shared" si="126"/>
        <v>#DIV/0!</v>
      </c>
      <c r="BY45" s="4259"/>
      <c r="BZ45" s="3341"/>
      <c r="CA45" s="3341"/>
      <c r="CB45" s="3349">
        <f t="shared" si="127"/>
        <v>0</v>
      </c>
      <c r="CC45" s="4211" t="e">
        <f t="shared" si="128"/>
        <v>#DIV/0!</v>
      </c>
      <c r="CD45" s="4259"/>
      <c r="CE45" s="3341"/>
      <c r="CF45" s="3341"/>
      <c r="CG45" s="3349">
        <f t="shared" si="129"/>
        <v>0</v>
      </c>
      <c r="CH45" s="4211" t="e">
        <f t="shared" si="130"/>
        <v>#DIV/0!</v>
      </c>
      <c r="CI45" s="4259"/>
      <c r="CJ45" s="3341">
        <f t="shared" si="131"/>
        <v>0</v>
      </c>
      <c r="CK45" s="3341">
        <f t="shared" si="131"/>
        <v>0</v>
      </c>
      <c r="CL45" s="2012">
        <f t="shared" si="132"/>
        <v>0</v>
      </c>
      <c r="CM45" s="4211">
        <f t="shared" si="96"/>
        <v>0</v>
      </c>
      <c r="CN45" s="4213"/>
      <c r="CP45" s="2012">
        <f t="shared" si="133"/>
        <v>0</v>
      </c>
      <c r="CQ45" s="2012">
        <f t="shared" si="133"/>
        <v>0</v>
      </c>
      <c r="CR45" s="4202"/>
    </row>
    <row r="46" spans="1:98" ht="13.8" outlineLevel="2">
      <c r="A46" s="4833"/>
      <c r="B46" s="4258" t="s">
        <v>29</v>
      </c>
      <c r="C46" s="3341"/>
      <c r="D46" s="3341"/>
      <c r="E46" s="3349">
        <f t="shared" si="97"/>
        <v>0</v>
      </c>
      <c r="F46" s="4211" t="e">
        <f t="shared" si="98"/>
        <v>#DIV/0!</v>
      </c>
      <c r="G46" s="4259"/>
      <c r="H46" s="3341"/>
      <c r="I46" s="3341"/>
      <c r="J46" s="3349">
        <f t="shared" si="99"/>
        <v>0</v>
      </c>
      <c r="K46" s="4211">
        <f t="shared" si="100"/>
        <v>0</v>
      </c>
      <c r="L46" s="4259"/>
      <c r="M46" s="3341"/>
      <c r="N46" s="3341"/>
      <c r="O46" s="3349">
        <f t="shared" si="101"/>
        <v>0</v>
      </c>
      <c r="P46" s="4211">
        <f t="shared" si="102"/>
        <v>0</v>
      </c>
      <c r="Q46" s="4259"/>
      <c r="R46" s="3342">
        <f t="shared" si="103"/>
        <v>0</v>
      </c>
      <c r="S46" s="3342">
        <f t="shared" si="103"/>
        <v>0</v>
      </c>
      <c r="T46" s="2012">
        <f t="shared" si="104"/>
        <v>0</v>
      </c>
      <c r="U46" s="3462"/>
      <c r="V46" s="3462"/>
      <c r="W46" s="3342">
        <f t="shared" si="105"/>
        <v>0</v>
      </c>
      <c r="X46" s="3342">
        <f t="shared" si="105"/>
        <v>0</v>
      </c>
      <c r="Y46" s="2012">
        <f t="shared" si="106"/>
        <v>0</v>
      </c>
      <c r="Z46" s="3462"/>
      <c r="AA46" s="3462"/>
      <c r="AB46" s="3349"/>
      <c r="AC46" s="3349"/>
      <c r="AD46" s="3349">
        <f t="shared" si="107"/>
        <v>0</v>
      </c>
      <c r="AE46" s="4211">
        <f t="shared" si="108"/>
        <v>0</v>
      </c>
      <c r="AF46" s="4259"/>
      <c r="AG46" s="3341"/>
      <c r="AH46" s="3341"/>
      <c r="AI46" s="3349">
        <f t="shared" si="109"/>
        <v>0</v>
      </c>
      <c r="AJ46" s="4211" t="e">
        <f t="shared" si="110"/>
        <v>#DIV/0!</v>
      </c>
      <c r="AK46" s="4259"/>
      <c r="AL46" s="3341"/>
      <c r="AM46" s="3341"/>
      <c r="AN46" s="3349">
        <f t="shared" si="111"/>
        <v>0</v>
      </c>
      <c r="AO46" s="4211">
        <f t="shared" si="112"/>
        <v>0</v>
      </c>
      <c r="AP46" s="4260"/>
      <c r="AQ46" s="3341"/>
      <c r="AR46" s="3341"/>
      <c r="AS46" s="3349">
        <f t="shared" si="113"/>
        <v>0</v>
      </c>
      <c r="AT46" s="4211">
        <f t="shared" si="114"/>
        <v>0</v>
      </c>
      <c r="AU46" s="4259"/>
      <c r="AV46" s="3341"/>
      <c r="AW46" s="3341"/>
      <c r="AX46" s="3349">
        <f t="shared" si="115"/>
        <v>0</v>
      </c>
      <c r="AY46" s="4211" t="e">
        <f t="shared" si="116"/>
        <v>#DIV/0!</v>
      </c>
      <c r="AZ46" s="4259"/>
      <c r="BA46" s="3341"/>
      <c r="BB46" s="3341"/>
      <c r="BC46" s="3349">
        <f t="shared" si="117"/>
        <v>0</v>
      </c>
      <c r="BD46" s="4211" t="e">
        <f t="shared" si="118"/>
        <v>#DIV/0!</v>
      </c>
      <c r="BE46" s="4259"/>
      <c r="BF46" s="3341"/>
      <c r="BG46" s="3341"/>
      <c r="BH46" s="3349">
        <f t="shared" si="119"/>
        <v>0</v>
      </c>
      <c r="BI46" s="4211" t="e">
        <f t="shared" si="120"/>
        <v>#DIV/0!</v>
      </c>
      <c r="BJ46" s="4259"/>
      <c r="BK46" s="3341"/>
      <c r="BL46" s="3341"/>
      <c r="BM46" s="3349">
        <f t="shared" si="121"/>
        <v>0</v>
      </c>
      <c r="BN46" s="4211" t="e">
        <f t="shared" si="122"/>
        <v>#DIV/0!</v>
      </c>
      <c r="BO46" s="4259"/>
      <c r="BP46" s="3341"/>
      <c r="BQ46" s="3341"/>
      <c r="BR46" s="3349">
        <f t="shared" si="123"/>
        <v>0</v>
      </c>
      <c r="BS46" s="4211" t="e">
        <f t="shared" si="124"/>
        <v>#DIV/0!</v>
      </c>
      <c r="BT46" s="4259"/>
      <c r="BU46" s="3341"/>
      <c r="BV46" s="3341"/>
      <c r="BW46" s="3349">
        <f t="shared" si="125"/>
        <v>0</v>
      </c>
      <c r="BX46" s="4211" t="e">
        <f t="shared" si="126"/>
        <v>#DIV/0!</v>
      </c>
      <c r="BY46" s="4259"/>
      <c r="BZ46" s="3341"/>
      <c r="CA46" s="3341"/>
      <c r="CB46" s="3349">
        <f t="shared" si="127"/>
        <v>0</v>
      </c>
      <c r="CC46" s="4211" t="e">
        <f t="shared" si="128"/>
        <v>#DIV/0!</v>
      </c>
      <c r="CD46" s="4259"/>
      <c r="CE46" s="3341"/>
      <c r="CF46" s="3341"/>
      <c r="CG46" s="3349">
        <f t="shared" si="129"/>
        <v>0</v>
      </c>
      <c r="CH46" s="4211" t="e">
        <f t="shared" si="130"/>
        <v>#DIV/0!</v>
      </c>
      <c r="CI46" s="4259"/>
      <c r="CJ46" s="3341">
        <f t="shared" si="131"/>
        <v>0</v>
      </c>
      <c r="CK46" s="3341">
        <f t="shared" si="131"/>
        <v>0</v>
      </c>
      <c r="CL46" s="2012">
        <f t="shared" si="132"/>
        <v>0</v>
      </c>
      <c r="CM46" s="4211">
        <f t="shared" si="96"/>
        <v>0</v>
      </c>
      <c r="CN46" s="4213"/>
      <c r="CP46" s="2012">
        <f t="shared" si="133"/>
        <v>0</v>
      </c>
      <c r="CQ46" s="2012">
        <f t="shared" si="133"/>
        <v>0</v>
      </c>
      <c r="CR46" s="4202"/>
    </row>
    <row r="47" spans="1:98" ht="13.8" outlineLevel="2">
      <c r="A47" s="4833"/>
      <c r="B47" s="4258" t="s">
        <v>30</v>
      </c>
      <c r="C47" s="3341"/>
      <c r="D47" s="3341"/>
      <c r="E47" s="3349">
        <f t="shared" si="97"/>
        <v>0</v>
      </c>
      <c r="F47" s="4211" t="e">
        <f t="shared" si="98"/>
        <v>#DIV/0!</v>
      </c>
      <c r="G47" s="4259"/>
      <c r="H47" s="3341"/>
      <c r="I47" s="3341"/>
      <c r="J47" s="3349">
        <f t="shared" si="99"/>
        <v>0</v>
      </c>
      <c r="K47" s="4211">
        <f t="shared" si="100"/>
        <v>0</v>
      </c>
      <c r="L47" s="4259"/>
      <c r="M47" s="3341"/>
      <c r="N47" s="3341"/>
      <c r="O47" s="3349">
        <f t="shared" si="101"/>
        <v>0</v>
      </c>
      <c r="P47" s="4211">
        <f t="shared" si="102"/>
        <v>0</v>
      </c>
      <c r="Q47" s="4259"/>
      <c r="R47" s="3342">
        <f t="shared" si="103"/>
        <v>0</v>
      </c>
      <c r="S47" s="3342">
        <f t="shared" si="103"/>
        <v>0</v>
      </c>
      <c r="T47" s="2012">
        <f t="shared" si="104"/>
        <v>0</v>
      </c>
      <c r="U47" s="3462"/>
      <c r="V47" s="3462"/>
      <c r="W47" s="3342">
        <f t="shared" si="105"/>
        <v>0</v>
      </c>
      <c r="X47" s="3342">
        <f t="shared" si="105"/>
        <v>0</v>
      </c>
      <c r="Y47" s="2012">
        <f t="shared" si="106"/>
        <v>0</v>
      </c>
      <c r="Z47" s="3462"/>
      <c r="AA47" s="3462"/>
      <c r="AB47" s="3349"/>
      <c r="AC47" s="3349"/>
      <c r="AD47" s="3349">
        <f t="shared" si="107"/>
        <v>0</v>
      </c>
      <c r="AE47" s="4211">
        <f t="shared" si="108"/>
        <v>0</v>
      </c>
      <c r="AF47" s="4259"/>
      <c r="AG47" s="3341"/>
      <c r="AH47" s="3341"/>
      <c r="AI47" s="3349">
        <f t="shared" si="109"/>
        <v>0</v>
      </c>
      <c r="AJ47" s="4211" t="e">
        <f t="shared" si="110"/>
        <v>#DIV/0!</v>
      </c>
      <c r="AK47" s="4259"/>
      <c r="AL47" s="3341"/>
      <c r="AM47" s="3341"/>
      <c r="AN47" s="3349">
        <f t="shared" si="111"/>
        <v>0</v>
      </c>
      <c r="AO47" s="4211">
        <f t="shared" si="112"/>
        <v>0</v>
      </c>
      <c r="AP47" s="4260"/>
      <c r="AQ47" s="3341"/>
      <c r="AR47" s="3341"/>
      <c r="AS47" s="3349">
        <f t="shared" si="113"/>
        <v>0</v>
      </c>
      <c r="AT47" s="4211">
        <f t="shared" si="114"/>
        <v>0</v>
      </c>
      <c r="AU47" s="4259"/>
      <c r="AV47" s="3341"/>
      <c r="AW47" s="3341"/>
      <c r="AX47" s="3349">
        <f t="shared" si="115"/>
        <v>0</v>
      </c>
      <c r="AY47" s="4211" t="e">
        <f t="shared" si="116"/>
        <v>#DIV/0!</v>
      </c>
      <c r="AZ47" s="4259"/>
      <c r="BA47" s="3341"/>
      <c r="BB47" s="3341"/>
      <c r="BC47" s="3349">
        <f t="shared" si="117"/>
        <v>0</v>
      </c>
      <c r="BD47" s="4211" t="e">
        <f t="shared" si="118"/>
        <v>#DIV/0!</v>
      </c>
      <c r="BE47" s="4259"/>
      <c r="BF47" s="3341"/>
      <c r="BG47" s="3341"/>
      <c r="BH47" s="3349">
        <f t="shared" si="119"/>
        <v>0</v>
      </c>
      <c r="BI47" s="4211" t="e">
        <f t="shared" si="120"/>
        <v>#DIV/0!</v>
      </c>
      <c r="BJ47" s="4259"/>
      <c r="BK47" s="3341"/>
      <c r="BL47" s="3341"/>
      <c r="BM47" s="3349">
        <f t="shared" si="121"/>
        <v>0</v>
      </c>
      <c r="BN47" s="4211" t="e">
        <f t="shared" si="122"/>
        <v>#DIV/0!</v>
      </c>
      <c r="BO47" s="4259"/>
      <c r="BP47" s="3341"/>
      <c r="BQ47" s="3341"/>
      <c r="BR47" s="3349">
        <f t="shared" si="123"/>
        <v>0</v>
      </c>
      <c r="BS47" s="4211" t="e">
        <f t="shared" si="124"/>
        <v>#DIV/0!</v>
      </c>
      <c r="BT47" s="4259"/>
      <c r="BU47" s="3341"/>
      <c r="BV47" s="3341"/>
      <c r="BW47" s="3349">
        <f t="shared" si="125"/>
        <v>0</v>
      </c>
      <c r="BX47" s="4211" t="e">
        <f t="shared" si="126"/>
        <v>#DIV/0!</v>
      </c>
      <c r="BY47" s="4259"/>
      <c r="BZ47" s="3341"/>
      <c r="CA47" s="3341"/>
      <c r="CB47" s="3349">
        <f t="shared" si="127"/>
        <v>0</v>
      </c>
      <c r="CC47" s="4211" t="e">
        <f t="shared" si="128"/>
        <v>#DIV/0!</v>
      </c>
      <c r="CD47" s="4259"/>
      <c r="CE47" s="3341"/>
      <c r="CF47" s="3341"/>
      <c r="CG47" s="3349">
        <f t="shared" si="129"/>
        <v>0</v>
      </c>
      <c r="CH47" s="4211" t="e">
        <f t="shared" si="130"/>
        <v>#DIV/0!</v>
      </c>
      <c r="CI47" s="4259"/>
      <c r="CJ47" s="3341">
        <f t="shared" si="131"/>
        <v>0</v>
      </c>
      <c r="CK47" s="3341">
        <f t="shared" si="131"/>
        <v>0</v>
      </c>
      <c r="CL47" s="2012">
        <f t="shared" si="132"/>
        <v>0</v>
      </c>
      <c r="CM47" s="4211">
        <f t="shared" si="96"/>
        <v>0</v>
      </c>
      <c r="CN47" s="4213"/>
      <c r="CP47" s="2012">
        <f t="shared" si="133"/>
        <v>0</v>
      </c>
      <c r="CQ47" s="2012">
        <f t="shared" si="133"/>
        <v>0</v>
      </c>
      <c r="CR47" s="4202"/>
    </row>
    <row r="48" spans="1:98" ht="13.8" outlineLevel="2">
      <c r="A48" s="4833"/>
      <c r="B48" s="4258" t="s">
        <v>15</v>
      </c>
      <c r="C48" s="3341"/>
      <c r="D48" s="3341"/>
      <c r="E48" s="3349">
        <f t="shared" si="97"/>
        <v>0</v>
      </c>
      <c r="F48" s="4211" t="e">
        <f t="shared" si="98"/>
        <v>#DIV/0!</v>
      </c>
      <c r="G48" s="4259"/>
      <c r="H48" s="3341"/>
      <c r="I48" s="3341"/>
      <c r="J48" s="3349">
        <f t="shared" si="99"/>
        <v>0</v>
      </c>
      <c r="K48" s="4211">
        <f t="shared" si="100"/>
        <v>0</v>
      </c>
      <c r="L48" s="4259"/>
      <c r="M48" s="3341"/>
      <c r="N48" s="3341"/>
      <c r="O48" s="3349">
        <f t="shared" si="101"/>
        <v>0</v>
      </c>
      <c r="P48" s="4211">
        <f t="shared" si="102"/>
        <v>0</v>
      </c>
      <c r="Q48" s="4259"/>
      <c r="R48" s="3342">
        <f t="shared" si="103"/>
        <v>0</v>
      </c>
      <c r="S48" s="3342">
        <f t="shared" si="103"/>
        <v>0</v>
      </c>
      <c r="T48" s="2012">
        <f t="shared" si="104"/>
        <v>0</v>
      </c>
      <c r="U48" s="4261"/>
      <c r="V48" s="4259"/>
      <c r="W48" s="4262">
        <f t="shared" si="105"/>
        <v>0</v>
      </c>
      <c r="X48" s="4262">
        <f t="shared" si="105"/>
        <v>0</v>
      </c>
      <c r="Y48" s="4263">
        <f t="shared" si="106"/>
        <v>0</v>
      </c>
      <c r="Z48" s="4259"/>
      <c r="AA48" s="4259"/>
      <c r="AB48" s="4264"/>
      <c r="AC48" s="4264"/>
      <c r="AD48" s="4264">
        <f t="shared" si="107"/>
        <v>0</v>
      </c>
      <c r="AE48" s="4211">
        <f t="shared" si="108"/>
        <v>0</v>
      </c>
      <c r="AF48" s="4259"/>
      <c r="AG48" s="4218"/>
      <c r="AH48" s="3341"/>
      <c r="AI48" s="3349">
        <f t="shared" si="109"/>
        <v>0</v>
      </c>
      <c r="AJ48" s="4211" t="e">
        <f t="shared" si="110"/>
        <v>#DIV/0!</v>
      </c>
      <c r="AK48" s="4259"/>
      <c r="AL48" s="3341"/>
      <c r="AM48" s="3341"/>
      <c r="AN48" s="3349">
        <f t="shared" si="111"/>
        <v>0</v>
      </c>
      <c r="AO48" s="4211">
        <f t="shared" si="112"/>
        <v>0</v>
      </c>
      <c r="AP48" s="4260"/>
      <c r="AQ48" s="3341"/>
      <c r="AR48" s="3341"/>
      <c r="AS48" s="3349">
        <f t="shared" si="113"/>
        <v>0</v>
      </c>
      <c r="AT48" s="4211">
        <f t="shared" si="114"/>
        <v>0</v>
      </c>
      <c r="AU48" s="4259"/>
      <c r="AV48" s="3341"/>
      <c r="AW48" s="3341"/>
      <c r="AX48" s="3349">
        <f t="shared" si="115"/>
        <v>0</v>
      </c>
      <c r="AY48" s="4211" t="e">
        <f t="shared" si="116"/>
        <v>#DIV/0!</v>
      </c>
      <c r="AZ48" s="4259"/>
      <c r="BA48" s="3341"/>
      <c r="BB48" s="3341"/>
      <c r="BC48" s="3349">
        <f t="shared" si="117"/>
        <v>0</v>
      </c>
      <c r="BD48" s="4211" t="e">
        <f t="shared" si="118"/>
        <v>#DIV/0!</v>
      </c>
      <c r="BE48" s="4259"/>
      <c r="BF48" s="3341"/>
      <c r="BG48" s="3341"/>
      <c r="BH48" s="3349">
        <f t="shared" si="119"/>
        <v>0</v>
      </c>
      <c r="BI48" s="4211" t="e">
        <f t="shared" si="120"/>
        <v>#DIV/0!</v>
      </c>
      <c r="BJ48" s="4259"/>
      <c r="BK48" s="3341"/>
      <c r="BL48" s="3341"/>
      <c r="BM48" s="3349">
        <f t="shared" si="121"/>
        <v>0</v>
      </c>
      <c r="BN48" s="4211" t="e">
        <f t="shared" si="122"/>
        <v>#DIV/0!</v>
      </c>
      <c r="BO48" s="4259"/>
      <c r="BP48" s="3341"/>
      <c r="BQ48" s="3341"/>
      <c r="BR48" s="3349">
        <f t="shared" si="123"/>
        <v>0</v>
      </c>
      <c r="BS48" s="4211" t="e">
        <f t="shared" si="124"/>
        <v>#DIV/0!</v>
      </c>
      <c r="BT48" s="4259"/>
      <c r="BU48" s="3341"/>
      <c r="BV48" s="3341"/>
      <c r="BW48" s="3349">
        <f t="shared" si="125"/>
        <v>0</v>
      </c>
      <c r="BX48" s="4211" t="e">
        <f t="shared" si="126"/>
        <v>#DIV/0!</v>
      </c>
      <c r="BY48" s="4259"/>
      <c r="BZ48" s="3341"/>
      <c r="CA48" s="3341"/>
      <c r="CB48" s="3349">
        <f t="shared" si="127"/>
        <v>0</v>
      </c>
      <c r="CC48" s="4211" t="e">
        <f t="shared" si="128"/>
        <v>#DIV/0!</v>
      </c>
      <c r="CD48" s="4259"/>
      <c r="CE48" s="3341"/>
      <c r="CF48" s="3341"/>
      <c r="CG48" s="3349">
        <f t="shared" si="129"/>
        <v>0</v>
      </c>
      <c r="CH48" s="4211" t="e">
        <f t="shared" si="130"/>
        <v>#DIV/0!</v>
      </c>
      <c r="CI48" s="4259"/>
      <c r="CJ48" s="3341">
        <f t="shared" si="131"/>
        <v>0</v>
      </c>
      <c r="CK48" s="3341">
        <f t="shared" si="131"/>
        <v>0</v>
      </c>
      <c r="CL48" s="2012">
        <f t="shared" si="132"/>
        <v>0</v>
      </c>
      <c r="CM48" s="4211">
        <f t="shared" si="96"/>
        <v>0</v>
      </c>
      <c r="CN48" s="4213"/>
      <c r="CP48" s="2012">
        <f t="shared" si="133"/>
        <v>0</v>
      </c>
      <c r="CQ48" s="2012">
        <f t="shared" si="133"/>
        <v>0</v>
      </c>
      <c r="CR48" s="4202"/>
    </row>
    <row r="49" spans="1:98" s="1396" customFormat="1" ht="14.4" outlineLevel="2" thickBot="1">
      <c r="A49" s="1405"/>
      <c r="B49" s="4265"/>
      <c r="C49" s="3341"/>
      <c r="D49" s="3341"/>
      <c r="E49" s="4245"/>
      <c r="F49" s="4222"/>
      <c r="G49" s="4246"/>
      <c r="H49" s="3341"/>
      <c r="I49" s="3341"/>
      <c r="J49" s="4245"/>
      <c r="K49" s="4222"/>
      <c r="L49" s="4246"/>
      <c r="M49" s="3341"/>
      <c r="N49" s="3341"/>
      <c r="O49" s="4245"/>
      <c r="P49" s="4222"/>
      <c r="Q49" s="4246"/>
      <c r="R49" s="3456"/>
      <c r="S49" s="3456"/>
      <c r="T49" s="3456"/>
      <c r="U49" s="3733"/>
      <c r="V49" s="3734"/>
      <c r="W49" s="3734"/>
      <c r="X49" s="3734"/>
      <c r="Y49" s="3734"/>
      <c r="Z49" s="3734"/>
      <c r="AA49" s="3734"/>
      <c r="AB49" s="3367"/>
      <c r="AC49" s="3367"/>
      <c r="AD49" s="4247"/>
      <c r="AE49" s="4222">
        <f t="shared" si="108"/>
        <v>0</v>
      </c>
      <c r="AF49" s="4246"/>
      <c r="AG49" s="3375"/>
      <c r="AH49" s="3341"/>
      <c r="AI49" s="4245"/>
      <c r="AJ49" s="4222" t="e">
        <f t="shared" si="110"/>
        <v>#DIV/0!</v>
      </c>
      <c r="AK49" s="4246"/>
      <c r="AL49" s="3341"/>
      <c r="AM49" s="3341"/>
      <c r="AN49" s="4245"/>
      <c r="AO49" s="4222">
        <f t="shared" si="112"/>
        <v>0</v>
      </c>
      <c r="AP49" s="4248"/>
      <c r="AQ49" s="3341"/>
      <c r="AR49" s="3341"/>
      <c r="AS49" s="4245"/>
      <c r="AT49" s="4222">
        <f t="shared" si="114"/>
        <v>0</v>
      </c>
      <c r="AU49" s="4246"/>
      <c r="AV49" s="3341"/>
      <c r="AW49" s="3341"/>
      <c r="AX49" s="4245"/>
      <c r="AY49" s="4222" t="e">
        <f t="shared" si="116"/>
        <v>#DIV/0!</v>
      </c>
      <c r="AZ49" s="4246"/>
      <c r="BA49" s="3341"/>
      <c r="BB49" s="3341"/>
      <c r="BC49" s="4245"/>
      <c r="BD49" s="4222" t="e">
        <f t="shared" si="118"/>
        <v>#DIV/0!</v>
      </c>
      <c r="BE49" s="4246"/>
      <c r="BF49" s="3341"/>
      <c r="BG49" s="3341"/>
      <c r="BH49" s="4245"/>
      <c r="BI49" s="4222" t="e">
        <f t="shared" si="120"/>
        <v>#DIV/0!</v>
      </c>
      <c r="BJ49" s="4246"/>
      <c r="BK49" s="3341"/>
      <c r="BL49" s="3341"/>
      <c r="BM49" s="4245"/>
      <c r="BN49" s="4222" t="e">
        <f t="shared" si="122"/>
        <v>#DIV/0!</v>
      </c>
      <c r="BO49" s="4246"/>
      <c r="BP49" s="3341"/>
      <c r="BQ49" s="3341"/>
      <c r="BR49" s="4245"/>
      <c r="BS49" s="4222" t="e">
        <f t="shared" si="124"/>
        <v>#DIV/0!</v>
      </c>
      <c r="BT49" s="4246"/>
      <c r="BU49" s="3341"/>
      <c r="BV49" s="3341"/>
      <c r="BW49" s="4245"/>
      <c r="BX49" s="4222" t="e">
        <f t="shared" si="126"/>
        <v>#DIV/0!</v>
      </c>
      <c r="BY49" s="4246"/>
      <c r="BZ49" s="3341"/>
      <c r="CA49" s="3341"/>
      <c r="CB49" s="4245"/>
      <c r="CC49" s="4222" t="e">
        <f t="shared" si="128"/>
        <v>#DIV/0!</v>
      </c>
      <c r="CD49" s="4246"/>
      <c r="CE49" s="3341"/>
      <c r="CF49" s="3341"/>
      <c r="CG49" s="4245"/>
      <c r="CH49" s="4222" t="e">
        <f t="shared" si="130"/>
        <v>#DIV/0!</v>
      </c>
      <c r="CI49" s="4246"/>
      <c r="CJ49" s="3341"/>
      <c r="CK49" s="3341"/>
      <c r="CL49" s="4245"/>
      <c r="CM49" s="4211">
        <f t="shared" si="96"/>
        <v>0</v>
      </c>
      <c r="CN49" s="4245"/>
      <c r="CP49" s="4249"/>
      <c r="CQ49" s="4249"/>
      <c r="CR49" s="4202"/>
      <c r="CT49" s="2624"/>
    </row>
    <row r="50" spans="1:98" s="1396" customFormat="1" ht="13.8" outlineLevel="1">
      <c r="A50" s="1565"/>
      <c r="B50" s="1410" t="s">
        <v>59</v>
      </c>
      <c r="C50" s="2015">
        <f>C52+C51</f>
        <v>0</v>
      </c>
      <c r="D50" s="2015">
        <f>D52+D51</f>
        <v>0</v>
      </c>
      <c r="E50" s="2014">
        <f>SUM(E51:E52)</f>
        <v>0</v>
      </c>
      <c r="F50" s="4257" t="e">
        <f>E50/$E$89</f>
        <v>#DIV/0!</v>
      </c>
      <c r="G50" s="1057"/>
      <c r="H50" s="2015">
        <f>H52+H51</f>
        <v>0</v>
      </c>
      <c r="I50" s="2015">
        <f>I52+I51</f>
        <v>0</v>
      </c>
      <c r="J50" s="2014">
        <f>SUM(J51:J52)</f>
        <v>0</v>
      </c>
      <c r="K50" s="4257" t="e">
        <f>J50/$E$89</f>
        <v>#DIV/0!</v>
      </c>
      <c r="L50" s="1057"/>
      <c r="M50" s="2015">
        <f>M52+M51</f>
        <v>0</v>
      </c>
      <c r="N50" s="2015">
        <f>N52+N51</f>
        <v>0</v>
      </c>
      <c r="O50" s="2014">
        <f>SUM(O51:O52)</f>
        <v>0</v>
      </c>
      <c r="P50" s="4257" t="e">
        <f>O50/$E$89</f>
        <v>#DIV/0!</v>
      </c>
      <c r="Q50" s="1057"/>
      <c r="R50" s="2015">
        <f>R52+R51</f>
        <v>0</v>
      </c>
      <c r="S50" s="2015">
        <f>S52+S51</f>
        <v>0</v>
      </c>
      <c r="T50" s="2015">
        <f>SUM(T51:T52)</f>
        <v>0</v>
      </c>
      <c r="U50" s="1535"/>
      <c r="V50" s="3460"/>
      <c r="W50" s="2013">
        <f>W52+W51</f>
        <v>0</v>
      </c>
      <c r="X50" s="2013">
        <f>X52+X51</f>
        <v>0</v>
      </c>
      <c r="Y50" s="2013">
        <f>SUM(Y51:Y52)</f>
        <v>0</v>
      </c>
      <c r="Z50" s="1535"/>
      <c r="AA50" s="3460"/>
      <c r="AB50" s="2013">
        <f>AB52+AB51</f>
        <v>0</v>
      </c>
      <c r="AC50" s="2013">
        <f>AC52+AC51</f>
        <v>0</v>
      </c>
      <c r="AD50" s="2013">
        <f>SUM(AD51:AD52)</f>
        <v>0</v>
      </c>
      <c r="AE50" s="1535"/>
      <c r="AF50" s="3735"/>
      <c r="AG50" s="2013">
        <f>AG52+AG51</f>
        <v>0</v>
      </c>
      <c r="AH50" s="2015">
        <f>AH52+AH51</f>
        <v>0</v>
      </c>
      <c r="AI50" s="2015">
        <f>SUM(AI51:AI52)</f>
        <v>0</v>
      </c>
      <c r="AJ50" s="1535"/>
      <c r="AK50" s="1057"/>
      <c r="AL50" s="2015">
        <f>AL52+AL51</f>
        <v>0</v>
      </c>
      <c r="AM50" s="2015">
        <f>AM52+AM51</f>
        <v>0</v>
      </c>
      <c r="AN50" s="2015">
        <f>SUM(AN51:AN52)</f>
        <v>0</v>
      </c>
      <c r="AO50" s="1535"/>
      <c r="AP50" s="3723"/>
      <c r="AQ50" s="2015">
        <f>AQ52+AQ51</f>
        <v>0</v>
      </c>
      <c r="AR50" s="2015">
        <f>AR52+AR51</f>
        <v>0</v>
      </c>
      <c r="AS50" s="2015">
        <f>SUM(AS51:AS52)</f>
        <v>0</v>
      </c>
      <c r="AT50" s="1535"/>
      <c r="AU50" s="1057"/>
      <c r="AV50" s="2015">
        <f>AV52+AV51</f>
        <v>0</v>
      </c>
      <c r="AW50" s="2015">
        <f>AW52+AW51</f>
        <v>0</v>
      </c>
      <c r="AX50" s="2015">
        <f>SUM(AX51:AX52)</f>
        <v>0</v>
      </c>
      <c r="AY50" s="1535"/>
      <c r="AZ50" s="1057"/>
      <c r="BA50" s="2015">
        <f>BA52+BA51</f>
        <v>0</v>
      </c>
      <c r="BB50" s="2015">
        <f>BB52+BB51</f>
        <v>0</v>
      </c>
      <c r="BC50" s="2015">
        <f>SUM(BC51:BC52)</f>
        <v>0</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0</v>
      </c>
      <c r="CK50" s="2015">
        <f>CK52+CK51</f>
        <v>0</v>
      </c>
      <c r="CL50" s="2015">
        <f>SUM(CL51:CL52)</f>
        <v>0</v>
      </c>
      <c r="CM50" s="2006"/>
      <c r="CN50" s="2006"/>
      <c r="CP50" s="2015">
        <f>SUM(CP51:CP52)</f>
        <v>0</v>
      </c>
      <c r="CQ50" s="2015">
        <f>SUM(CQ51:CQ52)</f>
        <v>0</v>
      </c>
      <c r="CR50" s="2015"/>
      <c r="CT50" s="2624"/>
    </row>
    <row r="51" spans="1:98" s="1396" customFormat="1" ht="13.8" outlineLevel="1">
      <c r="A51" s="1566"/>
      <c r="B51" s="4258" t="s">
        <v>60</v>
      </c>
      <c r="C51" s="3341"/>
      <c r="D51" s="3341"/>
      <c r="E51" s="3349">
        <f t="shared" ref="E51:E52" si="134">C51+D51</f>
        <v>0</v>
      </c>
      <c r="F51" s="4211" t="e">
        <f t="shared" ref="F51:F71" si="135">E51/$E$89</f>
        <v>#DIV/0!</v>
      </c>
      <c r="G51" s="4241"/>
      <c r="H51" s="3341"/>
      <c r="I51" s="3341"/>
      <c r="J51" s="3349">
        <f>H51+I51</f>
        <v>0</v>
      </c>
      <c r="K51" s="4211">
        <f t="shared" ref="K51:K52" si="136">J51/J$89</f>
        <v>0</v>
      </c>
      <c r="L51" s="4241"/>
      <c r="M51" s="3341"/>
      <c r="N51" s="3341"/>
      <c r="O51" s="3349">
        <f t="shared" ref="O51:O52" si="137">M51+N51</f>
        <v>0</v>
      </c>
      <c r="P51" s="4211">
        <f t="shared" ref="P51:P53" si="138">O51/O$89</f>
        <v>0</v>
      </c>
      <c r="Q51" s="4241"/>
      <c r="R51" s="3342">
        <f t="shared" ref="R51:S52" si="139">M51+H51+C51</f>
        <v>0</v>
      </c>
      <c r="S51" s="3342">
        <f t="shared" si="139"/>
        <v>0</v>
      </c>
      <c r="T51" s="2012">
        <f t="shared" ref="T51:T52" si="140">R51+S51</f>
        <v>0</v>
      </c>
      <c r="U51" s="3455"/>
      <c r="V51" s="3455"/>
      <c r="W51" s="3342">
        <f t="shared" ref="W51:X52" si="141">AB51+AG51+AL51+AV51+BA51+BF51+BK51+BP51+BU51+BZ51+CE51+AQ51</f>
        <v>0</v>
      </c>
      <c r="X51" s="3342">
        <f t="shared" si="141"/>
        <v>0</v>
      </c>
      <c r="Y51" s="2012">
        <f t="shared" ref="Y51:Y52" si="142">W51+X51</f>
        <v>0</v>
      </c>
      <c r="Z51" s="3455"/>
      <c r="AA51" s="3455"/>
      <c r="AB51" s="3349"/>
      <c r="AC51" s="3349"/>
      <c r="AD51" s="3349">
        <f t="shared" ref="AD51:AD52" si="143">AB51+AC51</f>
        <v>0</v>
      </c>
      <c r="AE51" s="4211">
        <f t="shared" ref="AE51:AE53" si="144">AD51/AD$89</f>
        <v>0</v>
      </c>
      <c r="AF51" s="4241"/>
      <c r="AG51" s="3341"/>
      <c r="AH51" s="3341"/>
      <c r="AI51" s="3349">
        <f t="shared" ref="AI51:AI52" si="145">AG51+AH51</f>
        <v>0</v>
      </c>
      <c r="AJ51" s="4211" t="e">
        <f t="shared" ref="AJ51:AJ53" si="146">AI51/AI$89</f>
        <v>#DIV/0!</v>
      </c>
      <c r="AK51" s="4241"/>
      <c r="AL51" s="3341"/>
      <c r="AM51" s="3341"/>
      <c r="AN51" s="3349">
        <f t="shared" ref="AN51:AN52" si="147">AL51+AM51</f>
        <v>0</v>
      </c>
      <c r="AO51" s="4211">
        <f t="shared" ref="AO51:AO53" si="148">AN51/AN$89</f>
        <v>0</v>
      </c>
      <c r="AP51" s="4242"/>
      <c r="AQ51" s="3341"/>
      <c r="AR51" s="3341"/>
      <c r="AS51" s="3349">
        <f t="shared" ref="AS51:AS52" si="149">AQ51+AR51</f>
        <v>0</v>
      </c>
      <c r="AT51" s="4211">
        <f t="shared" ref="AT51:AT53" si="150">AS51/AS$89</f>
        <v>0</v>
      </c>
      <c r="AU51" s="4241"/>
      <c r="AV51" s="3341"/>
      <c r="AW51" s="3341"/>
      <c r="AX51" s="3349">
        <f t="shared" ref="AX51:AX52" si="151">AV51+AW51</f>
        <v>0</v>
      </c>
      <c r="AY51" s="4211" t="e">
        <f t="shared" ref="AY51:AY53" si="152">AX51/AX$89</f>
        <v>#DIV/0!</v>
      </c>
      <c r="AZ51" s="4241"/>
      <c r="BA51" s="3341"/>
      <c r="BB51" s="3341"/>
      <c r="BC51" s="3349">
        <f t="shared" ref="BC51:BC52" si="153">BA51+BB51</f>
        <v>0</v>
      </c>
      <c r="BD51" s="4211" t="e">
        <f t="shared" ref="BD51:BD53" si="154">BC51/BC$89</f>
        <v>#DIV/0!</v>
      </c>
      <c r="BE51" s="4241"/>
      <c r="BF51" s="3341"/>
      <c r="BG51" s="3341"/>
      <c r="BH51" s="3349">
        <f t="shared" ref="BH51:BH52" si="155">BF51+BG51</f>
        <v>0</v>
      </c>
      <c r="BI51" s="4211" t="e">
        <f t="shared" ref="BI51:BI53" si="156">BH51/BH$89</f>
        <v>#DIV/0!</v>
      </c>
      <c r="BJ51" s="4241"/>
      <c r="BK51" s="3341"/>
      <c r="BL51" s="3341"/>
      <c r="BM51" s="3349">
        <f t="shared" ref="BM51:BM52" si="157">BK51+BL51</f>
        <v>0</v>
      </c>
      <c r="BN51" s="4211" t="e">
        <f t="shared" ref="BN51:BN53" si="158">BM51/BM$89</f>
        <v>#DIV/0!</v>
      </c>
      <c r="BO51" s="4241"/>
      <c r="BP51" s="3341"/>
      <c r="BQ51" s="3341"/>
      <c r="BR51" s="3349">
        <f t="shared" ref="BR51:BR52" si="159">BP51+BQ51</f>
        <v>0</v>
      </c>
      <c r="BS51" s="4211" t="e">
        <f t="shared" ref="BS51:BS53" si="160">BR51/BR$89</f>
        <v>#DIV/0!</v>
      </c>
      <c r="BT51" s="4241"/>
      <c r="BU51" s="3341"/>
      <c r="BV51" s="3341"/>
      <c r="BW51" s="3349">
        <f t="shared" ref="BW51:BW52" si="161">BU51+BV51</f>
        <v>0</v>
      </c>
      <c r="BX51" s="4211" t="e">
        <f t="shared" ref="BX51:BX53" si="162">BW51/BW$89</f>
        <v>#DIV/0!</v>
      </c>
      <c r="BY51" s="4241"/>
      <c r="BZ51" s="3341"/>
      <c r="CA51" s="3341"/>
      <c r="CB51" s="3349">
        <f t="shared" ref="CB51:CB52" si="163">BZ51+CA51</f>
        <v>0</v>
      </c>
      <c r="CC51" s="4211" t="e">
        <f t="shared" ref="CC51:CC53" si="164">CB51/CB$89</f>
        <v>#DIV/0!</v>
      </c>
      <c r="CD51" s="4241"/>
      <c r="CE51" s="3341"/>
      <c r="CF51" s="3341"/>
      <c r="CG51" s="3349">
        <f t="shared" ref="CG51:CG52" si="165">CE51+CF51</f>
        <v>0</v>
      </c>
      <c r="CH51" s="4211" t="e">
        <f t="shared" ref="CH51:CH53" si="166">CG51/CG$89</f>
        <v>#DIV/0!</v>
      </c>
      <c r="CI51" s="4241"/>
      <c r="CJ51" s="3341">
        <f t="shared" ref="CJ51:CK53" si="167">C51+H51+M51+W51</f>
        <v>0</v>
      </c>
      <c r="CK51" s="3341">
        <f t="shared" si="167"/>
        <v>0</v>
      </c>
      <c r="CL51" s="2012">
        <f>CJ51+CK51*1</f>
        <v>0</v>
      </c>
      <c r="CM51" s="4211">
        <f>CL51/$CL$89</f>
        <v>0</v>
      </c>
      <c r="CN51" s="4243"/>
      <c r="CP51" s="2012">
        <f>CN51+CO51*1</f>
        <v>0</v>
      </c>
      <c r="CQ51" s="2012">
        <f>CO51+CP51*1</f>
        <v>0</v>
      </c>
      <c r="CR51" s="4202"/>
      <c r="CT51" s="2624"/>
    </row>
    <row r="52" spans="1:98" ht="13.8" outlineLevel="2">
      <c r="A52" s="1566"/>
      <c r="B52" s="4258" t="s">
        <v>61</v>
      </c>
      <c r="C52" s="3341"/>
      <c r="D52" s="3341"/>
      <c r="E52" s="3349">
        <f t="shared" si="134"/>
        <v>0</v>
      </c>
      <c r="F52" s="4211" t="e">
        <f t="shared" si="135"/>
        <v>#DIV/0!</v>
      </c>
      <c r="G52" s="4241"/>
      <c r="H52" s="3341"/>
      <c r="I52" s="3341"/>
      <c r="J52" s="3349">
        <f>H52+I52</f>
        <v>0</v>
      </c>
      <c r="K52" s="4211">
        <f t="shared" si="136"/>
        <v>0</v>
      </c>
      <c r="L52" s="4241"/>
      <c r="M52" s="3341"/>
      <c r="N52" s="3341"/>
      <c r="O52" s="3349">
        <f t="shared" si="137"/>
        <v>0</v>
      </c>
      <c r="P52" s="4211">
        <f t="shared" si="138"/>
        <v>0</v>
      </c>
      <c r="Q52" s="4241"/>
      <c r="R52" s="3342">
        <f t="shared" si="139"/>
        <v>0</v>
      </c>
      <c r="S52" s="3342">
        <f t="shared" si="139"/>
        <v>0</v>
      </c>
      <c r="T52" s="2012">
        <f t="shared" si="140"/>
        <v>0</v>
      </c>
      <c r="U52" s="3455"/>
      <c r="V52" s="3455"/>
      <c r="W52" s="3342">
        <f t="shared" si="141"/>
        <v>0</v>
      </c>
      <c r="X52" s="3342">
        <f t="shared" si="141"/>
        <v>0</v>
      </c>
      <c r="Y52" s="2012">
        <f t="shared" si="142"/>
        <v>0</v>
      </c>
      <c r="Z52" s="3455"/>
      <c r="AA52" s="3455"/>
      <c r="AB52" s="3349"/>
      <c r="AC52" s="3349"/>
      <c r="AD52" s="3349">
        <f t="shared" si="143"/>
        <v>0</v>
      </c>
      <c r="AE52" s="4211">
        <f t="shared" si="144"/>
        <v>0</v>
      </c>
      <c r="AF52" s="4241"/>
      <c r="AG52" s="3341"/>
      <c r="AH52" s="3341"/>
      <c r="AI52" s="3349">
        <f t="shared" si="145"/>
        <v>0</v>
      </c>
      <c r="AJ52" s="4211" t="e">
        <f t="shared" si="146"/>
        <v>#DIV/0!</v>
      </c>
      <c r="AK52" s="4241"/>
      <c r="AL52" s="3341"/>
      <c r="AM52" s="3341"/>
      <c r="AN52" s="3349">
        <f t="shared" si="147"/>
        <v>0</v>
      </c>
      <c r="AO52" s="4211">
        <f t="shared" si="148"/>
        <v>0</v>
      </c>
      <c r="AP52" s="4242"/>
      <c r="AQ52" s="3341"/>
      <c r="AR52" s="3341"/>
      <c r="AS52" s="3349">
        <f t="shared" si="149"/>
        <v>0</v>
      </c>
      <c r="AT52" s="4211">
        <f t="shared" si="150"/>
        <v>0</v>
      </c>
      <c r="AU52" s="4241"/>
      <c r="AV52" s="3341"/>
      <c r="AW52" s="3341"/>
      <c r="AX52" s="3349">
        <f t="shared" si="151"/>
        <v>0</v>
      </c>
      <c r="AY52" s="4211" t="e">
        <f t="shared" si="152"/>
        <v>#DIV/0!</v>
      </c>
      <c r="AZ52" s="4241"/>
      <c r="BA52" s="3341"/>
      <c r="BB52" s="3341"/>
      <c r="BC52" s="3349">
        <f t="shared" si="153"/>
        <v>0</v>
      </c>
      <c r="BD52" s="4211" t="e">
        <f t="shared" si="154"/>
        <v>#DIV/0!</v>
      </c>
      <c r="BE52" s="4241"/>
      <c r="BF52" s="3341"/>
      <c r="BG52" s="3341"/>
      <c r="BH52" s="3349">
        <f t="shared" si="155"/>
        <v>0</v>
      </c>
      <c r="BI52" s="4211" t="e">
        <f t="shared" si="156"/>
        <v>#DIV/0!</v>
      </c>
      <c r="BJ52" s="4241"/>
      <c r="BK52" s="3341"/>
      <c r="BL52" s="3341"/>
      <c r="BM52" s="3349">
        <f t="shared" si="157"/>
        <v>0</v>
      </c>
      <c r="BN52" s="4211" t="e">
        <f t="shared" si="158"/>
        <v>#DIV/0!</v>
      </c>
      <c r="BO52" s="4241"/>
      <c r="BP52" s="3341"/>
      <c r="BQ52" s="3341"/>
      <c r="BR52" s="3349">
        <f t="shared" si="159"/>
        <v>0</v>
      </c>
      <c r="BS52" s="4211" t="e">
        <f t="shared" si="160"/>
        <v>#DIV/0!</v>
      </c>
      <c r="BT52" s="4241"/>
      <c r="BU52" s="3341"/>
      <c r="BV52" s="3341"/>
      <c r="BW52" s="3349">
        <f t="shared" si="161"/>
        <v>0</v>
      </c>
      <c r="BX52" s="4211" t="e">
        <f t="shared" si="162"/>
        <v>#DIV/0!</v>
      </c>
      <c r="BY52" s="4241"/>
      <c r="BZ52" s="3341"/>
      <c r="CA52" s="3341"/>
      <c r="CB52" s="3349">
        <f t="shared" si="163"/>
        <v>0</v>
      </c>
      <c r="CC52" s="4211" t="e">
        <f t="shared" si="164"/>
        <v>#DIV/0!</v>
      </c>
      <c r="CD52" s="4241"/>
      <c r="CE52" s="3341"/>
      <c r="CF52" s="3341"/>
      <c r="CG52" s="3349">
        <f t="shared" si="165"/>
        <v>0</v>
      </c>
      <c r="CH52" s="4211" t="e">
        <f t="shared" si="166"/>
        <v>#DIV/0!</v>
      </c>
      <c r="CI52" s="4241"/>
      <c r="CJ52" s="3341">
        <f t="shared" si="167"/>
        <v>0</v>
      </c>
      <c r="CK52" s="3341">
        <f t="shared" si="167"/>
        <v>0</v>
      </c>
      <c r="CL52" s="2012">
        <f>CJ52+CK52*1</f>
        <v>0</v>
      </c>
      <c r="CM52" s="4211">
        <f>CL52/$CL$89</f>
        <v>0</v>
      </c>
      <c r="CN52" s="4243"/>
      <c r="CP52" s="2012">
        <f>CN52+CO52*1</f>
        <v>0</v>
      </c>
      <c r="CQ52" s="2012">
        <f>CO52+CP52*1</f>
        <v>0</v>
      </c>
      <c r="CR52" s="4202"/>
    </row>
    <row r="53" spans="1:98" ht="14.4" outlineLevel="1" thickBot="1">
      <c r="A53" s="1413"/>
      <c r="B53" s="4266"/>
      <c r="C53" s="3341"/>
      <c r="D53" s="3341"/>
      <c r="E53" s="4267"/>
      <c r="F53" s="4211" t="e">
        <f t="shared" si="135"/>
        <v>#DIV/0!</v>
      </c>
      <c r="G53" s="4268"/>
      <c r="H53" s="3341"/>
      <c r="I53" s="3341"/>
      <c r="J53" s="4267"/>
      <c r="K53" s="4211" t="e">
        <f t="shared" ref="K53:K54" si="168">J53/$E$89</f>
        <v>#DIV/0!</v>
      </c>
      <c r="L53" s="4268"/>
      <c r="M53" s="3341"/>
      <c r="N53" s="3341"/>
      <c r="O53" s="4267"/>
      <c r="P53" s="4211">
        <f t="shared" si="138"/>
        <v>0</v>
      </c>
      <c r="Q53" s="4268"/>
      <c r="R53" s="4269"/>
      <c r="S53" s="4268"/>
      <c r="T53" s="4268"/>
      <c r="U53" s="4268"/>
      <c r="V53" s="4268"/>
      <c r="W53" s="4268"/>
      <c r="X53" s="4268"/>
      <c r="Y53" s="4268"/>
      <c r="Z53" s="4268"/>
      <c r="AA53" s="4268"/>
      <c r="AB53" s="4221"/>
      <c r="AC53" s="4221"/>
      <c r="AD53" s="4270"/>
      <c r="AE53" s="4222">
        <f t="shared" si="144"/>
        <v>0</v>
      </c>
      <c r="AF53" s="4268"/>
      <c r="AG53" s="4220"/>
      <c r="AH53" s="4220"/>
      <c r="AI53" s="4267"/>
      <c r="AJ53" s="4222" t="e">
        <f t="shared" si="146"/>
        <v>#DIV/0!</v>
      </c>
      <c r="AK53" s="4268"/>
      <c r="AL53" s="4220"/>
      <c r="AM53" s="4220"/>
      <c r="AN53" s="4267"/>
      <c r="AO53" s="4222">
        <f t="shared" si="148"/>
        <v>0</v>
      </c>
      <c r="AP53" s="4271"/>
      <c r="AQ53" s="4220"/>
      <c r="AR53" s="4220"/>
      <c r="AS53" s="4267"/>
      <c r="AT53" s="4222">
        <f t="shared" si="150"/>
        <v>0</v>
      </c>
      <c r="AU53" s="4268"/>
      <c r="AV53" s="4220"/>
      <c r="AW53" s="4220"/>
      <c r="AX53" s="4267"/>
      <c r="AY53" s="4222" t="e">
        <f t="shared" si="152"/>
        <v>#DIV/0!</v>
      </c>
      <c r="AZ53" s="4268"/>
      <c r="BA53" s="4220"/>
      <c r="BB53" s="4220"/>
      <c r="BC53" s="4267"/>
      <c r="BD53" s="4222" t="e">
        <f t="shared" si="154"/>
        <v>#DIV/0!</v>
      </c>
      <c r="BE53" s="4268"/>
      <c r="BF53" s="4220"/>
      <c r="BG53" s="4220"/>
      <c r="BH53" s="4267"/>
      <c r="BI53" s="4222" t="e">
        <f t="shared" si="156"/>
        <v>#DIV/0!</v>
      </c>
      <c r="BJ53" s="4268"/>
      <c r="BK53" s="4220"/>
      <c r="BL53" s="4220"/>
      <c r="BM53" s="4267"/>
      <c r="BN53" s="4222" t="e">
        <f t="shared" si="158"/>
        <v>#DIV/0!</v>
      </c>
      <c r="BO53" s="4268"/>
      <c r="BP53" s="4220"/>
      <c r="BQ53" s="4220"/>
      <c r="BR53" s="4267"/>
      <c r="BS53" s="4222" t="e">
        <f t="shared" si="160"/>
        <v>#DIV/0!</v>
      </c>
      <c r="BT53" s="4268"/>
      <c r="BU53" s="4220"/>
      <c r="BV53" s="4220"/>
      <c r="BW53" s="4267"/>
      <c r="BX53" s="4222" t="e">
        <f t="shared" si="162"/>
        <v>#DIV/0!</v>
      </c>
      <c r="BY53" s="4268"/>
      <c r="BZ53" s="4220"/>
      <c r="CA53" s="4220"/>
      <c r="CB53" s="4267"/>
      <c r="CC53" s="4222" t="e">
        <f t="shared" si="164"/>
        <v>#DIV/0!</v>
      </c>
      <c r="CD53" s="4268"/>
      <c r="CE53" s="4220"/>
      <c r="CF53" s="4220"/>
      <c r="CG53" s="4267"/>
      <c r="CH53" s="4222" t="e">
        <f t="shared" si="166"/>
        <v>#DIV/0!</v>
      </c>
      <c r="CI53" s="4268"/>
      <c r="CJ53" s="4220">
        <f t="shared" si="167"/>
        <v>0</v>
      </c>
      <c r="CK53" s="4220">
        <f t="shared" si="167"/>
        <v>0</v>
      </c>
      <c r="CL53" s="4267"/>
      <c r="CM53" s="4267"/>
      <c r="CN53" s="4267"/>
      <c r="CP53" s="4272"/>
      <c r="CQ53" s="4272"/>
      <c r="CR53" s="4202"/>
    </row>
    <row r="54" spans="1:98" ht="13.8" outlineLevel="1">
      <c r="A54" s="1570"/>
      <c r="B54" s="1410" t="s">
        <v>1</v>
      </c>
      <c r="C54" s="2015">
        <f>SUM(C55:C72)</f>
        <v>0</v>
      </c>
      <c r="D54" s="2015">
        <f>SUM(D55:D72)</f>
        <v>0</v>
      </c>
      <c r="E54" s="2014">
        <f>SUM(E55:E72)</f>
        <v>0</v>
      </c>
      <c r="F54" s="4257" t="e">
        <f t="shared" si="135"/>
        <v>#DIV/0!</v>
      </c>
      <c r="G54" s="1057"/>
      <c r="H54" s="2015">
        <f>SUM(H55:H72)</f>
        <v>0</v>
      </c>
      <c r="I54" s="2015">
        <f>SUM(I55:I72)</f>
        <v>0</v>
      </c>
      <c r="J54" s="2014">
        <f>SUM(J55:J72)</f>
        <v>0</v>
      </c>
      <c r="K54" s="4257" t="e">
        <f t="shared" si="168"/>
        <v>#DIV/0!</v>
      </c>
      <c r="L54" s="1057"/>
      <c r="M54" s="2015">
        <f>SUM(M55:M72)</f>
        <v>0</v>
      </c>
      <c r="N54" s="2015">
        <f>SUM(N55:N72)</f>
        <v>0</v>
      </c>
      <c r="O54" s="2014">
        <f>SUM(O55:O72)</f>
        <v>0</v>
      </c>
      <c r="P54" s="4257" t="e">
        <f t="shared" ref="P54" si="169">O54/$E$89</f>
        <v>#DIV/0!</v>
      </c>
      <c r="Q54" s="1057"/>
      <c r="R54" s="2013">
        <f>SUM(R55:R72)</f>
        <v>0</v>
      </c>
      <c r="S54" s="2013">
        <f>SUM(S55:S72)</f>
        <v>0</v>
      </c>
      <c r="T54" s="2013">
        <f>SUM(T55:T72)</f>
        <v>0</v>
      </c>
      <c r="U54" s="1535"/>
      <c r="V54" s="3460"/>
      <c r="W54" s="2013">
        <f>SUM(W55:W72)</f>
        <v>0</v>
      </c>
      <c r="X54" s="2013">
        <f>SUM(X55:X72)</f>
        <v>0</v>
      </c>
      <c r="Y54" s="2013">
        <f>SUM(Y55:Y72)</f>
        <v>0</v>
      </c>
      <c r="Z54" s="1535"/>
      <c r="AA54" s="3460"/>
      <c r="AB54" s="2013">
        <f>SUM(AB55:AB72)</f>
        <v>0</v>
      </c>
      <c r="AC54" s="2013">
        <f>SUM(AC55:AC72)</f>
        <v>0</v>
      </c>
      <c r="AD54" s="2013">
        <f>SUM(AD55:AD72)</f>
        <v>0</v>
      </c>
      <c r="AE54" s="1535"/>
      <c r="AF54" s="3735"/>
      <c r="AG54" s="2013">
        <f>SUM(AG55:AG72)</f>
        <v>0</v>
      </c>
      <c r="AH54" s="2013">
        <f>SUM(AH55:AH72)</f>
        <v>0</v>
      </c>
      <c r="AI54" s="2013">
        <f>SUM(AI55:AI72)</f>
        <v>0</v>
      </c>
      <c r="AJ54" s="1535"/>
      <c r="AK54" s="3735"/>
      <c r="AL54" s="2013">
        <f>SUM(AL55:AL72)</f>
        <v>0</v>
      </c>
      <c r="AM54" s="2013">
        <f>SUM(AM55:AM72)</f>
        <v>0</v>
      </c>
      <c r="AN54" s="2013">
        <f>SUM(AN55:AN72)</f>
        <v>0</v>
      </c>
      <c r="AO54" s="1535"/>
      <c r="AP54" s="3782"/>
      <c r="AQ54" s="2013">
        <f>SUM(AQ55:AQ72)</f>
        <v>0</v>
      </c>
      <c r="AR54" s="2013">
        <f>SUM(AR55:AR72)</f>
        <v>0</v>
      </c>
      <c r="AS54" s="2013">
        <f>SUM(AS55:AS72)</f>
        <v>0</v>
      </c>
      <c r="AT54" s="1535"/>
      <c r="AU54" s="3735"/>
      <c r="AV54" s="2013">
        <f>SUM(AV55:AV72)</f>
        <v>0</v>
      </c>
      <c r="AW54" s="2013">
        <f>SUM(AW55:AW72)</f>
        <v>0</v>
      </c>
      <c r="AX54" s="2013">
        <f>SUM(AX55:AX72)</f>
        <v>0</v>
      </c>
      <c r="AY54" s="1535"/>
      <c r="AZ54" s="3735"/>
      <c r="BA54" s="2013">
        <f>SUM(BA55:BA72)</f>
        <v>0</v>
      </c>
      <c r="BB54" s="2013">
        <f>SUM(BB55:BB72)</f>
        <v>0</v>
      </c>
      <c r="BC54" s="2013">
        <f>SUM(BC55:BC72)</f>
        <v>0</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0</v>
      </c>
      <c r="CK54" s="2013">
        <f>SUM(CK55:CK72)</f>
        <v>0</v>
      </c>
      <c r="CL54" s="2013">
        <f>SUM(CL55:CL72)</f>
        <v>0</v>
      </c>
      <c r="CM54" s="1535">
        <f t="shared" ref="CM54:CM71" si="170">CL54/$CL$89</f>
        <v>0</v>
      </c>
      <c r="CN54" s="1061"/>
      <c r="CP54" s="2015">
        <f>SUM(CP55:CP72)</f>
        <v>0</v>
      </c>
      <c r="CQ54" s="2015">
        <f>SUM(CQ55:CQ72)</f>
        <v>0</v>
      </c>
      <c r="CR54" s="2015"/>
    </row>
    <row r="55" spans="1:98" ht="13.8" outlineLevel="2">
      <c r="A55" s="1571"/>
      <c r="B55" s="4240" t="s">
        <v>77</v>
      </c>
      <c r="C55" s="3349"/>
      <c r="D55" s="3349"/>
      <c r="E55" s="3349">
        <f t="shared" ref="E55:E71" si="171">C55+D55</f>
        <v>0</v>
      </c>
      <c r="F55" s="4211" t="e">
        <f t="shared" si="135"/>
        <v>#DIV/0!</v>
      </c>
      <c r="G55" s="4259"/>
      <c r="H55" s="3349"/>
      <c r="I55" s="3349"/>
      <c r="J55" s="3349">
        <f t="shared" ref="J55:J71" si="172">H55+I55</f>
        <v>0</v>
      </c>
      <c r="K55" s="4211">
        <f t="shared" ref="K55:K72" si="173">J55/J$89</f>
        <v>0</v>
      </c>
      <c r="L55" s="4259"/>
      <c r="M55" s="3349"/>
      <c r="N55" s="3349"/>
      <c r="O55" s="3349">
        <f t="shared" ref="O55:O71" si="174">M55+N55</f>
        <v>0</v>
      </c>
      <c r="P55" s="4211">
        <f t="shared" ref="P55:P72" si="175">O55/O$89</f>
        <v>0</v>
      </c>
      <c r="Q55" s="4259"/>
      <c r="R55" s="3342">
        <f t="shared" ref="R55:S71" si="176">M55+H55+C55</f>
        <v>0</v>
      </c>
      <c r="S55" s="3342">
        <f t="shared" si="176"/>
        <v>0</v>
      </c>
      <c r="T55" s="2012">
        <f t="shared" ref="T55:T71" si="177">R55+S55</f>
        <v>0</v>
      </c>
      <c r="U55" s="3462"/>
      <c r="V55" s="3462"/>
      <c r="W55" s="3342">
        <f t="shared" ref="W55:X71" si="178">AB55+AG55+AL55+AV55+BA55+BF55+BK55+BP55+BU55+BZ55+CE55+AQ55</f>
        <v>0</v>
      </c>
      <c r="X55" s="3342">
        <f t="shared" si="178"/>
        <v>0</v>
      </c>
      <c r="Y55" s="2012">
        <f t="shared" ref="Y55:Y71" si="179">W55+X55</f>
        <v>0</v>
      </c>
      <c r="Z55" s="3462"/>
      <c r="AA55" s="3462"/>
      <c r="AB55" s="3349"/>
      <c r="AC55" s="3349"/>
      <c r="AD55" s="3349">
        <f t="shared" ref="AD55:AD71" si="180">AB55+AC55</f>
        <v>0</v>
      </c>
      <c r="AE55" s="4211">
        <f t="shared" ref="AE55:AE71" si="181">AD55/AD$89</f>
        <v>0</v>
      </c>
      <c r="AF55" s="4259"/>
      <c r="AG55" s="3349"/>
      <c r="AH55" s="3349"/>
      <c r="AI55" s="3349">
        <f t="shared" ref="AI55:AI71" si="182">AG55+AH55</f>
        <v>0</v>
      </c>
      <c r="AJ55" s="4211" t="e">
        <f t="shared" ref="AJ55:AJ71" si="183">AI55/AI$89</f>
        <v>#DIV/0!</v>
      </c>
      <c r="AK55" s="4259"/>
      <c r="AL55" s="3349"/>
      <c r="AM55" s="3349"/>
      <c r="AN55" s="3349">
        <f t="shared" ref="AN55:AN71" si="184">AL55+AM55</f>
        <v>0</v>
      </c>
      <c r="AO55" s="4211">
        <f t="shared" ref="AO55:AO71" si="185">AN55/AN$89</f>
        <v>0</v>
      </c>
      <c r="AP55" s="4260"/>
      <c r="AQ55" s="3349"/>
      <c r="AR55" s="3349"/>
      <c r="AS55" s="3349">
        <f t="shared" ref="AS55:AS71" si="186">AQ55+AR55</f>
        <v>0</v>
      </c>
      <c r="AT55" s="4211">
        <f t="shared" ref="AT55:AT71" si="187">AS55/AS$89</f>
        <v>0</v>
      </c>
      <c r="AU55" s="4259"/>
      <c r="AV55" s="3349"/>
      <c r="AW55" s="3349"/>
      <c r="AX55" s="3349">
        <f t="shared" ref="AX55:AX71" si="188">AV55+AW55</f>
        <v>0</v>
      </c>
      <c r="AY55" s="4211" t="e">
        <f t="shared" ref="AY55:AY71" si="189">AX55/AX$89</f>
        <v>#DIV/0!</v>
      </c>
      <c r="AZ55" s="4259"/>
      <c r="BA55" s="3349"/>
      <c r="BB55" s="3349"/>
      <c r="BC55" s="3349">
        <f t="shared" ref="BC55:BC71" si="190">BA55+BB55</f>
        <v>0</v>
      </c>
      <c r="BD55" s="4211" t="e">
        <f t="shared" ref="BD55:BD71" si="191">BC55/BC$89</f>
        <v>#DIV/0!</v>
      </c>
      <c r="BE55" s="4259"/>
      <c r="BF55" s="3349"/>
      <c r="BG55" s="3349"/>
      <c r="BH55" s="3349">
        <f t="shared" ref="BH55:BH71" si="192">BF55+BG55</f>
        <v>0</v>
      </c>
      <c r="BI55" s="4211" t="e">
        <f t="shared" ref="BI55:BI71" si="193">BH55/BH$89</f>
        <v>#DIV/0!</v>
      </c>
      <c r="BJ55" s="4259"/>
      <c r="BK55" s="3349"/>
      <c r="BL55" s="3349"/>
      <c r="BM55" s="3349">
        <f t="shared" ref="BM55:BM71" si="194">BK55+BL55</f>
        <v>0</v>
      </c>
      <c r="BN55" s="4211" t="e">
        <f t="shared" ref="BN55:BN71" si="195">BM55/BM$89</f>
        <v>#DIV/0!</v>
      </c>
      <c r="BO55" s="4259"/>
      <c r="BP55" s="3349"/>
      <c r="BQ55" s="3349"/>
      <c r="BR55" s="3349">
        <f t="shared" ref="BR55:BR71" si="196">BP55+BQ55</f>
        <v>0</v>
      </c>
      <c r="BS55" s="4211" t="e">
        <f t="shared" ref="BS55:BS71" si="197">BR55/BR$89</f>
        <v>#DIV/0!</v>
      </c>
      <c r="BT55" s="4259"/>
      <c r="BU55" s="3349"/>
      <c r="BV55" s="3349"/>
      <c r="BW55" s="3349">
        <f t="shared" ref="BW55:BW71" si="198">BU55+BV55</f>
        <v>0</v>
      </c>
      <c r="BX55" s="4211" t="e">
        <f t="shared" ref="BX55:BX71" si="199">BW55/BW$89</f>
        <v>#DIV/0!</v>
      </c>
      <c r="BY55" s="4259"/>
      <c r="BZ55" s="3349"/>
      <c r="CA55" s="3349"/>
      <c r="CB55" s="3349">
        <f t="shared" ref="CB55:CB71" si="200">BZ55+CA55</f>
        <v>0</v>
      </c>
      <c r="CC55" s="4211" t="e">
        <f t="shared" ref="CC55:CC71" si="201">CB55/CB$89</f>
        <v>#DIV/0!</v>
      </c>
      <c r="CD55" s="4259"/>
      <c r="CE55" s="3349"/>
      <c r="CF55" s="3349"/>
      <c r="CG55" s="3349">
        <f t="shared" ref="CG55:CG71" si="202">CE55+CF55</f>
        <v>0</v>
      </c>
      <c r="CH55" s="4211" t="e">
        <f t="shared" ref="CH55:CH71" si="203">CG55/CG$89</f>
        <v>#DIV/0!</v>
      </c>
      <c r="CI55" s="4259"/>
      <c r="CJ55" s="3341">
        <f t="shared" ref="CJ55:CK71" si="204">C55+H55+M55+W55</f>
        <v>0</v>
      </c>
      <c r="CK55" s="3341">
        <f t="shared" si="204"/>
        <v>0</v>
      </c>
      <c r="CL55" s="2012">
        <f t="shared" ref="CL55:CL71" si="205">CJ55+CK55*1</f>
        <v>0</v>
      </c>
      <c r="CM55" s="4211">
        <f t="shared" si="170"/>
        <v>0</v>
      </c>
      <c r="CN55" s="4213"/>
      <c r="CP55" s="2012">
        <f t="shared" ref="CP55:CQ71" si="206">CN55+CO55*1</f>
        <v>0</v>
      </c>
      <c r="CQ55" s="2012">
        <f t="shared" si="206"/>
        <v>0</v>
      </c>
      <c r="CR55" s="4202"/>
    </row>
    <row r="56" spans="1:98" ht="13.8" outlineLevel="2">
      <c r="A56" s="1571"/>
      <c r="B56" s="4240" t="s">
        <v>76</v>
      </c>
      <c r="C56" s="3349"/>
      <c r="D56" s="3349"/>
      <c r="E56" s="3349">
        <f t="shared" si="171"/>
        <v>0</v>
      </c>
      <c r="F56" s="4211" t="e">
        <f t="shared" si="135"/>
        <v>#DIV/0!</v>
      </c>
      <c r="G56" s="4259"/>
      <c r="H56" s="3349"/>
      <c r="I56" s="3349"/>
      <c r="J56" s="3349">
        <f t="shared" si="172"/>
        <v>0</v>
      </c>
      <c r="K56" s="4211">
        <f t="shared" si="173"/>
        <v>0</v>
      </c>
      <c r="L56" s="4259"/>
      <c r="M56" s="3349"/>
      <c r="N56" s="3349"/>
      <c r="O56" s="3349">
        <f t="shared" si="174"/>
        <v>0</v>
      </c>
      <c r="P56" s="4211">
        <f t="shared" si="175"/>
        <v>0</v>
      </c>
      <c r="Q56" s="4259"/>
      <c r="R56" s="3342">
        <f t="shared" si="176"/>
        <v>0</v>
      </c>
      <c r="S56" s="3342">
        <f t="shared" si="176"/>
        <v>0</v>
      </c>
      <c r="T56" s="2012">
        <f t="shared" si="177"/>
        <v>0</v>
      </c>
      <c r="U56" s="3462"/>
      <c r="V56" s="3462"/>
      <c r="W56" s="3342">
        <f t="shared" si="178"/>
        <v>0</v>
      </c>
      <c r="X56" s="3342">
        <f t="shared" si="178"/>
        <v>0</v>
      </c>
      <c r="Y56" s="2012">
        <f t="shared" si="179"/>
        <v>0</v>
      </c>
      <c r="Z56" s="3462"/>
      <c r="AA56" s="3462"/>
      <c r="AB56" s="3349"/>
      <c r="AC56" s="3349"/>
      <c r="AD56" s="3349">
        <f t="shared" si="180"/>
        <v>0</v>
      </c>
      <c r="AE56" s="4211">
        <f t="shared" si="181"/>
        <v>0</v>
      </c>
      <c r="AF56" s="4259"/>
      <c r="AG56" s="3349"/>
      <c r="AH56" s="3349"/>
      <c r="AI56" s="3349">
        <f t="shared" si="182"/>
        <v>0</v>
      </c>
      <c r="AJ56" s="4211" t="e">
        <f t="shared" si="183"/>
        <v>#DIV/0!</v>
      </c>
      <c r="AK56" s="4259"/>
      <c r="AL56" s="3349"/>
      <c r="AM56" s="3349"/>
      <c r="AN56" s="3349">
        <f t="shared" si="184"/>
        <v>0</v>
      </c>
      <c r="AO56" s="4211">
        <f t="shared" si="185"/>
        <v>0</v>
      </c>
      <c r="AP56" s="4260"/>
      <c r="AQ56" s="3349"/>
      <c r="AR56" s="3349"/>
      <c r="AS56" s="3349">
        <f t="shared" si="186"/>
        <v>0</v>
      </c>
      <c r="AT56" s="4211">
        <f t="shared" si="187"/>
        <v>0</v>
      </c>
      <c r="AU56" s="4259"/>
      <c r="AV56" s="3349"/>
      <c r="AW56" s="3349"/>
      <c r="AX56" s="3349">
        <f t="shared" si="188"/>
        <v>0</v>
      </c>
      <c r="AY56" s="4211" t="e">
        <f t="shared" si="189"/>
        <v>#DIV/0!</v>
      </c>
      <c r="AZ56" s="4259"/>
      <c r="BA56" s="3349"/>
      <c r="BB56" s="3349"/>
      <c r="BC56" s="3349">
        <f t="shared" si="190"/>
        <v>0</v>
      </c>
      <c r="BD56" s="4211" t="e">
        <f t="shared" si="191"/>
        <v>#DIV/0!</v>
      </c>
      <c r="BE56" s="4259"/>
      <c r="BF56" s="3349"/>
      <c r="BG56" s="3349"/>
      <c r="BH56" s="3349">
        <f t="shared" si="192"/>
        <v>0</v>
      </c>
      <c r="BI56" s="4211" t="e">
        <f t="shared" si="193"/>
        <v>#DIV/0!</v>
      </c>
      <c r="BJ56" s="4259"/>
      <c r="BK56" s="3349"/>
      <c r="BL56" s="3349"/>
      <c r="BM56" s="3349">
        <f t="shared" si="194"/>
        <v>0</v>
      </c>
      <c r="BN56" s="4211" t="e">
        <f t="shared" si="195"/>
        <v>#DIV/0!</v>
      </c>
      <c r="BO56" s="4259"/>
      <c r="BP56" s="3349"/>
      <c r="BQ56" s="3349"/>
      <c r="BR56" s="3349">
        <f t="shared" si="196"/>
        <v>0</v>
      </c>
      <c r="BS56" s="4211" t="e">
        <f t="shared" si="197"/>
        <v>#DIV/0!</v>
      </c>
      <c r="BT56" s="4259"/>
      <c r="BU56" s="3349"/>
      <c r="BV56" s="3349"/>
      <c r="BW56" s="3349">
        <f t="shared" si="198"/>
        <v>0</v>
      </c>
      <c r="BX56" s="4211" t="e">
        <f t="shared" si="199"/>
        <v>#DIV/0!</v>
      </c>
      <c r="BY56" s="4259"/>
      <c r="BZ56" s="3349"/>
      <c r="CA56" s="3349"/>
      <c r="CB56" s="3349">
        <f t="shared" si="200"/>
        <v>0</v>
      </c>
      <c r="CC56" s="4211" t="e">
        <f t="shared" si="201"/>
        <v>#DIV/0!</v>
      </c>
      <c r="CD56" s="4259"/>
      <c r="CE56" s="3349"/>
      <c r="CF56" s="3349"/>
      <c r="CG56" s="3349">
        <f t="shared" si="202"/>
        <v>0</v>
      </c>
      <c r="CH56" s="4211" t="e">
        <f t="shared" si="203"/>
        <v>#DIV/0!</v>
      </c>
      <c r="CI56" s="4259"/>
      <c r="CJ56" s="3341">
        <f t="shared" si="204"/>
        <v>0</v>
      </c>
      <c r="CK56" s="3341">
        <f t="shared" si="204"/>
        <v>0</v>
      </c>
      <c r="CL56" s="2012">
        <f t="shared" si="205"/>
        <v>0</v>
      </c>
      <c r="CM56" s="4211">
        <f t="shared" si="170"/>
        <v>0</v>
      </c>
      <c r="CN56" s="4213"/>
      <c r="CP56" s="2012">
        <f t="shared" si="206"/>
        <v>0</v>
      </c>
      <c r="CQ56" s="2012">
        <f t="shared" si="206"/>
        <v>0</v>
      </c>
      <c r="CR56" s="4202"/>
    </row>
    <row r="57" spans="1:98" ht="13.8" outlineLevel="2">
      <c r="A57" s="1571"/>
      <c r="B57" s="4240" t="s">
        <v>68</v>
      </c>
      <c r="C57" s="3349"/>
      <c r="D57" s="3349"/>
      <c r="E57" s="3349">
        <f t="shared" si="171"/>
        <v>0</v>
      </c>
      <c r="F57" s="4211" t="e">
        <f t="shared" si="135"/>
        <v>#DIV/0!</v>
      </c>
      <c r="G57" s="4259"/>
      <c r="H57" s="3349"/>
      <c r="I57" s="3349"/>
      <c r="J57" s="3349">
        <f t="shared" si="172"/>
        <v>0</v>
      </c>
      <c r="K57" s="4211">
        <f t="shared" si="173"/>
        <v>0</v>
      </c>
      <c r="L57" s="4259"/>
      <c r="M57" s="3349"/>
      <c r="N57" s="3349"/>
      <c r="O57" s="3349">
        <f t="shared" si="174"/>
        <v>0</v>
      </c>
      <c r="P57" s="4211">
        <f t="shared" si="175"/>
        <v>0</v>
      </c>
      <c r="Q57" s="4259"/>
      <c r="R57" s="3342">
        <f t="shared" si="176"/>
        <v>0</v>
      </c>
      <c r="S57" s="3342">
        <f t="shared" si="176"/>
        <v>0</v>
      </c>
      <c r="T57" s="2012">
        <f t="shared" si="177"/>
        <v>0</v>
      </c>
      <c r="U57" s="3462"/>
      <c r="V57" s="3462"/>
      <c r="W57" s="3342">
        <f t="shared" si="178"/>
        <v>0</v>
      </c>
      <c r="X57" s="3342">
        <f t="shared" si="178"/>
        <v>0</v>
      </c>
      <c r="Y57" s="2012">
        <f t="shared" si="179"/>
        <v>0</v>
      </c>
      <c r="Z57" s="3462"/>
      <c r="AA57" s="3462"/>
      <c r="AB57" s="3349"/>
      <c r="AC57" s="3349"/>
      <c r="AD57" s="3349">
        <f t="shared" si="180"/>
        <v>0</v>
      </c>
      <c r="AE57" s="4211">
        <f t="shared" si="181"/>
        <v>0</v>
      </c>
      <c r="AF57" s="4259"/>
      <c r="AG57" s="3349"/>
      <c r="AH57" s="3349"/>
      <c r="AI57" s="3349">
        <f t="shared" si="182"/>
        <v>0</v>
      </c>
      <c r="AJ57" s="4211" t="e">
        <f t="shared" si="183"/>
        <v>#DIV/0!</v>
      </c>
      <c r="AK57" s="4259"/>
      <c r="AL57" s="3349"/>
      <c r="AM57" s="3349"/>
      <c r="AN57" s="3349">
        <f t="shared" si="184"/>
        <v>0</v>
      </c>
      <c r="AO57" s="4211">
        <f t="shared" si="185"/>
        <v>0</v>
      </c>
      <c r="AP57" s="4260"/>
      <c r="AQ57" s="3349"/>
      <c r="AR57" s="3349"/>
      <c r="AS57" s="3349">
        <f t="shared" si="186"/>
        <v>0</v>
      </c>
      <c r="AT57" s="4211">
        <f t="shared" si="187"/>
        <v>0</v>
      </c>
      <c r="AU57" s="4259"/>
      <c r="AV57" s="3349"/>
      <c r="AW57" s="3349"/>
      <c r="AX57" s="3349">
        <f t="shared" si="188"/>
        <v>0</v>
      </c>
      <c r="AY57" s="4211" t="e">
        <f t="shared" si="189"/>
        <v>#DIV/0!</v>
      </c>
      <c r="AZ57" s="4259"/>
      <c r="BA57" s="3349"/>
      <c r="BB57" s="3349"/>
      <c r="BC57" s="3349">
        <f t="shared" si="190"/>
        <v>0</v>
      </c>
      <c r="BD57" s="4211" t="e">
        <f t="shared" si="191"/>
        <v>#DIV/0!</v>
      </c>
      <c r="BE57" s="4259"/>
      <c r="BF57" s="3349"/>
      <c r="BG57" s="3349"/>
      <c r="BH57" s="3349">
        <f t="shared" si="192"/>
        <v>0</v>
      </c>
      <c r="BI57" s="4211" t="e">
        <f t="shared" si="193"/>
        <v>#DIV/0!</v>
      </c>
      <c r="BJ57" s="4259"/>
      <c r="BK57" s="3349"/>
      <c r="BL57" s="3349"/>
      <c r="BM57" s="3349">
        <f t="shared" si="194"/>
        <v>0</v>
      </c>
      <c r="BN57" s="4211" t="e">
        <f t="shared" si="195"/>
        <v>#DIV/0!</v>
      </c>
      <c r="BO57" s="4259"/>
      <c r="BP57" s="3349"/>
      <c r="BQ57" s="3349"/>
      <c r="BR57" s="3349">
        <f t="shared" si="196"/>
        <v>0</v>
      </c>
      <c r="BS57" s="4211" t="e">
        <f t="shared" si="197"/>
        <v>#DIV/0!</v>
      </c>
      <c r="BT57" s="4259"/>
      <c r="BU57" s="3349"/>
      <c r="BV57" s="3349"/>
      <c r="BW57" s="3349">
        <f t="shared" si="198"/>
        <v>0</v>
      </c>
      <c r="BX57" s="4211" t="e">
        <f t="shared" si="199"/>
        <v>#DIV/0!</v>
      </c>
      <c r="BY57" s="4259"/>
      <c r="BZ57" s="3349"/>
      <c r="CA57" s="3349"/>
      <c r="CB57" s="3349">
        <f t="shared" si="200"/>
        <v>0</v>
      </c>
      <c r="CC57" s="4211" t="e">
        <f t="shared" si="201"/>
        <v>#DIV/0!</v>
      </c>
      <c r="CD57" s="4259"/>
      <c r="CE57" s="3349"/>
      <c r="CF57" s="3349"/>
      <c r="CG57" s="3349">
        <f t="shared" si="202"/>
        <v>0</v>
      </c>
      <c r="CH57" s="4211" t="e">
        <f t="shared" si="203"/>
        <v>#DIV/0!</v>
      </c>
      <c r="CI57" s="4259"/>
      <c r="CJ57" s="3341">
        <f t="shared" si="204"/>
        <v>0</v>
      </c>
      <c r="CK57" s="3341">
        <f t="shared" si="204"/>
        <v>0</v>
      </c>
      <c r="CL57" s="2012">
        <f t="shared" si="205"/>
        <v>0</v>
      </c>
      <c r="CM57" s="4211">
        <f t="shared" si="170"/>
        <v>0</v>
      </c>
      <c r="CN57" s="4213"/>
      <c r="CP57" s="2012">
        <f t="shared" si="206"/>
        <v>0</v>
      </c>
      <c r="CQ57" s="2012">
        <f t="shared" si="206"/>
        <v>0</v>
      </c>
      <c r="CR57" s="4202"/>
    </row>
    <row r="58" spans="1:98" ht="13.8" outlineLevel="2">
      <c r="A58" s="1571"/>
      <c r="B58" s="4240" t="s">
        <v>67</v>
      </c>
      <c r="C58" s="3349"/>
      <c r="D58" s="3349"/>
      <c r="E58" s="3349">
        <f t="shared" si="171"/>
        <v>0</v>
      </c>
      <c r="F58" s="4211" t="e">
        <f t="shared" si="135"/>
        <v>#DIV/0!</v>
      </c>
      <c r="G58" s="4259"/>
      <c r="H58" s="3349"/>
      <c r="I58" s="3349"/>
      <c r="J58" s="3349">
        <f t="shared" si="172"/>
        <v>0</v>
      </c>
      <c r="K58" s="4211">
        <f t="shared" si="173"/>
        <v>0</v>
      </c>
      <c r="L58" s="4259"/>
      <c r="M58" s="3349"/>
      <c r="N58" s="3349"/>
      <c r="O58" s="3349">
        <f t="shared" si="174"/>
        <v>0</v>
      </c>
      <c r="P58" s="4211">
        <f t="shared" si="175"/>
        <v>0</v>
      </c>
      <c r="Q58" s="4259"/>
      <c r="R58" s="3342">
        <f t="shared" si="176"/>
        <v>0</v>
      </c>
      <c r="S58" s="3342">
        <f t="shared" si="176"/>
        <v>0</v>
      </c>
      <c r="T58" s="2012">
        <f t="shared" si="177"/>
        <v>0</v>
      </c>
      <c r="U58" s="3462"/>
      <c r="V58" s="3462"/>
      <c r="W58" s="3342">
        <f t="shared" si="178"/>
        <v>0</v>
      </c>
      <c r="X58" s="3342">
        <f t="shared" si="178"/>
        <v>0</v>
      </c>
      <c r="Y58" s="2012">
        <f t="shared" si="179"/>
        <v>0</v>
      </c>
      <c r="Z58" s="3462"/>
      <c r="AA58" s="3462"/>
      <c r="AB58" s="3349"/>
      <c r="AC58" s="3349"/>
      <c r="AD58" s="3349">
        <f t="shared" si="180"/>
        <v>0</v>
      </c>
      <c r="AE58" s="4211">
        <f t="shared" si="181"/>
        <v>0</v>
      </c>
      <c r="AF58" s="4259"/>
      <c r="AG58" s="3349"/>
      <c r="AH58" s="3349"/>
      <c r="AI58" s="3349">
        <f t="shared" si="182"/>
        <v>0</v>
      </c>
      <c r="AJ58" s="4211" t="e">
        <f t="shared" si="183"/>
        <v>#DIV/0!</v>
      </c>
      <c r="AK58" s="4259"/>
      <c r="AL58" s="3349"/>
      <c r="AM58" s="3349"/>
      <c r="AN58" s="3349">
        <f t="shared" si="184"/>
        <v>0</v>
      </c>
      <c r="AO58" s="4211">
        <f t="shared" si="185"/>
        <v>0</v>
      </c>
      <c r="AP58" s="4260"/>
      <c r="AQ58" s="3349"/>
      <c r="AR58" s="3349"/>
      <c r="AS58" s="3349">
        <f t="shared" si="186"/>
        <v>0</v>
      </c>
      <c r="AT58" s="4211">
        <f t="shared" si="187"/>
        <v>0</v>
      </c>
      <c r="AU58" s="4259"/>
      <c r="AV58" s="3349"/>
      <c r="AW58" s="3349"/>
      <c r="AX58" s="3349">
        <f t="shared" si="188"/>
        <v>0</v>
      </c>
      <c r="AY58" s="4211" t="e">
        <f t="shared" si="189"/>
        <v>#DIV/0!</v>
      </c>
      <c r="AZ58" s="4259"/>
      <c r="BA58" s="3349"/>
      <c r="BB58" s="3349"/>
      <c r="BC58" s="3349">
        <f t="shared" si="190"/>
        <v>0</v>
      </c>
      <c r="BD58" s="4211" t="e">
        <f t="shared" si="191"/>
        <v>#DIV/0!</v>
      </c>
      <c r="BE58" s="4259"/>
      <c r="BF58" s="3349"/>
      <c r="BG58" s="3349"/>
      <c r="BH58" s="3349">
        <f t="shared" si="192"/>
        <v>0</v>
      </c>
      <c r="BI58" s="4211" t="e">
        <f t="shared" si="193"/>
        <v>#DIV/0!</v>
      </c>
      <c r="BJ58" s="4259"/>
      <c r="BK58" s="3349"/>
      <c r="BL58" s="3349"/>
      <c r="BM58" s="3349">
        <f t="shared" si="194"/>
        <v>0</v>
      </c>
      <c r="BN58" s="4211" t="e">
        <f t="shared" si="195"/>
        <v>#DIV/0!</v>
      </c>
      <c r="BO58" s="4259"/>
      <c r="BP58" s="3349"/>
      <c r="BQ58" s="3349"/>
      <c r="BR58" s="3349">
        <f t="shared" si="196"/>
        <v>0</v>
      </c>
      <c r="BS58" s="4211" t="e">
        <f t="shared" si="197"/>
        <v>#DIV/0!</v>
      </c>
      <c r="BT58" s="4259"/>
      <c r="BU58" s="3349"/>
      <c r="BV58" s="3349"/>
      <c r="BW58" s="3349">
        <f t="shared" si="198"/>
        <v>0</v>
      </c>
      <c r="BX58" s="4211" t="e">
        <f t="shared" si="199"/>
        <v>#DIV/0!</v>
      </c>
      <c r="BY58" s="4259"/>
      <c r="BZ58" s="3349"/>
      <c r="CA58" s="3349"/>
      <c r="CB58" s="3349">
        <f t="shared" si="200"/>
        <v>0</v>
      </c>
      <c r="CC58" s="4211" t="e">
        <f t="shared" si="201"/>
        <v>#DIV/0!</v>
      </c>
      <c r="CD58" s="4259"/>
      <c r="CE58" s="3349"/>
      <c r="CF58" s="3349"/>
      <c r="CG58" s="3349">
        <f t="shared" si="202"/>
        <v>0</v>
      </c>
      <c r="CH58" s="4211" t="e">
        <f t="shared" si="203"/>
        <v>#DIV/0!</v>
      </c>
      <c r="CI58" s="4259"/>
      <c r="CJ58" s="3341">
        <f t="shared" si="204"/>
        <v>0</v>
      </c>
      <c r="CK58" s="3341">
        <f t="shared" si="204"/>
        <v>0</v>
      </c>
      <c r="CL58" s="2012">
        <f t="shared" si="205"/>
        <v>0</v>
      </c>
      <c r="CM58" s="4211">
        <f t="shared" si="170"/>
        <v>0</v>
      </c>
      <c r="CN58" s="4213"/>
      <c r="CP58" s="2012">
        <f t="shared" si="206"/>
        <v>0</v>
      </c>
      <c r="CQ58" s="2012">
        <f t="shared" si="206"/>
        <v>0</v>
      </c>
      <c r="CR58" s="4202"/>
    </row>
    <row r="59" spans="1:98" ht="13.8" outlineLevel="2">
      <c r="A59" s="1571"/>
      <c r="B59" s="4240" t="s">
        <v>66</v>
      </c>
      <c r="C59" s="3349"/>
      <c r="D59" s="3349"/>
      <c r="E59" s="3349">
        <f t="shared" si="171"/>
        <v>0</v>
      </c>
      <c r="F59" s="4211" t="e">
        <f t="shared" si="135"/>
        <v>#DIV/0!</v>
      </c>
      <c r="G59" s="4259"/>
      <c r="H59" s="3349"/>
      <c r="I59" s="3349"/>
      <c r="J59" s="3349">
        <f t="shared" si="172"/>
        <v>0</v>
      </c>
      <c r="K59" s="4211">
        <f t="shared" si="173"/>
        <v>0</v>
      </c>
      <c r="L59" s="4259"/>
      <c r="M59" s="3349"/>
      <c r="N59" s="3349"/>
      <c r="O59" s="3349">
        <f t="shared" si="174"/>
        <v>0</v>
      </c>
      <c r="P59" s="4211">
        <f t="shared" si="175"/>
        <v>0</v>
      </c>
      <c r="Q59" s="4259"/>
      <c r="R59" s="3342">
        <f t="shared" si="176"/>
        <v>0</v>
      </c>
      <c r="S59" s="3342">
        <f t="shared" si="176"/>
        <v>0</v>
      </c>
      <c r="T59" s="2012">
        <f t="shared" si="177"/>
        <v>0</v>
      </c>
      <c r="U59" s="3462"/>
      <c r="V59" s="3462"/>
      <c r="W59" s="3342">
        <f t="shared" si="178"/>
        <v>0</v>
      </c>
      <c r="X59" s="3342">
        <f t="shared" si="178"/>
        <v>0</v>
      </c>
      <c r="Y59" s="2012">
        <f t="shared" si="179"/>
        <v>0</v>
      </c>
      <c r="Z59" s="3462"/>
      <c r="AA59" s="3462"/>
      <c r="AB59" s="3349"/>
      <c r="AC59" s="3349"/>
      <c r="AD59" s="3349">
        <f t="shared" si="180"/>
        <v>0</v>
      </c>
      <c r="AE59" s="4211">
        <f t="shared" si="181"/>
        <v>0</v>
      </c>
      <c r="AF59" s="4259"/>
      <c r="AG59" s="3349"/>
      <c r="AH59" s="3349"/>
      <c r="AI59" s="3349">
        <f t="shared" si="182"/>
        <v>0</v>
      </c>
      <c r="AJ59" s="4211" t="e">
        <f t="shared" si="183"/>
        <v>#DIV/0!</v>
      </c>
      <c r="AK59" s="4259"/>
      <c r="AL59" s="3349"/>
      <c r="AM59" s="3349"/>
      <c r="AN59" s="3349">
        <f t="shared" si="184"/>
        <v>0</v>
      </c>
      <c r="AO59" s="4211">
        <f t="shared" si="185"/>
        <v>0</v>
      </c>
      <c r="AP59" s="4260"/>
      <c r="AQ59" s="3349"/>
      <c r="AR59" s="3349"/>
      <c r="AS59" s="3349">
        <f t="shared" si="186"/>
        <v>0</v>
      </c>
      <c r="AT59" s="4211">
        <f t="shared" si="187"/>
        <v>0</v>
      </c>
      <c r="AU59" s="4259"/>
      <c r="AV59" s="3349"/>
      <c r="AW59" s="3349"/>
      <c r="AX59" s="3349">
        <f t="shared" si="188"/>
        <v>0</v>
      </c>
      <c r="AY59" s="4211" t="e">
        <f t="shared" si="189"/>
        <v>#DIV/0!</v>
      </c>
      <c r="AZ59" s="4259"/>
      <c r="BA59" s="3349"/>
      <c r="BB59" s="3349"/>
      <c r="BC59" s="3349">
        <f t="shared" si="190"/>
        <v>0</v>
      </c>
      <c r="BD59" s="4211" t="e">
        <f t="shared" si="191"/>
        <v>#DIV/0!</v>
      </c>
      <c r="BE59" s="4259"/>
      <c r="BF59" s="3349"/>
      <c r="BG59" s="3349"/>
      <c r="BH59" s="3349">
        <f t="shared" si="192"/>
        <v>0</v>
      </c>
      <c r="BI59" s="4211" t="e">
        <f t="shared" si="193"/>
        <v>#DIV/0!</v>
      </c>
      <c r="BJ59" s="4259"/>
      <c r="BK59" s="3349"/>
      <c r="BL59" s="3349"/>
      <c r="BM59" s="3349">
        <f t="shared" si="194"/>
        <v>0</v>
      </c>
      <c r="BN59" s="4211" t="e">
        <f t="shared" si="195"/>
        <v>#DIV/0!</v>
      </c>
      <c r="BO59" s="4259"/>
      <c r="BP59" s="3349"/>
      <c r="BQ59" s="3349"/>
      <c r="BR59" s="3349">
        <f t="shared" si="196"/>
        <v>0</v>
      </c>
      <c r="BS59" s="4211" t="e">
        <f t="shared" si="197"/>
        <v>#DIV/0!</v>
      </c>
      <c r="BT59" s="4259"/>
      <c r="BU59" s="3349"/>
      <c r="BV59" s="3349"/>
      <c r="BW59" s="3349">
        <f t="shared" si="198"/>
        <v>0</v>
      </c>
      <c r="BX59" s="4211" t="e">
        <f t="shared" si="199"/>
        <v>#DIV/0!</v>
      </c>
      <c r="BY59" s="4259"/>
      <c r="BZ59" s="3349"/>
      <c r="CA59" s="3349"/>
      <c r="CB59" s="3349">
        <f t="shared" si="200"/>
        <v>0</v>
      </c>
      <c r="CC59" s="4211" t="e">
        <f t="shared" si="201"/>
        <v>#DIV/0!</v>
      </c>
      <c r="CD59" s="4259"/>
      <c r="CE59" s="3349"/>
      <c r="CF59" s="3349"/>
      <c r="CG59" s="3349">
        <f t="shared" si="202"/>
        <v>0</v>
      </c>
      <c r="CH59" s="4211" t="e">
        <f t="shared" si="203"/>
        <v>#DIV/0!</v>
      </c>
      <c r="CI59" s="4259"/>
      <c r="CJ59" s="3341">
        <f t="shared" si="204"/>
        <v>0</v>
      </c>
      <c r="CK59" s="3341">
        <f t="shared" si="204"/>
        <v>0</v>
      </c>
      <c r="CL59" s="2012">
        <f t="shared" si="205"/>
        <v>0</v>
      </c>
      <c r="CM59" s="4211">
        <f t="shared" si="170"/>
        <v>0</v>
      </c>
      <c r="CN59" s="4213"/>
      <c r="CP59" s="2012">
        <f t="shared" si="206"/>
        <v>0</v>
      </c>
      <c r="CQ59" s="2012">
        <f t="shared" si="206"/>
        <v>0</v>
      </c>
      <c r="CR59" s="4202"/>
    </row>
    <row r="60" spans="1:98" ht="13.8" outlineLevel="2">
      <c r="A60" s="1571"/>
      <c r="B60" s="4240" t="s">
        <v>65</v>
      </c>
      <c r="C60" s="3349"/>
      <c r="D60" s="3349"/>
      <c r="E60" s="3349">
        <f t="shared" si="171"/>
        <v>0</v>
      </c>
      <c r="F60" s="4211" t="e">
        <f t="shared" si="135"/>
        <v>#DIV/0!</v>
      </c>
      <c r="G60" s="4259"/>
      <c r="H60" s="3349"/>
      <c r="I60" s="3349"/>
      <c r="J60" s="3349">
        <f t="shared" si="172"/>
        <v>0</v>
      </c>
      <c r="K60" s="4211">
        <f t="shared" si="173"/>
        <v>0</v>
      </c>
      <c r="L60" s="4259"/>
      <c r="M60" s="3349"/>
      <c r="N60" s="3349"/>
      <c r="O60" s="3349">
        <f t="shared" si="174"/>
        <v>0</v>
      </c>
      <c r="P60" s="4211">
        <f t="shared" si="175"/>
        <v>0</v>
      </c>
      <c r="Q60" s="4259"/>
      <c r="R60" s="3342">
        <f t="shared" si="176"/>
        <v>0</v>
      </c>
      <c r="S60" s="3342">
        <f t="shared" si="176"/>
        <v>0</v>
      </c>
      <c r="T60" s="2012">
        <f t="shared" si="177"/>
        <v>0</v>
      </c>
      <c r="U60" s="3462"/>
      <c r="V60" s="3462"/>
      <c r="W60" s="3342">
        <f t="shared" si="178"/>
        <v>0</v>
      </c>
      <c r="X60" s="3342">
        <f t="shared" si="178"/>
        <v>0</v>
      </c>
      <c r="Y60" s="2012">
        <f t="shared" si="179"/>
        <v>0</v>
      </c>
      <c r="Z60" s="3462"/>
      <c r="AA60" s="3462"/>
      <c r="AB60" s="3349"/>
      <c r="AC60" s="3349"/>
      <c r="AD60" s="3349">
        <f t="shared" si="180"/>
        <v>0</v>
      </c>
      <c r="AE60" s="4211">
        <f t="shared" si="181"/>
        <v>0</v>
      </c>
      <c r="AF60" s="4259"/>
      <c r="AG60" s="3349"/>
      <c r="AH60" s="3349"/>
      <c r="AI60" s="3349">
        <f t="shared" si="182"/>
        <v>0</v>
      </c>
      <c r="AJ60" s="4211" t="e">
        <f t="shared" si="183"/>
        <v>#DIV/0!</v>
      </c>
      <c r="AK60" s="4259"/>
      <c r="AL60" s="3349"/>
      <c r="AM60" s="3349"/>
      <c r="AN60" s="3349">
        <f t="shared" si="184"/>
        <v>0</v>
      </c>
      <c r="AO60" s="4211">
        <f t="shared" si="185"/>
        <v>0</v>
      </c>
      <c r="AP60" s="4260"/>
      <c r="AQ60" s="3349"/>
      <c r="AR60" s="3349"/>
      <c r="AS60" s="3349">
        <f t="shared" si="186"/>
        <v>0</v>
      </c>
      <c r="AT60" s="4211">
        <f t="shared" si="187"/>
        <v>0</v>
      </c>
      <c r="AU60" s="4259"/>
      <c r="AV60" s="3349"/>
      <c r="AW60" s="3349"/>
      <c r="AX60" s="3349">
        <f t="shared" si="188"/>
        <v>0</v>
      </c>
      <c r="AY60" s="4211" t="e">
        <f t="shared" si="189"/>
        <v>#DIV/0!</v>
      </c>
      <c r="AZ60" s="4259"/>
      <c r="BA60" s="3349"/>
      <c r="BB60" s="3349"/>
      <c r="BC60" s="3349">
        <f t="shared" si="190"/>
        <v>0</v>
      </c>
      <c r="BD60" s="4211" t="e">
        <f t="shared" si="191"/>
        <v>#DIV/0!</v>
      </c>
      <c r="BE60" s="4259"/>
      <c r="BF60" s="3349"/>
      <c r="BG60" s="3349"/>
      <c r="BH60" s="3349">
        <f t="shared" si="192"/>
        <v>0</v>
      </c>
      <c r="BI60" s="4211" t="e">
        <f t="shared" si="193"/>
        <v>#DIV/0!</v>
      </c>
      <c r="BJ60" s="4259"/>
      <c r="BK60" s="3349"/>
      <c r="BL60" s="3349"/>
      <c r="BM60" s="3349">
        <f t="shared" si="194"/>
        <v>0</v>
      </c>
      <c r="BN60" s="4211" t="e">
        <f t="shared" si="195"/>
        <v>#DIV/0!</v>
      </c>
      <c r="BO60" s="4259"/>
      <c r="BP60" s="3349"/>
      <c r="BQ60" s="3349"/>
      <c r="BR60" s="3349">
        <f t="shared" si="196"/>
        <v>0</v>
      </c>
      <c r="BS60" s="4211" t="e">
        <f t="shared" si="197"/>
        <v>#DIV/0!</v>
      </c>
      <c r="BT60" s="4259"/>
      <c r="BU60" s="3349"/>
      <c r="BV60" s="3349"/>
      <c r="BW60" s="3349">
        <f t="shared" si="198"/>
        <v>0</v>
      </c>
      <c r="BX60" s="4211" t="e">
        <f t="shared" si="199"/>
        <v>#DIV/0!</v>
      </c>
      <c r="BY60" s="4259"/>
      <c r="BZ60" s="3349"/>
      <c r="CA60" s="3349"/>
      <c r="CB60" s="3349">
        <f t="shared" si="200"/>
        <v>0</v>
      </c>
      <c r="CC60" s="4211" t="e">
        <f t="shared" si="201"/>
        <v>#DIV/0!</v>
      </c>
      <c r="CD60" s="4259"/>
      <c r="CE60" s="3349"/>
      <c r="CF60" s="3349"/>
      <c r="CG60" s="3349">
        <f t="shared" si="202"/>
        <v>0</v>
      </c>
      <c r="CH60" s="4211" t="e">
        <f t="shared" si="203"/>
        <v>#DIV/0!</v>
      </c>
      <c r="CI60" s="4259"/>
      <c r="CJ60" s="3341">
        <f t="shared" si="204"/>
        <v>0</v>
      </c>
      <c r="CK60" s="3341">
        <f t="shared" si="204"/>
        <v>0</v>
      </c>
      <c r="CL60" s="2012">
        <f t="shared" si="205"/>
        <v>0</v>
      </c>
      <c r="CM60" s="4211">
        <f t="shared" si="170"/>
        <v>0</v>
      </c>
      <c r="CN60" s="4213"/>
      <c r="CP60" s="2012">
        <f t="shared" si="206"/>
        <v>0</v>
      </c>
      <c r="CQ60" s="2012">
        <f t="shared" si="206"/>
        <v>0</v>
      </c>
      <c r="CR60" s="4202"/>
    </row>
    <row r="61" spans="1:98" ht="13.8" outlineLevel="2">
      <c r="A61" s="1571"/>
      <c r="B61" s="4240" t="s">
        <v>32</v>
      </c>
      <c r="C61" s="3349"/>
      <c r="D61" s="3349"/>
      <c r="E61" s="3349">
        <f t="shared" si="171"/>
        <v>0</v>
      </c>
      <c r="F61" s="4211" t="e">
        <f t="shared" si="135"/>
        <v>#DIV/0!</v>
      </c>
      <c r="G61" s="4259"/>
      <c r="H61" s="3349"/>
      <c r="I61" s="3349"/>
      <c r="J61" s="3349">
        <f t="shared" si="172"/>
        <v>0</v>
      </c>
      <c r="K61" s="4211">
        <f t="shared" si="173"/>
        <v>0</v>
      </c>
      <c r="L61" s="4259"/>
      <c r="M61" s="3349"/>
      <c r="N61" s="3349"/>
      <c r="O61" s="3349">
        <f t="shared" si="174"/>
        <v>0</v>
      </c>
      <c r="P61" s="4211">
        <f t="shared" si="175"/>
        <v>0</v>
      </c>
      <c r="Q61" s="4259"/>
      <c r="R61" s="3342">
        <f t="shared" si="176"/>
        <v>0</v>
      </c>
      <c r="S61" s="3342">
        <f t="shared" si="176"/>
        <v>0</v>
      </c>
      <c r="T61" s="2012">
        <f t="shared" si="177"/>
        <v>0</v>
      </c>
      <c r="U61" s="3462"/>
      <c r="V61" s="3462"/>
      <c r="W61" s="3342">
        <f t="shared" si="178"/>
        <v>0</v>
      </c>
      <c r="X61" s="3342">
        <f t="shared" si="178"/>
        <v>0</v>
      </c>
      <c r="Y61" s="2012">
        <f t="shared" si="179"/>
        <v>0</v>
      </c>
      <c r="Z61" s="3462"/>
      <c r="AA61" s="3462"/>
      <c r="AB61" s="3349"/>
      <c r="AC61" s="3349"/>
      <c r="AD61" s="3349">
        <f t="shared" si="180"/>
        <v>0</v>
      </c>
      <c r="AE61" s="4211">
        <f t="shared" si="181"/>
        <v>0</v>
      </c>
      <c r="AF61" s="4259"/>
      <c r="AG61" s="3349"/>
      <c r="AH61" s="3349"/>
      <c r="AI61" s="3349">
        <f t="shared" si="182"/>
        <v>0</v>
      </c>
      <c r="AJ61" s="4211" t="e">
        <f t="shared" si="183"/>
        <v>#DIV/0!</v>
      </c>
      <c r="AK61" s="4259"/>
      <c r="AL61" s="3349"/>
      <c r="AM61" s="3349"/>
      <c r="AN61" s="3349">
        <f t="shared" si="184"/>
        <v>0</v>
      </c>
      <c r="AO61" s="4211">
        <f t="shared" si="185"/>
        <v>0</v>
      </c>
      <c r="AP61" s="4260"/>
      <c r="AQ61" s="3349"/>
      <c r="AR61" s="3349"/>
      <c r="AS61" s="3349">
        <f t="shared" si="186"/>
        <v>0</v>
      </c>
      <c r="AT61" s="4211">
        <f t="shared" si="187"/>
        <v>0</v>
      </c>
      <c r="AU61" s="4259"/>
      <c r="AV61" s="3349"/>
      <c r="AW61" s="3349"/>
      <c r="AX61" s="3349">
        <f t="shared" si="188"/>
        <v>0</v>
      </c>
      <c r="AY61" s="4211" t="e">
        <f t="shared" si="189"/>
        <v>#DIV/0!</v>
      </c>
      <c r="AZ61" s="4259"/>
      <c r="BA61" s="3349"/>
      <c r="BB61" s="3349"/>
      <c r="BC61" s="3349">
        <f t="shared" si="190"/>
        <v>0</v>
      </c>
      <c r="BD61" s="4211" t="e">
        <f t="shared" si="191"/>
        <v>#DIV/0!</v>
      </c>
      <c r="BE61" s="4259"/>
      <c r="BF61" s="3349"/>
      <c r="BG61" s="3349"/>
      <c r="BH61" s="3349">
        <f t="shared" si="192"/>
        <v>0</v>
      </c>
      <c r="BI61" s="4211" t="e">
        <f t="shared" si="193"/>
        <v>#DIV/0!</v>
      </c>
      <c r="BJ61" s="4259"/>
      <c r="BK61" s="3349"/>
      <c r="BL61" s="3349"/>
      <c r="BM61" s="3349">
        <f t="shared" si="194"/>
        <v>0</v>
      </c>
      <c r="BN61" s="4211" t="e">
        <f t="shared" si="195"/>
        <v>#DIV/0!</v>
      </c>
      <c r="BO61" s="4259"/>
      <c r="BP61" s="3349"/>
      <c r="BQ61" s="3349"/>
      <c r="BR61" s="3349">
        <f t="shared" si="196"/>
        <v>0</v>
      </c>
      <c r="BS61" s="4211" t="e">
        <f t="shared" si="197"/>
        <v>#DIV/0!</v>
      </c>
      <c r="BT61" s="4259"/>
      <c r="BU61" s="3349"/>
      <c r="BV61" s="3349"/>
      <c r="BW61" s="3349">
        <f t="shared" si="198"/>
        <v>0</v>
      </c>
      <c r="BX61" s="4211" t="e">
        <f t="shared" si="199"/>
        <v>#DIV/0!</v>
      </c>
      <c r="BY61" s="4259"/>
      <c r="BZ61" s="3349"/>
      <c r="CA61" s="3349"/>
      <c r="CB61" s="3349">
        <f t="shared" si="200"/>
        <v>0</v>
      </c>
      <c r="CC61" s="4211" t="e">
        <f t="shared" si="201"/>
        <v>#DIV/0!</v>
      </c>
      <c r="CD61" s="4259"/>
      <c r="CE61" s="3349"/>
      <c r="CF61" s="3349"/>
      <c r="CG61" s="3349">
        <f t="shared" si="202"/>
        <v>0</v>
      </c>
      <c r="CH61" s="4211" t="e">
        <f t="shared" si="203"/>
        <v>#DIV/0!</v>
      </c>
      <c r="CI61" s="4259"/>
      <c r="CJ61" s="3341">
        <f t="shared" si="204"/>
        <v>0</v>
      </c>
      <c r="CK61" s="3341">
        <f t="shared" si="204"/>
        <v>0</v>
      </c>
      <c r="CL61" s="2012">
        <f t="shared" si="205"/>
        <v>0</v>
      </c>
      <c r="CM61" s="4211">
        <f t="shared" si="170"/>
        <v>0</v>
      </c>
      <c r="CN61" s="4213"/>
      <c r="CP61" s="2012">
        <f t="shared" si="206"/>
        <v>0</v>
      </c>
      <c r="CQ61" s="2012">
        <f t="shared" si="206"/>
        <v>0</v>
      </c>
      <c r="CR61" s="4202"/>
    </row>
    <row r="62" spans="1:98" ht="13.8" outlineLevel="2">
      <c r="A62" s="1571"/>
      <c r="B62" s="4240" t="s">
        <v>33</v>
      </c>
      <c r="C62" s="3349"/>
      <c r="D62" s="3349"/>
      <c r="E62" s="3349">
        <f t="shared" si="171"/>
        <v>0</v>
      </c>
      <c r="F62" s="4211" t="e">
        <f t="shared" si="135"/>
        <v>#DIV/0!</v>
      </c>
      <c r="G62" s="4259"/>
      <c r="H62" s="3349"/>
      <c r="I62" s="3349"/>
      <c r="J62" s="3349">
        <f t="shared" si="172"/>
        <v>0</v>
      </c>
      <c r="K62" s="4211">
        <f t="shared" si="173"/>
        <v>0</v>
      </c>
      <c r="L62" s="4259"/>
      <c r="M62" s="3349"/>
      <c r="N62" s="3349"/>
      <c r="O62" s="3349">
        <f t="shared" si="174"/>
        <v>0</v>
      </c>
      <c r="P62" s="4211">
        <f t="shared" si="175"/>
        <v>0</v>
      </c>
      <c r="Q62" s="4259"/>
      <c r="R62" s="3342">
        <f t="shared" si="176"/>
        <v>0</v>
      </c>
      <c r="S62" s="3342">
        <f t="shared" si="176"/>
        <v>0</v>
      </c>
      <c r="T62" s="2012">
        <f t="shared" si="177"/>
        <v>0</v>
      </c>
      <c r="U62" s="3462"/>
      <c r="V62" s="3462"/>
      <c r="W62" s="3342">
        <f t="shared" si="178"/>
        <v>0</v>
      </c>
      <c r="X62" s="3342">
        <f t="shared" si="178"/>
        <v>0</v>
      </c>
      <c r="Y62" s="2012">
        <f t="shared" si="179"/>
        <v>0</v>
      </c>
      <c r="Z62" s="3462"/>
      <c r="AA62" s="3462"/>
      <c r="AB62" s="3349"/>
      <c r="AC62" s="3349"/>
      <c r="AD62" s="3349">
        <f t="shared" si="180"/>
        <v>0</v>
      </c>
      <c r="AE62" s="4211">
        <f t="shared" si="181"/>
        <v>0</v>
      </c>
      <c r="AF62" s="4259"/>
      <c r="AG62" s="3349"/>
      <c r="AH62" s="3349"/>
      <c r="AI62" s="3349">
        <f t="shared" si="182"/>
        <v>0</v>
      </c>
      <c r="AJ62" s="4211" t="e">
        <f t="shared" si="183"/>
        <v>#DIV/0!</v>
      </c>
      <c r="AK62" s="4259"/>
      <c r="AL62" s="3349"/>
      <c r="AM62" s="3349"/>
      <c r="AN62" s="3349">
        <f t="shared" si="184"/>
        <v>0</v>
      </c>
      <c r="AO62" s="4211">
        <f t="shared" si="185"/>
        <v>0</v>
      </c>
      <c r="AP62" s="4260"/>
      <c r="AQ62" s="3349"/>
      <c r="AR62" s="3349"/>
      <c r="AS62" s="3349">
        <f t="shared" si="186"/>
        <v>0</v>
      </c>
      <c r="AT62" s="4211">
        <f t="shared" si="187"/>
        <v>0</v>
      </c>
      <c r="AU62" s="4259"/>
      <c r="AV62" s="3349"/>
      <c r="AW62" s="3349"/>
      <c r="AX62" s="3349">
        <f t="shared" si="188"/>
        <v>0</v>
      </c>
      <c r="AY62" s="4211" t="e">
        <f t="shared" si="189"/>
        <v>#DIV/0!</v>
      </c>
      <c r="AZ62" s="4259"/>
      <c r="BA62" s="3349"/>
      <c r="BB62" s="3349"/>
      <c r="BC62" s="3349">
        <f t="shared" si="190"/>
        <v>0</v>
      </c>
      <c r="BD62" s="4211" t="e">
        <f t="shared" si="191"/>
        <v>#DIV/0!</v>
      </c>
      <c r="BE62" s="4259"/>
      <c r="BF62" s="3349"/>
      <c r="BG62" s="3349"/>
      <c r="BH62" s="3349">
        <f t="shared" si="192"/>
        <v>0</v>
      </c>
      <c r="BI62" s="4211" t="e">
        <f t="shared" si="193"/>
        <v>#DIV/0!</v>
      </c>
      <c r="BJ62" s="4259"/>
      <c r="BK62" s="3349"/>
      <c r="BL62" s="3349"/>
      <c r="BM62" s="3349">
        <f t="shared" si="194"/>
        <v>0</v>
      </c>
      <c r="BN62" s="4211" t="e">
        <f t="shared" si="195"/>
        <v>#DIV/0!</v>
      </c>
      <c r="BO62" s="4259"/>
      <c r="BP62" s="3349"/>
      <c r="BQ62" s="3349"/>
      <c r="BR62" s="3349">
        <f t="shared" si="196"/>
        <v>0</v>
      </c>
      <c r="BS62" s="4211" t="e">
        <f t="shared" si="197"/>
        <v>#DIV/0!</v>
      </c>
      <c r="BT62" s="4259"/>
      <c r="BU62" s="3349"/>
      <c r="BV62" s="3349"/>
      <c r="BW62" s="3349">
        <f t="shared" si="198"/>
        <v>0</v>
      </c>
      <c r="BX62" s="4211" t="e">
        <f t="shared" si="199"/>
        <v>#DIV/0!</v>
      </c>
      <c r="BY62" s="4259"/>
      <c r="BZ62" s="3349"/>
      <c r="CA62" s="3349"/>
      <c r="CB62" s="3349">
        <f t="shared" si="200"/>
        <v>0</v>
      </c>
      <c r="CC62" s="4211" t="e">
        <f t="shared" si="201"/>
        <v>#DIV/0!</v>
      </c>
      <c r="CD62" s="4259"/>
      <c r="CE62" s="3349"/>
      <c r="CF62" s="3349"/>
      <c r="CG62" s="3349">
        <f t="shared" si="202"/>
        <v>0</v>
      </c>
      <c r="CH62" s="4211" t="e">
        <f t="shared" si="203"/>
        <v>#DIV/0!</v>
      </c>
      <c r="CI62" s="4259"/>
      <c r="CJ62" s="3341">
        <f t="shared" si="204"/>
        <v>0</v>
      </c>
      <c r="CK62" s="3341">
        <f t="shared" si="204"/>
        <v>0</v>
      </c>
      <c r="CL62" s="2012">
        <f t="shared" si="205"/>
        <v>0</v>
      </c>
      <c r="CM62" s="4211">
        <f t="shared" si="170"/>
        <v>0</v>
      </c>
      <c r="CN62" s="4213"/>
      <c r="CP62" s="2012">
        <f t="shared" si="206"/>
        <v>0</v>
      </c>
      <c r="CQ62" s="2012">
        <f t="shared" si="206"/>
        <v>0</v>
      </c>
      <c r="CR62" s="4202"/>
    </row>
    <row r="63" spans="1:98" ht="13.8" outlineLevel="2">
      <c r="A63" s="1571"/>
      <c r="B63" s="4240" t="s">
        <v>35</v>
      </c>
      <c r="C63" s="3349"/>
      <c r="D63" s="3349"/>
      <c r="E63" s="3349">
        <f t="shared" si="171"/>
        <v>0</v>
      </c>
      <c r="F63" s="4211" t="e">
        <f t="shared" si="135"/>
        <v>#DIV/0!</v>
      </c>
      <c r="G63" s="4259"/>
      <c r="H63" s="3349"/>
      <c r="I63" s="3349"/>
      <c r="J63" s="3349">
        <f t="shared" si="172"/>
        <v>0</v>
      </c>
      <c r="K63" s="4211">
        <f t="shared" si="173"/>
        <v>0</v>
      </c>
      <c r="L63" s="4259"/>
      <c r="M63" s="3349"/>
      <c r="N63" s="3349"/>
      <c r="O63" s="3349">
        <f t="shared" si="174"/>
        <v>0</v>
      </c>
      <c r="P63" s="4211">
        <f t="shared" si="175"/>
        <v>0</v>
      </c>
      <c r="Q63" s="4259"/>
      <c r="R63" s="3342">
        <f t="shared" si="176"/>
        <v>0</v>
      </c>
      <c r="S63" s="3342">
        <f t="shared" si="176"/>
        <v>0</v>
      </c>
      <c r="T63" s="2012">
        <f t="shared" si="177"/>
        <v>0</v>
      </c>
      <c r="U63" s="3462"/>
      <c r="V63" s="3462"/>
      <c r="W63" s="3342">
        <f t="shared" si="178"/>
        <v>0</v>
      </c>
      <c r="X63" s="3342">
        <f t="shared" si="178"/>
        <v>0</v>
      </c>
      <c r="Y63" s="2012">
        <f t="shared" si="179"/>
        <v>0</v>
      </c>
      <c r="Z63" s="3462"/>
      <c r="AA63" s="3462"/>
      <c r="AB63" s="3349"/>
      <c r="AC63" s="3349"/>
      <c r="AD63" s="3349">
        <f t="shared" si="180"/>
        <v>0</v>
      </c>
      <c r="AE63" s="4211">
        <f t="shared" si="181"/>
        <v>0</v>
      </c>
      <c r="AF63" s="4259"/>
      <c r="AG63" s="3349"/>
      <c r="AH63" s="3349"/>
      <c r="AI63" s="3349">
        <f t="shared" si="182"/>
        <v>0</v>
      </c>
      <c r="AJ63" s="4211" t="e">
        <f t="shared" si="183"/>
        <v>#DIV/0!</v>
      </c>
      <c r="AK63" s="4259"/>
      <c r="AL63" s="3349"/>
      <c r="AM63" s="3349"/>
      <c r="AN63" s="3349">
        <f t="shared" si="184"/>
        <v>0</v>
      </c>
      <c r="AO63" s="4211">
        <f t="shared" si="185"/>
        <v>0</v>
      </c>
      <c r="AP63" s="4260"/>
      <c r="AQ63" s="3349"/>
      <c r="AR63" s="3349"/>
      <c r="AS63" s="3349">
        <f t="shared" si="186"/>
        <v>0</v>
      </c>
      <c r="AT63" s="4211">
        <f t="shared" si="187"/>
        <v>0</v>
      </c>
      <c r="AU63" s="4259"/>
      <c r="AV63" s="3349"/>
      <c r="AW63" s="3349"/>
      <c r="AX63" s="3349">
        <f t="shared" si="188"/>
        <v>0</v>
      </c>
      <c r="AY63" s="4211" t="e">
        <f t="shared" si="189"/>
        <v>#DIV/0!</v>
      </c>
      <c r="AZ63" s="4259"/>
      <c r="BA63" s="3349"/>
      <c r="BB63" s="3349"/>
      <c r="BC63" s="3349">
        <f t="shared" si="190"/>
        <v>0</v>
      </c>
      <c r="BD63" s="4211" t="e">
        <f t="shared" si="191"/>
        <v>#DIV/0!</v>
      </c>
      <c r="BE63" s="4259"/>
      <c r="BF63" s="3349"/>
      <c r="BG63" s="3349"/>
      <c r="BH63" s="3349">
        <f t="shared" si="192"/>
        <v>0</v>
      </c>
      <c r="BI63" s="4211" t="e">
        <f t="shared" si="193"/>
        <v>#DIV/0!</v>
      </c>
      <c r="BJ63" s="4259"/>
      <c r="BK63" s="3349"/>
      <c r="BL63" s="3349"/>
      <c r="BM63" s="3349">
        <f t="shared" si="194"/>
        <v>0</v>
      </c>
      <c r="BN63" s="4211" t="e">
        <f t="shared" si="195"/>
        <v>#DIV/0!</v>
      </c>
      <c r="BO63" s="4259"/>
      <c r="BP63" s="3349"/>
      <c r="BQ63" s="3349"/>
      <c r="BR63" s="3349">
        <f t="shared" si="196"/>
        <v>0</v>
      </c>
      <c r="BS63" s="4211" t="e">
        <f t="shared" si="197"/>
        <v>#DIV/0!</v>
      </c>
      <c r="BT63" s="4259"/>
      <c r="BU63" s="3349"/>
      <c r="BV63" s="3349"/>
      <c r="BW63" s="3349">
        <f t="shared" si="198"/>
        <v>0</v>
      </c>
      <c r="BX63" s="4211" t="e">
        <f t="shared" si="199"/>
        <v>#DIV/0!</v>
      </c>
      <c r="BY63" s="4259"/>
      <c r="BZ63" s="3349"/>
      <c r="CA63" s="3349"/>
      <c r="CB63" s="3349">
        <f t="shared" si="200"/>
        <v>0</v>
      </c>
      <c r="CC63" s="4211" t="e">
        <f t="shared" si="201"/>
        <v>#DIV/0!</v>
      </c>
      <c r="CD63" s="4259"/>
      <c r="CE63" s="3349"/>
      <c r="CF63" s="3349"/>
      <c r="CG63" s="3349">
        <f t="shared" si="202"/>
        <v>0</v>
      </c>
      <c r="CH63" s="4211" t="e">
        <f t="shared" si="203"/>
        <v>#DIV/0!</v>
      </c>
      <c r="CI63" s="4259"/>
      <c r="CJ63" s="3341">
        <f t="shared" si="204"/>
        <v>0</v>
      </c>
      <c r="CK63" s="3341">
        <f t="shared" si="204"/>
        <v>0</v>
      </c>
      <c r="CL63" s="2012">
        <f t="shared" si="205"/>
        <v>0</v>
      </c>
      <c r="CM63" s="4211">
        <f t="shared" si="170"/>
        <v>0</v>
      </c>
      <c r="CN63" s="4213"/>
      <c r="CP63" s="2012">
        <f t="shared" si="206"/>
        <v>0</v>
      </c>
      <c r="CQ63" s="2012">
        <f t="shared" si="206"/>
        <v>0</v>
      </c>
      <c r="CR63" s="4202"/>
    </row>
    <row r="64" spans="1:98" ht="13.8" outlineLevel="2">
      <c r="A64" s="1571"/>
      <c r="B64" s="4240" t="s">
        <v>63</v>
      </c>
      <c r="C64" s="3349"/>
      <c r="D64" s="3349"/>
      <c r="E64" s="3349">
        <f t="shared" si="171"/>
        <v>0</v>
      </c>
      <c r="F64" s="4211" t="e">
        <f t="shared" si="135"/>
        <v>#DIV/0!</v>
      </c>
      <c r="G64" s="4259"/>
      <c r="H64" s="3349"/>
      <c r="I64" s="3349"/>
      <c r="J64" s="3349">
        <f t="shared" si="172"/>
        <v>0</v>
      </c>
      <c r="K64" s="4211">
        <f t="shared" si="173"/>
        <v>0</v>
      </c>
      <c r="L64" s="4259"/>
      <c r="M64" s="3349"/>
      <c r="N64" s="3349"/>
      <c r="O64" s="3349">
        <f t="shared" si="174"/>
        <v>0</v>
      </c>
      <c r="P64" s="4211">
        <f t="shared" si="175"/>
        <v>0</v>
      </c>
      <c r="Q64" s="4259"/>
      <c r="R64" s="3342">
        <f t="shared" si="176"/>
        <v>0</v>
      </c>
      <c r="S64" s="3342">
        <f t="shared" si="176"/>
        <v>0</v>
      </c>
      <c r="T64" s="2012">
        <f t="shared" si="177"/>
        <v>0</v>
      </c>
      <c r="U64" s="3462"/>
      <c r="V64" s="3462"/>
      <c r="W64" s="3342">
        <f t="shared" si="178"/>
        <v>0</v>
      </c>
      <c r="X64" s="3342">
        <f t="shared" si="178"/>
        <v>0</v>
      </c>
      <c r="Y64" s="2012">
        <f t="shared" si="179"/>
        <v>0</v>
      </c>
      <c r="Z64" s="3462"/>
      <c r="AA64" s="3462"/>
      <c r="AB64" s="3349"/>
      <c r="AC64" s="3349"/>
      <c r="AD64" s="3349">
        <f t="shared" si="180"/>
        <v>0</v>
      </c>
      <c r="AE64" s="4211">
        <f t="shared" si="181"/>
        <v>0</v>
      </c>
      <c r="AF64" s="4259"/>
      <c r="AG64" s="3349"/>
      <c r="AH64" s="3349"/>
      <c r="AI64" s="3349">
        <f t="shared" si="182"/>
        <v>0</v>
      </c>
      <c r="AJ64" s="4211" t="e">
        <f t="shared" si="183"/>
        <v>#DIV/0!</v>
      </c>
      <c r="AK64" s="4259"/>
      <c r="AL64" s="3349"/>
      <c r="AM64" s="3349"/>
      <c r="AN64" s="3349">
        <f t="shared" si="184"/>
        <v>0</v>
      </c>
      <c r="AO64" s="4211">
        <f t="shared" si="185"/>
        <v>0</v>
      </c>
      <c r="AP64" s="4260"/>
      <c r="AQ64" s="3349"/>
      <c r="AR64" s="3349"/>
      <c r="AS64" s="3349">
        <f t="shared" si="186"/>
        <v>0</v>
      </c>
      <c r="AT64" s="4211">
        <f t="shared" si="187"/>
        <v>0</v>
      </c>
      <c r="AU64" s="4259"/>
      <c r="AV64" s="3349"/>
      <c r="AW64" s="3349"/>
      <c r="AX64" s="3349">
        <f t="shared" si="188"/>
        <v>0</v>
      </c>
      <c r="AY64" s="4211" t="e">
        <f t="shared" si="189"/>
        <v>#DIV/0!</v>
      </c>
      <c r="AZ64" s="4259"/>
      <c r="BA64" s="3349"/>
      <c r="BB64" s="3349"/>
      <c r="BC64" s="3349">
        <f t="shared" si="190"/>
        <v>0</v>
      </c>
      <c r="BD64" s="4211" t="e">
        <f t="shared" si="191"/>
        <v>#DIV/0!</v>
      </c>
      <c r="BE64" s="4259"/>
      <c r="BF64" s="3349"/>
      <c r="BG64" s="3349"/>
      <c r="BH64" s="3349">
        <f t="shared" si="192"/>
        <v>0</v>
      </c>
      <c r="BI64" s="4211" t="e">
        <f t="shared" si="193"/>
        <v>#DIV/0!</v>
      </c>
      <c r="BJ64" s="4259"/>
      <c r="BK64" s="3349"/>
      <c r="BL64" s="3349"/>
      <c r="BM64" s="3349">
        <f t="shared" si="194"/>
        <v>0</v>
      </c>
      <c r="BN64" s="4211" t="e">
        <f t="shared" si="195"/>
        <v>#DIV/0!</v>
      </c>
      <c r="BO64" s="4259"/>
      <c r="BP64" s="3349"/>
      <c r="BQ64" s="3349"/>
      <c r="BR64" s="3349">
        <f t="shared" si="196"/>
        <v>0</v>
      </c>
      <c r="BS64" s="4211" t="e">
        <f t="shared" si="197"/>
        <v>#DIV/0!</v>
      </c>
      <c r="BT64" s="4259"/>
      <c r="BU64" s="3349"/>
      <c r="BV64" s="3349"/>
      <c r="BW64" s="3349">
        <f t="shared" si="198"/>
        <v>0</v>
      </c>
      <c r="BX64" s="4211" t="e">
        <f t="shared" si="199"/>
        <v>#DIV/0!</v>
      </c>
      <c r="BY64" s="4259"/>
      <c r="BZ64" s="3349"/>
      <c r="CA64" s="3349"/>
      <c r="CB64" s="3349">
        <f t="shared" si="200"/>
        <v>0</v>
      </c>
      <c r="CC64" s="4211" t="e">
        <f t="shared" si="201"/>
        <v>#DIV/0!</v>
      </c>
      <c r="CD64" s="4259"/>
      <c r="CE64" s="3349"/>
      <c r="CF64" s="3349"/>
      <c r="CG64" s="3349">
        <f t="shared" si="202"/>
        <v>0</v>
      </c>
      <c r="CH64" s="4211" t="e">
        <f t="shared" si="203"/>
        <v>#DIV/0!</v>
      </c>
      <c r="CI64" s="4259"/>
      <c r="CJ64" s="3341">
        <f t="shared" si="204"/>
        <v>0</v>
      </c>
      <c r="CK64" s="3341">
        <f t="shared" si="204"/>
        <v>0</v>
      </c>
      <c r="CL64" s="2012">
        <f t="shared" si="205"/>
        <v>0</v>
      </c>
      <c r="CM64" s="4211">
        <f t="shared" si="170"/>
        <v>0</v>
      </c>
      <c r="CN64" s="4213"/>
      <c r="CP64" s="2012">
        <f t="shared" si="206"/>
        <v>0</v>
      </c>
      <c r="CQ64" s="2012">
        <f t="shared" si="206"/>
        <v>0</v>
      </c>
      <c r="CR64" s="4202"/>
    </row>
    <row r="65" spans="1:99" ht="13.8" outlineLevel="2">
      <c r="A65" s="1571"/>
      <c r="B65" s="4240" t="s">
        <v>36</v>
      </c>
      <c r="C65" s="3341"/>
      <c r="D65" s="3341"/>
      <c r="E65" s="3349">
        <f t="shared" si="171"/>
        <v>0</v>
      </c>
      <c r="F65" s="4211" t="e">
        <f t="shared" si="135"/>
        <v>#DIV/0!</v>
      </c>
      <c r="G65" s="4259"/>
      <c r="H65" s="3341"/>
      <c r="I65" s="3341"/>
      <c r="J65" s="3349">
        <f t="shared" si="172"/>
        <v>0</v>
      </c>
      <c r="K65" s="4211">
        <f t="shared" si="173"/>
        <v>0</v>
      </c>
      <c r="L65" s="4259"/>
      <c r="M65" s="3341"/>
      <c r="N65" s="3341"/>
      <c r="O65" s="3349">
        <f t="shared" si="174"/>
        <v>0</v>
      </c>
      <c r="P65" s="4211">
        <f t="shared" si="175"/>
        <v>0</v>
      </c>
      <c r="Q65" s="4259"/>
      <c r="R65" s="3342">
        <f t="shared" si="176"/>
        <v>0</v>
      </c>
      <c r="S65" s="3342">
        <f t="shared" si="176"/>
        <v>0</v>
      </c>
      <c r="T65" s="2012">
        <f t="shared" si="177"/>
        <v>0</v>
      </c>
      <c r="U65" s="3462"/>
      <c r="V65" s="3462"/>
      <c r="W65" s="3342">
        <f t="shared" si="178"/>
        <v>0</v>
      </c>
      <c r="X65" s="3342">
        <f t="shared" si="178"/>
        <v>0</v>
      </c>
      <c r="Y65" s="2012">
        <f t="shared" si="179"/>
        <v>0</v>
      </c>
      <c r="Z65" s="3462"/>
      <c r="AA65" s="3462"/>
      <c r="AB65" s="3349"/>
      <c r="AC65" s="3349"/>
      <c r="AD65" s="3349">
        <f t="shared" si="180"/>
        <v>0</v>
      </c>
      <c r="AE65" s="4211">
        <f t="shared" si="181"/>
        <v>0</v>
      </c>
      <c r="AF65" s="4259"/>
      <c r="AG65" s="3341"/>
      <c r="AH65" s="3341"/>
      <c r="AI65" s="3349">
        <f t="shared" si="182"/>
        <v>0</v>
      </c>
      <c r="AJ65" s="4211" t="e">
        <f t="shared" si="183"/>
        <v>#DIV/0!</v>
      </c>
      <c r="AK65" s="4259"/>
      <c r="AL65" s="3341"/>
      <c r="AM65" s="3341"/>
      <c r="AN65" s="3349">
        <f t="shared" si="184"/>
        <v>0</v>
      </c>
      <c r="AO65" s="4211">
        <f t="shared" si="185"/>
        <v>0</v>
      </c>
      <c r="AP65" s="4260"/>
      <c r="AQ65" s="3341"/>
      <c r="AR65" s="3341"/>
      <c r="AS65" s="3349">
        <f t="shared" si="186"/>
        <v>0</v>
      </c>
      <c r="AT65" s="4211">
        <f t="shared" si="187"/>
        <v>0</v>
      </c>
      <c r="AU65" s="4259"/>
      <c r="AV65" s="3341"/>
      <c r="AW65" s="3341"/>
      <c r="AX65" s="3349">
        <f t="shared" si="188"/>
        <v>0</v>
      </c>
      <c r="AY65" s="4211" t="e">
        <f t="shared" si="189"/>
        <v>#DIV/0!</v>
      </c>
      <c r="AZ65" s="4259"/>
      <c r="BA65" s="3341"/>
      <c r="BB65" s="3341"/>
      <c r="BC65" s="3349">
        <f t="shared" si="190"/>
        <v>0</v>
      </c>
      <c r="BD65" s="4211" t="e">
        <f t="shared" si="191"/>
        <v>#DIV/0!</v>
      </c>
      <c r="BE65" s="4259"/>
      <c r="BF65" s="3341"/>
      <c r="BG65" s="3341"/>
      <c r="BH65" s="3349">
        <f t="shared" si="192"/>
        <v>0</v>
      </c>
      <c r="BI65" s="4211" t="e">
        <f t="shared" si="193"/>
        <v>#DIV/0!</v>
      </c>
      <c r="BJ65" s="4259"/>
      <c r="BK65" s="3341"/>
      <c r="BL65" s="3341"/>
      <c r="BM65" s="3349">
        <f t="shared" si="194"/>
        <v>0</v>
      </c>
      <c r="BN65" s="4211" t="e">
        <f t="shared" si="195"/>
        <v>#DIV/0!</v>
      </c>
      <c r="BO65" s="4259"/>
      <c r="BP65" s="3341"/>
      <c r="BQ65" s="3341"/>
      <c r="BR65" s="3349">
        <f t="shared" si="196"/>
        <v>0</v>
      </c>
      <c r="BS65" s="4211" t="e">
        <f t="shared" si="197"/>
        <v>#DIV/0!</v>
      </c>
      <c r="BT65" s="4259"/>
      <c r="BU65" s="3341"/>
      <c r="BV65" s="3341"/>
      <c r="BW65" s="3349">
        <f t="shared" si="198"/>
        <v>0</v>
      </c>
      <c r="BX65" s="4211" t="e">
        <f t="shared" si="199"/>
        <v>#DIV/0!</v>
      </c>
      <c r="BY65" s="4259"/>
      <c r="BZ65" s="3341"/>
      <c r="CA65" s="3341"/>
      <c r="CB65" s="3349">
        <f t="shared" si="200"/>
        <v>0</v>
      </c>
      <c r="CC65" s="4211" t="e">
        <f t="shared" si="201"/>
        <v>#DIV/0!</v>
      </c>
      <c r="CD65" s="4259"/>
      <c r="CE65" s="3341"/>
      <c r="CF65" s="3341"/>
      <c r="CG65" s="3349">
        <f t="shared" si="202"/>
        <v>0</v>
      </c>
      <c r="CH65" s="4211" t="e">
        <f t="shared" si="203"/>
        <v>#DIV/0!</v>
      </c>
      <c r="CI65" s="4259"/>
      <c r="CJ65" s="3341">
        <f t="shared" si="204"/>
        <v>0</v>
      </c>
      <c r="CK65" s="3341">
        <f t="shared" si="204"/>
        <v>0</v>
      </c>
      <c r="CL65" s="2012">
        <f t="shared" si="205"/>
        <v>0</v>
      </c>
      <c r="CM65" s="4211">
        <f t="shared" si="170"/>
        <v>0</v>
      </c>
      <c r="CN65" s="4213"/>
      <c r="CP65" s="2012">
        <f t="shared" si="206"/>
        <v>0</v>
      </c>
      <c r="CQ65" s="2012">
        <f t="shared" si="206"/>
        <v>0</v>
      </c>
      <c r="CR65" s="4202"/>
    </row>
    <row r="66" spans="1:99" s="1396" customFormat="1" ht="13.8" outlineLevel="2">
      <c r="A66" s="1571"/>
      <c r="B66" s="4240" t="s">
        <v>37</v>
      </c>
      <c r="C66" s="3341"/>
      <c r="D66" s="3341"/>
      <c r="E66" s="3349">
        <f t="shared" si="171"/>
        <v>0</v>
      </c>
      <c r="F66" s="4211" t="e">
        <f t="shared" si="135"/>
        <v>#DIV/0!</v>
      </c>
      <c r="G66" s="4259"/>
      <c r="H66" s="3341"/>
      <c r="I66" s="3341"/>
      <c r="J66" s="3349">
        <f t="shared" si="172"/>
        <v>0</v>
      </c>
      <c r="K66" s="4211">
        <f t="shared" si="173"/>
        <v>0</v>
      </c>
      <c r="L66" s="4259"/>
      <c r="M66" s="3341"/>
      <c r="N66" s="3341"/>
      <c r="O66" s="3349">
        <f t="shared" si="174"/>
        <v>0</v>
      </c>
      <c r="P66" s="4211">
        <f t="shared" si="175"/>
        <v>0</v>
      </c>
      <c r="Q66" s="4259"/>
      <c r="R66" s="3342">
        <f t="shared" si="176"/>
        <v>0</v>
      </c>
      <c r="S66" s="3342">
        <f t="shared" si="176"/>
        <v>0</v>
      </c>
      <c r="T66" s="2012">
        <f t="shared" si="177"/>
        <v>0</v>
      </c>
      <c r="U66" s="3462"/>
      <c r="V66" s="3462"/>
      <c r="W66" s="3342">
        <f t="shared" si="178"/>
        <v>0</v>
      </c>
      <c r="X66" s="3342">
        <f t="shared" si="178"/>
        <v>0</v>
      </c>
      <c r="Y66" s="2012">
        <f t="shared" si="179"/>
        <v>0</v>
      </c>
      <c r="Z66" s="3462"/>
      <c r="AA66" s="3462"/>
      <c r="AB66" s="3349"/>
      <c r="AC66" s="3349"/>
      <c r="AD66" s="3349">
        <f t="shared" si="180"/>
        <v>0</v>
      </c>
      <c r="AE66" s="4211">
        <f t="shared" si="181"/>
        <v>0</v>
      </c>
      <c r="AF66" s="4259"/>
      <c r="AG66" s="3341"/>
      <c r="AH66" s="3341"/>
      <c r="AI66" s="3349">
        <f t="shared" si="182"/>
        <v>0</v>
      </c>
      <c r="AJ66" s="4211" t="e">
        <f t="shared" si="183"/>
        <v>#DIV/0!</v>
      </c>
      <c r="AK66" s="4259"/>
      <c r="AL66" s="3341"/>
      <c r="AM66" s="3341"/>
      <c r="AN66" s="3349">
        <f t="shared" si="184"/>
        <v>0</v>
      </c>
      <c r="AO66" s="4211">
        <f t="shared" si="185"/>
        <v>0</v>
      </c>
      <c r="AP66" s="4260"/>
      <c r="AQ66" s="3341"/>
      <c r="AR66" s="3341"/>
      <c r="AS66" s="3349">
        <f t="shared" si="186"/>
        <v>0</v>
      </c>
      <c r="AT66" s="4211">
        <f t="shared" si="187"/>
        <v>0</v>
      </c>
      <c r="AU66" s="4259"/>
      <c r="AV66" s="3341"/>
      <c r="AW66" s="3341"/>
      <c r="AX66" s="3349">
        <f t="shared" si="188"/>
        <v>0</v>
      </c>
      <c r="AY66" s="4211" t="e">
        <f t="shared" si="189"/>
        <v>#DIV/0!</v>
      </c>
      <c r="AZ66" s="4259"/>
      <c r="BA66" s="3341"/>
      <c r="BB66" s="3341"/>
      <c r="BC66" s="3349">
        <f t="shared" si="190"/>
        <v>0</v>
      </c>
      <c r="BD66" s="4211" t="e">
        <f t="shared" si="191"/>
        <v>#DIV/0!</v>
      </c>
      <c r="BE66" s="4259"/>
      <c r="BF66" s="3341"/>
      <c r="BG66" s="3341"/>
      <c r="BH66" s="3349">
        <f t="shared" si="192"/>
        <v>0</v>
      </c>
      <c r="BI66" s="4211" t="e">
        <f t="shared" si="193"/>
        <v>#DIV/0!</v>
      </c>
      <c r="BJ66" s="4259"/>
      <c r="BK66" s="3341"/>
      <c r="BL66" s="3341"/>
      <c r="BM66" s="3349">
        <f t="shared" si="194"/>
        <v>0</v>
      </c>
      <c r="BN66" s="4211" t="e">
        <f t="shared" si="195"/>
        <v>#DIV/0!</v>
      </c>
      <c r="BO66" s="4259"/>
      <c r="BP66" s="3341"/>
      <c r="BQ66" s="3341"/>
      <c r="BR66" s="3349">
        <f t="shared" si="196"/>
        <v>0</v>
      </c>
      <c r="BS66" s="4211" t="e">
        <f t="shared" si="197"/>
        <v>#DIV/0!</v>
      </c>
      <c r="BT66" s="4259"/>
      <c r="BU66" s="3341"/>
      <c r="BV66" s="3341"/>
      <c r="BW66" s="3349">
        <f t="shared" si="198"/>
        <v>0</v>
      </c>
      <c r="BX66" s="4211" t="e">
        <f t="shared" si="199"/>
        <v>#DIV/0!</v>
      </c>
      <c r="BY66" s="4259"/>
      <c r="BZ66" s="3341"/>
      <c r="CA66" s="3341"/>
      <c r="CB66" s="3349">
        <f t="shared" si="200"/>
        <v>0</v>
      </c>
      <c r="CC66" s="4211" t="e">
        <f t="shared" si="201"/>
        <v>#DIV/0!</v>
      </c>
      <c r="CD66" s="4259"/>
      <c r="CE66" s="3341"/>
      <c r="CF66" s="3341"/>
      <c r="CG66" s="3349">
        <f t="shared" si="202"/>
        <v>0</v>
      </c>
      <c r="CH66" s="4211" t="e">
        <f t="shared" si="203"/>
        <v>#DIV/0!</v>
      </c>
      <c r="CI66" s="4259"/>
      <c r="CJ66" s="3341">
        <f t="shared" si="204"/>
        <v>0</v>
      </c>
      <c r="CK66" s="3341">
        <f t="shared" si="204"/>
        <v>0</v>
      </c>
      <c r="CL66" s="2012">
        <f t="shared" si="205"/>
        <v>0</v>
      </c>
      <c r="CM66" s="4211">
        <f t="shared" si="170"/>
        <v>0</v>
      </c>
      <c r="CN66" s="4213"/>
      <c r="CP66" s="2012">
        <f t="shared" si="206"/>
        <v>0</v>
      </c>
      <c r="CQ66" s="2012">
        <f t="shared" si="206"/>
        <v>0</v>
      </c>
      <c r="CR66" s="4202"/>
      <c r="CT66" s="2624"/>
    </row>
    <row r="67" spans="1:99" s="1396" customFormat="1" ht="13.8" outlineLevel="2">
      <c r="A67" s="1571"/>
      <c r="B67" s="4240" t="s">
        <v>3</v>
      </c>
      <c r="C67" s="3341"/>
      <c r="D67" s="3341"/>
      <c r="E67" s="3349">
        <f t="shared" si="171"/>
        <v>0</v>
      </c>
      <c r="F67" s="4211" t="e">
        <f t="shared" si="135"/>
        <v>#DIV/0!</v>
      </c>
      <c r="G67" s="4259"/>
      <c r="H67" s="3341"/>
      <c r="I67" s="3341"/>
      <c r="J67" s="3349">
        <f t="shared" si="172"/>
        <v>0</v>
      </c>
      <c r="K67" s="4211">
        <f t="shared" si="173"/>
        <v>0</v>
      </c>
      <c r="L67" s="4259"/>
      <c r="M67" s="3341"/>
      <c r="N67" s="3341"/>
      <c r="O67" s="3349">
        <f t="shared" si="174"/>
        <v>0</v>
      </c>
      <c r="P67" s="4211">
        <f t="shared" si="175"/>
        <v>0</v>
      </c>
      <c r="Q67" s="4259"/>
      <c r="R67" s="3342">
        <f t="shared" si="176"/>
        <v>0</v>
      </c>
      <c r="S67" s="3342">
        <f t="shared" si="176"/>
        <v>0</v>
      </c>
      <c r="T67" s="2012">
        <f t="shared" si="177"/>
        <v>0</v>
      </c>
      <c r="U67" s="3462"/>
      <c r="V67" s="3462"/>
      <c r="W67" s="3342">
        <f t="shared" si="178"/>
        <v>0</v>
      </c>
      <c r="X67" s="3342">
        <f t="shared" si="178"/>
        <v>0</v>
      </c>
      <c r="Y67" s="2012">
        <f t="shared" si="179"/>
        <v>0</v>
      </c>
      <c r="Z67" s="3462"/>
      <c r="AA67" s="3462"/>
      <c r="AB67" s="3349"/>
      <c r="AC67" s="3349"/>
      <c r="AD67" s="3349">
        <f t="shared" si="180"/>
        <v>0</v>
      </c>
      <c r="AE67" s="4211">
        <f t="shared" si="181"/>
        <v>0</v>
      </c>
      <c r="AF67" s="4259"/>
      <c r="AG67" s="3341"/>
      <c r="AH67" s="3341"/>
      <c r="AI67" s="3349">
        <f t="shared" si="182"/>
        <v>0</v>
      </c>
      <c r="AJ67" s="4211" t="e">
        <f t="shared" si="183"/>
        <v>#DIV/0!</v>
      </c>
      <c r="AK67" s="4259"/>
      <c r="AL67" s="3341"/>
      <c r="AM67" s="3341"/>
      <c r="AN67" s="3349">
        <f t="shared" si="184"/>
        <v>0</v>
      </c>
      <c r="AO67" s="4211">
        <f t="shared" si="185"/>
        <v>0</v>
      </c>
      <c r="AP67" s="4260"/>
      <c r="AQ67" s="3341"/>
      <c r="AR67" s="3341"/>
      <c r="AS67" s="3349">
        <f t="shared" si="186"/>
        <v>0</v>
      </c>
      <c r="AT67" s="4211">
        <f t="shared" si="187"/>
        <v>0</v>
      </c>
      <c r="AU67" s="4259"/>
      <c r="AV67" s="3341"/>
      <c r="AW67" s="3341"/>
      <c r="AX67" s="3349">
        <f t="shared" si="188"/>
        <v>0</v>
      </c>
      <c r="AY67" s="4211" t="e">
        <f t="shared" si="189"/>
        <v>#DIV/0!</v>
      </c>
      <c r="AZ67" s="4259"/>
      <c r="BA67" s="3341"/>
      <c r="BB67" s="3341"/>
      <c r="BC67" s="3349">
        <f t="shared" si="190"/>
        <v>0</v>
      </c>
      <c r="BD67" s="4211" t="e">
        <f t="shared" si="191"/>
        <v>#DIV/0!</v>
      </c>
      <c r="BE67" s="4259"/>
      <c r="BF67" s="3341"/>
      <c r="BG67" s="3341"/>
      <c r="BH67" s="3349">
        <f t="shared" si="192"/>
        <v>0</v>
      </c>
      <c r="BI67" s="4211" t="e">
        <f t="shared" si="193"/>
        <v>#DIV/0!</v>
      </c>
      <c r="BJ67" s="4259"/>
      <c r="BK67" s="3341"/>
      <c r="BL67" s="3341"/>
      <c r="BM67" s="3349">
        <f t="shared" si="194"/>
        <v>0</v>
      </c>
      <c r="BN67" s="4211" t="e">
        <f t="shared" si="195"/>
        <v>#DIV/0!</v>
      </c>
      <c r="BO67" s="4259"/>
      <c r="BP67" s="3341"/>
      <c r="BQ67" s="3341"/>
      <c r="BR67" s="3349">
        <f t="shared" si="196"/>
        <v>0</v>
      </c>
      <c r="BS67" s="4211" t="e">
        <f t="shared" si="197"/>
        <v>#DIV/0!</v>
      </c>
      <c r="BT67" s="4259"/>
      <c r="BU67" s="3341"/>
      <c r="BV67" s="3341"/>
      <c r="BW67" s="3349">
        <f t="shared" si="198"/>
        <v>0</v>
      </c>
      <c r="BX67" s="4211" t="e">
        <f t="shared" si="199"/>
        <v>#DIV/0!</v>
      </c>
      <c r="BY67" s="4259"/>
      <c r="BZ67" s="3341"/>
      <c r="CA67" s="3341"/>
      <c r="CB67" s="3349">
        <f t="shared" si="200"/>
        <v>0</v>
      </c>
      <c r="CC67" s="4211" t="e">
        <f t="shared" si="201"/>
        <v>#DIV/0!</v>
      </c>
      <c r="CD67" s="4259"/>
      <c r="CE67" s="3341"/>
      <c r="CF67" s="3341"/>
      <c r="CG67" s="3349">
        <f t="shared" si="202"/>
        <v>0</v>
      </c>
      <c r="CH67" s="4211" t="e">
        <f t="shared" si="203"/>
        <v>#DIV/0!</v>
      </c>
      <c r="CI67" s="4259"/>
      <c r="CJ67" s="3341">
        <f t="shared" si="204"/>
        <v>0</v>
      </c>
      <c r="CK67" s="3341">
        <f t="shared" si="204"/>
        <v>0</v>
      </c>
      <c r="CL67" s="2012">
        <f t="shared" si="205"/>
        <v>0</v>
      </c>
      <c r="CM67" s="4211">
        <f t="shared" si="170"/>
        <v>0</v>
      </c>
      <c r="CN67" s="4213"/>
      <c r="CP67" s="2012">
        <f t="shared" si="206"/>
        <v>0</v>
      </c>
      <c r="CQ67" s="2012">
        <f t="shared" si="206"/>
        <v>0</v>
      </c>
      <c r="CR67" s="4202"/>
      <c r="CT67" s="2624"/>
    </row>
    <row r="68" spans="1:99" s="1396" customFormat="1" ht="13.8" outlineLevel="2">
      <c r="A68" s="1571"/>
      <c r="B68" s="4240" t="s">
        <v>5</v>
      </c>
      <c r="C68" s="3341"/>
      <c r="D68" s="3341"/>
      <c r="E68" s="3349">
        <f t="shared" si="171"/>
        <v>0</v>
      </c>
      <c r="F68" s="4211" t="e">
        <f t="shared" si="135"/>
        <v>#DIV/0!</v>
      </c>
      <c r="G68" s="3341"/>
      <c r="H68" s="3341"/>
      <c r="I68" s="3341"/>
      <c r="J68" s="3349">
        <f t="shared" si="172"/>
        <v>0</v>
      </c>
      <c r="K68" s="4211">
        <f t="shared" si="173"/>
        <v>0</v>
      </c>
      <c r="L68" s="3341"/>
      <c r="M68" s="3341"/>
      <c r="N68" s="3341"/>
      <c r="O68" s="3349">
        <f t="shared" si="174"/>
        <v>0</v>
      </c>
      <c r="P68" s="4211">
        <f t="shared" si="175"/>
        <v>0</v>
      </c>
      <c r="Q68" s="3341"/>
      <c r="R68" s="3342">
        <f t="shared" si="176"/>
        <v>0</v>
      </c>
      <c r="S68" s="3342">
        <f t="shared" si="176"/>
        <v>0</v>
      </c>
      <c r="T68" s="2012">
        <f t="shared" si="177"/>
        <v>0</v>
      </c>
      <c r="U68" s="3341"/>
      <c r="V68" s="3341"/>
      <c r="W68" s="3342">
        <f t="shared" si="178"/>
        <v>0</v>
      </c>
      <c r="X68" s="3342">
        <f t="shared" si="178"/>
        <v>0</v>
      </c>
      <c r="Y68" s="2012">
        <f t="shared" si="179"/>
        <v>0</v>
      </c>
      <c r="Z68" s="3341"/>
      <c r="AA68" s="3341"/>
      <c r="AB68" s="3349"/>
      <c r="AC68" s="3349"/>
      <c r="AD68" s="3349">
        <f t="shared" si="180"/>
        <v>0</v>
      </c>
      <c r="AE68" s="4211">
        <f t="shared" si="181"/>
        <v>0</v>
      </c>
      <c r="AF68" s="3341"/>
      <c r="AG68" s="3341"/>
      <c r="AH68" s="3341"/>
      <c r="AI68" s="3349">
        <f t="shared" si="182"/>
        <v>0</v>
      </c>
      <c r="AJ68" s="4211" t="e">
        <f t="shared" si="183"/>
        <v>#DIV/0!</v>
      </c>
      <c r="AK68" s="3341"/>
      <c r="AL68" s="3341"/>
      <c r="AM68" s="3341"/>
      <c r="AN68" s="3349">
        <f t="shared" si="184"/>
        <v>0</v>
      </c>
      <c r="AO68" s="4211">
        <f t="shared" si="185"/>
        <v>0</v>
      </c>
      <c r="AP68" s="3719"/>
      <c r="AQ68" s="3341"/>
      <c r="AR68" s="3341"/>
      <c r="AS68" s="3349">
        <f t="shared" si="186"/>
        <v>0</v>
      </c>
      <c r="AT68" s="4211">
        <f t="shared" si="187"/>
        <v>0</v>
      </c>
      <c r="AU68" s="3341"/>
      <c r="AV68" s="3341"/>
      <c r="AW68" s="3341"/>
      <c r="AX68" s="3349">
        <f t="shared" si="188"/>
        <v>0</v>
      </c>
      <c r="AY68" s="4211" t="e">
        <f t="shared" si="189"/>
        <v>#DIV/0!</v>
      </c>
      <c r="AZ68" s="3341"/>
      <c r="BA68" s="3341"/>
      <c r="BB68" s="3341"/>
      <c r="BC68" s="3349">
        <f t="shared" si="190"/>
        <v>0</v>
      </c>
      <c r="BD68" s="4211" t="e">
        <f t="shared" si="191"/>
        <v>#DIV/0!</v>
      </c>
      <c r="BE68" s="3341"/>
      <c r="BF68" s="3341"/>
      <c r="BG68" s="3341"/>
      <c r="BH68" s="3349">
        <f t="shared" si="192"/>
        <v>0</v>
      </c>
      <c r="BI68" s="4211" t="e">
        <f t="shared" si="193"/>
        <v>#DIV/0!</v>
      </c>
      <c r="BJ68" s="3341"/>
      <c r="BK68" s="3341"/>
      <c r="BL68" s="3341"/>
      <c r="BM68" s="3349">
        <f t="shared" si="194"/>
        <v>0</v>
      </c>
      <c r="BN68" s="4211" t="e">
        <f t="shared" si="195"/>
        <v>#DIV/0!</v>
      </c>
      <c r="BO68" s="3341"/>
      <c r="BP68" s="3341"/>
      <c r="BQ68" s="3341"/>
      <c r="BR68" s="3349">
        <f t="shared" si="196"/>
        <v>0</v>
      </c>
      <c r="BS68" s="4211" t="e">
        <f t="shared" si="197"/>
        <v>#DIV/0!</v>
      </c>
      <c r="BT68" s="3341"/>
      <c r="BU68" s="3341"/>
      <c r="BV68" s="3341"/>
      <c r="BW68" s="3349">
        <f t="shared" si="198"/>
        <v>0</v>
      </c>
      <c r="BX68" s="4211" t="e">
        <f t="shared" si="199"/>
        <v>#DIV/0!</v>
      </c>
      <c r="BY68" s="3341"/>
      <c r="BZ68" s="3341"/>
      <c r="CA68" s="3341"/>
      <c r="CB68" s="3349">
        <f t="shared" si="200"/>
        <v>0</v>
      </c>
      <c r="CC68" s="4211" t="e">
        <f t="shared" si="201"/>
        <v>#DIV/0!</v>
      </c>
      <c r="CD68" s="3341"/>
      <c r="CE68" s="3341"/>
      <c r="CF68" s="3341"/>
      <c r="CG68" s="3349">
        <f t="shared" si="202"/>
        <v>0</v>
      </c>
      <c r="CH68" s="4211" t="e">
        <f t="shared" si="203"/>
        <v>#DIV/0!</v>
      </c>
      <c r="CI68" s="3341"/>
      <c r="CJ68" s="3341">
        <f t="shared" si="204"/>
        <v>0</v>
      </c>
      <c r="CK68" s="3341">
        <f t="shared" si="204"/>
        <v>0</v>
      </c>
      <c r="CL68" s="2012">
        <f t="shared" si="205"/>
        <v>0</v>
      </c>
      <c r="CM68" s="4211">
        <f t="shared" si="170"/>
        <v>0</v>
      </c>
      <c r="CN68" s="4213"/>
      <c r="CP68" s="2012">
        <f t="shared" si="206"/>
        <v>0</v>
      </c>
      <c r="CQ68" s="2012">
        <f t="shared" si="206"/>
        <v>0</v>
      </c>
      <c r="CR68" s="4202"/>
      <c r="CT68" s="2624"/>
    </row>
    <row r="69" spans="1:99" s="1396" customFormat="1" ht="13.8" outlineLevel="2">
      <c r="A69" s="1571"/>
      <c r="B69" s="4240" t="s">
        <v>42</v>
      </c>
      <c r="C69" s="3341"/>
      <c r="D69" s="3341"/>
      <c r="E69" s="3349">
        <f t="shared" si="171"/>
        <v>0</v>
      </c>
      <c r="F69" s="4211" t="e">
        <f t="shared" si="135"/>
        <v>#DIV/0!</v>
      </c>
      <c r="G69" s="4259"/>
      <c r="H69" s="3341"/>
      <c r="I69" s="3341"/>
      <c r="J69" s="3349">
        <f t="shared" si="172"/>
        <v>0</v>
      </c>
      <c r="K69" s="4211">
        <f t="shared" si="173"/>
        <v>0</v>
      </c>
      <c r="L69" s="4259"/>
      <c r="M69" s="3341"/>
      <c r="N69" s="3341"/>
      <c r="O69" s="3349">
        <f t="shared" si="174"/>
        <v>0</v>
      </c>
      <c r="P69" s="4211">
        <f t="shared" si="175"/>
        <v>0</v>
      </c>
      <c r="Q69" s="4259"/>
      <c r="R69" s="3342">
        <f t="shared" si="176"/>
        <v>0</v>
      </c>
      <c r="S69" s="3342">
        <f t="shared" si="176"/>
        <v>0</v>
      </c>
      <c r="T69" s="2012">
        <f t="shared" si="177"/>
        <v>0</v>
      </c>
      <c r="U69" s="3462"/>
      <c r="V69" s="3462"/>
      <c r="W69" s="3342">
        <f t="shared" si="178"/>
        <v>0</v>
      </c>
      <c r="X69" s="3342">
        <f t="shared" si="178"/>
        <v>0</v>
      </c>
      <c r="Y69" s="2012">
        <f t="shared" si="179"/>
        <v>0</v>
      </c>
      <c r="Z69" s="3462"/>
      <c r="AA69" s="3462"/>
      <c r="AB69" s="3349"/>
      <c r="AC69" s="3349"/>
      <c r="AD69" s="3349">
        <f t="shared" si="180"/>
        <v>0</v>
      </c>
      <c r="AE69" s="4211">
        <f t="shared" si="181"/>
        <v>0</v>
      </c>
      <c r="AF69" s="4259"/>
      <c r="AG69" s="3341"/>
      <c r="AH69" s="3341"/>
      <c r="AI69" s="3349">
        <f t="shared" si="182"/>
        <v>0</v>
      </c>
      <c r="AJ69" s="4211" t="e">
        <f t="shared" si="183"/>
        <v>#DIV/0!</v>
      </c>
      <c r="AK69" s="4259"/>
      <c r="AL69" s="3341"/>
      <c r="AM69" s="3341"/>
      <c r="AN69" s="3349">
        <f t="shared" si="184"/>
        <v>0</v>
      </c>
      <c r="AO69" s="4211">
        <f t="shared" si="185"/>
        <v>0</v>
      </c>
      <c r="AP69" s="4260"/>
      <c r="AQ69" s="3341"/>
      <c r="AR69" s="3341"/>
      <c r="AS69" s="3349">
        <f t="shared" si="186"/>
        <v>0</v>
      </c>
      <c r="AT69" s="4211">
        <f t="shared" si="187"/>
        <v>0</v>
      </c>
      <c r="AU69" s="4259"/>
      <c r="AV69" s="3341"/>
      <c r="AW69" s="3341"/>
      <c r="AX69" s="3349">
        <f t="shared" si="188"/>
        <v>0</v>
      </c>
      <c r="AY69" s="4211" t="e">
        <f t="shared" si="189"/>
        <v>#DIV/0!</v>
      </c>
      <c r="AZ69" s="4259"/>
      <c r="BA69" s="3341"/>
      <c r="BB69" s="3341"/>
      <c r="BC69" s="3349">
        <f t="shared" si="190"/>
        <v>0</v>
      </c>
      <c r="BD69" s="4211" t="e">
        <f t="shared" si="191"/>
        <v>#DIV/0!</v>
      </c>
      <c r="BE69" s="4259"/>
      <c r="BF69" s="3341"/>
      <c r="BG69" s="3341"/>
      <c r="BH69" s="3349">
        <f t="shared" si="192"/>
        <v>0</v>
      </c>
      <c r="BI69" s="4211" t="e">
        <f t="shared" si="193"/>
        <v>#DIV/0!</v>
      </c>
      <c r="BJ69" s="4259"/>
      <c r="BK69" s="3341"/>
      <c r="BL69" s="3341"/>
      <c r="BM69" s="3349">
        <f t="shared" si="194"/>
        <v>0</v>
      </c>
      <c r="BN69" s="4211" t="e">
        <f t="shared" si="195"/>
        <v>#DIV/0!</v>
      </c>
      <c r="BO69" s="4259"/>
      <c r="BP69" s="3341"/>
      <c r="BQ69" s="3341"/>
      <c r="BR69" s="3349">
        <f t="shared" si="196"/>
        <v>0</v>
      </c>
      <c r="BS69" s="4211" t="e">
        <f t="shared" si="197"/>
        <v>#DIV/0!</v>
      </c>
      <c r="BT69" s="4259"/>
      <c r="BU69" s="3341"/>
      <c r="BV69" s="3341"/>
      <c r="BW69" s="3349">
        <f t="shared" si="198"/>
        <v>0</v>
      </c>
      <c r="BX69" s="4211" t="e">
        <f t="shared" si="199"/>
        <v>#DIV/0!</v>
      </c>
      <c r="BY69" s="4259"/>
      <c r="BZ69" s="3341"/>
      <c r="CA69" s="3341"/>
      <c r="CB69" s="3349">
        <f t="shared" si="200"/>
        <v>0</v>
      </c>
      <c r="CC69" s="4211" t="e">
        <f t="shared" si="201"/>
        <v>#DIV/0!</v>
      </c>
      <c r="CD69" s="4259"/>
      <c r="CE69" s="3341"/>
      <c r="CF69" s="3341"/>
      <c r="CG69" s="3349">
        <f t="shared" si="202"/>
        <v>0</v>
      </c>
      <c r="CH69" s="4211" t="e">
        <f t="shared" si="203"/>
        <v>#DIV/0!</v>
      </c>
      <c r="CI69" s="4259"/>
      <c r="CJ69" s="3341">
        <f t="shared" si="204"/>
        <v>0</v>
      </c>
      <c r="CK69" s="3341">
        <f t="shared" si="204"/>
        <v>0</v>
      </c>
      <c r="CL69" s="2012">
        <f t="shared" si="205"/>
        <v>0</v>
      </c>
      <c r="CM69" s="4211">
        <f t="shared" si="170"/>
        <v>0</v>
      </c>
      <c r="CN69" s="4213"/>
      <c r="CP69" s="2012">
        <f t="shared" si="206"/>
        <v>0</v>
      </c>
      <c r="CQ69" s="2012">
        <f t="shared" si="206"/>
        <v>0</v>
      </c>
      <c r="CR69" s="4202"/>
      <c r="CT69" s="2624"/>
    </row>
    <row r="70" spans="1:99" s="1396" customFormat="1" ht="13.8" outlineLevel="2">
      <c r="A70" s="1571"/>
      <c r="B70" s="4240" t="s">
        <v>6</v>
      </c>
      <c r="C70" s="3341"/>
      <c r="D70" s="3341"/>
      <c r="E70" s="3349">
        <f t="shared" si="171"/>
        <v>0</v>
      </c>
      <c r="F70" s="4211" t="e">
        <f t="shared" si="135"/>
        <v>#DIV/0!</v>
      </c>
      <c r="G70" s="4259"/>
      <c r="H70" s="3341"/>
      <c r="I70" s="3341"/>
      <c r="J70" s="3349">
        <f t="shared" si="172"/>
        <v>0</v>
      </c>
      <c r="K70" s="4211">
        <f t="shared" si="173"/>
        <v>0</v>
      </c>
      <c r="L70" s="4259"/>
      <c r="M70" s="3341"/>
      <c r="N70" s="3341"/>
      <c r="O70" s="3349">
        <f t="shared" si="174"/>
        <v>0</v>
      </c>
      <c r="P70" s="4211">
        <f t="shared" si="175"/>
        <v>0</v>
      </c>
      <c r="Q70" s="4259"/>
      <c r="R70" s="3342">
        <f t="shared" si="176"/>
        <v>0</v>
      </c>
      <c r="S70" s="3342">
        <f t="shared" si="176"/>
        <v>0</v>
      </c>
      <c r="T70" s="2012">
        <f t="shared" si="177"/>
        <v>0</v>
      </c>
      <c r="U70" s="3462"/>
      <c r="V70" s="3462"/>
      <c r="W70" s="3342">
        <f t="shared" si="178"/>
        <v>0</v>
      </c>
      <c r="X70" s="3342">
        <f t="shared" si="178"/>
        <v>0</v>
      </c>
      <c r="Y70" s="2012">
        <f t="shared" si="179"/>
        <v>0</v>
      </c>
      <c r="Z70" s="3462"/>
      <c r="AA70" s="3462"/>
      <c r="AB70" s="3349"/>
      <c r="AC70" s="3349"/>
      <c r="AD70" s="3349">
        <f t="shared" si="180"/>
        <v>0</v>
      </c>
      <c r="AE70" s="4211">
        <f t="shared" si="181"/>
        <v>0</v>
      </c>
      <c r="AF70" s="4259"/>
      <c r="AG70" s="3341"/>
      <c r="AH70" s="3341"/>
      <c r="AI70" s="3349">
        <f t="shared" si="182"/>
        <v>0</v>
      </c>
      <c r="AJ70" s="4211" t="e">
        <f t="shared" si="183"/>
        <v>#DIV/0!</v>
      </c>
      <c r="AK70" s="4259"/>
      <c r="AL70" s="3341"/>
      <c r="AM70" s="3341"/>
      <c r="AN70" s="3349">
        <f t="shared" si="184"/>
        <v>0</v>
      </c>
      <c r="AO70" s="4211">
        <f t="shared" si="185"/>
        <v>0</v>
      </c>
      <c r="AP70" s="4260"/>
      <c r="AQ70" s="3341"/>
      <c r="AR70" s="3341"/>
      <c r="AS70" s="3349">
        <f t="shared" si="186"/>
        <v>0</v>
      </c>
      <c r="AT70" s="4211">
        <f t="shared" si="187"/>
        <v>0</v>
      </c>
      <c r="AU70" s="4259"/>
      <c r="AV70" s="3341"/>
      <c r="AW70" s="3341"/>
      <c r="AX70" s="3349">
        <f t="shared" si="188"/>
        <v>0</v>
      </c>
      <c r="AY70" s="4211" t="e">
        <f t="shared" si="189"/>
        <v>#DIV/0!</v>
      </c>
      <c r="AZ70" s="4259"/>
      <c r="BA70" s="3341"/>
      <c r="BB70" s="3341"/>
      <c r="BC70" s="3349">
        <f t="shared" si="190"/>
        <v>0</v>
      </c>
      <c r="BD70" s="4211" t="e">
        <f t="shared" si="191"/>
        <v>#DIV/0!</v>
      </c>
      <c r="BE70" s="4259"/>
      <c r="BF70" s="3341"/>
      <c r="BG70" s="3341"/>
      <c r="BH70" s="3349">
        <f t="shared" si="192"/>
        <v>0</v>
      </c>
      <c r="BI70" s="4211" t="e">
        <f t="shared" si="193"/>
        <v>#DIV/0!</v>
      </c>
      <c r="BJ70" s="4259"/>
      <c r="BK70" s="3341"/>
      <c r="BL70" s="3341"/>
      <c r="BM70" s="3349">
        <f t="shared" si="194"/>
        <v>0</v>
      </c>
      <c r="BN70" s="4211" t="e">
        <f t="shared" si="195"/>
        <v>#DIV/0!</v>
      </c>
      <c r="BO70" s="4259"/>
      <c r="BP70" s="3341"/>
      <c r="BQ70" s="3341"/>
      <c r="BR70" s="3349">
        <f t="shared" si="196"/>
        <v>0</v>
      </c>
      <c r="BS70" s="4211" t="e">
        <f t="shared" si="197"/>
        <v>#DIV/0!</v>
      </c>
      <c r="BT70" s="4259"/>
      <c r="BU70" s="3341"/>
      <c r="BV70" s="3341"/>
      <c r="BW70" s="3349">
        <f t="shared" si="198"/>
        <v>0</v>
      </c>
      <c r="BX70" s="4211" t="e">
        <f t="shared" si="199"/>
        <v>#DIV/0!</v>
      </c>
      <c r="BY70" s="4259"/>
      <c r="BZ70" s="3341"/>
      <c r="CA70" s="3341"/>
      <c r="CB70" s="3349">
        <f t="shared" si="200"/>
        <v>0</v>
      </c>
      <c r="CC70" s="4211" t="e">
        <f t="shared" si="201"/>
        <v>#DIV/0!</v>
      </c>
      <c r="CD70" s="4259"/>
      <c r="CE70" s="3341"/>
      <c r="CF70" s="3341"/>
      <c r="CG70" s="3349">
        <f t="shared" si="202"/>
        <v>0</v>
      </c>
      <c r="CH70" s="4211" t="e">
        <f t="shared" si="203"/>
        <v>#DIV/0!</v>
      </c>
      <c r="CI70" s="4259"/>
      <c r="CJ70" s="3341">
        <f t="shared" si="204"/>
        <v>0</v>
      </c>
      <c r="CK70" s="3341">
        <f t="shared" si="204"/>
        <v>0</v>
      </c>
      <c r="CL70" s="2012">
        <f t="shared" si="205"/>
        <v>0</v>
      </c>
      <c r="CM70" s="4211">
        <f t="shared" si="170"/>
        <v>0</v>
      </c>
      <c r="CN70" s="4213"/>
      <c r="CP70" s="2012">
        <f t="shared" si="206"/>
        <v>0</v>
      </c>
      <c r="CQ70" s="2012">
        <f t="shared" si="206"/>
        <v>0</v>
      </c>
      <c r="CR70" s="4202"/>
      <c r="CT70" s="2624"/>
    </row>
    <row r="71" spans="1:99" s="1396" customFormat="1" ht="13.8" outlineLevel="2">
      <c r="A71" s="1571"/>
      <c r="B71" s="4240" t="s">
        <v>78</v>
      </c>
      <c r="C71" s="3341"/>
      <c r="D71" s="3341"/>
      <c r="E71" s="3349">
        <f t="shared" si="171"/>
        <v>0</v>
      </c>
      <c r="F71" s="4211" t="e">
        <f t="shared" si="135"/>
        <v>#DIV/0!</v>
      </c>
      <c r="G71" s="4259"/>
      <c r="H71" s="3341"/>
      <c r="I71" s="3341"/>
      <c r="J71" s="3349">
        <f t="shared" si="172"/>
        <v>0</v>
      </c>
      <c r="K71" s="4211">
        <f t="shared" si="173"/>
        <v>0</v>
      </c>
      <c r="L71" s="4259"/>
      <c r="M71" s="3341"/>
      <c r="N71" s="3341"/>
      <c r="O71" s="3349">
        <f t="shared" si="174"/>
        <v>0</v>
      </c>
      <c r="P71" s="4211">
        <f t="shared" si="175"/>
        <v>0</v>
      </c>
      <c r="Q71" s="4259"/>
      <c r="R71" s="3342">
        <f t="shared" si="176"/>
        <v>0</v>
      </c>
      <c r="S71" s="3342">
        <f t="shared" si="176"/>
        <v>0</v>
      </c>
      <c r="T71" s="2012">
        <f t="shared" si="177"/>
        <v>0</v>
      </c>
      <c r="U71" s="3462"/>
      <c r="V71" s="3462"/>
      <c r="W71" s="3342">
        <f t="shared" si="178"/>
        <v>0</v>
      </c>
      <c r="X71" s="3342">
        <f t="shared" si="178"/>
        <v>0</v>
      </c>
      <c r="Y71" s="2012">
        <f t="shared" si="179"/>
        <v>0</v>
      </c>
      <c r="Z71" s="3462"/>
      <c r="AA71" s="3462"/>
      <c r="AB71" s="3349"/>
      <c r="AC71" s="3349"/>
      <c r="AD71" s="3349">
        <f t="shared" si="180"/>
        <v>0</v>
      </c>
      <c r="AE71" s="4211">
        <f t="shared" si="181"/>
        <v>0</v>
      </c>
      <c r="AF71" s="4259"/>
      <c r="AG71" s="3341"/>
      <c r="AH71" s="3341"/>
      <c r="AI71" s="3349">
        <f t="shared" si="182"/>
        <v>0</v>
      </c>
      <c r="AJ71" s="4211" t="e">
        <f t="shared" si="183"/>
        <v>#DIV/0!</v>
      </c>
      <c r="AK71" s="4259"/>
      <c r="AL71" s="3341"/>
      <c r="AM71" s="3341"/>
      <c r="AN71" s="3349">
        <f t="shared" si="184"/>
        <v>0</v>
      </c>
      <c r="AO71" s="4211">
        <f t="shared" si="185"/>
        <v>0</v>
      </c>
      <c r="AP71" s="4260"/>
      <c r="AQ71" s="3341"/>
      <c r="AR71" s="3341"/>
      <c r="AS71" s="3349">
        <f t="shared" si="186"/>
        <v>0</v>
      </c>
      <c r="AT71" s="4211">
        <f t="shared" si="187"/>
        <v>0</v>
      </c>
      <c r="AU71" s="4259"/>
      <c r="AV71" s="3341"/>
      <c r="AW71" s="3341"/>
      <c r="AX71" s="3349">
        <f t="shared" si="188"/>
        <v>0</v>
      </c>
      <c r="AY71" s="4211" t="e">
        <f t="shared" si="189"/>
        <v>#DIV/0!</v>
      </c>
      <c r="AZ71" s="4259"/>
      <c r="BA71" s="3341"/>
      <c r="BB71" s="3341"/>
      <c r="BC71" s="3349">
        <f t="shared" si="190"/>
        <v>0</v>
      </c>
      <c r="BD71" s="4211" t="e">
        <f t="shared" si="191"/>
        <v>#DIV/0!</v>
      </c>
      <c r="BE71" s="4259"/>
      <c r="BF71" s="3341"/>
      <c r="BG71" s="3341"/>
      <c r="BH71" s="3349">
        <f t="shared" si="192"/>
        <v>0</v>
      </c>
      <c r="BI71" s="4211" t="e">
        <f t="shared" si="193"/>
        <v>#DIV/0!</v>
      </c>
      <c r="BJ71" s="4259"/>
      <c r="BK71" s="3341"/>
      <c r="BL71" s="3341"/>
      <c r="BM71" s="3349">
        <f t="shared" si="194"/>
        <v>0</v>
      </c>
      <c r="BN71" s="4211" t="e">
        <f t="shared" si="195"/>
        <v>#DIV/0!</v>
      </c>
      <c r="BO71" s="4259"/>
      <c r="BP71" s="3341"/>
      <c r="BQ71" s="3341"/>
      <c r="BR71" s="3349">
        <f t="shared" si="196"/>
        <v>0</v>
      </c>
      <c r="BS71" s="4211" t="e">
        <f t="shared" si="197"/>
        <v>#DIV/0!</v>
      </c>
      <c r="BT71" s="4259"/>
      <c r="BU71" s="3341"/>
      <c r="BV71" s="3341"/>
      <c r="BW71" s="3349">
        <f t="shared" si="198"/>
        <v>0</v>
      </c>
      <c r="BX71" s="4211" t="e">
        <f t="shared" si="199"/>
        <v>#DIV/0!</v>
      </c>
      <c r="BY71" s="4259"/>
      <c r="BZ71" s="3341"/>
      <c r="CA71" s="3341"/>
      <c r="CB71" s="3349">
        <f t="shared" si="200"/>
        <v>0</v>
      </c>
      <c r="CC71" s="4211" t="e">
        <f t="shared" si="201"/>
        <v>#DIV/0!</v>
      </c>
      <c r="CD71" s="4259"/>
      <c r="CE71" s="3341"/>
      <c r="CF71" s="3341"/>
      <c r="CG71" s="3349">
        <f t="shared" si="202"/>
        <v>0</v>
      </c>
      <c r="CH71" s="4211" t="e">
        <f t="shared" si="203"/>
        <v>#DIV/0!</v>
      </c>
      <c r="CI71" s="4259"/>
      <c r="CJ71" s="3341">
        <f t="shared" si="204"/>
        <v>0</v>
      </c>
      <c r="CK71" s="3341">
        <f t="shared" si="204"/>
        <v>0</v>
      </c>
      <c r="CL71" s="2012">
        <f t="shared" si="205"/>
        <v>0</v>
      </c>
      <c r="CM71" s="4211">
        <f t="shared" si="170"/>
        <v>0</v>
      </c>
      <c r="CN71" s="4213"/>
      <c r="CP71" s="2012">
        <f t="shared" si="206"/>
        <v>0</v>
      </c>
      <c r="CQ71" s="2012">
        <f t="shared" si="206"/>
        <v>0</v>
      </c>
      <c r="CR71" s="4202"/>
      <c r="CT71" s="2624"/>
    </row>
    <row r="72" spans="1:99" s="1396" customFormat="1" ht="13.8" outlineLevel="2">
      <c r="A72" s="1571"/>
      <c r="B72" s="4273"/>
      <c r="C72" s="4218"/>
      <c r="D72" s="4218"/>
      <c r="E72" s="4263"/>
      <c r="F72" s="4211"/>
      <c r="G72" s="4259"/>
      <c r="H72" s="4218"/>
      <c r="I72" s="4218"/>
      <c r="J72" s="4263"/>
      <c r="K72" s="4211">
        <f t="shared" si="173"/>
        <v>0</v>
      </c>
      <c r="L72" s="4259"/>
      <c r="M72" s="4218"/>
      <c r="N72" s="4218"/>
      <c r="O72" s="4263"/>
      <c r="P72" s="4211">
        <f t="shared" si="175"/>
        <v>0</v>
      </c>
      <c r="Q72" s="4259"/>
      <c r="R72" s="4259"/>
      <c r="S72" s="4259"/>
      <c r="T72" s="4259"/>
      <c r="U72" s="4259"/>
      <c r="V72" s="4259"/>
      <c r="W72" s="4259"/>
      <c r="X72" s="4259"/>
      <c r="Y72" s="4259"/>
      <c r="Z72" s="4259"/>
      <c r="AA72" s="4259"/>
      <c r="AB72" s="4264"/>
      <c r="AC72" s="4264"/>
      <c r="AD72" s="4263"/>
      <c r="AE72" s="4211"/>
      <c r="AF72" s="4259"/>
      <c r="AG72" s="4218"/>
      <c r="AH72" s="4218"/>
      <c r="AI72" s="4263"/>
      <c r="AJ72" s="4211"/>
      <c r="AK72" s="4259"/>
      <c r="AL72" s="4218"/>
      <c r="AM72" s="4218"/>
      <c r="AN72" s="4263"/>
      <c r="AO72" s="4211"/>
      <c r="AP72" s="4260"/>
      <c r="AQ72" s="4218"/>
      <c r="AR72" s="4218"/>
      <c r="AS72" s="4263"/>
      <c r="AT72" s="4211"/>
      <c r="AU72" s="4259"/>
      <c r="AV72" s="4218"/>
      <c r="AW72" s="4218"/>
      <c r="AX72" s="4263"/>
      <c r="AY72" s="4211"/>
      <c r="AZ72" s="4259"/>
      <c r="BA72" s="4218"/>
      <c r="BB72" s="4218"/>
      <c r="BC72" s="4263"/>
      <c r="BD72" s="4211"/>
      <c r="BE72" s="4259"/>
      <c r="BF72" s="4218"/>
      <c r="BG72" s="4218"/>
      <c r="BH72" s="4263"/>
      <c r="BI72" s="4211"/>
      <c r="BJ72" s="4259"/>
      <c r="BK72" s="4218"/>
      <c r="BL72" s="4218"/>
      <c r="BM72" s="4263"/>
      <c r="BN72" s="4211"/>
      <c r="BO72" s="4259"/>
      <c r="BP72" s="4218"/>
      <c r="BQ72" s="4218"/>
      <c r="BR72" s="4263"/>
      <c r="BS72" s="4211"/>
      <c r="BT72" s="4259"/>
      <c r="BU72" s="4218"/>
      <c r="BV72" s="4218"/>
      <c r="BW72" s="4263"/>
      <c r="BX72" s="4211"/>
      <c r="BY72" s="4259"/>
      <c r="BZ72" s="4218"/>
      <c r="CA72" s="4218"/>
      <c r="CB72" s="4263"/>
      <c r="CC72" s="4211"/>
      <c r="CD72" s="4259"/>
      <c r="CE72" s="4218"/>
      <c r="CF72" s="4218"/>
      <c r="CG72" s="4263"/>
      <c r="CH72" s="4211"/>
      <c r="CI72" s="4259"/>
      <c r="CJ72" s="4218"/>
      <c r="CK72" s="4218"/>
      <c r="CL72" s="4263"/>
      <c r="CM72" s="4211">
        <f>CL72/$CL$89</f>
        <v>0</v>
      </c>
      <c r="CN72" s="4213"/>
      <c r="CP72" s="2030"/>
      <c r="CQ72" s="2030"/>
      <c r="CR72" s="4201"/>
      <c r="CT72" s="2624"/>
    </row>
    <row r="73" spans="1:99"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Y74</f>
        <v>0</v>
      </c>
      <c r="Z73" s="3738"/>
      <c r="AA73" s="3742"/>
      <c r="AB73" s="555">
        <f>AB74</f>
        <v>0</v>
      </c>
      <c r="AC73" s="3757">
        <f>AC74</f>
        <v>0</v>
      </c>
      <c r="AD73" s="3788">
        <f>AD74</f>
        <v>0</v>
      </c>
      <c r="AE73" s="3738"/>
      <c r="AF73" s="3741"/>
      <c r="AG73" s="555">
        <f>AG74</f>
        <v>0</v>
      </c>
      <c r="AH73" s="3738">
        <f>AH74</f>
        <v>0</v>
      </c>
      <c r="AI73" s="3739">
        <f>AI74</f>
        <v>0</v>
      </c>
      <c r="AJ73" s="3738"/>
      <c r="AK73" s="3741"/>
      <c r="AL73" s="555">
        <f>AL74</f>
        <v>0</v>
      </c>
      <c r="AM73" s="3738">
        <f>AM74</f>
        <v>0</v>
      </c>
      <c r="AN73" s="3739">
        <f>AN74</f>
        <v>0</v>
      </c>
      <c r="AO73" s="3738"/>
      <c r="AP73" s="3783"/>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4274">
        <f>CP74</f>
        <v>0</v>
      </c>
      <c r="CQ73" s="4274">
        <f>CQ74</f>
        <v>0</v>
      </c>
      <c r="CR73" s="4274"/>
      <c r="CT73" s="2624"/>
    </row>
    <row r="74" spans="1:99" s="1396" customFormat="1" ht="14.4" outlineLevel="1" thickBot="1">
      <c r="A74" s="1413"/>
      <c r="B74" s="1051" t="s">
        <v>64</v>
      </c>
      <c r="C74" s="3341"/>
      <c r="D74" s="3341"/>
      <c r="E74" s="3386">
        <f>C74+D74*1</f>
        <v>0</v>
      </c>
      <c r="F74" s="3386"/>
      <c r="G74" s="3468"/>
      <c r="H74" s="3341"/>
      <c r="I74" s="3341"/>
      <c r="J74" s="3386">
        <f>H74+I74*1</f>
        <v>0</v>
      </c>
      <c r="K74" s="4211">
        <f t="shared" ref="K74" si="207">J74/J$89</f>
        <v>0</v>
      </c>
      <c r="L74" s="3468"/>
      <c r="M74" s="3341"/>
      <c r="N74" s="3341"/>
      <c r="O74" s="3386">
        <f>M74+N74*1</f>
        <v>0</v>
      </c>
      <c r="P74" s="4211">
        <f t="shared" ref="P74" si="208">O74/O$89</f>
        <v>0</v>
      </c>
      <c r="Q74" s="3468"/>
      <c r="R74" s="3469"/>
      <c r="S74" s="3469"/>
      <c r="T74" s="3469"/>
      <c r="U74" s="3469"/>
      <c r="V74" s="3469"/>
      <c r="W74" s="3342">
        <f t="shared" ref="W74:X74" si="209">AB74+AG74+AL74+AV74+BA74+BF74+BK74+BP74+BU74+BZ74+CE74+AQ74</f>
        <v>0</v>
      </c>
      <c r="X74" s="3342">
        <f t="shared" si="209"/>
        <v>0</v>
      </c>
      <c r="Y74" s="3469"/>
      <c r="Z74" s="3469"/>
      <c r="AA74" s="3469"/>
      <c r="AB74" s="3349"/>
      <c r="AC74" s="3349"/>
      <c r="AD74" s="3789">
        <f>AB74+AC74*1</f>
        <v>0</v>
      </c>
      <c r="AE74" s="3386"/>
      <c r="AF74" s="3468"/>
      <c r="AG74" s="3341"/>
      <c r="AH74" s="3341"/>
      <c r="AI74" s="3386">
        <f>AG74+AH74*1</f>
        <v>0</v>
      </c>
      <c r="AJ74" s="3386"/>
      <c r="AK74" s="3468"/>
      <c r="AL74" s="3341"/>
      <c r="AM74" s="3341"/>
      <c r="AN74" s="3386">
        <f>AL74+AM74*1</f>
        <v>0</v>
      </c>
      <c r="AO74" s="3386"/>
      <c r="AP74" s="3724"/>
      <c r="AQ74" s="3341"/>
      <c r="AR74" s="3341"/>
      <c r="AS74" s="3386">
        <f>AQ74+AR74*1</f>
        <v>0</v>
      </c>
      <c r="AT74" s="3386"/>
      <c r="AU74" s="3468"/>
      <c r="AV74" s="3341"/>
      <c r="AW74" s="3341"/>
      <c r="AX74" s="3386">
        <f>AV74+AW74*1</f>
        <v>0</v>
      </c>
      <c r="AY74" s="3386"/>
      <c r="AZ74" s="3468"/>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C74+H74+M74</f>
        <v>0</v>
      </c>
      <c r="CK74" s="3341">
        <f>D74+I74+N74</f>
        <v>0</v>
      </c>
      <c r="CL74" s="3386">
        <f>CJ74+CK74*1</f>
        <v>0</v>
      </c>
      <c r="CM74" s="3386"/>
      <c r="CN74" s="3386"/>
      <c r="CP74" s="4275">
        <f>CN74+CO74*1</f>
        <v>0</v>
      </c>
      <c r="CQ74" s="4275">
        <f>CO74+CP74*1</f>
        <v>0</v>
      </c>
      <c r="CR74" s="4275"/>
      <c r="CT74" s="2624"/>
    </row>
    <row r="75" spans="1:99" s="1396" customFormat="1" ht="14.4" thickBot="1">
      <c r="A75" s="1399"/>
      <c r="B75" s="1416" t="s">
        <v>48</v>
      </c>
      <c r="C75" s="1450">
        <f>C38-C41-C50-C54</f>
        <v>0</v>
      </c>
      <c r="D75" s="1450">
        <f>D38-D41-D50-D54</f>
        <v>0</v>
      </c>
      <c r="E75" s="1508">
        <f>E38-E41-E50-E54</f>
        <v>0</v>
      </c>
      <c r="F75" s="1953"/>
      <c r="G75" s="1058"/>
      <c r="H75" s="1450">
        <f>H38-H41-H50-H54</f>
        <v>0</v>
      </c>
      <c r="I75" s="1450">
        <f>I38-I41-I50-I54</f>
        <v>-9680</v>
      </c>
      <c r="J75" s="1508">
        <f>J38-J41-J50-J54</f>
        <v>-9680</v>
      </c>
      <c r="K75" s="1953"/>
      <c r="L75" s="1058"/>
      <c r="M75" s="1450">
        <f>M38-M41-M50-M54</f>
        <v>-8000</v>
      </c>
      <c r="N75" s="1450">
        <f>N38-N41-N50-N54</f>
        <v>0</v>
      </c>
      <c r="O75" s="1508">
        <f>O38-O41-O50-O54</f>
        <v>-8000</v>
      </c>
      <c r="P75" s="1953"/>
      <c r="Q75" s="1058"/>
      <c r="R75" s="1450">
        <f>R38-R41-R50-R54</f>
        <v>-8000</v>
      </c>
      <c r="S75" s="1450">
        <f>S38-S41-S50-S54</f>
        <v>-9680</v>
      </c>
      <c r="T75" s="1508">
        <f>T38-T41-T50-T54</f>
        <v>-17680</v>
      </c>
      <c r="U75" s="3470"/>
      <c r="V75" s="3470"/>
      <c r="W75" s="1450">
        <f>W38-W41-W50-W54</f>
        <v>83944.680000000008</v>
      </c>
      <c r="X75" s="1450">
        <f>X38-X41-X50-X54</f>
        <v>-9313</v>
      </c>
      <c r="Y75" s="1508">
        <f>Y38-Y41-Y50-Y54</f>
        <v>74631.680000000008</v>
      </c>
      <c r="Z75" s="3470"/>
      <c r="AA75" s="3470"/>
      <c r="AB75" s="1958">
        <f>AB38-AB41-AB50-AB54</f>
        <v>10800</v>
      </c>
      <c r="AC75" s="1958">
        <f>AC38-AC41-AC50-AC54</f>
        <v>-9313</v>
      </c>
      <c r="AD75" s="1508">
        <f>AD38-AD41-AD50-AD54</f>
        <v>1487</v>
      </c>
      <c r="AE75" s="1953"/>
      <c r="AF75" s="1058"/>
      <c r="AG75" s="1450">
        <f>AG38-AG41-AG50-AG54</f>
        <v>0</v>
      </c>
      <c r="AH75" s="1450">
        <f>AH38-AH41-AH50-AH54</f>
        <v>0</v>
      </c>
      <c r="AI75" s="1508">
        <f>AI38-AI41-AI50-AI54</f>
        <v>0</v>
      </c>
      <c r="AJ75" s="1953"/>
      <c r="AK75" s="1058"/>
      <c r="AL75" s="1450">
        <f>AL38-AL41-AL50-AL54</f>
        <v>62989.680000000008</v>
      </c>
      <c r="AM75" s="1450">
        <f>AM38-AM41-AM50-AM54</f>
        <v>0</v>
      </c>
      <c r="AN75" s="1508">
        <f>AN38-AN41-AN50-AN54</f>
        <v>62989.680000000008</v>
      </c>
      <c r="AO75" s="1953"/>
      <c r="AP75" s="3725"/>
      <c r="AQ75" s="1450">
        <f>AQ38-AQ41-AQ50-AQ54</f>
        <v>10155</v>
      </c>
      <c r="AR75" s="1450">
        <f>AR38-AR41-AR50-AR54</f>
        <v>0</v>
      </c>
      <c r="AS75" s="1508">
        <f>AS38-AS41-AS50-AS54</f>
        <v>10155</v>
      </c>
      <c r="AT75" s="1953"/>
      <c r="AU75" s="1058"/>
      <c r="AV75" s="1450">
        <f>AV38-AV41-AV50-AV54</f>
        <v>0</v>
      </c>
      <c r="AW75" s="1450">
        <f>AW38-AW41-AW50-AW54</f>
        <v>0</v>
      </c>
      <c r="AX75" s="1508">
        <f>AX38-AX41-AX50-AX54</f>
        <v>0</v>
      </c>
      <c r="AY75" s="1953"/>
      <c r="AZ75" s="1058"/>
      <c r="BA75" s="1450">
        <f>BA38-BA41-BA50-BA54</f>
        <v>0</v>
      </c>
      <c r="BB75" s="1450">
        <f>BB38-BB41-BB50-BB54</f>
        <v>0</v>
      </c>
      <c r="BC75" s="1508">
        <f>BC38-BC41-BC50-BC54</f>
        <v>0</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75944.680000000008</v>
      </c>
      <c r="CK75" s="1450">
        <f>CK38-CK41-CK50-CK54</f>
        <v>-18993</v>
      </c>
      <c r="CL75" s="1508">
        <f>CL38-CL41-CL50-CL54</f>
        <v>56951.680000000008</v>
      </c>
      <c r="CM75" s="1953"/>
      <c r="CN75" s="1953"/>
      <c r="CP75" s="3471">
        <f>CP38-CP41-CP50-CP54</f>
        <v>43931.98</v>
      </c>
      <c r="CQ75" s="3471">
        <f>CQ38-CQ41-CQ50-CQ54</f>
        <v>56951.680000000008</v>
      </c>
      <c r="CR75" s="3471">
        <f>CR38-CR41-CR50-CR54</f>
        <v>-13019.7</v>
      </c>
      <c r="CT75" s="2624"/>
    </row>
    <row r="76" spans="1:99"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3785">
        <f>IFERROR(AB75/AB5,0)</f>
        <v>1</v>
      </c>
      <c r="AC76" s="3785">
        <f>IFERROR(AC75/AC5,0)</f>
        <v>0</v>
      </c>
      <c r="AD76" s="3786">
        <f>IFERROR(AD75/AD5,0)</f>
        <v>0.13768518518518519</v>
      </c>
      <c r="AE76" s="2004"/>
      <c r="AF76" s="1056"/>
      <c r="AG76" s="2003">
        <f>IFERROR(AG75/AG5,0)</f>
        <v>0</v>
      </c>
      <c r="AH76" s="2003">
        <f>IFERROR(AH75/AH5,0)</f>
        <v>0</v>
      </c>
      <c r="AI76" s="2004">
        <f>IFERROR(AI75/AI5,0)</f>
        <v>0</v>
      </c>
      <c r="AJ76" s="2004"/>
      <c r="AK76" s="1056"/>
      <c r="AL76" s="2003">
        <f>IFERROR(AL75/AL5,0)</f>
        <v>0.67225089183888187</v>
      </c>
      <c r="AM76" s="2003">
        <f>IFERROR(AM75/AM5,0)</f>
        <v>0</v>
      </c>
      <c r="AN76" s="2004">
        <f>IFERROR(AN75/AN5,0)</f>
        <v>0.67225089183888187</v>
      </c>
      <c r="AO76" s="2004"/>
      <c r="AP76" s="3722"/>
      <c r="AQ76" s="2003">
        <f>IFERROR(AQ75/AQ5,0)</f>
        <v>0.92318181818181821</v>
      </c>
      <c r="AR76" s="2003">
        <f>IFERROR(AR75/AR5,0)</f>
        <v>0</v>
      </c>
      <c r="AS76" s="2004">
        <f>IFERROR(AS75/AS5,0)</f>
        <v>0.92318181818181821</v>
      </c>
      <c r="AT76" s="2004"/>
      <c r="AU76" s="1056"/>
      <c r="AV76" s="2003">
        <f>IFERROR(AV75/AV5,0)</f>
        <v>0</v>
      </c>
      <c r="AW76" s="2003">
        <f>IFERROR(AW75/AW5,0)</f>
        <v>0</v>
      </c>
      <c r="AX76" s="2004">
        <f>IFERROR(AX75/AX5,0)</f>
        <v>0</v>
      </c>
      <c r="AY76" s="2004"/>
      <c r="AZ76" s="1056"/>
      <c r="BA76" s="2003">
        <f>IFERROR(BA75/BA5,0)</f>
        <v>0</v>
      </c>
      <c r="BB76" s="2003">
        <f>IFERROR(BB75/BB5,0)</f>
        <v>0</v>
      </c>
      <c r="BC76" s="2004">
        <f>IFERROR(BC75/BC5,0)</f>
        <v>0</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0.65753163256065006</v>
      </c>
      <c r="CK76" s="2003">
        <f>IFERROR(CK75/CK5,0)</f>
        <v>0</v>
      </c>
      <c r="CL76" s="2004">
        <f>IFERROR(CL75/CL5,0)</f>
        <v>0.49308959004727809</v>
      </c>
      <c r="CM76" s="2004"/>
      <c r="CN76" s="2004"/>
      <c r="CP76" s="2004">
        <f>CP75/CP5</f>
        <v>0.42040309030670531</v>
      </c>
      <c r="CQ76" s="2004">
        <f>IFERROR(CQ75/CQ5,0)</f>
        <v>0.49308959004727809</v>
      </c>
      <c r="CR76" s="2004">
        <f>CR75/CR5</f>
        <v>1.1836090909090911</v>
      </c>
      <c r="CT76" s="2624"/>
    </row>
    <row r="77" spans="1:99" s="1396" customFormat="1" ht="14.4" outlineLevel="1" thickBot="1">
      <c r="A77" s="1566"/>
      <c r="B77" s="4276" t="s">
        <v>9</v>
      </c>
      <c r="C77" s="4277">
        <f>C78-C79</f>
        <v>0</v>
      </c>
      <c r="D77" s="4277">
        <f>D78-D79</f>
        <v>0</v>
      </c>
      <c r="E77" s="4278">
        <f>E78-E79</f>
        <v>0</v>
      </c>
      <c r="F77" s="4279"/>
      <c r="G77" s="4280"/>
      <c r="H77" s="4277">
        <f>H78-H79</f>
        <v>-1561.9399964730787</v>
      </c>
      <c r="I77" s="4277">
        <f>I78-I79</f>
        <v>0</v>
      </c>
      <c r="J77" s="4278">
        <f>J78-J79</f>
        <v>-1561.9399964730787</v>
      </c>
      <c r="K77" s="4279"/>
      <c r="L77" s="4280"/>
      <c r="M77" s="4277">
        <f>M78-M79</f>
        <v>0</v>
      </c>
      <c r="N77" s="4277">
        <f>N78-N79</f>
        <v>0</v>
      </c>
      <c r="O77" s="4278">
        <f>O78-O79</f>
        <v>0</v>
      </c>
      <c r="P77" s="4279"/>
      <c r="Q77" s="4280"/>
      <c r="R77" s="4277">
        <f>R78-R79</f>
        <v>-1561.9399964730787</v>
      </c>
      <c r="S77" s="4277">
        <f>S78-S79</f>
        <v>0</v>
      </c>
      <c r="T77" s="4278">
        <f>T78-T79</f>
        <v>-1561.9399964730787</v>
      </c>
      <c r="U77" s="4281"/>
      <c r="V77" s="4281"/>
      <c r="W77" s="4277">
        <f>W78-W79</f>
        <v>-1516.0705348174315</v>
      </c>
      <c r="X77" s="4277">
        <f>X78-X79</f>
        <v>0</v>
      </c>
      <c r="Y77" s="4278">
        <f>Y78-Y79</f>
        <v>-1516.0705348174315</v>
      </c>
      <c r="Z77" s="4281"/>
      <c r="AA77" s="4281"/>
      <c r="AB77" s="4277">
        <f>AB78-AB79</f>
        <v>-1516.0705348174315</v>
      </c>
      <c r="AC77" s="4277">
        <f>AC78-AC79</f>
        <v>0</v>
      </c>
      <c r="AD77" s="4278">
        <f>AD78-AD79</f>
        <v>-1516.0705348174315</v>
      </c>
      <c r="AE77" s="4279"/>
      <c r="AF77" s="4280"/>
      <c r="AG77" s="4277">
        <f>AG78-AG79</f>
        <v>0</v>
      </c>
      <c r="AH77" s="4277">
        <f>AH78-AH79</f>
        <v>0</v>
      </c>
      <c r="AI77" s="4278">
        <f>AI78-AI79</f>
        <v>0</v>
      </c>
      <c r="AJ77" s="4279"/>
      <c r="AK77" s="4280"/>
      <c r="AL77" s="4277">
        <f>AL78-AL79</f>
        <v>0</v>
      </c>
      <c r="AM77" s="4277">
        <f>AM78-AM79</f>
        <v>0</v>
      </c>
      <c r="AN77" s="4278">
        <f>AN78-AN79</f>
        <v>0</v>
      </c>
      <c r="AO77" s="4279"/>
      <c r="AP77" s="4282"/>
      <c r="AQ77" s="4277">
        <f>AQ78-AQ79</f>
        <v>0</v>
      </c>
      <c r="AR77" s="4277">
        <f>AR78-AR79</f>
        <v>0</v>
      </c>
      <c r="AS77" s="4278">
        <f>AS78-AS79</f>
        <v>0</v>
      </c>
      <c r="AT77" s="4279"/>
      <c r="AU77" s="4280"/>
      <c r="AV77" s="4277">
        <f>AV78-AV79</f>
        <v>0</v>
      </c>
      <c r="AW77" s="4277">
        <f>AW78-AW79</f>
        <v>0</v>
      </c>
      <c r="AX77" s="4278">
        <f>AX78-AX79</f>
        <v>0</v>
      </c>
      <c r="AY77" s="4279"/>
      <c r="AZ77" s="4280"/>
      <c r="BA77" s="4277">
        <f>BA78-BA79</f>
        <v>0</v>
      </c>
      <c r="BB77" s="4277">
        <f>BB78-BB79</f>
        <v>0</v>
      </c>
      <c r="BC77" s="4278">
        <f>BC78-BC79</f>
        <v>0</v>
      </c>
      <c r="BD77" s="4279"/>
      <c r="BE77" s="4280"/>
      <c r="BF77" s="4277">
        <f>BF78-BF79</f>
        <v>0</v>
      </c>
      <c r="BG77" s="4277">
        <f>BG78-BG79</f>
        <v>0</v>
      </c>
      <c r="BH77" s="4278">
        <f>BH78-BH79</f>
        <v>0</v>
      </c>
      <c r="BI77" s="4279"/>
      <c r="BJ77" s="4280"/>
      <c r="BK77" s="4277">
        <f>BK78-BK79</f>
        <v>0</v>
      </c>
      <c r="BL77" s="4277">
        <f>BL78-BL79</f>
        <v>0</v>
      </c>
      <c r="BM77" s="4278">
        <f>BM78-BM79</f>
        <v>0</v>
      </c>
      <c r="BN77" s="4279"/>
      <c r="BO77" s="4280"/>
      <c r="BP77" s="4277">
        <f>BP78-BP79</f>
        <v>0</v>
      </c>
      <c r="BQ77" s="4277">
        <f>BQ78-BQ79</f>
        <v>0</v>
      </c>
      <c r="BR77" s="4278">
        <f>BR78-BR79</f>
        <v>0</v>
      </c>
      <c r="BS77" s="4279"/>
      <c r="BT77" s="4280"/>
      <c r="BU77" s="4277">
        <f>BU78-BU79</f>
        <v>0</v>
      </c>
      <c r="BV77" s="4277">
        <f>BV78-BV79</f>
        <v>0</v>
      </c>
      <c r="BW77" s="4278">
        <f>BW78-BW79</f>
        <v>0</v>
      </c>
      <c r="BX77" s="4279"/>
      <c r="BY77" s="4280"/>
      <c r="BZ77" s="4277">
        <f>BZ78-BZ79</f>
        <v>0</v>
      </c>
      <c r="CA77" s="4277">
        <f>CA78-CA79</f>
        <v>0</v>
      </c>
      <c r="CB77" s="4278">
        <f>CB78-CB79</f>
        <v>0</v>
      </c>
      <c r="CC77" s="4279"/>
      <c r="CD77" s="4280"/>
      <c r="CE77" s="4277">
        <f>CE78-CE79</f>
        <v>0</v>
      </c>
      <c r="CF77" s="4277">
        <f>CF78-CF79</f>
        <v>0</v>
      </c>
      <c r="CG77" s="4278">
        <f>CG78-CG79</f>
        <v>0</v>
      </c>
      <c r="CH77" s="4279"/>
      <c r="CI77" s="4280"/>
      <c r="CJ77" s="4277">
        <f>CJ78-CJ79</f>
        <v>-3078.0105312905102</v>
      </c>
      <c r="CK77" s="4277">
        <f>CK78-CK79</f>
        <v>0</v>
      </c>
      <c r="CL77" s="4278">
        <f>CL78-CL79</f>
        <v>-3078.0105312905102</v>
      </c>
      <c r="CM77" s="4279"/>
      <c r="CN77" s="4279"/>
      <c r="CP77" s="4278">
        <f>CP78-CP79</f>
        <v>0</v>
      </c>
      <c r="CQ77" s="4278">
        <f>CQ78-CQ79</f>
        <v>-3078.0105312905102</v>
      </c>
      <c r="CR77" s="4278"/>
      <c r="CT77" s="2624"/>
    </row>
    <row r="78" spans="1:99" s="1396" customFormat="1" ht="13.8" outlineLevel="2">
      <c r="A78" s="1405"/>
      <c r="B78" s="1400" t="s">
        <v>43</v>
      </c>
      <c r="C78" s="3341"/>
      <c r="D78" s="3341"/>
      <c r="E78" s="3391">
        <f>C78+D78*1.15</f>
        <v>0</v>
      </c>
      <c r="F78" s="3391"/>
      <c r="G78" s="3473"/>
      <c r="H78" s="3341"/>
      <c r="I78" s="3341"/>
      <c r="J78" s="3391">
        <f>H78+I78*1.15</f>
        <v>0</v>
      </c>
      <c r="K78" s="4211">
        <f t="shared" ref="K78:K79" si="210">J78/J$89</f>
        <v>0</v>
      </c>
      <c r="L78" s="3473"/>
      <c r="M78" s="3341"/>
      <c r="N78" s="3341"/>
      <c r="O78" s="3391">
        <f>M78+N78*1.15</f>
        <v>0</v>
      </c>
      <c r="P78" s="4211">
        <f t="shared" ref="P78:P79" si="211">O78/O$89</f>
        <v>0</v>
      </c>
      <c r="Q78" s="3473"/>
      <c r="R78" s="3342">
        <f t="shared" ref="R78:S79" si="212">M78+H78+C78</f>
        <v>0</v>
      </c>
      <c r="S78" s="3342">
        <f t="shared" si="212"/>
        <v>0</v>
      </c>
      <c r="T78" s="2012">
        <f t="shared" ref="T78:T79" si="213">R78+S78</f>
        <v>0</v>
      </c>
      <c r="U78" s="3474"/>
      <c r="V78" s="3474"/>
      <c r="W78" s="3342">
        <f t="shared" ref="W78:X79" si="214">AB78+AG78+AL78+AV78+BA78+BF78+BK78+BP78+BU78+BZ78+CE78+AQ78</f>
        <v>0</v>
      </c>
      <c r="X78" s="3342">
        <f t="shared" si="214"/>
        <v>0</v>
      </c>
      <c r="Y78" s="2012">
        <f t="shared" ref="Y78:Y79" si="215">W78+X78</f>
        <v>0</v>
      </c>
      <c r="Z78" s="3474"/>
      <c r="AA78" s="3474"/>
      <c r="AB78" s="3349"/>
      <c r="AC78" s="3349"/>
      <c r="AD78" s="3390">
        <f>AB78+AC78*1.15</f>
        <v>0</v>
      </c>
      <c r="AE78" s="3391"/>
      <c r="AF78" s="3473"/>
      <c r="AG78" s="3341"/>
      <c r="AH78" s="3341"/>
      <c r="AI78" s="3391">
        <f>AG78+AH78*1.15</f>
        <v>0</v>
      </c>
      <c r="AJ78" s="3391"/>
      <c r="AK78" s="3473"/>
      <c r="AL78" s="3341"/>
      <c r="AM78" s="3341"/>
      <c r="AN78" s="3391">
        <f>AL78+AM78*1.15</f>
        <v>0</v>
      </c>
      <c r="AO78" s="3391"/>
      <c r="AP78" s="3726"/>
      <c r="AQ78" s="3341"/>
      <c r="AR78" s="3341"/>
      <c r="AS78" s="3391">
        <f>AQ78+AR78*1.15</f>
        <v>0</v>
      </c>
      <c r="AT78" s="3391"/>
      <c r="AU78" s="3473"/>
      <c r="AV78" s="3341"/>
      <c r="AW78" s="3341"/>
      <c r="AX78" s="3391">
        <f>AV78+AW78*1.15</f>
        <v>0</v>
      </c>
      <c r="AY78" s="3391"/>
      <c r="AZ78" s="3473"/>
      <c r="BA78" s="3341"/>
      <c r="BB78" s="3341"/>
      <c r="BC78" s="3391">
        <f>BA78+BB78*1.15</f>
        <v>0</v>
      </c>
      <c r="BD78" s="3391"/>
      <c r="BE78" s="3473"/>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16">C78+H78+M78+W78</f>
        <v>0</v>
      </c>
      <c r="CK78" s="3341">
        <f t="shared" si="216"/>
        <v>0</v>
      </c>
      <c r="CL78" s="3391">
        <f>CJ78+CK78*1.15</f>
        <v>0</v>
      </c>
      <c r="CM78" s="3391"/>
      <c r="CN78" s="3391"/>
      <c r="CP78" s="3475">
        <f>CN78+CO78*1.15</f>
        <v>0</v>
      </c>
      <c r="CQ78" s="3475">
        <f>CO78+CP78*1.15</f>
        <v>0</v>
      </c>
      <c r="CR78" s="4202"/>
      <c r="CT78" s="2624"/>
    </row>
    <row r="79" spans="1:99" s="1396" customFormat="1" ht="13.8" outlineLevel="2">
      <c r="A79" s="1405"/>
      <c r="B79" s="4283" t="s">
        <v>79</v>
      </c>
      <c r="C79" s="3341">
        <v>0</v>
      </c>
      <c r="D79" s="3341"/>
      <c r="E79" s="2012">
        <f>C79+D79</f>
        <v>0</v>
      </c>
      <c r="F79" s="4243"/>
      <c r="G79" s="4241"/>
      <c r="H79" s="3341">
        <v>1561.9399964730787</v>
      </c>
      <c r="I79" s="3341"/>
      <c r="J79" s="2012">
        <f>H79+I79</f>
        <v>1561.9399964730787</v>
      </c>
      <c r="K79" s="4211">
        <f t="shared" si="210"/>
        <v>0.13893865266698671</v>
      </c>
      <c r="L79" s="4241"/>
      <c r="M79" s="3341">
        <v>0</v>
      </c>
      <c r="N79" s="3341"/>
      <c r="O79" s="2012">
        <f>M79+N79</f>
        <v>0</v>
      </c>
      <c r="P79" s="4211">
        <f t="shared" si="211"/>
        <v>0</v>
      </c>
      <c r="Q79" s="4241"/>
      <c r="R79" s="3342">
        <f t="shared" si="212"/>
        <v>1561.9399964730787</v>
      </c>
      <c r="S79" s="3342">
        <f t="shared" si="212"/>
        <v>0</v>
      </c>
      <c r="T79" s="2012">
        <f t="shared" si="213"/>
        <v>1561.9399964730787</v>
      </c>
      <c r="U79" s="3455"/>
      <c r="V79" s="3455"/>
      <c r="W79" s="3342">
        <f t="shared" si="214"/>
        <v>1516.0705348174315</v>
      </c>
      <c r="X79" s="3342">
        <f t="shared" si="214"/>
        <v>0</v>
      </c>
      <c r="Y79" s="2012">
        <f t="shared" si="215"/>
        <v>1516.0705348174315</v>
      </c>
      <c r="Z79" s="3455"/>
      <c r="AA79" s="3455"/>
      <c r="AB79" s="3341">
        <f>(AC8+AC41+AC50+AC54)/(1-'расчет 2024'!$M$24)*'расчет 2024'!$M$24</f>
        <v>1516.0705348174315</v>
      </c>
      <c r="AC79" s="3349"/>
      <c r="AD79" s="2012">
        <f>AB79+AC79</f>
        <v>1516.0705348174315</v>
      </c>
      <c r="AE79" s="4243"/>
      <c r="AF79" s="4241"/>
      <c r="AG79" s="3341">
        <f>(AH8+AH41+AH50+AH54)/(1-'расчет 2024'!$M$25)*'расчет 2024'!$M$25</f>
        <v>0</v>
      </c>
      <c r="AH79" s="3341"/>
      <c r="AI79" s="2012">
        <f>AG79+AH79</f>
        <v>0</v>
      </c>
      <c r="AJ79" s="4243"/>
      <c r="AK79" s="4241"/>
      <c r="AL79" s="3341">
        <f>(AM8+AM41+AM50+AM54)/(1-'расчет 2024'!$M$25)*'расчет 2024'!$M$25</f>
        <v>0</v>
      </c>
      <c r="AM79" s="3341"/>
      <c r="AN79" s="2012">
        <f>AL79+AM79</f>
        <v>0</v>
      </c>
      <c r="AO79" s="4243"/>
      <c r="AP79" s="4242"/>
      <c r="AQ79" s="3341">
        <f>(AR8+AR41+AR50+AR54)/(1-'расчет 2024'!$M$27)*'расчет 2024'!$M$27</f>
        <v>0</v>
      </c>
      <c r="AR79" s="3341"/>
      <c r="AS79" s="2012">
        <f>AQ79+AR79</f>
        <v>0</v>
      </c>
      <c r="AT79" s="4243"/>
      <c r="AU79" s="4241"/>
      <c r="AV79" s="3341">
        <f>(AW8+AW41+AW50+AW54)/(1-'расчет 2024'!$M$27)*'расчет 2024'!$M$27</f>
        <v>0</v>
      </c>
      <c r="AW79" s="3341"/>
      <c r="AX79" s="2012">
        <f>AV79+AW79</f>
        <v>0</v>
      </c>
      <c r="AY79" s="4243"/>
      <c r="AZ79" s="4241"/>
      <c r="BA79" s="3341">
        <v>0</v>
      </c>
      <c r="BB79" s="3341"/>
      <c r="BC79" s="2012">
        <f>BA79+BB79</f>
        <v>0</v>
      </c>
      <c r="BD79" s="4243"/>
      <c r="BE79" s="4241"/>
      <c r="BF79" s="3341">
        <v>0</v>
      </c>
      <c r="BG79" s="3341"/>
      <c r="BH79" s="2012">
        <f>BF79+BG79</f>
        <v>0</v>
      </c>
      <c r="BI79" s="4243"/>
      <c r="BJ79" s="4241"/>
      <c r="BK79" s="3341"/>
      <c r="BL79" s="3341"/>
      <c r="BM79" s="2012">
        <f>BK79+BL79</f>
        <v>0</v>
      </c>
      <c r="BN79" s="4243"/>
      <c r="BO79" s="4241"/>
      <c r="BP79" s="3341">
        <v>0</v>
      </c>
      <c r="BQ79" s="3341"/>
      <c r="BR79" s="2012">
        <f>BP79+BQ79</f>
        <v>0</v>
      </c>
      <c r="BS79" s="4243"/>
      <c r="BT79" s="4241"/>
      <c r="BU79" s="3341">
        <v>0</v>
      </c>
      <c r="BV79" s="3341"/>
      <c r="BW79" s="2012">
        <f>BU79+BV79</f>
        <v>0</v>
      </c>
      <c r="BX79" s="4243"/>
      <c r="BY79" s="4241"/>
      <c r="BZ79" s="3341">
        <v>0</v>
      </c>
      <c r="CA79" s="3341"/>
      <c r="CB79" s="2012">
        <f>BZ79+CA79</f>
        <v>0</v>
      </c>
      <c r="CC79" s="4243"/>
      <c r="CD79" s="4241"/>
      <c r="CE79" s="3341">
        <v>0</v>
      </c>
      <c r="CF79" s="3341"/>
      <c r="CG79" s="2012">
        <f>CE79+CF79</f>
        <v>0</v>
      </c>
      <c r="CH79" s="4243"/>
      <c r="CI79" s="4241"/>
      <c r="CJ79" s="3341">
        <f>C79+H79+M79+W79</f>
        <v>3078.0105312905102</v>
      </c>
      <c r="CK79" s="3341">
        <f t="shared" si="216"/>
        <v>0</v>
      </c>
      <c r="CL79" s="2012">
        <f t="shared" ref="CL79" si="217">CJ79+CK79*1</f>
        <v>3078.0105312905102</v>
      </c>
      <c r="CM79" s="4243"/>
      <c r="CN79" s="4243"/>
      <c r="CP79" s="2012">
        <f t="shared" ref="CP79" si="218">CN79+CO79*1</f>
        <v>0</v>
      </c>
      <c r="CQ79" s="2012">
        <f>CJ79</f>
        <v>3078.0105312905102</v>
      </c>
      <c r="CR79" s="4202">
        <f t="shared" ref="CR79" si="219">CP79-CQ79</f>
        <v>-3078.0105312905102</v>
      </c>
      <c r="CT79" s="2624"/>
      <c r="CU79" s="933"/>
    </row>
    <row r="80" spans="1:99" ht="13.8" outlineLevel="2">
      <c r="A80" s="1397"/>
      <c r="B80" s="4273"/>
      <c r="C80" s="3341"/>
      <c r="D80" s="3341"/>
      <c r="E80" s="4284"/>
      <c r="F80" s="4284"/>
      <c r="G80" s="4285"/>
      <c r="H80" s="3341"/>
      <c r="I80" s="3341"/>
      <c r="J80" s="4284"/>
      <c r="K80" s="4284"/>
      <c r="L80" s="4285"/>
      <c r="M80" s="3341"/>
      <c r="N80" s="3341"/>
      <c r="O80" s="4284"/>
      <c r="P80" s="4284"/>
      <c r="Q80" s="4285"/>
      <c r="R80" s="3448"/>
      <c r="S80" s="3448"/>
      <c r="T80" s="3448"/>
      <c r="U80" s="3448"/>
      <c r="V80" s="3448"/>
      <c r="W80" s="3448"/>
      <c r="X80" s="3448"/>
      <c r="Y80" s="3448"/>
      <c r="Z80" s="3448"/>
      <c r="AA80" s="3448"/>
      <c r="AB80" s="3349"/>
      <c r="AC80" s="3349"/>
      <c r="AD80" s="4286"/>
      <c r="AE80" s="4284"/>
      <c r="AF80" s="4285"/>
      <c r="AG80" s="3341"/>
      <c r="AH80" s="3341"/>
      <c r="AI80" s="4284"/>
      <c r="AJ80" s="4284"/>
      <c r="AK80" s="4285"/>
      <c r="AL80" s="3341"/>
      <c r="AM80" s="3341"/>
      <c r="AN80" s="4284"/>
      <c r="AO80" s="4284"/>
      <c r="AP80" s="4287"/>
      <c r="AQ80" s="3341"/>
      <c r="AR80" s="3341"/>
      <c r="AS80" s="4284"/>
      <c r="AT80" s="4284"/>
      <c r="AU80" s="4285"/>
      <c r="AV80" s="3341"/>
      <c r="AW80" s="3341"/>
      <c r="AX80" s="4284"/>
      <c r="AY80" s="4284"/>
      <c r="AZ80" s="4285"/>
      <c r="BA80" s="3341"/>
      <c r="BB80" s="3341"/>
      <c r="BC80" s="4284"/>
      <c r="BD80" s="4284"/>
      <c r="BE80" s="4285"/>
      <c r="BF80" s="3341"/>
      <c r="BG80" s="3341"/>
      <c r="BH80" s="4284"/>
      <c r="BI80" s="4284"/>
      <c r="BJ80" s="4285"/>
      <c r="BK80" s="3341"/>
      <c r="BL80" s="3341"/>
      <c r="BM80" s="4284"/>
      <c r="BN80" s="4284"/>
      <c r="BO80" s="4285"/>
      <c r="BP80" s="3341"/>
      <c r="BQ80" s="3341"/>
      <c r="BR80" s="4284"/>
      <c r="BS80" s="4284"/>
      <c r="BT80" s="4285"/>
      <c r="BU80" s="3341"/>
      <c r="BV80" s="3341"/>
      <c r="BW80" s="4284"/>
      <c r="BX80" s="4284"/>
      <c r="BY80" s="4285"/>
      <c r="BZ80" s="3341"/>
      <c r="CA80" s="3341"/>
      <c r="CB80" s="4284"/>
      <c r="CC80" s="4284"/>
      <c r="CD80" s="4285"/>
      <c r="CE80" s="3341"/>
      <c r="CF80" s="3341"/>
      <c r="CG80" s="4284"/>
      <c r="CH80" s="4284"/>
      <c r="CI80" s="4285"/>
      <c r="CJ80" s="3341">
        <f>C80+H80+M80</f>
        <v>0</v>
      </c>
      <c r="CK80" s="3341">
        <f>D80+I80+N80</f>
        <v>0</v>
      </c>
      <c r="CL80" s="4284"/>
      <c r="CM80" s="4284"/>
      <c r="CN80" s="4284"/>
      <c r="CP80" s="4288"/>
      <c r="CQ80" s="4288"/>
      <c r="CR80" s="4202"/>
    </row>
    <row r="81" spans="1:101" s="1396" customFormat="1" ht="14.4" outlineLevel="1" thickBot="1">
      <c r="A81" s="1419"/>
      <c r="B81" s="4276" t="s">
        <v>12</v>
      </c>
      <c r="C81" s="4277">
        <f>(C75+C78)-C79</f>
        <v>0</v>
      </c>
      <c r="D81" s="4277">
        <f>(D75+D78)-D79</f>
        <v>0</v>
      </c>
      <c r="E81" s="4278">
        <f>(E75+E78)-E79</f>
        <v>0</v>
      </c>
      <c r="F81" s="4279"/>
      <c r="G81" s="4280"/>
      <c r="H81" s="4277">
        <f>(H75+H78)-H79</f>
        <v>-1561.9399964730787</v>
      </c>
      <c r="I81" s="4277">
        <f>(I75+I78)-I79</f>
        <v>-9680</v>
      </c>
      <c r="J81" s="4278">
        <f>(J75+J78)-J79</f>
        <v>-11241.939996473078</v>
      </c>
      <c r="K81" s="4279"/>
      <c r="L81" s="4280"/>
      <c r="M81" s="4277">
        <f>(M75+M78)-M79</f>
        <v>-8000</v>
      </c>
      <c r="N81" s="4277">
        <f>(N75+N78)-N79</f>
        <v>0</v>
      </c>
      <c r="O81" s="4278">
        <f>(O75+O78)-O79</f>
        <v>-8000</v>
      </c>
      <c r="P81" s="4279"/>
      <c r="Q81" s="4280"/>
      <c r="R81" s="4277">
        <f>(R75+R78)-R79</f>
        <v>-9561.9399964730783</v>
      </c>
      <c r="S81" s="4277">
        <f>(S75+S78)-S79</f>
        <v>-9680</v>
      </c>
      <c r="T81" s="4278">
        <f>(T75+T78)-T79</f>
        <v>-19241.93999647308</v>
      </c>
      <c r="U81" s="4281"/>
      <c r="V81" s="4281"/>
      <c r="W81" s="4277">
        <f>(W75+W78)-W79</f>
        <v>82428.60946518257</v>
      </c>
      <c r="X81" s="4277">
        <f>(X75+X78)-X79</f>
        <v>-9313</v>
      </c>
      <c r="Y81" s="4278">
        <f>(Y75+Y78)-Y79</f>
        <v>73115.60946518257</v>
      </c>
      <c r="Z81" s="4281"/>
      <c r="AA81" s="4281"/>
      <c r="AB81" s="4277">
        <f>(AB75+AB78)-AB79</f>
        <v>9283.9294651825694</v>
      </c>
      <c r="AC81" s="4277">
        <f>(AC75+AC78)-AC79</f>
        <v>-9313</v>
      </c>
      <c r="AD81" s="4278">
        <f>(AD75+AD78)-AD79</f>
        <v>-29.070534817431508</v>
      </c>
      <c r="AE81" s="4279"/>
      <c r="AF81" s="4280"/>
      <c r="AG81" s="4277">
        <f>(AG75+AG78)-AG79</f>
        <v>0</v>
      </c>
      <c r="AH81" s="4277">
        <f>(AH75+AH78)-AH79</f>
        <v>0</v>
      </c>
      <c r="AI81" s="4278">
        <f>(AI75+AI78)-AI79</f>
        <v>0</v>
      </c>
      <c r="AJ81" s="4279"/>
      <c r="AK81" s="4280"/>
      <c r="AL81" s="4277">
        <f>(AL75+AL78)-AL79</f>
        <v>62989.680000000008</v>
      </c>
      <c r="AM81" s="4277">
        <f>(AM75+AM78)-AM79</f>
        <v>0</v>
      </c>
      <c r="AN81" s="4278">
        <f>(AN75+AN78)-AN79</f>
        <v>62989.680000000008</v>
      </c>
      <c r="AO81" s="4279"/>
      <c r="AP81" s="4282"/>
      <c r="AQ81" s="4277">
        <f>(AQ75+AQ78)-AQ79</f>
        <v>10155</v>
      </c>
      <c r="AR81" s="4277">
        <f>(AR75+AR78)-AR79</f>
        <v>0</v>
      </c>
      <c r="AS81" s="4278">
        <f>(AS75+AS78)-AS79</f>
        <v>10155</v>
      </c>
      <c r="AT81" s="4279"/>
      <c r="AU81" s="4280"/>
      <c r="AV81" s="4277">
        <f>(AV75+AV78)-AV79</f>
        <v>0</v>
      </c>
      <c r="AW81" s="4277">
        <f>(AW75+AW78)-AW79</f>
        <v>0</v>
      </c>
      <c r="AX81" s="4278">
        <f>(AX75+AX78)-AX79</f>
        <v>0</v>
      </c>
      <c r="AY81" s="4279"/>
      <c r="AZ81" s="4280"/>
      <c r="BA81" s="4277">
        <f>(BA75+BA78)-BA79</f>
        <v>0</v>
      </c>
      <c r="BB81" s="4277">
        <f>(BB75+BB78)-BB79</f>
        <v>0</v>
      </c>
      <c r="BC81" s="4278">
        <f>(BC75+BC78)-BC79</f>
        <v>0</v>
      </c>
      <c r="BD81" s="4279"/>
      <c r="BE81" s="4280"/>
      <c r="BF81" s="4277">
        <f>(BF75+BF78)-BF79</f>
        <v>0</v>
      </c>
      <c r="BG81" s="4277">
        <f>(BG75+BG78)-BG79</f>
        <v>0</v>
      </c>
      <c r="BH81" s="4278">
        <f>(BH75+BH78)-BH79</f>
        <v>0</v>
      </c>
      <c r="BI81" s="4279"/>
      <c r="BJ81" s="4280"/>
      <c r="BK81" s="4277">
        <f>(BK75+BK78)-BK79</f>
        <v>0</v>
      </c>
      <c r="BL81" s="4277">
        <f>(BL75+BL78)-BL79</f>
        <v>0</v>
      </c>
      <c r="BM81" s="4278">
        <f>(BM75+BM78)-BM79</f>
        <v>0</v>
      </c>
      <c r="BN81" s="4279"/>
      <c r="BO81" s="4280"/>
      <c r="BP81" s="4277">
        <f>(BP75+BP78)-BP79</f>
        <v>0</v>
      </c>
      <c r="BQ81" s="4277">
        <f>(BQ75+BQ78)-BQ79</f>
        <v>0</v>
      </c>
      <c r="BR81" s="4278">
        <f>(BR75+BR78)-BR79</f>
        <v>0</v>
      </c>
      <c r="BS81" s="4279"/>
      <c r="BT81" s="4280"/>
      <c r="BU81" s="4277">
        <f>(BU75+BU78)-BU79</f>
        <v>0</v>
      </c>
      <c r="BV81" s="4277">
        <f>(BV75+BV78)-BV79</f>
        <v>0</v>
      </c>
      <c r="BW81" s="4278">
        <f>(BW75+BW78)-BW79</f>
        <v>0</v>
      </c>
      <c r="BX81" s="4279"/>
      <c r="BY81" s="4280"/>
      <c r="BZ81" s="4277">
        <f>(BZ75+BZ78)-BZ79</f>
        <v>0</v>
      </c>
      <c r="CA81" s="4277">
        <f>(CA75+CA78)-CA79</f>
        <v>0</v>
      </c>
      <c r="CB81" s="4278">
        <f>(CB75+CB78)-CB79</f>
        <v>0</v>
      </c>
      <c r="CC81" s="4279"/>
      <c r="CD81" s="4280"/>
      <c r="CE81" s="4277">
        <f>(CE75+CE78)-CE79</f>
        <v>0</v>
      </c>
      <c r="CF81" s="4277">
        <f>(CF75+CF78)-CF79</f>
        <v>0</v>
      </c>
      <c r="CG81" s="4278">
        <f>(CG75+CG78)-CG79</f>
        <v>0</v>
      </c>
      <c r="CH81" s="4279"/>
      <c r="CI81" s="4280"/>
      <c r="CJ81" s="4277">
        <f>(CJ75+CJ78)-CJ79</f>
        <v>72866.669468709501</v>
      </c>
      <c r="CK81" s="4277">
        <f>(CK75+CK78)-CK79</f>
        <v>-18993</v>
      </c>
      <c r="CL81" s="4278">
        <f>(CL75+CL78)-CL79</f>
        <v>53873.669468709501</v>
      </c>
      <c r="CM81" s="4279"/>
      <c r="CN81" s="4279"/>
      <c r="CP81" s="4278">
        <f>(CP75+CP78)-CP79</f>
        <v>43931.98</v>
      </c>
      <c r="CQ81" s="4289">
        <f>(CQ75+CQ78)-CQ79</f>
        <v>53873.669468709501</v>
      </c>
      <c r="CR81" s="4278">
        <f>(CR75+CR78)-CR79</f>
        <v>-9941.68946870949</v>
      </c>
      <c r="CT81" s="2624"/>
    </row>
    <row r="82" spans="1:101" s="1396" customFormat="1" ht="13.8" outlineLevel="2">
      <c r="A82" s="1565"/>
      <c r="B82" s="1400" t="s">
        <v>38</v>
      </c>
      <c r="C82" s="3341"/>
      <c r="D82" s="3341"/>
      <c r="E82" s="3390">
        <f>C82+D82</f>
        <v>0</v>
      </c>
      <c r="F82" s="3381"/>
      <c r="G82" s="3455"/>
      <c r="H82" s="3341"/>
      <c r="I82" s="3341"/>
      <c r="J82" s="3390">
        <f>H82+I82</f>
        <v>0</v>
      </c>
      <c r="K82" s="4211">
        <f t="shared" ref="K82" si="220">J82/J$89</f>
        <v>0</v>
      </c>
      <c r="L82" s="3455"/>
      <c r="M82" s="3341"/>
      <c r="N82" s="3341"/>
      <c r="O82" s="3390">
        <f>M82+N82</f>
        <v>0</v>
      </c>
      <c r="P82" s="4211">
        <f t="shared" ref="P82" si="221">O82/O$89</f>
        <v>0</v>
      </c>
      <c r="Q82" s="3455"/>
      <c r="R82" s="3342">
        <f t="shared" ref="R82:S82" si="222">M82+H82+C82</f>
        <v>0</v>
      </c>
      <c r="S82" s="3342">
        <f t="shared" si="222"/>
        <v>0</v>
      </c>
      <c r="T82" s="2012">
        <f t="shared" ref="T82" si="223">R82+S82</f>
        <v>0</v>
      </c>
      <c r="U82" s="3455"/>
      <c r="V82" s="3455"/>
      <c r="W82" s="3342">
        <f t="shared" ref="W82:X82" si="224">AB82+AG82+AL82+AV82+BA82+BF82+BK82+BP82+BU82+BZ82+CE82+AQ82</f>
        <v>0</v>
      </c>
      <c r="X82" s="3342">
        <f t="shared" si="224"/>
        <v>0</v>
      </c>
      <c r="Y82" s="2012">
        <f t="shared" ref="Y82" si="225">W82+X82</f>
        <v>0</v>
      </c>
      <c r="Z82" s="3455"/>
      <c r="AA82" s="3455"/>
      <c r="AB82" s="3349"/>
      <c r="AC82" s="3349"/>
      <c r="AD82" s="3390">
        <f>AB82+AC82</f>
        <v>0</v>
      </c>
      <c r="AE82" s="3381"/>
      <c r="AF82" s="3455"/>
      <c r="AG82" s="3341"/>
      <c r="AH82" s="3341"/>
      <c r="AI82" s="3390">
        <f>AG82+AH82</f>
        <v>0</v>
      </c>
      <c r="AJ82" s="3381"/>
      <c r="AK82" s="3455"/>
      <c r="AL82" s="3341"/>
      <c r="AM82" s="3341"/>
      <c r="AN82" s="3390">
        <f>AL82+AM82</f>
        <v>0</v>
      </c>
      <c r="AO82" s="3381"/>
      <c r="AP82" s="3727"/>
      <c r="AQ82" s="3341"/>
      <c r="AR82" s="3341"/>
      <c r="AS82" s="3390">
        <f>AQ82+AR82</f>
        <v>0</v>
      </c>
      <c r="AT82" s="3381"/>
      <c r="AU82" s="3455"/>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381"/>
      <c r="CP82" s="3415">
        <f>CN82+CO82</f>
        <v>0</v>
      </c>
      <c r="CQ82" s="3415">
        <f>CO82+CP82</f>
        <v>0</v>
      </c>
      <c r="CR82" s="3415"/>
      <c r="CT82" s="2624"/>
    </row>
    <row r="83" spans="1:101" s="1396" customFormat="1" ht="13.8" outlineLevel="1">
      <c r="A83" s="1405"/>
      <c r="B83" s="4290" t="s">
        <v>13</v>
      </c>
      <c r="C83" s="4291">
        <f>(C81+C7)-C36</f>
        <v>0</v>
      </c>
      <c r="D83" s="4291">
        <f>(D81+D7)-D36</f>
        <v>0</v>
      </c>
      <c r="E83" s="4292">
        <f>(E81+E7)-E36</f>
        <v>0</v>
      </c>
      <c r="F83" s="4293"/>
      <c r="G83" s="4294"/>
      <c r="H83" s="4291">
        <f>(H81+H7)-H36</f>
        <v>-1561.9399964730787</v>
      </c>
      <c r="I83" s="4291">
        <f>(I81+I7)-I36</f>
        <v>-9680</v>
      </c>
      <c r="J83" s="4292">
        <f>(J81+J7)-J36</f>
        <v>-11241.939996473078</v>
      </c>
      <c r="K83" s="4293"/>
      <c r="L83" s="4294"/>
      <c r="M83" s="4291">
        <f>(M81+M7)-M36</f>
        <v>-8000</v>
      </c>
      <c r="N83" s="4291">
        <f>(N81+N7)-N36</f>
        <v>0</v>
      </c>
      <c r="O83" s="4292">
        <f>(O81+O7)-O36</f>
        <v>-8000</v>
      </c>
      <c r="P83" s="4293"/>
      <c r="Q83" s="4294"/>
      <c r="R83" s="4291">
        <f>(R81+R7)-R36</f>
        <v>-9561.9399964730783</v>
      </c>
      <c r="S83" s="4291">
        <f>(S81+S7)-S36</f>
        <v>-9680</v>
      </c>
      <c r="T83" s="4292">
        <f>(T81+T7)-T36</f>
        <v>-19241.93999647308</v>
      </c>
      <c r="U83" s="4295"/>
      <c r="V83" s="4295"/>
      <c r="W83" s="4291">
        <f>(W81+W7)-W36</f>
        <v>82428.60946518257</v>
      </c>
      <c r="X83" s="4291">
        <f>(X81+X7)-X36</f>
        <v>-9313</v>
      </c>
      <c r="Y83" s="4292">
        <f>(Y81+Y7)-Y36</f>
        <v>73115.60946518257</v>
      </c>
      <c r="Z83" s="4295"/>
      <c r="AA83" s="4295"/>
      <c r="AB83" s="4291">
        <f>(AB81+AB7)-AB36</f>
        <v>9283.9294651825694</v>
      </c>
      <c r="AC83" s="4291">
        <f>(AC81+AC7)-AC36</f>
        <v>-9313</v>
      </c>
      <c r="AD83" s="4292">
        <f>(AD81+AD7)-AD36</f>
        <v>-29.070534817431508</v>
      </c>
      <c r="AE83" s="4293"/>
      <c r="AF83" s="4294"/>
      <c r="AG83" s="4291">
        <f>(AG81+AG7)-AG36</f>
        <v>0</v>
      </c>
      <c r="AH83" s="4291">
        <f>(AH81+AH7)-AH36</f>
        <v>0</v>
      </c>
      <c r="AI83" s="4292">
        <f>(AI81+AI7)-AI36</f>
        <v>0</v>
      </c>
      <c r="AJ83" s="4293"/>
      <c r="AK83" s="4294"/>
      <c r="AL83" s="4291">
        <f>(AL81+AL7)-AL36</f>
        <v>62989.680000000008</v>
      </c>
      <c r="AM83" s="4291">
        <f>(AM81+AM7)-AM36</f>
        <v>0</v>
      </c>
      <c r="AN83" s="4292">
        <f>(AN81+AN7)-AN36</f>
        <v>62989.680000000008</v>
      </c>
      <c r="AO83" s="4293"/>
      <c r="AP83" s="4296"/>
      <c r="AQ83" s="4291">
        <f>(AQ81+AQ7)-AQ36</f>
        <v>10155</v>
      </c>
      <c r="AR83" s="4291">
        <f>(AR81+AR7)-AR36</f>
        <v>0</v>
      </c>
      <c r="AS83" s="4292">
        <f>(AS81+AS7)-AS36</f>
        <v>10155</v>
      </c>
      <c r="AT83" s="4293"/>
      <c r="AU83" s="4294"/>
      <c r="AV83" s="4291">
        <f>(AV81+AV7)-AV36</f>
        <v>0</v>
      </c>
      <c r="AW83" s="4291">
        <f>(AW81+AW7)-AW36</f>
        <v>0</v>
      </c>
      <c r="AX83" s="4292">
        <f>(AX81+AX7)-AX36</f>
        <v>0</v>
      </c>
      <c r="AY83" s="4293"/>
      <c r="AZ83" s="4294"/>
      <c r="BA83" s="4291">
        <f>(BA81+BA7)-BA36</f>
        <v>0</v>
      </c>
      <c r="BB83" s="4291">
        <f>(BB81+BB7)-BB36</f>
        <v>0</v>
      </c>
      <c r="BC83" s="4292">
        <f>(BC81+BC7)-BC36</f>
        <v>0</v>
      </c>
      <c r="BD83" s="4293"/>
      <c r="BE83" s="4294"/>
      <c r="BF83" s="4291">
        <f>(BF81+BF7)-BF36</f>
        <v>0</v>
      </c>
      <c r="BG83" s="4291">
        <f>(BG81+BG7)-BG36</f>
        <v>0</v>
      </c>
      <c r="BH83" s="4292">
        <f>(BH81+BH7)-BH36</f>
        <v>0</v>
      </c>
      <c r="BI83" s="4293"/>
      <c r="BJ83" s="4294"/>
      <c r="BK83" s="4291">
        <f>(BK81+BK7)-BK36</f>
        <v>0</v>
      </c>
      <c r="BL83" s="4291">
        <f>(BL81+BL7)-BL36</f>
        <v>0</v>
      </c>
      <c r="BM83" s="4292">
        <f>(BM81+BM7)-BM36</f>
        <v>0</v>
      </c>
      <c r="BN83" s="4293"/>
      <c r="BO83" s="4294"/>
      <c r="BP83" s="4291">
        <f>(BP81+BP7)-BP36</f>
        <v>0</v>
      </c>
      <c r="BQ83" s="4291">
        <f>(BQ81+BQ7)-BQ36</f>
        <v>0</v>
      </c>
      <c r="BR83" s="4292">
        <f>(BR81+BR7)-BR36</f>
        <v>0</v>
      </c>
      <c r="BS83" s="4293"/>
      <c r="BT83" s="4294"/>
      <c r="BU83" s="4291">
        <f>(BU81+BU7)-BU36</f>
        <v>0</v>
      </c>
      <c r="BV83" s="4291">
        <f>(BV81+BV7)-BV36</f>
        <v>0</v>
      </c>
      <c r="BW83" s="4292">
        <f>(BW81+BW7)-BW36</f>
        <v>0</v>
      </c>
      <c r="BX83" s="4293"/>
      <c r="BY83" s="4294"/>
      <c r="BZ83" s="4291">
        <f>(BZ81+BZ7)-BZ36</f>
        <v>0</v>
      </c>
      <c r="CA83" s="4291">
        <f>(CA81+CA7)-CA36</f>
        <v>0</v>
      </c>
      <c r="CB83" s="4292">
        <f>(CB81+CB7)-CB36</f>
        <v>0</v>
      </c>
      <c r="CC83" s="4293"/>
      <c r="CD83" s="4294"/>
      <c r="CE83" s="4291">
        <f>(CE81+CE7)-CE36</f>
        <v>0</v>
      </c>
      <c r="CF83" s="4291">
        <f>(CF81+CF7)-CF36</f>
        <v>0</v>
      </c>
      <c r="CG83" s="4292">
        <f>(CG81+CG7)-CG36</f>
        <v>0</v>
      </c>
      <c r="CH83" s="4293"/>
      <c r="CI83" s="4294"/>
      <c r="CJ83" s="4291">
        <f>(CJ81+CJ7)-CJ36</f>
        <v>72866.669468709501</v>
      </c>
      <c r="CK83" s="4291">
        <f>(CK81+CK7)-CK36</f>
        <v>-18993</v>
      </c>
      <c r="CL83" s="4292">
        <f>(CL81+CL7)-CL36</f>
        <v>53873.669468709501</v>
      </c>
      <c r="CM83" s="4293"/>
      <c r="CN83" s="4293"/>
      <c r="CP83" s="3481">
        <f>(CP81+CP7)-CP36</f>
        <v>43931.98</v>
      </c>
      <c r="CQ83" s="3481">
        <f>(CQ81+CQ7)-CQ36</f>
        <v>53873.669468709501</v>
      </c>
      <c r="CR83" s="3481">
        <f>(CR81+CR7)-CR36</f>
        <v>-9941.68946870949</v>
      </c>
      <c r="CT83" s="2624"/>
    </row>
    <row r="84" spans="1:101" s="1396" customFormat="1" ht="14.4" outlineLevel="1" thickBot="1">
      <c r="A84" s="1405"/>
      <c r="B84" s="4297" t="s">
        <v>14</v>
      </c>
      <c r="C84" s="4298">
        <f>C83-C73-C82</f>
        <v>0</v>
      </c>
      <c r="D84" s="4298">
        <f>D83-D73-D82</f>
        <v>0</v>
      </c>
      <c r="E84" s="4298">
        <f>E83-E73-E82</f>
        <v>0</v>
      </c>
      <c r="F84" s="4299"/>
      <c r="G84" s="4300"/>
      <c r="H84" s="4298">
        <f>H83-H73-H82</f>
        <v>-1561.9399964730787</v>
      </c>
      <c r="I84" s="4298">
        <f>I83-I73-I82</f>
        <v>-9680</v>
      </c>
      <c r="J84" s="4298">
        <f>J83-J73-J82</f>
        <v>-11241.939996473078</v>
      </c>
      <c r="K84" s="4299"/>
      <c r="L84" s="4300"/>
      <c r="M84" s="4298">
        <f>M83-M73-M82</f>
        <v>-8000</v>
      </c>
      <c r="N84" s="4298">
        <f>N83-N73-N82</f>
        <v>0</v>
      </c>
      <c r="O84" s="4298">
        <f>O83-O73-O82</f>
        <v>-8000</v>
      </c>
      <c r="P84" s="4299"/>
      <c r="Q84" s="4300"/>
      <c r="R84" s="4298">
        <f>R83-R73-R82</f>
        <v>-9561.9399964730783</v>
      </c>
      <c r="S84" s="4298">
        <f>S83-S73-S82</f>
        <v>-9680</v>
      </c>
      <c r="T84" s="4298">
        <f>T83-T73-T82</f>
        <v>-19241.93999647308</v>
      </c>
      <c r="U84" s="4300"/>
      <c r="V84" s="4300"/>
      <c r="W84" s="4224">
        <f t="shared" ref="W84:X84" si="226">AB84+AG84+AL84+AV84+BA84+BF84+BK84+BP84+BU84+BZ84+CE84</f>
        <v>72273.609465182584</v>
      </c>
      <c r="X84" s="4225">
        <f t="shared" si="226"/>
        <v>-9313</v>
      </c>
      <c r="Y84" s="4298">
        <f>Y83-Y73-Y82</f>
        <v>73115.60946518257</v>
      </c>
      <c r="Z84" s="4300"/>
      <c r="AA84" s="4300"/>
      <c r="AB84" s="4298">
        <f>AB83-AB73-AB82</f>
        <v>9283.9294651825694</v>
      </c>
      <c r="AC84" s="4298">
        <f>AC83-AC73-AC82</f>
        <v>-9313</v>
      </c>
      <c r="AD84" s="4298">
        <f>AD83-AD73-AD82</f>
        <v>-29.070534817431508</v>
      </c>
      <c r="AE84" s="4299"/>
      <c r="AF84" s="4300"/>
      <c r="AG84" s="4298">
        <f>AG83-AG73-AG82</f>
        <v>0</v>
      </c>
      <c r="AH84" s="4298">
        <f>AH83-AH73-AH82</f>
        <v>0</v>
      </c>
      <c r="AI84" s="4298">
        <f>AI83-AI73-AI82</f>
        <v>0</v>
      </c>
      <c r="AJ84" s="4299"/>
      <c r="AK84" s="4300"/>
      <c r="AL84" s="4298">
        <f>AL83-AL73-AL82</f>
        <v>62989.680000000008</v>
      </c>
      <c r="AM84" s="4298">
        <f>AM83-AM73-AM82</f>
        <v>0</v>
      </c>
      <c r="AN84" s="4298">
        <f>AN83-AN73-AN82</f>
        <v>62989.680000000008</v>
      </c>
      <c r="AO84" s="4299"/>
      <c r="AP84" s="4301"/>
      <c r="AQ84" s="4298">
        <f>AQ83-AQ73-AQ82</f>
        <v>10155</v>
      </c>
      <c r="AR84" s="4298">
        <f>AR83-AR73-AR82</f>
        <v>0</v>
      </c>
      <c r="AS84" s="4298">
        <f>AS83-AS73-AS82</f>
        <v>10155</v>
      </c>
      <c r="AT84" s="4299"/>
      <c r="AU84" s="4300"/>
      <c r="AV84" s="4298">
        <f>AV83-AV73-AV82</f>
        <v>0</v>
      </c>
      <c r="AW84" s="4298">
        <f>AW83-AW73-AW82</f>
        <v>0</v>
      </c>
      <c r="AX84" s="4298">
        <f>AX83-AX73-AX82</f>
        <v>0</v>
      </c>
      <c r="AY84" s="4299"/>
      <c r="AZ84" s="4300"/>
      <c r="BA84" s="4298">
        <f>BA83-BA73-BA82</f>
        <v>0</v>
      </c>
      <c r="BB84" s="4298">
        <f>BB83-BB73-BB82</f>
        <v>0</v>
      </c>
      <c r="BC84" s="4298">
        <f>BC83-BC73-BC82</f>
        <v>0</v>
      </c>
      <c r="BD84" s="4299"/>
      <c r="BE84" s="4300"/>
      <c r="BF84" s="4298">
        <f>BF83-BF73-BF82</f>
        <v>0</v>
      </c>
      <c r="BG84" s="4298">
        <f>BG83-BG73-BG82</f>
        <v>0</v>
      </c>
      <c r="BH84" s="4298">
        <f>BH83-BH73-BH82</f>
        <v>0</v>
      </c>
      <c r="BI84" s="4299"/>
      <c r="BJ84" s="4300"/>
      <c r="BK84" s="4298">
        <f>BK83-BK73-BK82</f>
        <v>0</v>
      </c>
      <c r="BL84" s="4298">
        <f>BL83-BL73-BL82</f>
        <v>0</v>
      </c>
      <c r="BM84" s="4298">
        <f>BM83-BM73-BM82</f>
        <v>0</v>
      </c>
      <c r="BN84" s="4299"/>
      <c r="BO84" s="4300"/>
      <c r="BP84" s="4298">
        <f>BP83-BP73-BP82</f>
        <v>0</v>
      </c>
      <c r="BQ84" s="4298">
        <f>BQ83-BQ73-BQ82</f>
        <v>0</v>
      </c>
      <c r="BR84" s="4298">
        <f>BR83-BR73-BR82</f>
        <v>0</v>
      </c>
      <c r="BS84" s="4299"/>
      <c r="BT84" s="4300"/>
      <c r="BU84" s="4298">
        <f>BU83-BU73-BU82</f>
        <v>0</v>
      </c>
      <c r="BV84" s="4298">
        <f>BV83-BV73-BV82</f>
        <v>0</v>
      </c>
      <c r="BW84" s="4298">
        <f>BW83-BW73-BW82</f>
        <v>0</v>
      </c>
      <c r="BX84" s="4299"/>
      <c r="BY84" s="4300"/>
      <c r="BZ84" s="4298">
        <f>BZ83-BZ73-BZ82</f>
        <v>0</v>
      </c>
      <c r="CA84" s="4298">
        <f>CA83-CA73-CA82</f>
        <v>0</v>
      </c>
      <c r="CB84" s="4298">
        <f>CB83-CB73-CB82</f>
        <v>0</v>
      </c>
      <c r="CC84" s="4299"/>
      <c r="CD84" s="4300"/>
      <c r="CE84" s="4298">
        <f>CE83-CE73-CE82</f>
        <v>0</v>
      </c>
      <c r="CF84" s="4298">
        <f>CF83-CF73-CF82</f>
        <v>0</v>
      </c>
      <c r="CG84" s="4298">
        <f>CG83-CG73-CG82</f>
        <v>0</v>
      </c>
      <c r="CH84" s="4299"/>
      <c r="CI84" s="4300"/>
      <c r="CJ84" s="4220">
        <f t="shared" ref="CJ84:CK84" si="227">C84+H84+M84+W84</f>
        <v>62711.669468709508</v>
      </c>
      <c r="CK84" s="4220">
        <f t="shared" si="227"/>
        <v>-18993</v>
      </c>
      <c r="CL84" s="4298">
        <f>CL83-CL73-CL82</f>
        <v>53873.669468709501</v>
      </c>
      <c r="CM84" s="4299"/>
      <c r="CN84" s="4299"/>
      <c r="CP84" s="3309">
        <f>CP83-CP73-CP82</f>
        <v>43931.98</v>
      </c>
      <c r="CQ84" s="3484">
        <f>CQ83-CQ73-CQ82</f>
        <v>53873.669468709501</v>
      </c>
      <c r="CR84" s="3309">
        <f>CR83-CR73-CR82</f>
        <v>-9941.68946870949</v>
      </c>
      <c r="CT84" s="2624"/>
    </row>
    <row r="85" spans="1:101" s="1396" customFormat="1" ht="13.8" outlineLevel="3">
      <c r="A85" s="1565"/>
      <c r="B85" s="1403" t="s">
        <v>44</v>
      </c>
      <c r="C85" s="3341"/>
      <c r="D85" s="3341"/>
      <c r="E85" s="2012">
        <f>C85+D85*1.15</f>
        <v>0</v>
      </c>
      <c r="F85" s="3381"/>
      <c r="G85" s="3455"/>
      <c r="H85" s="3341"/>
      <c r="I85" s="3341"/>
      <c r="J85" s="2012">
        <f>H85+I85*1.15</f>
        <v>0</v>
      </c>
      <c r="K85" s="4211">
        <f t="shared" ref="K85" si="228">J85/J$89</f>
        <v>0</v>
      </c>
      <c r="L85" s="3455"/>
      <c r="M85" s="3341"/>
      <c r="N85" s="3341"/>
      <c r="O85" s="2012">
        <f>M85+N85*1.15</f>
        <v>0</v>
      </c>
      <c r="P85" s="4211">
        <f t="shared" ref="P85" si="229">O85/O$89</f>
        <v>0</v>
      </c>
      <c r="Q85" s="3455"/>
      <c r="R85" s="3342">
        <f t="shared" ref="R85:S85" si="230">M85+H85+C85</f>
        <v>0</v>
      </c>
      <c r="S85" s="3342">
        <f t="shared" si="230"/>
        <v>0</v>
      </c>
      <c r="T85" s="2012">
        <f t="shared" ref="T85" si="231">R85+S85</f>
        <v>0</v>
      </c>
      <c r="U85" s="3455"/>
      <c r="V85" s="3455"/>
      <c r="W85" s="3342">
        <f t="shared" ref="W85:X85" si="232">AB85+AG85+AL85+AV85+BA85+BF85+BK85+BP85+BU85+BZ85+CE85+AQ85</f>
        <v>0</v>
      </c>
      <c r="X85" s="3342">
        <f t="shared" si="232"/>
        <v>0</v>
      </c>
      <c r="Y85" s="2012">
        <f t="shared" ref="Y85" si="233">W85+X85</f>
        <v>0</v>
      </c>
      <c r="Z85" s="3455"/>
      <c r="AA85" s="3455"/>
      <c r="AB85" s="3349"/>
      <c r="AC85" s="3349"/>
      <c r="AD85" s="2012">
        <f>AB85+AC85*1.15</f>
        <v>0</v>
      </c>
      <c r="AE85" s="3381"/>
      <c r="AF85" s="3455"/>
      <c r="AG85" s="3341"/>
      <c r="AH85" s="3341"/>
      <c r="AI85" s="2012">
        <f>AG85+AH85*1.15</f>
        <v>0</v>
      </c>
      <c r="AJ85" s="3381"/>
      <c r="AK85" s="3455"/>
      <c r="AL85" s="3341"/>
      <c r="AM85" s="3341"/>
      <c r="AN85" s="2012">
        <f>AL85+AM85*1.15</f>
        <v>0</v>
      </c>
      <c r="AO85" s="3381"/>
      <c r="AP85" s="3727"/>
      <c r="AQ85" s="3341"/>
      <c r="AR85" s="3341"/>
      <c r="AS85" s="2012">
        <f>AQ85+AR85*1.15</f>
        <v>0</v>
      </c>
      <c r="AT85" s="3381"/>
      <c r="AU85" s="3455"/>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2124">
        <f>CN85+CO85*1.15</f>
        <v>0</v>
      </c>
      <c r="CQ85" s="2124">
        <f>CO85+CP85*1.15</f>
        <v>0</v>
      </c>
      <c r="CR85" s="2124"/>
      <c r="CT85" s="2624" t="s">
        <v>1986</v>
      </c>
    </row>
    <row r="86" spans="1:101" s="1396" customFormat="1" ht="27.6">
      <c r="A86" s="1405"/>
      <c r="B86" s="4302" t="s">
        <v>50</v>
      </c>
      <c r="C86" s="4303">
        <f>C84-C85</f>
        <v>0</v>
      </c>
      <c r="D86" s="4303">
        <f>D84-D85</f>
        <v>0</v>
      </c>
      <c r="E86" s="4303">
        <f>E84-E85</f>
        <v>0</v>
      </c>
      <c r="F86" s="4304"/>
      <c r="G86" s="4305"/>
      <c r="H86" s="4303">
        <f>H84-H85</f>
        <v>-1561.9399964730787</v>
      </c>
      <c r="I86" s="4303">
        <f>I84-I85</f>
        <v>-9680</v>
      </c>
      <c r="J86" s="4303">
        <f>J84-J85</f>
        <v>-11241.939996473078</v>
      </c>
      <c r="K86" s="4304"/>
      <c r="L86" s="4305"/>
      <c r="M86" s="4303">
        <f>M84-M85</f>
        <v>-8000</v>
      </c>
      <c r="N86" s="4303">
        <f>N84-N85</f>
        <v>0</v>
      </c>
      <c r="O86" s="4303">
        <f>O84-O85</f>
        <v>-8000</v>
      </c>
      <c r="P86" s="4304"/>
      <c r="Q86" s="4305"/>
      <c r="R86" s="4303">
        <f>R84-R85</f>
        <v>-9561.9399964730783</v>
      </c>
      <c r="S86" s="4303">
        <f>S84-S85</f>
        <v>-9680</v>
      </c>
      <c r="T86" s="4303">
        <f>T84-T85</f>
        <v>-19241.93999647308</v>
      </c>
      <c r="U86" s="4305"/>
      <c r="V86" s="4305"/>
      <c r="W86" s="4303">
        <f>W84-W85</f>
        <v>72273.609465182584</v>
      </c>
      <c r="X86" s="4303">
        <f>X84-X85</f>
        <v>-9313</v>
      </c>
      <c r="Y86" s="4303">
        <f>Y84-Y85</f>
        <v>73115.60946518257</v>
      </c>
      <c r="Z86" s="4305"/>
      <c r="AA86" s="4305"/>
      <c r="AB86" s="4303">
        <f>AB84-AB85</f>
        <v>9283.9294651825694</v>
      </c>
      <c r="AC86" s="4303">
        <f>AC84-AC85</f>
        <v>-9313</v>
      </c>
      <c r="AD86" s="4303">
        <f>AD84-AD85</f>
        <v>-29.070534817431508</v>
      </c>
      <c r="AE86" s="4304"/>
      <c r="AF86" s="4305"/>
      <c r="AG86" s="4303">
        <f>AG84-AG85</f>
        <v>0</v>
      </c>
      <c r="AH86" s="4303">
        <f>AH84-AH85</f>
        <v>0</v>
      </c>
      <c r="AI86" s="4303">
        <f>AI84-AI85</f>
        <v>0</v>
      </c>
      <c r="AJ86" s="4304"/>
      <c r="AK86" s="4305"/>
      <c r="AL86" s="4303">
        <f>AL84-AL85</f>
        <v>62989.680000000008</v>
      </c>
      <c r="AM86" s="4303">
        <f>AM84-AM85</f>
        <v>0</v>
      </c>
      <c r="AN86" s="4303">
        <f>AN84-AN85</f>
        <v>62989.680000000008</v>
      </c>
      <c r="AO86" s="4304"/>
      <c r="AP86" s="4306"/>
      <c r="AQ86" s="4303">
        <f>AQ84-AQ85</f>
        <v>10155</v>
      </c>
      <c r="AR86" s="4303">
        <f>AR84-AR85</f>
        <v>0</v>
      </c>
      <c r="AS86" s="4303">
        <f>AS84-AS85</f>
        <v>10155</v>
      </c>
      <c r="AT86" s="4304"/>
      <c r="AU86" s="4305"/>
      <c r="AV86" s="4303">
        <f>AV84-AV85</f>
        <v>0</v>
      </c>
      <c r="AW86" s="4303">
        <f>AW84-AW85</f>
        <v>0</v>
      </c>
      <c r="AX86" s="4303">
        <f>AX84-AX85</f>
        <v>0</v>
      </c>
      <c r="AY86" s="4304"/>
      <c r="AZ86" s="4305"/>
      <c r="BA86" s="4303">
        <f>BA84-BA85</f>
        <v>0</v>
      </c>
      <c r="BB86" s="4303">
        <f>BB84-BB85</f>
        <v>0</v>
      </c>
      <c r="BC86" s="4303">
        <f>BC84-BC85</f>
        <v>0</v>
      </c>
      <c r="BD86" s="4304"/>
      <c r="BE86" s="4305"/>
      <c r="BF86" s="4303">
        <f>BF84-BF85</f>
        <v>0</v>
      </c>
      <c r="BG86" s="4303">
        <f>BG84-BG85</f>
        <v>0</v>
      </c>
      <c r="BH86" s="4303">
        <f>BH84-BH85</f>
        <v>0</v>
      </c>
      <c r="BI86" s="4304"/>
      <c r="BJ86" s="4305"/>
      <c r="BK86" s="4303">
        <f>BK84-BK85</f>
        <v>0</v>
      </c>
      <c r="BL86" s="4303">
        <f>BL84-BL85</f>
        <v>0</v>
      </c>
      <c r="BM86" s="4303">
        <f>BM84-BM85</f>
        <v>0</v>
      </c>
      <c r="BN86" s="4304"/>
      <c r="BO86" s="4305"/>
      <c r="BP86" s="4303">
        <f>BP84-BP85</f>
        <v>0</v>
      </c>
      <c r="BQ86" s="4303">
        <f>BQ84-BQ85</f>
        <v>0</v>
      </c>
      <c r="BR86" s="4303">
        <f>BR84-BR85</f>
        <v>0</v>
      </c>
      <c r="BS86" s="4304"/>
      <c r="BT86" s="4305"/>
      <c r="BU86" s="4303">
        <f>BU84-BU85</f>
        <v>0</v>
      </c>
      <c r="BV86" s="4303">
        <f>BV84-BV85</f>
        <v>0</v>
      </c>
      <c r="BW86" s="4303">
        <f>BW84-BW85</f>
        <v>0</v>
      </c>
      <c r="BX86" s="4304"/>
      <c r="BY86" s="4305"/>
      <c r="BZ86" s="4303">
        <f>BZ84-BZ85</f>
        <v>0</v>
      </c>
      <c r="CA86" s="4303">
        <f>CA84-CA85</f>
        <v>0</v>
      </c>
      <c r="CB86" s="4303">
        <f>CB84-CB85</f>
        <v>0</v>
      </c>
      <c r="CC86" s="4304"/>
      <c r="CD86" s="4305"/>
      <c r="CE86" s="4303">
        <f>CE84-CE85</f>
        <v>0</v>
      </c>
      <c r="CF86" s="4303">
        <f>CF84-CF85</f>
        <v>0</v>
      </c>
      <c r="CG86" s="4303">
        <f>CG84-CG85</f>
        <v>0</v>
      </c>
      <c r="CH86" s="4304"/>
      <c r="CI86" s="4305"/>
      <c r="CJ86" s="4303">
        <f>CJ84-CJ85</f>
        <v>62711.669468709508</v>
      </c>
      <c r="CK86" s="4303">
        <f>CK84-CK85</f>
        <v>-18993</v>
      </c>
      <c r="CL86" s="4303">
        <f>CL84-CL85</f>
        <v>53873.669468709501</v>
      </c>
      <c r="CM86" s="4304"/>
      <c r="CN86" s="4304"/>
      <c r="CP86" s="3481">
        <f>CP84-CP85</f>
        <v>43931.98</v>
      </c>
      <c r="CQ86" s="3481">
        <v>1</v>
      </c>
      <c r="CR86" s="3481">
        <f>CR84-CR85</f>
        <v>-9941.68946870949</v>
      </c>
      <c r="CT86" s="4058">
        <f>-CR86/CP86</f>
        <v>0.22629732301411157</v>
      </c>
      <c r="CW86" s="933"/>
    </row>
    <row r="87" spans="1:101" s="1396" customFormat="1" ht="14.4" thickBot="1">
      <c r="A87" s="1567"/>
      <c r="B87" s="4307" t="s">
        <v>51</v>
      </c>
      <c r="C87" s="4308">
        <f>IFERROR(C86/C5,0)</f>
        <v>0</v>
      </c>
      <c r="D87" s="4309">
        <f>IFERROR(D86/D5,0)</f>
        <v>0</v>
      </c>
      <c r="E87" s="4310">
        <f>IFERROR(E86/E5,0)</f>
        <v>0</v>
      </c>
      <c r="F87" s="4311"/>
      <c r="G87" s="4312"/>
      <c r="H87" s="4308">
        <f>IFERROR(H86/H5,0)</f>
        <v>0</v>
      </c>
      <c r="I87" s="4309">
        <f>IFERROR(I86/I5,0)</f>
        <v>0</v>
      </c>
      <c r="J87" s="4310">
        <f>IFERROR(J86/J5,0)</f>
        <v>0</v>
      </c>
      <c r="K87" s="4311"/>
      <c r="L87" s="4312"/>
      <c r="M87" s="4308">
        <f>IFERROR(M86/M5,0)</f>
        <v>0</v>
      </c>
      <c r="N87" s="4309">
        <f>IFERROR(N86/N5,0)</f>
        <v>0</v>
      </c>
      <c r="O87" s="4310">
        <f>IFERROR(O86/O5,0)</f>
        <v>0</v>
      </c>
      <c r="P87" s="4311"/>
      <c r="Q87" s="4312"/>
      <c r="R87" s="4313"/>
      <c r="S87" s="4313"/>
      <c r="T87" s="4313"/>
      <c r="U87" s="4313"/>
      <c r="V87" s="4313"/>
      <c r="W87" s="4313"/>
      <c r="X87" s="4313"/>
      <c r="Y87" s="4313"/>
      <c r="Z87" s="4313"/>
      <c r="AA87" s="4313"/>
      <c r="AB87" s="4314">
        <f>IFERROR(AB86/AB5,0)</f>
        <v>0.85962309862801567</v>
      </c>
      <c r="AC87" s="4315">
        <f>IFERROR(AC86/AC5,0)</f>
        <v>0</v>
      </c>
      <c r="AD87" s="4316">
        <f>IFERROR(AD86/AD5,0)</f>
        <v>-2.6917161867992135E-3</v>
      </c>
      <c r="AE87" s="4311"/>
      <c r="AF87" s="4312"/>
      <c r="AG87" s="4308">
        <f>IFERROR(AG86/AG5,0)</f>
        <v>0</v>
      </c>
      <c r="AH87" s="4309">
        <f>IFERROR(AH86/AH5,0)</f>
        <v>0</v>
      </c>
      <c r="AI87" s="4310">
        <f>IFERROR(AI86/AI5,0)</f>
        <v>0</v>
      </c>
      <c r="AJ87" s="4311"/>
      <c r="AK87" s="4312"/>
      <c r="AL87" s="4308">
        <f>IFERROR(AL86/AL5,0)</f>
        <v>0.67225089183888187</v>
      </c>
      <c r="AM87" s="4309">
        <f>IFERROR(AM86/AM5,0)</f>
        <v>0</v>
      </c>
      <c r="AN87" s="4310">
        <f>IFERROR(AN86/AN5,0)</f>
        <v>0.67225089183888187</v>
      </c>
      <c r="AO87" s="4311"/>
      <c r="AP87" s="4317"/>
      <c r="AQ87" s="4308">
        <f>IFERROR(AQ86/AQ5,0)</f>
        <v>0.92318181818181821</v>
      </c>
      <c r="AR87" s="4309">
        <f>IFERROR(AR86/AR5,0)</f>
        <v>0</v>
      </c>
      <c r="AS87" s="4310">
        <f>IFERROR(AS86/AS5,0)</f>
        <v>0.92318181818181821</v>
      </c>
      <c r="AT87" s="4311"/>
      <c r="AU87" s="4312"/>
      <c r="AV87" s="4308">
        <f>IFERROR(AV86/AV5,0)</f>
        <v>0</v>
      </c>
      <c r="AW87" s="4309">
        <f>IFERROR(AW86/AW5,0)</f>
        <v>0</v>
      </c>
      <c r="AX87" s="4310">
        <f>IFERROR(AX86/AX5,0)</f>
        <v>0</v>
      </c>
      <c r="AY87" s="4311"/>
      <c r="AZ87" s="4312"/>
      <c r="BA87" s="4308">
        <f>IFERROR(BA86/BA5,0)</f>
        <v>0</v>
      </c>
      <c r="BB87" s="4309">
        <f>IFERROR(BB86/BB5,0)</f>
        <v>0</v>
      </c>
      <c r="BC87" s="4310">
        <f>IFERROR(BC86/BC5,0)</f>
        <v>0</v>
      </c>
      <c r="BD87" s="4311"/>
      <c r="BE87" s="4312"/>
      <c r="BF87" s="4308">
        <f>IFERROR(BF86/BF5,0)</f>
        <v>0</v>
      </c>
      <c r="BG87" s="4309">
        <f>IFERROR(BG86/BG5,0)</f>
        <v>0</v>
      </c>
      <c r="BH87" s="4310">
        <f>IFERROR(BH86/BH5,0)</f>
        <v>0</v>
      </c>
      <c r="BI87" s="4311"/>
      <c r="BJ87" s="4312"/>
      <c r="BK87" s="4308">
        <f>IFERROR(BK86/BK5,0)</f>
        <v>0</v>
      </c>
      <c r="BL87" s="4309">
        <f>IFERROR(BL86/BL5,0)</f>
        <v>0</v>
      </c>
      <c r="BM87" s="4310">
        <f>IFERROR(BM86/BM5,0)</f>
        <v>0</v>
      </c>
      <c r="BN87" s="4311"/>
      <c r="BO87" s="4312"/>
      <c r="BP87" s="4308">
        <f>IFERROR(BP86/BP5,0)</f>
        <v>0</v>
      </c>
      <c r="BQ87" s="4309">
        <f>IFERROR(BQ86/BQ5,0)</f>
        <v>0</v>
      </c>
      <c r="BR87" s="4310">
        <f>IFERROR(BR86/BR5,0)</f>
        <v>0</v>
      </c>
      <c r="BS87" s="4311"/>
      <c r="BT87" s="4312"/>
      <c r="BU87" s="4308">
        <f>IFERROR(BU86/BU5,0)</f>
        <v>0</v>
      </c>
      <c r="BV87" s="4309">
        <f>IFERROR(BV86/BV5,0)</f>
        <v>0</v>
      </c>
      <c r="BW87" s="4310">
        <f>IFERROR(BW86/BW5,0)</f>
        <v>0</v>
      </c>
      <c r="BX87" s="4311"/>
      <c r="BY87" s="4312"/>
      <c r="BZ87" s="4308">
        <f>IFERROR(BZ86/BZ5,0)</f>
        <v>0</v>
      </c>
      <c r="CA87" s="4309">
        <f>IFERROR(CA86/CA5,0)</f>
        <v>0</v>
      </c>
      <c r="CB87" s="4310">
        <f>IFERROR(CB86/CB5,0)</f>
        <v>0</v>
      </c>
      <c r="CC87" s="4311"/>
      <c r="CD87" s="4312"/>
      <c r="CE87" s="4308">
        <f>IFERROR(CE86/CE5,0)</f>
        <v>0</v>
      </c>
      <c r="CF87" s="4309">
        <f>IFERROR(CF86/CF5,0)</f>
        <v>0</v>
      </c>
      <c r="CG87" s="4310">
        <f>IFERROR(CG86/CG5,0)</f>
        <v>0</v>
      </c>
      <c r="CH87" s="4311"/>
      <c r="CI87" s="4312"/>
      <c r="CJ87" s="4308">
        <f>IFERROR(CJ86/CJ5,0)</f>
        <v>0.54295977554141295</v>
      </c>
      <c r="CK87" s="4309">
        <f>IFERROR(CK86/CK5,0)</f>
        <v>0</v>
      </c>
      <c r="CL87" s="4310">
        <f>IFERROR(CL86/CL5,0)</f>
        <v>0.46644006976911878</v>
      </c>
      <c r="CM87" s="4311"/>
      <c r="CN87" s="4311"/>
      <c r="CP87" s="4310">
        <f>CP86/CP5</f>
        <v>0.42040309030670531</v>
      </c>
      <c r="CQ87" s="4310">
        <f>IFERROR(CQ86/CQ5,0)</f>
        <v>8.6580341448624177E-6</v>
      </c>
      <c r="CR87" s="4310">
        <f>CR86/CR5</f>
        <v>0.90378995170086274</v>
      </c>
      <c r="CT87" s="2624"/>
    </row>
    <row r="88" spans="1:101"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1611"/>
      <c r="AG88" s="1954"/>
      <c r="AH88" s="1954"/>
      <c r="AI88" s="1954"/>
      <c r="AJ88" s="1954"/>
      <c r="AK88" s="1611"/>
      <c r="AL88" s="1954"/>
      <c r="AM88" s="1954"/>
      <c r="AN88" s="1954"/>
      <c r="AO88" s="1954"/>
      <c r="AP88" s="3729"/>
      <c r="AQ88" s="1954"/>
      <c r="AR88" s="1954"/>
      <c r="AS88" s="1954"/>
      <c r="AT88" s="1954"/>
      <c r="AU88" s="1611"/>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1954"/>
      <c r="CQ88" s="1954"/>
      <c r="CR88" s="1954"/>
    </row>
    <row r="89" spans="1:101">
      <c r="B89" s="1562" t="s">
        <v>56</v>
      </c>
      <c r="E89" s="1960">
        <f>E8+E36+E41+E50+E54+E73+E79+E82+E85</f>
        <v>0</v>
      </c>
      <c r="G89" s="1963"/>
      <c r="J89" s="1960">
        <f>J8+J36+J41+J50+J54+J73+J79+J82+J85</f>
        <v>11241.939996473078</v>
      </c>
      <c r="L89" s="1963"/>
      <c r="O89" s="1960">
        <f>O8+O36+O41+O50+O54+O73+O79+O82+O85</f>
        <v>8000</v>
      </c>
      <c r="Q89" s="1963"/>
      <c r="R89" s="1963"/>
      <c r="S89" s="1963"/>
      <c r="T89" s="1960">
        <f>T8+T36+T41+T50+T54+T73+T79+T82+T85</f>
        <v>19241.93999647308</v>
      </c>
      <c r="U89" s="1963"/>
      <c r="V89" s="1963"/>
      <c r="W89" s="1963"/>
      <c r="X89" s="1963"/>
      <c r="Y89" s="1960">
        <f>Y8+Y36+Y41+Y50+Y54+Y73+Y79+Y82+Y85</f>
        <v>42384.050534817427</v>
      </c>
      <c r="Z89" s="1963"/>
      <c r="AA89" s="1963"/>
      <c r="AD89" s="1960">
        <f>AD8+AD36+AD41+AD50+AD54+AD73+AD79+AD82+AD85</f>
        <v>10829.070534817431</v>
      </c>
      <c r="AF89" s="1963"/>
      <c r="AI89" s="1960">
        <f>AI8+AI36+AI41+AI50+AI54+AI73+AI79+AI82+AI85</f>
        <v>0</v>
      </c>
      <c r="AK89" s="1963"/>
      <c r="AN89" s="1960">
        <f>AN8+AN36+AN41+AN50+AN54+AN73+AN79+AN82+AN85</f>
        <v>30709.98</v>
      </c>
      <c r="AS89" s="1960">
        <f>AS8+AS36+AS41+AS50+AS54+AS73+AS79+AS82+AS85</f>
        <v>845</v>
      </c>
      <c r="AU89" s="1963"/>
      <c r="AX89" s="1960">
        <f>AX8+AX36+AX41+AX50+AX54+AX73+AX79+AX82+AX85</f>
        <v>0</v>
      </c>
      <c r="AZ89" s="1963"/>
      <c r="BC89" s="1960">
        <f>BC8+BC36+BC41+BC50+BC54+BC73+BC79+BC82+BC85</f>
        <v>0</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61625.990531290503</v>
      </c>
    </row>
    <row r="90" spans="1:101">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1963"/>
      <c r="AC90" s="1963"/>
      <c r="AD90" s="1963"/>
      <c r="AE90" s="1963"/>
      <c r="AF90" s="1963"/>
      <c r="AG90" s="1963"/>
      <c r="AH90" s="1963"/>
      <c r="AI90" s="1963"/>
      <c r="AJ90" s="1963"/>
      <c r="AK90" s="1963"/>
      <c r="AL90" s="1963"/>
      <c r="AM90" s="1963"/>
      <c r="AN90" s="1963"/>
      <c r="AO90" s="1963"/>
      <c r="AQ90" s="1963"/>
      <c r="AR90" s="1963"/>
      <c r="AS90" s="1963"/>
      <c r="AT90" s="1963"/>
      <c r="AU90" s="1963"/>
      <c r="AV90" s="1963"/>
      <c r="AW90" s="1963"/>
      <c r="AX90" s="1963"/>
      <c r="AY90" s="1963"/>
      <c r="AZ90" s="1963"/>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row>
    <row r="91" spans="1:101"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963"/>
      <c r="AG91" s="1963"/>
      <c r="AH91" s="1963"/>
      <c r="AI91" s="1963"/>
      <c r="AJ91" s="1963"/>
      <c r="AK91" s="1963"/>
      <c r="AL91" s="1963"/>
      <c r="AM91" s="1963"/>
      <c r="AN91" s="1963"/>
      <c r="AO91" s="1963"/>
      <c r="AP91" s="1586"/>
      <c r="AQ91" s="1963"/>
      <c r="AR91" s="1963"/>
      <c r="AS91" s="1963"/>
      <c r="AT91" s="1963"/>
      <c r="AU91" s="1963"/>
      <c r="AV91" s="1963"/>
      <c r="AW91" s="1963"/>
      <c r="AX91" s="1963"/>
      <c r="AY91" s="1963"/>
      <c r="AZ91" s="196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c r="CP91" s="1952"/>
      <c r="CQ91" s="1952"/>
      <c r="CR91" s="1952"/>
      <c r="CT91" s="2624"/>
    </row>
    <row r="92" spans="1:101">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Q92" s="1963"/>
      <c r="AR92" s="1963"/>
      <c r="AS92" s="1963"/>
      <c r="AT92" s="1963"/>
      <c r="AU92" s="1963"/>
      <c r="AV92" s="1963"/>
      <c r="AW92" s="1963"/>
      <c r="AX92" s="1963"/>
      <c r="AY92" s="1963"/>
      <c r="AZ92" s="196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1" s="1396" customFormat="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963"/>
      <c r="AG93" s="1963"/>
      <c r="AH93" s="1963"/>
      <c r="AI93" s="1963"/>
      <c r="AJ93" s="1963"/>
      <c r="AK93" s="1963"/>
      <c r="AL93" s="1963"/>
      <c r="AM93" s="1963"/>
      <c r="AN93" s="1963"/>
      <c r="AO93" s="1963"/>
      <c r="AP93" s="1586"/>
      <c r="AQ93" s="1963"/>
      <c r="AR93" s="1963"/>
      <c r="AS93" s="1963"/>
      <c r="AT93" s="1963"/>
      <c r="AU93" s="1963"/>
      <c r="AV93" s="1963"/>
      <c r="AW93" s="1963"/>
      <c r="AX93" s="1963"/>
      <c r="AY93" s="1963"/>
      <c r="AZ93" s="1963"/>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52"/>
      <c r="CK93" s="1952"/>
      <c r="CL93" s="687"/>
      <c r="CM93" s="1952"/>
      <c r="CN93" s="1952"/>
      <c r="CP93" s="1952"/>
      <c r="CQ93" s="1952"/>
      <c r="CR93" s="1952"/>
      <c r="CT93" s="2624"/>
    </row>
    <row r="94" spans="1:101" s="1396" customForma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586"/>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52"/>
      <c r="CK94" s="1952"/>
      <c r="CL94" s="1952"/>
      <c r="CM94" s="1952"/>
      <c r="CN94" s="1952"/>
      <c r="CP94" s="1952"/>
      <c r="CQ94" s="1952"/>
      <c r="CR94" s="1952"/>
      <c r="CT94" s="2624"/>
    </row>
    <row r="95" spans="1:101" s="1396" customFormat="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586"/>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52"/>
      <c r="CK95" s="1952"/>
      <c r="CL95" s="1952"/>
      <c r="CM95" s="1952"/>
      <c r="CN95" s="1952"/>
      <c r="CP95" s="1952"/>
      <c r="CQ95" s="1952"/>
      <c r="CR95" s="1952"/>
      <c r="CT95" s="2624"/>
    </row>
    <row r="96" spans="1:101" s="1396" customFormat="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586"/>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52"/>
      <c r="CK96" s="1952"/>
      <c r="CL96" s="1952"/>
      <c r="CM96" s="1952"/>
      <c r="CN96" s="1952"/>
      <c r="CP96" s="1952"/>
      <c r="CQ96" s="1952"/>
      <c r="CR96" s="1952"/>
      <c r="CT96" s="2624"/>
    </row>
    <row r="97" spans="1:98">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1963"/>
      <c r="AH97" s="1963"/>
      <c r="AI97" s="1963"/>
      <c r="AJ97" s="1963"/>
      <c r="AK97" s="1963"/>
      <c r="AL97" s="1963"/>
      <c r="AM97" s="1963"/>
      <c r="AN97" s="1963"/>
      <c r="AO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98"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586"/>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1952"/>
      <c r="CQ98" s="1952"/>
      <c r="CR98" s="1952"/>
      <c r="CT98" s="2624"/>
    </row>
  </sheetData>
  <mergeCells count="22">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 ref="W2:AA3"/>
    <mergeCell ref="A2:B2"/>
    <mergeCell ref="C2:G3"/>
    <mergeCell ref="H2:L3"/>
    <mergeCell ref="M2:Q3"/>
    <mergeCell ref="R2:V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U60" activePane="bottomRight" state="frozen"/>
      <selection activeCell="Y90" sqref="Y90"/>
      <selection pane="topRight" activeCell="Y90" sqref="Y90"/>
      <selection pane="bottomLeft" activeCell="Y90" sqref="Y90"/>
      <selection pane="bottomRight" activeCell="AX86" sqref="AX86"/>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hidden="1" customWidth="1" outlineLevel="1" collapsed="1"/>
    <col min="19" max="22" width="13.44140625" style="1952" hidden="1" customWidth="1" outlineLevel="1"/>
    <col min="23" max="23" width="13.44140625" style="1952" customWidth="1" collapsed="1"/>
    <col min="24" max="27" width="13.44140625" style="1952" customWidth="1"/>
    <col min="28" max="31" width="12.88671875" style="1952" hidden="1" customWidth="1" outlineLevel="1"/>
    <col min="32" max="32" width="29.33203125" style="1586" hidden="1" customWidth="1" outlineLevel="1"/>
    <col min="33" max="33" width="12.88671875" style="1952" hidden="1" customWidth="1" outlineLevel="1" collapsed="1"/>
    <col min="34" max="36" width="12.88671875" style="1952" hidden="1" customWidth="1" outlineLevel="1"/>
    <col min="37" max="37" width="26.109375" style="1952" hidden="1" customWidth="1" outlineLevel="1"/>
    <col min="38" max="38" width="12.88671875" style="1952" hidden="1" customWidth="1" outlineLevel="1" collapsed="1"/>
    <col min="39" max="41" width="12.88671875" style="1952" hidden="1" customWidth="1" outlineLevel="1"/>
    <col min="42" max="42" width="38.77734375" style="1952" hidden="1" customWidth="1" outlineLevel="1"/>
    <col min="43" max="43" width="12.88671875" style="1952" customWidth="1" collapsed="1"/>
    <col min="44" max="46" width="12.88671875" style="1952" customWidth="1"/>
    <col min="47" max="47" width="38.88671875" style="1952" customWidth="1"/>
    <col min="48" max="51" width="12.88671875" style="1952" customWidth="1"/>
    <col min="52" max="52" width="33.44140625" style="1952" customWidth="1"/>
    <col min="53" max="56" width="12.88671875" style="1952" hidden="1" customWidth="1" outlineLevel="1"/>
    <col min="57" max="57" width="26.109375" style="1952" hidden="1" customWidth="1" outlineLevel="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14.33203125" style="1952" customWidth="1"/>
    <col min="93" max="93" width="2.88671875" style="1395"/>
    <col min="94" max="95" width="12.88671875" style="1952" customWidth="1"/>
    <col min="96" max="96" width="14.5546875" style="1952" customWidth="1"/>
    <col min="97" max="97" width="2.88671875" style="1395" hidden="1" customWidth="1" outlineLevel="1"/>
    <col min="98" max="98" width="11.6640625" style="1220" hidden="1" customWidth="1" outlineLevel="1"/>
    <col min="99" max="99" width="9.5546875" style="1395" hidden="1" customWidth="1" outlineLevel="1"/>
    <col min="100" max="100" width="8.44140625" style="1395" hidden="1" customWidth="1" outlineLevel="1"/>
    <col min="101" max="101" width="7.6640625" style="1395" bestFit="1" customWidth="1" collapsed="1"/>
    <col min="102" max="16384" width="2.88671875" style="1395"/>
  </cols>
  <sheetData>
    <row r="1" spans="1:101" ht="13.8" thickBot="1"/>
    <row r="2" spans="1:101" ht="13.8">
      <c r="A2" s="4834" t="s">
        <v>1870</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2081</v>
      </c>
      <c r="CK2" s="4875"/>
      <c r="CL2" s="4875"/>
      <c r="CM2" s="4875"/>
      <c r="CN2" s="4876"/>
      <c r="CP2" s="5168" t="s">
        <v>1871</v>
      </c>
      <c r="CQ2" s="5169"/>
      <c r="CR2" s="5170"/>
    </row>
    <row r="3" spans="1:101"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71"/>
      <c r="CQ3" s="5172"/>
      <c r="CR3" s="5173"/>
    </row>
    <row r="4" spans="1:101"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1474" t="s">
        <v>1850</v>
      </c>
      <c r="CQ4" s="1474" t="s">
        <v>2080</v>
      </c>
      <c r="CR4" s="1474" t="s">
        <v>1826</v>
      </c>
    </row>
    <row r="5" spans="1:101"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51415</v>
      </c>
      <c r="X5" s="1466">
        <f>X6</f>
        <v>738944.15</v>
      </c>
      <c r="Y5" s="1466">
        <f>Y6+Y7</f>
        <v>790359.15</v>
      </c>
      <c r="Z5" s="1466"/>
      <c r="AA5" s="1466"/>
      <c r="AB5" s="1466">
        <f>AB6</f>
        <v>0</v>
      </c>
      <c r="AC5" s="1466">
        <f>AC6</f>
        <v>0</v>
      </c>
      <c r="AD5" s="1466">
        <f>AD6+AD7</f>
        <v>0</v>
      </c>
      <c r="AE5" s="1466"/>
      <c r="AF5" s="3718"/>
      <c r="AG5" s="1466">
        <f>AG6</f>
        <v>0</v>
      </c>
      <c r="AH5" s="1466">
        <f>AH6</f>
        <v>0</v>
      </c>
      <c r="AI5" s="1466">
        <f>AI6+AI7</f>
        <v>0</v>
      </c>
      <c r="AJ5" s="1466"/>
      <c r="AK5" s="1466"/>
      <c r="AL5" s="1466">
        <f>AL6</f>
        <v>51415</v>
      </c>
      <c r="AM5" s="1466">
        <f>AM6</f>
        <v>738944.15</v>
      </c>
      <c r="AN5" s="1466">
        <f>AN6+AN7</f>
        <v>790359.15</v>
      </c>
      <c r="AO5" s="1466"/>
      <c r="AP5" s="1466"/>
      <c r="AQ5" s="1466">
        <f>AQ6</f>
        <v>0</v>
      </c>
      <c r="AR5" s="1466">
        <f>AR6</f>
        <v>0</v>
      </c>
      <c r="AS5" s="1466">
        <f>AS6+AS7</f>
        <v>0</v>
      </c>
      <c r="AT5" s="1466"/>
      <c r="AU5" s="1466"/>
      <c r="AV5" s="1466">
        <f>AV6</f>
        <v>0</v>
      </c>
      <c r="AW5" s="1466">
        <f>AW6</f>
        <v>0</v>
      </c>
      <c r="AX5" s="1466">
        <f>AX6+AX7</f>
        <v>0</v>
      </c>
      <c r="AY5" s="1466"/>
      <c r="AZ5" s="1466"/>
      <c r="BA5" s="1466">
        <f>BA6</f>
        <v>0</v>
      </c>
      <c r="BB5" s="1466">
        <f>BB6</f>
        <v>0</v>
      </c>
      <c r="BC5" s="1466">
        <f>BC6+BC7</f>
        <v>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1301419</v>
      </c>
      <c r="CK5" s="1466">
        <f>CK6</f>
        <v>738944.15</v>
      </c>
      <c r="CL5" s="1466">
        <f>CL6</f>
        <v>2040363.15</v>
      </c>
      <c r="CM5" s="1466"/>
      <c r="CN5" s="1466"/>
      <c r="CP5" s="1955">
        <f>CP6</f>
        <v>3172076.5980000002</v>
      </c>
      <c r="CQ5" s="1955">
        <f>CQ6</f>
        <v>2040363.15</v>
      </c>
      <c r="CR5" s="3440">
        <f>CR6</f>
        <v>1131713.4480000003</v>
      </c>
      <c r="CT5" s="3443"/>
    </row>
    <row r="6" spans="1:101" s="1396" customFormat="1" ht="66"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51415</v>
      </c>
      <c r="X6" s="3342">
        <f>AC6+AH6+AM6+AW6+BB6+BG6+BL6+BQ6+BV6+CA6+CF6+AR6</f>
        <v>738944.15</v>
      </c>
      <c r="Y6" s="2012">
        <f t="shared" ref="Y6:Y7" si="3">W6+X6</f>
        <v>790359.15</v>
      </c>
      <c r="Z6" s="3342"/>
      <c r="AA6" s="3342"/>
      <c r="AB6" s="3341"/>
      <c r="AC6" s="3341"/>
      <c r="AD6" s="2012">
        <f t="shared" ref="AD6:AD7" si="4">AB6+AC6</f>
        <v>0</v>
      </c>
      <c r="AE6" s="3341"/>
      <c r="AF6" s="3409"/>
      <c r="AG6" s="3341"/>
      <c r="AH6" s="3341"/>
      <c r="AI6" s="2012">
        <f t="shared" ref="AI6:AI7" si="5">AG6+AH6</f>
        <v>0</v>
      </c>
      <c r="AJ6" s="3341"/>
      <c r="AK6" s="3342"/>
      <c r="AL6" s="3341">
        <f>51415</f>
        <v>51415</v>
      </c>
      <c r="AM6" s="3341">
        <v>738944.15</v>
      </c>
      <c r="AN6" s="2012">
        <f t="shared" ref="AN6:AN7" si="6">AL6+AM6</f>
        <v>790359.15</v>
      </c>
      <c r="AO6" s="3341"/>
      <c r="AP6" s="3409" t="s">
        <v>1987</v>
      </c>
      <c r="AQ6" s="3341"/>
      <c r="AR6" s="3341"/>
      <c r="AS6" s="2012">
        <f t="shared" ref="AS6:AS7" si="7">AQ6+AR6</f>
        <v>0</v>
      </c>
      <c r="AT6" s="3341"/>
      <c r="AU6" s="3342"/>
      <c r="AV6" s="3341"/>
      <c r="AW6" s="3341"/>
      <c r="AX6" s="2012">
        <f t="shared" ref="AX6:AX7" si="8">AV6+AW6</f>
        <v>0</v>
      </c>
      <c r="AY6" s="3341"/>
      <c r="AZ6" s="3342"/>
      <c r="BA6" s="3341"/>
      <c r="BB6" s="3341"/>
      <c r="BC6" s="2012">
        <f t="shared" ref="BC6:BC7" si="9">BA6+BB6</f>
        <v>0</v>
      </c>
      <c r="BD6" s="3341"/>
      <c r="BE6" s="3342"/>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C6+H6+M6+W6+1177540+72464</f>
        <v>1301419</v>
      </c>
      <c r="CK6" s="3341">
        <f>D6+I6+N6+X6</f>
        <v>738944.15</v>
      </c>
      <c r="CL6" s="2012">
        <f>CJ6+CK6</f>
        <v>2040363.15</v>
      </c>
      <c r="CM6" s="3341"/>
      <c r="CN6" s="3341"/>
      <c r="CP6" s="2012">
        <v>3172076.5980000002</v>
      </c>
      <c r="CQ6" s="2012">
        <f t="shared" ref="CQ6" si="16">CL6</f>
        <v>2040363.15</v>
      </c>
      <c r="CR6" s="4322">
        <f>CP6-CQ6</f>
        <v>1131713.4480000003</v>
      </c>
      <c r="CS6" s="3307"/>
      <c r="CT6" s="4319">
        <f>-CR6/CP6</f>
        <v>-0.35677368217197136</v>
      </c>
      <c r="CW6" s="3489"/>
    </row>
    <row r="7" spans="1:101" s="1396" customFormat="1" ht="14.4" outlineLevel="1" collapsed="1" thickBot="1">
      <c r="A7" s="1571"/>
      <c r="B7" s="4323" t="s">
        <v>41</v>
      </c>
      <c r="C7" s="3341"/>
      <c r="D7" s="3341"/>
      <c r="E7" s="2012">
        <f t="shared" si="0"/>
        <v>0</v>
      </c>
      <c r="F7" s="4324"/>
      <c r="G7" s="4324"/>
      <c r="H7" s="3341"/>
      <c r="I7" s="3341"/>
      <c r="J7" s="2012">
        <f>H7+I7</f>
        <v>0</v>
      </c>
      <c r="K7" s="4324"/>
      <c r="L7" s="4324"/>
      <c r="M7" s="3341"/>
      <c r="N7" s="3341"/>
      <c r="O7" s="2012">
        <f t="shared" si="1"/>
        <v>0</v>
      </c>
      <c r="P7" s="4324"/>
      <c r="Q7" s="4324"/>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1"/>
      <c r="AC7" s="3341"/>
      <c r="AD7" s="2012">
        <f t="shared" si="4"/>
        <v>0</v>
      </c>
      <c r="AE7" s="4324"/>
      <c r="AF7" s="4325"/>
      <c r="AG7" s="3341"/>
      <c r="AH7" s="3341"/>
      <c r="AI7" s="2012">
        <f t="shared" si="5"/>
        <v>0</v>
      </c>
      <c r="AJ7" s="4324"/>
      <c r="AK7" s="4324"/>
      <c r="AL7" s="3341"/>
      <c r="AM7" s="3341"/>
      <c r="AN7" s="2012">
        <f t="shared" si="6"/>
        <v>0</v>
      </c>
      <c r="AO7" s="4324"/>
      <c r="AP7" s="4324"/>
      <c r="AQ7" s="3341"/>
      <c r="AR7" s="3341"/>
      <c r="AS7" s="2012">
        <f t="shared" si="7"/>
        <v>0</v>
      </c>
      <c r="AT7" s="4324"/>
      <c r="AU7" s="4324"/>
      <c r="AV7" s="3341"/>
      <c r="AW7" s="3341"/>
      <c r="AX7" s="2012">
        <f t="shared" si="8"/>
        <v>0</v>
      </c>
      <c r="AY7" s="4324"/>
      <c r="AZ7" s="4324"/>
      <c r="BA7" s="3341"/>
      <c r="BB7" s="3341"/>
      <c r="BC7" s="2012">
        <f t="shared" si="9"/>
        <v>0</v>
      </c>
      <c r="BD7" s="4324"/>
      <c r="BE7" s="4324"/>
      <c r="BF7" s="3341"/>
      <c r="BG7" s="3341"/>
      <c r="BH7" s="2012">
        <f t="shared" si="10"/>
        <v>0</v>
      </c>
      <c r="BI7" s="4324"/>
      <c r="BJ7" s="4324"/>
      <c r="BK7" s="3341"/>
      <c r="BL7" s="3341"/>
      <c r="BM7" s="2012">
        <f t="shared" si="11"/>
        <v>0</v>
      </c>
      <c r="BN7" s="4324"/>
      <c r="BO7" s="4324"/>
      <c r="BP7" s="3341"/>
      <c r="BQ7" s="3341"/>
      <c r="BR7" s="2012">
        <f t="shared" si="12"/>
        <v>0</v>
      </c>
      <c r="BS7" s="4324"/>
      <c r="BT7" s="4324"/>
      <c r="BU7" s="3341"/>
      <c r="BV7" s="3341"/>
      <c r="BW7" s="2012">
        <f t="shared" si="13"/>
        <v>0</v>
      </c>
      <c r="BX7" s="4324"/>
      <c r="BY7" s="4324"/>
      <c r="BZ7" s="3341"/>
      <c r="CA7" s="3341"/>
      <c r="CB7" s="2012">
        <f t="shared" si="14"/>
        <v>0</v>
      </c>
      <c r="CC7" s="4324"/>
      <c r="CD7" s="4324"/>
      <c r="CE7" s="3341"/>
      <c r="CF7" s="3341"/>
      <c r="CG7" s="2012">
        <f t="shared" si="15"/>
        <v>0</v>
      </c>
      <c r="CH7" s="4324"/>
      <c r="CI7" s="4324"/>
      <c r="CJ7" s="3341">
        <f>C7+H7+M7+W7</f>
        <v>0</v>
      </c>
      <c r="CK7" s="3341">
        <f>D7+I7+N7+X7</f>
        <v>0</v>
      </c>
      <c r="CL7" s="2012">
        <f>CJ7+CK7</f>
        <v>0</v>
      </c>
      <c r="CM7" s="4324"/>
      <c r="CN7" s="4324"/>
      <c r="CP7" s="2012"/>
      <c r="CQ7" s="2012"/>
      <c r="CR7" s="3442"/>
      <c r="CT7" s="3779"/>
    </row>
    <row r="8" spans="1:101" s="1396" customFormat="1" ht="14.4" outlineLevel="1" thickBot="1">
      <c r="A8" s="1571"/>
      <c r="B8" s="1463" t="s">
        <v>16</v>
      </c>
      <c r="C8" s="1957">
        <f>SUM(C9:C33)</f>
        <v>0</v>
      </c>
      <c r="D8" s="1957">
        <f>SUM(D9:D33)</f>
        <v>0</v>
      </c>
      <c r="E8" s="1484">
        <f>SUM(E9:E33)</f>
        <v>0</v>
      </c>
      <c r="F8" s="1528" t="e">
        <f t="shared" ref="F8:F33" si="17">E8/$E$89</f>
        <v>#DIV/0!</v>
      </c>
      <c r="G8" s="1466"/>
      <c r="H8" s="1957">
        <f>SUM(H9:H33)</f>
        <v>0</v>
      </c>
      <c r="I8" s="1957">
        <f>SUM(I9:I33)</f>
        <v>0</v>
      </c>
      <c r="J8" s="1484">
        <f>SUM(J9:J33)</f>
        <v>0</v>
      </c>
      <c r="K8" s="1528" t="e">
        <f t="shared" ref="K8" si="18">J8/$E$89</f>
        <v>#DIV/0!</v>
      </c>
      <c r="L8" s="1466"/>
      <c r="M8" s="1957">
        <f>SUM(M9:M33)</f>
        <v>0</v>
      </c>
      <c r="N8" s="1957">
        <f>SUM(N9:N33)</f>
        <v>0</v>
      </c>
      <c r="O8" s="1484">
        <f>SUM(O9:O33)</f>
        <v>0</v>
      </c>
      <c r="P8" s="1528" t="e">
        <f t="shared" ref="P8" si="19">O8/$E$89</f>
        <v>#DIV/0!</v>
      </c>
      <c r="Q8" s="1466"/>
      <c r="R8" s="1957">
        <f>SUM(R9:R33)</f>
        <v>0</v>
      </c>
      <c r="S8" s="1957">
        <f>SUM(S9:S33)</f>
        <v>0</v>
      </c>
      <c r="T8" s="1484">
        <f>SUM(T9:T33)</f>
        <v>0</v>
      </c>
      <c r="U8" s="1528"/>
      <c r="V8" s="1466"/>
      <c r="W8" s="1957">
        <f>SUM(W9:W33)</f>
        <v>297482.10399999999</v>
      </c>
      <c r="X8" s="1957">
        <f>SUM(X9:X33)</f>
        <v>69292.03</v>
      </c>
      <c r="Y8" s="1484">
        <f>SUM(Y9:Y33)</f>
        <v>366774.13400000002</v>
      </c>
      <c r="Z8" s="1528"/>
      <c r="AA8" s="1466"/>
      <c r="AB8" s="1957">
        <f>SUM(AB9:AB33)</f>
        <v>202552.56</v>
      </c>
      <c r="AC8" s="1957">
        <f>SUM(AC9:AC33)</f>
        <v>12571.03</v>
      </c>
      <c r="AD8" s="1484">
        <f>SUM(AD9:AD33)</f>
        <v>215123.59</v>
      </c>
      <c r="AE8" s="1528"/>
      <c r="AF8" s="3718"/>
      <c r="AG8" s="1957">
        <f>SUM(AG9:AG33)</f>
        <v>0</v>
      </c>
      <c r="AH8" s="1957">
        <f>SUM(AH9:AH33)</f>
        <v>0</v>
      </c>
      <c r="AI8" s="1484">
        <f>SUM(AI9:AI33)</f>
        <v>0</v>
      </c>
      <c r="AJ8" s="1528"/>
      <c r="AK8" s="1466"/>
      <c r="AL8" s="1957">
        <f>SUM(AL9:AL33)</f>
        <v>94929.543999999994</v>
      </c>
      <c r="AM8" s="1957">
        <f>SUM(AM9:AM33)</f>
        <v>0</v>
      </c>
      <c r="AN8" s="1484">
        <f>SUM(AN9:AN33)</f>
        <v>94929.543999999994</v>
      </c>
      <c r="AO8" s="1528"/>
      <c r="AP8" s="1466"/>
      <c r="AQ8" s="1957">
        <f>SUM(AQ9:AQ33)</f>
        <v>0</v>
      </c>
      <c r="AR8" s="1957">
        <f>SUM(AR9:AR33)</f>
        <v>0</v>
      </c>
      <c r="AS8" s="1484">
        <f>SUM(AS9:AS33)</f>
        <v>0</v>
      </c>
      <c r="AT8" s="1528"/>
      <c r="AU8" s="1466"/>
      <c r="AV8" s="1957">
        <f>SUM(AV9:AV33)</f>
        <v>0</v>
      </c>
      <c r="AW8" s="1957">
        <f>SUM(AW9:AW33)</f>
        <v>56721</v>
      </c>
      <c r="AX8" s="1484">
        <f>SUM(AX9:AX33)</f>
        <v>56721</v>
      </c>
      <c r="AY8" s="1528"/>
      <c r="AZ8" s="1466"/>
      <c r="BA8" s="1957">
        <f>SUM(BA9:BA33)</f>
        <v>0</v>
      </c>
      <c r="BB8" s="1957">
        <f>SUM(BB9:BB33)</f>
        <v>0</v>
      </c>
      <c r="BC8" s="1484">
        <f>SUM(BC9:BC33)</f>
        <v>0</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633510.89399999997</v>
      </c>
      <c r="CK8" s="1957">
        <f>SUM(CK9:CK33)</f>
        <v>531961.03</v>
      </c>
      <c r="CL8" s="1484">
        <f>SUM(CL9:CL33)</f>
        <v>1165471.9239999999</v>
      </c>
      <c r="CM8" s="1528"/>
      <c r="CN8" s="1466"/>
      <c r="CP8" s="1484">
        <f>SUM(CP9:CP33)</f>
        <v>1789702.8532066669</v>
      </c>
      <c r="CQ8" s="1484">
        <f>SUM(CQ9:CQ33)</f>
        <v>1165471.9239999999</v>
      </c>
      <c r="CR8" s="3440">
        <f>SUM(CR9:CR33)</f>
        <v>624230.929206667</v>
      </c>
      <c r="CT8" s="3443"/>
    </row>
    <row r="9" spans="1:101" s="1396" customFormat="1" ht="13.8" outlineLevel="2">
      <c r="A9" s="1571"/>
      <c r="B9" s="1424" t="s">
        <v>74</v>
      </c>
      <c r="C9" s="3341"/>
      <c r="D9" s="3341"/>
      <c r="E9" s="3349">
        <f t="shared" ref="E9:E32" si="20">C9+D9</f>
        <v>0</v>
      </c>
      <c r="F9" s="4326" t="e">
        <f t="shared" si="17"/>
        <v>#DIV/0!</v>
      </c>
      <c r="G9" s="2047"/>
      <c r="H9" s="3341"/>
      <c r="I9" s="3341"/>
      <c r="J9" s="3349">
        <f t="shared" ref="J9:J32" si="21">H9+I9</f>
        <v>0</v>
      </c>
      <c r="K9" s="4326" t="e">
        <f>J9/J$89</f>
        <v>#DIV/0!</v>
      </c>
      <c r="L9" s="2047"/>
      <c r="M9" s="3341"/>
      <c r="N9" s="3341"/>
      <c r="O9" s="3349">
        <f t="shared" ref="O9:O32" si="22">M9+N9</f>
        <v>0</v>
      </c>
      <c r="P9" s="4326" t="e">
        <f t="shared" ref="P9:P33" si="23">O9/O$89</f>
        <v>#DIV/0!</v>
      </c>
      <c r="Q9" s="2047"/>
      <c r="R9" s="3342">
        <f t="shared" ref="R9:S33" si="24">M9+H9+C9</f>
        <v>0</v>
      </c>
      <c r="S9" s="3342">
        <f t="shared" si="24"/>
        <v>0</v>
      </c>
      <c r="T9" s="2012">
        <f t="shared" ref="T9:T33" si="25">R9+S9</f>
        <v>0</v>
      </c>
      <c r="U9" s="2047"/>
      <c r="V9" s="2047"/>
      <c r="W9" s="3342">
        <f t="shared" ref="W9:X33" si="26">AB9+AG9+AL9+AV9+BA9+BF9+BK9+BP9+BU9+BZ9+CE9+AQ9</f>
        <v>21944.57</v>
      </c>
      <c r="X9" s="3342">
        <f t="shared" si="26"/>
        <v>12571.03</v>
      </c>
      <c r="Y9" s="2012">
        <f t="shared" ref="Y9:Y33" si="27">W9+X9</f>
        <v>34515.599999999999</v>
      </c>
      <c r="Z9" s="2047"/>
      <c r="AA9" s="2047"/>
      <c r="AB9" s="3341">
        <v>21944.57</v>
      </c>
      <c r="AC9" s="3341">
        <v>12571.03</v>
      </c>
      <c r="AD9" s="3349">
        <f t="shared" ref="AD9:AD32" si="28">AB9+AC9</f>
        <v>34515.599999999999</v>
      </c>
      <c r="AE9" s="4326">
        <f>AD9/AD$89</f>
        <v>0.15893352670943742</v>
      </c>
      <c r="AF9" s="3780"/>
      <c r="AG9" s="3341"/>
      <c r="AH9" s="3341"/>
      <c r="AI9" s="3349">
        <f t="shared" ref="AI9:AI32" si="29">AG9+AH9</f>
        <v>0</v>
      </c>
      <c r="AJ9" s="4326" t="e">
        <f>AI9/AI$89</f>
        <v>#DIV/0!</v>
      </c>
      <c r="AK9" s="2047"/>
      <c r="AL9" s="3341"/>
      <c r="AM9" s="3341"/>
      <c r="AN9" s="3349">
        <f t="shared" ref="AN9:AN32" si="30">AL9+AM9</f>
        <v>0</v>
      </c>
      <c r="AO9" s="4326">
        <f>AN9/AN$89</f>
        <v>0</v>
      </c>
      <c r="AP9" s="2047"/>
      <c r="AQ9" s="3341"/>
      <c r="AR9" s="3341"/>
      <c r="AS9" s="3349">
        <f t="shared" ref="AS9:AS32" si="31">AQ9+AR9</f>
        <v>0</v>
      </c>
      <c r="AT9" s="4326" t="e">
        <f>AS9/AS$89</f>
        <v>#DIV/0!</v>
      </c>
      <c r="AU9" s="2047"/>
      <c r="AV9" s="3341"/>
      <c r="AW9" s="3341"/>
      <c r="AX9" s="3349">
        <f t="shared" ref="AX9:AX32" si="32">AV9+AW9</f>
        <v>0</v>
      </c>
      <c r="AY9" s="4326">
        <f>AX9/AX$89</f>
        <v>0</v>
      </c>
      <c r="AZ9" s="2047"/>
      <c r="BA9" s="3341"/>
      <c r="BB9" s="3341"/>
      <c r="BC9" s="3349">
        <f t="shared" ref="BC9:BC32" si="33">BA9+BB9</f>
        <v>0</v>
      </c>
      <c r="BD9" s="4326" t="e">
        <f>BC9/BC$89</f>
        <v>#DIV/0!</v>
      </c>
      <c r="BE9" s="2047"/>
      <c r="BF9" s="3341"/>
      <c r="BG9" s="3341"/>
      <c r="BH9" s="3349">
        <f t="shared" ref="BH9:BH32" si="34">BF9+BG9</f>
        <v>0</v>
      </c>
      <c r="BI9" s="4326" t="e">
        <f>BH9/BH$89</f>
        <v>#DIV/0!</v>
      </c>
      <c r="BJ9" s="2047"/>
      <c r="BK9" s="3341"/>
      <c r="BL9" s="3341"/>
      <c r="BM9" s="3349">
        <f t="shared" ref="BM9:BM32" si="35">BK9+BL9</f>
        <v>0</v>
      </c>
      <c r="BN9" s="4326" t="e">
        <f>BM9/BM$89</f>
        <v>#DIV/0!</v>
      </c>
      <c r="BO9" s="2047"/>
      <c r="BP9" s="3341"/>
      <c r="BQ9" s="3341"/>
      <c r="BR9" s="3349">
        <f t="shared" ref="BR9:BR32" si="36">BP9+BQ9</f>
        <v>0</v>
      </c>
      <c r="BS9" s="4326" t="e">
        <f>BR9/BR$89</f>
        <v>#DIV/0!</v>
      </c>
      <c r="BT9" s="2047"/>
      <c r="BU9" s="3341"/>
      <c r="BV9" s="3341"/>
      <c r="BW9" s="3349">
        <f t="shared" ref="BW9:BW32" si="37">BU9+BV9</f>
        <v>0</v>
      </c>
      <c r="BX9" s="4326" t="e">
        <f>BW9/BW$89</f>
        <v>#DIV/0!</v>
      </c>
      <c r="BY9" s="2047"/>
      <c r="BZ9" s="3341"/>
      <c r="CA9" s="3341"/>
      <c r="CB9" s="3349">
        <f t="shared" ref="CB9:CB32" si="38">BZ9+CA9</f>
        <v>0</v>
      </c>
      <c r="CC9" s="4326" t="e">
        <f>CB9/CB$89</f>
        <v>#DIV/0!</v>
      </c>
      <c r="CD9" s="2047"/>
      <c r="CE9" s="3341"/>
      <c r="CF9" s="3341"/>
      <c r="CG9" s="3349">
        <f t="shared" ref="CG9:CG32" si="39">CE9+CF9</f>
        <v>0</v>
      </c>
      <c r="CH9" s="4326" t="e">
        <f>CG9/CG$89</f>
        <v>#DIV/0!</v>
      </c>
      <c r="CI9" s="2047"/>
      <c r="CJ9" s="3341">
        <f>C9+H9+M9+W9+156296.21</f>
        <v>178240.78</v>
      </c>
      <c r="CK9" s="3341">
        <f>D9+I9+N9+X9+445717.79</f>
        <v>458288.82</v>
      </c>
      <c r="CL9" s="3349">
        <f>CJ9+CK9*1</f>
        <v>636529.6</v>
      </c>
      <c r="CM9" s="4326">
        <f t="shared" ref="CM9:CM33" si="40">CL9/$CL$89</f>
        <v>0.50979924333942839</v>
      </c>
      <c r="CN9" s="1434"/>
      <c r="CP9" s="5177">
        <v>956542.4</v>
      </c>
      <c r="CQ9" s="2012">
        <f t="shared" ref="CQ9:CQ32" si="41">CL9</f>
        <v>636529.6</v>
      </c>
      <c r="CR9" s="5174">
        <f>CP9-SUM(CQ9:CQ11)</f>
        <v>248248.89</v>
      </c>
      <c r="CS9" s="3307"/>
      <c r="CT9" s="4319">
        <f>CR9/CP9</f>
        <v>0.2595273246643327</v>
      </c>
      <c r="CW9" s="5180">
        <f>CR9/CP9</f>
        <v>0.2595273246643327</v>
      </c>
    </row>
    <row r="10" spans="1:101" s="1396" customFormat="1" ht="13.8" outlineLevel="2">
      <c r="A10" s="1571"/>
      <c r="B10" s="1424" t="s">
        <v>72</v>
      </c>
      <c r="C10" s="3341"/>
      <c r="D10" s="3341"/>
      <c r="E10" s="3349">
        <f t="shared" si="20"/>
        <v>0</v>
      </c>
      <c r="F10" s="4326" t="e">
        <f t="shared" si="17"/>
        <v>#DIV/0!</v>
      </c>
      <c r="G10" s="2047"/>
      <c r="H10" s="3341"/>
      <c r="I10" s="3341"/>
      <c r="J10" s="3349">
        <f t="shared" si="21"/>
        <v>0</v>
      </c>
      <c r="K10" s="4326" t="e">
        <f t="shared" ref="K10:K33" si="42">J10/J$89</f>
        <v>#DIV/0!</v>
      </c>
      <c r="L10" s="2047"/>
      <c r="M10" s="3341"/>
      <c r="N10" s="3341"/>
      <c r="O10" s="3349">
        <f t="shared" si="22"/>
        <v>0</v>
      </c>
      <c r="P10" s="4326" t="e">
        <f t="shared" si="23"/>
        <v>#DIV/0!</v>
      </c>
      <c r="Q10" s="2047"/>
      <c r="R10" s="3342">
        <f t="shared" si="24"/>
        <v>0</v>
      </c>
      <c r="S10" s="3342">
        <f t="shared" si="24"/>
        <v>0</v>
      </c>
      <c r="T10" s="2012">
        <f t="shared" si="25"/>
        <v>0</v>
      </c>
      <c r="U10" s="2047"/>
      <c r="V10" s="2047"/>
      <c r="W10" s="3342">
        <f t="shared" si="26"/>
        <v>4279.1899999999996</v>
      </c>
      <c r="X10" s="3342">
        <f t="shared" si="26"/>
        <v>0</v>
      </c>
      <c r="Y10" s="2012">
        <f t="shared" si="27"/>
        <v>4279.1899999999996</v>
      </c>
      <c r="Z10" s="2047"/>
      <c r="AA10" s="2047"/>
      <c r="AB10" s="3341">
        <v>4279.1899999999996</v>
      </c>
      <c r="AC10" s="3341"/>
      <c r="AD10" s="3349">
        <f t="shared" si="28"/>
        <v>4279.1899999999996</v>
      </c>
      <c r="AE10" s="4326">
        <f t="shared" ref="AE10:AE33" si="43">AD10/AD$89</f>
        <v>1.9704329583137989E-2</v>
      </c>
      <c r="AF10" s="3780"/>
      <c r="AG10" s="3341"/>
      <c r="AH10" s="3341"/>
      <c r="AI10" s="3349">
        <f t="shared" si="29"/>
        <v>0</v>
      </c>
      <c r="AJ10" s="4326" t="e">
        <f t="shared" ref="AJ10:AJ33" si="44">AI10/AI$89</f>
        <v>#DIV/0!</v>
      </c>
      <c r="AK10" s="2047"/>
      <c r="AL10" s="3341"/>
      <c r="AM10" s="3341"/>
      <c r="AN10" s="3349">
        <f t="shared" si="30"/>
        <v>0</v>
      </c>
      <c r="AO10" s="4326">
        <f t="shared" ref="AO10:AO33" si="45">AN10/AN$89</f>
        <v>0</v>
      </c>
      <c r="AP10" s="2047"/>
      <c r="AQ10" s="3341"/>
      <c r="AR10" s="3341"/>
      <c r="AS10" s="3349">
        <f t="shared" si="31"/>
        <v>0</v>
      </c>
      <c r="AT10" s="4326" t="e">
        <f t="shared" ref="AT10:AT33" si="46">AS10/AS$89</f>
        <v>#DIV/0!</v>
      </c>
      <c r="AU10" s="2047"/>
      <c r="AV10" s="3341"/>
      <c r="AW10" s="3341"/>
      <c r="AX10" s="3349">
        <f t="shared" si="32"/>
        <v>0</v>
      </c>
      <c r="AY10" s="4326">
        <f t="shared" ref="AY10:AY33" si="47">AX10/AX$89</f>
        <v>0</v>
      </c>
      <c r="AZ10" s="2047"/>
      <c r="BA10" s="3341"/>
      <c r="BB10" s="3341"/>
      <c r="BC10" s="3349">
        <f t="shared" si="33"/>
        <v>0</v>
      </c>
      <c r="BD10" s="4326" t="e">
        <f t="shared" ref="BD10:BD33" si="48">BC10/BC$89</f>
        <v>#DIV/0!</v>
      </c>
      <c r="BE10" s="2047"/>
      <c r="BF10" s="3341"/>
      <c r="BG10" s="3341"/>
      <c r="BH10" s="3349">
        <f t="shared" si="34"/>
        <v>0</v>
      </c>
      <c r="BI10" s="4326" t="e">
        <f t="shared" ref="BI10:BI33" si="49">BH10/BH$89</f>
        <v>#DIV/0!</v>
      </c>
      <c r="BJ10" s="2047"/>
      <c r="BK10" s="3341"/>
      <c r="BL10" s="3341"/>
      <c r="BM10" s="3349">
        <f t="shared" si="35"/>
        <v>0</v>
      </c>
      <c r="BN10" s="4326" t="e">
        <f t="shared" ref="BN10:BN33" si="50">BM10/BM$89</f>
        <v>#DIV/0!</v>
      </c>
      <c r="BO10" s="2047"/>
      <c r="BP10" s="3341"/>
      <c r="BQ10" s="3341"/>
      <c r="BR10" s="3349">
        <f t="shared" si="36"/>
        <v>0</v>
      </c>
      <c r="BS10" s="4326" t="e">
        <f t="shared" ref="BS10:BS33" si="51">BR10/BR$89</f>
        <v>#DIV/0!</v>
      </c>
      <c r="BT10" s="2047"/>
      <c r="BU10" s="3341"/>
      <c r="BV10" s="3341"/>
      <c r="BW10" s="3349">
        <f t="shared" si="37"/>
        <v>0</v>
      </c>
      <c r="BX10" s="4326" t="e">
        <f t="shared" ref="BX10:BX33" si="52">BW10/BW$89</f>
        <v>#DIV/0!</v>
      </c>
      <c r="BY10" s="2047"/>
      <c r="BZ10" s="3341"/>
      <c r="CA10" s="3341"/>
      <c r="CB10" s="3349">
        <f t="shared" si="38"/>
        <v>0</v>
      </c>
      <c r="CC10" s="4326" t="e">
        <f t="shared" ref="CC10:CC33" si="53">CB10/CB$89</f>
        <v>#DIV/0!</v>
      </c>
      <c r="CD10" s="2047"/>
      <c r="CE10" s="3341"/>
      <c r="CF10" s="3341"/>
      <c r="CG10" s="3349">
        <f t="shared" si="39"/>
        <v>0</v>
      </c>
      <c r="CH10" s="4326" t="e">
        <f t="shared" ref="CH10:CH33" si="54">CG10/CG$89</f>
        <v>#DIV/0!</v>
      </c>
      <c r="CI10" s="2047"/>
      <c r="CJ10" s="3341">
        <f>C10+H10+M10+W10+29441.19</f>
        <v>33720.379999999997</v>
      </c>
      <c r="CK10" s="3341">
        <f t="shared" ref="CJ10:CK33" si="55">D10+I10+N10+X10</f>
        <v>0</v>
      </c>
      <c r="CL10" s="3349">
        <f t="shared" ref="CL10:CL33" si="56">CJ10+CK10*1</f>
        <v>33720.379999999997</v>
      </c>
      <c r="CM10" s="4326">
        <f t="shared" si="40"/>
        <v>2.700679467084955E-2</v>
      </c>
      <c r="CN10" s="1434"/>
      <c r="CP10" s="5178"/>
      <c r="CQ10" s="2012">
        <f t="shared" si="41"/>
        <v>33720.379999999997</v>
      </c>
      <c r="CR10" s="5175"/>
      <c r="CT10" s="3443"/>
      <c r="CU10" s="933"/>
      <c r="CW10" s="5180"/>
    </row>
    <row r="11" spans="1:101" s="1396" customFormat="1" ht="13.8" outlineLevel="2">
      <c r="A11" s="1571"/>
      <c r="B11" s="1424" t="s">
        <v>69</v>
      </c>
      <c r="C11" s="3341"/>
      <c r="D11" s="3341"/>
      <c r="E11" s="3349">
        <f t="shared" si="20"/>
        <v>0</v>
      </c>
      <c r="F11" s="4326" t="e">
        <f t="shared" si="17"/>
        <v>#DIV/0!</v>
      </c>
      <c r="G11" s="1055"/>
      <c r="H11" s="3341"/>
      <c r="I11" s="3341"/>
      <c r="J11" s="3349">
        <f t="shared" si="21"/>
        <v>0</v>
      </c>
      <c r="K11" s="4326" t="e">
        <f t="shared" si="42"/>
        <v>#DIV/0!</v>
      </c>
      <c r="L11" s="1055"/>
      <c r="M11" s="3341"/>
      <c r="N11" s="3341"/>
      <c r="O11" s="3349">
        <f t="shared" si="22"/>
        <v>0</v>
      </c>
      <c r="P11" s="4326" t="e">
        <f t="shared" si="23"/>
        <v>#DIV/0!</v>
      </c>
      <c r="Q11" s="1055"/>
      <c r="R11" s="3342">
        <f t="shared" si="24"/>
        <v>0</v>
      </c>
      <c r="S11" s="3342">
        <f t="shared" si="24"/>
        <v>0</v>
      </c>
      <c r="T11" s="2012">
        <f t="shared" si="25"/>
        <v>0</v>
      </c>
      <c r="U11" s="1055"/>
      <c r="V11" s="1055"/>
      <c r="W11" s="3342">
        <f t="shared" si="26"/>
        <v>4827.8</v>
      </c>
      <c r="X11" s="3342">
        <f t="shared" si="26"/>
        <v>0</v>
      </c>
      <c r="Y11" s="2012">
        <f t="shared" si="27"/>
        <v>4827.8</v>
      </c>
      <c r="Z11" s="1055"/>
      <c r="AA11" s="1055"/>
      <c r="AB11" s="3341">
        <v>4827.8</v>
      </c>
      <c r="AC11" s="3341"/>
      <c r="AD11" s="3349">
        <f t="shared" si="28"/>
        <v>4827.8</v>
      </c>
      <c r="AE11" s="4326">
        <f t="shared" si="43"/>
        <v>2.2230506792517646E-2</v>
      </c>
      <c r="AF11" s="3720"/>
      <c r="AG11" s="3341"/>
      <c r="AH11" s="3341"/>
      <c r="AI11" s="3349">
        <f t="shared" si="29"/>
        <v>0</v>
      </c>
      <c r="AJ11" s="4326" t="e">
        <f t="shared" si="44"/>
        <v>#DIV/0!</v>
      </c>
      <c r="AK11" s="1055"/>
      <c r="AL11" s="3341"/>
      <c r="AM11" s="3341"/>
      <c r="AN11" s="3349">
        <f t="shared" si="30"/>
        <v>0</v>
      </c>
      <c r="AO11" s="4326">
        <f t="shared" si="45"/>
        <v>0</v>
      </c>
      <c r="AP11" s="1055"/>
      <c r="AQ11" s="3341"/>
      <c r="AR11" s="3341"/>
      <c r="AS11" s="3349">
        <f t="shared" si="31"/>
        <v>0</v>
      </c>
      <c r="AT11" s="4326" t="e">
        <f t="shared" si="46"/>
        <v>#DIV/0!</v>
      </c>
      <c r="AU11" s="1055"/>
      <c r="AV11" s="3341"/>
      <c r="AW11" s="3341"/>
      <c r="AX11" s="3349">
        <f t="shared" si="32"/>
        <v>0</v>
      </c>
      <c r="AY11" s="4326">
        <f t="shared" si="47"/>
        <v>0</v>
      </c>
      <c r="AZ11" s="1055"/>
      <c r="BA11" s="3341"/>
      <c r="BB11" s="3341"/>
      <c r="BC11" s="3349">
        <f t="shared" si="33"/>
        <v>0</v>
      </c>
      <c r="BD11" s="4326" t="e">
        <f t="shared" si="48"/>
        <v>#DIV/0!</v>
      </c>
      <c r="BE11" s="1055"/>
      <c r="BF11" s="3341"/>
      <c r="BG11" s="3341"/>
      <c r="BH11" s="3349">
        <f t="shared" si="34"/>
        <v>0</v>
      </c>
      <c r="BI11" s="4326" t="e">
        <f t="shared" si="49"/>
        <v>#DIV/0!</v>
      </c>
      <c r="BJ11" s="1055"/>
      <c r="BK11" s="3341"/>
      <c r="BL11" s="3341"/>
      <c r="BM11" s="3349">
        <f t="shared" si="35"/>
        <v>0</v>
      </c>
      <c r="BN11" s="4326" t="e">
        <f t="shared" si="50"/>
        <v>#DIV/0!</v>
      </c>
      <c r="BO11" s="1055"/>
      <c r="BP11" s="3341"/>
      <c r="BQ11" s="3341"/>
      <c r="BR11" s="3349">
        <f t="shared" si="36"/>
        <v>0</v>
      </c>
      <c r="BS11" s="4326" t="e">
        <f t="shared" si="51"/>
        <v>#DIV/0!</v>
      </c>
      <c r="BT11" s="1055"/>
      <c r="BU11" s="3341"/>
      <c r="BV11" s="3341"/>
      <c r="BW11" s="3349">
        <f t="shared" si="37"/>
        <v>0</v>
      </c>
      <c r="BX11" s="4326" t="e">
        <f t="shared" si="52"/>
        <v>#DIV/0!</v>
      </c>
      <c r="BY11" s="1055"/>
      <c r="BZ11" s="3341"/>
      <c r="CA11" s="3341"/>
      <c r="CB11" s="3349">
        <f t="shared" si="38"/>
        <v>0</v>
      </c>
      <c r="CC11" s="4326" t="e">
        <f t="shared" si="53"/>
        <v>#DIV/0!</v>
      </c>
      <c r="CD11" s="1055"/>
      <c r="CE11" s="3341"/>
      <c r="CF11" s="3341"/>
      <c r="CG11" s="3349">
        <f t="shared" si="39"/>
        <v>0</v>
      </c>
      <c r="CH11" s="4326" t="e">
        <f t="shared" si="54"/>
        <v>#DIV/0!</v>
      </c>
      <c r="CI11" s="1055"/>
      <c r="CJ11" s="3341">
        <f>C11+H11+M11+W11+33215.73</f>
        <v>38043.530000000006</v>
      </c>
      <c r="CK11" s="3341">
        <f t="shared" si="55"/>
        <v>0</v>
      </c>
      <c r="CL11" s="3349">
        <f t="shared" si="56"/>
        <v>38043.530000000006</v>
      </c>
      <c r="CM11" s="4326">
        <f t="shared" si="40"/>
        <v>3.0469223753240775E-2</v>
      </c>
      <c r="CN11" s="1434"/>
      <c r="CP11" s="5179"/>
      <c r="CQ11" s="2012">
        <f t="shared" si="41"/>
        <v>38043.530000000006</v>
      </c>
      <c r="CR11" s="5176"/>
      <c r="CT11" s="3443"/>
      <c r="CU11" s="933"/>
      <c r="CW11" s="5180"/>
    </row>
    <row r="12" spans="1:101" s="1396" customFormat="1" ht="13.8" outlineLevel="2">
      <c r="A12" s="1571"/>
      <c r="B12" s="1424" t="s">
        <v>73</v>
      </c>
      <c r="C12" s="3341"/>
      <c r="D12" s="3341"/>
      <c r="E12" s="3349">
        <f t="shared" si="20"/>
        <v>0</v>
      </c>
      <c r="F12" s="4326" t="e">
        <f t="shared" si="17"/>
        <v>#DIV/0!</v>
      </c>
      <c r="G12" s="1055"/>
      <c r="H12" s="3341"/>
      <c r="I12" s="3341"/>
      <c r="J12" s="3349">
        <f t="shared" si="21"/>
        <v>0</v>
      </c>
      <c r="K12" s="4326" t="e">
        <f t="shared" si="42"/>
        <v>#DIV/0!</v>
      </c>
      <c r="L12" s="1055"/>
      <c r="M12" s="3341"/>
      <c r="N12" s="3341"/>
      <c r="O12" s="3349">
        <f t="shared" si="22"/>
        <v>0</v>
      </c>
      <c r="P12" s="4326" t="e">
        <f t="shared" si="23"/>
        <v>#DIV/0!</v>
      </c>
      <c r="Q12" s="1055"/>
      <c r="R12" s="3342">
        <f t="shared" si="24"/>
        <v>0</v>
      </c>
      <c r="S12" s="3342">
        <f t="shared" si="24"/>
        <v>0</v>
      </c>
      <c r="T12" s="2012">
        <f t="shared" si="25"/>
        <v>0</v>
      </c>
      <c r="U12" s="1055"/>
      <c r="V12" s="1055"/>
      <c r="W12" s="3342">
        <f t="shared" si="26"/>
        <v>0</v>
      </c>
      <c r="X12" s="3342">
        <f t="shared" si="26"/>
        <v>0</v>
      </c>
      <c r="Y12" s="2012">
        <f t="shared" si="27"/>
        <v>0</v>
      </c>
      <c r="Z12" s="1055"/>
      <c r="AA12" s="1055"/>
      <c r="AB12" s="3341"/>
      <c r="AC12" s="3341"/>
      <c r="AD12" s="3349">
        <f t="shared" si="28"/>
        <v>0</v>
      </c>
      <c r="AE12" s="4326">
        <f t="shared" si="43"/>
        <v>0</v>
      </c>
      <c r="AF12" s="3720"/>
      <c r="AG12" s="3341"/>
      <c r="AH12" s="3341"/>
      <c r="AI12" s="3349">
        <f t="shared" si="29"/>
        <v>0</v>
      </c>
      <c r="AJ12" s="4326" t="e">
        <f t="shared" si="44"/>
        <v>#DIV/0!</v>
      </c>
      <c r="AK12" s="1055"/>
      <c r="AL12" s="3341"/>
      <c r="AM12" s="3341"/>
      <c r="AN12" s="3349">
        <f t="shared" si="30"/>
        <v>0</v>
      </c>
      <c r="AO12" s="4326">
        <f t="shared" si="45"/>
        <v>0</v>
      </c>
      <c r="AP12" s="1055"/>
      <c r="AQ12" s="3341"/>
      <c r="AR12" s="3341"/>
      <c r="AS12" s="3349">
        <f t="shared" si="31"/>
        <v>0</v>
      </c>
      <c r="AT12" s="4326" t="e">
        <f t="shared" si="46"/>
        <v>#DIV/0!</v>
      </c>
      <c r="AU12" s="1055"/>
      <c r="AV12" s="3341"/>
      <c r="AW12" s="3341"/>
      <c r="AX12" s="3349">
        <f t="shared" si="32"/>
        <v>0</v>
      </c>
      <c r="AY12" s="4326">
        <f t="shared" si="47"/>
        <v>0</v>
      </c>
      <c r="AZ12" s="1055"/>
      <c r="BA12" s="3341"/>
      <c r="BB12" s="3341"/>
      <c r="BC12" s="3349">
        <f t="shared" si="33"/>
        <v>0</v>
      </c>
      <c r="BD12" s="4326" t="e">
        <f t="shared" si="48"/>
        <v>#DIV/0!</v>
      </c>
      <c r="BE12" s="1055"/>
      <c r="BF12" s="3341"/>
      <c r="BG12" s="3341"/>
      <c r="BH12" s="3349">
        <f t="shared" si="34"/>
        <v>0</v>
      </c>
      <c r="BI12" s="4326" t="e">
        <f t="shared" si="49"/>
        <v>#DIV/0!</v>
      </c>
      <c r="BJ12" s="1055"/>
      <c r="BK12" s="3341"/>
      <c r="BL12" s="3341"/>
      <c r="BM12" s="3349">
        <f t="shared" si="35"/>
        <v>0</v>
      </c>
      <c r="BN12" s="4326" t="e">
        <f t="shared" si="50"/>
        <v>#DIV/0!</v>
      </c>
      <c r="BO12" s="1055"/>
      <c r="BP12" s="3341"/>
      <c r="BQ12" s="3341"/>
      <c r="BR12" s="3349">
        <f t="shared" si="36"/>
        <v>0</v>
      </c>
      <c r="BS12" s="4326" t="e">
        <f t="shared" si="51"/>
        <v>#DIV/0!</v>
      </c>
      <c r="BT12" s="1055"/>
      <c r="BU12" s="3341"/>
      <c r="BV12" s="3341"/>
      <c r="BW12" s="3349">
        <f t="shared" si="37"/>
        <v>0</v>
      </c>
      <c r="BX12" s="4326" t="e">
        <f t="shared" si="52"/>
        <v>#DIV/0!</v>
      </c>
      <c r="BY12" s="1055"/>
      <c r="BZ12" s="3341"/>
      <c r="CA12" s="3341"/>
      <c r="CB12" s="3349">
        <f t="shared" si="38"/>
        <v>0</v>
      </c>
      <c r="CC12" s="4326" t="e">
        <f t="shared" si="53"/>
        <v>#DIV/0!</v>
      </c>
      <c r="CD12" s="1055"/>
      <c r="CE12" s="3341"/>
      <c r="CF12" s="3341"/>
      <c r="CG12" s="3349">
        <f t="shared" si="39"/>
        <v>0</v>
      </c>
      <c r="CH12" s="4326" t="e">
        <f t="shared" si="54"/>
        <v>#DIV/0!</v>
      </c>
      <c r="CI12" s="1055"/>
      <c r="CJ12" s="3341">
        <f t="shared" si="55"/>
        <v>0</v>
      </c>
      <c r="CK12" s="3341">
        <f t="shared" si="55"/>
        <v>0</v>
      </c>
      <c r="CL12" s="3349">
        <f t="shared" si="56"/>
        <v>0</v>
      </c>
      <c r="CM12" s="4326">
        <f t="shared" si="40"/>
        <v>0</v>
      </c>
      <c r="CN12" s="1434"/>
      <c r="CP12" s="4320"/>
      <c r="CQ12" s="2012">
        <f t="shared" si="41"/>
        <v>0</v>
      </c>
      <c r="CR12" s="4322">
        <f t="shared" ref="CR12:CR33" si="57">CP12-CQ12</f>
        <v>0</v>
      </c>
      <c r="CT12" s="3443"/>
    </row>
    <row r="13" spans="1:101" s="1396" customFormat="1" ht="13.8" outlineLevel="2">
      <c r="A13" s="1571"/>
      <c r="B13" s="1424" t="s">
        <v>71</v>
      </c>
      <c r="C13" s="3341"/>
      <c r="D13" s="3341"/>
      <c r="E13" s="3349">
        <f t="shared" si="20"/>
        <v>0</v>
      </c>
      <c r="F13" s="4326" t="e">
        <f t="shared" si="17"/>
        <v>#DIV/0!</v>
      </c>
      <c r="G13" s="1055"/>
      <c r="H13" s="3341"/>
      <c r="I13" s="3341"/>
      <c r="J13" s="3349">
        <f t="shared" si="21"/>
        <v>0</v>
      </c>
      <c r="K13" s="4326" t="e">
        <f t="shared" si="42"/>
        <v>#DIV/0!</v>
      </c>
      <c r="L13" s="1055"/>
      <c r="M13" s="3341"/>
      <c r="N13" s="3341"/>
      <c r="O13" s="3349">
        <f t="shared" si="22"/>
        <v>0</v>
      </c>
      <c r="P13" s="4326" t="e">
        <f t="shared" si="23"/>
        <v>#DIV/0!</v>
      </c>
      <c r="Q13" s="1055"/>
      <c r="R13" s="3342">
        <f t="shared" si="24"/>
        <v>0</v>
      </c>
      <c r="S13" s="3342">
        <f t="shared" si="24"/>
        <v>0</v>
      </c>
      <c r="T13" s="2012">
        <f t="shared" si="25"/>
        <v>0</v>
      </c>
      <c r="U13" s="1055"/>
      <c r="V13" s="1055"/>
      <c r="W13" s="3342">
        <f t="shared" si="26"/>
        <v>0</v>
      </c>
      <c r="X13" s="3342">
        <f t="shared" si="26"/>
        <v>0</v>
      </c>
      <c r="Y13" s="2012">
        <f t="shared" si="27"/>
        <v>0</v>
      </c>
      <c r="Z13" s="1055"/>
      <c r="AA13" s="1055"/>
      <c r="AB13" s="3341"/>
      <c r="AC13" s="3341"/>
      <c r="AD13" s="3349">
        <f t="shared" si="28"/>
        <v>0</v>
      </c>
      <c r="AE13" s="4326">
        <f t="shared" si="43"/>
        <v>0</v>
      </c>
      <c r="AF13" s="3720"/>
      <c r="AG13" s="3341"/>
      <c r="AH13" s="3341"/>
      <c r="AI13" s="3349">
        <f t="shared" si="29"/>
        <v>0</v>
      </c>
      <c r="AJ13" s="4326" t="e">
        <f t="shared" si="44"/>
        <v>#DIV/0!</v>
      </c>
      <c r="AK13" s="1055"/>
      <c r="AL13" s="3341"/>
      <c r="AM13" s="3341"/>
      <c r="AN13" s="3349">
        <f t="shared" si="30"/>
        <v>0</v>
      </c>
      <c r="AO13" s="4326">
        <f t="shared" si="45"/>
        <v>0</v>
      </c>
      <c r="AP13" s="1055"/>
      <c r="AQ13" s="3341"/>
      <c r="AR13" s="3341"/>
      <c r="AS13" s="3349">
        <f t="shared" si="31"/>
        <v>0</v>
      </c>
      <c r="AT13" s="4326" t="e">
        <f t="shared" si="46"/>
        <v>#DIV/0!</v>
      </c>
      <c r="AU13" s="1055"/>
      <c r="AV13" s="3341"/>
      <c r="AW13" s="3341"/>
      <c r="AX13" s="3349">
        <f t="shared" si="32"/>
        <v>0</v>
      </c>
      <c r="AY13" s="4326">
        <f t="shared" si="47"/>
        <v>0</v>
      </c>
      <c r="AZ13" s="1055"/>
      <c r="BA13" s="3341"/>
      <c r="BB13" s="3341"/>
      <c r="BC13" s="3349">
        <f t="shared" si="33"/>
        <v>0</v>
      </c>
      <c r="BD13" s="4326" t="e">
        <f t="shared" si="48"/>
        <v>#DIV/0!</v>
      </c>
      <c r="BE13" s="1055"/>
      <c r="BF13" s="3341"/>
      <c r="BG13" s="3341"/>
      <c r="BH13" s="3349">
        <f t="shared" si="34"/>
        <v>0</v>
      </c>
      <c r="BI13" s="4326" t="e">
        <f t="shared" si="49"/>
        <v>#DIV/0!</v>
      </c>
      <c r="BJ13" s="1055"/>
      <c r="BK13" s="3341"/>
      <c r="BL13" s="3341"/>
      <c r="BM13" s="3349">
        <f t="shared" si="35"/>
        <v>0</v>
      </c>
      <c r="BN13" s="4326" t="e">
        <f t="shared" si="50"/>
        <v>#DIV/0!</v>
      </c>
      <c r="BO13" s="1055"/>
      <c r="BP13" s="3341"/>
      <c r="BQ13" s="3341"/>
      <c r="BR13" s="3349">
        <f t="shared" si="36"/>
        <v>0</v>
      </c>
      <c r="BS13" s="4326" t="e">
        <f t="shared" si="51"/>
        <v>#DIV/0!</v>
      </c>
      <c r="BT13" s="1055"/>
      <c r="BU13" s="3341"/>
      <c r="BV13" s="3341"/>
      <c r="BW13" s="3349">
        <f t="shared" si="37"/>
        <v>0</v>
      </c>
      <c r="BX13" s="4326" t="e">
        <f t="shared" si="52"/>
        <v>#DIV/0!</v>
      </c>
      <c r="BY13" s="1055"/>
      <c r="BZ13" s="3341"/>
      <c r="CA13" s="3341"/>
      <c r="CB13" s="3349">
        <f t="shared" si="38"/>
        <v>0</v>
      </c>
      <c r="CC13" s="4326" t="e">
        <f t="shared" si="53"/>
        <v>#DIV/0!</v>
      </c>
      <c r="CD13" s="1055"/>
      <c r="CE13" s="3341"/>
      <c r="CF13" s="3341"/>
      <c r="CG13" s="3349">
        <f t="shared" si="39"/>
        <v>0</v>
      </c>
      <c r="CH13" s="4326" t="e">
        <f t="shared" si="54"/>
        <v>#DIV/0!</v>
      </c>
      <c r="CI13" s="1055"/>
      <c r="CJ13" s="3341">
        <f t="shared" si="55"/>
        <v>0</v>
      </c>
      <c r="CK13" s="3341">
        <f t="shared" si="55"/>
        <v>0</v>
      </c>
      <c r="CL13" s="3349">
        <f t="shared" si="56"/>
        <v>0</v>
      </c>
      <c r="CM13" s="4326">
        <f t="shared" si="40"/>
        <v>0</v>
      </c>
      <c r="CN13" s="1434"/>
      <c r="CP13" s="4320"/>
      <c r="CQ13" s="2012">
        <f t="shared" si="41"/>
        <v>0</v>
      </c>
      <c r="CR13" s="4322">
        <f t="shared" si="57"/>
        <v>0</v>
      </c>
      <c r="CT13" s="3443"/>
    </row>
    <row r="14" spans="1:101" s="1396" customFormat="1" ht="13.8" outlineLevel="2">
      <c r="A14" s="1571"/>
      <c r="B14" s="1424" t="s">
        <v>70</v>
      </c>
      <c r="C14" s="3341"/>
      <c r="D14" s="3341"/>
      <c r="E14" s="3349">
        <f t="shared" si="20"/>
        <v>0</v>
      </c>
      <c r="F14" s="4326" t="e">
        <f t="shared" si="17"/>
        <v>#DIV/0!</v>
      </c>
      <c r="G14" s="1055"/>
      <c r="H14" s="3341"/>
      <c r="I14" s="3341"/>
      <c r="J14" s="3349">
        <f t="shared" si="21"/>
        <v>0</v>
      </c>
      <c r="K14" s="4326" t="e">
        <f t="shared" si="42"/>
        <v>#DIV/0!</v>
      </c>
      <c r="L14" s="1055"/>
      <c r="M14" s="3341"/>
      <c r="N14" s="3341"/>
      <c r="O14" s="3349">
        <f t="shared" si="22"/>
        <v>0</v>
      </c>
      <c r="P14" s="4326" t="e">
        <f t="shared" si="23"/>
        <v>#DIV/0!</v>
      </c>
      <c r="Q14" s="1055"/>
      <c r="R14" s="3342">
        <f t="shared" si="24"/>
        <v>0</v>
      </c>
      <c r="S14" s="3342">
        <f t="shared" si="24"/>
        <v>0</v>
      </c>
      <c r="T14" s="2012">
        <f t="shared" si="25"/>
        <v>0</v>
      </c>
      <c r="U14" s="1055"/>
      <c r="V14" s="1055"/>
      <c r="W14" s="3342">
        <f t="shared" si="26"/>
        <v>0</v>
      </c>
      <c r="X14" s="3342">
        <f t="shared" si="26"/>
        <v>0</v>
      </c>
      <c r="Y14" s="2012">
        <f t="shared" si="27"/>
        <v>0</v>
      </c>
      <c r="Z14" s="1055"/>
      <c r="AA14" s="1055"/>
      <c r="AB14" s="3341"/>
      <c r="AC14" s="3341"/>
      <c r="AD14" s="3349">
        <f t="shared" si="28"/>
        <v>0</v>
      </c>
      <c r="AE14" s="4326">
        <f t="shared" si="43"/>
        <v>0</v>
      </c>
      <c r="AF14" s="3720"/>
      <c r="AG14" s="3341"/>
      <c r="AH14" s="3341"/>
      <c r="AI14" s="3349">
        <f t="shared" si="29"/>
        <v>0</v>
      </c>
      <c r="AJ14" s="4326" t="e">
        <f t="shared" si="44"/>
        <v>#DIV/0!</v>
      </c>
      <c r="AK14" s="1055"/>
      <c r="AL14" s="3341"/>
      <c r="AM14" s="3341"/>
      <c r="AN14" s="3349">
        <f t="shared" si="30"/>
        <v>0</v>
      </c>
      <c r="AO14" s="4326">
        <f t="shared" si="45"/>
        <v>0</v>
      </c>
      <c r="AP14" s="1055"/>
      <c r="AQ14" s="3341"/>
      <c r="AR14" s="3341"/>
      <c r="AS14" s="3349">
        <f t="shared" si="31"/>
        <v>0</v>
      </c>
      <c r="AT14" s="4326" t="e">
        <f t="shared" si="46"/>
        <v>#DIV/0!</v>
      </c>
      <c r="AU14" s="1055"/>
      <c r="AV14" s="3341"/>
      <c r="AW14" s="3341"/>
      <c r="AX14" s="3349">
        <f t="shared" si="32"/>
        <v>0</v>
      </c>
      <c r="AY14" s="4326">
        <f t="shared" si="47"/>
        <v>0</v>
      </c>
      <c r="AZ14" s="1055"/>
      <c r="BA14" s="3341"/>
      <c r="BB14" s="3341"/>
      <c r="BC14" s="3349">
        <f t="shared" si="33"/>
        <v>0</v>
      </c>
      <c r="BD14" s="4326" t="e">
        <f t="shared" si="48"/>
        <v>#DIV/0!</v>
      </c>
      <c r="BE14" s="1055"/>
      <c r="BF14" s="3341"/>
      <c r="BG14" s="3341"/>
      <c r="BH14" s="3349">
        <f t="shared" si="34"/>
        <v>0</v>
      </c>
      <c r="BI14" s="4326" t="e">
        <f t="shared" si="49"/>
        <v>#DIV/0!</v>
      </c>
      <c r="BJ14" s="1055"/>
      <c r="BK14" s="3341"/>
      <c r="BL14" s="3341"/>
      <c r="BM14" s="3349">
        <f t="shared" si="35"/>
        <v>0</v>
      </c>
      <c r="BN14" s="4326" t="e">
        <f t="shared" si="50"/>
        <v>#DIV/0!</v>
      </c>
      <c r="BO14" s="1055"/>
      <c r="BP14" s="3341"/>
      <c r="BQ14" s="3341"/>
      <c r="BR14" s="3349">
        <f t="shared" si="36"/>
        <v>0</v>
      </c>
      <c r="BS14" s="4326" t="e">
        <f t="shared" si="51"/>
        <v>#DIV/0!</v>
      </c>
      <c r="BT14" s="1055"/>
      <c r="BU14" s="3341"/>
      <c r="BV14" s="3341"/>
      <c r="BW14" s="3349">
        <f t="shared" si="37"/>
        <v>0</v>
      </c>
      <c r="BX14" s="4326" t="e">
        <f t="shared" si="52"/>
        <v>#DIV/0!</v>
      </c>
      <c r="BY14" s="1055"/>
      <c r="BZ14" s="3341"/>
      <c r="CA14" s="3341"/>
      <c r="CB14" s="3349">
        <f t="shared" si="38"/>
        <v>0</v>
      </c>
      <c r="CC14" s="4326" t="e">
        <f t="shared" si="53"/>
        <v>#DIV/0!</v>
      </c>
      <c r="CD14" s="1055"/>
      <c r="CE14" s="3341"/>
      <c r="CF14" s="3341"/>
      <c r="CG14" s="3349">
        <f t="shared" si="39"/>
        <v>0</v>
      </c>
      <c r="CH14" s="4326" t="e">
        <f t="shared" si="54"/>
        <v>#DIV/0!</v>
      </c>
      <c r="CI14" s="1055"/>
      <c r="CJ14" s="3341">
        <f t="shared" si="55"/>
        <v>0</v>
      </c>
      <c r="CK14" s="3341">
        <f t="shared" si="55"/>
        <v>0</v>
      </c>
      <c r="CL14" s="3349">
        <f t="shared" si="56"/>
        <v>0</v>
      </c>
      <c r="CM14" s="4326">
        <f t="shared" si="40"/>
        <v>0</v>
      </c>
      <c r="CN14" s="1434"/>
      <c r="CP14" s="4320"/>
      <c r="CQ14" s="2012">
        <f t="shared" si="41"/>
        <v>0</v>
      </c>
      <c r="CR14" s="4322">
        <f t="shared" si="57"/>
        <v>0</v>
      </c>
      <c r="CT14" s="3443"/>
    </row>
    <row r="15" spans="1:101" s="1396" customFormat="1" ht="13.8" outlineLevel="2">
      <c r="A15" s="1571"/>
      <c r="B15" s="4327" t="s">
        <v>20</v>
      </c>
      <c r="C15" s="3341"/>
      <c r="D15" s="3341"/>
      <c r="E15" s="3349">
        <f t="shared" si="20"/>
        <v>0</v>
      </c>
      <c r="F15" s="4326" t="e">
        <f t="shared" si="17"/>
        <v>#DIV/0!</v>
      </c>
      <c r="G15" s="1055"/>
      <c r="H15" s="3341"/>
      <c r="I15" s="3341"/>
      <c r="J15" s="3349">
        <f t="shared" si="21"/>
        <v>0</v>
      </c>
      <c r="K15" s="4326" t="e">
        <f t="shared" si="42"/>
        <v>#DIV/0!</v>
      </c>
      <c r="L15" s="1055"/>
      <c r="M15" s="3341"/>
      <c r="N15" s="3341"/>
      <c r="O15" s="3349">
        <f t="shared" si="22"/>
        <v>0</v>
      </c>
      <c r="P15" s="4326" t="e">
        <f t="shared" si="23"/>
        <v>#DIV/0!</v>
      </c>
      <c r="Q15" s="1055"/>
      <c r="R15" s="3342">
        <f t="shared" si="24"/>
        <v>0</v>
      </c>
      <c r="S15" s="3342">
        <f t="shared" si="24"/>
        <v>0</v>
      </c>
      <c r="T15" s="2012">
        <f t="shared" si="25"/>
        <v>0</v>
      </c>
      <c r="U15" s="1055"/>
      <c r="V15" s="1055"/>
      <c r="W15" s="3342">
        <f t="shared" si="26"/>
        <v>0</v>
      </c>
      <c r="X15" s="3342">
        <f t="shared" si="26"/>
        <v>0</v>
      </c>
      <c r="Y15" s="2012">
        <f t="shared" si="27"/>
        <v>0</v>
      </c>
      <c r="Z15" s="1055"/>
      <c r="AA15" s="1055"/>
      <c r="AB15" s="3341"/>
      <c r="AC15" s="3341"/>
      <c r="AD15" s="3349">
        <f t="shared" si="28"/>
        <v>0</v>
      </c>
      <c r="AE15" s="4326">
        <f t="shared" si="43"/>
        <v>0</v>
      </c>
      <c r="AF15" s="3720"/>
      <c r="AG15" s="3341"/>
      <c r="AH15" s="3341"/>
      <c r="AI15" s="3349">
        <f t="shared" si="29"/>
        <v>0</v>
      </c>
      <c r="AJ15" s="4326" t="e">
        <f t="shared" si="44"/>
        <v>#DIV/0!</v>
      </c>
      <c r="AK15" s="1055"/>
      <c r="AL15" s="3341"/>
      <c r="AM15" s="3341"/>
      <c r="AN15" s="3349">
        <f t="shared" si="30"/>
        <v>0</v>
      </c>
      <c r="AO15" s="4326">
        <f t="shared" si="45"/>
        <v>0</v>
      </c>
      <c r="AP15" s="1055"/>
      <c r="AQ15" s="3341"/>
      <c r="AR15" s="3341"/>
      <c r="AS15" s="3349">
        <f t="shared" si="31"/>
        <v>0</v>
      </c>
      <c r="AT15" s="4326" t="e">
        <f t="shared" si="46"/>
        <v>#DIV/0!</v>
      </c>
      <c r="AU15" s="1055"/>
      <c r="AV15" s="3341"/>
      <c r="AW15" s="3341"/>
      <c r="AX15" s="3349">
        <f t="shared" si="32"/>
        <v>0</v>
      </c>
      <c r="AY15" s="4326">
        <f t="shared" si="47"/>
        <v>0</v>
      </c>
      <c r="AZ15" s="1055"/>
      <c r="BA15" s="3341"/>
      <c r="BB15" s="3341"/>
      <c r="BC15" s="3349">
        <f t="shared" si="33"/>
        <v>0</v>
      </c>
      <c r="BD15" s="4326" t="e">
        <f t="shared" si="48"/>
        <v>#DIV/0!</v>
      </c>
      <c r="BE15" s="1055"/>
      <c r="BF15" s="3341"/>
      <c r="BG15" s="3341"/>
      <c r="BH15" s="3349">
        <f t="shared" si="34"/>
        <v>0</v>
      </c>
      <c r="BI15" s="4326" t="e">
        <f t="shared" si="49"/>
        <v>#DIV/0!</v>
      </c>
      <c r="BJ15" s="1055"/>
      <c r="BK15" s="3341"/>
      <c r="BL15" s="3341"/>
      <c r="BM15" s="3349">
        <f t="shared" si="35"/>
        <v>0</v>
      </c>
      <c r="BN15" s="4326" t="e">
        <f t="shared" si="50"/>
        <v>#DIV/0!</v>
      </c>
      <c r="BO15" s="1055"/>
      <c r="BP15" s="3341"/>
      <c r="BQ15" s="3341"/>
      <c r="BR15" s="3349">
        <f t="shared" si="36"/>
        <v>0</v>
      </c>
      <c r="BS15" s="4326" t="e">
        <f t="shared" si="51"/>
        <v>#DIV/0!</v>
      </c>
      <c r="BT15" s="1055"/>
      <c r="BU15" s="3341"/>
      <c r="BV15" s="3341"/>
      <c r="BW15" s="3349">
        <f t="shared" si="37"/>
        <v>0</v>
      </c>
      <c r="BX15" s="4326" t="e">
        <f t="shared" si="52"/>
        <v>#DIV/0!</v>
      </c>
      <c r="BY15" s="1055"/>
      <c r="BZ15" s="3341"/>
      <c r="CA15" s="3341"/>
      <c r="CB15" s="3349">
        <f t="shared" si="38"/>
        <v>0</v>
      </c>
      <c r="CC15" s="4326" t="e">
        <f t="shared" si="53"/>
        <v>#DIV/0!</v>
      </c>
      <c r="CD15" s="1055"/>
      <c r="CE15" s="3341"/>
      <c r="CF15" s="3341"/>
      <c r="CG15" s="3349">
        <f t="shared" si="39"/>
        <v>0</v>
      </c>
      <c r="CH15" s="4326" t="e">
        <f t="shared" si="54"/>
        <v>#DIV/0!</v>
      </c>
      <c r="CI15" s="1055"/>
      <c r="CJ15" s="3341">
        <f t="shared" si="55"/>
        <v>0</v>
      </c>
      <c r="CK15" s="3341">
        <f t="shared" si="55"/>
        <v>0</v>
      </c>
      <c r="CL15" s="3349">
        <f t="shared" si="56"/>
        <v>0</v>
      </c>
      <c r="CM15" s="4326">
        <f t="shared" si="40"/>
        <v>0</v>
      </c>
      <c r="CN15" s="1434"/>
      <c r="CP15" s="4320"/>
      <c r="CQ15" s="2012">
        <f t="shared" si="41"/>
        <v>0</v>
      </c>
      <c r="CR15" s="4322">
        <f t="shared" si="57"/>
        <v>0</v>
      </c>
      <c r="CT15" s="3443"/>
    </row>
    <row r="16" spans="1:101" s="1396" customFormat="1" ht="13.8" outlineLevel="2">
      <c r="A16" s="1571"/>
      <c r="B16" s="4327" t="s">
        <v>21</v>
      </c>
      <c r="C16" s="3341"/>
      <c r="D16" s="3341"/>
      <c r="E16" s="3349">
        <f t="shared" si="20"/>
        <v>0</v>
      </c>
      <c r="F16" s="4326" t="e">
        <f t="shared" si="17"/>
        <v>#DIV/0!</v>
      </c>
      <c r="G16" s="1055"/>
      <c r="H16" s="3341"/>
      <c r="I16" s="3341"/>
      <c r="J16" s="3349">
        <f t="shared" si="21"/>
        <v>0</v>
      </c>
      <c r="K16" s="4326" t="e">
        <f t="shared" si="42"/>
        <v>#DIV/0!</v>
      </c>
      <c r="L16" s="1055"/>
      <c r="M16" s="3341"/>
      <c r="N16" s="3341"/>
      <c r="O16" s="3349">
        <f t="shared" si="22"/>
        <v>0</v>
      </c>
      <c r="P16" s="4326" t="e">
        <f t="shared" si="23"/>
        <v>#DIV/0!</v>
      </c>
      <c r="Q16" s="1055"/>
      <c r="R16" s="3342">
        <f t="shared" si="24"/>
        <v>0</v>
      </c>
      <c r="S16" s="3342">
        <f t="shared" si="24"/>
        <v>0</v>
      </c>
      <c r="T16" s="2012">
        <f t="shared" si="25"/>
        <v>0</v>
      </c>
      <c r="U16" s="1055"/>
      <c r="V16" s="1055"/>
      <c r="W16" s="3342">
        <f t="shared" si="26"/>
        <v>0</v>
      </c>
      <c r="X16" s="3342">
        <f t="shared" si="26"/>
        <v>0</v>
      </c>
      <c r="Y16" s="2012">
        <f t="shared" si="27"/>
        <v>0</v>
      </c>
      <c r="Z16" s="1055"/>
      <c r="AA16" s="1055"/>
      <c r="AB16" s="3341"/>
      <c r="AC16" s="3341"/>
      <c r="AD16" s="3349">
        <f t="shared" si="28"/>
        <v>0</v>
      </c>
      <c r="AE16" s="4326">
        <f t="shared" si="43"/>
        <v>0</v>
      </c>
      <c r="AF16" s="3720"/>
      <c r="AG16" s="3341"/>
      <c r="AH16" s="3341"/>
      <c r="AI16" s="3349">
        <f t="shared" si="29"/>
        <v>0</v>
      </c>
      <c r="AJ16" s="4326" t="e">
        <f t="shared" si="44"/>
        <v>#DIV/0!</v>
      </c>
      <c r="AK16" s="1055"/>
      <c r="AL16" s="3341"/>
      <c r="AM16" s="3341"/>
      <c r="AN16" s="3349">
        <f t="shared" si="30"/>
        <v>0</v>
      </c>
      <c r="AO16" s="4326">
        <f t="shared" si="45"/>
        <v>0</v>
      </c>
      <c r="AP16" s="1055"/>
      <c r="AQ16" s="3341"/>
      <c r="AR16" s="3341"/>
      <c r="AS16" s="3349">
        <f t="shared" si="31"/>
        <v>0</v>
      </c>
      <c r="AT16" s="4326" t="e">
        <f t="shared" si="46"/>
        <v>#DIV/0!</v>
      </c>
      <c r="AU16" s="1055"/>
      <c r="AV16" s="3341"/>
      <c r="AW16" s="3341"/>
      <c r="AX16" s="3349">
        <f t="shared" si="32"/>
        <v>0</v>
      </c>
      <c r="AY16" s="4326">
        <f t="shared" si="47"/>
        <v>0</v>
      </c>
      <c r="AZ16" s="1055"/>
      <c r="BA16" s="3341"/>
      <c r="BB16" s="3341"/>
      <c r="BC16" s="3349">
        <f t="shared" si="33"/>
        <v>0</v>
      </c>
      <c r="BD16" s="4326" t="e">
        <f t="shared" si="48"/>
        <v>#DIV/0!</v>
      </c>
      <c r="BE16" s="1055"/>
      <c r="BF16" s="3341"/>
      <c r="BG16" s="3341"/>
      <c r="BH16" s="3349">
        <f t="shared" si="34"/>
        <v>0</v>
      </c>
      <c r="BI16" s="4326" t="e">
        <f t="shared" si="49"/>
        <v>#DIV/0!</v>
      </c>
      <c r="BJ16" s="1055"/>
      <c r="BK16" s="3341"/>
      <c r="BL16" s="3341"/>
      <c r="BM16" s="3349">
        <f t="shared" si="35"/>
        <v>0</v>
      </c>
      <c r="BN16" s="4326" t="e">
        <f t="shared" si="50"/>
        <v>#DIV/0!</v>
      </c>
      <c r="BO16" s="1055"/>
      <c r="BP16" s="3341"/>
      <c r="BQ16" s="3341"/>
      <c r="BR16" s="3349">
        <f t="shared" si="36"/>
        <v>0</v>
      </c>
      <c r="BS16" s="4326" t="e">
        <f t="shared" si="51"/>
        <v>#DIV/0!</v>
      </c>
      <c r="BT16" s="1055"/>
      <c r="BU16" s="3341"/>
      <c r="BV16" s="3341"/>
      <c r="BW16" s="3349">
        <f t="shared" si="37"/>
        <v>0</v>
      </c>
      <c r="BX16" s="4326" t="e">
        <f t="shared" si="52"/>
        <v>#DIV/0!</v>
      </c>
      <c r="BY16" s="1055"/>
      <c r="BZ16" s="3341"/>
      <c r="CA16" s="3341"/>
      <c r="CB16" s="3349">
        <f t="shared" si="38"/>
        <v>0</v>
      </c>
      <c r="CC16" s="4326" t="e">
        <f t="shared" si="53"/>
        <v>#DIV/0!</v>
      </c>
      <c r="CD16" s="1055"/>
      <c r="CE16" s="3341"/>
      <c r="CF16" s="3341"/>
      <c r="CG16" s="3349">
        <f t="shared" si="39"/>
        <v>0</v>
      </c>
      <c r="CH16" s="4326" t="e">
        <f t="shared" si="54"/>
        <v>#DIV/0!</v>
      </c>
      <c r="CI16" s="1055"/>
      <c r="CJ16" s="3341">
        <f t="shared" si="55"/>
        <v>0</v>
      </c>
      <c r="CK16" s="3341">
        <f t="shared" si="55"/>
        <v>0</v>
      </c>
      <c r="CL16" s="3349">
        <f>CJ16+CK16*1</f>
        <v>0</v>
      </c>
      <c r="CM16" s="4326">
        <f t="shared" si="40"/>
        <v>0</v>
      </c>
      <c r="CN16" s="1434"/>
      <c r="CP16" s="4320"/>
      <c r="CQ16" s="2012">
        <f t="shared" si="41"/>
        <v>0</v>
      </c>
      <c r="CR16" s="4322">
        <f t="shared" si="57"/>
        <v>0</v>
      </c>
      <c r="CT16" s="3443"/>
    </row>
    <row r="17" spans="1:101" s="1396" customFormat="1" ht="13.8" outlineLevel="2">
      <c r="A17" s="1571"/>
      <c r="B17" s="4327" t="s">
        <v>22</v>
      </c>
      <c r="C17" s="3341"/>
      <c r="D17" s="3341"/>
      <c r="E17" s="3349">
        <f t="shared" si="20"/>
        <v>0</v>
      </c>
      <c r="F17" s="4326" t="e">
        <f t="shared" si="17"/>
        <v>#DIV/0!</v>
      </c>
      <c r="G17" s="2047"/>
      <c r="H17" s="3341"/>
      <c r="I17" s="3341"/>
      <c r="J17" s="3349">
        <f t="shared" si="21"/>
        <v>0</v>
      </c>
      <c r="K17" s="4326" t="e">
        <f t="shared" si="42"/>
        <v>#DIV/0!</v>
      </c>
      <c r="L17" s="2047"/>
      <c r="M17" s="3341"/>
      <c r="N17" s="3341"/>
      <c r="O17" s="3349">
        <f t="shared" si="22"/>
        <v>0</v>
      </c>
      <c r="P17" s="4326" t="e">
        <f t="shared" si="23"/>
        <v>#DIV/0!</v>
      </c>
      <c r="Q17" s="2047"/>
      <c r="R17" s="3342">
        <f t="shared" si="24"/>
        <v>0</v>
      </c>
      <c r="S17" s="3342">
        <f t="shared" si="24"/>
        <v>0</v>
      </c>
      <c r="T17" s="2012">
        <f t="shared" si="25"/>
        <v>0</v>
      </c>
      <c r="U17" s="2047"/>
      <c r="V17" s="2047"/>
      <c r="W17" s="3342">
        <f t="shared" si="26"/>
        <v>0</v>
      </c>
      <c r="X17" s="3342">
        <f t="shared" si="26"/>
        <v>0</v>
      </c>
      <c r="Y17" s="2012">
        <f t="shared" si="27"/>
        <v>0</v>
      </c>
      <c r="Z17" s="2047"/>
      <c r="AA17" s="2047"/>
      <c r="AB17" s="3341"/>
      <c r="AC17" s="3341"/>
      <c r="AD17" s="3349">
        <f t="shared" si="28"/>
        <v>0</v>
      </c>
      <c r="AE17" s="4326">
        <f t="shared" si="43"/>
        <v>0</v>
      </c>
      <c r="AF17" s="3780"/>
      <c r="AG17" s="3341"/>
      <c r="AH17" s="3341"/>
      <c r="AI17" s="3349">
        <f t="shared" si="29"/>
        <v>0</v>
      </c>
      <c r="AJ17" s="4326" t="e">
        <f t="shared" si="44"/>
        <v>#DIV/0!</v>
      </c>
      <c r="AK17" s="2047"/>
      <c r="AL17" s="3341"/>
      <c r="AM17" s="3341"/>
      <c r="AN17" s="3349">
        <f t="shared" si="30"/>
        <v>0</v>
      </c>
      <c r="AO17" s="4326">
        <f t="shared" si="45"/>
        <v>0</v>
      </c>
      <c r="AP17" s="2047"/>
      <c r="AQ17" s="3341"/>
      <c r="AR17" s="3341"/>
      <c r="AS17" s="3349">
        <f t="shared" si="31"/>
        <v>0</v>
      </c>
      <c r="AT17" s="4326" t="e">
        <f t="shared" si="46"/>
        <v>#DIV/0!</v>
      </c>
      <c r="AU17" s="2047"/>
      <c r="AV17" s="3341"/>
      <c r="AW17" s="3341"/>
      <c r="AX17" s="3349">
        <f t="shared" si="32"/>
        <v>0</v>
      </c>
      <c r="AY17" s="4326">
        <f t="shared" si="47"/>
        <v>0</v>
      </c>
      <c r="AZ17" s="2047"/>
      <c r="BA17" s="3341"/>
      <c r="BB17" s="3341"/>
      <c r="BC17" s="3349">
        <f t="shared" si="33"/>
        <v>0</v>
      </c>
      <c r="BD17" s="4326" t="e">
        <f t="shared" si="48"/>
        <v>#DIV/0!</v>
      </c>
      <c r="BE17" s="2047"/>
      <c r="BF17" s="3341"/>
      <c r="BG17" s="3341"/>
      <c r="BH17" s="3349">
        <f t="shared" si="34"/>
        <v>0</v>
      </c>
      <c r="BI17" s="4326" t="e">
        <f t="shared" si="49"/>
        <v>#DIV/0!</v>
      </c>
      <c r="BJ17" s="2047"/>
      <c r="BK17" s="3341"/>
      <c r="BL17" s="3341"/>
      <c r="BM17" s="3349">
        <f t="shared" si="35"/>
        <v>0</v>
      </c>
      <c r="BN17" s="4326" t="e">
        <f t="shared" si="50"/>
        <v>#DIV/0!</v>
      </c>
      <c r="BO17" s="2047"/>
      <c r="BP17" s="3341"/>
      <c r="BQ17" s="3341"/>
      <c r="BR17" s="3349">
        <f t="shared" si="36"/>
        <v>0</v>
      </c>
      <c r="BS17" s="4326" t="e">
        <f t="shared" si="51"/>
        <v>#DIV/0!</v>
      </c>
      <c r="BT17" s="2047"/>
      <c r="BU17" s="3341"/>
      <c r="BV17" s="3341"/>
      <c r="BW17" s="3349">
        <f t="shared" si="37"/>
        <v>0</v>
      </c>
      <c r="BX17" s="4326" t="e">
        <f t="shared" si="52"/>
        <v>#DIV/0!</v>
      </c>
      <c r="BY17" s="2047"/>
      <c r="BZ17" s="3341"/>
      <c r="CA17" s="3341"/>
      <c r="CB17" s="3349">
        <f t="shared" si="38"/>
        <v>0</v>
      </c>
      <c r="CC17" s="4326" t="e">
        <f t="shared" si="53"/>
        <v>#DIV/0!</v>
      </c>
      <c r="CD17" s="2047"/>
      <c r="CE17" s="3341"/>
      <c r="CF17" s="3341"/>
      <c r="CG17" s="3349">
        <f t="shared" si="39"/>
        <v>0</v>
      </c>
      <c r="CH17" s="4326" t="e">
        <f t="shared" si="54"/>
        <v>#DIV/0!</v>
      </c>
      <c r="CI17" s="2047"/>
      <c r="CJ17" s="3341">
        <f t="shared" si="55"/>
        <v>0</v>
      </c>
      <c r="CK17" s="3341">
        <f t="shared" si="55"/>
        <v>0</v>
      </c>
      <c r="CL17" s="3349">
        <f t="shared" si="56"/>
        <v>0</v>
      </c>
      <c r="CM17" s="4326">
        <f t="shared" si="40"/>
        <v>0</v>
      </c>
      <c r="CN17" s="1434"/>
      <c r="CP17" s="4320"/>
      <c r="CQ17" s="2012">
        <f t="shared" si="41"/>
        <v>0</v>
      </c>
      <c r="CR17" s="4322">
        <f t="shared" si="57"/>
        <v>0</v>
      </c>
      <c r="CS17" s="3307"/>
      <c r="CT17" s="3443"/>
    </row>
    <row r="18" spans="1:101" s="1396" customFormat="1" ht="26.4" outlineLevel="2">
      <c r="A18" s="1571"/>
      <c r="B18" s="4327" t="s">
        <v>0</v>
      </c>
      <c r="C18" s="3341"/>
      <c r="D18" s="3341"/>
      <c r="E18" s="3349">
        <f t="shared" si="20"/>
        <v>0</v>
      </c>
      <c r="F18" s="4326" t="e">
        <f t="shared" si="17"/>
        <v>#DIV/0!</v>
      </c>
      <c r="G18" s="1055"/>
      <c r="H18" s="3341"/>
      <c r="I18" s="3341"/>
      <c r="J18" s="3349">
        <f t="shared" si="21"/>
        <v>0</v>
      </c>
      <c r="K18" s="4326" t="e">
        <f t="shared" si="42"/>
        <v>#DIV/0!</v>
      </c>
      <c r="L18" s="1055"/>
      <c r="M18" s="3341"/>
      <c r="N18" s="3341"/>
      <c r="O18" s="3349">
        <f t="shared" si="22"/>
        <v>0</v>
      </c>
      <c r="P18" s="4326" t="e">
        <f t="shared" si="23"/>
        <v>#DIV/0!</v>
      </c>
      <c r="Q18" s="1055"/>
      <c r="R18" s="3342">
        <f t="shared" si="24"/>
        <v>0</v>
      </c>
      <c r="S18" s="3342">
        <f t="shared" si="24"/>
        <v>0</v>
      </c>
      <c r="T18" s="2012">
        <f t="shared" si="25"/>
        <v>0</v>
      </c>
      <c r="U18" s="1055"/>
      <c r="V18" s="1055"/>
      <c r="W18" s="3342">
        <f t="shared" si="26"/>
        <v>2001</v>
      </c>
      <c r="X18" s="3342">
        <f t="shared" si="26"/>
        <v>0</v>
      </c>
      <c r="Y18" s="2012">
        <f t="shared" si="27"/>
        <v>2001</v>
      </c>
      <c r="Z18" s="1055"/>
      <c r="AA18" s="1055"/>
      <c r="AB18" s="3341">
        <v>2001</v>
      </c>
      <c r="AC18" s="3341"/>
      <c r="AD18" s="3349">
        <f t="shared" si="28"/>
        <v>2001</v>
      </c>
      <c r="AE18" s="4326">
        <f t="shared" si="43"/>
        <v>9.2139782285570668E-3</v>
      </c>
      <c r="AF18" s="3780" t="s">
        <v>1887</v>
      </c>
      <c r="AG18" s="3341"/>
      <c r="AH18" s="3341"/>
      <c r="AI18" s="3349">
        <f t="shared" si="29"/>
        <v>0</v>
      </c>
      <c r="AJ18" s="4326" t="e">
        <f t="shared" si="44"/>
        <v>#DIV/0!</v>
      </c>
      <c r="AK18" s="1055"/>
      <c r="AL18" s="3341"/>
      <c r="AM18" s="3341"/>
      <c r="AN18" s="3349">
        <f t="shared" si="30"/>
        <v>0</v>
      </c>
      <c r="AO18" s="4326">
        <f t="shared" si="45"/>
        <v>0</v>
      </c>
      <c r="AP18" s="1055"/>
      <c r="AQ18" s="3341"/>
      <c r="AR18" s="3341"/>
      <c r="AS18" s="3349">
        <f t="shared" si="31"/>
        <v>0</v>
      </c>
      <c r="AT18" s="4326" t="e">
        <f t="shared" si="46"/>
        <v>#DIV/0!</v>
      </c>
      <c r="AU18" s="1055"/>
      <c r="AV18" s="3341"/>
      <c r="AW18" s="3341"/>
      <c r="AX18" s="3349">
        <f t="shared" si="32"/>
        <v>0</v>
      </c>
      <c r="AY18" s="4326">
        <f t="shared" si="47"/>
        <v>0</v>
      </c>
      <c r="AZ18" s="1055"/>
      <c r="BA18" s="3341"/>
      <c r="BB18" s="3341"/>
      <c r="BC18" s="3349">
        <f t="shared" si="33"/>
        <v>0</v>
      </c>
      <c r="BD18" s="4326" t="e">
        <f t="shared" si="48"/>
        <v>#DIV/0!</v>
      </c>
      <c r="BE18" s="1055"/>
      <c r="BF18" s="3341"/>
      <c r="BG18" s="3341"/>
      <c r="BH18" s="3349">
        <f t="shared" si="34"/>
        <v>0</v>
      </c>
      <c r="BI18" s="4326" t="e">
        <f t="shared" si="49"/>
        <v>#DIV/0!</v>
      </c>
      <c r="BJ18" s="1055"/>
      <c r="BK18" s="3341"/>
      <c r="BL18" s="3341"/>
      <c r="BM18" s="3349">
        <f t="shared" si="35"/>
        <v>0</v>
      </c>
      <c r="BN18" s="4326" t="e">
        <f t="shared" si="50"/>
        <v>#DIV/0!</v>
      </c>
      <c r="BO18" s="1055"/>
      <c r="BP18" s="3341"/>
      <c r="BQ18" s="3341"/>
      <c r="BR18" s="3349">
        <f t="shared" si="36"/>
        <v>0</v>
      </c>
      <c r="BS18" s="4326" t="e">
        <f t="shared" si="51"/>
        <v>#DIV/0!</v>
      </c>
      <c r="BT18" s="1055"/>
      <c r="BU18" s="3341"/>
      <c r="BV18" s="3341"/>
      <c r="BW18" s="3349">
        <f t="shared" si="37"/>
        <v>0</v>
      </c>
      <c r="BX18" s="4326" t="e">
        <f t="shared" si="52"/>
        <v>#DIV/0!</v>
      </c>
      <c r="BY18" s="1055"/>
      <c r="BZ18" s="3341"/>
      <c r="CA18" s="3341"/>
      <c r="CB18" s="3349">
        <f t="shared" si="38"/>
        <v>0</v>
      </c>
      <c r="CC18" s="4326" t="e">
        <f t="shared" si="53"/>
        <v>#DIV/0!</v>
      </c>
      <c r="CD18" s="1055"/>
      <c r="CE18" s="3341"/>
      <c r="CF18" s="3341"/>
      <c r="CG18" s="3349">
        <f t="shared" si="39"/>
        <v>0</v>
      </c>
      <c r="CH18" s="4326" t="e">
        <f t="shared" si="54"/>
        <v>#DIV/0!</v>
      </c>
      <c r="CI18" s="1055"/>
      <c r="CJ18" s="3341">
        <f>C18+H18+M18+W18+20010</f>
        <v>22011</v>
      </c>
      <c r="CK18" s="3341">
        <f>D18+I18+N18+X18+6951.21+10000</f>
        <v>16951.21</v>
      </c>
      <c r="CL18" s="3349">
        <f t="shared" si="56"/>
        <v>38962.21</v>
      </c>
      <c r="CM18" s="4326">
        <f t="shared" si="40"/>
        <v>3.1204998442856249E-2</v>
      </c>
      <c r="CN18" s="1434"/>
      <c r="CP18" s="4320">
        <v>174500</v>
      </c>
      <c r="CQ18" s="2012">
        <f t="shared" si="41"/>
        <v>38962.21</v>
      </c>
      <c r="CR18" s="4322">
        <f t="shared" si="57"/>
        <v>135537.79</v>
      </c>
      <c r="CT18" s="4319">
        <f>CR18/CP18</f>
        <v>0.77672085959885395</v>
      </c>
      <c r="CW18" s="4319">
        <f>CR18/CP18</f>
        <v>0.77672085959885395</v>
      </c>
    </row>
    <row r="19" spans="1:101" s="1396" customFormat="1" ht="13.8" outlineLevel="2">
      <c r="A19" s="1571"/>
      <c r="B19" s="4327" t="s">
        <v>53</v>
      </c>
      <c r="C19" s="3341"/>
      <c r="D19" s="3341"/>
      <c r="E19" s="3349">
        <f t="shared" si="20"/>
        <v>0</v>
      </c>
      <c r="F19" s="4326" t="e">
        <f t="shared" si="17"/>
        <v>#DIV/0!</v>
      </c>
      <c r="G19" s="1055"/>
      <c r="H19" s="3341"/>
      <c r="I19" s="3341"/>
      <c r="J19" s="3349">
        <f t="shared" si="21"/>
        <v>0</v>
      </c>
      <c r="K19" s="4326" t="e">
        <f t="shared" si="42"/>
        <v>#DIV/0!</v>
      </c>
      <c r="L19" s="1055"/>
      <c r="M19" s="3341"/>
      <c r="N19" s="3341"/>
      <c r="O19" s="3349">
        <f t="shared" si="22"/>
        <v>0</v>
      </c>
      <c r="P19" s="4326" t="e">
        <f t="shared" si="23"/>
        <v>#DIV/0!</v>
      </c>
      <c r="Q19" s="1055"/>
      <c r="R19" s="3342">
        <f t="shared" si="24"/>
        <v>0</v>
      </c>
      <c r="S19" s="3342">
        <f t="shared" si="24"/>
        <v>0</v>
      </c>
      <c r="T19" s="2012">
        <f t="shared" si="25"/>
        <v>0</v>
      </c>
      <c r="U19" s="1055"/>
      <c r="V19" s="1055"/>
      <c r="W19" s="3342">
        <f t="shared" si="26"/>
        <v>0</v>
      </c>
      <c r="X19" s="3342">
        <f t="shared" si="26"/>
        <v>0</v>
      </c>
      <c r="Y19" s="2012">
        <f t="shared" si="27"/>
        <v>0</v>
      </c>
      <c r="Z19" s="1055"/>
      <c r="AA19" s="1055"/>
      <c r="AB19" s="3341"/>
      <c r="AC19" s="3341"/>
      <c r="AD19" s="3349">
        <f t="shared" si="28"/>
        <v>0</v>
      </c>
      <c r="AE19" s="4326">
        <f t="shared" si="43"/>
        <v>0</v>
      </c>
      <c r="AF19" s="3780"/>
      <c r="AG19" s="3341"/>
      <c r="AH19" s="3341"/>
      <c r="AI19" s="3349">
        <f t="shared" si="29"/>
        <v>0</v>
      </c>
      <c r="AJ19" s="4326" t="e">
        <f t="shared" si="44"/>
        <v>#DIV/0!</v>
      </c>
      <c r="AK19" s="1055"/>
      <c r="AL19" s="3341"/>
      <c r="AM19" s="3341"/>
      <c r="AN19" s="3349">
        <f t="shared" si="30"/>
        <v>0</v>
      </c>
      <c r="AO19" s="4326">
        <f t="shared" si="45"/>
        <v>0</v>
      </c>
      <c r="AP19" s="1055"/>
      <c r="AQ19" s="3341"/>
      <c r="AR19" s="3341"/>
      <c r="AS19" s="3349">
        <f t="shared" si="31"/>
        <v>0</v>
      </c>
      <c r="AT19" s="4326" t="e">
        <f t="shared" si="46"/>
        <v>#DIV/0!</v>
      </c>
      <c r="AU19" s="1055"/>
      <c r="AV19" s="3341"/>
      <c r="AW19" s="3341"/>
      <c r="AX19" s="3349">
        <f t="shared" si="32"/>
        <v>0</v>
      </c>
      <c r="AY19" s="4326">
        <f t="shared" si="47"/>
        <v>0</v>
      </c>
      <c r="AZ19" s="1055"/>
      <c r="BA19" s="3341"/>
      <c r="BB19" s="3341"/>
      <c r="BC19" s="3349">
        <f t="shared" si="33"/>
        <v>0</v>
      </c>
      <c r="BD19" s="4326" t="e">
        <f t="shared" si="48"/>
        <v>#DIV/0!</v>
      </c>
      <c r="BE19" s="1055"/>
      <c r="BF19" s="3341"/>
      <c r="BG19" s="3341"/>
      <c r="BH19" s="3349">
        <f t="shared" si="34"/>
        <v>0</v>
      </c>
      <c r="BI19" s="4326" t="e">
        <f t="shared" si="49"/>
        <v>#DIV/0!</v>
      </c>
      <c r="BJ19" s="1055"/>
      <c r="BK19" s="3341"/>
      <c r="BL19" s="3341"/>
      <c r="BM19" s="3349">
        <f t="shared" si="35"/>
        <v>0</v>
      </c>
      <c r="BN19" s="4326" t="e">
        <f t="shared" si="50"/>
        <v>#DIV/0!</v>
      </c>
      <c r="BO19" s="1055"/>
      <c r="BP19" s="3341"/>
      <c r="BQ19" s="3341"/>
      <c r="BR19" s="3349">
        <f t="shared" si="36"/>
        <v>0</v>
      </c>
      <c r="BS19" s="4326" t="e">
        <f t="shared" si="51"/>
        <v>#DIV/0!</v>
      </c>
      <c r="BT19" s="1055"/>
      <c r="BU19" s="3341"/>
      <c r="BV19" s="3341"/>
      <c r="BW19" s="3349">
        <f t="shared" si="37"/>
        <v>0</v>
      </c>
      <c r="BX19" s="4326" t="e">
        <f t="shared" si="52"/>
        <v>#DIV/0!</v>
      </c>
      <c r="BY19" s="1055"/>
      <c r="BZ19" s="3341"/>
      <c r="CA19" s="3341"/>
      <c r="CB19" s="3349">
        <f t="shared" si="38"/>
        <v>0</v>
      </c>
      <c r="CC19" s="4326" t="e">
        <f t="shared" si="53"/>
        <v>#DIV/0!</v>
      </c>
      <c r="CD19" s="1055"/>
      <c r="CE19" s="3341"/>
      <c r="CF19" s="3341"/>
      <c r="CG19" s="3349">
        <f t="shared" si="39"/>
        <v>0</v>
      </c>
      <c r="CH19" s="4326" t="e">
        <f t="shared" si="54"/>
        <v>#DIV/0!</v>
      </c>
      <c r="CI19" s="1055"/>
      <c r="CJ19" s="3341">
        <f t="shared" si="55"/>
        <v>0</v>
      </c>
      <c r="CK19" s="3341">
        <f t="shared" si="55"/>
        <v>0</v>
      </c>
      <c r="CL19" s="3349">
        <f t="shared" si="56"/>
        <v>0</v>
      </c>
      <c r="CM19" s="4326">
        <f t="shared" si="40"/>
        <v>0</v>
      </c>
      <c r="CN19" s="1434"/>
      <c r="CP19" s="4320"/>
      <c r="CQ19" s="2012">
        <f t="shared" si="41"/>
        <v>0</v>
      </c>
      <c r="CR19" s="4322">
        <f t="shared" si="57"/>
        <v>0</v>
      </c>
      <c r="CT19" s="3443"/>
    </row>
    <row r="20" spans="1:101" s="1396" customFormat="1" ht="13.8" outlineLevel="2">
      <c r="A20" s="1571"/>
      <c r="B20" s="4327" t="s">
        <v>57</v>
      </c>
      <c r="C20" s="3341"/>
      <c r="D20" s="3341"/>
      <c r="E20" s="3349">
        <f t="shared" si="20"/>
        <v>0</v>
      </c>
      <c r="F20" s="4326" t="e">
        <f t="shared" si="17"/>
        <v>#DIV/0!</v>
      </c>
      <c r="G20" s="1055"/>
      <c r="H20" s="3341"/>
      <c r="I20" s="3341"/>
      <c r="J20" s="3349">
        <f t="shared" si="21"/>
        <v>0</v>
      </c>
      <c r="K20" s="4326" t="e">
        <f t="shared" si="42"/>
        <v>#DIV/0!</v>
      </c>
      <c r="L20" s="1055"/>
      <c r="M20" s="3341"/>
      <c r="N20" s="3341"/>
      <c r="O20" s="3349">
        <f t="shared" si="22"/>
        <v>0</v>
      </c>
      <c r="P20" s="4326" t="e">
        <f t="shared" si="23"/>
        <v>#DIV/0!</v>
      </c>
      <c r="Q20" s="1055"/>
      <c r="R20" s="3342">
        <f t="shared" si="24"/>
        <v>0</v>
      </c>
      <c r="S20" s="3342">
        <f t="shared" si="24"/>
        <v>0</v>
      </c>
      <c r="T20" s="2012">
        <f t="shared" si="25"/>
        <v>0</v>
      </c>
      <c r="U20" s="1055"/>
      <c r="V20" s="1055"/>
      <c r="W20" s="3342">
        <f t="shared" si="26"/>
        <v>0</v>
      </c>
      <c r="X20" s="3342">
        <f t="shared" si="26"/>
        <v>0</v>
      </c>
      <c r="Y20" s="2012">
        <f t="shared" si="27"/>
        <v>0</v>
      </c>
      <c r="Z20" s="1055"/>
      <c r="AA20" s="1055"/>
      <c r="AB20" s="3341"/>
      <c r="AC20" s="3341"/>
      <c r="AD20" s="3349">
        <f t="shared" si="28"/>
        <v>0</v>
      </c>
      <c r="AE20" s="4326">
        <f t="shared" si="43"/>
        <v>0</v>
      </c>
      <c r="AF20" s="3720"/>
      <c r="AG20" s="3341"/>
      <c r="AH20" s="3341"/>
      <c r="AI20" s="3349">
        <f t="shared" si="29"/>
        <v>0</v>
      </c>
      <c r="AJ20" s="4326" t="e">
        <f t="shared" si="44"/>
        <v>#DIV/0!</v>
      </c>
      <c r="AK20" s="1055"/>
      <c r="AL20" s="3341"/>
      <c r="AM20" s="3341"/>
      <c r="AN20" s="3349">
        <f t="shared" si="30"/>
        <v>0</v>
      </c>
      <c r="AO20" s="4326">
        <f t="shared" si="45"/>
        <v>0</v>
      </c>
      <c r="AP20" s="1055"/>
      <c r="AQ20" s="3341"/>
      <c r="AR20" s="3341"/>
      <c r="AS20" s="3349">
        <f t="shared" si="31"/>
        <v>0</v>
      </c>
      <c r="AT20" s="4326" t="e">
        <f t="shared" si="46"/>
        <v>#DIV/0!</v>
      </c>
      <c r="AU20" s="1055"/>
      <c r="AV20" s="3341"/>
      <c r="AW20" s="3341"/>
      <c r="AX20" s="3349">
        <f t="shared" si="32"/>
        <v>0</v>
      </c>
      <c r="AY20" s="4326">
        <f t="shared" si="47"/>
        <v>0</v>
      </c>
      <c r="AZ20" s="1055"/>
      <c r="BA20" s="3341"/>
      <c r="BB20" s="3341"/>
      <c r="BC20" s="3349">
        <f t="shared" si="33"/>
        <v>0</v>
      </c>
      <c r="BD20" s="4326" t="e">
        <f t="shared" si="48"/>
        <v>#DIV/0!</v>
      </c>
      <c r="BE20" s="1055"/>
      <c r="BF20" s="3341"/>
      <c r="BG20" s="3341"/>
      <c r="BH20" s="3349">
        <f t="shared" si="34"/>
        <v>0</v>
      </c>
      <c r="BI20" s="4326" t="e">
        <f t="shared" si="49"/>
        <v>#DIV/0!</v>
      </c>
      <c r="BJ20" s="1055"/>
      <c r="BK20" s="3341"/>
      <c r="BL20" s="3341"/>
      <c r="BM20" s="3349">
        <f t="shared" si="35"/>
        <v>0</v>
      </c>
      <c r="BN20" s="4326" t="e">
        <f t="shared" si="50"/>
        <v>#DIV/0!</v>
      </c>
      <c r="BO20" s="1055"/>
      <c r="BP20" s="3341"/>
      <c r="BQ20" s="3341"/>
      <c r="BR20" s="3349">
        <f t="shared" si="36"/>
        <v>0</v>
      </c>
      <c r="BS20" s="4326" t="e">
        <f t="shared" si="51"/>
        <v>#DIV/0!</v>
      </c>
      <c r="BT20" s="1055"/>
      <c r="BU20" s="3341"/>
      <c r="BV20" s="3341"/>
      <c r="BW20" s="3349">
        <f t="shared" si="37"/>
        <v>0</v>
      </c>
      <c r="BX20" s="4326" t="e">
        <f t="shared" si="52"/>
        <v>#DIV/0!</v>
      </c>
      <c r="BY20" s="1055"/>
      <c r="BZ20" s="3341"/>
      <c r="CA20" s="3341"/>
      <c r="CB20" s="3349">
        <f t="shared" si="38"/>
        <v>0</v>
      </c>
      <c r="CC20" s="4326" t="e">
        <f t="shared" si="53"/>
        <v>#DIV/0!</v>
      </c>
      <c r="CD20" s="1055"/>
      <c r="CE20" s="3341"/>
      <c r="CF20" s="3341"/>
      <c r="CG20" s="3349">
        <f t="shared" si="39"/>
        <v>0</v>
      </c>
      <c r="CH20" s="4326" t="e">
        <f t="shared" si="54"/>
        <v>#DIV/0!</v>
      </c>
      <c r="CI20" s="1055"/>
      <c r="CJ20" s="3341">
        <f t="shared" si="55"/>
        <v>0</v>
      </c>
      <c r="CK20" s="3341">
        <f t="shared" si="55"/>
        <v>0</v>
      </c>
      <c r="CL20" s="3349">
        <f t="shared" si="56"/>
        <v>0</v>
      </c>
      <c r="CM20" s="4326">
        <f t="shared" si="40"/>
        <v>0</v>
      </c>
      <c r="CN20" s="1434"/>
      <c r="CP20" s="4320"/>
      <c r="CQ20" s="2012">
        <f t="shared" si="41"/>
        <v>0</v>
      </c>
      <c r="CR20" s="4322">
        <f t="shared" si="57"/>
        <v>0</v>
      </c>
      <c r="CT20" s="3443"/>
    </row>
    <row r="21" spans="1:101" s="1396" customFormat="1" ht="13.8" outlineLevel="2">
      <c r="A21" s="1571"/>
      <c r="B21" s="4327" t="s">
        <v>58</v>
      </c>
      <c r="C21" s="3341"/>
      <c r="D21" s="3341"/>
      <c r="E21" s="3349">
        <f t="shared" si="20"/>
        <v>0</v>
      </c>
      <c r="F21" s="4326" t="e">
        <f t="shared" si="17"/>
        <v>#DIV/0!</v>
      </c>
      <c r="G21" s="1615"/>
      <c r="H21" s="3341"/>
      <c r="I21" s="3341"/>
      <c r="J21" s="3349">
        <f t="shared" si="21"/>
        <v>0</v>
      </c>
      <c r="K21" s="4326" t="e">
        <f t="shared" si="42"/>
        <v>#DIV/0!</v>
      </c>
      <c r="L21" s="1615"/>
      <c r="M21" s="3341"/>
      <c r="N21" s="3341"/>
      <c r="O21" s="3349">
        <f t="shared" si="22"/>
        <v>0</v>
      </c>
      <c r="P21" s="4326" t="e">
        <f t="shared" si="23"/>
        <v>#DIV/0!</v>
      </c>
      <c r="Q21" s="1615"/>
      <c r="R21" s="3342">
        <f t="shared" si="24"/>
        <v>0</v>
      </c>
      <c r="S21" s="3342">
        <f t="shared" si="24"/>
        <v>0</v>
      </c>
      <c r="T21" s="2012">
        <f t="shared" si="25"/>
        <v>0</v>
      </c>
      <c r="U21" s="1615"/>
      <c r="V21" s="1615"/>
      <c r="W21" s="3342">
        <f t="shared" si="26"/>
        <v>0</v>
      </c>
      <c r="X21" s="3342">
        <f t="shared" si="26"/>
        <v>0</v>
      </c>
      <c r="Y21" s="2012">
        <f t="shared" si="27"/>
        <v>0</v>
      </c>
      <c r="Z21" s="1615"/>
      <c r="AA21" s="1615"/>
      <c r="AB21" s="3341"/>
      <c r="AC21" s="3341"/>
      <c r="AD21" s="3349">
        <f t="shared" si="28"/>
        <v>0</v>
      </c>
      <c r="AE21" s="4326">
        <f t="shared" si="43"/>
        <v>0</v>
      </c>
      <c r="AF21" s="3781"/>
      <c r="AG21" s="3341"/>
      <c r="AH21" s="3341"/>
      <c r="AI21" s="3349">
        <f t="shared" si="29"/>
        <v>0</v>
      </c>
      <c r="AJ21" s="4326" t="e">
        <f t="shared" si="44"/>
        <v>#DIV/0!</v>
      </c>
      <c r="AK21" s="1615"/>
      <c r="AL21" s="3341"/>
      <c r="AM21" s="3341"/>
      <c r="AN21" s="3349">
        <f t="shared" si="30"/>
        <v>0</v>
      </c>
      <c r="AO21" s="4326">
        <f t="shared" si="45"/>
        <v>0</v>
      </c>
      <c r="AP21" s="1615"/>
      <c r="AQ21" s="3341"/>
      <c r="AR21" s="3341"/>
      <c r="AS21" s="3349">
        <f t="shared" si="31"/>
        <v>0</v>
      </c>
      <c r="AT21" s="4326" t="e">
        <f t="shared" si="46"/>
        <v>#DIV/0!</v>
      </c>
      <c r="AU21" s="1615"/>
      <c r="AV21" s="3341"/>
      <c r="AW21" s="3341"/>
      <c r="AX21" s="3349">
        <f t="shared" si="32"/>
        <v>0</v>
      </c>
      <c r="AY21" s="4326">
        <f t="shared" si="47"/>
        <v>0</v>
      </c>
      <c r="AZ21" s="1615"/>
      <c r="BA21" s="3341"/>
      <c r="BB21" s="3341"/>
      <c r="BC21" s="3349">
        <f t="shared" si="33"/>
        <v>0</v>
      </c>
      <c r="BD21" s="4326" t="e">
        <f t="shared" si="48"/>
        <v>#DIV/0!</v>
      </c>
      <c r="BE21" s="1615"/>
      <c r="BF21" s="3341"/>
      <c r="BG21" s="3341"/>
      <c r="BH21" s="3349">
        <f t="shared" si="34"/>
        <v>0</v>
      </c>
      <c r="BI21" s="4326" t="e">
        <f t="shared" si="49"/>
        <v>#DIV/0!</v>
      </c>
      <c r="BJ21" s="1615"/>
      <c r="BK21" s="3341"/>
      <c r="BL21" s="3341"/>
      <c r="BM21" s="3349">
        <f t="shared" si="35"/>
        <v>0</v>
      </c>
      <c r="BN21" s="4326" t="e">
        <f t="shared" si="50"/>
        <v>#DIV/0!</v>
      </c>
      <c r="BO21" s="1615"/>
      <c r="BP21" s="3341"/>
      <c r="BQ21" s="3341"/>
      <c r="BR21" s="3349">
        <f t="shared" si="36"/>
        <v>0</v>
      </c>
      <c r="BS21" s="4326" t="e">
        <f t="shared" si="51"/>
        <v>#DIV/0!</v>
      </c>
      <c r="BT21" s="1615"/>
      <c r="BU21" s="3341"/>
      <c r="BV21" s="3341"/>
      <c r="BW21" s="3349">
        <f t="shared" si="37"/>
        <v>0</v>
      </c>
      <c r="BX21" s="4326" t="e">
        <f t="shared" si="52"/>
        <v>#DIV/0!</v>
      </c>
      <c r="BY21" s="1615"/>
      <c r="BZ21" s="3341"/>
      <c r="CA21" s="3341"/>
      <c r="CB21" s="3349">
        <f t="shared" si="38"/>
        <v>0</v>
      </c>
      <c r="CC21" s="4326" t="e">
        <f t="shared" si="53"/>
        <v>#DIV/0!</v>
      </c>
      <c r="CD21" s="1615"/>
      <c r="CE21" s="3341"/>
      <c r="CF21" s="3341"/>
      <c r="CG21" s="3349">
        <f t="shared" si="39"/>
        <v>0</v>
      </c>
      <c r="CH21" s="4326" t="e">
        <f t="shared" si="54"/>
        <v>#DIV/0!</v>
      </c>
      <c r="CI21" s="1615"/>
      <c r="CJ21" s="3341">
        <f t="shared" si="55"/>
        <v>0</v>
      </c>
      <c r="CK21" s="3341">
        <f t="shared" si="55"/>
        <v>0</v>
      </c>
      <c r="CL21" s="3349">
        <f t="shared" si="56"/>
        <v>0</v>
      </c>
      <c r="CM21" s="4326">
        <f t="shared" si="40"/>
        <v>0</v>
      </c>
      <c r="CN21" s="1434"/>
      <c r="CP21" s="4320"/>
      <c r="CQ21" s="2012">
        <f t="shared" si="41"/>
        <v>0</v>
      </c>
      <c r="CR21" s="4322">
        <f t="shared" si="57"/>
        <v>0</v>
      </c>
      <c r="CT21" s="3443"/>
    </row>
    <row r="22" spans="1:101" s="1396" customFormat="1" ht="13.8" outlineLevel="2">
      <c r="A22" s="1571"/>
      <c r="B22" s="4327" t="s">
        <v>621</v>
      </c>
      <c r="C22" s="3341"/>
      <c r="D22" s="3341"/>
      <c r="E22" s="3349">
        <f t="shared" si="20"/>
        <v>0</v>
      </c>
      <c r="F22" s="4326" t="e">
        <f t="shared" si="17"/>
        <v>#DIV/0!</v>
      </c>
      <c r="G22" s="3342"/>
      <c r="H22" s="3341"/>
      <c r="I22" s="3341"/>
      <c r="J22" s="3349">
        <f t="shared" si="21"/>
        <v>0</v>
      </c>
      <c r="K22" s="4326" t="e">
        <f t="shared" si="42"/>
        <v>#DIV/0!</v>
      </c>
      <c r="L22" s="3342"/>
      <c r="M22" s="3341"/>
      <c r="N22" s="3341"/>
      <c r="O22" s="3349">
        <f t="shared" si="22"/>
        <v>0</v>
      </c>
      <c r="P22" s="4326" t="e">
        <f t="shared" si="23"/>
        <v>#DIV/0!</v>
      </c>
      <c r="Q22" s="3342"/>
      <c r="R22" s="3342">
        <f t="shared" si="24"/>
        <v>0</v>
      </c>
      <c r="S22" s="3342">
        <f t="shared" si="24"/>
        <v>0</v>
      </c>
      <c r="T22" s="2012">
        <f t="shared" si="25"/>
        <v>0</v>
      </c>
      <c r="U22" s="3342"/>
      <c r="V22" s="3342"/>
      <c r="W22" s="3342">
        <f t="shared" si="26"/>
        <v>0</v>
      </c>
      <c r="X22" s="3342">
        <f t="shared" si="26"/>
        <v>0</v>
      </c>
      <c r="Y22" s="2012">
        <f t="shared" si="27"/>
        <v>0</v>
      </c>
      <c r="Z22" s="3342"/>
      <c r="AA22" s="3342"/>
      <c r="AB22" s="3341"/>
      <c r="AC22" s="3341"/>
      <c r="AD22" s="3349">
        <f t="shared" si="28"/>
        <v>0</v>
      </c>
      <c r="AE22" s="4326">
        <f t="shared" si="43"/>
        <v>0</v>
      </c>
      <c r="AF22" s="3409"/>
      <c r="AG22" s="3341"/>
      <c r="AH22" s="3341"/>
      <c r="AI22" s="3349">
        <f t="shared" si="29"/>
        <v>0</v>
      </c>
      <c r="AJ22" s="4326" t="e">
        <f t="shared" si="44"/>
        <v>#DIV/0!</v>
      </c>
      <c r="AK22" s="3342"/>
      <c r="AL22" s="3341"/>
      <c r="AM22" s="3341"/>
      <c r="AN22" s="3349">
        <f t="shared" si="30"/>
        <v>0</v>
      </c>
      <c r="AO22" s="4326">
        <f t="shared" si="45"/>
        <v>0</v>
      </c>
      <c r="AP22" s="3342"/>
      <c r="AQ22" s="3341"/>
      <c r="AR22" s="3341"/>
      <c r="AS22" s="3349">
        <f t="shared" si="31"/>
        <v>0</v>
      </c>
      <c r="AT22" s="4326" t="e">
        <f t="shared" si="46"/>
        <v>#DIV/0!</v>
      </c>
      <c r="AU22" s="3342"/>
      <c r="AV22" s="3341"/>
      <c r="AW22" s="3341"/>
      <c r="AX22" s="3349">
        <f t="shared" si="32"/>
        <v>0</v>
      </c>
      <c r="AY22" s="4326">
        <f t="shared" si="47"/>
        <v>0</v>
      </c>
      <c r="AZ22" s="3342"/>
      <c r="BA22" s="3341"/>
      <c r="BB22" s="3341"/>
      <c r="BC22" s="3349">
        <f t="shared" si="33"/>
        <v>0</v>
      </c>
      <c r="BD22" s="4326" t="e">
        <f t="shared" si="48"/>
        <v>#DIV/0!</v>
      </c>
      <c r="BE22" s="3342"/>
      <c r="BF22" s="3341"/>
      <c r="BG22" s="3341"/>
      <c r="BH22" s="3349">
        <f t="shared" si="34"/>
        <v>0</v>
      </c>
      <c r="BI22" s="4326" t="e">
        <f t="shared" si="49"/>
        <v>#DIV/0!</v>
      </c>
      <c r="BJ22" s="3342"/>
      <c r="BK22" s="3341"/>
      <c r="BL22" s="3341"/>
      <c r="BM22" s="3349">
        <f t="shared" si="35"/>
        <v>0</v>
      </c>
      <c r="BN22" s="4326" t="e">
        <f t="shared" si="50"/>
        <v>#DIV/0!</v>
      </c>
      <c r="BO22" s="3342"/>
      <c r="BP22" s="3341"/>
      <c r="BQ22" s="3341"/>
      <c r="BR22" s="3349">
        <f t="shared" si="36"/>
        <v>0</v>
      </c>
      <c r="BS22" s="4326" t="e">
        <f t="shared" si="51"/>
        <v>#DIV/0!</v>
      </c>
      <c r="BT22" s="3342"/>
      <c r="BU22" s="3341"/>
      <c r="BV22" s="3341"/>
      <c r="BW22" s="3349">
        <f t="shared" si="37"/>
        <v>0</v>
      </c>
      <c r="BX22" s="4326" t="e">
        <f t="shared" si="52"/>
        <v>#DIV/0!</v>
      </c>
      <c r="BY22" s="3342"/>
      <c r="BZ22" s="3341"/>
      <c r="CA22" s="3341"/>
      <c r="CB22" s="3349">
        <f t="shared" si="38"/>
        <v>0</v>
      </c>
      <c r="CC22" s="4326" t="e">
        <f t="shared" si="53"/>
        <v>#DIV/0!</v>
      </c>
      <c r="CD22" s="3342"/>
      <c r="CE22" s="3341"/>
      <c r="CF22" s="3341"/>
      <c r="CG22" s="3349">
        <f t="shared" si="39"/>
        <v>0</v>
      </c>
      <c r="CH22" s="4326" t="e">
        <f t="shared" si="54"/>
        <v>#DIV/0!</v>
      </c>
      <c r="CI22" s="3342"/>
      <c r="CJ22" s="3341">
        <f t="shared" si="55"/>
        <v>0</v>
      </c>
      <c r="CK22" s="3341">
        <f t="shared" si="55"/>
        <v>0</v>
      </c>
      <c r="CL22" s="3349">
        <f t="shared" si="56"/>
        <v>0</v>
      </c>
      <c r="CM22" s="4326">
        <f t="shared" si="40"/>
        <v>0</v>
      </c>
      <c r="CN22" s="1434"/>
      <c r="CP22" s="4320"/>
      <c r="CQ22" s="2012">
        <f t="shared" si="41"/>
        <v>0</v>
      </c>
      <c r="CR22" s="4322">
        <f t="shared" si="57"/>
        <v>0</v>
      </c>
      <c r="CT22" s="3443">
        <f>CQ22</f>
        <v>0</v>
      </c>
    </row>
    <row r="23" spans="1:101" s="1396" customFormat="1" ht="13.8" outlineLevel="2">
      <c r="A23" s="1571"/>
      <c r="B23" s="4327" t="s">
        <v>630</v>
      </c>
      <c r="C23" s="3341"/>
      <c r="D23" s="3341"/>
      <c r="E23" s="3349">
        <f t="shared" si="20"/>
        <v>0</v>
      </c>
      <c r="F23" s="4326" t="e">
        <f t="shared" si="17"/>
        <v>#DIV/0!</v>
      </c>
      <c r="G23" s="1055"/>
      <c r="H23" s="3341"/>
      <c r="I23" s="3341"/>
      <c r="J23" s="3349">
        <f t="shared" si="21"/>
        <v>0</v>
      </c>
      <c r="K23" s="4326" t="e">
        <f t="shared" si="42"/>
        <v>#DIV/0!</v>
      </c>
      <c r="L23" s="1055"/>
      <c r="M23" s="3341"/>
      <c r="N23" s="3341"/>
      <c r="O23" s="3349">
        <f t="shared" si="22"/>
        <v>0</v>
      </c>
      <c r="P23" s="4326" t="e">
        <f t="shared" si="23"/>
        <v>#DIV/0!</v>
      </c>
      <c r="Q23" s="1055"/>
      <c r="R23" s="3342">
        <f t="shared" si="24"/>
        <v>0</v>
      </c>
      <c r="S23" s="3342">
        <f t="shared" si="24"/>
        <v>0</v>
      </c>
      <c r="T23" s="2012">
        <f t="shared" si="25"/>
        <v>0</v>
      </c>
      <c r="U23" s="1055"/>
      <c r="V23" s="1055"/>
      <c r="W23" s="3342">
        <f t="shared" si="26"/>
        <v>0</v>
      </c>
      <c r="X23" s="3342">
        <f t="shared" si="26"/>
        <v>0</v>
      </c>
      <c r="Y23" s="2012">
        <f t="shared" si="27"/>
        <v>0</v>
      </c>
      <c r="Z23" s="1055"/>
      <c r="AA23" s="1055"/>
      <c r="AB23" s="3341"/>
      <c r="AC23" s="3341"/>
      <c r="AD23" s="3349">
        <f t="shared" si="28"/>
        <v>0</v>
      </c>
      <c r="AE23" s="4326">
        <f t="shared" si="43"/>
        <v>0</v>
      </c>
      <c r="AF23" s="3720"/>
      <c r="AG23" s="3341"/>
      <c r="AH23" s="3341"/>
      <c r="AI23" s="3349">
        <f t="shared" si="29"/>
        <v>0</v>
      </c>
      <c r="AJ23" s="4326" t="e">
        <f t="shared" si="44"/>
        <v>#DIV/0!</v>
      </c>
      <c r="AK23" s="1055"/>
      <c r="AL23" s="3341"/>
      <c r="AM23" s="3341"/>
      <c r="AN23" s="3349">
        <f t="shared" si="30"/>
        <v>0</v>
      </c>
      <c r="AO23" s="4326">
        <f t="shared" si="45"/>
        <v>0</v>
      </c>
      <c r="AP23" s="1055"/>
      <c r="AQ23" s="3341"/>
      <c r="AR23" s="3341"/>
      <c r="AS23" s="3349">
        <f t="shared" si="31"/>
        <v>0</v>
      </c>
      <c r="AT23" s="4326" t="e">
        <f t="shared" si="46"/>
        <v>#DIV/0!</v>
      </c>
      <c r="AU23" s="1055"/>
      <c r="AV23" s="3341"/>
      <c r="AW23" s="3341"/>
      <c r="AX23" s="3349">
        <f t="shared" si="32"/>
        <v>0</v>
      </c>
      <c r="AY23" s="4326">
        <f t="shared" si="47"/>
        <v>0</v>
      </c>
      <c r="AZ23" s="1055"/>
      <c r="BA23" s="3341"/>
      <c r="BB23" s="3341"/>
      <c r="BC23" s="3349">
        <f t="shared" si="33"/>
        <v>0</v>
      </c>
      <c r="BD23" s="4326" t="e">
        <f t="shared" si="48"/>
        <v>#DIV/0!</v>
      </c>
      <c r="BE23" s="1055"/>
      <c r="BF23" s="3341"/>
      <c r="BG23" s="3341"/>
      <c r="BH23" s="3349">
        <f t="shared" si="34"/>
        <v>0</v>
      </c>
      <c r="BI23" s="4326" t="e">
        <f t="shared" si="49"/>
        <v>#DIV/0!</v>
      </c>
      <c r="BJ23" s="1055"/>
      <c r="BK23" s="3341"/>
      <c r="BL23" s="3341"/>
      <c r="BM23" s="3349">
        <f t="shared" si="35"/>
        <v>0</v>
      </c>
      <c r="BN23" s="4326" t="e">
        <f t="shared" si="50"/>
        <v>#DIV/0!</v>
      </c>
      <c r="BO23" s="1055"/>
      <c r="BP23" s="3341"/>
      <c r="BQ23" s="3341"/>
      <c r="BR23" s="3349">
        <f t="shared" si="36"/>
        <v>0</v>
      </c>
      <c r="BS23" s="4326" t="e">
        <f t="shared" si="51"/>
        <v>#DIV/0!</v>
      </c>
      <c r="BT23" s="1055"/>
      <c r="BU23" s="3341"/>
      <c r="BV23" s="3341"/>
      <c r="BW23" s="3349">
        <f t="shared" si="37"/>
        <v>0</v>
      </c>
      <c r="BX23" s="4326" t="e">
        <f t="shared" si="52"/>
        <v>#DIV/0!</v>
      </c>
      <c r="BY23" s="1055"/>
      <c r="BZ23" s="3341"/>
      <c r="CA23" s="3341"/>
      <c r="CB23" s="3349">
        <f t="shared" si="38"/>
        <v>0</v>
      </c>
      <c r="CC23" s="4326" t="e">
        <f t="shared" si="53"/>
        <v>#DIV/0!</v>
      </c>
      <c r="CD23" s="1055"/>
      <c r="CE23" s="3341"/>
      <c r="CF23" s="3341"/>
      <c r="CG23" s="3349">
        <f t="shared" si="39"/>
        <v>0</v>
      </c>
      <c r="CH23" s="4326" t="e">
        <f t="shared" si="54"/>
        <v>#DIV/0!</v>
      </c>
      <c r="CI23" s="1055"/>
      <c r="CJ23" s="3341">
        <f t="shared" si="55"/>
        <v>0</v>
      </c>
      <c r="CK23" s="3341">
        <f t="shared" si="55"/>
        <v>0</v>
      </c>
      <c r="CL23" s="3349">
        <f t="shared" si="56"/>
        <v>0</v>
      </c>
      <c r="CM23" s="4326">
        <f t="shared" si="40"/>
        <v>0</v>
      </c>
      <c r="CN23" s="1434"/>
      <c r="CP23" s="4320"/>
      <c r="CQ23" s="2012">
        <f t="shared" si="41"/>
        <v>0</v>
      </c>
      <c r="CR23" s="4322">
        <f t="shared" si="57"/>
        <v>0</v>
      </c>
      <c r="CT23" s="3443"/>
    </row>
    <row r="24" spans="1:101" s="1396" customFormat="1" ht="41.4" outlineLevel="2">
      <c r="A24" s="1571"/>
      <c r="B24" s="4327" t="s">
        <v>23</v>
      </c>
      <c r="C24" s="3341"/>
      <c r="D24" s="3341"/>
      <c r="E24" s="3349">
        <f t="shared" si="20"/>
        <v>0</v>
      </c>
      <c r="F24" s="4326" t="e">
        <f t="shared" si="17"/>
        <v>#DIV/0!</v>
      </c>
      <c r="G24" s="3342"/>
      <c r="H24" s="3341"/>
      <c r="I24" s="3341"/>
      <c r="J24" s="3349">
        <f t="shared" si="21"/>
        <v>0</v>
      </c>
      <c r="K24" s="4326" t="e">
        <f t="shared" si="42"/>
        <v>#DIV/0!</v>
      </c>
      <c r="L24" s="3342"/>
      <c r="M24" s="3341"/>
      <c r="N24" s="3341"/>
      <c r="O24" s="3349">
        <f t="shared" si="22"/>
        <v>0</v>
      </c>
      <c r="P24" s="4326" t="e">
        <f t="shared" si="23"/>
        <v>#DIV/0!</v>
      </c>
      <c r="Q24" s="3342"/>
      <c r="R24" s="3342">
        <f t="shared" si="24"/>
        <v>0</v>
      </c>
      <c r="S24" s="3342">
        <f t="shared" si="24"/>
        <v>0</v>
      </c>
      <c r="T24" s="2012">
        <f t="shared" si="25"/>
        <v>0</v>
      </c>
      <c r="U24" s="3342"/>
      <c r="V24" s="3342"/>
      <c r="W24" s="3342">
        <f t="shared" si="26"/>
        <v>233140</v>
      </c>
      <c r="X24" s="3342">
        <f t="shared" si="26"/>
        <v>0</v>
      </c>
      <c r="Y24" s="2012">
        <f t="shared" si="27"/>
        <v>233140</v>
      </c>
      <c r="Z24" s="3342"/>
      <c r="AA24" s="3342"/>
      <c r="AB24" s="3341">
        <v>169500</v>
      </c>
      <c r="AC24" s="3341"/>
      <c r="AD24" s="3349">
        <f t="shared" si="28"/>
        <v>169500</v>
      </c>
      <c r="AE24" s="4326">
        <f t="shared" si="43"/>
        <v>0.78049440766637823</v>
      </c>
      <c r="AF24" s="3409" t="s">
        <v>1888</v>
      </c>
      <c r="AG24" s="3341"/>
      <c r="AH24" s="3341"/>
      <c r="AI24" s="3349">
        <f t="shared" si="29"/>
        <v>0</v>
      </c>
      <c r="AJ24" s="4326" t="e">
        <f t="shared" si="44"/>
        <v>#DIV/0!</v>
      </c>
      <c r="AK24" s="3342"/>
      <c r="AL24" s="3341">
        <f>35640+28000</f>
        <v>63640</v>
      </c>
      <c r="AM24" s="3341"/>
      <c r="AN24" s="3349">
        <f t="shared" si="30"/>
        <v>63640</v>
      </c>
      <c r="AO24" s="4326">
        <f t="shared" si="45"/>
        <v>0.67039192772273304</v>
      </c>
      <c r="AP24" s="3342" t="s">
        <v>1988</v>
      </c>
      <c r="AQ24" s="3341"/>
      <c r="AR24" s="3341"/>
      <c r="AS24" s="3349">
        <f t="shared" si="31"/>
        <v>0</v>
      </c>
      <c r="AT24" s="4326" t="e">
        <f t="shared" si="46"/>
        <v>#DIV/0!</v>
      </c>
      <c r="AU24" s="3342"/>
      <c r="AV24" s="3341"/>
      <c r="AW24" s="3341"/>
      <c r="AX24" s="3349">
        <f t="shared" si="32"/>
        <v>0</v>
      </c>
      <c r="AY24" s="4326">
        <f t="shared" si="47"/>
        <v>0</v>
      </c>
      <c r="AZ24" s="3342"/>
      <c r="BA24" s="3341"/>
      <c r="BB24" s="3341"/>
      <c r="BC24" s="3349">
        <f t="shared" si="33"/>
        <v>0</v>
      </c>
      <c r="BD24" s="4326" t="e">
        <f t="shared" si="48"/>
        <v>#DIV/0!</v>
      </c>
      <c r="BE24" s="3342"/>
      <c r="BF24" s="3341"/>
      <c r="BG24" s="3341"/>
      <c r="BH24" s="3349">
        <f t="shared" si="34"/>
        <v>0</v>
      </c>
      <c r="BI24" s="4326" t="e">
        <f t="shared" si="49"/>
        <v>#DIV/0!</v>
      </c>
      <c r="BJ24" s="3342"/>
      <c r="BK24" s="3341"/>
      <c r="BL24" s="3341"/>
      <c r="BM24" s="3349">
        <f t="shared" si="35"/>
        <v>0</v>
      </c>
      <c r="BN24" s="4326" t="e">
        <f t="shared" si="50"/>
        <v>#DIV/0!</v>
      </c>
      <c r="BO24" s="3342"/>
      <c r="BP24" s="3341"/>
      <c r="BQ24" s="3341"/>
      <c r="BR24" s="3349">
        <f t="shared" si="36"/>
        <v>0</v>
      </c>
      <c r="BS24" s="4326" t="e">
        <f t="shared" si="51"/>
        <v>#DIV/0!</v>
      </c>
      <c r="BT24" s="3342"/>
      <c r="BU24" s="3341"/>
      <c r="BV24" s="3341"/>
      <c r="BW24" s="3349">
        <f t="shared" si="37"/>
        <v>0</v>
      </c>
      <c r="BX24" s="4326" t="e">
        <f t="shared" si="52"/>
        <v>#DIV/0!</v>
      </c>
      <c r="BY24" s="3342"/>
      <c r="BZ24" s="3341"/>
      <c r="CA24" s="3341"/>
      <c r="CB24" s="3349">
        <f t="shared" si="38"/>
        <v>0</v>
      </c>
      <c r="CC24" s="4326" t="e">
        <f t="shared" si="53"/>
        <v>#DIV/0!</v>
      </c>
      <c r="CD24" s="3342"/>
      <c r="CE24" s="3341"/>
      <c r="CF24" s="3341"/>
      <c r="CG24" s="3349">
        <f t="shared" si="39"/>
        <v>0</v>
      </c>
      <c r="CH24" s="4326" t="e">
        <f t="shared" si="54"/>
        <v>#DIV/0!</v>
      </c>
      <c r="CI24" s="3342"/>
      <c r="CJ24" s="3341">
        <f t="shared" si="55"/>
        <v>233140</v>
      </c>
      <c r="CK24" s="3341">
        <f t="shared" si="55"/>
        <v>0</v>
      </c>
      <c r="CL24" s="3349">
        <f t="shared" si="56"/>
        <v>233140</v>
      </c>
      <c r="CM24" s="4326">
        <f t="shared" si="40"/>
        <v>0.18672281005023858</v>
      </c>
      <c r="CN24" s="1434"/>
      <c r="CP24" s="4320">
        <v>245184.04906666701</v>
      </c>
      <c r="CQ24" s="2012">
        <f t="shared" si="41"/>
        <v>233140</v>
      </c>
      <c r="CR24" s="4322">
        <f t="shared" si="57"/>
        <v>12044.049066667008</v>
      </c>
      <c r="CT24" s="4319">
        <f>CR24/CP24</f>
        <v>4.9122482121143861E-2</v>
      </c>
      <c r="CW24" s="4319">
        <f>CR24/CP24</f>
        <v>4.9122482121143861E-2</v>
      </c>
    </row>
    <row r="25" spans="1:101" s="1396" customFormat="1" ht="13.8" outlineLevel="2">
      <c r="A25" s="1571"/>
      <c r="B25" s="4327" t="s">
        <v>24</v>
      </c>
      <c r="C25" s="3341"/>
      <c r="D25" s="3341"/>
      <c r="E25" s="3349">
        <f t="shared" si="20"/>
        <v>0</v>
      </c>
      <c r="F25" s="4326" t="e">
        <f t="shared" si="17"/>
        <v>#DIV/0!</v>
      </c>
      <c r="G25" s="3342"/>
      <c r="H25" s="3341"/>
      <c r="I25" s="3341"/>
      <c r="J25" s="3349">
        <f t="shared" si="21"/>
        <v>0</v>
      </c>
      <c r="K25" s="4326" t="e">
        <f t="shared" si="42"/>
        <v>#DIV/0!</v>
      </c>
      <c r="L25" s="3342"/>
      <c r="M25" s="3341"/>
      <c r="N25" s="3341"/>
      <c r="O25" s="3349">
        <f t="shared" si="22"/>
        <v>0</v>
      </c>
      <c r="P25" s="4326" t="e">
        <f t="shared" si="23"/>
        <v>#DIV/0!</v>
      </c>
      <c r="Q25" s="3342"/>
      <c r="R25" s="3342">
        <f t="shared" si="24"/>
        <v>0</v>
      </c>
      <c r="S25" s="3342">
        <f t="shared" si="24"/>
        <v>0</v>
      </c>
      <c r="T25" s="2012">
        <f t="shared" si="25"/>
        <v>0</v>
      </c>
      <c r="U25" s="3342"/>
      <c r="V25" s="3342"/>
      <c r="W25" s="3342">
        <f t="shared" si="26"/>
        <v>31289.544000000002</v>
      </c>
      <c r="X25" s="3342">
        <f t="shared" si="26"/>
        <v>0</v>
      </c>
      <c r="Y25" s="2012">
        <f t="shared" si="27"/>
        <v>31289.544000000002</v>
      </c>
      <c r="Z25" s="3342"/>
      <c r="AA25" s="3342"/>
      <c r="AB25" s="3341"/>
      <c r="AC25" s="3341"/>
      <c r="AD25" s="3349">
        <f t="shared" si="28"/>
        <v>0</v>
      </c>
      <c r="AE25" s="4326">
        <f t="shared" si="43"/>
        <v>0</v>
      </c>
      <c r="AF25" s="3409"/>
      <c r="AG25" s="3341"/>
      <c r="AH25" s="3341"/>
      <c r="AI25" s="3349">
        <f t="shared" si="29"/>
        <v>0</v>
      </c>
      <c r="AJ25" s="4326" t="e">
        <f t="shared" si="44"/>
        <v>#DIV/0!</v>
      </c>
      <c r="AK25" s="3342"/>
      <c r="AL25" s="2043">
        <v>31289.544000000002</v>
      </c>
      <c r="AM25" s="2043"/>
      <c r="AN25" s="3349">
        <f t="shared" si="30"/>
        <v>31289.544000000002</v>
      </c>
      <c r="AO25" s="4326">
        <f t="shared" si="45"/>
        <v>0.32960807227726707</v>
      </c>
      <c r="AP25" s="2046" t="s">
        <v>1989</v>
      </c>
      <c r="AQ25" s="3341"/>
      <c r="AR25" s="3341"/>
      <c r="AS25" s="3349">
        <f t="shared" si="31"/>
        <v>0</v>
      </c>
      <c r="AT25" s="4326" t="e">
        <f t="shared" si="46"/>
        <v>#DIV/0!</v>
      </c>
      <c r="AU25" s="3342"/>
      <c r="AV25" s="3341"/>
      <c r="AW25" s="3341"/>
      <c r="AX25" s="3349">
        <f t="shared" si="32"/>
        <v>0</v>
      </c>
      <c r="AY25" s="4326">
        <f t="shared" si="47"/>
        <v>0</v>
      </c>
      <c r="AZ25" s="3342"/>
      <c r="BA25" s="3341"/>
      <c r="BB25" s="3341"/>
      <c r="BC25" s="3349">
        <f t="shared" si="33"/>
        <v>0</v>
      </c>
      <c r="BD25" s="4326" t="e">
        <f t="shared" si="48"/>
        <v>#DIV/0!</v>
      </c>
      <c r="BE25" s="3342"/>
      <c r="BF25" s="3341"/>
      <c r="BG25" s="3341"/>
      <c r="BH25" s="3349">
        <f t="shared" si="34"/>
        <v>0</v>
      </c>
      <c r="BI25" s="4326" t="e">
        <f t="shared" si="49"/>
        <v>#DIV/0!</v>
      </c>
      <c r="BJ25" s="3342"/>
      <c r="BK25" s="3341"/>
      <c r="BL25" s="3341"/>
      <c r="BM25" s="3349">
        <f t="shared" si="35"/>
        <v>0</v>
      </c>
      <c r="BN25" s="4326" t="e">
        <f t="shared" si="50"/>
        <v>#DIV/0!</v>
      </c>
      <c r="BO25" s="3342"/>
      <c r="BP25" s="3341"/>
      <c r="BQ25" s="3341"/>
      <c r="BR25" s="3349">
        <f t="shared" si="36"/>
        <v>0</v>
      </c>
      <c r="BS25" s="4326" t="e">
        <f t="shared" si="51"/>
        <v>#DIV/0!</v>
      </c>
      <c r="BT25" s="3342"/>
      <c r="BU25" s="3341"/>
      <c r="BV25" s="3341"/>
      <c r="BW25" s="3349">
        <f t="shared" si="37"/>
        <v>0</v>
      </c>
      <c r="BX25" s="4326" t="e">
        <f t="shared" si="52"/>
        <v>#DIV/0!</v>
      </c>
      <c r="BY25" s="3342"/>
      <c r="BZ25" s="3341"/>
      <c r="CA25" s="3341"/>
      <c r="CB25" s="3349">
        <f t="shared" si="38"/>
        <v>0</v>
      </c>
      <c r="CC25" s="4326" t="e">
        <f t="shared" si="53"/>
        <v>#DIV/0!</v>
      </c>
      <c r="CD25" s="3342"/>
      <c r="CE25" s="3341"/>
      <c r="CF25" s="3341"/>
      <c r="CG25" s="3349">
        <f t="shared" si="39"/>
        <v>0</v>
      </c>
      <c r="CH25" s="4326" t="e">
        <f t="shared" si="54"/>
        <v>#DIV/0!</v>
      </c>
      <c r="CI25" s="3342"/>
      <c r="CJ25" s="3341">
        <f>C25+H25+M25+W25+97065.66</f>
        <v>128355.204</v>
      </c>
      <c r="CK25" s="3341">
        <f t="shared" si="55"/>
        <v>0</v>
      </c>
      <c r="CL25" s="3349">
        <f t="shared" si="56"/>
        <v>128355.204</v>
      </c>
      <c r="CM25" s="4326">
        <f t="shared" si="40"/>
        <v>0.10280022465236177</v>
      </c>
      <c r="CN25" s="1434"/>
      <c r="CP25" s="4320">
        <v>254872.9724</v>
      </c>
      <c r="CQ25" s="2012">
        <f t="shared" si="41"/>
        <v>128355.204</v>
      </c>
      <c r="CR25" s="4322">
        <f t="shared" si="57"/>
        <v>126517.7684</v>
      </c>
      <c r="CS25" s="3307"/>
      <c r="CT25" s="4319">
        <f>CR25/CP25</f>
        <v>0.49639538947049217</v>
      </c>
      <c r="CW25" s="4319">
        <f>CR25/CP25</f>
        <v>0.49639538947049217</v>
      </c>
    </row>
    <row r="26" spans="1:101" s="1396" customFormat="1" ht="13.8" outlineLevel="2">
      <c r="A26" s="1571"/>
      <c r="B26" s="4327" t="s">
        <v>45</v>
      </c>
      <c r="C26" s="3341"/>
      <c r="D26" s="3341"/>
      <c r="E26" s="3349">
        <f t="shared" si="20"/>
        <v>0</v>
      </c>
      <c r="F26" s="4326" t="e">
        <f t="shared" si="17"/>
        <v>#DIV/0!</v>
      </c>
      <c r="G26" s="3342"/>
      <c r="H26" s="3341"/>
      <c r="I26" s="3341"/>
      <c r="J26" s="3349">
        <f t="shared" si="21"/>
        <v>0</v>
      </c>
      <c r="K26" s="4326" t="e">
        <f t="shared" si="42"/>
        <v>#DIV/0!</v>
      </c>
      <c r="L26" s="3342"/>
      <c r="M26" s="3341"/>
      <c r="N26" s="3341"/>
      <c r="O26" s="3349">
        <f t="shared" si="22"/>
        <v>0</v>
      </c>
      <c r="P26" s="4326" t="e">
        <f t="shared" si="23"/>
        <v>#DIV/0!</v>
      </c>
      <c r="Q26" s="3342"/>
      <c r="R26" s="3342">
        <f t="shared" si="24"/>
        <v>0</v>
      </c>
      <c r="S26" s="3342">
        <f t="shared" si="24"/>
        <v>0</v>
      </c>
      <c r="T26" s="2012">
        <f t="shared" si="25"/>
        <v>0</v>
      </c>
      <c r="U26" s="3342"/>
      <c r="V26" s="3342"/>
      <c r="W26" s="3342">
        <f t="shared" si="26"/>
        <v>0</v>
      </c>
      <c r="X26" s="3342">
        <f t="shared" si="26"/>
        <v>0</v>
      </c>
      <c r="Y26" s="2012">
        <f t="shared" si="27"/>
        <v>0</v>
      </c>
      <c r="Z26" s="3342"/>
      <c r="AA26" s="3342"/>
      <c r="AB26" s="3341"/>
      <c r="AC26" s="3341"/>
      <c r="AD26" s="3349">
        <f t="shared" si="28"/>
        <v>0</v>
      </c>
      <c r="AE26" s="4326">
        <f t="shared" si="43"/>
        <v>0</v>
      </c>
      <c r="AF26" s="3409"/>
      <c r="AG26" s="3341"/>
      <c r="AH26" s="3341"/>
      <c r="AI26" s="3349">
        <f t="shared" si="29"/>
        <v>0</v>
      </c>
      <c r="AJ26" s="4326" t="e">
        <f t="shared" si="44"/>
        <v>#DIV/0!</v>
      </c>
      <c r="AK26" s="3342"/>
      <c r="AL26" s="2043"/>
      <c r="AM26" s="2043"/>
      <c r="AN26" s="3349">
        <f t="shared" si="30"/>
        <v>0</v>
      </c>
      <c r="AO26" s="4326">
        <f t="shared" si="45"/>
        <v>0</v>
      </c>
      <c r="AP26" s="3342"/>
      <c r="AQ26" s="3341"/>
      <c r="AR26" s="3341"/>
      <c r="AS26" s="3349">
        <f t="shared" si="31"/>
        <v>0</v>
      </c>
      <c r="AT26" s="4326" t="e">
        <f t="shared" si="46"/>
        <v>#DIV/0!</v>
      </c>
      <c r="AU26" s="3342"/>
      <c r="AV26" s="3341"/>
      <c r="AW26" s="3341"/>
      <c r="AX26" s="3349">
        <f t="shared" si="32"/>
        <v>0</v>
      </c>
      <c r="AY26" s="4326">
        <f t="shared" si="47"/>
        <v>0</v>
      </c>
      <c r="AZ26" s="3342"/>
      <c r="BA26" s="3341"/>
      <c r="BB26" s="3341"/>
      <c r="BC26" s="3349">
        <f t="shared" si="33"/>
        <v>0</v>
      </c>
      <c r="BD26" s="4326" t="e">
        <f t="shared" si="48"/>
        <v>#DIV/0!</v>
      </c>
      <c r="BE26" s="3342"/>
      <c r="BF26" s="3341"/>
      <c r="BG26" s="3341"/>
      <c r="BH26" s="3349">
        <f t="shared" si="34"/>
        <v>0</v>
      </c>
      <c r="BI26" s="4326" t="e">
        <f t="shared" si="49"/>
        <v>#DIV/0!</v>
      </c>
      <c r="BJ26" s="3342"/>
      <c r="BK26" s="3341"/>
      <c r="BL26" s="3341"/>
      <c r="BM26" s="3349">
        <f t="shared" si="35"/>
        <v>0</v>
      </c>
      <c r="BN26" s="4326" t="e">
        <f t="shared" si="50"/>
        <v>#DIV/0!</v>
      </c>
      <c r="BO26" s="3342"/>
      <c r="BP26" s="3341"/>
      <c r="BQ26" s="3341"/>
      <c r="BR26" s="3349">
        <f t="shared" si="36"/>
        <v>0</v>
      </c>
      <c r="BS26" s="4326" t="e">
        <f t="shared" si="51"/>
        <v>#DIV/0!</v>
      </c>
      <c r="BT26" s="3342"/>
      <c r="BU26" s="3341"/>
      <c r="BV26" s="3341"/>
      <c r="BW26" s="3349">
        <f t="shared" si="37"/>
        <v>0</v>
      </c>
      <c r="BX26" s="4326" t="e">
        <f t="shared" si="52"/>
        <v>#DIV/0!</v>
      </c>
      <c r="BY26" s="3342"/>
      <c r="BZ26" s="3341"/>
      <c r="CA26" s="3341"/>
      <c r="CB26" s="3349">
        <f t="shared" si="38"/>
        <v>0</v>
      </c>
      <c r="CC26" s="4326" t="e">
        <f t="shared" si="53"/>
        <v>#DIV/0!</v>
      </c>
      <c r="CD26" s="3342"/>
      <c r="CE26" s="3341"/>
      <c r="CF26" s="3341"/>
      <c r="CG26" s="3349">
        <f t="shared" si="39"/>
        <v>0</v>
      </c>
      <c r="CH26" s="4326" t="e">
        <f t="shared" si="54"/>
        <v>#DIV/0!</v>
      </c>
      <c r="CI26" s="3342"/>
      <c r="CJ26" s="3341">
        <f t="shared" si="55"/>
        <v>0</v>
      </c>
      <c r="CK26" s="3341">
        <f t="shared" si="55"/>
        <v>0</v>
      </c>
      <c r="CL26" s="3349">
        <f t="shared" si="56"/>
        <v>0</v>
      </c>
      <c r="CM26" s="4326">
        <f t="shared" si="40"/>
        <v>0</v>
      </c>
      <c r="CN26" s="1434"/>
      <c r="CP26" s="4320"/>
      <c r="CQ26" s="2012"/>
      <c r="CR26" s="4322">
        <f t="shared" si="57"/>
        <v>0</v>
      </c>
      <c r="CT26" s="3443"/>
    </row>
    <row r="27" spans="1:101" s="1396" customFormat="1" ht="13.8" outlineLevel="2">
      <c r="A27" s="1571"/>
      <c r="B27" s="4327" t="s">
        <v>25</v>
      </c>
      <c r="C27" s="3341"/>
      <c r="D27" s="3341"/>
      <c r="E27" s="3349">
        <f t="shared" si="20"/>
        <v>0</v>
      </c>
      <c r="F27" s="4326" t="e">
        <f t="shared" si="17"/>
        <v>#DIV/0!</v>
      </c>
      <c r="G27" s="3342"/>
      <c r="H27" s="3341"/>
      <c r="I27" s="3341"/>
      <c r="J27" s="3349">
        <f t="shared" si="21"/>
        <v>0</v>
      </c>
      <c r="K27" s="4326" t="e">
        <f t="shared" si="42"/>
        <v>#DIV/0!</v>
      </c>
      <c r="L27" s="3342"/>
      <c r="M27" s="3341"/>
      <c r="N27" s="3341"/>
      <c r="O27" s="3349">
        <f t="shared" si="22"/>
        <v>0</v>
      </c>
      <c r="P27" s="4326" t="e">
        <f t="shared" si="23"/>
        <v>#DIV/0!</v>
      </c>
      <c r="Q27" s="3342"/>
      <c r="R27" s="3342">
        <f t="shared" si="24"/>
        <v>0</v>
      </c>
      <c r="S27" s="3342">
        <f t="shared" si="24"/>
        <v>0</v>
      </c>
      <c r="T27" s="2012">
        <f t="shared" si="25"/>
        <v>0</v>
      </c>
      <c r="U27" s="3342"/>
      <c r="V27" s="3342"/>
      <c r="W27" s="3342">
        <f t="shared" si="26"/>
        <v>0</v>
      </c>
      <c r="X27" s="3342">
        <f t="shared" si="26"/>
        <v>0</v>
      </c>
      <c r="Y27" s="2012">
        <f t="shared" si="27"/>
        <v>0</v>
      </c>
      <c r="Z27" s="3342"/>
      <c r="AA27" s="3342"/>
      <c r="AB27" s="3341"/>
      <c r="AC27" s="3341"/>
      <c r="AD27" s="3349">
        <f t="shared" si="28"/>
        <v>0</v>
      </c>
      <c r="AE27" s="4326">
        <f t="shared" si="43"/>
        <v>0</v>
      </c>
      <c r="AF27" s="3409"/>
      <c r="AG27" s="3341"/>
      <c r="AH27" s="3341"/>
      <c r="AI27" s="3349">
        <f t="shared" si="29"/>
        <v>0</v>
      </c>
      <c r="AJ27" s="4326" t="e">
        <f t="shared" si="44"/>
        <v>#DIV/0!</v>
      </c>
      <c r="AK27" s="3342"/>
      <c r="AL27" s="3341"/>
      <c r="AM27" s="3341"/>
      <c r="AN27" s="3349">
        <f t="shared" si="30"/>
        <v>0</v>
      </c>
      <c r="AO27" s="4326">
        <f t="shared" si="45"/>
        <v>0</v>
      </c>
      <c r="AP27" s="3342"/>
      <c r="AQ27" s="3341"/>
      <c r="AR27" s="3341"/>
      <c r="AS27" s="3349">
        <f t="shared" si="31"/>
        <v>0</v>
      </c>
      <c r="AT27" s="4326" t="e">
        <f t="shared" si="46"/>
        <v>#DIV/0!</v>
      </c>
      <c r="AU27" s="3342"/>
      <c r="AV27" s="3341"/>
      <c r="AW27" s="3341"/>
      <c r="AX27" s="3349">
        <f t="shared" si="32"/>
        <v>0</v>
      </c>
      <c r="AY27" s="4326">
        <f t="shared" si="47"/>
        <v>0</v>
      </c>
      <c r="AZ27" s="3342"/>
      <c r="BA27" s="3341"/>
      <c r="BB27" s="3341"/>
      <c r="BC27" s="3349">
        <f t="shared" si="33"/>
        <v>0</v>
      </c>
      <c r="BD27" s="4326" t="e">
        <f t="shared" si="48"/>
        <v>#DIV/0!</v>
      </c>
      <c r="BE27" s="3342"/>
      <c r="BF27" s="3341"/>
      <c r="BG27" s="3341"/>
      <c r="BH27" s="3349">
        <f t="shared" si="34"/>
        <v>0</v>
      </c>
      <c r="BI27" s="4326" t="e">
        <f t="shared" si="49"/>
        <v>#DIV/0!</v>
      </c>
      <c r="BJ27" s="3342"/>
      <c r="BK27" s="3341"/>
      <c r="BL27" s="3341"/>
      <c r="BM27" s="3349">
        <f t="shared" si="35"/>
        <v>0</v>
      </c>
      <c r="BN27" s="4326" t="e">
        <f t="shared" si="50"/>
        <v>#DIV/0!</v>
      </c>
      <c r="BO27" s="3342"/>
      <c r="BP27" s="3341"/>
      <c r="BQ27" s="3341"/>
      <c r="BR27" s="3349">
        <f t="shared" si="36"/>
        <v>0</v>
      </c>
      <c r="BS27" s="4326" t="e">
        <f t="shared" si="51"/>
        <v>#DIV/0!</v>
      </c>
      <c r="BT27" s="3342"/>
      <c r="BU27" s="3341"/>
      <c r="BV27" s="3341"/>
      <c r="BW27" s="3349">
        <f t="shared" si="37"/>
        <v>0</v>
      </c>
      <c r="BX27" s="4326" t="e">
        <f t="shared" si="52"/>
        <v>#DIV/0!</v>
      </c>
      <c r="BY27" s="3342"/>
      <c r="BZ27" s="3341"/>
      <c r="CA27" s="3341"/>
      <c r="CB27" s="3349">
        <f t="shared" si="38"/>
        <v>0</v>
      </c>
      <c r="CC27" s="4326" t="e">
        <f t="shared" si="53"/>
        <v>#DIV/0!</v>
      </c>
      <c r="CD27" s="3342"/>
      <c r="CE27" s="3341"/>
      <c r="CF27" s="3341"/>
      <c r="CG27" s="3349">
        <f t="shared" si="39"/>
        <v>0</v>
      </c>
      <c r="CH27" s="4326" t="e">
        <f t="shared" si="54"/>
        <v>#DIV/0!</v>
      </c>
      <c r="CI27" s="3342"/>
      <c r="CJ27" s="3341">
        <f t="shared" si="55"/>
        <v>0</v>
      </c>
      <c r="CK27" s="3341">
        <f t="shared" si="55"/>
        <v>0</v>
      </c>
      <c r="CL27" s="3349">
        <f t="shared" si="56"/>
        <v>0</v>
      </c>
      <c r="CM27" s="4326">
        <f t="shared" si="40"/>
        <v>0</v>
      </c>
      <c r="CN27" s="1434"/>
      <c r="CP27" s="4320"/>
      <c r="CQ27" s="2012">
        <f t="shared" si="41"/>
        <v>0</v>
      </c>
      <c r="CR27" s="4322">
        <f t="shared" si="57"/>
        <v>0</v>
      </c>
      <c r="CS27" s="3307"/>
      <c r="CT27" s="3443"/>
      <c r="CU27" s="3778" t="s">
        <v>1990</v>
      </c>
    </row>
    <row r="28" spans="1:101" s="1396" customFormat="1" ht="13.8" outlineLevel="2">
      <c r="A28" s="1571"/>
      <c r="B28" s="4327" t="s">
        <v>52</v>
      </c>
      <c r="C28" s="3341"/>
      <c r="D28" s="3341"/>
      <c r="E28" s="3349">
        <f t="shared" si="20"/>
        <v>0</v>
      </c>
      <c r="F28" s="4326" t="e">
        <f t="shared" si="17"/>
        <v>#DIV/0!</v>
      </c>
      <c r="G28" s="3342"/>
      <c r="H28" s="3341"/>
      <c r="I28" s="3341"/>
      <c r="J28" s="3349">
        <f t="shared" si="21"/>
        <v>0</v>
      </c>
      <c r="K28" s="4326" t="e">
        <f t="shared" si="42"/>
        <v>#DIV/0!</v>
      </c>
      <c r="L28" s="3342"/>
      <c r="M28" s="3341"/>
      <c r="N28" s="3341"/>
      <c r="O28" s="3349">
        <f t="shared" si="22"/>
        <v>0</v>
      </c>
      <c r="P28" s="4326" t="e">
        <f t="shared" si="23"/>
        <v>#DIV/0!</v>
      </c>
      <c r="Q28" s="3409"/>
      <c r="R28" s="3342">
        <f t="shared" si="24"/>
        <v>0</v>
      </c>
      <c r="S28" s="3342">
        <f t="shared" si="24"/>
        <v>0</v>
      </c>
      <c r="T28" s="2012">
        <f t="shared" si="25"/>
        <v>0</v>
      </c>
      <c r="U28" s="3409"/>
      <c r="V28" s="3409"/>
      <c r="W28" s="3342">
        <f t="shared" si="26"/>
        <v>0</v>
      </c>
      <c r="X28" s="3342">
        <f t="shared" si="26"/>
        <v>56721</v>
      </c>
      <c r="Y28" s="2012">
        <f t="shared" si="27"/>
        <v>56721</v>
      </c>
      <c r="Z28" s="3409"/>
      <c r="AA28" s="3409"/>
      <c r="AB28" s="3341"/>
      <c r="AC28" s="3341"/>
      <c r="AD28" s="3349">
        <f t="shared" si="28"/>
        <v>0</v>
      </c>
      <c r="AE28" s="4326">
        <f t="shared" si="43"/>
        <v>0</v>
      </c>
      <c r="AF28" s="3409"/>
      <c r="AG28" s="3341"/>
      <c r="AH28" s="3341"/>
      <c r="AI28" s="3349">
        <f t="shared" si="29"/>
        <v>0</v>
      </c>
      <c r="AJ28" s="4326" t="e">
        <f t="shared" si="44"/>
        <v>#DIV/0!</v>
      </c>
      <c r="AK28" s="3409"/>
      <c r="AL28" s="3341"/>
      <c r="AM28" s="3341"/>
      <c r="AN28" s="3349">
        <f t="shared" si="30"/>
        <v>0</v>
      </c>
      <c r="AO28" s="4326">
        <f t="shared" si="45"/>
        <v>0</v>
      </c>
      <c r="AP28" s="3409"/>
      <c r="AQ28" s="3341"/>
      <c r="AR28" s="3341"/>
      <c r="AS28" s="3349">
        <f t="shared" si="31"/>
        <v>0</v>
      </c>
      <c r="AT28" s="4326" t="e">
        <f t="shared" si="46"/>
        <v>#DIV/0!</v>
      </c>
      <c r="AU28" s="3409"/>
      <c r="AV28" s="3341"/>
      <c r="AW28" s="3341">
        <v>56721</v>
      </c>
      <c r="AX28" s="3349">
        <f t="shared" si="32"/>
        <v>56721</v>
      </c>
      <c r="AY28" s="4326">
        <f t="shared" si="47"/>
        <v>0.86999633979968727</v>
      </c>
      <c r="AZ28" s="3409" t="s">
        <v>2082</v>
      </c>
      <c r="BA28" s="3341"/>
      <c r="BB28" s="3341"/>
      <c r="BC28" s="3349">
        <f t="shared" si="33"/>
        <v>0</v>
      </c>
      <c r="BD28" s="4326" t="e">
        <f t="shared" si="48"/>
        <v>#DIV/0!</v>
      </c>
      <c r="BE28" s="3409"/>
      <c r="BF28" s="3341"/>
      <c r="BG28" s="3341"/>
      <c r="BH28" s="3349">
        <f t="shared" si="34"/>
        <v>0</v>
      </c>
      <c r="BI28" s="4326" t="e">
        <f t="shared" si="49"/>
        <v>#DIV/0!</v>
      </c>
      <c r="BJ28" s="3409"/>
      <c r="BK28" s="3341"/>
      <c r="BL28" s="3341"/>
      <c r="BM28" s="3349">
        <f t="shared" si="35"/>
        <v>0</v>
      </c>
      <c r="BN28" s="4326" t="e">
        <f t="shared" si="50"/>
        <v>#DIV/0!</v>
      </c>
      <c r="BO28" s="3409"/>
      <c r="BP28" s="3341"/>
      <c r="BQ28" s="3341"/>
      <c r="BR28" s="3349">
        <f t="shared" si="36"/>
        <v>0</v>
      </c>
      <c r="BS28" s="4326" t="e">
        <f t="shared" si="51"/>
        <v>#DIV/0!</v>
      </c>
      <c r="BT28" s="3409"/>
      <c r="BU28" s="3341"/>
      <c r="BV28" s="3341"/>
      <c r="BW28" s="3349">
        <f t="shared" si="37"/>
        <v>0</v>
      </c>
      <c r="BX28" s="4326" t="e">
        <f t="shared" si="52"/>
        <v>#DIV/0!</v>
      </c>
      <c r="BY28" s="3409"/>
      <c r="BZ28" s="3341"/>
      <c r="CA28" s="3341"/>
      <c r="CB28" s="3349">
        <f t="shared" si="38"/>
        <v>0</v>
      </c>
      <c r="CC28" s="4326" t="e">
        <f t="shared" si="53"/>
        <v>#DIV/0!</v>
      </c>
      <c r="CD28" s="3409"/>
      <c r="CE28" s="3341"/>
      <c r="CF28" s="3341"/>
      <c r="CG28" s="3349">
        <f t="shared" si="39"/>
        <v>0</v>
      </c>
      <c r="CH28" s="4326" t="e">
        <f t="shared" si="54"/>
        <v>#DIV/0!</v>
      </c>
      <c r="CI28" s="3409"/>
      <c r="CJ28" s="3341">
        <f t="shared" si="55"/>
        <v>0</v>
      </c>
      <c r="CK28" s="3341">
        <f t="shared" si="55"/>
        <v>56721</v>
      </c>
      <c r="CL28" s="3349">
        <f t="shared" si="56"/>
        <v>56721</v>
      </c>
      <c r="CM28" s="4326">
        <f t="shared" si="40"/>
        <v>4.5428088311141729E-2</v>
      </c>
      <c r="CN28" s="1434"/>
      <c r="CP28" s="4320">
        <v>158603.43174</v>
      </c>
      <c r="CQ28" s="2012">
        <f t="shared" si="41"/>
        <v>56721</v>
      </c>
      <c r="CR28" s="4322">
        <f t="shared" si="57"/>
        <v>101882.43174</v>
      </c>
      <c r="CS28" s="3307"/>
      <c r="CT28" s="3443" t="s">
        <v>1889</v>
      </c>
      <c r="CU28" s="4190">
        <f>300*(181.16+7.91)*1.15</f>
        <v>65229.149999999994</v>
      </c>
      <c r="CV28" s="3778" t="s">
        <v>2023</v>
      </c>
      <c r="CW28" s="4319">
        <f>CR28/CP28</f>
        <v>0.64237217708515137</v>
      </c>
    </row>
    <row r="29" spans="1:101" s="1396" customFormat="1" ht="13.8" outlineLevel="2">
      <c r="A29" s="1571"/>
      <c r="B29" s="4327" t="s">
        <v>31</v>
      </c>
      <c r="C29" s="3341"/>
      <c r="D29" s="3341"/>
      <c r="E29" s="3349">
        <f t="shared" si="20"/>
        <v>0</v>
      </c>
      <c r="F29" s="4326" t="e">
        <f t="shared" si="17"/>
        <v>#DIV/0!</v>
      </c>
      <c r="G29" s="3342"/>
      <c r="H29" s="3341"/>
      <c r="I29" s="3341"/>
      <c r="J29" s="3349">
        <f t="shared" si="21"/>
        <v>0</v>
      </c>
      <c r="K29" s="4326" t="e">
        <f t="shared" si="42"/>
        <v>#DIV/0!</v>
      </c>
      <c r="L29" s="3342"/>
      <c r="M29" s="3341"/>
      <c r="N29" s="3341"/>
      <c r="O29" s="3349">
        <f t="shared" si="22"/>
        <v>0</v>
      </c>
      <c r="P29" s="4326" t="e">
        <f t="shared" si="23"/>
        <v>#DIV/0!</v>
      </c>
      <c r="Q29" s="3342"/>
      <c r="R29" s="3342">
        <f t="shared" si="24"/>
        <v>0</v>
      </c>
      <c r="S29" s="3342">
        <f t="shared" si="24"/>
        <v>0</v>
      </c>
      <c r="T29" s="2012">
        <f t="shared" si="25"/>
        <v>0</v>
      </c>
      <c r="U29" s="3342"/>
      <c r="V29" s="3342"/>
      <c r="W29" s="3342">
        <f t="shared" si="26"/>
        <v>0</v>
      </c>
      <c r="X29" s="3342">
        <f t="shared" si="26"/>
        <v>0</v>
      </c>
      <c r="Y29" s="2012">
        <f t="shared" si="27"/>
        <v>0</v>
      </c>
      <c r="Z29" s="3342"/>
      <c r="AA29" s="3342"/>
      <c r="AB29" s="3341"/>
      <c r="AC29" s="3341"/>
      <c r="AD29" s="3349">
        <f t="shared" si="28"/>
        <v>0</v>
      </c>
      <c r="AE29" s="4326">
        <f t="shared" si="43"/>
        <v>0</v>
      </c>
      <c r="AF29" s="3409"/>
      <c r="AG29" s="3341"/>
      <c r="AH29" s="3341"/>
      <c r="AI29" s="3349">
        <f t="shared" si="29"/>
        <v>0</v>
      </c>
      <c r="AJ29" s="4326" t="e">
        <f t="shared" si="44"/>
        <v>#DIV/0!</v>
      </c>
      <c r="AK29" s="3342"/>
      <c r="AL29" s="3341"/>
      <c r="AM29" s="3341"/>
      <c r="AN29" s="3349">
        <f t="shared" si="30"/>
        <v>0</v>
      </c>
      <c r="AO29" s="4326">
        <f t="shared" si="45"/>
        <v>0</v>
      </c>
      <c r="AP29" s="3342"/>
      <c r="AQ29" s="3341"/>
      <c r="AR29" s="3341"/>
      <c r="AS29" s="3349">
        <f t="shared" si="31"/>
        <v>0</v>
      </c>
      <c r="AT29" s="4326" t="e">
        <f t="shared" si="46"/>
        <v>#DIV/0!</v>
      </c>
      <c r="AU29" s="3342"/>
      <c r="AV29" s="3341"/>
      <c r="AW29" s="3341"/>
      <c r="AX29" s="3349">
        <f t="shared" si="32"/>
        <v>0</v>
      </c>
      <c r="AY29" s="4326">
        <f t="shared" si="47"/>
        <v>0</v>
      </c>
      <c r="AZ29" s="3342"/>
      <c r="BA29" s="3341"/>
      <c r="BB29" s="3341"/>
      <c r="BC29" s="3349">
        <f t="shared" si="33"/>
        <v>0</v>
      </c>
      <c r="BD29" s="4326" t="e">
        <f t="shared" si="48"/>
        <v>#DIV/0!</v>
      </c>
      <c r="BE29" s="3342"/>
      <c r="BF29" s="3341"/>
      <c r="BG29" s="3341"/>
      <c r="BH29" s="3349">
        <f t="shared" si="34"/>
        <v>0</v>
      </c>
      <c r="BI29" s="4326" t="e">
        <f t="shared" si="49"/>
        <v>#DIV/0!</v>
      </c>
      <c r="BJ29" s="3342"/>
      <c r="BK29" s="3341"/>
      <c r="BL29" s="3341"/>
      <c r="BM29" s="3349">
        <f t="shared" si="35"/>
        <v>0</v>
      </c>
      <c r="BN29" s="4326" t="e">
        <f t="shared" si="50"/>
        <v>#DIV/0!</v>
      </c>
      <c r="BO29" s="3342"/>
      <c r="BP29" s="3341"/>
      <c r="BQ29" s="3341"/>
      <c r="BR29" s="3349">
        <f t="shared" si="36"/>
        <v>0</v>
      </c>
      <c r="BS29" s="4326" t="e">
        <f t="shared" si="51"/>
        <v>#DIV/0!</v>
      </c>
      <c r="BT29" s="3342"/>
      <c r="BU29" s="3341"/>
      <c r="BV29" s="3341"/>
      <c r="BW29" s="3349">
        <f t="shared" si="37"/>
        <v>0</v>
      </c>
      <c r="BX29" s="4326" t="e">
        <f t="shared" si="52"/>
        <v>#DIV/0!</v>
      </c>
      <c r="BY29" s="3342"/>
      <c r="BZ29" s="3341"/>
      <c r="CA29" s="3341"/>
      <c r="CB29" s="3349">
        <f t="shared" si="38"/>
        <v>0</v>
      </c>
      <c r="CC29" s="4326" t="e">
        <f t="shared" si="53"/>
        <v>#DIV/0!</v>
      </c>
      <c r="CD29" s="3342"/>
      <c r="CE29" s="3341"/>
      <c r="CF29" s="3341"/>
      <c r="CG29" s="3349">
        <f t="shared" si="39"/>
        <v>0</v>
      </c>
      <c r="CH29" s="4326" t="e">
        <f t="shared" si="54"/>
        <v>#DIV/0!</v>
      </c>
      <c r="CI29" s="3342"/>
      <c r="CJ29" s="3341">
        <f t="shared" si="55"/>
        <v>0</v>
      </c>
      <c r="CK29" s="3341">
        <f t="shared" si="55"/>
        <v>0</v>
      </c>
      <c r="CL29" s="3349">
        <f t="shared" si="56"/>
        <v>0</v>
      </c>
      <c r="CM29" s="4326">
        <f t="shared" si="40"/>
        <v>0</v>
      </c>
      <c r="CN29" s="4328"/>
      <c r="CP29" s="4320"/>
      <c r="CQ29" s="2012">
        <f t="shared" si="41"/>
        <v>0</v>
      </c>
      <c r="CR29" s="4322">
        <f t="shared" si="57"/>
        <v>0</v>
      </c>
      <c r="CT29" s="3443"/>
    </row>
    <row r="30" spans="1:101" s="1396" customFormat="1" ht="13.8" outlineLevel="2">
      <c r="A30" s="1571"/>
      <c r="B30" s="4327" t="s">
        <v>62</v>
      </c>
      <c r="C30" s="3341"/>
      <c r="D30" s="3341"/>
      <c r="E30" s="3349">
        <f t="shared" si="20"/>
        <v>0</v>
      </c>
      <c r="F30" s="4326" t="e">
        <f t="shared" si="17"/>
        <v>#DIV/0!</v>
      </c>
      <c r="G30" s="3343"/>
      <c r="H30" s="3341"/>
      <c r="I30" s="3341"/>
      <c r="J30" s="3349">
        <f t="shared" si="21"/>
        <v>0</v>
      </c>
      <c r="K30" s="4326" t="e">
        <f t="shared" si="42"/>
        <v>#DIV/0!</v>
      </c>
      <c r="L30" s="3343"/>
      <c r="M30" s="3341"/>
      <c r="N30" s="3341"/>
      <c r="O30" s="3349">
        <f t="shared" si="22"/>
        <v>0</v>
      </c>
      <c r="P30" s="4326" t="e">
        <f t="shared" si="23"/>
        <v>#DIV/0!</v>
      </c>
      <c r="Q30" s="3342"/>
      <c r="R30" s="3342">
        <f t="shared" si="24"/>
        <v>0</v>
      </c>
      <c r="S30" s="3342">
        <f t="shared" si="24"/>
        <v>0</v>
      </c>
      <c r="T30" s="2012">
        <f t="shared" si="25"/>
        <v>0</v>
      </c>
      <c r="U30" s="3342"/>
      <c r="V30" s="3342"/>
      <c r="W30" s="3342">
        <f t="shared" si="26"/>
        <v>0</v>
      </c>
      <c r="X30" s="3342">
        <f t="shared" si="26"/>
        <v>0</v>
      </c>
      <c r="Y30" s="2012">
        <f t="shared" si="27"/>
        <v>0</v>
      </c>
      <c r="Z30" s="3342"/>
      <c r="AA30" s="3342"/>
      <c r="AB30" s="3341"/>
      <c r="AC30" s="3341"/>
      <c r="AD30" s="3349">
        <f t="shared" si="28"/>
        <v>0</v>
      </c>
      <c r="AE30" s="4326">
        <f t="shared" si="43"/>
        <v>0</v>
      </c>
      <c r="AF30" s="3409"/>
      <c r="AG30" s="3341"/>
      <c r="AH30" s="3341"/>
      <c r="AI30" s="3349">
        <f t="shared" si="29"/>
        <v>0</v>
      </c>
      <c r="AJ30" s="4326" t="e">
        <f t="shared" si="44"/>
        <v>#DIV/0!</v>
      </c>
      <c r="AK30" s="3342"/>
      <c r="AL30" s="3341"/>
      <c r="AM30" s="3341"/>
      <c r="AN30" s="3349">
        <f t="shared" si="30"/>
        <v>0</v>
      </c>
      <c r="AO30" s="4326">
        <f t="shared" si="45"/>
        <v>0</v>
      </c>
      <c r="AP30" s="3342"/>
      <c r="AQ30" s="3341"/>
      <c r="AR30" s="3341"/>
      <c r="AS30" s="3349">
        <f t="shared" si="31"/>
        <v>0</v>
      </c>
      <c r="AT30" s="4326" t="e">
        <f t="shared" si="46"/>
        <v>#DIV/0!</v>
      </c>
      <c r="AU30" s="3342"/>
      <c r="AV30" s="3341"/>
      <c r="AW30" s="3341"/>
      <c r="AX30" s="3349">
        <f t="shared" si="32"/>
        <v>0</v>
      </c>
      <c r="AY30" s="4326">
        <f t="shared" si="47"/>
        <v>0</v>
      </c>
      <c r="AZ30" s="3342"/>
      <c r="BA30" s="3341"/>
      <c r="BB30" s="3341"/>
      <c r="BC30" s="3349">
        <f t="shared" si="33"/>
        <v>0</v>
      </c>
      <c r="BD30" s="4326" t="e">
        <f t="shared" si="48"/>
        <v>#DIV/0!</v>
      </c>
      <c r="BE30" s="3342"/>
      <c r="BF30" s="3341"/>
      <c r="BG30" s="3341"/>
      <c r="BH30" s="3349">
        <f t="shared" si="34"/>
        <v>0</v>
      </c>
      <c r="BI30" s="4326" t="e">
        <f t="shared" si="49"/>
        <v>#DIV/0!</v>
      </c>
      <c r="BJ30" s="3342"/>
      <c r="BK30" s="3341"/>
      <c r="BL30" s="3341"/>
      <c r="BM30" s="3349">
        <f t="shared" si="35"/>
        <v>0</v>
      </c>
      <c r="BN30" s="4326" t="e">
        <f t="shared" si="50"/>
        <v>#DIV/0!</v>
      </c>
      <c r="BO30" s="3342"/>
      <c r="BP30" s="3341"/>
      <c r="BQ30" s="3341"/>
      <c r="BR30" s="3349">
        <f t="shared" si="36"/>
        <v>0</v>
      </c>
      <c r="BS30" s="4326" t="e">
        <f t="shared" si="51"/>
        <v>#DIV/0!</v>
      </c>
      <c r="BT30" s="3342"/>
      <c r="BU30" s="3341"/>
      <c r="BV30" s="3341"/>
      <c r="BW30" s="3349">
        <f t="shared" si="37"/>
        <v>0</v>
      </c>
      <c r="BX30" s="4326" t="e">
        <f t="shared" si="52"/>
        <v>#DIV/0!</v>
      </c>
      <c r="BY30" s="3342"/>
      <c r="BZ30" s="3341"/>
      <c r="CA30" s="3341"/>
      <c r="CB30" s="3349">
        <f t="shared" si="38"/>
        <v>0</v>
      </c>
      <c r="CC30" s="4326" t="e">
        <f t="shared" si="53"/>
        <v>#DIV/0!</v>
      </c>
      <c r="CD30" s="3342"/>
      <c r="CE30" s="3341"/>
      <c r="CF30" s="3341"/>
      <c r="CG30" s="3349">
        <f t="shared" si="39"/>
        <v>0</v>
      </c>
      <c r="CH30" s="4326" t="e">
        <f t="shared" si="54"/>
        <v>#DIV/0!</v>
      </c>
      <c r="CI30" s="3342"/>
      <c r="CJ30" s="3341">
        <f t="shared" si="55"/>
        <v>0</v>
      </c>
      <c r="CK30" s="3341">
        <f t="shared" si="55"/>
        <v>0</v>
      </c>
      <c r="CL30" s="3349">
        <f t="shared" si="56"/>
        <v>0</v>
      </c>
      <c r="CM30" s="4326">
        <f t="shared" si="40"/>
        <v>0</v>
      </c>
      <c r="CN30" s="4328"/>
      <c r="CP30" s="4320"/>
      <c r="CQ30" s="2012">
        <f t="shared" si="41"/>
        <v>0</v>
      </c>
      <c r="CR30" s="4322">
        <f t="shared" si="57"/>
        <v>0</v>
      </c>
      <c r="CS30" s="3307"/>
      <c r="CT30" s="3443"/>
    </row>
    <row r="31" spans="1:101" s="1396" customFormat="1" ht="13.8" outlineLevel="2">
      <c r="A31" s="1571"/>
      <c r="B31" s="4327" t="s">
        <v>34</v>
      </c>
      <c r="C31" s="3341"/>
      <c r="D31" s="3341"/>
      <c r="E31" s="3349">
        <f t="shared" si="20"/>
        <v>0</v>
      </c>
      <c r="F31" s="4326" t="e">
        <f t="shared" si="17"/>
        <v>#DIV/0!</v>
      </c>
      <c r="G31" s="3343"/>
      <c r="H31" s="3341"/>
      <c r="I31" s="3341"/>
      <c r="J31" s="3349">
        <f t="shared" si="21"/>
        <v>0</v>
      </c>
      <c r="K31" s="4326" t="e">
        <f t="shared" si="42"/>
        <v>#DIV/0!</v>
      </c>
      <c r="L31" s="3343"/>
      <c r="M31" s="3341"/>
      <c r="N31" s="3341"/>
      <c r="O31" s="3349">
        <f t="shared" si="22"/>
        <v>0</v>
      </c>
      <c r="P31" s="4326" t="e">
        <f t="shared" si="23"/>
        <v>#DIV/0!</v>
      </c>
      <c r="Q31" s="3342"/>
      <c r="R31" s="3342">
        <f t="shared" si="24"/>
        <v>0</v>
      </c>
      <c r="S31" s="3342">
        <f t="shared" si="24"/>
        <v>0</v>
      </c>
      <c r="T31" s="2012">
        <f t="shared" si="25"/>
        <v>0</v>
      </c>
      <c r="U31" s="3342"/>
      <c r="V31" s="3342"/>
      <c r="W31" s="3342">
        <f t="shared" si="26"/>
        <v>0</v>
      </c>
      <c r="X31" s="3342">
        <f t="shared" si="26"/>
        <v>0</v>
      </c>
      <c r="Y31" s="2012">
        <f t="shared" si="27"/>
        <v>0</v>
      </c>
      <c r="Z31" s="3342"/>
      <c r="AA31" s="3342"/>
      <c r="AB31" s="3341"/>
      <c r="AC31" s="3341"/>
      <c r="AD31" s="3349">
        <f t="shared" si="28"/>
        <v>0</v>
      </c>
      <c r="AE31" s="4326">
        <f t="shared" si="43"/>
        <v>0</v>
      </c>
      <c r="AF31" s="3409"/>
      <c r="AG31" s="3341"/>
      <c r="AH31" s="3341"/>
      <c r="AI31" s="3349">
        <f t="shared" si="29"/>
        <v>0</v>
      </c>
      <c r="AJ31" s="4326" t="e">
        <f t="shared" si="44"/>
        <v>#DIV/0!</v>
      </c>
      <c r="AK31" s="3342"/>
      <c r="AL31" s="3341"/>
      <c r="AM31" s="3341"/>
      <c r="AN31" s="3349">
        <f t="shared" si="30"/>
        <v>0</v>
      </c>
      <c r="AO31" s="4326">
        <f t="shared" si="45"/>
        <v>0</v>
      </c>
      <c r="AP31" s="3342"/>
      <c r="AQ31" s="3341"/>
      <c r="AR31" s="3341"/>
      <c r="AS31" s="3349">
        <f t="shared" si="31"/>
        <v>0</v>
      </c>
      <c r="AT31" s="4326" t="e">
        <f t="shared" si="46"/>
        <v>#DIV/0!</v>
      </c>
      <c r="AU31" s="3342"/>
      <c r="AV31" s="3341"/>
      <c r="AW31" s="3341"/>
      <c r="AX31" s="3349">
        <f t="shared" si="32"/>
        <v>0</v>
      </c>
      <c r="AY31" s="4326">
        <f t="shared" si="47"/>
        <v>0</v>
      </c>
      <c r="AZ31" s="3342"/>
      <c r="BA31" s="3341"/>
      <c r="BB31" s="3341"/>
      <c r="BC31" s="3349">
        <f t="shared" si="33"/>
        <v>0</v>
      </c>
      <c r="BD31" s="4326" t="e">
        <f t="shared" si="48"/>
        <v>#DIV/0!</v>
      </c>
      <c r="BE31" s="3342"/>
      <c r="BF31" s="3341"/>
      <c r="BG31" s="3341"/>
      <c r="BH31" s="3349">
        <f t="shared" si="34"/>
        <v>0</v>
      </c>
      <c r="BI31" s="4326" t="e">
        <f t="shared" si="49"/>
        <v>#DIV/0!</v>
      </c>
      <c r="BJ31" s="3342"/>
      <c r="BK31" s="3341"/>
      <c r="BL31" s="3341"/>
      <c r="BM31" s="3349">
        <f t="shared" si="35"/>
        <v>0</v>
      </c>
      <c r="BN31" s="4326" t="e">
        <f t="shared" si="50"/>
        <v>#DIV/0!</v>
      </c>
      <c r="BO31" s="3342"/>
      <c r="BP31" s="3341"/>
      <c r="BQ31" s="3341"/>
      <c r="BR31" s="3349">
        <f t="shared" si="36"/>
        <v>0</v>
      </c>
      <c r="BS31" s="4326" t="e">
        <f t="shared" si="51"/>
        <v>#DIV/0!</v>
      </c>
      <c r="BT31" s="3342"/>
      <c r="BU31" s="3341"/>
      <c r="BV31" s="3341"/>
      <c r="BW31" s="3349">
        <f t="shared" si="37"/>
        <v>0</v>
      </c>
      <c r="BX31" s="4326" t="e">
        <f t="shared" si="52"/>
        <v>#DIV/0!</v>
      </c>
      <c r="BY31" s="3342"/>
      <c r="BZ31" s="3341"/>
      <c r="CA31" s="3341"/>
      <c r="CB31" s="3349">
        <f t="shared" si="38"/>
        <v>0</v>
      </c>
      <c r="CC31" s="4326" t="e">
        <f t="shared" si="53"/>
        <v>#DIV/0!</v>
      </c>
      <c r="CD31" s="3342"/>
      <c r="CE31" s="3341"/>
      <c r="CF31" s="3341"/>
      <c r="CG31" s="3349">
        <f t="shared" si="39"/>
        <v>0</v>
      </c>
      <c r="CH31" s="4326" t="e">
        <f t="shared" si="54"/>
        <v>#DIV/0!</v>
      </c>
      <c r="CI31" s="3342"/>
      <c r="CJ31" s="3341">
        <f t="shared" si="55"/>
        <v>0</v>
      </c>
      <c r="CK31" s="3341">
        <f t="shared" si="55"/>
        <v>0</v>
      </c>
      <c r="CL31" s="3349">
        <f t="shared" si="56"/>
        <v>0</v>
      </c>
      <c r="CM31" s="4326">
        <f t="shared" si="40"/>
        <v>0</v>
      </c>
      <c r="CN31" s="4328"/>
      <c r="CP31" s="4320"/>
      <c r="CQ31" s="2012">
        <f t="shared" si="41"/>
        <v>0</v>
      </c>
      <c r="CR31" s="4322">
        <f t="shared" si="57"/>
        <v>0</v>
      </c>
      <c r="CS31" s="3307"/>
      <c r="CT31" s="3443"/>
      <c r="CV31" s="933"/>
    </row>
    <row r="32" spans="1:101" s="1396" customFormat="1" ht="13.8" outlineLevel="2">
      <c r="A32" s="1571"/>
      <c r="B32" s="4329" t="s">
        <v>2</v>
      </c>
      <c r="C32" s="3341"/>
      <c r="D32" s="3341"/>
      <c r="E32" s="3349">
        <f t="shared" si="20"/>
        <v>0</v>
      </c>
      <c r="F32" s="4326" t="e">
        <f t="shared" si="17"/>
        <v>#DIV/0!</v>
      </c>
      <c r="G32" s="4330"/>
      <c r="H32" s="3341"/>
      <c r="I32" s="3341"/>
      <c r="J32" s="3349">
        <f t="shared" si="21"/>
        <v>0</v>
      </c>
      <c r="K32" s="4326" t="e">
        <f t="shared" si="42"/>
        <v>#DIV/0!</v>
      </c>
      <c r="L32" s="4330"/>
      <c r="M32" s="3341"/>
      <c r="N32" s="3341"/>
      <c r="O32" s="3349">
        <f t="shared" si="22"/>
        <v>0</v>
      </c>
      <c r="P32" s="4326" t="e">
        <f t="shared" si="23"/>
        <v>#DIV/0!</v>
      </c>
      <c r="Q32" s="4330"/>
      <c r="R32" s="3342">
        <f t="shared" si="24"/>
        <v>0</v>
      </c>
      <c r="S32" s="3342">
        <f t="shared" si="24"/>
        <v>0</v>
      </c>
      <c r="T32" s="2012">
        <f t="shared" si="25"/>
        <v>0</v>
      </c>
      <c r="U32" s="2048"/>
      <c r="V32" s="2048"/>
      <c r="W32" s="3342">
        <f t="shared" si="26"/>
        <v>0</v>
      </c>
      <c r="X32" s="3342">
        <f t="shared" si="26"/>
        <v>0</v>
      </c>
      <c r="Y32" s="2012">
        <f t="shared" si="27"/>
        <v>0</v>
      </c>
      <c r="Z32" s="2048"/>
      <c r="AA32" s="2048"/>
      <c r="AB32" s="3341"/>
      <c r="AC32" s="3341"/>
      <c r="AD32" s="3349">
        <f t="shared" si="28"/>
        <v>0</v>
      </c>
      <c r="AE32" s="4326">
        <f t="shared" si="43"/>
        <v>0</v>
      </c>
      <c r="AF32" s="4331"/>
      <c r="AG32" s="3341"/>
      <c r="AH32" s="3341"/>
      <c r="AI32" s="3349">
        <f t="shared" si="29"/>
        <v>0</v>
      </c>
      <c r="AJ32" s="4326" t="e">
        <f t="shared" si="44"/>
        <v>#DIV/0!</v>
      </c>
      <c r="AK32" s="4330"/>
      <c r="AL32" s="3341"/>
      <c r="AM32" s="3341"/>
      <c r="AN32" s="3349">
        <f t="shared" si="30"/>
        <v>0</v>
      </c>
      <c r="AO32" s="4326">
        <f t="shared" si="45"/>
        <v>0</v>
      </c>
      <c r="AP32" s="4330"/>
      <c r="AQ32" s="3341"/>
      <c r="AR32" s="3341"/>
      <c r="AS32" s="3349">
        <f t="shared" si="31"/>
        <v>0</v>
      </c>
      <c r="AT32" s="4326" t="e">
        <f t="shared" si="46"/>
        <v>#DIV/0!</v>
      </c>
      <c r="AU32" s="4330"/>
      <c r="AV32" s="3341"/>
      <c r="AW32" s="3341"/>
      <c r="AX32" s="3349">
        <f t="shared" si="32"/>
        <v>0</v>
      </c>
      <c r="AY32" s="4326">
        <f t="shared" si="47"/>
        <v>0</v>
      </c>
      <c r="AZ32" s="4330"/>
      <c r="BA32" s="3341"/>
      <c r="BB32" s="3341"/>
      <c r="BC32" s="3349">
        <f t="shared" si="33"/>
        <v>0</v>
      </c>
      <c r="BD32" s="4326" t="e">
        <f t="shared" si="48"/>
        <v>#DIV/0!</v>
      </c>
      <c r="BE32" s="4330"/>
      <c r="BF32" s="3341"/>
      <c r="BG32" s="3341"/>
      <c r="BH32" s="3349">
        <f t="shared" si="34"/>
        <v>0</v>
      </c>
      <c r="BI32" s="4326" t="e">
        <f t="shared" si="49"/>
        <v>#DIV/0!</v>
      </c>
      <c r="BJ32" s="4330"/>
      <c r="BK32" s="3341"/>
      <c r="BL32" s="3341"/>
      <c r="BM32" s="3349">
        <f t="shared" si="35"/>
        <v>0</v>
      </c>
      <c r="BN32" s="4326" t="e">
        <f t="shared" si="50"/>
        <v>#DIV/0!</v>
      </c>
      <c r="BO32" s="4330"/>
      <c r="BP32" s="3341"/>
      <c r="BQ32" s="3341"/>
      <c r="BR32" s="3349">
        <f t="shared" si="36"/>
        <v>0</v>
      </c>
      <c r="BS32" s="4326" t="e">
        <f t="shared" si="51"/>
        <v>#DIV/0!</v>
      </c>
      <c r="BT32" s="4330"/>
      <c r="BU32" s="3341"/>
      <c r="BV32" s="3341"/>
      <c r="BW32" s="3349">
        <f t="shared" si="37"/>
        <v>0</v>
      </c>
      <c r="BX32" s="4326" t="e">
        <f t="shared" si="52"/>
        <v>#DIV/0!</v>
      </c>
      <c r="BY32" s="4330"/>
      <c r="BZ32" s="3341"/>
      <c r="CA32" s="3341"/>
      <c r="CB32" s="3349">
        <f t="shared" si="38"/>
        <v>0</v>
      </c>
      <c r="CC32" s="4326" t="e">
        <f t="shared" si="53"/>
        <v>#DIV/0!</v>
      </c>
      <c r="CD32" s="4330"/>
      <c r="CE32" s="3341"/>
      <c r="CF32" s="3341"/>
      <c r="CG32" s="3349">
        <f t="shared" si="39"/>
        <v>0</v>
      </c>
      <c r="CH32" s="4326" t="e">
        <f t="shared" si="54"/>
        <v>#DIV/0!</v>
      </c>
      <c r="CI32" s="4330"/>
      <c r="CJ32" s="4332">
        <f t="shared" si="55"/>
        <v>0</v>
      </c>
      <c r="CK32" s="4333">
        <f t="shared" si="55"/>
        <v>0</v>
      </c>
      <c r="CL32" s="3349">
        <f t="shared" si="56"/>
        <v>0</v>
      </c>
      <c r="CM32" s="4326">
        <f t="shared" si="40"/>
        <v>0</v>
      </c>
      <c r="CN32" s="4328"/>
      <c r="CP32" s="4320"/>
      <c r="CQ32" s="2012">
        <f t="shared" si="41"/>
        <v>0</v>
      </c>
      <c r="CR32" s="4322">
        <f t="shared" si="57"/>
        <v>0</v>
      </c>
      <c r="CT32" s="3443"/>
    </row>
    <row r="33" spans="1:98" s="1396" customFormat="1" ht="14.4" outlineLevel="2" thickBot="1">
      <c r="A33" s="1571"/>
      <c r="B33" s="4334" t="s">
        <v>75</v>
      </c>
      <c r="C33" s="4335"/>
      <c r="D33" s="4335"/>
      <c r="E33" s="4336">
        <f t="shared" ref="E33" si="58">C33+D33*1</f>
        <v>0</v>
      </c>
      <c r="F33" s="4337" t="e">
        <f t="shared" si="17"/>
        <v>#DIV/0!</v>
      </c>
      <c r="G33" s="4338"/>
      <c r="H33" s="4335"/>
      <c r="I33" s="4335"/>
      <c r="J33" s="4336">
        <f>H33+I33*1</f>
        <v>0</v>
      </c>
      <c r="K33" s="4337" t="e">
        <f t="shared" si="42"/>
        <v>#DIV/0!</v>
      </c>
      <c r="L33" s="4338"/>
      <c r="M33" s="4335"/>
      <c r="N33" s="4335"/>
      <c r="O33" s="4336">
        <f t="shared" ref="O33" si="59">M33+N33*1</f>
        <v>0</v>
      </c>
      <c r="P33" s="4326" t="e">
        <f t="shared" si="23"/>
        <v>#DIV/0!</v>
      </c>
      <c r="Q33" s="4338"/>
      <c r="R33" s="4339">
        <f t="shared" si="24"/>
        <v>0</v>
      </c>
      <c r="S33" s="4340">
        <f t="shared" si="24"/>
        <v>0</v>
      </c>
      <c r="T33" s="4341">
        <f t="shared" si="25"/>
        <v>0</v>
      </c>
      <c r="U33" s="4338"/>
      <c r="V33" s="4338"/>
      <c r="W33" s="4340">
        <f t="shared" si="26"/>
        <v>0</v>
      </c>
      <c r="X33" s="4340">
        <f t="shared" si="26"/>
        <v>0</v>
      </c>
      <c r="Y33" s="4341">
        <f t="shared" si="27"/>
        <v>0</v>
      </c>
      <c r="Z33" s="4338"/>
      <c r="AA33" s="4338"/>
      <c r="AB33" s="4335"/>
      <c r="AC33" s="4335"/>
      <c r="AD33" s="4336">
        <f t="shared" ref="AD33" si="60">AB33+AC33*1</f>
        <v>0</v>
      </c>
      <c r="AE33" s="4337">
        <f t="shared" si="43"/>
        <v>0</v>
      </c>
      <c r="AF33" s="4342"/>
      <c r="AG33" s="4335"/>
      <c r="AH33" s="4335"/>
      <c r="AI33" s="4336">
        <f t="shared" ref="AI33" si="61">AG33+AH33*1</f>
        <v>0</v>
      </c>
      <c r="AJ33" s="4337" t="e">
        <f t="shared" si="44"/>
        <v>#DIV/0!</v>
      </c>
      <c r="AK33" s="4338"/>
      <c r="AL33" s="4335"/>
      <c r="AM33" s="4335"/>
      <c r="AN33" s="4336">
        <f t="shared" ref="AN33" si="62">AL33+AM33*1</f>
        <v>0</v>
      </c>
      <c r="AO33" s="4337">
        <f t="shared" si="45"/>
        <v>0</v>
      </c>
      <c r="AP33" s="4338"/>
      <c r="AQ33" s="4335"/>
      <c r="AR33" s="4335"/>
      <c r="AS33" s="4336">
        <f t="shared" ref="AS33" si="63">AQ33+AR33*1</f>
        <v>0</v>
      </c>
      <c r="AT33" s="4337" t="e">
        <f t="shared" si="46"/>
        <v>#DIV/0!</v>
      </c>
      <c r="AU33" s="4338"/>
      <c r="AV33" s="4335"/>
      <c r="AW33" s="4335"/>
      <c r="AX33" s="4336">
        <f t="shared" ref="AX33" si="64">AV33+AW33*1</f>
        <v>0</v>
      </c>
      <c r="AY33" s="4337">
        <f t="shared" si="47"/>
        <v>0</v>
      </c>
      <c r="AZ33" s="4338"/>
      <c r="BA33" s="4335"/>
      <c r="BB33" s="4335"/>
      <c r="BC33" s="4336">
        <f t="shared" ref="BC33" si="65">BA33+BB33*1</f>
        <v>0</v>
      </c>
      <c r="BD33" s="4337" t="e">
        <f t="shared" si="48"/>
        <v>#DIV/0!</v>
      </c>
      <c r="BE33" s="4338"/>
      <c r="BF33" s="4335"/>
      <c r="BG33" s="4335"/>
      <c r="BH33" s="4336">
        <f t="shared" ref="BH33" si="66">BF33+BG33*1</f>
        <v>0</v>
      </c>
      <c r="BI33" s="4337" t="e">
        <f t="shared" si="49"/>
        <v>#DIV/0!</v>
      </c>
      <c r="BJ33" s="4338"/>
      <c r="BK33" s="4335"/>
      <c r="BL33" s="4335"/>
      <c r="BM33" s="4336">
        <f t="shared" ref="BM33" si="67">BK33+BL33*1</f>
        <v>0</v>
      </c>
      <c r="BN33" s="4337" t="e">
        <f t="shared" si="50"/>
        <v>#DIV/0!</v>
      </c>
      <c r="BO33" s="4338"/>
      <c r="BP33" s="4335"/>
      <c r="BQ33" s="4335"/>
      <c r="BR33" s="4336">
        <f t="shared" ref="BR33" si="68">BP33+BQ33*1</f>
        <v>0</v>
      </c>
      <c r="BS33" s="4337" t="e">
        <f t="shared" si="51"/>
        <v>#DIV/0!</v>
      </c>
      <c r="BT33" s="4338"/>
      <c r="BU33" s="4335"/>
      <c r="BV33" s="4335"/>
      <c r="BW33" s="4336">
        <f t="shared" ref="BW33" si="69">BU33+BV33*1</f>
        <v>0</v>
      </c>
      <c r="BX33" s="4337" t="e">
        <f t="shared" si="52"/>
        <v>#DIV/0!</v>
      </c>
      <c r="BY33" s="4338"/>
      <c r="BZ33" s="4335"/>
      <c r="CA33" s="4335"/>
      <c r="CB33" s="4336">
        <f t="shared" ref="CB33" si="70">BZ33+CA33*1</f>
        <v>0</v>
      </c>
      <c r="CC33" s="4337" t="e">
        <f t="shared" si="53"/>
        <v>#DIV/0!</v>
      </c>
      <c r="CD33" s="4338"/>
      <c r="CE33" s="4335"/>
      <c r="CF33" s="4335"/>
      <c r="CG33" s="4336">
        <f t="shared" ref="CG33" si="71">CE33+CF33*1</f>
        <v>0</v>
      </c>
      <c r="CH33" s="4337" t="e">
        <f t="shared" si="54"/>
        <v>#DIV/0!</v>
      </c>
      <c r="CI33" s="4338"/>
      <c r="CJ33" s="4343">
        <f t="shared" si="55"/>
        <v>0</v>
      </c>
      <c r="CK33" s="4335">
        <f t="shared" si="55"/>
        <v>0</v>
      </c>
      <c r="CL33" s="4336">
        <f t="shared" si="56"/>
        <v>0</v>
      </c>
      <c r="CM33" s="4344">
        <f t="shared" si="40"/>
        <v>0</v>
      </c>
      <c r="CN33" s="4345"/>
      <c r="CP33" s="4320"/>
      <c r="CQ33" s="4320"/>
      <c r="CR33" s="4322">
        <f t="shared" si="57"/>
        <v>0</v>
      </c>
      <c r="CT33" s="3443"/>
    </row>
    <row r="34" spans="1:98"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1"/>
      <c r="AC34" s="3341"/>
      <c r="AD34" s="3368"/>
      <c r="AE34" s="3368"/>
      <c r="AF34" s="3721"/>
      <c r="AG34" s="3341"/>
      <c r="AH34" s="3341"/>
      <c r="AI34" s="3368"/>
      <c r="AJ34" s="3368"/>
      <c r="AK34" s="3448"/>
      <c r="AL34" s="3341"/>
      <c r="AM34" s="3341"/>
      <c r="AN34" s="3368"/>
      <c r="AO34" s="3368"/>
      <c r="AP34" s="3448"/>
      <c r="AQ34" s="3341"/>
      <c r="AR34" s="3341"/>
      <c r="AS34" s="3368"/>
      <c r="AT34" s="3368"/>
      <c r="AU34" s="3448"/>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3449"/>
      <c r="CQ34" s="3449"/>
      <c r="CR34" s="3450"/>
      <c r="CT34" s="3443"/>
    </row>
    <row r="35" spans="1:98" s="1396" customFormat="1" ht="13.8" outlineLevel="1">
      <c r="A35" s="1571"/>
      <c r="B35" s="4346" t="s">
        <v>80</v>
      </c>
      <c r="C35" s="4347">
        <f>C36</f>
        <v>0</v>
      </c>
      <c r="D35" s="4347">
        <f>D36</f>
        <v>0</v>
      </c>
      <c r="E35" s="4348">
        <f>E36</f>
        <v>0</v>
      </c>
      <c r="F35" s="4348"/>
      <c r="G35" s="4349"/>
      <c r="H35" s="4347">
        <f>H36</f>
        <v>0</v>
      </c>
      <c r="I35" s="4347">
        <f>I36</f>
        <v>0</v>
      </c>
      <c r="J35" s="4348">
        <f>J36</f>
        <v>0</v>
      </c>
      <c r="K35" s="4348"/>
      <c r="L35" s="4349"/>
      <c r="M35" s="4347">
        <f>M36</f>
        <v>0</v>
      </c>
      <c r="N35" s="4347">
        <f>N36</f>
        <v>0</v>
      </c>
      <c r="O35" s="4348">
        <f>O36</f>
        <v>0</v>
      </c>
      <c r="P35" s="4348"/>
      <c r="Q35" s="4349"/>
      <c r="R35" s="4347">
        <f>R36</f>
        <v>0</v>
      </c>
      <c r="S35" s="4347">
        <f>S36</f>
        <v>0</v>
      </c>
      <c r="T35" s="4348">
        <f>T36</f>
        <v>0</v>
      </c>
      <c r="U35" s="4350"/>
      <c r="V35" s="4350"/>
      <c r="W35" s="4347">
        <f>W36</f>
        <v>0</v>
      </c>
      <c r="X35" s="4347">
        <f>X36</f>
        <v>0</v>
      </c>
      <c r="Y35" s="4348">
        <f>Y36</f>
        <v>0</v>
      </c>
      <c r="Z35" s="4350"/>
      <c r="AA35" s="4350"/>
      <c r="AB35" s="4347">
        <f>AB36</f>
        <v>0</v>
      </c>
      <c r="AC35" s="4347">
        <f>AC36</f>
        <v>0</v>
      </c>
      <c r="AD35" s="4348">
        <f>AD36</f>
        <v>0</v>
      </c>
      <c r="AE35" s="4348"/>
      <c r="AF35" s="4351"/>
      <c r="AG35" s="4347">
        <f>AG36</f>
        <v>0</v>
      </c>
      <c r="AH35" s="4347">
        <f>AH36</f>
        <v>0</v>
      </c>
      <c r="AI35" s="4348">
        <f>AI36</f>
        <v>0</v>
      </c>
      <c r="AJ35" s="4348"/>
      <c r="AK35" s="4349"/>
      <c r="AL35" s="4347">
        <f>AL36</f>
        <v>0</v>
      </c>
      <c r="AM35" s="4347">
        <f>AM36</f>
        <v>0</v>
      </c>
      <c r="AN35" s="4348">
        <f>AN36</f>
        <v>0</v>
      </c>
      <c r="AO35" s="4348"/>
      <c r="AP35" s="4349"/>
      <c r="AQ35" s="4347">
        <f>AQ36</f>
        <v>0</v>
      </c>
      <c r="AR35" s="4347">
        <f>AR36</f>
        <v>0</v>
      </c>
      <c r="AS35" s="4348">
        <f>AS36</f>
        <v>0</v>
      </c>
      <c r="AT35" s="4348"/>
      <c r="AU35" s="4349"/>
      <c r="AV35" s="4347">
        <f>AV36</f>
        <v>0</v>
      </c>
      <c r="AW35" s="4347">
        <f>AW36</f>
        <v>0</v>
      </c>
      <c r="AX35" s="4348">
        <f>AX36</f>
        <v>0</v>
      </c>
      <c r="AY35" s="4348"/>
      <c r="AZ35" s="4349"/>
      <c r="BA35" s="4347">
        <f>BA36</f>
        <v>0</v>
      </c>
      <c r="BB35" s="4347">
        <f>BB36</f>
        <v>0</v>
      </c>
      <c r="BC35" s="4348">
        <f>BC36</f>
        <v>0</v>
      </c>
      <c r="BD35" s="4348"/>
      <c r="BE35" s="4349"/>
      <c r="BF35" s="4347">
        <f>BF36</f>
        <v>0</v>
      </c>
      <c r="BG35" s="4347">
        <f>BG36</f>
        <v>0</v>
      </c>
      <c r="BH35" s="4348">
        <f>BH36</f>
        <v>0</v>
      </c>
      <c r="BI35" s="4348"/>
      <c r="BJ35" s="4349"/>
      <c r="BK35" s="4347">
        <f>BK36</f>
        <v>0</v>
      </c>
      <c r="BL35" s="4347">
        <f>BL36</f>
        <v>0</v>
      </c>
      <c r="BM35" s="4348">
        <f>BM36</f>
        <v>0</v>
      </c>
      <c r="BN35" s="4348"/>
      <c r="BO35" s="4349"/>
      <c r="BP35" s="4347">
        <f>BP36</f>
        <v>0</v>
      </c>
      <c r="BQ35" s="4347">
        <f>BQ36</f>
        <v>0</v>
      </c>
      <c r="BR35" s="4348">
        <f>BR36</f>
        <v>0</v>
      </c>
      <c r="BS35" s="4348"/>
      <c r="BT35" s="4349"/>
      <c r="BU35" s="4347">
        <f>BU36</f>
        <v>0</v>
      </c>
      <c r="BV35" s="4347">
        <f>BV36</f>
        <v>0</v>
      </c>
      <c r="BW35" s="4348">
        <f>BW36</f>
        <v>0</v>
      </c>
      <c r="BX35" s="4348"/>
      <c r="BY35" s="4349"/>
      <c r="BZ35" s="4347">
        <f>BZ36</f>
        <v>0</v>
      </c>
      <c r="CA35" s="4347">
        <f>CA36</f>
        <v>0</v>
      </c>
      <c r="CB35" s="4348">
        <f>CB36</f>
        <v>0</v>
      </c>
      <c r="CC35" s="4348"/>
      <c r="CD35" s="4349"/>
      <c r="CE35" s="4347">
        <f>CE36</f>
        <v>0</v>
      </c>
      <c r="CF35" s="4347">
        <f>CF36</f>
        <v>0</v>
      </c>
      <c r="CG35" s="4348">
        <f>CG36</f>
        <v>0</v>
      </c>
      <c r="CH35" s="4348"/>
      <c r="CI35" s="4349"/>
      <c r="CJ35" s="4347">
        <f>CJ36</f>
        <v>0</v>
      </c>
      <c r="CK35" s="4347">
        <f>CK36</f>
        <v>0</v>
      </c>
      <c r="CL35" s="4348">
        <f>CL36</f>
        <v>0</v>
      </c>
      <c r="CM35" s="4348"/>
      <c r="CN35" s="4348"/>
      <c r="CP35" s="4348">
        <f>CP36</f>
        <v>0</v>
      </c>
      <c r="CQ35" s="4348">
        <f>CQ36</f>
        <v>0</v>
      </c>
      <c r="CR35" s="4352">
        <f>CR36</f>
        <v>0</v>
      </c>
      <c r="CT35" s="3443"/>
    </row>
    <row r="36" spans="1:98" s="1396" customFormat="1" ht="13.8" outlineLevel="3">
      <c r="A36" s="1571"/>
      <c r="B36" s="4353" t="s">
        <v>81</v>
      </c>
      <c r="C36" s="3341"/>
      <c r="D36" s="3341"/>
      <c r="E36" s="2012">
        <f>C36+D36*1</f>
        <v>0</v>
      </c>
      <c r="F36" s="4326" t="e">
        <f>E36/$E$89</f>
        <v>#DIV/0!</v>
      </c>
      <c r="G36" s="4354"/>
      <c r="H36" s="3341"/>
      <c r="I36" s="3341"/>
      <c r="J36" s="2012">
        <f>H36+I36*1</f>
        <v>0</v>
      </c>
      <c r="K36" s="4326" t="e">
        <f t="shared" ref="K36" si="72">J36/J$89</f>
        <v>#DIV/0!</v>
      </c>
      <c r="L36" s="4354"/>
      <c r="M36" s="3341"/>
      <c r="N36" s="3341"/>
      <c r="O36" s="3349">
        <f t="shared" ref="O36" si="73">M36+N36</f>
        <v>0</v>
      </c>
      <c r="P36" s="4326" t="e">
        <f t="shared" ref="P36" si="74">O36/O$89</f>
        <v>#DIV/0!</v>
      </c>
      <c r="Q36" s="4354"/>
      <c r="R36" s="3342">
        <f t="shared" ref="R36:S36" si="75">M36+H36+C36</f>
        <v>0</v>
      </c>
      <c r="S36" s="3342">
        <f t="shared" si="75"/>
        <v>0</v>
      </c>
      <c r="T36" s="2012">
        <f t="shared" ref="T36" si="76">R36+S36</f>
        <v>0</v>
      </c>
      <c r="U36" s="3455"/>
      <c r="V36" s="3455"/>
      <c r="W36" s="3342">
        <f t="shared" ref="W36:X36" si="77">AB36+AG36+AL36+AV36+BA36+BF36+BK36+BP36+BU36+BZ36+CE36+AQ36</f>
        <v>0</v>
      </c>
      <c r="X36" s="3342">
        <f t="shared" si="77"/>
        <v>0</v>
      </c>
      <c r="Y36" s="2012">
        <f t="shared" ref="Y36" si="78">W36+X36</f>
        <v>0</v>
      </c>
      <c r="Z36" s="3455"/>
      <c r="AA36" s="3455"/>
      <c r="AB36" s="3341"/>
      <c r="AC36" s="3341"/>
      <c r="AD36" s="3349">
        <f t="shared" ref="AD36" si="79">AB36+AC36</f>
        <v>0</v>
      </c>
      <c r="AE36" s="4326">
        <f>AD36/AD$89</f>
        <v>0</v>
      </c>
      <c r="AF36" s="4355"/>
      <c r="AG36" s="3341"/>
      <c r="AH36" s="3341"/>
      <c r="AI36" s="3349">
        <f t="shared" ref="AI36" si="80">AG36+AH36</f>
        <v>0</v>
      </c>
      <c r="AJ36" s="4326" t="e">
        <f>AI36/AI$89</f>
        <v>#DIV/0!</v>
      </c>
      <c r="AK36" s="4354"/>
      <c r="AL36" s="3341"/>
      <c r="AM36" s="3341"/>
      <c r="AN36" s="3349">
        <f t="shared" ref="AN36" si="81">AL36+AM36</f>
        <v>0</v>
      </c>
      <c r="AO36" s="4326">
        <f>AN36/AN$89</f>
        <v>0</v>
      </c>
      <c r="AP36" s="4354"/>
      <c r="AQ36" s="3341"/>
      <c r="AR36" s="3341"/>
      <c r="AS36" s="3349">
        <f t="shared" ref="AS36" si="82">AQ36+AR36</f>
        <v>0</v>
      </c>
      <c r="AT36" s="4326" t="e">
        <f>AS36/AS$89</f>
        <v>#DIV/0!</v>
      </c>
      <c r="AU36" s="4354"/>
      <c r="AV36" s="3341"/>
      <c r="AW36" s="3341"/>
      <c r="AX36" s="3349">
        <f t="shared" ref="AX36" si="83">AV36+AW36</f>
        <v>0</v>
      </c>
      <c r="AY36" s="4326">
        <f>AX36/AX$89</f>
        <v>0</v>
      </c>
      <c r="AZ36" s="4354"/>
      <c r="BA36" s="3341"/>
      <c r="BB36" s="3341"/>
      <c r="BC36" s="3349">
        <f t="shared" ref="BC36" si="84">BA36+BB36</f>
        <v>0</v>
      </c>
      <c r="BD36" s="4326" t="e">
        <f>BC36/BC$89</f>
        <v>#DIV/0!</v>
      </c>
      <c r="BE36" s="4354"/>
      <c r="BF36" s="3341"/>
      <c r="BG36" s="3341"/>
      <c r="BH36" s="3349">
        <f t="shared" ref="BH36" si="85">BF36+BG36</f>
        <v>0</v>
      </c>
      <c r="BI36" s="4326" t="e">
        <f>BH36/BH$89</f>
        <v>#DIV/0!</v>
      </c>
      <c r="BJ36" s="4354"/>
      <c r="BK36" s="3341"/>
      <c r="BL36" s="3341"/>
      <c r="BM36" s="3349">
        <f t="shared" ref="BM36" si="86">BK36+BL36</f>
        <v>0</v>
      </c>
      <c r="BN36" s="4326" t="e">
        <f>BM36/BM$89</f>
        <v>#DIV/0!</v>
      </c>
      <c r="BO36" s="4354"/>
      <c r="BP36" s="3341"/>
      <c r="BQ36" s="3341"/>
      <c r="BR36" s="3349">
        <f t="shared" ref="BR36" si="87">BP36+BQ36</f>
        <v>0</v>
      </c>
      <c r="BS36" s="4326" t="e">
        <f>BR36/BR$89</f>
        <v>#DIV/0!</v>
      </c>
      <c r="BT36" s="4354"/>
      <c r="BU36" s="3341"/>
      <c r="BV36" s="3341"/>
      <c r="BW36" s="3349">
        <f t="shared" ref="BW36" si="88">BU36+BV36</f>
        <v>0</v>
      </c>
      <c r="BX36" s="4326" t="e">
        <f>BW36/BW$89</f>
        <v>#DIV/0!</v>
      </c>
      <c r="BY36" s="4354"/>
      <c r="BZ36" s="3341"/>
      <c r="CA36" s="3341"/>
      <c r="CB36" s="3349">
        <f t="shared" ref="CB36" si="89">BZ36+CA36</f>
        <v>0</v>
      </c>
      <c r="CC36" s="4326" t="e">
        <f>CB36/CB$89</f>
        <v>#DIV/0!</v>
      </c>
      <c r="CD36" s="4354"/>
      <c r="CE36" s="3341"/>
      <c r="CF36" s="3341"/>
      <c r="CG36" s="3349">
        <f t="shared" ref="CG36" si="90">CE36+CF36</f>
        <v>0</v>
      </c>
      <c r="CH36" s="4326" t="e">
        <f>CG36/CG$89</f>
        <v>#DIV/0!</v>
      </c>
      <c r="CI36" s="4354"/>
      <c r="CJ36" s="3341">
        <f t="shared" ref="CJ36:CK36" si="91">C36+H36+M36+W36</f>
        <v>0</v>
      </c>
      <c r="CK36" s="3341">
        <f t="shared" si="91"/>
        <v>0</v>
      </c>
      <c r="CL36" s="2012">
        <f>CJ36+CK36*1</f>
        <v>0</v>
      </c>
      <c r="CM36" s="4326">
        <f>CL36/$CL$89</f>
        <v>0</v>
      </c>
      <c r="CN36" s="4356"/>
      <c r="CP36" s="2012"/>
      <c r="CQ36" s="2012">
        <f t="shared" ref="CQ36" si="92">CL36</f>
        <v>0</v>
      </c>
      <c r="CR36" s="4322">
        <f t="shared" ref="CR36" si="93">CP36-CQ36</f>
        <v>0</v>
      </c>
      <c r="CT36" s="3443"/>
    </row>
    <row r="37" spans="1:98" s="1396" customFormat="1" ht="14.4" outlineLevel="1" thickBot="1">
      <c r="A37" s="1398"/>
      <c r="B37" s="4357"/>
      <c r="C37" s="3341"/>
      <c r="D37" s="3341"/>
      <c r="E37" s="4358"/>
      <c r="F37" s="4358"/>
      <c r="G37" s="4359"/>
      <c r="H37" s="3341"/>
      <c r="I37" s="3341"/>
      <c r="J37" s="4358"/>
      <c r="K37" s="4358"/>
      <c r="L37" s="4359"/>
      <c r="M37" s="3341"/>
      <c r="N37" s="3341"/>
      <c r="O37" s="4358"/>
      <c r="P37" s="4358"/>
      <c r="Q37" s="4359"/>
      <c r="R37" s="3456"/>
      <c r="S37" s="3456"/>
      <c r="T37" s="3456"/>
      <c r="U37" s="3456"/>
      <c r="V37" s="3456"/>
      <c r="W37" s="3342">
        <f t="shared" ref="W37:X37" si="94">AB37+AG37+AL37+AV37+BA37+BF37+BK37+BP37+BU37+BZ37+CE37</f>
        <v>0</v>
      </c>
      <c r="X37" s="3342">
        <f t="shared" si="94"/>
        <v>0</v>
      </c>
      <c r="Y37" s="3456"/>
      <c r="Z37" s="3456"/>
      <c r="AA37" s="3456"/>
      <c r="AB37" s="3341"/>
      <c r="AC37" s="3341"/>
      <c r="AD37" s="4358"/>
      <c r="AE37" s="4358"/>
      <c r="AF37" s="4360"/>
      <c r="AG37" s="3341"/>
      <c r="AH37" s="3341"/>
      <c r="AI37" s="4358"/>
      <c r="AJ37" s="4358"/>
      <c r="AK37" s="4359"/>
      <c r="AL37" s="3341"/>
      <c r="AM37" s="3341"/>
      <c r="AN37" s="4358"/>
      <c r="AO37" s="4358"/>
      <c r="AP37" s="4359"/>
      <c r="AQ37" s="3341"/>
      <c r="AR37" s="3341"/>
      <c r="AS37" s="4358"/>
      <c r="AT37" s="4358"/>
      <c r="AU37" s="4359"/>
      <c r="AV37" s="3341"/>
      <c r="AW37" s="3341"/>
      <c r="AX37" s="4358"/>
      <c r="AY37" s="4358"/>
      <c r="AZ37" s="4359"/>
      <c r="BA37" s="3341"/>
      <c r="BB37" s="3341"/>
      <c r="BC37" s="4358"/>
      <c r="BD37" s="4358"/>
      <c r="BE37" s="4359"/>
      <c r="BF37" s="3341"/>
      <c r="BG37" s="3341"/>
      <c r="BH37" s="4358"/>
      <c r="BI37" s="4358"/>
      <c r="BJ37" s="4359"/>
      <c r="BK37" s="3341"/>
      <c r="BL37" s="3341"/>
      <c r="BM37" s="4358"/>
      <c r="BN37" s="4358"/>
      <c r="BO37" s="4359"/>
      <c r="BP37" s="3341"/>
      <c r="BQ37" s="3341"/>
      <c r="BR37" s="4358"/>
      <c r="BS37" s="4358"/>
      <c r="BT37" s="4359"/>
      <c r="BU37" s="3341"/>
      <c r="BV37" s="3341"/>
      <c r="BW37" s="4358"/>
      <c r="BX37" s="4358"/>
      <c r="BY37" s="4359"/>
      <c r="BZ37" s="3341"/>
      <c r="CA37" s="3341"/>
      <c r="CB37" s="4358"/>
      <c r="CC37" s="4358"/>
      <c r="CD37" s="4359"/>
      <c r="CE37" s="3341"/>
      <c r="CF37" s="3341"/>
      <c r="CG37" s="4358"/>
      <c r="CH37" s="4358"/>
      <c r="CI37" s="4359"/>
      <c r="CJ37" s="3341"/>
      <c r="CK37" s="3341"/>
      <c r="CL37" s="4358"/>
      <c r="CM37" s="4358"/>
      <c r="CN37" s="4358"/>
      <c r="CP37" s="4361"/>
      <c r="CQ37" s="4361"/>
      <c r="CR37" s="4362"/>
      <c r="CT37" s="3443"/>
    </row>
    <row r="38" spans="1:98"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0</v>
      </c>
      <c r="O38" s="3749">
        <f>(O5)-(O8)</f>
        <v>0</v>
      </c>
      <c r="P38" s="3749"/>
      <c r="Q38" s="3750"/>
      <c r="R38" s="3749">
        <f>(R5)-(R8)</f>
        <v>0</v>
      </c>
      <c r="S38" s="3749">
        <f>(S5)-(S8)</f>
        <v>0</v>
      </c>
      <c r="T38" s="3749">
        <f>(T5)-(T8)</f>
        <v>0</v>
      </c>
      <c r="U38" s="3750"/>
      <c r="V38" s="3750"/>
      <c r="W38" s="3749">
        <f>(W5)-(W8)</f>
        <v>-246067.10399999999</v>
      </c>
      <c r="X38" s="3749">
        <f>(X5)-(X8)</f>
        <v>669652.12</v>
      </c>
      <c r="Y38" s="3749">
        <f>(Y5)-(Y8)</f>
        <v>423585.016</v>
      </c>
      <c r="Z38" s="3750"/>
      <c r="AA38" s="3750"/>
      <c r="AB38" s="3749">
        <f>(AB5)-(AB8)</f>
        <v>-202552.56</v>
      </c>
      <c r="AC38" s="3749">
        <f>(AC5)-(AC8)</f>
        <v>-12571.03</v>
      </c>
      <c r="AD38" s="3749">
        <f>(AD5)-(AD8)</f>
        <v>-215123.59</v>
      </c>
      <c r="AE38" s="3749"/>
      <c r="AF38" s="3749"/>
      <c r="AG38" s="3749">
        <f>(AG5)-(AG8)</f>
        <v>0</v>
      </c>
      <c r="AH38" s="3749">
        <f>(AH5)-(AH8)</f>
        <v>0</v>
      </c>
      <c r="AI38" s="3749">
        <f>(AI5)-(AI8)</f>
        <v>0</v>
      </c>
      <c r="AJ38" s="3749"/>
      <c r="AK38" s="3750"/>
      <c r="AL38" s="3749">
        <f>(AL5)-(AL8)</f>
        <v>-43514.543999999994</v>
      </c>
      <c r="AM38" s="3749">
        <f>(AM5)-(AM8)</f>
        <v>738944.15</v>
      </c>
      <c r="AN38" s="3749">
        <f>(AN5)-(AN8)</f>
        <v>695429.60600000003</v>
      </c>
      <c r="AO38" s="3749"/>
      <c r="AP38" s="3750"/>
      <c r="AQ38" s="3749">
        <f>(AQ5)-(AQ8)</f>
        <v>0</v>
      </c>
      <c r="AR38" s="3749">
        <f>(AR5)-(AR8)</f>
        <v>0</v>
      </c>
      <c r="AS38" s="3749">
        <f>(AS5)-(AS8)</f>
        <v>0</v>
      </c>
      <c r="AT38" s="3749"/>
      <c r="AU38" s="3750"/>
      <c r="AV38" s="3749">
        <f>(AV5)-(AV8)</f>
        <v>0</v>
      </c>
      <c r="AW38" s="3749">
        <f>(AW5)-(AW8)</f>
        <v>-56721</v>
      </c>
      <c r="AX38" s="3749">
        <f>(AX5)-(AX8)</f>
        <v>-56721</v>
      </c>
      <c r="AY38" s="3749"/>
      <c r="AZ38" s="3750"/>
      <c r="BA38" s="3749">
        <f>(BA5)-(BA8)</f>
        <v>0</v>
      </c>
      <c r="BB38" s="3749">
        <f>(BB5)-(BB8)</f>
        <v>0</v>
      </c>
      <c r="BC38" s="3749">
        <f>(BC5)-(BC8)</f>
        <v>0</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667908.10600000003</v>
      </c>
      <c r="CK38" s="3751">
        <f>(CK5)-(CK8)</f>
        <v>206983.12</v>
      </c>
      <c r="CL38" s="3751">
        <f>(CL5)-(CL8)</f>
        <v>874891.22600000002</v>
      </c>
      <c r="CM38" s="3749"/>
      <c r="CN38" s="3749"/>
      <c r="CP38" s="3749">
        <f>(CP5)-(CP8)</f>
        <v>1382373.7447933333</v>
      </c>
      <c r="CQ38" s="3760">
        <f>(CQ5)-(CQ8)</f>
        <v>874891.22600000002</v>
      </c>
      <c r="CR38" s="3749">
        <f>(CR5)-(CR8)</f>
        <v>507482.51879333332</v>
      </c>
      <c r="CT38" s="4191"/>
    </row>
    <row r="39" spans="1:98"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2003">
        <f>IFERROR(AB38/(AB5),0)</f>
        <v>0</v>
      </c>
      <c r="AC39" s="2003">
        <f>IFERROR(AC38/(AC5),0)</f>
        <v>0</v>
      </c>
      <c r="AD39" s="2004">
        <f>IFERROR(AD38/(AD5),0)</f>
        <v>0</v>
      </c>
      <c r="AE39" s="2004"/>
      <c r="AF39" s="3722"/>
      <c r="AG39" s="2003">
        <f>IFERROR(AG38/(AG5),0)</f>
        <v>0</v>
      </c>
      <c r="AH39" s="2003">
        <f>IFERROR(AH38/(AH5),0)</f>
        <v>0</v>
      </c>
      <c r="AI39" s="2004">
        <f>IFERROR(AI38/(AI5),0)</f>
        <v>0</v>
      </c>
      <c r="AJ39" s="2004"/>
      <c r="AK39" s="1056"/>
      <c r="AL39" s="2003">
        <f>IFERROR(AL38/(AL5),0)</f>
        <v>-0.84633947291646394</v>
      </c>
      <c r="AM39" s="2003">
        <f>IFERROR(AM38/(AM5),0)</f>
        <v>1</v>
      </c>
      <c r="AN39" s="2004">
        <f>IFERROR(AN38/(AN5),0)</f>
        <v>0.87989062440790367</v>
      </c>
      <c r="AO39" s="2004"/>
      <c r="AP39" s="1056"/>
      <c r="AQ39" s="2003">
        <f>IFERROR(AQ38/(AQ5),0)</f>
        <v>0</v>
      </c>
      <c r="AR39" s="2003">
        <f>IFERROR(AR38/(AR5),0)</f>
        <v>0</v>
      </c>
      <c r="AS39" s="2004">
        <f>IFERROR(AS38/(AS5),0)</f>
        <v>0</v>
      </c>
      <c r="AT39" s="2004"/>
      <c r="AU39" s="1056"/>
      <c r="AV39" s="2003">
        <f>IFERROR(AV38/(AV5),0)</f>
        <v>0</v>
      </c>
      <c r="AW39" s="2003">
        <f>IFERROR(AW38/(AW5),0)</f>
        <v>0</v>
      </c>
      <c r="AX39" s="2004">
        <f>IFERROR(AX38/(AX5),0)</f>
        <v>0</v>
      </c>
      <c r="AY39" s="2004"/>
      <c r="AZ39" s="1056"/>
      <c r="BA39" s="2003">
        <f>IFERROR(BA38/(BA5),0)</f>
        <v>0</v>
      </c>
      <c r="BB39" s="2003">
        <f>IFERROR(BB38/(BB5),0)</f>
        <v>0</v>
      </c>
      <c r="BC39" s="2004">
        <f>IFERROR(BC38/(BC5),0)</f>
        <v>0</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0.51321527194546879</v>
      </c>
      <c r="CK39" s="2003">
        <f>IFERROR(CK38/(CK5),0)</f>
        <v>0.28010658180323911</v>
      </c>
      <c r="CL39" s="2004">
        <f>IFERROR(CL38/(CL5),0)</f>
        <v>0.42879191677226675</v>
      </c>
      <c r="CM39" s="2004"/>
      <c r="CN39" s="2004"/>
      <c r="CP39" s="2004">
        <f>CP38/(CP5)</f>
        <v>0.43579456614160023</v>
      </c>
      <c r="CQ39" s="2004">
        <f>IFERROR(CQ38/(CQ5),0)</f>
        <v>0.42879191677226675</v>
      </c>
      <c r="CR39" s="2004">
        <f>CR38/(CR5)</f>
        <v>0.44841962396945306</v>
      </c>
    </row>
    <row r="40" spans="1:98" ht="14.4" outlineLevel="1" thickBot="1">
      <c r="A40" s="1567"/>
      <c r="B40" s="4363"/>
      <c r="C40" s="4364"/>
      <c r="D40" s="4364"/>
      <c r="E40" s="4364"/>
      <c r="F40" s="4364"/>
      <c r="G40" s="4365"/>
      <c r="H40" s="4364"/>
      <c r="I40" s="4364"/>
      <c r="J40" s="4364"/>
      <c r="K40" s="4364"/>
      <c r="L40" s="4365"/>
      <c r="M40" s="4364"/>
      <c r="N40" s="4364"/>
      <c r="O40" s="4364"/>
      <c r="P40" s="4364"/>
      <c r="Q40" s="4365"/>
      <c r="R40" s="4365"/>
      <c r="S40" s="4365"/>
      <c r="T40" s="4365"/>
      <c r="U40" s="4365"/>
      <c r="V40" s="4365"/>
      <c r="W40" s="4365"/>
      <c r="X40" s="4365"/>
      <c r="Y40" s="4365"/>
      <c r="Z40" s="4365"/>
      <c r="AA40" s="4365"/>
      <c r="AB40" s="4364"/>
      <c r="AC40" s="4364"/>
      <c r="AD40" s="4364"/>
      <c r="AE40" s="4364"/>
      <c r="AF40" s="4366"/>
      <c r="AG40" s="4364"/>
      <c r="AH40" s="4364"/>
      <c r="AI40" s="4364"/>
      <c r="AJ40" s="4364"/>
      <c r="AK40" s="4365"/>
      <c r="AL40" s="4364"/>
      <c r="AM40" s="4364"/>
      <c r="AN40" s="4364"/>
      <c r="AO40" s="4364"/>
      <c r="AP40" s="4365"/>
      <c r="AQ40" s="4364"/>
      <c r="AR40" s="4364"/>
      <c r="AS40" s="4364"/>
      <c r="AT40" s="4364"/>
      <c r="AU40" s="4365"/>
      <c r="AV40" s="4364"/>
      <c r="AW40" s="4364"/>
      <c r="AX40" s="4364"/>
      <c r="AY40" s="4364"/>
      <c r="AZ40" s="4365"/>
      <c r="BA40" s="4364"/>
      <c r="BB40" s="4364"/>
      <c r="BC40" s="4364"/>
      <c r="BD40" s="4364"/>
      <c r="BE40" s="4365"/>
      <c r="BF40" s="4364"/>
      <c r="BG40" s="4364"/>
      <c r="BH40" s="4364"/>
      <c r="BI40" s="4364"/>
      <c r="BJ40" s="4365"/>
      <c r="BK40" s="4364"/>
      <c r="BL40" s="4364"/>
      <c r="BM40" s="4364"/>
      <c r="BN40" s="4364"/>
      <c r="BO40" s="4365"/>
      <c r="BP40" s="4364"/>
      <c r="BQ40" s="4364"/>
      <c r="BR40" s="4364"/>
      <c r="BS40" s="4364"/>
      <c r="BT40" s="4365"/>
      <c r="BU40" s="4364"/>
      <c r="BV40" s="4364"/>
      <c r="BW40" s="4364"/>
      <c r="BX40" s="4364"/>
      <c r="BY40" s="4365"/>
      <c r="BZ40" s="4364"/>
      <c r="CA40" s="4364"/>
      <c r="CB40" s="4364"/>
      <c r="CC40" s="4364"/>
      <c r="CD40" s="4365"/>
      <c r="CE40" s="4364"/>
      <c r="CF40" s="4364"/>
      <c r="CG40" s="4364"/>
      <c r="CH40" s="4364"/>
      <c r="CI40" s="4365"/>
      <c r="CJ40" s="4364"/>
      <c r="CK40" s="4364"/>
      <c r="CL40" s="4364"/>
      <c r="CM40" s="4364"/>
      <c r="CN40" s="4364"/>
      <c r="CP40" s="4367"/>
      <c r="CQ40" s="4367"/>
      <c r="CR40" s="4367"/>
    </row>
    <row r="41" spans="1:98" ht="13.8" outlineLevel="1">
      <c r="A41" s="1405"/>
      <c r="B41" s="1415" t="s">
        <v>26</v>
      </c>
      <c r="C41" s="2013">
        <f>SUM(C42:C48)</f>
        <v>0</v>
      </c>
      <c r="D41" s="2013">
        <f>SUM(D42:D48)</f>
        <v>0</v>
      </c>
      <c r="E41" s="2014">
        <f>SUM(E42:E48)</f>
        <v>0</v>
      </c>
      <c r="F41" s="4368" t="e">
        <f>E41/$E$89</f>
        <v>#DIV/0!</v>
      </c>
      <c r="G41" s="1057"/>
      <c r="H41" s="2013">
        <f>SUM(H42:H48)</f>
        <v>0</v>
      </c>
      <c r="I41" s="2013">
        <f>SUM(I42:I48)</f>
        <v>0</v>
      </c>
      <c r="J41" s="2014">
        <f>SUM(J42:J48)</f>
        <v>0</v>
      </c>
      <c r="K41" s="4368" t="e">
        <f>J41/$E$89</f>
        <v>#DIV/0!</v>
      </c>
      <c r="L41" s="1057"/>
      <c r="M41" s="2013">
        <f>SUM(M42:M48)</f>
        <v>0</v>
      </c>
      <c r="N41" s="2013">
        <f>SUM(N42:N48)</f>
        <v>0</v>
      </c>
      <c r="O41" s="2014">
        <f>SUM(O42:O48)</f>
        <v>0</v>
      </c>
      <c r="P41" s="4368" t="e">
        <f>O41/$E$89</f>
        <v>#DIV/0!</v>
      </c>
      <c r="Q41" s="1057"/>
      <c r="R41" s="2013">
        <f>SUM(R42:R48)</f>
        <v>0</v>
      </c>
      <c r="S41" s="2013">
        <f>SUM(S42:S48)</f>
        <v>0</v>
      </c>
      <c r="T41" s="2014">
        <f>SUM(T42:T48)</f>
        <v>0</v>
      </c>
      <c r="U41" s="4368"/>
      <c r="V41" s="3460"/>
      <c r="W41" s="2013">
        <f>SUM(W42:W48)</f>
        <v>0</v>
      </c>
      <c r="X41" s="2013">
        <f>SUM(X42:X48)</f>
        <v>0</v>
      </c>
      <c r="Y41" s="2014">
        <f>SUM(Y42:Y48)</f>
        <v>0</v>
      </c>
      <c r="Z41" s="4368"/>
      <c r="AA41" s="3460"/>
      <c r="AB41" s="2013">
        <f>SUM(AB42:AB48)</f>
        <v>0</v>
      </c>
      <c r="AC41" s="2013">
        <f>SUM(AC42:AC48)</f>
        <v>0</v>
      </c>
      <c r="AD41" s="2014">
        <f>SUM(AD42:AD48)</f>
        <v>0</v>
      </c>
      <c r="AE41" s="4368"/>
      <c r="AF41" s="3723"/>
      <c r="AG41" s="2013">
        <f>SUM(AG42:AG48)</f>
        <v>0</v>
      </c>
      <c r="AH41" s="2013">
        <f>SUM(AH42:AH48)</f>
        <v>0</v>
      </c>
      <c r="AI41" s="2014">
        <f>SUM(AI42:AI48)</f>
        <v>0</v>
      </c>
      <c r="AJ41" s="4368"/>
      <c r="AK41" s="1057"/>
      <c r="AL41" s="2013">
        <f>SUM(AL42:AL48)</f>
        <v>0</v>
      </c>
      <c r="AM41" s="2013">
        <f>SUM(AM42:AM48)</f>
        <v>0</v>
      </c>
      <c r="AN41" s="2014">
        <f>SUM(AN42:AN48)</f>
        <v>0</v>
      </c>
      <c r="AO41" s="4368"/>
      <c r="AP41" s="1057"/>
      <c r="AQ41" s="2013">
        <f>SUM(AQ42:AQ48)</f>
        <v>0</v>
      </c>
      <c r="AR41" s="2013">
        <f>SUM(AR42:AR48)</f>
        <v>0</v>
      </c>
      <c r="AS41" s="2014">
        <f>SUM(AS42:AS48)</f>
        <v>0</v>
      </c>
      <c r="AT41" s="4368"/>
      <c r="AU41" s="1057"/>
      <c r="AV41" s="2013">
        <f>SUM(AV42:AV48)</f>
        <v>0</v>
      </c>
      <c r="AW41" s="2013">
        <f>SUM(AW42:AW48)</f>
        <v>0</v>
      </c>
      <c r="AX41" s="2014">
        <f>SUM(AX42:AX48)</f>
        <v>0</v>
      </c>
      <c r="AY41" s="4368"/>
      <c r="AZ41" s="1057"/>
      <c r="BA41" s="2013">
        <f>SUM(BA42:BA48)</f>
        <v>0</v>
      </c>
      <c r="BB41" s="2013">
        <f>SUM(BB42:BB48)</f>
        <v>0</v>
      </c>
      <c r="BC41" s="2014">
        <f>SUM(BC42:BC48)</f>
        <v>0</v>
      </c>
      <c r="BD41" s="4368"/>
      <c r="BE41" s="1057"/>
      <c r="BF41" s="2013">
        <f>SUM(BF42:BF48)</f>
        <v>0</v>
      </c>
      <c r="BG41" s="2013">
        <f>SUM(BG42:BG48)</f>
        <v>0</v>
      </c>
      <c r="BH41" s="2014">
        <f>SUM(BH42:BH48)</f>
        <v>0</v>
      </c>
      <c r="BI41" s="4368"/>
      <c r="BJ41" s="1057"/>
      <c r="BK41" s="2013">
        <f>SUM(BK42:BK48)</f>
        <v>0</v>
      </c>
      <c r="BL41" s="2013">
        <f>SUM(BL42:BL48)</f>
        <v>0</v>
      </c>
      <c r="BM41" s="2014">
        <f>SUM(BM42:BM48)</f>
        <v>0</v>
      </c>
      <c r="BN41" s="4368"/>
      <c r="BO41" s="1057"/>
      <c r="BP41" s="2013">
        <f>SUM(BP42:BP48)</f>
        <v>0</v>
      </c>
      <c r="BQ41" s="2013">
        <f>SUM(BQ42:BQ48)</f>
        <v>0</v>
      </c>
      <c r="BR41" s="2014">
        <f>SUM(BR42:BR48)</f>
        <v>0</v>
      </c>
      <c r="BS41" s="4368"/>
      <c r="BT41" s="1057"/>
      <c r="BU41" s="2013">
        <f>SUM(BU42:BU48)</f>
        <v>0</v>
      </c>
      <c r="BV41" s="2013">
        <f>SUM(BV42:BV48)</f>
        <v>0</v>
      </c>
      <c r="BW41" s="2014">
        <f>SUM(BW42:BW48)</f>
        <v>0</v>
      </c>
      <c r="BX41" s="4368"/>
      <c r="BY41" s="1057"/>
      <c r="BZ41" s="2013">
        <f>SUM(BZ42:BZ48)</f>
        <v>0</v>
      </c>
      <c r="CA41" s="2013">
        <f>SUM(CA42:CA48)</f>
        <v>0</v>
      </c>
      <c r="CB41" s="2014">
        <f>SUM(CB42:CB48)</f>
        <v>0</v>
      </c>
      <c r="CC41" s="4368"/>
      <c r="CD41" s="1057"/>
      <c r="CE41" s="2013">
        <f>SUM(CE42:CE48)</f>
        <v>0</v>
      </c>
      <c r="CF41" s="2013">
        <f>SUM(CF42:CF48)</f>
        <v>0</v>
      </c>
      <c r="CG41" s="2014">
        <f>SUM(CG42:CG48)</f>
        <v>0</v>
      </c>
      <c r="CH41" s="4368"/>
      <c r="CI41" s="1057"/>
      <c r="CJ41" s="2013">
        <f>SUM(CJ42:CJ48)</f>
        <v>0</v>
      </c>
      <c r="CK41" s="2013">
        <f>SUM(CK42:CK48)</f>
        <v>0</v>
      </c>
      <c r="CL41" s="2014">
        <f>SUM(CL42:CL48)</f>
        <v>0</v>
      </c>
      <c r="CM41" s="4368">
        <f t="shared" ref="CM41:CM49" si="95">CL41/$CL$89</f>
        <v>0</v>
      </c>
      <c r="CN41" s="2006"/>
      <c r="CP41" s="2014">
        <f>SUM(CP42:CP48)</f>
        <v>0</v>
      </c>
      <c r="CQ41" s="2014">
        <f>SUM(CQ42:CQ48)</f>
        <v>0</v>
      </c>
      <c r="CR41" s="2014"/>
    </row>
    <row r="42" spans="1:98" ht="13.8" outlineLevel="2">
      <c r="A42" s="4833"/>
      <c r="B42" s="4369" t="s">
        <v>7</v>
      </c>
      <c r="C42" s="3341"/>
      <c r="D42" s="3341"/>
      <c r="E42" s="3349">
        <f t="shared" ref="E42:E48" si="96">C42+D42</f>
        <v>0</v>
      </c>
      <c r="F42" s="4326" t="e">
        <f t="shared" ref="F42:F48" si="97">E42/$E$89</f>
        <v>#DIV/0!</v>
      </c>
      <c r="G42" s="4370"/>
      <c r="H42" s="3341"/>
      <c r="I42" s="3341"/>
      <c r="J42" s="3349">
        <f t="shared" ref="J42:J48" si="98">H42+I42</f>
        <v>0</v>
      </c>
      <c r="K42" s="4326" t="e">
        <f t="shared" ref="K42:K48" si="99">J42/J$89</f>
        <v>#DIV/0!</v>
      </c>
      <c r="L42" s="4370"/>
      <c r="M42" s="3341"/>
      <c r="N42" s="3341"/>
      <c r="O42" s="3349">
        <f t="shared" ref="O42:O48" si="100">M42+N42</f>
        <v>0</v>
      </c>
      <c r="P42" s="4326" t="e">
        <f t="shared" ref="P42:P48" si="101">O42/O$89</f>
        <v>#DIV/0!</v>
      </c>
      <c r="Q42" s="4370"/>
      <c r="R42" s="3342">
        <f t="shared" ref="R42:S48" si="102">M42+H42+C42</f>
        <v>0</v>
      </c>
      <c r="S42" s="3342">
        <f t="shared" si="102"/>
        <v>0</v>
      </c>
      <c r="T42" s="2012">
        <f t="shared" ref="T42:T48" si="103">R42+S42</f>
        <v>0</v>
      </c>
      <c r="U42" s="3462"/>
      <c r="V42" s="3462"/>
      <c r="W42" s="3342">
        <f t="shared" ref="W42:X48" si="104">AB42+AG42+AL42+AV42+BA42+BF42+BK42+BP42+BU42+BZ42+CE42+AQ42</f>
        <v>0</v>
      </c>
      <c r="X42" s="3342">
        <f t="shared" si="104"/>
        <v>0</v>
      </c>
      <c r="Y42" s="2012">
        <f t="shared" ref="Y42:Y48" si="105">W42+X42</f>
        <v>0</v>
      </c>
      <c r="Z42" s="3462"/>
      <c r="AA42" s="3462"/>
      <c r="AB42" s="3341"/>
      <c r="AC42" s="3341"/>
      <c r="AD42" s="3349">
        <f t="shared" ref="AD42:AD48" si="106">AB42+AC42</f>
        <v>0</v>
      </c>
      <c r="AE42" s="4326">
        <f t="shared" ref="AE42:AE49" si="107">AD42/AD$89</f>
        <v>0</v>
      </c>
      <c r="AF42" s="4371"/>
      <c r="AG42" s="3341"/>
      <c r="AH42" s="3341"/>
      <c r="AI42" s="3349">
        <f t="shared" ref="AI42:AI48" si="108">AG42+AH42</f>
        <v>0</v>
      </c>
      <c r="AJ42" s="4326" t="e">
        <f t="shared" ref="AJ42:AJ49" si="109">AI42/AI$89</f>
        <v>#DIV/0!</v>
      </c>
      <c r="AK42" s="4370"/>
      <c r="AL42" s="3341"/>
      <c r="AM42" s="3341"/>
      <c r="AN42" s="3349">
        <f t="shared" ref="AN42:AN48" si="110">AL42+AM42</f>
        <v>0</v>
      </c>
      <c r="AO42" s="4326">
        <f t="shared" ref="AO42:AO49" si="111">AN42/AN$89</f>
        <v>0</v>
      </c>
      <c r="AP42" s="4370"/>
      <c r="AQ42" s="3341"/>
      <c r="AR42" s="3341"/>
      <c r="AS42" s="3349">
        <f t="shared" ref="AS42:AS48" si="112">AQ42+AR42</f>
        <v>0</v>
      </c>
      <c r="AT42" s="4326" t="e">
        <f t="shared" ref="AT42:AT49" si="113">AS42/AS$89</f>
        <v>#DIV/0!</v>
      </c>
      <c r="AU42" s="4370"/>
      <c r="AV42" s="3341"/>
      <c r="AW42" s="3341"/>
      <c r="AX42" s="3349">
        <f t="shared" ref="AX42:AX48" si="114">AV42+AW42</f>
        <v>0</v>
      </c>
      <c r="AY42" s="4326">
        <f t="shared" ref="AY42:AY49" si="115">AX42/AX$89</f>
        <v>0</v>
      </c>
      <c r="AZ42" s="4370"/>
      <c r="BA42" s="3341"/>
      <c r="BB42" s="3341"/>
      <c r="BC42" s="3349">
        <f t="shared" ref="BC42:BC48" si="116">BA42+BB42</f>
        <v>0</v>
      </c>
      <c r="BD42" s="4326" t="e">
        <f t="shared" ref="BD42:BD49" si="117">BC42/BC$89</f>
        <v>#DIV/0!</v>
      </c>
      <c r="BE42" s="4370"/>
      <c r="BF42" s="3341"/>
      <c r="BG42" s="3341"/>
      <c r="BH42" s="3349">
        <f t="shared" ref="BH42:BH48" si="118">BF42+BG42</f>
        <v>0</v>
      </c>
      <c r="BI42" s="4326" t="e">
        <f t="shared" ref="BI42:BI49" si="119">BH42/BH$89</f>
        <v>#DIV/0!</v>
      </c>
      <c r="BJ42" s="4370"/>
      <c r="BK42" s="3341"/>
      <c r="BL42" s="3341"/>
      <c r="BM42" s="3349">
        <f t="shared" ref="BM42:BM48" si="120">BK42+BL42</f>
        <v>0</v>
      </c>
      <c r="BN42" s="4326" t="e">
        <f t="shared" ref="BN42:BN49" si="121">BM42/BM$89</f>
        <v>#DIV/0!</v>
      </c>
      <c r="BO42" s="4370"/>
      <c r="BP42" s="3341"/>
      <c r="BQ42" s="3341"/>
      <c r="BR42" s="3349">
        <f t="shared" ref="BR42:BR48" si="122">BP42+BQ42</f>
        <v>0</v>
      </c>
      <c r="BS42" s="4326" t="e">
        <f t="shared" ref="BS42:BS49" si="123">BR42/BR$89</f>
        <v>#DIV/0!</v>
      </c>
      <c r="BT42" s="4370"/>
      <c r="BU42" s="3341"/>
      <c r="BV42" s="3341"/>
      <c r="BW42" s="3349">
        <f t="shared" ref="BW42:BW48" si="124">BU42+BV42</f>
        <v>0</v>
      </c>
      <c r="BX42" s="4326" t="e">
        <f t="shared" ref="BX42:BX49" si="125">BW42/BW$89</f>
        <v>#DIV/0!</v>
      </c>
      <c r="BY42" s="4370"/>
      <c r="BZ42" s="3341"/>
      <c r="CA42" s="3341"/>
      <c r="CB42" s="3349">
        <f t="shared" ref="CB42:CB48" si="126">BZ42+CA42</f>
        <v>0</v>
      </c>
      <c r="CC42" s="4326" t="e">
        <f t="shared" ref="CC42:CC49" si="127">CB42/CB$89</f>
        <v>#DIV/0!</v>
      </c>
      <c r="CD42" s="4370"/>
      <c r="CE42" s="3341"/>
      <c r="CF42" s="3341"/>
      <c r="CG42" s="3349">
        <f t="shared" ref="CG42:CG48" si="128">CE42+CF42</f>
        <v>0</v>
      </c>
      <c r="CH42" s="4326" t="e">
        <f t="shared" ref="CH42:CH49" si="129">CG42/CG$89</f>
        <v>#DIV/0!</v>
      </c>
      <c r="CI42" s="4370"/>
      <c r="CJ42" s="3341">
        <f t="shared" ref="CJ42:CK48" si="130">C42+H42+M42+W42</f>
        <v>0</v>
      </c>
      <c r="CK42" s="3341">
        <f t="shared" si="130"/>
        <v>0</v>
      </c>
      <c r="CL42" s="2012">
        <f t="shared" ref="CL42:CL48" si="131">CJ42+CK42*1</f>
        <v>0</v>
      </c>
      <c r="CM42" s="4326">
        <f t="shared" si="95"/>
        <v>0</v>
      </c>
      <c r="CN42" s="4328"/>
      <c r="CP42" s="2012">
        <f t="shared" ref="CP42:CQ48" si="132">CN42+CO42*1</f>
        <v>0</v>
      </c>
      <c r="CQ42" s="2012">
        <f t="shared" si="132"/>
        <v>0</v>
      </c>
      <c r="CR42" s="4322"/>
    </row>
    <row r="43" spans="1:98" ht="13.8" outlineLevel="2">
      <c r="A43" s="4833"/>
      <c r="B43" s="4369" t="s">
        <v>27</v>
      </c>
      <c r="C43" s="3341"/>
      <c r="D43" s="3341"/>
      <c r="E43" s="3349">
        <f t="shared" si="96"/>
        <v>0</v>
      </c>
      <c r="F43" s="4326" t="e">
        <f t="shared" si="97"/>
        <v>#DIV/0!</v>
      </c>
      <c r="G43" s="4370"/>
      <c r="H43" s="3341"/>
      <c r="I43" s="3341"/>
      <c r="J43" s="3349">
        <f t="shared" si="98"/>
        <v>0</v>
      </c>
      <c r="K43" s="4326" t="e">
        <f t="shared" si="99"/>
        <v>#DIV/0!</v>
      </c>
      <c r="L43" s="4370"/>
      <c r="M43" s="3341"/>
      <c r="N43" s="3341"/>
      <c r="O43" s="3349">
        <f t="shared" si="100"/>
        <v>0</v>
      </c>
      <c r="P43" s="4326" t="e">
        <f t="shared" si="101"/>
        <v>#DIV/0!</v>
      </c>
      <c r="Q43" s="4370"/>
      <c r="R43" s="3342">
        <f t="shared" si="102"/>
        <v>0</v>
      </c>
      <c r="S43" s="3342">
        <f t="shared" si="102"/>
        <v>0</v>
      </c>
      <c r="T43" s="2012">
        <f t="shared" si="103"/>
        <v>0</v>
      </c>
      <c r="U43" s="3462"/>
      <c r="V43" s="3462"/>
      <c r="W43" s="3342">
        <f t="shared" si="104"/>
        <v>0</v>
      </c>
      <c r="X43" s="3342">
        <f t="shared" si="104"/>
        <v>0</v>
      </c>
      <c r="Y43" s="2012">
        <f t="shared" si="105"/>
        <v>0</v>
      </c>
      <c r="Z43" s="3462"/>
      <c r="AA43" s="3462"/>
      <c r="AB43" s="3341"/>
      <c r="AC43" s="3341"/>
      <c r="AD43" s="3349">
        <f t="shared" si="106"/>
        <v>0</v>
      </c>
      <c r="AE43" s="4326">
        <f t="shared" si="107"/>
        <v>0</v>
      </c>
      <c r="AF43" s="4371"/>
      <c r="AG43" s="3341"/>
      <c r="AH43" s="3341"/>
      <c r="AI43" s="3349">
        <f t="shared" si="108"/>
        <v>0</v>
      </c>
      <c r="AJ43" s="4326" t="e">
        <f t="shared" si="109"/>
        <v>#DIV/0!</v>
      </c>
      <c r="AK43" s="4370"/>
      <c r="AL43" s="3341"/>
      <c r="AM43" s="3341"/>
      <c r="AN43" s="3349">
        <f t="shared" si="110"/>
        <v>0</v>
      </c>
      <c r="AO43" s="4326">
        <f t="shared" si="111"/>
        <v>0</v>
      </c>
      <c r="AP43" s="4370"/>
      <c r="AQ43" s="3341"/>
      <c r="AR43" s="3341"/>
      <c r="AS43" s="3349">
        <f t="shared" si="112"/>
        <v>0</v>
      </c>
      <c r="AT43" s="4326" t="e">
        <f t="shared" si="113"/>
        <v>#DIV/0!</v>
      </c>
      <c r="AU43" s="4370"/>
      <c r="AV43" s="3341"/>
      <c r="AW43" s="3341"/>
      <c r="AX43" s="3349">
        <f t="shared" si="114"/>
        <v>0</v>
      </c>
      <c r="AY43" s="4326">
        <f t="shared" si="115"/>
        <v>0</v>
      </c>
      <c r="AZ43" s="4370"/>
      <c r="BA43" s="3341"/>
      <c r="BB43" s="3341"/>
      <c r="BC43" s="3349">
        <f t="shared" si="116"/>
        <v>0</v>
      </c>
      <c r="BD43" s="4326" t="e">
        <f t="shared" si="117"/>
        <v>#DIV/0!</v>
      </c>
      <c r="BE43" s="4370"/>
      <c r="BF43" s="3341"/>
      <c r="BG43" s="3341"/>
      <c r="BH43" s="3349">
        <f t="shared" si="118"/>
        <v>0</v>
      </c>
      <c r="BI43" s="4326" t="e">
        <f t="shared" si="119"/>
        <v>#DIV/0!</v>
      </c>
      <c r="BJ43" s="4370"/>
      <c r="BK43" s="3341"/>
      <c r="BL43" s="3341"/>
      <c r="BM43" s="3349">
        <f t="shared" si="120"/>
        <v>0</v>
      </c>
      <c r="BN43" s="4326" t="e">
        <f t="shared" si="121"/>
        <v>#DIV/0!</v>
      </c>
      <c r="BO43" s="4370"/>
      <c r="BP43" s="3341"/>
      <c r="BQ43" s="3341"/>
      <c r="BR43" s="3349">
        <f t="shared" si="122"/>
        <v>0</v>
      </c>
      <c r="BS43" s="4326" t="e">
        <f t="shared" si="123"/>
        <v>#DIV/0!</v>
      </c>
      <c r="BT43" s="4370"/>
      <c r="BU43" s="3341"/>
      <c r="BV43" s="3341"/>
      <c r="BW43" s="3349">
        <f t="shared" si="124"/>
        <v>0</v>
      </c>
      <c r="BX43" s="4326" t="e">
        <f t="shared" si="125"/>
        <v>#DIV/0!</v>
      </c>
      <c r="BY43" s="4370"/>
      <c r="BZ43" s="3341"/>
      <c r="CA43" s="3341"/>
      <c r="CB43" s="3349">
        <f t="shared" si="126"/>
        <v>0</v>
      </c>
      <c r="CC43" s="4326" t="e">
        <f t="shared" si="127"/>
        <v>#DIV/0!</v>
      </c>
      <c r="CD43" s="4370"/>
      <c r="CE43" s="3341"/>
      <c r="CF43" s="3341"/>
      <c r="CG43" s="3349">
        <f t="shared" si="128"/>
        <v>0</v>
      </c>
      <c r="CH43" s="4326" t="e">
        <f t="shared" si="129"/>
        <v>#DIV/0!</v>
      </c>
      <c r="CI43" s="4370"/>
      <c r="CJ43" s="3341">
        <f t="shared" si="130"/>
        <v>0</v>
      </c>
      <c r="CK43" s="3341">
        <f t="shared" si="130"/>
        <v>0</v>
      </c>
      <c r="CL43" s="2012">
        <f t="shared" si="131"/>
        <v>0</v>
      </c>
      <c r="CM43" s="4326">
        <f t="shared" si="95"/>
        <v>0</v>
      </c>
      <c r="CN43" s="4328"/>
      <c r="CP43" s="2012">
        <f t="shared" si="132"/>
        <v>0</v>
      </c>
      <c r="CQ43" s="2012">
        <f t="shared" si="132"/>
        <v>0</v>
      </c>
      <c r="CR43" s="4322"/>
    </row>
    <row r="44" spans="1:98" ht="13.8" outlineLevel="2">
      <c r="A44" s="4833"/>
      <c r="B44" s="4353" t="s">
        <v>28</v>
      </c>
      <c r="C44" s="3341"/>
      <c r="D44" s="3341"/>
      <c r="E44" s="3349">
        <f t="shared" si="96"/>
        <v>0</v>
      </c>
      <c r="F44" s="4326" t="e">
        <f t="shared" si="97"/>
        <v>#DIV/0!</v>
      </c>
      <c r="G44" s="4370"/>
      <c r="H44" s="3341"/>
      <c r="I44" s="3341"/>
      <c r="J44" s="3349">
        <f t="shared" si="98"/>
        <v>0</v>
      </c>
      <c r="K44" s="4326" t="e">
        <f t="shared" si="99"/>
        <v>#DIV/0!</v>
      </c>
      <c r="L44" s="4370"/>
      <c r="M44" s="3341"/>
      <c r="N44" s="3341"/>
      <c r="O44" s="3349">
        <f t="shared" si="100"/>
        <v>0</v>
      </c>
      <c r="P44" s="4326" t="e">
        <f t="shared" si="101"/>
        <v>#DIV/0!</v>
      </c>
      <c r="Q44" s="4370"/>
      <c r="R44" s="3342">
        <f t="shared" si="102"/>
        <v>0</v>
      </c>
      <c r="S44" s="3342">
        <f t="shared" si="102"/>
        <v>0</v>
      </c>
      <c r="T44" s="2012">
        <f t="shared" si="103"/>
        <v>0</v>
      </c>
      <c r="U44" s="3462"/>
      <c r="V44" s="3462"/>
      <c r="W44" s="3342">
        <f t="shared" si="104"/>
        <v>0</v>
      </c>
      <c r="X44" s="3342">
        <f t="shared" si="104"/>
        <v>0</v>
      </c>
      <c r="Y44" s="2012">
        <f t="shared" si="105"/>
        <v>0</v>
      </c>
      <c r="Z44" s="3462"/>
      <c r="AA44" s="3462"/>
      <c r="AB44" s="3341"/>
      <c r="AC44" s="3341"/>
      <c r="AD44" s="3349">
        <f t="shared" si="106"/>
        <v>0</v>
      </c>
      <c r="AE44" s="4326">
        <f t="shared" si="107"/>
        <v>0</v>
      </c>
      <c r="AF44" s="4371"/>
      <c r="AG44" s="3341"/>
      <c r="AH44" s="3341"/>
      <c r="AI44" s="3349">
        <f t="shared" si="108"/>
        <v>0</v>
      </c>
      <c r="AJ44" s="4326" t="e">
        <f t="shared" si="109"/>
        <v>#DIV/0!</v>
      </c>
      <c r="AK44" s="4370"/>
      <c r="AL44" s="3341"/>
      <c r="AM44" s="3341"/>
      <c r="AN44" s="3349">
        <f t="shared" si="110"/>
        <v>0</v>
      </c>
      <c r="AO44" s="4326">
        <f t="shared" si="111"/>
        <v>0</v>
      </c>
      <c r="AP44" s="4370"/>
      <c r="AQ44" s="3341"/>
      <c r="AR44" s="3341"/>
      <c r="AS44" s="3349">
        <f t="shared" si="112"/>
        <v>0</v>
      </c>
      <c r="AT44" s="4326" t="e">
        <f t="shared" si="113"/>
        <v>#DIV/0!</v>
      </c>
      <c r="AU44" s="4370"/>
      <c r="AV44" s="3341"/>
      <c r="AW44" s="3341"/>
      <c r="AX44" s="3349">
        <f t="shared" si="114"/>
        <v>0</v>
      </c>
      <c r="AY44" s="4326">
        <f t="shared" si="115"/>
        <v>0</v>
      </c>
      <c r="AZ44" s="4370"/>
      <c r="BA44" s="3341"/>
      <c r="BB44" s="3341"/>
      <c r="BC44" s="3349">
        <f t="shared" si="116"/>
        <v>0</v>
      </c>
      <c r="BD44" s="4326" t="e">
        <f t="shared" si="117"/>
        <v>#DIV/0!</v>
      </c>
      <c r="BE44" s="4370"/>
      <c r="BF44" s="3341"/>
      <c r="BG44" s="3341"/>
      <c r="BH44" s="3349">
        <f t="shared" si="118"/>
        <v>0</v>
      </c>
      <c r="BI44" s="4326" t="e">
        <f t="shared" si="119"/>
        <v>#DIV/0!</v>
      </c>
      <c r="BJ44" s="4370"/>
      <c r="BK44" s="3341"/>
      <c r="BL44" s="3341"/>
      <c r="BM44" s="3349">
        <f t="shared" si="120"/>
        <v>0</v>
      </c>
      <c r="BN44" s="4326" t="e">
        <f t="shared" si="121"/>
        <v>#DIV/0!</v>
      </c>
      <c r="BO44" s="4370"/>
      <c r="BP44" s="3341"/>
      <c r="BQ44" s="3341"/>
      <c r="BR44" s="3349">
        <f t="shared" si="122"/>
        <v>0</v>
      </c>
      <c r="BS44" s="4326" t="e">
        <f t="shared" si="123"/>
        <v>#DIV/0!</v>
      </c>
      <c r="BT44" s="4370"/>
      <c r="BU44" s="3341"/>
      <c r="BV44" s="3341"/>
      <c r="BW44" s="3349">
        <f t="shared" si="124"/>
        <v>0</v>
      </c>
      <c r="BX44" s="4326" t="e">
        <f t="shared" si="125"/>
        <v>#DIV/0!</v>
      </c>
      <c r="BY44" s="4370"/>
      <c r="BZ44" s="3341"/>
      <c r="CA44" s="3341"/>
      <c r="CB44" s="3349">
        <f t="shared" si="126"/>
        <v>0</v>
      </c>
      <c r="CC44" s="4326" t="e">
        <f t="shared" si="127"/>
        <v>#DIV/0!</v>
      </c>
      <c r="CD44" s="4370"/>
      <c r="CE44" s="3341"/>
      <c r="CF44" s="3341"/>
      <c r="CG44" s="3349">
        <f t="shared" si="128"/>
        <v>0</v>
      </c>
      <c r="CH44" s="4326" t="e">
        <f t="shared" si="129"/>
        <v>#DIV/0!</v>
      </c>
      <c r="CI44" s="4370"/>
      <c r="CJ44" s="3341">
        <f t="shared" si="130"/>
        <v>0</v>
      </c>
      <c r="CK44" s="3341">
        <f t="shared" si="130"/>
        <v>0</v>
      </c>
      <c r="CL44" s="2012">
        <f t="shared" si="131"/>
        <v>0</v>
      </c>
      <c r="CM44" s="4326">
        <f t="shared" si="95"/>
        <v>0</v>
      </c>
      <c r="CN44" s="4328"/>
      <c r="CP44" s="2012">
        <f t="shared" si="132"/>
        <v>0</v>
      </c>
      <c r="CQ44" s="2012">
        <f t="shared" si="132"/>
        <v>0</v>
      </c>
      <c r="CR44" s="4322"/>
    </row>
    <row r="45" spans="1:98" ht="13.8" outlineLevel="2">
      <c r="A45" s="4833"/>
      <c r="B45" s="4369" t="s">
        <v>8</v>
      </c>
      <c r="C45" s="3341"/>
      <c r="D45" s="3341"/>
      <c r="E45" s="3349">
        <f t="shared" si="96"/>
        <v>0</v>
      </c>
      <c r="F45" s="4326" t="e">
        <f t="shared" si="97"/>
        <v>#DIV/0!</v>
      </c>
      <c r="G45" s="4370"/>
      <c r="H45" s="3341"/>
      <c r="I45" s="3341"/>
      <c r="J45" s="3349">
        <f t="shared" si="98"/>
        <v>0</v>
      </c>
      <c r="K45" s="4326" t="e">
        <f t="shared" si="99"/>
        <v>#DIV/0!</v>
      </c>
      <c r="L45" s="4370"/>
      <c r="M45" s="3341"/>
      <c r="N45" s="3341"/>
      <c r="O45" s="3349">
        <f t="shared" si="100"/>
        <v>0</v>
      </c>
      <c r="P45" s="4326" t="e">
        <f t="shared" si="101"/>
        <v>#DIV/0!</v>
      </c>
      <c r="Q45" s="4370"/>
      <c r="R45" s="3342">
        <f t="shared" si="102"/>
        <v>0</v>
      </c>
      <c r="S45" s="3342">
        <f t="shared" si="102"/>
        <v>0</v>
      </c>
      <c r="T45" s="2012">
        <f t="shared" si="103"/>
        <v>0</v>
      </c>
      <c r="U45" s="3462"/>
      <c r="V45" s="3462"/>
      <c r="W45" s="3342">
        <f t="shared" si="104"/>
        <v>0</v>
      </c>
      <c r="X45" s="3342">
        <f t="shared" si="104"/>
        <v>0</v>
      </c>
      <c r="Y45" s="2012">
        <f t="shared" si="105"/>
        <v>0</v>
      </c>
      <c r="Z45" s="3462"/>
      <c r="AA45" s="3462"/>
      <c r="AB45" s="3341"/>
      <c r="AC45" s="3341"/>
      <c r="AD45" s="3349">
        <f t="shared" si="106"/>
        <v>0</v>
      </c>
      <c r="AE45" s="4326">
        <f t="shared" si="107"/>
        <v>0</v>
      </c>
      <c r="AF45" s="4371"/>
      <c r="AG45" s="3341"/>
      <c r="AH45" s="3341"/>
      <c r="AI45" s="3349">
        <f t="shared" si="108"/>
        <v>0</v>
      </c>
      <c r="AJ45" s="4326" t="e">
        <f t="shared" si="109"/>
        <v>#DIV/0!</v>
      </c>
      <c r="AK45" s="4370"/>
      <c r="AL45" s="3341"/>
      <c r="AM45" s="3341"/>
      <c r="AN45" s="3349">
        <f t="shared" si="110"/>
        <v>0</v>
      </c>
      <c r="AO45" s="4326">
        <f t="shared" si="111"/>
        <v>0</v>
      </c>
      <c r="AP45" s="4370"/>
      <c r="AQ45" s="3341"/>
      <c r="AR45" s="3341"/>
      <c r="AS45" s="3349">
        <f t="shared" si="112"/>
        <v>0</v>
      </c>
      <c r="AT45" s="4326" t="e">
        <f t="shared" si="113"/>
        <v>#DIV/0!</v>
      </c>
      <c r="AU45" s="4370"/>
      <c r="AV45" s="3341"/>
      <c r="AW45" s="3341"/>
      <c r="AX45" s="3349">
        <f t="shared" si="114"/>
        <v>0</v>
      </c>
      <c r="AY45" s="4326">
        <f t="shared" si="115"/>
        <v>0</v>
      </c>
      <c r="AZ45" s="4370"/>
      <c r="BA45" s="3341"/>
      <c r="BB45" s="3341"/>
      <c r="BC45" s="3349">
        <f t="shared" si="116"/>
        <v>0</v>
      </c>
      <c r="BD45" s="4326" t="e">
        <f t="shared" si="117"/>
        <v>#DIV/0!</v>
      </c>
      <c r="BE45" s="4370"/>
      <c r="BF45" s="3341"/>
      <c r="BG45" s="3341"/>
      <c r="BH45" s="3349">
        <f t="shared" si="118"/>
        <v>0</v>
      </c>
      <c r="BI45" s="4326" t="e">
        <f t="shared" si="119"/>
        <v>#DIV/0!</v>
      </c>
      <c r="BJ45" s="4370"/>
      <c r="BK45" s="3341"/>
      <c r="BL45" s="3341"/>
      <c r="BM45" s="3349">
        <f t="shared" si="120"/>
        <v>0</v>
      </c>
      <c r="BN45" s="4326" t="e">
        <f t="shared" si="121"/>
        <v>#DIV/0!</v>
      </c>
      <c r="BO45" s="4370"/>
      <c r="BP45" s="3341"/>
      <c r="BQ45" s="3341"/>
      <c r="BR45" s="3349">
        <f t="shared" si="122"/>
        <v>0</v>
      </c>
      <c r="BS45" s="4326" t="e">
        <f t="shared" si="123"/>
        <v>#DIV/0!</v>
      </c>
      <c r="BT45" s="4370"/>
      <c r="BU45" s="3341"/>
      <c r="BV45" s="3341"/>
      <c r="BW45" s="3349">
        <f t="shared" si="124"/>
        <v>0</v>
      </c>
      <c r="BX45" s="4326" t="e">
        <f t="shared" si="125"/>
        <v>#DIV/0!</v>
      </c>
      <c r="BY45" s="4370"/>
      <c r="BZ45" s="3341"/>
      <c r="CA45" s="3341"/>
      <c r="CB45" s="3349">
        <f t="shared" si="126"/>
        <v>0</v>
      </c>
      <c r="CC45" s="4326" t="e">
        <f t="shared" si="127"/>
        <v>#DIV/0!</v>
      </c>
      <c r="CD45" s="4370"/>
      <c r="CE45" s="3341"/>
      <c r="CF45" s="3341"/>
      <c r="CG45" s="3349">
        <f t="shared" si="128"/>
        <v>0</v>
      </c>
      <c r="CH45" s="4326" t="e">
        <f t="shared" si="129"/>
        <v>#DIV/0!</v>
      </c>
      <c r="CI45" s="4370"/>
      <c r="CJ45" s="3341">
        <f t="shared" si="130"/>
        <v>0</v>
      </c>
      <c r="CK45" s="3341">
        <f t="shared" si="130"/>
        <v>0</v>
      </c>
      <c r="CL45" s="2012">
        <f t="shared" si="131"/>
        <v>0</v>
      </c>
      <c r="CM45" s="4326">
        <f t="shared" si="95"/>
        <v>0</v>
      </c>
      <c r="CN45" s="4328"/>
      <c r="CP45" s="2012">
        <f t="shared" si="132"/>
        <v>0</v>
      </c>
      <c r="CQ45" s="2012">
        <f t="shared" si="132"/>
        <v>0</v>
      </c>
      <c r="CR45" s="4322"/>
    </row>
    <row r="46" spans="1:98" ht="13.8" outlineLevel="2">
      <c r="A46" s="4833"/>
      <c r="B46" s="4369" t="s">
        <v>29</v>
      </c>
      <c r="C46" s="3341"/>
      <c r="D46" s="3341"/>
      <c r="E46" s="3349">
        <f t="shared" si="96"/>
        <v>0</v>
      </c>
      <c r="F46" s="4326" t="e">
        <f t="shared" si="97"/>
        <v>#DIV/0!</v>
      </c>
      <c r="G46" s="4370"/>
      <c r="H46" s="3341"/>
      <c r="I46" s="3341"/>
      <c r="J46" s="3349">
        <f t="shared" si="98"/>
        <v>0</v>
      </c>
      <c r="K46" s="4326" t="e">
        <f t="shared" si="99"/>
        <v>#DIV/0!</v>
      </c>
      <c r="L46" s="4370"/>
      <c r="M46" s="3341"/>
      <c r="N46" s="3341"/>
      <c r="O46" s="3349">
        <f t="shared" si="100"/>
        <v>0</v>
      </c>
      <c r="P46" s="4326" t="e">
        <f t="shared" si="101"/>
        <v>#DIV/0!</v>
      </c>
      <c r="Q46" s="4370"/>
      <c r="R46" s="3342">
        <f t="shared" si="102"/>
        <v>0</v>
      </c>
      <c r="S46" s="3342">
        <f t="shared" si="102"/>
        <v>0</v>
      </c>
      <c r="T46" s="2012">
        <f t="shared" si="103"/>
        <v>0</v>
      </c>
      <c r="U46" s="3462"/>
      <c r="V46" s="3462"/>
      <c r="W46" s="3342">
        <f t="shared" si="104"/>
        <v>0</v>
      </c>
      <c r="X46" s="3342">
        <f t="shared" si="104"/>
        <v>0</v>
      </c>
      <c r="Y46" s="2012">
        <f t="shared" si="105"/>
        <v>0</v>
      </c>
      <c r="Z46" s="3462"/>
      <c r="AA46" s="3462"/>
      <c r="AB46" s="3341"/>
      <c r="AC46" s="3341"/>
      <c r="AD46" s="3349">
        <f t="shared" si="106"/>
        <v>0</v>
      </c>
      <c r="AE46" s="4326">
        <f t="shared" si="107"/>
        <v>0</v>
      </c>
      <c r="AF46" s="4371"/>
      <c r="AG46" s="3341"/>
      <c r="AH46" s="3341"/>
      <c r="AI46" s="3349">
        <f t="shared" si="108"/>
        <v>0</v>
      </c>
      <c r="AJ46" s="4326" t="e">
        <f t="shared" si="109"/>
        <v>#DIV/0!</v>
      </c>
      <c r="AK46" s="4370"/>
      <c r="AL46" s="3341"/>
      <c r="AM46" s="3341"/>
      <c r="AN46" s="3349">
        <f t="shared" si="110"/>
        <v>0</v>
      </c>
      <c r="AO46" s="4326">
        <f t="shared" si="111"/>
        <v>0</v>
      </c>
      <c r="AP46" s="4370"/>
      <c r="AQ46" s="3341"/>
      <c r="AR46" s="3341"/>
      <c r="AS46" s="3349">
        <f t="shared" si="112"/>
        <v>0</v>
      </c>
      <c r="AT46" s="4326" t="e">
        <f t="shared" si="113"/>
        <v>#DIV/0!</v>
      </c>
      <c r="AU46" s="4370"/>
      <c r="AV46" s="3341"/>
      <c r="AW46" s="3341"/>
      <c r="AX46" s="3349">
        <f t="shared" si="114"/>
        <v>0</v>
      </c>
      <c r="AY46" s="4326">
        <f t="shared" si="115"/>
        <v>0</v>
      </c>
      <c r="AZ46" s="4370"/>
      <c r="BA46" s="3341"/>
      <c r="BB46" s="3341"/>
      <c r="BC46" s="3349">
        <f t="shared" si="116"/>
        <v>0</v>
      </c>
      <c r="BD46" s="4326" t="e">
        <f t="shared" si="117"/>
        <v>#DIV/0!</v>
      </c>
      <c r="BE46" s="4370"/>
      <c r="BF46" s="3341"/>
      <c r="BG46" s="3341"/>
      <c r="BH46" s="3349">
        <f t="shared" si="118"/>
        <v>0</v>
      </c>
      <c r="BI46" s="4326" t="e">
        <f t="shared" si="119"/>
        <v>#DIV/0!</v>
      </c>
      <c r="BJ46" s="4370"/>
      <c r="BK46" s="3341"/>
      <c r="BL46" s="3341"/>
      <c r="BM46" s="3349">
        <f t="shared" si="120"/>
        <v>0</v>
      </c>
      <c r="BN46" s="4326" t="e">
        <f t="shared" si="121"/>
        <v>#DIV/0!</v>
      </c>
      <c r="BO46" s="4370"/>
      <c r="BP46" s="3341"/>
      <c r="BQ46" s="3341"/>
      <c r="BR46" s="3349">
        <f t="shared" si="122"/>
        <v>0</v>
      </c>
      <c r="BS46" s="4326" t="e">
        <f t="shared" si="123"/>
        <v>#DIV/0!</v>
      </c>
      <c r="BT46" s="4370"/>
      <c r="BU46" s="3341"/>
      <c r="BV46" s="3341"/>
      <c r="BW46" s="3349">
        <f t="shared" si="124"/>
        <v>0</v>
      </c>
      <c r="BX46" s="4326" t="e">
        <f t="shared" si="125"/>
        <v>#DIV/0!</v>
      </c>
      <c r="BY46" s="4370"/>
      <c r="BZ46" s="3341"/>
      <c r="CA46" s="3341"/>
      <c r="CB46" s="3349">
        <f t="shared" si="126"/>
        <v>0</v>
      </c>
      <c r="CC46" s="4326" t="e">
        <f t="shared" si="127"/>
        <v>#DIV/0!</v>
      </c>
      <c r="CD46" s="4370"/>
      <c r="CE46" s="3341"/>
      <c r="CF46" s="3341"/>
      <c r="CG46" s="3349">
        <f t="shared" si="128"/>
        <v>0</v>
      </c>
      <c r="CH46" s="4326" t="e">
        <f t="shared" si="129"/>
        <v>#DIV/0!</v>
      </c>
      <c r="CI46" s="4370"/>
      <c r="CJ46" s="3341">
        <f t="shared" si="130"/>
        <v>0</v>
      </c>
      <c r="CK46" s="3341">
        <f t="shared" si="130"/>
        <v>0</v>
      </c>
      <c r="CL46" s="2012">
        <f t="shared" si="131"/>
        <v>0</v>
      </c>
      <c r="CM46" s="4326">
        <f t="shared" si="95"/>
        <v>0</v>
      </c>
      <c r="CN46" s="4328"/>
      <c r="CP46" s="2012">
        <f t="shared" si="132"/>
        <v>0</v>
      </c>
      <c r="CQ46" s="2012">
        <f t="shared" si="132"/>
        <v>0</v>
      </c>
      <c r="CR46" s="4322"/>
    </row>
    <row r="47" spans="1:98" ht="13.8" outlineLevel="2">
      <c r="A47" s="4833"/>
      <c r="B47" s="4369" t="s">
        <v>30</v>
      </c>
      <c r="C47" s="3341"/>
      <c r="D47" s="3341"/>
      <c r="E47" s="3349">
        <f t="shared" si="96"/>
        <v>0</v>
      </c>
      <c r="F47" s="4326" t="e">
        <f t="shared" si="97"/>
        <v>#DIV/0!</v>
      </c>
      <c r="G47" s="4370"/>
      <c r="H47" s="3341"/>
      <c r="I47" s="3341"/>
      <c r="J47" s="3349">
        <f t="shared" si="98"/>
        <v>0</v>
      </c>
      <c r="K47" s="4326" t="e">
        <f t="shared" si="99"/>
        <v>#DIV/0!</v>
      </c>
      <c r="L47" s="4370"/>
      <c r="M47" s="3341"/>
      <c r="N47" s="3341"/>
      <c r="O47" s="3349">
        <f t="shared" si="100"/>
        <v>0</v>
      </c>
      <c r="P47" s="4326" t="e">
        <f t="shared" si="101"/>
        <v>#DIV/0!</v>
      </c>
      <c r="Q47" s="4370"/>
      <c r="R47" s="3342">
        <f t="shared" si="102"/>
        <v>0</v>
      </c>
      <c r="S47" s="3342">
        <f t="shared" si="102"/>
        <v>0</v>
      </c>
      <c r="T47" s="2012">
        <f t="shared" si="103"/>
        <v>0</v>
      </c>
      <c r="U47" s="3462"/>
      <c r="V47" s="3462"/>
      <c r="W47" s="3342">
        <f t="shared" si="104"/>
        <v>0</v>
      </c>
      <c r="X47" s="3342">
        <f t="shared" si="104"/>
        <v>0</v>
      </c>
      <c r="Y47" s="2012">
        <f t="shared" si="105"/>
        <v>0</v>
      </c>
      <c r="Z47" s="3462"/>
      <c r="AA47" s="3462"/>
      <c r="AB47" s="3341"/>
      <c r="AC47" s="3341"/>
      <c r="AD47" s="3349">
        <f t="shared" si="106"/>
        <v>0</v>
      </c>
      <c r="AE47" s="4326">
        <f t="shared" si="107"/>
        <v>0</v>
      </c>
      <c r="AF47" s="4371"/>
      <c r="AG47" s="3341"/>
      <c r="AH47" s="3341"/>
      <c r="AI47" s="3349">
        <f t="shared" si="108"/>
        <v>0</v>
      </c>
      <c r="AJ47" s="4326" t="e">
        <f t="shared" si="109"/>
        <v>#DIV/0!</v>
      </c>
      <c r="AK47" s="4370"/>
      <c r="AL47" s="3341"/>
      <c r="AM47" s="3341"/>
      <c r="AN47" s="3349">
        <f t="shared" si="110"/>
        <v>0</v>
      </c>
      <c r="AO47" s="4326">
        <f t="shared" si="111"/>
        <v>0</v>
      </c>
      <c r="AP47" s="4370"/>
      <c r="AQ47" s="3341"/>
      <c r="AR47" s="3341"/>
      <c r="AS47" s="3349">
        <f t="shared" si="112"/>
        <v>0</v>
      </c>
      <c r="AT47" s="4326" t="e">
        <f t="shared" si="113"/>
        <v>#DIV/0!</v>
      </c>
      <c r="AU47" s="4370"/>
      <c r="AV47" s="3341"/>
      <c r="AW47" s="3341"/>
      <c r="AX47" s="3349">
        <f t="shared" si="114"/>
        <v>0</v>
      </c>
      <c r="AY47" s="4326">
        <f t="shared" si="115"/>
        <v>0</v>
      </c>
      <c r="AZ47" s="4370"/>
      <c r="BA47" s="3341"/>
      <c r="BB47" s="3341"/>
      <c r="BC47" s="3349">
        <f t="shared" si="116"/>
        <v>0</v>
      </c>
      <c r="BD47" s="4326" t="e">
        <f t="shared" si="117"/>
        <v>#DIV/0!</v>
      </c>
      <c r="BE47" s="4370"/>
      <c r="BF47" s="3341"/>
      <c r="BG47" s="3341"/>
      <c r="BH47" s="3349">
        <f t="shared" si="118"/>
        <v>0</v>
      </c>
      <c r="BI47" s="4326" t="e">
        <f t="shared" si="119"/>
        <v>#DIV/0!</v>
      </c>
      <c r="BJ47" s="4370"/>
      <c r="BK47" s="3341"/>
      <c r="BL47" s="3341"/>
      <c r="BM47" s="3349">
        <f t="shared" si="120"/>
        <v>0</v>
      </c>
      <c r="BN47" s="4326" t="e">
        <f t="shared" si="121"/>
        <v>#DIV/0!</v>
      </c>
      <c r="BO47" s="4370"/>
      <c r="BP47" s="3341"/>
      <c r="BQ47" s="3341"/>
      <c r="BR47" s="3349">
        <f t="shared" si="122"/>
        <v>0</v>
      </c>
      <c r="BS47" s="4326" t="e">
        <f t="shared" si="123"/>
        <v>#DIV/0!</v>
      </c>
      <c r="BT47" s="4370"/>
      <c r="BU47" s="3341"/>
      <c r="BV47" s="3341"/>
      <c r="BW47" s="3349">
        <f t="shared" si="124"/>
        <v>0</v>
      </c>
      <c r="BX47" s="4326" t="e">
        <f t="shared" si="125"/>
        <v>#DIV/0!</v>
      </c>
      <c r="BY47" s="4370"/>
      <c r="BZ47" s="3341"/>
      <c r="CA47" s="3341"/>
      <c r="CB47" s="3349">
        <f t="shared" si="126"/>
        <v>0</v>
      </c>
      <c r="CC47" s="4326" t="e">
        <f t="shared" si="127"/>
        <v>#DIV/0!</v>
      </c>
      <c r="CD47" s="4370"/>
      <c r="CE47" s="3341"/>
      <c r="CF47" s="3341"/>
      <c r="CG47" s="3349">
        <f t="shared" si="128"/>
        <v>0</v>
      </c>
      <c r="CH47" s="4326" t="e">
        <f t="shared" si="129"/>
        <v>#DIV/0!</v>
      </c>
      <c r="CI47" s="4370"/>
      <c r="CJ47" s="3341">
        <f t="shared" si="130"/>
        <v>0</v>
      </c>
      <c r="CK47" s="3341">
        <f t="shared" si="130"/>
        <v>0</v>
      </c>
      <c r="CL47" s="2012">
        <f t="shared" si="131"/>
        <v>0</v>
      </c>
      <c r="CM47" s="4326">
        <f t="shared" si="95"/>
        <v>0</v>
      </c>
      <c r="CN47" s="4328"/>
      <c r="CP47" s="2012">
        <f t="shared" si="132"/>
        <v>0</v>
      </c>
      <c r="CQ47" s="2012">
        <f t="shared" si="132"/>
        <v>0</v>
      </c>
      <c r="CR47" s="4322"/>
    </row>
    <row r="48" spans="1:98" ht="13.8" outlineLevel="2">
      <c r="A48" s="4833"/>
      <c r="B48" s="4369" t="s">
        <v>15</v>
      </c>
      <c r="C48" s="3341"/>
      <c r="D48" s="3341"/>
      <c r="E48" s="3349">
        <f t="shared" si="96"/>
        <v>0</v>
      </c>
      <c r="F48" s="4326" t="e">
        <f t="shared" si="97"/>
        <v>#DIV/0!</v>
      </c>
      <c r="G48" s="4370"/>
      <c r="H48" s="3341"/>
      <c r="I48" s="3341"/>
      <c r="J48" s="3349">
        <f t="shared" si="98"/>
        <v>0</v>
      </c>
      <c r="K48" s="4326" t="e">
        <f t="shared" si="99"/>
        <v>#DIV/0!</v>
      </c>
      <c r="L48" s="4370"/>
      <c r="M48" s="3341"/>
      <c r="N48" s="3341"/>
      <c r="O48" s="3349">
        <f t="shared" si="100"/>
        <v>0</v>
      </c>
      <c r="P48" s="4326" t="e">
        <f t="shared" si="101"/>
        <v>#DIV/0!</v>
      </c>
      <c r="Q48" s="4370"/>
      <c r="R48" s="3342">
        <f t="shared" si="102"/>
        <v>0</v>
      </c>
      <c r="S48" s="3342">
        <f t="shared" si="102"/>
        <v>0</v>
      </c>
      <c r="T48" s="2012">
        <f t="shared" si="103"/>
        <v>0</v>
      </c>
      <c r="U48" s="4372"/>
      <c r="V48" s="4370"/>
      <c r="W48" s="4373">
        <f t="shared" si="104"/>
        <v>0</v>
      </c>
      <c r="X48" s="4373">
        <f t="shared" si="104"/>
        <v>0</v>
      </c>
      <c r="Y48" s="4374">
        <f t="shared" si="105"/>
        <v>0</v>
      </c>
      <c r="Z48" s="4370"/>
      <c r="AA48" s="4370"/>
      <c r="AB48" s="4333"/>
      <c r="AC48" s="4333"/>
      <c r="AD48" s="4375">
        <f t="shared" si="106"/>
        <v>0</v>
      </c>
      <c r="AE48" s="4326">
        <f t="shared" si="107"/>
        <v>0</v>
      </c>
      <c r="AF48" s="4371"/>
      <c r="AG48" s="4333"/>
      <c r="AH48" s="3341"/>
      <c r="AI48" s="3349">
        <f t="shared" si="108"/>
        <v>0</v>
      </c>
      <c r="AJ48" s="4326" t="e">
        <f t="shared" si="109"/>
        <v>#DIV/0!</v>
      </c>
      <c r="AK48" s="4370"/>
      <c r="AL48" s="3341"/>
      <c r="AM48" s="3341"/>
      <c r="AN48" s="3349">
        <f t="shared" si="110"/>
        <v>0</v>
      </c>
      <c r="AO48" s="4326">
        <f t="shared" si="111"/>
        <v>0</v>
      </c>
      <c r="AP48" s="4370"/>
      <c r="AQ48" s="3341"/>
      <c r="AR48" s="3341"/>
      <c r="AS48" s="3349">
        <f t="shared" si="112"/>
        <v>0</v>
      </c>
      <c r="AT48" s="4326" t="e">
        <f t="shared" si="113"/>
        <v>#DIV/0!</v>
      </c>
      <c r="AU48" s="4370"/>
      <c r="AV48" s="3341"/>
      <c r="AW48" s="3341"/>
      <c r="AX48" s="3349">
        <f t="shared" si="114"/>
        <v>0</v>
      </c>
      <c r="AY48" s="4326">
        <f t="shared" si="115"/>
        <v>0</v>
      </c>
      <c r="AZ48" s="4370"/>
      <c r="BA48" s="3341"/>
      <c r="BB48" s="3341"/>
      <c r="BC48" s="3349">
        <f t="shared" si="116"/>
        <v>0</v>
      </c>
      <c r="BD48" s="4326" t="e">
        <f t="shared" si="117"/>
        <v>#DIV/0!</v>
      </c>
      <c r="BE48" s="4370"/>
      <c r="BF48" s="3341"/>
      <c r="BG48" s="3341"/>
      <c r="BH48" s="3349">
        <f t="shared" si="118"/>
        <v>0</v>
      </c>
      <c r="BI48" s="4326" t="e">
        <f t="shared" si="119"/>
        <v>#DIV/0!</v>
      </c>
      <c r="BJ48" s="4370"/>
      <c r="BK48" s="3341"/>
      <c r="BL48" s="3341"/>
      <c r="BM48" s="3349">
        <f t="shared" si="120"/>
        <v>0</v>
      </c>
      <c r="BN48" s="4326" t="e">
        <f t="shared" si="121"/>
        <v>#DIV/0!</v>
      </c>
      <c r="BO48" s="4370"/>
      <c r="BP48" s="3341"/>
      <c r="BQ48" s="3341"/>
      <c r="BR48" s="3349">
        <f t="shared" si="122"/>
        <v>0</v>
      </c>
      <c r="BS48" s="4326" t="e">
        <f t="shared" si="123"/>
        <v>#DIV/0!</v>
      </c>
      <c r="BT48" s="4370"/>
      <c r="BU48" s="3341"/>
      <c r="BV48" s="3341"/>
      <c r="BW48" s="3349">
        <f t="shared" si="124"/>
        <v>0</v>
      </c>
      <c r="BX48" s="4326" t="e">
        <f t="shared" si="125"/>
        <v>#DIV/0!</v>
      </c>
      <c r="BY48" s="4370"/>
      <c r="BZ48" s="3341"/>
      <c r="CA48" s="3341"/>
      <c r="CB48" s="3349">
        <f t="shared" si="126"/>
        <v>0</v>
      </c>
      <c r="CC48" s="4326" t="e">
        <f t="shared" si="127"/>
        <v>#DIV/0!</v>
      </c>
      <c r="CD48" s="4370"/>
      <c r="CE48" s="3341"/>
      <c r="CF48" s="3341"/>
      <c r="CG48" s="3349">
        <f t="shared" si="128"/>
        <v>0</v>
      </c>
      <c r="CH48" s="4326" t="e">
        <f t="shared" si="129"/>
        <v>#DIV/0!</v>
      </c>
      <c r="CI48" s="4370"/>
      <c r="CJ48" s="3341">
        <f t="shared" si="130"/>
        <v>0</v>
      </c>
      <c r="CK48" s="3341">
        <f t="shared" si="130"/>
        <v>0</v>
      </c>
      <c r="CL48" s="2012">
        <f t="shared" si="131"/>
        <v>0</v>
      </c>
      <c r="CM48" s="4326">
        <f t="shared" si="95"/>
        <v>0</v>
      </c>
      <c r="CN48" s="4328"/>
      <c r="CP48" s="2012">
        <f t="shared" si="132"/>
        <v>0</v>
      </c>
      <c r="CQ48" s="2012">
        <f t="shared" si="132"/>
        <v>0</v>
      </c>
      <c r="CR48" s="4322"/>
    </row>
    <row r="49" spans="1:98" s="1396" customFormat="1" ht="14.4" outlineLevel="2" thickBot="1">
      <c r="A49" s="1405"/>
      <c r="B49" s="4376"/>
      <c r="C49" s="3341"/>
      <c r="D49" s="3341"/>
      <c r="E49" s="4358"/>
      <c r="F49" s="4337"/>
      <c r="G49" s="4359"/>
      <c r="H49" s="3341"/>
      <c r="I49" s="3341"/>
      <c r="J49" s="4358"/>
      <c r="K49" s="4337"/>
      <c r="L49" s="4359"/>
      <c r="M49" s="3341"/>
      <c r="N49" s="3341"/>
      <c r="O49" s="4358"/>
      <c r="P49" s="4337"/>
      <c r="Q49" s="4359"/>
      <c r="R49" s="3456"/>
      <c r="S49" s="3456"/>
      <c r="T49" s="3456"/>
      <c r="U49" s="3733"/>
      <c r="V49" s="3734"/>
      <c r="W49" s="3734"/>
      <c r="X49" s="3734"/>
      <c r="Y49" s="3734"/>
      <c r="Z49" s="3734"/>
      <c r="AA49" s="3734"/>
      <c r="AB49" s="3375"/>
      <c r="AC49" s="3375"/>
      <c r="AD49" s="4358"/>
      <c r="AE49" s="4337">
        <f t="shared" si="107"/>
        <v>0</v>
      </c>
      <c r="AF49" s="4360"/>
      <c r="AG49" s="3375"/>
      <c r="AH49" s="3341"/>
      <c r="AI49" s="4358"/>
      <c r="AJ49" s="4337" t="e">
        <f t="shared" si="109"/>
        <v>#DIV/0!</v>
      </c>
      <c r="AK49" s="4359"/>
      <c r="AL49" s="3341"/>
      <c r="AM49" s="3341"/>
      <c r="AN49" s="4358"/>
      <c r="AO49" s="4337">
        <f t="shared" si="111"/>
        <v>0</v>
      </c>
      <c r="AP49" s="4359"/>
      <c r="AQ49" s="3341"/>
      <c r="AR49" s="3341"/>
      <c r="AS49" s="4358"/>
      <c r="AT49" s="4337" t="e">
        <f t="shared" si="113"/>
        <v>#DIV/0!</v>
      </c>
      <c r="AU49" s="4359"/>
      <c r="AV49" s="3341"/>
      <c r="AW49" s="3341"/>
      <c r="AX49" s="4358"/>
      <c r="AY49" s="4337">
        <f t="shared" si="115"/>
        <v>0</v>
      </c>
      <c r="AZ49" s="4359"/>
      <c r="BA49" s="3341"/>
      <c r="BB49" s="3341"/>
      <c r="BC49" s="4358"/>
      <c r="BD49" s="4337" t="e">
        <f t="shared" si="117"/>
        <v>#DIV/0!</v>
      </c>
      <c r="BE49" s="4359"/>
      <c r="BF49" s="3341"/>
      <c r="BG49" s="3341"/>
      <c r="BH49" s="4358"/>
      <c r="BI49" s="4337" t="e">
        <f t="shared" si="119"/>
        <v>#DIV/0!</v>
      </c>
      <c r="BJ49" s="4359"/>
      <c r="BK49" s="3341"/>
      <c r="BL49" s="3341"/>
      <c r="BM49" s="4358"/>
      <c r="BN49" s="4337" t="e">
        <f t="shared" si="121"/>
        <v>#DIV/0!</v>
      </c>
      <c r="BO49" s="4359"/>
      <c r="BP49" s="3341"/>
      <c r="BQ49" s="3341"/>
      <c r="BR49" s="4358"/>
      <c r="BS49" s="4337" t="e">
        <f t="shared" si="123"/>
        <v>#DIV/0!</v>
      </c>
      <c r="BT49" s="4359"/>
      <c r="BU49" s="3341"/>
      <c r="BV49" s="3341"/>
      <c r="BW49" s="4358"/>
      <c r="BX49" s="4337" t="e">
        <f t="shared" si="125"/>
        <v>#DIV/0!</v>
      </c>
      <c r="BY49" s="4359"/>
      <c r="BZ49" s="3341"/>
      <c r="CA49" s="3341"/>
      <c r="CB49" s="4358"/>
      <c r="CC49" s="4337" t="e">
        <f t="shared" si="127"/>
        <v>#DIV/0!</v>
      </c>
      <c r="CD49" s="4359"/>
      <c r="CE49" s="3341"/>
      <c r="CF49" s="3341"/>
      <c r="CG49" s="4358"/>
      <c r="CH49" s="4337" t="e">
        <f t="shared" si="129"/>
        <v>#DIV/0!</v>
      </c>
      <c r="CI49" s="4359"/>
      <c r="CJ49" s="3341"/>
      <c r="CK49" s="3341"/>
      <c r="CL49" s="4358"/>
      <c r="CM49" s="4326">
        <f t="shared" si="95"/>
        <v>0</v>
      </c>
      <c r="CN49" s="4358"/>
      <c r="CP49" s="4361"/>
      <c r="CQ49" s="4361"/>
      <c r="CR49" s="4322"/>
      <c r="CT49" s="3443"/>
    </row>
    <row r="50" spans="1:98" s="1396" customFormat="1" ht="13.8" outlineLevel="1">
      <c r="A50" s="1565"/>
      <c r="B50" s="1410" t="s">
        <v>59</v>
      </c>
      <c r="C50" s="2015">
        <f>C52+C51</f>
        <v>0</v>
      </c>
      <c r="D50" s="2015">
        <f>D52+D51</f>
        <v>0</v>
      </c>
      <c r="E50" s="2014">
        <f>SUM(E51:E52)</f>
        <v>0</v>
      </c>
      <c r="F50" s="4368" t="e">
        <f>E50/$E$89</f>
        <v>#DIV/0!</v>
      </c>
      <c r="G50" s="1057"/>
      <c r="H50" s="2015">
        <f>H52+H51</f>
        <v>0</v>
      </c>
      <c r="I50" s="2015">
        <f>I52+I51</f>
        <v>0</v>
      </c>
      <c r="J50" s="2014">
        <f>SUM(J51:J52)</f>
        <v>0</v>
      </c>
      <c r="K50" s="4368" t="e">
        <f>J50/$E$89</f>
        <v>#DIV/0!</v>
      </c>
      <c r="L50" s="1057"/>
      <c r="M50" s="2015">
        <f>M52+M51</f>
        <v>0</v>
      </c>
      <c r="N50" s="2015">
        <f>N52+N51</f>
        <v>0</v>
      </c>
      <c r="O50" s="2014">
        <f>SUM(O51:O52)</f>
        <v>0</v>
      </c>
      <c r="P50" s="4368" t="e">
        <f>O50/$E$89</f>
        <v>#DIV/0!</v>
      </c>
      <c r="Q50" s="1057"/>
      <c r="R50" s="2015">
        <f>R52+R51</f>
        <v>0</v>
      </c>
      <c r="S50" s="2015">
        <f>S52+S51</f>
        <v>0</v>
      </c>
      <c r="T50" s="2015">
        <f>SUM(T51:T52)</f>
        <v>0</v>
      </c>
      <c r="U50" s="1535"/>
      <c r="V50" s="3460"/>
      <c r="W50" s="2013">
        <f>W52+W51</f>
        <v>0</v>
      </c>
      <c r="X50" s="2013">
        <f>X52+X51</f>
        <v>0</v>
      </c>
      <c r="Y50" s="2013">
        <f>SUM(Y51:Y52)</f>
        <v>0</v>
      </c>
      <c r="Z50" s="1535"/>
      <c r="AA50" s="3460"/>
      <c r="AB50" s="2013">
        <f>AB52+AB51</f>
        <v>0</v>
      </c>
      <c r="AC50" s="2013">
        <f>AC52+AC51</f>
        <v>0</v>
      </c>
      <c r="AD50" s="2013">
        <f>SUM(AD51:AD52)</f>
        <v>0</v>
      </c>
      <c r="AE50" s="1535"/>
      <c r="AF50" s="3782"/>
      <c r="AG50" s="2013">
        <f>AG52+AG51</f>
        <v>0</v>
      </c>
      <c r="AH50" s="2015">
        <f>AH52+AH51</f>
        <v>0</v>
      </c>
      <c r="AI50" s="2015">
        <f>SUM(AI51:AI52)</f>
        <v>0</v>
      </c>
      <c r="AJ50" s="1535"/>
      <c r="AK50" s="1057"/>
      <c r="AL50" s="2015">
        <f>AL52+AL51</f>
        <v>0</v>
      </c>
      <c r="AM50" s="2015">
        <f>AM52+AM51</f>
        <v>0</v>
      </c>
      <c r="AN50" s="2015">
        <f>SUM(AN51:AN52)</f>
        <v>0</v>
      </c>
      <c r="AO50" s="1535"/>
      <c r="AP50" s="1057"/>
      <c r="AQ50" s="2015">
        <f>AQ52+AQ51</f>
        <v>0</v>
      </c>
      <c r="AR50" s="2015">
        <f>AR52+AR51</f>
        <v>0</v>
      </c>
      <c r="AS50" s="2015">
        <f>SUM(AS51:AS52)</f>
        <v>0</v>
      </c>
      <c r="AT50" s="1535"/>
      <c r="AU50" s="1057"/>
      <c r="AV50" s="2015">
        <f>AV52+AV51</f>
        <v>0</v>
      </c>
      <c r="AW50" s="2015">
        <f>AW52+AW51</f>
        <v>0</v>
      </c>
      <c r="AX50" s="2015">
        <f>SUM(AX51:AX52)</f>
        <v>0</v>
      </c>
      <c r="AY50" s="1535"/>
      <c r="AZ50" s="1057"/>
      <c r="BA50" s="2015">
        <f>BA52+BA51</f>
        <v>0</v>
      </c>
      <c r="BB50" s="2015">
        <f>BB52+BB51</f>
        <v>0</v>
      </c>
      <c r="BC50" s="2015">
        <f>SUM(BC51:BC52)</f>
        <v>0</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0</v>
      </c>
      <c r="CK50" s="2015">
        <f>CK52+CK51</f>
        <v>0</v>
      </c>
      <c r="CL50" s="2015">
        <f>SUM(CL51:CL52)</f>
        <v>0</v>
      </c>
      <c r="CM50" s="2006"/>
      <c r="CN50" s="2006"/>
      <c r="CP50" s="2015">
        <f>SUM(CP51:CP52)</f>
        <v>0</v>
      </c>
      <c r="CQ50" s="2015">
        <f>SUM(CQ51:CQ52)</f>
        <v>0</v>
      </c>
      <c r="CR50" s="2015"/>
      <c r="CT50" s="3443"/>
    </row>
    <row r="51" spans="1:98" s="1396" customFormat="1" ht="13.8" outlineLevel="1">
      <c r="A51" s="1566"/>
      <c r="B51" s="4369" t="s">
        <v>60</v>
      </c>
      <c r="C51" s="3341"/>
      <c r="D51" s="3341"/>
      <c r="E51" s="3349">
        <f t="shared" ref="E51:E52" si="133">C51+D51</f>
        <v>0</v>
      </c>
      <c r="F51" s="4326" t="e">
        <f t="shared" ref="F51:F71" si="134">E51/$E$89</f>
        <v>#DIV/0!</v>
      </c>
      <c r="G51" s="4354"/>
      <c r="H51" s="3341"/>
      <c r="I51" s="3341"/>
      <c r="J51" s="3349">
        <f>H51+I51</f>
        <v>0</v>
      </c>
      <c r="K51" s="4326" t="e">
        <f t="shared" ref="K51:K52" si="135">J51/J$89</f>
        <v>#DIV/0!</v>
      </c>
      <c r="L51" s="4354"/>
      <c r="M51" s="3341"/>
      <c r="N51" s="3341"/>
      <c r="O51" s="3349">
        <f t="shared" ref="O51:O52" si="136">M51+N51</f>
        <v>0</v>
      </c>
      <c r="P51" s="4326" t="e">
        <f t="shared" ref="P51:P53" si="137">O51/O$89</f>
        <v>#DIV/0!</v>
      </c>
      <c r="Q51" s="4354"/>
      <c r="R51" s="3342">
        <f t="shared" ref="R51:S52" si="138">M51+H51+C51</f>
        <v>0</v>
      </c>
      <c r="S51" s="3342">
        <f t="shared" si="138"/>
        <v>0</v>
      </c>
      <c r="T51" s="2012">
        <f t="shared" ref="T51:T52" si="139">R51+S51</f>
        <v>0</v>
      </c>
      <c r="U51" s="3455"/>
      <c r="V51" s="3455"/>
      <c r="W51" s="3342">
        <f t="shared" ref="W51:X52" si="140">AB51+AG51+AL51+AV51+BA51+BF51+BK51+BP51+BU51+BZ51+CE51+AQ51</f>
        <v>0</v>
      </c>
      <c r="X51" s="3342">
        <f t="shared" si="140"/>
        <v>0</v>
      </c>
      <c r="Y51" s="2012">
        <f t="shared" ref="Y51:Y52" si="141">W51+X51</f>
        <v>0</v>
      </c>
      <c r="Z51" s="3455"/>
      <c r="AA51" s="3455"/>
      <c r="AB51" s="3341"/>
      <c r="AC51" s="3341"/>
      <c r="AD51" s="3349">
        <f t="shared" ref="AD51:AD52" si="142">AB51+AC51</f>
        <v>0</v>
      </c>
      <c r="AE51" s="4326">
        <f t="shared" ref="AE51:AE53" si="143">AD51/AD$89</f>
        <v>0</v>
      </c>
      <c r="AF51" s="4355"/>
      <c r="AG51" s="3341"/>
      <c r="AH51" s="3341"/>
      <c r="AI51" s="3349">
        <f t="shared" ref="AI51:AI52" si="144">AG51+AH51</f>
        <v>0</v>
      </c>
      <c r="AJ51" s="4326" t="e">
        <f t="shared" ref="AJ51:AJ53" si="145">AI51/AI$89</f>
        <v>#DIV/0!</v>
      </c>
      <c r="AK51" s="4354"/>
      <c r="AL51" s="3341"/>
      <c r="AM51" s="3341"/>
      <c r="AN51" s="3349">
        <f t="shared" ref="AN51:AN52" si="146">AL51+AM51</f>
        <v>0</v>
      </c>
      <c r="AO51" s="4326">
        <f t="shared" ref="AO51:AO53" si="147">AN51/AN$89</f>
        <v>0</v>
      </c>
      <c r="AP51" s="4354"/>
      <c r="AQ51" s="3341"/>
      <c r="AR51" s="3341"/>
      <c r="AS51" s="3349">
        <f t="shared" ref="AS51:AS52" si="148">AQ51+AR51</f>
        <v>0</v>
      </c>
      <c r="AT51" s="4326" t="e">
        <f t="shared" ref="AT51:AT53" si="149">AS51/AS$89</f>
        <v>#DIV/0!</v>
      </c>
      <c r="AU51" s="4354"/>
      <c r="AV51" s="3341"/>
      <c r="AW51" s="3341"/>
      <c r="AX51" s="3349">
        <f t="shared" ref="AX51:AX52" si="150">AV51+AW51</f>
        <v>0</v>
      </c>
      <c r="AY51" s="4326">
        <f t="shared" ref="AY51:AY53" si="151">AX51/AX$89</f>
        <v>0</v>
      </c>
      <c r="AZ51" s="4354"/>
      <c r="BA51" s="3341"/>
      <c r="BB51" s="3341"/>
      <c r="BC51" s="3349">
        <f t="shared" ref="BC51:BC52" si="152">BA51+BB51</f>
        <v>0</v>
      </c>
      <c r="BD51" s="4326" t="e">
        <f t="shared" ref="BD51:BD53" si="153">BC51/BC$89</f>
        <v>#DIV/0!</v>
      </c>
      <c r="BE51" s="4354"/>
      <c r="BF51" s="3341"/>
      <c r="BG51" s="3341"/>
      <c r="BH51" s="3349">
        <f t="shared" ref="BH51:BH52" si="154">BF51+BG51</f>
        <v>0</v>
      </c>
      <c r="BI51" s="4326" t="e">
        <f t="shared" ref="BI51:BI53" si="155">BH51/BH$89</f>
        <v>#DIV/0!</v>
      </c>
      <c r="BJ51" s="4354"/>
      <c r="BK51" s="3341"/>
      <c r="BL51" s="3341"/>
      <c r="BM51" s="3349">
        <f t="shared" ref="BM51:BM52" si="156">BK51+BL51</f>
        <v>0</v>
      </c>
      <c r="BN51" s="4326" t="e">
        <f t="shared" ref="BN51:BN53" si="157">BM51/BM$89</f>
        <v>#DIV/0!</v>
      </c>
      <c r="BO51" s="4354"/>
      <c r="BP51" s="3341"/>
      <c r="BQ51" s="3341"/>
      <c r="BR51" s="3349">
        <f t="shared" ref="BR51:BR52" si="158">BP51+BQ51</f>
        <v>0</v>
      </c>
      <c r="BS51" s="4326" t="e">
        <f t="shared" ref="BS51:BS53" si="159">BR51/BR$89</f>
        <v>#DIV/0!</v>
      </c>
      <c r="BT51" s="4354"/>
      <c r="BU51" s="3341"/>
      <c r="BV51" s="3341"/>
      <c r="BW51" s="3349">
        <f t="shared" ref="BW51:BW52" si="160">BU51+BV51</f>
        <v>0</v>
      </c>
      <c r="BX51" s="4326" t="e">
        <f t="shared" ref="BX51:BX53" si="161">BW51/BW$89</f>
        <v>#DIV/0!</v>
      </c>
      <c r="BY51" s="4354"/>
      <c r="BZ51" s="3341"/>
      <c r="CA51" s="3341"/>
      <c r="CB51" s="3349">
        <f t="shared" ref="CB51:CB52" si="162">BZ51+CA51</f>
        <v>0</v>
      </c>
      <c r="CC51" s="4326" t="e">
        <f t="shared" ref="CC51:CC53" si="163">CB51/CB$89</f>
        <v>#DIV/0!</v>
      </c>
      <c r="CD51" s="4354"/>
      <c r="CE51" s="3341"/>
      <c r="CF51" s="3341"/>
      <c r="CG51" s="3349">
        <f t="shared" ref="CG51:CG52" si="164">CE51+CF51</f>
        <v>0</v>
      </c>
      <c r="CH51" s="4326" t="e">
        <f t="shared" ref="CH51:CH53" si="165">CG51/CG$89</f>
        <v>#DIV/0!</v>
      </c>
      <c r="CI51" s="4354"/>
      <c r="CJ51" s="3341">
        <f t="shared" ref="CJ51:CK53" si="166">C51+H51+M51+W51</f>
        <v>0</v>
      </c>
      <c r="CK51" s="3341">
        <f t="shared" si="166"/>
        <v>0</v>
      </c>
      <c r="CL51" s="2012">
        <f>CJ51+CK51*1</f>
        <v>0</v>
      </c>
      <c r="CM51" s="4326">
        <f>CL51/$CL$89</f>
        <v>0</v>
      </c>
      <c r="CN51" s="4356"/>
      <c r="CP51" s="2012">
        <f>CN51+CO51*1</f>
        <v>0</v>
      </c>
      <c r="CQ51" s="2012">
        <f>CO51+CP51*1</f>
        <v>0</v>
      </c>
      <c r="CR51" s="4322"/>
      <c r="CT51" s="3443"/>
    </row>
    <row r="52" spans="1:98" ht="13.8" outlineLevel="2">
      <c r="A52" s="1566"/>
      <c r="B52" s="4369" t="s">
        <v>61</v>
      </c>
      <c r="C52" s="3341"/>
      <c r="D52" s="3341"/>
      <c r="E52" s="3349">
        <f t="shared" si="133"/>
        <v>0</v>
      </c>
      <c r="F52" s="4326" t="e">
        <f t="shared" si="134"/>
        <v>#DIV/0!</v>
      </c>
      <c r="G52" s="4354"/>
      <c r="H52" s="3341"/>
      <c r="I52" s="3341"/>
      <c r="J52" s="3349">
        <f>H52+I52</f>
        <v>0</v>
      </c>
      <c r="K52" s="4326" t="e">
        <f t="shared" si="135"/>
        <v>#DIV/0!</v>
      </c>
      <c r="L52" s="4354"/>
      <c r="M52" s="3341"/>
      <c r="N52" s="3341"/>
      <c r="O52" s="3349">
        <f t="shared" si="136"/>
        <v>0</v>
      </c>
      <c r="P52" s="4326" t="e">
        <f t="shared" si="137"/>
        <v>#DIV/0!</v>
      </c>
      <c r="Q52" s="4354"/>
      <c r="R52" s="3342">
        <f t="shared" si="138"/>
        <v>0</v>
      </c>
      <c r="S52" s="3342">
        <f t="shared" si="138"/>
        <v>0</v>
      </c>
      <c r="T52" s="2012">
        <f t="shared" si="139"/>
        <v>0</v>
      </c>
      <c r="U52" s="3455"/>
      <c r="V52" s="3455"/>
      <c r="W52" s="3342">
        <f t="shared" si="140"/>
        <v>0</v>
      </c>
      <c r="X52" s="3342">
        <f t="shared" si="140"/>
        <v>0</v>
      </c>
      <c r="Y52" s="2012">
        <f t="shared" si="141"/>
        <v>0</v>
      </c>
      <c r="Z52" s="3455"/>
      <c r="AA52" s="3455"/>
      <c r="AB52" s="3341"/>
      <c r="AC52" s="3341"/>
      <c r="AD52" s="3349">
        <f t="shared" si="142"/>
        <v>0</v>
      </c>
      <c r="AE52" s="4326">
        <f t="shared" si="143"/>
        <v>0</v>
      </c>
      <c r="AF52" s="4355"/>
      <c r="AG52" s="3341"/>
      <c r="AH52" s="3341"/>
      <c r="AI52" s="3349">
        <f t="shared" si="144"/>
        <v>0</v>
      </c>
      <c r="AJ52" s="4326" t="e">
        <f t="shared" si="145"/>
        <v>#DIV/0!</v>
      </c>
      <c r="AK52" s="4354"/>
      <c r="AL52" s="3341"/>
      <c r="AM52" s="3341"/>
      <c r="AN52" s="3349">
        <f t="shared" si="146"/>
        <v>0</v>
      </c>
      <c r="AO52" s="4326">
        <f t="shared" si="147"/>
        <v>0</v>
      </c>
      <c r="AP52" s="4354"/>
      <c r="AQ52" s="3341"/>
      <c r="AR52" s="3341"/>
      <c r="AS52" s="3349">
        <f t="shared" si="148"/>
        <v>0</v>
      </c>
      <c r="AT52" s="4326" t="e">
        <f t="shared" si="149"/>
        <v>#DIV/0!</v>
      </c>
      <c r="AU52" s="4354"/>
      <c r="AV52" s="3341"/>
      <c r="AW52" s="3341"/>
      <c r="AX52" s="3349">
        <f t="shared" si="150"/>
        <v>0</v>
      </c>
      <c r="AY52" s="4326">
        <f t="shared" si="151"/>
        <v>0</v>
      </c>
      <c r="AZ52" s="4354"/>
      <c r="BA52" s="3341"/>
      <c r="BB52" s="3341"/>
      <c r="BC52" s="3349">
        <f t="shared" si="152"/>
        <v>0</v>
      </c>
      <c r="BD52" s="4326" t="e">
        <f t="shared" si="153"/>
        <v>#DIV/0!</v>
      </c>
      <c r="BE52" s="4354"/>
      <c r="BF52" s="3341"/>
      <c r="BG52" s="3341"/>
      <c r="BH52" s="3349">
        <f t="shared" si="154"/>
        <v>0</v>
      </c>
      <c r="BI52" s="4326" t="e">
        <f t="shared" si="155"/>
        <v>#DIV/0!</v>
      </c>
      <c r="BJ52" s="4354"/>
      <c r="BK52" s="3341"/>
      <c r="BL52" s="3341"/>
      <c r="BM52" s="3349">
        <f t="shared" si="156"/>
        <v>0</v>
      </c>
      <c r="BN52" s="4326" t="e">
        <f t="shared" si="157"/>
        <v>#DIV/0!</v>
      </c>
      <c r="BO52" s="4354"/>
      <c r="BP52" s="3341"/>
      <c r="BQ52" s="3341"/>
      <c r="BR52" s="3349">
        <f t="shared" si="158"/>
        <v>0</v>
      </c>
      <c r="BS52" s="4326" t="e">
        <f t="shared" si="159"/>
        <v>#DIV/0!</v>
      </c>
      <c r="BT52" s="4354"/>
      <c r="BU52" s="3341"/>
      <c r="BV52" s="3341"/>
      <c r="BW52" s="3349">
        <f t="shared" si="160"/>
        <v>0</v>
      </c>
      <c r="BX52" s="4326" t="e">
        <f t="shared" si="161"/>
        <v>#DIV/0!</v>
      </c>
      <c r="BY52" s="4354"/>
      <c r="BZ52" s="3341"/>
      <c r="CA52" s="3341"/>
      <c r="CB52" s="3349">
        <f t="shared" si="162"/>
        <v>0</v>
      </c>
      <c r="CC52" s="4326" t="e">
        <f t="shared" si="163"/>
        <v>#DIV/0!</v>
      </c>
      <c r="CD52" s="4354"/>
      <c r="CE52" s="3341"/>
      <c r="CF52" s="3341"/>
      <c r="CG52" s="3349">
        <f t="shared" si="164"/>
        <v>0</v>
      </c>
      <c r="CH52" s="4326" t="e">
        <f t="shared" si="165"/>
        <v>#DIV/0!</v>
      </c>
      <c r="CI52" s="4354"/>
      <c r="CJ52" s="3341">
        <f t="shared" si="166"/>
        <v>0</v>
      </c>
      <c r="CK52" s="3341">
        <f t="shared" si="166"/>
        <v>0</v>
      </c>
      <c r="CL52" s="2012">
        <f>CJ52+CK52*1</f>
        <v>0</v>
      </c>
      <c r="CM52" s="4326">
        <f>CL52/$CL$89</f>
        <v>0</v>
      </c>
      <c r="CN52" s="4356"/>
      <c r="CP52" s="2012">
        <f>CN52+CO52*1</f>
        <v>0</v>
      </c>
      <c r="CQ52" s="2012">
        <f>CO52+CP52*1</f>
        <v>0</v>
      </c>
      <c r="CR52" s="4322"/>
    </row>
    <row r="53" spans="1:98" ht="14.4" outlineLevel="1" thickBot="1">
      <c r="A53" s="1413"/>
      <c r="B53" s="4377"/>
      <c r="C53" s="3341"/>
      <c r="D53" s="3341"/>
      <c r="E53" s="4378"/>
      <c r="F53" s="4326" t="e">
        <f t="shared" si="134"/>
        <v>#DIV/0!</v>
      </c>
      <c r="G53" s="4379"/>
      <c r="H53" s="3341"/>
      <c r="I53" s="3341"/>
      <c r="J53" s="4378"/>
      <c r="K53" s="4326" t="e">
        <f t="shared" ref="K53:K54" si="167">J53/$E$89</f>
        <v>#DIV/0!</v>
      </c>
      <c r="L53" s="4379"/>
      <c r="M53" s="3341"/>
      <c r="N53" s="3341"/>
      <c r="O53" s="4378"/>
      <c r="P53" s="4326" t="e">
        <f t="shared" si="137"/>
        <v>#DIV/0!</v>
      </c>
      <c r="Q53" s="4379"/>
      <c r="R53" s="4380"/>
      <c r="S53" s="4379"/>
      <c r="T53" s="4379"/>
      <c r="U53" s="4379"/>
      <c r="V53" s="4379"/>
      <c r="W53" s="4379"/>
      <c r="X53" s="4379"/>
      <c r="Y53" s="4379"/>
      <c r="Z53" s="4379"/>
      <c r="AA53" s="4379"/>
      <c r="AB53" s="4335"/>
      <c r="AC53" s="4335"/>
      <c r="AD53" s="4378"/>
      <c r="AE53" s="4337">
        <f t="shared" si="143"/>
        <v>0</v>
      </c>
      <c r="AF53" s="4381"/>
      <c r="AG53" s="4335"/>
      <c r="AH53" s="4335"/>
      <c r="AI53" s="4378"/>
      <c r="AJ53" s="4337" t="e">
        <f t="shared" si="145"/>
        <v>#DIV/0!</v>
      </c>
      <c r="AK53" s="4379"/>
      <c r="AL53" s="4335"/>
      <c r="AM53" s="4335"/>
      <c r="AN53" s="4378"/>
      <c r="AO53" s="4337">
        <f t="shared" si="147"/>
        <v>0</v>
      </c>
      <c r="AP53" s="4379"/>
      <c r="AQ53" s="4335"/>
      <c r="AR53" s="4335"/>
      <c r="AS53" s="4378"/>
      <c r="AT53" s="4337" t="e">
        <f t="shared" si="149"/>
        <v>#DIV/0!</v>
      </c>
      <c r="AU53" s="4379"/>
      <c r="AV53" s="4335"/>
      <c r="AW53" s="4335"/>
      <c r="AX53" s="4378"/>
      <c r="AY53" s="4337">
        <f t="shared" si="151"/>
        <v>0</v>
      </c>
      <c r="AZ53" s="4379"/>
      <c r="BA53" s="4335"/>
      <c r="BB53" s="4335"/>
      <c r="BC53" s="4378"/>
      <c r="BD53" s="4337" t="e">
        <f t="shared" si="153"/>
        <v>#DIV/0!</v>
      </c>
      <c r="BE53" s="4379"/>
      <c r="BF53" s="4335"/>
      <c r="BG53" s="4335"/>
      <c r="BH53" s="4378"/>
      <c r="BI53" s="4337" t="e">
        <f t="shared" si="155"/>
        <v>#DIV/0!</v>
      </c>
      <c r="BJ53" s="4379"/>
      <c r="BK53" s="4335"/>
      <c r="BL53" s="4335"/>
      <c r="BM53" s="4378"/>
      <c r="BN53" s="4337" t="e">
        <f t="shared" si="157"/>
        <v>#DIV/0!</v>
      </c>
      <c r="BO53" s="4379"/>
      <c r="BP53" s="4335"/>
      <c r="BQ53" s="4335"/>
      <c r="BR53" s="4378"/>
      <c r="BS53" s="4337" t="e">
        <f t="shared" si="159"/>
        <v>#DIV/0!</v>
      </c>
      <c r="BT53" s="4379"/>
      <c r="BU53" s="4335"/>
      <c r="BV53" s="4335"/>
      <c r="BW53" s="4378"/>
      <c r="BX53" s="4337" t="e">
        <f t="shared" si="161"/>
        <v>#DIV/0!</v>
      </c>
      <c r="BY53" s="4379"/>
      <c r="BZ53" s="4335"/>
      <c r="CA53" s="4335"/>
      <c r="CB53" s="4378"/>
      <c r="CC53" s="4337" t="e">
        <f t="shared" si="163"/>
        <v>#DIV/0!</v>
      </c>
      <c r="CD53" s="4379"/>
      <c r="CE53" s="4335"/>
      <c r="CF53" s="4335"/>
      <c r="CG53" s="4378"/>
      <c r="CH53" s="4337" t="e">
        <f t="shared" si="165"/>
        <v>#DIV/0!</v>
      </c>
      <c r="CI53" s="4379"/>
      <c r="CJ53" s="4335">
        <f t="shared" si="166"/>
        <v>0</v>
      </c>
      <c r="CK53" s="4335">
        <f t="shared" si="166"/>
        <v>0</v>
      </c>
      <c r="CL53" s="4378"/>
      <c r="CM53" s="4378"/>
      <c r="CN53" s="4378"/>
      <c r="CP53" s="4382"/>
      <c r="CQ53" s="4382"/>
      <c r="CR53" s="4322"/>
    </row>
    <row r="54" spans="1:98" ht="13.8" outlineLevel="1">
      <c r="A54" s="1570"/>
      <c r="B54" s="1410" t="s">
        <v>1</v>
      </c>
      <c r="C54" s="2015">
        <f>SUM(C55:C72)</f>
        <v>0</v>
      </c>
      <c r="D54" s="2015">
        <f>SUM(D55:D72)</f>
        <v>0</v>
      </c>
      <c r="E54" s="2014">
        <f>SUM(E55:E72)</f>
        <v>0</v>
      </c>
      <c r="F54" s="4368" t="e">
        <f t="shared" si="134"/>
        <v>#DIV/0!</v>
      </c>
      <c r="G54" s="1057"/>
      <c r="H54" s="2015">
        <f>SUM(H55:H72)</f>
        <v>0</v>
      </c>
      <c r="I54" s="2015">
        <f>SUM(I55:I72)</f>
        <v>0</v>
      </c>
      <c r="J54" s="2014">
        <f>SUM(J55:J72)</f>
        <v>0</v>
      </c>
      <c r="K54" s="4368" t="e">
        <f t="shared" si="167"/>
        <v>#DIV/0!</v>
      </c>
      <c r="L54" s="1057"/>
      <c r="M54" s="2015">
        <f>SUM(M55:M72)</f>
        <v>0</v>
      </c>
      <c r="N54" s="2015">
        <f>SUM(N55:N72)</f>
        <v>0</v>
      </c>
      <c r="O54" s="2014">
        <f>SUM(O55:O72)</f>
        <v>0</v>
      </c>
      <c r="P54" s="4368" t="e">
        <f t="shared" ref="P54" si="168">O54/$E$89</f>
        <v>#DIV/0!</v>
      </c>
      <c r="Q54" s="1057"/>
      <c r="R54" s="2013">
        <f>SUM(R55:R72)</f>
        <v>0</v>
      </c>
      <c r="S54" s="2013">
        <f>SUM(S55:S72)</f>
        <v>0</v>
      </c>
      <c r="T54" s="2013">
        <f>SUM(T55:T72)</f>
        <v>0</v>
      </c>
      <c r="U54" s="1535"/>
      <c r="V54" s="3460"/>
      <c r="W54" s="2013">
        <f>SUM(W55:W72)</f>
        <v>0</v>
      </c>
      <c r="X54" s="2013">
        <f>SUM(X55:X72)</f>
        <v>0</v>
      </c>
      <c r="Y54" s="2013">
        <f>SUM(Y55:Y72)</f>
        <v>0</v>
      </c>
      <c r="Z54" s="1535"/>
      <c r="AA54" s="3460"/>
      <c r="AB54" s="2013">
        <f>SUM(AB55:AB72)</f>
        <v>0</v>
      </c>
      <c r="AC54" s="2013">
        <f>SUM(AC55:AC72)</f>
        <v>0</v>
      </c>
      <c r="AD54" s="2013">
        <f>SUM(AD55:AD72)</f>
        <v>0</v>
      </c>
      <c r="AE54" s="1535"/>
      <c r="AF54" s="3782"/>
      <c r="AG54" s="2013">
        <f>SUM(AG55:AG72)</f>
        <v>0</v>
      </c>
      <c r="AH54" s="2013">
        <f>SUM(AH55:AH72)</f>
        <v>0</v>
      </c>
      <c r="AI54" s="2013">
        <f>SUM(AI55:AI72)</f>
        <v>0</v>
      </c>
      <c r="AJ54" s="1535"/>
      <c r="AK54" s="3735"/>
      <c r="AL54" s="2013">
        <f>SUM(AL55:AL72)</f>
        <v>0</v>
      </c>
      <c r="AM54" s="2013">
        <f>SUM(AM55:AM72)</f>
        <v>0</v>
      </c>
      <c r="AN54" s="2013">
        <f>SUM(AN55:AN72)</f>
        <v>0</v>
      </c>
      <c r="AO54" s="1535"/>
      <c r="AP54" s="3735"/>
      <c r="AQ54" s="2013">
        <f>SUM(AQ55:AQ72)</f>
        <v>0</v>
      </c>
      <c r="AR54" s="2013">
        <f>SUM(AR55:AR72)</f>
        <v>0</v>
      </c>
      <c r="AS54" s="2013">
        <f>SUM(AS55:AS72)</f>
        <v>0</v>
      </c>
      <c r="AT54" s="1535"/>
      <c r="AU54" s="3735"/>
      <c r="AV54" s="2013">
        <f>SUM(AV55:AV72)</f>
        <v>0</v>
      </c>
      <c r="AW54" s="2013">
        <f>SUM(AW55:AW72)</f>
        <v>0</v>
      </c>
      <c r="AX54" s="2013">
        <f>SUM(AX55:AX72)</f>
        <v>0</v>
      </c>
      <c r="AY54" s="1535"/>
      <c r="AZ54" s="3735"/>
      <c r="BA54" s="2013">
        <f>SUM(BA55:BA72)</f>
        <v>0</v>
      </c>
      <c r="BB54" s="2013">
        <f>SUM(BB55:BB72)</f>
        <v>0</v>
      </c>
      <c r="BC54" s="2013">
        <f>SUM(BC55:BC72)</f>
        <v>0</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0</v>
      </c>
      <c r="CK54" s="2013">
        <f>SUM(CK55:CK72)</f>
        <v>0</v>
      </c>
      <c r="CL54" s="2013">
        <f>SUM(CL55:CL72)</f>
        <v>0</v>
      </c>
      <c r="CM54" s="1535">
        <f t="shared" ref="CM54:CM71" si="169">CL54/$CL$89</f>
        <v>0</v>
      </c>
      <c r="CN54" s="1061"/>
      <c r="CP54" s="2015">
        <f>SUM(CP55:CP72)</f>
        <v>0</v>
      </c>
      <c r="CQ54" s="2015">
        <f>SUM(CQ55:CQ72)</f>
        <v>0</v>
      </c>
      <c r="CR54" s="2015"/>
    </row>
    <row r="55" spans="1:98" ht="13.8" outlineLevel="2">
      <c r="A55" s="1571"/>
      <c r="B55" s="4353" t="s">
        <v>77</v>
      </c>
      <c r="C55" s="3349"/>
      <c r="D55" s="3349"/>
      <c r="E55" s="3349">
        <f t="shared" ref="E55:E71" si="170">C55+D55</f>
        <v>0</v>
      </c>
      <c r="F55" s="4326" t="e">
        <f t="shared" si="134"/>
        <v>#DIV/0!</v>
      </c>
      <c r="G55" s="4370"/>
      <c r="H55" s="3349"/>
      <c r="I55" s="3349"/>
      <c r="J55" s="3349">
        <f t="shared" ref="J55:J71" si="171">H55+I55</f>
        <v>0</v>
      </c>
      <c r="K55" s="4326" t="e">
        <f t="shared" ref="K55:K72" si="172">J55/J$89</f>
        <v>#DIV/0!</v>
      </c>
      <c r="L55" s="4370"/>
      <c r="M55" s="3349"/>
      <c r="N55" s="3349"/>
      <c r="O55" s="3349">
        <f t="shared" ref="O55:O71" si="173">M55+N55</f>
        <v>0</v>
      </c>
      <c r="P55" s="4326" t="e">
        <f t="shared" ref="P55:P72" si="174">O55/O$89</f>
        <v>#DIV/0!</v>
      </c>
      <c r="Q55" s="4370"/>
      <c r="R55" s="3342">
        <f t="shared" ref="R55:S71" si="175">M55+H55+C55</f>
        <v>0</v>
      </c>
      <c r="S55" s="3342">
        <f t="shared" si="175"/>
        <v>0</v>
      </c>
      <c r="T55" s="2012">
        <f t="shared" ref="T55:T71" si="176">R55+S55</f>
        <v>0</v>
      </c>
      <c r="U55" s="3462"/>
      <c r="V55" s="3462"/>
      <c r="W55" s="3342">
        <f t="shared" ref="W55:X71" si="177">AB55+AG55+AL55+AV55+BA55+BF55+BK55+BP55+BU55+BZ55+CE55+AQ55</f>
        <v>0</v>
      </c>
      <c r="X55" s="3342">
        <f t="shared" si="177"/>
        <v>0</v>
      </c>
      <c r="Y55" s="2012">
        <f t="shared" ref="Y55:Y71" si="178">W55+X55</f>
        <v>0</v>
      </c>
      <c r="Z55" s="3462"/>
      <c r="AA55" s="3462"/>
      <c r="AB55" s="3349"/>
      <c r="AC55" s="3349"/>
      <c r="AD55" s="3349">
        <f t="shared" ref="AD55:AD71" si="179">AB55+AC55</f>
        <v>0</v>
      </c>
      <c r="AE55" s="4326">
        <f t="shared" ref="AE55:AE71" si="180">AD55/AD$89</f>
        <v>0</v>
      </c>
      <c r="AF55" s="4371"/>
      <c r="AG55" s="3349"/>
      <c r="AH55" s="3349"/>
      <c r="AI55" s="3349">
        <f t="shared" ref="AI55:AI71" si="181">AG55+AH55</f>
        <v>0</v>
      </c>
      <c r="AJ55" s="4326" t="e">
        <f t="shared" ref="AJ55:AJ71" si="182">AI55/AI$89</f>
        <v>#DIV/0!</v>
      </c>
      <c r="AK55" s="4370"/>
      <c r="AL55" s="3349"/>
      <c r="AM55" s="3349"/>
      <c r="AN55" s="3349">
        <f t="shared" ref="AN55:AN71" si="183">AL55+AM55</f>
        <v>0</v>
      </c>
      <c r="AO55" s="4326">
        <f t="shared" ref="AO55:AO71" si="184">AN55/AN$89</f>
        <v>0</v>
      </c>
      <c r="AP55" s="4370"/>
      <c r="AQ55" s="3349"/>
      <c r="AR55" s="3349"/>
      <c r="AS55" s="3349">
        <f t="shared" ref="AS55:AS71" si="185">AQ55+AR55</f>
        <v>0</v>
      </c>
      <c r="AT55" s="4326" t="e">
        <f t="shared" ref="AT55:AT71" si="186">AS55/AS$89</f>
        <v>#DIV/0!</v>
      </c>
      <c r="AU55" s="4370"/>
      <c r="AV55" s="3349"/>
      <c r="AW55" s="3349"/>
      <c r="AX55" s="3349">
        <f t="shared" ref="AX55:AX71" si="187">AV55+AW55</f>
        <v>0</v>
      </c>
      <c r="AY55" s="4326">
        <f t="shared" ref="AY55:AY71" si="188">AX55/AX$89</f>
        <v>0</v>
      </c>
      <c r="AZ55" s="4370"/>
      <c r="BA55" s="3349"/>
      <c r="BB55" s="3349"/>
      <c r="BC55" s="3349">
        <f t="shared" ref="BC55:BC71" si="189">BA55+BB55</f>
        <v>0</v>
      </c>
      <c r="BD55" s="4326" t="e">
        <f t="shared" ref="BD55:BD71" si="190">BC55/BC$89</f>
        <v>#DIV/0!</v>
      </c>
      <c r="BE55" s="4370"/>
      <c r="BF55" s="3349"/>
      <c r="BG55" s="3349"/>
      <c r="BH55" s="3349">
        <f t="shared" ref="BH55:BH71" si="191">BF55+BG55</f>
        <v>0</v>
      </c>
      <c r="BI55" s="4326" t="e">
        <f t="shared" ref="BI55:BI71" si="192">BH55/BH$89</f>
        <v>#DIV/0!</v>
      </c>
      <c r="BJ55" s="4370"/>
      <c r="BK55" s="3349"/>
      <c r="BL55" s="3349"/>
      <c r="BM55" s="3349">
        <f t="shared" ref="BM55:BM71" si="193">BK55+BL55</f>
        <v>0</v>
      </c>
      <c r="BN55" s="4326" t="e">
        <f t="shared" ref="BN55:BN71" si="194">BM55/BM$89</f>
        <v>#DIV/0!</v>
      </c>
      <c r="BO55" s="4370"/>
      <c r="BP55" s="3349"/>
      <c r="BQ55" s="3349"/>
      <c r="BR55" s="3349">
        <f t="shared" ref="BR55:BR71" si="195">BP55+BQ55</f>
        <v>0</v>
      </c>
      <c r="BS55" s="4326" t="e">
        <f t="shared" ref="BS55:BS71" si="196">BR55/BR$89</f>
        <v>#DIV/0!</v>
      </c>
      <c r="BT55" s="4370"/>
      <c r="BU55" s="3349"/>
      <c r="BV55" s="3349"/>
      <c r="BW55" s="3349">
        <f t="shared" ref="BW55:BW71" si="197">BU55+BV55</f>
        <v>0</v>
      </c>
      <c r="BX55" s="4326" t="e">
        <f t="shared" ref="BX55:BX71" si="198">BW55/BW$89</f>
        <v>#DIV/0!</v>
      </c>
      <c r="BY55" s="4370"/>
      <c r="BZ55" s="3349"/>
      <c r="CA55" s="3349"/>
      <c r="CB55" s="3349">
        <f t="shared" ref="CB55:CB71" si="199">BZ55+CA55</f>
        <v>0</v>
      </c>
      <c r="CC55" s="4326" t="e">
        <f t="shared" ref="CC55:CC71" si="200">CB55/CB$89</f>
        <v>#DIV/0!</v>
      </c>
      <c r="CD55" s="4370"/>
      <c r="CE55" s="3349"/>
      <c r="CF55" s="3349"/>
      <c r="CG55" s="3349">
        <f t="shared" ref="CG55:CG71" si="201">CE55+CF55</f>
        <v>0</v>
      </c>
      <c r="CH55" s="4326" t="e">
        <f t="shared" ref="CH55:CH71" si="202">CG55/CG$89</f>
        <v>#DIV/0!</v>
      </c>
      <c r="CI55" s="4370"/>
      <c r="CJ55" s="3341">
        <f t="shared" ref="CJ55:CK71" si="203">C55+H55+M55+W55</f>
        <v>0</v>
      </c>
      <c r="CK55" s="3341">
        <f t="shared" si="203"/>
        <v>0</v>
      </c>
      <c r="CL55" s="2012">
        <f t="shared" ref="CL55:CL71" si="204">CJ55+CK55*1</f>
        <v>0</v>
      </c>
      <c r="CM55" s="4326">
        <f t="shared" si="169"/>
        <v>0</v>
      </c>
      <c r="CN55" s="4328"/>
      <c r="CP55" s="2012">
        <f t="shared" ref="CP55:CQ71" si="205">CN55+CO55*1</f>
        <v>0</v>
      </c>
      <c r="CQ55" s="2012">
        <f t="shared" si="205"/>
        <v>0</v>
      </c>
      <c r="CR55" s="4322"/>
    </row>
    <row r="56" spans="1:98" ht="13.8" outlineLevel="2">
      <c r="A56" s="1571"/>
      <c r="B56" s="4353" t="s">
        <v>76</v>
      </c>
      <c r="C56" s="3349"/>
      <c r="D56" s="3349"/>
      <c r="E56" s="3349">
        <f t="shared" si="170"/>
        <v>0</v>
      </c>
      <c r="F56" s="4326" t="e">
        <f t="shared" si="134"/>
        <v>#DIV/0!</v>
      </c>
      <c r="G56" s="4370"/>
      <c r="H56" s="3349"/>
      <c r="I56" s="3349"/>
      <c r="J56" s="3349">
        <f t="shared" si="171"/>
        <v>0</v>
      </c>
      <c r="K56" s="4326" t="e">
        <f t="shared" si="172"/>
        <v>#DIV/0!</v>
      </c>
      <c r="L56" s="4370"/>
      <c r="M56" s="3349"/>
      <c r="N56" s="3349"/>
      <c r="O56" s="3349">
        <f t="shared" si="173"/>
        <v>0</v>
      </c>
      <c r="P56" s="4326" t="e">
        <f t="shared" si="174"/>
        <v>#DIV/0!</v>
      </c>
      <c r="Q56" s="4370"/>
      <c r="R56" s="3342">
        <f t="shared" si="175"/>
        <v>0</v>
      </c>
      <c r="S56" s="3342">
        <f t="shared" si="175"/>
        <v>0</v>
      </c>
      <c r="T56" s="2012">
        <f t="shared" si="176"/>
        <v>0</v>
      </c>
      <c r="U56" s="3462"/>
      <c r="V56" s="3462"/>
      <c r="W56" s="3342">
        <f t="shared" si="177"/>
        <v>0</v>
      </c>
      <c r="X56" s="3342">
        <f t="shared" si="177"/>
        <v>0</v>
      </c>
      <c r="Y56" s="2012">
        <f t="shared" si="178"/>
        <v>0</v>
      </c>
      <c r="Z56" s="3462"/>
      <c r="AA56" s="3462"/>
      <c r="AB56" s="3349"/>
      <c r="AC56" s="3349"/>
      <c r="AD56" s="3349">
        <f t="shared" si="179"/>
        <v>0</v>
      </c>
      <c r="AE56" s="4326">
        <f t="shared" si="180"/>
        <v>0</v>
      </c>
      <c r="AF56" s="4371"/>
      <c r="AG56" s="3349"/>
      <c r="AH56" s="3349"/>
      <c r="AI56" s="3349">
        <f t="shared" si="181"/>
        <v>0</v>
      </c>
      <c r="AJ56" s="4326" t="e">
        <f t="shared" si="182"/>
        <v>#DIV/0!</v>
      </c>
      <c r="AK56" s="4370"/>
      <c r="AL56" s="3349"/>
      <c r="AM56" s="3349"/>
      <c r="AN56" s="3349">
        <f t="shared" si="183"/>
        <v>0</v>
      </c>
      <c r="AO56" s="4326">
        <f t="shared" si="184"/>
        <v>0</v>
      </c>
      <c r="AP56" s="4370"/>
      <c r="AQ56" s="3349"/>
      <c r="AR56" s="3349"/>
      <c r="AS56" s="3349">
        <f t="shared" si="185"/>
        <v>0</v>
      </c>
      <c r="AT56" s="4326" t="e">
        <f t="shared" si="186"/>
        <v>#DIV/0!</v>
      </c>
      <c r="AU56" s="4370"/>
      <c r="AV56" s="3349"/>
      <c r="AW56" s="3349"/>
      <c r="AX56" s="3349">
        <f t="shared" si="187"/>
        <v>0</v>
      </c>
      <c r="AY56" s="4326">
        <f t="shared" si="188"/>
        <v>0</v>
      </c>
      <c r="AZ56" s="4370"/>
      <c r="BA56" s="3349"/>
      <c r="BB56" s="3349"/>
      <c r="BC56" s="3349">
        <f t="shared" si="189"/>
        <v>0</v>
      </c>
      <c r="BD56" s="4326" t="e">
        <f t="shared" si="190"/>
        <v>#DIV/0!</v>
      </c>
      <c r="BE56" s="4370"/>
      <c r="BF56" s="3349"/>
      <c r="BG56" s="3349"/>
      <c r="BH56" s="3349">
        <f t="shared" si="191"/>
        <v>0</v>
      </c>
      <c r="BI56" s="4326" t="e">
        <f t="shared" si="192"/>
        <v>#DIV/0!</v>
      </c>
      <c r="BJ56" s="4370"/>
      <c r="BK56" s="3349"/>
      <c r="BL56" s="3349"/>
      <c r="BM56" s="3349">
        <f t="shared" si="193"/>
        <v>0</v>
      </c>
      <c r="BN56" s="4326" t="e">
        <f t="shared" si="194"/>
        <v>#DIV/0!</v>
      </c>
      <c r="BO56" s="4370"/>
      <c r="BP56" s="3349"/>
      <c r="BQ56" s="3349"/>
      <c r="BR56" s="3349">
        <f t="shared" si="195"/>
        <v>0</v>
      </c>
      <c r="BS56" s="4326" t="e">
        <f t="shared" si="196"/>
        <v>#DIV/0!</v>
      </c>
      <c r="BT56" s="4370"/>
      <c r="BU56" s="3349"/>
      <c r="BV56" s="3349"/>
      <c r="BW56" s="3349">
        <f t="shared" si="197"/>
        <v>0</v>
      </c>
      <c r="BX56" s="4326" t="e">
        <f t="shared" si="198"/>
        <v>#DIV/0!</v>
      </c>
      <c r="BY56" s="4370"/>
      <c r="BZ56" s="3349"/>
      <c r="CA56" s="3349"/>
      <c r="CB56" s="3349">
        <f t="shared" si="199"/>
        <v>0</v>
      </c>
      <c r="CC56" s="4326" t="e">
        <f t="shared" si="200"/>
        <v>#DIV/0!</v>
      </c>
      <c r="CD56" s="4370"/>
      <c r="CE56" s="3349"/>
      <c r="CF56" s="3349"/>
      <c r="CG56" s="3349">
        <f t="shared" si="201"/>
        <v>0</v>
      </c>
      <c r="CH56" s="4326" t="e">
        <f t="shared" si="202"/>
        <v>#DIV/0!</v>
      </c>
      <c r="CI56" s="4370"/>
      <c r="CJ56" s="3341">
        <f t="shared" si="203"/>
        <v>0</v>
      </c>
      <c r="CK56" s="3341">
        <f t="shared" si="203"/>
        <v>0</v>
      </c>
      <c r="CL56" s="2012">
        <f t="shared" si="204"/>
        <v>0</v>
      </c>
      <c r="CM56" s="4326">
        <f t="shared" si="169"/>
        <v>0</v>
      </c>
      <c r="CN56" s="4328"/>
      <c r="CP56" s="2012">
        <f t="shared" si="205"/>
        <v>0</v>
      </c>
      <c r="CQ56" s="2012">
        <f t="shared" si="205"/>
        <v>0</v>
      </c>
      <c r="CR56" s="4322"/>
    </row>
    <row r="57" spans="1:98" ht="13.8" outlineLevel="2">
      <c r="A57" s="1571"/>
      <c r="B57" s="4353" t="s">
        <v>68</v>
      </c>
      <c r="C57" s="3349"/>
      <c r="D57" s="3349"/>
      <c r="E57" s="3349">
        <f t="shared" si="170"/>
        <v>0</v>
      </c>
      <c r="F57" s="4326" t="e">
        <f t="shared" si="134"/>
        <v>#DIV/0!</v>
      </c>
      <c r="G57" s="4370"/>
      <c r="H57" s="3349"/>
      <c r="I57" s="3349"/>
      <c r="J57" s="3349">
        <f t="shared" si="171"/>
        <v>0</v>
      </c>
      <c r="K57" s="4326" t="e">
        <f t="shared" si="172"/>
        <v>#DIV/0!</v>
      </c>
      <c r="L57" s="4370"/>
      <c r="M57" s="3349"/>
      <c r="N57" s="3349"/>
      <c r="O57" s="3349">
        <f t="shared" si="173"/>
        <v>0</v>
      </c>
      <c r="P57" s="4326" t="e">
        <f t="shared" si="174"/>
        <v>#DIV/0!</v>
      </c>
      <c r="Q57" s="4370"/>
      <c r="R57" s="3342">
        <f t="shared" si="175"/>
        <v>0</v>
      </c>
      <c r="S57" s="3342">
        <f t="shared" si="175"/>
        <v>0</v>
      </c>
      <c r="T57" s="2012">
        <f t="shared" si="176"/>
        <v>0</v>
      </c>
      <c r="U57" s="3462"/>
      <c r="V57" s="3462"/>
      <c r="W57" s="3342">
        <f t="shared" si="177"/>
        <v>0</v>
      </c>
      <c r="X57" s="3342">
        <f t="shared" si="177"/>
        <v>0</v>
      </c>
      <c r="Y57" s="2012">
        <f t="shared" si="178"/>
        <v>0</v>
      </c>
      <c r="Z57" s="3462"/>
      <c r="AA57" s="3462"/>
      <c r="AB57" s="3349"/>
      <c r="AC57" s="3349"/>
      <c r="AD57" s="3349">
        <f t="shared" si="179"/>
        <v>0</v>
      </c>
      <c r="AE57" s="4326">
        <f t="shared" si="180"/>
        <v>0</v>
      </c>
      <c r="AF57" s="4371"/>
      <c r="AG57" s="3349"/>
      <c r="AH57" s="3349"/>
      <c r="AI57" s="3349">
        <f t="shared" si="181"/>
        <v>0</v>
      </c>
      <c r="AJ57" s="4326" t="e">
        <f t="shared" si="182"/>
        <v>#DIV/0!</v>
      </c>
      <c r="AK57" s="4370"/>
      <c r="AL57" s="3349"/>
      <c r="AM57" s="3349"/>
      <c r="AN57" s="3349">
        <f t="shared" si="183"/>
        <v>0</v>
      </c>
      <c r="AO57" s="4326">
        <f t="shared" si="184"/>
        <v>0</v>
      </c>
      <c r="AP57" s="4370"/>
      <c r="AQ57" s="3349"/>
      <c r="AR57" s="3349"/>
      <c r="AS57" s="3349">
        <f t="shared" si="185"/>
        <v>0</v>
      </c>
      <c r="AT57" s="4326" t="e">
        <f t="shared" si="186"/>
        <v>#DIV/0!</v>
      </c>
      <c r="AU57" s="4370"/>
      <c r="AV57" s="3349"/>
      <c r="AW57" s="3349"/>
      <c r="AX57" s="3349">
        <f t="shared" si="187"/>
        <v>0</v>
      </c>
      <c r="AY57" s="4326">
        <f t="shared" si="188"/>
        <v>0</v>
      </c>
      <c r="AZ57" s="4370"/>
      <c r="BA57" s="3349"/>
      <c r="BB57" s="3349"/>
      <c r="BC57" s="3349">
        <f t="shared" si="189"/>
        <v>0</v>
      </c>
      <c r="BD57" s="4326" t="e">
        <f t="shared" si="190"/>
        <v>#DIV/0!</v>
      </c>
      <c r="BE57" s="4370"/>
      <c r="BF57" s="3349"/>
      <c r="BG57" s="3349"/>
      <c r="BH57" s="3349">
        <f t="shared" si="191"/>
        <v>0</v>
      </c>
      <c r="BI57" s="4326" t="e">
        <f t="shared" si="192"/>
        <v>#DIV/0!</v>
      </c>
      <c r="BJ57" s="4370"/>
      <c r="BK57" s="3349"/>
      <c r="BL57" s="3349"/>
      <c r="BM57" s="3349">
        <f t="shared" si="193"/>
        <v>0</v>
      </c>
      <c r="BN57" s="4326" t="e">
        <f t="shared" si="194"/>
        <v>#DIV/0!</v>
      </c>
      <c r="BO57" s="4370"/>
      <c r="BP57" s="3349"/>
      <c r="BQ57" s="3349"/>
      <c r="BR57" s="3349">
        <f t="shared" si="195"/>
        <v>0</v>
      </c>
      <c r="BS57" s="4326" t="e">
        <f t="shared" si="196"/>
        <v>#DIV/0!</v>
      </c>
      <c r="BT57" s="4370"/>
      <c r="BU57" s="3349"/>
      <c r="BV57" s="3349"/>
      <c r="BW57" s="3349">
        <f t="shared" si="197"/>
        <v>0</v>
      </c>
      <c r="BX57" s="4326" t="e">
        <f t="shared" si="198"/>
        <v>#DIV/0!</v>
      </c>
      <c r="BY57" s="4370"/>
      <c r="BZ57" s="3349"/>
      <c r="CA57" s="3349"/>
      <c r="CB57" s="3349">
        <f t="shared" si="199"/>
        <v>0</v>
      </c>
      <c r="CC57" s="4326" t="e">
        <f t="shared" si="200"/>
        <v>#DIV/0!</v>
      </c>
      <c r="CD57" s="4370"/>
      <c r="CE57" s="3349"/>
      <c r="CF57" s="3349"/>
      <c r="CG57" s="3349">
        <f t="shared" si="201"/>
        <v>0</v>
      </c>
      <c r="CH57" s="4326" t="e">
        <f t="shared" si="202"/>
        <v>#DIV/0!</v>
      </c>
      <c r="CI57" s="4370"/>
      <c r="CJ57" s="3341">
        <f t="shared" si="203"/>
        <v>0</v>
      </c>
      <c r="CK57" s="3341">
        <f t="shared" si="203"/>
        <v>0</v>
      </c>
      <c r="CL57" s="2012">
        <f t="shared" si="204"/>
        <v>0</v>
      </c>
      <c r="CM57" s="4326">
        <f t="shared" si="169"/>
        <v>0</v>
      </c>
      <c r="CN57" s="4328"/>
      <c r="CP57" s="2012">
        <f t="shared" si="205"/>
        <v>0</v>
      </c>
      <c r="CQ57" s="2012">
        <f t="shared" si="205"/>
        <v>0</v>
      </c>
      <c r="CR57" s="4322"/>
    </row>
    <row r="58" spans="1:98" ht="13.8" outlineLevel="2">
      <c r="A58" s="1571"/>
      <c r="B58" s="4353" t="s">
        <v>67</v>
      </c>
      <c r="C58" s="3349"/>
      <c r="D58" s="3349"/>
      <c r="E58" s="3349">
        <f t="shared" si="170"/>
        <v>0</v>
      </c>
      <c r="F58" s="4326" t="e">
        <f t="shared" si="134"/>
        <v>#DIV/0!</v>
      </c>
      <c r="G58" s="4370"/>
      <c r="H58" s="3349"/>
      <c r="I58" s="3349"/>
      <c r="J58" s="3349">
        <f t="shared" si="171"/>
        <v>0</v>
      </c>
      <c r="K58" s="4326" t="e">
        <f t="shared" si="172"/>
        <v>#DIV/0!</v>
      </c>
      <c r="L58" s="4370"/>
      <c r="M58" s="3349"/>
      <c r="N58" s="3349"/>
      <c r="O58" s="3349">
        <f t="shared" si="173"/>
        <v>0</v>
      </c>
      <c r="P58" s="4326" t="e">
        <f t="shared" si="174"/>
        <v>#DIV/0!</v>
      </c>
      <c r="Q58" s="4370"/>
      <c r="R58" s="3342">
        <f t="shared" si="175"/>
        <v>0</v>
      </c>
      <c r="S58" s="3342">
        <f t="shared" si="175"/>
        <v>0</v>
      </c>
      <c r="T58" s="2012">
        <f t="shared" si="176"/>
        <v>0</v>
      </c>
      <c r="U58" s="3462"/>
      <c r="V58" s="3462"/>
      <c r="W58" s="3342">
        <f t="shared" si="177"/>
        <v>0</v>
      </c>
      <c r="X58" s="3342">
        <f t="shared" si="177"/>
        <v>0</v>
      </c>
      <c r="Y58" s="2012">
        <f t="shared" si="178"/>
        <v>0</v>
      </c>
      <c r="Z58" s="3462"/>
      <c r="AA58" s="3462"/>
      <c r="AB58" s="3349"/>
      <c r="AC58" s="3349"/>
      <c r="AD58" s="3349">
        <f t="shared" si="179"/>
        <v>0</v>
      </c>
      <c r="AE58" s="4326">
        <f t="shared" si="180"/>
        <v>0</v>
      </c>
      <c r="AF58" s="4371"/>
      <c r="AG58" s="3349"/>
      <c r="AH58" s="3349"/>
      <c r="AI58" s="3349">
        <f t="shared" si="181"/>
        <v>0</v>
      </c>
      <c r="AJ58" s="4326" t="e">
        <f t="shared" si="182"/>
        <v>#DIV/0!</v>
      </c>
      <c r="AK58" s="4370"/>
      <c r="AL58" s="3349"/>
      <c r="AM58" s="3349"/>
      <c r="AN58" s="3349">
        <f t="shared" si="183"/>
        <v>0</v>
      </c>
      <c r="AO58" s="4326">
        <f t="shared" si="184"/>
        <v>0</v>
      </c>
      <c r="AP58" s="4370"/>
      <c r="AQ58" s="3349"/>
      <c r="AR58" s="3349"/>
      <c r="AS58" s="3349">
        <f t="shared" si="185"/>
        <v>0</v>
      </c>
      <c r="AT58" s="4326" t="e">
        <f t="shared" si="186"/>
        <v>#DIV/0!</v>
      </c>
      <c r="AU58" s="4370"/>
      <c r="AV58" s="3349"/>
      <c r="AW58" s="3349"/>
      <c r="AX58" s="3349">
        <f t="shared" si="187"/>
        <v>0</v>
      </c>
      <c r="AY58" s="4326">
        <f t="shared" si="188"/>
        <v>0</v>
      </c>
      <c r="AZ58" s="4370"/>
      <c r="BA58" s="3349"/>
      <c r="BB58" s="3349"/>
      <c r="BC58" s="3349">
        <f t="shared" si="189"/>
        <v>0</v>
      </c>
      <c r="BD58" s="4326" t="e">
        <f t="shared" si="190"/>
        <v>#DIV/0!</v>
      </c>
      <c r="BE58" s="4370"/>
      <c r="BF58" s="3349"/>
      <c r="BG58" s="3349"/>
      <c r="BH58" s="3349">
        <f t="shared" si="191"/>
        <v>0</v>
      </c>
      <c r="BI58" s="4326" t="e">
        <f t="shared" si="192"/>
        <v>#DIV/0!</v>
      </c>
      <c r="BJ58" s="4370"/>
      <c r="BK58" s="3349"/>
      <c r="BL58" s="3349"/>
      <c r="BM58" s="3349">
        <f t="shared" si="193"/>
        <v>0</v>
      </c>
      <c r="BN58" s="4326" t="e">
        <f t="shared" si="194"/>
        <v>#DIV/0!</v>
      </c>
      <c r="BO58" s="4370"/>
      <c r="BP58" s="3349"/>
      <c r="BQ58" s="3349"/>
      <c r="BR58" s="3349">
        <f t="shared" si="195"/>
        <v>0</v>
      </c>
      <c r="BS58" s="4326" t="e">
        <f t="shared" si="196"/>
        <v>#DIV/0!</v>
      </c>
      <c r="BT58" s="4370"/>
      <c r="BU58" s="3349"/>
      <c r="BV58" s="3349"/>
      <c r="BW58" s="3349">
        <f t="shared" si="197"/>
        <v>0</v>
      </c>
      <c r="BX58" s="4326" t="e">
        <f t="shared" si="198"/>
        <v>#DIV/0!</v>
      </c>
      <c r="BY58" s="4370"/>
      <c r="BZ58" s="3349"/>
      <c r="CA58" s="3349"/>
      <c r="CB58" s="3349">
        <f t="shared" si="199"/>
        <v>0</v>
      </c>
      <c r="CC58" s="4326" t="e">
        <f t="shared" si="200"/>
        <v>#DIV/0!</v>
      </c>
      <c r="CD58" s="4370"/>
      <c r="CE58" s="3349"/>
      <c r="CF58" s="3349"/>
      <c r="CG58" s="3349">
        <f t="shared" si="201"/>
        <v>0</v>
      </c>
      <c r="CH58" s="4326" t="e">
        <f t="shared" si="202"/>
        <v>#DIV/0!</v>
      </c>
      <c r="CI58" s="4370"/>
      <c r="CJ58" s="3341">
        <f t="shared" si="203"/>
        <v>0</v>
      </c>
      <c r="CK58" s="3341">
        <f t="shared" si="203"/>
        <v>0</v>
      </c>
      <c r="CL58" s="2012">
        <f t="shared" si="204"/>
        <v>0</v>
      </c>
      <c r="CM58" s="4326">
        <f t="shared" si="169"/>
        <v>0</v>
      </c>
      <c r="CN58" s="4328"/>
      <c r="CP58" s="2012">
        <f t="shared" si="205"/>
        <v>0</v>
      </c>
      <c r="CQ58" s="2012">
        <f t="shared" si="205"/>
        <v>0</v>
      </c>
      <c r="CR58" s="4322"/>
    </row>
    <row r="59" spans="1:98" ht="13.8" outlineLevel="2">
      <c r="A59" s="1571"/>
      <c r="B59" s="4353" t="s">
        <v>66</v>
      </c>
      <c r="C59" s="3349"/>
      <c r="D59" s="3349"/>
      <c r="E59" s="3349">
        <f t="shared" si="170"/>
        <v>0</v>
      </c>
      <c r="F59" s="4326" t="e">
        <f t="shared" si="134"/>
        <v>#DIV/0!</v>
      </c>
      <c r="G59" s="4370"/>
      <c r="H59" s="3349"/>
      <c r="I59" s="3349"/>
      <c r="J59" s="3349">
        <f t="shared" si="171"/>
        <v>0</v>
      </c>
      <c r="K59" s="4326" t="e">
        <f t="shared" si="172"/>
        <v>#DIV/0!</v>
      </c>
      <c r="L59" s="4370"/>
      <c r="M59" s="3349"/>
      <c r="N59" s="3349"/>
      <c r="O59" s="3349">
        <f t="shared" si="173"/>
        <v>0</v>
      </c>
      <c r="P59" s="4326" t="e">
        <f t="shared" si="174"/>
        <v>#DIV/0!</v>
      </c>
      <c r="Q59" s="4370"/>
      <c r="R59" s="3342">
        <f t="shared" si="175"/>
        <v>0</v>
      </c>
      <c r="S59" s="3342">
        <f t="shared" si="175"/>
        <v>0</v>
      </c>
      <c r="T59" s="2012">
        <f t="shared" si="176"/>
        <v>0</v>
      </c>
      <c r="U59" s="3462"/>
      <c r="V59" s="3462"/>
      <c r="W59" s="3342">
        <f t="shared" si="177"/>
        <v>0</v>
      </c>
      <c r="X59" s="3342">
        <f t="shared" si="177"/>
        <v>0</v>
      </c>
      <c r="Y59" s="2012">
        <f t="shared" si="178"/>
        <v>0</v>
      </c>
      <c r="Z59" s="3462"/>
      <c r="AA59" s="3462"/>
      <c r="AB59" s="3349"/>
      <c r="AC59" s="3349"/>
      <c r="AD59" s="3349">
        <f t="shared" si="179"/>
        <v>0</v>
      </c>
      <c r="AE59" s="4326">
        <f t="shared" si="180"/>
        <v>0</v>
      </c>
      <c r="AF59" s="4371"/>
      <c r="AG59" s="3349"/>
      <c r="AH59" s="3349"/>
      <c r="AI59" s="3349">
        <f t="shared" si="181"/>
        <v>0</v>
      </c>
      <c r="AJ59" s="4326" t="e">
        <f t="shared" si="182"/>
        <v>#DIV/0!</v>
      </c>
      <c r="AK59" s="4370"/>
      <c r="AL59" s="3349"/>
      <c r="AM59" s="3349"/>
      <c r="AN59" s="3349">
        <f t="shared" si="183"/>
        <v>0</v>
      </c>
      <c r="AO59" s="4326">
        <f t="shared" si="184"/>
        <v>0</v>
      </c>
      <c r="AP59" s="4370"/>
      <c r="AQ59" s="3349"/>
      <c r="AR59" s="3349"/>
      <c r="AS59" s="3349">
        <f t="shared" si="185"/>
        <v>0</v>
      </c>
      <c r="AT59" s="4326" t="e">
        <f t="shared" si="186"/>
        <v>#DIV/0!</v>
      </c>
      <c r="AU59" s="4370"/>
      <c r="AV59" s="3349"/>
      <c r="AW59" s="3349"/>
      <c r="AX59" s="3349">
        <f t="shared" si="187"/>
        <v>0</v>
      </c>
      <c r="AY59" s="4326">
        <f t="shared" si="188"/>
        <v>0</v>
      </c>
      <c r="AZ59" s="4370"/>
      <c r="BA59" s="3349"/>
      <c r="BB59" s="3349"/>
      <c r="BC59" s="3349">
        <f t="shared" si="189"/>
        <v>0</v>
      </c>
      <c r="BD59" s="4326" t="e">
        <f t="shared" si="190"/>
        <v>#DIV/0!</v>
      </c>
      <c r="BE59" s="4370"/>
      <c r="BF59" s="3349"/>
      <c r="BG59" s="3349"/>
      <c r="BH59" s="3349">
        <f t="shared" si="191"/>
        <v>0</v>
      </c>
      <c r="BI59" s="4326" t="e">
        <f t="shared" si="192"/>
        <v>#DIV/0!</v>
      </c>
      <c r="BJ59" s="4370"/>
      <c r="BK59" s="3349"/>
      <c r="BL59" s="3349"/>
      <c r="BM59" s="3349">
        <f t="shared" si="193"/>
        <v>0</v>
      </c>
      <c r="BN59" s="4326" t="e">
        <f t="shared" si="194"/>
        <v>#DIV/0!</v>
      </c>
      <c r="BO59" s="4370"/>
      <c r="BP59" s="3349"/>
      <c r="BQ59" s="3349"/>
      <c r="BR59" s="3349">
        <f t="shared" si="195"/>
        <v>0</v>
      </c>
      <c r="BS59" s="4326" t="e">
        <f t="shared" si="196"/>
        <v>#DIV/0!</v>
      </c>
      <c r="BT59" s="4370"/>
      <c r="BU59" s="3349"/>
      <c r="BV59" s="3349"/>
      <c r="BW59" s="3349">
        <f t="shared" si="197"/>
        <v>0</v>
      </c>
      <c r="BX59" s="4326" t="e">
        <f t="shared" si="198"/>
        <v>#DIV/0!</v>
      </c>
      <c r="BY59" s="4370"/>
      <c r="BZ59" s="3349"/>
      <c r="CA59" s="3349"/>
      <c r="CB59" s="3349">
        <f t="shared" si="199"/>
        <v>0</v>
      </c>
      <c r="CC59" s="4326" t="e">
        <f t="shared" si="200"/>
        <v>#DIV/0!</v>
      </c>
      <c r="CD59" s="4370"/>
      <c r="CE59" s="3349"/>
      <c r="CF59" s="3349"/>
      <c r="CG59" s="3349">
        <f t="shared" si="201"/>
        <v>0</v>
      </c>
      <c r="CH59" s="4326" t="e">
        <f t="shared" si="202"/>
        <v>#DIV/0!</v>
      </c>
      <c r="CI59" s="4370"/>
      <c r="CJ59" s="3341">
        <f t="shared" si="203"/>
        <v>0</v>
      </c>
      <c r="CK59" s="3341">
        <f t="shared" si="203"/>
        <v>0</v>
      </c>
      <c r="CL59" s="2012">
        <f t="shared" si="204"/>
        <v>0</v>
      </c>
      <c r="CM59" s="4326">
        <f t="shared" si="169"/>
        <v>0</v>
      </c>
      <c r="CN59" s="4328"/>
      <c r="CP59" s="2012">
        <f t="shared" si="205"/>
        <v>0</v>
      </c>
      <c r="CQ59" s="2012">
        <f t="shared" si="205"/>
        <v>0</v>
      </c>
      <c r="CR59" s="4322"/>
    </row>
    <row r="60" spans="1:98" ht="13.8" outlineLevel="2">
      <c r="A60" s="1571"/>
      <c r="B60" s="4353" t="s">
        <v>65</v>
      </c>
      <c r="C60" s="3349"/>
      <c r="D60" s="3349"/>
      <c r="E60" s="3349">
        <f t="shared" si="170"/>
        <v>0</v>
      </c>
      <c r="F60" s="4326" t="e">
        <f t="shared" si="134"/>
        <v>#DIV/0!</v>
      </c>
      <c r="G60" s="4370"/>
      <c r="H60" s="3349"/>
      <c r="I60" s="3349"/>
      <c r="J60" s="3349">
        <f t="shared" si="171"/>
        <v>0</v>
      </c>
      <c r="K60" s="4326" t="e">
        <f t="shared" si="172"/>
        <v>#DIV/0!</v>
      </c>
      <c r="L60" s="4370"/>
      <c r="M60" s="3349"/>
      <c r="N60" s="3349"/>
      <c r="O60" s="3349">
        <f t="shared" si="173"/>
        <v>0</v>
      </c>
      <c r="P60" s="4326" t="e">
        <f t="shared" si="174"/>
        <v>#DIV/0!</v>
      </c>
      <c r="Q60" s="4370"/>
      <c r="R60" s="3342">
        <f t="shared" si="175"/>
        <v>0</v>
      </c>
      <c r="S60" s="3342">
        <f t="shared" si="175"/>
        <v>0</v>
      </c>
      <c r="T60" s="2012">
        <f t="shared" si="176"/>
        <v>0</v>
      </c>
      <c r="U60" s="3462"/>
      <c r="V60" s="3462"/>
      <c r="W60" s="3342">
        <f t="shared" si="177"/>
        <v>0</v>
      </c>
      <c r="X60" s="3342">
        <f t="shared" si="177"/>
        <v>0</v>
      </c>
      <c r="Y60" s="2012">
        <f t="shared" si="178"/>
        <v>0</v>
      </c>
      <c r="Z60" s="3462"/>
      <c r="AA60" s="3462"/>
      <c r="AB60" s="3349"/>
      <c r="AC60" s="3349"/>
      <c r="AD60" s="3349">
        <f t="shared" si="179"/>
        <v>0</v>
      </c>
      <c r="AE60" s="4326">
        <f t="shared" si="180"/>
        <v>0</v>
      </c>
      <c r="AF60" s="4371"/>
      <c r="AG60" s="3349"/>
      <c r="AH60" s="3349"/>
      <c r="AI60" s="3349">
        <f t="shared" si="181"/>
        <v>0</v>
      </c>
      <c r="AJ60" s="4326" t="e">
        <f t="shared" si="182"/>
        <v>#DIV/0!</v>
      </c>
      <c r="AK60" s="4370"/>
      <c r="AL60" s="3349"/>
      <c r="AM60" s="3349"/>
      <c r="AN60" s="3349">
        <f t="shared" si="183"/>
        <v>0</v>
      </c>
      <c r="AO60" s="4326">
        <f t="shared" si="184"/>
        <v>0</v>
      </c>
      <c r="AP60" s="4370"/>
      <c r="AQ60" s="3349"/>
      <c r="AR60" s="3349"/>
      <c r="AS60" s="3349">
        <f t="shared" si="185"/>
        <v>0</v>
      </c>
      <c r="AT60" s="4326" t="e">
        <f t="shared" si="186"/>
        <v>#DIV/0!</v>
      </c>
      <c r="AU60" s="4370"/>
      <c r="AV60" s="3349"/>
      <c r="AW60" s="3349"/>
      <c r="AX60" s="3349">
        <f t="shared" si="187"/>
        <v>0</v>
      </c>
      <c r="AY60" s="4326">
        <f t="shared" si="188"/>
        <v>0</v>
      </c>
      <c r="AZ60" s="4370"/>
      <c r="BA60" s="3349"/>
      <c r="BB60" s="3349"/>
      <c r="BC60" s="3349">
        <f t="shared" si="189"/>
        <v>0</v>
      </c>
      <c r="BD60" s="4326" t="e">
        <f t="shared" si="190"/>
        <v>#DIV/0!</v>
      </c>
      <c r="BE60" s="4370"/>
      <c r="BF60" s="3349"/>
      <c r="BG60" s="3349"/>
      <c r="BH60" s="3349">
        <f t="shared" si="191"/>
        <v>0</v>
      </c>
      <c r="BI60" s="4326" t="e">
        <f t="shared" si="192"/>
        <v>#DIV/0!</v>
      </c>
      <c r="BJ60" s="4370"/>
      <c r="BK60" s="3349"/>
      <c r="BL60" s="3349"/>
      <c r="BM60" s="3349">
        <f t="shared" si="193"/>
        <v>0</v>
      </c>
      <c r="BN60" s="4326" t="e">
        <f t="shared" si="194"/>
        <v>#DIV/0!</v>
      </c>
      <c r="BO60" s="4370"/>
      <c r="BP60" s="3349"/>
      <c r="BQ60" s="3349"/>
      <c r="BR60" s="3349">
        <f t="shared" si="195"/>
        <v>0</v>
      </c>
      <c r="BS60" s="4326" t="e">
        <f t="shared" si="196"/>
        <v>#DIV/0!</v>
      </c>
      <c r="BT60" s="4370"/>
      <c r="BU60" s="3349"/>
      <c r="BV60" s="3349"/>
      <c r="BW60" s="3349">
        <f t="shared" si="197"/>
        <v>0</v>
      </c>
      <c r="BX60" s="4326" t="e">
        <f t="shared" si="198"/>
        <v>#DIV/0!</v>
      </c>
      <c r="BY60" s="4370"/>
      <c r="BZ60" s="3349"/>
      <c r="CA60" s="3349"/>
      <c r="CB60" s="3349">
        <f t="shared" si="199"/>
        <v>0</v>
      </c>
      <c r="CC60" s="4326" t="e">
        <f t="shared" si="200"/>
        <v>#DIV/0!</v>
      </c>
      <c r="CD60" s="4370"/>
      <c r="CE60" s="3349"/>
      <c r="CF60" s="3349"/>
      <c r="CG60" s="3349">
        <f t="shared" si="201"/>
        <v>0</v>
      </c>
      <c r="CH60" s="4326" t="e">
        <f t="shared" si="202"/>
        <v>#DIV/0!</v>
      </c>
      <c r="CI60" s="4370"/>
      <c r="CJ60" s="3341">
        <f t="shared" si="203"/>
        <v>0</v>
      </c>
      <c r="CK60" s="3341">
        <f t="shared" si="203"/>
        <v>0</v>
      </c>
      <c r="CL60" s="2012">
        <f t="shared" si="204"/>
        <v>0</v>
      </c>
      <c r="CM60" s="4326">
        <f t="shared" si="169"/>
        <v>0</v>
      </c>
      <c r="CN60" s="4328"/>
      <c r="CP60" s="2012">
        <f t="shared" si="205"/>
        <v>0</v>
      </c>
      <c r="CQ60" s="2012">
        <f t="shared" si="205"/>
        <v>0</v>
      </c>
      <c r="CR60" s="4322"/>
    </row>
    <row r="61" spans="1:98" ht="13.8" outlineLevel="2">
      <c r="A61" s="1571"/>
      <c r="B61" s="4353" t="s">
        <v>32</v>
      </c>
      <c r="C61" s="3349"/>
      <c r="D61" s="3349"/>
      <c r="E61" s="3349">
        <f t="shared" si="170"/>
        <v>0</v>
      </c>
      <c r="F61" s="4326" t="e">
        <f t="shared" si="134"/>
        <v>#DIV/0!</v>
      </c>
      <c r="G61" s="4370"/>
      <c r="H61" s="3349"/>
      <c r="I61" s="3349"/>
      <c r="J61" s="3349">
        <f t="shared" si="171"/>
        <v>0</v>
      </c>
      <c r="K61" s="4326" t="e">
        <f t="shared" si="172"/>
        <v>#DIV/0!</v>
      </c>
      <c r="L61" s="4370"/>
      <c r="M61" s="3349"/>
      <c r="N61" s="3349"/>
      <c r="O61" s="3349">
        <f t="shared" si="173"/>
        <v>0</v>
      </c>
      <c r="P61" s="4326" t="e">
        <f t="shared" si="174"/>
        <v>#DIV/0!</v>
      </c>
      <c r="Q61" s="4370"/>
      <c r="R61" s="3342">
        <f t="shared" si="175"/>
        <v>0</v>
      </c>
      <c r="S61" s="3342">
        <f t="shared" si="175"/>
        <v>0</v>
      </c>
      <c r="T61" s="2012">
        <f t="shared" si="176"/>
        <v>0</v>
      </c>
      <c r="U61" s="3462"/>
      <c r="V61" s="3462"/>
      <c r="W61" s="3342">
        <f t="shared" si="177"/>
        <v>0</v>
      </c>
      <c r="X61" s="3342">
        <f t="shared" si="177"/>
        <v>0</v>
      </c>
      <c r="Y61" s="2012">
        <f t="shared" si="178"/>
        <v>0</v>
      </c>
      <c r="Z61" s="3462"/>
      <c r="AA61" s="3462"/>
      <c r="AB61" s="3349"/>
      <c r="AC61" s="3349"/>
      <c r="AD61" s="3349">
        <f t="shared" si="179"/>
        <v>0</v>
      </c>
      <c r="AE61" s="4326">
        <f t="shared" si="180"/>
        <v>0</v>
      </c>
      <c r="AF61" s="4371"/>
      <c r="AG61" s="3349"/>
      <c r="AH61" s="3349"/>
      <c r="AI61" s="3349">
        <f t="shared" si="181"/>
        <v>0</v>
      </c>
      <c r="AJ61" s="4326" t="e">
        <f t="shared" si="182"/>
        <v>#DIV/0!</v>
      </c>
      <c r="AK61" s="4370"/>
      <c r="AL61" s="3349"/>
      <c r="AM61" s="3349"/>
      <c r="AN61" s="3349">
        <f t="shared" si="183"/>
        <v>0</v>
      </c>
      <c r="AO61" s="4326">
        <f t="shared" si="184"/>
        <v>0</v>
      </c>
      <c r="AP61" s="4370"/>
      <c r="AQ61" s="3349"/>
      <c r="AR61" s="3349"/>
      <c r="AS61" s="3349">
        <f t="shared" si="185"/>
        <v>0</v>
      </c>
      <c r="AT61" s="4326" t="e">
        <f t="shared" si="186"/>
        <v>#DIV/0!</v>
      </c>
      <c r="AU61" s="4370"/>
      <c r="AV61" s="3349"/>
      <c r="AW61" s="3349"/>
      <c r="AX61" s="3349">
        <f t="shared" si="187"/>
        <v>0</v>
      </c>
      <c r="AY61" s="4326">
        <f t="shared" si="188"/>
        <v>0</v>
      </c>
      <c r="AZ61" s="4370"/>
      <c r="BA61" s="3349"/>
      <c r="BB61" s="3349"/>
      <c r="BC61" s="3349">
        <f t="shared" si="189"/>
        <v>0</v>
      </c>
      <c r="BD61" s="4326" t="e">
        <f t="shared" si="190"/>
        <v>#DIV/0!</v>
      </c>
      <c r="BE61" s="4370"/>
      <c r="BF61" s="3349"/>
      <c r="BG61" s="3349"/>
      <c r="BH61" s="3349">
        <f t="shared" si="191"/>
        <v>0</v>
      </c>
      <c r="BI61" s="4326" t="e">
        <f t="shared" si="192"/>
        <v>#DIV/0!</v>
      </c>
      <c r="BJ61" s="4370"/>
      <c r="BK61" s="3349"/>
      <c r="BL61" s="3349"/>
      <c r="BM61" s="3349">
        <f t="shared" si="193"/>
        <v>0</v>
      </c>
      <c r="BN61" s="4326" t="e">
        <f t="shared" si="194"/>
        <v>#DIV/0!</v>
      </c>
      <c r="BO61" s="4370"/>
      <c r="BP61" s="3349"/>
      <c r="BQ61" s="3349"/>
      <c r="BR61" s="3349">
        <f t="shared" si="195"/>
        <v>0</v>
      </c>
      <c r="BS61" s="4326" t="e">
        <f t="shared" si="196"/>
        <v>#DIV/0!</v>
      </c>
      <c r="BT61" s="4370"/>
      <c r="BU61" s="3349"/>
      <c r="BV61" s="3349"/>
      <c r="BW61" s="3349">
        <f t="shared" si="197"/>
        <v>0</v>
      </c>
      <c r="BX61" s="4326" t="e">
        <f t="shared" si="198"/>
        <v>#DIV/0!</v>
      </c>
      <c r="BY61" s="4370"/>
      <c r="BZ61" s="3349"/>
      <c r="CA61" s="3349"/>
      <c r="CB61" s="3349">
        <f t="shared" si="199"/>
        <v>0</v>
      </c>
      <c r="CC61" s="4326" t="e">
        <f t="shared" si="200"/>
        <v>#DIV/0!</v>
      </c>
      <c r="CD61" s="4370"/>
      <c r="CE61" s="3349"/>
      <c r="CF61" s="3349"/>
      <c r="CG61" s="3349">
        <f t="shared" si="201"/>
        <v>0</v>
      </c>
      <c r="CH61" s="4326" t="e">
        <f t="shared" si="202"/>
        <v>#DIV/0!</v>
      </c>
      <c r="CI61" s="4370"/>
      <c r="CJ61" s="3341">
        <f t="shared" si="203"/>
        <v>0</v>
      </c>
      <c r="CK61" s="3341">
        <f t="shared" si="203"/>
        <v>0</v>
      </c>
      <c r="CL61" s="2012">
        <f t="shared" si="204"/>
        <v>0</v>
      </c>
      <c r="CM61" s="4326">
        <f t="shared" si="169"/>
        <v>0</v>
      </c>
      <c r="CN61" s="4328"/>
      <c r="CP61" s="2012">
        <f t="shared" si="205"/>
        <v>0</v>
      </c>
      <c r="CQ61" s="2012">
        <f t="shared" si="205"/>
        <v>0</v>
      </c>
      <c r="CR61" s="4322"/>
    </row>
    <row r="62" spans="1:98" ht="13.8" outlineLevel="2">
      <c r="A62" s="1571"/>
      <c r="B62" s="4353" t="s">
        <v>33</v>
      </c>
      <c r="C62" s="3349"/>
      <c r="D62" s="3349"/>
      <c r="E62" s="3349">
        <f t="shared" si="170"/>
        <v>0</v>
      </c>
      <c r="F62" s="4326" t="e">
        <f t="shared" si="134"/>
        <v>#DIV/0!</v>
      </c>
      <c r="G62" s="4370"/>
      <c r="H62" s="3349"/>
      <c r="I62" s="3349"/>
      <c r="J62" s="3349">
        <f t="shared" si="171"/>
        <v>0</v>
      </c>
      <c r="K62" s="4326" t="e">
        <f t="shared" si="172"/>
        <v>#DIV/0!</v>
      </c>
      <c r="L62" s="4370"/>
      <c r="M62" s="3349"/>
      <c r="N62" s="3349"/>
      <c r="O62" s="3349">
        <f t="shared" si="173"/>
        <v>0</v>
      </c>
      <c r="P62" s="4326" t="e">
        <f t="shared" si="174"/>
        <v>#DIV/0!</v>
      </c>
      <c r="Q62" s="4370"/>
      <c r="R62" s="3342">
        <f t="shared" si="175"/>
        <v>0</v>
      </c>
      <c r="S62" s="3342">
        <f t="shared" si="175"/>
        <v>0</v>
      </c>
      <c r="T62" s="2012">
        <f t="shared" si="176"/>
        <v>0</v>
      </c>
      <c r="U62" s="3462"/>
      <c r="V62" s="3462"/>
      <c r="W62" s="3342">
        <f t="shared" si="177"/>
        <v>0</v>
      </c>
      <c r="X62" s="3342">
        <f t="shared" si="177"/>
        <v>0</v>
      </c>
      <c r="Y62" s="2012">
        <f t="shared" si="178"/>
        <v>0</v>
      </c>
      <c r="Z62" s="3462"/>
      <c r="AA62" s="3462"/>
      <c r="AB62" s="3349"/>
      <c r="AC62" s="3349"/>
      <c r="AD62" s="3349">
        <f t="shared" si="179"/>
        <v>0</v>
      </c>
      <c r="AE62" s="4326">
        <f t="shared" si="180"/>
        <v>0</v>
      </c>
      <c r="AF62" s="4371"/>
      <c r="AG62" s="3349"/>
      <c r="AH62" s="3349"/>
      <c r="AI62" s="3349">
        <f t="shared" si="181"/>
        <v>0</v>
      </c>
      <c r="AJ62" s="4326" t="e">
        <f t="shared" si="182"/>
        <v>#DIV/0!</v>
      </c>
      <c r="AK62" s="4370"/>
      <c r="AL62" s="3349"/>
      <c r="AM62" s="3349"/>
      <c r="AN62" s="3349">
        <f t="shared" si="183"/>
        <v>0</v>
      </c>
      <c r="AO62" s="4326">
        <f t="shared" si="184"/>
        <v>0</v>
      </c>
      <c r="AP62" s="4370"/>
      <c r="AQ62" s="3349"/>
      <c r="AR62" s="3349"/>
      <c r="AS62" s="3349">
        <f t="shared" si="185"/>
        <v>0</v>
      </c>
      <c r="AT62" s="4326" t="e">
        <f t="shared" si="186"/>
        <v>#DIV/0!</v>
      </c>
      <c r="AU62" s="4370"/>
      <c r="AV62" s="3349"/>
      <c r="AW62" s="3349"/>
      <c r="AX62" s="3349">
        <f t="shared" si="187"/>
        <v>0</v>
      </c>
      <c r="AY62" s="4326">
        <f t="shared" si="188"/>
        <v>0</v>
      </c>
      <c r="AZ62" s="4370"/>
      <c r="BA62" s="3349"/>
      <c r="BB62" s="3349"/>
      <c r="BC62" s="3349">
        <f t="shared" si="189"/>
        <v>0</v>
      </c>
      <c r="BD62" s="4326" t="e">
        <f t="shared" si="190"/>
        <v>#DIV/0!</v>
      </c>
      <c r="BE62" s="4370"/>
      <c r="BF62" s="3349"/>
      <c r="BG62" s="3349"/>
      <c r="BH62" s="3349">
        <f t="shared" si="191"/>
        <v>0</v>
      </c>
      <c r="BI62" s="4326" t="e">
        <f t="shared" si="192"/>
        <v>#DIV/0!</v>
      </c>
      <c r="BJ62" s="4370"/>
      <c r="BK62" s="3349"/>
      <c r="BL62" s="3349"/>
      <c r="BM62" s="3349">
        <f t="shared" si="193"/>
        <v>0</v>
      </c>
      <c r="BN62" s="4326" t="e">
        <f t="shared" si="194"/>
        <v>#DIV/0!</v>
      </c>
      <c r="BO62" s="4370"/>
      <c r="BP62" s="3349"/>
      <c r="BQ62" s="3349"/>
      <c r="BR62" s="3349">
        <f t="shared" si="195"/>
        <v>0</v>
      </c>
      <c r="BS62" s="4326" t="e">
        <f t="shared" si="196"/>
        <v>#DIV/0!</v>
      </c>
      <c r="BT62" s="4370"/>
      <c r="BU62" s="3349"/>
      <c r="BV62" s="3349"/>
      <c r="BW62" s="3349">
        <f t="shared" si="197"/>
        <v>0</v>
      </c>
      <c r="BX62" s="4326" t="e">
        <f t="shared" si="198"/>
        <v>#DIV/0!</v>
      </c>
      <c r="BY62" s="4370"/>
      <c r="BZ62" s="3349"/>
      <c r="CA62" s="3349"/>
      <c r="CB62" s="3349">
        <f t="shared" si="199"/>
        <v>0</v>
      </c>
      <c r="CC62" s="4326" t="e">
        <f t="shared" si="200"/>
        <v>#DIV/0!</v>
      </c>
      <c r="CD62" s="4370"/>
      <c r="CE62" s="3349"/>
      <c r="CF62" s="3349"/>
      <c r="CG62" s="3349">
        <f t="shared" si="201"/>
        <v>0</v>
      </c>
      <c r="CH62" s="4326" t="e">
        <f t="shared" si="202"/>
        <v>#DIV/0!</v>
      </c>
      <c r="CI62" s="4370"/>
      <c r="CJ62" s="3341">
        <f t="shared" si="203"/>
        <v>0</v>
      </c>
      <c r="CK62" s="3341">
        <f t="shared" si="203"/>
        <v>0</v>
      </c>
      <c r="CL62" s="2012">
        <f t="shared" si="204"/>
        <v>0</v>
      </c>
      <c r="CM62" s="4326">
        <f t="shared" si="169"/>
        <v>0</v>
      </c>
      <c r="CN62" s="4328"/>
      <c r="CP62" s="2012">
        <f t="shared" si="205"/>
        <v>0</v>
      </c>
      <c r="CQ62" s="2012">
        <f t="shared" si="205"/>
        <v>0</v>
      </c>
      <c r="CR62" s="4322"/>
    </row>
    <row r="63" spans="1:98" ht="13.8" outlineLevel="2">
      <c r="A63" s="1571"/>
      <c r="B63" s="4353" t="s">
        <v>35</v>
      </c>
      <c r="C63" s="3349"/>
      <c r="D63" s="3349"/>
      <c r="E63" s="3349">
        <f t="shared" si="170"/>
        <v>0</v>
      </c>
      <c r="F63" s="4326" t="e">
        <f t="shared" si="134"/>
        <v>#DIV/0!</v>
      </c>
      <c r="G63" s="4370"/>
      <c r="H63" s="3349"/>
      <c r="I63" s="3349"/>
      <c r="J63" s="3349">
        <f t="shared" si="171"/>
        <v>0</v>
      </c>
      <c r="K63" s="4326" t="e">
        <f t="shared" si="172"/>
        <v>#DIV/0!</v>
      </c>
      <c r="L63" s="4370"/>
      <c r="M63" s="3349"/>
      <c r="N63" s="3349"/>
      <c r="O63" s="3349">
        <f t="shared" si="173"/>
        <v>0</v>
      </c>
      <c r="P63" s="4326" t="e">
        <f t="shared" si="174"/>
        <v>#DIV/0!</v>
      </c>
      <c r="Q63" s="4370"/>
      <c r="R63" s="3342">
        <f t="shared" si="175"/>
        <v>0</v>
      </c>
      <c r="S63" s="3342">
        <f t="shared" si="175"/>
        <v>0</v>
      </c>
      <c r="T63" s="2012">
        <f t="shared" si="176"/>
        <v>0</v>
      </c>
      <c r="U63" s="3462"/>
      <c r="V63" s="3462"/>
      <c r="W63" s="3342">
        <f t="shared" si="177"/>
        <v>0</v>
      </c>
      <c r="X63" s="3342">
        <f t="shared" si="177"/>
        <v>0</v>
      </c>
      <c r="Y63" s="2012">
        <f t="shared" si="178"/>
        <v>0</v>
      </c>
      <c r="Z63" s="3462"/>
      <c r="AA63" s="3462"/>
      <c r="AB63" s="3349"/>
      <c r="AC63" s="3349"/>
      <c r="AD63" s="3349">
        <f t="shared" si="179"/>
        <v>0</v>
      </c>
      <c r="AE63" s="4326">
        <f t="shared" si="180"/>
        <v>0</v>
      </c>
      <c r="AF63" s="4371"/>
      <c r="AG63" s="3349"/>
      <c r="AH63" s="3349"/>
      <c r="AI63" s="3349">
        <f t="shared" si="181"/>
        <v>0</v>
      </c>
      <c r="AJ63" s="4326" t="e">
        <f t="shared" si="182"/>
        <v>#DIV/0!</v>
      </c>
      <c r="AK63" s="4370"/>
      <c r="AL63" s="3349"/>
      <c r="AM63" s="3349"/>
      <c r="AN63" s="3349">
        <f t="shared" si="183"/>
        <v>0</v>
      </c>
      <c r="AO63" s="4326">
        <f t="shared" si="184"/>
        <v>0</v>
      </c>
      <c r="AP63" s="4370"/>
      <c r="AQ63" s="3349"/>
      <c r="AR63" s="3349"/>
      <c r="AS63" s="3349">
        <f t="shared" si="185"/>
        <v>0</v>
      </c>
      <c r="AT63" s="4326" t="e">
        <f t="shared" si="186"/>
        <v>#DIV/0!</v>
      </c>
      <c r="AU63" s="4370"/>
      <c r="AV63" s="3349"/>
      <c r="AW63" s="3349"/>
      <c r="AX63" s="3349">
        <f t="shared" si="187"/>
        <v>0</v>
      </c>
      <c r="AY63" s="4326">
        <f t="shared" si="188"/>
        <v>0</v>
      </c>
      <c r="AZ63" s="4370"/>
      <c r="BA63" s="3349"/>
      <c r="BB63" s="3349"/>
      <c r="BC63" s="3349">
        <f t="shared" si="189"/>
        <v>0</v>
      </c>
      <c r="BD63" s="4326" t="e">
        <f t="shared" si="190"/>
        <v>#DIV/0!</v>
      </c>
      <c r="BE63" s="4370"/>
      <c r="BF63" s="3349"/>
      <c r="BG63" s="3349"/>
      <c r="BH63" s="3349">
        <f t="shared" si="191"/>
        <v>0</v>
      </c>
      <c r="BI63" s="4326" t="e">
        <f t="shared" si="192"/>
        <v>#DIV/0!</v>
      </c>
      <c r="BJ63" s="4370"/>
      <c r="BK63" s="3349"/>
      <c r="BL63" s="3349"/>
      <c r="BM63" s="3349">
        <f t="shared" si="193"/>
        <v>0</v>
      </c>
      <c r="BN63" s="4326" t="e">
        <f t="shared" si="194"/>
        <v>#DIV/0!</v>
      </c>
      <c r="BO63" s="4370"/>
      <c r="BP63" s="3349"/>
      <c r="BQ63" s="3349"/>
      <c r="BR63" s="3349">
        <f t="shared" si="195"/>
        <v>0</v>
      </c>
      <c r="BS63" s="4326" t="e">
        <f t="shared" si="196"/>
        <v>#DIV/0!</v>
      </c>
      <c r="BT63" s="4370"/>
      <c r="BU63" s="3349"/>
      <c r="BV63" s="3349"/>
      <c r="BW63" s="3349">
        <f t="shared" si="197"/>
        <v>0</v>
      </c>
      <c r="BX63" s="4326" t="e">
        <f t="shared" si="198"/>
        <v>#DIV/0!</v>
      </c>
      <c r="BY63" s="4370"/>
      <c r="BZ63" s="3349"/>
      <c r="CA63" s="3349"/>
      <c r="CB63" s="3349">
        <f t="shared" si="199"/>
        <v>0</v>
      </c>
      <c r="CC63" s="4326" t="e">
        <f t="shared" si="200"/>
        <v>#DIV/0!</v>
      </c>
      <c r="CD63" s="4370"/>
      <c r="CE63" s="3349"/>
      <c r="CF63" s="3349"/>
      <c r="CG63" s="3349">
        <f t="shared" si="201"/>
        <v>0</v>
      </c>
      <c r="CH63" s="4326" t="e">
        <f t="shared" si="202"/>
        <v>#DIV/0!</v>
      </c>
      <c r="CI63" s="4370"/>
      <c r="CJ63" s="3341">
        <f t="shared" si="203"/>
        <v>0</v>
      </c>
      <c r="CK63" s="3341">
        <f t="shared" si="203"/>
        <v>0</v>
      </c>
      <c r="CL63" s="2012">
        <f t="shared" si="204"/>
        <v>0</v>
      </c>
      <c r="CM63" s="4326">
        <f t="shared" si="169"/>
        <v>0</v>
      </c>
      <c r="CN63" s="4328"/>
      <c r="CP63" s="2012">
        <f t="shared" si="205"/>
        <v>0</v>
      </c>
      <c r="CQ63" s="2012">
        <f t="shared" si="205"/>
        <v>0</v>
      </c>
      <c r="CR63" s="4322"/>
    </row>
    <row r="64" spans="1:98" ht="13.8" outlineLevel="2">
      <c r="A64" s="1571"/>
      <c r="B64" s="4353" t="s">
        <v>63</v>
      </c>
      <c r="C64" s="3349"/>
      <c r="D64" s="3349"/>
      <c r="E64" s="3349">
        <f t="shared" si="170"/>
        <v>0</v>
      </c>
      <c r="F64" s="4326" t="e">
        <f t="shared" si="134"/>
        <v>#DIV/0!</v>
      </c>
      <c r="G64" s="4370"/>
      <c r="H64" s="3349"/>
      <c r="I64" s="3349"/>
      <c r="J64" s="3349">
        <f t="shared" si="171"/>
        <v>0</v>
      </c>
      <c r="K64" s="4326" t="e">
        <f t="shared" si="172"/>
        <v>#DIV/0!</v>
      </c>
      <c r="L64" s="4370"/>
      <c r="M64" s="3349"/>
      <c r="N64" s="3349"/>
      <c r="O64" s="3349">
        <f t="shared" si="173"/>
        <v>0</v>
      </c>
      <c r="P64" s="4326" t="e">
        <f t="shared" si="174"/>
        <v>#DIV/0!</v>
      </c>
      <c r="Q64" s="4370"/>
      <c r="R64" s="3342">
        <f t="shared" si="175"/>
        <v>0</v>
      </c>
      <c r="S64" s="3342">
        <f t="shared" si="175"/>
        <v>0</v>
      </c>
      <c r="T64" s="2012">
        <f t="shared" si="176"/>
        <v>0</v>
      </c>
      <c r="U64" s="3462"/>
      <c r="V64" s="3462"/>
      <c r="W64" s="3342">
        <f t="shared" si="177"/>
        <v>0</v>
      </c>
      <c r="X64" s="3342">
        <f t="shared" si="177"/>
        <v>0</v>
      </c>
      <c r="Y64" s="2012">
        <f t="shared" si="178"/>
        <v>0</v>
      </c>
      <c r="Z64" s="3462"/>
      <c r="AA64" s="3462"/>
      <c r="AB64" s="3349"/>
      <c r="AC64" s="3349"/>
      <c r="AD64" s="3349">
        <f t="shared" si="179"/>
        <v>0</v>
      </c>
      <c r="AE64" s="4326">
        <f t="shared" si="180"/>
        <v>0</v>
      </c>
      <c r="AF64" s="4371"/>
      <c r="AG64" s="3349"/>
      <c r="AH64" s="3349"/>
      <c r="AI64" s="3349">
        <f t="shared" si="181"/>
        <v>0</v>
      </c>
      <c r="AJ64" s="4326" t="e">
        <f t="shared" si="182"/>
        <v>#DIV/0!</v>
      </c>
      <c r="AK64" s="4370"/>
      <c r="AL64" s="3349"/>
      <c r="AM64" s="3349"/>
      <c r="AN64" s="3349">
        <f t="shared" si="183"/>
        <v>0</v>
      </c>
      <c r="AO64" s="4326">
        <f t="shared" si="184"/>
        <v>0</v>
      </c>
      <c r="AP64" s="4370"/>
      <c r="AQ64" s="3349"/>
      <c r="AR64" s="3349"/>
      <c r="AS64" s="3349">
        <f t="shared" si="185"/>
        <v>0</v>
      </c>
      <c r="AT64" s="4326" t="e">
        <f t="shared" si="186"/>
        <v>#DIV/0!</v>
      </c>
      <c r="AU64" s="4370"/>
      <c r="AV64" s="3349"/>
      <c r="AW64" s="3349"/>
      <c r="AX64" s="3349">
        <f t="shared" si="187"/>
        <v>0</v>
      </c>
      <c r="AY64" s="4326">
        <f t="shared" si="188"/>
        <v>0</v>
      </c>
      <c r="AZ64" s="4370"/>
      <c r="BA64" s="3349"/>
      <c r="BB64" s="3349"/>
      <c r="BC64" s="3349">
        <f t="shared" si="189"/>
        <v>0</v>
      </c>
      <c r="BD64" s="4326" t="e">
        <f t="shared" si="190"/>
        <v>#DIV/0!</v>
      </c>
      <c r="BE64" s="4370"/>
      <c r="BF64" s="3349"/>
      <c r="BG64" s="3349"/>
      <c r="BH64" s="3349">
        <f t="shared" si="191"/>
        <v>0</v>
      </c>
      <c r="BI64" s="4326" t="e">
        <f t="shared" si="192"/>
        <v>#DIV/0!</v>
      </c>
      <c r="BJ64" s="4370"/>
      <c r="BK64" s="3349"/>
      <c r="BL64" s="3349"/>
      <c r="BM64" s="3349">
        <f t="shared" si="193"/>
        <v>0</v>
      </c>
      <c r="BN64" s="4326" t="e">
        <f t="shared" si="194"/>
        <v>#DIV/0!</v>
      </c>
      <c r="BO64" s="4370"/>
      <c r="BP64" s="3349"/>
      <c r="BQ64" s="3349"/>
      <c r="BR64" s="3349">
        <f t="shared" si="195"/>
        <v>0</v>
      </c>
      <c r="BS64" s="4326" t="e">
        <f t="shared" si="196"/>
        <v>#DIV/0!</v>
      </c>
      <c r="BT64" s="4370"/>
      <c r="BU64" s="3349"/>
      <c r="BV64" s="3349"/>
      <c r="BW64" s="3349">
        <f t="shared" si="197"/>
        <v>0</v>
      </c>
      <c r="BX64" s="4326" t="e">
        <f t="shared" si="198"/>
        <v>#DIV/0!</v>
      </c>
      <c r="BY64" s="4370"/>
      <c r="BZ64" s="3349"/>
      <c r="CA64" s="3349"/>
      <c r="CB64" s="3349">
        <f t="shared" si="199"/>
        <v>0</v>
      </c>
      <c r="CC64" s="4326" t="e">
        <f t="shared" si="200"/>
        <v>#DIV/0!</v>
      </c>
      <c r="CD64" s="4370"/>
      <c r="CE64" s="3349"/>
      <c r="CF64" s="3349"/>
      <c r="CG64" s="3349">
        <f t="shared" si="201"/>
        <v>0</v>
      </c>
      <c r="CH64" s="4326" t="e">
        <f t="shared" si="202"/>
        <v>#DIV/0!</v>
      </c>
      <c r="CI64" s="4370"/>
      <c r="CJ64" s="3341">
        <f t="shared" si="203"/>
        <v>0</v>
      </c>
      <c r="CK64" s="3341">
        <f t="shared" si="203"/>
        <v>0</v>
      </c>
      <c r="CL64" s="2012">
        <f t="shared" si="204"/>
        <v>0</v>
      </c>
      <c r="CM64" s="4326">
        <f t="shared" si="169"/>
        <v>0</v>
      </c>
      <c r="CN64" s="4328"/>
      <c r="CP64" s="2012">
        <f t="shared" si="205"/>
        <v>0</v>
      </c>
      <c r="CQ64" s="2012">
        <f t="shared" si="205"/>
        <v>0</v>
      </c>
      <c r="CR64" s="4322"/>
    </row>
    <row r="65" spans="1:99" ht="13.8" outlineLevel="2">
      <c r="A65" s="1571"/>
      <c r="B65" s="4353" t="s">
        <v>36</v>
      </c>
      <c r="C65" s="3341"/>
      <c r="D65" s="3341"/>
      <c r="E65" s="3349">
        <f t="shared" si="170"/>
        <v>0</v>
      </c>
      <c r="F65" s="4326" t="e">
        <f t="shared" si="134"/>
        <v>#DIV/0!</v>
      </c>
      <c r="G65" s="4370"/>
      <c r="H65" s="3341"/>
      <c r="I65" s="3341"/>
      <c r="J65" s="3349">
        <f t="shared" si="171"/>
        <v>0</v>
      </c>
      <c r="K65" s="4326" t="e">
        <f t="shared" si="172"/>
        <v>#DIV/0!</v>
      </c>
      <c r="L65" s="4370"/>
      <c r="M65" s="3341"/>
      <c r="N65" s="3341"/>
      <c r="O65" s="3349">
        <f t="shared" si="173"/>
        <v>0</v>
      </c>
      <c r="P65" s="4326" t="e">
        <f t="shared" si="174"/>
        <v>#DIV/0!</v>
      </c>
      <c r="Q65" s="4370"/>
      <c r="R65" s="3342">
        <f t="shared" si="175"/>
        <v>0</v>
      </c>
      <c r="S65" s="3342">
        <f t="shared" si="175"/>
        <v>0</v>
      </c>
      <c r="T65" s="2012">
        <f t="shared" si="176"/>
        <v>0</v>
      </c>
      <c r="U65" s="3462"/>
      <c r="V65" s="3462"/>
      <c r="W65" s="3342">
        <f t="shared" si="177"/>
        <v>0</v>
      </c>
      <c r="X65" s="3342">
        <f t="shared" si="177"/>
        <v>0</v>
      </c>
      <c r="Y65" s="2012">
        <f t="shared" si="178"/>
        <v>0</v>
      </c>
      <c r="Z65" s="3462"/>
      <c r="AA65" s="3462"/>
      <c r="AB65" s="3341"/>
      <c r="AC65" s="3341"/>
      <c r="AD65" s="3349">
        <f t="shared" si="179"/>
        <v>0</v>
      </c>
      <c r="AE65" s="4326">
        <f t="shared" si="180"/>
        <v>0</v>
      </c>
      <c r="AF65" s="4371"/>
      <c r="AG65" s="3341"/>
      <c r="AH65" s="3341"/>
      <c r="AI65" s="3349">
        <f t="shared" si="181"/>
        <v>0</v>
      </c>
      <c r="AJ65" s="4326" t="e">
        <f t="shared" si="182"/>
        <v>#DIV/0!</v>
      </c>
      <c r="AK65" s="4370"/>
      <c r="AL65" s="3341"/>
      <c r="AM65" s="3341"/>
      <c r="AN65" s="3349">
        <f t="shared" si="183"/>
        <v>0</v>
      </c>
      <c r="AO65" s="4326">
        <f t="shared" si="184"/>
        <v>0</v>
      </c>
      <c r="AP65" s="4370"/>
      <c r="AQ65" s="3341"/>
      <c r="AR65" s="3341"/>
      <c r="AS65" s="3349">
        <f t="shared" si="185"/>
        <v>0</v>
      </c>
      <c r="AT65" s="4326" t="e">
        <f t="shared" si="186"/>
        <v>#DIV/0!</v>
      </c>
      <c r="AU65" s="4370"/>
      <c r="AV65" s="3341"/>
      <c r="AW65" s="3341"/>
      <c r="AX65" s="3349">
        <f t="shared" si="187"/>
        <v>0</v>
      </c>
      <c r="AY65" s="4326">
        <f t="shared" si="188"/>
        <v>0</v>
      </c>
      <c r="AZ65" s="4370"/>
      <c r="BA65" s="3341"/>
      <c r="BB65" s="3341"/>
      <c r="BC65" s="3349">
        <f t="shared" si="189"/>
        <v>0</v>
      </c>
      <c r="BD65" s="4326" t="e">
        <f t="shared" si="190"/>
        <v>#DIV/0!</v>
      </c>
      <c r="BE65" s="4370"/>
      <c r="BF65" s="3341"/>
      <c r="BG65" s="3341"/>
      <c r="BH65" s="3349">
        <f t="shared" si="191"/>
        <v>0</v>
      </c>
      <c r="BI65" s="4326" t="e">
        <f t="shared" si="192"/>
        <v>#DIV/0!</v>
      </c>
      <c r="BJ65" s="4370"/>
      <c r="BK65" s="3341"/>
      <c r="BL65" s="3341"/>
      <c r="BM65" s="3349">
        <f t="shared" si="193"/>
        <v>0</v>
      </c>
      <c r="BN65" s="4326" t="e">
        <f t="shared" si="194"/>
        <v>#DIV/0!</v>
      </c>
      <c r="BO65" s="4370"/>
      <c r="BP65" s="3341"/>
      <c r="BQ65" s="3341"/>
      <c r="BR65" s="3349">
        <f t="shared" si="195"/>
        <v>0</v>
      </c>
      <c r="BS65" s="4326" t="e">
        <f t="shared" si="196"/>
        <v>#DIV/0!</v>
      </c>
      <c r="BT65" s="4370"/>
      <c r="BU65" s="3341"/>
      <c r="BV65" s="3341"/>
      <c r="BW65" s="3349">
        <f t="shared" si="197"/>
        <v>0</v>
      </c>
      <c r="BX65" s="4326" t="e">
        <f t="shared" si="198"/>
        <v>#DIV/0!</v>
      </c>
      <c r="BY65" s="4370"/>
      <c r="BZ65" s="3341"/>
      <c r="CA65" s="3341"/>
      <c r="CB65" s="3349">
        <f t="shared" si="199"/>
        <v>0</v>
      </c>
      <c r="CC65" s="4326" t="e">
        <f t="shared" si="200"/>
        <v>#DIV/0!</v>
      </c>
      <c r="CD65" s="4370"/>
      <c r="CE65" s="3341"/>
      <c r="CF65" s="3341"/>
      <c r="CG65" s="3349">
        <f t="shared" si="201"/>
        <v>0</v>
      </c>
      <c r="CH65" s="4326" t="e">
        <f t="shared" si="202"/>
        <v>#DIV/0!</v>
      </c>
      <c r="CI65" s="4370"/>
      <c r="CJ65" s="3341">
        <f t="shared" si="203"/>
        <v>0</v>
      </c>
      <c r="CK65" s="3341">
        <f t="shared" si="203"/>
        <v>0</v>
      </c>
      <c r="CL65" s="2012">
        <f t="shared" si="204"/>
        <v>0</v>
      </c>
      <c r="CM65" s="4326">
        <f t="shared" si="169"/>
        <v>0</v>
      </c>
      <c r="CN65" s="4328"/>
      <c r="CP65" s="2012">
        <f t="shared" si="205"/>
        <v>0</v>
      </c>
      <c r="CQ65" s="2012">
        <f t="shared" si="205"/>
        <v>0</v>
      </c>
      <c r="CR65" s="4322"/>
    </row>
    <row r="66" spans="1:99" s="1396" customFormat="1" ht="13.8" outlineLevel="2">
      <c r="A66" s="1571"/>
      <c r="B66" s="4353" t="s">
        <v>37</v>
      </c>
      <c r="C66" s="3341"/>
      <c r="D66" s="3341"/>
      <c r="E66" s="3349">
        <f t="shared" si="170"/>
        <v>0</v>
      </c>
      <c r="F66" s="4326" t="e">
        <f t="shared" si="134"/>
        <v>#DIV/0!</v>
      </c>
      <c r="G66" s="4370"/>
      <c r="H66" s="3341"/>
      <c r="I66" s="3341"/>
      <c r="J66" s="3349">
        <f t="shared" si="171"/>
        <v>0</v>
      </c>
      <c r="K66" s="4326" t="e">
        <f t="shared" si="172"/>
        <v>#DIV/0!</v>
      </c>
      <c r="L66" s="4370"/>
      <c r="M66" s="3341"/>
      <c r="N66" s="3341"/>
      <c r="O66" s="3349">
        <f t="shared" si="173"/>
        <v>0</v>
      </c>
      <c r="P66" s="4326" t="e">
        <f t="shared" si="174"/>
        <v>#DIV/0!</v>
      </c>
      <c r="Q66" s="4370"/>
      <c r="R66" s="3342">
        <f t="shared" si="175"/>
        <v>0</v>
      </c>
      <c r="S66" s="3342">
        <f t="shared" si="175"/>
        <v>0</v>
      </c>
      <c r="T66" s="2012">
        <f t="shared" si="176"/>
        <v>0</v>
      </c>
      <c r="U66" s="3462"/>
      <c r="V66" s="3462"/>
      <c r="W66" s="3342">
        <f t="shared" si="177"/>
        <v>0</v>
      </c>
      <c r="X66" s="3342">
        <f t="shared" si="177"/>
        <v>0</v>
      </c>
      <c r="Y66" s="2012">
        <f t="shared" si="178"/>
        <v>0</v>
      </c>
      <c r="Z66" s="3462"/>
      <c r="AA66" s="3462"/>
      <c r="AB66" s="3341"/>
      <c r="AC66" s="3341"/>
      <c r="AD66" s="3349">
        <f t="shared" si="179"/>
        <v>0</v>
      </c>
      <c r="AE66" s="4326">
        <f t="shared" si="180"/>
        <v>0</v>
      </c>
      <c r="AF66" s="4371"/>
      <c r="AG66" s="3341"/>
      <c r="AH66" s="3341"/>
      <c r="AI66" s="3349">
        <f t="shared" si="181"/>
        <v>0</v>
      </c>
      <c r="AJ66" s="4326" t="e">
        <f t="shared" si="182"/>
        <v>#DIV/0!</v>
      </c>
      <c r="AK66" s="4370"/>
      <c r="AL66" s="3341"/>
      <c r="AM66" s="3341"/>
      <c r="AN66" s="3349">
        <f t="shared" si="183"/>
        <v>0</v>
      </c>
      <c r="AO66" s="4326">
        <f t="shared" si="184"/>
        <v>0</v>
      </c>
      <c r="AP66" s="4370"/>
      <c r="AQ66" s="3341"/>
      <c r="AR66" s="3341"/>
      <c r="AS66" s="3349">
        <f t="shared" si="185"/>
        <v>0</v>
      </c>
      <c r="AT66" s="4326" t="e">
        <f t="shared" si="186"/>
        <v>#DIV/0!</v>
      </c>
      <c r="AU66" s="4370"/>
      <c r="AV66" s="3341"/>
      <c r="AW66" s="3341"/>
      <c r="AX66" s="3349">
        <f t="shared" si="187"/>
        <v>0</v>
      </c>
      <c r="AY66" s="4326">
        <f t="shared" si="188"/>
        <v>0</v>
      </c>
      <c r="AZ66" s="4370"/>
      <c r="BA66" s="3341"/>
      <c r="BB66" s="3341"/>
      <c r="BC66" s="3349">
        <f t="shared" si="189"/>
        <v>0</v>
      </c>
      <c r="BD66" s="4326" t="e">
        <f t="shared" si="190"/>
        <v>#DIV/0!</v>
      </c>
      <c r="BE66" s="4370"/>
      <c r="BF66" s="3341"/>
      <c r="BG66" s="3341"/>
      <c r="BH66" s="3349">
        <f t="shared" si="191"/>
        <v>0</v>
      </c>
      <c r="BI66" s="4326" t="e">
        <f t="shared" si="192"/>
        <v>#DIV/0!</v>
      </c>
      <c r="BJ66" s="4370"/>
      <c r="BK66" s="3341"/>
      <c r="BL66" s="3341"/>
      <c r="BM66" s="3349">
        <f t="shared" si="193"/>
        <v>0</v>
      </c>
      <c r="BN66" s="4326" t="e">
        <f t="shared" si="194"/>
        <v>#DIV/0!</v>
      </c>
      <c r="BO66" s="4370"/>
      <c r="BP66" s="3341"/>
      <c r="BQ66" s="3341"/>
      <c r="BR66" s="3349">
        <f t="shared" si="195"/>
        <v>0</v>
      </c>
      <c r="BS66" s="4326" t="e">
        <f t="shared" si="196"/>
        <v>#DIV/0!</v>
      </c>
      <c r="BT66" s="4370"/>
      <c r="BU66" s="3341"/>
      <c r="BV66" s="3341"/>
      <c r="BW66" s="3349">
        <f t="shared" si="197"/>
        <v>0</v>
      </c>
      <c r="BX66" s="4326" t="e">
        <f t="shared" si="198"/>
        <v>#DIV/0!</v>
      </c>
      <c r="BY66" s="4370"/>
      <c r="BZ66" s="3341"/>
      <c r="CA66" s="3341"/>
      <c r="CB66" s="3349">
        <f t="shared" si="199"/>
        <v>0</v>
      </c>
      <c r="CC66" s="4326" t="e">
        <f t="shared" si="200"/>
        <v>#DIV/0!</v>
      </c>
      <c r="CD66" s="4370"/>
      <c r="CE66" s="3341"/>
      <c r="CF66" s="3341"/>
      <c r="CG66" s="3349">
        <f t="shared" si="201"/>
        <v>0</v>
      </c>
      <c r="CH66" s="4326" t="e">
        <f t="shared" si="202"/>
        <v>#DIV/0!</v>
      </c>
      <c r="CI66" s="4370"/>
      <c r="CJ66" s="3341">
        <f t="shared" si="203"/>
        <v>0</v>
      </c>
      <c r="CK66" s="3341">
        <f t="shared" si="203"/>
        <v>0</v>
      </c>
      <c r="CL66" s="2012">
        <f t="shared" si="204"/>
        <v>0</v>
      </c>
      <c r="CM66" s="4326">
        <f t="shared" si="169"/>
        <v>0</v>
      </c>
      <c r="CN66" s="4328"/>
      <c r="CP66" s="2012">
        <f t="shared" si="205"/>
        <v>0</v>
      </c>
      <c r="CQ66" s="2012">
        <f t="shared" si="205"/>
        <v>0</v>
      </c>
      <c r="CR66" s="4322"/>
      <c r="CT66" s="3443"/>
    </row>
    <row r="67" spans="1:99" s="1396" customFormat="1" ht="13.8" outlineLevel="2">
      <c r="A67" s="1571"/>
      <c r="B67" s="4353" t="s">
        <v>3</v>
      </c>
      <c r="C67" s="3341"/>
      <c r="D67" s="3341"/>
      <c r="E67" s="3349">
        <f t="shared" si="170"/>
        <v>0</v>
      </c>
      <c r="F67" s="4326" t="e">
        <f t="shared" si="134"/>
        <v>#DIV/0!</v>
      </c>
      <c r="G67" s="4370"/>
      <c r="H67" s="3341"/>
      <c r="I67" s="3341"/>
      <c r="J67" s="3349">
        <f t="shared" si="171"/>
        <v>0</v>
      </c>
      <c r="K67" s="4326" t="e">
        <f t="shared" si="172"/>
        <v>#DIV/0!</v>
      </c>
      <c r="L67" s="4370"/>
      <c r="M67" s="3341"/>
      <c r="N67" s="3341"/>
      <c r="O67" s="3349">
        <f t="shared" si="173"/>
        <v>0</v>
      </c>
      <c r="P67" s="4326" t="e">
        <f t="shared" si="174"/>
        <v>#DIV/0!</v>
      </c>
      <c r="Q67" s="4370"/>
      <c r="R67" s="3342">
        <f t="shared" si="175"/>
        <v>0</v>
      </c>
      <c r="S67" s="3342">
        <f t="shared" si="175"/>
        <v>0</v>
      </c>
      <c r="T67" s="2012">
        <f t="shared" si="176"/>
        <v>0</v>
      </c>
      <c r="U67" s="3462"/>
      <c r="V67" s="3462"/>
      <c r="W67" s="3342">
        <f t="shared" si="177"/>
        <v>0</v>
      </c>
      <c r="X67" s="3342">
        <f t="shared" si="177"/>
        <v>0</v>
      </c>
      <c r="Y67" s="2012">
        <f t="shared" si="178"/>
        <v>0</v>
      </c>
      <c r="Z67" s="3462"/>
      <c r="AA67" s="3462"/>
      <c r="AB67" s="3341"/>
      <c r="AC67" s="3341"/>
      <c r="AD67" s="3349">
        <f t="shared" si="179"/>
        <v>0</v>
      </c>
      <c r="AE67" s="4326">
        <f t="shared" si="180"/>
        <v>0</v>
      </c>
      <c r="AF67" s="4371"/>
      <c r="AG67" s="3341"/>
      <c r="AH67" s="3341"/>
      <c r="AI67" s="3349">
        <f t="shared" si="181"/>
        <v>0</v>
      </c>
      <c r="AJ67" s="4326" t="e">
        <f t="shared" si="182"/>
        <v>#DIV/0!</v>
      </c>
      <c r="AK67" s="4370"/>
      <c r="AL67" s="3341"/>
      <c r="AM67" s="3341"/>
      <c r="AN67" s="3349">
        <f t="shared" si="183"/>
        <v>0</v>
      </c>
      <c r="AO67" s="4326">
        <f t="shared" si="184"/>
        <v>0</v>
      </c>
      <c r="AP67" s="4370"/>
      <c r="AQ67" s="3341"/>
      <c r="AR67" s="3341"/>
      <c r="AS67" s="3349">
        <f t="shared" si="185"/>
        <v>0</v>
      </c>
      <c r="AT67" s="4326" t="e">
        <f t="shared" si="186"/>
        <v>#DIV/0!</v>
      </c>
      <c r="AU67" s="4370"/>
      <c r="AV67" s="3341"/>
      <c r="AW67" s="3341"/>
      <c r="AX67" s="3349">
        <f t="shared" si="187"/>
        <v>0</v>
      </c>
      <c r="AY67" s="4326">
        <f t="shared" si="188"/>
        <v>0</v>
      </c>
      <c r="AZ67" s="4370"/>
      <c r="BA67" s="3341"/>
      <c r="BB67" s="3341"/>
      <c r="BC67" s="3349">
        <f t="shared" si="189"/>
        <v>0</v>
      </c>
      <c r="BD67" s="4326" t="e">
        <f t="shared" si="190"/>
        <v>#DIV/0!</v>
      </c>
      <c r="BE67" s="4370"/>
      <c r="BF67" s="3341"/>
      <c r="BG67" s="3341"/>
      <c r="BH67" s="3349">
        <f t="shared" si="191"/>
        <v>0</v>
      </c>
      <c r="BI67" s="4326" t="e">
        <f t="shared" si="192"/>
        <v>#DIV/0!</v>
      </c>
      <c r="BJ67" s="4370"/>
      <c r="BK67" s="3341"/>
      <c r="BL67" s="3341"/>
      <c r="BM67" s="3349">
        <f t="shared" si="193"/>
        <v>0</v>
      </c>
      <c r="BN67" s="4326" t="e">
        <f t="shared" si="194"/>
        <v>#DIV/0!</v>
      </c>
      <c r="BO67" s="4370"/>
      <c r="BP67" s="3341"/>
      <c r="BQ67" s="3341"/>
      <c r="BR67" s="3349">
        <f t="shared" si="195"/>
        <v>0</v>
      </c>
      <c r="BS67" s="4326" t="e">
        <f t="shared" si="196"/>
        <v>#DIV/0!</v>
      </c>
      <c r="BT67" s="4370"/>
      <c r="BU67" s="3341"/>
      <c r="BV67" s="3341"/>
      <c r="BW67" s="3349">
        <f t="shared" si="197"/>
        <v>0</v>
      </c>
      <c r="BX67" s="4326" t="e">
        <f t="shared" si="198"/>
        <v>#DIV/0!</v>
      </c>
      <c r="BY67" s="4370"/>
      <c r="BZ67" s="3341"/>
      <c r="CA67" s="3341"/>
      <c r="CB67" s="3349">
        <f t="shared" si="199"/>
        <v>0</v>
      </c>
      <c r="CC67" s="4326" t="e">
        <f t="shared" si="200"/>
        <v>#DIV/0!</v>
      </c>
      <c r="CD67" s="4370"/>
      <c r="CE67" s="3341"/>
      <c r="CF67" s="3341"/>
      <c r="CG67" s="3349">
        <f t="shared" si="201"/>
        <v>0</v>
      </c>
      <c r="CH67" s="4326" t="e">
        <f t="shared" si="202"/>
        <v>#DIV/0!</v>
      </c>
      <c r="CI67" s="4370"/>
      <c r="CJ67" s="3341">
        <f t="shared" si="203"/>
        <v>0</v>
      </c>
      <c r="CK67" s="3341">
        <f t="shared" si="203"/>
        <v>0</v>
      </c>
      <c r="CL67" s="2012">
        <f t="shared" si="204"/>
        <v>0</v>
      </c>
      <c r="CM67" s="4326">
        <f t="shared" si="169"/>
        <v>0</v>
      </c>
      <c r="CN67" s="4328"/>
      <c r="CP67" s="2012">
        <f t="shared" si="205"/>
        <v>0</v>
      </c>
      <c r="CQ67" s="2012">
        <f t="shared" si="205"/>
        <v>0</v>
      </c>
      <c r="CR67" s="4322"/>
      <c r="CT67" s="3443"/>
    </row>
    <row r="68" spans="1:99" s="1396" customFormat="1" ht="13.8" outlineLevel="2">
      <c r="A68" s="1571"/>
      <c r="B68" s="4353" t="s">
        <v>5</v>
      </c>
      <c r="C68" s="3341"/>
      <c r="D68" s="3341"/>
      <c r="E68" s="3349">
        <f t="shared" si="170"/>
        <v>0</v>
      </c>
      <c r="F68" s="4326" t="e">
        <f t="shared" si="134"/>
        <v>#DIV/0!</v>
      </c>
      <c r="G68" s="3341"/>
      <c r="H68" s="3341"/>
      <c r="I68" s="3341"/>
      <c r="J68" s="3349">
        <f t="shared" si="171"/>
        <v>0</v>
      </c>
      <c r="K68" s="4326" t="e">
        <f t="shared" si="172"/>
        <v>#DIV/0!</v>
      </c>
      <c r="L68" s="3341"/>
      <c r="M68" s="3341"/>
      <c r="N68" s="3341"/>
      <c r="O68" s="3349">
        <f t="shared" si="173"/>
        <v>0</v>
      </c>
      <c r="P68" s="4326" t="e">
        <f t="shared" si="174"/>
        <v>#DIV/0!</v>
      </c>
      <c r="Q68" s="3341"/>
      <c r="R68" s="3342">
        <f t="shared" si="175"/>
        <v>0</v>
      </c>
      <c r="S68" s="3342">
        <f t="shared" si="175"/>
        <v>0</v>
      </c>
      <c r="T68" s="2012">
        <f t="shared" si="176"/>
        <v>0</v>
      </c>
      <c r="U68" s="3341"/>
      <c r="V68" s="3341"/>
      <c r="W68" s="3342">
        <f t="shared" si="177"/>
        <v>0</v>
      </c>
      <c r="X68" s="3342">
        <f t="shared" si="177"/>
        <v>0</v>
      </c>
      <c r="Y68" s="2012">
        <f t="shared" si="178"/>
        <v>0</v>
      </c>
      <c r="Z68" s="3341"/>
      <c r="AA68" s="3341"/>
      <c r="AB68" s="3341"/>
      <c r="AC68" s="3341"/>
      <c r="AD68" s="3349">
        <f t="shared" si="179"/>
        <v>0</v>
      </c>
      <c r="AE68" s="4326">
        <f t="shared" si="180"/>
        <v>0</v>
      </c>
      <c r="AF68" s="3719"/>
      <c r="AG68" s="3341"/>
      <c r="AH68" s="3341"/>
      <c r="AI68" s="3349">
        <f t="shared" si="181"/>
        <v>0</v>
      </c>
      <c r="AJ68" s="4326" t="e">
        <f t="shared" si="182"/>
        <v>#DIV/0!</v>
      </c>
      <c r="AK68" s="3341"/>
      <c r="AL68" s="3341"/>
      <c r="AM68" s="3341"/>
      <c r="AN68" s="3349">
        <f t="shared" si="183"/>
        <v>0</v>
      </c>
      <c r="AO68" s="4326">
        <f t="shared" si="184"/>
        <v>0</v>
      </c>
      <c r="AP68" s="3341"/>
      <c r="AQ68" s="3341"/>
      <c r="AR68" s="3341"/>
      <c r="AS68" s="3349">
        <f t="shared" si="185"/>
        <v>0</v>
      </c>
      <c r="AT68" s="4326" t="e">
        <f t="shared" si="186"/>
        <v>#DIV/0!</v>
      </c>
      <c r="AU68" s="3341"/>
      <c r="AV68" s="3341"/>
      <c r="AW68" s="3341"/>
      <c r="AX68" s="3349">
        <f t="shared" si="187"/>
        <v>0</v>
      </c>
      <c r="AY68" s="4326">
        <f t="shared" si="188"/>
        <v>0</v>
      </c>
      <c r="AZ68" s="3341"/>
      <c r="BA68" s="3341"/>
      <c r="BB68" s="3341"/>
      <c r="BC68" s="3349">
        <f t="shared" si="189"/>
        <v>0</v>
      </c>
      <c r="BD68" s="4326" t="e">
        <f t="shared" si="190"/>
        <v>#DIV/0!</v>
      </c>
      <c r="BE68" s="3341"/>
      <c r="BF68" s="3341"/>
      <c r="BG68" s="3341"/>
      <c r="BH68" s="3349">
        <f t="shared" si="191"/>
        <v>0</v>
      </c>
      <c r="BI68" s="4326" t="e">
        <f t="shared" si="192"/>
        <v>#DIV/0!</v>
      </c>
      <c r="BJ68" s="3341"/>
      <c r="BK68" s="3341"/>
      <c r="BL68" s="3341"/>
      <c r="BM68" s="3349">
        <f t="shared" si="193"/>
        <v>0</v>
      </c>
      <c r="BN68" s="4326" t="e">
        <f t="shared" si="194"/>
        <v>#DIV/0!</v>
      </c>
      <c r="BO68" s="3341"/>
      <c r="BP68" s="3341"/>
      <c r="BQ68" s="3341"/>
      <c r="BR68" s="3349">
        <f t="shared" si="195"/>
        <v>0</v>
      </c>
      <c r="BS68" s="4326" t="e">
        <f t="shared" si="196"/>
        <v>#DIV/0!</v>
      </c>
      <c r="BT68" s="3341"/>
      <c r="BU68" s="3341"/>
      <c r="BV68" s="3341"/>
      <c r="BW68" s="3349">
        <f t="shared" si="197"/>
        <v>0</v>
      </c>
      <c r="BX68" s="4326" t="e">
        <f t="shared" si="198"/>
        <v>#DIV/0!</v>
      </c>
      <c r="BY68" s="3341"/>
      <c r="BZ68" s="3341"/>
      <c r="CA68" s="3341"/>
      <c r="CB68" s="3349">
        <f t="shared" si="199"/>
        <v>0</v>
      </c>
      <c r="CC68" s="4326" t="e">
        <f t="shared" si="200"/>
        <v>#DIV/0!</v>
      </c>
      <c r="CD68" s="3341"/>
      <c r="CE68" s="3341"/>
      <c r="CF68" s="3341"/>
      <c r="CG68" s="3349">
        <f t="shared" si="201"/>
        <v>0</v>
      </c>
      <c r="CH68" s="4326" t="e">
        <f t="shared" si="202"/>
        <v>#DIV/0!</v>
      </c>
      <c r="CI68" s="3341"/>
      <c r="CJ68" s="3341">
        <f t="shared" si="203"/>
        <v>0</v>
      </c>
      <c r="CK68" s="3341">
        <f t="shared" si="203"/>
        <v>0</v>
      </c>
      <c r="CL68" s="2012">
        <f t="shared" si="204"/>
        <v>0</v>
      </c>
      <c r="CM68" s="4326">
        <f t="shared" si="169"/>
        <v>0</v>
      </c>
      <c r="CN68" s="4328"/>
      <c r="CP68" s="2012">
        <f t="shared" si="205"/>
        <v>0</v>
      </c>
      <c r="CQ68" s="2012">
        <f t="shared" si="205"/>
        <v>0</v>
      </c>
      <c r="CR68" s="4322"/>
      <c r="CT68" s="3443"/>
    </row>
    <row r="69" spans="1:99" s="1396" customFormat="1" ht="13.8" outlineLevel="2">
      <c r="A69" s="1571"/>
      <c r="B69" s="4353" t="s">
        <v>42</v>
      </c>
      <c r="C69" s="3341"/>
      <c r="D69" s="3341"/>
      <c r="E69" s="3349">
        <f t="shared" si="170"/>
        <v>0</v>
      </c>
      <c r="F69" s="4326" t="e">
        <f t="shared" si="134"/>
        <v>#DIV/0!</v>
      </c>
      <c r="G69" s="4370"/>
      <c r="H69" s="3341"/>
      <c r="I69" s="3341"/>
      <c r="J69" s="3349">
        <f t="shared" si="171"/>
        <v>0</v>
      </c>
      <c r="K69" s="4326" t="e">
        <f t="shared" si="172"/>
        <v>#DIV/0!</v>
      </c>
      <c r="L69" s="4370"/>
      <c r="M69" s="3341"/>
      <c r="N69" s="3341"/>
      <c r="O69" s="3349">
        <f t="shared" si="173"/>
        <v>0</v>
      </c>
      <c r="P69" s="4326" t="e">
        <f t="shared" si="174"/>
        <v>#DIV/0!</v>
      </c>
      <c r="Q69" s="4370"/>
      <c r="R69" s="3342">
        <f t="shared" si="175"/>
        <v>0</v>
      </c>
      <c r="S69" s="3342">
        <f t="shared" si="175"/>
        <v>0</v>
      </c>
      <c r="T69" s="2012">
        <f t="shared" si="176"/>
        <v>0</v>
      </c>
      <c r="U69" s="3462"/>
      <c r="V69" s="3462"/>
      <c r="W69" s="3342">
        <f t="shared" si="177"/>
        <v>0</v>
      </c>
      <c r="X69" s="3342">
        <f t="shared" si="177"/>
        <v>0</v>
      </c>
      <c r="Y69" s="2012">
        <f t="shared" si="178"/>
        <v>0</v>
      </c>
      <c r="Z69" s="3462"/>
      <c r="AA69" s="3462"/>
      <c r="AB69" s="3341"/>
      <c r="AC69" s="3341"/>
      <c r="AD69" s="3349">
        <f t="shared" si="179"/>
        <v>0</v>
      </c>
      <c r="AE69" s="4326">
        <f t="shared" si="180"/>
        <v>0</v>
      </c>
      <c r="AF69" s="4371"/>
      <c r="AG69" s="3341"/>
      <c r="AH69" s="3341"/>
      <c r="AI69" s="3349">
        <f t="shared" si="181"/>
        <v>0</v>
      </c>
      <c r="AJ69" s="4326" t="e">
        <f t="shared" si="182"/>
        <v>#DIV/0!</v>
      </c>
      <c r="AK69" s="4370"/>
      <c r="AL69" s="3341"/>
      <c r="AM69" s="3341"/>
      <c r="AN69" s="3349">
        <f t="shared" si="183"/>
        <v>0</v>
      </c>
      <c r="AO69" s="4326">
        <f t="shared" si="184"/>
        <v>0</v>
      </c>
      <c r="AP69" s="4370"/>
      <c r="AQ69" s="3341"/>
      <c r="AR69" s="3341"/>
      <c r="AS69" s="3349">
        <f t="shared" si="185"/>
        <v>0</v>
      </c>
      <c r="AT69" s="4326" t="e">
        <f t="shared" si="186"/>
        <v>#DIV/0!</v>
      </c>
      <c r="AU69" s="4370"/>
      <c r="AV69" s="3341"/>
      <c r="AW69" s="3341"/>
      <c r="AX69" s="3349">
        <f t="shared" si="187"/>
        <v>0</v>
      </c>
      <c r="AY69" s="4326">
        <f t="shared" si="188"/>
        <v>0</v>
      </c>
      <c r="AZ69" s="4370"/>
      <c r="BA69" s="3341"/>
      <c r="BB69" s="3341"/>
      <c r="BC69" s="3349">
        <f t="shared" si="189"/>
        <v>0</v>
      </c>
      <c r="BD69" s="4326" t="e">
        <f t="shared" si="190"/>
        <v>#DIV/0!</v>
      </c>
      <c r="BE69" s="4370"/>
      <c r="BF69" s="3341"/>
      <c r="BG69" s="3341"/>
      <c r="BH69" s="3349">
        <f t="shared" si="191"/>
        <v>0</v>
      </c>
      <c r="BI69" s="4326" t="e">
        <f t="shared" si="192"/>
        <v>#DIV/0!</v>
      </c>
      <c r="BJ69" s="4370"/>
      <c r="BK69" s="3341"/>
      <c r="BL69" s="3341"/>
      <c r="BM69" s="3349">
        <f t="shared" si="193"/>
        <v>0</v>
      </c>
      <c r="BN69" s="4326" t="e">
        <f t="shared" si="194"/>
        <v>#DIV/0!</v>
      </c>
      <c r="BO69" s="4370"/>
      <c r="BP69" s="3341"/>
      <c r="BQ69" s="3341"/>
      <c r="BR69" s="3349">
        <f t="shared" si="195"/>
        <v>0</v>
      </c>
      <c r="BS69" s="4326" t="e">
        <f t="shared" si="196"/>
        <v>#DIV/0!</v>
      </c>
      <c r="BT69" s="4370"/>
      <c r="BU69" s="3341"/>
      <c r="BV69" s="3341"/>
      <c r="BW69" s="3349">
        <f t="shared" si="197"/>
        <v>0</v>
      </c>
      <c r="BX69" s="4326" t="e">
        <f t="shared" si="198"/>
        <v>#DIV/0!</v>
      </c>
      <c r="BY69" s="4370"/>
      <c r="BZ69" s="3341"/>
      <c r="CA69" s="3341"/>
      <c r="CB69" s="3349">
        <f t="shared" si="199"/>
        <v>0</v>
      </c>
      <c r="CC69" s="4326" t="e">
        <f t="shared" si="200"/>
        <v>#DIV/0!</v>
      </c>
      <c r="CD69" s="4370"/>
      <c r="CE69" s="3341"/>
      <c r="CF69" s="3341"/>
      <c r="CG69" s="3349">
        <f t="shared" si="201"/>
        <v>0</v>
      </c>
      <c r="CH69" s="4326" t="e">
        <f t="shared" si="202"/>
        <v>#DIV/0!</v>
      </c>
      <c r="CI69" s="4370"/>
      <c r="CJ69" s="3341">
        <f t="shared" si="203"/>
        <v>0</v>
      </c>
      <c r="CK69" s="3341">
        <f t="shared" si="203"/>
        <v>0</v>
      </c>
      <c r="CL69" s="2012">
        <f t="shared" si="204"/>
        <v>0</v>
      </c>
      <c r="CM69" s="4326">
        <f t="shared" si="169"/>
        <v>0</v>
      </c>
      <c r="CN69" s="4328"/>
      <c r="CP69" s="2012">
        <f t="shared" si="205"/>
        <v>0</v>
      </c>
      <c r="CQ69" s="2012">
        <f t="shared" si="205"/>
        <v>0</v>
      </c>
      <c r="CR69" s="4322"/>
      <c r="CT69" s="3443"/>
    </row>
    <row r="70" spans="1:99" s="1396" customFormat="1" ht="13.8" outlineLevel="2">
      <c r="A70" s="1571"/>
      <c r="B70" s="4353" t="s">
        <v>6</v>
      </c>
      <c r="C70" s="3341"/>
      <c r="D70" s="3341"/>
      <c r="E70" s="3349">
        <f t="shared" si="170"/>
        <v>0</v>
      </c>
      <c r="F70" s="4326" t="e">
        <f t="shared" si="134"/>
        <v>#DIV/0!</v>
      </c>
      <c r="G70" s="4370"/>
      <c r="H70" s="3341"/>
      <c r="I70" s="3341"/>
      <c r="J70" s="3349">
        <f t="shared" si="171"/>
        <v>0</v>
      </c>
      <c r="K70" s="4326" t="e">
        <f t="shared" si="172"/>
        <v>#DIV/0!</v>
      </c>
      <c r="L70" s="4370"/>
      <c r="M70" s="3341"/>
      <c r="N70" s="3341"/>
      <c r="O70" s="3349">
        <f t="shared" si="173"/>
        <v>0</v>
      </c>
      <c r="P70" s="4326" t="e">
        <f t="shared" si="174"/>
        <v>#DIV/0!</v>
      </c>
      <c r="Q70" s="4370"/>
      <c r="R70" s="3342">
        <f t="shared" si="175"/>
        <v>0</v>
      </c>
      <c r="S70" s="3342">
        <f t="shared" si="175"/>
        <v>0</v>
      </c>
      <c r="T70" s="2012">
        <f t="shared" si="176"/>
        <v>0</v>
      </c>
      <c r="U70" s="3462"/>
      <c r="V70" s="3462"/>
      <c r="W70" s="3342">
        <f t="shared" si="177"/>
        <v>0</v>
      </c>
      <c r="X70" s="3342">
        <f t="shared" si="177"/>
        <v>0</v>
      </c>
      <c r="Y70" s="2012">
        <f t="shared" si="178"/>
        <v>0</v>
      </c>
      <c r="Z70" s="3462"/>
      <c r="AA70" s="3462"/>
      <c r="AB70" s="3341"/>
      <c r="AC70" s="3341"/>
      <c r="AD70" s="3349">
        <f t="shared" si="179"/>
        <v>0</v>
      </c>
      <c r="AE70" s="4326">
        <f t="shared" si="180"/>
        <v>0</v>
      </c>
      <c r="AF70" s="4371"/>
      <c r="AG70" s="3341"/>
      <c r="AH70" s="3341"/>
      <c r="AI70" s="3349">
        <f t="shared" si="181"/>
        <v>0</v>
      </c>
      <c r="AJ70" s="4326" t="e">
        <f t="shared" si="182"/>
        <v>#DIV/0!</v>
      </c>
      <c r="AK70" s="4370"/>
      <c r="AL70" s="3341"/>
      <c r="AM70" s="3341"/>
      <c r="AN70" s="3349">
        <f t="shared" si="183"/>
        <v>0</v>
      </c>
      <c r="AO70" s="4326">
        <f t="shared" si="184"/>
        <v>0</v>
      </c>
      <c r="AP70" s="4370"/>
      <c r="AQ70" s="3341"/>
      <c r="AR70" s="3341"/>
      <c r="AS70" s="3349">
        <f t="shared" si="185"/>
        <v>0</v>
      </c>
      <c r="AT70" s="4326" t="e">
        <f t="shared" si="186"/>
        <v>#DIV/0!</v>
      </c>
      <c r="AU70" s="4370"/>
      <c r="AV70" s="3341"/>
      <c r="AW70" s="3341"/>
      <c r="AX70" s="3349">
        <f t="shared" si="187"/>
        <v>0</v>
      </c>
      <c r="AY70" s="4326">
        <f t="shared" si="188"/>
        <v>0</v>
      </c>
      <c r="AZ70" s="4370"/>
      <c r="BA70" s="3341"/>
      <c r="BB70" s="3341"/>
      <c r="BC70" s="3349">
        <f t="shared" si="189"/>
        <v>0</v>
      </c>
      <c r="BD70" s="4326" t="e">
        <f t="shared" si="190"/>
        <v>#DIV/0!</v>
      </c>
      <c r="BE70" s="4370"/>
      <c r="BF70" s="3341"/>
      <c r="BG70" s="3341"/>
      <c r="BH70" s="3349">
        <f t="shared" si="191"/>
        <v>0</v>
      </c>
      <c r="BI70" s="4326" t="e">
        <f t="shared" si="192"/>
        <v>#DIV/0!</v>
      </c>
      <c r="BJ70" s="4370"/>
      <c r="BK70" s="3341"/>
      <c r="BL70" s="3341"/>
      <c r="BM70" s="3349">
        <f t="shared" si="193"/>
        <v>0</v>
      </c>
      <c r="BN70" s="4326" t="e">
        <f t="shared" si="194"/>
        <v>#DIV/0!</v>
      </c>
      <c r="BO70" s="4370"/>
      <c r="BP70" s="3341"/>
      <c r="BQ70" s="3341"/>
      <c r="BR70" s="3349">
        <f t="shared" si="195"/>
        <v>0</v>
      </c>
      <c r="BS70" s="4326" t="e">
        <f t="shared" si="196"/>
        <v>#DIV/0!</v>
      </c>
      <c r="BT70" s="4370"/>
      <c r="BU70" s="3341"/>
      <c r="BV70" s="3341"/>
      <c r="BW70" s="3349">
        <f t="shared" si="197"/>
        <v>0</v>
      </c>
      <c r="BX70" s="4326" t="e">
        <f t="shared" si="198"/>
        <v>#DIV/0!</v>
      </c>
      <c r="BY70" s="4370"/>
      <c r="BZ70" s="3341"/>
      <c r="CA70" s="3341"/>
      <c r="CB70" s="3349">
        <f t="shared" si="199"/>
        <v>0</v>
      </c>
      <c r="CC70" s="4326" t="e">
        <f t="shared" si="200"/>
        <v>#DIV/0!</v>
      </c>
      <c r="CD70" s="4370"/>
      <c r="CE70" s="3341"/>
      <c r="CF70" s="3341"/>
      <c r="CG70" s="3349">
        <f t="shared" si="201"/>
        <v>0</v>
      </c>
      <c r="CH70" s="4326" t="e">
        <f t="shared" si="202"/>
        <v>#DIV/0!</v>
      </c>
      <c r="CI70" s="4370"/>
      <c r="CJ70" s="3341">
        <f t="shared" si="203"/>
        <v>0</v>
      </c>
      <c r="CK70" s="3341">
        <f t="shared" si="203"/>
        <v>0</v>
      </c>
      <c r="CL70" s="2012">
        <f t="shared" si="204"/>
        <v>0</v>
      </c>
      <c r="CM70" s="4326">
        <f t="shared" si="169"/>
        <v>0</v>
      </c>
      <c r="CN70" s="4328"/>
      <c r="CP70" s="2012">
        <f t="shared" si="205"/>
        <v>0</v>
      </c>
      <c r="CQ70" s="2012">
        <f t="shared" si="205"/>
        <v>0</v>
      </c>
      <c r="CR70" s="4322"/>
      <c r="CT70" s="3443"/>
    </row>
    <row r="71" spans="1:99" s="1396" customFormat="1" ht="13.8" outlineLevel="2">
      <c r="A71" s="1571"/>
      <c r="B71" s="4353" t="s">
        <v>78</v>
      </c>
      <c r="C71" s="3341"/>
      <c r="D71" s="3341"/>
      <c r="E71" s="3349">
        <f t="shared" si="170"/>
        <v>0</v>
      </c>
      <c r="F71" s="4326" t="e">
        <f t="shared" si="134"/>
        <v>#DIV/0!</v>
      </c>
      <c r="G71" s="4370"/>
      <c r="H71" s="3341"/>
      <c r="I71" s="3341"/>
      <c r="J71" s="3349">
        <f t="shared" si="171"/>
        <v>0</v>
      </c>
      <c r="K71" s="4326" t="e">
        <f t="shared" si="172"/>
        <v>#DIV/0!</v>
      </c>
      <c r="L71" s="4370"/>
      <c r="M71" s="3341"/>
      <c r="N71" s="3341"/>
      <c r="O71" s="3349">
        <f t="shared" si="173"/>
        <v>0</v>
      </c>
      <c r="P71" s="4326" t="e">
        <f t="shared" si="174"/>
        <v>#DIV/0!</v>
      </c>
      <c r="Q71" s="4370"/>
      <c r="R71" s="3342">
        <f t="shared" si="175"/>
        <v>0</v>
      </c>
      <c r="S71" s="3342">
        <f t="shared" si="175"/>
        <v>0</v>
      </c>
      <c r="T71" s="2012">
        <f t="shared" si="176"/>
        <v>0</v>
      </c>
      <c r="U71" s="3462"/>
      <c r="V71" s="3462"/>
      <c r="W71" s="3342">
        <f t="shared" si="177"/>
        <v>0</v>
      </c>
      <c r="X71" s="3342">
        <f t="shared" si="177"/>
        <v>0</v>
      </c>
      <c r="Y71" s="2012">
        <f t="shared" si="178"/>
        <v>0</v>
      </c>
      <c r="Z71" s="3462"/>
      <c r="AA71" s="3462"/>
      <c r="AB71" s="3341"/>
      <c r="AC71" s="3341"/>
      <c r="AD71" s="3349">
        <f t="shared" si="179"/>
        <v>0</v>
      </c>
      <c r="AE71" s="4326">
        <f t="shared" si="180"/>
        <v>0</v>
      </c>
      <c r="AF71" s="4371"/>
      <c r="AG71" s="3341"/>
      <c r="AH71" s="3341"/>
      <c r="AI71" s="3349">
        <f t="shared" si="181"/>
        <v>0</v>
      </c>
      <c r="AJ71" s="4326" t="e">
        <f t="shared" si="182"/>
        <v>#DIV/0!</v>
      </c>
      <c r="AK71" s="4370"/>
      <c r="AL71" s="3341"/>
      <c r="AM71" s="3341"/>
      <c r="AN71" s="3349">
        <f t="shared" si="183"/>
        <v>0</v>
      </c>
      <c r="AO71" s="4326">
        <f t="shared" si="184"/>
        <v>0</v>
      </c>
      <c r="AP71" s="4370"/>
      <c r="AQ71" s="3341"/>
      <c r="AR71" s="3341"/>
      <c r="AS71" s="3349">
        <f t="shared" si="185"/>
        <v>0</v>
      </c>
      <c r="AT71" s="4326" t="e">
        <f t="shared" si="186"/>
        <v>#DIV/0!</v>
      </c>
      <c r="AU71" s="4370"/>
      <c r="AV71" s="3341"/>
      <c r="AW71" s="3341"/>
      <c r="AX71" s="3349">
        <f t="shared" si="187"/>
        <v>0</v>
      </c>
      <c r="AY71" s="4326">
        <f t="shared" si="188"/>
        <v>0</v>
      </c>
      <c r="AZ71" s="4370"/>
      <c r="BA71" s="3341"/>
      <c r="BB71" s="3341"/>
      <c r="BC71" s="3349">
        <f t="shared" si="189"/>
        <v>0</v>
      </c>
      <c r="BD71" s="4326" t="e">
        <f t="shared" si="190"/>
        <v>#DIV/0!</v>
      </c>
      <c r="BE71" s="4370"/>
      <c r="BF71" s="3341"/>
      <c r="BG71" s="3341"/>
      <c r="BH71" s="3349">
        <f t="shared" si="191"/>
        <v>0</v>
      </c>
      <c r="BI71" s="4326" t="e">
        <f t="shared" si="192"/>
        <v>#DIV/0!</v>
      </c>
      <c r="BJ71" s="4370"/>
      <c r="BK71" s="3341"/>
      <c r="BL71" s="3341"/>
      <c r="BM71" s="3349">
        <f t="shared" si="193"/>
        <v>0</v>
      </c>
      <c r="BN71" s="4326" t="e">
        <f t="shared" si="194"/>
        <v>#DIV/0!</v>
      </c>
      <c r="BO71" s="4370"/>
      <c r="BP71" s="3341"/>
      <c r="BQ71" s="3341"/>
      <c r="BR71" s="3349">
        <f t="shared" si="195"/>
        <v>0</v>
      </c>
      <c r="BS71" s="4326" t="e">
        <f t="shared" si="196"/>
        <v>#DIV/0!</v>
      </c>
      <c r="BT71" s="4370"/>
      <c r="BU71" s="3341"/>
      <c r="BV71" s="3341"/>
      <c r="BW71" s="3349">
        <f t="shared" si="197"/>
        <v>0</v>
      </c>
      <c r="BX71" s="4326" t="e">
        <f t="shared" si="198"/>
        <v>#DIV/0!</v>
      </c>
      <c r="BY71" s="4370"/>
      <c r="BZ71" s="3341"/>
      <c r="CA71" s="3341"/>
      <c r="CB71" s="3349">
        <f t="shared" si="199"/>
        <v>0</v>
      </c>
      <c r="CC71" s="4326" t="e">
        <f t="shared" si="200"/>
        <v>#DIV/0!</v>
      </c>
      <c r="CD71" s="4370"/>
      <c r="CE71" s="3341"/>
      <c r="CF71" s="3341"/>
      <c r="CG71" s="3349">
        <f t="shared" si="201"/>
        <v>0</v>
      </c>
      <c r="CH71" s="4326" t="e">
        <f t="shared" si="202"/>
        <v>#DIV/0!</v>
      </c>
      <c r="CI71" s="4370"/>
      <c r="CJ71" s="3341">
        <f t="shared" si="203"/>
        <v>0</v>
      </c>
      <c r="CK71" s="3341">
        <f t="shared" si="203"/>
        <v>0</v>
      </c>
      <c r="CL71" s="2012">
        <f t="shared" si="204"/>
        <v>0</v>
      </c>
      <c r="CM71" s="4326">
        <f t="shared" si="169"/>
        <v>0</v>
      </c>
      <c r="CN71" s="4328"/>
      <c r="CP71" s="2012">
        <f t="shared" si="205"/>
        <v>0</v>
      </c>
      <c r="CQ71" s="2012">
        <f t="shared" si="205"/>
        <v>0</v>
      </c>
      <c r="CR71" s="4322"/>
      <c r="CT71" s="3443"/>
    </row>
    <row r="72" spans="1:99" s="1396" customFormat="1" ht="13.8" outlineLevel="2">
      <c r="A72" s="1571"/>
      <c r="B72" s="4383"/>
      <c r="C72" s="4333"/>
      <c r="D72" s="4333"/>
      <c r="E72" s="4374"/>
      <c r="F72" s="4326"/>
      <c r="G72" s="4370"/>
      <c r="H72" s="4333"/>
      <c r="I72" s="4333"/>
      <c r="J72" s="4374"/>
      <c r="K72" s="4326" t="e">
        <f t="shared" si="172"/>
        <v>#DIV/0!</v>
      </c>
      <c r="L72" s="4370"/>
      <c r="M72" s="4333"/>
      <c r="N72" s="4333"/>
      <c r="O72" s="4374"/>
      <c r="P72" s="4326" t="e">
        <f t="shared" si="174"/>
        <v>#DIV/0!</v>
      </c>
      <c r="Q72" s="4370"/>
      <c r="R72" s="4370"/>
      <c r="S72" s="4370"/>
      <c r="T72" s="4370"/>
      <c r="U72" s="4370"/>
      <c r="V72" s="4370"/>
      <c r="W72" s="4370"/>
      <c r="X72" s="4370"/>
      <c r="Y72" s="4370"/>
      <c r="Z72" s="4370"/>
      <c r="AA72" s="4370"/>
      <c r="AB72" s="4333"/>
      <c r="AC72" s="4333"/>
      <c r="AD72" s="4374"/>
      <c r="AE72" s="4326"/>
      <c r="AF72" s="4371"/>
      <c r="AG72" s="4333"/>
      <c r="AH72" s="4333"/>
      <c r="AI72" s="4374"/>
      <c r="AJ72" s="4326"/>
      <c r="AK72" s="4370"/>
      <c r="AL72" s="4333"/>
      <c r="AM72" s="4333"/>
      <c r="AN72" s="4374"/>
      <c r="AO72" s="4326"/>
      <c r="AP72" s="4370"/>
      <c r="AQ72" s="4333"/>
      <c r="AR72" s="4333"/>
      <c r="AS72" s="4374"/>
      <c r="AT72" s="4326"/>
      <c r="AU72" s="4370"/>
      <c r="AV72" s="4333"/>
      <c r="AW72" s="4333"/>
      <c r="AX72" s="4374"/>
      <c r="AY72" s="4326"/>
      <c r="AZ72" s="4370"/>
      <c r="BA72" s="4333"/>
      <c r="BB72" s="4333"/>
      <c r="BC72" s="4374"/>
      <c r="BD72" s="4326"/>
      <c r="BE72" s="4370"/>
      <c r="BF72" s="4333"/>
      <c r="BG72" s="4333"/>
      <c r="BH72" s="4374"/>
      <c r="BI72" s="4326"/>
      <c r="BJ72" s="4370"/>
      <c r="BK72" s="4333"/>
      <c r="BL72" s="4333"/>
      <c r="BM72" s="4374"/>
      <c r="BN72" s="4326"/>
      <c r="BO72" s="4370"/>
      <c r="BP72" s="4333"/>
      <c r="BQ72" s="4333"/>
      <c r="BR72" s="4374"/>
      <c r="BS72" s="4326"/>
      <c r="BT72" s="4370"/>
      <c r="BU72" s="4333"/>
      <c r="BV72" s="4333"/>
      <c r="BW72" s="4374"/>
      <c r="BX72" s="4326"/>
      <c r="BY72" s="4370"/>
      <c r="BZ72" s="4333"/>
      <c r="CA72" s="4333"/>
      <c r="CB72" s="4374"/>
      <c r="CC72" s="4326"/>
      <c r="CD72" s="4370"/>
      <c r="CE72" s="4333"/>
      <c r="CF72" s="4333"/>
      <c r="CG72" s="4374"/>
      <c r="CH72" s="4326"/>
      <c r="CI72" s="4370"/>
      <c r="CJ72" s="4333"/>
      <c r="CK72" s="4333"/>
      <c r="CL72" s="4374"/>
      <c r="CM72" s="4326">
        <f>CL72/$CL$89</f>
        <v>0</v>
      </c>
      <c r="CN72" s="4328"/>
      <c r="CP72" s="2030"/>
      <c r="CQ72" s="2030"/>
      <c r="CR72" s="4321"/>
      <c r="CT72" s="3443"/>
    </row>
    <row r="73" spans="1:99"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Y74</f>
        <v>0</v>
      </c>
      <c r="Z73" s="3738"/>
      <c r="AA73" s="3742"/>
      <c r="AB73" s="555">
        <f>AB74</f>
        <v>0</v>
      </c>
      <c r="AC73" s="3738">
        <f>AC74</f>
        <v>0</v>
      </c>
      <c r="AD73" s="3739">
        <f>AD74</f>
        <v>0</v>
      </c>
      <c r="AE73" s="3738"/>
      <c r="AF73" s="3783"/>
      <c r="AG73" s="555">
        <f>AG74</f>
        <v>0</v>
      </c>
      <c r="AH73" s="3738">
        <f>AH74</f>
        <v>0</v>
      </c>
      <c r="AI73" s="3739">
        <f>AI74</f>
        <v>0</v>
      </c>
      <c r="AJ73" s="3738"/>
      <c r="AK73" s="3741"/>
      <c r="AL73" s="555">
        <f>AL74</f>
        <v>0</v>
      </c>
      <c r="AM73" s="3738">
        <f>AM74</f>
        <v>0</v>
      </c>
      <c r="AN73" s="3739">
        <f>AN74</f>
        <v>0</v>
      </c>
      <c r="AO73" s="3738"/>
      <c r="AP73" s="3741"/>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4384">
        <f>CP74</f>
        <v>0</v>
      </c>
      <c r="CQ73" s="4384">
        <f>CQ74</f>
        <v>0</v>
      </c>
      <c r="CR73" s="4384"/>
      <c r="CT73" s="3443"/>
    </row>
    <row r="74" spans="1:99" s="1396" customFormat="1" ht="14.4" outlineLevel="1" thickBot="1">
      <c r="A74" s="1413"/>
      <c r="B74" s="1051" t="s">
        <v>64</v>
      </c>
      <c r="C74" s="3341"/>
      <c r="D74" s="3341"/>
      <c r="E74" s="3386">
        <f>C74+D74*1</f>
        <v>0</v>
      </c>
      <c r="F74" s="3386"/>
      <c r="G74" s="3468"/>
      <c r="H74" s="3341"/>
      <c r="I74" s="3341"/>
      <c r="J74" s="3386">
        <f>H74+I74*1</f>
        <v>0</v>
      </c>
      <c r="K74" s="4326" t="e">
        <f t="shared" ref="K74" si="206">J74/J$89</f>
        <v>#DIV/0!</v>
      </c>
      <c r="L74" s="3468"/>
      <c r="M74" s="3341"/>
      <c r="N74" s="3341"/>
      <c r="O74" s="3386">
        <f>M74+N74*1</f>
        <v>0</v>
      </c>
      <c r="P74" s="4326" t="e">
        <f t="shared" ref="P74" si="207">O74/O$89</f>
        <v>#DIV/0!</v>
      </c>
      <c r="Q74" s="3468"/>
      <c r="R74" s="3469"/>
      <c r="S74" s="3469"/>
      <c r="T74" s="3469"/>
      <c r="U74" s="3469"/>
      <c r="V74" s="3469"/>
      <c r="W74" s="3342">
        <f t="shared" ref="W74:X74" si="208">AB74+AG74+AL74+AV74+BA74+BF74+BK74+BP74+BU74+BZ74+CE74+AQ74</f>
        <v>0</v>
      </c>
      <c r="X74" s="3342">
        <f t="shared" si="208"/>
        <v>0</v>
      </c>
      <c r="Y74" s="3469"/>
      <c r="Z74" s="3469"/>
      <c r="AA74" s="3469"/>
      <c r="AB74" s="3341"/>
      <c r="AC74" s="3341"/>
      <c r="AD74" s="3386">
        <f>AB74+AC74*1</f>
        <v>0</v>
      </c>
      <c r="AE74" s="3386"/>
      <c r="AF74" s="3724"/>
      <c r="AG74" s="3341"/>
      <c r="AH74" s="3341"/>
      <c r="AI74" s="3386">
        <f>AG74+AH74*1</f>
        <v>0</v>
      </c>
      <c r="AJ74" s="3386"/>
      <c r="AK74" s="3468"/>
      <c r="AL74" s="3341"/>
      <c r="AM74" s="3341"/>
      <c r="AN74" s="3386">
        <f>AL74+AM74*1</f>
        <v>0</v>
      </c>
      <c r="AO74" s="3386"/>
      <c r="AP74" s="3468"/>
      <c r="AQ74" s="3341"/>
      <c r="AR74" s="3341"/>
      <c r="AS74" s="3386">
        <f>AQ74+AR74*1</f>
        <v>0</v>
      </c>
      <c r="AT74" s="3386"/>
      <c r="AU74" s="3468"/>
      <c r="AV74" s="3341"/>
      <c r="AW74" s="3341"/>
      <c r="AX74" s="3386">
        <f>AV74+AW74*1</f>
        <v>0</v>
      </c>
      <c r="AY74" s="3386"/>
      <c r="AZ74" s="3468"/>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C74+H74+M74</f>
        <v>0</v>
      </c>
      <c r="CK74" s="3341">
        <f>D74+I74+N74</f>
        <v>0</v>
      </c>
      <c r="CL74" s="3386">
        <f>CJ74+CK74*1</f>
        <v>0</v>
      </c>
      <c r="CM74" s="3386"/>
      <c r="CN74" s="3386"/>
      <c r="CP74" s="4385">
        <f>CN74+CO74*1</f>
        <v>0</v>
      </c>
      <c r="CQ74" s="4385">
        <f>CO74+CP74*1</f>
        <v>0</v>
      </c>
      <c r="CR74" s="4385"/>
      <c r="CT74" s="3443"/>
    </row>
    <row r="75" spans="1:99"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0</v>
      </c>
      <c r="O75" s="1508">
        <f>O38-O41-O50-O54</f>
        <v>0</v>
      </c>
      <c r="P75" s="1953"/>
      <c r="Q75" s="1058"/>
      <c r="R75" s="1450">
        <f>R38-R41-R50-R54</f>
        <v>0</v>
      </c>
      <c r="S75" s="1450">
        <f>S38-S41-S50-S54</f>
        <v>0</v>
      </c>
      <c r="T75" s="1508">
        <f>T38-T41-T50-T54</f>
        <v>0</v>
      </c>
      <c r="U75" s="3470"/>
      <c r="V75" s="3470"/>
      <c r="W75" s="1450">
        <f>W38-W41-W50-W54</f>
        <v>-246067.10399999999</v>
      </c>
      <c r="X75" s="1450">
        <f>X38-X41-X50-X54</f>
        <v>669652.12</v>
      </c>
      <c r="Y75" s="1508">
        <f>Y38-Y41-Y50-Y54</f>
        <v>423585.016</v>
      </c>
      <c r="Z75" s="3470"/>
      <c r="AA75" s="3470"/>
      <c r="AB75" s="1450">
        <f>AB38-AB41-AB50-AB54</f>
        <v>-202552.56</v>
      </c>
      <c r="AC75" s="1450">
        <f>AC38-AC41-AC50-AC54</f>
        <v>-12571.03</v>
      </c>
      <c r="AD75" s="1508">
        <f>AD38-AD41-AD50-AD54</f>
        <v>-215123.59</v>
      </c>
      <c r="AE75" s="1953"/>
      <c r="AF75" s="3725"/>
      <c r="AG75" s="1450">
        <f>AG38-AG41-AG50-AG54</f>
        <v>0</v>
      </c>
      <c r="AH75" s="1450">
        <f>AH38-AH41-AH50-AH54</f>
        <v>0</v>
      </c>
      <c r="AI75" s="1508">
        <f>AI38-AI41-AI50-AI54</f>
        <v>0</v>
      </c>
      <c r="AJ75" s="1953"/>
      <c r="AK75" s="1058"/>
      <c r="AL75" s="1450">
        <f>AL38-AL41-AL50-AL54</f>
        <v>-43514.543999999994</v>
      </c>
      <c r="AM75" s="1450">
        <f>AM38-AM41-AM50-AM54</f>
        <v>738944.15</v>
      </c>
      <c r="AN75" s="1508">
        <f>AN38-AN41-AN50-AN54</f>
        <v>695429.60600000003</v>
      </c>
      <c r="AO75" s="1953"/>
      <c r="AP75" s="1058"/>
      <c r="AQ75" s="1450">
        <f>AQ38-AQ41-AQ50-AQ54</f>
        <v>0</v>
      </c>
      <c r="AR75" s="1450">
        <f>AR38-AR41-AR50-AR54</f>
        <v>0</v>
      </c>
      <c r="AS75" s="1508">
        <f>AS38-AS41-AS50-AS54</f>
        <v>0</v>
      </c>
      <c r="AT75" s="1953"/>
      <c r="AU75" s="1058"/>
      <c r="AV75" s="1450">
        <f>AV38-AV41-AV50-AV54</f>
        <v>0</v>
      </c>
      <c r="AW75" s="1450">
        <f>AW38-AW41-AW50-AW54</f>
        <v>-56721</v>
      </c>
      <c r="AX75" s="1508">
        <f>AX38-AX41-AX50-AX54</f>
        <v>-56721</v>
      </c>
      <c r="AY75" s="1953"/>
      <c r="AZ75" s="1058"/>
      <c r="BA75" s="1450">
        <f>BA38-BA41-BA50-BA54</f>
        <v>0</v>
      </c>
      <c r="BB75" s="1450">
        <f>BB38-BB41-BB50-BB54</f>
        <v>0</v>
      </c>
      <c r="BC75" s="1508">
        <f>BC38-BC41-BC50-BC54</f>
        <v>0</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667908.10600000003</v>
      </c>
      <c r="CK75" s="1450">
        <f>CK38-CK41-CK50-CK54</f>
        <v>206983.12</v>
      </c>
      <c r="CL75" s="1508">
        <f>CL38-CL41-CL50-CL54</f>
        <v>874891.22600000002</v>
      </c>
      <c r="CM75" s="1953"/>
      <c r="CN75" s="1953"/>
      <c r="CP75" s="3471">
        <f>CP38-CP41-CP50-CP54</f>
        <v>1382373.7447933333</v>
      </c>
      <c r="CQ75" s="3471">
        <f>CQ38-CQ41-CQ50-CQ54</f>
        <v>874891.22600000002</v>
      </c>
      <c r="CR75" s="3471">
        <f>CR38-CR41-CR50-CR54</f>
        <v>507482.51879333332</v>
      </c>
      <c r="CT75" s="3443"/>
    </row>
    <row r="76" spans="1:99"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2003">
        <f>IFERROR(AB75/AB5,0)</f>
        <v>0</v>
      </c>
      <c r="AC76" s="2003">
        <f>IFERROR(AC75/AC5,0)</f>
        <v>0</v>
      </c>
      <c r="AD76" s="2004">
        <f>IFERROR(AD75/AD5,0)</f>
        <v>0</v>
      </c>
      <c r="AE76" s="2004"/>
      <c r="AF76" s="3722"/>
      <c r="AG76" s="2003">
        <f>IFERROR(AG75/AG5,0)</f>
        <v>0</v>
      </c>
      <c r="AH76" s="2003">
        <f>IFERROR(AH75/AH5,0)</f>
        <v>0</v>
      </c>
      <c r="AI76" s="2004">
        <f>IFERROR(AI75/AI5,0)</f>
        <v>0</v>
      </c>
      <c r="AJ76" s="2004"/>
      <c r="AK76" s="1056"/>
      <c r="AL76" s="2003">
        <f>IFERROR(AL75/AL5,0)</f>
        <v>-0.84633947291646394</v>
      </c>
      <c r="AM76" s="2003">
        <f>IFERROR(AM75/AM5,0)</f>
        <v>1</v>
      </c>
      <c r="AN76" s="2004">
        <f>IFERROR(AN75/AN5,0)</f>
        <v>0.87989062440790367</v>
      </c>
      <c r="AO76" s="2004"/>
      <c r="AP76" s="1056"/>
      <c r="AQ76" s="2003">
        <f>IFERROR(AQ75/AQ5,0)</f>
        <v>0</v>
      </c>
      <c r="AR76" s="2003">
        <f>IFERROR(AR75/AR5,0)</f>
        <v>0</v>
      </c>
      <c r="AS76" s="2004">
        <f>IFERROR(AS75/AS5,0)</f>
        <v>0</v>
      </c>
      <c r="AT76" s="2004"/>
      <c r="AU76" s="1056"/>
      <c r="AV76" s="2003">
        <f>IFERROR(AV75/AV5,0)</f>
        <v>0</v>
      </c>
      <c r="AW76" s="2003">
        <f>IFERROR(AW75/AW5,0)</f>
        <v>0</v>
      </c>
      <c r="AX76" s="2004">
        <f>IFERROR(AX75/AX5,0)</f>
        <v>0</v>
      </c>
      <c r="AY76" s="2004"/>
      <c r="AZ76" s="1056"/>
      <c r="BA76" s="2003">
        <f>IFERROR(BA75/BA5,0)</f>
        <v>0</v>
      </c>
      <c r="BB76" s="2003">
        <f>IFERROR(BB75/BB5,0)</f>
        <v>0</v>
      </c>
      <c r="BC76" s="2004">
        <f>IFERROR(BC75/BC5,0)</f>
        <v>0</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0.51321527194546879</v>
      </c>
      <c r="CK76" s="2003">
        <f>IFERROR(CK75/CK5,0)</f>
        <v>0.28010658180323911</v>
      </c>
      <c r="CL76" s="2004">
        <f>IFERROR(CL75/CL5,0)</f>
        <v>0.42879191677226675</v>
      </c>
      <c r="CM76" s="2004"/>
      <c r="CN76" s="2004"/>
      <c r="CP76" s="2004">
        <f>CP75/CP5</f>
        <v>0.43579456614160023</v>
      </c>
      <c r="CQ76" s="2004">
        <f>IFERROR(CQ75/CQ5,0)</f>
        <v>0.42879191677226675</v>
      </c>
      <c r="CR76" s="2004">
        <f>CR75/CR5</f>
        <v>0.44841962396945306</v>
      </c>
      <c r="CT76" s="3443"/>
    </row>
    <row r="77" spans="1:99" s="1396" customFormat="1" ht="14.4" outlineLevel="1" thickBot="1">
      <c r="A77" s="1566"/>
      <c r="B77" s="4386" t="s">
        <v>9</v>
      </c>
      <c r="C77" s="4387">
        <f>C78-C79</f>
        <v>0</v>
      </c>
      <c r="D77" s="4387">
        <f>D78-D79</f>
        <v>0</v>
      </c>
      <c r="E77" s="4388">
        <f>E78-E79</f>
        <v>0</v>
      </c>
      <c r="F77" s="4389"/>
      <c r="G77" s="4390"/>
      <c r="H77" s="4387">
        <f>H78-H79</f>
        <v>0</v>
      </c>
      <c r="I77" s="4387">
        <f>I78-I79</f>
        <v>0</v>
      </c>
      <c r="J77" s="4388">
        <f>J78-J79</f>
        <v>0</v>
      </c>
      <c r="K77" s="4389"/>
      <c r="L77" s="4390"/>
      <c r="M77" s="4387">
        <f>M78-M79</f>
        <v>0</v>
      </c>
      <c r="N77" s="4387">
        <f>N78-N79</f>
        <v>0</v>
      </c>
      <c r="O77" s="4388">
        <f>O78-O79</f>
        <v>0</v>
      </c>
      <c r="P77" s="4389"/>
      <c r="Q77" s="4390"/>
      <c r="R77" s="4387">
        <f>R78-R79</f>
        <v>0</v>
      </c>
      <c r="S77" s="4387">
        <f>S78-S79</f>
        <v>0</v>
      </c>
      <c r="T77" s="4388">
        <f>T78-T79</f>
        <v>0</v>
      </c>
      <c r="U77" s="4391"/>
      <c r="V77" s="4391"/>
      <c r="W77" s="4387">
        <f>W78-W79</f>
        <v>-10522.273795469515</v>
      </c>
      <c r="X77" s="4387">
        <f>X78-X79</f>
        <v>0</v>
      </c>
      <c r="Y77" s="4388">
        <f>Y78-Y79</f>
        <v>-10522.273795469515</v>
      </c>
      <c r="Z77" s="4391"/>
      <c r="AA77" s="4391"/>
      <c r="AB77" s="4387">
        <f>AB78-AB79</f>
        <v>-2046.447780017822</v>
      </c>
      <c r="AC77" s="4387">
        <f>AC78-AC79</f>
        <v>0</v>
      </c>
      <c r="AD77" s="4388">
        <f>AD78-AD79</f>
        <v>-2046.447780017822</v>
      </c>
      <c r="AE77" s="4389"/>
      <c r="AF77" s="4392"/>
      <c r="AG77" s="4387">
        <f>AG78-AG79</f>
        <v>0</v>
      </c>
      <c r="AH77" s="4387">
        <f>AH78-AH79</f>
        <v>0</v>
      </c>
      <c r="AI77" s="4388">
        <f>AI78-AI79</f>
        <v>0</v>
      </c>
      <c r="AJ77" s="4389"/>
      <c r="AK77" s="4390"/>
      <c r="AL77" s="4387">
        <f>AL78-AL79</f>
        <v>0</v>
      </c>
      <c r="AM77" s="4387">
        <f>AM78-AM79</f>
        <v>0</v>
      </c>
      <c r="AN77" s="4388">
        <f>AN78-AN79</f>
        <v>0</v>
      </c>
      <c r="AO77" s="4389"/>
      <c r="AP77" s="4390"/>
      <c r="AQ77" s="4387">
        <f>AQ78-AQ79</f>
        <v>0</v>
      </c>
      <c r="AR77" s="4387">
        <f>AR78-AR79</f>
        <v>0</v>
      </c>
      <c r="AS77" s="4388">
        <f>AS78-AS79</f>
        <v>0</v>
      </c>
      <c r="AT77" s="4389"/>
      <c r="AU77" s="4390"/>
      <c r="AV77" s="4387">
        <f>AV78-AV79</f>
        <v>-8475.8260154516938</v>
      </c>
      <c r="AW77" s="4387">
        <f>AW78-AW79</f>
        <v>0</v>
      </c>
      <c r="AX77" s="4388">
        <f>AX78-AX79</f>
        <v>-8475.8260154516938</v>
      </c>
      <c r="AY77" s="4389"/>
      <c r="AZ77" s="4390"/>
      <c r="BA77" s="4387">
        <f>BA78-BA79</f>
        <v>0</v>
      </c>
      <c r="BB77" s="4387">
        <f>BB78-BB79</f>
        <v>0</v>
      </c>
      <c r="BC77" s="4388">
        <f>BC78-BC79</f>
        <v>0</v>
      </c>
      <c r="BD77" s="4389"/>
      <c r="BE77" s="4390"/>
      <c r="BF77" s="4387">
        <f>BF78-BF79</f>
        <v>0</v>
      </c>
      <c r="BG77" s="4387">
        <f>BG78-BG79</f>
        <v>0</v>
      </c>
      <c r="BH77" s="4388">
        <f>BH78-BH79</f>
        <v>0</v>
      </c>
      <c r="BI77" s="4389"/>
      <c r="BJ77" s="4390"/>
      <c r="BK77" s="4387">
        <f>BK78-BK79</f>
        <v>0</v>
      </c>
      <c r="BL77" s="4387">
        <f>BL78-BL79</f>
        <v>0</v>
      </c>
      <c r="BM77" s="4388">
        <f>BM78-BM79</f>
        <v>0</v>
      </c>
      <c r="BN77" s="4389"/>
      <c r="BO77" s="4390"/>
      <c r="BP77" s="4387">
        <f>BP78-BP79</f>
        <v>0</v>
      </c>
      <c r="BQ77" s="4387">
        <f>BQ78-BQ79</f>
        <v>0</v>
      </c>
      <c r="BR77" s="4388">
        <f>BR78-BR79</f>
        <v>0</v>
      </c>
      <c r="BS77" s="4389"/>
      <c r="BT77" s="4390"/>
      <c r="BU77" s="4387">
        <f>BU78-BU79</f>
        <v>0</v>
      </c>
      <c r="BV77" s="4387">
        <f>BV78-BV79</f>
        <v>0</v>
      </c>
      <c r="BW77" s="4388">
        <f>BW78-BW79</f>
        <v>0</v>
      </c>
      <c r="BX77" s="4389"/>
      <c r="BY77" s="4390"/>
      <c r="BZ77" s="4387">
        <f>BZ78-BZ79</f>
        <v>0</v>
      </c>
      <c r="CA77" s="4387">
        <f>CA78-CA79</f>
        <v>0</v>
      </c>
      <c r="CB77" s="4388">
        <f>CB78-CB79</f>
        <v>0</v>
      </c>
      <c r="CC77" s="4389"/>
      <c r="CD77" s="4390"/>
      <c r="CE77" s="4387">
        <f>CE78-CE79</f>
        <v>0</v>
      </c>
      <c r="CF77" s="4387">
        <f>CF78-CF79</f>
        <v>0</v>
      </c>
      <c r="CG77" s="4388">
        <f>CG78-CG79</f>
        <v>0</v>
      </c>
      <c r="CH77" s="4389"/>
      <c r="CI77" s="4390"/>
      <c r="CJ77" s="4387">
        <f>CJ78-CJ79</f>
        <v>-83116.826015451719</v>
      </c>
      <c r="CK77" s="4387">
        <f>CK78-CK79</f>
        <v>0</v>
      </c>
      <c r="CL77" s="4388">
        <f>CL78-CL79</f>
        <v>-83116.826015451719</v>
      </c>
      <c r="CM77" s="4389"/>
      <c r="CN77" s="4389"/>
      <c r="CP77" s="4388">
        <f>CP78-CP79</f>
        <v>0</v>
      </c>
      <c r="CQ77" s="4388">
        <f>CQ78-CQ79</f>
        <v>-83116.826015451719</v>
      </c>
      <c r="CR77" s="4388"/>
      <c r="CT77" s="3443"/>
    </row>
    <row r="78" spans="1:99" s="1396" customFormat="1" ht="13.8" outlineLevel="2">
      <c r="A78" s="1405"/>
      <c r="B78" s="1400" t="s">
        <v>43</v>
      </c>
      <c r="C78" s="3341"/>
      <c r="D78" s="3341"/>
      <c r="E78" s="3391">
        <f>C78+D78*1.15</f>
        <v>0</v>
      </c>
      <c r="F78" s="3391"/>
      <c r="G78" s="3473"/>
      <c r="H78" s="3341"/>
      <c r="I78" s="3341"/>
      <c r="J78" s="3391">
        <f>H78+I78*1.15</f>
        <v>0</v>
      </c>
      <c r="K78" s="4326" t="e">
        <f t="shared" ref="K78:K79" si="209">J78/J$89</f>
        <v>#DIV/0!</v>
      </c>
      <c r="L78" s="3473"/>
      <c r="M78" s="3341"/>
      <c r="N78" s="3341"/>
      <c r="O78" s="3391">
        <f>M78+N78*1.15</f>
        <v>0</v>
      </c>
      <c r="P78" s="4326" t="e">
        <f t="shared" ref="P78:P79" si="210">O78/O$89</f>
        <v>#DIV/0!</v>
      </c>
      <c r="Q78" s="3473"/>
      <c r="R78" s="3342">
        <f t="shared" ref="R78:S79" si="211">M78+H78+C78</f>
        <v>0</v>
      </c>
      <c r="S78" s="3342">
        <f t="shared" si="211"/>
        <v>0</v>
      </c>
      <c r="T78" s="2012">
        <f t="shared" ref="T78:T79" si="212">R78+S78</f>
        <v>0</v>
      </c>
      <c r="U78" s="3474"/>
      <c r="V78" s="3474"/>
      <c r="W78" s="3342">
        <f t="shared" ref="W78:X79" si="213">AB78+AG78+AL78+AV78+BA78+BF78+BK78+BP78+BU78+BZ78+CE78+AQ78</f>
        <v>0</v>
      </c>
      <c r="X78" s="3342">
        <f t="shared" si="213"/>
        <v>0</v>
      </c>
      <c r="Y78" s="2012">
        <f t="shared" ref="Y78:Y79" si="214">W78+X78</f>
        <v>0</v>
      </c>
      <c r="Z78" s="3474"/>
      <c r="AA78" s="3474"/>
      <c r="AB78" s="3341"/>
      <c r="AC78" s="3341"/>
      <c r="AD78" s="3391">
        <f>AB78+AC78*1.15</f>
        <v>0</v>
      </c>
      <c r="AE78" s="3391"/>
      <c r="AF78" s="3726"/>
      <c r="AG78" s="3341"/>
      <c r="AH78" s="3341"/>
      <c r="AI78" s="3391">
        <f>AG78+AH78*1.15</f>
        <v>0</v>
      </c>
      <c r="AJ78" s="3391"/>
      <c r="AK78" s="3473"/>
      <c r="AL78" s="3341"/>
      <c r="AM78" s="3341"/>
      <c r="AN78" s="3391">
        <f>AL78+AM78*1.15</f>
        <v>0</v>
      </c>
      <c r="AO78" s="3391"/>
      <c r="AP78" s="3473"/>
      <c r="AQ78" s="3341"/>
      <c r="AR78" s="3341"/>
      <c r="AS78" s="3391">
        <f>AQ78+AR78*1.15</f>
        <v>0</v>
      </c>
      <c r="AT78" s="3391"/>
      <c r="AU78" s="3473"/>
      <c r="AV78" s="3341"/>
      <c r="AW78" s="3341"/>
      <c r="AX78" s="3391">
        <f>AV78+AW78*1.15</f>
        <v>0</v>
      </c>
      <c r="AY78" s="3391"/>
      <c r="AZ78" s="3473"/>
      <c r="BA78" s="3341"/>
      <c r="BB78" s="3341"/>
      <c r="BC78" s="3391">
        <f>BA78+BB78*1.15</f>
        <v>0</v>
      </c>
      <c r="BD78" s="3391"/>
      <c r="BE78" s="3473"/>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15">C78+H78+M78+W78</f>
        <v>0</v>
      </c>
      <c r="CK78" s="3341">
        <f t="shared" si="215"/>
        <v>0</v>
      </c>
      <c r="CL78" s="3391">
        <f>CJ78+CK78*1.15</f>
        <v>0</v>
      </c>
      <c r="CM78" s="3391"/>
      <c r="CN78" s="3391"/>
      <c r="CP78" s="3475">
        <f>CN78+CO78*1.15</f>
        <v>0</v>
      </c>
      <c r="CQ78" s="3475">
        <f>CO78+CP78*1.15</f>
        <v>0</v>
      </c>
      <c r="CR78" s="4322"/>
      <c r="CT78" s="3443"/>
    </row>
    <row r="79" spans="1:99" s="1396" customFormat="1" ht="13.8" outlineLevel="2">
      <c r="A79" s="1405"/>
      <c r="B79" s="4393" t="s">
        <v>79</v>
      </c>
      <c r="C79" s="3341">
        <v>0</v>
      </c>
      <c r="D79" s="3341"/>
      <c r="E79" s="2012">
        <f>C79+D79</f>
        <v>0</v>
      </c>
      <c r="F79" s="4356"/>
      <c r="G79" s="4354"/>
      <c r="H79" s="3341">
        <v>0</v>
      </c>
      <c r="I79" s="3341"/>
      <c r="J79" s="2012">
        <f>H79+I79</f>
        <v>0</v>
      </c>
      <c r="K79" s="4326" t="e">
        <f t="shared" si="209"/>
        <v>#DIV/0!</v>
      </c>
      <c r="L79" s="4354"/>
      <c r="M79" s="3341">
        <v>0</v>
      </c>
      <c r="N79" s="3341"/>
      <c r="O79" s="2012">
        <f>M79+N79</f>
        <v>0</v>
      </c>
      <c r="P79" s="4326" t="e">
        <f t="shared" si="210"/>
        <v>#DIV/0!</v>
      </c>
      <c r="Q79" s="4354"/>
      <c r="R79" s="3342">
        <f t="shared" si="211"/>
        <v>0</v>
      </c>
      <c r="S79" s="3342">
        <f t="shared" si="211"/>
        <v>0</v>
      </c>
      <c r="T79" s="2012">
        <f t="shared" si="212"/>
        <v>0</v>
      </c>
      <c r="U79" s="3455"/>
      <c r="V79" s="3455"/>
      <c r="W79" s="3342">
        <f t="shared" si="213"/>
        <v>10522.273795469515</v>
      </c>
      <c r="X79" s="3342">
        <f t="shared" si="213"/>
        <v>0</v>
      </c>
      <c r="Y79" s="2012">
        <f t="shared" si="214"/>
        <v>10522.273795469515</v>
      </c>
      <c r="Z79" s="3455"/>
      <c r="AA79" s="3455"/>
      <c r="AB79" s="3341">
        <f>(AC8+AC41+AC50+AC54)/(1-'расчет 2024'!$M$24)*'расчет 2024'!$M$24</f>
        <v>2046.447780017822</v>
      </c>
      <c r="AC79" s="3341"/>
      <c r="AD79" s="2012">
        <f>AB79+AC79</f>
        <v>2046.447780017822</v>
      </c>
      <c r="AE79" s="4356"/>
      <c r="AF79" s="4355"/>
      <c r="AG79" s="3341">
        <f>(AH8+AH41+AH50+AH54)/(1-'расчет 2024'!$M$25)*'расчет 2024'!$M$25</f>
        <v>0</v>
      </c>
      <c r="AH79" s="3341"/>
      <c r="AI79" s="2012">
        <f>AG79+AH79</f>
        <v>0</v>
      </c>
      <c r="AJ79" s="4356"/>
      <c r="AK79" s="4354"/>
      <c r="AL79" s="3341">
        <f>(AM8+AM41+AM50+AM54)/(1-'расчет 2024'!$M$25)*'расчет 2024'!$M$25</f>
        <v>0</v>
      </c>
      <c r="AM79" s="3341"/>
      <c r="AN79" s="2012">
        <f>AL79+AM79</f>
        <v>0</v>
      </c>
      <c r="AO79" s="4356"/>
      <c r="AP79" s="4354"/>
      <c r="AQ79" s="3341">
        <f>(AR8+AR41+AR50+AR54)/(1-'расчет 2024'!$M$27)*'расчет 2024'!$M$27</f>
        <v>0</v>
      </c>
      <c r="AR79" s="3341"/>
      <c r="AS79" s="2012">
        <f>AQ79+AR79</f>
        <v>0</v>
      </c>
      <c r="AT79" s="4356"/>
      <c r="AU79" s="4354"/>
      <c r="AV79" s="3341">
        <f>(AW8+AW41+AW50+AW54)/(1-'расчет 2024'!$M$28)*'расчет 2024'!$M$28</f>
        <v>8475.8260154516938</v>
      </c>
      <c r="AW79" s="3341"/>
      <c r="AX79" s="2012">
        <f>AV79+AW79</f>
        <v>8475.8260154516938</v>
      </c>
      <c r="AY79" s="4356"/>
      <c r="AZ79" s="4354"/>
      <c r="BA79" s="3341">
        <v>0</v>
      </c>
      <c r="BB79" s="3341"/>
      <c r="BC79" s="2012">
        <f>BA79+BB79</f>
        <v>0</v>
      </c>
      <c r="BD79" s="4356"/>
      <c r="BE79" s="4354"/>
      <c r="BF79" s="3341">
        <v>0</v>
      </c>
      <c r="BG79" s="3341"/>
      <c r="BH79" s="2012">
        <f>BF79+BG79</f>
        <v>0</v>
      </c>
      <c r="BI79" s="4356"/>
      <c r="BJ79" s="4354"/>
      <c r="BK79" s="3341"/>
      <c r="BL79" s="3341"/>
      <c r="BM79" s="2012">
        <f>BK79+BL79</f>
        <v>0</v>
      </c>
      <c r="BN79" s="4356"/>
      <c r="BO79" s="4354"/>
      <c r="BP79" s="3341">
        <v>0</v>
      </c>
      <c r="BQ79" s="3341"/>
      <c r="BR79" s="2012">
        <f>BP79+BQ79</f>
        <v>0</v>
      </c>
      <c r="BS79" s="4356"/>
      <c r="BT79" s="4354"/>
      <c r="BU79" s="3341">
        <v>0</v>
      </c>
      <c r="BV79" s="3341"/>
      <c r="BW79" s="2012">
        <f>BU79+BV79</f>
        <v>0</v>
      </c>
      <c r="BX79" s="4356"/>
      <c r="BY79" s="4354"/>
      <c r="BZ79" s="3341">
        <v>0</v>
      </c>
      <c r="CA79" s="3341"/>
      <c r="CB79" s="2012">
        <f>BZ79+CA79</f>
        <v>0</v>
      </c>
      <c r="CC79" s="4356"/>
      <c r="CD79" s="4354"/>
      <c r="CE79" s="3341">
        <v>0</v>
      </c>
      <c r="CF79" s="3341"/>
      <c r="CG79" s="2012">
        <f>CE79+CF79</f>
        <v>0</v>
      </c>
      <c r="CH79" s="4356"/>
      <c r="CI79" s="4354"/>
      <c r="CJ79" s="3341">
        <f>C79+H79+M79+W79+72594.5522199822</f>
        <v>83116.826015451719</v>
      </c>
      <c r="CK79" s="3341">
        <f t="shared" si="215"/>
        <v>0</v>
      </c>
      <c r="CL79" s="2012">
        <f t="shared" ref="CL79" si="216">CJ79+CK79*1</f>
        <v>83116.826015451719</v>
      </c>
      <c r="CM79" s="4356"/>
      <c r="CN79" s="4356"/>
      <c r="CP79" s="2012">
        <f t="shared" ref="CP79" si="217">CN79+CO79*1</f>
        <v>0</v>
      </c>
      <c r="CQ79" s="2012">
        <f t="shared" ref="CQ79" si="218">CL79</f>
        <v>83116.826015451719</v>
      </c>
      <c r="CR79" s="4322">
        <f t="shared" ref="CR79" si="219">CP79-CQ79</f>
        <v>-83116.826015451719</v>
      </c>
      <c r="CT79" s="3443"/>
      <c r="CU79" s="933"/>
    </row>
    <row r="80" spans="1:99" ht="13.8" outlineLevel="2">
      <c r="A80" s="1397"/>
      <c r="B80" s="4383"/>
      <c r="C80" s="3341"/>
      <c r="D80" s="3341"/>
      <c r="E80" s="4394"/>
      <c r="F80" s="4394"/>
      <c r="G80" s="4395"/>
      <c r="H80" s="3341"/>
      <c r="I80" s="3341"/>
      <c r="J80" s="4394"/>
      <c r="K80" s="4394"/>
      <c r="L80" s="4395"/>
      <c r="M80" s="3341"/>
      <c r="N80" s="3341"/>
      <c r="O80" s="4394"/>
      <c r="P80" s="4394"/>
      <c r="Q80" s="4395"/>
      <c r="R80" s="3448"/>
      <c r="S80" s="3448"/>
      <c r="T80" s="3448"/>
      <c r="U80" s="3448"/>
      <c r="V80" s="3448"/>
      <c r="W80" s="3448"/>
      <c r="X80" s="3448"/>
      <c r="Y80" s="3448"/>
      <c r="Z80" s="3448"/>
      <c r="AA80" s="3448"/>
      <c r="AB80" s="3341"/>
      <c r="AC80" s="3341"/>
      <c r="AD80" s="4394"/>
      <c r="AE80" s="4394"/>
      <c r="AF80" s="4396"/>
      <c r="AG80" s="3341"/>
      <c r="AH80" s="3341"/>
      <c r="AI80" s="4394"/>
      <c r="AJ80" s="4394"/>
      <c r="AK80" s="4395"/>
      <c r="AL80" s="3341"/>
      <c r="AM80" s="3341"/>
      <c r="AN80" s="4394"/>
      <c r="AO80" s="4394"/>
      <c r="AP80" s="4395"/>
      <c r="AQ80" s="3341"/>
      <c r="AR80" s="3341"/>
      <c r="AS80" s="4394"/>
      <c r="AT80" s="4394"/>
      <c r="AU80" s="4395"/>
      <c r="AV80" s="3341"/>
      <c r="AW80" s="3341"/>
      <c r="AX80" s="4394"/>
      <c r="AY80" s="4394"/>
      <c r="AZ80" s="4395"/>
      <c r="BA80" s="3341"/>
      <c r="BB80" s="3341"/>
      <c r="BC80" s="4394"/>
      <c r="BD80" s="4394"/>
      <c r="BE80" s="4395"/>
      <c r="BF80" s="3341"/>
      <c r="BG80" s="3341"/>
      <c r="BH80" s="4394"/>
      <c r="BI80" s="4394"/>
      <c r="BJ80" s="4395"/>
      <c r="BK80" s="3341"/>
      <c r="BL80" s="3341"/>
      <c r="BM80" s="4394"/>
      <c r="BN80" s="4394"/>
      <c r="BO80" s="4395"/>
      <c r="BP80" s="3341"/>
      <c r="BQ80" s="3341"/>
      <c r="BR80" s="4394"/>
      <c r="BS80" s="4394"/>
      <c r="BT80" s="4395"/>
      <c r="BU80" s="3341"/>
      <c r="BV80" s="3341"/>
      <c r="BW80" s="4394"/>
      <c r="BX80" s="4394"/>
      <c r="BY80" s="4395"/>
      <c r="BZ80" s="3341"/>
      <c r="CA80" s="3341"/>
      <c r="CB80" s="4394"/>
      <c r="CC80" s="4394"/>
      <c r="CD80" s="4395"/>
      <c r="CE80" s="3341"/>
      <c r="CF80" s="3341"/>
      <c r="CG80" s="4394"/>
      <c r="CH80" s="4394"/>
      <c r="CI80" s="4395"/>
      <c r="CJ80" s="3341">
        <f>C80+H80+M80</f>
        <v>0</v>
      </c>
      <c r="CK80" s="3341">
        <f>D80+I80+N80</f>
        <v>0</v>
      </c>
      <c r="CL80" s="4394"/>
      <c r="CM80" s="4394"/>
      <c r="CN80" s="4394"/>
      <c r="CP80" s="4397"/>
      <c r="CQ80" s="4397"/>
      <c r="CR80" s="4322"/>
    </row>
    <row r="81" spans="1:101" s="1396" customFormat="1" ht="14.4" outlineLevel="1" thickBot="1">
      <c r="A81" s="1419"/>
      <c r="B81" s="4386" t="s">
        <v>12</v>
      </c>
      <c r="C81" s="4387">
        <f>(C75+C78)-C79</f>
        <v>0</v>
      </c>
      <c r="D81" s="4387">
        <f>(D75+D78)-D79</f>
        <v>0</v>
      </c>
      <c r="E81" s="4388">
        <f>(E75+E78)-E79</f>
        <v>0</v>
      </c>
      <c r="F81" s="4389"/>
      <c r="G81" s="4390"/>
      <c r="H81" s="4387">
        <f>(H75+H78)-H79</f>
        <v>0</v>
      </c>
      <c r="I81" s="4387">
        <f>(I75+I78)-I79</f>
        <v>0</v>
      </c>
      <c r="J81" s="4388">
        <f>(J75+J78)-J79</f>
        <v>0</v>
      </c>
      <c r="K81" s="4389"/>
      <c r="L81" s="4390"/>
      <c r="M81" s="4387">
        <f>(M75+M78)-M79</f>
        <v>0</v>
      </c>
      <c r="N81" s="4387">
        <f>(N75+N78)-N79</f>
        <v>0</v>
      </c>
      <c r="O81" s="4388">
        <f>(O75+O78)-O79</f>
        <v>0</v>
      </c>
      <c r="P81" s="4389"/>
      <c r="Q81" s="4390"/>
      <c r="R81" s="4387">
        <f>(R75+R78)-R79</f>
        <v>0</v>
      </c>
      <c r="S81" s="4387">
        <f>(S75+S78)-S79</f>
        <v>0</v>
      </c>
      <c r="T81" s="4388">
        <f>(T75+T78)-T79</f>
        <v>0</v>
      </c>
      <c r="U81" s="4391"/>
      <c r="V81" s="4391"/>
      <c r="W81" s="4387">
        <f>(W75+W78)-W79</f>
        <v>-256589.37779546951</v>
      </c>
      <c r="X81" s="4387">
        <f>(X75+X78)-X79</f>
        <v>669652.12</v>
      </c>
      <c r="Y81" s="4388">
        <f>(Y75+Y78)-Y79</f>
        <v>413062.74220453051</v>
      </c>
      <c r="Z81" s="4391"/>
      <c r="AA81" s="4391"/>
      <c r="AB81" s="4387">
        <f>(AB75+AB78)-AB79</f>
        <v>-204599.00778001783</v>
      </c>
      <c r="AC81" s="4387">
        <f>(AC75+AC78)-AC79</f>
        <v>-12571.03</v>
      </c>
      <c r="AD81" s="4388">
        <f>(AD75+AD78)-AD79</f>
        <v>-217170.03778001782</v>
      </c>
      <c r="AE81" s="4389"/>
      <c r="AF81" s="4392"/>
      <c r="AG81" s="4387">
        <f>(AG75+AG78)-AG79</f>
        <v>0</v>
      </c>
      <c r="AH81" s="4387">
        <f>(AH75+AH78)-AH79</f>
        <v>0</v>
      </c>
      <c r="AI81" s="4388">
        <f>(AI75+AI78)-AI79</f>
        <v>0</v>
      </c>
      <c r="AJ81" s="4389"/>
      <c r="AK81" s="4390"/>
      <c r="AL81" s="4387">
        <f>(AL75+AL78)-AL79</f>
        <v>-43514.543999999994</v>
      </c>
      <c r="AM81" s="4387">
        <f>(AM75+AM78)-AM79</f>
        <v>738944.15</v>
      </c>
      <c r="AN81" s="4388">
        <f>(AN75+AN78)-AN79</f>
        <v>695429.60600000003</v>
      </c>
      <c r="AO81" s="4389"/>
      <c r="AP81" s="4390"/>
      <c r="AQ81" s="4387">
        <f>(AQ75+AQ78)-AQ79</f>
        <v>0</v>
      </c>
      <c r="AR81" s="4387">
        <f>(AR75+AR78)-AR79</f>
        <v>0</v>
      </c>
      <c r="AS81" s="4388">
        <f>(AS75+AS78)-AS79</f>
        <v>0</v>
      </c>
      <c r="AT81" s="4389"/>
      <c r="AU81" s="4390"/>
      <c r="AV81" s="4387">
        <f>(AV75+AV78)-AV79</f>
        <v>-8475.8260154516938</v>
      </c>
      <c r="AW81" s="4387">
        <f>(AW75+AW78)-AW79</f>
        <v>-56721</v>
      </c>
      <c r="AX81" s="4388">
        <f>(AX75+AX78)-AX79</f>
        <v>-65196.82601545169</v>
      </c>
      <c r="AY81" s="4389"/>
      <c r="AZ81" s="4390"/>
      <c r="BA81" s="4387">
        <f>(BA75+BA78)-BA79</f>
        <v>0</v>
      </c>
      <c r="BB81" s="4387">
        <f>(BB75+BB78)-BB79</f>
        <v>0</v>
      </c>
      <c r="BC81" s="4388">
        <f>(BC75+BC78)-BC79</f>
        <v>0</v>
      </c>
      <c r="BD81" s="4389"/>
      <c r="BE81" s="4390"/>
      <c r="BF81" s="4387">
        <f>(BF75+BF78)-BF79</f>
        <v>0</v>
      </c>
      <c r="BG81" s="4387">
        <f>(BG75+BG78)-BG79</f>
        <v>0</v>
      </c>
      <c r="BH81" s="4388">
        <f>(BH75+BH78)-BH79</f>
        <v>0</v>
      </c>
      <c r="BI81" s="4389"/>
      <c r="BJ81" s="4390"/>
      <c r="BK81" s="4387">
        <f>(BK75+BK78)-BK79</f>
        <v>0</v>
      </c>
      <c r="BL81" s="4387">
        <f>(BL75+BL78)-BL79</f>
        <v>0</v>
      </c>
      <c r="BM81" s="4388">
        <f>(BM75+BM78)-BM79</f>
        <v>0</v>
      </c>
      <c r="BN81" s="4389"/>
      <c r="BO81" s="4390"/>
      <c r="BP81" s="4387">
        <f>(BP75+BP78)-BP79</f>
        <v>0</v>
      </c>
      <c r="BQ81" s="4387">
        <f>(BQ75+BQ78)-BQ79</f>
        <v>0</v>
      </c>
      <c r="BR81" s="4388">
        <f>(BR75+BR78)-BR79</f>
        <v>0</v>
      </c>
      <c r="BS81" s="4389"/>
      <c r="BT81" s="4390"/>
      <c r="BU81" s="4387">
        <f>(BU75+BU78)-BU79</f>
        <v>0</v>
      </c>
      <c r="BV81" s="4387">
        <f>(BV75+BV78)-BV79</f>
        <v>0</v>
      </c>
      <c r="BW81" s="4388">
        <f>(BW75+BW78)-BW79</f>
        <v>0</v>
      </c>
      <c r="BX81" s="4389"/>
      <c r="BY81" s="4390"/>
      <c r="BZ81" s="4387">
        <f>(BZ75+BZ78)-BZ79</f>
        <v>0</v>
      </c>
      <c r="CA81" s="4387">
        <f>(CA75+CA78)-CA79</f>
        <v>0</v>
      </c>
      <c r="CB81" s="4388">
        <f>(CB75+CB78)-CB79</f>
        <v>0</v>
      </c>
      <c r="CC81" s="4389"/>
      <c r="CD81" s="4390"/>
      <c r="CE81" s="4387">
        <f>(CE75+CE78)-CE79</f>
        <v>0</v>
      </c>
      <c r="CF81" s="4387">
        <f>(CF75+CF78)-CF79</f>
        <v>0</v>
      </c>
      <c r="CG81" s="4388">
        <f>(CG75+CG78)-CG79</f>
        <v>0</v>
      </c>
      <c r="CH81" s="4389"/>
      <c r="CI81" s="4390"/>
      <c r="CJ81" s="4387">
        <f>(CJ75+CJ78)-CJ79</f>
        <v>584791.27998454834</v>
      </c>
      <c r="CK81" s="4387">
        <f>(CK75+CK78)-CK79</f>
        <v>206983.12</v>
      </c>
      <c r="CL81" s="4388">
        <f>(CL75+CL78)-CL79</f>
        <v>791774.39998454833</v>
      </c>
      <c r="CM81" s="4389"/>
      <c r="CN81" s="4389"/>
      <c r="CP81" s="4388">
        <f>(CP75+CP78)-CP79</f>
        <v>1382373.7447933333</v>
      </c>
      <c r="CQ81" s="4398">
        <f>(CQ75+CQ78)-CQ79</f>
        <v>791774.39998454833</v>
      </c>
      <c r="CR81" s="4388">
        <f>(CR75+CR78)-CR79</f>
        <v>590599.34480878501</v>
      </c>
      <c r="CT81" s="3443"/>
    </row>
    <row r="82" spans="1:101" s="1396" customFormat="1" ht="13.8" outlineLevel="2">
      <c r="A82" s="1565"/>
      <c r="B82" s="1400" t="s">
        <v>38</v>
      </c>
      <c r="C82" s="3341"/>
      <c r="D82" s="3341"/>
      <c r="E82" s="3390">
        <f>C82+D82</f>
        <v>0</v>
      </c>
      <c r="F82" s="3381"/>
      <c r="G82" s="3455"/>
      <c r="H82" s="3341"/>
      <c r="I82" s="3341"/>
      <c r="J82" s="3390">
        <f>H82+I82</f>
        <v>0</v>
      </c>
      <c r="K82" s="4326" t="e">
        <f t="shared" ref="K82" si="220">J82/J$89</f>
        <v>#DIV/0!</v>
      </c>
      <c r="L82" s="3455"/>
      <c r="M82" s="3341"/>
      <c r="N82" s="3341"/>
      <c r="O82" s="3390">
        <f>M82+N82</f>
        <v>0</v>
      </c>
      <c r="P82" s="4326" t="e">
        <f t="shared" ref="P82" si="221">O82/O$89</f>
        <v>#DIV/0!</v>
      </c>
      <c r="Q82" s="3455"/>
      <c r="R82" s="3342">
        <f t="shared" ref="R82:S82" si="222">M82+H82+C82</f>
        <v>0</v>
      </c>
      <c r="S82" s="3342">
        <f t="shared" si="222"/>
        <v>0</v>
      </c>
      <c r="T82" s="2012">
        <f t="shared" ref="T82" si="223">R82+S82</f>
        <v>0</v>
      </c>
      <c r="U82" s="3455"/>
      <c r="V82" s="3455"/>
      <c r="W82" s="3342">
        <f t="shared" ref="W82:X82" si="224">AB82+AG82+AL82+AV82+BA82+BF82+BK82+BP82+BU82+BZ82+CE82+AQ82</f>
        <v>0</v>
      </c>
      <c r="X82" s="3342">
        <f t="shared" si="224"/>
        <v>0</v>
      </c>
      <c r="Y82" s="2012">
        <f t="shared" ref="Y82" si="225">W82+X82</f>
        <v>0</v>
      </c>
      <c r="Z82" s="3455"/>
      <c r="AA82" s="3455"/>
      <c r="AB82" s="3341"/>
      <c r="AC82" s="3341"/>
      <c r="AD82" s="3390">
        <f>AB82+AC82</f>
        <v>0</v>
      </c>
      <c r="AE82" s="3381"/>
      <c r="AF82" s="3727"/>
      <c r="AG82" s="3341"/>
      <c r="AH82" s="3341"/>
      <c r="AI82" s="3390">
        <f>AG82+AH82</f>
        <v>0</v>
      </c>
      <c r="AJ82" s="3381"/>
      <c r="AK82" s="3455"/>
      <c r="AL82" s="3341"/>
      <c r="AM82" s="3341"/>
      <c r="AN82" s="3390">
        <f>AL82+AM82</f>
        <v>0</v>
      </c>
      <c r="AO82" s="3381"/>
      <c r="AP82" s="3455"/>
      <c r="AQ82" s="3341"/>
      <c r="AR82" s="3341"/>
      <c r="AS82" s="3390">
        <f>AQ82+AR82</f>
        <v>0</v>
      </c>
      <c r="AT82" s="3381"/>
      <c r="AU82" s="3455"/>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381"/>
      <c r="CP82" s="3415">
        <f>CN82+CO82</f>
        <v>0</v>
      </c>
      <c r="CQ82" s="3415">
        <f>CO82+CP82</f>
        <v>0</v>
      </c>
      <c r="CR82" s="3415"/>
      <c r="CT82" s="3443"/>
    </row>
    <row r="83" spans="1:101" s="1396" customFormat="1" ht="13.8" outlineLevel="1">
      <c r="A83" s="1405"/>
      <c r="B83" s="4399" t="s">
        <v>13</v>
      </c>
      <c r="C83" s="4400">
        <f>(C81+C7)-C36</f>
        <v>0</v>
      </c>
      <c r="D83" s="4400">
        <f>(D81+D7)-D36</f>
        <v>0</v>
      </c>
      <c r="E83" s="4401">
        <f>(E81+E7)-E36</f>
        <v>0</v>
      </c>
      <c r="F83" s="4402"/>
      <c r="G83" s="4403"/>
      <c r="H83" s="4400">
        <f>(H81+H7)-H36</f>
        <v>0</v>
      </c>
      <c r="I83" s="4400">
        <f>(I81+I7)-I36</f>
        <v>0</v>
      </c>
      <c r="J83" s="4401">
        <f>(J81+J7)-J36</f>
        <v>0</v>
      </c>
      <c r="K83" s="4402"/>
      <c r="L83" s="4403"/>
      <c r="M83" s="4400">
        <f>(M81+M7)-M36</f>
        <v>0</v>
      </c>
      <c r="N83" s="4400">
        <f>(N81+N7)-N36</f>
        <v>0</v>
      </c>
      <c r="O83" s="4401">
        <f>(O81+O7)-O36</f>
        <v>0</v>
      </c>
      <c r="P83" s="4402"/>
      <c r="Q83" s="4403"/>
      <c r="R83" s="4400">
        <f>(R81+R7)-R36</f>
        <v>0</v>
      </c>
      <c r="S83" s="4400">
        <f>(S81+S7)-S36</f>
        <v>0</v>
      </c>
      <c r="T83" s="4401">
        <f>(T81+T7)-T36</f>
        <v>0</v>
      </c>
      <c r="U83" s="4404"/>
      <c r="V83" s="4404"/>
      <c r="W83" s="4400">
        <f>(W81+W7)-W36</f>
        <v>-256589.37779546951</v>
      </c>
      <c r="X83" s="4400">
        <f>(X81+X7)-X36</f>
        <v>669652.12</v>
      </c>
      <c r="Y83" s="4401">
        <f>(Y81+Y7)-Y36</f>
        <v>413062.74220453051</v>
      </c>
      <c r="Z83" s="4404"/>
      <c r="AA83" s="4404"/>
      <c r="AB83" s="4400">
        <f>(AB81+AB7)-AB36</f>
        <v>-204599.00778001783</v>
      </c>
      <c r="AC83" s="4400">
        <f>(AC81+AC7)-AC36</f>
        <v>-12571.03</v>
      </c>
      <c r="AD83" s="4401">
        <f>(AD81+AD7)-AD36</f>
        <v>-217170.03778001782</v>
      </c>
      <c r="AE83" s="4402"/>
      <c r="AF83" s="4405"/>
      <c r="AG83" s="4400">
        <f>(AG81+AG7)-AG36</f>
        <v>0</v>
      </c>
      <c r="AH83" s="4400">
        <f>(AH81+AH7)-AH36</f>
        <v>0</v>
      </c>
      <c r="AI83" s="4401">
        <f>(AI81+AI7)-AI36</f>
        <v>0</v>
      </c>
      <c r="AJ83" s="4402"/>
      <c r="AK83" s="4403"/>
      <c r="AL83" s="4400">
        <f>(AL81+AL7)-AL36</f>
        <v>-43514.543999999994</v>
      </c>
      <c r="AM83" s="4400">
        <f>(AM81+AM7)-AM36</f>
        <v>738944.15</v>
      </c>
      <c r="AN83" s="4401">
        <f>(AN81+AN7)-AN36</f>
        <v>695429.60600000003</v>
      </c>
      <c r="AO83" s="4402"/>
      <c r="AP83" s="4403"/>
      <c r="AQ83" s="4400">
        <f>(AQ81+AQ7)-AQ36</f>
        <v>0</v>
      </c>
      <c r="AR83" s="4400">
        <f>(AR81+AR7)-AR36</f>
        <v>0</v>
      </c>
      <c r="AS83" s="4401">
        <f>(AS81+AS7)-AS36</f>
        <v>0</v>
      </c>
      <c r="AT83" s="4402"/>
      <c r="AU83" s="4403"/>
      <c r="AV83" s="4400">
        <f>(AV81+AV7)-AV36</f>
        <v>-8475.8260154516938</v>
      </c>
      <c r="AW83" s="4400">
        <f>(AW81+AW7)-AW36</f>
        <v>-56721</v>
      </c>
      <c r="AX83" s="4401">
        <f>(AX81+AX7)-AX36</f>
        <v>-65196.82601545169</v>
      </c>
      <c r="AY83" s="4402"/>
      <c r="AZ83" s="4403"/>
      <c r="BA83" s="4400">
        <f>(BA81+BA7)-BA36</f>
        <v>0</v>
      </c>
      <c r="BB83" s="4400">
        <f>(BB81+BB7)-BB36</f>
        <v>0</v>
      </c>
      <c r="BC83" s="4401">
        <f>(BC81+BC7)-BC36</f>
        <v>0</v>
      </c>
      <c r="BD83" s="4402"/>
      <c r="BE83" s="4403"/>
      <c r="BF83" s="4400">
        <f>(BF81+BF7)-BF36</f>
        <v>0</v>
      </c>
      <c r="BG83" s="4400">
        <f>(BG81+BG7)-BG36</f>
        <v>0</v>
      </c>
      <c r="BH83" s="4401">
        <f>(BH81+BH7)-BH36</f>
        <v>0</v>
      </c>
      <c r="BI83" s="4402"/>
      <c r="BJ83" s="4403"/>
      <c r="BK83" s="4400">
        <f>(BK81+BK7)-BK36</f>
        <v>0</v>
      </c>
      <c r="BL83" s="4400">
        <f>(BL81+BL7)-BL36</f>
        <v>0</v>
      </c>
      <c r="BM83" s="4401">
        <f>(BM81+BM7)-BM36</f>
        <v>0</v>
      </c>
      <c r="BN83" s="4402"/>
      <c r="BO83" s="4403"/>
      <c r="BP83" s="4400">
        <f>(BP81+BP7)-BP36</f>
        <v>0</v>
      </c>
      <c r="BQ83" s="4400">
        <f>(BQ81+BQ7)-BQ36</f>
        <v>0</v>
      </c>
      <c r="BR83" s="4401">
        <f>(BR81+BR7)-BR36</f>
        <v>0</v>
      </c>
      <c r="BS83" s="4402"/>
      <c r="BT83" s="4403"/>
      <c r="BU83" s="4400">
        <f>(BU81+BU7)-BU36</f>
        <v>0</v>
      </c>
      <c r="BV83" s="4400">
        <f>(BV81+BV7)-BV36</f>
        <v>0</v>
      </c>
      <c r="BW83" s="4401">
        <f>(BW81+BW7)-BW36</f>
        <v>0</v>
      </c>
      <c r="BX83" s="4402"/>
      <c r="BY83" s="4403"/>
      <c r="BZ83" s="4400">
        <f>(BZ81+BZ7)-BZ36</f>
        <v>0</v>
      </c>
      <c r="CA83" s="4400">
        <f>(CA81+CA7)-CA36</f>
        <v>0</v>
      </c>
      <c r="CB83" s="4401">
        <f>(CB81+CB7)-CB36</f>
        <v>0</v>
      </c>
      <c r="CC83" s="4402"/>
      <c r="CD83" s="4403"/>
      <c r="CE83" s="4400">
        <f>(CE81+CE7)-CE36</f>
        <v>0</v>
      </c>
      <c r="CF83" s="4400">
        <f>(CF81+CF7)-CF36</f>
        <v>0</v>
      </c>
      <c r="CG83" s="4401">
        <f>(CG81+CG7)-CG36</f>
        <v>0</v>
      </c>
      <c r="CH83" s="4402"/>
      <c r="CI83" s="4403"/>
      <c r="CJ83" s="4400">
        <f>(CJ81+CJ7)-CJ36</f>
        <v>584791.27998454834</v>
      </c>
      <c r="CK83" s="4400">
        <f>(CK81+CK7)-CK36</f>
        <v>206983.12</v>
      </c>
      <c r="CL83" s="4401">
        <f>(CL81+CL7)-CL36</f>
        <v>791774.39998454833</v>
      </c>
      <c r="CM83" s="4402"/>
      <c r="CN83" s="4402"/>
      <c r="CP83" s="3481">
        <f>(CP81+CP7)-CP36</f>
        <v>1382373.7447933333</v>
      </c>
      <c r="CQ83" s="3481">
        <f>(CQ81+CQ7)-CQ36</f>
        <v>791774.39998454833</v>
      </c>
      <c r="CR83" s="3481">
        <f>(CR81+CR7)-CR36</f>
        <v>590599.34480878501</v>
      </c>
      <c r="CT83" s="3443"/>
    </row>
    <row r="84" spans="1:101" s="1396" customFormat="1" ht="14.4" outlineLevel="1" thickBot="1">
      <c r="A84" s="1405"/>
      <c r="B84" s="4406" t="s">
        <v>14</v>
      </c>
      <c r="C84" s="4407">
        <f>C83-C73-C82</f>
        <v>0</v>
      </c>
      <c r="D84" s="4407">
        <f>D83-D73-D82</f>
        <v>0</v>
      </c>
      <c r="E84" s="4407">
        <f>E83-E73-E82</f>
        <v>0</v>
      </c>
      <c r="F84" s="4408"/>
      <c r="G84" s="4409"/>
      <c r="H84" s="4407">
        <f>H83-H73-H82</f>
        <v>0</v>
      </c>
      <c r="I84" s="4407">
        <f>I83-I73-I82</f>
        <v>0</v>
      </c>
      <c r="J84" s="4407">
        <f>J83-J73-J82</f>
        <v>0</v>
      </c>
      <c r="K84" s="4408"/>
      <c r="L84" s="4409"/>
      <c r="M84" s="4407">
        <f>M83-M73-M82</f>
        <v>0</v>
      </c>
      <c r="N84" s="4407">
        <f>N83-N73-N82</f>
        <v>0</v>
      </c>
      <c r="O84" s="4407">
        <f>O83-O73-O82</f>
        <v>0</v>
      </c>
      <c r="P84" s="4408"/>
      <c r="Q84" s="4409"/>
      <c r="R84" s="4407">
        <f>R83-R73-R82</f>
        <v>0</v>
      </c>
      <c r="S84" s="4407">
        <f>S83-S73-S82</f>
        <v>0</v>
      </c>
      <c r="T84" s="4407">
        <f>T83-T73-T82</f>
        <v>0</v>
      </c>
      <c r="U84" s="4409"/>
      <c r="V84" s="4409"/>
      <c r="W84" s="4339">
        <f t="shared" ref="W84:X84" si="226">AB84+AG84+AL84+AV84+BA84+BF84+BK84+BP84+BU84+BZ84+CE84</f>
        <v>-256589.37779546951</v>
      </c>
      <c r="X84" s="4340">
        <f t="shared" si="226"/>
        <v>669652.12</v>
      </c>
      <c r="Y84" s="4407">
        <f>Y83-Y73-Y82</f>
        <v>413062.74220453051</v>
      </c>
      <c r="Z84" s="4409"/>
      <c r="AA84" s="4409"/>
      <c r="AB84" s="4407">
        <f>AB83-AB73-AB82</f>
        <v>-204599.00778001783</v>
      </c>
      <c r="AC84" s="4407">
        <f>AC83-AC73-AC82</f>
        <v>-12571.03</v>
      </c>
      <c r="AD84" s="4407">
        <f>AD83-AD73-AD82</f>
        <v>-217170.03778001782</v>
      </c>
      <c r="AE84" s="4408"/>
      <c r="AF84" s="4410"/>
      <c r="AG84" s="4407">
        <f>AG83-AG73-AG82</f>
        <v>0</v>
      </c>
      <c r="AH84" s="4407">
        <f>AH83-AH73-AH82</f>
        <v>0</v>
      </c>
      <c r="AI84" s="4407">
        <f>AI83-AI73-AI82</f>
        <v>0</v>
      </c>
      <c r="AJ84" s="4408"/>
      <c r="AK84" s="4409"/>
      <c r="AL84" s="4407">
        <f>AL83-AL73-AL82</f>
        <v>-43514.543999999994</v>
      </c>
      <c r="AM84" s="4407">
        <f>AM83-AM73-AM82</f>
        <v>738944.15</v>
      </c>
      <c r="AN84" s="4407">
        <f>AN83-AN73-AN82</f>
        <v>695429.60600000003</v>
      </c>
      <c r="AO84" s="4408"/>
      <c r="AP84" s="4409"/>
      <c r="AQ84" s="4407">
        <f>AQ83-AQ73-AQ82</f>
        <v>0</v>
      </c>
      <c r="AR84" s="4407">
        <f>AR83-AR73-AR82</f>
        <v>0</v>
      </c>
      <c r="AS84" s="4407">
        <f>AS83-AS73-AS82</f>
        <v>0</v>
      </c>
      <c r="AT84" s="4408"/>
      <c r="AU84" s="4409"/>
      <c r="AV84" s="4407">
        <f>AV83-AV73-AV82</f>
        <v>-8475.8260154516938</v>
      </c>
      <c r="AW84" s="4407">
        <f>AW83-AW73-AW82</f>
        <v>-56721</v>
      </c>
      <c r="AX84" s="4407">
        <f>AX83-AX73-AX82</f>
        <v>-65196.82601545169</v>
      </c>
      <c r="AY84" s="4408"/>
      <c r="AZ84" s="4409"/>
      <c r="BA84" s="4407">
        <f>BA83-BA73-BA82</f>
        <v>0</v>
      </c>
      <c r="BB84" s="4407">
        <f>BB83-BB73-BB82</f>
        <v>0</v>
      </c>
      <c r="BC84" s="4407">
        <f>BC83-BC73-BC82</f>
        <v>0</v>
      </c>
      <c r="BD84" s="4408"/>
      <c r="BE84" s="4409"/>
      <c r="BF84" s="4407">
        <f>BF83-BF73-BF82</f>
        <v>0</v>
      </c>
      <c r="BG84" s="4407">
        <f>BG83-BG73-BG82</f>
        <v>0</v>
      </c>
      <c r="BH84" s="4407">
        <f>BH83-BH73-BH82</f>
        <v>0</v>
      </c>
      <c r="BI84" s="4408"/>
      <c r="BJ84" s="4409"/>
      <c r="BK84" s="4407">
        <f>BK83-BK73-BK82</f>
        <v>0</v>
      </c>
      <c r="BL84" s="4407">
        <f>BL83-BL73-BL82</f>
        <v>0</v>
      </c>
      <c r="BM84" s="4407">
        <f>BM83-BM73-BM82</f>
        <v>0</v>
      </c>
      <c r="BN84" s="4408"/>
      <c r="BO84" s="4409"/>
      <c r="BP84" s="4407">
        <f>BP83-BP73-BP82</f>
        <v>0</v>
      </c>
      <c r="BQ84" s="4407">
        <f>BQ83-BQ73-BQ82</f>
        <v>0</v>
      </c>
      <c r="BR84" s="4407">
        <f>BR83-BR73-BR82</f>
        <v>0</v>
      </c>
      <c r="BS84" s="4408"/>
      <c r="BT84" s="4409"/>
      <c r="BU84" s="4407">
        <f>BU83-BU73-BU82</f>
        <v>0</v>
      </c>
      <c r="BV84" s="4407">
        <f>BV83-BV73-BV82</f>
        <v>0</v>
      </c>
      <c r="BW84" s="4407">
        <f>BW83-BW73-BW82</f>
        <v>0</v>
      </c>
      <c r="BX84" s="4408"/>
      <c r="BY84" s="4409"/>
      <c r="BZ84" s="4407">
        <f>BZ83-BZ73-BZ82</f>
        <v>0</v>
      </c>
      <c r="CA84" s="4407">
        <f>CA83-CA73-CA82</f>
        <v>0</v>
      </c>
      <c r="CB84" s="4407">
        <f>CB83-CB73-CB82</f>
        <v>0</v>
      </c>
      <c r="CC84" s="4408"/>
      <c r="CD84" s="4409"/>
      <c r="CE84" s="4407">
        <f>CE83-CE73-CE82</f>
        <v>0</v>
      </c>
      <c r="CF84" s="4407">
        <f>CF83-CF73-CF82</f>
        <v>0</v>
      </c>
      <c r="CG84" s="4407">
        <f>CG83-CG73-CG82</f>
        <v>0</v>
      </c>
      <c r="CH84" s="4408"/>
      <c r="CI84" s="4409"/>
      <c r="CJ84" s="4335">
        <f t="shared" ref="CJ84:CK84" si="227">C84+H84+M84+W84</f>
        <v>-256589.37779546951</v>
      </c>
      <c r="CK84" s="4335">
        <f t="shared" si="227"/>
        <v>669652.12</v>
      </c>
      <c r="CL84" s="4407">
        <f>CL83-CL73-CL82</f>
        <v>791774.39998454833</v>
      </c>
      <c r="CM84" s="4408"/>
      <c r="CN84" s="4408"/>
      <c r="CP84" s="3309">
        <f>CP83-CP73-CP82</f>
        <v>1382373.7447933333</v>
      </c>
      <c r="CQ84" s="3484">
        <f>CQ83-CQ73-CQ82</f>
        <v>791774.39998454833</v>
      </c>
      <c r="CR84" s="3309">
        <f>CR83-CR73-CR82</f>
        <v>590599.34480878501</v>
      </c>
      <c r="CT84" s="3443"/>
    </row>
    <row r="85" spans="1:101" s="1396" customFormat="1" ht="13.8" outlineLevel="3">
      <c r="A85" s="1565"/>
      <c r="B85" s="1403" t="s">
        <v>44</v>
      </c>
      <c r="C85" s="3341"/>
      <c r="D85" s="3341"/>
      <c r="E85" s="2012">
        <f>C85+D85*1.15</f>
        <v>0</v>
      </c>
      <c r="F85" s="3381"/>
      <c r="G85" s="3455"/>
      <c r="H85" s="3341"/>
      <c r="I85" s="3341"/>
      <c r="J85" s="2012">
        <f>H85+I85*1.15</f>
        <v>0</v>
      </c>
      <c r="K85" s="4326" t="e">
        <f t="shared" ref="K85" si="228">J85/J$89</f>
        <v>#DIV/0!</v>
      </c>
      <c r="L85" s="3455"/>
      <c r="M85" s="3341"/>
      <c r="N85" s="3341"/>
      <c r="O85" s="2012">
        <f>M85+N85*1.15</f>
        <v>0</v>
      </c>
      <c r="P85" s="4326" t="e">
        <f t="shared" ref="P85" si="229">O85/O$89</f>
        <v>#DIV/0!</v>
      </c>
      <c r="Q85" s="3455"/>
      <c r="R85" s="3342">
        <f t="shared" ref="R85:S85" si="230">M85+H85+C85</f>
        <v>0</v>
      </c>
      <c r="S85" s="3342">
        <f t="shared" si="230"/>
        <v>0</v>
      </c>
      <c r="T85" s="2012">
        <f t="shared" ref="T85" si="231">R85+S85</f>
        <v>0</v>
      </c>
      <c r="U85" s="3455"/>
      <c r="V85" s="3455"/>
      <c r="W85" s="3342">
        <f t="shared" ref="W85:X85" si="232">AB85+AG85+AL85+AV85+BA85+BF85+BK85+BP85+BU85+BZ85+CE85+AQ85</f>
        <v>0</v>
      </c>
      <c r="X85" s="3342">
        <f t="shared" si="232"/>
        <v>0</v>
      </c>
      <c r="Y85" s="2012">
        <f t="shared" ref="Y85" si="233">W85+X85</f>
        <v>0</v>
      </c>
      <c r="Z85" s="3455"/>
      <c r="AA85" s="3455"/>
      <c r="AB85" s="3341"/>
      <c r="AC85" s="3341"/>
      <c r="AD85" s="2012">
        <f>AB85+AC85*1.15</f>
        <v>0</v>
      </c>
      <c r="AE85" s="3381"/>
      <c r="AF85" s="3727"/>
      <c r="AG85" s="3341"/>
      <c r="AH85" s="3341"/>
      <c r="AI85" s="2012">
        <f>AG85+AH85*1.15</f>
        <v>0</v>
      </c>
      <c r="AJ85" s="3381"/>
      <c r="AK85" s="3455"/>
      <c r="AL85" s="3341"/>
      <c r="AM85" s="3341"/>
      <c r="AN85" s="2012">
        <f>AL85+AM85*1.15</f>
        <v>0</v>
      </c>
      <c r="AO85" s="3381"/>
      <c r="AP85" s="3455"/>
      <c r="AQ85" s="3341"/>
      <c r="AR85" s="3341"/>
      <c r="AS85" s="2012">
        <f>AQ85+AR85*1.15</f>
        <v>0</v>
      </c>
      <c r="AT85" s="3381"/>
      <c r="AU85" s="3455"/>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2124">
        <f>CN85+CO85*1.15</f>
        <v>0</v>
      </c>
      <c r="CQ85" s="2124">
        <f>CO85+CP85*1.15</f>
        <v>0</v>
      </c>
      <c r="CR85" s="2124"/>
      <c r="CT85" s="3443" t="s">
        <v>1986</v>
      </c>
    </row>
    <row r="86" spans="1:101" s="1396" customFormat="1" ht="27.6">
      <c r="A86" s="1405"/>
      <c r="B86" s="4411" t="s">
        <v>50</v>
      </c>
      <c r="C86" s="4412">
        <f>C84-C85</f>
        <v>0</v>
      </c>
      <c r="D86" s="4412">
        <f>D84-D85</f>
        <v>0</v>
      </c>
      <c r="E86" s="4412">
        <f>E84-E85</f>
        <v>0</v>
      </c>
      <c r="F86" s="4413"/>
      <c r="G86" s="4414"/>
      <c r="H86" s="4412">
        <f>H84-H85</f>
        <v>0</v>
      </c>
      <c r="I86" s="4412">
        <f>I84-I85</f>
        <v>0</v>
      </c>
      <c r="J86" s="4412">
        <f>J84-J85</f>
        <v>0</v>
      </c>
      <c r="K86" s="4413"/>
      <c r="L86" s="4414"/>
      <c r="M86" s="4412">
        <f>M84-M85</f>
        <v>0</v>
      </c>
      <c r="N86" s="4412">
        <f>N84-N85</f>
        <v>0</v>
      </c>
      <c r="O86" s="4412">
        <f>O84-O85</f>
        <v>0</v>
      </c>
      <c r="P86" s="4413"/>
      <c r="Q86" s="4414"/>
      <c r="R86" s="4412">
        <f>R84-R85</f>
        <v>0</v>
      </c>
      <c r="S86" s="4412">
        <f>S84-S85</f>
        <v>0</v>
      </c>
      <c r="T86" s="4412">
        <f>T84-T85</f>
        <v>0</v>
      </c>
      <c r="U86" s="4414"/>
      <c r="V86" s="4414"/>
      <c r="W86" s="4412">
        <f>W84-W85</f>
        <v>-256589.37779546951</v>
      </c>
      <c r="X86" s="4412">
        <f>X84-X85</f>
        <v>669652.12</v>
      </c>
      <c r="Y86" s="4412">
        <f>Y84-Y85</f>
        <v>413062.74220453051</v>
      </c>
      <c r="Z86" s="4414"/>
      <c r="AA86" s="4414"/>
      <c r="AB86" s="4412">
        <f>AB84-AB85</f>
        <v>-204599.00778001783</v>
      </c>
      <c r="AC86" s="4412">
        <f>AC84-AC85</f>
        <v>-12571.03</v>
      </c>
      <c r="AD86" s="4412">
        <f>AD84-AD85</f>
        <v>-217170.03778001782</v>
      </c>
      <c r="AE86" s="4413"/>
      <c r="AF86" s="4415"/>
      <c r="AG86" s="4412">
        <f>AG84-AG85</f>
        <v>0</v>
      </c>
      <c r="AH86" s="4412">
        <f>AH84-AH85</f>
        <v>0</v>
      </c>
      <c r="AI86" s="4412">
        <f>AI84-AI85</f>
        <v>0</v>
      </c>
      <c r="AJ86" s="4413"/>
      <c r="AK86" s="4414"/>
      <c r="AL86" s="4412">
        <f>AL84-AL85</f>
        <v>-43514.543999999994</v>
      </c>
      <c r="AM86" s="4412">
        <f>AM84-AM85</f>
        <v>738944.15</v>
      </c>
      <c r="AN86" s="4412">
        <f>AN84-AN85</f>
        <v>695429.60600000003</v>
      </c>
      <c r="AO86" s="4413"/>
      <c r="AP86" s="4414"/>
      <c r="AQ86" s="4412">
        <f>AQ84-AQ85</f>
        <v>0</v>
      </c>
      <c r="AR86" s="4412">
        <f>AR84-AR85</f>
        <v>0</v>
      </c>
      <c r="AS86" s="4412">
        <f>AS84-AS85</f>
        <v>0</v>
      </c>
      <c r="AT86" s="4413"/>
      <c r="AU86" s="4414"/>
      <c r="AV86" s="4412">
        <f>AV84-AV85</f>
        <v>-8475.8260154516938</v>
      </c>
      <c r="AW86" s="4412">
        <f>AW84-AW85</f>
        <v>-56721</v>
      </c>
      <c r="AX86" s="4412">
        <f>AX84-AX85</f>
        <v>-65196.82601545169</v>
      </c>
      <c r="AY86" s="4413"/>
      <c r="AZ86" s="4414"/>
      <c r="BA86" s="4412">
        <f>BA84-BA85</f>
        <v>0</v>
      </c>
      <c r="BB86" s="4412">
        <f>BB84-BB85</f>
        <v>0</v>
      </c>
      <c r="BC86" s="4412">
        <f>BC84-BC85</f>
        <v>0</v>
      </c>
      <c r="BD86" s="4413"/>
      <c r="BE86" s="4414"/>
      <c r="BF86" s="4412">
        <f>BF84-BF85</f>
        <v>0</v>
      </c>
      <c r="BG86" s="4412">
        <f>BG84-BG85</f>
        <v>0</v>
      </c>
      <c r="BH86" s="4412">
        <f>BH84-BH85</f>
        <v>0</v>
      </c>
      <c r="BI86" s="4413"/>
      <c r="BJ86" s="4414"/>
      <c r="BK86" s="4412">
        <f>BK84-BK85</f>
        <v>0</v>
      </c>
      <c r="BL86" s="4412">
        <f>BL84-BL85</f>
        <v>0</v>
      </c>
      <c r="BM86" s="4412">
        <f>BM84-BM85</f>
        <v>0</v>
      </c>
      <c r="BN86" s="4413"/>
      <c r="BO86" s="4414"/>
      <c r="BP86" s="4412">
        <f>BP84-BP85</f>
        <v>0</v>
      </c>
      <c r="BQ86" s="4412">
        <f>BQ84-BQ85</f>
        <v>0</v>
      </c>
      <c r="BR86" s="4412">
        <f>BR84-BR85</f>
        <v>0</v>
      </c>
      <c r="BS86" s="4413"/>
      <c r="BT86" s="4414"/>
      <c r="BU86" s="4412">
        <f>BU84-BU85</f>
        <v>0</v>
      </c>
      <c r="BV86" s="4412">
        <f>BV84-BV85</f>
        <v>0</v>
      </c>
      <c r="BW86" s="4412">
        <f>BW84-BW85</f>
        <v>0</v>
      </c>
      <c r="BX86" s="4413"/>
      <c r="BY86" s="4414"/>
      <c r="BZ86" s="4412">
        <f>BZ84-BZ85</f>
        <v>0</v>
      </c>
      <c r="CA86" s="4412">
        <f>CA84-CA85</f>
        <v>0</v>
      </c>
      <c r="CB86" s="4412">
        <f>CB84-CB85</f>
        <v>0</v>
      </c>
      <c r="CC86" s="4413"/>
      <c r="CD86" s="4414"/>
      <c r="CE86" s="4412">
        <f>CE84-CE85</f>
        <v>0</v>
      </c>
      <c r="CF86" s="4412">
        <f>CF84-CF85</f>
        <v>0</v>
      </c>
      <c r="CG86" s="4412">
        <f>CG84-CG85</f>
        <v>0</v>
      </c>
      <c r="CH86" s="4413"/>
      <c r="CI86" s="4414"/>
      <c r="CJ86" s="4412">
        <f>CJ84-CJ85</f>
        <v>-256589.37779546951</v>
      </c>
      <c r="CK86" s="4412">
        <f>CK84-CK85</f>
        <v>669652.12</v>
      </c>
      <c r="CL86" s="4412">
        <f>CL84-CL85</f>
        <v>791774.39998454833</v>
      </c>
      <c r="CM86" s="4413"/>
      <c r="CN86" s="4413"/>
      <c r="CP86" s="3481">
        <f>CP84-CP85</f>
        <v>1382373.7447933333</v>
      </c>
      <c r="CQ86" s="3481">
        <f>CQ84-CQ85</f>
        <v>791774.39998454833</v>
      </c>
      <c r="CR86" s="3481">
        <f>CR84-CR85</f>
        <v>590599.34480878501</v>
      </c>
      <c r="CT86" s="4319">
        <f>-CR86/CP86</f>
        <v>-0.42723564957252597</v>
      </c>
      <c r="CW86" s="4319">
        <f>CR86/CP86</f>
        <v>0.42723564957252597</v>
      </c>
    </row>
    <row r="87" spans="1:101" s="1396" customFormat="1" ht="14.4" thickBot="1">
      <c r="A87" s="1567"/>
      <c r="B87" s="4416" t="s">
        <v>51</v>
      </c>
      <c r="C87" s="4417">
        <f>IFERROR(C86/C5,0)</f>
        <v>0</v>
      </c>
      <c r="D87" s="4418">
        <f>IFERROR(D86/D5,0)</f>
        <v>0</v>
      </c>
      <c r="E87" s="4419">
        <f>IFERROR(E86/E5,0)</f>
        <v>0</v>
      </c>
      <c r="F87" s="4420"/>
      <c r="G87" s="4421"/>
      <c r="H87" s="4417">
        <f>IFERROR(H86/H5,0)</f>
        <v>0</v>
      </c>
      <c r="I87" s="4418">
        <f>IFERROR(I86/I5,0)</f>
        <v>0</v>
      </c>
      <c r="J87" s="4419">
        <f>IFERROR(J86/J5,0)</f>
        <v>0</v>
      </c>
      <c r="K87" s="4420"/>
      <c r="L87" s="4421"/>
      <c r="M87" s="4417">
        <f>IFERROR(M86/M5,0)</f>
        <v>0</v>
      </c>
      <c r="N87" s="4418">
        <f>IFERROR(N86/N5,0)</f>
        <v>0</v>
      </c>
      <c r="O87" s="4419">
        <f>IFERROR(O86/O5,0)</f>
        <v>0</v>
      </c>
      <c r="P87" s="4420"/>
      <c r="Q87" s="4421"/>
      <c r="R87" s="4422"/>
      <c r="S87" s="4422"/>
      <c r="T87" s="4422"/>
      <c r="U87" s="4422"/>
      <c r="V87" s="4422"/>
      <c r="W87" s="4422"/>
      <c r="X87" s="4422"/>
      <c r="Y87" s="4422"/>
      <c r="Z87" s="4422"/>
      <c r="AA87" s="4422"/>
      <c r="AB87" s="4417">
        <f>IFERROR(AB86/AB5,0)</f>
        <v>0</v>
      </c>
      <c r="AC87" s="4418">
        <f>IFERROR(AC86/AC5,0)</f>
        <v>0</v>
      </c>
      <c r="AD87" s="4419">
        <f>IFERROR(AD86/AD5,0)</f>
        <v>0</v>
      </c>
      <c r="AE87" s="4420"/>
      <c r="AF87" s="4423"/>
      <c r="AG87" s="4417">
        <f>IFERROR(AG86/AG5,0)</f>
        <v>0</v>
      </c>
      <c r="AH87" s="4418">
        <f>IFERROR(AH86/AH5,0)</f>
        <v>0</v>
      </c>
      <c r="AI87" s="4419">
        <f>IFERROR(AI86/AI5,0)</f>
        <v>0</v>
      </c>
      <c r="AJ87" s="4420"/>
      <c r="AK87" s="4421"/>
      <c r="AL87" s="4417">
        <f>IFERROR(AL86/AL5,0)</f>
        <v>-0.84633947291646394</v>
      </c>
      <c r="AM87" s="4418">
        <f>IFERROR(AM86/AM5,0)</f>
        <v>1</v>
      </c>
      <c r="AN87" s="4419">
        <f>IFERROR(AN86/AN5,0)</f>
        <v>0.87989062440790367</v>
      </c>
      <c r="AO87" s="4420"/>
      <c r="AP87" s="4421"/>
      <c r="AQ87" s="4417">
        <f>IFERROR(AQ86/AQ5,0)</f>
        <v>0</v>
      </c>
      <c r="AR87" s="4418">
        <f>IFERROR(AR86/AR5,0)</f>
        <v>0</v>
      </c>
      <c r="AS87" s="4419">
        <f>IFERROR(AS86/AS5,0)</f>
        <v>0</v>
      </c>
      <c r="AT87" s="4420"/>
      <c r="AU87" s="4421"/>
      <c r="AV87" s="4417">
        <f>IFERROR(AV86/AV5,0)</f>
        <v>0</v>
      </c>
      <c r="AW87" s="4418">
        <f>IFERROR(AW86/AW5,0)</f>
        <v>0</v>
      </c>
      <c r="AX87" s="4419">
        <f>IFERROR(AX86/AX5,0)</f>
        <v>0</v>
      </c>
      <c r="AY87" s="4420"/>
      <c r="AZ87" s="4421"/>
      <c r="BA87" s="4417">
        <f>IFERROR(BA86/BA5,0)</f>
        <v>0</v>
      </c>
      <c r="BB87" s="4418">
        <f>IFERROR(BB86/BB5,0)</f>
        <v>0</v>
      </c>
      <c r="BC87" s="4419">
        <f>IFERROR(BC86/BC5,0)</f>
        <v>0</v>
      </c>
      <c r="BD87" s="4420"/>
      <c r="BE87" s="4421"/>
      <c r="BF87" s="4417">
        <f>IFERROR(BF86/BF5,0)</f>
        <v>0</v>
      </c>
      <c r="BG87" s="4418">
        <f>IFERROR(BG86/BG5,0)</f>
        <v>0</v>
      </c>
      <c r="BH87" s="4419">
        <f>IFERROR(BH86/BH5,0)</f>
        <v>0</v>
      </c>
      <c r="BI87" s="4420"/>
      <c r="BJ87" s="4421"/>
      <c r="BK87" s="4417">
        <f>IFERROR(BK86/BK5,0)</f>
        <v>0</v>
      </c>
      <c r="BL87" s="4418">
        <f>IFERROR(BL86/BL5,0)</f>
        <v>0</v>
      </c>
      <c r="BM87" s="4419">
        <f>IFERROR(BM86/BM5,0)</f>
        <v>0</v>
      </c>
      <c r="BN87" s="4420"/>
      <c r="BO87" s="4421"/>
      <c r="BP87" s="4417">
        <f>IFERROR(BP86/BP5,0)</f>
        <v>0</v>
      </c>
      <c r="BQ87" s="4418">
        <f>IFERROR(BQ86/BQ5,0)</f>
        <v>0</v>
      </c>
      <c r="BR87" s="4419">
        <f>IFERROR(BR86/BR5,0)</f>
        <v>0</v>
      </c>
      <c r="BS87" s="4420"/>
      <c r="BT87" s="4421"/>
      <c r="BU87" s="4417">
        <f>IFERROR(BU86/BU5,0)</f>
        <v>0</v>
      </c>
      <c r="BV87" s="4418">
        <f>IFERROR(BV86/BV5,0)</f>
        <v>0</v>
      </c>
      <c r="BW87" s="4419">
        <f>IFERROR(BW86/BW5,0)</f>
        <v>0</v>
      </c>
      <c r="BX87" s="4420"/>
      <c r="BY87" s="4421"/>
      <c r="BZ87" s="4417">
        <f>IFERROR(BZ86/BZ5,0)</f>
        <v>0</v>
      </c>
      <c r="CA87" s="4418">
        <f>IFERROR(CA86/CA5,0)</f>
        <v>0</v>
      </c>
      <c r="CB87" s="4419">
        <f>IFERROR(CB86/CB5,0)</f>
        <v>0</v>
      </c>
      <c r="CC87" s="4420"/>
      <c r="CD87" s="4421"/>
      <c r="CE87" s="4417">
        <f>IFERROR(CE86/CE5,0)</f>
        <v>0</v>
      </c>
      <c r="CF87" s="4418">
        <f>IFERROR(CF86/CF5,0)</f>
        <v>0</v>
      </c>
      <c r="CG87" s="4419">
        <f>IFERROR(CG86/CG5,0)</f>
        <v>0</v>
      </c>
      <c r="CH87" s="4420"/>
      <c r="CI87" s="4421"/>
      <c r="CJ87" s="4417">
        <f>IFERROR(CJ86/CJ5,0)</f>
        <v>-0.19716123538650465</v>
      </c>
      <c r="CK87" s="4419">
        <f>IFERROR(CK86/CK5,0)</f>
        <v>0.90622832591610603</v>
      </c>
      <c r="CL87" s="4419">
        <f>IFERROR(CL86/CL5,0)</f>
        <v>0.38805562626660278</v>
      </c>
      <c r="CM87" s="4420"/>
      <c r="CN87" s="4420"/>
      <c r="CP87" s="4419">
        <f>CP86/CP5</f>
        <v>0.43579456614160023</v>
      </c>
      <c r="CQ87" s="4424">
        <f>IFERROR(CQ86/CQ5,0)</f>
        <v>0.38805562626660278</v>
      </c>
      <c r="CR87" s="4419">
        <f>CR86/CR5</f>
        <v>0.52186297322216224</v>
      </c>
      <c r="CT87" s="3443"/>
    </row>
    <row r="88" spans="1:101"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3729"/>
      <c r="AG88" s="1954"/>
      <c r="AH88" s="1954"/>
      <c r="AI88" s="1954"/>
      <c r="AJ88" s="1954"/>
      <c r="AK88" s="1611"/>
      <c r="AL88" s="1954"/>
      <c r="AM88" s="1954"/>
      <c r="AN88" s="1954"/>
      <c r="AO88" s="1954"/>
      <c r="AP88" s="1611"/>
      <c r="AQ88" s="1954"/>
      <c r="AR88" s="1954"/>
      <c r="AS88" s="1954"/>
      <c r="AT88" s="1954"/>
      <c r="AU88" s="1611"/>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1954"/>
      <c r="CQ88" s="1954"/>
      <c r="CR88" s="1954"/>
    </row>
    <row r="89" spans="1:101">
      <c r="B89" s="1562" t="s">
        <v>56</v>
      </c>
      <c r="E89" s="1960">
        <f>E8+E36+E41+E50+E54+E73+E79+E82+E85</f>
        <v>0</v>
      </c>
      <c r="G89" s="1963"/>
      <c r="J89" s="1960">
        <f>J8+J36+J41+J50+J54+J73+J79+J82+J85</f>
        <v>0</v>
      </c>
      <c r="L89" s="1963"/>
      <c r="O89" s="1960">
        <f>O8+O36+O41+O50+O54+O73+O79+O82+O85</f>
        <v>0</v>
      </c>
      <c r="Q89" s="1963"/>
      <c r="R89" s="1963"/>
      <c r="S89" s="1963"/>
      <c r="T89" s="1960">
        <f>T8+T36+T41+T50+T54+T73+T79+T82+T85</f>
        <v>0</v>
      </c>
      <c r="U89" s="1963"/>
      <c r="V89" s="1963"/>
      <c r="W89" s="1963"/>
      <c r="X89" s="1963"/>
      <c r="Y89" s="1960">
        <f>Y8+Y36+Y41+Y50+Y54+Y73+Y79+Y82+Y85</f>
        <v>377296.40779546951</v>
      </c>
      <c r="Z89" s="1963"/>
      <c r="AA89" s="1963"/>
      <c r="AD89" s="1960">
        <f>AD8+AD36+AD41+AD50+AD54+AD73+AD79+AD82+AD85</f>
        <v>217170.03778001782</v>
      </c>
      <c r="AI89" s="1960">
        <f>AI8+AI36+AI41+AI50+AI54+AI73+AI79+AI82+AI85</f>
        <v>0</v>
      </c>
      <c r="AK89" s="1963"/>
      <c r="AN89" s="1960">
        <f>AN8+AN36+AN41+AN50+AN54+AN73+AN79+AN82+AN85</f>
        <v>94929.543999999994</v>
      </c>
      <c r="AP89" s="1963"/>
      <c r="AS89" s="1960">
        <f>AS8+AS36+AS41+AS50+AS54+AS73+AS79+AS82+AS85</f>
        <v>0</v>
      </c>
      <c r="AU89" s="1963"/>
      <c r="AX89" s="1960">
        <f>AX8+AX36+AX41+AX50+AX54+AX73+AX79+AX82+AX85</f>
        <v>65196.82601545169</v>
      </c>
      <c r="AZ89" s="1963"/>
      <c r="BC89" s="1960">
        <f>BC8+BC36+BC41+BC50+BC54+BC73+BC79+BC82+BC85</f>
        <v>0</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1248588.7500154516</v>
      </c>
    </row>
    <row r="90" spans="1:101">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1963"/>
      <c r="AC90" s="1963"/>
      <c r="AD90" s="1963"/>
      <c r="AE90" s="1963"/>
      <c r="AG90" s="1963"/>
      <c r="AH90" s="1963"/>
      <c r="AI90" s="1963"/>
      <c r="AJ90" s="1963"/>
      <c r="AK90" s="1963"/>
      <c r="AL90" s="1963"/>
      <c r="AM90" s="1963"/>
      <c r="AN90" s="1963"/>
      <c r="AO90" s="1963"/>
      <c r="AP90" s="1963"/>
      <c r="AQ90" s="1963"/>
      <c r="AR90" s="1963"/>
      <c r="AS90" s="1963"/>
      <c r="AT90" s="1963"/>
      <c r="AU90" s="1963"/>
      <c r="AV90" s="1963"/>
      <c r="AW90" s="1963"/>
      <c r="AX90" s="1963"/>
      <c r="AY90" s="1963"/>
      <c r="AZ90" s="1963"/>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row>
    <row r="91" spans="1:101"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586"/>
      <c r="AG91" s="1963"/>
      <c r="AH91" s="1963"/>
      <c r="AI91" s="1963"/>
      <c r="AJ91" s="1963"/>
      <c r="AK91" s="1963"/>
      <c r="AL91" s="1963"/>
      <c r="AM91" s="1963"/>
      <c r="AN91" s="1963"/>
      <c r="AO91" s="1963"/>
      <c r="AP91" s="1963"/>
      <c r="AQ91" s="1963"/>
      <c r="AR91" s="1963"/>
      <c r="AS91" s="1963"/>
      <c r="AT91" s="1963"/>
      <c r="AU91" s="1963"/>
      <c r="AV91" s="1963"/>
      <c r="AW91" s="1963"/>
      <c r="AX91" s="1963"/>
      <c r="AY91" s="1963"/>
      <c r="AZ91" s="196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c r="CP91" s="1952"/>
      <c r="CQ91" s="1952"/>
      <c r="CR91" s="1952"/>
      <c r="CT91" s="3443"/>
    </row>
    <row r="92" spans="1:101">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G92" s="1963"/>
      <c r="AH92" s="1963"/>
      <c r="AI92" s="1963"/>
      <c r="AJ92" s="1963"/>
      <c r="AK92" s="1963"/>
      <c r="AL92" s="1963"/>
      <c r="AM92" s="1963"/>
      <c r="AN92" s="1963"/>
      <c r="AO92" s="1963"/>
      <c r="AP92" s="1963"/>
      <c r="AQ92" s="1963"/>
      <c r="AR92" s="1963"/>
      <c r="AS92" s="1963"/>
      <c r="AT92" s="1963"/>
      <c r="AU92" s="1963"/>
      <c r="AV92" s="1963"/>
      <c r="AW92" s="1963"/>
      <c r="AX92" s="1963"/>
      <c r="AY92" s="1963"/>
      <c r="AZ92" s="196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1" s="1396" customFormat="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586"/>
      <c r="AG93" s="1963"/>
      <c r="AH93" s="1963"/>
      <c r="AI93" s="1963"/>
      <c r="AJ93" s="1963"/>
      <c r="AK93" s="1963"/>
      <c r="AL93" s="1963"/>
      <c r="AM93" s="1963"/>
      <c r="AN93" s="1963"/>
      <c r="AO93" s="1963"/>
      <c r="AP93" s="1963"/>
      <c r="AQ93" s="1963"/>
      <c r="AR93" s="1963"/>
      <c r="AS93" s="1963"/>
      <c r="AT93" s="1963"/>
      <c r="AU93" s="1963"/>
      <c r="AV93" s="1963"/>
      <c r="AW93" s="1963"/>
      <c r="AX93" s="1963"/>
      <c r="AY93" s="1963"/>
      <c r="AZ93" s="1963"/>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52"/>
      <c r="CK93" s="1952"/>
      <c r="CL93" s="687"/>
      <c r="CM93" s="1952"/>
      <c r="CN93" s="1952"/>
      <c r="CP93" s="1952"/>
      <c r="CQ93" s="1952"/>
      <c r="CR93" s="1952"/>
      <c r="CT93" s="3443"/>
    </row>
    <row r="94" spans="1:101" s="1396" customForma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586"/>
      <c r="AG94" s="1963"/>
      <c r="AH94" s="1963"/>
      <c r="AI94" s="1963"/>
      <c r="AJ94" s="1963"/>
      <c r="AK94" s="1963"/>
      <c r="AL94" s="1963"/>
      <c r="AM94" s="1963"/>
      <c r="AN94" s="1963"/>
      <c r="AO94" s="1963"/>
      <c r="AP94" s="1963"/>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52"/>
      <c r="CK94" s="1952"/>
      <c r="CL94" s="1952"/>
      <c r="CM94" s="1952"/>
      <c r="CN94" s="1952"/>
      <c r="CP94" s="1952"/>
      <c r="CQ94" s="1952"/>
      <c r="CR94" s="1952"/>
      <c r="CT94" s="3443"/>
    </row>
    <row r="95" spans="1:101" s="1396" customFormat="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586"/>
      <c r="AG95" s="1963"/>
      <c r="AH95" s="1963"/>
      <c r="AI95" s="1963"/>
      <c r="AJ95" s="1963"/>
      <c r="AK95" s="1963"/>
      <c r="AL95" s="1963"/>
      <c r="AM95" s="1963"/>
      <c r="AN95" s="1963"/>
      <c r="AO95" s="1963"/>
      <c r="AP95" s="1963"/>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52"/>
      <c r="CK95" s="1952"/>
      <c r="CL95" s="1952"/>
      <c r="CM95" s="1952"/>
      <c r="CN95" s="1952"/>
      <c r="CP95" s="1952"/>
      <c r="CQ95" s="1952"/>
      <c r="CR95" s="1952"/>
      <c r="CT95" s="3443"/>
    </row>
    <row r="96" spans="1:101" s="1396" customFormat="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586"/>
      <c r="AG96" s="1963"/>
      <c r="AH96" s="1963"/>
      <c r="AI96" s="1963"/>
      <c r="AJ96" s="1963"/>
      <c r="AK96" s="1963"/>
      <c r="AL96" s="1963"/>
      <c r="AM96" s="1963"/>
      <c r="AN96" s="1963"/>
      <c r="AO96" s="1963"/>
      <c r="AP96" s="1963"/>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52"/>
      <c r="CK96" s="1952"/>
      <c r="CL96" s="1952"/>
      <c r="CM96" s="1952"/>
      <c r="CN96" s="1952"/>
      <c r="CP96" s="1952"/>
      <c r="CQ96" s="1952"/>
      <c r="CR96" s="1952"/>
      <c r="CT96" s="3443"/>
    </row>
    <row r="97" spans="1:98">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G97" s="1963"/>
      <c r="AH97" s="1963"/>
      <c r="AI97" s="1963"/>
      <c r="AJ97" s="1963"/>
      <c r="AK97" s="1963"/>
      <c r="AL97" s="1963"/>
      <c r="AM97" s="1963"/>
      <c r="AN97" s="1963"/>
      <c r="AO97" s="1963"/>
      <c r="AP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98"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586"/>
      <c r="AG98" s="1952"/>
      <c r="AH98" s="1952"/>
      <c r="AI98" s="1952"/>
      <c r="AJ98" s="1952"/>
      <c r="AK98" s="1952"/>
      <c r="AL98" s="1952"/>
      <c r="AM98" s="1952"/>
      <c r="AN98" s="1952"/>
      <c r="AO98" s="1952"/>
      <c r="AP98" s="1952"/>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1952"/>
      <c r="CQ98" s="1952"/>
      <c r="CR98" s="1952"/>
      <c r="CT98" s="3443"/>
    </row>
  </sheetData>
  <mergeCells count="25">
    <mergeCell ref="CW9:CW11"/>
    <mergeCell ref="A42:A48"/>
    <mergeCell ref="BF2:BJ3"/>
    <mergeCell ref="BK2:BO3"/>
    <mergeCell ref="BP2:BT3"/>
    <mergeCell ref="BU2:BY3"/>
    <mergeCell ref="AB2:AF3"/>
    <mergeCell ref="AG2:AK3"/>
    <mergeCell ref="AL2:AP3"/>
    <mergeCell ref="AQ2:AU3"/>
    <mergeCell ref="AV2:AZ3"/>
    <mergeCell ref="BA2:BE3"/>
    <mergeCell ref="W2:AA3"/>
    <mergeCell ref="BZ2:CD3"/>
    <mergeCell ref="CE2:CI3"/>
    <mergeCell ref="R2:V3"/>
    <mergeCell ref="A2:B2"/>
    <mergeCell ref="C2:G3"/>
    <mergeCell ref="H2:L3"/>
    <mergeCell ref="A3:B3"/>
    <mergeCell ref="CR9:CR11"/>
    <mergeCell ref="CJ2:CN3"/>
    <mergeCell ref="CP2:CR3"/>
    <mergeCell ref="M2:Q3"/>
    <mergeCell ref="CP9:CP11"/>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D69" activePane="bottomRight" state="frozen"/>
      <selection activeCell="Y90" sqref="Y90"/>
      <selection pane="topRight" activeCell="Y90" sqref="Y90"/>
      <selection pane="bottomLeft" activeCell="Y90" sqref="Y90"/>
      <selection pane="bottomRight" activeCell="AL94" sqref="AL94"/>
    </sheetView>
  </sheetViews>
  <sheetFormatPr defaultColWidth="2.88671875" defaultRowHeight="13.2" outlineLevelRow="3" outlineLevelCol="1"/>
  <cols>
    <col min="1" max="1" width="2.33203125" style="1402" customWidth="1"/>
    <col min="2" max="2" width="53.109375" style="1402" customWidth="1"/>
    <col min="3" max="3" width="12.88671875" style="1952" customWidth="1" outlineLevel="1" collapsed="1"/>
    <col min="4" max="6" width="12.88671875" style="1952" customWidth="1" outlineLevel="1"/>
    <col min="7" max="7" width="26.109375" style="1952" customWidth="1" outlineLevel="1"/>
    <col min="8" max="8" width="12.88671875" style="1952" customWidth="1" outlineLevel="1" collapsed="1"/>
    <col min="9" max="11" width="12.88671875" style="1952" customWidth="1" outlineLevel="1"/>
    <col min="12" max="12" width="26.109375" style="1952" customWidth="1" outlineLevel="1"/>
    <col min="13" max="16" width="12.88671875" style="1952" customWidth="1" outlineLevel="1"/>
    <col min="17" max="17" width="26.109375" style="1952" customWidth="1" outlineLevel="1"/>
    <col min="18" max="18" width="13.44140625" style="1952" customWidth="1" outlineLevel="1" collapsed="1"/>
    <col min="19" max="22" width="13.44140625" style="1952" customWidth="1" outlineLevel="1"/>
    <col min="23" max="27" width="13.44140625" style="1952" customWidth="1"/>
    <col min="28" max="31" width="12.88671875" style="1952" hidden="1" customWidth="1" outlineLevel="1"/>
    <col min="32" max="32" width="29.33203125" style="1952" hidden="1" customWidth="1" outlineLevel="1"/>
    <col min="33" max="33" width="12.88671875" style="1952" customWidth="1" collapsed="1"/>
    <col min="34" max="36" width="12.88671875" style="1952" customWidth="1"/>
    <col min="37" max="37" width="26.109375" style="1952" customWidth="1"/>
    <col min="38" max="41" width="12.88671875" style="1952" customWidth="1"/>
    <col min="42" max="42" width="26.109375" style="1952" customWidth="1"/>
    <col min="43" max="46" width="12.88671875" style="1952" hidden="1" customWidth="1" outlineLevel="1"/>
    <col min="47" max="47" width="26.109375" style="1952" hidden="1" customWidth="1" outlineLevel="1"/>
    <col min="48" max="51" width="12.88671875" style="1952" hidden="1" customWidth="1" outlineLevel="1"/>
    <col min="52" max="52" width="26.109375" style="1952" hidden="1" customWidth="1" outlineLevel="1"/>
    <col min="53" max="56" width="12.88671875" style="1952" hidden="1" customWidth="1" outlineLevel="1"/>
    <col min="57" max="57" width="26.109375" style="1952" hidden="1" customWidth="1" outlineLevel="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14.33203125" style="1952" customWidth="1"/>
    <col min="93" max="93" width="2.88671875" style="1395"/>
    <col min="94" max="95" width="12.88671875" style="1952" customWidth="1"/>
    <col min="96" max="96" width="14.5546875" style="1952" customWidth="1"/>
    <col min="97" max="97" width="2.88671875" style="1395" customWidth="1" outlineLevel="1"/>
    <col min="98" max="98" width="11.6640625" style="1522" customWidth="1" outlineLevel="1"/>
    <col min="99" max="99" width="8.33203125" style="1395" customWidth="1" outlineLevel="1"/>
    <col min="100" max="100" width="8.44140625" style="1395" customWidth="1" outlineLevel="1"/>
    <col min="101" max="101" width="7.6640625" style="1395" bestFit="1" customWidth="1"/>
    <col min="102" max="16384" width="2.88671875" style="1395"/>
  </cols>
  <sheetData>
    <row r="1" spans="1:99" ht="13.8" thickBot="1"/>
    <row r="2" spans="1:99" ht="13.8">
      <c r="A2" s="4834" t="s">
        <v>1872</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1980</v>
      </c>
      <c r="CK2" s="4875"/>
      <c r="CL2" s="4875"/>
      <c r="CM2" s="4875"/>
      <c r="CN2" s="4876"/>
      <c r="CP2" s="5168" t="s">
        <v>1873</v>
      </c>
      <c r="CQ2" s="5169"/>
      <c r="CR2" s="5170"/>
    </row>
    <row r="3" spans="1:99"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71"/>
      <c r="CQ3" s="5172"/>
      <c r="CR3" s="5173"/>
    </row>
    <row r="4" spans="1:99"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1474" t="s">
        <v>1850</v>
      </c>
      <c r="CQ4" s="1474" t="s">
        <v>1919</v>
      </c>
      <c r="CR4" s="1474" t="s">
        <v>1826</v>
      </c>
    </row>
    <row r="5" spans="1:99"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687545.81</v>
      </c>
      <c r="X5" s="1466">
        <f>X6</f>
        <v>0</v>
      </c>
      <c r="Y5" s="1466">
        <f>Y6+Y7</f>
        <v>687545.81</v>
      </c>
      <c r="Z5" s="1466"/>
      <c r="AA5" s="1466"/>
      <c r="AB5" s="1466">
        <f>AB6</f>
        <v>0</v>
      </c>
      <c r="AC5" s="1466">
        <f>AC6</f>
        <v>0</v>
      </c>
      <c r="AD5" s="1466">
        <f>AD6+AD7</f>
        <v>0</v>
      </c>
      <c r="AE5" s="1466"/>
      <c r="AF5" s="1466"/>
      <c r="AG5" s="1466">
        <f>AG6</f>
        <v>687545.81</v>
      </c>
      <c r="AH5" s="1466">
        <f>AH6</f>
        <v>0</v>
      </c>
      <c r="AI5" s="1466">
        <f>AI6+AI7</f>
        <v>687545.81</v>
      </c>
      <c r="AJ5" s="1466"/>
      <c r="AK5" s="1466"/>
      <c r="AL5" s="1466">
        <f>AL6</f>
        <v>0</v>
      </c>
      <c r="AM5" s="1466">
        <f>AM6</f>
        <v>0</v>
      </c>
      <c r="AN5" s="1466">
        <f>AN6+AN7</f>
        <v>0</v>
      </c>
      <c r="AO5" s="1466"/>
      <c r="AP5" s="1466"/>
      <c r="AQ5" s="1466">
        <f>AQ6</f>
        <v>0</v>
      </c>
      <c r="AR5" s="1466">
        <f>AR6</f>
        <v>0</v>
      </c>
      <c r="AS5" s="1466">
        <f>AS6+AS7</f>
        <v>0</v>
      </c>
      <c r="AT5" s="1466"/>
      <c r="AU5" s="1466"/>
      <c r="AV5" s="1466">
        <f>AV6</f>
        <v>0</v>
      </c>
      <c r="AW5" s="1466">
        <f>AW6</f>
        <v>0</v>
      </c>
      <c r="AX5" s="1466">
        <f>AX6+AX7</f>
        <v>0</v>
      </c>
      <c r="AY5" s="1466"/>
      <c r="AZ5" s="1466"/>
      <c r="BA5" s="1466">
        <f>BA6</f>
        <v>0</v>
      </c>
      <c r="BB5" s="1466">
        <f>BB6</f>
        <v>0</v>
      </c>
      <c r="BC5" s="1466">
        <f>BC6+BC7</f>
        <v>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687545.81</v>
      </c>
      <c r="CK5" s="1466">
        <f>CK6</f>
        <v>0</v>
      </c>
      <c r="CL5" s="1466">
        <f>CL6</f>
        <v>687545.81</v>
      </c>
      <c r="CM5" s="1466"/>
      <c r="CN5" s="1466"/>
      <c r="CP5" s="1955">
        <f>CP6</f>
        <v>703731.23303999996</v>
      </c>
      <c r="CQ5" s="1955">
        <f>CQ6</f>
        <v>687545.81</v>
      </c>
      <c r="CR5" s="3440">
        <f>CR6</f>
        <v>16185.423039999907</v>
      </c>
      <c r="CT5" s="2624"/>
    </row>
    <row r="6" spans="1:99" s="1396" customFormat="1" ht="27.6"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687545.81</v>
      </c>
      <c r="X6" s="3342">
        <f>AC6+AH6+AM6+AW6+BB6+BG6+BL6+BQ6+BV6+CA6+CF6+AR6</f>
        <v>0</v>
      </c>
      <c r="Y6" s="2012">
        <f t="shared" ref="Y6:Y7" si="3">W6+X6</f>
        <v>687545.81</v>
      </c>
      <c r="Z6" s="3342"/>
      <c r="AA6" s="3342"/>
      <c r="AB6" s="3341"/>
      <c r="AC6" s="3341"/>
      <c r="AD6" s="2012">
        <f t="shared" ref="AD6:AD7" si="4">AB6+AC6</f>
        <v>0</v>
      </c>
      <c r="AE6" s="3341"/>
      <c r="AF6" s="3342"/>
      <c r="AG6" s="3341">
        <v>687545.81</v>
      </c>
      <c r="AH6" s="3341"/>
      <c r="AI6" s="2012">
        <f t="shared" ref="AI6:AI7" si="5">AG6+AH6</f>
        <v>687545.81</v>
      </c>
      <c r="AJ6" s="3341"/>
      <c r="AK6" s="3342" t="s">
        <v>1922</v>
      </c>
      <c r="AL6" s="3341"/>
      <c r="AM6" s="3341"/>
      <c r="AN6" s="2012">
        <f t="shared" ref="AN6:AN7" si="6">AL6+AM6</f>
        <v>0</v>
      </c>
      <c r="AO6" s="3341"/>
      <c r="AP6" s="3342"/>
      <c r="AQ6" s="3341"/>
      <c r="AR6" s="3341"/>
      <c r="AS6" s="2012">
        <f t="shared" ref="AS6:AS7" si="7">AQ6+AR6</f>
        <v>0</v>
      </c>
      <c r="AT6" s="3341"/>
      <c r="AU6" s="3342"/>
      <c r="AV6" s="3341"/>
      <c r="AW6" s="3341"/>
      <c r="AX6" s="2012">
        <f t="shared" ref="AX6:AX7" si="8">AV6+AW6</f>
        <v>0</v>
      </c>
      <c r="AY6" s="3341"/>
      <c r="AZ6" s="3342"/>
      <c r="BA6" s="3341"/>
      <c r="BB6" s="3341"/>
      <c r="BC6" s="2012">
        <f t="shared" ref="BC6:BC7" si="9">BA6+BB6</f>
        <v>0</v>
      </c>
      <c r="BD6" s="3341"/>
      <c r="BE6" s="3342"/>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f>
        <v>687545.81</v>
      </c>
      <c r="CK6" s="3341">
        <f>D6+I6+N6+X6</f>
        <v>0</v>
      </c>
      <c r="CL6" s="2012">
        <f>CJ6+CK6</f>
        <v>687545.81</v>
      </c>
      <c r="CM6" s="3341"/>
      <c r="CN6" s="3341"/>
      <c r="CP6" s="2012">
        <v>703731.23303999996</v>
      </c>
      <c r="CQ6" s="2012">
        <f>CL6</f>
        <v>687545.81</v>
      </c>
      <c r="CR6" s="4035">
        <f>CP6-CQ6</f>
        <v>16185.423039999907</v>
      </c>
      <c r="CS6" s="3307"/>
      <c r="CT6" s="2624"/>
    </row>
    <row r="7" spans="1:99" s="1396" customFormat="1" ht="14.4" outlineLevel="1" collapsed="1" thickBot="1">
      <c r="A7" s="1571"/>
      <c r="B7" s="4036" t="s">
        <v>41</v>
      </c>
      <c r="C7" s="3341"/>
      <c r="D7" s="3341"/>
      <c r="E7" s="2012">
        <f t="shared" si="0"/>
        <v>0</v>
      </c>
      <c r="F7" s="4037"/>
      <c r="G7" s="4037"/>
      <c r="H7" s="3341"/>
      <c r="I7" s="3341"/>
      <c r="J7" s="2012">
        <f>H7+I7</f>
        <v>0</v>
      </c>
      <c r="K7" s="4037"/>
      <c r="L7" s="4037"/>
      <c r="M7" s="3341"/>
      <c r="N7" s="3341"/>
      <c r="O7" s="2012">
        <f t="shared" si="1"/>
        <v>0</v>
      </c>
      <c r="P7" s="4037"/>
      <c r="Q7" s="4037"/>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1"/>
      <c r="AC7" s="3341"/>
      <c r="AD7" s="2012">
        <f t="shared" si="4"/>
        <v>0</v>
      </c>
      <c r="AE7" s="4037"/>
      <c r="AF7" s="4037"/>
      <c r="AG7" s="3341"/>
      <c r="AH7" s="3341"/>
      <c r="AI7" s="2012">
        <f t="shared" si="5"/>
        <v>0</v>
      </c>
      <c r="AJ7" s="4037"/>
      <c r="AK7" s="4037"/>
      <c r="AL7" s="3341"/>
      <c r="AM7" s="3341"/>
      <c r="AN7" s="2012">
        <f t="shared" si="6"/>
        <v>0</v>
      </c>
      <c r="AO7" s="4037"/>
      <c r="AP7" s="4037"/>
      <c r="AQ7" s="3341"/>
      <c r="AR7" s="3341"/>
      <c r="AS7" s="2012">
        <f t="shared" si="7"/>
        <v>0</v>
      </c>
      <c r="AT7" s="4037"/>
      <c r="AU7" s="4037"/>
      <c r="AV7" s="3341"/>
      <c r="AW7" s="3341"/>
      <c r="AX7" s="2012">
        <f t="shared" si="8"/>
        <v>0</v>
      </c>
      <c r="AY7" s="4037"/>
      <c r="AZ7" s="4037"/>
      <c r="BA7" s="3341"/>
      <c r="BB7" s="3341"/>
      <c r="BC7" s="2012">
        <f t="shared" si="9"/>
        <v>0</v>
      </c>
      <c r="BD7" s="4037"/>
      <c r="BE7" s="4037"/>
      <c r="BF7" s="3341"/>
      <c r="BG7" s="3341"/>
      <c r="BH7" s="2012">
        <f t="shared" si="10"/>
        <v>0</v>
      </c>
      <c r="BI7" s="4037"/>
      <c r="BJ7" s="4037"/>
      <c r="BK7" s="3341"/>
      <c r="BL7" s="3341"/>
      <c r="BM7" s="2012">
        <f t="shared" si="11"/>
        <v>0</v>
      </c>
      <c r="BN7" s="4037"/>
      <c r="BO7" s="4037"/>
      <c r="BP7" s="3341"/>
      <c r="BQ7" s="3341"/>
      <c r="BR7" s="2012">
        <f t="shared" si="12"/>
        <v>0</v>
      </c>
      <c r="BS7" s="4037"/>
      <c r="BT7" s="4037"/>
      <c r="BU7" s="3341"/>
      <c r="BV7" s="3341"/>
      <c r="BW7" s="2012">
        <f t="shared" si="13"/>
        <v>0</v>
      </c>
      <c r="BX7" s="4037"/>
      <c r="BY7" s="4037"/>
      <c r="BZ7" s="3341"/>
      <c r="CA7" s="3341"/>
      <c r="CB7" s="2012">
        <f t="shared" si="14"/>
        <v>0</v>
      </c>
      <c r="CC7" s="4037"/>
      <c r="CD7" s="4037"/>
      <c r="CE7" s="3341"/>
      <c r="CF7" s="3341"/>
      <c r="CG7" s="2012">
        <f t="shared" si="15"/>
        <v>0</v>
      </c>
      <c r="CH7" s="4037"/>
      <c r="CI7" s="4037"/>
      <c r="CJ7" s="3341">
        <f>C7+H7+M7+W7</f>
        <v>0</v>
      </c>
      <c r="CK7" s="3341">
        <f>D7+I7+N7+X7</f>
        <v>0</v>
      </c>
      <c r="CL7" s="2012">
        <f>CJ7+CK7</f>
        <v>0</v>
      </c>
      <c r="CM7" s="4037"/>
      <c r="CN7" s="4037"/>
      <c r="CP7" s="2012"/>
      <c r="CQ7" s="2012"/>
      <c r="CR7" s="3442"/>
      <c r="CT7" s="2624"/>
    </row>
    <row r="8" spans="1:99" s="1396" customFormat="1" ht="14.4" outlineLevel="1" thickBot="1">
      <c r="A8" s="1571"/>
      <c r="B8" s="1463" t="s">
        <v>16</v>
      </c>
      <c r="C8" s="1957">
        <f>SUM(C9:C33)</f>
        <v>0</v>
      </c>
      <c r="D8" s="1957">
        <f>SUM(D9:D33)</f>
        <v>0</v>
      </c>
      <c r="E8" s="1484">
        <f>SUM(E9:E33)</f>
        <v>0</v>
      </c>
      <c r="F8" s="1528" t="e">
        <f t="shared" ref="F8:F33" si="16">E8/$E$89</f>
        <v>#DIV/0!</v>
      </c>
      <c r="G8" s="1466"/>
      <c r="H8" s="1957">
        <f>SUM(H9:H33)</f>
        <v>0</v>
      </c>
      <c r="I8" s="1957">
        <f>SUM(I9:I33)</f>
        <v>0</v>
      </c>
      <c r="J8" s="1484">
        <f>SUM(J9:J33)</f>
        <v>0</v>
      </c>
      <c r="K8" s="1528" t="e">
        <f t="shared" ref="K8" si="17">J8/$E$89</f>
        <v>#DIV/0!</v>
      </c>
      <c r="L8" s="1466"/>
      <c r="M8" s="1957">
        <f>SUM(M9:M33)</f>
        <v>0</v>
      </c>
      <c r="N8" s="1957">
        <f>SUM(N9:N33)</f>
        <v>17586.8</v>
      </c>
      <c r="O8" s="1484">
        <f>SUM(O9:O33)</f>
        <v>17586.8</v>
      </c>
      <c r="P8" s="1528" t="e">
        <f t="shared" ref="P8" si="18">O8/$E$89</f>
        <v>#DIV/0!</v>
      </c>
      <c r="Q8" s="1466"/>
      <c r="R8" s="1957">
        <f>SUM(R9:R33)</f>
        <v>0</v>
      </c>
      <c r="S8" s="1957">
        <f>SUM(S9:S33)</f>
        <v>17586.8</v>
      </c>
      <c r="T8" s="1484">
        <f>SUM(T9:T33)</f>
        <v>17586.8</v>
      </c>
      <c r="U8" s="1528"/>
      <c r="V8" s="1466"/>
      <c r="W8" s="1957">
        <f>SUM(W9:W33)</f>
        <v>330236.196</v>
      </c>
      <c r="X8" s="1957">
        <f>SUM(X9:X33)</f>
        <v>99028.885999999999</v>
      </c>
      <c r="Y8" s="1484">
        <f>SUM(Y9:Y33)</f>
        <v>429265.08200000005</v>
      </c>
      <c r="Z8" s="1528"/>
      <c r="AA8" s="1466"/>
      <c r="AB8" s="1957">
        <f>SUM(AB9:AB33)</f>
        <v>217304.24400000004</v>
      </c>
      <c r="AC8" s="1957">
        <f>SUM(AC9:AC33)</f>
        <v>94528.885999999999</v>
      </c>
      <c r="AD8" s="1484">
        <f>SUM(AD9:AD33)</f>
        <v>311833.13</v>
      </c>
      <c r="AE8" s="1528"/>
      <c r="AF8" s="1466"/>
      <c r="AG8" s="1957">
        <f>SUM(AG9:AG33)</f>
        <v>112931.952</v>
      </c>
      <c r="AH8" s="1957">
        <f>SUM(AH9:AH33)</f>
        <v>4500</v>
      </c>
      <c r="AI8" s="1484">
        <f>SUM(AI9:AI33)</f>
        <v>117431.952</v>
      </c>
      <c r="AJ8" s="1528"/>
      <c r="AK8" s="1466"/>
      <c r="AL8" s="1957">
        <f>SUM(AL9:AL33)</f>
        <v>0</v>
      </c>
      <c r="AM8" s="1957">
        <f>SUM(AM9:AM33)</f>
        <v>0</v>
      </c>
      <c r="AN8" s="1484">
        <f>SUM(AN9:AN33)</f>
        <v>0</v>
      </c>
      <c r="AO8" s="1528"/>
      <c r="AP8" s="1466"/>
      <c r="AQ8" s="1957">
        <f>SUM(AQ9:AQ33)</f>
        <v>0</v>
      </c>
      <c r="AR8" s="1957">
        <f>SUM(AR9:AR33)</f>
        <v>0</v>
      </c>
      <c r="AS8" s="1484">
        <f>SUM(AS9:AS33)</f>
        <v>0</v>
      </c>
      <c r="AT8" s="1528"/>
      <c r="AU8" s="1466"/>
      <c r="AV8" s="1957">
        <f>SUM(AV9:AV33)</f>
        <v>0</v>
      </c>
      <c r="AW8" s="1957">
        <f>SUM(AW9:AW33)</f>
        <v>0</v>
      </c>
      <c r="AX8" s="1484">
        <f>SUM(AX9:AX33)</f>
        <v>0</v>
      </c>
      <c r="AY8" s="1528"/>
      <c r="AZ8" s="1466"/>
      <c r="BA8" s="1957">
        <f>SUM(BA9:BA33)</f>
        <v>0</v>
      </c>
      <c r="BB8" s="1957">
        <f>SUM(BB9:BB33)</f>
        <v>0</v>
      </c>
      <c r="BC8" s="1484">
        <f>SUM(BC9:BC33)</f>
        <v>0</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320278.20600000001</v>
      </c>
      <c r="CK8" s="1957">
        <f>SUM(CK9:CK33)</f>
        <v>116615.686</v>
      </c>
      <c r="CL8" s="1484">
        <f>SUM(CL9:CL33)</f>
        <v>436893.89199999999</v>
      </c>
      <c r="CM8" s="1528"/>
      <c r="CN8" s="1466"/>
      <c r="CP8" s="1484">
        <f>SUM(CP9:CP33)</f>
        <v>358173.49884000001</v>
      </c>
      <c r="CQ8" s="1484">
        <f>SUM(CQ9:CQ33)</f>
        <v>436893.89199999999</v>
      </c>
      <c r="CR8" s="3440">
        <f>SUM(CR9:CR33)</f>
        <v>-78720.393159999992</v>
      </c>
      <c r="CT8" s="2624"/>
    </row>
    <row r="9" spans="1:99" s="1396" customFormat="1" ht="27" customHeight="1" outlineLevel="2">
      <c r="A9" s="1571"/>
      <c r="B9" s="1424" t="s">
        <v>74</v>
      </c>
      <c r="C9" s="3341"/>
      <c r="D9" s="3341"/>
      <c r="E9" s="3349">
        <f t="shared" ref="E9:E32" si="19">C9+D9</f>
        <v>0</v>
      </c>
      <c r="F9" s="3986" t="e">
        <f t="shared" si="16"/>
        <v>#DIV/0!</v>
      </c>
      <c r="G9" s="2047"/>
      <c r="H9" s="3341"/>
      <c r="I9" s="3341"/>
      <c r="J9" s="3349">
        <f t="shared" ref="J9:J32" si="20">H9+I9</f>
        <v>0</v>
      </c>
      <c r="K9" s="3986" t="e">
        <f>J9/J$89</f>
        <v>#DIV/0!</v>
      </c>
      <c r="L9" s="2047"/>
      <c r="M9" s="3341"/>
      <c r="N9" s="3341">
        <v>17586.8</v>
      </c>
      <c r="O9" s="3349">
        <f t="shared" ref="O9:O32" si="21">M9+N9</f>
        <v>17586.8</v>
      </c>
      <c r="P9" s="3986">
        <f t="shared" ref="P9:P33" si="22">O9/O$89</f>
        <v>0.86106134733301321</v>
      </c>
      <c r="Q9" s="2047"/>
      <c r="R9" s="3342">
        <f t="shared" ref="R9:S33" si="23">M9+H9+C9</f>
        <v>0</v>
      </c>
      <c r="S9" s="3342">
        <f t="shared" si="23"/>
        <v>17586.8</v>
      </c>
      <c r="T9" s="2012">
        <f t="shared" ref="T9:T33" si="24">R9+S9</f>
        <v>17586.8</v>
      </c>
      <c r="U9" s="2047"/>
      <c r="V9" s="2047"/>
      <c r="W9" s="3342">
        <f t="shared" ref="W9:X33" si="25">AB9+AG9+AL9+AV9+BA9+BF9+BK9+BP9+BU9+BZ9+CE9+AQ9</f>
        <v>99056.914000000004</v>
      </c>
      <c r="X9" s="3342">
        <f t="shared" si="25"/>
        <v>82928.885999999999</v>
      </c>
      <c r="Y9" s="2012">
        <f t="shared" ref="Y9:Y33" si="26">W9+X9</f>
        <v>181985.8</v>
      </c>
      <c r="Z9" s="2047"/>
      <c r="AA9" s="2047"/>
      <c r="AB9" s="3341">
        <v>99056.914000000004</v>
      </c>
      <c r="AC9" s="3341">
        <v>82928.885999999999</v>
      </c>
      <c r="AD9" s="3349">
        <f t="shared" ref="AD9:AD32" si="27">AB9+AC9</f>
        <v>181985.8</v>
      </c>
      <c r="AE9" s="3986">
        <f>AD9/AD$89</f>
        <v>0.55615467206085745</v>
      </c>
      <c r="AF9" s="2047" t="s">
        <v>1884</v>
      </c>
      <c r="AG9" s="3341"/>
      <c r="AH9" s="3341"/>
      <c r="AI9" s="3349">
        <f t="shared" ref="AI9:AI32" si="28">AG9+AH9</f>
        <v>0</v>
      </c>
      <c r="AJ9" s="3986">
        <f>AI9/AI$89</f>
        <v>0</v>
      </c>
      <c r="AK9" s="2047"/>
      <c r="AL9" s="3341"/>
      <c r="AM9" s="3341"/>
      <c r="AN9" s="3349">
        <f t="shared" ref="AN9:AN32" si="29">AL9+AM9</f>
        <v>0</v>
      </c>
      <c r="AO9" s="3986" t="e">
        <f>AN9/AN$89</f>
        <v>#DIV/0!</v>
      </c>
      <c r="AP9" s="2047"/>
      <c r="AQ9" s="3341"/>
      <c r="AR9" s="3341"/>
      <c r="AS9" s="3349">
        <f t="shared" ref="AS9:AS32" si="30">AQ9+AR9</f>
        <v>0</v>
      </c>
      <c r="AT9" s="3986" t="e">
        <f>AS9/AS$89</f>
        <v>#DIV/0!</v>
      </c>
      <c r="AU9" s="2047"/>
      <c r="AV9" s="3341"/>
      <c r="AW9" s="3341"/>
      <c r="AX9" s="3349">
        <f t="shared" ref="AX9:AX32" si="31">AV9+AW9</f>
        <v>0</v>
      </c>
      <c r="AY9" s="3986" t="e">
        <f>AX9/AX$89</f>
        <v>#DIV/0!</v>
      </c>
      <c r="AZ9" s="2047"/>
      <c r="BA9" s="3341"/>
      <c r="BB9" s="3341"/>
      <c r="BC9" s="3349">
        <f t="shared" ref="BC9:BC32" si="32">BA9+BB9</f>
        <v>0</v>
      </c>
      <c r="BD9" s="3986" t="e">
        <f>BC9/BC$89</f>
        <v>#DIV/0!</v>
      </c>
      <c r="BE9" s="2047"/>
      <c r="BF9" s="3341"/>
      <c r="BG9" s="3341"/>
      <c r="BH9" s="3349">
        <f t="shared" ref="BH9:BH32" si="33">BF9+BG9</f>
        <v>0</v>
      </c>
      <c r="BI9" s="3986" t="e">
        <f>BH9/BH$89</f>
        <v>#DIV/0!</v>
      </c>
      <c r="BJ9" s="2047"/>
      <c r="BK9" s="3341"/>
      <c r="BL9" s="3341"/>
      <c r="BM9" s="3349">
        <f t="shared" ref="BM9:BM32" si="34">BK9+BL9</f>
        <v>0</v>
      </c>
      <c r="BN9" s="3986" t="e">
        <f>BM9/BM$89</f>
        <v>#DIV/0!</v>
      </c>
      <c r="BO9" s="2047"/>
      <c r="BP9" s="3341"/>
      <c r="BQ9" s="3341"/>
      <c r="BR9" s="3349">
        <f t="shared" ref="BR9:BR32" si="35">BP9+BQ9</f>
        <v>0</v>
      </c>
      <c r="BS9" s="3986" t="e">
        <f>BR9/BR$89</f>
        <v>#DIV/0!</v>
      </c>
      <c r="BT9" s="2047"/>
      <c r="BU9" s="3341"/>
      <c r="BV9" s="3341"/>
      <c r="BW9" s="3349">
        <f t="shared" ref="BW9:BW32" si="36">BU9+BV9</f>
        <v>0</v>
      </c>
      <c r="BX9" s="3986" t="e">
        <f>BW9/BW$89</f>
        <v>#DIV/0!</v>
      </c>
      <c r="BY9" s="2047"/>
      <c r="BZ9" s="3341"/>
      <c r="CA9" s="3341"/>
      <c r="CB9" s="3349">
        <f t="shared" ref="CB9:CB32" si="37">BZ9+CA9</f>
        <v>0</v>
      </c>
      <c r="CC9" s="3986" t="e">
        <f>CB9/CB$89</f>
        <v>#DIV/0!</v>
      </c>
      <c r="CD9" s="2047"/>
      <c r="CE9" s="3341"/>
      <c r="CF9" s="3341"/>
      <c r="CG9" s="3349">
        <f t="shared" ref="CG9:CG32" si="38">CE9+CF9</f>
        <v>0</v>
      </c>
      <c r="CH9" s="3986" t="e">
        <f>CG9/CG$89</f>
        <v>#DIV/0!</v>
      </c>
      <c r="CI9" s="2047"/>
      <c r="CJ9" s="3341">
        <f t="shared" ref="CJ9:CK33" si="39">C9+H9+M9+W9</f>
        <v>99056.914000000004</v>
      </c>
      <c r="CK9" s="3341">
        <f t="shared" si="39"/>
        <v>100515.686</v>
      </c>
      <c r="CL9" s="3349">
        <f>CJ9+CK9*1</f>
        <v>199572.6</v>
      </c>
      <c r="CM9" s="3986">
        <f t="shared" ref="CM9:CM33" si="40">CL9/$CL$89</f>
        <v>0.43780068679161421</v>
      </c>
      <c r="CN9" s="1434"/>
      <c r="CP9" s="5177">
        <v>161944.035</v>
      </c>
      <c r="CQ9" s="2012">
        <f>CL9</f>
        <v>199572.6</v>
      </c>
      <c r="CR9" s="5174">
        <f>CP9-SUM(CQ9:CQ11)</f>
        <v>-78737.174999999988</v>
      </c>
      <c r="CS9" s="3307"/>
      <c r="CT9" s="3443">
        <f>CR9/CP9</f>
        <v>-0.48619990850542899</v>
      </c>
    </row>
    <row r="10" spans="1:99" s="1396" customFormat="1" ht="13.8" outlineLevel="2">
      <c r="A10" s="1571"/>
      <c r="B10" s="1424" t="s">
        <v>72</v>
      </c>
      <c r="C10" s="3341"/>
      <c r="D10" s="3341"/>
      <c r="E10" s="3349">
        <f t="shared" si="19"/>
        <v>0</v>
      </c>
      <c r="F10" s="3986" t="e">
        <f t="shared" si="16"/>
        <v>#DIV/0!</v>
      </c>
      <c r="G10" s="2047"/>
      <c r="H10" s="3341"/>
      <c r="I10" s="3341"/>
      <c r="J10" s="3349">
        <f t="shared" si="20"/>
        <v>0</v>
      </c>
      <c r="K10" s="3986" t="e">
        <f t="shared" ref="K10:K33" si="41">J10/J$89</f>
        <v>#DIV/0!</v>
      </c>
      <c r="L10" s="2047"/>
      <c r="M10" s="3341"/>
      <c r="N10" s="3341"/>
      <c r="O10" s="3349">
        <f t="shared" si="21"/>
        <v>0</v>
      </c>
      <c r="P10" s="3986">
        <f t="shared" si="22"/>
        <v>0</v>
      </c>
      <c r="Q10" s="2047"/>
      <c r="R10" s="3342">
        <f t="shared" si="23"/>
        <v>0</v>
      </c>
      <c r="S10" s="3342">
        <f t="shared" si="23"/>
        <v>0</v>
      </c>
      <c r="T10" s="2012">
        <f t="shared" si="24"/>
        <v>0</v>
      </c>
      <c r="U10" s="2047"/>
      <c r="V10" s="2047"/>
      <c r="W10" s="3342">
        <f t="shared" si="25"/>
        <v>23995.15</v>
      </c>
      <c r="X10" s="3342">
        <f t="shared" si="25"/>
        <v>0</v>
      </c>
      <c r="Y10" s="2012">
        <f t="shared" si="26"/>
        <v>23995.15</v>
      </c>
      <c r="Z10" s="2047"/>
      <c r="AA10" s="2047"/>
      <c r="AB10" s="3341">
        <v>23995.15</v>
      </c>
      <c r="AC10" s="3341"/>
      <c r="AD10" s="3349">
        <f t="shared" si="27"/>
        <v>23995.15</v>
      </c>
      <c r="AE10" s="3986">
        <f t="shared" ref="AE10:AE33" si="42">AD10/AD$89</f>
        <v>7.3329978379088279E-2</v>
      </c>
      <c r="AF10" s="2047"/>
      <c r="AG10" s="3341"/>
      <c r="AH10" s="3341"/>
      <c r="AI10" s="3349">
        <f t="shared" si="28"/>
        <v>0</v>
      </c>
      <c r="AJ10" s="3986">
        <f t="shared" ref="AJ10:AJ33" si="43">AI10/AI$89</f>
        <v>0</v>
      </c>
      <c r="AK10" s="2047"/>
      <c r="AL10" s="3341"/>
      <c r="AM10" s="3341"/>
      <c r="AN10" s="3349">
        <f t="shared" si="29"/>
        <v>0</v>
      </c>
      <c r="AO10" s="3986" t="e">
        <f t="shared" ref="AO10:AO33" si="44">AN10/AN$89</f>
        <v>#DIV/0!</v>
      </c>
      <c r="AP10" s="2047"/>
      <c r="AQ10" s="3341"/>
      <c r="AR10" s="3341"/>
      <c r="AS10" s="3349">
        <f t="shared" si="30"/>
        <v>0</v>
      </c>
      <c r="AT10" s="3986" t="e">
        <f t="shared" ref="AT10:AT33" si="45">AS10/AS$89</f>
        <v>#DIV/0!</v>
      </c>
      <c r="AU10" s="2047"/>
      <c r="AV10" s="3341"/>
      <c r="AW10" s="3341"/>
      <c r="AX10" s="3349">
        <f t="shared" si="31"/>
        <v>0</v>
      </c>
      <c r="AY10" s="3986" t="e">
        <f t="shared" ref="AY10:AY33" si="46">AX10/AX$89</f>
        <v>#DIV/0!</v>
      </c>
      <c r="AZ10" s="2047"/>
      <c r="BA10" s="3341"/>
      <c r="BB10" s="3341"/>
      <c r="BC10" s="3349">
        <f t="shared" si="32"/>
        <v>0</v>
      </c>
      <c r="BD10" s="3986" t="e">
        <f t="shared" ref="BD10:BD33" si="47">BC10/BC$89</f>
        <v>#DIV/0!</v>
      </c>
      <c r="BE10" s="2047"/>
      <c r="BF10" s="3341"/>
      <c r="BG10" s="3341"/>
      <c r="BH10" s="3349">
        <f t="shared" si="33"/>
        <v>0</v>
      </c>
      <c r="BI10" s="3986" t="e">
        <f t="shared" ref="BI10:BI33" si="48">BH10/BH$89</f>
        <v>#DIV/0!</v>
      </c>
      <c r="BJ10" s="2047"/>
      <c r="BK10" s="3341"/>
      <c r="BL10" s="3341"/>
      <c r="BM10" s="3349">
        <f t="shared" si="34"/>
        <v>0</v>
      </c>
      <c r="BN10" s="3986" t="e">
        <f t="shared" ref="BN10:BN33" si="49">BM10/BM$89</f>
        <v>#DIV/0!</v>
      </c>
      <c r="BO10" s="2047"/>
      <c r="BP10" s="3341"/>
      <c r="BQ10" s="3341"/>
      <c r="BR10" s="3349">
        <f t="shared" si="35"/>
        <v>0</v>
      </c>
      <c r="BS10" s="3986" t="e">
        <f t="shared" ref="BS10:BS33" si="50">BR10/BR$89</f>
        <v>#DIV/0!</v>
      </c>
      <c r="BT10" s="2047"/>
      <c r="BU10" s="3341"/>
      <c r="BV10" s="3341"/>
      <c r="BW10" s="3349">
        <f t="shared" si="36"/>
        <v>0</v>
      </c>
      <c r="BX10" s="3986" t="e">
        <f t="shared" ref="BX10:BX33" si="51">BW10/BW$89</f>
        <v>#DIV/0!</v>
      </c>
      <c r="BY10" s="2047"/>
      <c r="BZ10" s="3341"/>
      <c r="CA10" s="3341"/>
      <c r="CB10" s="3349">
        <f t="shared" si="37"/>
        <v>0</v>
      </c>
      <c r="CC10" s="3986" t="e">
        <f t="shared" ref="CC10:CC33" si="52">CB10/CB$89</f>
        <v>#DIV/0!</v>
      </c>
      <c r="CD10" s="2047"/>
      <c r="CE10" s="3341"/>
      <c r="CF10" s="3341"/>
      <c r="CG10" s="3349">
        <f t="shared" si="38"/>
        <v>0</v>
      </c>
      <c r="CH10" s="3986" t="e">
        <f t="shared" ref="CH10:CH33" si="53">CG10/CG$89</f>
        <v>#DIV/0!</v>
      </c>
      <c r="CI10" s="2047"/>
      <c r="CJ10" s="3341">
        <f>C10+H10+M10+W10-4679.06</f>
        <v>19316.09</v>
      </c>
      <c r="CK10" s="3341">
        <f t="shared" si="39"/>
        <v>0</v>
      </c>
      <c r="CL10" s="3349">
        <f t="shared" ref="CL10:CL33" si="54">CJ10+CK10*1</f>
        <v>19316.09</v>
      </c>
      <c r="CM10" s="3986">
        <f t="shared" si="40"/>
        <v>4.2373539594757148E-2</v>
      </c>
      <c r="CN10" s="1434"/>
      <c r="CP10" s="5178"/>
      <c r="CQ10" s="2012">
        <f t="shared" ref="CQ10:CQ32" si="55">CL10</f>
        <v>19316.09</v>
      </c>
      <c r="CR10" s="5175"/>
      <c r="CT10" s="2624"/>
      <c r="CU10" s="933"/>
    </row>
    <row r="11" spans="1:99" s="1396" customFormat="1" ht="13.8" outlineLevel="2">
      <c r="A11" s="1571"/>
      <c r="B11" s="1424" t="s">
        <v>69</v>
      </c>
      <c r="C11" s="3341"/>
      <c r="D11" s="3341"/>
      <c r="E11" s="3349">
        <f t="shared" si="19"/>
        <v>0</v>
      </c>
      <c r="F11" s="3986" t="e">
        <f t="shared" si="16"/>
        <v>#DIV/0!</v>
      </c>
      <c r="G11" s="1055"/>
      <c r="H11" s="3341"/>
      <c r="I11" s="3341"/>
      <c r="J11" s="3349">
        <f t="shared" si="20"/>
        <v>0</v>
      </c>
      <c r="K11" s="3986" t="e">
        <f t="shared" si="41"/>
        <v>#DIV/0!</v>
      </c>
      <c r="L11" s="1055"/>
      <c r="M11" s="3341"/>
      <c r="N11" s="3341"/>
      <c r="O11" s="3349">
        <f t="shared" si="21"/>
        <v>0</v>
      </c>
      <c r="P11" s="3986">
        <f t="shared" si="22"/>
        <v>0</v>
      </c>
      <c r="Q11" s="1055"/>
      <c r="R11" s="3342">
        <f t="shared" si="23"/>
        <v>0</v>
      </c>
      <c r="S11" s="3342">
        <f t="shared" si="23"/>
        <v>0</v>
      </c>
      <c r="T11" s="2012">
        <f t="shared" si="24"/>
        <v>0</v>
      </c>
      <c r="U11" s="1055"/>
      <c r="V11" s="1055"/>
      <c r="W11" s="3342">
        <f t="shared" si="25"/>
        <v>27071.45</v>
      </c>
      <c r="X11" s="3342">
        <f t="shared" si="25"/>
        <v>0</v>
      </c>
      <c r="Y11" s="2012">
        <f t="shared" si="26"/>
        <v>27071.45</v>
      </c>
      <c r="Z11" s="1055"/>
      <c r="AA11" s="1055"/>
      <c r="AB11" s="3341">
        <v>27071.45</v>
      </c>
      <c r="AC11" s="3341"/>
      <c r="AD11" s="3349">
        <f t="shared" si="27"/>
        <v>27071.45</v>
      </c>
      <c r="AE11" s="3986">
        <f t="shared" si="42"/>
        <v>8.2731253740467109E-2</v>
      </c>
      <c r="AF11" s="1055"/>
      <c r="AG11" s="3341"/>
      <c r="AH11" s="3341"/>
      <c r="AI11" s="3349">
        <f t="shared" si="28"/>
        <v>0</v>
      </c>
      <c r="AJ11" s="3986">
        <f t="shared" si="43"/>
        <v>0</v>
      </c>
      <c r="AK11" s="1055"/>
      <c r="AL11" s="3341"/>
      <c r="AM11" s="3341"/>
      <c r="AN11" s="3349">
        <f t="shared" si="29"/>
        <v>0</v>
      </c>
      <c r="AO11" s="3986" t="e">
        <f t="shared" si="44"/>
        <v>#DIV/0!</v>
      </c>
      <c r="AP11" s="1055"/>
      <c r="AQ11" s="3341"/>
      <c r="AR11" s="3341"/>
      <c r="AS11" s="3349">
        <f t="shared" si="30"/>
        <v>0</v>
      </c>
      <c r="AT11" s="3986" t="e">
        <f t="shared" si="45"/>
        <v>#DIV/0!</v>
      </c>
      <c r="AU11" s="1055"/>
      <c r="AV11" s="3341"/>
      <c r="AW11" s="3341"/>
      <c r="AX11" s="3349">
        <f t="shared" si="31"/>
        <v>0</v>
      </c>
      <c r="AY11" s="3986" t="e">
        <f t="shared" si="46"/>
        <v>#DIV/0!</v>
      </c>
      <c r="AZ11" s="1055"/>
      <c r="BA11" s="3341"/>
      <c r="BB11" s="3341"/>
      <c r="BC11" s="3349">
        <f t="shared" si="32"/>
        <v>0</v>
      </c>
      <c r="BD11" s="3986" t="e">
        <f t="shared" si="47"/>
        <v>#DIV/0!</v>
      </c>
      <c r="BE11" s="1055"/>
      <c r="BF11" s="3341"/>
      <c r="BG11" s="3341"/>
      <c r="BH11" s="3349">
        <f t="shared" si="33"/>
        <v>0</v>
      </c>
      <c r="BI11" s="3986" t="e">
        <f t="shared" si="48"/>
        <v>#DIV/0!</v>
      </c>
      <c r="BJ11" s="1055"/>
      <c r="BK11" s="3341"/>
      <c r="BL11" s="3341"/>
      <c r="BM11" s="3349">
        <f t="shared" si="34"/>
        <v>0</v>
      </c>
      <c r="BN11" s="3986" t="e">
        <f t="shared" si="49"/>
        <v>#DIV/0!</v>
      </c>
      <c r="BO11" s="1055"/>
      <c r="BP11" s="3341"/>
      <c r="BQ11" s="3341"/>
      <c r="BR11" s="3349">
        <f t="shared" si="35"/>
        <v>0</v>
      </c>
      <c r="BS11" s="3986" t="e">
        <f t="shared" si="50"/>
        <v>#DIV/0!</v>
      </c>
      <c r="BT11" s="1055"/>
      <c r="BU11" s="3341"/>
      <c r="BV11" s="3341"/>
      <c r="BW11" s="3349">
        <f t="shared" si="36"/>
        <v>0</v>
      </c>
      <c r="BX11" s="3986" t="e">
        <f t="shared" si="51"/>
        <v>#DIV/0!</v>
      </c>
      <c r="BY11" s="1055"/>
      <c r="BZ11" s="3341"/>
      <c r="CA11" s="3341"/>
      <c r="CB11" s="3349">
        <f t="shared" si="37"/>
        <v>0</v>
      </c>
      <c r="CC11" s="3986" t="e">
        <f t="shared" si="52"/>
        <v>#DIV/0!</v>
      </c>
      <c r="CD11" s="1055"/>
      <c r="CE11" s="3341"/>
      <c r="CF11" s="3341"/>
      <c r="CG11" s="3349">
        <f t="shared" si="38"/>
        <v>0</v>
      </c>
      <c r="CH11" s="3986" t="e">
        <f t="shared" si="53"/>
        <v>#DIV/0!</v>
      </c>
      <c r="CI11" s="1055"/>
      <c r="CJ11" s="3341">
        <f>C11+H11+M11+W11-5278.93</f>
        <v>21792.52</v>
      </c>
      <c r="CK11" s="3341">
        <f t="shared" si="39"/>
        <v>0</v>
      </c>
      <c r="CL11" s="3349">
        <f t="shared" si="54"/>
        <v>21792.52</v>
      </c>
      <c r="CM11" s="3986">
        <f t="shared" si="40"/>
        <v>4.7806062670526853E-2</v>
      </c>
      <c r="CN11" s="1434"/>
      <c r="CP11" s="5179"/>
      <c r="CQ11" s="2012">
        <f t="shared" si="55"/>
        <v>21792.52</v>
      </c>
      <c r="CR11" s="5176"/>
      <c r="CT11" s="2624"/>
      <c r="CU11" s="933"/>
    </row>
    <row r="12" spans="1:99" s="1396" customFormat="1" ht="13.8" outlineLevel="2">
      <c r="A12" s="1571"/>
      <c r="B12" s="1424" t="s">
        <v>73</v>
      </c>
      <c r="C12" s="3341"/>
      <c r="D12" s="3341"/>
      <c r="E12" s="3349">
        <f t="shared" si="19"/>
        <v>0</v>
      </c>
      <c r="F12" s="3986" t="e">
        <f t="shared" si="16"/>
        <v>#DIV/0!</v>
      </c>
      <c r="G12" s="1055"/>
      <c r="H12" s="3341"/>
      <c r="I12" s="3341"/>
      <c r="J12" s="3349">
        <f t="shared" si="20"/>
        <v>0</v>
      </c>
      <c r="K12" s="3986" t="e">
        <f t="shared" si="41"/>
        <v>#DIV/0!</v>
      </c>
      <c r="L12" s="1055"/>
      <c r="M12" s="3341"/>
      <c r="N12" s="3341"/>
      <c r="O12" s="3349">
        <f t="shared" si="21"/>
        <v>0</v>
      </c>
      <c r="P12" s="3986">
        <f t="shared" si="22"/>
        <v>0</v>
      </c>
      <c r="Q12" s="1055"/>
      <c r="R12" s="3342">
        <f t="shared" si="23"/>
        <v>0</v>
      </c>
      <c r="S12" s="3342">
        <f t="shared" si="23"/>
        <v>0</v>
      </c>
      <c r="T12" s="2012">
        <f t="shared" si="24"/>
        <v>0</v>
      </c>
      <c r="U12" s="1055"/>
      <c r="V12" s="1055"/>
      <c r="W12" s="3342">
        <f t="shared" si="25"/>
        <v>0</v>
      </c>
      <c r="X12" s="3342">
        <f t="shared" si="25"/>
        <v>0</v>
      </c>
      <c r="Y12" s="2012">
        <f t="shared" si="26"/>
        <v>0</v>
      </c>
      <c r="Z12" s="1055"/>
      <c r="AA12" s="1055"/>
      <c r="AB12" s="3341"/>
      <c r="AC12" s="3341"/>
      <c r="AD12" s="3349">
        <f t="shared" si="27"/>
        <v>0</v>
      </c>
      <c r="AE12" s="3986">
        <f t="shared" si="42"/>
        <v>0</v>
      </c>
      <c r="AF12" s="1055"/>
      <c r="AG12" s="3341"/>
      <c r="AH12" s="3341"/>
      <c r="AI12" s="3349">
        <f t="shared" si="28"/>
        <v>0</v>
      </c>
      <c r="AJ12" s="3986">
        <f t="shared" si="43"/>
        <v>0</v>
      </c>
      <c r="AK12" s="1055"/>
      <c r="AL12" s="3341"/>
      <c r="AM12" s="3341"/>
      <c r="AN12" s="3349">
        <f t="shared" si="29"/>
        <v>0</v>
      </c>
      <c r="AO12" s="3986" t="e">
        <f t="shared" si="44"/>
        <v>#DIV/0!</v>
      </c>
      <c r="AP12" s="1055"/>
      <c r="AQ12" s="3341"/>
      <c r="AR12" s="3341"/>
      <c r="AS12" s="3349">
        <f t="shared" si="30"/>
        <v>0</v>
      </c>
      <c r="AT12" s="3986" t="e">
        <f t="shared" si="45"/>
        <v>#DIV/0!</v>
      </c>
      <c r="AU12" s="1055"/>
      <c r="AV12" s="3341"/>
      <c r="AW12" s="3341"/>
      <c r="AX12" s="3349">
        <f t="shared" si="31"/>
        <v>0</v>
      </c>
      <c r="AY12" s="3986" t="e">
        <f t="shared" si="46"/>
        <v>#DIV/0!</v>
      </c>
      <c r="AZ12" s="1055"/>
      <c r="BA12" s="3341"/>
      <c r="BB12" s="3341"/>
      <c r="BC12" s="3349">
        <f t="shared" si="32"/>
        <v>0</v>
      </c>
      <c r="BD12" s="3986" t="e">
        <f t="shared" si="47"/>
        <v>#DIV/0!</v>
      </c>
      <c r="BE12" s="1055"/>
      <c r="BF12" s="3341"/>
      <c r="BG12" s="3341"/>
      <c r="BH12" s="3349">
        <f t="shared" si="33"/>
        <v>0</v>
      </c>
      <c r="BI12" s="3986" t="e">
        <f t="shared" si="48"/>
        <v>#DIV/0!</v>
      </c>
      <c r="BJ12" s="1055"/>
      <c r="BK12" s="3341"/>
      <c r="BL12" s="3341"/>
      <c r="BM12" s="3349">
        <f t="shared" si="34"/>
        <v>0</v>
      </c>
      <c r="BN12" s="3986" t="e">
        <f t="shared" si="49"/>
        <v>#DIV/0!</v>
      </c>
      <c r="BO12" s="1055"/>
      <c r="BP12" s="3341"/>
      <c r="BQ12" s="3341"/>
      <c r="BR12" s="3349">
        <f t="shared" si="35"/>
        <v>0</v>
      </c>
      <c r="BS12" s="3986" t="e">
        <f t="shared" si="50"/>
        <v>#DIV/0!</v>
      </c>
      <c r="BT12" s="1055"/>
      <c r="BU12" s="3341"/>
      <c r="BV12" s="3341"/>
      <c r="BW12" s="3349">
        <f t="shared" si="36"/>
        <v>0</v>
      </c>
      <c r="BX12" s="3986" t="e">
        <f t="shared" si="51"/>
        <v>#DIV/0!</v>
      </c>
      <c r="BY12" s="1055"/>
      <c r="BZ12" s="3341"/>
      <c r="CA12" s="3341"/>
      <c r="CB12" s="3349">
        <f t="shared" si="37"/>
        <v>0</v>
      </c>
      <c r="CC12" s="3986" t="e">
        <f t="shared" si="52"/>
        <v>#DIV/0!</v>
      </c>
      <c r="CD12" s="1055"/>
      <c r="CE12" s="3341"/>
      <c r="CF12" s="3341"/>
      <c r="CG12" s="3349">
        <f t="shared" si="38"/>
        <v>0</v>
      </c>
      <c r="CH12" s="3986" t="e">
        <f t="shared" si="53"/>
        <v>#DIV/0!</v>
      </c>
      <c r="CI12" s="1055"/>
      <c r="CJ12" s="3341">
        <f t="shared" si="39"/>
        <v>0</v>
      </c>
      <c r="CK12" s="3341">
        <f t="shared" si="39"/>
        <v>0</v>
      </c>
      <c r="CL12" s="3349">
        <f t="shared" si="54"/>
        <v>0</v>
      </c>
      <c r="CM12" s="3986">
        <f t="shared" si="40"/>
        <v>0</v>
      </c>
      <c r="CN12" s="1434"/>
      <c r="CP12" s="4033"/>
      <c r="CQ12" s="2012">
        <f t="shared" si="55"/>
        <v>0</v>
      </c>
      <c r="CR12" s="4035">
        <f t="shared" ref="CR12:CR33" si="56">CP12-CQ12</f>
        <v>0</v>
      </c>
      <c r="CT12" s="2624"/>
    </row>
    <row r="13" spans="1:99" s="1396" customFormat="1" ht="13.8" outlineLevel="2">
      <c r="A13" s="1571"/>
      <c r="B13" s="1424" t="s">
        <v>71</v>
      </c>
      <c r="C13" s="3341"/>
      <c r="D13" s="3341"/>
      <c r="E13" s="3349">
        <f t="shared" si="19"/>
        <v>0</v>
      </c>
      <c r="F13" s="3986" t="e">
        <f t="shared" si="16"/>
        <v>#DIV/0!</v>
      </c>
      <c r="G13" s="1055"/>
      <c r="H13" s="3341"/>
      <c r="I13" s="3341"/>
      <c r="J13" s="3349">
        <f t="shared" si="20"/>
        <v>0</v>
      </c>
      <c r="K13" s="3986" t="e">
        <f t="shared" si="41"/>
        <v>#DIV/0!</v>
      </c>
      <c r="L13" s="1055"/>
      <c r="M13" s="3341"/>
      <c r="N13" s="3341"/>
      <c r="O13" s="3349">
        <f t="shared" si="21"/>
        <v>0</v>
      </c>
      <c r="P13" s="3986">
        <f t="shared" si="22"/>
        <v>0</v>
      </c>
      <c r="Q13" s="1055"/>
      <c r="R13" s="3342">
        <f t="shared" si="23"/>
        <v>0</v>
      </c>
      <c r="S13" s="3342">
        <f t="shared" si="23"/>
        <v>0</v>
      </c>
      <c r="T13" s="2012">
        <f t="shared" si="24"/>
        <v>0</v>
      </c>
      <c r="U13" s="1055"/>
      <c r="V13" s="1055"/>
      <c r="W13" s="3342">
        <f t="shared" si="25"/>
        <v>0</v>
      </c>
      <c r="X13" s="3342">
        <f t="shared" si="25"/>
        <v>0</v>
      </c>
      <c r="Y13" s="2012">
        <f t="shared" si="26"/>
        <v>0</v>
      </c>
      <c r="Z13" s="1055"/>
      <c r="AA13" s="1055"/>
      <c r="AB13" s="3341"/>
      <c r="AC13" s="3341"/>
      <c r="AD13" s="3349">
        <f t="shared" si="27"/>
        <v>0</v>
      </c>
      <c r="AE13" s="3986">
        <f t="shared" si="42"/>
        <v>0</v>
      </c>
      <c r="AF13" s="1055"/>
      <c r="AG13" s="3341"/>
      <c r="AH13" s="3341"/>
      <c r="AI13" s="3349">
        <f t="shared" si="28"/>
        <v>0</v>
      </c>
      <c r="AJ13" s="3986">
        <f t="shared" si="43"/>
        <v>0</v>
      </c>
      <c r="AK13" s="1055"/>
      <c r="AL13" s="3341"/>
      <c r="AM13" s="3341"/>
      <c r="AN13" s="3349">
        <f t="shared" si="29"/>
        <v>0</v>
      </c>
      <c r="AO13" s="3986" t="e">
        <f t="shared" si="44"/>
        <v>#DIV/0!</v>
      </c>
      <c r="AP13" s="1055"/>
      <c r="AQ13" s="3341"/>
      <c r="AR13" s="3341"/>
      <c r="AS13" s="3349">
        <f t="shared" si="30"/>
        <v>0</v>
      </c>
      <c r="AT13" s="3986" t="e">
        <f t="shared" si="45"/>
        <v>#DIV/0!</v>
      </c>
      <c r="AU13" s="1055"/>
      <c r="AV13" s="3341"/>
      <c r="AW13" s="3341"/>
      <c r="AX13" s="3349">
        <f t="shared" si="31"/>
        <v>0</v>
      </c>
      <c r="AY13" s="3986" t="e">
        <f t="shared" si="46"/>
        <v>#DIV/0!</v>
      </c>
      <c r="AZ13" s="1055"/>
      <c r="BA13" s="3341"/>
      <c r="BB13" s="3341"/>
      <c r="BC13" s="3349">
        <f t="shared" si="32"/>
        <v>0</v>
      </c>
      <c r="BD13" s="3986" t="e">
        <f t="shared" si="47"/>
        <v>#DIV/0!</v>
      </c>
      <c r="BE13" s="1055"/>
      <c r="BF13" s="3341"/>
      <c r="BG13" s="3341"/>
      <c r="BH13" s="3349">
        <f t="shared" si="33"/>
        <v>0</v>
      </c>
      <c r="BI13" s="3986" t="e">
        <f t="shared" si="48"/>
        <v>#DIV/0!</v>
      </c>
      <c r="BJ13" s="1055"/>
      <c r="BK13" s="3341"/>
      <c r="BL13" s="3341"/>
      <c r="BM13" s="3349">
        <f t="shared" si="34"/>
        <v>0</v>
      </c>
      <c r="BN13" s="3986" t="e">
        <f t="shared" si="49"/>
        <v>#DIV/0!</v>
      </c>
      <c r="BO13" s="1055"/>
      <c r="BP13" s="3341"/>
      <c r="BQ13" s="3341"/>
      <c r="BR13" s="3349">
        <f t="shared" si="35"/>
        <v>0</v>
      </c>
      <c r="BS13" s="3986" t="e">
        <f t="shared" si="50"/>
        <v>#DIV/0!</v>
      </c>
      <c r="BT13" s="1055"/>
      <c r="BU13" s="3341"/>
      <c r="BV13" s="3341"/>
      <c r="BW13" s="3349">
        <f t="shared" si="36"/>
        <v>0</v>
      </c>
      <c r="BX13" s="3986" t="e">
        <f t="shared" si="51"/>
        <v>#DIV/0!</v>
      </c>
      <c r="BY13" s="1055"/>
      <c r="BZ13" s="3341"/>
      <c r="CA13" s="3341"/>
      <c r="CB13" s="3349">
        <f t="shared" si="37"/>
        <v>0</v>
      </c>
      <c r="CC13" s="3986" t="e">
        <f t="shared" si="52"/>
        <v>#DIV/0!</v>
      </c>
      <c r="CD13" s="1055"/>
      <c r="CE13" s="3341"/>
      <c r="CF13" s="3341"/>
      <c r="CG13" s="3349">
        <f t="shared" si="38"/>
        <v>0</v>
      </c>
      <c r="CH13" s="3986" t="e">
        <f t="shared" si="53"/>
        <v>#DIV/0!</v>
      </c>
      <c r="CI13" s="1055"/>
      <c r="CJ13" s="3341">
        <f t="shared" si="39"/>
        <v>0</v>
      </c>
      <c r="CK13" s="3341">
        <f t="shared" si="39"/>
        <v>0</v>
      </c>
      <c r="CL13" s="3349">
        <f t="shared" si="54"/>
        <v>0</v>
      </c>
      <c r="CM13" s="3986">
        <f t="shared" si="40"/>
        <v>0</v>
      </c>
      <c r="CN13" s="1434"/>
      <c r="CP13" s="4033"/>
      <c r="CQ13" s="2012">
        <f t="shared" si="55"/>
        <v>0</v>
      </c>
      <c r="CR13" s="4035">
        <f t="shared" si="56"/>
        <v>0</v>
      </c>
      <c r="CT13" s="2624"/>
    </row>
    <row r="14" spans="1:99" s="1396" customFormat="1" ht="13.8" outlineLevel="2">
      <c r="A14" s="1571"/>
      <c r="B14" s="1424" t="s">
        <v>70</v>
      </c>
      <c r="C14" s="3341"/>
      <c r="D14" s="3341"/>
      <c r="E14" s="3349">
        <f t="shared" si="19"/>
        <v>0</v>
      </c>
      <c r="F14" s="3986" t="e">
        <f t="shared" si="16"/>
        <v>#DIV/0!</v>
      </c>
      <c r="G14" s="1055"/>
      <c r="H14" s="3341"/>
      <c r="I14" s="3341"/>
      <c r="J14" s="3349">
        <f t="shared" si="20"/>
        <v>0</v>
      </c>
      <c r="K14" s="3986" t="e">
        <f t="shared" si="41"/>
        <v>#DIV/0!</v>
      </c>
      <c r="L14" s="1055"/>
      <c r="M14" s="3341"/>
      <c r="N14" s="3341"/>
      <c r="O14" s="3349">
        <f t="shared" si="21"/>
        <v>0</v>
      </c>
      <c r="P14" s="3986">
        <f t="shared" si="22"/>
        <v>0</v>
      </c>
      <c r="Q14" s="1055"/>
      <c r="R14" s="3342">
        <f t="shared" si="23"/>
        <v>0</v>
      </c>
      <c r="S14" s="3342">
        <f t="shared" si="23"/>
        <v>0</v>
      </c>
      <c r="T14" s="2012">
        <f t="shared" si="24"/>
        <v>0</v>
      </c>
      <c r="U14" s="1055"/>
      <c r="V14" s="1055"/>
      <c r="W14" s="3342">
        <f t="shared" si="25"/>
        <v>0</v>
      </c>
      <c r="X14" s="3342">
        <f t="shared" si="25"/>
        <v>0</v>
      </c>
      <c r="Y14" s="2012">
        <f t="shared" si="26"/>
        <v>0</v>
      </c>
      <c r="Z14" s="1055"/>
      <c r="AA14" s="1055"/>
      <c r="AB14" s="3341"/>
      <c r="AC14" s="3341"/>
      <c r="AD14" s="3349">
        <f t="shared" si="27"/>
        <v>0</v>
      </c>
      <c r="AE14" s="3986">
        <f t="shared" si="42"/>
        <v>0</v>
      </c>
      <c r="AF14" s="1055"/>
      <c r="AG14" s="3341"/>
      <c r="AH14" s="3341"/>
      <c r="AI14" s="3349">
        <f t="shared" si="28"/>
        <v>0</v>
      </c>
      <c r="AJ14" s="3986">
        <f t="shared" si="43"/>
        <v>0</v>
      </c>
      <c r="AK14" s="1055"/>
      <c r="AL14" s="3341"/>
      <c r="AM14" s="3341"/>
      <c r="AN14" s="3349">
        <f t="shared" si="29"/>
        <v>0</v>
      </c>
      <c r="AO14" s="3986" t="e">
        <f t="shared" si="44"/>
        <v>#DIV/0!</v>
      </c>
      <c r="AP14" s="1055"/>
      <c r="AQ14" s="3341"/>
      <c r="AR14" s="3341"/>
      <c r="AS14" s="3349">
        <f t="shared" si="30"/>
        <v>0</v>
      </c>
      <c r="AT14" s="3986" t="e">
        <f t="shared" si="45"/>
        <v>#DIV/0!</v>
      </c>
      <c r="AU14" s="1055"/>
      <c r="AV14" s="3341"/>
      <c r="AW14" s="3341"/>
      <c r="AX14" s="3349">
        <f t="shared" si="31"/>
        <v>0</v>
      </c>
      <c r="AY14" s="3986" t="e">
        <f t="shared" si="46"/>
        <v>#DIV/0!</v>
      </c>
      <c r="AZ14" s="1055"/>
      <c r="BA14" s="3341"/>
      <c r="BB14" s="3341"/>
      <c r="BC14" s="3349">
        <f t="shared" si="32"/>
        <v>0</v>
      </c>
      <c r="BD14" s="3986" t="e">
        <f t="shared" si="47"/>
        <v>#DIV/0!</v>
      </c>
      <c r="BE14" s="1055"/>
      <c r="BF14" s="3341"/>
      <c r="BG14" s="3341"/>
      <c r="BH14" s="3349">
        <f t="shared" si="33"/>
        <v>0</v>
      </c>
      <c r="BI14" s="3986" t="e">
        <f t="shared" si="48"/>
        <v>#DIV/0!</v>
      </c>
      <c r="BJ14" s="1055"/>
      <c r="BK14" s="3341"/>
      <c r="BL14" s="3341"/>
      <c r="BM14" s="3349">
        <f t="shared" si="34"/>
        <v>0</v>
      </c>
      <c r="BN14" s="3986" t="e">
        <f t="shared" si="49"/>
        <v>#DIV/0!</v>
      </c>
      <c r="BO14" s="1055"/>
      <c r="BP14" s="3341"/>
      <c r="BQ14" s="3341"/>
      <c r="BR14" s="3349">
        <f t="shared" si="35"/>
        <v>0</v>
      </c>
      <c r="BS14" s="3986" t="e">
        <f t="shared" si="50"/>
        <v>#DIV/0!</v>
      </c>
      <c r="BT14" s="1055"/>
      <c r="BU14" s="3341"/>
      <c r="BV14" s="3341"/>
      <c r="BW14" s="3349">
        <f t="shared" si="36"/>
        <v>0</v>
      </c>
      <c r="BX14" s="3986" t="e">
        <f t="shared" si="51"/>
        <v>#DIV/0!</v>
      </c>
      <c r="BY14" s="1055"/>
      <c r="BZ14" s="3341"/>
      <c r="CA14" s="3341"/>
      <c r="CB14" s="3349">
        <f t="shared" si="37"/>
        <v>0</v>
      </c>
      <c r="CC14" s="3986" t="e">
        <f t="shared" si="52"/>
        <v>#DIV/0!</v>
      </c>
      <c r="CD14" s="1055"/>
      <c r="CE14" s="3341"/>
      <c r="CF14" s="3341"/>
      <c r="CG14" s="3349">
        <f t="shared" si="38"/>
        <v>0</v>
      </c>
      <c r="CH14" s="3986" t="e">
        <f t="shared" si="53"/>
        <v>#DIV/0!</v>
      </c>
      <c r="CI14" s="1055"/>
      <c r="CJ14" s="3341">
        <f t="shared" si="39"/>
        <v>0</v>
      </c>
      <c r="CK14" s="3341">
        <f t="shared" si="39"/>
        <v>0</v>
      </c>
      <c r="CL14" s="3349">
        <f t="shared" si="54"/>
        <v>0</v>
      </c>
      <c r="CM14" s="3986">
        <f t="shared" si="40"/>
        <v>0</v>
      </c>
      <c r="CN14" s="1434"/>
      <c r="CP14" s="4033"/>
      <c r="CQ14" s="2012">
        <f t="shared" si="55"/>
        <v>0</v>
      </c>
      <c r="CR14" s="4035">
        <f t="shared" si="56"/>
        <v>0</v>
      </c>
      <c r="CT14" s="2624"/>
    </row>
    <row r="15" spans="1:99" s="1396" customFormat="1" ht="13.8" outlineLevel="2">
      <c r="A15" s="1571"/>
      <c r="B15" s="3957" t="s">
        <v>20</v>
      </c>
      <c r="C15" s="3341"/>
      <c r="D15" s="3341"/>
      <c r="E15" s="3349">
        <f t="shared" si="19"/>
        <v>0</v>
      </c>
      <c r="F15" s="3986" t="e">
        <f t="shared" si="16"/>
        <v>#DIV/0!</v>
      </c>
      <c r="G15" s="1055"/>
      <c r="H15" s="3341"/>
      <c r="I15" s="3341"/>
      <c r="J15" s="3349">
        <f t="shared" si="20"/>
        <v>0</v>
      </c>
      <c r="K15" s="3986" t="e">
        <f t="shared" si="41"/>
        <v>#DIV/0!</v>
      </c>
      <c r="L15" s="1055"/>
      <c r="M15" s="3341"/>
      <c r="N15" s="3341"/>
      <c r="O15" s="3349">
        <f t="shared" si="21"/>
        <v>0</v>
      </c>
      <c r="P15" s="3986">
        <f t="shared" si="22"/>
        <v>0</v>
      </c>
      <c r="Q15" s="1055"/>
      <c r="R15" s="3342">
        <f t="shared" si="23"/>
        <v>0</v>
      </c>
      <c r="S15" s="3342">
        <f t="shared" si="23"/>
        <v>0</v>
      </c>
      <c r="T15" s="2012">
        <f t="shared" si="24"/>
        <v>0</v>
      </c>
      <c r="U15" s="1055"/>
      <c r="V15" s="1055"/>
      <c r="W15" s="3342">
        <f t="shared" si="25"/>
        <v>0</v>
      </c>
      <c r="X15" s="3342">
        <f t="shared" si="25"/>
        <v>0</v>
      </c>
      <c r="Y15" s="2012">
        <f t="shared" si="26"/>
        <v>0</v>
      </c>
      <c r="Z15" s="1055"/>
      <c r="AA15" s="1055"/>
      <c r="AB15" s="3341"/>
      <c r="AC15" s="3341"/>
      <c r="AD15" s="3349">
        <f t="shared" si="27"/>
        <v>0</v>
      </c>
      <c r="AE15" s="3986">
        <f t="shared" si="42"/>
        <v>0</v>
      </c>
      <c r="AF15" s="1055"/>
      <c r="AG15" s="3341"/>
      <c r="AH15" s="3341"/>
      <c r="AI15" s="3349">
        <f t="shared" si="28"/>
        <v>0</v>
      </c>
      <c r="AJ15" s="3986">
        <f t="shared" si="43"/>
        <v>0</v>
      </c>
      <c r="AK15" s="1055"/>
      <c r="AL15" s="3341"/>
      <c r="AM15" s="3341"/>
      <c r="AN15" s="3349">
        <f t="shared" si="29"/>
        <v>0</v>
      </c>
      <c r="AO15" s="3986" t="e">
        <f t="shared" si="44"/>
        <v>#DIV/0!</v>
      </c>
      <c r="AP15" s="1055"/>
      <c r="AQ15" s="3341"/>
      <c r="AR15" s="3341"/>
      <c r="AS15" s="3349">
        <f t="shared" si="30"/>
        <v>0</v>
      </c>
      <c r="AT15" s="3986" t="e">
        <f t="shared" si="45"/>
        <v>#DIV/0!</v>
      </c>
      <c r="AU15" s="1055"/>
      <c r="AV15" s="3341"/>
      <c r="AW15" s="3341"/>
      <c r="AX15" s="3349">
        <f t="shared" si="31"/>
        <v>0</v>
      </c>
      <c r="AY15" s="3986" t="e">
        <f t="shared" si="46"/>
        <v>#DIV/0!</v>
      </c>
      <c r="AZ15" s="1055"/>
      <c r="BA15" s="3341"/>
      <c r="BB15" s="3341"/>
      <c r="BC15" s="3349">
        <f t="shared" si="32"/>
        <v>0</v>
      </c>
      <c r="BD15" s="3986" t="e">
        <f t="shared" si="47"/>
        <v>#DIV/0!</v>
      </c>
      <c r="BE15" s="1055"/>
      <c r="BF15" s="3341"/>
      <c r="BG15" s="3341"/>
      <c r="BH15" s="3349">
        <f t="shared" si="33"/>
        <v>0</v>
      </c>
      <c r="BI15" s="3986" t="e">
        <f t="shared" si="48"/>
        <v>#DIV/0!</v>
      </c>
      <c r="BJ15" s="1055"/>
      <c r="BK15" s="3341"/>
      <c r="BL15" s="3341"/>
      <c r="BM15" s="3349">
        <f t="shared" si="34"/>
        <v>0</v>
      </c>
      <c r="BN15" s="3986" t="e">
        <f t="shared" si="49"/>
        <v>#DIV/0!</v>
      </c>
      <c r="BO15" s="1055"/>
      <c r="BP15" s="3341"/>
      <c r="BQ15" s="3341"/>
      <c r="BR15" s="3349">
        <f t="shared" si="35"/>
        <v>0</v>
      </c>
      <c r="BS15" s="3986" t="e">
        <f t="shared" si="50"/>
        <v>#DIV/0!</v>
      </c>
      <c r="BT15" s="1055"/>
      <c r="BU15" s="3341"/>
      <c r="BV15" s="3341"/>
      <c r="BW15" s="3349">
        <f t="shared" si="36"/>
        <v>0</v>
      </c>
      <c r="BX15" s="3986" t="e">
        <f t="shared" si="51"/>
        <v>#DIV/0!</v>
      </c>
      <c r="BY15" s="1055"/>
      <c r="BZ15" s="3341"/>
      <c r="CA15" s="3341"/>
      <c r="CB15" s="3349">
        <f t="shared" si="37"/>
        <v>0</v>
      </c>
      <c r="CC15" s="3986" t="e">
        <f t="shared" si="52"/>
        <v>#DIV/0!</v>
      </c>
      <c r="CD15" s="1055"/>
      <c r="CE15" s="3341"/>
      <c r="CF15" s="3341"/>
      <c r="CG15" s="3349">
        <f t="shared" si="38"/>
        <v>0</v>
      </c>
      <c r="CH15" s="3986" t="e">
        <f t="shared" si="53"/>
        <v>#DIV/0!</v>
      </c>
      <c r="CI15" s="1055"/>
      <c r="CJ15" s="3341">
        <f t="shared" si="39"/>
        <v>0</v>
      </c>
      <c r="CK15" s="3341">
        <f t="shared" si="39"/>
        <v>0</v>
      </c>
      <c r="CL15" s="3349">
        <f t="shared" si="54"/>
        <v>0</v>
      </c>
      <c r="CM15" s="3986">
        <f t="shared" si="40"/>
        <v>0</v>
      </c>
      <c r="CN15" s="1434"/>
      <c r="CP15" s="4033"/>
      <c r="CQ15" s="2012">
        <f t="shared" si="55"/>
        <v>0</v>
      </c>
      <c r="CR15" s="4035">
        <f t="shared" si="56"/>
        <v>0</v>
      </c>
      <c r="CT15" s="2624"/>
    </row>
    <row r="16" spans="1:99" s="1396" customFormat="1" ht="22.2" customHeight="1" outlineLevel="2">
      <c r="A16" s="1571"/>
      <c r="B16" s="3957" t="s">
        <v>21</v>
      </c>
      <c r="C16" s="3341"/>
      <c r="D16" s="3341"/>
      <c r="E16" s="3349">
        <f t="shared" si="19"/>
        <v>0</v>
      </c>
      <c r="F16" s="3986" t="e">
        <f t="shared" si="16"/>
        <v>#DIV/0!</v>
      </c>
      <c r="G16" s="1055"/>
      <c r="H16" s="3341"/>
      <c r="I16" s="3341"/>
      <c r="J16" s="3349">
        <f t="shared" si="20"/>
        <v>0</v>
      </c>
      <c r="K16" s="3986" t="e">
        <f t="shared" si="41"/>
        <v>#DIV/0!</v>
      </c>
      <c r="L16" s="1055"/>
      <c r="M16" s="3341"/>
      <c r="N16" s="3341"/>
      <c r="O16" s="3349">
        <f t="shared" si="21"/>
        <v>0</v>
      </c>
      <c r="P16" s="3986">
        <f t="shared" si="22"/>
        <v>0</v>
      </c>
      <c r="Q16" s="1055"/>
      <c r="R16" s="3342">
        <f t="shared" si="23"/>
        <v>0</v>
      </c>
      <c r="S16" s="3342">
        <f t="shared" si="23"/>
        <v>0</v>
      </c>
      <c r="T16" s="2012">
        <f t="shared" si="24"/>
        <v>0</v>
      </c>
      <c r="U16" s="1055"/>
      <c r="V16" s="1055"/>
      <c r="W16" s="3342">
        <f t="shared" si="25"/>
        <v>0</v>
      </c>
      <c r="X16" s="3342">
        <f t="shared" si="25"/>
        <v>4500</v>
      </c>
      <c r="Y16" s="2012">
        <f t="shared" si="26"/>
        <v>4500</v>
      </c>
      <c r="Z16" s="1055"/>
      <c r="AA16" s="1055"/>
      <c r="AB16" s="3341"/>
      <c r="AC16" s="3341"/>
      <c r="AD16" s="3349">
        <f t="shared" si="27"/>
        <v>0</v>
      </c>
      <c r="AE16" s="3986">
        <f t="shared" si="42"/>
        <v>0</v>
      </c>
      <c r="AF16" s="1055"/>
      <c r="AG16" s="3341"/>
      <c r="AH16" s="3341">
        <v>4500</v>
      </c>
      <c r="AI16" s="3349">
        <f t="shared" si="28"/>
        <v>4500</v>
      </c>
      <c r="AJ16" s="3986">
        <f t="shared" si="43"/>
        <v>3.8082500241108423E-2</v>
      </c>
      <c r="AK16" s="2047" t="s">
        <v>1923</v>
      </c>
      <c r="AL16" s="3341"/>
      <c r="AM16" s="3341"/>
      <c r="AN16" s="3349">
        <f t="shared" si="29"/>
        <v>0</v>
      </c>
      <c r="AO16" s="3986" t="e">
        <f t="shared" si="44"/>
        <v>#DIV/0!</v>
      </c>
      <c r="AP16" s="1055"/>
      <c r="AQ16" s="3341"/>
      <c r="AR16" s="3341"/>
      <c r="AS16" s="3349">
        <f t="shared" si="30"/>
        <v>0</v>
      </c>
      <c r="AT16" s="3986" t="e">
        <f t="shared" si="45"/>
        <v>#DIV/0!</v>
      </c>
      <c r="AU16" s="1055"/>
      <c r="AV16" s="3341"/>
      <c r="AW16" s="3341"/>
      <c r="AX16" s="3349">
        <f t="shared" si="31"/>
        <v>0</v>
      </c>
      <c r="AY16" s="3986" t="e">
        <f t="shared" si="46"/>
        <v>#DIV/0!</v>
      </c>
      <c r="AZ16" s="1055"/>
      <c r="BA16" s="3341"/>
      <c r="BB16" s="3341"/>
      <c r="BC16" s="3349">
        <f t="shared" si="32"/>
        <v>0</v>
      </c>
      <c r="BD16" s="3986" t="e">
        <f t="shared" si="47"/>
        <v>#DIV/0!</v>
      </c>
      <c r="BE16" s="1055"/>
      <c r="BF16" s="3341"/>
      <c r="BG16" s="3341"/>
      <c r="BH16" s="3349">
        <f t="shared" si="33"/>
        <v>0</v>
      </c>
      <c r="BI16" s="3986" t="e">
        <f t="shared" si="48"/>
        <v>#DIV/0!</v>
      </c>
      <c r="BJ16" s="1055"/>
      <c r="BK16" s="3341"/>
      <c r="BL16" s="3341"/>
      <c r="BM16" s="3349">
        <f t="shared" si="34"/>
        <v>0</v>
      </c>
      <c r="BN16" s="3986" t="e">
        <f t="shared" si="49"/>
        <v>#DIV/0!</v>
      </c>
      <c r="BO16" s="1055"/>
      <c r="BP16" s="3341"/>
      <c r="BQ16" s="3341"/>
      <c r="BR16" s="3349">
        <f t="shared" si="35"/>
        <v>0</v>
      </c>
      <c r="BS16" s="3986" t="e">
        <f t="shared" si="50"/>
        <v>#DIV/0!</v>
      </c>
      <c r="BT16" s="1055"/>
      <c r="BU16" s="3341"/>
      <c r="BV16" s="3341"/>
      <c r="BW16" s="3349">
        <f t="shared" si="36"/>
        <v>0</v>
      </c>
      <c r="BX16" s="3986" t="e">
        <f t="shared" si="51"/>
        <v>#DIV/0!</v>
      </c>
      <c r="BY16" s="1055"/>
      <c r="BZ16" s="3341"/>
      <c r="CA16" s="3341"/>
      <c r="CB16" s="3349">
        <f t="shared" si="37"/>
        <v>0</v>
      </c>
      <c r="CC16" s="3986" t="e">
        <f t="shared" si="52"/>
        <v>#DIV/0!</v>
      </c>
      <c r="CD16" s="1055"/>
      <c r="CE16" s="3341"/>
      <c r="CF16" s="3341"/>
      <c r="CG16" s="3349">
        <f t="shared" si="38"/>
        <v>0</v>
      </c>
      <c r="CH16" s="3986" t="e">
        <f t="shared" si="53"/>
        <v>#DIV/0!</v>
      </c>
      <c r="CI16" s="1055"/>
      <c r="CJ16" s="3341">
        <f t="shared" si="39"/>
        <v>0</v>
      </c>
      <c r="CK16" s="3341">
        <f t="shared" si="39"/>
        <v>4500</v>
      </c>
      <c r="CL16" s="3349">
        <f>CJ16+CK16*1</f>
        <v>4500</v>
      </c>
      <c r="CM16" s="3986">
        <f t="shared" si="40"/>
        <v>9.8716110857014622E-3</v>
      </c>
      <c r="CN16" s="1434"/>
      <c r="CP16" s="4033"/>
      <c r="CQ16" s="2012">
        <f t="shared" si="55"/>
        <v>4500</v>
      </c>
      <c r="CR16" s="4035">
        <f t="shared" si="56"/>
        <v>-4500</v>
      </c>
      <c r="CT16" s="2624"/>
    </row>
    <row r="17" spans="1:100" s="1396" customFormat="1" ht="13.8" outlineLevel="2">
      <c r="A17" s="1571"/>
      <c r="B17" s="3957" t="s">
        <v>22</v>
      </c>
      <c r="C17" s="3341"/>
      <c r="D17" s="3341"/>
      <c r="E17" s="3349">
        <f t="shared" si="19"/>
        <v>0</v>
      </c>
      <c r="F17" s="3986" t="e">
        <f t="shared" si="16"/>
        <v>#DIV/0!</v>
      </c>
      <c r="G17" s="2047"/>
      <c r="H17" s="3341"/>
      <c r="I17" s="3341"/>
      <c r="J17" s="3349">
        <f t="shared" si="20"/>
        <v>0</v>
      </c>
      <c r="K17" s="3986" t="e">
        <f t="shared" si="41"/>
        <v>#DIV/0!</v>
      </c>
      <c r="L17" s="2047"/>
      <c r="M17" s="3341"/>
      <c r="N17" s="3341"/>
      <c r="O17" s="3349">
        <f t="shared" si="21"/>
        <v>0</v>
      </c>
      <c r="P17" s="3986">
        <f t="shared" si="22"/>
        <v>0</v>
      </c>
      <c r="Q17" s="2047"/>
      <c r="R17" s="3342">
        <f t="shared" si="23"/>
        <v>0</v>
      </c>
      <c r="S17" s="3342">
        <f t="shared" si="23"/>
        <v>0</v>
      </c>
      <c r="T17" s="2012">
        <f t="shared" si="24"/>
        <v>0</v>
      </c>
      <c r="U17" s="2047"/>
      <c r="V17" s="2047"/>
      <c r="W17" s="3342">
        <f t="shared" si="25"/>
        <v>0</v>
      </c>
      <c r="X17" s="3342">
        <f t="shared" si="25"/>
        <v>0</v>
      </c>
      <c r="Y17" s="2012">
        <f t="shared" si="26"/>
        <v>0</v>
      </c>
      <c r="Z17" s="2047"/>
      <c r="AA17" s="2047"/>
      <c r="AB17" s="3341"/>
      <c r="AC17" s="3341"/>
      <c r="AD17" s="3349">
        <f t="shared" si="27"/>
        <v>0</v>
      </c>
      <c r="AE17" s="3986">
        <f t="shared" si="42"/>
        <v>0</v>
      </c>
      <c r="AF17" s="2047"/>
      <c r="AG17" s="3341"/>
      <c r="AH17" s="3341"/>
      <c r="AI17" s="3349">
        <f t="shared" si="28"/>
        <v>0</v>
      </c>
      <c r="AJ17" s="3986">
        <f t="shared" si="43"/>
        <v>0</v>
      </c>
      <c r="AK17" s="2047"/>
      <c r="AL17" s="3341"/>
      <c r="AM17" s="3341"/>
      <c r="AN17" s="3349">
        <f t="shared" si="29"/>
        <v>0</v>
      </c>
      <c r="AO17" s="3986" t="e">
        <f t="shared" si="44"/>
        <v>#DIV/0!</v>
      </c>
      <c r="AP17" s="2047"/>
      <c r="AQ17" s="3341"/>
      <c r="AR17" s="3341"/>
      <c r="AS17" s="3349">
        <f t="shared" si="30"/>
        <v>0</v>
      </c>
      <c r="AT17" s="3986" t="e">
        <f t="shared" si="45"/>
        <v>#DIV/0!</v>
      </c>
      <c r="AU17" s="2047"/>
      <c r="AV17" s="3341"/>
      <c r="AW17" s="3341"/>
      <c r="AX17" s="3349">
        <f t="shared" si="31"/>
        <v>0</v>
      </c>
      <c r="AY17" s="3986" t="e">
        <f t="shared" si="46"/>
        <v>#DIV/0!</v>
      </c>
      <c r="AZ17" s="2047"/>
      <c r="BA17" s="3341"/>
      <c r="BB17" s="3341"/>
      <c r="BC17" s="3349">
        <f t="shared" si="32"/>
        <v>0</v>
      </c>
      <c r="BD17" s="3986" t="e">
        <f t="shared" si="47"/>
        <v>#DIV/0!</v>
      </c>
      <c r="BE17" s="2047"/>
      <c r="BF17" s="3341"/>
      <c r="BG17" s="3341"/>
      <c r="BH17" s="3349">
        <f t="shared" si="33"/>
        <v>0</v>
      </c>
      <c r="BI17" s="3986" t="e">
        <f t="shared" si="48"/>
        <v>#DIV/0!</v>
      </c>
      <c r="BJ17" s="2047"/>
      <c r="BK17" s="3341"/>
      <c r="BL17" s="3341"/>
      <c r="BM17" s="3349">
        <f t="shared" si="34"/>
        <v>0</v>
      </c>
      <c r="BN17" s="3986" t="e">
        <f t="shared" si="49"/>
        <v>#DIV/0!</v>
      </c>
      <c r="BO17" s="2047"/>
      <c r="BP17" s="3341"/>
      <c r="BQ17" s="3341"/>
      <c r="BR17" s="3349">
        <f t="shared" si="35"/>
        <v>0</v>
      </c>
      <c r="BS17" s="3986" t="e">
        <f t="shared" si="50"/>
        <v>#DIV/0!</v>
      </c>
      <c r="BT17" s="2047"/>
      <c r="BU17" s="3341"/>
      <c r="BV17" s="3341"/>
      <c r="BW17" s="3349">
        <f t="shared" si="36"/>
        <v>0</v>
      </c>
      <c r="BX17" s="3986" t="e">
        <f t="shared" si="51"/>
        <v>#DIV/0!</v>
      </c>
      <c r="BY17" s="2047"/>
      <c r="BZ17" s="3341"/>
      <c r="CA17" s="3341"/>
      <c r="CB17" s="3349">
        <f t="shared" si="37"/>
        <v>0</v>
      </c>
      <c r="CC17" s="3986" t="e">
        <f t="shared" si="52"/>
        <v>#DIV/0!</v>
      </c>
      <c r="CD17" s="2047"/>
      <c r="CE17" s="3341"/>
      <c r="CF17" s="3341"/>
      <c r="CG17" s="3349">
        <f t="shared" si="38"/>
        <v>0</v>
      </c>
      <c r="CH17" s="3986" t="e">
        <f t="shared" si="53"/>
        <v>#DIV/0!</v>
      </c>
      <c r="CI17" s="2047"/>
      <c r="CJ17" s="3341">
        <f t="shared" si="39"/>
        <v>0</v>
      </c>
      <c r="CK17" s="3341">
        <f t="shared" si="39"/>
        <v>0</v>
      </c>
      <c r="CL17" s="3349">
        <f t="shared" si="54"/>
        <v>0</v>
      </c>
      <c r="CM17" s="3986">
        <f t="shared" si="40"/>
        <v>0</v>
      </c>
      <c r="CN17" s="1434"/>
      <c r="CP17" s="4033"/>
      <c r="CQ17" s="2012">
        <f t="shared" si="55"/>
        <v>0</v>
      </c>
      <c r="CR17" s="4035">
        <f t="shared" si="56"/>
        <v>0</v>
      </c>
      <c r="CS17" s="3307"/>
      <c r="CT17" s="3443"/>
    </row>
    <row r="18" spans="1:100" s="1396" customFormat="1" ht="13.8" outlineLevel="2">
      <c r="A18" s="1571"/>
      <c r="B18" s="3957" t="s">
        <v>0</v>
      </c>
      <c r="C18" s="3341"/>
      <c r="D18" s="3341"/>
      <c r="E18" s="3349">
        <f t="shared" si="19"/>
        <v>0</v>
      </c>
      <c r="F18" s="3986" t="e">
        <f t="shared" si="16"/>
        <v>#DIV/0!</v>
      </c>
      <c r="G18" s="1055"/>
      <c r="H18" s="3341"/>
      <c r="I18" s="3341"/>
      <c r="J18" s="3349">
        <f t="shared" si="20"/>
        <v>0</v>
      </c>
      <c r="K18" s="3986" t="e">
        <f t="shared" si="41"/>
        <v>#DIV/0!</v>
      </c>
      <c r="L18" s="1055"/>
      <c r="M18" s="3341"/>
      <c r="N18" s="3341"/>
      <c r="O18" s="3349">
        <f t="shared" si="21"/>
        <v>0</v>
      </c>
      <c r="P18" s="3986">
        <f t="shared" si="22"/>
        <v>0</v>
      </c>
      <c r="Q18" s="1055"/>
      <c r="R18" s="3342">
        <f t="shared" si="23"/>
        <v>0</v>
      </c>
      <c r="S18" s="3342">
        <f t="shared" si="23"/>
        <v>0</v>
      </c>
      <c r="T18" s="2012">
        <f t="shared" si="24"/>
        <v>0</v>
      </c>
      <c r="U18" s="1055"/>
      <c r="V18" s="1055"/>
      <c r="W18" s="3342">
        <f t="shared" si="25"/>
        <v>0</v>
      </c>
      <c r="X18" s="3342">
        <f t="shared" si="25"/>
        <v>11600</v>
      </c>
      <c r="Y18" s="2012">
        <f t="shared" si="26"/>
        <v>11600</v>
      </c>
      <c r="Z18" s="1055"/>
      <c r="AA18" s="1055"/>
      <c r="AB18" s="3341"/>
      <c r="AC18" s="3341">
        <v>11600</v>
      </c>
      <c r="AD18" s="3349">
        <f t="shared" si="27"/>
        <v>11600</v>
      </c>
      <c r="AE18" s="3986">
        <f t="shared" si="42"/>
        <v>3.5449986734711975E-2</v>
      </c>
      <c r="AF18" s="2047" t="s">
        <v>1885</v>
      </c>
      <c r="AG18" s="3341"/>
      <c r="AH18" s="3341"/>
      <c r="AI18" s="3349">
        <f t="shared" si="28"/>
        <v>0</v>
      </c>
      <c r="AJ18" s="3986">
        <f t="shared" si="43"/>
        <v>0</v>
      </c>
      <c r="AK18" s="1055"/>
      <c r="AL18" s="3341"/>
      <c r="AM18" s="3341"/>
      <c r="AN18" s="3349">
        <f t="shared" si="29"/>
        <v>0</v>
      </c>
      <c r="AO18" s="3986" t="e">
        <f t="shared" si="44"/>
        <v>#DIV/0!</v>
      </c>
      <c r="AP18" s="1055"/>
      <c r="AQ18" s="3341"/>
      <c r="AR18" s="3341"/>
      <c r="AS18" s="3349">
        <f t="shared" si="30"/>
        <v>0</v>
      </c>
      <c r="AT18" s="3986" t="e">
        <f t="shared" si="45"/>
        <v>#DIV/0!</v>
      </c>
      <c r="AU18" s="1055"/>
      <c r="AV18" s="3341"/>
      <c r="AW18" s="3341"/>
      <c r="AX18" s="3349">
        <f t="shared" si="31"/>
        <v>0</v>
      </c>
      <c r="AY18" s="3986" t="e">
        <f t="shared" si="46"/>
        <v>#DIV/0!</v>
      </c>
      <c r="AZ18" s="1055"/>
      <c r="BA18" s="3341"/>
      <c r="BB18" s="3341"/>
      <c r="BC18" s="3349">
        <f t="shared" si="32"/>
        <v>0</v>
      </c>
      <c r="BD18" s="3986" t="e">
        <f t="shared" si="47"/>
        <v>#DIV/0!</v>
      </c>
      <c r="BE18" s="1055"/>
      <c r="BF18" s="3341"/>
      <c r="BG18" s="3341"/>
      <c r="BH18" s="3349">
        <f t="shared" si="33"/>
        <v>0</v>
      </c>
      <c r="BI18" s="3986" t="e">
        <f t="shared" si="48"/>
        <v>#DIV/0!</v>
      </c>
      <c r="BJ18" s="1055"/>
      <c r="BK18" s="3341"/>
      <c r="BL18" s="3341"/>
      <c r="BM18" s="3349">
        <f t="shared" si="34"/>
        <v>0</v>
      </c>
      <c r="BN18" s="3986" t="e">
        <f t="shared" si="49"/>
        <v>#DIV/0!</v>
      </c>
      <c r="BO18" s="1055"/>
      <c r="BP18" s="3341"/>
      <c r="BQ18" s="3341"/>
      <c r="BR18" s="3349">
        <f t="shared" si="35"/>
        <v>0</v>
      </c>
      <c r="BS18" s="3986" t="e">
        <f t="shared" si="50"/>
        <v>#DIV/0!</v>
      </c>
      <c r="BT18" s="1055"/>
      <c r="BU18" s="3341"/>
      <c r="BV18" s="3341"/>
      <c r="BW18" s="3349">
        <f t="shared" si="36"/>
        <v>0</v>
      </c>
      <c r="BX18" s="3986" t="e">
        <f t="shared" si="51"/>
        <v>#DIV/0!</v>
      </c>
      <c r="BY18" s="1055"/>
      <c r="BZ18" s="3341"/>
      <c r="CA18" s="3341"/>
      <c r="CB18" s="3349">
        <f t="shared" si="37"/>
        <v>0</v>
      </c>
      <c r="CC18" s="3986" t="e">
        <f t="shared" si="52"/>
        <v>#DIV/0!</v>
      </c>
      <c r="CD18" s="1055"/>
      <c r="CE18" s="3341"/>
      <c r="CF18" s="3341"/>
      <c r="CG18" s="3349">
        <f t="shared" si="38"/>
        <v>0</v>
      </c>
      <c r="CH18" s="3986" t="e">
        <f t="shared" si="53"/>
        <v>#DIV/0!</v>
      </c>
      <c r="CI18" s="1055"/>
      <c r="CJ18" s="3341">
        <f t="shared" si="39"/>
        <v>0</v>
      </c>
      <c r="CK18" s="3341">
        <f t="shared" si="39"/>
        <v>11600</v>
      </c>
      <c r="CL18" s="3349">
        <f t="shared" si="54"/>
        <v>11600</v>
      </c>
      <c r="CM18" s="3986">
        <f t="shared" si="40"/>
        <v>2.5446819687585994E-2</v>
      </c>
      <c r="CN18" s="1434"/>
      <c r="CP18" s="4033">
        <v>13689.46384</v>
      </c>
      <c r="CQ18" s="2012">
        <f t="shared" si="55"/>
        <v>11600</v>
      </c>
      <c r="CR18" s="4035">
        <f t="shared" si="56"/>
        <v>2089.4638400000003</v>
      </c>
      <c r="CT18" s="2624"/>
    </row>
    <row r="19" spans="1:100" s="1396" customFormat="1" ht="13.8" outlineLevel="2">
      <c r="A19" s="1571"/>
      <c r="B19" s="3957" t="s">
        <v>53</v>
      </c>
      <c r="C19" s="3341"/>
      <c r="D19" s="3341"/>
      <c r="E19" s="3349">
        <f t="shared" si="19"/>
        <v>0</v>
      </c>
      <c r="F19" s="3986" t="e">
        <f t="shared" si="16"/>
        <v>#DIV/0!</v>
      </c>
      <c r="G19" s="1055"/>
      <c r="H19" s="3341"/>
      <c r="I19" s="3341"/>
      <c r="J19" s="3349">
        <f t="shared" si="20"/>
        <v>0</v>
      </c>
      <c r="K19" s="3986" t="e">
        <f t="shared" si="41"/>
        <v>#DIV/0!</v>
      </c>
      <c r="L19" s="1055"/>
      <c r="M19" s="3341"/>
      <c r="N19" s="3341"/>
      <c r="O19" s="3349">
        <f t="shared" si="21"/>
        <v>0</v>
      </c>
      <c r="P19" s="3986">
        <f t="shared" si="22"/>
        <v>0</v>
      </c>
      <c r="Q19" s="1055"/>
      <c r="R19" s="3342">
        <f t="shared" si="23"/>
        <v>0</v>
      </c>
      <c r="S19" s="3342">
        <f t="shared" si="23"/>
        <v>0</v>
      </c>
      <c r="T19" s="2012">
        <f t="shared" si="24"/>
        <v>0</v>
      </c>
      <c r="U19" s="1055"/>
      <c r="V19" s="1055"/>
      <c r="W19" s="3342">
        <f t="shared" si="25"/>
        <v>0</v>
      </c>
      <c r="X19" s="3342">
        <f t="shared" si="25"/>
        <v>0</v>
      </c>
      <c r="Y19" s="2012">
        <f t="shared" si="26"/>
        <v>0</v>
      </c>
      <c r="Z19" s="1055"/>
      <c r="AA19" s="1055"/>
      <c r="AB19" s="3341"/>
      <c r="AC19" s="3341"/>
      <c r="AD19" s="3349">
        <f t="shared" si="27"/>
        <v>0</v>
      </c>
      <c r="AE19" s="3986">
        <f t="shared" si="42"/>
        <v>0</v>
      </c>
      <c r="AF19" s="1055"/>
      <c r="AG19" s="3341"/>
      <c r="AH19" s="3341"/>
      <c r="AI19" s="3349">
        <f t="shared" si="28"/>
        <v>0</v>
      </c>
      <c r="AJ19" s="3986">
        <f t="shared" si="43"/>
        <v>0</v>
      </c>
      <c r="AK19" s="1055"/>
      <c r="AL19" s="3341"/>
      <c r="AM19" s="3341"/>
      <c r="AN19" s="3349">
        <f t="shared" si="29"/>
        <v>0</v>
      </c>
      <c r="AO19" s="3986" t="e">
        <f t="shared" si="44"/>
        <v>#DIV/0!</v>
      </c>
      <c r="AP19" s="1055"/>
      <c r="AQ19" s="3341"/>
      <c r="AR19" s="3341"/>
      <c r="AS19" s="3349">
        <f t="shared" si="30"/>
        <v>0</v>
      </c>
      <c r="AT19" s="3986" t="e">
        <f t="shared" si="45"/>
        <v>#DIV/0!</v>
      </c>
      <c r="AU19" s="1055"/>
      <c r="AV19" s="3341"/>
      <c r="AW19" s="3341"/>
      <c r="AX19" s="3349">
        <f t="shared" si="31"/>
        <v>0</v>
      </c>
      <c r="AY19" s="3986" t="e">
        <f t="shared" si="46"/>
        <v>#DIV/0!</v>
      </c>
      <c r="AZ19" s="1055"/>
      <c r="BA19" s="3341"/>
      <c r="BB19" s="3341"/>
      <c r="BC19" s="3349">
        <f t="shared" si="32"/>
        <v>0</v>
      </c>
      <c r="BD19" s="3986" t="e">
        <f t="shared" si="47"/>
        <v>#DIV/0!</v>
      </c>
      <c r="BE19" s="1055"/>
      <c r="BF19" s="3341"/>
      <c r="BG19" s="3341"/>
      <c r="BH19" s="3349">
        <f t="shared" si="33"/>
        <v>0</v>
      </c>
      <c r="BI19" s="3986" t="e">
        <f t="shared" si="48"/>
        <v>#DIV/0!</v>
      </c>
      <c r="BJ19" s="1055"/>
      <c r="BK19" s="3341"/>
      <c r="BL19" s="3341"/>
      <c r="BM19" s="3349">
        <f t="shared" si="34"/>
        <v>0</v>
      </c>
      <c r="BN19" s="3986" t="e">
        <f t="shared" si="49"/>
        <v>#DIV/0!</v>
      </c>
      <c r="BO19" s="1055"/>
      <c r="BP19" s="3341"/>
      <c r="BQ19" s="3341"/>
      <c r="BR19" s="3349">
        <f t="shared" si="35"/>
        <v>0</v>
      </c>
      <c r="BS19" s="3986" t="e">
        <f t="shared" si="50"/>
        <v>#DIV/0!</v>
      </c>
      <c r="BT19" s="1055"/>
      <c r="BU19" s="3341"/>
      <c r="BV19" s="3341"/>
      <c r="BW19" s="3349">
        <f t="shared" si="36"/>
        <v>0</v>
      </c>
      <c r="BX19" s="3986" t="e">
        <f t="shared" si="51"/>
        <v>#DIV/0!</v>
      </c>
      <c r="BY19" s="1055"/>
      <c r="BZ19" s="3341"/>
      <c r="CA19" s="3341"/>
      <c r="CB19" s="3349">
        <f t="shared" si="37"/>
        <v>0</v>
      </c>
      <c r="CC19" s="3986" t="e">
        <f t="shared" si="52"/>
        <v>#DIV/0!</v>
      </c>
      <c r="CD19" s="1055"/>
      <c r="CE19" s="3341"/>
      <c r="CF19" s="3341"/>
      <c r="CG19" s="3349">
        <f t="shared" si="38"/>
        <v>0</v>
      </c>
      <c r="CH19" s="3986" t="e">
        <f t="shared" si="53"/>
        <v>#DIV/0!</v>
      </c>
      <c r="CI19" s="1055"/>
      <c r="CJ19" s="3341">
        <f t="shared" si="39"/>
        <v>0</v>
      </c>
      <c r="CK19" s="3341">
        <f t="shared" si="39"/>
        <v>0</v>
      </c>
      <c r="CL19" s="3349">
        <f t="shared" si="54"/>
        <v>0</v>
      </c>
      <c r="CM19" s="3986">
        <f t="shared" si="40"/>
        <v>0</v>
      </c>
      <c r="CN19" s="1434"/>
      <c r="CP19" s="4033"/>
      <c r="CQ19" s="2012">
        <f t="shared" si="55"/>
        <v>0</v>
      </c>
      <c r="CR19" s="4035">
        <f t="shared" si="56"/>
        <v>0</v>
      </c>
      <c r="CT19" s="2624"/>
    </row>
    <row r="20" spans="1:100" s="1396" customFormat="1" ht="13.8" outlineLevel="2">
      <c r="A20" s="1571"/>
      <c r="B20" s="3957" t="s">
        <v>57</v>
      </c>
      <c r="C20" s="3341"/>
      <c r="D20" s="3341"/>
      <c r="E20" s="3349">
        <f t="shared" si="19"/>
        <v>0</v>
      </c>
      <c r="F20" s="3986" t="e">
        <f t="shared" si="16"/>
        <v>#DIV/0!</v>
      </c>
      <c r="G20" s="1055"/>
      <c r="H20" s="3341"/>
      <c r="I20" s="3341"/>
      <c r="J20" s="3349">
        <f t="shared" si="20"/>
        <v>0</v>
      </c>
      <c r="K20" s="3986" t="e">
        <f t="shared" si="41"/>
        <v>#DIV/0!</v>
      </c>
      <c r="L20" s="1055"/>
      <c r="M20" s="3341"/>
      <c r="N20" s="3341"/>
      <c r="O20" s="3349">
        <f t="shared" si="21"/>
        <v>0</v>
      </c>
      <c r="P20" s="3986">
        <f t="shared" si="22"/>
        <v>0</v>
      </c>
      <c r="Q20" s="1055"/>
      <c r="R20" s="3342">
        <f t="shared" si="23"/>
        <v>0</v>
      </c>
      <c r="S20" s="3342">
        <f t="shared" si="23"/>
        <v>0</v>
      </c>
      <c r="T20" s="2012">
        <f t="shared" si="24"/>
        <v>0</v>
      </c>
      <c r="U20" s="1055"/>
      <c r="V20" s="1055"/>
      <c r="W20" s="3342">
        <f t="shared" si="25"/>
        <v>0</v>
      </c>
      <c r="X20" s="3342">
        <f t="shared" si="25"/>
        <v>0</v>
      </c>
      <c r="Y20" s="2012">
        <f t="shared" si="26"/>
        <v>0</v>
      </c>
      <c r="Z20" s="1055"/>
      <c r="AA20" s="1055"/>
      <c r="AB20" s="3341"/>
      <c r="AC20" s="3341"/>
      <c r="AD20" s="3349">
        <f t="shared" si="27"/>
        <v>0</v>
      </c>
      <c r="AE20" s="3986">
        <f t="shared" si="42"/>
        <v>0</v>
      </c>
      <c r="AF20" s="1055"/>
      <c r="AG20" s="3341"/>
      <c r="AH20" s="3341"/>
      <c r="AI20" s="3349">
        <f t="shared" si="28"/>
        <v>0</v>
      </c>
      <c r="AJ20" s="3986">
        <f t="shared" si="43"/>
        <v>0</v>
      </c>
      <c r="AK20" s="1055"/>
      <c r="AL20" s="3341"/>
      <c r="AM20" s="3341"/>
      <c r="AN20" s="3349">
        <f t="shared" si="29"/>
        <v>0</v>
      </c>
      <c r="AO20" s="3986" t="e">
        <f t="shared" si="44"/>
        <v>#DIV/0!</v>
      </c>
      <c r="AP20" s="1055"/>
      <c r="AQ20" s="3341"/>
      <c r="AR20" s="3341"/>
      <c r="AS20" s="3349">
        <f t="shared" si="30"/>
        <v>0</v>
      </c>
      <c r="AT20" s="3986" t="e">
        <f t="shared" si="45"/>
        <v>#DIV/0!</v>
      </c>
      <c r="AU20" s="1055"/>
      <c r="AV20" s="3341"/>
      <c r="AW20" s="3341"/>
      <c r="AX20" s="3349">
        <f t="shared" si="31"/>
        <v>0</v>
      </c>
      <c r="AY20" s="3986" t="e">
        <f t="shared" si="46"/>
        <v>#DIV/0!</v>
      </c>
      <c r="AZ20" s="1055"/>
      <c r="BA20" s="3341"/>
      <c r="BB20" s="3341"/>
      <c r="BC20" s="3349">
        <f t="shared" si="32"/>
        <v>0</v>
      </c>
      <c r="BD20" s="3986" t="e">
        <f t="shared" si="47"/>
        <v>#DIV/0!</v>
      </c>
      <c r="BE20" s="1055"/>
      <c r="BF20" s="3341"/>
      <c r="BG20" s="3341"/>
      <c r="BH20" s="3349">
        <f t="shared" si="33"/>
        <v>0</v>
      </c>
      <c r="BI20" s="3986" t="e">
        <f t="shared" si="48"/>
        <v>#DIV/0!</v>
      </c>
      <c r="BJ20" s="1055"/>
      <c r="BK20" s="3341"/>
      <c r="BL20" s="3341"/>
      <c r="BM20" s="3349">
        <f t="shared" si="34"/>
        <v>0</v>
      </c>
      <c r="BN20" s="3986" t="e">
        <f t="shared" si="49"/>
        <v>#DIV/0!</v>
      </c>
      <c r="BO20" s="1055"/>
      <c r="BP20" s="3341"/>
      <c r="BQ20" s="3341"/>
      <c r="BR20" s="3349">
        <f t="shared" si="35"/>
        <v>0</v>
      </c>
      <c r="BS20" s="3986" t="e">
        <f t="shared" si="50"/>
        <v>#DIV/0!</v>
      </c>
      <c r="BT20" s="1055"/>
      <c r="BU20" s="3341"/>
      <c r="BV20" s="3341"/>
      <c r="BW20" s="3349">
        <f t="shared" si="36"/>
        <v>0</v>
      </c>
      <c r="BX20" s="3986" t="e">
        <f t="shared" si="51"/>
        <v>#DIV/0!</v>
      </c>
      <c r="BY20" s="1055"/>
      <c r="BZ20" s="3341"/>
      <c r="CA20" s="3341"/>
      <c r="CB20" s="3349">
        <f t="shared" si="37"/>
        <v>0</v>
      </c>
      <c r="CC20" s="3986" t="e">
        <f t="shared" si="52"/>
        <v>#DIV/0!</v>
      </c>
      <c r="CD20" s="1055"/>
      <c r="CE20" s="3341"/>
      <c r="CF20" s="3341"/>
      <c r="CG20" s="3349">
        <f t="shared" si="38"/>
        <v>0</v>
      </c>
      <c r="CH20" s="3986" t="e">
        <f t="shared" si="53"/>
        <v>#DIV/0!</v>
      </c>
      <c r="CI20" s="1055"/>
      <c r="CJ20" s="3341">
        <f t="shared" si="39"/>
        <v>0</v>
      </c>
      <c r="CK20" s="3341">
        <f t="shared" si="39"/>
        <v>0</v>
      </c>
      <c r="CL20" s="3349">
        <f t="shared" si="54"/>
        <v>0</v>
      </c>
      <c r="CM20" s="3986">
        <f t="shared" si="40"/>
        <v>0</v>
      </c>
      <c r="CN20" s="1434"/>
      <c r="CP20" s="4033"/>
      <c r="CQ20" s="2012">
        <f t="shared" si="55"/>
        <v>0</v>
      </c>
      <c r="CR20" s="4035">
        <f t="shared" si="56"/>
        <v>0</v>
      </c>
      <c r="CT20" s="2624"/>
    </row>
    <row r="21" spans="1:100" s="1396" customFormat="1" ht="13.8" outlineLevel="2">
      <c r="A21" s="1571"/>
      <c r="B21" s="3957" t="s">
        <v>58</v>
      </c>
      <c r="C21" s="3341"/>
      <c r="D21" s="3341"/>
      <c r="E21" s="3349">
        <f t="shared" si="19"/>
        <v>0</v>
      </c>
      <c r="F21" s="3986" t="e">
        <f t="shared" si="16"/>
        <v>#DIV/0!</v>
      </c>
      <c r="G21" s="1615"/>
      <c r="H21" s="3341"/>
      <c r="I21" s="3341"/>
      <c r="J21" s="3349">
        <f t="shared" si="20"/>
        <v>0</v>
      </c>
      <c r="K21" s="3986" t="e">
        <f t="shared" si="41"/>
        <v>#DIV/0!</v>
      </c>
      <c r="L21" s="1615"/>
      <c r="M21" s="3341"/>
      <c r="N21" s="3341"/>
      <c r="O21" s="3349">
        <f t="shared" si="21"/>
        <v>0</v>
      </c>
      <c r="P21" s="3986">
        <f t="shared" si="22"/>
        <v>0</v>
      </c>
      <c r="Q21" s="1615"/>
      <c r="R21" s="3342">
        <f t="shared" si="23"/>
        <v>0</v>
      </c>
      <c r="S21" s="3342">
        <f t="shared" si="23"/>
        <v>0</v>
      </c>
      <c r="T21" s="2012">
        <f t="shared" si="24"/>
        <v>0</v>
      </c>
      <c r="U21" s="1615"/>
      <c r="V21" s="1615"/>
      <c r="W21" s="3342">
        <f t="shared" si="25"/>
        <v>0</v>
      </c>
      <c r="X21" s="3342">
        <f t="shared" si="25"/>
        <v>0</v>
      </c>
      <c r="Y21" s="2012">
        <f t="shared" si="26"/>
        <v>0</v>
      </c>
      <c r="Z21" s="1615"/>
      <c r="AA21" s="1615"/>
      <c r="AB21" s="3341"/>
      <c r="AC21" s="3341"/>
      <c r="AD21" s="3349">
        <f t="shared" si="27"/>
        <v>0</v>
      </c>
      <c r="AE21" s="3986">
        <f t="shared" si="42"/>
        <v>0</v>
      </c>
      <c r="AF21" s="1615"/>
      <c r="AG21" s="3341"/>
      <c r="AH21" s="3341"/>
      <c r="AI21" s="3349">
        <f t="shared" si="28"/>
        <v>0</v>
      </c>
      <c r="AJ21" s="3986">
        <f t="shared" si="43"/>
        <v>0</v>
      </c>
      <c r="AK21" s="1615"/>
      <c r="AL21" s="3341"/>
      <c r="AM21" s="3341"/>
      <c r="AN21" s="3349">
        <f t="shared" si="29"/>
        <v>0</v>
      </c>
      <c r="AO21" s="3986" t="e">
        <f t="shared" si="44"/>
        <v>#DIV/0!</v>
      </c>
      <c r="AP21" s="1615"/>
      <c r="AQ21" s="3341"/>
      <c r="AR21" s="3341"/>
      <c r="AS21" s="3349">
        <f t="shared" si="30"/>
        <v>0</v>
      </c>
      <c r="AT21" s="3986" t="e">
        <f t="shared" si="45"/>
        <v>#DIV/0!</v>
      </c>
      <c r="AU21" s="1615"/>
      <c r="AV21" s="3341"/>
      <c r="AW21" s="3341"/>
      <c r="AX21" s="3349">
        <f t="shared" si="31"/>
        <v>0</v>
      </c>
      <c r="AY21" s="3986" t="e">
        <f t="shared" si="46"/>
        <v>#DIV/0!</v>
      </c>
      <c r="AZ21" s="1615"/>
      <c r="BA21" s="3341"/>
      <c r="BB21" s="3341"/>
      <c r="BC21" s="3349">
        <f t="shared" si="32"/>
        <v>0</v>
      </c>
      <c r="BD21" s="3986" t="e">
        <f t="shared" si="47"/>
        <v>#DIV/0!</v>
      </c>
      <c r="BE21" s="1615"/>
      <c r="BF21" s="3341"/>
      <c r="BG21" s="3341"/>
      <c r="BH21" s="3349">
        <f t="shared" si="33"/>
        <v>0</v>
      </c>
      <c r="BI21" s="3986" t="e">
        <f t="shared" si="48"/>
        <v>#DIV/0!</v>
      </c>
      <c r="BJ21" s="1615"/>
      <c r="BK21" s="3341"/>
      <c r="BL21" s="3341"/>
      <c r="BM21" s="3349">
        <f t="shared" si="34"/>
        <v>0</v>
      </c>
      <c r="BN21" s="3986" t="e">
        <f t="shared" si="49"/>
        <v>#DIV/0!</v>
      </c>
      <c r="BO21" s="1615"/>
      <c r="BP21" s="3341"/>
      <c r="BQ21" s="3341"/>
      <c r="BR21" s="3349">
        <f t="shared" si="35"/>
        <v>0</v>
      </c>
      <c r="BS21" s="3986" t="e">
        <f t="shared" si="50"/>
        <v>#DIV/0!</v>
      </c>
      <c r="BT21" s="1615"/>
      <c r="BU21" s="3341"/>
      <c r="BV21" s="3341"/>
      <c r="BW21" s="3349">
        <f t="shared" si="36"/>
        <v>0</v>
      </c>
      <c r="BX21" s="3986" t="e">
        <f t="shared" si="51"/>
        <v>#DIV/0!</v>
      </c>
      <c r="BY21" s="1615"/>
      <c r="BZ21" s="3341"/>
      <c r="CA21" s="3341"/>
      <c r="CB21" s="3349">
        <f t="shared" si="37"/>
        <v>0</v>
      </c>
      <c r="CC21" s="3986" t="e">
        <f t="shared" si="52"/>
        <v>#DIV/0!</v>
      </c>
      <c r="CD21" s="1615"/>
      <c r="CE21" s="3341"/>
      <c r="CF21" s="3341"/>
      <c r="CG21" s="3349">
        <f t="shared" si="38"/>
        <v>0</v>
      </c>
      <c r="CH21" s="3986" t="e">
        <f t="shared" si="53"/>
        <v>#DIV/0!</v>
      </c>
      <c r="CI21" s="1615"/>
      <c r="CJ21" s="3341">
        <f t="shared" si="39"/>
        <v>0</v>
      </c>
      <c r="CK21" s="3341">
        <f t="shared" si="39"/>
        <v>0</v>
      </c>
      <c r="CL21" s="3349">
        <f t="shared" si="54"/>
        <v>0</v>
      </c>
      <c r="CM21" s="3986">
        <f t="shared" si="40"/>
        <v>0</v>
      </c>
      <c r="CN21" s="1434"/>
      <c r="CP21" s="4033"/>
      <c r="CQ21" s="2012">
        <f t="shared" si="55"/>
        <v>0</v>
      </c>
      <c r="CR21" s="4035">
        <f t="shared" si="56"/>
        <v>0</v>
      </c>
      <c r="CT21" s="2624"/>
    </row>
    <row r="22" spans="1:100" s="1396" customFormat="1" ht="13.8" outlineLevel="2">
      <c r="A22" s="1571"/>
      <c r="B22" s="3957" t="s">
        <v>621</v>
      </c>
      <c r="C22" s="3341"/>
      <c r="D22" s="3341"/>
      <c r="E22" s="3349">
        <f t="shared" si="19"/>
        <v>0</v>
      </c>
      <c r="F22" s="3986" t="e">
        <f t="shared" si="16"/>
        <v>#DIV/0!</v>
      </c>
      <c r="G22" s="3342"/>
      <c r="H22" s="3341"/>
      <c r="I22" s="3341"/>
      <c r="J22" s="3349">
        <f t="shared" si="20"/>
        <v>0</v>
      </c>
      <c r="K22" s="3986" t="e">
        <f t="shared" si="41"/>
        <v>#DIV/0!</v>
      </c>
      <c r="L22" s="3342"/>
      <c r="M22" s="3341"/>
      <c r="N22" s="3341"/>
      <c r="O22" s="3349">
        <f t="shared" si="21"/>
        <v>0</v>
      </c>
      <c r="P22" s="3986">
        <f t="shared" si="22"/>
        <v>0</v>
      </c>
      <c r="Q22" s="3342"/>
      <c r="R22" s="3342">
        <f t="shared" si="23"/>
        <v>0</v>
      </c>
      <c r="S22" s="3342">
        <f t="shared" si="23"/>
        <v>0</v>
      </c>
      <c r="T22" s="2012">
        <f t="shared" si="24"/>
        <v>0</v>
      </c>
      <c r="U22" s="3342"/>
      <c r="V22" s="3342"/>
      <c r="W22" s="3342">
        <f t="shared" si="25"/>
        <v>0</v>
      </c>
      <c r="X22" s="3342">
        <f t="shared" si="25"/>
        <v>0</v>
      </c>
      <c r="Y22" s="2012">
        <f t="shared" si="26"/>
        <v>0</v>
      </c>
      <c r="Z22" s="3342"/>
      <c r="AA22" s="3342"/>
      <c r="AB22" s="3341"/>
      <c r="AC22" s="3341"/>
      <c r="AD22" s="3349">
        <f t="shared" si="27"/>
        <v>0</v>
      </c>
      <c r="AE22" s="3986">
        <f t="shared" si="42"/>
        <v>0</v>
      </c>
      <c r="AF22" s="3342"/>
      <c r="AG22" s="3341"/>
      <c r="AH22" s="3341"/>
      <c r="AI22" s="3349">
        <f t="shared" si="28"/>
        <v>0</v>
      </c>
      <c r="AJ22" s="3986">
        <f t="shared" si="43"/>
        <v>0</v>
      </c>
      <c r="AK22" s="3342"/>
      <c r="AL22" s="3341"/>
      <c r="AM22" s="3341"/>
      <c r="AN22" s="3349">
        <f t="shared" si="29"/>
        <v>0</v>
      </c>
      <c r="AO22" s="3986" t="e">
        <f t="shared" si="44"/>
        <v>#DIV/0!</v>
      </c>
      <c r="AP22" s="3342"/>
      <c r="AQ22" s="3341"/>
      <c r="AR22" s="3341"/>
      <c r="AS22" s="3349">
        <f t="shared" si="30"/>
        <v>0</v>
      </c>
      <c r="AT22" s="3986" t="e">
        <f t="shared" si="45"/>
        <v>#DIV/0!</v>
      </c>
      <c r="AU22" s="3342"/>
      <c r="AV22" s="3341"/>
      <c r="AW22" s="3341"/>
      <c r="AX22" s="3349">
        <f t="shared" si="31"/>
        <v>0</v>
      </c>
      <c r="AY22" s="3986" t="e">
        <f t="shared" si="46"/>
        <v>#DIV/0!</v>
      </c>
      <c r="AZ22" s="3342"/>
      <c r="BA22" s="3341"/>
      <c r="BB22" s="3341"/>
      <c r="BC22" s="3349">
        <f t="shared" si="32"/>
        <v>0</v>
      </c>
      <c r="BD22" s="3986" t="e">
        <f t="shared" si="47"/>
        <v>#DIV/0!</v>
      </c>
      <c r="BE22" s="3342"/>
      <c r="BF22" s="3341"/>
      <c r="BG22" s="3341"/>
      <c r="BH22" s="3349">
        <f t="shared" si="33"/>
        <v>0</v>
      </c>
      <c r="BI22" s="3986" t="e">
        <f t="shared" si="48"/>
        <v>#DIV/0!</v>
      </c>
      <c r="BJ22" s="3342"/>
      <c r="BK22" s="3341"/>
      <c r="BL22" s="3341"/>
      <c r="BM22" s="3349">
        <f t="shared" si="34"/>
        <v>0</v>
      </c>
      <c r="BN22" s="3986" t="e">
        <f t="shared" si="49"/>
        <v>#DIV/0!</v>
      </c>
      <c r="BO22" s="3342"/>
      <c r="BP22" s="3341"/>
      <c r="BQ22" s="3341"/>
      <c r="BR22" s="3349">
        <f t="shared" si="35"/>
        <v>0</v>
      </c>
      <c r="BS22" s="3986" t="e">
        <f t="shared" si="50"/>
        <v>#DIV/0!</v>
      </c>
      <c r="BT22" s="3342"/>
      <c r="BU22" s="3341"/>
      <c r="BV22" s="3341"/>
      <c r="BW22" s="3349">
        <f t="shared" si="36"/>
        <v>0</v>
      </c>
      <c r="BX22" s="3986" t="e">
        <f t="shared" si="51"/>
        <v>#DIV/0!</v>
      </c>
      <c r="BY22" s="3342"/>
      <c r="BZ22" s="3341"/>
      <c r="CA22" s="3341"/>
      <c r="CB22" s="3349">
        <f t="shared" si="37"/>
        <v>0</v>
      </c>
      <c r="CC22" s="3986" t="e">
        <f t="shared" si="52"/>
        <v>#DIV/0!</v>
      </c>
      <c r="CD22" s="3342"/>
      <c r="CE22" s="3341"/>
      <c r="CF22" s="3341"/>
      <c r="CG22" s="3349">
        <f t="shared" si="38"/>
        <v>0</v>
      </c>
      <c r="CH22" s="3986" t="e">
        <f t="shared" si="53"/>
        <v>#DIV/0!</v>
      </c>
      <c r="CI22" s="3342"/>
      <c r="CJ22" s="3341">
        <f t="shared" si="39"/>
        <v>0</v>
      </c>
      <c r="CK22" s="3341">
        <f t="shared" si="39"/>
        <v>0</v>
      </c>
      <c r="CL22" s="3349">
        <f t="shared" si="54"/>
        <v>0</v>
      </c>
      <c r="CM22" s="3986">
        <f t="shared" si="40"/>
        <v>0</v>
      </c>
      <c r="CN22" s="1434"/>
      <c r="CP22" s="4033"/>
      <c r="CQ22" s="2012">
        <f t="shared" si="55"/>
        <v>0</v>
      </c>
      <c r="CR22" s="4035">
        <f t="shared" si="56"/>
        <v>0</v>
      </c>
      <c r="CT22" s="3443">
        <f>CQ22</f>
        <v>0</v>
      </c>
    </row>
    <row r="23" spans="1:100" s="1396" customFormat="1" ht="13.8" outlineLevel="2">
      <c r="A23" s="1571"/>
      <c r="B23" s="3957" t="s">
        <v>630</v>
      </c>
      <c r="C23" s="3341"/>
      <c r="D23" s="3341"/>
      <c r="E23" s="3349">
        <f t="shared" si="19"/>
        <v>0</v>
      </c>
      <c r="F23" s="3986" t="e">
        <f t="shared" si="16"/>
        <v>#DIV/0!</v>
      </c>
      <c r="G23" s="1055"/>
      <c r="H23" s="3341"/>
      <c r="I23" s="3341"/>
      <c r="J23" s="3349">
        <f t="shared" si="20"/>
        <v>0</v>
      </c>
      <c r="K23" s="3986" t="e">
        <f t="shared" si="41"/>
        <v>#DIV/0!</v>
      </c>
      <c r="L23" s="1055"/>
      <c r="M23" s="3341"/>
      <c r="N23" s="3341"/>
      <c r="O23" s="3349">
        <f t="shared" si="21"/>
        <v>0</v>
      </c>
      <c r="P23" s="3986">
        <f t="shared" si="22"/>
        <v>0</v>
      </c>
      <c r="Q23" s="1055"/>
      <c r="R23" s="3342">
        <f t="shared" si="23"/>
        <v>0</v>
      </c>
      <c r="S23" s="3342">
        <f t="shared" si="23"/>
        <v>0</v>
      </c>
      <c r="T23" s="2012">
        <f t="shared" si="24"/>
        <v>0</v>
      </c>
      <c r="U23" s="1055"/>
      <c r="V23" s="1055"/>
      <c r="W23" s="3342">
        <f t="shared" si="25"/>
        <v>0</v>
      </c>
      <c r="X23" s="3342">
        <f t="shared" si="25"/>
        <v>0</v>
      </c>
      <c r="Y23" s="2012">
        <f t="shared" si="26"/>
        <v>0</v>
      </c>
      <c r="Z23" s="1055"/>
      <c r="AA23" s="1055"/>
      <c r="AB23" s="3341"/>
      <c r="AC23" s="3341"/>
      <c r="AD23" s="3349">
        <f t="shared" si="27"/>
        <v>0</v>
      </c>
      <c r="AE23" s="3986">
        <f t="shared" si="42"/>
        <v>0</v>
      </c>
      <c r="AF23" s="1055"/>
      <c r="AG23" s="3341"/>
      <c r="AH23" s="3341"/>
      <c r="AI23" s="3349">
        <f t="shared" si="28"/>
        <v>0</v>
      </c>
      <c r="AJ23" s="3986">
        <f t="shared" si="43"/>
        <v>0</v>
      </c>
      <c r="AK23" s="1055"/>
      <c r="AL23" s="3341"/>
      <c r="AM23" s="3341"/>
      <c r="AN23" s="3349">
        <f t="shared" si="29"/>
        <v>0</v>
      </c>
      <c r="AO23" s="3986" t="e">
        <f t="shared" si="44"/>
        <v>#DIV/0!</v>
      </c>
      <c r="AP23" s="1055"/>
      <c r="AQ23" s="3341"/>
      <c r="AR23" s="3341"/>
      <c r="AS23" s="3349">
        <f t="shared" si="30"/>
        <v>0</v>
      </c>
      <c r="AT23" s="3986" t="e">
        <f t="shared" si="45"/>
        <v>#DIV/0!</v>
      </c>
      <c r="AU23" s="1055"/>
      <c r="AV23" s="3341"/>
      <c r="AW23" s="3341"/>
      <c r="AX23" s="3349">
        <f t="shared" si="31"/>
        <v>0</v>
      </c>
      <c r="AY23" s="3986" t="e">
        <f t="shared" si="46"/>
        <v>#DIV/0!</v>
      </c>
      <c r="AZ23" s="1055"/>
      <c r="BA23" s="3341"/>
      <c r="BB23" s="3341"/>
      <c r="BC23" s="3349">
        <f t="shared" si="32"/>
        <v>0</v>
      </c>
      <c r="BD23" s="3986" t="e">
        <f t="shared" si="47"/>
        <v>#DIV/0!</v>
      </c>
      <c r="BE23" s="1055"/>
      <c r="BF23" s="3341"/>
      <c r="BG23" s="3341"/>
      <c r="BH23" s="3349">
        <f t="shared" si="33"/>
        <v>0</v>
      </c>
      <c r="BI23" s="3986" t="e">
        <f t="shared" si="48"/>
        <v>#DIV/0!</v>
      </c>
      <c r="BJ23" s="1055"/>
      <c r="BK23" s="3341"/>
      <c r="BL23" s="3341"/>
      <c r="BM23" s="3349">
        <f t="shared" si="34"/>
        <v>0</v>
      </c>
      <c r="BN23" s="3986" t="e">
        <f t="shared" si="49"/>
        <v>#DIV/0!</v>
      </c>
      <c r="BO23" s="1055"/>
      <c r="BP23" s="3341"/>
      <c r="BQ23" s="3341"/>
      <c r="BR23" s="3349">
        <f t="shared" si="35"/>
        <v>0</v>
      </c>
      <c r="BS23" s="3986" t="e">
        <f t="shared" si="50"/>
        <v>#DIV/0!</v>
      </c>
      <c r="BT23" s="1055"/>
      <c r="BU23" s="3341"/>
      <c r="BV23" s="3341"/>
      <c r="BW23" s="3349">
        <f t="shared" si="36"/>
        <v>0</v>
      </c>
      <c r="BX23" s="3986" t="e">
        <f t="shared" si="51"/>
        <v>#DIV/0!</v>
      </c>
      <c r="BY23" s="1055"/>
      <c r="BZ23" s="3341"/>
      <c r="CA23" s="3341"/>
      <c r="CB23" s="3349">
        <f t="shared" si="37"/>
        <v>0</v>
      </c>
      <c r="CC23" s="3986" t="e">
        <f t="shared" si="52"/>
        <v>#DIV/0!</v>
      </c>
      <c r="CD23" s="1055"/>
      <c r="CE23" s="3341"/>
      <c r="CF23" s="3341"/>
      <c r="CG23" s="3349">
        <f t="shared" si="38"/>
        <v>0</v>
      </c>
      <c r="CH23" s="3986" t="e">
        <f t="shared" si="53"/>
        <v>#DIV/0!</v>
      </c>
      <c r="CI23" s="1055"/>
      <c r="CJ23" s="3341">
        <f t="shared" si="39"/>
        <v>0</v>
      </c>
      <c r="CK23" s="3341">
        <f t="shared" si="39"/>
        <v>0</v>
      </c>
      <c r="CL23" s="3349">
        <f t="shared" si="54"/>
        <v>0</v>
      </c>
      <c r="CM23" s="3986">
        <f t="shared" si="40"/>
        <v>0</v>
      </c>
      <c r="CN23" s="1434"/>
      <c r="CP23" s="4033"/>
      <c r="CQ23" s="2012">
        <f t="shared" si="55"/>
        <v>0</v>
      </c>
      <c r="CR23" s="4035">
        <f t="shared" si="56"/>
        <v>0</v>
      </c>
      <c r="CT23" s="2624"/>
    </row>
    <row r="24" spans="1:100" s="1396" customFormat="1" ht="13.8" outlineLevel="2">
      <c r="A24" s="1571"/>
      <c r="B24" s="3957" t="s">
        <v>23</v>
      </c>
      <c r="C24" s="3341"/>
      <c r="D24" s="3341"/>
      <c r="E24" s="3349">
        <f t="shared" si="19"/>
        <v>0</v>
      </c>
      <c r="F24" s="3986" t="e">
        <f t="shared" si="16"/>
        <v>#DIV/0!</v>
      </c>
      <c r="G24" s="3342"/>
      <c r="H24" s="3341"/>
      <c r="I24" s="3341"/>
      <c r="J24" s="3349">
        <f t="shared" si="20"/>
        <v>0</v>
      </c>
      <c r="K24" s="3986" t="e">
        <f t="shared" si="41"/>
        <v>#DIV/0!</v>
      </c>
      <c r="L24" s="3342"/>
      <c r="M24" s="3341"/>
      <c r="N24" s="3341"/>
      <c r="O24" s="3349">
        <f t="shared" si="21"/>
        <v>0</v>
      </c>
      <c r="P24" s="3986">
        <f t="shared" si="22"/>
        <v>0</v>
      </c>
      <c r="Q24" s="3342"/>
      <c r="R24" s="3342">
        <f t="shared" si="23"/>
        <v>0</v>
      </c>
      <c r="S24" s="3342">
        <f t="shared" si="23"/>
        <v>0</v>
      </c>
      <c r="T24" s="2012">
        <f t="shared" si="24"/>
        <v>0</v>
      </c>
      <c r="U24" s="3342"/>
      <c r="V24" s="3342"/>
      <c r="W24" s="3342">
        <f t="shared" si="25"/>
        <v>64600</v>
      </c>
      <c r="X24" s="3342">
        <f t="shared" si="25"/>
        <v>0</v>
      </c>
      <c r="Y24" s="2012">
        <f t="shared" si="26"/>
        <v>64600</v>
      </c>
      <c r="Z24" s="3342"/>
      <c r="AA24" s="3342"/>
      <c r="AB24" s="3341">
        <v>64600</v>
      </c>
      <c r="AC24" s="3341"/>
      <c r="AD24" s="3349">
        <f t="shared" si="27"/>
        <v>64600</v>
      </c>
      <c r="AE24" s="3986">
        <f t="shared" si="42"/>
        <v>0.1974197537122753</v>
      </c>
      <c r="AF24" s="3342" t="s">
        <v>1883</v>
      </c>
      <c r="AG24" s="3341"/>
      <c r="AH24" s="3341"/>
      <c r="AI24" s="3349">
        <f t="shared" si="28"/>
        <v>0</v>
      </c>
      <c r="AJ24" s="3986">
        <f t="shared" si="43"/>
        <v>0</v>
      </c>
      <c r="AK24" s="3342"/>
      <c r="AL24" s="3341"/>
      <c r="AM24" s="3341"/>
      <c r="AN24" s="3349">
        <f t="shared" si="29"/>
        <v>0</v>
      </c>
      <c r="AO24" s="3986" t="e">
        <f t="shared" si="44"/>
        <v>#DIV/0!</v>
      </c>
      <c r="AP24" s="3342"/>
      <c r="AQ24" s="3341"/>
      <c r="AR24" s="3341"/>
      <c r="AS24" s="3349">
        <f t="shared" si="30"/>
        <v>0</v>
      </c>
      <c r="AT24" s="3986" t="e">
        <f t="shared" si="45"/>
        <v>#DIV/0!</v>
      </c>
      <c r="AU24" s="3342"/>
      <c r="AV24" s="3341"/>
      <c r="AW24" s="3341"/>
      <c r="AX24" s="3349">
        <f t="shared" si="31"/>
        <v>0</v>
      </c>
      <c r="AY24" s="3986" t="e">
        <f t="shared" si="46"/>
        <v>#DIV/0!</v>
      </c>
      <c r="AZ24" s="3342"/>
      <c r="BA24" s="3341"/>
      <c r="BB24" s="3341"/>
      <c r="BC24" s="3349">
        <f t="shared" si="32"/>
        <v>0</v>
      </c>
      <c r="BD24" s="3986" t="e">
        <f t="shared" si="47"/>
        <v>#DIV/0!</v>
      </c>
      <c r="BE24" s="3342"/>
      <c r="BF24" s="3341"/>
      <c r="BG24" s="3341"/>
      <c r="BH24" s="3349">
        <f t="shared" si="33"/>
        <v>0</v>
      </c>
      <c r="BI24" s="3986" t="e">
        <f t="shared" si="48"/>
        <v>#DIV/0!</v>
      </c>
      <c r="BJ24" s="3342"/>
      <c r="BK24" s="3341"/>
      <c r="BL24" s="3341"/>
      <c r="BM24" s="3349">
        <f t="shared" si="34"/>
        <v>0</v>
      </c>
      <c r="BN24" s="3986" t="e">
        <f t="shared" si="49"/>
        <v>#DIV/0!</v>
      </c>
      <c r="BO24" s="3342"/>
      <c r="BP24" s="3341"/>
      <c r="BQ24" s="3341"/>
      <c r="BR24" s="3349">
        <f t="shared" si="35"/>
        <v>0</v>
      </c>
      <c r="BS24" s="3986" t="e">
        <f t="shared" si="50"/>
        <v>#DIV/0!</v>
      </c>
      <c r="BT24" s="3342"/>
      <c r="BU24" s="3341"/>
      <c r="BV24" s="3341"/>
      <c r="BW24" s="3349">
        <f t="shared" si="36"/>
        <v>0</v>
      </c>
      <c r="BX24" s="3986" t="e">
        <f t="shared" si="51"/>
        <v>#DIV/0!</v>
      </c>
      <c r="BY24" s="3342"/>
      <c r="BZ24" s="3341"/>
      <c r="CA24" s="3341"/>
      <c r="CB24" s="3349">
        <f t="shared" si="37"/>
        <v>0</v>
      </c>
      <c r="CC24" s="3986" t="e">
        <f t="shared" si="52"/>
        <v>#DIV/0!</v>
      </c>
      <c r="CD24" s="3342"/>
      <c r="CE24" s="3341"/>
      <c r="CF24" s="3341"/>
      <c r="CG24" s="3349">
        <f t="shared" si="38"/>
        <v>0</v>
      </c>
      <c r="CH24" s="3986" t="e">
        <f t="shared" si="53"/>
        <v>#DIV/0!</v>
      </c>
      <c r="CI24" s="3342"/>
      <c r="CJ24" s="3341">
        <f t="shared" si="39"/>
        <v>64600</v>
      </c>
      <c r="CK24" s="3341">
        <f t="shared" si="39"/>
        <v>0</v>
      </c>
      <c r="CL24" s="3349">
        <f t="shared" si="54"/>
        <v>64600</v>
      </c>
      <c r="CM24" s="3986">
        <f t="shared" si="40"/>
        <v>0.14171246136362545</v>
      </c>
      <c r="CN24" s="1434"/>
      <c r="CP24" s="4033">
        <v>58000</v>
      </c>
      <c r="CQ24" s="2012">
        <f t="shared" si="55"/>
        <v>64600</v>
      </c>
      <c r="CR24" s="4035">
        <f t="shared" si="56"/>
        <v>-6600</v>
      </c>
      <c r="CT24" s="2624"/>
    </row>
    <row r="25" spans="1:100" s="1396" customFormat="1" ht="36" outlineLevel="2">
      <c r="A25" s="1571"/>
      <c r="B25" s="3957" t="s">
        <v>24</v>
      </c>
      <c r="C25" s="3341"/>
      <c r="D25" s="3341"/>
      <c r="E25" s="3349">
        <f t="shared" si="19"/>
        <v>0</v>
      </c>
      <c r="F25" s="3986" t="e">
        <f t="shared" si="16"/>
        <v>#DIV/0!</v>
      </c>
      <c r="G25" s="3342"/>
      <c r="H25" s="3341"/>
      <c r="I25" s="3341"/>
      <c r="J25" s="3349">
        <f t="shared" si="20"/>
        <v>0</v>
      </c>
      <c r="K25" s="3986" t="e">
        <f t="shared" si="41"/>
        <v>#DIV/0!</v>
      </c>
      <c r="L25" s="3342"/>
      <c r="M25" s="3341"/>
      <c r="N25" s="3341"/>
      <c r="O25" s="3349">
        <f t="shared" si="21"/>
        <v>0</v>
      </c>
      <c r="P25" s="3986">
        <f t="shared" si="22"/>
        <v>0</v>
      </c>
      <c r="Q25" s="3342"/>
      <c r="R25" s="3342">
        <f t="shared" si="23"/>
        <v>0</v>
      </c>
      <c r="S25" s="3342">
        <f t="shared" si="23"/>
        <v>0</v>
      </c>
      <c r="T25" s="2012">
        <f t="shared" si="24"/>
        <v>0</v>
      </c>
      <c r="U25" s="3342"/>
      <c r="V25" s="3342"/>
      <c r="W25" s="3342">
        <f t="shared" si="25"/>
        <v>115512.682</v>
      </c>
      <c r="X25" s="3342">
        <f t="shared" si="25"/>
        <v>0</v>
      </c>
      <c r="Y25" s="2012">
        <f t="shared" si="26"/>
        <v>115512.682</v>
      </c>
      <c r="Z25" s="3342"/>
      <c r="AA25" s="3342"/>
      <c r="AB25" s="3341">
        <v>2580.73</v>
      </c>
      <c r="AC25" s="3341"/>
      <c r="AD25" s="3349">
        <f t="shared" si="27"/>
        <v>2580.73</v>
      </c>
      <c r="AE25" s="3986">
        <f t="shared" si="42"/>
        <v>7.88679691947183E-3</v>
      </c>
      <c r="AF25" s="3342" t="s">
        <v>1886</v>
      </c>
      <c r="AG25" s="3341">
        <v>112931.952</v>
      </c>
      <c r="AH25" s="3341"/>
      <c r="AI25" s="3349">
        <f t="shared" si="28"/>
        <v>112931.952</v>
      </c>
      <c r="AJ25" s="3986">
        <f t="shared" si="43"/>
        <v>0.95571801983752125</v>
      </c>
      <c r="AK25" s="2047" t="s">
        <v>1924</v>
      </c>
      <c r="AL25" s="3341"/>
      <c r="AM25" s="3341"/>
      <c r="AN25" s="3349">
        <f t="shared" si="29"/>
        <v>0</v>
      </c>
      <c r="AO25" s="3986" t="e">
        <f t="shared" si="44"/>
        <v>#DIV/0!</v>
      </c>
      <c r="AP25" s="3342"/>
      <c r="AQ25" s="3341"/>
      <c r="AR25" s="3341"/>
      <c r="AS25" s="3349">
        <f t="shared" si="30"/>
        <v>0</v>
      </c>
      <c r="AT25" s="3986" t="e">
        <f t="shared" si="45"/>
        <v>#DIV/0!</v>
      </c>
      <c r="AU25" s="3342"/>
      <c r="AV25" s="3341"/>
      <c r="AW25" s="3341"/>
      <c r="AX25" s="3349">
        <f t="shared" si="31"/>
        <v>0</v>
      </c>
      <c r="AY25" s="3986" t="e">
        <f t="shared" si="46"/>
        <v>#DIV/0!</v>
      </c>
      <c r="AZ25" s="3342"/>
      <c r="BA25" s="3341"/>
      <c r="BB25" s="3341"/>
      <c r="BC25" s="3349">
        <f t="shared" si="32"/>
        <v>0</v>
      </c>
      <c r="BD25" s="3986" t="e">
        <f t="shared" si="47"/>
        <v>#DIV/0!</v>
      </c>
      <c r="BE25" s="3342"/>
      <c r="BF25" s="3341"/>
      <c r="BG25" s="3341"/>
      <c r="BH25" s="3349">
        <f t="shared" si="33"/>
        <v>0</v>
      </c>
      <c r="BI25" s="3986" t="e">
        <f t="shared" si="48"/>
        <v>#DIV/0!</v>
      </c>
      <c r="BJ25" s="3342"/>
      <c r="BK25" s="3341"/>
      <c r="BL25" s="3341"/>
      <c r="BM25" s="3349">
        <f t="shared" si="34"/>
        <v>0</v>
      </c>
      <c r="BN25" s="3986" t="e">
        <f t="shared" si="49"/>
        <v>#DIV/0!</v>
      </c>
      <c r="BO25" s="3342"/>
      <c r="BP25" s="3341"/>
      <c r="BQ25" s="3341"/>
      <c r="BR25" s="3349">
        <f t="shared" si="35"/>
        <v>0</v>
      </c>
      <c r="BS25" s="3986" t="e">
        <f t="shared" si="50"/>
        <v>#DIV/0!</v>
      </c>
      <c r="BT25" s="3342"/>
      <c r="BU25" s="3341"/>
      <c r="BV25" s="3341"/>
      <c r="BW25" s="3349">
        <f t="shared" si="36"/>
        <v>0</v>
      </c>
      <c r="BX25" s="3986" t="e">
        <f t="shared" si="51"/>
        <v>#DIV/0!</v>
      </c>
      <c r="BY25" s="3342"/>
      <c r="BZ25" s="3341"/>
      <c r="CA25" s="3341"/>
      <c r="CB25" s="3349">
        <f t="shared" si="37"/>
        <v>0</v>
      </c>
      <c r="CC25" s="3986" t="e">
        <f t="shared" si="52"/>
        <v>#DIV/0!</v>
      </c>
      <c r="CD25" s="3342"/>
      <c r="CE25" s="3341"/>
      <c r="CF25" s="3341"/>
      <c r="CG25" s="3349">
        <f t="shared" si="38"/>
        <v>0</v>
      </c>
      <c r="CH25" s="3986" t="e">
        <f t="shared" si="53"/>
        <v>#DIV/0!</v>
      </c>
      <c r="CI25" s="3342"/>
      <c r="CJ25" s="3341">
        <f t="shared" si="39"/>
        <v>115512.682</v>
      </c>
      <c r="CK25" s="3341">
        <f t="shared" si="39"/>
        <v>0</v>
      </c>
      <c r="CL25" s="3349">
        <f t="shared" si="54"/>
        <v>115512.682</v>
      </c>
      <c r="CM25" s="3986">
        <f t="shared" si="40"/>
        <v>0.25339917159340175</v>
      </c>
      <c r="CN25" s="1434"/>
      <c r="CP25" s="4033">
        <v>124540</v>
      </c>
      <c r="CQ25" s="2012">
        <f>CL25</f>
        <v>115512.682</v>
      </c>
      <c r="CR25" s="4035">
        <f t="shared" si="56"/>
        <v>9027.3179999999993</v>
      </c>
      <c r="CS25" s="3307"/>
      <c r="CT25" s="2624"/>
    </row>
    <row r="26" spans="1:100" s="1396" customFormat="1" ht="13.8" outlineLevel="2">
      <c r="A26" s="1571"/>
      <c r="B26" s="3957" t="s">
        <v>45</v>
      </c>
      <c r="C26" s="3341"/>
      <c r="D26" s="3341"/>
      <c r="E26" s="3349">
        <f t="shared" si="19"/>
        <v>0</v>
      </c>
      <c r="F26" s="3986" t="e">
        <f t="shared" si="16"/>
        <v>#DIV/0!</v>
      </c>
      <c r="G26" s="3342"/>
      <c r="H26" s="3341"/>
      <c r="I26" s="3341"/>
      <c r="J26" s="3349">
        <f t="shared" si="20"/>
        <v>0</v>
      </c>
      <c r="K26" s="3986" t="e">
        <f t="shared" si="41"/>
        <v>#DIV/0!</v>
      </c>
      <c r="L26" s="3342"/>
      <c r="M26" s="3341"/>
      <c r="N26" s="3341"/>
      <c r="O26" s="3349">
        <f t="shared" si="21"/>
        <v>0</v>
      </c>
      <c r="P26" s="3986">
        <f t="shared" si="22"/>
        <v>0</v>
      </c>
      <c r="Q26" s="3342"/>
      <c r="R26" s="3342">
        <f t="shared" si="23"/>
        <v>0</v>
      </c>
      <c r="S26" s="3342">
        <f t="shared" si="23"/>
        <v>0</v>
      </c>
      <c r="T26" s="2012">
        <f t="shared" si="24"/>
        <v>0</v>
      </c>
      <c r="U26" s="3342"/>
      <c r="V26" s="3342"/>
      <c r="W26" s="3342">
        <f t="shared" si="25"/>
        <v>0</v>
      </c>
      <c r="X26" s="3342">
        <f t="shared" si="25"/>
        <v>0</v>
      </c>
      <c r="Y26" s="2012">
        <f t="shared" si="26"/>
        <v>0</v>
      </c>
      <c r="Z26" s="3342"/>
      <c r="AA26" s="3342"/>
      <c r="AB26" s="3341"/>
      <c r="AC26" s="3341"/>
      <c r="AD26" s="3349">
        <f t="shared" si="27"/>
        <v>0</v>
      </c>
      <c r="AE26" s="3986">
        <f t="shared" si="42"/>
        <v>0</v>
      </c>
      <c r="AF26" s="3342"/>
      <c r="AG26" s="3341"/>
      <c r="AH26" s="3341"/>
      <c r="AI26" s="3349">
        <f t="shared" si="28"/>
        <v>0</v>
      </c>
      <c r="AJ26" s="3986">
        <f t="shared" si="43"/>
        <v>0</v>
      </c>
      <c r="AK26" s="3342"/>
      <c r="AL26" s="3341"/>
      <c r="AM26" s="3341"/>
      <c r="AN26" s="3349">
        <f t="shared" si="29"/>
        <v>0</v>
      </c>
      <c r="AO26" s="3986" t="e">
        <f t="shared" si="44"/>
        <v>#DIV/0!</v>
      </c>
      <c r="AP26" s="3342"/>
      <c r="AQ26" s="3341"/>
      <c r="AR26" s="3341"/>
      <c r="AS26" s="3349">
        <f t="shared" si="30"/>
        <v>0</v>
      </c>
      <c r="AT26" s="3986" t="e">
        <f t="shared" si="45"/>
        <v>#DIV/0!</v>
      </c>
      <c r="AU26" s="3342"/>
      <c r="AV26" s="3341"/>
      <c r="AW26" s="3341"/>
      <c r="AX26" s="3349">
        <f t="shared" si="31"/>
        <v>0</v>
      </c>
      <c r="AY26" s="3986" t="e">
        <f t="shared" si="46"/>
        <v>#DIV/0!</v>
      </c>
      <c r="AZ26" s="3342"/>
      <c r="BA26" s="3341"/>
      <c r="BB26" s="3341"/>
      <c r="BC26" s="3349">
        <f t="shared" si="32"/>
        <v>0</v>
      </c>
      <c r="BD26" s="3986" t="e">
        <f t="shared" si="47"/>
        <v>#DIV/0!</v>
      </c>
      <c r="BE26" s="3342"/>
      <c r="BF26" s="3341"/>
      <c r="BG26" s="3341"/>
      <c r="BH26" s="3349">
        <f t="shared" si="33"/>
        <v>0</v>
      </c>
      <c r="BI26" s="3986" t="e">
        <f t="shared" si="48"/>
        <v>#DIV/0!</v>
      </c>
      <c r="BJ26" s="3342"/>
      <c r="BK26" s="3341"/>
      <c r="BL26" s="3341"/>
      <c r="BM26" s="3349">
        <f t="shared" si="34"/>
        <v>0</v>
      </c>
      <c r="BN26" s="3986" t="e">
        <f t="shared" si="49"/>
        <v>#DIV/0!</v>
      </c>
      <c r="BO26" s="3342"/>
      <c r="BP26" s="3341"/>
      <c r="BQ26" s="3341"/>
      <c r="BR26" s="3349">
        <f t="shared" si="35"/>
        <v>0</v>
      </c>
      <c r="BS26" s="3986" t="e">
        <f t="shared" si="50"/>
        <v>#DIV/0!</v>
      </c>
      <c r="BT26" s="3342"/>
      <c r="BU26" s="3341"/>
      <c r="BV26" s="3341"/>
      <c r="BW26" s="3349">
        <f t="shared" si="36"/>
        <v>0</v>
      </c>
      <c r="BX26" s="3986" t="e">
        <f t="shared" si="51"/>
        <v>#DIV/0!</v>
      </c>
      <c r="BY26" s="3342"/>
      <c r="BZ26" s="3341"/>
      <c r="CA26" s="3341"/>
      <c r="CB26" s="3349">
        <f t="shared" si="37"/>
        <v>0</v>
      </c>
      <c r="CC26" s="3986" t="e">
        <f t="shared" si="52"/>
        <v>#DIV/0!</v>
      </c>
      <c r="CD26" s="3342"/>
      <c r="CE26" s="3341"/>
      <c r="CF26" s="3341"/>
      <c r="CG26" s="3349">
        <f t="shared" si="38"/>
        <v>0</v>
      </c>
      <c r="CH26" s="3986" t="e">
        <f t="shared" si="53"/>
        <v>#DIV/0!</v>
      </c>
      <c r="CI26" s="3342"/>
      <c r="CJ26" s="3341">
        <f t="shared" si="39"/>
        <v>0</v>
      </c>
      <c r="CK26" s="3341">
        <f t="shared" si="39"/>
        <v>0</v>
      </c>
      <c r="CL26" s="3349">
        <f t="shared" si="54"/>
        <v>0</v>
      </c>
      <c r="CM26" s="3986">
        <f t="shared" si="40"/>
        <v>0</v>
      </c>
      <c r="CN26" s="1434"/>
      <c r="CP26" s="4033"/>
      <c r="CQ26" s="2012">
        <f t="shared" si="55"/>
        <v>0</v>
      </c>
      <c r="CR26" s="4035">
        <f t="shared" si="56"/>
        <v>0</v>
      </c>
      <c r="CT26" s="2624"/>
    </row>
    <row r="27" spans="1:100" s="1396" customFormat="1" ht="13.8" outlineLevel="2">
      <c r="A27" s="1571"/>
      <c r="B27" s="3957" t="s">
        <v>25</v>
      </c>
      <c r="C27" s="3341"/>
      <c r="D27" s="3341"/>
      <c r="E27" s="3349">
        <f t="shared" si="19"/>
        <v>0</v>
      </c>
      <c r="F27" s="3986" t="e">
        <f t="shared" si="16"/>
        <v>#DIV/0!</v>
      </c>
      <c r="G27" s="3342"/>
      <c r="H27" s="3341"/>
      <c r="I27" s="3341"/>
      <c r="J27" s="3349">
        <f t="shared" si="20"/>
        <v>0</v>
      </c>
      <c r="K27" s="3986" t="e">
        <f t="shared" si="41"/>
        <v>#DIV/0!</v>
      </c>
      <c r="L27" s="3342"/>
      <c r="M27" s="3341"/>
      <c r="N27" s="3341"/>
      <c r="O27" s="3349">
        <f t="shared" si="21"/>
        <v>0</v>
      </c>
      <c r="P27" s="3986">
        <f t="shared" si="22"/>
        <v>0</v>
      </c>
      <c r="Q27" s="3342"/>
      <c r="R27" s="3342">
        <f t="shared" si="23"/>
        <v>0</v>
      </c>
      <c r="S27" s="3342">
        <f t="shared" si="23"/>
        <v>0</v>
      </c>
      <c r="T27" s="2012">
        <f t="shared" si="24"/>
        <v>0</v>
      </c>
      <c r="U27" s="3342"/>
      <c r="V27" s="3342"/>
      <c r="W27" s="3342">
        <f t="shared" si="25"/>
        <v>0</v>
      </c>
      <c r="X27" s="3342">
        <f t="shared" si="25"/>
        <v>0</v>
      </c>
      <c r="Y27" s="2012">
        <f t="shared" si="26"/>
        <v>0</v>
      </c>
      <c r="Z27" s="3342"/>
      <c r="AA27" s="3342"/>
      <c r="AB27" s="3341"/>
      <c r="AC27" s="3341"/>
      <c r="AD27" s="3349">
        <f t="shared" si="27"/>
        <v>0</v>
      </c>
      <c r="AE27" s="3986">
        <f t="shared" si="42"/>
        <v>0</v>
      </c>
      <c r="AF27" s="3342"/>
      <c r="AG27" s="3341"/>
      <c r="AH27" s="3341"/>
      <c r="AI27" s="3349">
        <f t="shared" si="28"/>
        <v>0</v>
      </c>
      <c r="AJ27" s="3986">
        <f t="shared" si="43"/>
        <v>0</v>
      </c>
      <c r="AK27" s="3342"/>
      <c r="AL27" s="3341"/>
      <c r="AM27" s="3341"/>
      <c r="AN27" s="3349">
        <f t="shared" si="29"/>
        <v>0</v>
      </c>
      <c r="AO27" s="3986" t="e">
        <f t="shared" si="44"/>
        <v>#DIV/0!</v>
      </c>
      <c r="AP27" s="3342"/>
      <c r="AQ27" s="3341"/>
      <c r="AR27" s="3341"/>
      <c r="AS27" s="3349">
        <f t="shared" si="30"/>
        <v>0</v>
      </c>
      <c r="AT27" s="3986" t="e">
        <f t="shared" si="45"/>
        <v>#DIV/0!</v>
      </c>
      <c r="AU27" s="3342"/>
      <c r="AV27" s="3341"/>
      <c r="AW27" s="3341"/>
      <c r="AX27" s="3349">
        <f t="shared" si="31"/>
        <v>0</v>
      </c>
      <c r="AY27" s="3986" t="e">
        <f t="shared" si="46"/>
        <v>#DIV/0!</v>
      </c>
      <c r="AZ27" s="3342"/>
      <c r="BA27" s="3341"/>
      <c r="BB27" s="3341"/>
      <c r="BC27" s="3349">
        <f t="shared" si="32"/>
        <v>0</v>
      </c>
      <c r="BD27" s="3986" t="e">
        <f t="shared" si="47"/>
        <v>#DIV/0!</v>
      </c>
      <c r="BE27" s="3342"/>
      <c r="BF27" s="3341"/>
      <c r="BG27" s="3341"/>
      <c r="BH27" s="3349">
        <f t="shared" si="33"/>
        <v>0</v>
      </c>
      <c r="BI27" s="3986" t="e">
        <f t="shared" si="48"/>
        <v>#DIV/0!</v>
      </c>
      <c r="BJ27" s="3342"/>
      <c r="BK27" s="3341"/>
      <c r="BL27" s="3341"/>
      <c r="BM27" s="3349">
        <f t="shared" si="34"/>
        <v>0</v>
      </c>
      <c r="BN27" s="3986" t="e">
        <f t="shared" si="49"/>
        <v>#DIV/0!</v>
      </c>
      <c r="BO27" s="3342"/>
      <c r="BP27" s="3341"/>
      <c r="BQ27" s="3341"/>
      <c r="BR27" s="3349">
        <f t="shared" si="35"/>
        <v>0</v>
      </c>
      <c r="BS27" s="3986" t="e">
        <f t="shared" si="50"/>
        <v>#DIV/0!</v>
      </c>
      <c r="BT27" s="3342"/>
      <c r="BU27" s="3341"/>
      <c r="BV27" s="3341"/>
      <c r="BW27" s="3349">
        <f t="shared" si="36"/>
        <v>0</v>
      </c>
      <c r="BX27" s="3986" t="e">
        <f t="shared" si="51"/>
        <v>#DIV/0!</v>
      </c>
      <c r="BY27" s="3342"/>
      <c r="BZ27" s="3341"/>
      <c r="CA27" s="3341"/>
      <c r="CB27" s="3349">
        <f t="shared" si="37"/>
        <v>0</v>
      </c>
      <c r="CC27" s="3986" t="e">
        <f t="shared" si="52"/>
        <v>#DIV/0!</v>
      </c>
      <c r="CD27" s="3342"/>
      <c r="CE27" s="3341"/>
      <c r="CF27" s="3341"/>
      <c r="CG27" s="3349">
        <f t="shared" si="38"/>
        <v>0</v>
      </c>
      <c r="CH27" s="3986" t="e">
        <f t="shared" si="53"/>
        <v>#DIV/0!</v>
      </c>
      <c r="CI27" s="3342"/>
      <c r="CJ27" s="3341">
        <f t="shared" si="39"/>
        <v>0</v>
      </c>
      <c r="CK27" s="3341">
        <f t="shared" si="39"/>
        <v>0</v>
      </c>
      <c r="CL27" s="3349">
        <f t="shared" si="54"/>
        <v>0</v>
      </c>
      <c r="CM27" s="3986">
        <f t="shared" si="40"/>
        <v>0</v>
      </c>
      <c r="CN27" s="1434"/>
      <c r="CP27" s="4033"/>
      <c r="CQ27" s="2012">
        <f t="shared" si="55"/>
        <v>0</v>
      </c>
      <c r="CR27" s="4035">
        <f t="shared" si="56"/>
        <v>0</v>
      </c>
      <c r="CT27" s="3443"/>
    </row>
    <row r="28" spans="1:100" s="1396" customFormat="1" ht="13.8" outlineLevel="2">
      <c r="A28" s="1571"/>
      <c r="B28" s="3957" t="s">
        <v>52</v>
      </c>
      <c r="C28" s="3341"/>
      <c r="D28" s="3341"/>
      <c r="E28" s="3349">
        <f t="shared" si="19"/>
        <v>0</v>
      </c>
      <c r="F28" s="3986" t="e">
        <f t="shared" si="16"/>
        <v>#DIV/0!</v>
      </c>
      <c r="G28" s="3342"/>
      <c r="H28" s="3341"/>
      <c r="I28" s="3341"/>
      <c r="J28" s="3349">
        <f t="shared" si="20"/>
        <v>0</v>
      </c>
      <c r="K28" s="3986" t="e">
        <f t="shared" si="41"/>
        <v>#DIV/0!</v>
      </c>
      <c r="L28" s="3342"/>
      <c r="M28" s="3341"/>
      <c r="N28" s="3341"/>
      <c r="O28" s="3349">
        <f t="shared" si="21"/>
        <v>0</v>
      </c>
      <c r="P28" s="3986">
        <f t="shared" si="22"/>
        <v>0</v>
      </c>
      <c r="Q28" s="3409"/>
      <c r="R28" s="3342">
        <f t="shared" si="23"/>
        <v>0</v>
      </c>
      <c r="S28" s="3342">
        <f t="shared" si="23"/>
        <v>0</v>
      </c>
      <c r="T28" s="2012">
        <f t="shared" si="24"/>
        <v>0</v>
      </c>
      <c r="U28" s="3409"/>
      <c r="V28" s="3409"/>
      <c r="W28" s="3342">
        <f t="shared" si="25"/>
        <v>0</v>
      </c>
      <c r="X28" s="3342">
        <f t="shared" si="25"/>
        <v>0</v>
      </c>
      <c r="Y28" s="2012">
        <f t="shared" si="26"/>
        <v>0</v>
      </c>
      <c r="Z28" s="3409"/>
      <c r="AA28" s="3409"/>
      <c r="AB28" s="3341"/>
      <c r="AC28" s="3341"/>
      <c r="AD28" s="3349">
        <f t="shared" si="27"/>
        <v>0</v>
      </c>
      <c r="AE28" s="3986">
        <f t="shared" si="42"/>
        <v>0</v>
      </c>
      <c r="AF28" s="3409"/>
      <c r="AG28" s="3341"/>
      <c r="AH28" s="3341"/>
      <c r="AI28" s="3349">
        <f t="shared" si="28"/>
        <v>0</v>
      </c>
      <c r="AJ28" s="3986">
        <f t="shared" si="43"/>
        <v>0</v>
      </c>
      <c r="AK28" s="3409"/>
      <c r="AL28" s="3341"/>
      <c r="AM28" s="3341"/>
      <c r="AN28" s="3349">
        <f t="shared" si="29"/>
        <v>0</v>
      </c>
      <c r="AO28" s="3986" t="e">
        <f t="shared" si="44"/>
        <v>#DIV/0!</v>
      </c>
      <c r="AP28" s="3409"/>
      <c r="AQ28" s="3341"/>
      <c r="AR28" s="3341"/>
      <c r="AS28" s="3349">
        <f t="shared" si="30"/>
        <v>0</v>
      </c>
      <c r="AT28" s="3986" t="e">
        <f t="shared" si="45"/>
        <v>#DIV/0!</v>
      </c>
      <c r="AU28" s="3409"/>
      <c r="AV28" s="3341"/>
      <c r="AW28" s="3341"/>
      <c r="AX28" s="3349">
        <f t="shared" si="31"/>
        <v>0</v>
      </c>
      <c r="AY28" s="3986" t="e">
        <f t="shared" si="46"/>
        <v>#DIV/0!</v>
      </c>
      <c r="AZ28" s="3409"/>
      <c r="BA28" s="3341"/>
      <c r="BB28" s="3341"/>
      <c r="BC28" s="3349">
        <f t="shared" si="32"/>
        <v>0</v>
      </c>
      <c r="BD28" s="3986" t="e">
        <f t="shared" si="47"/>
        <v>#DIV/0!</v>
      </c>
      <c r="BE28" s="3409"/>
      <c r="BF28" s="3341"/>
      <c r="BG28" s="3341"/>
      <c r="BH28" s="3349">
        <f t="shared" si="33"/>
        <v>0</v>
      </c>
      <c r="BI28" s="3986" t="e">
        <f t="shared" si="48"/>
        <v>#DIV/0!</v>
      </c>
      <c r="BJ28" s="3409"/>
      <c r="BK28" s="3341"/>
      <c r="BL28" s="3341"/>
      <c r="BM28" s="3349">
        <f t="shared" si="34"/>
        <v>0</v>
      </c>
      <c r="BN28" s="3986" t="e">
        <f t="shared" si="49"/>
        <v>#DIV/0!</v>
      </c>
      <c r="BO28" s="3409"/>
      <c r="BP28" s="3341"/>
      <c r="BQ28" s="3341"/>
      <c r="BR28" s="3349">
        <f t="shared" si="35"/>
        <v>0</v>
      </c>
      <c r="BS28" s="3986" t="e">
        <f t="shared" si="50"/>
        <v>#DIV/0!</v>
      </c>
      <c r="BT28" s="3409"/>
      <c r="BU28" s="3341"/>
      <c r="BV28" s="3341"/>
      <c r="BW28" s="3349">
        <f t="shared" si="36"/>
        <v>0</v>
      </c>
      <c r="BX28" s="3986" t="e">
        <f t="shared" si="51"/>
        <v>#DIV/0!</v>
      </c>
      <c r="BY28" s="3409"/>
      <c r="BZ28" s="3341"/>
      <c r="CA28" s="3341"/>
      <c r="CB28" s="3349">
        <f t="shared" si="37"/>
        <v>0</v>
      </c>
      <c r="CC28" s="3986" t="e">
        <f t="shared" si="52"/>
        <v>#DIV/0!</v>
      </c>
      <c r="CD28" s="3409"/>
      <c r="CE28" s="3341"/>
      <c r="CF28" s="3341"/>
      <c r="CG28" s="3349">
        <f t="shared" si="38"/>
        <v>0</v>
      </c>
      <c r="CH28" s="3986" t="e">
        <f t="shared" si="53"/>
        <v>#DIV/0!</v>
      </c>
      <c r="CI28" s="3409"/>
      <c r="CJ28" s="3341">
        <f t="shared" si="39"/>
        <v>0</v>
      </c>
      <c r="CK28" s="3341">
        <f t="shared" si="39"/>
        <v>0</v>
      </c>
      <c r="CL28" s="3349">
        <f t="shared" si="54"/>
        <v>0</v>
      </c>
      <c r="CM28" s="3986">
        <f t="shared" si="40"/>
        <v>0</v>
      </c>
      <c r="CN28" s="1434"/>
      <c r="CP28" s="4033"/>
      <c r="CQ28" s="2012">
        <f t="shared" si="55"/>
        <v>0</v>
      </c>
      <c r="CR28" s="4035">
        <f t="shared" si="56"/>
        <v>0</v>
      </c>
      <c r="CT28" s="3443"/>
    </row>
    <row r="29" spans="1:100" s="1396" customFormat="1" ht="13.8" outlineLevel="2">
      <c r="A29" s="1571"/>
      <c r="B29" s="3957" t="s">
        <v>31</v>
      </c>
      <c r="C29" s="3341"/>
      <c r="D29" s="3341"/>
      <c r="E29" s="3349">
        <f t="shared" si="19"/>
        <v>0</v>
      </c>
      <c r="F29" s="3986" t="e">
        <f t="shared" si="16"/>
        <v>#DIV/0!</v>
      </c>
      <c r="G29" s="3342"/>
      <c r="H29" s="3341"/>
      <c r="I29" s="3341"/>
      <c r="J29" s="3349">
        <f t="shared" si="20"/>
        <v>0</v>
      </c>
      <c r="K29" s="3986" t="e">
        <f t="shared" si="41"/>
        <v>#DIV/0!</v>
      </c>
      <c r="L29" s="3342"/>
      <c r="M29" s="3341"/>
      <c r="N29" s="3341"/>
      <c r="O29" s="3349">
        <f t="shared" si="21"/>
        <v>0</v>
      </c>
      <c r="P29" s="3986">
        <f t="shared" si="22"/>
        <v>0</v>
      </c>
      <c r="Q29" s="3342"/>
      <c r="R29" s="3342">
        <f t="shared" si="23"/>
        <v>0</v>
      </c>
      <c r="S29" s="3342">
        <f t="shared" si="23"/>
        <v>0</v>
      </c>
      <c r="T29" s="2012">
        <f t="shared" si="24"/>
        <v>0</v>
      </c>
      <c r="U29" s="3342"/>
      <c r="V29" s="3342"/>
      <c r="W29" s="3342">
        <f t="shared" si="25"/>
        <v>0</v>
      </c>
      <c r="X29" s="3342">
        <f t="shared" si="25"/>
        <v>0</v>
      </c>
      <c r="Y29" s="2012">
        <f t="shared" si="26"/>
        <v>0</v>
      </c>
      <c r="Z29" s="3342"/>
      <c r="AA29" s="3342"/>
      <c r="AB29" s="3341"/>
      <c r="AC29" s="3341"/>
      <c r="AD29" s="3349">
        <f t="shared" si="27"/>
        <v>0</v>
      </c>
      <c r="AE29" s="3986">
        <f t="shared" si="42"/>
        <v>0</v>
      </c>
      <c r="AF29" s="3342"/>
      <c r="AG29" s="3341"/>
      <c r="AH29" s="3341"/>
      <c r="AI29" s="3349">
        <f t="shared" si="28"/>
        <v>0</v>
      </c>
      <c r="AJ29" s="3986">
        <f t="shared" si="43"/>
        <v>0</v>
      </c>
      <c r="AK29" s="3342"/>
      <c r="AL29" s="3341"/>
      <c r="AM29" s="3341"/>
      <c r="AN29" s="3349">
        <f t="shared" si="29"/>
        <v>0</v>
      </c>
      <c r="AO29" s="3986" t="e">
        <f t="shared" si="44"/>
        <v>#DIV/0!</v>
      </c>
      <c r="AP29" s="3342"/>
      <c r="AQ29" s="3341"/>
      <c r="AR29" s="3341"/>
      <c r="AS29" s="3349">
        <f t="shared" si="30"/>
        <v>0</v>
      </c>
      <c r="AT29" s="3986" t="e">
        <f t="shared" si="45"/>
        <v>#DIV/0!</v>
      </c>
      <c r="AU29" s="3342"/>
      <c r="AV29" s="3341"/>
      <c r="AW29" s="3341"/>
      <c r="AX29" s="3349">
        <f t="shared" si="31"/>
        <v>0</v>
      </c>
      <c r="AY29" s="3986" t="e">
        <f t="shared" si="46"/>
        <v>#DIV/0!</v>
      </c>
      <c r="AZ29" s="3342"/>
      <c r="BA29" s="3341"/>
      <c r="BB29" s="3341"/>
      <c r="BC29" s="3349">
        <f t="shared" si="32"/>
        <v>0</v>
      </c>
      <c r="BD29" s="3986" t="e">
        <f t="shared" si="47"/>
        <v>#DIV/0!</v>
      </c>
      <c r="BE29" s="3342"/>
      <c r="BF29" s="3341"/>
      <c r="BG29" s="3341"/>
      <c r="BH29" s="3349">
        <f t="shared" si="33"/>
        <v>0</v>
      </c>
      <c r="BI29" s="3986" t="e">
        <f t="shared" si="48"/>
        <v>#DIV/0!</v>
      </c>
      <c r="BJ29" s="3342"/>
      <c r="BK29" s="3341"/>
      <c r="BL29" s="3341"/>
      <c r="BM29" s="3349">
        <f t="shared" si="34"/>
        <v>0</v>
      </c>
      <c r="BN29" s="3986" t="e">
        <f t="shared" si="49"/>
        <v>#DIV/0!</v>
      </c>
      <c r="BO29" s="3342"/>
      <c r="BP29" s="3341"/>
      <c r="BQ29" s="3341"/>
      <c r="BR29" s="3349">
        <f t="shared" si="35"/>
        <v>0</v>
      </c>
      <c r="BS29" s="3986" t="e">
        <f t="shared" si="50"/>
        <v>#DIV/0!</v>
      </c>
      <c r="BT29" s="3342"/>
      <c r="BU29" s="3341"/>
      <c r="BV29" s="3341"/>
      <c r="BW29" s="3349">
        <f t="shared" si="36"/>
        <v>0</v>
      </c>
      <c r="BX29" s="3986" t="e">
        <f t="shared" si="51"/>
        <v>#DIV/0!</v>
      </c>
      <c r="BY29" s="3342"/>
      <c r="BZ29" s="3341"/>
      <c r="CA29" s="3341"/>
      <c r="CB29" s="3349">
        <f t="shared" si="37"/>
        <v>0</v>
      </c>
      <c r="CC29" s="3986" t="e">
        <f t="shared" si="52"/>
        <v>#DIV/0!</v>
      </c>
      <c r="CD29" s="3342"/>
      <c r="CE29" s="3341"/>
      <c r="CF29" s="3341"/>
      <c r="CG29" s="3349">
        <f t="shared" si="38"/>
        <v>0</v>
      </c>
      <c r="CH29" s="3986" t="e">
        <f t="shared" si="53"/>
        <v>#DIV/0!</v>
      </c>
      <c r="CI29" s="3342"/>
      <c r="CJ29" s="3341">
        <f t="shared" si="39"/>
        <v>0</v>
      </c>
      <c r="CK29" s="3341">
        <f t="shared" si="39"/>
        <v>0</v>
      </c>
      <c r="CL29" s="3349">
        <f t="shared" si="54"/>
        <v>0</v>
      </c>
      <c r="CM29" s="3986">
        <f t="shared" si="40"/>
        <v>0</v>
      </c>
      <c r="CN29" s="3987"/>
      <c r="CP29" s="4033"/>
      <c r="CQ29" s="2012">
        <f t="shared" si="55"/>
        <v>0</v>
      </c>
      <c r="CR29" s="4035">
        <f t="shared" si="56"/>
        <v>0</v>
      </c>
      <c r="CT29" s="2624"/>
    </row>
    <row r="30" spans="1:100" s="1396" customFormat="1" ht="13.8" outlineLevel="2">
      <c r="A30" s="1571"/>
      <c r="B30" s="3957" t="s">
        <v>62</v>
      </c>
      <c r="C30" s="3341"/>
      <c r="D30" s="3341"/>
      <c r="E30" s="3349">
        <f t="shared" si="19"/>
        <v>0</v>
      </c>
      <c r="F30" s="3986" t="e">
        <f t="shared" si="16"/>
        <v>#DIV/0!</v>
      </c>
      <c r="G30" s="3343"/>
      <c r="H30" s="3341"/>
      <c r="I30" s="3341"/>
      <c r="J30" s="3349">
        <f t="shared" si="20"/>
        <v>0</v>
      </c>
      <c r="K30" s="3986" t="e">
        <f t="shared" si="41"/>
        <v>#DIV/0!</v>
      </c>
      <c r="L30" s="3343"/>
      <c r="M30" s="3341"/>
      <c r="N30" s="3341"/>
      <c r="O30" s="3349">
        <f t="shared" si="21"/>
        <v>0</v>
      </c>
      <c r="P30" s="3986">
        <f t="shared" si="22"/>
        <v>0</v>
      </c>
      <c r="Q30" s="3342"/>
      <c r="R30" s="3342">
        <f t="shared" si="23"/>
        <v>0</v>
      </c>
      <c r="S30" s="3342">
        <f t="shared" si="23"/>
        <v>0</v>
      </c>
      <c r="T30" s="2012">
        <f t="shared" si="24"/>
        <v>0</v>
      </c>
      <c r="U30" s="3342"/>
      <c r="V30" s="3342"/>
      <c r="W30" s="3342">
        <f t="shared" si="25"/>
        <v>0</v>
      </c>
      <c r="X30" s="3342">
        <f t="shared" si="25"/>
        <v>0</v>
      </c>
      <c r="Y30" s="2012">
        <f t="shared" si="26"/>
        <v>0</v>
      </c>
      <c r="Z30" s="3342"/>
      <c r="AA30" s="3342"/>
      <c r="AB30" s="3341"/>
      <c r="AC30" s="3341"/>
      <c r="AD30" s="3349">
        <f t="shared" si="27"/>
        <v>0</v>
      </c>
      <c r="AE30" s="3986">
        <f t="shared" si="42"/>
        <v>0</v>
      </c>
      <c r="AF30" s="3342"/>
      <c r="AG30" s="3341"/>
      <c r="AH30" s="3341"/>
      <c r="AI30" s="3349">
        <f t="shared" si="28"/>
        <v>0</v>
      </c>
      <c r="AJ30" s="3986">
        <f t="shared" si="43"/>
        <v>0</v>
      </c>
      <c r="AK30" s="3342"/>
      <c r="AL30" s="3341"/>
      <c r="AM30" s="3341"/>
      <c r="AN30" s="3349">
        <f t="shared" si="29"/>
        <v>0</v>
      </c>
      <c r="AO30" s="3986" t="e">
        <f t="shared" si="44"/>
        <v>#DIV/0!</v>
      </c>
      <c r="AP30" s="3342"/>
      <c r="AQ30" s="3341"/>
      <c r="AR30" s="3341"/>
      <c r="AS30" s="3349">
        <f t="shared" si="30"/>
        <v>0</v>
      </c>
      <c r="AT30" s="3986" t="e">
        <f t="shared" si="45"/>
        <v>#DIV/0!</v>
      </c>
      <c r="AU30" s="3342"/>
      <c r="AV30" s="3341"/>
      <c r="AW30" s="3341"/>
      <c r="AX30" s="3349">
        <f t="shared" si="31"/>
        <v>0</v>
      </c>
      <c r="AY30" s="3986" t="e">
        <f t="shared" si="46"/>
        <v>#DIV/0!</v>
      </c>
      <c r="AZ30" s="3342"/>
      <c r="BA30" s="3341"/>
      <c r="BB30" s="3341"/>
      <c r="BC30" s="3349">
        <f t="shared" si="32"/>
        <v>0</v>
      </c>
      <c r="BD30" s="3986" t="e">
        <f t="shared" si="47"/>
        <v>#DIV/0!</v>
      </c>
      <c r="BE30" s="3342"/>
      <c r="BF30" s="3341"/>
      <c r="BG30" s="3341"/>
      <c r="BH30" s="3349">
        <f t="shared" si="33"/>
        <v>0</v>
      </c>
      <c r="BI30" s="3986" t="e">
        <f t="shared" si="48"/>
        <v>#DIV/0!</v>
      </c>
      <c r="BJ30" s="3342"/>
      <c r="BK30" s="3341"/>
      <c r="BL30" s="3341"/>
      <c r="BM30" s="3349">
        <f t="shared" si="34"/>
        <v>0</v>
      </c>
      <c r="BN30" s="3986" t="e">
        <f t="shared" si="49"/>
        <v>#DIV/0!</v>
      </c>
      <c r="BO30" s="3342"/>
      <c r="BP30" s="3341"/>
      <c r="BQ30" s="3341"/>
      <c r="BR30" s="3349">
        <f t="shared" si="35"/>
        <v>0</v>
      </c>
      <c r="BS30" s="3986" t="e">
        <f t="shared" si="50"/>
        <v>#DIV/0!</v>
      </c>
      <c r="BT30" s="3342"/>
      <c r="BU30" s="3341"/>
      <c r="BV30" s="3341"/>
      <c r="BW30" s="3349">
        <f t="shared" si="36"/>
        <v>0</v>
      </c>
      <c r="BX30" s="3986" t="e">
        <f t="shared" si="51"/>
        <v>#DIV/0!</v>
      </c>
      <c r="BY30" s="3342"/>
      <c r="BZ30" s="3341"/>
      <c r="CA30" s="3341"/>
      <c r="CB30" s="3349">
        <f t="shared" si="37"/>
        <v>0</v>
      </c>
      <c r="CC30" s="3986" t="e">
        <f t="shared" si="52"/>
        <v>#DIV/0!</v>
      </c>
      <c r="CD30" s="3342"/>
      <c r="CE30" s="3341"/>
      <c r="CF30" s="3341"/>
      <c r="CG30" s="3349">
        <f t="shared" si="38"/>
        <v>0</v>
      </c>
      <c r="CH30" s="3986" t="e">
        <f t="shared" si="53"/>
        <v>#DIV/0!</v>
      </c>
      <c r="CI30" s="3342"/>
      <c r="CJ30" s="3341">
        <f t="shared" si="39"/>
        <v>0</v>
      </c>
      <c r="CK30" s="3341">
        <f t="shared" si="39"/>
        <v>0</v>
      </c>
      <c r="CL30" s="3349">
        <f t="shared" si="54"/>
        <v>0</v>
      </c>
      <c r="CM30" s="3986">
        <f t="shared" si="40"/>
        <v>0</v>
      </c>
      <c r="CN30" s="3987"/>
      <c r="CP30" s="4033"/>
      <c r="CQ30" s="2012">
        <f t="shared" si="55"/>
        <v>0</v>
      </c>
      <c r="CR30" s="4035">
        <f t="shared" si="56"/>
        <v>0</v>
      </c>
      <c r="CT30" s="3443"/>
    </row>
    <row r="31" spans="1:100" s="1396" customFormat="1" ht="13.8" outlineLevel="2">
      <c r="A31" s="1571"/>
      <c r="B31" s="3957" t="s">
        <v>34</v>
      </c>
      <c r="C31" s="3341"/>
      <c r="D31" s="3341"/>
      <c r="E31" s="3349">
        <f t="shared" si="19"/>
        <v>0</v>
      </c>
      <c r="F31" s="3986" t="e">
        <f t="shared" si="16"/>
        <v>#DIV/0!</v>
      </c>
      <c r="G31" s="3343"/>
      <c r="H31" s="3341"/>
      <c r="I31" s="3341"/>
      <c r="J31" s="3349">
        <f t="shared" si="20"/>
        <v>0</v>
      </c>
      <c r="K31" s="3986" t="e">
        <f t="shared" si="41"/>
        <v>#DIV/0!</v>
      </c>
      <c r="L31" s="3343"/>
      <c r="M31" s="3341"/>
      <c r="N31" s="3341"/>
      <c r="O31" s="3349">
        <f t="shared" si="21"/>
        <v>0</v>
      </c>
      <c r="P31" s="3986">
        <f t="shared" si="22"/>
        <v>0</v>
      </c>
      <c r="Q31" s="3342"/>
      <c r="R31" s="3342">
        <f t="shared" si="23"/>
        <v>0</v>
      </c>
      <c r="S31" s="3342">
        <f t="shared" si="23"/>
        <v>0</v>
      </c>
      <c r="T31" s="2012">
        <f t="shared" si="24"/>
        <v>0</v>
      </c>
      <c r="U31" s="3342"/>
      <c r="V31" s="3342"/>
      <c r="W31" s="3342">
        <f t="shared" si="25"/>
        <v>0</v>
      </c>
      <c r="X31" s="3342">
        <f t="shared" si="25"/>
        <v>0</v>
      </c>
      <c r="Y31" s="2012">
        <f t="shared" si="26"/>
        <v>0</v>
      </c>
      <c r="Z31" s="3342"/>
      <c r="AA31" s="3342"/>
      <c r="AB31" s="3341"/>
      <c r="AC31" s="3341"/>
      <c r="AD31" s="3349">
        <f t="shared" si="27"/>
        <v>0</v>
      </c>
      <c r="AE31" s="3986">
        <f t="shared" si="42"/>
        <v>0</v>
      </c>
      <c r="AF31" s="3342"/>
      <c r="AG31" s="3341"/>
      <c r="AH31" s="3341"/>
      <c r="AI31" s="3349">
        <f t="shared" si="28"/>
        <v>0</v>
      </c>
      <c r="AJ31" s="3986">
        <f t="shared" si="43"/>
        <v>0</v>
      </c>
      <c r="AK31" s="3342"/>
      <c r="AL31" s="3341"/>
      <c r="AM31" s="3341"/>
      <c r="AN31" s="3349">
        <f t="shared" si="29"/>
        <v>0</v>
      </c>
      <c r="AO31" s="3986" t="e">
        <f t="shared" si="44"/>
        <v>#DIV/0!</v>
      </c>
      <c r="AP31" s="3342"/>
      <c r="AQ31" s="3341"/>
      <c r="AR31" s="3341"/>
      <c r="AS31" s="3349">
        <f t="shared" si="30"/>
        <v>0</v>
      </c>
      <c r="AT31" s="3986" t="e">
        <f t="shared" si="45"/>
        <v>#DIV/0!</v>
      </c>
      <c r="AU31" s="3342"/>
      <c r="AV31" s="3341"/>
      <c r="AW31" s="3341"/>
      <c r="AX31" s="3349">
        <f t="shared" si="31"/>
        <v>0</v>
      </c>
      <c r="AY31" s="3986" t="e">
        <f t="shared" si="46"/>
        <v>#DIV/0!</v>
      </c>
      <c r="AZ31" s="3342"/>
      <c r="BA31" s="3341"/>
      <c r="BB31" s="3341"/>
      <c r="BC31" s="3349">
        <f t="shared" si="32"/>
        <v>0</v>
      </c>
      <c r="BD31" s="3986" t="e">
        <f t="shared" si="47"/>
        <v>#DIV/0!</v>
      </c>
      <c r="BE31" s="3342"/>
      <c r="BF31" s="3341"/>
      <c r="BG31" s="3341"/>
      <c r="BH31" s="3349">
        <f t="shared" si="33"/>
        <v>0</v>
      </c>
      <c r="BI31" s="3986" t="e">
        <f t="shared" si="48"/>
        <v>#DIV/0!</v>
      </c>
      <c r="BJ31" s="3342"/>
      <c r="BK31" s="3341"/>
      <c r="BL31" s="3341"/>
      <c r="BM31" s="3349">
        <f t="shared" si="34"/>
        <v>0</v>
      </c>
      <c r="BN31" s="3986" t="e">
        <f t="shared" si="49"/>
        <v>#DIV/0!</v>
      </c>
      <c r="BO31" s="3342"/>
      <c r="BP31" s="3341"/>
      <c r="BQ31" s="3341"/>
      <c r="BR31" s="3349">
        <f t="shared" si="35"/>
        <v>0</v>
      </c>
      <c r="BS31" s="3986" t="e">
        <f t="shared" si="50"/>
        <v>#DIV/0!</v>
      </c>
      <c r="BT31" s="3342"/>
      <c r="BU31" s="3341"/>
      <c r="BV31" s="3341"/>
      <c r="BW31" s="3349">
        <f t="shared" si="36"/>
        <v>0</v>
      </c>
      <c r="BX31" s="3986" t="e">
        <f t="shared" si="51"/>
        <v>#DIV/0!</v>
      </c>
      <c r="BY31" s="3342"/>
      <c r="BZ31" s="3341"/>
      <c r="CA31" s="3341"/>
      <c r="CB31" s="3349">
        <f t="shared" si="37"/>
        <v>0</v>
      </c>
      <c r="CC31" s="3986" t="e">
        <f t="shared" si="52"/>
        <v>#DIV/0!</v>
      </c>
      <c r="CD31" s="3342"/>
      <c r="CE31" s="3341"/>
      <c r="CF31" s="3341"/>
      <c r="CG31" s="3349">
        <f t="shared" si="38"/>
        <v>0</v>
      </c>
      <c r="CH31" s="3986" t="e">
        <f t="shared" si="53"/>
        <v>#DIV/0!</v>
      </c>
      <c r="CI31" s="3342"/>
      <c r="CJ31" s="3341">
        <f t="shared" si="39"/>
        <v>0</v>
      </c>
      <c r="CK31" s="3341">
        <f t="shared" si="39"/>
        <v>0</v>
      </c>
      <c r="CL31" s="3349">
        <f t="shared" si="54"/>
        <v>0</v>
      </c>
      <c r="CM31" s="3986">
        <f t="shared" si="40"/>
        <v>0</v>
      </c>
      <c r="CN31" s="3987"/>
      <c r="CP31" s="4033"/>
      <c r="CQ31" s="2012">
        <f t="shared" si="55"/>
        <v>0</v>
      </c>
      <c r="CR31" s="4035">
        <f t="shared" si="56"/>
        <v>0</v>
      </c>
      <c r="CT31" s="3443"/>
      <c r="CV31" s="933"/>
    </row>
    <row r="32" spans="1:100" s="1396" customFormat="1" ht="13.8" outlineLevel="2">
      <c r="A32" s="1571"/>
      <c r="B32" s="4038" t="s">
        <v>2</v>
      </c>
      <c r="C32" s="3341"/>
      <c r="D32" s="3341"/>
      <c r="E32" s="3349">
        <f t="shared" si="19"/>
        <v>0</v>
      </c>
      <c r="F32" s="3986" t="e">
        <f t="shared" si="16"/>
        <v>#DIV/0!</v>
      </c>
      <c r="G32" s="3989"/>
      <c r="H32" s="3341"/>
      <c r="I32" s="3341"/>
      <c r="J32" s="3349">
        <f t="shared" si="20"/>
        <v>0</v>
      </c>
      <c r="K32" s="3986" t="e">
        <f t="shared" si="41"/>
        <v>#DIV/0!</v>
      </c>
      <c r="L32" s="3989"/>
      <c r="M32" s="3341"/>
      <c r="N32" s="3341"/>
      <c r="O32" s="3349">
        <f t="shared" si="21"/>
        <v>0</v>
      </c>
      <c r="P32" s="3986">
        <f t="shared" si="22"/>
        <v>0</v>
      </c>
      <c r="Q32" s="3989"/>
      <c r="R32" s="3342">
        <f t="shared" si="23"/>
        <v>0</v>
      </c>
      <c r="S32" s="3342">
        <f t="shared" si="23"/>
        <v>0</v>
      </c>
      <c r="T32" s="2012">
        <f t="shared" si="24"/>
        <v>0</v>
      </c>
      <c r="U32" s="2048"/>
      <c r="V32" s="2048"/>
      <c r="W32" s="3342">
        <f t="shared" si="25"/>
        <v>0</v>
      </c>
      <c r="X32" s="3342">
        <f t="shared" si="25"/>
        <v>0</v>
      </c>
      <c r="Y32" s="2012">
        <f t="shared" si="26"/>
        <v>0</v>
      </c>
      <c r="Z32" s="2048"/>
      <c r="AA32" s="2048"/>
      <c r="AB32" s="3341"/>
      <c r="AC32" s="3341"/>
      <c r="AD32" s="3349">
        <f t="shared" si="27"/>
        <v>0</v>
      </c>
      <c r="AE32" s="3986">
        <f t="shared" si="42"/>
        <v>0</v>
      </c>
      <c r="AF32" s="3989"/>
      <c r="AG32" s="3341"/>
      <c r="AH32" s="3341"/>
      <c r="AI32" s="3349">
        <f t="shared" si="28"/>
        <v>0</v>
      </c>
      <c r="AJ32" s="3986">
        <f t="shared" si="43"/>
        <v>0</v>
      </c>
      <c r="AK32" s="3989"/>
      <c r="AL32" s="3341"/>
      <c r="AM32" s="3341"/>
      <c r="AN32" s="3349">
        <f t="shared" si="29"/>
        <v>0</v>
      </c>
      <c r="AO32" s="3986" t="e">
        <f t="shared" si="44"/>
        <v>#DIV/0!</v>
      </c>
      <c r="AP32" s="3989"/>
      <c r="AQ32" s="3341"/>
      <c r="AR32" s="3341"/>
      <c r="AS32" s="3349">
        <f t="shared" si="30"/>
        <v>0</v>
      </c>
      <c r="AT32" s="3986" t="e">
        <f t="shared" si="45"/>
        <v>#DIV/0!</v>
      </c>
      <c r="AU32" s="3989"/>
      <c r="AV32" s="3341"/>
      <c r="AW32" s="3341"/>
      <c r="AX32" s="3349">
        <f t="shared" si="31"/>
        <v>0</v>
      </c>
      <c r="AY32" s="3986" t="e">
        <f t="shared" si="46"/>
        <v>#DIV/0!</v>
      </c>
      <c r="AZ32" s="3989"/>
      <c r="BA32" s="3341"/>
      <c r="BB32" s="3341"/>
      <c r="BC32" s="3349">
        <f t="shared" si="32"/>
        <v>0</v>
      </c>
      <c r="BD32" s="3986" t="e">
        <f t="shared" si="47"/>
        <v>#DIV/0!</v>
      </c>
      <c r="BE32" s="3989"/>
      <c r="BF32" s="3341"/>
      <c r="BG32" s="3341"/>
      <c r="BH32" s="3349">
        <f t="shared" si="33"/>
        <v>0</v>
      </c>
      <c r="BI32" s="3986" t="e">
        <f t="shared" si="48"/>
        <v>#DIV/0!</v>
      </c>
      <c r="BJ32" s="3989"/>
      <c r="BK32" s="3341"/>
      <c r="BL32" s="3341"/>
      <c r="BM32" s="3349">
        <f t="shared" si="34"/>
        <v>0</v>
      </c>
      <c r="BN32" s="3986" t="e">
        <f t="shared" si="49"/>
        <v>#DIV/0!</v>
      </c>
      <c r="BO32" s="3989"/>
      <c r="BP32" s="3341"/>
      <c r="BQ32" s="3341"/>
      <c r="BR32" s="3349">
        <f t="shared" si="35"/>
        <v>0</v>
      </c>
      <c r="BS32" s="3986" t="e">
        <f t="shared" si="50"/>
        <v>#DIV/0!</v>
      </c>
      <c r="BT32" s="3989"/>
      <c r="BU32" s="3341"/>
      <c r="BV32" s="3341"/>
      <c r="BW32" s="3349">
        <f t="shared" si="36"/>
        <v>0</v>
      </c>
      <c r="BX32" s="3986" t="e">
        <f t="shared" si="51"/>
        <v>#DIV/0!</v>
      </c>
      <c r="BY32" s="3989"/>
      <c r="BZ32" s="3341"/>
      <c r="CA32" s="3341"/>
      <c r="CB32" s="3349">
        <f t="shared" si="37"/>
        <v>0</v>
      </c>
      <c r="CC32" s="3986" t="e">
        <f t="shared" si="52"/>
        <v>#DIV/0!</v>
      </c>
      <c r="CD32" s="3989"/>
      <c r="CE32" s="3341"/>
      <c r="CF32" s="3341"/>
      <c r="CG32" s="3349">
        <f t="shared" si="38"/>
        <v>0</v>
      </c>
      <c r="CH32" s="3986" t="e">
        <f t="shared" si="53"/>
        <v>#DIV/0!</v>
      </c>
      <c r="CI32" s="3989"/>
      <c r="CJ32" s="3990">
        <f t="shared" si="39"/>
        <v>0</v>
      </c>
      <c r="CK32" s="4039">
        <f t="shared" si="39"/>
        <v>0</v>
      </c>
      <c r="CL32" s="3349">
        <f t="shared" si="54"/>
        <v>0</v>
      </c>
      <c r="CM32" s="3986">
        <f t="shared" si="40"/>
        <v>0</v>
      </c>
      <c r="CN32" s="3987"/>
      <c r="CP32" s="4033"/>
      <c r="CQ32" s="2012">
        <f t="shared" si="55"/>
        <v>0</v>
      </c>
      <c r="CR32" s="4035">
        <f t="shared" si="56"/>
        <v>0</v>
      </c>
      <c r="CT32" s="2624"/>
    </row>
    <row r="33" spans="1:98" s="1396" customFormat="1" ht="14.4" outlineLevel="2" thickBot="1">
      <c r="A33" s="1571"/>
      <c r="B33" s="3958" t="s">
        <v>75</v>
      </c>
      <c r="C33" s="3991"/>
      <c r="D33" s="3991"/>
      <c r="E33" s="3992">
        <f t="shared" ref="E33" si="57">C33+D33*1</f>
        <v>0</v>
      </c>
      <c r="F33" s="3993" t="e">
        <f t="shared" si="16"/>
        <v>#DIV/0!</v>
      </c>
      <c r="G33" s="3994"/>
      <c r="H33" s="3991"/>
      <c r="I33" s="3991"/>
      <c r="J33" s="3992">
        <f>H33+I33*1</f>
        <v>0</v>
      </c>
      <c r="K33" s="3993" t="e">
        <f t="shared" si="41"/>
        <v>#DIV/0!</v>
      </c>
      <c r="L33" s="3994"/>
      <c r="M33" s="3991"/>
      <c r="N33" s="3991"/>
      <c r="O33" s="3992">
        <f t="shared" ref="O33" si="58">M33+N33*1</f>
        <v>0</v>
      </c>
      <c r="P33" s="3986">
        <f t="shared" si="22"/>
        <v>0</v>
      </c>
      <c r="Q33" s="3994"/>
      <c r="R33" s="3995">
        <f t="shared" si="23"/>
        <v>0</v>
      </c>
      <c r="S33" s="3996">
        <f t="shared" si="23"/>
        <v>0</v>
      </c>
      <c r="T33" s="3997">
        <f t="shared" si="24"/>
        <v>0</v>
      </c>
      <c r="U33" s="3994"/>
      <c r="V33" s="3994"/>
      <c r="W33" s="3996">
        <f t="shared" si="25"/>
        <v>0</v>
      </c>
      <c r="X33" s="3996">
        <f t="shared" si="25"/>
        <v>0</v>
      </c>
      <c r="Y33" s="3997">
        <f t="shared" si="26"/>
        <v>0</v>
      </c>
      <c r="Z33" s="3994"/>
      <c r="AA33" s="3994"/>
      <c r="AB33" s="3991"/>
      <c r="AC33" s="3991"/>
      <c r="AD33" s="3992">
        <f t="shared" ref="AD33" si="59">AB33+AC33*1</f>
        <v>0</v>
      </c>
      <c r="AE33" s="3993">
        <f t="shared" si="42"/>
        <v>0</v>
      </c>
      <c r="AF33" s="3994"/>
      <c r="AG33" s="3991"/>
      <c r="AH33" s="3991"/>
      <c r="AI33" s="3992">
        <f t="shared" ref="AI33" si="60">AG33+AH33*1</f>
        <v>0</v>
      </c>
      <c r="AJ33" s="3993">
        <f t="shared" si="43"/>
        <v>0</v>
      </c>
      <c r="AK33" s="3994"/>
      <c r="AL33" s="3991"/>
      <c r="AM33" s="3991"/>
      <c r="AN33" s="3992">
        <f t="shared" ref="AN33" si="61">AL33+AM33*1</f>
        <v>0</v>
      </c>
      <c r="AO33" s="3993" t="e">
        <f t="shared" si="44"/>
        <v>#DIV/0!</v>
      </c>
      <c r="AP33" s="3994"/>
      <c r="AQ33" s="3991"/>
      <c r="AR33" s="3991"/>
      <c r="AS33" s="3992">
        <f t="shared" ref="AS33" si="62">AQ33+AR33*1</f>
        <v>0</v>
      </c>
      <c r="AT33" s="3993" t="e">
        <f t="shared" si="45"/>
        <v>#DIV/0!</v>
      </c>
      <c r="AU33" s="3994"/>
      <c r="AV33" s="3991"/>
      <c r="AW33" s="3991"/>
      <c r="AX33" s="3992">
        <f t="shared" ref="AX33" si="63">AV33+AW33*1</f>
        <v>0</v>
      </c>
      <c r="AY33" s="3993" t="e">
        <f t="shared" si="46"/>
        <v>#DIV/0!</v>
      </c>
      <c r="AZ33" s="3994"/>
      <c r="BA33" s="3991"/>
      <c r="BB33" s="3991"/>
      <c r="BC33" s="3992">
        <f t="shared" ref="BC33" si="64">BA33+BB33*1</f>
        <v>0</v>
      </c>
      <c r="BD33" s="3993" t="e">
        <f t="shared" si="47"/>
        <v>#DIV/0!</v>
      </c>
      <c r="BE33" s="3994"/>
      <c r="BF33" s="3991"/>
      <c r="BG33" s="3991"/>
      <c r="BH33" s="3992">
        <f t="shared" ref="BH33" si="65">BF33+BG33*1</f>
        <v>0</v>
      </c>
      <c r="BI33" s="3993" t="e">
        <f t="shared" si="48"/>
        <v>#DIV/0!</v>
      </c>
      <c r="BJ33" s="3994"/>
      <c r="BK33" s="3991"/>
      <c r="BL33" s="3991"/>
      <c r="BM33" s="3992">
        <f t="shared" ref="BM33" si="66">BK33+BL33*1</f>
        <v>0</v>
      </c>
      <c r="BN33" s="3993" t="e">
        <f t="shared" si="49"/>
        <v>#DIV/0!</v>
      </c>
      <c r="BO33" s="3994"/>
      <c r="BP33" s="3991"/>
      <c r="BQ33" s="3991"/>
      <c r="BR33" s="3992">
        <f t="shared" ref="BR33" si="67">BP33+BQ33*1</f>
        <v>0</v>
      </c>
      <c r="BS33" s="3993" t="e">
        <f t="shared" si="50"/>
        <v>#DIV/0!</v>
      </c>
      <c r="BT33" s="3994"/>
      <c r="BU33" s="3991"/>
      <c r="BV33" s="3991"/>
      <c r="BW33" s="3992">
        <f t="shared" ref="BW33" si="68">BU33+BV33*1</f>
        <v>0</v>
      </c>
      <c r="BX33" s="3993" t="e">
        <f t="shared" si="51"/>
        <v>#DIV/0!</v>
      </c>
      <c r="BY33" s="3994"/>
      <c r="BZ33" s="3991"/>
      <c r="CA33" s="3991"/>
      <c r="CB33" s="3992">
        <f t="shared" ref="CB33" si="69">BZ33+CA33*1</f>
        <v>0</v>
      </c>
      <c r="CC33" s="3993" t="e">
        <f t="shared" si="52"/>
        <v>#DIV/0!</v>
      </c>
      <c r="CD33" s="3994"/>
      <c r="CE33" s="3991"/>
      <c r="CF33" s="3991"/>
      <c r="CG33" s="3992">
        <f t="shared" ref="CG33" si="70">CE33+CF33*1</f>
        <v>0</v>
      </c>
      <c r="CH33" s="3993" t="e">
        <f t="shared" si="53"/>
        <v>#DIV/0!</v>
      </c>
      <c r="CI33" s="3994"/>
      <c r="CJ33" s="3998">
        <f t="shared" si="39"/>
        <v>0</v>
      </c>
      <c r="CK33" s="3991">
        <f t="shared" si="39"/>
        <v>0</v>
      </c>
      <c r="CL33" s="3992">
        <f t="shared" si="54"/>
        <v>0</v>
      </c>
      <c r="CM33" s="3959">
        <f t="shared" si="40"/>
        <v>0</v>
      </c>
      <c r="CN33" s="3960"/>
      <c r="CP33" s="4033"/>
      <c r="CQ33" s="4033"/>
      <c r="CR33" s="4035">
        <f t="shared" si="56"/>
        <v>0</v>
      </c>
      <c r="CT33" s="2624"/>
    </row>
    <row r="34" spans="1:98"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1"/>
      <c r="AC34" s="3341"/>
      <c r="AD34" s="3368"/>
      <c r="AE34" s="3368"/>
      <c r="AF34" s="3448"/>
      <c r="AG34" s="3341"/>
      <c r="AH34" s="3341"/>
      <c r="AI34" s="3368"/>
      <c r="AJ34" s="3368"/>
      <c r="AK34" s="3448"/>
      <c r="AL34" s="3341"/>
      <c r="AM34" s="3341"/>
      <c r="AN34" s="3368"/>
      <c r="AO34" s="3368"/>
      <c r="AP34" s="3448"/>
      <c r="AQ34" s="3341"/>
      <c r="AR34" s="3341"/>
      <c r="AS34" s="3368"/>
      <c r="AT34" s="3368"/>
      <c r="AU34" s="3448"/>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3449"/>
      <c r="CQ34" s="3449"/>
      <c r="CR34" s="3450"/>
      <c r="CT34" s="2624"/>
    </row>
    <row r="35" spans="1:98" s="1396" customFormat="1" ht="13.8" outlineLevel="1">
      <c r="A35" s="1571"/>
      <c r="B35" s="4040" t="s">
        <v>80</v>
      </c>
      <c r="C35" s="4041">
        <f>C36</f>
        <v>0</v>
      </c>
      <c r="D35" s="4041">
        <f>D36</f>
        <v>0</v>
      </c>
      <c r="E35" s="3961">
        <f>E36</f>
        <v>0</v>
      </c>
      <c r="F35" s="3961"/>
      <c r="G35" s="3999"/>
      <c r="H35" s="4041">
        <f>H36</f>
        <v>0</v>
      </c>
      <c r="I35" s="4041">
        <f>I36</f>
        <v>0</v>
      </c>
      <c r="J35" s="3961">
        <f>J36</f>
        <v>0</v>
      </c>
      <c r="K35" s="3961"/>
      <c r="L35" s="3999"/>
      <c r="M35" s="4041">
        <f>M36</f>
        <v>0</v>
      </c>
      <c r="N35" s="4041">
        <f>N36</f>
        <v>0</v>
      </c>
      <c r="O35" s="3961">
        <f>O36</f>
        <v>0</v>
      </c>
      <c r="P35" s="3961"/>
      <c r="Q35" s="3999"/>
      <c r="R35" s="4041">
        <f>R36</f>
        <v>0</v>
      </c>
      <c r="S35" s="4041">
        <f>S36</f>
        <v>0</v>
      </c>
      <c r="T35" s="3961">
        <f>T36</f>
        <v>0</v>
      </c>
      <c r="U35" s="4031"/>
      <c r="V35" s="4031"/>
      <c r="W35" s="4041">
        <f>W36</f>
        <v>0</v>
      </c>
      <c r="X35" s="4041">
        <f>X36</f>
        <v>0</v>
      </c>
      <c r="Y35" s="3961">
        <f>Y36</f>
        <v>0</v>
      </c>
      <c r="Z35" s="4031"/>
      <c r="AA35" s="4031"/>
      <c r="AB35" s="4041">
        <f>AB36</f>
        <v>0</v>
      </c>
      <c r="AC35" s="4041">
        <f>AC36</f>
        <v>0</v>
      </c>
      <c r="AD35" s="3961">
        <f>AD36</f>
        <v>0</v>
      </c>
      <c r="AE35" s="3961"/>
      <c r="AF35" s="3999"/>
      <c r="AG35" s="4041">
        <f>AG36</f>
        <v>0</v>
      </c>
      <c r="AH35" s="4041">
        <f>AH36</f>
        <v>0</v>
      </c>
      <c r="AI35" s="3961">
        <f>AI36</f>
        <v>0</v>
      </c>
      <c r="AJ35" s="3961"/>
      <c r="AK35" s="3999"/>
      <c r="AL35" s="4041">
        <f>AL36</f>
        <v>0</v>
      </c>
      <c r="AM35" s="4041">
        <f>AM36</f>
        <v>0</v>
      </c>
      <c r="AN35" s="3961">
        <f>AN36</f>
        <v>0</v>
      </c>
      <c r="AO35" s="3961"/>
      <c r="AP35" s="3999"/>
      <c r="AQ35" s="4041">
        <f>AQ36</f>
        <v>0</v>
      </c>
      <c r="AR35" s="4041">
        <f>AR36</f>
        <v>0</v>
      </c>
      <c r="AS35" s="3961">
        <f>AS36</f>
        <v>0</v>
      </c>
      <c r="AT35" s="3961"/>
      <c r="AU35" s="3999"/>
      <c r="AV35" s="4041">
        <f>AV36</f>
        <v>0</v>
      </c>
      <c r="AW35" s="4041">
        <f>AW36</f>
        <v>0</v>
      </c>
      <c r="AX35" s="3961">
        <f>AX36</f>
        <v>0</v>
      </c>
      <c r="AY35" s="3961"/>
      <c r="AZ35" s="3999"/>
      <c r="BA35" s="4041">
        <f>BA36</f>
        <v>0</v>
      </c>
      <c r="BB35" s="4041">
        <f>BB36</f>
        <v>0</v>
      </c>
      <c r="BC35" s="3961">
        <f>BC36</f>
        <v>0</v>
      </c>
      <c r="BD35" s="3961"/>
      <c r="BE35" s="3999"/>
      <c r="BF35" s="4041">
        <f>BF36</f>
        <v>0</v>
      </c>
      <c r="BG35" s="4041">
        <f>BG36</f>
        <v>0</v>
      </c>
      <c r="BH35" s="3961">
        <f>BH36</f>
        <v>0</v>
      </c>
      <c r="BI35" s="3961"/>
      <c r="BJ35" s="3999"/>
      <c r="BK35" s="4041">
        <f>BK36</f>
        <v>0</v>
      </c>
      <c r="BL35" s="4041">
        <f>BL36</f>
        <v>0</v>
      </c>
      <c r="BM35" s="3961">
        <f>BM36</f>
        <v>0</v>
      </c>
      <c r="BN35" s="3961"/>
      <c r="BO35" s="3999"/>
      <c r="BP35" s="4041">
        <f>BP36</f>
        <v>0</v>
      </c>
      <c r="BQ35" s="4041">
        <f>BQ36</f>
        <v>0</v>
      </c>
      <c r="BR35" s="3961">
        <f>BR36</f>
        <v>0</v>
      </c>
      <c r="BS35" s="3961"/>
      <c r="BT35" s="3999"/>
      <c r="BU35" s="4041">
        <f>BU36</f>
        <v>0</v>
      </c>
      <c r="BV35" s="4041">
        <f>BV36</f>
        <v>0</v>
      </c>
      <c r="BW35" s="3961">
        <f>BW36</f>
        <v>0</v>
      </c>
      <c r="BX35" s="3961"/>
      <c r="BY35" s="3999"/>
      <c r="BZ35" s="4041">
        <f>BZ36</f>
        <v>0</v>
      </c>
      <c r="CA35" s="4041">
        <f>CA36</f>
        <v>0</v>
      </c>
      <c r="CB35" s="3961">
        <f>CB36</f>
        <v>0</v>
      </c>
      <c r="CC35" s="3961"/>
      <c r="CD35" s="3999"/>
      <c r="CE35" s="4041">
        <f>CE36</f>
        <v>0</v>
      </c>
      <c r="CF35" s="4041">
        <f>CF36</f>
        <v>0</v>
      </c>
      <c r="CG35" s="3961">
        <f>CG36</f>
        <v>0</v>
      </c>
      <c r="CH35" s="3961"/>
      <c r="CI35" s="3999"/>
      <c r="CJ35" s="4041">
        <f>CJ36</f>
        <v>0</v>
      </c>
      <c r="CK35" s="4041">
        <f>CK36</f>
        <v>0</v>
      </c>
      <c r="CL35" s="3961">
        <f>CL36</f>
        <v>0</v>
      </c>
      <c r="CM35" s="3961"/>
      <c r="CN35" s="3961"/>
      <c r="CP35" s="3961">
        <f>CP36</f>
        <v>0</v>
      </c>
      <c r="CQ35" s="3961">
        <f>CQ36</f>
        <v>0</v>
      </c>
      <c r="CR35" s="4000">
        <f>CR36</f>
        <v>0</v>
      </c>
      <c r="CT35" s="2624"/>
    </row>
    <row r="36" spans="1:98" s="1396" customFormat="1" ht="13.8" outlineLevel="3">
      <c r="A36" s="1571"/>
      <c r="B36" s="4042" t="s">
        <v>81</v>
      </c>
      <c r="C36" s="3341"/>
      <c r="D36" s="3341"/>
      <c r="E36" s="2012">
        <f>C36+D36*1</f>
        <v>0</v>
      </c>
      <c r="F36" s="3986" t="e">
        <f>E36/$E$89</f>
        <v>#DIV/0!</v>
      </c>
      <c r="G36" s="4043"/>
      <c r="H36" s="3341"/>
      <c r="I36" s="3341"/>
      <c r="J36" s="2012">
        <f>H36+I36*1</f>
        <v>0</v>
      </c>
      <c r="K36" s="3986" t="e">
        <f t="shared" ref="K36" si="71">J36/J$89</f>
        <v>#DIV/0!</v>
      </c>
      <c r="L36" s="4043"/>
      <c r="M36" s="3341"/>
      <c r="N36" s="3341"/>
      <c r="O36" s="3349">
        <f t="shared" ref="O36" si="72">M36+N36</f>
        <v>0</v>
      </c>
      <c r="P36" s="3986">
        <f t="shared" ref="P36" si="73">O36/O$89</f>
        <v>0</v>
      </c>
      <c r="Q36" s="4043"/>
      <c r="R36" s="3342">
        <f t="shared" ref="R36:S36" si="74">M36+H36+C36</f>
        <v>0</v>
      </c>
      <c r="S36" s="3342">
        <f t="shared" si="74"/>
        <v>0</v>
      </c>
      <c r="T36" s="2012">
        <f t="shared" ref="T36" si="75">R36+S36</f>
        <v>0</v>
      </c>
      <c r="U36" s="3455"/>
      <c r="V36" s="3455"/>
      <c r="W36" s="3342">
        <f t="shared" ref="W36:X36" si="76">AB36+AG36+AL36+AV36+BA36+BF36+BK36+BP36+BU36+BZ36+CE36+AQ36</f>
        <v>0</v>
      </c>
      <c r="X36" s="3342">
        <f t="shared" si="76"/>
        <v>0</v>
      </c>
      <c r="Y36" s="2012">
        <f t="shared" ref="Y36" si="77">W36+X36</f>
        <v>0</v>
      </c>
      <c r="Z36" s="3455"/>
      <c r="AA36" s="3455"/>
      <c r="AB36" s="3341"/>
      <c r="AC36" s="3341"/>
      <c r="AD36" s="3349">
        <f t="shared" ref="AD36" si="78">AB36+AC36</f>
        <v>0</v>
      </c>
      <c r="AE36" s="3986">
        <f>AD36/AD$89</f>
        <v>0</v>
      </c>
      <c r="AF36" s="4043"/>
      <c r="AG36" s="3341"/>
      <c r="AH36" s="3341"/>
      <c r="AI36" s="3349">
        <f t="shared" ref="AI36" si="79">AG36+AH36</f>
        <v>0</v>
      </c>
      <c r="AJ36" s="3986">
        <f>AI36/AI$89</f>
        <v>0</v>
      </c>
      <c r="AK36" s="4043"/>
      <c r="AL36" s="3341"/>
      <c r="AM36" s="3341"/>
      <c r="AN36" s="3349">
        <f t="shared" ref="AN36" si="80">AL36+AM36</f>
        <v>0</v>
      </c>
      <c r="AO36" s="3986" t="e">
        <f>AN36/AN$89</f>
        <v>#DIV/0!</v>
      </c>
      <c r="AP36" s="4043"/>
      <c r="AQ36" s="3341"/>
      <c r="AR36" s="3341"/>
      <c r="AS36" s="3349">
        <f t="shared" ref="AS36" si="81">AQ36+AR36</f>
        <v>0</v>
      </c>
      <c r="AT36" s="3986" t="e">
        <f>AS36/AS$89</f>
        <v>#DIV/0!</v>
      </c>
      <c r="AU36" s="4043"/>
      <c r="AV36" s="3341"/>
      <c r="AW36" s="3341"/>
      <c r="AX36" s="3349">
        <f t="shared" ref="AX36" si="82">AV36+AW36</f>
        <v>0</v>
      </c>
      <c r="AY36" s="3986" t="e">
        <f>AX36/AX$89</f>
        <v>#DIV/0!</v>
      </c>
      <c r="AZ36" s="4043"/>
      <c r="BA36" s="3341"/>
      <c r="BB36" s="3341"/>
      <c r="BC36" s="3349">
        <f t="shared" ref="BC36" si="83">BA36+BB36</f>
        <v>0</v>
      </c>
      <c r="BD36" s="3986" t="e">
        <f>BC36/BC$89</f>
        <v>#DIV/0!</v>
      </c>
      <c r="BE36" s="4043"/>
      <c r="BF36" s="3341"/>
      <c r="BG36" s="3341"/>
      <c r="BH36" s="3349">
        <f t="shared" ref="BH36" si="84">BF36+BG36</f>
        <v>0</v>
      </c>
      <c r="BI36" s="3986" t="e">
        <f>BH36/BH$89</f>
        <v>#DIV/0!</v>
      </c>
      <c r="BJ36" s="4043"/>
      <c r="BK36" s="3341"/>
      <c r="BL36" s="3341"/>
      <c r="BM36" s="3349">
        <f t="shared" ref="BM36" si="85">BK36+BL36</f>
        <v>0</v>
      </c>
      <c r="BN36" s="3986" t="e">
        <f>BM36/BM$89</f>
        <v>#DIV/0!</v>
      </c>
      <c r="BO36" s="4043"/>
      <c r="BP36" s="3341"/>
      <c r="BQ36" s="3341"/>
      <c r="BR36" s="3349">
        <f t="shared" ref="BR36" si="86">BP36+BQ36</f>
        <v>0</v>
      </c>
      <c r="BS36" s="3986" t="e">
        <f>BR36/BR$89</f>
        <v>#DIV/0!</v>
      </c>
      <c r="BT36" s="4043"/>
      <c r="BU36" s="3341"/>
      <c r="BV36" s="3341"/>
      <c r="BW36" s="3349">
        <f t="shared" ref="BW36" si="87">BU36+BV36</f>
        <v>0</v>
      </c>
      <c r="BX36" s="3986" t="e">
        <f>BW36/BW$89</f>
        <v>#DIV/0!</v>
      </c>
      <c r="BY36" s="4043"/>
      <c r="BZ36" s="3341"/>
      <c r="CA36" s="3341"/>
      <c r="CB36" s="3349">
        <f t="shared" ref="CB36" si="88">BZ36+CA36</f>
        <v>0</v>
      </c>
      <c r="CC36" s="3986" t="e">
        <f>CB36/CB$89</f>
        <v>#DIV/0!</v>
      </c>
      <c r="CD36" s="4043"/>
      <c r="CE36" s="3341"/>
      <c r="CF36" s="3341"/>
      <c r="CG36" s="3349">
        <f t="shared" ref="CG36" si="89">CE36+CF36</f>
        <v>0</v>
      </c>
      <c r="CH36" s="3986" t="e">
        <f>CG36/CG$89</f>
        <v>#DIV/0!</v>
      </c>
      <c r="CI36" s="4043"/>
      <c r="CJ36" s="3341">
        <f t="shared" ref="CJ36:CK36" si="90">C36+H36+M36+W36</f>
        <v>0</v>
      </c>
      <c r="CK36" s="3341">
        <f t="shared" si="90"/>
        <v>0</v>
      </c>
      <c r="CL36" s="2012">
        <f>CJ36+CK36*1</f>
        <v>0</v>
      </c>
      <c r="CM36" s="3986">
        <f>CL36/$CL$89</f>
        <v>0</v>
      </c>
      <c r="CN36" s="4044"/>
      <c r="CP36" s="2012"/>
      <c r="CQ36" s="2012">
        <f t="shared" ref="CQ36" si="91">CL36</f>
        <v>0</v>
      </c>
      <c r="CR36" s="4035">
        <f t="shared" ref="CR36" si="92">CP36-CQ36</f>
        <v>0</v>
      </c>
      <c r="CT36" s="3443"/>
    </row>
    <row r="37" spans="1:98" s="1396" customFormat="1" ht="14.4" outlineLevel="1" thickBot="1">
      <c r="A37" s="1398"/>
      <c r="B37" s="4001"/>
      <c r="C37" s="3341"/>
      <c r="D37" s="3341"/>
      <c r="E37" s="4002"/>
      <c r="F37" s="4002"/>
      <c r="G37" s="4003"/>
      <c r="H37" s="3341"/>
      <c r="I37" s="3341"/>
      <c r="J37" s="4002"/>
      <c r="K37" s="4002"/>
      <c r="L37" s="4003"/>
      <c r="M37" s="3341"/>
      <c r="N37" s="3341"/>
      <c r="O37" s="4002"/>
      <c r="P37" s="4002"/>
      <c r="Q37" s="4003"/>
      <c r="R37" s="3456"/>
      <c r="S37" s="3456"/>
      <c r="T37" s="3456"/>
      <c r="U37" s="3456"/>
      <c r="V37" s="3456"/>
      <c r="W37" s="3342">
        <f t="shared" ref="W37:X37" si="93">AB37+AG37+AL37+AV37+BA37+BF37+BK37+BP37+BU37+BZ37+CE37</f>
        <v>0</v>
      </c>
      <c r="X37" s="3342">
        <f t="shared" si="93"/>
        <v>0</v>
      </c>
      <c r="Y37" s="3456"/>
      <c r="Z37" s="3456"/>
      <c r="AA37" s="3456"/>
      <c r="AB37" s="3341"/>
      <c r="AC37" s="3341"/>
      <c r="AD37" s="4002"/>
      <c r="AE37" s="4002"/>
      <c r="AF37" s="4003"/>
      <c r="AG37" s="3341"/>
      <c r="AH37" s="3341"/>
      <c r="AI37" s="4002"/>
      <c r="AJ37" s="4002"/>
      <c r="AK37" s="4003"/>
      <c r="AL37" s="3341"/>
      <c r="AM37" s="3341"/>
      <c r="AN37" s="4002"/>
      <c r="AO37" s="4002"/>
      <c r="AP37" s="4003"/>
      <c r="AQ37" s="3341"/>
      <c r="AR37" s="3341"/>
      <c r="AS37" s="4002"/>
      <c r="AT37" s="4002"/>
      <c r="AU37" s="4003"/>
      <c r="AV37" s="3341"/>
      <c r="AW37" s="3341"/>
      <c r="AX37" s="4002"/>
      <c r="AY37" s="4002"/>
      <c r="AZ37" s="4003"/>
      <c r="BA37" s="3341"/>
      <c r="BB37" s="3341"/>
      <c r="BC37" s="4002"/>
      <c r="BD37" s="4002"/>
      <c r="BE37" s="4003"/>
      <c r="BF37" s="3341"/>
      <c r="BG37" s="3341"/>
      <c r="BH37" s="4002"/>
      <c r="BI37" s="4002"/>
      <c r="BJ37" s="4003"/>
      <c r="BK37" s="3341"/>
      <c r="BL37" s="3341"/>
      <c r="BM37" s="4002"/>
      <c r="BN37" s="4002"/>
      <c r="BO37" s="4003"/>
      <c r="BP37" s="3341"/>
      <c r="BQ37" s="3341"/>
      <c r="BR37" s="4002"/>
      <c r="BS37" s="4002"/>
      <c r="BT37" s="4003"/>
      <c r="BU37" s="3341"/>
      <c r="BV37" s="3341"/>
      <c r="BW37" s="4002"/>
      <c r="BX37" s="4002"/>
      <c r="BY37" s="4003"/>
      <c r="BZ37" s="3341"/>
      <c r="CA37" s="3341"/>
      <c r="CB37" s="4002"/>
      <c r="CC37" s="4002"/>
      <c r="CD37" s="4003"/>
      <c r="CE37" s="3341"/>
      <c r="CF37" s="3341"/>
      <c r="CG37" s="4002"/>
      <c r="CH37" s="4002"/>
      <c r="CI37" s="4003"/>
      <c r="CJ37" s="3341"/>
      <c r="CK37" s="3341"/>
      <c r="CL37" s="4002"/>
      <c r="CM37" s="4002"/>
      <c r="CN37" s="4002"/>
      <c r="CP37" s="4004"/>
      <c r="CQ37" s="4004"/>
      <c r="CR37" s="4005"/>
      <c r="CT37" s="2624"/>
    </row>
    <row r="38" spans="1:98"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-17586.8</v>
      </c>
      <c r="O38" s="3749">
        <f>(O5)-(O8)</f>
        <v>-17586.8</v>
      </c>
      <c r="P38" s="3749"/>
      <c r="Q38" s="3750"/>
      <c r="R38" s="3749">
        <f>(R5)-(R8)</f>
        <v>0</v>
      </c>
      <c r="S38" s="3749">
        <f>(S5)-(S8)</f>
        <v>-17586.8</v>
      </c>
      <c r="T38" s="3749">
        <f>(T5)-(T8)</f>
        <v>-17586.8</v>
      </c>
      <c r="U38" s="3750"/>
      <c r="V38" s="3750"/>
      <c r="W38" s="3749">
        <f>(W5)-(W8)</f>
        <v>357309.61400000006</v>
      </c>
      <c r="X38" s="3749">
        <f>(X5)-(X8)</f>
        <v>-99028.885999999999</v>
      </c>
      <c r="Y38" s="3749">
        <f>(Y5)-(Y8)</f>
        <v>258280.728</v>
      </c>
      <c r="Z38" s="3750"/>
      <c r="AA38" s="3750"/>
      <c r="AB38" s="3749">
        <f>(AB5)-(AB8)</f>
        <v>-217304.24400000004</v>
      </c>
      <c r="AC38" s="3749">
        <f>(AC5)-(AC8)</f>
        <v>-94528.885999999999</v>
      </c>
      <c r="AD38" s="3749">
        <f>(AD5)-(AD8)</f>
        <v>-311833.13</v>
      </c>
      <c r="AE38" s="3749"/>
      <c r="AF38" s="3750"/>
      <c r="AG38" s="3749">
        <f>(AG5)-(AG8)</f>
        <v>574613.85800000001</v>
      </c>
      <c r="AH38" s="3749">
        <f>(AH5)-(AH8)</f>
        <v>-4500</v>
      </c>
      <c r="AI38" s="3749">
        <f>(AI5)-(AI8)</f>
        <v>570113.85800000001</v>
      </c>
      <c r="AJ38" s="3749"/>
      <c r="AK38" s="3750"/>
      <c r="AL38" s="3749">
        <f>(AL5)-(AL8)</f>
        <v>0</v>
      </c>
      <c r="AM38" s="3749">
        <f>(AM5)-(AM8)</f>
        <v>0</v>
      </c>
      <c r="AN38" s="3749">
        <f>(AN5)-(AN8)</f>
        <v>0</v>
      </c>
      <c r="AO38" s="3749"/>
      <c r="AP38" s="3750"/>
      <c r="AQ38" s="3749">
        <f>(AQ5)-(AQ8)</f>
        <v>0</v>
      </c>
      <c r="AR38" s="3749">
        <f>(AR5)-(AR8)</f>
        <v>0</v>
      </c>
      <c r="AS38" s="3749">
        <f>(AS5)-(AS8)</f>
        <v>0</v>
      </c>
      <c r="AT38" s="3749"/>
      <c r="AU38" s="3750"/>
      <c r="AV38" s="3749">
        <f>(AV5)-(AV8)</f>
        <v>0</v>
      </c>
      <c r="AW38" s="3749">
        <f>(AW5)-(AW8)</f>
        <v>0</v>
      </c>
      <c r="AX38" s="3749">
        <f>(AX5)-(AX8)</f>
        <v>0</v>
      </c>
      <c r="AY38" s="3749"/>
      <c r="AZ38" s="3750"/>
      <c r="BA38" s="3749">
        <f>(BA5)-(BA8)</f>
        <v>0</v>
      </c>
      <c r="BB38" s="3749">
        <f>(BB5)-(BB8)</f>
        <v>0</v>
      </c>
      <c r="BC38" s="3749">
        <f>(BC5)-(BC8)</f>
        <v>0</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367267.60400000005</v>
      </c>
      <c r="CK38" s="3751">
        <f>(CK5)-(CK8)</f>
        <v>-116615.686</v>
      </c>
      <c r="CL38" s="3751">
        <f>(CL5)-(CL8)</f>
        <v>250651.91800000006</v>
      </c>
      <c r="CM38" s="3749"/>
      <c r="CN38" s="3749"/>
      <c r="CP38" s="3749">
        <f>(CP5)-(CP8)</f>
        <v>345557.73419999995</v>
      </c>
      <c r="CQ38" s="3760">
        <f>(CQ5)-(CQ8)</f>
        <v>250651.91800000006</v>
      </c>
      <c r="CR38" s="3749">
        <f>(CR5)-(CR8)</f>
        <v>94905.816199999899</v>
      </c>
      <c r="CT38" s="3761"/>
    </row>
    <row r="39" spans="1:98"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2003">
        <f>IFERROR(AB38/(AB5),0)</f>
        <v>0</v>
      </c>
      <c r="AC39" s="2003">
        <f>IFERROR(AC38/(AC5),0)</f>
        <v>0</v>
      </c>
      <c r="AD39" s="2004">
        <f>IFERROR(AD38/(AD5),0)</f>
        <v>0</v>
      </c>
      <c r="AE39" s="2004"/>
      <c r="AF39" s="1056"/>
      <c r="AG39" s="2003">
        <f>IFERROR(AG38/(AG5),0)</f>
        <v>0.8357462872183018</v>
      </c>
      <c r="AH39" s="2003">
        <f>IFERROR(AH38/(AH5),0)</f>
        <v>0</v>
      </c>
      <c r="AI39" s="2004">
        <f>IFERROR(AI38/(AI5),0)</f>
        <v>0.82920126878527545</v>
      </c>
      <c r="AJ39" s="2004"/>
      <c r="AK39" s="1056"/>
      <c r="AL39" s="2003">
        <f>IFERROR(AL38/(AL5),0)</f>
        <v>0</v>
      </c>
      <c r="AM39" s="2003">
        <f>IFERROR(AM38/(AM5),0)</f>
        <v>0</v>
      </c>
      <c r="AN39" s="2004">
        <f>IFERROR(AN38/(AN5),0)</f>
        <v>0</v>
      </c>
      <c r="AO39" s="2004"/>
      <c r="AP39" s="1056"/>
      <c r="AQ39" s="2003">
        <f>IFERROR(AQ38/(AQ5),0)</f>
        <v>0</v>
      </c>
      <c r="AR39" s="2003">
        <f>IFERROR(AR38/(AR5),0)</f>
        <v>0</v>
      </c>
      <c r="AS39" s="2004">
        <f>IFERROR(AS38/(AS5),0)</f>
        <v>0</v>
      </c>
      <c r="AT39" s="2004"/>
      <c r="AU39" s="1056"/>
      <c r="AV39" s="2003">
        <f>IFERROR(AV38/(AV5),0)</f>
        <v>0</v>
      </c>
      <c r="AW39" s="2003">
        <f>IFERROR(AW38/(AW5),0)</f>
        <v>0</v>
      </c>
      <c r="AX39" s="2004">
        <f>IFERROR(AX38/(AX5),0)</f>
        <v>0</v>
      </c>
      <c r="AY39" s="2004"/>
      <c r="AZ39" s="1056"/>
      <c r="BA39" s="2003">
        <f>IFERROR(BA38/(BA5),0)</f>
        <v>0</v>
      </c>
      <c r="BB39" s="2003">
        <f>IFERROR(BB38/(BB5),0)</f>
        <v>0</v>
      </c>
      <c r="BC39" s="2004">
        <f>IFERROR(BC38/(BC5),0)</f>
        <v>0</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0.53417183067408991</v>
      </c>
      <c r="CK39" s="2003">
        <f>IFERROR(CK38/(CK5),0)</f>
        <v>0</v>
      </c>
      <c r="CL39" s="2004">
        <f>IFERROR(CL38/(CL5),0)</f>
        <v>0.36456031635186614</v>
      </c>
      <c r="CM39" s="2004"/>
      <c r="CN39" s="2004"/>
      <c r="CP39" s="2004">
        <f>CP38/(CP5)</f>
        <v>0.4910365178865928</v>
      </c>
      <c r="CQ39" s="2004">
        <f>IFERROR(CQ38/(CQ5),0)</f>
        <v>0.36456031635186614</v>
      </c>
      <c r="CR39" s="2004">
        <f>CR38/(CR5)</f>
        <v>5.8636599096269553</v>
      </c>
    </row>
    <row r="40" spans="1:98" ht="14.4" outlineLevel="1" thickBot="1">
      <c r="A40" s="1567"/>
      <c r="B40" s="4006"/>
      <c r="C40" s="4007"/>
      <c r="D40" s="4007"/>
      <c r="E40" s="4007"/>
      <c r="F40" s="4007"/>
      <c r="G40" s="4008"/>
      <c r="H40" s="4007"/>
      <c r="I40" s="4007"/>
      <c r="J40" s="4007"/>
      <c r="K40" s="4007"/>
      <c r="L40" s="4008"/>
      <c r="M40" s="4007"/>
      <c r="N40" s="4007"/>
      <c r="O40" s="4007"/>
      <c r="P40" s="4007"/>
      <c r="Q40" s="4008"/>
      <c r="R40" s="4008"/>
      <c r="S40" s="4008"/>
      <c r="T40" s="4008"/>
      <c r="U40" s="4008"/>
      <c r="V40" s="4008"/>
      <c r="W40" s="4008"/>
      <c r="X40" s="4008"/>
      <c r="Y40" s="4008"/>
      <c r="Z40" s="4008"/>
      <c r="AA40" s="4008"/>
      <c r="AB40" s="4007"/>
      <c r="AC40" s="4007"/>
      <c r="AD40" s="4007"/>
      <c r="AE40" s="4007"/>
      <c r="AF40" s="4008"/>
      <c r="AG40" s="4007"/>
      <c r="AH40" s="4007"/>
      <c r="AI40" s="4007"/>
      <c r="AJ40" s="4007"/>
      <c r="AK40" s="4008"/>
      <c r="AL40" s="4007"/>
      <c r="AM40" s="4007"/>
      <c r="AN40" s="4007"/>
      <c r="AO40" s="4007"/>
      <c r="AP40" s="4008"/>
      <c r="AQ40" s="4007"/>
      <c r="AR40" s="4007"/>
      <c r="AS40" s="4007"/>
      <c r="AT40" s="4007"/>
      <c r="AU40" s="4008"/>
      <c r="AV40" s="4007"/>
      <c r="AW40" s="4007"/>
      <c r="AX40" s="4007"/>
      <c r="AY40" s="4007"/>
      <c r="AZ40" s="4008"/>
      <c r="BA40" s="4007"/>
      <c r="BB40" s="4007"/>
      <c r="BC40" s="4007"/>
      <c r="BD40" s="4007"/>
      <c r="BE40" s="4008"/>
      <c r="BF40" s="4007"/>
      <c r="BG40" s="4007"/>
      <c r="BH40" s="4007"/>
      <c r="BI40" s="4007"/>
      <c r="BJ40" s="4008"/>
      <c r="BK40" s="4007"/>
      <c r="BL40" s="4007"/>
      <c r="BM40" s="4007"/>
      <c r="BN40" s="4007"/>
      <c r="BO40" s="4008"/>
      <c r="BP40" s="4007"/>
      <c r="BQ40" s="4007"/>
      <c r="BR40" s="4007"/>
      <c r="BS40" s="4007"/>
      <c r="BT40" s="4008"/>
      <c r="BU40" s="4007"/>
      <c r="BV40" s="4007"/>
      <c r="BW40" s="4007"/>
      <c r="BX40" s="4007"/>
      <c r="BY40" s="4008"/>
      <c r="BZ40" s="4007"/>
      <c r="CA40" s="4007"/>
      <c r="CB40" s="4007"/>
      <c r="CC40" s="4007"/>
      <c r="CD40" s="4008"/>
      <c r="CE40" s="4007"/>
      <c r="CF40" s="4007"/>
      <c r="CG40" s="4007"/>
      <c r="CH40" s="4007"/>
      <c r="CI40" s="4008"/>
      <c r="CJ40" s="4007"/>
      <c r="CK40" s="4007"/>
      <c r="CL40" s="4007"/>
      <c r="CM40" s="4007"/>
      <c r="CN40" s="4007"/>
      <c r="CP40" s="4009"/>
      <c r="CQ40" s="4009"/>
      <c r="CR40" s="4009"/>
    </row>
    <row r="41" spans="1:98" ht="13.8" outlineLevel="1">
      <c r="A41" s="1405"/>
      <c r="B41" s="1415" t="s">
        <v>26</v>
      </c>
      <c r="C41" s="2013">
        <f>SUM(C42:C48)</f>
        <v>0</v>
      </c>
      <c r="D41" s="2013">
        <f>SUM(D42:D48)</f>
        <v>0</v>
      </c>
      <c r="E41" s="2014">
        <f>SUM(E42:E48)</f>
        <v>0</v>
      </c>
      <c r="F41" s="3988" t="e">
        <f>E41/$E$89</f>
        <v>#DIV/0!</v>
      </c>
      <c r="G41" s="1057"/>
      <c r="H41" s="2013">
        <f>SUM(H42:H48)</f>
        <v>0</v>
      </c>
      <c r="I41" s="2013">
        <f>SUM(I42:I48)</f>
        <v>0</v>
      </c>
      <c r="J41" s="2014">
        <f>SUM(J42:J48)</f>
        <v>0</v>
      </c>
      <c r="K41" s="3988" t="e">
        <f>J41/$E$89</f>
        <v>#DIV/0!</v>
      </c>
      <c r="L41" s="1057"/>
      <c r="M41" s="2013">
        <f>SUM(M42:M48)</f>
        <v>0</v>
      </c>
      <c r="N41" s="2013">
        <f>SUM(N42:N48)</f>
        <v>0</v>
      </c>
      <c r="O41" s="2014">
        <f>SUM(O42:O48)</f>
        <v>0</v>
      </c>
      <c r="P41" s="3988" t="e">
        <f>O41/$E$89</f>
        <v>#DIV/0!</v>
      </c>
      <c r="Q41" s="1057"/>
      <c r="R41" s="2013">
        <f>SUM(R42:R48)</f>
        <v>0</v>
      </c>
      <c r="S41" s="2013">
        <f>SUM(S42:S48)</f>
        <v>0</v>
      </c>
      <c r="T41" s="2014">
        <f>SUM(T42:T48)</f>
        <v>0</v>
      </c>
      <c r="U41" s="3988"/>
      <c r="V41" s="3460"/>
      <c r="W41" s="2013">
        <f>SUM(W42:W48)</f>
        <v>0</v>
      </c>
      <c r="X41" s="2013">
        <f>SUM(X42:X48)</f>
        <v>0</v>
      </c>
      <c r="Y41" s="2014">
        <f>SUM(Y42:Y48)</f>
        <v>0</v>
      </c>
      <c r="Z41" s="3988"/>
      <c r="AA41" s="3460"/>
      <c r="AB41" s="2013">
        <f>SUM(AB42:AB48)</f>
        <v>0</v>
      </c>
      <c r="AC41" s="2013">
        <f>SUM(AC42:AC48)</f>
        <v>0</v>
      </c>
      <c r="AD41" s="2014">
        <f>SUM(AD42:AD48)</f>
        <v>0</v>
      </c>
      <c r="AE41" s="3988"/>
      <c r="AF41" s="1057"/>
      <c r="AG41" s="2013">
        <f>SUM(AG42:AG48)</f>
        <v>0</v>
      </c>
      <c r="AH41" s="2013">
        <f>SUM(AH42:AH48)</f>
        <v>0</v>
      </c>
      <c r="AI41" s="2014">
        <f>SUM(AI42:AI48)</f>
        <v>0</v>
      </c>
      <c r="AJ41" s="3988"/>
      <c r="AK41" s="1057"/>
      <c r="AL41" s="2013">
        <f>SUM(AL42:AL48)</f>
        <v>0</v>
      </c>
      <c r="AM41" s="2013">
        <f>SUM(AM42:AM48)</f>
        <v>0</v>
      </c>
      <c r="AN41" s="2014">
        <f>SUM(AN42:AN48)</f>
        <v>0</v>
      </c>
      <c r="AO41" s="3988"/>
      <c r="AP41" s="1057"/>
      <c r="AQ41" s="2013">
        <f>SUM(AQ42:AQ48)</f>
        <v>0</v>
      </c>
      <c r="AR41" s="2013">
        <f>SUM(AR42:AR48)</f>
        <v>0</v>
      </c>
      <c r="AS41" s="2014">
        <f>SUM(AS42:AS48)</f>
        <v>0</v>
      </c>
      <c r="AT41" s="3988"/>
      <c r="AU41" s="1057"/>
      <c r="AV41" s="2013">
        <f>SUM(AV42:AV48)</f>
        <v>0</v>
      </c>
      <c r="AW41" s="2013">
        <f>SUM(AW42:AW48)</f>
        <v>0</v>
      </c>
      <c r="AX41" s="2014">
        <f>SUM(AX42:AX48)</f>
        <v>0</v>
      </c>
      <c r="AY41" s="3988"/>
      <c r="AZ41" s="1057"/>
      <c r="BA41" s="2013">
        <f>SUM(BA42:BA48)</f>
        <v>0</v>
      </c>
      <c r="BB41" s="2013">
        <f>SUM(BB42:BB48)</f>
        <v>0</v>
      </c>
      <c r="BC41" s="2014">
        <f>SUM(BC42:BC48)</f>
        <v>0</v>
      </c>
      <c r="BD41" s="3988"/>
      <c r="BE41" s="1057"/>
      <c r="BF41" s="2013">
        <f>SUM(BF42:BF48)</f>
        <v>0</v>
      </c>
      <c r="BG41" s="2013">
        <f>SUM(BG42:BG48)</f>
        <v>0</v>
      </c>
      <c r="BH41" s="2014">
        <f>SUM(BH42:BH48)</f>
        <v>0</v>
      </c>
      <c r="BI41" s="3988"/>
      <c r="BJ41" s="1057"/>
      <c r="BK41" s="2013">
        <f>SUM(BK42:BK48)</f>
        <v>0</v>
      </c>
      <c r="BL41" s="2013">
        <f>SUM(BL42:BL48)</f>
        <v>0</v>
      </c>
      <c r="BM41" s="2014">
        <f>SUM(BM42:BM48)</f>
        <v>0</v>
      </c>
      <c r="BN41" s="3988"/>
      <c r="BO41" s="1057"/>
      <c r="BP41" s="2013">
        <f>SUM(BP42:BP48)</f>
        <v>0</v>
      </c>
      <c r="BQ41" s="2013">
        <f>SUM(BQ42:BQ48)</f>
        <v>0</v>
      </c>
      <c r="BR41" s="2014">
        <f>SUM(BR42:BR48)</f>
        <v>0</v>
      </c>
      <c r="BS41" s="3988"/>
      <c r="BT41" s="1057"/>
      <c r="BU41" s="2013">
        <f>SUM(BU42:BU48)</f>
        <v>0</v>
      </c>
      <c r="BV41" s="2013">
        <f>SUM(BV42:BV48)</f>
        <v>0</v>
      </c>
      <c r="BW41" s="2014">
        <f>SUM(BW42:BW48)</f>
        <v>0</v>
      </c>
      <c r="BX41" s="3988"/>
      <c r="BY41" s="1057"/>
      <c r="BZ41" s="2013">
        <f>SUM(BZ42:BZ48)</f>
        <v>0</v>
      </c>
      <c r="CA41" s="2013">
        <f>SUM(CA42:CA48)</f>
        <v>0</v>
      </c>
      <c r="CB41" s="2014">
        <f>SUM(CB42:CB48)</f>
        <v>0</v>
      </c>
      <c r="CC41" s="3988"/>
      <c r="CD41" s="1057"/>
      <c r="CE41" s="2013">
        <f>SUM(CE42:CE48)</f>
        <v>0</v>
      </c>
      <c r="CF41" s="2013">
        <f>SUM(CF42:CF48)</f>
        <v>0</v>
      </c>
      <c r="CG41" s="2014">
        <f>SUM(CG42:CG48)</f>
        <v>0</v>
      </c>
      <c r="CH41" s="3988"/>
      <c r="CI41" s="1057"/>
      <c r="CJ41" s="2013">
        <f>SUM(CJ42:CJ48)</f>
        <v>0</v>
      </c>
      <c r="CK41" s="2013">
        <f>SUM(CK42:CK48)</f>
        <v>0</v>
      </c>
      <c r="CL41" s="2014">
        <f>SUM(CL42:CL48)</f>
        <v>0</v>
      </c>
      <c r="CM41" s="3988">
        <f t="shared" ref="CM41:CM49" si="94">CL41/$CL$89</f>
        <v>0</v>
      </c>
      <c r="CN41" s="2006"/>
      <c r="CP41" s="2014">
        <f>SUM(CP42:CP48)</f>
        <v>0</v>
      </c>
      <c r="CQ41" s="2014">
        <f>SUM(CQ42:CQ48)</f>
        <v>0</v>
      </c>
      <c r="CR41" s="2014"/>
    </row>
    <row r="42" spans="1:98" ht="13.8" outlineLevel="2">
      <c r="A42" s="4833"/>
      <c r="B42" s="4045" t="s">
        <v>7</v>
      </c>
      <c r="C42" s="3341"/>
      <c r="D42" s="3341"/>
      <c r="E42" s="3349">
        <f t="shared" ref="E42:E48" si="95">C42+D42</f>
        <v>0</v>
      </c>
      <c r="F42" s="3986" t="e">
        <f t="shared" ref="F42:F48" si="96">E42/$E$89</f>
        <v>#DIV/0!</v>
      </c>
      <c r="G42" s="4046"/>
      <c r="H42" s="3341"/>
      <c r="I42" s="3341"/>
      <c r="J42" s="3349">
        <f t="shared" ref="J42:J48" si="97">H42+I42</f>
        <v>0</v>
      </c>
      <c r="K42" s="3986" t="e">
        <f t="shared" ref="K42:K48" si="98">J42/J$89</f>
        <v>#DIV/0!</v>
      </c>
      <c r="L42" s="4046"/>
      <c r="M42" s="3341"/>
      <c r="N42" s="3341"/>
      <c r="O42" s="3349">
        <f t="shared" ref="O42:O48" si="99">M42+N42</f>
        <v>0</v>
      </c>
      <c r="P42" s="3986">
        <f t="shared" ref="P42:P48" si="100">O42/O$89</f>
        <v>0</v>
      </c>
      <c r="Q42" s="4046"/>
      <c r="R42" s="3342">
        <f t="shared" ref="R42:S48" si="101">M42+H42+C42</f>
        <v>0</v>
      </c>
      <c r="S42" s="3342">
        <f t="shared" si="101"/>
        <v>0</v>
      </c>
      <c r="T42" s="2012">
        <f t="shared" ref="T42:T48" si="102">R42+S42</f>
        <v>0</v>
      </c>
      <c r="U42" s="3462"/>
      <c r="V42" s="3462"/>
      <c r="W42" s="3342">
        <f t="shared" ref="W42:X48" si="103">AB42+AG42+AL42+AV42+BA42+BF42+BK42+BP42+BU42+BZ42+CE42+AQ42</f>
        <v>0</v>
      </c>
      <c r="X42" s="3342">
        <f t="shared" si="103"/>
        <v>0</v>
      </c>
      <c r="Y42" s="2012">
        <f t="shared" ref="Y42:Y48" si="104">W42+X42</f>
        <v>0</v>
      </c>
      <c r="Z42" s="3462"/>
      <c r="AA42" s="3462"/>
      <c r="AB42" s="3341"/>
      <c r="AC42" s="3341"/>
      <c r="AD42" s="3349">
        <f t="shared" ref="AD42:AD48" si="105">AB42+AC42</f>
        <v>0</v>
      </c>
      <c r="AE42" s="3986">
        <f t="shared" ref="AE42:AE49" si="106">AD42/AD$89</f>
        <v>0</v>
      </c>
      <c r="AF42" s="4046"/>
      <c r="AG42" s="3341"/>
      <c r="AH42" s="3341"/>
      <c r="AI42" s="3349">
        <f t="shared" ref="AI42:AI48" si="107">AG42+AH42</f>
        <v>0</v>
      </c>
      <c r="AJ42" s="3986">
        <f t="shared" ref="AJ42:AJ49" si="108">AI42/AI$89</f>
        <v>0</v>
      </c>
      <c r="AK42" s="4046"/>
      <c r="AL42" s="3341"/>
      <c r="AM42" s="3341"/>
      <c r="AN42" s="3349">
        <f t="shared" ref="AN42:AN48" si="109">AL42+AM42</f>
        <v>0</v>
      </c>
      <c r="AO42" s="3986" t="e">
        <f t="shared" ref="AO42:AO49" si="110">AN42/AN$89</f>
        <v>#DIV/0!</v>
      </c>
      <c r="AP42" s="4046"/>
      <c r="AQ42" s="3341"/>
      <c r="AR42" s="3341"/>
      <c r="AS42" s="3349">
        <f t="shared" ref="AS42:AS48" si="111">AQ42+AR42</f>
        <v>0</v>
      </c>
      <c r="AT42" s="3986" t="e">
        <f t="shared" ref="AT42:AT49" si="112">AS42/AS$89</f>
        <v>#DIV/0!</v>
      </c>
      <c r="AU42" s="4046"/>
      <c r="AV42" s="3341"/>
      <c r="AW42" s="3341"/>
      <c r="AX42" s="3349">
        <f t="shared" ref="AX42:AX48" si="113">AV42+AW42</f>
        <v>0</v>
      </c>
      <c r="AY42" s="3986" t="e">
        <f t="shared" ref="AY42:AY49" si="114">AX42/AX$89</f>
        <v>#DIV/0!</v>
      </c>
      <c r="AZ42" s="4046"/>
      <c r="BA42" s="3341"/>
      <c r="BB42" s="3341"/>
      <c r="BC42" s="3349">
        <f t="shared" ref="BC42:BC48" si="115">BA42+BB42</f>
        <v>0</v>
      </c>
      <c r="BD42" s="3986" t="e">
        <f t="shared" ref="BD42:BD49" si="116">BC42/BC$89</f>
        <v>#DIV/0!</v>
      </c>
      <c r="BE42" s="4046"/>
      <c r="BF42" s="3341"/>
      <c r="BG42" s="3341"/>
      <c r="BH42" s="3349">
        <f t="shared" ref="BH42:BH48" si="117">BF42+BG42</f>
        <v>0</v>
      </c>
      <c r="BI42" s="3986" t="e">
        <f t="shared" ref="BI42:BI49" si="118">BH42/BH$89</f>
        <v>#DIV/0!</v>
      </c>
      <c r="BJ42" s="4046"/>
      <c r="BK42" s="3341"/>
      <c r="BL42" s="3341"/>
      <c r="BM42" s="3349">
        <f t="shared" ref="BM42:BM48" si="119">BK42+BL42</f>
        <v>0</v>
      </c>
      <c r="BN42" s="3986" t="e">
        <f t="shared" ref="BN42:BN49" si="120">BM42/BM$89</f>
        <v>#DIV/0!</v>
      </c>
      <c r="BO42" s="4046"/>
      <c r="BP42" s="3341"/>
      <c r="BQ42" s="3341"/>
      <c r="BR42" s="3349">
        <f t="shared" ref="BR42:BR48" si="121">BP42+BQ42</f>
        <v>0</v>
      </c>
      <c r="BS42" s="3986" t="e">
        <f t="shared" ref="BS42:BS49" si="122">BR42/BR$89</f>
        <v>#DIV/0!</v>
      </c>
      <c r="BT42" s="4046"/>
      <c r="BU42" s="3341"/>
      <c r="BV42" s="3341"/>
      <c r="BW42" s="3349">
        <f t="shared" ref="BW42:BW48" si="123">BU42+BV42</f>
        <v>0</v>
      </c>
      <c r="BX42" s="3986" t="e">
        <f t="shared" ref="BX42:BX49" si="124">BW42/BW$89</f>
        <v>#DIV/0!</v>
      </c>
      <c r="BY42" s="4046"/>
      <c r="BZ42" s="3341"/>
      <c r="CA42" s="3341"/>
      <c r="CB42" s="3349">
        <f t="shared" ref="CB42:CB48" si="125">BZ42+CA42</f>
        <v>0</v>
      </c>
      <c r="CC42" s="3986" t="e">
        <f t="shared" ref="CC42:CC49" si="126">CB42/CB$89</f>
        <v>#DIV/0!</v>
      </c>
      <c r="CD42" s="4046"/>
      <c r="CE42" s="3341"/>
      <c r="CF42" s="3341"/>
      <c r="CG42" s="3349">
        <f t="shared" ref="CG42:CG48" si="127">CE42+CF42</f>
        <v>0</v>
      </c>
      <c r="CH42" s="3986" t="e">
        <f t="shared" ref="CH42:CH49" si="128">CG42/CG$89</f>
        <v>#DIV/0!</v>
      </c>
      <c r="CI42" s="4046"/>
      <c r="CJ42" s="3341">
        <f t="shared" ref="CJ42:CK48" si="129">C42+H42+M42+W42</f>
        <v>0</v>
      </c>
      <c r="CK42" s="3341">
        <f t="shared" si="129"/>
        <v>0</v>
      </c>
      <c r="CL42" s="2012">
        <f t="shared" ref="CL42:CL48" si="130">CJ42+CK42*1</f>
        <v>0</v>
      </c>
      <c r="CM42" s="3986">
        <f t="shared" si="94"/>
        <v>0</v>
      </c>
      <c r="CN42" s="3987"/>
      <c r="CP42" s="2012">
        <f t="shared" ref="CP42:CQ48" si="131">CN42+CO42*1</f>
        <v>0</v>
      </c>
      <c r="CQ42" s="2012">
        <f t="shared" si="131"/>
        <v>0</v>
      </c>
      <c r="CR42" s="4035"/>
    </row>
    <row r="43" spans="1:98" ht="13.8" outlineLevel="2">
      <c r="A43" s="4833"/>
      <c r="B43" s="4045" t="s">
        <v>27</v>
      </c>
      <c r="C43" s="3341"/>
      <c r="D43" s="3341"/>
      <c r="E43" s="3349">
        <f t="shared" si="95"/>
        <v>0</v>
      </c>
      <c r="F43" s="3986" t="e">
        <f t="shared" si="96"/>
        <v>#DIV/0!</v>
      </c>
      <c r="G43" s="4046"/>
      <c r="H43" s="3341"/>
      <c r="I43" s="3341"/>
      <c r="J43" s="3349">
        <f t="shared" si="97"/>
        <v>0</v>
      </c>
      <c r="K43" s="3986" t="e">
        <f t="shared" si="98"/>
        <v>#DIV/0!</v>
      </c>
      <c r="L43" s="4046"/>
      <c r="M43" s="3341"/>
      <c r="N43" s="3341"/>
      <c r="O43" s="3349">
        <f t="shared" si="99"/>
        <v>0</v>
      </c>
      <c r="P43" s="3986">
        <f t="shared" si="100"/>
        <v>0</v>
      </c>
      <c r="Q43" s="4046"/>
      <c r="R43" s="3342">
        <f t="shared" si="101"/>
        <v>0</v>
      </c>
      <c r="S43" s="3342">
        <f t="shared" si="101"/>
        <v>0</v>
      </c>
      <c r="T43" s="2012">
        <f t="shared" si="102"/>
        <v>0</v>
      </c>
      <c r="U43" s="3462"/>
      <c r="V43" s="3462"/>
      <c r="W43" s="3342">
        <f t="shared" si="103"/>
        <v>0</v>
      </c>
      <c r="X43" s="3342">
        <f t="shared" si="103"/>
        <v>0</v>
      </c>
      <c r="Y43" s="2012">
        <f t="shared" si="104"/>
        <v>0</v>
      </c>
      <c r="Z43" s="3462"/>
      <c r="AA43" s="3462"/>
      <c r="AB43" s="3341"/>
      <c r="AC43" s="3341"/>
      <c r="AD43" s="3349">
        <f t="shared" si="105"/>
        <v>0</v>
      </c>
      <c r="AE43" s="3986">
        <f t="shared" si="106"/>
        <v>0</v>
      </c>
      <c r="AF43" s="4046"/>
      <c r="AG43" s="3341"/>
      <c r="AH43" s="3341"/>
      <c r="AI43" s="3349">
        <f t="shared" si="107"/>
        <v>0</v>
      </c>
      <c r="AJ43" s="3986">
        <f t="shared" si="108"/>
        <v>0</v>
      </c>
      <c r="AK43" s="4046"/>
      <c r="AL43" s="3341"/>
      <c r="AM43" s="3341"/>
      <c r="AN43" s="3349">
        <f t="shared" si="109"/>
        <v>0</v>
      </c>
      <c r="AO43" s="3986" t="e">
        <f t="shared" si="110"/>
        <v>#DIV/0!</v>
      </c>
      <c r="AP43" s="4046"/>
      <c r="AQ43" s="3341"/>
      <c r="AR43" s="3341"/>
      <c r="AS43" s="3349">
        <f t="shared" si="111"/>
        <v>0</v>
      </c>
      <c r="AT43" s="3986" t="e">
        <f t="shared" si="112"/>
        <v>#DIV/0!</v>
      </c>
      <c r="AU43" s="4046"/>
      <c r="AV43" s="3341"/>
      <c r="AW43" s="3341"/>
      <c r="AX43" s="3349">
        <f t="shared" si="113"/>
        <v>0</v>
      </c>
      <c r="AY43" s="3986" t="e">
        <f t="shared" si="114"/>
        <v>#DIV/0!</v>
      </c>
      <c r="AZ43" s="4046"/>
      <c r="BA43" s="3341"/>
      <c r="BB43" s="3341"/>
      <c r="BC43" s="3349">
        <f t="shared" si="115"/>
        <v>0</v>
      </c>
      <c r="BD43" s="3986" t="e">
        <f t="shared" si="116"/>
        <v>#DIV/0!</v>
      </c>
      <c r="BE43" s="4046"/>
      <c r="BF43" s="3341"/>
      <c r="BG43" s="3341"/>
      <c r="BH43" s="3349">
        <f t="shared" si="117"/>
        <v>0</v>
      </c>
      <c r="BI43" s="3986" t="e">
        <f t="shared" si="118"/>
        <v>#DIV/0!</v>
      </c>
      <c r="BJ43" s="4046"/>
      <c r="BK43" s="3341"/>
      <c r="BL43" s="3341"/>
      <c r="BM43" s="3349">
        <f t="shared" si="119"/>
        <v>0</v>
      </c>
      <c r="BN43" s="3986" t="e">
        <f t="shared" si="120"/>
        <v>#DIV/0!</v>
      </c>
      <c r="BO43" s="4046"/>
      <c r="BP43" s="3341"/>
      <c r="BQ43" s="3341"/>
      <c r="BR43" s="3349">
        <f t="shared" si="121"/>
        <v>0</v>
      </c>
      <c r="BS43" s="3986" t="e">
        <f t="shared" si="122"/>
        <v>#DIV/0!</v>
      </c>
      <c r="BT43" s="4046"/>
      <c r="BU43" s="3341"/>
      <c r="BV43" s="3341"/>
      <c r="BW43" s="3349">
        <f t="shared" si="123"/>
        <v>0</v>
      </c>
      <c r="BX43" s="3986" t="e">
        <f t="shared" si="124"/>
        <v>#DIV/0!</v>
      </c>
      <c r="BY43" s="4046"/>
      <c r="BZ43" s="3341"/>
      <c r="CA43" s="3341"/>
      <c r="CB43" s="3349">
        <f t="shared" si="125"/>
        <v>0</v>
      </c>
      <c r="CC43" s="3986" t="e">
        <f t="shared" si="126"/>
        <v>#DIV/0!</v>
      </c>
      <c r="CD43" s="4046"/>
      <c r="CE43" s="3341"/>
      <c r="CF43" s="3341"/>
      <c r="CG43" s="3349">
        <f t="shared" si="127"/>
        <v>0</v>
      </c>
      <c r="CH43" s="3986" t="e">
        <f t="shared" si="128"/>
        <v>#DIV/0!</v>
      </c>
      <c r="CI43" s="4046"/>
      <c r="CJ43" s="3341">
        <f t="shared" si="129"/>
        <v>0</v>
      </c>
      <c r="CK43" s="3341">
        <f t="shared" si="129"/>
        <v>0</v>
      </c>
      <c r="CL43" s="2012">
        <f t="shared" si="130"/>
        <v>0</v>
      </c>
      <c r="CM43" s="3986">
        <f t="shared" si="94"/>
        <v>0</v>
      </c>
      <c r="CN43" s="3987"/>
      <c r="CP43" s="2012">
        <f t="shared" si="131"/>
        <v>0</v>
      </c>
      <c r="CQ43" s="2012">
        <f t="shared" si="131"/>
        <v>0</v>
      </c>
      <c r="CR43" s="4035"/>
    </row>
    <row r="44" spans="1:98" ht="13.8" outlineLevel="2">
      <c r="A44" s="4833"/>
      <c r="B44" s="4042" t="s">
        <v>28</v>
      </c>
      <c r="C44" s="3341"/>
      <c r="D44" s="3341"/>
      <c r="E44" s="3349">
        <f t="shared" si="95"/>
        <v>0</v>
      </c>
      <c r="F44" s="3986" t="e">
        <f t="shared" si="96"/>
        <v>#DIV/0!</v>
      </c>
      <c r="G44" s="4046"/>
      <c r="H44" s="3341"/>
      <c r="I44" s="3341"/>
      <c r="J44" s="3349">
        <f t="shared" si="97"/>
        <v>0</v>
      </c>
      <c r="K44" s="3986" t="e">
        <f t="shared" si="98"/>
        <v>#DIV/0!</v>
      </c>
      <c r="L44" s="4046"/>
      <c r="M44" s="3341"/>
      <c r="N44" s="3341"/>
      <c r="O44" s="3349">
        <f t="shared" si="99"/>
        <v>0</v>
      </c>
      <c r="P44" s="3986">
        <f t="shared" si="100"/>
        <v>0</v>
      </c>
      <c r="Q44" s="4046"/>
      <c r="R44" s="3342">
        <f t="shared" si="101"/>
        <v>0</v>
      </c>
      <c r="S44" s="3342">
        <f t="shared" si="101"/>
        <v>0</v>
      </c>
      <c r="T44" s="2012">
        <f t="shared" si="102"/>
        <v>0</v>
      </c>
      <c r="U44" s="3462"/>
      <c r="V44" s="3462"/>
      <c r="W44" s="3342">
        <f t="shared" si="103"/>
        <v>0</v>
      </c>
      <c r="X44" s="3342">
        <f t="shared" si="103"/>
        <v>0</v>
      </c>
      <c r="Y44" s="2012">
        <f t="shared" si="104"/>
        <v>0</v>
      </c>
      <c r="Z44" s="3462"/>
      <c r="AA44" s="3462"/>
      <c r="AB44" s="3341"/>
      <c r="AC44" s="3341"/>
      <c r="AD44" s="3349">
        <f t="shared" si="105"/>
        <v>0</v>
      </c>
      <c r="AE44" s="3986">
        <f t="shared" si="106"/>
        <v>0</v>
      </c>
      <c r="AF44" s="4046"/>
      <c r="AG44" s="3341"/>
      <c r="AH44" s="3341"/>
      <c r="AI44" s="3349">
        <f t="shared" si="107"/>
        <v>0</v>
      </c>
      <c r="AJ44" s="3986">
        <f t="shared" si="108"/>
        <v>0</v>
      </c>
      <c r="AK44" s="4046"/>
      <c r="AL44" s="3341"/>
      <c r="AM44" s="3341"/>
      <c r="AN44" s="3349">
        <f t="shared" si="109"/>
        <v>0</v>
      </c>
      <c r="AO44" s="3986" t="e">
        <f t="shared" si="110"/>
        <v>#DIV/0!</v>
      </c>
      <c r="AP44" s="4046"/>
      <c r="AQ44" s="3341"/>
      <c r="AR44" s="3341"/>
      <c r="AS44" s="3349">
        <f t="shared" si="111"/>
        <v>0</v>
      </c>
      <c r="AT44" s="3986" t="e">
        <f t="shared" si="112"/>
        <v>#DIV/0!</v>
      </c>
      <c r="AU44" s="4046"/>
      <c r="AV44" s="3341"/>
      <c r="AW44" s="3341"/>
      <c r="AX44" s="3349">
        <f t="shared" si="113"/>
        <v>0</v>
      </c>
      <c r="AY44" s="3986" t="e">
        <f t="shared" si="114"/>
        <v>#DIV/0!</v>
      </c>
      <c r="AZ44" s="4046"/>
      <c r="BA44" s="3341"/>
      <c r="BB44" s="3341"/>
      <c r="BC44" s="3349">
        <f t="shared" si="115"/>
        <v>0</v>
      </c>
      <c r="BD44" s="3986" t="e">
        <f t="shared" si="116"/>
        <v>#DIV/0!</v>
      </c>
      <c r="BE44" s="4046"/>
      <c r="BF44" s="3341"/>
      <c r="BG44" s="3341"/>
      <c r="BH44" s="3349">
        <f t="shared" si="117"/>
        <v>0</v>
      </c>
      <c r="BI44" s="3986" t="e">
        <f t="shared" si="118"/>
        <v>#DIV/0!</v>
      </c>
      <c r="BJ44" s="4046"/>
      <c r="BK44" s="3341"/>
      <c r="BL44" s="3341"/>
      <c r="BM44" s="3349">
        <f t="shared" si="119"/>
        <v>0</v>
      </c>
      <c r="BN44" s="3986" t="e">
        <f t="shared" si="120"/>
        <v>#DIV/0!</v>
      </c>
      <c r="BO44" s="4046"/>
      <c r="BP44" s="3341"/>
      <c r="BQ44" s="3341"/>
      <c r="BR44" s="3349">
        <f t="shared" si="121"/>
        <v>0</v>
      </c>
      <c r="BS44" s="3986" t="e">
        <f t="shared" si="122"/>
        <v>#DIV/0!</v>
      </c>
      <c r="BT44" s="4046"/>
      <c r="BU44" s="3341"/>
      <c r="BV44" s="3341"/>
      <c r="BW44" s="3349">
        <f t="shared" si="123"/>
        <v>0</v>
      </c>
      <c r="BX44" s="3986" t="e">
        <f t="shared" si="124"/>
        <v>#DIV/0!</v>
      </c>
      <c r="BY44" s="4046"/>
      <c r="BZ44" s="3341"/>
      <c r="CA44" s="3341"/>
      <c r="CB44" s="3349">
        <f t="shared" si="125"/>
        <v>0</v>
      </c>
      <c r="CC44" s="3986" t="e">
        <f t="shared" si="126"/>
        <v>#DIV/0!</v>
      </c>
      <c r="CD44" s="4046"/>
      <c r="CE44" s="3341"/>
      <c r="CF44" s="3341"/>
      <c r="CG44" s="3349">
        <f t="shared" si="127"/>
        <v>0</v>
      </c>
      <c r="CH44" s="3986" t="e">
        <f t="shared" si="128"/>
        <v>#DIV/0!</v>
      </c>
      <c r="CI44" s="4046"/>
      <c r="CJ44" s="3341">
        <f t="shared" si="129"/>
        <v>0</v>
      </c>
      <c r="CK44" s="3341">
        <f t="shared" si="129"/>
        <v>0</v>
      </c>
      <c r="CL44" s="2012">
        <f t="shared" si="130"/>
        <v>0</v>
      </c>
      <c r="CM44" s="3986">
        <f t="shared" si="94"/>
        <v>0</v>
      </c>
      <c r="CN44" s="3987"/>
      <c r="CP44" s="2012">
        <f t="shared" si="131"/>
        <v>0</v>
      </c>
      <c r="CQ44" s="2012">
        <f t="shared" si="131"/>
        <v>0</v>
      </c>
      <c r="CR44" s="4035"/>
    </row>
    <row r="45" spans="1:98" ht="13.8" outlineLevel="2">
      <c r="A45" s="4833"/>
      <c r="B45" s="4045" t="s">
        <v>8</v>
      </c>
      <c r="C45" s="3341"/>
      <c r="D45" s="3341"/>
      <c r="E45" s="3349">
        <f t="shared" si="95"/>
        <v>0</v>
      </c>
      <c r="F45" s="3986" t="e">
        <f t="shared" si="96"/>
        <v>#DIV/0!</v>
      </c>
      <c r="G45" s="4046"/>
      <c r="H45" s="3341"/>
      <c r="I45" s="3341"/>
      <c r="J45" s="3349">
        <f t="shared" si="97"/>
        <v>0</v>
      </c>
      <c r="K45" s="3986" t="e">
        <f t="shared" si="98"/>
        <v>#DIV/0!</v>
      </c>
      <c r="L45" s="4046"/>
      <c r="M45" s="3341"/>
      <c r="N45" s="3341"/>
      <c r="O45" s="3349">
        <f t="shared" si="99"/>
        <v>0</v>
      </c>
      <c r="P45" s="3986">
        <f t="shared" si="100"/>
        <v>0</v>
      </c>
      <c r="Q45" s="4046"/>
      <c r="R45" s="3342">
        <f t="shared" si="101"/>
        <v>0</v>
      </c>
      <c r="S45" s="3342">
        <f t="shared" si="101"/>
        <v>0</v>
      </c>
      <c r="T45" s="2012">
        <f t="shared" si="102"/>
        <v>0</v>
      </c>
      <c r="U45" s="3462"/>
      <c r="V45" s="3462"/>
      <c r="W45" s="3342">
        <f t="shared" si="103"/>
        <v>0</v>
      </c>
      <c r="X45" s="3342">
        <f t="shared" si="103"/>
        <v>0</v>
      </c>
      <c r="Y45" s="2012">
        <f t="shared" si="104"/>
        <v>0</v>
      </c>
      <c r="Z45" s="3462"/>
      <c r="AA45" s="3462"/>
      <c r="AB45" s="3341"/>
      <c r="AC45" s="3341"/>
      <c r="AD45" s="3349">
        <f t="shared" si="105"/>
        <v>0</v>
      </c>
      <c r="AE45" s="3986">
        <f t="shared" si="106"/>
        <v>0</v>
      </c>
      <c r="AF45" s="4046"/>
      <c r="AG45" s="3341"/>
      <c r="AH45" s="3341"/>
      <c r="AI45" s="3349">
        <f t="shared" si="107"/>
        <v>0</v>
      </c>
      <c r="AJ45" s="3986">
        <f t="shared" si="108"/>
        <v>0</v>
      </c>
      <c r="AK45" s="4046"/>
      <c r="AL45" s="3341"/>
      <c r="AM45" s="3341"/>
      <c r="AN45" s="3349">
        <f t="shared" si="109"/>
        <v>0</v>
      </c>
      <c r="AO45" s="3986" t="e">
        <f t="shared" si="110"/>
        <v>#DIV/0!</v>
      </c>
      <c r="AP45" s="4046"/>
      <c r="AQ45" s="3341"/>
      <c r="AR45" s="3341"/>
      <c r="AS45" s="3349">
        <f t="shared" si="111"/>
        <v>0</v>
      </c>
      <c r="AT45" s="3986" t="e">
        <f t="shared" si="112"/>
        <v>#DIV/0!</v>
      </c>
      <c r="AU45" s="4046"/>
      <c r="AV45" s="3341"/>
      <c r="AW45" s="3341"/>
      <c r="AX45" s="3349">
        <f t="shared" si="113"/>
        <v>0</v>
      </c>
      <c r="AY45" s="3986" t="e">
        <f t="shared" si="114"/>
        <v>#DIV/0!</v>
      </c>
      <c r="AZ45" s="4046"/>
      <c r="BA45" s="3341"/>
      <c r="BB45" s="3341"/>
      <c r="BC45" s="3349">
        <f t="shared" si="115"/>
        <v>0</v>
      </c>
      <c r="BD45" s="3986" t="e">
        <f t="shared" si="116"/>
        <v>#DIV/0!</v>
      </c>
      <c r="BE45" s="4046"/>
      <c r="BF45" s="3341"/>
      <c r="BG45" s="3341"/>
      <c r="BH45" s="3349">
        <f t="shared" si="117"/>
        <v>0</v>
      </c>
      <c r="BI45" s="3986" t="e">
        <f t="shared" si="118"/>
        <v>#DIV/0!</v>
      </c>
      <c r="BJ45" s="4046"/>
      <c r="BK45" s="3341"/>
      <c r="BL45" s="3341"/>
      <c r="BM45" s="3349">
        <f t="shared" si="119"/>
        <v>0</v>
      </c>
      <c r="BN45" s="3986" t="e">
        <f t="shared" si="120"/>
        <v>#DIV/0!</v>
      </c>
      <c r="BO45" s="4046"/>
      <c r="BP45" s="3341"/>
      <c r="BQ45" s="3341"/>
      <c r="BR45" s="3349">
        <f t="shared" si="121"/>
        <v>0</v>
      </c>
      <c r="BS45" s="3986" t="e">
        <f t="shared" si="122"/>
        <v>#DIV/0!</v>
      </c>
      <c r="BT45" s="4046"/>
      <c r="BU45" s="3341"/>
      <c r="BV45" s="3341"/>
      <c r="BW45" s="3349">
        <f t="shared" si="123"/>
        <v>0</v>
      </c>
      <c r="BX45" s="3986" t="e">
        <f t="shared" si="124"/>
        <v>#DIV/0!</v>
      </c>
      <c r="BY45" s="4046"/>
      <c r="BZ45" s="3341"/>
      <c r="CA45" s="3341"/>
      <c r="CB45" s="3349">
        <f t="shared" si="125"/>
        <v>0</v>
      </c>
      <c r="CC45" s="3986" t="e">
        <f t="shared" si="126"/>
        <v>#DIV/0!</v>
      </c>
      <c r="CD45" s="4046"/>
      <c r="CE45" s="3341"/>
      <c r="CF45" s="3341"/>
      <c r="CG45" s="3349">
        <f t="shared" si="127"/>
        <v>0</v>
      </c>
      <c r="CH45" s="3986" t="e">
        <f t="shared" si="128"/>
        <v>#DIV/0!</v>
      </c>
      <c r="CI45" s="4046"/>
      <c r="CJ45" s="3341">
        <f t="shared" si="129"/>
        <v>0</v>
      </c>
      <c r="CK45" s="3341">
        <f t="shared" si="129"/>
        <v>0</v>
      </c>
      <c r="CL45" s="2012">
        <f t="shared" si="130"/>
        <v>0</v>
      </c>
      <c r="CM45" s="3986">
        <f t="shared" si="94"/>
        <v>0</v>
      </c>
      <c r="CN45" s="3987"/>
      <c r="CP45" s="2012">
        <f t="shared" si="131"/>
        <v>0</v>
      </c>
      <c r="CQ45" s="2012">
        <f t="shared" si="131"/>
        <v>0</v>
      </c>
      <c r="CR45" s="4035"/>
    </row>
    <row r="46" spans="1:98" ht="13.8" outlineLevel="2">
      <c r="A46" s="4833"/>
      <c r="B46" s="4045" t="s">
        <v>29</v>
      </c>
      <c r="C46" s="3341"/>
      <c r="D46" s="3341"/>
      <c r="E46" s="3349">
        <f t="shared" si="95"/>
        <v>0</v>
      </c>
      <c r="F46" s="3986" t="e">
        <f t="shared" si="96"/>
        <v>#DIV/0!</v>
      </c>
      <c r="G46" s="4046"/>
      <c r="H46" s="3341"/>
      <c r="I46" s="3341"/>
      <c r="J46" s="3349">
        <f t="shared" si="97"/>
        <v>0</v>
      </c>
      <c r="K46" s="3986" t="e">
        <f t="shared" si="98"/>
        <v>#DIV/0!</v>
      </c>
      <c r="L46" s="4046"/>
      <c r="M46" s="3341"/>
      <c r="N46" s="3341"/>
      <c r="O46" s="3349">
        <f t="shared" si="99"/>
        <v>0</v>
      </c>
      <c r="P46" s="3986">
        <f t="shared" si="100"/>
        <v>0</v>
      </c>
      <c r="Q46" s="4046"/>
      <c r="R46" s="3342">
        <f t="shared" si="101"/>
        <v>0</v>
      </c>
      <c r="S46" s="3342">
        <f t="shared" si="101"/>
        <v>0</v>
      </c>
      <c r="T46" s="2012">
        <f t="shared" si="102"/>
        <v>0</v>
      </c>
      <c r="U46" s="3462"/>
      <c r="V46" s="3462"/>
      <c r="W46" s="3342">
        <f t="shared" si="103"/>
        <v>0</v>
      </c>
      <c r="X46" s="3342">
        <f t="shared" si="103"/>
        <v>0</v>
      </c>
      <c r="Y46" s="2012">
        <f t="shared" si="104"/>
        <v>0</v>
      </c>
      <c r="Z46" s="3462"/>
      <c r="AA46" s="3462"/>
      <c r="AB46" s="3341"/>
      <c r="AC46" s="3341"/>
      <c r="AD46" s="3349">
        <f t="shared" si="105"/>
        <v>0</v>
      </c>
      <c r="AE46" s="3986">
        <f t="shared" si="106"/>
        <v>0</v>
      </c>
      <c r="AF46" s="4046"/>
      <c r="AG46" s="3341"/>
      <c r="AH46" s="3341"/>
      <c r="AI46" s="3349">
        <f t="shared" si="107"/>
        <v>0</v>
      </c>
      <c r="AJ46" s="3986">
        <f t="shared" si="108"/>
        <v>0</v>
      </c>
      <c r="AK46" s="4046"/>
      <c r="AL46" s="3341"/>
      <c r="AM46" s="3341"/>
      <c r="AN46" s="3349">
        <f t="shared" si="109"/>
        <v>0</v>
      </c>
      <c r="AO46" s="3986" t="e">
        <f t="shared" si="110"/>
        <v>#DIV/0!</v>
      </c>
      <c r="AP46" s="4046"/>
      <c r="AQ46" s="3341"/>
      <c r="AR46" s="3341"/>
      <c r="AS46" s="3349">
        <f t="shared" si="111"/>
        <v>0</v>
      </c>
      <c r="AT46" s="3986" t="e">
        <f t="shared" si="112"/>
        <v>#DIV/0!</v>
      </c>
      <c r="AU46" s="4046"/>
      <c r="AV46" s="3341"/>
      <c r="AW46" s="3341"/>
      <c r="AX46" s="3349">
        <f t="shared" si="113"/>
        <v>0</v>
      </c>
      <c r="AY46" s="3986" t="e">
        <f t="shared" si="114"/>
        <v>#DIV/0!</v>
      </c>
      <c r="AZ46" s="4046"/>
      <c r="BA46" s="3341"/>
      <c r="BB46" s="3341"/>
      <c r="BC46" s="3349">
        <f t="shared" si="115"/>
        <v>0</v>
      </c>
      <c r="BD46" s="3986" t="e">
        <f t="shared" si="116"/>
        <v>#DIV/0!</v>
      </c>
      <c r="BE46" s="4046"/>
      <c r="BF46" s="3341"/>
      <c r="BG46" s="3341"/>
      <c r="BH46" s="3349">
        <f t="shared" si="117"/>
        <v>0</v>
      </c>
      <c r="BI46" s="3986" t="e">
        <f t="shared" si="118"/>
        <v>#DIV/0!</v>
      </c>
      <c r="BJ46" s="4046"/>
      <c r="BK46" s="3341"/>
      <c r="BL46" s="3341"/>
      <c r="BM46" s="3349">
        <f t="shared" si="119"/>
        <v>0</v>
      </c>
      <c r="BN46" s="3986" t="e">
        <f t="shared" si="120"/>
        <v>#DIV/0!</v>
      </c>
      <c r="BO46" s="4046"/>
      <c r="BP46" s="3341"/>
      <c r="BQ46" s="3341"/>
      <c r="BR46" s="3349">
        <f t="shared" si="121"/>
        <v>0</v>
      </c>
      <c r="BS46" s="3986" t="e">
        <f t="shared" si="122"/>
        <v>#DIV/0!</v>
      </c>
      <c r="BT46" s="4046"/>
      <c r="BU46" s="3341"/>
      <c r="BV46" s="3341"/>
      <c r="BW46" s="3349">
        <f t="shared" si="123"/>
        <v>0</v>
      </c>
      <c r="BX46" s="3986" t="e">
        <f t="shared" si="124"/>
        <v>#DIV/0!</v>
      </c>
      <c r="BY46" s="4046"/>
      <c r="BZ46" s="3341"/>
      <c r="CA46" s="3341"/>
      <c r="CB46" s="3349">
        <f t="shared" si="125"/>
        <v>0</v>
      </c>
      <c r="CC46" s="3986" t="e">
        <f t="shared" si="126"/>
        <v>#DIV/0!</v>
      </c>
      <c r="CD46" s="4046"/>
      <c r="CE46" s="3341"/>
      <c r="CF46" s="3341"/>
      <c r="CG46" s="3349">
        <f t="shared" si="127"/>
        <v>0</v>
      </c>
      <c r="CH46" s="3986" t="e">
        <f t="shared" si="128"/>
        <v>#DIV/0!</v>
      </c>
      <c r="CI46" s="4046"/>
      <c r="CJ46" s="3341">
        <f t="shared" si="129"/>
        <v>0</v>
      </c>
      <c r="CK46" s="3341">
        <f t="shared" si="129"/>
        <v>0</v>
      </c>
      <c r="CL46" s="2012">
        <f t="shared" si="130"/>
        <v>0</v>
      </c>
      <c r="CM46" s="3986">
        <f t="shared" si="94"/>
        <v>0</v>
      </c>
      <c r="CN46" s="3987"/>
      <c r="CP46" s="2012">
        <f t="shared" si="131"/>
        <v>0</v>
      </c>
      <c r="CQ46" s="2012">
        <f t="shared" si="131"/>
        <v>0</v>
      </c>
      <c r="CR46" s="4035"/>
    </row>
    <row r="47" spans="1:98" ht="13.8" outlineLevel="2">
      <c r="A47" s="4833"/>
      <c r="B47" s="4045" t="s">
        <v>30</v>
      </c>
      <c r="C47" s="3341"/>
      <c r="D47" s="3341"/>
      <c r="E47" s="3349">
        <f t="shared" si="95"/>
        <v>0</v>
      </c>
      <c r="F47" s="3986" t="e">
        <f t="shared" si="96"/>
        <v>#DIV/0!</v>
      </c>
      <c r="G47" s="4046"/>
      <c r="H47" s="3341"/>
      <c r="I47" s="3341"/>
      <c r="J47" s="3349">
        <f t="shared" si="97"/>
        <v>0</v>
      </c>
      <c r="K47" s="3986" t="e">
        <f t="shared" si="98"/>
        <v>#DIV/0!</v>
      </c>
      <c r="L47" s="4046"/>
      <c r="M47" s="3341"/>
      <c r="N47" s="3341"/>
      <c r="O47" s="3349">
        <f t="shared" si="99"/>
        <v>0</v>
      </c>
      <c r="P47" s="3986">
        <f t="shared" si="100"/>
        <v>0</v>
      </c>
      <c r="Q47" s="4046"/>
      <c r="R47" s="3342">
        <f t="shared" si="101"/>
        <v>0</v>
      </c>
      <c r="S47" s="3342">
        <f t="shared" si="101"/>
        <v>0</v>
      </c>
      <c r="T47" s="2012">
        <f t="shared" si="102"/>
        <v>0</v>
      </c>
      <c r="U47" s="3462"/>
      <c r="V47" s="3462"/>
      <c r="W47" s="3342">
        <f t="shared" si="103"/>
        <v>0</v>
      </c>
      <c r="X47" s="3342">
        <f t="shared" si="103"/>
        <v>0</v>
      </c>
      <c r="Y47" s="2012">
        <f t="shared" si="104"/>
        <v>0</v>
      </c>
      <c r="Z47" s="3462"/>
      <c r="AA47" s="3462"/>
      <c r="AB47" s="3341"/>
      <c r="AC47" s="3341"/>
      <c r="AD47" s="3349">
        <f t="shared" si="105"/>
        <v>0</v>
      </c>
      <c r="AE47" s="3986">
        <f t="shared" si="106"/>
        <v>0</v>
      </c>
      <c r="AF47" s="4046"/>
      <c r="AG47" s="3341"/>
      <c r="AH47" s="3341"/>
      <c r="AI47" s="3349">
        <f t="shared" si="107"/>
        <v>0</v>
      </c>
      <c r="AJ47" s="3986">
        <f t="shared" si="108"/>
        <v>0</v>
      </c>
      <c r="AK47" s="4046"/>
      <c r="AL47" s="3341"/>
      <c r="AM47" s="3341"/>
      <c r="AN47" s="3349">
        <f t="shared" si="109"/>
        <v>0</v>
      </c>
      <c r="AO47" s="3986" t="e">
        <f t="shared" si="110"/>
        <v>#DIV/0!</v>
      </c>
      <c r="AP47" s="4046"/>
      <c r="AQ47" s="3341"/>
      <c r="AR47" s="3341"/>
      <c r="AS47" s="3349">
        <f t="shared" si="111"/>
        <v>0</v>
      </c>
      <c r="AT47" s="3986" t="e">
        <f t="shared" si="112"/>
        <v>#DIV/0!</v>
      </c>
      <c r="AU47" s="4046"/>
      <c r="AV47" s="3341"/>
      <c r="AW47" s="3341"/>
      <c r="AX47" s="3349">
        <f t="shared" si="113"/>
        <v>0</v>
      </c>
      <c r="AY47" s="3986" t="e">
        <f t="shared" si="114"/>
        <v>#DIV/0!</v>
      </c>
      <c r="AZ47" s="4046"/>
      <c r="BA47" s="3341"/>
      <c r="BB47" s="3341"/>
      <c r="BC47" s="3349">
        <f t="shared" si="115"/>
        <v>0</v>
      </c>
      <c r="BD47" s="3986" t="e">
        <f t="shared" si="116"/>
        <v>#DIV/0!</v>
      </c>
      <c r="BE47" s="4046"/>
      <c r="BF47" s="3341"/>
      <c r="BG47" s="3341"/>
      <c r="BH47" s="3349">
        <f t="shared" si="117"/>
        <v>0</v>
      </c>
      <c r="BI47" s="3986" t="e">
        <f t="shared" si="118"/>
        <v>#DIV/0!</v>
      </c>
      <c r="BJ47" s="4046"/>
      <c r="BK47" s="3341"/>
      <c r="BL47" s="3341"/>
      <c r="BM47" s="3349">
        <f t="shared" si="119"/>
        <v>0</v>
      </c>
      <c r="BN47" s="3986" t="e">
        <f t="shared" si="120"/>
        <v>#DIV/0!</v>
      </c>
      <c r="BO47" s="4046"/>
      <c r="BP47" s="3341"/>
      <c r="BQ47" s="3341"/>
      <c r="BR47" s="3349">
        <f t="shared" si="121"/>
        <v>0</v>
      </c>
      <c r="BS47" s="3986" t="e">
        <f t="shared" si="122"/>
        <v>#DIV/0!</v>
      </c>
      <c r="BT47" s="4046"/>
      <c r="BU47" s="3341"/>
      <c r="BV47" s="3341"/>
      <c r="BW47" s="3349">
        <f t="shared" si="123"/>
        <v>0</v>
      </c>
      <c r="BX47" s="3986" t="e">
        <f t="shared" si="124"/>
        <v>#DIV/0!</v>
      </c>
      <c r="BY47" s="4046"/>
      <c r="BZ47" s="3341"/>
      <c r="CA47" s="3341"/>
      <c r="CB47" s="3349">
        <f t="shared" si="125"/>
        <v>0</v>
      </c>
      <c r="CC47" s="3986" t="e">
        <f t="shared" si="126"/>
        <v>#DIV/0!</v>
      </c>
      <c r="CD47" s="4046"/>
      <c r="CE47" s="3341"/>
      <c r="CF47" s="3341"/>
      <c r="CG47" s="3349">
        <f t="shared" si="127"/>
        <v>0</v>
      </c>
      <c r="CH47" s="3986" t="e">
        <f t="shared" si="128"/>
        <v>#DIV/0!</v>
      </c>
      <c r="CI47" s="4046"/>
      <c r="CJ47" s="3341">
        <f t="shared" si="129"/>
        <v>0</v>
      </c>
      <c r="CK47" s="3341">
        <f t="shared" si="129"/>
        <v>0</v>
      </c>
      <c r="CL47" s="2012">
        <f t="shared" si="130"/>
        <v>0</v>
      </c>
      <c r="CM47" s="3986">
        <f t="shared" si="94"/>
        <v>0</v>
      </c>
      <c r="CN47" s="3987"/>
      <c r="CP47" s="2012">
        <f t="shared" si="131"/>
        <v>0</v>
      </c>
      <c r="CQ47" s="2012">
        <f t="shared" si="131"/>
        <v>0</v>
      </c>
      <c r="CR47" s="4035"/>
    </row>
    <row r="48" spans="1:98" ht="13.8" outlineLevel="2">
      <c r="A48" s="4833"/>
      <c r="B48" s="4045" t="s">
        <v>15</v>
      </c>
      <c r="C48" s="3341"/>
      <c r="D48" s="3341"/>
      <c r="E48" s="3349">
        <f t="shared" si="95"/>
        <v>0</v>
      </c>
      <c r="F48" s="3986" t="e">
        <f t="shared" si="96"/>
        <v>#DIV/0!</v>
      </c>
      <c r="G48" s="4046"/>
      <c r="H48" s="3341"/>
      <c r="I48" s="3341"/>
      <c r="J48" s="3349">
        <f t="shared" si="97"/>
        <v>0</v>
      </c>
      <c r="K48" s="3986" t="e">
        <f t="shared" si="98"/>
        <v>#DIV/0!</v>
      </c>
      <c r="L48" s="4046"/>
      <c r="M48" s="3341"/>
      <c r="N48" s="3341"/>
      <c r="O48" s="3349">
        <f t="shared" si="99"/>
        <v>0</v>
      </c>
      <c r="P48" s="3986">
        <f t="shared" si="100"/>
        <v>0</v>
      </c>
      <c r="Q48" s="4046"/>
      <c r="R48" s="3342">
        <f t="shared" si="101"/>
        <v>0</v>
      </c>
      <c r="S48" s="3342">
        <f t="shared" si="101"/>
        <v>0</v>
      </c>
      <c r="T48" s="2012">
        <f t="shared" si="102"/>
        <v>0</v>
      </c>
      <c r="U48" s="4010"/>
      <c r="V48" s="4046"/>
      <c r="W48" s="4048">
        <f t="shared" si="103"/>
        <v>0</v>
      </c>
      <c r="X48" s="4048">
        <f t="shared" si="103"/>
        <v>0</v>
      </c>
      <c r="Y48" s="3962">
        <f t="shared" si="104"/>
        <v>0</v>
      </c>
      <c r="Z48" s="4046"/>
      <c r="AA48" s="4046"/>
      <c r="AB48" s="4039"/>
      <c r="AC48" s="4039"/>
      <c r="AD48" s="4049">
        <f t="shared" si="105"/>
        <v>0</v>
      </c>
      <c r="AE48" s="3986">
        <f t="shared" si="106"/>
        <v>0</v>
      </c>
      <c r="AF48" s="4046"/>
      <c r="AG48" s="4039"/>
      <c r="AH48" s="3341"/>
      <c r="AI48" s="3349">
        <f t="shared" si="107"/>
        <v>0</v>
      </c>
      <c r="AJ48" s="3986">
        <f t="shared" si="108"/>
        <v>0</v>
      </c>
      <c r="AK48" s="4046"/>
      <c r="AL48" s="3341"/>
      <c r="AM48" s="3341"/>
      <c r="AN48" s="3349">
        <f t="shared" si="109"/>
        <v>0</v>
      </c>
      <c r="AO48" s="3986" t="e">
        <f t="shared" si="110"/>
        <v>#DIV/0!</v>
      </c>
      <c r="AP48" s="4046"/>
      <c r="AQ48" s="3341"/>
      <c r="AR48" s="3341"/>
      <c r="AS48" s="3349">
        <f t="shared" si="111"/>
        <v>0</v>
      </c>
      <c r="AT48" s="3986" t="e">
        <f t="shared" si="112"/>
        <v>#DIV/0!</v>
      </c>
      <c r="AU48" s="4046"/>
      <c r="AV48" s="3341"/>
      <c r="AW48" s="3341"/>
      <c r="AX48" s="3349">
        <f t="shared" si="113"/>
        <v>0</v>
      </c>
      <c r="AY48" s="3986" t="e">
        <f t="shared" si="114"/>
        <v>#DIV/0!</v>
      </c>
      <c r="AZ48" s="4046"/>
      <c r="BA48" s="3341"/>
      <c r="BB48" s="3341"/>
      <c r="BC48" s="3349">
        <f t="shared" si="115"/>
        <v>0</v>
      </c>
      <c r="BD48" s="3986" t="e">
        <f t="shared" si="116"/>
        <v>#DIV/0!</v>
      </c>
      <c r="BE48" s="4046"/>
      <c r="BF48" s="3341"/>
      <c r="BG48" s="3341"/>
      <c r="BH48" s="3349">
        <f t="shared" si="117"/>
        <v>0</v>
      </c>
      <c r="BI48" s="3986" t="e">
        <f t="shared" si="118"/>
        <v>#DIV/0!</v>
      </c>
      <c r="BJ48" s="4046"/>
      <c r="BK48" s="3341"/>
      <c r="BL48" s="3341"/>
      <c r="BM48" s="3349">
        <f t="shared" si="119"/>
        <v>0</v>
      </c>
      <c r="BN48" s="3986" t="e">
        <f t="shared" si="120"/>
        <v>#DIV/0!</v>
      </c>
      <c r="BO48" s="4046"/>
      <c r="BP48" s="3341"/>
      <c r="BQ48" s="3341"/>
      <c r="BR48" s="3349">
        <f t="shared" si="121"/>
        <v>0</v>
      </c>
      <c r="BS48" s="3986" t="e">
        <f t="shared" si="122"/>
        <v>#DIV/0!</v>
      </c>
      <c r="BT48" s="4046"/>
      <c r="BU48" s="3341"/>
      <c r="BV48" s="3341"/>
      <c r="BW48" s="3349">
        <f t="shared" si="123"/>
        <v>0</v>
      </c>
      <c r="BX48" s="3986" t="e">
        <f t="shared" si="124"/>
        <v>#DIV/0!</v>
      </c>
      <c r="BY48" s="4046"/>
      <c r="BZ48" s="3341"/>
      <c r="CA48" s="3341"/>
      <c r="CB48" s="3349">
        <f t="shared" si="125"/>
        <v>0</v>
      </c>
      <c r="CC48" s="3986" t="e">
        <f t="shared" si="126"/>
        <v>#DIV/0!</v>
      </c>
      <c r="CD48" s="4046"/>
      <c r="CE48" s="3341"/>
      <c r="CF48" s="3341"/>
      <c r="CG48" s="3349">
        <f t="shared" si="127"/>
        <v>0</v>
      </c>
      <c r="CH48" s="3986" t="e">
        <f t="shared" si="128"/>
        <v>#DIV/0!</v>
      </c>
      <c r="CI48" s="4046"/>
      <c r="CJ48" s="3341">
        <f t="shared" si="129"/>
        <v>0</v>
      </c>
      <c r="CK48" s="3341">
        <f t="shared" si="129"/>
        <v>0</v>
      </c>
      <c r="CL48" s="2012">
        <f t="shared" si="130"/>
        <v>0</v>
      </c>
      <c r="CM48" s="3986">
        <f t="shared" si="94"/>
        <v>0</v>
      </c>
      <c r="CN48" s="3987"/>
      <c r="CP48" s="2012">
        <f t="shared" si="131"/>
        <v>0</v>
      </c>
      <c r="CQ48" s="2012">
        <f t="shared" si="131"/>
        <v>0</v>
      </c>
      <c r="CR48" s="4035"/>
    </row>
    <row r="49" spans="1:98" s="1396" customFormat="1" ht="14.4" outlineLevel="2" thickBot="1">
      <c r="A49" s="1405"/>
      <c r="B49" s="4050"/>
      <c r="C49" s="3341"/>
      <c r="D49" s="3341"/>
      <c r="E49" s="4002"/>
      <c r="F49" s="3993"/>
      <c r="G49" s="4003"/>
      <c r="H49" s="3341"/>
      <c r="I49" s="3341"/>
      <c r="J49" s="4002"/>
      <c r="K49" s="3993"/>
      <c r="L49" s="4003"/>
      <c r="M49" s="3341"/>
      <c r="N49" s="3341"/>
      <c r="O49" s="4002"/>
      <c r="P49" s="3993"/>
      <c r="Q49" s="4003"/>
      <c r="R49" s="3456"/>
      <c r="S49" s="3456"/>
      <c r="T49" s="3456"/>
      <c r="U49" s="3733"/>
      <c r="V49" s="3734"/>
      <c r="W49" s="3734"/>
      <c r="X49" s="3734"/>
      <c r="Y49" s="3734"/>
      <c r="Z49" s="3734"/>
      <c r="AA49" s="3734"/>
      <c r="AB49" s="3375"/>
      <c r="AC49" s="3375"/>
      <c r="AD49" s="4002"/>
      <c r="AE49" s="3993">
        <f t="shared" si="106"/>
        <v>0</v>
      </c>
      <c r="AF49" s="4003"/>
      <c r="AG49" s="3375"/>
      <c r="AH49" s="3341"/>
      <c r="AI49" s="4002"/>
      <c r="AJ49" s="3993">
        <f t="shared" si="108"/>
        <v>0</v>
      </c>
      <c r="AK49" s="4003"/>
      <c r="AL49" s="3341"/>
      <c r="AM49" s="3341"/>
      <c r="AN49" s="4002"/>
      <c r="AO49" s="3993" t="e">
        <f t="shared" si="110"/>
        <v>#DIV/0!</v>
      </c>
      <c r="AP49" s="4003"/>
      <c r="AQ49" s="3341"/>
      <c r="AR49" s="3341"/>
      <c r="AS49" s="4002"/>
      <c r="AT49" s="3993" t="e">
        <f t="shared" si="112"/>
        <v>#DIV/0!</v>
      </c>
      <c r="AU49" s="4003"/>
      <c r="AV49" s="3341"/>
      <c r="AW49" s="3341"/>
      <c r="AX49" s="4002"/>
      <c r="AY49" s="3993" t="e">
        <f t="shared" si="114"/>
        <v>#DIV/0!</v>
      </c>
      <c r="AZ49" s="4003"/>
      <c r="BA49" s="3341"/>
      <c r="BB49" s="3341"/>
      <c r="BC49" s="4002"/>
      <c r="BD49" s="3993" t="e">
        <f t="shared" si="116"/>
        <v>#DIV/0!</v>
      </c>
      <c r="BE49" s="4003"/>
      <c r="BF49" s="3341"/>
      <c r="BG49" s="3341"/>
      <c r="BH49" s="4002"/>
      <c r="BI49" s="3993" t="e">
        <f t="shared" si="118"/>
        <v>#DIV/0!</v>
      </c>
      <c r="BJ49" s="4003"/>
      <c r="BK49" s="3341"/>
      <c r="BL49" s="3341"/>
      <c r="BM49" s="4002"/>
      <c r="BN49" s="3993" t="e">
        <f t="shared" si="120"/>
        <v>#DIV/0!</v>
      </c>
      <c r="BO49" s="4003"/>
      <c r="BP49" s="3341"/>
      <c r="BQ49" s="3341"/>
      <c r="BR49" s="4002"/>
      <c r="BS49" s="3993" t="e">
        <f t="shared" si="122"/>
        <v>#DIV/0!</v>
      </c>
      <c r="BT49" s="4003"/>
      <c r="BU49" s="3341"/>
      <c r="BV49" s="3341"/>
      <c r="BW49" s="4002"/>
      <c r="BX49" s="3993" t="e">
        <f t="shared" si="124"/>
        <v>#DIV/0!</v>
      </c>
      <c r="BY49" s="4003"/>
      <c r="BZ49" s="3341"/>
      <c r="CA49" s="3341"/>
      <c r="CB49" s="4002"/>
      <c r="CC49" s="3993" t="e">
        <f t="shared" si="126"/>
        <v>#DIV/0!</v>
      </c>
      <c r="CD49" s="4003"/>
      <c r="CE49" s="3341"/>
      <c r="CF49" s="3341"/>
      <c r="CG49" s="4002"/>
      <c r="CH49" s="3993" t="e">
        <f t="shared" si="128"/>
        <v>#DIV/0!</v>
      </c>
      <c r="CI49" s="4003"/>
      <c r="CJ49" s="3341"/>
      <c r="CK49" s="3341"/>
      <c r="CL49" s="4002"/>
      <c r="CM49" s="3986">
        <f t="shared" si="94"/>
        <v>0</v>
      </c>
      <c r="CN49" s="4002"/>
      <c r="CP49" s="4004"/>
      <c r="CQ49" s="4004"/>
      <c r="CR49" s="4035"/>
      <c r="CT49" s="2624"/>
    </row>
    <row r="50" spans="1:98" s="1396" customFormat="1" ht="13.8" outlineLevel="1">
      <c r="A50" s="1565"/>
      <c r="B50" s="1410" t="s">
        <v>59</v>
      </c>
      <c r="C50" s="2015">
        <f>C52+C51</f>
        <v>0</v>
      </c>
      <c r="D50" s="2015">
        <f>D52+D51</f>
        <v>0</v>
      </c>
      <c r="E50" s="2014">
        <f>SUM(E51:E52)</f>
        <v>0</v>
      </c>
      <c r="F50" s="3988" t="e">
        <f>E50/$E$89</f>
        <v>#DIV/0!</v>
      </c>
      <c r="G50" s="1057"/>
      <c r="H50" s="2015">
        <f>H52+H51</f>
        <v>0</v>
      </c>
      <c r="I50" s="2015">
        <f>I52+I51</f>
        <v>0</v>
      </c>
      <c r="J50" s="2014">
        <f>SUM(J51:J52)</f>
        <v>0</v>
      </c>
      <c r="K50" s="3988" t="e">
        <f>J50/$E$89</f>
        <v>#DIV/0!</v>
      </c>
      <c r="L50" s="1057"/>
      <c r="M50" s="2015">
        <f>M52+M51</f>
        <v>0</v>
      </c>
      <c r="N50" s="2015">
        <f>N52+N51</f>
        <v>0</v>
      </c>
      <c r="O50" s="2014">
        <f>SUM(O51:O52)</f>
        <v>0</v>
      </c>
      <c r="P50" s="3988" t="e">
        <f>O50/$E$89</f>
        <v>#DIV/0!</v>
      </c>
      <c r="Q50" s="1057"/>
      <c r="R50" s="2015">
        <f>R52+R51</f>
        <v>0</v>
      </c>
      <c r="S50" s="2015">
        <f>S52+S51</f>
        <v>0</v>
      </c>
      <c r="T50" s="2015">
        <f>SUM(T51:T52)</f>
        <v>0</v>
      </c>
      <c r="U50" s="1535"/>
      <c r="V50" s="3460"/>
      <c r="W50" s="2013">
        <f>W52+W51</f>
        <v>0</v>
      </c>
      <c r="X50" s="2013">
        <f>X52+X51</f>
        <v>0</v>
      </c>
      <c r="Y50" s="2013">
        <f>SUM(Y51:Y52)</f>
        <v>0</v>
      </c>
      <c r="Z50" s="1535"/>
      <c r="AA50" s="3460"/>
      <c r="AB50" s="2013">
        <f>AB52+AB51</f>
        <v>0</v>
      </c>
      <c r="AC50" s="2013">
        <f>AC52+AC51</f>
        <v>0</v>
      </c>
      <c r="AD50" s="2013">
        <f>SUM(AD51:AD52)</f>
        <v>0</v>
      </c>
      <c r="AE50" s="1535"/>
      <c r="AF50" s="3735"/>
      <c r="AG50" s="2013">
        <f>AG52+AG51</f>
        <v>0</v>
      </c>
      <c r="AH50" s="2015">
        <f>AH52+AH51</f>
        <v>0</v>
      </c>
      <c r="AI50" s="2015">
        <f>SUM(AI51:AI52)</f>
        <v>0</v>
      </c>
      <c r="AJ50" s="1535"/>
      <c r="AK50" s="1057"/>
      <c r="AL50" s="2015">
        <f>AL52+AL51</f>
        <v>0</v>
      </c>
      <c r="AM50" s="2015">
        <f>AM52+AM51</f>
        <v>0</v>
      </c>
      <c r="AN50" s="2015">
        <f>SUM(AN51:AN52)</f>
        <v>0</v>
      </c>
      <c r="AO50" s="1535"/>
      <c r="AP50" s="1057"/>
      <c r="AQ50" s="2015">
        <f>AQ52+AQ51</f>
        <v>0</v>
      </c>
      <c r="AR50" s="2015">
        <f>AR52+AR51</f>
        <v>0</v>
      </c>
      <c r="AS50" s="2015">
        <f>SUM(AS51:AS52)</f>
        <v>0</v>
      </c>
      <c r="AT50" s="1535"/>
      <c r="AU50" s="1057"/>
      <c r="AV50" s="2015">
        <f>AV52+AV51</f>
        <v>0</v>
      </c>
      <c r="AW50" s="2015">
        <f>AW52+AW51</f>
        <v>0</v>
      </c>
      <c r="AX50" s="2015">
        <f>SUM(AX51:AX52)</f>
        <v>0</v>
      </c>
      <c r="AY50" s="1535"/>
      <c r="AZ50" s="1057"/>
      <c r="BA50" s="2015">
        <f>BA52+BA51</f>
        <v>0</v>
      </c>
      <c r="BB50" s="2015">
        <f>BB52+BB51</f>
        <v>0</v>
      </c>
      <c r="BC50" s="2015">
        <f>SUM(BC51:BC52)</f>
        <v>0</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0</v>
      </c>
      <c r="CK50" s="2015">
        <f>CK52+CK51</f>
        <v>0</v>
      </c>
      <c r="CL50" s="2015">
        <f>SUM(CL51:CL52)</f>
        <v>0</v>
      </c>
      <c r="CM50" s="2006"/>
      <c r="CN50" s="2006"/>
      <c r="CP50" s="2015">
        <f>SUM(CP51:CP52)</f>
        <v>0</v>
      </c>
      <c r="CQ50" s="2015">
        <f>SUM(CQ51:CQ52)</f>
        <v>0</v>
      </c>
      <c r="CR50" s="2015"/>
      <c r="CT50" s="2624"/>
    </row>
    <row r="51" spans="1:98" s="1396" customFormat="1" ht="13.8" outlineLevel="1">
      <c r="A51" s="1566"/>
      <c r="B51" s="4045" t="s">
        <v>60</v>
      </c>
      <c r="C51" s="3341"/>
      <c r="D51" s="3341"/>
      <c r="E51" s="3349">
        <f t="shared" ref="E51:E52" si="132">C51+D51</f>
        <v>0</v>
      </c>
      <c r="F51" s="3986" t="e">
        <f t="shared" ref="F51:F71" si="133">E51/$E$89</f>
        <v>#DIV/0!</v>
      </c>
      <c r="G51" s="4043"/>
      <c r="H51" s="3341"/>
      <c r="I51" s="3341"/>
      <c r="J51" s="3349">
        <f>H51+I51</f>
        <v>0</v>
      </c>
      <c r="K51" s="3986" t="e">
        <f t="shared" ref="K51:K52" si="134">J51/J$89</f>
        <v>#DIV/0!</v>
      </c>
      <c r="L51" s="4043"/>
      <c r="M51" s="3341"/>
      <c r="N51" s="3341"/>
      <c r="O51" s="3349">
        <f t="shared" ref="O51:O52" si="135">M51+N51</f>
        <v>0</v>
      </c>
      <c r="P51" s="3986">
        <f t="shared" ref="P51:P53" si="136">O51/O$89</f>
        <v>0</v>
      </c>
      <c r="Q51" s="4043"/>
      <c r="R51" s="3342">
        <f t="shared" ref="R51:S52" si="137">M51+H51+C51</f>
        <v>0</v>
      </c>
      <c r="S51" s="3342">
        <f t="shared" si="137"/>
        <v>0</v>
      </c>
      <c r="T51" s="2012">
        <f t="shared" ref="T51:T52" si="138">R51+S51</f>
        <v>0</v>
      </c>
      <c r="U51" s="3455"/>
      <c r="V51" s="3455"/>
      <c r="W51" s="3342">
        <f t="shared" ref="W51:X52" si="139">AB51+AG51+AL51+AV51+BA51+BF51+BK51+BP51+BU51+BZ51+CE51+AQ51</f>
        <v>0</v>
      </c>
      <c r="X51" s="3342">
        <f t="shared" si="139"/>
        <v>0</v>
      </c>
      <c r="Y51" s="2012">
        <f t="shared" ref="Y51:Y52" si="140">W51+X51</f>
        <v>0</v>
      </c>
      <c r="Z51" s="3455"/>
      <c r="AA51" s="3455"/>
      <c r="AB51" s="3341"/>
      <c r="AC51" s="3341"/>
      <c r="AD51" s="3349">
        <f t="shared" ref="AD51:AD52" si="141">AB51+AC51</f>
        <v>0</v>
      </c>
      <c r="AE51" s="3986">
        <f t="shared" ref="AE51:AE53" si="142">AD51/AD$89</f>
        <v>0</v>
      </c>
      <c r="AF51" s="4043"/>
      <c r="AG51" s="3341"/>
      <c r="AH51" s="3341"/>
      <c r="AI51" s="3349">
        <f t="shared" ref="AI51:AI52" si="143">AG51+AH51</f>
        <v>0</v>
      </c>
      <c r="AJ51" s="3986">
        <f t="shared" ref="AJ51:AJ53" si="144">AI51/AI$89</f>
        <v>0</v>
      </c>
      <c r="AK51" s="4043"/>
      <c r="AL51" s="3341"/>
      <c r="AM51" s="3341"/>
      <c r="AN51" s="3349">
        <f t="shared" ref="AN51:AN52" si="145">AL51+AM51</f>
        <v>0</v>
      </c>
      <c r="AO51" s="3986" t="e">
        <f t="shared" ref="AO51:AO53" si="146">AN51/AN$89</f>
        <v>#DIV/0!</v>
      </c>
      <c r="AP51" s="4043"/>
      <c r="AQ51" s="3341"/>
      <c r="AR51" s="3341"/>
      <c r="AS51" s="3349">
        <f t="shared" ref="AS51:AS52" si="147">AQ51+AR51</f>
        <v>0</v>
      </c>
      <c r="AT51" s="3986" t="e">
        <f t="shared" ref="AT51:AT53" si="148">AS51/AS$89</f>
        <v>#DIV/0!</v>
      </c>
      <c r="AU51" s="4043"/>
      <c r="AV51" s="3341"/>
      <c r="AW51" s="3341"/>
      <c r="AX51" s="3349">
        <f t="shared" ref="AX51:AX52" si="149">AV51+AW51</f>
        <v>0</v>
      </c>
      <c r="AY51" s="3986" t="e">
        <f t="shared" ref="AY51:AY53" si="150">AX51/AX$89</f>
        <v>#DIV/0!</v>
      </c>
      <c r="AZ51" s="4043"/>
      <c r="BA51" s="3341"/>
      <c r="BB51" s="3341"/>
      <c r="BC51" s="3349">
        <f t="shared" ref="BC51:BC52" si="151">BA51+BB51</f>
        <v>0</v>
      </c>
      <c r="BD51" s="3986" t="e">
        <f t="shared" ref="BD51:BD53" si="152">BC51/BC$89</f>
        <v>#DIV/0!</v>
      </c>
      <c r="BE51" s="4043"/>
      <c r="BF51" s="3341"/>
      <c r="BG51" s="3341"/>
      <c r="BH51" s="3349">
        <f t="shared" ref="BH51:BH52" si="153">BF51+BG51</f>
        <v>0</v>
      </c>
      <c r="BI51" s="3986" t="e">
        <f t="shared" ref="BI51:BI53" si="154">BH51/BH$89</f>
        <v>#DIV/0!</v>
      </c>
      <c r="BJ51" s="4043"/>
      <c r="BK51" s="3341"/>
      <c r="BL51" s="3341"/>
      <c r="BM51" s="3349">
        <f t="shared" ref="BM51:BM52" si="155">BK51+BL51</f>
        <v>0</v>
      </c>
      <c r="BN51" s="3986" t="e">
        <f t="shared" ref="BN51:BN53" si="156">BM51/BM$89</f>
        <v>#DIV/0!</v>
      </c>
      <c r="BO51" s="4043"/>
      <c r="BP51" s="3341"/>
      <c r="BQ51" s="3341"/>
      <c r="BR51" s="3349">
        <f t="shared" ref="BR51:BR52" si="157">BP51+BQ51</f>
        <v>0</v>
      </c>
      <c r="BS51" s="3986" t="e">
        <f t="shared" ref="BS51:BS53" si="158">BR51/BR$89</f>
        <v>#DIV/0!</v>
      </c>
      <c r="BT51" s="4043"/>
      <c r="BU51" s="3341"/>
      <c r="BV51" s="3341"/>
      <c r="BW51" s="3349">
        <f t="shared" ref="BW51:BW52" si="159">BU51+BV51</f>
        <v>0</v>
      </c>
      <c r="BX51" s="3986" t="e">
        <f t="shared" ref="BX51:BX53" si="160">BW51/BW$89</f>
        <v>#DIV/0!</v>
      </c>
      <c r="BY51" s="4043"/>
      <c r="BZ51" s="3341"/>
      <c r="CA51" s="3341"/>
      <c r="CB51" s="3349">
        <f t="shared" ref="CB51:CB52" si="161">BZ51+CA51</f>
        <v>0</v>
      </c>
      <c r="CC51" s="3986" t="e">
        <f t="shared" ref="CC51:CC53" si="162">CB51/CB$89</f>
        <v>#DIV/0!</v>
      </c>
      <c r="CD51" s="4043"/>
      <c r="CE51" s="3341"/>
      <c r="CF51" s="3341"/>
      <c r="CG51" s="3349">
        <f t="shared" ref="CG51:CG52" si="163">CE51+CF51</f>
        <v>0</v>
      </c>
      <c r="CH51" s="3986" t="e">
        <f t="shared" ref="CH51:CH53" si="164">CG51/CG$89</f>
        <v>#DIV/0!</v>
      </c>
      <c r="CI51" s="4043"/>
      <c r="CJ51" s="3341">
        <f t="shared" ref="CJ51:CK53" si="165">C51+H51+M51+W51</f>
        <v>0</v>
      </c>
      <c r="CK51" s="3341">
        <f t="shared" si="165"/>
        <v>0</v>
      </c>
      <c r="CL51" s="2012">
        <f>CJ51+CK51*1</f>
        <v>0</v>
      </c>
      <c r="CM51" s="3986">
        <f>CL51/$CL$89</f>
        <v>0</v>
      </c>
      <c r="CN51" s="4044"/>
      <c r="CP51" s="2012">
        <f>CN51+CO51*1</f>
        <v>0</v>
      </c>
      <c r="CQ51" s="2012">
        <f>CO51+CP51*1</f>
        <v>0</v>
      </c>
      <c r="CR51" s="4035"/>
      <c r="CT51" s="2624"/>
    </row>
    <row r="52" spans="1:98" ht="13.8" outlineLevel="2">
      <c r="A52" s="1566"/>
      <c r="B52" s="4045" t="s">
        <v>61</v>
      </c>
      <c r="C52" s="3341"/>
      <c r="D52" s="3341"/>
      <c r="E52" s="3349">
        <f t="shared" si="132"/>
        <v>0</v>
      </c>
      <c r="F52" s="3986" t="e">
        <f t="shared" si="133"/>
        <v>#DIV/0!</v>
      </c>
      <c r="G52" s="4043"/>
      <c r="H52" s="3341"/>
      <c r="I52" s="3341"/>
      <c r="J52" s="3349">
        <f>H52+I52</f>
        <v>0</v>
      </c>
      <c r="K52" s="3986" t="e">
        <f t="shared" si="134"/>
        <v>#DIV/0!</v>
      </c>
      <c r="L52" s="4043"/>
      <c r="M52" s="3341"/>
      <c r="N52" s="3341"/>
      <c r="O52" s="3349">
        <f t="shared" si="135"/>
        <v>0</v>
      </c>
      <c r="P52" s="3986">
        <f t="shared" si="136"/>
        <v>0</v>
      </c>
      <c r="Q52" s="4043"/>
      <c r="R52" s="3342">
        <f t="shared" si="137"/>
        <v>0</v>
      </c>
      <c r="S52" s="3342">
        <f t="shared" si="137"/>
        <v>0</v>
      </c>
      <c r="T52" s="2012">
        <f t="shared" si="138"/>
        <v>0</v>
      </c>
      <c r="U52" s="3455"/>
      <c r="V52" s="3455"/>
      <c r="W52" s="3342">
        <f t="shared" si="139"/>
        <v>0</v>
      </c>
      <c r="X52" s="3342">
        <f t="shared" si="139"/>
        <v>0</v>
      </c>
      <c r="Y52" s="2012">
        <f t="shared" si="140"/>
        <v>0</v>
      </c>
      <c r="Z52" s="3455"/>
      <c r="AA52" s="3455"/>
      <c r="AB52" s="3341"/>
      <c r="AC52" s="3341"/>
      <c r="AD52" s="3349">
        <f t="shared" si="141"/>
        <v>0</v>
      </c>
      <c r="AE52" s="3986">
        <f t="shared" si="142"/>
        <v>0</v>
      </c>
      <c r="AF52" s="4043"/>
      <c r="AG52" s="3341"/>
      <c r="AH52" s="3341"/>
      <c r="AI52" s="3349">
        <f t="shared" si="143"/>
        <v>0</v>
      </c>
      <c r="AJ52" s="3986">
        <f t="shared" si="144"/>
        <v>0</v>
      </c>
      <c r="AK52" s="4043"/>
      <c r="AL52" s="3341"/>
      <c r="AM52" s="3341"/>
      <c r="AN52" s="3349">
        <f t="shared" si="145"/>
        <v>0</v>
      </c>
      <c r="AO52" s="3986" t="e">
        <f t="shared" si="146"/>
        <v>#DIV/0!</v>
      </c>
      <c r="AP52" s="4043"/>
      <c r="AQ52" s="3341"/>
      <c r="AR52" s="3341"/>
      <c r="AS52" s="3349">
        <f t="shared" si="147"/>
        <v>0</v>
      </c>
      <c r="AT52" s="3986" t="e">
        <f t="shared" si="148"/>
        <v>#DIV/0!</v>
      </c>
      <c r="AU52" s="4043"/>
      <c r="AV52" s="3341"/>
      <c r="AW52" s="3341"/>
      <c r="AX52" s="3349">
        <f t="shared" si="149"/>
        <v>0</v>
      </c>
      <c r="AY52" s="3986" t="e">
        <f t="shared" si="150"/>
        <v>#DIV/0!</v>
      </c>
      <c r="AZ52" s="4043"/>
      <c r="BA52" s="3341"/>
      <c r="BB52" s="3341"/>
      <c r="BC52" s="3349">
        <f t="shared" si="151"/>
        <v>0</v>
      </c>
      <c r="BD52" s="3986" t="e">
        <f t="shared" si="152"/>
        <v>#DIV/0!</v>
      </c>
      <c r="BE52" s="4043"/>
      <c r="BF52" s="3341"/>
      <c r="BG52" s="3341"/>
      <c r="BH52" s="3349">
        <f t="shared" si="153"/>
        <v>0</v>
      </c>
      <c r="BI52" s="3986" t="e">
        <f t="shared" si="154"/>
        <v>#DIV/0!</v>
      </c>
      <c r="BJ52" s="4043"/>
      <c r="BK52" s="3341"/>
      <c r="BL52" s="3341"/>
      <c r="BM52" s="3349">
        <f t="shared" si="155"/>
        <v>0</v>
      </c>
      <c r="BN52" s="3986" t="e">
        <f t="shared" si="156"/>
        <v>#DIV/0!</v>
      </c>
      <c r="BO52" s="4043"/>
      <c r="BP52" s="3341"/>
      <c r="BQ52" s="3341"/>
      <c r="BR52" s="3349">
        <f t="shared" si="157"/>
        <v>0</v>
      </c>
      <c r="BS52" s="3986" t="e">
        <f t="shared" si="158"/>
        <v>#DIV/0!</v>
      </c>
      <c r="BT52" s="4043"/>
      <c r="BU52" s="3341"/>
      <c r="BV52" s="3341"/>
      <c r="BW52" s="3349">
        <f t="shared" si="159"/>
        <v>0</v>
      </c>
      <c r="BX52" s="3986" t="e">
        <f t="shared" si="160"/>
        <v>#DIV/0!</v>
      </c>
      <c r="BY52" s="4043"/>
      <c r="BZ52" s="3341"/>
      <c r="CA52" s="3341"/>
      <c r="CB52" s="3349">
        <f t="shared" si="161"/>
        <v>0</v>
      </c>
      <c r="CC52" s="3986" t="e">
        <f t="shared" si="162"/>
        <v>#DIV/0!</v>
      </c>
      <c r="CD52" s="4043"/>
      <c r="CE52" s="3341"/>
      <c r="CF52" s="3341"/>
      <c r="CG52" s="3349">
        <f t="shared" si="163"/>
        <v>0</v>
      </c>
      <c r="CH52" s="3986" t="e">
        <f t="shared" si="164"/>
        <v>#DIV/0!</v>
      </c>
      <c r="CI52" s="4043"/>
      <c r="CJ52" s="3341">
        <f t="shared" si="165"/>
        <v>0</v>
      </c>
      <c r="CK52" s="3341">
        <f t="shared" si="165"/>
        <v>0</v>
      </c>
      <c r="CL52" s="2012">
        <f>CJ52+CK52*1</f>
        <v>0</v>
      </c>
      <c r="CM52" s="3986">
        <f>CL52/$CL$89</f>
        <v>0</v>
      </c>
      <c r="CN52" s="4044"/>
      <c r="CP52" s="2012">
        <f>CN52+CO52*1</f>
        <v>0</v>
      </c>
      <c r="CQ52" s="2012">
        <f>CO52+CP52*1</f>
        <v>0</v>
      </c>
      <c r="CR52" s="4035"/>
    </row>
    <row r="53" spans="1:98" ht="14.4" outlineLevel="1" thickBot="1">
      <c r="A53" s="1413"/>
      <c r="B53" s="4011"/>
      <c r="C53" s="3341"/>
      <c r="D53" s="3341"/>
      <c r="E53" s="3963"/>
      <c r="F53" s="3986" t="e">
        <f t="shared" si="133"/>
        <v>#DIV/0!</v>
      </c>
      <c r="G53" s="3964"/>
      <c r="H53" s="3341"/>
      <c r="I53" s="3341"/>
      <c r="J53" s="3963"/>
      <c r="K53" s="3986" t="e">
        <f t="shared" ref="K53:K54" si="166">J53/$E$89</f>
        <v>#DIV/0!</v>
      </c>
      <c r="L53" s="3964"/>
      <c r="M53" s="3341"/>
      <c r="N53" s="3341"/>
      <c r="O53" s="3963"/>
      <c r="P53" s="3986">
        <f t="shared" si="136"/>
        <v>0</v>
      </c>
      <c r="Q53" s="3964"/>
      <c r="R53" s="4012"/>
      <c r="S53" s="3964"/>
      <c r="T53" s="3964"/>
      <c r="U53" s="3964"/>
      <c r="V53" s="3964"/>
      <c r="W53" s="3964"/>
      <c r="X53" s="3964"/>
      <c r="Y53" s="3964"/>
      <c r="Z53" s="3964"/>
      <c r="AA53" s="3964"/>
      <c r="AB53" s="3991"/>
      <c r="AC53" s="3991"/>
      <c r="AD53" s="3963"/>
      <c r="AE53" s="3993">
        <f t="shared" si="142"/>
        <v>0</v>
      </c>
      <c r="AF53" s="3964"/>
      <c r="AG53" s="3991"/>
      <c r="AH53" s="3991"/>
      <c r="AI53" s="3963"/>
      <c r="AJ53" s="3993">
        <f t="shared" si="144"/>
        <v>0</v>
      </c>
      <c r="AK53" s="3964"/>
      <c r="AL53" s="3991"/>
      <c r="AM53" s="3991"/>
      <c r="AN53" s="3963"/>
      <c r="AO53" s="3993" t="e">
        <f t="shared" si="146"/>
        <v>#DIV/0!</v>
      </c>
      <c r="AP53" s="3964"/>
      <c r="AQ53" s="3991"/>
      <c r="AR53" s="3991"/>
      <c r="AS53" s="3963"/>
      <c r="AT53" s="3993" t="e">
        <f t="shared" si="148"/>
        <v>#DIV/0!</v>
      </c>
      <c r="AU53" s="3964"/>
      <c r="AV53" s="3991"/>
      <c r="AW53" s="3991"/>
      <c r="AX53" s="3963"/>
      <c r="AY53" s="3993" t="e">
        <f t="shared" si="150"/>
        <v>#DIV/0!</v>
      </c>
      <c r="AZ53" s="3964"/>
      <c r="BA53" s="3991"/>
      <c r="BB53" s="3991"/>
      <c r="BC53" s="3963"/>
      <c r="BD53" s="3993" t="e">
        <f t="shared" si="152"/>
        <v>#DIV/0!</v>
      </c>
      <c r="BE53" s="3964"/>
      <c r="BF53" s="3991"/>
      <c r="BG53" s="3991"/>
      <c r="BH53" s="3963"/>
      <c r="BI53" s="3993" t="e">
        <f t="shared" si="154"/>
        <v>#DIV/0!</v>
      </c>
      <c r="BJ53" s="3964"/>
      <c r="BK53" s="3991"/>
      <c r="BL53" s="3991"/>
      <c r="BM53" s="3963"/>
      <c r="BN53" s="3993" t="e">
        <f t="shared" si="156"/>
        <v>#DIV/0!</v>
      </c>
      <c r="BO53" s="3964"/>
      <c r="BP53" s="3991"/>
      <c r="BQ53" s="3991"/>
      <c r="BR53" s="3963"/>
      <c r="BS53" s="3993" t="e">
        <f t="shared" si="158"/>
        <v>#DIV/0!</v>
      </c>
      <c r="BT53" s="3964"/>
      <c r="BU53" s="3991"/>
      <c r="BV53" s="3991"/>
      <c r="BW53" s="3963"/>
      <c r="BX53" s="3993" t="e">
        <f t="shared" si="160"/>
        <v>#DIV/0!</v>
      </c>
      <c r="BY53" s="3964"/>
      <c r="BZ53" s="3991"/>
      <c r="CA53" s="3991"/>
      <c r="CB53" s="3963"/>
      <c r="CC53" s="3993" t="e">
        <f t="shared" si="162"/>
        <v>#DIV/0!</v>
      </c>
      <c r="CD53" s="3964"/>
      <c r="CE53" s="3991"/>
      <c r="CF53" s="3991"/>
      <c r="CG53" s="3963"/>
      <c r="CH53" s="3993" t="e">
        <f t="shared" si="164"/>
        <v>#DIV/0!</v>
      </c>
      <c r="CI53" s="3964"/>
      <c r="CJ53" s="3991">
        <f t="shared" si="165"/>
        <v>0</v>
      </c>
      <c r="CK53" s="3991">
        <f t="shared" si="165"/>
        <v>0</v>
      </c>
      <c r="CL53" s="3963"/>
      <c r="CM53" s="3963"/>
      <c r="CN53" s="3963"/>
      <c r="CP53" s="4013"/>
      <c r="CQ53" s="4013"/>
      <c r="CR53" s="4035"/>
    </row>
    <row r="54" spans="1:98" ht="13.8" outlineLevel="1">
      <c r="A54" s="1570"/>
      <c r="B54" s="1410" t="s">
        <v>1</v>
      </c>
      <c r="C54" s="2015">
        <f>SUM(C55:C72)</f>
        <v>0</v>
      </c>
      <c r="D54" s="2015">
        <f>SUM(D55:D72)</f>
        <v>0</v>
      </c>
      <c r="E54" s="2014">
        <f>SUM(E55:E72)</f>
        <v>0</v>
      </c>
      <c r="F54" s="3988" t="e">
        <f t="shared" si="133"/>
        <v>#DIV/0!</v>
      </c>
      <c r="G54" s="1057"/>
      <c r="H54" s="2015">
        <f>SUM(H55:H72)</f>
        <v>0</v>
      </c>
      <c r="I54" s="2015">
        <f>SUM(I55:I72)</f>
        <v>0</v>
      </c>
      <c r="J54" s="2014">
        <f>SUM(J55:J72)</f>
        <v>0</v>
      </c>
      <c r="K54" s="3988" t="e">
        <f t="shared" si="166"/>
        <v>#DIV/0!</v>
      </c>
      <c r="L54" s="1057"/>
      <c r="M54" s="2015">
        <f>SUM(M55:M72)</f>
        <v>0</v>
      </c>
      <c r="N54" s="2015">
        <f>SUM(N55:N72)</f>
        <v>0</v>
      </c>
      <c r="O54" s="2014">
        <f>SUM(O55:O72)</f>
        <v>0</v>
      </c>
      <c r="P54" s="3988" t="e">
        <f t="shared" ref="P54" si="167">O54/$E$89</f>
        <v>#DIV/0!</v>
      </c>
      <c r="Q54" s="1057"/>
      <c r="R54" s="2013">
        <f>SUM(R55:R72)</f>
        <v>0</v>
      </c>
      <c r="S54" s="2013">
        <f>SUM(S55:S72)</f>
        <v>0</v>
      </c>
      <c r="T54" s="2013">
        <f>SUM(T55:T72)</f>
        <v>0</v>
      </c>
      <c r="U54" s="1535"/>
      <c r="V54" s="3460"/>
      <c r="W54" s="2013">
        <f>SUM(W55:W72)</f>
        <v>0</v>
      </c>
      <c r="X54" s="2013">
        <f>SUM(X55:X72)</f>
        <v>0</v>
      </c>
      <c r="Y54" s="2013">
        <f>SUM(Y55:Y72)</f>
        <v>0</v>
      </c>
      <c r="Z54" s="1535"/>
      <c r="AA54" s="3460"/>
      <c r="AB54" s="2013">
        <f>SUM(AB55:AB72)</f>
        <v>0</v>
      </c>
      <c r="AC54" s="2013">
        <f>SUM(AC55:AC72)</f>
        <v>0</v>
      </c>
      <c r="AD54" s="2013">
        <f>SUM(AD55:AD72)</f>
        <v>0</v>
      </c>
      <c r="AE54" s="1535"/>
      <c r="AF54" s="3735"/>
      <c r="AG54" s="2013">
        <f>SUM(AG55:AG72)</f>
        <v>0</v>
      </c>
      <c r="AH54" s="2013">
        <f>SUM(AH55:AH72)</f>
        <v>0</v>
      </c>
      <c r="AI54" s="2013">
        <f>SUM(AI55:AI72)</f>
        <v>0</v>
      </c>
      <c r="AJ54" s="1535"/>
      <c r="AK54" s="3735"/>
      <c r="AL54" s="2013">
        <f>SUM(AL55:AL72)</f>
        <v>0</v>
      </c>
      <c r="AM54" s="2013">
        <f>SUM(AM55:AM72)</f>
        <v>0</v>
      </c>
      <c r="AN54" s="2013">
        <f>SUM(AN55:AN72)</f>
        <v>0</v>
      </c>
      <c r="AO54" s="1535"/>
      <c r="AP54" s="3735"/>
      <c r="AQ54" s="2013">
        <f>SUM(AQ55:AQ72)</f>
        <v>0</v>
      </c>
      <c r="AR54" s="2013">
        <f>SUM(AR55:AR72)</f>
        <v>0</v>
      </c>
      <c r="AS54" s="2013">
        <f>SUM(AS55:AS72)</f>
        <v>0</v>
      </c>
      <c r="AT54" s="1535"/>
      <c r="AU54" s="3735"/>
      <c r="AV54" s="2013">
        <f>SUM(AV55:AV72)</f>
        <v>0</v>
      </c>
      <c r="AW54" s="2013">
        <f>SUM(AW55:AW72)</f>
        <v>0</v>
      </c>
      <c r="AX54" s="2013">
        <f>SUM(AX55:AX72)</f>
        <v>0</v>
      </c>
      <c r="AY54" s="1535"/>
      <c r="AZ54" s="3735"/>
      <c r="BA54" s="2013">
        <f>SUM(BA55:BA72)</f>
        <v>0</v>
      </c>
      <c r="BB54" s="2013">
        <f>SUM(BB55:BB72)</f>
        <v>0</v>
      </c>
      <c r="BC54" s="2013">
        <f>SUM(BC55:BC72)</f>
        <v>0</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0</v>
      </c>
      <c r="CK54" s="2013">
        <f>SUM(CK55:CK72)</f>
        <v>0</v>
      </c>
      <c r="CL54" s="2013">
        <f>SUM(CL55:CL72)</f>
        <v>0</v>
      </c>
      <c r="CM54" s="1535">
        <f t="shared" ref="CM54:CM71" si="168">CL54/$CL$89</f>
        <v>0</v>
      </c>
      <c r="CN54" s="1061"/>
      <c r="CP54" s="2015">
        <f>SUM(CP55:CP72)</f>
        <v>0</v>
      </c>
      <c r="CQ54" s="2015">
        <f>SUM(CQ55:CQ72)</f>
        <v>0</v>
      </c>
      <c r="CR54" s="2015"/>
    </row>
    <row r="55" spans="1:98" ht="13.8" outlineLevel="2">
      <c r="A55" s="1571"/>
      <c r="B55" s="4042" t="s">
        <v>77</v>
      </c>
      <c r="C55" s="3349"/>
      <c r="D55" s="3349"/>
      <c r="E55" s="3349">
        <f t="shared" ref="E55:E71" si="169">C55+D55</f>
        <v>0</v>
      </c>
      <c r="F55" s="3986" t="e">
        <f t="shared" si="133"/>
        <v>#DIV/0!</v>
      </c>
      <c r="G55" s="4046"/>
      <c r="H55" s="3349"/>
      <c r="I55" s="3349"/>
      <c r="J55" s="3349">
        <f t="shared" ref="J55:J71" si="170">H55+I55</f>
        <v>0</v>
      </c>
      <c r="K55" s="3986" t="e">
        <f t="shared" ref="K55:K72" si="171">J55/J$89</f>
        <v>#DIV/0!</v>
      </c>
      <c r="L55" s="4046"/>
      <c r="M55" s="3349"/>
      <c r="N55" s="3349"/>
      <c r="O55" s="3349">
        <f t="shared" ref="O55:O71" si="172">M55+N55</f>
        <v>0</v>
      </c>
      <c r="P55" s="3986">
        <f t="shared" ref="P55:P72" si="173">O55/O$89</f>
        <v>0</v>
      </c>
      <c r="Q55" s="4046"/>
      <c r="R55" s="3342">
        <f t="shared" ref="R55:S71" si="174">M55+H55+C55</f>
        <v>0</v>
      </c>
      <c r="S55" s="3342">
        <f t="shared" si="174"/>
        <v>0</v>
      </c>
      <c r="T55" s="2012">
        <f t="shared" ref="T55:T71" si="175">R55+S55</f>
        <v>0</v>
      </c>
      <c r="U55" s="3462"/>
      <c r="V55" s="3462"/>
      <c r="W55" s="3342">
        <f t="shared" ref="W55:X71" si="176">AB55+AG55+AL55+AV55+BA55+BF55+BK55+BP55+BU55+BZ55+CE55+AQ55</f>
        <v>0</v>
      </c>
      <c r="X55" s="3342">
        <f t="shared" si="176"/>
        <v>0</v>
      </c>
      <c r="Y55" s="2012">
        <f t="shared" ref="Y55:Y71" si="177">W55+X55</f>
        <v>0</v>
      </c>
      <c r="Z55" s="3462"/>
      <c r="AA55" s="3462"/>
      <c r="AB55" s="3349"/>
      <c r="AC55" s="3349"/>
      <c r="AD55" s="3349">
        <f t="shared" ref="AD55:AD71" si="178">AB55+AC55</f>
        <v>0</v>
      </c>
      <c r="AE55" s="3986">
        <f t="shared" ref="AE55:AE71" si="179">AD55/AD$89</f>
        <v>0</v>
      </c>
      <c r="AF55" s="4046"/>
      <c r="AG55" s="3349"/>
      <c r="AH55" s="3349"/>
      <c r="AI55" s="3349">
        <f t="shared" ref="AI55:AI71" si="180">AG55+AH55</f>
        <v>0</v>
      </c>
      <c r="AJ55" s="3986">
        <f t="shared" ref="AJ55:AJ71" si="181">AI55/AI$89</f>
        <v>0</v>
      </c>
      <c r="AK55" s="4046"/>
      <c r="AL55" s="3349"/>
      <c r="AM55" s="3349"/>
      <c r="AN55" s="3349">
        <f t="shared" ref="AN55:AN71" si="182">AL55+AM55</f>
        <v>0</v>
      </c>
      <c r="AO55" s="3986" t="e">
        <f t="shared" ref="AO55:AO71" si="183">AN55/AN$89</f>
        <v>#DIV/0!</v>
      </c>
      <c r="AP55" s="4046"/>
      <c r="AQ55" s="3349"/>
      <c r="AR55" s="3349"/>
      <c r="AS55" s="3349">
        <f t="shared" ref="AS55:AS71" si="184">AQ55+AR55</f>
        <v>0</v>
      </c>
      <c r="AT55" s="3986" t="e">
        <f t="shared" ref="AT55:AT71" si="185">AS55/AS$89</f>
        <v>#DIV/0!</v>
      </c>
      <c r="AU55" s="4046"/>
      <c r="AV55" s="3349"/>
      <c r="AW55" s="3349"/>
      <c r="AX55" s="3349">
        <f t="shared" ref="AX55:AX71" si="186">AV55+AW55</f>
        <v>0</v>
      </c>
      <c r="AY55" s="3986" t="e">
        <f t="shared" ref="AY55:AY71" si="187">AX55/AX$89</f>
        <v>#DIV/0!</v>
      </c>
      <c r="AZ55" s="4046"/>
      <c r="BA55" s="3349"/>
      <c r="BB55" s="3349"/>
      <c r="BC55" s="3349">
        <f t="shared" ref="BC55:BC71" si="188">BA55+BB55</f>
        <v>0</v>
      </c>
      <c r="BD55" s="3986" t="e">
        <f t="shared" ref="BD55:BD71" si="189">BC55/BC$89</f>
        <v>#DIV/0!</v>
      </c>
      <c r="BE55" s="4046"/>
      <c r="BF55" s="3349"/>
      <c r="BG55" s="3349"/>
      <c r="BH55" s="3349">
        <f t="shared" ref="BH55:BH71" si="190">BF55+BG55</f>
        <v>0</v>
      </c>
      <c r="BI55" s="3986" t="e">
        <f t="shared" ref="BI55:BI71" si="191">BH55/BH$89</f>
        <v>#DIV/0!</v>
      </c>
      <c r="BJ55" s="4046"/>
      <c r="BK55" s="3349"/>
      <c r="BL55" s="3349"/>
      <c r="BM55" s="3349">
        <f t="shared" ref="BM55:BM71" si="192">BK55+BL55</f>
        <v>0</v>
      </c>
      <c r="BN55" s="3986" t="e">
        <f t="shared" ref="BN55:BN71" si="193">BM55/BM$89</f>
        <v>#DIV/0!</v>
      </c>
      <c r="BO55" s="4046"/>
      <c r="BP55" s="3349"/>
      <c r="BQ55" s="3349"/>
      <c r="BR55" s="3349">
        <f t="shared" ref="BR55:BR71" si="194">BP55+BQ55</f>
        <v>0</v>
      </c>
      <c r="BS55" s="3986" t="e">
        <f t="shared" ref="BS55:BS71" si="195">BR55/BR$89</f>
        <v>#DIV/0!</v>
      </c>
      <c r="BT55" s="4046"/>
      <c r="BU55" s="3349"/>
      <c r="BV55" s="3349"/>
      <c r="BW55" s="3349">
        <f t="shared" ref="BW55:BW71" si="196">BU55+BV55</f>
        <v>0</v>
      </c>
      <c r="BX55" s="3986" t="e">
        <f t="shared" ref="BX55:BX71" si="197">BW55/BW$89</f>
        <v>#DIV/0!</v>
      </c>
      <c r="BY55" s="4046"/>
      <c r="BZ55" s="3349"/>
      <c r="CA55" s="3349"/>
      <c r="CB55" s="3349">
        <f t="shared" ref="CB55:CB71" si="198">BZ55+CA55</f>
        <v>0</v>
      </c>
      <c r="CC55" s="3986" t="e">
        <f t="shared" ref="CC55:CC71" si="199">CB55/CB$89</f>
        <v>#DIV/0!</v>
      </c>
      <c r="CD55" s="4046"/>
      <c r="CE55" s="3349"/>
      <c r="CF55" s="3349"/>
      <c r="CG55" s="3349">
        <f t="shared" ref="CG55:CG71" si="200">CE55+CF55</f>
        <v>0</v>
      </c>
      <c r="CH55" s="3986" t="e">
        <f t="shared" ref="CH55:CH71" si="201">CG55/CG$89</f>
        <v>#DIV/0!</v>
      </c>
      <c r="CI55" s="4046"/>
      <c r="CJ55" s="3341">
        <f t="shared" ref="CJ55:CK71" si="202">C55+H55+M55+W55</f>
        <v>0</v>
      </c>
      <c r="CK55" s="3341">
        <f t="shared" si="202"/>
        <v>0</v>
      </c>
      <c r="CL55" s="2012">
        <f t="shared" ref="CL55:CL71" si="203">CJ55+CK55*1</f>
        <v>0</v>
      </c>
      <c r="CM55" s="3986">
        <f t="shared" si="168"/>
        <v>0</v>
      </c>
      <c r="CN55" s="3987"/>
      <c r="CP55" s="2012"/>
      <c r="CQ55" s="2012">
        <f t="shared" ref="CQ55:CQ71" si="204">CO55+CP55*1</f>
        <v>0</v>
      </c>
      <c r="CR55" s="4035"/>
    </row>
    <row r="56" spans="1:98" ht="13.8" outlineLevel="2">
      <c r="A56" s="1571"/>
      <c r="B56" s="4042" t="s">
        <v>76</v>
      </c>
      <c r="C56" s="3349"/>
      <c r="D56" s="3349"/>
      <c r="E56" s="3349">
        <f t="shared" si="169"/>
        <v>0</v>
      </c>
      <c r="F56" s="3986" t="e">
        <f t="shared" si="133"/>
        <v>#DIV/0!</v>
      </c>
      <c r="G56" s="4046"/>
      <c r="H56" s="3349"/>
      <c r="I56" s="3349"/>
      <c r="J56" s="3349">
        <f t="shared" si="170"/>
        <v>0</v>
      </c>
      <c r="K56" s="3986" t="e">
        <f t="shared" si="171"/>
        <v>#DIV/0!</v>
      </c>
      <c r="L56" s="4046"/>
      <c r="M56" s="3349"/>
      <c r="N56" s="3349"/>
      <c r="O56" s="3349">
        <f t="shared" si="172"/>
        <v>0</v>
      </c>
      <c r="P56" s="3986">
        <f t="shared" si="173"/>
        <v>0</v>
      </c>
      <c r="Q56" s="4046"/>
      <c r="R56" s="3342">
        <f t="shared" si="174"/>
        <v>0</v>
      </c>
      <c r="S56" s="3342">
        <f t="shared" si="174"/>
        <v>0</v>
      </c>
      <c r="T56" s="2012">
        <f t="shared" si="175"/>
        <v>0</v>
      </c>
      <c r="U56" s="3462"/>
      <c r="V56" s="3462"/>
      <c r="W56" s="3342">
        <f t="shared" si="176"/>
        <v>0</v>
      </c>
      <c r="X56" s="3342">
        <f t="shared" si="176"/>
        <v>0</v>
      </c>
      <c r="Y56" s="2012">
        <f t="shared" si="177"/>
        <v>0</v>
      </c>
      <c r="Z56" s="3462"/>
      <c r="AA56" s="3462"/>
      <c r="AB56" s="3349"/>
      <c r="AC56" s="3349"/>
      <c r="AD56" s="3349">
        <f t="shared" si="178"/>
        <v>0</v>
      </c>
      <c r="AE56" s="3986">
        <f t="shared" si="179"/>
        <v>0</v>
      </c>
      <c r="AF56" s="4046"/>
      <c r="AG56" s="3349"/>
      <c r="AH56" s="3349"/>
      <c r="AI56" s="3349">
        <f t="shared" si="180"/>
        <v>0</v>
      </c>
      <c r="AJ56" s="3986">
        <f t="shared" si="181"/>
        <v>0</v>
      </c>
      <c r="AK56" s="4046"/>
      <c r="AL56" s="3349"/>
      <c r="AM56" s="3349"/>
      <c r="AN56" s="3349">
        <f t="shared" si="182"/>
        <v>0</v>
      </c>
      <c r="AO56" s="3986" t="e">
        <f t="shared" si="183"/>
        <v>#DIV/0!</v>
      </c>
      <c r="AP56" s="4046"/>
      <c r="AQ56" s="3349"/>
      <c r="AR56" s="3349"/>
      <c r="AS56" s="3349">
        <f t="shared" si="184"/>
        <v>0</v>
      </c>
      <c r="AT56" s="3986" t="e">
        <f t="shared" si="185"/>
        <v>#DIV/0!</v>
      </c>
      <c r="AU56" s="4046"/>
      <c r="AV56" s="3349"/>
      <c r="AW56" s="3349"/>
      <c r="AX56" s="3349">
        <f t="shared" si="186"/>
        <v>0</v>
      </c>
      <c r="AY56" s="3986" t="e">
        <f t="shared" si="187"/>
        <v>#DIV/0!</v>
      </c>
      <c r="AZ56" s="4046"/>
      <c r="BA56" s="3349"/>
      <c r="BB56" s="3349"/>
      <c r="BC56" s="3349">
        <f t="shared" si="188"/>
        <v>0</v>
      </c>
      <c r="BD56" s="3986" t="e">
        <f t="shared" si="189"/>
        <v>#DIV/0!</v>
      </c>
      <c r="BE56" s="4046"/>
      <c r="BF56" s="3349"/>
      <c r="BG56" s="3349"/>
      <c r="BH56" s="3349">
        <f t="shared" si="190"/>
        <v>0</v>
      </c>
      <c r="BI56" s="3986" t="e">
        <f t="shared" si="191"/>
        <v>#DIV/0!</v>
      </c>
      <c r="BJ56" s="4046"/>
      <c r="BK56" s="3349"/>
      <c r="BL56" s="3349"/>
      <c r="BM56" s="3349">
        <f t="shared" si="192"/>
        <v>0</v>
      </c>
      <c r="BN56" s="3986" t="e">
        <f t="shared" si="193"/>
        <v>#DIV/0!</v>
      </c>
      <c r="BO56" s="4046"/>
      <c r="BP56" s="3349"/>
      <c r="BQ56" s="3349"/>
      <c r="BR56" s="3349">
        <f t="shared" si="194"/>
        <v>0</v>
      </c>
      <c r="BS56" s="3986" t="e">
        <f t="shared" si="195"/>
        <v>#DIV/0!</v>
      </c>
      <c r="BT56" s="4046"/>
      <c r="BU56" s="3349"/>
      <c r="BV56" s="3349"/>
      <c r="BW56" s="3349">
        <f t="shared" si="196"/>
        <v>0</v>
      </c>
      <c r="BX56" s="3986" t="e">
        <f t="shared" si="197"/>
        <v>#DIV/0!</v>
      </c>
      <c r="BY56" s="4046"/>
      <c r="BZ56" s="3349"/>
      <c r="CA56" s="3349"/>
      <c r="CB56" s="3349">
        <f t="shared" si="198"/>
        <v>0</v>
      </c>
      <c r="CC56" s="3986" t="e">
        <f t="shared" si="199"/>
        <v>#DIV/0!</v>
      </c>
      <c r="CD56" s="4046"/>
      <c r="CE56" s="3349"/>
      <c r="CF56" s="3349"/>
      <c r="CG56" s="3349">
        <f t="shared" si="200"/>
        <v>0</v>
      </c>
      <c r="CH56" s="3986" t="e">
        <f t="shared" si="201"/>
        <v>#DIV/0!</v>
      </c>
      <c r="CI56" s="4046"/>
      <c r="CJ56" s="3341">
        <f t="shared" si="202"/>
        <v>0</v>
      </c>
      <c r="CK56" s="3341">
        <f t="shared" si="202"/>
        <v>0</v>
      </c>
      <c r="CL56" s="2012">
        <f t="shared" si="203"/>
        <v>0</v>
      </c>
      <c r="CM56" s="3986">
        <f t="shared" si="168"/>
        <v>0</v>
      </c>
      <c r="CN56" s="3987"/>
      <c r="CP56" s="2012"/>
      <c r="CQ56" s="2012">
        <f t="shared" si="204"/>
        <v>0</v>
      </c>
      <c r="CR56" s="4035"/>
    </row>
    <row r="57" spans="1:98" ht="13.8" outlineLevel="2">
      <c r="A57" s="1571"/>
      <c r="B57" s="4042" t="s">
        <v>68</v>
      </c>
      <c r="C57" s="3349"/>
      <c r="D57" s="3349"/>
      <c r="E57" s="3349">
        <f t="shared" si="169"/>
        <v>0</v>
      </c>
      <c r="F57" s="3986" t="e">
        <f t="shared" si="133"/>
        <v>#DIV/0!</v>
      </c>
      <c r="G57" s="4046"/>
      <c r="H57" s="3349"/>
      <c r="I57" s="3349"/>
      <c r="J57" s="3349">
        <f t="shared" si="170"/>
        <v>0</v>
      </c>
      <c r="K57" s="3986" t="e">
        <f t="shared" si="171"/>
        <v>#DIV/0!</v>
      </c>
      <c r="L57" s="4046"/>
      <c r="M57" s="3349"/>
      <c r="N57" s="3349"/>
      <c r="O57" s="3349">
        <f t="shared" si="172"/>
        <v>0</v>
      </c>
      <c r="P57" s="3986">
        <f t="shared" si="173"/>
        <v>0</v>
      </c>
      <c r="Q57" s="4046"/>
      <c r="R57" s="3342">
        <f t="shared" si="174"/>
        <v>0</v>
      </c>
      <c r="S57" s="3342">
        <f t="shared" si="174"/>
        <v>0</v>
      </c>
      <c r="T57" s="2012">
        <f t="shared" si="175"/>
        <v>0</v>
      </c>
      <c r="U57" s="3462"/>
      <c r="V57" s="3462"/>
      <c r="W57" s="3342">
        <f t="shared" si="176"/>
        <v>0</v>
      </c>
      <c r="X57" s="3342">
        <f t="shared" si="176"/>
        <v>0</v>
      </c>
      <c r="Y57" s="2012">
        <f t="shared" si="177"/>
        <v>0</v>
      </c>
      <c r="Z57" s="3462"/>
      <c r="AA57" s="3462"/>
      <c r="AB57" s="3349"/>
      <c r="AC57" s="3349"/>
      <c r="AD57" s="3349">
        <f t="shared" si="178"/>
        <v>0</v>
      </c>
      <c r="AE57" s="3986">
        <f t="shared" si="179"/>
        <v>0</v>
      </c>
      <c r="AF57" s="4046"/>
      <c r="AG57" s="3349"/>
      <c r="AH57" s="3349"/>
      <c r="AI57" s="3349">
        <f t="shared" si="180"/>
        <v>0</v>
      </c>
      <c r="AJ57" s="3986">
        <f t="shared" si="181"/>
        <v>0</v>
      </c>
      <c r="AK57" s="4046"/>
      <c r="AL57" s="3349"/>
      <c r="AM57" s="3349"/>
      <c r="AN57" s="3349">
        <f t="shared" si="182"/>
        <v>0</v>
      </c>
      <c r="AO57" s="3986" t="e">
        <f t="shared" si="183"/>
        <v>#DIV/0!</v>
      </c>
      <c r="AP57" s="4046"/>
      <c r="AQ57" s="3349"/>
      <c r="AR57" s="3349"/>
      <c r="AS57" s="3349">
        <f t="shared" si="184"/>
        <v>0</v>
      </c>
      <c r="AT57" s="3986" t="e">
        <f t="shared" si="185"/>
        <v>#DIV/0!</v>
      </c>
      <c r="AU57" s="4046"/>
      <c r="AV57" s="3349"/>
      <c r="AW57" s="3349"/>
      <c r="AX57" s="3349">
        <f t="shared" si="186"/>
        <v>0</v>
      </c>
      <c r="AY57" s="3986" t="e">
        <f t="shared" si="187"/>
        <v>#DIV/0!</v>
      </c>
      <c r="AZ57" s="4046"/>
      <c r="BA57" s="3349"/>
      <c r="BB57" s="3349"/>
      <c r="BC57" s="3349">
        <f t="shared" si="188"/>
        <v>0</v>
      </c>
      <c r="BD57" s="3986" t="e">
        <f t="shared" si="189"/>
        <v>#DIV/0!</v>
      </c>
      <c r="BE57" s="4046"/>
      <c r="BF57" s="3349"/>
      <c r="BG57" s="3349"/>
      <c r="BH57" s="3349">
        <f t="shared" si="190"/>
        <v>0</v>
      </c>
      <c r="BI57" s="3986" t="e">
        <f t="shared" si="191"/>
        <v>#DIV/0!</v>
      </c>
      <c r="BJ57" s="4046"/>
      <c r="BK57" s="3349"/>
      <c r="BL57" s="3349"/>
      <c r="BM57" s="3349">
        <f t="shared" si="192"/>
        <v>0</v>
      </c>
      <c r="BN57" s="3986" t="e">
        <f t="shared" si="193"/>
        <v>#DIV/0!</v>
      </c>
      <c r="BO57" s="4046"/>
      <c r="BP57" s="3349"/>
      <c r="BQ57" s="3349"/>
      <c r="BR57" s="3349">
        <f t="shared" si="194"/>
        <v>0</v>
      </c>
      <c r="BS57" s="3986" t="e">
        <f t="shared" si="195"/>
        <v>#DIV/0!</v>
      </c>
      <c r="BT57" s="4046"/>
      <c r="BU57" s="3349"/>
      <c r="BV57" s="3349"/>
      <c r="BW57" s="3349">
        <f t="shared" si="196"/>
        <v>0</v>
      </c>
      <c r="BX57" s="3986" t="e">
        <f t="shared" si="197"/>
        <v>#DIV/0!</v>
      </c>
      <c r="BY57" s="4046"/>
      <c r="BZ57" s="3349"/>
      <c r="CA57" s="3349"/>
      <c r="CB57" s="3349">
        <f t="shared" si="198"/>
        <v>0</v>
      </c>
      <c r="CC57" s="3986" t="e">
        <f t="shared" si="199"/>
        <v>#DIV/0!</v>
      </c>
      <c r="CD57" s="4046"/>
      <c r="CE57" s="3349"/>
      <c r="CF57" s="3349"/>
      <c r="CG57" s="3349">
        <f t="shared" si="200"/>
        <v>0</v>
      </c>
      <c r="CH57" s="3986" t="e">
        <f t="shared" si="201"/>
        <v>#DIV/0!</v>
      </c>
      <c r="CI57" s="4046"/>
      <c r="CJ57" s="3341">
        <f t="shared" si="202"/>
        <v>0</v>
      </c>
      <c r="CK57" s="3341">
        <f t="shared" si="202"/>
        <v>0</v>
      </c>
      <c r="CL57" s="2012">
        <f t="shared" si="203"/>
        <v>0</v>
      </c>
      <c r="CM57" s="3986">
        <f t="shared" si="168"/>
        <v>0</v>
      </c>
      <c r="CN57" s="3987"/>
      <c r="CP57" s="2012"/>
      <c r="CQ57" s="2012">
        <f t="shared" si="204"/>
        <v>0</v>
      </c>
      <c r="CR57" s="4035"/>
    </row>
    <row r="58" spans="1:98" ht="13.8" outlineLevel="2">
      <c r="A58" s="1571"/>
      <c r="B58" s="4042" t="s">
        <v>67</v>
      </c>
      <c r="C58" s="3349"/>
      <c r="D58" s="3349"/>
      <c r="E58" s="3349">
        <f t="shared" si="169"/>
        <v>0</v>
      </c>
      <c r="F58" s="3986" t="e">
        <f t="shared" si="133"/>
        <v>#DIV/0!</v>
      </c>
      <c r="G58" s="4046"/>
      <c r="H58" s="3349"/>
      <c r="I58" s="3349"/>
      <c r="J58" s="3349">
        <f t="shared" si="170"/>
        <v>0</v>
      </c>
      <c r="K58" s="3986" t="e">
        <f t="shared" si="171"/>
        <v>#DIV/0!</v>
      </c>
      <c r="L58" s="4046"/>
      <c r="M58" s="3349"/>
      <c r="N58" s="3349"/>
      <c r="O58" s="3349">
        <f t="shared" si="172"/>
        <v>0</v>
      </c>
      <c r="P58" s="3986">
        <f t="shared" si="173"/>
        <v>0</v>
      </c>
      <c r="Q58" s="4046"/>
      <c r="R58" s="3342">
        <f t="shared" si="174"/>
        <v>0</v>
      </c>
      <c r="S58" s="3342">
        <f t="shared" si="174"/>
        <v>0</v>
      </c>
      <c r="T58" s="2012">
        <f t="shared" si="175"/>
        <v>0</v>
      </c>
      <c r="U58" s="3462"/>
      <c r="V58" s="3462"/>
      <c r="W58" s="3342">
        <f t="shared" si="176"/>
        <v>0</v>
      </c>
      <c r="X58" s="3342">
        <f t="shared" si="176"/>
        <v>0</v>
      </c>
      <c r="Y58" s="2012">
        <f t="shared" si="177"/>
        <v>0</v>
      </c>
      <c r="Z58" s="3462"/>
      <c r="AA58" s="3462"/>
      <c r="AB58" s="3349"/>
      <c r="AC58" s="3349"/>
      <c r="AD58" s="3349">
        <f t="shared" si="178"/>
        <v>0</v>
      </c>
      <c r="AE58" s="3986">
        <f t="shared" si="179"/>
        <v>0</v>
      </c>
      <c r="AF58" s="4046"/>
      <c r="AG58" s="3349"/>
      <c r="AH58" s="3349"/>
      <c r="AI58" s="3349">
        <f t="shared" si="180"/>
        <v>0</v>
      </c>
      <c r="AJ58" s="3986">
        <f t="shared" si="181"/>
        <v>0</v>
      </c>
      <c r="AK58" s="4046"/>
      <c r="AL58" s="3349"/>
      <c r="AM58" s="3349"/>
      <c r="AN58" s="3349">
        <f t="shared" si="182"/>
        <v>0</v>
      </c>
      <c r="AO58" s="3986" t="e">
        <f t="shared" si="183"/>
        <v>#DIV/0!</v>
      </c>
      <c r="AP58" s="4046"/>
      <c r="AQ58" s="3349"/>
      <c r="AR58" s="3349"/>
      <c r="AS58" s="3349">
        <f t="shared" si="184"/>
        <v>0</v>
      </c>
      <c r="AT58" s="3986" t="e">
        <f t="shared" si="185"/>
        <v>#DIV/0!</v>
      </c>
      <c r="AU58" s="4046"/>
      <c r="AV58" s="3349"/>
      <c r="AW58" s="3349"/>
      <c r="AX58" s="3349">
        <f t="shared" si="186"/>
        <v>0</v>
      </c>
      <c r="AY58" s="3986" t="e">
        <f t="shared" si="187"/>
        <v>#DIV/0!</v>
      </c>
      <c r="AZ58" s="4046"/>
      <c r="BA58" s="3349"/>
      <c r="BB58" s="3349"/>
      <c r="BC58" s="3349">
        <f t="shared" si="188"/>
        <v>0</v>
      </c>
      <c r="BD58" s="3986" t="e">
        <f t="shared" si="189"/>
        <v>#DIV/0!</v>
      </c>
      <c r="BE58" s="4046"/>
      <c r="BF58" s="3349"/>
      <c r="BG58" s="3349"/>
      <c r="BH58" s="3349">
        <f t="shared" si="190"/>
        <v>0</v>
      </c>
      <c r="BI58" s="3986" t="e">
        <f t="shared" si="191"/>
        <v>#DIV/0!</v>
      </c>
      <c r="BJ58" s="4046"/>
      <c r="BK58" s="3349"/>
      <c r="BL58" s="3349"/>
      <c r="BM58" s="3349">
        <f t="shared" si="192"/>
        <v>0</v>
      </c>
      <c r="BN58" s="3986" t="e">
        <f t="shared" si="193"/>
        <v>#DIV/0!</v>
      </c>
      <c r="BO58" s="4046"/>
      <c r="BP58" s="3349"/>
      <c r="BQ58" s="3349"/>
      <c r="BR58" s="3349">
        <f t="shared" si="194"/>
        <v>0</v>
      </c>
      <c r="BS58" s="3986" t="e">
        <f t="shared" si="195"/>
        <v>#DIV/0!</v>
      </c>
      <c r="BT58" s="4046"/>
      <c r="BU58" s="3349"/>
      <c r="BV58" s="3349"/>
      <c r="BW58" s="3349">
        <f t="shared" si="196"/>
        <v>0</v>
      </c>
      <c r="BX58" s="3986" t="e">
        <f t="shared" si="197"/>
        <v>#DIV/0!</v>
      </c>
      <c r="BY58" s="4046"/>
      <c r="BZ58" s="3349"/>
      <c r="CA58" s="3349"/>
      <c r="CB58" s="3349">
        <f t="shared" si="198"/>
        <v>0</v>
      </c>
      <c r="CC58" s="3986" t="e">
        <f t="shared" si="199"/>
        <v>#DIV/0!</v>
      </c>
      <c r="CD58" s="4046"/>
      <c r="CE58" s="3349"/>
      <c r="CF58" s="3349"/>
      <c r="CG58" s="3349">
        <f t="shared" si="200"/>
        <v>0</v>
      </c>
      <c r="CH58" s="3986" t="e">
        <f t="shared" si="201"/>
        <v>#DIV/0!</v>
      </c>
      <c r="CI58" s="4046"/>
      <c r="CJ58" s="3341">
        <f t="shared" si="202"/>
        <v>0</v>
      </c>
      <c r="CK58" s="3341">
        <f t="shared" si="202"/>
        <v>0</v>
      </c>
      <c r="CL58" s="2012">
        <f t="shared" si="203"/>
        <v>0</v>
      </c>
      <c r="CM58" s="3986">
        <f t="shared" si="168"/>
        <v>0</v>
      </c>
      <c r="CN58" s="3987"/>
      <c r="CP58" s="2012"/>
      <c r="CQ58" s="2012">
        <f t="shared" si="204"/>
        <v>0</v>
      </c>
      <c r="CR58" s="4035"/>
    </row>
    <row r="59" spans="1:98" ht="13.8" outlineLevel="2">
      <c r="A59" s="1571"/>
      <c r="B59" s="4042" t="s">
        <v>66</v>
      </c>
      <c r="C59" s="3349"/>
      <c r="D59" s="3349"/>
      <c r="E59" s="3349">
        <f t="shared" si="169"/>
        <v>0</v>
      </c>
      <c r="F59" s="3986" t="e">
        <f t="shared" si="133"/>
        <v>#DIV/0!</v>
      </c>
      <c r="G59" s="4046"/>
      <c r="H59" s="3349"/>
      <c r="I59" s="3349"/>
      <c r="J59" s="3349">
        <f t="shared" si="170"/>
        <v>0</v>
      </c>
      <c r="K59" s="3986" t="e">
        <f t="shared" si="171"/>
        <v>#DIV/0!</v>
      </c>
      <c r="L59" s="4046"/>
      <c r="M59" s="3349"/>
      <c r="N59" s="3349"/>
      <c r="O59" s="3349">
        <f t="shared" si="172"/>
        <v>0</v>
      </c>
      <c r="P59" s="3986">
        <f t="shared" si="173"/>
        <v>0</v>
      </c>
      <c r="Q59" s="4046"/>
      <c r="R59" s="3342">
        <f t="shared" si="174"/>
        <v>0</v>
      </c>
      <c r="S59" s="3342">
        <f t="shared" si="174"/>
        <v>0</v>
      </c>
      <c r="T59" s="2012">
        <f t="shared" si="175"/>
        <v>0</v>
      </c>
      <c r="U59" s="3462"/>
      <c r="V59" s="3462"/>
      <c r="W59" s="3342">
        <f t="shared" si="176"/>
        <v>0</v>
      </c>
      <c r="X59" s="3342">
        <f t="shared" si="176"/>
        <v>0</v>
      </c>
      <c r="Y59" s="2012">
        <f t="shared" si="177"/>
        <v>0</v>
      </c>
      <c r="Z59" s="3462"/>
      <c r="AA59" s="3462"/>
      <c r="AB59" s="3349"/>
      <c r="AC59" s="3349"/>
      <c r="AD59" s="3349">
        <f t="shared" si="178"/>
        <v>0</v>
      </c>
      <c r="AE59" s="3986">
        <f t="shared" si="179"/>
        <v>0</v>
      </c>
      <c r="AF59" s="4046"/>
      <c r="AG59" s="3349"/>
      <c r="AH59" s="3349"/>
      <c r="AI59" s="3349">
        <f t="shared" si="180"/>
        <v>0</v>
      </c>
      <c r="AJ59" s="3986">
        <f t="shared" si="181"/>
        <v>0</v>
      </c>
      <c r="AK59" s="4046"/>
      <c r="AL59" s="3349"/>
      <c r="AM59" s="3349"/>
      <c r="AN59" s="3349">
        <f t="shared" si="182"/>
        <v>0</v>
      </c>
      <c r="AO59" s="3986" t="e">
        <f t="shared" si="183"/>
        <v>#DIV/0!</v>
      </c>
      <c r="AP59" s="4046"/>
      <c r="AQ59" s="3349"/>
      <c r="AR59" s="3349"/>
      <c r="AS59" s="3349">
        <f t="shared" si="184"/>
        <v>0</v>
      </c>
      <c r="AT59" s="3986" t="e">
        <f t="shared" si="185"/>
        <v>#DIV/0!</v>
      </c>
      <c r="AU59" s="4046"/>
      <c r="AV59" s="3349"/>
      <c r="AW59" s="3349"/>
      <c r="AX59" s="3349">
        <f t="shared" si="186"/>
        <v>0</v>
      </c>
      <c r="AY59" s="3986" t="e">
        <f t="shared" si="187"/>
        <v>#DIV/0!</v>
      </c>
      <c r="AZ59" s="4046"/>
      <c r="BA59" s="3349"/>
      <c r="BB59" s="3349"/>
      <c r="BC59" s="3349">
        <f t="shared" si="188"/>
        <v>0</v>
      </c>
      <c r="BD59" s="3986" t="e">
        <f t="shared" si="189"/>
        <v>#DIV/0!</v>
      </c>
      <c r="BE59" s="4046"/>
      <c r="BF59" s="3349"/>
      <c r="BG59" s="3349"/>
      <c r="BH59" s="3349">
        <f t="shared" si="190"/>
        <v>0</v>
      </c>
      <c r="BI59" s="3986" t="e">
        <f t="shared" si="191"/>
        <v>#DIV/0!</v>
      </c>
      <c r="BJ59" s="4046"/>
      <c r="BK59" s="3349"/>
      <c r="BL59" s="3349"/>
      <c r="BM59" s="3349">
        <f t="shared" si="192"/>
        <v>0</v>
      </c>
      <c r="BN59" s="3986" t="e">
        <f t="shared" si="193"/>
        <v>#DIV/0!</v>
      </c>
      <c r="BO59" s="4046"/>
      <c r="BP59" s="3349"/>
      <c r="BQ59" s="3349"/>
      <c r="BR59" s="3349">
        <f t="shared" si="194"/>
        <v>0</v>
      </c>
      <c r="BS59" s="3986" t="e">
        <f t="shared" si="195"/>
        <v>#DIV/0!</v>
      </c>
      <c r="BT59" s="4046"/>
      <c r="BU59" s="3349"/>
      <c r="BV59" s="3349"/>
      <c r="BW59" s="3349">
        <f t="shared" si="196"/>
        <v>0</v>
      </c>
      <c r="BX59" s="3986" t="e">
        <f t="shared" si="197"/>
        <v>#DIV/0!</v>
      </c>
      <c r="BY59" s="4046"/>
      <c r="BZ59" s="3349"/>
      <c r="CA59" s="3349"/>
      <c r="CB59" s="3349">
        <f t="shared" si="198"/>
        <v>0</v>
      </c>
      <c r="CC59" s="3986" t="e">
        <f t="shared" si="199"/>
        <v>#DIV/0!</v>
      </c>
      <c r="CD59" s="4046"/>
      <c r="CE59" s="3349"/>
      <c r="CF59" s="3349"/>
      <c r="CG59" s="3349">
        <f t="shared" si="200"/>
        <v>0</v>
      </c>
      <c r="CH59" s="3986" t="e">
        <f t="shared" si="201"/>
        <v>#DIV/0!</v>
      </c>
      <c r="CI59" s="4046"/>
      <c r="CJ59" s="3341">
        <f t="shared" si="202"/>
        <v>0</v>
      </c>
      <c r="CK59" s="3341">
        <f t="shared" si="202"/>
        <v>0</v>
      </c>
      <c r="CL59" s="2012">
        <f t="shared" si="203"/>
        <v>0</v>
      </c>
      <c r="CM59" s="3986">
        <f t="shared" si="168"/>
        <v>0</v>
      </c>
      <c r="CN59" s="3987"/>
      <c r="CP59" s="2012"/>
      <c r="CQ59" s="2012">
        <f t="shared" si="204"/>
        <v>0</v>
      </c>
      <c r="CR59" s="4035"/>
    </row>
    <row r="60" spans="1:98" ht="13.8" outlineLevel="2">
      <c r="A60" s="1571"/>
      <c r="B60" s="4042" t="s">
        <v>65</v>
      </c>
      <c r="C60" s="3349"/>
      <c r="D60" s="3349"/>
      <c r="E60" s="3349">
        <f t="shared" si="169"/>
        <v>0</v>
      </c>
      <c r="F60" s="3986" t="e">
        <f t="shared" si="133"/>
        <v>#DIV/0!</v>
      </c>
      <c r="G60" s="4046"/>
      <c r="H60" s="3349"/>
      <c r="I60" s="3349"/>
      <c r="J60" s="3349">
        <f t="shared" si="170"/>
        <v>0</v>
      </c>
      <c r="K60" s="3986" t="e">
        <f t="shared" si="171"/>
        <v>#DIV/0!</v>
      </c>
      <c r="L60" s="4046"/>
      <c r="M60" s="3349"/>
      <c r="N60" s="3349"/>
      <c r="O60" s="3349">
        <f t="shared" si="172"/>
        <v>0</v>
      </c>
      <c r="P60" s="3986">
        <f t="shared" si="173"/>
        <v>0</v>
      </c>
      <c r="Q60" s="4046"/>
      <c r="R60" s="3342">
        <f t="shared" si="174"/>
        <v>0</v>
      </c>
      <c r="S60" s="3342">
        <f t="shared" si="174"/>
        <v>0</v>
      </c>
      <c r="T60" s="2012">
        <f t="shared" si="175"/>
        <v>0</v>
      </c>
      <c r="U60" s="3462"/>
      <c r="V60" s="3462"/>
      <c r="W60" s="3342">
        <f t="shared" si="176"/>
        <v>0</v>
      </c>
      <c r="X60" s="3342">
        <f t="shared" si="176"/>
        <v>0</v>
      </c>
      <c r="Y60" s="2012">
        <f t="shared" si="177"/>
        <v>0</v>
      </c>
      <c r="Z60" s="3462"/>
      <c r="AA60" s="3462"/>
      <c r="AB60" s="3349"/>
      <c r="AC60" s="3349"/>
      <c r="AD60" s="3349">
        <f t="shared" si="178"/>
        <v>0</v>
      </c>
      <c r="AE60" s="3986">
        <f t="shared" si="179"/>
        <v>0</v>
      </c>
      <c r="AF60" s="4046"/>
      <c r="AG60" s="3349"/>
      <c r="AH60" s="3349"/>
      <c r="AI60" s="3349">
        <f t="shared" si="180"/>
        <v>0</v>
      </c>
      <c r="AJ60" s="3986">
        <f t="shared" si="181"/>
        <v>0</v>
      </c>
      <c r="AK60" s="4046"/>
      <c r="AL60" s="3349"/>
      <c r="AM60" s="3349"/>
      <c r="AN60" s="3349">
        <f t="shared" si="182"/>
        <v>0</v>
      </c>
      <c r="AO60" s="3986" t="e">
        <f t="shared" si="183"/>
        <v>#DIV/0!</v>
      </c>
      <c r="AP60" s="4046"/>
      <c r="AQ60" s="3349"/>
      <c r="AR60" s="3349"/>
      <c r="AS60" s="3349">
        <f t="shared" si="184"/>
        <v>0</v>
      </c>
      <c r="AT60" s="3986" t="e">
        <f t="shared" si="185"/>
        <v>#DIV/0!</v>
      </c>
      <c r="AU60" s="4046"/>
      <c r="AV60" s="3349"/>
      <c r="AW60" s="3349"/>
      <c r="AX60" s="3349">
        <f t="shared" si="186"/>
        <v>0</v>
      </c>
      <c r="AY60" s="3986" t="e">
        <f t="shared" si="187"/>
        <v>#DIV/0!</v>
      </c>
      <c r="AZ60" s="4046"/>
      <c r="BA60" s="3349"/>
      <c r="BB60" s="3349"/>
      <c r="BC60" s="3349">
        <f t="shared" si="188"/>
        <v>0</v>
      </c>
      <c r="BD60" s="3986" t="e">
        <f t="shared" si="189"/>
        <v>#DIV/0!</v>
      </c>
      <c r="BE60" s="4046"/>
      <c r="BF60" s="3349"/>
      <c r="BG60" s="3349"/>
      <c r="BH60" s="3349">
        <f t="shared" si="190"/>
        <v>0</v>
      </c>
      <c r="BI60" s="3986" t="e">
        <f t="shared" si="191"/>
        <v>#DIV/0!</v>
      </c>
      <c r="BJ60" s="4046"/>
      <c r="BK60" s="3349"/>
      <c r="BL60" s="3349"/>
      <c r="BM60" s="3349">
        <f t="shared" si="192"/>
        <v>0</v>
      </c>
      <c r="BN60" s="3986" t="e">
        <f t="shared" si="193"/>
        <v>#DIV/0!</v>
      </c>
      <c r="BO60" s="4046"/>
      <c r="BP60" s="3349"/>
      <c r="BQ60" s="3349"/>
      <c r="BR60" s="3349">
        <f t="shared" si="194"/>
        <v>0</v>
      </c>
      <c r="BS60" s="3986" t="e">
        <f t="shared" si="195"/>
        <v>#DIV/0!</v>
      </c>
      <c r="BT60" s="4046"/>
      <c r="BU60" s="3349"/>
      <c r="BV60" s="3349"/>
      <c r="BW60" s="3349">
        <f t="shared" si="196"/>
        <v>0</v>
      </c>
      <c r="BX60" s="3986" t="e">
        <f t="shared" si="197"/>
        <v>#DIV/0!</v>
      </c>
      <c r="BY60" s="4046"/>
      <c r="BZ60" s="3349"/>
      <c r="CA60" s="3349"/>
      <c r="CB60" s="3349">
        <f t="shared" si="198"/>
        <v>0</v>
      </c>
      <c r="CC60" s="3986" t="e">
        <f t="shared" si="199"/>
        <v>#DIV/0!</v>
      </c>
      <c r="CD60" s="4046"/>
      <c r="CE60" s="3349"/>
      <c r="CF60" s="3349"/>
      <c r="CG60" s="3349">
        <f t="shared" si="200"/>
        <v>0</v>
      </c>
      <c r="CH60" s="3986" t="e">
        <f t="shared" si="201"/>
        <v>#DIV/0!</v>
      </c>
      <c r="CI60" s="4046"/>
      <c r="CJ60" s="3341">
        <f t="shared" si="202"/>
        <v>0</v>
      </c>
      <c r="CK60" s="3341">
        <f t="shared" si="202"/>
        <v>0</v>
      </c>
      <c r="CL60" s="2012">
        <f t="shared" si="203"/>
        <v>0</v>
      </c>
      <c r="CM60" s="3986">
        <f t="shared" si="168"/>
        <v>0</v>
      </c>
      <c r="CN60" s="3987"/>
      <c r="CP60" s="2012"/>
      <c r="CQ60" s="2012">
        <f t="shared" si="204"/>
        <v>0</v>
      </c>
      <c r="CR60" s="4035"/>
    </row>
    <row r="61" spans="1:98" ht="13.8" outlineLevel="2">
      <c r="A61" s="1571"/>
      <c r="B61" s="4042" t="s">
        <v>32</v>
      </c>
      <c r="C61" s="3349"/>
      <c r="D61" s="3349"/>
      <c r="E61" s="3349">
        <f t="shared" si="169"/>
        <v>0</v>
      </c>
      <c r="F61" s="3986" t="e">
        <f t="shared" si="133"/>
        <v>#DIV/0!</v>
      </c>
      <c r="G61" s="4046"/>
      <c r="H61" s="3349"/>
      <c r="I61" s="3349"/>
      <c r="J61" s="3349">
        <f t="shared" si="170"/>
        <v>0</v>
      </c>
      <c r="K61" s="3986" t="e">
        <f t="shared" si="171"/>
        <v>#DIV/0!</v>
      </c>
      <c r="L61" s="4046"/>
      <c r="M61" s="3349"/>
      <c r="N61" s="3349"/>
      <c r="O61" s="3349">
        <f t="shared" si="172"/>
        <v>0</v>
      </c>
      <c r="P61" s="3986">
        <f t="shared" si="173"/>
        <v>0</v>
      </c>
      <c r="Q61" s="4046"/>
      <c r="R61" s="3342">
        <f t="shared" si="174"/>
        <v>0</v>
      </c>
      <c r="S61" s="3342">
        <f t="shared" si="174"/>
        <v>0</v>
      </c>
      <c r="T61" s="2012">
        <f t="shared" si="175"/>
        <v>0</v>
      </c>
      <c r="U61" s="3462"/>
      <c r="V61" s="3462"/>
      <c r="W61" s="3342">
        <f t="shared" si="176"/>
        <v>0</v>
      </c>
      <c r="X61" s="3342">
        <f t="shared" si="176"/>
        <v>0</v>
      </c>
      <c r="Y61" s="2012">
        <f t="shared" si="177"/>
        <v>0</v>
      </c>
      <c r="Z61" s="3462"/>
      <c r="AA61" s="3462"/>
      <c r="AB61" s="3349"/>
      <c r="AC61" s="3349"/>
      <c r="AD61" s="3349">
        <f t="shared" si="178"/>
        <v>0</v>
      </c>
      <c r="AE61" s="3986">
        <f t="shared" si="179"/>
        <v>0</v>
      </c>
      <c r="AF61" s="4046"/>
      <c r="AG61" s="3349"/>
      <c r="AH61" s="3349"/>
      <c r="AI61" s="3349">
        <f t="shared" si="180"/>
        <v>0</v>
      </c>
      <c r="AJ61" s="3986">
        <f t="shared" si="181"/>
        <v>0</v>
      </c>
      <c r="AK61" s="4046"/>
      <c r="AL61" s="3349"/>
      <c r="AM61" s="3349"/>
      <c r="AN61" s="3349">
        <f t="shared" si="182"/>
        <v>0</v>
      </c>
      <c r="AO61" s="3986" t="e">
        <f t="shared" si="183"/>
        <v>#DIV/0!</v>
      </c>
      <c r="AP61" s="4046"/>
      <c r="AQ61" s="3349"/>
      <c r="AR61" s="3349"/>
      <c r="AS61" s="3349">
        <f t="shared" si="184"/>
        <v>0</v>
      </c>
      <c r="AT61" s="3986" t="e">
        <f t="shared" si="185"/>
        <v>#DIV/0!</v>
      </c>
      <c r="AU61" s="4046"/>
      <c r="AV61" s="3349"/>
      <c r="AW61" s="3349"/>
      <c r="AX61" s="3349">
        <f t="shared" si="186"/>
        <v>0</v>
      </c>
      <c r="AY61" s="3986" t="e">
        <f t="shared" si="187"/>
        <v>#DIV/0!</v>
      </c>
      <c r="AZ61" s="4046"/>
      <c r="BA61" s="3349"/>
      <c r="BB61" s="3349"/>
      <c r="BC61" s="3349">
        <f t="shared" si="188"/>
        <v>0</v>
      </c>
      <c r="BD61" s="3986" t="e">
        <f t="shared" si="189"/>
        <v>#DIV/0!</v>
      </c>
      <c r="BE61" s="4046"/>
      <c r="BF61" s="3349"/>
      <c r="BG61" s="3349"/>
      <c r="BH61" s="3349">
        <f t="shared" si="190"/>
        <v>0</v>
      </c>
      <c r="BI61" s="3986" t="e">
        <f t="shared" si="191"/>
        <v>#DIV/0!</v>
      </c>
      <c r="BJ61" s="4046"/>
      <c r="BK61" s="3349"/>
      <c r="BL61" s="3349"/>
      <c r="BM61" s="3349">
        <f t="shared" si="192"/>
        <v>0</v>
      </c>
      <c r="BN61" s="3986" t="e">
        <f t="shared" si="193"/>
        <v>#DIV/0!</v>
      </c>
      <c r="BO61" s="4046"/>
      <c r="BP61" s="3349"/>
      <c r="BQ61" s="3349"/>
      <c r="BR61" s="3349">
        <f t="shared" si="194"/>
        <v>0</v>
      </c>
      <c r="BS61" s="3986" t="e">
        <f t="shared" si="195"/>
        <v>#DIV/0!</v>
      </c>
      <c r="BT61" s="4046"/>
      <c r="BU61" s="3349"/>
      <c r="BV61" s="3349"/>
      <c r="BW61" s="3349">
        <f t="shared" si="196"/>
        <v>0</v>
      </c>
      <c r="BX61" s="3986" t="e">
        <f t="shared" si="197"/>
        <v>#DIV/0!</v>
      </c>
      <c r="BY61" s="4046"/>
      <c r="BZ61" s="3349"/>
      <c r="CA61" s="3349"/>
      <c r="CB61" s="3349">
        <f t="shared" si="198"/>
        <v>0</v>
      </c>
      <c r="CC61" s="3986" t="e">
        <f t="shared" si="199"/>
        <v>#DIV/0!</v>
      </c>
      <c r="CD61" s="4046"/>
      <c r="CE61" s="3349"/>
      <c r="CF61" s="3349"/>
      <c r="CG61" s="3349">
        <f t="shared" si="200"/>
        <v>0</v>
      </c>
      <c r="CH61" s="3986" t="e">
        <f t="shared" si="201"/>
        <v>#DIV/0!</v>
      </c>
      <c r="CI61" s="4046"/>
      <c r="CJ61" s="3341">
        <f t="shared" si="202"/>
        <v>0</v>
      </c>
      <c r="CK61" s="3341">
        <f t="shared" si="202"/>
        <v>0</v>
      </c>
      <c r="CL61" s="2012">
        <f t="shared" si="203"/>
        <v>0</v>
      </c>
      <c r="CM61" s="3986">
        <f t="shared" si="168"/>
        <v>0</v>
      </c>
      <c r="CN61" s="3987"/>
      <c r="CP61" s="2012"/>
      <c r="CQ61" s="2012">
        <f t="shared" si="204"/>
        <v>0</v>
      </c>
      <c r="CR61" s="4035"/>
    </row>
    <row r="62" spans="1:98" ht="13.8" outlineLevel="2">
      <c r="A62" s="1571"/>
      <c r="B62" s="4042" t="s">
        <v>33</v>
      </c>
      <c r="C62" s="3349"/>
      <c r="D62" s="3349"/>
      <c r="E62" s="3349">
        <f t="shared" si="169"/>
        <v>0</v>
      </c>
      <c r="F62" s="3986" t="e">
        <f t="shared" si="133"/>
        <v>#DIV/0!</v>
      </c>
      <c r="G62" s="4046"/>
      <c r="H62" s="3349"/>
      <c r="I62" s="3349"/>
      <c r="J62" s="3349">
        <f t="shared" si="170"/>
        <v>0</v>
      </c>
      <c r="K62" s="3986" t="e">
        <f t="shared" si="171"/>
        <v>#DIV/0!</v>
      </c>
      <c r="L62" s="4046"/>
      <c r="M62" s="3349"/>
      <c r="N62" s="3349"/>
      <c r="O62" s="3349">
        <f t="shared" si="172"/>
        <v>0</v>
      </c>
      <c r="P62" s="3986">
        <f t="shared" si="173"/>
        <v>0</v>
      </c>
      <c r="Q62" s="4046"/>
      <c r="R62" s="3342">
        <f t="shared" si="174"/>
        <v>0</v>
      </c>
      <c r="S62" s="3342">
        <f t="shared" si="174"/>
        <v>0</v>
      </c>
      <c r="T62" s="2012">
        <f t="shared" si="175"/>
        <v>0</v>
      </c>
      <c r="U62" s="3462"/>
      <c r="V62" s="3462"/>
      <c r="W62" s="3342">
        <f t="shared" si="176"/>
        <v>0</v>
      </c>
      <c r="X62" s="3342">
        <f t="shared" si="176"/>
        <v>0</v>
      </c>
      <c r="Y62" s="2012">
        <f t="shared" si="177"/>
        <v>0</v>
      </c>
      <c r="Z62" s="3462"/>
      <c r="AA62" s="3462"/>
      <c r="AB62" s="3349"/>
      <c r="AC62" s="3349"/>
      <c r="AD62" s="3349">
        <f t="shared" si="178"/>
        <v>0</v>
      </c>
      <c r="AE62" s="3986">
        <f t="shared" si="179"/>
        <v>0</v>
      </c>
      <c r="AF62" s="4046"/>
      <c r="AG62" s="3349"/>
      <c r="AH62" s="3349"/>
      <c r="AI62" s="3349">
        <f t="shared" si="180"/>
        <v>0</v>
      </c>
      <c r="AJ62" s="3986">
        <f t="shared" si="181"/>
        <v>0</v>
      </c>
      <c r="AK62" s="4046"/>
      <c r="AL62" s="3349"/>
      <c r="AM62" s="3349"/>
      <c r="AN62" s="3349">
        <f t="shared" si="182"/>
        <v>0</v>
      </c>
      <c r="AO62" s="3986" t="e">
        <f t="shared" si="183"/>
        <v>#DIV/0!</v>
      </c>
      <c r="AP62" s="4046"/>
      <c r="AQ62" s="3349"/>
      <c r="AR62" s="3349"/>
      <c r="AS62" s="3349">
        <f t="shared" si="184"/>
        <v>0</v>
      </c>
      <c r="AT62" s="3986" t="e">
        <f t="shared" si="185"/>
        <v>#DIV/0!</v>
      </c>
      <c r="AU62" s="4046"/>
      <c r="AV62" s="3349"/>
      <c r="AW62" s="3349"/>
      <c r="AX62" s="3349">
        <f t="shared" si="186"/>
        <v>0</v>
      </c>
      <c r="AY62" s="3986" t="e">
        <f t="shared" si="187"/>
        <v>#DIV/0!</v>
      </c>
      <c r="AZ62" s="4046"/>
      <c r="BA62" s="3349"/>
      <c r="BB62" s="3349"/>
      <c r="BC62" s="3349">
        <f t="shared" si="188"/>
        <v>0</v>
      </c>
      <c r="BD62" s="3986" t="e">
        <f t="shared" si="189"/>
        <v>#DIV/0!</v>
      </c>
      <c r="BE62" s="4046"/>
      <c r="BF62" s="3349"/>
      <c r="BG62" s="3349"/>
      <c r="BH62" s="3349">
        <f t="shared" si="190"/>
        <v>0</v>
      </c>
      <c r="BI62" s="3986" t="e">
        <f t="shared" si="191"/>
        <v>#DIV/0!</v>
      </c>
      <c r="BJ62" s="4046"/>
      <c r="BK62" s="3349"/>
      <c r="BL62" s="3349"/>
      <c r="BM62" s="3349">
        <f t="shared" si="192"/>
        <v>0</v>
      </c>
      <c r="BN62" s="3986" t="e">
        <f t="shared" si="193"/>
        <v>#DIV/0!</v>
      </c>
      <c r="BO62" s="4046"/>
      <c r="BP62" s="3349"/>
      <c r="BQ62" s="3349"/>
      <c r="BR62" s="3349">
        <f t="shared" si="194"/>
        <v>0</v>
      </c>
      <c r="BS62" s="3986" t="e">
        <f t="shared" si="195"/>
        <v>#DIV/0!</v>
      </c>
      <c r="BT62" s="4046"/>
      <c r="BU62" s="3349"/>
      <c r="BV62" s="3349"/>
      <c r="BW62" s="3349">
        <f t="shared" si="196"/>
        <v>0</v>
      </c>
      <c r="BX62" s="3986" t="e">
        <f t="shared" si="197"/>
        <v>#DIV/0!</v>
      </c>
      <c r="BY62" s="4046"/>
      <c r="BZ62" s="3349"/>
      <c r="CA62" s="3349"/>
      <c r="CB62" s="3349">
        <f t="shared" si="198"/>
        <v>0</v>
      </c>
      <c r="CC62" s="3986" t="e">
        <f t="shared" si="199"/>
        <v>#DIV/0!</v>
      </c>
      <c r="CD62" s="4046"/>
      <c r="CE62" s="3349"/>
      <c r="CF62" s="3349"/>
      <c r="CG62" s="3349">
        <f t="shared" si="200"/>
        <v>0</v>
      </c>
      <c r="CH62" s="3986" t="e">
        <f t="shared" si="201"/>
        <v>#DIV/0!</v>
      </c>
      <c r="CI62" s="4046"/>
      <c r="CJ62" s="3341">
        <f t="shared" si="202"/>
        <v>0</v>
      </c>
      <c r="CK62" s="3341">
        <f t="shared" si="202"/>
        <v>0</v>
      </c>
      <c r="CL62" s="2012">
        <f t="shared" si="203"/>
        <v>0</v>
      </c>
      <c r="CM62" s="3986">
        <f t="shared" si="168"/>
        <v>0</v>
      </c>
      <c r="CN62" s="3987"/>
      <c r="CP62" s="2012"/>
      <c r="CQ62" s="2012">
        <f t="shared" si="204"/>
        <v>0</v>
      </c>
      <c r="CR62" s="4035"/>
    </row>
    <row r="63" spans="1:98" ht="13.8" outlineLevel="2">
      <c r="A63" s="1571"/>
      <c r="B63" s="4042" t="s">
        <v>35</v>
      </c>
      <c r="C63" s="3349"/>
      <c r="D63" s="3349"/>
      <c r="E63" s="3349">
        <f t="shared" si="169"/>
        <v>0</v>
      </c>
      <c r="F63" s="3986" t="e">
        <f t="shared" si="133"/>
        <v>#DIV/0!</v>
      </c>
      <c r="G63" s="4046"/>
      <c r="H63" s="3349"/>
      <c r="I63" s="3349"/>
      <c r="J63" s="3349">
        <f t="shared" si="170"/>
        <v>0</v>
      </c>
      <c r="K63" s="3986" t="e">
        <f t="shared" si="171"/>
        <v>#DIV/0!</v>
      </c>
      <c r="L63" s="4046"/>
      <c r="M63" s="3349"/>
      <c r="N63" s="3349"/>
      <c r="O63" s="3349">
        <f t="shared" si="172"/>
        <v>0</v>
      </c>
      <c r="P63" s="3986">
        <f t="shared" si="173"/>
        <v>0</v>
      </c>
      <c r="Q63" s="4046"/>
      <c r="R63" s="3342">
        <f t="shared" si="174"/>
        <v>0</v>
      </c>
      <c r="S63" s="3342">
        <f t="shared" si="174"/>
        <v>0</v>
      </c>
      <c r="T63" s="2012">
        <f t="shared" si="175"/>
        <v>0</v>
      </c>
      <c r="U63" s="3462"/>
      <c r="V63" s="3462"/>
      <c r="W63" s="3342">
        <f t="shared" si="176"/>
        <v>0</v>
      </c>
      <c r="X63" s="3342">
        <f t="shared" si="176"/>
        <v>0</v>
      </c>
      <c r="Y63" s="2012">
        <f t="shared" si="177"/>
        <v>0</v>
      </c>
      <c r="Z63" s="3462"/>
      <c r="AA63" s="3462"/>
      <c r="AB63" s="3349"/>
      <c r="AC63" s="3349"/>
      <c r="AD63" s="3349">
        <f t="shared" si="178"/>
        <v>0</v>
      </c>
      <c r="AE63" s="3986">
        <f t="shared" si="179"/>
        <v>0</v>
      </c>
      <c r="AF63" s="4046"/>
      <c r="AG63" s="3349"/>
      <c r="AH63" s="3349"/>
      <c r="AI63" s="3349">
        <f t="shared" si="180"/>
        <v>0</v>
      </c>
      <c r="AJ63" s="3986">
        <f t="shared" si="181"/>
        <v>0</v>
      </c>
      <c r="AK63" s="4046"/>
      <c r="AL63" s="3349"/>
      <c r="AM63" s="3349"/>
      <c r="AN63" s="3349">
        <f t="shared" si="182"/>
        <v>0</v>
      </c>
      <c r="AO63" s="3986" t="e">
        <f t="shared" si="183"/>
        <v>#DIV/0!</v>
      </c>
      <c r="AP63" s="4046"/>
      <c r="AQ63" s="3349"/>
      <c r="AR63" s="3349"/>
      <c r="AS63" s="3349">
        <f t="shared" si="184"/>
        <v>0</v>
      </c>
      <c r="AT63" s="3986" t="e">
        <f t="shared" si="185"/>
        <v>#DIV/0!</v>
      </c>
      <c r="AU63" s="4046"/>
      <c r="AV63" s="3349"/>
      <c r="AW63" s="3349"/>
      <c r="AX63" s="3349">
        <f t="shared" si="186"/>
        <v>0</v>
      </c>
      <c r="AY63" s="3986" t="e">
        <f t="shared" si="187"/>
        <v>#DIV/0!</v>
      </c>
      <c r="AZ63" s="4046"/>
      <c r="BA63" s="3349"/>
      <c r="BB63" s="3349"/>
      <c r="BC63" s="3349">
        <f t="shared" si="188"/>
        <v>0</v>
      </c>
      <c r="BD63" s="3986" t="e">
        <f t="shared" si="189"/>
        <v>#DIV/0!</v>
      </c>
      <c r="BE63" s="4046"/>
      <c r="BF63" s="3349"/>
      <c r="BG63" s="3349"/>
      <c r="BH63" s="3349">
        <f t="shared" si="190"/>
        <v>0</v>
      </c>
      <c r="BI63" s="3986" t="e">
        <f t="shared" si="191"/>
        <v>#DIV/0!</v>
      </c>
      <c r="BJ63" s="4046"/>
      <c r="BK63" s="3349"/>
      <c r="BL63" s="3349"/>
      <c r="BM63" s="3349">
        <f t="shared" si="192"/>
        <v>0</v>
      </c>
      <c r="BN63" s="3986" t="e">
        <f t="shared" si="193"/>
        <v>#DIV/0!</v>
      </c>
      <c r="BO63" s="4046"/>
      <c r="BP63" s="3349"/>
      <c r="BQ63" s="3349"/>
      <c r="BR63" s="3349">
        <f t="shared" si="194"/>
        <v>0</v>
      </c>
      <c r="BS63" s="3986" t="e">
        <f t="shared" si="195"/>
        <v>#DIV/0!</v>
      </c>
      <c r="BT63" s="4046"/>
      <c r="BU63" s="3349"/>
      <c r="BV63" s="3349"/>
      <c r="BW63" s="3349">
        <f t="shared" si="196"/>
        <v>0</v>
      </c>
      <c r="BX63" s="3986" t="e">
        <f t="shared" si="197"/>
        <v>#DIV/0!</v>
      </c>
      <c r="BY63" s="4046"/>
      <c r="BZ63" s="3349"/>
      <c r="CA63" s="3349"/>
      <c r="CB63" s="3349">
        <f t="shared" si="198"/>
        <v>0</v>
      </c>
      <c r="CC63" s="3986" t="e">
        <f t="shared" si="199"/>
        <v>#DIV/0!</v>
      </c>
      <c r="CD63" s="4046"/>
      <c r="CE63" s="3349"/>
      <c r="CF63" s="3349"/>
      <c r="CG63" s="3349">
        <f t="shared" si="200"/>
        <v>0</v>
      </c>
      <c r="CH63" s="3986" t="e">
        <f t="shared" si="201"/>
        <v>#DIV/0!</v>
      </c>
      <c r="CI63" s="4046"/>
      <c r="CJ63" s="3341">
        <f t="shared" si="202"/>
        <v>0</v>
      </c>
      <c r="CK63" s="3341">
        <f t="shared" si="202"/>
        <v>0</v>
      </c>
      <c r="CL63" s="2012">
        <f t="shared" si="203"/>
        <v>0</v>
      </c>
      <c r="CM63" s="3986">
        <f t="shared" si="168"/>
        <v>0</v>
      </c>
      <c r="CN63" s="3987"/>
      <c r="CP63" s="2012"/>
      <c r="CQ63" s="2012">
        <f t="shared" si="204"/>
        <v>0</v>
      </c>
      <c r="CR63" s="4035"/>
    </row>
    <row r="64" spans="1:98" ht="13.8" outlineLevel="2">
      <c r="A64" s="1571"/>
      <c r="B64" s="4042" t="s">
        <v>63</v>
      </c>
      <c r="C64" s="3349"/>
      <c r="D64" s="3349"/>
      <c r="E64" s="3349">
        <f t="shared" si="169"/>
        <v>0</v>
      </c>
      <c r="F64" s="3986" t="e">
        <f t="shared" si="133"/>
        <v>#DIV/0!</v>
      </c>
      <c r="G64" s="4046"/>
      <c r="H64" s="3349"/>
      <c r="I64" s="3349"/>
      <c r="J64" s="3349">
        <f t="shared" si="170"/>
        <v>0</v>
      </c>
      <c r="K64" s="3986" t="e">
        <f t="shared" si="171"/>
        <v>#DIV/0!</v>
      </c>
      <c r="L64" s="4046"/>
      <c r="M64" s="3349"/>
      <c r="N64" s="3349"/>
      <c r="O64" s="3349">
        <f t="shared" si="172"/>
        <v>0</v>
      </c>
      <c r="P64" s="3986">
        <f t="shared" si="173"/>
        <v>0</v>
      </c>
      <c r="Q64" s="4046"/>
      <c r="R64" s="3342">
        <f t="shared" si="174"/>
        <v>0</v>
      </c>
      <c r="S64" s="3342">
        <f t="shared" si="174"/>
        <v>0</v>
      </c>
      <c r="T64" s="2012">
        <f t="shared" si="175"/>
        <v>0</v>
      </c>
      <c r="U64" s="3462"/>
      <c r="V64" s="3462"/>
      <c r="W64" s="3342">
        <f t="shared" si="176"/>
        <v>0</v>
      </c>
      <c r="X64" s="3342">
        <f t="shared" si="176"/>
        <v>0</v>
      </c>
      <c r="Y64" s="2012">
        <f t="shared" si="177"/>
        <v>0</v>
      </c>
      <c r="Z64" s="3462"/>
      <c r="AA64" s="3462"/>
      <c r="AB64" s="3349"/>
      <c r="AC64" s="3349"/>
      <c r="AD64" s="3349">
        <f t="shared" si="178"/>
        <v>0</v>
      </c>
      <c r="AE64" s="3986">
        <f t="shared" si="179"/>
        <v>0</v>
      </c>
      <c r="AF64" s="4046"/>
      <c r="AG64" s="3349"/>
      <c r="AH64" s="3349"/>
      <c r="AI64" s="3349">
        <f t="shared" si="180"/>
        <v>0</v>
      </c>
      <c r="AJ64" s="3986">
        <f t="shared" si="181"/>
        <v>0</v>
      </c>
      <c r="AK64" s="4046"/>
      <c r="AL64" s="3349"/>
      <c r="AM64" s="3349"/>
      <c r="AN64" s="3349">
        <f t="shared" si="182"/>
        <v>0</v>
      </c>
      <c r="AO64" s="3986" t="e">
        <f t="shared" si="183"/>
        <v>#DIV/0!</v>
      </c>
      <c r="AP64" s="4046"/>
      <c r="AQ64" s="3349"/>
      <c r="AR64" s="3349"/>
      <c r="AS64" s="3349">
        <f t="shared" si="184"/>
        <v>0</v>
      </c>
      <c r="AT64" s="3986" t="e">
        <f t="shared" si="185"/>
        <v>#DIV/0!</v>
      </c>
      <c r="AU64" s="4046"/>
      <c r="AV64" s="3349"/>
      <c r="AW64" s="3349"/>
      <c r="AX64" s="3349">
        <f t="shared" si="186"/>
        <v>0</v>
      </c>
      <c r="AY64" s="3986" t="e">
        <f t="shared" si="187"/>
        <v>#DIV/0!</v>
      </c>
      <c r="AZ64" s="4046"/>
      <c r="BA64" s="3349"/>
      <c r="BB64" s="3349"/>
      <c r="BC64" s="3349">
        <f t="shared" si="188"/>
        <v>0</v>
      </c>
      <c r="BD64" s="3986" t="e">
        <f t="shared" si="189"/>
        <v>#DIV/0!</v>
      </c>
      <c r="BE64" s="4046"/>
      <c r="BF64" s="3349"/>
      <c r="BG64" s="3349"/>
      <c r="BH64" s="3349">
        <f t="shared" si="190"/>
        <v>0</v>
      </c>
      <c r="BI64" s="3986" t="e">
        <f t="shared" si="191"/>
        <v>#DIV/0!</v>
      </c>
      <c r="BJ64" s="4046"/>
      <c r="BK64" s="3349"/>
      <c r="BL64" s="3349"/>
      <c r="BM64" s="3349">
        <f t="shared" si="192"/>
        <v>0</v>
      </c>
      <c r="BN64" s="3986" t="e">
        <f t="shared" si="193"/>
        <v>#DIV/0!</v>
      </c>
      <c r="BO64" s="4046"/>
      <c r="BP64" s="3349"/>
      <c r="BQ64" s="3349"/>
      <c r="BR64" s="3349">
        <f t="shared" si="194"/>
        <v>0</v>
      </c>
      <c r="BS64" s="3986" t="e">
        <f t="shared" si="195"/>
        <v>#DIV/0!</v>
      </c>
      <c r="BT64" s="4046"/>
      <c r="BU64" s="3349"/>
      <c r="BV64" s="3349"/>
      <c r="BW64" s="3349">
        <f t="shared" si="196"/>
        <v>0</v>
      </c>
      <c r="BX64" s="3986" t="e">
        <f t="shared" si="197"/>
        <v>#DIV/0!</v>
      </c>
      <c r="BY64" s="4046"/>
      <c r="BZ64" s="3349"/>
      <c r="CA64" s="3349"/>
      <c r="CB64" s="3349">
        <f t="shared" si="198"/>
        <v>0</v>
      </c>
      <c r="CC64" s="3986" t="e">
        <f t="shared" si="199"/>
        <v>#DIV/0!</v>
      </c>
      <c r="CD64" s="4046"/>
      <c r="CE64" s="3349"/>
      <c r="CF64" s="3349"/>
      <c r="CG64" s="3349">
        <f t="shared" si="200"/>
        <v>0</v>
      </c>
      <c r="CH64" s="3986" t="e">
        <f t="shared" si="201"/>
        <v>#DIV/0!</v>
      </c>
      <c r="CI64" s="4046"/>
      <c r="CJ64" s="3341">
        <f t="shared" si="202"/>
        <v>0</v>
      </c>
      <c r="CK64" s="3341">
        <f t="shared" si="202"/>
        <v>0</v>
      </c>
      <c r="CL64" s="2012">
        <f t="shared" si="203"/>
        <v>0</v>
      </c>
      <c r="CM64" s="3986">
        <f t="shared" si="168"/>
        <v>0</v>
      </c>
      <c r="CN64" s="3987"/>
      <c r="CP64" s="2012"/>
      <c r="CQ64" s="2012">
        <f t="shared" si="204"/>
        <v>0</v>
      </c>
      <c r="CR64" s="4035"/>
    </row>
    <row r="65" spans="1:98" ht="13.8" outlineLevel="2">
      <c r="A65" s="1571"/>
      <c r="B65" s="4042" t="s">
        <v>36</v>
      </c>
      <c r="C65" s="3341"/>
      <c r="D65" s="3341"/>
      <c r="E65" s="3349">
        <f t="shared" si="169"/>
        <v>0</v>
      </c>
      <c r="F65" s="3986" t="e">
        <f t="shared" si="133"/>
        <v>#DIV/0!</v>
      </c>
      <c r="G65" s="4046"/>
      <c r="H65" s="3341"/>
      <c r="I65" s="3341"/>
      <c r="J65" s="3349">
        <f t="shared" si="170"/>
        <v>0</v>
      </c>
      <c r="K65" s="3986" t="e">
        <f t="shared" si="171"/>
        <v>#DIV/0!</v>
      </c>
      <c r="L65" s="4046"/>
      <c r="M65" s="3341"/>
      <c r="N65" s="3341"/>
      <c r="O65" s="3349">
        <f t="shared" si="172"/>
        <v>0</v>
      </c>
      <c r="P65" s="3986">
        <f t="shared" si="173"/>
        <v>0</v>
      </c>
      <c r="Q65" s="4046"/>
      <c r="R65" s="3342">
        <f t="shared" si="174"/>
        <v>0</v>
      </c>
      <c r="S65" s="3342">
        <f t="shared" si="174"/>
        <v>0</v>
      </c>
      <c r="T65" s="2012">
        <f t="shared" si="175"/>
        <v>0</v>
      </c>
      <c r="U65" s="3462"/>
      <c r="V65" s="3462"/>
      <c r="W65" s="3342">
        <f t="shared" si="176"/>
        <v>0</v>
      </c>
      <c r="X65" s="3342">
        <f t="shared" si="176"/>
        <v>0</v>
      </c>
      <c r="Y65" s="2012">
        <f t="shared" si="177"/>
        <v>0</v>
      </c>
      <c r="Z65" s="3462"/>
      <c r="AA65" s="3462"/>
      <c r="AB65" s="3341"/>
      <c r="AC65" s="3341"/>
      <c r="AD65" s="3349">
        <f t="shared" si="178"/>
        <v>0</v>
      </c>
      <c r="AE65" s="3986">
        <f t="shared" si="179"/>
        <v>0</v>
      </c>
      <c r="AF65" s="4046"/>
      <c r="AG65" s="3341"/>
      <c r="AH65" s="3341"/>
      <c r="AI65" s="3349">
        <f t="shared" si="180"/>
        <v>0</v>
      </c>
      <c r="AJ65" s="3986">
        <f t="shared" si="181"/>
        <v>0</v>
      </c>
      <c r="AK65" s="4046"/>
      <c r="AL65" s="3341"/>
      <c r="AM65" s="3341"/>
      <c r="AN65" s="3349">
        <f t="shared" si="182"/>
        <v>0</v>
      </c>
      <c r="AO65" s="3986" t="e">
        <f t="shared" si="183"/>
        <v>#DIV/0!</v>
      </c>
      <c r="AP65" s="4046"/>
      <c r="AQ65" s="3341"/>
      <c r="AR65" s="3341"/>
      <c r="AS65" s="3349">
        <f t="shared" si="184"/>
        <v>0</v>
      </c>
      <c r="AT65" s="3986" t="e">
        <f t="shared" si="185"/>
        <v>#DIV/0!</v>
      </c>
      <c r="AU65" s="4046"/>
      <c r="AV65" s="3341"/>
      <c r="AW65" s="3341"/>
      <c r="AX65" s="3349">
        <f t="shared" si="186"/>
        <v>0</v>
      </c>
      <c r="AY65" s="3986" t="e">
        <f t="shared" si="187"/>
        <v>#DIV/0!</v>
      </c>
      <c r="AZ65" s="4046"/>
      <c r="BA65" s="3341"/>
      <c r="BB65" s="3341"/>
      <c r="BC65" s="3349">
        <f t="shared" si="188"/>
        <v>0</v>
      </c>
      <c r="BD65" s="3986" t="e">
        <f t="shared" si="189"/>
        <v>#DIV/0!</v>
      </c>
      <c r="BE65" s="4046"/>
      <c r="BF65" s="3341"/>
      <c r="BG65" s="3341"/>
      <c r="BH65" s="3349">
        <f t="shared" si="190"/>
        <v>0</v>
      </c>
      <c r="BI65" s="3986" t="e">
        <f t="shared" si="191"/>
        <v>#DIV/0!</v>
      </c>
      <c r="BJ65" s="4046"/>
      <c r="BK65" s="3341"/>
      <c r="BL65" s="3341"/>
      <c r="BM65" s="3349">
        <f t="shared" si="192"/>
        <v>0</v>
      </c>
      <c r="BN65" s="3986" t="e">
        <f t="shared" si="193"/>
        <v>#DIV/0!</v>
      </c>
      <c r="BO65" s="4046"/>
      <c r="BP65" s="3341"/>
      <c r="BQ65" s="3341"/>
      <c r="BR65" s="3349">
        <f t="shared" si="194"/>
        <v>0</v>
      </c>
      <c r="BS65" s="3986" t="e">
        <f t="shared" si="195"/>
        <v>#DIV/0!</v>
      </c>
      <c r="BT65" s="4046"/>
      <c r="BU65" s="3341"/>
      <c r="BV65" s="3341"/>
      <c r="BW65" s="3349">
        <f t="shared" si="196"/>
        <v>0</v>
      </c>
      <c r="BX65" s="3986" t="e">
        <f t="shared" si="197"/>
        <v>#DIV/0!</v>
      </c>
      <c r="BY65" s="4046"/>
      <c r="BZ65" s="3341"/>
      <c r="CA65" s="3341"/>
      <c r="CB65" s="3349">
        <f t="shared" si="198"/>
        <v>0</v>
      </c>
      <c r="CC65" s="3986" t="e">
        <f t="shared" si="199"/>
        <v>#DIV/0!</v>
      </c>
      <c r="CD65" s="4046"/>
      <c r="CE65" s="3341"/>
      <c r="CF65" s="3341"/>
      <c r="CG65" s="3349">
        <f t="shared" si="200"/>
        <v>0</v>
      </c>
      <c r="CH65" s="3986" t="e">
        <f t="shared" si="201"/>
        <v>#DIV/0!</v>
      </c>
      <c r="CI65" s="4046"/>
      <c r="CJ65" s="3341">
        <f t="shared" si="202"/>
        <v>0</v>
      </c>
      <c r="CK65" s="3341">
        <f t="shared" si="202"/>
        <v>0</v>
      </c>
      <c r="CL65" s="2012">
        <f t="shared" si="203"/>
        <v>0</v>
      </c>
      <c r="CM65" s="3986">
        <f t="shared" si="168"/>
        <v>0</v>
      </c>
      <c r="CN65" s="3987"/>
      <c r="CP65" s="2012"/>
      <c r="CQ65" s="2012">
        <f t="shared" si="204"/>
        <v>0</v>
      </c>
      <c r="CR65" s="4035"/>
    </row>
    <row r="66" spans="1:98" s="1396" customFormat="1" ht="13.8" outlineLevel="2">
      <c r="A66" s="1571"/>
      <c r="B66" s="4042" t="s">
        <v>37</v>
      </c>
      <c r="C66" s="3341"/>
      <c r="D66" s="3341"/>
      <c r="E66" s="3349">
        <f t="shared" si="169"/>
        <v>0</v>
      </c>
      <c r="F66" s="3986" t="e">
        <f t="shared" si="133"/>
        <v>#DIV/0!</v>
      </c>
      <c r="G66" s="4046"/>
      <c r="H66" s="3341"/>
      <c r="I66" s="3341"/>
      <c r="J66" s="3349">
        <f t="shared" si="170"/>
        <v>0</v>
      </c>
      <c r="K66" s="3986" t="e">
        <f t="shared" si="171"/>
        <v>#DIV/0!</v>
      </c>
      <c r="L66" s="4046"/>
      <c r="M66" s="3341"/>
      <c r="N66" s="3341"/>
      <c r="O66" s="3349">
        <f t="shared" si="172"/>
        <v>0</v>
      </c>
      <c r="P66" s="3986">
        <f t="shared" si="173"/>
        <v>0</v>
      </c>
      <c r="Q66" s="4046"/>
      <c r="R66" s="3342">
        <f t="shared" si="174"/>
        <v>0</v>
      </c>
      <c r="S66" s="3342">
        <f t="shared" si="174"/>
        <v>0</v>
      </c>
      <c r="T66" s="2012">
        <f t="shared" si="175"/>
        <v>0</v>
      </c>
      <c r="U66" s="3462"/>
      <c r="V66" s="3462"/>
      <c r="W66" s="3342">
        <f t="shared" si="176"/>
        <v>0</v>
      </c>
      <c r="X66" s="3342">
        <f t="shared" si="176"/>
        <v>0</v>
      </c>
      <c r="Y66" s="2012">
        <f t="shared" si="177"/>
        <v>0</v>
      </c>
      <c r="Z66" s="3462"/>
      <c r="AA66" s="3462"/>
      <c r="AB66" s="3341"/>
      <c r="AC66" s="3341"/>
      <c r="AD66" s="3349">
        <f t="shared" si="178"/>
        <v>0</v>
      </c>
      <c r="AE66" s="3986">
        <f t="shared" si="179"/>
        <v>0</v>
      </c>
      <c r="AF66" s="4046"/>
      <c r="AG66" s="3341"/>
      <c r="AH66" s="3341"/>
      <c r="AI66" s="3349">
        <f t="shared" si="180"/>
        <v>0</v>
      </c>
      <c r="AJ66" s="3986">
        <f t="shared" si="181"/>
        <v>0</v>
      </c>
      <c r="AK66" s="4046"/>
      <c r="AL66" s="3341"/>
      <c r="AM66" s="3341"/>
      <c r="AN66" s="3349">
        <f t="shared" si="182"/>
        <v>0</v>
      </c>
      <c r="AO66" s="3986" t="e">
        <f t="shared" si="183"/>
        <v>#DIV/0!</v>
      </c>
      <c r="AP66" s="4046"/>
      <c r="AQ66" s="3341"/>
      <c r="AR66" s="3341"/>
      <c r="AS66" s="3349">
        <f t="shared" si="184"/>
        <v>0</v>
      </c>
      <c r="AT66" s="3986" t="e">
        <f t="shared" si="185"/>
        <v>#DIV/0!</v>
      </c>
      <c r="AU66" s="4046"/>
      <c r="AV66" s="3341"/>
      <c r="AW66" s="3341"/>
      <c r="AX66" s="3349">
        <f t="shared" si="186"/>
        <v>0</v>
      </c>
      <c r="AY66" s="3986" t="e">
        <f t="shared" si="187"/>
        <v>#DIV/0!</v>
      </c>
      <c r="AZ66" s="4046"/>
      <c r="BA66" s="3341"/>
      <c r="BB66" s="3341"/>
      <c r="BC66" s="3349">
        <f t="shared" si="188"/>
        <v>0</v>
      </c>
      <c r="BD66" s="3986" t="e">
        <f t="shared" si="189"/>
        <v>#DIV/0!</v>
      </c>
      <c r="BE66" s="4046"/>
      <c r="BF66" s="3341"/>
      <c r="BG66" s="3341"/>
      <c r="BH66" s="3349">
        <f t="shared" si="190"/>
        <v>0</v>
      </c>
      <c r="BI66" s="3986" t="e">
        <f t="shared" si="191"/>
        <v>#DIV/0!</v>
      </c>
      <c r="BJ66" s="4046"/>
      <c r="BK66" s="3341"/>
      <c r="BL66" s="3341"/>
      <c r="BM66" s="3349">
        <f t="shared" si="192"/>
        <v>0</v>
      </c>
      <c r="BN66" s="3986" t="e">
        <f t="shared" si="193"/>
        <v>#DIV/0!</v>
      </c>
      <c r="BO66" s="4046"/>
      <c r="BP66" s="3341"/>
      <c r="BQ66" s="3341"/>
      <c r="BR66" s="3349">
        <f t="shared" si="194"/>
        <v>0</v>
      </c>
      <c r="BS66" s="3986" t="e">
        <f t="shared" si="195"/>
        <v>#DIV/0!</v>
      </c>
      <c r="BT66" s="4046"/>
      <c r="BU66" s="3341"/>
      <c r="BV66" s="3341"/>
      <c r="BW66" s="3349">
        <f t="shared" si="196"/>
        <v>0</v>
      </c>
      <c r="BX66" s="3986" t="e">
        <f t="shared" si="197"/>
        <v>#DIV/0!</v>
      </c>
      <c r="BY66" s="4046"/>
      <c r="BZ66" s="3341"/>
      <c r="CA66" s="3341"/>
      <c r="CB66" s="3349">
        <f t="shared" si="198"/>
        <v>0</v>
      </c>
      <c r="CC66" s="3986" t="e">
        <f t="shared" si="199"/>
        <v>#DIV/0!</v>
      </c>
      <c r="CD66" s="4046"/>
      <c r="CE66" s="3341"/>
      <c r="CF66" s="3341"/>
      <c r="CG66" s="3349">
        <f t="shared" si="200"/>
        <v>0</v>
      </c>
      <c r="CH66" s="3986" t="e">
        <f t="shared" si="201"/>
        <v>#DIV/0!</v>
      </c>
      <c r="CI66" s="4046"/>
      <c r="CJ66" s="3341">
        <f t="shared" si="202"/>
        <v>0</v>
      </c>
      <c r="CK66" s="3341">
        <f t="shared" si="202"/>
        <v>0</v>
      </c>
      <c r="CL66" s="2012">
        <f t="shared" si="203"/>
        <v>0</v>
      </c>
      <c r="CM66" s="3986">
        <f t="shared" si="168"/>
        <v>0</v>
      </c>
      <c r="CN66" s="3987"/>
      <c r="CP66" s="2012"/>
      <c r="CQ66" s="2012">
        <f t="shared" si="204"/>
        <v>0</v>
      </c>
      <c r="CR66" s="4035"/>
      <c r="CT66" s="2624"/>
    </row>
    <row r="67" spans="1:98" s="1396" customFormat="1" ht="13.8" outlineLevel="2">
      <c r="A67" s="1571"/>
      <c r="B67" s="4042" t="s">
        <v>3</v>
      </c>
      <c r="C67" s="3341"/>
      <c r="D67" s="3341"/>
      <c r="E67" s="3349">
        <f t="shared" si="169"/>
        <v>0</v>
      </c>
      <c r="F67" s="3986" t="e">
        <f t="shared" si="133"/>
        <v>#DIV/0!</v>
      </c>
      <c r="G67" s="4046"/>
      <c r="H67" s="3341"/>
      <c r="I67" s="3341"/>
      <c r="J67" s="3349">
        <f t="shared" si="170"/>
        <v>0</v>
      </c>
      <c r="K67" s="3986" t="e">
        <f t="shared" si="171"/>
        <v>#DIV/0!</v>
      </c>
      <c r="L67" s="4046"/>
      <c r="M67" s="3341"/>
      <c r="N67" s="3341"/>
      <c r="O67" s="3349">
        <f t="shared" si="172"/>
        <v>0</v>
      </c>
      <c r="P67" s="3986">
        <f t="shared" si="173"/>
        <v>0</v>
      </c>
      <c r="Q67" s="4046"/>
      <c r="R67" s="3342">
        <f t="shared" si="174"/>
        <v>0</v>
      </c>
      <c r="S67" s="3342">
        <f t="shared" si="174"/>
        <v>0</v>
      </c>
      <c r="T67" s="2012">
        <f t="shared" si="175"/>
        <v>0</v>
      </c>
      <c r="U67" s="3462"/>
      <c r="V67" s="3462"/>
      <c r="W67" s="3342">
        <f t="shared" si="176"/>
        <v>0</v>
      </c>
      <c r="X67" s="3342">
        <f t="shared" si="176"/>
        <v>0</v>
      </c>
      <c r="Y67" s="2012">
        <f t="shared" si="177"/>
        <v>0</v>
      </c>
      <c r="Z67" s="3462"/>
      <c r="AA67" s="3462"/>
      <c r="AB67" s="3341"/>
      <c r="AC67" s="3341"/>
      <c r="AD67" s="3349">
        <f t="shared" si="178"/>
        <v>0</v>
      </c>
      <c r="AE67" s="3986">
        <f t="shared" si="179"/>
        <v>0</v>
      </c>
      <c r="AF67" s="4046"/>
      <c r="AG67" s="3341"/>
      <c r="AH67" s="3341"/>
      <c r="AI67" s="3349">
        <f t="shared" si="180"/>
        <v>0</v>
      </c>
      <c r="AJ67" s="3986">
        <f t="shared" si="181"/>
        <v>0</v>
      </c>
      <c r="AK67" s="4046"/>
      <c r="AL67" s="3341"/>
      <c r="AM67" s="3341"/>
      <c r="AN67" s="3349">
        <f t="shared" si="182"/>
        <v>0</v>
      </c>
      <c r="AO67" s="3986" t="e">
        <f t="shared" si="183"/>
        <v>#DIV/0!</v>
      </c>
      <c r="AP67" s="4046"/>
      <c r="AQ67" s="3341"/>
      <c r="AR67" s="3341"/>
      <c r="AS67" s="3349">
        <f t="shared" si="184"/>
        <v>0</v>
      </c>
      <c r="AT67" s="3986" t="e">
        <f t="shared" si="185"/>
        <v>#DIV/0!</v>
      </c>
      <c r="AU67" s="4046"/>
      <c r="AV67" s="3341"/>
      <c r="AW67" s="3341"/>
      <c r="AX67" s="3349">
        <f t="shared" si="186"/>
        <v>0</v>
      </c>
      <c r="AY67" s="3986" t="e">
        <f t="shared" si="187"/>
        <v>#DIV/0!</v>
      </c>
      <c r="AZ67" s="4046"/>
      <c r="BA67" s="3341"/>
      <c r="BB67" s="3341"/>
      <c r="BC67" s="3349">
        <f t="shared" si="188"/>
        <v>0</v>
      </c>
      <c r="BD67" s="3986" t="e">
        <f t="shared" si="189"/>
        <v>#DIV/0!</v>
      </c>
      <c r="BE67" s="4046"/>
      <c r="BF67" s="3341"/>
      <c r="BG67" s="3341"/>
      <c r="BH67" s="3349">
        <f t="shared" si="190"/>
        <v>0</v>
      </c>
      <c r="BI67" s="3986" t="e">
        <f t="shared" si="191"/>
        <v>#DIV/0!</v>
      </c>
      <c r="BJ67" s="4046"/>
      <c r="BK67" s="3341"/>
      <c r="BL67" s="3341"/>
      <c r="BM67" s="3349">
        <f t="shared" si="192"/>
        <v>0</v>
      </c>
      <c r="BN67" s="3986" t="e">
        <f t="shared" si="193"/>
        <v>#DIV/0!</v>
      </c>
      <c r="BO67" s="4046"/>
      <c r="BP67" s="3341"/>
      <c r="BQ67" s="3341"/>
      <c r="BR67" s="3349">
        <f t="shared" si="194"/>
        <v>0</v>
      </c>
      <c r="BS67" s="3986" t="e">
        <f t="shared" si="195"/>
        <v>#DIV/0!</v>
      </c>
      <c r="BT67" s="4046"/>
      <c r="BU67" s="3341"/>
      <c r="BV67" s="3341"/>
      <c r="BW67" s="3349">
        <f t="shared" si="196"/>
        <v>0</v>
      </c>
      <c r="BX67" s="3986" t="e">
        <f t="shared" si="197"/>
        <v>#DIV/0!</v>
      </c>
      <c r="BY67" s="4046"/>
      <c r="BZ67" s="3341"/>
      <c r="CA67" s="3341"/>
      <c r="CB67" s="3349">
        <f t="shared" si="198"/>
        <v>0</v>
      </c>
      <c r="CC67" s="3986" t="e">
        <f t="shared" si="199"/>
        <v>#DIV/0!</v>
      </c>
      <c r="CD67" s="4046"/>
      <c r="CE67" s="3341"/>
      <c r="CF67" s="3341"/>
      <c r="CG67" s="3349">
        <f t="shared" si="200"/>
        <v>0</v>
      </c>
      <c r="CH67" s="3986" t="e">
        <f t="shared" si="201"/>
        <v>#DIV/0!</v>
      </c>
      <c r="CI67" s="4046"/>
      <c r="CJ67" s="3341">
        <f t="shared" si="202"/>
        <v>0</v>
      </c>
      <c r="CK67" s="3341">
        <f t="shared" si="202"/>
        <v>0</v>
      </c>
      <c r="CL67" s="2012">
        <f t="shared" si="203"/>
        <v>0</v>
      </c>
      <c r="CM67" s="3986">
        <f t="shared" si="168"/>
        <v>0</v>
      </c>
      <c r="CN67" s="3987"/>
      <c r="CP67" s="2012"/>
      <c r="CQ67" s="2012">
        <f t="shared" si="204"/>
        <v>0</v>
      </c>
      <c r="CR67" s="4035"/>
      <c r="CT67" s="2624"/>
    </row>
    <row r="68" spans="1:98" s="1396" customFormat="1" ht="13.8" outlineLevel="2">
      <c r="A68" s="1571"/>
      <c r="B68" s="4042" t="s">
        <v>5</v>
      </c>
      <c r="C68" s="3341"/>
      <c r="D68" s="3341"/>
      <c r="E68" s="3349">
        <f t="shared" si="169"/>
        <v>0</v>
      </c>
      <c r="F68" s="3986" t="e">
        <f t="shared" si="133"/>
        <v>#DIV/0!</v>
      </c>
      <c r="G68" s="3341"/>
      <c r="H68" s="3341"/>
      <c r="I68" s="3341"/>
      <c r="J68" s="3349">
        <f t="shared" si="170"/>
        <v>0</v>
      </c>
      <c r="K68" s="3986" t="e">
        <f t="shared" si="171"/>
        <v>#DIV/0!</v>
      </c>
      <c r="L68" s="3341"/>
      <c r="M68" s="3341"/>
      <c r="N68" s="3341"/>
      <c r="O68" s="3349">
        <f t="shared" si="172"/>
        <v>0</v>
      </c>
      <c r="P68" s="3986">
        <f t="shared" si="173"/>
        <v>0</v>
      </c>
      <c r="Q68" s="3341"/>
      <c r="R68" s="3342">
        <f t="shared" si="174"/>
        <v>0</v>
      </c>
      <c r="S68" s="3342">
        <f t="shared" si="174"/>
        <v>0</v>
      </c>
      <c r="T68" s="2012">
        <f t="shared" si="175"/>
        <v>0</v>
      </c>
      <c r="U68" s="3341"/>
      <c r="V68" s="3341"/>
      <c r="W68" s="3342">
        <f t="shared" si="176"/>
        <v>0</v>
      </c>
      <c r="X68" s="3342">
        <f t="shared" si="176"/>
        <v>0</v>
      </c>
      <c r="Y68" s="2012">
        <f t="shared" si="177"/>
        <v>0</v>
      </c>
      <c r="Z68" s="3341"/>
      <c r="AA68" s="3341"/>
      <c r="AB68" s="3341"/>
      <c r="AC68" s="3341"/>
      <c r="AD68" s="3349">
        <f t="shared" si="178"/>
        <v>0</v>
      </c>
      <c r="AE68" s="3986">
        <f t="shared" si="179"/>
        <v>0</v>
      </c>
      <c r="AF68" s="3341"/>
      <c r="AG68" s="3341"/>
      <c r="AH68" s="3341"/>
      <c r="AI68" s="3349">
        <f t="shared" si="180"/>
        <v>0</v>
      </c>
      <c r="AJ68" s="3986">
        <f t="shared" si="181"/>
        <v>0</v>
      </c>
      <c r="AK68" s="3341"/>
      <c r="AL68" s="3341"/>
      <c r="AM68" s="3341"/>
      <c r="AN68" s="3349">
        <f t="shared" si="182"/>
        <v>0</v>
      </c>
      <c r="AO68" s="3986" t="e">
        <f t="shared" si="183"/>
        <v>#DIV/0!</v>
      </c>
      <c r="AP68" s="3341"/>
      <c r="AQ68" s="3341"/>
      <c r="AR68" s="3341"/>
      <c r="AS68" s="3349">
        <f t="shared" si="184"/>
        <v>0</v>
      </c>
      <c r="AT68" s="3986" t="e">
        <f t="shared" si="185"/>
        <v>#DIV/0!</v>
      </c>
      <c r="AU68" s="3341"/>
      <c r="AV68" s="3341"/>
      <c r="AW68" s="3341"/>
      <c r="AX68" s="3349">
        <f t="shared" si="186"/>
        <v>0</v>
      </c>
      <c r="AY68" s="3986" t="e">
        <f t="shared" si="187"/>
        <v>#DIV/0!</v>
      </c>
      <c r="AZ68" s="3341"/>
      <c r="BA68" s="3341"/>
      <c r="BB68" s="3341"/>
      <c r="BC68" s="3349">
        <f t="shared" si="188"/>
        <v>0</v>
      </c>
      <c r="BD68" s="3986" t="e">
        <f t="shared" si="189"/>
        <v>#DIV/0!</v>
      </c>
      <c r="BE68" s="3341"/>
      <c r="BF68" s="3341"/>
      <c r="BG68" s="3341"/>
      <c r="BH68" s="3349">
        <f t="shared" si="190"/>
        <v>0</v>
      </c>
      <c r="BI68" s="3986" t="e">
        <f t="shared" si="191"/>
        <v>#DIV/0!</v>
      </c>
      <c r="BJ68" s="3341"/>
      <c r="BK68" s="3341"/>
      <c r="BL68" s="3341"/>
      <c r="BM68" s="3349">
        <f t="shared" si="192"/>
        <v>0</v>
      </c>
      <c r="BN68" s="3986" t="e">
        <f t="shared" si="193"/>
        <v>#DIV/0!</v>
      </c>
      <c r="BO68" s="3341"/>
      <c r="BP68" s="3341"/>
      <c r="BQ68" s="3341"/>
      <c r="BR68" s="3349">
        <f t="shared" si="194"/>
        <v>0</v>
      </c>
      <c r="BS68" s="3986" t="e">
        <f t="shared" si="195"/>
        <v>#DIV/0!</v>
      </c>
      <c r="BT68" s="3341"/>
      <c r="BU68" s="3341"/>
      <c r="BV68" s="3341"/>
      <c r="BW68" s="3349">
        <f t="shared" si="196"/>
        <v>0</v>
      </c>
      <c r="BX68" s="3986" t="e">
        <f t="shared" si="197"/>
        <v>#DIV/0!</v>
      </c>
      <c r="BY68" s="3341"/>
      <c r="BZ68" s="3341"/>
      <c r="CA68" s="3341"/>
      <c r="CB68" s="3349">
        <f t="shared" si="198"/>
        <v>0</v>
      </c>
      <c r="CC68" s="3986" t="e">
        <f t="shared" si="199"/>
        <v>#DIV/0!</v>
      </c>
      <c r="CD68" s="3341"/>
      <c r="CE68" s="3341"/>
      <c r="CF68" s="3341"/>
      <c r="CG68" s="3349">
        <f t="shared" si="200"/>
        <v>0</v>
      </c>
      <c r="CH68" s="3986" t="e">
        <f t="shared" si="201"/>
        <v>#DIV/0!</v>
      </c>
      <c r="CI68" s="3341"/>
      <c r="CJ68" s="3341">
        <f t="shared" si="202"/>
        <v>0</v>
      </c>
      <c r="CK68" s="3341">
        <f t="shared" si="202"/>
        <v>0</v>
      </c>
      <c r="CL68" s="2012">
        <f t="shared" si="203"/>
        <v>0</v>
      </c>
      <c r="CM68" s="3986">
        <f t="shared" si="168"/>
        <v>0</v>
      </c>
      <c r="CN68" s="3987"/>
      <c r="CP68" s="2012"/>
      <c r="CQ68" s="2012">
        <f t="shared" si="204"/>
        <v>0</v>
      </c>
      <c r="CR68" s="4035"/>
      <c r="CT68" s="2624"/>
    </row>
    <row r="69" spans="1:98" s="1396" customFormat="1" ht="13.8" outlineLevel="2">
      <c r="A69" s="1571"/>
      <c r="B69" s="4042" t="s">
        <v>42</v>
      </c>
      <c r="C69" s="3341"/>
      <c r="D69" s="3341"/>
      <c r="E69" s="3349">
        <f t="shared" si="169"/>
        <v>0</v>
      </c>
      <c r="F69" s="3986" t="e">
        <f t="shared" si="133"/>
        <v>#DIV/0!</v>
      </c>
      <c r="G69" s="4046"/>
      <c r="H69" s="3341"/>
      <c r="I69" s="3341"/>
      <c r="J69" s="3349">
        <f t="shared" si="170"/>
        <v>0</v>
      </c>
      <c r="K69" s="3986" t="e">
        <f t="shared" si="171"/>
        <v>#DIV/0!</v>
      </c>
      <c r="L69" s="4046"/>
      <c r="M69" s="3341"/>
      <c r="N69" s="3341"/>
      <c r="O69" s="3349">
        <f t="shared" si="172"/>
        <v>0</v>
      </c>
      <c r="P69" s="3986">
        <f t="shared" si="173"/>
        <v>0</v>
      </c>
      <c r="Q69" s="4046"/>
      <c r="R69" s="3342">
        <f t="shared" si="174"/>
        <v>0</v>
      </c>
      <c r="S69" s="3342">
        <f t="shared" si="174"/>
        <v>0</v>
      </c>
      <c r="T69" s="2012">
        <f t="shared" si="175"/>
        <v>0</v>
      </c>
      <c r="U69" s="3462"/>
      <c r="V69" s="3462"/>
      <c r="W69" s="3342">
        <f t="shared" si="176"/>
        <v>0</v>
      </c>
      <c r="X69" s="3342">
        <f t="shared" si="176"/>
        <v>0</v>
      </c>
      <c r="Y69" s="2012">
        <f t="shared" si="177"/>
        <v>0</v>
      </c>
      <c r="Z69" s="3462"/>
      <c r="AA69" s="3462"/>
      <c r="AB69" s="3341"/>
      <c r="AC69" s="3341"/>
      <c r="AD69" s="3349">
        <f t="shared" si="178"/>
        <v>0</v>
      </c>
      <c r="AE69" s="3986">
        <f t="shared" si="179"/>
        <v>0</v>
      </c>
      <c r="AF69" s="4046"/>
      <c r="AG69" s="3341"/>
      <c r="AH69" s="3341"/>
      <c r="AI69" s="3349">
        <f t="shared" si="180"/>
        <v>0</v>
      </c>
      <c r="AJ69" s="3986">
        <f t="shared" si="181"/>
        <v>0</v>
      </c>
      <c r="AK69" s="4046"/>
      <c r="AL69" s="3341"/>
      <c r="AM69" s="3341"/>
      <c r="AN69" s="3349">
        <f t="shared" si="182"/>
        <v>0</v>
      </c>
      <c r="AO69" s="3986" t="e">
        <f t="shared" si="183"/>
        <v>#DIV/0!</v>
      </c>
      <c r="AP69" s="4046"/>
      <c r="AQ69" s="3341"/>
      <c r="AR69" s="3341"/>
      <c r="AS69" s="3349">
        <f t="shared" si="184"/>
        <v>0</v>
      </c>
      <c r="AT69" s="3986" t="e">
        <f t="shared" si="185"/>
        <v>#DIV/0!</v>
      </c>
      <c r="AU69" s="4046"/>
      <c r="AV69" s="3341"/>
      <c r="AW69" s="3341"/>
      <c r="AX69" s="3349">
        <f t="shared" si="186"/>
        <v>0</v>
      </c>
      <c r="AY69" s="3986" t="e">
        <f t="shared" si="187"/>
        <v>#DIV/0!</v>
      </c>
      <c r="AZ69" s="4046"/>
      <c r="BA69" s="3341"/>
      <c r="BB69" s="3341"/>
      <c r="BC69" s="3349">
        <f t="shared" si="188"/>
        <v>0</v>
      </c>
      <c r="BD69" s="3986" t="e">
        <f t="shared" si="189"/>
        <v>#DIV/0!</v>
      </c>
      <c r="BE69" s="4046"/>
      <c r="BF69" s="3341"/>
      <c r="BG69" s="3341"/>
      <c r="BH69" s="3349">
        <f t="shared" si="190"/>
        <v>0</v>
      </c>
      <c r="BI69" s="3986" t="e">
        <f t="shared" si="191"/>
        <v>#DIV/0!</v>
      </c>
      <c r="BJ69" s="4046"/>
      <c r="BK69" s="3341"/>
      <c r="BL69" s="3341"/>
      <c r="BM69" s="3349">
        <f t="shared" si="192"/>
        <v>0</v>
      </c>
      <c r="BN69" s="3986" t="e">
        <f t="shared" si="193"/>
        <v>#DIV/0!</v>
      </c>
      <c r="BO69" s="4046"/>
      <c r="BP69" s="3341"/>
      <c r="BQ69" s="3341"/>
      <c r="BR69" s="3349">
        <f t="shared" si="194"/>
        <v>0</v>
      </c>
      <c r="BS69" s="3986" t="e">
        <f t="shared" si="195"/>
        <v>#DIV/0!</v>
      </c>
      <c r="BT69" s="4046"/>
      <c r="BU69" s="3341"/>
      <c r="BV69" s="3341"/>
      <c r="BW69" s="3349">
        <f t="shared" si="196"/>
        <v>0</v>
      </c>
      <c r="BX69" s="3986" t="e">
        <f t="shared" si="197"/>
        <v>#DIV/0!</v>
      </c>
      <c r="BY69" s="4046"/>
      <c r="BZ69" s="3341"/>
      <c r="CA69" s="3341"/>
      <c r="CB69" s="3349">
        <f t="shared" si="198"/>
        <v>0</v>
      </c>
      <c r="CC69" s="3986" t="e">
        <f t="shared" si="199"/>
        <v>#DIV/0!</v>
      </c>
      <c r="CD69" s="4046"/>
      <c r="CE69" s="3341"/>
      <c r="CF69" s="3341"/>
      <c r="CG69" s="3349">
        <f t="shared" si="200"/>
        <v>0</v>
      </c>
      <c r="CH69" s="3986" t="e">
        <f t="shared" si="201"/>
        <v>#DIV/0!</v>
      </c>
      <c r="CI69" s="4046"/>
      <c r="CJ69" s="3341">
        <f t="shared" si="202"/>
        <v>0</v>
      </c>
      <c r="CK69" s="3341">
        <f t="shared" si="202"/>
        <v>0</v>
      </c>
      <c r="CL69" s="2012">
        <f t="shared" si="203"/>
        <v>0</v>
      </c>
      <c r="CM69" s="3986">
        <f t="shared" si="168"/>
        <v>0</v>
      </c>
      <c r="CN69" s="3987"/>
      <c r="CP69" s="2012"/>
      <c r="CQ69" s="2012">
        <f t="shared" si="204"/>
        <v>0</v>
      </c>
      <c r="CR69" s="4035"/>
      <c r="CT69" s="2624"/>
    </row>
    <row r="70" spans="1:98" s="1396" customFormat="1" ht="13.8" outlineLevel="2">
      <c r="A70" s="1571"/>
      <c r="B70" s="4042" t="s">
        <v>6</v>
      </c>
      <c r="C70" s="3341"/>
      <c r="D70" s="3341"/>
      <c r="E70" s="3349">
        <f t="shared" si="169"/>
        <v>0</v>
      </c>
      <c r="F70" s="3986" t="e">
        <f t="shared" si="133"/>
        <v>#DIV/0!</v>
      </c>
      <c r="G70" s="4046"/>
      <c r="H70" s="3341"/>
      <c r="I70" s="3341"/>
      <c r="J70" s="3349">
        <f t="shared" si="170"/>
        <v>0</v>
      </c>
      <c r="K70" s="3986" t="e">
        <f t="shared" si="171"/>
        <v>#DIV/0!</v>
      </c>
      <c r="L70" s="4046"/>
      <c r="M70" s="3341"/>
      <c r="N70" s="3341"/>
      <c r="O70" s="3349">
        <f t="shared" si="172"/>
        <v>0</v>
      </c>
      <c r="P70" s="3986">
        <f t="shared" si="173"/>
        <v>0</v>
      </c>
      <c r="Q70" s="4046"/>
      <c r="R70" s="3342">
        <f t="shared" si="174"/>
        <v>0</v>
      </c>
      <c r="S70" s="3342">
        <f t="shared" si="174"/>
        <v>0</v>
      </c>
      <c r="T70" s="2012">
        <f t="shared" si="175"/>
        <v>0</v>
      </c>
      <c r="U70" s="3462"/>
      <c r="V70" s="3462"/>
      <c r="W70" s="3342">
        <f t="shared" si="176"/>
        <v>0</v>
      </c>
      <c r="X70" s="3342">
        <f t="shared" si="176"/>
        <v>0</v>
      </c>
      <c r="Y70" s="2012">
        <f t="shared" si="177"/>
        <v>0</v>
      </c>
      <c r="Z70" s="3462"/>
      <c r="AA70" s="3462"/>
      <c r="AB70" s="3341"/>
      <c r="AC70" s="3341"/>
      <c r="AD70" s="3349">
        <f t="shared" si="178"/>
        <v>0</v>
      </c>
      <c r="AE70" s="3986">
        <f t="shared" si="179"/>
        <v>0</v>
      </c>
      <c r="AF70" s="4046"/>
      <c r="AG70" s="3341"/>
      <c r="AH70" s="3341"/>
      <c r="AI70" s="3349">
        <f t="shared" si="180"/>
        <v>0</v>
      </c>
      <c r="AJ70" s="3986">
        <f t="shared" si="181"/>
        <v>0</v>
      </c>
      <c r="AK70" s="4046"/>
      <c r="AL70" s="3341"/>
      <c r="AM70" s="3341"/>
      <c r="AN70" s="3349">
        <f t="shared" si="182"/>
        <v>0</v>
      </c>
      <c r="AO70" s="3986" t="e">
        <f t="shared" si="183"/>
        <v>#DIV/0!</v>
      </c>
      <c r="AP70" s="4046"/>
      <c r="AQ70" s="3341"/>
      <c r="AR70" s="3341"/>
      <c r="AS70" s="3349">
        <f t="shared" si="184"/>
        <v>0</v>
      </c>
      <c r="AT70" s="3986" t="e">
        <f t="shared" si="185"/>
        <v>#DIV/0!</v>
      </c>
      <c r="AU70" s="4046"/>
      <c r="AV70" s="3341"/>
      <c r="AW70" s="3341"/>
      <c r="AX70" s="3349">
        <f t="shared" si="186"/>
        <v>0</v>
      </c>
      <c r="AY70" s="3986" t="e">
        <f t="shared" si="187"/>
        <v>#DIV/0!</v>
      </c>
      <c r="AZ70" s="4046"/>
      <c r="BA70" s="3341"/>
      <c r="BB70" s="3341"/>
      <c r="BC70" s="3349">
        <f t="shared" si="188"/>
        <v>0</v>
      </c>
      <c r="BD70" s="3986" t="e">
        <f t="shared" si="189"/>
        <v>#DIV/0!</v>
      </c>
      <c r="BE70" s="4046"/>
      <c r="BF70" s="3341"/>
      <c r="BG70" s="3341"/>
      <c r="BH70" s="3349">
        <f t="shared" si="190"/>
        <v>0</v>
      </c>
      <c r="BI70" s="3986" t="e">
        <f t="shared" si="191"/>
        <v>#DIV/0!</v>
      </c>
      <c r="BJ70" s="4046"/>
      <c r="BK70" s="3341"/>
      <c r="BL70" s="3341"/>
      <c r="BM70" s="3349">
        <f t="shared" si="192"/>
        <v>0</v>
      </c>
      <c r="BN70" s="3986" t="e">
        <f t="shared" si="193"/>
        <v>#DIV/0!</v>
      </c>
      <c r="BO70" s="4046"/>
      <c r="BP70" s="3341"/>
      <c r="BQ70" s="3341"/>
      <c r="BR70" s="3349">
        <f t="shared" si="194"/>
        <v>0</v>
      </c>
      <c r="BS70" s="3986" t="e">
        <f t="shared" si="195"/>
        <v>#DIV/0!</v>
      </c>
      <c r="BT70" s="4046"/>
      <c r="BU70" s="3341"/>
      <c r="BV70" s="3341"/>
      <c r="BW70" s="3349">
        <f t="shared" si="196"/>
        <v>0</v>
      </c>
      <c r="BX70" s="3986" t="e">
        <f t="shared" si="197"/>
        <v>#DIV/0!</v>
      </c>
      <c r="BY70" s="4046"/>
      <c r="BZ70" s="3341"/>
      <c r="CA70" s="3341"/>
      <c r="CB70" s="3349">
        <f t="shared" si="198"/>
        <v>0</v>
      </c>
      <c r="CC70" s="3986" t="e">
        <f t="shared" si="199"/>
        <v>#DIV/0!</v>
      </c>
      <c r="CD70" s="4046"/>
      <c r="CE70" s="3341"/>
      <c r="CF70" s="3341"/>
      <c r="CG70" s="3349">
        <f t="shared" si="200"/>
        <v>0</v>
      </c>
      <c r="CH70" s="3986" t="e">
        <f t="shared" si="201"/>
        <v>#DIV/0!</v>
      </c>
      <c r="CI70" s="4046"/>
      <c r="CJ70" s="3341">
        <f t="shared" si="202"/>
        <v>0</v>
      </c>
      <c r="CK70" s="3341">
        <f t="shared" si="202"/>
        <v>0</v>
      </c>
      <c r="CL70" s="2012">
        <f t="shared" si="203"/>
        <v>0</v>
      </c>
      <c r="CM70" s="3986">
        <f t="shared" si="168"/>
        <v>0</v>
      </c>
      <c r="CN70" s="3987"/>
      <c r="CP70" s="2012"/>
      <c r="CQ70" s="2012">
        <f t="shared" si="204"/>
        <v>0</v>
      </c>
      <c r="CR70" s="4035"/>
      <c r="CT70" s="2624"/>
    </row>
    <row r="71" spans="1:98" s="1396" customFormat="1" ht="13.8" outlineLevel="2">
      <c r="A71" s="1571"/>
      <c r="B71" s="4042" t="s">
        <v>78</v>
      </c>
      <c r="C71" s="3341"/>
      <c r="D71" s="3341"/>
      <c r="E71" s="3349">
        <f t="shared" si="169"/>
        <v>0</v>
      </c>
      <c r="F71" s="3986" t="e">
        <f t="shared" si="133"/>
        <v>#DIV/0!</v>
      </c>
      <c r="G71" s="4046"/>
      <c r="H71" s="3341"/>
      <c r="I71" s="3341"/>
      <c r="J71" s="3349">
        <f t="shared" si="170"/>
        <v>0</v>
      </c>
      <c r="K71" s="3986" t="e">
        <f t="shared" si="171"/>
        <v>#DIV/0!</v>
      </c>
      <c r="L71" s="4046"/>
      <c r="M71" s="3341"/>
      <c r="N71" s="3341"/>
      <c r="O71" s="3349">
        <f t="shared" si="172"/>
        <v>0</v>
      </c>
      <c r="P71" s="3986">
        <f t="shared" si="173"/>
        <v>0</v>
      </c>
      <c r="Q71" s="4046"/>
      <c r="R71" s="3342">
        <f t="shared" si="174"/>
        <v>0</v>
      </c>
      <c r="S71" s="3342">
        <f t="shared" si="174"/>
        <v>0</v>
      </c>
      <c r="T71" s="2012">
        <f t="shared" si="175"/>
        <v>0</v>
      </c>
      <c r="U71" s="3462"/>
      <c r="V71" s="3462"/>
      <c r="W71" s="3342">
        <f t="shared" si="176"/>
        <v>0</v>
      </c>
      <c r="X71" s="3342">
        <f t="shared" si="176"/>
        <v>0</v>
      </c>
      <c r="Y71" s="2012">
        <f t="shared" si="177"/>
        <v>0</v>
      </c>
      <c r="Z71" s="3462"/>
      <c r="AA71" s="3462"/>
      <c r="AB71" s="3341"/>
      <c r="AC71" s="3341"/>
      <c r="AD71" s="3349">
        <f t="shared" si="178"/>
        <v>0</v>
      </c>
      <c r="AE71" s="3986">
        <f t="shared" si="179"/>
        <v>0</v>
      </c>
      <c r="AF71" s="4046"/>
      <c r="AG71" s="3341"/>
      <c r="AH71" s="3341"/>
      <c r="AI71" s="3349">
        <f t="shared" si="180"/>
        <v>0</v>
      </c>
      <c r="AJ71" s="3986">
        <f t="shared" si="181"/>
        <v>0</v>
      </c>
      <c r="AK71" s="4046"/>
      <c r="AL71" s="3341"/>
      <c r="AM71" s="3341"/>
      <c r="AN71" s="3349">
        <f t="shared" si="182"/>
        <v>0</v>
      </c>
      <c r="AO71" s="3986" t="e">
        <f t="shared" si="183"/>
        <v>#DIV/0!</v>
      </c>
      <c r="AP71" s="4046"/>
      <c r="AQ71" s="3341"/>
      <c r="AR71" s="3341"/>
      <c r="AS71" s="3349">
        <f t="shared" si="184"/>
        <v>0</v>
      </c>
      <c r="AT71" s="3986" t="e">
        <f t="shared" si="185"/>
        <v>#DIV/0!</v>
      </c>
      <c r="AU71" s="4046"/>
      <c r="AV71" s="3341"/>
      <c r="AW71" s="3341"/>
      <c r="AX71" s="3349">
        <f t="shared" si="186"/>
        <v>0</v>
      </c>
      <c r="AY71" s="3986" t="e">
        <f t="shared" si="187"/>
        <v>#DIV/0!</v>
      </c>
      <c r="AZ71" s="4046"/>
      <c r="BA71" s="3341"/>
      <c r="BB71" s="3341"/>
      <c r="BC71" s="3349">
        <f t="shared" si="188"/>
        <v>0</v>
      </c>
      <c r="BD71" s="3986" t="e">
        <f t="shared" si="189"/>
        <v>#DIV/0!</v>
      </c>
      <c r="BE71" s="4046"/>
      <c r="BF71" s="3341"/>
      <c r="BG71" s="3341"/>
      <c r="BH71" s="3349">
        <f t="shared" si="190"/>
        <v>0</v>
      </c>
      <c r="BI71" s="3986" t="e">
        <f t="shared" si="191"/>
        <v>#DIV/0!</v>
      </c>
      <c r="BJ71" s="4046"/>
      <c r="BK71" s="3341"/>
      <c r="BL71" s="3341"/>
      <c r="BM71" s="3349">
        <f t="shared" si="192"/>
        <v>0</v>
      </c>
      <c r="BN71" s="3986" t="e">
        <f t="shared" si="193"/>
        <v>#DIV/0!</v>
      </c>
      <c r="BO71" s="4046"/>
      <c r="BP71" s="3341"/>
      <c r="BQ71" s="3341"/>
      <c r="BR71" s="3349">
        <f t="shared" si="194"/>
        <v>0</v>
      </c>
      <c r="BS71" s="3986" t="e">
        <f t="shared" si="195"/>
        <v>#DIV/0!</v>
      </c>
      <c r="BT71" s="4046"/>
      <c r="BU71" s="3341"/>
      <c r="BV71" s="3341"/>
      <c r="BW71" s="3349">
        <f t="shared" si="196"/>
        <v>0</v>
      </c>
      <c r="BX71" s="3986" t="e">
        <f t="shared" si="197"/>
        <v>#DIV/0!</v>
      </c>
      <c r="BY71" s="4046"/>
      <c r="BZ71" s="3341"/>
      <c r="CA71" s="3341"/>
      <c r="CB71" s="3349">
        <f t="shared" si="198"/>
        <v>0</v>
      </c>
      <c r="CC71" s="3986" t="e">
        <f t="shared" si="199"/>
        <v>#DIV/0!</v>
      </c>
      <c r="CD71" s="4046"/>
      <c r="CE71" s="3341"/>
      <c r="CF71" s="3341"/>
      <c r="CG71" s="3349">
        <f t="shared" si="200"/>
        <v>0</v>
      </c>
      <c r="CH71" s="3986" t="e">
        <f t="shared" si="201"/>
        <v>#DIV/0!</v>
      </c>
      <c r="CI71" s="4046"/>
      <c r="CJ71" s="3341">
        <f t="shared" si="202"/>
        <v>0</v>
      </c>
      <c r="CK71" s="3341">
        <f t="shared" si="202"/>
        <v>0</v>
      </c>
      <c r="CL71" s="2012">
        <f t="shared" si="203"/>
        <v>0</v>
      </c>
      <c r="CM71" s="3986">
        <f t="shared" si="168"/>
        <v>0</v>
      </c>
      <c r="CN71" s="3987"/>
      <c r="CP71" s="2012"/>
      <c r="CQ71" s="2012">
        <f t="shared" si="204"/>
        <v>0</v>
      </c>
      <c r="CR71" s="4035"/>
      <c r="CT71" s="2624"/>
    </row>
    <row r="72" spans="1:98" s="1396" customFormat="1" ht="13.8" outlineLevel="2">
      <c r="A72" s="1571"/>
      <c r="B72" s="4051"/>
      <c r="C72" s="4039"/>
      <c r="D72" s="4039"/>
      <c r="E72" s="3962"/>
      <c r="F72" s="3986"/>
      <c r="G72" s="4046"/>
      <c r="H72" s="4039"/>
      <c r="I72" s="4039"/>
      <c r="J72" s="3962"/>
      <c r="K72" s="3986" t="e">
        <f t="shared" si="171"/>
        <v>#DIV/0!</v>
      </c>
      <c r="L72" s="4046"/>
      <c r="M72" s="4039"/>
      <c r="N72" s="4039"/>
      <c r="O72" s="3962"/>
      <c r="P72" s="3986">
        <f t="shared" si="173"/>
        <v>0</v>
      </c>
      <c r="Q72" s="4046"/>
      <c r="R72" s="4046"/>
      <c r="S72" s="4046"/>
      <c r="T72" s="4046"/>
      <c r="U72" s="4046"/>
      <c r="V72" s="4046"/>
      <c r="W72" s="4046"/>
      <c r="X72" s="4046"/>
      <c r="Y72" s="4046"/>
      <c r="Z72" s="4046"/>
      <c r="AA72" s="4046"/>
      <c r="AB72" s="4039"/>
      <c r="AC72" s="4039"/>
      <c r="AD72" s="3962"/>
      <c r="AE72" s="3986"/>
      <c r="AF72" s="4046"/>
      <c r="AG72" s="4039"/>
      <c r="AH72" s="4039"/>
      <c r="AI72" s="3962"/>
      <c r="AJ72" s="3986"/>
      <c r="AK72" s="4046"/>
      <c r="AL72" s="4039"/>
      <c r="AM72" s="4039"/>
      <c r="AN72" s="3962"/>
      <c r="AO72" s="3986"/>
      <c r="AP72" s="4046"/>
      <c r="AQ72" s="4039"/>
      <c r="AR72" s="4039"/>
      <c r="AS72" s="3962"/>
      <c r="AT72" s="3986"/>
      <c r="AU72" s="4046"/>
      <c r="AV72" s="4039"/>
      <c r="AW72" s="4039"/>
      <c r="AX72" s="3962"/>
      <c r="AY72" s="3986"/>
      <c r="AZ72" s="4046"/>
      <c r="BA72" s="4039"/>
      <c r="BB72" s="4039"/>
      <c r="BC72" s="3962"/>
      <c r="BD72" s="3986"/>
      <c r="BE72" s="4046"/>
      <c r="BF72" s="4039"/>
      <c r="BG72" s="4039"/>
      <c r="BH72" s="3962"/>
      <c r="BI72" s="3986"/>
      <c r="BJ72" s="4046"/>
      <c r="BK72" s="4039"/>
      <c r="BL72" s="4039"/>
      <c r="BM72" s="3962"/>
      <c r="BN72" s="3986"/>
      <c r="BO72" s="4046"/>
      <c r="BP72" s="4039"/>
      <c r="BQ72" s="4039"/>
      <c r="BR72" s="3962"/>
      <c r="BS72" s="3986"/>
      <c r="BT72" s="4046"/>
      <c r="BU72" s="4039"/>
      <c r="BV72" s="4039"/>
      <c r="BW72" s="3962"/>
      <c r="BX72" s="3986"/>
      <c r="BY72" s="4046"/>
      <c r="BZ72" s="4039"/>
      <c r="CA72" s="4039"/>
      <c r="CB72" s="3962"/>
      <c r="CC72" s="3986"/>
      <c r="CD72" s="4046"/>
      <c r="CE72" s="4039"/>
      <c r="CF72" s="4039"/>
      <c r="CG72" s="3962"/>
      <c r="CH72" s="3986"/>
      <c r="CI72" s="4046"/>
      <c r="CJ72" s="4039"/>
      <c r="CK72" s="4039"/>
      <c r="CL72" s="3962"/>
      <c r="CM72" s="3986">
        <f>CL72/$CL$89</f>
        <v>0</v>
      </c>
      <c r="CN72" s="3987"/>
      <c r="CP72" s="2030"/>
      <c r="CQ72" s="2030"/>
      <c r="CR72" s="4034"/>
      <c r="CT72" s="2624"/>
    </row>
    <row r="73" spans="1:98"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Y74</f>
        <v>0</v>
      </c>
      <c r="Z73" s="3738"/>
      <c r="AA73" s="3742"/>
      <c r="AB73" s="555">
        <f>AB74</f>
        <v>0</v>
      </c>
      <c r="AC73" s="3738">
        <f>AC74</f>
        <v>0</v>
      </c>
      <c r="AD73" s="3739">
        <f>AD74</f>
        <v>0</v>
      </c>
      <c r="AE73" s="3738"/>
      <c r="AF73" s="3741"/>
      <c r="AG73" s="555">
        <f>AG74</f>
        <v>0</v>
      </c>
      <c r="AH73" s="3738">
        <f>AH74</f>
        <v>0</v>
      </c>
      <c r="AI73" s="3739">
        <f>AI74</f>
        <v>0</v>
      </c>
      <c r="AJ73" s="3738"/>
      <c r="AK73" s="3741"/>
      <c r="AL73" s="555">
        <f>AL74</f>
        <v>0</v>
      </c>
      <c r="AM73" s="3738">
        <f>AM74</f>
        <v>0</v>
      </c>
      <c r="AN73" s="3739">
        <f>AN74</f>
        <v>0</v>
      </c>
      <c r="AO73" s="3738"/>
      <c r="AP73" s="3741"/>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4014">
        <f>CP74</f>
        <v>0</v>
      </c>
      <c r="CQ73" s="4014">
        <f>CQ74</f>
        <v>0</v>
      </c>
      <c r="CR73" s="4014"/>
      <c r="CT73" s="2624"/>
    </row>
    <row r="74" spans="1:98" s="1396" customFormat="1" ht="14.4" outlineLevel="1" thickBot="1">
      <c r="A74" s="1413"/>
      <c r="B74" s="1051" t="s">
        <v>64</v>
      </c>
      <c r="C74" s="3341"/>
      <c r="D74" s="3341"/>
      <c r="E74" s="3386">
        <f>C74+D74*1</f>
        <v>0</v>
      </c>
      <c r="F74" s="3386"/>
      <c r="G74" s="3468"/>
      <c r="H74" s="3341"/>
      <c r="I74" s="3341"/>
      <c r="J74" s="3386">
        <f>H74+I74*1</f>
        <v>0</v>
      </c>
      <c r="K74" s="3986" t="e">
        <f t="shared" ref="K74" si="205">J74/J$89</f>
        <v>#DIV/0!</v>
      </c>
      <c r="L74" s="3468"/>
      <c r="M74" s="3341"/>
      <c r="N74" s="3341"/>
      <c r="O74" s="3386">
        <f>M74+N74*1</f>
        <v>0</v>
      </c>
      <c r="P74" s="3986">
        <f t="shared" ref="P74" si="206">O74/O$89</f>
        <v>0</v>
      </c>
      <c r="Q74" s="3468"/>
      <c r="R74" s="3469"/>
      <c r="S74" s="3469"/>
      <c r="T74" s="3469"/>
      <c r="U74" s="3469"/>
      <c r="V74" s="3469"/>
      <c r="W74" s="3342">
        <f t="shared" ref="W74:X74" si="207">AB74+AG74+AL74+AV74+BA74+BF74+BK74+BP74+BU74+BZ74+CE74+AQ74</f>
        <v>0</v>
      </c>
      <c r="X74" s="3342">
        <f t="shared" si="207"/>
        <v>0</v>
      </c>
      <c r="Y74" s="3469"/>
      <c r="Z74" s="3469"/>
      <c r="AA74" s="3469"/>
      <c r="AB74" s="3341"/>
      <c r="AC74" s="3341"/>
      <c r="AD74" s="3386">
        <f>AB74+AC74*1</f>
        <v>0</v>
      </c>
      <c r="AE74" s="3386"/>
      <c r="AF74" s="3468"/>
      <c r="AG74" s="3341"/>
      <c r="AH74" s="3341"/>
      <c r="AI74" s="3386">
        <f>AG74+AH74*1</f>
        <v>0</v>
      </c>
      <c r="AJ74" s="3386"/>
      <c r="AK74" s="3468"/>
      <c r="AL74" s="3341"/>
      <c r="AM74" s="3341"/>
      <c r="AN74" s="3386">
        <f>AL74+AM74*1</f>
        <v>0</v>
      </c>
      <c r="AO74" s="3386"/>
      <c r="AP74" s="3468"/>
      <c r="AQ74" s="3341"/>
      <c r="AR74" s="3341"/>
      <c r="AS74" s="3386">
        <f>AQ74+AR74*1</f>
        <v>0</v>
      </c>
      <c r="AT74" s="3386"/>
      <c r="AU74" s="3468"/>
      <c r="AV74" s="3341"/>
      <c r="AW74" s="3341"/>
      <c r="AX74" s="3386">
        <f>AV74+AW74*1</f>
        <v>0</v>
      </c>
      <c r="AY74" s="3386"/>
      <c r="AZ74" s="3468"/>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C74+H74+M74</f>
        <v>0</v>
      </c>
      <c r="CK74" s="3341">
        <f>D74+I74+N74</f>
        <v>0</v>
      </c>
      <c r="CL74" s="3386">
        <f>CJ74+CK74*1</f>
        <v>0</v>
      </c>
      <c r="CM74" s="3386"/>
      <c r="CN74" s="3386"/>
      <c r="CP74" s="4015">
        <f>CN74+CO74*1</f>
        <v>0</v>
      </c>
      <c r="CQ74" s="4015">
        <f>CO74+CP74*1</f>
        <v>0</v>
      </c>
      <c r="CR74" s="4015"/>
      <c r="CT74" s="2624"/>
    </row>
    <row r="75" spans="1:98"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-17586.8</v>
      </c>
      <c r="O75" s="1508">
        <f>O38-O41-O50-O54</f>
        <v>-17586.8</v>
      </c>
      <c r="P75" s="1953"/>
      <c r="Q75" s="1058"/>
      <c r="R75" s="1450">
        <f>R38-R41-R50-R54</f>
        <v>0</v>
      </c>
      <c r="S75" s="1450">
        <f>S38-S41-S50-S54</f>
        <v>-17586.8</v>
      </c>
      <c r="T75" s="1508">
        <f>T38-T41-T50-T54</f>
        <v>-17586.8</v>
      </c>
      <c r="U75" s="3470"/>
      <c r="V75" s="3470"/>
      <c r="W75" s="1450">
        <f>W38-W41-W50-W54</f>
        <v>357309.61400000006</v>
      </c>
      <c r="X75" s="1450">
        <f>X38-X41-X50-X54</f>
        <v>-99028.885999999999</v>
      </c>
      <c r="Y75" s="1508">
        <f>Y38-Y41-Y50-Y54</f>
        <v>258280.728</v>
      </c>
      <c r="Z75" s="3470"/>
      <c r="AA75" s="3470"/>
      <c r="AB75" s="1450">
        <f>AB38-AB41-AB50-AB54</f>
        <v>-217304.24400000004</v>
      </c>
      <c r="AC75" s="1450">
        <f>AC38-AC41-AC50-AC54</f>
        <v>-94528.885999999999</v>
      </c>
      <c r="AD75" s="1508">
        <f>AD38-AD41-AD50-AD54</f>
        <v>-311833.13</v>
      </c>
      <c r="AE75" s="1953"/>
      <c r="AF75" s="1058"/>
      <c r="AG75" s="1450">
        <f>AG38-AG41-AG50-AG54</f>
        <v>574613.85800000001</v>
      </c>
      <c r="AH75" s="1450">
        <f>AH38-AH41-AH50-AH54</f>
        <v>-4500</v>
      </c>
      <c r="AI75" s="1508">
        <f>AI38-AI41-AI50-AI54</f>
        <v>570113.85800000001</v>
      </c>
      <c r="AJ75" s="1953"/>
      <c r="AK75" s="1058"/>
      <c r="AL75" s="1450">
        <f>AL38-AL41-AL50-AL54</f>
        <v>0</v>
      </c>
      <c r="AM75" s="1450">
        <f>AM38-AM41-AM50-AM54</f>
        <v>0</v>
      </c>
      <c r="AN75" s="1508">
        <f>AN38-AN41-AN50-AN54</f>
        <v>0</v>
      </c>
      <c r="AO75" s="1953"/>
      <c r="AP75" s="1058"/>
      <c r="AQ75" s="1450">
        <f>AQ38-AQ41-AQ50-AQ54</f>
        <v>0</v>
      </c>
      <c r="AR75" s="1450">
        <f>AR38-AR41-AR50-AR54</f>
        <v>0</v>
      </c>
      <c r="AS75" s="1508">
        <f>AS38-AS41-AS50-AS54</f>
        <v>0</v>
      </c>
      <c r="AT75" s="1953"/>
      <c r="AU75" s="1058"/>
      <c r="AV75" s="1450">
        <f>AV38-AV41-AV50-AV54</f>
        <v>0</v>
      </c>
      <c r="AW75" s="1450">
        <f>AW38-AW41-AW50-AW54</f>
        <v>0</v>
      </c>
      <c r="AX75" s="1508">
        <f>AX38-AX41-AX50-AX54</f>
        <v>0</v>
      </c>
      <c r="AY75" s="1953"/>
      <c r="AZ75" s="1058"/>
      <c r="BA75" s="1450">
        <f>BA38-BA41-BA50-BA54</f>
        <v>0</v>
      </c>
      <c r="BB75" s="1450">
        <f>BB38-BB41-BB50-BB54</f>
        <v>0</v>
      </c>
      <c r="BC75" s="1508">
        <f>BC38-BC41-BC50-BC54</f>
        <v>0</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367267.60400000005</v>
      </c>
      <c r="CK75" s="1450">
        <f>CK38-CK41-CK50-CK54</f>
        <v>-116615.686</v>
      </c>
      <c r="CL75" s="1508">
        <f>CL38-CL41-CL50-CL54</f>
        <v>250651.91800000006</v>
      </c>
      <c r="CM75" s="1953"/>
      <c r="CN75" s="1953"/>
      <c r="CP75" s="3471">
        <f>CP38-CP41-CP50-CP54</f>
        <v>345557.73419999995</v>
      </c>
      <c r="CQ75" s="3471">
        <f>CQ38-CQ41-CQ50-CQ54</f>
        <v>250651.91800000006</v>
      </c>
      <c r="CR75" s="3471">
        <f>CR38-CR41-CR50-CR54</f>
        <v>94905.816199999899</v>
      </c>
      <c r="CT75" s="2624"/>
    </row>
    <row r="76" spans="1:98"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2003">
        <f>IFERROR(AB75/AB5,0)</f>
        <v>0</v>
      </c>
      <c r="AC76" s="2003">
        <f>IFERROR(AC75/AC5,0)</f>
        <v>0</v>
      </c>
      <c r="AD76" s="2004">
        <f>IFERROR(AD75/AD5,0)</f>
        <v>0</v>
      </c>
      <c r="AE76" s="2004"/>
      <c r="AF76" s="1056"/>
      <c r="AG76" s="2003">
        <f>IFERROR(AG75/AG5,0)</f>
        <v>0.8357462872183018</v>
      </c>
      <c r="AH76" s="2003">
        <f>IFERROR(AH75/AH5,0)</f>
        <v>0</v>
      </c>
      <c r="AI76" s="2004">
        <f>IFERROR(AI75/AI5,0)</f>
        <v>0.82920126878527545</v>
      </c>
      <c r="AJ76" s="2004"/>
      <c r="AK76" s="1056"/>
      <c r="AL76" s="2003">
        <f>IFERROR(AL75/AL5,0)</f>
        <v>0</v>
      </c>
      <c r="AM76" s="2003">
        <f>IFERROR(AM75/AM5,0)</f>
        <v>0</v>
      </c>
      <c r="AN76" s="2004">
        <f>IFERROR(AN75/AN5,0)</f>
        <v>0</v>
      </c>
      <c r="AO76" s="2004"/>
      <c r="AP76" s="1056"/>
      <c r="AQ76" s="2003">
        <f>IFERROR(AQ75/AQ5,0)</f>
        <v>0</v>
      </c>
      <c r="AR76" s="2003">
        <f>IFERROR(AR75/AR5,0)</f>
        <v>0</v>
      </c>
      <c r="AS76" s="2004">
        <f>IFERROR(AS75/AS5,0)</f>
        <v>0</v>
      </c>
      <c r="AT76" s="2004"/>
      <c r="AU76" s="1056"/>
      <c r="AV76" s="2003">
        <f>IFERROR(AV75/AV5,0)</f>
        <v>0</v>
      </c>
      <c r="AW76" s="2003">
        <f>IFERROR(AW75/AW5,0)</f>
        <v>0</v>
      </c>
      <c r="AX76" s="2004">
        <f>IFERROR(AX75/AX5,0)</f>
        <v>0</v>
      </c>
      <c r="AY76" s="2004"/>
      <c r="AZ76" s="1056"/>
      <c r="BA76" s="2003">
        <f>IFERROR(BA75/BA5,0)</f>
        <v>0</v>
      </c>
      <c r="BB76" s="2003">
        <f>IFERROR(BB75/BB5,0)</f>
        <v>0</v>
      </c>
      <c r="BC76" s="2004">
        <f>IFERROR(BC75/BC5,0)</f>
        <v>0</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0.53417183067408991</v>
      </c>
      <c r="CK76" s="2003">
        <f>IFERROR(CK75/CK5,0)</f>
        <v>0</v>
      </c>
      <c r="CL76" s="2004">
        <f>IFERROR(CL75/CL5,0)</f>
        <v>0.36456031635186614</v>
      </c>
      <c r="CM76" s="2004"/>
      <c r="CN76" s="2004"/>
      <c r="CP76" s="2004">
        <f>CP75/CP5</f>
        <v>0.4910365178865928</v>
      </c>
      <c r="CQ76" s="2004">
        <f>IFERROR(CQ75/CQ5,0)</f>
        <v>0.36456031635186614</v>
      </c>
      <c r="CR76" s="2004">
        <f>CR75/CR5</f>
        <v>5.8636599096269553</v>
      </c>
      <c r="CT76" s="2624"/>
    </row>
    <row r="77" spans="1:98" s="1396" customFormat="1" ht="14.4" outlineLevel="1" thickBot="1">
      <c r="A77" s="1566"/>
      <c r="B77" s="4016" t="s">
        <v>9</v>
      </c>
      <c r="C77" s="3965">
        <f>C78-C79</f>
        <v>0</v>
      </c>
      <c r="D77" s="3965">
        <f>D78-D79</f>
        <v>0</v>
      </c>
      <c r="E77" s="3966">
        <f>E78-E79</f>
        <v>0</v>
      </c>
      <c r="F77" s="3967"/>
      <c r="G77" s="4017"/>
      <c r="H77" s="3965">
        <f>H78-H79</f>
        <v>0</v>
      </c>
      <c r="I77" s="3965">
        <f>I78-I79</f>
        <v>0</v>
      </c>
      <c r="J77" s="3966">
        <f>J78-J79</f>
        <v>0</v>
      </c>
      <c r="K77" s="3967"/>
      <c r="L77" s="4017"/>
      <c r="M77" s="3965">
        <f>M78-M79</f>
        <v>-2837.7609845013167</v>
      </c>
      <c r="N77" s="3965">
        <f>N78-N79</f>
        <v>0</v>
      </c>
      <c r="O77" s="3966">
        <f>O78-O79</f>
        <v>-2837.7609845013167</v>
      </c>
      <c r="P77" s="3967"/>
      <c r="Q77" s="4017"/>
      <c r="R77" s="3965">
        <f>R78-R79</f>
        <v>-2837.7609845013167</v>
      </c>
      <c r="S77" s="3965">
        <f>S78-S79</f>
        <v>0</v>
      </c>
      <c r="T77" s="3966">
        <f>T78-T79</f>
        <v>-2837.7609845013167</v>
      </c>
      <c r="U77" s="4018"/>
      <c r="V77" s="4018"/>
      <c r="W77" s="3965">
        <f>W78-W79</f>
        <v>-16120.989601674482</v>
      </c>
      <c r="X77" s="3965">
        <f>X78-X79</f>
        <v>0</v>
      </c>
      <c r="Y77" s="3966">
        <f>Y78-Y79</f>
        <v>-16120.989601674482</v>
      </c>
      <c r="Z77" s="4018"/>
      <c r="AA77" s="4018"/>
      <c r="AB77" s="3965">
        <f>AB78-AB79</f>
        <v>-15388.431091347151</v>
      </c>
      <c r="AC77" s="3965">
        <f>AC78-AC79</f>
        <v>0</v>
      </c>
      <c r="AD77" s="3966">
        <f>AD78-AD79</f>
        <v>-15388.431091347151</v>
      </c>
      <c r="AE77" s="3967"/>
      <c r="AF77" s="4017"/>
      <c r="AG77" s="3965">
        <f>AG78-AG79</f>
        <v>-732.55851032733187</v>
      </c>
      <c r="AH77" s="3965">
        <f>AH78-AH79</f>
        <v>0</v>
      </c>
      <c r="AI77" s="3966">
        <f>AI78-AI79</f>
        <v>-732.55851032733187</v>
      </c>
      <c r="AJ77" s="3967"/>
      <c r="AK77" s="4017"/>
      <c r="AL77" s="3965">
        <f>AL78-AL79</f>
        <v>0</v>
      </c>
      <c r="AM77" s="3965">
        <f>AM78-AM79</f>
        <v>0</v>
      </c>
      <c r="AN77" s="3966">
        <f>AN78-AN79</f>
        <v>0</v>
      </c>
      <c r="AO77" s="3967"/>
      <c r="AP77" s="4017"/>
      <c r="AQ77" s="3965">
        <f>AQ78-AQ79</f>
        <v>0</v>
      </c>
      <c r="AR77" s="3965">
        <f>AR78-AR79</f>
        <v>0</v>
      </c>
      <c r="AS77" s="3966">
        <f>AS78-AS79</f>
        <v>0</v>
      </c>
      <c r="AT77" s="3967"/>
      <c r="AU77" s="4017"/>
      <c r="AV77" s="3965">
        <f>AV78-AV79</f>
        <v>0</v>
      </c>
      <c r="AW77" s="3965">
        <f>AW78-AW79</f>
        <v>0</v>
      </c>
      <c r="AX77" s="3966">
        <f>AX78-AX79</f>
        <v>0</v>
      </c>
      <c r="AY77" s="3967"/>
      <c r="AZ77" s="4017"/>
      <c r="BA77" s="3965">
        <f>BA78-BA79</f>
        <v>0</v>
      </c>
      <c r="BB77" s="3965">
        <f>BB78-BB79</f>
        <v>0</v>
      </c>
      <c r="BC77" s="3966">
        <f>BC78-BC79</f>
        <v>0</v>
      </c>
      <c r="BD77" s="3967"/>
      <c r="BE77" s="4017"/>
      <c r="BF77" s="3965">
        <f>BF78-BF79</f>
        <v>0</v>
      </c>
      <c r="BG77" s="3965">
        <f>BG78-BG79</f>
        <v>0</v>
      </c>
      <c r="BH77" s="3966">
        <f>BH78-BH79</f>
        <v>0</v>
      </c>
      <c r="BI77" s="3967"/>
      <c r="BJ77" s="4017"/>
      <c r="BK77" s="3965">
        <f>BK78-BK79</f>
        <v>0</v>
      </c>
      <c r="BL77" s="3965">
        <f>BL78-BL79</f>
        <v>0</v>
      </c>
      <c r="BM77" s="3966">
        <f>BM78-BM79</f>
        <v>0</v>
      </c>
      <c r="BN77" s="3967"/>
      <c r="BO77" s="4017"/>
      <c r="BP77" s="3965">
        <f>BP78-BP79</f>
        <v>0</v>
      </c>
      <c r="BQ77" s="3965">
        <f>BQ78-BQ79</f>
        <v>0</v>
      </c>
      <c r="BR77" s="3966">
        <f>BR78-BR79</f>
        <v>0</v>
      </c>
      <c r="BS77" s="3967"/>
      <c r="BT77" s="4017"/>
      <c r="BU77" s="3965">
        <f>BU78-BU79</f>
        <v>0</v>
      </c>
      <c r="BV77" s="3965">
        <f>BV78-BV79</f>
        <v>0</v>
      </c>
      <c r="BW77" s="3966">
        <f>BW78-BW79</f>
        <v>0</v>
      </c>
      <c r="BX77" s="3967"/>
      <c r="BY77" s="4017"/>
      <c r="BZ77" s="3965">
        <f>BZ78-BZ79</f>
        <v>0</v>
      </c>
      <c r="CA77" s="3965">
        <f>CA78-CA79</f>
        <v>0</v>
      </c>
      <c r="CB77" s="3966">
        <f>CB78-CB79</f>
        <v>0</v>
      </c>
      <c r="CC77" s="3967"/>
      <c r="CD77" s="4017"/>
      <c r="CE77" s="3965">
        <f>CE78-CE79</f>
        <v>0</v>
      </c>
      <c r="CF77" s="3965">
        <f>CF78-CF79</f>
        <v>0</v>
      </c>
      <c r="CG77" s="3966">
        <f>CG78-CG79</f>
        <v>0</v>
      </c>
      <c r="CH77" s="3967"/>
      <c r="CI77" s="4017"/>
      <c r="CJ77" s="3965">
        <f>CJ78-CJ79</f>
        <v>-18958.7505861758</v>
      </c>
      <c r="CK77" s="3965">
        <f>CK78-CK79</f>
        <v>0</v>
      </c>
      <c r="CL77" s="3966">
        <f>CL78-CL79</f>
        <v>-18958.7505861758</v>
      </c>
      <c r="CM77" s="3967"/>
      <c r="CN77" s="3967"/>
      <c r="CP77" s="3966">
        <f>CP78-CP79</f>
        <v>0</v>
      </c>
      <c r="CQ77" s="3966">
        <f>CQ78-CQ79</f>
        <v>-18958.7505861758</v>
      </c>
      <c r="CR77" s="3966"/>
      <c r="CT77" s="2624"/>
    </row>
    <row r="78" spans="1:98" s="1396" customFormat="1" ht="13.8" outlineLevel="2">
      <c r="A78" s="1405"/>
      <c r="B78" s="1400" t="s">
        <v>43</v>
      </c>
      <c r="C78" s="3341"/>
      <c r="D78" s="3341"/>
      <c r="E78" s="3391">
        <f>C78+D78*1.15</f>
        <v>0</v>
      </c>
      <c r="F78" s="3391"/>
      <c r="G78" s="3473"/>
      <c r="H78" s="3341"/>
      <c r="I78" s="3341"/>
      <c r="J78" s="3391">
        <f>H78+I78*1.15</f>
        <v>0</v>
      </c>
      <c r="K78" s="3986" t="e">
        <f t="shared" ref="K78:K79" si="208">J78/J$89</f>
        <v>#DIV/0!</v>
      </c>
      <c r="L78" s="3473"/>
      <c r="M78" s="3341"/>
      <c r="N78" s="3341"/>
      <c r="O78" s="3391">
        <f>M78+N78*1.15</f>
        <v>0</v>
      </c>
      <c r="P78" s="3986">
        <f t="shared" ref="P78:P79" si="209">O78/O$89</f>
        <v>0</v>
      </c>
      <c r="Q78" s="3473"/>
      <c r="R78" s="3342">
        <f t="shared" ref="R78:S79" si="210">M78+H78+C78</f>
        <v>0</v>
      </c>
      <c r="S78" s="3342">
        <f t="shared" si="210"/>
        <v>0</v>
      </c>
      <c r="T78" s="2012">
        <f t="shared" ref="T78:T79" si="211">R78+S78</f>
        <v>0</v>
      </c>
      <c r="U78" s="3474"/>
      <c r="V78" s="3474"/>
      <c r="W78" s="3342">
        <f t="shared" ref="W78:X79" si="212">AB78+AG78+AL78+AV78+BA78+BF78+BK78+BP78+BU78+BZ78+CE78+AQ78</f>
        <v>0</v>
      </c>
      <c r="X78" s="3342">
        <f t="shared" si="212"/>
        <v>0</v>
      </c>
      <c r="Y78" s="2012">
        <f t="shared" ref="Y78:Y79" si="213">W78+X78</f>
        <v>0</v>
      </c>
      <c r="Z78" s="3474"/>
      <c r="AA78" s="3474"/>
      <c r="AB78" s="3341"/>
      <c r="AC78" s="3341"/>
      <c r="AD78" s="3391">
        <f>AB78+AC78*1.15</f>
        <v>0</v>
      </c>
      <c r="AE78" s="3391"/>
      <c r="AF78" s="3473"/>
      <c r="AG78" s="3341"/>
      <c r="AH78" s="3341"/>
      <c r="AI78" s="3391">
        <f>AG78+AH78*1.15</f>
        <v>0</v>
      </c>
      <c r="AJ78" s="3391"/>
      <c r="AK78" s="3473"/>
      <c r="AL78" s="3341"/>
      <c r="AM78" s="3341"/>
      <c r="AN78" s="3391">
        <f>AL78+AM78*1.15</f>
        <v>0</v>
      </c>
      <c r="AO78" s="3391"/>
      <c r="AP78" s="3473"/>
      <c r="AQ78" s="3341"/>
      <c r="AR78" s="3341"/>
      <c r="AS78" s="3391">
        <f>AQ78+AR78*1.15</f>
        <v>0</v>
      </c>
      <c r="AT78" s="3391"/>
      <c r="AU78" s="3473"/>
      <c r="AV78" s="3341"/>
      <c r="AW78" s="3341"/>
      <c r="AX78" s="3391">
        <f>AV78+AW78*1.15</f>
        <v>0</v>
      </c>
      <c r="AY78" s="3391"/>
      <c r="AZ78" s="3473"/>
      <c r="BA78" s="3341"/>
      <c r="BB78" s="3341"/>
      <c r="BC78" s="3391">
        <f>BA78+BB78*1.15</f>
        <v>0</v>
      </c>
      <c r="BD78" s="3391"/>
      <c r="BE78" s="3473"/>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14">C78+H78+M78+W78</f>
        <v>0</v>
      </c>
      <c r="CK78" s="3341">
        <f t="shared" si="214"/>
        <v>0</v>
      </c>
      <c r="CL78" s="3391">
        <f>CJ78+CK78*1.15</f>
        <v>0</v>
      </c>
      <c r="CM78" s="3391"/>
      <c r="CN78" s="3391"/>
      <c r="CP78" s="3475"/>
      <c r="CQ78" s="3475">
        <f>CO78+CP78*1.15</f>
        <v>0</v>
      </c>
      <c r="CR78" s="4035"/>
      <c r="CT78" s="2624"/>
    </row>
    <row r="79" spans="1:98" s="1396" customFormat="1" ht="13.8" outlineLevel="2">
      <c r="A79" s="1405"/>
      <c r="B79" s="4052" t="s">
        <v>79</v>
      </c>
      <c r="C79" s="3341">
        <v>0</v>
      </c>
      <c r="D79" s="3341"/>
      <c r="E79" s="2012">
        <f>C79+D79</f>
        <v>0</v>
      </c>
      <c r="F79" s="4044"/>
      <c r="G79" s="4043"/>
      <c r="H79" s="3341">
        <v>0</v>
      </c>
      <c r="I79" s="3341"/>
      <c r="J79" s="2012">
        <f>H79+I79</f>
        <v>0</v>
      </c>
      <c r="K79" s="3986" t="e">
        <f t="shared" si="208"/>
        <v>#DIV/0!</v>
      </c>
      <c r="L79" s="4043"/>
      <c r="M79" s="3341">
        <v>2837.7609845013167</v>
      </c>
      <c r="N79" s="3341"/>
      <c r="O79" s="2012">
        <f>M79+N79</f>
        <v>2837.7609845013167</v>
      </c>
      <c r="P79" s="3986">
        <f t="shared" si="209"/>
        <v>0.13893865266698671</v>
      </c>
      <c r="Q79" s="4043"/>
      <c r="R79" s="3342">
        <f t="shared" si="210"/>
        <v>2837.7609845013167</v>
      </c>
      <c r="S79" s="3342">
        <f t="shared" si="210"/>
        <v>0</v>
      </c>
      <c r="T79" s="2012">
        <f t="shared" si="211"/>
        <v>2837.7609845013167</v>
      </c>
      <c r="U79" s="3455"/>
      <c r="V79" s="3455"/>
      <c r="W79" s="3342">
        <f t="shared" si="212"/>
        <v>16120.989601674482</v>
      </c>
      <c r="X79" s="3342">
        <f t="shared" si="212"/>
        <v>0</v>
      </c>
      <c r="Y79" s="2012">
        <f t="shared" si="213"/>
        <v>16120.989601674482</v>
      </c>
      <c r="Z79" s="3455"/>
      <c r="AA79" s="3455"/>
      <c r="AB79" s="3341">
        <v>15388.431091347151</v>
      </c>
      <c r="AC79" s="3341"/>
      <c r="AD79" s="2012">
        <f>AB79+AC79</f>
        <v>15388.431091347151</v>
      </c>
      <c r="AE79" s="4044"/>
      <c r="AF79" s="4043"/>
      <c r="AG79" s="3341">
        <v>732.55851032733187</v>
      </c>
      <c r="AH79" s="3341"/>
      <c r="AI79" s="2012">
        <f>AG79+AH79</f>
        <v>732.55851032733187</v>
      </c>
      <c r="AJ79" s="4044"/>
      <c r="AK79" s="4043"/>
      <c r="AL79" s="3341">
        <v>0</v>
      </c>
      <c r="AM79" s="3341"/>
      <c r="AN79" s="2012">
        <f>AL79+AM79</f>
        <v>0</v>
      </c>
      <c r="AO79" s="4044"/>
      <c r="AP79" s="4043"/>
      <c r="AQ79" s="3341">
        <v>0</v>
      </c>
      <c r="AR79" s="3341"/>
      <c r="AS79" s="2012">
        <f>AQ79+AR79</f>
        <v>0</v>
      </c>
      <c r="AT79" s="4044"/>
      <c r="AU79" s="4043"/>
      <c r="AV79" s="3341">
        <v>0</v>
      </c>
      <c r="AW79" s="3341"/>
      <c r="AX79" s="2012">
        <f>AV79+AW79</f>
        <v>0</v>
      </c>
      <c r="AY79" s="4044"/>
      <c r="AZ79" s="4043"/>
      <c r="BA79" s="3341">
        <v>0</v>
      </c>
      <c r="BB79" s="3341"/>
      <c r="BC79" s="2012">
        <f>BA79+BB79</f>
        <v>0</v>
      </c>
      <c r="BD79" s="4044"/>
      <c r="BE79" s="4043"/>
      <c r="BF79" s="3341">
        <v>0</v>
      </c>
      <c r="BG79" s="3341"/>
      <c r="BH79" s="2012">
        <f>BF79+BG79</f>
        <v>0</v>
      </c>
      <c r="BI79" s="4044"/>
      <c r="BJ79" s="4043"/>
      <c r="BK79" s="3341"/>
      <c r="BL79" s="3341"/>
      <c r="BM79" s="2012">
        <f>BK79+BL79</f>
        <v>0</v>
      </c>
      <c r="BN79" s="4044"/>
      <c r="BO79" s="4043"/>
      <c r="BP79" s="3341">
        <v>0</v>
      </c>
      <c r="BQ79" s="3341"/>
      <c r="BR79" s="2012">
        <f>BP79+BQ79</f>
        <v>0</v>
      </c>
      <c r="BS79" s="4044"/>
      <c r="BT79" s="4043"/>
      <c r="BU79" s="3341">
        <v>0</v>
      </c>
      <c r="BV79" s="3341"/>
      <c r="BW79" s="2012">
        <f>BU79+BV79</f>
        <v>0</v>
      </c>
      <c r="BX79" s="4044"/>
      <c r="BY79" s="4043"/>
      <c r="BZ79" s="3341">
        <v>0</v>
      </c>
      <c r="CA79" s="3341"/>
      <c r="CB79" s="2012">
        <f>BZ79+CA79</f>
        <v>0</v>
      </c>
      <c r="CC79" s="4044"/>
      <c r="CD79" s="4043"/>
      <c r="CE79" s="3341">
        <v>0</v>
      </c>
      <c r="CF79" s="3341"/>
      <c r="CG79" s="2012">
        <f>CE79+CF79</f>
        <v>0</v>
      </c>
      <c r="CH79" s="4044"/>
      <c r="CI79" s="4043"/>
      <c r="CJ79" s="3341">
        <f t="shared" si="214"/>
        <v>18958.7505861758</v>
      </c>
      <c r="CK79" s="3341">
        <f t="shared" si="214"/>
        <v>0</v>
      </c>
      <c r="CL79" s="2012">
        <f t="shared" ref="CL79" si="215">CJ79+CK79*1</f>
        <v>18958.7505861758</v>
      </c>
      <c r="CM79" s="4044"/>
      <c r="CN79" s="4044"/>
      <c r="CP79" s="2012"/>
      <c r="CQ79" s="2012">
        <f>CJ79</f>
        <v>18958.7505861758</v>
      </c>
      <c r="CR79" s="4035">
        <f t="shared" ref="CR79" si="216">CP79-CQ79</f>
        <v>-18958.7505861758</v>
      </c>
      <c r="CT79" s="2624"/>
    </row>
    <row r="80" spans="1:98" ht="13.8" outlineLevel="2">
      <c r="A80" s="1397"/>
      <c r="B80" s="4051"/>
      <c r="C80" s="3341"/>
      <c r="D80" s="3341"/>
      <c r="E80" s="4053"/>
      <c r="F80" s="4053"/>
      <c r="G80" s="4054"/>
      <c r="H80" s="3341"/>
      <c r="I80" s="3341"/>
      <c r="J80" s="4053"/>
      <c r="K80" s="4053"/>
      <c r="L80" s="4054"/>
      <c r="M80" s="3341"/>
      <c r="N80" s="3341"/>
      <c r="O80" s="4053"/>
      <c r="P80" s="4053"/>
      <c r="Q80" s="4054"/>
      <c r="R80" s="3448"/>
      <c r="S80" s="3448"/>
      <c r="T80" s="3448"/>
      <c r="U80" s="3448"/>
      <c r="V80" s="3448"/>
      <c r="W80" s="3448"/>
      <c r="X80" s="3448"/>
      <c r="Y80" s="3448"/>
      <c r="Z80" s="3448"/>
      <c r="AA80" s="3448"/>
      <c r="AB80" s="3341"/>
      <c r="AC80" s="3341"/>
      <c r="AD80" s="4053"/>
      <c r="AE80" s="4053"/>
      <c r="AF80" s="4054"/>
      <c r="AG80" s="3341"/>
      <c r="AH80" s="3341"/>
      <c r="AI80" s="4053"/>
      <c r="AJ80" s="4053"/>
      <c r="AK80" s="4054"/>
      <c r="AL80" s="3341"/>
      <c r="AM80" s="3341"/>
      <c r="AN80" s="4053"/>
      <c r="AO80" s="4053"/>
      <c r="AP80" s="4054"/>
      <c r="AQ80" s="3341"/>
      <c r="AR80" s="3341"/>
      <c r="AS80" s="4053"/>
      <c r="AT80" s="4053"/>
      <c r="AU80" s="4054"/>
      <c r="AV80" s="3341"/>
      <c r="AW80" s="3341"/>
      <c r="AX80" s="4053"/>
      <c r="AY80" s="4053"/>
      <c r="AZ80" s="4054"/>
      <c r="BA80" s="3341"/>
      <c r="BB80" s="3341"/>
      <c r="BC80" s="4053"/>
      <c r="BD80" s="4053"/>
      <c r="BE80" s="4054"/>
      <c r="BF80" s="3341"/>
      <c r="BG80" s="3341"/>
      <c r="BH80" s="4053"/>
      <c r="BI80" s="4053"/>
      <c r="BJ80" s="4054"/>
      <c r="BK80" s="3341"/>
      <c r="BL80" s="3341"/>
      <c r="BM80" s="4053"/>
      <c r="BN80" s="4053"/>
      <c r="BO80" s="4054"/>
      <c r="BP80" s="3341"/>
      <c r="BQ80" s="3341"/>
      <c r="BR80" s="4053"/>
      <c r="BS80" s="4053"/>
      <c r="BT80" s="4054"/>
      <c r="BU80" s="3341"/>
      <c r="BV80" s="3341"/>
      <c r="BW80" s="4053"/>
      <c r="BX80" s="4053"/>
      <c r="BY80" s="4054"/>
      <c r="BZ80" s="3341"/>
      <c r="CA80" s="3341"/>
      <c r="CB80" s="4053"/>
      <c r="CC80" s="4053"/>
      <c r="CD80" s="4054"/>
      <c r="CE80" s="3341"/>
      <c r="CF80" s="3341"/>
      <c r="CG80" s="4053"/>
      <c r="CH80" s="4053"/>
      <c r="CI80" s="4054"/>
      <c r="CJ80" s="3341">
        <f>C80+H80+M80</f>
        <v>0</v>
      </c>
      <c r="CK80" s="3341">
        <f>D80+I80+N80</f>
        <v>0</v>
      </c>
      <c r="CL80" s="4053"/>
      <c r="CM80" s="4053"/>
      <c r="CN80" s="4053"/>
      <c r="CP80" s="4019"/>
      <c r="CQ80" s="4019"/>
      <c r="CR80" s="4035"/>
    </row>
    <row r="81" spans="1:101" s="1396" customFormat="1" ht="14.4" outlineLevel="1" thickBot="1">
      <c r="A81" s="1419"/>
      <c r="B81" s="4016" t="s">
        <v>12</v>
      </c>
      <c r="C81" s="3965">
        <f>(C75+C78)-C79</f>
        <v>0</v>
      </c>
      <c r="D81" s="3965">
        <f>(D75+D78)-D79</f>
        <v>0</v>
      </c>
      <c r="E81" s="3966">
        <f>(E75+E78)-E79</f>
        <v>0</v>
      </c>
      <c r="F81" s="3967"/>
      <c r="G81" s="4017"/>
      <c r="H81" s="3965">
        <f>(H75+H78)-H79</f>
        <v>0</v>
      </c>
      <c r="I81" s="3965">
        <f>(I75+I78)-I79</f>
        <v>0</v>
      </c>
      <c r="J81" s="3966">
        <f>(J75+J78)-J79</f>
        <v>0</v>
      </c>
      <c r="K81" s="3967"/>
      <c r="L81" s="4017"/>
      <c r="M81" s="3965">
        <f>(M75+M78)-M79</f>
        <v>-2837.7609845013167</v>
      </c>
      <c r="N81" s="3965">
        <f>(N75+N78)-N79</f>
        <v>-17586.8</v>
      </c>
      <c r="O81" s="3966">
        <f>(O75+O78)-O79</f>
        <v>-20424.560984501317</v>
      </c>
      <c r="P81" s="3967"/>
      <c r="Q81" s="4017"/>
      <c r="R81" s="3965">
        <f>(R75+R78)-R79</f>
        <v>-2837.7609845013167</v>
      </c>
      <c r="S81" s="3965">
        <f>(S75+S78)-S79</f>
        <v>-17586.8</v>
      </c>
      <c r="T81" s="3966">
        <f>(T75+T78)-T79</f>
        <v>-20424.560984501317</v>
      </c>
      <c r="U81" s="4018"/>
      <c r="V81" s="4018"/>
      <c r="W81" s="3965">
        <f>(W75+W78)-W79</f>
        <v>341188.62439832557</v>
      </c>
      <c r="X81" s="3965">
        <f>(X75+X78)-X79</f>
        <v>-99028.885999999999</v>
      </c>
      <c r="Y81" s="3966">
        <f>(Y75+Y78)-Y79</f>
        <v>242159.73839832551</v>
      </c>
      <c r="Z81" s="4018"/>
      <c r="AA81" s="4018"/>
      <c r="AB81" s="3965">
        <f>(AB75+AB78)-AB79</f>
        <v>-232692.67509134719</v>
      </c>
      <c r="AC81" s="3965">
        <f>(AC75+AC78)-AC79</f>
        <v>-94528.885999999999</v>
      </c>
      <c r="AD81" s="3966">
        <f>(AD75+AD78)-AD79</f>
        <v>-327221.56109134713</v>
      </c>
      <c r="AE81" s="3967"/>
      <c r="AF81" s="4017"/>
      <c r="AG81" s="3965">
        <f>(AG75+AG78)-AG79</f>
        <v>573881.29948967264</v>
      </c>
      <c r="AH81" s="3965">
        <f>(AH75+AH78)-AH79</f>
        <v>-4500</v>
      </c>
      <c r="AI81" s="3966">
        <f>(AI75+AI78)-AI79</f>
        <v>569381.29948967264</v>
      </c>
      <c r="AJ81" s="3967"/>
      <c r="AK81" s="4017"/>
      <c r="AL81" s="3965">
        <f>(AL75+AL78)-AL79</f>
        <v>0</v>
      </c>
      <c r="AM81" s="3965">
        <f>(AM75+AM78)-AM79</f>
        <v>0</v>
      </c>
      <c r="AN81" s="3966">
        <f>(AN75+AN78)-AN79</f>
        <v>0</v>
      </c>
      <c r="AO81" s="3967"/>
      <c r="AP81" s="4017"/>
      <c r="AQ81" s="3965">
        <f>(AQ75+AQ78)-AQ79</f>
        <v>0</v>
      </c>
      <c r="AR81" s="3965">
        <f>(AR75+AR78)-AR79</f>
        <v>0</v>
      </c>
      <c r="AS81" s="3966">
        <f>(AS75+AS78)-AS79</f>
        <v>0</v>
      </c>
      <c r="AT81" s="3967"/>
      <c r="AU81" s="4017"/>
      <c r="AV81" s="3965">
        <f>(AV75+AV78)-AV79</f>
        <v>0</v>
      </c>
      <c r="AW81" s="3965">
        <f>(AW75+AW78)-AW79</f>
        <v>0</v>
      </c>
      <c r="AX81" s="3966">
        <f>(AX75+AX78)-AX79</f>
        <v>0</v>
      </c>
      <c r="AY81" s="3967"/>
      <c r="AZ81" s="4017"/>
      <c r="BA81" s="3965">
        <f>(BA75+BA78)-BA79</f>
        <v>0</v>
      </c>
      <c r="BB81" s="3965">
        <f>(BB75+BB78)-BB79</f>
        <v>0</v>
      </c>
      <c r="BC81" s="3966">
        <f>(BC75+BC78)-BC79</f>
        <v>0</v>
      </c>
      <c r="BD81" s="3967"/>
      <c r="BE81" s="4017"/>
      <c r="BF81" s="3965">
        <f>(BF75+BF78)-BF79</f>
        <v>0</v>
      </c>
      <c r="BG81" s="3965">
        <f>(BG75+BG78)-BG79</f>
        <v>0</v>
      </c>
      <c r="BH81" s="3966">
        <f>(BH75+BH78)-BH79</f>
        <v>0</v>
      </c>
      <c r="BI81" s="3967"/>
      <c r="BJ81" s="4017"/>
      <c r="BK81" s="3965">
        <f>(BK75+BK78)-BK79</f>
        <v>0</v>
      </c>
      <c r="BL81" s="3965">
        <f>(BL75+BL78)-BL79</f>
        <v>0</v>
      </c>
      <c r="BM81" s="3966">
        <f>(BM75+BM78)-BM79</f>
        <v>0</v>
      </c>
      <c r="BN81" s="3967"/>
      <c r="BO81" s="4017"/>
      <c r="BP81" s="3965">
        <f>(BP75+BP78)-BP79</f>
        <v>0</v>
      </c>
      <c r="BQ81" s="3965">
        <f>(BQ75+BQ78)-BQ79</f>
        <v>0</v>
      </c>
      <c r="BR81" s="3966">
        <f>(BR75+BR78)-BR79</f>
        <v>0</v>
      </c>
      <c r="BS81" s="3967"/>
      <c r="BT81" s="4017"/>
      <c r="BU81" s="3965">
        <f>(BU75+BU78)-BU79</f>
        <v>0</v>
      </c>
      <c r="BV81" s="3965">
        <f>(BV75+BV78)-BV79</f>
        <v>0</v>
      </c>
      <c r="BW81" s="3966">
        <f>(BW75+BW78)-BW79</f>
        <v>0</v>
      </c>
      <c r="BX81" s="3967"/>
      <c r="BY81" s="4017"/>
      <c r="BZ81" s="3965">
        <f>(BZ75+BZ78)-BZ79</f>
        <v>0</v>
      </c>
      <c r="CA81" s="3965">
        <f>(CA75+CA78)-CA79</f>
        <v>0</v>
      </c>
      <c r="CB81" s="3966">
        <f>(CB75+CB78)-CB79</f>
        <v>0</v>
      </c>
      <c r="CC81" s="3967"/>
      <c r="CD81" s="4017"/>
      <c r="CE81" s="3965">
        <f>(CE75+CE78)-CE79</f>
        <v>0</v>
      </c>
      <c r="CF81" s="3965">
        <f>(CF75+CF78)-CF79</f>
        <v>0</v>
      </c>
      <c r="CG81" s="3966">
        <f>(CG75+CG78)-CG79</f>
        <v>0</v>
      </c>
      <c r="CH81" s="3967"/>
      <c r="CI81" s="4017"/>
      <c r="CJ81" s="3965">
        <f>(CJ75+CJ78)-CJ79</f>
        <v>348308.85341382422</v>
      </c>
      <c r="CK81" s="3965">
        <f>(CK75+CK78)-CK79</f>
        <v>-116615.686</v>
      </c>
      <c r="CL81" s="3966">
        <f>(CL75+CL78)-CL79</f>
        <v>231693.16741382427</v>
      </c>
      <c r="CM81" s="3967"/>
      <c r="CN81" s="3967"/>
      <c r="CP81" s="3966">
        <f>(CP75+CP78)-CP79</f>
        <v>345557.73419999995</v>
      </c>
      <c r="CQ81" s="4020">
        <f>(CQ75+CQ78)-CQ79</f>
        <v>231693.16741382427</v>
      </c>
      <c r="CR81" s="3966">
        <f>(CR75+CR78)-CR79</f>
        <v>113864.5667861757</v>
      </c>
      <c r="CT81" s="2624"/>
    </row>
    <row r="82" spans="1:101" s="1396" customFormat="1" ht="13.8" outlineLevel="2">
      <c r="A82" s="1565"/>
      <c r="B82" s="1400" t="s">
        <v>38</v>
      </c>
      <c r="C82" s="3341"/>
      <c r="D82" s="3341"/>
      <c r="E82" s="3390">
        <f>C82+D82</f>
        <v>0</v>
      </c>
      <c r="F82" s="3381"/>
      <c r="G82" s="3455"/>
      <c r="H82" s="3341"/>
      <c r="I82" s="3341"/>
      <c r="J82" s="3390">
        <f>H82+I82</f>
        <v>0</v>
      </c>
      <c r="K82" s="3986" t="e">
        <f t="shared" ref="K82" si="217">J82/J$89</f>
        <v>#DIV/0!</v>
      </c>
      <c r="L82" s="3455"/>
      <c r="M82" s="3341"/>
      <c r="N82" s="3341"/>
      <c r="O82" s="3390">
        <f>M82+N82</f>
        <v>0</v>
      </c>
      <c r="P82" s="3986">
        <f t="shared" ref="P82" si="218">O82/O$89</f>
        <v>0</v>
      </c>
      <c r="Q82" s="3455"/>
      <c r="R82" s="3342">
        <f t="shared" ref="R82:S82" si="219">M82+H82+C82</f>
        <v>0</v>
      </c>
      <c r="S82" s="3342">
        <f t="shared" si="219"/>
        <v>0</v>
      </c>
      <c r="T82" s="2012">
        <f t="shared" ref="T82" si="220">R82+S82</f>
        <v>0</v>
      </c>
      <c r="U82" s="3455"/>
      <c r="V82" s="3455"/>
      <c r="W82" s="3342">
        <f t="shared" ref="W82:X82" si="221">AB82+AG82+AL82+AV82+BA82+BF82+BK82+BP82+BU82+BZ82+CE82+AQ82</f>
        <v>0</v>
      </c>
      <c r="X82" s="3342">
        <f t="shared" si="221"/>
        <v>0</v>
      </c>
      <c r="Y82" s="2012">
        <f t="shared" ref="Y82" si="222">W82+X82</f>
        <v>0</v>
      </c>
      <c r="Z82" s="3455"/>
      <c r="AA82" s="3455"/>
      <c r="AB82" s="3341"/>
      <c r="AC82" s="3341"/>
      <c r="AD82" s="3390">
        <f>AB82+AC82</f>
        <v>0</v>
      </c>
      <c r="AE82" s="3381"/>
      <c r="AF82" s="3455"/>
      <c r="AG82" s="3341"/>
      <c r="AH82" s="3341"/>
      <c r="AI82" s="3390">
        <f>AG82+AH82</f>
        <v>0</v>
      </c>
      <c r="AJ82" s="3381"/>
      <c r="AK82" s="3455"/>
      <c r="AL82" s="3341"/>
      <c r="AM82" s="3341"/>
      <c r="AN82" s="3390">
        <f>AL82+AM82</f>
        <v>0</v>
      </c>
      <c r="AO82" s="3381"/>
      <c r="AP82" s="3455"/>
      <c r="AQ82" s="3341"/>
      <c r="AR82" s="3341"/>
      <c r="AS82" s="3390">
        <f>AQ82+AR82</f>
        <v>0</v>
      </c>
      <c r="AT82" s="3381"/>
      <c r="AU82" s="3455"/>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381"/>
      <c r="CP82" s="3415">
        <f>CN82+CO82</f>
        <v>0</v>
      </c>
      <c r="CQ82" s="3415">
        <f>CO82+CP82</f>
        <v>0</v>
      </c>
      <c r="CR82" s="3415"/>
      <c r="CT82" s="2624"/>
    </row>
    <row r="83" spans="1:101" s="1396" customFormat="1" ht="13.8" outlineLevel="1">
      <c r="A83" s="1405"/>
      <c r="B83" s="4055" t="s">
        <v>13</v>
      </c>
      <c r="C83" s="4056">
        <f>(C81+C7)-C36</f>
        <v>0</v>
      </c>
      <c r="D83" s="4056">
        <f>(D81+D7)-D36</f>
        <v>0</v>
      </c>
      <c r="E83" s="3968">
        <f>(E81+E7)-E36</f>
        <v>0</v>
      </c>
      <c r="F83" s="3969"/>
      <c r="G83" s="4021"/>
      <c r="H83" s="4056">
        <f>(H81+H7)-H36</f>
        <v>0</v>
      </c>
      <c r="I83" s="4056">
        <f>(I81+I7)-I36</f>
        <v>0</v>
      </c>
      <c r="J83" s="3968">
        <f>(J81+J7)-J36</f>
        <v>0</v>
      </c>
      <c r="K83" s="3969"/>
      <c r="L83" s="4021"/>
      <c r="M83" s="4056">
        <f>(M81+M7)-M36</f>
        <v>-2837.7609845013167</v>
      </c>
      <c r="N83" s="4056">
        <f>(N81+N7)-N36</f>
        <v>-17586.8</v>
      </c>
      <c r="O83" s="3968">
        <f>(O81+O7)-O36</f>
        <v>-20424.560984501317</v>
      </c>
      <c r="P83" s="3969"/>
      <c r="Q83" s="4021"/>
      <c r="R83" s="4056">
        <f>(R81+R7)-R36</f>
        <v>-2837.7609845013167</v>
      </c>
      <c r="S83" s="4056">
        <f>(S81+S7)-S36</f>
        <v>-17586.8</v>
      </c>
      <c r="T83" s="3968">
        <f>(T81+T7)-T36</f>
        <v>-20424.560984501317</v>
      </c>
      <c r="U83" s="4032"/>
      <c r="V83" s="4032"/>
      <c r="W83" s="4056">
        <f>(W81+W7)-W36</f>
        <v>341188.62439832557</v>
      </c>
      <c r="X83" s="4056">
        <f>(X81+X7)-X36</f>
        <v>-99028.885999999999</v>
      </c>
      <c r="Y83" s="3968">
        <f>(Y81+Y7)-Y36</f>
        <v>242159.73839832551</v>
      </c>
      <c r="Z83" s="4032"/>
      <c r="AA83" s="4032"/>
      <c r="AB83" s="4056">
        <f>(AB81+AB7)-AB36</f>
        <v>-232692.67509134719</v>
      </c>
      <c r="AC83" s="4056">
        <f>(AC81+AC7)-AC36</f>
        <v>-94528.885999999999</v>
      </c>
      <c r="AD83" s="3968">
        <f>(AD81+AD7)-AD36</f>
        <v>-327221.56109134713</v>
      </c>
      <c r="AE83" s="3969"/>
      <c r="AF83" s="4021"/>
      <c r="AG83" s="4056">
        <f>(AG81+AG7)-AG36</f>
        <v>573881.29948967264</v>
      </c>
      <c r="AH83" s="4056">
        <f>(AH81+AH7)-AH36</f>
        <v>-4500</v>
      </c>
      <c r="AI83" s="3968">
        <f>(AI81+AI7)-AI36</f>
        <v>569381.29948967264</v>
      </c>
      <c r="AJ83" s="3969"/>
      <c r="AK83" s="4021"/>
      <c r="AL83" s="4056">
        <f>(AL81+AL7)-AL36</f>
        <v>0</v>
      </c>
      <c r="AM83" s="4056">
        <f>(AM81+AM7)-AM36</f>
        <v>0</v>
      </c>
      <c r="AN83" s="3968">
        <f>(AN81+AN7)-AN36</f>
        <v>0</v>
      </c>
      <c r="AO83" s="3969"/>
      <c r="AP83" s="4021"/>
      <c r="AQ83" s="4056">
        <f>(AQ81+AQ7)-AQ36</f>
        <v>0</v>
      </c>
      <c r="AR83" s="4056">
        <f>(AR81+AR7)-AR36</f>
        <v>0</v>
      </c>
      <c r="AS83" s="3968">
        <f>(AS81+AS7)-AS36</f>
        <v>0</v>
      </c>
      <c r="AT83" s="3969"/>
      <c r="AU83" s="4021"/>
      <c r="AV83" s="4056">
        <f>(AV81+AV7)-AV36</f>
        <v>0</v>
      </c>
      <c r="AW83" s="4056">
        <f>(AW81+AW7)-AW36</f>
        <v>0</v>
      </c>
      <c r="AX83" s="3968">
        <f>(AX81+AX7)-AX36</f>
        <v>0</v>
      </c>
      <c r="AY83" s="3969"/>
      <c r="AZ83" s="4021"/>
      <c r="BA83" s="4056">
        <f>(BA81+BA7)-BA36</f>
        <v>0</v>
      </c>
      <c r="BB83" s="4056">
        <f>(BB81+BB7)-BB36</f>
        <v>0</v>
      </c>
      <c r="BC83" s="3968">
        <f>(BC81+BC7)-BC36</f>
        <v>0</v>
      </c>
      <c r="BD83" s="3969"/>
      <c r="BE83" s="4021"/>
      <c r="BF83" s="4056">
        <f>(BF81+BF7)-BF36</f>
        <v>0</v>
      </c>
      <c r="BG83" s="4056">
        <f>(BG81+BG7)-BG36</f>
        <v>0</v>
      </c>
      <c r="BH83" s="3968">
        <f>(BH81+BH7)-BH36</f>
        <v>0</v>
      </c>
      <c r="BI83" s="3969"/>
      <c r="BJ83" s="4021"/>
      <c r="BK83" s="4056">
        <f>(BK81+BK7)-BK36</f>
        <v>0</v>
      </c>
      <c r="BL83" s="4056">
        <f>(BL81+BL7)-BL36</f>
        <v>0</v>
      </c>
      <c r="BM83" s="3968">
        <f>(BM81+BM7)-BM36</f>
        <v>0</v>
      </c>
      <c r="BN83" s="3969"/>
      <c r="BO83" s="4021"/>
      <c r="BP83" s="4056">
        <f>(BP81+BP7)-BP36</f>
        <v>0</v>
      </c>
      <c r="BQ83" s="4056">
        <f>(BQ81+BQ7)-BQ36</f>
        <v>0</v>
      </c>
      <c r="BR83" s="3968">
        <f>(BR81+BR7)-BR36</f>
        <v>0</v>
      </c>
      <c r="BS83" s="3969"/>
      <c r="BT83" s="4021"/>
      <c r="BU83" s="4056">
        <f>(BU81+BU7)-BU36</f>
        <v>0</v>
      </c>
      <c r="BV83" s="4056">
        <f>(BV81+BV7)-BV36</f>
        <v>0</v>
      </c>
      <c r="BW83" s="3968">
        <f>(BW81+BW7)-BW36</f>
        <v>0</v>
      </c>
      <c r="BX83" s="3969"/>
      <c r="BY83" s="4021"/>
      <c r="BZ83" s="4056">
        <f>(BZ81+BZ7)-BZ36</f>
        <v>0</v>
      </c>
      <c r="CA83" s="4056">
        <f>(CA81+CA7)-CA36</f>
        <v>0</v>
      </c>
      <c r="CB83" s="3968">
        <f>(CB81+CB7)-CB36</f>
        <v>0</v>
      </c>
      <c r="CC83" s="3969"/>
      <c r="CD83" s="4021"/>
      <c r="CE83" s="4056">
        <f>(CE81+CE7)-CE36</f>
        <v>0</v>
      </c>
      <c r="CF83" s="4056">
        <f>(CF81+CF7)-CF36</f>
        <v>0</v>
      </c>
      <c r="CG83" s="3968">
        <f>(CG81+CG7)-CG36</f>
        <v>0</v>
      </c>
      <c r="CH83" s="3969"/>
      <c r="CI83" s="4021"/>
      <c r="CJ83" s="4056">
        <f>(CJ81+CJ7)-CJ36</f>
        <v>348308.85341382422</v>
      </c>
      <c r="CK83" s="4056">
        <f>(CK81+CK7)-CK36</f>
        <v>-116615.686</v>
      </c>
      <c r="CL83" s="3968">
        <f>(CL81+CL7)-CL36</f>
        <v>231693.16741382427</v>
      </c>
      <c r="CM83" s="3969"/>
      <c r="CN83" s="3969"/>
      <c r="CP83" s="3481">
        <f>(CP81+CP7)-CP36</f>
        <v>345557.73419999995</v>
      </c>
      <c r="CQ83" s="3481">
        <f>(CQ81+CQ7)-CQ36</f>
        <v>231693.16741382427</v>
      </c>
      <c r="CR83" s="3481">
        <f>(CR81+CR7)-CR36</f>
        <v>113864.5667861757</v>
      </c>
      <c r="CT83" s="2624"/>
    </row>
    <row r="84" spans="1:101" s="1396" customFormat="1" ht="14.4" outlineLevel="1" thickBot="1">
      <c r="A84" s="1405"/>
      <c r="B84" s="4022" t="s">
        <v>14</v>
      </c>
      <c r="C84" s="3970">
        <f>C83-C73-C82</f>
        <v>0</v>
      </c>
      <c r="D84" s="3970">
        <f>D83-D73-D82</f>
        <v>0</v>
      </c>
      <c r="E84" s="3970">
        <f>E83-E73-E82</f>
        <v>0</v>
      </c>
      <c r="F84" s="3971"/>
      <c r="G84" s="4023"/>
      <c r="H84" s="3970">
        <f>H83-H73-H82</f>
        <v>0</v>
      </c>
      <c r="I84" s="3970">
        <f>I83-I73-I82</f>
        <v>0</v>
      </c>
      <c r="J84" s="3970">
        <f>J83-J73-J82</f>
        <v>0</v>
      </c>
      <c r="K84" s="3971"/>
      <c r="L84" s="4023"/>
      <c r="M84" s="3970">
        <f>M83-M73-M82</f>
        <v>-2837.7609845013167</v>
      </c>
      <c r="N84" s="3970">
        <f>N83-N73-N82</f>
        <v>-17586.8</v>
      </c>
      <c r="O84" s="3970">
        <f>O83-O73-O82</f>
        <v>-20424.560984501317</v>
      </c>
      <c r="P84" s="3971"/>
      <c r="Q84" s="4023"/>
      <c r="R84" s="3970">
        <f>R83-R73-R82</f>
        <v>-2837.7609845013167</v>
      </c>
      <c r="S84" s="3970">
        <f>S83-S73-S82</f>
        <v>-17586.8</v>
      </c>
      <c r="T84" s="3970">
        <f>T83-T73-T82</f>
        <v>-20424.560984501317</v>
      </c>
      <c r="U84" s="4023"/>
      <c r="V84" s="4023"/>
      <c r="W84" s="3995">
        <f t="shared" ref="W84:X84" si="223">AB84+AG84+AL84+AV84+BA84+BF84+BK84+BP84+BU84+BZ84+CE84</f>
        <v>341188.62439832545</v>
      </c>
      <c r="X84" s="3996">
        <f t="shared" si="223"/>
        <v>-99028.885999999999</v>
      </c>
      <c r="Y84" s="3970">
        <f>Y83-Y73-Y82</f>
        <v>242159.73839832551</v>
      </c>
      <c r="Z84" s="4023"/>
      <c r="AA84" s="4023"/>
      <c r="AB84" s="3970">
        <f>AB83-AB73-AB82</f>
        <v>-232692.67509134719</v>
      </c>
      <c r="AC84" s="3970">
        <f>AC83-AC73-AC82</f>
        <v>-94528.885999999999</v>
      </c>
      <c r="AD84" s="3970">
        <f>AD83-AD73-AD82</f>
        <v>-327221.56109134713</v>
      </c>
      <c r="AE84" s="3971"/>
      <c r="AF84" s="4023"/>
      <c r="AG84" s="3970">
        <f>AG83-AG73-AG82</f>
        <v>573881.29948967264</v>
      </c>
      <c r="AH84" s="3970">
        <f>AH83-AH73-AH82</f>
        <v>-4500</v>
      </c>
      <c r="AI84" s="3970">
        <f>AI83-AI73-AI82</f>
        <v>569381.29948967264</v>
      </c>
      <c r="AJ84" s="3971"/>
      <c r="AK84" s="4023"/>
      <c r="AL84" s="3970">
        <f>AL83-AL73-AL82</f>
        <v>0</v>
      </c>
      <c r="AM84" s="3970">
        <f>AM83-AM73-AM82</f>
        <v>0</v>
      </c>
      <c r="AN84" s="3970">
        <f>AN83-AN73-AN82</f>
        <v>0</v>
      </c>
      <c r="AO84" s="3971"/>
      <c r="AP84" s="4023"/>
      <c r="AQ84" s="3970">
        <f>AQ83-AQ73-AQ82</f>
        <v>0</v>
      </c>
      <c r="AR84" s="3970">
        <f>AR83-AR73-AR82</f>
        <v>0</v>
      </c>
      <c r="AS84" s="3970">
        <f>AS83-AS73-AS82</f>
        <v>0</v>
      </c>
      <c r="AT84" s="3971"/>
      <c r="AU84" s="4023"/>
      <c r="AV84" s="3970">
        <f>AV83-AV73-AV82</f>
        <v>0</v>
      </c>
      <c r="AW84" s="3970">
        <f>AW83-AW73-AW82</f>
        <v>0</v>
      </c>
      <c r="AX84" s="3970">
        <f>AX83-AX73-AX82</f>
        <v>0</v>
      </c>
      <c r="AY84" s="3971"/>
      <c r="AZ84" s="4023"/>
      <c r="BA84" s="3970">
        <f>BA83-BA73-BA82</f>
        <v>0</v>
      </c>
      <c r="BB84" s="3970">
        <f>BB83-BB73-BB82</f>
        <v>0</v>
      </c>
      <c r="BC84" s="3970">
        <f>BC83-BC73-BC82</f>
        <v>0</v>
      </c>
      <c r="BD84" s="3971"/>
      <c r="BE84" s="4023"/>
      <c r="BF84" s="3970">
        <f>BF83-BF73-BF82</f>
        <v>0</v>
      </c>
      <c r="BG84" s="3970">
        <f>BG83-BG73-BG82</f>
        <v>0</v>
      </c>
      <c r="BH84" s="3970">
        <f>BH83-BH73-BH82</f>
        <v>0</v>
      </c>
      <c r="BI84" s="3971"/>
      <c r="BJ84" s="4023"/>
      <c r="BK84" s="3970">
        <f>BK83-BK73-BK82</f>
        <v>0</v>
      </c>
      <c r="BL84" s="3970">
        <f>BL83-BL73-BL82</f>
        <v>0</v>
      </c>
      <c r="BM84" s="3970">
        <f>BM83-BM73-BM82</f>
        <v>0</v>
      </c>
      <c r="BN84" s="3971"/>
      <c r="BO84" s="4023"/>
      <c r="BP84" s="3970">
        <f>BP83-BP73-BP82</f>
        <v>0</v>
      </c>
      <c r="BQ84" s="3970">
        <f>BQ83-BQ73-BQ82</f>
        <v>0</v>
      </c>
      <c r="BR84" s="3970">
        <f>BR83-BR73-BR82</f>
        <v>0</v>
      </c>
      <c r="BS84" s="3971"/>
      <c r="BT84" s="4023"/>
      <c r="BU84" s="3970">
        <f>BU83-BU73-BU82</f>
        <v>0</v>
      </c>
      <c r="BV84" s="3970">
        <f>BV83-BV73-BV82</f>
        <v>0</v>
      </c>
      <c r="BW84" s="3970">
        <f>BW83-BW73-BW82</f>
        <v>0</v>
      </c>
      <c r="BX84" s="3971"/>
      <c r="BY84" s="4023"/>
      <c r="BZ84" s="3970">
        <f>BZ83-BZ73-BZ82</f>
        <v>0</v>
      </c>
      <c r="CA84" s="3970">
        <f>CA83-CA73-CA82</f>
        <v>0</v>
      </c>
      <c r="CB84" s="3970">
        <f>CB83-CB73-CB82</f>
        <v>0</v>
      </c>
      <c r="CC84" s="3971"/>
      <c r="CD84" s="4023"/>
      <c r="CE84" s="3970">
        <f>CE83-CE73-CE82</f>
        <v>0</v>
      </c>
      <c r="CF84" s="3970">
        <f>CF83-CF73-CF82</f>
        <v>0</v>
      </c>
      <c r="CG84" s="3970">
        <f>CG83-CG73-CG82</f>
        <v>0</v>
      </c>
      <c r="CH84" s="3971"/>
      <c r="CI84" s="4023"/>
      <c r="CJ84" s="3991">
        <f t="shared" ref="CJ84:CK84" si="224">C84+H84+M84+W84</f>
        <v>338350.86341382412</v>
      </c>
      <c r="CK84" s="3991">
        <f t="shared" si="224"/>
        <v>-116615.686</v>
      </c>
      <c r="CL84" s="3970">
        <f>CL83-CL73-CL82</f>
        <v>231693.16741382427</v>
      </c>
      <c r="CM84" s="3971"/>
      <c r="CN84" s="3971"/>
      <c r="CP84" s="3309">
        <f>CP83-CP73-CP82</f>
        <v>345557.73419999995</v>
      </c>
      <c r="CQ84" s="3484">
        <f>CQ83-CQ73-CQ82</f>
        <v>231693.16741382427</v>
      </c>
      <c r="CR84" s="3309">
        <f>CR83-CR73-CR82</f>
        <v>113864.5667861757</v>
      </c>
      <c r="CT84" s="2624"/>
    </row>
    <row r="85" spans="1:101" s="1396" customFormat="1" ht="13.8" outlineLevel="3">
      <c r="A85" s="1565"/>
      <c r="B85" s="1403" t="s">
        <v>44</v>
      </c>
      <c r="C85" s="3341"/>
      <c r="D85" s="3341"/>
      <c r="E85" s="2012">
        <f>C85+D85*1.15</f>
        <v>0</v>
      </c>
      <c r="F85" s="3381"/>
      <c r="G85" s="3455"/>
      <c r="H85" s="3341"/>
      <c r="I85" s="3341"/>
      <c r="J85" s="2012">
        <f>H85+I85*1.15</f>
        <v>0</v>
      </c>
      <c r="K85" s="3986" t="e">
        <f t="shared" ref="K85" si="225">J85/J$89</f>
        <v>#DIV/0!</v>
      </c>
      <c r="L85" s="3455"/>
      <c r="M85" s="3341"/>
      <c r="N85" s="3341"/>
      <c r="O85" s="2012">
        <f>M85+N85*1.15</f>
        <v>0</v>
      </c>
      <c r="P85" s="3986">
        <f t="shared" ref="P85" si="226">O85/O$89</f>
        <v>0</v>
      </c>
      <c r="Q85" s="3455"/>
      <c r="R85" s="3342">
        <f t="shared" ref="R85:S85" si="227">M85+H85+C85</f>
        <v>0</v>
      </c>
      <c r="S85" s="3342">
        <f t="shared" si="227"/>
        <v>0</v>
      </c>
      <c r="T85" s="2012">
        <f t="shared" ref="T85" si="228">R85+S85</f>
        <v>0</v>
      </c>
      <c r="U85" s="3455"/>
      <c r="V85" s="3455"/>
      <c r="W85" s="3342">
        <f t="shared" ref="W85:X85" si="229">AB85+AG85+AL85+AV85+BA85+BF85+BK85+BP85+BU85+BZ85+CE85+AQ85</f>
        <v>0</v>
      </c>
      <c r="X85" s="3342">
        <f t="shared" si="229"/>
        <v>0</v>
      </c>
      <c r="Y85" s="2012">
        <f t="shared" ref="Y85" si="230">W85+X85</f>
        <v>0</v>
      </c>
      <c r="Z85" s="3455"/>
      <c r="AA85" s="3455"/>
      <c r="AB85" s="3341"/>
      <c r="AC85" s="3341"/>
      <c r="AD85" s="2012">
        <f>AB85+AC85*1.15</f>
        <v>0</v>
      </c>
      <c r="AE85" s="3381"/>
      <c r="AF85" s="3455"/>
      <c r="AG85" s="3341"/>
      <c r="AH85" s="3341"/>
      <c r="AI85" s="2012">
        <f>AG85+AH85*1.15</f>
        <v>0</v>
      </c>
      <c r="AJ85" s="3381"/>
      <c r="AK85" s="3455"/>
      <c r="AL85" s="3341"/>
      <c r="AM85" s="3341"/>
      <c r="AN85" s="2012">
        <f>AL85+AM85*1.15</f>
        <v>0</v>
      </c>
      <c r="AO85" s="3381"/>
      <c r="AP85" s="3455"/>
      <c r="AQ85" s="3341"/>
      <c r="AR85" s="3341"/>
      <c r="AS85" s="2012">
        <f>AQ85+AR85*1.15</f>
        <v>0</v>
      </c>
      <c r="AT85" s="3381"/>
      <c r="AU85" s="3455"/>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2124">
        <f>CN85+CO85*1.15</f>
        <v>0</v>
      </c>
      <c r="CQ85" s="2124">
        <f>CO85+CP85*1.15</f>
        <v>0</v>
      </c>
      <c r="CR85" s="2124"/>
      <c r="CT85" s="2624"/>
    </row>
    <row r="86" spans="1:101" s="1396" customFormat="1" ht="27.6">
      <c r="A86" s="1405"/>
      <c r="B86" s="4057" t="s">
        <v>50</v>
      </c>
      <c r="C86" s="3972">
        <f>C84-C85</f>
        <v>0</v>
      </c>
      <c r="D86" s="3972">
        <f>D84-D85</f>
        <v>0</v>
      </c>
      <c r="E86" s="3972">
        <f>E84-E85</f>
        <v>0</v>
      </c>
      <c r="F86" s="3973"/>
      <c r="G86" s="4024"/>
      <c r="H86" s="3972">
        <f>H84-H85</f>
        <v>0</v>
      </c>
      <c r="I86" s="3972">
        <f>I84-I85</f>
        <v>0</v>
      </c>
      <c r="J86" s="3972">
        <f>J84-J85</f>
        <v>0</v>
      </c>
      <c r="K86" s="3973"/>
      <c r="L86" s="4024"/>
      <c r="M86" s="3972">
        <f>M84-M85</f>
        <v>-2837.7609845013167</v>
      </c>
      <c r="N86" s="3972">
        <f>N84-N85</f>
        <v>-17586.8</v>
      </c>
      <c r="O86" s="3972">
        <f>O84-O85</f>
        <v>-20424.560984501317</v>
      </c>
      <c r="P86" s="3973"/>
      <c r="Q86" s="4024"/>
      <c r="R86" s="3972">
        <f>R84-R85</f>
        <v>-2837.7609845013167</v>
      </c>
      <c r="S86" s="3972">
        <f>S84-S85</f>
        <v>-17586.8</v>
      </c>
      <c r="T86" s="3972">
        <f>T84-T85</f>
        <v>-20424.560984501317</v>
      </c>
      <c r="U86" s="4024"/>
      <c r="V86" s="4024"/>
      <c r="W86" s="3972">
        <f>W84-W85</f>
        <v>341188.62439832545</v>
      </c>
      <c r="X86" s="3972">
        <f>X84-X85</f>
        <v>-99028.885999999999</v>
      </c>
      <c r="Y86" s="3972">
        <f>Y84-Y85</f>
        <v>242159.73839832551</v>
      </c>
      <c r="Z86" s="4024"/>
      <c r="AA86" s="4024"/>
      <c r="AB86" s="3972">
        <f>AB84-AB85</f>
        <v>-232692.67509134719</v>
      </c>
      <c r="AC86" s="3972">
        <f>AC84-AC85</f>
        <v>-94528.885999999999</v>
      </c>
      <c r="AD86" s="3972">
        <f>AD84-AD85</f>
        <v>-327221.56109134713</v>
      </c>
      <c r="AE86" s="3973"/>
      <c r="AF86" s="4024"/>
      <c r="AG86" s="3972">
        <f>AG84-AG85</f>
        <v>573881.29948967264</v>
      </c>
      <c r="AH86" s="3972">
        <f>AH84-AH85</f>
        <v>-4500</v>
      </c>
      <c r="AI86" s="3972">
        <f>AI84-AI85</f>
        <v>569381.29948967264</v>
      </c>
      <c r="AJ86" s="3973"/>
      <c r="AK86" s="4024"/>
      <c r="AL86" s="3972">
        <f>AL84-AL85</f>
        <v>0</v>
      </c>
      <c r="AM86" s="3972">
        <f>AM84-AM85</f>
        <v>0</v>
      </c>
      <c r="AN86" s="3972">
        <f>AN84-AN85</f>
        <v>0</v>
      </c>
      <c r="AO86" s="3973"/>
      <c r="AP86" s="4024"/>
      <c r="AQ86" s="3972">
        <f>AQ84-AQ85</f>
        <v>0</v>
      </c>
      <c r="AR86" s="3972">
        <f>AR84-AR85</f>
        <v>0</v>
      </c>
      <c r="AS86" s="3972">
        <f>AS84-AS85</f>
        <v>0</v>
      </c>
      <c r="AT86" s="3973"/>
      <c r="AU86" s="4024"/>
      <c r="AV86" s="3972">
        <f>AV84-AV85</f>
        <v>0</v>
      </c>
      <c r="AW86" s="3972">
        <f>AW84-AW85</f>
        <v>0</v>
      </c>
      <c r="AX86" s="3972">
        <f>AX84-AX85</f>
        <v>0</v>
      </c>
      <c r="AY86" s="3973"/>
      <c r="AZ86" s="4024"/>
      <c r="BA86" s="3972">
        <f>BA84-BA85</f>
        <v>0</v>
      </c>
      <c r="BB86" s="3972">
        <f>BB84-BB85</f>
        <v>0</v>
      </c>
      <c r="BC86" s="3972">
        <f>BC84-BC85</f>
        <v>0</v>
      </c>
      <c r="BD86" s="3973"/>
      <c r="BE86" s="4024"/>
      <c r="BF86" s="3972">
        <f>BF84-BF85</f>
        <v>0</v>
      </c>
      <c r="BG86" s="3972">
        <f>BG84-BG85</f>
        <v>0</v>
      </c>
      <c r="BH86" s="3972">
        <f>BH84-BH85</f>
        <v>0</v>
      </c>
      <c r="BI86" s="3973"/>
      <c r="BJ86" s="4024"/>
      <c r="BK86" s="3972">
        <f>BK84-BK85</f>
        <v>0</v>
      </c>
      <c r="BL86" s="3972">
        <f>BL84-BL85</f>
        <v>0</v>
      </c>
      <c r="BM86" s="3972">
        <f>BM84-BM85</f>
        <v>0</v>
      </c>
      <c r="BN86" s="3973"/>
      <c r="BO86" s="4024"/>
      <c r="BP86" s="3972">
        <f>BP84-BP85</f>
        <v>0</v>
      </c>
      <c r="BQ86" s="3972">
        <f>BQ84-BQ85</f>
        <v>0</v>
      </c>
      <c r="BR86" s="3972">
        <f>BR84-BR85</f>
        <v>0</v>
      </c>
      <c r="BS86" s="3973"/>
      <c r="BT86" s="4024"/>
      <c r="BU86" s="3972">
        <f>BU84-BU85</f>
        <v>0</v>
      </c>
      <c r="BV86" s="3972">
        <f>BV84-BV85</f>
        <v>0</v>
      </c>
      <c r="BW86" s="3972">
        <f>BW84-BW85</f>
        <v>0</v>
      </c>
      <c r="BX86" s="3973"/>
      <c r="BY86" s="4024"/>
      <c r="BZ86" s="3972">
        <f>BZ84-BZ85</f>
        <v>0</v>
      </c>
      <c r="CA86" s="3972">
        <f>CA84-CA85</f>
        <v>0</v>
      </c>
      <c r="CB86" s="3972">
        <f>CB84-CB85</f>
        <v>0</v>
      </c>
      <c r="CC86" s="3973"/>
      <c r="CD86" s="4024"/>
      <c r="CE86" s="3972">
        <f>CE84-CE85</f>
        <v>0</v>
      </c>
      <c r="CF86" s="3972">
        <f>CF84-CF85</f>
        <v>0</v>
      </c>
      <c r="CG86" s="3972">
        <f>CG84-CG85</f>
        <v>0</v>
      </c>
      <c r="CH86" s="3973"/>
      <c r="CI86" s="4024"/>
      <c r="CJ86" s="3972">
        <f>CJ84-CJ85</f>
        <v>338350.86341382412</v>
      </c>
      <c r="CK86" s="3972">
        <f>CK84-CK85</f>
        <v>-116615.686</v>
      </c>
      <c r="CL86" s="3972">
        <f>CL84-CL85</f>
        <v>231693.16741382427</v>
      </c>
      <c r="CM86" s="3973"/>
      <c r="CN86" s="3973"/>
      <c r="CP86" s="3481">
        <f>CP84-CP85</f>
        <v>345557.73419999995</v>
      </c>
      <c r="CQ86" s="3481">
        <f>CQ84-CQ85</f>
        <v>231693.16741382427</v>
      </c>
      <c r="CR86" s="3481">
        <f>CQ86-CP86</f>
        <v>-113864.56678617568</v>
      </c>
      <c r="CT86" s="2624"/>
      <c r="CW86" s="933"/>
    </row>
    <row r="87" spans="1:101" s="1396" customFormat="1" ht="14.4" thickBot="1">
      <c r="A87" s="1567"/>
      <c r="B87" s="4025" t="s">
        <v>51</v>
      </c>
      <c r="C87" s="3974">
        <f>IFERROR(C86/C5,0)</f>
        <v>0</v>
      </c>
      <c r="D87" s="3975">
        <f>IFERROR(D86/D5,0)</f>
        <v>0</v>
      </c>
      <c r="E87" s="3976">
        <f>IFERROR(E86/E5,0)</f>
        <v>0</v>
      </c>
      <c r="F87" s="3977"/>
      <c r="G87" s="4026"/>
      <c r="H87" s="3974">
        <f>IFERROR(H86/H5,0)</f>
        <v>0</v>
      </c>
      <c r="I87" s="3975">
        <f>IFERROR(I86/I5,0)</f>
        <v>0</v>
      </c>
      <c r="J87" s="3976">
        <f>IFERROR(J86/J5,0)</f>
        <v>0</v>
      </c>
      <c r="K87" s="3977"/>
      <c r="L87" s="4026"/>
      <c r="M87" s="3974">
        <f>IFERROR(M86/M5,0)</f>
        <v>0</v>
      </c>
      <c r="N87" s="3975">
        <f>IFERROR(N86/N5,0)</f>
        <v>0</v>
      </c>
      <c r="O87" s="3976">
        <f>IFERROR(O86/O5,0)</f>
        <v>0</v>
      </c>
      <c r="P87" s="3977"/>
      <c r="Q87" s="4026"/>
      <c r="R87" s="4027"/>
      <c r="S87" s="4027"/>
      <c r="T87" s="4027"/>
      <c r="U87" s="4027"/>
      <c r="V87" s="4027"/>
      <c r="W87" s="4027"/>
      <c r="X87" s="4027"/>
      <c r="Y87" s="4027"/>
      <c r="Z87" s="4027"/>
      <c r="AA87" s="4027"/>
      <c r="AB87" s="3974">
        <f>IFERROR(AB86/AB5,0)</f>
        <v>0</v>
      </c>
      <c r="AC87" s="3975">
        <f>IFERROR(AC86/AC5,0)</f>
        <v>0</v>
      </c>
      <c r="AD87" s="3976">
        <f>IFERROR(AD86/AD5,0)</f>
        <v>0</v>
      </c>
      <c r="AE87" s="3977"/>
      <c r="AF87" s="4026"/>
      <c r="AG87" s="3974">
        <f>IFERROR(AG86/AG5,0)</f>
        <v>0.83468081856199894</v>
      </c>
      <c r="AH87" s="3975">
        <f>IFERROR(AH86/AH5,0)</f>
        <v>0</v>
      </c>
      <c r="AI87" s="3976">
        <f>IFERROR(AI86/AI5,0)</f>
        <v>0.82813580012897259</v>
      </c>
      <c r="AJ87" s="3977"/>
      <c r="AK87" s="4026"/>
      <c r="AL87" s="3974">
        <f>IFERROR(AL86/AL5,0)</f>
        <v>0</v>
      </c>
      <c r="AM87" s="3975">
        <f>IFERROR(AM86/AM5,0)</f>
        <v>0</v>
      </c>
      <c r="AN87" s="3976">
        <f>IFERROR(AN86/AN5,0)</f>
        <v>0</v>
      </c>
      <c r="AO87" s="3977"/>
      <c r="AP87" s="4026"/>
      <c r="AQ87" s="3974">
        <f>IFERROR(AQ86/AQ5,0)</f>
        <v>0</v>
      </c>
      <c r="AR87" s="3975">
        <f>IFERROR(AR86/AR5,0)</f>
        <v>0</v>
      </c>
      <c r="AS87" s="3976">
        <f>IFERROR(AS86/AS5,0)</f>
        <v>0</v>
      </c>
      <c r="AT87" s="3977"/>
      <c r="AU87" s="4026"/>
      <c r="AV87" s="3974">
        <f>IFERROR(AV86/AV5,0)</f>
        <v>0</v>
      </c>
      <c r="AW87" s="3975">
        <f>IFERROR(AW86/AW5,0)</f>
        <v>0</v>
      </c>
      <c r="AX87" s="3976">
        <f>IFERROR(AX86/AX5,0)</f>
        <v>0</v>
      </c>
      <c r="AY87" s="3977"/>
      <c r="AZ87" s="4026"/>
      <c r="BA87" s="3974">
        <f>IFERROR(BA86/BA5,0)</f>
        <v>0</v>
      </c>
      <c r="BB87" s="3975">
        <f>IFERROR(BB86/BB5,0)</f>
        <v>0</v>
      </c>
      <c r="BC87" s="3976">
        <f>IFERROR(BC86/BC5,0)</f>
        <v>0</v>
      </c>
      <c r="BD87" s="3977"/>
      <c r="BE87" s="4026"/>
      <c r="BF87" s="3974">
        <f>IFERROR(BF86/BF5,0)</f>
        <v>0</v>
      </c>
      <c r="BG87" s="3975">
        <f>IFERROR(BG86/BG5,0)</f>
        <v>0</v>
      </c>
      <c r="BH87" s="3976">
        <f>IFERROR(BH86/BH5,0)</f>
        <v>0</v>
      </c>
      <c r="BI87" s="3977"/>
      <c r="BJ87" s="4026"/>
      <c r="BK87" s="3974">
        <f>IFERROR(BK86/BK5,0)</f>
        <v>0</v>
      </c>
      <c r="BL87" s="3975">
        <f>IFERROR(BL86/BL5,0)</f>
        <v>0</v>
      </c>
      <c r="BM87" s="3976">
        <f>IFERROR(BM86/BM5,0)</f>
        <v>0</v>
      </c>
      <c r="BN87" s="3977"/>
      <c r="BO87" s="4026"/>
      <c r="BP87" s="3974">
        <f>IFERROR(BP86/BP5,0)</f>
        <v>0</v>
      </c>
      <c r="BQ87" s="3975">
        <f>IFERROR(BQ86/BQ5,0)</f>
        <v>0</v>
      </c>
      <c r="BR87" s="3976">
        <f>IFERROR(BR86/BR5,0)</f>
        <v>0</v>
      </c>
      <c r="BS87" s="3977"/>
      <c r="BT87" s="4026"/>
      <c r="BU87" s="3974">
        <f>IFERROR(BU86/BU5,0)</f>
        <v>0</v>
      </c>
      <c r="BV87" s="3975">
        <f>IFERROR(BV86/BV5,0)</f>
        <v>0</v>
      </c>
      <c r="BW87" s="3976">
        <f>IFERROR(BW86/BW5,0)</f>
        <v>0</v>
      </c>
      <c r="BX87" s="3977"/>
      <c r="BY87" s="4026"/>
      <c r="BZ87" s="3974">
        <f>IFERROR(BZ86/BZ5,0)</f>
        <v>0</v>
      </c>
      <c r="CA87" s="3975">
        <f>IFERROR(CA86/CA5,0)</f>
        <v>0</v>
      </c>
      <c r="CB87" s="3976">
        <f>IFERROR(CB86/CB5,0)</f>
        <v>0</v>
      </c>
      <c r="CC87" s="3977"/>
      <c r="CD87" s="4026"/>
      <c r="CE87" s="3974">
        <f>IFERROR(CE86/CE5,0)</f>
        <v>0</v>
      </c>
      <c r="CF87" s="3975">
        <f>IFERROR(CF86/CF5,0)</f>
        <v>0</v>
      </c>
      <c r="CG87" s="3976">
        <f>IFERROR(CG86/CG5,0)</f>
        <v>0</v>
      </c>
      <c r="CH87" s="3977"/>
      <c r="CI87" s="4026"/>
      <c r="CJ87" s="3974">
        <f>IFERROR(CJ86/CJ5,0)</f>
        <v>0.49211391952752076</v>
      </c>
      <c r="CK87" s="3975">
        <f>IFERROR(CK86/CK5,0)</f>
        <v>0</v>
      </c>
      <c r="CL87" s="3976">
        <f>IFERROR(CL86/CL5,0)</f>
        <v>0.3369857892288286</v>
      </c>
      <c r="CM87" s="3977"/>
      <c r="CN87" s="3977"/>
      <c r="CP87" s="3976">
        <f>CP86/CP5</f>
        <v>0.4910365178865928</v>
      </c>
      <c r="CQ87" s="3976">
        <f>IFERROR(CQ86/CQ5,0)</f>
        <v>0.3369857892288286</v>
      </c>
      <c r="CR87" s="3976"/>
      <c r="CT87" s="2624"/>
    </row>
    <row r="88" spans="1:101"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1611"/>
      <c r="AG88" s="1954"/>
      <c r="AH88" s="1954"/>
      <c r="AI88" s="1954"/>
      <c r="AJ88" s="1954"/>
      <c r="AK88" s="1611"/>
      <c r="AL88" s="1954"/>
      <c r="AM88" s="1954"/>
      <c r="AN88" s="1954"/>
      <c r="AO88" s="1954"/>
      <c r="AP88" s="1611"/>
      <c r="AQ88" s="1954"/>
      <c r="AR88" s="1954"/>
      <c r="AS88" s="1954"/>
      <c r="AT88" s="1954"/>
      <c r="AU88" s="1611"/>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1954"/>
      <c r="CQ88" s="1954"/>
      <c r="CR88" s="1954"/>
    </row>
    <row r="89" spans="1:101">
      <c r="B89" s="1562" t="s">
        <v>56</v>
      </c>
      <c r="E89" s="1960">
        <f>E8+E36+E41+E50+E54+E73+E79+E82+E85</f>
        <v>0</v>
      </c>
      <c r="G89" s="1963"/>
      <c r="J89" s="1960">
        <f>J8+J36+J41+J50+J54+J73+J79+J82+J85</f>
        <v>0</v>
      </c>
      <c r="L89" s="1963"/>
      <c r="O89" s="1960">
        <f>O8+O36+O41+O50+O54+O73+O79+O82+O85</f>
        <v>20424.560984501317</v>
      </c>
      <c r="Q89" s="1963"/>
      <c r="R89" s="1963"/>
      <c r="S89" s="1963"/>
      <c r="T89" s="1960">
        <f>T8+T36+T41+T50+T54+T73+T79+T82+T85</f>
        <v>20424.560984501317</v>
      </c>
      <c r="U89" s="1963"/>
      <c r="V89" s="1963"/>
      <c r="W89" s="1963"/>
      <c r="X89" s="1963"/>
      <c r="Y89" s="1960">
        <f>Y8+Y36+Y41+Y50+Y54+Y73+Y79+Y82+Y85</f>
        <v>445386.07160167454</v>
      </c>
      <c r="Z89" s="1963"/>
      <c r="AA89" s="1963"/>
      <c r="AD89" s="1960">
        <f>AD8+AD36+AD41+AD50+AD54+AD73+AD79+AD82+AD85</f>
        <v>327221.56109134713</v>
      </c>
      <c r="AF89" s="1963"/>
      <c r="AI89" s="1960">
        <f>AI8+AI36+AI41+AI50+AI54+AI73+AI79+AI82+AI85</f>
        <v>118164.51051032734</v>
      </c>
      <c r="AK89" s="1963"/>
      <c r="AN89" s="1960">
        <f>AN8+AN36+AN41+AN50+AN54+AN73+AN79+AN82+AN85</f>
        <v>0</v>
      </c>
      <c r="AP89" s="1963"/>
      <c r="AS89" s="1960">
        <f>AS8+AS36+AS41+AS50+AS54+AS73+AS79+AS82+AS85</f>
        <v>0</v>
      </c>
      <c r="AU89" s="1963"/>
      <c r="AX89" s="1960">
        <f>AX8+AX36+AX41+AX50+AX54+AX73+AX79+AX82+AX85</f>
        <v>0</v>
      </c>
      <c r="AZ89" s="1963"/>
      <c r="BC89" s="1960">
        <f>BC8+BC36+BC41+BC50+BC54+BC73+BC79+BC82+BC85</f>
        <v>0</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455852.64258617582</v>
      </c>
    </row>
    <row r="90" spans="1:101">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1963"/>
      <c r="AC90" s="1963"/>
      <c r="AD90" s="1963"/>
      <c r="AE90" s="1963"/>
      <c r="AF90" s="1963"/>
      <c r="AG90" s="1963"/>
      <c r="AH90" s="1963"/>
      <c r="AI90" s="1963"/>
      <c r="AJ90" s="1963"/>
      <c r="AK90" s="1963"/>
      <c r="AL90" s="1963"/>
      <c r="AM90" s="1963"/>
      <c r="AN90" s="1963"/>
      <c r="AO90" s="1963"/>
      <c r="AP90" s="1963"/>
      <c r="AQ90" s="1963"/>
      <c r="AR90" s="1963"/>
      <c r="AS90" s="1963"/>
      <c r="AT90" s="1963"/>
      <c r="AU90" s="1963"/>
      <c r="AV90" s="1963"/>
      <c r="AW90" s="1963"/>
      <c r="AX90" s="1963"/>
      <c r="AY90" s="1963"/>
      <c r="AZ90" s="1963"/>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row>
    <row r="91" spans="1:101"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963"/>
      <c r="AG91" s="1963"/>
      <c r="AH91" s="1963"/>
      <c r="AI91" s="1963"/>
      <c r="AJ91" s="1963"/>
      <c r="AK91" s="1963"/>
      <c r="AL91" s="1963"/>
      <c r="AM91" s="1963"/>
      <c r="AN91" s="1963"/>
      <c r="AO91" s="1963"/>
      <c r="AP91" s="1963"/>
      <c r="AQ91" s="1963"/>
      <c r="AR91" s="1963"/>
      <c r="AS91" s="1963"/>
      <c r="AT91" s="1963"/>
      <c r="AU91" s="1963"/>
      <c r="AV91" s="1963"/>
      <c r="AW91" s="1963"/>
      <c r="AX91" s="1963"/>
      <c r="AY91" s="1963"/>
      <c r="AZ91" s="196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c r="CP91" s="1952"/>
      <c r="CQ91" s="1952"/>
      <c r="CR91" s="1952"/>
      <c r="CT91" s="2624"/>
    </row>
    <row r="92" spans="1:101">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P92" s="1963"/>
      <c r="AQ92" s="1963"/>
      <c r="AR92" s="1963"/>
      <c r="AS92" s="1963"/>
      <c r="AT92" s="1963"/>
      <c r="AU92" s="1963"/>
      <c r="AV92" s="1963"/>
      <c r="AW92" s="1963"/>
      <c r="AX92" s="1963"/>
      <c r="AY92" s="1963"/>
      <c r="AZ92" s="196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1" s="1396" customFormat="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963"/>
      <c r="AG93" s="1963"/>
      <c r="AH93" s="1963"/>
      <c r="AI93" s="1963"/>
      <c r="AJ93" s="1963"/>
      <c r="AK93" s="1963"/>
      <c r="AL93" s="1963"/>
      <c r="AM93" s="1963"/>
      <c r="AN93" s="1963"/>
      <c r="AO93" s="1963"/>
      <c r="AP93" s="1963"/>
      <c r="AQ93" s="1963"/>
      <c r="AR93" s="1963"/>
      <c r="AS93" s="1963"/>
      <c r="AT93" s="1963"/>
      <c r="AU93" s="1963"/>
      <c r="AV93" s="1963"/>
      <c r="AW93" s="1963"/>
      <c r="AX93" s="1963"/>
      <c r="AY93" s="1963"/>
      <c r="AZ93" s="1963"/>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52"/>
      <c r="CK93" s="1952"/>
      <c r="CL93" s="687"/>
      <c r="CM93" s="1952"/>
      <c r="CN93" s="1952"/>
      <c r="CP93" s="1952"/>
      <c r="CQ93" s="1952"/>
      <c r="CR93" s="1952"/>
      <c r="CT93" s="2624"/>
    </row>
    <row r="94" spans="1:101" s="1396" customForma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963"/>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52"/>
      <c r="CK94" s="1952"/>
      <c r="CL94" s="1952"/>
      <c r="CM94" s="1952"/>
      <c r="CN94" s="1952"/>
      <c r="CP94" s="1952"/>
      <c r="CQ94" s="1952"/>
      <c r="CR94" s="1952"/>
      <c r="CT94" s="2624"/>
    </row>
    <row r="95" spans="1:101" s="1396" customFormat="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963"/>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52"/>
      <c r="CK95" s="1952"/>
      <c r="CL95" s="1952"/>
      <c r="CM95" s="1952"/>
      <c r="CN95" s="1952"/>
      <c r="CP95" s="1952"/>
      <c r="CQ95" s="1952"/>
      <c r="CR95" s="1952"/>
      <c r="CT95" s="2624"/>
    </row>
    <row r="96" spans="1:101" s="1396" customFormat="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963"/>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52"/>
      <c r="CK96" s="1952"/>
      <c r="CL96" s="1952"/>
      <c r="CM96" s="1952"/>
      <c r="CN96" s="1952"/>
      <c r="CP96" s="1952"/>
      <c r="CQ96" s="1952"/>
      <c r="CR96" s="1952"/>
      <c r="CT96" s="2624"/>
    </row>
    <row r="97" spans="1:98">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1963"/>
      <c r="AH97" s="1963"/>
      <c r="AI97" s="1963"/>
      <c r="AJ97" s="1963"/>
      <c r="AK97" s="1963"/>
      <c r="AL97" s="1963"/>
      <c r="AM97" s="1963"/>
      <c r="AN97" s="1963"/>
      <c r="AO97" s="1963"/>
      <c r="AP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98"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952"/>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1952"/>
      <c r="CQ98" s="1952"/>
      <c r="CR98" s="1952"/>
      <c r="CT98" s="2624"/>
    </row>
  </sheetData>
  <mergeCells count="24">
    <mergeCell ref="CP9:CP11"/>
    <mergeCell ref="CR9:CR11"/>
    <mergeCell ref="CJ2:CN3"/>
    <mergeCell ref="CP2:CR3"/>
    <mergeCell ref="A3:B3"/>
    <mergeCell ref="BZ2:CD3"/>
    <mergeCell ref="CE2:CI3"/>
    <mergeCell ref="R2:V3"/>
    <mergeCell ref="A42:A48"/>
    <mergeCell ref="BF2:BJ3"/>
    <mergeCell ref="BK2:BO3"/>
    <mergeCell ref="BP2:BT3"/>
    <mergeCell ref="BU2:BY3"/>
    <mergeCell ref="AB2:AF3"/>
    <mergeCell ref="AG2:AK3"/>
    <mergeCell ref="AL2:AP3"/>
    <mergeCell ref="AQ2:AU3"/>
    <mergeCell ref="AV2:AZ3"/>
    <mergeCell ref="BA2:BE3"/>
    <mergeCell ref="W2:AA3"/>
    <mergeCell ref="A2:B2"/>
    <mergeCell ref="C2:G3"/>
    <mergeCell ref="H2:L3"/>
    <mergeCell ref="M2:Q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AA60" activePane="bottomRight" state="frozen"/>
      <selection activeCell="Y90" sqref="Y90"/>
      <selection pane="topRight" activeCell="Y90" sqref="Y90"/>
      <selection pane="bottomLeft" activeCell="Y90" sqref="Y90"/>
      <selection pane="bottomRight" activeCell="AE92" sqref="AE92"/>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hidden="1" customWidth="1" outlineLevel="1" collapsed="1"/>
    <col min="19" max="22" width="13.44140625" style="1952" hidden="1" customWidth="1" outlineLevel="1"/>
    <col min="23" max="23" width="13.44140625" style="1952" customWidth="1" collapsed="1"/>
    <col min="24" max="27" width="13.44140625" style="1952" customWidth="1"/>
    <col min="28" max="31" width="12.88671875" style="1952" customWidth="1" outlineLevel="1"/>
    <col min="32" max="32" width="29.33203125" style="1952" customWidth="1" outlineLevel="1"/>
    <col min="33" max="36" width="12.88671875" style="1952" customWidth="1" outlineLevel="1"/>
    <col min="37" max="37" width="26.109375" style="1952" customWidth="1" outlineLevel="1"/>
    <col min="38" max="41" width="12.88671875" style="1952" customWidth="1"/>
    <col min="42" max="42" width="26.109375" style="1952" customWidth="1"/>
    <col min="43" max="46" width="12.88671875" style="1952" hidden="1" customWidth="1" outlineLevel="1"/>
    <col min="47" max="47" width="26.109375" style="1952" hidden="1" customWidth="1" outlineLevel="1"/>
    <col min="48" max="51" width="12.88671875" style="1952" hidden="1" customWidth="1" outlineLevel="1"/>
    <col min="52" max="52" width="26.109375" style="1952" hidden="1" customWidth="1" outlineLevel="1"/>
    <col min="53" max="56" width="12.88671875" style="1952" hidden="1" customWidth="1" outlineLevel="1"/>
    <col min="57" max="57" width="26.109375" style="1952" hidden="1" customWidth="1" outlineLevel="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14.33203125" style="1952" customWidth="1"/>
    <col min="93" max="93" width="2.88671875" style="1395"/>
    <col min="94" max="95" width="12.88671875" style="1952" customWidth="1"/>
    <col min="96" max="96" width="14.5546875" style="1952" customWidth="1"/>
    <col min="97" max="97" width="2.88671875" style="1395" customWidth="1" outlineLevel="1"/>
    <col min="98" max="98" width="11.6640625" style="1522" customWidth="1" outlineLevel="1"/>
    <col min="99" max="99" width="8.33203125" style="1395" customWidth="1" outlineLevel="1"/>
    <col min="100" max="100" width="8.44140625" style="1395" customWidth="1" outlineLevel="1"/>
    <col min="101" max="101" width="7.6640625" style="1395" bestFit="1" customWidth="1"/>
    <col min="102" max="16384" width="2.88671875" style="1395"/>
  </cols>
  <sheetData>
    <row r="1" spans="1:99" ht="13.8" thickBot="1"/>
    <row r="2" spans="1:99" ht="13.8">
      <c r="A2" s="4834" t="s">
        <v>1874</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1980</v>
      </c>
      <c r="CK2" s="4875"/>
      <c r="CL2" s="4875"/>
      <c r="CM2" s="4875"/>
      <c r="CN2" s="4876"/>
      <c r="CP2" s="5168" t="s">
        <v>1875</v>
      </c>
      <c r="CQ2" s="5169"/>
      <c r="CR2" s="5170"/>
    </row>
    <row r="3" spans="1:99"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71"/>
      <c r="CQ3" s="5172"/>
      <c r="CR3" s="5173"/>
    </row>
    <row r="4" spans="1:99"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1474" t="s">
        <v>1850</v>
      </c>
      <c r="CQ4" s="1474" t="s">
        <v>1919</v>
      </c>
      <c r="CR4" s="1474" t="s">
        <v>1826</v>
      </c>
    </row>
    <row r="5" spans="1:99"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410967.4</v>
      </c>
      <c r="X5" s="1466">
        <f>X6</f>
        <v>0</v>
      </c>
      <c r="Y5" s="1466">
        <f>Y6+Y7</f>
        <v>410967.4</v>
      </c>
      <c r="Z5" s="1466"/>
      <c r="AA5" s="1466"/>
      <c r="AB5" s="1466">
        <f>AB6</f>
        <v>0</v>
      </c>
      <c r="AC5" s="1466">
        <f>AC6</f>
        <v>0</v>
      </c>
      <c r="AD5" s="1466">
        <f>AD6+AD7</f>
        <v>0</v>
      </c>
      <c r="AE5" s="1466"/>
      <c r="AF5" s="1466"/>
      <c r="AG5" s="1466">
        <f>AG6</f>
        <v>410967.4</v>
      </c>
      <c r="AH5" s="1466">
        <f>AH6</f>
        <v>0</v>
      </c>
      <c r="AI5" s="1466">
        <f>AI6+AI7</f>
        <v>410967.4</v>
      </c>
      <c r="AJ5" s="1466"/>
      <c r="AK5" s="1466"/>
      <c r="AL5" s="1466">
        <f>AL6</f>
        <v>0</v>
      </c>
      <c r="AM5" s="1466">
        <f>AM6</f>
        <v>0</v>
      </c>
      <c r="AN5" s="1466">
        <f>AN6+AN7</f>
        <v>0</v>
      </c>
      <c r="AO5" s="1466"/>
      <c r="AP5" s="1466"/>
      <c r="AQ5" s="1466">
        <f>AQ6</f>
        <v>0</v>
      </c>
      <c r="AR5" s="1466">
        <f>AR6</f>
        <v>0</v>
      </c>
      <c r="AS5" s="1466">
        <f>AS6+AS7</f>
        <v>0</v>
      </c>
      <c r="AT5" s="1466"/>
      <c r="AU5" s="1466"/>
      <c r="AV5" s="1466">
        <f>AV6</f>
        <v>0</v>
      </c>
      <c r="AW5" s="1466">
        <f>AW6</f>
        <v>0</v>
      </c>
      <c r="AX5" s="1466">
        <f>AX6+AX7</f>
        <v>0</v>
      </c>
      <c r="AY5" s="1466"/>
      <c r="AZ5" s="1466"/>
      <c r="BA5" s="1466">
        <f>BA6</f>
        <v>0</v>
      </c>
      <c r="BB5" s="1466">
        <f>BB6</f>
        <v>0</v>
      </c>
      <c r="BC5" s="1466">
        <f>BC6+BC7</f>
        <v>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410967.4</v>
      </c>
      <c r="CK5" s="1466">
        <f>CK6</f>
        <v>0</v>
      </c>
      <c r="CL5" s="1466">
        <f>CL6</f>
        <v>410967.4</v>
      </c>
      <c r="CM5" s="1466"/>
      <c r="CN5" s="1466"/>
      <c r="CP5" s="1955">
        <f>CP6</f>
        <v>410967</v>
      </c>
      <c r="CQ5" s="1955">
        <f>CQ6</f>
        <v>410967.4</v>
      </c>
      <c r="CR5" s="3440">
        <f>CR6</f>
        <v>-0.40000000002328306</v>
      </c>
      <c r="CT5" s="2624"/>
    </row>
    <row r="6" spans="1:99" s="1396" customFormat="1" ht="27.6"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410967.4</v>
      </c>
      <c r="X6" s="3342">
        <f>AC6+AH6+AM6+AW6+BB6+BG6+BL6+BQ6+BV6+CA6+CF6+AR6</f>
        <v>0</v>
      </c>
      <c r="Y6" s="2012">
        <f t="shared" ref="Y6:Y7" si="3">W6+X6</f>
        <v>410967.4</v>
      </c>
      <c r="Z6" s="3342"/>
      <c r="AA6" s="3342"/>
      <c r="AB6" s="3341"/>
      <c r="AC6" s="3341"/>
      <c r="AD6" s="2012">
        <f t="shared" ref="AD6:AD7" si="4">AB6+AC6</f>
        <v>0</v>
      </c>
      <c r="AE6" s="3341"/>
      <c r="AF6" s="3342"/>
      <c r="AG6" s="3341">
        <v>410967.4</v>
      </c>
      <c r="AH6" s="3341"/>
      <c r="AI6" s="2012">
        <f t="shared" ref="AI6:AI7" si="5">AG6+AH6</f>
        <v>410967.4</v>
      </c>
      <c r="AJ6" s="3341"/>
      <c r="AK6" s="3342" t="s">
        <v>1925</v>
      </c>
      <c r="AL6" s="3341"/>
      <c r="AM6" s="3341"/>
      <c r="AN6" s="2012">
        <f t="shared" ref="AN6:AN7" si="6">AL6+AM6</f>
        <v>0</v>
      </c>
      <c r="AO6" s="3341"/>
      <c r="AP6" s="3342"/>
      <c r="AQ6" s="3341"/>
      <c r="AR6" s="3341"/>
      <c r="AS6" s="2012">
        <f t="shared" ref="AS6:AS7" si="7">AQ6+AR6</f>
        <v>0</v>
      </c>
      <c r="AT6" s="3341"/>
      <c r="AU6" s="3342"/>
      <c r="AV6" s="3341"/>
      <c r="AW6" s="3341"/>
      <c r="AX6" s="2012">
        <f t="shared" ref="AX6:AX7" si="8">AV6+AW6</f>
        <v>0</v>
      </c>
      <c r="AY6" s="3341"/>
      <c r="AZ6" s="3342"/>
      <c r="BA6" s="3341"/>
      <c r="BB6" s="3341"/>
      <c r="BC6" s="2012">
        <f t="shared" ref="BC6:BC7" si="9">BA6+BB6</f>
        <v>0</v>
      </c>
      <c r="BD6" s="3341"/>
      <c r="BE6" s="3342"/>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f>
        <v>410967.4</v>
      </c>
      <c r="CK6" s="3341">
        <f>D6+I6+N6+X6</f>
        <v>0</v>
      </c>
      <c r="CL6" s="2012">
        <f>CJ6+CK6</f>
        <v>410967.4</v>
      </c>
      <c r="CM6" s="3341"/>
      <c r="CN6" s="3341"/>
      <c r="CP6" s="2012">
        <v>410967</v>
      </c>
      <c r="CQ6" s="2012">
        <f>CL6</f>
        <v>410967.4</v>
      </c>
      <c r="CR6" s="4161">
        <f>CP6-CQ6</f>
        <v>-0.40000000002328306</v>
      </c>
      <c r="CS6" s="3307"/>
      <c r="CT6" s="2624"/>
      <c r="CU6" s="3778"/>
    </row>
    <row r="7" spans="1:99" s="1396" customFormat="1" ht="14.4" outlineLevel="1" collapsed="1" thickBot="1">
      <c r="A7" s="1571"/>
      <c r="B7" s="4072" t="s">
        <v>41</v>
      </c>
      <c r="C7" s="3341"/>
      <c r="D7" s="3341"/>
      <c r="E7" s="2012">
        <f t="shared" si="0"/>
        <v>0</v>
      </c>
      <c r="F7" s="4073"/>
      <c r="G7" s="4073"/>
      <c r="H7" s="3341"/>
      <c r="I7" s="3341"/>
      <c r="J7" s="2012">
        <f>H7+I7</f>
        <v>0</v>
      </c>
      <c r="K7" s="4073"/>
      <c r="L7" s="4073"/>
      <c r="M7" s="3341"/>
      <c r="N7" s="3341"/>
      <c r="O7" s="2012">
        <f t="shared" si="1"/>
        <v>0</v>
      </c>
      <c r="P7" s="4073"/>
      <c r="Q7" s="4073"/>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1"/>
      <c r="AC7" s="3341"/>
      <c r="AD7" s="2012">
        <f t="shared" si="4"/>
        <v>0</v>
      </c>
      <c r="AE7" s="4073"/>
      <c r="AF7" s="4073"/>
      <c r="AG7" s="3341"/>
      <c r="AH7" s="3341"/>
      <c r="AI7" s="2012">
        <f t="shared" si="5"/>
        <v>0</v>
      </c>
      <c r="AJ7" s="4073"/>
      <c r="AK7" s="4073"/>
      <c r="AL7" s="3341"/>
      <c r="AM7" s="3341"/>
      <c r="AN7" s="2012">
        <f t="shared" si="6"/>
        <v>0</v>
      </c>
      <c r="AO7" s="4073"/>
      <c r="AP7" s="4073"/>
      <c r="AQ7" s="3341"/>
      <c r="AR7" s="3341"/>
      <c r="AS7" s="2012">
        <f t="shared" si="7"/>
        <v>0</v>
      </c>
      <c r="AT7" s="4073"/>
      <c r="AU7" s="4073"/>
      <c r="AV7" s="3341"/>
      <c r="AW7" s="3341"/>
      <c r="AX7" s="2012">
        <f t="shared" si="8"/>
        <v>0</v>
      </c>
      <c r="AY7" s="4073"/>
      <c r="AZ7" s="4073"/>
      <c r="BA7" s="3341"/>
      <c r="BB7" s="3341"/>
      <c r="BC7" s="2012">
        <f t="shared" si="9"/>
        <v>0</v>
      </c>
      <c r="BD7" s="4073"/>
      <c r="BE7" s="4073"/>
      <c r="BF7" s="3341"/>
      <c r="BG7" s="3341"/>
      <c r="BH7" s="2012">
        <f t="shared" si="10"/>
        <v>0</v>
      </c>
      <c r="BI7" s="4073"/>
      <c r="BJ7" s="4073"/>
      <c r="BK7" s="3341"/>
      <c r="BL7" s="3341"/>
      <c r="BM7" s="2012">
        <f t="shared" si="11"/>
        <v>0</v>
      </c>
      <c r="BN7" s="4073"/>
      <c r="BO7" s="4073"/>
      <c r="BP7" s="3341"/>
      <c r="BQ7" s="3341"/>
      <c r="BR7" s="2012">
        <f t="shared" si="12"/>
        <v>0</v>
      </c>
      <c r="BS7" s="4073"/>
      <c r="BT7" s="4073"/>
      <c r="BU7" s="3341"/>
      <c r="BV7" s="3341"/>
      <c r="BW7" s="2012">
        <f t="shared" si="13"/>
        <v>0</v>
      </c>
      <c r="BX7" s="4073"/>
      <c r="BY7" s="4073"/>
      <c r="BZ7" s="3341"/>
      <c r="CA7" s="3341"/>
      <c r="CB7" s="2012">
        <f t="shared" si="14"/>
        <v>0</v>
      </c>
      <c r="CC7" s="4073"/>
      <c r="CD7" s="4073"/>
      <c r="CE7" s="3341"/>
      <c r="CF7" s="3341"/>
      <c r="CG7" s="2012">
        <f t="shared" si="15"/>
        <v>0</v>
      </c>
      <c r="CH7" s="4073"/>
      <c r="CI7" s="4073"/>
      <c r="CJ7" s="3341">
        <f>C7+H7+M7+W7</f>
        <v>0</v>
      </c>
      <c r="CK7" s="3341">
        <f>D7+I7+N7+X7</f>
        <v>0</v>
      </c>
      <c r="CL7" s="2012">
        <f>CJ7+CK7</f>
        <v>0</v>
      </c>
      <c r="CM7" s="4073"/>
      <c r="CN7" s="4073"/>
      <c r="CP7" s="2012"/>
      <c r="CQ7" s="2012"/>
      <c r="CR7" s="3442"/>
      <c r="CT7" s="2624"/>
    </row>
    <row r="8" spans="1:99" s="1396" customFormat="1" ht="14.4" outlineLevel="1" thickBot="1">
      <c r="A8" s="1571"/>
      <c r="B8" s="1463" t="s">
        <v>16</v>
      </c>
      <c r="C8" s="1957">
        <f>SUM(C9:C33)</f>
        <v>0</v>
      </c>
      <c r="D8" s="1957">
        <f>SUM(D9:D33)</f>
        <v>0</v>
      </c>
      <c r="E8" s="1484">
        <f>SUM(E9:E33)</f>
        <v>0</v>
      </c>
      <c r="F8" s="1528" t="e">
        <f t="shared" ref="F8:F33" si="16">E8/$E$89</f>
        <v>#DIV/0!</v>
      </c>
      <c r="G8" s="1466"/>
      <c r="H8" s="1957">
        <f>SUM(H9:H33)</f>
        <v>0</v>
      </c>
      <c r="I8" s="1957">
        <f>SUM(I9:I33)</f>
        <v>0</v>
      </c>
      <c r="J8" s="1484">
        <f>SUM(J9:J33)</f>
        <v>0</v>
      </c>
      <c r="K8" s="1528" t="e">
        <f t="shared" ref="K8" si="17">J8/$E$89</f>
        <v>#DIV/0!</v>
      </c>
      <c r="L8" s="1466"/>
      <c r="M8" s="1957">
        <f>SUM(M9:M33)</f>
        <v>0</v>
      </c>
      <c r="N8" s="1957">
        <f>SUM(N9:N33)</f>
        <v>0</v>
      </c>
      <c r="O8" s="1484">
        <f>SUM(O9:O33)</f>
        <v>0</v>
      </c>
      <c r="P8" s="1528" t="e">
        <f t="shared" ref="P8" si="18">O8/$E$89</f>
        <v>#DIV/0!</v>
      </c>
      <c r="Q8" s="1466"/>
      <c r="R8" s="1957">
        <f>SUM(R9:R33)</f>
        <v>0</v>
      </c>
      <c r="S8" s="1957">
        <f>SUM(S9:S33)</f>
        <v>0</v>
      </c>
      <c r="T8" s="1484">
        <f>SUM(T9:T33)</f>
        <v>0</v>
      </c>
      <c r="U8" s="1528"/>
      <c r="V8" s="1466"/>
      <c r="W8" s="1957">
        <f>SUM(W9:W33)</f>
        <v>295387.28399999999</v>
      </c>
      <c r="X8" s="1957">
        <f>SUM(X9:X33)</f>
        <v>0</v>
      </c>
      <c r="Y8" s="1484">
        <f>SUM(Y9:Y33)</f>
        <v>295387.28399999999</v>
      </c>
      <c r="Z8" s="1528"/>
      <c r="AA8" s="1466"/>
      <c r="AB8" s="1957">
        <f>SUM(AB9:AB33)</f>
        <v>33000</v>
      </c>
      <c r="AC8" s="1957">
        <f>SUM(AC9:AC33)</f>
        <v>0</v>
      </c>
      <c r="AD8" s="1484">
        <f>SUM(AD9:AD33)</f>
        <v>33000</v>
      </c>
      <c r="AE8" s="1528"/>
      <c r="AF8" s="1466"/>
      <c r="AG8" s="1957">
        <f>SUM(AG9:AG33)</f>
        <v>262387.28399999999</v>
      </c>
      <c r="AH8" s="1957">
        <f>SUM(AH9:AH33)</f>
        <v>0</v>
      </c>
      <c r="AI8" s="1484">
        <f>SUM(AI9:AI33)</f>
        <v>262387.28399999999</v>
      </c>
      <c r="AJ8" s="1528"/>
      <c r="AK8" s="1466"/>
      <c r="AL8" s="1957">
        <f>SUM(AL9:AL33)</f>
        <v>0</v>
      </c>
      <c r="AM8" s="1957">
        <f>SUM(AM9:AM33)</f>
        <v>0</v>
      </c>
      <c r="AN8" s="1484">
        <f>SUM(AN9:AN33)</f>
        <v>0</v>
      </c>
      <c r="AO8" s="1528"/>
      <c r="AP8" s="1466"/>
      <c r="AQ8" s="1957">
        <f>SUM(AQ9:AQ33)</f>
        <v>0</v>
      </c>
      <c r="AR8" s="1957">
        <f>SUM(AR9:AR33)</f>
        <v>0</v>
      </c>
      <c r="AS8" s="1484">
        <f>SUM(AS9:AS33)</f>
        <v>0</v>
      </c>
      <c r="AT8" s="1528"/>
      <c r="AU8" s="1466"/>
      <c r="AV8" s="1957">
        <f>SUM(AV9:AV33)</f>
        <v>0</v>
      </c>
      <c r="AW8" s="1957">
        <f>SUM(AW9:AW33)</f>
        <v>0</v>
      </c>
      <c r="AX8" s="1484">
        <f>SUM(AX9:AX33)</f>
        <v>0</v>
      </c>
      <c r="AY8" s="1528"/>
      <c r="AZ8" s="1466"/>
      <c r="BA8" s="1957">
        <f>SUM(BA9:BA33)</f>
        <v>0</v>
      </c>
      <c r="BB8" s="1957">
        <f>SUM(BB9:BB33)</f>
        <v>0</v>
      </c>
      <c r="BC8" s="1484">
        <f>SUM(BC9:BC33)</f>
        <v>0</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297896.60399999999</v>
      </c>
      <c r="CK8" s="1957">
        <f>SUM(CK9:CK33)</f>
        <v>32964</v>
      </c>
      <c r="CL8" s="1484">
        <f>SUM(CL9:CL33)</f>
        <v>330860.60400000005</v>
      </c>
      <c r="CM8" s="1528"/>
      <c r="CN8" s="1466"/>
      <c r="CP8" s="1484">
        <f>SUM(CP9:CP33)</f>
        <v>268310.25</v>
      </c>
      <c r="CQ8" s="1484">
        <f>SUM(CQ9:CQ33)</f>
        <v>330860.60400000005</v>
      </c>
      <c r="CR8" s="3440">
        <f>SUM(CR9:CR33)</f>
        <v>-62550.354000000007</v>
      </c>
      <c r="CT8" s="2624"/>
    </row>
    <row r="9" spans="1:99" s="1396" customFormat="1" ht="13.8" outlineLevel="2">
      <c r="A9" s="1571"/>
      <c r="B9" s="1424" t="s">
        <v>74</v>
      </c>
      <c r="C9" s="3341"/>
      <c r="D9" s="3341"/>
      <c r="E9" s="3349">
        <f t="shared" ref="E9:E32" si="19">C9+D9</f>
        <v>0</v>
      </c>
      <c r="F9" s="4074" t="e">
        <f t="shared" si="16"/>
        <v>#DIV/0!</v>
      </c>
      <c r="G9" s="2047"/>
      <c r="H9" s="3341"/>
      <c r="I9" s="3341"/>
      <c r="J9" s="3349">
        <f t="shared" ref="J9:J32" si="20">H9+I9</f>
        <v>0</v>
      </c>
      <c r="K9" s="4074" t="e">
        <f>J9/J$89</f>
        <v>#DIV/0!</v>
      </c>
      <c r="L9" s="2047"/>
      <c r="M9" s="3341"/>
      <c r="N9" s="3341"/>
      <c r="O9" s="3349">
        <f t="shared" ref="O9:O32" si="21">M9+N9</f>
        <v>0</v>
      </c>
      <c r="P9" s="4074" t="e">
        <f t="shared" ref="P9:P33" si="22">O9/O$89</f>
        <v>#DIV/0!</v>
      </c>
      <c r="Q9" s="2047"/>
      <c r="R9" s="3342">
        <f t="shared" ref="R9:S33" si="23">M9+H9+C9</f>
        <v>0</v>
      </c>
      <c r="S9" s="3342">
        <f t="shared" si="23"/>
        <v>0</v>
      </c>
      <c r="T9" s="2012">
        <f t="shared" ref="T9:T33" si="24">R9+S9</f>
        <v>0</v>
      </c>
      <c r="U9" s="2047"/>
      <c r="V9" s="2047"/>
      <c r="W9" s="3342">
        <f t="shared" ref="W9:X33" si="25">AB9+AG9+AL9+AV9+BA9+BF9+BK9+BP9+BU9+BZ9+CE9+AQ9</f>
        <v>0</v>
      </c>
      <c r="X9" s="3342">
        <f t="shared" si="25"/>
        <v>0</v>
      </c>
      <c r="Y9" s="2012">
        <f t="shared" ref="Y9:Y33" si="26">W9+X9</f>
        <v>0</v>
      </c>
      <c r="Z9" s="2047"/>
      <c r="AA9" s="2047"/>
      <c r="AB9" s="3341"/>
      <c r="AC9" s="3341"/>
      <c r="AD9" s="3349">
        <f t="shared" ref="AD9:AD32" si="27">AB9+AC9</f>
        <v>0</v>
      </c>
      <c r="AE9" s="4074">
        <f>AD9/AD$89</f>
        <v>0</v>
      </c>
      <c r="AF9" s="2047"/>
      <c r="AG9" s="3341"/>
      <c r="AH9" s="3341"/>
      <c r="AI9" s="3349">
        <f t="shared" ref="AI9:AI32" si="28">AG9+AH9</f>
        <v>0</v>
      </c>
      <c r="AJ9" s="4074">
        <f>AI9/AI$89</f>
        <v>0</v>
      </c>
      <c r="AK9" s="2047"/>
      <c r="AL9" s="3341"/>
      <c r="AM9" s="3341"/>
      <c r="AN9" s="3349">
        <f t="shared" ref="AN9:AN32" si="29">AL9+AM9</f>
        <v>0</v>
      </c>
      <c r="AO9" s="4074" t="e">
        <f>AN9/AN$89</f>
        <v>#DIV/0!</v>
      </c>
      <c r="AP9" s="2047"/>
      <c r="AQ9" s="3341"/>
      <c r="AR9" s="3341"/>
      <c r="AS9" s="3349">
        <f t="shared" ref="AS9:AS32" si="30">AQ9+AR9</f>
        <v>0</v>
      </c>
      <c r="AT9" s="4074" t="e">
        <f>AS9/AS$89</f>
        <v>#DIV/0!</v>
      </c>
      <c r="AU9" s="2047"/>
      <c r="AV9" s="3341"/>
      <c r="AW9" s="3341"/>
      <c r="AX9" s="3349">
        <f t="shared" ref="AX9:AX32" si="31">AV9+AW9</f>
        <v>0</v>
      </c>
      <c r="AY9" s="4074" t="e">
        <f>AX9/AX$89</f>
        <v>#DIV/0!</v>
      </c>
      <c r="AZ9" s="2047"/>
      <c r="BA9" s="3341"/>
      <c r="BB9" s="3341"/>
      <c r="BC9" s="3349">
        <f t="shared" ref="BC9:BC32" si="32">BA9+BB9</f>
        <v>0</v>
      </c>
      <c r="BD9" s="4074" t="e">
        <f>BC9/BC$89</f>
        <v>#DIV/0!</v>
      </c>
      <c r="BE9" s="2047"/>
      <c r="BF9" s="3341"/>
      <c r="BG9" s="3341"/>
      <c r="BH9" s="3349">
        <f t="shared" ref="BH9:BH32" si="33">BF9+BG9</f>
        <v>0</v>
      </c>
      <c r="BI9" s="4074" t="e">
        <f>BH9/BH$89</f>
        <v>#DIV/0!</v>
      </c>
      <c r="BJ9" s="2047"/>
      <c r="BK9" s="3341"/>
      <c r="BL9" s="3341"/>
      <c r="BM9" s="3349">
        <f t="shared" ref="BM9:BM32" si="34">BK9+BL9</f>
        <v>0</v>
      </c>
      <c r="BN9" s="4074" t="e">
        <f>BM9/BM$89</f>
        <v>#DIV/0!</v>
      </c>
      <c r="BO9" s="2047"/>
      <c r="BP9" s="3341"/>
      <c r="BQ9" s="3341"/>
      <c r="BR9" s="3349">
        <f t="shared" ref="BR9:BR32" si="35">BP9+BQ9</f>
        <v>0</v>
      </c>
      <c r="BS9" s="4074" t="e">
        <f>BR9/BR$89</f>
        <v>#DIV/0!</v>
      </c>
      <c r="BT9" s="2047"/>
      <c r="BU9" s="3341"/>
      <c r="BV9" s="3341"/>
      <c r="BW9" s="3349">
        <f t="shared" ref="BW9:BW32" si="36">BU9+BV9</f>
        <v>0</v>
      </c>
      <c r="BX9" s="4074" t="e">
        <f>BW9/BW$89</f>
        <v>#DIV/0!</v>
      </c>
      <c r="BY9" s="2047"/>
      <c r="BZ9" s="3341"/>
      <c r="CA9" s="3341"/>
      <c r="CB9" s="3349">
        <f t="shared" ref="CB9:CB32" si="37">BZ9+CA9</f>
        <v>0</v>
      </c>
      <c r="CC9" s="4074" t="e">
        <f>CB9/CB$89</f>
        <v>#DIV/0!</v>
      </c>
      <c r="CD9" s="2047"/>
      <c r="CE9" s="3341"/>
      <c r="CF9" s="3341"/>
      <c r="CG9" s="3349">
        <f t="shared" ref="CG9:CG32" si="38">CE9+CF9</f>
        <v>0</v>
      </c>
      <c r="CH9" s="4074" t="e">
        <f>CG9/CG$89</f>
        <v>#DIV/0!</v>
      </c>
      <c r="CI9" s="2047"/>
      <c r="CJ9" s="3341">
        <f>C9+H9+M9+W9+2509.32</f>
        <v>2509.3200000000002</v>
      </c>
      <c r="CK9" s="3341">
        <f>D9+I9+N9+X9+24464</f>
        <v>24464</v>
      </c>
      <c r="CL9" s="3349">
        <f>CJ9+CK9*1</f>
        <v>26973.32</v>
      </c>
      <c r="CM9" s="4074">
        <f t="shared" ref="CM9:CM33" si="39">CL9/$CL$89</f>
        <v>8.0234852089207997E-2</v>
      </c>
      <c r="CN9" s="1434"/>
      <c r="CP9" s="5177">
        <v>24288</v>
      </c>
      <c r="CQ9" s="2012">
        <f t="shared" ref="CQ9:CQ32" si="40">CL9</f>
        <v>26973.32</v>
      </c>
      <c r="CR9" s="5174">
        <f>CP9-SUM(CQ9:CQ11)</f>
        <v>-2685.3199999999997</v>
      </c>
      <c r="CS9" s="3307"/>
      <c r="CT9" s="3443">
        <f>CR9/CP9</f>
        <v>-0.11056159420289854</v>
      </c>
    </row>
    <row r="10" spans="1:99" s="1396" customFormat="1" ht="13.8" outlineLevel="2">
      <c r="A10" s="1571"/>
      <c r="B10" s="1424" t="s">
        <v>72</v>
      </c>
      <c r="C10" s="3341"/>
      <c r="D10" s="3341"/>
      <c r="E10" s="3349">
        <f t="shared" si="19"/>
        <v>0</v>
      </c>
      <c r="F10" s="4074" t="e">
        <f t="shared" si="16"/>
        <v>#DIV/0!</v>
      </c>
      <c r="G10" s="2047"/>
      <c r="H10" s="3341"/>
      <c r="I10" s="3341"/>
      <c r="J10" s="3349">
        <f t="shared" si="20"/>
        <v>0</v>
      </c>
      <c r="K10" s="4074" t="e">
        <f t="shared" ref="K10:K33" si="41">J10/J$89</f>
        <v>#DIV/0!</v>
      </c>
      <c r="L10" s="2047"/>
      <c r="M10" s="3341"/>
      <c r="N10" s="3341"/>
      <c r="O10" s="3349">
        <f t="shared" si="21"/>
        <v>0</v>
      </c>
      <c r="P10" s="4074" t="e">
        <f t="shared" si="22"/>
        <v>#DIV/0!</v>
      </c>
      <c r="Q10" s="2047"/>
      <c r="R10" s="3342">
        <f t="shared" si="23"/>
        <v>0</v>
      </c>
      <c r="S10" s="3342">
        <f t="shared" si="23"/>
        <v>0</v>
      </c>
      <c r="T10" s="2012">
        <f t="shared" si="24"/>
        <v>0</v>
      </c>
      <c r="U10" s="2047"/>
      <c r="V10" s="2047"/>
      <c r="W10" s="3342">
        <f t="shared" si="25"/>
        <v>0</v>
      </c>
      <c r="X10" s="3342">
        <f t="shared" si="25"/>
        <v>0</v>
      </c>
      <c r="Y10" s="2012">
        <f t="shared" si="26"/>
        <v>0</v>
      </c>
      <c r="Z10" s="2047"/>
      <c r="AA10" s="2047"/>
      <c r="AB10" s="3341"/>
      <c r="AC10" s="3341"/>
      <c r="AD10" s="3349">
        <f t="shared" si="27"/>
        <v>0</v>
      </c>
      <c r="AE10" s="4074">
        <f t="shared" ref="AE10:AE33" si="42">AD10/AD$89</f>
        <v>0</v>
      </c>
      <c r="AF10" s="2047"/>
      <c r="AG10" s="3341"/>
      <c r="AH10" s="3341"/>
      <c r="AI10" s="3349">
        <f t="shared" si="28"/>
        <v>0</v>
      </c>
      <c r="AJ10" s="4074">
        <f t="shared" ref="AJ10:AJ33" si="43">AI10/AI$89</f>
        <v>0</v>
      </c>
      <c r="AK10" s="2047"/>
      <c r="AL10" s="3341"/>
      <c r="AM10" s="3341"/>
      <c r="AN10" s="3349">
        <f t="shared" si="29"/>
        <v>0</v>
      </c>
      <c r="AO10" s="4074" t="e">
        <f t="shared" ref="AO10:AO33" si="44">AN10/AN$89</f>
        <v>#DIV/0!</v>
      </c>
      <c r="AP10" s="2047"/>
      <c r="AQ10" s="3341"/>
      <c r="AR10" s="3341"/>
      <c r="AS10" s="3349">
        <f t="shared" si="30"/>
        <v>0</v>
      </c>
      <c r="AT10" s="4074" t="e">
        <f t="shared" ref="AT10:AT33" si="45">AS10/AS$89</f>
        <v>#DIV/0!</v>
      </c>
      <c r="AU10" s="2047"/>
      <c r="AV10" s="3341"/>
      <c r="AW10" s="3341"/>
      <c r="AX10" s="3349">
        <f t="shared" si="31"/>
        <v>0</v>
      </c>
      <c r="AY10" s="4074" t="e">
        <f t="shared" ref="AY10:AY33" si="46">AX10/AX$89</f>
        <v>#DIV/0!</v>
      </c>
      <c r="AZ10" s="2047"/>
      <c r="BA10" s="3341"/>
      <c r="BB10" s="3341"/>
      <c r="BC10" s="3349">
        <f t="shared" si="32"/>
        <v>0</v>
      </c>
      <c r="BD10" s="4074" t="e">
        <f t="shared" ref="BD10:BD33" si="47">BC10/BC$89</f>
        <v>#DIV/0!</v>
      </c>
      <c r="BE10" s="2047"/>
      <c r="BF10" s="3341"/>
      <c r="BG10" s="3341"/>
      <c r="BH10" s="3349">
        <f t="shared" si="33"/>
        <v>0</v>
      </c>
      <c r="BI10" s="4074" t="e">
        <f t="shared" ref="BI10:BI33" si="48">BH10/BH$89</f>
        <v>#DIV/0!</v>
      </c>
      <c r="BJ10" s="2047"/>
      <c r="BK10" s="3341"/>
      <c r="BL10" s="3341"/>
      <c r="BM10" s="3349">
        <f t="shared" si="34"/>
        <v>0</v>
      </c>
      <c r="BN10" s="4074" t="e">
        <f t="shared" ref="BN10:BN33" si="49">BM10/BM$89</f>
        <v>#DIV/0!</v>
      </c>
      <c r="BO10" s="2047"/>
      <c r="BP10" s="3341"/>
      <c r="BQ10" s="3341"/>
      <c r="BR10" s="3349">
        <f t="shared" si="35"/>
        <v>0</v>
      </c>
      <c r="BS10" s="4074" t="e">
        <f t="shared" ref="BS10:BS33" si="50">BR10/BR$89</f>
        <v>#DIV/0!</v>
      </c>
      <c r="BT10" s="2047"/>
      <c r="BU10" s="3341"/>
      <c r="BV10" s="3341"/>
      <c r="BW10" s="3349">
        <f t="shared" si="36"/>
        <v>0</v>
      </c>
      <c r="BX10" s="4074" t="e">
        <f t="shared" ref="BX10:BX33" si="51">BW10/BW$89</f>
        <v>#DIV/0!</v>
      </c>
      <c r="BY10" s="2047"/>
      <c r="BZ10" s="3341"/>
      <c r="CA10" s="3341"/>
      <c r="CB10" s="3349">
        <f t="shared" si="37"/>
        <v>0</v>
      </c>
      <c r="CC10" s="4074" t="e">
        <f t="shared" ref="CC10:CC33" si="52">CB10/CB$89</f>
        <v>#DIV/0!</v>
      </c>
      <c r="CD10" s="2047"/>
      <c r="CE10" s="3341"/>
      <c r="CF10" s="3341"/>
      <c r="CG10" s="3349">
        <f t="shared" si="38"/>
        <v>0</v>
      </c>
      <c r="CH10" s="4074" t="e">
        <f t="shared" ref="CH10:CH33" si="53">CG10/CG$89</f>
        <v>#DIV/0!</v>
      </c>
      <c r="CI10" s="2047"/>
      <c r="CJ10" s="3341">
        <f t="shared" ref="CJ10:CK33" si="54">C10+H10+M10+W10</f>
        <v>0</v>
      </c>
      <c r="CK10" s="3341">
        <f t="shared" si="54"/>
        <v>0</v>
      </c>
      <c r="CL10" s="3349">
        <f t="shared" ref="CL10:CL33" si="55">CJ10+CK10*1</f>
        <v>0</v>
      </c>
      <c r="CM10" s="4074">
        <f t="shared" si="39"/>
        <v>0</v>
      </c>
      <c r="CN10" s="1434"/>
      <c r="CP10" s="5178"/>
      <c r="CQ10" s="2012">
        <f t="shared" si="40"/>
        <v>0</v>
      </c>
      <c r="CR10" s="5175"/>
      <c r="CT10" s="2624"/>
    </row>
    <row r="11" spans="1:99" s="1396" customFormat="1" ht="13.8" outlineLevel="2">
      <c r="A11" s="1571"/>
      <c r="B11" s="1424" t="s">
        <v>69</v>
      </c>
      <c r="C11" s="3341"/>
      <c r="D11" s="3341"/>
      <c r="E11" s="3349">
        <f t="shared" si="19"/>
        <v>0</v>
      </c>
      <c r="F11" s="4074" t="e">
        <f t="shared" si="16"/>
        <v>#DIV/0!</v>
      </c>
      <c r="G11" s="1055"/>
      <c r="H11" s="3341"/>
      <c r="I11" s="3341"/>
      <c r="J11" s="3349">
        <f t="shared" si="20"/>
        <v>0</v>
      </c>
      <c r="K11" s="4074" t="e">
        <f t="shared" si="41"/>
        <v>#DIV/0!</v>
      </c>
      <c r="L11" s="1055"/>
      <c r="M11" s="3341"/>
      <c r="N11" s="3341"/>
      <c r="O11" s="3349">
        <f t="shared" si="21"/>
        <v>0</v>
      </c>
      <c r="P11" s="4074" t="e">
        <f t="shared" si="22"/>
        <v>#DIV/0!</v>
      </c>
      <c r="Q11" s="1055"/>
      <c r="R11" s="3342">
        <f t="shared" si="23"/>
        <v>0</v>
      </c>
      <c r="S11" s="3342">
        <f t="shared" si="23"/>
        <v>0</v>
      </c>
      <c r="T11" s="2012">
        <f t="shared" si="24"/>
        <v>0</v>
      </c>
      <c r="U11" s="1055"/>
      <c r="V11" s="1055"/>
      <c r="W11" s="3342">
        <f t="shared" si="25"/>
        <v>0</v>
      </c>
      <c r="X11" s="3342">
        <f t="shared" si="25"/>
        <v>0</v>
      </c>
      <c r="Y11" s="2012">
        <f t="shared" si="26"/>
        <v>0</v>
      </c>
      <c r="Z11" s="1055"/>
      <c r="AA11" s="1055"/>
      <c r="AB11" s="3341"/>
      <c r="AC11" s="3341"/>
      <c r="AD11" s="3349">
        <f t="shared" si="27"/>
        <v>0</v>
      </c>
      <c r="AE11" s="4074">
        <f t="shared" si="42"/>
        <v>0</v>
      </c>
      <c r="AF11" s="1055"/>
      <c r="AG11" s="3341"/>
      <c r="AH11" s="3341"/>
      <c r="AI11" s="3349">
        <f t="shared" si="28"/>
        <v>0</v>
      </c>
      <c r="AJ11" s="4074">
        <f t="shared" si="43"/>
        <v>0</v>
      </c>
      <c r="AK11" s="1055"/>
      <c r="AL11" s="3341"/>
      <c r="AM11" s="3341"/>
      <c r="AN11" s="3349">
        <f t="shared" si="29"/>
        <v>0</v>
      </c>
      <c r="AO11" s="4074" t="e">
        <f t="shared" si="44"/>
        <v>#DIV/0!</v>
      </c>
      <c r="AP11" s="1055"/>
      <c r="AQ11" s="3341"/>
      <c r="AR11" s="3341"/>
      <c r="AS11" s="3349">
        <f t="shared" si="30"/>
        <v>0</v>
      </c>
      <c r="AT11" s="4074" t="e">
        <f t="shared" si="45"/>
        <v>#DIV/0!</v>
      </c>
      <c r="AU11" s="1055"/>
      <c r="AV11" s="3341"/>
      <c r="AW11" s="3341"/>
      <c r="AX11" s="3349">
        <f t="shared" si="31"/>
        <v>0</v>
      </c>
      <c r="AY11" s="4074" t="e">
        <f t="shared" si="46"/>
        <v>#DIV/0!</v>
      </c>
      <c r="AZ11" s="1055"/>
      <c r="BA11" s="3341"/>
      <c r="BB11" s="3341"/>
      <c r="BC11" s="3349">
        <f t="shared" si="32"/>
        <v>0</v>
      </c>
      <c r="BD11" s="4074" t="e">
        <f t="shared" si="47"/>
        <v>#DIV/0!</v>
      </c>
      <c r="BE11" s="1055"/>
      <c r="BF11" s="3341"/>
      <c r="BG11" s="3341"/>
      <c r="BH11" s="3349">
        <f t="shared" si="33"/>
        <v>0</v>
      </c>
      <c r="BI11" s="4074" t="e">
        <f t="shared" si="48"/>
        <v>#DIV/0!</v>
      </c>
      <c r="BJ11" s="1055"/>
      <c r="BK11" s="3341"/>
      <c r="BL11" s="3341"/>
      <c r="BM11" s="3349">
        <f t="shared" si="34"/>
        <v>0</v>
      </c>
      <c r="BN11" s="4074" t="e">
        <f t="shared" si="49"/>
        <v>#DIV/0!</v>
      </c>
      <c r="BO11" s="1055"/>
      <c r="BP11" s="3341"/>
      <c r="BQ11" s="3341"/>
      <c r="BR11" s="3349">
        <f t="shared" si="35"/>
        <v>0</v>
      </c>
      <c r="BS11" s="4074" t="e">
        <f t="shared" si="50"/>
        <v>#DIV/0!</v>
      </c>
      <c r="BT11" s="1055"/>
      <c r="BU11" s="3341"/>
      <c r="BV11" s="3341"/>
      <c r="BW11" s="3349">
        <f t="shared" si="36"/>
        <v>0</v>
      </c>
      <c r="BX11" s="4074" t="e">
        <f t="shared" si="51"/>
        <v>#DIV/0!</v>
      </c>
      <c r="BY11" s="1055"/>
      <c r="BZ11" s="3341"/>
      <c r="CA11" s="3341"/>
      <c r="CB11" s="3349">
        <f t="shared" si="37"/>
        <v>0</v>
      </c>
      <c r="CC11" s="4074" t="e">
        <f t="shared" si="52"/>
        <v>#DIV/0!</v>
      </c>
      <c r="CD11" s="1055"/>
      <c r="CE11" s="3341"/>
      <c r="CF11" s="3341"/>
      <c r="CG11" s="3349">
        <f t="shared" si="38"/>
        <v>0</v>
      </c>
      <c r="CH11" s="4074" t="e">
        <f t="shared" si="53"/>
        <v>#DIV/0!</v>
      </c>
      <c r="CI11" s="1055"/>
      <c r="CJ11" s="3341">
        <f t="shared" si="54"/>
        <v>0</v>
      </c>
      <c r="CK11" s="3341">
        <f t="shared" si="54"/>
        <v>0</v>
      </c>
      <c r="CL11" s="3349">
        <f t="shared" si="55"/>
        <v>0</v>
      </c>
      <c r="CM11" s="4074">
        <f t="shared" si="39"/>
        <v>0</v>
      </c>
      <c r="CN11" s="1434"/>
      <c r="CP11" s="5179"/>
      <c r="CQ11" s="2012">
        <f t="shared" si="40"/>
        <v>0</v>
      </c>
      <c r="CR11" s="5176"/>
      <c r="CT11" s="2624"/>
    </row>
    <row r="12" spans="1:99" s="1396" customFormat="1" ht="13.8" outlineLevel="2">
      <c r="A12" s="1571"/>
      <c r="B12" s="1424" t="s">
        <v>73</v>
      </c>
      <c r="C12" s="3341"/>
      <c r="D12" s="3341"/>
      <c r="E12" s="3349">
        <f t="shared" si="19"/>
        <v>0</v>
      </c>
      <c r="F12" s="4074" t="e">
        <f t="shared" si="16"/>
        <v>#DIV/0!</v>
      </c>
      <c r="G12" s="1055"/>
      <c r="H12" s="3341"/>
      <c r="I12" s="3341"/>
      <c r="J12" s="3349">
        <f t="shared" si="20"/>
        <v>0</v>
      </c>
      <c r="K12" s="4074" t="e">
        <f t="shared" si="41"/>
        <v>#DIV/0!</v>
      </c>
      <c r="L12" s="1055"/>
      <c r="M12" s="3341"/>
      <c r="N12" s="3341"/>
      <c r="O12" s="3349">
        <f t="shared" si="21"/>
        <v>0</v>
      </c>
      <c r="P12" s="4074" t="e">
        <f t="shared" si="22"/>
        <v>#DIV/0!</v>
      </c>
      <c r="Q12" s="1055"/>
      <c r="R12" s="3342">
        <f t="shared" si="23"/>
        <v>0</v>
      </c>
      <c r="S12" s="3342">
        <f t="shared" si="23"/>
        <v>0</v>
      </c>
      <c r="T12" s="2012">
        <f t="shared" si="24"/>
        <v>0</v>
      </c>
      <c r="U12" s="1055"/>
      <c r="V12" s="1055"/>
      <c r="W12" s="3342">
        <f t="shared" si="25"/>
        <v>0</v>
      </c>
      <c r="X12" s="3342">
        <f t="shared" si="25"/>
        <v>0</v>
      </c>
      <c r="Y12" s="2012">
        <f t="shared" si="26"/>
        <v>0</v>
      </c>
      <c r="Z12" s="1055"/>
      <c r="AA12" s="1055"/>
      <c r="AB12" s="3341"/>
      <c r="AC12" s="3341"/>
      <c r="AD12" s="3349">
        <f t="shared" si="27"/>
        <v>0</v>
      </c>
      <c r="AE12" s="4074">
        <f t="shared" si="42"/>
        <v>0</v>
      </c>
      <c r="AF12" s="1055"/>
      <c r="AG12" s="3341"/>
      <c r="AH12" s="3341"/>
      <c r="AI12" s="3349">
        <f t="shared" si="28"/>
        <v>0</v>
      </c>
      <c r="AJ12" s="4074">
        <f t="shared" si="43"/>
        <v>0</v>
      </c>
      <c r="AK12" s="1055"/>
      <c r="AL12" s="3341"/>
      <c r="AM12" s="3341"/>
      <c r="AN12" s="3349">
        <f t="shared" si="29"/>
        <v>0</v>
      </c>
      <c r="AO12" s="4074" t="e">
        <f t="shared" si="44"/>
        <v>#DIV/0!</v>
      </c>
      <c r="AP12" s="1055"/>
      <c r="AQ12" s="3341"/>
      <c r="AR12" s="3341"/>
      <c r="AS12" s="3349">
        <f t="shared" si="30"/>
        <v>0</v>
      </c>
      <c r="AT12" s="4074" t="e">
        <f t="shared" si="45"/>
        <v>#DIV/0!</v>
      </c>
      <c r="AU12" s="1055"/>
      <c r="AV12" s="3341"/>
      <c r="AW12" s="3341"/>
      <c r="AX12" s="3349">
        <f t="shared" si="31"/>
        <v>0</v>
      </c>
      <c r="AY12" s="4074" t="e">
        <f t="shared" si="46"/>
        <v>#DIV/0!</v>
      </c>
      <c r="AZ12" s="1055"/>
      <c r="BA12" s="3341"/>
      <c r="BB12" s="3341"/>
      <c r="BC12" s="3349">
        <f t="shared" si="32"/>
        <v>0</v>
      </c>
      <c r="BD12" s="4074" t="e">
        <f t="shared" si="47"/>
        <v>#DIV/0!</v>
      </c>
      <c r="BE12" s="1055"/>
      <c r="BF12" s="3341"/>
      <c r="BG12" s="3341"/>
      <c r="BH12" s="3349">
        <f t="shared" si="33"/>
        <v>0</v>
      </c>
      <c r="BI12" s="4074" t="e">
        <f t="shared" si="48"/>
        <v>#DIV/0!</v>
      </c>
      <c r="BJ12" s="1055"/>
      <c r="BK12" s="3341"/>
      <c r="BL12" s="3341"/>
      <c r="BM12" s="3349">
        <f t="shared" si="34"/>
        <v>0</v>
      </c>
      <c r="BN12" s="4074" t="e">
        <f t="shared" si="49"/>
        <v>#DIV/0!</v>
      </c>
      <c r="BO12" s="1055"/>
      <c r="BP12" s="3341"/>
      <c r="BQ12" s="3341"/>
      <c r="BR12" s="3349">
        <f t="shared" si="35"/>
        <v>0</v>
      </c>
      <c r="BS12" s="4074" t="e">
        <f t="shared" si="50"/>
        <v>#DIV/0!</v>
      </c>
      <c r="BT12" s="1055"/>
      <c r="BU12" s="3341"/>
      <c r="BV12" s="3341"/>
      <c r="BW12" s="3349">
        <f t="shared" si="36"/>
        <v>0</v>
      </c>
      <c r="BX12" s="4074" t="e">
        <f t="shared" si="51"/>
        <v>#DIV/0!</v>
      </c>
      <c r="BY12" s="1055"/>
      <c r="BZ12" s="3341"/>
      <c r="CA12" s="3341"/>
      <c r="CB12" s="3349">
        <f t="shared" si="37"/>
        <v>0</v>
      </c>
      <c r="CC12" s="4074" t="e">
        <f t="shared" si="52"/>
        <v>#DIV/0!</v>
      </c>
      <c r="CD12" s="1055"/>
      <c r="CE12" s="3341"/>
      <c r="CF12" s="3341"/>
      <c r="CG12" s="3349">
        <f t="shared" si="38"/>
        <v>0</v>
      </c>
      <c r="CH12" s="4074" t="e">
        <f t="shared" si="53"/>
        <v>#DIV/0!</v>
      </c>
      <c r="CI12" s="1055"/>
      <c r="CJ12" s="3341">
        <f t="shared" si="54"/>
        <v>0</v>
      </c>
      <c r="CK12" s="3341">
        <f t="shared" si="54"/>
        <v>0</v>
      </c>
      <c r="CL12" s="3349">
        <f t="shared" si="55"/>
        <v>0</v>
      </c>
      <c r="CM12" s="4074">
        <f t="shared" si="39"/>
        <v>0</v>
      </c>
      <c r="CN12" s="1434"/>
      <c r="CP12" s="4159"/>
      <c r="CQ12" s="2012">
        <f t="shared" si="40"/>
        <v>0</v>
      </c>
      <c r="CR12" s="4161">
        <f t="shared" ref="CR12:CR33" si="56">CP12-CQ12</f>
        <v>0</v>
      </c>
      <c r="CT12" s="2624"/>
    </row>
    <row r="13" spans="1:99" s="1396" customFormat="1" ht="13.8" outlineLevel="2">
      <c r="A13" s="1571"/>
      <c r="B13" s="1424" t="s">
        <v>71</v>
      </c>
      <c r="C13" s="3341"/>
      <c r="D13" s="3341"/>
      <c r="E13" s="3349">
        <f t="shared" si="19"/>
        <v>0</v>
      </c>
      <c r="F13" s="4074" t="e">
        <f t="shared" si="16"/>
        <v>#DIV/0!</v>
      </c>
      <c r="G13" s="1055"/>
      <c r="H13" s="3341"/>
      <c r="I13" s="3341"/>
      <c r="J13" s="3349">
        <f t="shared" si="20"/>
        <v>0</v>
      </c>
      <c r="K13" s="4074" t="e">
        <f t="shared" si="41"/>
        <v>#DIV/0!</v>
      </c>
      <c r="L13" s="1055"/>
      <c r="M13" s="3341"/>
      <c r="N13" s="3341"/>
      <c r="O13" s="3349">
        <f t="shared" si="21"/>
        <v>0</v>
      </c>
      <c r="P13" s="4074" t="e">
        <f t="shared" si="22"/>
        <v>#DIV/0!</v>
      </c>
      <c r="Q13" s="1055"/>
      <c r="R13" s="3342">
        <f t="shared" si="23"/>
        <v>0</v>
      </c>
      <c r="S13" s="3342">
        <f t="shared" si="23"/>
        <v>0</v>
      </c>
      <c r="T13" s="2012">
        <f t="shared" si="24"/>
        <v>0</v>
      </c>
      <c r="U13" s="1055"/>
      <c r="V13" s="1055"/>
      <c r="W13" s="3342">
        <f t="shared" si="25"/>
        <v>0</v>
      </c>
      <c r="X13" s="3342">
        <f t="shared" si="25"/>
        <v>0</v>
      </c>
      <c r="Y13" s="2012">
        <f t="shared" si="26"/>
        <v>0</v>
      </c>
      <c r="Z13" s="1055"/>
      <c r="AA13" s="1055"/>
      <c r="AB13" s="3341"/>
      <c r="AC13" s="3341"/>
      <c r="AD13" s="3349">
        <f t="shared" si="27"/>
        <v>0</v>
      </c>
      <c r="AE13" s="4074">
        <f t="shared" si="42"/>
        <v>0</v>
      </c>
      <c r="AF13" s="1055"/>
      <c r="AG13" s="3341"/>
      <c r="AH13" s="3341"/>
      <c r="AI13" s="3349">
        <f t="shared" si="28"/>
        <v>0</v>
      </c>
      <c r="AJ13" s="4074">
        <f t="shared" si="43"/>
        <v>0</v>
      </c>
      <c r="AK13" s="1055"/>
      <c r="AL13" s="3341"/>
      <c r="AM13" s="3341"/>
      <c r="AN13" s="3349">
        <f t="shared" si="29"/>
        <v>0</v>
      </c>
      <c r="AO13" s="4074" t="e">
        <f t="shared" si="44"/>
        <v>#DIV/0!</v>
      </c>
      <c r="AP13" s="1055"/>
      <c r="AQ13" s="3341"/>
      <c r="AR13" s="3341"/>
      <c r="AS13" s="3349">
        <f t="shared" si="30"/>
        <v>0</v>
      </c>
      <c r="AT13" s="4074" t="e">
        <f t="shared" si="45"/>
        <v>#DIV/0!</v>
      </c>
      <c r="AU13" s="1055"/>
      <c r="AV13" s="3341"/>
      <c r="AW13" s="3341"/>
      <c r="AX13" s="3349">
        <f t="shared" si="31"/>
        <v>0</v>
      </c>
      <c r="AY13" s="4074" t="e">
        <f t="shared" si="46"/>
        <v>#DIV/0!</v>
      </c>
      <c r="AZ13" s="1055"/>
      <c r="BA13" s="3341"/>
      <c r="BB13" s="3341"/>
      <c r="BC13" s="3349">
        <f t="shared" si="32"/>
        <v>0</v>
      </c>
      <c r="BD13" s="4074" t="e">
        <f t="shared" si="47"/>
        <v>#DIV/0!</v>
      </c>
      <c r="BE13" s="1055"/>
      <c r="BF13" s="3341"/>
      <c r="BG13" s="3341"/>
      <c r="BH13" s="3349">
        <f t="shared" si="33"/>
        <v>0</v>
      </c>
      <c r="BI13" s="4074" t="e">
        <f t="shared" si="48"/>
        <v>#DIV/0!</v>
      </c>
      <c r="BJ13" s="1055"/>
      <c r="BK13" s="3341"/>
      <c r="BL13" s="3341"/>
      <c r="BM13" s="3349">
        <f t="shared" si="34"/>
        <v>0</v>
      </c>
      <c r="BN13" s="4074" t="e">
        <f t="shared" si="49"/>
        <v>#DIV/0!</v>
      </c>
      <c r="BO13" s="1055"/>
      <c r="BP13" s="3341"/>
      <c r="BQ13" s="3341"/>
      <c r="BR13" s="3349">
        <f t="shared" si="35"/>
        <v>0</v>
      </c>
      <c r="BS13" s="4074" t="e">
        <f t="shared" si="50"/>
        <v>#DIV/0!</v>
      </c>
      <c r="BT13" s="1055"/>
      <c r="BU13" s="3341"/>
      <c r="BV13" s="3341"/>
      <c r="BW13" s="3349">
        <f t="shared" si="36"/>
        <v>0</v>
      </c>
      <c r="BX13" s="4074" t="e">
        <f t="shared" si="51"/>
        <v>#DIV/0!</v>
      </c>
      <c r="BY13" s="1055"/>
      <c r="BZ13" s="3341"/>
      <c r="CA13" s="3341"/>
      <c r="CB13" s="3349">
        <f t="shared" si="37"/>
        <v>0</v>
      </c>
      <c r="CC13" s="4074" t="e">
        <f t="shared" si="52"/>
        <v>#DIV/0!</v>
      </c>
      <c r="CD13" s="1055"/>
      <c r="CE13" s="3341"/>
      <c r="CF13" s="3341"/>
      <c r="CG13" s="3349">
        <f t="shared" si="38"/>
        <v>0</v>
      </c>
      <c r="CH13" s="4074" t="e">
        <f t="shared" si="53"/>
        <v>#DIV/0!</v>
      </c>
      <c r="CI13" s="1055"/>
      <c r="CJ13" s="3341">
        <f t="shared" si="54"/>
        <v>0</v>
      </c>
      <c r="CK13" s="3341">
        <f t="shared" si="54"/>
        <v>0</v>
      </c>
      <c r="CL13" s="3349">
        <f t="shared" si="55"/>
        <v>0</v>
      </c>
      <c r="CM13" s="4074">
        <f t="shared" si="39"/>
        <v>0</v>
      </c>
      <c r="CN13" s="1434"/>
      <c r="CP13" s="4159"/>
      <c r="CQ13" s="2012">
        <f t="shared" si="40"/>
        <v>0</v>
      </c>
      <c r="CR13" s="4161">
        <f t="shared" si="56"/>
        <v>0</v>
      </c>
      <c r="CT13" s="2624"/>
    </row>
    <row r="14" spans="1:99" s="1396" customFormat="1" ht="13.8" outlineLevel="2">
      <c r="A14" s="1571"/>
      <c r="B14" s="1424" t="s">
        <v>70</v>
      </c>
      <c r="C14" s="3341"/>
      <c r="D14" s="3341"/>
      <c r="E14" s="3349">
        <f t="shared" si="19"/>
        <v>0</v>
      </c>
      <c r="F14" s="4074" t="e">
        <f t="shared" si="16"/>
        <v>#DIV/0!</v>
      </c>
      <c r="G14" s="1055"/>
      <c r="H14" s="3341"/>
      <c r="I14" s="3341"/>
      <c r="J14" s="3349">
        <f t="shared" si="20"/>
        <v>0</v>
      </c>
      <c r="K14" s="4074" t="e">
        <f t="shared" si="41"/>
        <v>#DIV/0!</v>
      </c>
      <c r="L14" s="1055"/>
      <c r="M14" s="3341"/>
      <c r="N14" s="3341"/>
      <c r="O14" s="3349">
        <f t="shared" si="21"/>
        <v>0</v>
      </c>
      <c r="P14" s="4074" t="e">
        <f t="shared" si="22"/>
        <v>#DIV/0!</v>
      </c>
      <c r="Q14" s="1055"/>
      <c r="R14" s="3342">
        <f t="shared" si="23"/>
        <v>0</v>
      </c>
      <c r="S14" s="3342">
        <f t="shared" si="23"/>
        <v>0</v>
      </c>
      <c r="T14" s="2012">
        <f t="shared" si="24"/>
        <v>0</v>
      </c>
      <c r="U14" s="1055"/>
      <c r="V14" s="1055"/>
      <c r="W14" s="3342">
        <f t="shared" si="25"/>
        <v>0</v>
      </c>
      <c r="X14" s="3342">
        <f t="shared" si="25"/>
        <v>0</v>
      </c>
      <c r="Y14" s="2012">
        <f t="shared" si="26"/>
        <v>0</v>
      </c>
      <c r="Z14" s="1055"/>
      <c r="AA14" s="1055"/>
      <c r="AB14" s="3341"/>
      <c r="AC14" s="3341"/>
      <c r="AD14" s="3349">
        <f t="shared" si="27"/>
        <v>0</v>
      </c>
      <c r="AE14" s="4074">
        <f t="shared" si="42"/>
        <v>0</v>
      </c>
      <c r="AF14" s="1055"/>
      <c r="AG14" s="3341"/>
      <c r="AH14" s="3341"/>
      <c r="AI14" s="3349">
        <f t="shared" si="28"/>
        <v>0</v>
      </c>
      <c r="AJ14" s="4074">
        <f t="shared" si="43"/>
        <v>0</v>
      </c>
      <c r="AK14" s="1055"/>
      <c r="AL14" s="3341"/>
      <c r="AM14" s="3341"/>
      <c r="AN14" s="3349">
        <f t="shared" si="29"/>
        <v>0</v>
      </c>
      <c r="AO14" s="4074" t="e">
        <f t="shared" si="44"/>
        <v>#DIV/0!</v>
      </c>
      <c r="AP14" s="1055"/>
      <c r="AQ14" s="3341"/>
      <c r="AR14" s="3341"/>
      <c r="AS14" s="3349">
        <f t="shared" si="30"/>
        <v>0</v>
      </c>
      <c r="AT14" s="4074" t="e">
        <f t="shared" si="45"/>
        <v>#DIV/0!</v>
      </c>
      <c r="AU14" s="1055"/>
      <c r="AV14" s="3341"/>
      <c r="AW14" s="3341"/>
      <c r="AX14" s="3349">
        <f t="shared" si="31"/>
        <v>0</v>
      </c>
      <c r="AY14" s="4074" t="e">
        <f t="shared" si="46"/>
        <v>#DIV/0!</v>
      </c>
      <c r="AZ14" s="1055"/>
      <c r="BA14" s="3341"/>
      <c r="BB14" s="3341"/>
      <c r="BC14" s="3349">
        <f t="shared" si="32"/>
        <v>0</v>
      </c>
      <c r="BD14" s="4074" t="e">
        <f t="shared" si="47"/>
        <v>#DIV/0!</v>
      </c>
      <c r="BE14" s="1055"/>
      <c r="BF14" s="3341"/>
      <c r="BG14" s="3341"/>
      <c r="BH14" s="3349">
        <f t="shared" si="33"/>
        <v>0</v>
      </c>
      <c r="BI14" s="4074" t="e">
        <f t="shared" si="48"/>
        <v>#DIV/0!</v>
      </c>
      <c r="BJ14" s="1055"/>
      <c r="BK14" s="3341"/>
      <c r="BL14" s="3341"/>
      <c r="BM14" s="3349">
        <f t="shared" si="34"/>
        <v>0</v>
      </c>
      <c r="BN14" s="4074" t="e">
        <f t="shared" si="49"/>
        <v>#DIV/0!</v>
      </c>
      <c r="BO14" s="1055"/>
      <c r="BP14" s="3341"/>
      <c r="BQ14" s="3341"/>
      <c r="BR14" s="3349">
        <f t="shared" si="35"/>
        <v>0</v>
      </c>
      <c r="BS14" s="4074" t="e">
        <f t="shared" si="50"/>
        <v>#DIV/0!</v>
      </c>
      <c r="BT14" s="1055"/>
      <c r="BU14" s="3341"/>
      <c r="BV14" s="3341"/>
      <c r="BW14" s="3349">
        <f t="shared" si="36"/>
        <v>0</v>
      </c>
      <c r="BX14" s="4074" t="e">
        <f t="shared" si="51"/>
        <v>#DIV/0!</v>
      </c>
      <c r="BY14" s="1055"/>
      <c r="BZ14" s="3341"/>
      <c r="CA14" s="3341"/>
      <c r="CB14" s="3349">
        <f t="shared" si="37"/>
        <v>0</v>
      </c>
      <c r="CC14" s="4074" t="e">
        <f t="shared" si="52"/>
        <v>#DIV/0!</v>
      </c>
      <c r="CD14" s="1055"/>
      <c r="CE14" s="3341"/>
      <c r="CF14" s="3341"/>
      <c r="CG14" s="3349">
        <f t="shared" si="38"/>
        <v>0</v>
      </c>
      <c r="CH14" s="4074" t="e">
        <f t="shared" si="53"/>
        <v>#DIV/0!</v>
      </c>
      <c r="CI14" s="1055"/>
      <c r="CJ14" s="3341">
        <f t="shared" si="54"/>
        <v>0</v>
      </c>
      <c r="CK14" s="3341">
        <f t="shared" si="54"/>
        <v>0</v>
      </c>
      <c r="CL14" s="3349">
        <f t="shared" si="55"/>
        <v>0</v>
      </c>
      <c r="CM14" s="4074">
        <f t="shared" si="39"/>
        <v>0</v>
      </c>
      <c r="CN14" s="1434"/>
      <c r="CP14" s="4159"/>
      <c r="CQ14" s="2012">
        <f t="shared" si="40"/>
        <v>0</v>
      </c>
      <c r="CR14" s="4161">
        <f t="shared" si="56"/>
        <v>0</v>
      </c>
      <c r="CT14" s="2624"/>
    </row>
    <row r="15" spans="1:99" s="1396" customFormat="1" ht="13.8" outlineLevel="2">
      <c r="A15" s="1571"/>
      <c r="B15" s="4075" t="s">
        <v>20</v>
      </c>
      <c r="C15" s="3341"/>
      <c r="D15" s="3341"/>
      <c r="E15" s="3349">
        <f t="shared" si="19"/>
        <v>0</v>
      </c>
      <c r="F15" s="4074" t="e">
        <f t="shared" si="16"/>
        <v>#DIV/0!</v>
      </c>
      <c r="G15" s="1055"/>
      <c r="H15" s="3341"/>
      <c r="I15" s="3341"/>
      <c r="J15" s="3349">
        <f t="shared" si="20"/>
        <v>0</v>
      </c>
      <c r="K15" s="4074" t="e">
        <f t="shared" si="41"/>
        <v>#DIV/0!</v>
      </c>
      <c r="L15" s="1055"/>
      <c r="M15" s="3341"/>
      <c r="N15" s="3341"/>
      <c r="O15" s="3349">
        <f t="shared" si="21"/>
        <v>0</v>
      </c>
      <c r="P15" s="4074" t="e">
        <f t="shared" si="22"/>
        <v>#DIV/0!</v>
      </c>
      <c r="Q15" s="1055"/>
      <c r="R15" s="3342">
        <f t="shared" si="23"/>
        <v>0</v>
      </c>
      <c r="S15" s="3342">
        <f t="shared" si="23"/>
        <v>0</v>
      </c>
      <c r="T15" s="2012">
        <f t="shared" si="24"/>
        <v>0</v>
      </c>
      <c r="U15" s="1055"/>
      <c r="V15" s="1055"/>
      <c r="W15" s="3342">
        <f t="shared" si="25"/>
        <v>0</v>
      </c>
      <c r="X15" s="3342">
        <f t="shared" si="25"/>
        <v>0</v>
      </c>
      <c r="Y15" s="2012">
        <f t="shared" si="26"/>
        <v>0</v>
      </c>
      <c r="Z15" s="1055"/>
      <c r="AA15" s="1055"/>
      <c r="AB15" s="3341"/>
      <c r="AC15" s="3341"/>
      <c r="AD15" s="3349">
        <f t="shared" si="27"/>
        <v>0</v>
      </c>
      <c r="AE15" s="4074">
        <f t="shared" si="42"/>
        <v>0</v>
      </c>
      <c r="AF15" s="1055"/>
      <c r="AG15" s="3341"/>
      <c r="AH15" s="3341"/>
      <c r="AI15" s="3349">
        <f t="shared" si="28"/>
        <v>0</v>
      </c>
      <c r="AJ15" s="4074">
        <f t="shared" si="43"/>
        <v>0</v>
      </c>
      <c r="AK15" s="1055"/>
      <c r="AL15" s="3341"/>
      <c r="AM15" s="3341"/>
      <c r="AN15" s="3349">
        <f t="shared" si="29"/>
        <v>0</v>
      </c>
      <c r="AO15" s="4074" t="e">
        <f t="shared" si="44"/>
        <v>#DIV/0!</v>
      </c>
      <c r="AP15" s="1055"/>
      <c r="AQ15" s="3341"/>
      <c r="AR15" s="3341"/>
      <c r="AS15" s="3349">
        <f t="shared" si="30"/>
        <v>0</v>
      </c>
      <c r="AT15" s="4074" t="e">
        <f t="shared" si="45"/>
        <v>#DIV/0!</v>
      </c>
      <c r="AU15" s="1055"/>
      <c r="AV15" s="3341"/>
      <c r="AW15" s="3341"/>
      <c r="AX15" s="3349">
        <f t="shared" si="31"/>
        <v>0</v>
      </c>
      <c r="AY15" s="4074" t="e">
        <f t="shared" si="46"/>
        <v>#DIV/0!</v>
      </c>
      <c r="AZ15" s="1055"/>
      <c r="BA15" s="3341"/>
      <c r="BB15" s="3341"/>
      <c r="BC15" s="3349">
        <f t="shared" si="32"/>
        <v>0</v>
      </c>
      <c r="BD15" s="4074" t="e">
        <f t="shared" si="47"/>
        <v>#DIV/0!</v>
      </c>
      <c r="BE15" s="1055"/>
      <c r="BF15" s="3341"/>
      <c r="BG15" s="3341"/>
      <c r="BH15" s="3349">
        <f t="shared" si="33"/>
        <v>0</v>
      </c>
      <c r="BI15" s="4074" t="e">
        <f t="shared" si="48"/>
        <v>#DIV/0!</v>
      </c>
      <c r="BJ15" s="1055"/>
      <c r="BK15" s="3341"/>
      <c r="BL15" s="3341"/>
      <c r="BM15" s="3349">
        <f t="shared" si="34"/>
        <v>0</v>
      </c>
      <c r="BN15" s="4074" t="e">
        <f t="shared" si="49"/>
        <v>#DIV/0!</v>
      </c>
      <c r="BO15" s="1055"/>
      <c r="BP15" s="3341"/>
      <c r="BQ15" s="3341"/>
      <c r="BR15" s="3349">
        <f t="shared" si="35"/>
        <v>0</v>
      </c>
      <c r="BS15" s="4074" t="e">
        <f t="shared" si="50"/>
        <v>#DIV/0!</v>
      </c>
      <c r="BT15" s="1055"/>
      <c r="BU15" s="3341"/>
      <c r="BV15" s="3341"/>
      <c r="BW15" s="3349">
        <f t="shared" si="36"/>
        <v>0</v>
      </c>
      <c r="BX15" s="4074" t="e">
        <f t="shared" si="51"/>
        <v>#DIV/0!</v>
      </c>
      <c r="BY15" s="1055"/>
      <c r="BZ15" s="3341"/>
      <c r="CA15" s="3341"/>
      <c r="CB15" s="3349">
        <f t="shared" si="37"/>
        <v>0</v>
      </c>
      <c r="CC15" s="4074" t="e">
        <f t="shared" si="52"/>
        <v>#DIV/0!</v>
      </c>
      <c r="CD15" s="1055"/>
      <c r="CE15" s="3341"/>
      <c r="CF15" s="3341"/>
      <c r="CG15" s="3349">
        <f t="shared" si="38"/>
        <v>0</v>
      </c>
      <c r="CH15" s="4074" t="e">
        <f t="shared" si="53"/>
        <v>#DIV/0!</v>
      </c>
      <c r="CI15" s="1055"/>
      <c r="CJ15" s="3341">
        <f t="shared" si="54"/>
        <v>0</v>
      </c>
      <c r="CK15" s="3341">
        <f t="shared" si="54"/>
        <v>0</v>
      </c>
      <c r="CL15" s="3349">
        <f t="shared" si="55"/>
        <v>0</v>
      </c>
      <c r="CM15" s="4074">
        <f t="shared" si="39"/>
        <v>0</v>
      </c>
      <c r="CN15" s="1434"/>
      <c r="CP15" s="4159"/>
      <c r="CQ15" s="2012">
        <f t="shared" si="40"/>
        <v>0</v>
      </c>
      <c r="CR15" s="4161">
        <f t="shared" si="56"/>
        <v>0</v>
      </c>
      <c r="CT15" s="2624"/>
    </row>
    <row r="16" spans="1:99" s="1396" customFormat="1" ht="13.8" outlineLevel="2">
      <c r="A16" s="1571"/>
      <c r="B16" s="4075" t="s">
        <v>21</v>
      </c>
      <c r="C16" s="3341"/>
      <c r="D16" s="3341"/>
      <c r="E16" s="3349">
        <f t="shared" si="19"/>
        <v>0</v>
      </c>
      <c r="F16" s="4074" t="e">
        <f t="shared" si="16"/>
        <v>#DIV/0!</v>
      </c>
      <c r="G16" s="1055"/>
      <c r="H16" s="3341"/>
      <c r="I16" s="3341"/>
      <c r="J16" s="3349">
        <f t="shared" si="20"/>
        <v>0</v>
      </c>
      <c r="K16" s="4074" t="e">
        <f t="shared" si="41"/>
        <v>#DIV/0!</v>
      </c>
      <c r="L16" s="1055"/>
      <c r="M16" s="3341"/>
      <c r="N16" s="3341"/>
      <c r="O16" s="3349">
        <f t="shared" si="21"/>
        <v>0</v>
      </c>
      <c r="P16" s="4074" t="e">
        <f t="shared" si="22"/>
        <v>#DIV/0!</v>
      </c>
      <c r="Q16" s="1055"/>
      <c r="R16" s="3342">
        <f t="shared" si="23"/>
        <v>0</v>
      </c>
      <c r="S16" s="3342">
        <f t="shared" si="23"/>
        <v>0</v>
      </c>
      <c r="T16" s="2012">
        <f t="shared" si="24"/>
        <v>0</v>
      </c>
      <c r="U16" s="1055"/>
      <c r="V16" s="1055"/>
      <c r="W16" s="3342">
        <f t="shared" si="25"/>
        <v>0</v>
      </c>
      <c r="X16" s="3342">
        <f t="shared" si="25"/>
        <v>0</v>
      </c>
      <c r="Y16" s="2012">
        <f t="shared" si="26"/>
        <v>0</v>
      </c>
      <c r="Z16" s="1055"/>
      <c r="AA16" s="1055"/>
      <c r="AB16" s="3341"/>
      <c r="AC16" s="3341"/>
      <c r="AD16" s="3349">
        <f t="shared" si="27"/>
        <v>0</v>
      </c>
      <c r="AE16" s="4074">
        <f t="shared" si="42"/>
        <v>0</v>
      </c>
      <c r="AF16" s="1055"/>
      <c r="AG16" s="3341"/>
      <c r="AH16" s="3341"/>
      <c r="AI16" s="3349">
        <f t="shared" si="28"/>
        <v>0</v>
      </c>
      <c r="AJ16" s="4074">
        <f t="shared" si="43"/>
        <v>0</v>
      </c>
      <c r="AK16" s="1055"/>
      <c r="AL16" s="3341"/>
      <c r="AM16" s="3341"/>
      <c r="AN16" s="3349">
        <f t="shared" si="29"/>
        <v>0</v>
      </c>
      <c r="AO16" s="4074" t="e">
        <f t="shared" si="44"/>
        <v>#DIV/0!</v>
      </c>
      <c r="AP16" s="1055"/>
      <c r="AQ16" s="3341"/>
      <c r="AR16" s="3341"/>
      <c r="AS16" s="3349">
        <f t="shared" si="30"/>
        <v>0</v>
      </c>
      <c r="AT16" s="4074" t="e">
        <f t="shared" si="45"/>
        <v>#DIV/0!</v>
      </c>
      <c r="AU16" s="1055"/>
      <c r="AV16" s="3341"/>
      <c r="AW16" s="3341"/>
      <c r="AX16" s="3349">
        <f t="shared" si="31"/>
        <v>0</v>
      </c>
      <c r="AY16" s="4074" t="e">
        <f t="shared" si="46"/>
        <v>#DIV/0!</v>
      </c>
      <c r="AZ16" s="1055"/>
      <c r="BA16" s="3341"/>
      <c r="BB16" s="3341"/>
      <c r="BC16" s="3349">
        <f t="shared" si="32"/>
        <v>0</v>
      </c>
      <c r="BD16" s="4074" t="e">
        <f t="shared" si="47"/>
        <v>#DIV/0!</v>
      </c>
      <c r="BE16" s="1055"/>
      <c r="BF16" s="3341"/>
      <c r="BG16" s="3341"/>
      <c r="BH16" s="3349">
        <f t="shared" si="33"/>
        <v>0</v>
      </c>
      <c r="BI16" s="4074" t="e">
        <f t="shared" si="48"/>
        <v>#DIV/0!</v>
      </c>
      <c r="BJ16" s="1055"/>
      <c r="BK16" s="3341"/>
      <c r="BL16" s="3341"/>
      <c r="BM16" s="3349">
        <f t="shared" si="34"/>
        <v>0</v>
      </c>
      <c r="BN16" s="4074" t="e">
        <f t="shared" si="49"/>
        <v>#DIV/0!</v>
      </c>
      <c r="BO16" s="1055"/>
      <c r="BP16" s="3341"/>
      <c r="BQ16" s="3341"/>
      <c r="BR16" s="3349">
        <f t="shared" si="35"/>
        <v>0</v>
      </c>
      <c r="BS16" s="4074" t="e">
        <f t="shared" si="50"/>
        <v>#DIV/0!</v>
      </c>
      <c r="BT16" s="1055"/>
      <c r="BU16" s="3341"/>
      <c r="BV16" s="3341"/>
      <c r="BW16" s="3349">
        <f t="shared" si="36"/>
        <v>0</v>
      </c>
      <c r="BX16" s="4074" t="e">
        <f t="shared" si="51"/>
        <v>#DIV/0!</v>
      </c>
      <c r="BY16" s="1055"/>
      <c r="BZ16" s="3341"/>
      <c r="CA16" s="3341"/>
      <c r="CB16" s="3349">
        <f t="shared" si="37"/>
        <v>0</v>
      </c>
      <c r="CC16" s="4074" t="e">
        <f t="shared" si="52"/>
        <v>#DIV/0!</v>
      </c>
      <c r="CD16" s="1055"/>
      <c r="CE16" s="3341"/>
      <c r="CF16" s="3341"/>
      <c r="CG16" s="3349">
        <f t="shared" si="38"/>
        <v>0</v>
      </c>
      <c r="CH16" s="4074" t="e">
        <f t="shared" si="53"/>
        <v>#DIV/0!</v>
      </c>
      <c r="CI16" s="1055"/>
      <c r="CJ16" s="3341">
        <f t="shared" si="54"/>
        <v>0</v>
      </c>
      <c r="CK16" s="3341">
        <f t="shared" si="54"/>
        <v>0</v>
      </c>
      <c r="CL16" s="3349">
        <f>CJ16+CK16*1</f>
        <v>0</v>
      </c>
      <c r="CM16" s="4074">
        <f t="shared" si="39"/>
        <v>0</v>
      </c>
      <c r="CN16" s="1434"/>
      <c r="CP16" s="4159"/>
      <c r="CQ16" s="2012">
        <f t="shared" si="40"/>
        <v>0</v>
      </c>
      <c r="CR16" s="4161">
        <f t="shared" si="56"/>
        <v>0</v>
      </c>
      <c r="CT16" s="2624"/>
    </row>
    <row r="17" spans="1:100" s="1396" customFormat="1" ht="13.8" outlineLevel="2">
      <c r="A17" s="1571"/>
      <c r="B17" s="4075" t="s">
        <v>22</v>
      </c>
      <c r="C17" s="3341"/>
      <c r="D17" s="3341"/>
      <c r="E17" s="3349">
        <f t="shared" si="19"/>
        <v>0</v>
      </c>
      <c r="F17" s="4074" t="e">
        <f t="shared" si="16"/>
        <v>#DIV/0!</v>
      </c>
      <c r="G17" s="2047"/>
      <c r="H17" s="3341"/>
      <c r="I17" s="3341"/>
      <c r="J17" s="3349">
        <f t="shared" si="20"/>
        <v>0</v>
      </c>
      <c r="K17" s="4074" t="e">
        <f t="shared" si="41"/>
        <v>#DIV/0!</v>
      </c>
      <c r="L17" s="2047"/>
      <c r="M17" s="3341"/>
      <c r="N17" s="3341"/>
      <c r="O17" s="3349">
        <f t="shared" si="21"/>
        <v>0</v>
      </c>
      <c r="P17" s="4074" t="e">
        <f t="shared" si="22"/>
        <v>#DIV/0!</v>
      </c>
      <c r="Q17" s="2047"/>
      <c r="R17" s="3342">
        <f t="shared" si="23"/>
        <v>0</v>
      </c>
      <c r="S17" s="3342">
        <f t="shared" si="23"/>
        <v>0</v>
      </c>
      <c r="T17" s="2012">
        <f t="shared" si="24"/>
        <v>0</v>
      </c>
      <c r="U17" s="2047"/>
      <c r="V17" s="2047"/>
      <c r="W17" s="3342">
        <f t="shared" si="25"/>
        <v>0</v>
      </c>
      <c r="X17" s="3342">
        <f t="shared" si="25"/>
        <v>0</v>
      </c>
      <c r="Y17" s="2012">
        <f t="shared" si="26"/>
        <v>0</v>
      </c>
      <c r="Z17" s="2047"/>
      <c r="AA17" s="2047"/>
      <c r="AB17" s="3341"/>
      <c r="AC17" s="3341"/>
      <c r="AD17" s="3349">
        <f t="shared" si="27"/>
        <v>0</v>
      </c>
      <c r="AE17" s="4074">
        <f t="shared" si="42"/>
        <v>0</v>
      </c>
      <c r="AF17" s="2047"/>
      <c r="AG17" s="3341"/>
      <c r="AH17" s="3341"/>
      <c r="AI17" s="3349">
        <f t="shared" si="28"/>
        <v>0</v>
      </c>
      <c r="AJ17" s="4074">
        <f t="shared" si="43"/>
        <v>0</v>
      </c>
      <c r="AK17" s="2047"/>
      <c r="AL17" s="3341"/>
      <c r="AM17" s="3341"/>
      <c r="AN17" s="3349">
        <f t="shared" si="29"/>
        <v>0</v>
      </c>
      <c r="AO17" s="4074" t="e">
        <f t="shared" si="44"/>
        <v>#DIV/0!</v>
      </c>
      <c r="AP17" s="2047"/>
      <c r="AQ17" s="3341"/>
      <c r="AR17" s="3341"/>
      <c r="AS17" s="3349">
        <f t="shared" si="30"/>
        <v>0</v>
      </c>
      <c r="AT17" s="4074" t="e">
        <f t="shared" si="45"/>
        <v>#DIV/0!</v>
      </c>
      <c r="AU17" s="2047"/>
      <c r="AV17" s="3341"/>
      <c r="AW17" s="3341"/>
      <c r="AX17" s="3349">
        <f t="shared" si="31"/>
        <v>0</v>
      </c>
      <c r="AY17" s="4074" t="e">
        <f t="shared" si="46"/>
        <v>#DIV/0!</v>
      </c>
      <c r="AZ17" s="2047"/>
      <c r="BA17" s="3341"/>
      <c r="BB17" s="3341"/>
      <c r="BC17" s="3349">
        <f t="shared" si="32"/>
        <v>0</v>
      </c>
      <c r="BD17" s="4074" t="e">
        <f t="shared" si="47"/>
        <v>#DIV/0!</v>
      </c>
      <c r="BE17" s="2047"/>
      <c r="BF17" s="3341"/>
      <c r="BG17" s="3341"/>
      <c r="BH17" s="3349">
        <f t="shared" si="33"/>
        <v>0</v>
      </c>
      <c r="BI17" s="4074" t="e">
        <f t="shared" si="48"/>
        <v>#DIV/0!</v>
      </c>
      <c r="BJ17" s="2047"/>
      <c r="BK17" s="3341"/>
      <c r="BL17" s="3341"/>
      <c r="BM17" s="3349">
        <f t="shared" si="34"/>
        <v>0</v>
      </c>
      <c r="BN17" s="4074" t="e">
        <f t="shared" si="49"/>
        <v>#DIV/0!</v>
      </c>
      <c r="BO17" s="2047"/>
      <c r="BP17" s="3341"/>
      <c r="BQ17" s="3341"/>
      <c r="BR17" s="3349">
        <f t="shared" si="35"/>
        <v>0</v>
      </c>
      <c r="BS17" s="4074" t="e">
        <f t="shared" si="50"/>
        <v>#DIV/0!</v>
      </c>
      <c r="BT17" s="2047"/>
      <c r="BU17" s="3341"/>
      <c r="BV17" s="3341"/>
      <c r="BW17" s="3349">
        <f t="shared" si="36"/>
        <v>0</v>
      </c>
      <c r="BX17" s="4074" t="e">
        <f t="shared" si="51"/>
        <v>#DIV/0!</v>
      </c>
      <c r="BY17" s="2047"/>
      <c r="BZ17" s="3341"/>
      <c r="CA17" s="3341"/>
      <c r="CB17" s="3349">
        <f t="shared" si="37"/>
        <v>0</v>
      </c>
      <c r="CC17" s="4074" t="e">
        <f t="shared" si="52"/>
        <v>#DIV/0!</v>
      </c>
      <c r="CD17" s="2047"/>
      <c r="CE17" s="3341"/>
      <c r="CF17" s="3341"/>
      <c r="CG17" s="3349">
        <f t="shared" si="38"/>
        <v>0</v>
      </c>
      <c r="CH17" s="4074" t="e">
        <f t="shared" si="53"/>
        <v>#DIV/0!</v>
      </c>
      <c r="CI17" s="2047"/>
      <c r="CJ17" s="3341">
        <f t="shared" si="54"/>
        <v>0</v>
      </c>
      <c r="CK17" s="3341">
        <f t="shared" si="54"/>
        <v>0</v>
      </c>
      <c r="CL17" s="3349">
        <f t="shared" si="55"/>
        <v>0</v>
      </c>
      <c r="CM17" s="4074">
        <f t="shared" si="39"/>
        <v>0</v>
      </c>
      <c r="CN17" s="1434"/>
      <c r="CP17" s="4159"/>
      <c r="CQ17" s="2012">
        <f t="shared" si="40"/>
        <v>0</v>
      </c>
      <c r="CR17" s="4161">
        <f t="shared" si="56"/>
        <v>0</v>
      </c>
      <c r="CS17" s="3307"/>
      <c r="CT17" s="3443"/>
    </row>
    <row r="18" spans="1:100" s="1396" customFormat="1" ht="13.8" outlineLevel="2">
      <c r="A18" s="1571"/>
      <c r="B18" s="4075" t="s">
        <v>0</v>
      </c>
      <c r="C18" s="3341"/>
      <c r="D18" s="3341"/>
      <c r="E18" s="3349">
        <f t="shared" si="19"/>
        <v>0</v>
      </c>
      <c r="F18" s="4074" t="e">
        <f t="shared" si="16"/>
        <v>#DIV/0!</v>
      </c>
      <c r="G18" s="1055"/>
      <c r="H18" s="3341"/>
      <c r="I18" s="3341"/>
      <c r="J18" s="3349">
        <f t="shared" si="20"/>
        <v>0</v>
      </c>
      <c r="K18" s="4074" t="e">
        <f t="shared" si="41"/>
        <v>#DIV/0!</v>
      </c>
      <c r="L18" s="1055"/>
      <c r="M18" s="3341"/>
      <c r="N18" s="3341"/>
      <c r="O18" s="3349">
        <f t="shared" si="21"/>
        <v>0</v>
      </c>
      <c r="P18" s="4074" t="e">
        <f t="shared" si="22"/>
        <v>#DIV/0!</v>
      </c>
      <c r="Q18" s="1055"/>
      <c r="R18" s="3342">
        <f t="shared" si="23"/>
        <v>0</v>
      </c>
      <c r="S18" s="3342">
        <f t="shared" si="23"/>
        <v>0</v>
      </c>
      <c r="T18" s="2012">
        <f t="shared" si="24"/>
        <v>0</v>
      </c>
      <c r="U18" s="1055"/>
      <c r="V18" s="1055"/>
      <c r="W18" s="3342">
        <f t="shared" si="25"/>
        <v>0</v>
      </c>
      <c r="X18" s="3342">
        <f t="shared" si="25"/>
        <v>0</v>
      </c>
      <c r="Y18" s="2012">
        <f t="shared" si="26"/>
        <v>0</v>
      </c>
      <c r="Z18" s="1055"/>
      <c r="AA18" s="1055"/>
      <c r="AB18" s="3341"/>
      <c r="AC18" s="3341"/>
      <c r="AD18" s="3349">
        <f t="shared" si="27"/>
        <v>0</v>
      </c>
      <c r="AE18" s="4074">
        <f t="shared" si="42"/>
        <v>0</v>
      </c>
      <c r="AF18" s="1055"/>
      <c r="AG18" s="3341"/>
      <c r="AH18" s="3341"/>
      <c r="AI18" s="3349">
        <f t="shared" si="28"/>
        <v>0</v>
      </c>
      <c r="AJ18" s="4074">
        <f t="shared" si="43"/>
        <v>0</v>
      </c>
      <c r="AK18" s="1055"/>
      <c r="AL18" s="3341"/>
      <c r="AM18" s="3341"/>
      <c r="AN18" s="3349">
        <f t="shared" si="29"/>
        <v>0</v>
      </c>
      <c r="AO18" s="4074" t="e">
        <f t="shared" si="44"/>
        <v>#DIV/0!</v>
      </c>
      <c r="AP18" s="1055"/>
      <c r="AQ18" s="3341"/>
      <c r="AR18" s="3341"/>
      <c r="AS18" s="3349">
        <f t="shared" si="30"/>
        <v>0</v>
      </c>
      <c r="AT18" s="4074" t="e">
        <f t="shared" si="45"/>
        <v>#DIV/0!</v>
      </c>
      <c r="AU18" s="1055"/>
      <c r="AV18" s="3341"/>
      <c r="AW18" s="3341"/>
      <c r="AX18" s="3349">
        <f t="shared" si="31"/>
        <v>0</v>
      </c>
      <c r="AY18" s="4074" t="e">
        <f t="shared" si="46"/>
        <v>#DIV/0!</v>
      </c>
      <c r="AZ18" s="1055"/>
      <c r="BA18" s="3341"/>
      <c r="BB18" s="3341"/>
      <c r="BC18" s="3349">
        <f t="shared" si="32"/>
        <v>0</v>
      </c>
      <c r="BD18" s="4074" t="e">
        <f t="shared" si="47"/>
        <v>#DIV/0!</v>
      </c>
      <c r="BE18" s="1055"/>
      <c r="BF18" s="3341"/>
      <c r="BG18" s="3341"/>
      <c r="BH18" s="3349">
        <f t="shared" si="33"/>
        <v>0</v>
      </c>
      <c r="BI18" s="4074" t="e">
        <f t="shared" si="48"/>
        <v>#DIV/0!</v>
      </c>
      <c r="BJ18" s="1055"/>
      <c r="BK18" s="3341"/>
      <c r="BL18" s="3341"/>
      <c r="BM18" s="3349">
        <f t="shared" si="34"/>
        <v>0</v>
      </c>
      <c r="BN18" s="4074" t="e">
        <f t="shared" si="49"/>
        <v>#DIV/0!</v>
      </c>
      <c r="BO18" s="1055"/>
      <c r="BP18" s="3341"/>
      <c r="BQ18" s="3341"/>
      <c r="BR18" s="3349">
        <f t="shared" si="35"/>
        <v>0</v>
      </c>
      <c r="BS18" s="4074" t="e">
        <f t="shared" si="50"/>
        <v>#DIV/0!</v>
      </c>
      <c r="BT18" s="1055"/>
      <c r="BU18" s="3341"/>
      <c r="BV18" s="3341"/>
      <c r="BW18" s="3349">
        <f t="shared" si="36"/>
        <v>0</v>
      </c>
      <c r="BX18" s="4074" t="e">
        <f t="shared" si="51"/>
        <v>#DIV/0!</v>
      </c>
      <c r="BY18" s="1055"/>
      <c r="BZ18" s="3341"/>
      <c r="CA18" s="3341"/>
      <c r="CB18" s="3349">
        <f t="shared" si="37"/>
        <v>0</v>
      </c>
      <c r="CC18" s="4074" t="e">
        <f t="shared" si="52"/>
        <v>#DIV/0!</v>
      </c>
      <c r="CD18" s="1055"/>
      <c r="CE18" s="3341"/>
      <c r="CF18" s="3341"/>
      <c r="CG18" s="3349">
        <f t="shared" si="38"/>
        <v>0</v>
      </c>
      <c r="CH18" s="4074" t="e">
        <f t="shared" si="53"/>
        <v>#DIV/0!</v>
      </c>
      <c r="CI18" s="1055"/>
      <c r="CJ18" s="3341">
        <f>C18+H18+M18+W18</f>
        <v>0</v>
      </c>
      <c r="CK18" s="3341">
        <f>D18+I18+N18+X18+8500</f>
        <v>8500</v>
      </c>
      <c r="CL18" s="3349">
        <f t="shared" si="55"/>
        <v>8500</v>
      </c>
      <c r="CM18" s="4074">
        <f t="shared" si="39"/>
        <v>2.5284104543240059E-2</v>
      </c>
      <c r="CN18" s="1434"/>
      <c r="CP18" s="4159">
        <v>9775</v>
      </c>
      <c r="CQ18" s="2012">
        <f t="shared" si="40"/>
        <v>8500</v>
      </c>
      <c r="CR18" s="4161">
        <f t="shared" si="56"/>
        <v>1275</v>
      </c>
      <c r="CT18" s="2624"/>
    </row>
    <row r="19" spans="1:100" s="1396" customFormat="1" ht="13.8" outlineLevel="2">
      <c r="A19" s="1571"/>
      <c r="B19" s="4075" t="s">
        <v>53</v>
      </c>
      <c r="C19" s="3341"/>
      <c r="D19" s="3341"/>
      <c r="E19" s="3349">
        <f t="shared" si="19"/>
        <v>0</v>
      </c>
      <c r="F19" s="4074" t="e">
        <f t="shared" si="16"/>
        <v>#DIV/0!</v>
      </c>
      <c r="G19" s="1055"/>
      <c r="H19" s="3341"/>
      <c r="I19" s="3341"/>
      <c r="J19" s="3349">
        <f t="shared" si="20"/>
        <v>0</v>
      </c>
      <c r="K19" s="4074" t="e">
        <f t="shared" si="41"/>
        <v>#DIV/0!</v>
      </c>
      <c r="L19" s="1055"/>
      <c r="M19" s="3341"/>
      <c r="N19" s="3341"/>
      <c r="O19" s="3349">
        <f t="shared" si="21"/>
        <v>0</v>
      </c>
      <c r="P19" s="4074" t="e">
        <f t="shared" si="22"/>
        <v>#DIV/0!</v>
      </c>
      <c r="Q19" s="1055"/>
      <c r="R19" s="3342">
        <f t="shared" si="23"/>
        <v>0</v>
      </c>
      <c r="S19" s="3342">
        <f t="shared" si="23"/>
        <v>0</v>
      </c>
      <c r="T19" s="2012">
        <f t="shared" si="24"/>
        <v>0</v>
      </c>
      <c r="U19" s="1055"/>
      <c r="V19" s="1055"/>
      <c r="W19" s="3342">
        <f t="shared" si="25"/>
        <v>0</v>
      </c>
      <c r="X19" s="3342">
        <f t="shared" si="25"/>
        <v>0</v>
      </c>
      <c r="Y19" s="2012">
        <f t="shared" si="26"/>
        <v>0</v>
      </c>
      <c r="Z19" s="1055"/>
      <c r="AA19" s="1055"/>
      <c r="AB19" s="3341"/>
      <c r="AC19" s="3341"/>
      <c r="AD19" s="3349">
        <f t="shared" si="27"/>
        <v>0</v>
      </c>
      <c r="AE19" s="4074">
        <f t="shared" si="42"/>
        <v>0</v>
      </c>
      <c r="AF19" s="1055"/>
      <c r="AG19" s="3341"/>
      <c r="AH19" s="3341"/>
      <c r="AI19" s="3349">
        <f t="shared" si="28"/>
        <v>0</v>
      </c>
      <c r="AJ19" s="4074">
        <f t="shared" si="43"/>
        <v>0</v>
      </c>
      <c r="AK19" s="1055"/>
      <c r="AL19" s="3341"/>
      <c r="AM19" s="3341"/>
      <c r="AN19" s="3349">
        <f t="shared" si="29"/>
        <v>0</v>
      </c>
      <c r="AO19" s="4074" t="e">
        <f t="shared" si="44"/>
        <v>#DIV/0!</v>
      </c>
      <c r="AP19" s="1055"/>
      <c r="AQ19" s="3341"/>
      <c r="AR19" s="3341"/>
      <c r="AS19" s="3349">
        <f t="shared" si="30"/>
        <v>0</v>
      </c>
      <c r="AT19" s="4074" t="e">
        <f t="shared" si="45"/>
        <v>#DIV/0!</v>
      </c>
      <c r="AU19" s="1055"/>
      <c r="AV19" s="3341"/>
      <c r="AW19" s="3341"/>
      <c r="AX19" s="3349">
        <f t="shared" si="31"/>
        <v>0</v>
      </c>
      <c r="AY19" s="4074" t="e">
        <f t="shared" si="46"/>
        <v>#DIV/0!</v>
      </c>
      <c r="AZ19" s="1055"/>
      <c r="BA19" s="3341"/>
      <c r="BB19" s="3341"/>
      <c r="BC19" s="3349">
        <f t="shared" si="32"/>
        <v>0</v>
      </c>
      <c r="BD19" s="4074" t="e">
        <f t="shared" si="47"/>
        <v>#DIV/0!</v>
      </c>
      <c r="BE19" s="1055"/>
      <c r="BF19" s="3341"/>
      <c r="BG19" s="3341"/>
      <c r="BH19" s="3349">
        <f t="shared" si="33"/>
        <v>0</v>
      </c>
      <c r="BI19" s="4074" t="e">
        <f t="shared" si="48"/>
        <v>#DIV/0!</v>
      </c>
      <c r="BJ19" s="1055"/>
      <c r="BK19" s="3341"/>
      <c r="BL19" s="3341"/>
      <c r="BM19" s="3349">
        <f t="shared" si="34"/>
        <v>0</v>
      </c>
      <c r="BN19" s="4074" t="e">
        <f t="shared" si="49"/>
        <v>#DIV/0!</v>
      </c>
      <c r="BO19" s="1055"/>
      <c r="BP19" s="3341"/>
      <c r="BQ19" s="3341"/>
      <c r="BR19" s="3349">
        <f t="shared" si="35"/>
        <v>0</v>
      </c>
      <c r="BS19" s="4074" t="e">
        <f t="shared" si="50"/>
        <v>#DIV/0!</v>
      </c>
      <c r="BT19" s="1055"/>
      <c r="BU19" s="3341"/>
      <c r="BV19" s="3341"/>
      <c r="BW19" s="3349">
        <f t="shared" si="36"/>
        <v>0</v>
      </c>
      <c r="BX19" s="4074" t="e">
        <f t="shared" si="51"/>
        <v>#DIV/0!</v>
      </c>
      <c r="BY19" s="1055"/>
      <c r="BZ19" s="3341"/>
      <c r="CA19" s="3341"/>
      <c r="CB19" s="3349">
        <f t="shared" si="37"/>
        <v>0</v>
      </c>
      <c r="CC19" s="4074" t="e">
        <f t="shared" si="52"/>
        <v>#DIV/0!</v>
      </c>
      <c r="CD19" s="1055"/>
      <c r="CE19" s="3341"/>
      <c r="CF19" s="3341"/>
      <c r="CG19" s="3349">
        <f t="shared" si="38"/>
        <v>0</v>
      </c>
      <c r="CH19" s="4074" t="e">
        <f t="shared" si="53"/>
        <v>#DIV/0!</v>
      </c>
      <c r="CI19" s="1055"/>
      <c r="CJ19" s="3341">
        <f t="shared" si="54"/>
        <v>0</v>
      </c>
      <c r="CK19" s="3341">
        <f t="shared" si="54"/>
        <v>0</v>
      </c>
      <c r="CL19" s="3349">
        <f t="shared" si="55"/>
        <v>0</v>
      </c>
      <c r="CM19" s="4074">
        <f t="shared" si="39"/>
        <v>0</v>
      </c>
      <c r="CN19" s="1434"/>
      <c r="CP19" s="4159"/>
      <c r="CQ19" s="2012">
        <f t="shared" si="40"/>
        <v>0</v>
      </c>
      <c r="CR19" s="4161">
        <f t="shared" si="56"/>
        <v>0</v>
      </c>
      <c r="CT19" s="2624"/>
    </row>
    <row r="20" spans="1:100" s="1396" customFormat="1" ht="13.8" outlineLevel="2">
      <c r="A20" s="1571"/>
      <c r="B20" s="4075" t="s">
        <v>57</v>
      </c>
      <c r="C20" s="3341"/>
      <c r="D20" s="3341"/>
      <c r="E20" s="3349">
        <f t="shared" si="19"/>
        <v>0</v>
      </c>
      <c r="F20" s="4074" t="e">
        <f t="shared" si="16"/>
        <v>#DIV/0!</v>
      </c>
      <c r="G20" s="1055"/>
      <c r="H20" s="3341"/>
      <c r="I20" s="3341"/>
      <c r="J20" s="3349">
        <f t="shared" si="20"/>
        <v>0</v>
      </c>
      <c r="K20" s="4074" t="e">
        <f t="shared" si="41"/>
        <v>#DIV/0!</v>
      </c>
      <c r="L20" s="1055"/>
      <c r="M20" s="3341"/>
      <c r="N20" s="3341"/>
      <c r="O20" s="3349">
        <f t="shared" si="21"/>
        <v>0</v>
      </c>
      <c r="P20" s="4074" t="e">
        <f t="shared" si="22"/>
        <v>#DIV/0!</v>
      </c>
      <c r="Q20" s="1055"/>
      <c r="R20" s="3342">
        <f t="shared" si="23"/>
        <v>0</v>
      </c>
      <c r="S20" s="3342">
        <f t="shared" si="23"/>
        <v>0</v>
      </c>
      <c r="T20" s="2012">
        <f t="shared" si="24"/>
        <v>0</v>
      </c>
      <c r="U20" s="1055"/>
      <c r="V20" s="1055"/>
      <c r="W20" s="3342">
        <f t="shared" si="25"/>
        <v>0</v>
      </c>
      <c r="X20" s="3342">
        <f t="shared" si="25"/>
        <v>0</v>
      </c>
      <c r="Y20" s="2012">
        <f t="shared" si="26"/>
        <v>0</v>
      </c>
      <c r="Z20" s="1055"/>
      <c r="AA20" s="1055"/>
      <c r="AB20" s="3341"/>
      <c r="AC20" s="3341"/>
      <c r="AD20" s="3349">
        <f t="shared" si="27"/>
        <v>0</v>
      </c>
      <c r="AE20" s="4074">
        <f t="shared" si="42"/>
        <v>0</v>
      </c>
      <c r="AF20" s="1055"/>
      <c r="AG20" s="3341"/>
      <c r="AH20" s="3341"/>
      <c r="AI20" s="3349">
        <f t="shared" si="28"/>
        <v>0</v>
      </c>
      <c r="AJ20" s="4074">
        <f t="shared" si="43"/>
        <v>0</v>
      </c>
      <c r="AK20" s="1055"/>
      <c r="AL20" s="3341"/>
      <c r="AM20" s="3341"/>
      <c r="AN20" s="3349">
        <f t="shared" si="29"/>
        <v>0</v>
      </c>
      <c r="AO20" s="4074" t="e">
        <f t="shared" si="44"/>
        <v>#DIV/0!</v>
      </c>
      <c r="AP20" s="1055"/>
      <c r="AQ20" s="3341"/>
      <c r="AR20" s="3341"/>
      <c r="AS20" s="3349">
        <f t="shared" si="30"/>
        <v>0</v>
      </c>
      <c r="AT20" s="4074" t="e">
        <f t="shared" si="45"/>
        <v>#DIV/0!</v>
      </c>
      <c r="AU20" s="1055"/>
      <c r="AV20" s="3341"/>
      <c r="AW20" s="3341"/>
      <c r="AX20" s="3349">
        <f t="shared" si="31"/>
        <v>0</v>
      </c>
      <c r="AY20" s="4074" t="e">
        <f t="shared" si="46"/>
        <v>#DIV/0!</v>
      </c>
      <c r="AZ20" s="1055"/>
      <c r="BA20" s="3341"/>
      <c r="BB20" s="3341"/>
      <c r="BC20" s="3349">
        <f t="shared" si="32"/>
        <v>0</v>
      </c>
      <c r="BD20" s="4074" t="e">
        <f t="shared" si="47"/>
        <v>#DIV/0!</v>
      </c>
      <c r="BE20" s="1055"/>
      <c r="BF20" s="3341"/>
      <c r="BG20" s="3341"/>
      <c r="BH20" s="3349">
        <f t="shared" si="33"/>
        <v>0</v>
      </c>
      <c r="BI20" s="4074" t="e">
        <f t="shared" si="48"/>
        <v>#DIV/0!</v>
      </c>
      <c r="BJ20" s="1055"/>
      <c r="BK20" s="3341"/>
      <c r="BL20" s="3341"/>
      <c r="BM20" s="3349">
        <f t="shared" si="34"/>
        <v>0</v>
      </c>
      <c r="BN20" s="4074" t="e">
        <f t="shared" si="49"/>
        <v>#DIV/0!</v>
      </c>
      <c r="BO20" s="1055"/>
      <c r="BP20" s="3341"/>
      <c r="BQ20" s="3341"/>
      <c r="BR20" s="3349">
        <f t="shared" si="35"/>
        <v>0</v>
      </c>
      <c r="BS20" s="4074" t="e">
        <f t="shared" si="50"/>
        <v>#DIV/0!</v>
      </c>
      <c r="BT20" s="1055"/>
      <c r="BU20" s="3341"/>
      <c r="BV20" s="3341"/>
      <c r="BW20" s="3349">
        <f t="shared" si="36"/>
        <v>0</v>
      </c>
      <c r="BX20" s="4074" t="e">
        <f t="shared" si="51"/>
        <v>#DIV/0!</v>
      </c>
      <c r="BY20" s="1055"/>
      <c r="BZ20" s="3341"/>
      <c r="CA20" s="3341"/>
      <c r="CB20" s="3349">
        <f t="shared" si="37"/>
        <v>0</v>
      </c>
      <c r="CC20" s="4074" t="e">
        <f t="shared" si="52"/>
        <v>#DIV/0!</v>
      </c>
      <c r="CD20" s="1055"/>
      <c r="CE20" s="3341"/>
      <c r="CF20" s="3341"/>
      <c r="CG20" s="3349">
        <f t="shared" si="38"/>
        <v>0</v>
      </c>
      <c r="CH20" s="4074" t="e">
        <f t="shared" si="53"/>
        <v>#DIV/0!</v>
      </c>
      <c r="CI20" s="1055"/>
      <c r="CJ20" s="3341">
        <f t="shared" si="54"/>
        <v>0</v>
      </c>
      <c r="CK20" s="3341">
        <f t="shared" si="54"/>
        <v>0</v>
      </c>
      <c r="CL20" s="3349">
        <f t="shared" si="55"/>
        <v>0</v>
      </c>
      <c r="CM20" s="4074">
        <f t="shared" si="39"/>
        <v>0</v>
      </c>
      <c r="CN20" s="1434"/>
      <c r="CP20" s="4159"/>
      <c r="CQ20" s="2012">
        <f t="shared" si="40"/>
        <v>0</v>
      </c>
      <c r="CR20" s="4161">
        <f t="shared" si="56"/>
        <v>0</v>
      </c>
      <c r="CT20" s="2624"/>
    </row>
    <row r="21" spans="1:100" s="1396" customFormat="1" ht="13.8" outlineLevel="2">
      <c r="A21" s="1571"/>
      <c r="B21" s="4075" t="s">
        <v>58</v>
      </c>
      <c r="C21" s="3341"/>
      <c r="D21" s="3341"/>
      <c r="E21" s="3349">
        <f t="shared" si="19"/>
        <v>0</v>
      </c>
      <c r="F21" s="4074" t="e">
        <f t="shared" si="16"/>
        <v>#DIV/0!</v>
      </c>
      <c r="G21" s="1615"/>
      <c r="H21" s="3341"/>
      <c r="I21" s="3341"/>
      <c r="J21" s="3349">
        <f t="shared" si="20"/>
        <v>0</v>
      </c>
      <c r="K21" s="4074" t="e">
        <f t="shared" si="41"/>
        <v>#DIV/0!</v>
      </c>
      <c r="L21" s="1615"/>
      <c r="M21" s="3341"/>
      <c r="N21" s="3341"/>
      <c r="O21" s="3349">
        <f t="shared" si="21"/>
        <v>0</v>
      </c>
      <c r="P21" s="4074" t="e">
        <f t="shared" si="22"/>
        <v>#DIV/0!</v>
      </c>
      <c r="Q21" s="1615"/>
      <c r="R21" s="3342">
        <f t="shared" si="23"/>
        <v>0</v>
      </c>
      <c r="S21" s="3342">
        <f t="shared" si="23"/>
        <v>0</v>
      </c>
      <c r="T21" s="2012">
        <f t="shared" si="24"/>
        <v>0</v>
      </c>
      <c r="U21" s="1615"/>
      <c r="V21" s="1615"/>
      <c r="W21" s="3342">
        <f t="shared" si="25"/>
        <v>0</v>
      </c>
      <c r="X21" s="3342">
        <f t="shared" si="25"/>
        <v>0</v>
      </c>
      <c r="Y21" s="2012">
        <f t="shared" si="26"/>
        <v>0</v>
      </c>
      <c r="Z21" s="1615"/>
      <c r="AA21" s="1615"/>
      <c r="AB21" s="3341"/>
      <c r="AC21" s="3341"/>
      <c r="AD21" s="3349">
        <f t="shared" si="27"/>
        <v>0</v>
      </c>
      <c r="AE21" s="4074">
        <f t="shared" si="42"/>
        <v>0</v>
      </c>
      <c r="AF21" s="1615"/>
      <c r="AG21" s="3341"/>
      <c r="AH21" s="3341"/>
      <c r="AI21" s="3349">
        <f t="shared" si="28"/>
        <v>0</v>
      </c>
      <c r="AJ21" s="4074">
        <f t="shared" si="43"/>
        <v>0</v>
      </c>
      <c r="AK21" s="1615"/>
      <c r="AL21" s="3341"/>
      <c r="AM21" s="3341"/>
      <c r="AN21" s="3349">
        <f t="shared" si="29"/>
        <v>0</v>
      </c>
      <c r="AO21" s="4074" t="e">
        <f t="shared" si="44"/>
        <v>#DIV/0!</v>
      </c>
      <c r="AP21" s="1615"/>
      <c r="AQ21" s="3341"/>
      <c r="AR21" s="3341"/>
      <c r="AS21" s="3349">
        <f t="shared" si="30"/>
        <v>0</v>
      </c>
      <c r="AT21" s="4074" t="e">
        <f t="shared" si="45"/>
        <v>#DIV/0!</v>
      </c>
      <c r="AU21" s="1615"/>
      <c r="AV21" s="3341"/>
      <c r="AW21" s="3341"/>
      <c r="AX21" s="3349">
        <f t="shared" si="31"/>
        <v>0</v>
      </c>
      <c r="AY21" s="4074" t="e">
        <f t="shared" si="46"/>
        <v>#DIV/0!</v>
      </c>
      <c r="AZ21" s="1615"/>
      <c r="BA21" s="3341"/>
      <c r="BB21" s="3341"/>
      <c r="BC21" s="3349">
        <f t="shared" si="32"/>
        <v>0</v>
      </c>
      <c r="BD21" s="4074" t="e">
        <f t="shared" si="47"/>
        <v>#DIV/0!</v>
      </c>
      <c r="BE21" s="1615"/>
      <c r="BF21" s="3341"/>
      <c r="BG21" s="3341"/>
      <c r="BH21" s="3349">
        <f t="shared" si="33"/>
        <v>0</v>
      </c>
      <c r="BI21" s="4074" t="e">
        <f t="shared" si="48"/>
        <v>#DIV/0!</v>
      </c>
      <c r="BJ21" s="1615"/>
      <c r="BK21" s="3341"/>
      <c r="BL21" s="3341"/>
      <c r="BM21" s="3349">
        <f t="shared" si="34"/>
        <v>0</v>
      </c>
      <c r="BN21" s="4074" t="e">
        <f t="shared" si="49"/>
        <v>#DIV/0!</v>
      </c>
      <c r="BO21" s="1615"/>
      <c r="BP21" s="3341"/>
      <c r="BQ21" s="3341"/>
      <c r="BR21" s="3349">
        <f t="shared" si="35"/>
        <v>0</v>
      </c>
      <c r="BS21" s="4074" t="e">
        <f t="shared" si="50"/>
        <v>#DIV/0!</v>
      </c>
      <c r="BT21" s="1615"/>
      <c r="BU21" s="3341"/>
      <c r="BV21" s="3341"/>
      <c r="BW21" s="3349">
        <f t="shared" si="36"/>
        <v>0</v>
      </c>
      <c r="BX21" s="4074" t="e">
        <f t="shared" si="51"/>
        <v>#DIV/0!</v>
      </c>
      <c r="BY21" s="1615"/>
      <c r="BZ21" s="3341"/>
      <c r="CA21" s="3341"/>
      <c r="CB21" s="3349">
        <f t="shared" si="37"/>
        <v>0</v>
      </c>
      <c r="CC21" s="4074" t="e">
        <f t="shared" si="52"/>
        <v>#DIV/0!</v>
      </c>
      <c r="CD21" s="1615"/>
      <c r="CE21" s="3341"/>
      <c r="CF21" s="3341"/>
      <c r="CG21" s="3349">
        <f t="shared" si="38"/>
        <v>0</v>
      </c>
      <c r="CH21" s="4074" t="e">
        <f t="shared" si="53"/>
        <v>#DIV/0!</v>
      </c>
      <c r="CI21" s="1615"/>
      <c r="CJ21" s="3341">
        <f t="shared" si="54"/>
        <v>0</v>
      </c>
      <c r="CK21" s="3341">
        <f t="shared" si="54"/>
        <v>0</v>
      </c>
      <c r="CL21" s="3349">
        <f t="shared" si="55"/>
        <v>0</v>
      </c>
      <c r="CM21" s="4074">
        <f t="shared" si="39"/>
        <v>0</v>
      </c>
      <c r="CN21" s="1434"/>
      <c r="CP21" s="4159"/>
      <c r="CQ21" s="2012">
        <f t="shared" si="40"/>
        <v>0</v>
      </c>
      <c r="CR21" s="4161">
        <f t="shared" si="56"/>
        <v>0</v>
      </c>
      <c r="CT21" s="2624"/>
    </row>
    <row r="22" spans="1:100" s="1396" customFormat="1" ht="13.8" outlineLevel="2">
      <c r="A22" s="1571"/>
      <c r="B22" s="4075" t="s">
        <v>621</v>
      </c>
      <c r="C22" s="3341"/>
      <c r="D22" s="3341"/>
      <c r="E22" s="3349">
        <f t="shared" si="19"/>
        <v>0</v>
      </c>
      <c r="F22" s="4074" t="e">
        <f t="shared" si="16"/>
        <v>#DIV/0!</v>
      </c>
      <c r="G22" s="3342"/>
      <c r="H22" s="3341"/>
      <c r="I22" s="3341"/>
      <c r="J22" s="3349">
        <f t="shared" si="20"/>
        <v>0</v>
      </c>
      <c r="K22" s="4074" t="e">
        <f t="shared" si="41"/>
        <v>#DIV/0!</v>
      </c>
      <c r="L22" s="3342"/>
      <c r="M22" s="3341"/>
      <c r="N22" s="3341"/>
      <c r="O22" s="3349">
        <f t="shared" si="21"/>
        <v>0</v>
      </c>
      <c r="P22" s="4074" t="e">
        <f t="shared" si="22"/>
        <v>#DIV/0!</v>
      </c>
      <c r="Q22" s="3342"/>
      <c r="R22" s="3342">
        <f t="shared" si="23"/>
        <v>0</v>
      </c>
      <c r="S22" s="3342">
        <f t="shared" si="23"/>
        <v>0</v>
      </c>
      <c r="T22" s="2012">
        <f t="shared" si="24"/>
        <v>0</v>
      </c>
      <c r="U22" s="3342"/>
      <c r="V22" s="3342"/>
      <c r="W22" s="3342">
        <f t="shared" si="25"/>
        <v>0</v>
      </c>
      <c r="X22" s="3342">
        <f t="shared" si="25"/>
        <v>0</v>
      </c>
      <c r="Y22" s="2012">
        <f t="shared" si="26"/>
        <v>0</v>
      </c>
      <c r="Z22" s="3342"/>
      <c r="AA22" s="3342"/>
      <c r="AB22" s="3341"/>
      <c r="AC22" s="3341"/>
      <c r="AD22" s="3349">
        <f t="shared" si="27"/>
        <v>0</v>
      </c>
      <c r="AE22" s="4074">
        <f t="shared" si="42"/>
        <v>0</v>
      </c>
      <c r="AF22" s="3342"/>
      <c r="AG22" s="3341"/>
      <c r="AH22" s="3341"/>
      <c r="AI22" s="3349">
        <f t="shared" si="28"/>
        <v>0</v>
      </c>
      <c r="AJ22" s="4074">
        <f t="shared" si="43"/>
        <v>0</v>
      </c>
      <c r="AK22" s="3342"/>
      <c r="AL22" s="3341"/>
      <c r="AM22" s="3341"/>
      <c r="AN22" s="3349">
        <f t="shared" si="29"/>
        <v>0</v>
      </c>
      <c r="AO22" s="4074" t="e">
        <f t="shared" si="44"/>
        <v>#DIV/0!</v>
      </c>
      <c r="AP22" s="3342"/>
      <c r="AQ22" s="3341"/>
      <c r="AR22" s="3341"/>
      <c r="AS22" s="3349">
        <f t="shared" si="30"/>
        <v>0</v>
      </c>
      <c r="AT22" s="4074" t="e">
        <f t="shared" si="45"/>
        <v>#DIV/0!</v>
      </c>
      <c r="AU22" s="3342"/>
      <c r="AV22" s="3341"/>
      <c r="AW22" s="3341"/>
      <c r="AX22" s="3349">
        <f t="shared" si="31"/>
        <v>0</v>
      </c>
      <c r="AY22" s="4074" t="e">
        <f t="shared" si="46"/>
        <v>#DIV/0!</v>
      </c>
      <c r="AZ22" s="3342"/>
      <c r="BA22" s="3341"/>
      <c r="BB22" s="3341"/>
      <c r="BC22" s="3349">
        <f t="shared" si="32"/>
        <v>0</v>
      </c>
      <c r="BD22" s="4074" t="e">
        <f t="shared" si="47"/>
        <v>#DIV/0!</v>
      </c>
      <c r="BE22" s="3342"/>
      <c r="BF22" s="3341"/>
      <c r="BG22" s="3341"/>
      <c r="BH22" s="3349">
        <f t="shared" si="33"/>
        <v>0</v>
      </c>
      <c r="BI22" s="4074" t="e">
        <f t="shared" si="48"/>
        <v>#DIV/0!</v>
      </c>
      <c r="BJ22" s="3342"/>
      <c r="BK22" s="3341"/>
      <c r="BL22" s="3341"/>
      <c r="BM22" s="3349">
        <f t="shared" si="34"/>
        <v>0</v>
      </c>
      <c r="BN22" s="4074" t="e">
        <f t="shared" si="49"/>
        <v>#DIV/0!</v>
      </c>
      <c r="BO22" s="3342"/>
      <c r="BP22" s="3341"/>
      <c r="BQ22" s="3341"/>
      <c r="BR22" s="3349">
        <f t="shared" si="35"/>
        <v>0</v>
      </c>
      <c r="BS22" s="4074" t="e">
        <f t="shared" si="50"/>
        <v>#DIV/0!</v>
      </c>
      <c r="BT22" s="3342"/>
      <c r="BU22" s="3341"/>
      <c r="BV22" s="3341"/>
      <c r="BW22" s="3349">
        <f t="shared" si="36"/>
        <v>0</v>
      </c>
      <c r="BX22" s="4074" t="e">
        <f t="shared" si="51"/>
        <v>#DIV/0!</v>
      </c>
      <c r="BY22" s="3342"/>
      <c r="BZ22" s="3341"/>
      <c r="CA22" s="3341"/>
      <c r="CB22" s="3349">
        <f t="shared" si="37"/>
        <v>0</v>
      </c>
      <c r="CC22" s="4074" t="e">
        <f t="shared" si="52"/>
        <v>#DIV/0!</v>
      </c>
      <c r="CD22" s="3342"/>
      <c r="CE22" s="3341"/>
      <c r="CF22" s="3341"/>
      <c r="CG22" s="3349">
        <f t="shared" si="38"/>
        <v>0</v>
      </c>
      <c r="CH22" s="4074" t="e">
        <f t="shared" si="53"/>
        <v>#DIV/0!</v>
      </c>
      <c r="CI22" s="3342"/>
      <c r="CJ22" s="3341">
        <f t="shared" si="54"/>
        <v>0</v>
      </c>
      <c r="CK22" s="3341">
        <f t="shared" si="54"/>
        <v>0</v>
      </c>
      <c r="CL22" s="3349">
        <f t="shared" si="55"/>
        <v>0</v>
      </c>
      <c r="CM22" s="4074">
        <f t="shared" si="39"/>
        <v>0</v>
      </c>
      <c r="CN22" s="1434"/>
      <c r="CP22" s="4159"/>
      <c r="CQ22" s="2012">
        <f t="shared" si="40"/>
        <v>0</v>
      </c>
      <c r="CR22" s="4161">
        <f t="shared" si="56"/>
        <v>0</v>
      </c>
      <c r="CT22" s="3443">
        <f>CQ22</f>
        <v>0</v>
      </c>
    </row>
    <row r="23" spans="1:100" s="1396" customFormat="1" ht="13.8" outlineLevel="2">
      <c r="A23" s="1571"/>
      <c r="B23" s="4075" t="s">
        <v>630</v>
      </c>
      <c r="C23" s="3341"/>
      <c r="D23" s="3341"/>
      <c r="E23" s="3349">
        <f t="shared" si="19"/>
        <v>0</v>
      </c>
      <c r="F23" s="4074" t="e">
        <f t="shared" si="16"/>
        <v>#DIV/0!</v>
      </c>
      <c r="G23" s="1055"/>
      <c r="H23" s="3341"/>
      <c r="I23" s="3341"/>
      <c r="J23" s="3349">
        <f t="shared" si="20"/>
        <v>0</v>
      </c>
      <c r="K23" s="4074" t="e">
        <f t="shared" si="41"/>
        <v>#DIV/0!</v>
      </c>
      <c r="L23" s="1055"/>
      <c r="M23" s="3341"/>
      <c r="N23" s="3341"/>
      <c r="O23" s="3349">
        <f t="shared" si="21"/>
        <v>0</v>
      </c>
      <c r="P23" s="4074" t="e">
        <f t="shared" si="22"/>
        <v>#DIV/0!</v>
      </c>
      <c r="Q23" s="1055"/>
      <c r="R23" s="3342">
        <f t="shared" si="23"/>
        <v>0</v>
      </c>
      <c r="S23" s="3342">
        <f t="shared" si="23"/>
        <v>0</v>
      </c>
      <c r="T23" s="2012">
        <f t="shared" si="24"/>
        <v>0</v>
      </c>
      <c r="U23" s="1055"/>
      <c r="V23" s="1055"/>
      <c r="W23" s="3342">
        <f t="shared" si="25"/>
        <v>0</v>
      </c>
      <c r="X23" s="3342">
        <f t="shared" si="25"/>
        <v>0</v>
      </c>
      <c r="Y23" s="2012">
        <f t="shared" si="26"/>
        <v>0</v>
      </c>
      <c r="Z23" s="1055"/>
      <c r="AA23" s="1055"/>
      <c r="AB23" s="3341"/>
      <c r="AC23" s="3341"/>
      <c r="AD23" s="3349">
        <f t="shared" si="27"/>
        <v>0</v>
      </c>
      <c r="AE23" s="4074">
        <f t="shared" si="42"/>
        <v>0</v>
      </c>
      <c r="AF23" s="1055"/>
      <c r="AG23" s="3341"/>
      <c r="AH23" s="3341"/>
      <c r="AI23" s="3349">
        <f t="shared" si="28"/>
        <v>0</v>
      </c>
      <c r="AJ23" s="4074">
        <f t="shared" si="43"/>
        <v>0</v>
      </c>
      <c r="AK23" s="1055"/>
      <c r="AL23" s="3341"/>
      <c r="AM23" s="3341"/>
      <c r="AN23" s="3349">
        <f t="shared" si="29"/>
        <v>0</v>
      </c>
      <c r="AO23" s="4074" t="e">
        <f t="shared" si="44"/>
        <v>#DIV/0!</v>
      </c>
      <c r="AP23" s="1055"/>
      <c r="AQ23" s="3341"/>
      <c r="AR23" s="3341"/>
      <c r="AS23" s="3349">
        <f t="shared" si="30"/>
        <v>0</v>
      </c>
      <c r="AT23" s="4074" t="e">
        <f t="shared" si="45"/>
        <v>#DIV/0!</v>
      </c>
      <c r="AU23" s="1055"/>
      <c r="AV23" s="3341"/>
      <c r="AW23" s="3341"/>
      <c r="AX23" s="3349">
        <f t="shared" si="31"/>
        <v>0</v>
      </c>
      <c r="AY23" s="4074" t="e">
        <f t="shared" si="46"/>
        <v>#DIV/0!</v>
      </c>
      <c r="AZ23" s="1055"/>
      <c r="BA23" s="3341"/>
      <c r="BB23" s="3341"/>
      <c r="BC23" s="3349">
        <f t="shared" si="32"/>
        <v>0</v>
      </c>
      <c r="BD23" s="4074" t="e">
        <f t="shared" si="47"/>
        <v>#DIV/0!</v>
      </c>
      <c r="BE23" s="1055"/>
      <c r="BF23" s="3341"/>
      <c r="BG23" s="3341"/>
      <c r="BH23" s="3349">
        <f t="shared" si="33"/>
        <v>0</v>
      </c>
      <c r="BI23" s="4074" t="e">
        <f t="shared" si="48"/>
        <v>#DIV/0!</v>
      </c>
      <c r="BJ23" s="1055"/>
      <c r="BK23" s="3341"/>
      <c r="BL23" s="3341"/>
      <c r="BM23" s="3349">
        <f t="shared" si="34"/>
        <v>0</v>
      </c>
      <c r="BN23" s="4074" t="e">
        <f t="shared" si="49"/>
        <v>#DIV/0!</v>
      </c>
      <c r="BO23" s="1055"/>
      <c r="BP23" s="3341"/>
      <c r="BQ23" s="3341"/>
      <c r="BR23" s="3349">
        <f t="shared" si="35"/>
        <v>0</v>
      </c>
      <c r="BS23" s="4074" t="e">
        <f t="shared" si="50"/>
        <v>#DIV/0!</v>
      </c>
      <c r="BT23" s="1055"/>
      <c r="BU23" s="3341"/>
      <c r="BV23" s="3341"/>
      <c r="BW23" s="3349">
        <f t="shared" si="36"/>
        <v>0</v>
      </c>
      <c r="BX23" s="4074" t="e">
        <f t="shared" si="51"/>
        <v>#DIV/0!</v>
      </c>
      <c r="BY23" s="1055"/>
      <c r="BZ23" s="3341"/>
      <c r="CA23" s="3341"/>
      <c r="CB23" s="3349">
        <f t="shared" si="37"/>
        <v>0</v>
      </c>
      <c r="CC23" s="4074" t="e">
        <f t="shared" si="52"/>
        <v>#DIV/0!</v>
      </c>
      <c r="CD23" s="1055"/>
      <c r="CE23" s="3341"/>
      <c r="CF23" s="3341"/>
      <c r="CG23" s="3349">
        <f t="shared" si="38"/>
        <v>0</v>
      </c>
      <c r="CH23" s="4074" t="e">
        <f t="shared" si="53"/>
        <v>#DIV/0!</v>
      </c>
      <c r="CI23" s="1055"/>
      <c r="CJ23" s="3341">
        <f t="shared" si="54"/>
        <v>0</v>
      </c>
      <c r="CK23" s="3341">
        <f t="shared" si="54"/>
        <v>0</v>
      </c>
      <c r="CL23" s="3349">
        <f t="shared" si="55"/>
        <v>0</v>
      </c>
      <c r="CM23" s="4074">
        <f t="shared" si="39"/>
        <v>0</v>
      </c>
      <c r="CN23" s="1434"/>
      <c r="CP23" s="4159"/>
      <c r="CQ23" s="2012">
        <f t="shared" si="40"/>
        <v>0</v>
      </c>
      <c r="CR23" s="4161">
        <f t="shared" si="56"/>
        <v>0</v>
      </c>
      <c r="CT23" s="2624"/>
    </row>
    <row r="24" spans="1:100" s="1396" customFormat="1" ht="13.8" outlineLevel="2">
      <c r="A24" s="1571"/>
      <c r="B24" s="4075" t="s">
        <v>23</v>
      </c>
      <c r="C24" s="3341"/>
      <c r="D24" s="3341"/>
      <c r="E24" s="3349">
        <f t="shared" si="19"/>
        <v>0</v>
      </c>
      <c r="F24" s="4074" t="e">
        <f t="shared" si="16"/>
        <v>#DIV/0!</v>
      </c>
      <c r="G24" s="3342"/>
      <c r="H24" s="3341"/>
      <c r="I24" s="3341"/>
      <c r="J24" s="3349">
        <f t="shared" si="20"/>
        <v>0</v>
      </c>
      <c r="K24" s="4074" t="e">
        <f t="shared" si="41"/>
        <v>#DIV/0!</v>
      </c>
      <c r="L24" s="3342"/>
      <c r="M24" s="3341"/>
      <c r="N24" s="3341"/>
      <c r="O24" s="3349">
        <f t="shared" si="21"/>
        <v>0</v>
      </c>
      <c r="P24" s="4074" t="e">
        <f t="shared" si="22"/>
        <v>#DIV/0!</v>
      </c>
      <c r="Q24" s="3342"/>
      <c r="R24" s="3342">
        <f t="shared" si="23"/>
        <v>0</v>
      </c>
      <c r="S24" s="3342">
        <f t="shared" si="23"/>
        <v>0</v>
      </c>
      <c r="T24" s="2012">
        <f t="shared" si="24"/>
        <v>0</v>
      </c>
      <c r="U24" s="3342"/>
      <c r="V24" s="3342"/>
      <c r="W24" s="3342">
        <f t="shared" si="25"/>
        <v>33000</v>
      </c>
      <c r="X24" s="3342">
        <f t="shared" si="25"/>
        <v>0</v>
      </c>
      <c r="Y24" s="2012">
        <f t="shared" si="26"/>
        <v>33000</v>
      </c>
      <c r="Z24" s="3342"/>
      <c r="AA24" s="3342"/>
      <c r="AB24" s="3341">
        <v>33000</v>
      </c>
      <c r="AC24" s="3341"/>
      <c r="AD24" s="3349">
        <f t="shared" si="27"/>
        <v>33000</v>
      </c>
      <c r="AE24" s="4074">
        <f t="shared" si="42"/>
        <v>1</v>
      </c>
      <c r="AF24" s="3342" t="s">
        <v>1883</v>
      </c>
      <c r="AG24" s="3341"/>
      <c r="AH24" s="3341"/>
      <c r="AI24" s="3349">
        <f t="shared" si="28"/>
        <v>0</v>
      </c>
      <c r="AJ24" s="4074">
        <f t="shared" si="43"/>
        <v>0</v>
      </c>
      <c r="AK24" s="3342"/>
      <c r="AL24" s="3341"/>
      <c r="AM24" s="3341"/>
      <c r="AN24" s="3349">
        <f t="shared" si="29"/>
        <v>0</v>
      </c>
      <c r="AO24" s="4074" t="e">
        <f t="shared" si="44"/>
        <v>#DIV/0!</v>
      </c>
      <c r="AP24" s="3342"/>
      <c r="AQ24" s="3341"/>
      <c r="AR24" s="3341"/>
      <c r="AS24" s="3349">
        <f t="shared" si="30"/>
        <v>0</v>
      </c>
      <c r="AT24" s="4074" t="e">
        <f t="shared" si="45"/>
        <v>#DIV/0!</v>
      </c>
      <c r="AU24" s="3342"/>
      <c r="AV24" s="3341"/>
      <c r="AW24" s="3341"/>
      <c r="AX24" s="3349">
        <f t="shared" si="31"/>
        <v>0</v>
      </c>
      <c r="AY24" s="4074" t="e">
        <f t="shared" si="46"/>
        <v>#DIV/0!</v>
      </c>
      <c r="AZ24" s="3342"/>
      <c r="BA24" s="3341"/>
      <c r="BB24" s="3341"/>
      <c r="BC24" s="3349">
        <f t="shared" si="32"/>
        <v>0</v>
      </c>
      <c r="BD24" s="4074" t="e">
        <f t="shared" si="47"/>
        <v>#DIV/0!</v>
      </c>
      <c r="BE24" s="3342"/>
      <c r="BF24" s="3341"/>
      <c r="BG24" s="3341"/>
      <c r="BH24" s="3349">
        <f t="shared" si="33"/>
        <v>0</v>
      </c>
      <c r="BI24" s="4074" t="e">
        <f t="shared" si="48"/>
        <v>#DIV/0!</v>
      </c>
      <c r="BJ24" s="3342"/>
      <c r="BK24" s="3341"/>
      <c r="BL24" s="3341"/>
      <c r="BM24" s="3349">
        <f t="shared" si="34"/>
        <v>0</v>
      </c>
      <c r="BN24" s="4074" t="e">
        <f t="shared" si="49"/>
        <v>#DIV/0!</v>
      </c>
      <c r="BO24" s="3342"/>
      <c r="BP24" s="3341"/>
      <c r="BQ24" s="3341"/>
      <c r="BR24" s="3349">
        <f t="shared" si="35"/>
        <v>0</v>
      </c>
      <c r="BS24" s="4074" t="e">
        <f t="shared" si="50"/>
        <v>#DIV/0!</v>
      </c>
      <c r="BT24" s="3342"/>
      <c r="BU24" s="3341"/>
      <c r="BV24" s="3341"/>
      <c r="BW24" s="3349">
        <f t="shared" si="36"/>
        <v>0</v>
      </c>
      <c r="BX24" s="4074" t="e">
        <f t="shared" si="51"/>
        <v>#DIV/0!</v>
      </c>
      <c r="BY24" s="3342"/>
      <c r="BZ24" s="3341"/>
      <c r="CA24" s="3341"/>
      <c r="CB24" s="3349">
        <f t="shared" si="37"/>
        <v>0</v>
      </c>
      <c r="CC24" s="4074" t="e">
        <f t="shared" si="52"/>
        <v>#DIV/0!</v>
      </c>
      <c r="CD24" s="3342"/>
      <c r="CE24" s="3341"/>
      <c r="CF24" s="3341"/>
      <c r="CG24" s="3349">
        <f t="shared" si="38"/>
        <v>0</v>
      </c>
      <c r="CH24" s="4074" t="e">
        <f t="shared" si="53"/>
        <v>#DIV/0!</v>
      </c>
      <c r="CI24" s="3342"/>
      <c r="CJ24" s="3341">
        <f>C24+H24+M24+W24</f>
        <v>33000</v>
      </c>
      <c r="CK24" s="3341">
        <f t="shared" si="54"/>
        <v>0</v>
      </c>
      <c r="CL24" s="3349">
        <f t="shared" si="55"/>
        <v>33000</v>
      </c>
      <c r="CM24" s="4074">
        <f t="shared" si="39"/>
        <v>9.8161817638461407E-2</v>
      </c>
      <c r="CN24" s="1434"/>
      <c r="CP24" s="4159">
        <v>28200</v>
      </c>
      <c r="CQ24" s="2012">
        <f t="shared" si="40"/>
        <v>33000</v>
      </c>
      <c r="CR24" s="4161">
        <f t="shared" si="56"/>
        <v>-4800</v>
      </c>
      <c r="CT24" s="2624"/>
    </row>
    <row r="25" spans="1:100" s="1396" customFormat="1" ht="27.6" outlineLevel="2">
      <c r="A25" s="1571"/>
      <c r="B25" s="4075" t="s">
        <v>24</v>
      </c>
      <c r="C25" s="3341"/>
      <c r="D25" s="3341"/>
      <c r="E25" s="3349">
        <f t="shared" si="19"/>
        <v>0</v>
      </c>
      <c r="F25" s="4074" t="e">
        <f t="shared" si="16"/>
        <v>#DIV/0!</v>
      </c>
      <c r="G25" s="3342"/>
      <c r="H25" s="3341"/>
      <c r="I25" s="3341"/>
      <c r="J25" s="3349">
        <f t="shared" si="20"/>
        <v>0</v>
      </c>
      <c r="K25" s="4074" t="e">
        <f t="shared" si="41"/>
        <v>#DIV/0!</v>
      </c>
      <c r="L25" s="3342"/>
      <c r="M25" s="3341"/>
      <c r="N25" s="3341"/>
      <c r="O25" s="3349">
        <f t="shared" si="21"/>
        <v>0</v>
      </c>
      <c r="P25" s="4074" t="e">
        <f t="shared" si="22"/>
        <v>#DIV/0!</v>
      </c>
      <c r="Q25" s="3342"/>
      <c r="R25" s="3342">
        <f t="shared" si="23"/>
        <v>0</v>
      </c>
      <c r="S25" s="3342">
        <f t="shared" si="23"/>
        <v>0</v>
      </c>
      <c r="T25" s="2012">
        <f t="shared" si="24"/>
        <v>0</v>
      </c>
      <c r="U25" s="3342"/>
      <c r="V25" s="3342"/>
      <c r="W25" s="3342">
        <f t="shared" si="25"/>
        <v>25724.964</v>
      </c>
      <c r="X25" s="3342">
        <f t="shared" si="25"/>
        <v>0</v>
      </c>
      <c r="Y25" s="2012">
        <f t="shared" si="26"/>
        <v>25724.964</v>
      </c>
      <c r="Z25" s="3342"/>
      <c r="AA25" s="3342"/>
      <c r="AB25" s="3341"/>
      <c r="AC25" s="3341"/>
      <c r="AD25" s="3349">
        <f t="shared" si="27"/>
        <v>0</v>
      </c>
      <c r="AE25" s="4074">
        <f t="shared" si="42"/>
        <v>0</v>
      </c>
      <c r="AF25" s="3342"/>
      <c r="AG25" s="3341">
        <v>25724.964</v>
      </c>
      <c r="AH25" s="3341"/>
      <c r="AI25" s="3349">
        <f t="shared" si="28"/>
        <v>25724.964</v>
      </c>
      <c r="AJ25" s="4074">
        <f t="shared" si="43"/>
        <v>9.8041961515177703E-2</v>
      </c>
      <c r="AK25" s="3342" t="s">
        <v>1956</v>
      </c>
      <c r="AL25" s="3341"/>
      <c r="AM25" s="3341"/>
      <c r="AN25" s="3349">
        <f t="shared" si="29"/>
        <v>0</v>
      </c>
      <c r="AO25" s="4074" t="e">
        <f t="shared" si="44"/>
        <v>#DIV/0!</v>
      </c>
      <c r="AP25" s="3342"/>
      <c r="AQ25" s="3341"/>
      <c r="AR25" s="3341"/>
      <c r="AS25" s="3349">
        <f t="shared" si="30"/>
        <v>0</v>
      </c>
      <c r="AT25" s="4074" t="e">
        <f t="shared" si="45"/>
        <v>#DIV/0!</v>
      </c>
      <c r="AU25" s="3342"/>
      <c r="AV25" s="3341"/>
      <c r="AW25" s="3341"/>
      <c r="AX25" s="3349">
        <f t="shared" si="31"/>
        <v>0</v>
      </c>
      <c r="AY25" s="4074" t="e">
        <f t="shared" si="46"/>
        <v>#DIV/0!</v>
      </c>
      <c r="AZ25" s="3342"/>
      <c r="BA25" s="3341"/>
      <c r="BB25" s="3341"/>
      <c r="BC25" s="3349">
        <f t="shared" si="32"/>
        <v>0</v>
      </c>
      <c r="BD25" s="4074" t="e">
        <f t="shared" si="47"/>
        <v>#DIV/0!</v>
      </c>
      <c r="BE25" s="3342"/>
      <c r="BF25" s="3341"/>
      <c r="BG25" s="3341"/>
      <c r="BH25" s="3349">
        <f t="shared" si="33"/>
        <v>0</v>
      </c>
      <c r="BI25" s="4074" t="e">
        <f t="shared" si="48"/>
        <v>#DIV/0!</v>
      </c>
      <c r="BJ25" s="3342"/>
      <c r="BK25" s="3341"/>
      <c r="BL25" s="3341"/>
      <c r="BM25" s="3349">
        <f t="shared" si="34"/>
        <v>0</v>
      </c>
      <c r="BN25" s="4074" t="e">
        <f t="shared" si="49"/>
        <v>#DIV/0!</v>
      </c>
      <c r="BO25" s="3342"/>
      <c r="BP25" s="3341"/>
      <c r="BQ25" s="3341"/>
      <c r="BR25" s="3349">
        <f t="shared" si="35"/>
        <v>0</v>
      </c>
      <c r="BS25" s="4074" t="e">
        <f t="shared" si="50"/>
        <v>#DIV/0!</v>
      </c>
      <c r="BT25" s="3342"/>
      <c r="BU25" s="3341"/>
      <c r="BV25" s="3341"/>
      <c r="BW25" s="3349">
        <f t="shared" si="36"/>
        <v>0</v>
      </c>
      <c r="BX25" s="4074" t="e">
        <f t="shared" si="51"/>
        <v>#DIV/0!</v>
      </c>
      <c r="BY25" s="3342"/>
      <c r="BZ25" s="3341"/>
      <c r="CA25" s="3341"/>
      <c r="CB25" s="3349">
        <f t="shared" si="37"/>
        <v>0</v>
      </c>
      <c r="CC25" s="4074" t="e">
        <f t="shared" si="52"/>
        <v>#DIV/0!</v>
      </c>
      <c r="CD25" s="3342"/>
      <c r="CE25" s="3341"/>
      <c r="CF25" s="3341"/>
      <c r="CG25" s="3349">
        <f t="shared" si="38"/>
        <v>0</v>
      </c>
      <c r="CH25" s="4074" t="e">
        <f t="shared" si="53"/>
        <v>#DIV/0!</v>
      </c>
      <c r="CI25" s="3342"/>
      <c r="CJ25" s="3341">
        <f t="shared" si="54"/>
        <v>25724.964</v>
      </c>
      <c r="CK25" s="3341">
        <f t="shared" si="54"/>
        <v>0</v>
      </c>
      <c r="CL25" s="3349">
        <f t="shared" si="55"/>
        <v>25724.964</v>
      </c>
      <c r="CM25" s="4074">
        <f t="shared" si="39"/>
        <v>7.6521491664363173E-2</v>
      </c>
      <c r="CN25" s="1434"/>
      <c r="CP25" s="4159">
        <v>8024.81</v>
      </c>
      <c r="CQ25" s="2012">
        <f t="shared" si="40"/>
        <v>25724.964</v>
      </c>
      <c r="CR25" s="4161">
        <f t="shared" si="56"/>
        <v>-17700.153999999999</v>
      </c>
      <c r="CS25" s="3307"/>
      <c r="CT25" s="2624"/>
    </row>
    <row r="26" spans="1:100" s="1396" customFormat="1" ht="41.4" outlineLevel="2">
      <c r="A26" s="1571"/>
      <c r="B26" s="4075" t="s">
        <v>45</v>
      </c>
      <c r="C26" s="3341"/>
      <c r="D26" s="3341"/>
      <c r="E26" s="3349">
        <f t="shared" si="19"/>
        <v>0</v>
      </c>
      <c r="F26" s="4074" t="e">
        <f t="shared" si="16"/>
        <v>#DIV/0!</v>
      </c>
      <c r="G26" s="3342"/>
      <c r="H26" s="3341"/>
      <c r="I26" s="3341"/>
      <c r="J26" s="3349">
        <f t="shared" si="20"/>
        <v>0</v>
      </c>
      <c r="K26" s="4074" t="e">
        <f t="shared" si="41"/>
        <v>#DIV/0!</v>
      </c>
      <c r="L26" s="3342"/>
      <c r="M26" s="3341"/>
      <c r="N26" s="3341"/>
      <c r="O26" s="3349">
        <f t="shared" si="21"/>
        <v>0</v>
      </c>
      <c r="P26" s="4074" t="e">
        <f t="shared" si="22"/>
        <v>#DIV/0!</v>
      </c>
      <c r="Q26" s="3342"/>
      <c r="R26" s="3342">
        <f t="shared" si="23"/>
        <v>0</v>
      </c>
      <c r="S26" s="3342">
        <f t="shared" si="23"/>
        <v>0</v>
      </c>
      <c r="T26" s="2012">
        <f t="shared" si="24"/>
        <v>0</v>
      </c>
      <c r="U26" s="3342"/>
      <c r="V26" s="3342"/>
      <c r="W26" s="3342">
        <f t="shared" si="25"/>
        <v>236662.32</v>
      </c>
      <c r="X26" s="3342">
        <f t="shared" si="25"/>
        <v>0</v>
      </c>
      <c r="Y26" s="2012">
        <f t="shared" si="26"/>
        <v>236662.32</v>
      </c>
      <c r="Z26" s="3342"/>
      <c r="AA26" s="3342"/>
      <c r="AB26" s="3341"/>
      <c r="AC26" s="3341"/>
      <c r="AD26" s="3349">
        <f t="shared" si="27"/>
        <v>0</v>
      </c>
      <c r="AE26" s="4074">
        <f t="shared" si="42"/>
        <v>0</v>
      </c>
      <c r="AF26" s="3342"/>
      <c r="AG26" s="3341">
        <v>236662.32</v>
      </c>
      <c r="AH26" s="3341"/>
      <c r="AI26" s="3349">
        <f t="shared" si="28"/>
        <v>236662.32</v>
      </c>
      <c r="AJ26" s="4074">
        <f t="shared" si="43"/>
        <v>0.90195803848482237</v>
      </c>
      <c r="AK26" s="3342" t="s">
        <v>1953</v>
      </c>
      <c r="AL26" s="3341"/>
      <c r="AM26" s="3341"/>
      <c r="AN26" s="3349">
        <f t="shared" si="29"/>
        <v>0</v>
      </c>
      <c r="AO26" s="4074" t="e">
        <f t="shared" si="44"/>
        <v>#DIV/0!</v>
      </c>
      <c r="AP26" s="3342"/>
      <c r="AQ26" s="3341"/>
      <c r="AR26" s="3341"/>
      <c r="AS26" s="3349">
        <f t="shared" si="30"/>
        <v>0</v>
      </c>
      <c r="AT26" s="4074" t="e">
        <f t="shared" si="45"/>
        <v>#DIV/0!</v>
      </c>
      <c r="AU26" s="3342"/>
      <c r="AV26" s="3341"/>
      <c r="AW26" s="3341"/>
      <c r="AX26" s="3349">
        <f t="shared" si="31"/>
        <v>0</v>
      </c>
      <c r="AY26" s="4074" t="e">
        <f t="shared" si="46"/>
        <v>#DIV/0!</v>
      </c>
      <c r="AZ26" s="3342"/>
      <c r="BA26" s="3341"/>
      <c r="BB26" s="3341"/>
      <c r="BC26" s="3349">
        <f t="shared" si="32"/>
        <v>0</v>
      </c>
      <c r="BD26" s="4074" t="e">
        <f t="shared" si="47"/>
        <v>#DIV/0!</v>
      </c>
      <c r="BE26" s="3342"/>
      <c r="BF26" s="3341"/>
      <c r="BG26" s="3341"/>
      <c r="BH26" s="3349">
        <f t="shared" si="33"/>
        <v>0</v>
      </c>
      <c r="BI26" s="4074" t="e">
        <f t="shared" si="48"/>
        <v>#DIV/0!</v>
      </c>
      <c r="BJ26" s="3342"/>
      <c r="BK26" s="3341"/>
      <c r="BL26" s="3341"/>
      <c r="BM26" s="3349">
        <f t="shared" si="34"/>
        <v>0</v>
      </c>
      <c r="BN26" s="4074" t="e">
        <f t="shared" si="49"/>
        <v>#DIV/0!</v>
      </c>
      <c r="BO26" s="3342"/>
      <c r="BP26" s="3341"/>
      <c r="BQ26" s="3341"/>
      <c r="BR26" s="3349">
        <f t="shared" si="35"/>
        <v>0</v>
      </c>
      <c r="BS26" s="4074" t="e">
        <f t="shared" si="50"/>
        <v>#DIV/0!</v>
      </c>
      <c r="BT26" s="3342"/>
      <c r="BU26" s="3341"/>
      <c r="BV26" s="3341"/>
      <c r="BW26" s="3349">
        <f t="shared" si="36"/>
        <v>0</v>
      </c>
      <c r="BX26" s="4074" t="e">
        <f t="shared" si="51"/>
        <v>#DIV/0!</v>
      </c>
      <c r="BY26" s="3342"/>
      <c r="BZ26" s="3341"/>
      <c r="CA26" s="3341"/>
      <c r="CB26" s="3349">
        <f t="shared" si="37"/>
        <v>0</v>
      </c>
      <c r="CC26" s="4074" t="e">
        <f t="shared" si="52"/>
        <v>#DIV/0!</v>
      </c>
      <c r="CD26" s="3342"/>
      <c r="CE26" s="3341"/>
      <c r="CF26" s="3341"/>
      <c r="CG26" s="3349">
        <f t="shared" si="38"/>
        <v>0</v>
      </c>
      <c r="CH26" s="4074" t="e">
        <f t="shared" si="53"/>
        <v>#DIV/0!</v>
      </c>
      <c r="CI26" s="3342"/>
      <c r="CJ26" s="3341">
        <f t="shared" si="54"/>
        <v>236662.32</v>
      </c>
      <c r="CK26" s="3341">
        <f t="shared" si="54"/>
        <v>0</v>
      </c>
      <c r="CL26" s="3349">
        <f t="shared" si="55"/>
        <v>236662.32</v>
      </c>
      <c r="CM26" s="4074">
        <f t="shared" si="39"/>
        <v>0.70397586356773334</v>
      </c>
      <c r="CN26" s="1434"/>
      <c r="CP26" s="4159">
        <v>198022.44</v>
      </c>
      <c r="CQ26" s="2012">
        <f t="shared" si="40"/>
        <v>236662.32</v>
      </c>
      <c r="CR26" s="4161">
        <f t="shared" si="56"/>
        <v>-38639.880000000005</v>
      </c>
      <c r="CS26" s="3307"/>
      <c r="CT26" s="2624"/>
    </row>
    <row r="27" spans="1:100" s="1396" customFormat="1" ht="13.8" outlineLevel="2">
      <c r="A27" s="1571"/>
      <c r="B27" s="4075" t="s">
        <v>25</v>
      </c>
      <c r="C27" s="3341"/>
      <c r="D27" s="3341"/>
      <c r="E27" s="3349">
        <f t="shared" si="19"/>
        <v>0</v>
      </c>
      <c r="F27" s="4074" t="e">
        <f t="shared" si="16"/>
        <v>#DIV/0!</v>
      </c>
      <c r="G27" s="3342"/>
      <c r="H27" s="3341"/>
      <c r="I27" s="3341"/>
      <c r="J27" s="3349">
        <f t="shared" si="20"/>
        <v>0</v>
      </c>
      <c r="K27" s="4074" t="e">
        <f t="shared" si="41"/>
        <v>#DIV/0!</v>
      </c>
      <c r="L27" s="3342"/>
      <c r="M27" s="3341"/>
      <c r="N27" s="3341"/>
      <c r="O27" s="3349">
        <f t="shared" si="21"/>
        <v>0</v>
      </c>
      <c r="P27" s="4074" t="e">
        <f t="shared" si="22"/>
        <v>#DIV/0!</v>
      </c>
      <c r="Q27" s="3342"/>
      <c r="R27" s="3342">
        <f t="shared" si="23"/>
        <v>0</v>
      </c>
      <c r="S27" s="3342">
        <f t="shared" si="23"/>
        <v>0</v>
      </c>
      <c r="T27" s="2012">
        <f t="shared" si="24"/>
        <v>0</v>
      </c>
      <c r="U27" s="3342"/>
      <c r="V27" s="3342"/>
      <c r="W27" s="3342">
        <f t="shared" si="25"/>
        <v>0</v>
      </c>
      <c r="X27" s="3342">
        <f t="shared" si="25"/>
        <v>0</v>
      </c>
      <c r="Y27" s="2012">
        <f t="shared" si="26"/>
        <v>0</v>
      </c>
      <c r="Z27" s="3342"/>
      <c r="AA27" s="3342"/>
      <c r="AB27" s="3341"/>
      <c r="AC27" s="3341"/>
      <c r="AD27" s="3349">
        <f t="shared" si="27"/>
        <v>0</v>
      </c>
      <c r="AE27" s="4074">
        <f t="shared" si="42"/>
        <v>0</v>
      </c>
      <c r="AF27" s="3342"/>
      <c r="AG27" s="3341"/>
      <c r="AH27" s="3341"/>
      <c r="AI27" s="3349">
        <f t="shared" si="28"/>
        <v>0</v>
      </c>
      <c r="AJ27" s="4074">
        <f t="shared" si="43"/>
        <v>0</v>
      </c>
      <c r="AK27" s="3342"/>
      <c r="AL27" s="3341"/>
      <c r="AM27" s="3341"/>
      <c r="AN27" s="3349">
        <f t="shared" si="29"/>
        <v>0</v>
      </c>
      <c r="AO27" s="4074" t="e">
        <f t="shared" si="44"/>
        <v>#DIV/0!</v>
      </c>
      <c r="AP27" s="3342"/>
      <c r="AQ27" s="3341"/>
      <c r="AR27" s="3341"/>
      <c r="AS27" s="3349">
        <f t="shared" si="30"/>
        <v>0</v>
      </c>
      <c r="AT27" s="4074" t="e">
        <f t="shared" si="45"/>
        <v>#DIV/0!</v>
      </c>
      <c r="AU27" s="3342"/>
      <c r="AV27" s="3341"/>
      <c r="AW27" s="3341"/>
      <c r="AX27" s="3349">
        <f t="shared" si="31"/>
        <v>0</v>
      </c>
      <c r="AY27" s="4074" t="e">
        <f t="shared" si="46"/>
        <v>#DIV/0!</v>
      </c>
      <c r="AZ27" s="3342"/>
      <c r="BA27" s="3341"/>
      <c r="BB27" s="3341"/>
      <c r="BC27" s="3349">
        <f t="shared" si="32"/>
        <v>0</v>
      </c>
      <c r="BD27" s="4074" t="e">
        <f t="shared" si="47"/>
        <v>#DIV/0!</v>
      </c>
      <c r="BE27" s="3342"/>
      <c r="BF27" s="3341"/>
      <c r="BG27" s="3341"/>
      <c r="BH27" s="3349">
        <f t="shared" si="33"/>
        <v>0</v>
      </c>
      <c r="BI27" s="4074" t="e">
        <f t="shared" si="48"/>
        <v>#DIV/0!</v>
      </c>
      <c r="BJ27" s="3342"/>
      <c r="BK27" s="3341"/>
      <c r="BL27" s="3341"/>
      <c r="BM27" s="3349">
        <f t="shared" si="34"/>
        <v>0</v>
      </c>
      <c r="BN27" s="4074" t="e">
        <f t="shared" si="49"/>
        <v>#DIV/0!</v>
      </c>
      <c r="BO27" s="3342"/>
      <c r="BP27" s="3341"/>
      <c r="BQ27" s="3341"/>
      <c r="BR27" s="3349">
        <f t="shared" si="35"/>
        <v>0</v>
      </c>
      <c r="BS27" s="4074" t="e">
        <f t="shared" si="50"/>
        <v>#DIV/0!</v>
      </c>
      <c r="BT27" s="3342"/>
      <c r="BU27" s="3341"/>
      <c r="BV27" s="3341"/>
      <c r="BW27" s="3349">
        <f t="shared" si="36"/>
        <v>0</v>
      </c>
      <c r="BX27" s="4074" t="e">
        <f t="shared" si="51"/>
        <v>#DIV/0!</v>
      </c>
      <c r="BY27" s="3342"/>
      <c r="BZ27" s="3341"/>
      <c r="CA27" s="3341"/>
      <c r="CB27" s="3349">
        <f t="shared" si="37"/>
        <v>0</v>
      </c>
      <c r="CC27" s="4074" t="e">
        <f t="shared" si="52"/>
        <v>#DIV/0!</v>
      </c>
      <c r="CD27" s="3342"/>
      <c r="CE27" s="3341"/>
      <c r="CF27" s="3341"/>
      <c r="CG27" s="3349">
        <f t="shared" si="38"/>
        <v>0</v>
      </c>
      <c r="CH27" s="4074" t="e">
        <f t="shared" si="53"/>
        <v>#DIV/0!</v>
      </c>
      <c r="CI27" s="3342"/>
      <c r="CJ27" s="3341">
        <f t="shared" si="54"/>
        <v>0</v>
      </c>
      <c r="CK27" s="3341">
        <f t="shared" si="54"/>
        <v>0</v>
      </c>
      <c r="CL27" s="3349">
        <f t="shared" si="55"/>
        <v>0</v>
      </c>
      <c r="CM27" s="4074">
        <f t="shared" si="39"/>
        <v>0</v>
      </c>
      <c r="CN27" s="1434"/>
      <c r="CP27" s="4159"/>
      <c r="CQ27" s="2012">
        <f t="shared" si="40"/>
        <v>0</v>
      </c>
      <c r="CR27" s="4161">
        <f t="shared" si="56"/>
        <v>0</v>
      </c>
      <c r="CS27" s="3307"/>
      <c r="CT27" s="3443"/>
    </row>
    <row r="28" spans="1:100" s="1396" customFormat="1" ht="13.8" outlineLevel="2">
      <c r="A28" s="1571"/>
      <c r="B28" s="4075" t="s">
        <v>52</v>
      </c>
      <c r="C28" s="3341"/>
      <c r="D28" s="3341"/>
      <c r="E28" s="3349">
        <f t="shared" si="19"/>
        <v>0</v>
      </c>
      <c r="F28" s="4074" t="e">
        <f t="shared" si="16"/>
        <v>#DIV/0!</v>
      </c>
      <c r="G28" s="3342"/>
      <c r="H28" s="3341"/>
      <c r="I28" s="3341"/>
      <c r="J28" s="3349">
        <f t="shared" si="20"/>
        <v>0</v>
      </c>
      <c r="K28" s="4074" t="e">
        <f t="shared" si="41"/>
        <v>#DIV/0!</v>
      </c>
      <c r="L28" s="3342"/>
      <c r="M28" s="3341"/>
      <c r="N28" s="3341"/>
      <c r="O28" s="3349">
        <f t="shared" si="21"/>
        <v>0</v>
      </c>
      <c r="P28" s="4074" t="e">
        <f t="shared" si="22"/>
        <v>#DIV/0!</v>
      </c>
      <c r="Q28" s="3409"/>
      <c r="R28" s="3342">
        <f t="shared" si="23"/>
        <v>0</v>
      </c>
      <c r="S28" s="3342">
        <f t="shared" si="23"/>
        <v>0</v>
      </c>
      <c r="T28" s="2012">
        <f t="shared" si="24"/>
        <v>0</v>
      </c>
      <c r="U28" s="3409"/>
      <c r="V28" s="3409"/>
      <c r="W28" s="3342">
        <f t="shared" si="25"/>
        <v>0</v>
      </c>
      <c r="X28" s="3342">
        <f t="shared" si="25"/>
        <v>0</v>
      </c>
      <c r="Y28" s="2012">
        <f t="shared" si="26"/>
        <v>0</v>
      </c>
      <c r="Z28" s="3409"/>
      <c r="AA28" s="3409"/>
      <c r="AB28" s="3341"/>
      <c r="AC28" s="3341"/>
      <c r="AD28" s="3349">
        <f t="shared" si="27"/>
        <v>0</v>
      </c>
      <c r="AE28" s="4074">
        <f t="shared" si="42"/>
        <v>0</v>
      </c>
      <c r="AF28" s="3409"/>
      <c r="AG28" s="3341"/>
      <c r="AH28" s="3341"/>
      <c r="AI28" s="3349">
        <f t="shared" si="28"/>
        <v>0</v>
      </c>
      <c r="AJ28" s="4074">
        <f t="shared" si="43"/>
        <v>0</v>
      </c>
      <c r="AK28" s="3409"/>
      <c r="AL28" s="3341"/>
      <c r="AM28" s="3341"/>
      <c r="AN28" s="3349">
        <f t="shared" si="29"/>
        <v>0</v>
      </c>
      <c r="AO28" s="4074" t="e">
        <f t="shared" si="44"/>
        <v>#DIV/0!</v>
      </c>
      <c r="AP28" s="3409"/>
      <c r="AQ28" s="3341"/>
      <c r="AR28" s="3341"/>
      <c r="AS28" s="3349">
        <f t="shared" si="30"/>
        <v>0</v>
      </c>
      <c r="AT28" s="4074" t="e">
        <f t="shared" si="45"/>
        <v>#DIV/0!</v>
      </c>
      <c r="AU28" s="3409"/>
      <c r="AV28" s="3341"/>
      <c r="AW28" s="3341"/>
      <c r="AX28" s="3349">
        <f t="shared" si="31"/>
        <v>0</v>
      </c>
      <c r="AY28" s="4074" t="e">
        <f t="shared" si="46"/>
        <v>#DIV/0!</v>
      </c>
      <c r="AZ28" s="3409"/>
      <c r="BA28" s="3341"/>
      <c r="BB28" s="3341"/>
      <c r="BC28" s="3349">
        <f t="shared" si="32"/>
        <v>0</v>
      </c>
      <c r="BD28" s="4074" t="e">
        <f t="shared" si="47"/>
        <v>#DIV/0!</v>
      </c>
      <c r="BE28" s="3409"/>
      <c r="BF28" s="3341"/>
      <c r="BG28" s="3341"/>
      <c r="BH28" s="3349">
        <f t="shared" si="33"/>
        <v>0</v>
      </c>
      <c r="BI28" s="4074" t="e">
        <f t="shared" si="48"/>
        <v>#DIV/0!</v>
      </c>
      <c r="BJ28" s="3409"/>
      <c r="BK28" s="3341"/>
      <c r="BL28" s="3341"/>
      <c r="BM28" s="3349">
        <f t="shared" si="34"/>
        <v>0</v>
      </c>
      <c r="BN28" s="4074" t="e">
        <f t="shared" si="49"/>
        <v>#DIV/0!</v>
      </c>
      <c r="BO28" s="3409"/>
      <c r="BP28" s="3341"/>
      <c r="BQ28" s="3341"/>
      <c r="BR28" s="3349">
        <f t="shared" si="35"/>
        <v>0</v>
      </c>
      <c r="BS28" s="4074" t="e">
        <f t="shared" si="50"/>
        <v>#DIV/0!</v>
      </c>
      <c r="BT28" s="3409"/>
      <c r="BU28" s="3341"/>
      <c r="BV28" s="3341"/>
      <c r="BW28" s="3349">
        <f t="shared" si="36"/>
        <v>0</v>
      </c>
      <c r="BX28" s="4074" t="e">
        <f t="shared" si="51"/>
        <v>#DIV/0!</v>
      </c>
      <c r="BY28" s="3409"/>
      <c r="BZ28" s="3341"/>
      <c r="CA28" s="3341"/>
      <c r="CB28" s="3349">
        <f t="shared" si="37"/>
        <v>0</v>
      </c>
      <c r="CC28" s="4074" t="e">
        <f t="shared" si="52"/>
        <v>#DIV/0!</v>
      </c>
      <c r="CD28" s="3409"/>
      <c r="CE28" s="3341"/>
      <c r="CF28" s="3341"/>
      <c r="CG28" s="3349">
        <f t="shared" si="38"/>
        <v>0</v>
      </c>
      <c r="CH28" s="4074" t="e">
        <f t="shared" si="53"/>
        <v>#DIV/0!</v>
      </c>
      <c r="CI28" s="3409"/>
      <c r="CJ28" s="3341">
        <f t="shared" si="54"/>
        <v>0</v>
      </c>
      <c r="CK28" s="3341">
        <f t="shared" si="54"/>
        <v>0</v>
      </c>
      <c r="CL28" s="3349">
        <f t="shared" si="55"/>
        <v>0</v>
      </c>
      <c r="CM28" s="4074">
        <f t="shared" si="39"/>
        <v>0</v>
      </c>
      <c r="CN28" s="1434"/>
      <c r="CP28" s="4159"/>
      <c r="CQ28" s="2012">
        <f t="shared" si="40"/>
        <v>0</v>
      </c>
      <c r="CR28" s="4161">
        <f t="shared" si="56"/>
        <v>0</v>
      </c>
      <c r="CS28" s="3307"/>
      <c r="CT28" s="3443"/>
    </row>
    <row r="29" spans="1:100" s="1396" customFormat="1" ht="13.8" outlineLevel="2">
      <c r="A29" s="1571"/>
      <c r="B29" s="4075" t="s">
        <v>31</v>
      </c>
      <c r="C29" s="3341"/>
      <c r="D29" s="3341"/>
      <c r="E29" s="3349">
        <f t="shared" si="19"/>
        <v>0</v>
      </c>
      <c r="F29" s="4074" t="e">
        <f t="shared" si="16"/>
        <v>#DIV/0!</v>
      </c>
      <c r="G29" s="3342"/>
      <c r="H29" s="3341"/>
      <c r="I29" s="3341"/>
      <c r="J29" s="3349">
        <f t="shared" si="20"/>
        <v>0</v>
      </c>
      <c r="K29" s="4074" t="e">
        <f t="shared" si="41"/>
        <v>#DIV/0!</v>
      </c>
      <c r="L29" s="3342"/>
      <c r="M29" s="3341"/>
      <c r="N29" s="3341"/>
      <c r="O29" s="3349">
        <f t="shared" si="21"/>
        <v>0</v>
      </c>
      <c r="P29" s="4074" t="e">
        <f t="shared" si="22"/>
        <v>#DIV/0!</v>
      </c>
      <c r="Q29" s="3342"/>
      <c r="R29" s="3342">
        <f t="shared" si="23"/>
        <v>0</v>
      </c>
      <c r="S29" s="3342">
        <f t="shared" si="23"/>
        <v>0</v>
      </c>
      <c r="T29" s="2012">
        <f t="shared" si="24"/>
        <v>0</v>
      </c>
      <c r="U29" s="3342"/>
      <c r="V29" s="3342"/>
      <c r="W29" s="3342">
        <f t="shared" si="25"/>
        <v>0</v>
      </c>
      <c r="X29" s="3342">
        <f t="shared" si="25"/>
        <v>0</v>
      </c>
      <c r="Y29" s="2012">
        <f t="shared" si="26"/>
        <v>0</v>
      </c>
      <c r="Z29" s="3342"/>
      <c r="AA29" s="3342"/>
      <c r="AB29" s="3341"/>
      <c r="AC29" s="3341"/>
      <c r="AD29" s="3349">
        <f t="shared" si="27"/>
        <v>0</v>
      </c>
      <c r="AE29" s="4074">
        <f t="shared" si="42"/>
        <v>0</v>
      </c>
      <c r="AF29" s="3342"/>
      <c r="AG29" s="3341"/>
      <c r="AH29" s="3341"/>
      <c r="AI29" s="3349">
        <f t="shared" si="28"/>
        <v>0</v>
      </c>
      <c r="AJ29" s="4074">
        <f t="shared" si="43"/>
        <v>0</v>
      </c>
      <c r="AK29" s="3342"/>
      <c r="AL29" s="3341"/>
      <c r="AM29" s="3341"/>
      <c r="AN29" s="3349">
        <f t="shared" si="29"/>
        <v>0</v>
      </c>
      <c r="AO29" s="4074" t="e">
        <f t="shared" si="44"/>
        <v>#DIV/0!</v>
      </c>
      <c r="AP29" s="3342"/>
      <c r="AQ29" s="3341"/>
      <c r="AR29" s="3341"/>
      <c r="AS29" s="3349">
        <f t="shared" si="30"/>
        <v>0</v>
      </c>
      <c r="AT29" s="4074" t="e">
        <f t="shared" si="45"/>
        <v>#DIV/0!</v>
      </c>
      <c r="AU29" s="3342"/>
      <c r="AV29" s="3341"/>
      <c r="AW29" s="3341"/>
      <c r="AX29" s="3349">
        <f t="shared" si="31"/>
        <v>0</v>
      </c>
      <c r="AY29" s="4074" t="e">
        <f t="shared" si="46"/>
        <v>#DIV/0!</v>
      </c>
      <c r="AZ29" s="3342"/>
      <c r="BA29" s="3341"/>
      <c r="BB29" s="3341"/>
      <c r="BC29" s="3349">
        <f t="shared" si="32"/>
        <v>0</v>
      </c>
      <c r="BD29" s="4074" t="e">
        <f t="shared" si="47"/>
        <v>#DIV/0!</v>
      </c>
      <c r="BE29" s="3342"/>
      <c r="BF29" s="3341"/>
      <c r="BG29" s="3341"/>
      <c r="BH29" s="3349">
        <f t="shared" si="33"/>
        <v>0</v>
      </c>
      <c r="BI29" s="4074" t="e">
        <f t="shared" si="48"/>
        <v>#DIV/0!</v>
      </c>
      <c r="BJ29" s="3342"/>
      <c r="BK29" s="3341"/>
      <c r="BL29" s="3341"/>
      <c r="BM29" s="3349">
        <f t="shared" si="34"/>
        <v>0</v>
      </c>
      <c r="BN29" s="4074" t="e">
        <f t="shared" si="49"/>
        <v>#DIV/0!</v>
      </c>
      <c r="BO29" s="3342"/>
      <c r="BP29" s="3341"/>
      <c r="BQ29" s="3341"/>
      <c r="BR29" s="3349">
        <f t="shared" si="35"/>
        <v>0</v>
      </c>
      <c r="BS29" s="4074" t="e">
        <f t="shared" si="50"/>
        <v>#DIV/0!</v>
      </c>
      <c r="BT29" s="3342"/>
      <c r="BU29" s="3341"/>
      <c r="BV29" s="3341"/>
      <c r="BW29" s="3349">
        <f t="shared" si="36"/>
        <v>0</v>
      </c>
      <c r="BX29" s="4074" t="e">
        <f t="shared" si="51"/>
        <v>#DIV/0!</v>
      </c>
      <c r="BY29" s="3342"/>
      <c r="BZ29" s="3341"/>
      <c r="CA29" s="3341"/>
      <c r="CB29" s="3349">
        <f t="shared" si="37"/>
        <v>0</v>
      </c>
      <c r="CC29" s="4074" t="e">
        <f t="shared" si="52"/>
        <v>#DIV/0!</v>
      </c>
      <c r="CD29" s="3342"/>
      <c r="CE29" s="3341"/>
      <c r="CF29" s="3341"/>
      <c r="CG29" s="3349">
        <f t="shared" si="38"/>
        <v>0</v>
      </c>
      <c r="CH29" s="4074" t="e">
        <f t="shared" si="53"/>
        <v>#DIV/0!</v>
      </c>
      <c r="CI29" s="3342"/>
      <c r="CJ29" s="3341">
        <f t="shared" si="54"/>
        <v>0</v>
      </c>
      <c r="CK29" s="3341">
        <f t="shared" si="54"/>
        <v>0</v>
      </c>
      <c r="CL29" s="3349">
        <f t="shared" si="55"/>
        <v>0</v>
      </c>
      <c r="CM29" s="4074">
        <f t="shared" si="39"/>
        <v>0</v>
      </c>
      <c r="CN29" s="4076"/>
      <c r="CP29" s="4159"/>
      <c r="CQ29" s="2012">
        <f t="shared" si="40"/>
        <v>0</v>
      </c>
      <c r="CR29" s="4161">
        <f t="shared" si="56"/>
        <v>0</v>
      </c>
      <c r="CT29" s="2624"/>
    </row>
    <row r="30" spans="1:100" s="1396" customFormat="1" ht="13.8" outlineLevel="2">
      <c r="A30" s="1571"/>
      <c r="B30" s="4075" t="s">
        <v>62</v>
      </c>
      <c r="C30" s="3341"/>
      <c r="D30" s="3341"/>
      <c r="E30" s="3349">
        <f t="shared" si="19"/>
        <v>0</v>
      </c>
      <c r="F30" s="4074" t="e">
        <f t="shared" si="16"/>
        <v>#DIV/0!</v>
      </c>
      <c r="G30" s="3343"/>
      <c r="H30" s="3341"/>
      <c r="I30" s="3341"/>
      <c r="J30" s="3349">
        <f t="shared" si="20"/>
        <v>0</v>
      </c>
      <c r="K30" s="4074" t="e">
        <f t="shared" si="41"/>
        <v>#DIV/0!</v>
      </c>
      <c r="L30" s="3343"/>
      <c r="M30" s="3341"/>
      <c r="N30" s="3341"/>
      <c r="O30" s="3349">
        <f t="shared" si="21"/>
        <v>0</v>
      </c>
      <c r="P30" s="4074" t="e">
        <f t="shared" si="22"/>
        <v>#DIV/0!</v>
      </c>
      <c r="Q30" s="3342"/>
      <c r="R30" s="3342">
        <f t="shared" si="23"/>
        <v>0</v>
      </c>
      <c r="S30" s="3342">
        <f t="shared" si="23"/>
        <v>0</v>
      </c>
      <c r="T30" s="2012">
        <f t="shared" si="24"/>
        <v>0</v>
      </c>
      <c r="U30" s="3342"/>
      <c r="V30" s="3342"/>
      <c r="W30" s="3342">
        <f t="shared" si="25"/>
        <v>0</v>
      </c>
      <c r="X30" s="3342">
        <f t="shared" si="25"/>
        <v>0</v>
      </c>
      <c r="Y30" s="2012">
        <f t="shared" si="26"/>
        <v>0</v>
      </c>
      <c r="Z30" s="3342"/>
      <c r="AA30" s="3342"/>
      <c r="AB30" s="3341"/>
      <c r="AC30" s="3341"/>
      <c r="AD30" s="3349">
        <f t="shared" si="27"/>
        <v>0</v>
      </c>
      <c r="AE30" s="4074">
        <f t="shared" si="42"/>
        <v>0</v>
      </c>
      <c r="AF30" s="3342"/>
      <c r="AG30" s="3341"/>
      <c r="AH30" s="3341"/>
      <c r="AI30" s="3349">
        <f t="shared" si="28"/>
        <v>0</v>
      </c>
      <c r="AJ30" s="4074">
        <f t="shared" si="43"/>
        <v>0</v>
      </c>
      <c r="AK30" s="3342"/>
      <c r="AL30" s="3341"/>
      <c r="AM30" s="3341"/>
      <c r="AN30" s="3349">
        <f t="shared" si="29"/>
        <v>0</v>
      </c>
      <c r="AO30" s="4074" t="e">
        <f t="shared" si="44"/>
        <v>#DIV/0!</v>
      </c>
      <c r="AP30" s="3342"/>
      <c r="AQ30" s="3341"/>
      <c r="AR30" s="3341"/>
      <c r="AS30" s="3349">
        <f t="shared" si="30"/>
        <v>0</v>
      </c>
      <c r="AT30" s="4074" t="e">
        <f t="shared" si="45"/>
        <v>#DIV/0!</v>
      </c>
      <c r="AU30" s="3342"/>
      <c r="AV30" s="3341"/>
      <c r="AW30" s="3341"/>
      <c r="AX30" s="3349">
        <f t="shared" si="31"/>
        <v>0</v>
      </c>
      <c r="AY30" s="4074" t="e">
        <f t="shared" si="46"/>
        <v>#DIV/0!</v>
      </c>
      <c r="AZ30" s="3342"/>
      <c r="BA30" s="3341"/>
      <c r="BB30" s="3341"/>
      <c r="BC30" s="3349">
        <f t="shared" si="32"/>
        <v>0</v>
      </c>
      <c r="BD30" s="4074" t="e">
        <f t="shared" si="47"/>
        <v>#DIV/0!</v>
      </c>
      <c r="BE30" s="3342"/>
      <c r="BF30" s="3341"/>
      <c r="BG30" s="3341"/>
      <c r="BH30" s="3349">
        <f t="shared" si="33"/>
        <v>0</v>
      </c>
      <c r="BI30" s="4074" t="e">
        <f t="shared" si="48"/>
        <v>#DIV/0!</v>
      </c>
      <c r="BJ30" s="3342"/>
      <c r="BK30" s="3341"/>
      <c r="BL30" s="3341"/>
      <c r="BM30" s="3349">
        <f t="shared" si="34"/>
        <v>0</v>
      </c>
      <c r="BN30" s="4074" t="e">
        <f t="shared" si="49"/>
        <v>#DIV/0!</v>
      </c>
      <c r="BO30" s="3342"/>
      <c r="BP30" s="3341"/>
      <c r="BQ30" s="3341"/>
      <c r="BR30" s="3349">
        <f t="shared" si="35"/>
        <v>0</v>
      </c>
      <c r="BS30" s="4074" t="e">
        <f t="shared" si="50"/>
        <v>#DIV/0!</v>
      </c>
      <c r="BT30" s="3342"/>
      <c r="BU30" s="3341"/>
      <c r="BV30" s="3341"/>
      <c r="BW30" s="3349">
        <f t="shared" si="36"/>
        <v>0</v>
      </c>
      <c r="BX30" s="4074" t="e">
        <f t="shared" si="51"/>
        <v>#DIV/0!</v>
      </c>
      <c r="BY30" s="3342"/>
      <c r="BZ30" s="3341"/>
      <c r="CA30" s="3341"/>
      <c r="CB30" s="3349">
        <f t="shared" si="37"/>
        <v>0</v>
      </c>
      <c r="CC30" s="4074" t="e">
        <f t="shared" si="52"/>
        <v>#DIV/0!</v>
      </c>
      <c r="CD30" s="3342"/>
      <c r="CE30" s="3341"/>
      <c r="CF30" s="3341"/>
      <c r="CG30" s="3349">
        <f t="shared" si="38"/>
        <v>0</v>
      </c>
      <c r="CH30" s="4074" t="e">
        <f t="shared" si="53"/>
        <v>#DIV/0!</v>
      </c>
      <c r="CI30" s="3342"/>
      <c r="CJ30" s="3341">
        <f t="shared" si="54"/>
        <v>0</v>
      </c>
      <c r="CK30" s="3341">
        <f t="shared" si="54"/>
        <v>0</v>
      </c>
      <c r="CL30" s="3349">
        <f t="shared" si="55"/>
        <v>0</v>
      </c>
      <c r="CM30" s="4074">
        <f t="shared" si="39"/>
        <v>0</v>
      </c>
      <c r="CN30" s="4076"/>
      <c r="CP30" s="4159"/>
      <c r="CQ30" s="2012">
        <f t="shared" si="40"/>
        <v>0</v>
      </c>
      <c r="CR30" s="4161">
        <f t="shared" si="56"/>
        <v>0</v>
      </c>
      <c r="CS30" s="3307"/>
      <c r="CT30" s="3443"/>
    </row>
    <row r="31" spans="1:100" s="1396" customFormat="1" ht="13.8" outlineLevel="2">
      <c r="A31" s="1571"/>
      <c r="B31" s="4075" t="s">
        <v>34</v>
      </c>
      <c r="C31" s="3341"/>
      <c r="D31" s="3341"/>
      <c r="E31" s="3349">
        <f t="shared" si="19"/>
        <v>0</v>
      </c>
      <c r="F31" s="4074" t="e">
        <f t="shared" si="16"/>
        <v>#DIV/0!</v>
      </c>
      <c r="G31" s="3343"/>
      <c r="H31" s="3341"/>
      <c r="I31" s="3341"/>
      <c r="J31" s="3349">
        <f t="shared" si="20"/>
        <v>0</v>
      </c>
      <c r="K31" s="4074" t="e">
        <f t="shared" si="41"/>
        <v>#DIV/0!</v>
      </c>
      <c r="L31" s="3343"/>
      <c r="M31" s="3341"/>
      <c r="N31" s="3341"/>
      <c r="O31" s="3349">
        <f t="shared" si="21"/>
        <v>0</v>
      </c>
      <c r="P31" s="4074" t="e">
        <f t="shared" si="22"/>
        <v>#DIV/0!</v>
      </c>
      <c r="Q31" s="3342"/>
      <c r="R31" s="3342">
        <f t="shared" si="23"/>
        <v>0</v>
      </c>
      <c r="S31" s="3342">
        <f t="shared" si="23"/>
        <v>0</v>
      </c>
      <c r="T31" s="2012">
        <f t="shared" si="24"/>
        <v>0</v>
      </c>
      <c r="U31" s="3342"/>
      <c r="V31" s="3342"/>
      <c r="W31" s="3342">
        <f t="shared" si="25"/>
        <v>0</v>
      </c>
      <c r="X31" s="3342">
        <f t="shared" si="25"/>
        <v>0</v>
      </c>
      <c r="Y31" s="2012">
        <f t="shared" si="26"/>
        <v>0</v>
      </c>
      <c r="Z31" s="3342"/>
      <c r="AA31" s="3342"/>
      <c r="AB31" s="3341"/>
      <c r="AC31" s="3341"/>
      <c r="AD31" s="3349">
        <f t="shared" si="27"/>
        <v>0</v>
      </c>
      <c r="AE31" s="4074">
        <f t="shared" si="42"/>
        <v>0</v>
      </c>
      <c r="AF31" s="3342"/>
      <c r="AG31" s="3341"/>
      <c r="AH31" s="3341"/>
      <c r="AI31" s="3349">
        <f t="shared" si="28"/>
        <v>0</v>
      </c>
      <c r="AJ31" s="4074">
        <f t="shared" si="43"/>
        <v>0</v>
      </c>
      <c r="AK31" s="3342"/>
      <c r="AL31" s="3341"/>
      <c r="AM31" s="3341"/>
      <c r="AN31" s="3349">
        <f t="shared" si="29"/>
        <v>0</v>
      </c>
      <c r="AO31" s="4074" t="e">
        <f t="shared" si="44"/>
        <v>#DIV/0!</v>
      </c>
      <c r="AP31" s="3342"/>
      <c r="AQ31" s="3341"/>
      <c r="AR31" s="3341"/>
      <c r="AS31" s="3349">
        <f t="shared" si="30"/>
        <v>0</v>
      </c>
      <c r="AT31" s="4074" t="e">
        <f t="shared" si="45"/>
        <v>#DIV/0!</v>
      </c>
      <c r="AU31" s="3342"/>
      <c r="AV31" s="3341"/>
      <c r="AW31" s="3341"/>
      <c r="AX31" s="3349">
        <f t="shared" si="31"/>
        <v>0</v>
      </c>
      <c r="AY31" s="4074" t="e">
        <f t="shared" si="46"/>
        <v>#DIV/0!</v>
      </c>
      <c r="AZ31" s="3342"/>
      <c r="BA31" s="3341"/>
      <c r="BB31" s="3341"/>
      <c r="BC31" s="3349">
        <f t="shared" si="32"/>
        <v>0</v>
      </c>
      <c r="BD31" s="4074" t="e">
        <f t="shared" si="47"/>
        <v>#DIV/0!</v>
      </c>
      <c r="BE31" s="3342"/>
      <c r="BF31" s="3341"/>
      <c r="BG31" s="3341"/>
      <c r="BH31" s="3349">
        <f t="shared" si="33"/>
        <v>0</v>
      </c>
      <c r="BI31" s="4074" t="e">
        <f t="shared" si="48"/>
        <v>#DIV/0!</v>
      </c>
      <c r="BJ31" s="3342"/>
      <c r="BK31" s="3341"/>
      <c r="BL31" s="3341"/>
      <c r="BM31" s="3349">
        <f t="shared" si="34"/>
        <v>0</v>
      </c>
      <c r="BN31" s="4074" t="e">
        <f t="shared" si="49"/>
        <v>#DIV/0!</v>
      </c>
      <c r="BO31" s="3342"/>
      <c r="BP31" s="3341"/>
      <c r="BQ31" s="3341"/>
      <c r="BR31" s="3349">
        <f t="shared" si="35"/>
        <v>0</v>
      </c>
      <c r="BS31" s="4074" t="e">
        <f t="shared" si="50"/>
        <v>#DIV/0!</v>
      </c>
      <c r="BT31" s="3342"/>
      <c r="BU31" s="3341"/>
      <c r="BV31" s="3341"/>
      <c r="BW31" s="3349">
        <f t="shared" si="36"/>
        <v>0</v>
      </c>
      <c r="BX31" s="4074" t="e">
        <f t="shared" si="51"/>
        <v>#DIV/0!</v>
      </c>
      <c r="BY31" s="3342"/>
      <c r="BZ31" s="3341"/>
      <c r="CA31" s="3341"/>
      <c r="CB31" s="3349">
        <f t="shared" si="37"/>
        <v>0</v>
      </c>
      <c r="CC31" s="4074" t="e">
        <f t="shared" si="52"/>
        <v>#DIV/0!</v>
      </c>
      <c r="CD31" s="3342"/>
      <c r="CE31" s="3341"/>
      <c r="CF31" s="3341"/>
      <c r="CG31" s="3349">
        <f t="shared" si="38"/>
        <v>0</v>
      </c>
      <c r="CH31" s="4074" t="e">
        <f t="shared" si="53"/>
        <v>#DIV/0!</v>
      </c>
      <c r="CI31" s="3342"/>
      <c r="CJ31" s="3341">
        <f t="shared" si="54"/>
        <v>0</v>
      </c>
      <c r="CK31" s="3341">
        <f t="shared" si="54"/>
        <v>0</v>
      </c>
      <c r="CL31" s="3349">
        <f t="shared" si="55"/>
        <v>0</v>
      </c>
      <c r="CM31" s="4074">
        <f t="shared" si="39"/>
        <v>0</v>
      </c>
      <c r="CN31" s="4076"/>
      <c r="CP31" s="4159"/>
      <c r="CQ31" s="2012">
        <f t="shared" si="40"/>
        <v>0</v>
      </c>
      <c r="CR31" s="4161">
        <f t="shared" si="56"/>
        <v>0</v>
      </c>
      <c r="CS31" s="3307"/>
      <c r="CT31" s="3443"/>
      <c r="CV31" s="933"/>
    </row>
    <row r="32" spans="1:100" s="1396" customFormat="1" ht="13.8" outlineLevel="2">
      <c r="A32" s="1571"/>
      <c r="B32" s="4077" t="s">
        <v>2</v>
      </c>
      <c r="C32" s="3341"/>
      <c r="D32" s="3341"/>
      <c r="E32" s="3349">
        <f t="shared" si="19"/>
        <v>0</v>
      </c>
      <c r="F32" s="4074" t="e">
        <f t="shared" si="16"/>
        <v>#DIV/0!</v>
      </c>
      <c r="G32" s="4078"/>
      <c r="H32" s="3341"/>
      <c r="I32" s="3341"/>
      <c r="J32" s="3349">
        <f t="shared" si="20"/>
        <v>0</v>
      </c>
      <c r="K32" s="4074" t="e">
        <f t="shared" si="41"/>
        <v>#DIV/0!</v>
      </c>
      <c r="L32" s="4078"/>
      <c r="M32" s="3341"/>
      <c r="N32" s="3341"/>
      <c r="O32" s="3349">
        <f t="shared" si="21"/>
        <v>0</v>
      </c>
      <c r="P32" s="4074" t="e">
        <f t="shared" si="22"/>
        <v>#DIV/0!</v>
      </c>
      <c r="Q32" s="4078"/>
      <c r="R32" s="3342">
        <f t="shared" si="23"/>
        <v>0</v>
      </c>
      <c r="S32" s="3342">
        <f t="shared" si="23"/>
        <v>0</v>
      </c>
      <c r="T32" s="2012">
        <f t="shared" si="24"/>
        <v>0</v>
      </c>
      <c r="U32" s="2048"/>
      <c r="V32" s="2048"/>
      <c r="W32" s="3342">
        <f t="shared" si="25"/>
        <v>0</v>
      </c>
      <c r="X32" s="3342">
        <f t="shared" si="25"/>
        <v>0</v>
      </c>
      <c r="Y32" s="2012">
        <f t="shared" si="26"/>
        <v>0</v>
      </c>
      <c r="Z32" s="2048"/>
      <c r="AA32" s="2048"/>
      <c r="AB32" s="3341"/>
      <c r="AC32" s="3341"/>
      <c r="AD32" s="3349">
        <f t="shared" si="27"/>
        <v>0</v>
      </c>
      <c r="AE32" s="4074">
        <f t="shared" si="42"/>
        <v>0</v>
      </c>
      <c r="AF32" s="4078"/>
      <c r="AG32" s="3341"/>
      <c r="AH32" s="3341"/>
      <c r="AI32" s="3349">
        <f t="shared" si="28"/>
        <v>0</v>
      </c>
      <c r="AJ32" s="4074">
        <f t="shared" si="43"/>
        <v>0</v>
      </c>
      <c r="AK32" s="4078"/>
      <c r="AL32" s="3341"/>
      <c r="AM32" s="3341"/>
      <c r="AN32" s="3349">
        <f t="shared" si="29"/>
        <v>0</v>
      </c>
      <c r="AO32" s="4074" t="e">
        <f t="shared" si="44"/>
        <v>#DIV/0!</v>
      </c>
      <c r="AP32" s="4078"/>
      <c r="AQ32" s="3341"/>
      <c r="AR32" s="3341"/>
      <c r="AS32" s="3349">
        <f t="shared" si="30"/>
        <v>0</v>
      </c>
      <c r="AT32" s="4074" t="e">
        <f t="shared" si="45"/>
        <v>#DIV/0!</v>
      </c>
      <c r="AU32" s="4078"/>
      <c r="AV32" s="3341"/>
      <c r="AW32" s="3341"/>
      <c r="AX32" s="3349">
        <f t="shared" si="31"/>
        <v>0</v>
      </c>
      <c r="AY32" s="4074" t="e">
        <f t="shared" si="46"/>
        <v>#DIV/0!</v>
      </c>
      <c r="AZ32" s="4078"/>
      <c r="BA32" s="3341"/>
      <c r="BB32" s="3341"/>
      <c r="BC32" s="3349">
        <f t="shared" si="32"/>
        <v>0</v>
      </c>
      <c r="BD32" s="4074" t="e">
        <f t="shared" si="47"/>
        <v>#DIV/0!</v>
      </c>
      <c r="BE32" s="4078"/>
      <c r="BF32" s="3341"/>
      <c r="BG32" s="3341"/>
      <c r="BH32" s="3349">
        <f t="shared" si="33"/>
        <v>0</v>
      </c>
      <c r="BI32" s="4074" t="e">
        <f t="shared" si="48"/>
        <v>#DIV/0!</v>
      </c>
      <c r="BJ32" s="4078"/>
      <c r="BK32" s="3341"/>
      <c r="BL32" s="3341"/>
      <c r="BM32" s="3349">
        <f t="shared" si="34"/>
        <v>0</v>
      </c>
      <c r="BN32" s="4074" t="e">
        <f t="shared" si="49"/>
        <v>#DIV/0!</v>
      </c>
      <c r="BO32" s="4078"/>
      <c r="BP32" s="3341"/>
      <c r="BQ32" s="3341"/>
      <c r="BR32" s="3349">
        <f t="shared" si="35"/>
        <v>0</v>
      </c>
      <c r="BS32" s="4074" t="e">
        <f t="shared" si="50"/>
        <v>#DIV/0!</v>
      </c>
      <c r="BT32" s="4078"/>
      <c r="BU32" s="3341"/>
      <c r="BV32" s="3341"/>
      <c r="BW32" s="3349">
        <f t="shared" si="36"/>
        <v>0</v>
      </c>
      <c r="BX32" s="4074" t="e">
        <f t="shared" si="51"/>
        <v>#DIV/0!</v>
      </c>
      <c r="BY32" s="4078"/>
      <c r="BZ32" s="3341"/>
      <c r="CA32" s="3341"/>
      <c r="CB32" s="3349">
        <f t="shared" si="37"/>
        <v>0</v>
      </c>
      <c r="CC32" s="4074" t="e">
        <f t="shared" si="52"/>
        <v>#DIV/0!</v>
      </c>
      <c r="CD32" s="4078"/>
      <c r="CE32" s="3341"/>
      <c r="CF32" s="3341"/>
      <c r="CG32" s="3349">
        <f t="shared" si="38"/>
        <v>0</v>
      </c>
      <c r="CH32" s="4074" t="e">
        <f t="shared" si="53"/>
        <v>#DIV/0!</v>
      </c>
      <c r="CI32" s="4078"/>
      <c r="CJ32" s="4079">
        <f t="shared" si="54"/>
        <v>0</v>
      </c>
      <c r="CK32" s="4080">
        <f t="shared" si="54"/>
        <v>0</v>
      </c>
      <c r="CL32" s="3349">
        <f t="shared" si="55"/>
        <v>0</v>
      </c>
      <c r="CM32" s="4074">
        <f t="shared" si="39"/>
        <v>0</v>
      </c>
      <c r="CN32" s="4076"/>
      <c r="CP32" s="4159"/>
      <c r="CQ32" s="2012">
        <f t="shared" si="40"/>
        <v>0</v>
      </c>
      <c r="CR32" s="4161">
        <f t="shared" si="56"/>
        <v>0</v>
      </c>
      <c r="CT32" s="2624"/>
    </row>
    <row r="33" spans="1:98" s="1396" customFormat="1" ht="14.4" outlineLevel="2" thickBot="1">
      <c r="A33" s="1571"/>
      <c r="B33" s="4081" t="s">
        <v>75</v>
      </c>
      <c r="C33" s="4082"/>
      <c r="D33" s="4082"/>
      <c r="E33" s="4083">
        <f t="shared" ref="E33" si="57">C33+D33*1</f>
        <v>0</v>
      </c>
      <c r="F33" s="4084" t="e">
        <f t="shared" si="16"/>
        <v>#DIV/0!</v>
      </c>
      <c r="G33" s="4085"/>
      <c r="H33" s="4082"/>
      <c r="I33" s="4082"/>
      <c r="J33" s="4083">
        <f>H33+I33*1</f>
        <v>0</v>
      </c>
      <c r="K33" s="4084" t="e">
        <f t="shared" si="41"/>
        <v>#DIV/0!</v>
      </c>
      <c r="L33" s="4085"/>
      <c r="M33" s="4082"/>
      <c r="N33" s="4082"/>
      <c r="O33" s="4083">
        <f t="shared" ref="O33" si="58">M33+N33*1</f>
        <v>0</v>
      </c>
      <c r="P33" s="4074" t="e">
        <f t="shared" si="22"/>
        <v>#DIV/0!</v>
      </c>
      <c r="Q33" s="4085"/>
      <c r="R33" s="4086">
        <f t="shared" si="23"/>
        <v>0</v>
      </c>
      <c r="S33" s="4087">
        <f t="shared" si="23"/>
        <v>0</v>
      </c>
      <c r="T33" s="4088">
        <f t="shared" si="24"/>
        <v>0</v>
      </c>
      <c r="U33" s="4085"/>
      <c r="V33" s="4085"/>
      <c r="W33" s="4087">
        <f t="shared" si="25"/>
        <v>0</v>
      </c>
      <c r="X33" s="4087">
        <f t="shared" si="25"/>
        <v>0</v>
      </c>
      <c r="Y33" s="4088">
        <f t="shared" si="26"/>
        <v>0</v>
      </c>
      <c r="Z33" s="4085"/>
      <c r="AA33" s="4085"/>
      <c r="AB33" s="4082"/>
      <c r="AC33" s="4082"/>
      <c r="AD33" s="4083">
        <f t="shared" ref="AD33" si="59">AB33+AC33*1</f>
        <v>0</v>
      </c>
      <c r="AE33" s="4084">
        <f t="shared" si="42"/>
        <v>0</v>
      </c>
      <c r="AF33" s="4085"/>
      <c r="AG33" s="4082"/>
      <c r="AH33" s="4082"/>
      <c r="AI33" s="4083">
        <f t="shared" ref="AI33" si="60">AG33+AH33*1</f>
        <v>0</v>
      </c>
      <c r="AJ33" s="4084">
        <f t="shared" si="43"/>
        <v>0</v>
      </c>
      <c r="AK33" s="4085"/>
      <c r="AL33" s="4082"/>
      <c r="AM33" s="4082"/>
      <c r="AN33" s="4083">
        <f t="shared" ref="AN33" si="61">AL33+AM33*1</f>
        <v>0</v>
      </c>
      <c r="AO33" s="4084" t="e">
        <f t="shared" si="44"/>
        <v>#DIV/0!</v>
      </c>
      <c r="AP33" s="4085"/>
      <c r="AQ33" s="4082"/>
      <c r="AR33" s="4082"/>
      <c r="AS33" s="4083">
        <f t="shared" ref="AS33" si="62">AQ33+AR33*1</f>
        <v>0</v>
      </c>
      <c r="AT33" s="4084" t="e">
        <f t="shared" si="45"/>
        <v>#DIV/0!</v>
      </c>
      <c r="AU33" s="4085"/>
      <c r="AV33" s="4082"/>
      <c r="AW33" s="4082"/>
      <c r="AX33" s="4083">
        <f t="shared" ref="AX33" si="63">AV33+AW33*1</f>
        <v>0</v>
      </c>
      <c r="AY33" s="4084" t="e">
        <f t="shared" si="46"/>
        <v>#DIV/0!</v>
      </c>
      <c r="AZ33" s="4085"/>
      <c r="BA33" s="4082"/>
      <c r="BB33" s="4082"/>
      <c r="BC33" s="4083">
        <f t="shared" ref="BC33" si="64">BA33+BB33*1</f>
        <v>0</v>
      </c>
      <c r="BD33" s="4084" t="e">
        <f t="shared" si="47"/>
        <v>#DIV/0!</v>
      </c>
      <c r="BE33" s="4085"/>
      <c r="BF33" s="4082"/>
      <c r="BG33" s="4082"/>
      <c r="BH33" s="4083">
        <f t="shared" ref="BH33" si="65">BF33+BG33*1</f>
        <v>0</v>
      </c>
      <c r="BI33" s="4084" t="e">
        <f t="shared" si="48"/>
        <v>#DIV/0!</v>
      </c>
      <c r="BJ33" s="4085"/>
      <c r="BK33" s="4082"/>
      <c r="BL33" s="4082"/>
      <c r="BM33" s="4083">
        <f t="shared" ref="BM33" si="66">BK33+BL33*1</f>
        <v>0</v>
      </c>
      <c r="BN33" s="4084" t="e">
        <f t="shared" si="49"/>
        <v>#DIV/0!</v>
      </c>
      <c r="BO33" s="4085"/>
      <c r="BP33" s="4082"/>
      <c r="BQ33" s="4082"/>
      <c r="BR33" s="4083">
        <f t="shared" ref="BR33" si="67">BP33+BQ33*1</f>
        <v>0</v>
      </c>
      <c r="BS33" s="4084" t="e">
        <f t="shared" si="50"/>
        <v>#DIV/0!</v>
      </c>
      <c r="BT33" s="4085"/>
      <c r="BU33" s="4082"/>
      <c r="BV33" s="4082"/>
      <c r="BW33" s="4083">
        <f t="shared" ref="BW33" si="68">BU33+BV33*1</f>
        <v>0</v>
      </c>
      <c r="BX33" s="4084" t="e">
        <f t="shared" si="51"/>
        <v>#DIV/0!</v>
      </c>
      <c r="BY33" s="4085"/>
      <c r="BZ33" s="4082"/>
      <c r="CA33" s="4082"/>
      <c r="CB33" s="4083">
        <f t="shared" ref="CB33" si="69">BZ33+CA33*1</f>
        <v>0</v>
      </c>
      <c r="CC33" s="4084" t="e">
        <f t="shared" si="52"/>
        <v>#DIV/0!</v>
      </c>
      <c r="CD33" s="4085"/>
      <c r="CE33" s="4082"/>
      <c r="CF33" s="4082"/>
      <c r="CG33" s="4083">
        <f t="shared" ref="CG33" si="70">CE33+CF33*1</f>
        <v>0</v>
      </c>
      <c r="CH33" s="4084" t="e">
        <f t="shared" si="53"/>
        <v>#DIV/0!</v>
      </c>
      <c r="CI33" s="4085"/>
      <c r="CJ33" s="4089">
        <f t="shared" si="54"/>
        <v>0</v>
      </c>
      <c r="CK33" s="4082">
        <f t="shared" si="54"/>
        <v>0</v>
      </c>
      <c r="CL33" s="4083">
        <f t="shared" si="55"/>
        <v>0</v>
      </c>
      <c r="CM33" s="4090">
        <f t="shared" si="39"/>
        <v>0</v>
      </c>
      <c r="CN33" s="4091"/>
      <c r="CP33" s="4159"/>
      <c r="CQ33" s="4159"/>
      <c r="CR33" s="4161">
        <f t="shared" si="56"/>
        <v>0</v>
      </c>
      <c r="CT33" s="2624"/>
    </row>
    <row r="34" spans="1:98"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1"/>
      <c r="AC34" s="3341"/>
      <c r="AD34" s="3368"/>
      <c r="AE34" s="3368"/>
      <c r="AF34" s="3448"/>
      <c r="AG34" s="3341"/>
      <c r="AH34" s="3341"/>
      <c r="AI34" s="3368"/>
      <c r="AJ34" s="3368"/>
      <c r="AK34" s="3448"/>
      <c r="AL34" s="3341"/>
      <c r="AM34" s="3341"/>
      <c r="AN34" s="3368"/>
      <c r="AO34" s="3368"/>
      <c r="AP34" s="3448"/>
      <c r="AQ34" s="3341"/>
      <c r="AR34" s="3341"/>
      <c r="AS34" s="3368"/>
      <c r="AT34" s="3368"/>
      <c r="AU34" s="3448"/>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3449"/>
      <c r="CQ34" s="3449"/>
      <c r="CR34" s="3450"/>
      <c r="CT34" s="2624"/>
    </row>
    <row r="35" spans="1:98" s="1396" customFormat="1" ht="13.8" outlineLevel="1">
      <c r="A35" s="1571"/>
      <c r="B35" s="4092" t="s">
        <v>80</v>
      </c>
      <c r="C35" s="4093">
        <f>C36</f>
        <v>0</v>
      </c>
      <c r="D35" s="4093">
        <f>D36</f>
        <v>0</v>
      </c>
      <c r="E35" s="4094">
        <f>E36</f>
        <v>0</v>
      </c>
      <c r="F35" s="4094"/>
      <c r="G35" s="4095"/>
      <c r="H35" s="4093">
        <f>H36</f>
        <v>0</v>
      </c>
      <c r="I35" s="4093">
        <f>I36</f>
        <v>0</v>
      </c>
      <c r="J35" s="4094">
        <f>J36</f>
        <v>0</v>
      </c>
      <c r="K35" s="4094"/>
      <c r="L35" s="4095"/>
      <c r="M35" s="4093">
        <f>M36</f>
        <v>0</v>
      </c>
      <c r="N35" s="4093">
        <f>N36</f>
        <v>0</v>
      </c>
      <c r="O35" s="4094">
        <f>O36</f>
        <v>0</v>
      </c>
      <c r="P35" s="4094"/>
      <c r="Q35" s="4095"/>
      <c r="R35" s="4093">
        <f>R36</f>
        <v>0</v>
      </c>
      <c r="S35" s="4093">
        <f>S36</f>
        <v>0</v>
      </c>
      <c r="T35" s="4094">
        <f>T36</f>
        <v>0</v>
      </c>
      <c r="U35" s="4096"/>
      <c r="V35" s="4096"/>
      <c r="W35" s="4093">
        <f>W36</f>
        <v>0</v>
      </c>
      <c r="X35" s="4093">
        <f>X36</f>
        <v>0</v>
      </c>
      <c r="Y35" s="4094">
        <f>Y36</f>
        <v>0</v>
      </c>
      <c r="Z35" s="4096"/>
      <c r="AA35" s="4096"/>
      <c r="AB35" s="4093">
        <f>AB36</f>
        <v>0</v>
      </c>
      <c r="AC35" s="4093">
        <f>AC36</f>
        <v>0</v>
      </c>
      <c r="AD35" s="4094">
        <f>AD36</f>
        <v>0</v>
      </c>
      <c r="AE35" s="4094"/>
      <c r="AF35" s="4095"/>
      <c r="AG35" s="4093">
        <f>AG36</f>
        <v>0</v>
      </c>
      <c r="AH35" s="4093">
        <f>AH36</f>
        <v>0</v>
      </c>
      <c r="AI35" s="4094">
        <f>AI36</f>
        <v>0</v>
      </c>
      <c r="AJ35" s="4094"/>
      <c r="AK35" s="4095"/>
      <c r="AL35" s="4093">
        <f>AL36</f>
        <v>0</v>
      </c>
      <c r="AM35" s="4093">
        <f>AM36</f>
        <v>0</v>
      </c>
      <c r="AN35" s="4094">
        <f>AN36</f>
        <v>0</v>
      </c>
      <c r="AO35" s="4094"/>
      <c r="AP35" s="4095"/>
      <c r="AQ35" s="4093">
        <f>AQ36</f>
        <v>0</v>
      </c>
      <c r="AR35" s="4093">
        <f>AR36</f>
        <v>0</v>
      </c>
      <c r="AS35" s="4094">
        <f>AS36</f>
        <v>0</v>
      </c>
      <c r="AT35" s="4094"/>
      <c r="AU35" s="4095"/>
      <c r="AV35" s="4093">
        <f>AV36</f>
        <v>0</v>
      </c>
      <c r="AW35" s="4093">
        <f>AW36</f>
        <v>0</v>
      </c>
      <c r="AX35" s="4094">
        <f>AX36</f>
        <v>0</v>
      </c>
      <c r="AY35" s="4094"/>
      <c r="AZ35" s="4095"/>
      <c r="BA35" s="4093">
        <f>BA36</f>
        <v>0</v>
      </c>
      <c r="BB35" s="4093">
        <f>BB36</f>
        <v>0</v>
      </c>
      <c r="BC35" s="4094">
        <f>BC36</f>
        <v>0</v>
      </c>
      <c r="BD35" s="4094"/>
      <c r="BE35" s="4095"/>
      <c r="BF35" s="4093">
        <f>BF36</f>
        <v>0</v>
      </c>
      <c r="BG35" s="4093">
        <f>BG36</f>
        <v>0</v>
      </c>
      <c r="BH35" s="4094">
        <f>BH36</f>
        <v>0</v>
      </c>
      <c r="BI35" s="4094"/>
      <c r="BJ35" s="4095"/>
      <c r="BK35" s="4093">
        <f>BK36</f>
        <v>0</v>
      </c>
      <c r="BL35" s="4093">
        <f>BL36</f>
        <v>0</v>
      </c>
      <c r="BM35" s="4094">
        <f>BM36</f>
        <v>0</v>
      </c>
      <c r="BN35" s="4094"/>
      <c r="BO35" s="4095"/>
      <c r="BP35" s="4093">
        <f>BP36</f>
        <v>0</v>
      </c>
      <c r="BQ35" s="4093">
        <f>BQ36</f>
        <v>0</v>
      </c>
      <c r="BR35" s="4094">
        <f>BR36</f>
        <v>0</v>
      </c>
      <c r="BS35" s="4094"/>
      <c r="BT35" s="4095"/>
      <c r="BU35" s="4093">
        <f>BU36</f>
        <v>0</v>
      </c>
      <c r="BV35" s="4093">
        <f>BV36</f>
        <v>0</v>
      </c>
      <c r="BW35" s="4094">
        <f>BW36</f>
        <v>0</v>
      </c>
      <c r="BX35" s="4094"/>
      <c r="BY35" s="4095"/>
      <c r="BZ35" s="4093">
        <f>BZ36</f>
        <v>0</v>
      </c>
      <c r="CA35" s="4093">
        <f>CA36</f>
        <v>0</v>
      </c>
      <c r="CB35" s="4094">
        <f>CB36</f>
        <v>0</v>
      </c>
      <c r="CC35" s="4094"/>
      <c r="CD35" s="4095"/>
      <c r="CE35" s="4093">
        <f>CE36</f>
        <v>0</v>
      </c>
      <c r="CF35" s="4093">
        <f>CF36</f>
        <v>0</v>
      </c>
      <c r="CG35" s="4094">
        <f>CG36</f>
        <v>0</v>
      </c>
      <c r="CH35" s="4094"/>
      <c r="CI35" s="4095"/>
      <c r="CJ35" s="4093">
        <f>CJ36</f>
        <v>0</v>
      </c>
      <c r="CK35" s="4093">
        <f>CK36</f>
        <v>0</v>
      </c>
      <c r="CL35" s="4094">
        <f>CL36</f>
        <v>0</v>
      </c>
      <c r="CM35" s="4094"/>
      <c r="CN35" s="4094"/>
      <c r="CP35" s="4094">
        <f>CP36</f>
        <v>0</v>
      </c>
      <c r="CQ35" s="4094">
        <f>CQ36</f>
        <v>0</v>
      </c>
      <c r="CR35" s="4097">
        <f>CR36</f>
        <v>0</v>
      </c>
      <c r="CT35" s="2624"/>
    </row>
    <row r="36" spans="1:98" s="1396" customFormat="1" ht="13.8" outlineLevel="3">
      <c r="A36" s="1571"/>
      <c r="B36" s="4098" t="s">
        <v>81</v>
      </c>
      <c r="C36" s="3341"/>
      <c r="D36" s="3341"/>
      <c r="E36" s="2012">
        <f>C36+D36*1</f>
        <v>0</v>
      </c>
      <c r="F36" s="4074" t="e">
        <f>E36/$E$89</f>
        <v>#DIV/0!</v>
      </c>
      <c r="G36" s="4099"/>
      <c r="H36" s="3341"/>
      <c r="I36" s="3341"/>
      <c r="J36" s="2012">
        <f>H36+I36*1</f>
        <v>0</v>
      </c>
      <c r="K36" s="4074" t="e">
        <f t="shared" ref="K36" si="71">J36/J$89</f>
        <v>#DIV/0!</v>
      </c>
      <c r="L36" s="4099"/>
      <c r="M36" s="3341"/>
      <c r="N36" s="3341"/>
      <c r="O36" s="3349">
        <f t="shared" ref="O36" si="72">M36+N36</f>
        <v>0</v>
      </c>
      <c r="P36" s="4074" t="e">
        <f t="shared" ref="P36" si="73">O36/O$89</f>
        <v>#DIV/0!</v>
      </c>
      <c r="Q36" s="4099"/>
      <c r="R36" s="3342">
        <f t="shared" ref="R36:S36" si="74">M36+H36+C36</f>
        <v>0</v>
      </c>
      <c r="S36" s="3342">
        <f t="shared" si="74"/>
        <v>0</v>
      </c>
      <c r="T36" s="2012">
        <f t="shared" ref="T36" si="75">R36+S36</f>
        <v>0</v>
      </c>
      <c r="U36" s="3455"/>
      <c r="V36" s="3455"/>
      <c r="W36" s="3342">
        <f t="shared" ref="W36:X36" si="76">AB36+AG36+AL36+AV36+BA36+BF36+BK36+BP36+BU36+BZ36+CE36+AQ36</f>
        <v>0</v>
      </c>
      <c r="X36" s="3342">
        <f t="shared" si="76"/>
        <v>0</v>
      </c>
      <c r="Y36" s="2012">
        <f t="shared" ref="Y36" si="77">W36+X36</f>
        <v>0</v>
      </c>
      <c r="Z36" s="3455"/>
      <c r="AA36" s="3455"/>
      <c r="AB36" s="3341"/>
      <c r="AC36" s="3341"/>
      <c r="AD36" s="3349">
        <f t="shared" ref="AD36" si="78">AB36+AC36</f>
        <v>0</v>
      </c>
      <c r="AE36" s="4074">
        <f>AD36/AD$89</f>
        <v>0</v>
      </c>
      <c r="AF36" s="4099"/>
      <c r="AG36" s="3341"/>
      <c r="AH36" s="3341"/>
      <c r="AI36" s="3349">
        <f t="shared" ref="AI36" si="79">AG36+AH36</f>
        <v>0</v>
      </c>
      <c r="AJ36" s="4074">
        <f>AI36/AI$89</f>
        <v>0</v>
      </c>
      <c r="AK36" s="4099"/>
      <c r="AL36" s="3341"/>
      <c r="AM36" s="3341"/>
      <c r="AN36" s="3349">
        <f t="shared" ref="AN36" si="80">AL36+AM36</f>
        <v>0</v>
      </c>
      <c r="AO36" s="4074" t="e">
        <f>AN36/AN$89</f>
        <v>#DIV/0!</v>
      </c>
      <c r="AP36" s="4099"/>
      <c r="AQ36" s="3341"/>
      <c r="AR36" s="3341"/>
      <c r="AS36" s="3349">
        <f t="shared" ref="AS36" si="81">AQ36+AR36</f>
        <v>0</v>
      </c>
      <c r="AT36" s="4074" t="e">
        <f>AS36/AS$89</f>
        <v>#DIV/0!</v>
      </c>
      <c r="AU36" s="4099"/>
      <c r="AV36" s="3341"/>
      <c r="AW36" s="3341"/>
      <c r="AX36" s="3349">
        <f t="shared" ref="AX36" si="82">AV36+AW36</f>
        <v>0</v>
      </c>
      <c r="AY36" s="4074" t="e">
        <f>AX36/AX$89</f>
        <v>#DIV/0!</v>
      </c>
      <c r="AZ36" s="4099"/>
      <c r="BA36" s="3341"/>
      <c r="BB36" s="3341"/>
      <c r="BC36" s="3349">
        <f t="shared" ref="BC36" si="83">BA36+BB36</f>
        <v>0</v>
      </c>
      <c r="BD36" s="4074" t="e">
        <f>BC36/BC$89</f>
        <v>#DIV/0!</v>
      </c>
      <c r="BE36" s="4099"/>
      <c r="BF36" s="3341"/>
      <c r="BG36" s="3341"/>
      <c r="BH36" s="3349">
        <f t="shared" ref="BH36" si="84">BF36+BG36</f>
        <v>0</v>
      </c>
      <c r="BI36" s="4074" t="e">
        <f>BH36/BH$89</f>
        <v>#DIV/0!</v>
      </c>
      <c r="BJ36" s="4099"/>
      <c r="BK36" s="3341"/>
      <c r="BL36" s="3341"/>
      <c r="BM36" s="3349">
        <f t="shared" ref="BM36" si="85">BK36+BL36</f>
        <v>0</v>
      </c>
      <c r="BN36" s="4074" t="e">
        <f>BM36/BM$89</f>
        <v>#DIV/0!</v>
      </c>
      <c r="BO36" s="4099"/>
      <c r="BP36" s="3341"/>
      <c r="BQ36" s="3341"/>
      <c r="BR36" s="3349">
        <f t="shared" ref="BR36" si="86">BP36+BQ36</f>
        <v>0</v>
      </c>
      <c r="BS36" s="4074" t="e">
        <f>BR36/BR$89</f>
        <v>#DIV/0!</v>
      </c>
      <c r="BT36" s="4099"/>
      <c r="BU36" s="3341"/>
      <c r="BV36" s="3341"/>
      <c r="BW36" s="3349">
        <f t="shared" ref="BW36" si="87">BU36+BV36</f>
        <v>0</v>
      </c>
      <c r="BX36" s="4074" t="e">
        <f>BW36/BW$89</f>
        <v>#DIV/0!</v>
      </c>
      <c r="BY36" s="4099"/>
      <c r="BZ36" s="3341"/>
      <c r="CA36" s="3341"/>
      <c r="CB36" s="3349">
        <f t="shared" ref="CB36" si="88">BZ36+CA36</f>
        <v>0</v>
      </c>
      <c r="CC36" s="4074" t="e">
        <f>CB36/CB$89</f>
        <v>#DIV/0!</v>
      </c>
      <c r="CD36" s="4099"/>
      <c r="CE36" s="3341"/>
      <c r="CF36" s="3341"/>
      <c r="CG36" s="3349">
        <f t="shared" ref="CG36" si="89">CE36+CF36</f>
        <v>0</v>
      </c>
      <c r="CH36" s="4074" t="e">
        <f>CG36/CG$89</f>
        <v>#DIV/0!</v>
      </c>
      <c r="CI36" s="4099"/>
      <c r="CJ36" s="3341">
        <f t="shared" ref="CJ36:CK36" si="90">C36+H36+M36+W36</f>
        <v>0</v>
      </c>
      <c r="CK36" s="3341">
        <f t="shared" si="90"/>
        <v>0</v>
      </c>
      <c r="CL36" s="2012">
        <f>CJ36+CK36*1</f>
        <v>0</v>
      </c>
      <c r="CM36" s="4074">
        <f>CL36/$CL$89</f>
        <v>0</v>
      </c>
      <c r="CN36" s="4100"/>
      <c r="CP36" s="2012"/>
      <c r="CQ36" s="2012">
        <f t="shared" ref="CQ36" si="91">CL36</f>
        <v>0</v>
      </c>
      <c r="CR36" s="4161">
        <f t="shared" ref="CR36" si="92">CP36-CQ36</f>
        <v>0</v>
      </c>
      <c r="CT36" s="3443"/>
    </row>
    <row r="37" spans="1:98" s="1396" customFormat="1" ht="14.4" outlineLevel="1" thickBot="1">
      <c r="A37" s="1398"/>
      <c r="B37" s="4101"/>
      <c r="C37" s="3341"/>
      <c r="D37" s="3341"/>
      <c r="E37" s="4102"/>
      <c r="F37" s="4102"/>
      <c r="G37" s="4103"/>
      <c r="H37" s="3341"/>
      <c r="I37" s="3341"/>
      <c r="J37" s="4102"/>
      <c r="K37" s="4102"/>
      <c r="L37" s="4103"/>
      <c r="M37" s="3341"/>
      <c r="N37" s="3341"/>
      <c r="O37" s="4102"/>
      <c r="P37" s="4102"/>
      <c r="Q37" s="4103"/>
      <c r="R37" s="3456"/>
      <c r="S37" s="3456"/>
      <c r="T37" s="3456"/>
      <c r="U37" s="3456"/>
      <c r="V37" s="3456"/>
      <c r="W37" s="3342">
        <f t="shared" ref="W37:X37" si="93">AB37+AG37+AL37+AV37+BA37+BF37+BK37+BP37+BU37+BZ37+CE37</f>
        <v>0</v>
      </c>
      <c r="X37" s="3342">
        <f t="shared" si="93"/>
        <v>0</v>
      </c>
      <c r="Y37" s="3456"/>
      <c r="Z37" s="3456"/>
      <c r="AA37" s="3456"/>
      <c r="AB37" s="3341"/>
      <c r="AC37" s="3341"/>
      <c r="AD37" s="4102"/>
      <c r="AE37" s="4102"/>
      <c r="AF37" s="4103"/>
      <c r="AG37" s="3341"/>
      <c r="AH37" s="3341"/>
      <c r="AI37" s="4102"/>
      <c r="AJ37" s="4102"/>
      <c r="AK37" s="4103"/>
      <c r="AL37" s="3341"/>
      <c r="AM37" s="3341"/>
      <c r="AN37" s="4102"/>
      <c r="AO37" s="4102"/>
      <c r="AP37" s="4103"/>
      <c r="AQ37" s="3341"/>
      <c r="AR37" s="3341"/>
      <c r="AS37" s="4102"/>
      <c r="AT37" s="4102"/>
      <c r="AU37" s="4103"/>
      <c r="AV37" s="3341"/>
      <c r="AW37" s="3341"/>
      <c r="AX37" s="4102"/>
      <c r="AY37" s="4102"/>
      <c r="AZ37" s="4103"/>
      <c r="BA37" s="3341"/>
      <c r="BB37" s="3341"/>
      <c r="BC37" s="4102"/>
      <c r="BD37" s="4102"/>
      <c r="BE37" s="4103"/>
      <c r="BF37" s="3341"/>
      <c r="BG37" s="3341"/>
      <c r="BH37" s="4102"/>
      <c r="BI37" s="4102"/>
      <c r="BJ37" s="4103"/>
      <c r="BK37" s="3341"/>
      <c r="BL37" s="3341"/>
      <c r="BM37" s="4102"/>
      <c r="BN37" s="4102"/>
      <c r="BO37" s="4103"/>
      <c r="BP37" s="3341"/>
      <c r="BQ37" s="3341"/>
      <c r="BR37" s="4102"/>
      <c r="BS37" s="4102"/>
      <c r="BT37" s="4103"/>
      <c r="BU37" s="3341"/>
      <c r="BV37" s="3341"/>
      <c r="BW37" s="4102"/>
      <c r="BX37" s="4102"/>
      <c r="BY37" s="4103"/>
      <c r="BZ37" s="3341"/>
      <c r="CA37" s="3341"/>
      <c r="CB37" s="4102"/>
      <c r="CC37" s="4102"/>
      <c r="CD37" s="4103"/>
      <c r="CE37" s="3341"/>
      <c r="CF37" s="3341"/>
      <c r="CG37" s="4102"/>
      <c r="CH37" s="4102"/>
      <c r="CI37" s="4103"/>
      <c r="CJ37" s="3341"/>
      <c r="CK37" s="3341"/>
      <c r="CL37" s="4102"/>
      <c r="CM37" s="4102"/>
      <c r="CN37" s="4102"/>
      <c r="CP37" s="4104"/>
      <c r="CQ37" s="4104"/>
      <c r="CR37" s="4105"/>
      <c r="CT37" s="2624"/>
    </row>
    <row r="38" spans="1:98"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0</v>
      </c>
      <c r="O38" s="3749">
        <f>(O5)-(O8)</f>
        <v>0</v>
      </c>
      <c r="P38" s="3749"/>
      <c r="Q38" s="3750"/>
      <c r="R38" s="3749">
        <f>(R5)-(R8)</f>
        <v>0</v>
      </c>
      <c r="S38" s="3749">
        <f>(S5)-(S8)</f>
        <v>0</v>
      </c>
      <c r="T38" s="3749">
        <f>(T5)-(T8)</f>
        <v>0</v>
      </c>
      <c r="U38" s="3750"/>
      <c r="V38" s="3750"/>
      <c r="W38" s="3749">
        <f>(W5)-(W8)</f>
        <v>115580.11600000004</v>
      </c>
      <c r="X38" s="3749">
        <f>(X5)-(X8)</f>
        <v>0</v>
      </c>
      <c r="Y38" s="3749">
        <f>(Y5)-(Y8)</f>
        <v>115580.11600000004</v>
      </c>
      <c r="Z38" s="3750"/>
      <c r="AA38" s="3750"/>
      <c r="AB38" s="3749">
        <f>(AB5)-(AB8)</f>
        <v>-33000</v>
      </c>
      <c r="AC38" s="3749">
        <f>(AC5)-(AC8)</f>
        <v>0</v>
      </c>
      <c r="AD38" s="3749">
        <f>(AD5)-(AD8)</f>
        <v>-33000</v>
      </c>
      <c r="AE38" s="3749"/>
      <c r="AF38" s="3750"/>
      <c r="AG38" s="3749">
        <f>(AG5)-(AG8)</f>
        <v>148580.11600000004</v>
      </c>
      <c r="AH38" s="3749">
        <f>(AH5)-(AH8)</f>
        <v>0</v>
      </c>
      <c r="AI38" s="3749">
        <f>(AI5)-(AI8)</f>
        <v>148580.11600000004</v>
      </c>
      <c r="AJ38" s="3749"/>
      <c r="AK38" s="3750"/>
      <c r="AL38" s="3749">
        <f>(AL5)-(AL8)</f>
        <v>0</v>
      </c>
      <c r="AM38" s="3749">
        <f>(AM5)-(AM8)</f>
        <v>0</v>
      </c>
      <c r="AN38" s="3749">
        <f>(AN5)-(AN8)</f>
        <v>0</v>
      </c>
      <c r="AO38" s="3749"/>
      <c r="AP38" s="3750"/>
      <c r="AQ38" s="3749">
        <f>(AQ5)-(AQ8)</f>
        <v>0</v>
      </c>
      <c r="AR38" s="3749">
        <f>(AR5)-(AR8)</f>
        <v>0</v>
      </c>
      <c r="AS38" s="3749">
        <f>(AS5)-(AS8)</f>
        <v>0</v>
      </c>
      <c r="AT38" s="3749"/>
      <c r="AU38" s="3750"/>
      <c r="AV38" s="3749">
        <f>(AV5)-(AV8)</f>
        <v>0</v>
      </c>
      <c r="AW38" s="3749">
        <f>(AW5)-(AW8)</f>
        <v>0</v>
      </c>
      <c r="AX38" s="3749">
        <f>(AX5)-(AX8)</f>
        <v>0</v>
      </c>
      <c r="AY38" s="3749"/>
      <c r="AZ38" s="3750"/>
      <c r="BA38" s="3749">
        <f>(BA5)-(BA8)</f>
        <v>0</v>
      </c>
      <c r="BB38" s="3749">
        <f>(BB5)-(BB8)</f>
        <v>0</v>
      </c>
      <c r="BC38" s="3749">
        <f>(BC5)-(BC8)</f>
        <v>0</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113070.79600000003</v>
      </c>
      <c r="CK38" s="3751">
        <f>(CK5)-(CK8)</f>
        <v>-32964</v>
      </c>
      <c r="CL38" s="3751">
        <f>(CL5)-(CL8)</f>
        <v>80106.795999999973</v>
      </c>
      <c r="CM38" s="3749"/>
      <c r="CN38" s="3749"/>
      <c r="CP38" s="3749">
        <f>(CP5)-(CP8)</f>
        <v>142656.75</v>
      </c>
      <c r="CQ38" s="3760">
        <f>(CQ5)-(CQ8)</f>
        <v>80106.795999999973</v>
      </c>
      <c r="CR38" s="3749">
        <f>(CR5)-(CR8)</f>
        <v>62549.953999999983</v>
      </c>
      <c r="CT38" s="3761"/>
    </row>
    <row r="39" spans="1:98"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2003">
        <f>IFERROR(AB38/(AB5),0)</f>
        <v>0</v>
      </c>
      <c r="AC39" s="2003">
        <f>IFERROR(AC38/(AC5),0)</f>
        <v>0</v>
      </c>
      <c r="AD39" s="2004">
        <f>IFERROR(AD38/(AD5),0)</f>
        <v>0</v>
      </c>
      <c r="AE39" s="2004"/>
      <c r="AF39" s="1056"/>
      <c r="AG39" s="2003">
        <f>IFERROR(AG38/(AG5),0)</f>
        <v>0.36153747474860543</v>
      </c>
      <c r="AH39" s="2003">
        <f>IFERROR(AH38/(AH5),0)</f>
        <v>0</v>
      </c>
      <c r="AI39" s="2004">
        <f>IFERROR(AI38/(AI5),0)</f>
        <v>0.36153747474860543</v>
      </c>
      <c r="AJ39" s="2004"/>
      <c r="AK39" s="1056"/>
      <c r="AL39" s="2003">
        <f>IFERROR(AL38/(AL5),0)</f>
        <v>0</v>
      </c>
      <c r="AM39" s="2003">
        <f>IFERROR(AM38/(AM5),0)</f>
        <v>0</v>
      </c>
      <c r="AN39" s="2004">
        <f>IFERROR(AN38/(AN5),0)</f>
        <v>0</v>
      </c>
      <c r="AO39" s="2004"/>
      <c r="AP39" s="1056"/>
      <c r="AQ39" s="2003">
        <f>IFERROR(AQ38/(AQ5),0)</f>
        <v>0</v>
      </c>
      <c r="AR39" s="2003">
        <f>IFERROR(AR38/(AR5),0)</f>
        <v>0</v>
      </c>
      <c r="AS39" s="2004">
        <f>IFERROR(AS38/(AS5),0)</f>
        <v>0</v>
      </c>
      <c r="AT39" s="2004"/>
      <c r="AU39" s="1056"/>
      <c r="AV39" s="2003">
        <f>IFERROR(AV38/(AV5),0)</f>
        <v>0</v>
      </c>
      <c r="AW39" s="2003">
        <f>IFERROR(AW38/(AW5),0)</f>
        <v>0</v>
      </c>
      <c r="AX39" s="2004">
        <f>IFERROR(AX38/(AX5),0)</f>
        <v>0</v>
      </c>
      <c r="AY39" s="2004"/>
      <c r="AZ39" s="1056"/>
      <c r="BA39" s="2003">
        <f>IFERROR(BA38/(BA5),0)</f>
        <v>0</v>
      </c>
      <c r="BB39" s="2003">
        <f>IFERROR(BB38/(BB5),0)</f>
        <v>0</v>
      </c>
      <c r="BC39" s="2004">
        <f>IFERROR(BC38/(BC5),0)</f>
        <v>0</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0.27513324901196551</v>
      </c>
      <c r="CK39" s="2003">
        <f>IFERROR(CK38/(CK5),0)</f>
        <v>0</v>
      </c>
      <c r="CL39" s="2004">
        <f>IFERROR(CL38/(CL5),0)</f>
        <v>0.194922507235367</v>
      </c>
      <c r="CM39" s="2004"/>
      <c r="CN39" s="2004"/>
      <c r="CP39" s="2004">
        <f>CP38/(CP5)</f>
        <v>0.34712458664564311</v>
      </c>
      <c r="CQ39" s="2004">
        <f>IFERROR(CQ38/(CQ5),0)</f>
        <v>0.194922507235367</v>
      </c>
      <c r="CR39" s="2004"/>
    </row>
    <row r="40" spans="1:98" ht="14.4" outlineLevel="1" thickBot="1">
      <c r="A40" s="1567"/>
      <c r="B40" s="4106"/>
      <c r="C40" s="4107"/>
      <c r="D40" s="4107"/>
      <c r="E40" s="4107"/>
      <c r="F40" s="4107"/>
      <c r="G40" s="4108"/>
      <c r="H40" s="4107"/>
      <c r="I40" s="4107"/>
      <c r="J40" s="4107"/>
      <c r="K40" s="4107"/>
      <c r="L40" s="4108"/>
      <c r="M40" s="4107"/>
      <c r="N40" s="4107"/>
      <c r="O40" s="4107"/>
      <c r="P40" s="4107"/>
      <c r="Q40" s="4108"/>
      <c r="R40" s="4108"/>
      <c r="S40" s="4108"/>
      <c r="T40" s="4108"/>
      <c r="U40" s="4108"/>
      <c r="V40" s="4108"/>
      <c r="W40" s="4108"/>
      <c r="X40" s="4108"/>
      <c r="Y40" s="4108"/>
      <c r="Z40" s="4108"/>
      <c r="AA40" s="4108"/>
      <c r="AB40" s="4107"/>
      <c r="AC40" s="4107"/>
      <c r="AD40" s="4107"/>
      <c r="AE40" s="4107"/>
      <c r="AF40" s="4108"/>
      <c r="AG40" s="4107"/>
      <c r="AH40" s="4107"/>
      <c r="AI40" s="4107"/>
      <c r="AJ40" s="4107"/>
      <c r="AK40" s="4108"/>
      <c r="AL40" s="4107"/>
      <c r="AM40" s="4107"/>
      <c r="AN40" s="4107"/>
      <c r="AO40" s="4107"/>
      <c r="AP40" s="4108"/>
      <c r="AQ40" s="4107"/>
      <c r="AR40" s="4107"/>
      <c r="AS40" s="4107"/>
      <c r="AT40" s="4107"/>
      <c r="AU40" s="4108"/>
      <c r="AV40" s="4107"/>
      <c r="AW40" s="4107"/>
      <c r="AX40" s="4107"/>
      <c r="AY40" s="4107"/>
      <c r="AZ40" s="4108"/>
      <c r="BA40" s="4107"/>
      <c r="BB40" s="4107"/>
      <c r="BC40" s="4107"/>
      <c r="BD40" s="4107"/>
      <c r="BE40" s="4108"/>
      <c r="BF40" s="4107"/>
      <c r="BG40" s="4107"/>
      <c r="BH40" s="4107"/>
      <c r="BI40" s="4107"/>
      <c r="BJ40" s="4108"/>
      <c r="BK40" s="4107"/>
      <c r="BL40" s="4107"/>
      <c r="BM40" s="4107"/>
      <c r="BN40" s="4107"/>
      <c r="BO40" s="4108"/>
      <c r="BP40" s="4107"/>
      <c r="BQ40" s="4107"/>
      <c r="BR40" s="4107"/>
      <c r="BS40" s="4107"/>
      <c r="BT40" s="4108"/>
      <c r="BU40" s="4107"/>
      <c r="BV40" s="4107"/>
      <c r="BW40" s="4107"/>
      <c r="BX40" s="4107"/>
      <c r="BY40" s="4108"/>
      <c r="BZ40" s="4107"/>
      <c r="CA40" s="4107"/>
      <c r="CB40" s="4107"/>
      <c r="CC40" s="4107"/>
      <c r="CD40" s="4108"/>
      <c r="CE40" s="4107"/>
      <c r="CF40" s="4107"/>
      <c r="CG40" s="4107"/>
      <c r="CH40" s="4107"/>
      <c r="CI40" s="4108"/>
      <c r="CJ40" s="4107"/>
      <c r="CK40" s="4107"/>
      <c r="CL40" s="4107"/>
      <c r="CM40" s="4107"/>
      <c r="CN40" s="4107"/>
      <c r="CP40" s="4109"/>
      <c r="CQ40" s="4109"/>
      <c r="CR40" s="4109"/>
    </row>
    <row r="41" spans="1:98" ht="13.8" outlineLevel="1">
      <c r="A41" s="1405"/>
      <c r="B41" s="1415" t="s">
        <v>26</v>
      </c>
      <c r="C41" s="2013">
        <f>SUM(C42:C48)</f>
        <v>0</v>
      </c>
      <c r="D41" s="2013">
        <f>SUM(D42:D48)</f>
        <v>0</v>
      </c>
      <c r="E41" s="2014">
        <f>SUM(E42:E48)</f>
        <v>0</v>
      </c>
      <c r="F41" s="4110" t="e">
        <f>E41/$E$89</f>
        <v>#DIV/0!</v>
      </c>
      <c r="G41" s="1057"/>
      <c r="H41" s="2013">
        <f>SUM(H42:H48)</f>
        <v>0</v>
      </c>
      <c r="I41" s="2013">
        <f>SUM(I42:I48)</f>
        <v>0</v>
      </c>
      <c r="J41" s="2014">
        <f>SUM(J42:J48)</f>
        <v>0</v>
      </c>
      <c r="K41" s="4110" t="e">
        <f>J41/$E$89</f>
        <v>#DIV/0!</v>
      </c>
      <c r="L41" s="1057"/>
      <c r="M41" s="2013">
        <f>SUM(M42:M48)</f>
        <v>0</v>
      </c>
      <c r="N41" s="2013">
        <f>SUM(N42:N48)</f>
        <v>0</v>
      </c>
      <c r="O41" s="2014">
        <f>SUM(O42:O48)</f>
        <v>0</v>
      </c>
      <c r="P41" s="4110" t="e">
        <f>O41/$E$89</f>
        <v>#DIV/0!</v>
      </c>
      <c r="Q41" s="1057"/>
      <c r="R41" s="2013">
        <f>SUM(R42:R48)</f>
        <v>0</v>
      </c>
      <c r="S41" s="2013">
        <f>SUM(S42:S48)</f>
        <v>0</v>
      </c>
      <c r="T41" s="2014">
        <f>SUM(T42:T48)</f>
        <v>0</v>
      </c>
      <c r="U41" s="4110"/>
      <c r="V41" s="3460"/>
      <c r="W41" s="2013">
        <f>SUM(W42:W48)</f>
        <v>0</v>
      </c>
      <c r="X41" s="2013">
        <f>SUM(X42:X48)</f>
        <v>0</v>
      </c>
      <c r="Y41" s="2014">
        <f>SUM(Y42:Y48)</f>
        <v>0</v>
      </c>
      <c r="Z41" s="4110"/>
      <c r="AA41" s="3460"/>
      <c r="AB41" s="2013">
        <f>SUM(AB42:AB48)</f>
        <v>0</v>
      </c>
      <c r="AC41" s="2013">
        <f>SUM(AC42:AC48)</f>
        <v>0</v>
      </c>
      <c r="AD41" s="2014">
        <f>SUM(AD42:AD48)</f>
        <v>0</v>
      </c>
      <c r="AE41" s="4110"/>
      <c r="AF41" s="1057"/>
      <c r="AG41" s="2013">
        <f>SUM(AG42:AG48)</f>
        <v>0</v>
      </c>
      <c r="AH41" s="2013">
        <f>SUM(AH42:AH48)</f>
        <v>0</v>
      </c>
      <c r="AI41" s="2014">
        <f>SUM(AI42:AI48)</f>
        <v>0</v>
      </c>
      <c r="AJ41" s="4110"/>
      <c r="AK41" s="1057"/>
      <c r="AL41" s="2013">
        <f>SUM(AL42:AL48)</f>
        <v>0</v>
      </c>
      <c r="AM41" s="2013">
        <f>SUM(AM42:AM48)</f>
        <v>0</v>
      </c>
      <c r="AN41" s="2014">
        <f>SUM(AN42:AN48)</f>
        <v>0</v>
      </c>
      <c r="AO41" s="4110"/>
      <c r="AP41" s="1057"/>
      <c r="AQ41" s="2013">
        <f>SUM(AQ42:AQ48)</f>
        <v>0</v>
      </c>
      <c r="AR41" s="2013">
        <f>SUM(AR42:AR48)</f>
        <v>0</v>
      </c>
      <c r="AS41" s="2014">
        <f>SUM(AS42:AS48)</f>
        <v>0</v>
      </c>
      <c r="AT41" s="4110"/>
      <c r="AU41" s="1057"/>
      <c r="AV41" s="2013">
        <f>SUM(AV42:AV48)</f>
        <v>0</v>
      </c>
      <c r="AW41" s="2013">
        <f>SUM(AW42:AW48)</f>
        <v>0</v>
      </c>
      <c r="AX41" s="2014">
        <f>SUM(AX42:AX48)</f>
        <v>0</v>
      </c>
      <c r="AY41" s="4110"/>
      <c r="AZ41" s="1057"/>
      <c r="BA41" s="2013">
        <f>SUM(BA42:BA48)</f>
        <v>0</v>
      </c>
      <c r="BB41" s="2013">
        <f>SUM(BB42:BB48)</f>
        <v>0</v>
      </c>
      <c r="BC41" s="2014">
        <f>SUM(BC42:BC48)</f>
        <v>0</v>
      </c>
      <c r="BD41" s="4110"/>
      <c r="BE41" s="1057"/>
      <c r="BF41" s="2013">
        <f>SUM(BF42:BF48)</f>
        <v>0</v>
      </c>
      <c r="BG41" s="2013">
        <f>SUM(BG42:BG48)</f>
        <v>0</v>
      </c>
      <c r="BH41" s="2014">
        <f>SUM(BH42:BH48)</f>
        <v>0</v>
      </c>
      <c r="BI41" s="4110"/>
      <c r="BJ41" s="1057"/>
      <c r="BK41" s="2013">
        <f>SUM(BK42:BK48)</f>
        <v>0</v>
      </c>
      <c r="BL41" s="2013">
        <f>SUM(BL42:BL48)</f>
        <v>0</v>
      </c>
      <c r="BM41" s="2014">
        <f>SUM(BM42:BM48)</f>
        <v>0</v>
      </c>
      <c r="BN41" s="4110"/>
      <c r="BO41" s="1057"/>
      <c r="BP41" s="2013">
        <f>SUM(BP42:BP48)</f>
        <v>0</v>
      </c>
      <c r="BQ41" s="2013">
        <f>SUM(BQ42:BQ48)</f>
        <v>0</v>
      </c>
      <c r="BR41" s="2014">
        <f>SUM(BR42:BR48)</f>
        <v>0</v>
      </c>
      <c r="BS41" s="4110"/>
      <c r="BT41" s="1057"/>
      <c r="BU41" s="2013">
        <f>SUM(BU42:BU48)</f>
        <v>0</v>
      </c>
      <c r="BV41" s="2013">
        <f>SUM(BV42:BV48)</f>
        <v>0</v>
      </c>
      <c r="BW41" s="2014">
        <f>SUM(BW42:BW48)</f>
        <v>0</v>
      </c>
      <c r="BX41" s="4110"/>
      <c r="BY41" s="1057"/>
      <c r="BZ41" s="2013">
        <f>SUM(BZ42:BZ48)</f>
        <v>0</v>
      </c>
      <c r="CA41" s="2013">
        <f>SUM(CA42:CA48)</f>
        <v>0</v>
      </c>
      <c r="CB41" s="2014">
        <f>SUM(CB42:CB48)</f>
        <v>0</v>
      </c>
      <c r="CC41" s="4110"/>
      <c r="CD41" s="1057"/>
      <c r="CE41" s="2013">
        <f>SUM(CE42:CE48)</f>
        <v>0</v>
      </c>
      <c r="CF41" s="2013">
        <f>SUM(CF42:CF48)</f>
        <v>0</v>
      </c>
      <c r="CG41" s="2014">
        <f>SUM(CG42:CG48)</f>
        <v>0</v>
      </c>
      <c r="CH41" s="4110"/>
      <c r="CI41" s="1057"/>
      <c r="CJ41" s="2013">
        <f>SUM(CJ42:CJ48)</f>
        <v>0</v>
      </c>
      <c r="CK41" s="2013">
        <f>SUM(CK42:CK48)</f>
        <v>0</v>
      </c>
      <c r="CL41" s="2014">
        <f>SUM(CL42:CL48)</f>
        <v>0</v>
      </c>
      <c r="CM41" s="4110">
        <f t="shared" ref="CM41:CM49" si="94">CL41/$CL$89</f>
        <v>0</v>
      </c>
      <c r="CN41" s="2006"/>
      <c r="CP41" s="2014">
        <f>SUM(CP42:CP48)</f>
        <v>0</v>
      </c>
      <c r="CQ41" s="2014">
        <f>SUM(CQ42:CQ48)</f>
        <v>0</v>
      </c>
      <c r="CR41" s="2014"/>
    </row>
    <row r="42" spans="1:98" ht="13.8" outlineLevel="2">
      <c r="A42" s="4833"/>
      <c r="B42" s="4111" t="s">
        <v>7</v>
      </c>
      <c r="C42" s="3341"/>
      <c r="D42" s="3341"/>
      <c r="E42" s="3349">
        <f t="shared" ref="E42:E48" si="95">C42+D42</f>
        <v>0</v>
      </c>
      <c r="F42" s="4074" t="e">
        <f t="shared" ref="F42:F48" si="96">E42/$E$89</f>
        <v>#DIV/0!</v>
      </c>
      <c r="G42" s="4112"/>
      <c r="H42" s="3341"/>
      <c r="I42" s="3341"/>
      <c r="J42" s="3349">
        <f t="shared" ref="J42:J48" si="97">H42+I42</f>
        <v>0</v>
      </c>
      <c r="K42" s="4074" t="e">
        <f t="shared" ref="K42:K48" si="98">J42/J$89</f>
        <v>#DIV/0!</v>
      </c>
      <c r="L42" s="4112"/>
      <c r="M42" s="3341"/>
      <c r="N42" s="3341"/>
      <c r="O42" s="3349">
        <f t="shared" ref="O42:O48" si="99">M42+N42</f>
        <v>0</v>
      </c>
      <c r="P42" s="4074" t="e">
        <f t="shared" ref="P42:P48" si="100">O42/O$89</f>
        <v>#DIV/0!</v>
      </c>
      <c r="Q42" s="4112"/>
      <c r="R42" s="3342">
        <f t="shared" ref="R42:S48" si="101">M42+H42+C42</f>
        <v>0</v>
      </c>
      <c r="S42" s="3342">
        <f t="shared" si="101"/>
        <v>0</v>
      </c>
      <c r="T42" s="2012">
        <f t="shared" ref="T42:T48" si="102">R42+S42</f>
        <v>0</v>
      </c>
      <c r="U42" s="3462"/>
      <c r="V42" s="3462"/>
      <c r="W42" s="3342">
        <f t="shared" ref="W42:X48" si="103">AB42+AG42+AL42+AV42+BA42+BF42+BK42+BP42+BU42+BZ42+CE42+AQ42</f>
        <v>0</v>
      </c>
      <c r="X42" s="3342">
        <f t="shared" si="103"/>
        <v>0</v>
      </c>
      <c r="Y42" s="2012">
        <f t="shared" ref="Y42:Y48" si="104">W42+X42</f>
        <v>0</v>
      </c>
      <c r="Z42" s="3462"/>
      <c r="AA42" s="3462"/>
      <c r="AB42" s="3341"/>
      <c r="AC42" s="3341"/>
      <c r="AD42" s="3349">
        <f t="shared" ref="AD42:AD48" si="105">AB42+AC42</f>
        <v>0</v>
      </c>
      <c r="AE42" s="4074">
        <f t="shared" ref="AE42:AE49" si="106">AD42/AD$89</f>
        <v>0</v>
      </c>
      <c r="AF42" s="4112"/>
      <c r="AG42" s="3341"/>
      <c r="AH42" s="3341"/>
      <c r="AI42" s="3349">
        <f t="shared" ref="AI42:AI48" si="107">AG42+AH42</f>
        <v>0</v>
      </c>
      <c r="AJ42" s="4074">
        <f t="shared" ref="AJ42:AJ49" si="108">AI42/AI$89</f>
        <v>0</v>
      </c>
      <c r="AK42" s="4112"/>
      <c r="AL42" s="3341"/>
      <c r="AM42" s="3341"/>
      <c r="AN42" s="3349">
        <f t="shared" ref="AN42:AN48" si="109">AL42+AM42</f>
        <v>0</v>
      </c>
      <c r="AO42" s="4074" t="e">
        <f t="shared" ref="AO42:AO49" si="110">AN42/AN$89</f>
        <v>#DIV/0!</v>
      </c>
      <c r="AP42" s="4112"/>
      <c r="AQ42" s="3341"/>
      <c r="AR42" s="3341"/>
      <c r="AS42" s="3349">
        <f t="shared" ref="AS42:AS48" si="111">AQ42+AR42</f>
        <v>0</v>
      </c>
      <c r="AT42" s="4074" t="e">
        <f t="shared" ref="AT42:AT49" si="112">AS42/AS$89</f>
        <v>#DIV/0!</v>
      </c>
      <c r="AU42" s="4112"/>
      <c r="AV42" s="3341"/>
      <c r="AW42" s="3341"/>
      <c r="AX42" s="3349">
        <f t="shared" ref="AX42:AX48" si="113">AV42+AW42</f>
        <v>0</v>
      </c>
      <c r="AY42" s="4074" t="e">
        <f t="shared" ref="AY42:AY49" si="114">AX42/AX$89</f>
        <v>#DIV/0!</v>
      </c>
      <c r="AZ42" s="4112"/>
      <c r="BA42" s="3341"/>
      <c r="BB42" s="3341"/>
      <c r="BC42" s="3349">
        <f t="shared" ref="BC42:BC48" si="115">BA42+BB42</f>
        <v>0</v>
      </c>
      <c r="BD42" s="4074" t="e">
        <f t="shared" ref="BD42:BD49" si="116">BC42/BC$89</f>
        <v>#DIV/0!</v>
      </c>
      <c r="BE42" s="4112"/>
      <c r="BF42" s="3341"/>
      <c r="BG42" s="3341"/>
      <c r="BH42" s="3349">
        <f t="shared" ref="BH42:BH48" si="117">BF42+BG42</f>
        <v>0</v>
      </c>
      <c r="BI42" s="4074" t="e">
        <f t="shared" ref="BI42:BI49" si="118">BH42/BH$89</f>
        <v>#DIV/0!</v>
      </c>
      <c r="BJ42" s="4112"/>
      <c r="BK42" s="3341"/>
      <c r="BL42" s="3341"/>
      <c r="BM42" s="3349">
        <f t="shared" ref="BM42:BM48" si="119">BK42+BL42</f>
        <v>0</v>
      </c>
      <c r="BN42" s="4074" t="e">
        <f t="shared" ref="BN42:BN49" si="120">BM42/BM$89</f>
        <v>#DIV/0!</v>
      </c>
      <c r="BO42" s="4112"/>
      <c r="BP42" s="3341"/>
      <c r="BQ42" s="3341"/>
      <c r="BR42" s="3349">
        <f t="shared" ref="BR42:BR48" si="121">BP42+BQ42</f>
        <v>0</v>
      </c>
      <c r="BS42" s="4074" t="e">
        <f t="shared" ref="BS42:BS49" si="122">BR42/BR$89</f>
        <v>#DIV/0!</v>
      </c>
      <c r="BT42" s="4112"/>
      <c r="BU42" s="3341"/>
      <c r="BV42" s="3341"/>
      <c r="BW42" s="3349">
        <f t="shared" ref="BW42:BW48" si="123">BU42+BV42</f>
        <v>0</v>
      </c>
      <c r="BX42" s="4074" t="e">
        <f t="shared" ref="BX42:BX49" si="124">BW42/BW$89</f>
        <v>#DIV/0!</v>
      </c>
      <c r="BY42" s="4112"/>
      <c r="BZ42" s="3341"/>
      <c r="CA42" s="3341"/>
      <c r="CB42" s="3349">
        <f t="shared" ref="CB42:CB48" si="125">BZ42+CA42</f>
        <v>0</v>
      </c>
      <c r="CC42" s="4074" t="e">
        <f t="shared" ref="CC42:CC49" si="126">CB42/CB$89</f>
        <v>#DIV/0!</v>
      </c>
      <c r="CD42" s="4112"/>
      <c r="CE42" s="3341"/>
      <c r="CF42" s="3341"/>
      <c r="CG42" s="3349">
        <f t="shared" ref="CG42:CG48" si="127">CE42+CF42</f>
        <v>0</v>
      </c>
      <c r="CH42" s="4074" t="e">
        <f t="shared" ref="CH42:CH49" si="128">CG42/CG$89</f>
        <v>#DIV/0!</v>
      </c>
      <c r="CI42" s="4112"/>
      <c r="CJ42" s="3341">
        <f t="shared" ref="CJ42:CK48" si="129">C42+H42+M42+W42</f>
        <v>0</v>
      </c>
      <c r="CK42" s="3341">
        <f t="shared" si="129"/>
        <v>0</v>
      </c>
      <c r="CL42" s="2012">
        <f t="shared" ref="CL42:CL48" si="130">CJ42+CK42*1</f>
        <v>0</v>
      </c>
      <c r="CM42" s="4074">
        <f t="shared" si="94"/>
        <v>0</v>
      </c>
      <c r="CN42" s="4076"/>
      <c r="CP42" s="2012">
        <f t="shared" ref="CP42:CQ48" si="131">CN42+CO42*1</f>
        <v>0</v>
      </c>
      <c r="CQ42" s="2012">
        <f t="shared" si="131"/>
        <v>0</v>
      </c>
      <c r="CR42" s="4161"/>
    </row>
    <row r="43" spans="1:98" ht="13.8" outlineLevel="2">
      <c r="A43" s="4833"/>
      <c r="B43" s="4111" t="s">
        <v>27</v>
      </c>
      <c r="C43" s="3341"/>
      <c r="D43" s="3341"/>
      <c r="E43" s="3349">
        <f t="shared" si="95"/>
        <v>0</v>
      </c>
      <c r="F43" s="4074" t="e">
        <f t="shared" si="96"/>
        <v>#DIV/0!</v>
      </c>
      <c r="G43" s="4112"/>
      <c r="H43" s="3341"/>
      <c r="I43" s="3341"/>
      <c r="J43" s="3349">
        <f t="shared" si="97"/>
        <v>0</v>
      </c>
      <c r="K43" s="4074" t="e">
        <f t="shared" si="98"/>
        <v>#DIV/0!</v>
      </c>
      <c r="L43" s="4112"/>
      <c r="M43" s="3341"/>
      <c r="N43" s="3341"/>
      <c r="O43" s="3349">
        <f t="shared" si="99"/>
        <v>0</v>
      </c>
      <c r="P43" s="4074" t="e">
        <f t="shared" si="100"/>
        <v>#DIV/0!</v>
      </c>
      <c r="Q43" s="4112"/>
      <c r="R43" s="3342">
        <f t="shared" si="101"/>
        <v>0</v>
      </c>
      <c r="S43" s="3342">
        <f t="shared" si="101"/>
        <v>0</v>
      </c>
      <c r="T43" s="2012">
        <f t="shared" si="102"/>
        <v>0</v>
      </c>
      <c r="U43" s="3462"/>
      <c r="V43" s="3462"/>
      <c r="W43" s="3342">
        <f t="shared" si="103"/>
        <v>0</v>
      </c>
      <c r="X43" s="3342">
        <f t="shared" si="103"/>
        <v>0</v>
      </c>
      <c r="Y43" s="2012">
        <f t="shared" si="104"/>
        <v>0</v>
      </c>
      <c r="Z43" s="3462"/>
      <c r="AA43" s="3462"/>
      <c r="AB43" s="3341"/>
      <c r="AC43" s="3341"/>
      <c r="AD43" s="3349">
        <f t="shared" si="105"/>
        <v>0</v>
      </c>
      <c r="AE43" s="4074">
        <f t="shared" si="106"/>
        <v>0</v>
      </c>
      <c r="AF43" s="4112"/>
      <c r="AG43" s="3341"/>
      <c r="AH43" s="3341"/>
      <c r="AI43" s="3349">
        <f t="shared" si="107"/>
        <v>0</v>
      </c>
      <c r="AJ43" s="4074">
        <f t="shared" si="108"/>
        <v>0</v>
      </c>
      <c r="AK43" s="4112"/>
      <c r="AL43" s="3341"/>
      <c r="AM43" s="3341"/>
      <c r="AN43" s="3349">
        <f t="shared" si="109"/>
        <v>0</v>
      </c>
      <c r="AO43" s="4074" t="e">
        <f t="shared" si="110"/>
        <v>#DIV/0!</v>
      </c>
      <c r="AP43" s="4112"/>
      <c r="AQ43" s="3341"/>
      <c r="AR43" s="3341"/>
      <c r="AS43" s="3349">
        <f t="shared" si="111"/>
        <v>0</v>
      </c>
      <c r="AT43" s="4074" t="e">
        <f t="shared" si="112"/>
        <v>#DIV/0!</v>
      </c>
      <c r="AU43" s="4112"/>
      <c r="AV43" s="3341"/>
      <c r="AW43" s="3341"/>
      <c r="AX43" s="3349">
        <f t="shared" si="113"/>
        <v>0</v>
      </c>
      <c r="AY43" s="4074" t="e">
        <f t="shared" si="114"/>
        <v>#DIV/0!</v>
      </c>
      <c r="AZ43" s="4112"/>
      <c r="BA43" s="3341"/>
      <c r="BB43" s="3341"/>
      <c r="BC43" s="3349">
        <f t="shared" si="115"/>
        <v>0</v>
      </c>
      <c r="BD43" s="4074" t="e">
        <f t="shared" si="116"/>
        <v>#DIV/0!</v>
      </c>
      <c r="BE43" s="4112"/>
      <c r="BF43" s="3341"/>
      <c r="BG43" s="3341"/>
      <c r="BH43" s="3349">
        <f t="shared" si="117"/>
        <v>0</v>
      </c>
      <c r="BI43" s="4074" t="e">
        <f t="shared" si="118"/>
        <v>#DIV/0!</v>
      </c>
      <c r="BJ43" s="4112"/>
      <c r="BK43" s="3341"/>
      <c r="BL43" s="3341"/>
      <c r="BM43" s="3349">
        <f t="shared" si="119"/>
        <v>0</v>
      </c>
      <c r="BN43" s="4074" t="e">
        <f t="shared" si="120"/>
        <v>#DIV/0!</v>
      </c>
      <c r="BO43" s="4112"/>
      <c r="BP43" s="3341"/>
      <c r="BQ43" s="3341"/>
      <c r="BR43" s="3349">
        <f t="shared" si="121"/>
        <v>0</v>
      </c>
      <c r="BS43" s="4074" t="e">
        <f t="shared" si="122"/>
        <v>#DIV/0!</v>
      </c>
      <c r="BT43" s="4112"/>
      <c r="BU43" s="3341"/>
      <c r="BV43" s="3341"/>
      <c r="BW43" s="3349">
        <f t="shared" si="123"/>
        <v>0</v>
      </c>
      <c r="BX43" s="4074" t="e">
        <f t="shared" si="124"/>
        <v>#DIV/0!</v>
      </c>
      <c r="BY43" s="4112"/>
      <c r="BZ43" s="3341"/>
      <c r="CA43" s="3341"/>
      <c r="CB43" s="3349">
        <f t="shared" si="125"/>
        <v>0</v>
      </c>
      <c r="CC43" s="4074" t="e">
        <f t="shared" si="126"/>
        <v>#DIV/0!</v>
      </c>
      <c r="CD43" s="4112"/>
      <c r="CE43" s="3341"/>
      <c r="CF43" s="3341"/>
      <c r="CG43" s="3349">
        <f t="shared" si="127"/>
        <v>0</v>
      </c>
      <c r="CH43" s="4074" t="e">
        <f t="shared" si="128"/>
        <v>#DIV/0!</v>
      </c>
      <c r="CI43" s="4112"/>
      <c r="CJ43" s="3341">
        <f t="shared" si="129"/>
        <v>0</v>
      </c>
      <c r="CK43" s="3341">
        <f t="shared" si="129"/>
        <v>0</v>
      </c>
      <c r="CL43" s="2012">
        <f t="shared" si="130"/>
        <v>0</v>
      </c>
      <c r="CM43" s="4074">
        <f t="shared" si="94"/>
        <v>0</v>
      </c>
      <c r="CN43" s="4076"/>
      <c r="CP43" s="2012">
        <f t="shared" si="131"/>
        <v>0</v>
      </c>
      <c r="CQ43" s="2012">
        <f t="shared" si="131"/>
        <v>0</v>
      </c>
      <c r="CR43" s="4161"/>
    </row>
    <row r="44" spans="1:98" ht="13.8" outlineLevel="2">
      <c r="A44" s="4833"/>
      <c r="B44" s="4098" t="s">
        <v>28</v>
      </c>
      <c r="C44" s="3341"/>
      <c r="D44" s="3341"/>
      <c r="E44" s="3349">
        <f t="shared" si="95"/>
        <v>0</v>
      </c>
      <c r="F44" s="4074" t="e">
        <f t="shared" si="96"/>
        <v>#DIV/0!</v>
      </c>
      <c r="G44" s="4112"/>
      <c r="H44" s="3341"/>
      <c r="I44" s="3341"/>
      <c r="J44" s="3349">
        <f t="shared" si="97"/>
        <v>0</v>
      </c>
      <c r="K44" s="4074" t="e">
        <f t="shared" si="98"/>
        <v>#DIV/0!</v>
      </c>
      <c r="L44" s="4112"/>
      <c r="M44" s="3341"/>
      <c r="N44" s="3341"/>
      <c r="O44" s="3349">
        <f t="shared" si="99"/>
        <v>0</v>
      </c>
      <c r="P44" s="4074" t="e">
        <f t="shared" si="100"/>
        <v>#DIV/0!</v>
      </c>
      <c r="Q44" s="4112"/>
      <c r="R44" s="3342">
        <f t="shared" si="101"/>
        <v>0</v>
      </c>
      <c r="S44" s="3342">
        <f t="shared" si="101"/>
        <v>0</v>
      </c>
      <c r="T44" s="2012">
        <f t="shared" si="102"/>
        <v>0</v>
      </c>
      <c r="U44" s="3462"/>
      <c r="V44" s="3462"/>
      <c r="W44" s="3342">
        <f t="shared" si="103"/>
        <v>0</v>
      </c>
      <c r="X44" s="3342">
        <f t="shared" si="103"/>
        <v>0</v>
      </c>
      <c r="Y44" s="2012">
        <f t="shared" si="104"/>
        <v>0</v>
      </c>
      <c r="Z44" s="3462"/>
      <c r="AA44" s="3462"/>
      <c r="AB44" s="3341"/>
      <c r="AC44" s="3341"/>
      <c r="AD44" s="3349">
        <f t="shared" si="105"/>
        <v>0</v>
      </c>
      <c r="AE44" s="4074">
        <f t="shared" si="106"/>
        <v>0</v>
      </c>
      <c r="AF44" s="4112"/>
      <c r="AG44" s="3341"/>
      <c r="AH44" s="3341"/>
      <c r="AI44" s="3349">
        <f t="shared" si="107"/>
        <v>0</v>
      </c>
      <c r="AJ44" s="4074">
        <f t="shared" si="108"/>
        <v>0</v>
      </c>
      <c r="AK44" s="4112"/>
      <c r="AL44" s="3341"/>
      <c r="AM44" s="3341"/>
      <c r="AN44" s="3349">
        <f t="shared" si="109"/>
        <v>0</v>
      </c>
      <c r="AO44" s="4074" t="e">
        <f t="shared" si="110"/>
        <v>#DIV/0!</v>
      </c>
      <c r="AP44" s="4112"/>
      <c r="AQ44" s="3341"/>
      <c r="AR44" s="3341"/>
      <c r="AS44" s="3349">
        <f t="shared" si="111"/>
        <v>0</v>
      </c>
      <c r="AT44" s="4074" t="e">
        <f t="shared" si="112"/>
        <v>#DIV/0!</v>
      </c>
      <c r="AU44" s="4112"/>
      <c r="AV44" s="3341"/>
      <c r="AW44" s="3341"/>
      <c r="AX44" s="3349">
        <f t="shared" si="113"/>
        <v>0</v>
      </c>
      <c r="AY44" s="4074" t="e">
        <f t="shared" si="114"/>
        <v>#DIV/0!</v>
      </c>
      <c r="AZ44" s="4112"/>
      <c r="BA44" s="3341"/>
      <c r="BB44" s="3341"/>
      <c r="BC44" s="3349">
        <f t="shared" si="115"/>
        <v>0</v>
      </c>
      <c r="BD44" s="4074" t="e">
        <f t="shared" si="116"/>
        <v>#DIV/0!</v>
      </c>
      <c r="BE44" s="4112"/>
      <c r="BF44" s="3341"/>
      <c r="BG44" s="3341"/>
      <c r="BH44" s="3349">
        <f t="shared" si="117"/>
        <v>0</v>
      </c>
      <c r="BI44" s="4074" t="e">
        <f t="shared" si="118"/>
        <v>#DIV/0!</v>
      </c>
      <c r="BJ44" s="4112"/>
      <c r="BK44" s="3341"/>
      <c r="BL44" s="3341"/>
      <c r="BM44" s="3349">
        <f t="shared" si="119"/>
        <v>0</v>
      </c>
      <c r="BN44" s="4074" t="e">
        <f t="shared" si="120"/>
        <v>#DIV/0!</v>
      </c>
      <c r="BO44" s="4112"/>
      <c r="BP44" s="3341"/>
      <c r="BQ44" s="3341"/>
      <c r="BR44" s="3349">
        <f t="shared" si="121"/>
        <v>0</v>
      </c>
      <c r="BS44" s="4074" t="e">
        <f t="shared" si="122"/>
        <v>#DIV/0!</v>
      </c>
      <c r="BT44" s="4112"/>
      <c r="BU44" s="3341"/>
      <c r="BV44" s="3341"/>
      <c r="BW44" s="3349">
        <f t="shared" si="123"/>
        <v>0</v>
      </c>
      <c r="BX44" s="4074" t="e">
        <f t="shared" si="124"/>
        <v>#DIV/0!</v>
      </c>
      <c r="BY44" s="4112"/>
      <c r="BZ44" s="3341"/>
      <c r="CA44" s="3341"/>
      <c r="CB44" s="3349">
        <f t="shared" si="125"/>
        <v>0</v>
      </c>
      <c r="CC44" s="4074" t="e">
        <f t="shared" si="126"/>
        <v>#DIV/0!</v>
      </c>
      <c r="CD44" s="4112"/>
      <c r="CE44" s="3341"/>
      <c r="CF44" s="3341"/>
      <c r="CG44" s="3349">
        <f t="shared" si="127"/>
        <v>0</v>
      </c>
      <c r="CH44" s="4074" t="e">
        <f t="shared" si="128"/>
        <v>#DIV/0!</v>
      </c>
      <c r="CI44" s="4112"/>
      <c r="CJ44" s="3341">
        <f t="shared" si="129"/>
        <v>0</v>
      </c>
      <c r="CK44" s="3341">
        <f t="shared" si="129"/>
        <v>0</v>
      </c>
      <c r="CL44" s="2012">
        <f t="shared" si="130"/>
        <v>0</v>
      </c>
      <c r="CM44" s="4074">
        <f t="shared" si="94"/>
        <v>0</v>
      </c>
      <c r="CN44" s="4076"/>
      <c r="CP44" s="2012">
        <f t="shared" si="131"/>
        <v>0</v>
      </c>
      <c r="CQ44" s="2012">
        <f t="shared" si="131"/>
        <v>0</v>
      </c>
      <c r="CR44" s="4161"/>
    </row>
    <row r="45" spans="1:98" ht="13.8" outlineLevel="2">
      <c r="A45" s="4833"/>
      <c r="B45" s="4111" t="s">
        <v>8</v>
      </c>
      <c r="C45" s="3341"/>
      <c r="D45" s="3341"/>
      <c r="E45" s="3349">
        <f t="shared" si="95"/>
        <v>0</v>
      </c>
      <c r="F45" s="4074" t="e">
        <f t="shared" si="96"/>
        <v>#DIV/0!</v>
      </c>
      <c r="G45" s="4112"/>
      <c r="H45" s="3341"/>
      <c r="I45" s="3341"/>
      <c r="J45" s="3349">
        <f t="shared" si="97"/>
        <v>0</v>
      </c>
      <c r="K45" s="4074" t="e">
        <f t="shared" si="98"/>
        <v>#DIV/0!</v>
      </c>
      <c r="L45" s="4112"/>
      <c r="M45" s="3341"/>
      <c r="N45" s="3341"/>
      <c r="O45" s="3349">
        <f t="shared" si="99"/>
        <v>0</v>
      </c>
      <c r="P45" s="4074" t="e">
        <f t="shared" si="100"/>
        <v>#DIV/0!</v>
      </c>
      <c r="Q45" s="4112"/>
      <c r="R45" s="3342">
        <f t="shared" si="101"/>
        <v>0</v>
      </c>
      <c r="S45" s="3342">
        <f t="shared" si="101"/>
        <v>0</v>
      </c>
      <c r="T45" s="2012">
        <f t="shared" si="102"/>
        <v>0</v>
      </c>
      <c r="U45" s="3462"/>
      <c r="V45" s="3462"/>
      <c r="W45" s="3342">
        <f t="shared" si="103"/>
        <v>0</v>
      </c>
      <c r="X45" s="3342">
        <f t="shared" si="103"/>
        <v>0</v>
      </c>
      <c r="Y45" s="2012">
        <f t="shared" si="104"/>
        <v>0</v>
      </c>
      <c r="Z45" s="3462"/>
      <c r="AA45" s="3462"/>
      <c r="AB45" s="3341"/>
      <c r="AC45" s="3341"/>
      <c r="AD45" s="3349">
        <f t="shared" si="105"/>
        <v>0</v>
      </c>
      <c r="AE45" s="4074">
        <f t="shared" si="106"/>
        <v>0</v>
      </c>
      <c r="AF45" s="4112"/>
      <c r="AG45" s="3341"/>
      <c r="AH45" s="3341"/>
      <c r="AI45" s="3349">
        <f t="shared" si="107"/>
        <v>0</v>
      </c>
      <c r="AJ45" s="4074">
        <f t="shared" si="108"/>
        <v>0</v>
      </c>
      <c r="AK45" s="4112"/>
      <c r="AL45" s="3341"/>
      <c r="AM45" s="3341"/>
      <c r="AN45" s="3349">
        <f t="shared" si="109"/>
        <v>0</v>
      </c>
      <c r="AO45" s="4074" t="e">
        <f t="shared" si="110"/>
        <v>#DIV/0!</v>
      </c>
      <c r="AP45" s="4112"/>
      <c r="AQ45" s="3341"/>
      <c r="AR45" s="3341"/>
      <c r="AS45" s="3349">
        <f t="shared" si="111"/>
        <v>0</v>
      </c>
      <c r="AT45" s="4074" t="e">
        <f t="shared" si="112"/>
        <v>#DIV/0!</v>
      </c>
      <c r="AU45" s="4112"/>
      <c r="AV45" s="3341"/>
      <c r="AW45" s="3341"/>
      <c r="AX45" s="3349">
        <f t="shared" si="113"/>
        <v>0</v>
      </c>
      <c r="AY45" s="4074" t="e">
        <f t="shared" si="114"/>
        <v>#DIV/0!</v>
      </c>
      <c r="AZ45" s="4112"/>
      <c r="BA45" s="3341"/>
      <c r="BB45" s="3341"/>
      <c r="BC45" s="3349">
        <f t="shared" si="115"/>
        <v>0</v>
      </c>
      <c r="BD45" s="4074" t="e">
        <f t="shared" si="116"/>
        <v>#DIV/0!</v>
      </c>
      <c r="BE45" s="4112"/>
      <c r="BF45" s="3341"/>
      <c r="BG45" s="3341"/>
      <c r="BH45" s="3349">
        <f t="shared" si="117"/>
        <v>0</v>
      </c>
      <c r="BI45" s="4074" t="e">
        <f t="shared" si="118"/>
        <v>#DIV/0!</v>
      </c>
      <c r="BJ45" s="4112"/>
      <c r="BK45" s="3341"/>
      <c r="BL45" s="3341"/>
      <c r="BM45" s="3349">
        <f t="shared" si="119"/>
        <v>0</v>
      </c>
      <c r="BN45" s="4074" t="e">
        <f t="shared" si="120"/>
        <v>#DIV/0!</v>
      </c>
      <c r="BO45" s="4112"/>
      <c r="BP45" s="3341"/>
      <c r="BQ45" s="3341"/>
      <c r="BR45" s="3349">
        <f t="shared" si="121"/>
        <v>0</v>
      </c>
      <c r="BS45" s="4074" t="e">
        <f t="shared" si="122"/>
        <v>#DIV/0!</v>
      </c>
      <c r="BT45" s="4112"/>
      <c r="BU45" s="3341"/>
      <c r="BV45" s="3341"/>
      <c r="BW45" s="3349">
        <f t="shared" si="123"/>
        <v>0</v>
      </c>
      <c r="BX45" s="4074" t="e">
        <f t="shared" si="124"/>
        <v>#DIV/0!</v>
      </c>
      <c r="BY45" s="4112"/>
      <c r="BZ45" s="3341"/>
      <c r="CA45" s="3341"/>
      <c r="CB45" s="3349">
        <f t="shared" si="125"/>
        <v>0</v>
      </c>
      <c r="CC45" s="4074" t="e">
        <f t="shared" si="126"/>
        <v>#DIV/0!</v>
      </c>
      <c r="CD45" s="4112"/>
      <c r="CE45" s="3341"/>
      <c r="CF45" s="3341"/>
      <c r="CG45" s="3349">
        <f t="shared" si="127"/>
        <v>0</v>
      </c>
      <c r="CH45" s="4074" t="e">
        <f t="shared" si="128"/>
        <v>#DIV/0!</v>
      </c>
      <c r="CI45" s="4112"/>
      <c r="CJ45" s="3341">
        <f t="shared" si="129"/>
        <v>0</v>
      </c>
      <c r="CK45" s="3341">
        <f t="shared" si="129"/>
        <v>0</v>
      </c>
      <c r="CL45" s="2012">
        <f t="shared" si="130"/>
        <v>0</v>
      </c>
      <c r="CM45" s="4074">
        <f t="shared" si="94"/>
        <v>0</v>
      </c>
      <c r="CN45" s="4076"/>
      <c r="CP45" s="2012">
        <f t="shared" si="131"/>
        <v>0</v>
      </c>
      <c r="CQ45" s="2012">
        <f t="shared" si="131"/>
        <v>0</v>
      </c>
      <c r="CR45" s="4161"/>
    </row>
    <row r="46" spans="1:98" ht="13.8" outlineLevel="2">
      <c r="A46" s="4833"/>
      <c r="B46" s="4111" t="s">
        <v>29</v>
      </c>
      <c r="C46" s="3341"/>
      <c r="D46" s="3341"/>
      <c r="E46" s="3349">
        <f t="shared" si="95"/>
        <v>0</v>
      </c>
      <c r="F46" s="4074" t="e">
        <f t="shared" si="96"/>
        <v>#DIV/0!</v>
      </c>
      <c r="G46" s="4112"/>
      <c r="H46" s="3341"/>
      <c r="I46" s="3341"/>
      <c r="J46" s="3349">
        <f t="shared" si="97"/>
        <v>0</v>
      </c>
      <c r="K46" s="4074" t="e">
        <f t="shared" si="98"/>
        <v>#DIV/0!</v>
      </c>
      <c r="L46" s="4112"/>
      <c r="M46" s="3341"/>
      <c r="N46" s="3341"/>
      <c r="O46" s="3349">
        <f t="shared" si="99"/>
        <v>0</v>
      </c>
      <c r="P46" s="4074" t="e">
        <f t="shared" si="100"/>
        <v>#DIV/0!</v>
      </c>
      <c r="Q46" s="4112"/>
      <c r="R46" s="3342">
        <f t="shared" si="101"/>
        <v>0</v>
      </c>
      <c r="S46" s="3342">
        <f t="shared" si="101"/>
        <v>0</v>
      </c>
      <c r="T46" s="2012">
        <f t="shared" si="102"/>
        <v>0</v>
      </c>
      <c r="U46" s="3462"/>
      <c r="V46" s="3462"/>
      <c r="W46" s="3342">
        <f t="shared" si="103"/>
        <v>0</v>
      </c>
      <c r="X46" s="3342">
        <f t="shared" si="103"/>
        <v>0</v>
      </c>
      <c r="Y46" s="2012">
        <f t="shared" si="104"/>
        <v>0</v>
      </c>
      <c r="Z46" s="3462"/>
      <c r="AA46" s="3462"/>
      <c r="AB46" s="3341"/>
      <c r="AC46" s="3341"/>
      <c r="AD46" s="3349">
        <f t="shared" si="105"/>
        <v>0</v>
      </c>
      <c r="AE46" s="4074">
        <f t="shared" si="106"/>
        <v>0</v>
      </c>
      <c r="AF46" s="4112"/>
      <c r="AG46" s="3341"/>
      <c r="AH46" s="3341"/>
      <c r="AI46" s="3349">
        <f t="shared" si="107"/>
        <v>0</v>
      </c>
      <c r="AJ46" s="4074">
        <f t="shared" si="108"/>
        <v>0</v>
      </c>
      <c r="AK46" s="4112"/>
      <c r="AL46" s="3341"/>
      <c r="AM46" s="3341"/>
      <c r="AN46" s="3349">
        <f t="shared" si="109"/>
        <v>0</v>
      </c>
      <c r="AO46" s="4074" t="e">
        <f t="shared" si="110"/>
        <v>#DIV/0!</v>
      </c>
      <c r="AP46" s="4112"/>
      <c r="AQ46" s="3341"/>
      <c r="AR46" s="3341"/>
      <c r="AS46" s="3349">
        <f t="shared" si="111"/>
        <v>0</v>
      </c>
      <c r="AT46" s="4074" t="e">
        <f t="shared" si="112"/>
        <v>#DIV/0!</v>
      </c>
      <c r="AU46" s="4112"/>
      <c r="AV46" s="3341"/>
      <c r="AW46" s="3341"/>
      <c r="AX46" s="3349">
        <f t="shared" si="113"/>
        <v>0</v>
      </c>
      <c r="AY46" s="4074" t="e">
        <f t="shared" si="114"/>
        <v>#DIV/0!</v>
      </c>
      <c r="AZ46" s="4112"/>
      <c r="BA46" s="3341"/>
      <c r="BB46" s="3341"/>
      <c r="BC46" s="3349">
        <f t="shared" si="115"/>
        <v>0</v>
      </c>
      <c r="BD46" s="4074" t="e">
        <f t="shared" si="116"/>
        <v>#DIV/0!</v>
      </c>
      <c r="BE46" s="4112"/>
      <c r="BF46" s="3341"/>
      <c r="BG46" s="3341"/>
      <c r="BH46" s="3349">
        <f t="shared" si="117"/>
        <v>0</v>
      </c>
      <c r="BI46" s="4074" t="e">
        <f t="shared" si="118"/>
        <v>#DIV/0!</v>
      </c>
      <c r="BJ46" s="4112"/>
      <c r="BK46" s="3341"/>
      <c r="BL46" s="3341"/>
      <c r="BM46" s="3349">
        <f t="shared" si="119"/>
        <v>0</v>
      </c>
      <c r="BN46" s="4074" t="e">
        <f t="shared" si="120"/>
        <v>#DIV/0!</v>
      </c>
      <c r="BO46" s="4112"/>
      <c r="BP46" s="3341"/>
      <c r="BQ46" s="3341"/>
      <c r="BR46" s="3349">
        <f t="shared" si="121"/>
        <v>0</v>
      </c>
      <c r="BS46" s="4074" t="e">
        <f t="shared" si="122"/>
        <v>#DIV/0!</v>
      </c>
      <c r="BT46" s="4112"/>
      <c r="BU46" s="3341"/>
      <c r="BV46" s="3341"/>
      <c r="BW46" s="3349">
        <f t="shared" si="123"/>
        <v>0</v>
      </c>
      <c r="BX46" s="4074" t="e">
        <f t="shared" si="124"/>
        <v>#DIV/0!</v>
      </c>
      <c r="BY46" s="4112"/>
      <c r="BZ46" s="3341"/>
      <c r="CA46" s="3341"/>
      <c r="CB46" s="3349">
        <f t="shared" si="125"/>
        <v>0</v>
      </c>
      <c r="CC46" s="4074" t="e">
        <f t="shared" si="126"/>
        <v>#DIV/0!</v>
      </c>
      <c r="CD46" s="4112"/>
      <c r="CE46" s="3341"/>
      <c r="CF46" s="3341"/>
      <c r="CG46" s="3349">
        <f t="shared" si="127"/>
        <v>0</v>
      </c>
      <c r="CH46" s="4074" t="e">
        <f t="shared" si="128"/>
        <v>#DIV/0!</v>
      </c>
      <c r="CI46" s="4112"/>
      <c r="CJ46" s="3341">
        <f t="shared" si="129"/>
        <v>0</v>
      </c>
      <c r="CK46" s="3341">
        <f t="shared" si="129"/>
        <v>0</v>
      </c>
      <c r="CL46" s="2012">
        <f t="shared" si="130"/>
        <v>0</v>
      </c>
      <c r="CM46" s="4074">
        <f t="shared" si="94"/>
        <v>0</v>
      </c>
      <c r="CN46" s="4076"/>
      <c r="CP46" s="2012">
        <f t="shared" si="131"/>
        <v>0</v>
      </c>
      <c r="CQ46" s="2012">
        <f t="shared" si="131"/>
        <v>0</v>
      </c>
      <c r="CR46" s="4161"/>
    </row>
    <row r="47" spans="1:98" ht="13.8" outlineLevel="2">
      <c r="A47" s="4833"/>
      <c r="B47" s="4111" t="s">
        <v>30</v>
      </c>
      <c r="C47" s="3341"/>
      <c r="D47" s="3341"/>
      <c r="E47" s="3349">
        <f t="shared" si="95"/>
        <v>0</v>
      </c>
      <c r="F47" s="4074" t="e">
        <f t="shared" si="96"/>
        <v>#DIV/0!</v>
      </c>
      <c r="G47" s="4112"/>
      <c r="H47" s="3341"/>
      <c r="I47" s="3341"/>
      <c r="J47" s="3349">
        <f t="shared" si="97"/>
        <v>0</v>
      </c>
      <c r="K47" s="4074" t="e">
        <f t="shared" si="98"/>
        <v>#DIV/0!</v>
      </c>
      <c r="L47" s="4112"/>
      <c r="M47" s="3341"/>
      <c r="N47" s="3341"/>
      <c r="O47" s="3349">
        <f t="shared" si="99"/>
        <v>0</v>
      </c>
      <c r="P47" s="4074" t="e">
        <f t="shared" si="100"/>
        <v>#DIV/0!</v>
      </c>
      <c r="Q47" s="4112"/>
      <c r="R47" s="3342">
        <f t="shared" si="101"/>
        <v>0</v>
      </c>
      <c r="S47" s="3342">
        <f t="shared" si="101"/>
        <v>0</v>
      </c>
      <c r="T47" s="2012">
        <f t="shared" si="102"/>
        <v>0</v>
      </c>
      <c r="U47" s="3462"/>
      <c r="V47" s="3462"/>
      <c r="W47" s="3342">
        <f t="shared" si="103"/>
        <v>0</v>
      </c>
      <c r="X47" s="3342">
        <f t="shared" si="103"/>
        <v>0</v>
      </c>
      <c r="Y47" s="2012">
        <f t="shared" si="104"/>
        <v>0</v>
      </c>
      <c r="Z47" s="3462"/>
      <c r="AA47" s="3462"/>
      <c r="AB47" s="3341"/>
      <c r="AC47" s="3341"/>
      <c r="AD47" s="3349">
        <f t="shared" si="105"/>
        <v>0</v>
      </c>
      <c r="AE47" s="4074">
        <f t="shared" si="106"/>
        <v>0</v>
      </c>
      <c r="AF47" s="4112"/>
      <c r="AG47" s="3341"/>
      <c r="AH47" s="3341"/>
      <c r="AI47" s="3349">
        <f t="shared" si="107"/>
        <v>0</v>
      </c>
      <c r="AJ47" s="4074">
        <f t="shared" si="108"/>
        <v>0</v>
      </c>
      <c r="AK47" s="4112"/>
      <c r="AL47" s="3341"/>
      <c r="AM47" s="3341"/>
      <c r="AN47" s="3349">
        <f t="shared" si="109"/>
        <v>0</v>
      </c>
      <c r="AO47" s="4074" t="e">
        <f t="shared" si="110"/>
        <v>#DIV/0!</v>
      </c>
      <c r="AP47" s="4112"/>
      <c r="AQ47" s="3341"/>
      <c r="AR47" s="3341"/>
      <c r="AS47" s="3349">
        <f t="shared" si="111"/>
        <v>0</v>
      </c>
      <c r="AT47" s="4074" t="e">
        <f t="shared" si="112"/>
        <v>#DIV/0!</v>
      </c>
      <c r="AU47" s="4112"/>
      <c r="AV47" s="3341"/>
      <c r="AW47" s="3341"/>
      <c r="AX47" s="3349">
        <f t="shared" si="113"/>
        <v>0</v>
      </c>
      <c r="AY47" s="4074" t="e">
        <f t="shared" si="114"/>
        <v>#DIV/0!</v>
      </c>
      <c r="AZ47" s="4112"/>
      <c r="BA47" s="3341"/>
      <c r="BB47" s="3341"/>
      <c r="BC47" s="3349">
        <f t="shared" si="115"/>
        <v>0</v>
      </c>
      <c r="BD47" s="4074" t="e">
        <f t="shared" si="116"/>
        <v>#DIV/0!</v>
      </c>
      <c r="BE47" s="4112"/>
      <c r="BF47" s="3341"/>
      <c r="BG47" s="3341"/>
      <c r="BH47" s="3349">
        <f t="shared" si="117"/>
        <v>0</v>
      </c>
      <c r="BI47" s="4074" t="e">
        <f t="shared" si="118"/>
        <v>#DIV/0!</v>
      </c>
      <c r="BJ47" s="4112"/>
      <c r="BK47" s="3341"/>
      <c r="BL47" s="3341"/>
      <c r="BM47" s="3349">
        <f t="shared" si="119"/>
        <v>0</v>
      </c>
      <c r="BN47" s="4074" t="e">
        <f t="shared" si="120"/>
        <v>#DIV/0!</v>
      </c>
      <c r="BO47" s="4112"/>
      <c r="BP47" s="3341"/>
      <c r="BQ47" s="3341"/>
      <c r="BR47" s="3349">
        <f t="shared" si="121"/>
        <v>0</v>
      </c>
      <c r="BS47" s="4074" t="e">
        <f t="shared" si="122"/>
        <v>#DIV/0!</v>
      </c>
      <c r="BT47" s="4112"/>
      <c r="BU47" s="3341"/>
      <c r="BV47" s="3341"/>
      <c r="BW47" s="3349">
        <f t="shared" si="123"/>
        <v>0</v>
      </c>
      <c r="BX47" s="4074" t="e">
        <f t="shared" si="124"/>
        <v>#DIV/0!</v>
      </c>
      <c r="BY47" s="4112"/>
      <c r="BZ47" s="3341"/>
      <c r="CA47" s="3341"/>
      <c r="CB47" s="3349">
        <f t="shared" si="125"/>
        <v>0</v>
      </c>
      <c r="CC47" s="4074" t="e">
        <f t="shared" si="126"/>
        <v>#DIV/0!</v>
      </c>
      <c r="CD47" s="4112"/>
      <c r="CE47" s="3341"/>
      <c r="CF47" s="3341"/>
      <c r="CG47" s="3349">
        <f t="shared" si="127"/>
        <v>0</v>
      </c>
      <c r="CH47" s="4074" t="e">
        <f t="shared" si="128"/>
        <v>#DIV/0!</v>
      </c>
      <c r="CI47" s="4112"/>
      <c r="CJ47" s="3341">
        <f t="shared" si="129"/>
        <v>0</v>
      </c>
      <c r="CK47" s="3341">
        <f t="shared" si="129"/>
        <v>0</v>
      </c>
      <c r="CL47" s="2012">
        <f t="shared" si="130"/>
        <v>0</v>
      </c>
      <c r="CM47" s="4074">
        <f t="shared" si="94"/>
        <v>0</v>
      </c>
      <c r="CN47" s="4076"/>
      <c r="CP47" s="2012">
        <f t="shared" si="131"/>
        <v>0</v>
      </c>
      <c r="CQ47" s="2012">
        <f t="shared" si="131"/>
        <v>0</v>
      </c>
      <c r="CR47" s="4161"/>
    </row>
    <row r="48" spans="1:98" ht="13.8" outlineLevel="2">
      <c r="A48" s="4833"/>
      <c r="B48" s="4111" t="s">
        <v>15</v>
      </c>
      <c r="C48" s="3341"/>
      <c r="D48" s="3341"/>
      <c r="E48" s="3349">
        <f t="shared" si="95"/>
        <v>0</v>
      </c>
      <c r="F48" s="4074" t="e">
        <f t="shared" si="96"/>
        <v>#DIV/0!</v>
      </c>
      <c r="G48" s="4112"/>
      <c r="H48" s="3341"/>
      <c r="I48" s="3341"/>
      <c r="J48" s="3349">
        <f t="shared" si="97"/>
        <v>0</v>
      </c>
      <c r="K48" s="4074" t="e">
        <f t="shared" si="98"/>
        <v>#DIV/0!</v>
      </c>
      <c r="L48" s="4112"/>
      <c r="M48" s="3341"/>
      <c r="N48" s="3341"/>
      <c r="O48" s="3349">
        <f t="shared" si="99"/>
        <v>0</v>
      </c>
      <c r="P48" s="4074" t="e">
        <f t="shared" si="100"/>
        <v>#DIV/0!</v>
      </c>
      <c r="Q48" s="4112"/>
      <c r="R48" s="3342">
        <f t="shared" si="101"/>
        <v>0</v>
      </c>
      <c r="S48" s="3342">
        <f t="shared" si="101"/>
        <v>0</v>
      </c>
      <c r="T48" s="2012">
        <f t="shared" si="102"/>
        <v>0</v>
      </c>
      <c r="U48" s="4113"/>
      <c r="V48" s="4112"/>
      <c r="W48" s="4114">
        <f t="shared" si="103"/>
        <v>0</v>
      </c>
      <c r="X48" s="4114">
        <f t="shared" si="103"/>
        <v>0</v>
      </c>
      <c r="Y48" s="4115">
        <f t="shared" si="104"/>
        <v>0</v>
      </c>
      <c r="Z48" s="4112"/>
      <c r="AA48" s="4112"/>
      <c r="AB48" s="4080"/>
      <c r="AC48" s="4080"/>
      <c r="AD48" s="4116">
        <f t="shared" si="105"/>
        <v>0</v>
      </c>
      <c r="AE48" s="4074">
        <f t="shared" si="106"/>
        <v>0</v>
      </c>
      <c r="AF48" s="4112"/>
      <c r="AG48" s="4080"/>
      <c r="AH48" s="3341"/>
      <c r="AI48" s="3349">
        <f t="shared" si="107"/>
        <v>0</v>
      </c>
      <c r="AJ48" s="4074">
        <f t="shared" si="108"/>
        <v>0</v>
      </c>
      <c r="AK48" s="4112"/>
      <c r="AL48" s="3341"/>
      <c r="AM48" s="3341"/>
      <c r="AN48" s="3349">
        <f t="shared" si="109"/>
        <v>0</v>
      </c>
      <c r="AO48" s="4074" t="e">
        <f t="shared" si="110"/>
        <v>#DIV/0!</v>
      </c>
      <c r="AP48" s="4112"/>
      <c r="AQ48" s="3341"/>
      <c r="AR48" s="3341"/>
      <c r="AS48" s="3349">
        <f t="shared" si="111"/>
        <v>0</v>
      </c>
      <c r="AT48" s="4074" t="e">
        <f t="shared" si="112"/>
        <v>#DIV/0!</v>
      </c>
      <c r="AU48" s="4112"/>
      <c r="AV48" s="3341"/>
      <c r="AW48" s="3341"/>
      <c r="AX48" s="3349">
        <f t="shared" si="113"/>
        <v>0</v>
      </c>
      <c r="AY48" s="4074" t="e">
        <f t="shared" si="114"/>
        <v>#DIV/0!</v>
      </c>
      <c r="AZ48" s="4112"/>
      <c r="BA48" s="3341"/>
      <c r="BB48" s="3341"/>
      <c r="BC48" s="3349">
        <f t="shared" si="115"/>
        <v>0</v>
      </c>
      <c r="BD48" s="4074" t="e">
        <f t="shared" si="116"/>
        <v>#DIV/0!</v>
      </c>
      <c r="BE48" s="4112"/>
      <c r="BF48" s="3341"/>
      <c r="BG48" s="3341"/>
      <c r="BH48" s="3349">
        <f t="shared" si="117"/>
        <v>0</v>
      </c>
      <c r="BI48" s="4074" t="e">
        <f t="shared" si="118"/>
        <v>#DIV/0!</v>
      </c>
      <c r="BJ48" s="4112"/>
      <c r="BK48" s="3341"/>
      <c r="BL48" s="3341"/>
      <c r="BM48" s="3349">
        <f t="shared" si="119"/>
        <v>0</v>
      </c>
      <c r="BN48" s="4074" t="e">
        <f t="shared" si="120"/>
        <v>#DIV/0!</v>
      </c>
      <c r="BO48" s="4112"/>
      <c r="BP48" s="3341"/>
      <c r="BQ48" s="3341"/>
      <c r="BR48" s="3349">
        <f t="shared" si="121"/>
        <v>0</v>
      </c>
      <c r="BS48" s="4074" t="e">
        <f t="shared" si="122"/>
        <v>#DIV/0!</v>
      </c>
      <c r="BT48" s="4112"/>
      <c r="BU48" s="3341"/>
      <c r="BV48" s="3341"/>
      <c r="BW48" s="3349">
        <f t="shared" si="123"/>
        <v>0</v>
      </c>
      <c r="BX48" s="4074" t="e">
        <f t="shared" si="124"/>
        <v>#DIV/0!</v>
      </c>
      <c r="BY48" s="4112"/>
      <c r="BZ48" s="3341"/>
      <c r="CA48" s="3341"/>
      <c r="CB48" s="3349">
        <f t="shared" si="125"/>
        <v>0</v>
      </c>
      <c r="CC48" s="4074" t="e">
        <f t="shared" si="126"/>
        <v>#DIV/0!</v>
      </c>
      <c r="CD48" s="4112"/>
      <c r="CE48" s="3341"/>
      <c r="CF48" s="3341"/>
      <c r="CG48" s="3349">
        <f t="shared" si="127"/>
        <v>0</v>
      </c>
      <c r="CH48" s="4074" t="e">
        <f t="shared" si="128"/>
        <v>#DIV/0!</v>
      </c>
      <c r="CI48" s="4112"/>
      <c r="CJ48" s="3341">
        <f t="shared" si="129"/>
        <v>0</v>
      </c>
      <c r="CK48" s="3341">
        <f t="shared" si="129"/>
        <v>0</v>
      </c>
      <c r="CL48" s="2012">
        <f t="shared" si="130"/>
        <v>0</v>
      </c>
      <c r="CM48" s="4074">
        <f t="shared" si="94"/>
        <v>0</v>
      </c>
      <c r="CN48" s="4076"/>
      <c r="CP48" s="2012">
        <f t="shared" si="131"/>
        <v>0</v>
      </c>
      <c r="CQ48" s="2012">
        <f t="shared" si="131"/>
        <v>0</v>
      </c>
      <c r="CR48" s="4161"/>
    </row>
    <row r="49" spans="1:98" s="1396" customFormat="1" ht="14.4" outlineLevel="2" thickBot="1">
      <c r="A49" s="1405"/>
      <c r="B49" s="4117"/>
      <c r="C49" s="3341"/>
      <c r="D49" s="3341"/>
      <c r="E49" s="4102"/>
      <c r="F49" s="4084"/>
      <c r="G49" s="4103"/>
      <c r="H49" s="3341"/>
      <c r="I49" s="3341"/>
      <c r="J49" s="4102"/>
      <c r="K49" s="4084"/>
      <c r="L49" s="4103"/>
      <c r="M49" s="3341"/>
      <c r="N49" s="3341"/>
      <c r="O49" s="4102"/>
      <c r="P49" s="4084"/>
      <c r="Q49" s="4103"/>
      <c r="R49" s="3456"/>
      <c r="S49" s="3456"/>
      <c r="T49" s="3456"/>
      <c r="U49" s="3733"/>
      <c r="V49" s="3734"/>
      <c r="W49" s="3734"/>
      <c r="X49" s="3734"/>
      <c r="Y49" s="3734"/>
      <c r="Z49" s="3734"/>
      <c r="AA49" s="3734"/>
      <c r="AB49" s="3375"/>
      <c r="AC49" s="3375"/>
      <c r="AD49" s="4102"/>
      <c r="AE49" s="4084">
        <f t="shared" si="106"/>
        <v>0</v>
      </c>
      <c r="AF49" s="4103"/>
      <c r="AG49" s="3375"/>
      <c r="AH49" s="3341"/>
      <c r="AI49" s="4102"/>
      <c r="AJ49" s="4084">
        <f t="shared" si="108"/>
        <v>0</v>
      </c>
      <c r="AK49" s="4103"/>
      <c r="AL49" s="3341"/>
      <c r="AM49" s="3341"/>
      <c r="AN49" s="4102"/>
      <c r="AO49" s="4084" t="e">
        <f t="shared" si="110"/>
        <v>#DIV/0!</v>
      </c>
      <c r="AP49" s="4103"/>
      <c r="AQ49" s="3341"/>
      <c r="AR49" s="3341"/>
      <c r="AS49" s="4102"/>
      <c r="AT49" s="4084" t="e">
        <f t="shared" si="112"/>
        <v>#DIV/0!</v>
      </c>
      <c r="AU49" s="4103"/>
      <c r="AV49" s="3341"/>
      <c r="AW49" s="3341"/>
      <c r="AX49" s="4102"/>
      <c r="AY49" s="4084" t="e">
        <f t="shared" si="114"/>
        <v>#DIV/0!</v>
      </c>
      <c r="AZ49" s="4103"/>
      <c r="BA49" s="3341"/>
      <c r="BB49" s="3341"/>
      <c r="BC49" s="4102"/>
      <c r="BD49" s="4084" t="e">
        <f t="shared" si="116"/>
        <v>#DIV/0!</v>
      </c>
      <c r="BE49" s="4103"/>
      <c r="BF49" s="3341"/>
      <c r="BG49" s="3341"/>
      <c r="BH49" s="4102"/>
      <c r="BI49" s="4084" t="e">
        <f t="shared" si="118"/>
        <v>#DIV/0!</v>
      </c>
      <c r="BJ49" s="4103"/>
      <c r="BK49" s="3341"/>
      <c r="BL49" s="3341"/>
      <c r="BM49" s="4102"/>
      <c r="BN49" s="4084" t="e">
        <f t="shared" si="120"/>
        <v>#DIV/0!</v>
      </c>
      <c r="BO49" s="4103"/>
      <c r="BP49" s="3341"/>
      <c r="BQ49" s="3341"/>
      <c r="BR49" s="4102"/>
      <c r="BS49" s="4084" t="e">
        <f t="shared" si="122"/>
        <v>#DIV/0!</v>
      </c>
      <c r="BT49" s="4103"/>
      <c r="BU49" s="3341"/>
      <c r="BV49" s="3341"/>
      <c r="BW49" s="4102"/>
      <c r="BX49" s="4084" t="e">
        <f t="shared" si="124"/>
        <v>#DIV/0!</v>
      </c>
      <c r="BY49" s="4103"/>
      <c r="BZ49" s="3341"/>
      <c r="CA49" s="3341"/>
      <c r="CB49" s="4102"/>
      <c r="CC49" s="4084" t="e">
        <f t="shared" si="126"/>
        <v>#DIV/0!</v>
      </c>
      <c r="CD49" s="4103"/>
      <c r="CE49" s="3341"/>
      <c r="CF49" s="3341"/>
      <c r="CG49" s="4102"/>
      <c r="CH49" s="4084" t="e">
        <f t="shared" si="128"/>
        <v>#DIV/0!</v>
      </c>
      <c r="CI49" s="4103"/>
      <c r="CJ49" s="3341"/>
      <c r="CK49" s="3341"/>
      <c r="CL49" s="4102"/>
      <c r="CM49" s="4074">
        <f t="shared" si="94"/>
        <v>0</v>
      </c>
      <c r="CN49" s="4102"/>
      <c r="CP49" s="4104"/>
      <c r="CQ49" s="4104"/>
      <c r="CR49" s="4161"/>
      <c r="CT49" s="2624"/>
    </row>
    <row r="50" spans="1:98" s="1396" customFormat="1" ht="13.8" outlineLevel="1">
      <c r="A50" s="1565"/>
      <c r="B50" s="1410" t="s">
        <v>59</v>
      </c>
      <c r="C50" s="2015">
        <f>C52+C51</f>
        <v>0</v>
      </c>
      <c r="D50" s="2015">
        <f>D52+D51</f>
        <v>0</v>
      </c>
      <c r="E50" s="2014">
        <f>SUM(E51:E52)</f>
        <v>0</v>
      </c>
      <c r="F50" s="4110" t="e">
        <f>E50/$E$89</f>
        <v>#DIV/0!</v>
      </c>
      <c r="G50" s="1057"/>
      <c r="H50" s="2015">
        <f>H52+H51</f>
        <v>0</v>
      </c>
      <c r="I50" s="2015">
        <f>I52+I51</f>
        <v>0</v>
      </c>
      <c r="J50" s="2014">
        <f>SUM(J51:J52)</f>
        <v>0</v>
      </c>
      <c r="K50" s="4110" t="e">
        <f>J50/$E$89</f>
        <v>#DIV/0!</v>
      </c>
      <c r="L50" s="1057"/>
      <c r="M50" s="2015">
        <f>M52+M51</f>
        <v>0</v>
      </c>
      <c r="N50" s="2015">
        <f>N52+N51</f>
        <v>0</v>
      </c>
      <c r="O50" s="2014">
        <f>SUM(O51:O52)</f>
        <v>0</v>
      </c>
      <c r="P50" s="4110" t="e">
        <f>O50/$E$89</f>
        <v>#DIV/0!</v>
      </c>
      <c r="Q50" s="1057"/>
      <c r="R50" s="2015">
        <f>R52+R51</f>
        <v>0</v>
      </c>
      <c r="S50" s="2015">
        <f>S52+S51</f>
        <v>0</v>
      </c>
      <c r="T50" s="2015">
        <f>SUM(T51:T52)</f>
        <v>0</v>
      </c>
      <c r="U50" s="1535"/>
      <c r="V50" s="3460"/>
      <c r="W50" s="2013">
        <f>W52+W51</f>
        <v>0</v>
      </c>
      <c r="X50" s="2013">
        <f>X52+X51</f>
        <v>0</v>
      </c>
      <c r="Y50" s="2013">
        <f>SUM(Y51:Y52)</f>
        <v>0</v>
      </c>
      <c r="Z50" s="1535"/>
      <c r="AA50" s="3460"/>
      <c r="AB50" s="2013">
        <f>AB52+AB51</f>
        <v>0</v>
      </c>
      <c r="AC50" s="2013">
        <f>AC52+AC51</f>
        <v>0</v>
      </c>
      <c r="AD50" s="2013">
        <f>SUM(AD51:AD52)</f>
        <v>0</v>
      </c>
      <c r="AE50" s="1535"/>
      <c r="AF50" s="3735"/>
      <c r="AG50" s="2013">
        <f>AG52+AG51</f>
        <v>0</v>
      </c>
      <c r="AH50" s="2015">
        <f>AH52+AH51</f>
        <v>0</v>
      </c>
      <c r="AI50" s="2015">
        <f>SUM(AI51:AI52)</f>
        <v>0</v>
      </c>
      <c r="AJ50" s="1535"/>
      <c r="AK50" s="1057"/>
      <c r="AL50" s="2015">
        <f>AL52+AL51</f>
        <v>0</v>
      </c>
      <c r="AM50" s="2015">
        <f>AM52+AM51</f>
        <v>0</v>
      </c>
      <c r="AN50" s="2015">
        <f>SUM(AN51:AN52)</f>
        <v>0</v>
      </c>
      <c r="AO50" s="1535"/>
      <c r="AP50" s="1057"/>
      <c r="AQ50" s="2015">
        <f>AQ52+AQ51</f>
        <v>0</v>
      </c>
      <c r="AR50" s="2015">
        <f>AR52+AR51</f>
        <v>0</v>
      </c>
      <c r="AS50" s="2015">
        <f>SUM(AS51:AS52)</f>
        <v>0</v>
      </c>
      <c r="AT50" s="1535"/>
      <c r="AU50" s="1057"/>
      <c r="AV50" s="2015">
        <f>AV52+AV51</f>
        <v>0</v>
      </c>
      <c r="AW50" s="2015">
        <f>AW52+AW51</f>
        <v>0</v>
      </c>
      <c r="AX50" s="2015">
        <f>SUM(AX51:AX52)</f>
        <v>0</v>
      </c>
      <c r="AY50" s="1535"/>
      <c r="AZ50" s="1057"/>
      <c r="BA50" s="2015">
        <f>BA52+BA51</f>
        <v>0</v>
      </c>
      <c r="BB50" s="2015">
        <f>BB52+BB51</f>
        <v>0</v>
      </c>
      <c r="BC50" s="2015">
        <f>SUM(BC51:BC52)</f>
        <v>0</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0</v>
      </c>
      <c r="CK50" s="2015">
        <f>CK52+CK51</f>
        <v>0</v>
      </c>
      <c r="CL50" s="2015">
        <f>SUM(CL51:CL52)</f>
        <v>0</v>
      </c>
      <c r="CM50" s="2006"/>
      <c r="CN50" s="2006"/>
      <c r="CP50" s="2015">
        <f>SUM(CP51:CP52)</f>
        <v>0</v>
      </c>
      <c r="CQ50" s="2015">
        <f>SUM(CQ51:CQ52)</f>
        <v>0</v>
      </c>
      <c r="CR50" s="2015"/>
      <c r="CT50" s="2624"/>
    </row>
    <row r="51" spans="1:98" s="1396" customFormat="1" ht="13.8" outlineLevel="1">
      <c r="A51" s="1566"/>
      <c r="B51" s="4111" t="s">
        <v>60</v>
      </c>
      <c r="C51" s="3341"/>
      <c r="D51" s="3341"/>
      <c r="E51" s="3349">
        <f t="shared" ref="E51:E52" si="132">C51+D51</f>
        <v>0</v>
      </c>
      <c r="F51" s="4074" t="e">
        <f t="shared" ref="F51:F71" si="133">E51/$E$89</f>
        <v>#DIV/0!</v>
      </c>
      <c r="G51" s="4099"/>
      <c r="H51" s="3341"/>
      <c r="I51" s="3341"/>
      <c r="J51" s="3349">
        <f>H51+I51</f>
        <v>0</v>
      </c>
      <c r="K51" s="4074" t="e">
        <f t="shared" ref="K51:K52" si="134">J51/J$89</f>
        <v>#DIV/0!</v>
      </c>
      <c r="L51" s="4099"/>
      <c r="M51" s="3341"/>
      <c r="N51" s="3341"/>
      <c r="O51" s="3349">
        <f t="shared" ref="O51:O52" si="135">M51+N51</f>
        <v>0</v>
      </c>
      <c r="P51" s="4074" t="e">
        <f t="shared" ref="P51:P53" si="136">O51/O$89</f>
        <v>#DIV/0!</v>
      </c>
      <c r="Q51" s="4099"/>
      <c r="R51" s="3342">
        <f t="shared" ref="R51:S52" si="137">M51+H51+C51</f>
        <v>0</v>
      </c>
      <c r="S51" s="3342">
        <f t="shared" si="137"/>
        <v>0</v>
      </c>
      <c r="T51" s="2012">
        <f t="shared" ref="T51:T52" si="138">R51+S51</f>
        <v>0</v>
      </c>
      <c r="U51" s="3455"/>
      <c r="V51" s="3455"/>
      <c r="W51" s="3342">
        <f t="shared" ref="W51:X52" si="139">AB51+AG51+AL51+AV51+BA51+BF51+BK51+BP51+BU51+BZ51+CE51+AQ51</f>
        <v>0</v>
      </c>
      <c r="X51" s="3342">
        <f t="shared" si="139"/>
        <v>0</v>
      </c>
      <c r="Y51" s="2012">
        <f t="shared" ref="Y51:Y52" si="140">W51+X51</f>
        <v>0</v>
      </c>
      <c r="Z51" s="3455"/>
      <c r="AA51" s="3455"/>
      <c r="AB51" s="3341"/>
      <c r="AC51" s="3341"/>
      <c r="AD51" s="3349">
        <f t="shared" ref="AD51:AD52" si="141">AB51+AC51</f>
        <v>0</v>
      </c>
      <c r="AE51" s="4074">
        <f t="shared" ref="AE51:AE53" si="142">AD51/AD$89</f>
        <v>0</v>
      </c>
      <c r="AF51" s="4099"/>
      <c r="AG51" s="3341"/>
      <c r="AH51" s="3341"/>
      <c r="AI51" s="3349">
        <f t="shared" ref="AI51:AI52" si="143">AG51+AH51</f>
        <v>0</v>
      </c>
      <c r="AJ51" s="4074">
        <f t="shared" ref="AJ51:AJ53" si="144">AI51/AI$89</f>
        <v>0</v>
      </c>
      <c r="AK51" s="4099"/>
      <c r="AL51" s="3341"/>
      <c r="AM51" s="3341"/>
      <c r="AN51" s="3349">
        <f t="shared" ref="AN51:AN52" si="145">AL51+AM51</f>
        <v>0</v>
      </c>
      <c r="AO51" s="4074" t="e">
        <f t="shared" ref="AO51:AO53" si="146">AN51/AN$89</f>
        <v>#DIV/0!</v>
      </c>
      <c r="AP51" s="4099"/>
      <c r="AQ51" s="3341"/>
      <c r="AR51" s="3341"/>
      <c r="AS51" s="3349">
        <f t="shared" ref="AS51:AS52" si="147">AQ51+AR51</f>
        <v>0</v>
      </c>
      <c r="AT51" s="4074" t="e">
        <f t="shared" ref="AT51:AT53" si="148">AS51/AS$89</f>
        <v>#DIV/0!</v>
      </c>
      <c r="AU51" s="4099"/>
      <c r="AV51" s="3341"/>
      <c r="AW51" s="3341"/>
      <c r="AX51" s="3349">
        <f t="shared" ref="AX51:AX52" si="149">AV51+AW51</f>
        <v>0</v>
      </c>
      <c r="AY51" s="4074" t="e">
        <f t="shared" ref="AY51:AY53" si="150">AX51/AX$89</f>
        <v>#DIV/0!</v>
      </c>
      <c r="AZ51" s="4099"/>
      <c r="BA51" s="3341"/>
      <c r="BB51" s="3341"/>
      <c r="BC51" s="3349">
        <f t="shared" ref="BC51:BC52" si="151">BA51+BB51</f>
        <v>0</v>
      </c>
      <c r="BD51" s="4074" t="e">
        <f t="shared" ref="BD51:BD53" si="152">BC51/BC$89</f>
        <v>#DIV/0!</v>
      </c>
      <c r="BE51" s="4099"/>
      <c r="BF51" s="3341"/>
      <c r="BG51" s="3341"/>
      <c r="BH51" s="3349">
        <f t="shared" ref="BH51:BH52" si="153">BF51+BG51</f>
        <v>0</v>
      </c>
      <c r="BI51" s="4074" t="e">
        <f t="shared" ref="BI51:BI53" si="154">BH51/BH$89</f>
        <v>#DIV/0!</v>
      </c>
      <c r="BJ51" s="4099"/>
      <c r="BK51" s="3341"/>
      <c r="BL51" s="3341"/>
      <c r="BM51" s="3349">
        <f t="shared" ref="BM51:BM52" si="155">BK51+BL51</f>
        <v>0</v>
      </c>
      <c r="BN51" s="4074" t="e">
        <f t="shared" ref="BN51:BN53" si="156">BM51/BM$89</f>
        <v>#DIV/0!</v>
      </c>
      <c r="BO51" s="4099"/>
      <c r="BP51" s="3341"/>
      <c r="BQ51" s="3341"/>
      <c r="BR51" s="3349">
        <f t="shared" ref="BR51:BR52" si="157">BP51+BQ51</f>
        <v>0</v>
      </c>
      <c r="BS51" s="4074" t="e">
        <f t="shared" ref="BS51:BS53" si="158">BR51/BR$89</f>
        <v>#DIV/0!</v>
      </c>
      <c r="BT51" s="4099"/>
      <c r="BU51" s="3341"/>
      <c r="BV51" s="3341"/>
      <c r="BW51" s="3349">
        <f t="shared" ref="BW51:BW52" si="159">BU51+BV51</f>
        <v>0</v>
      </c>
      <c r="BX51" s="4074" t="e">
        <f t="shared" ref="BX51:BX53" si="160">BW51/BW$89</f>
        <v>#DIV/0!</v>
      </c>
      <c r="BY51" s="4099"/>
      <c r="BZ51" s="3341"/>
      <c r="CA51" s="3341"/>
      <c r="CB51" s="3349">
        <f t="shared" ref="CB51:CB52" si="161">BZ51+CA51</f>
        <v>0</v>
      </c>
      <c r="CC51" s="4074" t="e">
        <f t="shared" ref="CC51:CC53" si="162">CB51/CB$89</f>
        <v>#DIV/0!</v>
      </c>
      <c r="CD51" s="4099"/>
      <c r="CE51" s="3341"/>
      <c r="CF51" s="3341"/>
      <c r="CG51" s="3349">
        <f t="shared" ref="CG51:CG52" si="163">CE51+CF51</f>
        <v>0</v>
      </c>
      <c r="CH51" s="4074" t="e">
        <f t="shared" ref="CH51:CH53" si="164">CG51/CG$89</f>
        <v>#DIV/0!</v>
      </c>
      <c r="CI51" s="4099"/>
      <c r="CJ51" s="3341">
        <f t="shared" ref="CJ51:CK53" si="165">C51+H51+M51+W51</f>
        <v>0</v>
      </c>
      <c r="CK51" s="3341">
        <f t="shared" si="165"/>
        <v>0</v>
      </c>
      <c r="CL51" s="2012">
        <f>CJ51+CK51*1</f>
        <v>0</v>
      </c>
      <c r="CM51" s="4074">
        <f>CL51/$CL$89</f>
        <v>0</v>
      </c>
      <c r="CN51" s="4100"/>
      <c r="CP51" s="2012">
        <f>CN51+CO51*1</f>
        <v>0</v>
      </c>
      <c r="CQ51" s="2012">
        <f>CO51+CP51*1</f>
        <v>0</v>
      </c>
      <c r="CR51" s="4161"/>
      <c r="CT51" s="2624"/>
    </row>
    <row r="52" spans="1:98" ht="13.8" outlineLevel="2">
      <c r="A52" s="1566"/>
      <c r="B52" s="4111" t="s">
        <v>61</v>
      </c>
      <c r="C52" s="3341"/>
      <c r="D52" s="3341"/>
      <c r="E52" s="3349">
        <f t="shared" si="132"/>
        <v>0</v>
      </c>
      <c r="F52" s="4074" t="e">
        <f t="shared" si="133"/>
        <v>#DIV/0!</v>
      </c>
      <c r="G52" s="4099"/>
      <c r="H52" s="3341"/>
      <c r="I52" s="3341"/>
      <c r="J52" s="3349">
        <f>H52+I52</f>
        <v>0</v>
      </c>
      <c r="K52" s="4074" t="e">
        <f t="shared" si="134"/>
        <v>#DIV/0!</v>
      </c>
      <c r="L52" s="4099"/>
      <c r="M52" s="3341"/>
      <c r="N52" s="3341"/>
      <c r="O52" s="3349">
        <f t="shared" si="135"/>
        <v>0</v>
      </c>
      <c r="P52" s="4074" t="e">
        <f t="shared" si="136"/>
        <v>#DIV/0!</v>
      </c>
      <c r="Q52" s="4099"/>
      <c r="R52" s="3342">
        <f t="shared" si="137"/>
        <v>0</v>
      </c>
      <c r="S52" s="3342">
        <f t="shared" si="137"/>
        <v>0</v>
      </c>
      <c r="T52" s="2012">
        <f t="shared" si="138"/>
        <v>0</v>
      </c>
      <c r="U52" s="3455"/>
      <c r="V52" s="3455"/>
      <c r="W52" s="3342">
        <f t="shared" si="139"/>
        <v>0</v>
      </c>
      <c r="X52" s="3342">
        <f t="shared" si="139"/>
        <v>0</v>
      </c>
      <c r="Y52" s="2012">
        <f t="shared" si="140"/>
        <v>0</v>
      </c>
      <c r="Z52" s="3455"/>
      <c r="AA52" s="3455"/>
      <c r="AB52" s="3341"/>
      <c r="AC52" s="3341"/>
      <c r="AD52" s="3349">
        <f t="shared" si="141"/>
        <v>0</v>
      </c>
      <c r="AE52" s="4074">
        <f t="shared" si="142"/>
        <v>0</v>
      </c>
      <c r="AF52" s="4099"/>
      <c r="AG52" s="3341"/>
      <c r="AH52" s="3341"/>
      <c r="AI52" s="3349">
        <f t="shared" si="143"/>
        <v>0</v>
      </c>
      <c r="AJ52" s="4074">
        <f t="shared" si="144"/>
        <v>0</v>
      </c>
      <c r="AK52" s="4099"/>
      <c r="AL52" s="3341"/>
      <c r="AM52" s="3341"/>
      <c r="AN52" s="3349">
        <f t="shared" si="145"/>
        <v>0</v>
      </c>
      <c r="AO52" s="4074" t="e">
        <f t="shared" si="146"/>
        <v>#DIV/0!</v>
      </c>
      <c r="AP52" s="4099"/>
      <c r="AQ52" s="3341"/>
      <c r="AR52" s="3341"/>
      <c r="AS52" s="3349">
        <f t="shared" si="147"/>
        <v>0</v>
      </c>
      <c r="AT52" s="4074" t="e">
        <f t="shared" si="148"/>
        <v>#DIV/0!</v>
      </c>
      <c r="AU52" s="4099"/>
      <c r="AV52" s="3341"/>
      <c r="AW52" s="3341"/>
      <c r="AX52" s="3349">
        <f t="shared" si="149"/>
        <v>0</v>
      </c>
      <c r="AY52" s="4074" t="e">
        <f t="shared" si="150"/>
        <v>#DIV/0!</v>
      </c>
      <c r="AZ52" s="4099"/>
      <c r="BA52" s="3341"/>
      <c r="BB52" s="3341"/>
      <c r="BC52" s="3349">
        <f t="shared" si="151"/>
        <v>0</v>
      </c>
      <c r="BD52" s="4074" t="e">
        <f t="shared" si="152"/>
        <v>#DIV/0!</v>
      </c>
      <c r="BE52" s="4099"/>
      <c r="BF52" s="3341"/>
      <c r="BG52" s="3341"/>
      <c r="BH52" s="3349">
        <f t="shared" si="153"/>
        <v>0</v>
      </c>
      <c r="BI52" s="4074" t="e">
        <f t="shared" si="154"/>
        <v>#DIV/0!</v>
      </c>
      <c r="BJ52" s="4099"/>
      <c r="BK52" s="3341"/>
      <c r="BL52" s="3341"/>
      <c r="BM52" s="3349">
        <f t="shared" si="155"/>
        <v>0</v>
      </c>
      <c r="BN52" s="4074" t="e">
        <f t="shared" si="156"/>
        <v>#DIV/0!</v>
      </c>
      <c r="BO52" s="4099"/>
      <c r="BP52" s="3341"/>
      <c r="BQ52" s="3341"/>
      <c r="BR52" s="3349">
        <f t="shared" si="157"/>
        <v>0</v>
      </c>
      <c r="BS52" s="4074" t="e">
        <f t="shared" si="158"/>
        <v>#DIV/0!</v>
      </c>
      <c r="BT52" s="4099"/>
      <c r="BU52" s="3341"/>
      <c r="BV52" s="3341"/>
      <c r="BW52" s="3349">
        <f t="shared" si="159"/>
        <v>0</v>
      </c>
      <c r="BX52" s="4074" t="e">
        <f t="shared" si="160"/>
        <v>#DIV/0!</v>
      </c>
      <c r="BY52" s="4099"/>
      <c r="BZ52" s="3341"/>
      <c r="CA52" s="3341"/>
      <c r="CB52" s="3349">
        <f t="shared" si="161"/>
        <v>0</v>
      </c>
      <c r="CC52" s="4074" t="e">
        <f t="shared" si="162"/>
        <v>#DIV/0!</v>
      </c>
      <c r="CD52" s="4099"/>
      <c r="CE52" s="3341"/>
      <c r="CF52" s="3341"/>
      <c r="CG52" s="3349">
        <f t="shared" si="163"/>
        <v>0</v>
      </c>
      <c r="CH52" s="4074" t="e">
        <f t="shared" si="164"/>
        <v>#DIV/0!</v>
      </c>
      <c r="CI52" s="4099"/>
      <c r="CJ52" s="3341">
        <f t="shared" si="165"/>
        <v>0</v>
      </c>
      <c r="CK52" s="3341">
        <f t="shared" si="165"/>
        <v>0</v>
      </c>
      <c r="CL52" s="2012">
        <f>CJ52+CK52*1</f>
        <v>0</v>
      </c>
      <c r="CM52" s="4074">
        <f>CL52/$CL$89</f>
        <v>0</v>
      </c>
      <c r="CN52" s="4100"/>
      <c r="CP52" s="2012">
        <f>CN52+CO52*1</f>
        <v>0</v>
      </c>
      <c r="CQ52" s="2012">
        <f>CO52+CP52*1</f>
        <v>0</v>
      </c>
      <c r="CR52" s="4161"/>
    </row>
    <row r="53" spans="1:98" ht="14.4" outlineLevel="1" thickBot="1">
      <c r="A53" s="1413"/>
      <c r="B53" s="4118"/>
      <c r="C53" s="3341"/>
      <c r="D53" s="3341"/>
      <c r="E53" s="4119"/>
      <c r="F53" s="4074" t="e">
        <f t="shared" si="133"/>
        <v>#DIV/0!</v>
      </c>
      <c r="G53" s="4120"/>
      <c r="H53" s="3341"/>
      <c r="I53" s="3341"/>
      <c r="J53" s="4119"/>
      <c r="K53" s="4074" t="e">
        <f t="shared" ref="K53:K54" si="166">J53/$E$89</f>
        <v>#DIV/0!</v>
      </c>
      <c r="L53" s="4120"/>
      <c r="M53" s="3341"/>
      <c r="N53" s="3341"/>
      <c r="O53" s="4119"/>
      <c r="P53" s="4074" t="e">
        <f t="shared" si="136"/>
        <v>#DIV/0!</v>
      </c>
      <c r="Q53" s="4120"/>
      <c r="R53" s="4121"/>
      <c r="S53" s="4120"/>
      <c r="T53" s="4120"/>
      <c r="U53" s="4120"/>
      <c r="V53" s="4120"/>
      <c r="W53" s="4120"/>
      <c r="X53" s="4120"/>
      <c r="Y53" s="4120"/>
      <c r="Z53" s="4120"/>
      <c r="AA53" s="4120"/>
      <c r="AB53" s="4082"/>
      <c r="AC53" s="4082"/>
      <c r="AD53" s="4119"/>
      <c r="AE53" s="4084">
        <f t="shared" si="142"/>
        <v>0</v>
      </c>
      <c r="AF53" s="4120"/>
      <c r="AG53" s="4082"/>
      <c r="AH53" s="4082"/>
      <c r="AI53" s="4119"/>
      <c r="AJ53" s="4084">
        <f t="shared" si="144"/>
        <v>0</v>
      </c>
      <c r="AK53" s="4120"/>
      <c r="AL53" s="4082"/>
      <c r="AM53" s="4082"/>
      <c r="AN53" s="4119"/>
      <c r="AO53" s="4084" t="e">
        <f t="shared" si="146"/>
        <v>#DIV/0!</v>
      </c>
      <c r="AP53" s="4120"/>
      <c r="AQ53" s="4082"/>
      <c r="AR53" s="4082"/>
      <c r="AS53" s="4119"/>
      <c r="AT53" s="4084" t="e">
        <f t="shared" si="148"/>
        <v>#DIV/0!</v>
      </c>
      <c r="AU53" s="4120"/>
      <c r="AV53" s="4082"/>
      <c r="AW53" s="4082"/>
      <c r="AX53" s="4119"/>
      <c r="AY53" s="4084" t="e">
        <f t="shared" si="150"/>
        <v>#DIV/0!</v>
      </c>
      <c r="AZ53" s="4120"/>
      <c r="BA53" s="4082"/>
      <c r="BB53" s="4082"/>
      <c r="BC53" s="4119"/>
      <c r="BD53" s="4084" t="e">
        <f t="shared" si="152"/>
        <v>#DIV/0!</v>
      </c>
      <c r="BE53" s="4120"/>
      <c r="BF53" s="4082"/>
      <c r="BG53" s="4082"/>
      <c r="BH53" s="4119"/>
      <c r="BI53" s="4084" t="e">
        <f t="shared" si="154"/>
        <v>#DIV/0!</v>
      </c>
      <c r="BJ53" s="4120"/>
      <c r="BK53" s="4082"/>
      <c r="BL53" s="4082"/>
      <c r="BM53" s="4119"/>
      <c r="BN53" s="4084" t="e">
        <f t="shared" si="156"/>
        <v>#DIV/0!</v>
      </c>
      <c r="BO53" s="4120"/>
      <c r="BP53" s="4082"/>
      <c r="BQ53" s="4082"/>
      <c r="BR53" s="4119"/>
      <c r="BS53" s="4084" t="e">
        <f t="shared" si="158"/>
        <v>#DIV/0!</v>
      </c>
      <c r="BT53" s="4120"/>
      <c r="BU53" s="4082"/>
      <c r="BV53" s="4082"/>
      <c r="BW53" s="4119"/>
      <c r="BX53" s="4084" t="e">
        <f t="shared" si="160"/>
        <v>#DIV/0!</v>
      </c>
      <c r="BY53" s="4120"/>
      <c r="BZ53" s="4082"/>
      <c r="CA53" s="4082"/>
      <c r="CB53" s="4119"/>
      <c r="CC53" s="4084" t="e">
        <f t="shared" si="162"/>
        <v>#DIV/0!</v>
      </c>
      <c r="CD53" s="4120"/>
      <c r="CE53" s="4082"/>
      <c r="CF53" s="4082"/>
      <c r="CG53" s="4119"/>
      <c r="CH53" s="4084" t="e">
        <f t="shared" si="164"/>
        <v>#DIV/0!</v>
      </c>
      <c r="CI53" s="4120"/>
      <c r="CJ53" s="4082">
        <f t="shared" si="165"/>
        <v>0</v>
      </c>
      <c r="CK53" s="4082">
        <f t="shared" si="165"/>
        <v>0</v>
      </c>
      <c r="CL53" s="4119"/>
      <c r="CM53" s="4119"/>
      <c r="CN53" s="4119"/>
      <c r="CP53" s="4122"/>
      <c r="CQ53" s="4122"/>
      <c r="CR53" s="4161"/>
    </row>
    <row r="54" spans="1:98" ht="13.8" outlineLevel="1">
      <c r="A54" s="1570"/>
      <c r="B54" s="1410" t="s">
        <v>1</v>
      </c>
      <c r="C54" s="2015">
        <f>SUM(C55:C72)</f>
        <v>0</v>
      </c>
      <c r="D54" s="2015">
        <f>SUM(D55:D72)</f>
        <v>0</v>
      </c>
      <c r="E54" s="2014">
        <f>SUM(E55:E72)</f>
        <v>0</v>
      </c>
      <c r="F54" s="4110" t="e">
        <f t="shared" si="133"/>
        <v>#DIV/0!</v>
      </c>
      <c r="G54" s="1057"/>
      <c r="H54" s="2015">
        <f>SUM(H55:H72)</f>
        <v>0</v>
      </c>
      <c r="I54" s="2015">
        <f>SUM(I55:I72)</f>
        <v>0</v>
      </c>
      <c r="J54" s="2014">
        <f>SUM(J55:J72)</f>
        <v>0</v>
      </c>
      <c r="K54" s="4110" t="e">
        <f t="shared" si="166"/>
        <v>#DIV/0!</v>
      </c>
      <c r="L54" s="1057"/>
      <c r="M54" s="2015">
        <f>SUM(M55:M72)</f>
        <v>0</v>
      </c>
      <c r="N54" s="2015">
        <f>SUM(N55:N72)</f>
        <v>0</v>
      </c>
      <c r="O54" s="2014">
        <f>SUM(O55:O72)</f>
        <v>0</v>
      </c>
      <c r="P54" s="4110" t="e">
        <f t="shared" ref="P54" si="167">O54/$E$89</f>
        <v>#DIV/0!</v>
      </c>
      <c r="Q54" s="1057"/>
      <c r="R54" s="2013">
        <f>SUM(R55:R72)</f>
        <v>0</v>
      </c>
      <c r="S54" s="2013">
        <f>SUM(S55:S72)</f>
        <v>0</v>
      </c>
      <c r="T54" s="2013">
        <f>SUM(T55:T72)</f>
        <v>0</v>
      </c>
      <c r="U54" s="1535"/>
      <c r="V54" s="3460"/>
      <c r="W54" s="2013">
        <f>SUM(W55:W72)</f>
        <v>0</v>
      </c>
      <c r="X54" s="2013">
        <f>SUM(X55:X72)</f>
        <v>0</v>
      </c>
      <c r="Y54" s="2013">
        <f>SUM(Y55:Y72)</f>
        <v>0</v>
      </c>
      <c r="Z54" s="1535"/>
      <c r="AA54" s="3460"/>
      <c r="AB54" s="2013">
        <f>SUM(AB55:AB72)</f>
        <v>0</v>
      </c>
      <c r="AC54" s="2013">
        <f>SUM(AC55:AC72)</f>
        <v>0</v>
      </c>
      <c r="AD54" s="2013">
        <f>SUM(AD55:AD72)</f>
        <v>0</v>
      </c>
      <c r="AE54" s="1535"/>
      <c r="AF54" s="3735"/>
      <c r="AG54" s="2013">
        <f>SUM(AG55:AG72)</f>
        <v>0</v>
      </c>
      <c r="AH54" s="2013">
        <f>SUM(AH55:AH72)</f>
        <v>0</v>
      </c>
      <c r="AI54" s="2013">
        <f>SUM(AI55:AI72)</f>
        <v>0</v>
      </c>
      <c r="AJ54" s="1535"/>
      <c r="AK54" s="3735"/>
      <c r="AL54" s="2013">
        <f>SUM(AL55:AL72)</f>
        <v>0</v>
      </c>
      <c r="AM54" s="2013">
        <f>SUM(AM55:AM72)</f>
        <v>0</v>
      </c>
      <c r="AN54" s="2013">
        <f>SUM(AN55:AN72)</f>
        <v>0</v>
      </c>
      <c r="AO54" s="1535"/>
      <c r="AP54" s="3735"/>
      <c r="AQ54" s="2013">
        <f>SUM(AQ55:AQ72)</f>
        <v>0</v>
      </c>
      <c r="AR54" s="2013">
        <f>SUM(AR55:AR72)</f>
        <v>0</v>
      </c>
      <c r="AS54" s="2013">
        <f>SUM(AS55:AS72)</f>
        <v>0</v>
      </c>
      <c r="AT54" s="1535"/>
      <c r="AU54" s="3735"/>
      <c r="AV54" s="2013">
        <f>SUM(AV55:AV72)</f>
        <v>0</v>
      </c>
      <c r="AW54" s="2013">
        <f>SUM(AW55:AW72)</f>
        <v>0</v>
      </c>
      <c r="AX54" s="2013">
        <f>SUM(AX55:AX72)</f>
        <v>0</v>
      </c>
      <c r="AY54" s="1535"/>
      <c r="AZ54" s="3735"/>
      <c r="BA54" s="2013">
        <f>SUM(BA55:BA72)</f>
        <v>0</v>
      </c>
      <c r="BB54" s="2013">
        <f>SUM(BB55:BB72)</f>
        <v>0</v>
      </c>
      <c r="BC54" s="2013">
        <f>SUM(BC55:BC72)</f>
        <v>0</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0</v>
      </c>
      <c r="CK54" s="2013">
        <f>SUM(CK55:CK72)</f>
        <v>0</v>
      </c>
      <c r="CL54" s="2013">
        <f>SUM(CL55:CL72)</f>
        <v>0</v>
      </c>
      <c r="CM54" s="1535">
        <f t="shared" ref="CM54:CM71" si="168">CL54/$CL$89</f>
        <v>0</v>
      </c>
      <c r="CN54" s="1061"/>
      <c r="CP54" s="2015">
        <f>SUM(CP55:CP72)</f>
        <v>0</v>
      </c>
      <c r="CQ54" s="2015">
        <f>SUM(CQ55:CQ72)</f>
        <v>0</v>
      </c>
      <c r="CR54" s="2015"/>
    </row>
    <row r="55" spans="1:98" ht="13.8" outlineLevel="2">
      <c r="A55" s="1571"/>
      <c r="B55" s="4098" t="s">
        <v>77</v>
      </c>
      <c r="C55" s="3349"/>
      <c r="D55" s="3349"/>
      <c r="E55" s="3349">
        <f t="shared" ref="E55:E71" si="169">C55+D55</f>
        <v>0</v>
      </c>
      <c r="F55" s="4074" t="e">
        <f t="shared" si="133"/>
        <v>#DIV/0!</v>
      </c>
      <c r="G55" s="4112"/>
      <c r="H55" s="3349"/>
      <c r="I55" s="3349"/>
      <c r="J55" s="3349">
        <f t="shared" ref="J55:J71" si="170">H55+I55</f>
        <v>0</v>
      </c>
      <c r="K55" s="4074" t="e">
        <f t="shared" ref="K55:K72" si="171">J55/J$89</f>
        <v>#DIV/0!</v>
      </c>
      <c r="L55" s="4112"/>
      <c r="M55" s="3349"/>
      <c r="N55" s="3349"/>
      <c r="O55" s="3349">
        <f t="shared" ref="O55:O71" si="172">M55+N55</f>
        <v>0</v>
      </c>
      <c r="P55" s="4074" t="e">
        <f t="shared" ref="P55:P72" si="173">O55/O$89</f>
        <v>#DIV/0!</v>
      </c>
      <c r="Q55" s="4112"/>
      <c r="R55" s="3342">
        <f t="shared" ref="R55:S71" si="174">M55+H55+C55</f>
        <v>0</v>
      </c>
      <c r="S55" s="3342">
        <f t="shared" si="174"/>
        <v>0</v>
      </c>
      <c r="T55" s="2012">
        <f t="shared" ref="T55:T71" si="175">R55+S55</f>
        <v>0</v>
      </c>
      <c r="U55" s="3462"/>
      <c r="V55" s="3462"/>
      <c r="W55" s="3342">
        <f t="shared" ref="W55:X71" si="176">AB55+AG55+AL55+AV55+BA55+BF55+BK55+BP55+BU55+BZ55+CE55+AQ55</f>
        <v>0</v>
      </c>
      <c r="X55" s="3342">
        <f t="shared" si="176"/>
        <v>0</v>
      </c>
      <c r="Y55" s="2012">
        <f t="shared" ref="Y55:Y71" si="177">W55+X55</f>
        <v>0</v>
      </c>
      <c r="Z55" s="3462"/>
      <c r="AA55" s="3462"/>
      <c r="AB55" s="3349"/>
      <c r="AC55" s="3349"/>
      <c r="AD55" s="3349">
        <f t="shared" ref="AD55:AD71" si="178">AB55+AC55</f>
        <v>0</v>
      </c>
      <c r="AE55" s="4074">
        <f t="shared" ref="AE55:AE71" si="179">AD55/AD$89</f>
        <v>0</v>
      </c>
      <c r="AF55" s="4112"/>
      <c r="AG55" s="3349"/>
      <c r="AH55" s="3349"/>
      <c r="AI55" s="3349">
        <f t="shared" ref="AI55:AI71" si="180">AG55+AH55</f>
        <v>0</v>
      </c>
      <c r="AJ55" s="4074">
        <f t="shared" ref="AJ55:AJ71" si="181">AI55/AI$89</f>
        <v>0</v>
      </c>
      <c r="AK55" s="4112"/>
      <c r="AL55" s="3349"/>
      <c r="AM55" s="3349"/>
      <c r="AN55" s="3349">
        <f t="shared" ref="AN55:AN71" si="182">AL55+AM55</f>
        <v>0</v>
      </c>
      <c r="AO55" s="4074" t="e">
        <f t="shared" ref="AO55:AO71" si="183">AN55/AN$89</f>
        <v>#DIV/0!</v>
      </c>
      <c r="AP55" s="4112"/>
      <c r="AQ55" s="3349"/>
      <c r="AR55" s="3349"/>
      <c r="AS55" s="3349">
        <f t="shared" ref="AS55:AS71" si="184">AQ55+AR55</f>
        <v>0</v>
      </c>
      <c r="AT55" s="4074" t="e">
        <f t="shared" ref="AT55:AT71" si="185">AS55/AS$89</f>
        <v>#DIV/0!</v>
      </c>
      <c r="AU55" s="4112"/>
      <c r="AV55" s="3349"/>
      <c r="AW55" s="3349"/>
      <c r="AX55" s="3349">
        <f t="shared" ref="AX55:AX71" si="186">AV55+AW55</f>
        <v>0</v>
      </c>
      <c r="AY55" s="4074" t="e">
        <f t="shared" ref="AY55:AY71" si="187">AX55/AX$89</f>
        <v>#DIV/0!</v>
      </c>
      <c r="AZ55" s="4112"/>
      <c r="BA55" s="3349"/>
      <c r="BB55" s="3349"/>
      <c r="BC55" s="3349">
        <f t="shared" ref="BC55:BC71" si="188">BA55+BB55</f>
        <v>0</v>
      </c>
      <c r="BD55" s="4074" t="e">
        <f t="shared" ref="BD55:BD71" si="189">BC55/BC$89</f>
        <v>#DIV/0!</v>
      </c>
      <c r="BE55" s="4112"/>
      <c r="BF55" s="3349"/>
      <c r="BG55" s="3349"/>
      <c r="BH55" s="3349">
        <f t="shared" ref="BH55:BH71" si="190">BF55+BG55</f>
        <v>0</v>
      </c>
      <c r="BI55" s="4074" t="e">
        <f t="shared" ref="BI55:BI71" si="191">BH55/BH$89</f>
        <v>#DIV/0!</v>
      </c>
      <c r="BJ55" s="4112"/>
      <c r="BK55" s="3349"/>
      <c r="BL55" s="3349"/>
      <c r="BM55" s="3349">
        <f t="shared" ref="BM55:BM71" si="192">BK55+BL55</f>
        <v>0</v>
      </c>
      <c r="BN55" s="4074" t="e">
        <f t="shared" ref="BN55:BN71" si="193">BM55/BM$89</f>
        <v>#DIV/0!</v>
      </c>
      <c r="BO55" s="4112"/>
      <c r="BP55" s="3349"/>
      <c r="BQ55" s="3349"/>
      <c r="BR55" s="3349">
        <f t="shared" ref="BR55:BR71" si="194">BP55+BQ55</f>
        <v>0</v>
      </c>
      <c r="BS55" s="4074" t="e">
        <f t="shared" ref="BS55:BS71" si="195">BR55/BR$89</f>
        <v>#DIV/0!</v>
      </c>
      <c r="BT55" s="4112"/>
      <c r="BU55" s="3349"/>
      <c r="BV55" s="3349"/>
      <c r="BW55" s="3349">
        <f t="shared" ref="BW55:BW71" si="196">BU55+BV55</f>
        <v>0</v>
      </c>
      <c r="BX55" s="4074" t="e">
        <f t="shared" ref="BX55:BX71" si="197">BW55/BW$89</f>
        <v>#DIV/0!</v>
      </c>
      <c r="BY55" s="4112"/>
      <c r="BZ55" s="3349"/>
      <c r="CA55" s="3349"/>
      <c r="CB55" s="3349">
        <f t="shared" ref="CB55:CB71" si="198">BZ55+CA55</f>
        <v>0</v>
      </c>
      <c r="CC55" s="4074" t="e">
        <f t="shared" ref="CC55:CC71" si="199">CB55/CB$89</f>
        <v>#DIV/0!</v>
      </c>
      <c r="CD55" s="4112"/>
      <c r="CE55" s="3349"/>
      <c r="CF55" s="3349"/>
      <c r="CG55" s="3349">
        <f t="shared" ref="CG55:CG71" si="200">CE55+CF55</f>
        <v>0</v>
      </c>
      <c r="CH55" s="4074" t="e">
        <f t="shared" ref="CH55:CH71" si="201">CG55/CG$89</f>
        <v>#DIV/0!</v>
      </c>
      <c r="CI55" s="4112"/>
      <c r="CJ55" s="3341">
        <f t="shared" ref="CJ55:CK71" si="202">C55+H55+M55+W55</f>
        <v>0</v>
      </c>
      <c r="CK55" s="3341">
        <f t="shared" si="202"/>
        <v>0</v>
      </c>
      <c r="CL55" s="2012">
        <f t="shared" ref="CL55:CL71" si="203">CJ55+CK55*1</f>
        <v>0</v>
      </c>
      <c r="CM55" s="4074">
        <f t="shared" si="168"/>
        <v>0</v>
      </c>
      <c r="CN55" s="4076"/>
      <c r="CP55" s="2012">
        <f t="shared" ref="CP55:CQ71" si="204">CN55+CO55*1</f>
        <v>0</v>
      </c>
      <c r="CQ55" s="2012">
        <f t="shared" si="204"/>
        <v>0</v>
      </c>
      <c r="CR55" s="4161"/>
    </row>
    <row r="56" spans="1:98" ht="13.8" outlineLevel="2">
      <c r="A56" s="1571"/>
      <c r="B56" s="4098" t="s">
        <v>76</v>
      </c>
      <c r="C56" s="3349"/>
      <c r="D56" s="3349"/>
      <c r="E56" s="3349">
        <f t="shared" si="169"/>
        <v>0</v>
      </c>
      <c r="F56" s="4074" t="e">
        <f t="shared" si="133"/>
        <v>#DIV/0!</v>
      </c>
      <c r="G56" s="4112"/>
      <c r="H56" s="3349"/>
      <c r="I56" s="3349"/>
      <c r="J56" s="3349">
        <f t="shared" si="170"/>
        <v>0</v>
      </c>
      <c r="K56" s="4074" t="e">
        <f t="shared" si="171"/>
        <v>#DIV/0!</v>
      </c>
      <c r="L56" s="4112"/>
      <c r="M56" s="3349"/>
      <c r="N56" s="3349"/>
      <c r="O56" s="3349">
        <f t="shared" si="172"/>
        <v>0</v>
      </c>
      <c r="P56" s="4074" t="e">
        <f t="shared" si="173"/>
        <v>#DIV/0!</v>
      </c>
      <c r="Q56" s="4112"/>
      <c r="R56" s="3342">
        <f t="shared" si="174"/>
        <v>0</v>
      </c>
      <c r="S56" s="3342">
        <f t="shared" si="174"/>
        <v>0</v>
      </c>
      <c r="T56" s="2012">
        <f t="shared" si="175"/>
        <v>0</v>
      </c>
      <c r="U56" s="3462"/>
      <c r="V56" s="3462"/>
      <c r="W56" s="3342">
        <f t="shared" si="176"/>
        <v>0</v>
      </c>
      <c r="X56" s="3342">
        <f t="shared" si="176"/>
        <v>0</v>
      </c>
      <c r="Y56" s="2012">
        <f t="shared" si="177"/>
        <v>0</v>
      </c>
      <c r="Z56" s="3462"/>
      <c r="AA56" s="3462"/>
      <c r="AB56" s="3349"/>
      <c r="AC56" s="3349"/>
      <c r="AD56" s="3349">
        <f t="shared" si="178"/>
        <v>0</v>
      </c>
      <c r="AE56" s="4074">
        <f t="shared" si="179"/>
        <v>0</v>
      </c>
      <c r="AF56" s="4112"/>
      <c r="AG56" s="3349"/>
      <c r="AH56" s="3349"/>
      <c r="AI56" s="3349">
        <f t="shared" si="180"/>
        <v>0</v>
      </c>
      <c r="AJ56" s="4074">
        <f t="shared" si="181"/>
        <v>0</v>
      </c>
      <c r="AK56" s="4112"/>
      <c r="AL56" s="3349"/>
      <c r="AM56" s="3349"/>
      <c r="AN56" s="3349">
        <f t="shared" si="182"/>
        <v>0</v>
      </c>
      <c r="AO56" s="4074" t="e">
        <f t="shared" si="183"/>
        <v>#DIV/0!</v>
      </c>
      <c r="AP56" s="4112"/>
      <c r="AQ56" s="3349"/>
      <c r="AR56" s="3349"/>
      <c r="AS56" s="3349">
        <f t="shared" si="184"/>
        <v>0</v>
      </c>
      <c r="AT56" s="4074" t="e">
        <f t="shared" si="185"/>
        <v>#DIV/0!</v>
      </c>
      <c r="AU56" s="4112"/>
      <c r="AV56" s="3349"/>
      <c r="AW56" s="3349"/>
      <c r="AX56" s="3349">
        <f t="shared" si="186"/>
        <v>0</v>
      </c>
      <c r="AY56" s="4074" t="e">
        <f t="shared" si="187"/>
        <v>#DIV/0!</v>
      </c>
      <c r="AZ56" s="4112"/>
      <c r="BA56" s="3349"/>
      <c r="BB56" s="3349"/>
      <c r="BC56" s="3349">
        <f t="shared" si="188"/>
        <v>0</v>
      </c>
      <c r="BD56" s="4074" t="e">
        <f t="shared" si="189"/>
        <v>#DIV/0!</v>
      </c>
      <c r="BE56" s="4112"/>
      <c r="BF56" s="3349"/>
      <c r="BG56" s="3349"/>
      <c r="BH56" s="3349">
        <f t="shared" si="190"/>
        <v>0</v>
      </c>
      <c r="BI56" s="4074" t="e">
        <f t="shared" si="191"/>
        <v>#DIV/0!</v>
      </c>
      <c r="BJ56" s="4112"/>
      <c r="BK56" s="3349"/>
      <c r="BL56" s="3349"/>
      <c r="BM56" s="3349">
        <f t="shared" si="192"/>
        <v>0</v>
      </c>
      <c r="BN56" s="4074" t="e">
        <f t="shared" si="193"/>
        <v>#DIV/0!</v>
      </c>
      <c r="BO56" s="4112"/>
      <c r="BP56" s="3349"/>
      <c r="BQ56" s="3349"/>
      <c r="BR56" s="3349">
        <f t="shared" si="194"/>
        <v>0</v>
      </c>
      <c r="BS56" s="4074" t="e">
        <f t="shared" si="195"/>
        <v>#DIV/0!</v>
      </c>
      <c r="BT56" s="4112"/>
      <c r="BU56" s="3349"/>
      <c r="BV56" s="3349"/>
      <c r="BW56" s="3349">
        <f t="shared" si="196"/>
        <v>0</v>
      </c>
      <c r="BX56" s="4074" t="e">
        <f t="shared" si="197"/>
        <v>#DIV/0!</v>
      </c>
      <c r="BY56" s="4112"/>
      <c r="BZ56" s="3349"/>
      <c r="CA56" s="3349"/>
      <c r="CB56" s="3349">
        <f t="shared" si="198"/>
        <v>0</v>
      </c>
      <c r="CC56" s="4074" t="e">
        <f t="shared" si="199"/>
        <v>#DIV/0!</v>
      </c>
      <c r="CD56" s="4112"/>
      <c r="CE56" s="3349"/>
      <c r="CF56" s="3349"/>
      <c r="CG56" s="3349">
        <f t="shared" si="200"/>
        <v>0</v>
      </c>
      <c r="CH56" s="4074" t="e">
        <f t="shared" si="201"/>
        <v>#DIV/0!</v>
      </c>
      <c r="CI56" s="4112"/>
      <c r="CJ56" s="3341">
        <f t="shared" si="202"/>
        <v>0</v>
      </c>
      <c r="CK56" s="3341">
        <f t="shared" si="202"/>
        <v>0</v>
      </c>
      <c r="CL56" s="2012">
        <f t="shared" si="203"/>
        <v>0</v>
      </c>
      <c r="CM56" s="4074">
        <f t="shared" si="168"/>
        <v>0</v>
      </c>
      <c r="CN56" s="4076"/>
      <c r="CP56" s="2012">
        <f t="shared" si="204"/>
        <v>0</v>
      </c>
      <c r="CQ56" s="2012">
        <f t="shared" si="204"/>
        <v>0</v>
      </c>
      <c r="CR56" s="4161"/>
    </row>
    <row r="57" spans="1:98" ht="13.8" outlineLevel="2">
      <c r="A57" s="1571"/>
      <c r="B57" s="4098" t="s">
        <v>68</v>
      </c>
      <c r="C57" s="3349"/>
      <c r="D57" s="3349"/>
      <c r="E57" s="3349">
        <f t="shared" si="169"/>
        <v>0</v>
      </c>
      <c r="F57" s="4074" t="e">
        <f t="shared" si="133"/>
        <v>#DIV/0!</v>
      </c>
      <c r="G57" s="4112"/>
      <c r="H57" s="3349"/>
      <c r="I57" s="3349"/>
      <c r="J57" s="3349">
        <f t="shared" si="170"/>
        <v>0</v>
      </c>
      <c r="K57" s="4074" t="e">
        <f t="shared" si="171"/>
        <v>#DIV/0!</v>
      </c>
      <c r="L57" s="4112"/>
      <c r="M57" s="3349"/>
      <c r="N57" s="3349"/>
      <c r="O57" s="3349">
        <f t="shared" si="172"/>
        <v>0</v>
      </c>
      <c r="P57" s="4074" t="e">
        <f t="shared" si="173"/>
        <v>#DIV/0!</v>
      </c>
      <c r="Q57" s="4112"/>
      <c r="R57" s="3342">
        <f t="shared" si="174"/>
        <v>0</v>
      </c>
      <c r="S57" s="3342">
        <f t="shared" si="174"/>
        <v>0</v>
      </c>
      <c r="T57" s="2012">
        <f t="shared" si="175"/>
        <v>0</v>
      </c>
      <c r="U57" s="3462"/>
      <c r="V57" s="3462"/>
      <c r="W57" s="3342">
        <f t="shared" si="176"/>
        <v>0</v>
      </c>
      <c r="X57" s="3342">
        <f t="shared" si="176"/>
        <v>0</v>
      </c>
      <c r="Y57" s="2012">
        <f t="shared" si="177"/>
        <v>0</v>
      </c>
      <c r="Z57" s="3462"/>
      <c r="AA57" s="3462"/>
      <c r="AB57" s="3349"/>
      <c r="AC57" s="3349"/>
      <c r="AD57" s="3349">
        <f t="shared" si="178"/>
        <v>0</v>
      </c>
      <c r="AE57" s="4074">
        <f t="shared" si="179"/>
        <v>0</v>
      </c>
      <c r="AF57" s="4112"/>
      <c r="AG57" s="3349"/>
      <c r="AH57" s="3349"/>
      <c r="AI57" s="3349">
        <f t="shared" si="180"/>
        <v>0</v>
      </c>
      <c r="AJ57" s="4074">
        <f t="shared" si="181"/>
        <v>0</v>
      </c>
      <c r="AK57" s="4112"/>
      <c r="AL57" s="3349"/>
      <c r="AM57" s="3349"/>
      <c r="AN57" s="3349">
        <f t="shared" si="182"/>
        <v>0</v>
      </c>
      <c r="AO57" s="4074" t="e">
        <f t="shared" si="183"/>
        <v>#DIV/0!</v>
      </c>
      <c r="AP57" s="4112"/>
      <c r="AQ57" s="3349"/>
      <c r="AR57" s="3349"/>
      <c r="AS57" s="3349">
        <f t="shared" si="184"/>
        <v>0</v>
      </c>
      <c r="AT57" s="4074" t="e">
        <f t="shared" si="185"/>
        <v>#DIV/0!</v>
      </c>
      <c r="AU57" s="4112"/>
      <c r="AV57" s="3349"/>
      <c r="AW57" s="3349"/>
      <c r="AX57" s="3349">
        <f t="shared" si="186"/>
        <v>0</v>
      </c>
      <c r="AY57" s="4074" t="e">
        <f t="shared" si="187"/>
        <v>#DIV/0!</v>
      </c>
      <c r="AZ57" s="4112"/>
      <c r="BA57" s="3349"/>
      <c r="BB57" s="3349"/>
      <c r="BC57" s="3349">
        <f t="shared" si="188"/>
        <v>0</v>
      </c>
      <c r="BD57" s="4074" t="e">
        <f t="shared" si="189"/>
        <v>#DIV/0!</v>
      </c>
      <c r="BE57" s="4112"/>
      <c r="BF57" s="3349"/>
      <c r="BG57" s="3349"/>
      <c r="BH57" s="3349">
        <f t="shared" si="190"/>
        <v>0</v>
      </c>
      <c r="BI57" s="4074" t="e">
        <f t="shared" si="191"/>
        <v>#DIV/0!</v>
      </c>
      <c r="BJ57" s="4112"/>
      <c r="BK57" s="3349"/>
      <c r="BL57" s="3349"/>
      <c r="BM57" s="3349">
        <f t="shared" si="192"/>
        <v>0</v>
      </c>
      <c r="BN57" s="4074" t="e">
        <f t="shared" si="193"/>
        <v>#DIV/0!</v>
      </c>
      <c r="BO57" s="4112"/>
      <c r="BP57" s="3349"/>
      <c r="BQ57" s="3349"/>
      <c r="BR57" s="3349">
        <f t="shared" si="194"/>
        <v>0</v>
      </c>
      <c r="BS57" s="4074" t="e">
        <f t="shared" si="195"/>
        <v>#DIV/0!</v>
      </c>
      <c r="BT57" s="4112"/>
      <c r="BU57" s="3349"/>
      <c r="BV57" s="3349"/>
      <c r="BW57" s="3349">
        <f t="shared" si="196"/>
        <v>0</v>
      </c>
      <c r="BX57" s="4074" t="e">
        <f t="shared" si="197"/>
        <v>#DIV/0!</v>
      </c>
      <c r="BY57" s="4112"/>
      <c r="BZ57" s="3349"/>
      <c r="CA57" s="3349"/>
      <c r="CB57" s="3349">
        <f t="shared" si="198"/>
        <v>0</v>
      </c>
      <c r="CC57" s="4074" t="e">
        <f t="shared" si="199"/>
        <v>#DIV/0!</v>
      </c>
      <c r="CD57" s="4112"/>
      <c r="CE57" s="3349"/>
      <c r="CF57" s="3349"/>
      <c r="CG57" s="3349">
        <f t="shared" si="200"/>
        <v>0</v>
      </c>
      <c r="CH57" s="4074" t="e">
        <f t="shared" si="201"/>
        <v>#DIV/0!</v>
      </c>
      <c r="CI57" s="4112"/>
      <c r="CJ57" s="3341">
        <f t="shared" si="202"/>
        <v>0</v>
      </c>
      <c r="CK57" s="3341">
        <f t="shared" si="202"/>
        <v>0</v>
      </c>
      <c r="CL57" s="2012">
        <f t="shared" si="203"/>
        <v>0</v>
      </c>
      <c r="CM57" s="4074">
        <f t="shared" si="168"/>
        <v>0</v>
      </c>
      <c r="CN57" s="4076"/>
      <c r="CP57" s="2012">
        <f t="shared" si="204"/>
        <v>0</v>
      </c>
      <c r="CQ57" s="2012">
        <f t="shared" si="204"/>
        <v>0</v>
      </c>
      <c r="CR57" s="4161"/>
    </row>
    <row r="58" spans="1:98" ht="13.8" outlineLevel="2">
      <c r="A58" s="1571"/>
      <c r="B58" s="4098" t="s">
        <v>67</v>
      </c>
      <c r="C58" s="3349"/>
      <c r="D58" s="3349"/>
      <c r="E58" s="3349">
        <f t="shared" si="169"/>
        <v>0</v>
      </c>
      <c r="F58" s="4074" t="e">
        <f t="shared" si="133"/>
        <v>#DIV/0!</v>
      </c>
      <c r="G58" s="4112"/>
      <c r="H58" s="3349"/>
      <c r="I58" s="3349"/>
      <c r="J58" s="3349">
        <f t="shared" si="170"/>
        <v>0</v>
      </c>
      <c r="K58" s="4074" t="e">
        <f t="shared" si="171"/>
        <v>#DIV/0!</v>
      </c>
      <c r="L58" s="4112"/>
      <c r="M58" s="3349"/>
      <c r="N58" s="3349"/>
      <c r="O58" s="3349">
        <f t="shared" si="172"/>
        <v>0</v>
      </c>
      <c r="P58" s="4074" t="e">
        <f t="shared" si="173"/>
        <v>#DIV/0!</v>
      </c>
      <c r="Q58" s="4112"/>
      <c r="R58" s="3342">
        <f t="shared" si="174"/>
        <v>0</v>
      </c>
      <c r="S58" s="3342">
        <f t="shared" si="174"/>
        <v>0</v>
      </c>
      <c r="T58" s="2012">
        <f t="shared" si="175"/>
        <v>0</v>
      </c>
      <c r="U58" s="3462"/>
      <c r="V58" s="3462"/>
      <c r="W58" s="3342">
        <f t="shared" si="176"/>
        <v>0</v>
      </c>
      <c r="X58" s="3342">
        <f t="shared" si="176"/>
        <v>0</v>
      </c>
      <c r="Y58" s="2012">
        <f t="shared" si="177"/>
        <v>0</v>
      </c>
      <c r="Z58" s="3462"/>
      <c r="AA58" s="3462"/>
      <c r="AB58" s="3349"/>
      <c r="AC58" s="3349"/>
      <c r="AD58" s="3349">
        <f t="shared" si="178"/>
        <v>0</v>
      </c>
      <c r="AE58" s="4074">
        <f t="shared" si="179"/>
        <v>0</v>
      </c>
      <c r="AF58" s="4112"/>
      <c r="AG58" s="3349"/>
      <c r="AH58" s="3349"/>
      <c r="AI58" s="3349">
        <f t="shared" si="180"/>
        <v>0</v>
      </c>
      <c r="AJ58" s="4074">
        <f t="shared" si="181"/>
        <v>0</v>
      </c>
      <c r="AK58" s="4112"/>
      <c r="AL58" s="3349"/>
      <c r="AM58" s="3349"/>
      <c r="AN58" s="3349">
        <f t="shared" si="182"/>
        <v>0</v>
      </c>
      <c r="AO58" s="4074" t="e">
        <f t="shared" si="183"/>
        <v>#DIV/0!</v>
      </c>
      <c r="AP58" s="4112"/>
      <c r="AQ58" s="3349"/>
      <c r="AR58" s="3349"/>
      <c r="AS58" s="3349">
        <f t="shared" si="184"/>
        <v>0</v>
      </c>
      <c r="AT58" s="4074" t="e">
        <f t="shared" si="185"/>
        <v>#DIV/0!</v>
      </c>
      <c r="AU58" s="4112"/>
      <c r="AV58" s="3349"/>
      <c r="AW58" s="3349"/>
      <c r="AX58" s="3349">
        <f t="shared" si="186"/>
        <v>0</v>
      </c>
      <c r="AY58" s="4074" t="e">
        <f t="shared" si="187"/>
        <v>#DIV/0!</v>
      </c>
      <c r="AZ58" s="4112"/>
      <c r="BA58" s="3349"/>
      <c r="BB58" s="3349"/>
      <c r="BC58" s="3349">
        <f t="shared" si="188"/>
        <v>0</v>
      </c>
      <c r="BD58" s="4074" t="e">
        <f t="shared" si="189"/>
        <v>#DIV/0!</v>
      </c>
      <c r="BE58" s="4112"/>
      <c r="BF58" s="3349"/>
      <c r="BG58" s="3349"/>
      <c r="BH58" s="3349">
        <f t="shared" si="190"/>
        <v>0</v>
      </c>
      <c r="BI58" s="4074" t="e">
        <f t="shared" si="191"/>
        <v>#DIV/0!</v>
      </c>
      <c r="BJ58" s="4112"/>
      <c r="BK58" s="3349"/>
      <c r="BL58" s="3349"/>
      <c r="BM58" s="3349">
        <f t="shared" si="192"/>
        <v>0</v>
      </c>
      <c r="BN58" s="4074" t="e">
        <f t="shared" si="193"/>
        <v>#DIV/0!</v>
      </c>
      <c r="BO58" s="4112"/>
      <c r="BP58" s="3349"/>
      <c r="BQ58" s="3349"/>
      <c r="BR58" s="3349">
        <f t="shared" si="194"/>
        <v>0</v>
      </c>
      <c r="BS58" s="4074" t="e">
        <f t="shared" si="195"/>
        <v>#DIV/0!</v>
      </c>
      <c r="BT58" s="4112"/>
      <c r="BU58" s="3349"/>
      <c r="BV58" s="3349"/>
      <c r="BW58" s="3349">
        <f t="shared" si="196"/>
        <v>0</v>
      </c>
      <c r="BX58" s="4074" t="e">
        <f t="shared" si="197"/>
        <v>#DIV/0!</v>
      </c>
      <c r="BY58" s="4112"/>
      <c r="BZ58" s="3349"/>
      <c r="CA58" s="3349"/>
      <c r="CB58" s="3349">
        <f t="shared" si="198"/>
        <v>0</v>
      </c>
      <c r="CC58" s="4074" t="e">
        <f t="shared" si="199"/>
        <v>#DIV/0!</v>
      </c>
      <c r="CD58" s="4112"/>
      <c r="CE58" s="3349"/>
      <c r="CF58" s="3349"/>
      <c r="CG58" s="3349">
        <f t="shared" si="200"/>
        <v>0</v>
      </c>
      <c r="CH58" s="4074" t="e">
        <f t="shared" si="201"/>
        <v>#DIV/0!</v>
      </c>
      <c r="CI58" s="4112"/>
      <c r="CJ58" s="3341">
        <f t="shared" si="202"/>
        <v>0</v>
      </c>
      <c r="CK58" s="3341">
        <f t="shared" si="202"/>
        <v>0</v>
      </c>
      <c r="CL58" s="2012">
        <f t="shared" si="203"/>
        <v>0</v>
      </c>
      <c r="CM58" s="4074">
        <f t="shared" si="168"/>
        <v>0</v>
      </c>
      <c r="CN58" s="4076"/>
      <c r="CP58" s="2012">
        <f t="shared" si="204"/>
        <v>0</v>
      </c>
      <c r="CQ58" s="2012">
        <f t="shared" si="204"/>
        <v>0</v>
      </c>
      <c r="CR58" s="4161"/>
    </row>
    <row r="59" spans="1:98" ht="13.8" outlineLevel="2">
      <c r="A59" s="1571"/>
      <c r="B59" s="4098" t="s">
        <v>66</v>
      </c>
      <c r="C59" s="3349"/>
      <c r="D59" s="3349"/>
      <c r="E59" s="3349">
        <f t="shared" si="169"/>
        <v>0</v>
      </c>
      <c r="F59" s="4074" t="e">
        <f t="shared" si="133"/>
        <v>#DIV/0!</v>
      </c>
      <c r="G59" s="4112"/>
      <c r="H59" s="3349"/>
      <c r="I59" s="3349"/>
      <c r="J59" s="3349">
        <f t="shared" si="170"/>
        <v>0</v>
      </c>
      <c r="K59" s="4074" t="e">
        <f t="shared" si="171"/>
        <v>#DIV/0!</v>
      </c>
      <c r="L59" s="4112"/>
      <c r="M59" s="3349"/>
      <c r="N59" s="3349"/>
      <c r="O59" s="3349">
        <f t="shared" si="172"/>
        <v>0</v>
      </c>
      <c r="P59" s="4074" t="e">
        <f t="shared" si="173"/>
        <v>#DIV/0!</v>
      </c>
      <c r="Q59" s="4112"/>
      <c r="R59" s="3342">
        <f t="shared" si="174"/>
        <v>0</v>
      </c>
      <c r="S59" s="3342">
        <f t="shared" si="174"/>
        <v>0</v>
      </c>
      <c r="T59" s="2012">
        <f t="shared" si="175"/>
        <v>0</v>
      </c>
      <c r="U59" s="3462"/>
      <c r="V59" s="3462"/>
      <c r="W59" s="3342">
        <f t="shared" si="176"/>
        <v>0</v>
      </c>
      <c r="X59" s="3342">
        <f t="shared" si="176"/>
        <v>0</v>
      </c>
      <c r="Y59" s="2012">
        <f t="shared" si="177"/>
        <v>0</v>
      </c>
      <c r="Z59" s="3462"/>
      <c r="AA59" s="3462"/>
      <c r="AB59" s="3349"/>
      <c r="AC59" s="3349"/>
      <c r="AD59" s="3349">
        <f t="shared" si="178"/>
        <v>0</v>
      </c>
      <c r="AE59" s="4074">
        <f t="shared" si="179"/>
        <v>0</v>
      </c>
      <c r="AF59" s="4112"/>
      <c r="AG59" s="3349"/>
      <c r="AH59" s="3349"/>
      <c r="AI59" s="3349">
        <f t="shared" si="180"/>
        <v>0</v>
      </c>
      <c r="AJ59" s="4074">
        <f t="shared" si="181"/>
        <v>0</v>
      </c>
      <c r="AK59" s="4112"/>
      <c r="AL59" s="3349"/>
      <c r="AM59" s="3349"/>
      <c r="AN59" s="3349">
        <f t="shared" si="182"/>
        <v>0</v>
      </c>
      <c r="AO59" s="4074" t="e">
        <f t="shared" si="183"/>
        <v>#DIV/0!</v>
      </c>
      <c r="AP59" s="4112"/>
      <c r="AQ59" s="3349"/>
      <c r="AR59" s="3349"/>
      <c r="AS59" s="3349">
        <f t="shared" si="184"/>
        <v>0</v>
      </c>
      <c r="AT59" s="4074" t="e">
        <f t="shared" si="185"/>
        <v>#DIV/0!</v>
      </c>
      <c r="AU59" s="4112"/>
      <c r="AV59" s="3349"/>
      <c r="AW59" s="3349"/>
      <c r="AX59" s="3349">
        <f t="shared" si="186"/>
        <v>0</v>
      </c>
      <c r="AY59" s="4074" t="e">
        <f t="shared" si="187"/>
        <v>#DIV/0!</v>
      </c>
      <c r="AZ59" s="4112"/>
      <c r="BA59" s="3349"/>
      <c r="BB59" s="3349"/>
      <c r="BC59" s="3349">
        <f t="shared" si="188"/>
        <v>0</v>
      </c>
      <c r="BD59" s="4074" t="e">
        <f t="shared" si="189"/>
        <v>#DIV/0!</v>
      </c>
      <c r="BE59" s="4112"/>
      <c r="BF59" s="3349"/>
      <c r="BG59" s="3349"/>
      <c r="BH59" s="3349">
        <f t="shared" si="190"/>
        <v>0</v>
      </c>
      <c r="BI59" s="4074" t="e">
        <f t="shared" si="191"/>
        <v>#DIV/0!</v>
      </c>
      <c r="BJ59" s="4112"/>
      <c r="BK59" s="3349"/>
      <c r="BL59" s="3349"/>
      <c r="BM59" s="3349">
        <f t="shared" si="192"/>
        <v>0</v>
      </c>
      <c r="BN59" s="4074" t="e">
        <f t="shared" si="193"/>
        <v>#DIV/0!</v>
      </c>
      <c r="BO59" s="4112"/>
      <c r="BP59" s="3349"/>
      <c r="BQ59" s="3349"/>
      <c r="BR59" s="3349">
        <f t="shared" si="194"/>
        <v>0</v>
      </c>
      <c r="BS59" s="4074" t="e">
        <f t="shared" si="195"/>
        <v>#DIV/0!</v>
      </c>
      <c r="BT59" s="4112"/>
      <c r="BU59" s="3349"/>
      <c r="BV59" s="3349"/>
      <c r="BW59" s="3349">
        <f t="shared" si="196"/>
        <v>0</v>
      </c>
      <c r="BX59" s="4074" t="e">
        <f t="shared" si="197"/>
        <v>#DIV/0!</v>
      </c>
      <c r="BY59" s="4112"/>
      <c r="BZ59" s="3349"/>
      <c r="CA59" s="3349"/>
      <c r="CB59" s="3349">
        <f t="shared" si="198"/>
        <v>0</v>
      </c>
      <c r="CC59" s="4074" t="e">
        <f t="shared" si="199"/>
        <v>#DIV/0!</v>
      </c>
      <c r="CD59" s="4112"/>
      <c r="CE59" s="3349"/>
      <c r="CF59" s="3349"/>
      <c r="CG59" s="3349">
        <f t="shared" si="200"/>
        <v>0</v>
      </c>
      <c r="CH59" s="4074" t="e">
        <f t="shared" si="201"/>
        <v>#DIV/0!</v>
      </c>
      <c r="CI59" s="4112"/>
      <c r="CJ59" s="3341">
        <f t="shared" si="202"/>
        <v>0</v>
      </c>
      <c r="CK59" s="3341">
        <f t="shared" si="202"/>
        <v>0</v>
      </c>
      <c r="CL59" s="2012">
        <f t="shared" si="203"/>
        <v>0</v>
      </c>
      <c r="CM59" s="4074">
        <f t="shared" si="168"/>
        <v>0</v>
      </c>
      <c r="CN59" s="4076"/>
      <c r="CP59" s="2012">
        <f t="shared" si="204"/>
        <v>0</v>
      </c>
      <c r="CQ59" s="2012">
        <f t="shared" si="204"/>
        <v>0</v>
      </c>
      <c r="CR59" s="4161"/>
    </row>
    <row r="60" spans="1:98" ht="13.8" outlineLevel="2">
      <c r="A60" s="1571"/>
      <c r="B60" s="4098" t="s">
        <v>65</v>
      </c>
      <c r="C60" s="3349"/>
      <c r="D60" s="3349"/>
      <c r="E60" s="3349">
        <f t="shared" si="169"/>
        <v>0</v>
      </c>
      <c r="F60" s="4074" t="e">
        <f t="shared" si="133"/>
        <v>#DIV/0!</v>
      </c>
      <c r="G60" s="4112"/>
      <c r="H60" s="3349"/>
      <c r="I60" s="3349"/>
      <c r="J60" s="3349">
        <f t="shared" si="170"/>
        <v>0</v>
      </c>
      <c r="K60" s="4074" t="e">
        <f t="shared" si="171"/>
        <v>#DIV/0!</v>
      </c>
      <c r="L60" s="4112"/>
      <c r="M60" s="3349"/>
      <c r="N60" s="3349"/>
      <c r="O60" s="3349">
        <f t="shared" si="172"/>
        <v>0</v>
      </c>
      <c r="P60" s="4074" t="e">
        <f t="shared" si="173"/>
        <v>#DIV/0!</v>
      </c>
      <c r="Q60" s="4112"/>
      <c r="R60" s="3342">
        <f t="shared" si="174"/>
        <v>0</v>
      </c>
      <c r="S60" s="3342">
        <f t="shared" si="174"/>
        <v>0</v>
      </c>
      <c r="T60" s="2012">
        <f t="shared" si="175"/>
        <v>0</v>
      </c>
      <c r="U60" s="3462"/>
      <c r="V60" s="3462"/>
      <c r="W60" s="3342">
        <f t="shared" si="176"/>
        <v>0</v>
      </c>
      <c r="X60" s="3342">
        <f t="shared" si="176"/>
        <v>0</v>
      </c>
      <c r="Y60" s="2012">
        <f t="shared" si="177"/>
        <v>0</v>
      </c>
      <c r="Z60" s="3462"/>
      <c r="AA60" s="3462"/>
      <c r="AB60" s="3349"/>
      <c r="AC60" s="3349"/>
      <c r="AD60" s="3349">
        <f t="shared" si="178"/>
        <v>0</v>
      </c>
      <c r="AE60" s="4074">
        <f t="shared" si="179"/>
        <v>0</v>
      </c>
      <c r="AF60" s="4112"/>
      <c r="AG60" s="3349"/>
      <c r="AH60" s="3349"/>
      <c r="AI60" s="3349">
        <f t="shared" si="180"/>
        <v>0</v>
      </c>
      <c r="AJ60" s="4074">
        <f t="shared" si="181"/>
        <v>0</v>
      </c>
      <c r="AK60" s="4112"/>
      <c r="AL60" s="3349"/>
      <c r="AM60" s="3349"/>
      <c r="AN60" s="3349">
        <f t="shared" si="182"/>
        <v>0</v>
      </c>
      <c r="AO60" s="4074" t="e">
        <f t="shared" si="183"/>
        <v>#DIV/0!</v>
      </c>
      <c r="AP60" s="4112"/>
      <c r="AQ60" s="3349"/>
      <c r="AR60" s="3349"/>
      <c r="AS60" s="3349">
        <f t="shared" si="184"/>
        <v>0</v>
      </c>
      <c r="AT60" s="4074" t="e">
        <f t="shared" si="185"/>
        <v>#DIV/0!</v>
      </c>
      <c r="AU60" s="4112"/>
      <c r="AV60" s="3349"/>
      <c r="AW60" s="3349"/>
      <c r="AX60" s="3349">
        <f t="shared" si="186"/>
        <v>0</v>
      </c>
      <c r="AY60" s="4074" t="e">
        <f t="shared" si="187"/>
        <v>#DIV/0!</v>
      </c>
      <c r="AZ60" s="4112"/>
      <c r="BA60" s="3349"/>
      <c r="BB60" s="3349"/>
      <c r="BC60" s="3349">
        <f t="shared" si="188"/>
        <v>0</v>
      </c>
      <c r="BD60" s="4074" t="e">
        <f t="shared" si="189"/>
        <v>#DIV/0!</v>
      </c>
      <c r="BE60" s="4112"/>
      <c r="BF60" s="3349"/>
      <c r="BG60" s="3349"/>
      <c r="BH60" s="3349">
        <f t="shared" si="190"/>
        <v>0</v>
      </c>
      <c r="BI60" s="4074" t="e">
        <f t="shared" si="191"/>
        <v>#DIV/0!</v>
      </c>
      <c r="BJ60" s="4112"/>
      <c r="BK60" s="3349"/>
      <c r="BL60" s="3349"/>
      <c r="BM60" s="3349">
        <f t="shared" si="192"/>
        <v>0</v>
      </c>
      <c r="BN60" s="4074" t="e">
        <f t="shared" si="193"/>
        <v>#DIV/0!</v>
      </c>
      <c r="BO60" s="4112"/>
      <c r="BP60" s="3349"/>
      <c r="BQ60" s="3349"/>
      <c r="BR60" s="3349">
        <f t="shared" si="194"/>
        <v>0</v>
      </c>
      <c r="BS60" s="4074" t="e">
        <f t="shared" si="195"/>
        <v>#DIV/0!</v>
      </c>
      <c r="BT60" s="4112"/>
      <c r="BU60" s="3349"/>
      <c r="BV60" s="3349"/>
      <c r="BW60" s="3349">
        <f t="shared" si="196"/>
        <v>0</v>
      </c>
      <c r="BX60" s="4074" t="e">
        <f t="shared" si="197"/>
        <v>#DIV/0!</v>
      </c>
      <c r="BY60" s="4112"/>
      <c r="BZ60" s="3349"/>
      <c r="CA60" s="3349"/>
      <c r="CB60" s="3349">
        <f t="shared" si="198"/>
        <v>0</v>
      </c>
      <c r="CC60" s="4074" t="e">
        <f t="shared" si="199"/>
        <v>#DIV/0!</v>
      </c>
      <c r="CD60" s="4112"/>
      <c r="CE60" s="3349"/>
      <c r="CF60" s="3349"/>
      <c r="CG60" s="3349">
        <f t="shared" si="200"/>
        <v>0</v>
      </c>
      <c r="CH60" s="4074" t="e">
        <f t="shared" si="201"/>
        <v>#DIV/0!</v>
      </c>
      <c r="CI60" s="4112"/>
      <c r="CJ60" s="3341">
        <f t="shared" si="202"/>
        <v>0</v>
      </c>
      <c r="CK60" s="3341">
        <f t="shared" si="202"/>
        <v>0</v>
      </c>
      <c r="CL60" s="2012">
        <f t="shared" si="203"/>
        <v>0</v>
      </c>
      <c r="CM60" s="4074">
        <f t="shared" si="168"/>
        <v>0</v>
      </c>
      <c r="CN60" s="4076"/>
      <c r="CP60" s="2012">
        <f t="shared" si="204"/>
        <v>0</v>
      </c>
      <c r="CQ60" s="2012">
        <f t="shared" si="204"/>
        <v>0</v>
      </c>
      <c r="CR60" s="4161"/>
    </row>
    <row r="61" spans="1:98" ht="13.8" outlineLevel="2">
      <c r="A61" s="1571"/>
      <c r="B61" s="4098" t="s">
        <v>32</v>
      </c>
      <c r="C61" s="3349"/>
      <c r="D61" s="3349"/>
      <c r="E61" s="3349">
        <f t="shared" si="169"/>
        <v>0</v>
      </c>
      <c r="F61" s="4074" t="e">
        <f t="shared" si="133"/>
        <v>#DIV/0!</v>
      </c>
      <c r="G61" s="4112"/>
      <c r="H61" s="3349"/>
      <c r="I61" s="3349"/>
      <c r="J61" s="3349">
        <f t="shared" si="170"/>
        <v>0</v>
      </c>
      <c r="K61" s="4074" t="e">
        <f t="shared" si="171"/>
        <v>#DIV/0!</v>
      </c>
      <c r="L61" s="4112"/>
      <c r="M61" s="3349"/>
      <c r="N61" s="3349"/>
      <c r="O61" s="3349">
        <f t="shared" si="172"/>
        <v>0</v>
      </c>
      <c r="P61" s="4074" t="e">
        <f t="shared" si="173"/>
        <v>#DIV/0!</v>
      </c>
      <c r="Q61" s="4112"/>
      <c r="R61" s="3342">
        <f t="shared" si="174"/>
        <v>0</v>
      </c>
      <c r="S61" s="3342">
        <f t="shared" si="174"/>
        <v>0</v>
      </c>
      <c r="T61" s="2012">
        <f t="shared" si="175"/>
        <v>0</v>
      </c>
      <c r="U61" s="3462"/>
      <c r="V61" s="3462"/>
      <c r="W61" s="3342">
        <f t="shared" si="176"/>
        <v>0</v>
      </c>
      <c r="X61" s="3342">
        <f t="shared" si="176"/>
        <v>0</v>
      </c>
      <c r="Y61" s="2012">
        <f t="shared" si="177"/>
        <v>0</v>
      </c>
      <c r="Z61" s="3462"/>
      <c r="AA61" s="3462"/>
      <c r="AB61" s="3349"/>
      <c r="AC61" s="3349"/>
      <c r="AD61" s="3349">
        <f t="shared" si="178"/>
        <v>0</v>
      </c>
      <c r="AE61" s="4074">
        <f t="shared" si="179"/>
        <v>0</v>
      </c>
      <c r="AF61" s="4112"/>
      <c r="AG61" s="3349"/>
      <c r="AH61" s="3349"/>
      <c r="AI61" s="3349">
        <f t="shared" si="180"/>
        <v>0</v>
      </c>
      <c r="AJ61" s="4074">
        <f t="shared" si="181"/>
        <v>0</v>
      </c>
      <c r="AK61" s="4112"/>
      <c r="AL61" s="3349"/>
      <c r="AM61" s="3349"/>
      <c r="AN61" s="3349">
        <f t="shared" si="182"/>
        <v>0</v>
      </c>
      <c r="AO61" s="4074" t="e">
        <f t="shared" si="183"/>
        <v>#DIV/0!</v>
      </c>
      <c r="AP61" s="4112"/>
      <c r="AQ61" s="3349"/>
      <c r="AR61" s="3349"/>
      <c r="AS61" s="3349">
        <f t="shared" si="184"/>
        <v>0</v>
      </c>
      <c r="AT61" s="4074" t="e">
        <f t="shared" si="185"/>
        <v>#DIV/0!</v>
      </c>
      <c r="AU61" s="4112"/>
      <c r="AV61" s="3349"/>
      <c r="AW61" s="3349"/>
      <c r="AX61" s="3349">
        <f t="shared" si="186"/>
        <v>0</v>
      </c>
      <c r="AY61" s="4074" t="e">
        <f t="shared" si="187"/>
        <v>#DIV/0!</v>
      </c>
      <c r="AZ61" s="4112"/>
      <c r="BA61" s="3349"/>
      <c r="BB61" s="3349"/>
      <c r="BC61" s="3349">
        <f t="shared" si="188"/>
        <v>0</v>
      </c>
      <c r="BD61" s="4074" t="e">
        <f t="shared" si="189"/>
        <v>#DIV/0!</v>
      </c>
      <c r="BE61" s="4112"/>
      <c r="BF61" s="3349"/>
      <c r="BG61" s="3349"/>
      <c r="BH61" s="3349">
        <f t="shared" si="190"/>
        <v>0</v>
      </c>
      <c r="BI61" s="4074" t="e">
        <f t="shared" si="191"/>
        <v>#DIV/0!</v>
      </c>
      <c r="BJ61" s="4112"/>
      <c r="BK61" s="3349"/>
      <c r="BL61" s="3349"/>
      <c r="BM61" s="3349">
        <f t="shared" si="192"/>
        <v>0</v>
      </c>
      <c r="BN61" s="4074" t="e">
        <f t="shared" si="193"/>
        <v>#DIV/0!</v>
      </c>
      <c r="BO61" s="4112"/>
      <c r="BP61" s="3349"/>
      <c r="BQ61" s="3349"/>
      <c r="BR61" s="3349">
        <f t="shared" si="194"/>
        <v>0</v>
      </c>
      <c r="BS61" s="4074" t="e">
        <f t="shared" si="195"/>
        <v>#DIV/0!</v>
      </c>
      <c r="BT61" s="4112"/>
      <c r="BU61" s="3349"/>
      <c r="BV61" s="3349"/>
      <c r="BW61" s="3349">
        <f t="shared" si="196"/>
        <v>0</v>
      </c>
      <c r="BX61" s="4074" t="e">
        <f t="shared" si="197"/>
        <v>#DIV/0!</v>
      </c>
      <c r="BY61" s="4112"/>
      <c r="BZ61" s="3349"/>
      <c r="CA61" s="3349"/>
      <c r="CB61" s="3349">
        <f t="shared" si="198"/>
        <v>0</v>
      </c>
      <c r="CC61" s="4074" t="e">
        <f t="shared" si="199"/>
        <v>#DIV/0!</v>
      </c>
      <c r="CD61" s="4112"/>
      <c r="CE61" s="3349"/>
      <c r="CF61" s="3349"/>
      <c r="CG61" s="3349">
        <f t="shared" si="200"/>
        <v>0</v>
      </c>
      <c r="CH61" s="4074" t="e">
        <f t="shared" si="201"/>
        <v>#DIV/0!</v>
      </c>
      <c r="CI61" s="4112"/>
      <c r="CJ61" s="3341">
        <f t="shared" si="202"/>
        <v>0</v>
      </c>
      <c r="CK61" s="3341">
        <f t="shared" si="202"/>
        <v>0</v>
      </c>
      <c r="CL61" s="2012">
        <f t="shared" si="203"/>
        <v>0</v>
      </c>
      <c r="CM61" s="4074">
        <f t="shared" si="168"/>
        <v>0</v>
      </c>
      <c r="CN61" s="4076"/>
      <c r="CP61" s="2012">
        <f t="shared" si="204"/>
        <v>0</v>
      </c>
      <c r="CQ61" s="2012">
        <f t="shared" si="204"/>
        <v>0</v>
      </c>
      <c r="CR61" s="4161"/>
    </row>
    <row r="62" spans="1:98" ht="13.8" outlineLevel="2">
      <c r="A62" s="1571"/>
      <c r="B62" s="4098" t="s">
        <v>33</v>
      </c>
      <c r="C62" s="3349"/>
      <c r="D62" s="3349"/>
      <c r="E62" s="3349">
        <f t="shared" si="169"/>
        <v>0</v>
      </c>
      <c r="F62" s="4074" t="e">
        <f t="shared" si="133"/>
        <v>#DIV/0!</v>
      </c>
      <c r="G62" s="4112"/>
      <c r="H62" s="3349"/>
      <c r="I62" s="3349"/>
      <c r="J62" s="3349">
        <f t="shared" si="170"/>
        <v>0</v>
      </c>
      <c r="K62" s="4074" t="e">
        <f t="shared" si="171"/>
        <v>#DIV/0!</v>
      </c>
      <c r="L62" s="4112"/>
      <c r="M62" s="3349"/>
      <c r="N62" s="3349"/>
      <c r="O62" s="3349">
        <f t="shared" si="172"/>
        <v>0</v>
      </c>
      <c r="P62" s="4074" t="e">
        <f t="shared" si="173"/>
        <v>#DIV/0!</v>
      </c>
      <c r="Q62" s="4112"/>
      <c r="R62" s="3342">
        <f t="shared" si="174"/>
        <v>0</v>
      </c>
      <c r="S62" s="3342">
        <f t="shared" si="174"/>
        <v>0</v>
      </c>
      <c r="T62" s="2012">
        <f t="shared" si="175"/>
        <v>0</v>
      </c>
      <c r="U62" s="3462"/>
      <c r="V62" s="3462"/>
      <c r="W62" s="3342">
        <f t="shared" si="176"/>
        <v>0</v>
      </c>
      <c r="X62" s="3342">
        <f t="shared" si="176"/>
        <v>0</v>
      </c>
      <c r="Y62" s="2012">
        <f t="shared" si="177"/>
        <v>0</v>
      </c>
      <c r="Z62" s="3462"/>
      <c r="AA62" s="3462"/>
      <c r="AB62" s="3349"/>
      <c r="AC62" s="3349"/>
      <c r="AD62" s="3349">
        <f t="shared" si="178"/>
        <v>0</v>
      </c>
      <c r="AE62" s="4074">
        <f t="shared" si="179"/>
        <v>0</v>
      </c>
      <c r="AF62" s="4112"/>
      <c r="AG62" s="3349"/>
      <c r="AH62" s="3349"/>
      <c r="AI62" s="3349">
        <f t="shared" si="180"/>
        <v>0</v>
      </c>
      <c r="AJ62" s="4074">
        <f t="shared" si="181"/>
        <v>0</v>
      </c>
      <c r="AK62" s="4112"/>
      <c r="AL62" s="3349"/>
      <c r="AM62" s="3349"/>
      <c r="AN62" s="3349">
        <f t="shared" si="182"/>
        <v>0</v>
      </c>
      <c r="AO62" s="4074" t="e">
        <f t="shared" si="183"/>
        <v>#DIV/0!</v>
      </c>
      <c r="AP62" s="4112"/>
      <c r="AQ62" s="3349"/>
      <c r="AR62" s="3349"/>
      <c r="AS62" s="3349">
        <f t="shared" si="184"/>
        <v>0</v>
      </c>
      <c r="AT62" s="4074" t="e">
        <f t="shared" si="185"/>
        <v>#DIV/0!</v>
      </c>
      <c r="AU62" s="4112"/>
      <c r="AV62" s="3349"/>
      <c r="AW62" s="3349"/>
      <c r="AX62" s="3349">
        <f t="shared" si="186"/>
        <v>0</v>
      </c>
      <c r="AY62" s="4074" t="e">
        <f t="shared" si="187"/>
        <v>#DIV/0!</v>
      </c>
      <c r="AZ62" s="4112"/>
      <c r="BA62" s="3349"/>
      <c r="BB62" s="3349"/>
      <c r="BC62" s="3349">
        <f t="shared" si="188"/>
        <v>0</v>
      </c>
      <c r="BD62" s="4074" t="e">
        <f t="shared" si="189"/>
        <v>#DIV/0!</v>
      </c>
      <c r="BE62" s="4112"/>
      <c r="BF62" s="3349"/>
      <c r="BG62" s="3349"/>
      <c r="BH62" s="3349">
        <f t="shared" si="190"/>
        <v>0</v>
      </c>
      <c r="BI62" s="4074" t="e">
        <f t="shared" si="191"/>
        <v>#DIV/0!</v>
      </c>
      <c r="BJ62" s="4112"/>
      <c r="BK62" s="3349"/>
      <c r="BL62" s="3349"/>
      <c r="BM62" s="3349">
        <f t="shared" si="192"/>
        <v>0</v>
      </c>
      <c r="BN62" s="4074" t="e">
        <f t="shared" si="193"/>
        <v>#DIV/0!</v>
      </c>
      <c r="BO62" s="4112"/>
      <c r="BP62" s="3349"/>
      <c r="BQ62" s="3349"/>
      <c r="BR62" s="3349">
        <f t="shared" si="194"/>
        <v>0</v>
      </c>
      <c r="BS62" s="4074" t="e">
        <f t="shared" si="195"/>
        <v>#DIV/0!</v>
      </c>
      <c r="BT62" s="4112"/>
      <c r="BU62" s="3349"/>
      <c r="BV62" s="3349"/>
      <c r="BW62" s="3349">
        <f t="shared" si="196"/>
        <v>0</v>
      </c>
      <c r="BX62" s="4074" t="e">
        <f t="shared" si="197"/>
        <v>#DIV/0!</v>
      </c>
      <c r="BY62" s="4112"/>
      <c r="BZ62" s="3349"/>
      <c r="CA62" s="3349"/>
      <c r="CB62" s="3349">
        <f t="shared" si="198"/>
        <v>0</v>
      </c>
      <c r="CC62" s="4074" t="e">
        <f t="shared" si="199"/>
        <v>#DIV/0!</v>
      </c>
      <c r="CD62" s="4112"/>
      <c r="CE62" s="3349"/>
      <c r="CF62" s="3349"/>
      <c r="CG62" s="3349">
        <f t="shared" si="200"/>
        <v>0</v>
      </c>
      <c r="CH62" s="4074" t="e">
        <f t="shared" si="201"/>
        <v>#DIV/0!</v>
      </c>
      <c r="CI62" s="4112"/>
      <c r="CJ62" s="3341">
        <f t="shared" si="202"/>
        <v>0</v>
      </c>
      <c r="CK62" s="3341">
        <f t="shared" si="202"/>
        <v>0</v>
      </c>
      <c r="CL62" s="2012">
        <f t="shared" si="203"/>
        <v>0</v>
      </c>
      <c r="CM62" s="4074">
        <f t="shared" si="168"/>
        <v>0</v>
      </c>
      <c r="CN62" s="4076"/>
      <c r="CP62" s="2012">
        <f t="shared" si="204"/>
        <v>0</v>
      </c>
      <c r="CQ62" s="2012">
        <f t="shared" si="204"/>
        <v>0</v>
      </c>
      <c r="CR62" s="4161"/>
    </row>
    <row r="63" spans="1:98" ht="13.8" outlineLevel="2">
      <c r="A63" s="1571"/>
      <c r="B63" s="4098" t="s">
        <v>35</v>
      </c>
      <c r="C63" s="3349"/>
      <c r="D63" s="3349"/>
      <c r="E63" s="3349">
        <f t="shared" si="169"/>
        <v>0</v>
      </c>
      <c r="F63" s="4074" t="e">
        <f t="shared" si="133"/>
        <v>#DIV/0!</v>
      </c>
      <c r="G63" s="4112"/>
      <c r="H63" s="3349"/>
      <c r="I63" s="3349"/>
      <c r="J63" s="3349">
        <f t="shared" si="170"/>
        <v>0</v>
      </c>
      <c r="K63" s="4074" t="e">
        <f t="shared" si="171"/>
        <v>#DIV/0!</v>
      </c>
      <c r="L63" s="4112"/>
      <c r="M63" s="3349"/>
      <c r="N63" s="3349"/>
      <c r="O63" s="3349">
        <f t="shared" si="172"/>
        <v>0</v>
      </c>
      <c r="P63" s="4074" t="e">
        <f t="shared" si="173"/>
        <v>#DIV/0!</v>
      </c>
      <c r="Q63" s="4112"/>
      <c r="R63" s="3342">
        <f t="shared" si="174"/>
        <v>0</v>
      </c>
      <c r="S63" s="3342">
        <f t="shared" si="174"/>
        <v>0</v>
      </c>
      <c r="T63" s="2012">
        <f t="shared" si="175"/>
        <v>0</v>
      </c>
      <c r="U63" s="3462"/>
      <c r="V63" s="3462"/>
      <c r="W63" s="3342">
        <f t="shared" si="176"/>
        <v>0</v>
      </c>
      <c r="X63" s="3342">
        <f t="shared" si="176"/>
        <v>0</v>
      </c>
      <c r="Y63" s="2012">
        <f t="shared" si="177"/>
        <v>0</v>
      </c>
      <c r="Z63" s="3462"/>
      <c r="AA63" s="3462"/>
      <c r="AB63" s="3349"/>
      <c r="AC63" s="3349"/>
      <c r="AD63" s="3349">
        <f t="shared" si="178"/>
        <v>0</v>
      </c>
      <c r="AE63" s="4074">
        <f t="shared" si="179"/>
        <v>0</v>
      </c>
      <c r="AF63" s="4112"/>
      <c r="AG63" s="3349"/>
      <c r="AH63" s="3349"/>
      <c r="AI63" s="3349">
        <f t="shared" si="180"/>
        <v>0</v>
      </c>
      <c r="AJ63" s="4074">
        <f t="shared" si="181"/>
        <v>0</v>
      </c>
      <c r="AK63" s="4112"/>
      <c r="AL63" s="3349"/>
      <c r="AM63" s="3349"/>
      <c r="AN63" s="3349">
        <f t="shared" si="182"/>
        <v>0</v>
      </c>
      <c r="AO63" s="4074" t="e">
        <f t="shared" si="183"/>
        <v>#DIV/0!</v>
      </c>
      <c r="AP63" s="4112"/>
      <c r="AQ63" s="3349"/>
      <c r="AR63" s="3349"/>
      <c r="AS63" s="3349">
        <f t="shared" si="184"/>
        <v>0</v>
      </c>
      <c r="AT63" s="4074" t="e">
        <f t="shared" si="185"/>
        <v>#DIV/0!</v>
      </c>
      <c r="AU63" s="4112"/>
      <c r="AV63" s="3349"/>
      <c r="AW63" s="3349"/>
      <c r="AX63" s="3349">
        <f t="shared" si="186"/>
        <v>0</v>
      </c>
      <c r="AY63" s="4074" t="e">
        <f t="shared" si="187"/>
        <v>#DIV/0!</v>
      </c>
      <c r="AZ63" s="4112"/>
      <c r="BA63" s="3349"/>
      <c r="BB63" s="3349"/>
      <c r="BC63" s="3349">
        <f t="shared" si="188"/>
        <v>0</v>
      </c>
      <c r="BD63" s="4074" t="e">
        <f t="shared" si="189"/>
        <v>#DIV/0!</v>
      </c>
      <c r="BE63" s="4112"/>
      <c r="BF63" s="3349"/>
      <c r="BG63" s="3349"/>
      <c r="BH63" s="3349">
        <f t="shared" si="190"/>
        <v>0</v>
      </c>
      <c r="BI63" s="4074" t="e">
        <f t="shared" si="191"/>
        <v>#DIV/0!</v>
      </c>
      <c r="BJ63" s="4112"/>
      <c r="BK63" s="3349"/>
      <c r="BL63" s="3349"/>
      <c r="BM63" s="3349">
        <f t="shared" si="192"/>
        <v>0</v>
      </c>
      <c r="BN63" s="4074" t="e">
        <f t="shared" si="193"/>
        <v>#DIV/0!</v>
      </c>
      <c r="BO63" s="4112"/>
      <c r="BP63" s="3349"/>
      <c r="BQ63" s="3349"/>
      <c r="BR63" s="3349">
        <f t="shared" si="194"/>
        <v>0</v>
      </c>
      <c r="BS63" s="4074" t="e">
        <f t="shared" si="195"/>
        <v>#DIV/0!</v>
      </c>
      <c r="BT63" s="4112"/>
      <c r="BU63" s="3349"/>
      <c r="BV63" s="3349"/>
      <c r="BW63" s="3349">
        <f t="shared" si="196"/>
        <v>0</v>
      </c>
      <c r="BX63" s="4074" t="e">
        <f t="shared" si="197"/>
        <v>#DIV/0!</v>
      </c>
      <c r="BY63" s="4112"/>
      <c r="BZ63" s="3349"/>
      <c r="CA63" s="3349"/>
      <c r="CB63" s="3349">
        <f t="shared" si="198"/>
        <v>0</v>
      </c>
      <c r="CC63" s="4074" t="e">
        <f t="shared" si="199"/>
        <v>#DIV/0!</v>
      </c>
      <c r="CD63" s="4112"/>
      <c r="CE63" s="3349"/>
      <c r="CF63" s="3349"/>
      <c r="CG63" s="3349">
        <f t="shared" si="200"/>
        <v>0</v>
      </c>
      <c r="CH63" s="4074" t="e">
        <f t="shared" si="201"/>
        <v>#DIV/0!</v>
      </c>
      <c r="CI63" s="4112"/>
      <c r="CJ63" s="3341">
        <f t="shared" si="202"/>
        <v>0</v>
      </c>
      <c r="CK63" s="3341">
        <f t="shared" si="202"/>
        <v>0</v>
      </c>
      <c r="CL63" s="2012">
        <f t="shared" si="203"/>
        <v>0</v>
      </c>
      <c r="CM63" s="4074">
        <f t="shared" si="168"/>
        <v>0</v>
      </c>
      <c r="CN63" s="4076"/>
      <c r="CP63" s="2012">
        <f t="shared" si="204"/>
        <v>0</v>
      </c>
      <c r="CQ63" s="2012">
        <f t="shared" si="204"/>
        <v>0</v>
      </c>
      <c r="CR63" s="4161"/>
    </row>
    <row r="64" spans="1:98" ht="13.8" outlineLevel="2">
      <c r="A64" s="1571"/>
      <c r="B64" s="4098" t="s">
        <v>63</v>
      </c>
      <c r="C64" s="3349"/>
      <c r="D64" s="3349"/>
      <c r="E64" s="3349">
        <f t="shared" si="169"/>
        <v>0</v>
      </c>
      <c r="F64" s="4074" t="e">
        <f t="shared" si="133"/>
        <v>#DIV/0!</v>
      </c>
      <c r="G64" s="4112"/>
      <c r="H64" s="3349"/>
      <c r="I64" s="3349"/>
      <c r="J64" s="3349">
        <f t="shared" si="170"/>
        <v>0</v>
      </c>
      <c r="K64" s="4074" t="e">
        <f t="shared" si="171"/>
        <v>#DIV/0!</v>
      </c>
      <c r="L64" s="4112"/>
      <c r="M64" s="3349"/>
      <c r="N64" s="3349"/>
      <c r="O64" s="3349">
        <f t="shared" si="172"/>
        <v>0</v>
      </c>
      <c r="P64" s="4074" t="e">
        <f t="shared" si="173"/>
        <v>#DIV/0!</v>
      </c>
      <c r="Q64" s="4112"/>
      <c r="R64" s="3342">
        <f t="shared" si="174"/>
        <v>0</v>
      </c>
      <c r="S64" s="3342">
        <f t="shared" si="174"/>
        <v>0</v>
      </c>
      <c r="T64" s="2012">
        <f t="shared" si="175"/>
        <v>0</v>
      </c>
      <c r="U64" s="3462"/>
      <c r="V64" s="3462"/>
      <c r="W64" s="3342">
        <f t="shared" si="176"/>
        <v>0</v>
      </c>
      <c r="X64" s="3342">
        <f t="shared" si="176"/>
        <v>0</v>
      </c>
      <c r="Y64" s="2012">
        <f t="shared" si="177"/>
        <v>0</v>
      </c>
      <c r="Z64" s="3462"/>
      <c r="AA64" s="3462"/>
      <c r="AB64" s="3349"/>
      <c r="AC64" s="3349"/>
      <c r="AD64" s="3349">
        <f t="shared" si="178"/>
        <v>0</v>
      </c>
      <c r="AE64" s="4074">
        <f t="shared" si="179"/>
        <v>0</v>
      </c>
      <c r="AF64" s="4112"/>
      <c r="AG64" s="3349"/>
      <c r="AH64" s="3349"/>
      <c r="AI64" s="3349">
        <f t="shared" si="180"/>
        <v>0</v>
      </c>
      <c r="AJ64" s="4074">
        <f t="shared" si="181"/>
        <v>0</v>
      </c>
      <c r="AK64" s="4112"/>
      <c r="AL64" s="3349"/>
      <c r="AM64" s="3349"/>
      <c r="AN64" s="3349">
        <f t="shared" si="182"/>
        <v>0</v>
      </c>
      <c r="AO64" s="4074" t="e">
        <f t="shared" si="183"/>
        <v>#DIV/0!</v>
      </c>
      <c r="AP64" s="4112"/>
      <c r="AQ64" s="3349"/>
      <c r="AR64" s="3349"/>
      <c r="AS64" s="3349">
        <f t="shared" si="184"/>
        <v>0</v>
      </c>
      <c r="AT64" s="4074" t="e">
        <f t="shared" si="185"/>
        <v>#DIV/0!</v>
      </c>
      <c r="AU64" s="4112"/>
      <c r="AV64" s="3349"/>
      <c r="AW64" s="3349"/>
      <c r="AX64" s="3349">
        <f t="shared" si="186"/>
        <v>0</v>
      </c>
      <c r="AY64" s="4074" t="e">
        <f t="shared" si="187"/>
        <v>#DIV/0!</v>
      </c>
      <c r="AZ64" s="4112"/>
      <c r="BA64" s="3349"/>
      <c r="BB64" s="3349"/>
      <c r="BC64" s="3349">
        <f t="shared" si="188"/>
        <v>0</v>
      </c>
      <c r="BD64" s="4074" t="e">
        <f t="shared" si="189"/>
        <v>#DIV/0!</v>
      </c>
      <c r="BE64" s="4112"/>
      <c r="BF64" s="3349"/>
      <c r="BG64" s="3349"/>
      <c r="BH64" s="3349">
        <f t="shared" si="190"/>
        <v>0</v>
      </c>
      <c r="BI64" s="4074" t="e">
        <f t="shared" si="191"/>
        <v>#DIV/0!</v>
      </c>
      <c r="BJ64" s="4112"/>
      <c r="BK64" s="3349"/>
      <c r="BL64" s="3349"/>
      <c r="BM64" s="3349">
        <f t="shared" si="192"/>
        <v>0</v>
      </c>
      <c r="BN64" s="4074" t="e">
        <f t="shared" si="193"/>
        <v>#DIV/0!</v>
      </c>
      <c r="BO64" s="4112"/>
      <c r="BP64" s="3349"/>
      <c r="BQ64" s="3349"/>
      <c r="BR64" s="3349">
        <f t="shared" si="194"/>
        <v>0</v>
      </c>
      <c r="BS64" s="4074" t="e">
        <f t="shared" si="195"/>
        <v>#DIV/0!</v>
      </c>
      <c r="BT64" s="4112"/>
      <c r="BU64" s="3349"/>
      <c r="BV64" s="3349"/>
      <c r="BW64" s="3349">
        <f t="shared" si="196"/>
        <v>0</v>
      </c>
      <c r="BX64" s="4074" t="e">
        <f t="shared" si="197"/>
        <v>#DIV/0!</v>
      </c>
      <c r="BY64" s="4112"/>
      <c r="BZ64" s="3349"/>
      <c r="CA64" s="3349"/>
      <c r="CB64" s="3349">
        <f t="shared" si="198"/>
        <v>0</v>
      </c>
      <c r="CC64" s="4074" t="e">
        <f t="shared" si="199"/>
        <v>#DIV/0!</v>
      </c>
      <c r="CD64" s="4112"/>
      <c r="CE64" s="3349"/>
      <c r="CF64" s="3349"/>
      <c r="CG64" s="3349">
        <f t="shared" si="200"/>
        <v>0</v>
      </c>
      <c r="CH64" s="4074" t="e">
        <f t="shared" si="201"/>
        <v>#DIV/0!</v>
      </c>
      <c r="CI64" s="4112"/>
      <c r="CJ64" s="3341">
        <f t="shared" si="202"/>
        <v>0</v>
      </c>
      <c r="CK64" s="3341">
        <f t="shared" si="202"/>
        <v>0</v>
      </c>
      <c r="CL64" s="2012">
        <f t="shared" si="203"/>
        <v>0</v>
      </c>
      <c r="CM64" s="4074">
        <f t="shared" si="168"/>
        <v>0</v>
      </c>
      <c r="CN64" s="4076"/>
      <c r="CP64" s="2012">
        <f t="shared" si="204"/>
        <v>0</v>
      </c>
      <c r="CQ64" s="2012">
        <f t="shared" si="204"/>
        <v>0</v>
      </c>
      <c r="CR64" s="4161"/>
    </row>
    <row r="65" spans="1:98" ht="13.8" outlineLevel="2">
      <c r="A65" s="1571"/>
      <c r="B65" s="4098" t="s">
        <v>36</v>
      </c>
      <c r="C65" s="3341"/>
      <c r="D65" s="3341"/>
      <c r="E65" s="3349">
        <f t="shared" si="169"/>
        <v>0</v>
      </c>
      <c r="F65" s="4074" t="e">
        <f t="shared" si="133"/>
        <v>#DIV/0!</v>
      </c>
      <c r="G65" s="4112"/>
      <c r="H65" s="3341"/>
      <c r="I65" s="3341"/>
      <c r="J65" s="3349">
        <f t="shared" si="170"/>
        <v>0</v>
      </c>
      <c r="K65" s="4074" t="e">
        <f t="shared" si="171"/>
        <v>#DIV/0!</v>
      </c>
      <c r="L65" s="4112"/>
      <c r="M65" s="3341"/>
      <c r="N65" s="3341"/>
      <c r="O65" s="3349">
        <f t="shared" si="172"/>
        <v>0</v>
      </c>
      <c r="P65" s="4074" t="e">
        <f t="shared" si="173"/>
        <v>#DIV/0!</v>
      </c>
      <c r="Q65" s="4112"/>
      <c r="R65" s="3342">
        <f t="shared" si="174"/>
        <v>0</v>
      </c>
      <c r="S65" s="3342">
        <f t="shared" si="174"/>
        <v>0</v>
      </c>
      <c r="T65" s="2012">
        <f t="shared" si="175"/>
        <v>0</v>
      </c>
      <c r="U65" s="3462"/>
      <c r="V65" s="3462"/>
      <c r="W65" s="3342">
        <f t="shared" si="176"/>
        <v>0</v>
      </c>
      <c r="X65" s="3342">
        <f t="shared" si="176"/>
        <v>0</v>
      </c>
      <c r="Y65" s="2012">
        <f t="shared" si="177"/>
        <v>0</v>
      </c>
      <c r="Z65" s="3462"/>
      <c r="AA65" s="3462"/>
      <c r="AB65" s="3341"/>
      <c r="AC65" s="3341"/>
      <c r="AD65" s="3349">
        <f t="shared" si="178"/>
        <v>0</v>
      </c>
      <c r="AE65" s="4074">
        <f t="shared" si="179"/>
        <v>0</v>
      </c>
      <c r="AF65" s="4112"/>
      <c r="AG65" s="3341"/>
      <c r="AH65" s="3341"/>
      <c r="AI65" s="3349">
        <f t="shared" si="180"/>
        <v>0</v>
      </c>
      <c r="AJ65" s="4074">
        <f t="shared" si="181"/>
        <v>0</v>
      </c>
      <c r="AK65" s="4112"/>
      <c r="AL65" s="3341"/>
      <c r="AM65" s="3341"/>
      <c r="AN65" s="3349">
        <f t="shared" si="182"/>
        <v>0</v>
      </c>
      <c r="AO65" s="4074" t="e">
        <f t="shared" si="183"/>
        <v>#DIV/0!</v>
      </c>
      <c r="AP65" s="4112"/>
      <c r="AQ65" s="3341"/>
      <c r="AR65" s="3341"/>
      <c r="AS65" s="3349">
        <f t="shared" si="184"/>
        <v>0</v>
      </c>
      <c r="AT65" s="4074" t="e">
        <f t="shared" si="185"/>
        <v>#DIV/0!</v>
      </c>
      <c r="AU65" s="4112"/>
      <c r="AV65" s="3341"/>
      <c r="AW65" s="3341"/>
      <c r="AX65" s="3349">
        <f t="shared" si="186"/>
        <v>0</v>
      </c>
      <c r="AY65" s="4074" t="e">
        <f t="shared" si="187"/>
        <v>#DIV/0!</v>
      </c>
      <c r="AZ65" s="4112"/>
      <c r="BA65" s="3341"/>
      <c r="BB65" s="3341"/>
      <c r="BC65" s="3349">
        <f t="shared" si="188"/>
        <v>0</v>
      </c>
      <c r="BD65" s="4074" t="e">
        <f t="shared" si="189"/>
        <v>#DIV/0!</v>
      </c>
      <c r="BE65" s="4112"/>
      <c r="BF65" s="3341"/>
      <c r="BG65" s="3341"/>
      <c r="BH65" s="3349">
        <f t="shared" si="190"/>
        <v>0</v>
      </c>
      <c r="BI65" s="4074" t="e">
        <f t="shared" si="191"/>
        <v>#DIV/0!</v>
      </c>
      <c r="BJ65" s="4112"/>
      <c r="BK65" s="3341"/>
      <c r="BL65" s="3341"/>
      <c r="BM65" s="3349">
        <f t="shared" si="192"/>
        <v>0</v>
      </c>
      <c r="BN65" s="4074" t="e">
        <f t="shared" si="193"/>
        <v>#DIV/0!</v>
      </c>
      <c r="BO65" s="4112"/>
      <c r="BP65" s="3341"/>
      <c r="BQ65" s="3341"/>
      <c r="BR65" s="3349">
        <f t="shared" si="194"/>
        <v>0</v>
      </c>
      <c r="BS65" s="4074" t="e">
        <f t="shared" si="195"/>
        <v>#DIV/0!</v>
      </c>
      <c r="BT65" s="4112"/>
      <c r="BU65" s="3341"/>
      <c r="BV65" s="3341"/>
      <c r="BW65" s="3349">
        <f t="shared" si="196"/>
        <v>0</v>
      </c>
      <c r="BX65" s="4074" t="e">
        <f t="shared" si="197"/>
        <v>#DIV/0!</v>
      </c>
      <c r="BY65" s="4112"/>
      <c r="BZ65" s="3341"/>
      <c r="CA65" s="3341"/>
      <c r="CB65" s="3349">
        <f t="shared" si="198"/>
        <v>0</v>
      </c>
      <c r="CC65" s="4074" t="e">
        <f t="shared" si="199"/>
        <v>#DIV/0!</v>
      </c>
      <c r="CD65" s="4112"/>
      <c r="CE65" s="3341"/>
      <c r="CF65" s="3341"/>
      <c r="CG65" s="3349">
        <f t="shared" si="200"/>
        <v>0</v>
      </c>
      <c r="CH65" s="4074" t="e">
        <f t="shared" si="201"/>
        <v>#DIV/0!</v>
      </c>
      <c r="CI65" s="4112"/>
      <c r="CJ65" s="3341">
        <f t="shared" si="202"/>
        <v>0</v>
      </c>
      <c r="CK65" s="3341">
        <f t="shared" si="202"/>
        <v>0</v>
      </c>
      <c r="CL65" s="2012">
        <f t="shared" si="203"/>
        <v>0</v>
      </c>
      <c r="CM65" s="4074">
        <f t="shared" si="168"/>
        <v>0</v>
      </c>
      <c r="CN65" s="4076"/>
      <c r="CP65" s="2012">
        <f t="shared" si="204"/>
        <v>0</v>
      </c>
      <c r="CQ65" s="2012">
        <f t="shared" si="204"/>
        <v>0</v>
      </c>
      <c r="CR65" s="4161"/>
    </row>
    <row r="66" spans="1:98" s="1396" customFormat="1" ht="13.8" outlineLevel="2">
      <c r="A66" s="1571"/>
      <c r="B66" s="4098" t="s">
        <v>37</v>
      </c>
      <c r="C66" s="3341"/>
      <c r="D66" s="3341"/>
      <c r="E66" s="3349">
        <f t="shared" si="169"/>
        <v>0</v>
      </c>
      <c r="F66" s="4074" t="e">
        <f t="shared" si="133"/>
        <v>#DIV/0!</v>
      </c>
      <c r="G66" s="4112"/>
      <c r="H66" s="3341"/>
      <c r="I66" s="3341"/>
      <c r="J66" s="3349">
        <f t="shared" si="170"/>
        <v>0</v>
      </c>
      <c r="K66" s="4074" t="e">
        <f t="shared" si="171"/>
        <v>#DIV/0!</v>
      </c>
      <c r="L66" s="4112"/>
      <c r="M66" s="3341"/>
      <c r="N66" s="3341"/>
      <c r="O66" s="3349">
        <f t="shared" si="172"/>
        <v>0</v>
      </c>
      <c r="P66" s="4074" t="e">
        <f t="shared" si="173"/>
        <v>#DIV/0!</v>
      </c>
      <c r="Q66" s="4112"/>
      <c r="R66" s="3342">
        <f t="shared" si="174"/>
        <v>0</v>
      </c>
      <c r="S66" s="3342">
        <f t="shared" si="174"/>
        <v>0</v>
      </c>
      <c r="T66" s="2012">
        <f t="shared" si="175"/>
        <v>0</v>
      </c>
      <c r="U66" s="3462"/>
      <c r="V66" s="3462"/>
      <c r="W66" s="3342">
        <f t="shared" si="176"/>
        <v>0</v>
      </c>
      <c r="X66" s="3342">
        <f t="shared" si="176"/>
        <v>0</v>
      </c>
      <c r="Y66" s="2012">
        <f t="shared" si="177"/>
        <v>0</v>
      </c>
      <c r="Z66" s="3462"/>
      <c r="AA66" s="3462"/>
      <c r="AB66" s="3341"/>
      <c r="AC66" s="3341"/>
      <c r="AD66" s="3349">
        <f t="shared" si="178"/>
        <v>0</v>
      </c>
      <c r="AE66" s="4074">
        <f t="shared" si="179"/>
        <v>0</v>
      </c>
      <c r="AF66" s="4112"/>
      <c r="AG66" s="3341"/>
      <c r="AH66" s="3341"/>
      <c r="AI66" s="3349">
        <f t="shared" si="180"/>
        <v>0</v>
      </c>
      <c r="AJ66" s="4074">
        <f t="shared" si="181"/>
        <v>0</v>
      </c>
      <c r="AK66" s="4112"/>
      <c r="AL66" s="3341"/>
      <c r="AM66" s="3341"/>
      <c r="AN66" s="3349">
        <f t="shared" si="182"/>
        <v>0</v>
      </c>
      <c r="AO66" s="4074" t="e">
        <f t="shared" si="183"/>
        <v>#DIV/0!</v>
      </c>
      <c r="AP66" s="4112"/>
      <c r="AQ66" s="3341"/>
      <c r="AR66" s="3341"/>
      <c r="AS66" s="3349">
        <f t="shared" si="184"/>
        <v>0</v>
      </c>
      <c r="AT66" s="4074" t="e">
        <f t="shared" si="185"/>
        <v>#DIV/0!</v>
      </c>
      <c r="AU66" s="4112"/>
      <c r="AV66" s="3341"/>
      <c r="AW66" s="3341"/>
      <c r="AX66" s="3349">
        <f t="shared" si="186"/>
        <v>0</v>
      </c>
      <c r="AY66" s="4074" t="e">
        <f t="shared" si="187"/>
        <v>#DIV/0!</v>
      </c>
      <c r="AZ66" s="4112"/>
      <c r="BA66" s="3341"/>
      <c r="BB66" s="3341"/>
      <c r="BC66" s="3349">
        <f t="shared" si="188"/>
        <v>0</v>
      </c>
      <c r="BD66" s="4074" t="e">
        <f t="shared" si="189"/>
        <v>#DIV/0!</v>
      </c>
      <c r="BE66" s="4112"/>
      <c r="BF66" s="3341"/>
      <c r="BG66" s="3341"/>
      <c r="BH66" s="3349">
        <f t="shared" si="190"/>
        <v>0</v>
      </c>
      <c r="BI66" s="4074" t="e">
        <f t="shared" si="191"/>
        <v>#DIV/0!</v>
      </c>
      <c r="BJ66" s="4112"/>
      <c r="BK66" s="3341"/>
      <c r="BL66" s="3341"/>
      <c r="BM66" s="3349">
        <f t="shared" si="192"/>
        <v>0</v>
      </c>
      <c r="BN66" s="4074" t="e">
        <f t="shared" si="193"/>
        <v>#DIV/0!</v>
      </c>
      <c r="BO66" s="4112"/>
      <c r="BP66" s="3341"/>
      <c r="BQ66" s="3341"/>
      <c r="BR66" s="3349">
        <f t="shared" si="194"/>
        <v>0</v>
      </c>
      <c r="BS66" s="4074" t="e">
        <f t="shared" si="195"/>
        <v>#DIV/0!</v>
      </c>
      <c r="BT66" s="4112"/>
      <c r="BU66" s="3341"/>
      <c r="BV66" s="3341"/>
      <c r="BW66" s="3349">
        <f t="shared" si="196"/>
        <v>0</v>
      </c>
      <c r="BX66" s="4074" t="e">
        <f t="shared" si="197"/>
        <v>#DIV/0!</v>
      </c>
      <c r="BY66" s="4112"/>
      <c r="BZ66" s="3341"/>
      <c r="CA66" s="3341"/>
      <c r="CB66" s="3349">
        <f t="shared" si="198"/>
        <v>0</v>
      </c>
      <c r="CC66" s="4074" t="e">
        <f t="shared" si="199"/>
        <v>#DIV/0!</v>
      </c>
      <c r="CD66" s="4112"/>
      <c r="CE66" s="3341"/>
      <c r="CF66" s="3341"/>
      <c r="CG66" s="3349">
        <f t="shared" si="200"/>
        <v>0</v>
      </c>
      <c r="CH66" s="4074" t="e">
        <f t="shared" si="201"/>
        <v>#DIV/0!</v>
      </c>
      <c r="CI66" s="4112"/>
      <c r="CJ66" s="3341">
        <f t="shared" si="202"/>
        <v>0</v>
      </c>
      <c r="CK66" s="3341">
        <f t="shared" si="202"/>
        <v>0</v>
      </c>
      <c r="CL66" s="2012">
        <f t="shared" si="203"/>
        <v>0</v>
      </c>
      <c r="CM66" s="4074">
        <f t="shared" si="168"/>
        <v>0</v>
      </c>
      <c r="CN66" s="4076"/>
      <c r="CP66" s="2012">
        <f t="shared" si="204"/>
        <v>0</v>
      </c>
      <c r="CQ66" s="2012">
        <f t="shared" si="204"/>
        <v>0</v>
      </c>
      <c r="CR66" s="4161"/>
      <c r="CT66" s="2624"/>
    </row>
    <row r="67" spans="1:98" s="1396" customFormat="1" ht="13.8" outlineLevel="2">
      <c r="A67" s="1571"/>
      <c r="B67" s="4098" t="s">
        <v>3</v>
      </c>
      <c r="C67" s="3341"/>
      <c r="D67" s="3341"/>
      <c r="E67" s="3349">
        <f t="shared" si="169"/>
        <v>0</v>
      </c>
      <c r="F67" s="4074" t="e">
        <f t="shared" si="133"/>
        <v>#DIV/0!</v>
      </c>
      <c r="G67" s="4112"/>
      <c r="H67" s="3341"/>
      <c r="I67" s="3341"/>
      <c r="J67" s="3349">
        <f t="shared" si="170"/>
        <v>0</v>
      </c>
      <c r="K67" s="4074" t="e">
        <f t="shared" si="171"/>
        <v>#DIV/0!</v>
      </c>
      <c r="L67" s="4112"/>
      <c r="M67" s="3341"/>
      <c r="N67" s="3341"/>
      <c r="O67" s="3349">
        <f t="shared" si="172"/>
        <v>0</v>
      </c>
      <c r="P67" s="4074" t="e">
        <f t="shared" si="173"/>
        <v>#DIV/0!</v>
      </c>
      <c r="Q67" s="4112"/>
      <c r="R67" s="3342">
        <f t="shared" si="174"/>
        <v>0</v>
      </c>
      <c r="S67" s="3342">
        <f t="shared" si="174"/>
        <v>0</v>
      </c>
      <c r="T67" s="2012">
        <f t="shared" si="175"/>
        <v>0</v>
      </c>
      <c r="U67" s="3462"/>
      <c r="V67" s="3462"/>
      <c r="W67" s="3342">
        <f t="shared" si="176"/>
        <v>0</v>
      </c>
      <c r="X67" s="3342">
        <f t="shared" si="176"/>
        <v>0</v>
      </c>
      <c r="Y67" s="2012">
        <f t="shared" si="177"/>
        <v>0</v>
      </c>
      <c r="Z67" s="3462"/>
      <c r="AA67" s="3462"/>
      <c r="AB67" s="3341"/>
      <c r="AC67" s="3341"/>
      <c r="AD67" s="3349">
        <f t="shared" si="178"/>
        <v>0</v>
      </c>
      <c r="AE67" s="4074">
        <f t="shared" si="179"/>
        <v>0</v>
      </c>
      <c r="AF67" s="4112"/>
      <c r="AG67" s="3341"/>
      <c r="AH67" s="3341"/>
      <c r="AI67" s="3349">
        <f t="shared" si="180"/>
        <v>0</v>
      </c>
      <c r="AJ67" s="4074">
        <f t="shared" si="181"/>
        <v>0</v>
      </c>
      <c r="AK67" s="4112"/>
      <c r="AL67" s="3341"/>
      <c r="AM67" s="3341"/>
      <c r="AN67" s="3349">
        <f t="shared" si="182"/>
        <v>0</v>
      </c>
      <c r="AO67" s="4074" t="e">
        <f t="shared" si="183"/>
        <v>#DIV/0!</v>
      </c>
      <c r="AP67" s="4112"/>
      <c r="AQ67" s="3341"/>
      <c r="AR67" s="3341"/>
      <c r="AS67" s="3349">
        <f t="shared" si="184"/>
        <v>0</v>
      </c>
      <c r="AT67" s="4074" t="e">
        <f t="shared" si="185"/>
        <v>#DIV/0!</v>
      </c>
      <c r="AU67" s="4112"/>
      <c r="AV67" s="3341"/>
      <c r="AW67" s="3341"/>
      <c r="AX67" s="3349">
        <f t="shared" si="186"/>
        <v>0</v>
      </c>
      <c r="AY67" s="4074" t="e">
        <f t="shared" si="187"/>
        <v>#DIV/0!</v>
      </c>
      <c r="AZ67" s="4112"/>
      <c r="BA67" s="3341"/>
      <c r="BB67" s="3341"/>
      <c r="BC67" s="3349">
        <f t="shared" si="188"/>
        <v>0</v>
      </c>
      <c r="BD67" s="4074" t="e">
        <f t="shared" si="189"/>
        <v>#DIV/0!</v>
      </c>
      <c r="BE67" s="4112"/>
      <c r="BF67" s="3341"/>
      <c r="BG67" s="3341"/>
      <c r="BH67" s="3349">
        <f t="shared" si="190"/>
        <v>0</v>
      </c>
      <c r="BI67" s="4074" t="e">
        <f t="shared" si="191"/>
        <v>#DIV/0!</v>
      </c>
      <c r="BJ67" s="4112"/>
      <c r="BK67" s="3341"/>
      <c r="BL67" s="3341"/>
      <c r="BM67" s="3349">
        <f t="shared" si="192"/>
        <v>0</v>
      </c>
      <c r="BN67" s="4074" t="e">
        <f t="shared" si="193"/>
        <v>#DIV/0!</v>
      </c>
      <c r="BO67" s="4112"/>
      <c r="BP67" s="3341"/>
      <c r="BQ67" s="3341"/>
      <c r="BR67" s="3349">
        <f t="shared" si="194"/>
        <v>0</v>
      </c>
      <c r="BS67" s="4074" t="e">
        <f t="shared" si="195"/>
        <v>#DIV/0!</v>
      </c>
      <c r="BT67" s="4112"/>
      <c r="BU67" s="3341"/>
      <c r="BV67" s="3341"/>
      <c r="BW67" s="3349">
        <f t="shared" si="196"/>
        <v>0</v>
      </c>
      <c r="BX67" s="4074" t="e">
        <f t="shared" si="197"/>
        <v>#DIV/0!</v>
      </c>
      <c r="BY67" s="4112"/>
      <c r="BZ67" s="3341"/>
      <c r="CA67" s="3341"/>
      <c r="CB67" s="3349">
        <f t="shared" si="198"/>
        <v>0</v>
      </c>
      <c r="CC67" s="4074" t="e">
        <f t="shared" si="199"/>
        <v>#DIV/0!</v>
      </c>
      <c r="CD67" s="4112"/>
      <c r="CE67" s="3341"/>
      <c r="CF67" s="3341"/>
      <c r="CG67" s="3349">
        <f t="shared" si="200"/>
        <v>0</v>
      </c>
      <c r="CH67" s="4074" t="e">
        <f t="shared" si="201"/>
        <v>#DIV/0!</v>
      </c>
      <c r="CI67" s="4112"/>
      <c r="CJ67" s="3341">
        <f t="shared" si="202"/>
        <v>0</v>
      </c>
      <c r="CK67" s="3341">
        <f t="shared" si="202"/>
        <v>0</v>
      </c>
      <c r="CL67" s="2012">
        <f t="shared" si="203"/>
        <v>0</v>
      </c>
      <c r="CM67" s="4074">
        <f t="shared" si="168"/>
        <v>0</v>
      </c>
      <c r="CN67" s="4076"/>
      <c r="CP67" s="2012">
        <f t="shared" si="204"/>
        <v>0</v>
      </c>
      <c r="CQ67" s="2012">
        <f t="shared" si="204"/>
        <v>0</v>
      </c>
      <c r="CR67" s="4161"/>
      <c r="CT67" s="2624"/>
    </row>
    <row r="68" spans="1:98" s="1396" customFormat="1" ht="13.8" outlineLevel="2">
      <c r="A68" s="1571"/>
      <c r="B68" s="4098" t="s">
        <v>5</v>
      </c>
      <c r="C68" s="3341"/>
      <c r="D68" s="3341"/>
      <c r="E68" s="3349">
        <f t="shared" si="169"/>
        <v>0</v>
      </c>
      <c r="F68" s="4074" t="e">
        <f t="shared" si="133"/>
        <v>#DIV/0!</v>
      </c>
      <c r="G68" s="3341"/>
      <c r="H68" s="3341"/>
      <c r="I68" s="3341"/>
      <c r="J68" s="3349">
        <f t="shared" si="170"/>
        <v>0</v>
      </c>
      <c r="K68" s="4074" t="e">
        <f t="shared" si="171"/>
        <v>#DIV/0!</v>
      </c>
      <c r="L68" s="3341"/>
      <c r="M68" s="3341"/>
      <c r="N68" s="3341"/>
      <c r="O68" s="3349">
        <f t="shared" si="172"/>
        <v>0</v>
      </c>
      <c r="P68" s="4074" t="e">
        <f t="shared" si="173"/>
        <v>#DIV/0!</v>
      </c>
      <c r="Q68" s="3341"/>
      <c r="R68" s="3342">
        <f t="shared" si="174"/>
        <v>0</v>
      </c>
      <c r="S68" s="3342">
        <f t="shared" si="174"/>
        <v>0</v>
      </c>
      <c r="T68" s="2012">
        <f t="shared" si="175"/>
        <v>0</v>
      </c>
      <c r="U68" s="3341"/>
      <c r="V68" s="3341"/>
      <c r="W68" s="3342">
        <f t="shared" si="176"/>
        <v>0</v>
      </c>
      <c r="X68" s="3342">
        <f t="shared" si="176"/>
        <v>0</v>
      </c>
      <c r="Y68" s="2012">
        <f t="shared" si="177"/>
        <v>0</v>
      </c>
      <c r="Z68" s="3341"/>
      <c r="AA68" s="3341"/>
      <c r="AB68" s="3341"/>
      <c r="AC68" s="3341"/>
      <c r="AD68" s="3349">
        <f t="shared" si="178"/>
        <v>0</v>
      </c>
      <c r="AE68" s="4074">
        <f t="shared" si="179"/>
        <v>0</v>
      </c>
      <c r="AF68" s="3341"/>
      <c r="AG68" s="3341"/>
      <c r="AH68" s="3341"/>
      <c r="AI68" s="3349">
        <f t="shared" si="180"/>
        <v>0</v>
      </c>
      <c r="AJ68" s="4074">
        <f t="shared" si="181"/>
        <v>0</v>
      </c>
      <c r="AK68" s="3341"/>
      <c r="AL68" s="3341"/>
      <c r="AM68" s="3341"/>
      <c r="AN68" s="3349">
        <f t="shared" si="182"/>
        <v>0</v>
      </c>
      <c r="AO68" s="4074" t="e">
        <f t="shared" si="183"/>
        <v>#DIV/0!</v>
      </c>
      <c r="AP68" s="3341"/>
      <c r="AQ68" s="3341"/>
      <c r="AR68" s="3341"/>
      <c r="AS68" s="3349">
        <f t="shared" si="184"/>
        <v>0</v>
      </c>
      <c r="AT68" s="4074" t="e">
        <f t="shared" si="185"/>
        <v>#DIV/0!</v>
      </c>
      <c r="AU68" s="3341"/>
      <c r="AV68" s="3341"/>
      <c r="AW68" s="3341"/>
      <c r="AX68" s="3349">
        <f t="shared" si="186"/>
        <v>0</v>
      </c>
      <c r="AY68" s="4074" t="e">
        <f t="shared" si="187"/>
        <v>#DIV/0!</v>
      </c>
      <c r="AZ68" s="3341"/>
      <c r="BA68" s="3341"/>
      <c r="BB68" s="3341"/>
      <c r="BC68" s="3349">
        <f t="shared" si="188"/>
        <v>0</v>
      </c>
      <c r="BD68" s="4074" t="e">
        <f t="shared" si="189"/>
        <v>#DIV/0!</v>
      </c>
      <c r="BE68" s="3341"/>
      <c r="BF68" s="3341"/>
      <c r="BG68" s="3341"/>
      <c r="BH68" s="3349">
        <f t="shared" si="190"/>
        <v>0</v>
      </c>
      <c r="BI68" s="4074" t="e">
        <f t="shared" si="191"/>
        <v>#DIV/0!</v>
      </c>
      <c r="BJ68" s="3341"/>
      <c r="BK68" s="3341"/>
      <c r="BL68" s="3341"/>
      <c r="BM68" s="3349">
        <f t="shared" si="192"/>
        <v>0</v>
      </c>
      <c r="BN68" s="4074" t="e">
        <f t="shared" si="193"/>
        <v>#DIV/0!</v>
      </c>
      <c r="BO68" s="3341"/>
      <c r="BP68" s="3341"/>
      <c r="BQ68" s="3341"/>
      <c r="BR68" s="3349">
        <f t="shared" si="194"/>
        <v>0</v>
      </c>
      <c r="BS68" s="4074" t="e">
        <f t="shared" si="195"/>
        <v>#DIV/0!</v>
      </c>
      <c r="BT68" s="3341"/>
      <c r="BU68" s="3341"/>
      <c r="BV68" s="3341"/>
      <c r="BW68" s="3349">
        <f t="shared" si="196"/>
        <v>0</v>
      </c>
      <c r="BX68" s="4074" t="e">
        <f t="shared" si="197"/>
        <v>#DIV/0!</v>
      </c>
      <c r="BY68" s="3341"/>
      <c r="BZ68" s="3341"/>
      <c r="CA68" s="3341"/>
      <c r="CB68" s="3349">
        <f t="shared" si="198"/>
        <v>0</v>
      </c>
      <c r="CC68" s="4074" t="e">
        <f t="shared" si="199"/>
        <v>#DIV/0!</v>
      </c>
      <c r="CD68" s="3341"/>
      <c r="CE68" s="3341"/>
      <c r="CF68" s="3341"/>
      <c r="CG68" s="3349">
        <f t="shared" si="200"/>
        <v>0</v>
      </c>
      <c r="CH68" s="4074" t="e">
        <f t="shared" si="201"/>
        <v>#DIV/0!</v>
      </c>
      <c r="CI68" s="3341"/>
      <c r="CJ68" s="3341">
        <f t="shared" si="202"/>
        <v>0</v>
      </c>
      <c r="CK68" s="3341">
        <f t="shared" si="202"/>
        <v>0</v>
      </c>
      <c r="CL68" s="2012">
        <f t="shared" si="203"/>
        <v>0</v>
      </c>
      <c r="CM68" s="4074">
        <f t="shared" si="168"/>
        <v>0</v>
      </c>
      <c r="CN68" s="4076"/>
      <c r="CP68" s="2012">
        <f t="shared" si="204"/>
        <v>0</v>
      </c>
      <c r="CQ68" s="2012">
        <f t="shared" si="204"/>
        <v>0</v>
      </c>
      <c r="CR68" s="4161"/>
      <c r="CT68" s="2624"/>
    </row>
    <row r="69" spans="1:98" s="1396" customFormat="1" ht="13.8" outlineLevel="2">
      <c r="A69" s="1571"/>
      <c r="B69" s="4098" t="s">
        <v>42</v>
      </c>
      <c r="C69" s="3341"/>
      <c r="D69" s="3341"/>
      <c r="E69" s="3349">
        <f t="shared" si="169"/>
        <v>0</v>
      </c>
      <c r="F69" s="4074" t="e">
        <f t="shared" si="133"/>
        <v>#DIV/0!</v>
      </c>
      <c r="G69" s="4112"/>
      <c r="H69" s="3341"/>
      <c r="I69" s="3341"/>
      <c r="J69" s="3349">
        <f t="shared" si="170"/>
        <v>0</v>
      </c>
      <c r="K69" s="4074" t="e">
        <f t="shared" si="171"/>
        <v>#DIV/0!</v>
      </c>
      <c r="L69" s="4112"/>
      <c r="M69" s="3341"/>
      <c r="N69" s="3341"/>
      <c r="O69" s="3349">
        <f t="shared" si="172"/>
        <v>0</v>
      </c>
      <c r="P69" s="4074" t="e">
        <f t="shared" si="173"/>
        <v>#DIV/0!</v>
      </c>
      <c r="Q69" s="4112"/>
      <c r="R69" s="3342">
        <f t="shared" si="174"/>
        <v>0</v>
      </c>
      <c r="S69" s="3342">
        <f t="shared" si="174"/>
        <v>0</v>
      </c>
      <c r="T69" s="2012">
        <f t="shared" si="175"/>
        <v>0</v>
      </c>
      <c r="U69" s="3462"/>
      <c r="V69" s="3462"/>
      <c r="W69" s="3342">
        <f t="shared" si="176"/>
        <v>0</v>
      </c>
      <c r="X69" s="3342">
        <f t="shared" si="176"/>
        <v>0</v>
      </c>
      <c r="Y69" s="2012">
        <f t="shared" si="177"/>
        <v>0</v>
      </c>
      <c r="Z69" s="3462"/>
      <c r="AA69" s="3462"/>
      <c r="AB69" s="3341"/>
      <c r="AC69" s="3341"/>
      <c r="AD69" s="3349">
        <f t="shared" si="178"/>
        <v>0</v>
      </c>
      <c r="AE69" s="4074">
        <f t="shared" si="179"/>
        <v>0</v>
      </c>
      <c r="AF69" s="4112"/>
      <c r="AG69" s="3341"/>
      <c r="AH69" s="3341"/>
      <c r="AI69" s="3349">
        <f t="shared" si="180"/>
        <v>0</v>
      </c>
      <c r="AJ69" s="4074">
        <f t="shared" si="181"/>
        <v>0</v>
      </c>
      <c r="AK69" s="4112"/>
      <c r="AL69" s="3341"/>
      <c r="AM69" s="3341"/>
      <c r="AN69" s="3349">
        <f t="shared" si="182"/>
        <v>0</v>
      </c>
      <c r="AO69" s="4074" t="e">
        <f t="shared" si="183"/>
        <v>#DIV/0!</v>
      </c>
      <c r="AP69" s="4112"/>
      <c r="AQ69" s="3341"/>
      <c r="AR69" s="3341"/>
      <c r="AS69" s="3349">
        <f t="shared" si="184"/>
        <v>0</v>
      </c>
      <c r="AT69" s="4074" t="e">
        <f t="shared" si="185"/>
        <v>#DIV/0!</v>
      </c>
      <c r="AU69" s="4112"/>
      <c r="AV69" s="3341"/>
      <c r="AW69" s="3341"/>
      <c r="AX69" s="3349">
        <f t="shared" si="186"/>
        <v>0</v>
      </c>
      <c r="AY69" s="4074" t="e">
        <f t="shared" si="187"/>
        <v>#DIV/0!</v>
      </c>
      <c r="AZ69" s="4112"/>
      <c r="BA69" s="3341"/>
      <c r="BB69" s="3341"/>
      <c r="BC69" s="3349">
        <f t="shared" si="188"/>
        <v>0</v>
      </c>
      <c r="BD69" s="4074" t="e">
        <f t="shared" si="189"/>
        <v>#DIV/0!</v>
      </c>
      <c r="BE69" s="4112"/>
      <c r="BF69" s="3341"/>
      <c r="BG69" s="3341"/>
      <c r="BH69" s="3349">
        <f t="shared" si="190"/>
        <v>0</v>
      </c>
      <c r="BI69" s="4074" t="e">
        <f t="shared" si="191"/>
        <v>#DIV/0!</v>
      </c>
      <c r="BJ69" s="4112"/>
      <c r="BK69" s="3341"/>
      <c r="BL69" s="3341"/>
      <c r="BM69" s="3349">
        <f t="shared" si="192"/>
        <v>0</v>
      </c>
      <c r="BN69" s="4074" t="e">
        <f t="shared" si="193"/>
        <v>#DIV/0!</v>
      </c>
      <c r="BO69" s="4112"/>
      <c r="BP69" s="3341"/>
      <c r="BQ69" s="3341"/>
      <c r="BR69" s="3349">
        <f t="shared" si="194"/>
        <v>0</v>
      </c>
      <c r="BS69" s="4074" t="e">
        <f t="shared" si="195"/>
        <v>#DIV/0!</v>
      </c>
      <c r="BT69" s="4112"/>
      <c r="BU69" s="3341"/>
      <c r="BV69" s="3341"/>
      <c r="BW69" s="3349">
        <f t="shared" si="196"/>
        <v>0</v>
      </c>
      <c r="BX69" s="4074" t="e">
        <f t="shared" si="197"/>
        <v>#DIV/0!</v>
      </c>
      <c r="BY69" s="4112"/>
      <c r="BZ69" s="3341"/>
      <c r="CA69" s="3341"/>
      <c r="CB69" s="3349">
        <f t="shared" si="198"/>
        <v>0</v>
      </c>
      <c r="CC69" s="4074" t="e">
        <f t="shared" si="199"/>
        <v>#DIV/0!</v>
      </c>
      <c r="CD69" s="4112"/>
      <c r="CE69" s="3341"/>
      <c r="CF69" s="3341"/>
      <c r="CG69" s="3349">
        <f t="shared" si="200"/>
        <v>0</v>
      </c>
      <c r="CH69" s="4074" t="e">
        <f t="shared" si="201"/>
        <v>#DIV/0!</v>
      </c>
      <c r="CI69" s="4112"/>
      <c r="CJ69" s="3341">
        <f t="shared" si="202"/>
        <v>0</v>
      </c>
      <c r="CK69" s="3341">
        <f t="shared" si="202"/>
        <v>0</v>
      </c>
      <c r="CL69" s="2012">
        <f t="shared" si="203"/>
        <v>0</v>
      </c>
      <c r="CM69" s="4074">
        <f t="shared" si="168"/>
        <v>0</v>
      </c>
      <c r="CN69" s="4076"/>
      <c r="CP69" s="2012">
        <f t="shared" si="204"/>
        <v>0</v>
      </c>
      <c r="CQ69" s="2012">
        <f t="shared" si="204"/>
        <v>0</v>
      </c>
      <c r="CR69" s="4161"/>
      <c r="CT69" s="2624"/>
    </row>
    <row r="70" spans="1:98" s="1396" customFormat="1" ht="13.8" outlineLevel="2">
      <c r="A70" s="1571"/>
      <c r="B70" s="4098" t="s">
        <v>6</v>
      </c>
      <c r="C70" s="3341"/>
      <c r="D70" s="3341"/>
      <c r="E70" s="3349">
        <f t="shared" si="169"/>
        <v>0</v>
      </c>
      <c r="F70" s="4074" t="e">
        <f t="shared" si="133"/>
        <v>#DIV/0!</v>
      </c>
      <c r="G70" s="4112"/>
      <c r="H70" s="3341"/>
      <c r="I70" s="3341"/>
      <c r="J70" s="3349">
        <f t="shared" si="170"/>
        <v>0</v>
      </c>
      <c r="K70" s="4074" t="e">
        <f t="shared" si="171"/>
        <v>#DIV/0!</v>
      </c>
      <c r="L70" s="4112"/>
      <c r="M70" s="3341"/>
      <c r="N70" s="3341"/>
      <c r="O70" s="3349">
        <f t="shared" si="172"/>
        <v>0</v>
      </c>
      <c r="P70" s="4074" t="e">
        <f t="shared" si="173"/>
        <v>#DIV/0!</v>
      </c>
      <c r="Q70" s="4112"/>
      <c r="R70" s="3342">
        <f t="shared" si="174"/>
        <v>0</v>
      </c>
      <c r="S70" s="3342">
        <f t="shared" si="174"/>
        <v>0</v>
      </c>
      <c r="T70" s="2012">
        <f t="shared" si="175"/>
        <v>0</v>
      </c>
      <c r="U70" s="3462"/>
      <c r="V70" s="3462"/>
      <c r="W70" s="3342">
        <f t="shared" si="176"/>
        <v>0</v>
      </c>
      <c r="X70" s="3342">
        <f t="shared" si="176"/>
        <v>0</v>
      </c>
      <c r="Y70" s="2012">
        <f t="shared" si="177"/>
        <v>0</v>
      </c>
      <c r="Z70" s="3462"/>
      <c r="AA70" s="3462"/>
      <c r="AB70" s="3341"/>
      <c r="AC70" s="3341"/>
      <c r="AD70" s="3349">
        <f t="shared" si="178"/>
        <v>0</v>
      </c>
      <c r="AE70" s="4074">
        <f t="shared" si="179"/>
        <v>0</v>
      </c>
      <c r="AF70" s="4112"/>
      <c r="AG70" s="3341"/>
      <c r="AH70" s="3341"/>
      <c r="AI70" s="3349">
        <f t="shared" si="180"/>
        <v>0</v>
      </c>
      <c r="AJ70" s="4074">
        <f t="shared" si="181"/>
        <v>0</v>
      </c>
      <c r="AK70" s="4112"/>
      <c r="AL70" s="3341"/>
      <c r="AM70" s="3341"/>
      <c r="AN70" s="3349">
        <f t="shared" si="182"/>
        <v>0</v>
      </c>
      <c r="AO70" s="4074" t="e">
        <f t="shared" si="183"/>
        <v>#DIV/0!</v>
      </c>
      <c r="AP70" s="4112"/>
      <c r="AQ70" s="3341"/>
      <c r="AR70" s="3341"/>
      <c r="AS70" s="3349">
        <f t="shared" si="184"/>
        <v>0</v>
      </c>
      <c r="AT70" s="4074" t="e">
        <f t="shared" si="185"/>
        <v>#DIV/0!</v>
      </c>
      <c r="AU70" s="4112"/>
      <c r="AV70" s="3341"/>
      <c r="AW70" s="3341"/>
      <c r="AX70" s="3349">
        <f t="shared" si="186"/>
        <v>0</v>
      </c>
      <c r="AY70" s="4074" t="e">
        <f t="shared" si="187"/>
        <v>#DIV/0!</v>
      </c>
      <c r="AZ70" s="4112"/>
      <c r="BA70" s="3341"/>
      <c r="BB70" s="3341"/>
      <c r="BC70" s="3349">
        <f t="shared" si="188"/>
        <v>0</v>
      </c>
      <c r="BD70" s="4074" t="e">
        <f t="shared" si="189"/>
        <v>#DIV/0!</v>
      </c>
      <c r="BE70" s="4112"/>
      <c r="BF70" s="3341"/>
      <c r="BG70" s="3341"/>
      <c r="BH70" s="3349">
        <f t="shared" si="190"/>
        <v>0</v>
      </c>
      <c r="BI70" s="4074" t="e">
        <f t="shared" si="191"/>
        <v>#DIV/0!</v>
      </c>
      <c r="BJ70" s="4112"/>
      <c r="BK70" s="3341"/>
      <c r="BL70" s="3341"/>
      <c r="BM70" s="3349">
        <f t="shared" si="192"/>
        <v>0</v>
      </c>
      <c r="BN70" s="4074" t="e">
        <f t="shared" si="193"/>
        <v>#DIV/0!</v>
      </c>
      <c r="BO70" s="4112"/>
      <c r="BP70" s="3341"/>
      <c r="BQ70" s="3341"/>
      <c r="BR70" s="3349">
        <f t="shared" si="194"/>
        <v>0</v>
      </c>
      <c r="BS70" s="4074" t="e">
        <f t="shared" si="195"/>
        <v>#DIV/0!</v>
      </c>
      <c r="BT70" s="4112"/>
      <c r="BU70" s="3341"/>
      <c r="BV70" s="3341"/>
      <c r="BW70" s="3349">
        <f t="shared" si="196"/>
        <v>0</v>
      </c>
      <c r="BX70" s="4074" t="e">
        <f t="shared" si="197"/>
        <v>#DIV/0!</v>
      </c>
      <c r="BY70" s="4112"/>
      <c r="BZ70" s="3341"/>
      <c r="CA70" s="3341"/>
      <c r="CB70" s="3349">
        <f t="shared" si="198"/>
        <v>0</v>
      </c>
      <c r="CC70" s="4074" t="e">
        <f t="shared" si="199"/>
        <v>#DIV/0!</v>
      </c>
      <c r="CD70" s="4112"/>
      <c r="CE70" s="3341"/>
      <c r="CF70" s="3341"/>
      <c r="CG70" s="3349">
        <f t="shared" si="200"/>
        <v>0</v>
      </c>
      <c r="CH70" s="4074" t="e">
        <f t="shared" si="201"/>
        <v>#DIV/0!</v>
      </c>
      <c r="CI70" s="4112"/>
      <c r="CJ70" s="3341">
        <f t="shared" si="202"/>
        <v>0</v>
      </c>
      <c r="CK70" s="3341">
        <f t="shared" si="202"/>
        <v>0</v>
      </c>
      <c r="CL70" s="2012">
        <f t="shared" si="203"/>
        <v>0</v>
      </c>
      <c r="CM70" s="4074">
        <f t="shared" si="168"/>
        <v>0</v>
      </c>
      <c r="CN70" s="4076"/>
      <c r="CP70" s="2012">
        <f t="shared" si="204"/>
        <v>0</v>
      </c>
      <c r="CQ70" s="2012">
        <f t="shared" si="204"/>
        <v>0</v>
      </c>
      <c r="CR70" s="4161"/>
      <c r="CT70" s="2624"/>
    </row>
    <row r="71" spans="1:98" s="1396" customFormat="1" ht="13.8" outlineLevel="2">
      <c r="A71" s="1571"/>
      <c r="B71" s="4098" t="s">
        <v>78</v>
      </c>
      <c r="C71" s="3341"/>
      <c r="D71" s="3341"/>
      <c r="E71" s="3349">
        <f t="shared" si="169"/>
        <v>0</v>
      </c>
      <c r="F71" s="4074" t="e">
        <f t="shared" si="133"/>
        <v>#DIV/0!</v>
      </c>
      <c r="G71" s="4112"/>
      <c r="H71" s="3341"/>
      <c r="I71" s="3341"/>
      <c r="J71" s="3349">
        <f t="shared" si="170"/>
        <v>0</v>
      </c>
      <c r="K71" s="4074" t="e">
        <f t="shared" si="171"/>
        <v>#DIV/0!</v>
      </c>
      <c r="L71" s="4112"/>
      <c r="M71" s="3341"/>
      <c r="N71" s="3341"/>
      <c r="O71" s="3349">
        <f t="shared" si="172"/>
        <v>0</v>
      </c>
      <c r="P71" s="4074" t="e">
        <f t="shared" si="173"/>
        <v>#DIV/0!</v>
      </c>
      <c r="Q71" s="4112"/>
      <c r="R71" s="3342">
        <f t="shared" si="174"/>
        <v>0</v>
      </c>
      <c r="S71" s="3342">
        <f t="shared" si="174"/>
        <v>0</v>
      </c>
      <c r="T71" s="2012">
        <f t="shared" si="175"/>
        <v>0</v>
      </c>
      <c r="U71" s="3462"/>
      <c r="V71" s="3462"/>
      <c r="W71" s="3342">
        <f t="shared" si="176"/>
        <v>0</v>
      </c>
      <c r="X71" s="3342">
        <f t="shared" si="176"/>
        <v>0</v>
      </c>
      <c r="Y71" s="2012">
        <f t="shared" si="177"/>
        <v>0</v>
      </c>
      <c r="Z71" s="3462"/>
      <c r="AA71" s="3462"/>
      <c r="AB71" s="3341"/>
      <c r="AC71" s="3341"/>
      <c r="AD71" s="3349">
        <f t="shared" si="178"/>
        <v>0</v>
      </c>
      <c r="AE71" s="4074">
        <f t="shared" si="179"/>
        <v>0</v>
      </c>
      <c r="AF71" s="4112"/>
      <c r="AG71" s="3341"/>
      <c r="AH71" s="3341"/>
      <c r="AI71" s="3349">
        <f t="shared" si="180"/>
        <v>0</v>
      </c>
      <c r="AJ71" s="4074">
        <f t="shared" si="181"/>
        <v>0</v>
      </c>
      <c r="AK71" s="4112"/>
      <c r="AL71" s="3341"/>
      <c r="AM71" s="3341"/>
      <c r="AN71" s="3349">
        <f t="shared" si="182"/>
        <v>0</v>
      </c>
      <c r="AO71" s="4074" t="e">
        <f t="shared" si="183"/>
        <v>#DIV/0!</v>
      </c>
      <c r="AP71" s="4112"/>
      <c r="AQ71" s="3341"/>
      <c r="AR71" s="3341"/>
      <c r="AS71" s="3349">
        <f t="shared" si="184"/>
        <v>0</v>
      </c>
      <c r="AT71" s="4074" t="e">
        <f t="shared" si="185"/>
        <v>#DIV/0!</v>
      </c>
      <c r="AU71" s="4112"/>
      <c r="AV71" s="3341"/>
      <c r="AW71" s="3341"/>
      <c r="AX71" s="3349">
        <f t="shared" si="186"/>
        <v>0</v>
      </c>
      <c r="AY71" s="4074" t="e">
        <f t="shared" si="187"/>
        <v>#DIV/0!</v>
      </c>
      <c r="AZ71" s="4112"/>
      <c r="BA71" s="3341"/>
      <c r="BB71" s="3341"/>
      <c r="BC71" s="3349">
        <f t="shared" si="188"/>
        <v>0</v>
      </c>
      <c r="BD71" s="4074" t="e">
        <f t="shared" si="189"/>
        <v>#DIV/0!</v>
      </c>
      <c r="BE71" s="4112"/>
      <c r="BF71" s="3341"/>
      <c r="BG71" s="3341"/>
      <c r="BH71" s="3349">
        <f t="shared" si="190"/>
        <v>0</v>
      </c>
      <c r="BI71" s="4074" t="e">
        <f t="shared" si="191"/>
        <v>#DIV/0!</v>
      </c>
      <c r="BJ71" s="4112"/>
      <c r="BK71" s="3341"/>
      <c r="BL71" s="3341"/>
      <c r="BM71" s="3349">
        <f t="shared" si="192"/>
        <v>0</v>
      </c>
      <c r="BN71" s="4074" t="e">
        <f t="shared" si="193"/>
        <v>#DIV/0!</v>
      </c>
      <c r="BO71" s="4112"/>
      <c r="BP71" s="3341"/>
      <c r="BQ71" s="3341"/>
      <c r="BR71" s="3349">
        <f t="shared" si="194"/>
        <v>0</v>
      </c>
      <c r="BS71" s="4074" t="e">
        <f t="shared" si="195"/>
        <v>#DIV/0!</v>
      </c>
      <c r="BT71" s="4112"/>
      <c r="BU71" s="3341"/>
      <c r="BV71" s="3341"/>
      <c r="BW71" s="3349">
        <f t="shared" si="196"/>
        <v>0</v>
      </c>
      <c r="BX71" s="4074" t="e">
        <f t="shared" si="197"/>
        <v>#DIV/0!</v>
      </c>
      <c r="BY71" s="4112"/>
      <c r="BZ71" s="3341"/>
      <c r="CA71" s="3341"/>
      <c r="CB71" s="3349">
        <f t="shared" si="198"/>
        <v>0</v>
      </c>
      <c r="CC71" s="4074" t="e">
        <f t="shared" si="199"/>
        <v>#DIV/0!</v>
      </c>
      <c r="CD71" s="4112"/>
      <c r="CE71" s="3341"/>
      <c r="CF71" s="3341"/>
      <c r="CG71" s="3349">
        <f t="shared" si="200"/>
        <v>0</v>
      </c>
      <c r="CH71" s="4074" t="e">
        <f t="shared" si="201"/>
        <v>#DIV/0!</v>
      </c>
      <c r="CI71" s="4112"/>
      <c r="CJ71" s="3341">
        <f t="shared" si="202"/>
        <v>0</v>
      </c>
      <c r="CK71" s="3341">
        <f t="shared" si="202"/>
        <v>0</v>
      </c>
      <c r="CL71" s="2012">
        <f t="shared" si="203"/>
        <v>0</v>
      </c>
      <c r="CM71" s="4074">
        <f t="shared" si="168"/>
        <v>0</v>
      </c>
      <c r="CN71" s="4076"/>
      <c r="CP71" s="2012">
        <f t="shared" si="204"/>
        <v>0</v>
      </c>
      <c r="CQ71" s="2012">
        <f t="shared" si="204"/>
        <v>0</v>
      </c>
      <c r="CR71" s="4161"/>
      <c r="CT71" s="2624"/>
    </row>
    <row r="72" spans="1:98" s="1396" customFormat="1" ht="13.8" outlineLevel="2">
      <c r="A72" s="1571"/>
      <c r="B72" s="4123"/>
      <c r="C72" s="4080"/>
      <c r="D72" s="4080"/>
      <c r="E72" s="4115"/>
      <c r="F72" s="4074"/>
      <c r="G72" s="4112"/>
      <c r="H72" s="4080"/>
      <c r="I72" s="4080"/>
      <c r="J72" s="4115"/>
      <c r="K72" s="4074" t="e">
        <f t="shared" si="171"/>
        <v>#DIV/0!</v>
      </c>
      <c r="L72" s="4112"/>
      <c r="M72" s="4080"/>
      <c r="N72" s="4080"/>
      <c r="O72" s="4115"/>
      <c r="P72" s="4074" t="e">
        <f t="shared" si="173"/>
        <v>#DIV/0!</v>
      </c>
      <c r="Q72" s="4112"/>
      <c r="R72" s="4112"/>
      <c r="S72" s="4112"/>
      <c r="T72" s="4112"/>
      <c r="U72" s="4112"/>
      <c r="V72" s="4112"/>
      <c r="W72" s="4112"/>
      <c r="X72" s="4112"/>
      <c r="Y72" s="4112"/>
      <c r="Z72" s="4112"/>
      <c r="AA72" s="4112"/>
      <c r="AB72" s="4080"/>
      <c r="AC72" s="4080"/>
      <c r="AD72" s="4115"/>
      <c r="AE72" s="4074"/>
      <c r="AF72" s="4112"/>
      <c r="AG72" s="4080"/>
      <c r="AH72" s="4080"/>
      <c r="AI72" s="4115"/>
      <c r="AJ72" s="4074"/>
      <c r="AK72" s="4112"/>
      <c r="AL72" s="4080"/>
      <c r="AM72" s="4080"/>
      <c r="AN72" s="4115"/>
      <c r="AO72" s="4074"/>
      <c r="AP72" s="4112"/>
      <c r="AQ72" s="4080"/>
      <c r="AR72" s="4080"/>
      <c r="AS72" s="4115"/>
      <c r="AT72" s="4074"/>
      <c r="AU72" s="4112"/>
      <c r="AV72" s="4080"/>
      <c r="AW72" s="4080"/>
      <c r="AX72" s="4115"/>
      <c r="AY72" s="4074"/>
      <c r="AZ72" s="4112"/>
      <c r="BA72" s="4080"/>
      <c r="BB72" s="4080"/>
      <c r="BC72" s="4115"/>
      <c r="BD72" s="4074"/>
      <c r="BE72" s="4112"/>
      <c r="BF72" s="4080"/>
      <c r="BG72" s="4080"/>
      <c r="BH72" s="4115"/>
      <c r="BI72" s="4074"/>
      <c r="BJ72" s="4112"/>
      <c r="BK72" s="4080"/>
      <c r="BL72" s="4080"/>
      <c r="BM72" s="4115"/>
      <c r="BN72" s="4074"/>
      <c r="BO72" s="4112"/>
      <c r="BP72" s="4080"/>
      <c r="BQ72" s="4080"/>
      <c r="BR72" s="4115"/>
      <c r="BS72" s="4074"/>
      <c r="BT72" s="4112"/>
      <c r="BU72" s="4080"/>
      <c r="BV72" s="4080"/>
      <c r="BW72" s="4115"/>
      <c r="BX72" s="4074"/>
      <c r="BY72" s="4112"/>
      <c r="BZ72" s="4080"/>
      <c r="CA72" s="4080"/>
      <c r="CB72" s="4115"/>
      <c r="CC72" s="4074"/>
      <c r="CD72" s="4112"/>
      <c r="CE72" s="4080"/>
      <c r="CF72" s="4080"/>
      <c r="CG72" s="4115"/>
      <c r="CH72" s="4074"/>
      <c r="CI72" s="4112"/>
      <c r="CJ72" s="4080"/>
      <c r="CK72" s="4080"/>
      <c r="CL72" s="4115"/>
      <c r="CM72" s="4074">
        <f>CL72/$CL$89</f>
        <v>0</v>
      </c>
      <c r="CN72" s="4076"/>
      <c r="CP72" s="2030"/>
      <c r="CQ72" s="2030"/>
      <c r="CR72" s="4160"/>
      <c r="CT72" s="2624"/>
    </row>
    <row r="73" spans="1:98"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Y74</f>
        <v>0</v>
      </c>
      <c r="Z73" s="3738"/>
      <c r="AA73" s="3742"/>
      <c r="AB73" s="555">
        <f>AB74</f>
        <v>0</v>
      </c>
      <c r="AC73" s="3738">
        <f>AC74</f>
        <v>0</v>
      </c>
      <c r="AD73" s="3739">
        <f>AD74</f>
        <v>0</v>
      </c>
      <c r="AE73" s="3738"/>
      <c r="AF73" s="3741"/>
      <c r="AG73" s="555">
        <f>AG74</f>
        <v>0</v>
      </c>
      <c r="AH73" s="3738">
        <f>AH74</f>
        <v>0</v>
      </c>
      <c r="AI73" s="3739">
        <f>AI74</f>
        <v>0</v>
      </c>
      <c r="AJ73" s="3738"/>
      <c r="AK73" s="3741"/>
      <c r="AL73" s="555">
        <f>AL74</f>
        <v>0</v>
      </c>
      <c r="AM73" s="3738">
        <f>AM74</f>
        <v>0</v>
      </c>
      <c r="AN73" s="3739">
        <f>AN74</f>
        <v>0</v>
      </c>
      <c r="AO73" s="3738"/>
      <c r="AP73" s="3741"/>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4124">
        <f>CP74</f>
        <v>0</v>
      </c>
      <c r="CQ73" s="4124">
        <f>CQ74</f>
        <v>0</v>
      </c>
      <c r="CR73" s="4124"/>
      <c r="CT73" s="2624"/>
    </row>
    <row r="74" spans="1:98" s="1396" customFormat="1" ht="14.4" outlineLevel="1" thickBot="1">
      <c r="A74" s="1413"/>
      <c r="B74" s="1051" t="s">
        <v>64</v>
      </c>
      <c r="C74" s="3341"/>
      <c r="D74" s="3341"/>
      <c r="E74" s="3386">
        <f>C74+D74*1</f>
        <v>0</v>
      </c>
      <c r="F74" s="3386"/>
      <c r="G74" s="3468"/>
      <c r="H74" s="3341"/>
      <c r="I74" s="3341"/>
      <c r="J74" s="3386">
        <f>H74+I74*1</f>
        <v>0</v>
      </c>
      <c r="K74" s="4074" t="e">
        <f t="shared" ref="K74" si="205">J74/J$89</f>
        <v>#DIV/0!</v>
      </c>
      <c r="L74" s="3468"/>
      <c r="M74" s="3341"/>
      <c r="N74" s="3341"/>
      <c r="O74" s="3386">
        <f>M74+N74*1</f>
        <v>0</v>
      </c>
      <c r="P74" s="4074" t="e">
        <f t="shared" ref="P74" si="206">O74/O$89</f>
        <v>#DIV/0!</v>
      </c>
      <c r="Q74" s="3468"/>
      <c r="R74" s="3469"/>
      <c r="S74" s="3469"/>
      <c r="T74" s="3469"/>
      <c r="U74" s="3469"/>
      <c r="V74" s="3469"/>
      <c r="W74" s="3342">
        <f t="shared" ref="W74:X74" si="207">AB74+AG74+AL74+AV74+BA74+BF74+BK74+BP74+BU74+BZ74+CE74+AQ74</f>
        <v>0</v>
      </c>
      <c r="X74" s="3342">
        <f t="shared" si="207"/>
        <v>0</v>
      </c>
      <c r="Y74" s="3469"/>
      <c r="Z74" s="3469"/>
      <c r="AA74" s="3469"/>
      <c r="AB74" s="3341"/>
      <c r="AC74" s="3341"/>
      <c r="AD74" s="3386">
        <f>AB74+AC74*1</f>
        <v>0</v>
      </c>
      <c r="AE74" s="3386"/>
      <c r="AF74" s="3468"/>
      <c r="AG74" s="3341"/>
      <c r="AH74" s="3341"/>
      <c r="AI74" s="3386">
        <f>AG74+AH74*1</f>
        <v>0</v>
      </c>
      <c r="AJ74" s="3386"/>
      <c r="AK74" s="3468"/>
      <c r="AL74" s="3341"/>
      <c r="AM74" s="3341"/>
      <c r="AN74" s="3386">
        <f>AL74+AM74*1</f>
        <v>0</v>
      </c>
      <c r="AO74" s="3386"/>
      <c r="AP74" s="3468"/>
      <c r="AQ74" s="3341"/>
      <c r="AR74" s="3341"/>
      <c r="AS74" s="3386">
        <f>AQ74+AR74*1</f>
        <v>0</v>
      </c>
      <c r="AT74" s="3386"/>
      <c r="AU74" s="3468"/>
      <c r="AV74" s="3341"/>
      <c r="AW74" s="3341"/>
      <c r="AX74" s="3386">
        <f>AV74+AW74*1</f>
        <v>0</v>
      </c>
      <c r="AY74" s="3386"/>
      <c r="AZ74" s="3468"/>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C74+H74+M74</f>
        <v>0</v>
      </c>
      <c r="CK74" s="3341">
        <f>D74+I74+N74</f>
        <v>0</v>
      </c>
      <c r="CL74" s="3386">
        <f>CJ74+CK74*1</f>
        <v>0</v>
      </c>
      <c r="CM74" s="3386"/>
      <c r="CN74" s="3386"/>
      <c r="CP74" s="4125">
        <f>CN74+CO74*1</f>
        <v>0</v>
      </c>
      <c r="CQ74" s="4125">
        <f>CO74+CP74*1</f>
        <v>0</v>
      </c>
      <c r="CR74" s="4125"/>
      <c r="CT74" s="2624"/>
    </row>
    <row r="75" spans="1:98"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0</v>
      </c>
      <c r="O75" s="1508">
        <f>O38-O41-O50-O54</f>
        <v>0</v>
      </c>
      <c r="P75" s="1953"/>
      <c r="Q75" s="1058"/>
      <c r="R75" s="1450">
        <f>R38-R41-R50-R54</f>
        <v>0</v>
      </c>
      <c r="S75" s="1450">
        <f>S38-S41-S50-S54</f>
        <v>0</v>
      </c>
      <c r="T75" s="1508">
        <f>T38-T41-T50-T54</f>
        <v>0</v>
      </c>
      <c r="U75" s="3470"/>
      <c r="V75" s="3470"/>
      <c r="W75" s="1450">
        <f>W38-W41-W50-W54</f>
        <v>115580.11600000004</v>
      </c>
      <c r="X75" s="1450">
        <f>X38-X41-X50-X54</f>
        <v>0</v>
      </c>
      <c r="Y75" s="1508">
        <f>Y38-Y41-Y50-Y54</f>
        <v>115580.11600000004</v>
      </c>
      <c r="Z75" s="3470"/>
      <c r="AA75" s="3470"/>
      <c r="AB75" s="1450">
        <f>AB38-AB41-AB50-AB54</f>
        <v>-33000</v>
      </c>
      <c r="AC75" s="1450">
        <f>AC38-AC41-AC50-AC54</f>
        <v>0</v>
      </c>
      <c r="AD75" s="1508">
        <f>AD38-AD41-AD50-AD54</f>
        <v>-33000</v>
      </c>
      <c r="AE75" s="1953"/>
      <c r="AF75" s="1058"/>
      <c r="AG75" s="1450">
        <f>AG38-AG41-AG50-AG54</f>
        <v>148580.11600000004</v>
      </c>
      <c r="AH75" s="1450">
        <f>AH38-AH41-AH50-AH54</f>
        <v>0</v>
      </c>
      <c r="AI75" s="1508">
        <f>AI38-AI41-AI50-AI54</f>
        <v>148580.11600000004</v>
      </c>
      <c r="AJ75" s="1953"/>
      <c r="AK75" s="1058"/>
      <c r="AL75" s="1450">
        <f>AL38-AL41-AL50-AL54</f>
        <v>0</v>
      </c>
      <c r="AM75" s="1450">
        <f>AM38-AM41-AM50-AM54</f>
        <v>0</v>
      </c>
      <c r="AN75" s="1508">
        <f>AN38-AN41-AN50-AN54</f>
        <v>0</v>
      </c>
      <c r="AO75" s="1953"/>
      <c r="AP75" s="1058"/>
      <c r="AQ75" s="1450">
        <f>AQ38-AQ41-AQ50-AQ54</f>
        <v>0</v>
      </c>
      <c r="AR75" s="1450">
        <f>AR38-AR41-AR50-AR54</f>
        <v>0</v>
      </c>
      <c r="AS75" s="1508">
        <f>AS38-AS41-AS50-AS54</f>
        <v>0</v>
      </c>
      <c r="AT75" s="1953"/>
      <c r="AU75" s="1058"/>
      <c r="AV75" s="1450">
        <f>AV38-AV41-AV50-AV54</f>
        <v>0</v>
      </c>
      <c r="AW75" s="1450">
        <f>AW38-AW41-AW50-AW54</f>
        <v>0</v>
      </c>
      <c r="AX75" s="1508">
        <f>AX38-AX41-AX50-AX54</f>
        <v>0</v>
      </c>
      <c r="AY75" s="1953"/>
      <c r="AZ75" s="1058"/>
      <c r="BA75" s="1450">
        <f>BA38-BA41-BA50-BA54</f>
        <v>0</v>
      </c>
      <c r="BB75" s="1450">
        <f>BB38-BB41-BB50-BB54</f>
        <v>0</v>
      </c>
      <c r="BC75" s="1508">
        <f>BC38-BC41-BC50-BC54</f>
        <v>0</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113070.79600000003</v>
      </c>
      <c r="CK75" s="1450">
        <f>CK38-CK41-CK50-CK54</f>
        <v>-32964</v>
      </c>
      <c r="CL75" s="1508">
        <f>CL38-CL41-CL50-CL54</f>
        <v>80106.795999999973</v>
      </c>
      <c r="CM75" s="1953"/>
      <c r="CN75" s="1953"/>
      <c r="CP75" s="3471">
        <f>CP38-CP41-CP50-CP54</f>
        <v>142656.75</v>
      </c>
      <c r="CQ75" s="3471">
        <f>CQ38-CQ41-CQ50-CQ54</f>
        <v>80106.795999999973</v>
      </c>
      <c r="CR75" s="3471">
        <f>CR38-CR41-CR50-CR54</f>
        <v>62549.953999999983</v>
      </c>
      <c r="CT75" s="2624"/>
    </row>
    <row r="76" spans="1:98"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2003">
        <f>IFERROR(AB75/AB5,0)</f>
        <v>0</v>
      </c>
      <c r="AC76" s="2003">
        <f>IFERROR(AC75/AC5,0)</f>
        <v>0</v>
      </c>
      <c r="AD76" s="2004">
        <f>IFERROR(AD75/AD5,0)</f>
        <v>0</v>
      </c>
      <c r="AE76" s="2004"/>
      <c r="AF76" s="1056"/>
      <c r="AG76" s="2003">
        <f>IFERROR(AG75/AG5,0)</f>
        <v>0.36153747474860543</v>
      </c>
      <c r="AH76" s="2003">
        <f>IFERROR(AH75/AH5,0)</f>
        <v>0</v>
      </c>
      <c r="AI76" s="2004">
        <f>IFERROR(AI75/AI5,0)</f>
        <v>0.36153747474860543</v>
      </c>
      <c r="AJ76" s="2004"/>
      <c r="AK76" s="1056"/>
      <c r="AL76" s="2003">
        <f>IFERROR(AL75/AL5,0)</f>
        <v>0</v>
      </c>
      <c r="AM76" s="2003">
        <f>IFERROR(AM75/AM5,0)</f>
        <v>0</v>
      </c>
      <c r="AN76" s="2004">
        <f>IFERROR(AN75/AN5,0)</f>
        <v>0</v>
      </c>
      <c r="AO76" s="2004"/>
      <c r="AP76" s="1056"/>
      <c r="AQ76" s="2003">
        <f>IFERROR(AQ75/AQ5,0)</f>
        <v>0</v>
      </c>
      <c r="AR76" s="2003">
        <f>IFERROR(AR75/AR5,0)</f>
        <v>0</v>
      </c>
      <c r="AS76" s="2004">
        <f>IFERROR(AS75/AS5,0)</f>
        <v>0</v>
      </c>
      <c r="AT76" s="2004"/>
      <c r="AU76" s="1056"/>
      <c r="AV76" s="2003">
        <f>IFERROR(AV75/AV5,0)</f>
        <v>0</v>
      </c>
      <c r="AW76" s="2003">
        <f>IFERROR(AW75/AW5,0)</f>
        <v>0</v>
      </c>
      <c r="AX76" s="2004">
        <f>IFERROR(AX75/AX5,0)</f>
        <v>0</v>
      </c>
      <c r="AY76" s="2004"/>
      <c r="AZ76" s="1056"/>
      <c r="BA76" s="2003">
        <f>IFERROR(BA75/BA5,0)</f>
        <v>0</v>
      </c>
      <c r="BB76" s="2003">
        <f>IFERROR(BB75/BB5,0)</f>
        <v>0</v>
      </c>
      <c r="BC76" s="2004">
        <f>IFERROR(BC75/BC5,0)</f>
        <v>0</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0.27513324901196551</v>
      </c>
      <c r="CK76" s="2003">
        <f>IFERROR(CK75/CK5,0)</f>
        <v>0</v>
      </c>
      <c r="CL76" s="2004">
        <f>IFERROR(CL75/CL5,0)</f>
        <v>0.194922507235367</v>
      </c>
      <c r="CM76" s="2004"/>
      <c r="CN76" s="2004"/>
      <c r="CP76" s="2004">
        <f>CP75/CP5</f>
        <v>0.34712458664564311</v>
      </c>
      <c r="CQ76" s="2004">
        <f>IFERROR(CQ75/CQ5,0)</f>
        <v>0.194922507235367</v>
      </c>
      <c r="CR76" s="2004"/>
      <c r="CT76" s="2624"/>
    </row>
    <row r="77" spans="1:98" s="1396" customFormat="1" ht="14.4" outlineLevel="1" thickBot="1">
      <c r="A77" s="1566"/>
      <c r="B77" s="4126" t="s">
        <v>9</v>
      </c>
      <c r="C77" s="4127">
        <f>C78-C79</f>
        <v>0</v>
      </c>
      <c r="D77" s="4127">
        <f>D78-D79</f>
        <v>0</v>
      </c>
      <c r="E77" s="4128">
        <f>E78-E79</f>
        <v>0</v>
      </c>
      <c r="F77" s="4129"/>
      <c r="G77" s="4130"/>
      <c r="H77" s="4127">
        <f>H78-H79</f>
        <v>0</v>
      </c>
      <c r="I77" s="4127">
        <f>I78-I79</f>
        <v>0</v>
      </c>
      <c r="J77" s="4128">
        <f>J78-J79</f>
        <v>0</v>
      </c>
      <c r="K77" s="4129"/>
      <c r="L77" s="4130"/>
      <c r="M77" s="4127">
        <f>M78-M79</f>
        <v>0</v>
      </c>
      <c r="N77" s="4127">
        <f>N78-N79</f>
        <v>0</v>
      </c>
      <c r="O77" s="4128">
        <f>O78-O79</f>
        <v>0</v>
      </c>
      <c r="P77" s="4129"/>
      <c r="Q77" s="4130"/>
      <c r="R77" s="4127">
        <f>R78-R79</f>
        <v>0</v>
      </c>
      <c r="S77" s="4127">
        <f>S78-S79</f>
        <v>0</v>
      </c>
      <c r="T77" s="4128">
        <f>T78-T79</f>
        <v>0</v>
      </c>
      <c r="U77" s="4131"/>
      <c r="V77" s="4131"/>
      <c r="W77" s="4127">
        <f>W78-W79</f>
        <v>0</v>
      </c>
      <c r="X77" s="4127">
        <f>X78-X79</f>
        <v>0</v>
      </c>
      <c r="Y77" s="4128">
        <f>Y78-Y79</f>
        <v>0</v>
      </c>
      <c r="Z77" s="4131"/>
      <c r="AA77" s="4131"/>
      <c r="AB77" s="4127">
        <f>AB78-AB79</f>
        <v>0</v>
      </c>
      <c r="AC77" s="4127">
        <f>AC78-AC79</f>
        <v>0</v>
      </c>
      <c r="AD77" s="4128">
        <f>AD78-AD79</f>
        <v>0</v>
      </c>
      <c r="AE77" s="4129"/>
      <c r="AF77" s="4130"/>
      <c r="AG77" s="4127">
        <f>AG78-AG79</f>
        <v>0</v>
      </c>
      <c r="AH77" s="4127">
        <f>AH78-AH79</f>
        <v>0</v>
      </c>
      <c r="AI77" s="4128">
        <f>AI78-AI79</f>
        <v>0</v>
      </c>
      <c r="AJ77" s="4129"/>
      <c r="AK77" s="4130"/>
      <c r="AL77" s="4127">
        <f>AL78-AL79</f>
        <v>0</v>
      </c>
      <c r="AM77" s="4127">
        <f>AM78-AM79</f>
        <v>0</v>
      </c>
      <c r="AN77" s="4128">
        <f>AN78-AN79</f>
        <v>0</v>
      </c>
      <c r="AO77" s="4129"/>
      <c r="AP77" s="4130"/>
      <c r="AQ77" s="4127">
        <f>AQ78-AQ79</f>
        <v>0</v>
      </c>
      <c r="AR77" s="4127">
        <f>AR78-AR79</f>
        <v>0</v>
      </c>
      <c r="AS77" s="4128">
        <f>AS78-AS79</f>
        <v>0</v>
      </c>
      <c r="AT77" s="4129"/>
      <c r="AU77" s="4130"/>
      <c r="AV77" s="4127">
        <f>AV78-AV79</f>
        <v>0</v>
      </c>
      <c r="AW77" s="4127">
        <f>AW78-AW79</f>
        <v>0</v>
      </c>
      <c r="AX77" s="4128">
        <f>AX78-AX79</f>
        <v>0</v>
      </c>
      <c r="AY77" s="4129"/>
      <c r="AZ77" s="4130"/>
      <c r="BA77" s="4127">
        <f>BA78-BA79</f>
        <v>0</v>
      </c>
      <c r="BB77" s="4127">
        <f>BB78-BB79</f>
        <v>0</v>
      </c>
      <c r="BC77" s="4128">
        <f>BC78-BC79</f>
        <v>0</v>
      </c>
      <c r="BD77" s="4129"/>
      <c r="BE77" s="4130"/>
      <c r="BF77" s="4127">
        <f>BF78-BF79</f>
        <v>0</v>
      </c>
      <c r="BG77" s="4127">
        <f>BG78-BG79</f>
        <v>0</v>
      </c>
      <c r="BH77" s="4128">
        <f>BH78-BH79</f>
        <v>0</v>
      </c>
      <c r="BI77" s="4129"/>
      <c r="BJ77" s="4130"/>
      <c r="BK77" s="4127">
        <f>BK78-BK79</f>
        <v>0</v>
      </c>
      <c r="BL77" s="4127">
        <f>BL78-BL79</f>
        <v>0</v>
      </c>
      <c r="BM77" s="4128">
        <f>BM78-BM79</f>
        <v>0</v>
      </c>
      <c r="BN77" s="4129"/>
      <c r="BO77" s="4130"/>
      <c r="BP77" s="4127">
        <f>BP78-BP79</f>
        <v>0</v>
      </c>
      <c r="BQ77" s="4127">
        <f>BQ78-BQ79</f>
        <v>0</v>
      </c>
      <c r="BR77" s="4128">
        <f>BR78-BR79</f>
        <v>0</v>
      </c>
      <c r="BS77" s="4129"/>
      <c r="BT77" s="4130"/>
      <c r="BU77" s="4127">
        <f>BU78-BU79</f>
        <v>0</v>
      </c>
      <c r="BV77" s="4127">
        <f>BV78-BV79</f>
        <v>0</v>
      </c>
      <c r="BW77" s="4128">
        <f>BW78-BW79</f>
        <v>0</v>
      </c>
      <c r="BX77" s="4129"/>
      <c r="BY77" s="4130"/>
      <c r="BZ77" s="4127">
        <f>BZ78-BZ79</f>
        <v>0</v>
      </c>
      <c r="CA77" s="4127">
        <f>CA78-CA79</f>
        <v>0</v>
      </c>
      <c r="CB77" s="4128">
        <f>CB78-CB79</f>
        <v>0</v>
      </c>
      <c r="CC77" s="4129"/>
      <c r="CD77" s="4130"/>
      <c r="CE77" s="4127">
        <f>CE78-CE79</f>
        <v>0</v>
      </c>
      <c r="CF77" s="4127">
        <f>CF78-CF79</f>
        <v>0</v>
      </c>
      <c r="CG77" s="4128">
        <f>CG78-CG79</f>
        <v>0</v>
      </c>
      <c r="CH77" s="4129"/>
      <c r="CI77" s="4130"/>
      <c r="CJ77" s="4127">
        <f>CJ78-CJ79</f>
        <v>-5318.99</v>
      </c>
      <c r="CK77" s="4127">
        <f>CK78-CK79</f>
        <v>0</v>
      </c>
      <c r="CL77" s="4128">
        <f>CL78-CL79</f>
        <v>-5318.99</v>
      </c>
      <c r="CM77" s="4129"/>
      <c r="CN77" s="4129"/>
      <c r="CP77" s="4128">
        <f>CP78-CP79</f>
        <v>0</v>
      </c>
      <c r="CQ77" s="4128">
        <f>CQ78-CQ79</f>
        <v>-5318.99</v>
      </c>
      <c r="CR77" s="4128"/>
      <c r="CT77" s="2624"/>
    </row>
    <row r="78" spans="1:98" s="1396" customFormat="1" ht="13.8" outlineLevel="2">
      <c r="A78" s="1405"/>
      <c r="B78" s="1400" t="s">
        <v>43</v>
      </c>
      <c r="C78" s="3341"/>
      <c r="D78" s="3341"/>
      <c r="E78" s="3391">
        <f>C78+D78*1.15</f>
        <v>0</v>
      </c>
      <c r="F78" s="3391"/>
      <c r="G78" s="3473"/>
      <c r="H78" s="3341"/>
      <c r="I78" s="3341"/>
      <c r="J78" s="3391">
        <f>H78+I78*1.15</f>
        <v>0</v>
      </c>
      <c r="K78" s="4074" t="e">
        <f t="shared" ref="K78:K79" si="208">J78/J$89</f>
        <v>#DIV/0!</v>
      </c>
      <c r="L78" s="3473"/>
      <c r="M78" s="3341"/>
      <c r="N78" s="3341"/>
      <c r="O78" s="3391">
        <f>M78+N78*1.15</f>
        <v>0</v>
      </c>
      <c r="P78" s="4074" t="e">
        <f t="shared" ref="P78:P79" si="209">O78/O$89</f>
        <v>#DIV/0!</v>
      </c>
      <c r="Q78" s="3473"/>
      <c r="R78" s="3342">
        <f t="shared" ref="R78:S79" si="210">M78+H78+C78</f>
        <v>0</v>
      </c>
      <c r="S78" s="3342">
        <f t="shared" si="210"/>
        <v>0</v>
      </c>
      <c r="T78" s="2012">
        <f t="shared" ref="T78:T79" si="211">R78+S78</f>
        <v>0</v>
      </c>
      <c r="U78" s="3474"/>
      <c r="V78" s="3474"/>
      <c r="W78" s="3342">
        <f t="shared" ref="W78:X79" si="212">AB78+AG78+AL78+AV78+BA78+BF78+BK78+BP78+BU78+BZ78+CE78+AQ78</f>
        <v>0</v>
      </c>
      <c r="X78" s="3342">
        <f t="shared" si="212"/>
        <v>0</v>
      </c>
      <c r="Y78" s="2012">
        <f t="shared" ref="Y78:Y79" si="213">W78+X78</f>
        <v>0</v>
      </c>
      <c r="Z78" s="3474"/>
      <c r="AA78" s="3474"/>
      <c r="AB78" s="3341"/>
      <c r="AC78" s="3341"/>
      <c r="AD78" s="3391">
        <f>AB78+AC78*1.15</f>
        <v>0</v>
      </c>
      <c r="AE78" s="3391"/>
      <c r="AF78" s="3473"/>
      <c r="AG78" s="3341"/>
      <c r="AH78" s="3341"/>
      <c r="AI78" s="3391">
        <f>AG78+AH78*1.15</f>
        <v>0</v>
      </c>
      <c r="AJ78" s="3391"/>
      <c r="AK78" s="3473"/>
      <c r="AL78" s="3341"/>
      <c r="AM78" s="3341"/>
      <c r="AN78" s="3391">
        <f>AL78+AM78*1.15</f>
        <v>0</v>
      </c>
      <c r="AO78" s="3391"/>
      <c r="AP78" s="3473"/>
      <c r="AQ78" s="3341"/>
      <c r="AR78" s="3341"/>
      <c r="AS78" s="3391">
        <f>AQ78+AR78*1.15</f>
        <v>0</v>
      </c>
      <c r="AT78" s="3391"/>
      <c r="AU78" s="3473"/>
      <c r="AV78" s="3341"/>
      <c r="AW78" s="3341"/>
      <c r="AX78" s="3391">
        <f>AV78+AW78*1.15</f>
        <v>0</v>
      </c>
      <c r="AY78" s="3391"/>
      <c r="AZ78" s="3473"/>
      <c r="BA78" s="3341"/>
      <c r="BB78" s="3341"/>
      <c r="BC78" s="3391">
        <f>BA78+BB78*1.15</f>
        <v>0</v>
      </c>
      <c r="BD78" s="3391"/>
      <c r="BE78" s="3473"/>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14">C78+H78+M78+W78</f>
        <v>0</v>
      </c>
      <c r="CK78" s="3341">
        <f t="shared" si="214"/>
        <v>0</v>
      </c>
      <c r="CL78" s="3391">
        <f>CJ78+CK78*1.15</f>
        <v>0</v>
      </c>
      <c r="CM78" s="3391"/>
      <c r="CN78" s="3391"/>
      <c r="CP78" s="3475">
        <f>CN78+CO78*1.15</f>
        <v>0</v>
      </c>
      <c r="CQ78" s="3475">
        <f>CO78+CP78*1.15</f>
        <v>0</v>
      </c>
      <c r="CR78" s="4161"/>
      <c r="CT78" s="2624"/>
    </row>
    <row r="79" spans="1:98" s="1396" customFormat="1" ht="13.8" outlineLevel="2">
      <c r="A79" s="1405"/>
      <c r="B79" s="4132" t="s">
        <v>79</v>
      </c>
      <c r="C79" s="3341">
        <f>(D8+D41+D50+D54)/(1-'расчет 2024'!$M$21)*'расчет 2024'!$M$21</f>
        <v>0</v>
      </c>
      <c r="D79" s="3341"/>
      <c r="E79" s="2012">
        <f>C79+D79</f>
        <v>0</v>
      </c>
      <c r="F79" s="4100"/>
      <c r="G79" s="4099"/>
      <c r="H79" s="3341">
        <f>(I8+I41+I50+I54)/(1-'расчет 2024'!$M$23)*'расчет 2024'!$M$23</f>
        <v>0</v>
      </c>
      <c r="I79" s="3341"/>
      <c r="J79" s="2012">
        <f>H79+I79</f>
        <v>0</v>
      </c>
      <c r="K79" s="4074" t="e">
        <f t="shared" si="208"/>
        <v>#DIV/0!</v>
      </c>
      <c r="L79" s="4099"/>
      <c r="M79" s="3341">
        <f>(N8+N41+N50+N54)/(1-'расчет 2024'!$M$23)*'расчет 2024'!$M$23</f>
        <v>0</v>
      </c>
      <c r="N79" s="3341"/>
      <c r="O79" s="2012">
        <f>M79+N79</f>
        <v>0</v>
      </c>
      <c r="P79" s="4074" t="e">
        <f t="shared" si="209"/>
        <v>#DIV/0!</v>
      </c>
      <c r="Q79" s="4099"/>
      <c r="R79" s="3342">
        <f t="shared" si="210"/>
        <v>0</v>
      </c>
      <c r="S79" s="3342">
        <f t="shared" si="210"/>
        <v>0</v>
      </c>
      <c r="T79" s="2012">
        <f t="shared" si="211"/>
        <v>0</v>
      </c>
      <c r="U79" s="3455"/>
      <c r="V79" s="3455"/>
      <c r="W79" s="3342">
        <f t="shared" si="212"/>
        <v>0</v>
      </c>
      <c r="X79" s="3342">
        <f t="shared" si="212"/>
        <v>0</v>
      </c>
      <c r="Y79" s="2012">
        <f t="shared" si="213"/>
        <v>0</v>
      </c>
      <c r="Z79" s="3455"/>
      <c r="AA79" s="3455"/>
      <c r="AB79" s="3341">
        <f>(AC8+AC41+AC50+AC54)/(1-'расчет 2024'!$M$24)*'расчет 2024'!$M$24</f>
        <v>0</v>
      </c>
      <c r="AC79" s="3341"/>
      <c r="AD79" s="2012">
        <f>AB79+AC79</f>
        <v>0</v>
      </c>
      <c r="AE79" s="4100"/>
      <c r="AF79" s="4099"/>
      <c r="AG79" s="3341">
        <f>(AH8+AH41+AH50+AH54)/(1-'расчет 2024'!$M$25)*'расчет 2024'!$M$25</f>
        <v>0</v>
      </c>
      <c r="AH79" s="3341"/>
      <c r="AI79" s="2012">
        <f>AG79+AH79</f>
        <v>0</v>
      </c>
      <c r="AJ79" s="4100"/>
      <c r="AK79" s="4099"/>
      <c r="AL79" s="3341">
        <f>(AM8+AM41+AM50+AM54)/(1-'расчет 2024'!$M$23)*'расчет 2024'!$M$23</f>
        <v>0</v>
      </c>
      <c r="AM79" s="3341"/>
      <c r="AN79" s="2012">
        <f>AL79+AM79</f>
        <v>0</v>
      </c>
      <c r="AO79" s="4100"/>
      <c r="AP79" s="4099"/>
      <c r="AQ79" s="3341">
        <f>(AR8+AR41+AR50+AR54)/(1-'расчет 2024'!$M$23)*'расчет 2024'!$M$23</f>
        <v>0</v>
      </c>
      <c r="AR79" s="3341"/>
      <c r="AS79" s="2012">
        <f>AQ79+AR79</f>
        <v>0</v>
      </c>
      <c r="AT79" s="4100"/>
      <c r="AU79" s="4099"/>
      <c r="AV79" s="3341">
        <f>(AW8+AW41+AW50+AW54)/(1-'расчет 2024'!$M$23)*'расчет 2024'!$M$23</f>
        <v>0</v>
      </c>
      <c r="AW79" s="3341"/>
      <c r="AX79" s="2012">
        <f>AV79+AW79</f>
        <v>0</v>
      </c>
      <c r="AY79" s="4100"/>
      <c r="AZ79" s="4099"/>
      <c r="BA79" s="3341">
        <f>(BB8+BB41+BB50+BB54)/(1-'расчет 2024'!$M$23)*'расчет 2024'!$M$23</f>
        <v>0</v>
      </c>
      <c r="BB79" s="3341"/>
      <c r="BC79" s="2012">
        <f>BA79+BB79</f>
        <v>0</v>
      </c>
      <c r="BD79" s="4100"/>
      <c r="BE79" s="4099"/>
      <c r="BF79" s="3341">
        <f>(BG8+BG41+BG50+BG54)/(1-'расчет 2024'!$M$23)*'расчет 2024'!$M$23</f>
        <v>0</v>
      </c>
      <c r="BG79" s="3341"/>
      <c r="BH79" s="2012">
        <f>BF79+BG79</f>
        <v>0</v>
      </c>
      <c r="BI79" s="4100"/>
      <c r="BJ79" s="4099"/>
      <c r="BK79" s="3341"/>
      <c r="BL79" s="3341"/>
      <c r="BM79" s="2012">
        <f>BK79+BL79</f>
        <v>0</v>
      </c>
      <c r="BN79" s="4100"/>
      <c r="BO79" s="4099"/>
      <c r="BP79" s="3341">
        <f>(BQ8+BQ41+BQ50+BQ54)/(1-'расчет 2024'!$M$23)*'расчет 2024'!$M$23</f>
        <v>0</v>
      </c>
      <c r="BQ79" s="3341"/>
      <c r="BR79" s="2012">
        <f>BP79+BQ79</f>
        <v>0</v>
      </c>
      <c r="BS79" s="4100"/>
      <c r="BT79" s="4099"/>
      <c r="BU79" s="3341">
        <f>(BV8+BV41+BV50+BV54)/(1-'расчет 2024'!$M$23)*'расчет 2024'!$M$23</f>
        <v>0</v>
      </c>
      <c r="BV79" s="3341"/>
      <c r="BW79" s="2012">
        <f>BU79+BV79</f>
        <v>0</v>
      </c>
      <c r="BX79" s="4100"/>
      <c r="BY79" s="4099"/>
      <c r="BZ79" s="3341">
        <f>(CA8+CA41+CA50+CA54)/(1-'расчет 2024'!$M$23)*'расчет 2024'!$M$23</f>
        <v>0</v>
      </c>
      <c r="CA79" s="3341"/>
      <c r="CB79" s="2012">
        <f>BZ79+CA79</f>
        <v>0</v>
      </c>
      <c r="CC79" s="4100"/>
      <c r="CD79" s="4099"/>
      <c r="CE79" s="3341">
        <f>(CF8+CF41+CF50+CF54)/(1-'расчет 2024'!$M$23)*'расчет 2024'!$M$23</f>
        <v>0</v>
      </c>
      <c r="CF79" s="3341"/>
      <c r="CG79" s="2012">
        <f>CE79+CF79</f>
        <v>0</v>
      </c>
      <c r="CH79" s="4100"/>
      <c r="CI79" s="4099"/>
      <c r="CJ79" s="3341">
        <f>C79+H79+M79+W79+1371.54+3947.45</f>
        <v>5318.99</v>
      </c>
      <c r="CK79" s="3341">
        <f t="shared" si="214"/>
        <v>0</v>
      </c>
      <c r="CL79" s="2012">
        <f t="shared" ref="CL79" si="215">CJ79+CK79*1</f>
        <v>5318.99</v>
      </c>
      <c r="CM79" s="4100"/>
      <c r="CN79" s="4100"/>
      <c r="CP79" s="2012">
        <f t="shared" ref="CP79" si="216">CN79+CO79*1</f>
        <v>0</v>
      </c>
      <c r="CQ79" s="2012">
        <f>CJ79</f>
        <v>5318.99</v>
      </c>
      <c r="CR79" s="4161">
        <f t="shared" ref="CR79" si="217">CP79-CQ79</f>
        <v>-5318.99</v>
      </c>
      <c r="CT79" s="2624"/>
    </row>
    <row r="80" spans="1:98" ht="13.8" outlineLevel="2">
      <c r="A80" s="1397"/>
      <c r="B80" s="4123"/>
      <c r="C80" s="3341"/>
      <c r="D80" s="3341"/>
      <c r="E80" s="4133"/>
      <c r="F80" s="4133"/>
      <c r="G80" s="4134"/>
      <c r="H80" s="3341"/>
      <c r="I80" s="3341"/>
      <c r="J80" s="4133"/>
      <c r="K80" s="4133"/>
      <c r="L80" s="4134"/>
      <c r="M80" s="3341"/>
      <c r="N80" s="3341"/>
      <c r="O80" s="4133"/>
      <c r="P80" s="4133"/>
      <c r="Q80" s="4134"/>
      <c r="R80" s="3448"/>
      <c r="S80" s="3448"/>
      <c r="T80" s="3448"/>
      <c r="U80" s="3448"/>
      <c r="V80" s="3448"/>
      <c r="W80" s="3448"/>
      <c r="X80" s="3448"/>
      <c r="Y80" s="3448"/>
      <c r="Z80" s="3448"/>
      <c r="AA80" s="3448"/>
      <c r="AB80" s="3341"/>
      <c r="AC80" s="3341"/>
      <c r="AD80" s="4133"/>
      <c r="AE80" s="4133"/>
      <c r="AF80" s="4134"/>
      <c r="AG80" s="3341"/>
      <c r="AH80" s="3341"/>
      <c r="AI80" s="4133"/>
      <c r="AJ80" s="4133"/>
      <c r="AK80" s="4134"/>
      <c r="AL80" s="3341"/>
      <c r="AM80" s="3341"/>
      <c r="AN80" s="4133"/>
      <c r="AO80" s="4133"/>
      <c r="AP80" s="4134"/>
      <c r="AQ80" s="3341"/>
      <c r="AR80" s="3341"/>
      <c r="AS80" s="4133"/>
      <c r="AT80" s="4133"/>
      <c r="AU80" s="4134"/>
      <c r="AV80" s="3341"/>
      <c r="AW80" s="3341"/>
      <c r="AX80" s="4133"/>
      <c r="AY80" s="4133"/>
      <c r="AZ80" s="4134"/>
      <c r="BA80" s="3341"/>
      <c r="BB80" s="3341"/>
      <c r="BC80" s="4133"/>
      <c r="BD80" s="4133"/>
      <c r="BE80" s="4134"/>
      <c r="BF80" s="3341"/>
      <c r="BG80" s="3341"/>
      <c r="BH80" s="4133"/>
      <c r="BI80" s="4133"/>
      <c r="BJ80" s="4134"/>
      <c r="BK80" s="3341"/>
      <c r="BL80" s="3341"/>
      <c r="BM80" s="4133"/>
      <c r="BN80" s="4133"/>
      <c r="BO80" s="4134"/>
      <c r="BP80" s="3341"/>
      <c r="BQ80" s="3341"/>
      <c r="BR80" s="4133"/>
      <c r="BS80" s="4133"/>
      <c r="BT80" s="4134"/>
      <c r="BU80" s="3341"/>
      <c r="BV80" s="3341"/>
      <c r="BW80" s="4133"/>
      <c r="BX80" s="4133"/>
      <c r="BY80" s="4134"/>
      <c r="BZ80" s="3341"/>
      <c r="CA80" s="3341"/>
      <c r="CB80" s="4133"/>
      <c r="CC80" s="4133"/>
      <c r="CD80" s="4134"/>
      <c r="CE80" s="3341"/>
      <c r="CF80" s="3341"/>
      <c r="CG80" s="4133"/>
      <c r="CH80" s="4133"/>
      <c r="CI80" s="4134"/>
      <c r="CJ80" s="3341">
        <f>C80+H80+M80</f>
        <v>0</v>
      </c>
      <c r="CK80" s="3341">
        <f>D80+I80+N80</f>
        <v>0</v>
      </c>
      <c r="CL80" s="4133"/>
      <c r="CM80" s="4133"/>
      <c r="CN80" s="4133"/>
      <c r="CP80" s="4135"/>
      <c r="CQ80" s="4135"/>
      <c r="CR80" s="4161"/>
    </row>
    <row r="81" spans="1:101" s="1396" customFormat="1" ht="14.4" outlineLevel="1" thickBot="1">
      <c r="A81" s="1419"/>
      <c r="B81" s="4126" t="s">
        <v>12</v>
      </c>
      <c r="C81" s="4127">
        <f>(C75+C78)-C79</f>
        <v>0</v>
      </c>
      <c r="D81" s="4127">
        <f>(D75+D78)-D79</f>
        <v>0</v>
      </c>
      <c r="E81" s="4128">
        <f>(E75+E78)-E79</f>
        <v>0</v>
      </c>
      <c r="F81" s="4129"/>
      <c r="G81" s="4130"/>
      <c r="H81" s="4127">
        <f>(H75+H78)-H79</f>
        <v>0</v>
      </c>
      <c r="I81" s="4127">
        <f>(I75+I78)-I79</f>
        <v>0</v>
      </c>
      <c r="J81" s="4128">
        <f>(J75+J78)-J79</f>
        <v>0</v>
      </c>
      <c r="K81" s="4129"/>
      <c r="L81" s="4130"/>
      <c r="M81" s="4127">
        <f>(M75+M78)-M79</f>
        <v>0</v>
      </c>
      <c r="N81" s="4127">
        <f>(N75+N78)-N79</f>
        <v>0</v>
      </c>
      <c r="O81" s="4128">
        <f>(O75+O78)-O79</f>
        <v>0</v>
      </c>
      <c r="P81" s="4129"/>
      <c r="Q81" s="4130"/>
      <c r="R81" s="4127">
        <f>(R75+R78)-R79</f>
        <v>0</v>
      </c>
      <c r="S81" s="4127">
        <f>(S75+S78)-S79</f>
        <v>0</v>
      </c>
      <c r="T81" s="4128">
        <f>(T75+T78)-T79</f>
        <v>0</v>
      </c>
      <c r="U81" s="4131"/>
      <c r="V81" s="4131"/>
      <c r="W81" s="4127">
        <f>(W75+W78)-W79</f>
        <v>115580.11600000004</v>
      </c>
      <c r="X81" s="4127">
        <f>(X75+X78)-X79</f>
        <v>0</v>
      </c>
      <c r="Y81" s="4128">
        <f>(Y75+Y78)-Y79</f>
        <v>115580.11600000004</v>
      </c>
      <c r="Z81" s="4131"/>
      <c r="AA81" s="4131"/>
      <c r="AB81" s="4127">
        <f>(AB75+AB78)-AB79</f>
        <v>-33000</v>
      </c>
      <c r="AC81" s="4127">
        <f>(AC75+AC78)-AC79</f>
        <v>0</v>
      </c>
      <c r="AD81" s="4128">
        <f>(AD75+AD78)-AD79</f>
        <v>-33000</v>
      </c>
      <c r="AE81" s="4129"/>
      <c r="AF81" s="4130"/>
      <c r="AG81" s="4127">
        <f>(AG75+AG78)-AG79</f>
        <v>148580.11600000004</v>
      </c>
      <c r="AH81" s="4127">
        <f>(AH75+AH78)-AH79</f>
        <v>0</v>
      </c>
      <c r="AI81" s="4128">
        <f>(AI75+AI78)-AI79</f>
        <v>148580.11600000004</v>
      </c>
      <c r="AJ81" s="4129"/>
      <c r="AK81" s="4130"/>
      <c r="AL81" s="4127">
        <f>(AL75+AL78)-AL79</f>
        <v>0</v>
      </c>
      <c r="AM81" s="4127">
        <f>(AM75+AM78)-AM79</f>
        <v>0</v>
      </c>
      <c r="AN81" s="4128">
        <f>(AN75+AN78)-AN79</f>
        <v>0</v>
      </c>
      <c r="AO81" s="4129"/>
      <c r="AP81" s="4130"/>
      <c r="AQ81" s="4127">
        <f>(AQ75+AQ78)-AQ79</f>
        <v>0</v>
      </c>
      <c r="AR81" s="4127">
        <f>(AR75+AR78)-AR79</f>
        <v>0</v>
      </c>
      <c r="AS81" s="4128">
        <f>(AS75+AS78)-AS79</f>
        <v>0</v>
      </c>
      <c r="AT81" s="4129"/>
      <c r="AU81" s="4130"/>
      <c r="AV81" s="4127">
        <f>(AV75+AV78)-AV79</f>
        <v>0</v>
      </c>
      <c r="AW81" s="4127">
        <f>(AW75+AW78)-AW79</f>
        <v>0</v>
      </c>
      <c r="AX81" s="4128">
        <f>(AX75+AX78)-AX79</f>
        <v>0</v>
      </c>
      <c r="AY81" s="4129"/>
      <c r="AZ81" s="4130"/>
      <c r="BA81" s="4127">
        <f>(BA75+BA78)-BA79</f>
        <v>0</v>
      </c>
      <c r="BB81" s="4127">
        <f>(BB75+BB78)-BB79</f>
        <v>0</v>
      </c>
      <c r="BC81" s="4128">
        <f>(BC75+BC78)-BC79</f>
        <v>0</v>
      </c>
      <c r="BD81" s="4129"/>
      <c r="BE81" s="4130"/>
      <c r="BF81" s="4127">
        <f>(BF75+BF78)-BF79</f>
        <v>0</v>
      </c>
      <c r="BG81" s="4127">
        <f>(BG75+BG78)-BG79</f>
        <v>0</v>
      </c>
      <c r="BH81" s="4128">
        <f>(BH75+BH78)-BH79</f>
        <v>0</v>
      </c>
      <c r="BI81" s="4129"/>
      <c r="BJ81" s="4130"/>
      <c r="BK81" s="4127">
        <f>(BK75+BK78)-BK79</f>
        <v>0</v>
      </c>
      <c r="BL81" s="4127">
        <f>(BL75+BL78)-BL79</f>
        <v>0</v>
      </c>
      <c r="BM81" s="4128">
        <f>(BM75+BM78)-BM79</f>
        <v>0</v>
      </c>
      <c r="BN81" s="4129"/>
      <c r="BO81" s="4130"/>
      <c r="BP81" s="4127">
        <f>(BP75+BP78)-BP79</f>
        <v>0</v>
      </c>
      <c r="BQ81" s="4127">
        <f>(BQ75+BQ78)-BQ79</f>
        <v>0</v>
      </c>
      <c r="BR81" s="4128">
        <f>(BR75+BR78)-BR79</f>
        <v>0</v>
      </c>
      <c r="BS81" s="4129"/>
      <c r="BT81" s="4130"/>
      <c r="BU81" s="4127">
        <f>(BU75+BU78)-BU79</f>
        <v>0</v>
      </c>
      <c r="BV81" s="4127">
        <f>(BV75+BV78)-BV79</f>
        <v>0</v>
      </c>
      <c r="BW81" s="4128">
        <f>(BW75+BW78)-BW79</f>
        <v>0</v>
      </c>
      <c r="BX81" s="4129"/>
      <c r="BY81" s="4130"/>
      <c r="BZ81" s="4127">
        <f>(BZ75+BZ78)-BZ79</f>
        <v>0</v>
      </c>
      <c r="CA81" s="4127">
        <f>(CA75+CA78)-CA79</f>
        <v>0</v>
      </c>
      <c r="CB81" s="4128">
        <f>(CB75+CB78)-CB79</f>
        <v>0</v>
      </c>
      <c r="CC81" s="4129"/>
      <c r="CD81" s="4130"/>
      <c r="CE81" s="4127">
        <f>(CE75+CE78)-CE79</f>
        <v>0</v>
      </c>
      <c r="CF81" s="4127">
        <f>(CF75+CF78)-CF79</f>
        <v>0</v>
      </c>
      <c r="CG81" s="4128">
        <f>(CG75+CG78)-CG79</f>
        <v>0</v>
      </c>
      <c r="CH81" s="4129"/>
      <c r="CI81" s="4130"/>
      <c r="CJ81" s="4127">
        <f>(CJ75+CJ78)-CJ79</f>
        <v>107751.80600000003</v>
      </c>
      <c r="CK81" s="4127">
        <f>(CK75+CK78)-CK79</f>
        <v>-32964</v>
      </c>
      <c r="CL81" s="4128">
        <f>(CL75+CL78)-CL79</f>
        <v>74787.805999999968</v>
      </c>
      <c r="CM81" s="4129"/>
      <c r="CN81" s="4129"/>
      <c r="CP81" s="4128">
        <f>(CP75+CP78)-CP79</f>
        <v>142656.75</v>
      </c>
      <c r="CQ81" s="4136">
        <f>(CQ75+CQ78)-CQ79</f>
        <v>74787.805999999968</v>
      </c>
      <c r="CR81" s="4128">
        <f>(CR75+CR78)-CR79</f>
        <v>67868.943999999989</v>
      </c>
      <c r="CT81" s="2624"/>
    </row>
    <row r="82" spans="1:101" s="1396" customFormat="1" ht="13.8" outlineLevel="2">
      <c r="A82" s="1565"/>
      <c r="B82" s="1400" t="s">
        <v>38</v>
      </c>
      <c r="C82" s="3341"/>
      <c r="D82" s="3341"/>
      <c r="E82" s="3390">
        <f>C82+D82</f>
        <v>0</v>
      </c>
      <c r="F82" s="3381"/>
      <c r="G82" s="3455"/>
      <c r="H82" s="3341"/>
      <c r="I82" s="3341"/>
      <c r="J82" s="3390">
        <f>H82+I82</f>
        <v>0</v>
      </c>
      <c r="K82" s="4074" t="e">
        <f t="shared" ref="K82" si="218">J82/J$89</f>
        <v>#DIV/0!</v>
      </c>
      <c r="L82" s="3455"/>
      <c r="M82" s="3341"/>
      <c r="N82" s="3341"/>
      <c r="O82" s="3390">
        <f>M82+N82</f>
        <v>0</v>
      </c>
      <c r="P82" s="4074" t="e">
        <f t="shared" ref="P82" si="219">O82/O$89</f>
        <v>#DIV/0!</v>
      </c>
      <c r="Q82" s="3455"/>
      <c r="R82" s="3342">
        <f t="shared" ref="R82:S82" si="220">M82+H82+C82</f>
        <v>0</v>
      </c>
      <c r="S82" s="3342">
        <f t="shared" si="220"/>
        <v>0</v>
      </c>
      <c r="T82" s="2012">
        <f t="shared" ref="T82" si="221">R82+S82</f>
        <v>0</v>
      </c>
      <c r="U82" s="3455"/>
      <c r="V82" s="3455"/>
      <c r="W82" s="3342">
        <f t="shared" ref="W82:X82" si="222">AB82+AG82+AL82+AV82+BA82+BF82+BK82+BP82+BU82+BZ82+CE82+AQ82</f>
        <v>0</v>
      </c>
      <c r="X82" s="3342">
        <f t="shared" si="222"/>
        <v>0</v>
      </c>
      <c r="Y82" s="2012">
        <f t="shared" ref="Y82" si="223">W82+X82</f>
        <v>0</v>
      </c>
      <c r="Z82" s="3455"/>
      <c r="AA82" s="3455"/>
      <c r="AB82" s="3341"/>
      <c r="AC82" s="3341"/>
      <c r="AD82" s="3390">
        <f>AB82+AC82</f>
        <v>0</v>
      </c>
      <c r="AE82" s="3381"/>
      <c r="AF82" s="3455"/>
      <c r="AG82" s="3341"/>
      <c r="AH82" s="3341"/>
      <c r="AI82" s="3390">
        <f>AG82+AH82</f>
        <v>0</v>
      </c>
      <c r="AJ82" s="3381"/>
      <c r="AK82" s="3455"/>
      <c r="AL82" s="3341"/>
      <c r="AM82" s="3341"/>
      <c r="AN82" s="3390">
        <f>AL82+AM82</f>
        <v>0</v>
      </c>
      <c r="AO82" s="3381"/>
      <c r="AP82" s="3455"/>
      <c r="AQ82" s="3341"/>
      <c r="AR82" s="3341"/>
      <c r="AS82" s="3390">
        <f>AQ82+AR82</f>
        <v>0</v>
      </c>
      <c r="AT82" s="3381"/>
      <c r="AU82" s="3455"/>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381"/>
      <c r="CP82" s="3415">
        <f>CN82+CO82</f>
        <v>0</v>
      </c>
      <c r="CQ82" s="3415">
        <f>CO82+CP82</f>
        <v>0</v>
      </c>
      <c r="CR82" s="3415"/>
      <c r="CT82" s="2624"/>
    </row>
    <row r="83" spans="1:101" s="1396" customFormat="1" ht="13.8" outlineLevel="1">
      <c r="A83" s="1405"/>
      <c r="B83" s="4137" t="s">
        <v>13</v>
      </c>
      <c r="C83" s="4138">
        <f>(C81+C7)-C36</f>
        <v>0</v>
      </c>
      <c r="D83" s="4138">
        <f>(D81+D7)-D36</f>
        <v>0</v>
      </c>
      <c r="E83" s="4139">
        <f>(E81+E7)-E36</f>
        <v>0</v>
      </c>
      <c r="F83" s="4140"/>
      <c r="G83" s="4141"/>
      <c r="H83" s="4138">
        <f>(H81+H7)-H36</f>
        <v>0</v>
      </c>
      <c r="I83" s="4138">
        <f>(I81+I7)-I36</f>
        <v>0</v>
      </c>
      <c r="J83" s="4139">
        <f>(J81+J7)-J36</f>
        <v>0</v>
      </c>
      <c r="K83" s="4140"/>
      <c r="L83" s="4141"/>
      <c r="M83" s="4138">
        <f>(M81+M7)-M36</f>
        <v>0</v>
      </c>
      <c r="N83" s="4138">
        <f>(N81+N7)-N36</f>
        <v>0</v>
      </c>
      <c r="O83" s="4139">
        <f>(O81+O7)-O36</f>
        <v>0</v>
      </c>
      <c r="P83" s="4140"/>
      <c r="Q83" s="4141"/>
      <c r="R83" s="4138">
        <f>(R81+R7)-R36</f>
        <v>0</v>
      </c>
      <c r="S83" s="4138">
        <f>(S81+S7)-S36</f>
        <v>0</v>
      </c>
      <c r="T83" s="4139">
        <f>(T81+T7)-T36</f>
        <v>0</v>
      </c>
      <c r="U83" s="4142"/>
      <c r="V83" s="4142"/>
      <c r="W83" s="4138">
        <f>(W81+W7)-W36</f>
        <v>115580.11600000004</v>
      </c>
      <c r="X83" s="4138">
        <f>(X81+X7)-X36</f>
        <v>0</v>
      </c>
      <c r="Y83" s="4139">
        <f>(Y81+Y7)-Y36</f>
        <v>115580.11600000004</v>
      </c>
      <c r="Z83" s="4142"/>
      <c r="AA83" s="4142"/>
      <c r="AB83" s="4138">
        <f>(AB81+AB7)-AB36</f>
        <v>-33000</v>
      </c>
      <c r="AC83" s="4138">
        <f>(AC81+AC7)-AC36</f>
        <v>0</v>
      </c>
      <c r="AD83" s="4139">
        <f>(AD81+AD7)-AD36</f>
        <v>-33000</v>
      </c>
      <c r="AE83" s="4140"/>
      <c r="AF83" s="4141"/>
      <c r="AG83" s="4138">
        <f>(AG81+AG7)-AG36</f>
        <v>148580.11600000004</v>
      </c>
      <c r="AH83" s="4138">
        <f>(AH81+AH7)-AH36</f>
        <v>0</v>
      </c>
      <c r="AI83" s="4139">
        <f>(AI81+AI7)-AI36</f>
        <v>148580.11600000004</v>
      </c>
      <c r="AJ83" s="4140"/>
      <c r="AK83" s="4141"/>
      <c r="AL83" s="4138">
        <f>(AL81+AL7)-AL36</f>
        <v>0</v>
      </c>
      <c r="AM83" s="4138">
        <f>(AM81+AM7)-AM36</f>
        <v>0</v>
      </c>
      <c r="AN83" s="4139">
        <f>(AN81+AN7)-AN36</f>
        <v>0</v>
      </c>
      <c r="AO83" s="4140"/>
      <c r="AP83" s="4141"/>
      <c r="AQ83" s="4138">
        <f>(AQ81+AQ7)-AQ36</f>
        <v>0</v>
      </c>
      <c r="AR83" s="4138">
        <f>(AR81+AR7)-AR36</f>
        <v>0</v>
      </c>
      <c r="AS83" s="4139">
        <f>(AS81+AS7)-AS36</f>
        <v>0</v>
      </c>
      <c r="AT83" s="4140"/>
      <c r="AU83" s="4141"/>
      <c r="AV83" s="4138">
        <f>(AV81+AV7)-AV36</f>
        <v>0</v>
      </c>
      <c r="AW83" s="4138">
        <f>(AW81+AW7)-AW36</f>
        <v>0</v>
      </c>
      <c r="AX83" s="4139">
        <f>(AX81+AX7)-AX36</f>
        <v>0</v>
      </c>
      <c r="AY83" s="4140"/>
      <c r="AZ83" s="4141"/>
      <c r="BA83" s="4138">
        <f>(BA81+BA7)-BA36</f>
        <v>0</v>
      </c>
      <c r="BB83" s="4138">
        <f>(BB81+BB7)-BB36</f>
        <v>0</v>
      </c>
      <c r="BC83" s="4139">
        <f>(BC81+BC7)-BC36</f>
        <v>0</v>
      </c>
      <c r="BD83" s="4140"/>
      <c r="BE83" s="4141"/>
      <c r="BF83" s="4138">
        <f>(BF81+BF7)-BF36</f>
        <v>0</v>
      </c>
      <c r="BG83" s="4138">
        <f>(BG81+BG7)-BG36</f>
        <v>0</v>
      </c>
      <c r="BH83" s="4139">
        <f>(BH81+BH7)-BH36</f>
        <v>0</v>
      </c>
      <c r="BI83" s="4140"/>
      <c r="BJ83" s="4141"/>
      <c r="BK83" s="4138">
        <f>(BK81+BK7)-BK36</f>
        <v>0</v>
      </c>
      <c r="BL83" s="4138">
        <f>(BL81+BL7)-BL36</f>
        <v>0</v>
      </c>
      <c r="BM83" s="4139">
        <f>(BM81+BM7)-BM36</f>
        <v>0</v>
      </c>
      <c r="BN83" s="4140"/>
      <c r="BO83" s="4141"/>
      <c r="BP83" s="4138">
        <f>(BP81+BP7)-BP36</f>
        <v>0</v>
      </c>
      <c r="BQ83" s="4138">
        <f>(BQ81+BQ7)-BQ36</f>
        <v>0</v>
      </c>
      <c r="BR83" s="4139">
        <f>(BR81+BR7)-BR36</f>
        <v>0</v>
      </c>
      <c r="BS83" s="4140"/>
      <c r="BT83" s="4141"/>
      <c r="BU83" s="4138">
        <f>(BU81+BU7)-BU36</f>
        <v>0</v>
      </c>
      <c r="BV83" s="4138">
        <f>(BV81+BV7)-BV36</f>
        <v>0</v>
      </c>
      <c r="BW83" s="4139">
        <f>(BW81+BW7)-BW36</f>
        <v>0</v>
      </c>
      <c r="BX83" s="4140"/>
      <c r="BY83" s="4141"/>
      <c r="BZ83" s="4138">
        <f>(BZ81+BZ7)-BZ36</f>
        <v>0</v>
      </c>
      <c r="CA83" s="4138">
        <f>(CA81+CA7)-CA36</f>
        <v>0</v>
      </c>
      <c r="CB83" s="4139">
        <f>(CB81+CB7)-CB36</f>
        <v>0</v>
      </c>
      <c r="CC83" s="4140"/>
      <c r="CD83" s="4141"/>
      <c r="CE83" s="4138">
        <f>(CE81+CE7)-CE36</f>
        <v>0</v>
      </c>
      <c r="CF83" s="4138">
        <f>(CF81+CF7)-CF36</f>
        <v>0</v>
      </c>
      <c r="CG83" s="4139">
        <f>(CG81+CG7)-CG36</f>
        <v>0</v>
      </c>
      <c r="CH83" s="4140"/>
      <c r="CI83" s="4141"/>
      <c r="CJ83" s="4138">
        <f>(CJ81+CJ7)-CJ36</f>
        <v>107751.80600000003</v>
      </c>
      <c r="CK83" s="4138">
        <f>(CK81+CK7)-CK36</f>
        <v>-32964</v>
      </c>
      <c r="CL83" s="4139">
        <f>(CL81+CL7)-CL36</f>
        <v>74787.805999999968</v>
      </c>
      <c r="CM83" s="4140"/>
      <c r="CN83" s="4140"/>
      <c r="CP83" s="3481">
        <f>(CP81+CP7)-CP36</f>
        <v>142656.75</v>
      </c>
      <c r="CQ83" s="3481">
        <f>(CQ81+CQ7)-CQ36</f>
        <v>74787.805999999968</v>
      </c>
      <c r="CR83" s="3481">
        <f>(CR81+CR7)-CR36</f>
        <v>67868.943999999989</v>
      </c>
      <c r="CT83" s="2624"/>
    </row>
    <row r="84" spans="1:101" s="1396" customFormat="1" ht="14.4" outlineLevel="1" thickBot="1">
      <c r="A84" s="1405"/>
      <c r="B84" s="4143" t="s">
        <v>14</v>
      </c>
      <c r="C84" s="4144">
        <f>C83-C73-C82</f>
        <v>0</v>
      </c>
      <c r="D84" s="4144">
        <f>D83-D73-D82</f>
        <v>0</v>
      </c>
      <c r="E84" s="4144">
        <f>E83-E73-E82</f>
        <v>0</v>
      </c>
      <c r="F84" s="4145"/>
      <c r="G84" s="4146"/>
      <c r="H84" s="4144">
        <f>H83-H73-H82</f>
        <v>0</v>
      </c>
      <c r="I84" s="4144">
        <f>I83-I73-I82</f>
        <v>0</v>
      </c>
      <c r="J84" s="4144">
        <f>J83-J73-J82</f>
        <v>0</v>
      </c>
      <c r="K84" s="4145"/>
      <c r="L84" s="4146"/>
      <c r="M84" s="4144">
        <f>M83-M73-M82</f>
        <v>0</v>
      </c>
      <c r="N84" s="4144">
        <f>N83-N73-N82</f>
        <v>0</v>
      </c>
      <c r="O84" s="4144">
        <f>O83-O73-O82</f>
        <v>0</v>
      </c>
      <c r="P84" s="4145"/>
      <c r="Q84" s="4146"/>
      <c r="R84" s="4144">
        <f>R83-R73-R82</f>
        <v>0</v>
      </c>
      <c r="S84" s="4144">
        <f>S83-S73-S82</f>
        <v>0</v>
      </c>
      <c r="T84" s="4144">
        <f>T83-T73-T82</f>
        <v>0</v>
      </c>
      <c r="U84" s="4146"/>
      <c r="V84" s="4146"/>
      <c r="W84" s="4086">
        <f t="shared" ref="W84:X84" si="224">AB84+AG84+AL84+AV84+BA84+BF84+BK84+BP84+BU84+BZ84+CE84</f>
        <v>115580.11600000004</v>
      </c>
      <c r="X84" s="4087">
        <f t="shared" si="224"/>
        <v>0</v>
      </c>
      <c r="Y84" s="4144">
        <f>Y83-Y73-Y82</f>
        <v>115580.11600000004</v>
      </c>
      <c r="Z84" s="4146"/>
      <c r="AA84" s="4146"/>
      <c r="AB84" s="4144">
        <f>AB83-AB73-AB82</f>
        <v>-33000</v>
      </c>
      <c r="AC84" s="4144">
        <f>AC83-AC73-AC82</f>
        <v>0</v>
      </c>
      <c r="AD84" s="4144">
        <f>AD83-AD73-AD82</f>
        <v>-33000</v>
      </c>
      <c r="AE84" s="4145"/>
      <c r="AF84" s="4146"/>
      <c r="AG84" s="4144">
        <f>AG83-AG73-AG82</f>
        <v>148580.11600000004</v>
      </c>
      <c r="AH84" s="4144">
        <f>AH83-AH73-AH82</f>
        <v>0</v>
      </c>
      <c r="AI84" s="4144">
        <f>AI83-AI73-AI82</f>
        <v>148580.11600000004</v>
      </c>
      <c r="AJ84" s="4145"/>
      <c r="AK84" s="4146"/>
      <c r="AL84" s="4144">
        <f>AL83-AL73-AL82</f>
        <v>0</v>
      </c>
      <c r="AM84" s="4144">
        <f>AM83-AM73-AM82</f>
        <v>0</v>
      </c>
      <c r="AN84" s="4144">
        <f>AN83-AN73-AN82</f>
        <v>0</v>
      </c>
      <c r="AO84" s="4145"/>
      <c r="AP84" s="4146"/>
      <c r="AQ84" s="4144">
        <f>AQ83-AQ73-AQ82</f>
        <v>0</v>
      </c>
      <c r="AR84" s="4144">
        <f>AR83-AR73-AR82</f>
        <v>0</v>
      </c>
      <c r="AS84" s="4144">
        <f>AS83-AS73-AS82</f>
        <v>0</v>
      </c>
      <c r="AT84" s="4145"/>
      <c r="AU84" s="4146"/>
      <c r="AV84" s="4144">
        <f>AV83-AV73-AV82</f>
        <v>0</v>
      </c>
      <c r="AW84" s="4144">
        <f>AW83-AW73-AW82</f>
        <v>0</v>
      </c>
      <c r="AX84" s="4144">
        <f>AX83-AX73-AX82</f>
        <v>0</v>
      </c>
      <c r="AY84" s="4145"/>
      <c r="AZ84" s="4146"/>
      <c r="BA84" s="4144">
        <f>BA83-BA73-BA82</f>
        <v>0</v>
      </c>
      <c r="BB84" s="4144">
        <f>BB83-BB73-BB82</f>
        <v>0</v>
      </c>
      <c r="BC84" s="4144">
        <f>BC83-BC73-BC82</f>
        <v>0</v>
      </c>
      <c r="BD84" s="4145"/>
      <c r="BE84" s="4146"/>
      <c r="BF84" s="4144">
        <f>BF83-BF73-BF82</f>
        <v>0</v>
      </c>
      <c r="BG84" s="4144">
        <f>BG83-BG73-BG82</f>
        <v>0</v>
      </c>
      <c r="BH84" s="4144">
        <f>BH83-BH73-BH82</f>
        <v>0</v>
      </c>
      <c r="BI84" s="4145"/>
      <c r="BJ84" s="4146"/>
      <c r="BK84" s="4144">
        <f>BK83-BK73-BK82</f>
        <v>0</v>
      </c>
      <c r="BL84" s="4144">
        <f>BL83-BL73-BL82</f>
        <v>0</v>
      </c>
      <c r="BM84" s="4144">
        <f>BM83-BM73-BM82</f>
        <v>0</v>
      </c>
      <c r="BN84" s="4145"/>
      <c r="BO84" s="4146"/>
      <c r="BP84" s="4144">
        <f>BP83-BP73-BP82</f>
        <v>0</v>
      </c>
      <c r="BQ84" s="4144">
        <f>BQ83-BQ73-BQ82</f>
        <v>0</v>
      </c>
      <c r="BR84" s="4144">
        <f>BR83-BR73-BR82</f>
        <v>0</v>
      </c>
      <c r="BS84" s="4145"/>
      <c r="BT84" s="4146"/>
      <c r="BU84" s="4144">
        <f>BU83-BU73-BU82</f>
        <v>0</v>
      </c>
      <c r="BV84" s="4144">
        <f>BV83-BV73-BV82</f>
        <v>0</v>
      </c>
      <c r="BW84" s="4144">
        <f>BW83-BW73-BW82</f>
        <v>0</v>
      </c>
      <c r="BX84" s="4145"/>
      <c r="BY84" s="4146"/>
      <c r="BZ84" s="4144">
        <f>BZ83-BZ73-BZ82</f>
        <v>0</v>
      </c>
      <c r="CA84" s="4144">
        <f>CA83-CA73-CA82</f>
        <v>0</v>
      </c>
      <c r="CB84" s="4144">
        <f>CB83-CB73-CB82</f>
        <v>0</v>
      </c>
      <c r="CC84" s="4145"/>
      <c r="CD84" s="4146"/>
      <c r="CE84" s="4144">
        <f>CE83-CE73-CE82</f>
        <v>0</v>
      </c>
      <c r="CF84" s="4144">
        <f>CF83-CF73-CF82</f>
        <v>0</v>
      </c>
      <c r="CG84" s="4144">
        <f>CG83-CG73-CG82</f>
        <v>0</v>
      </c>
      <c r="CH84" s="4145"/>
      <c r="CI84" s="4146"/>
      <c r="CJ84" s="4082">
        <f t="shared" ref="CJ84:CK84" si="225">C84+H84+M84+W84</f>
        <v>115580.11600000004</v>
      </c>
      <c r="CK84" s="4082">
        <f t="shared" si="225"/>
        <v>0</v>
      </c>
      <c r="CL84" s="4144">
        <f>CL83-CL73-CL82</f>
        <v>74787.805999999968</v>
      </c>
      <c r="CM84" s="4145"/>
      <c r="CN84" s="4145"/>
      <c r="CP84" s="3309">
        <f>CP83-CP73-CP82</f>
        <v>142656.75</v>
      </c>
      <c r="CQ84" s="3484">
        <f>CQ83-CQ73-CQ82</f>
        <v>74787.805999999968</v>
      </c>
      <c r="CR84" s="3309">
        <f>CR83-CR73-CR82</f>
        <v>67868.943999999989</v>
      </c>
      <c r="CT84" s="2624"/>
    </row>
    <row r="85" spans="1:101" s="1396" customFormat="1" ht="13.8" outlineLevel="3">
      <c r="A85" s="1565"/>
      <c r="B85" s="1403" t="s">
        <v>44</v>
      </c>
      <c r="C85" s="3341"/>
      <c r="D85" s="3341"/>
      <c r="E85" s="2012">
        <f>C85+D85*1.15</f>
        <v>0</v>
      </c>
      <c r="F85" s="3381"/>
      <c r="G85" s="3455"/>
      <c r="H85" s="3341"/>
      <c r="I85" s="3341"/>
      <c r="J85" s="2012">
        <f>H85+I85*1.15</f>
        <v>0</v>
      </c>
      <c r="K85" s="4074" t="e">
        <f t="shared" ref="K85" si="226">J85/J$89</f>
        <v>#DIV/0!</v>
      </c>
      <c r="L85" s="3455"/>
      <c r="M85" s="3341"/>
      <c r="N85" s="3341"/>
      <c r="O85" s="2012">
        <f>M85+N85*1.15</f>
        <v>0</v>
      </c>
      <c r="P85" s="4074" t="e">
        <f t="shared" ref="P85" si="227">O85/O$89</f>
        <v>#DIV/0!</v>
      </c>
      <c r="Q85" s="3455"/>
      <c r="R85" s="3342">
        <f t="shared" ref="R85:S85" si="228">M85+H85+C85</f>
        <v>0</v>
      </c>
      <c r="S85" s="3342">
        <f t="shared" si="228"/>
        <v>0</v>
      </c>
      <c r="T85" s="2012">
        <f t="shared" ref="T85" si="229">R85+S85</f>
        <v>0</v>
      </c>
      <c r="U85" s="3455"/>
      <c r="V85" s="3455"/>
      <c r="W85" s="3342">
        <f t="shared" ref="W85:X85" si="230">AB85+AG85+AL85+AV85+BA85+BF85+BK85+BP85+BU85+BZ85+CE85+AQ85</f>
        <v>0</v>
      </c>
      <c r="X85" s="3342">
        <f t="shared" si="230"/>
        <v>0</v>
      </c>
      <c r="Y85" s="2012">
        <f t="shared" ref="Y85" si="231">W85+X85</f>
        <v>0</v>
      </c>
      <c r="Z85" s="3455"/>
      <c r="AA85" s="3455"/>
      <c r="AB85" s="3341"/>
      <c r="AC85" s="3341"/>
      <c r="AD85" s="2012">
        <f>AB85+AC85*1.15</f>
        <v>0</v>
      </c>
      <c r="AE85" s="3381"/>
      <c r="AF85" s="3455"/>
      <c r="AG85" s="3341"/>
      <c r="AH85" s="3341"/>
      <c r="AI85" s="2012">
        <f>AG85+AH85*1.15</f>
        <v>0</v>
      </c>
      <c r="AJ85" s="3381"/>
      <c r="AK85" s="3455"/>
      <c r="AL85" s="3341"/>
      <c r="AM85" s="3341"/>
      <c r="AN85" s="2012">
        <f>AL85+AM85*1.15</f>
        <v>0</v>
      </c>
      <c r="AO85" s="3381"/>
      <c r="AP85" s="3455"/>
      <c r="AQ85" s="3341"/>
      <c r="AR85" s="3341"/>
      <c r="AS85" s="2012">
        <f>AQ85+AR85*1.15</f>
        <v>0</v>
      </c>
      <c r="AT85" s="3381"/>
      <c r="AU85" s="3455"/>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2124">
        <f>CN85+CO85*1.15</f>
        <v>0</v>
      </c>
      <c r="CQ85" s="2124">
        <f>CO85+CP85*1.15</f>
        <v>0</v>
      </c>
      <c r="CR85" s="2124"/>
      <c r="CT85" s="2624"/>
    </row>
    <row r="86" spans="1:101" s="1396" customFormat="1" ht="27.6">
      <c r="A86" s="1405"/>
      <c r="B86" s="4147" t="s">
        <v>50</v>
      </c>
      <c r="C86" s="4148">
        <f>C84-C85</f>
        <v>0</v>
      </c>
      <c r="D86" s="4148">
        <f>D84-D85</f>
        <v>0</v>
      </c>
      <c r="E86" s="4148">
        <f>E84-E85</f>
        <v>0</v>
      </c>
      <c r="F86" s="4149"/>
      <c r="G86" s="4150"/>
      <c r="H86" s="4148">
        <f>H84-H85</f>
        <v>0</v>
      </c>
      <c r="I86" s="4148">
        <f>I84-I85</f>
        <v>0</v>
      </c>
      <c r="J86" s="4148">
        <f>J84-J85</f>
        <v>0</v>
      </c>
      <c r="K86" s="4149"/>
      <c r="L86" s="4150"/>
      <c r="M86" s="4148">
        <f>M84-M85</f>
        <v>0</v>
      </c>
      <c r="N86" s="4148">
        <f>N84-N85</f>
        <v>0</v>
      </c>
      <c r="O86" s="4148">
        <f>O84-O85</f>
        <v>0</v>
      </c>
      <c r="P86" s="4149"/>
      <c r="Q86" s="4150"/>
      <c r="R86" s="4148">
        <f>R84-R85</f>
        <v>0</v>
      </c>
      <c r="S86" s="4148">
        <f>S84-S85</f>
        <v>0</v>
      </c>
      <c r="T86" s="4148">
        <f>T84-T85</f>
        <v>0</v>
      </c>
      <c r="U86" s="4150"/>
      <c r="V86" s="4150"/>
      <c r="W86" s="4148">
        <f>W84-W85</f>
        <v>115580.11600000004</v>
      </c>
      <c r="X86" s="4148">
        <f>X84-X85</f>
        <v>0</v>
      </c>
      <c r="Y86" s="4148">
        <f>Y84-Y85</f>
        <v>115580.11600000004</v>
      </c>
      <c r="Z86" s="4150"/>
      <c r="AA86" s="4150"/>
      <c r="AB86" s="4148">
        <f>AB84-AB85</f>
        <v>-33000</v>
      </c>
      <c r="AC86" s="4148">
        <f>AC84-AC85</f>
        <v>0</v>
      </c>
      <c r="AD86" s="4148">
        <f>AD84-AD85</f>
        <v>-33000</v>
      </c>
      <c r="AE86" s="4149"/>
      <c r="AF86" s="4150"/>
      <c r="AG86" s="4148">
        <f>AG84-AG85</f>
        <v>148580.11600000004</v>
      </c>
      <c r="AH86" s="4148">
        <f>AH84-AH85</f>
        <v>0</v>
      </c>
      <c r="AI86" s="4148">
        <f>AI84-AI85</f>
        <v>148580.11600000004</v>
      </c>
      <c r="AJ86" s="4149"/>
      <c r="AK86" s="4150"/>
      <c r="AL86" s="4148">
        <f>AL84-AL85</f>
        <v>0</v>
      </c>
      <c r="AM86" s="4148">
        <f>AM84-AM85</f>
        <v>0</v>
      </c>
      <c r="AN86" s="4148">
        <f>AN84-AN85</f>
        <v>0</v>
      </c>
      <c r="AO86" s="4149"/>
      <c r="AP86" s="4150"/>
      <c r="AQ86" s="4148">
        <f>AQ84-AQ85</f>
        <v>0</v>
      </c>
      <c r="AR86" s="4148">
        <f>AR84-AR85</f>
        <v>0</v>
      </c>
      <c r="AS86" s="4148">
        <f>AS84-AS85</f>
        <v>0</v>
      </c>
      <c r="AT86" s="4149"/>
      <c r="AU86" s="4150"/>
      <c r="AV86" s="4148">
        <f>AV84-AV85</f>
        <v>0</v>
      </c>
      <c r="AW86" s="4148">
        <f>AW84-AW85</f>
        <v>0</v>
      </c>
      <c r="AX86" s="4148">
        <f>AX84-AX85</f>
        <v>0</v>
      </c>
      <c r="AY86" s="4149"/>
      <c r="AZ86" s="4150"/>
      <c r="BA86" s="4148">
        <f>BA84-BA85</f>
        <v>0</v>
      </c>
      <c r="BB86" s="4148">
        <f>BB84-BB85</f>
        <v>0</v>
      </c>
      <c r="BC86" s="4148">
        <f>BC84-BC85</f>
        <v>0</v>
      </c>
      <c r="BD86" s="4149"/>
      <c r="BE86" s="4150"/>
      <c r="BF86" s="4148">
        <f>BF84-BF85</f>
        <v>0</v>
      </c>
      <c r="BG86" s="4148">
        <f>BG84-BG85</f>
        <v>0</v>
      </c>
      <c r="BH86" s="4148">
        <f>BH84-BH85</f>
        <v>0</v>
      </c>
      <c r="BI86" s="4149"/>
      <c r="BJ86" s="4150"/>
      <c r="BK86" s="4148">
        <f>BK84-BK85</f>
        <v>0</v>
      </c>
      <c r="BL86" s="4148">
        <f>BL84-BL85</f>
        <v>0</v>
      </c>
      <c r="BM86" s="4148">
        <f>BM84-BM85</f>
        <v>0</v>
      </c>
      <c r="BN86" s="4149"/>
      <c r="BO86" s="4150"/>
      <c r="BP86" s="4148">
        <f>BP84-BP85</f>
        <v>0</v>
      </c>
      <c r="BQ86" s="4148">
        <f>BQ84-BQ85</f>
        <v>0</v>
      </c>
      <c r="BR86" s="4148">
        <f>BR84-BR85</f>
        <v>0</v>
      </c>
      <c r="BS86" s="4149"/>
      <c r="BT86" s="4150"/>
      <c r="BU86" s="4148">
        <f>BU84-BU85</f>
        <v>0</v>
      </c>
      <c r="BV86" s="4148">
        <f>BV84-BV85</f>
        <v>0</v>
      </c>
      <c r="BW86" s="4148">
        <f>BW84-BW85</f>
        <v>0</v>
      </c>
      <c r="BX86" s="4149"/>
      <c r="BY86" s="4150"/>
      <c r="BZ86" s="4148">
        <f>BZ84-BZ85</f>
        <v>0</v>
      </c>
      <c r="CA86" s="4148">
        <f>CA84-CA85</f>
        <v>0</v>
      </c>
      <c r="CB86" s="4148">
        <f>CB84-CB85</f>
        <v>0</v>
      </c>
      <c r="CC86" s="4149"/>
      <c r="CD86" s="4150"/>
      <c r="CE86" s="4148">
        <f>CE84-CE85</f>
        <v>0</v>
      </c>
      <c r="CF86" s="4148">
        <f>CF84-CF85</f>
        <v>0</v>
      </c>
      <c r="CG86" s="4148">
        <f>CG84-CG85</f>
        <v>0</v>
      </c>
      <c r="CH86" s="4149"/>
      <c r="CI86" s="4150"/>
      <c r="CJ86" s="4148">
        <f>CJ84-CJ85</f>
        <v>115580.11600000004</v>
      </c>
      <c r="CK86" s="4148">
        <f>CK84-CK85</f>
        <v>0</v>
      </c>
      <c r="CL86" s="4148">
        <f>CL84-CL85</f>
        <v>74787.805999999968</v>
      </c>
      <c r="CM86" s="4149"/>
      <c r="CN86" s="4149"/>
      <c r="CP86" s="3481">
        <f>CP84-CP85</f>
        <v>142656.75</v>
      </c>
      <c r="CQ86" s="3481">
        <f>CQ84-CQ85</f>
        <v>74787.805999999968</v>
      </c>
      <c r="CR86" s="3481">
        <f>CQ86-CP86</f>
        <v>-67868.944000000032</v>
      </c>
      <c r="CT86" s="2624">
        <f>CR86/CP86</f>
        <v>-0.47574996626517868</v>
      </c>
      <c r="CW86" s="933"/>
    </row>
    <row r="87" spans="1:101" s="1396" customFormat="1" ht="14.4" thickBot="1">
      <c r="A87" s="1567"/>
      <c r="B87" s="4151" t="s">
        <v>51</v>
      </c>
      <c r="C87" s="4152">
        <f>IFERROR(C86/C5,0)</f>
        <v>0</v>
      </c>
      <c r="D87" s="4153">
        <f>IFERROR(D86/D5,0)</f>
        <v>0</v>
      </c>
      <c r="E87" s="4154">
        <f>IFERROR(E86/E5,0)</f>
        <v>0</v>
      </c>
      <c r="F87" s="4155"/>
      <c r="G87" s="4156"/>
      <c r="H87" s="4152">
        <f>IFERROR(H86/H5,0)</f>
        <v>0</v>
      </c>
      <c r="I87" s="4153">
        <f>IFERROR(I86/I5,0)</f>
        <v>0</v>
      </c>
      <c r="J87" s="4154">
        <f>IFERROR(J86/J5,0)</f>
        <v>0</v>
      </c>
      <c r="K87" s="4155"/>
      <c r="L87" s="4156"/>
      <c r="M87" s="4152">
        <f>IFERROR(M86/M5,0)</f>
        <v>0</v>
      </c>
      <c r="N87" s="4153">
        <f>IFERROR(N86/N5,0)</f>
        <v>0</v>
      </c>
      <c r="O87" s="4154">
        <f>IFERROR(O86/O5,0)</f>
        <v>0</v>
      </c>
      <c r="P87" s="4155"/>
      <c r="Q87" s="4156"/>
      <c r="R87" s="4157"/>
      <c r="S87" s="4157"/>
      <c r="T87" s="4157"/>
      <c r="U87" s="4157"/>
      <c r="V87" s="4157"/>
      <c r="W87" s="4157"/>
      <c r="X87" s="4157"/>
      <c r="Y87" s="4157"/>
      <c r="Z87" s="4157"/>
      <c r="AA87" s="4157"/>
      <c r="AB87" s="4152">
        <f>IFERROR(AB86/AB5,0)</f>
        <v>0</v>
      </c>
      <c r="AC87" s="4153">
        <f>IFERROR(AC86/AC5,0)</f>
        <v>0</v>
      </c>
      <c r="AD87" s="4154">
        <f>IFERROR(AD86/AD5,0)</f>
        <v>0</v>
      </c>
      <c r="AE87" s="4155"/>
      <c r="AF87" s="4156"/>
      <c r="AG87" s="4152">
        <f>IFERROR(AG86/AG5,0)</f>
        <v>0.36153747474860543</v>
      </c>
      <c r="AH87" s="4153">
        <f>IFERROR(AH86/AH5,0)</f>
        <v>0</v>
      </c>
      <c r="AI87" s="4154">
        <f>IFERROR(AI86/AI5,0)</f>
        <v>0.36153747474860543</v>
      </c>
      <c r="AJ87" s="4155"/>
      <c r="AK87" s="4156"/>
      <c r="AL87" s="4152">
        <f>IFERROR(AL86/AL5,0)</f>
        <v>0</v>
      </c>
      <c r="AM87" s="4153">
        <f>IFERROR(AM86/AM5,0)</f>
        <v>0</v>
      </c>
      <c r="AN87" s="4154">
        <f>IFERROR(AN86/AN5,0)</f>
        <v>0</v>
      </c>
      <c r="AO87" s="4155"/>
      <c r="AP87" s="4156"/>
      <c r="AQ87" s="4152">
        <f>IFERROR(AQ86/AQ5,0)</f>
        <v>0</v>
      </c>
      <c r="AR87" s="4153">
        <f>IFERROR(AR86/AR5,0)</f>
        <v>0</v>
      </c>
      <c r="AS87" s="4154">
        <f>IFERROR(AS86/AS5,0)</f>
        <v>0</v>
      </c>
      <c r="AT87" s="4155"/>
      <c r="AU87" s="4156"/>
      <c r="AV87" s="4152">
        <f>IFERROR(AV86/AV5,0)</f>
        <v>0</v>
      </c>
      <c r="AW87" s="4153">
        <f>IFERROR(AW86/AW5,0)</f>
        <v>0</v>
      </c>
      <c r="AX87" s="4154">
        <f>IFERROR(AX86/AX5,0)</f>
        <v>0</v>
      </c>
      <c r="AY87" s="4155"/>
      <c r="AZ87" s="4156"/>
      <c r="BA87" s="4152">
        <f>IFERROR(BA86/BA5,0)</f>
        <v>0</v>
      </c>
      <c r="BB87" s="4153">
        <f>IFERROR(BB86/BB5,0)</f>
        <v>0</v>
      </c>
      <c r="BC87" s="4154">
        <f>IFERROR(BC86/BC5,0)</f>
        <v>0</v>
      </c>
      <c r="BD87" s="4155"/>
      <c r="BE87" s="4156"/>
      <c r="BF87" s="4152">
        <f>IFERROR(BF86/BF5,0)</f>
        <v>0</v>
      </c>
      <c r="BG87" s="4153">
        <f>IFERROR(BG86/BG5,0)</f>
        <v>0</v>
      </c>
      <c r="BH87" s="4154">
        <f>IFERROR(BH86/BH5,0)</f>
        <v>0</v>
      </c>
      <c r="BI87" s="4155"/>
      <c r="BJ87" s="4156"/>
      <c r="BK87" s="4152">
        <f>IFERROR(BK86/BK5,0)</f>
        <v>0</v>
      </c>
      <c r="BL87" s="4153">
        <f>IFERROR(BL86/BL5,0)</f>
        <v>0</v>
      </c>
      <c r="BM87" s="4154">
        <f>IFERROR(BM86/BM5,0)</f>
        <v>0</v>
      </c>
      <c r="BN87" s="4155"/>
      <c r="BO87" s="4156"/>
      <c r="BP87" s="4152">
        <f>IFERROR(BP86/BP5,0)</f>
        <v>0</v>
      </c>
      <c r="BQ87" s="4153">
        <f>IFERROR(BQ86/BQ5,0)</f>
        <v>0</v>
      </c>
      <c r="BR87" s="4154">
        <f>IFERROR(BR86/BR5,0)</f>
        <v>0</v>
      </c>
      <c r="BS87" s="4155"/>
      <c r="BT87" s="4156"/>
      <c r="BU87" s="4152">
        <f>IFERROR(BU86/BU5,0)</f>
        <v>0</v>
      </c>
      <c r="BV87" s="4153">
        <f>IFERROR(BV86/BV5,0)</f>
        <v>0</v>
      </c>
      <c r="BW87" s="4154">
        <f>IFERROR(BW86/BW5,0)</f>
        <v>0</v>
      </c>
      <c r="BX87" s="4155"/>
      <c r="BY87" s="4156"/>
      <c r="BZ87" s="4152">
        <f>IFERROR(BZ86/BZ5,0)</f>
        <v>0</v>
      </c>
      <c r="CA87" s="4153">
        <f>IFERROR(CA86/CA5,0)</f>
        <v>0</v>
      </c>
      <c r="CB87" s="4154">
        <f>IFERROR(CB86/CB5,0)</f>
        <v>0</v>
      </c>
      <c r="CC87" s="4155"/>
      <c r="CD87" s="4156"/>
      <c r="CE87" s="4152">
        <f>IFERROR(CE86/CE5,0)</f>
        <v>0</v>
      </c>
      <c r="CF87" s="4153">
        <f>IFERROR(CF86/CF5,0)</f>
        <v>0</v>
      </c>
      <c r="CG87" s="4154">
        <f>IFERROR(CG86/CG5,0)</f>
        <v>0</v>
      </c>
      <c r="CH87" s="4155"/>
      <c r="CI87" s="4156"/>
      <c r="CJ87" s="4152">
        <f>IFERROR(CJ86/CJ5,0)</f>
        <v>0.28123913478295365</v>
      </c>
      <c r="CK87" s="4153">
        <f>IFERROR(CK86/CK5,0)</f>
        <v>0</v>
      </c>
      <c r="CL87" s="4154">
        <f>IFERROR(CL86/CL5,0)</f>
        <v>0.18197989913555179</v>
      </c>
      <c r="CM87" s="4155"/>
      <c r="CN87" s="4155"/>
      <c r="CP87" s="4154">
        <f>CP86/CP5</f>
        <v>0.34712458664564311</v>
      </c>
      <c r="CQ87" s="4154">
        <f>IFERROR(CQ86/CQ5,0)</f>
        <v>0.18197989913555179</v>
      </c>
      <c r="CR87" s="4154"/>
      <c r="CT87" s="2624"/>
    </row>
    <row r="88" spans="1:101"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1611"/>
      <c r="AG88" s="1954"/>
      <c r="AH88" s="1954"/>
      <c r="AI88" s="1954"/>
      <c r="AJ88" s="1954"/>
      <c r="AK88" s="1611"/>
      <c r="AL88" s="1954"/>
      <c r="AM88" s="1954"/>
      <c r="AN88" s="1954"/>
      <c r="AO88" s="1954"/>
      <c r="AP88" s="1611"/>
      <c r="AQ88" s="1954"/>
      <c r="AR88" s="1954"/>
      <c r="AS88" s="1954"/>
      <c r="AT88" s="1954"/>
      <c r="AU88" s="1611"/>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1954"/>
      <c r="CQ88" s="1954"/>
      <c r="CR88" s="1954"/>
    </row>
    <row r="89" spans="1:101">
      <c r="B89" s="1562" t="s">
        <v>56</v>
      </c>
      <c r="E89" s="1960">
        <f>E8+E36+E41+E50+E54+E73+E79+E82+E85</f>
        <v>0</v>
      </c>
      <c r="G89" s="1963"/>
      <c r="J89" s="1960">
        <f>J8+J36+J41+J50+J54+J73+J79+J82+J85</f>
        <v>0</v>
      </c>
      <c r="L89" s="1963"/>
      <c r="O89" s="1960">
        <f>O8+O36+O41+O50+O54+O73+O79+O82+O85</f>
        <v>0</v>
      </c>
      <c r="Q89" s="1963"/>
      <c r="R89" s="1963"/>
      <c r="S89" s="1963"/>
      <c r="T89" s="1960">
        <f>T8+T36+T41+T50+T54+T73+T79+T82+T85</f>
        <v>0</v>
      </c>
      <c r="U89" s="1963"/>
      <c r="V89" s="1963"/>
      <c r="W89" s="1963"/>
      <c r="X89" s="1963"/>
      <c r="Y89" s="1960">
        <f>Y8+Y36+Y41+Y50+Y54+Y73+Y79+Y82+Y85</f>
        <v>295387.28399999999</v>
      </c>
      <c r="Z89" s="1963"/>
      <c r="AA89" s="1963"/>
      <c r="AD89" s="1960">
        <f>AD8+AD36+AD41+AD50+AD54+AD73+AD79+AD82+AD85</f>
        <v>33000</v>
      </c>
      <c r="AF89" s="1963"/>
      <c r="AI89" s="1960">
        <f>AI8+AI36+AI41+AI50+AI54+AI73+AI79+AI82+AI85</f>
        <v>262387.28399999999</v>
      </c>
      <c r="AK89" s="1963"/>
      <c r="AN89" s="1960">
        <f>AN8+AN36+AN41+AN50+AN54+AN73+AN79+AN82+AN85</f>
        <v>0</v>
      </c>
      <c r="AP89" s="1963"/>
      <c r="AS89" s="1960">
        <f>AS8+AS36+AS41+AS50+AS54+AS73+AS79+AS82+AS85</f>
        <v>0</v>
      </c>
      <c r="AU89" s="1963"/>
      <c r="AX89" s="1960">
        <f>AX8+AX36+AX41+AX50+AX54+AX73+AX79+AX82+AX85</f>
        <v>0</v>
      </c>
      <c r="AZ89" s="1963"/>
      <c r="BC89" s="1960">
        <f>BC8+BC36+BC41+BC50+BC54+BC73+BC79+BC82+BC85</f>
        <v>0</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336179.59400000004</v>
      </c>
    </row>
    <row r="90" spans="1:101">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1963"/>
      <c r="AC90" s="1963"/>
      <c r="AD90" s="1963"/>
      <c r="AE90" s="1963"/>
      <c r="AF90" s="1963"/>
      <c r="AG90" s="1963"/>
      <c r="AH90" s="1963"/>
      <c r="AI90" s="1963"/>
      <c r="AJ90" s="1963"/>
      <c r="AK90" s="1963"/>
      <c r="AL90" s="1963"/>
      <c r="AM90" s="1963"/>
      <c r="AN90" s="1963"/>
      <c r="AO90" s="1963"/>
      <c r="AP90" s="1963"/>
      <c r="AQ90" s="1963"/>
      <c r="AR90" s="1963"/>
      <c r="AS90" s="1963"/>
      <c r="AT90" s="1963"/>
      <c r="AU90" s="1963"/>
      <c r="AV90" s="1963"/>
      <c r="AW90" s="1963"/>
      <c r="AX90" s="1963"/>
      <c r="AY90" s="1963"/>
      <c r="AZ90" s="1963"/>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row>
    <row r="91" spans="1:101"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963"/>
      <c r="AG91" s="1963"/>
      <c r="AH91" s="1963"/>
      <c r="AI91" s="1963"/>
      <c r="AJ91" s="1963"/>
      <c r="AK91" s="1963"/>
      <c r="AL91" s="1963"/>
      <c r="AM91" s="1963"/>
      <c r="AN91" s="1963"/>
      <c r="AO91" s="1963"/>
      <c r="AP91" s="1963"/>
      <c r="AQ91" s="1963"/>
      <c r="AR91" s="1963"/>
      <c r="AS91" s="1963"/>
      <c r="AT91" s="1963"/>
      <c r="AU91" s="1963"/>
      <c r="AV91" s="1963"/>
      <c r="AW91" s="1963"/>
      <c r="AX91" s="1963"/>
      <c r="AY91" s="1963"/>
      <c r="AZ91" s="196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c r="CP91" s="1952"/>
      <c r="CQ91" s="1952"/>
      <c r="CR91" s="1952"/>
      <c r="CT91" s="2624"/>
    </row>
    <row r="92" spans="1:101">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P92" s="1963"/>
      <c r="AQ92" s="1963"/>
      <c r="AR92" s="1963"/>
      <c r="AS92" s="1963"/>
      <c r="AT92" s="1963"/>
      <c r="AU92" s="1963"/>
      <c r="AV92" s="1963"/>
      <c r="AW92" s="1963"/>
      <c r="AX92" s="1963"/>
      <c r="AY92" s="1963"/>
      <c r="AZ92" s="196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1" s="1396" customFormat="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963"/>
      <c r="AG93" s="1963"/>
      <c r="AH93" s="1963"/>
      <c r="AI93" s="1963"/>
      <c r="AJ93" s="1963"/>
      <c r="AK93" s="1963"/>
      <c r="AL93" s="1963"/>
      <c r="AM93" s="1963"/>
      <c r="AN93" s="1963"/>
      <c r="AO93" s="1963"/>
      <c r="AP93" s="1963"/>
      <c r="AQ93" s="1963"/>
      <c r="AR93" s="1963"/>
      <c r="AS93" s="1963"/>
      <c r="AT93" s="1963"/>
      <c r="AU93" s="1963"/>
      <c r="AV93" s="1963"/>
      <c r="AW93" s="1963"/>
      <c r="AX93" s="1963"/>
      <c r="AY93" s="1963"/>
      <c r="AZ93" s="1963"/>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52"/>
      <c r="CK93" s="1952"/>
      <c r="CL93" s="687"/>
      <c r="CM93" s="1952"/>
      <c r="CN93" s="1952"/>
      <c r="CP93" s="1952"/>
      <c r="CQ93" s="1952"/>
      <c r="CR93" s="1952"/>
      <c r="CT93" s="2624"/>
    </row>
    <row r="94" spans="1:101" s="1396" customForma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963"/>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52"/>
      <c r="CK94" s="1952"/>
      <c r="CL94" s="1952"/>
      <c r="CM94" s="1952"/>
      <c r="CN94" s="1952"/>
      <c r="CP94" s="1952"/>
      <c r="CQ94" s="1952"/>
      <c r="CR94" s="1952"/>
      <c r="CT94" s="2624"/>
    </row>
    <row r="95" spans="1:101" s="1396" customFormat="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963"/>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52"/>
      <c r="CK95" s="1952"/>
      <c r="CL95" s="1952"/>
      <c r="CM95" s="1952"/>
      <c r="CN95" s="1952"/>
      <c r="CP95" s="1952"/>
      <c r="CQ95" s="1952"/>
      <c r="CR95" s="1952"/>
      <c r="CT95" s="2624"/>
    </row>
    <row r="96" spans="1:101" s="1396" customFormat="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963"/>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52"/>
      <c r="CK96" s="1952"/>
      <c r="CL96" s="1952"/>
      <c r="CM96" s="1952"/>
      <c r="CN96" s="1952"/>
      <c r="CP96" s="1952"/>
      <c r="CQ96" s="1952"/>
      <c r="CR96" s="1952"/>
      <c r="CT96" s="2624"/>
    </row>
    <row r="97" spans="1:98">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1963"/>
      <c r="AH97" s="1963"/>
      <c r="AI97" s="1963"/>
      <c r="AJ97" s="1963"/>
      <c r="AK97" s="1963"/>
      <c r="AL97" s="1963"/>
      <c r="AM97" s="1963"/>
      <c r="AN97" s="1963"/>
      <c r="AO97" s="1963"/>
      <c r="AP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98"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952"/>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1952"/>
      <c r="CQ98" s="1952"/>
      <c r="CR98" s="1952"/>
      <c r="CT98" s="2624"/>
    </row>
  </sheetData>
  <mergeCells count="24">
    <mergeCell ref="CP9:CP11"/>
    <mergeCell ref="CR9:CR11"/>
    <mergeCell ref="CJ2:CN3"/>
    <mergeCell ref="CP2:CR3"/>
    <mergeCell ref="A3:B3"/>
    <mergeCell ref="BZ2:CD3"/>
    <mergeCell ref="CE2:CI3"/>
    <mergeCell ref="R2:V3"/>
    <mergeCell ref="A42:A48"/>
    <mergeCell ref="BF2:BJ3"/>
    <mergeCell ref="BK2:BO3"/>
    <mergeCell ref="BP2:BT3"/>
    <mergeCell ref="BU2:BY3"/>
    <mergeCell ref="AB2:AF3"/>
    <mergeCell ref="AG2:AK3"/>
    <mergeCell ref="AL2:AP3"/>
    <mergeCell ref="AQ2:AU3"/>
    <mergeCell ref="AV2:AZ3"/>
    <mergeCell ref="BA2:BE3"/>
    <mergeCell ref="W2:AA3"/>
    <mergeCell ref="A2:B2"/>
    <mergeCell ref="C2:G3"/>
    <mergeCell ref="H2:L3"/>
    <mergeCell ref="M2:Q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W66" activePane="bottomRight" state="frozen"/>
      <selection activeCell="Y90" sqref="Y90"/>
      <selection pane="topRight" activeCell="Y90" sqref="Y90"/>
      <selection pane="bottomLeft" activeCell="Y90" sqref="Y90"/>
      <selection pane="bottomRight" activeCell="CQ86" sqref="CQ86"/>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hidden="1" customWidth="1" outlineLevel="1" collapsed="1"/>
    <col min="19" max="22" width="13.44140625" style="1952" hidden="1" customWidth="1" outlineLevel="1"/>
    <col min="23" max="23" width="13.44140625" style="1952" customWidth="1" collapsed="1"/>
    <col min="24" max="27" width="13.44140625" style="1952" customWidth="1"/>
    <col min="28" max="31" width="12.88671875" style="1952" hidden="1" customWidth="1" outlineLevel="1"/>
    <col min="32" max="32" width="29.33203125" style="1952" hidden="1" customWidth="1" outlineLevel="1"/>
    <col min="33" max="33" width="12.88671875" style="1952" hidden="1" customWidth="1" outlineLevel="1" collapsed="1"/>
    <col min="34" max="36" width="12.88671875" style="1952" hidden="1" customWidth="1" outlineLevel="1"/>
    <col min="37" max="37" width="26.109375" style="1952" hidden="1" customWidth="1" outlineLevel="1"/>
    <col min="38" max="38" width="12.88671875" style="1952" customWidth="1" collapsed="1"/>
    <col min="39" max="41" width="12.88671875" style="1952" customWidth="1"/>
    <col min="42" max="42" width="26.109375" style="1952" customWidth="1"/>
    <col min="43" max="46" width="12.88671875" style="1952" hidden="1" customWidth="1" outlineLevel="1"/>
    <col min="47" max="47" width="26.109375" style="1952" hidden="1" customWidth="1" outlineLevel="1"/>
    <col min="48" max="51" width="12.88671875" style="1952" hidden="1" customWidth="1" outlineLevel="1"/>
    <col min="52" max="52" width="26.109375" style="1952" hidden="1" customWidth="1" outlineLevel="1"/>
    <col min="53" max="56" width="12.88671875" style="1952" hidden="1" customWidth="1" outlineLevel="1"/>
    <col min="57" max="57" width="26.109375" style="1952" hidden="1" customWidth="1" outlineLevel="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21.44140625" style="1952" customWidth="1"/>
    <col min="93" max="93" width="2.88671875" style="1395"/>
    <col min="94" max="95" width="12.88671875" style="1952" customWidth="1"/>
    <col min="96" max="96" width="14.5546875" style="1952" customWidth="1"/>
    <col min="97" max="97" width="2.88671875" style="1395" customWidth="1" outlineLevel="1"/>
    <col min="98" max="98" width="11.6640625" style="1220" customWidth="1" outlineLevel="1"/>
    <col min="99" max="99" width="8.33203125" style="1395" customWidth="1" outlineLevel="1"/>
    <col min="100" max="100" width="8.44140625" style="1395" customWidth="1" outlineLevel="1"/>
    <col min="101" max="101" width="7.6640625" style="1395" bestFit="1" customWidth="1"/>
    <col min="102" max="16384" width="2.88671875" style="1395"/>
  </cols>
  <sheetData>
    <row r="1" spans="1:98" ht="13.8" thickBot="1"/>
    <row r="2" spans="1:98" ht="13.8">
      <c r="A2" s="4834" t="s">
        <v>1876</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1991</v>
      </c>
      <c r="CK2" s="4875"/>
      <c r="CL2" s="4875"/>
      <c r="CM2" s="4875"/>
      <c r="CN2" s="4876"/>
      <c r="CP2" s="5168" t="s">
        <v>1877</v>
      </c>
      <c r="CQ2" s="5169"/>
      <c r="CR2" s="5170"/>
    </row>
    <row r="3" spans="1:98"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71"/>
      <c r="CQ3" s="5172"/>
      <c r="CR3" s="5173"/>
    </row>
    <row r="4" spans="1:98"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1474" t="s">
        <v>1850</v>
      </c>
      <c r="CQ4" s="1474" t="s">
        <v>1982</v>
      </c>
      <c r="CR4" s="1474" t="s">
        <v>1826</v>
      </c>
    </row>
    <row r="5" spans="1:98"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55000</v>
      </c>
      <c r="X5" s="1466">
        <f>X6</f>
        <v>0</v>
      </c>
      <c r="Y5" s="1466">
        <f>Y6+Y7</f>
        <v>55000</v>
      </c>
      <c r="Z5" s="1466"/>
      <c r="AA5" s="1466"/>
      <c r="AB5" s="1466">
        <f>AB6</f>
        <v>0</v>
      </c>
      <c r="AC5" s="1466">
        <f>AC6</f>
        <v>0</v>
      </c>
      <c r="AD5" s="1466">
        <f>AD6+AD7</f>
        <v>0</v>
      </c>
      <c r="AE5" s="1466"/>
      <c r="AF5" s="1466"/>
      <c r="AG5" s="1466">
        <f>AG6</f>
        <v>0</v>
      </c>
      <c r="AH5" s="1466">
        <f>AH6</f>
        <v>0</v>
      </c>
      <c r="AI5" s="1466">
        <f>AI6+AI7</f>
        <v>0</v>
      </c>
      <c r="AJ5" s="1466"/>
      <c r="AK5" s="1466"/>
      <c r="AL5" s="1466">
        <f>AL6</f>
        <v>55000</v>
      </c>
      <c r="AM5" s="1466">
        <f>AM6</f>
        <v>0</v>
      </c>
      <c r="AN5" s="1466">
        <f>AN6+AN7</f>
        <v>55000</v>
      </c>
      <c r="AO5" s="1466"/>
      <c r="AP5" s="1466"/>
      <c r="AQ5" s="1466">
        <f>AQ6</f>
        <v>0</v>
      </c>
      <c r="AR5" s="1466">
        <f>AR6</f>
        <v>0</v>
      </c>
      <c r="AS5" s="1466">
        <f>AS6+AS7</f>
        <v>0</v>
      </c>
      <c r="AT5" s="1466"/>
      <c r="AU5" s="1466"/>
      <c r="AV5" s="1466">
        <f>AV6</f>
        <v>0</v>
      </c>
      <c r="AW5" s="1466">
        <f>AW6</f>
        <v>0</v>
      </c>
      <c r="AX5" s="1466">
        <f>AX6+AX7</f>
        <v>0</v>
      </c>
      <c r="AY5" s="1466"/>
      <c r="AZ5" s="1466"/>
      <c r="BA5" s="1466">
        <f>BA6</f>
        <v>0</v>
      </c>
      <c r="BB5" s="1466">
        <f>BB6</f>
        <v>0</v>
      </c>
      <c r="BC5" s="1466">
        <f>BC6+BC7</f>
        <v>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55000</v>
      </c>
      <c r="CK5" s="1466">
        <f>CK6</f>
        <v>0</v>
      </c>
      <c r="CL5" s="1466">
        <f>CL6</f>
        <v>55000</v>
      </c>
      <c r="CM5" s="1466"/>
      <c r="CN5" s="1466"/>
      <c r="CP5" s="1955">
        <f>CP6</f>
        <v>45240</v>
      </c>
      <c r="CQ5" s="1955">
        <f>CQ6</f>
        <v>55000</v>
      </c>
      <c r="CR5" s="3440">
        <f>CR6</f>
        <v>-9760</v>
      </c>
      <c r="CT5" s="3443"/>
    </row>
    <row r="6" spans="1:98" s="1396" customFormat="1" ht="13.8"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55000</v>
      </c>
      <c r="X6" s="3342">
        <f>AC6+AH6+AM6+AW6+BB6+BG6+BL6+BQ6+BV6+CA6+CF6+AR6</f>
        <v>0</v>
      </c>
      <c r="Y6" s="2012">
        <f t="shared" ref="Y6:Y7" si="3">W6+X6</f>
        <v>55000</v>
      </c>
      <c r="Z6" s="3342"/>
      <c r="AA6" s="3342"/>
      <c r="AB6" s="3341"/>
      <c r="AC6" s="3341"/>
      <c r="AD6" s="2012">
        <f t="shared" ref="AD6:AD7" si="4">AB6+AC6</f>
        <v>0</v>
      </c>
      <c r="AE6" s="3341"/>
      <c r="AF6" s="3342"/>
      <c r="AG6" s="3341"/>
      <c r="AH6" s="3341"/>
      <c r="AI6" s="2012">
        <f t="shared" ref="AI6:AI7" si="5">AG6+AH6</f>
        <v>0</v>
      </c>
      <c r="AJ6" s="3341"/>
      <c r="AK6" s="3342"/>
      <c r="AL6" s="3341">
        <v>55000</v>
      </c>
      <c r="AM6" s="3341"/>
      <c r="AN6" s="2012">
        <f t="shared" ref="AN6:AN7" si="6">AL6+AM6</f>
        <v>55000</v>
      </c>
      <c r="AO6" s="3341"/>
      <c r="AP6" s="2046"/>
      <c r="AQ6" s="3341"/>
      <c r="AR6" s="3341"/>
      <c r="AS6" s="2012">
        <f t="shared" ref="AS6:AS7" si="7">AQ6+AR6</f>
        <v>0</v>
      </c>
      <c r="AT6" s="3341"/>
      <c r="AU6" s="3342"/>
      <c r="AV6" s="3341"/>
      <c r="AW6" s="3341"/>
      <c r="AX6" s="2012">
        <f t="shared" ref="AX6:AX7" si="8">AV6+AW6</f>
        <v>0</v>
      </c>
      <c r="AY6" s="3341"/>
      <c r="AZ6" s="3342"/>
      <c r="BA6" s="3341"/>
      <c r="BB6" s="3341"/>
      <c r="BC6" s="2012">
        <f t="shared" ref="BC6:BC7" si="9">BA6+BB6</f>
        <v>0</v>
      </c>
      <c r="BD6" s="3341"/>
      <c r="BE6" s="3342"/>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f>
        <v>55000</v>
      </c>
      <c r="CK6" s="3341">
        <f>D6+I6+N6+X6</f>
        <v>0</v>
      </c>
      <c r="CL6" s="2012">
        <f>CJ6+CK6</f>
        <v>55000</v>
      </c>
      <c r="CM6" s="3341"/>
      <c r="CN6" s="3341"/>
      <c r="CP6" s="2012">
        <v>45240</v>
      </c>
      <c r="CQ6" s="2012">
        <f>CL6</f>
        <v>55000</v>
      </c>
      <c r="CR6" s="4188">
        <f>CP6-CQ6</f>
        <v>-9760</v>
      </c>
      <c r="CS6" s="3307"/>
      <c r="CT6" s="4189">
        <f>-CR6/CP6</f>
        <v>0.21573828470380194</v>
      </c>
    </row>
    <row r="7" spans="1:98" s="1396" customFormat="1" ht="14.4" outlineLevel="1" collapsed="1" thickBot="1">
      <c r="A7" s="1571"/>
      <c r="B7" s="4072" t="s">
        <v>41</v>
      </c>
      <c r="C7" s="3341"/>
      <c r="D7" s="3341"/>
      <c r="E7" s="2012">
        <f t="shared" si="0"/>
        <v>0</v>
      </c>
      <c r="F7" s="4073"/>
      <c r="G7" s="4073"/>
      <c r="H7" s="3341"/>
      <c r="I7" s="3341"/>
      <c r="J7" s="2012">
        <f>H7+I7</f>
        <v>0</v>
      </c>
      <c r="K7" s="4073"/>
      <c r="L7" s="4073"/>
      <c r="M7" s="3341"/>
      <c r="N7" s="3341"/>
      <c r="O7" s="2012">
        <f t="shared" si="1"/>
        <v>0</v>
      </c>
      <c r="P7" s="4073"/>
      <c r="Q7" s="4073"/>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1"/>
      <c r="AC7" s="3341"/>
      <c r="AD7" s="2012">
        <f t="shared" si="4"/>
        <v>0</v>
      </c>
      <c r="AE7" s="4073"/>
      <c r="AF7" s="4073"/>
      <c r="AG7" s="3341"/>
      <c r="AH7" s="3341"/>
      <c r="AI7" s="2012">
        <f t="shared" si="5"/>
        <v>0</v>
      </c>
      <c r="AJ7" s="4073"/>
      <c r="AK7" s="4073"/>
      <c r="AL7" s="3341"/>
      <c r="AM7" s="3341"/>
      <c r="AN7" s="2012">
        <f t="shared" si="6"/>
        <v>0</v>
      </c>
      <c r="AO7" s="4073"/>
      <c r="AP7" s="4073"/>
      <c r="AQ7" s="3341"/>
      <c r="AR7" s="3341"/>
      <c r="AS7" s="2012">
        <f t="shared" si="7"/>
        <v>0</v>
      </c>
      <c r="AT7" s="4073"/>
      <c r="AU7" s="4073"/>
      <c r="AV7" s="3341"/>
      <c r="AW7" s="3341"/>
      <c r="AX7" s="2012">
        <f t="shared" si="8"/>
        <v>0</v>
      </c>
      <c r="AY7" s="4073"/>
      <c r="AZ7" s="4073"/>
      <c r="BA7" s="3341"/>
      <c r="BB7" s="3341"/>
      <c r="BC7" s="2012">
        <f t="shared" si="9"/>
        <v>0</v>
      </c>
      <c r="BD7" s="4073"/>
      <c r="BE7" s="4073"/>
      <c r="BF7" s="3341"/>
      <c r="BG7" s="3341"/>
      <c r="BH7" s="2012">
        <f t="shared" si="10"/>
        <v>0</v>
      </c>
      <c r="BI7" s="4073"/>
      <c r="BJ7" s="4073"/>
      <c r="BK7" s="3341"/>
      <c r="BL7" s="3341"/>
      <c r="BM7" s="2012">
        <f t="shared" si="11"/>
        <v>0</v>
      </c>
      <c r="BN7" s="4073"/>
      <c r="BO7" s="4073"/>
      <c r="BP7" s="3341"/>
      <c r="BQ7" s="3341"/>
      <c r="BR7" s="2012">
        <f t="shared" si="12"/>
        <v>0</v>
      </c>
      <c r="BS7" s="4073"/>
      <c r="BT7" s="4073"/>
      <c r="BU7" s="3341"/>
      <c r="BV7" s="3341"/>
      <c r="BW7" s="2012">
        <f t="shared" si="13"/>
        <v>0</v>
      </c>
      <c r="BX7" s="4073"/>
      <c r="BY7" s="4073"/>
      <c r="BZ7" s="3341"/>
      <c r="CA7" s="3341"/>
      <c r="CB7" s="2012">
        <f t="shared" si="14"/>
        <v>0</v>
      </c>
      <c r="CC7" s="4073"/>
      <c r="CD7" s="4073"/>
      <c r="CE7" s="3341"/>
      <c r="CF7" s="3341"/>
      <c r="CG7" s="2012">
        <f t="shared" si="15"/>
        <v>0</v>
      </c>
      <c r="CH7" s="4073"/>
      <c r="CI7" s="4073"/>
      <c r="CJ7" s="3341">
        <f>C7+H7+M7+W7</f>
        <v>0</v>
      </c>
      <c r="CK7" s="3341">
        <f>D7+I7+N7+X7</f>
        <v>0</v>
      </c>
      <c r="CL7" s="2012">
        <f>CJ7+CK7</f>
        <v>0</v>
      </c>
      <c r="CM7" s="4073"/>
      <c r="CN7" s="4073"/>
      <c r="CP7" s="2012"/>
      <c r="CQ7" s="2012"/>
      <c r="CR7" s="3442"/>
      <c r="CT7" s="3443"/>
    </row>
    <row r="8" spans="1:98" s="1396" customFormat="1" ht="14.4" outlineLevel="1" thickBot="1">
      <c r="A8" s="1571"/>
      <c r="B8" s="1463" t="s">
        <v>16</v>
      </c>
      <c r="C8" s="1957">
        <f>SUM(C9:C33)</f>
        <v>0</v>
      </c>
      <c r="D8" s="1957">
        <f>SUM(D9:D33)</f>
        <v>0</v>
      </c>
      <c r="E8" s="1484">
        <f>SUM(E9:E33)</f>
        <v>0</v>
      </c>
      <c r="F8" s="1528" t="e">
        <f t="shared" ref="F8:F33" si="16">E8/$E$89</f>
        <v>#DIV/0!</v>
      </c>
      <c r="G8" s="1466"/>
      <c r="H8" s="1957">
        <f>SUM(H9:H33)</f>
        <v>0</v>
      </c>
      <c r="I8" s="1957">
        <f>SUM(I9:I33)</f>
        <v>0</v>
      </c>
      <c r="J8" s="1484">
        <f>SUM(J9:J33)</f>
        <v>0</v>
      </c>
      <c r="K8" s="1528" t="e">
        <f t="shared" ref="K8" si="17">J8/$E$89</f>
        <v>#DIV/0!</v>
      </c>
      <c r="L8" s="1466"/>
      <c r="M8" s="1957">
        <f>SUM(M9:M33)</f>
        <v>0</v>
      </c>
      <c r="N8" s="1957">
        <f>SUM(N9:N33)</f>
        <v>0</v>
      </c>
      <c r="O8" s="1484">
        <f>SUM(O9:O33)</f>
        <v>0</v>
      </c>
      <c r="P8" s="1528" t="e">
        <f t="shared" ref="P8" si="18">O8/$E$89</f>
        <v>#DIV/0!</v>
      </c>
      <c r="Q8" s="1466"/>
      <c r="R8" s="1957">
        <f>SUM(R9:R33)</f>
        <v>0</v>
      </c>
      <c r="S8" s="1957">
        <f>SUM(S9:S33)</f>
        <v>0</v>
      </c>
      <c r="T8" s="1484">
        <f>SUM(T9:T33)</f>
        <v>0</v>
      </c>
      <c r="U8" s="1528"/>
      <c r="V8" s="1466"/>
      <c r="W8" s="1957">
        <f>SUM(W9:W33)</f>
        <v>22328.27</v>
      </c>
      <c r="X8" s="1957">
        <f>SUM(X9:X33)</f>
        <v>9192</v>
      </c>
      <c r="Y8" s="1484">
        <f>SUM(Y9:Y33)</f>
        <v>31520.27</v>
      </c>
      <c r="Z8" s="1528"/>
      <c r="AA8" s="1466"/>
      <c r="AB8" s="1957">
        <f>SUM(AB9:AB33)</f>
        <v>22328.27</v>
      </c>
      <c r="AC8" s="1957">
        <f>SUM(AC9:AC33)</f>
        <v>9192</v>
      </c>
      <c r="AD8" s="1484">
        <f>SUM(AD9:AD33)</f>
        <v>31520.27</v>
      </c>
      <c r="AE8" s="1528"/>
      <c r="AF8" s="1466"/>
      <c r="AG8" s="1957">
        <f>SUM(AG9:AG33)</f>
        <v>0</v>
      </c>
      <c r="AH8" s="1957">
        <f>SUM(AH9:AH33)</f>
        <v>0</v>
      </c>
      <c r="AI8" s="1484">
        <f>SUM(AI9:AI33)</f>
        <v>0</v>
      </c>
      <c r="AJ8" s="1528"/>
      <c r="AK8" s="1466"/>
      <c r="AL8" s="1957">
        <f>SUM(AL9:AL33)</f>
        <v>0</v>
      </c>
      <c r="AM8" s="1957">
        <f>SUM(AM9:AM33)</f>
        <v>0</v>
      </c>
      <c r="AN8" s="1484">
        <f>SUM(AN9:AN33)</f>
        <v>0</v>
      </c>
      <c r="AO8" s="1528"/>
      <c r="AP8" s="1466"/>
      <c r="AQ8" s="1957">
        <f>SUM(AQ9:AQ33)</f>
        <v>0</v>
      </c>
      <c r="AR8" s="1957">
        <f>SUM(AR9:AR33)</f>
        <v>0</v>
      </c>
      <c r="AS8" s="1484">
        <f>SUM(AS9:AS33)</f>
        <v>0</v>
      </c>
      <c r="AT8" s="1528"/>
      <c r="AU8" s="1466"/>
      <c r="AV8" s="1957">
        <f>SUM(AV9:AV33)</f>
        <v>0</v>
      </c>
      <c r="AW8" s="1957">
        <f>SUM(AW9:AW33)</f>
        <v>0</v>
      </c>
      <c r="AX8" s="1484">
        <f>SUM(AX9:AX33)</f>
        <v>0</v>
      </c>
      <c r="AY8" s="1528"/>
      <c r="AZ8" s="1466"/>
      <c r="BA8" s="1957">
        <f>SUM(BA9:BA33)</f>
        <v>0</v>
      </c>
      <c r="BB8" s="1957">
        <f>SUM(BB9:BB33)</f>
        <v>0</v>
      </c>
      <c r="BC8" s="1484">
        <f>SUM(BC9:BC33)</f>
        <v>0</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22328.27</v>
      </c>
      <c r="CK8" s="1957">
        <f>SUM(CK9:CK33)</f>
        <v>9192</v>
      </c>
      <c r="CL8" s="1484">
        <f>SUM(CL9:CL33)</f>
        <v>31520.27</v>
      </c>
      <c r="CM8" s="1528"/>
      <c r="CN8" s="1466"/>
      <c r="CP8" s="1484">
        <f>SUM(CP9:CP33)</f>
        <v>32281.7</v>
      </c>
      <c r="CQ8" s="1484">
        <f>SUM(CQ9:CQ33)</f>
        <v>31520.27</v>
      </c>
      <c r="CR8" s="3440">
        <f>SUM(CR9:CR33)</f>
        <v>761.4300000000012</v>
      </c>
      <c r="CT8" s="3443"/>
    </row>
    <row r="9" spans="1:98" s="1396" customFormat="1" ht="13.8" outlineLevel="2">
      <c r="A9" s="1571"/>
      <c r="B9" s="1424" t="s">
        <v>74</v>
      </c>
      <c r="C9" s="3341"/>
      <c r="D9" s="3341"/>
      <c r="E9" s="3349">
        <f t="shared" ref="E9:E32" si="19">C9+D9</f>
        <v>0</v>
      </c>
      <c r="F9" s="4074" t="e">
        <f t="shared" si="16"/>
        <v>#DIV/0!</v>
      </c>
      <c r="G9" s="2047"/>
      <c r="H9" s="3341"/>
      <c r="I9" s="3341"/>
      <c r="J9" s="3349">
        <f t="shared" ref="J9:J32" si="20">H9+I9</f>
        <v>0</v>
      </c>
      <c r="K9" s="4074" t="e">
        <f>J9/J$89</f>
        <v>#DIV/0!</v>
      </c>
      <c r="L9" s="2047"/>
      <c r="M9" s="3341"/>
      <c r="N9" s="3341"/>
      <c r="O9" s="3349">
        <f t="shared" ref="O9:O32" si="21">M9+N9</f>
        <v>0</v>
      </c>
      <c r="P9" s="4074" t="e">
        <f t="shared" ref="P9:P33" si="22">O9/O$89</f>
        <v>#DIV/0!</v>
      </c>
      <c r="Q9" s="2047"/>
      <c r="R9" s="3342">
        <f t="shared" ref="R9:S33" si="23">M9+H9+C9</f>
        <v>0</v>
      </c>
      <c r="S9" s="3342">
        <f t="shared" si="23"/>
        <v>0</v>
      </c>
      <c r="T9" s="2012">
        <f t="shared" ref="T9:T33" si="24">R9+S9</f>
        <v>0</v>
      </c>
      <c r="U9" s="2047"/>
      <c r="V9" s="2047"/>
      <c r="W9" s="3342">
        <f t="shared" ref="W9:X33" si="25">AB9+AG9+AL9+AV9+BA9+BF9+BK9+BP9+BU9+BZ9+CE9+AQ9</f>
        <v>14733</v>
      </c>
      <c r="X9" s="3342">
        <f t="shared" si="25"/>
        <v>9192</v>
      </c>
      <c r="Y9" s="2012">
        <f t="shared" ref="Y9:Y33" si="26">W9+X9</f>
        <v>23925</v>
      </c>
      <c r="Z9" s="2047"/>
      <c r="AA9" s="2047"/>
      <c r="AB9" s="3341">
        <v>14733</v>
      </c>
      <c r="AC9" s="3341">
        <v>9192</v>
      </c>
      <c r="AD9" s="3349">
        <f t="shared" ref="AD9:AD32" si="27">AB9+AC9</f>
        <v>23925</v>
      </c>
      <c r="AE9" s="4074">
        <f>AD9/AD$89</f>
        <v>0.72463454592838472</v>
      </c>
      <c r="AF9" s="2047"/>
      <c r="AG9" s="3341"/>
      <c r="AH9" s="3341"/>
      <c r="AI9" s="3349">
        <f t="shared" ref="AI9:AI32" si="28">AG9+AH9</f>
        <v>0</v>
      </c>
      <c r="AJ9" s="4074" t="e">
        <f>AI9/AI$89</f>
        <v>#DIV/0!</v>
      </c>
      <c r="AK9" s="2047"/>
      <c r="AL9" s="3341"/>
      <c r="AM9" s="3341"/>
      <c r="AN9" s="3349">
        <f t="shared" ref="AN9:AN32" si="29">AL9+AM9</f>
        <v>0</v>
      </c>
      <c r="AO9" s="4074" t="e">
        <f>AN9/AN$89</f>
        <v>#DIV/0!</v>
      </c>
      <c r="AP9" s="2047"/>
      <c r="AQ9" s="3341"/>
      <c r="AR9" s="3341"/>
      <c r="AS9" s="3349">
        <f t="shared" ref="AS9:AS32" si="30">AQ9+AR9</f>
        <v>0</v>
      </c>
      <c r="AT9" s="4074" t="e">
        <f>AS9/AS$89</f>
        <v>#DIV/0!</v>
      </c>
      <c r="AU9" s="2047"/>
      <c r="AV9" s="3341"/>
      <c r="AW9" s="3341"/>
      <c r="AX9" s="3349">
        <f t="shared" ref="AX9:AX32" si="31">AV9+AW9</f>
        <v>0</v>
      </c>
      <c r="AY9" s="4074" t="e">
        <f>AX9/AX$89</f>
        <v>#DIV/0!</v>
      </c>
      <c r="AZ9" s="2047"/>
      <c r="BA9" s="3341"/>
      <c r="BB9" s="3341"/>
      <c r="BC9" s="3349">
        <f t="shared" ref="BC9:BC32" si="32">BA9+BB9</f>
        <v>0</v>
      </c>
      <c r="BD9" s="4074" t="e">
        <f>BC9/BC$89</f>
        <v>#DIV/0!</v>
      </c>
      <c r="BE9" s="2047"/>
      <c r="BF9" s="3341"/>
      <c r="BG9" s="3341"/>
      <c r="BH9" s="3349">
        <f t="shared" ref="BH9:BH32" si="33">BF9+BG9</f>
        <v>0</v>
      </c>
      <c r="BI9" s="4074" t="e">
        <f>BH9/BH$89</f>
        <v>#DIV/0!</v>
      </c>
      <c r="BJ9" s="2047"/>
      <c r="BK9" s="3341"/>
      <c r="BL9" s="3341"/>
      <c r="BM9" s="3349">
        <f t="shared" ref="BM9:BM32" si="34">BK9+BL9</f>
        <v>0</v>
      </c>
      <c r="BN9" s="4074" t="e">
        <f>BM9/BM$89</f>
        <v>#DIV/0!</v>
      </c>
      <c r="BO9" s="2047"/>
      <c r="BP9" s="3341"/>
      <c r="BQ9" s="3341"/>
      <c r="BR9" s="3349">
        <f t="shared" ref="BR9:BR32" si="35">BP9+BQ9</f>
        <v>0</v>
      </c>
      <c r="BS9" s="4074" t="e">
        <f>BR9/BR$89</f>
        <v>#DIV/0!</v>
      </c>
      <c r="BT9" s="2047"/>
      <c r="BU9" s="3341"/>
      <c r="BV9" s="3341"/>
      <c r="BW9" s="3349">
        <f t="shared" ref="BW9:BW32" si="36">BU9+BV9</f>
        <v>0</v>
      </c>
      <c r="BX9" s="4074" t="e">
        <f>BW9/BW$89</f>
        <v>#DIV/0!</v>
      </c>
      <c r="BY9" s="2047"/>
      <c r="BZ9" s="3341"/>
      <c r="CA9" s="3341"/>
      <c r="CB9" s="3349">
        <f t="shared" ref="CB9:CB32" si="37">BZ9+CA9</f>
        <v>0</v>
      </c>
      <c r="CC9" s="4074" t="e">
        <f>CB9/CB$89</f>
        <v>#DIV/0!</v>
      </c>
      <c r="CD9" s="2047"/>
      <c r="CE9" s="3341"/>
      <c r="CF9" s="3341"/>
      <c r="CG9" s="3349">
        <f t="shared" ref="CG9:CG32" si="38">CE9+CF9</f>
        <v>0</v>
      </c>
      <c r="CH9" s="4074" t="e">
        <f>CG9/CG$89</f>
        <v>#DIV/0!</v>
      </c>
      <c r="CI9" s="2047"/>
      <c r="CJ9" s="3341">
        <f t="shared" ref="CJ9:CK33" si="39">C9+H9+M9+W9</f>
        <v>14733</v>
      </c>
      <c r="CK9" s="3341">
        <f t="shared" si="39"/>
        <v>9192</v>
      </c>
      <c r="CL9" s="3349">
        <f>CJ9+CK9*1</f>
        <v>23925</v>
      </c>
      <c r="CM9" s="4074">
        <f t="shared" ref="CM9:CM33" si="40">CL9/$CL$89</f>
        <v>0.72463454592838472</v>
      </c>
      <c r="CN9" s="1434"/>
      <c r="CP9" s="5177">
        <v>26215.4</v>
      </c>
      <c r="CQ9" s="2012">
        <f t="shared" ref="CQ9:CQ32" si="41">CL9</f>
        <v>23925</v>
      </c>
      <c r="CR9" s="5174">
        <f>CP9-SUM(CQ9:CQ11)</f>
        <v>-5304.869999999999</v>
      </c>
      <c r="CS9" s="3307"/>
      <c r="CT9" s="4189">
        <f>CR9/CP9</f>
        <v>-0.20235701152757535</v>
      </c>
    </row>
    <row r="10" spans="1:98" s="1396" customFormat="1" ht="13.8" outlineLevel="2">
      <c r="A10" s="1571"/>
      <c r="B10" s="1424" t="s">
        <v>72</v>
      </c>
      <c r="C10" s="3341"/>
      <c r="D10" s="3341"/>
      <c r="E10" s="3349">
        <f t="shared" si="19"/>
        <v>0</v>
      </c>
      <c r="F10" s="4074" t="e">
        <f t="shared" si="16"/>
        <v>#DIV/0!</v>
      </c>
      <c r="G10" s="2047"/>
      <c r="H10" s="3341"/>
      <c r="I10" s="3341"/>
      <c r="J10" s="3349">
        <f t="shared" si="20"/>
        <v>0</v>
      </c>
      <c r="K10" s="4074" t="e">
        <f t="shared" ref="K10:K33" si="42">J10/J$89</f>
        <v>#DIV/0!</v>
      </c>
      <c r="L10" s="2047"/>
      <c r="M10" s="3341"/>
      <c r="N10" s="3341"/>
      <c r="O10" s="3349">
        <f t="shared" si="21"/>
        <v>0</v>
      </c>
      <c r="P10" s="4074" t="e">
        <f t="shared" si="22"/>
        <v>#DIV/0!</v>
      </c>
      <c r="Q10" s="2047"/>
      <c r="R10" s="3342">
        <f t="shared" si="23"/>
        <v>0</v>
      </c>
      <c r="S10" s="3342">
        <f t="shared" si="23"/>
        <v>0</v>
      </c>
      <c r="T10" s="2012">
        <f t="shared" si="24"/>
        <v>0</v>
      </c>
      <c r="U10" s="2047"/>
      <c r="V10" s="2047"/>
      <c r="W10" s="3342">
        <f t="shared" si="25"/>
        <v>3568.86</v>
      </c>
      <c r="X10" s="3342">
        <f t="shared" si="25"/>
        <v>0</v>
      </c>
      <c r="Y10" s="2012">
        <f t="shared" si="26"/>
        <v>3568.86</v>
      </c>
      <c r="Z10" s="2047"/>
      <c r="AA10" s="2047"/>
      <c r="AB10" s="3341">
        <v>3568.86</v>
      </c>
      <c r="AC10" s="3341"/>
      <c r="AD10" s="3349">
        <f t="shared" si="27"/>
        <v>3568.86</v>
      </c>
      <c r="AE10" s="4074">
        <f t="shared" ref="AE10:AE33" si="43">AD10/AD$89</f>
        <v>0.10809275843602822</v>
      </c>
      <c r="AF10" s="2047"/>
      <c r="AG10" s="3341"/>
      <c r="AH10" s="3341"/>
      <c r="AI10" s="3349">
        <f t="shared" si="28"/>
        <v>0</v>
      </c>
      <c r="AJ10" s="4074" t="e">
        <f t="shared" ref="AJ10:AJ33" si="44">AI10/AI$89</f>
        <v>#DIV/0!</v>
      </c>
      <c r="AK10" s="2047"/>
      <c r="AL10" s="3341"/>
      <c r="AM10" s="3341"/>
      <c r="AN10" s="3349">
        <f t="shared" si="29"/>
        <v>0</v>
      </c>
      <c r="AO10" s="4074" t="e">
        <f t="shared" ref="AO10:AO33" si="45">AN10/AN$89</f>
        <v>#DIV/0!</v>
      </c>
      <c r="AP10" s="2047"/>
      <c r="AQ10" s="3341"/>
      <c r="AR10" s="3341"/>
      <c r="AS10" s="3349">
        <f t="shared" si="30"/>
        <v>0</v>
      </c>
      <c r="AT10" s="4074" t="e">
        <f t="shared" ref="AT10:AT33" si="46">AS10/AS$89</f>
        <v>#DIV/0!</v>
      </c>
      <c r="AU10" s="2047"/>
      <c r="AV10" s="3341"/>
      <c r="AW10" s="3341"/>
      <c r="AX10" s="3349">
        <f t="shared" si="31"/>
        <v>0</v>
      </c>
      <c r="AY10" s="4074" t="e">
        <f t="shared" ref="AY10:AY33" si="47">AX10/AX$89</f>
        <v>#DIV/0!</v>
      </c>
      <c r="AZ10" s="2047"/>
      <c r="BA10" s="3341"/>
      <c r="BB10" s="3341"/>
      <c r="BC10" s="3349">
        <f t="shared" si="32"/>
        <v>0</v>
      </c>
      <c r="BD10" s="4074" t="e">
        <f t="shared" ref="BD10:BD33" si="48">BC10/BC$89</f>
        <v>#DIV/0!</v>
      </c>
      <c r="BE10" s="2047"/>
      <c r="BF10" s="3341"/>
      <c r="BG10" s="3341"/>
      <c r="BH10" s="3349">
        <f t="shared" si="33"/>
        <v>0</v>
      </c>
      <c r="BI10" s="4074" t="e">
        <f t="shared" ref="BI10:BI33" si="49">BH10/BH$89</f>
        <v>#DIV/0!</v>
      </c>
      <c r="BJ10" s="2047"/>
      <c r="BK10" s="3341"/>
      <c r="BL10" s="3341"/>
      <c r="BM10" s="3349">
        <f t="shared" si="34"/>
        <v>0</v>
      </c>
      <c r="BN10" s="4074" t="e">
        <f t="shared" ref="BN10:BN33" si="50">BM10/BM$89</f>
        <v>#DIV/0!</v>
      </c>
      <c r="BO10" s="2047"/>
      <c r="BP10" s="3341"/>
      <c r="BQ10" s="3341"/>
      <c r="BR10" s="3349">
        <f t="shared" si="35"/>
        <v>0</v>
      </c>
      <c r="BS10" s="4074" t="e">
        <f t="shared" ref="BS10:BS33" si="51">BR10/BR$89</f>
        <v>#DIV/0!</v>
      </c>
      <c r="BT10" s="2047"/>
      <c r="BU10" s="3341"/>
      <c r="BV10" s="3341"/>
      <c r="BW10" s="3349">
        <f t="shared" si="36"/>
        <v>0</v>
      </c>
      <c r="BX10" s="4074" t="e">
        <f t="shared" ref="BX10:BX33" si="52">BW10/BW$89</f>
        <v>#DIV/0!</v>
      </c>
      <c r="BY10" s="2047"/>
      <c r="BZ10" s="3341"/>
      <c r="CA10" s="3341"/>
      <c r="CB10" s="3349">
        <f t="shared" si="37"/>
        <v>0</v>
      </c>
      <c r="CC10" s="4074" t="e">
        <f t="shared" ref="CC10:CC33" si="53">CB10/CB$89</f>
        <v>#DIV/0!</v>
      </c>
      <c r="CD10" s="2047"/>
      <c r="CE10" s="3341"/>
      <c r="CF10" s="3341"/>
      <c r="CG10" s="3349">
        <f t="shared" si="38"/>
        <v>0</v>
      </c>
      <c r="CH10" s="4074" t="e">
        <f t="shared" ref="CH10:CH33" si="54">CG10/CG$89</f>
        <v>#DIV/0!</v>
      </c>
      <c r="CI10" s="2047"/>
      <c r="CJ10" s="3341">
        <f t="shared" si="39"/>
        <v>3568.86</v>
      </c>
      <c r="CK10" s="3341">
        <f t="shared" si="39"/>
        <v>0</v>
      </c>
      <c r="CL10" s="3349">
        <f t="shared" ref="CL10:CL33" si="55">CJ10+CK10*1</f>
        <v>3568.86</v>
      </c>
      <c r="CM10" s="4074">
        <f t="shared" si="40"/>
        <v>0.10809275843602822</v>
      </c>
      <c r="CN10" s="1434"/>
      <c r="CP10" s="5178"/>
      <c r="CQ10" s="2012">
        <f t="shared" si="41"/>
        <v>3568.86</v>
      </c>
      <c r="CR10" s="5175"/>
      <c r="CT10" s="3443"/>
    </row>
    <row r="11" spans="1:98" s="1396" customFormat="1" ht="13.8" outlineLevel="2">
      <c r="A11" s="1571"/>
      <c r="B11" s="1424" t="s">
        <v>69</v>
      </c>
      <c r="C11" s="3341"/>
      <c r="D11" s="3341"/>
      <c r="E11" s="3349">
        <f t="shared" si="19"/>
        <v>0</v>
      </c>
      <c r="F11" s="4074" t="e">
        <f t="shared" si="16"/>
        <v>#DIV/0!</v>
      </c>
      <c r="G11" s="1055"/>
      <c r="H11" s="3341"/>
      <c r="I11" s="3341"/>
      <c r="J11" s="3349">
        <f t="shared" si="20"/>
        <v>0</v>
      </c>
      <c r="K11" s="4074" t="e">
        <f t="shared" si="42"/>
        <v>#DIV/0!</v>
      </c>
      <c r="L11" s="1055"/>
      <c r="M11" s="3341"/>
      <c r="N11" s="3341"/>
      <c r="O11" s="3349">
        <f t="shared" si="21"/>
        <v>0</v>
      </c>
      <c r="P11" s="4074" t="e">
        <f t="shared" si="22"/>
        <v>#DIV/0!</v>
      </c>
      <c r="Q11" s="1055"/>
      <c r="R11" s="3342">
        <f t="shared" si="23"/>
        <v>0</v>
      </c>
      <c r="S11" s="3342">
        <f t="shared" si="23"/>
        <v>0</v>
      </c>
      <c r="T11" s="2012">
        <f t="shared" si="24"/>
        <v>0</v>
      </c>
      <c r="U11" s="1055"/>
      <c r="V11" s="1055"/>
      <c r="W11" s="3342">
        <f t="shared" si="25"/>
        <v>4026.41</v>
      </c>
      <c r="X11" s="3342">
        <f t="shared" si="25"/>
        <v>0</v>
      </c>
      <c r="Y11" s="2012">
        <f t="shared" si="26"/>
        <v>4026.41</v>
      </c>
      <c r="Z11" s="1055"/>
      <c r="AA11" s="1055"/>
      <c r="AB11" s="3341">
        <v>4026.41</v>
      </c>
      <c r="AC11" s="3341"/>
      <c r="AD11" s="3349">
        <f t="shared" si="27"/>
        <v>4026.41</v>
      </c>
      <c r="AE11" s="4074">
        <f t="shared" si="43"/>
        <v>0.12195092088073176</v>
      </c>
      <c r="AF11" s="1055"/>
      <c r="AG11" s="3341"/>
      <c r="AH11" s="3341"/>
      <c r="AI11" s="3349">
        <f t="shared" si="28"/>
        <v>0</v>
      </c>
      <c r="AJ11" s="4074" t="e">
        <f t="shared" si="44"/>
        <v>#DIV/0!</v>
      </c>
      <c r="AK11" s="1055"/>
      <c r="AL11" s="3341"/>
      <c r="AM11" s="3341"/>
      <c r="AN11" s="3349">
        <f t="shared" si="29"/>
        <v>0</v>
      </c>
      <c r="AO11" s="4074" t="e">
        <f t="shared" si="45"/>
        <v>#DIV/0!</v>
      </c>
      <c r="AP11" s="1055"/>
      <c r="AQ11" s="3341"/>
      <c r="AR11" s="3341"/>
      <c r="AS11" s="3349">
        <f t="shared" si="30"/>
        <v>0</v>
      </c>
      <c r="AT11" s="4074" t="e">
        <f t="shared" si="46"/>
        <v>#DIV/0!</v>
      </c>
      <c r="AU11" s="1055"/>
      <c r="AV11" s="3341"/>
      <c r="AW11" s="3341"/>
      <c r="AX11" s="3349">
        <f t="shared" si="31"/>
        <v>0</v>
      </c>
      <c r="AY11" s="4074" t="e">
        <f t="shared" si="47"/>
        <v>#DIV/0!</v>
      </c>
      <c r="AZ11" s="1055"/>
      <c r="BA11" s="3341"/>
      <c r="BB11" s="3341"/>
      <c r="BC11" s="3349">
        <f t="shared" si="32"/>
        <v>0</v>
      </c>
      <c r="BD11" s="4074" t="e">
        <f t="shared" si="48"/>
        <v>#DIV/0!</v>
      </c>
      <c r="BE11" s="1055"/>
      <c r="BF11" s="3341"/>
      <c r="BG11" s="3341"/>
      <c r="BH11" s="3349">
        <f t="shared" si="33"/>
        <v>0</v>
      </c>
      <c r="BI11" s="4074" t="e">
        <f t="shared" si="49"/>
        <v>#DIV/0!</v>
      </c>
      <c r="BJ11" s="1055"/>
      <c r="BK11" s="3341"/>
      <c r="BL11" s="3341"/>
      <c r="BM11" s="3349">
        <f t="shared" si="34"/>
        <v>0</v>
      </c>
      <c r="BN11" s="4074" t="e">
        <f t="shared" si="50"/>
        <v>#DIV/0!</v>
      </c>
      <c r="BO11" s="1055"/>
      <c r="BP11" s="3341"/>
      <c r="BQ11" s="3341"/>
      <c r="BR11" s="3349">
        <f t="shared" si="35"/>
        <v>0</v>
      </c>
      <c r="BS11" s="4074" t="e">
        <f t="shared" si="51"/>
        <v>#DIV/0!</v>
      </c>
      <c r="BT11" s="1055"/>
      <c r="BU11" s="3341"/>
      <c r="BV11" s="3341"/>
      <c r="BW11" s="3349">
        <f t="shared" si="36"/>
        <v>0</v>
      </c>
      <c r="BX11" s="4074" t="e">
        <f t="shared" si="52"/>
        <v>#DIV/0!</v>
      </c>
      <c r="BY11" s="1055"/>
      <c r="BZ11" s="3341"/>
      <c r="CA11" s="3341"/>
      <c r="CB11" s="3349">
        <f t="shared" si="37"/>
        <v>0</v>
      </c>
      <c r="CC11" s="4074" t="e">
        <f t="shared" si="53"/>
        <v>#DIV/0!</v>
      </c>
      <c r="CD11" s="1055"/>
      <c r="CE11" s="3341"/>
      <c r="CF11" s="3341"/>
      <c r="CG11" s="3349">
        <f t="shared" si="38"/>
        <v>0</v>
      </c>
      <c r="CH11" s="4074" t="e">
        <f t="shared" si="54"/>
        <v>#DIV/0!</v>
      </c>
      <c r="CI11" s="1055"/>
      <c r="CJ11" s="3341">
        <f t="shared" si="39"/>
        <v>4026.41</v>
      </c>
      <c r="CK11" s="3341">
        <f t="shared" si="39"/>
        <v>0</v>
      </c>
      <c r="CL11" s="3349">
        <f t="shared" si="55"/>
        <v>4026.41</v>
      </c>
      <c r="CM11" s="4074">
        <f t="shared" si="40"/>
        <v>0.12195092088073176</v>
      </c>
      <c r="CN11" s="1434"/>
      <c r="CP11" s="5179"/>
      <c r="CQ11" s="2012">
        <f t="shared" si="41"/>
        <v>4026.41</v>
      </c>
      <c r="CR11" s="5176"/>
      <c r="CT11" s="3443"/>
    </row>
    <row r="12" spans="1:98" s="1396" customFormat="1" ht="13.8" outlineLevel="2">
      <c r="A12" s="1571"/>
      <c r="B12" s="1424" t="s">
        <v>73</v>
      </c>
      <c r="C12" s="3341"/>
      <c r="D12" s="3341"/>
      <c r="E12" s="3349">
        <f t="shared" si="19"/>
        <v>0</v>
      </c>
      <c r="F12" s="4074" t="e">
        <f t="shared" si="16"/>
        <v>#DIV/0!</v>
      </c>
      <c r="G12" s="1055"/>
      <c r="H12" s="3341"/>
      <c r="I12" s="3341"/>
      <c r="J12" s="3349">
        <f t="shared" si="20"/>
        <v>0</v>
      </c>
      <c r="K12" s="4074" t="e">
        <f t="shared" si="42"/>
        <v>#DIV/0!</v>
      </c>
      <c r="L12" s="1055"/>
      <c r="M12" s="3341"/>
      <c r="N12" s="3341"/>
      <c r="O12" s="3349">
        <f t="shared" si="21"/>
        <v>0</v>
      </c>
      <c r="P12" s="4074" t="e">
        <f t="shared" si="22"/>
        <v>#DIV/0!</v>
      </c>
      <c r="Q12" s="1055"/>
      <c r="R12" s="3342">
        <f t="shared" si="23"/>
        <v>0</v>
      </c>
      <c r="S12" s="3342">
        <f t="shared" si="23"/>
        <v>0</v>
      </c>
      <c r="T12" s="2012">
        <f t="shared" si="24"/>
        <v>0</v>
      </c>
      <c r="U12" s="1055"/>
      <c r="V12" s="1055"/>
      <c r="W12" s="3342">
        <f t="shared" si="25"/>
        <v>0</v>
      </c>
      <c r="X12" s="3342">
        <f t="shared" si="25"/>
        <v>0</v>
      </c>
      <c r="Y12" s="2012">
        <f t="shared" si="26"/>
        <v>0</v>
      </c>
      <c r="Z12" s="1055"/>
      <c r="AA12" s="1055"/>
      <c r="AB12" s="3341"/>
      <c r="AC12" s="3341"/>
      <c r="AD12" s="3349">
        <f t="shared" si="27"/>
        <v>0</v>
      </c>
      <c r="AE12" s="4074">
        <f t="shared" si="43"/>
        <v>0</v>
      </c>
      <c r="AF12" s="1055"/>
      <c r="AG12" s="3341"/>
      <c r="AH12" s="3341"/>
      <c r="AI12" s="3349">
        <f t="shared" si="28"/>
        <v>0</v>
      </c>
      <c r="AJ12" s="4074" t="e">
        <f t="shared" si="44"/>
        <v>#DIV/0!</v>
      </c>
      <c r="AK12" s="1055"/>
      <c r="AL12" s="3341"/>
      <c r="AM12" s="3341"/>
      <c r="AN12" s="3349">
        <f t="shared" si="29"/>
        <v>0</v>
      </c>
      <c r="AO12" s="4074" t="e">
        <f t="shared" si="45"/>
        <v>#DIV/0!</v>
      </c>
      <c r="AP12" s="1055"/>
      <c r="AQ12" s="3341"/>
      <c r="AR12" s="3341"/>
      <c r="AS12" s="3349">
        <f t="shared" si="30"/>
        <v>0</v>
      </c>
      <c r="AT12" s="4074" t="e">
        <f t="shared" si="46"/>
        <v>#DIV/0!</v>
      </c>
      <c r="AU12" s="1055"/>
      <c r="AV12" s="3341"/>
      <c r="AW12" s="3341"/>
      <c r="AX12" s="3349">
        <f t="shared" si="31"/>
        <v>0</v>
      </c>
      <c r="AY12" s="4074" t="e">
        <f t="shared" si="47"/>
        <v>#DIV/0!</v>
      </c>
      <c r="AZ12" s="1055"/>
      <c r="BA12" s="3341"/>
      <c r="BB12" s="3341"/>
      <c r="BC12" s="3349">
        <f t="shared" si="32"/>
        <v>0</v>
      </c>
      <c r="BD12" s="4074" t="e">
        <f t="shared" si="48"/>
        <v>#DIV/0!</v>
      </c>
      <c r="BE12" s="1055"/>
      <c r="BF12" s="3341"/>
      <c r="BG12" s="3341"/>
      <c r="BH12" s="3349">
        <f t="shared" si="33"/>
        <v>0</v>
      </c>
      <c r="BI12" s="4074" t="e">
        <f t="shared" si="49"/>
        <v>#DIV/0!</v>
      </c>
      <c r="BJ12" s="1055"/>
      <c r="BK12" s="3341"/>
      <c r="BL12" s="3341"/>
      <c r="BM12" s="3349">
        <f t="shared" si="34"/>
        <v>0</v>
      </c>
      <c r="BN12" s="4074" t="e">
        <f t="shared" si="50"/>
        <v>#DIV/0!</v>
      </c>
      <c r="BO12" s="1055"/>
      <c r="BP12" s="3341"/>
      <c r="BQ12" s="3341"/>
      <c r="BR12" s="3349">
        <f t="shared" si="35"/>
        <v>0</v>
      </c>
      <c r="BS12" s="4074" t="e">
        <f t="shared" si="51"/>
        <v>#DIV/0!</v>
      </c>
      <c r="BT12" s="1055"/>
      <c r="BU12" s="3341"/>
      <c r="BV12" s="3341"/>
      <c r="BW12" s="3349">
        <f t="shared" si="36"/>
        <v>0</v>
      </c>
      <c r="BX12" s="4074" t="e">
        <f t="shared" si="52"/>
        <v>#DIV/0!</v>
      </c>
      <c r="BY12" s="1055"/>
      <c r="BZ12" s="3341"/>
      <c r="CA12" s="3341"/>
      <c r="CB12" s="3349">
        <f t="shared" si="37"/>
        <v>0</v>
      </c>
      <c r="CC12" s="4074" t="e">
        <f t="shared" si="53"/>
        <v>#DIV/0!</v>
      </c>
      <c r="CD12" s="1055"/>
      <c r="CE12" s="3341"/>
      <c r="CF12" s="3341"/>
      <c r="CG12" s="3349">
        <f t="shared" si="38"/>
        <v>0</v>
      </c>
      <c r="CH12" s="4074" t="e">
        <f t="shared" si="54"/>
        <v>#DIV/0!</v>
      </c>
      <c r="CI12" s="1055"/>
      <c r="CJ12" s="3341">
        <f t="shared" si="39"/>
        <v>0</v>
      </c>
      <c r="CK12" s="3341">
        <f t="shared" si="39"/>
        <v>0</v>
      </c>
      <c r="CL12" s="3349">
        <f t="shared" si="55"/>
        <v>0</v>
      </c>
      <c r="CM12" s="4074">
        <f t="shared" si="40"/>
        <v>0</v>
      </c>
      <c r="CN12" s="1434"/>
      <c r="CP12" s="4186"/>
      <c r="CQ12" s="2012">
        <f t="shared" si="41"/>
        <v>0</v>
      </c>
      <c r="CR12" s="4188">
        <f t="shared" ref="CR12:CR33" si="56">CP12-CQ12</f>
        <v>0</v>
      </c>
      <c r="CT12" s="3443"/>
    </row>
    <row r="13" spans="1:98" s="1396" customFormat="1" ht="13.8" outlineLevel="2">
      <c r="A13" s="1571"/>
      <c r="B13" s="1424" t="s">
        <v>71</v>
      </c>
      <c r="C13" s="3341"/>
      <c r="D13" s="3341"/>
      <c r="E13" s="3349">
        <f t="shared" si="19"/>
        <v>0</v>
      </c>
      <c r="F13" s="4074" t="e">
        <f t="shared" si="16"/>
        <v>#DIV/0!</v>
      </c>
      <c r="G13" s="1055"/>
      <c r="H13" s="3341"/>
      <c r="I13" s="3341"/>
      <c r="J13" s="3349">
        <f t="shared" si="20"/>
        <v>0</v>
      </c>
      <c r="K13" s="4074" t="e">
        <f t="shared" si="42"/>
        <v>#DIV/0!</v>
      </c>
      <c r="L13" s="1055"/>
      <c r="M13" s="3341"/>
      <c r="N13" s="3341"/>
      <c r="O13" s="3349">
        <f t="shared" si="21"/>
        <v>0</v>
      </c>
      <c r="P13" s="4074" t="e">
        <f t="shared" si="22"/>
        <v>#DIV/0!</v>
      </c>
      <c r="Q13" s="1055"/>
      <c r="R13" s="3342">
        <f t="shared" si="23"/>
        <v>0</v>
      </c>
      <c r="S13" s="3342">
        <f t="shared" si="23"/>
        <v>0</v>
      </c>
      <c r="T13" s="2012">
        <f t="shared" si="24"/>
        <v>0</v>
      </c>
      <c r="U13" s="1055"/>
      <c r="V13" s="1055"/>
      <c r="W13" s="3342">
        <f t="shared" si="25"/>
        <v>0</v>
      </c>
      <c r="X13" s="3342">
        <f t="shared" si="25"/>
        <v>0</v>
      </c>
      <c r="Y13" s="2012">
        <f t="shared" si="26"/>
        <v>0</v>
      </c>
      <c r="Z13" s="1055"/>
      <c r="AA13" s="1055"/>
      <c r="AB13" s="3341"/>
      <c r="AC13" s="3341"/>
      <c r="AD13" s="3349">
        <f t="shared" si="27"/>
        <v>0</v>
      </c>
      <c r="AE13" s="4074">
        <f t="shared" si="43"/>
        <v>0</v>
      </c>
      <c r="AF13" s="1055"/>
      <c r="AG13" s="3341"/>
      <c r="AH13" s="3341"/>
      <c r="AI13" s="3349">
        <f t="shared" si="28"/>
        <v>0</v>
      </c>
      <c r="AJ13" s="4074" t="e">
        <f t="shared" si="44"/>
        <v>#DIV/0!</v>
      </c>
      <c r="AK13" s="1055"/>
      <c r="AL13" s="3341"/>
      <c r="AM13" s="3341"/>
      <c r="AN13" s="3349">
        <f t="shared" si="29"/>
        <v>0</v>
      </c>
      <c r="AO13" s="4074" t="e">
        <f t="shared" si="45"/>
        <v>#DIV/0!</v>
      </c>
      <c r="AP13" s="1055"/>
      <c r="AQ13" s="3341"/>
      <c r="AR13" s="3341"/>
      <c r="AS13" s="3349">
        <f t="shared" si="30"/>
        <v>0</v>
      </c>
      <c r="AT13" s="4074" t="e">
        <f t="shared" si="46"/>
        <v>#DIV/0!</v>
      </c>
      <c r="AU13" s="1055"/>
      <c r="AV13" s="3341"/>
      <c r="AW13" s="3341"/>
      <c r="AX13" s="3349">
        <f t="shared" si="31"/>
        <v>0</v>
      </c>
      <c r="AY13" s="4074" t="e">
        <f t="shared" si="47"/>
        <v>#DIV/0!</v>
      </c>
      <c r="AZ13" s="1055"/>
      <c r="BA13" s="3341"/>
      <c r="BB13" s="3341"/>
      <c r="BC13" s="3349">
        <f t="shared" si="32"/>
        <v>0</v>
      </c>
      <c r="BD13" s="4074" t="e">
        <f t="shared" si="48"/>
        <v>#DIV/0!</v>
      </c>
      <c r="BE13" s="1055"/>
      <c r="BF13" s="3341"/>
      <c r="BG13" s="3341"/>
      <c r="BH13" s="3349">
        <f t="shared" si="33"/>
        <v>0</v>
      </c>
      <c r="BI13" s="4074" t="e">
        <f t="shared" si="49"/>
        <v>#DIV/0!</v>
      </c>
      <c r="BJ13" s="1055"/>
      <c r="BK13" s="3341"/>
      <c r="BL13" s="3341"/>
      <c r="BM13" s="3349">
        <f t="shared" si="34"/>
        <v>0</v>
      </c>
      <c r="BN13" s="4074" t="e">
        <f t="shared" si="50"/>
        <v>#DIV/0!</v>
      </c>
      <c r="BO13" s="1055"/>
      <c r="BP13" s="3341"/>
      <c r="BQ13" s="3341"/>
      <c r="BR13" s="3349">
        <f t="shared" si="35"/>
        <v>0</v>
      </c>
      <c r="BS13" s="4074" t="e">
        <f t="shared" si="51"/>
        <v>#DIV/0!</v>
      </c>
      <c r="BT13" s="1055"/>
      <c r="BU13" s="3341"/>
      <c r="BV13" s="3341"/>
      <c r="BW13" s="3349">
        <f t="shared" si="36"/>
        <v>0</v>
      </c>
      <c r="BX13" s="4074" t="e">
        <f t="shared" si="52"/>
        <v>#DIV/0!</v>
      </c>
      <c r="BY13" s="1055"/>
      <c r="BZ13" s="3341"/>
      <c r="CA13" s="3341"/>
      <c r="CB13" s="3349">
        <f t="shared" si="37"/>
        <v>0</v>
      </c>
      <c r="CC13" s="4074" t="e">
        <f t="shared" si="53"/>
        <v>#DIV/0!</v>
      </c>
      <c r="CD13" s="1055"/>
      <c r="CE13" s="3341"/>
      <c r="CF13" s="3341"/>
      <c r="CG13" s="3349">
        <f t="shared" si="38"/>
        <v>0</v>
      </c>
      <c r="CH13" s="4074" t="e">
        <f t="shared" si="54"/>
        <v>#DIV/0!</v>
      </c>
      <c r="CI13" s="1055"/>
      <c r="CJ13" s="3341">
        <f t="shared" si="39"/>
        <v>0</v>
      </c>
      <c r="CK13" s="3341">
        <f t="shared" si="39"/>
        <v>0</v>
      </c>
      <c r="CL13" s="3349">
        <f t="shared" si="55"/>
        <v>0</v>
      </c>
      <c r="CM13" s="4074">
        <f t="shared" si="40"/>
        <v>0</v>
      </c>
      <c r="CN13" s="1434"/>
      <c r="CP13" s="4186"/>
      <c r="CQ13" s="2012">
        <f t="shared" si="41"/>
        <v>0</v>
      </c>
      <c r="CR13" s="4188">
        <f t="shared" si="56"/>
        <v>0</v>
      </c>
      <c r="CT13" s="3443"/>
    </row>
    <row r="14" spans="1:98" s="1396" customFormat="1" ht="13.8" outlineLevel="2">
      <c r="A14" s="1571"/>
      <c r="B14" s="1424" t="s">
        <v>70</v>
      </c>
      <c r="C14" s="3341"/>
      <c r="D14" s="3341"/>
      <c r="E14" s="3349">
        <f t="shared" si="19"/>
        <v>0</v>
      </c>
      <c r="F14" s="4074" t="e">
        <f t="shared" si="16"/>
        <v>#DIV/0!</v>
      </c>
      <c r="G14" s="1055"/>
      <c r="H14" s="3341"/>
      <c r="I14" s="3341"/>
      <c r="J14" s="3349">
        <f t="shared" si="20"/>
        <v>0</v>
      </c>
      <c r="K14" s="4074" t="e">
        <f t="shared" si="42"/>
        <v>#DIV/0!</v>
      </c>
      <c r="L14" s="1055"/>
      <c r="M14" s="3341"/>
      <c r="N14" s="3341"/>
      <c r="O14" s="3349">
        <f t="shared" si="21"/>
        <v>0</v>
      </c>
      <c r="P14" s="4074" t="e">
        <f t="shared" si="22"/>
        <v>#DIV/0!</v>
      </c>
      <c r="Q14" s="1055"/>
      <c r="R14" s="3342">
        <f t="shared" si="23"/>
        <v>0</v>
      </c>
      <c r="S14" s="3342">
        <f t="shared" si="23"/>
        <v>0</v>
      </c>
      <c r="T14" s="2012">
        <f t="shared" si="24"/>
        <v>0</v>
      </c>
      <c r="U14" s="1055"/>
      <c r="V14" s="1055"/>
      <c r="W14" s="3342">
        <f t="shared" si="25"/>
        <v>0</v>
      </c>
      <c r="X14" s="3342">
        <f t="shared" si="25"/>
        <v>0</v>
      </c>
      <c r="Y14" s="2012">
        <f t="shared" si="26"/>
        <v>0</v>
      </c>
      <c r="Z14" s="1055"/>
      <c r="AA14" s="1055"/>
      <c r="AB14" s="3341"/>
      <c r="AC14" s="3341"/>
      <c r="AD14" s="3349">
        <f t="shared" si="27"/>
        <v>0</v>
      </c>
      <c r="AE14" s="4074">
        <f t="shared" si="43"/>
        <v>0</v>
      </c>
      <c r="AF14" s="1055"/>
      <c r="AG14" s="3341"/>
      <c r="AH14" s="3341"/>
      <c r="AI14" s="3349">
        <f t="shared" si="28"/>
        <v>0</v>
      </c>
      <c r="AJ14" s="4074" t="e">
        <f t="shared" si="44"/>
        <v>#DIV/0!</v>
      </c>
      <c r="AK14" s="1055"/>
      <c r="AL14" s="3341"/>
      <c r="AM14" s="3341"/>
      <c r="AN14" s="3349">
        <f t="shared" si="29"/>
        <v>0</v>
      </c>
      <c r="AO14" s="4074" t="e">
        <f t="shared" si="45"/>
        <v>#DIV/0!</v>
      </c>
      <c r="AP14" s="1055"/>
      <c r="AQ14" s="3341"/>
      <c r="AR14" s="3341"/>
      <c r="AS14" s="3349">
        <f t="shared" si="30"/>
        <v>0</v>
      </c>
      <c r="AT14" s="4074" t="e">
        <f t="shared" si="46"/>
        <v>#DIV/0!</v>
      </c>
      <c r="AU14" s="1055"/>
      <c r="AV14" s="3341"/>
      <c r="AW14" s="3341"/>
      <c r="AX14" s="3349">
        <f t="shared" si="31"/>
        <v>0</v>
      </c>
      <c r="AY14" s="4074" t="e">
        <f t="shared" si="47"/>
        <v>#DIV/0!</v>
      </c>
      <c r="AZ14" s="1055"/>
      <c r="BA14" s="3341"/>
      <c r="BB14" s="3341"/>
      <c r="BC14" s="3349">
        <f t="shared" si="32"/>
        <v>0</v>
      </c>
      <c r="BD14" s="4074" t="e">
        <f t="shared" si="48"/>
        <v>#DIV/0!</v>
      </c>
      <c r="BE14" s="1055"/>
      <c r="BF14" s="3341"/>
      <c r="BG14" s="3341"/>
      <c r="BH14" s="3349">
        <f t="shared" si="33"/>
        <v>0</v>
      </c>
      <c r="BI14" s="4074" t="e">
        <f t="shared" si="49"/>
        <v>#DIV/0!</v>
      </c>
      <c r="BJ14" s="1055"/>
      <c r="BK14" s="3341"/>
      <c r="BL14" s="3341"/>
      <c r="BM14" s="3349">
        <f t="shared" si="34"/>
        <v>0</v>
      </c>
      <c r="BN14" s="4074" t="e">
        <f t="shared" si="50"/>
        <v>#DIV/0!</v>
      </c>
      <c r="BO14" s="1055"/>
      <c r="BP14" s="3341"/>
      <c r="BQ14" s="3341"/>
      <c r="BR14" s="3349">
        <f t="shared" si="35"/>
        <v>0</v>
      </c>
      <c r="BS14" s="4074" t="e">
        <f t="shared" si="51"/>
        <v>#DIV/0!</v>
      </c>
      <c r="BT14" s="1055"/>
      <c r="BU14" s="3341"/>
      <c r="BV14" s="3341"/>
      <c r="BW14" s="3349">
        <f t="shared" si="36"/>
        <v>0</v>
      </c>
      <c r="BX14" s="4074" t="e">
        <f t="shared" si="52"/>
        <v>#DIV/0!</v>
      </c>
      <c r="BY14" s="1055"/>
      <c r="BZ14" s="3341"/>
      <c r="CA14" s="3341"/>
      <c r="CB14" s="3349">
        <f t="shared" si="37"/>
        <v>0</v>
      </c>
      <c r="CC14" s="4074" t="e">
        <f t="shared" si="53"/>
        <v>#DIV/0!</v>
      </c>
      <c r="CD14" s="1055"/>
      <c r="CE14" s="3341"/>
      <c r="CF14" s="3341"/>
      <c r="CG14" s="3349">
        <f t="shared" si="38"/>
        <v>0</v>
      </c>
      <c r="CH14" s="4074" t="e">
        <f t="shared" si="54"/>
        <v>#DIV/0!</v>
      </c>
      <c r="CI14" s="1055"/>
      <c r="CJ14" s="3341">
        <f t="shared" si="39"/>
        <v>0</v>
      </c>
      <c r="CK14" s="3341">
        <f t="shared" si="39"/>
        <v>0</v>
      </c>
      <c r="CL14" s="3349">
        <f t="shared" si="55"/>
        <v>0</v>
      </c>
      <c r="CM14" s="4074">
        <f t="shared" si="40"/>
        <v>0</v>
      </c>
      <c r="CN14" s="1434"/>
      <c r="CP14" s="4186"/>
      <c r="CQ14" s="2012">
        <f t="shared" si="41"/>
        <v>0</v>
      </c>
      <c r="CR14" s="4188">
        <f t="shared" si="56"/>
        <v>0</v>
      </c>
      <c r="CT14" s="3443"/>
    </row>
    <row r="15" spans="1:98" s="1396" customFormat="1" ht="13.8" outlineLevel="2">
      <c r="A15" s="1571"/>
      <c r="B15" s="4075" t="s">
        <v>20</v>
      </c>
      <c r="C15" s="3341"/>
      <c r="D15" s="3341"/>
      <c r="E15" s="3349">
        <f t="shared" si="19"/>
        <v>0</v>
      </c>
      <c r="F15" s="4074" t="e">
        <f t="shared" si="16"/>
        <v>#DIV/0!</v>
      </c>
      <c r="G15" s="1055"/>
      <c r="H15" s="3341"/>
      <c r="I15" s="3341"/>
      <c r="J15" s="3349">
        <f t="shared" si="20"/>
        <v>0</v>
      </c>
      <c r="K15" s="4074" t="e">
        <f t="shared" si="42"/>
        <v>#DIV/0!</v>
      </c>
      <c r="L15" s="1055"/>
      <c r="M15" s="3341"/>
      <c r="N15" s="3341"/>
      <c r="O15" s="3349">
        <f t="shared" si="21"/>
        <v>0</v>
      </c>
      <c r="P15" s="4074" t="e">
        <f t="shared" si="22"/>
        <v>#DIV/0!</v>
      </c>
      <c r="Q15" s="1055"/>
      <c r="R15" s="3342">
        <f t="shared" si="23"/>
        <v>0</v>
      </c>
      <c r="S15" s="3342">
        <f t="shared" si="23"/>
        <v>0</v>
      </c>
      <c r="T15" s="2012">
        <f t="shared" si="24"/>
        <v>0</v>
      </c>
      <c r="U15" s="1055"/>
      <c r="V15" s="1055"/>
      <c r="W15" s="3342">
        <f t="shared" si="25"/>
        <v>0</v>
      </c>
      <c r="X15" s="3342">
        <f t="shared" si="25"/>
        <v>0</v>
      </c>
      <c r="Y15" s="2012">
        <f t="shared" si="26"/>
        <v>0</v>
      </c>
      <c r="Z15" s="1055"/>
      <c r="AA15" s="1055"/>
      <c r="AB15" s="3341"/>
      <c r="AC15" s="3341"/>
      <c r="AD15" s="3349">
        <f t="shared" si="27"/>
        <v>0</v>
      </c>
      <c r="AE15" s="4074">
        <f t="shared" si="43"/>
        <v>0</v>
      </c>
      <c r="AF15" s="1055"/>
      <c r="AG15" s="3341"/>
      <c r="AH15" s="3341"/>
      <c r="AI15" s="3349">
        <f t="shared" si="28"/>
        <v>0</v>
      </c>
      <c r="AJ15" s="4074" t="e">
        <f t="shared" si="44"/>
        <v>#DIV/0!</v>
      </c>
      <c r="AK15" s="1055"/>
      <c r="AL15" s="3341"/>
      <c r="AM15" s="3341"/>
      <c r="AN15" s="3349">
        <f t="shared" si="29"/>
        <v>0</v>
      </c>
      <c r="AO15" s="4074" t="e">
        <f t="shared" si="45"/>
        <v>#DIV/0!</v>
      </c>
      <c r="AP15" s="1055"/>
      <c r="AQ15" s="3341"/>
      <c r="AR15" s="3341"/>
      <c r="AS15" s="3349">
        <f t="shared" si="30"/>
        <v>0</v>
      </c>
      <c r="AT15" s="4074" t="e">
        <f t="shared" si="46"/>
        <v>#DIV/0!</v>
      </c>
      <c r="AU15" s="1055"/>
      <c r="AV15" s="3341"/>
      <c r="AW15" s="3341"/>
      <c r="AX15" s="3349">
        <f t="shared" si="31"/>
        <v>0</v>
      </c>
      <c r="AY15" s="4074" t="e">
        <f t="shared" si="47"/>
        <v>#DIV/0!</v>
      </c>
      <c r="AZ15" s="1055"/>
      <c r="BA15" s="3341"/>
      <c r="BB15" s="3341"/>
      <c r="BC15" s="3349">
        <f t="shared" si="32"/>
        <v>0</v>
      </c>
      <c r="BD15" s="4074" t="e">
        <f t="shared" si="48"/>
        <v>#DIV/0!</v>
      </c>
      <c r="BE15" s="1055"/>
      <c r="BF15" s="3341"/>
      <c r="BG15" s="3341"/>
      <c r="BH15" s="3349">
        <f t="shared" si="33"/>
        <v>0</v>
      </c>
      <c r="BI15" s="4074" t="e">
        <f t="shared" si="49"/>
        <v>#DIV/0!</v>
      </c>
      <c r="BJ15" s="1055"/>
      <c r="BK15" s="3341"/>
      <c r="BL15" s="3341"/>
      <c r="BM15" s="3349">
        <f t="shared" si="34"/>
        <v>0</v>
      </c>
      <c r="BN15" s="4074" t="e">
        <f t="shared" si="50"/>
        <v>#DIV/0!</v>
      </c>
      <c r="BO15" s="1055"/>
      <c r="BP15" s="3341"/>
      <c r="BQ15" s="3341"/>
      <c r="BR15" s="3349">
        <f t="shared" si="35"/>
        <v>0</v>
      </c>
      <c r="BS15" s="4074" t="e">
        <f t="shared" si="51"/>
        <v>#DIV/0!</v>
      </c>
      <c r="BT15" s="1055"/>
      <c r="BU15" s="3341"/>
      <c r="BV15" s="3341"/>
      <c r="BW15" s="3349">
        <f t="shared" si="36"/>
        <v>0</v>
      </c>
      <c r="BX15" s="4074" t="e">
        <f t="shared" si="52"/>
        <v>#DIV/0!</v>
      </c>
      <c r="BY15" s="1055"/>
      <c r="BZ15" s="3341"/>
      <c r="CA15" s="3341"/>
      <c r="CB15" s="3349">
        <f t="shared" si="37"/>
        <v>0</v>
      </c>
      <c r="CC15" s="4074" t="e">
        <f t="shared" si="53"/>
        <v>#DIV/0!</v>
      </c>
      <c r="CD15" s="1055"/>
      <c r="CE15" s="3341"/>
      <c r="CF15" s="3341"/>
      <c r="CG15" s="3349">
        <f t="shared" si="38"/>
        <v>0</v>
      </c>
      <c r="CH15" s="4074" t="e">
        <f t="shared" si="54"/>
        <v>#DIV/0!</v>
      </c>
      <c r="CI15" s="1055"/>
      <c r="CJ15" s="3341">
        <f t="shared" si="39"/>
        <v>0</v>
      </c>
      <c r="CK15" s="3341">
        <f t="shared" si="39"/>
        <v>0</v>
      </c>
      <c r="CL15" s="3349">
        <f t="shared" si="55"/>
        <v>0</v>
      </c>
      <c r="CM15" s="4074">
        <f t="shared" si="40"/>
        <v>0</v>
      </c>
      <c r="CN15" s="1434"/>
      <c r="CP15" s="4186"/>
      <c r="CQ15" s="2012">
        <f t="shared" si="41"/>
        <v>0</v>
      </c>
      <c r="CR15" s="4188">
        <f t="shared" si="56"/>
        <v>0</v>
      </c>
      <c r="CT15" s="3443"/>
    </row>
    <row r="16" spans="1:98" s="1396" customFormat="1" ht="13.8" outlineLevel="2">
      <c r="A16" s="1571"/>
      <c r="B16" s="4075" t="s">
        <v>21</v>
      </c>
      <c r="C16" s="3341"/>
      <c r="D16" s="3341"/>
      <c r="E16" s="3349">
        <f t="shared" si="19"/>
        <v>0</v>
      </c>
      <c r="F16" s="4074" t="e">
        <f t="shared" si="16"/>
        <v>#DIV/0!</v>
      </c>
      <c r="G16" s="1055"/>
      <c r="H16" s="3341"/>
      <c r="I16" s="3341"/>
      <c r="J16" s="3349">
        <f t="shared" si="20"/>
        <v>0</v>
      </c>
      <c r="K16" s="4074" t="e">
        <f t="shared" si="42"/>
        <v>#DIV/0!</v>
      </c>
      <c r="L16" s="1055"/>
      <c r="M16" s="3341"/>
      <c r="N16" s="3341"/>
      <c r="O16" s="3349">
        <f t="shared" si="21"/>
        <v>0</v>
      </c>
      <c r="P16" s="4074" t="e">
        <f t="shared" si="22"/>
        <v>#DIV/0!</v>
      </c>
      <c r="Q16" s="1055"/>
      <c r="R16" s="3342">
        <f t="shared" si="23"/>
        <v>0</v>
      </c>
      <c r="S16" s="3342">
        <f t="shared" si="23"/>
        <v>0</v>
      </c>
      <c r="T16" s="2012">
        <f t="shared" si="24"/>
        <v>0</v>
      </c>
      <c r="U16" s="1055"/>
      <c r="V16" s="1055"/>
      <c r="W16" s="3342">
        <f t="shared" si="25"/>
        <v>0</v>
      </c>
      <c r="X16" s="3342">
        <f t="shared" si="25"/>
        <v>0</v>
      </c>
      <c r="Y16" s="2012">
        <f t="shared" si="26"/>
        <v>0</v>
      </c>
      <c r="Z16" s="1055"/>
      <c r="AA16" s="1055"/>
      <c r="AB16" s="3341"/>
      <c r="AC16" s="3341"/>
      <c r="AD16" s="3349">
        <f t="shared" si="27"/>
        <v>0</v>
      </c>
      <c r="AE16" s="4074">
        <f t="shared" si="43"/>
        <v>0</v>
      </c>
      <c r="AF16" s="1055"/>
      <c r="AG16" s="3341"/>
      <c r="AH16" s="3341"/>
      <c r="AI16" s="3349">
        <f t="shared" si="28"/>
        <v>0</v>
      </c>
      <c r="AJ16" s="4074" t="e">
        <f t="shared" si="44"/>
        <v>#DIV/0!</v>
      </c>
      <c r="AK16" s="1055"/>
      <c r="AL16" s="3341"/>
      <c r="AM16" s="3341"/>
      <c r="AN16" s="3349">
        <f t="shared" si="29"/>
        <v>0</v>
      </c>
      <c r="AO16" s="4074" t="e">
        <f t="shared" si="45"/>
        <v>#DIV/0!</v>
      </c>
      <c r="AP16" s="1055"/>
      <c r="AQ16" s="3341"/>
      <c r="AR16" s="3341"/>
      <c r="AS16" s="3349">
        <f t="shared" si="30"/>
        <v>0</v>
      </c>
      <c r="AT16" s="4074" t="e">
        <f t="shared" si="46"/>
        <v>#DIV/0!</v>
      </c>
      <c r="AU16" s="1055"/>
      <c r="AV16" s="3341"/>
      <c r="AW16" s="3341"/>
      <c r="AX16" s="3349">
        <f t="shared" si="31"/>
        <v>0</v>
      </c>
      <c r="AY16" s="4074" t="e">
        <f t="shared" si="47"/>
        <v>#DIV/0!</v>
      </c>
      <c r="AZ16" s="1055"/>
      <c r="BA16" s="3341"/>
      <c r="BB16" s="3341"/>
      <c r="BC16" s="3349">
        <f t="shared" si="32"/>
        <v>0</v>
      </c>
      <c r="BD16" s="4074" t="e">
        <f t="shared" si="48"/>
        <v>#DIV/0!</v>
      </c>
      <c r="BE16" s="1055"/>
      <c r="BF16" s="3341"/>
      <c r="BG16" s="3341"/>
      <c r="BH16" s="3349">
        <f t="shared" si="33"/>
        <v>0</v>
      </c>
      <c r="BI16" s="4074" t="e">
        <f t="shared" si="49"/>
        <v>#DIV/0!</v>
      </c>
      <c r="BJ16" s="1055"/>
      <c r="BK16" s="3341"/>
      <c r="BL16" s="3341"/>
      <c r="BM16" s="3349">
        <f t="shared" si="34"/>
        <v>0</v>
      </c>
      <c r="BN16" s="4074" t="e">
        <f t="shared" si="50"/>
        <v>#DIV/0!</v>
      </c>
      <c r="BO16" s="1055"/>
      <c r="BP16" s="3341"/>
      <c r="BQ16" s="3341"/>
      <c r="BR16" s="3349">
        <f t="shared" si="35"/>
        <v>0</v>
      </c>
      <c r="BS16" s="4074" t="e">
        <f t="shared" si="51"/>
        <v>#DIV/0!</v>
      </c>
      <c r="BT16" s="1055"/>
      <c r="BU16" s="3341"/>
      <c r="BV16" s="3341"/>
      <c r="BW16" s="3349">
        <f t="shared" si="36"/>
        <v>0</v>
      </c>
      <c r="BX16" s="4074" t="e">
        <f t="shared" si="52"/>
        <v>#DIV/0!</v>
      </c>
      <c r="BY16" s="1055"/>
      <c r="BZ16" s="3341"/>
      <c r="CA16" s="3341"/>
      <c r="CB16" s="3349">
        <f t="shared" si="37"/>
        <v>0</v>
      </c>
      <c r="CC16" s="4074" t="e">
        <f t="shared" si="53"/>
        <v>#DIV/0!</v>
      </c>
      <c r="CD16" s="1055"/>
      <c r="CE16" s="3341"/>
      <c r="CF16" s="3341"/>
      <c r="CG16" s="3349">
        <f t="shared" si="38"/>
        <v>0</v>
      </c>
      <c r="CH16" s="4074" t="e">
        <f t="shared" si="54"/>
        <v>#DIV/0!</v>
      </c>
      <c r="CI16" s="1055"/>
      <c r="CJ16" s="3341">
        <f t="shared" si="39"/>
        <v>0</v>
      </c>
      <c r="CK16" s="3341">
        <f t="shared" si="39"/>
        <v>0</v>
      </c>
      <c r="CL16" s="3349">
        <f>CJ16+CK16*1</f>
        <v>0</v>
      </c>
      <c r="CM16" s="4074">
        <f t="shared" si="40"/>
        <v>0</v>
      </c>
      <c r="CN16" s="1434"/>
      <c r="CP16" s="4186"/>
      <c r="CQ16" s="2012">
        <f t="shared" si="41"/>
        <v>0</v>
      </c>
      <c r="CR16" s="4188">
        <f t="shared" si="56"/>
        <v>0</v>
      </c>
      <c r="CT16" s="3443"/>
    </row>
    <row r="17" spans="1:100" s="1396" customFormat="1" ht="13.8" outlineLevel="2">
      <c r="A17" s="1571"/>
      <c r="B17" s="4075" t="s">
        <v>22</v>
      </c>
      <c r="C17" s="3341"/>
      <c r="D17" s="3341"/>
      <c r="E17" s="3349">
        <f t="shared" si="19"/>
        <v>0</v>
      </c>
      <c r="F17" s="4074" t="e">
        <f t="shared" si="16"/>
        <v>#DIV/0!</v>
      </c>
      <c r="G17" s="2047"/>
      <c r="H17" s="3341"/>
      <c r="I17" s="3341"/>
      <c r="J17" s="3349">
        <f t="shared" si="20"/>
        <v>0</v>
      </c>
      <c r="K17" s="4074" t="e">
        <f t="shared" si="42"/>
        <v>#DIV/0!</v>
      </c>
      <c r="L17" s="2047"/>
      <c r="M17" s="3341"/>
      <c r="N17" s="3341"/>
      <c r="O17" s="3349">
        <f t="shared" si="21"/>
        <v>0</v>
      </c>
      <c r="P17" s="4074" t="e">
        <f t="shared" si="22"/>
        <v>#DIV/0!</v>
      </c>
      <c r="Q17" s="2047"/>
      <c r="R17" s="3342">
        <f t="shared" si="23"/>
        <v>0</v>
      </c>
      <c r="S17" s="3342">
        <f t="shared" si="23"/>
        <v>0</v>
      </c>
      <c r="T17" s="2012">
        <f t="shared" si="24"/>
        <v>0</v>
      </c>
      <c r="U17" s="2047"/>
      <c r="V17" s="2047"/>
      <c r="W17" s="3342">
        <f t="shared" si="25"/>
        <v>0</v>
      </c>
      <c r="X17" s="3342">
        <f t="shared" si="25"/>
        <v>0</v>
      </c>
      <c r="Y17" s="2012">
        <f t="shared" si="26"/>
        <v>0</v>
      </c>
      <c r="Z17" s="2047"/>
      <c r="AA17" s="2047"/>
      <c r="AB17" s="3341"/>
      <c r="AC17" s="3341"/>
      <c r="AD17" s="3349">
        <f t="shared" si="27"/>
        <v>0</v>
      </c>
      <c r="AE17" s="4074">
        <f t="shared" si="43"/>
        <v>0</v>
      </c>
      <c r="AF17" s="2047"/>
      <c r="AG17" s="3341"/>
      <c r="AH17" s="3341"/>
      <c r="AI17" s="3349">
        <f t="shared" si="28"/>
        <v>0</v>
      </c>
      <c r="AJ17" s="4074" t="e">
        <f t="shared" si="44"/>
        <v>#DIV/0!</v>
      </c>
      <c r="AK17" s="2047"/>
      <c r="AL17" s="3341"/>
      <c r="AM17" s="3341"/>
      <c r="AN17" s="3349">
        <f t="shared" si="29"/>
        <v>0</v>
      </c>
      <c r="AO17" s="4074" t="e">
        <f t="shared" si="45"/>
        <v>#DIV/0!</v>
      </c>
      <c r="AP17" s="2047"/>
      <c r="AQ17" s="3341"/>
      <c r="AR17" s="3341"/>
      <c r="AS17" s="3349">
        <f t="shared" si="30"/>
        <v>0</v>
      </c>
      <c r="AT17" s="4074" t="e">
        <f t="shared" si="46"/>
        <v>#DIV/0!</v>
      </c>
      <c r="AU17" s="2047"/>
      <c r="AV17" s="3341"/>
      <c r="AW17" s="3341"/>
      <c r="AX17" s="3349">
        <f t="shared" si="31"/>
        <v>0</v>
      </c>
      <c r="AY17" s="4074" t="e">
        <f t="shared" si="47"/>
        <v>#DIV/0!</v>
      </c>
      <c r="AZ17" s="2047"/>
      <c r="BA17" s="3341"/>
      <c r="BB17" s="3341"/>
      <c r="BC17" s="3349">
        <f t="shared" si="32"/>
        <v>0</v>
      </c>
      <c r="BD17" s="4074" t="e">
        <f t="shared" si="48"/>
        <v>#DIV/0!</v>
      </c>
      <c r="BE17" s="2047"/>
      <c r="BF17" s="3341"/>
      <c r="BG17" s="3341"/>
      <c r="BH17" s="3349">
        <f t="shared" si="33"/>
        <v>0</v>
      </c>
      <c r="BI17" s="4074" t="e">
        <f t="shared" si="49"/>
        <v>#DIV/0!</v>
      </c>
      <c r="BJ17" s="2047"/>
      <c r="BK17" s="3341"/>
      <c r="BL17" s="3341"/>
      <c r="BM17" s="3349">
        <f t="shared" si="34"/>
        <v>0</v>
      </c>
      <c r="BN17" s="4074" t="e">
        <f t="shared" si="50"/>
        <v>#DIV/0!</v>
      </c>
      <c r="BO17" s="2047"/>
      <c r="BP17" s="3341"/>
      <c r="BQ17" s="3341"/>
      <c r="BR17" s="3349">
        <f t="shared" si="35"/>
        <v>0</v>
      </c>
      <c r="BS17" s="4074" t="e">
        <f t="shared" si="51"/>
        <v>#DIV/0!</v>
      </c>
      <c r="BT17" s="2047"/>
      <c r="BU17" s="3341"/>
      <c r="BV17" s="3341"/>
      <c r="BW17" s="3349">
        <f t="shared" si="36"/>
        <v>0</v>
      </c>
      <c r="BX17" s="4074" t="e">
        <f t="shared" si="52"/>
        <v>#DIV/0!</v>
      </c>
      <c r="BY17" s="2047"/>
      <c r="BZ17" s="3341"/>
      <c r="CA17" s="3341"/>
      <c r="CB17" s="3349">
        <f t="shared" si="37"/>
        <v>0</v>
      </c>
      <c r="CC17" s="4074" t="e">
        <f t="shared" si="53"/>
        <v>#DIV/0!</v>
      </c>
      <c r="CD17" s="2047"/>
      <c r="CE17" s="3341"/>
      <c r="CF17" s="3341"/>
      <c r="CG17" s="3349">
        <f t="shared" si="38"/>
        <v>0</v>
      </c>
      <c r="CH17" s="4074" t="e">
        <f t="shared" si="54"/>
        <v>#DIV/0!</v>
      </c>
      <c r="CI17" s="2047"/>
      <c r="CJ17" s="3341">
        <f t="shared" si="39"/>
        <v>0</v>
      </c>
      <c r="CK17" s="3341">
        <f t="shared" si="39"/>
        <v>0</v>
      </c>
      <c r="CL17" s="3349">
        <f t="shared" si="55"/>
        <v>0</v>
      </c>
      <c r="CM17" s="4074">
        <f t="shared" si="40"/>
        <v>0</v>
      </c>
      <c r="CN17" s="1434"/>
      <c r="CP17" s="4186"/>
      <c r="CQ17" s="2012">
        <f t="shared" si="41"/>
        <v>0</v>
      </c>
      <c r="CR17" s="4188">
        <f t="shared" si="56"/>
        <v>0</v>
      </c>
      <c r="CS17" s="3307"/>
      <c r="CT17" s="3443"/>
    </row>
    <row r="18" spans="1:100" s="1396" customFormat="1" ht="13.8" outlineLevel="2">
      <c r="A18" s="1571"/>
      <c r="B18" s="4075" t="s">
        <v>0</v>
      </c>
      <c r="C18" s="3341"/>
      <c r="D18" s="3341"/>
      <c r="E18" s="3349">
        <f t="shared" si="19"/>
        <v>0</v>
      </c>
      <c r="F18" s="4074" t="e">
        <f t="shared" si="16"/>
        <v>#DIV/0!</v>
      </c>
      <c r="G18" s="1055"/>
      <c r="H18" s="3341"/>
      <c r="I18" s="3341"/>
      <c r="J18" s="3349">
        <f t="shared" si="20"/>
        <v>0</v>
      </c>
      <c r="K18" s="4074" t="e">
        <f t="shared" si="42"/>
        <v>#DIV/0!</v>
      </c>
      <c r="L18" s="1055"/>
      <c r="M18" s="3341"/>
      <c r="N18" s="3341"/>
      <c r="O18" s="3349">
        <f t="shared" si="21"/>
        <v>0</v>
      </c>
      <c r="P18" s="4074" t="e">
        <f t="shared" si="22"/>
        <v>#DIV/0!</v>
      </c>
      <c r="Q18" s="1055"/>
      <c r="R18" s="3342">
        <f t="shared" si="23"/>
        <v>0</v>
      </c>
      <c r="S18" s="3342">
        <f t="shared" si="23"/>
        <v>0</v>
      </c>
      <c r="T18" s="2012">
        <f t="shared" si="24"/>
        <v>0</v>
      </c>
      <c r="U18" s="1055"/>
      <c r="V18" s="1055"/>
      <c r="W18" s="3342">
        <f t="shared" si="25"/>
        <v>0</v>
      </c>
      <c r="X18" s="3342">
        <f t="shared" si="25"/>
        <v>0</v>
      </c>
      <c r="Y18" s="2012">
        <f t="shared" si="26"/>
        <v>0</v>
      </c>
      <c r="Z18" s="1055"/>
      <c r="AA18" s="1055"/>
      <c r="AB18" s="3341"/>
      <c r="AC18" s="3341"/>
      <c r="AD18" s="3349">
        <f t="shared" si="27"/>
        <v>0</v>
      </c>
      <c r="AE18" s="4074">
        <f t="shared" si="43"/>
        <v>0</v>
      </c>
      <c r="AF18" s="1055"/>
      <c r="AG18" s="3341"/>
      <c r="AH18" s="3341"/>
      <c r="AI18" s="3349">
        <f t="shared" si="28"/>
        <v>0</v>
      </c>
      <c r="AJ18" s="4074" t="e">
        <f t="shared" si="44"/>
        <v>#DIV/0!</v>
      </c>
      <c r="AK18" s="1055"/>
      <c r="AL18" s="3341"/>
      <c r="AM18" s="3341"/>
      <c r="AN18" s="3349">
        <f t="shared" si="29"/>
        <v>0</v>
      </c>
      <c r="AO18" s="4074" t="e">
        <f t="shared" si="45"/>
        <v>#DIV/0!</v>
      </c>
      <c r="AP18" s="1055"/>
      <c r="AQ18" s="3341"/>
      <c r="AR18" s="3341"/>
      <c r="AS18" s="3349">
        <f t="shared" si="30"/>
        <v>0</v>
      </c>
      <c r="AT18" s="4074" t="e">
        <f t="shared" si="46"/>
        <v>#DIV/0!</v>
      </c>
      <c r="AU18" s="1055"/>
      <c r="AV18" s="3341"/>
      <c r="AW18" s="3341"/>
      <c r="AX18" s="3349">
        <f t="shared" si="31"/>
        <v>0</v>
      </c>
      <c r="AY18" s="4074" t="e">
        <f t="shared" si="47"/>
        <v>#DIV/0!</v>
      </c>
      <c r="AZ18" s="1055"/>
      <c r="BA18" s="3341"/>
      <c r="BB18" s="3341"/>
      <c r="BC18" s="3349">
        <f t="shared" si="32"/>
        <v>0</v>
      </c>
      <c r="BD18" s="4074" t="e">
        <f t="shared" si="48"/>
        <v>#DIV/0!</v>
      </c>
      <c r="BE18" s="1055"/>
      <c r="BF18" s="3341"/>
      <c r="BG18" s="3341"/>
      <c r="BH18" s="3349">
        <f t="shared" si="33"/>
        <v>0</v>
      </c>
      <c r="BI18" s="4074" t="e">
        <f t="shared" si="49"/>
        <v>#DIV/0!</v>
      </c>
      <c r="BJ18" s="1055"/>
      <c r="BK18" s="3341"/>
      <c r="BL18" s="3341"/>
      <c r="BM18" s="3349">
        <f t="shared" si="34"/>
        <v>0</v>
      </c>
      <c r="BN18" s="4074" t="e">
        <f t="shared" si="50"/>
        <v>#DIV/0!</v>
      </c>
      <c r="BO18" s="1055"/>
      <c r="BP18" s="3341"/>
      <c r="BQ18" s="3341"/>
      <c r="BR18" s="3349">
        <f t="shared" si="35"/>
        <v>0</v>
      </c>
      <c r="BS18" s="4074" t="e">
        <f t="shared" si="51"/>
        <v>#DIV/0!</v>
      </c>
      <c r="BT18" s="1055"/>
      <c r="BU18" s="3341"/>
      <c r="BV18" s="3341"/>
      <c r="BW18" s="3349">
        <f t="shared" si="36"/>
        <v>0</v>
      </c>
      <c r="BX18" s="4074" t="e">
        <f t="shared" si="52"/>
        <v>#DIV/0!</v>
      </c>
      <c r="BY18" s="1055"/>
      <c r="BZ18" s="3341"/>
      <c r="CA18" s="3341"/>
      <c r="CB18" s="3349">
        <f t="shared" si="37"/>
        <v>0</v>
      </c>
      <c r="CC18" s="4074" t="e">
        <f t="shared" si="53"/>
        <v>#DIV/0!</v>
      </c>
      <c r="CD18" s="1055"/>
      <c r="CE18" s="3341"/>
      <c r="CF18" s="3341"/>
      <c r="CG18" s="3349">
        <f t="shared" si="38"/>
        <v>0</v>
      </c>
      <c r="CH18" s="4074" t="e">
        <f t="shared" si="54"/>
        <v>#DIV/0!</v>
      </c>
      <c r="CI18" s="1055"/>
      <c r="CJ18" s="3341">
        <f t="shared" si="39"/>
        <v>0</v>
      </c>
      <c r="CK18" s="3341">
        <f t="shared" si="39"/>
        <v>0</v>
      </c>
      <c r="CL18" s="3349">
        <f t="shared" si="55"/>
        <v>0</v>
      </c>
      <c r="CM18" s="4074">
        <f t="shared" si="40"/>
        <v>0</v>
      </c>
      <c r="CN18" s="1434"/>
      <c r="CP18" s="4186"/>
      <c r="CQ18" s="2012">
        <f t="shared" si="41"/>
        <v>0</v>
      </c>
      <c r="CR18" s="4188">
        <f t="shared" si="56"/>
        <v>0</v>
      </c>
      <c r="CT18" s="3443"/>
    </row>
    <row r="19" spans="1:100" s="1396" customFormat="1" ht="13.8" outlineLevel="2">
      <c r="A19" s="1571"/>
      <c r="B19" s="4075" t="s">
        <v>53</v>
      </c>
      <c r="C19" s="3341"/>
      <c r="D19" s="3341"/>
      <c r="E19" s="3349">
        <f t="shared" si="19"/>
        <v>0</v>
      </c>
      <c r="F19" s="4074" t="e">
        <f t="shared" si="16"/>
        <v>#DIV/0!</v>
      </c>
      <c r="G19" s="1055"/>
      <c r="H19" s="3341"/>
      <c r="I19" s="3341"/>
      <c r="J19" s="3349">
        <f t="shared" si="20"/>
        <v>0</v>
      </c>
      <c r="K19" s="4074" t="e">
        <f t="shared" si="42"/>
        <v>#DIV/0!</v>
      </c>
      <c r="L19" s="1055"/>
      <c r="M19" s="3341"/>
      <c r="N19" s="3341"/>
      <c r="O19" s="3349">
        <f t="shared" si="21"/>
        <v>0</v>
      </c>
      <c r="P19" s="4074" t="e">
        <f t="shared" si="22"/>
        <v>#DIV/0!</v>
      </c>
      <c r="Q19" s="1055"/>
      <c r="R19" s="3342">
        <f t="shared" si="23"/>
        <v>0</v>
      </c>
      <c r="S19" s="3342">
        <f t="shared" si="23"/>
        <v>0</v>
      </c>
      <c r="T19" s="2012">
        <f t="shared" si="24"/>
        <v>0</v>
      </c>
      <c r="U19" s="1055"/>
      <c r="V19" s="1055"/>
      <c r="W19" s="3342">
        <f t="shared" si="25"/>
        <v>0</v>
      </c>
      <c r="X19" s="3342">
        <f t="shared" si="25"/>
        <v>0</v>
      </c>
      <c r="Y19" s="2012">
        <f t="shared" si="26"/>
        <v>0</v>
      </c>
      <c r="Z19" s="1055"/>
      <c r="AA19" s="1055"/>
      <c r="AB19" s="3341"/>
      <c r="AC19" s="3341"/>
      <c r="AD19" s="3349">
        <f t="shared" si="27"/>
        <v>0</v>
      </c>
      <c r="AE19" s="4074">
        <f t="shared" si="43"/>
        <v>0</v>
      </c>
      <c r="AF19" s="1055"/>
      <c r="AG19" s="3341"/>
      <c r="AH19" s="3341"/>
      <c r="AI19" s="3349">
        <f t="shared" si="28"/>
        <v>0</v>
      </c>
      <c r="AJ19" s="4074" t="e">
        <f t="shared" si="44"/>
        <v>#DIV/0!</v>
      </c>
      <c r="AK19" s="1055"/>
      <c r="AL19" s="3341"/>
      <c r="AM19" s="3341"/>
      <c r="AN19" s="3349">
        <f t="shared" si="29"/>
        <v>0</v>
      </c>
      <c r="AO19" s="4074" t="e">
        <f t="shared" si="45"/>
        <v>#DIV/0!</v>
      </c>
      <c r="AP19" s="1055"/>
      <c r="AQ19" s="3341"/>
      <c r="AR19" s="3341"/>
      <c r="AS19" s="3349">
        <f t="shared" si="30"/>
        <v>0</v>
      </c>
      <c r="AT19" s="4074" t="e">
        <f t="shared" si="46"/>
        <v>#DIV/0!</v>
      </c>
      <c r="AU19" s="1055"/>
      <c r="AV19" s="3341"/>
      <c r="AW19" s="3341"/>
      <c r="AX19" s="3349">
        <f t="shared" si="31"/>
        <v>0</v>
      </c>
      <c r="AY19" s="4074" t="e">
        <f t="shared" si="47"/>
        <v>#DIV/0!</v>
      </c>
      <c r="AZ19" s="1055"/>
      <c r="BA19" s="3341"/>
      <c r="BB19" s="3341"/>
      <c r="BC19" s="3349">
        <f t="shared" si="32"/>
        <v>0</v>
      </c>
      <c r="BD19" s="4074" t="e">
        <f t="shared" si="48"/>
        <v>#DIV/0!</v>
      </c>
      <c r="BE19" s="1055"/>
      <c r="BF19" s="3341"/>
      <c r="BG19" s="3341"/>
      <c r="BH19" s="3349">
        <f t="shared" si="33"/>
        <v>0</v>
      </c>
      <c r="BI19" s="4074" t="e">
        <f t="shared" si="49"/>
        <v>#DIV/0!</v>
      </c>
      <c r="BJ19" s="1055"/>
      <c r="BK19" s="3341"/>
      <c r="BL19" s="3341"/>
      <c r="BM19" s="3349">
        <f t="shared" si="34"/>
        <v>0</v>
      </c>
      <c r="BN19" s="4074" t="e">
        <f t="shared" si="50"/>
        <v>#DIV/0!</v>
      </c>
      <c r="BO19" s="1055"/>
      <c r="BP19" s="3341"/>
      <c r="BQ19" s="3341"/>
      <c r="BR19" s="3349">
        <f t="shared" si="35"/>
        <v>0</v>
      </c>
      <c r="BS19" s="4074" t="e">
        <f t="shared" si="51"/>
        <v>#DIV/0!</v>
      </c>
      <c r="BT19" s="1055"/>
      <c r="BU19" s="3341"/>
      <c r="BV19" s="3341"/>
      <c r="BW19" s="3349">
        <f t="shared" si="36"/>
        <v>0</v>
      </c>
      <c r="BX19" s="4074" t="e">
        <f t="shared" si="52"/>
        <v>#DIV/0!</v>
      </c>
      <c r="BY19" s="1055"/>
      <c r="BZ19" s="3341"/>
      <c r="CA19" s="3341"/>
      <c r="CB19" s="3349">
        <f t="shared" si="37"/>
        <v>0</v>
      </c>
      <c r="CC19" s="4074" t="e">
        <f t="shared" si="53"/>
        <v>#DIV/0!</v>
      </c>
      <c r="CD19" s="1055"/>
      <c r="CE19" s="3341"/>
      <c r="CF19" s="3341"/>
      <c r="CG19" s="3349">
        <f t="shared" si="38"/>
        <v>0</v>
      </c>
      <c r="CH19" s="4074" t="e">
        <f t="shared" si="54"/>
        <v>#DIV/0!</v>
      </c>
      <c r="CI19" s="1055"/>
      <c r="CJ19" s="3341">
        <f t="shared" si="39"/>
        <v>0</v>
      </c>
      <c r="CK19" s="3341">
        <f t="shared" si="39"/>
        <v>0</v>
      </c>
      <c r="CL19" s="3349">
        <f t="shared" si="55"/>
        <v>0</v>
      </c>
      <c r="CM19" s="4074">
        <f t="shared" si="40"/>
        <v>0</v>
      </c>
      <c r="CN19" s="1434"/>
      <c r="CP19" s="4186"/>
      <c r="CQ19" s="2012">
        <f t="shared" si="41"/>
        <v>0</v>
      </c>
      <c r="CR19" s="4188">
        <f t="shared" si="56"/>
        <v>0</v>
      </c>
      <c r="CT19" s="3443"/>
    </row>
    <row r="20" spans="1:100" s="1396" customFormat="1" ht="13.8" outlineLevel="2">
      <c r="A20" s="1571"/>
      <c r="B20" s="4075" t="s">
        <v>57</v>
      </c>
      <c r="C20" s="3341"/>
      <c r="D20" s="3341"/>
      <c r="E20" s="3349">
        <f t="shared" si="19"/>
        <v>0</v>
      </c>
      <c r="F20" s="4074" t="e">
        <f t="shared" si="16"/>
        <v>#DIV/0!</v>
      </c>
      <c r="G20" s="1055"/>
      <c r="H20" s="3341"/>
      <c r="I20" s="3341"/>
      <c r="J20" s="3349">
        <f t="shared" si="20"/>
        <v>0</v>
      </c>
      <c r="K20" s="4074" t="e">
        <f t="shared" si="42"/>
        <v>#DIV/0!</v>
      </c>
      <c r="L20" s="1055"/>
      <c r="M20" s="3341"/>
      <c r="N20" s="3341"/>
      <c r="O20" s="3349">
        <f t="shared" si="21"/>
        <v>0</v>
      </c>
      <c r="P20" s="4074" t="e">
        <f t="shared" si="22"/>
        <v>#DIV/0!</v>
      </c>
      <c r="Q20" s="1055"/>
      <c r="R20" s="3342">
        <f t="shared" si="23"/>
        <v>0</v>
      </c>
      <c r="S20" s="3342">
        <f t="shared" si="23"/>
        <v>0</v>
      </c>
      <c r="T20" s="2012">
        <f t="shared" si="24"/>
        <v>0</v>
      </c>
      <c r="U20" s="1055"/>
      <c r="V20" s="1055"/>
      <c r="W20" s="3342">
        <f t="shared" si="25"/>
        <v>0</v>
      </c>
      <c r="X20" s="3342">
        <f t="shared" si="25"/>
        <v>0</v>
      </c>
      <c r="Y20" s="2012">
        <f t="shared" si="26"/>
        <v>0</v>
      </c>
      <c r="Z20" s="1055"/>
      <c r="AA20" s="1055"/>
      <c r="AB20" s="3341"/>
      <c r="AC20" s="3341"/>
      <c r="AD20" s="3349">
        <f t="shared" si="27"/>
        <v>0</v>
      </c>
      <c r="AE20" s="4074">
        <f t="shared" si="43"/>
        <v>0</v>
      </c>
      <c r="AF20" s="1055"/>
      <c r="AG20" s="3341"/>
      <c r="AH20" s="3341"/>
      <c r="AI20" s="3349">
        <f t="shared" si="28"/>
        <v>0</v>
      </c>
      <c r="AJ20" s="4074" t="e">
        <f t="shared" si="44"/>
        <v>#DIV/0!</v>
      </c>
      <c r="AK20" s="1055"/>
      <c r="AL20" s="3341"/>
      <c r="AM20" s="3341"/>
      <c r="AN20" s="3349">
        <f t="shared" si="29"/>
        <v>0</v>
      </c>
      <c r="AO20" s="4074" t="e">
        <f t="shared" si="45"/>
        <v>#DIV/0!</v>
      </c>
      <c r="AP20" s="1055"/>
      <c r="AQ20" s="3341"/>
      <c r="AR20" s="3341"/>
      <c r="AS20" s="3349">
        <f t="shared" si="30"/>
        <v>0</v>
      </c>
      <c r="AT20" s="4074" t="e">
        <f t="shared" si="46"/>
        <v>#DIV/0!</v>
      </c>
      <c r="AU20" s="1055"/>
      <c r="AV20" s="3341"/>
      <c r="AW20" s="3341"/>
      <c r="AX20" s="3349">
        <f t="shared" si="31"/>
        <v>0</v>
      </c>
      <c r="AY20" s="4074" t="e">
        <f t="shared" si="47"/>
        <v>#DIV/0!</v>
      </c>
      <c r="AZ20" s="1055"/>
      <c r="BA20" s="3341"/>
      <c r="BB20" s="3341"/>
      <c r="BC20" s="3349">
        <f t="shared" si="32"/>
        <v>0</v>
      </c>
      <c r="BD20" s="4074" t="e">
        <f t="shared" si="48"/>
        <v>#DIV/0!</v>
      </c>
      <c r="BE20" s="1055"/>
      <c r="BF20" s="3341"/>
      <c r="BG20" s="3341"/>
      <c r="BH20" s="3349">
        <f t="shared" si="33"/>
        <v>0</v>
      </c>
      <c r="BI20" s="4074" t="e">
        <f t="shared" si="49"/>
        <v>#DIV/0!</v>
      </c>
      <c r="BJ20" s="1055"/>
      <c r="BK20" s="3341"/>
      <c r="BL20" s="3341"/>
      <c r="BM20" s="3349">
        <f t="shared" si="34"/>
        <v>0</v>
      </c>
      <c r="BN20" s="4074" t="e">
        <f t="shared" si="50"/>
        <v>#DIV/0!</v>
      </c>
      <c r="BO20" s="1055"/>
      <c r="BP20" s="3341"/>
      <c r="BQ20" s="3341"/>
      <c r="BR20" s="3349">
        <f t="shared" si="35"/>
        <v>0</v>
      </c>
      <c r="BS20" s="4074" t="e">
        <f t="shared" si="51"/>
        <v>#DIV/0!</v>
      </c>
      <c r="BT20" s="1055"/>
      <c r="BU20" s="3341"/>
      <c r="BV20" s="3341"/>
      <c r="BW20" s="3349">
        <f t="shared" si="36"/>
        <v>0</v>
      </c>
      <c r="BX20" s="4074" t="e">
        <f t="shared" si="52"/>
        <v>#DIV/0!</v>
      </c>
      <c r="BY20" s="1055"/>
      <c r="BZ20" s="3341"/>
      <c r="CA20" s="3341"/>
      <c r="CB20" s="3349">
        <f t="shared" si="37"/>
        <v>0</v>
      </c>
      <c r="CC20" s="4074" t="e">
        <f t="shared" si="53"/>
        <v>#DIV/0!</v>
      </c>
      <c r="CD20" s="1055"/>
      <c r="CE20" s="3341"/>
      <c r="CF20" s="3341"/>
      <c r="CG20" s="3349">
        <f t="shared" si="38"/>
        <v>0</v>
      </c>
      <c r="CH20" s="4074" t="e">
        <f t="shared" si="54"/>
        <v>#DIV/0!</v>
      </c>
      <c r="CI20" s="1055"/>
      <c r="CJ20" s="3341">
        <f t="shared" si="39"/>
        <v>0</v>
      </c>
      <c r="CK20" s="3341">
        <f t="shared" si="39"/>
        <v>0</v>
      </c>
      <c r="CL20" s="3349">
        <f t="shared" si="55"/>
        <v>0</v>
      </c>
      <c r="CM20" s="4074">
        <f t="shared" si="40"/>
        <v>0</v>
      </c>
      <c r="CN20" s="1434"/>
      <c r="CP20" s="4186"/>
      <c r="CQ20" s="2012">
        <f t="shared" si="41"/>
        <v>0</v>
      </c>
      <c r="CR20" s="4188">
        <f t="shared" si="56"/>
        <v>0</v>
      </c>
      <c r="CT20" s="3443"/>
    </row>
    <row r="21" spans="1:100" s="1396" customFormat="1" ht="13.8" outlineLevel="2">
      <c r="A21" s="1571"/>
      <c r="B21" s="4075" t="s">
        <v>58</v>
      </c>
      <c r="C21" s="3341"/>
      <c r="D21" s="3341"/>
      <c r="E21" s="3349">
        <f t="shared" si="19"/>
        <v>0</v>
      </c>
      <c r="F21" s="4074" t="e">
        <f t="shared" si="16"/>
        <v>#DIV/0!</v>
      </c>
      <c r="G21" s="1615"/>
      <c r="H21" s="3341"/>
      <c r="I21" s="3341"/>
      <c r="J21" s="3349">
        <f t="shared" si="20"/>
        <v>0</v>
      </c>
      <c r="K21" s="4074" t="e">
        <f t="shared" si="42"/>
        <v>#DIV/0!</v>
      </c>
      <c r="L21" s="1615"/>
      <c r="M21" s="3341"/>
      <c r="N21" s="3341"/>
      <c r="O21" s="3349">
        <f t="shared" si="21"/>
        <v>0</v>
      </c>
      <c r="P21" s="4074" t="e">
        <f t="shared" si="22"/>
        <v>#DIV/0!</v>
      </c>
      <c r="Q21" s="1615"/>
      <c r="R21" s="3342">
        <f t="shared" si="23"/>
        <v>0</v>
      </c>
      <c r="S21" s="3342">
        <f t="shared" si="23"/>
        <v>0</v>
      </c>
      <c r="T21" s="2012">
        <f t="shared" si="24"/>
        <v>0</v>
      </c>
      <c r="U21" s="1615"/>
      <c r="V21" s="1615"/>
      <c r="W21" s="3342">
        <f t="shared" si="25"/>
        <v>0</v>
      </c>
      <c r="X21" s="3342">
        <f t="shared" si="25"/>
        <v>0</v>
      </c>
      <c r="Y21" s="2012">
        <f t="shared" si="26"/>
        <v>0</v>
      </c>
      <c r="Z21" s="1615"/>
      <c r="AA21" s="1615"/>
      <c r="AB21" s="3341"/>
      <c r="AC21" s="3341"/>
      <c r="AD21" s="3349">
        <f t="shared" si="27"/>
        <v>0</v>
      </c>
      <c r="AE21" s="4074">
        <f t="shared" si="43"/>
        <v>0</v>
      </c>
      <c r="AF21" s="1615"/>
      <c r="AG21" s="3341"/>
      <c r="AH21" s="3341"/>
      <c r="AI21" s="3349">
        <f t="shared" si="28"/>
        <v>0</v>
      </c>
      <c r="AJ21" s="4074" t="e">
        <f t="shared" si="44"/>
        <v>#DIV/0!</v>
      </c>
      <c r="AK21" s="1615"/>
      <c r="AL21" s="3341"/>
      <c r="AM21" s="3341"/>
      <c r="AN21" s="3349">
        <f t="shared" si="29"/>
        <v>0</v>
      </c>
      <c r="AO21" s="4074" t="e">
        <f t="shared" si="45"/>
        <v>#DIV/0!</v>
      </c>
      <c r="AP21" s="1615"/>
      <c r="AQ21" s="3341"/>
      <c r="AR21" s="3341"/>
      <c r="AS21" s="3349">
        <f t="shared" si="30"/>
        <v>0</v>
      </c>
      <c r="AT21" s="4074" t="e">
        <f t="shared" si="46"/>
        <v>#DIV/0!</v>
      </c>
      <c r="AU21" s="1615"/>
      <c r="AV21" s="3341"/>
      <c r="AW21" s="3341"/>
      <c r="AX21" s="3349">
        <f t="shared" si="31"/>
        <v>0</v>
      </c>
      <c r="AY21" s="4074" t="e">
        <f t="shared" si="47"/>
        <v>#DIV/0!</v>
      </c>
      <c r="AZ21" s="1615"/>
      <c r="BA21" s="3341"/>
      <c r="BB21" s="3341"/>
      <c r="BC21" s="3349">
        <f t="shared" si="32"/>
        <v>0</v>
      </c>
      <c r="BD21" s="4074" t="e">
        <f t="shared" si="48"/>
        <v>#DIV/0!</v>
      </c>
      <c r="BE21" s="1615"/>
      <c r="BF21" s="3341"/>
      <c r="BG21" s="3341"/>
      <c r="BH21" s="3349">
        <f t="shared" si="33"/>
        <v>0</v>
      </c>
      <c r="BI21" s="4074" t="e">
        <f t="shared" si="49"/>
        <v>#DIV/0!</v>
      </c>
      <c r="BJ21" s="1615"/>
      <c r="BK21" s="3341"/>
      <c r="BL21" s="3341"/>
      <c r="BM21" s="3349">
        <f t="shared" si="34"/>
        <v>0</v>
      </c>
      <c r="BN21" s="4074" t="e">
        <f t="shared" si="50"/>
        <v>#DIV/0!</v>
      </c>
      <c r="BO21" s="1615"/>
      <c r="BP21" s="3341"/>
      <c r="BQ21" s="3341"/>
      <c r="BR21" s="3349">
        <f t="shared" si="35"/>
        <v>0</v>
      </c>
      <c r="BS21" s="4074" t="e">
        <f t="shared" si="51"/>
        <v>#DIV/0!</v>
      </c>
      <c r="BT21" s="1615"/>
      <c r="BU21" s="3341"/>
      <c r="BV21" s="3341"/>
      <c r="BW21" s="3349">
        <f t="shared" si="36"/>
        <v>0</v>
      </c>
      <c r="BX21" s="4074" t="e">
        <f t="shared" si="52"/>
        <v>#DIV/0!</v>
      </c>
      <c r="BY21" s="1615"/>
      <c r="BZ21" s="3341"/>
      <c r="CA21" s="3341"/>
      <c r="CB21" s="3349">
        <f t="shared" si="37"/>
        <v>0</v>
      </c>
      <c r="CC21" s="4074" t="e">
        <f t="shared" si="53"/>
        <v>#DIV/0!</v>
      </c>
      <c r="CD21" s="1615"/>
      <c r="CE21" s="3341"/>
      <c r="CF21" s="3341"/>
      <c r="CG21" s="3349">
        <f t="shared" si="38"/>
        <v>0</v>
      </c>
      <c r="CH21" s="4074" t="e">
        <f t="shared" si="54"/>
        <v>#DIV/0!</v>
      </c>
      <c r="CI21" s="1615"/>
      <c r="CJ21" s="3341">
        <f t="shared" si="39"/>
        <v>0</v>
      </c>
      <c r="CK21" s="3341">
        <f t="shared" si="39"/>
        <v>0</v>
      </c>
      <c r="CL21" s="3349">
        <f t="shared" si="55"/>
        <v>0</v>
      </c>
      <c r="CM21" s="4074">
        <f t="shared" si="40"/>
        <v>0</v>
      </c>
      <c r="CN21" s="1434"/>
      <c r="CP21" s="4186"/>
      <c r="CQ21" s="2012">
        <f t="shared" si="41"/>
        <v>0</v>
      </c>
      <c r="CR21" s="4188">
        <f t="shared" si="56"/>
        <v>0</v>
      </c>
      <c r="CT21" s="3443"/>
    </row>
    <row r="22" spans="1:100" s="1396" customFormat="1" ht="13.8" outlineLevel="2">
      <c r="A22" s="1571"/>
      <c r="B22" s="4075" t="s">
        <v>621</v>
      </c>
      <c r="C22" s="3341"/>
      <c r="D22" s="3341"/>
      <c r="E22" s="3349">
        <f t="shared" si="19"/>
        <v>0</v>
      </c>
      <c r="F22" s="4074" t="e">
        <f t="shared" si="16"/>
        <v>#DIV/0!</v>
      </c>
      <c r="G22" s="3342"/>
      <c r="H22" s="3341"/>
      <c r="I22" s="3341"/>
      <c r="J22" s="3349">
        <f t="shared" si="20"/>
        <v>0</v>
      </c>
      <c r="K22" s="4074" t="e">
        <f t="shared" si="42"/>
        <v>#DIV/0!</v>
      </c>
      <c r="L22" s="3342"/>
      <c r="M22" s="3341"/>
      <c r="N22" s="3341"/>
      <c r="O22" s="3349">
        <f t="shared" si="21"/>
        <v>0</v>
      </c>
      <c r="P22" s="4074" t="e">
        <f t="shared" si="22"/>
        <v>#DIV/0!</v>
      </c>
      <c r="Q22" s="3342"/>
      <c r="R22" s="3342">
        <f t="shared" si="23"/>
        <v>0</v>
      </c>
      <c r="S22" s="3342">
        <f t="shared" si="23"/>
        <v>0</v>
      </c>
      <c r="T22" s="2012">
        <f t="shared" si="24"/>
        <v>0</v>
      </c>
      <c r="U22" s="3342"/>
      <c r="V22" s="3342"/>
      <c r="W22" s="3342">
        <f t="shared" si="25"/>
        <v>0</v>
      </c>
      <c r="X22" s="3342">
        <f t="shared" si="25"/>
        <v>0</v>
      </c>
      <c r="Y22" s="2012">
        <f t="shared" si="26"/>
        <v>0</v>
      </c>
      <c r="Z22" s="3342"/>
      <c r="AA22" s="3342"/>
      <c r="AB22" s="3341"/>
      <c r="AC22" s="3341"/>
      <c r="AD22" s="3349">
        <f t="shared" si="27"/>
        <v>0</v>
      </c>
      <c r="AE22" s="4074">
        <f t="shared" si="43"/>
        <v>0</v>
      </c>
      <c r="AF22" s="3342"/>
      <c r="AG22" s="3341"/>
      <c r="AH22" s="3341"/>
      <c r="AI22" s="3349">
        <f t="shared" si="28"/>
        <v>0</v>
      </c>
      <c r="AJ22" s="4074" t="e">
        <f t="shared" si="44"/>
        <v>#DIV/0!</v>
      </c>
      <c r="AK22" s="3342"/>
      <c r="AL22" s="3341"/>
      <c r="AM22" s="3341"/>
      <c r="AN22" s="3349">
        <f t="shared" si="29"/>
        <v>0</v>
      </c>
      <c r="AO22" s="4074" t="e">
        <f t="shared" si="45"/>
        <v>#DIV/0!</v>
      </c>
      <c r="AP22" s="3342"/>
      <c r="AQ22" s="3341"/>
      <c r="AR22" s="3341"/>
      <c r="AS22" s="3349">
        <f t="shared" si="30"/>
        <v>0</v>
      </c>
      <c r="AT22" s="4074" t="e">
        <f t="shared" si="46"/>
        <v>#DIV/0!</v>
      </c>
      <c r="AU22" s="3342"/>
      <c r="AV22" s="3341"/>
      <c r="AW22" s="3341"/>
      <c r="AX22" s="3349">
        <f t="shared" si="31"/>
        <v>0</v>
      </c>
      <c r="AY22" s="4074" t="e">
        <f t="shared" si="47"/>
        <v>#DIV/0!</v>
      </c>
      <c r="AZ22" s="3342"/>
      <c r="BA22" s="3341"/>
      <c r="BB22" s="3341"/>
      <c r="BC22" s="3349">
        <f t="shared" si="32"/>
        <v>0</v>
      </c>
      <c r="BD22" s="4074" t="e">
        <f t="shared" si="48"/>
        <v>#DIV/0!</v>
      </c>
      <c r="BE22" s="3342"/>
      <c r="BF22" s="3341"/>
      <c r="BG22" s="3341"/>
      <c r="BH22" s="3349">
        <f t="shared" si="33"/>
        <v>0</v>
      </c>
      <c r="BI22" s="4074" t="e">
        <f t="shared" si="49"/>
        <v>#DIV/0!</v>
      </c>
      <c r="BJ22" s="3342"/>
      <c r="BK22" s="3341"/>
      <c r="BL22" s="3341"/>
      <c r="BM22" s="3349">
        <f t="shared" si="34"/>
        <v>0</v>
      </c>
      <c r="BN22" s="4074" t="e">
        <f t="shared" si="50"/>
        <v>#DIV/0!</v>
      </c>
      <c r="BO22" s="3342"/>
      <c r="BP22" s="3341"/>
      <c r="BQ22" s="3341"/>
      <c r="BR22" s="3349">
        <f t="shared" si="35"/>
        <v>0</v>
      </c>
      <c r="BS22" s="4074" t="e">
        <f t="shared" si="51"/>
        <v>#DIV/0!</v>
      </c>
      <c r="BT22" s="3342"/>
      <c r="BU22" s="3341"/>
      <c r="BV22" s="3341"/>
      <c r="BW22" s="3349">
        <f t="shared" si="36"/>
        <v>0</v>
      </c>
      <c r="BX22" s="4074" t="e">
        <f t="shared" si="52"/>
        <v>#DIV/0!</v>
      </c>
      <c r="BY22" s="3342"/>
      <c r="BZ22" s="3341"/>
      <c r="CA22" s="3341"/>
      <c r="CB22" s="3349">
        <f t="shared" si="37"/>
        <v>0</v>
      </c>
      <c r="CC22" s="4074" t="e">
        <f t="shared" si="53"/>
        <v>#DIV/0!</v>
      </c>
      <c r="CD22" s="3342"/>
      <c r="CE22" s="3341"/>
      <c r="CF22" s="3341"/>
      <c r="CG22" s="3349">
        <f t="shared" si="38"/>
        <v>0</v>
      </c>
      <c r="CH22" s="4074" t="e">
        <f t="shared" si="54"/>
        <v>#DIV/0!</v>
      </c>
      <c r="CI22" s="3342"/>
      <c r="CJ22" s="3341">
        <f t="shared" si="39"/>
        <v>0</v>
      </c>
      <c r="CK22" s="3341">
        <f t="shared" si="39"/>
        <v>0</v>
      </c>
      <c r="CL22" s="3349">
        <f t="shared" si="55"/>
        <v>0</v>
      </c>
      <c r="CM22" s="4074">
        <f t="shared" si="40"/>
        <v>0</v>
      </c>
      <c r="CN22" s="1434"/>
      <c r="CP22" s="4186"/>
      <c r="CQ22" s="2012">
        <f t="shared" si="41"/>
        <v>0</v>
      </c>
      <c r="CR22" s="4188">
        <f t="shared" si="56"/>
        <v>0</v>
      </c>
      <c r="CT22" s="3443">
        <f>CQ22</f>
        <v>0</v>
      </c>
    </row>
    <row r="23" spans="1:100" s="1396" customFormat="1" ht="13.8" outlineLevel="2">
      <c r="A23" s="1571"/>
      <c r="B23" s="4075" t="s">
        <v>630</v>
      </c>
      <c r="C23" s="3341"/>
      <c r="D23" s="3341"/>
      <c r="E23" s="3349">
        <f t="shared" si="19"/>
        <v>0</v>
      </c>
      <c r="F23" s="4074" t="e">
        <f t="shared" si="16"/>
        <v>#DIV/0!</v>
      </c>
      <c r="G23" s="1055"/>
      <c r="H23" s="3341"/>
      <c r="I23" s="3341"/>
      <c r="J23" s="3349">
        <f t="shared" si="20"/>
        <v>0</v>
      </c>
      <c r="K23" s="4074" t="e">
        <f t="shared" si="42"/>
        <v>#DIV/0!</v>
      </c>
      <c r="L23" s="1055"/>
      <c r="M23" s="3341"/>
      <c r="N23" s="3341"/>
      <c r="O23" s="3349">
        <f t="shared" si="21"/>
        <v>0</v>
      </c>
      <c r="P23" s="4074" t="e">
        <f t="shared" si="22"/>
        <v>#DIV/0!</v>
      </c>
      <c r="Q23" s="1055"/>
      <c r="R23" s="3342">
        <f t="shared" si="23"/>
        <v>0</v>
      </c>
      <c r="S23" s="3342">
        <f t="shared" si="23"/>
        <v>0</v>
      </c>
      <c r="T23" s="2012">
        <f t="shared" si="24"/>
        <v>0</v>
      </c>
      <c r="U23" s="1055"/>
      <c r="V23" s="1055"/>
      <c r="W23" s="3342">
        <f t="shared" si="25"/>
        <v>0</v>
      </c>
      <c r="X23" s="3342">
        <f t="shared" si="25"/>
        <v>0</v>
      </c>
      <c r="Y23" s="2012">
        <f t="shared" si="26"/>
        <v>0</v>
      </c>
      <c r="Z23" s="1055"/>
      <c r="AA23" s="1055"/>
      <c r="AB23" s="3341"/>
      <c r="AC23" s="3341"/>
      <c r="AD23" s="3349">
        <f t="shared" si="27"/>
        <v>0</v>
      </c>
      <c r="AE23" s="4074">
        <f t="shared" si="43"/>
        <v>0</v>
      </c>
      <c r="AF23" s="1055"/>
      <c r="AG23" s="3341"/>
      <c r="AH23" s="3341"/>
      <c r="AI23" s="3349">
        <f t="shared" si="28"/>
        <v>0</v>
      </c>
      <c r="AJ23" s="4074" t="e">
        <f t="shared" si="44"/>
        <v>#DIV/0!</v>
      </c>
      <c r="AK23" s="1055"/>
      <c r="AL23" s="3341"/>
      <c r="AM23" s="3341"/>
      <c r="AN23" s="3349">
        <f t="shared" si="29"/>
        <v>0</v>
      </c>
      <c r="AO23" s="4074" t="e">
        <f t="shared" si="45"/>
        <v>#DIV/0!</v>
      </c>
      <c r="AP23" s="1055"/>
      <c r="AQ23" s="3341"/>
      <c r="AR23" s="3341"/>
      <c r="AS23" s="3349">
        <f t="shared" si="30"/>
        <v>0</v>
      </c>
      <c r="AT23" s="4074" t="e">
        <f t="shared" si="46"/>
        <v>#DIV/0!</v>
      </c>
      <c r="AU23" s="1055"/>
      <c r="AV23" s="3341"/>
      <c r="AW23" s="3341"/>
      <c r="AX23" s="3349">
        <f t="shared" si="31"/>
        <v>0</v>
      </c>
      <c r="AY23" s="4074" t="e">
        <f t="shared" si="47"/>
        <v>#DIV/0!</v>
      </c>
      <c r="AZ23" s="1055"/>
      <c r="BA23" s="3341"/>
      <c r="BB23" s="3341"/>
      <c r="BC23" s="3349">
        <f t="shared" si="32"/>
        <v>0</v>
      </c>
      <c r="BD23" s="4074" t="e">
        <f t="shared" si="48"/>
        <v>#DIV/0!</v>
      </c>
      <c r="BE23" s="1055"/>
      <c r="BF23" s="3341"/>
      <c r="BG23" s="3341"/>
      <c r="BH23" s="3349">
        <f t="shared" si="33"/>
        <v>0</v>
      </c>
      <c r="BI23" s="4074" t="e">
        <f t="shared" si="49"/>
        <v>#DIV/0!</v>
      </c>
      <c r="BJ23" s="1055"/>
      <c r="BK23" s="3341"/>
      <c r="BL23" s="3341"/>
      <c r="BM23" s="3349">
        <f t="shared" si="34"/>
        <v>0</v>
      </c>
      <c r="BN23" s="4074" t="e">
        <f t="shared" si="50"/>
        <v>#DIV/0!</v>
      </c>
      <c r="BO23" s="1055"/>
      <c r="BP23" s="3341"/>
      <c r="BQ23" s="3341"/>
      <c r="BR23" s="3349">
        <f t="shared" si="35"/>
        <v>0</v>
      </c>
      <c r="BS23" s="4074" t="e">
        <f t="shared" si="51"/>
        <v>#DIV/0!</v>
      </c>
      <c r="BT23" s="1055"/>
      <c r="BU23" s="3341"/>
      <c r="BV23" s="3341"/>
      <c r="BW23" s="3349">
        <f t="shared" si="36"/>
        <v>0</v>
      </c>
      <c r="BX23" s="4074" t="e">
        <f t="shared" si="52"/>
        <v>#DIV/0!</v>
      </c>
      <c r="BY23" s="1055"/>
      <c r="BZ23" s="3341"/>
      <c r="CA23" s="3341"/>
      <c r="CB23" s="3349">
        <f t="shared" si="37"/>
        <v>0</v>
      </c>
      <c r="CC23" s="4074" t="e">
        <f t="shared" si="53"/>
        <v>#DIV/0!</v>
      </c>
      <c r="CD23" s="1055"/>
      <c r="CE23" s="3341"/>
      <c r="CF23" s="3341"/>
      <c r="CG23" s="3349">
        <f t="shared" si="38"/>
        <v>0</v>
      </c>
      <c r="CH23" s="4074" t="e">
        <f t="shared" si="54"/>
        <v>#DIV/0!</v>
      </c>
      <c r="CI23" s="1055"/>
      <c r="CJ23" s="3341">
        <f t="shared" si="39"/>
        <v>0</v>
      </c>
      <c r="CK23" s="3341">
        <f t="shared" si="39"/>
        <v>0</v>
      </c>
      <c r="CL23" s="3349">
        <f t="shared" si="55"/>
        <v>0</v>
      </c>
      <c r="CM23" s="4074">
        <f t="shared" si="40"/>
        <v>0</v>
      </c>
      <c r="CN23" s="1434"/>
      <c r="CP23" s="4186"/>
      <c r="CQ23" s="2012">
        <f t="shared" si="41"/>
        <v>0</v>
      </c>
      <c r="CR23" s="4188">
        <f t="shared" si="56"/>
        <v>0</v>
      </c>
      <c r="CT23" s="3443"/>
    </row>
    <row r="24" spans="1:100" s="1396" customFormat="1" ht="13.8" outlineLevel="2">
      <c r="A24" s="1571"/>
      <c r="B24" s="4075" t="s">
        <v>23</v>
      </c>
      <c r="C24" s="3341"/>
      <c r="D24" s="3341"/>
      <c r="E24" s="3349">
        <f t="shared" si="19"/>
        <v>0</v>
      </c>
      <c r="F24" s="4074" t="e">
        <f t="shared" si="16"/>
        <v>#DIV/0!</v>
      </c>
      <c r="G24" s="3342"/>
      <c r="H24" s="3341"/>
      <c r="I24" s="3341"/>
      <c r="J24" s="3349">
        <f t="shared" si="20"/>
        <v>0</v>
      </c>
      <c r="K24" s="4074" t="e">
        <f t="shared" si="42"/>
        <v>#DIV/0!</v>
      </c>
      <c r="L24" s="3342"/>
      <c r="M24" s="3341"/>
      <c r="N24" s="3341"/>
      <c r="O24" s="3349">
        <f t="shared" si="21"/>
        <v>0</v>
      </c>
      <c r="P24" s="4074" t="e">
        <f t="shared" si="22"/>
        <v>#DIV/0!</v>
      </c>
      <c r="Q24" s="3342"/>
      <c r="R24" s="3342">
        <f t="shared" si="23"/>
        <v>0</v>
      </c>
      <c r="S24" s="3342">
        <f t="shared" si="23"/>
        <v>0</v>
      </c>
      <c r="T24" s="2012">
        <f t="shared" si="24"/>
        <v>0</v>
      </c>
      <c r="U24" s="3342"/>
      <c r="V24" s="3342"/>
      <c r="W24" s="3342">
        <f t="shared" si="25"/>
        <v>0</v>
      </c>
      <c r="X24" s="3342">
        <f t="shared" si="25"/>
        <v>0</v>
      </c>
      <c r="Y24" s="2012">
        <f t="shared" si="26"/>
        <v>0</v>
      </c>
      <c r="Z24" s="3342"/>
      <c r="AA24" s="3342"/>
      <c r="AB24" s="3341"/>
      <c r="AC24" s="3341"/>
      <c r="AD24" s="3349">
        <f t="shared" si="27"/>
        <v>0</v>
      </c>
      <c r="AE24" s="4074">
        <f t="shared" si="43"/>
        <v>0</v>
      </c>
      <c r="AF24" s="3342"/>
      <c r="AG24" s="3341"/>
      <c r="AH24" s="3341"/>
      <c r="AI24" s="3349">
        <f t="shared" si="28"/>
        <v>0</v>
      </c>
      <c r="AJ24" s="4074" t="e">
        <f t="shared" si="44"/>
        <v>#DIV/0!</v>
      </c>
      <c r="AK24" s="3342"/>
      <c r="AL24" s="3341"/>
      <c r="AM24" s="3341"/>
      <c r="AN24" s="3349">
        <f t="shared" si="29"/>
        <v>0</v>
      </c>
      <c r="AO24" s="4074" t="e">
        <f t="shared" si="45"/>
        <v>#DIV/0!</v>
      </c>
      <c r="AP24" s="3342"/>
      <c r="AQ24" s="3341"/>
      <c r="AR24" s="3341"/>
      <c r="AS24" s="3349">
        <f t="shared" si="30"/>
        <v>0</v>
      </c>
      <c r="AT24" s="4074" t="e">
        <f t="shared" si="46"/>
        <v>#DIV/0!</v>
      </c>
      <c r="AU24" s="3342"/>
      <c r="AV24" s="3341"/>
      <c r="AW24" s="3341"/>
      <c r="AX24" s="3349">
        <f t="shared" si="31"/>
        <v>0</v>
      </c>
      <c r="AY24" s="4074" t="e">
        <f t="shared" si="47"/>
        <v>#DIV/0!</v>
      </c>
      <c r="AZ24" s="3342"/>
      <c r="BA24" s="3341"/>
      <c r="BB24" s="3341"/>
      <c r="BC24" s="3349">
        <f t="shared" si="32"/>
        <v>0</v>
      </c>
      <c r="BD24" s="4074" t="e">
        <f t="shared" si="48"/>
        <v>#DIV/0!</v>
      </c>
      <c r="BE24" s="3342"/>
      <c r="BF24" s="3341"/>
      <c r="BG24" s="3341"/>
      <c r="BH24" s="3349">
        <f t="shared" si="33"/>
        <v>0</v>
      </c>
      <c r="BI24" s="4074" t="e">
        <f t="shared" si="49"/>
        <v>#DIV/0!</v>
      </c>
      <c r="BJ24" s="3342"/>
      <c r="BK24" s="3341"/>
      <c r="BL24" s="3341"/>
      <c r="BM24" s="3349">
        <f t="shared" si="34"/>
        <v>0</v>
      </c>
      <c r="BN24" s="4074" t="e">
        <f t="shared" si="50"/>
        <v>#DIV/0!</v>
      </c>
      <c r="BO24" s="3342"/>
      <c r="BP24" s="3341"/>
      <c r="BQ24" s="3341"/>
      <c r="BR24" s="3349">
        <f t="shared" si="35"/>
        <v>0</v>
      </c>
      <c r="BS24" s="4074" t="e">
        <f t="shared" si="51"/>
        <v>#DIV/0!</v>
      </c>
      <c r="BT24" s="3342"/>
      <c r="BU24" s="3341"/>
      <c r="BV24" s="3341"/>
      <c r="BW24" s="3349">
        <f t="shared" si="36"/>
        <v>0</v>
      </c>
      <c r="BX24" s="4074" t="e">
        <f t="shared" si="52"/>
        <v>#DIV/0!</v>
      </c>
      <c r="BY24" s="3342"/>
      <c r="BZ24" s="3341"/>
      <c r="CA24" s="3341"/>
      <c r="CB24" s="3349">
        <f t="shared" si="37"/>
        <v>0</v>
      </c>
      <c r="CC24" s="4074" t="e">
        <f t="shared" si="53"/>
        <v>#DIV/0!</v>
      </c>
      <c r="CD24" s="3342"/>
      <c r="CE24" s="3341"/>
      <c r="CF24" s="3341"/>
      <c r="CG24" s="3349">
        <f t="shared" si="38"/>
        <v>0</v>
      </c>
      <c r="CH24" s="4074" t="e">
        <f t="shared" si="54"/>
        <v>#DIV/0!</v>
      </c>
      <c r="CI24" s="3342"/>
      <c r="CJ24" s="3341">
        <f t="shared" si="39"/>
        <v>0</v>
      </c>
      <c r="CK24" s="3341">
        <f t="shared" si="39"/>
        <v>0</v>
      </c>
      <c r="CL24" s="3349">
        <f t="shared" si="55"/>
        <v>0</v>
      </c>
      <c r="CM24" s="4074">
        <f t="shared" si="40"/>
        <v>0</v>
      </c>
      <c r="CN24" s="1434"/>
      <c r="CP24" s="4186"/>
      <c r="CQ24" s="2012"/>
      <c r="CR24" s="4188">
        <f t="shared" si="56"/>
        <v>0</v>
      </c>
      <c r="CT24" s="3443"/>
    </row>
    <row r="25" spans="1:100" s="1396" customFormat="1" ht="13.8" outlineLevel="2">
      <c r="A25" s="1571"/>
      <c r="B25" s="4075" t="s">
        <v>24</v>
      </c>
      <c r="C25" s="3341"/>
      <c r="D25" s="3341"/>
      <c r="E25" s="3349">
        <f t="shared" si="19"/>
        <v>0</v>
      </c>
      <c r="F25" s="4074" t="e">
        <f t="shared" si="16"/>
        <v>#DIV/0!</v>
      </c>
      <c r="G25" s="3342"/>
      <c r="H25" s="3341"/>
      <c r="I25" s="3341"/>
      <c r="J25" s="3349">
        <f t="shared" si="20"/>
        <v>0</v>
      </c>
      <c r="K25" s="4074" t="e">
        <f t="shared" si="42"/>
        <v>#DIV/0!</v>
      </c>
      <c r="L25" s="3342"/>
      <c r="M25" s="3341"/>
      <c r="N25" s="3341"/>
      <c r="O25" s="3349">
        <f t="shared" si="21"/>
        <v>0</v>
      </c>
      <c r="P25" s="4074" t="e">
        <f t="shared" si="22"/>
        <v>#DIV/0!</v>
      </c>
      <c r="Q25" s="3342"/>
      <c r="R25" s="3342">
        <f t="shared" si="23"/>
        <v>0</v>
      </c>
      <c r="S25" s="3342">
        <f t="shared" si="23"/>
        <v>0</v>
      </c>
      <c r="T25" s="2012">
        <f t="shared" si="24"/>
        <v>0</v>
      </c>
      <c r="U25" s="3342"/>
      <c r="V25" s="3342"/>
      <c r="W25" s="3342">
        <f t="shared" si="25"/>
        <v>0</v>
      </c>
      <c r="X25" s="3342">
        <f t="shared" si="25"/>
        <v>0</v>
      </c>
      <c r="Y25" s="2012">
        <f t="shared" si="26"/>
        <v>0</v>
      </c>
      <c r="Z25" s="3342"/>
      <c r="AA25" s="3342"/>
      <c r="AB25" s="3341"/>
      <c r="AC25" s="3341"/>
      <c r="AD25" s="3349">
        <f t="shared" si="27"/>
        <v>0</v>
      </c>
      <c r="AE25" s="4074">
        <f t="shared" si="43"/>
        <v>0</v>
      </c>
      <c r="AF25" s="3342"/>
      <c r="AG25" s="3341"/>
      <c r="AH25" s="3341"/>
      <c r="AI25" s="3349">
        <f t="shared" si="28"/>
        <v>0</v>
      </c>
      <c r="AJ25" s="4074" t="e">
        <f t="shared" si="44"/>
        <v>#DIV/0!</v>
      </c>
      <c r="AK25" s="3342"/>
      <c r="AL25" s="3341"/>
      <c r="AM25" s="3341"/>
      <c r="AN25" s="3349">
        <f t="shared" si="29"/>
        <v>0</v>
      </c>
      <c r="AO25" s="4074" t="e">
        <f t="shared" si="45"/>
        <v>#DIV/0!</v>
      </c>
      <c r="AP25" s="3342"/>
      <c r="AQ25" s="3341"/>
      <c r="AR25" s="3341"/>
      <c r="AS25" s="3349">
        <f t="shared" si="30"/>
        <v>0</v>
      </c>
      <c r="AT25" s="4074" t="e">
        <f t="shared" si="46"/>
        <v>#DIV/0!</v>
      </c>
      <c r="AU25" s="3342"/>
      <c r="AV25" s="3341"/>
      <c r="AW25" s="3341"/>
      <c r="AX25" s="3349">
        <f t="shared" si="31"/>
        <v>0</v>
      </c>
      <c r="AY25" s="4074" t="e">
        <f t="shared" si="47"/>
        <v>#DIV/0!</v>
      </c>
      <c r="AZ25" s="3342"/>
      <c r="BA25" s="3341"/>
      <c r="BB25" s="3341"/>
      <c r="BC25" s="3349">
        <f t="shared" si="32"/>
        <v>0</v>
      </c>
      <c r="BD25" s="4074" t="e">
        <f t="shared" si="48"/>
        <v>#DIV/0!</v>
      </c>
      <c r="BE25" s="3342"/>
      <c r="BF25" s="3341"/>
      <c r="BG25" s="3341"/>
      <c r="BH25" s="3349">
        <f t="shared" si="33"/>
        <v>0</v>
      </c>
      <c r="BI25" s="4074" t="e">
        <f t="shared" si="49"/>
        <v>#DIV/0!</v>
      </c>
      <c r="BJ25" s="3342"/>
      <c r="BK25" s="3341"/>
      <c r="BL25" s="3341"/>
      <c r="BM25" s="3349">
        <f t="shared" si="34"/>
        <v>0</v>
      </c>
      <c r="BN25" s="4074" t="e">
        <f t="shared" si="50"/>
        <v>#DIV/0!</v>
      </c>
      <c r="BO25" s="3342"/>
      <c r="BP25" s="3341"/>
      <c r="BQ25" s="3341"/>
      <c r="BR25" s="3349">
        <f t="shared" si="35"/>
        <v>0</v>
      </c>
      <c r="BS25" s="4074" t="e">
        <f t="shared" si="51"/>
        <v>#DIV/0!</v>
      </c>
      <c r="BT25" s="3342"/>
      <c r="BU25" s="3341"/>
      <c r="BV25" s="3341"/>
      <c r="BW25" s="3349">
        <f t="shared" si="36"/>
        <v>0</v>
      </c>
      <c r="BX25" s="4074" t="e">
        <f t="shared" si="52"/>
        <v>#DIV/0!</v>
      </c>
      <c r="BY25" s="3342"/>
      <c r="BZ25" s="3341"/>
      <c r="CA25" s="3341"/>
      <c r="CB25" s="3349">
        <f t="shared" si="37"/>
        <v>0</v>
      </c>
      <c r="CC25" s="4074" t="e">
        <f t="shared" si="53"/>
        <v>#DIV/0!</v>
      </c>
      <c r="CD25" s="3342"/>
      <c r="CE25" s="3341"/>
      <c r="CF25" s="3341"/>
      <c r="CG25" s="3349">
        <f t="shared" si="38"/>
        <v>0</v>
      </c>
      <c r="CH25" s="4074" t="e">
        <f t="shared" si="54"/>
        <v>#DIV/0!</v>
      </c>
      <c r="CI25" s="3342"/>
      <c r="CJ25" s="3341">
        <f t="shared" si="39"/>
        <v>0</v>
      </c>
      <c r="CK25" s="3341">
        <f t="shared" si="39"/>
        <v>0</v>
      </c>
      <c r="CL25" s="3349">
        <f t="shared" si="55"/>
        <v>0</v>
      </c>
      <c r="CM25" s="4074">
        <f t="shared" si="40"/>
        <v>0</v>
      </c>
      <c r="CN25" s="1434"/>
      <c r="CP25" s="4186">
        <v>3666.3</v>
      </c>
      <c r="CQ25" s="2012"/>
      <c r="CR25" s="4188">
        <f t="shared" si="56"/>
        <v>3666.3</v>
      </c>
      <c r="CS25" s="3307"/>
      <c r="CT25" s="3443"/>
    </row>
    <row r="26" spans="1:100" s="1396" customFormat="1" ht="13.8" outlineLevel="2">
      <c r="A26" s="1571"/>
      <c r="B26" s="4075" t="s">
        <v>45</v>
      </c>
      <c r="C26" s="3341"/>
      <c r="D26" s="3341"/>
      <c r="E26" s="3349">
        <f t="shared" si="19"/>
        <v>0</v>
      </c>
      <c r="F26" s="4074" t="e">
        <f t="shared" si="16"/>
        <v>#DIV/0!</v>
      </c>
      <c r="G26" s="3342"/>
      <c r="H26" s="3341"/>
      <c r="I26" s="3341"/>
      <c r="J26" s="3349">
        <f t="shared" si="20"/>
        <v>0</v>
      </c>
      <c r="K26" s="4074" t="e">
        <f t="shared" si="42"/>
        <v>#DIV/0!</v>
      </c>
      <c r="L26" s="3342"/>
      <c r="M26" s="3341"/>
      <c r="N26" s="3341"/>
      <c r="O26" s="3349">
        <f t="shared" si="21"/>
        <v>0</v>
      </c>
      <c r="P26" s="4074" t="e">
        <f t="shared" si="22"/>
        <v>#DIV/0!</v>
      </c>
      <c r="Q26" s="3342"/>
      <c r="R26" s="3342">
        <f t="shared" si="23"/>
        <v>0</v>
      </c>
      <c r="S26" s="3342">
        <f t="shared" si="23"/>
        <v>0</v>
      </c>
      <c r="T26" s="2012">
        <f t="shared" si="24"/>
        <v>0</v>
      </c>
      <c r="U26" s="3342"/>
      <c r="V26" s="3342"/>
      <c r="W26" s="3342">
        <f t="shared" si="25"/>
        <v>0</v>
      </c>
      <c r="X26" s="3342">
        <f t="shared" si="25"/>
        <v>0</v>
      </c>
      <c r="Y26" s="2012">
        <f t="shared" si="26"/>
        <v>0</v>
      </c>
      <c r="Z26" s="3342"/>
      <c r="AA26" s="3342"/>
      <c r="AB26" s="3341"/>
      <c r="AC26" s="3341"/>
      <c r="AD26" s="3349">
        <f t="shared" si="27"/>
        <v>0</v>
      </c>
      <c r="AE26" s="4074">
        <f t="shared" si="43"/>
        <v>0</v>
      </c>
      <c r="AF26" s="3342"/>
      <c r="AG26" s="3341"/>
      <c r="AH26" s="3341"/>
      <c r="AI26" s="3349">
        <f t="shared" si="28"/>
        <v>0</v>
      </c>
      <c r="AJ26" s="4074" t="e">
        <f t="shared" si="44"/>
        <v>#DIV/0!</v>
      </c>
      <c r="AK26" s="3342"/>
      <c r="AL26" s="3341"/>
      <c r="AM26" s="3341"/>
      <c r="AN26" s="3349">
        <f t="shared" si="29"/>
        <v>0</v>
      </c>
      <c r="AO26" s="4074" t="e">
        <f t="shared" si="45"/>
        <v>#DIV/0!</v>
      </c>
      <c r="AP26" s="3342"/>
      <c r="AQ26" s="3341"/>
      <c r="AR26" s="3341"/>
      <c r="AS26" s="3349">
        <f t="shared" si="30"/>
        <v>0</v>
      </c>
      <c r="AT26" s="4074" t="e">
        <f t="shared" si="46"/>
        <v>#DIV/0!</v>
      </c>
      <c r="AU26" s="3342"/>
      <c r="AV26" s="3341"/>
      <c r="AW26" s="3341"/>
      <c r="AX26" s="3349">
        <f t="shared" si="31"/>
        <v>0</v>
      </c>
      <c r="AY26" s="4074" t="e">
        <f t="shared" si="47"/>
        <v>#DIV/0!</v>
      </c>
      <c r="AZ26" s="3342"/>
      <c r="BA26" s="3341"/>
      <c r="BB26" s="3341"/>
      <c r="BC26" s="3349">
        <f t="shared" si="32"/>
        <v>0</v>
      </c>
      <c r="BD26" s="4074" t="e">
        <f t="shared" si="48"/>
        <v>#DIV/0!</v>
      </c>
      <c r="BE26" s="3342"/>
      <c r="BF26" s="3341"/>
      <c r="BG26" s="3341"/>
      <c r="BH26" s="3349">
        <f t="shared" si="33"/>
        <v>0</v>
      </c>
      <c r="BI26" s="4074" t="e">
        <f t="shared" si="49"/>
        <v>#DIV/0!</v>
      </c>
      <c r="BJ26" s="3342"/>
      <c r="BK26" s="3341"/>
      <c r="BL26" s="3341"/>
      <c r="BM26" s="3349">
        <f t="shared" si="34"/>
        <v>0</v>
      </c>
      <c r="BN26" s="4074" t="e">
        <f t="shared" si="50"/>
        <v>#DIV/0!</v>
      </c>
      <c r="BO26" s="3342"/>
      <c r="BP26" s="3341"/>
      <c r="BQ26" s="3341"/>
      <c r="BR26" s="3349">
        <f t="shared" si="35"/>
        <v>0</v>
      </c>
      <c r="BS26" s="4074" t="e">
        <f t="shared" si="51"/>
        <v>#DIV/0!</v>
      </c>
      <c r="BT26" s="3342"/>
      <c r="BU26" s="3341"/>
      <c r="BV26" s="3341"/>
      <c r="BW26" s="3349">
        <f t="shared" si="36"/>
        <v>0</v>
      </c>
      <c r="BX26" s="4074" t="e">
        <f t="shared" si="52"/>
        <v>#DIV/0!</v>
      </c>
      <c r="BY26" s="3342"/>
      <c r="BZ26" s="3341"/>
      <c r="CA26" s="3341"/>
      <c r="CB26" s="3349">
        <f t="shared" si="37"/>
        <v>0</v>
      </c>
      <c r="CC26" s="4074" t="e">
        <f t="shared" si="53"/>
        <v>#DIV/0!</v>
      </c>
      <c r="CD26" s="3342"/>
      <c r="CE26" s="3341"/>
      <c r="CF26" s="3341"/>
      <c r="CG26" s="3349">
        <f t="shared" si="38"/>
        <v>0</v>
      </c>
      <c r="CH26" s="4074" t="e">
        <f t="shared" si="54"/>
        <v>#DIV/0!</v>
      </c>
      <c r="CI26" s="3342"/>
      <c r="CJ26" s="3341">
        <f t="shared" si="39"/>
        <v>0</v>
      </c>
      <c r="CK26" s="3341">
        <f t="shared" si="39"/>
        <v>0</v>
      </c>
      <c r="CL26" s="3349">
        <f t="shared" si="55"/>
        <v>0</v>
      </c>
      <c r="CM26" s="4074">
        <f t="shared" si="40"/>
        <v>0</v>
      </c>
      <c r="CN26" s="1434"/>
      <c r="CP26" s="4186">
        <v>2400</v>
      </c>
      <c r="CQ26" s="2012"/>
      <c r="CR26" s="4188">
        <f t="shared" si="56"/>
        <v>2400</v>
      </c>
      <c r="CS26" s="3307"/>
      <c r="CT26" s="4189"/>
    </row>
    <row r="27" spans="1:100" s="1396" customFormat="1" ht="13.8" outlineLevel="2">
      <c r="A27" s="1571"/>
      <c r="B27" s="4075" t="s">
        <v>25</v>
      </c>
      <c r="C27" s="3341"/>
      <c r="D27" s="3341"/>
      <c r="E27" s="3349">
        <f t="shared" si="19"/>
        <v>0</v>
      </c>
      <c r="F27" s="4074" t="e">
        <f t="shared" si="16"/>
        <v>#DIV/0!</v>
      </c>
      <c r="G27" s="3342"/>
      <c r="H27" s="3341"/>
      <c r="I27" s="3341"/>
      <c r="J27" s="3349">
        <f t="shared" si="20"/>
        <v>0</v>
      </c>
      <c r="K27" s="4074" t="e">
        <f t="shared" si="42"/>
        <v>#DIV/0!</v>
      </c>
      <c r="L27" s="3342"/>
      <c r="M27" s="3341"/>
      <c r="N27" s="3341"/>
      <c r="O27" s="3349">
        <f t="shared" si="21"/>
        <v>0</v>
      </c>
      <c r="P27" s="4074" t="e">
        <f t="shared" si="22"/>
        <v>#DIV/0!</v>
      </c>
      <c r="Q27" s="3342"/>
      <c r="R27" s="3342">
        <f t="shared" si="23"/>
        <v>0</v>
      </c>
      <c r="S27" s="3342">
        <f t="shared" si="23"/>
        <v>0</v>
      </c>
      <c r="T27" s="2012">
        <f t="shared" si="24"/>
        <v>0</v>
      </c>
      <c r="U27" s="3342"/>
      <c r="V27" s="3342"/>
      <c r="W27" s="3342">
        <f t="shared" si="25"/>
        <v>0</v>
      </c>
      <c r="X27" s="3342">
        <f t="shared" si="25"/>
        <v>0</v>
      </c>
      <c r="Y27" s="2012">
        <f t="shared" si="26"/>
        <v>0</v>
      </c>
      <c r="Z27" s="3342"/>
      <c r="AA27" s="3342"/>
      <c r="AB27" s="3341"/>
      <c r="AC27" s="3341"/>
      <c r="AD27" s="3349">
        <f t="shared" si="27"/>
        <v>0</v>
      </c>
      <c r="AE27" s="4074">
        <f t="shared" si="43"/>
        <v>0</v>
      </c>
      <c r="AF27" s="3342"/>
      <c r="AG27" s="3341"/>
      <c r="AH27" s="3341"/>
      <c r="AI27" s="3349">
        <f t="shared" si="28"/>
        <v>0</v>
      </c>
      <c r="AJ27" s="4074" t="e">
        <f t="shared" si="44"/>
        <v>#DIV/0!</v>
      </c>
      <c r="AK27" s="3342"/>
      <c r="AL27" s="3341"/>
      <c r="AM27" s="3341"/>
      <c r="AN27" s="3349">
        <f t="shared" si="29"/>
        <v>0</v>
      </c>
      <c r="AO27" s="4074" t="e">
        <f t="shared" si="45"/>
        <v>#DIV/0!</v>
      </c>
      <c r="AP27" s="3342"/>
      <c r="AQ27" s="3341"/>
      <c r="AR27" s="3341"/>
      <c r="AS27" s="3349">
        <f t="shared" si="30"/>
        <v>0</v>
      </c>
      <c r="AT27" s="4074" t="e">
        <f t="shared" si="46"/>
        <v>#DIV/0!</v>
      </c>
      <c r="AU27" s="3342"/>
      <c r="AV27" s="3341"/>
      <c r="AW27" s="3341"/>
      <c r="AX27" s="3349">
        <f t="shared" si="31"/>
        <v>0</v>
      </c>
      <c r="AY27" s="4074" t="e">
        <f t="shared" si="47"/>
        <v>#DIV/0!</v>
      </c>
      <c r="AZ27" s="3342"/>
      <c r="BA27" s="3341"/>
      <c r="BB27" s="3341"/>
      <c r="BC27" s="3349">
        <f t="shared" si="32"/>
        <v>0</v>
      </c>
      <c r="BD27" s="4074" t="e">
        <f t="shared" si="48"/>
        <v>#DIV/0!</v>
      </c>
      <c r="BE27" s="3342"/>
      <c r="BF27" s="3341"/>
      <c r="BG27" s="3341"/>
      <c r="BH27" s="3349">
        <f t="shared" si="33"/>
        <v>0</v>
      </c>
      <c r="BI27" s="4074" t="e">
        <f t="shared" si="49"/>
        <v>#DIV/0!</v>
      </c>
      <c r="BJ27" s="3342"/>
      <c r="BK27" s="3341"/>
      <c r="BL27" s="3341"/>
      <c r="BM27" s="3349">
        <f t="shared" si="34"/>
        <v>0</v>
      </c>
      <c r="BN27" s="4074" t="e">
        <f t="shared" si="50"/>
        <v>#DIV/0!</v>
      </c>
      <c r="BO27" s="3342"/>
      <c r="BP27" s="3341"/>
      <c r="BQ27" s="3341"/>
      <c r="BR27" s="3349">
        <f t="shared" si="35"/>
        <v>0</v>
      </c>
      <c r="BS27" s="4074" t="e">
        <f t="shared" si="51"/>
        <v>#DIV/0!</v>
      </c>
      <c r="BT27" s="3342"/>
      <c r="BU27" s="3341"/>
      <c r="BV27" s="3341"/>
      <c r="BW27" s="3349">
        <f t="shared" si="36"/>
        <v>0</v>
      </c>
      <c r="BX27" s="4074" t="e">
        <f t="shared" si="52"/>
        <v>#DIV/0!</v>
      </c>
      <c r="BY27" s="3342"/>
      <c r="BZ27" s="3341"/>
      <c r="CA27" s="3341"/>
      <c r="CB27" s="3349">
        <f t="shared" si="37"/>
        <v>0</v>
      </c>
      <c r="CC27" s="4074" t="e">
        <f t="shared" si="53"/>
        <v>#DIV/0!</v>
      </c>
      <c r="CD27" s="3342"/>
      <c r="CE27" s="3341"/>
      <c r="CF27" s="3341"/>
      <c r="CG27" s="3349">
        <f t="shared" si="38"/>
        <v>0</v>
      </c>
      <c r="CH27" s="4074" t="e">
        <f t="shared" si="54"/>
        <v>#DIV/0!</v>
      </c>
      <c r="CI27" s="3342"/>
      <c r="CJ27" s="3341">
        <f t="shared" si="39"/>
        <v>0</v>
      </c>
      <c r="CK27" s="3341">
        <f t="shared" si="39"/>
        <v>0</v>
      </c>
      <c r="CL27" s="3349">
        <f t="shared" si="55"/>
        <v>0</v>
      </c>
      <c r="CM27" s="4074">
        <f t="shared" si="40"/>
        <v>0</v>
      </c>
      <c r="CN27" s="1434"/>
      <c r="CP27" s="4186"/>
      <c r="CQ27" s="2012">
        <f t="shared" si="41"/>
        <v>0</v>
      </c>
      <c r="CR27" s="4188">
        <f t="shared" si="56"/>
        <v>0</v>
      </c>
      <c r="CS27" s="3307"/>
      <c r="CT27" s="3443"/>
    </row>
    <row r="28" spans="1:100" s="1396" customFormat="1" ht="13.8" outlineLevel="2">
      <c r="A28" s="1571"/>
      <c r="B28" s="4075" t="s">
        <v>52</v>
      </c>
      <c r="C28" s="3341"/>
      <c r="D28" s="3341"/>
      <c r="E28" s="3349">
        <f t="shared" si="19"/>
        <v>0</v>
      </c>
      <c r="F28" s="4074" t="e">
        <f t="shared" si="16"/>
        <v>#DIV/0!</v>
      </c>
      <c r="G28" s="3342"/>
      <c r="H28" s="3341"/>
      <c r="I28" s="3341"/>
      <c r="J28" s="3349">
        <f t="shared" si="20"/>
        <v>0</v>
      </c>
      <c r="K28" s="4074" t="e">
        <f t="shared" si="42"/>
        <v>#DIV/0!</v>
      </c>
      <c r="L28" s="3342"/>
      <c r="M28" s="3341"/>
      <c r="N28" s="3341"/>
      <c r="O28" s="3349">
        <f t="shared" si="21"/>
        <v>0</v>
      </c>
      <c r="P28" s="4074" t="e">
        <f t="shared" si="22"/>
        <v>#DIV/0!</v>
      </c>
      <c r="Q28" s="3409"/>
      <c r="R28" s="3342">
        <f t="shared" si="23"/>
        <v>0</v>
      </c>
      <c r="S28" s="3342">
        <f t="shared" si="23"/>
        <v>0</v>
      </c>
      <c r="T28" s="2012">
        <f t="shared" si="24"/>
        <v>0</v>
      </c>
      <c r="U28" s="3409"/>
      <c r="V28" s="3409"/>
      <c r="W28" s="3342">
        <f t="shared" si="25"/>
        <v>0</v>
      </c>
      <c r="X28" s="3342">
        <f t="shared" si="25"/>
        <v>0</v>
      </c>
      <c r="Y28" s="2012">
        <f t="shared" si="26"/>
        <v>0</v>
      </c>
      <c r="Z28" s="3409"/>
      <c r="AA28" s="3409"/>
      <c r="AB28" s="3341"/>
      <c r="AC28" s="3341"/>
      <c r="AD28" s="3349">
        <f t="shared" si="27"/>
        <v>0</v>
      </c>
      <c r="AE28" s="4074">
        <f t="shared" si="43"/>
        <v>0</v>
      </c>
      <c r="AF28" s="3409"/>
      <c r="AG28" s="3341"/>
      <c r="AH28" s="3341"/>
      <c r="AI28" s="3349">
        <f t="shared" si="28"/>
        <v>0</v>
      </c>
      <c r="AJ28" s="4074" t="e">
        <f t="shared" si="44"/>
        <v>#DIV/0!</v>
      </c>
      <c r="AK28" s="3409"/>
      <c r="AL28" s="3341"/>
      <c r="AM28" s="3341"/>
      <c r="AN28" s="3349">
        <f t="shared" si="29"/>
        <v>0</v>
      </c>
      <c r="AO28" s="4074" t="e">
        <f t="shared" si="45"/>
        <v>#DIV/0!</v>
      </c>
      <c r="AP28" s="3409"/>
      <c r="AQ28" s="3341"/>
      <c r="AR28" s="3341"/>
      <c r="AS28" s="3349">
        <f t="shared" si="30"/>
        <v>0</v>
      </c>
      <c r="AT28" s="4074" t="e">
        <f t="shared" si="46"/>
        <v>#DIV/0!</v>
      </c>
      <c r="AU28" s="3409"/>
      <c r="AV28" s="3341"/>
      <c r="AW28" s="3341"/>
      <c r="AX28" s="3349">
        <f t="shared" si="31"/>
        <v>0</v>
      </c>
      <c r="AY28" s="4074" t="e">
        <f t="shared" si="47"/>
        <v>#DIV/0!</v>
      </c>
      <c r="AZ28" s="3409"/>
      <c r="BA28" s="3341"/>
      <c r="BB28" s="3341"/>
      <c r="BC28" s="3349">
        <f t="shared" si="32"/>
        <v>0</v>
      </c>
      <c r="BD28" s="4074" t="e">
        <f t="shared" si="48"/>
        <v>#DIV/0!</v>
      </c>
      <c r="BE28" s="3409"/>
      <c r="BF28" s="3341"/>
      <c r="BG28" s="3341"/>
      <c r="BH28" s="3349">
        <f t="shared" si="33"/>
        <v>0</v>
      </c>
      <c r="BI28" s="4074" t="e">
        <f t="shared" si="49"/>
        <v>#DIV/0!</v>
      </c>
      <c r="BJ28" s="3409"/>
      <c r="BK28" s="3341"/>
      <c r="BL28" s="3341"/>
      <c r="BM28" s="3349">
        <f t="shared" si="34"/>
        <v>0</v>
      </c>
      <c r="BN28" s="4074" t="e">
        <f t="shared" si="50"/>
        <v>#DIV/0!</v>
      </c>
      <c r="BO28" s="3409"/>
      <c r="BP28" s="3341"/>
      <c r="BQ28" s="3341"/>
      <c r="BR28" s="3349">
        <f t="shared" si="35"/>
        <v>0</v>
      </c>
      <c r="BS28" s="4074" t="e">
        <f t="shared" si="51"/>
        <v>#DIV/0!</v>
      </c>
      <c r="BT28" s="3409"/>
      <c r="BU28" s="3341"/>
      <c r="BV28" s="3341"/>
      <c r="BW28" s="3349">
        <f t="shared" si="36"/>
        <v>0</v>
      </c>
      <c r="BX28" s="4074" t="e">
        <f t="shared" si="52"/>
        <v>#DIV/0!</v>
      </c>
      <c r="BY28" s="3409"/>
      <c r="BZ28" s="3341"/>
      <c r="CA28" s="3341"/>
      <c r="CB28" s="3349">
        <f t="shared" si="37"/>
        <v>0</v>
      </c>
      <c r="CC28" s="4074" t="e">
        <f t="shared" si="53"/>
        <v>#DIV/0!</v>
      </c>
      <c r="CD28" s="3409"/>
      <c r="CE28" s="3341"/>
      <c r="CF28" s="3341"/>
      <c r="CG28" s="3349">
        <f t="shared" si="38"/>
        <v>0</v>
      </c>
      <c r="CH28" s="4074" t="e">
        <f t="shared" si="54"/>
        <v>#DIV/0!</v>
      </c>
      <c r="CI28" s="3409"/>
      <c r="CJ28" s="3341">
        <f t="shared" si="39"/>
        <v>0</v>
      </c>
      <c r="CK28" s="3341">
        <f t="shared" si="39"/>
        <v>0</v>
      </c>
      <c r="CL28" s="3349">
        <f t="shared" si="55"/>
        <v>0</v>
      </c>
      <c r="CM28" s="4074">
        <f t="shared" si="40"/>
        <v>0</v>
      </c>
      <c r="CN28" s="1434"/>
      <c r="CP28" s="4186"/>
      <c r="CQ28" s="2012">
        <f t="shared" si="41"/>
        <v>0</v>
      </c>
      <c r="CR28" s="4188">
        <f t="shared" si="56"/>
        <v>0</v>
      </c>
      <c r="CS28" s="3307"/>
      <c r="CT28" s="3443"/>
    </row>
    <row r="29" spans="1:100" s="1396" customFormat="1" ht="13.8" outlineLevel="2">
      <c r="A29" s="1571"/>
      <c r="B29" s="4075" t="s">
        <v>31</v>
      </c>
      <c r="C29" s="3341"/>
      <c r="D29" s="3341"/>
      <c r="E29" s="3349">
        <f t="shared" si="19"/>
        <v>0</v>
      </c>
      <c r="F29" s="4074" t="e">
        <f t="shared" si="16"/>
        <v>#DIV/0!</v>
      </c>
      <c r="G29" s="3342"/>
      <c r="H29" s="3341"/>
      <c r="I29" s="3341"/>
      <c r="J29" s="3349">
        <f t="shared" si="20"/>
        <v>0</v>
      </c>
      <c r="K29" s="4074" t="e">
        <f t="shared" si="42"/>
        <v>#DIV/0!</v>
      </c>
      <c r="L29" s="3342"/>
      <c r="M29" s="3341"/>
      <c r="N29" s="3341"/>
      <c r="O29" s="3349">
        <f t="shared" si="21"/>
        <v>0</v>
      </c>
      <c r="P29" s="4074" t="e">
        <f t="shared" si="22"/>
        <v>#DIV/0!</v>
      </c>
      <c r="Q29" s="3342"/>
      <c r="R29" s="3342">
        <f t="shared" si="23"/>
        <v>0</v>
      </c>
      <c r="S29" s="3342">
        <f t="shared" si="23"/>
        <v>0</v>
      </c>
      <c r="T29" s="2012">
        <f t="shared" si="24"/>
        <v>0</v>
      </c>
      <c r="U29" s="3342"/>
      <c r="V29" s="3342"/>
      <c r="W29" s="3342">
        <f t="shared" si="25"/>
        <v>0</v>
      </c>
      <c r="X29" s="3342">
        <f t="shared" si="25"/>
        <v>0</v>
      </c>
      <c r="Y29" s="2012">
        <f t="shared" si="26"/>
        <v>0</v>
      </c>
      <c r="Z29" s="3342"/>
      <c r="AA29" s="3342"/>
      <c r="AB29" s="3341"/>
      <c r="AC29" s="3341"/>
      <c r="AD29" s="3349">
        <f t="shared" si="27"/>
        <v>0</v>
      </c>
      <c r="AE29" s="4074">
        <f t="shared" si="43"/>
        <v>0</v>
      </c>
      <c r="AF29" s="3342"/>
      <c r="AG29" s="3341"/>
      <c r="AH29" s="3341"/>
      <c r="AI29" s="3349">
        <f t="shared" si="28"/>
        <v>0</v>
      </c>
      <c r="AJ29" s="4074" t="e">
        <f t="shared" si="44"/>
        <v>#DIV/0!</v>
      </c>
      <c r="AK29" s="3342"/>
      <c r="AL29" s="3341"/>
      <c r="AM29" s="3341"/>
      <c r="AN29" s="3349">
        <f t="shared" si="29"/>
        <v>0</v>
      </c>
      <c r="AO29" s="4074" t="e">
        <f t="shared" si="45"/>
        <v>#DIV/0!</v>
      </c>
      <c r="AP29" s="3342"/>
      <c r="AQ29" s="3341"/>
      <c r="AR29" s="3341"/>
      <c r="AS29" s="3349">
        <f t="shared" si="30"/>
        <v>0</v>
      </c>
      <c r="AT29" s="4074" t="e">
        <f t="shared" si="46"/>
        <v>#DIV/0!</v>
      </c>
      <c r="AU29" s="3342"/>
      <c r="AV29" s="3341"/>
      <c r="AW29" s="3341"/>
      <c r="AX29" s="3349">
        <f t="shared" si="31"/>
        <v>0</v>
      </c>
      <c r="AY29" s="4074" t="e">
        <f t="shared" si="47"/>
        <v>#DIV/0!</v>
      </c>
      <c r="AZ29" s="3342"/>
      <c r="BA29" s="3341"/>
      <c r="BB29" s="3341"/>
      <c r="BC29" s="3349">
        <f t="shared" si="32"/>
        <v>0</v>
      </c>
      <c r="BD29" s="4074" t="e">
        <f t="shared" si="48"/>
        <v>#DIV/0!</v>
      </c>
      <c r="BE29" s="3342"/>
      <c r="BF29" s="3341"/>
      <c r="BG29" s="3341"/>
      <c r="BH29" s="3349">
        <f t="shared" si="33"/>
        <v>0</v>
      </c>
      <c r="BI29" s="4074" t="e">
        <f t="shared" si="49"/>
        <v>#DIV/0!</v>
      </c>
      <c r="BJ29" s="3342"/>
      <c r="BK29" s="3341"/>
      <c r="BL29" s="3341"/>
      <c r="BM29" s="3349">
        <f t="shared" si="34"/>
        <v>0</v>
      </c>
      <c r="BN29" s="4074" t="e">
        <f t="shared" si="50"/>
        <v>#DIV/0!</v>
      </c>
      <c r="BO29" s="3342"/>
      <c r="BP29" s="3341"/>
      <c r="BQ29" s="3341"/>
      <c r="BR29" s="3349">
        <f t="shared" si="35"/>
        <v>0</v>
      </c>
      <c r="BS29" s="4074" t="e">
        <f t="shared" si="51"/>
        <v>#DIV/0!</v>
      </c>
      <c r="BT29" s="3342"/>
      <c r="BU29" s="3341"/>
      <c r="BV29" s="3341"/>
      <c r="BW29" s="3349">
        <f t="shared" si="36"/>
        <v>0</v>
      </c>
      <c r="BX29" s="4074" t="e">
        <f t="shared" si="52"/>
        <v>#DIV/0!</v>
      </c>
      <c r="BY29" s="3342"/>
      <c r="BZ29" s="3341"/>
      <c r="CA29" s="3341"/>
      <c r="CB29" s="3349">
        <f t="shared" si="37"/>
        <v>0</v>
      </c>
      <c r="CC29" s="4074" t="e">
        <f t="shared" si="53"/>
        <v>#DIV/0!</v>
      </c>
      <c r="CD29" s="3342"/>
      <c r="CE29" s="3341"/>
      <c r="CF29" s="3341"/>
      <c r="CG29" s="3349">
        <f t="shared" si="38"/>
        <v>0</v>
      </c>
      <c r="CH29" s="4074" t="e">
        <f t="shared" si="54"/>
        <v>#DIV/0!</v>
      </c>
      <c r="CI29" s="3342"/>
      <c r="CJ29" s="3341">
        <f t="shared" si="39"/>
        <v>0</v>
      </c>
      <c r="CK29" s="3341">
        <f t="shared" si="39"/>
        <v>0</v>
      </c>
      <c r="CL29" s="3349">
        <f t="shared" si="55"/>
        <v>0</v>
      </c>
      <c r="CM29" s="4074">
        <f t="shared" si="40"/>
        <v>0</v>
      </c>
      <c r="CN29" s="4076"/>
      <c r="CP29" s="4186"/>
      <c r="CQ29" s="2012">
        <f t="shared" si="41"/>
        <v>0</v>
      </c>
      <c r="CR29" s="4188">
        <f t="shared" si="56"/>
        <v>0</v>
      </c>
      <c r="CT29" s="3443"/>
    </row>
    <row r="30" spans="1:100" s="1396" customFormat="1" ht="13.8" outlineLevel="2">
      <c r="A30" s="1571"/>
      <c r="B30" s="4075" t="s">
        <v>62</v>
      </c>
      <c r="C30" s="3341"/>
      <c r="D30" s="3341"/>
      <c r="E30" s="3349">
        <f t="shared" si="19"/>
        <v>0</v>
      </c>
      <c r="F30" s="4074" t="e">
        <f t="shared" si="16"/>
        <v>#DIV/0!</v>
      </c>
      <c r="G30" s="3343"/>
      <c r="H30" s="3341"/>
      <c r="I30" s="3341"/>
      <c r="J30" s="3349">
        <f t="shared" si="20"/>
        <v>0</v>
      </c>
      <c r="K30" s="4074" t="e">
        <f t="shared" si="42"/>
        <v>#DIV/0!</v>
      </c>
      <c r="L30" s="3343"/>
      <c r="M30" s="3341"/>
      <c r="N30" s="3341"/>
      <c r="O30" s="3349">
        <f t="shared" si="21"/>
        <v>0</v>
      </c>
      <c r="P30" s="4074" t="e">
        <f t="shared" si="22"/>
        <v>#DIV/0!</v>
      </c>
      <c r="Q30" s="3342"/>
      <c r="R30" s="3342">
        <f t="shared" si="23"/>
        <v>0</v>
      </c>
      <c r="S30" s="3342">
        <f t="shared" si="23"/>
        <v>0</v>
      </c>
      <c r="T30" s="2012">
        <f t="shared" si="24"/>
        <v>0</v>
      </c>
      <c r="U30" s="3342"/>
      <c r="V30" s="3342"/>
      <c r="W30" s="3342">
        <f t="shared" si="25"/>
        <v>0</v>
      </c>
      <c r="X30" s="3342">
        <f t="shared" si="25"/>
        <v>0</v>
      </c>
      <c r="Y30" s="2012">
        <f t="shared" si="26"/>
        <v>0</v>
      </c>
      <c r="Z30" s="3342"/>
      <c r="AA30" s="3342"/>
      <c r="AB30" s="3341"/>
      <c r="AC30" s="3341"/>
      <c r="AD30" s="3349">
        <f t="shared" si="27"/>
        <v>0</v>
      </c>
      <c r="AE30" s="4074">
        <f t="shared" si="43"/>
        <v>0</v>
      </c>
      <c r="AF30" s="3342"/>
      <c r="AG30" s="3341"/>
      <c r="AH30" s="3341"/>
      <c r="AI30" s="3349">
        <f t="shared" si="28"/>
        <v>0</v>
      </c>
      <c r="AJ30" s="4074" t="e">
        <f t="shared" si="44"/>
        <v>#DIV/0!</v>
      </c>
      <c r="AK30" s="3342"/>
      <c r="AL30" s="3341"/>
      <c r="AM30" s="3341"/>
      <c r="AN30" s="3349">
        <f t="shared" si="29"/>
        <v>0</v>
      </c>
      <c r="AO30" s="4074" t="e">
        <f t="shared" si="45"/>
        <v>#DIV/0!</v>
      </c>
      <c r="AP30" s="3342"/>
      <c r="AQ30" s="3341"/>
      <c r="AR30" s="3341"/>
      <c r="AS30" s="3349">
        <f t="shared" si="30"/>
        <v>0</v>
      </c>
      <c r="AT30" s="4074" t="e">
        <f t="shared" si="46"/>
        <v>#DIV/0!</v>
      </c>
      <c r="AU30" s="3342"/>
      <c r="AV30" s="3341"/>
      <c r="AW30" s="3341"/>
      <c r="AX30" s="3349">
        <f t="shared" si="31"/>
        <v>0</v>
      </c>
      <c r="AY30" s="4074" t="e">
        <f t="shared" si="47"/>
        <v>#DIV/0!</v>
      </c>
      <c r="AZ30" s="3342"/>
      <c r="BA30" s="3341"/>
      <c r="BB30" s="3341"/>
      <c r="BC30" s="3349">
        <f t="shared" si="32"/>
        <v>0</v>
      </c>
      <c r="BD30" s="4074" t="e">
        <f t="shared" si="48"/>
        <v>#DIV/0!</v>
      </c>
      <c r="BE30" s="3342"/>
      <c r="BF30" s="3341"/>
      <c r="BG30" s="3341"/>
      <c r="BH30" s="3349">
        <f t="shared" si="33"/>
        <v>0</v>
      </c>
      <c r="BI30" s="4074" t="e">
        <f t="shared" si="49"/>
        <v>#DIV/0!</v>
      </c>
      <c r="BJ30" s="3342"/>
      <c r="BK30" s="3341"/>
      <c r="BL30" s="3341"/>
      <c r="BM30" s="3349">
        <f t="shared" si="34"/>
        <v>0</v>
      </c>
      <c r="BN30" s="4074" t="e">
        <f t="shared" si="50"/>
        <v>#DIV/0!</v>
      </c>
      <c r="BO30" s="3342"/>
      <c r="BP30" s="3341"/>
      <c r="BQ30" s="3341"/>
      <c r="BR30" s="3349">
        <f t="shared" si="35"/>
        <v>0</v>
      </c>
      <c r="BS30" s="4074" t="e">
        <f t="shared" si="51"/>
        <v>#DIV/0!</v>
      </c>
      <c r="BT30" s="3342"/>
      <c r="BU30" s="3341"/>
      <c r="BV30" s="3341"/>
      <c r="BW30" s="3349">
        <f t="shared" si="36"/>
        <v>0</v>
      </c>
      <c r="BX30" s="4074" t="e">
        <f t="shared" si="52"/>
        <v>#DIV/0!</v>
      </c>
      <c r="BY30" s="3342"/>
      <c r="BZ30" s="3341"/>
      <c r="CA30" s="3341"/>
      <c r="CB30" s="3349">
        <f t="shared" si="37"/>
        <v>0</v>
      </c>
      <c r="CC30" s="4074" t="e">
        <f t="shared" si="53"/>
        <v>#DIV/0!</v>
      </c>
      <c r="CD30" s="3342"/>
      <c r="CE30" s="3341"/>
      <c r="CF30" s="3341"/>
      <c r="CG30" s="3349">
        <f t="shared" si="38"/>
        <v>0</v>
      </c>
      <c r="CH30" s="4074" t="e">
        <f t="shared" si="54"/>
        <v>#DIV/0!</v>
      </c>
      <c r="CI30" s="3342"/>
      <c r="CJ30" s="3341">
        <f t="shared" si="39"/>
        <v>0</v>
      </c>
      <c r="CK30" s="3341">
        <f t="shared" si="39"/>
        <v>0</v>
      </c>
      <c r="CL30" s="3349">
        <f t="shared" si="55"/>
        <v>0</v>
      </c>
      <c r="CM30" s="4074">
        <f t="shared" si="40"/>
        <v>0</v>
      </c>
      <c r="CN30" s="4076"/>
      <c r="CP30" s="4186"/>
      <c r="CQ30" s="2012">
        <f t="shared" si="41"/>
        <v>0</v>
      </c>
      <c r="CR30" s="4188">
        <f t="shared" si="56"/>
        <v>0</v>
      </c>
      <c r="CS30" s="3307"/>
      <c r="CT30" s="3443"/>
    </row>
    <row r="31" spans="1:100" s="1396" customFormat="1" ht="13.8" outlineLevel="2">
      <c r="A31" s="1571"/>
      <c r="B31" s="4075" t="s">
        <v>34</v>
      </c>
      <c r="C31" s="3341"/>
      <c r="D31" s="3341"/>
      <c r="E31" s="3349">
        <f t="shared" si="19"/>
        <v>0</v>
      </c>
      <c r="F31" s="4074" t="e">
        <f t="shared" si="16"/>
        <v>#DIV/0!</v>
      </c>
      <c r="G31" s="3343"/>
      <c r="H31" s="3341"/>
      <c r="I31" s="3341"/>
      <c r="J31" s="3349">
        <f t="shared" si="20"/>
        <v>0</v>
      </c>
      <c r="K31" s="4074" t="e">
        <f t="shared" si="42"/>
        <v>#DIV/0!</v>
      </c>
      <c r="L31" s="3343"/>
      <c r="M31" s="3341"/>
      <c r="N31" s="3341"/>
      <c r="O31" s="3349">
        <f t="shared" si="21"/>
        <v>0</v>
      </c>
      <c r="P31" s="4074" t="e">
        <f t="shared" si="22"/>
        <v>#DIV/0!</v>
      </c>
      <c r="Q31" s="3342"/>
      <c r="R31" s="3342">
        <f t="shared" si="23"/>
        <v>0</v>
      </c>
      <c r="S31" s="3342">
        <f t="shared" si="23"/>
        <v>0</v>
      </c>
      <c r="T31" s="2012">
        <f t="shared" si="24"/>
        <v>0</v>
      </c>
      <c r="U31" s="3342"/>
      <c r="V31" s="3342"/>
      <c r="W31" s="3342">
        <f t="shared" si="25"/>
        <v>0</v>
      </c>
      <c r="X31" s="3342">
        <f t="shared" si="25"/>
        <v>0</v>
      </c>
      <c r="Y31" s="2012">
        <f t="shared" si="26"/>
        <v>0</v>
      </c>
      <c r="Z31" s="3342"/>
      <c r="AA31" s="3342"/>
      <c r="AB31" s="3341"/>
      <c r="AC31" s="3341"/>
      <c r="AD31" s="3349">
        <f t="shared" si="27"/>
        <v>0</v>
      </c>
      <c r="AE31" s="4074">
        <f t="shared" si="43"/>
        <v>0</v>
      </c>
      <c r="AF31" s="3342"/>
      <c r="AG31" s="3341"/>
      <c r="AH31" s="3341"/>
      <c r="AI31" s="3349">
        <f t="shared" si="28"/>
        <v>0</v>
      </c>
      <c r="AJ31" s="4074" t="e">
        <f t="shared" si="44"/>
        <v>#DIV/0!</v>
      </c>
      <c r="AK31" s="3342"/>
      <c r="AL31" s="3341"/>
      <c r="AM31" s="3341"/>
      <c r="AN31" s="3349">
        <f t="shared" si="29"/>
        <v>0</v>
      </c>
      <c r="AO31" s="4074" t="e">
        <f t="shared" si="45"/>
        <v>#DIV/0!</v>
      </c>
      <c r="AP31" s="3342"/>
      <c r="AQ31" s="3341"/>
      <c r="AR31" s="3341"/>
      <c r="AS31" s="3349">
        <f t="shared" si="30"/>
        <v>0</v>
      </c>
      <c r="AT31" s="4074" t="e">
        <f t="shared" si="46"/>
        <v>#DIV/0!</v>
      </c>
      <c r="AU31" s="3342"/>
      <c r="AV31" s="3341"/>
      <c r="AW31" s="3341"/>
      <c r="AX31" s="3349">
        <f t="shared" si="31"/>
        <v>0</v>
      </c>
      <c r="AY31" s="4074" t="e">
        <f t="shared" si="47"/>
        <v>#DIV/0!</v>
      </c>
      <c r="AZ31" s="3342"/>
      <c r="BA31" s="3341"/>
      <c r="BB31" s="3341"/>
      <c r="BC31" s="3349">
        <f t="shared" si="32"/>
        <v>0</v>
      </c>
      <c r="BD31" s="4074" t="e">
        <f t="shared" si="48"/>
        <v>#DIV/0!</v>
      </c>
      <c r="BE31" s="3342"/>
      <c r="BF31" s="3341"/>
      <c r="BG31" s="3341"/>
      <c r="BH31" s="3349">
        <f t="shared" si="33"/>
        <v>0</v>
      </c>
      <c r="BI31" s="4074" t="e">
        <f t="shared" si="49"/>
        <v>#DIV/0!</v>
      </c>
      <c r="BJ31" s="3342"/>
      <c r="BK31" s="3341"/>
      <c r="BL31" s="3341"/>
      <c r="BM31" s="3349">
        <f t="shared" si="34"/>
        <v>0</v>
      </c>
      <c r="BN31" s="4074" t="e">
        <f t="shared" si="50"/>
        <v>#DIV/0!</v>
      </c>
      <c r="BO31" s="3342"/>
      <c r="BP31" s="3341"/>
      <c r="BQ31" s="3341"/>
      <c r="BR31" s="3349">
        <f t="shared" si="35"/>
        <v>0</v>
      </c>
      <c r="BS31" s="4074" t="e">
        <f t="shared" si="51"/>
        <v>#DIV/0!</v>
      </c>
      <c r="BT31" s="3342"/>
      <c r="BU31" s="3341"/>
      <c r="BV31" s="3341"/>
      <c r="BW31" s="3349">
        <f t="shared" si="36"/>
        <v>0</v>
      </c>
      <c r="BX31" s="4074" t="e">
        <f t="shared" si="52"/>
        <v>#DIV/0!</v>
      </c>
      <c r="BY31" s="3342"/>
      <c r="BZ31" s="3341"/>
      <c r="CA31" s="3341"/>
      <c r="CB31" s="3349">
        <f t="shared" si="37"/>
        <v>0</v>
      </c>
      <c r="CC31" s="4074" t="e">
        <f t="shared" si="53"/>
        <v>#DIV/0!</v>
      </c>
      <c r="CD31" s="3342"/>
      <c r="CE31" s="3341"/>
      <c r="CF31" s="3341"/>
      <c r="CG31" s="3349">
        <f t="shared" si="38"/>
        <v>0</v>
      </c>
      <c r="CH31" s="4074" t="e">
        <f t="shared" si="54"/>
        <v>#DIV/0!</v>
      </c>
      <c r="CI31" s="3342"/>
      <c r="CJ31" s="3341">
        <f t="shared" si="39"/>
        <v>0</v>
      </c>
      <c r="CK31" s="3341">
        <f t="shared" si="39"/>
        <v>0</v>
      </c>
      <c r="CL31" s="3349">
        <f t="shared" si="55"/>
        <v>0</v>
      </c>
      <c r="CM31" s="4074">
        <f t="shared" si="40"/>
        <v>0</v>
      </c>
      <c r="CN31" s="4076"/>
      <c r="CP31" s="4186"/>
      <c r="CQ31" s="2012">
        <f t="shared" si="41"/>
        <v>0</v>
      </c>
      <c r="CR31" s="4188">
        <f t="shared" si="56"/>
        <v>0</v>
      </c>
      <c r="CS31" s="3307"/>
      <c r="CT31" s="3443"/>
      <c r="CV31" s="933"/>
    </row>
    <row r="32" spans="1:100" s="1396" customFormat="1" ht="13.8" outlineLevel="2">
      <c r="A32" s="1571"/>
      <c r="B32" s="4077" t="s">
        <v>2</v>
      </c>
      <c r="C32" s="3341"/>
      <c r="D32" s="3341"/>
      <c r="E32" s="3349">
        <f t="shared" si="19"/>
        <v>0</v>
      </c>
      <c r="F32" s="4074" t="e">
        <f t="shared" si="16"/>
        <v>#DIV/0!</v>
      </c>
      <c r="G32" s="4078"/>
      <c r="H32" s="3341"/>
      <c r="I32" s="3341"/>
      <c r="J32" s="3349">
        <f t="shared" si="20"/>
        <v>0</v>
      </c>
      <c r="K32" s="4074" t="e">
        <f t="shared" si="42"/>
        <v>#DIV/0!</v>
      </c>
      <c r="L32" s="4078"/>
      <c r="M32" s="3341"/>
      <c r="N32" s="3341"/>
      <c r="O32" s="3349">
        <f t="shared" si="21"/>
        <v>0</v>
      </c>
      <c r="P32" s="4074" t="e">
        <f t="shared" si="22"/>
        <v>#DIV/0!</v>
      </c>
      <c r="Q32" s="4078"/>
      <c r="R32" s="3342">
        <f t="shared" si="23"/>
        <v>0</v>
      </c>
      <c r="S32" s="3342">
        <f t="shared" si="23"/>
        <v>0</v>
      </c>
      <c r="T32" s="2012">
        <f t="shared" si="24"/>
        <v>0</v>
      </c>
      <c r="U32" s="2048"/>
      <c r="V32" s="2048"/>
      <c r="W32" s="3342">
        <f t="shared" si="25"/>
        <v>0</v>
      </c>
      <c r="X32" s="3342">
        <f t="shared" si="25"/>
        <v>0</v>
      </c>
      <c r="Y32" s="2012">
        <f t="shared" si="26"/>
        <v>0</v>
      </c>
      <c r="Z32" s="2048"/>
      <c r="AA32" s="2048"/>
      <c r="AB32" s="3341"/>
      <c r="AC32" s="3341"/>
      <c r="AD32" s="3349">
        <f t="shared" si="27"/>
        <v>0</v>
      </c>
      <c r="AE32" s="4074">
        <f t="shared" si="43"/>
        <v>0</v>
      </c>
      <c r="AF32" s="4078"/>
      <c r="AG32" s="3341"/>
      <c r="AH32" s="3341"/>
      <c r="AI32" s="3349">
        <f t="shared" si="28"/>
        <v>0</v>
      </c>
      <c r="AJ32" s="4074" t="e">
        <f t="shared" si="44"/>
        <v>#DIV/0!</v>
      </c>
      <c r="AK32" s="4078"/>
      <c r="AL32" s="3341"/>
      <c r="AM32" s="3341"/>
      <c r="AN32" s="3349">
        <f t="shared" si="29"/>
        <v>0</v>
      </c>
      <c r="AO32" s="4074" t="e">
        <f t="shared" si="45"/>
        <v>#DIV/0!</v>
      </c>
      <c r="AP32" s="4078"/>
      <c r="AQ32" s="3341"/>
      <c r="AR32" s="3341"/>
      <c r="AS32" s="3349">
        <f t="shared" si="30"/>
        <v>0</v>
      </c>
      <c r="AT32" s="4074" t="e">
        <f t="shared" si="46"/>
        <v>#DIV/0!</v>
      </c>
      <c r="AU32" s="4078"/>
      <c r="AV32" s="3341"/>
      <c r="AW32" s="3341"/>
      <c r="AX32" s="3349">
        <f t="shared" si="31"/>
        <v>0</v>
      </c>
      <c r="AY32" s="4074" t="e">
        <f t="shared" si="47"/>
        <v>#DIV/0!</v>
      </c>
      <c r="AZ32" s="4078"/>
      <c r="BA32" s="3341"/>
      <c r="BB32" s="3341"/>
      <c r="BC32" s="3349">
        <f t="shared" si="32"/>
        <v>0</v>
      </c>
      <c r="BD32" s="4074" t="e">
        <f t="shared" si="48"/>
        <v>#DIV/0!</v>
      </c>
      <c r="BE32" s="4078"/>
      <c r="BF32" s="3341"/>
      <c r="BG32" s="3341"/>
      <c r="BH32" s="3349">
        <f t="shared" si="33"/>
        <v>0</v>
      </c>
      <c r="BI32" s="4074" t="e">
        <f t="shared" si="49"/>
        <v>#DIV/0!</v>
      </c>
      <c r="BJ32" s="4078"/>
      <c r="BK32" s="3341"/>
      <c r="BL32" s="3341"/>
      <c r="BM32" s="3349">
        <f t="shared" si="34"/>
        <v>0</v>
      </c>
      <c r="BN32" s="4074" t="e">
        <f t="shared" si="50"/>
        <v>#DIV/0!</v>
      </c>
      <c r="BO32" s="4078"/>
      <c r="BP32" s="3341"/>
      <c r="BQ32" s="3341"/>
      <c r="BR32" s="3349">
        <f t="shared" si="35"/>
        <v>0</v>
      </c>
      <c r="BS32" s="4074" t="e">
        <f t="shared" si="51"/>
        <v>#DIV/0!</v>
      </c>
      <c r="BT32" s="4078"/>
      <c r="BU32" s="3341"/>
      <c r="BV32" s="3341"/>
      <c r="BW32" s="3349">
        <f t="shared" si="36"/>
        <v>0</v>
      </c>
      <c r="BX32" s="4074" t="e">
        <f t="shared" si="52"/>
        <v>#DIV/0!</v>
      </c>
      <c r="BY32" s="4078"/>
      <c r="BZ32" s="3341"/>
      <c r="CA32" s="3341"/>
      <c r="CB32" s="3349">
        <f t="shared" si="37"/>
        <v>0</v>
      </c>
      <c r="CC32" s="4074" t="e">
        <f t="shared" si="53"/>
        <v>#DIV/0!</v>
      </c>
      <c r="CD32" s="4078"/>
      <c r="CE32" s="3341"/>
      <c r="CF32" s="3341"/>
      <c r="CG32" s="3349">
        <f t="shared" si="38"/>
        <v>0</v>
      </c>
      <c r="CH32" s="4074" t="e">
        <f t="shared" si="54"/>
        <v>#DIV/0!</v>
      </c>
      <c r="CI32" s="4078"/>
      <c r="CJ32" s="4079">
        <f t="shared" si="39"/>
        <v>0</v>
      </c>
      <c r="CK32" s="4080">
        <f t="shared" si="39"/>
        <v>0</v>
      </c>
      <c r="CL32" s="3349">
        <f t="shared" si="55"/>
        <v>0</v>
      </c>
      <c r="CM32" s="4074">
        <f t="shared" si="40"/>
        <v>0</v>
      </c>
      <c r="CN32" s="4076"/>
      <c r="CP32" s="4186"/>
      <c r="CQ32" s="2012">
        <f t="shared" si="41"/>
        <v>0</v>
      </c>
      <c r="CR32" s="4188">
        <f t="shared" si="56"/>
        <v>0</v>
      </c>
      <c r="CT32" s="3443"/>
    </row>
    <row r="33" spans="1:98" s="1396" customFormat="1" ht="14.4" outlineLevel="2" thickBot="1">
      <c r="A33" s="1571"/>
      <c r="B33" s="4081" t="s">
        <v>75</v>
      </c>
      <c r="C33" s="4082"/>
      <c r="D33" s="4082"/>
      <c r="E33" s="4083">
        <f t="shared" ref="E33" si="57">C33+D33*1</f>
        <v>0</v>
      </c>
      <c r="F33" s="4084" t="e">
        <f t="shared" si="16"/>
        <v>#DIV/0!</v>
      </c>
      <c r="G33" s="4085"/>
      <c r="H33" s="4082"/>
      <c r="I33" s="4082"/>
      <c r="J33" s="4083">
        <f>H33+I33*1</f>
        <v>0</v>
      </c>
      <c r="K33" s="4084" t="e">
        <f t="shared" si="42"/>
        <v>#DIV/0!</v>
      </c>
      <c r="L33" s="4085"/>
      <c r="M33" s="4082"/>
      <c r="N33" s="4082"/>
      <c r="O33" s="4083">
        <f t="shared" ref="O33" si="58">M33+N33*1</f>
        <v>0</v>
      </c>
      <c r="P33" s="4074" t="e">
        <f t="shared" si="22"/>
        <v>#DIV/0!</v>
      </c>
      <c r="Q33" s="4085"/>
      <c r="R33" s="4086">
        <f t="shared" si="23"/>
        <v>0</v>
      </c>
      <c r="S33" s="4087">
        <f t="shared" si="23"/>
        <v>0</v>
      </c>
      <c r="T33" s="4088">
        <f t="shared" si="24"/>
        <v>0</v>
      </c>
      <c r="U33" s="4085"/>
      <c r="V33" s="4085"/>
      <c r="W33" s="4087">
        <f t="shared" si="25"/>
        <v>0</v>
      </c>
      <c r="X33" s="4087">
        <f t="shared" si="25"/>
        <v>0</v>
      </c>
      <c r="Y33" s="4088">
        <f t="shared" si="26"/>
        <v>0</v>
      </c>
      <c r="Z33" s="4085"/>
      <c r="AA33" s="4085"/>
      <c r="AB33" s="4082"/>
      <c r="AC33" s="4082"/>
      <c r="AD33" s="4083">
        <f t="shared" ref="AD33" si="59">AB33+AC33*1</f>
        <v>0</v>
      </c>
      <c r="AE33" s="4084">
        <f t="shared" si="43"/>
        <v>0</v>
      </c>
      <c r="AF33" s="4085"/>
      <c r="AG33" s="4082"/>
      <c r="AH33" s="4082"/>
      <c r="AI33" s="4083">
        <f t="shared" ref="AI33" si="60">AG33+AH33*1</f>
        <v>0</v>
      </c>
      <c r="AJ33" s="4084" t="e">
        <f t="shared" si="44"/>
        <v>#DIV/0!</v>
      </c>
      <c r="AK33" s="4085"/>
      <c r="AL33" s="4082"/>
      <c r="AM33" s="4082"/>
      <c r="AN33" s="4083">
        <f t="shared" ref="AN33" si="61">AL33+AM33*1</f>
        <v>0</v>
      </c>
      <c r="AO33" s="4084" t="e">
        <f t="shared" si="45"/>
        <v>#DIV/0!</v>
      </c>
      <c r="AP33" s="4085"/>
      <c r="AQ33" s="4082"/>
      <c r="AR33" s="4082"/>
      <c r="AS33" s="4083">
        <f t="shared" ref="AS33" si="62">AQ33+AR33*1</f>
        <v>0</v>
      </c>
      <c r="AT33" s="4084" t="e">
        <f t="shared" si="46"/>
        <v>#DIV/0!</v>
      </c>
      <c r="AU33" s="4085"/>
      <c r="AV33" s="4082"/>
      <c r="AW33" s="4082"/>
      <c r="AX33" s="4083">
        <f t="shared" ref="AX33" si="63">AV33+AW33*1</f>
        <v>0</v>
      </c>
      <c r="AY33" s="4084" t="e">
        <f t="shared" si="47"/>
        <v>#DIV/0!</v>
      </c>
      <c r="AZ33" s="4085"/>
      <c r="BA33" s="4082"/>
      <c r="BB33" s="4082"/>
      <c r="BC33" s="4083">
        <f t="shared" ref="BC33" si="64">BA33+BB33*1</f>
        <v>0</v>
      </c>
      <c r="BD33" s="4084" t="e">
        <f t="shared" si="48"/>
        <v>#DIV/0!</v>
      </c>
      <c r="BE33" s="4085"/>
      <c r="BF33" s="4082"/>
      <c r="BG33" s="4082"/>
      <c r="BH33" s="4083">
        <f t="shared" ref="BH33" si="65">BF33+BG33*1</f>
        <v>0</v>
      </c>
      <c r="BI33" s="4084" t="e">
        <f t="shared" si="49"/>
        <v>#DIV/0!</v>
      </c>
      <c r="BJ33" s="4085"/>
      <c r="BK33" s="4082"/>
      <c r="BL33" s="4082"/>
      <c r="BM33" s="4083">
        <f t="shared" ref="BM33" si="66">BK33+BL33*1</f>
        <v>0</v>
      </c>
      <c r="BN33" s="4084" t="e">
        <f t="shared" si="50"/>
        <v>#DIV/0!</v>
      </c>
      <c r="BO33" s="4085"/>
      <c r="BP33" s="4082"/>
      <c r="BQ33" s="4082"/>
      <c r="BR33" s="4083">
        <f t="shared" ref="BR33" si="67">BP33+BQ33*1</f>
        <v>0</v>
      </c>
      <c r="BS33" s="4084" t="e">
        <f t="shared" si="51"/>
        <v>#DIV/0!</v>
      </c>
      <c r="BT33" s="4085"/>
      <c r="BU33" s="4082"/>
      <c r="BV33" s="4082"/>
      <c r="BW33" s="4083">
        <f t="shared" ref="BW33" si="68">BU33+BV33*1</f>
        <v>0</v>
      </c>
      <c r="BX33" s="4084" t="e">
        <f t="shared" si="52"/>
        <v>#DIV/0!</v>
      </c>
      <c r="BY33" s="4085"/>
      <c r="BZ33" s="4082"/>
      <c r="CA33" s="4082"/>
      <c r="CB33" s="4083">
        <f t="shared" ref="CB33" si="69">BZ33+CA33*1</f>
        <v>0</v>
      </c>
      <c r="CC33" s="4084" t="e">
        <f t="shared" si="53"/>
        <v>#DIV/0!</v>
      </c>
      <c r="CD33" s="4085"/>
      <c r="CE33" s="4082"/>
      <c r="CF33" s="4082"/>
      <c r="CG33" s="4083">
        <f t="shared" ref="CG33" si="70">CE33+CF33*1</f>
        <v>0</v>
      </c>
      <c r="CH33" s="4084" t="e">
        <f t="shared" si="54"/>
        <v>#DIV/0!</v>
      </c>
      <c r="CI33" s="4085"/>
      <c r="CJ33" s="4089">
        <f t="shared" si="39"/>
        <v>0</v>
      </c>
      <c r="CK33" s="4082">
        <f t="shared" si="39"/>
        <v>0</v>
      </c>
      <c r="CL33" s="4083">
        <f t="shared" si="55"/>
        <v>0</v>
      </c>
      <c r="CM33" s="4090">
        <f t="shared" si="40"/>
        <v>0</v>
      </c>
      <c r="CN33" s="4091"/>
      <c r="CP33" s="4186"/>
      <c r="CQ33" s="4186"/>
      <c r="CR33" s="4188">
        <f t="shared" si="56"/>
        <v>0</v>
      </c>
      <c r="CT33" s="3443"/>
    </row>
    <row r="34" spans="1:98"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1"/>
      <c r="AC34" s="3341"/>
      <c r="AD34" s="3368"/>
      <c r="AE34" s="3368"/>
      <c r="AF34" s="3448"/>
      <c r="AG34" s="3341"/>
      <c r="AH34" s="3341"/>
      <c r="AI34" s="3368"/>
      <c r="AJ34" s="3368"/>
      <c r="AK34" s="3448"/>
      <c r="AL34" s="3341"/>
      <c r="AM34" s="3341"/>
      <c r="AN34" s="3368"/>
      <c r="AO34" s="3368"/>
      <c r="AP34" s="3448"/>
      <c r="AQ34" s="3341"/>
      <c r="AR34" s="3341"/>
      <c r="AS34" s="3368"/>
      <c r="AT34" s="3368"/>
      <c r="AU34" s="3448"/>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3449"/>
      <c r="CQ34" s="3449"/>
      <c r="CR34" s="3450"/>
      <c r="CT34" s="3443"/>
    </row>
    <row r="35" spans="1:98" s="1396" customFormat="1" ht="13.8" outlineLevel="1">
      <c r="A35" s="1571"/>
      <c r="B35" s="4092" t="s">
        <v>80</v>
      </c>
      <c r="C35" s="4093">
        <f>C36</f>
        <v>0</v>
      </c>
      <c r="D35" s="4093">
        <f>D36</f>
        <v>0</v>
      </c>
      <c r="E35" s="4094">
        <f>E36</f>
        <v>0</v>
      </c>
      <c r="F35" s="4094"/>
      <c r="G35" s="4095"/>
      <c r="H35" s="4093">
        <f>H36</f>
        <v>0</v>
      </c>
      <c r="I35" s="4093">
        <f>I36</f>
        <v>0</v>
      </c>
      <c r="J35" s="4094">
        <f>J36</f>
        <v>0</v>
      </c>
      <c r="K35" s="4094"/>
      <c r="L35" s="4095"/>
      <c r="M35" s="4093">
        <f>M36</f>
        <v>0</v>
      </c>
      <c r="N35" s="4093">
        <f>N36</f>
        <v>0</v>
      </c>
      <c r="O35" s="4094">
        <f>O36</f>
        <v>0</v>
      </c>
      <c r="P35" s="4094"/>
      <c r="Q35" s="4095"/>
      <c r="R35" s="4093">
        <f>R36</f>
        <v>0</v>
      </c>
      <c r="S35" s="4093">
        <f>S36</f>
        <v>0</v>
      </c>
      <c r="T35" s="4094">
        <f>T36</f>
        <v>0</v>
      </c>
      <c r="U35" s="4096"/>
      <c r="V35" s="4096"/>
      <c r="W35" s="4093">
        <f>W36</f>
        <v>0</v>
      </c>
      <c r="X35" s="4093">
        <f>X36</f>
        <v>0</v>
      </c>
      <c r="Y35" s="4094">
        <f>Y36</f>
        <v>0</v>
      </c>
      <c r="Z35" s="4096"/>
      <c r="AA35" s="4096"/>
      <c r="AB35" s="4093">
        <f>AB36</f>
        <v>0</v>
      </c>
      <c r="AC35" s="4093">
        <f>AC36</f>
        <v>0</v>
      </c>
      <c r="AD35" s="4094">
        <f>AD36</f>
        <v>0</v>
      </c>
      <c r="AE35" s="4094"/>
      <c r="AF35" s="4095"/>
      <c r="AG35" s="4093">
        <f>AG36</f>
        <v>0</v>
      </c>
      <c r="AH35" s="4093">
        <f>AH36</f>
        <v>0</v>
      </c>
      <c r="AI35" s="4094">
        <f>AI36</f>
        <v>0</v>
      </c>
      <c r="AJ35" s="4094"/>
      <c r="AK35" s="4095"/>
      <c r="AL35" s="4093">
        <f>AL36</f>
        <v>0</v>
      </c>
      <c r="AM35" s="4093">
        <f>AM36</f>
        <v>0</v>
      </c>
      <c r="AN35" s="4094">
        <f>AN36</f>
        <v>0</v>
      </c>
      <c r="AO35" s="4094"/>
      <c r="AP35" s="4095"/>
      <c r="AQ35" s="4093">
        <f>AQ36</f>
        <v>0</v>
      </c>
      <c r="AR35" s="4093">
        <f>AR36</f>
        <v>0</v>
      </c>
      <c r="AS35" s="4094">
        <f>AS36</f>
        <v>0</v>
      </c>
      <c r="AT35" s="4094"/>
      <c r="AU35" s="4095"/>
      <c r="AV35" s="4093">
        <f>AV36</f>
        <v>0</v>
      </c>
      <c r="AW35" s="4093">
        <f>AW36</f>
        <v>0</v>
      </c>
      <c r="AX35" s="4094">
        <f>AX36</f>
        <v>0</v>
      </c>
      <c r="AY35" s="4094"/>
      <c r="AZ35" s="4095"/>
      <c r="BA35" s="4093">
        <f>BA36</f>
        <v>0</v>
      </c>
      <c r="BB35" s="4093">
        <f>BB36</f>
        <v>0</v>
      </c>
      <c r="BC35" s="4094">
        <f>BC36</f>
        <v>0</v>
      </c>
      <c r="BD35" s="4094"/>
      <c r="BE35" s="4095"/>
      <c r="BF35" s="4093">
        <f>BF36</f>
        <v>0</v>
      </c>
      <c r="BG35" s="4093">
        <f>BG36</f>
        <v>0</v>
      </c>
      <c r="BH35" s="4094">
        <f>BH36</f>
        <v>0</v>
      </c>
      <c r="BI35" s="4094"/>
      <c r="BJ35" s="4095"/>
      <c r="BK35" s="4093">
        <f>BK36</f>
        <v>0</v>
      </c>
      <c r="BL35" s="4093">
        <f>BL36</f>
        <v>0</v>
      </c>
      <c r="BM35" s="4094">
        <f>BM36</f>
        <v>0</v>
      </c>
      <c r="BN35" s="4094"/>
      <c r="BO35" s="4095"/>
      <c r="BP35" s="4093">
        <f>BP36</f>
        <v>0</v>
      </c>
      <c r="BQ35" s="4093">
        <f>BQ36</f>
        <v>0</v>
      </c>
      <c r="BR35" s="4094">
        <f>BR36</f>
        <v>0</v>
      </c>
      <c r="BS35" s="4094"/>
      <c r="BT35" s="4095"/>
      <c r="BU35" s="4093">
        <f>BU36</f>
        <v>0</v>
      </c>
      <c r="BV35" s="4093">
        <f>BV36</f>
        <v>0</v>
      </c>
      <c r="BW35" s="4094">
        <f>BW36</f>
        <v>0</v>
      </c>
      <c r="BX35" s="4094"/>
      <c r="BY35" s="4095"/>
      <c r="BZ35" s="4093">
        <f>BZ36</f>
        <v>0</v>
      </c>
      <c r="CA35" s="4093">
        <f>CA36</f>
        <v>0</v>
      </c>
      <c r="CB35" s="4094">
        <f>CB36</f>
        <v>0</v>
      </c>
      <c r="CC35" s="4094"/>
      <c r="CD35" s="4095"/>
      <c r="CE35" s="4093">
        <f>CE36</f>
        <v>0</v>
      </c>
      <c r="CF35" s="4093">
        <f>CF36</f>
        <v>0</v>
      </c>
      <c r="CG35" s="4094">
        <f>CG36</f>
        <v>0</v>
      </c>
      <c r="CH35" s="4094"/>
      <c r="CI35" s="4095"/>
      <c r="CJ35" s="4093">
        <f>CJ36</f>
        <v>0</v>
      </c>
      <c r="CK35" s="4093">
        <f>CK36</f>
        <v>0</v>
      </c>
      <c r="CL35" s="4094">
        <f>CL36</f>
        <v>0</v>
      </c>
      <c r="CM35" s="4094"/>
      <c r="CN35" s="4094"/>
      <c r="CP35" s="4094">
        <f>CP36</f>
        <v>0</v>
      </c>
      <c r="CQ35" s="4094">
        <f>CQ36</f>
        <v>0</v>
      </c>
      <c r="CR35" s="4097">
        <f>CR36</f>
        <v>0</v>
      </c>
      <c r="CT35" s="3443"/>
    </row>
    <row r="36" spans="1:98" s="1396" customFormat="1" ht="13.8" outlineLevel="3">
      <c r="A36" s="1571"/>
      <c r="B36" s="4098" t="s">
        <v>81</v>
      </c>
      <c r="C36" s="3341"/>
      <c r="D36" s="3341"/>
      <c r="E36" s="2012">
        <f>C36+D36*1</f>
        <v>0</v>
      </c>
      <c r="F36" s="4074" t="e">
        <f>E36/$E$89</f>
        <v>#DIV/0!</v>
      </c>
      <c r="G36" s="4099"/>
      <c r="H36" s="3341"/>
      <c r="I36" s="3341"/>
      <c r="J36" s="2012">
        <f>H36+I36*1</f>
        <v>0</v>
      </c>
      <c r="K36" s="4074" t="e">
        <f t="shared" ref="K36" si="71">J36/J$89</f>
        <v>#DIV/0!</v>
      </c>
      <c r="L36" s="4099"/>
      <c r="M36" s="3341"/>
      <c r="N36" s="3341"/>
      <c r="O36" s="3349">
        <f t="shared" ref="O36" si="72">M36+N36</f>
        <v>0</v>
      </c>
      <c r="P36" s="4074" t="e">
        <f t="shared" ref="P36" si="73">O36/O$89</f>
        <v>#DIV/0!</v>
      </c>
      <c r="Q36" s="4099"/>
      <c r="R36" s="3342">
        <f t="shared" ref="R36:S36" si="74">M36+H36+C36</f>
        <v>0</v>
      </c>
      <c r="S36" s="3342">
        <f t="shared" si="74"/>
        <v>0</v>
      </c>
      <c r="T36" s="2012">
        <f t="shared" ref="T36" si="75">R36+S36</f>
        <v>0</v>
      </c>
      <c r="U36" s="3455"/>
      <c r="V36" s="3455"/>
      <c r="W36" s="3342">
        <f t="shared" ref="W36:X36" si="76">AB36+AG36+AL36+AV36+BA36+BF36+BK36+BP36+BU36+BZ36+CE36+AQ36</f>
        <v>0</v>
      </c>
      <c r="X36" s="3342">
        <f t="shared" si="76"/>
        <v>0</v>
      </c>
      <c r="Y36" s="2012">
        <f t="shared" ref="Y36" si="77">W36+X36</f>
        <v>0</v>
      </c>
      <c r="Z36" s="3455"/>
      <c r="AA36" s="3455"/>
      <c r="AB36" s="3341"/>
      <c r="AC36" s="3341"/>
      <c r="AD36" s="3349">
        <f t="shared" ref="AD36" si="78">AB36+AC36</f>
        <v>0</v>
      </c>
      <c r="AE36" s="4074">
        <f>AD36/AD$89</f>
        <v>0</v>
      </c>
      <c r="AF36" s="4099"/>
      <c r="AG36" s="3341"/>
      <c r="AH36" s="3341"/>
      <c r="AI36" s="3349">
        <f t="shared" ref="AI36" si="79">AG36+AH36</f>
        <v>0</v>
      </c>
      <c r="AJ36" s="4074" t="e">
        <f>AI36/AI$89</f>
        <v>#DIV/0!</v>
      </c>
      <c r="AK36" s="4099"/>
      <c r="AL36" s="3341"/>
      <c r="AM36" s="3341"/>
      <c r="AN36" s="3349">
        <f t="shared" ref="AN36" si="80">AL36+AM36</f>
        <v>0</v>
      </c>
      <c r="AO36" s="4074" t="e">
        <f>AN36/AN$89</f>
        <v>#DIV/0!</v>
      </c>
      <c r="AP36" s="4099"/>
      <c r="AQ36" s="3341"/>
      <c r="AR36" s="3341"/>
      <c r="AS36" s="3349">
        <f t="shared" ref="AS36" si="81">AQ36+AR36</f>
        <v>0</v>
      </c>
      <c r="AT36" s="4074" t="e">
        <f>AS36/AS$89</f>
        <v>#DIV/0!</v>
      </c>
      <c r="AU36" s="4099"/>
      <c r="AV36" s="3341"/>
      <c r="AW36" s="3341"/>
      <c r="AX36" s="3349">
        <f t="shared" ref="AX36" si="82">AV36+AW36</f>
        <v>0</v>
      </c>
      <c r="AY36" s="4074" t="e">
        <f>AX36/AX$89</f>
        <v>#DIV/0!</v>
      </c>
      <c r="AZ36" s="4099"/>
      <c r="BA36" s="3341"/>
      <c r="BB36" s="3341"/>
      <c r="BC36" s="3349">
        <f t="shared" ref="BC36" si="83">BA36+BB36</f>
        <v>0</v>
      </c>
      <c r="BD36" s="4074" t="e">
        <f>BC36/BC$89</f>
        <v>#DIV/0!</v>
      </c>
      <c r="BE36" s="4099"/>
      <c r="BF36" s="3341"/>
      <c r="BG36" s="3341"/>
      <c r="BH36" s="3349">
        <f t="shared" ref="BH36" si="84">BF36+BG36</f>
        <v>0</v>
      </c>
      <c r="BI36" s="4074" t="e">
        <f>BH36/BH$89</f>
        <v>#DIV/0!</v>
      </c>
      <c r="BJ36" s="4099"/>
      <c r="BK36" s="3341"/>
      <c r="BL36" s="3341"/>
      <c r="BM36" s="3349">
        <f t="shared" ref="BM36" si="85">BK36+BL36</f>
        <v>0</v>
      </c>
      <c r="BN36" s="4074" t="e">
        <f>BM36/BM$89</f>
        <v>#DIV/0!</v>
      </c>
      <c r="BO36" s="4099"/>
      <c r="BP36" s="3341"/>
      <c r="BQ36" s="3341"/>
      <c r="BR36" s="3349">
        <f t="shared" ref="BR36" si="86">BP36+BQ36</f>
        <v>0</v>
      </c>
      <c r="BS36" s="4074" t="e">
        <f>BR36/BR$89</f>
        <v>#DIV/0!</v>
      </c>
      <c r="BT36" s="4099"/>
      <c r="BU36" s="3341"/>
      <c r="BV36" s="3341"/>
      <c r="BW36" s="3349">
        <f t="shared" ref="BW36" si="87">BU36+BV36</f>
        <v>0</v>
      </c>
      <c r="BX36" s="4074" t="e">
        <f>BW36/BW$89</f>
        <v>#DIV/0!</v>
      </c>
      <c r="BY36" s="4099"/>
      <c r="BZ36" s="3341"/>
      <c r="CA36" s="3341"/>
      <c r="CB36" s="3349">
        <f t="shared" ref="CB36" si="88">BZ36+CA36</f>
        <v>0</v>
      </c>
      <c r="CC36" s="4074" t="e">
        <f>CB36/CB$89</f>
        <v>#DIV/0!</v>
      </c>
      <c r="CD36" s="4099"/>
      <c r="CE36" s="3341"/>
      <c r="CF36" s="3341"/>
      <c r="CG36" s="3349">
        <f t="shared" ref="CG36" si="89">CE36+CF36</f>
        <v>0</v>
      </c>
      <c r="CH36" s="4074" t="e">
        <f>CG36/CG$89</f>
        <v>#DIV/0!</v>
      </c>
      <c r="CI36" s="4099"/>
      <c r="CJ36" s="3341">
        <f t="shared" ref="CJ36:CK36" si="90">C36+H36+M36+W36</f>
        <v>0</v>
      </c>
      <c r="CK36" s="3341">
        <f t="shared" si="90"/>
        <v>0</v>
      </c>
      <c r="CL36" s="2012">
        <f>CJ36+CK36*1</f>
        <v>0</v>
      </c>
      <c r="CM36" s="4074">
        <f>CL36/$CL$89</f>
        <v>0</v>
      </c>
      <c r="CN36" s="4100"/>
      <c r="CP36" s="2012"/>
      <c r="CQ36" s="2012">
        <f t="shared" ref="CQ36" si="91">CL36</f>
        <v>0</v>
      </c>
      <c r="CR36" s="4188">
        <f t="shared" ref="CR36" si="92">CP36-CQ36</f>
        <v>0</v>
      </c>
      <c r="CT36" s="3443"/>
    </row>
    <row r="37" spans="1:98" s="1396" customFormat="1" ht="14.4" outlineLevel="1" thickBot="1">
      <c r="A37" s="1398"/>
      <c r="B37" s="4101"/>
      <c r="C37" s="3341"/>
      <c r="D37" s="3341"/>
      <c r="E37" s="4102"/>
      <c r="F37" s="4102"/>
      <c r="G37" s="4103"/>
      <c r="H37" s="3341"/>
      <c r="I37" s="3341"/>
      <c r="J37" s="4102"/>
      <c r="K37" s="4102"/>
      <c r="L37" s="4103"/>
      <c r="M37" s="3341"/>
      <c r="N37" s="3341"/>
      <c r="O37" s="4102"/>
      <c r="P37" s="4102"/>
      <c r="Q37" s="4103"/>
      <c r="R37" s="3456"/>
      <c r="S37" s="3456"/>
      <c r="T37" s="3456"/>
      <c r="U37" s="3456"/>
      <c r="V37" s="3456"/>
      <c r="W37" s="3342">
        <f t="shared" ref="W37:X37" si="93">AB37+AG37+AL37+AV37+BA37+BF37+BK37+BP37+BU37+BZ37+CE37</f>
        <v>0</v>
      </c>
      <c r="X37" s="3342">
        <f t="shared" si="93"/>
        <v>0</v>
      </c>
      <c r="Y37" s="3456"/>
      <c r="Z37" s="3456"/>
      <c r="AA37" s="3456"/>
      <c r="AB37" s="3341"/>
      <c r="AC37" s="3341"/>
      <c r="AD37" s="4102"/>
      <c r="AE37" s="4102"/>
      <c r="AF37" s="4103"/>
      <c r="AG37" s="3341"/>
      <c r="AH37" s="3341"/>
      <c r="AI37" s="4102"/>
      <c r="AJ37" s="4102"/>
      <c r="AK37" s="4103"/>
      <c r="AL37" s="3341"/>
      <c r="AM37" s="3341"/>
      <c r="AN37" s="4102"/>
      <c r="AO37" s="4102"/>
      <c r="AP37" s="4103"/>
      <c r="AQ37" s="3341"/>
      <c r="AR37" s="3341"/>
      <c r="AS37" s="4102"/>
      <c r="AT37" s="4102"/>
      <c r="AU37" s="4103"/>
      <c r="AV37" s="3341"/>
      <c r="AW37" s="3341"/>
      <c r="AX37" s="4102"/>
      <c r="AY37" s="4102"/>
      <c r="AZ37" s="4103"/>
      <c r="BA37" s="3341"/>
      <c r="BB37" s="3341"/>
      <c r="BC37" s="4102"/>
      <c r="BD37" s="4102"/>
      <c r="BE37" s="4103"/>
      <c r="BF37" s="3341"/>
      <c r="BG37" s="3341"/>
      <c r="BH37" s="4102"/>
      <c r="BI37" s="4102"/>
      <c r="BJ37" s="4103"/>
      <c r="BK37" s="3341"/>
      <c r="BL37" s="3341"/>
      <c r="BM37" s="4102"/>
      <c r="BN37" s="4102"/>
      <c r="BO37" s="4103"/>
      <c r="BP37" s="3341"/>
      <c r="BQ37" s="3341"/>
      <c r="BR37" s="4102"/>
      <c r="BS37" s="4102"/>
      <c r="BT37" s="4103"/>
      <c r="BU37" s="3341"/>
      <c r="BV37" s="3341"/>
      <c r="BW37" s="4102"/>
      <c r="BX37" s="4102"/>
      <c r="BY37" s="4103"/>
      <c r="BZ37" s="3341"/>
      <c r="CA37" s="3341"/>
      <c r="CB37" s="4102"/>
      <c r="CC37" s="4102"/>
      <c r="CD37" s="4103"/>
      <c r="CE37" s="3341"/>
      <c r="CF37" s="3341"/>
      <c r="CG37" s="4102"/>
      <c r="CH37" s="4102"/>
      <c r="CI37" s="4103"/>
      <c r="CJ37" s="3341"/>
      <c r="CK37" s="3341"/>
      <c r="CL37" s="4102"/>
      <c r="CM37" s="4102"/>
      <c r="CN37" s="4102"/>
      <c r="CP37" s="4104"/>
      <c r="CQ37" s="4104"/>
      <c r="CR37" s="4105"/>
      <c r="CT37" s="3443"/>
    </row>
    <row r="38" spans="1:98"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0</v>
      </c>
      <c r="O38" s="3749">
        <f>(O5)-(O8)</f>
        <v>0</v>
      </c>
      <c r="P38" s="3749"/>
      <c r="Q38" s="3750"/>
      <c r="R38" s="3749">
        <f>(R5)-(R8)</f>
        <v>0</v>
      </c>
      <c r="S38" s="3749">
        <f>(S5)-(S8)</f>
        <v>0</v>
      </c>
      <c r="T38" s="3749">
        <f>(T5)-(T8)</f>
        <v>0</v>
      </c>
      <c r="U38" s="3750"/>
      <c r="V38" s="3750"/>
      <c r="W38" s="3749">
        <f>(W5)-(W8)</f>
        <v>32671.73</v>
      </c>
      <c r="X38" s="3749">
        <f>(X5)-(X8)</f>
        <v>-9192</v>
      </c>
      <c r="Y38" s="3749">
        <f>(Y5)-(Y8)</f>
        <v>23479.73</v>
      </c>
      <c r="Z38" s="3750"/>
      <c r="AA38" s="3750"/>
      <c r="AB38" s="3749">
        <f>(AB5)-(AB8)</f>
        <v>-22328.27</v>
      </c>
      <c r="AC38" s="3749">
        <f>(AC5)-(AC8)</f>
        <v>-9192</v>
      </c>
      <c r="AD38" s="3749">
        <f>(AD5)-(AD8)</f>
        <v>-31520.27</v>
      </c>
      <c r="AE38" s="3749"/>
      <c r="AF38" s="3750"/>
      <c r="AG38" s="3749">
        <f>(AG5)-(AG8)</f>
        <v>0</v>
      </c>
      <c r="AH38" s="3749">
        <f>(AH5)-(AH8)</f>
        <v>0</v>
      </c>
      <c r="AI38" s="3749">
        <f>(AI5)-(AI8)</f>
        <v>0</v>
      </c>
      <c r="AJ38" s="3749"/>
      <c r="AK38" s="3750"/>
      <c r="AL38" s="3749">
        <f>(AL5)-(AL8)</f>
        <v>55000</v>
      </c>
      <c r="AM38" s="3749">
        <f>(AM5)-(AM8)</f>
        <v>0</v>
      </c>
      <c r="AN38" s="3749">
        <f>(AN5)-(AN8)</f>
        <v>55000</v>
      </c>
      <c r="AO38" s="3749"/>
      <c r="AP38" s="3750"/>
      <c r="AQ38" s="3749">
        <f>(AQ5)-(AQ8)</f>
        <v>0</v>
      </c>
      <c r="AR38" s="3749">
        <f>(AR5)-(AR8)</f>
        <v>0</v>
      </c>
      <c r="AS38" s="3749">
        <f>(AS5)-(AS8)</f>
        <v>0</v>
      </c>
      <c r="AT38" s="3749"/>
      <c r="AU38" s="3750"/>
      <c r="AV38" s="3749">
        <f>(AV5)-(AV8)</f>
        <v>0</v>
      </c>
      <c r="AW38" s="3749">
        <f>(AW5)-(AW8)</f>
        <v>0</v>
      </c>
      <c r="AX38" s="3749">
        <f>(AX5)-(AX8)</f>
        <v>0</v>
      </c>
      <c r="AY38" s="3749"/>
      <c r="AZ38" s="3750"/>
      <c r="BA38" s="3749">
        <f>(BA5)-(BA8)</f>
        <v>0</v>
      </c>
      <c r="BB38" s="3749">
        <f>(BB5)-(BB8)</f>
        <v>0</v>
      </c>
      <c r="BC38" s="3749">
        <f>(BC5)-(BC8)</f>
        <v>0</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32671.73</v>
      </c>
      <c r="CK38" s="3751">
        <f>(CK5)-(CK8)</f>
        <v>-9192</v>
      </c>
      <c r="CL38" s="3751">
        <f>(CL5)-(CL8)</f>
        <v>23479.73</v>
      </c>
      <c r="CM38" s="3749"/>
      <c r="CN38" s="3749"/>
      <c r="CP38" s="3749">
        <f>(CP5)-(CP8)</f>
        <v>12958.3</v>
      </c>
      <c r="CQ38" s="3760">
        <f>(CQ5)-(CQ8)</f>
        <v>23479.73</v>
      </c>
      <c r="CR38" s="3749">
        <f>(CR5)-(CR8)</f>
        <v>-10521.43</v>
      </c>
      <c r="CT38" s="4191"/>
    </row>
    <row r="39" spans="1:98"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2003">
        <f>IFERROR(AB38/(AB5),0)</f>
        <v>0</v>
      </c>
      <c r="AC39" s="2003">
        <f>IFERROR(AC38/(AC5),0)</f>
        <v>0</v>
      </c>
      <c r="AD39" s="2004">
        <f>IFERROR(AD38/(AD5),0)</f>
        <v>0</v>
      </c>
      <c r="AE39" s="2004"/>
      <c r="AF39" s="1056"/>
      <c r="AG39" s="2003">
        <f>IFERROR(AG38/(AG5),0)</f>
        <v>0</v>
      </c>
      <c r="AH39" s="2003">
        <f>IFERROR(AH38/(AH5),0)</f>
        <v>0</v>
      </c>
      <c r="AI39" s="2004">
        <f>IFERROR(AI38/(AI5),0)</f>
        <v>0</v>
      </c>
      <c r="AJ39" s="2004"/>
      <c r="AK39" s="1056"/>
      <c r="AL39" s="2003">
        <f>IFERROR(AL38/(AL5),0)</f>
        <v>1</v>
      </c>
      <c r="AM39" s="2003">
        <f>IFERROR(AM38/(AM5),0)</f>
        <v>0</v>
      </c>
      <c r="AN39" s="2004">
        <f>IFERROR(AN38/(AN5),0)</f>
        <v>1</v>
      </c>
      <c r="AO39" s="2004"/>
      <c r="AP39" s="1056"/>
      <c r="AQ39" s="2003">
        <f>IFERROR(AQ38/(AQ5),0)</f>
        <v>0</v>
      </c>
      <c r="AR39" s="2003">
        <f>IFERROR(AR38/(AR5),0)</f>
        <v>0</v>
      </c>
      <c r="AS39" s="2004">
        <f>IFERROR(AS38/(AS5),0)</f>
        <v>0</v>
      </c>
      <c r="AT39" s="2004"/>
      <c r="AU39" s="1056"/>
      <c r="AV39" s="2003">
        <f>IFERROR(AV38/(AV5),0)</f>
        <v>0</v>
      </c>
      <c r="AW39" s="2003">
        <f>IFERROR(AW38/(AW5),0)</f>
        <v>0</v>
      </c>
      <c r="AX39" s="2004">
        <f>IFERROR(AX38/(AX5),0)</f>
        <v>0</v>
      </c>
      <c r="AY39" s="2004"/>
      <c r="AZ39" s="1056"/>
      <c r="BA39" s="2003">
        <f>IFERROR(BA38/(BA5),0)</f>
        <v>0</v>
      </c>
      <c r="BB39" s="2003">
        <f>IFERROR(BB38/(BB5),0)</f>
        <v>0</v>
      </c>
      <c r="BC39" s="2004">
        <f>IFERROR(BC38/(BC5),0)</f>
        <v>0</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0.59403145454545458</v>
      </c>
      <c r="CK39" s="2003">
        <f>IFERROR(CK38/(CK5),0)</f>
        <v>0</v>
      </c>
      <c r="CL39" s="2004">
        <f>IFERROR(CL38/(CL5),0)</f>
        <v>0.42690418181818179</v>
      </c>
      <c r="CM39" s="2004"/>
      <c r="CN39" s="2004"/>
      <c r="CP39" s="2004">
        <f>CP38/(CP5)</f>
        <v>0.28643457117595045</v>
      </c>
      <c r="CQ39" s="2004">
        <f>IFERROR(CQ38/(CQ5),0)</f>
        <v>0.42690418181818179</v>
      </c>
      <c r="CR39" s="2004">
        <f>CR38/(CR5)</f>
        <v>1.078015368852459</v>
      </c>
    </row>
    <row r="40" spans="1:98" ht="14.4" outlineLevel="1" thickBot="1">
      <c r="A40" s="1567"/>
      <c r="B40" s="4106"/>
      <c r="C40" s="4107"/>
      <c r="D40" s="4107"/>
      <c r="E40" s="4107"/>
      <c r="F40" s="4107"/>
      <c r="G40" s="4108"/>
      <c r="H40" s="4107"/>
      <c r="I40" s="4107"/>
      <c r="J40" s="4107"/>
      <c r="K40" s="4107"/>
      <c r="L40" s="4108"/>
      <c r="M40" s="4107"/>
      <c r="N40" s="4107"/>
      <c r="O40" s="4107"/>
      <c r="P40" s="4107"/>
      <c r="Q40" s="4108"/>
      <c r="R40" s="4108"/>
      <c r="S40" s="4108"/>
      <c r="T40" s="4108"/>
      <c r="U40" s="4108"/>
      <c r="V40" s="4108"/>
      <c r="W40" s="4108"/>
      <c r="X40" s="4108"/>
      <c r="Y40" s="4108"/>
      <c r="Z40" s="4108"/>
      <c r="AA40" s="4108"/>
      <c r="AB40" s="4107"/>
      <c r="AC40" s="4107"/>
      <c r="AD40" s="4107"/>
      <c r="AE40" s="4107"/>
      <c r="AF40" s="4108"/>
      <c r="AG40" s="4107"/>
      <c r="AH40" s="4107"/>
      <c r="AI40" s="4107"/>
      <c r="AJ40" s="4107"/>
      <c r="AK40" s="4108"/>
      <c r="AL40" s="4107"/>
      <c r="AM40" s="4107"/>
      <c r="AN40" s="4107"/>
      <c r="AO40" s="4107"/>
      <c r="AP40" s="4108"/>
      <c r="AQ40" s="4107"/>
      <c r="AR40" s="4107"/>
      <c r="AS40" s="4107"/>
      <c r="AT40" s="4107"/>
      <c r="AU40" s="4108"/>
      <c r="AV40" s="4107"/>
      <c r="AW40" s="4107"/>
      <c r="AX40" s="4107"/>
      <c r="AY40" s="4107"/>
      <c r="AZ40" s="4108"/>
      <c r="BA40" s="4107"/>
      <c r="BB40" s="4107"/>
      <c r="BC40" s="4107"/>
      <c r="BD40" s="4107"/>
      <c r="BE40" s="4108"/>
      <c r="BF40" s="4107"/>
      <c r="BG40" s="4107"/>
      <c r="BH40" s="4107"/>
      <c r="BI40" s="4107"/>
      <c r="BJ40" s="4108"/>
      <c r="BK40" s="4107"/>
      <c r="BL40" s="4107"/>
      <c r="BM40" s="4107"/>
      <c r="BN40" s="4107"/>
      <c r="BO40" s="4108"/>
      <c r="BP40" s="4107"/>
      <c r="BQ40" s="4107"/>
      <c r="BR40" s="4107"/>
      <c r="BS40" s="4107"/>
      <c r="BT40" s="4108"/>
      <c r="BU40" s="4107"/>
      <c r="BV40" s="4107"/>
      <c r="BW40" s="4107"/>
      <c r="BX40" s="4107"/>
      <c r="BY40" s="4108"/>
      <c r="BZ40" s="4107"/>
      <c r="CA40" s="4107"/>
      <c r="CB40" s="4107"/>
      <c r="CC40" s="4107"/>
      <c r="CD40" s="4108"/>
      <c r="CE40" s="4107"/>
      <c r="CF40" s="4107"/>
      <c r="CG40" s="4107"/>
      <c r="CH40" s="4107"/>
      <c r="CI40" s="4108"/>
      <c r="CJ40" s="4107"/>
      <c r="CK40" s="4107"/>
      <c r="CL40" s="4107"/>
      <c r="CM40" s="4107"/>
      <c r="CN40" s="4107"/>
      <c r="CP40" s="4109"/>
      <c r="CQ40" s="4109"/>
      <c r="CR40" s="4109"/>
    </row>
    <row r="41" spans="1:98" ht="13.8" outlineLevel="1">
      <c r="A41" s="1405"/>
      <c r="B41" s="1415" t="s">
        <v>26</v>
      </c>
      <c r="C41" s="2013">
        <f>SUM(C42:C48)</f>
        <v>0</v>
      </c>
      <c r="D41" s="2013">
        <f>SUM(D42:D48)</f>
        <v>0</v>
      </c>
      <c r="E41" s="2014">
        <f>SUM(E42:E48)</f>
        <v>0</v>
      </c>
      <c r="F41" s="4110" t="e">
        <f>E41/$E$89</f>
        <v>#DIV/0!</v>
      </c>
      <c r="G41" s="1057"/>
      <c r="H41" s="2013">
        <f>SUM(H42:H48)</f>
        <v>0</v>
      </c>
      <c r="I41" s="2013">
        <f>SUM(I42:I48)</f>
        <v>0</v>
      </c>
      <c r="J41" s="2014">
        <f>SUM(J42:J48)</f>
        <v>0</v>
      </c>
      <c r="K41" s="4110" t="e">
        <f>J41/$E$89</f>
        <v>#DIV/0!</v>
      </c>
      <c r="L41" s="1057"/>
      <c r="M41" s="2013">
        <f>SUM(M42:M48)</f>
        <v>0</v>
      </c>
      <c r="N41" s="2013">
        <f>SUM(N42:N48)</f>
        <v>0</v>
      </c>
      <c r="O41" s="2014">
        <f>SUM(O42:O48)</f>
        <v>0</v>
      </c>
      <c r="P41" s="4110" t="e">
        <f>O41/$E$89</f>
        <v>#DIV/0!</v>
      </c>
      <c r="Q41" s="1057"/>
      <c r="R41" s="2013">
        <f>SUM(R42:R48)</f>
        <v>0</v>
      </c>
      <c r="S41" s="2013">
        <f>SUM(S42:S48)</f>
        <v>0</v>
      </c>
      <c r="T41" s="2014">
        <f>SUM(T42:T48)</f>
        <v>0</v>
      </c>
      <c r="U41" s="4110"/>
      <c r="V41" s="3460"/>
      <c r="W41" s="2013">
        <f>SUM(W42:W48)</f>
        <v>0</v>
      </c>
      <c r="X41" s="2013">
        <f>SUM(X42:X48)</f>
        <v>0</v>
      </c>
      <c r="Y41" s="2014">
        <f>SUM(Y42:Y48)</f>
        <v>0</v>
      </c>
      <c r="Z41" s="4110"/>
      <c r="AA41" s="3460"/>
      <c r="AB41" s="2013">
        <f>SUM(AB42:AB48)</f>
        <v>0</v>
      </c>
      <c r="AC41" s="2013">
        <f>SUM(AC42:AC48)</f>
        <v>0</v>
      </c>
      <c r="AD41" s="2014">
        <f>SUM(AD42:AD48)</f>
        <v>0</v>
      </c>
      <c r="AE41" s="4110"/>
      <c r="AF41" s="1057"/>
      <c r="AG41" s="2013">
        <f>SUM(AG42:AG48)</f>
        <v>0</v>
      </c>
      <c r="AH41" s="2013">
        <f>SUM(AH42:AH48)</f>
        <v>0</v>
      </c>
      <c r="AI41" s="2014">
        <f>SUM(AI42:AI48)</f>
        <v>0</v>
      </c>
      <c r="AJ41" s="4110"/>
      <c r="AK41" s="1057"/>
      <c r="AL41" s="2013">
        <f>SUM(AL42:AL48)</f>
        <v>0</v>
      </c>
      <c r="AM41" s="2013">
        <f>SUM(AM42:AM48)</f>
        <v>0</v>
      </c>
      <c r="AN41" s="2014">
        <f>SUM(AN42:AN48)</f>
        <v>0</v>
      </c>
      <c r="AO41" s="4110"/>
      <c r="AP41" s="1057"/>
      <c r="AQ41" s="2013">
        <f>SUM(AQ42:AQ48)</f>
        <v>0</v>
      </c>
      <c r="AR41" s="2013">
        <f>SUM(AR42:AR48)</f>
        <v>0</v>
      </c>
      <c r="AS41" s="2014">
        <f>SUM(AS42:AS48)</f>
        <v>0</v>
      </c>
      <c r="AT41" s="4110"/>
      <c r="AU41" s="1057"/>
      <c r="AV41" s="2013">
        <f>SUM(AV42:AV48)</f>
        <v>0</v>
      </c>
      <c r="AW41" s="2013">
        <f>SUM(AW42:AW48)</f>
        <v>0</v>
      </c>
      <c r="AX41" s="2014">
        <f>SUM(AX42:AX48)</f>
        <v>0</v>
      </c>
      <c r="AY41" s="4110"/>
      <c r="AZ41" s="1057"/>
      <c r="BA41" s="2013">
        <f>SUM(BA42:BA48)</f>
        <v>0</v>
      </c>
      <c r="BB41" s="2013">
        <f>SUM(BB42:BB48)</f>
        <v>0</v>
      </c>
      <c r="BC41" s="2014">
        <f>SUM(BC42:BC48)</f>
        <v>0</v>
      </c>
      <c r="BD41" s="4110"/>
      <c r="BE41" s="1057"/>
      <c r="BF41" s="2013">
        <f>SUM(BF42:BF48)</f>
        <v>0</v>
      </c>
      <c r="BG41" s="2013">
        <f>SUM(BG42:BG48)</f>
        <v>0</v>
      </c>
      <c r="BH41" s="2014">
        <f>SUM(BH42:BH48)</f>
        <v>0</v>
      </c>
      <c r="BI41" s="4110"/>
      <c r="BJ41" s="1057"/>
      <c r="BK41" s="2013">
        <f>SUM(BK42:BK48)</f>
        <v>0</v>
      </c>
      <c r="BL41" s="2013">
        <f>SUM(BL42:BL48)</f>
        <v>0</v>
      </c>
      <c r="BM41" s="2014">
        <f>SUM(BM42:BM48)</f>
        <v>0</v>
      </c>
      <c r="BN41" s="4110"/>
      <c r="BO41" s="1057"/>
      <c r="BP41" s="2013">
        <f>SUM(BP42:BP48)</f>
        <v>0</v>
      </c>
      <c r="BQ41" s="2013">
        <f>SUM(BQ42:BQ48)</f>
        <v>0</v>
      </c>
      <c r="BR41" s="2014">
        <f>SUM(BR42:BR48)</f>
        <v>0</v>
      </c>
      <c r="BS41" s="4110"/>
      <c r="BT41" s="1057"/>
      <c r="BU41" s="2013">
        <f>SUM(BU42:BU48)</f>
        <v>0</v>
      </c>
      <c r="BV41" s="2013">
        <f>SUM(BV42:BV48)</f>
        <v>0</v>
      </c>
      <c r="BW41" s="2014">
        <f>SUM(BW42:BW48)</f>
        <v>0</v>
      </c>
      <c r="BX41" s="4110"/>
      <c r="BY41" s="1057"/>
      <c r="BZ41" s="2013">
        <f>SUM(BZ42:BZ48)</f>
        <v>0</v>
      </c>
      <c r="CA41" s="2013">
        <f>SUM(CA42:CA48)</f>
        <v>0</v>
      </c>
      <c r="CB41" s="2014">
        <f>SUM(CB42:CB48)</f>
        <v>0</v>
      </c>
      <c r="CC41" s="4110"/>
      <c r="CD41" s="1057"/>
      <c r="CE41" s="2013">
        <f>SUM(CE42:CE48)</f>
        <v>0</v>
      </c>
      <c r="CF41" s="2013">
        <f>SUM(CF42:CF48)</f>
        <v>0</v>
      </c>
      <c r="CG41" s="2014">
        <f>SUM(CG42:CG48)</f>
        <v>0</v>
      </c>
      <c r="CH41" s="4110"/>
      <c r="CI41" s="1057"/>
      <c r="CJ41" s="2013">
        <f>SUM(CJ42:CJ48)</f>
        <v>0</v>
      </c>
      <c r="CK41" s="2013">
        <f>SUM(CK42:CK48)</f>
        <v>0</v>
      </c>
      <c r="CL41" s="2014">
        <f>SUM(CL42:CL48)</f>
        <v>0</v>
      </c>
      <c r="CM41" s="4110">
        <f t="shared" ref="CM41:CM49" si="94">CL41/$CL$89</f>
        <v>0</v>
      </c>
      <c r="CN41" s="2006"/>
      <c r="CP41" s="2014">
        <f>SUM(CP42:CP48)</f>
        <v>0</v>
      </c>
      <c r="CQ41" s="2014">
        <f>SUM(CQ42:CQ48)</f>
        <v>0</v>
      </c>
      <c r="CR41" s="2014"/>
    </row>
    <row r="42" spans="1:98" ht="13.8" outlineLevel="2">
      <c r="A42" s="4833"/>
      <c r="B42" s="4111" t="s">
        <v>7</v>
      </c>
      <c r="C42" s="3341"/>
      <c r="D42" s="3341"/>
      <c r="E42" s="3349">
        <f t="shared" ref="E42:E48" si="95">C42+D42</f>
        <v>0</v>
      </c>
      <c r="F42" s="4074" t="e">
        <f t="shared" ref="F42:F48" si="96">E42/$E$89</f>
        <v>#DIV/0!</v>
      </c>
      <c r="G42" s="4112"/>
      <c r="H42" s="3341"/>
      <c r="I42" s="3341"/>
      <c r="J42" s="3349">
        <f t="shared" ref="J42:J48" si="97">H42+I42</f>
        <v>0</v>
      </c>
      <c r="K42" s="4074" t="e">
        <f t="shared" ref="K42:K48" si="98">J42/J$89</f>
        <v>#DIV/0!</v>
      </c>
      <c r="L42" s="4112"/>
      <c r="M42" s="3341"/>
      <c r="N42" s="3341"/>
      <c r="O42" s="3349">
        <f t="shared" ref="O42:O48" si="99">M42+N42</f>
        <v>0</v>
      </c>
      <c r="P42" s="4074" t="e">
        <f t="shared" ref="P42:P48" si="100">O42/O$89</f>
        <v>#DIV/0!</v>
      </c>
      <c r="Q42" s="4112"/>
      <c r="R42" s="3342">
        <f t="shared" ref="R42:S48" si="101">M42+H42+C42</f>
        <v>0</v>
      </c>
      <c r="S42" s="3342">
        <f t="shared" si="101"/>
        <v>0</v>
      </c>
      <c r="T42" s="2012">
        <f t="shared" ref="T42:T48" si="102">R42+S42</f>
        <v>0</v>
      </c>
      <c r="U42" s="3462"/>
      <c r="V42" s="3462"/>
      <c r="W42" s="3342">
        <f t="shared" ref="W42:X48" si="103">AB42+AG42+AL42+AV42+BA42+BF42+BK42+BP42+BU42+BZ42+CE42+AQ42</f>
        <v>0</v>
      </c>
      <c r="X42" s="3342">
        <f t="shared" si="103"/>
        <v>0</v>
      </c>
      <c r="Y42" s="2012">
        <f t="shared" ref="Y42:Y48" si="104">W42+X42</f>
        <v>0</v>
      </c>
      <c r="Z42" s="3462"/>
      <c r="AA42" s="3462"/>
      <c r="AB42" s="3341"/>
      <c r="AC42" s="3341"/>
      <c r="AD42" s="3349">
        <f t="shared" ref="AD42:AD48" si="105">AB42+AC42</f>
        <v>0</v>
      </c>
      <c r="AE42" s="4074">
        <f t="shared" ref="AE42:AE49" si="106">AD42/AD$89</f>
        <v>0</v>
      </c>
      <c r="AF42" s="4112"/>
      <c r="AG42" s="3341"/>
      <c r="AH42" s="3341"/>
      <c r="AI42" s="3349">
        <f t="shared" ref="AI42:AI48" si="107">AG42+AH42</f>
        <v>0</v>
      </c>
      <c r="AJ42" s="4074" t="e">
        <f t="shared" ref="AJ42:AJ49" si="108">AI42/AI$89</f>
        <v>#DIV/0!</v>
      </c>
      <c r="AK42" s="4112"/>
      <c r="AL42" s="3341"/>
      <c r="AM42" s="3341"/>
      <c r="AN42" s="3349">
        <f t="shared" ref="AN42:AN48" si="109">AL42+AM42</f>
        <v>0</v>
      </c>
      <c r="AO42" s="4074" t="e">
        <f t="shared" ref="AO42:AO49" si="110">AN42/AN$89</f>
        <v>#DIV/0!</v>
      </c>
      <c r="AP42" s="4112"/>
      <c r="AQ42" s="3341"/>
      <c r="AR42" s="3341"/>
      <c r="AS42" s="3349">
        <f t="shared" ref="AS42:AS48" si="111">AQ42+AR42</f>
        <v>0</v>
      </c>
      <c r="AT42" s="4074" t="e">
        <f t="shared" ref="AT42:AT49" si="112">AS42/AS$89</f>
        <v>#DIV/0!</v>
      </c>
      <c r="AU42" s="4112"/>
      <c r="AV42" s="3341"/>
      <c r="AW42" s="3341"/>
      <c r="AX42" s="3349">
        <f t="shared" ref="AX42:AX48" si="113">AV42+AW42</f>
        <v>0</v>
      </c>
      <c r="AY42" s="4074" t="e">
        <f t="shared" ref="AY42:AY49" si="114">AX42/AX$89</f>
        <v>#DIV/0!</v>
      </c>
      <c r="AZ42" s="4112"/>
      <c r="BA42" s="3341"/>
      <c r="BB42" s="3341"/>
      <c r="BC42" s="3349">
        <f t="shared" ref="BC42:BC48" si="115">BA42+BB42</f>
        <v>0</v>
      </c>
      <c r="BD42" s="4074" t="e">
        <f t="shared" ref="BD42:BD49" si="116">BC42/BC$89</f>
        <v>#DIV/0!</v>
      </c>
      <c r="BE42" s="4112"/>
      <c r="BF42" s="3341"/>
      <c r="BG42" s="3341"/>
      <c r="BH42" s="3349">
        <f t="shared" ref="BH42:BH48" si="117">BF42+BG42</f>
        <v>0</v>
      </c>
      <c r="BI42" s="4074" t="e">
        <f t="shared" ref="BI42:BI49" si="118">BH42/BH$89</f>
        <v>#DIV/0!</v>
      </c>
      <c r="BJ42" s="4112"/>
      <c r="BK42" s="3341"/>
      <c r="BL42" s="3341"/>
      <c r="BM42" s="3349">
        <f t="shared" ref="BM42:BM48" si="119">BK42+BL42</f>
        <v>0</v>
      </c>
      <c r="BN42" s="4074" t="e">
        <f t="shared" ref="BN42:BN49" si="120">BM42/BM$89</f>
        <v>#DIV/0!</v>
      </c>
      <c r="BO42" s="4112"/>
      <c r="BP42" s="3341"/>
      <c r="BQ42" s="3341"/>
      <c r="BR42" s="3349">
        <f t="shared" ref="BR42:BR48" si="121">BP42+BQ42</f>
        <v>0</v>
      </c>
      <c r="BS42" s="4074" t="e">
        <f t="shared" ref="BS42:BS49" si="122">BR42/BR$89</f>
        <v>#DIV/0!</v>
      </c>
      <c r="BT42" s="4112"/>
      <c r="BU42" s="3341"/>
      <c r="BV42" s="3341"/>
      <c r="BW42" s="3349">
        <f t="shared" ref="BW42:BW48" si="123">BU42+BV42</f>
        <v>0</v>
      </c>
      <c r="BX42" s="4074" t="e">
        <f t="shared" ref="BX42:BX49" si="124">BW42/BW$89</f>
        <v>#DIV/0!</v>
      </c>
      <c r="BY42" s="4112"/>
      <c r="BZ42" s="3341"/>
      <c r="CA42" s="3341"/>
      <c r="CB42" s="3349">
        <f t="shared" ref="CB42:CB48" si="125">BZ42+CA42</f>
        <v>0</v>
      </c>
      <c r="CC42" s="4074" t="e">
        <f t="shared" ref="CC42:CC49" si="126">CB42/CB$89</f>
        <v>#DIV/0!</v>
      </c>
      <c r="CD42" s="4112"/>
      <c r="CE42" s="3341"/>
      <c r="CF42" s="3341"/>
      <c r="CG42" s="3349">
        <f t="shared" ref="CG42:CG48" si="127">CE42+CF42</f>
        <v>0</v>
      </c>
      <c r="CH42" s="4074" t="e">
        <f t="shared" ref="CH42:CH49" si="128">CG42/CG$89</f>
        <v>#DIV/0!</v>
      </c>
      <c r="CI42" s="4112"/>
      <c r="CJ42" s="3341">
        <f t="shared" ref="CJ42:CK48" si="129">C42+H42+M42+W42</f>
        <v>0</v>
      </c>
      <c r="CK42" s="3341">
        <f t="shared" si="129"/>
        <v>0</v>
      </c>
      <c r="CL42" s="2012">
        <f t="shared" ref="CL42:CL48" si="130">CJ42+CK42*1</f>
        <v>0</v>
      </c>
      <c r="CM42" s="4074">
        <f t="shared" si="94"/>
        <v>0</v>
      </c>
      <c r="CN42" s="4076"/>
      <c r="CP42" s="2012">
        <f t="shared" ref="CP42:CQ48" si="131">CN42+CO42*1</f>
        <v>0</v>
      </c>
      <c r="CQ42" s="2012">
        <f t="shared" si="131"/>
        <v>0</v>
      </c>
      <c r="CR42" s="4188"/>
    </row>
    <row r="43" spans="1:98" ht="13.8" outlineLevel="2">
      <c r="A43" s="4833"/>
      <c r="B43" s="4111" t="s">
        <v>27</v>
      </c>
      <c r="C43" s="3341"/>
      <c r="D43" s="3341"/>
      <c r="E43" s="3349">
        <f t="shared" si="95"/>
        <v>0</v>
      </c>
      <c r="F43" s="4074" t="e">
        <f t="shared" si="96"/>
        <v>#DIV/0!</v>
      </c>
      <c r="G43" s="4112"/>
      <c r="H43" s="3341"/>
      <c r="I43" s="3341"/>
      <c r="J43" s="3349">
        <f t="shared" si="97"/>
        <v>0</v>
      </c>
      <c r="K43" s="4074" t="e">
        <f t="shared" si="98"/>
        <v>#DIV/0!</v>
      </c>
      <c r="L43" s="4112"/>
      <c r="M43" s="3341"/>
      <c r="N43" s="3341"/>
      <c r="O43" s="3349">
        <f t="shared" si="99"/>
        <v>0</v>
      </c>
      <c r="P43" s="4074" t="e">
        <f t="shared" si="100"/>
        <v>#DIV/0!</v>
      </c>
      <c r="Q43" s="4112"/>
      <c r="R43" s="3342">
        <f t="shared" si="101"/>
        <v>0</v>
      </c>
      <c r="S43" s="3342">
        <f t="shared" si="101"/>
        <v>0</v>
      </c>
      <c r="T43" s="2012">
        <f t="shared" si="102"/>
        <v>0</v>
      </c>
      <c r="U43" s="3462"/>
      <c r="V43" s="3462"/>
      <c r="W43" s="3342">
        <f t="shared" si="103"/>
        <v>0</v>
      </c>
      <c r="X43" s="3342">
        <f t="shared" si="103"/>
        <v>0</v>
      </c>
      <c r="Y43" s="2012">
        <f t="shared" si="104"/>
        <v>0</v>
      </c>
      <c r="Z43" s="3462"/>
      <c r="AA43" s="3462"/>
      <c r="AB43" s="3341"/>
      <c r="AC43" s="3341"/>
      <c r="AD43" s="3349">
        <f t="shared" si="105"/>
        <v>0</v>
      </c>
      <c r="AE43" s="4074">
        <f t="shared" si="106"/>
        <v>0</v>
      </c>
      <c r="AF43" s="4112"/>
      <c r="AG43" s="3341"/>
      <c r="AH43" s="3341"/>
      <c r="AI43" s="3349">
        <f t="shared" si="107"/>
        <v>0</v>
      </c>
      <c r="AJ43" s="4074" t="e">
        <f t="shared" si="108"/>
        <v>#DIV/0!</v>
      </c>
      <c r="AK43" s="4112"/>
      <c r="AL43" s="3341"/>
      <c r="AM43" s="3341"/>
      <c r="AN43" s="3349">
        <f t="shared" si="109"/>
        <v>0</v>
      </c>
      <c r="AO43" s="4074" t="e">
        <f t="shared" si="110"/>
        <v>#DIV/0!</v>
      </c>
      <c r="AP43" s="4112"/>
      <c r="AQ43" s="3341"/>
      <c r="AR43" s="3341"/>
      <c r="AS43" s="3349">
        <f t="shared" si="111"/>
        <v>0</v>
      </c>
      <c r="AT43" s="4074" t="e">
        <f t="shared" si="112"/>
        <v>#DIV/0!</v>
      </c>
      <c r="AU43" s="4112"/>
      <c r="AV43" s="3341"/>
      <c r="AW43" s="3341"/>
      <c r="AX43" s="3349">
        <f t="shared" si="113"/>
        <v>0</v>
      </c>
      <c r="AY43" s="4074" t="e">
        <f t="shared" si="114"/>
        <v>#DIV/0!</v>
      </c>
      <c r="AZ43" s="4112"/>
      <c r="BA43" s="3341"/>
      <c r="BB43" s="3341"/>
      <c r="BC43" s="3349">
        <f t="shared" si="115"/>
        <v>0</v>
      </c>
      <c r="BD43" s="4074" t="e">
        <f t="shared" si="116"/>
        <v>#DIV/0!</v>
      </c>
      <c r="BE43" s="4112"/>
      <c r="BF43" s="3341"/>
      <c r="BG43" s="3341"/>
      <c r="BH43" s="3349">
        <f t="shared" si="117"/>
        <v>0</v>
      </c>
      <c r="BI43" s="4074" t="e">
        <f t="shared" si="118"/>
        <v>#DIV/0!</v>
      </c>
      <c r="BJ43" s="4112"/>
      <c r="BK43" s="3341"/>
      <c r="BL43" s="3341"/>
      <c r="BM43" s="3349">
        <f t="shared" si="119"/>
        <v>0</v>
      </c>
      <c r="BN43" s="4074" t="e">
        <f t="shared" si="120"/>
        <v>#DIV/0!</v>
      </c>
      <c r="BO43" s="4112"/>
      <c r="BP43" s="3341"/>
      <c r="BQ43" s="3341"/>
      <c r="BR43" s="3349">
        <f t="shared" si="121"/>
        <v>0</v>
      </c>
      <c r="BS43" s="4074" t="e">
        <f t="shared" si="122"/>
        <v>#DIV/0!</v>
      </c>
      <c r="BT43" s="4112"/>
      <c r="BU43" s="3341"/>
      <c r="BV43" s="3341"/>
      <c r="BW43" s="3349">
        <f t="shared" si="123"/>
        <v>0</v>
      </c>
      <c r="BX43" s="4074" t="e">
        <f t="shared" si="124"/>
        <v>#DIV/0!</v>
      </c>
      <c r="BY43" s="4112"/>
      <c r="BZ43" s="3341"/>
      <c r="CA43" s="3341"/>
      <c r="CB43" s="3349">
        <f t="shared" si="125"/>
        <v>0</v>
      </c>
      <c r="CC43" s="4074" t="e">
        <f t="shared" si="126"/>
        <v>#DIV/0!</v>
      </c>
      <c r="CD43" s="4112"/>
      <c r="CE43" s="3341"/>
      <c r="CF43" s="3341"/>
      <c r="CG43" s="3349">
        <f t="shared" si="127"/>
        <v>0</v>
      </c>
      <c r="CH43" s="4074" t="e">
        <f t="shared" si="128"/>
        <v>#DIV/0!</v>
      </c>
      <c r="CI43" s="4112"/>
      <c r="CJ43" s="3341">
        <f t="shared" si="129"/>
        <v>0</v>
      </c>
      <c r="CK43" s="3341">
        <f t="shared" si="129"/>
        <v>0</v>
      </c>
      <c r="CL43" s="2012">
        <f t="shared" si="130"/>
        <v>0</v>
      </c>
      <c r="CM43" s="4074">
        <f t="shared" si="94"/>
        <v>0</v>
      </c>
      <c r="CN43" s="4076"/>
      <c r="CP43" s="2012">
        <f t="shared" si="131"/>
        <v>0</v>
      </c>
      <c r="CQ43" s="2012">
        <f t="shared" si="131"/>
        <v>0</v>
      </c>
      <c r="CR43" s="4188"/>
    </row>
    <row r="44" spans="1:98" ht="13.8" outlineLevel="2">
      <c r="A44" s="4833"/>
      <c r="B44" s="4098" t="s">
        <v>28</v>
      </c>
      <c r="C44" s="3341"/>
      <c r="D44" s="3341"/>
      <c r="E44" s="3349">
        <f t="shared" si="95"/>
        <v>0</v>
      </c>
      <c r="F44" s="4074" t="e">
        <f t="shared" si="96"/>
        <v>#DIV/0!</v>
      </c>
      <c r="G44" s="4112"/>
      <c r="H44" s="3341"/>
      <c r="I44" s="3341"/>
      <c r="J44" s="3349">
        <f t="shared" si="97"/>
        <v>0</v>
      </c>
      <c r="K44" s="4074" t="e">
        <f t="shared" si="98"/>
        <v>#DIV/0!</v>
      </c>
      <c r="L44" s="4112"/>
      <c r="M44" s="3341"/>
      <c r="N44" s="3341"/>
      <c r="O44" s="3349">
        <f t="shared" si="99"/>
        <v>0</v>
      </c>
      <c r="P44" s="4074" t="e">
        <f t="shared" si="100"/>
        <v>#DIV/0!</v>
      </c>
      <c r="Q44" s="4112"/>
      <c r="R44" s="3342">
        <f t="shared" si="101"/>
        <v>0</v>
      </c>
      <c r="S44" s="3342">
        <f t="shared" si="101"/>
        <v>0</v>
      </c>
      <c r="T44" s="2012">
        <f t="shared" si="102"/>
        <v>0</v>
      </c>
      <c r="U44" s="3462"/>
      <c r="V44" s="3462"/>
      <c r="W44" s="3342">
        <f t="shared" si="103"/>
        <v>0</v>
      </c>
      <c r="X44" s="3342">
        <f t="shared" si="103"/>
        <v>0</v>
      </c>
      <c r="Y44" s="2012">
        <f t="shared" si="104"/>
        <v>0</v>
      </c>
      <c r="Z44" s="3462"/>
      <c r="AA44" s="3462"/>
      <c r="AB44" s="3341"/>
      <c r="AC44" s="3341"/>
      <c r="AD44" s="3349">
        <f t="shared" si="105"/>
        <v>0</v>
      </c>
      <c r="AE44" s="4074">
        <f t="shared" si="106"/>
        <v>0</v>
      </c>
      <c r="AF44" s="4112"/>
      <c r="AG44" s="3341"/>
      <c r="AH44" s="3341"/>
      <c r="AI44" s="3349">
        <f t="shared" si="107"/>
        <v>0</v>
      </c>
      <c r="AJ44" s="4074" t="e">
        <f t="shared" si="108"/>
        <v>#DIV/0!</v>
      </c>
      <c r="AK44" s="4112"/>
      <c r="AL44" s="3341"/>
      <c r="AM44" s="3341"/>
      <c r="AN44" s="3349">
        <f t="shared" si="109"/>
        <v>0</v>
      </c>
      <c r="AO44" s="4074" t="e">
        <f t="shared" si="110"/>
        <v>#DIV/0!</v>
      </c>
      <c r="AP44" s="4112"/>
      <c r="AQ44" s="3341"/>
      <c r="AR44" s="3341"/>
      <c r="AS44" s="3349">
        <f t="shared" si="111"/>
        <v>0</v>
      </c>
      <c r="AT44" s="4074" t="e">
        <f t="shared" si="112"/>
        <v>#DIV/0!</v>
      </c>
      <c r="AU44" s="4112"/>
      <c r="AV44" s="3341"/>
      <c r="AW44" s="3341"/>
      <c r="AX44" s="3349">
        <f t="shared" si="113"/>
        <v>0</v>
      </c>
      <c r="AY44" s="4074" t="e">
        <f t="shared" si="114"/>
        <v>#DIV/0!</v>
      </c>
      <c r="AZ44" s="4112"/>
      <c r="BA44" s="3341"/>
      <c r="BB44" s="3341"/>
      <c r="BC44" s="3349">
        <f t="shared" si="115"/>
        <v>0</v>
      </c>
      <c r="BD44" s="4074" t="e">
        <f t="shared" si="116"/>
        <v>#DIV/0!</v>
      </c>
      <c r="BE44" s="4112"/>
      <c r="BF44" s="3341"/>
      <c r="BG44" s="3341"/>
      <c r="BH44" s="3349">
        <f t="shared" si="117"/>
        <v>0</v>
      </c>
      <c r="BI44" s="4074" t="e">
        <f t="shared" si="118"/>
        <v>#DIV/0!</v>
      </c>
      <c r="BJ44" s="4112"/>
      <c r="BK44" s="3341"/>
      <c r="BL44" s="3341"/>
      <c r="BM44" s="3349">
        <f t="shared" si="119"/>
        <v>0</v>
      </c>
      <c r="BN44" s="4074" t="e">
        <f t="shared" si="120"/>
        <v>#DIV/0!</v>
      </c>
      <c r="BO44" s="4112"/>
      <c r="BP44" s="3341"/>
      <c r="BQ44" s="3341"/>
      <c r="BR44" s="3349">
        <f t="shared" si="121"/>
        <v>0</v>
      </c>
      <c r="BS44" s="4074" t="e">
        <f t="shared" si="122"/>
        <v>#DIV/0!</v>
      </c>
      <c r="BT44" s="4112"/>
      <c r="BU44" s="3341"/>
      <c r="BV44" s="3341"/>
      <c r="BW44" s="3349">
        <f t="shared" si="123"/>
        <v>0</v>
      </c>
      <c r="BX44" s="4074" t="e">
        <f t="shared" si="124"/>
        <v>#DIV/0!</v>
      </c>
      <c r="BY44" s="4112"/>
      <c r="BZ44" s="3341"/>
      <c r="CA44" s="3341"/>
      <c r="CB44" s="3349">
        <f t="shared" si="125"/>
        <v>0</v>
      </c>
      <c r="CC44" s="4074" t="e">
        <f t="shared" si="126"/>
        <v>#DIV/0!</v>
      </c>
      <c r="CD44" s="4112"/>
      <c r="CE44" s="3341"/>
      <c r="CF44" s="3341"/>
      <c r="CG44" s="3349">
        <f t="shared" si="127"/>
        <v>0</v>
      </c>
      <c r="CH44" s="4074" t="e">
        <f t="shared" si="128"/>
        <v>#DIV/0!</v>
      </c>
      <c r="CI44" s="4112"/>
      <c r="CJ44" s="3341">
        <f t="shared" si="129"/>
        <v>0</v>
      </c>
      <c r="CK44" s="3341">
        <f t="shared" si="129"/>
        <v>0</v>
      </c>
      <c r="CL44" s="2012">
        <f t="shared" si="130"/>
        <v>0</v>
      </c>
      <c r="CM44" s="4074">
        <f t="shared" si="94"/>
        <v>0</v>
      </c>
      <c r="CN44" s="4076"/>
      <c r="CP44" s="2012">
        <f t="shared" si="131"/>
        <v>0</v>
      </c>
      <c r="CQ44" s="2012">
        <f t="shared" si="131"/>
        <v>0</v>
      </c>
      <c r="CR44" s="4188"/>
    </row>
    <row r="45" spans="1:98" ht="13.8" outlineLevel="2">
      <c r="A45" s="4833"/>
      <c r="B45" s="4111" t="s">
        <v>8</v>
      </c>
      <c r="C45" s="3341"/>
      <c r="D45" s="3341"/>
      <c r="E45" s="3349">
        <f t="shared" si="95"/>
        <v>0</v>
      </c>
      <c r="F45" s="4074" t="e">
        <f t="shared" si="96"/>
        <v>#DIV/0!</v>
      </c>
      <c r="G45" s="4112"/>
      <c r="H45" s="3341"/>
      <c r="I45" s="3341"/>
      <c r="J45" s="3349">
        <f t="shared" si="97"/>
        <v>0</v>
      </c>
      <c r="K45" s="4074" t="e">
        <f t="shared" si="98"/>
        <v>#DIV/0!</v>
      </c>
      <c r="L45" s="4112"/>
      <c r="M45" s="3341"/>
      <c r="N45" s="3341"/>
      <c r="O45" s="3349">
        <f t="shared" si="99"/>
        <v>0</v>
      </c>
      <c r="P45" s="4074" t="e">
        <f t="shared" si="100"/>
        <v>#DIV/0!</v>
      </c>
      <c r="Q45" s="4112"/>
      <c r="R45" s="3342">
        <f t="shared" si="101"/>
        <v>0</v>
      </c>
      <c r="S45" s="3342">
        <f t="shared" si="101"/>
        <v>0</v>
      </c>
      <c r="T45" s="2012">
        <f t="shared" si="102"/>
        <v>0</v>
      </c>
      <c r="U45" s="3462"/>
      <c r="V45" s="3462"/>
      <c r="W45" s="3342">
        <f t="shared" si="103"/>
        <v>0</v>
      </c>
      <c r="X45" s="3342">
        <f t="shared" si="103"/>
        <v>0</v>
      </c>
      <c r="Y45" s="2012">
        <f t="shared" si="104"/>
        <v>0</v>
      </c>
      <c r="Z45" s="3462"/>
      <c r="AA45" s="3462"/>
      <c r="AB45" s="3341"/>
      <c r="AC45" s="3341"/>
      <c r="AD45" s="3349">
        <f t="shared" si="105"/>
        <v>0</v>
      </c>
      <c r="AE45" s="4074">
        <f t="shared" si="106"/>
        <v>0</v>
      </c>
      <c r="AF45" s="4112"/>
      <c r="AG45" s="3341"/>
      <c r="AH45" s="3341"/>
      <c r="AI45" s="3349">
        <f t="shared" si="107"/>
        <v>0</v>
      </c>
      <c r="AJ45" s="4074" t="e">
        <f t="shared" si="108"/>
        <v>#DIV/0!</v>
      </c>
      <c r="AK45" s="4112"/>
      <c r="AL45" s="3341"/>
      <c r="AM45" s="3341"/>
      <c r="AN45" s="3349">
        <f t="shared" si="109"/>
        <v>0</v>
      </c>
      <c r="AO45" s="4074" t="e">
        <f t="shared" si="110"/>
        <v>#DIV/0!</v>
      </c>
      <c r="AP45" s="4112"/>
      <c r="AQ45" s="3341"/>
      <c r="AR45" s="3341"/>
      <c r="AS45" s="3349">
        <f t="shared" si="111"/>
        <v>0</v>
      </c>
      <c r="AT45" s="4074" t="e">
        <f t="shared" si="112"/>
        <v>#DIV/0!</v>
      </c>
      <c r="AU45" s="4112"/>
      <c r="AV45" s="3341"/>
      <c r="AW45" s="3341"/>
      <c r="AX45" s="3349">
        <f t="shared" si="113"/>
        <v>0</v>
      </c>
      <c r="AY45" s="4074" t="e">
        <f t="shared" si="114"/>
        <v>#DIV/0!</v>
      </c>
      <c r="AZ45" s="4112"/>
      <c r="BA45" s="3341"/>
      <c r="BB45" s="3341"/>
      <c r="BC45" s="3349">
        <f t="shared" si="115"/>
        <v>0</v>
      </c>
      <c r="BD45" s="4074" t="e">
        <f t="shared" si="116"/>
        <v>#DIV/0!</v>
      </c>
      <c r="BE45" s="4112"/>
      <c r="BF45" s="3341"/>
      <c r="BG45" s="3341"/>
      <c r="BH45" s="3349">
        <f t="shared" si="117"/>
        <v>0</v>
      </c>
      <c r="BI45" s="4074" t="e">
        <f t="shared" si="118"/>
        <v>#DIV/0!</v>
      </c>
      <c r="BJ45" s="4112"/>
      <c r="BK45" s="3341"/>
      <c r="BL45" s="3341"/>
      <c r="BM45" s="3349">
        <f t="shared" si="119"/>
        <v>0</v>
      </c>
      <c r="BN45" s="4074" t="e">
        <f t="shared" si="120"/>
        <v>#DIV/0!</v>
      </c>
      <c r="BO45" s="4112"/>
      <c r="BP45" s="3341"/>
      <c r="BQ45" s="3341"/>
      <c r="BR45" s="3349">
        <f t="shared" si="121"/>
        <v>0</v>
      </c>
      <c r="BS45" s="4074" t="e">
        <f t="shared" si="122"/>
        <v>#DIV/0!</v>
      </c>
      <c r="BT45" s="4112"/>
      <c r="BU45" s="3341"/>
      <c r="BV45" s="3341"/>
      <c r="BW45" s="3349">
        <f t="shared" si="123"/>
        <v>0</v>
      </c>
      <c r="BX45" s="4074" t="e">
        <f t="shared" si="124"/>
        <v>#DIV/0!</v>
      </c>
      <c r="BY45" s="4112"/>
      <c r="BZ45" s="3341"/>
      <c r="CA45" s="3341"/>
      <c r="CB45" s="3349">
        <f t="shared" si="125"/>
        <v>0</v>
      </c>
      <c r="CC45" s="4074" t="e">
        <f t="shared" si="126"/>
        <v>#DIV/0!</v>
      </c>
      <c r="CD45" s="4112"/>
      <c r="CE45" s="3341"/>
      <c r="CF45" s="3341"/>
      <c r="CG45" s="3349">
        <f t="shared" si="127"/>
        <v>0</v>
      </c>
      <c r="CH45" s="4074" t="e">
        <f t="shared" si="128"/>
        <v>#DIV/0!</v>
      </c>
      <c r="CI45" s="4112"/>
      <c r="CJ45" s="3341">
        <f t="shared" si="129"/>
        <v>0</v>
      </c>
      <c r="CK45" s="3341">
        <f t="shared" si="129"/>
        <v>0</v>
      </c>
      <c r="CL45" s="2012">
        <f t="shared" si="130"/>
        <v>0</v>
      </c>
      <c r="CM45" s="4074">
        <f t="shared" si="94"/>
        <v>0</v>
      </c>
      <c r="CN45" s="4076"/>
      <c r="CP45" s="2012">
        <f t="shared" si="131"/>
        <v>0</v>
      </c>
      <c r="CQ45" s="2012">
        <f t="shared" si="131"/>
        <v>0</v>
      </c>
      <c r="CR45" s="4188"/>
    </row>
    <row r="46" spans="1:98" ht="13.8" outlineLevel="2">
      <c r="A46" s="4833"/>
      <c r="B46" s="4111" t="s">
        <v>29</v>
      </c>
      <c r="C46" s="3341"/>
      <c r="D46" s="3341"/>
      <c r="E46" s="3349">
        <f t="shared" si="95"/>
        <v>0</v>
      </c>
      <c r="F46" s="4074" t="e">
        <f t="shared" si="96"/>
        <v>#DIV/0!</v>
      </c>
      <c r="G46" s="4112"/>
      <c r="H46" s="3341"/>
      <c r="I46" s="3341"/>
      <c r="J46" s="3349">
        <f t="shared" si="97"/>
        <v>0</v>
      </c>
      <c r="K46" s="4074" t="e">
        <f t="shared" si="98"/>
        <v>#DIV/0!</v>
      </c>
      <c r="L46" s="4112"/>
      <c r="M46" s="3341"/>
      <c r="N46" s="3341"/>
      <c r="O46" s="3349">
        <f t="shared" si="99"/>
        <v>0</v>
      </c>
      <c r="P46" s="4074" t="e">
        <f t="shared" si="100"/>
        <v>#DIV/0!</v>
      </c>
      <c r="Q46" s="4112"/>
      <c r="R46" s="3342">
        <f t="shared" si="101"/>
        <v>0</v>
      </c>
      <c r="S46" s="3342">
        <f t="shared" si="101"/>
        <v>0</v>
      </c>
      <c r="T46" s="2012">
        <f t="shared" si="102"/>
        <v>0</v>
      </c>
      <c r="U46" s="3462"/>
      <c r="V46" s="3462"/>
      <c r="W46" s="3342">
        <f t="shared" si="103"/>
        <v>0</v>
      </c>
      <c r="X46" s="3342">
        <f t="shared" si="103"/>
        <v>0</v>
      </c>
      <c r="Y46" s="2012">
        <f t="shared" si="104"/>
        <v>0</v>
      </c>
      <c r="Z46" s="3462"/>
      <c r="AA46" s="3462"/>
      <c r="AB46" s="3341"/>
      <c r="AC46" s="3341"/>
      <c r="AD46" s="3349">
        <f t="shared" si="105"/>
        <v>0</v>
      </c>
      <c r="AE46" s="4074">
        <f t="shared" si="106"/>
        <v>0</v>
      </c>
      <c r="AF46" s="4112"/>
      <c r="AG46" s="3341"/>
      <c r="AH46" s="3341"/>
      <c r="AI46" s="3349">
        <f t="shared" si="107"/>
        <v>0</v>
      </c>
      <c r="AJ46" s="4074" t="e">
        <f t="shared" si="108"/>
        <v>#DIV/0!</v>
      </c>
      <c r="AK46" s="4112"/>
      <c r="AL46" s="3341"/>
      <c r="AM46" s="3341"/>
      <c r="AN46" s="3349">
        <f t="shared" si="109"/>
        <v>0</v>
      </c>
      <c r="AO46" s="4074" t="e">
        <f t="shared" si="110"/>
        <v>#DIV/0!</v>
      </c>
      <c r="AP46" s="4112"/>
      <c r="AQ46" s="3341"/>
      <c r="AR46" s="3341"/>
      <c r="AS46" s="3349">
        <f t="shared" si="111"/>
        <v>0</v>
      </c>
      <c r="AT46" s="4074" t="e">
        <f t="shared" si="112"/>
        <v>#DIV/0!</v>
      </c>
      <c r="AU46" s="4112"/>
      <c r="AV46" s="3341"/>
      <c r="AW46" s="3341"/>
      <c r="AX46" s="3349">
        <f t="shared" si="113"/>
        <v>0</v>
      </c>
      <c r="AY46" s="4074" t="e">
        <f t="shared" si="114"/>
        <v>#DIV/0!</v>
      </c>
      <c r="AZ46" s="4112"/>
      <c r="BA46" s="3341"/>
      <c r="BB46" s="3341"/>
      <c r="BC46" s="3349">
        <f t="shared" si="115"/>
        <v>0</v>
      </c>
      <c r="BD46" s="4074" t="e">
        <f t="shared" si="116"/>
        <v>#DIV/0!</v>
      </c>
      <c r="BE46" s="4112"/>
      <c r="BF46" s="3341"/>
      <c r="BG46" s="3341"/>
      <c r="BH46" s="3349">
        <f t="shared" si="117"/>
        <v>0</v>
      </c>
      <c r="BI46" s="4074" t="e">
        <f t="shared" si="118"/>
        <v>#DIV/0!</v>
      </c>
      <c r="BJ46" s="4112"/>
      <c r="BK46" s="3341"/>
      <c r="BL46" s="3341"/>
      <c r="BM46" s="3349">
        <f t="shared" si="119"/>
        <v>0</v>
      </c>
      <c r="BN46" s="4074" t="e">
        <f t="shared" si="120"/>
        <v>#DIV/0!</v>
      </c>
      <c r="BO46" s="4112"/>
      <c r="BP46" s="3341"/>
      <c r="BQ46" s="3341"/>
      <c r="BR46" s="3349">
        <f t="shared" si="121"/>
        <v>0</v>
      </c>
      <c r="BS46" s="4074" t="e">
        <f t="shared" si="122"/>
        <v>#DIV/0!</v>
      </c>
      <c r="BT46" s="4112"/>
      <c r="BU46" s="3341"/>
      <c r="BV46" s="3341"/>
      <c r="BW46" s="3349">
        <f t="shared" si="123"/>
        <v>0</v>
      </c>
      <c r="BX46" s="4074" t="e">
        <f t="shared" si="124"/>
        <v>#DIV/0!</v>
      </c>
      <c r="BY46" s="4112"/>
      <c r="BZ46" s="3341"/>
      <c r="CA46" s="3341"/>
      <c r="CB46" s="3349">
        <f t="shared" si="125"/>
        <v>0</v>
      </c>
      <c r="CC46" s="4074" t="e">
        <f t="shared" si="126"/>
        <v>#DIV/0!</v>
      </c>
      <c r="CD46" s="4112"/>
      <c r="CE46" s="3341"/>
      <c r="CF46" s="3341"/>
      <c r="CG46" s="3349">
        <f t="shared" si="127"/>
        <v>0</v>
      </c>
      <c r="CH46" s="4074" t="e">
        <f t="shared" si="128"/>
        <v>#DIV/0!</v>
      </c>
      <c r="CI46" s="4112"/>
      <c r="CJ46" s="3341">
        <f t="shared" si="129"/>
        <v>0</v>
      </c>
      <c r="CK46" s="3341">
        <f t="shared" si="129"/>
        <v>0</v>
      </c>
      <c r="CL46" s="2012">
        <f t="shared" si="130"/>
        <v>0</v>
      </c>
      <c r="CM46" s="4074">
        <f t="shared" si="94"/>
        <v>0</v>
      </c>
      <c r="CN46" s="4076"/>
      <c r="CP46" s="2012">
        <f t="shared" si="131"/>
        <v>0</v>
      </c>
      <c r="CQ46" s="2012">
        <f t="shared" si="131"/>
        <v>0</v>
      </c>
      <c r="CR46" s="4188"/>
    </row>
    <row r="47" spans="1:98" ht="13.8" outlineLevel="2">
      <c r="A47" s="4833"/>
      <c r="B47" s="4111" t="s">
        <v>30</v>
      </c>
      <c r="C47" s="3341"/>
      <c r="D47" s="3341"/>
      <c r="E47" s="3349">
        <f t="shared" si="95"/>
        <v>0</v>
      </c>
      <c r="F47" s="4074" t="e">
        <f t="shared" si="96"/>
        <v>#DIV/0!</v>
      </c>
      <c r="G47" s="4112"/>
      <c r="H47" s="3341"/>
      <c r="I47" s="3341"/>
      <c r="J47" s="3349">
        <f t="shared" si="97"/>
        <v>0</v>
      </c>
      <c r="K47" s="4074" t="e">
        <f t="shared" si="98"/>
        <v>#DIV/0!</v>
      </c>
      <c r="L47" s="4112"/>
      <c r="M47" s="3341"/>
      <c r="N47" s="3341"/>
      <c r="O47" s="3349">
        <f t="shared" si="99"/>
        <v>0</v>
      </c>
      <c r="P47" s="4074" t="e">
        <f t="shared" si="100"/>
        <v>#DIV/0!</v>
      </c>
      <c r="Q47" s="4112"/>
      <c r="R47" s="3342">
        <f t="shared" si="101"/>
        <v>0</v>
      </c>
      <c r="S47" s="3342">
        <f t="shared" si="101"/>
        <v>0</v>
      </c>
      <c r="T47" s="2012">
        <f t="shared" si="102"/>
        <v>0</v>
      </c>
      <c r="U47" s="3462"/>
      <c r="V47" s="3462"/>
      <c r="W47" s="3342">
        <f t="shared" si="103"/>
        <v>0</v>
      </c>
      <c r="X47" s="3342">
        <f t="shared" si="103"/>
        <v>0</v>
      </c>
      <c r="Y47" s="2012">
        <f t="shared" si="104"/>
        <v>0</v>
      </c>
      <c r="Z47" s="3462"/>
      <c r="AA47" s="3462"/>
      <c r="AB47" s="3341"/>
      <c r="AC47" s="3341"/>
      <c r="AD47" s="3349">
        <f t="shared" si="105"/>
        <v>0</v>
      </c>
      <c r="AE47" s="4074">
        <f t="shared" si="106"/>
        <v>0</v>
      </c>
      <c r="AF47" s="4112"/>
      <c r="AG47" s="3341"/>
      <c r="AH47" s="3341"/>
      <c r="AI47" s="3349">
        <f t="shared" si="107"/>
        <v>0</v>
      </c>
      <c r="AJ47" s="4074" t="e">
        <f t="shared" si="108"/>
        <v>#DIV/0!</v>
      </c>
      <c r="AK47" s="4112"/>
      <c r="AL47" s="3341"/>
      <c r="AM47" s="3341"/>
      <c r="AN47" s="3349">
        <f t="shared" si="109"/>
        <v>0</v>
      </c>
      <c r="AO47" s="4074" t="e">
        <f t="shared" si="110"/>
        <v>#DIV/0!</v>
      </c>
      <c r="AP47" s="4112"/>
      <c r="AQ47" s="3341"/>
      <c r="AR47" s="3341"/>
      <c r="AS47" s="3349">
        <f t="shared" si="111"/>
        <v>0</v>
      </c>
      <c r="AT47" s="4074" t="e">
        <f t="shared" si="112"/>
        <v>#DIV/0!</v>
      </c>
      <c r="AU47" s="4112"/>
      <c r="AV47" s="3341"/>
      <c r="AW47" s="3341"/>
      <c r="AX47" s="3349">
        <f t="shared" si="113"/>
        <v>0</v>
      </c>
      <c r="AY47" s="4074" t="e">
        <f t="shared" si="114"/>
        <v>#DIV/0!</v>
      </c>
      <c r="AZ47" s="4112"/>
      <c r="BA47" s="3341"/>
      <c r="BB47" s="3341"/>
      <c r="BC47" s="3349">
        <f t="shared" si="115"/>
        <v>0</v>
      </c>
      <c r="BD47" s="4074" t="e">
        <f t="shared" si="116"/>
        <v>#DIV/0!</v>
      </c>
      <c r="BE47" s="4112"/>
      <c r="BF47" s="3341"/>
      <c r="BG47" s="3341"/>
      <c r="BH47" s="3349">
        <f t="shared" si="117"/>
        <v>0</v>
      </c>
      <c r="BI47" s="4074" t="e">
        <f t="shared" si="118"/>
        <v>#DIV/0!</v>
      </c>
      <c r="BJ47" s="4112"/>
      <c r="BK47" s="3341"/>
      <c r="BL47" s="3341"/>
      <c r="BM47" s="3349">
        <f t="shared" si="119"/>
        <v>0</v>
      </c>
      <c r="BN47" s="4074" t="e">
        <f t="shared" si="120"/>
        <v>#DIV/0!</v>
      </c>
      <c r="BO47" s="4112"/>
      <c r="BP47" s="3341"/>
      <c r="BQ47" s="3341"/>
      <c r="BR47" s="3349">
        <f t="shared" si="121"/>
        <v>0</v>
      </c>
      <c r="BS47" s="4074" t="e">
        <f t="shared" si="122"/>
        <v>#DIV/0!</v>
      </c>
      <c r="BT47" s="4112"/>
      <c r="BU47" s="3341"/>
      <c r="BV47" s="3341"/>
      <c r="BW47" s="3349">
        <f t="shared" si="123"/>
        <v>0</v>
      </c>
      <c r="BX47" s="4074" t="e">
        <f t="shared" si="124"/>
        <v>#DIV/0!</v>
      </c>
      <c r="BY47" s="4112"/>
      <c r="BZ47" s="3341"/>
      <c r="CA47" s="3341"/>
      <c r="CB47" s="3349">
        <f t="shared" si="125"/>
        <v>0</v>
      </c>
      <c r="CC47" s="4074" t="e">
        <f t="shared" si="126"/>
        <v>#DIV/0!</v>
      </c>
      <c r="CD47" s="4112"/>
      <c r="CE47" s="3341"/>
      <c r="CF47" s="3341"/>
      <c r="CG47" s="3349">
        <f t="shared" si="127"/>
        <v>0</v>
      </c>
      <c r="CH47" s="4074" t="e">
        <f t="shared" si="128"/>
        <v>#DIV/0!</v>
      </c>
      <c r="CI47" s="4112"/>
      <c r="CJ47" s="3341">
        <f t="shared" si="129"/>
        <v>0</v>
      </c>
      <c r="CK47" s="3341">
        <f t="shared" si="129"/>
        <v>0</v>
      </c>
      <c r="CL47" s="2012">
        <f t="shared" si="130"/>
        <v>0</v>
      </c>
      <c r="CM47" s="4074">
        <f t="shared" si="94"/>
        <v>0</v>
      </c>
      <c r="CN47" s="4076"/>
      <c r="CP47" s="2012">
        <f t="shared" si="131"/>
        <v>0</v>
      </c>
      <c r="CQ47" s="2012">
        <f t="shared" si="131"/>
        <v>0</v>
      </c>
      <c r="CR47" s="4188"/>
    </row>
    <row r="48" spans="1:98" ht="13.8" outlineLevel="2">
      <c r="A48" s="4833"/>
      <c r="B48" s="4111" t="s">
        <v>15</v>
      </c>
      <c r="C48" s="3341"/>
      <c r="D48" s="3341"/>
      <c r="E48" s="3349">
        <f t="shared" si="95"/>
        <v>0</v>
      </c>
      <c r="F48" s="4074" t="e">
        <f t="shared" si="96"/>
        <v>#DIV/0!</v>
      </c>
      <c r="G48" s="4112"/>
      <c r="H48" s="3341"/>
      <c r="I48" s="3341"/>
      <c r="J48" s="3349">
        <f t="shared" si="97"/>
        <v>0</v>
      </c>
      <c r="K48" s="4074" t="e">
        <f t="shared" si="98"/>
        <v>#DIV/0!</v>
      </c>
      <c r="L48" s="4112"/>
      <c r="M48" s="3341"/>
      <c r="N48" s="3341"/>
      <c r="O48" s="3349">
        <f t="shared" si="99"/>
        <v>0</v>
      </c>
      <c r="P48" s="4074" t="e">
        <f t="shared" si="100"/>
        <v>#DIV/0!</v>
      </c>
      <c r="Q48" s="4112"/>
      <c r="R48" s="3342">
        <f t="shared" si="101"/>
        <v>0</v>
      </c>
      <c r="S48" s="3342">
        <f t="shared" si="101"/>
        <v>0</v>
      </c>
      <c r="T48" s="2012">
        <f t="shared" si="102"/>
        <v>0</v>
      </c>
      <c r="U48" s="4113"/>
      <c r="V48" s="4112"/>
      <c r="W48" s="4114">
        <f t="shared" si="103"/>
        <v>0</v>
      </c>
      <c r="X48" s="4114">
        <f t="shared" si="103"/>
        <v>0</v>
      </c>
      <c r="Y48" s="4115">
        <f t="shared" si="104"/>
        <v>0</v>
      </c>
      <c r="Z48" s="4112"/>
      <c r="AA48" s="4112"/>
      <c r="AB48" s="4080"/>
      <c r="AC48" s="4080"/>
      <c r="AD48" s="4116">
        <f t="shared" si="105"/>
        <v>0</v>
      </c>
      <c r="AE48" s="4074">
        <f t="shared" si="106"/>
        <v>0</v>
      </c>
      <c r="AF48" s="4112"/>
      <c r="AG48" s="4080"/>
      <c r="AH48" s="3341"/>
      <c r="AI48" s="3349">
        <f t="shared" si="107"/>
        <v>0</v>
      </c>
      <c r="AJ48" s="4074" t="e">
        <f t="shared" si="108"/>
        <v>#DIV/0!</v>
      </c>
      <c r="AK48" s="4112"/>
      <c r="AL48" s="3341"/>
      <c r="AM48" s="3341"/>
      <c r="AN48" s="3349">
        <f t="shared" si="109"/>
        <v>0</v>
      </c>
      <c r="AO48" s="4074" t="e">
        <f t="shared" si="110"/>
        <v>#DIV/0!</v>
      </c>
      <c r="AP48" s="4112"/>
      <c r="AQ48" s="3341"/>
      <c r="AR48" s="3341"/>
      <c r="AS48" s="3349">
        <f t="shared" si="111"/>
        <v>0</v>
      </c>
      <c r="AT48" s="4074" t="e">
        <f t="shared" si="112"/>
        <v>#DIV/0!</v>
      </c>
      <c r="AU48" s="4112"/>
      <c r="AV48" s="3341"/>
      <c r="AW48" s="3341"/>
      <c r="AX48" s="3349">
        <f t="shared" si="113"/>
        <v>0</v>
      </c>
      <c r="AY48" s="4074" t="e">
        <f t="shared" si="114"/>
        <v>#DIV/0!</v>
      </c>
      <c r="AZ48" s="4112"/>
      <c r="BA48" s="3341"/>
      <c r="BB48" s="3341"/>
      <c r="BC48" s="3349">
        <f t="shared" si="115"/>
        <v>0</v>
      </c>
      <c r="BD48" s="4074" t="e">
        <f t="shared" si="116"/>
        <v>#DIV/0!</v>
      </c>
      <c r="BE48" s="4112"/>
      <c r="BF48" s="3341"/>
      <c r="BG48" s="3341"/>
      <c r="BH48" s="3349">
        <f t="shared" si="117"/>
        <v>0</v>
      </c>
      <c r="BI48" s="4074" t="e">
        <f t="shared" si="118"/>
        <v>#DIV/0!</v>
      </c>
      <c r="BJ48" s="4112"/>
      <c r="BK48" s="3341"/>
      <c r="BL48" s="3341"/>
      <c r="BM48" s="3349">
        <f t="shared" si="119"/>
        <v>0</v>
      </c>
      <c r="BN48" s="4074" t="e">
        <f t="shared" si="120"/>
        <v>#DIV/0!</v>
      </c>
      <c r="BO48" s="4112"/>
      <c r="BP48" s="3341"/>
      <c r="BQ48" s="3341"/>
      <c r="BR48" s="3349">
        <f t="shared" si="121"/>
        <v>0</v>
      </c>
      <c r="BS48" s="4074" t="e">
        <f t="shared" si="122"/>
        <v>#DIV/0!</v>
      </c>
      <c r="BT48" s="4112"/>
      <c r="BU48" s="3341"/>
      <c r="BV48" s="3341"/>
      <c r="BW48" s="3349">
        <f t="shared" si="123"/>
        <v>0</v>
      </c>
      <c r="BX48" s="4074" t="e">
        <f t="shared" si="124"/>
        <v>#DIV/0!</v>
      </c>
      <c r="BY48" s="4112"/>
      <c r="BZ48" s="3341"/>
      <c r="CA48" s="3341"/>
      <c r="CB48" s="3349">
        <f t="shared" si="125"/>
        <v>0</v>
      </c>
      <c r="CC48" s="4074" t="e">
        <f t="shared" si="126"/>
        <v>#DIV/0!</v>
      </c>
      <c r="CD48" s="4112"/>
      <c r="CE48" s="3341"/>
      <c r="CF48" s="3341"/>
      <c r="CG48" s="3349">
        <f t="shared" si="127"/>
        <v>0</v>
      </c>
      <c r="CH48" s="4074" t="e">
        <f t="shared" si="128"/>
        <v>#DIV/0!</v>
      </c>
      <c r="CI48" s="4112"/>
      <c r="CJ48" s="3341">
        <f t="shared" si="129"/>
        <v>0</v>
      </c>
      <c r="CK48" s="3341">
        <f t="shared" si="129"/>
        <v>0</v>
      </c>
      <c r="CL48" s="2012">
        <f t="shared" si="130"/>
        <v>0</v>
      </c>
      <c r="CM48" s="4074">
        <f t="shared" si="94"/>
        <v>0</v>
      </c>
      <c r="CN48" s="4076"/>
      <c r="CP48" s="2012">
        <f t="shared" si="131"/>
        <v>0</v>
      </c>
      <c r="CQ48" s="2012">
        <f t="shared" si="131"/>
        <v>0</v>
      </c>
      <c r="CR48" s="4188"/>
    </row>
    <row r="49" spans="1:98" s="1396" customFormat="1" ht="14.4" outlineLevel="2" thickBot="1">
      <c r="A49" s="1405"/>
      <c r="B49" s="4117"/>
      <c r="C49" s="3341"/>
      <c r="D49" s="3341"/>
      <c r="E49" s="4102"/>
      <c r="F49" s="4084"/>
      <c r="G49" s="4103"/>
      <c r="H49" s="3341"/>
      <c r="I49" s="3341"/>
      <c r="J49" s="4102"/>
      <c r="K49" s="4084"/>
      <c r="L49" s="4103"/>
      <c r="M49" s="3341"/>
      <c r="N49" s="3341"/>
      <c r="O49" s="4102"/>
      <c r="P49" s="4084"/>
      <c r="Q49" s="4103"/>
      <c r="R49" s="3456"/>
      <c r="S49" s="3456"/>
      <c r="T49" s="3456"/>
      <c r="U49" s="3733"/>
      <c r="V49" s="3734"/>
      <c r="W49" s="3734"/>
      <c r="X49" s="3734"/>
      <c r="Y49" s="3734"/>
      <c r="Z49" s="3734"/>
      <c r="AA49" s="3734"/>
      <c r="AB49" s="3375"/>
      <c r="AC49" s="3375"/>
      <c r="AD49" s="4102"/>
      <c r="AE49" s="4084">
        <f t="shared" si="106"/>
        <v>0</v>
      </c>
      <c r="AF49" s="4103"/>
      <c r="AG49" s="3375"/>
      <c r="AH49" s="3341"/>
      <c r="AI49" s="4102"/>
      <c r="AJ49" s="4084" t="e">
        <f t="shared" si="108"/>
        <v>#DIV/0!</v>
      </c>
      <c r="AK49" s="4103"/>
      <c r="AL49" s="3341"/>
      <c r="AM49" s="3341"/>
      <c r="AN49" s="4102"/>
      <c r="AO49" s="4084" t="e">
        <f t="shared" si="110"/>
        <v>#DIV/0!</v>
      </c>
      <c r="AP49" s="4103"/>
      <c r="AQ49" s="3341"/>
      <c r="AR49" s="3341"/>
      <c r="AS49" s="4102"/>
      <c r="AT49" s="4084" t="e">
        <f t="shared" si="112"/>
        <v>#DIV/0!</v>
      </c>
      <c r="AU49" s="4103"/>
      <c r="AV49" s="3341"/>
      <c r="AW49" s="3341"/>
      <c r="AX49" s="4102"/>
      <c r="AY49" s="4084" t="e">
        <f t="shared" si="114"/>
        <v>#DIV/0!</v>
      </c>
      <c r="AZ49" s="4103"/>
      <c r="BA49" s="3341"/>
      <c r="BB49" s="3341"/>
      <c r="BC49" s="4102"/>
      <c r="BD49" s="4084" t="e">
        <f t="shared" si="116"/>
        <v>#DIV/0!</v>
      </c>
      <c r="BE49" s="4103"/>
      <c r="BF49" s="3341"/>
      <c r="BG49" s="3341"/>
      <c r="BH49" s="4102"/>
      <c r="BI49" s="4084" t="e">
        <f t="shared" si="118"/>
        <v>#DIV/0!</v>
      </c>
      <c r="BJ49" s="4103"/>
      <c r="BK49" s="3341"/>
      <c r="BL49" s="3341"/>
      <c r="BM49" s="4102"/>
      <c r="BN49" s="4084" t="e">
        <f t="shared" si="120"/>
        <v>#DIV/0!</v>
      </c>
      <c r="BO49" s="4103"/>
      <c r="BP49" s="3341"/>
      <c r="BQ49" s="3341"/>
      <c r="BR49" s="4102"/>
      <c r="BS49" s="4084" t="e">
        <f t="shared" si="122"/>
        <v>#DIV/0!</v>
      </c>
      <c r="BT49" s="4103"/>
      <c r="BU49" s="3341"/>
      <c r="BV49" s="3341"/>
      <c r="BW49" s="4102"/>
      <c r="BX49" s="4084" t="e">
        <f t="shared" si="124"/>
        <v>#DIV/0!</v>
      </c>
      <c r="BY49" s="4103"/>
      <c r="BZ49" s="3341"/>
      <c r="CA49" s="3341"/>
      <c r="CB49" s="4102"/>
      <c r="CC49" s="4084" t="e">
        <f t="shared" si="126"/>
        <v>#DIV/0!</v>
      </c>
      <c r="CD49" s="4103"/>
      <c r="CE49" s="3341"/>
      <c r="CF49" s="3341"/>
      <c r="CG49" s="4102"/>
      <c r="CH49" s="4084" t="e">
        <f t="shared" si="128"/>
        <v>#DIV/0!</v>
      </c>
      <c r="CI49" s="4103"/>
      <c r="CJ49" s="3341"/>
      <c r="CK49" s="3341"/>
      <c r="CL49" s="4102"/>
      <c r="CM49" s="4074">
        <f t="shared" si="94"/>
        <v>0</v>
      </c>
      <c r="CN49" s="4102"/>
      <c r="CP49" s="4104"/>
      <c r="CQ49" s="4104"/>
      <c r="CR49" s="4188"/>
      <c r="CT49" s="3443"/>
    </row>
    <row r="50" spans="1:98" s="1396" customFormat="1" ht="13.8" outlineLevel="1">
      <c r="A50" s="1565"/>
      <c r="B50" s="1410" t="s">
        <v>59</v>
      </c>
      <c r="C50" s="2015">
        <f>C52+C51</f>
        <v>0</v>
      </c>
      <c r="D50" s="2015">
        <f>D52+D51</f>
        <v>0</v>
      </c>
      <c r="E50" s="2014">
        <f>SUM(E51:E52)</f>
        <v>0</v>
      </c>
      <c r="F50" s="4110" t="e">
        <f>E50/$E$89</f>
        <v>#DIV/0!</v>
      </c>
      <c r="G50" s="1057"/>
      <c r="H50" s="2015">
        <f>H52+H51</f>
        <v>0</v>
      </c>
      <c r="I50" s="2015">
        <f>I52+I51</f>
        <v>0</v>
      </c>
      <c r="J50" s="2014">
        <f>SUM(J51:J52)</f>
        <v>0</v>
      </c>
      <c r="K50" s="4110" t="e">
        <f>J50/$E$89</f>
        <v>#DIV/0!</v>
      </c>
      <c r="L50" s="1057"/>
      <c r="M50" s="2015">
        <f>M52+M51</f>
        <v>0</v>
      </c>
      <c r="N50" s="2015">
        <f>N52+N51</f>
        <v>0</v>
      </c>
      <c r="O50" s="2014">
        <f>SUM(O51:O52)</f>
        <v>0</v>
      </c>
      <c r="P50" s="4110" t="e">
        <f>O50/$E$89</f>
        <v>#DIV/0!</v>
      </c>
      <c r="Q50" s="1057"/>
      <c r="R50" s="2015">
        <f>R52+R51</f>
        <v>0</v>
      </c>
      <c r="S50" s="2015">
        <f>S52+S51</f>
        <v>0</v>
      </c>
      <c r="T50" s="2015">
        <f>SUM(T51:T52)</f>
        <v>0</v>
      </c>
      <c r="U50" s="1535"/>
      <c r="V50" s="3460"/>
      <c r="W50" s="2013">
        <f>W52+W51</f>
        <v>0</v>
      </c>
      <c r="X50" s="2013">
        <f>X52+X51</f>
        <v>0</v>
      </c>
      <c r="Y50" s="2013">
        <f>SUM(Y51:Y52)</f>
        <v>0</v>
      </c>
      <c r="Z50" s="1535"/>
      <c r="AA50" s="3460"/>
      <c r="AB50" s="2013">
        <f>AB52+AB51</f>
        <v>0</v>
      </c>
      <c r="AC50" s="2013">
        <f>AC52+AC51</f>
        <v>0</v>
      </c>
      <c r="AD50" s="2013">
        <f>SUM(AD51:AD52)</f>
        <v>0</v>
      </c>
      <c r="AE50" s="1535"/>
      <c r="AF50" s="3735"/>
      <c r="AG50" s="2013">
        <f>AG52+AG51</f>
        <v>0</v>
      </c>
      <c r="AH50" s="2015">
        <f>AH52+AH51</f>
        <v>0</v>
      </c>
      <c r="AI50" s="2015">
        <f>SUM(AI51:AI52)</f>
        <v>0</v>
      </c>
      <c r="AJ50" s="1535"/>
      <c r="AK50" s="1057"/>
      <c r="AL50" s="2015">
        <f>AL52+AL51</f>
        <v>0</v>
      </c>
      <c r="AM50" s="2015">
        <f>AM52+AM51</f>
        <v>0</v>
      </c>
      <c r="AN50" s="2015">
        <f>SUM(AN51:AN52)</f>
        <v>0</v>
      </c>
      <c r="AO50" s="1535"/>
      <c r="AP50" s="1057"/>
      <c r="AQ50" s="2015">
        <f>AQ52+AQ51</f>
        <v>0</v>
      </c>
      <c r="AR50" s="2015">
        <f>AR52+AR51</f>
        <v>0</v>
      </c>
      <c r="AS50" s="2015">
        <f>SUM(AS51:AS52)</f>
        <v>0</v>
      </c>
      <c r="AT50" s="1535"/>
      <c r="AU50" s="1057"/>
      <c r="AV50" s="2015">
        <f>AV52+AV51</f>
        <v>0</v>
      </c>
      <c r="AW50" s="2015">
        <f>AW52+AW51</f>
        <v>0</v>
      </c>
      <c r="AX50" s="2015">
        <f>SUM(AX51:AX52)</f>
        <v>0</v>
      </c>
      <c r="AY50" s="1535"/>
      <c r="AZ50" s="1057"/>
      <c r="BA50" s="2015">
        <f>BA52+BA51</f>
        <v>0</v>
      </c>
      <c r="BB50" s="2015">
        <f>BB52+BB51</f>
        <v>0</v>
      </c>
      <c r="BC50" s="2015">
        <f>SUM(BC51:BC52)</f>
        <v>0</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0</v>
      </c>
      <c r="CK50" s="2015">
        <f>CK52+CK51</f>
        <v>0</v>
      </c>
      <c r="CL50" s="2015">
        <f>SUM(CL51:CL52)</f>
        <v>0</v>
      </c>
      <c r="CM50" s="2006"/>
      <c r="CN50" s="2006"/>
      <c r="CP50" s="2015">
        <f>SUM(CP51:CP52)</f>
        <v>0</v>
      </c>
      <c r="CQ50" s="2015">
        <f>SUM(CQ51:CQ52)</f>
        <v>0</v>
      </c>
      <c r="CR50" s="2015"/>
      <c r="CT50" s="3443"/>
    </row>
    <row r="51" spans="1:98" s="1396" customFormat="1" ht="13.8" outlineLevel="1">
      <c r="A51" s="1566"/>
      <c r="B51" s="4111" t="s">
        <v>60</v>
      </c>
      <c r="C51" s="3341"/>
      <c r="D51" s="3341"/>
      <c r="E51" s="3349">
        <f t="shared" ref="E51:E52" si="132">C51+D51</f>
        <v>0</v>
      </c>
      <c r="F51" s="4074" t="e">
        <f t="shared" ref="F51:F71" si="133">E51/$E$89</f>
        <v>#DIV/0!</v>
      </c>
      <c r="G51" s="4099"/>
      <c r="H51" s="3341"/>
      <c r="I51" s="3341"/>
      <c r="J51" s="3349">
        <f>H51+I51</f>
        <v>0</v>
      </c>
      <c r="K51" s="4074" t="e">
        <f t="shared" ref="K51:K52" si="134">J51/J$89</f>
        <v>#DIV/0!</v>
      </c>
      <c r="L51" s="4099"/>
      <c r="M51" s="3341"/>
      <c r="N51" s="3341"/>
      <c r="O51" s="3349">
        <f t="shared" ref="O51:O52" si="135">M51+N51</f>
        <v>0</v>
      </c>
      <c r="P51" s="4074" t="e">
        <f t="shared" ref="P51:P53" si="136">O51/O$89</f>
        <v>#DIV/0!</v>
      </c>
      <c r="Q51" s="4099"/>
      <c r="R51" s="3342">
        <f t="shared" ref="R51:S52" si="137">M51+H51+C51</f>
        <v>0</v>
      </c>
      <c r="S51" s="3342">
        <f t="shared" si="137"/>
        <v>0</v>
      </c>
      <c r="T51" s="2012">
        <f t="shared" ref="T51:T52" si="138">R51+S51</f>
        <v>0</v>
      </c>
      <c r="U51" s="3455"/>
      <c r="V51" s="3455"/>
      <c r="W51" s="3342">
        <f t="shared" ref="W51:X52" si="139">AB51+AG51+AL51+AV51+BA51+BF51+BK51+BP51+BU51+BZ51+CE51+AQ51</f>
        <v>0</v>
      </c>
      <c r="X51" s="3342">
        <f t="shared" si="139"/>
        <v>0</v>
      </c>
      <c r="Y51" s="2012">
        <f t="shared" ref="Y51:Y52" si="140">W51+X51</f>
        <v>0</v>
      </c>
      <c r="Z51" s="3455"/>
      <c r="AA51" s="3455"/>
      <c r="AB51" s="3341"/>
      <c r="AC51" s="3341"/>
      <c r="AD51" s="3349">
        <f t="shared" ref="AD51:AD52" si="141">AB51+AC51</f>
        <v>0</v>
      </c>
      <c r="AE51" s="4074">
        <f t="shared" ref="AE51:AE53" si="142">AD51/AD$89</f>
        <v>0</v>
      </c>
      <c r="AF51" s="4099"/>
      <c r="AG51" s="3341"/>
      <c r="AH51" s="3341"/>
      <c r="AI51" s="3349">
        <f t="shared" ref="AI51:AI52" si="143">AG51+AH51</f>
        <v>0</v>
      </c>
      <c r="AJ51" s="4074" t="e">
        <f t="shared" ref="AJ51:AJ53" si="144">AI51/AI$89</f>
        <v>#DIV/0!</v>
      </c>
      <c r="AK51" s="4099"/>
      <c r="AL51" s="3341"/>
      <c r="AM51" s="3341"/>
      <c r="AN51" s="3349">
        <f t="shared" ref="AN51:AN52" si="145">AL51+AM51</f>
        <v>0</v>
      </c>
      <c r="AO51" s="4074" t="e">
        <f t="shared" ref="AO51:AO53" si="146">AN51/AN$89</f>
        <v>#DIV/0!</v>
      </c>
      <c r="AP51" s="4099"/>
      <c r="AQ51" s="3341"/>
      <c r="AR51" s="3341"/>
      <c r="AS51" s="3349">
        <f t="shared" ref="AS51:AS52" si="147">AQ51+AR51</f>
        <v>0</v>
      </c>
      <c r="AT51" s="4074" t="e">
        <f t="shared" ref="AT51:AT53" si="148">AS51/AS$89</f>
        <v>#DIV/0!</v>
      </c>
      <c r="AU51" s="4099"/>
      <c r="AV51" s="3341"/>
      <c r="AW51" s="3341"/>
      <c r="AX51" s="3349">
        <f t="shared" ref="AX51:AX52" si="149">AV51+AW51</f>
        <v>0</v>
      </c>
      <c r="AY51" s="4074" t="e">
        <f t="shared" ref="AY51:AY53" si="150">AX51/AX$89</f>
        <v>#DIV/0!</v>
      </c>
      <c r="AZ51" s="4099"/>
      <c r="BA51" s="3341"/>
      <c r="BB51" s="3341"/>
      <c r="BC51" s="3349">
        <f t="shared" ref="BC51:BC52" si="151">BA51+BB51</f>
        <v>0</v>
      </c>
      <c r="BD51" s="4074" t="e">
        <f t="shared" ref="BD51:BD53" si="152">BC51/BC$89</f>
        <v>#DIV/0!</v>
      </c>
      <c r="BE51" s="4099"/>
      <c r="BF51" s="3341"/>
      <c r="BG51" s="3341"/>
      <c r="BH51" s="3349">
        <f t="shared" ref="BH51:BH52" si="153">BF51+BG51</f>
        <v>0</v>
      </c>
      <c r="BI51" s="4074" t="e">
        <f t="shared" ref="BI51:BI53" si="154">BH51/BH$89</f>
        <v>#DIV/0!</v>
      </c>
      <c r="BJ51" s="4099"/>
      <c r="BK51" s="3341"/>
      <c r="BL51" s="3341"/>
      <c r="BM51" s="3349">
        <f t="shared" ref="BM51:BM52" si="155">BK51+BL51</f>
        <v>0</v>
      </c>
      <c r="BN51" s="4074" t="e">
        <f t="shared" ref="BN51:BN53" si="156">BM51/BM$89</f>
        <v>#DIV/0!</v>
      </c>
      <c r="BO51" s="4099"/>
      <c r="BP51" s="3341"/>
      <c r="BQ51" s="3341"/>
      <c r="BR51" s="3349">
        <f t="shared" ref="BR51:BR52" si="157">BP51+BQ51</f>
        <v>0</v>
      </c>
      <c r="BS51" s="4074" t="e">
        <f t="shared" ref="BS51:BS53" si="158">BR51/BR$89</f>
        <v>#DIV/0!</v>
      </c>
      <c r="BT51" s="4099"/>
      <c r="BU51" s="3341"/>
      <c r="BV51" s="3341"/>
      <c r="BW51" s="3349">
        <f t="shared" ref="BW51:BW52" si="159">BU51+BV51</f>
        <v>0</v>
      </c>
      <c r="BX51" s="4074" t="e">
        <f t="shared" ref="BX51:BX53" si="160">BW51/BW$89</f>
        <v>#DIV/0!</v>
      </c>
      <c r="BY51" s="4099"/>
      <c r="BZ51" s="3341"/>
      <c r="CA51" s="3341"/>
      <c r="CB51" s="3349">
        <f t="shared" ref="CB51:CB52" si="161">BZ51+CA51</f>
        <v>0</v>
      </c>
      <c r="CC51" s="4074" t="e">
        <f t="shared" ref="CC51:CC53" si="162">CB51/CB$89</f>
        <v>#DIV/0!</v>
      </c>
      <c r="CD51" s="4099"/>
      <c r="CE51" s="3341"/>
      <c r="CF51" s="3341"/>
      <c r="CG51" s="3349">
        <f t="shared" ref="CG51:CG52" si="163">CE51+CF51</f>
        <v>0</v>
      </c>
      <c r="CH51" s="4074" t="e">
        <f t="shared" ref="CH51:CH53" si="164">CG51/CG$89</f>
        <v>#DIV/0!</v>
      </c>
      <c r="CI51" s="4099"/>
      <c r="CJ51" s="3341">
        <f t="shared" ref="CJ51:CK53" si="165">C51+H51+M51+W51</f>
        <v>0</v>
      </c>
      <c r="CK51" s="3341">
        <f t="shared" si="165"/>
        <v>0</v>
      </c>
      <c r="CL51" s="2012">
        <f>CJ51+CK51*1</f>
        <v>0</v>
      </c>
      <c r="CM51" s="4074">
        <f>CL51/$CL$89</f>
        <v>0</v>
      </c>
      <c r="CN51" s="4100"/>
      <c r="CP51" s="2012">
        <f>CN51+CO51*1</f>
        <v>0</v>
      </c>
      <c r="CQ51" s="2012">
        <f>CO51+CP51*1</f>
        <v>0</v>
      </c>
      <c r="CR51" s="4188"/>
      <c r="CT51" s="3443"/>
    </row>
    <row r="52" spans="1:98" ht="13.8" outlineLevel="2">
      <c r="A52" s="1566"/>
      <c r="B52" s="4111" t="s">
        <v>61</v>
      </c>
      <c r="C52" s="3341"/>
      <c r="D52" s="3341"/>
      <c r="E52" s="3349">
        <f t="shared" si="132"/>
        <v>0</v>
      </c>
      <c r="F52" s="4074" t="e">
        <f t="shared" si="133"/>
        <v>#DIV/0!</v>
      </c>
      <c r="G52" s="4099"/>
      <c r="H52" s="3341"/>
      <c r="I52" s="3341"/>
      <c r="J52" s="3349">
        <f>H52+I52</f>
        <v>0</v>
      </c>
      <c r="K52" s="4074" t="e">
        <f t="shared" si="134"/>
        <v>#DIV/0!</v>
      </c>
      <c r="L52" s="4099"/>
      <c r="M52" s="3341"/>
      <c r="N52" s="3341"/>
      <c r="O52" s="3349">
        <f t="shared" si="135"/>
        <v>0</v>
      </c>
      <c r="P52" s="4074" t="e">
        <f t="shared" si="136"/>
        <v>#DIV/0!</v>
      </c>
      <c r="Q52" s="4099"/>
      <c r="R52" s="3342">
        <f t="shared" si="137"/>
        <v>0</v>
      </c>
      <c r="S52" s="3342">
        <f t="shared" si="137"/>
        <v>0</v>
      </c>
      <c r="T52" s="2012">
        <f t="shared" si="138"/>
        <v>0</v>
      </c>
      <c r="U52" s="3455"/>
      <c r="V52" s="3455"/>
      <c r="W52" s="3342">
        <f t="shared" si="139"/>
        <v>0</v>
      </c>
      <c r="X52" s="3342">
        <f t="shared" si="139"/>
        <v>0</v>
      </c>
      <c r="Y52" s="2012">
        <f t="shared" si="140"/>
        <v>0</v>
      </c>
      <c r="Z52" s="3455"/>
      <c r="AA52" s="3455"/>
      <c r="AB52" s="3341"/>
      <c r="AC52" s="3341"/>
      <c r="AD52" s="3349">
        <f t="shared" si="141"/>
        <v>0</v>
      </c>
      <c r="AE52" s="4074">
        <f t="shared" si="142"/>
        <v>0</v>
      </c>
      <c r="AF52" s="4099"/>
      <c r="AG52" s="3341"/>
      <c r="AH52" s="3341"/>
      <c r="AI52" s="3349">
        <f t="shared" si="143"/>
        <v>0</v>
      </c>
      <c r="AJ52" s="4074" t="e">
        <f t="shared" si="144"/>
        <v>#DIV/0!</v>
      </c>
      <c r="AK52" s="4099"/>
      <c r="AL52" s="3341"/>
      <c r="AM52" s="3341"/>
      <c r="AN52" s="3349">
        <f t="shared" si="145"/>
        <v>0</v>
      </c>
      <c r="AO52" s="4074" t="e">
        <f t="shared" si="146"/>
        <v>#DIV/0!</v>
      </c>
      <c r="AP52" s="4099"/>
      <c r="AQ52" s="3341"/>
      <c r="AR52" s="3341"/>
      <c r="AS52" s="3349">
        <f t="shared" si="147"/>
        <v>0</v>
      </c>
      <c r="AT52" s="4074" t="e">
        <f t="shared" si="148"/>
        <v>#DIV/0!</v>
      </c>
      <c r="AU52" s="4099"/>
      <c r="AV52" s="3341"/>
      <c r="AW52" s="3341"/>
      <c r="AX52" s="3349">
        <f t="shared" si="149"/>
        <v>0</v>
      </c>
      <c r="AY52" s="4074" t="e">
        <f t="shared" si="150"/>
        <v>#DIV/0!</v>
      </c>
      <c r="AZ52" s="4099"/>
      <c r="BA52" s="3341"/>
      <c r="BB52" s="3341"/>
      <c r="BC52" s="3349">
        <f t="shared" si="151"/>
        <v>0</v>
      </c>
      <c r="BD52" s="4074" t="e">
        <f t="shared" si="152"/>
        <v>#DIV/0!</v>
      </c>
      <c r="BE52" s="4099"/>
      <c r="BF52" s="3341"/>
      <c r="BG52" s="3341"/>
      <c r="BH52" s="3349">
        <f t="shared" si="153"/>
        <v>0</v>
      </c>
      <c r="BI52" s="4074" t="e">
        <f t="shared" si="154"/>
        <v>#DIV/0!</v>
      </c>
      <c r="BJ52" s="4099"/>
      <c r="BK52" s="3341"/>
      <c r="BL52" s="3341"/>
      <c r="BM52" s="3349">
        <f t="shared" si="155"/>
        <v>0</v>
      </c>
      <c r="BN52" s="4074" t="e">
        <f t="shared" si="156"/>
        <v>#DIV/0!</v>
      </c>
      <c r="BO52" s="4099"/>
      <c r="BP52" s="3341"/>
      <c r="BQ52" s="3341"/>
      <c r="BR52" s="3349">
        <f t="shared" si="157"/>
        <v>0</v>
      </c>
      <c r="BS52" s="4074" t="e">
        <f t="shared" si="158"/>
        <v>#DIV/0!</v>
      </c>
      <c r="BT52" s="4099"/>
      <c r="BU52" s="3341"/>
      <c r="BV52" s="3341"/>
      <c r="BW52" s="3349">
        <f t="shared" si="159"/>
        <v>0</v>
      </c>
      <c r="BX52" s="4074" t="e">
        <f t="shared" si="160"/>
        <v>#DIV/0!</v>
      </c>
      <c r="BY52" s="4099"/>
      <c r="BZ52" s="3341"/>
      <c r="CA52" s="3341"/>
      <c r="CB52" s="3349">
        <f t="shared" si="161"/>
        <v>0</v>
      </c>
      <c r="CC52" s="4074" t="e">
        <f t="shared" si="162"/>
        <v>#DIV/0!</v>
      </c>
      <c r="CD52" s="4099"/>
      <c r="CE52" s="3341"/>
      <c r="CF52" s="3341"/>
      <c r="CG52" s="3349">
        <f t="shared" si="163"/>
        <v>0</v>
      </c>
      <c r="CH52" s="4074" t="e">
        <f t="shared" si="164"/>
        <v>#DIV/0!</v>
      </c>
      <c r="CI52" s="4099"/>
      <c r="CJ52" s="3341">
        <f t="shared" si="165"/>
        <v>0</v>
      </c>
      <c r="CK52" s="3341">
        <f t="shared" si="165"/>
        <v>0</v>
      </c>
      <c r="CL52" s="2012">
        <f>CJ52+CK52*1</f>
        <v>0</v>
      </c>
      <c r="CM52" s="4074">
        <f>CL52/$CL$89</f>
        <v>0</v>
      </c>
      <c r="CN52" s="4100"/>
      <c r="CP52" s="2012">
        <f>CN52+CO52*1</f>
        <v>0</v>
      </c>
      <c r="CQ52" s="2012">
        <f>CO52+CP52*1</f>
        <v>0</v>
      </c>
      <c r="CR52" s="4188"/>
    </row>
    <row r="53" spans="1:98" ht="14.4" outlineLevel="1" thickBot="1">
      <c r="A53" s="1413"/>
      <c r="B53" s="4118"/>
      <c r="C53" s="3341"/>
      <c r="D53" s="3341"/>
      <c r="E53" s="4119"/>
      <c r="F53" s="4074" t="e">
        <f t="shared" si="133"/>
        <v>#DIV/0!</v>
      </c>
      <c r="G53" s="4120"/>
      <c r="H53" s="3341"/>
      <c r="I53" s="3341"/>
      <c r="J53" s="4119"/>
      <c r="K53" s="4074" t="e">
        <f t="shared" ref="K53:K54" si="166">J53/$E$89</f>
        <v>#DIV/0!</v>
      </c>
      <c r="L53" s="4120"/>
      <c r="M53" s="3341"/>
      <c r="N53" s="3341"/>
      <c r="O53" s="4119"/>
      <c r="P53" s="4074" t="e">
        <f t="shared" si="136"/>
        <v>#DIV/0!</v>
      </c>
      <c r="Q53" s="4120"/>
      <c r="R53" s="4121"/>
      <c r="S53" s="4120"/>
      <c r="T53" s="4120"/>
      <c r="U53" s="4120"/>
      <c r="V53" s="4120"/>
      <c r="W53" s="4120"/>
      <c r="X53" s="4120"/>
      <c r="Y53" s="4120"/>
      <c r="Z53" s="4120"/>
      <c r="AA53" s="4120"/>
      <c r="AB53" s="4082"/>
      <c r="AC53" s="4082"/>
      <c r="AD53" s="4119"/>
      <c r="AE53" s="4084">
        <f t="shared" si="142"/>
        <v>0</v>
      </c>
      <c r="AF53" s="4120"/>
      <c r="AG53" s="4082"/>
      <c r="AH53" s="4082"/>
      <c r="AI53" s="4119"/>
      <c r="AJ53" s="4084" t="e">
        <f t="shared" si="144"/>
        <v>#DIV/0!</v>
      </c>
      <c r="AK53" s="4120"/>
      <c r="AL53" s="4082"/>
      <c r="AM53" s="4082"/>
      <c r="AN53" s="4119"/>
      <c r="AO53" s="4084" t="e">
        <f t="shared" si="146"/>
        <v>#DIV/0!</v>
      </c>
      <c r="AP53" s="4120"/>
      <c r="AQ53" s="4082"/>
      <c r="AR53" s="4082"/>
      <c r="AS53" s="4119"/>
      <c r="AT53" s="4084" t="e">
        <f t="shared" si="148"/>
        <v>#DIV/0!</v>
      </c>
      <c r="AU53" s="4120"/>
      <c r="AV53" s="4082"/>
      <c r="AW53" s="4082"/>
      <c r="AX53" s="4119"/>
      <c r="AY53" s="4084" t="e">
        <f t="shared" si="150"/>
        <v>#DIV/0!</v>
      </c>
      <c r="AZ53" s="4120"/>
      <c r="BA53" s="4082"/>
      <c r="BB53" s="4082"/>
      <c r="BC53" s="4119"/>
      <c r="BD53" s="4084" t="e">
        <f t="shared" si="152"/>
        <v>#DIV/0!</v>
      </c>
      <c r="BE53" s="4120"/>
      <c r="BF53" s="4082"/>
      <c r="BG53" s="4082"/>
      <c r="BH53" s="4119"/>
      <c r="BI53" s="4084" t="e">
        <f t="shared" si="154"/>
        <v>#DIV/0!</v>
      </c>
      <c r="BJ53" s="4120"/>
      <c r="BK53" s="4082"/>
      <c r="BL53" s="4082"/>
      <c r="BM53" s="4119"/>
      <c r="BN53" s="4084" t="e">
        <f t="shared" si="156"/>
        <v>#DIV/0!</v>
      </c>
      <c r="BO53" s="4120"/>
      <c r="BP53" s="4082"/>
      <c r="BQ53" s="4082"/>
      <c r="BR53" s="4119"/>
      <c r="BS53" s="4084" t="e">
        <f t="shared" si="158"/>
        <v>#DIV/0!</v>
      </c>
      <c r="BT53" s="4120"/>
      <c r="BU53" s="4082"/>
      <c r="BV53" s="4082"/>
      <c r="BW53" s="4119"/>
      <c r="BX53" s="4084" t="e">
        <f t="shared" si="160"/>
        <v>#DIV/0!</v>
      </c>
      <c r="BY53" s="4120"/>
      <c r="BZ53" s="4082"/>
      <c r="CA53" s="4082"/>
      <c r="CB53" s="4119"/>
      <c r="CC53" s="4084" t="e">
        <f t="shared" si="162"/>
        <v>#DIV/0!</v>
      </c>
      <c r="CD53" s="4120"/>
      <c r="CE53" s="4082"/>
      <c r="CF53" s="4082"/>
      <c r="CG53" s="4119"/>
      <c r="CH53" s="4084" t="e">
        <f t="shared" si="164"/>
        <v>#DIV/0!</v>
      </c>
      <c r="CI53" s="4120"/>
      <c r="CJ53" s="4082">
        <f t="shared" si="165"/>
        <v>0</v>
      </c>
      <c r="CK53" s="4082">
        <f t="shared" si="165"/>
        <v>0</v>
      </c>
      <c r="CL53" s="4119"/>
      <c r="CM53" s="4119"/>
      <c r="CN53" s="4119"/>
      <c r="CP53" s="4122"/>
      <c r="CQ53" s="4122"/>
      <c r="CR53" s="4188"/>
    </row>
    <row r="54" spans="1:98" ht="13.8" outlineLevel="1">
      <c r="A54" s="1570"/>
      <c r="B54" s="1410" t="s">
        <v>1</v>
      </c>
      <c r="C54" s="2015">
        <f>SUM(C55:C72)</f>
        <v>0</v>
      </c>
      <c r="D54" s="2015">
        <f>SUM(D55:D72)</f>
        <v>0</v>
      </c>
      <c r="E54" s="2014">
        <f>SUM(E55:E72)</f>
        <v>0</v>
      </c>
      <c r="F54" s="4110" t="e">
        <f t="shared" si="133"/>
        <v>#DIV/0!</v>
      </c>
      <c r="G54" s="1057"/>
      <c r="H54" s="2015">
        <f>SUM(H55:H72)</f>
        <v>0</v>
      </c>
      <c r="I54" s="2015">
        <f>SUM(I55:I72)</f>
        <v>0</v>
      </c>
      <c r="J54" s="2014">
        <f>SUM(J55:J72)</f>
        <v>0</v>
      </c>
      <c r="K54" s="4110" t="e">
        <f t="shared" si="166"/>
        <v>#DIV/0!</v>
      </c>
      <c r="L54" s="1057"/>
      <c r="M54" s="2015">
        <f>SUM(M55:M72)</f>
        <v>0</v>
      </c>
      <c r="N54" s="2015">
        <f>SUM(N55:N72)</f>
        <v>0</v>
      </c>
      <c r="O54" s="2014">
        <f>SUM(O55:O72)</f>
        <v>0</v>
      </c>
      <c r="P54" s="4110" t="e">
        <f t="shared" ref="P54" si="167">O54/$E$89</f>
        <v>#DIV/0!</v>
      </c>
      <c r="Q54" s="1057"/>
      <c r="R54" s="2013">
        <f>SUM(R55:R72)</f>
        <v>0</v>
      </c>
      <c r="S54" s="2013">
        <f>SUM(S55:S72)</f>
        <v>0</v>
      </c>
      <c r="T54" s="2013">
        <f>SUM(T55:T72)</f>
        <v>0</v>
      </c>
      <c r="U54" s="1535"/>
      <c r="V54" s="3460"/>
      <c r="W54" s="2013">
        <f>SUM(W55:W72)</f>
        <v>0</v>
      </c>
      <c r="X54" s="2013">
        <f>SUM(X55:X72)</f>
        <v>0</v>
      </c>
      <c r="Y54" s="2013">
        <f>SUM(Y55:Y72)</f>
        <v>0</v>
      </c>
      <c r="Z54" s="1535"/>
      <c r="AA54" s="3460"/>
      <c r="AB54" s="2013">
        <f>SUM(AB55:AB72)</f>
        <v>0</v>
      </c>
      <c r="AC54" s="2013">
        <f>SUM(AC55:AC72)</f>
        <v>0</v>
      </c>
      <c r="AD54" s="2013">
        <f>SUM(AD55:AD72)</f>
        <v>0</v>
      </c>
      <c r="AE54" s="1535"/>
      <c r="AF54" s="3735"/>
      <c r="AG54" s="2013">
        <f>SUM(AG55:AG72)</f>
        <v>0</v>
      </c>
      <c r="AH54" s="2013">
        <f>SUM(AH55:AH72)</f>
        <v>0</v>
      </c>
      <c r="AI54" s="2013">
        <f>SUM(AI55:AI72)</f>
        <v>0</v>
      </c>
      <c r="AJ54" s="1535"/>
      <c r="AK54" s="3735"/>
      <c r="AL54" s="2013">
        <f>SUM(AL55:AL72)</f>
        <v>0</v>
      </c>
      <c r="AM54" s="2013">
        <f>SUM(AM55:AM72)</f>
        <v>0</v>
      </c>
      <c r="AN54" s="2013">
        <f>SUM(AN55:AN72)</f>
        <v>0</v>
      </c>
      <c r="AO54" s="1535"/>
      <c r="AP54" s="3735"/>
      <c r="AQ54" s="2013">
        <f>SUM(AQ55:AQ72)</f>
        <v>0</v>
      </c>
      <c r="AR54" s="2013">
        <f>SUM(AR55:AR72)</f>
        <v>0</v>
      </c>
      <c r="AS54" s="2013">
        <f>SUM(AS55:AS72)</f>
        <v>0</v>
      </c>
      <c r="AT54" s="1535"/>
      <c r="AU54" s="3735"/>
      <c r="AV54" s="2013">
        <f>SUM(AV55:AV72)</f>
        <v>0</v>
      </c>
      <c r="AW54" s="2013">
        <f>SUM(AW55:AW72)</f>
        <v>0</v>
      </c>
      <c r="AX54" s="2013">
        <f>SUM(AX55:AX72)</f>
        <v>0</v>
      </c>
      <c r="AY54" s="1535"/>
      <c r="AZ54" s="3735"/>
      <c r="BA54" s="2013">
        <f>SUM(BA55:BA72)</f>
        <v>0</v>
      </c>
      <c r="BB54" s="2013">
        <f>SUM(BB55:BB72)</f>
        <v>0</v>
      </c>
      <c r="BC54" s="2013">
        <f>SUM(BC55:BC72)</f>
        <v>0</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0</v>
      </c>
      <c r="CK54" s="2013">
        <f>SUM(CK55:CK72)</f>
        <v>0</v>
      </c>
      <c r="CL54" s="2013">
        <f>SUM(CL55:CL72)</f>
        <v>0</v>
      </c>
      <c r="CM54" s="1535">
        <f t="shared" ref="CM54:CM71" si="168">CL54/$CL$89</f>
        <v>0</v>
      </c>
      <c r="CN54" s="1061"/>
      <c r="CP54" s="2015">
        <f>SUM(CP55:CP72)</f>
        <v>0</v>
      </c>
      <c r="CQ54" s="2015">
        <f>SUM(CQ55:CQ72)</f>
        <v>0</v>
      </c>
      <c r="CR54" s="2015"/>
    </row>
    <row r="55" spans="1:98" ht="13.8" outlineLevel="2">
      <c r="A55" s="1571"/>
      <c r="B55" s="4098" t="s">
        <v>77</v>
      </c>
      <c r="C55" s="3349"/>
      <c r="D55" s="3349"/>
      <c r="E55" s="3349">
        <f t="shared" ref="E55:E71" si="169">C55+D55</f>
        <v>0</v>
      </c>
      <c r="F55" s="4074" t="e">
        <f t="shared" si="133"/>
        <v>#DIV/0!</v>
      </c>
      <c r="G55" s="4112"/>
      <c r="H55" s="3349"/>
      <c r="I55" s="3349"/>
      <c r="J55" s="3349">
        <f t="shared" ref="J55:J71" si="170">H55+I55</f>
        <v>0</v>
      </c>
      <c r="K55" s="4074" t="e">
        <f t="shared" ref="K55:K72" si="171">J55/J$89</f>
        <v>#DIV/0!</v>
      </c>
      <c r="L55" s="4112"/>
      <c r="M55" s="3349"/>
      <c r="N55" s="3349"/>
      <c r="O55" s="3349">
        <f t="shared" ref="O55:O71" si="172">M55+N55</f>
        <v>0</v>
      </c>
      <c r="P55" s="4074" t="e">
        <f t="shared" ref="P55:P72" si="173">O55/O$89</f>
        <v>#DIV/0!</v>
      </c>
      <c r="Q55" s="4112"/>
      <c r="R55" s="3342">
        <f t="shared" ref="R55:S71" si="174">M55+H55+C55</f>
        <v>0</v>
      </c>
      <c r="S55" s="3342">
        <f t="shared" si="174"/>
        <v>0</v>
      </c>
      <c r="T55" s="2012">
        <f t="shared" ref="T55:T71" si="175">R55+S55</f>
        <v>0</v>
      </c>
      <c r="U55" s="3462"/>
      <c r="V55" s="3462"/>
      <c r="W55" s="3342">
        <f t="shared" ref="W55:X71" si="176">AB55+AG55+AL55+AV55+BA55+BF55+BK55+BP55+BU55+BZ55+CE55+AQ55</f>
        <v>0</v>
      </c>
      <c r="X55" s="3342">
        <f t="shared" si="176"/>
        <v>0</v>
      </c>
      <c r="Y55" s="2012">
        <f t="shared" ref="Y55:Y71" si="177">W55+X55</f>
        <v>0</v>
      </c>
      <c r="Z55" s="3462"/>
      <c r="AA55" s="3462"/>
      <c r="AB55" s="3349"/>
      <c r="AC55" s="3349"/>
      <c r="AD55" s="3349">
        <f t="shared" ref="AD55:AD71" si="178">AB55+AC55</f>
        <v>0</v>
      </c>
      <c r="AE55" s="4074">
        <f t="shared" ref="AE55:AE71" si="179">AD55/AD$89</f>
        <v>0</v>
      </c>
      <c r="AF55" s="4112"/>
      <c r="AG55" s="3349"/>
      <c r="AH55" s="3349"/>
      <c r="AI55" s="3349">
        <f t="shared" ref="AI55:AI71" si="180">AG55+AH55</f>
        <v>0</v>
      </c>
      <c r="AJ55" s="4074" t="e">
        <f t="shared" ref="AJ55:AJ71" si="181">AI55/AI$89</f>
        <v>#DIV/0!</v>
      </c>
      <c r="AK55" s="4112"/>
      <c r="AL55" s="3349"/>
      <c r="AM55" s="3349"/>
      <c r="AN55" s="3349">
        <f t="shared" ref="AN55:AN71" si="182">AL55+AM55</f>
        <v>0</v>
      </c>
      <c r="AO55" s="4074" t="e">
        <f t="shared" ref="AO55:AO71" si="183">AN55/AN$89</f>
        <v>#DIV/0!</v>
      </c>
      <c r="AP55" s="4112"/>
      <c r="AQ55" s="3349"/>
      <c r="AR55" s="3349"/>
      <c r="AS55" s="3349">
        <f t="shared" ref="AS55:AS71" si="184">AQ55+AR55</f>
        <v>0</v>
      </c>
      <c r="AT55" s="4074" t="e">
        <f t="shared" ref="AT55:AT71" si="185">AS55/AS$89</f>
        <v>#DIV/0!</v>
      </c>
      <c r="AU55" s="4112"/>
      <c r="AV55" s="3349"/>
      <c r="AW55" s="3349"/>
      <c r="AX55" s="3349">
        <f t="shared" ref="AX55:AX71" si="186">AV55+AW55</f>
        <v>0</v>
      </c>
      <c r="AY55" s="4074" t="e">
        <f t="shared" ref="AY55:AY71" si="187">AX55/AX$89</f>
        <v>#DIV/0!</v>
      </c>
      <c r="AZ55" s="4112"/>
      <c r="BA55" s="3349"/>
      <c r="BB55" s="3349"/>
      <c r="BC55" s="3349">
        <f t="shared" ref="BC55:BC71" si="188">BA55+BB55</f>
        <v>0</v>
      </c>
      <c r="BD55" s="4074" t="e">
        <f t="shared" ref="BD55:BD71" si="189">BC55/BC$89</f>
        <v>#DIV/0!</v>
      </c>
      <c r="BE55" s="4112"/>
      <c r="BF55" s="3349"/>
      <c r="BG55" s="3349"/>
      <c r="BH55" s="3349">
        <f t="shared" ref="BH55:BH71" si="190">BF55+BG55</f>
        <v>0</v>
      </c>
      <c r="BI55" s="4074" t="e">
        <f t="shared" ref="BI55:BI71" si="191">BH55/BH$89</f>
        <v>#DIV/0!</v>
      </c>
      <c r="BJ55" s="4112"/>
      <c r="BK55" s="3349"/>
      <c r="BL55" s="3349"/>
      <c r="BM55" s="3349">
        <f t="shared" ref="BM55:BM71" si="192">BK55+BL55</f>
        <v>0</v>
      </c>
      <c r="BN55" s="4074" t="e">
        <f t="shared" ref="BN55:BN71" si="193">BM55/BM$89</f>
        <v>#DIV/0!</v>
      </c>
      <c r="BO55" s="4112"/>
      <c r="BP55" s="3349"/>
      <c r="BQ55" s="3349"/>
      <c r="BR55" s="3349">
        <f t="shared" ref="BR55:BR71" si="194">BP55+BQ55</f>
        <v>0</v>
      </c>
      <c r="BS55" s="4074" t="e">
        <f t="shared" ref="BS55:BS71" si="195">BR55/BR$89</f>
        <v>#DIV/0!</v>
      </c>
      <c r="BT55" s="4112"/>
      <c r="BU55" s="3349"/>
      <c r="BV55" s="3349"/>
      <c r="BW55" s="3349">
        <f t="shared" ref="BW55:BW71" si="196">BU55+BV55</f>
        <v>0</v>
      </c>
      <c r="BX55" s="4074" t="e">
        <f t="shared" ref="BX55:BX71" si="197">BW55/BW$89</f>
        <v>#DIV/0!</v>
      </c>
      <c r="BY55" s="4112"/>
      <c r="BZ55" s="3349"/>
      <c r="CA55" s="3349"/>
      <c r="CB55" s="3349">
        <f t="shared" ref="CB55:CB71" si="198">BZ55+CA55</f>
        <v>0</v>
      </c>
      <c r="CC55" s="4074" t="e">
        <f t="shared" ref="CC55:CC71" si="199">CB55/CB$89</f>
        <v>#DIV/0!</v>
      </c>
      <c r="CD55" s="4112"/>
      <c r="CE55" s="3349"/>
      <c r="CF55" s="3349"/>
      <c r="CG55" s="3349">
        <f t="shared" ref="CG55:CG71" si="200">CE55+CF55</f>
        <v>0</v>
      </c>
      <c r="CH55" s="4074" t="e">
        <f t="shared" ref="CH55:CH71" si="201">CG55/CG$89</f>
        <v>#DIV/0!</v>
      </c>
      <c r="CI55" s="4112"/>
      <c r="CJ55" s="3341">
        <f t="shared" ref="CJ55:CK71" si="202">C55+H55+M55+W55</f>
        <v>0</v>
      </c>
      <c r="CK55" s="3341">
        <f t="shared" si="202"/>
        <v>0</v>
      </c>
      <c r="CL55" s="2012">
        <f t="shared" ref="CL55:CL71" si="203">CJ55+CK55*1</f>
        <v>0</v>
      </c>
      <c r="CM55" s="4074">
        <f t="shared" si="168"/>
        <v>0</v>
      </c>
      <c r="CN55" s="4076"/>
      <c r="CP55" s="2012">
        <f t="shared" ref="CP55:CQ71" si="204">CN55+CO55*1</f>
        <v>0</v>
      </c>
      <c r="CQ55" s="2012">
        <f t="shared" si="204"/>
        <v>0</v>
      </c>
      <c r="CR55" s="4188"/>
    </row>
    <row r="56" spans="1:98" ht="13.8" outlineLevel="2">
      <c r="A56" s="1571"/>
      <c r="B56" s="4098" t="s">
        <v>76</v>
      </c>
      <c r="C56" s="3349"/>
      <c r="D56" s="3349"/>
      <c r="E56" s="3349">
        <f t="shared" si="169"/>
        <v>0</v>
      </c>
      <c r="F56" s="4074" t="e">
        <f t="shared" si="133"/>
        <v>#DIV/0!</v>
      </c>
      <c r="G56" s="4112"/>
      <c r="H56" s="3349"/>
      <c r="I56" s="3349"/>
      <c r="J56" s="3349">
        <f t="shared" si="170"/>
        <v>0</v>
      </c>
      <c r="K56" s="4074" t="e">
        <f t="shared" si="171"/>
        <v>#DIV/0!</v>
      </c>
      <c r="L56" s="4112"/>
      <c r="M56" s="3349"/>
      <c r="N56" s="3349"/>
      <c r="O56" s="3349">
        <f t="shared" si="172"/>
        <v>0</v>
      </c>
      <c r="P56" s="4074" t="e">
        <f t="shared" si="173"/>
        <v>#DIV/0!</v>
      </c>
      <c r="Q56" s="4112"/>
      <c r="R56" s="3342">
        <f t="shared" si="174"/>
        <v>0</v>
      </c>
      <c r="S56" s="3342">
        <f t="shared" si="174"/>
        <v>0</v>
      </c>
      <c r="T56" s="2012">
        <f t="shared" si="175"/>
        <v>0</v>
      </c>
      <c r="U56" s="3462"/>
      <c r="V56" s="3462"/>
      <c r="W56" s="3342">
        <f t="shared" si="176"/>
        <v>0</v>
      </c>
      <c r="X56" s="3342">
        <f t="shared" si="176"/>
        <v>0</v>
      </c>
      <c r="Y56" s="2012">
        <f t="shared" si="177"/>
        <v>0</v>
      </c>
      <c r="Z56" s="3462"/>
      <c r="AA56" s="3462"/>
      <c r="AB56" s="3349"/>
      <c r="AC56" s="3349"/>
      <c r="AD56" s="3349">
        <f t="shared" si="178"/>
        <v>0</v>
      </c>
      <c r="AE56" s="4074">
        <f t="shared" si="179"/>
        <v>0</v>
      </c>
      <c r="AF56" s="4112"/>
      <c r="AG56" s="3349"/>
      <c r="AH56" s="3349"/>
      <c r="AI56" s="3349">
        <f t="shared" si="180"/>
        <v>0</v>
      </c>
      <c r="AJ56" s="4074" t="e">
        <f t="shared" si="181"/>
        <v>#DIV/0!</v>
      </c>
      <c r="AK56" s="4112"/>
      <c r="AL56" s="3349"/>
      <c r="AM56" s="3349"/>
      <c r="AN56" s="3349">
        <f t="shared" si="182"/>
        <v>0</v>
      </c>
      <c r="AO56" s="4074" t="e">
        <f t="shared" si="183"/>
        <v>#DIV/0!</v>
      </c>
      <c r="AP56" s="4112"/>
      <c r="AQ56" s="3349"/>
      <c r="AR56" s="3349"/>
      <c r="AS56" s="3349">
        <f t="shared" si="184"/>
        <v>0</v>
      </c>
      <c r="AT56" s="4074" t="e">
        <f t="shared" si="185"/>
        <v>#DIV/0!</v>
      </c>
      <c r="AU56" s="4112"/>
      <c r="AV56" s="3349"/>
      <c r="AW56" s="3349"/>
      <c r="AX56" s="3349">
        <f t="shared" si="186"/>
        <v>0</v>
      </c>
      <c r="AY56" s="4074" t="e">
        <f t="shared" si="187"/>
        <v>#DIV/0!</v>
      </c>
      <c r="AZ56" s="4112"/>
      <c r="BA56" s="3349"/>
      <c r="BB56" s="3349"/>
      <c r="BC56" s="3349">
        <f t="shared" si="188"/>
        <v>0</v>
      </c>
      <c r="BD56" s="4074" t="e">
        <f t="shared" si="189"/>
        <v>#DIV/0!</v>
      </c>
      <c r="BE56" s="4112"/>
      <c r="BF56" s="3349"/>
      <c r="BG56" s="3349"/>
      <c r="BH56" s="3349">
        <f t="shared" si="190"/>
        <v>0</v>
      </c>
      <c r="BI56" s="4074" t="e">
        <f t="shared" si="191"/>
        <v>#DIV/0!</v>
      </c>
      <c r="BJ56" s="4112"/>
      <c r="BK56" s="3349"/>
      <c r="BL56" s="3349"/>
      <c r="BM56" s="3349">
        <f t="shared" si="192"/>
        <v>0</v>
      </c>
      <c r="BN56" s="4074" t="e">
        <f t="shared" si="193"/>
        <v>#DIV/0!</v>
      </c>
      <c r="BO56" s="4112"/>
      <c r="BP56" s="3349"/>
      <c r="BQ56" s="3349"/>
      <c r="BR56" s="3349">
        <f t="shared" si="194"/>
        <v>0</v>
      </c>
      <c r="BS56" s="4074" t="e">
        <f t="shared" si="195"/>
        <v>#DIV/0!</v>
      </c>
      <c r="BT56" s="4112"/>
      <c r="BU56" s="3349"/>
      <c r="BV56" s="3349"/>
      <c r="BW56" s="3349">
        <f t="shared" si="196"/>
        <v>0</v>
      </c>
      <c r="BX56" s="4074" t="e">
        <f t="shared" si="197"/>
        <v>#DIV/0!</v>
      </c>
      <c r="BY56" s="4112"/>
      <c r="BZ56" s="3349"/>
      <c r="CA56" s="3349"/>
      <c r="CB56" s="3349">
        <f t="shared" si="198"/>
        <v>0</v>
      </c>
      <c r="CC56" s="4074" t="e">
        <f t="shared" si="199"/>
        <v>#DIV/0!</v>
      </c>
      <c r="CD56" s="4112"/>
      <c r="CE56" s="3349"/>
      <c r="CF56" s="3349"/>
      <c r="CG56" s="3349">
        <f t="shared" si="200"/>
        <v>0</v>
      </c>
      <c r="CH56" s="4074" t="e">
        <f t="shared" si="201"/>
        <v>#DIV/0!</v>
      </c>
      <c r="CI56" s="4112"/>
      <c r="CJ56" s="3341">
        <f t="shared" si="202"/>
        <v>0</v>
      </c>
      <c r="CK56" s="3341">
        <f t="shared" si="202"/>
        <v>0</v>
      </c>
      <c r="CL56" s="2012">
        <f t="shared" si="203"/>
        <v>0</v>
      </c>
      <c r="CM56" s="4074">
        <f t="shared" si="168"/>
        <v>0</v>
      </c>
      <c r="CN56" s="4076"/>
      <c r="CP56" s="2012">
        <f t="shared" si="204"/>
        <v>0</v>
      </c>
      <c r="CQ56" s="2012">
        <f t="shared" si="204"/>
        <v>0</v>
      </c>
      <c r="CR56" s="4188"/>
    </row>
    <row r="57" spans="1:98" ht="13.8" outlineLevel="2">
      <c r="A57" s="1571"/>
      <c r="B57" s="4098" t="s">
        <v>68</v>
      </c>
      <c r="C57" s="3349"/>
      <c r="D57" s="3349"/>
      <c r="E57" s="3349">
        <f t="shared" si="169"/>
        <v>0</v>
      </c>
      <c r="F57" s="4074" t="e">
        <f t="shared" si="133"/>
        <v>#DIV/0!</v>
      </c>
      <c r="G57" s="4112"/>
      <c r="H57" s="3349"/>
      <c r="I57" s="3349"/>
      <c r="J57" s="3349">
        <f t="shared" si="170"/>
        <v>0</v>
      </c>
      <c r="K57" s="4074" t="e">
        <f t="shared" si="171"/>
        <v>#DIV/0!</v>
      </c>
      <c r="L57" s="4112"/>
      <c r="M57" s="3349"/>
      <c r="N57" s="3349"/>
      <c r="O57" s="3349">
        <f t="shared" si="172"/>
        <v>0</v>
      </c>
      <c r="P57" s="4074" t="e">
        <f t="shared" si="173"/>
        <v>#DIV/0!</v>
      </c>
      <c r="Q57" s="4112"/>
      <c r="R57" s="3342">
        <f t="shared" si="174"/>
        <v>0</v>
      </c>
      <c r="S57" s="3342">
        <f t="shared" si="174"/>
        <v>0</v>
      </c>
      <c r="T57" s="2012">
        <f t="shared" si="175"/>
        <v>0</v>
      </c>
      <c r="U57" s="3462"/>
      <c r="V57" s="3462"/>
      <c r="W57" s="3342">
        <f t="shared" si="176"/>
        <v>0</v>
      </c>
      <c r="X57" s="3342">
        <f t="shared" si="176"/>
        <v>0</v>
      </c>
      <c r="Y57" s="2012">
        <f t="shared" si="177"/>
        <v>0</v>
      </c>
      <c r="Z57" s="3462"/>
      <c r="AA57" s="3462"/>
      <c r="AB57" s="3349"/>
      <c r="AC57" s="3349"/>
      <c r="AD57" s="3349">
        <f t="shared" si="178"/>
        <v>0</v>
      </c>
      <c r="AE57" s="4074">
        <f t="shared" si="179"/>
        <v>0</v>
      </c>
      <c r="AF57" s="4112"/>
      <c r="AG57" s="3349"/>
      <c r="AH57" s="3349"/>
      <c r="AI57" s="3349">
        <f t="shared" si="180"/>
        <v>0</v>
      </c>
      <c r="AJ57" s="4074" t="e">
        <f t="shared" si="181"/>
        <v>#DIV/0!</v>
      </c>
      <c r="AK57" s="4112"/>
      <c r="AL57" s="3349"/>
      <c r="AM57" s="3349"/>
      <c r="AN57" s="3349">
        <f t="shared" si="182"/>
        <v>0</v>
      </c>
      <c r="AO57" s="4074" t="e">
        <f t="shared" si="183"/>
        <v>#DIV/0!</v>
      </c>
      <c r="AP57" s="4112"/>
      <c r="AQ57" s="3349"/>
      <c r="AR57" s="3349"/>
      <c r="AS57" s="3349">
        <f t="shared" si="184"/>
        <v>0</v>
      </c>
      <c r="AT57" s="4074" t="e">
        <f t="shared" si="185"/>
        <v>#DIV/0!</v>
      </c>
      <c r="AU57" s="4112"/>
      <c r="AV57" s="3349"/>
      <c r="AW57" s="3349"/>
      <c r="AX57" s="3349">
        <f t="shared" si="186"/>
        <v>0</v>
      </c>
      <c r="AY57" s="4074" t="e">
        <f t="shared" si="187"/>
        <v>#DIV/0!</v>
      </c>
      <c r="AZ57" s="4112"/>
      <c r="BA57" s="3349"/>
      <c r="BB57" s="3349"/>
      <c r="BC57" s="3349">
        <f t="shared" si="188"/>
        <v>0</v>
      </c>
      <c r="BD57" s="4074" t="e">
        <f t="shared" si="189"/>
        <v>#DIV/0!</v>
      </c>
      <c r="BE57" s="4112"/>
      <c r="BF57" s="3349"/>
      <c r="BG57" s="3349"/>
      <c r="BH57" s="3349">
        <f t="shared" si="190"/>
        <v>0</v>
      </c>
      <c r="BI57" s="4074" t="e">
        <f t="shared" si="191"/>
        <v>#DIV/0!</v>
      </c>
      <c r="BJ57" s="4112"/>
      <c r="BK57" s="3349"/>
      <c r="BL57" s="3349"/>
      <c r="BM57" s="3349">
        <f t="shared" si="192"/>
        <v>0</v>
      </c>
      <c r="BN57" s="4074" t="e">
        <f t="shared" si="193"/>
        <v>#DIV/0!</v>
      </c>
      <c r="BO57" s="4112"/>
      <c r="BP57" s="3349"/>
      <c r="BQ57" s="3349"/>
      <c r="BR57" s="3349">
        <f t="shared" si="194"/>
        <v>0</v>
      </c>
      <c r="BS57" s="4074" t="e">
        <f t="shared" si="195"/>
        <v>#DIV/0!</v>
      </c>
      <c r="BT57" s="4112"/>
      <c r="BU57" s="3349"/>
      <c r="BV57" s="3349"/>
      <c r="BW57" s="3349">
        <f t="shared" si="196"/>
        <v>0</v>
      </c>
      <c r="BX57" s="4074" t="e">
        <f t="shared" si="197"/>
        <v>#DIV/0!</v>
      </c>
      <c r="BY57" s="4112"/>
      <c r="BZ57" s="3349"/>
      <c r="CA57" s="3349"/>
      <c r="CB57" s="3349">
        <f t="shared" si="198"/>
        <v>0</v>
      </c>
      <c r="CC57" s="4074" t="e">
        <f t="shared" si="199"/>
        <v>#DIV/0!</v>
      </c>
      <c r="CD57" s="4112"/>
      <c r="CE57" s="3349"/>
      <c r="CF57" s="3349"/>
      <c r="CG57" s="3349">
        <f t="shared" si="200"/>
        <v>0</v>
      </c>
      <c r="CH57" s="4074" t="e">
        <f t="shared" si="201"/>
        <v>#DIV/0!</v>
      </c>
      <c r="CI57" s="4112"/>
      <c r="CJ57" s="3341">
        <f t="shared" si="202"/>
        <v>0</v>
      </c>
      <c r="CK57" s="3341">
        <f t="shared" si="202"/>
        <v>0</v>
      </c>
      <c r="CL57" s="2012">
        <f t="shared" si="203"/>
        <v>0</v>
      </c>
      <c r="CM57" s="4074">
        <f t="shared" si="168"/>
        <v>0</v>
      </c>
      <c r="CN57" s="4076"/>
      <c r="CP57" s="2012">
        <f t="shared" si="204"/>
        <v>0</v>
      </c>
      <c r="CQ57" s="2012">
        <f t="shared" si="204"/>
        <v>0</v>
      </c>
      <c r="CR57" s="4188"/>
    </row>
    <row r="58" spans="1:98" ht="13.8" outlineLevel="2">
      <c r="A58" s="1571"/>
      <c r="B58" s="4098" t="s">
        <v>67</v>
      </c>
      <c r="C58" s="3349"/>
      <c r="D58" s="3349"/>
      <c r="E58" s="3349">
        <f t="shared" si="169"/>
        <v>0</v>
      </c>
      <c r="F58" s="4074" t="e">
        <f t="shared" si="133"/>
        <v>#DIV/0!</v>
      </c>
      <c r="G58" s="4112"/>
      <c r="H58" s="3349"/>
      <c r="I58" s="3349"/>
      <c r="J58" s="3349">
        <f t="shared" si="170"/>
        <v>0</v>
      </c>
      <c r="K58" s="4074" t="e">
        <f t="shared" si="171"/>
        <v>#DIV/0!</v>
      </c>
      <c r="L58" s="4112"/>
      <c r="M58" s="3349"/>
      <c r="N58" s="3349"/>
      <c r="O58" s="3349">
        <f t="shared" si="172"/>
        <v>0</v>
      </c>
      <c r="P58" s="4074" t="e">
        <f t="shared" si="173"/>
        <v>#DIV/0!</v>
      </c>
      <c r="Q58" s="4112"/>
      <c r="R58" s="3342">
        <f t="shared" si="174"/>
        <v>0</v>
      </c>
      <c r="S58" s="3342">
        <f t="shared" si="174"/>
        <v>0</v>
      </c>
      <c r="T58" s="2012">
        <f t="shared" si="175"/>
        <v>0</v>
      </c>
      <c r="U58" s="3462"/>
      <c r="V58" s="3462"/>
      <c r="W58" s="3342">
        <f t="shared" si="176"/>
        <v>0</v>
      </c>
      <c r="X58" s="3342">
        <f t="shared" si="176"/>
        <v>0</v>
      </c>
      <c r="Y58" s="2012">
        <f t="shared" si="177"/>
        <v>0</v>
      </c>
      <c r="Z58" s="3462"/>
      <c r="AA58" s="3462"/>
      <c r="AB58" s="3349"/>
      <c r="AC58" s="3349"/>
      <c r="AD58" s="3349">
        <f t="shared" si="178"/>
        <v>0</v>
      </c>
      <c r="AE58" s="4074">
        <f t="shared" si="179"/>
        <v>0</v>
      </c>
      <c r="AF58" s="4112"/>
      <c r="AG58" s="3349"/>
      <c r="AH58" s="3349"/>
      <c r="AI58" s="3349">
        <f t="shared" si="180"/>
        <v>0</v>
      </c>
      <c r="AJ58" s="4074" t="e">
        <f t="shared" si="181"/>
        <v>#DIV/0!</v>
      </c>
      <c r="AK58" s="4112"/>
      <c r="AL58" s="3349"/>
      <c r="AM58" s="3349"/>
      <c r="AN58" s="3349">
        <f t="shared" si="182"/>
        <v>0</v>
      </c>
      <c r="AO58" s="4074" t="e">
        <f t="shared" si="183"/>
        <v>#DIV/0!</v>
      </c>
      <c r="AP58" s="4112"/>
      <c r="AQ58" s="3349"/>
      <c r="AR58" s="3349"/>
      <c r="AS58" s="3349">
        <f t="shared" si="184"/>
        <v>0</v>
      </c>
      <c r="AT58" s="4074" t="e">
        <f t="shared" si="185"/>
        <v>#DIV/0!</v>
      </c>
      <c r="AU58" s="4112"/>
      <c r="AV58" s="3349"/>
      <c r="AW58" s="3349"/>
      <c r="AX58" s="3349">
        <f t="shared" si="186"/>
        <v>0</v>
      </c>
      <c r="AY58" s="4074" t="e">
        <f t="shared" si="187"/>
        <v>#DIV/0!</v>
      </c>
      <c r="AZ58" s="4112"/>
      <c r="BA58" s="3349"/>
      <c r="BB58" s="3349"/>
      <c r="BC58" s="3349">
        <f t="shared" si="188"/>
        <v>0</v>
      </c>
      <c r="BD58" s="4074" t="e">
        <f t="shared" si="189"/>
        <v>#DIV/0!</v>
      </c>
      <c r="BE58" s="4112"/>
      <c r="BF58" s="3349"/>
      <c r="BG58" s="3349"/>
      <c r="BH58" s="3349">
        <f t="shared" si="190"/>
        <v>0</v>
      </c>
      <c r="BI58" s="4074" t="e">
        <f t="shared" si="191"/>
        <v>#DIV/0!</v>
      </c>
      <c r="BJ58" s="4112"/>
      <c r="BK58" s="3349"/>
      <c r="BL58" s="3349"/>
      <c r="BM58" s="3349">
        <f t="shared" si="192"/>
        <v>0</v>
      </c>
      <c r="BN58" s="4074" t="e">
        <f t="shared" si="193"/>
        <v>#DIV/0!</v>
      </c>
      <c r="BO58" s="4112"/>
      <c r="BP58" s="3349"/>
      <c r="BQ58" s="3349"/>
      <c r="BR58" s="3349">
        <f t="shared" si="194"/>
        <v>0</v>
      </c>
      <c r="BS58" s="4074" t="e">
        <f t="shared" si="195"/>
        <v>#DIV/0!</v>
      </c>
      <c r="BT58" s="4112"/>
      <c r="BU58" s="3349"/>
      <c r="BV58" s="3349"/>
      <c r="BW58" s="3349">
        <f t="shared" si="196"/>
        <v>0</v>
      </c>
      <c r="BX58" s="4074" t="e">
        <f t="shared" si="197"/>
        <v>#DIV/0!</v>
      </c>
      <c r="BY58" s="4112"/>
      <c r="BZ58" s="3349"/>
      <c r="CA58" s="3349"/>
      <c r="CB58" s="3349">
        <f t="shared" si="198"/>
        <v>0</v>
      </c>
      <c r="CC58" s="4074" t="e">
        <f t="shared" si="199"/>
        <v>#DIV/0!</v>
      </c>
      <c r="CD58" s="4112"/>
      <c r="CE58" s="3349"/>
      <c r="CF58" s="3349"/>
      <c r="CG58" s="3349">
        <f t="shared" si="200"/>
        <v>0</v>
      </c>
      <c r="CH58" s="4074" t="e">
        <f t="shared" si="201"/>
        <v>#DIV/0!</v>
      </c>
      <c r="CI58" s="4112"/>
      <c r="CJ58" s="3341">
        <f t="shared" si="202"/>
        <v>0</v>
      </c>
      <c r="CK58" s="3341">
        <f t="shared" si="202"/>
        <v>0</v>
      </c>
      <c r="CL58" s="2012">
        <f t="shared" si="203"/>
        <v>0</v>
      </c>
      <c r="CM58" s="4074">
        <f t="shared" si="168"/>
        <v>0</v>
      </c>
      <c r="CN58" s="4076"/>
      <c r="CP58" s="2012">
        <f t="shared" si="204"/>
        <v>0</v>
      </c>
      <c r="CQ58" s="2012">
        <f t="shared" si="204"/>
        <v>0</v>
      </c>
      <c r="CR58" s="4188"/>
    </row>
    <row r="59" spans="1:98" ht="13.8" outlineLevel="2">
      <c r="A59" s="1571"/>
      <c r="B59" s="4098" t="s">
        <v>66</v>
      </c>
      <c r="C59" s="3349"/>
      <c r="D59" s="3349"/>
      <c r="E59" s="3349">
        <f t="shared" si="169"/>
        <v>0</v>
      </c>
      <c r="F59" s="4074" t="e">
        <f t="shared" si="133"/>
        <v>#DIV/0!</v>
      </c>
      <c r="G59" s="4112"/>
      <c r="H59" s="3349"/>
      <c r="I59" s="3349"/>
      <c r="J59" s="3349">
        <f t="shared" si="170"/>
        <v>0</v>
      </c>
      <c r="K59" s="4074" t="e">
        <f t="shared" si="171"/>
        <v>#DIV/0!</v>
      </c>
      <c r="L59" s="4112"/>
      <c r="M59" s="3349"/>
      <c r="N59" s="3349"/>
      <c r="O59" s="3349">
        <f t="shared" si="172"/>
        <v>0</v>
      </c>
      <c r="P59" s="4074" t="e">
        <f t="shared" si="173"/>
        <v>#DIV/0!</v>
      </c>
      <c r="Q59" s="4112"/>
      <c r="R59" s="3342">
        <f t="shared" si="174"/>
        <v>0</v>
      </c>
      <c r="S59" s="3342">
        <f t="shared" si="174"/>
        <v>0</v>
      </c>
      <c r="T59" s="2012">
        <f t="shared" si="175"/>
        <v>0</v>
      </c>
      <c r="U59" s="3462"/>
      <c r="V59" s="3462"/>
      <c r="W59" s="3342">
        <f t="shared" si="176"/>
        <v>0</v>
      </c>
      <c r="X59" s="3342">
        <f t="shared" si="176"/>
        <v>0</v>
      </c>
      <c r="Y59" s="2012">
        <f t="shared" si="177"/>
        <v>0</v>
      </c>
      <c r="Z59" s="3462"/>
      <c r="AA59" s="3462"/>
      <c r="AB59" s="3349"/>
      <c r="AC59" s="3349"/>
      <c r="AD59" s="3349">
        <f t="shared" si="178"/>
        <v>0</v>
      </c>
      <c r="AE59" s="4074">
        <f t="shared" si="179"/>
        <v>0</v>
      </c>
      <c r="AF59" s="4112"/>
      <c r="AG59" s="3349"/>
      <c r="AH59" s="3349"/>
      <c r="AI59" s="3349">
        <f t="shared" si="180"/>
        <v>0</v>
      </c>
      <c r="AJ59" s="4074" t="e">
        <f t="shared" si="181"/>
        <v>#DIV/0!</v>
      </c>
      <c r="AK59" s="4112"/>
      <c r="AL59" s="3349"/>
      <c r="AM59" s="3349"/>
      <c r="AN59" s="3349">
        <f t="shared" si="182"/>
        <v>0</v>
      </c>
      <c r="AO59" s="4074" t="e">
        <f t="shared" si="183"/>
        <v>#DIV/0!</v>
      </c>
      <c r="AP59" s="4112"/>
      <c r="AQ59" s="3349"/>
      <c r="AR59" s="3349"/>
      <c r="AS59" s="3349">
        <f t="shared" si="184"/>
        <v>0</v>
      </c>
      <c r="AT59" s="4074" t="e">
        <f t="shared" si="185"/>
        <v>#DIV/0!</v>
      </c>
      <c r="AU59" s="4112"/>
      <c r="AV59" s="3349"/>
      <c r="AW59" s="3349"/>
      <c r="AX59" s="3349">
        <f t="shared" si="186"/>
        <v>0</v>
      </c>
      <c r="AY59" s="4074" t="e">
        <f t="shared" si="187"/>
        <v>#DIV/0!</v>
      </c>
      <c r="AZ59" s="4112"/>
      <c r="BA59" s="3349"/>
      <c r="BB59" s="3349"/>
      <c r="BC59" s="3349">
        <f t="shared" si="188"/>
        <v>0</v>
      </c>
      <c r="BD59" s="4074" t="e">
        <f t="shared" si="189"/>
        <v>#DIV/0!</v>
      </c>
      <c r="BE59" s="4112"/>
      <c r="BF59" s="3349"/>
      <c r="BG59" s="3349"/>
      <c r="BH59" s="3349">
        <f t="shared" si="190"/>
        <v>0</v>
      </c>
      <c r="BI59" s="4074" t="e">
        <f t="shared" si="191"/>
        <v>#DIV/0!</v>
      </c>
      <c r="BJ59" s="4112"/>
      <c r="BK59" s="3349"/>
      <c r="BL59" s="3349"/>
      <c r="BM59" s="3349">
        <f t="shared" si="192"/>
        <v>0</v>
      </c>
      <c r="BN59" s="4074" t="e">
        <f t="shared" si="193"/>
        <v>#DIV/0!</v>
      </c>
      <c r="BO59" s="4112"/>
      <c r="BP59" s="3349"/>
      <c r="BQ59" s="3349"/>
      <c r="BR59" s="3349">
        <f t="shared" si="194"/>
        <v>0</v>
      </c>
      <c r="BS59" s="4074" t="e">
        <f t="shared" si="195"/>
        <v>#DIV/0!</v>
      </c>
      <c r="BT59" s="4112"/>
      <c r="BU59" s="3349"/>
      <c r="BV59" s="3349"/>
      <c r="BW59" s="3349">
        <f t="shared" si="196"/>
        <v>0</v>
      </c>
      <c r="BX59" s="4074" t="e">
        <f t="shared" si="197"/>
        <v>#DIV/0!</v>
      </c>
      <c r="BY59" s="4112"/>
      <c r="BZ59" s="3349"/>
      <c r="CA59" s="3349"/>
      <c r="CB59" s="3349">
        <f t="shared" si="198"/>
        <v>0</v>
      </c>
      <c r="CC59" s="4074" t="e">
        <f t="shared" si="199"/>
        <v>#DIV/0!</v>
      </c>
      <c r="CD59" s="4112"/>
      <c r="CE59" s="3349"/>
      <c r="CF59" s="3349"/>
      <c r="CG59" s="3349">
        <f t="shared" si="200"/>
        <v>0</v>
      </c>
      <c r="CH59" s="4074" t="e">
        <f t="shared" si="201"/>
        <v>#DIV/0!</v>
      </c>
      <c r="CI59" s="4112"/>
      <c r="CJ59" s="3341">
        <f t="shared" si="202"/>
        <v>0</v>
      </c>
      <c r="CK59" s="3341">
        <f t="shared" si="202"/>
        <v>0</v>
      </c>
      <c r="CL59" s="2012">
        <f t="shared" si="203"/>
        <v>0</v>
      </c>
      <c r="CM59" s="4074">
        <f t="shared" si="168"/>
        <v>0</v>
      </c>
      <c r="CN59" s="4076"/>
      <c r="CP59" s="2012">
        <f t="shared" si="204"/>
        <v>0</v>
      </c>
      <c r="CQ59" s="2012">
        <f t="shared" si="204"/>
        <v>0</v>
      </c>
      <c r="CR59" s="4188"/>
    </row>
    <row r="60" spans="1:98" ht="13.8" outlineLevel="2">
      <c r="A60" s="1571"/>
      <c r="B60" s="4098" t="s">
        <v>65</v>
      </c>
      <c r="C60" s="3349"/>
      <c r="D60" s="3349"/>
      <c r="E60" s="3349">
        <f t="shared" si="169"/>
        <v>0</v>
      </c>
      <c r="F60" s="4074" t="e">
        <f t="shared" si="133"/>
        <v>#DIV/0!</v>
      </c>
      <c r="G60" s="4112"/>
      <c r="H60" s="3349"/>
      <c r="I60" s="3349"/>
      <c r="J60" s="3349">
        <f t="shared" si="170"/>
        <v>0</v>
      </c>
      <c r="K60" s="4074" t="e">
        <f t="shared" si="171"/>
        <v>#DIV/0!</v>
      </c>
      <c r="L60" s="4112"/>
      <c r="M60" s="3349"/>
      <c r="N60" s="3349"/>
      <c r="O60" s="3349">
        <f t="shared" si="172"/>
        <v>0</v>
      </c>
      <c r="P60" s="4074" t="e">
        <f t="shared" si="173"/>
        <v>#DIV/0!</v>
      </c>
      <c r="Q60" s="4112"/>
      <c r="R60" s="3342">
        <f t="shared" si="174"/>
        <v>0</v>
      </c>
      <c r="S60" s="3342">
        <f t="shared" si="174"/>
        <v>0</v>
      </c>
      <c r="T60" s="2012">
        <f t="shared" si="175"/>
        <v>0</v>
      </c>
      <c r="U60" s="3462"/>
      <c r="V60" s="3462"/>
      <c r="W60" s="3342">
        <f t="shared" si="176"/>
        <v>0</v>
      </c>
      <c r="X60" s="3342">
        <f t="shared" si="176"/>
        <v>0</v>
      </c>
      <c r="Y60" s="2012">
        <f t="shared" si="177"/>
        <v>0</v>
      </c>
      <c r="Z60" s="3462"/>
      <c r="AA60" s="3462"/>
      <c r="AB60" s="3349"/>
      <c r="AC60" s="3349"/>
      <c r="AD60" s="3349">
        <f t="shared" si="178"/>
        <v>0</v>
      </c>
      <c r="AE60" s="4074">
        <f t="shared" si="179"/>
        <v>0</v>
      </c>
      <c r="AF60" s="4112"/>
      <c r="AG60" s="3349"/>
      <c r="AH60" s="3349"/>
      <c r="AI60" s="3349">
        <f t="shared" si="180"/>
        <v>0</v>
      </c>
      <c r="AJ60" s="4074" t="e">
        <f t="shared" si="181"/>
        <v>#DIV/0!</v>
      </c>
      <c r="AK60" s="4112"/>
      <c r="AL60" s="3349"/>
      <c r="AM60" s="3349"/>
      <c r="AN60" s="3349">
        <f t="shared" si="182"/>
        <v>0</v>
      </c>
      <c r="AO60" s="4074" t="e">
        <f t="shared" si="183"/>
        <v>#DIV/0!</v>
      </c>
      <c r="AP60" s="4112"/>
      <c r="AQ60" s="3349"/>
      <c r="AR60" s="3349"/>
      <c r="AS60" s="3349">
        <f t="shared" si="184"/>
        <v>0</v>
      </c>
      <c r="AT60" s="4074" t="e">
        <f t="shared" si="185"/>
        <v>#DIV/0!</v>
      </c>
      <c r="AU60" s="4112"/>
      <c r="AV60" s="3349"/>
      <c r="AW60" s="3349"/>
      <c r="AX60" s="3349">
        <f t="shared" si="186"/>
        <v>0</v>
      </c>
      <c r="AY60" s="4074" t="e">
        <f t="shared" si="187"/>
        <v>#DIV/0!</v>
      </c>
      <c r="AZ60" s="4112"/>
      <c r="BA60" s="3349"/>
      <c r="BB60" s="3349"/>
      <c r="BC60" s="3349">
        <f t="shared" si="188"/>
        <v>0</v>
      </c>
      <c r="BD60" s="4074" t="e">
        <f t="shared" si="189"/>
        <v>#DIV/0!</v>
      </c>
      <c r="BE60" s="4112"/>
      <c r="BF60" s="3349"/>
      <c r="BG60" s="3349"/>
      <c r="BH60" s="3349">
        <f t="shared" si="190"/>
        <v>0</v>
      </c>
      <c r="BI60" s="4074" t="e">
        <f t="shared" si="191"/>
        <v>#DIV/0!</v>
      </c>
      <c r="BJ60" s="4112"/>
      <c r="BK60" s="3349"/>
      <c r="BL60" s="3349"/>
      <c r="BM60" s="3349">
        <f t="shared" si="192"/>
        <v>0</v>
      </c>
      <c r="BN60" s="4074" t="e">
        <f t="shared" si="193"/>
        <v>#DIV/0!</v>
      </c>
      <c r="BO60" s="4112"/>
      <c r="BP60" s="3349"/>
      <c r="BQ60" s="3349"/>
      <c r="BR60" s="3349">
        <f t="shared" si="194"/>
        <v>0</v>
      </c>
      <c r="BS60" s="4074" t="e">
        <f t="shared" si="195"/>
        <v>#DIV/0!</v>
      </c>
      <c r="BT60" s="4112"/>
      <c r="BU60" s="3349"/>
      <c r="BV60" s="3349"/>
      <c r="BW60" s="3349">
        <f t="shared" si="196"/>
        <v>0</v>
      </c>
      <c r="BX60" s="4074" t="e">
        <f t="shared" si="197"/>
        <v>#DIV/0!</v>
      </c>
      <c r="BY60" s="4112"/>
      <c r="BZ60" s="3349"/>
      <c r="CA60" s="3349"/>
      <c r="CB60" s="3349">
        <f t="shared" si="198"/>
        <v>0</v>
      </c>
      <c r="CC60" s="4074" t="e">
        <f t="shared" si="199"/>
        <v>#DIV/0!</v>
      </c>
      <c r="CD60" s="4112"/>
      <c r="CE60" s="3349"/>
      <c r="CF60" s="3349"/>
      <c r="CG60" s="3349">
        <f t="shared" si="200"/>
        <v>0</v>
      </c>
      <c r="CH60" s="4074" t="e">
        <f t="shared" si="201"/>
        <v>#DIV/0!</v>
      </c>
      <c r="CI60" s="4112"/>
      <c r="CJ60" s="3341">
        <f t="shared" si="202"/>
        <v>0</v>
      </c>
      <c r="CK60" s="3341">
        <f t="shared" si="202"/>
        <v>0</v>
      </c>
      <c r="CL60" s="2012">
        <f t="shared" si="203"/>
        <v>0</v>
      </c>
      <c r="CM60" s="4074">
        <f t="shared" si="168"/>
        <v>0</v>
      </c>
      <c r="CN60" s="4076"/>
      <c r="CP60" s="2012">
        <f t="shared" si="204"/>
        <v>0</v>
      </c>
      <c r="CQ60" s="2012">
        <f t="shared" si="204"/>
        <v>0</v>
      </c>
      <c r="CR60" s="4188"/>
    </row>
    <row r="61" spans="1:98" ht="13.8" outlineLevel="2">
      <c r="A61" s="1571"/>
      <c r="B61" s="4098" t="s">
        <v>32</v>
      </c>
      <c r="C61" s="3349"/>
      <c r="D61" s="3349"/>
      <c r="E61" s="3349">
        <f t="shared" si="169"/>
        <v>0</v>
      </c>
      <c r="F61" s="4074" t="e">
        <f t="shared" si="133"/>
        <v>#DIV/0!</v>
      </c>
      <c r="G61" s="4112"/>
      <c r="H61" s="3349"/>
      <c r="I61" s="3349"/>
      <c r="J61" s="3349">
        <f t="shared" si="170"/>
        <v>0</v>
      </c>
      <c r="K61" s="4074" t="e">
        <f t="shared" si="171"/>
        <v>#DIV/0!</v>
      </c>
      <c r="L61" s="4112"/>
      <c r="M61" s="3349"/>
      <c r="N61" s="3349"/>
      <c r="O61" s="3349">
        <f t="shared" si="172"/>
        <v>0</v>
      </c>
      <c r="P61" s="4074" t="e">
        <f t="shared" si="173"/>
        <v>#DIV/0!</v>
      </c>
      <c r="Q61" s="4112"/>
      <c r="R61" s="3342">
        <f t="shared" si="174"/>
        <v>0</v>
      </c>
      <c r="S61" s="3342">
        <f t="shared" si="174"/>
        <v>0</v>
      </c>
      <c r="T61" s="2012">
        <f t="shared" si="175"/>
        <v>0</v>
      </c>
      <c r="U61" s="3462"/>
      <c r="V61" s="3462"/>
      <c r="W61" s="3342">
        <f t="shared" si="176"/>
        <v>0</v>
      </c>
      <c r="X61" s="3342">
        <f t="shared" si="176"/>
        <v>0</v>
      </c>
      <c r="Y61" s="2012">
        <f t="shared" si="177"/>
        <v>0</v>
      </c>
      <c r="Z61" s="3462"/>
      <c r="AA61" s="3462"/>
      <c r="AB61" s="3349"/>
      <c r="AC61" s="3349"/>
      <c r="AD61" s="3349">
        <f t="shared" si="178"/>
        <v>0</v>
      </c>
      <c r="AE61" s="4074">
        <f t="shared" si="179"/>
        <v>0</v>
      </c>
      <c r="AF61" s="4112"/>
      <c r="AG61" s="3349"/>
      <c r="AH61" s="3349"/>
      <c r="AI61" s="3349">
        <f t="shared" si="180"/>
        <v>0</v>
      </c>
      <c r="AJ61" s="4074" t="e">
        <f t="shared" si="181"/>
        <v>#DIV/0!</v>
      </c>
      <c r="AK61" s="4112"/>
      <c r="AL61" s="3349"/>
      <c r="AM61" s="3349"/>
      <c r="AN61" s="3349">
        <f t="shared" si="182"/>
        <v>0</v>
      </c>
      <c r="AO61" s="4074" t="e">
        <f t="shared" si="183"/>
        <v>#DIV/0!</v>
      </c>
      <c r="AP61" s="4112"/>
      <c r="AQ61" s="3349"/>
      <c r="AR61" s="3349"/>
      <c r="AS61" s="3349">
        <f t="shared" si="184"/>
        <v>0</v>
      </c>
      <c r="AT61" s="4074" t="e">
        <f t="shared" si="185"/>
        <v>#DIV/0!</v>
      </c>
      <c r="AU61" s="4112"/>
      <c r="AV61" s="3349"/>
      <c r="AW61" s="3349"/>
      <c r="AX61" s="3349">
        <f t="shared" si="186"/>
        <v>0</v>
      </c>
      <c r="AY61" s="4074" t="e">
        <f t="shared" si="187"/>
        <v>#DIV/0!</v>
      </c>
      <c r="AZ61" s="4112"/>
      <c r="BA61" s="3349"/>
      <c r="BB61" s="3349"/>
      <c r="BC61" s="3349">
        <f t="shared" si="188"/>
        <v>0</v>
      </c>
      <c r="BD61" s="4074" t="e">
        <f t="shared" si="189"/>
        <v>#DIV/0!</v>
      </c>
      <c r="BE61" s="4112"/>
      <c r="BF61" s="3349"/>
      <c r="BG61" s="3349"/>
      <c r="BH61" s="3349">
        <f t="shared" si="190"/>
        <v>0</v>
      </c>
      <c r="BI61" s="4074" t="e">
        <f t="shared" si="191"/>
        <v>#DIV/0!</v>
      </c>
      <c r="BJ61" s="4112"/>
      <c r="BK61" s="3349"/>
      <c r="BL61" s="3349"/>
      <c r="BM61" s="3349">
        <f t="shared" si="192"/>
        <v>0</v>
      </c>
      <c r="BN61" s="4074" t="e">
        <f t="shared" si="193"/>
        <v>#DIV/0!</v>
      </c>
      <c r="BO61" s="4112"/>
      <c r="BP61" s="3349"/>
      <c r="BQ61" s="3349"/>
      <c r="BR61" s="3349">
        <f t="shared" si="194"/>
        <v>0</v>
      </c>
      <c r="BS61" s="4074" t="e">
        <f t="shared" si="195"/>
        <v>#DIV/0!</v>
      </c>
      <c r="BT61" s="4112"/>
      <c r="BU61" s="3349"/>
      <c r="BV61" s="3349"/>
      <c r="BW61" s="3349">
        <f t="shared" si="196"/>
        <v>0</v>
      </c>
      <c r="BX61" s="4074" t="e">
        <f t="shared" si="197"/>
        <v>#DIV/0!</v>
      </c>
      <c r="BY61" s="4112"/>
      <c r="BZ61" s="3349"/>
      <c r="CA61" s="3349"/>
      <c r="CB61" s="3349">
        <f t="shared" si="198"/>
        <v>0</v>
      </c>
      <c r="CC61" s="4074" t="e">
        <f t="shared" si="199"/>
        <v>#DIV/0!</v>
      </c>
      <c r="CD61" s="4112"/>
      <c r="CE61" s="3349"/>
      <c r="CF61" s="3349"/>
      <c r="CG61" s="3349">
        <f t="shared" si="200"/>
        <v>0</v>
      </c>
      <c r="CH61" s="4074" t="e">
        <f t="shared" si="201"/>
        <v>#DIV/0!</v>
      </c>
      <c r="CI61" s="4112"/>
      <c r="CJ61" s="3341">
        <f t="shared" si="202"/>
        <v>0</v>
      </c>
      <c r="CK61" s="3341">
        <f t="shared" si="202"/>
        <v>0</v>
      </c>
      <c r="CL61" s="2012">
        <f t="shared" si="203"/>
        <v>0</v>
      </c>
      <c r="CM61" s="4074">
        <f t="shared" si="168"/>
        <v>0</v>
      </c>
      <c r="CN61" s="4076"/>
      <c r="CP61" s="2012">
        <f t="shared" si="204"/>
        <v>0</v>
      </c>
      <c r="CQ61" s="2012">
        <f t="shared" si="204"/>
        <v>0</v>
      </c>
      <c r="CR61" s="4188"/>
    </row>
    <row r="62" spans="1:98" ht="13.8" outlineLevel="2">
      <c r="A62" s="1571"/>
      <c r="B62" s="4098" t="s">
        <v>33</v>
      </c>
      <c r="C62" s="3349"/>
      <c r="D62" s="3349"/>
      <c r="E62" s="3349">
        <f t="shared" si="169"/>
        <v>0</v>
      </c>
      <c r="F62" s="4074" t="e">
        <f t="shared" si="133"/>
        <v>#DIV/0!</v>
      </c>
      <c r="G62" s="4112"/>
      <c r="H62" s="3349"/>
      <c r="I62" s="3349"/>
      <c r="J62" s="3349">
        <f t="shared" si="170"/>
        <v>0</v>
      </c>
      <c r="K62" s="4074" t="e">
        <f t="shared" si="171"/>
        <v>#DIV/0!</v>
      </c>
      <c r="L62" s="4112"/>
      <c r="M62" s="3349"/>
      <c r="N62" s="3349"/>
      <c r="O62" s="3349">
        <f t="shared" si="172"/>
        <v>0</v>
      </c>
      <c r="P62" s="4074" t="e">
        <f t="shared" si="173"/>
        <v>#DIV/0!</v>
      </c>
      <c r="Q62" s="4112"/>
      <c r="R62" s="3342">
        <f t="shared" si="174"/>
        <v>0</v>
      </c>
      <c r="S62" s="3342">
        <f t="shared" si="174"/>
        <v>0</v>
      </c>
      <c r="T62" s="2012">
        <f t="shared" si="175"/>
        <v>0</v>
      </c>
      <c r="U62" s="3462"/>
      <c r="V62" s="3462"/>
      <c r="W62" s="3342">
        <f t="shared" si="176"/>
        <v>0</v>
      </c>
      <c r="X62" s="3342">
        <f t="shared" si="176"/>
        <v>0</v>
      </c>
      <c r="Y62" s="2012">
        <f t="shared" si="177"/>
        <v>0</v>
      </c>
      <c r="Z62" s="3462"/>
      <c r="AA62" s="3462"/>
      <c r="AB62" s="3349"/>
      <c r="AC62" s="3349"/>
      <c r="AD62" s="3349">
        <f t="shared" si="178"/>
        <v>0</v>
      </c>
      <c r="AE62" s="4074">
        <f t="shared" si="179"/>
        <v>0</v>
      </c>
      <c r="AF62" s="4112"/>
      <c r="AG62" s="3349"/>
      <c r="AH62" s="3349"/>
      <c r="AI62" s="3349">
        <f t="shared" si="180"/>
        <v>0</v>
      </c>
      <c r="AJ62" s="4074" t="e">
        <f t="shared" si="181"/>
        <v>#DIV/0!</v>
      </c>
      <c r="AK62" s="4112"/>
      <c r="AL62" s="3349"/>
      <c r="AM62" s="3349"/>
      <c r="AN62" s="3349">
        <f t="shared" si="182"/>
        <v>0</v>
      </c>
      <c r="AO62" s="4074" t="e">
        <f t="shared" si="183"/>
        <v>#DIV/0!</v>
      </c>
      <c r="AP62" s="4112"/>
      <c r="AQ62" s="3349"/>
      <c r="AR62" s="3349"/>
      <c r="AS62" s="3349">
        <f t="shared" si="184"/>
        <v>0</v>
      </c>
      <c r="AT62" s="4074" t="e">
        <f t="shared" si="185"/>
        <v>#DIV/0!</v>
      </c>
      <c r="AU62" s="4112"/>
      <c r="AV62" s="3349"/>
      <c r="AW62" s="3349"/>
      <c r="AX62" s="3349">
        <f t="shared" si="186"/>
        <v>0</v>
      </c>
      <c r="AY62" s="4074" t="e">
        <f t="shared" si="187"/>
        <v>#DIV/0!</v>
      </c>
      <c r="AZ62" s="4112"/>
      <c r="BA62" s="3349"/>
      <c r="BB62" s="3349"/>
      <c r="BC62" s="3349">
        <f t="shared" si="188"/>
        <v>0</v>
      </c>
      <c r="BD62" s="4074" t="e">
        <f t="shared" si="189"/>
        <v>#DIV/0!</v>
      </c>
      <c r="BE62" s="4112"/>
      <c r="BF62" s="3349"/>
      <c r="BG62" s="3349"/>
      <c r="BH62" s="3349">
        <f t="shared" si="190"/>
        <v>0</v>
      </c>
      <c r="BI62" s="4074" t="e">
        <f t="shared" si="191"/>
        <v>#DIV/0!</v>
      </c>
      <c r="BJ62" s="4112"/>
      <c r="BK62" s="3349"/>
      <c r="BL62" s="3349"/>
      <c r="BM62" s="3349">
        <f t="shared" si="192"/>
        <v>0</v>
      </c>
      <c r="BN62" s="4074" t="e">
        <f t="shared" si="193"/>
        <v>#DIV/0!</v>
      </c>
      <c r="BO62" s="4112"/>
      <c r="BP62" s="3349"/>
      <c r="BQ62" s="3349"/>
      <c r="BR62" s="3349">
        <f t="shared" si="194"/>
        <v>0</v>
      </c>
      <c r="BS62" s="4074" t="e">
        <f t="shared" si="195"/>
        <v>#DIV/0!</v>
      </c>
      <c r="BT62" s="4112"/>
      <c r="BU62" s="3349"/>
      <c r="BV62" s="3349"/>
      <c r="BW62" s="3349">
        <f t="shared" si="196"/>
        <v>0</v>
      </c>
      <c r="BX62" s="4074" t="e">
        <f t="shared" si="197"/>
        <v>#DIV/0!</v>
      </c>
      <c r="BY62" s="4112"/>
      <c r="BZ62" s="3349"/>
      <c r="CA62" s="3349"/>
      <c r="CB62" s="3349">
        <f t="shared" si="198"/>
        <v>0</v>
      </c>
      <c r="CC62" s="4074" t="e">
        <f t="shared" si="199"/>
        <v>#DIV/0!</v>
      </c>
      <c r="CD62" s="4112"/>
      <c r="CE62" s="3349"/>
      <c r="CF62" s="3349"/>
      <c r="CG62" s="3349">
        <f t="shared" si="200"/>
        <v>0</v>
      </c>
      <c r="CH62" s="4074" t="e">
        <f t="shared" si="201"/>
        <v>#DIV/0!</v>
      </c>
      <c r="CI62" s="4112"/>
      <c r="CJ62" s="3341">
        <f t="shared" si="202"/>
        <v>0</v>
      </c>
      <c r="CK62" s="3341">
        <f t="shared" si="202"/>
        <v>0</v>
      </c>
      <c r="CL62" s="2012">
        <f t="shared" si="203"/>
        <v>0</v>
      </c>
      <c r="CM62" s="4074">
        <f t="shared" si="168"/>
        <v>0</v>
      </c>
      <c r="CN62" s="4076"/>
      <c r="CP62" s="2012">
        <f t="shared" si="204"/>
        <v>0</v>
      </c>
      <c r="CQ62" s="2012">
        <f t="shared" si="204"/>
        <v>0</v>
      </c>
      <c r="CR62" s="4188"/>
    </row>
    <row r="63" spans="1:98" ht="13.8" outlineLevel="2">
      <c r="A63" s="1571"/>
      <c r="B63" s="4098" t="s">
        <v>35</v>
      </c>
      <c r="C63" s="3349"/>
      <c r="D63" s="3349"/>
      <c r="E63" s="3349">
        <f t="shared" si="169"/>
        <v>0</v>
      </c>
      <c r="F63" s="4074" t="e">
        <f t="shared" si="133"/>
        <v>#DIV/0!</v>
      </c>
      <c r="G63" s="4112"/>
      <c r="H63" s="3349"/>
      <c r="I63" s="3349"/>
      <c r="J63" s="3349">
        <f t="shared" si="170"/>
        <v>0</v>
      </c>
      <c r="K63" s="4074" t="e">
        <f t="shared" si="171"/>
        <v>#DIV/0!</v>
      </c>
      <c r="L63" s="4112"/>
      <c r="M63" s="3349"/>
      <c r="N63" s="3349"/>
      <c r="O63" s="3349">
        <f t="shared" si="172"/>
        <v>0</v>
      </c>
      <c r="P63" s="4074" t="e">
        <f t="shared" si="173"/>
        <v>#DIV/0!</v>
      </c>
      <c r="Q63" s="4112"/>
      <c r="R63" s="3342">
        <f t="shared" si="174"/>
        <v>0</v>
      </c>
      <c r="S63" s="3342">
        <f t="shared" si="174"/>
        <v>0</v>
      </c>
      <c r="T63" s="2012">
        <f t="shared" si="175"/>
        <v>0</v>
      </c>
      <c r="U63" s="3462"/>
      <c r="V63" s="3462"/>
      <c r="W63" s="3342">
        <f t="shared" si="176"/>
        <v>0</v>
      </c>
      <c r="X63" s="3342">
        <f t="shared" si="176"/>
        <v>0</v>
      </c>
      <c r="Y63" s="2012">
        <f t="shared" si="177"/>
        <v>0</v>
      </c>
      <c r="Z63" s="3462"/>
      <c r="AA63" s="3462"/>
      <c r="AB63" s="3349"/>
      <c r="AC63" s="3349"/>
      <c r="AD63" s="3349">
        <f t="shared" si="178"/>
        <v>0</v>
      </c>
      <c r="AE63" s="4074">
        <f t="shared" si="179"/>
        <v>0</v>
      </c>
      <c r="AF63" s="4112"/>
      <c r="AG63" s="3349"/>
      <c r="AH63" s="3349"/>
      <c r="AI63" s="3349">
        <f t="shared" si="180"/>
        <v>0</v>
      </c>
      <c r="AJ63" s="4074" t="e">
        <f t="shared" si="181"/>
        <v>#DIV/0!</v>
      </c>
      <c r="AK63" s="4112"/>
      <c r="AL63" s="3349"/>
      <c r="AM63" s="3349"/>
      <c r="AN63" s="3349">
        <f t="shared" si="182"/>
        <v>0</v>
      </c>
      <c r="AO63" s="4074" t="e">
        <f t="shared" si="183"/>
        <v>#DIV/0!</v>
      </c>
      <c r="AP63" s="4112"/>
      <c r="AQ63" s="3349"/>
      <c r="AR63" s="3349"/>
      <c r="AS63" s="3349">
        <f t="shared" si="184"/>
        <v>0</v>
      </c>
      <c r="AT63" s="4074" t="e">
        <f t="shared" si="185"/>
        <v>#DIV/0!</v>
      </c>
      <c r="AU63" s="4112"/>
      <c r="AV63" s="3349"/>
      <c r="AW63" s="3349"/>
      <c r="AX63" s="3349">
        <f t="shared" si="186"/>
        <v>0</v>
      </c>
      <c r="AY63" s="4074" t="e">
        <f t="shared" si="187"/>
        <v>#DIV/0!</v>
      </c>
      <c r="AZ63" s="4112"/>
      <c r="BA63" s="3349"/>
      <c r="BB63" s="3349"/>
      <c r="BC63" s="3349">
        <f t="shared" si="188"/>
        <v>0</v>
      </c>
      <c r="BD63" s="4074" t="e">
        <f t="shared" si="189"/>
        <v>#DIV/0!</v>
      </c>
      <c r="BE63" s="4112"/>
      <c r="BF63" s="3349"/>
      <c r="BG63" s="3349"/>
      <c r="BH63" s="3349">
        <f t="shared" si="190"/>
        <v>0</v>
      </c>
      <c r="BI63" s="4074" t="e">
        <f t="shared" si="191"/>
        <v>#DIV/0!</v>
      </c>
      <c r="BJ63" s="4112"/>
      <c r="BK63" s="3349"/>
      <c r="BL63" s="3349"/>
      <c r="BM63" s="3349">
        <f t="shared" si="192"/>
        <v>0</v>
      </c>
      <c r="BN63" s="4074" t="e">
        <f t="shared" si="193"/>
        <v>#DIV/0!</v>
      </c>
      <c r="BO63" s="4112"/>
      <c r="BP63" s="3349"/>
      <c r="BQ63" s="3349"/>
      <c r="BR63" s="3349">
        <f t="shared" si="194"/>
        <v>0</v>
      </c>
      <c r="BS63" s="4074" t="e">
        <f t="shared" si="195"/>
        <v>#DIV/0!</v>
      </c>
      <c r="BT63" s="4112"/>
      <c r="BU63" s="3349"/>
      <c r="BV63" s="3349"/>
      <c r="BW63" s="3349">
        <f t="shared" si="196"/>
        <v>0</v>
      </c>
      <c r="BX63" s="4074" t="e">
        <f t="shared" si="197"/>
        <v>#DIV/0!</v>
      </c>
      <c r="BY63" s="4112"/>
      <c r="BZ63" s="3349"/>
      <c r="CA63" s="3349"/>
      <c r="CB63" s="3349">
        <f t="shared" si="198"/>
        <v>0</v>
      </c>
      <c r="CC63" s="4074" t="e">
        <f t="shared" si="199"/>
        <v>#DIV/0!</v>
      </c>
      <c r="CD63" s="4112"/>
      <c r="CE63" s="3349"/>
      <c r="CF63" s="3349"/>
      <c r="CG63" s="3349">
        <f t="shared" si="200"/>
        <v>0</v>
      </c>
      <c r="CH63" s="4074" t="e">
        <f t="shared" si="201"/>
        <v>#DIV/0!</v>
      </c>
      <c r="CI63" s="4112"/>
      <c r="CJ63" s="3341">
        <f t="shared" si="202"/>
        <v>0</v>
      </c>
      <c r="CK63" s="3341">
        <f t="shared" si="202"/>
        <v>0</v>
      </c>
      <c r="CL63" s="2012">
        <f t="shared" si="203"/>
        <v>0</v>
      </c>
      <c r="CM63" s="4074">
        <f t="shared" si="168"/>
        <v>0</v>
      </c>
      <c r="CN63" s="4076"/>
      <c r="CP63" s="2012">
        <f t="shared" si="204"/>
        <v>0</v>
      </c>
      <c r="CQ63" s="2012">
        <f t="shared" si="204"/>
        <v>0</v>
      </c>
      <c r="CR63" s="4188"/>
    </row>
    <row r="64" spans="1:98" ht="13.8" outlineLevel="2">
      <c r="A64" s="1571"/>
      <c r="B64" s="4098" t="s">
        <v>63</v>
      </c>
      <c r="C64" s="3349"/>
      <c r="D64" s="3349"/>
      <c r="E64" s="3349">
        <f t="shared" si="169"/>
        <v>0</v>
      </c>
      <c r="F64" s="4074" t="e">
        <f t="shared" si="133"/>
        <v>#DIV/0!</v>
      </c>
      <c r="G64" s="4112"/>
      <c r="H64" s="3349"/>
      <c r="I64" s="3349"/>
      <c r="J64" s="3349">
        <f t="shared" si="170"/>
        <v>0</v>
      </c>
      <c r="K64" s="4074" t="e">
        <f t="shared" si="171"/>
        <v>#DIV/0!</v>
      </c>
      <c r="L64" s="4112"/>
      <c r="M64" s="3349"/>
      <c r="N64" s="3349"/>
      <c r="O64" s="3349">
        <f t="shared" si="172"/>
        <v>0</v>
      </c>
      <c r="P64" s="4074" t="e">
        <f t="shared" si="173"/>
        <v>#DIV/0!</v>
      </c>
      <c r="Q64" s="4112"/>
      <c r="R64" s="3342">
        <f t="shared" si="174"/>
        <v>0</v>
      </c>
      <c r="S64" s="3342">
        <f t="shared" si="174"/>
        <v>0</v>
      </c>
      <c r="T64" s="2012">
        <f t="shared" si="175"/>
        <v>0</v>
      </c>
      <c r="U64" s="3462"/>
      <c r="V64" s="3462"/>
      <c r="W64" s="3342">
        <f t="shared" si="176"/>
        <v>0</v>
      </c>
      <c r="X64" s="3342">
        <f t="shared" si="176"/>
        <v>0</v>
      </c>
      <c r="Y64" s="2012">
        <f t="shared" si="177"/>
        <v>0</v>
      </c>
      <c r="Z64" s="3462"/>
      <c r="AA64" s="3462"/>
      <c r="AB64" s="3349"/>
      <c r="AC64" s="3349"/>
      <c r="AD64" s="3349">
        <f t="shared" si="178"/>
        <v>0</v>
      </c>
      <c r="AE64" s="4074">
        <f t="shared" si="179"/>
        <v>0</v>
      </c>
      <c r="AF64" s="4112"/>
      <c r="AG64" s="3349"/>
      <c r="AH64" s="3349"/>
      <c r="AI64" s="3349">
        <f t="shared" si="180"/>
        <v>0</v>
      </c>
      <c r="AJ64" s="4074" t="e">
        <f t="shared" si="181"/>
        <v>#DIV/0!</v>
      </c>
      <c r="AK64" s="4112"/>
      <c r="AL64" s="3349"/>
      <c r="AM64" s="3349"/>
      <c r="AN64" s="3349">
        <f t="shared" si="182"/>
        <v>0</v>
      </c>
      <c r="AO64" s="4074" t="e">
        <f t="shared" si="183"/>
        <v>#DIV/0!</v>
      </c>
      <c r="AP64" s="4112"/>
      <c r="AQ64" s="3349"/>
      <c r="AR64" s="3349"/>
      <c r="AS64" s="3349">
        <f t="shared" si="184"/>
        <v>0</v>
      </c>
      <c r="AT64" s="4074" t="e">
        <f t="shared" si="185"/>
        <v>#DIV/0!</v>
      </c>
      <c r="AU64" s="4112"/>
      <c r="AV64" s="3349"/>
      <c r="AW64" s="3349"/>
      <c r="AX64" s="3349">
        <f t="shared" si="186"/>
        <v>0</v>
      </c>
      <c r="AY64" s="4074" t="e">
        <f t="shared" si="187"/>
        <v>#DIV/0!</v>
      </c>
      <c r="AZ64" s="4112"/>
      <c r="BA64" s="3349"/>
      <c r="BB64" s="3349"/>
      <c r="BC64" s="3349">
        <f t="shared" si="188"/>
        <v>0</v>
      </c>
      <c r="BD64" s="4074" t="e">
        <f t="shared" si="189"/>
        <v>#DIV/0!</v>
      </c>
      <c r="BE64" s="4112"/>
      <c r="BF64" s="3349"/>
      <c r="BG64" s="3349"/>
      <c r="BH64" s="3349">
        <f t="shared" si="190"/>
        <v>0</v>
      </c>
      <c r="BI64" s="4074" t="e">
        <f t="shared" si="191"/>
        <v>#DIV/0!</v>
      </c>
      <c r="BJ64" s="4112"/>
      <c r="BK64" s="3349"/>
      <c r="BL64" s="3349"/>
      <c r="BM64" s="3349">
        <f t="shared" si="192"/>
        <v>0</v>
      </c>
      <c r="BN64" s="4074" t="e">
        <f t="shared" si="193"/>
        <v>#DIV/0!</v>
      </c>
      <c r="BO64" s="4112"/>
      <c r="BP64" s="3349"/>
      <c r="BQ64" s="3349"/>
      <c r="BR64" s="3349">
        <f t="shared" si="194"/>
        <v>0</v>
      </c>
      <c r="BS64" s="4074" t="e">
        <f t="shared" si="195"/>
        <v>#DIV/0!</v>
      </c>
      <c r="BT64" s="4112"/>
      <c r="BU64" s="3349"/>
      <c r="BV64" s="3349"/>
      <c r="BW64" s="3349">
        <f t="shared" si="196"/>
        <v>0</v>
      </c>
      <c r="BX64" s="4074" t="e">
        <f t="shared" si="197"/>
        <v>#DIV/0!</v>
      </c>
      <c r="BY64" s="4112"/>
      <c r="BZ64" s="3349"/>
      <c r="CA64" s="3349"/>
      <c r="CB64" s="3349">
        <f t="shared" si="198"/>
        <v>0</v>
      </c>
      <c r="CC64" s="4074" t="e">
        <f t="shared" si="199"/>
        <v>#DIV/0!</v>
      </c>
      <c r="CD64" s="4112"/>
      <c r="CE64" s="3349"/>
      <c r="CF64" s="3349"/>
      <c r="CG64" s="3349">
        <f t="shared" si="200"/>
        <v>0</v>
      </c>
      <c r="CH64" s="4074" t="e">
        <f t="shared" si="201"/>
        <v>#DIV/0!</v>
      </c>
      <c r="CI64" s="4112"/>
      <c r="CJ64" s="3341">
        <f t="shared" si="202"/>
        <v>0</v>
      </c>
      <c r="CK64" s="3341">
        <f t="shared" si="202"/>
        <v>0</v>
      </c>
      <c r="CL64" s="2012">
        <f t="shared" si="203"/>
        <v>0</v>
      </c>
      <c r="CM64" s="4074">
        <f t="shared" si="168"/>
        <v>0</v>
      </c>
      <c r="CN64" s="4076"/>
      <c r="CP64" s="2012">
        <f t="shared" si="204"/>
        <v>0</v>
      </c>
      <c r="CQ64" s="2012">
        <f t="shared" si="204"/>
        <v>0</v>
      </c>
      <c r="CR64" s="4188"/>
    </row>
    <row r="65" spans="1:98" ht="13.8" outlineLevel="2">
      <c r="A65" s="1571"/>
      <c r="B65" s="4098" t="s">
        <v>36</v>
      </c>
      <c r="C65" s="3341"/>
      <c r="D65" s="3341"/>
      <c r="E65" s="3349">
        <f t="shared" si="169"/>
        <v>0</v>
      </c>
      <c r="F65" s="4074" t="e">
        <f t="shared" si="133"/>
        <v>#DIV/0!</v>
      </c>
      <c r="G65" s="4112"/>
      <c r="H65" s="3341"/>
      <c r="I65" s="3341"/>
      <c r="J65" s="3349">
        <f t="shared" si="170"/>
        <v>0</v>
      </c>
      <c r="K65" s="4074" t="e">
        <f t="shared" si="171"/>
        <v>#DIV/0!</v>
      </c>
      <c r="L65" s="4112"/>
      <c r="M65" s="3341"/>
      <c r="N65" s="3341"/>
      <c r="O65" s="3349">
        <f t="shared" si="172"/>
        <v>0</v>
      </c>
      <c r="P65" s="4074" t="e">
        <f t="shared" si="173"/>
        <v>#DIV/0!</v>
      </c>
      <c r="Q65" s="4112"/>
      <c r="R65" s="3342">
        <f t="shared" si="174"/>
        <v>0</v>
      </c>
      <c r="S65" s="3342">
        <f t="shared" si="174"/>
        <v>0</v>
      </c>
      <c r="T65" s="2012">
        <f t="shared" si="175"/>
        <v>0</v>
      </c>
      <c r="U65" s="3462"/>
      <c r="V65" s="3462"/>
      <c r="W65" s="3342">
        <f t="shared" si="176"/>
        <v>0</v>
      </c>
      <c r="X65" s="3342">
        <f t="shared" si="176"/>
        <v>0</v>
      </c>
      <c r="Y65" s="2012">
        <f t="shared" si="177"/>
        <v>0</v>
      </c>
      <c r="Z65" s="3462"/>
      <c r="AA65" s="3462"/>
      <c r="AB65" s="3341"/>
      <c r="AC65" s="3341"/>
      <c r="AD65" s="3349">
        <f t="shared" si="178"/>
        <v>0</v>
      </c>
      <c r="AE65" s="4074">
        <f t="shared" si="179"/>
        <v>0</v>
      </c>
      <c r="AF65" s="4112"/>
      <c r="AG65" s="3341"/>
      <c r="AH65" s="3341"/>
      <c r="AI65" s="3349">
        <f t="shared" si="180"/>
        <v>0</v>
      </c>
      <c r="AJ65" s="4074" t="e">
        <f t="shared" si="181"/>
        <v>#DIV/0!</v>
      </c>
      <c r="AK65" s="4112"/>
      <c r="AL65" s="3341"/>
      <c r="AM65" s="3341"/>
      <c r="AN65" s="3349">
        <f t="shared" si="182"/>
        <v>0</v>
      </c>
      <c r="AO65" s="4074" t="e">
        <f t="shared" si="183"/>
        <v>#DIV/0!</v>
      </c>
      <c r="AP65" s="4112"/>
      <c r="AQ65" s="3341"/>
      <c r="AR65" s="3341"/>
      <c r="AS65" s="3349">
        <f t="shared" si="184"/>
        <v>0</v>
      </c>
      <c r="AT65" s="4074" t="e">
        <f t="shared" si="185"/>
        <v>#DIV/0!</v>
      </c>
      <c r="AU65" s="4112"/>
      <c r="AV65" s="3341"/>
      <c r="AW65" s="3341"/>
      <c r="AX65" s="3349">
        <f t="shared" si="186"/>
        <v>0</v>
      </c>
      <c r="AY65" s="4074" t="e">
        <f t="shared" si="187"/>
        <v>#DIV/0!</v>
      </c>
      <c r="AZ65" s="4112"/>
      <c r="BA65" s="3341"/>
      <c r="BB65" s="3341"/>
      <c r="BC65" s="3349">
        <f t="shared" si="188"/>
        <v>0</v>
      </c>
      <c r="BD65" s="4074" t="e">
        <f t="shared" si="189"/>
        <v>#DIV/0!</v>
      </c>
      <c r="BE65" s="4112"/>
      <c r="BF65" s="3341"/>
      <c r="BG65" s="3341"/>
      <c r="BH65" s="3349">
        <f t="shared" si="190"/>
        <v>0</v>
      </c>
      <c r="BI65" s="4074" t="e">
        <f t="shared" si="191"/>
        <v>#DIV/0!</v>
      </c>
      <c r="BJ65" s="4112"/>
      <c r="BK65" s="3341"/>
      <c r="BL65" s="3341"/>
      <c r="BM65" s="3349">
        <f t="shared" si="192"/>
        <v>0</v>
      </c>
      <c r="BN65" s="4074" t="e">
        <f t="shared" si="193"/>
        <v>#DIV/0!</v>
      </c>
      <c r="BO65" s="4112"/>
      <c r="BP65" s="3341"/>
      <c r="BQ65" s="3341"/>
      <c r="BR65" s="3349">
        <f t="shared" si="194"/>
        <v>0</v>
      </c>
      <c r="BS65" s="4074" t="e">
        <f t="shared" si="195"/>
        <v>#DIV/0!</v>
      </c>
      <c r="BT65" s="4112"/>
      <c r="BU65" s="3341"/>
      <c r="BV65" s="3341"/>
      <c r="BW65" s="3349">
        <f t="shared" si="196"/>
        <v>0</v>
      </c>
      <c r="BX65" s="4074" t="e">
        <f t="shared" si="197"/>
        <v>#DIV/0!</v>
      </c>
      <c r="BY65" s="4112"/>
      <c r="BZ65" s="3341"/>
      <c r="CA65" s="3341"/>
      <c r="CB65" s="3349">
        <f t="shared" si="198"/>
        <v>0</v>
      </c>
      <c r="CC65" s="4074" t="e">
        <f t="shared" si="199"/>
        <v>#DIV/0!</v>
      </c>
      <c r="CD65" s="4112"/>
      <c r="CE65" s="3341"/>
      <c r="CF65" s="3341"/>
      <c r="CG65" s="3349">
        <f t="shared" si="200"/>
        <v>0</v>
      </c>
      <c r="CH65" s="4074" t="e">
        <f t="shared" si="201"/>
        <v>#DIV/0!</v>
      </c>
      <c r="CI65" s="4112"/>
      <c r="CJ65" s="3341">
        <f t="shared" si="202"/>
        <v>0</v>
      </c>
      <c r="CK65" s="3341">
        <f t="shared" si="202"/>
        <v>0</v>
      </c>
      <c r="CL65" s="2012">
        <f t="shared" si="203"/>
        <v>0</v>
      </c>
      <c r="CM65" s="4074">
        <f t="shared" si="168"/>
        <v>0</v>
      </c>
      <c r="CN65" s="4076"/>
      <c r="CP65" s="2012">
        <f t="shared" si="204"/>
        <v>0</v>
      </c>
      <c r="CQ65" s="2012">
        <f t="shared" si="204"/>
        <v>0</v>
      </c>
      <c r="CR65" s="4188"/>
    </row>
    <row r="66" spans="1:98" s="1396" customFormat="1" ht="13.8" outlineLevel="2">
      <c r="A66" s="1571"/>
      <c r="B66" s="4098" t="s">
        <v>37</v>
      </c>
      <c r="C66" s="3341"/>
      <c r="D66" s="3341"/>
      <c r="E66" s="3349">
        <f t="shared" si="169"/>
        <v>0</v>
      </c>
      <c r="F66" s="4074" t="e">
        <f t="shared" si="133"/>
        <v>#DIV/0!</v>
      </c>
      <c r="G66" s="4112"/>
      <c r="H66" s="3341"/>
      <c r="I66" s="3341"/>
      <c r="J66" s="3349">
        <f t="shared" si="170"/>
        <v>0</v>
      </c>
      <c r="K66" s="4074" t="e">
        <f t="shared" si="171"/>
        <v>#DIV/0!</v>
      </c>
      <c r="L66" s="4112"/>
      <c r="M66" s="3341"/>
      <c r="N66" s="3341"/>
      <c r="O66" s="3349">
        <f t="shared" si="172"/>
        <v>0</v>
      </c>
      <c r="P66" s="4074" t="e">
        <f t="shared" si="173"/>
        <v>#DIV/0!</v>
      </c>
      <c r="Q66" s="4112"/>
      <c r="R66" s="3342">
        <f t="shared" si="174"/>
        <v>0</v>
      </c>
      <c r="S66" s="3342">
        <f t="shared" si="174"/>
        <v>0</v>
      </c>
      <c r="T66" s="2012">
        <f t="shared" si="175"/>
        <v>0</v>
      </c>
      <c r="U66" s="3462"/>
      <c r="V66" s="3462"/>
      <c r="W66" s="3342">
        <f t="shared" si="176"/>
        <v>0</v>
      </c>
      <c r="X66" s="3342">
        <f t="shared" si="176"/>
        <v>0</v>
      </c>
      <c r="Y66" s="2012">
        <f t="shared" si="177"/>
        <v>0</v>
      </c>
      <c r="Z66" s="3462"/>
      <c r="AA66" s="3462"/>
      <c r="AB66" s="3341"/>
      <c r="AC66" s="3341"/>
      <c r="AD66" s="3349">
        <f t="shared" si="178"/>
        <v>0</v>
      </c>
      <c r="AE66" s="4074">
        <f t="shared" si="179"/>
        <v>0</v>
      </c>
      <c r="AF66" s="4112"/>
      <c r="AG66" s="3341"/>
      <c r="AH66" s="3341"/>
      <c r="AI66" s="3349">
        <f t="shared" si="180"/>
        <v>0</v>
      </c>
      <c r="AJ66" s="4074" t="e">
        <f t="shared" si="181"/>
        <v>#DIV/0!</v>
      </c>
      <c r="AK66" s="4112"/>
      <c r="AL66" s="3341"/>
      <c r="AM66" s="3341"/>
      <c r="AN66" s="3349">
        <f t="shared" si="182"/>
        <v>0</v>
      </c>
      <c r="AO66" s="4074" t="e">
        <f t="shared" si="183"/>
        <v>#DIV/0!</v>
      </c>
      <c r="AP66" s="4112"/>
      <c r="AQ66" s="3341"/>
      <c r="AR66" s="3341"/>
      <c r="AS66" s="3349">
        <f t="shared" si="184"/>
        <v>0</v>
      </c>
      <c r="AT66" s="4074" t="e">
        <f t="shared" si="185"/>
        <v>#DIV/0!</v>
      </c>
      <c r="AU66" s="4112"/>
      <c r="AV66" s="3341"/>
      <c r="AW66" s="3341"/>
      <c r="AX66" s="3349">
        <f t="shared" si="186"/>
        <v>0</v>
      </c>
      <c r="AY66" s="4074" t="e">
        <f t="shared" si="187"/>
        <v>#DIV/0!</v>
      </c>
      <c r="AZ66" s="4112"/>
      <c r="BA66" s="3341"/>
      <c r="BB66" s="3341"/>
      <c r="BC66" s="3349">
        <f t="shared" si="188"/>
        <v>0</v>
      </c>
      <c r="BD66" s="4074" t="e">
        <f t="shared" si="189"/>
        <v>#DIV/0!</v>
      </c>
      <c r="BE66" s="4112"/>
      <c r="BF66" s="3341"/>
      <c r="BG66" s="3341"/>
      <c r="BH66" s="3349">
        <f t="shared" si="190"/>
        <v>0</v>
      </c>
      <c r="BI66" s="4074" t="e">
        <f t="shared" si="191"/>
        <v>#DIV/0!</v>
      </c>
      <c r="BJ66" s="4112"/>
      <c r="BK66" s="3341"/>
      <c r="BL66" s="3341"/>
      <c r="BM66" s="3349">
        <f t="shared" si="192"/>
        <v>0</v>
      </c>
      <c r="BN66" s="4074" t="e">
        <f t="shared" si="193"/>
        <v>#DIV/0!</v>
      </c>
      <c r="BO66" s="4112"/>
      <c r="BP66" s="3341"/>
      <c r="BQ66" s="3341"/>
      <c r="BR66" s="3349">
        <f t="shared" si="194"/>
        <v>0</v>
      </c>
      <c r="BS66" s="4074" t="e">
        <f t="shared" si="195"/>
        <v>#DIV/0!</v>
      </c>
      <c r="BT66" s="4112"/>
      <c r="BU66" s="3341"/>
      <c r="BV66" s="3341"/>
      <c r="BW66" s="3349">
        <f t="shared" si="196"/>
        <v>0</v>
      </c>
      <c r="BX66" s="4074" t="e">
        <f t="shared" si="197"/>
        <v>#DIV/0!</v>
      </c>
      <c r="BY66" s="4112"/>
      <c r="BZ66" s="3341"/>
      <c r="CA66" s="3341"/>
      <c r="CB66" s="3349">
        <f t="shared" si="198"/>
        <v>0</v>
      </c>
      <c r="CC66" s="4074" t="e">
        <f t="shared" si="199"/>
        <v>#DIV/0!</v>
      </c>
      <c r="CD66" s="4112"/>
      <c r="CE66" s="3341"/>
      <c r="CF66" s="3341"/>
      <c r="CG66" s="3349">
        <f t="shared" si="200"/>
        <v>0</v>
      </c>
      <c r="CH66" s="4074" t="e">
        <f t="shared" si="201"/>
        <v>#DIV/0!</v>
      </c>
      <c r="CI66" s="4112"/>
      <c r="CJ66" s="3341">
        <f t="shared" si="202"/>
        <v>0</v>
      </c>
      <c r="CK66" s="3341">
        <f t="shared" si="202"/>
        <v>0</v>
      </c>
      <c r="CL66" s="2012">
        <f t="shared" si="203"/>
        <v>0</v>
      </c>
      <c r="CM66" s="4074">
        <f t="shared" si="168"/>
        <v>0</v>
      </c>
      <c r="CN66" s="4076"/>
      <c r="CP66" s="2012">
        <f t="shared" si="204"/>
        <v>0</v>
      </c>
      <c r="CQ66" s="2012">
        <f t="shared" si="204"/>
        <v>0</v>
      </c>
      <c r="CR66" s="4188"/>
      <c r="CT66" s="3443"/>
    </row>
    <row r="67" spans="1:98" s="1396" customFormat="1" ht="13.8" outlineLevel="2">
      <c r="A67" s="1571"/>
      <c r="B67" s="4098" t="s">
        <v>3</v>
      </c>
      <c r="C67" s="3341"/>
      <c r="D67" s="3341"/>
      <c r="E67" s="3349">
        <f t="shared" si="169"/>
        <v>0</v>
      </c>
      <c r="F67" s="4074" t="e">
        <f t="shared" si="133"/>
        <v>#DIV/0!</v>
      </c>
      <c r="G67" s="4112"/>
      <c r="H67" s="3341"/>
      <c r="I67" s="3341"/>
      <c r="J67" s="3349">
        <f t="shared" si="170"/>
        <v>0</v>
      </c>
      <c r="K67" s="4074" t="e">
        <f t="shared" si="171"/>
        <v>#DIV/0!</v>
      </c>
      <c r="L67" s="4112"/>
      <c r="M67" s="3341"/>
      <c r="N67" s="3341"/>
      <c r="O67" s="3349">
        <f t="shared" si="172"/>
        <v>0</v>
      </c>
      <c r="P67" s="4074" t="e">
        <f t="shared" si="173"/>
        <v>#DIV/0!</v>
      </c>
      <c r="Q67" s="4112"/>
      <c r="R67" s="3342">
        <f t="shared" si="174"/>
        <v>0</v>
      </c>
      <c r="S67" s="3342">
        <f t="shared" si="174"/>
        <v>0</v>
      </c>
      <c r="T67" s="2012">
        <f t="shared" si="175"/>
        <v>0</v>
      </c>
      <c r="U67" s="3462"/>
      <c r="V67" s="3462"/>
      <c r="W67" s="3342">
        <f t="shared" si="176"/>
        <v>0</v>
      </c>
      <c r="X67" s="3342">
        <f t="shared" si="176"/>
        <v>0</v>
      </c>
      <c r="Y67" s="2012">
        <f t="shared" si="177"/>
        <v>0</v>
      </c>
      <c r="Z67" s="3462"/>
      <c r="AA67" s="3462"/>
      <c r="AB67" s="3341"/>
      <c r="AC67" s="3341"/>
      <c r="AD67" s="3349">
        <f t="shared" si="178"/>
        <v>0</v>
      </c>
      <c r="AE67" s="4074">
        <f t="shared" si="179"/>
        <v>0</v>
      </c>
      <c r="AF67" s="4112"/>
      <c r="AG67" s="3341"/>
      <c r="AH67" s="3341"/>
      <c r="AI67" s="3349">
        <f t="shared" si="180"/>
        <v>0</v>
      </c>
      <c r="AJ67" s="4074" t="e">
        <f t="shared" si="181"/>
        <v>#DIV/0!</v>
      </c>
      <c r="AK67" s="4112"/>
      <c r="AL67" s="3341"/>
      <c r="AM67" s="3341"/>
      <c r="AN67" s="3349">
        <f t="shared" si="182"/>
        <v>0</v>
      </c>
      <c r="AO67" s="4074" t="e">
        <f t="shared" si="183"/>
        <v>#DIV/0!</v>
      </c>
      <c r="AP67" s="4112"/>
      <c r="AQ67" s="3341"/>
      <c r="AR67" s="3341"/>
      <c r="AS67" s="3349">
        <f t="shared" si="184"/>
        <v>0</v>
      </c>
      <c r="AT67" s="4074" t="e">
        <f t="shared" si="185"/>
        <v>#DIV/0!</v>
      </c>
      <c r="AU67" s="4112"/>
      <c r="AV67" s="3341"/>
      <c r="AW67" s="3341"/>
      <c r="AX67" s="3349">
        <f t="shared" si="186"/>
        <v>0</v>
      </c>
      <c r="AY67" s="4074" t="e">
        <f t="shared" si="187"/>
        <v>#DIV/0!</v>
      </c>
      <c r="AZ67" s="4112"/>
      <c r="BA67" s="3341"/>
      <c r="BB67" s="3341"/>
      <c r="BC67" s="3349">
        <f t="shared" si="188"/>
        <v>0</v>
      </c>
      <c r="BD67" s="4074" t="e">
        <f t="shared" si="189"/>
        <v>#DIV/0!</v>
      </c>
      <c r="BE67" s="4112"/>
      <c r="BF67" s="3341"/>
      <c r="BG67" s="3341"/>
      <c r="BH67" s="3349">
        <f t="shared" si="190"/>
        <v>0</v>
      </c>
      <c r="BI67" s="4074" t="e">
        <f t="shared" si="191"/>
        <v>#DIV/0!</v>
      </c>
      <c r="BJ67" s="4112"/>
      <c r="BK67" s="3341"/>
      <c r="BL67" s="3341"/>
      <c r="BM67" s="3349">
        <f t="shared" si="192"/>
        <v>0</v>
      </c>
      <c r="BN67" s="4074" t="e">
        <f t="shared" si="193"/>
        <v>#DIV/0!</v>
      </c>
      <c r="BO67" s="4112"/>
      <c r="BP67" s="3341"/>
      <c r="BQ67" s="3341"/>
      <c r="BR67" s="3349">
        <f t="shared" si="194"/>
        <v>0</v>
      </c>
      <c r="BS67" s="4074" t="e">
        <f t="shared" si="195"/>
        <v>#DIV/0!</v>
      </c>
      <c r="BT67" s="4112"/>
      <c r="BU67" s="3341"/>
      <c r="BV67" s="3341"/>
      <c r="BW67" s="3349">
        <f t="shared" si="196"/>
        <v>0</v>
      </c>
      <c r="BX67" s="4074" t="e">
        <f t="shared" si="197"/>
        <v>#DIV/0!</v>
      </c>
      <c r="BY67" s="4112"/>
      <c r="BZ67" s="3341"/>
      <c r="CA67" s="3341"/>
      <c r="CB67" s="3349">
        <f t="shared" si="198"/>
        <v>0</v>
      </c>
      <c r="CC67" s="4074" t="e">
        <f t="shared" si="199"/>
        <v>#DIV/0!</v>
      </c>
      <c r="CD67" s="4112"/>
      <c r="CE67" s="3341"/>
      <c r="CF67" s="3341"/>
      <c r="CG67" s="3349">
        <f t="shared" si="200"/>
        <v>0</v>
      </c>
      <c r="CH67" s="4074" t="e">
        <f t="shared" si="201"/>
        <v>#DIV/0!</v>
      </c>
      <c r="CI67" s="4112"/>
      <c r="CJ67" s="3341">
        <f t="shared" si="202"/>
        <v>0</v>
      </c>
      <c r="CK67" s="3341">
        <f t="shared" si="202"/>
        <v>0</v>
      </c>
      <c r="CL67" s="2012">
        <f t="shared" si="203"/>
        <v>0</v>
      </c>
      <c r="CM67" s="4074">
        <f t="shared" si="168"/>
        <v>0</v>
      </c>
      <c r="CN67" s="4076"/>
      <c r="CP67" s="2012">
        <f t="shared" si="204"/>
        <v>0</v>
      </c>
      <c r="CQ67" s="2012">
        <f t="shared" si="204"/>
        <v>0</v>
      </c>
      <c r="CR67" s="4188"/>
      <c r="CT67" s="3443"/>
    </row>
    <row r="68" spans="1:98" s="1396" customFormat="1" ht="13.8" outlineLevel="2">
      <c r="A68" s="1571"/>
      <c r="B68" s="4098" t="s">
        <v>5</v>
      </c>
      <c r="C68" s="3341"/>
      <c r="D68" s="3341"/>
      <c r="E68" s="3349">
        <f t="shared" si="169"/>
        <v>0</v>
      </c>
      <c r="F68" s="4074" t="e">
        <f t="shared" si="133"/>
        <v>#DIV/0!</v>
      </c>
      <c r="G68" s="3341"/>
      <c r="H68" s="3341"/>
      <c r="I68" s="3341"/>
      <c r="J68" s="3349">
        <f t="shared" si="170"/>
        <v>0</v>
      </c>
      <c r="K68" s="4074" t="e">
        <f t="shared" si="171"/>
        <v>#DIV/0!</v>
      </c>
      <c r="L68" s="3341"/>
      <c r="M68" s="3341"/>
      <c r="N68" s="3341"/>
      <c r="O68" s="3349">
        <f t="shared" si="172"/>
        <v>0</v>
      </c>
      <c r="P68" s="4074" t="e">
        <f t="shared" si="173"/>
        <v>#DIV/0!</v>
      </c>
      <c r="Q68" s="3341"/>
      <c r="R68" s="3342">
        <f t="shared" si="174"/>
        <v>0</v>
      </c>
      <c r="S68" s="3342">
        <f t="shared" si="174"/>
        <v>0</v>
      </c>
      <c r="T68" s="2012">
        <f t="shared" si="175"/>
        <v>0</v>
      </c>
      <c r="U68" s="3341"/>
      <c r="V68" s="3341"/>
      <c r="W68" s="3342">
        <f t="shared" si="176"/>
        <v>0</v>
      </c>
      <c r="X68" s="3342">
        <f t="shared" si="176"/>
        <v>0</v>
      </c>
      <c r="Y68" s="2012">
        <f t="shared" si="177"/>
        <v>0</v>
      </c>
      <c r="Z68" s="3341"/>
      <c r="AA68" s="3341"/>
      <c r="AB68" s="3341"/>
      <c r="AC68" s="3341"/>
      <c r="AD68" s="3349">
        <f t="shared" si="178"/>
        <v>0</v>
      </c>
      <c r="AE68" s="4074">
        <f t="shared" si="179"/>
        <v>0</v>
      </c>
      <c r="AF68" s="3341"/>
      <c r="AG68" s="3341"/>
      <c r="AH68" s="3341"/>
      <c r="AI68" s="3349">
        <f t="shared" si="180"/>
        <v>0</v>
      </c>
      <c r="AJ68" s="4074" t="e">
        <f t="shared" si="181"/>
        <v>#DIV/0!</v>
      </c>
      <c r="AK68" s="3341"/>
      <c r="AL68" s="3341"/>
      <c r="AM68" s="3341"/>
      <c r="AN68" s="3349">
        <f t="shared" si="182"/>
        <v>0</v>
      </c>
      <c r="AO68" s="4074" t="e">
        <f t="shared" si="183"/>
        <v>#DIV/0!</v>
      </c>
      <c r="AP68" s="3341"/>
      <c r="AQ68" s="3341"/>
      <c r="AR68" s="3341"/>
      <c r="AS68" s="3349">
        <f t="shared" si="184"/>
        <v>0</v>
      </c>
      <c r="AT68" s="4074" t="e">
        <f t="shared" si="185"/>
        <v>#DIV/0!</v>
      </c>
      <c r="AU68" s="3341"/>
      <c r="AV68" s="3341"/>
      <c r="AW68" s="3341"/>
      <c r="AX68" s="3349">
        <f t="shared" si="186"/>
        <v>0</v>
      </c>
      <c r="AY68" s="4074" t="e">
        <f t="shared" si="187"/>
        <v>#DIV/0!</v>
      </c>
      <c r="AZ68" s="3341"/>
      <c r="BA68" s="3341"/>
      <c r="BB68" s="3341"/>
      <c r="BC68" s="3349">
        <f t="shared" si="188"/>
        <v>0</v>
      </c>
      <c r="BD68" s="4074" t="e">
        <f t="shared" si="189"/>
        <v>#DIV/0!</v>
      </c>
      <c r="BE68" s="3341"/>
      <c r="BF68" s="3341"/>
      <c r="BG68" s="3341"/>
      <c r="BH68" s="3349">
        <f t="shared" si="190"/>
        <v>0</v>
      </c>
      <c r="BI68" s="4074" t="e">
        <f t="shared" si="191"/>
        <v>#DIV/0!</v>
      </c>
      <c r="BJ68" s="3341"/>
      <c r="BK68" s="3341"/>
      <c r="BL68" s="3341"/>
      <c r="BM68" s="3349">
        <f t="shared" si="192"/>
        <v>0</v>
      </c>
      <c r="BN68" s="4074" t="e">
        <f t="shared" si="193"/>
        <v>#DIV/0!</v>
      </c>
      <c r="BO68" s="3341"/>
      <c r="BP68" s="3341"/>
      <c r="BQ68" s="3341"/>
      <c r="BR68" s="3349">
        <f t="shared" si="194"/>
        <v>0</v>
      </c>
      <c r="BS68" s="4074" t="e">
        <f t="shared" si="195"/>
        <v>#DIV/0!</v>
      </c>
      <c r="BT68" s="3341"/>
      <c r="BU68" s="3341"/>
      <c r="BV68" s="3341"/>
      <c r="BW68" s="3349">
        <f t="shared" si="196"/>
        <v>0</v>
      </c>
      <c r="BX68" s="4074" t="e">
        <f t="shared" si="197"/>
        <v>#DIV/0!</v>
      </c>
      <c r="BY68" s="3341"/>
      <c r="BZ68" s="3341"/>
      <c r="CA68" s="3341"/>
      <c r="CB68" s="3349">
        <f t="shared" si="198"/>
        <v>0</v>
      </c>
      <c r="CC68" s="4074" t="e">
        <f t="shared" si="199"/>
        <v>#DIV/0!</v>
      </c>
      <c r="CD68" s="3341"/>
      <c r="CE68" s="3341"/>
      <c r="CF68" s="3341"/>
      <c r="CG68" s="3349">
        <f t="shared" si="200"/>
        <v>0</v>
      </c>
      <c r="CH68" s="4074" t="e">
        <f t="shared" si="201"/>
        <v>#DIV/0!</v>
      </c>
      <c r="CI68" s="3341"/>
      <c r="CJ68" s="3341">
        <f t="shared" si="202"/>
        <v>0</v>
      </c>
      <c r="CK68" s="3341">
        <f t="shared" si="202"/>
        <v>0</v>
      </c>
      <c r="CL68" s="2012">
        <f t="shared" si="203"/>
        <v>0</v>
      </c>
      <c r="CM68" s="4074">
        <f t="shared" si="168"/>
        <v>0</v>
      </c>
      <c r="CN68" s="4076"/>
      <c r="CP68" s="2012">
        <f t="shared" si="204"/>
        <v>0</v>
      </c>
      <c r="CQ68" s="2012">
        <f t="shared" si="204"/>
        <v>0</v>
      </c>
      <c r="CR68" s="4188"/>
      <c r="CT68" s="3443"/>
    </row>
    <row r="69" spans="1:98" s="1396" customFormat="1" ht="13.8" outlineLevel="2">
      <c r="A69" s="1571"/>
      <c r="B69" s="4098" t="s">
        <v>42</v>
      </c>
      <c r="C69" s="3341"/>
      <c r="D69" s="3341"/>
      <c r="E69" s="3349">
        <f t="shared" si="169"/>
        <v>0</v>
      </c>
      <c r="F69" s="4074" t="e">
        <f t="shared" si="133"/>
        <v>#DIV/0!</v>
      </c>
      <c r="G69" s="4112"/>
      <c r="H69" s="3341"/>
      <c r="I69" s="3341"/>
      <c r="J69" s="3349">
        <f t="shared" si="170"/>
        <v>0</v>
      </c>
      <c r="K69" s="4074" t="e">
        <f t="shared" si="171"/>
        <v>#DIV/0!</v>
      </c>
      <c r="L69" s="4112"/>
      <c r="M69" s="3341"/>
      <c r="N69" s="3341"/>
      <c r="O69" s="3349">
        <f t="shared" si="172"/>
        <v>0</v>
      </c>
      <c r="P69" s="4074" t="e">
        <f t="shared" si="173"/>
        <v>#DIV/0!</v>
      </c>
      <c r="Q69" s="4112"/>
      <c r="R69" s="3342">
        <f t="shared" si="174"/>
        <v>0</v>
      </c>
      <c r="S69" s="3342">
        <f t="shared" si="174"/>
        <v>0</v>
      </c>
      <c r="T69" s="2012">
        <f t="shared" si="175"/>
        <v>0</v>
      </c>
      <c r="U69" s="3462"/>
      <c r="V69" s="3462"/>
      <c r="W69" s="3342">
        <f t="shared" si="176"/>
        <v>0</v>
      </c>
      <c r="X69" s="3342">
        <f t="shared" si="176"/>
        <v>0</v>
      </c>
      <c r="Y69" s="2012">
        <f t="shared" si="177"/>
        <v>0</v>
      </c>
      <c r="Z69" s="3462"/>
      <c r="AA69" s="3462"/>
      <c r="AB69" s="3341"/>
      <c r="AC69" s="3341"/>
      <c r="AD69" s="3349">
        <f t="shared" si="178"/>
        <v>0</v>
      </c>
      <c r="AE69" s="4074">
        <f t="shared" si="179"/>
        <v>0</v>
      </c>
      <c r="AF69" s="4112"/>
      <c r="AG69" s="3341"/>
      <c r="AH69" s="3341"/>
      <c r="AI69" s="3349">
        <f t="shared" si="180"/>
        <v>0</v>
      </c>
      <c r="AJ69" s="4074" t="e">
        <f t="shared" si="181"/>
        <v>#DIV/0!</v>
      </c>
      <c r="AK69" s="4112"/>
      <c r="AL69" s="3341"/>
      <c r="AM69" s="3341"/>
      <c r="AN69" s="3349">
        <f t="shared" si="182"/>
        <v>0</v>
      </c>
      <c r="AO69" s="4074" t="e">
        <f t="shared" si="183"/>
        <v>#DIV/0!</v>
      </c>
      <c r="AP69" s="4112"/>
      <c r="AQ69" s="3341"/>
      <c r="AR69" s="3341"/>
      <c r="AS69" s="3349">
        <f t="shared" si="184"/>
        <v>0</v>
      </c>
      <c r="AT69" s="4074" t="e">
        <f t="shared" si="185"/>
        <v>#DIV/0!</v>
      </c>
      <c r="AU69" s="4112"/>
      <c r="AV69" s="3341"/>
      <c r="AW69" s="3341"/>
      <c r="AX69" s="3349">
        <f t="shared" si="186"/>
        <v>0</v>
      </c>
      <c r="AY69" s="4074" t="e">
        <f t="shared" si="187"/>
        <v>#DIV/0!</v>
      </c>
      <c r="AZ69" s="4112"/>
      <c r="BA69" s="3341"/>
      <c r="BB69" s="3341"/>
      <c r="BC69" s="3349">
        <f t="shared" si="188"/>
        <v>0</v>
      </c>
      <c r="BD69" s="4074" t="e">
        <f t="shared" si="189"/>
        <v>#DIV/0!</v>
      </c>
      <c r="BE69" s="4112"/>
      <c r="BF69" s="3341"/>
      <c r="BG69" s="3341"/>
      <c r="BH69" s="3349">
        <f t="shared" si="190"/>
        <v>0</v>
      </c>
      <c r="BI69" s="4074" t="e">
        <f t="shared" si="191"/>
        <v>#DIV/0!</v>
      </c>
      <c r="BJ69" s="4112"/>
      <c r="BK69" s="3341"/>
      <c r="BL69" s="3341"/>
      <c r="BM69" s="3349">
        <f t="shared" si="192"/>
        <v>0</v>
      </c>
      <c r="BN69" s="4074" t="e">
        <f t="shared" si="193"/>
        <v>#DIV/0!</v>
      </c>
      <c r="BO69" s="4112"/>
      <c r="BP69" s="3341"/>
      <c r="BQ69" s="3341"/>
      <c r="BR69" s="3349">
        <f t="shared" si="194"/>
        <v>0</v>
      </c>
      <c r="BS69" s="4074" t="e">
        <f t="shared" si="195"/>
        <v>#DIV/0!</v>
      </c>
      <c r="BT69" s="4112"/>
      <c r="BU69" s="3341"/>
      <c r="BV69" s="3341"/>
      <c r="BW69" s="3349">
        <f t="shared" si="196"/>
        <v>0</v>
      </c>
      <c r="BX69" s="4074" t="e">
        <f t="shared" si="197"/>
        <v>#DIV/0!</v>
      </c>
      <c r="BY69" s="4112"/>
      <c r="BZ69" s="3341"/>
      <c r="CA69" s="3341"/>
      <c r="CB69" s="3349">
        <f t="shared" si="198"/>
        <v>0</v>
      </c>
      <c r="CC69" s="4074" t="e">
        <f t="shared" si="199"/>
        <v>#DIV/0!</v>
      </c>
      <c r="CD69" s="4112"/>
      <c r="CE69" s="3341"/>
      <c r="CF69" s="3341"/>
      <c r="CG69" s="3349">
        <f t="shared" si="200"/>
        <v>0</v>
      </c>
      <c r="CH69" s="4074" t="e">
        <f t="shared" si="201"/>
        <v>#DIV/0!</v>
      </c>
      <c r="CI69" s="4112"/>
      <c r="CJ69" s="3341">
        <f t="shared" si="202"/>
        <v>0</v>
      </c>
      <c r="CK69" s="3341">
        <f t="shared" si="202"/>
        <v>0</v>
      </c>
      <c r="CL69" s="2012">
        <f t="shared" si="203"/>
        <v>0</v>
      </c>
      <c r="CM69" s="4074">
        <f t="shared" si="168"/>
        <v>0</v>
      </c>
      <c r="CN69" s="4076"/>
      <c r="CP69" s="2012">
        <f t="shared" si="204"/>
        <v>0</v>
      </c>
      <c r="CQ69" s="2012">
        <f t="shared" si="204"/>
        <v>0</v>
      </c>
      <c r="CR69" s="4188"/>
      <c r="CT69" s="3443"/>
    </row>
    <row r="70" spans="1:98" s="1396" customFormat="1" ht="13.8" outlineLevel="2">
      <c r="A70" s="1571"/>
      <c r="B70" s="4098" t="s">
        <v>6</v>
      </c>
      <c r="C70" s="3341"/>
      <c r="D70" s="3341"/>
      <c r="E70" s="3349">
        <f t="shared" si="169"/>
        <v>0</v>
      </c>
      <c r="F70" s="4074" t="e">
        <f t="shared" si="133"/>
        <v>#DIV/0!</v>
      </c>
      <c r="G70" s="4112"/>
      <c r="H70" s="3341"/>
      <c r="I70" s="3341"/>
      <c r="J70" s="3349">
        <f t="shared" si="170"/>
        <v>0</v>
      </c>
      <c r="K70" s="4074" t="e">
        <f t="shared" si="171"/>
        <v>#DIV/0!</v>
      </c>
      <c r="L70" s="4112"/>
      <c r="M70" s="3341"/>
      <c r="N70" s="3341"/>
      <c r="O70" s="3349">
        <f t="shared" si="172"/>
        <v>0</v>
      </c>
      <c r="P70" s="4074" t="e">
        <f t="shared" si="173"/>
        <v>#DIV/0!</v>
      </c>
      <c r="Q70" s="4112"/>
      <c r="R70" s="3342">
        <f t="shared" si="174"/>
        <v>0</v>
      </c>
      <c r="S70" s="3342">
        <f t="shared" si="174"/>
        <v>0</v>
      </c>
      <c r="T70" s="2012">
        <f t="shared" si="175"/>
        <v>0</v>
      </c>
      <c r="U70" s="3462"/>
      <c r="V70" s="3462"/>
      <c r="W70" s="3342">
        <f t="shared" si="176"/>
        <v>0</v>
      </c>
      <c r="X70" s="3342">
        <f t="shared" si="176"/>
        <v>0</v>
      </c>
      <c r="Y70" s="2012">
        <f t="shared" si="177"/>
        <v>0</v>
      </c>
      <c r="Z70" s="3462"/>
      <c r="AA70" s="3462"/>
      <c r="AB70" s="3341"/>
      <c r="AC70" s="3341"/>
      <c r="AD70" s="3349">
        <f t="shared" si="178"/>
        <v>0</v>
      </c>
      <c r="AE70" s="4074">
        <f t="shared" si="179"/>
        <v>0</v>
      </c>
      <c r="AF70" s="4112"/>
      <c r="AG70" s="3341"/>
      <c r="AH70" s="3341"/>
      <c r="AI70" s="3349">
        <f t="shared" si="180"/>
        <v>0</v>
      </c>
      <c r="AJ70" s="4074" t="e">
        <f t="shared" si="181"/>
        <v>#DIV/0!</v>
      </c>
      <c r="AK70" s="4112"/>
      <c r="AL70" s="3341"/>
      <c r="AM70" s="3341"/>
      <c r="AN70" s="3349">
        <f t="shared" si="182"/>
        <v>0</v>
      </c>
      <c r="AO70" s="4074" t="e">
        <f t="shared" si="183"/>
        <v>#DIV/0!</v>
      </c>
      <c r="AP70" s="4112"/>
      <c r="AQ70" s="3341"/>
      <c r="AR70" s="3341"/>
      <c r="AS70" s="3349">
        <f t="shared" si="184"/>
        <v>0</v>
      </c>
      <c r="AT70" s="4074" t="e">
        <f t="shared" si="185"/>
        <v>#DIV/0!</v>
      </c>
      <c r="AU70" s="4112"/>
      <c r="AV70" s="3341"/>
      <c r="AW70" s="3341"/>
      <c r="AX70" s="3349">
        <f t="shared" si="186"/>
        <v>0</v>
      </c>
      <c r="AY70" s="4074" t="e">
        <f t="shared" si="187"/>
        <v>#DIV/0!</v>
      </c>
      <c r="AZ70" s="4112"/>
      <c r="BA70" s="3341"/>
      <c r="BB70" s="3341"/>
      <c r="BC70" s="3349">
        <f t="shared" si="188"/>
        <v>0</v>
      </c>
      <c r="BD70" s="4074" t="e">
        <f t="shared" si="189"/>
        <v>#DIV/0!</v>
      </c>
      <c r="BE70" s="4112"/>
      <c r="BF70" s="3341"/>
      <c r="BG70" s="3341"/>
      <c r="BH70" s="3349">
        <f t="shared" si="190"/>
        <v>0</v>
      </c>
      <c r="BI70" s="4074" t="e">
        <f t="shared" si="191"/>
        <v>#DIV/0!</v>
      </c>
      <c r="BJ70" s="4112"/>
      <c r="BK70" s="3341"/>
      <c r="BL70" s="3341"/>
      <c r="BM70" s="3349">
        <f t="shared" si="192"/>
        <v>0</v>
      </c>
      <c r="BN70" s="4074" t="e">
        <f t="shared" si="193"/>
        <v>#DIV/0!</v>
      </c>
      <c r="BO70" s="4112"/>
      <c r="BP70" s="3341"/>
      <c r="BQ70" s="3341"/>
      <c r="BR70" s="3349">
        <f t="shared" si="194"/>
        <v>0</v>
      </c>
      <c r="BS70" s="4074" t="e">
        <f t="shared" si="195"/>
        <v>#DIV/0!</v>
      </c>
      <c r="BT70" s="4112"/>
      <c r="BU70" s="3341"/>
      <c r="BV70" s="3341"/>
      <c r="BW70" s="3349">
        <f t="shared" si="196"/>
        <v>0</v>
      </c>
      <c r="BX70" s="4074" t="e">
        <f t="shared" si="197"/>
        <v>#DIV/0!</v>
      </c>
      <c r="BY70" s="4112"/>
      <c r="BZ70" s="3341"/>
      <c r="CA70" s="3341"/>
      <c r="CB70" s="3349">
        <f t="shared" si="198"/>
        <v>0</v>
      </c>
      <c r="CC70" s="4074" t="e">
        <f t="shared" si="199"/>
        <v>#DIV/0!</v>
      </c>
      <c r="CD70" s="4112"/>
      <c r="CE70" s="3341"/>
      <c r="CF70" s="3341"/>
      <c r="CG70" s="3349">
        <f t="shared" si="200"/>
        <v>0</v>
      </c>
      <c r="CH70" s="4074" t="e">
        <f t="shared" si="201"/>
        <v>#DIV/0!</v>
      </c>
      <c r="CI70" s="4112"/>
      <c r="CJ70" s="3341">
        <f t="shared" si="202"/>
        <v>0</v>
      </c>
      <c r="CK70" s="3341">
        <f t="shared" si="202"/>
        <v>0</v>
      </c>
      <c r="CL70" s="2012">
        <f t="shared" si="203"/>
        <v>0</v>
      </c>
      <c r="CM70" s="4074">
        <f t="shared" si="168"/>
        <v>0</v>
      </c>
      <c r="CN70" s="4076"/>
      <c r="CP70" s="2012">
        <f t="shared" si="204"/>
        <v>0</v>
      </c>
      <c r="CQ70" s="2012">
        <f t="shared" si="204"/>
        <v>0</v>
      </c>
      <c r="CR70" s="4188"/>
      <c r="CT70" s="3443"/>
    </row>
    <row r="71" spans="1:98" s="1396" customFormat="1" ht="13.8" outlineLevel="2">
      <c r="A71" s="1571"/>
      <c r="B71" s="4098" t="s">
        <v>78</v>
      </c>
      <c r="C71" s="3341"/>
      <c r="D71" s="3341"/>
      <c r="E71" s="3349">
        <f t="shared" si="169"/>
        <v>0</v>
      </c>
      <c r="F71" s="4074" t="e">
        <f t="shared" si="133"/>
        <v>#DIV/0!</v>
      </c>
      <c r="G71" s="4112"/>
      <c r="H71" s="3341"/>
      <c r="I71" s="3341"/>
      <c r="J71" s="3349">
        <f t="shared" si="170"/>
        <v>0</v>
      </c>
      <c r="K71" s="4074" t="e">
        <f t="shared" si="171"/>
        <v>#DIV/0!</v>
      </c>
      <c r="L71" s="4112"/>
      <c r="M71" s="3341"/>
      <c r="N71" s="3341"/>
      <c r="O71" s="3349">
        <f t="shared" si="172"/>
        <v>0</v>
      </c>
      <c r="P71" s="4074" t="e">
        <f t="shared" si="173"/>
        <v>#DIV/0!</v>
      </c>
      <c r="Q71" s="4112"/>
      <c r="R71" s="3342">
        <f t="shared" si="174"/>
        <v>0</v>
      </c>
      <c r="S71" s="3342">
        <f t="shared" si="174"/>
        <v>0</v>
      </c>
      <c r="T71" s="2012">
        <f t="shared" si="175"/>
        <v>0</v>
      </c>
      <c r="U71" s="3462"/>
      <c r="V71" s="3462"/>
      <c r="W71" s="3342">
        <f t="shared" si="176"/>
        <v>0</v>
      </c>
      <c r="X71" s="3342">
        <f t="shared" si="176"/>
        <v>0</v>
      </c>
      <c r="Y71" s="2012">
        <f t="shared" si="177"/>
        <v>0</v>
      </c>
      <c r="Z71" s="3462"/>
      <c r="AA71" s="3462"/>
      <c r="AB71" s="3341"/>
      <c r="AC71" s="3341"/>
      <c r="AD71" s="3349">
        <f t="shared" si="178"/>
        <v>0</v>
      </c>
      <c r="AE71" s="4074">
        <f t="shared" si="179"/>
        <v>0</v>
      </c>
      <c r="AF71" s="4112"/>
      <c r="AG71" s="3341"/>
      <c r="AH71" s="3341"/>
      <c r="AI71" s="3349">
        <f t="shared" si="180"/>
        <v>0</v>
      </c>
      <c r="AJ71" s="4074" t="e">
        <f t="shared" si="181"/>
        <v>#DIV/0!</v>
      </c>
      <c r="AK71" s="4112"/>
      <c r="AL71" s="3341"/>
      <c r="AM71" s="3341"/>
      <c r="AN71" s="3349">
        <f t="shared" si="182"/>
        <v>0</v>
      </c>
      <c r="AO71" s="4074" t="e">
        <f t="shared" si="183"/>
        <v>#DIV/0!</v>
      </c>
      <c r="AP71" s="4112"/>
      <c r="AQ71" s="3341"/>
      <c r="AR71" s="3341"/>
      <c r="AS71" s="3349">
        <f t="shared" si="184"/>
        <v>0</v>
      </c>
      <c r="AT71" s="4074" t="e">
        <f t="shared" si="185"/>
        <v>#DIV/0!</v>
      </c>
      <c r="AU71" s="4112"/>
      <c r="AV71" s="3341"/>
      <c r="AW71" s="3341"/>
      <c r="AX71" s="3349">
        <f t="shared" si="186"/>
        <v>0</v>
      </c>
      <c r="AY71" s="4074" t="e">
        <f t="shared" si="187"/>
        <v>#DIV/0!</v>
      </c>
      <c r="AZ71" s="4112"/>
      <c r="BA71" s="3341"/>
      <c r="BB71" s="3341"/>
      <c r="BC71" s="3349">
        <f t="shared" si="188"/>
        <v>0</v>
      </c>
      <c r="BD71" s="4074" t="e">
        <f t="shared" si="189"/>
        <v>#DIV/0!</v>
      </c>
      <c r="BE71" s="4112"/>
      <c r="BF71" s="3341"/>
      <c r="BG71" s="3341"/>
      <c r="BH71" s="3349">
        <f t="shared" si="190"/>
        <v>0</v>
      </c>
      <c r="BI71" s="4074" t="e">
        <f t="shared" si="191"/>
        <v>#DIV/0!</v>
      </c>
      <c r="BJ71" s="4112"/>
      <c r="BK71" s="3341"/>
      <c r="BL71" s="3341"/>
      <c r="BM71" s="3349">
        <f t="shared" si="192"/>
        <v>0</v>
      </c>
      <c r="BN71" s="4074" t="e">
        <f t="shared" si="193"/>
        <v>#DIV/0!</v>
      </c>
      <c r="BO71" s="4112"/>
      <c r="BP71" s="3341"/>
      <c r="BQ71" s="3341"/>
      <c r="BR71" s="3349">
        <f t="shared" si="194"/>
        <v>0</v>
      </c>
      <c r="BS71" s="4074" t="e">
        <f t="shared" si="195"/>
        <v>#DIV/0!</v>
      </c>
      <c r="BT71" s="4112"/>
      <c r="BU71" s="3341"/>
      <c r="BV71" s="3341"/>
      <c r="BW71" s="3349">
        <f t="shared" si="196"/>
        <v>0</v>
      </c>
      <c r="BX71" s="4074" t="e">
        <f t="shared" si="197"/>
        <v>#DIV/0!</v>
      </c>
      <c r="BY71" s="4112"/>
      <c r="BZ71" s="3341"/>
      <c r="CA71" s="3341"/>
      <c r="CB71" s="3349">
        <f t="shared" si="198"/>
        <v>0</v>
      </c>
      <c r="CC71" s="4074" t="e">
        <f t="shared" si="199"/>
        <v>#DIV/0!</v>
      </c>
      <c r="CD71" s="4112"/>
      <c r="CE71" s="3341"/>
      <c r="CF71" s="3341"/>
      <c r="CG71" s="3349">
        <f t="shared" si="200"/>
        <v>0</v>
      </c>
      <c r="CH71" s="4074" t="e">
        <f t="shared" si="201"/>
        <v>#DIV/0!</v>
      </c>
      <c r="CI71" s="4112"/>
      <c r="CJ71" s="3341">
        <f t="shared" si="202"/>
        <v>0</v>
      </c>
      <c r="CK71" s="3341">
        <f t="shared" si="202"/>
        <v>0</v>
      </c>
      <c r="CL71" s="2012">
        <f t="shared" si="203"/>
        <v>0</v>
      </c>
      <c r="CM71" s="4074">
        <f t="shared" si="168"/>
        <v>0</v>
      </c>
      <c r="CN71" s="4076"/>
      <c r="CP71" s="2012">
        <f t="shared" si="204"/>
        <v>0</v>
      </c>
      <c r="CQ71" s="2012">
        <f t="shared" si="204"/>
        <v>0</v>
      </c>
      <c r="CR71" s="4188"/>
      <c r="CT71" s="3443"/>
    </row>
    <row r="72" spans="1:98" s="1396" customFormat="1" ht="13.8" outlineLevel="2">
      <c r="A72" s="1571"/>
      <c r="B72" s="4123"/>
      <c r="C72" s="4080"/>
      <c r="D72" s="4080"/>
      <c r="E72" s="4115"/>
      <c r="F72" s="4074"/>
      <c r="G72" s="4112"/>
      <c r="H72" s="4080"/>
      <c r="I72" s="4080"/>
      <c r="J72" s="4115"/>
      <c r="K72" s="4074" t="e">
        <f t="shared" si="171"/>
        <v>#DIV/0!</v>
      </c>
      <c r="L72" s="4112"/>
      <c r="M72" s="4080"/>
      <c r="N72" s="4080"/>
      <c r="O72" s="4115"/>
      <c r="P72" s="4074" t="e">
        <f t="shared" si="173"/>
        <v>#DIV/0!</v>
      </c>
      <c r="Q72" s="4112"/>
      <c r="R72" s="4112"/>
      <c r="S72" s="4112"/>
      <c r="T72" s="4112"/>
      <c r="U72" s="4112"/>
      <c r="V72" s="4112"/>
      <c r="W72" s="4112"/>
      <c r="X72" s="4112"/>
      <c r="Y72" s="4112"/>
      <c r="Z72" s="4112"/>
      <c r="AA72" s="4112"/>
      <c r="AB72" s="4080"/>
      <c r="AC72" s="4080"/>
      <c r="AD72" s="4115"/>
      <c r="AE72" s="4074"/>
      <c r="AF72" s="4112"/>
      <c r="AG72" s="4080"/>
      <c r="AH72" s="4080"/>
      <c r="AI72" s="4115"/>
      <c r="AJ72" s="4074"/>
      <c r="AK72" s="4112"/>
      <c r="AL72" s="4080"/>
      <c r="AM72" s="4080"/>
      <c r="AN72" s="4115"/>
      <c r="AO72" s="4074"/>
      <c r="AP72" s="4112"/>
      <c r="AQ72" s="4080"/>
      <c r="AR72" s="4080"/>
      <c r="AS72" s="4115"/>
      <c r="AT72" s="4074"/>
      <c r="AU72" s="4112"/>
      <c r="AV72" s="4080"/>
      <c r="AW72" s="4080"/>
      <c r="AX72" s="4115"/>
      <c r="AY72" s="4074"/>
      <c r="AZ72" s="4112"/>
      <c r="BA72" s="4080"/>
      <c r="BB72" s="4080"/>
      <c r="BC72" s="4115"/>
      <c r="BD72" s="4074"/>
      <c r="BE72" s="4112"/>
      <c r="BF72" s="4080"/>
      <c r="BG72" s="4080"/>
      <c r="BH72" s="4115"/>
      <c r="BI72" s="4074"/>
      <c r="BJ72" s="4112"/>
      <c r="BK72" s="4080"/>
      <c r="BL72" s="4080"/>
      <c r="BM72" s="4115"/>
      <c r="BN72" s="4074"/>
      <c r="BO72" s="4112"/>
      <c r="BP72" s="4080"/>
      <c r="BQ72" s="4080"/>
      <c r="BR72" s="4115"/>
      <c r="BS72" s="4074"/>
      <c r="BT72" s="4112"/>
      <c r="BU72" s="4080"/>
      <c r="BV72" s="4080"/>
      <c r="BW72" s="4115"/>
      <c r="BX72" s="4074"/>
      <c r="BY72" s="4112"/>
      <c r="BZ72" s="4080"/>
      <c r="CA72" s="4080"/>
      <c r="CB72" s="4115"/>
      <c r="CC72" s="4074"/>
      <c r="CD72" s="4112"/>
      <c r="CE72" s="4080"/>
      <c r="CF72" s="4080"/>
      <c r="CG72" s="4115"/>
      <c r="CH72" s="4074"/>
      <c r="CI72" s="4112"/>
      <c r="CJ72" s="4080"/>
      <c r="CK72" s="4080"/>
      <c r="CL72" s="4115"/>
      <c r="CM72" s="4074">
        <f>CL72/$CL$89</f>
        <v>0</v>
      </c>
      <c r="CN72" s="4076"/>
      <c r="CP72" s="2030"/>
      <c r="CQ72" s="2030"/>
      <c r="CR72" s="4187"/>
      <c r="CT72" s="3443"/>
    </row>
    <row r="73" spans="1:98"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Y74</f>
        <v>0</v>
      </c>
      <c r="Z73" s="3738"/>
      <c r="AA73" s="3742"/>
      <c r="AB73" s="555">
        <f>AB74</f>
        <v>0</v>
      </c>
      <c r="AC73" s="3738">
        <f>AC74</f>
        <v>0</v>
      </c>
      <c r="AD73" s="3739">
        <f>AD74</f>
        <v>0</v>
      </c>
      <c r="AE73" s="3738"/>
      <c r="AF73" s="3741"/>
      <c r="AG73" s="555">
        <f>AG74</f>
        <v>0</v>
      </c>
      <c r="AH73" s="3738">
        <f>AH74</f>
        <v>0</v>
      </c>
      <c r="AI73" s="3739">
        <f>AI74</f>
        <v>0</v>
      </c>
      <c r="AJ73" s="3738"/>
      <c r="AK73" s="3741"/>
      <c r="AL73" s="555">
        <f>AL74</f>
        <v>0</v>
      </c>
      <c r="AM73" s="3738">
        <f>AM74</f>
        <v>0</v>
      </c>
      <c r="AN73" s="3739">
        <f>AN74</f>
        <v>0</v>
      </c>
      <c r="AO73" s="3738"/>
      <c r="AP73" s="3741"/>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4124">
        <f>CP74</f>
        <v>0</v>
      </c>
      <c r="CQ73" s="4124">
        <f>CQ74</f>
        <v>0</v>
      </c>
      <c r="CR73" s="4124"/>
      <c r="CT73" s="3443"/>
    </row>
    <row r="74" spans="1:98" s="1396" customFormat="1" ht="14.4" outlineLevel="1" thickBot="1">
      <c r="A74" s="1413"/>
      <c r="B74" s="1051" t="s">
        <v>64</v>
      </c>
      <c r="C74" s="3341"/>
      <c r="D74" s="3341"/>
      <c r="E74" s="3386">
        <f>C74+D74*1</f>
        <v>0</v>
      </c>
      <c r="F74" s="3386"/>
      <c r="G74" s="3468"/>
      <c r="H74" s="3341"/>
      <c r="I74" s="3341"/>
      <c r="J74" s="3386">
        <f>H74+I74*1</f>
        <v>0</v>
      </c>
      <c r="K74" s="4074" t="e">
        <f t="shared" ref="K74" si="205">J74/J$89</f>
        <v>#DIV/0!</v>
      </c>
      <c r="L74" s="3468"/>
      <c r="M74" s="3341"/>
      <c r="N74" s="3341"/>
      <c r="O74" s="3386">
        <f>M74+N74*1</f>
        <v>0</v>
      </c>
      <c r="P74" s="4074" t="e">
        <f t="shared" ref="P74" si="206">O74/O$89</f>
        <v>#DIV/0!</v>
      </c>
      <c r="Q74" s="3468"/>
      <c r="R74" s="3469"/>
      <c r="S74" s="3469"/>
      <c r="T74" s="3469"/>
      <c r="U74" s="3469"/>
      <c r="V74" s="3469"/>
      <c r="W74" s="3342">
        <f t="shared" ref="W74:X74" si="207">AB74+AG74+AL74+AV74+BA74+BF74+BK74+BP74+BU74+BZ74+CE74+AQ74</f>
        <v>0</v>
      </c>
      <c r="X74" s="3342">
        <f t="shared" si="207"/>
        <v>0</v>
      </c>
      <c r="Y74" s="3469"/>
      <c r="Z74" s="3469"/>
      <c r="AA74" s="3469"/>
      <c r="AB74" s="3341"/>
      <c r="AC74" s="3341"/>
      <c r="AD74" s="3386">
        <f>AB74+AC74*1</f>
        <v>0</v>
      </c>
      <c r="AE74" s="3386"/>
      <c r="AF74" s="3468"/>
      <c r="AG74" s="3341"/>
      <c r="AH74" s="3341"/>
      <c r="AI74" s="3386">
        <f>AG74+AH74*1</f>
        <v>0</v>
      </c>
      <c r="AJ74" s="3386"/>
      <c r="AK74" s="3468"/>
      <c r="AL74" s="3341"/>
      <c r="AM74" s="3341"/>
      <c r="AN74" s="3386">
        <f>AL74+AM74*1</f>
        <v>0</v>
      </c>
      <c r="AO74" s="3386"/>
      <c r="AP74" s="3468"/>
      <c r="AQ74" s="3341"/>
      <c r="AR74" s="3341"/>
      <c r="AS74" s="3386">
        <f>AQ74+AR74*1</f>
        <v>0</v>
      </c>
      <c r="AT74" s="3386"/>
      <c r="AU74" s="3468"/>
      <c r="AV74" s="3341"/>
      <c r="AW74" s="3341"/>
      <c r="AX74" s="3386">
        <f>AV74+AW74*1</f>
        <v>0</v>
      </c>
      <c r="AY74" s="3386"/>
      <c r="AZ74" s="3468"/>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C74+H74+M74</f>
        <v>0</v>
      </c>
      <c r="CK74" s="3341">
        <f>D74+I74+N74</f>
        <v>0</v>
      </c>
      <c r="CL74" s="3386">
        <f>CJ74+CK74*1</f>
        <v>0</v>
      </c>
      <c r="CM74" s="3386"/>
      <c r="CN74" s="3386"/>
      <c r="CP74" s="4125">
        <f>CN74+CO74*1</f>
        <v>0</v>
      </c>
      <c r="CQ74" s="4125">
        <f>CO74+CP74*1</f>
        <v>0</v>
      </c>
      <c r="CR74" s="4125"/>
      <c r="CT74" s="3443"/>
    </row>
    <row r="75" spans="1:98"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0</v>
      </c>
      <c r="O75" s="1508">
        <f>O38-O41-O50-O54</f>
        <v>0</v>
      </c>
      <c r="P75" s="1953"/>
      <c r="Q75" s="1058"/>
      <c r="R75" s="1450">
        <f>R38-R41-R50-R54</f>
        <v>0</v>
      </c>
      <c r="S75" s="1450">
        <f>S38-S41-S50-S54</f>
        <v>0</v>
      </c>
      <c r="T75" s="1508">
        <f>T38-T41-T50-T54</f>
        <v>0</v>
      </c>
      <c r="U75" s="3470"/>
      <c r="V75" s="3470"/>
      <c r="W75" s="1450">
        <f>W38-W41-W50-W54</f>
        <v>32671.73</v>
      </c>
      <c r="X75" s="1450">
        <f>X38-X41-X50-X54</f>
        <v>-9192</v>
      </c>
      <c r="Y75" s="1508">
        <f>Y38-Y41-Y50-Y54</f>
        <v>23479.73</v>
      </c>
      <c r="Z75" s="3470"/>
      <c r="AA75" s="3470"/>
      <c r="AB75" s="1450">
        <f>AB38-AB41-AB50-AB54</f>
        <v>-22328.27</v>
      </c>
      <c r="AC75" s="1450">
        <f>AC38-AC41-AC50-AC54</f>
        <v>-9192</v>
      </c>
      <c r="AD75" s="1508">
        <f>AD38-AD41-AD50-AD54</f>
        <v>-31520.27</v>
      </c>
      <c r="AE75" s="1953"/>
      <c r="AF75" s="1058"/>
      <c r="AG75" s="1450">
        <f>AG38-AG41-AG50-AG54</f>
        <v>0</v>
      </c>
      <c r="AH75" s="1450">
        <f>AH38-AH41-AH50-AH54</f>
        <v>0</v>
      </c>
      <c r="AI75" s="1508">
        <f>AI38-AI41-AI50-AI54</f>
        <v>0</v>
      </c>
      <c r="AJ75" s="1953"/>
      <c r="AK75" s="1058"/>
      <c r="AL75" s="1450">
        <f>AL38-AL41-AL50-AL54</f>
        <v>55000</v>
      </c>
      <c r="AM75" s="1450">
        <f>AM38-AM41-AM50-AM54</f>
        <v>0</v>
      </c>
      <c r="AN75" s="1508">
        <f>AN38-AN41-AN50-AN54</f>
        <v>55000</v>
      </c>
      <c r="AO75" s="1953"/>
      <c r="AP75" s="1058"/>
      <c r="AQ75" s="1450">
        <f>AQ38-AQ41-AQ50-AQ54</f>
        <v>0</v>
      </c>
      <c r="AR75" s="1450">
        <f>AR38-AR41-AR50-AR54</f>
        <v>0</v>
      </c>
      <c r="AS75" s="1508">
        <f>AS38-AS41-AS50-AS54</f>
        <v>0</v>
      </c>
      <c r="AT75" s="1953"/>
      <c r="AU75" s="1058"/>
      <c r="AV75" s="1450">
        <f>AV38-AV41-AV50-AV54</f>
        <v>0</v>
      </c>
      <c r="AW75" s="1450">
        <f>AW38-AW41-AW50-AW54</f>
        <v>0</v>
      </c>
      <c r="AX75" s="1508">
        <f>AX38-AX41-AX50-AX54</f>
        <v>0</v>
      </c>
      <c r="AY75" s="1953"/>
      <c r="AZ75" s="1058"/>
      <c r="BA75" s="1450">
        <f>BA38-BA41-BA50-BA54</f>
        <v>0</v>
      </c>
      <c r="BB75" s="1450">
        <f>BB38-BB41-BB50-BB54</f>
        <v>0</v>
      </c>
      <c r="BC75" s="1508">
        <f>BC38-BC41-BC50-BC54</f>
        <v>0</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32671.73</v>
      </c>
      <c r="CK75" s="1450">
        <f>CK38-CK41-CK50-CK54</f>
        <v>-9192</v>
      </c>
      <c r="CL75" s="1508">
        <f>CL38-CL41-CL50-CL54</f>
        <v>23479.73</v>
      </c>
      <c r="CM75" s="1953"/>
      <c r="CN75" s="1953"/>
      <c r="CP75" s="3471">
        <f>CP38-CP41-CP50-CP54</f>
        <v>12958.3</v>
      </c>
      <c r="CQ75" s="3471">
        <f>CQ38-CQ41-CQ50-CQ54</f>
        <v>23479.73</v>
      </c>
      <c r="CR75" s="3471">
        <f>CR38-CR41-CR50-CR54</f>
        <v>-10521.43</v>
      </c>
      <c r="CT75" s="3443"/>
    </row>
    <row r="76" spans="1:98"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2003">
        <f>IFERROR(AB75/AB5,0)</f>
        <v>0</v>
      </c>
      <c r="AC76" s="2003">
        <f>IFERROR(AC75/AC5,0)</f>
        <v>0</v>
      </c>
      <c r="AD76" s="2004">
        <f>IFERROR(AD75/AD5,0)</f>
        <v>0</v>
      </c>
      <c r="AE76" s="2004"/>
      <c r="AF76" s="1056"/>
      <c r="AG76" s="2003">
        <f>IFERROR(AG75/AG5,0)</f>
        <v>0</v>
      </c>
      <c r="AH76" s="2003">
        <f>IFERROR(AH75/AH5,0)</f>
        <v>0</v>
      </c>
      <c r="AI76" s="2004">
        <f>IFERROR(AI75/AI5,0)</f>
        <v>0</v>
      </c>
      <c r="AJ76" s="2004"/>
      <c r="AK76" s="1056"/>
      <c r="AL76" s="2003">
        <f>IFERROR(AL75/AL5,0)</f>
        <v>1</v>
      </c>
      <c r="AM76" s="2003">
        <f>IFERROR(AM75/AM5,0)</f>
        <v>0</v>
      </c>
      <c r="AN76" s="2004">
        <f>IFERROR(AN75/AN5,0)</f>
        <v>1</v>
      </c>
      <c r="AO76" s="2004"/>
      <c r="AP76" s="1056"/>
      <c r="AQ76" s="2003">
        <f>IFERROR(AQ75/AQ5,0)</f>
        <v>0</v>
      </c>
      <c r="AR76" s="2003">
        <f>IFERROR(AR75/AR5,0)</f>
        <v>0</v>
      </c>
      <c r="AS76" s="2004">
        <f>IFERROR(AS75/AS5,0)</f>
        <v>0</v>
      </c>
      <c r="AT76" s="2004"/>
      <c r="AU76" s="1056"/>
      <c r="AV76" s="2003">
        <f>IFERROR(AV75/AV5,0)</f>
        <v>0</v>
      </c>
      <c r="AW76" s="2003">
        <f>IFERROR(AW75/AW5,0)</f>
        <v>0</v>
      </c>
      <c r="AX76" s="2004">
        <f>IFERROR(AX75/AX5,0)</f>
        <v>0</v>
      </c>
      <c r="AY76" s="2004"/>
      <c r="AZ76" s="1056"/>
      <c r="BA76" s="2003">
        <f>IFERROR(BA75/BA5,0)</f>
        <v>0</v>
      </c>
      <c r="BB76" s="2003">
        <f>IFERROR(BB75/BB5,0)</f>
        <v>0</v>
      </c>
      <c r="BC76" s="2004">
        <f>IFERROR(BC75/BC5,0)</f>
        <v>0</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0.59403145454545458</v>
      </c>
      <c r="CK76" s="2003">
        <f>IFERROR(CK75/CK5,0)</f>
        <v>0</v>
      </c>
      <c r="CL76" s="2004">
        <f>IFERROR(CL75/CL5,0)</f>
        <v>0.42690418181818179</v>
      </c>
      <c r="CM76" s="2004"/>
      <c r="CN76" s="2004"/>
      <c r="CP76" s="2004">
        <f>CP75/CP5</f>
        <v>0.28643457117595045</v>
      </c>
      <c r="CQ76" s="2004">
        <f>IFERROR(CQ75/CQ5,0)</f>
        <v>0.42690418181818179</v>
      </c>
      <c r="CR76" s="2004">
        <f>CR75/CR5</f>
        <v>1.078015368852459</v>
      </c>
      <c r="CT76" s="3443"/>
    </row>
    <row r="77" spans="1:98" s="1396" customFormat="1" ht="14.4" outlineLevel="1" thickBot="1">
      <c r="A77" s="1566"/>
      <c r="B77" s="4126" t="s">
        <v>9</v>
      </c>
      <c r="C77" s="4127">
        <f>C78-C79</f>
        <v>0</v>
      </c>
      <c r="D77" s="4127">
        <f>D78-D79</f>
        <v>0</v>
      </c>
      <c r="E77" s="4128">
        <f>E78-E79</f>
        <v>0</v>
      </c>
      <c r="F77" s="4129"/>
      <c r="G77" s="4130"/>
      <c r="H77" s="4127">
        <f>H78-H79</f>
        <v>0</v>
      </c>
      <c r="I77" s="4127">
        <f>I78-I79</f>
        <v>0</v>
      </c>
      <c r="J77" s="4128">
        <f>J78-J79</f>
        <v>0</v>
      </c>
      <c r="K77" s="4129"/>
      <c r="L77" s="4130"/>
      <c r="M77" s="4127">
        <f>M78-M79</f>
        <v>0</v>
      </c>
      <c r="N77" s="4127">
        <f>N78-N79</f>
        <v>0</v>
      </c>
      <c r="O77" s="4128">
        <f>O78-O79</f>
        <v>0</v>
      </c>
      <c r="P77" s="4129"/>
      <c r="Q77" s="4130"/>
      <c r="R77" s="4127">
        <f>R78-R79</f>
        <v>0</v>
      </c>
      <c r="S77" s="4127">
        <f>S78-S79</f>
        <v>0</v>
      </c>
      <c r="T77" s="4128">
        <f>T78-T79</f>
        <v>0</v>
      </c>
      <c r="U77" s="4131"/>
      <c r="V77" s="4131"/>
      <c r="W77" s="4127">
        <f>W78-W79</f>
        <v>-1496.3728504286298</v>
      </c>
      <c r="X77" s="4127">
        <f>X78-X79</f>
        <v>0</v>
      </c>
      <c r="Y77" s="4128">
        <f>Y78-Y79</f>
        <v>-1496.3728504286298</v>
      </c>
      <c r="Z77" s="4131"/>
      <c r="AA77" s="4131"/>
      <c r="AB77" s="4127">
        <f>AB78-AB79</f>
        <v>-1496.3728504286298</v>
      </c>
      <c r="AC77" s="4127">
        <f>AC78-AC79</f>
        <v>0</v>
      </c>
      <c r="AD77" s="4128">
        <f>AD78-AD79</f>
        <v>-1496.3728504286298</v>
      </c>
      <c r="AE77" s="4129"/>
      <c r="AF77" s="4130"/>
      <c r="AG77" s="4127">
        <f>AG78-AG79</f>
        <v>0</v>
      </c>
      <c r="AH77" s="4127">
        <f>AH78-AH79</f>
        <v>0</v>
      </c>
      <c r="AI77" s="4128">
        <f>AI78-AI79</f>
        <v>0</v>
      </c>
      <c r="AJ77" s="4129"/>
      <c r="AK77" s="4130"/>
      <c r="AL77" s="4127">
        <f>AL78-AL79</f>
        <v>0</v>
      </c>
      <c r="AM77" s="4127">
        <f>AM78-AM79</f>
        <v>0</v>
      </c>
      <c r="AN77" s="4128">
        <f>AN78-AN79</f>
        <v>0</v>
      </c>
      <c r="AO77" s="4129"/>
      <c r="AP77" s="4130"/>
      <c r="AQ77" s="4127">
        <f>AQ78-AQ79</f>
        <v>0</v>
      </c>
      <c r="AR77" s="4127">
        <f>AR78-AR79</f>
        <v>0</v>
      </c>
      <c r="AS77" s="4128">
        <f>AS78-AS79</f>
        <v>0</v>
      </c>
      <c r="AT77" s="4129"/>
      <c r="AU77" s="4130"/>
      <c r="AV77" s="4127">
        <f>AV78-AV79</f>
        <v>0</v>
      </c>
      <c r="AW77" s="4127">
        <f>AW78-AW79</f>
        <v>0</v>
      </c>
      <c r="AX77" s="4128">
        <f>AX78-AX79</f>
        <v>0</v>
      </c>
      <c r="AY77" s="4129"/>
      <c r="AZ77" s="4130"/>
      <c r="BA77" s="4127">
        <f>BA78-BA79</f>
        <v>0</v>
      </c>
      <c r="BB77" s="4127">
        <f>BB78-BB79</f>
        <v>0</v>
      </c>
      <c r="BC77" s="4128">
        <f>BC78-BC79</f>
        <v>0</v>
      </c>
      <c r="BD77" s="4129"/>
      <c r="BE77" s="4130"/>
      <c r="BF77" s="4127">
        <f>BF78-BF79</f>
        <v>0</v>
      </c>
      <c r="BG77" s="4127">
        <f>BG78-BG79</f>
        <v>0</v>
      </c>
      <c r="BH77" s="4128">
        <f>BH78-BH79</f>
        <v>0</v>
      </c>
      <c r="BI77" s="4129"/>
      <c r="BJ77" s="4130"/>
      <c r="BK77" s="4127">
        <f>BK78-BK79</f>
        <v>0</v>
      </c>
      <c r="BL77" s="4127">
        <f>BL78-BL79</f>
        <v>0</v>
      </c>
      <c r="BM77" s="4128">
        <f>BM78-BM79</f>
        <v>0</v>
      </c>
      <c r="BN77" s="4129"/>
      <c r="BO77" s="4130"/>
      <c r="BP77" s="4127">
        <f>BP78-BP79</f>
        <v>0</v>
      </c>
      <c r="BQ77" s="4127">
        <f>BQ78-BQ79</f>
        <v>0</v>
      </c>
      <c r="BR77" s="4128">
        <f>BR78-BR79</f>
        <v>0</v>
      </c>
      <c r="BS77" s="4129"/>
      <c r="BT77" s="4130"/>
      <c r="BU77" s="4127">
        <f>BU78-BU79</f>
        <v>0</v>
      </c>
      <c r="BV77" s="4127">
        <f>BV78-BV79</f>
        <v>0</v>
      </c>
      <c r="BW77" s="4128">
        <f>BW78-BW79</f>
        <v>0</v>
      </c>
      <c r="BX77" s="4129"/>
      <c r="BY77" s="4130"/>
      <c r="BZ77" s="4127">
        <f>BZ78-BZ79</f>
        <v>0</v>
      </c>
      <c r="CA77" s="4127">
        <f>CA78-CA79</f>
        <v>0</v>
      </c>
      <c r="CB77" s="4128">
        <f>CB78-CB79</f>
        <v>0</v>
      </c>
      <c r="CC77" s="4129"/>
      <c r="CD77" s="4130"/>
      <c r="CE77" s="4127">
        <f>CE78-CE79</f>
        <v>0</v>
      </c>
      <c r="CF77" s="4127">
        <f>CF78-CF79</f>
        <v>0</v>
      </c>
      <c r="CG77" s="4128">
        <f>CG78-CG79</f>
        <v>0</v>
      </c>
      <c r="CH77" s="4129"/>
      <c r="CI77" s="4130"/>
      <c r="CJ77" s="4127">
        <f>CJ78-CJ79</f>
        <v>-1496.3728504286298</v>
      </c>
      <c r="CK77" s="4127">
        <f>CK78-CK79</f>
        <v>0</v>
      </c>
      <c r="CL77" s="4128">
        <f>CL78-CL79</f>
        <v>-1496.3728504286298</v>
      </c>
      <c r="CM77" s="4129"/>
      <c r="CN77" s="4129"/>
      <c r="CP77" s="4128">
        <f>CP78-CP79</f>
        <v>0</v>
      </c>
      <c r="CQ77" s="4128">
        <f>CQ78-CQ79</f>
        <v>-1496.3728504286298</v>
      </c>
      <c r="CR77" s="4128"/>
      <c r="CT77" s="3443"/>
    </row>
    <row r="78" spans="1:98" s="1396" customFormat="1" ht="13.8" outlineLevel="2">
      <c r="A78" s="1405"/>
      <c r="B78" s="1400" t="s">
        <v>43</v>
      </c>
      <c r="C78" s="3341"/>
      <c r="D78" s="3341"/>
      <c r="E78" s="3391">
        <f>C78+D78*1.15</f>
        <v>0</v>
      </c>
      <c r="F78" s="3391"/>
      <c r="G78" s="3473"/>
      <c r="H78" s="3341"/>
      <c r="I78" s="3341"/>
      <c r="J78" s="3391">
        <f>H78+I78*1.15</f>
        <v>0</v>
      </c>
      <c r="K78" s="4074" t="e">
        <f t="shared" ref="K78:K79" si="208">J78/J$89</f>
        <v>#DIV/0!</v>
      </c>
      <c r="L78" s="3473"/>
      <c r="M78" s="3341"/>
      <c r="N78" s="3341"/>
      <c r="O78" s="3391">
        <f>M78+N78*1.15</f>
        <v>0</v>
      </c>
      <c r="P78" s="4074" t="e">
        <f t="shared" ref="P78:P79" si="209">O78/O$89</f>
        <v>#DIV/0!</v>
      </c>
      <c r="Q78" s="3473"/>
      <c r="R78" s="3342">
        <f t="shared" ref="R78:S79" si="210">M78+H78+C78</f>
        <v>0</v>
      </c>
      <c r="S78" s="3342">
        <f t="shared" si="210"/>
        <v>0</v>
      </c>
      <c r="T78" s="2012">
        <f t="shared" ref="T78:T79" si="211">R78+S78</f>
        <v>0</v>
      </c>
      <c r="U78" s="3474"/>
      <c r="V78" s="3474"/>
      <c r="W78" s="3342">
        <f t="shared" ref="W78:X79" si="212">AB78+AG78+AL78+AV78+BA78+BF78+BK78+BP78+BU78+BZ78+CE78+AQ78</f>
        <v>0</v>
      </c>
      <c r="X78" s="3342">
        <f t="shared" si="212"/>
        <v>0</v>
      </c>
      <c r="Y78" s="2012">
        <f t="shared" ref="Y78:Y79" si="213">W78+X78</f>
        <v>0</v>
      </c>
      <c r="Z78" s="3474"/>
      <c r="AA78" s="3474"/>
      <c r="AB78" s="3341"/>
      <c r="AC78" s="3341"/>
      <c r="AD78" s="3391">
        <f>AB78+AC78*1.15</f>
        <v>0</v>
      </c>
      <c r="AE78" s="3391"/>
      <c r="AF78" s="3473"/>
      <c r="AG78" s="3341"/>
      <c r="AH78" s="3341"/>
      <c r="AI78" s="3391">
        <f>AG78+AH78*1.15</f>
        <v>0</v>
      </c>
      <c r="AJ78" s="3391"/>
      <c r="AK78" s="3473"/>
      <c r="AL78" s="3341"/>
      <c r="AM78" s="3341"/>
      <c r="AN78" s="3391">
        <f>AL78+AM78*1.15</f>
        <v>0</v>
      </c>
      <c r="AO78" s="3391"/>
      <c r="AP78" s="3473"/>
      <c r="AQ78" s="3341"/>
      <c r="AR78" s="3341"/>
      <c r="AS78" s="3391">
        <f>AQ78+AR78*1.15</f>
        <v>0</v>
      </c>
      <c r="AT78" s="3391"/>
      <c r="AU78" s="3473"/>
      <c r="AV78" s="3341"/>
      <c r="AW78" s="3341"/>
      <c r="AX78" s="3391">
        <f>AV78+AW78*1.15</f>
        <v>0</v>
      </c>
      <c r="AY78" s="3391"/>
      <c r="AZ78" s="3473"/>
      <c r="BA78" s="3341"/>
      <c r="BB78" s="3341"/>
      <c r="BC78" s="3391">
        <f>BA78+BB78*1.15</f>
        <v>0</v>
      </c>
      <c r="BD78" s="3391"/>
      <c r="BE78" s="3473"/>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14">C78+H78+M78+W78</f>
        <v>0</v>
      </c>
      <c r="CK78" s="3341">
        <f t="shared" si="214"/>
        <v>0</v>
      </c>
      <c r="CL78" s="3391">
        <f>CJ78+CK78*1</f>
        <v>0</v>
      </c>
      <c r="CM78" s="3391"/>
      <c r="CN78" s="3391"/>
      <c r="CP78" s="3475">
        <f>CN78+CO78*1.15</f>
        <v>0</v>
      </c>
      <c r="CQ78" s="3475">
        <f>CO78+CP78*1.15</f>
        <v>0</v>
      </c>
      <c r="CR78" s="4188"/>
      <c r="CT78" s="3443"/>
    </row>
    <row r="79" spans="1:98" s="1396" customFormat="1" ht="13.8" outlineLevel="2">
      <c r="A79" s="1405"/>
      <c r="B79" s="4132" t="s">
        <v>79</v>
      </c>
      <c r="C79" s="3341">
        <v>0</v>
      </c>
      <c r="D79" s="3341"/>
      <c r="E79" s="2012">
        <f>C79+D79</f>
        <v>0</v>
      </c>
      <c r="F79" s="4100"/>
      <c r="G79" s="4099"/>
      <c r="H79" s="3341">
        <v>0</v>
      </c>
      <c r="I79" s="3341"/>
      <c r="J79" s="2012">
        <f>H79+I79</f>
        <v>0</v>
      </c>
      <c r="K79" s="4074" t="e">
        <f t="shared" si="208"/>
        <v>#DIV/0!</v>
      </c>
      <c r="L79" s="4099"/>
      <c r="M79" s="3341">
        <v>0</v>
      </c>
      <c r="N79" s="3341"/>
      <c r="O79" s="2012">
        <f>M79+N79</f>
        <v>0</v>
      </c>
      <c r="P79" s="4074" t="e">
        <f t="shared" si="209"/>
        <v>#DIV/0!</v>
      </c>
      <c r="Q79" s="4099"/>
      <c r="R79" s="3342">
        <f t="shared" si="210"/>
        <v>0</v>
      </c>
      <c r="S79" s="3342">
        <f t="shared" si="210"/>
        <v>0</v>
      </c>
      <c r="T79" s="2012">
        <f t="shared" si="211"/>
        <v>0</v>
      </c>
      <c r="U79" s="3455"/>
      <c r="V79" s="3455"/>
      <c r="W79" s="3342">
        <f t="shared" si="212"/>
        <v>1496.3728504286298</v>
      </c>
      <c r="X79" s="3342">
        <f t="shared" si="212"/>
        <v>0</v>
      </c>
      <c r="Y79" s="2012">
        <f t="shared" si="213"/>
        <v>1496.3728504286298</v>
      </c>
      <c r="Z79" s="3455"/>
      <c r="AA79" s="3455"/>
      <c r="AB79" s="3341">
        <v>1496.3728504286298</v>
      </c>
      <c r="AC79" s="3341"/>
      <c r="AD79" s="2012">
        <f>AB79+AC79</f>
        <v>1496.3728504286298</v>
      </c>
      <c r="AE79" s="4100"/>
      <c r="AF79" s="4099"/>
      <c r="AG79" s="3341">
        <v>0</v>
      </c>
      <c r="AH79" s="3341"/>
      <c r="AI79" s="2012">
        <f>AG79+AH79</f>
        <v>0</v>
      </c>
      <c r="AJ79" s="4100"/>
      <c r="AK79" s="4099"/>
      <c r="AL79" s="3341">
        <v>0</v>
      </c>
      <c r="AM79" s="3341"/>
      <c r="AN79" s="2012">
        <f>AL79+AM79</f>
        <v>0</v>
      </c>
      <c r="AO79" s="4100"/>
      <c r="AP79" s="4099"/>
      <c r="AQ79" s="3341">
        <v>0</v>
      </c>
      <c r="AR79" s="3341"/>
      <c r="AS79" s="2012">
        <f>AQ79+AR79</f>
        <v>0</v>
      </c>
      <c r="AT79" s="4100"/>
      <c r="AU79" s="4099"/>
      <c r="AV79" s="3341">
        <v>0</v>
      </c>
      <c r="AW79" s="3341"/>
      <c r="AX79" s="2012">
        <f>AV79+AW79</f>
        <v>0</v>
      </c>
      <c r="AY79" s="4100"/>
      <c r="AZ79" s="4099"/>
      <c r="BA79" s="3341">
        <v>0</v>
      </c>
      <c r="BB79" s="3341"/>
      <c r="BC79" s="2012">
        <f>BA79+BB79</f>
        <v>0</v>
      </c>
      <c r="BD79" s="4100"/>
      <c r="BE79" s="4099"/>
      <c r="BF79" s="3341">
        <v>0</v>
      </c>
      <c r="BG79" s="3341"/>
      <c r="BH79" s="2012">
        <f>BF79+BG79</f>
        <v>0</v>
      </c>
      <c r="BI79" s="4100"/>
      <c r="BJ79" s="4099"/>
      <c r="BK79" s="3341"/>
      <c r="BL79" s="3341"/>
      <c r="BM79" s="2012">
        <f>BK79+BL79</f>
        <v>0</v>
      </c>
      <c r="BN79" s="4100"/>
      <c r="BO79" s="4099"/>
      <c r="BP79" s="3341">
        <v>0</v>
      </c>
      <c r="BQ79" s="3341"/>
      <c r="BR79" s="2012">
        <f>BP79+BQ79</f>
        <v>0</v>
      </c>
      <c r="BS79" s="4100"/>
      <c r="BT79" s="4099"/>
      <c r="BU79" s="3341">
        <v>0</v>
      </c>
      <c r="BV79" s="3341"/>
      <c r="BW79" s="2012">
        <f>BU79+BV79</f>
        <v>0</v>
      </c>
      <c r="BX79" s="4100"/>
      <c r="BY79" s="4099"/>
      <c r="BZ79" s="3341">
        <v>0</v>
      </c>
      <c r="CA79" s="3341"/>
      <c r="CB79" s="2012">
        <f>BZ79+CA79</f>
        <v>0</v>
      </c>
      <c r="CC79" s="4100"/>
      <c r="CD79" s="4099"/>
      <c r="CE79" s="3341">
        <v>0</v>
      </c>
      <c r="CF79" s="3341"/>
      <c r="CG79" s="2012">
        <f>CE79+CF79</f>
        <v>0</v>
      </c>
      <c r="CH79" s="4100"/>
      <c r="CI79" s="4099"/>
      <c r="CJ79" s="3341">
        <f t="shared" si="214"/>
        <v>1496.3728504286298</v>
      </c>
      <c r="CK79" s="3341">
        <f t="shared" si="214"/>
        <v>0</v>
      </c>
      <c r="CL79" s="2012">
        <f t="shared" ref="CL79" si="215">CJ79+CK79*1</f>
        <v>1496.3728504286298</v>
      </c>
      <c r="CM79" s="4100"/>
      <c r="CN79" s="4100"/>
      <c r="CP79" s="2012">
        <f t="shared" ref="CP79" si="216">CN79+CO79*1</f>
        <v>0</v>
      </c>
      <c r="CQ79" s="2012">
        <f>CJ79</f>
        <v>1496.3728504286298</v>
      </c>
      <c r="CR79" s="4188">
        <f t="shared" ref="CR79" si="217">CP79-CQ79</f>
        <v>-1496.3728504286298</v>
      </c>
      <c r="CT79" s="3443"/>
    </row>
    <row r="80" spans="1:98" ht="13.8" outlineLevel="2">
      <c r="A80" s="1397"/>
      <c r="B80" s="4123"/>
      <c r="C80" s="3341"/>
      <c r="D80" s="3341"/>
      <c r="E80" s="4133"/>
      <c r="F80" s="4133"/>
      <c r="G80" s="4134"/>
      <c r="H80" s="3341"/>
      <c r="I80" s="3341"/>
      <c r="J80" s="4133"/>
      <c r="K80" s="4133"/>
      <c r="L80" s="4134"/>
      <c r="M80" s="3341"/>
      <c r="N80" s="3341"/>
      <c r="O80" s="4133"/>
      <c r="P80" s="4133"/>
      <c r="Q80" s="4134"/>
      <c r="R80" s="3448"/>
      <c r="S80" s="3448"/>
      <c r="T80" s="3448"/>
      <c r="U80" s="3448"/>
      <c r="V80" s="3448"/>
      <c r="W80" s="3448"/>
      <c r="X80" s="3448"/>
      <c r="Y80" s="3448"/>
      <c r="Z80" s="3448"/>
      <c r="AA80" s="3448"/>
      <c r="AB80" s="3341"/>
      <c r="AC80" s="3341"/>
      <c r="AD80" s="4133"/>
      <c r="AE80" s="4133"/>
      <c r="AF80" s="4134"/>
      <c r="AG80" s="3341"/>
      <c r="AH80" s="3341"/>
      <c r="AI80" s="4133"/>
      <c r="AJ80" s="4133"/>
      <c r="AK80" s="4134"/>
      <c r="AL80" s="3341"/>
      <c r="AM80" s="3341"/>
      <c r="AN80" s="4133"/>
      <c r="AO80" s="4133"/>
      <c r="AP80" s="4134"/>
      <c r="AQ80" s="3341"/>
      <c r="AR80" s="3341"/>
      <c r="AS80" s="4133"/>
      <c r="AT80" s="4133"/>
      <c r="AU80" s="4134"/>
      <c r="AV80" s="3341"/>
      <c r="AW80" s="3341"/>
      <c r="AX80" s="4133"/>
      <c r="AY80" s="4133"/>
      <c r="AZ80" s="4134"/>
      <c r="BA80" s="3341"/>
      <c r="BB80" s="3341"/>
      <c r="BC80" s="4133"/>
      <c r="BD80" s="4133"/>
      <c r="BE80" s="4134"/>
      <c r="BF80" s="3341"/>
      <c r="BG80" s="3341"/>
      <c r="BH80" s="4133"/>
      <c r="BI80" s="4133"/>
      <c r="BJ80" s="4134"/>
      <c r="BK80" s="3341"/>
      <c r="BL80" s="3341"/>
      <c r="BM80" s="4133"/>
      <c r="BN80" s="4133"/>
      <c r="BO80" s="4134"/>
      <c r="BP80" s="3341"/>
      <c r="BQ80" s="3341"/>
      <c r="BR80" s="4133"/>
      <c r="BS80" s="4133"/>
      <c r="BT80" s="4134"/>
      <c r="BU80" s="3341"/>
      <c r="BV80" s="3341"/>
      <c r="BW80" s="4133"/>
      <c r="BX80" s="4133"/>
      <c r="BY80" s="4134"/>
      <c r="BZ80" s="3341"/>
      <c r="CA80" s="3341"/>
      <c r="CB80" s="4133"/>
      <c r="CC80" s="4133"/>
      <c r="CD80" s="4134"/>
      <c r="CE80" s="3341"/>
      <c r="CF80" s="3341"/>
      <c r="CG80" s="4133"/>
      <c r="CH80" s="4133"/>
      <c r="CI80" s="4134"/>
      <c r="CJ80" s="3341">
        <f>C80+H80+M80</f>
        <v>0</v>
      </c>
      <c r="CK80" s="3341">
        <f>D80+I80+N80</f>
        <v>0</v>
      </c>
      <c r="CL80" s="4133"/>
      <c r="CM80" s="4133"/>
      <c r="CN80" s="4133"/>
      <c r="CP80" s="4135"/>
      <c r="CQ80" s="4135"/>
      <c r="CR80" s="4188"/>
    </row>
    <row r="81" spans="1:101" s="1396" customFormat="1" ht="14.4" outlineLevel="1" thickBot="1">
      <c r="A81" s="1419"/>
      <c r="B81" s="4126" t="s">
        <v>12</v>
      </c>
      <c r="C81" s="4127">
        <f>(C75+C78)-C79</f>
        <v>0</v>
      </c>
      <c r="D81" s="4127">
        <f>(D75+D78)-D79</f>
        <v>0</v>
      </c>
      <c r="E81" s="4128">
        <f>(E75+E78)-E79</f>
        <v>0</v>
      </c>
      <c r="F81" s="4129"/>
      <c r="G81" s="4130"/>
      <c r="H81" s="4127">
        <f>(H75+H78)-H79</f>
        <v>0</v>
      </c>
      <c r="I81" s="4127">
        <f>(I75+I78)-I79</f>
        <v>0</v>
      </c>
      <c r="J81" s="4128">
        <f>(J75+J78)-J79</f>
        <v>0</v>
      </c>
      <c r="K81" s="4129"/>
      <c r="L81" s="4130"/>
      <c r="M81" s="4127">
        <f>(M75+M78)-M79</f>
        <v>0</v>
      </c>
      <c r="N81" s="4127">
        <f>(N75+N78)-N79</f>
        <v>0</v>
      </c>
      <c r="O81" s="4128">
        <f>(O75+O78)-O79</f>
        <v>0</v>
      </c>
      <c r="P81" s="4129"/>
      <c r="Q81" s="4130"/>
      <c r="R81" s="4127">
        <f>(R75+R78)-R79</f>
        <v>0</v>
      </c>
      <c r="S81" s="4127">
        <f>(S75+S78)-S79</f>
        <v>0</v>
      </c>
      <c r="T81" s="4128">
        <f>(T75+T78)-T79</f>
        <v>0</v>
      </c>
      <c r="U81" s="4131"/>
      <c r="V81" s="4131"/>
      <c r="W81" s="4127">
        <f>(W75+W78)-W79</f>
        <v>31175.35714957137</v>
      </c>
      <c r="X81" s="4127">
        <f>(X75+X78)-X79</f>
        <v>-9192</v>
      </c>
      <c r="Y81" s="4128">
        <f>(Y75+Y78)-Y79</f>
        <v>21983.35714957137</v>
      </c>
      <c r="Z81" s="4131"/>
      <c r="AA81" s="4131"/>
      <c r="AB81" s="4127">
        <f>(AB75+AB78)-AB79</f>
        <v>-23824.64285042863</v>
      </c>
      <c r="AC81" s="4127">
        <f>(AC75+AC78)-AC79</f>
        <v>-9192</v>
      </c>
      <c r="AD81" s="4128">
        <f>(AD75+AD78)-AD79</f>
        <v>-33016.64285042863</v>
      </c>
      <c r="AE81" s="4129"/>
      <c r="AF81" s="4130"/>
      <c r="AG81" s="4127">
        <f>(AG75+AG78)-AG79</f>
        <v>0</v>
      </c>
      <c r="AH81" s="4127">
        <f>(AH75+AH78)-AH79</f>
        <v>0</v>
      </c>
      <c r="AI81" s="4128">
        <f>(AI75+AI78)-AI79</f>
        <v>0</v>
      </c>
      <c r="AJ81" s="4129"/>
      <c r="AK81" s="4130"/>
      <c r="AL81" s="4127">
        <f>(AL75+AL78)-AL79</f>
        <v>55000</v>
      </c>
      <c r="AM81" s="4127">
        <f>(AM75+AM78)-AM79</f>
        <v>0</v>
      </c>
      <c r="AN81" s="4128">
        <f>(AN75+AN78)-AN79</f>
        <v>55000</v>
      </c>
      <c r="AO81" s="4129"/>
      <c r="AP81" s="4130"/>
      <c r="AQ81" s="4127">
        <f>(AQ75+AQ78)-AQ79</f>
        <v>0</v>
      </c>
      <c r="AR81" s="4127">
        <f>(AR75+AR78)-AR79</f>
        <v>0</v>
      </c>
      <c r="AS81" s="4128">
        <f>(AS75+AS78)-AS79</f>
        <v>0</v>
      </c>
      <c r="AT81" s="4129"/>
      <c r="AU81" s="4130"/>
      <c r="AV81" s="4127">
        <f>(AV75+AV78)-AV79</f>
        <v>0</v>
      </c>
      <c r="AW81" s="4127">
        <f>(AW75+AW78)-AW79</f>
        <v>0</v>
      </c>
      <c r="AX81" s="4128">
        <f>(AX75+AX78)-AX79</f>
        <v>0</v>
      </c>
      <c r="AY81" s="4129"/>
      <c r="AZ81" s="4130"/>
      <c r="BA81" s="4127">
        <f>(BA75+BA78)-BA79</f>
        <v>0</v>
      </c>
      <c r="BB81" s="4127">
        <f>(BB75+BB78)-BB79</f>
        <v>0</v>
      </c>
      <c r="BC81" s="4128">
        <f>(BC75+BC78)-BC79</f>
        <v>0</v>
      </c>
      <c r="BD81" s="4129"/>
      <c r="BE81" s="4130"/>
      <c r="BF81" s="4127">
        <f>(BF75+BF78)-BF79</f>
        <v>0</v>
      </c>
      <c r="BG81" s="4127">
        <f>(BG75+BG78)-BG79</f>
        <v>0</v>
      </c>
      <c r="BH81" s="4128">
        <f>(BH75+BH78)-BH79</f>
        <v>0</v>
      </c>
      <c r="BI81" s="4129"/>
      <c r="BJ81" s="4130"/>
      <c r="BK81" s="4127">
        <f>(BK75+BK78)-BK79</f>
        <v>0</v>
      </c>
      <c r="BL81" s="4127">
        <f>(BL75+BL78)-BL79</f>
        <v>0</v>
      </c>
      <c r="BM81" s="4128">
        <f>(BM75+BM78)-BM79</f>
        <v>0</v>
      </c>
      <c r="BN81" s="4129"/>
      <c r="BO81" s="4130"/>
      <c r="BP81" s="4127">
        <f>(BP75+BP78)-BP79</f>
        <v>0</v>
      </c>
      <c r="BQ81" s="4127">
        <f>(BQ75+BQ78)-BQ79</f>
        <v>0</v>
      </c>
      <c r="BR81" s="4128">
        <f>(BR75+BR78)-BR79</f>
        <v>0</v>
      </c>
      <c r="BS81" s="4129"/>
      <c r="BT81" s="4130"/>
      <c r="BU81" s="4127">
        <f>(BU75+BU78)-BU79</f>
        <v>0</v>
      </c>
      <c r="BV81" s="4127">
        <f>(BV75+BV78)-BV79</f>
        <v>0</v>
      </c>
      <c r="BW81" s="4128">
        <f>(BW75+BW78)-BW79</f>
        <v>0</v>
      </c>
      <c r="BX81" s="4129"/>
      <c r="BY81" s="4130"/>
      <c r="BZ81" s="4127">
        <f>(BZ75+BZ78)-BZ79</f>
        <v>0</v>
      </c>
      <c r="CA81" s="4127">
        <f>(CA75+CA78)-CA79</f>
        <v>0</v>
      </c>
      <c r="CB81" s="4128">
        <f>(CB75+CB78)-CB79</f>
        <v>0</v>
      </c>
      <c r="CC81" s="4129"/>
      <c r="CD81" s="4130"/>
      <c r="CE81" s="4127">
        <f>(CE75+CE78)-CE79</f>
        <v>0</v>
      </c>
      <c r="CF81" s="4127">
        <f>(CF75+CF78)-CF79</f>
        <v>0</v>
      </c>
      <c r="CG81" s="4128">
        <f>(CG75+CG78)-CG79</f>
        <v>0</v>
      </c>
      <c r="CH81" s="4129"/>
      <c r="CI81" s="4130"/>
      <c r="CJ81" s="4127">
        <f>(CJ75+CJ78)-CJ79</f>
        <v>31175.35714957137</v>
      </c>
      <c r="CK81" s="4127">
        <f>(CK75+CK78)-CK79</f>
        <v>-9192</v>
      </c>
      <c r="CL81" s="4128">
        <f>(CL75+CL78)-CL79</f>
        <v>21983.35714957137</v>
      </c>
      <c r="CM81" s="4129"/>
      <c r="CN81" s="4129"/>
      <c r="CP81" s="4128">
        <f>(CP75+CP78)-CP79</f>
        <v>12958.3</v>
      </c>
      <c r="CQ81" s="4136">
        <f>(CQ75+CQ78)-CQ79</f>
        <v>21983.35714957137</v>
      </c>
      <c r="CR81" s="4128">
        <f>(CR75+CR78)-CR79</f>
        <v>-9025.0571495713702</v>
      </c>
      <c r="CT81" s="3443"/>
    </row>
    <row r="82" spans="1:101" s="1396" customFormat="1" ht="13.8" outlineLevel="2">
      <c r="A82" s="1565"/>
      <c r="B82" s="1400" t="s">
        <v>38</v>
      </c>
      <c r="C82" s="3341"/>
      <c r="D82" s="3341"/>
      <c r="E82" s="3390">
        <f>C82+D82</f>
        <v>0</v>
      </c>
      <c r="F82" s="3381"/>
      <c r="G82" s="3455"/>
      <c r="H82" s="3341"/>
      <c r="I82" s="3341"/>
      <c r="J82" s="3390">
        <f>H82+I82</f>
        <v>0</v>
      </c>
      <c r="K82" s="4074" t="e">
        <f t="shared" ref="K82" si="218">J82/J$89</f>
        <v>#DIV/0!</v>
      </c>
      <c r="L82" s="3455"/>
      <c r="M82" s="3341"/>
      <c r="N82" s="3341"/>
      <c r="O82" s="3390">
        <f>M82+N82</f>
        <v>0</v>
      </c>
      <c r="P82" s="4074" t="e">
        <f t="shared" ref="P82" si="219">O82/O$89</f>
        <v>#DIV/0!</v>
      </c>
      <c r="Q82" s="3455"/>
      <c r="R82" s="3342">
        <f t="shared" ref="R82:S82" si="220">M82+H82+C82</f>
        <v>0</v>
      </c>
      <c r="S82" s="3342">
        <f t="shared" si="220"/>
        <v>0</v>
      </c>
      <c r="T82" s="2012">
        <f t="shared" ref="T82" si="221">R82+S82</f>
        <v>0</v>
      </c>
      <c r="U82" s="3455"/>
      <c r="V82" s="3455"/>
      <c r="W82" s="3342">
        <f t="shared" ref="W82:X82" si="222">AB82+AG82+AL82+AV82+BA82+BF82+BK82+BP82+BU82+BZ82+CE82+AQ82</f>
        <v>0</v>
      </c>
      <c r="X82" s="3342">
        <f t="shared" si="222"/>
        <v>0</v>
      </c>
      <c r="Y82" s="2012">
        <f t="shared" ref="Y82" si="223">W82+X82</f>
        <v>0</v>
      </c>
      <c r="Z82" s="3455"/>
      <c r="AA82" s="3455"/>
      <c r="AB82" s="3341"/>
      <c r="AC82" s="3341"/>
      <c r="AD82" s="3390">
        <f>AB82+AC82</f>
        <v>0</v>
      </c>
      <c r="AE82" s="3381"/>
      <c r="AF82" s="3455"/>
      <c r="AG82" s="3341"/>
      <c r="AH82" s="3341"/>
      <c r="AI82" s="3390">
        <f>AG82+AH82</f>
        <v>0</v>
      </c>
      <c r="AJ82" s="3381"/>
      <c r="AK82" s="3455"/>
      <c r="AL82" s="3341"/>
      <c r="AM82" s="3341"/>
      <c r="AN82" s="3390">
        <f>AL82+AM82</f>
        <v>0</v>
      </c>
      <c r="AO82" s="3381"/>
      <c r="AP82" s="3455"/>
      <c r="AQ82" s="3341"/>
      <c r="AR82" s="3341"/>
      <c r="AS82" s="3390">
        <f>AQ82+AR82</f>
        <v>0</v>
      </c>
      <c r="AT82" s="3381"/>
      <c r="AU82" s="3455"/>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381"/>
      <c r="CP82" s="3415">
        <f>CN82+CO82</f>
        <v>0</v>
      </c>
      <c r="CQ82" s="3415">
        <f>CO82+CP82</f>
        <v>0</v>
      </c>
      <c r="CR82" s="3415"/>
      <c r="CT82" s="3443"/>
    </row>
    <row r="83" spans="1:101" s="1396" customFormat="1" ht="13.8" outlineLevel="1">
      <c r="A83" s="1405"/>
      <c r="B83" s="4137" t="s">
        <v>13</v>
      </c>
      <c r="C83" s="4138">
        <f>(C81+C7)-C36</f>
        <v>0</v>
      </c>
      <c r="D83" s="4138">
        <f>(D81+D7)-D36</f>
        <v>0</v>
      </c>
      <c r="E83" s="4139">
        <f>(E81+E7)-E36</f>
        <v>0</v>
      </c>
      <c r="F83" s="4140"/>
      <c r="G83" s="4141"/>
      <c r="H83" s="4138">
        <f>(H81+H7)-H36</f>
        <v>0</v>
      </c>
      <c r="I83" s="4138">
        <f>(I81+I7)-I36</f>
        <v>0</v>
      </c>
      <c r="J83" s="4139">
        <f>(J81+J7)-J36</f>
        <v>0</v>
      </c>
      <c r="K83" s="4140"/>
      <c r="L83" s="4141"/>
      <c r="M83" s="4138">
        <f>(M81+M7)-M36</f>
        <v>0</v>
      </c>
      <c r="N83" s="4138">
        <f>(N81+N7)-N36</f>
        <v>0</v>
      </c>
      <c r="O83" s="4139">
        <f>(O81+O7)-O36</f>
        <v>0</v>
      </c>
      <c r="P83" s="4140"/>
      <c r="Q83" s="4141"/>
      <c r="R83" s="4138">
        <f>(R81+R7)-R36</f>
        <v>0</v>
      </c>
      <c r="S83" s="4138">
        <f>(S81+S7)-S36</f>
        <v>0</v>
      </c>
      <c r="T83" s="4139">
        <f>(T81+T7)-T36</f>
        <v>0</v>
      </c>
      <c r="U83" s="4142"/>
      <c r="V83" s="4142"/>
      <c r="W83" s="4138">
        <f>(W81+W7)-W36</f>
        <v>31175.35714957137</v>
      </c>
      <c r="X83" s="4138">
        <f>(X81+X7)-X36</f>
        <v>-9192</v>
      </c>
      <c r="Y83" s="4139">
        <f>(Y81+Y7)-Y36</f>
        <v>21983.35714957137</v>
      </c>
      <c r="Z83" s="4142"/>
      <c r="AA83" s="4142"/>
      <c r="AB83" s="4138">
        <f>(AB81+AB7)-AB36</f>
        <v>-23824.64285042863</v>
      </c>
      <c r="AC83" s="4138">
        <f>(AC81+AC7)-AC36</f>
        <v>-9192</v>
      </c>
      <c r="AD83" s="4139">
        <f>(AD81+AD7)-AD36</f>
        <v>-33016.64285042863</v>
      </c>
      <c r="AE83" s="4140"/>
      <c r="AF83" s="4141"/>
      <c r="AG83" s="4138">
        <f>(AG81+AG7)-AG36</f>
        <v>0</v>
      </c>
      <c r="AH83" s="4138">
        <f>(AH81+AH7)-AH36</f>
        <v>0</v>
      </c>
      <c r="AI83" s="4139">
        <f>(AI81+AI7)-AI36</f>
        <v>0</v>
      </c>
      <c r="AJ83" s="4140"/>
      <c r="AK83" s="4141"/>
      <c r="AL83" s="4138">
        <f>(AL81+AL7)-AL36</f>
        <v>55000</v>
      </c>
      <c r="AM83" s="4138">
        <f>(AM81+AM7)-AM36</f>
        <v>0</v>
      </c>
      <c r="AN83" s="4139">
        <f>(AN81+AN7)-AN36</f>
        <v>55000</v>
      </c>
      <c r="AO83" s="4140"/>
      <c r="AP83" s="4141"/>
      <c r="AQ83" s="4138">
        <f>(AQ81+AQ7)-AQ36</f>
        <v>0</v>
      </c>
      <c r="AR83" s="4138">
        <f>(AR81+AR7)-AR36</f>
        <v>0</v>
      </c>
      <c r="AS83" s="4139">
        <f>(AS81+AS7)-AS36</f>
        <v>0</v>
      </c>
      <c r="AT83" s="4140"/>
      <c r="AU83" s="4141"/>
      <c r="AV83" s="4138">
        <f>(AV81+AV7)-AV36</f>
        <v>0</v>
      </c>
      <c r="AW83" s="4138">
        <f>(AW81+AW7)-AW36</f>
        <v>0</v>
      </c>
      <c r="AX83" s="4139">
        <f>(AX81+AX7)-AX36</f>
        <v>0</v>
      </c>
      <c r="AY83" s="4140"/>
      <c r="AZ83" s="4141"/>
      <c r="BA83" s="4138">
        <f>(BA81+BA7)-BA36</f>
        <v>0</v>
      </c>
      <c r="BB83" s="4138">
        <f>(BB81+BB7)-BB36</f>
        <v>0</v>
      </c>
      <c r="BC83" s="4139">
        <f>(BC81+BC7)-BC36</f>
        <v>0</v>
      </c>
      <c r="BD83" s="4140"/>
      <c r="BE83" s="4141"/>
      <c r="BF83" s="4138">
        <f>(BF81+BF7)-BF36</f>
        <v>0</v>
      </c>
      <c r="BG83" s="4138">
        <f>(BG81+BG7)-BG36</f>
        <v>0</v>
      </c>
      <c r="BH83" s="4139">
        <f>(BH81+BH7)-BH36</f>
        <v>0</v>
      </c>
      <c r="BI83" s="4140"/>
      <c r="BJ83" s="4141"/>
      <c r="BK83" s="4138">
        <f>(BK81+BK7)-BK36</f>
        <v>0</v>
      </c>
      <c r="BL83" s="4138">
        <f>(BL81+BL7)-BL36</f>
        <v>0</v>
      </c>
      <c r="BM83" s="4139">
        <f>(BM81+BM7)-BM36</f>
        <v>0</v>
      </c>
      <c r="BN83" s="4140"/>
      <c r="BO83" s="4141"/>
      <c r="BP83" s="4138">
        <f>(BP81+BP7)-BP36</f>
        <v>0</v>
      </c>
      <c r="BQ83" s="4138">
        <f>(BQ81+BQ7)-BQ36</f>
        <v>0</v>
      </c>
      <c r="BR83" s="4139">
        <f>(BR81+BR7)-BR36</f>
        <v>0</v>
      </c>
      <c r="BS83" s="4140"/>
      <c r="BT83" s="4141"/>
      <c r="BU83" s="4138">
        <f>(BU81+BU7)-BU36</f>
        <v>0</v>
      </c>
      <c r="BV83" s="4138">
        <f>(BV81+BV7)-BV36</f>
        <v>0</v>
      </c>
      <c r="BW83" s="4139">
        <f>(BW81+BW7)-BW36</f>
        <v>0</v>
      </c>
      <c r="BX83" s="4140"/>
      <c r="BY83" s="4141"/>
      <c r="BZ83" s="4138">
        <f>(BZ81+BZ7)-BZ36</f>
        <v>0</v>
      </c>
      <c r="CA83" s="4138">
        <f>(CA81+CA7)-CA36</f>
        <v>0</v>
      </c>
      <c r="CB83" s="4139">
        <f>(CB81+CB7)-CB36</f>
        <v>0</v>
      </c>
      <c r="CC83" s="4140"/>
      <c r="CD83" s="4141"/>
      <c r="CE83" s="4138">
        <f>(CE81+CE7)-CE36</f>
        <v>0</v>
      </c>
      <c r="CF83" s="4138">
        <f>(CF81+CF7)-CF36</f>
        <v>0</v>
      </c>
      <c r="CG83" s="4139">
        <f>(CG81+CG7)-CG36</f>
        <v>0</v>
      </c>
      <c r="CH83" s="4140"/>
      <c r="CI83" s="4141"/>
      <c r="CJ83" s="4138">
        <f>(CJ81+CJ7)-CJ36</f>
        <v>31175.35714957137</v>
      </c>
      <c r="CK83" s="4138">
        <f>(CK81+CK7)-CK36</f>
        <v>-9192</v>
      </c>
      <c r="CL83" s="4139">
        <f>(CL81+CL7)-CL36</f>
        <v>21983.35714957137</v>
      </c>
      <c r="CM83" s="4140"/>
      <c r="CN83" s="4140"/>
      <c r="CP83" s="3481">
        <f>(CP81+CP7)-CP36</f>
        <v>12958.3</v>
      </c>
      <c r="CQ83" s="3481">
        <f>(CQ81+CQ7)-CQ36</f>
        <v>21983.35714957137</v>
      </c>
      <c r="CR83" s="3481">
        <f>(CR81+CR7)-CR36</f>
        <v>-9025.0571495713702</v>
      </c>
      <c r="CT83" s="3443"/>
    </row>
    <row r="84" spans="1:101" s="1396" customFormat="1" ht="14.4" outlineLevel="1" thickBot="1">
      <c r="A84" s="1405"/>
      <c r="B84" s="4143" t="s">
        <v>14</v>
      </c>
      <c r="C84" s="4144">
        <f>C83-C73-C82</f>
        <v>0</v>
      </c>
      <c r="D84" s="4144">
        <f>D83-D73-D82</f>
        <v>0</v>
      </c>
      <c r="E84" s="4144">
        <f>E83-E73-E82</f>
        <v>0</v>
      </c>
      <c r="F84" s="4145"/>
      <c r="G84" s="4146"/>
      <c r="H84" s="4144">
        <f>H83-H73-H82</f>
        <v>0</v>
      </c>
      <c r="I84" s="4144">
        <f>I83-I73-I82</f>
        <v>0</v>
      </c>
      <c r="J84" s="4144">
        <f>J83-J73-J82</f>
        <v>0</v>
      </c>
      <c r="K84" s="4145"/>
      <c r="L84" s="4146"/>
      <c r="M84" s="4144">
        <f>M83-M73-M82</f>
        <v>0</v>
      </c>
      <c r="N84" s="4144">
        <f>N83-N73-N82</f>
        <v>0</v>
      </c>
      <c r="O84" s="4144">
        <f>O83-O73-O82</f>
        <v>0</v>
      </c>
      <c r="P84" s="4145"/>
      <c r="Q84" s="4146"/>
      <c r="R84" s="4144">
        <f>R83-R73-R82</f>
        <v>0</v>
      </c>
      <c r="S84" s="4144">
        <f>S83-S73-S82</f>
        <v>0</v>
      </c>
      <c r="T84" s="4144">
        <f>T83-T73-T82</f>
        <v>0</v>
      </c>
      <c r="U84" s="4146"/>
      <c r="V84" s="4146"/>
      <c r="W84" s="4086">
        <f t="shared" ref="W84:X84" si="224">AB84+AG84+AL84+AV84+BA84+BF84+BK84+BP84+BU84+BZ84+CE84</f>
        <v>31175.35714957137</v>
      </c>
      <c r="X84" s="4087">
        <f t="shared" si="224"/>
        <v>-9192</v>
      </c>
      <c r="Y84" s="4144">
        <f>Y83-Y73-Y82</f>
        <v>21983.35714957137</v>
      </c>
      <c r="Z84" s="4146"/>
      <c r="AA84" s="4146"/>
      <c r="AB84" s="4144">
        <f>AB83-AB73-AB82</f>
        <v>-23824.64285042863</v>
      </c>
      <c r="AC84" s="4144">
        <f>AC83-AC73-AC82</f>
        <v>-9192</v>
      </c>
      <c r="AD84" s="4144">
        <f>AD83-AD73-AD82</f>
        <v>-33016.64285042863</v>
      </c>
      <c r="AE84" s="4145"/>
      <c r="AF84" s="4146"/>
      <c r="AG84" s="4144">
        <f>AG83-AG73-AG82</f>
        <v>0</v>
      </c>
      <c r="AH84" s="4144">
        <f>AH83-AH73-AH82</f>
        <v>0</v>
      </c>
      <c r="AI84" s="4144">
        <f>AI83-AI73-AI82</f>
        <v>0</v>
      </c>
      <c r="AJ84" s="4145"/>
      <c r="AK84" s="4146"/>
      <c r="AL84" s="4144">
        <f>AL83-AL73-AL82</f>
        <v>55000</v>
      </c>
      <c r="AM84" s="4144">
        <f>AM83-AM73-AM82</f>
        <v>0</v>
      </c>
      <c r="AN84" s="4144">
        <f>AN83-AN73-AN82</f>
        <v>55000</v>
      </c>
      <c r="AO84" s="4145"/>
      <c r="AP84" s="4146"/>
      <c r="AQ84" s="4144">
        <f>AQ83-AQ73-AQ82</f>
        <v>0</v>
      </c>
      <c r="AR84" s="4144">
        <f>AR83-AR73-AR82</f>
        <v>0</v>
      </c>
      <c r="AS84" s="4144">
        <f>AS83-AS73-AS82</f>
        <v>0</v>
      </c>
      <c r="AT84" s="4145"/>
      <c r="AU84" s="4146"/>
      <c r="AV84" s="4144">
        <f>AV83-AV73-AV82</f>
        <v>0</v>
      </c>
      <c r="AW84" s="4144">
        <f>AW83-AW73-AW82</f>
        <v>0</v>
      </c>
      <c r="AX84" s="4144">
        <f>AX83-AX73-AX82</f>
        <v>0</v>
      </c>
      <c r="AY84" s="4145"/>
      <c r="AZ84" s="4146"/>
      <c r="BA84" s="4144">
        <f>BA83-BA73-BA82</f>
        <v>0</v>
      </c>
      <c r="BB84" s="4144">
        <f>BB83-BB73-BB82</f>
        <v>0</v>
      </c>
      <c r="BC84" s="4144">
        <f>BC83-BC73-BC82</f>
        <v>0</v>
      </c>
      <c r="BD84" s="4145"/>
      <c r="BE84" s="4146"/>
      <c r="BF84" s="4144">
        <f>BF83-BF73-BF82</f>
        <v>0</v>
      </c>
      <c r="BG84" s="4144">
        <f>BG83-BG73-BG82</f>
        <v>0</v>
      </c>
      <c r="BH84" s="4144">
        <f>BH83-BH73-BH82</f>
        <v>0</v>
      </c>
      <c r="BI84" s="4145"/>
      <c r="BJ84" s="4146"/>
      <c r="BK84" s="4144">
        <f>BK83-BK73-BK82</f>
        <v>0</v>
      </c>
      <c r="BL84" s="4144">
        <f>BL83-BL73-BL82</f>
        <v>0</v>
      </c>
      <c r="BM84" s="4144">
        <f>BM83-BM73-BM82</f>
        <v>0</v>
      </c>
      <c r="BN84" s="4145"/>
      <c r="BO84" s="4146"/>
      <c r="BP84" s="4144">
        <f>BP83-BP73-BP82</f>
        <v>0</v>
      </c>
      <c r="BQ84" s="4144">
        <f>BQ83-BQ73-BQ82</f>
        <v>0</v>
      </c>
      <c r="BR84" s="4144">
        <f>BR83-BR73-BR82</f>
        <v>0</v>
      </c>
      <c r="BS84" s="4145"/>
      <c r="BT84" s="4146"/>
      <c r="BU84" s="4144">
        <f>BU83-BU73-BU82</f>
        <v>0</v>
      </c>
      <c r="BV84" s="4144">
        <f>BV83-BV73-BV82</f>
        <v>0</v>
      </c>
      <c r="BW84" s="4144">
        <f>BW83-BW73-BW82</f>
        <v>0</v>
      </c>
      <c r="BX84" s="4145"/>
      <c r="BY84" s="4146"/>
      <c r="BZ84" s="4144">
        <f>BZ83-BZ73-BZ82</f>
        <v>0</v>
      </c>
      <c r="CA84" s="4144">
        <f>CA83-CA73-CA82</f>
        <v>0</v>
      </c>
      <c r="CB84" s="4144">
        <f>CB83-CB73-CB82</f>
        <v>0</v>
      </c>
      <c r="CC84" s="4145"/>
      <c r="CD84" s="4146"/>
      <c r="CE84" s="4144">
        <f>CE83-CE73-CE82</f>
        <v>0</v>
      </c>
      <c r="CF84" s="4144">
        <f>CF83-CF73-CF82</f>
        <v>0</v>
      </c>
      <c r="CG84" s="4144">
        <f>CG83-CG73-CG82</f>
        <v>0</v>
      </c>
      <c r="CH84" s="4145"/>
      <c r="CI84" s="4146"/>
      <c r="CJ84" s="4082">
        <f t="shared" ref="CJ84:CK84" si="225">C84+H84+M84+W84</f>
        <v>31175.35714957137</v>
      </c>
      <c r="CK84" s="4082">
        <f t="shared" si="225"/>
        <v>-9192</v>
      </c>
      <c r="CL84" s="4144">
        <f>CL83-CL73-CL82</f>
        <v>21983.35714957137</v>
      </c>
      <c r="CM84" s="4145"/>
      <c r="CN84" s="4145"/>
      <c r="CP84" s="3309">
        <f>CP83-CP73-CP82</f>
        <v>12958.3</v>
      </c>
      <c r="CQ84" s="3484">
        <f>CQ83-CQ73-CQ82</f>
        <v>21983.35714957137</v>
      </c>
      <c r="CR84" s="3309">
        <f>CR83-CR73-CR82</f>
        <v>-9025.0571495713702</v>
      </c>
      <c r="CT84" s="3443"/>
    </row>
    <row r="85" spans="1:101" s="1396" customFormat="1" ht="13.8" outlineLevel="3">
      <c r="A85" s="1565"/>
      <c r="B85" s="1403" t="s">
        <v>44</v>
      </c>
      <c r="C85" s="3341"/>
      <c r="D85" s="3341"/>
      <c r="E85" s="2012">
        <f>C85+D85*1.15</f>
        <v>0</v>
      </c>
      <c r="F85" s="3381"/>
      <c r="G85" s="3455"/>
      <c r="H85" s="3341"/>
      <c r="I85" s="3341"/>
      <c r="J85" s="2012">
        <f>H85+I85*1.15</f>
        <v>0</v>
      </c>
      <c r="K85" s="4074" t="e">
        <f t="shared" ref="K85" si="226">J85/J$89</f>
        <v>#DIV/0!</v>
      </c>
      <c r="L85" s="3455"/>
      <c r="M85" s="3341"/>
      <c r="N85" s="3341"/>
      <c r="O85" s="2012">
        <f>M85+N85*1.15</f>
        <v>0</v>
      </c>
      <c r="P85" s="4074" t="e">
        <f t="shared" ref="P85" si="227">O85/O$89</f>
        <v>#DIV/0!</v>
      </c>
      <c r="Q85" s="3455"/>
      <c r="R85" s="3342">
        <f t="shared" ref="R85:S85" si="228">M85+H85+C85</f>
        <v>0</v>
      </c>
      <c r="S85" s="3342">
        <f t="shared" si="228"/>
        <v>0</v>
      </c>
      <c r="T85" s="2012">
        <f t="shared" ref="T85" si="229">R85+S85</f>
        <v>0</v>
      </c>
      <c r="U85" s="3455"/>
      <c r="V85" s="3455"/>
      <c r="W85" s="3342">
        <f t="shared" ref="W85:X85" si="230">AB85+AG85+AL85+AV85+BA85+BF85+BK85+BP85+BU85+BZ85+CE85+AQ85</f>
        <v>0</v>
      </c>
      <c r="X85" s="3342">
        <f t="shared" si="230"/>
        <v>0</v>
      </c>
      <c r="Y85" s="2012">
        <f t="shared" ref="Y85" si="231">W85+X85</f>
        <v>0</v>
      </c>
      <c r="Z85" s="3455"/>
      <c r="AA85" s="3455"/>
      <c r="AB85" s="3341"/>
      <c r="AC85" s="3341"/>
      <c r="AD85" s="2012">
        <f>AB85+AC85*1.15</f>
        <v>0</v>
      </c>
      <c r="AE85" s="3381"/>
      <c r="AF85" s="3455"/>
      <c r="AG85" s="3341"/>
      <c r="AH85" s="3341"/>
      <c r="AI85" s="2012">
        <f>AG85+AH85*1.15</f>
        <v>0</v>
      </c>
      <c r="AJ85" s="3381"/>
      <c r="AK85" s="3455"/>
      <c r="AL85" s="3341"/>
      <c r="AM85" s="3341"/>
      <c r="AN85" s="2012">
        <f>AL85+AM85*1.15</f>
        <v>0</v>
      </c>
      <c r="AO85" s="3381"/>
      <c r="AP85" s="3455"/>
      <c r="AQ85" s="3341"/>
      <c r="AR85" s="3341"/>
      <c r="AS85" s="2012">
        <f>AQ85+AR85*1.15</f>
        <v>0</v>
      </c>
      <c r="AT85" s="3381"/>
      <c r="AU85" s="3455"/>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2124">
        <f>CN85+CO85*1.15</f>
        <v>0</v>
      </c>
      <c r="CQ85" s="2124">
        <f>CO85+CP85*1.15</f>
        <v>0</v>
      </c>
      <c r="CR85" s="2124"/>
      <c r="CT85" s="3443" t="s">
        <v>1986</v>
      </c>
    </row>
    <row r="86" spans="1:101" s="1396" customFormat="1" ht="27.6">
      <c r="A86" s="1405"/>
      <c r="B86" s="4147" t="s">
        <v>50</v>
      </c>
      <c r="C86" s="4148">
        <f>C84-C85</f>
        <v>0</v>
      </c>
      <c r="D86" s="4148">
        <f>D84-D85</f>
        <v>0</v>
      </c>
      <c r="E86" s="4148">
        <f>E84-E85</f>
        <v>0</v>
      </c>
      <c r="F86" s="4149"/>
      <c r="G86" s="4150"/>
      <c r="H86" s="4148">
        <f>H84-H85</f>
        <v>0</v>
      </c>
      <c r="I86" s="4148">
        <f>I84-I85</f>
        <v>0</v>
      </c>
      <c r="J86" s="4148">
        <f>J84-J85</f>
        <v>0</v>
      </c>
      <c r="K86" s="4149"/>
      <c r="L86" s="4150"/>
      <c r="M86" s="4148">
        <f>M84-M85</f>
        <v>0</v>
      </c>
      <c r="N86" s="4148">
        <f>N84-N85</f>
        <v>0</v>
      </c>
      <c r="O86" s="4148">
        <f>O84-O85</f>
        <v>0</v>
      </c>
      <c r="P86" s="4149"/>
      <c r="Q86" s="4150"/>
      <c r="R86" s="4148">
        <f>R84-R85</f>
        <v>0</v>
      </c>
      <c r="S86" s="4148">
        <f>S84-S85</f>
        <v>0</v>
      </c>
      <c r="T86" s="4148">
        <f>T84-T85</f>
        <v>0</v>
      </c>
      <c r="U86" s="4150"/>
      <c r="V86" s="4150"/>
      <c r="W86" s="4148">
        <f>W84-W85</f>
        <v>31175.35714957137</v>
      </c>
      <c r="X86" s="4148">
        <f>X84-X85</f>
        <v>-9192</v>
      </c>
      <c r="Y86" s="4148">
        <f>Y84-Y85</f>
        <v>21983.35714957137</v>
      </c>
      <c r="Z86" s="4150"/>
      <c r="AA86" s="4150"/>
      <c r="AB86" s="4148">
        <f>AB84-AB85</f>
        <v>-23824.64285042863</v>
      </c>
      <c r="AC86" s="4148">
        <f>AC84-AC85</f>
        <v>-9192</v>
      </c>
      <c r="AD86" s="4148">
        <f>AD84-AD85</f>
        <v>-33016.64285042863</v>
      </c>
      <c r="AE86" s="4149"/>
      <c r="AF86" s="4150"/>
      <c r="AG86" s="4148">
        <f>AG84-AG85</f>
        <v>0</v>
      </c>
      <c r="AH86" s="4148">
        <f>AH84-AH85</f>
        <v>0</v>
      </c>
      <c r="AI86" s="4148">
        <f>AI84-AI85</f>
        <v>0</v>
      </c>
      <c r="AJ86" s="4149"/>
      <c r="AK86" s="4150"/>
      <c r="AL86" s="4148">
        <f>AL84-AL85</f>
        <v>55000</v>
      </c>
      <c r="AM86" s="4148">
        <f>AM84-AM85</f>
        <v>0</v>
      </c>
      <c r="AN86" s="4148">
        <f>AN84-AN85</f>
        <v>55000</v>
      </c>
      <c r="AO86" s="4149"/>
      <c r="AP86" s="4150"/>
      <c r="AQ86" s="4148">
        <f>AQ84-AQ85</f>
        <v>0</v>
      </c>
      <c r="AR86" s="4148">
        <f>AR84-AR85</f>
        <v>0</v>
      </c>
      <c r="AS86" s="4148">
        <f>AS84-AS85</f>
        <v>0</v>
      </c>
      <c r="AT86" s="4149"/>
      <c r="AU86" s="4150"/>
      <c r="AV86" s="4148">
        <f>AV84-AV85</f>
        <v>0</v>
      </c>
      <c r="AW86" s="4148">
        <f>AW84-AW85</f>
        <v>0</v>
      </c>
      <c r="AX86" s="4148">
        <f>AX84-AX85</f>
        <v>0</v>
      </c>
      <c r="AY86" s="4149"/>
      <c r="AZ86" s="4150"/>
      <c r="BA86" s="4148">
        <f>BA84-BA85</f>
        <v>0</v>
      </c>
      <c r="BB86" s="4148">
        <f>BB84-BB85</f>
        <v>0</v>
      </c>
      <c r="BC86" s="4148">
        <f>BC84-BC85</f>
        <v>0</v>
      </c>
      <c r="BD86" s="4149"/>
      <c r="BE86" s="4150"/>
      <c r="BF86" s="4148">
        <f>BF84-BF85</f>
        <v>0</v>
      </c>
      <c r="BG86" s="4148">
        <f>BG84-BG85</f>
        <v>0</v>
      </c>
      <c r="BH86" s="4148">
        <f>BH84-BH85</f>
        <v>0</v>
      </c>
      <c r="BI86" s="4149"/>
      <c r="BJ86" s="4150"/>
      <c r="BK86" s="4148">
        <f>BK84-BK85</f>
        <v>0</v>
      </c>
      <c r="BL86" s="4148">
        <f>BL84-BL85</f>
        <v>0</v>
      </c>
      <c r="BM86" s="4148">
        <f>BM84-BM85</f>
        <v>0</v>
      </c>
      <c r="BN86" s="4149"/>
      <c r="BO86" s="4150"/>
      <c r="BP86" s="4148">
        <f>BP84-BP85</f>
        <v>0</v>
      </c>
      <c r="BQ86" s="4148">
        <f>BQ84-BQ85</f>
        <v>0</v>
      </c>
      <c r="BR86" s="4148">
        <f>BR84-BR85</f>
        <v>0</v>
      </c>
      <c r="BS86" s="4149"/>
      <c r="BT86" s="4150"/>
      <c r="BU86" s="4148">
        <f>BU84-BU85</f>
        <v>0</v>
      </c>
      <c r="BV86" s="4148">
        <f>BV84-BV85</f>
        <v>0</v>
      </c>
      <c r="BW86" s="4148">
        <f>BW84-BW85</f>
        <v>0</v>
      </c>
      <c r="BX86" s="4149"/>
      <c r="BY86" s="4150"/>
      <c r="BZ86" s="4148">
        <f>BZ84-BZ85</f>
        <v>0</v>
      </c>
      <c r="CA86" s="4148">
        <f>CA84-CA85</f>
        <v>0</v>
      </c>
      <c r="CB86" s="4148">
        <f>CB84-CB85</f>
        <v>0</v>
      </c>
      <c r="CC86" s="4149"/>
      <c r="CD86" s="4150"/>
      <c r="CE86" s="4148">
        <f>CE84-CE85</f>
        <v>0</v>
      </c>
      <c r="CF86" s="4148">
        <f>CF84-CF85</f>
        <v>0</v>
      </c>
      <c r="CG86" s="4148">
        <f>CG84-CG85</f>
        <v>0</v>
      </c>
      <c r="CH86" s="4149"/>
      <c r="CI86" s="4150"/>
      <c r="CJ86" s="4148">
        <f>CJ84-CJ85</f>
        <v>31175.35714957137</v>
      </c>
      <c r="CK86" s="4148">
        <f>CK84-CK85</f>
        <v>-9192</v>
      </c>
      <c r="CL86" s="4148">
        <f>CL84-CL85</f>
        <v>21983.35714957137</v>
      </c>
      <c r="CM86" s="4149"/>
      <c r="CN86" s="4149"/>
      <c r="CP86" s="3481">
        <f>CP84-CP85</f>
        <v>12958.3</v>
      </c>
      <c r="CQ86" s="3481">
        <f>CQ84-CQ85</f>
        <v>21983.35714957137</v>
      </c>
      <c r="CR86" s="4059">
        <f>CR84-CR85</f>
        <v>-9025.0571495713702</v>
      </c>
      <c r="CT86" s="4189">
        <f>-CR86/CP86</f>
        <v>0.69646922432505587</v>
      </c>
      <c r="CW86" s="933"/>
    </row>
    <row r="87" spans="1:101" s="1396" customFormat="1" ht="14.4" thickBot="1">
      <c r="A87" s="1567"/>
      <c r="B87" s="4151" t="s">
        <v>51</v>
      </c>
      <c r="C87" s="4152">
        <f>IFERROR(C86/C5,0)</f>
        <v>0</v>
      </c>
      <c r="D87" s="4153">
        <f>IFERROR(D86/D5,0)</f>
        <v>0</v>
      </c>
      <c r="E87" s="4154">
        <f>IFERROR(E86/E5,0)</f>
        <v>0</v>
      </c>
      <c r="F87" s="4155"/>
      <c r="G87" s="4156"/>
      <c r="H87" s="4152">
        <f>IFERROR(H86/H5,0)</f>
        <v>0</v>
      </c>
      <c r="I87" s="4153">
        <f>IFERROR(I86/I5,0)</f>
        <v>0</v>
      </c>
      <c r="J87" s="4154">
        <f>IFERROR(J86/J5,0)</f>
        <v>0</v>
      </c>
      <c r="K87" s="4155"/>
      <c r="L87" s="4156"/>
      <c r="M87" s="4152">
        <f>IFERROR(M86/M5,0)</f>
        <v>0</v>
      </c>
      <c r="N87" s="4153">
        <f>IFERROR(N86/N5,0)</f>
        <v>0</v>
      </c>
      <c r="O87" s="4154">
        <f>IFERROR(O86/O5,0)</f>
        <v>0</v>
      </c>
      <c r="P87" s="4155"/>
      <c r="Q87" s="4156"/>
      <c r="R87" s="4157"/>
      <c r="S87" s="4157"/>
      <c r="T87" s="4157"/>
      <c r="U87" s="4157"/>
      <c r="V87" s="4157"/>
      <c r="W87" s="4157"/>
      <c r="X87" s="4157"/>
      <c r="Y87" s="4157"/>
      <c r="Z87" s="4157"/>
      <c r="AA87" s="4157"/>
      <c r="AB87" s="4152">
        <f>IFERROR(AB86/AB5,0)</f>
        <v>0</v>
      </c>
      <c r="AC87" s="4153">
        <f>IFERROR(AC86/AC5,0)</f>
        <v>0</v>
      </c>
      <c r="AD87" s="4154">
        <f>IFERROR(AD86/AD5,0)</f>
        <v>0</v>
      </c>
      <c r="AE87" s="4155"/>
      <c r="AF87" s="4156"/>
      <c r="AG87" s="4152">
        <f>IFERROR(AG86/AG5,0)</f>
        <v>0</v>
      </c>
      <c r="AH87" s="4153">
        <f>IFERROR(AH86/AH5,0)</f>
        <v>0</v>
      </c>
      <c r="AI87" s="4154">
        <f>IFERROR(AI86/AI5,0)</f>
        <v>0</v>
      </c>
      <c r="AJ87" s="4155"/>
      <c r="AK87" s="4156"/>
      <c r="AL87" s="4152">
        <f>IFERROR(AL86/AL5,0)</f>
        <v>1</v>
      </c>
      <c r="AM87" s="4153">
        <f>IFERROR(AM86/AM5,0)</f>
        <v>0</v>
      </c>
      <c r="AN87" s="4154">
        <f>IFERROR(AN86/AN5,0)</f>
        <v>1</v>
      </c>
      <c r="AO87" s="4155"/>
      <c r="AP87" s="4156"/>
      <c r="AQ87" s="4152">
        <f>IFERROR(AQ86/AQ5,0)</f>
        <v>0</v>
      </c>
      <c r="AR87" s="4153">
        <f>IFERROR(AR86/AR5,0)</f>
        <v>0</v>
      </c>
      <c r="AS87" s="4154">
        <f>IFERROR(AS86/AS5,0)</f>
        <v>0</v>
      </c>
      <c r="AT87" s="4155"/>
      <c r="AU87" s="4156"/>
      <c r="AV87" s="4152">
        <f>IFERROR(AV86/AV5,0)</f>
        <v>0</v>
      </c>
      <c r="AW87" s="4153">
        <f>IFERROR(AW86/AW5,0)</f>
        <v>0</v>
      </c>
      <c r="AX87" s="4154">
        <f>IFERROR(AX86/AX5,0)</f>
        <v>0</v>
      </c>
      <c r="AY87" s="4155"/>
      <c r="AZ87" s="4156"/>
      <c r="BA87" s="4152">
        <f>IFERROR(BA86/BA5,0)</f>
        <v>0</v>
      </c>
      <c r="BB87" s="4153">
        <f>IFERROR(BB86/BB5,0)</f>
        <v>0</v>
      </c>
      <c r="BC87" s="4154">
        <f>IFERROR(BC86/BC5,0)</f>
        <v>0</v>
      </c>
      <c r="BD87" s="4155"/>
      <c r="BE87" s="4156"/>
      <c r="BF87" s="4152">
        <f>IFERROR(BF86/BF5,0)</f>
        <v>0</v>
      </c>
      <c r="BG87" s="4153">
        <f>IFERROR(BG86/BG5,0)</f>
        <v>0</v>
      </c>
      <c r="BH87" s="4154">
        <f>IFERROR(BH86/BH5,0)</f>
        <v>0</v>
      </c>
      <c r="BI87" s="4155"/>
      <c r="BJ87" s="4156"/>
      <c r="BK87" s="4152">
        <f>IFERROR(BK86/BK5,0)</f>
        <v>0</v>
      </c>
      <c r="BL87" s="4153">
        <f>IFERROR(BL86/BL5,0)</f>
        <v>0</v>
      </c>
      <c r="BM87" s="4154">
        <f>IFERROR(BM86/BM5,0)</f>
        <v>0</v>
      </c>
      <c r="BN87" s="4155"/>
      <c r="BO87" s="4156"/>
      <c r="BP87" s="4152">
        <f>IFERROR(BP86/BP5,0)</f>
        <v>0</v>
      </c>
      <c r="BQ87" s="4153">
        <f>IFERROR(BQ86/BQ5,0)</f>
        <v>0</v>
      </c>
      <c r="BR87" s="4154">
        <f>IFERROR(BR86/BR5,0)</f>
        <v>0</v>
      </c>
      <c r="BS87" s="4155"/>
      <c r="BT87" s="4156"/>
      <c r="BU87" s="4152">
        <f>IFERROR(BU86/BU5,0)</f>
        <v>0</v>
      </c>
      <c r="BV87" s="4153">
        <f>IFERROR(BV86/BV5,0)</f>
        <v>0</v>
      </c>
      <c r="BW87" s="4154">
        <f>IFERROR(BW86/BW5,0)</f>
        <v>0</v>
      </c>
      <c r="BX87" s="4155"/>
      <c r="BY87" s="4156"/>
      <c r="BZ87" s="4152">
        <f>IFERROR(BZ86/BZ5,0)</f>
        <v>0</v>
      </c>
      <c r="CA87" s="4153">
        <f>IFERROR(CA86/CA5,0)</f>
        <v>0</v>
      </c>
      <c r="CB87" s="4154">
        <f>IFERROR(CB86/CB5,0)</f>
        <v>0</v>
      </c>
      <c r="CC87" s="4155"/>
      <c r="CD87" s="4156"/>
      <c r="CE87" s="4152">
        <f>IFERROR(CE86/CE5,0)</f>
        <v>0</v>
      </c>
      <c r="CF87" s="4153">
        <f>IFERROR(CF86/CF5,0)</f>
        <v>0</v>
      </c>
      <c r="CG87" s="4154">
        <f>IFERROR(CG86/CG5,0)</f>
        <v>0</v>
      </c>
      <c r="CH87" s="4155"/>
      <c r="CI87" s="4156"/>
      <c r="CJ87" s="4152">
        <f>IFERROR(CJ86/CJ5,0)</f>
        <v>0.56682467544675219</v>
      </c>
      <c r="CK87" s="4153">
        <f>IFERROR(CK86/CK5,0)</f>
        <v>0</v>
      </c>
      <c r="CL87" s="4154">
        <f>IFERROR(CL86/CL5,0)</f>
        <v>0.39969740271947946</v>
      </c>
      <c r="CM87" s="4155"/>
      <c r="CN87" s="4155"/>
      <c r="CP87" s="4154">
        <f>CP86/CP5</f>
        <v>0.28643457117595045</v>
      </c>
      <c r="CQ87" s="4162">
        <f>IFERROR(CQ86/CQ5,0)</f>
        <v>0.39969740271947946</v>
      </c>
      <c r="CR87" s="4154">
        <f>CR86/CR5</f>
        <v>0.92469847843968955</v>
      </c>
      <c r="CT87" s="3443"/>
    </row>
    <row r="88" spans="1:101"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1611"/>
      <c r="AG88" s="1954"/>
      <c r="AH88" s="1954"/>
      <c r="AI88" s="1954"/>
      <c r="AJ88" s="1954"/>
      <c r="AK88" s="1611"/>
      <c r="AL88" s="1954"/>
      <c r="AM88" s="1954"/>
      <c r="AN88" s="1954"/>
      <c r="AO88" s="1954"/>
      <c r="AP88" s="1611"/>
      <c r="AQ88" s="1954"/>
      <c r="AR88" s="1954"/>
      <c r="AS88" s="1954"/>
      <c r="AT88" s="1954"/>
      <c r="AU88" s="1611"/>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1954"/>
      <c r="CQ88" s="1954"/>
      <c r="CR88" s="1954"/>
    </row>
    <row r="89" spans="1:101">
      <c r="B89" s="1562" t="s">
        <v>56</v>
      </c>
      <c r="E89" s="1960">
        <f>E8+E36+E41+E50+E54+E73+E79+E82+E85</f>
        <v>0</v>
      </c>
      <c r="G89" s="1963"/>
      <c r="J89" s="1960">
        <f>J8+J36+J41+J50+J54+J73+J79+J82+J85</f>
        <v>0</v>
      </c>
      <c r="L89" s="1963"/>
      <c r="O89" s="1960">
        <f>O8+O36+O41+O50+O54+O73+O79+O82+O85</f>
        <v>0</v>
      </c>
      <c r="Q89" s="1963"/>
      <c r="R89" s="1963"/>
      <c r="S89" s="1963"/>
      <c r="T89" s="1960">
        <f>T8+T36+T41+T50+T54+T73+T79+T82+T85</f>
        <v>0</v>
      </c>
      <c r="U89" s="1963"/>
      <c r="V89" s="1963"/>
      <c r="W89" s="1963"/>
      <c r="X89" s="1963"/>
      <c r="Y89" s="1960">
        <f>Y8+Y36+Y41+Y50+Y54+Y73+Y79+Y82+Y85</f>
        <v>33016.64285042863</v>
      </c>
      <c r="Z89" s="1963"/>
      <c r="AA89" s="1963"/>
      <c r="AD89" s="1960">
        <f>AD8+AD36+AD41+AD50+AD54+AD73+AD79+AD82+AD85</f>
        <v>33016.64285042863</v>
      </c>
      <c r="AF89" s="1963"/>
      <c r="AI89" s="1960">
        <f>AI8+AI36+AI41+AI50+AI54+AI73+AI79+AI82+AI85</f>
        <v>0</v>
      </c>
      <c r="AK89" s="1963"/>
      <c r="AN89" s="1960">
        <f>AN8+AN36+AN41+AN50+AN54+AN73+AN79+AN82+AN85</f>
        <v>0</v>
      </c>
      <c r="AP89" s="1963"/>
      <c r="AS89" s="1960">
        <f>AS8+AS36+AS41+AS50+AS54+AS73+AS79+AS82+AS85</f>
        <v>0</v>
      </c>
      <c r="AU89" s="1963"/>
      <c r="AX89" s="1960">
        <f>AX8+AX36+AX41+AX50+AX54+AX73+AX79+AX82+AX85</f>
        <v>0</v>
      </c>
      <c r="AZ89" s="1963"/>
      <c r="BC89" s="1960">
        <f>BC8+BC36+BC41+BC50+BC54+BC73+BC79+BC82+BC85</f>
        <v>0</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33016.64285042863</v>
      </c>
    </row>
    <row r="90" spans="1:101">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1963"/>
      <c r="AC90" s="1963"/>
      <c r="AD90" s="1963"/>
      <c r="AE90" s="1963"/>
      <c r="AF90" s="1963"/>
      <c r="AG90" s="1963"/>
      <c r="AH90" s="1963"/>
      <c r="AI90" s="1963"/>
      <c r="AJ90" s="1963"/>
      <c r="AK90" s="1963"/>
      <c r="AL90" s="1963"/>
      <c r="AM90" s="1963"/>
      <c r="AN90" s="1963"/>
      <c r="AO90" s="1963"/>
      <c r="AP90" s="1963"/>
      <c r="AQ90" s="1963"/>
      <c r="AR90" s="1963"/>
      <c r="AS90" s="1963"/>
      <c r="AT90" s="1963"/>
      <c r="AU90" s="1963"/>
      <c r="AV90" s="1963"/>
      <c r="AW90" s="1963"/>
      <c r="AX90" s="1963"/>
      <c r="AY90" s="1963"/>
      <c r="AZ90" s="1963"/>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t="b">
        <f>J89+O89+E89+Y89=CL89</f>
        <v>1</v>
      </c>
    </row>
    <row r="91" spans="1:101"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963"/>
      <c r="AG91" s="1963"/>
      <c r="AH91" s="1963"/>
      <c r="AI91" s="1963"/>
      <c r="AJ91" s="1963"/>
      <c r="AK91" s="1963"/>
      <c r="AL91" s="1963"/>
      <c r="AM91" s="1963"/>
      <c r="AN91" s="1963"/>
      <c r="AO91" s="1963"/>
      <c r="AP91" s="1963"/>
      <c r="AQ91" s="1963"/>
      <c r="AR91" s="1963"/>
      <c r="AS91" s="1963"/>
      <c r="AT91" s="1963"/>
      <c r="AU91" s="1963"/>
      <c r="AV91" s="1963"/>
      <c r="AW91" s="1963"/>
      <c r="AX91" s="1963"/>
      <c r="AY91" s="1963"/>
      <c r="AZ91" s="196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c r="CP91" s="1952"/>
      <c r="CQ91" s="1952"/>
      <c r="CR91" s="1952"/>
      <c r="CT91" s="3443"/>
    </row>
    <row r="92" spans="1:101">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P92" s="1963"/>
      <c r="AQ92" s="1963"/>
      <c r="AR92" s="1963"/>
      <c r="AS92" s="1963"/>
      <c r="AT92" s="1963"/>
      <c r="AU92" s="1963"/>
      <c r="AV92" s="1963"/>
      <c r="AW92" s="1963"/>
      <c r="AX92" s="1963"/>
      <c r="AY92" s="1963"/>
      <c r="AZ92" s="196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1" s="1396" customFormat="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963"/>
      <c r="AG93" s="1963"/>
      <c r="AH93" s="1963"/>
      <c r="AI93" s="1963"/>
      <c r="AJ93" s="1963"/>
      <c r="AK93" s="1963"/>
      <c r="AL93" s="1963"/>
      <c r="AM93" s="1963"/>
      <c r="AN93" s="1963"/>
      <c r="AO93" s="1963"/>
      <c r="AP93" s="1963"/>
      <c r="AQ93" s="1963"/>
      <c r="AR93" s="1963"/>
      <c r="AS93" s="1963"/>
      <c r="AT93" s="1963"/>
      <c r="AU93" s="1963"/>
      <c r="AV93" s="1963"/>
      <c r="AW93" s="1963"/>
      <c r="AX93" s="1963"/>
      <c r="AY93" s="1963"/>
      <c r="AZ93" s="1963"/>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52"/>
      <c r="CK93" s="1952"/>
      <c r="CL93" s="687"/>
      <c r="CM93" s="1952"/>
      <c r="CN93" s="1952"/>
      <c r="CP93" s="1952"/>
      <c r="CQ93" s="1952"/>
      <c r="CR93" s="1952"/>
      <c r="CT93" s="3443"/>
    </row>
    <row r="94" spans="1:101" s="1396" customForma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963"/>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52"/>
      <c r="CK94" s="1952"/>
      <c r="CL94" s="1952"/>
      <c r="CM94" s="1952"/>
      <c r="CN94" s="1952"/>
      <c r="CP94" s="1952"/>
      <c r="CQ94" s="1952"/>
      <c r="CR94" s="1952"/>
      <c r="CT94" s="3443"/>
    </row>
    <row r="95" spans="1:101" s="1396" customFormat="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963"/>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52"/>
      <c r="CK95" s="1952"/>
      <c r="CL95" s="1952"/>
      <c r="CM95" s="1952"/>
      <c r="CN95" s="1952"/>
      <c r="CP95" s="1952"/>
      <c r="CQ95" s="1952"/>
      <c r="CR95" s="1952"/>
      <c r="CT95" s="3443"/>
    </row>
    <row r="96" spans="1:101" s="1396" customFormat="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963"/>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52"/>
      <c r="CK96" s="1952"/>
      <c r="CL96" s="1952"/>
      <c r="CM96" s="1952"/>
      <c r="CN96" s="1952"/>
      <c r="CP96" s="1952"/>
      <c r="CQ96" s="1952"/>
      <c r="CR96" s="1952"/>
      <c r="CT96" s="3443"/>
    </row>
    <row r="97" spans="1:98">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1963"/>
      <c r="AH97" s="1963"/>
      <c r="AI97" s="1963"/>
      <c r="AJ97" s="1963"/>
      <c r="AK97" s="1963"/>
      <c r="AL97" s="1963"/>
      <c r="AM97" s="1963"/>
      <c r="AN97" s="1963"/>
      <c r="AO97" s="1963"/>
      <c r="AP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98"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952"/>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1952"/>
      <c r="CQ98" s="1952"/>
      <c r="CR98" s="1952"/>
      <c r="CT98" s="3443"/>
    </row>
  </sheetData>
  <mergeCells count="24">
    <mergeCell ref="CP9:CP11"/>
    <mergeCell ref="CR9:CR11"/>
    <mergeCell ref="CJ2:CN3"/>
    <mergeCell ref="CP2:CR3"/>
    <mergeCell ref="A3:B3"/>
    <mergeCell ref="BZ2:CD3"/>
    <mergeCell ref="CE2:CI3"/>
    <mergeCell ref="R2:V3"/>
    <mergeCell ref="A42:A48"/>
    <mergeCell ref="BF2:BJ3"/>
    <mergeCell ref="BK2:BO3"/>
    <mergeCell ref="BP2:BT3"/>
    <mergeCell ref="BU2:BY3"/>
    <mergeCell ref="AB2:AF3"/>
    <mergeCell ref="AG2:AK3"/>
    <mergeCell ref="AL2:AP3"/>
    <mergeCell ref="AQ2:AU3"/>
    <mergeCell ref="AV2:AZ3"/>
    <mergeCell ref="BA2:BE3"/>
    <mergeCell ref="W2:AA3"/>
    <mergeCell ref="A2:B2"/>
    <mergeCell ref="C2:G3"/>
    <mergeCell ref="H2:L3"/>
    <mergeCell ref="M2:Q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CJ72" activePane="bottomRight" state="frozen"/>
      <selection activeCell="Y90" sqref="Y90"/>
      <selection pane="topRight" activeCell="Y90" sqref="Y90"/>
      <selection pane="bottomLeft" activeCell="Y90" sqref="Y90"/>
      <selection pane="bottomRight" activeCell="CR86" sqref="CR86"/>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hidden="1" customWidth="1" outlineLevel="1" collapsed="1"/>
    <col min="19" max="22" width="13.44140625" style="1952" hidden="1" customWidth="1" outlineLevel="1"/>
    <col min="23" max="23" width="13.44140625" style="1952" customWidth="1" collapsed="1"/>
    <col min="24" max="27" width="13.44140625" style="1952" customWidth="1"/>
    <col min="28" max="31" width="12.88671875" style="1952" customWidth="1" outlineLevel="1"/>
    <col min="32" max="32" width="29.33203125" style="1952" customWidth="1" outlineLevel="1"/>
    <col min="33" max="33" width="12.88671875" style="1952" customWidth="1" outlineLevel="1" collapsed="1"/>
    <col min="34" max="36" width="12.88671875" style="1952" customWidth="1" outlineLevel="1"/>
    <col min="37" max="37" width="26.109375" style="1952" customWidth="1" outlineLevel="1"/>
    <col min="38" max="41" width="12.88671875" style="1952" customWidth="1"/>
    <col min="42" max="42" width="26.109375" style="1586" customWidth="1"/>
    <col min="43" max="46" width="12.88671875" style="1952" hidden="1" customWidth="1" outlineLevel="1"/>
    <col min="47" max="47" width="26.109375" style="1952" hidden="1" customWidth="1" outlineLevel="1"/>
    <col min="48" max="51" width="12.88671875" style="1952" hidden="1" customWidth="1" outlineLevel="1"/>
    <col min="52" max="52" width="26.109375" style="1952" hidden="1" customWidth="1" outlineLevel="1"/>
    <col min="53" max="56" width="12.88671875" style="1952" hidden="1" customWidth="1" outlineLevel="1"/>
    <col min="57" max="57" width="26.109375" style="1952" hidden="1" customWidth="1" outlineLevel="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14.33203125" style="1952" customWidth="1"/>
    <col min="93" max="93" width="2.88671875" style="1395"/>
    <col min="94" max="95" width="12.88671875" style="1952" customWidth="1"/>
    <col min="96" max="96" width="14.5546875" style="1952" customWidth="1"/>
    <col min="97" max="97" width="2.88671875" style="1395" customWidth="1" outlineLevel="1"/>
    <col min="98" max="98" width="11.6640625" style="1522" customWidth="1" outlineLevel="1"/>
    <col min="99" max="99" width="31.5546875" style="1395" customWidth="1" outlineLevel="1"/>
    <col min="100" max="100" width="8.44140625" style="1395" customWidth="1" outlineLevel="1"/>
    <col min="101" max="101" width="7.6640625" style="1395" bestFit="1" customWidth="1"/>
    <col min="102" max="16384" width="2.88671875" style="1395"/>
  </cols>
  <sheetData>
    <row r="1" spans="1:99" ht="13.8" thickBot="1"/>
    <row r="2" spans="1:99" ht="13.8">
      <c r="A2" s="4834" t="s">
        <v>1917</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1992</v>
      </c>
      <c r="CK2" s="4875"/>
      <c r="CL2" s="4875"/>
      <c r="CM2" s="4875"/>
      <c r="CN2" s="4876"/>
      <c r="CP2" s="5168" t="s">
        <v>1918</v>
      </c>
      <c r="CQ2" s="5169"/>
      <c r="CR2" s="5170"/>
    </row>
    <row r="3" spans="1:99"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71"/>
      <c r="CQ3" s="5172"/>
      <c r="CR3" s="5173"/>
    </row>
    <row r="4" spans="1:99"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1474" t="s">
        <v>1850</v>
      </c>
      <c r="CQ4" s="1474" t="s">
        <v>1982</v>
      </c>
      <c r="CR4" s="1474" t="s">
        <v>1826</v>
      </c>
    </row>
    <row r="5" spans="1:99"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136000</v>
      </c>
      <c r="X5" s="1466">
        <f>X6</f>
        <v>0</v>
      </c>
      <c r="Y5" s="1466">
        <f>Y6+Y7</f>
        <v>136000</v>
      </c>
      <c r="Z5" s="1466"/>
      <c r="AA5" s="1466"/>
      <c r="AB5" s="1466">
        <f>AB6</f>
        <v>0</v>
      </c>
      <c r="AC5" s="1466">
        <f>AC6</f>
        <v>0</v>
      </c>
      <c r="AD5" s="1466">
        <f>AD6+AD7</f>
        <v>0</v>
      </c>
      <c r="AE5" s="1466"/>
      <c r="AF5" s="1466"/>
      <c r="AG5" s="1466">
        <f>AG6</f>
        <v>0</v>
      </c>
      <c r="AH5" s="1466">
        <f>AH6</f>
        <v>0</v>
      </c>
      <c r="AI5" s="1466">
        <f>AI6+AI7</f>
        <v>0</v>
      </c>
      <c r="AJ5" s="1466"/>
      <c r="AK5" s="1466"/>
      <c r="AL5" s="1466">
        <f>AL6</f>
        <v>136000</v>
      </c>
      <c r="AM5" s="1466">
        <f>AM6</f>
        <v>0</v>
      </c>
      <c r="AN5" s="1466">
        <f>AN6+AN7</f>
        <v>136000</v>
      </c>
      <c r="AO5" s="1466"/>
      <c r="AP5" s="3718"/>
      <c r="AQ5" s="1466">
        <f>AQ6</f>
        <v>0</v>
      </c>
      <c r="AR5" s="1466">
        <f>AR6</f>
        <v>0</v>
      </c>
      <c r="AS5" s="1466">
        <f>AS6+AS7</f>
        <v>0</v>
      </c>
      <c r="AT5" s="1466"/>
      <c r="AU5" s="1466"/>
      <c r="AV5" s="1466">
        <f>AV6</f>
        <v>0</v>
      </c>
      <c r="AW5" s="1466">
        <f>AW6</f>
        <v>0</v>
      </c>
      <c r="AX5" s="1466">
        <f>AX6+AX7</f>
        <v>0</v>
      </c>
      <c r="AY5" s="1466"/>
      <c r="AZ5" s="1466"/>
      <c r="BA5" s="1466">
        <f>BA6</f>
        <v>0</v>
      </c>
      <c r="BB5" s="1466">
        <f>BB6</f>
        <v>0</v>
      </c>
      <c r="BC5" s="1466">
        <f>BC6+BC7</f>
        <v>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136000</v>
      </c>
      <c r="CK5" s="1466">
        <f>CK6</f>
        <v>0</v>
      </c>
      <c r="CL5" s="1466">
        <f>CL6</f>
        <v>136000</v>
      </c>
      <c r="CM5" s="1466"/>
      <c r="CN5" s="1466"/>
      <c r="CP5" s="1955">
        <f>CP6</f>
        <v>136000</v>
      </c>
      <c r="CQ5" s="1955">
        <f>CQ6</f>
        <v>136000</v>
      </c>
      <c r="CR5" s="3440">
        <f>CR6</f>
        <v>0</v>
      </c>
      <c r="CT5" s="2624"/>
    </row>
    <row r="6" spans="1:99" s="1396" customFormat="1" ht="13.8"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136000</v>
      </c>
      <c r="X6" s="3342">
        <f>AC6+AH6+AM6+AW6+BB6+BG6+BL6+BQ6+BV6+CA6+CF6+AR6</f>
        <v>0</v>
      </c>
      <c r="Y6" s="2012">
        <f t="shared" ref="Y6:Y7" si="3">W6+X6</f>
        <v>136000</v>
      </c>
      <c r="Z6" s="3342"/>
      <c r="AA6" s="3342"/>
      <c r="AB6" s="3341"/>
      <c r="AC6" s="3341"/>
      <c r="AD6" s="2012">
        <f t="shared" ref="AD6:AD7" si="4">AB6+AC6</f>
        <v>0</v>
      </c>
      <c r="AE6" s="3341"/>
      <c r="AF6" s="3342"/>
      <c r="AG6" s="3341"/>
      <c r="AH6" s="3341"/>
      <c r="AI6" s="2012">
        <f t="shared" ref="AI6:AI7" si="5">AG6+AH6</f>
        <v>0</v>
      </c>
      <c r="AJ6" s="3341"/>
      <c r="AK6" s="3342"/>
      <c r="AL6" s="3341">
        <v>136000</v>
      </c>
      <c r="AM6" s="3341"/>
      <c r="AN6" s="2012">
        <f t="shared" ref="AN6:AN7" si="6">AL6+AM6</f>
        <v>136000</v>
      </c>
      <c r="AO6" s="3341"/>
      <c r="AP6" s="3409" t="s">
        <v>1993</v>
      </c>
      <c r="AQ6" s="3341"/>
      <c r="AR6" s="3341"/>
      <c r="AS6" s="2012">
        <f t="shared" ref="AS6:AS7" si="7">AQ6+AR6</f>
        <v>0</v>
      </c>
      <c r="AT6" s="3341"/>
      <c r="AU6" s="3342"/>
      <c r="AV6" s="3341"/>
      <c r="AW6" s="3341"/>
      <c r="AX6" s="2012">
        <f t="shared" ref="AX6:AX7" si="8">AV6+AW6</f>
        <v>0</v>
      </c>
      <c r="AY6" s="3341"/>
      <c r="AZ6" s="3342"/>
      <c r="BA6" s="3341"/>
      <c r="BB6" s="3341"/>
      <c r="BC6" s="2012">
        <f t="shared" ref="BC6:BC7" si="9">BA6+BB6</f>
        <v>0</v>
      </c>
      <c r="BD6" s="3341"/>
      <c r="BE6" s="3342"/>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f>
        <v>136000</v>
      </c>
      <c r="CK6" s="3341">
        <f>D6+I6+N6+X6</f>
        <v>0</v>
      </c>
      <c r="CL6" s="2012">
        <f>CJ6+CK6</f>
        <v>136000</v>
      </c>
      <c r="CM6" s="3341"/>
      <c r="CN6" s="3341"/>
      <c r="CP6" s="2012">
        <v>136000</v>
      </c>
      <c r="CQ6" s="2012">
        <f>CL6</f>
        <v>136000</v>
      </c>
      <c r="CR6" s="4188">
        <f>CP6-CQ6</f>
        <v>0</v>
      </c>
      <c r="CS6" s="3307"/>
      <c r="CT6" s="4058">
        <f>-CR6/CP6</f>
        <v>0</v>
      </c>
    </row>
    <row r="7" spans="1:99" s="1396" customFormat="1" ht="14.4" outlineLevel="1" collapsed="1" thickBot="1">
      <c r="A7" s="1571"/>
      <c r="B7" s="4072" t="s">
        <v>41</v>
      </c>
      <c r="C7" s="3341"/>
      <c r="D7" s="3341"/>
      <c r="E7" s="2012">
        <f t="shared" si="0"/>
        <v>0</v>
      </c>
      <c r="F7" s="4073"/>
      <c r="G7" s="4073"/>
      <c r="H7" s="3341"/>
      <c r="I7" s="3341"/>
      <c r="J7" s="2012">
        <f>H7+I7</f>
        <v>0</v>
      </c>
      <c r="K7" s="4073"/>
      <c r="L7" s="4073"/>
      <c r="M7" s="3341"/>
      <c r="N7" s="3341"/>
      <c r="O7" s="2012">
        <f t="shared" si="1"/>
        <v>0</v>
      </c>
      <c r="P7" s="4073"/>
      <c r="Q7" s="4073"/>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1"/>
      <c r="AC7" s="3341"/>
      <c r="AD7" s="2012">
        <f t="shared" si="4"/>
        <v>0</v>
      </c>
      <c r="AE7" s="4073"/>
      <c r="AF7" s="4073"/>
      <c r="AG7" s="3341"/>
      <c r="AH7" s="3341"/>
      <c r="AI7" s="2012">
        <f t="shared" si="5"/>
        <v>0</v>
      </c>
      <c r="AJ7" s="4073"/>
      <c r="AK7" s="4073"/>
      <c r="AL7" s="3341"/>
      <c r="AM7" s="3341"/>
      <c r="AN7" s="2012">
        <f t="shared" si="6"/>
        <v>0</v>
      </c>
      <c r="AO7" s="4073"/>
      <c r="AP7" s="4163"/>
      <c r="AQ7" s="3341"/>
      <c r="AR7" s="3341"/>
      <c r="AS7" s="2012">
        <f t="shared" si="7"/>
        <v>0</v>
      </c>
      <c r="AT7" s="4073"/>
      <c r="AU7" s="4073"/>
      <c r="AV7" s="3341"/>
      <c r="AW7" s="3341"/>
      <c r="AX7" s="2012">
        <f t="shared" si="8"/>
        <v>0</v>
      </c>
      <c r="AY7" s="4073"/>
      <c r="AZ7" s="4073"/>
      <c r="BA7" s="3341"/>
      <c r="BB7" s="3341"/>
      <c r="BC7" s="2012">
        <f t="shared" si="9"/>
        <v>0</v>
      </c>
      <c r="BD7" s="4073"/>
      <c r="BE7" s="4073"/>
      <c r="BF7" s="3341"/>
      <c r="BG7" s="3341"/>
      <c r="BH7" s="2012">
        <f t="shared" si="10"/>
        <v>0</v>
      </c>
      <c r="BI7" s="4073"/>
      <c r="BJ7" s="4073"/>
      <c r="BK7" s="3341"/>
      <c r="BL7" s="3341"/>
      <c r="BM7" s="2012">
        <f t="shared" si="11"/>
        <v>0</v>
      </c>
      <c r="BN7" s="4073"/>
      <c r="BO7" s="4073"/>
      <c r="BP7" s="3341"/>
      <c r="BQ7" s="3341"/>
      <c r="BR7" s="2012">
        <f t="shared" si="12"/>
        <v>0</v>
      </c>
      <c r="BS7" s="4073"/>
      <c r="BT7" s="4073"/>
      <c r="BU7" s="3341"/>
      <c r="BV7" s="3341"/>
      <c r="BW7" s="2012">
        <f t="shared" si="13"/>
        <v>0</v>
      </c>
      <c r="BX7" s="4073"/>
      <c r="BY7" s="4073"/>
      <c r="BZ7" s="3341"/>
      <c r="CA7" s="3341"/>
      <c r="CB7" s="2012">
        <f t="shared" si="14"/>
        <v>0</v>
      </c>
      <c r="CC7" s="4073"/>
      <c r="CD7" s="4073"/>
      <c r="CE7" s="3341"/>
      <c r="CF7" s="3341"/>
      <c r="CG7" s="2012">
        <f t="shared" si="15"/>
        <v>0</v>
      </c>
      <c r="CH7" s="4073"/>
      <c r="CI7" s="4073"/>
      <c r="CJ7" s="3341">
        <f>C7+H7+M7+W7</f>
        <v>0</v>
      </c>
      <c r="CK7" s="3341">
        <f>D7+I7+N7+X7</f>
        <v>0</v>
      </c>
      <c r="CL7" s="2012">
        <f>CJ7+CK7</f>
        <v>0</v>
      </c>
      <c r="CM7" s="4073"/>
      <c r="CN7" s="4073"/>
      <c r="CP7" s="2012"/>
      <c r="CQ7" s="2012"/>
      <c r="CR7" s="3442"/>
      <c r="CT7" s="2624"/>
    </row>
    <row r="8" spans="1:99" s="1396" customFormat="1" ht="14.4" outlineLevel="1" thickBot="1">
      <c r="A8" s="1571"/>
      <c r="B8" s="1463" t="s">
        <v>16</v>
      </c>
      <c r="C8" s="1957">
        <f>SUM(C9:C33)</f>
        <v>0</v>
      </c>
      <c r="D8" s="1957">
        <f>SUM(D9:D33)</f>
        <v>0</v>
      </c>
      <c r="E8" s="1484">
        <f>SUM(E9:E33)</f>
        <v>0</v>
      </c>
      <c r="F8" s="1528" t="e">
        <f t="shared" ref="F8:F33" si="16">E8/$E$89</f>
        <v>#DIV/0!</v>
      </c>
      <c r="G8" s="1466"/>
      <c r="H8" s="1957">
        <f>SUM(H9:H33)</f>
        <v>0</v>
      </c>
      <c r="I8" s="1957">
        <f>SUM(I9:I33)</f>
        <v>0</v>
      </c>
      <c r="J8" s="1484">
        <f>SUM(J9:J33)</f>
        <v>0</v>
      </c>
      <c r="K8" s="1528" t="e">
        <f t="shared" ref="K8" si="17">J8/$E$89</f>
        <v>#DIV/0!</v>
      </c>
      <c r="L8" s="1466"/>
      <c r="M8" s="1957">
        <f>SUM(M9:M33)</f>
        <v>0</v>
      </c>
      <c r="N8" s="1957">
        <f>SUM(N9:N33)</f>
        <v>0</v>
      </c>
      <c r="O8" s="1484">
        <f>SUM(O9:O33)</f>
        <v>0</v>
      </c>
      <c r="P8" s="1528" t="e">
        <f t="shared" ref="P8" si="18">O8/$E$89</f>
        <v>#DIV/0!</v>
      </c>
      <c r="Q8" s="1466"/>
      <c r="R8" s="1957">
        <f>SUM(R9:R33)</f>
        <v>0</v>
      </c>
      <c r="S8" s="1957">
        <f>SUM(S9:S33)</f>
        <v>0</v>
      </c>
      <c r="T8" s="1484">
        <f>SUM(T9:T33)</f>
        <v>0</v>
      </c>
      <c r="U8" s="1528"/>
      <c r="V8" s="1466"/>
      <c r="W8" s="1957">
        <f>SUM(W9:W33)</f>
        <v>92599.894</v>
      </c>
      <c r="X8" s="1957">
        <f>SUM(X9:X33)</f>
        <v>25471.85</v>
      </c>
      <c r="Y8" s="1484">
        <f>SUM(Y9:Y33)</f>
        <v>118071.74400000001</v>
      </c>
      <c r="Z8" s="1528"/>
      <c r="AA8" s="1466"/>
      <c r="AB8" s="1957">
        <f>SUM(AB9:AB33)</f>
        <v>0</v>
      </c>
      <c r="AC8" s="1957">
        <f>SUM(AC9:AC33)</f>
        <v>0</v>
      </c>
      <c r="AD8" s="1484">
        <f>SUM(AD9:AD33)</f>
        <v>0</v>
      </c>
      <c r="AE8" s="1528"/>
      <c r="AF8" s="1466"/>
      <c r="AG8" s="1957">
        <f>SUM(AG9:AG33)</f>
        <v>21755.14</v>
      </c>
      <c r="AH8" s="1957">
        <f>SUM(AH9:AH33)</f>
        <v>17951.849999999999</v>
      </c>
      <c r="AI8" s="1484">
        <f>SUM(AI9:AI33)</f>
        <v>39706.99</v>
      </c>
      <c r="AJ8" s="1528"/>
      <c r="AK8" s="1466"/>
      <c r="AL8" s="1957">
        <f>SUM(AL9:AL33)</f>
        <v>70844.754000000001</v>
      </c>
      <c r="AM8" s="1957">
        <f>SUM(AM9:AM33)</f>
        <v>7520</v>
      </c>
      <c r="AN8" s="1484">
        <f>SUM(AN9:AN33)</f>
        <v>78364.754000000001</v>
      </c>
      <c r="AO8" s="1528"/>
      <c r="AP8" s="3718"/>
      <c r="AQ8" s="1957">
        <f>SUM(AQ9:AQ33)</f>
        <v>0</v>
      </c>
      <c r="AR8" s="1957">
        <f>SUM(AR9:AR33)</f>
        <v>0</v>
      </c>
      <c r="AS8" s="1484">
        <f>SUM(AS9:AS33)</f>
        <v>0</v>
      </c>
      <c r="AT8" s="1528"/>
      <c r="AU8" s="1466"/>
      <c r="AV8" s="1957">
        <f>SUM(AV9:AV33)</f>
        <v>0</v>
      </c>
      <c r="AW8" s="1957">
        <f>SUM(AW9:AW33)</f>
        <v>0</v>
      </c>
      <c r="AX8" s="1484">
        <f>SUM(AX9:AX33)</f>
        <v>0</v>
      </c>
      <c r="AY8" s="1528"/>
      <c r="AZ8" s="1466"/>
      <c r="BA8" s="1957">
        <f>SUM(BA9:BA33)</f>
        <v>0</v>
      </c>
      <c r="BB8" s="1957">
        <f>SUM(BB9:BB33)</f>
        <v>0</v>
      </c>
      <c r="BC8" s="1484">
        <f>SUM(BC9:BC33)</f>
        <v>0</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92599.894</v>
      </c>
      <c r="CK8" s="1957">
        <f>SUM(CK9:CK33)</f>
        <v>25471.85</v>
      </c>
      <c r="CL8" s="1484">
        <f>SUM(CL9:CL33)</f>
        <v>118071.74400000001</v>
      </c>
      <c r="CM8" s="1528"/>
      <c r="CN8" s="1466"/>
      <c r="CP8" s="1484">
        <f>SUM(CP9:CP33)</f>
        <v>106577.8</v>
      </c>
      <c r="CQ8" s="1484">
        <f>SUM(CQ9:CQ33)</f>
        <v>118071.74400000001</v>
      </c>
      <c r="CR8" s="3440">
        <f>SUM(CR9:CR33)</f>
        <v>-11493.944</v>
      </c>
      <c r="CT8" s="2624"/>
    </row>
    <row r="9" spans="1:99" s="1396" customFormat="1" ht="26.4" outlineLevel="2">
      <c r="A9" s="1571"/>
      <c r="B9" s="1424" t="s">
        <v>74</v>
      </c>
      <c r="C9" s="3341"/>
      <c r="D9" s="3341"/>
      <c r="E9" s="3349">
        <f t="shared" ref="E9:E32" si="19">C9+D9</f>
        <v>0</v>
      </c>
      <c r="F9" s="4074" t="e">
        <f t="shared" si="16"/>
        <v>#DIV/0!</v>
      </c>
      <c r="G9" s="2047"/>
      <c r="H9" s="3341"/>
      <c r="I9" s="3341"/>
      <c r="J9" s="3349">
        <f t="shared" ref="J9:J32" si="20">H9+I9</f>
        <v>0</v>
      </c>
      <c r="K9" s="4074" t="e">
        <f>J9/J$89</f>
        <v>#DIV/0!</v>
      </c>
      <c r="L9" s="2047"/>
      <c r="M9" s="3341"/>
      <c r="N9" s="3341"/>
      <c r="O9" s="3349">
        <f t="shared" ref="O9:O32" si="21">M9+N9</f>
        <v>0</v>
      </c>
      <c r="P9" s="4074" t="e">
        <f t="shared" ref="P9:P33" si="22">O9/O$89</f>
        <v>#DIV/0!</v>
      </c>
      <c r="Q9" s="2047"/>
      <c r="R9" s="3342">
        <f t="shared" ref="R9:S33" si="23">M9+H9+C9</f>
        <v>0</v>
      </c>
      <c r="S9" s="3342">
        <f t="shared" si="23"/>
        <v>0</v>
      </c>
      <c r="T9" s="2012">
        <f t="shared" ref="T9:T33" si="24">R9+S9</f>
        <v>0</v>
      </c>
      <c r="U9" s="2047"/>
      <c r="V9" s="2047"/>
      <c r="W9" s="3342">
        <f t="shared" ref="W9:X33" si="25">AB9+AG9+AL9+AV9+BA9+BF9+BK9+BP9+BU9+BZ9+CE9+AQ9</f>
        <v>8433.42</v>
      </c>
      <c r="X9" s="3342">
        <f t="shared" si="25"/>
        <v>20971.85</v>
      </c>
      <c r="Y9" s="2012">
        <f t="shared" ref="Y9:Y33" si="26">W9+X9</f>
        <v>29405.269999999997</v>
      </c>
      <c r="Z9" s="2047"/>
      <c r="AA9" s="2047"/>
      <c r="AB9" s="3341"/>
      <c r="AC9" s="3341"/>
      <c r="AD9" s="3349">
        <f t="shared" ref="AD9:AD32" si="27">AB9+AC9</f>
        <v>0</v>
      </c>
      <c r="AE9" s="4074" t="e">
        <f>AD9/AD$89</f>
        <v>#DIV/0!</v>
      </c>
      <c r="AF9" s="2047"/>
      <c r="AG9" s="3341">
        <v>6823.42</v>
      </c>
      <c r="AH9" s="3341">
        <v>17951.849999999999</v>
      </c>
      <c r="AI9" s="3349">
        <f t="shared" ref="AI9:AI32" si="28">AG9+AH9</f>
        <v>24775.269999999997</v>
      </c>
      <c r="AJ9" s="4074">
        <f>AI9/AI$89</f>
        <v>0.58446783602394203</v>
      </c>
      <c r="AK9" s="2047" t="s">
        <v>1927</v>
      </c>
      <c r="AL9" s="3342">
        <v>1610</v>
      </c>
      <c r="AM9" s="3341">
        <v>3020</v>
      </c>
      <c r="AN9" s="3349">
        <f t="shared" ref="AN9:AN32" si="29">AL9+AM9</f>
        <v>4630</v>
      </c>
      <c r="AO9" s="4074">
        <f>AN9/AN$89</f>
        <v>5.8247469313592419E-2</v>
      </c>
      <c r="AP9" s="3780" t="s">
        <v>1927</v>
      </c>
      <c r="AQ9" s="3341"/>
      <c r="AR9" s="3341"/>
      <c r="AS9" s="3349">
        <f t="shared" ref="AS9:AS32" si="30">AQ9+AR9</f>
        <v>0</v>
      </c>
      <c r="AT9" s="4074" t="e">
        <f>AS9/AS$89</f>
        <v>#DIV/0!</v>
      </c>
      <c r="AU9" s="2047"/>
      <c r="AV9" s="3341"/>
      <c r="AW9" s="3341"/>
      <c r="AX9" s="3349">
        <f t="shared" ref="AX9:AX32" si="31">AV9+AW9</f>
        <v>0</v>
      </c>
      <c r="AY9" s="4074" t="e">
        <f>AX9/AX$89</f>
        <v>#DIV/0!</v>
      </c>
      <c r="AZ9" s="2047"/>
      <c r="BA9" s="3341"/>
      <c r="BB9" s="3341"/>
      <c r="BC9" s="3349">
        <f t="shared" ref="BC9:BC32" si="32">BA9+BB9</f>
        <v>0</v>
      </c>
      <c r="BD9" s="4074" t="e">
        <f>BC9/BC$89</f>
        <v>#DIV/0!</v>
      </c>
      <c r="BE9" s="2047"/>
      <c r="BF9" s="3341"/>
      <c r="BG9" s="3341"/>
      <c r="BH9" s="3349">
        <f t="shared" ref="BH9:BH32" si="33">BF9+BG9</f>
        <v>0</v>
      </c>
      <c r="BI9" s="4074" t="e">
        <f>BH9/BH$89</f>
        <v>#DIV/0!</v>
      </c>
      <c r="BJ9" s="2047"/>
      <c r="BK9" s="3341"/>
      <c r="BL9" s="3341"/>
      <c r="BM9" s="3349">
        <f t="shared" ref="BM9:BM32" si="34">BK9+BL9</f>
        <v>0</v>
      </c>
      <c r="BN9" s="4074" t="e">
        <f>BM9/BM$89</f>
        <v>#DIV/0!</v>
      </c>
      <c r="BO9" s="2047"/>
      <c r="BP9" s="3341"/>
      <c r="BQ9" s="3341"/>
      <c r="BR9" s="3349">
        <f t="shared" ref="BR9:BR32" si="35">BP9+BQ9</f>
        <v>0</v>
      </c>
      <c r="BS9" s="4074" t="e">
        <f>BR9/BR$89</f>
        <v>#DIV/0!</v>
      </c>
      <c r="BT9" s="2047"/>
      <c r="BU9" s="3341"/>
      <c r="BV9" s="3341"/>
      <c r="BW9" s="3349">
        <f t="shared" ref="BW9:BW32" si="36">BU9+BV9</f>
        <v>0</v>
      </c>
      <c r="BX9" s="4074" t="e">
        <f>BW9/BW$89</f>
        <v>#DIV/0!</v>
      </c>
      <c r="BY9" s="2047"/>
      <c r="BZ9" s="3341"/>
      <c r="CA9" s="3341"/>
      <c r="CB9" s="3349">
        <f t="shared" ref="CB9:CB32" si="37">BZ9+CA9</f>
        <v>0</v>
      </c>
      <c r="CC9" s="4074" t="e">
        <f>CB9/CB$89</f>
        <v>#DIV/0!</v>
      </c>
      <c r="CD9" s="2047"/>
      <c r="CE9" s="3341"/>
      <c r="CF9" s="3341"/>
      <c r="CG9" s="3349">
        <f t="shared" ref="CG9:CG32" si="38">CE9+CF9</f>
        <v>0</v>
      </c>
      <c r="CH9" s="4074" t="e">
        <f>CG9/CG$89</f>
        <v>#DIV/0!</v>
      </c>
      <c r="CI9" s="2047"/>
      <c r="CJ9" s="3341">
        <f t="shared" ref="CJ9:CK33" si="39">C9+H9+M9+W9</f>
        <v>8433.42</v>
      </c>
      <c r="CK9" s="3341">
        <f t="shared" si="39"/>
        <v>20971.85</v>
      </c>
      <c r="CL9" s="3349">
        <f>CJ9+CK9*1</f>
        <v>29405.269999999997</v>
      </c>
      <c r="CM9" s="4074">
        <f t="shared" ref="CM9:CM33" si="40">CL9/$CL$89</f>
        <v>0.24126830544591621</v>
      </c>
      <c r="CN9" s="1434"/>
      <c r="CP9" s="2011">
        <v>29325</v>
      </c>
      <c r="CQ9" s="2012">
        <f t="shared" ref="CQ9:CQ32" si="41">CL9</f>
        <v>29405.269999999997</v>
      </c>
      <c r="CR9" s="4188">
        <f>CP9-CQ9</f>
        <v>-80.269999999996799</v>
      </c>
      <c r="CS9" s="3307"/>
      <c r="CT9" s="4189">
        <f>CR9/CP9</f>
        <v>-2.7372549019606751E-3</v>
      </c>
      <c r="CU9" s="3779" t="s">
        <v>1994</v>
      </c>
    </row>
    <row r="10" spans="1:99" s="1396" customFormat="1" ht="13.8" outlineLevel="2">
      <c r="A10" s="1571"/>
      <c r="B10" s="1424" t="s">
        <v>72</v>
      </c>
      <c r="C10" s="3341"/>
      <c r="D10" s="3341"/>
      <c r="E10" s="3349">
        <f t="shared" si="19"/>
        <v>0</v>
      </c>
      <c r="F10" s="4074" t="e">
        <f t="shared" si="16"/>
        <v>#DIV/0!</v>
      </c>
      <c r="G10" s="2047"/>
      <c r="H10" s="3341"/>
      <c r="I10" s="3341"/>
      <c r="J10" s="3349">
        <f t="shared" si="20"/>
        <v>0</v>
      </c>
      <c r="K10" s="4074" t="e">
        <f t="shared" ref="K10:K33" si="42">J10/J$89</f>
        <v>#DIV/0!</v>
      </c>
      <c r="L10" s="2047"/>
      <c r="M10" s="3341"/>
      <c r="N10" s="3341"/>
      <c r="O10" s="3349">
        <f t="shared" si="21"/>
        <v>0</v>
      </c>
      <c r="P10" s="4074" t="e">
        <f t="shared" si="22"/>
        <v>#DIV/0!</v>
      </c>
      <c r="Q10" s="2047"/>
      <c r="R10" s="3342">
        <f t="shared" si="23"/>
        <v>0</v>
      </c>
      <c r="S10" s="3342">
        <f t="shared" si="23"/>
        <v>0</v>
      </c>
      <c r="T10" s="2012">
        <f t="shared" si="24"/>
        <v>0</v>
      </c>
      <c r="U10" s="2047"/>
      <c r="V10" s="2047"/>
      <c r="W10" s="3342">
        <f t="shared" si="25"/>
        <v>1644.52</v>
      </c>
      <c r="X10" s="3342">
        <f t="shared" si="25"/>
        <v>0</v>
      </c>
      <c r="Y10" s="2012">
        <f t="shared" si="26"/>
        <v>1644.52</v>
      </c>
      <c r="Z10" s="2047"/>
      <c r="AA10" s="2047"/>
      <c r="AB10" s="3341"/>
      <c r="AC10" s="3341"/>
      <c r="AD10" s="3349">
        <f t="shared" si="27"/>
        <v>0</v>
      </c>
      <c r="AE10" s="4074" t="e">
        <f t="shared" ref="AE10:AE33" si="43">AD10/AD$89</f>
        <v>#DIV/0!</v>
      </c>
      <c r="AF10" s="2047"/>
      <c r="AG10" s="3341">
        <v>1330.57</v>
      </c>
      <c r="AH10" s="3341"/>
      <c r="AI10" s="3349">
        <f t="shared" si="28"/>
        <v>1330.57</v>
      </c>
      <c r="AJ10" s="4074">
        <f t="shared" ref="AJ10:AJ33" si="44">AI10/AI$89</f>
        <v>3.1389178345114975E-2</v>
      </c>
      <c r="AK10" s="2047"/>
      <c r="AL10" s="3341">
        <v>313.95</v>
      </c>
      <c r="AM10" s="3341"/>
      <c r="AN10" s="3349">
        <f t="shared" si="29"/>
        <v>313.95</v>
      </c>
      <c r="AO10" s="4074">
        <f t="shared" ref="AO10:AO33" si="45">AN10/AN$89</f>
        <v>3.9496313155512608E-3</v>
      </c>
      <c r="AP10" s="3780"/>
      <c r="AQ10" s="3341"/>
      <c r="AR10" s="3341"/>
      <c r="AS10" s="3349">
        <f t="shared" si="30"/>
        <v>0</v>
      </c>
      <c r="AT10" s="4074" t="e">
        <f t="shared" ref="AT10:AT33" si="46">AS10/AS$89</f>
        <v>#DIV/0!</v>
      </c>
      <c r="AU10" s="2047"/>
      <c r="AV10" s="3341"/>
      <c r="AW10" s="3341"/>
      <c r="AX10" s="3349">
        <f t="shared" si="31"/>
        <v>0</v>
      </c>
      <c r="AY10" s="4074" t="e">
        <f t="shared" ref="AY10:AY33" si="47">AX10/AX$89</f>
        <v>#DIV/0!</v>
      </c>
      <c r="AZ10" s="2047"/>
      <c r="BA10" s="3341"/>
      <c r="BB10" s="3341"/>
      <c r="BC10" s="3349">
        <f t="shared" si="32"/>
        <v>0</v>
      </c>
      <c r="BD10" s="4074" t="e">
        <f t="shared" ref="BD10:BD33" si="48">BC10/BC$89</f>
        <v>#DIV/0!</v>
      </c>
      <c r="BE10" s="2047"/>
      <c r="BF10" s="3341"/>
      <c r="BG10" s="3341"/>
      <c r="BH10" s="3349">
        <f t="shared" si="33"/>
        <v>0</v>
      </c>
      <c r="BI10" s="4074" t="e">
        <f t="shared" ref="BI10:BI33" si="49">BH10/BH$89</f>
        <v>#DIV/0!</v>
      </c>
      <c r="BJ10" s="2047"/>
      <c r="BK10" s="3341"/>
      <c r="BL10" s="3341"/>
      <c r="BM10" s="3349">
        <f t="shared" si="34"/>
        <v>0</v>
      </c>
      <c r="BN10" s="4074" t="e">
        <f t="shared" ref="BN10:BN33" si="50">BM10/BM$89</f>
        <v>#DIV/0!</v>
      </c>
      <c r="BO10" s="2047"/>
      <c r="BP10" s="3341"/>
      <c r="BQ10" s="3341"/>
      <c r="BR10" s="3349">
        <f t="shared" si="35"/>
        <v>0</v>
      </c>
      <c r="BS10" s="4074" t="e">
        <f t="shared" ref="BS10:BS33" si="51">BR10/BR$89</f>
        <v>#DIV/0!</v>
      </c>
      <c r="BT10" s="2047"/>
      <c r="BU10" s="3341"/>
      <c r="BV10" s="3341"/>
      <c r="BW10" s="3349">
        <f t="shared" si="36"/>
        <v>0</v>
      </c>
      <c r="BX10" s="4074" t="e">
        <f t="shared" ref="BX10:BX33" si="52">BW10/BW$89</f>
        <v>#DIV/0!</v>
      </c>
      <c r="BY10" s="2047"/>
      <c r="BZ10" s="3341"/>
      <c r="CA10" s="3341"/>
      <c r="CB10" s="3349">
        <f t="shared" si="37"/>
        <v>0</v>
      </c>
      <c r="CC10" s="4074" t="e">
        <f t="shared" ref="CC10:CC33" si="53">CB10/CB$89</f>
        <v>#DIV/0!</v>
      </c>
      <c r="CD10" s="2047"/>
      <c r="CE10" s="3341"/>
      <c r="CF10" s="3341"/>
      <c r="CG10" s="3349">
        <f t="shared" si="38"/>
        <v>0</v>
      </c>
      <c r="CH10" s="4074" t="e">
        <f t="shared" ref="CH10:CH33" si="54">CG10/CG$89</f>
        <v>#DIV/0!</v>
      </c>
      <c r="CI10" s="2047"/>
      <c r="CJ10" s="3341">
        <f t="shared" si="39"/>
        <v>1644.52</v>
      </c>
      <c r="CK10" s="3341">
        <f t="shared" si="39"/>
        <v>0</v>
      </c>
      <c r="CL10" s="3349">
        <f t="shared" ref="CL10:CL33" si="55">CJ10+CK10*1</f>
        <v>1644.52</v>
      </c>
      <c r="CM10" s="4074">
        <f t="shared" si="40"/>
        <v>1.3493178388496965E-2</v>
      </c>
      <c r="CN10" s="1434"/>
      <c r="CP10" s="2011"/>
      <c r="CQ10" s="2012">
        <f t="shared" si="41"/>
        <v>1644.52</v>
      </c>
      <c r="CR10" s="4188">
        <f t="shared" ref="CR10:CR33" si="56">CP10-CQ10</f>
        <v>-1644.52</v>
      </c>
      <c r="CT10" s="2624"/>
    </row>
    <row r="11" spans="1:99" s="1396" customFormat="1" ht="13.8" outlineLevel="2">
      <c r="A11" s="1571"/>
      <c r="B11" s="1424" t="s">
        <v>69</v>
      </c>
      <c r="C11" s="3341"/>
      <c r="D11" s="3341"/>
      <c r="E11" s="3349">
        <f t="shared" si="19"/>
        <v>0</v>
      </c>
      <c r="F11" s="4074" t="e">
        <f t="shared" si="16"/>
        <v>#DIV/0!</v>
      </c>
      <c r="G11" s="1055"/>
      <c r="H11" s="3341"/>
      <c r="I11" s="3341"/>
      <c r="J11" s="3349">
        <f t="shared" si="20"/>
        <v>0</v>
      </c>
      <c r="K11" s="4074" t="e">
        <f t="shared" si="42"/>
        <v>#DIV/0!</v>
      </c>
      <c r="L11" s="1055"/>
      <c r="M11" s="3341"/>
      <c r="N11" s="3341"/>
      <c r="O11" s="3349">
        <f t="shared" si="21"/>
        <v>0</v>
      </c>
      <c r="P11" s="4074" t="e">
        <f t="shared" si="22"/>
        <v>#DIV/0!</v>
      </c>
      <c r="Q11" s="1055"/>
      <c r="R11" s="3342">
        <f t="shared" si="23"/>
        <v>0</v>
      </c>
      <c r="S11" s="3342">
        <f t="shared" si="23"/>
        <v>0</v>
      </c>
      <c r="T11" s="2012">
        <f t="shared" si="24"/>
        <v>0</v>
      </c>
      <c r="U11" s="1055"/>
      <c r="V11" s="1055"/>
      <c r="W11" s="3342">
        <f t="shared" si="25"/>
        <v>1855.3500000000001</v>
      </c>
      <c r="X11" s="3342">
        <f t="shared" si="25"/>
        <v>0</v>
      </c>
      <c r="Y11" s="2012">
        <f t="shared" si="26"/>
        <v>1855.3500000000001</v>
      </c>
      <c r="Z11" s="1055"/>
      <c r="AA11" s="1055"/>
      <c r="AB11" s="3341"/>
      <c r="AC11" s="3341"/>
      <c r="AD11" s="3349">
        <f t="shared" si="27"/>
        <v>0</v>
      </c>
      <c r="AE11" s="4074" t="e">
        <f t="shared" si="43"/>
        <v>#DIV/0!</v>
      </c>
      <c r="AF11" s="1055"/>
      <c r="AG11" s="3341">
        <v>1501.15</v>
      </c>
      <c r="AH11" s="3341"/>
      <c r="AI11" s="3349">
        <f t="shared" si="28"/>
        <v>1501.15</v>
      </c>
      <c r="AJ11" s="4074">
        <f t="shared" si="44"/>
        <v>3.541329285401696E-2</v>
      </c>
      <c r="AK11" s="1055"/>
      <c r="AL11" s="3341">
        <v>354.2</v>
      </c>
      <c r="AM11" s="3341"/>
      <c r="AN11" s="3349">
        <f t="shared" si="29"/>
        <v>354.2</v>
      </c>
      <c r="AO11" s="4074">
        <f t="shared" si="45"/>
        <v>4.4559943047244996E-3</v>
      </c>
      <c r="AP11" s="3720"/>
      <c r="AQ11" s="3341"/>
      <c r="AR11" s="3341"/>
      <c r="AS11" s="3349">
        <f t="shared" si="30"/>
        <v>0</v>
      </c>
      <c r="AT11" s="4074" t="e">
        <f t="shared" si="46"/>
        <v>#DIV/0!</v>
      </c>
      <c r="AU11" s="1055"/>
      <c r="AV11" s="3341"/>
      <c r="AW11" s="3341"/>
      <c r="AX11" s="3349">
        <f t="shared" si="31"/>
        <v>0</v>
      </c>
      <c r="AY11" s="4074" t="e">
        <f t="shared" si="47"/>
        <v>#DIV/0!</v>
      </c>
      <c r="AZ11" s="1055"/>
      <c r="BA11" s="3341"/>
      <c r="BB11" s="3341"/>
      <c r="BC11" s="3349">
        <f t="shared" si="32"/>
        <v>0</v>
      </c>
      <c r="BD11" s="4074" t="e">
        <f t="shared" si="48"/>
        <v>#DIV/0!</v>
      </c>
      <c r="BE11" s="1055"/>
      <c r="BF11" s="3341"/>
      <c r="BG11" s="3341"/>
      <c r="BH11" s="3349">
        <f t="shared" si="33"/>
        <v>0</v>
      </c>
      <c r="BI11" s="4074" t="e">
        <f t="shared" si="49"/>
        <v>#DIV/0!</v>
      </c>
      <c r="BJ11" s="1055"/>
      <c r="BK11" s="3341"/>
      <c r="BL11" s="3341"/>
      <c r="BM11" s="3349">
        <f t="shared" si="34"/>
        <v>0</v>
      </c>
      <c r="BN11" s="4074" t="e">
        <f t="shared" si="50"/>
        <v>#DIV/0!</v>
      </c>
      <c r="BO11" s="1055"/>
      <c r="BP11" s="3341"/>
      <c r="BQ11" s="3341"/>
      <c r="BR11" s="3349">
        <f t="shared" si="35"/>
        <v>0</v>
      </c>
      <c r="BS11" s="4074" t="e">
        <f t="shared" si="51"/>
        <v>#DIV/0!</v>
      </c>
      <c r="BT11" s="1055"/>
      <c r="BU11" s="3341"/>
      <c r="BV11" s="3341"/>
      <c r="BW11" s="3349">
        <f t="shared" si="36"/>
        <v>0</v>
      </c>
      <c r="BX11" s="4074" t="e">
        <f t="shared" si="52"/>
        <v>#DIV/0!</v>
      </c>
      <c r="BY11" s="1055"/>
      <c r="BZ11" s="3341"/>
      <c r="CA11" s="3341"/>
      <c r="CB11" s="3349">
        <f t="shared" si="37"/>
        <v>0</v>
      </c>
      <c r="CC11" s="4074" t="e">
        <f t="shared" si="53"/>
        <v>#DIV/0!</v>
      </c>
      <c r="CD11" s="1055"/>
      <c r="CE11" s="3341"/>
      <c r="CF11" s="3341"/>
      <c r="CG11" s="3349">
        <f t="shared" si="38"/>
        <v>0</v>
      </c>
      <c r="CH11" s="4074" t="e">
        <f t="shared" si="54"/>
        <v>#DIV/0!</v>
      </c>
      <c r="CI11" s="1055"/>
      <c r="CJ11" s="3341">
        <f t="shared" si="39"/>
        <v>1855.3500000000001</v>
      </c>
      <c r="CK11" s="3341">
        <f t="shared" si="39"/>
        <v>0</v>
      </c>
      <c r="CL11" s="3349">
        <f t="shared" si="55"/>
        <v>1855.3500000000001</v>
      </c>
      <c r="CM11" s="4074">
        <f t="shared" si="40"/>
        <v>1.5223024665615405E-2</v>
      </c>
      <c r="CN11" s="1434"/>
      <c r="CP11" s="2011"/>
      <c r="CQ11" s="2012">
        <f t="shared" si="41"/>
        <v>1855.3500000000001</v>
      </c>
      <c r="CR11" s="4188">
        <f t="shared" si="56"/>
        <v>-1855.3500000000001</v>
      </c>
      <c r="CT11" s="2624"/>
    </row>
    <row r="12" spans="1:99" s="1396" customFormat="1" ht="13.8" outlineLevel="2">
      <c r="A12" s="1571"/>
      <c r="B12" s="1424" t="s">
        <v>73</v>
      </c>
      <c r="C12" s="3341"/>
      <c r="D12" s="3341"/>
      <c r="E12" s="3349">
        <f t="shared" si="19"/>
        <v>0</v>
      </c>
      <c r="F12" s="4074" t="e">
        <f t="shared" si="16"/>
        <v>#DIV/0!</v>
      </c>
      <c r="G12" s="1055"/>
      <c r="H12" s="3341"/>
      <c r="I12" s="3341"/>
      <c r="J12" s="3349">
        <f t="shared" si="20"/>
        <v>0</v>
      </c>
      <c r="K12" s="4074" t="e">
        <f t="shared" si="42"/>
        <v>#DIV/0!</v>
      </c>
      <c r="L12" s="1055"/>
      <c r="M12" s="3341"/>
      <c r="N12" s="3341"/>
      <c r="O12" s="3349">
        <f t="shared" si="21"/>
        <v>0</v>
      </c>
      <c r="P12" s="4074" t="e">
        <f t="shared" si="22"/>
        <v>#DIV/0!</v>
      </c>
      <c r="Q12" s="1055"/>
      <c r="R12" s="3342">
        <f t="shared" si="23"/>
        <v>0</v>
      </c>
      <c r="S12" s="3342">
        <f t="shared" si="23"/>
        <v>0</v>
      </c>
      <c r="T12" s="2012">
        <f t="shared" si="24"/>
        <v>0</v>
      </c>
      <c r="U12" s="1055"/>
      <c r="V12" s="1055"/>
      <c r="W12" s="3342">
        <f t="shared" si="25"/>
        <v>0</v>
      </c>
      <c r="X12" s="3342">
        <f t="shared" si="25"/>
        <v>0</v>
      </c>
      <c r="Y12" s="2012">
        <f t="shared" si="26"/>
        <v>0</v>
      </c>
      <c r="Z12" s="1055"/>
      <c r="AA12" s="1055"/>
      <c r="AB12" s="3341"/>
      <c r="AC12" s="3341"/>
      <c r="AD12" s="3349">
        <f t="shared" si="27"/>
        <v>0</v>
      </c>
      <c r="AE12" s="4074" t="e">
        <f t="shared" si="43"/>
        <v>#DIV/0!</v>
      </c>
      <c r="AF12" s="1055"/>
      <c r="AG12" s="3341"/>
      <c r="AH12" s="3341"/>
      <c r="AI12" s="3349">
        <f t="shared" si="28"/>
        <v>0</v>
      </c>
      <c r="AJ12" s="4074">
        <f t="shared" si="44"/>
        <v>0</v>
      </c>
      <c r="AK12" s="1055"/>
      <c r="AL12" s="3341"/>
      <c r="AM12" s="3341"/>
      <c r="AN12" s="3349">
        <f t="shared" si="29"/>
        <v>0</v>
      </c>
      <c r="AO12" s="4074">
        <f t="shared" si="45"/>
        <v>0</v>
      </c>
      <c r="AP12" s="3720"/>
      <c r="AQ12" s="3341"/>
      <c r="AR12" s="3341"/>
      <c r="AS12" s="3349">
        <f t="shared" si="30"/>
        <v>0</v>
      </c>
      <c r="AT12" s="4074" t="e">
        <f t="shared" si="46"/>
        <v>#DIV/0!</v>
      </c>
      <c r="AU12" s="1055"/>
      <c r="AV12" s="3341"/>
      <c r="AW12" s="3341"/>
      <c r="AX12" s="3349">
        <f t="shared" si="31"/>
        <v>0</v>
      </c>
      <c r="AY12" s="4074" t="e">
        <f t="shared" si="47"/>
        <v>#DIV/0!</v>
      </c>
      <c r="AZ12" s="1055"/>
      <c r="BA12" s="3341"/>
      <c r="BB12" s="3341"/>
      <c r="BC12" s="3349">
        <f t="shared" si="32"/>
        <v>0</v>
      </c>
      <c r="BD12" s="4074" t="e">
        <f t="shared" si="48"/>
        <v>#DIV/0!</v>
      </c>
      <c r="BE12" s="1055"/>
      <c r="BF12" s="3341"/>
      <c r="BG12" s="3341"/>
      <c r="BH12" s="3349">
        <f t="shared" si="33"/>
        <v>0</v>
      </c>
      <c r="BI12" s="4074" t="e">
        <f t="shared" si="49"/>
        <v>#DIV/0!</v>
      </c>
      <c r="BJ12" s="1055"/>
      <c r="BK12" s="3341"/>
      <c r="BL12" s="3341"/>
      <c r="BM12" s="3349">
        <f t="shared" si="34"/>
        <v>0</v>
      </c>
      <c r="BN12" s="4074" t="e">
        <f t="shared" si="50"/>
        <v>#DIV/0!</v>
      </c>
      <c r="BO12" s="1055"/>
      <c r="BP12" s="3341"/>
      <c r="BQ12" s="3341"/>
      <c r="BR12" s="3349">
        <f t="shared" si="35"/>
        <v>0</v>
      </c>
      <c r="BS12" s="4074" t="e">
        <f t="shared" si="51"/>
        <v>#DIV/0!</v>
      </c>
      <c r="BT12" s="1055"/>
      <c r="BU12" s="3341"/>
      <c r="BV12" s="3341"/>
      <c r="BW12" s="3349">
        <f t="shared" si="36"/>
        <v>0</v>
      </c>
      <c r="BX12" s="4074" t="e">
        <f t="shared" si="52"/>
        <v>#DIV/0!</v>
      </c>
      <c r="BY12" s="1055"/>
      <c r="BZ12" s="3341"/>
      <c r="CA12" s="3341"/>
      <c r="CB12" s="3349">
        <f t="shared" si="37"/>
        <v>0</v>
      </c>
      <c r="CC12" s="4074" t="e">
        <f t="shared" si="53"/>
        <v>#DIV/0!</v>
      </c>
      <c r="CD12" s="1055"/>
      <c r="CE12" s="3341"/>
      <c r="CF12" s="3341"/>
      <c r="CG12" s="3349">
        <f t="shared" si="38"/>
        <v>0</v>
      </c>
      <c r="CH12" s="4074" t="e">
        <f t="shared" si="54"/>
        <v>#DIV/0!</v>
      </c>
      <c r="CI12" s="1055"/>
      <c r="CJ12" s="3341">
        <f t="shared" si="39"/>
        <v>0</v>
      </c>
      <c r="CK12" s="3341">
        <f t="shared" si="39"/>
        <v>0</v>
      </c>
      <c r="CL12" s="3349">
        <f t="shared" si="55"/>
        <v>0</v>
      </c>
      <c r="CM12" s="4074">
        <f t="shared" si="40"/>
        <v>0</v>
      </c>
      <c r="CN12" s="1434"/>
      <c r="CP12" s="4186"/>
      <c r="CQ12" s="2012">
        <f t="shared" si="41"/>
        <v>0</v>
      </c>
      <c r="CR12" s="4188">
        <f t="shared" si="56"/>
        <v>0</v>
      </c>
      <c r="CT12" s="2624"/>
    </row>
    <row r="13" spans="1:99" s="1396" customFormat="1" ht="13.8" outlineLevel="2">
      <c r="A13" s="1571"/>
      <c r="B13" s="1424" t="s">
        <v>71</v>
      </c>
      <c r="C13" s="3341"/>
      <c r="D13" s="3341"/>
      <c r="E13" s="3349">
        <f t="shared" si="19"/>
        <v>0</v>
      </c>
      <c r="F13" s="4074" t="e">
        <f t="shared" si="16"/>
        <v>#DIV/0!</v>
      </c>
      <c r="G13" s="1055"/>
      <c r="H13" s="3341"/>
      <c r="I13" s="3341"/>
      <c r="J13" s="3349">
        <f t="shared" si="20"/>
        <v>0</v>
      </c>
      <c r="K13" s="4074" t="e">
        <f t="shared" si="42"/>
        <v>#DIV/0!</v>
      </c>
      <c r="L13" s="1055"/>
      <c r="M13" s="3341"/>
      <c r="N13" s="3341"/>
      <c r="O13" s="3349">
        <f t="shared" si="21"/>
        <v>0</v>
      </c>
      <c r="P13" s="4074" t="e">
        <f t="shared" si="22"/>
        <v>#DIV/0!</v>
      </c>
      <c r="Q13" s="1055"/>
      <c r="R13" s="3342">
        <f t="shared" si="23"/>
        <v>0</v>
      </c>
      <c r="S13" s="3342">
        <f t="shared" si="23"/>
        <v>0</v>
      </c>
      <c r="T13" s="2012">
        <f t="shared" si="24"/>
        <v>0</v>
      </c>
      <c r="U13" s="1055"/>
      <c r="V13" s="1055"/>
      <c r="W13" s="3342">
        <f t="shared" si="25"/>
        <v>0</v>
      </c>
      <c r="X13" s="3342">
        <f t="shared" si="25"/>
        <v>0</v>
      </c>
      <c r="Y13" s="2012">
        <f t="shared" si="26"/>
        <v>0</v>
      </c>
      <c r="Z13" s="1055"/>
      <c r="AA13" s="1055"/>
      <c r="AB13" s="3341"/>
      <c r="AC13" s="3341"/>
      <c r="AD13" s="3349">
        <f t="shared" si="27"/>
        <v>0</v>
      </c>
      <c r="AE13" s="4074" t="e">
        <f t="shared" si="43"/>
        <v>#DIV/0!</v>
      </c>
      <c r="AF13" s="1055"/>
      <c r="AG13" s="3341"/>
      <c r="AH13" s="3341"/>
      <c r="AI13" s="3349">
        <f t="shared" si="28"/>
        <v>0</v>
      </c>
      <c r="AJ13" s="4074">
        <f t="shared" si="44"/>
        <v>0</v>
      </c>
      <c r="AK13" s="1055"/>
      <c r="AL13" s="3341"/>
      <c r="AM13" s="3341"/>
      <c r="AN13" s="3349">
        <f t="shared" si="29"/>
        <v>0</v>
      </c>
      <c r="AO13" s="4074">
        <f t="shared" si="45"/>
        <v>0</v>
      </c>
      <c r="AP13" s="3720"/>
      <c r="AQ13" s="3341"/>
      <c r="AR13" s="3341"/>
      <c r="AS13" s="3349">
        <f t="shared" si="30"/>
        <v>0</v>
      </c>
      <c r="AT13" s="4074" t="e">
        <f t="shared" si="46"/>
        <v>#DIV/0!</v>
      </c>
      <c r="AU13" s="1055"/>
      <c r="AV13" s="3341"/>
      <c r="AW13" s="3341"/>
      <c r="AX13" s="3349">
        <f t="shared" si="31"/>
        <v>0</v>
      </c>
      <c r="AY13" s="4074" t="e">
        <f t="shared" si="47"/>
        <v>#DIV/0!</v>
      </c>
      <c r="AZ13" s="1055"/>
      <c r="BA13" s="3341"/>
      <c r="BB13" s="3341"/>
      <c r="BC13" s="3349">
        <f t="shared" si="32"/>
        <v>0</v>
      </c>
      <c r="BD13" s="4074" t="e">
        <f t="shared" si="48"/>
        <v>#DIV/0!</v>
      </c>
      <c r="BE13" s="1055"/>
      <c r="BF13" s="3341"/>
      <c r="BG13" s="3341"/>
      <c r="BH13" s="3349">
        <f t="shared" si="33"/>
        <v>0</v>
      </c>
      <c r="BI13" s="4074" t="e">
        <f t="shared" si="49"/>
        <v>#DIV/0!</v>
      </c>
      <c r="BJ13" s="1055"/>
      <c r="BK13" s="3341"/>
      <c r="BL13" s="3341"/>
      <c r="BM13" s="3349">
        <f t="shared" si="34"/>
        <v>0</v>
      </c>
      <c r="BN13" s="4074" t="e">
        <f t="shared" si="50"/>
        <v>#DIV/0!</v>
      </c>
      <c r="BO13" s="1055"/>
      <c r="BP13" s="3341"/>
      <c r="BQ13" s="3341"/>
      <c r="BR13" s="3349">
        <f t="shared" si="35"/>
        <v>0</v>
      </c>
      <c r="BS13" s="4074" t="e">
        <f t="shared" si="51"/>
        <v>#DIV/0!</v>
      </c>
      <c r="BT13" s="1055"/>
      <c r="BU13" s="3341"/>
      <c r="BV13" s="3341"/>
      <c r="BW13" s="3349">
        <f t="shared" si="36"/>
        <v>0</v>
      </c>
      <c r="BX13" s="4074" t="e">
        <f t="shared" si="52"/>
        <v>#DIV/0!</v>
      </c>
      <c r="BY13" s="1055"/>
      <c r="BZ13" s="3341"/>
      <c r="CA13" s="3341"/>
      <c r="CB13" s="3349">
        <f t="shared" si="37"/>
        <v>0</v>
      </c>
      <c r="CC13" s="4074" t="e">
        <f t="shared" si="53"/>
        <v>#DIV/0!</v>
      </c>
      <c r="CD13" s="1055"/>
      <c r="CE13" s="3341"/>
      <c r="CF13" s="3341"/>
      <c r="CG13" s="3349">
        <f t="shared" si="38"/>
        <v>0</v>
      </c>
      <c r="CH13" s="4074" t="e">
        <f t="shared" si="54"/>
        <v>#DIV/0!</v>
      </c>
      <c r="CI13" s="1055"/>
      <c r="CJ13" s="3341">
        <f t="shared" si="39"/>
        <v>0</v>
      </c>
      <c r="CK13" s="3341">
        <f t="shared" si="39"/>
        <v>0</v>
      </c>
      <c r="CL13" s="3349">
        <f t="shared" si="55"/>
        <v>0</v>
      </c>
      <c r="CM13" s="4074">
        <f t="shared" si="40"/>
        <v>0</v>
      </c>
      <c r="CN13" s="1434"/>
      <c r="CP13" s="4186"/>
      <c r="CQ13" s="2012">
        <f t="shared" si="41"/>
        <v>0</v>
      </c>
      <c r="CR13" s="4188">
        <f t="shared" si="56"/>
        <v>0</v>
      </c>
      <c r="CT13" s="2624"/>
    </row>
    <row r="14" spans="1:99" s="1396" customFormat="1" ht="13.8" outlineLevel="2">
      <c r="A14" s="1571"/>
      <c r="B14" s="1424" t="s">
        <v>70</v>
      </c>
      <c r="C14" s="3341"/>
      <c r="D14" s="3341"/>
      <c r="E14" s="3349">
        <f t="shared" si="19"/>
        <v>0</v>
      </c>
      <c r="F14" s="4074" t="e">
        <f t="shared" si="16"/>
        <v>#DIV/0!</v>
      </c>
      <c r="G14" s="1055"/>
      <c r="H14" s="3341"/>
      <c r="I14" s="3341"/>
      <c r="J14" s="3349">
        <f t="shared" si="20"/>
        <v>0</v>
      </c>
      <c r="K14" s="4074" t="e">
        <f t="shared" si="42"/>
        <v>#DIV/0!</v>
      </c>
      <c r="L14" s="1055"/>
      <c r="M14" s="3341"/>
      <c r="N14" s="3341"/>
      <c r="O14" s="3349">
        <f t="shared" si="21"/>
        <v>0</v>
      </c>
      <c r="P14" s="4074" t="e">
        <f t="shared" si="22"/>
        <v>#DIV/0!</v>
      </c>
      <c r="Q14" s="1055"/>
      <c r="R14" s="3342">
        <f t="shared" si="23"/>
        <v>0</v>
      </c>
      <c r="S14" s="3342">
        <f t="shared" si="23"/>
        <v>0</v>
      </c>
      <c r="T14" s="2012">
        <f t="shared" si="24"/>
        <v>0</v>
      </c>
      <c r="U14" s="1055"/>
      <c r="V14" s="1055"/>
      <c r="W14" s="3342">
        <f t="shared" si="25"/>
        <v>0</v>
      </c>
      <c r="X14" s="3342">
        <f t="shared" si="25"/>
        <v>0</v>
      </c>
      <c r="Y14" s="2012">
        <f t="shared" si="26"/>
        <v>0</v>
      </c>
      <c r="Z14" s="1055"/>
      <c r="AA14" s="1055"/>
      <c r="AB14" s="3341"/>
      <c r="AC14" s="3341"/>
      <c r="AD14" s="3349">
        <f t="shared" si="27"/>
        <v>0</v>
      </c>
      <c r="AE14" s="4074" t="e">
        <f t="shared" si="43"/>
        <v>#DIV/0!</v>
      </c>
      <c r="AF14" s="1055"/>
      <c r="AG14" s="3341"/>
      <c r="AH14" s="3341"/>
      <c r="AI14" s="3349">
        <f t="shared" si="28"/>
        <v>0</v>
      </c>
      <c r="AJ14" s="4074">
        <f t="shared" si="44"/>
        <v>0</v>
      </c>
      <c r="AK14" s="1055"/>
      <c r="AL14" s="3341"/>
      <c r="AM14" s="3341"/>
      <c r="AN14" s="3349">
        <f t="shared" si="29"/>
        <v>0</v>
      </c>
      <c r="AO14" s="4074">
        <f t="shared" si="45"/>
        <v>0</v>
      </c>
      <c r="AP14" s="3720"/>
      <c r="AQ14" s="3341"/>
      <c r="AR14" s="3341"/>
      <c r="AS14" s="3349">
        <f t="shared" si="30"/>
        <v>0</v>
      </c>
      <c r="AT14" s="4074" t="e">
        <f t="shared" si="46"/>
        <v>#DIV/0!</v>
      </c>
      <c r="AU14" s="1055"/>
      <c r="AV14" s="3341"/>
      <c r="AW14" s="3341"/>
      <c r="AX14" s="3349">
        <f t="shared" si="31"/>
        <v>0</v>
      </c>
      <c r="AY14" s="4074" t="e">
        <f t="shared" si="47"/>
        <v>#DIV/0!</v>
      </c>
      <c r="AZ14" s="1055"/>
      <c r="BA14" s="3341"/>
      <c r="BB14" s="3341"/>
      <c r="BC14" s="3349">
        <f t="shared" si="32"/>
        <v>0</v>
      </c>
      <c r="BD14" s="4074" t="e">
        <f t="shared" si="48"/>
        <v>#DIV/0!</v>
      </c>
      <c r="BE14" s="1055"/>
      <c r="BF14" s="3341"/>
      <c r="BG14" s="3341"/>
      <c r="BH14" s="3349">
        <f t="shared" si="33"/>
        <v>0</v>
      </c>
      <c r="BI14" s="4074" t="e">
        <f t="shared" si="49"/>
        <v>#DIV/0!</v>
      </c>
      <c r="BJ14" s="1055"/>
      <c r="BK14" s="3341"/>
      <c r="BL14" s="3341"/>
      <c r="BM14" s="3349">
        <f t="shared" si="34"/>
        <v>0</v>
      </c>
      <c r="BN14" s="4074" t="e">
        <f t="shared" si="50"/>
        <v>#DIV/0!</v>
      </c>
      <c r="BO14" s="1055"/>
      <c r="BP14" s="3341"/>
      <c r="BQ14" s="3341"/>
      <c r="BR14" s="3349">
        <f t="shared" si="35"/>
        <v>0</v>
      </c>
      <c r="BS14" s="4074" t="e">
        <f t="shared" si="51"/>
        <v>#DIV/0!</v>
      </c>
      <c r="BT14" s="1055"/>
      <c r="BU14" s="3341"/>
      <c r="BV14" s="3341"/>
      <c r="BW14" s="3349">
        <f t="shared" si="36"/>
        <v>0</v>
      </c>
      <c r="BX14" s="4074" t="e">
        <f t="shared" si="52"/>
        <v>#DIV/0!</v>
      </c>
      <c r="BY14" s="1055"/>
      <c r="BZ14" s="3341"/>
      <c r="CA14" s="3341"/>
      <c r="CB14" s="3349">
        <f t="shared" si="37"/>
        <v>0</v>
      </c>
      <c r="CC14" s="4074" t="e">
        <f t="shared" si="53"/>
        <v>#DIV/0!</v>
      </c>
      <c r="CD14" s="1055"/>
      <c r="CE14" s="3341"/>
      <c r="CF14" s="3341"/>
      <c r="CG14" s="3349">
        <f t="shared" si="38"/>
        <v>0</v>
      </c>
      <c r="CH14" s="4074" t="e">
        <f t="shared" si="54"/>
        <v>#DIV/0!</v>
      </c>
      <c r="CI14" s="1055"/>
      <c r="CJ14" s="3341">
        <f t="shared" si="39"/>
        <v>0</v>
      </c>
      <c r="CK14" s="3341">
        <f t="shared" si="39"/>
        <v>0</v>
      </c>
      <c r="CL14" s="3349">
        <f t="shared" si="55"/>
        <v>0</v>
      </c>
      <c r="CM14" s="4074">
        <f t="shared" si="40"/>
        <v>0</v>
      </c>
      <c r="CN14" s="1434"/>
      <c r="CP14" s="4186"/>
      <c r="CQ14" s="2012">
        <f t="shared" si="41"/>
        <v>0</v>
      </c>
      <c r="CR14" s="4188">
        <f t="shared" si="56"/>
        <v>0</v>
      </c>
      <c r="CT14" s="2624"/>
    </row>
    <row r="15" spans="1:99" s="1396" customFormat="1" ht="13.8" outlineLevel="2">
      <c r="A15" s="1571"/>
      <c r="B15" s="4075" t="s">
        <v>20</v>
      </c>
      <c r="C15" s="3341"/>
      <c r="D15" s="3341"/>
      <c r="E15" s="3349">
        <f t="shared" si="19"/>
        <v>0</v>
      </c>
      <c r="F15" s="4074" t="e">
        <f t="shared" si="16"/>
        <v>#DIV/0!</v>
      </c>
      <c r="G15" s="1055"/>
      <c r="H15" s="3341"/>
      <c r="I15" s="3341"/>
      <c r="J15" s="3349">
        <f t="shared" si="20"/>
        <v>0</v>
      </c>
      <c r="K15" s="4074" t="e">
        <f t="shared" si="42"/>
        <v>#DIV/0!</v>
      </c>
      <c r="L15" s="1055"/>
      <c r="M15" s="3341"/>
      <c r="N15" s="3341"/>
      <c r="O15" s="3349">
        <f t="shared" si="21"/>
        <v>0</v>
      </c>
      <c r="P15" s="4074" t="e">
        <f t="shared" si="22"/>
        <v>#DIV/0!</v>
      </c>
      <c r="Q15" s="1055"/>
      <c r="R15" s="3342">
        <f t="shared" si="23"/>
        <v>0</v>
      </c>
      <c r="S15" s="3342">
        <f t="shared" si="23"/>
        <v>0</v>
      </c>
      <c r="T15" s="2012">
        <f t="shared" si="24"/>
        <v>0</v>
      </c>
      <c r="U15" s="1055"/>
      <c r="V15" s="1055"/>
      <c r="W15" s="3342">
        <f t="shared" si="25"/>
        <v>0</v>
      </c>
      <c r="X15" s="3342">
        <f t="shared" si="25"/>
        <v>0</v>
      </c>
      <c r="Y15" s="2012">
        <f t="shared" si="26"/>
        <v>0</v>
      </c>
      <c r="Z15" s="1055"/>
      <c r="AA15" s="1055"/>
      <c r="AB15" s="3341"/>
      <c r="AC15" s="3341"/>
      <c r="AD15" s="3349">
        <f t="shared" si="27"/>
        <v>0</v>
      </c>
      <c r="AE15" s="4074" t="e">
        <f t="shared" si="43"/>
        <v>#DIV/0!</v>
      </c>
      <c r="AF15" s="1055"/>
      <c r="AG15" s="3341"/>
      <c r="AH15" s="3341"/>
      <c r="AI15" s="3349">
        <f t="shared" si="28"/>
        <v>0</v>
      </c>
      <c r="AJ15" s="4074">
        <f t="shared" si="44"/>
        <v>0</v>
      </c>
      <c r="AK15" s="1055"/>
      <c r="AL15" s="3341"/>
      <c r="AM15" s="3341"/>
      <c r="AN15" s="3349">
        <f t="shared" si="29"/>
        <v>0</v>
      </c>
      <c r="AO15" s="4074">
        <f t="shared" si="45"/>
        <v>0</v>
      </c>
      <c r="AP15" s="3720"/>
      <c r="AQ15" s="3341"/>
      <c r="AR15" s="3341"/>
      <c r="AS15" s="3349">
        <f t="shared" si="30"/>
        <v>0</v>
      </c>
      <c r="AT15" s="4074" t="e">
        <f t="shared" si="46"/>
        <v>#DIV/0!</v>
      </c>
      <c r="AU15" s="1055"/>
      <c r="AV15" s="3341"/>
      <c r="AW15" s="3341"/>
      <c r="AX15" s="3349">
        <f t="shared" si="31"/>
        <v>0</v>
      </c>
      <c r="AY15" s="4074" t="e">
        <f t="shared" si="47"/>
        <v>#DIV/0!</v>
      </c>
      <c r="AZ15" s="1055"/>
      <c r="BA15" s="3341"/>
      <c r="BB15" s="3341"/>
      <c r="BC15" s="3349">
        <f t="shared" si="32"/>
        <v>0</v>
      </c>
      <c r="BD15" s="4074" t="e">
        <f t="shared" si="48"/>
        <v>#DIV/0!</v>
      </c>
      <c r="BE15" s="1055"/>
      <c r="BF15" s="3341"/>
      <c r="BG15" s="3341"/>
      <c r="BH15" s="3349">
        <f t="shared" si="33"/>
        <v>0</v>
      </c>
      <c r="BI15" s="4074" t="e">
        <f t="shared" si="49"/>
        <v>#DIV/0!</v>
      </c>
      <c r="BJ15" s="1055"/>
      <c r="BK15" s="3341"/>
      <c r="BL15" s="3341"/>
      <c r="BM15" s="3349">
        <f t="shared" si="34"/>
        <v>0</v>
      </c>
      <c r="BN15" s="4074" t="e">
        <f t="shared" si="50"/>
        <v>#DIV/0!</v>
      </c>
      <c r="BO15" s="1055"/>
      <c r="BP15" s="3341"/>
      <c r="BQ15" s="3341"/>
      <c r="BR15" s="3349">
        <f t="shared" si="35"/>
        <v>0</v>
      </c>
      <c r="BS15" s="4074" t="e">
        <f t="shared" si="51"/>
        <v>#DIV/0!</v>
      </c>
      <c r="BT15" s="1055"/>
      <c r="BU15" s="3341"/>
      <c r="BV15" s="3341"/>
      <c r="BW15" s="3349">
        <f t="shared" si="36"/>
        <v>0</v>
      </c>
      <c r="BX15" s="4074" t="e">
        <f t="shared" si="52"/>
        <v>#DIV/0!</v>
      </c>
      <c r="BY15" s="1055"/>
      <c r="BZ15" s="3341"/>
      <c r="CA15" s="3341"/>
      <c r="CB15" s="3349">
        <f t="shared" si="37"/>
        <v>0</v>
      </c>
      <c r="CC15" s="4074" t="e">
        <f t="shared" si="53"/>
        <v>#DIV/0!</v>
      </c>
      <c r="CD15" s="1055"/>
      <c r="CE15" s="3341"/>
      <c r="CF15" s="3341"/>
      <c r="CG15" s="3349">
        <f t="shared" si="38"/>
        <v>0</v>
      </c>
      <c r="CH15" s="4074" t="e">
        <f t="shared" si="54"/>
        <v>#DIV/0!</v>
      </c>
      <c r="CI15" s="1055"/>
      <c r="CJ15" s="3341">
        <f t="shared" si="39"/>
        <v>0</v>
      </c>
      <c r="CK15" s="3341">
        <f t="shared" si="39"/>
        <v>0</v>
      </c>
      <c r="CL15" s="3349">
        <f t="shared" si="55"/>
        <v>0</v>
      </c>
      <c r="CM15" s="4074">
        <f t="shared" si="40"/>
        <v>0</v>
      </c>
      <c r="CN15" s="1434"/>
      <c r="CP15" s="4186"/>
      <c r="CQ15" s="2012">
        <f t="shared" si="41"/>
        <v>0</v>
      </c>
      <c r="CR15" s="4188">
        <f t="shared" si="56"/>
        <v>0</v>
      </c>
      <c r="CT15" s="2624"/>
    </row>
    <row r="16" spans="1:99" s="1396" customFormat="1" ht="13.8" outlineLevel="2">
      <c r="A16" s="1571"/>
      <c r="B16" s="4075" t="s">
        <v>21</v>
      </c>
      <c r="C16" s="3341"/>
      <c r="D16" s="3341"/>
      <c r="E16" s="3349">
        <f t="shared" si="19"/>
        <v>0</v>
      </c>
      <c r="F16" s="4074" t="e">
        <f t="shared" si="16"/>
        <v>#DIV/0!</v>
      </c>
      <c r="G16" s="1055"/>
      <c r="H16" s="3341"/>
      <c r="I16" s="3341"/>
      <c r="J16" s="3349">
        <f t="shared" si="20"/>
        <v>0</v>
      </c>
      <c r="K16" s="4074" t="e">
        <f t="shared" si="42"/>
        <v>#DIV/0!</v>
      </c>
      <c r="L16" s="1055"/>
      <c r="M16" s="3341"/>
      <c r="N16" s="3341"/>
      <c r="O16" s="3349">
        <f t="shared" si="21"/>
        <v>0</v>
      </c>
      <c r="P16" s="4074" t="e">
        <f t="shared" si="22"/>
        <v>#DIV/0!</v>
      </c>
      <c r="Q16" s="1055"/>
      <c r="R16" s="3342">
        <f t="shared" si="23"/>
        <v>0</v>
      </c>
      <c r="S16" s="3342">
        <f t="shared" si="23"/>
        <v>0</v>
      </c>
      <c r="T16" s="2012">
        <f t="shared" si="24"/>
        <v>0</v>
      </c>
      <c r="U16" s="1055"/>
      <c r="V16" s="1055"/>
      <c r="W16" s="3342">
        <f t="shared" si="25"/>
        <v>0</v>
      </c>
      <c r="X16" s="3342">
        <f t="shared" si="25"/>
        <v>0</v>
      </c>
      <c r="Y16" s="2012">
        <f t="shared" si="26"/>
        <v>0</v>
      </c>
      <c r="Z16" s="1055"/>
      <c r="AA16" s="1055"/>
      <c r="AB16" s="3341"/>
      <c r="AC16" s="3341"/>
      <c r="AD16" s="3349">
        <f t="shared" si="27"/>
        <v>0</v>
      </c>
      <c r="AE16" s="4074" t="e">
        <f t="shared" si="43"/>
        <v>#DIV/0!</v>
      </c>
      <c r="AF16" s="1055"/>
      <c r="AG16" s="3341"/>
      <c r="AH16" s="3341"/>
      <c r="AI16" s="3349">
        <f t="shared" si="28"/>
        <v>0</v>
      </c>
      <c r="AJ16" s="4074">
        <f t="shared" si="44"/>
        <v>0</v>
      </c>
      <c r="AK16" s="1055"/>
      <c r="AL16" s="3341"/>
      <c r="AM16" s="3341"/>
      <c r="AN16" s="3349">
        <f t="shared" si="29"/>
        <v>0</v>
      </c>
      <c r="AO16" s="4074">
        <f t="shared" si="45"/>
        <v>0</v>
      </c>
      <c r="AP16" s="3720"/>
      <c r="AQ16" s="3341"/>
      <c r="AR16" s="3341"/>
      <c r="AS16" s="3349">
        <f t="shared" si="30"/>
        <v>0</v>
      </c>
      <c r="AT16" s="4074" t="e">
        <f t="shared" si="46"/>
        <v>#DIV/0!</v>
      </c>
      <c r="AU16" s="1055"/>
      <c r="AV16" s="3341"/>
      <c r="AW16" s="3341"/>
      <c r="AX16" s="3349">
        <f t="shared" si="31"/>
        <v>0</v>
      </c>
      <c r="AY16" s="4074" t="e">
        <f t="shared" si="47"/>
        <v>#DIV/0!</v>
      </c>
      <c r="AZ16" s="1055"/>
      <c r="BA16" s="3341"/>
      <c r="BB16" s="3341"/>
      <c r="BC16" s="3349">
        <f t="shared" si="32"/>
        <v>0</v>
      </c>
      <c r="BD16" s="4074" t="e">
        <f t="shared" si="48"/>
        <v>#DIV/0!</v>
      </c>
      <c r="BE16" s="1055"/>
      <c r="BF16" s="3341"/>
      <c r="BG16" s="3341"/>
      <c r="BH16" s="3349">
        <f t="shared" si="33"/>
        <v>0</v>
      </c>
      <c r="BI16" s="4074" t="e">
        <f t="shared" si="49"/>
        <v>#DIV/0!</v>
      </c>
      <c r="BJ16" s="1055"/>
      <c r="BK16" s="3341"/>
      <c r="BL16" s="3341"/>
      <c r="BM16" s="3349">
        <f t="shared" si="34"/>
        <v>0</v>
      </c>
      <c r="BN16" s="4074" t="e">
        <f t="shared" si="50"/>
        <v>#DIV/0!</v>
      </c>
      <c r="BO16" s="1055"/>
      <c r="BP16" s="3341"/>
      <c r="BQ16" s="3341"/>
      <c r="BR16" s="3349">
        <f t="shared" si="35"/>
        <v>0</v>
      </c>
      <c r="BS16" s="4074" t="e">
        <f t="shared" si="51"/>
        <v>#DIV/0!</v>
      </c>
      <c r="BT16" s="1055"/>
      <c r="BU16" s="3341"/>
      <c r="BV16" s="3341"/>
      <c r="BW16" s="3349">
        <f t="shared" si="36"/>
        <v>0</v>
      </c>
      <c r="BX16" s="4074" t="e">
        <f t="shared" si="52"/>
        <v>#DIV/0!</v>
      </c>
      <c r="BY16" s="1055"/>
      <c r="BZ16" s="3341"/>
      <c r="CA16" s="3341"/>
      <c r="CB16" s="3349">
        <f t="shared" si="37"/>
        <v>0</v>
      </c>
      <c r="CC16" s="4074" t="e">
        <f t="shared" si="53"/>
        <v>#DIV/0!</v>
      </c>
      <c r="CD16" s="1055"/>
      <c r="CE16" s="3341"/>
      <c r="CF16" s="3341"/>
      <c r="CG16" s="3349">
        <f t="shared" si="38"/>
        <v>0</v>
      </c>
      <c r="CH16" s="4074" t="e">
        <f t="shared" si="54"/>
        <v>#DIV/0!</v>
      </c>
      <c r="CI16" s="1055"/>
      <c r="CJ16" s="3341">
        <f t="shared" si="39"/>
        <v>0</v>
      </c>
      <c r="CK16" s="3341">
        <f t="shared" si="39"/>
        <v>0</v>
      </c>
      <c r="CL16" s="3349">
        <f>CJ16+CK16*1</f>
        <v>0</v>
      </c>
      <c r="CM16" s="4074">
        <f t="shared" si="40"/>
        <v>0</v>
      </c>
      <c r="CN16" s="1434"/>
      <c r="CP16" s="4186"/>
      <c r="CQ16" s="2012">
        <f t="shared" si="41"/>
        <v>0</v>
      </c>
      <c r="CR16" s="4188">
        <f t="shared" si="56"/>
        <v>0</v>
      </c>
      <c r="CT16" s="2624"/>
    </row>
    <row r="17" spans="1:100" s="1396" customFormat="1" ht="13.8" outlineLevel="2">
      <c r="A17" s="1571"/>
      <c r="B17" s="4075" t="s">
        <v>22</v>
      </c>
      <c r="C17" s="3341"/>
      <c r="D17" s="3341"/>
      <c r="E17" s="3349">
        <f t="shared" si="19"/>
        <v>0</v>
      </c>
      <c r="F17" s="4074" t="e">
        <f t="shared" si="16"/>
        <v>#DIV/0!</v>
      </c>
      <c r="G17" s="2047"/>
      <c r="H17" s="3341"/>
      <c r="I17" s="3341"/>
      <c r="J17" s="3349">
        <f t="shared" si="20"/>
        <v>0</v>
      </c>
      <c r="K17" s="4074" t="e">
        <f t="shared" si="42"/>
        <v>#DIV/0!</v>
      </c>
      <c r="L17" s="2047"/>
      <c r="M17" s="3341"/>
      <c r="N17" s="3341"/>
      <c r="O17" s="3349">
        <f t="shared" si="21"/>
        <v>0</v>
      </c>
      <c r="P17" s="4074" t="e">
        <f t="shared" si="22"/>
        <v>#DIV/0!</v>
      </c>
      <c r="Q17" s="2047"/>
      <c r="R17" s="3342">
        <f t="shared" si="23"/>
        <v>0</v>
      </c>
      <c r="S17" s="3342">
        <f t="shared" si="23"/>
        <v>0</v>
      </c>
      <c r="T17" s="2012">
        <f t="shared" si="24"/>
        <v>0</v>
      </c>
      <c r="U17" s="2047"/>
      <c r="V17" s="2047"/>
      <c r="W17" s="3342">
        <f t="shared" si="25"/>
        <v>0</v>
      </c>
      <c r="X17" s="3342">
        <f t="shared" si="25"/>
        <v>0</v>
      </c>
      <c r="Y17" s="2012">
        <f t="shared" si="26"/>
        <v>0</v>
      </c>
      <c r="Z17" s="2047"/>
      <c r="AA17" s="2047"/>
      <c r="AB17" s="3341"/>
      <c r="AC17" s="3341"/>
      <c r="AD17" s="3349">
        <f t="shared" si="27"/>
        <v>0</v>
      </c>
      <c r="AE17" s="4074" t="e">
        <f t="shared" si="43"/>
        <v>#DIV/0!</v>
      </c>
      <c r="AF17" s="2047"/>
      <c r="AG17" s="3341"/>
      <c r="AH17" s="3341"/>
      <c r="AI17" s="3349">
        <f t="shared" si="28"/>
        <v>0</v>
      </c>
      <c r="AJ17" s="4074">
        <f t="shared" si="44"/>
        <v>0</v>
      </c>
      <c r="AK17" s="2047"/>
      <c r="AL17" s="3341"/>
      <c r="AM17" s="3341"/>
      <c r="AN17" s="3349">
        <f t="shared" si="29"/>
        <v>0</v>
      </c>
      <c r="AO17" s="4074">
        <f t="shared" si="45"/>
        <v>0</v>
      </c>
      <c r="AP17" s="3780"/>
      <c r="AQ17" s="3341"/>
      <c r="AR17" s="3341"/>
      <c r="AS17" s="3349">
        <f t="shared" si="30"/>
        <v>0</v>
      </c>
      <c r="AT17" s="4074" t="e">
        <f t="shared" si="46"/>
        <v>#DIV/0!</v>
      </c>
      <c r="AU17" s="2047"/>
      <c r="AV17" s="3341"/>
      <c r="AW17" s="3341"/>
      <c r="AX17" s="3349">
        <f t="shared" si="31"/>
        <v>0</v>
      </c>
      <c r="AY17" s="4074" t="e">
        <f t="shared" si="47"/>
        <v>#DIV/0!</v>
      </c>
      <c r="AZ17" s="2047"/>
      <c r="BA17" s="3341"/>
      <c r="BB17" s="3341"/>
      <c r="BC17" s="3349">
        <f t="shared" si="32"/>
        <v>0</v>
      </c>
      <c r="BD17" s="4074" t="e">
        <f t="shared" si="48"/>
        <v>#DIV/0!</v>
      </c>
      <c r="BE17" s="2047"/>
      <c r="BF17" s="3341"/>
      <c r="BG17" s="3341"/>
      <c r="BH17" s="3349">
        <f t="shared" si="33"/>
        <v>0</v>
      </c>
      <c r="BI17" s="4074" t="e">
        <f t="shared" si="49"/>
        <v>#DIV/0!</v>
      </c>
      <c r="BJ17" s="2047"/>
      <c r="BK17" s="3341"/>
      <c r="BL17" s="3341"/>
      <c r="BM17" s="3349">
        <f t="shared" si="34"/>
        <v>0</v>
      </c>
      <c r="BN17" s="4074" t="e">
        <f t="shared" si="50"/>
        <v>#DIV/0!</v>
      </c>
      <c r="BO17" s="2047"/>
      <c r="BP17" s="3341"/>
      <c r="BQ17" s="3341"/>
      <c r="BR17" s="3349">
        <f t="shared" si="35"/>
        <v>0</v>
      </c>
      <c r="BS17" s="4074" t="e">
        <f t="shared" si="51"/>
        <v>#DIV/0!</v>
      </c>
      <c r="BT17" s="2047"/>
      <c r="BU17" s="3341"/>
      <c r="BV17" s="3341"/>
      <c r="BW17" s="3349">
        <f t="shared" si="36"/>
        <v>0</v>
      </c>
      <c r="BX17" s="4074" t="e">
        <f t="shared" si="52"/>
        <v>#DIV/0!</v>
      </c>
      <c r="BY17" s="2047"/>
      <c r="BZ17" s="3341"/>
      <c r="CA17" s="3341"/>
      <c r="CB17" s="3349">
        <f t="shared" si="37"/>
        <v>0</v>
      </c>
      <c r="CC17" s="4074" t="e">
        <f t="shared" si="53"/>
        <v>#DIV/0!</v>
      </c>
      <c r="CD17" s="2047"/>
      <c r="CE17" s="3341"/>
      <c r="CF17" s="3341"/>
      <c r="CG17" s="3349">
        <f t="shared" si="38"/>
        <v>0</v>
      </c>
      <c r="CH17" s="4074" t="e">
        <f t="shared" si="54"/>
        <v>#DIV/0!</v>
      </c>
      <c r="CI17" s="2047"/>
      <c r="CJ17" s="3341">
        <f t="shared" si="39"/>
        <v>0</v>
      </c>
      <c r="CK17" s="3341">
        <f t="shared" si="39"/>
        <v>0</v>
      </c>
      <c r="CL17" s="3349">
        <f t="shared" si="55"/>
        <v>0</v>
      </c>
      <c r="CM17" s="4074">
        <f t="shared" si="40"/>
        <v>0</v>
      </c>
      <c r="CN17" s="1434"/>
      <c r="CP17" s="4186"/>
      <c r="CQ17" s="2012">
        <f t="shared" si="41"/>
        <v>0</v>
      </c>
      <c r="CR17" s="4188">
        <f t="shared" si="56"/>
        <v>0</v>
      </c>
      <c r="CS17" s="3307"/>
      <c r="CT17" s="3443"/>
    </row>
    <row r="18" spans="1:100" s="1396" customFormat="1" ht="13.8" outlineLevel="2">
      <c r="A18" s="1571"/>
      <c r="B18" s="4075" t="s">
        <v>0</v>
      </c>
      <c r="C18" s="3341"/>
      <c r="D18" s="3341"/>
      <c r="E18" s="3349">
        <f t="shared" si="19"/>
        <v>0</v>
      </c>
      <c r="F18" s="4074" t="e">
        <f t="shared" si="16"/>
        <v>#DIV/0!</v>
      </c>
      <c r="G18" s="1055"/>
      <c r="H18" s="3341"/>
      <c r="I18" s="3341"/>
      <c r="J18" s="3349">
        <f t="shared" si="20"/>
        <v>0</v>
      </c>
      <c r="K18" s="4074" t="e">
        <f t="shared" si="42"/>
        <v>#DIV/0!</v>
      </c>
      <c r="L18" s="1055"/>
      <c r="M18" s="3341"/>
      <c r="N18" s="3341"/>
      <c r="O18" s="3349">
        <f t="shared" si="21"/>
        <v>0</v>
      </c>
      <c r="P18" s="4074" t="e">
        <f t="shared" si="22"/>
        <v>#DIV/0!</v>
      </c>
      <c r="Q18" s="1055"/>
      <c r="R18" s="3342">
        <f t="shared" si="23"/>
        <v>0</v>
      </c>
      <c r="S18" s="3342">
        <f t="shared" si="23"/>
        <v>0</v>
      </c>
      <c r="T18" s="2012">
        <f t="shared" si="24"/>
        <v>0</v>
      </c>
      <c r="U18" s="1055"/>
      <c r="V18" s="1055"/>
      <c r="W18" s="3342">
        <f t="shared" si="25"/>
        <v>0</v>
      </c>
      <c r="X18" s="3342">
        <f t="shared" si="25"/>
        <v>4500</v>
      </c>
      <c r="Y18" s="2012">
        <f t="shared" si="26"/>
        <v>4500</v>
      </c>
      <c r="Z18" s="1055"/>
      <c r="AA18" s="1055"/>
      <c r="AB18" s="3341"/>
      <c r="AC18" s="3341"/>
      <c r="AD18" s="3349">
        <f t="shared" si="27"/>
        <v>0</v>
      </c>
      <c r="AE18" s="4074" t="e">
        <f t="shared" si="43"/>
        <v>#DIV/0!</v>
      </c>
      <c r="AF18" s="1055"/>
      <c r="AG18" s="3341"/>
      <c r="AH18" s="3341"/>
      <c r="AI18" s="3349">
        <f t="shared" si="28"/>
        <v>0</v>
      </c>
      <c r="AJ18" s="4074">
        <f t="shared" si="44"/>
        <v>0</v>
      </c>
      <c r="AK18" s="2047"/>
      <c r="AL18" s="3341"/>
      <c r="AM18" s="3341">
        <v>4500</v>
      </c>
      <c r="AN18" s="3349">
        <f t="shared" si="29"/>
        <v>4500</v>
      </c>
      <c r="AO18" s="4074">
        <f t="shared" si="45"/>
        <v>5.6612011211914878E-2</v>
      </c>
      <c r="AP18" s="3780" t="s">
        <v>1995</v>
      </c>
      <c r="AQ18" s="3341"/>
      <c r="AR18" s="3341"/>
      <c r="AS18" s="3349">
        <f t="shared" si="30"/>
        <v>0</v>
      </c>
      <c r="AT18" s="4074" t="e">
        <f t="shared" si="46"/>
        <v>#DIV/0!</v>
      </c>
      <c r="AU18" s="1055"/>
      <c r="AV18" s="3341"/>
      <c r="AW18" s="3341"/>
      <c r="AX18" s="3349">
        <f t="shared" si="31"/>
        <v>0</v>
      </c>
      <c r="AY18" s="4074" t="e">
        <f t="shared" si="47"/>
        <v>#DIV/0!</v>
      </c>
      <c r="AZ18" s="1055"/>
      <c r="BA18" s="3341"/>
      <c r="BB18" s="3341"/>
      <c r="BC18" s="3349">
        <f t="shared" si="32"/>
        <v>0</v>
      </c>
      <c r="BD18" s="4074" t="e">
        <f t="shared" si="48"/>
        <v>#DIV/0!</v>
      </c>
      <c r="BE18" s="1055"/>
      <c r="BF18" s="3341"/>
      <c r="BG18" s="3341"/>
      <c r="BH18" s="3349">
        <f t="shared" si="33"/>
        <v>0</v>
      </c>
      <c r="BI18" s="4074" t="e">
        <f t="shared" si="49"/>
        <v>#DIV/0!</v>
      </c>
      <c r="BJ18" s="1055"/>
      <c r="BK18" s="3341"/>
      <c r="BL18" s="3341"/>
      <c r="BM18" s="3349">
        <f t="shared" si="34"/>
        <v>0</v>
      </c>
      <c r="BN18" s="4074" t="e">
        <f t="shared" si="50"/>
        <v>#DIV/0!</v>
      </c>
      <c r="BO18" s="1055"/>
      <c r="BP18" s="3341"/>
      <c r="BQ18" s="3341"/>
      <c r="BR18" s="3349">
        <f t="shared" si="35"/>
        <v>0</v>
      </c>
      <c r="BS18" s="4074" t="e">
        <f t="shared" si="51"/>
        <v>#DIV/0!</v>
      </c>
      <c r="BT18" s="1055"/>
      <c r="BU18" s="3341"/>
      <c r="BV18" s="3341"/>
      <c r="BW18" s="3349">
        <f t="shared" si="36"/>
        <v>0</v>
      </c>
      <c r="BX18" s="4074" t="e">
        <f t="shared" si="52"/>
        <v>#DIV/0!</v>
      </c>
      <c r="BY18" s="1055"/>
      <c r="BZ18" s="3341"/>
      <c r="CA18" s="3341"/>
      <c r="CB18" s="3349">
        <f t="shared" si="37"/>
        <v>0</v>
      </c>
      <c r="CC18" s="4074" t="e">
        <f t="shared" si="53"/>
        <v>#DIV/0!</v>
      </c>
      <c r="CD18" s="1055"/>
      <c r="CE18" s="3341"/>
      <c r="CF18" s="3341"/>
      <c r="CG18" s="3349">
        <f t="shared" si="38"/>
        <v>0</v>
      </c>
      <c r="CH18" s="4074" t="e">
        <f t="shared" si="54"/>
        <v>#DIV/0!</v>
      </c>
      <c r="CI18" s="1055"/>
      <c r="CJ18" s="3341">
        <f t="shared" si="39"/>
        <v>0</v>
      </c>
      <c r="CK18" s="3341">
        <f t="shared" si="39"/>
        <v>4500</v>
      </c>
      <c r="CL18" s="3349">
        <f t="shared" si="55"/>
        <v>4500</v>
      </c>
      <c r="CM18" s="4074">
        <f t="shared" si="40"/>
        <v>3.6922203894289123E-2</v>
      </c>
      <c r="CN18" s="1434"/>
      <c r="CP18" s="4186">
        <v>4500</v>
      </c>
      <c r="CQ18" s="2012">
        <f t="shared" si="41"/>
        <v>4500</v>
      </c>
      <c r="CR18" s="4188">
        <f t="shared" si="56"/>
        <v>0</v>
      </c>
      <c r="CT18" s="3443"/>
      <c r="CU18" s="3778"/>
    </row>
    <row r="19" spans="1:100" s="1396" customFormat="1" ht="13.8" outlineLevel="2">
      <c r="A19" s="1571"/>
      <c r="B19" s="4075" t="s">
        <v>53</v>
      </c>
      <c r="C19" s="3341"/>
      <c r="D19" s="3341"/>
      <c r="E19" s="3349">
        <f t="shared" si="19"/>
        <v>0</v>
      </c>
      <c r="F19" s="4074" t="e">
        <f t="shared" si="16"/>
        <v>#DIV/0!</v>
      </c>
      <c r="G19" s="1055"/>
      <c r="H19" s="3341"/>
      <c r="I19" s="3341"/>
      <c r="J19" s="3349">
        <f t="shared" si="20"/>
        <v>0</v>
      </c>
      <c r="K19" s="4074" t="e">
        <f t="shared" si="42"/>
        <v>#DIV/0!</v>
      </c>
      <c r="L19" s="1055"/>
      <c r="M19" s="3341"/>
      <c r="N19" s="3341"/>
      <c r="O19" s="3349">
        <f t="shared" si="21"/>
        <v>0</v>
      </c>
      <c r="P19" s="4074" t="e">
        <f t="shared" si="22"/>
        <v>#DIV/0!</v>
      </c>
      <c r="Q19" s="1055"/>
      <c r="R19" s="3342">
        <f t="shared" si="23"/>
        <v>0</v>
      </c>
      <c r="S19" s="3342">
        <f t="shared" si="23"/>
        <v>0</v>
      </c>
      <c r="T19" s="2012">
        <f t="shared" si="24"/>
        <v>0</v>
      </c>
      <c r="U19" s="1055"/>
      <c r="V19" s="1055"/>
      <c r="W19" s="3342">
        <f t="shared" si="25"/>
        <v>0</v>
      </c>
      <c r="X19" s="3342">
        <f t="shared" si="25"/>
        <v>0</v>
      </c>
      <c r="Y19" s="2012">
        <f t="shared" si="26"/>
        <v>0</v>
      </c>
      <c r="Z19" s="1055"/>
      <c r="AA19" s="1055"/>
      <c r="AB19" s="3341"/>
      <c r="AC19" s="3341"/>
      <c r="AD19" s="3349">
        <f t="shared" si="27"/>
        <v>0</v>
      </c>
      <c r="AE19" s="4074" t="e">
        <f t="shared" si="43"/>
        <v>#DIV/0!</v>
      </c>
      <c r="AF19" s="1055"/>
      <c r="AG19" s="3341"/>
      <c r="AH19" s="3341"/>
      <c r="AI19" s="3349">
        <f t="shared" si="28"/>
        <v>0</v>
      </c>
      <c r="AJ19" s="4074">
        <f t="shared" si="44"/>
        <v>0</v>
      </c>
      <c r="AK19" s="1055"/>
      <c r="AL19" s="3341"/>
      <c r="AM19" s="3341"/>
      <c r="AN19" s="3349">
        <f t="shared" si="29"/>
        <v>0</v>
      </c>
      <c r="AO19" s="4074">
        <f t="shared" si="45"/>
        <v>0</v>
      </c>
      <c r="AP19" s="3720"/>
      <c r="AQ19" s="3341"/>
      <c r="AR19" s="3341"/>
      <c r="AS19" s="3349">
        <f t="shared" si="30"/>
        <v>0</v>
      </c>
      <c r="AT19" s="4074" t="e">
        <f t="shared" si="46"/>
        <v>#DIV/0!</v>
      </c>
      <c r="AU19" s="1055"/>
      <c r="AV19" s="3341"/>
      <c r="AW19" s="3341"/>
      <c r="AX19" s="3349">
        <f t="shared" si="31"/>
        <v>0</v>
      </c>
      <c r="AY19" s="4074" t="e">
        <f t="shared" si="47"/>
        <v>#DIV/0!</v>
      </c>
      <c r="AZ19" s="1055"/>
      <c r="BA19" s="3341"/>
      <c r="BB19" s="3341"/>
      <c r="BC19" s="3349">
        <f t="shared" si="32"/>
        <v>0</v>
      </c>
      <c r="BD19" s="4074" t="e">
        <f t="shared" si="48"/>
        <v>#DIV/0!</v>
      </c>
      <c r="BE19" s="1055"/>
      <c r="BF19" s="3341"/>
      <c r="BG19" s="3341"/>
      <c r="BH19" s="3349">
        <f t="shared" si="33"/>
        <v>0</v>
      </c>
      <c r="BI19" s="4074" t="e">
        <f t="shared" si="49"/>
        <v>#DIV/0!</v>
      </c>
      <c r="BJ19" s="1055"/>
      <c r="BK19" s="3341"/>
      <c r="BL19" s="3341"/>
      <c r="BM19" s="3349">
        <f t="shared" si="34"/>
        <v>0</v>
      </c>
      <c r="BN19" s="4074" t="e">
        <f t="shared" si="50"/>
        <v>#DIV/0!</v>
      </c>
      <c r="BO19" s="1055"/>
      <c r="BP19" s="3341"/>
      <c r="BQ19" s="3341"/>
      <c r="BR19" s="3349">
        <f t="shared" si="35"/>
        <v>0</v>
      </c>
      <c r="BS19" s="4074" t="e">
        <f t="shared" si="51"/>
        <v>#DIV/0!</v>
      </c>
      <c r="BT19" s="1055"/>
      <c r="BU19" s="3341"/>
      <c r="BV19" s="3341"/>
      <c r="BW19" s="3349">
        <f t="shared" si="36"/>
        <v>0</v>
      </c>
      <c r="BX19" s="4074" t="e">
        <f t="shared" si="52"/>
        <v>#DIV/0!</v>
      </c>
      <c r="BY19" s="1055"/>
      <c r="BZ19" s="3341"/>
      <c r="CA19" s="3341"/>
      <c r="CB19" s="3349">
        <f t="shared" si="37"/>
        <v>0</v>
      </c>
      <c r="CC19" s="4074" t="e">
        <f t="shared" si="53"/>
        <v>#DIV/0!</v>
      </c>
      <c r="CD19" s="1055"/>
      <c r="CE19" s="3341"/>
      <c r="CF19" s="3341"/>
      <c r="CG19" s="3349">
        <f t="shared" si="38"/>
        <v>0</v>
      </c>
      <c r="CH19" s="4074" t="e">
        <f t="shared" si="54"/>
        <v>#DIV/0!</v>
      </c>
      <c r="CI19" s="1055"/>
      <c r="CJ19" s="3341">
        <f t="shared" si="39"/>
        <v>0</v>
      </c>
      <c r="CK19" s="3341">
        <f t="shared" si="39"/>
        <v>0</v>
      </c>
      <c r="CL19" s="3349">
        <f t="shared" si="55"/>
        <v>0</v>
      </c>
      <c r="CM19" s="4074">
        <f t="shared" si="40"/>
        <v>0</v>
      </c>
      <c r="CN19" s="1434"/>
      <c r="CP19" s="4186"/>
      <c r="CQ19" s="2012">
        <f t="shared" si="41"/>
        <v>0</v>
      </c>
      <c r="CR19" s="4188">
        <f t="shared" si="56"/>
        <v>0</v>
      </c>
      <c r="CT19" s="2624"/>
    </row>
    <row r="20" spans="1:100" s="1396" customFormat="1" ht="13.8" outlineLevel="2">
      <c r="A20" s="1571"/>
      <c r="B20" s="4075" t="s">
        <v>57</v>
      </c>
      <c r="C20" s="3341"/>
      <c r="D20" s="3341"/>
      <c r="E20" s="3349">
        <f t="shared" si="19"/>
        <v>0</v>
      </c>
      <c r="F20" s="4074" t="e">
        <f t="shared" si="16"/>
        <v>#DIV/0!</v>
      </c>
      <c r="G20" s="1055"/>
      <c r="H20" s="3341"/>
      <c r="I20" s="3341"/>
      <c r="J20" s="3349">
        <f t="shared" si="20"/>
        <v>0</v>
      </c>
      <c r="K20" s="4074" t="e">
        <f t="shared" si="42"/>
        <v>#DIV/0!</v>
      </c>
      <c r="L20" s="1055"/>
      <c r="M20" s="3341"/>
      <c r="N20" s="3341"/>
      <c r="O20" s="3349">
        <f t="shared" si="21"/>
        <v>0</v>
      </c>
      <c r="P20" s="4074" t="e">
        <f t="shared" si="22"/>
        <v>#DIV/0!</v>
      </c>
      <c r="Q20" s="1055"/>
      <c r="R20" s="3342">
        <f t="shared" si="23"/>
        <v>0</v>
      </c>
      <c r="S20" s="3342">
        <f t="shared" si="23"/>
        <v>0</v>
      </c>
      <c r="T20" s="2012">
        <f t="shared" si="24"/>
        <v>0</v>
      </c>
      <c r="U20" s="1055"/>
      <c r="V20" s="1055"/>
      <c r="W20" s="3342">
        <f t="shared" si="25"/>
        <v>0</v>
      </c>
      <c r="X20" s="3342">
        <f t="shared" si="25"/>
        <v>0</v>
      </c>
      <c r="Y20" s="2012">
        <f t="shared" si="26"/>
        <v>0</v>
      </c>
      <c r="Z20" s="1055"/>
      <c r="AA20" s="1055"/>
      <c r="AB20" s="3341"/>
      <c r="AC20" s="3341"/>
      <c r="AD20" s="3349">
        <f t="shared" si="27"/>
        <v>0</v>
      </c>
      <c r="AE20" s="4074" t="e">
        <f t="shared" si="43"/>
        <v>#DIV/0!</v>
      </c>
      <c r="AF20" s="1055"/>
      <c r="AG20" s="3341"/>
      <c r="AH20" s="3341"/>
      <c r="AI20" s="3349">
        <f t="shared" si="28"/>
        <v>0</v>
      </c>
      <c r="AJ20" s="4074">
        <f t="shared" si="44"/>
        <v>0</v>
      </c>
      <c r="AK20" s="1055"/>
      <c r="AL20" s="3341"/>
      <c r="AM20" s="3341"/>
      <c r="AN20" s="3349">
        <f t="shared" si="29"/>
        <v>0</v>
      </c>
      <c r="AO20" s="4074">
        <f t="shared" si="45"/>
        <v>0</v>
      </c>
      <c r="AP20" s="3720"/>
      <c r="AQ20" s="3341"/>
      <c r="AR20" s="3341"/>
      <c r="AS20" s="3349">
        <f t="shared" si="30"/>
        <v>0</v>
      </c>
      <c r="AT20" s="4074" t="e">
        <f t="shared" si="46"/>
        <v>#DIV/0!</v>
      </c>
      <c r="AU20" s="1055"/>
      <c r="AV20" s="3341"/>
      <c r="AW20" s="3341"/>
      <c r="AX20" s="3349">
        <f t="shared" si="31"/>
        <v>0</v>
      </c>
      <c r="AY20" s="4074" t="e">
        <f t="shared" si="47"/>
        <v>#DIV/0!</v>
      </c>
      <c r="AZ20" s="1055"/>
      <c r="BA20" s="3341"/>
      <c r="BB20" s="3341"/>
      <c r="BC20" s="3349">
        <f t="shared" si="32"/>
        <v>0</v>
      </c>
      <c r="BD20" s="4074" t="e">
        <f t="shared" si="48"/>
        <v>#DIV/0!</v>
      </c>
      <c r="BE20" s="1055"/>
      <c r="BF20" s="3341"/>
      <c r="BG20" s="3341"/>
      <c r="BH20" s="3349">
        <f t="shared" si="33"/>
        <v>0</v>
      </c>
      <c r="BI20" s="4074" t="e">
        <f t="shared" si="49"/>
        <v>#DIV/0!</v>
      </c>
      <c r="BJ20" s="1055"/>
      <c r="BK20" s="3341"/>
      <c r="BL20" s="3341"/>
      <c r="BM20" s="3349">
        <f t="shared" si="34"/>
        <v>0</v>
      </c>
      <c r="BN20" s="4074" t="e">
        <f t="shared" si="50"/>
        <v>#DIV/0!</v>
      </c>
      <c r="BO20" s="1055"/>
      <c r="BP20" s="3341"/>
      <c r="BQ20" s="3341"/>
      <c r="BR20" s="3349">
        <f t="shared" si="35"/>
        <v>0</v>
      </c>
      <c r="BS20" s="4074" t="e">
        <f t="shared" si="51"/>
        <v>#DIV/0!</v>
      </c>
      <c r="BT20" s="1055"/>
      <c r="BU20" s="3341"/>
      <c r="BV20" s="3341"/>
      <c r="BW20" s="3349">
        <f t="shared" si="36"/>
        <v>0</v>
      </c>
      <c r="BX20" s="4074" t="e">
        <f t="shared" si="52"/>
        <v>#DIV/0!</v>
      </c>
      <c r="BY20" s="1055"/>
      <c r="BZ20" s="3341"/>
      <c r="CA20" s="3341"/>
      <c r="CB20" s="3349">
        <f t="shared" si="37"/>
        <v>0</v>
      </c>
      <c r="CC20" s="4074" t="e">
        <f t="shared" si="53"/>
        <v>#DIV/0!</v>
      </c>
      <c r="CD20" s="1055"/>
      <c r="CE20" s="3341"/>
      <c r="CF20" s="3341"/>
      <c r="CG20" s="3349">
        <f t="shared" si="38"/>
        <v>0</v>
      </c>
      <c r="CH20" s="4074" t="e">
        <f t="shared" si="54"/>
        <v>#DIV/0!</v>
      </c>
      <c r="CI20" s="1055"/>
      <c r="CJ20" s="3341">
        <f t="shared" si="39"/>
        <v>0</v>
      </c>
      <c r="CK20" s="3341">
        <f t="shared" si="39"/>
        <v>0</v>
      </c>
      <c r="CL20" s="3349">
        <f t="shared" si="55"/>
        <v>0</v>
      </c>
      <c r="CM20" s="4074">
        <f t="shared" si="40"/>
        <v>0</v>
      </c>
      <c r="CN20" s="1434"/>
      <c r="CP20" s="4186"/>
      <c r="CQ20" s="2012">
        <f t="shared" si="41"/>
        <v>0</v>
      </c>
      <c r="CR20" s="4188">
        <f t="shared" si="56"/>
        <v>0</v>
      </c>
      <c r="CT20" s="2624"/>
    </row>
    <row r="21" spans="1:100" s="1396" customFormat="1" ht="13.8" outlineLevel="2">
      <c r="A21" s="1571"/>
      <c r="B21" s="4075" t="s">
        <v>58</v>
      </c>
      <c r="C21" s="3341"/>
      <c r="D21" s="3341"/>
      <c r="E21" s="3349">
        <f t="shared" si="19"/>
        <v>0</v>
      </c>
      <c r="F21" s="4074" t="e">
        <f t="shared" si="16"/>
        <v>#DIV/0!</v>
      </c>
      <c r="G21" s="1615"/>
      <c r="H21" s="3341"/>
      <c r="I21" s="3341"/>
      <c r="J21" s="3349">
        <f t="shared" si="20"/>
        <v>0</v>
      </c>
      <c r="K21" s="4074" t="e">
        <f t="shared" si="42"/>
        <v>#DIV/0!</v>
      </c>
      <c r="L21" s="1615"/>
      <c r="M21" s="3341"/>
      <c r="N21" s="3341"/>
      <c r="O21" s="3349">
        <f t="shared" si="21"/>
        <v>0</v>
      </c>
      <c r="P21" s="4074" t="e">
        <f t="shared" si="22"/>
        <v>#DIV/0!</v>
      </c>
      <c r="Q21" s="1615"/>
      <c r="R21" s="3342">
        <f t="shared" si="23"/>
        <v>0</v>
      </c>
      <c r="S21" s="3342">
        <f t="shared" si="23"/>
        <v>0</v>
      </c>
      <c r="T21" s="2012">
        <f t="shared" si="24"/>
        <v>0</v>
      </c>
      <c r="U21" s="1615"/>
      <c r="V21" s="1615"/>
      <c r="W21" s="3342">
        <f t="shared" si="25"/>
        <v>0</v>
      </c>
      <c r="X21" s="3342">
        <f t="shared" si="25"/>
        <v>0</v>
      </c>
      <c r="Y21" s="2012">
        <f t="shared" si="26"/>
        <v>0</v>
      </c>
      <c r="Z21" s="1615"/>
      <c r="AA21" s="1615"/>
      <c r="AB21" s="3341"/>
      <c r="AC21" s="3341"/>
      <c r="AD21" s="3349">
        <f t="shared" si="27"/>
        <v>0</v>
      </c>
      <c r="AE21" s="4074" t="e">
        <f t="shared" si="43"/>
        <v>#DIV/0!</v>
      </c>
      <c r="AF21" s="1615"/>
      <c r="AG21" s="3341"/>
      <c r="AH21" s="3341"/>
      <c r="AI21" s="3349">
        <f t="shared" si="28"/>
        <v>0</v>
      </c>
      <c r="AJ21" s="4074">
        <f t="shared" si="44"/>
        <v>0</v>
      </c>
      <c r="AK21" s="1615"/>
      <c r="AL21" s="3341"/>
      <c r="AM21" s="3341"/>
      <c r="AN21" s="3349">
        <f t="shared" si="29"/>
        <v>0</v>
      </c>
      <c r="AO21" s="4074">
        <f t="shared" si="45"/>
        <v>0</v>
      </c>
      <c r="AP21" s="3781"/>
      <c r="AQ21" s="3341"/>
      <c r="AR21" s="3341"/>
      <c r="AS21" s="3349">
        <f t="shared" si="30"/>
        <v>0</v>
      </c>
      <c r="AT21" s="4074" t="e">
        <f t="shared" si="46"/>
        <v>#DIV/0!</v>
      </c>
      <c r="AU21" s="1615"/>
      <c r="AV21" s="3341"/>
      <c r="AW21" s="3341"/>
      <c r="AX21" s="3349">
        <f t="shared" si="31"/>
        <v>0</v>
      </c>
      <c r="AY21" s="4074" t="e">
        <f t="shared" si="47"/>
        <v>#DIV/0!</v>
      </c>
      <c r="AZ21" s="1615"/>
      <c r="BA21" s="3341"/>
      <c r="BB21" s="3341"/>
      <c r="BC21" s="3349">
        <f t="shared" si="32"/>
        <v>0</v>
      </c>
      <c r="BD21" s="4074" t="e">
        <f t="shared" si="48"/>
        <v>#DIV/0!</v>
      </c>
      <c r="BE21" s="1615"/>
      <c r="BF21" s="3341"/>
      <c r="BG21" s="3341"/>
      <c r="BH21" s="3349">
        <f t="shared" si="33"/>
        <v>0</v>
      </c>
      <c r="BI21" s="4074" t="e">
        <f t="shared" si="49"/>
        <v>#DIV/0!</v>
      </c>
      <c r="BJ21" s="1615"/>
      <c r="BK21" s="3341"/>
      <c r="BL21" s="3341"/>
      <c r="BM21" s="3349">
        <f t="shared" si="34"/>
        <v>0</v>
      </c>
      <c r="BN21" s="4074" t="e">
        <f t="shared" si="50"/>
        <v>#DIV/0!</v>
      </c>
      <c r="BO21" s="1615"/>
      <c r="BP21" s="3341"/>
      <c r="BQ21" s="3341"/>
      <c r="BR21" s="3349">
        <f t="shared" si="35"/>
        <v>0</v>
      </c>
      <c r="BS21" s="4074" t="e">
        <f t="shared" si="51"/>
        <v>#DIV/0!</v>
      </c>
      <c r="BT21" s="1615"/>
      <c r="BU21" s="3341"/>
      <c r="BV21" s="3341"/>
      <c r="BW21" s="3349">
        <f t="shared" si="36"/>
        <v>0</v>
      </c>
      <c r="BX21" s="4074" t="e">
        <f t="shared" si="52"/>
        <v>#DIV/0!</v>
      </c>
      <c r="BY21" s="1615"/>
      <c r="BZ21" s="3341"/>
      <c r="CA21" s="3341"/>
      <c r="CB21" s="3349">
        <f t="shared" si="37"/>
        <v>0</v>
      </c>
      <c r="CC21" s="4074" t="e">
        <f t="shared" si="53"/>
        <v>#DIV/0!</v>
      </c>
      <c r="CD21" s="1615"/>
      <c r="CE21" s="3341"/>
      <c r="CF21" s="3341"/>
      <c r="CG21" s="3349">
        <f t="shared" si="38"/>
        <v>0</v>
      </c>
      <c r="CH21" s="4074" t="e">
        <f t="shared" si="54"/>
        <v>#DIV/0!</v>
      </c>
      <c r="CI21" s="1615"/>
      <c r="CJ21" s="3341">
        <f t="shared" si="39"/>
        <v>0</v>
      </c>
      <c r="CK21" s="3341">
        <f t="shared" si="39"/>
        <v>0</v>
      </c>
      <c r="CL21" s="3349">
        <f t="shared" si="55"/>
        <v>0</v>
      </c>
      <c r="CM21" s="4074">
        <f t="shared" si="40"/>
        <v>0</v>
      </c>
      <c r="CN21" s="1434"/>
      <c r="CP21" s="4186"/>
      <c r="CQ21" s="2012">
        <f t="shared" si="41"/>
        <v>0</v>
      </c>
      <c r="CR21" s="4188">
        <f t="shared" si="56"/>
        <v>0</v>
      </c>
      <c r="CT21" s="2624"/>
    </row>
    <row r="22" spans="1:100" s="1396" customFormat="1" ht="13.8" outlineLevel="2">
      <c r="A22" s="1571"/>
      <c r="B22" s="4075" t="s">
        <v>621</v>
      </c>
      <c r="C22" s="3341"/>
      <c r="D22" s="3341"/>
      <c r="E22" s="3349">
        <f t="shared" si="19"/>
        <v>0</v>
      </c>
      <c r="F22" s="4074" t="e">
        <f t="shared" si="16"/>
        <v>#DIV/0!</v>
      </c>
      <c r="G22" s="3342"/>
      <c r="H22" s="3341"/>
      <c r="I22" s="3341"/>
      <c r="J22" s="3349">
        <f t="shared" si="20"/>
        <v>0</v>
      </c>
      <c r="K22" s="4074" t="e">
        <f t="shared" si="42"/>
        <v>#DIV/0!</v>
      </c>
      <c r="L22" s="3342"/>
      <c r="M22" s="3341"/>
      <c r="N22" s="3341"/>
      <c r="O22" s="3349">
        <f t="shared" si="21"/>
        <v>0</v>
      </c>
      <c r="P22" s="4074" t="e">
        <f t="shared" si="22"/>
        <v>#DIV/0!</v>
      </c>
      <c r="Q22" s="3342"/>
      <c r="R22" s="3342">
        <f t="shared" si="23"/>
        <v>0</v>
      </c>
      <c r="S22" s="3342">
        <f t="shared" si="23"/>
        <v>0</v>
      </c>
      <c r="T22" s="2012">
        <f t="shared" si="24"/>
        <v>0</v>
      </c>
      <c r="U22" s="3342"/>
      <c r="V22" s="3342"/>
      <c r="W22" s="3342">
        <f t="shared" si="25"/>
        <v>0</v>
      </c>
      <c r="X22" s="3342">
        <f t="shared" si="25"/>
        <v>0</v>
      </c>
      <c r="Y22" s="2012">
        <f t="shared" si="26"/>
        <v>0</v>
      </c>
      <c r="Z22" s="3342"/>
      <c r="AA22" s="3342"/>
      <c r="AB22" s="3341"/>
      <c r="AC22" s="3341"/>
      <c r="AD22" s="3349">
        <f t="shared" si="27"/>
        <v>0</v>
      </c>
      <c r="AE22" s="4074" t="e">
        <f t="shared" si="43"/>
        <v>#DIV/0!</v>
      </c>
      <c r="AF22" s="3342"/>
      <c r="AG22" s="3341"/>
      <c r="AH22" s="3341"/>
      <c r="AI22" s="3349">
        <f t="shared" si="28"/>
        <v>0</v>
      </c>
      <c r="AJ22" s="4074">
        <f t="shared" si="44"/>
        <v>0</v>
      </c>
      <c r="AK22" s="3342"/>
      <c r="AL22" s="3341"/>
      <c r="AM22" s="3341"/>
      <c r="AN22" s="3349">
        <f t="shared" si="29"/>
        <v>0</v>
      </c>
      <c r="AO22" s="4074">
        <f t="shared" si="45"/>
        <v>0</v>
      </c>
      <c r="AP22" s="3409"/>
      <c r="AQ22" s="3341"/>
      <c r="AR22" s="3341"/>
      <c r="AS22" s="3349">
        <f t="shared" si="30"/>
        <v>0</v>
      </c>
      <c r="AT22" s="4074" t="e">
        <f t="shared" si="46"/>
        <v>#DIV/0!</v>
      </c>
      <c r="AU22" s="3342"/>
      <c r="AV22" s="3341"/>
      <c r="AW22" s="3341"/>
      <c r="AX22" s="3349">
        <f t="shared" si="31"/>
        <v>0</v>
      </c>
      <c r="AY22" s="4074" t="e">
        <f t="shared" si="47"/>
        <v>#DIV/0!</v>
      </c>
      <c r="AZ22" s="3342"/>
      <c r="BA22" s="3341"/>
      <c r="BB22" s="3341"/>
      <c r="BC22" s="3349">
        <f t="shared" si="32"/>
        <v>0</v>
      </c>
      <c r="BD22" s="4074" t="e">
        <f t="shared" si="48"/>
        <v>#DIV/0!</v>
      </c>
      <c r="BE22" s="3342"/>
      <c r="BF22" s="3341"/>
      <c r="BG22" s="3341"/>
      <c r="BH22" s="3349">
        <f t="shared" si="33"/>
        <v>0</v>
      </c>
      <c r="BI22" s="4074" t="e">
        <f t="shared" si="49"/>
        <v>#DIV/0!</v>
      </c>
      <c r="BJ22" s="3342"/>
      <c r="BK22" s="3341"/>
      <c r="BL22" s="3341"/>
      <c r="BM22" s="3349">
        <f t="shared" si="34"/>
        <v>0</v>
      </c>
      <c r="BN22" s="4074" t="e">
        <f t="shared" si="50"/>
        <v>#DIV/0!</v>
      </c>
      <c r="BO22" s="3342"/>
      <c r="BP22" s="3341"/>
      <c r="BQ22" s="3341"/>
      <c r="BR22" s="3349">
        <f t="shared" si="35"/>
        <v>0</v>
      </c>
      <c r="BS22" s="4074" t="e">
        <f t="shared" si="51"/>
        <v>#DIV/0!</v>
      </c>
      <c r="BT22" s="3342"/>
      <c r="BU22" s="3341"/>
      <c r="BV22" s="3341"/>
      <c r="BW22" s="3349">
        <f t="shared" si="36"/>
        <v>0</v>
      </c>
      <c r="BX22" s="4074" t="e">
        <f t="shared" si="52"/>
        <v>#DIV/0!</v>
      </c>
      <c r="BY22" s="3342"/>
      <c r="BZ22" s="3341"/>
      <c r="CA22" s="3341"/>
      <c r="CB22" s="3349">
        <f t="shared" si="37"/>
        <v>0</v>
      </c>
      <c r="CC22" s="4074" t="e">
        <f t="shared" si="53"/>
        <v>#DIV/0!</v>
      </c>
      <c r="CD22" s="3342"/>
      <c r="CE22" s="3341"/>
      <c r="CF22" s="3341"/>
      <c r="CG22" s="3349">
        <f t="shared" si="38"/>
        <v>0</v>
      </c>
      <c r="CH22" s="4074" t="e">
        <f t="shared" si="54"/>
        <v>#DIV/0!</v>
      </c>
      <c r="CI22" s="3342"/>
      <c r="CJ22" s="3341">
        <f t="shared" si="39"/>
        <v>0</v>
      </c>
      <c r="CK22" s="3341">
        <f t="shared" si="39"/>
        <v>0</v>
      </c>
      <c r="CL22" s="3349">
        <f t="shared" si="55"/>
        <v>0</v>
      </c>
      <c r="CM22" s="4074">
        <f t="shared" si="40"/>
        <v>0</v>
      </c>
      <c r="CN22" s="1434"/>
      <c r="CP22" s="4186"/>
      <c r="CQ22" s="2012">
        <f t="shared" si="41"/>
        <v>0</v>
      </c>
      <c r="CR22" s="4188">
        <f t="shared" si="56"/>
        <v>0</v>
      </c>
      <c r="CT22" s="3443">
        <f>CQ22</f>
        <v>0</v>
      </c>
    </row>
    <row r="23" spans="1:100" s="1396" customFormat="1" ht="13.8" outlineLevel="2">
      <c r="A23" s="1571"/>
      <c r="B23" s="4075" t="s">
        <v>630</v>
      </c>
      <c r="C23" s="3341"/>
      <c r="D23" s="3341"/>
      <c r="E23" s="3349">
        <f t="shared" si="19"/>
        <v>0</v>
      </c>
      <c r="F23" s="4074" t="e">
        <f t="shared" si="16"/>
        <v>#DIV/0!</v>
      </c>
      <c r="G23" s="1055"/>
      <c r="H23" s="3341"/>
      <c r="I23" s="3341"/>
      <c r="J23" s="3349">
        <f t="shared" si="20"/>
        <v>0</v>
      </c>
      <c r="K23" s="4074" t="e">
        <f t="shared" si="42"/>
        <v>#DIV/0!</v>
      </c>
      <c r="L23" s="1055"/>
      <c r="M23" s="3341"/>
      <c r="N23" s="3341"/>
      <c r="O23" s="3349">
        <f t="shared" si="21"/>
        <v>0</v>
      </c>
      <c r="P23" s="4074" t="e">
        <f t="shared" si="22"/>
        <v>#DIV/0!</v>
      </c>
      <c r="Q23" s="1055"/>
      <c r="R23" s="3342">
        <f t="shared" si="23"/>
        <v>0</v>
      </c>
      <c r="S23" s="3342">
        <f t="shared" si="23"/>
        <v>0</v>
      </c>
      <c r="T23" s="2012">
        <f t="shared" si="24"/>
        <v>0</v>
      </c>
      <c r="U23" s="1055"/>
      <c r="V23" s="1055"/>
      <c r="W23" s="3342">
        <f t="shared" si="25"/>
        <v>0</v>
      </c>
      <c r="X23" s="3342">
        <f t="shared" si="25"/>
        <v>0</v>
      </c>
      <c r="Y23" s="2012">
        <f t="shared" si="26"/>
        <v>0</v>
      </c>
      <c r="Z23" s="1055"/>
      <c r="AA23" s="1055"/>
      <c r="AB23" s="3341"/>
      <c r="AC23" s="3341"/>
      <c r="AD23" s="3349">
        <f t="shared" si="27"/>
        <v>0</v>
      </c>
      <c r="AE23" s="4074" t="e">
        <f t="shared" si="43"/>
        <v>#DIV/0!</v>
      </c>
      <c r="AF23" s="1055"/>
      <c r="AG23" s="3341"/>
      <c r="AH23" s="3341"/>
      <c r="AI23" s="3349">
        <f t="shared" si="28"/>
        <v>0</v>
      </c>
      <c r="AJ23" s="4074">
        <f t="shared" si="44"/>
        <v>0</v>
      </c>
      <c r="AK23" s="1055"/>
      <c r="AL23" s="3341"/>
      <c r="AM23" s="3341"/>
      <c r="AN23" s="3349">
        <f t="shared" si="29"/>
        <v>0</v>
      </c>
      <c r="AO23" s="4074">
        <f t="shared" si="45"/>
        <v>0</v>
      </c>
      <c r="AP23" s="3720"/>
      <c r="AQ23" s="3341"/>
      <c r="AR23" s="3341"/>
      <c r="AS23" s="3349">
        <f t="shared" si="30"/>
        <v>0</v>
      </c>
      <c r="AT23" s="4074" t="e">
        <f t="shared" si="46"/>
        <v>#DIV/0!</v>
      </c>
      <c r="AU23" s="1055"/>
      <c r="AV23" s="3341"/>
      <c r="AW23" s="3341"/>
      <c r="AX23" s="3349">
        <f t="shared" si="31"/>
        <v>0</v>
      </c>
      <c r="AY23" s="4074" t="e">
        <f t="shared" si="47"/>
        <v>#DIV/0!</v>
      </c>
      <c r="AZ23" s="1055"/>
      <c r="BA23" s="3341"/>
      <c r="BB23" s="3341"/>
      <c r="BC23" s="3349">
        <f t="shared" si="32"/>
        <v>0</v>
      </c>
      <c r="BD23" s="4074" t="e">
        <f t="shared" si="48"/>
        <v>#DIV/0!</v>
      </c>
      <c r="BE23" s="1055"/>
      <c r="BF23" s="3341"/>
      <c r="BG23" s="3341"/>
      <c r="BH23" s="3349">
        <f t="shared" si="33"/>
        <v>0</v>
      </c>
      <c r="BI23" s="4074" t="e">
        <f t="shared" si="49"/>
        <v>#DIV/0!</v>
      </c>
      <c r="BJ23" s="1055"/>
      <c r="BK23" s="3341"/>
      <c r="BL23" s="3341"/>
      <c r="BM23" s="3349">
        <f t="shared" si="34"/>
        <v>0</v>
      </c>
      <c r="BN23" s="4074" t="e">
        <f t="shared" si="50"/>
        <v>#DIV/0!</v>
      </c>
      <c r="BO23" s="1055"/>
      <c r="BP23" s="3341"/>
      <c r="BQ23" s="3341"/>
      <c r="BR23" s="3349">
        <f t="shared" si="35"/>
        <v>0</v>
      </c>
      <c r="BS23" s="4074" t="e">
        <f t="shared" si="51"/>
        <v>#DIV/0!</v>
      </c>
      <c r="BT23" s="1055"/>
      <c r="BU23" s="3341"/>
      <c r="BV23" s="3341"/>
      <c r="BW23" s="3349">
        <f t="shared" si="36"/>
        <v>0</v>
      </c>
      <c r="BX23" s="4074" t="e">
        <f t="shared" si="52"/>
        <v>#DIV/0!</v>
      </c>
      <c r="BY23" s="1055"/>
      <c r="BZ23" s="3341"/>
      <c r="CA23" s="3341"/>
      <c r="CB23" s="3349">
        <f t="shared" si="37"/>
        <v>0</v>
      </c>
      <c r="CC23" s="4074" t="e">
        <f t="shared" si="53"/>
        <v>#DIV/0!</v>
      </c>
      <c r="CD23" s="1055"/>
      <c r="CE23" s="3341"/>
      <c r="CF23" s="3341"/>
      <c r="CG23" s="3349">
        <f t="shared" si="38"/>
        <v>0</v>
      </c>
      <c r="CH23" s="4074" t="e">
        <f t="shared" si="54"/>
        <v>#DIV/0!</v>
      </c>
      <c r="CI23" s="1055"/>
      <c r="CJ23" s="3341">
        <f t="shared" si="39"/>
        <v>0</v>
      </c>
      <c r="CK23" s="3341">
        <f t="shared" si="39"/>
        <v>0</v>
      </c>
      <c r="CL23" s="3349">
        <f t="shared" si="55"/>
        <v>0</v>
      </c>
      <c r="CM23" s="4074">
        <f t="shared" si="40"/>
        <v>0</v>
      </c>
      <c r="CN23" s="1434"/>
      <c r="CP23" s="4186"/>
      <c r="CQ23" s="2012">
        <f t="shared" si="41"/>
        <v>0</v>
      </c>
      <c r="CR23" s="4188">
        <f t="shared" si="56"/>
        <v>0</v>
      </c>
      <c r="CT23" s="2624"/>
    </row>
    <row r="24" spans="1:100" s="1396" customFormat="1" ht="27.6" outlineLevel="2">
      <c r="A24" s="1571"/>
      <c r="B24" s="4075" t="s">
        <v>23</v>
      </c>
      <c r="C24" s="3341"/>
      <c r="D24" s="3341"/>
      <c r="E24" s="3349">
        <f t="shared" si="19"/>
        <v>0</v>
      </c>
      <c r="F24" s="4074" t="e">
        <f t="shared" si="16"/>
        <v>#DIV/0!</v>
      </c>
      <c r="G24" s="3342"/>
      <c r="H24" s="3341"/>
      <c r="I24" s="3341"/>
      <c r="J24" s="3349">
        <f t="shared" si="20"/>
        <v>0</v>
      </c>
      <c r="K24" s="4074" t="e">
        <f t="shared" si="42"/>
        <v>#DIV/0!</v>
      </c>
      <c r="L24" s="3342"/>
      <c r="M24" s="3341"/>
      <c r="N24" s="3341"/>
      <c r="O24" s="3349">
        <f t="shared" si="21"/>
        <v>0</v>
      </c>
      <c r="P24" s="4074" t="e">
        <f t="shared" si="22"/>
        <v>#DIV/0!</v>
      </c>
      <c r="Q24" s="3342"/>
      <c r="R24" s="3342">
        <f t="shared" si="23"/>
        <v>0</v>
      </c>
      <c r="S24" s="3342">
        <f t="shared" si="23"/>
        <v>0</v>
      </c>
      <c r="T24" s="2012">
        <f t="shared" si="24"/>
        <v>0</v>
      </c>
      <c r="U24" s="3342"/>
      <c r="V24" s="3342"/>
      <c r="W24" s="3342">
        <f t="shared" si="25"/>
        <v>12100</v>
      </c>
      <c r="X24" s="3342">
        <f t="shared" si="25"/>
        <v>0</v>
      </c>
      <c r="Y24" s="2012">
        <f t="shared" si="26"/>
        <v>12100</v>
      </c>
      <c r="Z24" s="3342"/>
      <c r="AA24" s="3342"/>
      <c r="AB24" s="3341"/>
      <c r="AC24" s="3341"/>
      <c r="AD24" s="3349">
        <f t="shared" si="27"/>
        <v>0</v>
      </c>
      <c r="AE24" s="4074" t="e">
        <f t="shared" si="43"/>
        <v>#DIV/0!</v>
      </c>
      <c r="AF24" s="3342"/>
      <c r="AG24" s="3341">
        <v>12100</v>
      </c>
      <c r="AH24" s="3341"/>
      <c r="AI24" s="3349">
        <f t="shared" si="28"/>
        <v>12100</v>
      </c>
      <c r="AJ24" s="4074">
        <f t="shared" si="44"/>
        <v>0.28544838526037053</v>
      </c>
      <c r="AK24" s="3342" t="s">
        <v>1928</v>
      </c>
      <c r="AL24" s="3341"/>
      <c r="AM24" s="3341"/>
      <c r="AN24" s="3349">
        <f t="shared" si="29"/>
        <v>0</v>
      </c>
      <c r="AO24" s="4074">
        <f t="shared" si="45"/>
        <v>0</v>
      </c>
      <c r="AP24" s="3409"/>
      <c r="AQ24" s="3341"/>
      <c r="AR24" s="3341"/>
      <c r="AS24" s="3349">
        <f t="shared" si="30"/>
        <v>0</v>
      </c>
      <c r="AT24" s="4074" t="e">
        <f t="shared" si="46"/>
        <v>#DIV/0!</v>
      </c>
      <c r="AU24" s="3342"/>
      <c r="AV24" s="3341"/>
      <c r="AW24" s="3341"/>
      <c r="AX24" s="3349">
        <f t="shared" si="31"/>
        <v>0</v>
      </c>
      <c r="AY24" s="4074" t="e">
        <f t="shared" si="47"/>
        <v>#DIV/0!</v>
      </c>
      <c r="AZ24" s="3342"/>
      <c r="BA24" s="3341"/>
      <c r="BB24" s="3341"/>
      <c r="BC24" s="3349">
        <f t="shared" si="32"/>
        <v>0</v>
      </c>
      <c r="BD24" s="4074" t="e">
        <f t="shared" si="48"/>
        <v>#DIV/0!</v>
      </c>
      <c r="BE24" s="3342"/>
      <c r="BF24" s="3341"/>
      <c r="BG24" s="3341"/>
      <c r="BH24" s="3349">
        <f t="shared" si="33"/>
        <v>0</v>
      </c>
      <c r="BI24" s="4074" t="e">
        <f t="shared" si="49"/>
        <v>#DIV/0!</v>
      </c>
      <c r="BJ24" s="3342"/>
      <c r="BK24" s="3341"/>
      <c r="BL24" s="3341"/>
      <c r="BM24" s="3349">
        <f t="shared" si="34"/>
        <v>0</v>
      </c>
      <c r="BN24" s="4074" t="e">
        <f t="shared" si="50"/>
        <v>#DIV/0!</v>
      </c>
      <c r="BO24" s="3342"/>
      <c r="BP24" s="3341"/>
      <c r="BQ24" s="3341"/>
      <c r="BR24" s="3349">
        <f t="shared" si="35"/>
        <v>0</v>
      </c>
      <c r="BS24" s="4074" t="e">
        <f t="shared" si="51"/>
        <v>#DIV/0!</v>
      </c>
      <c r="BT24" s="3342"/>
      <c r="BU24" s="3341"/>
      <c r="BV24" s="3341"/>
      <c r="BW24" s="3349">
        <f t="shared" si="36"/>
        <v>0</v>
      </c>
      <c r="BX24" s="4074" t="e">
        <f t="shared" si="52"/>
        <v>#DIV/0!</v>
      </c>
      <c r="BY24" s="3342"/>
      <c r="BZ24" s="3341"/>
      <c r="CA24" s="3341"/>
      <c r="CB24" s="3349">
        <f t="shared" si="37"/>
        <v>0</v>
      </c>
      <c r="CC24" s="4074" t="e">
        <f t="shared" si="53"/>
        <v>#DIV/0!</v>
      </c>
      <c r="CD24" s="3342"/>
      <c r="CE24" s="3341"/>
      <c r="CF24" s="3341"/>
      <c r="CG24" s="3349">
        <f t="shared" si="38"/>
        <v>0</v>
      </c>
      <c r="CH24" s="4074" t="e">
        <f t="shared" si="54"/>
        <v>#DIV/0!</v>
      </c>
      <c r="CI24" s="3342"/>
      <c r="CJ24" s="3341">
        <f t="shared" si="39"/>
        <v>12100</v>
      </c>
      <c r="CK24" s="3341">
        <f t="shared" si="39"/>
        <v>0</v>
      </c>
      <c r="CL24" s="3349">
        <f t="shared" si="55"/>
        <v>12100</v>
      </c>
      <c r="CM24" s="4074">
        <f t="shared" si="40"/>
        <v>9.9279703804644084E-2</v>
      </c>
      <c r="CN24" s="1434"/>
      <c r="CP24" s="4186">
        <v>4000</v>
      </c>
      <c r="CQ24" s="2012">
        <f t="shared" si="41"/>
        <v>12100</v>
      </c>
      <c r="CR24" s="4188">
        <f t="shared" si="56"/>
        <v>-8100</v>
      </c>
      <c r="CS24" s="3307"/>
      <c r="CT24" s="4189">
        <f>CR24/CP24</f>
        <v>-2.0249999999999999</v>
      </c>
      <c r="CU24" s="3779" t="s">
        <v>1996</v>
      </c>
    </row>
    <row r="25" spans="1:100" s="1396" customFormat="1" ht="13.8" outlineLevel="2">
      <c r="A25" s="1571"/>
      <c r="B25" s="4075" t="s">
        <v>24</v>
      </c>
      <c r="C25" s="3341"/>
      <c r="D25" s="3341"/>
      <c r="E25" s="3349">
        <f t="shared" si="19"/>
        <v>0</v>
      </c>
      <c r="F25" s="4074" t="e">
        <f t="shared" si="16"/>
        <v>#DIV/0!</v>
      </c>
      <c r="G25" s="3342"/>
      <c r="H25" s="3341"/>
      <c r="I25" s="3341"/>
      <c r="J25" s="3349">
        <f t="shared" si="20"/>
        <v>0</v>
      </c>
      <c r="K25" s="4074" t="e">
        <f t="shared" si="42"/>
        <v>#DIV/0!</v>
      </c>
      <c r="L25" s="3342"/>
      <c r="M25" s="3341"/>
      <c r="N25" s="3341"/>
      <c r="O25" s="3349">
        <f t="shared" si="21"/>
        <v>0</v>
      </c>
      <c r="P25" s="4074" t="e">
        <f t="shared" si="22"/>
        <v>#DIV/0!</v>
      </c>
      <c r="Q25" s="3342"/>
      <c r="R25" s="3342">
        <f t="shared" si="23"/>
        <v>0</v>
      </c>
      <c r="S25" s="3342">
        <f t="shared" si="23"/>
        <v>0</v>
      </c>
      <c r="T25" s="2012">
        <f t="shared" si="24"/>
        <v>0</v>
      </c>
      <c r="U25" s="3342"/>
      <c r="V25" s="3342"/>
      <c r="W25" s="3342">
        <f t="shared" si="25"/>
        <v>0</v>
      </c>
      <c r="X25" s="3342">
        <f t="shared" si="25"/>
        <v>0</v>
      </c>
      <c r="Y25" s="2012">
        <f t="shared" si="26"/>
        <v>0</v>
      </c>
      <c r="Z25" s="3342"/>
      <c r="AA25" s="3342"/>
      <c r="AB25" s="3341"/>
      <c r="AC25" s="3341"/>
      <c r="AD25" s="3349">
        <f t="shared" si="27"/>
        <v>0</v>
      </c>
      <c r="AE25" s="4074" t="e">
        <f t="shared" si="43"/>
        <v>#DIV/0!</v>
      </c>
      <c r="AF25" s="3342"/>
      <c r="AG25" s="3341"/>
      <c r="AH25" s="3341"/>
      <c r="AI25" s="3349">
        <f t="shared" si="28"/>
        <v>0</v>
      </c>
      <c r="AJ25" s="4074">
        <f t="shared" si="44"/>
        <v>0</v>
      </c>
      <c r="AK25" s="3342"/>
      <c r="AL25" s="3341"/>
      <c r="AM25" s="3341"/>
      <c r="AN25" s="3349">
        <f t="shared" si="29"/>
        <v>0</v>
      </c>
      <c r="AO25" s="4074">
        <f t="shared" si="45"/>
        <v>0</v>
      </c>
      <c r="AP25" s="3409"/>
      <c r="AQ25" s="3341"/>
      <c r="AR25" s="3341"/>
      <c r="AS25" s="3349">
        <f t="shared" si="30"/>
        <v>0</v>
      </c>
      <c r="AT25" s="4074" t="e">
        <f t="shared" si="46"/>
        <v>#DIV/0!</v>
      </c>
      <c r="AU25" s="3342"/>
      <c r="AV25" s="3341"/>
      <c r="AW25" s="3341"/>
      <c r="AX25" s="3349">
        <f t="shared" si="31"/>
        <v>0</v>
      </c>
      <c r="AY25" s="4074" t="e">
        <f t="shared" si="47"/>
        <v>#DIV/0!</v>
      </c>
      <c r="AZ25" s="3342"/>
      <c r="BA25" s="3341"/>
      <c r="BB25" s="3341"/>
      <c r="BC25" s="3349">
        <f t="shared" si="32"/>
        <v>0</v>
      </c>
      <c r="BD25" s="4074" t="e">
        <f t="shared" si="48"/>
        <v>#DIV/0!</v>
      </c>
      <c r="BE25" s="3342"/>
      <c r="BF25" s="3341"/>
      <c r="BG25" s="3341"/>
      <c r="BH25" s="3349">
        <f t="shared" si="33"/>
        <v>0</v>
      </c>
      <c r="BI25" s="4074" t="e">
        <f t="shared" si="49"/>
        <v>#DIV/0!</v>
      </c>
      <c r="BJ25" s="3342"/>
      <c r="BK25" s="3341"/>
      <c r="BL25" s="3341"/>
      <c r="BM25" s="3349">
        <f t="shared" si="34"/>
        <v>0</v>
      </c>
      <c r="BN25" s="4074" t="e">
        <f t="shared" si="50"/>
        <v>#DIV/0!</v>
      </c>
      <c r="BO25" s="3342"/>
      <c r="BP25" s="3341"/>
      <c r="BQ25" s="3341"/>
      <c r="BR25" s="3349">
        <f t="shared" si="35"/>
        <v>0</v>
      </c>
      <c r="BS25" s="4074" t="e">
        <f t="shared" si="51"/>
        <v>#DIV/0!</v>
      </c>
      <c r="BT25" s="3342"/>
      <c r="BU25" s="3341"/>
      <c r="BV25" s="3341"/>
      <c r="BW25" s="3349">
        <f t="shared" si="36"/>
        <v>0</v>
      </c>
      <c r="BX25" s="4074" t="e">
        <f t="shared" si="52"/>
        <v>#DIV/0!</v>
      </c>
      <c r="BY25" s="3342"/>
      <c r="BZ25" s="3341"/>
      <c r="CA25" s="3341"/>
      <c r="CB25" s="3349">
        <f t="shared" si="37"/>
        <v>0</v>
      </c>
      <c r="CC25" s="4074" t="e">
        <f t="shared" si="53"/>
        <v>#DIV/0!</v>
      </c>
      <c r="CD25" s="3342"/>
      <c r="CE25" s="3341"/>
      <c r="CF25" s="3341"/>
      <c r="CG25" s="3349">
        <f t="shared" si="38"/>
        <v>0</v>
      </c>
      <c r="CH25" s="4074" t="e">
        <f t="shared" si="54"/>
        <v>#DIV/0!</v>
      </c>
      <c r="CI25" s="3342"/>
      <c r="CJ25" s="3341">
        <f t="shared" si="39"/>
        <v>0</v>
      </c>
      <c r="CK25" s="3341">
        <f t="shared" si="39"/>
        <v>0</v>
      </c>
      <c r="CL25" s="3349">
        <f t="shared" si="55"/>
        <v>0</v>
      </c>
      <c r="CM25" s="4074">
        <f t="shared" si="40"/>
        <v>0</v>
      </c>
      <c r="CN25" s="1434"/>
      <c r="CP25" s="4186"/>
      <c r="CQ25" s="2012"/>
      <c r="CR25" s="4188">
        <f t="shared" si="56"/>
        <v>0</v>
      </c>
      <c r="CT25" s="2624"/>
    </row>
    <row r="26" spans="1:100" s="1396" customFormat="1" ht="52.8" outlineLevel="2">
      <c r="A26" s="1571"/>
      <c r="B26" s="4075" t="s">
        <v>45</v>
      </c>
      <c r="C26" s="3341"/>
      <c r="D26" s="3341"/>
      <c r="E26" s="3349">
        <f t="shared" si="19"/>
        <v>0</v>
      </c>
      <c r="F26" s="4074" t="e">
        <f t="shared" si="16"/>
        <v>#DIV/0!</v>
      </c>
      <c r="G26" s="3342"/>
      <c r="H26" s="3341"/>
      <c r="I26" s="3341"/>
      <c r="J26" s="3349">
        <f t="shared" si="20"/>
        <v>0</v>
      </c>
      <c r="K26" s="4074" t="e">
        <f t="shared" si="42"/>
        <v>#DIV/0!</v>
      </c>
      <c r="L26" s="3342"/>
      <c r="M26" s="3341"/>
      <c r="N26" s="3341"/>
      <c r="O26" s="3349">
        <f t="shared" si="21"/>
        <v>0</v>
      </c>
      <c r="P26" s="4074" t="e">
        <f t="shared" si="22"/>
        <v>#DIV/0!</v>
      </c>
      <c r="Q26" s="3342"/>
      <c r="R26" s="3342">
        <f t="shared" si="23"/>
        <v>0</v>
      </c>
      <c r="S26" s="3342">
        <f t="shared" si="23"/>
        <v>0</v>
      </c>
      <c r="T26" s="2012">
        <f t="shared" si="24"/>
        <v>0</v>
      </c>
      <c r="U26" s="3342"/>
      <c r="V26" s="3342"/>
      <c r="W26" s="3342">
        <f t="shared" si="25"/>
        <v>68566.604000000007</v>
      </c>
      <c r="X26" s="3342">
        <f t="shared" si="25"/>
        <v>0</v>
      </c>
      <c r="Y26" s="2012">
        <f t="shared" si="26"/>
        <v>68566.604000000007</v>
      </c>
      <c r="Z26" s="3342"/>
      <c r="AA26" s="3342"/>
      <c r="AB26" s="3341"/>
      <c r="AC26" s="3341"/>
      <c r="AD26" s="3349">
        <f t="shared" si="27"/>
        <v>0</v>
      </c>
      <c r="AE26" s="4074" t="e">
        <f t="shared" si="43"/>
        <v>#DIV/0!</v>
      </c>
      <c r="AF26" s="3342"/>
      <c r="AG26" s="3341"/>
      <c r="AH26" s="3341"/>
      <c r="AI26" s="3349">
        <f t="shared" si="28"/>
        <v>0</v>
      </c>
      <c r="AJ26" s="4074">
        <f t="shared" si="44"/>
        <v>0</v>
      </c>
      <c r="AK26" s="3342"/>
      <c r="AL26" s="3341">
        <f>68426.604+140</f>
        <v>68566.604000000007</v>
      </c>
      <c r="AM26" s="3341"/>
      <c r="AN26" s="3349">
        <f t="shared" si="29"/>
        <v>68566.604000000007</v>
      </c>
      <c r="AO26" s="4074">
        <f t="shared" si="45"/>
        <v>0.86259852320242836</v>
      </c>
      <c r="AP26" s="3409" t="s">
        <v>1997</v>
      </c>
      <c r="AQ26" s="3341"/>
      <c r="AR26" s="3341"/>
      <c r="AS26" s="3349">
        <f t="shared" si="30"/>
        <v>0</v>
      </c>
      <c r="AT26" s="4074" t="e">
        <f t="shared" si="46"/>
        <v>#DIV/0!</v>
      </c>
      <c r="AU26" s="3342"/>
      <c r="AV26" s="3341"/>
      <c r="AW26" s="3341"/>
      <c r="AX26" s="3349">
        <f t="shared" si="31"/>
        <v>0</v>
      </c>
      <c r="AY26" s="4074" t="e">
        <f t="shared" si="47"/>
        <v>#DIV/0!</v>
      </c>
      <c r="AZ26" s="3342"/>
      <c r="BA26" s="3341"/>
      <c r="BB26" s="3341"/>
      <c r="BC26" s="3349">
        <f t="shared" si="32"/>
        <v>0</v>
      </c>
      <c r="BD26" s="4074" t="e">
        <f t="shared" si="48"/>
        <v>#DIV/0!</v>
      </c>
      <c r="BE26" s="3342"/>
      <c r="BF26" s="3341"/>
      <c r="BG26" s="3341"/>
      <c r="BH26" s="3349">
        <f t="shared" si="33"/>
        <v>0</v>
      </c>
      <c r="BI26" s="4074" t="e">
        <f t="shared" si="49"/>
        <v>#DIV/0!</v>
      </c>
      <c r="BJ26" s="3342"/>
      <c r="BK26" s="3341"/>
      <c r="BL26" s="3341"/>
      <c r="BM26" s="3349">
        <f t="shared" si="34"/>
        <v>0</v>
      </c>
      <c r="BN26" s="4074" t="e">
        <f t="shared" si="50"/>
        <v>#DIV/0!</v>
      </c>
      <c r="BO26" s="3342"/>
      <c r="BP26" s="3341"/>
      <c r="BQ26" s="3341"/>
      <c r="BR26" s="3349">
        <f t="shared" si="35"/>
        <v>0</v>
      </c>
      <c r="BS26" s="4074" t="e">
        <f t="shared" si="51"/>
        <v>#DIV/0!</v>
      </c>
      <c r="BT26" s="3342"/>
      <c r="BU26" s="3341"/>
      <c r="BV26" s="3341"/>
      <c r="BW26" s="3349">
        <f t="shared" si="36"/>
        <v>0</v>
      </c>
      <c r="BX26" s="4074" t="e">
        <f t="shared" si="52"/>
        <v>#DIV/0!</v>
      </c>
      <c r="BY26" s="3342"/>
      <c r="BZ26" s="3341"/>
      <c r="CA26" s="3341"/>
      <c r="CB26" s="3349">
        <f t="shared" si="37"/>
        <v>0</v>
      </c>
      <c r="CC26" s="4074" t="e">
        <f t="shared" si="53"/>
        <v>#DIV/0!</v>
      </c>
      <c r="CD26" s="3342"/>
      <c r="CE26" s="3341"/>
      <c r="CF26" s="3341"/>
      <c r="CG26" s="3349">
        <f t="shared" si="38"/>
        <v>0</v>
      </c>
      <c r="CH26" s="4074" t="e">
        <f t="shared" si="54"/>
        <v>#DIV/0!</v>
      </c>
      <c r="CI26" s="3342"/>
      <c r="CJ26" s="3341">
        <f t="shared" si="39"/>
        <v>68566.604000000007</v>
      </c>
      <c r="CK26" s="3341">
        <f t="shared" si="39"/>
        <v>0</v>
      </c>
      <c r="CL26" s="3349">
        <f t="shared" si="55"/>
        <v>68566.604000000007</v>
      </c>
      <c r="CM26" s="4074">
        <f t="shared" si="40"/>
        <v>0.5625844740504401</v>
      </c>
      <c r="CN26" s="1434"/>
      <c r="CP26" s="4186">
        <v>68752.800000000003</v>
      </c>
      <c r="CQ26" s="2012">
        <f>CL26</f>
        <v>68566.604000000007</v>
      </c>
      <c r="CR26" s="4188">
        <f t="shared" si="56"/>
        <v>186.19599999999627</v>
      </c>
      <c r="CS26" s="3307"/>
      <c r="CT26" s="4058">
        <f>CR26/CP26</f>
        <v>2.7081951571426366E-3</v>
      </c>
      <c r="CU26" s="4192" t="s">
        <v>2024</v>
      </c>
    </row>
    <row r="27" spans="1:100" s="1396" customFormat="1" ht="13.8" outlineLevel="2">
      <c r="A27" s="1571"/>
      <c r="B27" s="4075" t="s">
        <v>25</v>
      </c>
      <c r="C27" s="3341"/>
      <c r="D27" s="3341"/>
      <c r="E27" s="3349">
        <f t="shared" si="19"/>
        <v>0</v>
      </c>
      <c r="F27" s="4074" t="e">
        <f t="shared" si="16"/>
        <v>#DIV/0!</v>
      </c>
      <c r="G27" s="3342"/>
      <c r="H27" s="3341"/>
      <c r="I27" s="3341"/>
      <c r="J27" s="3349">
        <f t="shared" si="20"/>
        <v>0</v>
      </c>
      <c r="K27" s="4074" t="e">
        <f t="shared" si="42"/>
        <v>#DIV/0!</v>
      </c>
      <c r="L27" s="3342"/>
      <c r="M27" s="3341"/>
      <c r="N27" s="3341"/>
      <c r="O27" s="3349">
        <f t="shared" si="21"/>
        <v>0</v>
      </c>
      <c r="P27" s="4074" t="e">
        <f t="shared" si="22"/>
        <v>#DIV/0!</v>
      </c>
      <c r="Q27" s="3342"/>
      <c r="R27" s="3342">
        <f t="shared" si="23"/>
        <v>0</v>
      </c>
      <c r="S27" s="3342">
        <f t="shared" si="23"/>
        <v>0</v>
      </c>
      <c r="T27" s="2012">
        <f t="shared" si="24"/>
        <v>0</v>
      </c>
      <c r="U27" s="3342"/>
      <c r="V27" s="3342"/>
      <c r="W27" s="3342">
        <f t="shared" si="25"/>
        <v>0</v>
      </c>
      <c r="X27" s="3342">
        <f t="shared" si="25"/>
        <v>0</v>
      </c>
      <c r="Y27" s="2012">
        <f t="shared" si="26"/>
        <v>0</v>
      </c>
      <c r="Z27" s="3342"/>
      <c r="AA27" s="3342"/>
      <c r="AB27" s="3341"/>
      <c r="AC27" s="3341"/>
      <c r="AD27" s="3349">
        <f t="shared" si="27"/>
        <v>0</v>
      </c>
      <c r="AE27" s="4074" t="e">
        <f t="shared" si="43"/>
        <v>#DIV/0!</v>
      </c>
      <c r="AF27" s="3342"/>
      <c r="AG27" s="3341"/>
      <c r="AH27" s="3341"/>
      <c r="AI27" s="3349">
        <f t="shared" si="28"/>
        <v>0</v>
      </c>
      <c r="AJ27" s="4074">
        <f t="shared" si="44"/>
        <v>0</v>
      </c>
      <c r="AK27" s="3342"/>
      <c r="AL27" s="3341"/>
      <c r="AM27" s="3341"/>
      <c r="AN27" s="3349">
        <f t="shared" si="29"/>
        <v>0</v>
      </c>
      <c r="AO27" s="4074">
        <f t="shared" si="45"/>
        <v>0</v>
      </c>
      <c r="AP27" s="3409"/>
      <c r="AQ27" s="3341"/>
      <c r="AR27" s="3341"/>
      <c r="AS27" s="3349">
        <f t="shared" si="30"/>
        <v>0</v>
      </c>
      <c r="AT27" s="4074" t="e">
        <f t="shared" si="46"/>
        <v>#DIV/0!</v>
      </c>
      <c r="AU27" s="3342"/>
      <c r="AV27" s="3341"/>
      <c r="AW27" s="3341"/>
      <c r="AX27" s="3349">
        <f t="shared" si="31"/>
        <v>0</v>
      </c>
      <c r="AY27" s="4074" t="e">
        <f t="shared" si="47"/>
        <v>#DIV/0!</v>
      </c>
      <c r="AZ27" s="3342"/>
      <c r="BA27" s="3341"/>
      <c r="BB27" s="3341"/>
      <c r="BC27" s="3349">
        <f t="shared" si="32"/>
        <v>0</v>
      </c>
      <c r="BD27" s="4074" t="e">
        <f t="shared" si="48"/>
        <v>#DIV/0!</v>
      </c>
      <c r="BE27" s="3342"/>
      <c r="BF27" s="3341"/>
      <c r="BG27" s="3341"/>
      <c r="BH27" s="3349">
        <f t="shared" si="33"/>
        <v>0</v>
      </c>
      <c r="BI27" s="4074" t="e">
        <f t="shared" si="49"/>
        <v>#DIV/0!</v>
      </c>
      <c r="BJ27" s="3342"/>
      <c r="BK27" s="3341"/>
      <c r="BL27" s="3341"/>
      <c r="BM27" s="3349">
        <f t="shared" si="34"/>
        <v>0</v>
      </c>
      <c r="BN27" s="4074" t="e">
        <f t="shared" si="50"/>
        <v>#DIV/0!</v>
      </c>
      <c r="BO27" s="3342"/>
      <c r="BP27" s="3341"/>
      <c r="BQ27" s="3341"/>
      <c r="BR27" s="3349">
        <f t="shared" si="35"/>
        <v>0</v>
      </c>
      <c r="BS27" s="4074" t="e">
        <f t="shared" si="51"/>
        <v>#DIV/0!</v>
      </c>
      <c r="BT27" s="3342"/>
      <c r="BU27" s="3341"/>
      <c r="BV27" s="3341"/>
      <c r="BW27" s="3349">
        <f t="shared" si="36"/>
        <v>0</v>
      </c>
      <c r="BX27" s="4074" t="e">
        <f t="shared" si="52"/>
        <v>#DIV/0!</v>
      </c>
      <c r="BY27" s="3342"/>
      <c r="BZ27" s="3341"/>
      <c r="CA27" s="3341"/>
      <c r="CB27" s="3349">
        <f t="shared" si="37"/>
        <v>0</v>
      </c>
      <c r="CC27" s="4074" t="e">
        <f t="shared" si="53"/>
        <v>#DIV/0!</v>
      </c>
      <c r="CD27" s="3342"/>
      <c r="CE27" s="3341"/>
      <c r="CF27" s="3341"/>
      <c r="CG27" s="3349">
        <f t="shared" si="38"/>
        <v>0</v>
      </c>
      <c r="CH27" s="4074" t="e">
        <f t="shared" si="54"/>
        <v>#DIV/0!</v>
      </c>
      <c r="CI27" s="3342"/>
      <c r="CJ27" s="3341">
        <f t="shared" si="39"/>
        <v>0</v>
      </c>
      <c r="CK27" s="3341">
        <f t="shared" si="39"/>
        <v>0</v>
      </c>
      <c r="CL27" s="3349">
        <f t="shared" si="55"/>
        <v>0</v>
      </c>
      <c r="CM27" s="4074">
        <f t="shared" si="40"/>
        <v>0</v>
      </c>
      <c r="CN27" s="1434"/>
      <c r="CP27" s="4186"/>
      <c r="CQ27" s="2012">
        <f t="shared" si="41"/>
        <v>0</v>
      </c>
      <c r="CR27" s="4188">
        <f t="shared" si="56"/>
        <v>0</v>
      </c>
      <c r="CS27" s="3307"/>
      <c r="CT27" s="3443"/>
    </row>
    <row r="28" spans="1:100" s="1396" customFormat="1" ht="13.8" outlineLevel="2">
      <c r="A28" s="1571"/>
      <c r="B28" s="4075" t="s">
        <v>52</v>
      </c>
      <c r="C28" s="3341"/>
      <c r="D28" s="3341"/>
      <c r="E28" s="3349">
        <f t="shared" si="19"/>
        <v>0</v>
      </c>
      <c r="F28" s="4074" t="e">
        <f t="shared" si="16"/>
        <v>#DIV/0!</v>
      </c>
      <c r="G28" s="3342"/>
      <c r="H28" s="3341"/>
      <c r="I28" s="3341"/>
      <c r="J28" s="3349">
        <f t="shared" si="20"/>
        <v>0</v>
      </c>
      <c r="K28" s="4074" t="e">
        <f t="shared" si="42"/>
        <v>#DIV/0!</v>
      </c>
      <c r="L28" s="3342"/>
      <c r="M28" s="3341"/>
      <c r="N28" s="3341"/>
      <c r="O28" s="3349">
        <f t="shared" si="21"/>
        <v>0</v>
      </c>
      <c r="P28" s="4074" t="e">
        <f t="shared" si="22"/>
        <v>#DIV/0!</v>
      </c>
      <c r="Q28" s="3409"/>
      <c r="R28" s="3342">
        <f t="shared" si="23"/>
        <v>0</v>
      </c>
      <c r="S28" s="3342">
        <f t="shared" si="23"/>
        <v>0</v>
      </c>
      <c r="T28" s="2012">
        <f t="shared" si="24"/>
        <v>0</v>
      </c>
      <c r="U28" s="3409"/>
      <c r="V28" s="3409"/>
      <c r="W28" s="3342">
        <f t="shared" si="25"/>
        <v>0</v>
      </c>
      <c r="X28" s="3342">
        <f t="shared" si="25"/>
        <v>0</v>
      </c>
      <c r="Y28" s="2012">
        <f t="shared" si="26"/>
        <v>0</v>
      </c>
      <c r="Z28" s="3409"/>
      <c r="AA28" s="3409"/>
      <c r="AB28" s="3341"/>
      <c r="AC28" s="3341"/>
      <c r="AD28" s="3349">
        <f t="shared" si="27"/>
        <v>0</v>
      </c>
      <c r="AE28" s="4074" t="e">
        <f t="shared" si="43"/>
        <v>#DIV/0!</v>
      </c>
      <c r="AF28" s="3409"/>
      <c r="AG28" s="3341"/>
      <c r="AH28" s="3341"/>
      <c r="AI28" s="3349">
        <f t="shared" si="28"/>
        <v>0</v>
      </c>
      <c r="AJ28" s="4074">
        <f t="shared" si="44"/>
        <v>0</v>
      </c>
      <c r="AK28" s="3409"/>
      <c r="AL28" s="3341"/>
      <c r="AM28" s="3341"/>
      <c r="AN28" s="3349">
        <f t="shared" si="29"/>
        <v>0</v>
      </c>
      <c r="AO28" s="4074">
        <f t="shared" si="45"/>
        <v>0</v>
      </c>
      <c r="AP28" s="3409"/>
      <c r="AQ28" s="3341"/>
      <c r="AR28" s="3341"/>
      <c r="AS28" s="3349">
        <f t="shared" si="30"/>
        <v>0</v>
      </c>
      <c r="AT28" s="4074" t="e">
        <f t="shared" si="46"/>
        <v>#DIV/0!</v>
      </c>
      <c r="AU28" s="3409"/>
      <c r="AV28" s="3341"/>
      <c r="AW28" s="3341"/>
      <c r="AX28" s="3349">
        <f t="shared" si="31"/>
        <v>0</v>
      </c>
      <c r="AY28" s="4074" t="e">
        <f t="shared" si="47"/>
        <v>#DIV/0!</v>
      </c>
      <c r="AZ28" s="3409"/>
      <c r="BA28" s="3341"/>
      <c r="BB28" s="3341"/>
      <c r="BC28" s="3349">
        <f t="shared" si="32"/>
        <v>0</v>
      </c>
      <c r="BD28" s="4074" t="e">
        <f t="shared" si="48"/>
        <v>#DIV/0!</v>
      </c>
      <c r="BE28" s="3409"/>
      <c r="BF28" s="3341"/>
      <c r="BG28" s="3341"/>
      <c r="BH28" s="3349">
        <f t="shared" si="33"/>
        <v>0</v>
      </c>
      <c r="BI28" s="4074" t="e">
        <f t="shared" si="49"/>
        <v>#DIV/0!</v>
      </c>
      <c r="BJ28" s="3409"/>
      <c r="BK28" s="3341"/>
      <c r="BL28" s="3341"/>
      <c r="BM28" s="3349">
        <f t="shared" si="34"/>
        <v>0</v>
      </c>
      <c r="BN28" s="4074" t="e">
        <f t="shared" si="50"/>
        <v>#DIV/0!</v>
      </c>
      <c r="BO28" s="3409"/>
      <c r="BP28" s="3341"/>
      <c r="BQ28" s="3341"/>
      <c r="BR28" s="3349">
        <f t="shared" si="35"/>
        <v>0</v>
      </c>
      <c r="BS28" s="4074" t="e">
        <f t="shared" si="51"/>
        <v>#DIV/0!</v>
      </c>
      <c r="BT28" s="3409"/>
      <c r="BU28" s="3341"/>
      <c r="BV28" s="3341"/>
      <c r="BW28" s="3349">
        <f t="shared" si="36"/>
        <v>0</v>
      </c>
      <c r="BX28" s="4074" t="e">
        <f t="shared" si="52"/>
        <v>#DIV/0!</v>
      </c>
      <c r="BY28" s="3409"/>
      <c r="BZ28" s="3341"/>
      <c r="CA28" s="3341"/>
      <c r="CB28" s="3349">
        <f t="shared" si="37"/>
        <v>0</v>
      </c>
      <c r="CC28" s="4074" t="e">
        <f t="shared" si="53"/>
        <v>#DIV/0!</v>
      </c>
      <c r="CD28" s="3409"/>
      <c r="CE28" s="3341"/>
      <c r="CF28" s="3341"/>
      <c r="CG28" s="3349">
        <f t="shared" si="38"/>
        <v>0</v>
      </c>
      <c r="CH28" s="4074" t="e">
        <f t="shared" si="54"/>
        <v>#DIV/0!</v>
      </c>
      <c r="CI28" s="3409"/>
      <c r="CJ28" s="3341">
        <f t="shared" si="39"/>
        <v>0</v>
      </c>
      <c r="CK28" s="3341">
        <f t="shared" si="39"/>
        <v>0</v>
      </c>
      <c r="CL28" s="3349">
        <f t="shared" si="55"/>
        <v>0</v>
      </c>
      <c r="CM28" s="4074">
        <f t="shared" si="40"/>
        <v>0</v>
      </c>
      <c r="CN28" s="1434"/>
      <c r="CP28" s="4186"/>
      <c r="CQ28" s="2012">
        <f t="shared" si="41"/>
        <v>0</v>
      </c>
      <c r="CR28" s="4188">
        <f t="shared" si="56"/>
        <v>0</v>
      </c>
      <c r="CS28" s="3307"/>
      <c r="CT28" s="3443"/>
    </row>
    <row r="29" spans="1:100" s="1396" customFormat="1" ht="13.8" outlineLevel="2">
      <c r="A29" s="1571"/>
      <c r="B29" s="4075" t="s">
        <v>31</v>
      </c>
      <c r="C29" s="3341"/>
      <c r="D29" s="3341"/>
      <c r="E29" s="3349">
        <f t="shared" si="19"/>
        <v>0</v>
      </c>
      <c r="F29" s="4074" t="e">
        <f t="shared" si="16"/>
        <v>#DIV/0!</v>
      </c>
      <c r="G29" s="3342"/>
      <c r="H29" s="3341"/>
      <c r="I29" s="3341"/>
      <c r="J29" s="3349">
        <f t="shared" si="20"/>
        <v>0</v>
      </c>
      <c r="K29" s="4074" t="e">
        <f t="shared" si="42"/>
        <v>#DIV/0!</v>
      </c>
      <c r="L29" s="3342"/>
      <c r="M29" s="3341"/>
      <c r="N29" s="3341"/>
      <c r="O29" s="3349">
        <f t="shared" si="21"/>
        <v>0</v>
      </c>
      <c r="P29" s="4074" t="e">
        <f t="shared" si="22"/>
        <v>#DIV/0!</v>
      </c>
      <c r="Q29" s="3342"/>
      <c r="R29" s="3342">
        <f t="shared" si="23"/>
        <v>0</v>
      </c>
      <c r="S29" s="3342">
        <f t="shared" si="23"/>
        <v>0</v>
      </c>
      <c r="T29" s="2012">
        <f t="shared" si="24"/>
        <v>0</v>
      </c>
      <c r="U29" s="3342"/>
      <c r="V29" s="3342"/>
      <c r="W29" s="3342">
        <f t="shared" si="25"/>
        <v>0</v>
      </c>
      <c r="X29" s="3342">
        <f t="shared" si="25"/>
        <v>0</v>
      </c>
      <c r="Y29" s="2012">
        <f t="shared" si="26"/>
        <v>0</v>
      </c>
      <c r="Z29" s="3342"/>
      <c r="AA29" s="3342"/>
      <c r="AB29" s="3341"/>
      <c r="AC29" s="3341"/>
      <c r="AD29" s="3349">
        <f t="shared" si="27"/>
        <v>0</v>
      </c>
      <c r="AE29" s="4074" t="e">
        <f t="shared" si="43"/>
        <v>#DIV/0!</v>
      </c>
      <c r="AF29" s="3342"/>
      <c r="AG29" s="3341"/>
      <c r="AH29" s="3341"/>
      <c r="AI29" s="3349">
        <f t="shared" si="28"/>
        <v>0</v>
      </c>
      <c r="AJ29" s="4074">
        <f t="shared" si="44"/>
        <v>0</v>
      </c>
      <c r="AK29" s="3342"/>
      <c r="AL29" s="3341"/>
      <c r="AM29" s="3341"/>
      <c r="AN29" s="3349">
        <f t="shared" si="29"/>
        <v>0</v>
      </c>
      <c r="AO29" s="4074">
        <f t="shared" si="45"/>
        <v>0</v>
      </c>
      <c r="AP29" s="3409"/>
      <c r="AQ29" s="3341"/>
      <c r="AR29" s="3341"/>
      <c r="AS29" s="3349">
        <f t="shared" si="30"/>
        <v>0</v>
      </c>
      <c r="AT29" s="4074" t="e">
        <f t="shared" si="46"/>
        <v>#DIV/0!</v>
      </c>
      <c r="AU29" s="3342"/>
      <c r="AV29" s="3341"/>
      <c r="AW29" s="3341"/>
      <c r="AX29" s="3349">
        <f t="shared" si="31"/>
        <v>0</v>
      </c>
      <c r="AY29" s="4074" t="e">
        <f t="shared" si="47"/>
        <v>#DIV/0!</v>
      </c>
      <c r="AZ29" s="3342"/>
      <c r="BA29" s="3341"/>
      <c r="BB29" s="3341"/>
      <c r="BC29" s="3349">
        <f t="shared" si="32"/>
        <v>0</v>
      </c>
      <c r="BD29" s="4074" t="e">
        <f t="shared" si="48"/>
        <v>#DIV/0!</v>
      </c>
      <c r="BE29" s="3342"/>
      <c r="BF29" s="3341"/>
      <c r="BG29" s="3341"/>
      <c r="BH29" s="3349">
        <f t="shared" si="33"/>
        <v>0</v>
      </c>
      <c r="BI29" s="4074" t="e">
        <f t="shared" si="49"/>
        <v>#DIV/0!</v>
      </c>
      <c r="BJ29" s="3342"/>
      <c r="BK29" s="3341"/>
      <c r="BL29" s="3341"/>
      <c r="BM29" s="3349">
        <f t="shared" si="34"/>
        <v>0</v>
      </c>
      <c r="BN29" s="4074" t="e">
        <f t="shared" si="50"/>
        <v>#DIV/0!</v>
      </c>
      <c r="BO29" s="3342"/>
      <c r="BP29" s="3341"/>
      <c r="BQ29" s="3341"/>
      <c r="BR29" s="3349">
        <f t="shared" si="35"/>
        <v>0</v>
      </c>
      <c r="BS29" s="4074" t="e">
        <f t="shared" si="51"/>
        <v>#DIV/0!</v>
      </c>
      <c r="BT29" s="3342"/>
      <c r="BU29" s="3341"/>
      <c r="BV29" s="3341"/>
      <c r="BW29" s="3349">
        <f t="shared" si="36"/>
        <v>0</v>
      </c>
      <c r="BX29" s="4074" t="e">
        <f t="shared" si="52"/>
        <v>#DIV/0!</v>
      </c>
      <c r="BY29" s="3342"/>
      <c r="BZ29" s="3341"/>
      <c r="CA29" s="3341"/>
      <c r="CB29" s="3349">
        <f t="shared" si="37"/>
        <v>0</v>
      </c>
      <c r="CC29" s="4074" t="e">
        <f t="shared" si="53"/>
        <v>#DIV/0!</v>
      </c>
      <c r="CD29" s="3342"/>
      <c r="CE29" s="3341"/>
      <c r="CF29" s="3341"/>
      <c r="CG29" s="3349">
        <f t="shared" si="38"/>
        <v>0</v>
      </c>
      <c r="CH29" s="4074" t="e">
        <f t="shared" si="54"/>
        <v>#DIV/0!</v>
      </c>
      <c r="CI29" s="3342"/>
      <c r="CJ29" s="3341">
        <f t="shared" si="39"/>
        <v>0</v>
      </c>
      <c r="CK29" s="3341">
        <f t="shared" si="39"/>
        <v>0</v>
      </c>
      <c r="CL29" s="3349">
        <f t="shared" si="55"/>
        <v>0</v>
      </c>
      <c r="CM29" s="4074">
        <f t="shared" si="40"/>
        <v>0</v>
      </c>
      <c r="CN29" s="4076"/>
      <c r="CP29" s="4186"/>
      <c r="CQ29" s="2012">
        <f t="shared" si="41"/>
        <v>0</v>
      </c>
      <c r="CR29" s="4188">
        <f t="shared" si="56"/>
        <v>0</v>
      </c>
      <c r="CT29" s="2624"/>
    </row>
    <row r="30" spans="1:100" s="1396" customFormat="1" ht="13.8" outlineLevel="2">
      <c r="A30" s="1571"/>
      <c r="B30" s="4075" t="s">
        <v>62</v>
      </c>
      <c r="C30" s="3341"/>
      <c r="D30" s="3341"/>
      <c r="E30" s="3349">
        <f t="shared" si="19"/>
        <v>0</v>
      </c>
      <c r="F30" s="4074" t="e">
        <f t="shared" si="16"/>
        <v>#DIV/0!</v>
      </c>
      <c r="G30" s="3343"/>
      <c r="H30" s="3341"/>
      <c r="I30" s="3341"/>
      <c r="J30" s="3349">
        <f t="shared" si="20"/>
        <v>0</v>
      </c>
      <c r="K30" s="4074" t="e">
        <f t="shared" si="42"/>
        <v>#DIV/0!</v>
      </c>
      <c r="L30" s="3343"/>
      <c r="M30" s="3341"/>
      <c r="N30" s="3341"/>
      <c r="O30" s="3349">
        <f t="shared" si="21"/>
        <v>0</v>
      </c>
      <c r="P30" s="4074" t="e">
        <f t="shared" si="22"/>
        <v>#DIV/0!</v>
      </c>
      <c r="Q30" s="3342"/>
      <c r="R30" s="3342">
        <f t="shared" si="23"/>
        <v>0</v>
      </c>
      <c r="S30" s="3342">
        <f t="shared" si="23"/>
        <v>0</v>
      </c>
      <c r="T30" s="2012">
        <f t="shared" si="24"/>
        <v>0</v>
      </c>
      <c r="U30" s="3342"/>
      <c r="V30" s="3342"/>
      <c r="W30" s="3342">
        <f t="shared" si="25"/>
        <v>0</v>
      </c>
      <c r="X30" s="3342">
        <f t="shared" si="25"/>
        <v>0</v>
      </c>
      <c r="Y30" s="2012">
        <f t="shared" si="26"/>
        <v>0</v>
      </c>
      <c r="Z30" s="3342"/>
      <c r="AA30" s="3342"/>
      <c r="AB30" s="3341"/>
      <c r="AC30" s="3341"/>
      <c r="AD30" s="3349">
        <f t="shared" si="27"/>
        <v>0</v>
      </c>
      <c r="AE30" s="4074" t="e">
        <f t="shared" si="43"/>
        <v>#DIV/0!</v>
      </c>
      <c r="AF30" s="3342"/>
      <c r="AG30" s="3341"/>
      <c r="AH30" s="3341"/>
      <c r="AI30" s="3349">
        <f t="shared" si="28"/>
        <v>0</v>
      </c>
      <c r="AJ30" s="4074">
        <f t="shared" si="44"/>
        <v>0</v>
      </c>
      <c r="AK30" s="3342"/>
      <c r="AL30" s="3341"/>
      <c r="AM30" s="3341"/>
      <c r="AN30" s="3349">
        <f t="shared" si="29"/>
        <v>0</v>
      </c>
      <c r="AO30" s="4074">
        <f t="shared" si="45"/>
        <v>0</v>
      </c>
      <c r="AP30" s="3409"/>
      <c r="AQ30" s="3341"/>
      <c r="AR30" s="3341"/>
      <c r="AS30" s="3349">
        <f t="shared" si="30"/>
        <v>0</v>
      </c>
      <c r="AT30" s="4074" t="e">
        <f t="shared" si="46"/>
        <v>#DIV/0!</v>
      </c>
      <c r="AU30" s="3342"/>
      <c r="AV30" s="3341"/>
      <c r="AW30" s="3341"/>
      <c r="AX30" s="3349">
        <f t="shared" si="31"/>
        <v>0</v>
      </c>
      <c r="AY30" s="4074" t="e">
        <f t="shared" si="47"/>
        <v>#DIV/0!</v>
      </c>
      <c r="AZ30" s="3342"/>
      <c r="BA30" s="3341"/>
      <c r="BB30" s="3341"/>
      <c r="BC30" s="3349">
        <f t="shared" si="32"/>
        <v>0</v>
      </c>
      <c r="BD30" s="4074" t="e">
        <f t="shared" si="48"/>
        <v>#DIV/0!</v>
      </c>
      <c r="BE30" s="3342"/>
      <c r="BF30" s="3341"/>
      <c r="BG30" s="3341"/>
      <c r="BH30" s="3349">
        <f t="shared" si="33"/>
        <v>0</v>
      </c>
      <c r="BI30" s="4074" t="e">
        <f t="shared" si="49"/>
        <v>#DIV/0!</v>
      </c>
      <c r="BJ30" s="3342"/>
      <c r="BK30" s="3341"/>
      <c r="BL30" s="3341"/>
      <c r="BM30" s="3349">
        <f t="shared" si="34"/>
        <v>0</v>
      </c>
      <c r="BN30" s="4074" t="e">
        <f t="shared" si="50"/>
        <v>#DIV/0!</v>
      </c>
      <c r="BO30" s="3342"/>
      <c r="BP30" s="3341"/>
      <c r="BQ30" s="3341"/>
      <c r="BR30" s="3349">
        <f t="shared" si="35"/>
        <v>0</v>
      </c>
      <c r="BS30" s="4074" t="e">
        <f t="shared" si="51"/>
        <v>#DIV/0!</v>
      </c>
      <c r="BT30" s="3342"/>
      <c r="BU30" s="3341"/>
      <c r="BV30" s="3341"/>
      <c r="BW30" s="3349">
        <f t="shared" si="36"/>
        <v>0</v>
      </c>
      <c r="BX30" s="4074" t="e">
        <f t="shared" si="52"/>
        <v>#DIV/0!</v>
      </c>
      <c r="BY30" s="3342"/>
      <c r="BZ30" s="3341"/>
      <c r="CA30" s="3341"/>
      <c r="CB30" s="3349">
        <f t="shared" si="37"/>
        <v>0</v>
      </c>
      <c r="CC30" s="4074" t="e">
        <f t="shared" si="53"/>
        <v>#DIV/0!</v>
      </c>
      <c r="CD30" s="3342"/>
      <c r="CE30" s="3341"/>
      <c r="CF30" s="3341"/>
      <c r="CG30" s="3349">
        <f t="shared" si="38"/>
        <v>0</v>
      </c>
      <c r="CH30" s="4074" t="e">
        <f t="shared" si="54"/>
        <v>#DIV/0!</v>
      </c>
      <c r="CI30" s="3342"/>
      <c r="CJ30" s="3341">
        <f t="shared" si="39"/>
        <v>0</v>
      </c>
      <c r="CK30" s="3341">
        <f t="shared" si="39"/>
        <v>0</v>
      </c>
      <c r="CL30" s="3349">
        <f t="shared" si="55"/>
        <v>0</v>
      </c>
      <c r="CM30" s="4074">
        <f t="shared" si="40"/>
        <v>0</v>
      </c>
      <c r="CN30" s="4076"/>
      <c r="CP30" s="4186"/>
      <c r="CQ30" s="2012">
        <f t="shared" si="41"/>
        <v>0</v>
      </c>
      <c r="CR30" s="4188">
        <f t="shared" si="56"/>
        <v>0</v>
      </c>
      <c r="CS30" s="3307"/>
      <c r="CT30" s="3443"/>
    </row>
    <row r="31" spans="1:100" s="1396" customFormat="1" ht="13.8" outlineLevel="2">
      <c r="A31" s="1571"/>
      <c r="B31" s="4075" t="s">
        <v>34</v>
      </c>
      <c r="C31" s="3341"/>
      <c r="D31" s="3341"/>
      <c r="E31" s="3349">
        <f t="shared" si="19"/>
        <v>0</v>
      </c>
      <c r="F31" s="4074" t="e">
        <f t="shared" si="16"/>
        <v>#DIV/0!</v>
      </c>
      <c r="G31" s="3343"/>
      <c r="H31" s="3341"/>
      <c r="I31" s="3341"/>
      <c r="J31" s="3349">
        <f t="shared" si="20"/>
        <v>0</v>
      </c>
      <c r="K31" s="4074" t="e">
        <f t="shared" si="42"/>
        <v>#DIV/0!</v>
      </c>
      <c r="L31" s="3343"/>
      <c r="M31" s="3341"/>
      <c r="N31" s="3341"/>
      <c r="O31" s="3349">
        <f t="shared" si="21"/>
        <v>0</v>
      </c>
      <c r="P31" s="4074" t="e">
        <f t="shared" si="22"/>
        <v>#DIV/0!</v>
      </c>
      <c r="Q31" s="3342"/>
      <c r="R31" s="3342">
        <f t="shared" si="23"/>
        <v>0</v>
      </c>
      <c r="S31" s="3342">
        <f t="shared" si="23"/>
        <v>0</v>
      </c>
      <c r="T31" s="2012">
        <f t="shared" si="24"/>
        <v>0</v>
      </c>
      <c r="U31" s="3342"/>
      <c r="V31" s="3342"/>
      <c r="W31" s="3342">
        <f t="shared" si="25"/>
        <v>0</v>
      </c>
      <c r="X31" s="3342">
        <f t="shared" si="25"/>
        <v>0</v>
      </c>
      <c r="Y31" s="2012">
        <f t="shared" si="26"/>
        <v>0</v>
      </c>
      <c r="Z31" s="3342"/>
      <c r="AA31" s="3342"/>
      <c r="AB31" s="3341"/>
      <c r="AC31" s="3341"/>
      <c r="AD31" s="3349">
        <f t="shared" si="27"/>
        <v>0</v>
      </c>
      <c r="AE31" s="4074" t="e">
        <f t="shared" si="43"/>
        <v>#DIV/0!</v>
      </c>
      <c r="AF31" s="3342"/>
      <c r="AG31" s="3341"/>
      <c r="AH31" s="3341"/>
      <c r="AI31" s="3349">
        <f t="shared" si="28"/>
        <v>0</v>
      </c>
      <c r="AJ31" s="4074">
        <f t="shared" si="44"/>
        <v>0</v>
      </c>
      <c r="AK31" s="3342"/>
      <c r="AL31" s="3341"/>
      <c r="AM31" s="3341"/>
      <c r="AN31" s="3349">
        <f t="shared" si="29"/>
        <v>0</v>
      </c>
      <c r="AO31" s="4074">
        <f t="shared" si="45"/>
        <v>0</v>
      </c>
      <c r="AP31" s="3409"/>
      <c r="AQ31" s="3341"/>
      <c r="AR31" s="3341"/>
      <c r="AS31" s="3349">
        <f t="shared" si="30"/>
        <v>0</v>
      </c>
      <c r="AT31" s="4074" t="e">
        <f t="shared" si="46"/>
        <v>#DIV/0!</v>
      </c>
      <c r="AU31" s="3342"/>
      <c r="AV31" s="3341"/>
      <c r="AW31" s="3341"/>
      <c r="AX31" s="3349">
        <f t="shared" si="31"/>
        <v>0</v>
      </c>
      <c r="AY31" s="4074" t="e">
        <f t="shared" si="47"/>
        <v>#DIV/0!</v>
      </c>
      <c r="AZ31" s="3342"/>
      <c r="BA31" s="3341"/>
      <c r="BB31" s="3341"/>
      <c r="BC31" s="3349">
        <f t="shared" si="32"/>
        <v>0</v>
      </c>
      <c r="BD31" s="4074" t="e">
        <f t="shared" si="48"/>
        <v>#DIV/0!</v>
      </c>
      <c r="BE31" s="3342"/>
      <c r="BF31" s="3341"/>
      <c r="BG31" s="3341"/>
      <c r="BH31" s="3349">
        <f t="shared" si="33"/>
        <v>0</v>
      </c>
      <c r="BI31" s="4074" t="e">
        <f t="shared" si="49"/>
        <v>#DIV/0!</v>
      </c>
      <c r="BJ31" s="3342"/>
      <c r="BK31" s="3341"/>
      <c r="BL31" s="3341"/>
      <c r="BM31" s="3349">
        <f t="shared" si="34"/>
        <v>0</v>
      </c>
      <c r="BN31" s="4074" t="e">
        <f t="shared" si="50"/>
        <v>#DIV/0!</v>
      </c>
      <c r="BO31" s="3342"/>
      <c r="BP31" s="3341"/>
      <c r="BQ31" s="3341"/>
      <c r="BR31" s="3349">
        <f t="shared" si="35"/>
        <v>0</v>
      </c>
      <c r="BS31" s="4074" t="e">
        <f t="shared" si="51"/>
        <v>#DIV/0!</v>
      </c>
      <c r="BT31" s="3342"/>
      <c r="BU31" s="3341"/>
      <c r="BV31" s="3341"/>
      <c r="BW31" s="3349">
        <f t="shared" si="36"/>
        <v>0</v>
      </c>
      <c r="BX31" s="4074" t="e">
        <f t="shared" si="52"/>
        <v>#DIV/0!</v>
      </c>
      <c r="BY31" s="3342"/>
      <c r="BZ31" s="3341"/>
      <c r="CA31" s="3341"/>
      <c r="CB31" s="3349">
        <f t="shared" si="37"/>
        <v>0</v>
      </c>
      <c r="CC31" s="4074" t="e">
        <f t="shared" si="53"/>
        <v>#DIV/0!</v>
      </c>
      <c r="CD31" s="3342"/>
      <c r="CE31" s="3341"/>
      <c r="CF31" s="3341"/>
      <c r="CG31" s="3349">
        <f t="shared" si="38"/>
        <v>0</v>
      </c>
      <c r="CH31" s="4074" t="e">
        <f t="shared" si="54"/>
        <v>#DIV/0!</v>
      </c>
      <c r="CI31" s="3342"/>
      <c r="CJ31" s="3341">
        <f t="shared" si="39"/>
        <v>0</v>
      </c>
      <c r="CK31" s="3341">
        <f t="shared" si="39"/>
        <v>0</v>
      </c>
      <c r="CL31" s="3349">
        <f t="shared" si="55"/>
        <v>0</v>
      </c>
      <c r="CM31" s="4074">
        <f t="shared" si="40"/>
        <v>0</v>
      </c>
      <c r="CN31" s="4076"/>
      <c r="CP31" s="4186"/>
      <c r="CQ31" s="2012">
        <f t="shared" si="41"/>
        <v>0</v>
      </c>
      <c r="CR31" s="4188">
        <f t="shared" si="56"/>
        <v>0</v>
      </c>
      <c r="CS31" s="3307"/>
      <c r="CT31" s="3443"/>
      <c r="CV31" s="933"/>
    </row>
    <row r="32" spans="1:100" s="1396" customFormat="1" ht="13.8" outlineLevel="2">
      <c r="A32" s="1571"/>
      <c r="B32" s="4077" t="s">
        <v>2</v>
      </c>
      <c r="C32" s="3341"/>
      <c r="D32" s="3341"/>
      <c r="E32" s="3349">
        <f t="shared" si="19"/>
        <v>0</v>
      </c>
      <c r="F32" s="4074" t="e">
        <f t="shared" si="16"/>
        <v>#DIV/0!</v>
      </c>
      <c r="G32" s="4078"/>
      <c r="H32" s="3341"/>
      <c r="I32" s="3341"/>
      <c r="J32" s="3349">
        <f t="shared" si="20"/>
        <v>0</v>
      </c>
      <c r="K32" s="4074" t="e">
        <f t="shared" si="42"/>
        <v>#DIV/0!</v>
      </c>
      <c r="L32" s="4078"/>
      <c r="M32" s="3341"/>
      <c r="N32" s="3341"/>
      <c r="O32" s="3349">
        <f t="shared" si="21"/>
        <v>0</v>
      </c>
      <c r="P32" s="4074" t="e">
        <f t="shared" si="22"/>
        <v>#DIV/0!</v>
      </c>
      <c r="Q32" s="4078"/>
      <c r="R32" s="3342">
        <f t="shared" si="23"/>
        <v>0</v>
      </c>
      <c r="S32" s="3342">
        <f t="shared" si="23"/>
        <v>0</v>
      </c>
      <c r="T32" s="2012">
        <f t="shared" si="24"/>
        <v>0</v>
      </c>
      <c r="U32" s="2048"/>
      <c r="V32" s="2048"/>
      <c r="W32" s="3342">
        <f t="shared" si="25"/>
        <v>0</v>
      </c>
      <c r="X32" s="3342">
        <f t="shared" si="25"/>
        <v>0</v>
      </c>
      <c r="Y32" s="2012">
        <f t="shared" si="26"/>
        <v>0</v>
      </c>
      <c r="Z32" s="2048"/>
      <c r="AA32" s="2048"/>
      <c r="AB32" s="3341"/>
      <c r="AC32" s="3341"/>
      <c r="AD32" s="3349">
        <f t="shared" si="27"/>
        <v>0</v>
      </c>
      <c r="AE32" s="4074" t="e">
        <f t="shared" si="43"/>
        <v>#DIV/0!</v>
      </c>
      <c r="AF32" s="4078"/>
      <c r="AG32" s="3341"/>
      <c r="AH32" s="3341"/>
      <c r="AI32" s="3349">
        <f t="shared" si="28"/>
        <v>0</v>
      </c>
      <c r="AJ32" s="4074">
        <f t="shared" si="44"/>
        <v>0</v>
      </c>
      <c r="AK32" s="4078"/>
      <c r="AL32" s="3341"/>
      <c r="AM32" s="3341"/>
      <c r="AN32" s="3349">
        <f t="shared" si="29"/>
        <v>0</v>
      </c>
      <c r="AO32" s="4074">
        <f t="shared" si="45"/>
        <v>0</v>
      </c>
      <c r="AP32" s="4164"/>
      <c r="AQ32" s="3341"/>
      <c r="AR32" s="3341"/>
      <c r="AS32" s="3349">
        <f t="shared" si="30"/>
        <v>0</v>
      </c>
      <c r="AT32" s="4074" t="e">
        <f t="shared" si="46"/>
        <v>#DIV/0!</v>
      </c>
      <c r="AU32" s="4078"/>
      <c r="AV32" s="3341"/>
      <c r="AW32" s="3341"/>
      <c r="AX32" s="3349">
        <f t="shared" si="31"/>
        <v>0</v>
      </c>
      <c r="AY32" s="4074" t="e">
        <f t="shared" si="47"/>
        <v>#DIV/0!</v>
      </c>
      <c r="AZ32" s="4078"/>
      <c r="BA32" s="3341"/>
      <c r="BB32" s="3341"/>
      <c r="BC32" s="3349">
        <f t="shared" si="32"/>
        <v>0</v>
      </c>
      <c r="BD32" s="4074" t="e">
        <f t="shared" si="48"/>
        <v>#DIV/0!</v>
      </c>
      <c r="BE32" s="4078"/>
      <c r="BF32" s="3341"/>
      <c r="BG32" s="3341"/>
      <c r="BH32" s="3349">
        <f t="shared" si="33"/>
        <v>0</v>
      </c>
      <c r="BI32" s="4074" t="e">
        <f t="shared" si="49"/>
        <v>#DIV/0!</v>
      </c>
      <c r="BJ32" s="4078"/>
      <c r="BK32" s="3341"/>
      <c r="BL32" s="3341"/>
      <c r="BM32" s="3349">
        <f t="shared" si="34"/>
        <v>0</v>
      </c>
      <c r="BN32" s="4074" t="e">
        <f t="shared" si="50"/>
        <v>#DIV/0!</v>
      </c>
      <c r="BO32" s="4078"/>
      <c r="BP32" s="3341"/>
      <c r="BQ32" s="3341"/>
      <c r="BR32" s="3349">
        <f t="shared" si="35"/>
        <v>0</v>
      </c>
      <c r="BS32" s="4074" t="e">
        <f t="shared" si="51"/>
        <v>#DIV/0!</v>
      </c>
      <c r="BT32" s="4078"/>
      <c r="BU32" s="3341"/>
      <c r="BV32" s="3341"/>
      <c r="BW32" s="3349">
        <f t="shared" si="36"/>
        <v>0</v>
      </c>
      <c r="BX32" s="4074" t="e">
        <f t="shared" si="52"/>
        <v>#DIV/0!</v>
      </c>
      <c r="BY32" s="4078"/>
      <c r="BZ32" s="3341"/>
      <c r="CA32" s="3341"/>
      <c r="CB32" s="3349">
        <f t="shared" si="37"/>
        <v>0</v>
      </c>
      <c r="CC32" s="4074" t="e">
        <f t="shared" si="53"/>
        <v>#DIV/0!</v>
      </c>
      <c r="CD32" s="4078"/>
      <c r="CE32" s="3341"/>
      <c r="CF32" s="3341"/>
      <c r="CG32" s="3349">
        <f t="shared" si="38"/>
        <v>0</v>
      </c>
      <c r="CH32" s="4074" t="e">
        <f t="shared" si="54"/>
        <v>#DIV/0!</v>
      </c>
      <c r="CI32" s="4078"/>
      <c r="CJ32" s="4079">
        <f t="shared" si="39"/>
        <v>0</v>
      </c>
      <c r="CK32" s="4080">
        <f t="shared" si="39"/>
        <v>0</v>
      </c>
      <c r="CL32" s="3349">
        <f t="shared" si="55"/>
        <v>0</v>
      </c>
      <c r="CM32" s="4074">
        <f t="shared" si="40"/>
        <v>0</v>
      </c>
      <c r="CN32" s="4076"/>
      <c r="CP32" s="4186"/>
      <c r="CQ32" s="2012">
        <f t="shared" si="41"/>
        <v>0</v>
      </c>
      <c r="CR32" s="4188">
        <f t="shared" si="56"/>
        <v>0</v>
      </c>
      <c r="CT32" s="2624"/>
    </row>
    <row r="33" spans="1:98" s="1396" customFormat="1" ht="14.4" outlineLevel="2" thickBot="1">
      <c r="A33" s="1571"/>
      <c r="B33" s="4081" t="s">
        <v>75</v>
      </c>
      <c r="C33" s="4082"/>
      <c r="D33" s="4082"/>
      <c r="E33" s="4083">
        <f t="shared" ref="E33" si="57">C33+D33*1</f>
        <v>0</v>
      </c>
      <c r="F33" s="4084" t="e">
        <f t="shared" si="16"/>
        <v>#DIV/0!</v>
      </c>
      <c r="G33" s="4085"/>
      <c r="H33" s="4082"/>
      <c r="I33" s="4082"/>
      <c r="J33" s="4083">
        <f>H33+I33*1</f>
        <v>0</v>
      </c>
      <c r="K33" s="4084" t="e">
        <f t="shared" si="42"/>
        <v>#DIV/0!</v>
      </c>
      <c r="L33" s="4085"/>
      <c r="M33" s="4082"/>
      <c r="N33" s="4082"/>
      <c r="O33" s="4083">
        <f t="shared" ref="O33" si="58">M33+N33*1</f>
        <v>0</v>
      </c>
      <c r="P33" s="4074" t="e">
        <f t="shared" si="22"/>
        <v>#DIV/0!</v>
      </c>
      <c r="Q33" s="4085"/>
      <c r="R33" s="4086">
        <f t="shared" si="23"/>
        <v>0</v>
      </c>
      <c r="S33" s="4087">
        <f t="shared" si="23"/>
        <v>0</v>
      </c>
      <c r="T33" s="4088">
        <f t="shared" si="24"/>
        <v>0</v>
      </c>
      <c r="U33" s="4085"/>
      <c r="V33" s="4085"/>
      <c r="W33" s="4087">
        <f t="shared" si="25"/>
        <v>0</v>
      </c>
      <c r="X33" s="4087">
        <f t="shared" si="25"/>
        <v>0</v>
      </c>
      <c r="Y33" s="4088">
        <f t="shared" si="26"/>
        <v>0</v>
      </c>
      <c r="Z33" s="4085"/>
      <c r="AA33" s="4085"/>
      <c r="AB33" s="4082"/>
      <c r="AC33" s="4082"/>
      <c r="AD33" s="4083">
        <f t="shared" ref="AD33" si="59">AB33+AC33*1</f>
        <v>0</v>
      </c>
      <c r="AE33" s="4084" t="e">
        <f t="shared" si="43"/>
        <v>#DIV/0!</v>
      </c>
      <c r="AF33" s="4085"/>
      <c r="AG33" s="4082"/>
      <c r="AH33" s="4082"/>
      <c r="AI33" s="4083">
        <f t="shared" ref="AI33" si="60">AG33+AH33*1</f>
        <v>0</v>
      </c>
      <c r="AJ33" s="4084">
        <f t="shared" si="44"/>
        <v>0</v>
      </c>
      <c r="AK33" s="4085"/>
      <c r="AL33" s="4082"/>
      <c r="AM33" s="4082"/>
      <c r="AN33" s="4083">
        <f t="shared" ref="AN33" si="61">AL33+AM33*1</f>
        <v>0</v>
      </c>
      <c r="AO33" s="4084">
        <f t="shared" si="45"/>
        <v>0</v>
      </c>
      <c r="AP33" s="4165"/>
      <c r="AQ33" s="4082"/>
      <c r="AR33" s="4082"/>
      <c r="AS33" s="4083">
        <f t="shared" ref="AS33" si="62">AQ33+AR33*1</f>
        <v>0</v>
      </c>
      <c r="AT33" s="4084" t="e">
        <f t="shared" si="46"/>
        <v>#DIV/0!</v>
      </c>
      <c r="AU33" s="4085"/>
      <c r="AV33" s="4082"/>
      <c r="AW33" s="4082"/>
      <c r="AX33" s="4083">
        <f t="shared" ref="AX33" si="63">AV33+AW33*1</f>
        <v>0</v>
      </c>
      <c r="AY33" s="4084" t="e">
        <f t="shared" si="47"/>
        <v>#DIV/0!</v>
      </c>
      <c r="AZ33" s="4085"/>
      <c r="BA33" s="4082"/>
      <c r="BB33" s="4082"/>
      <c r="BC33" s="4083">
        <f t="shared" ref="BC33" si="64">BA33+BB33*1</f>
        <v>0</v>
      </c>
      <c r="BD33" s="4084" t="e">
        <f t="shared" si="48"/>
        <v>#DIV/0!</v>
      </c>
      <c r="BE33" s="4085"/>
      <c r="BF33" s="4082"/>
      <c r="BG33" s="4082"/>
      <c r="BH33" s="4083">
        <f t="shared" ref="BH33" si="65">BF33+BG33*1</f>
        <v>0</v>
      </c>
      <c r="BI33" s="4084" t="e">
        <f t="shared" si="49"/>
        <v>#DIV/0!</v>
      </c>
      <c r="BJ33" s="4085"/>
      <c r="BK33" s="4082"/>
      <c r="BL33" s="4082"/>
      <c r="BM33" s="4083">
        <f t="shared" ref="BM33" si="66">BK33+BL33*1</f>
        <v>0</v>
      </c>
      <c r="BN33" s="4084" t="e">
        <f t="shared" si="50"/>
        <v>#DIV/0!</v>
      </c>
      <c r="BO33" s="4085"/>
      <c r="BP33" s="4082"/>
      <c r="BQ33" s="4082"/>
      <c r="BR33" s="4083">
        <f t="shared" ref="BR33" si="67">BP33+BQ33*1</f>
        <v>0</v>
      </c>
      <c r="BS33" s="4084" t="e">
        <f t="shared" si="51"/>
        <v>#DIV/0!</v>
      </c>
      <c r="BT33" s="4085"/>
      <c r="BU33" s="4082"/>
      <c r="BV33" s="4082"/>
      <c r="BW33" s="4083">
        <f t="shared" ref="BW33" si="68">BU33+BV33*1</f>
        <v>0</v>
      </c>
      <c r="BX33" s="4084" t="e">
        <f t="shared" si="52"/>
        <v>#DIV/0!</v>
      </c>
      <c r="BY33" s="4085"/>
      <c r="BZ33" s="4082"/>
      <c r="CA33" s="4082"/>
      <c r="CB33" s="4083">
        <f t="shared" ref="CB33" si="69">BZ33+CA33*1</f>
        <v>0</v>
      </c>
      <c r="CC33" s="4084" t="e">
        <f t="shared" si="53"/>
        <v>#DIV/0!</v>
      </c>
      <c r="CD33" s="4085"/>
      <c r="CE33" s="4082"/>
      <c r="CF33" s="4082"/>
      <c r="CG33" s="4083">
        <f t="shared" ref="CG33" si="70">CE33+CF33*1</f>
        <v>0</v>
      </c>
      <c r="CH33" s="4084" t="e">
        <f t="shared" si="54"/>
        <v>#DIV/0!</v>
      </c>
      <c r="CI33" s="4085"/>
      <c r="CJ33" s="4089">
        <f t="shared" si="39"/>
        <v>0</v>
      </c>
      <c r="CK33" s="4082">
        <f t="shared" si="39"/>
        <v>0</v>
      </c>
      <c r="CL33" s="4083">
        <f t="shared" si="55"/>
        <v>0</v>
      </c>
      <c r="CM33" s="4090">
        <f t="shared" si="40"/>
        <v>0</v>
      </c>
      <c r="CN33" s="4091"/>
      <c r="CP33" s="4186"/>
      <c r="CQ33" s="4186"/>
      <c r="CR33" s="4188">
        <f t="shared" si="56"/>
        <v>0</v>
      </c>
      <c r="CT33" s="2624"/>
    </row>
    <row r="34" spans="1:98"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1"/>
      <c r="AC34" s="3341"/>
      <c r="AD34" s="3368"/>
      <c r="AE34" s="3368"/>
      <c r="AF34" s="3448"/>
      <c r="AG34" s="3341"/>
      <c r="AH34" s="3341"/>
      <c r="AI34" s="3368"/>
      <c r="AJ34" s="3368"/>
      <c r="AK34" s="3448"/>
      <c r="AL34" s="3341"/>
      <c r="AM34" s="3341"/>
      <c r="AN34" s="3368"/>
      <c r="AO34" s="3368"/>
      <c r="AP34" s="3721"/>
      <c r="AQ34" s="3341"/>
      <c r="AR34" s="3341"/>
      <c r="AS34" s="3368"/>
      <c r="AT34" s="3368"/>
      <c r="AU34" s="3448"/>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3449"/>
      <c r="CQ34" s="3449"/>
      <c r="CR34" s="3450"/>
      <c r="CT34" s="2624"/>
    </row>
    <row r="35" spans="1:98" s="1396" customFormat="1" ht="13.8" outlineLevel="1">
      <c r="A35" s="1571"/>
      <c r="B35" s="4092" t="s">
        <v>80</v>
      </c>
      <c r="C35" s="4093">
        <f>C36</f>
        <v>0</v>
      </c>
      <c r="D35" s="4093">
        <f>D36</f>
        <v>0</v>
      </c>
      <c r="E35" s="4094">
        <f>E36</f>
        <v>0</v>
      </c>
      <c r="F35" s="4094"/>
      <c r="G35" s="4095"/>
      <c r="H35" s="4093">
        <f>H36</f>
        <v>0</v>
      </c>
      <c r="I35" s="4093">
        <f>I36</f>
        <v>0</v>
      </c>
      <c r="J35" s="4094">
        <f>J36</f>
        <v>0</v>
      </c>
      <c r="K35" s="4094"/>
      <c r="L35" s="4095"/>
      <c r="M35" s="4093">
        <f>M36</f>
        <v>0</v>
      </c>
      <c r="N35" s="4093">
        <f>N36</f>
        <v>0</v>
      </c>
      <c r="O35" s="4094">
        <f>O36</f>
        <v>0</v>
      </c>
      <c r="P35" s="4094"/>
      <c r="Q35" s="4095"/>
      <c r="R35" s="4093">
        <f>R36</f>
        <v>0</v>
      </c>
      <c r="S35" s="4093">
        <f>S36</f>
        <v>0</v>
      </c>
      <c r="T35" s="4094">
        <f>T36</f>
        <v>0</v>
      </c>
      <c r="U35" s="4096"/>
      <c r="V35" s="4096"/>
      <c r="W35" s="4093">
        <f>W36</f>
        <v>0</v>
      </c>
      <c r="X35" s="4093">
        <f>X36</f>
        <v>0</v>
      </c>
      <c r="Y35" s="4094">
        <f>Y36</f>
        <v>0</v>
      </c>
      <c r="Z35" s="4096"/>
      <c r="AA35" s="4096"/>
      <c r="AB35" s="4093">
        <f>AB36</f>
        <v>0</v>
      </c>
      <c r="AC35" s="4093">
        <f>AC36</f>
        <v>0</v>
      </c>
      <c r="AD35" s="4094">
        <f>AD36</f>
        <v>0</v>
      </c>
      <c r="AE35" s="4094"/>
      <c r="AF35" s="4095"/>
      <c r="AG35" s="4093">
        <f>AG36</f>
        <v>0</v>
      </c>
      <c r="AH35" s="4093">
        <f>AH36</f>
        <v>0</v>
      </c>
      <c r="AI35" s="4094">
        <f>AI36</f>
        <v>0</v>
      </c>
      <c r="AJ35" s="4094"/>
      <c r="AK35" s="4095"/>
      <c r="AL35" s="4093">
        <f>AL36</f>
        <v>0</v>
      </c>
      <c r="AM35" s="4093">
        <f>AM36</f>
        <v>0</v>
      </c>
      <c r="AN35" s="4094">
        <f>AN36</f>
        <v>0</v>
      </c>
      <c r="AO35" s="4094"/>
      <c r="AP35" s="4166"/>
      <c r="AQ35" s="4093">
        <f>AQ36</f>
        <v>0</v>
      </c>
      <c r="AR35" s="4093">
        <f>AR36</f>
        <v>0</v>
      </c>
      <c r="AS35" s="4094">
        <f>AS36</f>
        <v>0</v>
      </c>
      <c r="AT35" s="4094"/>
      <c r="AU35" s="4095"/>
      <c r="AV35" s="4093">
        <f>AV36</f>
        <v>0</v>
      </c>
      <c r="AW35" s="4093">
        <f>AW36</f>
        <v>0</v>
      </c>
      <c r="AX35" s="4094">
        <f>AX36</f>
        <v>0</v>
      </c>
      <c r="AY35" s="4094"/>
      <c r="AZ35" s="4095"/>
      <c r="BA35" s="4093">
        <f>BA36</f>
        <v>0</v>
      </c>
      <c r="BB35" s="4093">
        <f>BB36</f>
        <v>0</v>
      </c>
      <c r="BC35" s="4094">
        <f>BC36</f>
        <v>0</v>
      </c>
      <c r="BD35" s="4094"/>
      <c r="BE35" s="4095"/>
      <c r="BF35" s="4093">
        <f>BF36</f>
        <v>0</v>
      </c>
      <c r="BG35" s="4093">
        <f>BG36</f>
        <v>0</v>
      </c>
      <c r="BH35" s="4094">
        <f>BH36</f>
        <v>0</v>
      </c>
      <c r="BI35" s="4094"/>
      <c r="BJ35" s="4095"/>
      <c r="BK35" s="4093">
        <f>BK36</f>
        <v>0</v>
      </c>
      <c r="BL35" s="4093">
        <f>BL36</f>
        <v>0</v>
      </c>
      <c r="BM35" s="4094">
        <f>BM36</f>
        <v>0</v>
      </c>
      <c r="BN35" s="4094"/>
      <c r="BO35" s="4095"/>
      <c r="BP35" s="4093">
        <f>BP36</f>
        <v>0</v>
      </c>
      <c r="BQ35" s="4093">
        <f>BQ36</f>
        <v>0</v>
      </c>
      <c r="BR35" s="4094">
        <f>BR36</f>
        <v>0</v>
      </c>
      <c r="BS35" s="4094"/>
      <c r="BT35" s="4095"/>
      <c r="BU35" s="4093">
        <f>BU36</f>
        <v>0</v>
      </c>
      <c r="BV35" s="4093">
        <f>BV36</f>
        <v>0</v>
      </c>
      <c r="BW35" s="4094">
        <f>BW36</f>
        <v>0</v>
      </c>
      <c r="BX35" s="4094"/>
      <c r="BY35" s="4095"/>
      <c r="BZ35" s="4093">
        <f>BZ36</f>
        <v>0</v>
      </c>
      <c r="CA35" s="4093">
        <f>CA36</f>
        <v>0</v>
      </c>
      <c r="CB35" s="4094">
        <f>CB36</f>
        <v>0</v>
      </c>
      <c r="CC35" s="4094"/>
      <c r="CD35" s="4095"/>
      <c r="CE35" s="4093">
        <f>CE36</f>
        <v>0</v>
      </c>
      <c r="CF35" s="4093">
        <f>CF36</f>
        <v>0</v>
      </c>
      <c r="CG35" s="4094">
        <f>CG36</f>
        <v>0</v>
      </c>
      <c r="CH35" s="4094"/>
      <c r="CI35" s="4095"/>
      <c r="CJ35" s="4093">
        <f>CJ36</f>
        <v>0</v>
      </c>
      <c r="CK35" s="4093">
        <f>CK36</f>
        <v>0</v>
      </c>
      <c r="CL35" s="4094">
        <f>CL36</f>
        <v>0</v>
      </c>
      <c r="CM35" s="4094"/>
      <c r="CN35" s="4094"/>
      <c r="CP35" s="4094">
        <f>CP36</f>
        <v>0</v>
      </c>
      <c r="CQ35" s="4094">
        <f>CQ36</f>
        <v>0</v>
      </c>
      <c r="CR35" s="4097">
        <f>CR36</f>
        <v>0</v>
      </c>
      <c r="CT35" s="2624"/>
    </row>
    <row r="36" spans="1:98" s="1396" customFormat="1" ht="13.8" outlineLevel="3">
      <c r="A36" s="1571"/>
      <c r="B36" s="4098" t="s">
        <v>81</v>
      </c>
      <c r="C36" s="3341"/>
      <c r="D36" s="3341"/>
      <c r="E36" s="2012">
        <f>C36+D36*1</f>
        <v>0</v>
      </c>
      <c r="F36" s="4074" t="e">
        <f>E36/$E$89</f>
        <v>#DIV/0!</v>
      </c>
      <c r="G36" s="4099"/>
      <c r="H36" s="3341"/>
      <c r="I36" s="3341"/>
      <c r="J36" s="2012">
        <f>H36+I36*1</f>
        <v>0</v>
      </c>
      <c r="K36" s="4074" t="e">
        <f t="shared" ref="K36" si="71">J36/J$89</f>
        <v>#DIV/0!</v>
      </c>
      <c r="L36" s="4099"/>
      <c r="M36" s="3341"/>
      <c r="N36" s="3341"/>
      <c r="O36" s="3349">
        <f t="shared" ref="O36" si="72">M36+N36</f>
        <v>0</v>
      </c>
      <c r="P36" s="4074" t="e">
        <f t="shared" ref="P36" si="73">O36/O$89</f>
        <v>#DIV/0!</v>
      </c>
      <c r="Q36" s="4099"/>
      <c r="R36" s="3342">
        <f t="shared" ref="R36:S36" si="74">M36+H36+C36</f>
        <v>0</v>
      </c>
      <c r="S36" s="3342">
        <f t="shared" si="74"/>
        <v>0</v>
      </c>
      <c r="T36" s="2012">
        <f t="shared" ref="T36" si="75">R36+S36</f>
        <v>0</v>
      </c>
      <c r="U36" s="3455"/>
      <c r="V36" s="3455"/>
      <c r="W36" s="3342">
        <f t="shared" ref="W36:X36" si="76">AB36+AG36+AL36+AV36+BA36+BF36+BK36+BP36+BU36+BZ36+CE36+AQ36</f>
        <v>0</v>
      </c>
      <c r="X36" s="3342">
        <f t="shared" si="76"/>
        <v>0</v>
      </c>
      <c r="Y36" s="2012">
        <f t="shared" ref="Y36" si="77">W36+X36</f>
        <v>0</v>
      </c>
      <c r="Z36" s="3455"/>
      <c r="AA36" s="3455"/>
      <c r="AB36" s="3341"/>
      <c r="AC36" s="3341"/>
      <c r="AD36" s="3349">
        <f t="shared" ref="AD36" si="78">AB36+AC36</f>
        <v>0</v>
      </c>
      <c r="AE36" s="4074" t="e">
        <f>AD36/AD$89</f>
        <v>#DIV/0!</v>
      </c>
      <c r="AF36" s="4099"/>
      <c r="AG36" s="3341"/>
      <c r="AH36" s="3341"/>
      <c r="AI36" s="3349">
        <f t="shared" ref="AI36" si="79">AG36+AH36</f>
        <v>0</v>
      </c>
      <c r="AJ36" s="4074">
        <f>AI36/AI$89</f>
        <v>0</v>
      </c>
      <c r="AK36" s="4099"/>
      <c r="AL36" s="3341"/>
      <c r="AM36" s="3341"/>
      <c r="AN36" s="3349">
        <f t="shared" ref="AN36" si="80">AL36+AM36</f>
        <v>0</v>
      </c>
      <c r="AO36" s="4074">
        <f>AN36/AN$89</f>
        <v>0</v>
      </c>
      <c r="AP36" s="4167"/>
      <c r="AQ36" s="3341"/>
      <c r="AR36" s="3341"/>
      <c r="AS36" s="3349">
        <f t="shared" ref="AS36" si="81">AQ36+AR36</f>
        <v>0</v>
      </c>
      <c r="AT36" s="4074" t="e">
        <f>AS36/AS$89</f>
        <v>#DIV/0!</v>
      </c>
      <c r="AU36" s="4099"/>
      <c r="AV36" s="3341"/>
      <c r="AW36" s="3341"/>
      <c r="AX36" s="3349">
        <f t="shared" ref="AX36" si="82">AV36+AW36</f>
        <v>0</v>
      </c>
      <c r="AY36" s="4074" t="e">
        <f>AX36/AX$89</f>
        <v>#DIV/0!</v>
      </c>
      <c r="AZ36" s="4099"/>
      <c r="BA36" s="3341"/>
      <c r="BB36" s="3341"/>
      <c r="BC36" s="3349">
        <f t="shared" ref="BC36" si="83">BA36+BB36</f>
        <v>0</v>
      </c>
      <c r="BD36" s="4074" t="e">
        <f>BC36/BC$89</f>
        <v>#DIV/0!</v>
      </c>
      <c r="BE36" s="4099"/>
      <c r="BF36" s="3341"/>
      <c r="BG36" s="3341"/>
      <c r="BH36" s="3349">
        <f t="shared" ref="BH36" si="84">BF36+BG36</f>
        <v>0</v>
      </c>
      <c r="BI36" s="4074" t="e">
        <f>BH36/BH$89</f>
        <v>#DIV/0!</v>
      </c>
      <c r="BJ36" s="4099"/>
      <c r="BK36" s="3341"/>
      <c r="BL36" s="3341"/>
      <c r="BM36" s="3349">
        <f t="shared" ref="BM36" si="85">BK36+BL36</f>
        <v>0</v>
      </c>
      <c r="BN36" s="4074" t="e">
        <f>BM36/BM$89</f>
        <v>#DIV/0!</v>
      </c>
      <c r="BO36" s="4099"/>
      <c r="BP36" s="3341"/>
      <c r="BQ36" s="3341"/>
      <c r="BR36" s="3349">
        <f t="shared" ref="BR36" si="86">BP36+BQ36</f>
        <v>0</v>
      </c>
      <c r="BS36" s="4074" t="e">
        <f>BR36/BR$89</f>
        <v>#DIV/0!</v>
      </c>
      <c r="BT36" s="4099"/>
      <c r="BU36" s="3341"/>
      <c r="BV36" s="3341"/>
      <c r="BW36" s="3349">
        <f t="shared" ref="BW36" si="87">BU36+BV36</f>
        <v>0</v>
      </c>
      <c r="BX36" s="4074" t="e">
        <f>BW36/BW$89</f>
        <v>#DIV/0!</v>
      </c>
      <c r="BY36" s="4099"/>
      <c r="BZ36" s="3341"/>
      <c r="CA36" s="3341"/>
      <c r="CB36" s="3349">
        <f t="shared" ref="CB36" si="88">BZ36+CA36</f>
        <v>0</v>
      </c>
      <c r="CC36" s="4074" t="e">
        <f>CB36/CB$89</f>
        <v>#DIV/0!</v>
      </c>
      <c r="CD36" s="4099"/>
      <c r="CE36" s="3341"/>
      <c r="CF36" s="3341"/>
      <c r="CG36" s="3349">
        <f t="shared" ref="CG36" si="89">CE36+CF36</f>
        <v>0</v>
      </c>
      <c r="CH36" s="4074" t="e">
        <f>CG36/CG$89</f>
        <v>#DIV/0!</v>
      </c>
      <c r="CI36" s="4099"/>
      <c r="CJ36" s="3341">
        <f t="shared" ref="CJ36:CK36" si="90">C36+H36+M36+W36</f>
        <v>0</v>
      </c>
      <c r="CK36" s="3341">
        <f t="shared" si="90"/>
        <v>0</v>
      </c>
      <c r="CL36" s="2012">
        <f>CJ36+CK36*1</f>
        <v>0</v>
      </c>
      <c r="CM36" s="4074">
        <f>CL36/$CL$89</f>
        <v>0</v>
      </c>
      <c r="CN36" s="4100"/>
      <c r="CP36" s="2012"/>
      <c r="CQ36" s="2012">
        <f t="shared" ref="CQ36" si="91">CL36</f>
        <v>0</v>
      </c>
      <c r="CR36" s="4188">
        <f t="shared" ref="CR36" si="92">CP36-CQ36</f>
        <v>0</v>
      </c>
      <c r="CT36" s="3443"/>
    </row>
    <row r="37" spans="1:98" s="1396" customFormat="1" ht="14.4" outlineLevel="1" thickBot="1">
      <c r="A37" s="1398"/>
      <c r="B37" s="4101"/>
      <c r="C37" s="3341"/>
      <c r="D37" s="3341"/>
      <c r="E37" s="4102"/>
      <c r="F37" s="4102"/>
      <c r="G37" s="4103"/>
      <c r="H37" s="3341"/>
      <c r="I37" s="3341"/>
      <c r="J37" s="4102"/>
      <c r="K37" s="4102"/>
      <c r="L37" s="4103"/>
      <c r="M37" s="3341"/>
      <c r="N37" s="3341"/>
      <c r="O37" s="4102"/>
      <c r="P37" s="4102"/>
      <c r="Q37" s="4103"/>
      <c r="R37" s="3456"/>
      <c r="S37" s="3456"/>
      <c r="T37" s="3456"/>
      <c r="U37" s="3456"/>
      <c r="V37" s="3456"/>
      <c r="W37" s="3342">
        <f t="shared" ref="W37:X37" si="93">AB37+AG37+AL37+AV37+BA37+BF37+BK37+BP37+BU37+BZ37+CE37</f>
        <v>0</v>
      </c>
      <c r="X37" s="3342">
        <f t="shared" si="93"/>
        <v>0</v>
      </c>
      <c r="Y37" s="3456"/>
      <c r="Z37" s="3456"/>
      <c r="AA37" s="3456"/>
      <c r="AB37" s="3341"/>
      <c r="AC37" s="3341"/>
      <c r="AD37" s="4102"/>
      <c r="AE37" s="4102"/>
      <c r="AF37" s="4103"/>
      <c r="AG37" s="3341"/>
      <c r="AH37" s="3341"/>
      <c r="AI37" s="4102"/>
      <c r="AJ37" s="4102"/>
      <c r="AK37" s="4103"/>
      <c r="AL37" s="3341"/>
      <c r="AM37" s="3341"/>
      <c r="AN37" s="4102"/>
      <c r="AO37" s="4102"/>
      <c r="AP37" s="4168"/>
      <c r="AQ37" s="3341"/>
      <c r="AR37" s="3341"/>
      <c r="AS37" s="4102"/>
      <c r="AT37" s="4102"/>
      <c r="AU37" s="4103"/>
      <c r="AV37" s="3341"/>
      <c r="AW37" s="3341"/>
      <c r="AX37" s="4102"/>
      <c r="AY37" s="4102"/>
      <c r="AZ37" s="4103"/>
      <c r="BA37" s="3341"/>
      <c r="BB37" s="3341"/>
      <c r="BC37" s="4102"/>
      <c r="BD37" s="4102"/>
      <c r="BE37" s="4103"/>
      <c r="BF37" s="3341"/>
      <c r="BG37" s="3341"/>
      <c r="BH37" s="4102"/>
      <c r="BI37" s="4102"/>
      <c r="BJ37" s="4103"/>
      <c r="BK37" s="3341"/>
      <c r="BL37" s="3341"/>
      <c r="BM37" s="4102"/>
      <c r="BN37" s="4102"/>
      <c r="BO37" s="4103"/>
      <c r="BP37" s="3341"/>
      <c r="BQ37" s="3341"/>
      <c r="BR37" s="4102"/>
      <c r="BS37" s="4102"/>
      <c r="BT37" s="4103"/>
      <c r="BU37" s="3341"/>
      <c r="BV37" s="3341"/>
      <c r="BW37" s="4102"/>
      <c r="BX37" s="4102"/>
      <c r="BY37" s="4103"/>
      <c r="BZ37" s="3341"/>
      <c r="CA37" s="3341"/>
      <c r="CB37" s="4102"/>
      <c r="CC37" s="4102"/>
      <c r="CD37" s="4103"/>
      <c r="CE37" s="3341"/>
      <c r="CF37" s="3341"/>
      <c r="CG37" s="4102"/>
      <c r="CH37" s="4102"/>
      <c r="CI37" s="4103"/>
      <c r="CJ37" s="3341"/>
      <c r="CK37" s="3341"/>
      <c r="CL37" s="4102"/>
      <c r="CM37" s="4102"/>
      <c r="CN37" s="4102"/>
      <c r="CP37" s="4104"/>
      <c r="CQ37" s="4104"/>
      <c r="CR37" s="4105"/>
      <c r="CT37" s="2624"/>
    </row>
    <row r="38" spans="1:98"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0</v>
      </c>
      <c r="O38" s="3749">
        <f>(O5)-(O8)</f>
        <v>0</v>
      </c>
      <c r="P38" s="3749"/>
      <c r="Q38" s="3750"/>
      <c r="R38" s="3749">
        <f>(R5)-(R8)</f>
        <v>0</v>
      </c>
      <c r="S38" s="3749">
        <f>(S5)-(S8)</f>
        <v>0</v>
      </c>
      <c r="T38" s="3749">
        <f>(T5)-(T8)</f>
        <v>0</v>
      </c>
      <c r="U38" s="3750"/>
      <c r="V38" s="3750"/>
      <c r="W38" s="3749">
        <f>(W5)-(W8)</f>
        <v>43400.106</v>
      </c>
      <c r="X38" s="3749">
        <f>(X5)-(X8)</f>
        <v>-25471.85</v>
      </c>
      <c r="Y38" s="3749">
        <f>(Y5)-(Y8)</f>
        <v>17928.255999999994</v>
      </c>
      <c r="Z38" s="3750"/>
      <c r="AA38" s="3750"/>
      <c r="AB38" s="3749">
        <f>(AB5)-(AB8)</f>
        <v>0</v>
      </c>
      <c r="AC38" s="3749">
        <f>(AC5)-(AC8)</f>
        <v>0</v>
      </c>
      <c r="AD38" s="3749">
        <f>(AD5)-(AD8)</f>
        <v>0</v>
      </c>
      <c r="AE38" s="3749"/>
      <c r="AF38" s="3750"/>
      <c r="AG38" s="3749">
        <f>(AG5)-(AG8)</f>
        <v>-21755.14</v>
      </c>
      <c r="AH38" s="3749">
        <f>(AH5)-(AH8)</f>
        <v>-17951.849999999999</v>
      </c>
      <c r="AI38" s="3749">
        <f>(AI5)-(AI8)</f>
        <v>-39706.99</v>
      </c>
      <c r="AJ38" s="3749"/>
      <c r="AK38" s="3750"/>
      <c r="AL38" s="3749">
        <f>(AL5)-(AL8)</f>
        <v>65155.245999999999</v>
      </c>
      <c r="AM38" s="3749">
        <f>(AM5)-(AM8)</f>
        <v>-7520</v>
      </c>
      <c r="AN38" s="3749">
        <f>(AN5)-(AN8)</f>
        <v>57635.245999999999</v>
      </c>
      <c r="AO38" s="3749"/>
      <c r="AP38" s="3749"/>
      <c r="AQ38" s="3749">
        <f>(AQ5)-(AQ8)</f>
        <v>0</v>
      </c>
      <c r="AR38" s="3749">
        <f>(AR5)-(AR8)</f>
        <v>0</v>
      </c>
      <c r="AS38" s="3749">
        <f>(AS5)-(AS8)</f>
        <v>0</v>
      </c>
      <c r="AT38" s="3749"/>
      <c r="AU38" s="3750"/>
      <c r="AV38" s="3749">
        <f>(AV5)-(AV8)</f>
        <v>0</v>
      </c>
      <c r="AW38" s="3749">
        <f>(AW5)-(AW8)</f>
        <v>0</v>
      </c>
      <c r="AX38" s="3749">
        <f>(AX5)-(AX8)</f>
        <v>0</v>
      </c>
      <c r="AY38" s="3749"/>
      <c r="AZ38" s="3750"/>
      <c r="BA38" s="3749">
        <f>(BA5)-(BA8)</f>
        <v>0</v>
      </c>
      <c r="BB38" s="3749">
        <f>(BB5)-(BB8)</f>
        <v>0</v>
      </c>
      <c r="BC38" s="3749">
        <f>(BC5)-(BC8)</f>
        <v>0</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43400.106</v>
      </c>
      <c r="CK38" s="3751">
        <f>(CK5)-(CK8)</f>
        <v>-25471.85</v>
      </c>
      <c r="CL38" s="3751">
        <f>(CL5)-(CL8)</f>
        <v>17928.255999999994</v>
      </c>
      <c r="CM38" s="3749"/>
      <c r="CN38" s="3749"/>
      <c r="CP38" s="3749">
        <f>(CP5)-(CP8)</f>
        <v>29422.199999999997</v>
      </c>
      <c r="CQ38" s="3760">
        <f>(CQ5)-(CQ8)</f>
        <v>17928.255999999994</v>
      </c>
      <c r="CR38" s="3749">
        <f>(CR5)-(CR8)</f>
        <v>11493.944</v>
      </c>
      <c r="CT38" s="3761"/>
    </row>
    <row r="39" spans="1:98"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2003">
        <f>IFERROR(AB38/(AB5),0)</f>
        <v>0</v>
      </c>
      <c r="AC39" s="2003">
        <f>IFERROR(AC38/(AC5),0)</f>
        <v>0</v>
      </c>
      <c r="AD39" s="2004">
        <f>IFERROR(AD38/(AD5),0)</f>
        <v>0</v>
      </c>
      <c r="AE39" s="2004"/>
      <c r="AF39" s="1056"/>
      <c r="AG39" s="2003">
        <f>IFERROR(AG38/(AG5),0)</f>
        <v>0</v>
      </c>
      <c r="AH39" s="2003">
        <f>IFERROR(AH38/(AH5),0)</f>
        <v>0</v>
      </c>
      <c r="AI39" s="2004">
        <f>IFERROR(AI38/(AI5),0)</f>
        <v>0</v>
      </c>
      <c r="AJ39" s="2004"/>
      <c r="AK39" s="1056"/>
      <c r="AL39" s="2003">
        <f>IFERROR(AL38/(AL5),0)</f>
        <v>0.47908269117647057</v>
      </c>
      <c r="AM39" s="2003">
        <f>IFERROR(AM38/(AM5),0)</f>
        <v>0</v>
      </c>
      <c r="AN39" s="2004">
        <f>IFERROR(AN38/(AN5),0)</f>
        <v>0.42378857352941174</v>
      </c>
      <c r="AO39" s="2004"/>
      <c r="AP39" s="3722"/>
      <c r="AQ39" s="2003">
        <f>IFERROR(AQ38/(AQ5),0)</f>
        <v>0</v>
      </c>
      <c r="AR39" s="2003">
        <f>IFERROR(AR38/(AR5),0)</f>
        <v>0</v>
      </c>
      <c r="AS39" s="2004">
        <f>IFERROR(AS38/(AS5),0)</f>
        <v>0</v>
      </c>
      <c r="AT39" s="2004"/>
      <c r="AU39" s="1056"/>
      <c r="AV39" s="2003">
        <f>IFERROR(AV38/(AV5),0)</f>
        <v>0</v>
      </c>
      <c r="AW39" s="2003">
        <f>IFERROR(AW38/(AW5),0)</f>
        <v>0</v>
      </c>
      <c r="AX39" s="2004">
        <f>IFERROR(AX38/(AX5),0)</f>
        <v>0</v>
      </c>
      <c r="AY39" s="2004"/>
      <c r="AZ39" s="1056"/>
      <c r="BA39" s="2003">
        <f>IFERROR(BA38/(BA5),0)</f>
        <v>0</v>
      </c>
      <c r="BB39" s="2003">
        <f>IFERROR(BB38/(BB5),0)</f>
        <v>0</v>
      </c>
      <c r="BC39" s="2004">
        <f>IFERROR(BC38/(BC5),0)</f>
        <v>0</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0.31911842647058825</v>
      </c>
      <c r="CK39" s="2003">
        <f>IFERROR(CK38/(CK5),0)</f>
        <v>0</v>
      </c>
      <c r="CL39" s="2004">
        <f>IFERROR(CL38/(CL5),0)</f>
        <v>0.13182541176470583</v>
      </c>
      <c r="CM39" s="2004"/>
      <c r="CN39" s="2004"/>
      <c r="CP39" s="2004">
        <f>CP38/(CP5)</f>
        <v>0.21633970588235291</v>
      </c>
      <c r="CQ39" s="2004">
        <f>IFERROR(CQ38/(CQ5),0)</f>
        <v>0.13182541176470583</v>
      </c>
      <c r="CR39" s="2004" t="e">
        <f>CR38/(CR5)</f>
        <v>#DIV/0!</v>
      </c>
    </row>
    <row r="40" spans="1:98" ht="14.4" outlineLevel="1" thickBot="1">
      <c r="A40" s="1567"/>
      <c r="B40" s="4106"/>
      <c r="C40" s="4107"/>
      <c r="D40" s="4107"/>
      <c r="E40" s="4107"/>
      <c r="F40" s="4107"/>
      <c r="G40" s="4108"/>
      <c r="H40" s="4107"/>
      <c r="I40" s="4107"/>
      <c r="J40" s="4107"/>
      <c r="K40" s="4107"/>
      <c r="L40" s="4108"/>
      <c r="M40" s="4107"/>
      <c r="N40" s="4107"/>
      <c r="O40" s="4107"/>
      <c r="P40" s="4107"/>
      <c r="Q40" s="4108"/>
      <c r="R40" s="4108"/>
      <c r="S40" s="4108"/>
      <c r="T40" s="4108"/>
      <c r="U40" s="4108"/>
      <c r="V40" s="4108"/>
      <c r="W40" s="4108"/>
      <c r="X40" s="4108"/>
      <c r="Y40" s="4108"/>
      <c r="Z40" s="4108"/>
      <c r="AA40" s="4108"/>
      <c r="AB40" s="4107"/>
      <c r="AC40" s="4107"/>
      <c r="AD40" s="4107"/>
      <c r="AE40" s="4107"/>
      <c r="AF40" s="4108"/>
      <c r="AG40" s="4107"/>
      <c r="AH40" s="4107"/>
      <c r="AI40" s="4107"/>
      <c r="AJ40" s="4107"/>
      <c r="AK40" s="4108"/>
      <c r="AL40" s="4107"/>
      <c r="AM40" s="4107"/>
      <c r="AN40" s="4107"/>
      <c r="AO40" s="4107"/>
      <c r="AP40" s="4169"/>
      <c r="AQ40" s="4107"/>
      <c r="AR40" s="4107"/>
      <c r="AS40" s="4107"/>
      <c r="AT40" s="4107"/>
      <c r="AU40" s="4108"/>
      <c r="AV40" s="4107"/>
      <c r="AW40" s="4107"/>
      <c r="AX40" s="4107"/>
      <c r="AY40" s="4107"/>
      <c r="AZ40" s="4108"/>
      <c r="BA40" s="4107"/>
      <c r="BB40" s="4107"/>
      <c r="BC40" s="4107"/>
      <c r="BD40" s="4107"/>
      <c r="BE40" s="4108"/>
      <c r="BF40" s="4107"/>
      <c r="BG40" s="4107"/>
      <c r="BH40" s="4107"/>
      <c r="BI40" s="4107"/>
      <c r="BJ40" s="4108"/>
      <c r="BK40" s="4107"/>
      <c r="BL40" s="4107"/>
      <c r="BM40" s="4107"/>
      <c r="BN40" s="4107"/>
      <c r="BO40" s="4108"/>
      <c r="BP40" s="4107"/>
      <c r="BQ40" s="4107"/>
      <c r="BR40" s="4107"/>
      <c r="BS40" s="4107"/>
      <c r="BT40" s="4108"/>
      <c r="BU40" s="4107"/>
      <c r="BV40" s="4107"/>
      <c r="BW40" s="4107"/>
      <c r="BX40" s="4107"/>
      <c r="BY40" s="4108"/>
      <c r="BZ40" s="4107"/>
      <c r="CA40" s="4107"/>
      <c r="CB40" s="4107"/>
      <c r="CC40" s="4107"/>
      <c r="CD40" s="4108"/>
      <c r="CE40" s="4107"/>
      <c r="CF40" s="4107"/>
      <c r="CG40" s="4107"/>
      <c r="CH40" s="4107"/>
      <c r="CI40" s="4108"/>
      <c r="CJ40" s="4107"/>
      <c r="CK40" s="4107"/>
      <c r="CL40" s="4107"/>
      <c r="CM40" s="4107"/>
      <c r="CN40" s="4107"/>
      <c r="CP40" s="4109"/>
      <c r="CQ40" s="4109"/>
      <c r="CR40" s="4109"/>
    </row>
    <row r="41" spans="1:98" ht="13.8" outlineLevel="1">
      <c r="A41" s="1405"/>
      <c r="B41" s="1415" t="s">
        <v>26</v>
      </c>
      <c r="C41" s="2013">
        <f>SUM(C42:C48)</f>
        <v>0</v>
      </c>
      <c r="D41" s="2013">
        <f>SUM(D42:D48)</f>
        <v>0</v>
      </c>
      <c r="E41" s="2014">
        <f>SUM(E42:E48)</f>
        <v>0</v>
      </c>
      <c r="F41" s="4110" t="e">
        <f>E41/$E$89</f>
        <v>#DIV/0!</v>
      </c>
      <c r="G41" s="1057"/>
      <c r="H41" s="2013">
        <f>SUM(H42:H48)</f>
        <v>0</v>
      </c>
      <c r="I41" s="2013">
        <f>SUM(I42:I48)</f>
        <v>0</v>
      </c>
      <c r="J41" s="2014">
        <f>SUM(J42:J48)</f>
        <v>0</v>
      </c>
      <c r="K41" s="4110" t="e">
        <f>J41/$E$89</f>
        <v>#DIV/0!</v>
      </c>
      <c r="L41" s="1057"/>
      <c r="M41" s="2013">
        <f>SUM(M42:M48)</f>
        <v>0</v>
      </c>
      <c r="N41" s="2013">
        <f>SUM(N42:N48)</f>
        <v>0</v>
      </c>
      <c r="O41" s="2014">
        <f>SUM(O42:O48)</f>
        <v>0</v>
      </c>
      <c r="P41" s="4110" t="e">
        <f>O41/$E$89</f>
        <v>#DIV/0!</v>
      </c>
      <c r="Q41" s="1057"/>
      <c r="R41" s="2013">
        <f>SUM(R42:R48)</f>
        <v>0</v>
      </c>
      <c r="S41" s="2013">
        <f>SUM(S42:S48)</f>
        <v>0</v>
      </c>
      <c r="T41" s="2014">
        <f>SUM(T42:T48)</f>
        <v>0</v>
      </c>
      <c r="U41" s="4110"/>
      <c r="V41" s="3460"/>
      <c r="W41" s="2013">
        <f>SUM(W42:W48)</f>
        <v>0</v>
      </c>
      <c r="X41" s="2013">
        <f>SUM(X42:X48)</f>
        <v>0</v>
      </c>
      <c r="Y41" s="2014">
        <f>SUM(Y42:Y48)</f>
        <v>0</v>
      </c>
      <c r="Z41" s="4110"/>
      <c r="AA41" s="3460"/>
      <c r="AB41" s="2013">
        <f>SUM(AB42:AB48)</f>
        <v>0</v>
      </c>
      <c r="AC41" s="2013">
        <f>SUM(AC42:AC48)</f>
        <v>0</v>
      </c>
      <c r="AD41" s="2014">
        <f>SUM(AD42:AD48)</f>
        <v>0</v>
      </c>
      <c r="AE41" s="4110"/>
      <c r="AF41" s="1057"/>
      <c r="AG41" s="2013">
        <f>SUM(AG42:AG48)</f>
        <v>0</v>
      </c>
      <c r="AH41" s="2013">
        <f>SUM(AH42:AH48)</f>
        <v>0</v>
      </c>
      <c r="AI41" s="2014">
        <f>SUM(AI42:AI48)</f>
        <v>0</v>
      </c>
      <c r="AJ41" s="4110"/>
      <c r="AK41" s="1057"/>
      <c r="AL41" s="2013">
        <f>SUM(AL42:AL48)</f>
        <v>0</v>
      </c>
      <c r="AM41" s="2013">
        <f>SUM(AM42:AM48)</f>
        <v>0</v>
      </c>
      <c r="AN41" s="2014">
        <f>SUM(AN42:AN48)</f>
        <v>0</v>
      </c>
      <c r="AO41" s="4110"/>
      <c r="AP41" s="3723"/>
      <c r="AQ41" s="2013">
        <f>SUM(AQ42:AQ48)</f>
        <v>0</v>
      </c>
      <c r="AR41" s="2013">
        <f>SUM(AR42:AR48)</f>
        <v>0</v>
      </c>
      <c r="AS41" s="2014">
        <f>SUM(AS42:AS48)</f>
        <v>0</v>
      </c>
      <c r="AT41" s="4110"/>
      <c r="AU41" s="1057"/>
      <c r="AV41" s="2013">
        <f>SUM(AV42:AV48)</f>
        <v>0</v>
      </c>
      <c r="AW41" s="2013">
        <f>SUM(AW42:AW48)</f>
        <v>0</v>
      </c>
      <c r="AX41" s="2014">
        <f>SUM(AX42:AX48)</f>
        <v>0</v>
      </c>
      <c r="AY41" s="4110"/>
      <c r="AZ41" s="1057"/>
      <c r="BA41" s="2013">
        <f>SUM(BA42:BA48)</f>
        <v>0</v>
      </c>
      <c r="BB41" s="2013">
        <f>SUM(BB42:BB48)</f>
        <v>0</v>
      </c>
      <c r="BC41" s="2014">
        <f>SUM(BC42:BC48)</f>
        <v>0</v>
      </c>
      <c r="BD41" s="4110"/>
      <c r="BE41" s="1057"/>
      <c r="BF41" s="2013">
        <f>SUM(BF42:BF48)</f>
        <v>0</v>
      </c>
      <c r="BG41" s="2013">
        <f>SUM(BG42:BG48)</f>
        <v>0</v>
      </c>
      <c r="BH41" s="2014">
        <f>SUM(BH42:BH48)</f>
        <v>0</v>
      </c>
      <c r="BI41" s="4110"/>
      <c r="BJ41" s="1057"/>
      <c r="BK41" s="2013">
        <f>SUM(BK42:BK48)</f>
        <v>0</v>
      </c>
      <c r="BL41" s="2013">
        <f>SUM(BL42:BL48)</f>
        <v>0</v>
      </c>
      <c r="BM41" s="2014">
        <f>SUM(BM42:BM48)</f>
        <v>0</v>
      </c>
      <c r="BN41" s="4110"/>
      <c r="BO41" s="1057"/>
      <c r="BP41" s="2013">
        <f>SUM(BP42:BP48)</f>
        <v>0</v>
      </c>
      <c r="BQ41" s="2013">
        <f>SUM(BQ42:BQ48)</f>
        <v>0</v>
      </c>
      <c r="BR41" s="2014">
        <f>SUM(BR42:BR48)</f>
        <v>0</v>
      </c>
      <c r="BS41" s="4110"/>
      <c r="BT41" s="1057"/>
      <c r="BU41" s="2013">
        <f>SUM(BU42:BU48)</f>
        <v>0</v>
      </c>
      <c r="BV41" s="2013">
        <f>SUM(BV42:BV48)</f>
        <v>0</v>
      </c>
      <c r="BW41" s="2014">
        <f>SUM(BW42:BW48)</f>
        <v>0</v>
      </c>
      <c r="BX41" s="4110"/>
      <c r="BY41" s="1057"/>
      <c r="BZ41" s="2013">
        <f>SUM(BZ42:BZ48)</f>
        <v>0</v>
      </c>
      <c r="CA41" s="2013">
        <f>SUM(CA42:CA48)</f>
        <v>0</v>
      </c>
      <c r="CB41" s="2014">
        <f>SUM(CB42:CB48)</f>
        <v>0</v>
      </c>
      <c r="CC41" s="4110"/>
      <c r="CD41" s="1057"/>
      <c r="CE41" s="2013">
        <f>SUM(CE42:CE48)</f>
        <v>0</v>
      </c>
      <c r="CF41" s="2013">
        <f>SUM(CF42:CF48)</f>
        <v>0</v>
      </c>
      <c r="CG41" s="2014">
        <f>SUM(CG42:CG48)</f>
        <v>0</v>
      </c>
      <c r="CH41" s="4110"/>
      <c r="CI41" s="1057"/>
      <c r="CJ41" s="2013">
        <f>SUM(CJ42:CJ48)</f>
        <v>0</v>
      </c>
      <c r="CK41" s="2013">
        <f>SUM(CK42:CK48)</f>
        <v>0</v>
      </c>
      <c r="CL41" s="2014">
        <f>SUM(CL42:CL48)</f>
        <v>0</v>
      </c>
      <c r="CM41" s="4110">
        <f t="shared" ref="CM41:CM49" si="94">CL41/$CL$89</f>
        <v>0</v>
      </c>
      <c r="CN41" s="2006"/>
      <c r="CP41" s="2014">
        <f>SUM(CP42:CP48)</f>
        <v>0</v>
      </c>
      <c r="CQ41" s="2014">
        <f>SUM(CQ42:CQ48)</f>
        <v>0</v>
      </c>
      <c r="CR41" s="2014"/>
    </row>
    <row r="42" spans="1:98" ht="13.8" outlineLevel="2">
      <c r="A42" s="4833"/>
      <c r="B42" s="4111" t="s">
        <v>7</v>
      </c>
      <c r="C42" s="3341"/>
      <c r="D42" s="3341"/>
      <c r="E42" s="3349">
        <f t="shared" ref="E42:E48" si="95">C42+D42</f>
        <v>0</v>
      </c>
      <c r="F42" s="4074" t="e">
        <f t="shared" ref="F42:F48" si="96">E42/$E$89</f>
        <v>#DIV/0!</v>
      </c>
      <c r="G42" s="4112"/>
      <c r="H42" s="3341"/>
      <c r="I42" s="3341"/>
      <c r="J42" s="3349">
        <f t="shared" ref="J42:J48" si="97">H42+I42</f>
        <v>0</v>
      </c>
      <c r="K42" s="4074" t="e">
        <f t="shared" ref="K42:K48" si="98">J42/J$89</f>
        <v>#DIV/0!</v>
      </c>
      <c r="L42" s="4112"/>
      <c r="M42" s="3341"/>
      <c r="N42" s="3341"/>
      <c r="O42" s="3349">
        <f t="shared" ref="O42:O48" si="99">M42+N42</f>
        <v>0</v>
      </c>
      <c r="P42" s="4074" t="e">
        <f t="shared" ref="P42:P48" si="100">O42/O$89</f>
        <v>#DIV/0!</v>
      </c>
      <c r="Q42" s="4112"/>
      <c r="R42" s="3342">
        <f t="shared" ref="R42:S48" si="101">M42+H42+C42</f>
        <v>0</v>
      </c>
      <c r="S42" s="3342">
        <f t="shared" si="101"/>
        <v>0</v>
      </c>
      <c r="T42" s="2012">
        <f t="shared" ref="T42:T48" si="102">R42+S42</f>
        <v>0</v>
      </c>
      <c r="U42" s="3462"/>
      <c r="V42" s="3462"/>
      <c r="W42" s="3342">
        <f t="shared" ref="W42:X48" si="103">AB42+AG42+AL42+AV42+BA42+BF42+BK42+BP42+BU42+BZ42+CE42+AQ42</f>
        <v>0</v>
      </c>
      <c r="X42" s="3342">
        <f t="shared" si="103"/>
        <v>0</v>
      </c>
      <c r="Y42" s="2012">
        <f t="shared" ref="Y42:Y48" si="104">W42+X42</f>
        <v>0</v>
      </c>
      <c r="Z42" s="3462"/>
      <c r="AA42" s="3462"/>
      <c r="AB42" s="3341"/>
      <c r="AC42" s="3341"/>
      <c r="AD42" s="3349">
        <f t="shared" ref="AD42:AD48" si="105">AB42+AC42</f>
        <v>0</v>
      </c>
      <c r="AE42" s="4074" t="e">
        <f t="shared" ref="AE42:AE49" si="106">AD42/AD$89</f>
        <v>#DIV/0!</v>
      </c>
      <c r="AF42" s="4112"/>
      <c r="AG42" s="3341"/>
      <c r="AH42" s="3341"/>
      <c r="AI42" s="3349">
        <f t="shared" ref="AI42:AI48" si="107">AG42+AH42</f>
        <v>0</v>
      </c>
      <c r="AJ42" s="4074">
        <f t="shared" ref="AJ42:AJ49" si="108">AI42/AI$89</f>
        <v>0</v>
      </c>
      <c r="AK42" s="4112"/>
      <c r="AL42" s="3341"/>
      <c r="AM42" s="3341"/>
      <c r="AN42" s="3349">
        <f t="shared" ref="AN42:AN48" si="109">AL42+AM42</f>
        <v>0</v>
      </c>
      <c r="AO42" s="4074">
        <f t="shared" ref="AO42:AO49" si="110">AN42/AN$89</f>
        <v>0</v>
      </c>
      <c r="AP42" s="4170"/>
      <c r="AQ42" s="3341"/>
      <c r="AR42" s="3341"/>
      <c r="AS42" s="3349">
        <f t="shared" ref="AS42:AS48" si="111">AQ42+AR42</f>
        <v>0</v>
      </c>
      <c r="AT42" s="4074" t="e">
        <f t="shared" ref="AT42:AT49" si="112">AS42/AS$89</f>
        <v>#DIV/0!</v>
      </c>
      <c r="AU42" s="4112"/>
      <c r="AV42" s="3341"/>
      <c r="AW42" s="3341"/>
      <c r="AX42" s="3349">
        <f t="shared" ref="AX42:AX48" si="113">AV42+AW42</f>
        <v>0</v>
      </c>
      <c r="AY42" s="4074" t="e">
        <f t="shared" ref="AY42:AY49" si="114">AX42/AX$89</f>
        <v>#DIV/0!</v>
      </c>
      <c r="AZ42" s="4112"/>
      <c r="BA42" s="3341"/>
      <c r="BB42" s="3341"/>
      <c r="BC42" s="3349">
        <f t="shared" ref="BC42:BC48" si="115">BA42+BB42</f>
        <v>0</v>
      </c>
      <c r="BD42" s="4074" t="e">
        <f t="shared" ref="BD42:BD49" si="116">BC42/BC$89</f>
        <v>#DIV/0!</v>
      </c>
      <c r="BE42" s="4112"/>
      <c r="BF42" s="3341"/>
      <c r="BG42" s="3341"/>
      <c r="BH42" s="3349">
        <f t="shared" ref="BH42:BH48" si="117">BF42+BG42</f>
        <v>0</v>
      </c>
      <c r="BI42" s="4074" t="e">
        <f t="shared" ref="BI42:BI49" si="118">BH42/BH$89</f>
        <v>#DIV/0!</v>
      </c>
      <c r="BJ42" s="4112"/>
      <c r="BK42" s="3341"/>
      <c r="BL42" s="3341"/>
      <c r="BM42" s="3349">
        <f t="shared" ref="BM42:BM48" si="119">BK42+BL42</f>
        <v>0</v>
      </c>
      <c r="BN42" s="4074" t="e">
        <f t="shared" ref="BN42:BN49" si="120">BM42/BM$89</f>
        <v>#DIV/0!</v>
      </c>
      <c r="BO42" s="4112"/>
      <c r="BP42" s="3341"/>
      <c r="BQ42" s="3341"/>
      <c r="BR42" s="3349">
        <f t="shared" ref="BR42:BR48" si="121">BP42+BQ42</f>
        <v>0</v>
      </c>
      <c r="BS42" s="4074" t="e">
        <f t="shared" ref="BS42:BS49" si="122">BR42/BR$89</f>
        <v>#DIV/0!</v>
      </c>
      <c r="BT42" s="4112"/>
      <c r="BU42" s="3341"/>
      <c r="BV42" s="3341"/>
      <c r="BW42" s="3349">
        <f t="shared" ref="BW42:BW48" si="123">BU42+BV42</f>
        <v>0</v>
      </c>
      <c r="BX42" s="4074" t="e">
        <f t="shared" ref="BX42:BX49" si="124">BW42/BW$89</f>
        <v>#DIV/0!</v>
      </c>
      <c r="BY42" s="4112"/>
      <c r="BZ42" s="3341"/>
      <c r="CA42" s="3341"/>
      <c r="CB42" s="3349">
        <f t="shared" ref="CB42:CB48" si="125">BZ42+CA42</f>
        <v>0</v>
      </c>
      <c r="CC42" s="4074" t="e">
        <f t="shared" ref="CC42:CC49" si="126">CB42/CB$89</f>
        <v>#DIV/0!</v>
      </c>
      <c r="CD42" s="4112"/>
      <c r="CE42" s="3341"/>
      <c r="CF42" s="3341"/>
      <c r="CG42" s="3349">
        <f t="shared" ref="CG42:CG48" si="127">CE42+CF42</f>
        <v>0</v>
      </c>
      <c r="CH42" s="4074" t="e">
        <f t="shared" ref="CH42:CH49" si="128">CG42/CG$89</f>
        <v>#DIV/0!</v>
      </c>
      <c r="CI42" s="4112"/>
      <c r="CJ42" s="3341">
        <f t="shared" ref="CJ42:CK48" si="129">C42+H42+M42+W42</f>
        <v>0</v>
      </c>
      <c r="CK42" s="3341">
        <f t="shared" si="129"/>
        <v>0</v>
      </c>
      <c r="CL42" s="2012">
        <f t="shared" ref="CL42:CL48" si="130">CJ42+CK42*1</f>
        <v>0</v>
      </c>
      <c r="CM42" s="4074">
        <f t="shared" si="94"/>
        <v>0</v>
      </c>
      <c r="CN42" s="4076"/>
      <c r="CP42" s="2012">
        <f t="shared" ref="CP42:CQ48" si="131">CN42+CO42*1</f>
        <v>0</v>
      </c>
      <c r="CQ42" s="2012">
        <f t="shared" si="131"/>
        <v>0</v>
      </c>
      <c r="CR42" s="4188"/>
    </row>
    <row r="43" spans="1:98" ht="13.8" outlineLevel="2">
      <c r="A43" s="4833"/>
      <c r="B43" s="4111" t="s">
        <v>27</v>
      </c>
      <c r="C43" s="3341"/>
      <c r="D43" s="3341"/>
      <c r="E43" s="3349">
        <f t="shared" si="95"/>
        <v>0</v>
      </c>
      <c r="F43" s="4074" t="e">
        <f t="shared" si="96"/>
        <v>#DIV/0!</v>
      </c>
      <c r="G43" s="4112"/>
      <c r="H43" s="3341"/>
      <c r="I43" s="3341"/>
      <c r="J43" s="3349">
        <f t="shared" si="97"/>
        <v>0</v>
      </c>
      <c r="K43" s="4074" t="e">
        <f t="shared" si="98"/>
        <v>#DIV/0!</v>
      </c>
      <c r="L43" s="4112"/>
      <c r="M43" s="3341"/>
      <c r="N43" s="3341"/>
      <c r="O43" s="3349">
        <f t="shared" si="99"/>
        <v>0</v>
      </c>
      <c r="P43" s="4074" t="e">
        <f t="shared" si="100"/>
        <v>#DIV/0!</v>
      </c>
      <c r="Q43" s="4112"/>
      <c r="R43" s="3342">
        <f t="shared" si="101"/>
        <v>0</v>
      </c>
      <c r="S43" s="3342">
        <f t="shared" si="101"/>
        <v>0</v>
      </c>
      <c r="T43" s="2012">
        <f t="shared" si="102"/>
        <v>0</v>
      </c>
      <c r="U43" s="3462"/>
      <c r="V43" s="3462"/>
      <c r="W43" s="3342">
        <f t="shared" si="103"/>
        <v>0</v>
      </c>
      <c r="X43" s="3342">
        <f t="shared" si="103"/>
        <v>0</v>
      </c>
      <c r="Y43" s="2012">
        <f t="shared" si="104"/>
        <v>0</v>
      </c>
      <c r="Z43" s="3462"/>
      <c r="AA43" s="3462"/>
      <c r="AB43" s="3341"/>
      <c r="AC43" s="3341"/>
      <c r="AD43" s="3349">
        <f t="shared" si="105"/>
        <v>0</v>
      </c>
      <c r="AE43" s="4074" t="e">
        <f t="shared" si="106"/>
        <v>#DIV/0!</v>
      </c>
      <c r="AF43" s="4112"/>
      <c r="AG43" s="3341"/>
      <c r="AH43" s="3341"/>
      <c r="AI43" s="3349">
        <f t="shared" si="107"/>
        <v>0</v>
      </c>
      <c r="AJ43" s="4074">
        <f t="shared" si="108"/>
        <v>0</v>
      </c>
      <c r="AK43" s="4112"/>
      <c r="AL43" s="3341"/>
      <c r="AM43" s="3341"/>
      <c r="AN43" s="3349">
        <f t="shared" si="109"/>
        <v>0</v>
      </c>
      <c r="AO43" s="4074">
        <f t="shared" si="110"/>
        <v>0</v>
      </c>
      <c r="AP43" s="4170"/>
      <c r="AQ43" s="3341"/>
      <c r="AR43" s="3341"/>
      <c r="AS43" s="3349">
        <f t="shared" si="111"/>
        <v>0</v>
      </c>
      <c r="AT43" s="4074" t="e">
        <f t="shared" si="112"/>
        <v>#DIV/0!</v>
      </c>
      <c r="AU43" s="4112"/>
      <c r="AV43" s="3341"/>
      <c r="AW43" s="3341"/>
      <c r="AX43" s="3349">
        <f t="shared" si="113"/>
        <v>0</v>
      </c>
      <c r="AY43" s="4074" t="e">
        <f t="shared" si="114"/>
        <v>#DIV/0!</v>
      </c>
      <c r="AZ43" s="4112"/>
      <c r="BA43" s="3341"/>
      <c r="BB43" s="3341"/>
      <c r="BC43" s="3349">
        <f t="shared" si="115"/>
        <v>0</v>
      </c>
      <c r="BD43" s="4074" t="e">
        <f t="shared" si="116"/>
        <v>#DIV/0!</v>
      </c>
      <c r="BE43" s="4112"/>
      <c r="BF43" s="3341"/>
      <c r="BG43" s="3341"/>
      <c r="BH43" s="3349">
        <f t="shared" si="117"/>
        <v>0</v>
      </c>
      <c r="BI43" s="4074" t="e">
        <f t="shared" si="118"/>
        <v>#DIV/0!</v>
      </c>
      <c r="BJ43" s="4112"/>
      <c r="BK43" s="3341"/>
      <c r="BL43" s="3341"/>
      <c r="BM43" s="3349">
        <f t="shared" si="119"/>
        <v>0</v>
      </c>
      <c r="BN43" s="4074" t="e">
        <f t="shared" si="120"/>
        <v>#DIV/0!</v>
      </c>
      <c r="BO43" s="4112"/>
      <c r="BP43" s="3341"/>
      <c r="BQ43" s="3341"/>
      <c r="BR43" s="3349">
        <f t="shared" si="121"/>
        <v>0</v>
      </c>
      <c r="BS43" s="4074" t="e">
        <f t="shared" si="122"/>
        <v>#DIV/0!</v>
      </c>
      <c r="BT43" s="4112"/>
      <c r="BU43" s="3341"/>
      <c r="BV43" s="3341"/>
      <c r="BW43" s="3349">
        <f t="shared" si="123"/>
        <v>0</v>
      </c>
      <c r="BX43" s="4074" t="e">
        <f t="shared" si="124"/>
        <v>#DIV/0!</v>
      </c>
      <c r="BY43" s="4112"/>
      <c r="BZ43" s="3341"/>
      <c r="CA43" s="3341"/>
      <c r="CB43" s="3349">
        <f t="shared" si="125"/>
        <v>0</v>
      </c>
      <c r="CC43" s="4074" t="e">
        <f t="shared" si="126"/>
        <v>#DIV/0!</v>
      </c>
      <c r="CD43" s="4112"/>
      <c r="CE43" s="3341"/>
      <c r="CF43" s="3341"/>
      <c r="CG43" s="3349">
        <f t="shared" si="127"/>
        <v>0</v>
      </c>
      <c r="CH43" s="4074" t="e">
        <f t="shared" si="128"/>
        <v>#DIV/0!</v>
      </c>
      <c r="CI43" s="4112"/>
      <c r="CJ43" s="3341">
        <f t="shared" si="129"/>
        <v>0</v>
      </c>
      <c r="CK43" s="3341">
        <f t="shared" si="129"/>
        <v>0</v>
      </c>
      <c r="CL43" s="2012">
        <f t="shared" si="130"/>
        <v>0</v>
      </c>
      <c r="CM43" s="4074">
        <f t="shared" si="94"/>
        <v>0</v>
      </c>
      <c r="CN43" s="4076"/>
      <c r="CP43" s="2012">
        <f t="shared" si="131"/>
        <v>0</v>
      </c>
      <c r="CQ43" s="2012">
        <f t="shared" si="131"/>
        <v>0</v>
      </c>
      <c r="CR43" s="4188"/>
    </row>
    <row r="44" spans="1:98" ht="13.8" outlineLevel="2">
      <c r="A44" s="4833"/>
      <c r="B44" s="4098" t="s">
        <v>28</v>
      </c>
      <c r="C44" s="3341"/>
      <c r="D44" s="3341"/>
      <c r="E44" s="3349">
        <f t="shared" si="95"/>
        <v>0</v>
      </c>
      <c r="F44" s="4074" t="e">
        <f t="shared" si="96"/>
        <v>#DIV/0!</v>
      </c>
      <c r="G44" s="4112"/>
      <c r="H44" s="3341"/>
      <c r="I44" s="3341"/>
      <c r="J44" s="3349">
        <f t="shared" si="97"/>
        <v>0</v>
      </c>
      <c r="K44" s="4074" t="e">
        <f t="shared" si="98"/>
        <v>#DIV/0!</v>
      </c>
      <c r="L44" s="4112"/>
      <c r="M44" s="3341"/>
      <c r="N44" s="3341"/>
      <c r="O44" s="3349">
        <f t="shared" si="99"/>
        <v>0</v>
      </c>
      <c r="P44" s="4074" t="e">
        <f t="shared" si="100"/>
        <v>#DIV/0!</v>
      </c>
      <c r="Q44" s="4112"/>
      <c r="R44" s="3342">
        <f t="shared" si="101"/>
        <v>0</v>
      </c>
      <c r="S44" s="3342">
        <f t="shared" si="101"/>
        <v>0</v>
      </c>
      <c r="T44" s="2012">
        <f t="shared" si="102"/>
        <v>0</v>
      </c>
      <c r="U44" s="3462"/>
      <c r="V44" s="3462"/>
      <c r="W44" s="3342">
        <f t="shared" si="103"/>
        <v>0</v>
      </c>
      <c r="X44" s="3342">
        <f t="shared" si="103"/>
        <v>0</v>
      </c>
      <c r="Y44" s="2012">
        <f t="shared" si="104"/>
        <v>0</v>
      </c>
      <c r="Z44" s="3462"/>
      <c r="AA44" s="3462"/>
      <c r="AB44" s="3341"/>
      <c r="AC44" s="3341"/>
      <c r="AD44" s="3349">
        <f t="shared" si="105"/>
        <v>0</v>
      </c>
      <c r="AE44" s="4074" t="e">
        <f t="shared" si="106"/>
        <v>#DIV/0!</v>
      </c>
      <c r="AF44" s="4112"/>
      <c r="AG44" s="3341"/>
      <c r="AH44" s="3341"/>
      <c r="AI44" s="3349">
        <f t="shared" si="107"/>
        <v>0</v>
      </c>
      <c r="AJ44" s="4074">
        <f t="shared" si="108"/>
        <v>0</v>
      </c>
      <c r="AK44" s="4112"/>
      <c r="AL44" s="3341"/>
      <c r="AM44" s="3341"/>
      <c r="AN44" s="3349">
        <f t="shared" si="109"/>
        <v>0</v>
      </c>
      <c r="AO44" s="4074">
        <f t="shared" si="110"/>
        <v>0</v>
      </c>
      <c r="AP44" s="4170"/>
      <c r="AQ44" s="3341"/>
      <c r="AR44" s="3341"/>
      <c r="AS44" s="3349">
        <f t="shared" si="111"/>
        <v>0</v>
      </c>
      <c r="AT44" s="4074" t="e">
        <f t="shared" si="112"/>
        <v>#DIV/0!</v>
      </c>
      <c r="AU44" s="4112"/>
      <c r="AV44" s="3341"/>
      <c r="AW44" s="3341"/>
      <c r="AX44" s="3349">
        <f t="shared" si="113"/>
        <v>0</v>
      </c>
      <c r="AY44" s="4074" t="e">
        <f t="shared" si="114"/>
        <v>#DIV/0!</v>
      </c>
      <c r="AZ44" s="4112"/>
      <c r="BA44" s="3341"/>
      <c r="BB44" s="3341"/>
      <c r="BC44" s="3349">
        <f t="shared" si="115"/>
        <v>0</v>
      </c>
      <c r="BD44" s="4074" t="e">
        <f t="shared" si="116"/>
        <v>#DIV/0!</v>
      </c>
      <c r="BE44" s="4112"/>
      <c r="BF44" s="3341"/>
      <c r="BG44" s="3341"/>
      <c r="BH44" s="3349">
        <f t="shared" si="117"/>
        <v>0</v>
      </c>
      <c r="BI44" s="4074" t="e">
        <f t="shared" si="118"/>
        <v>#DIV/0!</v>
      </c>
      <c r="BJ44" s="4112"/>
      <c r="BK44" s="3341"/>
      <c r="BL44" s="3341"/>
      <c r="BM44" s="3349">
        <f t="shared" si="119"/>
        <v>0</v>
      </c>
      <c r="BN44" s="4074" t="e">
        <f t="shared" si="120"/>
        <v>#DIV/0!</v>
      </c>
      <c r="BO44" s="4112"/>
      <c r="BP44" s="3341"/>
      <c r="BQ44" s="3341"/>
      <c r="BR44" s="3349">
        <f t="shared" si="121"/>
        <v>0</v>
      </c>
      <c r="BS44" s="4074" t="e">
        <f t="shared" si="122"/>
        <v>#DIV/0!</v>
      </c>
      <c r="BT44" s="4112"/>
      <c r="BU44" s="3341"/>
      <c r="BV44" s="3341"/>
      <c r="BW44" s="3349">
        <f t="shared" si="123"/>
        <v>0</v>
      </c>
      <c r="BX44" s="4074" t="e">
        <f t="shared" si="124"/>
        <v>#DIV/0!</v>
      </c>
      <c r="BY44" s="4112"/>
      <c r="BZ44" s="3341"/>
      <c r="CA44" s="3341"/>
      <c r="CB44" s="3349">
        <f t="shared" si="125"/>
        <v>0</v>
      </c>
      <c r="CC44" s="4074" t="e">
        <f t="shared" si="126"/>
        <v>#DIV/0!</v>
      </c>
      <c r="CD44" s="4112"/>
      <c r="CE44" s="3341"/>
      <c r="CF44" s="3341"/>
      <c r="CG44" s="3349">
        <f t="shared" si="127"/>
        <v>0</v>
      </c>
      <c r="CH44" s="4074" t="e">
        <f t="shared" si="128"/>
        <v>#DIV/0!</v>
      </c>
      <c r="CI44" s="4112"/>
      <c r="CJ44" s="3341">
        <f t="shared" si="129"/>
        <v>0</v>
      </c>
      <c r="CK44" s="3341">
        <f t="shared" si="129"/>
        <v>0</v>
      </c>
      <c r="CL44" s="2012">
        <f t="shared" si="130"/>
        <v>0</v>
      </c>
      <c r="CM44" s="4074">
        <f t="shared" si="94"/>
        <v>0</v>
      </c>
      <c r="CN44" s="4076"/>
      <c r="CP44" s="2012">
        <f t="shared" si="131"/>
        <v>0</v>
      </c>
      <c r="CQ44" s="2012">
        <f t="shared" si="131"/>
        <v>0</v>
      </c>
      <c r="CR44" s="4188"/>
    </row>
    <row r="45" spans="1:98" ht="13.8" outlineLevel="2">
      <c r="A45" s="4833"/>
      <c r="B45" s="4111" t="s">
        <v>8</v>
      </c>
      <c r="C45" s="3341"/>
      <c r="D45" s="3341"/>
      <c r="E45" s="3349">
        <f t="shared" si="95"/>
        <v>0</v>
      </c>
      <c r="F45" s="4074" t="e">
        <f t="shared" si="96"/>
        <v>#DIV/0!</v>
      </c>
      <c r="G45" s="4112"/>
      <c r="H45" s="3341"/>
      <c r="I45" s="3341"/>
      <c r="J45" s="3349">
        <f t="shared" si="97"/>
        <v>0</v>
      </c>
      <c r="K45" s="4074" t="e">
        <f t="shared" si="98"/>
        <v>#DIV/0!</v>
      </c>
      <c r="L45" s="4112"/>
      <c r="M45" s="3341"/>
      <c r="N45" s="3341"/>
      <c r="O45" s="3349">
        <f t="shared" si="99"/>
        <v>0</v>
      </c>
      <c r="P45" s="4074" t="e">
        <f t="shared" si="100"/>
        <v>#DIV/0!</v>
      </c>
      <c r="Q45" s="4112"/>
      <c r="R45" s="3342">
        <f t="shared" si="101"/>
        <v>0</v>
      </c>
      <c r="S45" s="3342">
        <f t="shared" si="101"/>
        <v>0</v>
      </c>
      <c r="T45" s="2012">
        <f t="shared" si="102"/>
        <v>0</v>
      </c>
      <c r="U45" s="3462"/>
      <c r="V45" s="3462"/>
      <c r="W45" s="3342">
        <f t="shared" si="103"/>
        <v>0</v>
      </c>
      <c r="X45" s="3342">
        <f t="shared" si="103"/>
        <v>0</v>
      </c>
      <c r="Y45" s="2012">
        <f t="shared" si="104"/>
        <v>0</v>
      </c>
      <c r="Z45" s="3462"/>
      <c r="AA45" s="3462"/>
      <c r="AB45" s="3341"/>
      <c r="AC45" s="3341"/>
      <c r="AD45" s="3349">
        <f t="shared" si="105"/>
        <v>0</v>
      </c>
      <c r="AE45" s="4074" t="e">
        <f t="shared" si="106"/>
        <v>#DIV/0!</v>
      </c>
      <c r="AF45" s="4112"/>
      <c r="AG45" s="3341"/>
      <c r="AH45" s="3341"/>
      <c r="AI45" s="3349">
        <f t="shared" si="107"/>
        <v>0</v>
      </c>
      <c r="AJ45" s="4074">
        <f t="shared" si="108"/>
        <v>0</v>
      </c>
      <c r="AK45" s="4112"/>
      <c r="AL45" s="3341"/>
      <c r="AM45" s="3341"/>
      <c r="AN45" s="3349">
        <f t="shared" si="109"/>
        <v>0</v>
      </c>
      <c r="AO45" s="4074">
        <f t="shared" si="110"/>
        <v>0</v>
      </c>
      <c r="AP45" s="4170"/>
      <c r="AQ45" s="3341"/>
      <c r="AR45" s="3341"/>
      <c r="AS45" s="3349">
        <f t="shared" si="111"/>
        <v>0</v>
      </c>
      <c r="AT45" s="4074" t="e">
        <f t="shared" si="112"/>
        <v>#DIV/0!</v>
      </c>
      <c r="AU45" s="4112"/>
      <c r="AV45" s="3341"/>
      <c r="AW45" s="3341"/>
      <c r="AX45" s="3349">
        <f t="shared" si="113"/>
        <v>0</v>
      </c>
      <c r="AY45" s="4074" t="e">
        <f t="shared" si="114"/>
        <v>#DIV/0!</v>
      </c>
      <c r="AZ45" s="4112"/>
      <c r="BA45" s="3341"/>
      <c r="BB45" s="3341"/>
      <c r="BC45" s="3349">
        <f t="shared" si="115"/>
        <v>0</v>
      </c>
      <c r="BD45" s="4074" t="e">
        <f t="shared" si="116"/>
        <v>#DIV/0!</v>
      </c>
      <c r="BE45" s="4112"/>
      <c r="BF45" s="3341"/>
      <c r="BG45" s="3341"/>
      <c r="BH45" s="3349">
        <f t="shared" si="117"/>
        <v>0</v>
      </c>
      <c r="BI45" s="4074" t="e">
        <f t="shared" si="118"/>
        <v>#DIV/0!</v>
      </c>
      <c r="BJ45" s="4112"/>
      <c r="BK45" s="3341"/>
      <c r="BL45" s="3341"/>
      <c r="BM45" s="3349">
        <f t="shared" si="119"/>
        <v>0</v>
      </c>
      <c r="BN45" s="4074" t="e">
        <f t="shared" si="120"/>
        <v>#DIV/0!</v>
      </c>
      <c r="BO45" s="4112"/>
      <c r="BP45" s="3341"/>
      <c r="BQ45" s="3341"/>
      <c r="BR45" s="3349">
        <f t="shared" si="121"/>
        <v>0</v>
      </c>
      <c r="BS45" s="4074" t="e">
        <f t="shared" si="122"/>
        <v>#DIV/0!</v>
      </c>
      <c r="BT45" s="4112"/>
      <c r="BU45" s="3341"/>
      <c r="BV45" s="3341"/>
      <c r="BW45" s="3349">
        <f t="shared" si="123"/>
        <v>0</v>
      </c>
      <c r="BX45" s="4074" t="e">
        <f t="shared" si="124"/>
        <v>#DIV/0!</v>
      </c>
      <c r="BY45" s="4112"/>
      <c r="BZ45" s="3341"/>
      <c r="CA45" s="3341"/>
      <c r="CB45" s="3349">
        <f t="shared" si="125"/>
        <v>0</v>
      </c>
      <c r="CC45" s="4074" t="e">
        <f t="shared" si="126"/>
        <v>#DIV/0!</v>
      </c>
      <c r="CD45" s="4112"/>
      <c r="CE45" s="3341"/>
      <c r="CF45" s="3341"/>
      <c r="CG45" s="3349">
        <f t="shared" si="127"/>
        <v>0</v>
      </c>
      <c r="CH45" s="4074" t="e">
        <f t="shared" si="128"/>
        <v>#DIV/0!</v>
      </c>
      <c r="CI45" s="4112"/>
      <c r="CJ45" s="3341">
        <f t="shared" si="129"/>
        <v>0</v>
      </c>
      <c r="CK45" s="3341">
        <f t="shared" si="129"/>
        <v>0</v>
      </c>
      <c r="CL45" s="2012">
        <f t="shared" si="130"/>
        <v>0</v>
      </c>
      <c r="CM45" s="4074">
        <f t="shared" si="94"/>
        <v>0</v>
      </c>
      <c r="CN45" s="4076"/>
      <c r="CP45" s="2012">
        <f t="shared" si="131"/>
        <v>0</v>
      </c>
      <c r="CQ45" s="2012">
        <f t="shared" si="131"/>
        <v>0</v>
      </c>
      <c r="CR45" s="4188"/>
    </row>
    <row r="46" spans="1:98" ht="13.8" outlineLevel="2">
      <c r="A46" s="4833"/>
      <c r="B46" s="4111" t="s">
        <v>29</v>
      </c>
      <c r="C46" s="3341"/>
      <c r="D46" s="3341"/>
      <c r="E46" s="3349">
        <f t="shared" si="95"/>
        <v>0</v>
      </c>
      <c r="F46" s="4074" t="e">
        <f t="shared" si="96"/>
        <v>#DIV/0!</v>
      </c>
      <c r="G46" s="4112"/>
      <c r="H46" s="3341"/>
      <c r="I46" s="3341"/>
      <c r="J46" s="3349">
        <f t="shared" si="97"/>
        <v>0</v>
      </c>
      <c r="K46" s="4074" t="e">
        <f t="shared" si="98"/>
        <v>#DIV/0!</v>
      </c>
      <c r="L46" s="4112"/>
      <c r="M46" s="3341"/>
      <c r="N46" s="3341"/>
      <c r="O46" s="3349">
        <f t="shared" si="99"/>
        <v>0</v>
      </c>
      <c r="P46" s="4074" t="e">
        <f t="shared" si="100"/>
        <v>#DIV/0!</v>
      </c>
      <c r="Q46" s="4112"/>
      <c r="R46" s="3342">
        <f t="shared" si="101"/>
        <v>0</v>
      </c>
      <c r="S46" s="3342">
        <f t="shared" si="101"/>
        <v>0</v>
      </c>
      <c r="T46" s="2012">
        <f t="shared" si="102"/>
        <v>0</v>
      </c>
      <c r="U46" s="3462"/>
      <c r="V46" s="3462"/>
      <c r="W46" s="3342">
        <f t="shared" si="103"/>
        <v>0</v>
      </c>
      <c r="X46" s="3342">
        <f t="shared" si="103"/>
        <v>0</v>
      </c>
      <c r="Y46" s="2012">
        <f t="shared" si="104"/>
        <v>0</v>
      </c>
      <c r="Z46" s="3462"/>
      <c r="AA46" s="3462"/>
      <c r="AB46" s="3341"/>
      <c r="AC46" s="3341"/>
      <c r="AD46" s="3349">
        <f t="shared" si="105"/>
        <v>0</v>
      </c>
      <c r="AE46" s="4074" t="e">
        <f t="shared" si="106"/>
        <v>#DIV/0!</v>
      </c>
      <c r="AF46" s="4112"/>
      <c r="AG46" s="3341"/>
      <c r="AH46" s="3341"/>
      <c r="AI46" s="3349">
        <f t="shared" si="107"/>
        <v>0</v>
      </c>
      <c r="AJ46" s="4074">
        <f t="shared" si="108"/>
        <v>0</v>
      </c>
      <c r="AK46" s="4112"/>
      <c r="AL46" s="3341"/>
      <c r="AM46" s="3341"/>
      <c r="AN46" s="3349">
        <f t="shared" si="109"/>
        <v>0</v>
      </c>
      <c r="AO46" s="4074">
        <f t="shared" si="110"/>
        <v>0</v>
      </c>
      <c r="AP46" s="4170"/>
      <c r="AQ46" s="3341"/>
      <c r="AR46" s="3341"/>
      <c r="AS46" s="3349">
        <f t="shared" si="111"/>
        <v>0</v>
      </c>
      <c r="AT46" s="4074" t="e">
        <f t="shared" si="112"/>
        <v>#DIV/0!</v>
      </c>
      <c r="AU46" s="4112"/>
      <c r="AV46" s="3341"/>
      <c r="AW46" s="3341"/>
      <c r="AX46" s="3349">
        <f t="shared" si="113"/>
        <v>0</v>
      </c>
      <c r="AY46" s="4074" t="e">
        <f t="shared" si="114"/>
        <v>#DIV/0!</v>
      </c>
      <c r="AZ46" s="4112"/>
      <c r="BA46" s="3341"/>
      <c r="BB46" s="3341"/>
      <c r="BC46" s="3349">
        <f t="shared" si="115"/>
        <v>0</v>
      </c>
      <c r="BD46" s="4074" t="e">
        <f t="shared" si="116"/>
        <v>#DIV/0!</v>
      </c>
      <c r="BE46" s="4112"/>
      <c r="BF46" s="3341"/>
      <c r="BG46" s="3341"/>
      <c r="BH46" s="3349">
        <f t="shared" si="117"/>
        <v>0</v>
      </c>
      <c r="BI46" s="4074" t="e">
        <f t="shared" si="118"/>
        <v>#DIV/0!</v>
      </c>
      <c r="BJ46" s="4112"/>
      <c r="BK46" s="3341"/>
      <c r="BL46" s="3341"/>
      <c r="BM46" s="3349">
        <f t="shared" si="119"/>
        <v>0</v>
      </c>
      <c r="BN46" s="4074" t="e">
        <f t="shared" si="120"/>
        <v>#DIV/0!</v>
      </c>
      <c r="BO46" s="4112"/>
      <c r="BP46" s="3341"/>
      <c r="BQ46" s="3341"/>
      <c r="BR46" s="3349">
        <f t="shared" si="121"/>
        <v>0</v>
      </c>
      <c r="BS46" s="4074" t="e">
        <f t="shared" si="122"/>
        <v>#DIV/0!</v>
      </c>
      <c r="BT46" s="4112"/>
      <c r="BU46" s="3341"/>
      <c r="BV46" s="3341"/>
      <c r="BW46" s="3349">
        <f t="shared" si="123"/>
        <v>0</v>
      </c>
      <c r="BX46" s="4074" t="e">
        <f t="shared" si="124"/>
        <v>#DIV/0!</v>
      </c>
      <c r="BY46" s="4112"/>
      <c r="BZ46" s="3341"/>
      <c r="CA46" s="3341"/>
      <c r="CB46" s="3349">
        <f t="shared" si="125"/>
        <v>0</v>
      </c>
      <c r="CC46" s="4074" t="e">
        <f t="shared" si="126"/>
        <v>#DIV/0!</v>
      </c>
      <c r="CD46" s="4112"/>
      <c r="CE46" s="3341"/>
      <c r="CF46" s="3341"/>
      <c r="CG46" s="3349">
        <f t="shared" si="127"/>
        <v>0</v>
      </c>
      <c r="CH46" s="4074" t="e">
        <f t="shared" si="128"/>
        <v>#DIV/0!</v>
      </c>
      <c r="CI46" s="4112"/>
      <c r="CJ46" s="3341">
        <f t="shared" si="129"/>
        <v>0</v>
      </c>
      <c r="CK46" s="3341">
        <f t="shared" si="129"/>
        <v>0</v>
      </c>
      <c r="CL46" s="2012">
        <f t="shared" si="130"/>
        <v>0</v>
      </c>
      <c r="CM46" s="4074">
        <f t="shared" si="94"/>
        <v>0</v>
      </c>
      <c r="CN46" s="4076"/>
      <c r="CP46" s="2012">
        <f t="shared" si="131"/>
        <v>0</v>
      </c>
      <c r="CQ46" s="2012">
        <f t="shared" si="131"/>
        <v>0</v>
      </c>
      <c r="CR46" s="4188"/>
    </row>
    <row r="47" spans="1:98" ht="13.8" outlineLevel="2">
      <c r="A47" s="4833"/>
      <c r="B47" s="4111" t="s">
        <v>30</v>
      </c>
      <c r="C47" s="3341"/>
      <c r="D47" s="3341"/>
      <c r="E47" s="3349">
        <f t="shared" si="95"/>
        <v>0</v>
      </c>
      <c r="F47" s="4074" t="e">
        <f t="shared" si="96"/>
        <v>#DIV/0!</v>
      </c>
      <c r="G47" s="4112"/>
      <c r="H47" s="3341"/>
      <c r="I47" s="3341"/>
      <c r="J47" s="3349">
        <f t="shared" si="97"/>
        <v>0</v>
      </c>
      <c r="K47" s="4074" t="e">
        <f t="shared" si="98"/>
        <v>#DIV/0!</v>
      </c>
      <c r="L47" s="4112"/>
      <c r="M47" s="3341"/>
      <c r="N47" s="3341"/>
      <c r="O47" s="3349">
        <f t="shared" si="99"/>
        <v>0</v>
      </c>
      <c r="P47" s="4074" t="e">
        <f t="shared" si="100"/>
        <v>#DIV/0!</v>
      </c>
      <c r="Q47" s="4112"/>
      <c r="R47" s="3342">
        <f t="shared" si="101"/>
        <v>0</v>
      </c>
      <c r="S47" s="3342">
        <f t="shared" si="101"/>
        <v>0</v>
      </c>
      <c r="T47" s="2012">
        <f t="shared" si="102"/>
        <v>0</v>
      </c>
      <c r="U47" s="3462"/>
      <c r="V47" s="3462"/>
      <c r="W47" s="3342">
        <f t="shared" si="103"/>
        <v>0</v>
      </c>
      <c r="X47" s="3342">
        <f t="shared" si="103"/>
        <v>0</v>
      </c>
      <c r="Y47" s="2012">
        <f t="shared" si="104"/>
        <v>0</v>
      </c>
      <c r="Z47" s="3462"/>
      <c r="AA47" s="3462"/>
      <c r="AB47" s="3341"/>
      <c r="AC47" s="3341"/>
      <c r="AD47" s="3349">
        <f t="shared" si="105"/>
        <v>0</v>
      </c>
      <c r="AE47" s="4074" t="e">
        <f t="shared" si="106"/>
        <v>#DIV/0!</v>
      </c>
      <c r="AF47" s="4112"/>
      <c r="AG47" s="3341"/>
      <c r="AH47" s="3341"/>
      <c r="AI47" s="3349">
        <f t="shared" si="107"/>
        <v>0</v>
      </c>
      <c r="AJ47" s="4074">
        <f t="shared" si="108"/>
        <v>0</v>
      </c>
      <c r="AK47" s="4112"/>
      <c r="AL47" s="3341"/>
      <c r="AM47" s="3341"/>
      <c r="AN47" s="3349">
        <f t="shared" si="109"/>
        <v>0</v>
      </c>
      <c r="AO47" s="4074">
        <f t="shared" si="110"/>
        <v>0</v>
      </c>
      <c r="AP47" s="4170"/>
      <c r="AQ47" s="3341"/>
      <c r="AR47" s="3341"/>
      <c r="AS47" s="3349">
        <f t="shared" si="111"/>
        <v>0</v>
      </c>
      <c r="AT47" s="4074" t="e">
        <f t="shared" si="112"/>
        <v>#DIV/0!</v>
      </c>
      <c r="AU47" s="4112"/>
      <c r="AV47" s="3341"/>
      <c r="AW47" s="3341"/>
      <c r="AX47" s="3349">
        <f t="shared" si="113"/>
        <v>0</v>
      </c>
      <c r="AY47" s="4074" t="e">
        <f t="shared" si="114"/>
        <v>#DIV/0!</v>
      </c>
      <c r="AZ47" s="4112"/>
      <c r="BA47" s="3341"/>
      <c r="BB47" s="3341"/>
      <c r="BC47" s="3349">
        <f t="shared" si="115"/>
        <v>0</v>
      </c>
      <c r="BD47" s="4074" t="e">
        <f t="shared" si="116"/>
        <v>#DIV/0!</v>
      </c>
      <c r="BE47" s="4112"/>
      <c r="BF47" s="3341"/>
      <c r="BG47" s="3341"/>
      <c r="BH47" s="3349">
        <f t="shared" si="117"/>
        <v>0</v>
      </c>
      <c r="BI47" s="4074" t="e">
        <f t="shared" si="118"/>
        <v>#DIV/0!</v>
      </c>
      <c r="BJ47" s="4112"/>
      <c r="BK47" s="3341"/>
      <c r="BL47" s="3341"/>
      <c r="BM47" s="3349">
        <f t="shared" si="119"/>
        <v>0</v>
      </c>
      <c r="BN47" s="4074" t="e">
        <f t="shared" si="120"/>
        <v>#DIV/0!</v>
      </c>
      <c r="BO47" s="4112"/>
      <c r="BP47" s="3341"/>
      <c r="BQ47" s="3341"/>
      <c r="BR47" s="3349">
        <f t="shared" si="121"/>
        <v>0</v>
      </c>
      <c r="BS47" s="4074" t="e">
        <f t="shared" si="122"/>
        <v>#DIV/0!</v>
      </c>
      <c r="BT47" s="4112"/>
      <c r="BU47" s="3341"/>
      <c r="BV47" s="3341"/>
      <c r="BW47" s="3349">
        <f t="shared" si="123"/>
        <v>0</v>
      </c>
      <c r="BX47" s="4074" t="e">
        <f t="shared" si="124"/>
        <v>#DIV/0!</v>
      </c>
      <c r="BY47" s="4112"/>
      <c r="BZ47" s="3341"/>
      <c r="CA47" s="3341"/>
      <c r="CB47" s="3349">
        <f t="shared" si="125"/>
        <v>0</v>
      </c>
      <c r="CC47" s="4074" t="e">
        <f t="shared" si="126"/>
        <v>#DIV/0!</v>
      </c>
      <c r="CD47" s="4112"/>
      <c r="CE47" s="3341"/>
      <c r="CF47" s="3341"/>
      <c r="CG47" s="3349">
        <f t="shared" si="127"/>
        <v>0</v>
      </c>
      <c r="CH47" s="4074" t="e">
        <f t="shared" si="128"/>
        <v>#DIV/0!</v>
      </c>
      <c r="CI47" s="4112"/>
      <c r="CJ47" s="3341">
        <f t="shared" si="129"/>
        <v>0</v>
      </c>
      <c r="CK47" s="3341">
        <f t="shared" si="129"/>
        <v>0</v>
      </c>
      <c r="CL47" s="2012">
        <f t="shared" si="130"/>
        <v>0</v>
      </c>
      <c r="CM47" s="4074">
        <f t="shared" si="94"/>
        <v>0</v>
      </c>
      <c r="CN47" s="4076"/>
      <c r="CP47" s="2012">
        <f t="shared" si="131"/>
        <v>0</v>
      </c>
      <c r="CQ47" s="2012">
        <f t="shared" si="131"/>
        <v>0</v>
      </c>
      <c r="CR47" s="4188"/>
    </row>
    <row r="48" spans="1:98" ht="13.8" outlineLevel="2">
      <c r="A48" s="4833"/>
      <c r="B48" s="4111" t="s">
        <v>15</v>
      </c>
      <c r="C48" s="3341"/>
      <c r="D48" s="3341"/>
      <c r="E48" s="3349">
        <f t="shared" si="95"/>
        <v>0</v>
      </c>
      <c r="F48" s="4074" t="e">
        <f t="shared" si="96"/>
        <v>#DIV/0!</v>
      </c>
      <c r="G48" s="4112"/>
      <c r="H48" s="3341"/>
      <c r="I48" s="3341"/>
      <c r="J48" s="3349">
        <f t="shared" si="97"/>
        <v>0</v>
      </c>
      <c r="K48" s="4074" t="e">
        <f t="shared" si="98"/>
        <v>#DIV/0!</v>
      </c>
      <c r="L48" s="4112"/>
      <c r="M48" s="3341"/>
      <c r="N48" s="3341"/>
      <c r="O48" s="3349">
        <f t="shared" si="99"/>
        <v>0</v>
      </c>
      <c r="P48" s="4074" t="e">
        <f t="shared" si="100"/>
        <v>#DIV/0!</v>
      </c>
      <c r="Q48" s="4112"/>
      <c r="R48" s="3342">
        <f t="shared" si="101"/>
        <v>0</v>
      </c>
      <c r="S48" s="3342">
        <f t="shared" si="101"/>
        <v>0</v>
      </c>
      <c r="T48" s="2012">
        <f t="shared" si="102"/>
        <v>0</v>
      </c>
      <c r="U48" s="4113"/>
      <c r="V48" s="4112"/>
      <c r="W48" s="4114">
        <f t="shared" si="103"/>
        <v>0</v>
      </c>
      <c r="X48" s="4114">
        <f t="shared" si="103"/>
        <v>0</v>
      </c>
      <c r="Y48" s="4115">
        <f t="shared" si="104"/>
        <v>0</v>
      </c>
      <c r="Z48" s="4112"/>
      <c r="AA48" s="4112"/>
      <c r="AB48" s="4080"/>
      <c r="AC48" s="4080"/>
      <c r="AD48" s="4116">
        <f t="shared" si="105"/>
        <v>0</v>
      </c>
      <c r="AE48" s="4074" t="e">
        <f t="shared" si="106"/>
        <v>#DIV/0!</v>
      </c>
      <c r="AF48" s="4112"/>
      <c r="AG48" s="4080"/>
      <c r="AH48" s="3341"/>
      <c r="AI48" s="3349">
        <f t="shared" si="107"/>
        <v>0</v>
      </c>
      <c r="AJ48" s="4074">
        <f t="shared" si="108"/>
        <v>0</v>
      </c>
      <c r="AK48" s="4112"/>
      <c r="AL48" s="3341"/>
      <c r="AM48" s="3341"/>
      <c r="AN48" s="3349">
        <f t="shared" si="109"/>
        <v>0</v>
      </c>
      <c r="AO48" s="4074">
        <f t="shared" si="110"/>
        <v>0</v>
      </c>
      <c r="AP48" s="4170"/>
      <c r="AQ48" s="3341"/>
      <c r="AR48" s="3341"/>
      <c r="AS48" s="3349">
        <f t="shared" si="111"/>
        <v>0</v>
      </c>
      <c r="AT48" s="4074" t="e">
        <f t="shared" si="112"/>
        <v>#DIV/0!</v>
      </c>
      <c r="AU48" s="4112"/>
      <c r="AV48" s="3341"/>
      <c r="AW48" s="3341"/>
      <c r="AX48" s="3349">
        <f t="shared" si="113"/>
        <v>0</v>
      </c>
      <c r="AY48" s="4074" t="e">
        <f t="shared" si="114"/>
        <v>#DIV/0!</v>
      </c>
      <c r="AZ48" s="4112"/>
      <c r="BA48" s="3341"/>
      <c r="BB48" s="3341"/>
      <c r="BC48" s="3349">
        <f t="shared" si="115"/>
        <v>0</v>
      </c>
      <c r="BD48" s="4074" t="e">
        <f t="shared" si="116"/>
        <v>#DIV/0!</v>
      </c>
      <c r="BE48" s="4112"/>
      <c r="BF48" s="3341"/>
      <c r="BG48" s="3341"/>
      <c r="BH48" s="3349">
        <f t="shared" si="117"/>
        <v>0</v>
      </c>
      <c r="BI48" s="4074" t="e">
        <f t="shared" si="118"/>
        <v>#DIV/0!</v>
      </c>
      <c r="BJ48" s="4112"/>
      <c r="BK48" s="3341"/>
      <c r="BL48" s="3341"/>
      <c r="BM48" s="3349">
        <f t="shared" si="119"/>
        <v>0</v>
      </c>
      <c r="BN48" s="4074" t="e">
        <f t="shared" si="120"/>
        <v>#DIV/0!</v>
      </c>
      <c r="BO48" s="4112"/>
      <c r="BP48" s="3341"/>
      <c r="BQ48" s="3341"/>
      <c r="BR48" s="3349">
        <f t="shared" si="121"/>
        <v>0</v>
      </c>
      <c r="BS48" s="4074" t="e">
        <f t="shared" si="122"/>
        <v>#DIV/0!</v>
      </c>
      <c r="BT48" s="4112"/>
      <c r="BU48" s="3341"/>
      <c r="BV48" s="3341"/>
      <c r="BW48" s="3349">
        <f t="shared" si="123"/>
        <v>0</v>
      </c>
      <c r="BX48" s="4074" t="e">
        <f t="shared" si="124"/>
        <v>#DIV/0!</v>
      </c>
      <c r="BY48" s="4112"/>
      <c r="BZ48" s="3341"/>
      <c r="CA48" s="3341"/>
      <c r="CB48" s="3349">
        <f t="shared" si="125"/>
        <v>0</v>
      </c>
      <c r="CC48" s="4074" t="e">
        <f t="shared" si="126"/>
        <v>#DIV/0!</v>
      </c>
      <c r="CD48" s="4112"/>
      <c r="CE48" s="3341"/>
      <c r="CF48" s="3341"/>
      <c r="CG48" s="3349">
        <f t="shared" si="127"/>
        <v>0</v>
      </c>
      <c r="CH48" s="4074" t="e">
        <f t="shared" si="128"/>
        <v>#DIV/0!</v>
      </c>
      <c r="CI48" s="4112"/>
      <c r="CJ48" s="3341">
        <f t="shared" si="129"/>
        <v>0</v>
      </c>
      <c r="CK48" s="3341">
        <f t="shared" si="129"/>
        <v>0</v>
      </c>
      <c r="CL48" s="2012">
        <f t="shared" si="130"/>
        <v>0</v>
      </c>
      <c r="CM48" s="4074">
        <f t="shared" si="94"/>
        <v>0</v>
      </c>
      <c r="CN48" s="4076"/>
      <c r="CP48" s="2012">
        <f t="shared" si="131"/>
        <v>0</v>
      </c>
      <c r="CQ48" s="2012">
        <f t="shared" si="131"/>
        <v>0</v>
      </c>
      <c r="CR48" s="4188"/>
    </row>
    <row r="49" spans="1:98" s="1396" customFormat="1" ht="14.4" outlineLevel="2" thickBot="1">
      <c r="A49" s="1405"/>
      <c r="B49" s="4117"/>
      <c r="C49" s="3341"/>
      <c r="D49" s="3341"/>
      <c r="E49" s="4102"/>
      <c r="F49" s="4084"/>
      <c r="G49" s="4103"/>
      <c r="H49" s="3341"/>
      <c r="I49" s="3341"/>
      <c r="J49" s="4102"/>
      <c r="K49" s="4084"/>
      <c r="L49" s="4103"/>
      <c r="M49" s="3341"/>
      <c r="N49" s="3341"/>
      <c r="O49" s="4102"/>
      <c r="P49" s="4084"/>
      <c r="Q49" s="4103"/>
      <c r="R49" s="3456"/>
      <c r="S49" s="3456"/>
      <c r="T49" s="3456"/>
      <c r="U49" s="3733"/>
      <c r="V49" s="3734"/>
      <c r="W49" s="3734"/>
      <c r="X49" s="3734"/>
      <c r="Y49" s="3734"/>
      <c r="Z49" s="3734"/>
      <c r="AA49" s="3734"/>
      <c r="AB49" s="3375"/>
      <c r="AC49" s="3375"/>
      <c r="AD49" s="4102"/>
      <c r="AE49" s="4084" t="e">
        <f t="shared" si="106"/>
        <v>#DIV/0!</v>
      </c>
      <c r="AF49" s="4103"/>
      <c r="AG49" s="3375"/>
      <c r="AH49" s="3341"/>
      <c r="AI49" s="4102"/>
      <c r="AJ49" s="4084">
        <f t="shared" si="108"/>
        <v>0</v>
      </c>
      <c r="AK49" s="4103"/>
      <c r="AL49" s="3341"/>
      <c r="AM49" s="3341"/>
      <c r="AN49" s="4102"/>
      <c r="AO49" s="4084">
        <f t="shared" si="110"/>
        <v>0</v>
      </c>
      <c r="AP49" s="4168"/>
      <c r="AQ49" s="3341"/>
      <c r="AR49" s="3341"/>
      <c r="AS49" s="4102"/>
      <c r="AT49" s="4084" t="e">
        <f t="shared" si="112"/>
        <v>#DIV/0!</v>
      </c>
      <c r="AU49" s="4103"/>
      <c r="AV49" s="3341"/>
      <c r="AW49" s="3341"/>
      <c r="AX49" s="4102"/>
      <c r="AY49" s="4084" t="e">
        <f t="shared" si="114"/>
        <v>#DIV/0!</v>
      </c>
      <c r="AZ49" s="4103"/>
      <c r="BA49" s="3341"/>
      <c r="BB49" s="3341"/>
      <c r="BC49" s="4102"/>
      <c r="BD49" s="4084" t="e">
        <f t="shared" si="116"/>
        <v>#DIV/0!</v>
      </c>
      <c r="BE49" s="4103"/>
      <c r="BF49" s="3341"/>
      <c r="BG49" s="3341"/>
      <c r="BH49" s="4102"/>
      <c r="BI49" s="4084" t="e">
        <f t="shared" si="118"/>
        <v>#DIV/0!</v>
      </c>
      <c r="BJ49" s="4103"/>
      <c r="BK49" s="3341"/>
      <c r="BL49" s="3341"/>
      <c r="BM49" s="4102"/>
      <c r="BN49" s="4084" t="e">
        <f t="shared" si="120"/>
        <v>#DIV/0!</v>
      </c>
      <c r="BO49" s="4103"/>
      <c r="BP49" s="3341"/>
      <c r="BQ49" s="3341"/>
      <c r="BR49" s="4102"/>
      <c r="BS49" s="4084" t="e">
        <f t="shared" si="122"/>
        <v>#DIV/0!</v>
      </c>
      <c r="BT49" s="4103"/>
      <c r="BU49" s="3341"/>
      <c r="BV49" s="3341"/>
      <c r="BW49" s="4102"/>
      <c r="BX49" s="4084" t="e">
        <f t="shared" si="124"/>
        <v>#DIV/0!</v>
      </c>
      <c r="BY49" s="4103"/>
      <c r="BZ49" s="3341"/>
      <c r="CA49" s="3341"/>
      <c r="CB49" s="4102"/>
      <c r="CC49" s="4084" t="e">
        <f t="shared" si="126"/>
        <v>#DIV/0!</v>
      </c>
      <c r="CD49" s="4103"/>
      <c r="CE49" s="3341"/>
      <c r="CF49" s="3341"/>
      <c r="CG49" s="4102"/>
      <c r="CH49" s="4084" t="e">
        <f t="shared" si="128"/>
        <v>#DIV/0!</v>
      </c>
      <c r="CI49" s="4103"/>
      <c r="CJ49" s="3341"/>
      <c r="CK49" s="3341"/>
      <c r="CL49" s="4102"/>
      <c r="CM49" s="4074">
        <f t="shared" si="94"/>
        <v>0</v>
      </c>
      <c r="CN49" s="4102"/>
      <c r="CP49" s="4104"/>
      <c r="CQ49" s="4104"/>
      <c r="CR49" s="4188"/>
      <c r="CT49" s="2624"/>
    </row>
    <row r="50" spans="1:98" s="1396" customFormat="1" ht="13.8" outlineLevel="1">
      <c r="A50" s="1565"/>
      <c r="B50" s="1410" t="s">
        <v>59</v>
      </c>
      <c r="C50" s="2015">
        <f>C52+C51</f>
        <v>0</v>
      </c>
      <c r="D50" s="2015">
        <f>D52+D51</f>
        <v>0</v>
      </c>
      <c r="E50" s="2014">
        <f>SUM(E51:E52)</f>
        <v>0</v>
      </c>
      <c r="F50" s="4110" t="e">
        <f>E50/$E$89</f>
        <v>#DIV/0!</v>
      </c>
      <c r="G50" s="1057"/>
      <c r="H50" s="2015">
        <f>H52+H51</f>
        <v>0</v>
      </c>
      <c r="I50" s="2015">
        <f>I52+I51</f>
        <v>0</v>
      </c>
      <c r="J50" s="2014">
        <f>SUM(J51:J52)</f>
        <v>0</v>
      </c>
      <c r="K50" s="4110" t="e">
        <f>J50/$E$89</f>
        <v>#DIV/0!</v>
      </c>
      <c r="L50" s="1057"/>
      <c r="M50" s="2015">
        <f>M52+M51</f>
        <v>0</v>
      </c>
      <c r="N50" s="2015">
        <f>N52+N51</f>
        <v>0</v>
      </c>
      <c r="O50" s="2014">
        <f>SUM(O51:O52)</f>
        <v>0</v>
      </c>
      <c r="P50" s="4110" t="e">
        <f>O50/$E$89</f>
        <v>#DIV/0!</v>
      </c>
      <c r="Q50" s="1057"/>
      <c r="R50" s="2015">
        <f>R52+R51</f>
        <v>0</v>
      </c>
      <c r="S50" s="2015">
        <f>S52+S51</f>
        <v>0</v>
      </c>
      <c r="T50" s="2015">
        <f>SUM(T51:T52)</f>
        <v>0</v>
      </c>
      <c r="U50" s="1535"/>
      <c r="V50" s="3460"/>
      <c r="W50" s="2013">
        <f>W52+W51</f>
        <v>0</v>
      </c>
      <c r="X50" s="2013">
        <f>X52+X51</f>
        <v>0</v>
      </c>
      <c r="Y50" s="2013">
        <f>SUM(Y51:Y52)</f>
        <v>0</v>
      </c>
      <c r="Z50" s="1535"/>
      <c r="AA50" s="3460"/>
      <c r="AB50" s="2013">
        <f>AB52+AB51</f>
        <v>0</v>
      </c>
      <c r="AC50" s="2013">
        <f>AC52+AC51</f>
        <v>0</v>
      </c>
      <c r="AD50" s="2013">
        <f>SUM(AD51:AD52)</f>
        <v>0</v>
      </c>
      <c r="AE50" s="1535"/>
      <c r="AF50" s="3735"/>
      <c r="AG50" s="2013">
        <f>AG52+AG51</f>
        <v>0</v>
      </c>
      <c r="AH50" s="2015">
        <f>AH52+AH51</f>
        <v>0</v>
      </c>
      <c r="AI50" s="2015">
        <f>SUM(AI51:AI52)</f>
        <v>0</v>
      </c>
      <c r="AJ50" s="1535"/>
      <c r="AK50" s="1057"/>
      <c r="AL50" s="2015">
        <f>AL52+AL51</f>
        <v>0</v>
      </c>
      <c r="AM50" s="2015">
        <f>AM52+AM51</f>
        <v>0</v>
      </c>
      <c r="AN50" s="2015">
        <f>SUM(AN51:AN52)</f>
        <v>0</v>
      </c>
      <c r="AO50" s="1535"/>
      <c r="AP50" s="3723"/>
      <c r="AQ50" s="2015">
        <f>AQ52+AQ51</f>
        <v>0</v>
      </c>
      <c r="AR50" s="2015">
        <f>AR52+AR51</f>
        <v>0</v>
      </c>
      <c r="AS50" s="2015">
        <f>SUM(AS51:AS52)</f>
        <v>0</v>
      </c>
      <c r="AT50" s="1535"/>
      <c r="AU50" s="1057"/>
      <c r="AV50" s="2015">
        <f>AV52+AV51</f>
        <v>0</v>
      </c>
      <c r="AW50" s="2015">
        <f>AW52+AW51</f>
        <v>0</v>
      </c>
      <c r="AX50" s="2015">
        <f>SUM(AX51:AX52)</f>
        <v>0</v>
      </c>
      <c r="AY50" s="1535"/>
      <c r="AZ50" s="1057"/>
      <c r="BA50" s="2015">
        <f>BA52+BA51</f>
        <v>0</v>
      </c>
      <c r="BB50" s="2015">
        <f>BB52+BB51</f>
        <v>0</v>
      </c>
      <c r="BC50" s="2015">
        <f>SUM(BC51:BC52)</f>
        <v>0</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0</v>
      </c>
      <c r="CK50" s="2015">
        <f>CK52+CK51</f>
        <v>0</v>
      </c>
      <c r="CL50" s="2015">
        <f>SUM(CL51:CL52)</f>
        <v>0</v>
      </c>
      <c r="CM50" s="2006"/>
      <c r="CN50" s="2006"/>
      <c r="CP50" s="2015">
        <f>SUM(CP51:CP52)</f>
        <v>0</v>
      </c>
      <c r="CQ50" s="2015">
        <f>SUM(CQ51:CQ52)</f>
        <v>0</v>
      </c>
      <c r="CR50" s="2015"/>
      <c r="CT50" s="2624"/>
    </row>
    <row r="51" spans="1:98" s="1396" customFormat="1" ht="13.8" outlineLevel="1">
      <c r="A51" s="1566"/>
      <c r="B51" s="4111" t="s">
        <v>60</v>
      </c>
      <c r="C51" s="3341"/>
      <c r="D51" s="3341"/>
      <c r="E51" s="3349">
        <f t="shared" ref="E51:E52" si="132">C51+D51</f>
        <v>0</v>
      </c>
      <c r="F51" s="4074" t="e">
        <f t="shared" ref="F51:F71" si="133">E51/$E$89</f>
        <v>#DIV/0!</v>
      </c>
      <c r="G51" s="4099"/>
      <c r="H51" s="3341"/>
      <c r="I51" s="3341"/>
      <c r="J51" s="3349">
        <f>H51+I51</f>
        <v>0</v>
      </c>
      <c r="K51" s="4074" t="e">
        <f t="shared" ref="K51:K52" si="134">J51/J$89</f>
        <v>#DIV/0!</v>
      </c>
      <c r="L51" s="4099"/>
      <c r="M51" s="3341"/>
      <c r="N51" s="3341"/>
      <c r="O51" s="3349">
        <f t="shared" ref="O51:O52" si="135">M51+N51</f>
        <v>0</v>
      </c>
      <c r="P51" s="4074" t="e">
        <f t="shared" ref="P51:P53" si="136">O51/O$89</f>
        <v>#DIV/0!</v>
      </c>
      <c r="Q51" s="4099"/>
      <c r="R51" s="3342">
        <f t="shared" ref="R51:S52" si="137">M51+H51+C51</f>
        <v>0</v>
      </c>
      <c r="S51" s="3342">
        <f t="shared" si="137"/>
        <v>0</v>
      </c>
      <c r="T51" s="2012">
        <f t="shared" ref="T51:T52" si="138">R51+S51</f>
        <v>0</v>
      </c>
      <c r="U51" s="3455"/>
      <c r="V51" s="3455"/>
      <c r="W51" s="3342">
        <f t="shared" ref="W51:X52" si="139">AB51+AG51+AL51+AV51+BA51+BF51+BK51+BP51+BU51+BZ51+CE51+AQ51</f>
        <v>0</v>
      </c>
      <c r="X51" s="3342">
        <f t="shared" si="139"/>
        <v>0</v>
      </c>
      <c r="Y51" s="2012">
        <f t="shared" ref="Y51:Y52" si="140">W51+X51</f>
        <v>0</v>
      </c>
      <c r="Z51" s="3455"/>
      <c r="AA51" s="3455"/>
      <c r="AB51" s="3341"/>
      <c r="AC51" s="3341"/>
      <c r="AD51" s="3349">
        <f t="shared" ref="AD51:AD52" si="141">AB51+AC51</f>
        <v>0</v>
      </c>
      <c r="AE51" s="4074" t="e">
        <f t="shared" ref="AE51:AE53" si="142">AD51/AD$89</f>
        <v>#DIV/0!</v>
      </c>
      <c r="AF51" s="4099"/>
      <c r="AG51" s="3341"/>
      <c r="AH51" s="3341"/>
      <c r="AI51" s="3349">
        <f t="shared" ref="AI51:AI52" si="143">AG51+AH51</f>
        <v>0</v>
      </c>
      <c r="AJ51" s="4074">
        <f t="shared" ref="AJ51:AJ53" si="144">AI51/AI$89</f>
        <v>0</v>
      </c>
      <c r="AK51" s="4099"/>
      <c r="AL51" s="3341"/>
      <c r="AM51" s="3341"/>
      <c r="AN51" s="3349">
        <f t="shared" ref="AN51:AN52" si="145">AL51+AM51</f>
        <v>0</v>
      </c>
      <c r="AO51" s="4074">
        <f t="shared" ref="AO51:AO53" si="146">AN51/AN$89</f>
        <v>0</v>
      </c>
      <c r="AP51" s="4167"/>
      <c r="AQ51" s="3341"/>
      <c r="AR51" s="3341"/>
      <c r="AS51" s="3349">
        <f t="shared" ref="AS51:AS52" si="147">AQ51+AR51</f>
        <v>0</v>
      </c>
      <c r="AT51" s="4074" t="e">
        <f t="shared" ref="AT51:AT53" si="148">AS51/AS$89</f>
        <v>#DIV/0!</v>
      </c>
      <c r="AU51" s="4099"/>
      <c r="AV51" s="3341"/>
      <c r="AW51" s="3341"/>
      <c r="AX51" s="3349">
        <f t="shared" ref="AX51:AX52" si="149">AV51+AW51</f>
        <v>0</v>
      </c>
      <c r="AY51" s="4074" t="e">
        <f t="shared" ref="AY51:AY53" si="150">AX51/AX$89</f>
        <v>#DIV/0!</v>
      </c>
      <c r="AZ51" s="4099"/>
      <c r="BA51" s="3341"/>
      <c r="BB51" s="3341"/>
      <c r="BC51" s="3349">
        <f t="shared" ref="BC51:BC52" si="151">BA51+BB51</f>
        <v>0</v>
      </c>
      <c r="BD51" s="4074" t="e">
        <f t="shared" ref="BD51:BD53" si="152">BC51/BC$89</f>
        <v>#DIV/0!</v>
      </c>
      <c r="BE51" s="4099"/>
      <c r="BF51" s="3341"/>
      <c r="BG51" s="3341"/>
      <c r="BH51" s="3349">
        <f t="shared" ref="BH51:BH52" si="153">BF51+BG51</f>
        <v>0</v>
      </c>
      <c r="BI51" s="4074" t="e">
        <f t="shared" ref="BI51:BI53" si="154">BH51/BH$89</f>
        <v>#DIV/0!</v>
      </c>
      <c r="BJ51" s="4099"/>
      <c r="BK51" s="3341"/>
      <c r="BL51" s="3341"/>
      <c r="BM51" s="3349">
        <f t="shared" ref="BM51:BM52" si="155">BK51+BL51</f>
        <v>0</v>
      </c>
      <c r="BN51" s="4074" t="e">
        <f t="shared" ref="BN51:BN53" si="156">BM51/BM$89</f>
        <v>#DIV/0!</v>
      </c>
      <c r="BO51" s="4099"/>
      <c r="BP51" s="3341"/>
      <c r="BQ51" s="3341"/>
      <c r="BR51" s="3349">
        <f t="shared" ref="BR51:BR52" si="157">BP51+BQ51</f>
        <v>0</v>
      </c>
      <c r="BS51" s="4074" t="e">
        <f t="shared" ref="BS51:BS53" si="158">BR51/BR$89</f>
        <v>#DIV/0!</v>
      </c>
      <c r="BT51" s="4099"/>
      <c r="BU51" s="3341"/>
      <c r="BV51" s="3341"/>
      <c r="BW51" s="3349">
        <f t="shared" ref="BW51:BW52" si="159">BU51+BV51</f>
        <v>0</v>
      </c>
      <c r="BX51" s="4074" t="e">
        <f t="shared" ref="BX51:BX53" si="160">BW51/BW$89</f>
        <v>#DIV/0!</v>
      </c>
      <c r="BY51" s="4099"/>
      <c r="BZ51" s="3341"/>
      <c r="CA51" s="3341"/>
      <c r="CB51" s="3349">
        <f t="shared" ref="CB51:CB52" si="161">BZ51+CA51</f>
        <v>0</v>
      </c>
      <c r="CC51" s="4074" t="e">
        <f t="shared" ref="CC51:CC53" si="162">CB51/CB$89</f>
        <v>#DIV/0!</v>
      </c>
      <c r="CD51" s="4099"/>
      <c r="CE51" s="3341"/>
      <c r="CF51" s="3341"/>
      <c r="CG51" s="3349">
        <f t="shared" ref="CG51:CG52" si="163">CE51+CF51</f>
        <v>0</v>
      </c>
      <c r="CH51" s="4074" t="e">
        <f t="shared" ref="CH51:CH53" si="164">CG51/CG$89</f>
        <v>#DIV/0!</v>
      </c>
      <c r="CI51" s="4099"/>
      <c r="CJ51" s="3341">
        <f t="shared" ref="CJ51:CK53" si="165">C51+H51+M51+W51</f>
        <v>0</v>
      </c>
      <c r="CK51" s="3341">
        <f t="shared" si="165"/>
        <v>0</v>
      </c>
      <c r="CL51" s="2012">
        <f>CJ51+CK51*1</f>
        <v>0</v>
      </c>
      <c r="CM51" s="4074">
        <f>CL51/$CL$89</f>
        <v>0</v>
      </c>
      <c r="CN51" s="4100"/>
      <c r="CP51" s="2012">
        <f>CN51+CO51*1</f>
        <v>0</v>
      </c>
      <c r="CQ51" s="2012">
        <f>CO51+CP51*1</f>
        <v>0</v>
      </c>
      <c r="CR51" s="4188"/>
      <c r="CT51" s="2624"/>
    </row>
    <row r="52" spans="1:98" ht="13.8" outlineLevel="2">
      <c r="A52" s="1566"/>
      <c r="B52" s="4111" t="s">
        <v>61</v>
      </c>
      <c r="C52" s="3341"/>
      <c r="D52" s="3341"/>
      <c r="E52" s="3349">
        <f t="shared" si="132"/>
        <v>0</v>
      </c>
      <c r="F52" s="4074" t="e">
        <f t="shared" si="133"/>
        <v>#DIV/0!</v>
      </c>
      <c r="G52" s="4099"/>
      <c r="H52" s="3341"/>
      <c r="I52" s="3341"/>
      <c r="J52" s="3349">
        <f>H52+I52</f>
        <v>0</v>
      </c>
      <c r="K52" s="4074" t="e">
        <f t="shared" si="134"/>
        <v>#DIV/0!</v>
      </c>
      <c r="L52" s="4099"/>
      <c r="M52" s="3341"/>
      <c r="N52" s="3341"/>
      <c r="O52" s="3349">
        <f t="shared" si="135"/>
        <v>0</v>
      </c>
      <c r="P52" s="4074" t="e">
        <f t="shared" si="136"/>
        <v>#DIV/0!</v>
      </c>
      <c r="Q52" s="4099"/>
      <c r="R52" s="3342">
        <f t="shared" si="137"/>
        <v>0</v>
      </c>
      <c r="S52" s="3342">
        <f t="shared" si="137"/>
        <v>0</v>
      </c>
      <c r="T52" s="2012">
        <f t="shared" si="138"/>
        <v>0</v>
      </c>
      <c r="U52" s="3455"/>
      <c r="V52" s="3455"/>
      <c r="W52" s="3342">
        <f t="shared" si="139"/>
        <v>0</v>
      </c>
      <c r="X52" s="3342">
        <f t="shared" si="139"/>
        <v>0</v>
      </c>
      <c r="Y52" s="2012">
        <f t="shared" si="140"/>
        <v>0</v>
      </c>
      <c r="Z52" s="3455"/>
      <c r="AA52" s="3455"/>
      <c r="AB52" s="3341"/>
      <c r="AC52" s="3341"/>
      <c r="AD52" s="3349">
        <f t="shared" si="141"/>
        <v>0</v>
      </c>
      <c r="AE52" s="4074" t="e">
        <f t="shared" si="142"/>
        <v>#DIV/0!</v>
      </c>
      <c r="AF52" s="4099"/>
      <c r="AG52" s="3341"/>
      <c r="AH52" s="3341"/>
      <c r="AI52" s="3349">
        <f t="shared" si="143"/>
        <v>0</v>
      </c>
      <c r="AJ52" s="4074">
        <f t="shared" si="144"/>
        <v>0</v>
      </c>
      <c r="AK52" s="4099"/>
      <c r="AL52" s="3341"/>
      <c r="AM52" s="3341"/>
      <c r="AN52" s="3349">
        <f t="shared" si="145"/>
        <v>0</v>
      </c>
      <c r="AO52" s="4074">
        <f t="shared" si="146"/>
        <v>0</v>
      </c>
      <c r="AP52" s="4167"/>
      <c r="AQ52" s="3341"/>
      <c r="AR52" s="3341"/>
      <c r="AS52" s="3349">
        <f t="shared" si="147"/>
        <v>0</v>
      </c>
      <c r="AT52" s="4074" t="e">
        <f t="shared" si="148"/>
        <v>#DIV/0!</v>
      </c>
      <c r="AU52" s="4099"/>
      <c r="AV52" s="3341"/>
      <c r="AW52" s="3341"/>
      <c r="AX52" s="3349">
        <f t="shared" si="149"/>
        <v>0</v>
      </c>
      <c r="AY52" s="4074" t="e">
        <f t="shared" si="150"/>
        <v>#DIV/0!</v>
      </c>
      <c r="AZ52" s="4099"/>
      <c r="BA52" s="3341"/>
      <c r="BB52" s="3341"/>
      <c r="BC52" s="3349">
        <f t="shared" si="151"/>
        <v>0</v>
      </c>
      <c r="BD52" s="4074" t="e">
        <f t="shared" si="152"/>
        <v>#DIV/0!</v>
      </c>
      <c r="BE52" s="4099"/>
      <c r="BF52" s="3341"/>
      <c r="BG52" s="3341"/>
      <c r="BH52" s="3349">
        <f t="shared" si="153"/>
        <v>0</v>
      </c>
      <c r="BI52" s="4074" t="e">
        <f t="shared" si="154"/>
        <v>#DIV/0!</v>
      </c>
      <c r="BJ52" s="4099"/>
      <c r="BK52" s="3341"/>
      <c r="BL52" s="3341"/>
      <c r="BM52" s="3349">
        <f t="shared" si="155"/>
        <v>0</v>
      </c>
      <c r="BN52" s="4074" t="e">
        <f t="shared" si="156"/>
        <v>#DIV/0!</v>
      </c>
      <c r="BO52" s="4099"/>
      <c r="BP52" s="3341"/>
      <c r="BQ52" s="3341"/>
      <c r="BR52" s="3349">
        <f t="shared" si="157"/>
        <v>0</v>
      </c>
      <c r="BS52" s="4074" t="e">
        <f t="shared" si="158"/>
        <v>#DIV/0!</v>
      </c>
      <c r="BT52" s="4099"/>
      <c r="BU52" s="3341"/>
      <c r="BV52" s="3341"/>
      <c r="BW52" s="3349">
        <f t="shared" si="159"/>
        <v>0</v>
      </c>
      <c r="BX52" s="4074" t="e">
        <f t="shared" si="160"/>
        <v>#DIV/0!</v>
      </c>
      <c r="BY52" s="4099"/>
      <c r="BZ52" s="3341"/>
      <c r="CA52" s="3341"/>
      <c r="CB52" s="3349">
        <f t="shared" si="161"/>
        <v>0</v>
      </c>
      <c r="CC52" s="4074" t="e">
        <f t="shared" si="162"/>
        <v>#DIV/0!</v>
      </c>
      <c r="CD52" s="4099"/>
      <c r="CE52" s="3341"/>
      <c r="CF52" s="3341"/>
      <c r="CG52" s="3349">
        <f t="shared" si="163"/>
        <v>0</v>
      </c>
      <c r="CH52" s="4074" t="e">
        <f t="shared" si="164"/>
        <v>#DIV/0!</v>
      </c>
      <c r="CI52" s="4099"/>
      <c r="CJ52" s="3341">
        <f t="shared" si="165"/>
        <v>0</v>
      </c>
      <c r="CK52" s="3341">
        <f t="shared" si="165"/>
        <v>0</v>
      </c>
      <c r="CL52" s="2012">
        <f>CJ52+CK52*1</f>
        <v>0</v>
      </c>
      <c r="CM52" s="4074">
        <f>CL52/$CL$89</f>
        <v>0</v>
      </c>
      <c r="CN52" s="4100"/>
      <c r="CP52" s="2012">
        <f>CN52+CO52*1</f>
        <v>0</v>
      </c>
      <c r="CQ52" s="2012">
        <f>CO52+CP52*1</f>
        <v>0</v>
      </c>
      <c r="CR52" s="4188"/>
    </row>
    <row r="53" spans="1:98" ht="14.4" outlineLevel="1" thickBot="1">
      <c r="A53" s="1413"/>
      <c r="B53" s="4118"/>
      <c r="C53" s="3341"/>
      <c r="D53" s="3341"/>
      <c r="E53" s="4119"/>
      <c r="F53" s="4074" t="e">
        <f t="shared" si="133"/>
        <v>#DIV/0!</v>
      </c>
      <c r="G53" s="4120"/>
      <c r="H53" s="3341"/>
      <c r="I53" s="3341"/>
      <c r="J53" s="4119"/>
      <c r="K53" s="4074" t="e">
        <f t="shared" ref="K53:K54" si="166">J53/$E$89</f>
        <v>#DIV/0!</v>
      </c>
      <c r="L53" s="4120"/>
      <c r="M53" s="3341"/>
      <c r="N53" s="3341"/>
      <c r="O53" s="4119"/>
      <c r="P53" s="4074" t="e">
        <f t="shared" si="136"/>
        <v>#DIV/0!</v>
      </c>
      <c r="Q53" s="4120"/>
      <c r="R53" s="4121"/>
      <c r="S53" s="4120"/>
      <c r="T53" s="4120"/>
      <c r="U53" s="4120"/>
      <c r="V53" s="4120"/>
      <c r="W53" s="4120"/>
      <c r="X53" s="4120"/>
      <c r="Y53" s="4120"/>
      <c r="Z53" s="4120"/>
      <c r="AA53" s="4120"/>
      <c r="AB53" s="4082"/>
      <c r="AC53" s="4082"/>
      <c r="AD53" s="4119"/>
      <c r="AE53" s="4084" t="e">
        <f t="shared" si="142"/>
        <v>#DIV/0!</v>
      </c>
      <c r="AF53" s="4120"/>
      <c r="AG53" s="4082"/>
      <c r="AH53" s="4082"/>
      <c r="AI53" s="4119"/>
      <c r="AJ53" s="4084">
        <f t="shared" si="144"/>
        <v>0</v>
      </c>
      <c r="AK53" s="4120"/>
      <c r="AL53" s="4082"/>
      <c r="AM53" s="4082"/>
      <c r="AN53" s="4119"/>
      <c r="AO53" s="4084">
        <f t="shared" si="146"/>
        <v>0</v>
      </c>
      <c r="AP53" s="4171"/>
      <c r="AQ53" s="4082"/>
      <c r="AR53" s="4082"/>
      <c r="AS53" s="4119"/>
      <c r="AT53" s="4084" t="e">
        <f t="shared" si="148"/>
        <v>#DIV/0!</v>
      </c>
      <c r="AU53" s="4120"/>
      <c r="AV53" s="4082"/>
      <c r="AW53" s="4082"/>
      <c r="AX53" s="4119"/>
      <c r="AY53" s="4084" t="e">
        <f t="shared" si="150"/>
        <v>#DIV/0!</v>
      </c>
      <c r="AZ53" s="4120"/>
      <c r="BA53" s="4082"/>
      <c r="BB53" s="4082"/>
      <c r="BC53" s="4119"/>
      <c r="BD53" s="4084" t="e">
        <f t="shared" si="152"/>
        <v>#DIV/0!</v>
      </c>
      <c r="BE53" s="4120"/>
      <c r="BF53" s="4082"/>
      <c r="BG53" s="4082"/>
      <c r="BH53" s="4119"/>
      <c r="BI53" s="4084" t="e">
        <f t="shared" si="154"/>
        <v>#DIV/0!</v>
      </c>
      <c r="BJ53" s="4120"/>
      <c r="BK53" s="4082"/>
      <c r="BL53" s="4082"/>
      <c r="BM53" s="4119"/>
      <c r="BN53" s="4084" t="e">
        <f t="shared" si="156"/>
        <v>#DIV/0!</v>
      </c>
      <c r="BO53" s="4120"/>
      <c r="BP53" s="4082"/>
      <c r="BQ53" s="4082"/>
      <c r="BR53" s="4119"/>
      <c r="BS53" s="4084" t="e">
        <f t="shared" si="158"/>
        <v>#DIV/0!</v>
      </c>
      <c r="BT53" s="4120"/>
      <c r="BU53" s="4082"/>
      <c r="BV53" s="4082"/>
      <c r="BW53" s="4119"/>
      <c r="BX53" s="4084" t="e">
        <f t="shared" si="160"/>
        <v>#DIV/0!</v>
      </c>
      <c r="BY53" s="4120"/>
      <c r="BZ53" s="4082"/>
      <c r="CA53" s="4082"/>
      <c r="CB53" s="4119"/>
      <c r="CC53" s="4084" t="e">
        <f t="shared" si="162"/>
        <v>#DIV/0!</v>
      </c>
      <c r="CD53" s="4120"/>
      <c r="CE53" s="4082"/>
      <c r="CF53" s="4082"/>
      <c r="CG53" s="4119"/>
      <c r="CH53" s="4084" t="e">
        <f t="shared" si="164"/>
        <v>#DIV/0!</v>
      </c>
      <c r="CI53" s="4120"/>
      <c r="CJ53" s="4082">
        <f t="shared" si="165"/>
        <v>0</v>
      </c>
      <c r="CK53" s="4082">
        <f t="shared" si="165"/>
        <v>0</v>
      </c>
      <c r="CL53" s="4119"/>
      <c r="CM53" s="4119"/>
      <c r="CN53" s="4119"/>
      <c r="CP53" s="4122"/>
      <c r="CQ53" s="4122"/>
      <c r="CR53" s="4188"/>
    </row>
    <row r="54" spans="1:98" ht="13.8" outlineLevel="1">
      <c r="A54" s="1570"/>
      <c r="B54" s="1410" t="s">
        <v>1</v>
      </c>
      <c r="C54" s="2015">
        <f>SUM(C55:C72)</f>
        <v>0</v>
      </c>
      <c r="D54" s="2015">
        <f>SUM(D55:D72)</f>
        <v>0</v>
      </c>
      <c r="E54" s="2014">
        <f>SUM(E55:E72)</f>
        <v>0</v>
      </c>
      <c r="F54" s="4110" t="e">
        <f t="shared" si="133"/>
        <v>#DIV/0!</v>
      </c>
      <c r="G54" s="1057"/>
      <c r="H54" s="2015">
        <f>SUM(H55:H72)</f>
        <v>0</v>
      </c>
      <c r="I54" s="2015">
        <f>SUM(I55:I72)</f>
        <v>0</v>
      </c>
      <c r="J54" s="2014">
        <f>SUM(J55:J72)</f>
        <v>0</v>
      </c>
      <c r="K54" s="4110" t="e">
        <f t="shared" si="166"/>
        <v>#DIV/0!</v>
      </c>
      <c r="L54" s="1057"/>
      <c r="M54" s="2015">
        <f>SUM(M55:M72)</f>
        <v>0</v>
      </c>
      <c r="N54" s="2015">
        <f>SUM(N55:N72)</f>
        <v>0</v>
      </c>
      <c r="O54" s="2014">
        <f>SUM(O55:O72)</f>
        <v>0</v>
      </c>
      <c r="P54" s="4110" t="e">
        <f t="shared" ref="P54" si="167">O54/$E$89</f>
        <v>#DIV/0!</v>
      </c>
      <c r="Q54" s="1057"/>
      <c r="R54" s="2013">
        <f>SUM(R55:R72)</f>
        <v>0</v>
      </c>
      <c r="S54" s="2013">
        <f>SUM(S55:S72)</f>
        <v>0</v>
      </c>
      <c r="T54" s="2013">
        <f>SUM(T55:T72)</f>
        <v>0</v>
      </c>
      <c r="U54" s="1535"/>
      <c r="V54" s="3460"/>
      <c r="W54" s="2013">
        <f>SUM(W55:W72)</f>
        <v>0</v>
      </c>
      <c r="X54" s="2013">
        <f>SUM(X55:X72)</f>
        <v>0</v>
      </c>
      <c r="Y54" s="2013">
        <f>SUM(Y55:Y72)</f>
        <v>0</v>
      </c>
      <c r="Z54" s="1535"/>
      <c r="AA54" s="3460"/>
      <c r="AB54" s="2013">
        <f>SUM(AB55:AB72)</f>
        <v>0</v>
      </c>
      <c r="AC54" s="2013">
        <f>SUM(AC55:AC72)</f>
        <v>0</v>
      </c>
      <c r="AD54" s="2013">
        <f>SUM(AD55:AD72)</f>
        <v>0</v>
      </c>
      <c r="AE54" s="1535"/>
      <c r="AF54" s="3735"/>
      <c r="AG54" s="2013">
        <f>SUM(AG55:AG72)</f>
        <v>0</v>
      </c>
      <c r="AH54" s="2013">
        <f>SUM(AH55:AH72)</f>
        <v>0</v>
      </c>
      <c r="AI54" s="2013">
        <f>SUM(AI55:AI72)</f>
        <v>0</v>
      </c>
      <c r="AJ54" s="1535"/>
      <c r="AK54" s="3735"/>
      <c r="AL54" s="2013">
        <f>SUM(AL55:AL72)</f>
        <v>0</v>
      </c>
      <c r="AM54" s="2013">
        <f>SUM(AM55:AM72)</f>
        <v>0</v>
      </c>
      <c r="AN54" s="2013">
        <f>SUM(AN55:AN72)</f>
        <v>0</v>
      </c>
      <c r="AO54" s="1535"/>
      <c r="AP54" s="3782"/>
      <c r="AQ54" s="2013">
        <f>SUM(AQ55:AQ72)</f>
        <v>0</v>
      </c>
      <c r="AR54" s="2013">
        <f>SUM(AR55:AR72)</f>
        <v>0</v>
      </c>
      <c r="AS54" s="2013">
        <f>SUM(AS55:AS72)</f>
        <v>0</v>
      </c>
      <c r="AT54" s="1535"/>
      <c r="AU54" s="3735"/>
      <c r="AV54" s="2013">
        <f>SUM(AV55:AV72)</f>
        <v>0</v>
      </c>
      <c r="AW54" s="2013">
        <f>SUM(AW55:AW72)</f>
        <v>0</v>
      </c>
      <c r="AX54" s="2013">
        <f>SUM(AX55:AX72)</f>
        <v>0</v>
      </c>
      <c r="AY54" s="1535"/>
      <c r="AZ54" s="3735"/>
      <c r="BA54" s="2013">
        <f>SUM(BA55:BA72)</f>
        <v>0</v>
      </c>
      <c r="BB54" s="2013">
        <f>SUM(BB55:BB72)</f>
        <v>0</v>
      </c>
      <c r="BC54" s="2013">
        <f>SUM(BC55:BC72)</f>
        <v>0</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0</v>
      </c>
      <c r="CK54" s="2013">
        <f>SUM(CK55:CK72)</f>
        <v>0</v>
      </c>
      <c r="CL54" s="2013">
        <f>SUM(CL55:CL72)</f>
        <v>0</v>
      </c>
      <c r="CM54" s="1535">
        <f t="shared" ref="CM54:CM71" si="168">CL54/$CL$89</f>
        <v>0</v>
      </c>
      <c r="CN54" s="1061"/>
      <c r="CP54" s="2015">
        <f>SUM(CP55:CP72)</f>
        <v>0</v>
      </c>
      <c r="CQ54" s="2015">
        <f>SUM(CQ55:CQ72)</f>
        <v>0</v>
      </c>
      <c r="CR54" s="2015"/>
    </row>
    <row r="55" spans="1:98" ht="13.8" outlineLevel="2">
      <c r="A55" s="1571"/>
      <c r="B55" s="4098" t="s">
        <v>77</v>
      </c>
      <c r="C55" s="3349"/>
      <c r="D55" s="3349"/>
      <c r="E55" s="3349">
        <f t="shared" ref="E55:E71" si="169">C55+D55</f>
        <v>0</v>
      </c>
      <c r="F55" s="4074" t="e">
        <f t="shared" si="133"/>
        <v>#DIV/0!</v>
      </c>
      <c r="G55" s="4112"/>
      <c r="H55" s="3349"/>
      <c r="I55" s="3349"/>
      <c r="J55" s="3349">
        <f t="shared" ref="J55:J71" si="170">H55+I55</f>
        <v>0</v>
      </c>
      <c r="K55" s="4074" t="e">
        <f t="shared" ref="K55:K72" si="171">J55/J$89</f>
        <v>#DIV/0!</v>
      </c>
      <c r="L55" s="4112"/>
      <c r="M55" s="3349"/>
      <c r="N55" s="3349"/>
      <c r="O55" s="3349">
        <f t="shared" ref="O55:O71" si="172">M55+N55</f>
        <v>0</v>
      </c>
      <c r="P55" s="4074" t="e">
        <f t="shared" ref="P55:P72" si="173">O55/O$89</f>
        <v>#DIV/0!</v>
      </c>
      <c r="Q55" s="4112"/>
      <c r="R55" s="3342">
        <f t="shared" ref="R55:S71" si="174">M55+H55+C55</f>
        <v>0</v>
      </c>
      <c r="S55" s="3342">
        <f t="shared" si="174"/>
        <v>0</v>
      </c>
      <c r="T55" s="2012">
        <f t="shared" ref="T55:T71" si="175">R55+S55</f>
        <v>0</v>
      </c>
      <c r="U55" s="3462"/>
      <c r="V55" s="3462"/>
      <c r="W55" s="3342">
        <f t="shared" ref="W55:X71" si="176">AB55+AG55+AL55+AV55+BA55+BF55+BK55+BP55+BU55+BZ55+CE55+AQ55</f>
        <v>0</v>
      </c>
      <c r="X55" s="3342">
        <f t="shared" si="176"/>
        <v>0</v>
      </c>
      <c r="Y55" s="2012">
        <f t="shared" ref="Y55:Y71" si="177">W55+X55</f>
        <v>0</v>
      </c>
      <c r="Z55" s="3462"/>
      <c r="AA55" s="3462"/>
      <c r="AB55" s="3349"/>
      <c r="AC55" s="3349"/>
      <c r="AD55" s="3349">
        <f t="shared" ref="AD55:AD71" si="178">AB55+AC55</f>
        <v>0</v>
      </c>
      <c r="AE55" s="4074" t="e">
        <f t="shared" ref="AE55:AE71" si="179">AD55/AD$89</f>
        <v>#DIV/0!</v>
      </c>
      <c r="AF55" s="4112"/>
      <c r="AG55" s="3349"/>
      <c r="AH55" s="3349"/>
      <c r="AI55" s="3349">
        <f t="shared" ref="AI55:AI71" si="180">AG55+AH55</f>
        <v>0</v>
      </c>
      <c r="AJ55" s="4074">
        <f t="shared" ref="AJ55:AJ71" si="181">AI55/AI$89</f>
        <v>0</v>
      </c>
      <c r="AK55" s="4112"/>
      <c r="AL55" s="3349"/>
      <c r="AM55" s="3349"/>
      <c r="AN55" s="3349">
        <f t="shared" ref="AN55:AN71" si="182">AL55+AM55</f>
        <v>0</v>
      </c>
      <c r="AO55" s="4074">
        <f t="shared" ref="AO55:AO71" si="183">AN55/AN$89</f>
        <v>0</v>
      </c>
      <c r="AP55" s="4170"/>
      <c r="AQ55" s="3349"/>
      <c r="AR55" s="3349"/>
      <c r="AS55" s="3349">
        <f t="shared" ref="AS55:AS71" si="184">AQ55+AR55</f>
        <v>0</v>
      </c>
      <c r="AT55" s="4074" t="e">
        <f t="shared" ref="AT55:AT71" si="185">AS55/AS$89</f>
        <v>#DIV/0!</v>
      </c>
      <c r="AU55" s="4112"/>
      <c r="AV55" s="3349"/>
      <c r="AW55" s="3349"/>
      <c r="AX55" s="3349">
        <f t="shared" ref="AX55:AX71" si="186">AV55+AW55</f>
        <v>0</v>
      </c>
      <c r="AY55" s="4074" t="e">
        <f t="shared" ref="AY55:AY71" si="187">AX55/AX$89</f>
        <v>#DIV/0!</v>
      </c>
      <c r="AZ55" s="4112"/>
      <c r="BA55" s="3349"/>
      <c r="BB55" s="3349"/>
      <c r="BC55" s="3349">
        <f t="shared" ref="BC55:BC71" si="188">BA55+BB55</f>
        <v>0</v>
      </c>
      <c r="BD55" s="4074" t="e">
        <f t="shared" ref="BD55:BD71" si="189">BC55/BC$89</f>
        <v>#DIV/0!</v>
      </c>
      <c r="BE55" s="4112"/>
      <c r="BF55" s="3349"/>
      <c r="BG55" s="3349"/>
      <c r="BH55" s="3349">
        <f t="shared" ref="BH55:BH71" si="190">BF55+BG55</f>
        <v>0</v>
      </c>
      <c r="BI55" s="4074" t="e">
        <f t="shared" ref="BI55:BI71" si="191">BH55/BH$89</f>
        <v>#DIV/0!</v>
      </c>
      <c r="BJ55" s="4112"/>
      <c r="BK55" s="3349"/>
      <c r="BL55" s="3349"/>
      <c r="BM55" s="3349">
        <f t="shared" ref="BM55:BM71" si="192">BK55+BL55</f>
        <v>0</v>
      </c>
      <c r="BN55" s="4074" t="e">
        <f t="shared" ref="BN55:BN71" si="193">BM55/BM$89</f>
        <v>#DIV/0!</v>
      </c>
      <c r="BO55" s="4112"/>
      <c r="BP55" s="3349"/>
      <c r="BQ55" s="3349"/>
      <c r="BR55" s="3349">
        <f t="shared" ref="BR55:BR71" si="194">BP55+BQ55</f>
        <v>0</v>
      </c>
      <c r="BS55" s="4074" t="e">
        <f t="shared" ref="BS55:BS71" si="195">BR55/BR$89</f>
        <v>#DIV/0!</v>
      </c>
      <c r="BT55" s="4112"/>
      <c r="BU55" s="3349"/>
      <c r="BV55" s="3349"/>
      <c r="BW55" s="3349">
        <f t="shared" ref="BW55:BW71" si="196">BU55+BV55</f>
        <v>0</v>
      </c>
      <c r="BX55" s="4074" t="e">
        <f t="shared" ref="BX55:BX71" si="197">BW55/BW$89</f>
        <v>#DIV/0!</v>
      </c>
      <c r="BY55" s="4112"/>
      <c r="BZ55" s="3349"/>
      <c r="CA55" s="3349"/>
      <c r="CB55" s="3349">
        <f t="shared" ref="CB55:CB71" si="198">BZ55+CA55</f>
        <v>0</v>
      </c>
      <c r="CC55" s="4074" t="e">
        <f t="shared" ref="CC55:CC71" si="199">CB55/CB$89</f>
        <v>#DIV/0!</v>
      </c>
      <c r="CD55" s="4112"/>
      <c r="CE55" s="3349"/>
      <c r="CF55" s="3349"/>
      <c r="CG55" s="3349">
        <f t="shared" ref="CG55:CG71" si="200">CE55+CF55</f>
        <v>0</v>
      </c>
      <c r="CH55" s="4074" t="e">
        <f t="shared" ref="CH55:CH71" si="201">CG55/CG$89</f>
        <v>#DIV/0!</v>
      </c>
      <c r="CI55" s="4112"/>
      <c r="CJ55" s="3341">
        <f t="shared" ref="CJ55:CK71" si="202">C55+H55+M55+W55</f>
        <v>0</v>
      </c>
      <c r="CK55" s="3341">
        <f t="shared" si="202"/>
        <v>0</v>
      </c>
      <c r="CL55" s="2012">
        <f t="shared" ref="CL55:CL71" si="203">CJ55+CK55*1</f>
        <v>0</v>
      </c>
      <c r="CM55" s="4074">
        <f t="shared" si="168"/>
        <v>0</v>
      </c>
      <c r="CN55" s="4076"/>
      <c r="CP55" s="2012">
        <f t="shared" ref="CP55:CQ71" si="204">CN55+CO55*1</f>
        <v>0</v>
      </c>
      <c r="CQ55" s="2012">
        <f t="shared" si="204"/>
        <v>0</v>
      </c>
      <c r="CR55" s="4188"/>
    </row>
    <row r="56" spans="1:98" ht="13.8" outlineLevel="2">
      <c r="A56" s="1571"/>
      <c r="B56" s="4098" t="s">
        <v>76</v>
      </c>
      <c r="C56" s="3349"/>
      <c r="D56" s="3349"/>
      <c r="E56" s="3349">
        <f t="shared" si="169"/>
        <v>0</v>
      </c>
      <c r="F56" s="4074" t="e">
        <f t="shared" si="133"/>
        <v>#DIV/0!</v>
      </c>
      <c r="G56" s="4112"/>
      <c r="H56" s="3349"/>
      <c r="I56" s="3349"/>
      <c r="J56" s="3349">
        <f t="shared" si="170"/>
        <v>0</v>
      </c>
      <c r="K56" s="4074" t="e">
        <f t="shared" si="171"/>
        <v>#DIV/0!</v>
      </c>
      <c r="L56" s="4112"/>
      <c r="M56" s="3349"/>
      <c r="N56" s="3349"/>
      <c r="O56" s="3349">
        <f t="shared" si="172"/>
        <v>0</v>
      </c>
      <c r="P56" s="4074" t="e">
        <f t="shared" si="173"/>
        <v>#DIV/0!</v>
      </c>
      <c r="Q56" s="4112"/>
      <c r="R56" s="3342">
        <f t="shared" si="174"/>
        <v>0</v>
      </c>
      <c r="S56" s="3342">
        <f t="shared" si="174"/>
        <v>0</v>
      </c>
      <c r="T56" s="2012">
        <f t="shared" si="175"/>
        <v>0</v>
      </c>
      <c r="U56" s="3462"/>
      <c r="V56" s="3462"/>
      <c r="W56" s="3342">
        <f t="shared" si="176"/>
        <v>0</v>
      </c>
      <c r="X56" s="3342">
        <f t="shared" si="176"/>
        <v>0</v>
      </c>
      <c r="Y56" s="2012">
        <f t="shared" si="177"/>
        <v>0</v>
      </c>
      <c r="Z56" s="3462"/>
      <c r="AA56" s="3462"/>
      <c r="AB56" s="3349"/>
      <c r="AC56" s="3349"/>
      <c r="AD56" s="3349">
        <f t="shared" si="178"/>
        <v>0</v>
      </c>
      <c r="AE56" s="4074" t="e">
        <f t="shared" si="179"/>
        <v>#DIV/0!</v>
      </c>
      <c r="AF56" s="4112"/>
      <c r="AG56" s="3349"/>
      <c r="AH56" s="3349"/>
      <c r="AI56" s="3349">
        <f t="shared" si="180"/>
        <v>0</v>
      </c>
      <c r="AJ56" s="4074">
        <f t="shared" si="181"/>
        <v>0</v>
      </c>
      <c r="AK56" s="4112"/>
      <c r="AL56" s="3349"/>
      <c r="AM56" s="3349"/>
      <c r="AN56" s="3349">
        <f t="shared" si="182"/>
        <v>0</v>
      </c>
      <c r="AO56" s="4074">
        <f t="shared" si="183"/>
        <v>0</v>
      </c>
      <c r="AP56" s="4170"/>
      <c r="AQ56" s="3349"/>
      <c r="AR56" s="3349"/>
      <c r="AS56" s="3349">
        <f t="shared" si="184"/>
        <v>0</v>
      </c>
      <c r="AT56" s="4074" t="e">
        <f t="shared" si="185"/>
        <v>#DIV/0!</v>
      </c>
      <c r="AU56" s="4112"/>
      <c r="AV56" s="3349"/>
      <c r="AW56" s="3349"/>
      <c r="AX56" s="3349">
        <f t="shared" si="186"/>
        <v>0</v>
      </c>
      <c r="AY56" s="4074" t="e">
        <f t="shared" si="187"/>
        <v>#DIV/0!</v>
      </c>
      <c r="AZ56" s="4112"/>
      <c r="BA56" s="3349"/>
      <c r="BB56" s="3349"/>
      <c r="BC56" s="3349">
        <f t="shared" si="188"/>
        <v>0</v>
      </c>
      <c r="BD56" s="4074" t="e">
        <f t="shared" si="189"/>
        <v>#DIV/0!</v>
      </c>
      <c r="BE56" s="4112"/>
      <c r="BF56" s="3349"/>
      <c r="BG56" s="3349"/>
      <c r="BH56" s="3349">
        <f t="shared" si="190"/>
        <v>0</v>
      </c>
      <c r="BI56" s="4074" t="e">
        <f t="shared" si="191"/>
        <v>#DIV/0!</v>
      </c>
      <c r="BJ56" s="4112"/>
      <c r="BK56" s="3349"/>
      <c r="BL56" s="3349"/>
      <c r="BM56" s="3349">
        <f t="shared" si="192"/>
        <v>0</v>
      </c>
      <c r="BN56" s="4074" t="e">
        <f t="shared" si="193"/>
        <v>#DIV/0!</v>
      </c>
      <c r="BO56" s="4112"/>
      <c r="BP56" s="3349"/>
      <c r="BQ56" s="3349"/>
      <c r="BR56" s="3349">
        <f t="shared" si="194"/>
        <v>0</v>
      </c>
      <c r="BS56" s="4074" t="e">
        <f t="shared" si="195"/>
        <v>#DIV/0!</v>
      </c>
      <c r="BT56" s="4112"/>
      <c r="BU56" s="3349"/>
      <c r="BV56" s="3349"/>
      <c r="BW56" s="3349">
        <f t="shared" si="196"/>
        <v>0</v>
      </c>
      <c r="BX56" s="4074" t="e">
        <f t="shared" si="197"/>
        <v>#DIV/0!</v>
      </c>
      <c r="BY56" s="4112"/>
      <c r="BZ56" s="3349"/>
      <c r="CA56" s="3349"/>
      <c r="CB56" s="3349">
        <f t="shared" si="198"/>
        <v>0</v>
      </c>
      <c r="CC56" s="4074" t="e">
        <f t="shared" si="199"/>
        <v>#DIV/0!</v>
      </c>
      <c r="CD56" s="4112"/>
      <c r="CE56" s="3349"/>
      <c r="CF56" s="3349"/>
      <c r="CG56" s="3349">
        <f t="shared" si="200"/>
        <v>0</v>
      </c>
      <c r="CH56" s="4074" t="e">
        <f t="shared" si="201"/>
        <v>#DIV/0!</v>
      </c>
      <c r="CI56" s="4112"/>
      <c r="CJ56" s="3341">
        <f t="shared" si="202"/>
        <v>0</v>
      </c>
      <c r="CK56" s="3341">
        <f t="shared" si="202"/>
        <v>0</v>
      </c>
      <c r="CL56" s="2012">
        <f t="shared" si="203"/>
        <v>0</v>
      </c>
      <c r="CM56" s="4074">
        <f t="shared" si="168"/>
        <v>0</v>
      </c>
      <c r="CN56" s="4076"/>
      <c r="CP56" s="2012">
        <f t="shared" si="204"/>
        <v>0</v>
      </c>
      <c r="CQ56" s="2012">
        <f t="shared" si="204"/>
        <v>0</v>
      </c>
      <c r="CR56" s="4188"/>
    </row>
    <row r="57" spans="1:98" ht="13.8" outlineLevel="2">
      <c r="A57" s="1571"/>
      <c r="B57" s="4098" t="s">
        <v>68</v>
      </c>
      <c r="C57" s="3349"/>
      <c r="D57" s="3349"/>
      <c r="E57" s="3349">
        <f t="shared" si="169"/>
        <v>0</v>
      </c>
      <c r="F57" s="4074" t="e">
        <f t="shared" si="133"/>
        <v>#DIV/0!</v>
      </c>
      <c r="G57" s="4112"/>
      <c r="H57" s="3349"/>
      <c r="I57" s="3349"/>
      <c r="J57" s="3349">
        <f t="shared" si="170"/>
        <v>0</v>
      </c>
      <c r="K57" s="4074" t="e">
        <f t="shared" si="171"/>
        <v>#DIV/0!</v>
      </c>
      <c r="L57" s="4112"/>
      <c r="M57" s="3349"/>
      <c r="N57" s="3349"/>
      <c r="O57" s="3349">
        <f t="shared" si="172"/>
        <v>0</v>
      </c>
      <c r="P57" s="4074" t="e">
        <f t="shared" si="173"/>
        <v>#DIV/0!</v>
      </c>
      <c r="Q57" s="4112"/>
      <c r="R57" s="3342">
        <f t="shared" si="174"/>
        <v>0</v>
      </c>
      <c r="S57" s="3342">
        <f t="shared" si="174"/>
        <v>0</v>
      </c>
      <c r="T57" s="2012">
        <f t="shared" si="175"/>
        <v>0</v>
      </c>
      <c r="U57" s="3462"/>
      <c r="V57" s="3462"/>
      <c r="W57" s="3342">
        <f t="shared" si="176"/>
        <v>0</v>
      </c>
      <c r="X57" s="3342">
        <f t="shared" si="176"/>
        <v>0</v>
      </c>
      <c r="Y57" s="2012">
        <f t="shared" si="177"/>
        <v>0</v>
      </c>
      <c r="Z57" s="3462"/>
      <c r="AA57" s="3462"/>
      <c r="AB57" s="3349"/>
      <c r="AC57" s="3349"/>
      <c r="AD57" s="3349">
        <f t="shared" si="178"/>
        <v>0</v>
      </c>
      <c r="AE57" s="4074" t="e">
        <f t="shared" si="179"/>
        <v>#DIV/0!</v>
      </c>
      <c r="AF57" s="4112"/>
      <c r="AG57" s="3349"/>
      <c r="AH57" s="3349"/>
      <c r="AI57" s="3349">
        <f t="shared" si="180"/>
        <v>0</v>
      </c>
      <c r="AJ57" s="4074">
        <f t="shared" si="181"/>
        <v>0</v>
      </c>
      <c r="AK57" s="4112"/>
      <c r="AL57" s="3349"/>
      <c r="AM57" s="3349"/>
      <c r="AN57" s="3349">
        <f t="shared" si="182"/>
        <v>0</v>
      </c>
      <c r="AO57" s="4074">
        <f t="shared" si="183"/>
        <v>0</v>
      </c>
      <c r="AP57" s="4170"/>
      <c r="AQ57" s="3349"/>
      <c r="AR57" s="3349"/>
      <c r="AS57" s="3349">
        <f t="shared" si="184"/>
        <v>0</v>
      </c>
      <c r="AT57" s="4074" t="e">
        <f t="shared" si="185"/>
        <v>#DIV/0!</v>
      </c>
      <c r="AU57" s="4112"/>
      <c r="AV57" s="3349"/>
      <c r="AW57" s="3349"/>
      <c r="AX57" s="3349">
        <f t="shared" si="186"/>
        <v>0</v>
      </c>
      <c r="AY57" s="4074" t="e">
        <f t="shared" si="187"/>
        <v>#DIV/0!</v>
      </c>
      <c r="AZ57" s="4112"/>
      <c r="BA57" s="3349"/>
      <c r="BB57" s="3349"/>
      <c r="BC57" s="3349">
        <f t="shared" si="188"/>
        <v>0</v>
      </c>
      <c r="BD57" s="4074" t="e">
        <f t="shared" si="189"/>
        <v>#DIV/0!</v>
      </c>
      <c r="BE57" s="4112"/>
      <c r="BF57" s="3349"/>
      <c r="BG57" s="3349"/>
      <c r="BH57" s="3349">
        <f t="shared" si="190"/>
        <v>0</v>
      </c>
      <c r="BI57" s="4074" t="e">
        <f t="shared" si="191"/>
        <v>#DIV/0!</v>
      </c>
      <c r="BJ57" s="4112"/>
      <c r="BK57" s="3349"/>
      <c r="BL57" s="3349"/>
      <c r="BM57" s="3349">
        <f t="shared" si="192"/>
        <v>0</v>
      </c>
      <c r="BN57" s="4074" t="e">
        <f t="shared" si="193"/>
        <v>#DIV/0!</v>
      </c>
      <c r="BO57" s="4112"/>
      <c r="BP57" s="3349"/>
      <c r="BQ57" s="3349"/>
      <c r="BR57" s="3349">
        <f t="shared" si="194"/>
        <v>0</v>
      </c>
      <c r="BS57" s="4074" t="e">
        <f t="shared" si="195"/>
        <v>#DIV/0!</v>
      </c>
      <c r="BT57" s="4112"/>
      <c r="BU57" s="3349"/>
      <c r="BV57" s="3349"/>
      <c r="BW57" s="3349">
        <f t="shared" si="196"/>
        <v>0</v>
      </c>
      <c r="BX57" s="4074" t="e">
        <f t="shared" si="197"/>
        <v>#DIV/0!</v>
      </c>
      <c r="BY57" s="4112"/>
      <c r="BZ57" s="3349"/>
      <c r="CA57" s="3349"/>
      <c r="CB57" s="3349">
        <f t="shared" si="198"/>
        <v>0</v>
      </c>
      <c r="CC57" s="4074" t="e">
        <f t="shared" si="199"/>
        <v>#DIV/0!</v>
      </c>
      <c r="CD57" s="4112"/>
      <c r="CE57" s="3349"/>
      <c r="CF57" s="3349"/>
      <c r="CG57" s="3349">
        <f t="shared" si="200"/>
        <v>0</v>
      </c>
      <c r="CH57" s="4074" t="e">
        <f t="shared" si="201"/>
        <v>#DIV/0!</v>
      </c>
      <c r="CI57" s="4112"/>
      <c r="CJ57" s="3341">
        <f t="shared" si="202"/>
        <v>0</v>
      </c>
      <c r="CK57" s="3341">
        <f t="shared" si="202"/>
        <v>0</v>
      </c>
      <c r="CL57" s="2012">
        <f t="shared" si="203"/>
        <v>0</v>
      </c>
      <c r="CM57" s="4074">
        <f t="shared" si="168"/>
        <v>0</v>
      </c>
      <c r="CN57" s="4076"/>
      <c r="CP57" s="2012">
        <f t="shared" si="204"/>
        <v>0</v>
      </c>
      <c r="CQ57" s="2012">
        <f t="shared" si="204"/>
        <v>0</v>
      </c>
      <c r="CR57" s="4188"/>
    </row>
    <row r="58" spans="1:98" ht="13.8" outlineLevel="2">
      <c r="A58" s="1571"/>
      <c r="B58" s="4098" t="s">
        <v>67</v>
      </c>
      <c r="C58" s="3349"/>
      <c r="D58" s="3349"/>
      <c r="E58" s="3349">
        <f t="shared" si="169"/>
        <v>0</v>
      </c>
      <c r="F58" s="4074" t="e">
        <f t="shared" si="133"/>
        <v>#DIV/0!</v>
      </c>
      <c r="G58" s="4112"/>
      <c r="H58" s="3349"/>
      <c r="I58" s="3349"/>
      <c r="J58" s="3349">
        <f t="shared" si="170"/>
        <v>0</v>
      </c>
      <c r="K58" s="4074" t="e">
        <f t="shared" si="171"/>
        <v>#DIV/0!</v>
      </c>
      <c r="L58" s="4112"/>
      <c r="M58" s="3349"/>
      <c r="N58" s="3349"/>
      <c r="O58" s="3349">
        <f t="shared" si="172"/>
        <v>0</v>
      </c>
      <c r="P58" s="4074" t="e">
        <f t="shared" si="173"/>
        <v>#DIV/0!</v>
      </c>
      <c r="Q58" s="4112"/>
      <c r="R58" s="3342">
        <f t="shared" si="174"/>
        <v>0</v>
      </c>
      <c r="S58" s="3342">
        <f t="shared" si="174"/>
        <v>0</v>
      </c>
      <c r="T58" s="2012">
        <f t="shared" si="175"/>
        <v>0</v>
      </c>
      <c r="U58" s="3462"/>
      <c r="V58" s="3462"/>
      <c r="W58" s="3342">
        <f t="shared" si="176"/>
        <v>0</v>
      </c>
      <c r="X58" s="3342">
        <f t="shared" si="176"/>
        <v>0</v>
      </c>
      <c r="Y58" s="2012">
        <f t="shared" si="177"/>
        <v>0</v>
      </c>
      <c r="Z58" s="3462"/>
      <c r="AA58" s="3462"/>
      <c r="AB58" s="3349"/>
      <c r="AC58" s="3349"/>
      <c r="AD58" s="3349">
        <f t="shared" si="178"/>
        <v>0</v>
      </c>
      <c r="AE58" s="4074" t="e">
        <f t="shared" si="179"/>
        <v>#DIV/0!</v>
      </c>
      <c r="AF58" s="4112"/>
      <c r="AG58" s="3349"/>
      <c r="AH58" s="3349"/>
      <c r="AI58" s="3349">
        <f t="shared" si="180"/>
        <v>0</v>
      </c>
      <c r="AJ58" s="4074">
        <f t="shared" si="181"/>
        <v>0</v>
      </c>
      <c r="AK58" s="4112"/>
      <c r="AL58" s="3349"/>
      <c r="AM58" s="3349"/>
      <c r="AN58" s="3349">
        <f t="shared" si="182"/>
        <v>0</v>
      </c>
      <c r="AO58" s="4074">
        <f t="shared" si="183"/>
        <v>0</v>
      </c>
      <c r="AP58" s="4170"/>
      <c r="AQ58" s="3349"/>
      <c r="AR58" s="3349"/>
      <c r="AS58" s="3349">
        <f t="shared" si="184"/>
        <v>0</v>
      </c>
      <c r="AT58" s="4074" t="e">
        <f t="shared" si="185"/>
        <v>#DIV/0!</v>
      </c>
      <c r="AU58" s="4112"/>
      <c r="AV58" s="3349"/>
      <c r="AW58" s="3349"/>
      <c r="AX58" s="3349">
        <f t="shared" si="186"/>
        <v>0</v>
      </c>
      <c r="AY58" s="4074" t="e">
        <f t="shared" si="187"/>
        <v>#DIV/0!</v>
      </c>
      <c r="AZ58" s="4112"/>
      <c r="BA58" s="3349"/>
      <c r="BB58" s="3349"/>
      <c r="BC58" s="3349">
        <f t="shared" si="188"/>
        <v>0</v>
      </c>
      <c r="BD58" s="4074" t="e">
        <f t="shared" si="189"/>
        <v>#DIV/0!</v>
      </c>
      <c r="BE58" s="4112"/>
      <c r="BF58" s="3349"/>
      <c r="BG58" s="3349"/>
      <c r="BH58" s="3349">
        <f t="shared" si="190"/>
        <v>0</v>
      </c>
      <c r="BI58" s="4074" t="e">
        <f t="shared" si="191"/>
        <v>#DIV/0!</v>
      </c>
      <c r="BJ58" s="4112"/>
      <c r="BK58" s="3349"/>
      <c r="BL58" s="3349"/>
      <c r="BM58" s="3349">
        <f t="shared" si="192"/>
        <v>0</v>
      </c>
      <c r="BN58" s="4074" t="e">
        <f t="shared" si="193"/>
        <v>#DIV/0!</v>
      </c>
      <c r="BO58" s="4112"/>
      <c r="BP58" s="3349"/>
      <c r="BQ58" s="3349"/>
      <c r="BR58" s="3349">
        <f t="shared" si="194"/>
        <v>0</v>
      </c>
      <c r="BS58" s="4074" t="e">
        <f t="shared" si="195"/>
        <v>#DIV/0!</v>
      </c>
      <c r="BT58" s="4112"/>
      <c r="BU58" s="3349"/>
      <c r="BV58" s="3349"/>
      <c r="BW58" s="3349">
        <f t="shared" si="196"/>
        <v>0</v>
      </c>
      <c r="BX58" s="4074" t="e">
        <f t="shared" si="197"/>
        <v>#DIV/0!</v>
      </c>
      <c r="BY58" s="4112"/>
      <c r="BZ58" s="3349"/>
      <c r="CA58" s="3349"/>
      <c r="CB58" s="3349">
        <f t="shared" si="198"/>
        <v>0</v>
      </c>
      <c r="CC58" s="4074" t="e">
        <f t="shared" si="199"/>
        <v>#DIV/0!</v>
      </c>
      <c r="CD58" s="4112"/>
      <c r="CE58" s="3349"/>
      <c r="CF58" s="3349"/>
      <c r="CG58" s="3349">
        <f t="shared" si="200"/>
        <v>0</v>
      </c>
      <c r="CH58" s="4074" t="e">
        <f t="shared" si="201"/>
        <v>#DIV/0!</v>
      </c>
      <c r="CI58" s="4112"/>
      <c r="CJ58" s="3341">
        <f t="shared" si="202"/>
        <v>0</v>
      </c>
      <c r="CK58" s="3341">
        <f t="shared" si="202"/>
        <v>0</v>
      </c>
      <c r="CL58" s="2012">
        <f t="shared" si="203"/>
        <v>0</v>
      </c>
      <c r="CM58" s="4074">
        <f t="shared" si="168"/>
        <v>0</v>
      </c>
      <c r="CN58" s="4076"/>
      <c r="CP58" s="2012">
        <f t="shared" si="204"/>
        <v>0</v>
      </c>
      <c r="CQ58" s="2012">
        <f t="shared" si="204"/>
        <v>0</v>
      </c>
      <c r="CR58" s="4188"/>
    </row>
    <row r="59" spans="1:98" ht="13.8" outlineLevel="2">
      <c r="A59" s="1571"/>
      <c r="B59" s="4098" t="s">
        <v>66</v>
      </c>
      <c r="C59" s="3349"/>
      <c r="D59" s="3349"/>
      <c r="E59" s="3349">
        <f t="shared" si="169"/>
        <v>0</v>
      </c>
      <c r="F59" s="4074" t="e">
        <f t="shared" si="133"/>
        <v>#DIV/0!</v>
      </c>
      <c r="G59" s="4112"/>
      <c r="H59" s="3349"/>
      <c r="I59" s="3349"/>
      <c r="J59" s="3349">
        <f t="shared" si="170"/>
        <v>0</v>
      </c>
      <c r="K59" s="4074" t="e">
        <f t="shared" si="171"/>
        <v>#DIV/0!</v>
      </c>
      <c r="L59" s="4112"/>
      <c r="M59" s="3349"/>
      <c r="N59" s="3349"/>
      <c r="O59" s="3349">
        <f t="shared" si="172"/>
        <v>0</v>
      </c>
      <c r="P59" s="4074" t="e">
        <f t="shared" si="173"/>
        <v>#DIV/0!</v>
      </c>
      <c r="Q59" s="4112"/>
      <c r="R59" s="3342">
        <f t="shared" si="174"/>
        <v>0</v>
      </c>
      <c r="S59" s="3342">
        <f t="shared" si="174"/>
        <v>0</v>
      </c>
      <c r="T59" s="2012">
        <f t="shared" si="175"/>
        <v>0</v>
      </c>
      <c r="U59" s="3462"/>
      <c r="V59" s="3462"/>
      <c r="W59" s="3342">
        <f t="shared" si="176"/>
        <v>0</v>
      </c>
      <c r="X59" s="3342">
        <f t="shared" si="176"/>
        <v>0</v>
      </c>
      <c r="Y59" s="2012">
        <f t="shared" si="177"/>
        <v>0</v>
      </c>
      <c r="Z59" s="3462"/>
      <c r="AA59" s="3462"/>
      <c r="AB59" s="3349"/>
      <c r="AC59" s="3349"/>
      <c r="AD59" s="3349">
        <f t="shared" si="178"/>
        <v>0</v>
      </c>
      <c r="AE59" s="4074" t="e">
        <f t="shared" si="179"/>
        <v>#DIV/0!</v>
      </c>
      <c r="AF59" s="4112"/>
      <c r="AG59" s="3349"/>
      <c r="AH59" s="3349"/>
      <c r="AI59" s="3349">
        <f t="shared" si="180"/>
        <v>0</v>
      </c>
      <c r="AJ59" s="4074">
        <f t="shared" si="181"/>
        <v>0</v>
      </c>
      <c r="AK59" s="4112"/>
      <c r="AL59" s="3349"/>
      <c r="AM59" s="3349"/>
      <c r="AN59" s="3349">
        <f t="shared" si="182"/>
        <v>0</v>
      </c>
      <c r="AO59" s="4074">
        <f t="shared" si="183"/>
        <v>0</v>
      </c>
      <c r="AP59" s="4170"/>
      <c r="AQ59" s="3349"/>
      <c r="AR59" s="3349"/>
      <c r="AS59" s="3349">
        <f t="shared" si="184"/>
        <v>0</v>
      </c>
      <c r="AT59" s="4074" t="e">
        <f t="shared" si="185"/>
        <v>#DIV/0!</v>
      </c>
      <c r="AU59" s="4112"/>
      <c r="AV59" s="3349"/>
      <c r="AW59" s="3349"/>
      <c r="AX59" s="3349">
        <f t="shared" si="186"/>
        <v>0</v>
      </c>
      <c r="AY59" s="4074" t="e">
        <f t="shared" si="187"/>
        <v>#DIV/0!</v>
      </c>
      <c r="AZ59" s="4112"/>
      <c r="BA59" s="3349"/>
      <c r="BB59" s="3349"/>
      <c r="BC59" s="3349">
        <f t="shared" si="188"/>
        <v>0</v>
      </c>
      <c r="BD59" s="4074" t="e">
        <f t="shared" si="189"/>
        <v>#DIV/0!</v>
      </c>
      <c r="BE59" s="4112"/>
      <c r="BF59" s="3349"/>
      <c r="BG59" s="3349"/>
      <c r="BH59" s="3349">
        <f t="shared" si="190"/>
        <v>0</v>
      </c>
      <c r="BI59" s="4074" t="e">
        <f t="shared" si="191"/>
        <v>#DIV/0!</v>
      </c>
      <c r="BJ59" s="4112"/>
      <c r="BK59" s="3349"/>
      <c r="BL59" s="3349"/>
      <c r="BM59" s="3349">
        <f t="shared" si="192"/>
        <v>0</v>
      </c>
      <c r="BN59" s="4074" t="e">
        <f t="shared" si="193"/>
        <v>#DIV/0!</v>
      </c>
      <c r="BO59" s="4112"/>
      <c r="BP59" s="3349"/>
      <c r="BQ59" s="3349"/>
      <c r="BR59" s="3349">
        <f t="shared" si="194"/>
        <v>0</v>
      </c>
      <c r="BS59" s="4074" t="e">
        <f t="shared" si="195"/>
        <v>#DIV/0!</v>
      </c>
      <c r="BT59" s="4112"/>
      <c r="BU59" s="3349"/>
      <c r="BV59" s="3349"/>
      <c r="BW59" s="3349">
        <f t="shared" si="196"/>
        <v>0</v>
      </c>
      <c r="BX59" s="4074" t="e">
        <f t="shared" si="197"/>
        <v>#DIV/0!</v>
      </c>
      <c r="BY59" s="4112"/>
      <c r="BZ59" s="3349"/>
      <c r="CA59" s="3349"/>
      <c r="CB59" s="3349">
        <f t="shared" si="198"/>
        <v>0</v>
      </c>
      <c r="CC59" s="4074" t="e">
        <f t="shared" si="199"/>
        <v>#DIV/0!</v>
      </c>
      <c r="CD59" s="4112"/>
      <c r="CE59" s="3349"/>
      <c r="CF59" s="3349"/>
      <c r="CG59" s="3349">
        <f t="shared" si="200"/>
        <v>0</v>
      </c>
      <c r="CH59" s="4074" t="e">
        <f t="shared" si="201"/>
        <v>#DIV/0!</v>
      </c>
      <c r="CI59" s="4112"/>
      <c r="CJ59" s="3341">
        <f t="shared" si="202"/>
        <v>0</v>
      </c>
      <c r="CK59" s="3341">
        <f t="shared" si="202"/>
        <v>0</v>
      </c>
      <c r="CL59" s="2012">
        <f t="shared" si="203"/>
        <v>0</v>
      </c>
      <c r="CM59" s="4074">
        <f t="shared" si="168"/>
        <v>0</v>
      </c>
      <c r="CN59" s="4076"/>
      <c r="CP59" s="2012">
        <f t="shared" si="204"/>
        <v>0</v>
      </c>
      <c r="CQ59" s="2012">
        <f t="shared" si="204"/>
        <v>0</v>
      </c>
      <c r="CR59" s="4188"/>
    </row>
    <row r="60" spans="1:98" ht="13.8" outlineLevel="2">
      <c r="A60" s="1571"/>
      <c r="B60" s="4098" t="s">
        <v>65</v>
      </c>
      <c r="C60" s="3349"/>
      <c r="D60" s="3349"/>
      <c r="E60" s="3349">
        <f t="shared" si="169"/>
        <v>0</v>
      </c>
      <c r="F60" s="4074" t="e">
        <f t="shared" si="133"/>
        <v>#DIV/0!</v>
      </c>
      <c r="G60" s="4112"/>
      <c r="H60" s="3349"/>
      <c r="I60" s="3349"/>
      <c r="J60" s="3349">
        <f t="shared" si="170"/>
        <v>0</v>
      </c>
      <c r="K60" s="4074" t="e">
        <f t="shared" si="171"/>
        <v>#DIV/0!</v>
      </c>
      <c r="L60" s="4112"/>
      <c r="M60" s="3349"/>
      <c r="N60" s="3349"/>
      <c r="O60" s="3349">
        <f t="shared" si="172"/>
        <v>0</v>
      </c>
      <c r="P60" s="4074" t="e">
        <f t="shared" si="173"/>
        <v>#DIV/0!</v>
      </c>
      <c r="Q60" s="4112"/>
      <c r="R60" s="3342">
        <f t="shared" si="174"/>
        <v>0</v>
      </c>
      <c r="S60" s="3342">
        <f t="shared" si="174"/>
        <v>0</v>
      </c>
      <c r="T60" s="2012">
        <f t="shared" si="175"/>
        <v>0</v>
      </c>
      <c r="U60" s="3462"/>
      <c r="V60" s="3462"/>
      <c r="W60" s="3342">
        <f t="shared" si="176"/>
        <v>0</v>
      </c>
      <c r="X60" s="3342">
        <f t="shared" si="176"/>
        <v>0</v>
      </c>
      <c r="Y60" s="2012">
        <f t="shared" si="177"/>
        <v>0</v>
      </c>
      <c r="Z60" s="3462"/>
      <c r="AA60" s="3462"/>
      <c r="AB60" s="3349"/>
      <c r="AC60" s="3349"/>
      <c r="AD60" s="3349">
        <f t="shared" si="178"/>
        <v>0</v>
      </c>
      <c r="AE60" s="4074" t="e">
        <f t="shared" si="179"/>
        <v>#DIV/0!</v>
      </c>
      <c r="AF60" s="4112"/>
      <c r="AG60" s="3349"/>
      <c r="AH60" s="3349"/>
      <c r="AI60" s="3349">
        <f t="shared" si="180"/>
        <v>0</v>
      </c>
      <c r="AJ60" s="4074">
        <f t="shared" si="181"/>
        <v>0</v>
      </c>
      <c r="AK60" s="4112"/>
      <c r="AL60" s="3349"/>
      <c r="AM60" s="3349"/>
      <c r="AN60" s="3349">
        <f t="shared" si="182"/>
        <v>0</v>
      </c>
      <c r="AO60" s="4074">
        <f t="shared" si="183"/>
        <v>0</v>
      </c>
      <c r="AP60" s="4170"/>
      <c r="AQ60" s="3349"/>
      <c r="AR60" s="3349"/>
      <c r="AS60" s="3349">
        <f t="shared" si="184"/>
        <v>0</v>
      </c>
      <c r="AT60" s="4074" t="e">
        <f t="shared" si="185"/>
        <v>#DIV/0!</v>
      </c>
      <c r="AU60" s="4112"/>
      <c r="AV60" s="3349"/>
      <c r="AW60" s="3349"/>
      <c r="AX60" s="3349">
        <f t="shared" si="186"/>
        <v>0</v>
      </c>
      <c r="AY60" s="4074" t="e">
        <f t="shared" si="187"/>
        <v>#DIV/0!</v>
      </c>
      <c r="AZ60" s="4112"/>
      <c r="BA60" s="3349"/>
      <c r="BB60" s="3349"/>
      <c r="BC60" s="3349">
        <f t="shared" si="188"/>
        <v>0</v>
      </c>
      <c r="BD60" s="4074" t="e">
        <f t="shared" si="189"/>
        <v>#DIV/0!</v>
      </c>
      <c r="BE60" s="4112"/>
      <c r="BF60" s="3349"/>
      <c r="BG60" s="3349"/>
      <c r="BH60" s="3349">
        <f t="shared" si="190"/>
        <v>0</v>
      </c>
      <c r="BI60" s="4074" t="e">
        <f t="shared" si="191"/>
        <v>#DIV/0!</v>
      </c>
      <c r="BJ60" s="4112"/>
      <c r="BK60" s="3349"/>
      <c r="BL60" s="3349"/>
      <c r="BM60" s="3349">
        <f t="shared" si="192"/>
        <v>0</v>
      </c>
      <c r="BN60" s="4074" t="e">
        <f t="shared" si="193"/>
        <v>#DIV/0!</v>
      </c>
      <c r="BO60" s="4112"/>
      <c r="BP60" s="3349"/>
      <c r="BQ60" s="3349"/>
      <c r="BR60" s="3349">
        <f t="shared" si="194"/>
        <v>0</v>
      </c>
      <c r="BS60" s="4074" t="e">
        <f t="shared" si="195"/>
        <v>#DIV/0!</v>
      </c>
      <c r="BT60" s="4112"/>
      <c r="BU60" s="3349"/>
      <c r="BV60" s="3349"/>
      <c r="BW60" s="3349">
        <f t="shared" si="196"/>
        <v>0</v>
      </c>
      <c r="BX60" s="4074" t="e">
        <f t="shared" si="197"/>
        <v>#DIV/0!</v>
      </c>
      <c r="BY60" s="4112"/>
      <c r="BZ60" s="3349"/>
      <c r="CA60" s="3349"/>
      <c r="CB60" s="3349">
        <f t="shared" si="198"/>
        <v>0</v>
      </c>
      <c r="CC60" s="4074" t="e">
        <f t="shared" si="199"/>
        <v>#DIV/0!</v>
      </c>
      <c r="CD60" s="4112"/>
      <c r="CE60" s="3349"/>
      <c r="CF60" s="3349"/>
      <c r="CG60" s="3349">
        <f t="shared" si="200"/>
        <v>0</v>
      </c>
      <c r="CH60" s="4074" t="e">
        <f t="shared" si="201"/>
        <v>#DIV/0!</v>
      </c>
      <c r="CI60" s="4112"/>
      <c r="CJ60" s="3341">
        <f t="shared" si="202"/>
        <v>0</v>
      </c>
      <c r="CK60" s="3341">
        <f t="shared" si="202"/>
        <v>0</v>
      </c>
      <c r="CL60" s="2012">
        <f t="shared" si="203"/>
        <v>0</v>
      </c>
      <c r="CM60" s="4074">
        <f t="shared" si="168"/>
        <v>0</v>
      </c>
      <c r="CN60" s="4076"/>
      <c r="CP60" s="2012">
        <f t="shared" si="204"/>
        <v>0</v>
      </c>
      <c r="CQ60" s="2012">
        <f t="shared" si="204"/>
        <v>0</v>
      </c>
      <c r="CR60" s="4188"/>
    </row>
    <row r="61" spans="1:98" ht="13.8" outlineLevel="2">
      <c r="A61" s="1571"/>
      <c r="B61" s="4098" t="s">
        <v>32</v>
      </c>
      <c r="C61" s="3349"/>
      <c r="D61" s="3349"/>
      <c r="E61" s="3349">
        <f t="shared" si="169"/>
        <v>0</v>
      </c>
      <c r="F61" s="4074" t="e">
        <f t="shared" si="133"/>
        <v>#DIV/0!</v>
      </c>
      <c r="G61" s="4112"/>
      <c r="H61" s="3349"/>
      <c r="I61" s="3349"/>
      <c r="J61" s="3349">
        <f t="shared" si="170"/>
        <v>0</v>
      </c>
      <c r="K61" s="4074" t="e">
        <f t="shared" si="171"/>
        <v>#DIV/0!</v>
      </c>
      <c r="L61" s="4112"/>
      <c r="M61" s="3349"/>
      <c r="N61" s="3349"/>
      <c r="O61" s="3349">
        <f t="shared" si="172"/>
        <v>0</v>
      </c>
      <c r="P61" s="4074" t="e">
        <f t="shared" si="173"/>
        <v>#DIV/0!</v>
      </c>
      <c r="Q61" s="4112"/>
      <c r="R61" s="3342">
        <f t="shared" si="174"/>
        <v>0</v>
      </c>
      <c r="S61" s="3342">
        <f t="shared" si="174"/>
        <v>0</v>
      </c>
      <c r="T61" s="2012">
        <f t="shared" si="175"/>
        <v>0</v>
      </c>
      <c r="U61" s="3462"/>
      <c r="V61" s="3462"/>
      <c r="W61" s="3342">
        <f t="shared" si="176"/>
        <v>0</v>
      </c>
      <c r="X61" s="3342">
        <f t="shared" si="176"/>
        <v>0</v>
      </c>
      <c r="Y61" s="2012">
        <f t="shared" si="177"/>
        <v>0</v>
      </c>
      <c r="Z61" s="3462"/>
      <c r="AA61" s="3462"/>
      <c r="AB61" s="3349"/>
      <c r="AC61" s="3349"/>
      <c r="AD61" s="3349">
        <f t="shared" si="178"/>
        <v>0</v>
      </c>
      <c r="AE61" s="4074" t="e">
        <f t="shared" si="179"/>
        <v>#DIV/0!</v>
      </c>
      <c r="AF61" s="4112"/>
      <c r="AG61" s="3349"/>
      <c r="AH61" s="3349"/>
      <c r="AI61" s="3349">
        <f t="shared" si="180"/>
        <v>0</v>
      </c>
      <c r="AJ61" s="4074">
        <f t="shared" si="181"/>
        <v>0</v>
      </c>
      <c r="AK61" s="4112"/>
      <c r="AL61" s="3349"/>
      <c r="AM61" s="3349"/>
      <c r="AN61" s="3349">
        <f t="shared" si="182"/>
        <v>0</v>
      </c>
      <c r="AO61" s="4074">
        <f t="shared" si="183"/>
        <v>0</v>
      </c>
      <c r="AP61" s="4170"/>
      <c r="AQ61" s="3349"/>
      <c r="AR61" s="3349"/>
      <c r="AS61" s="3349">
        <f t="shared" si="184"/>
        <v>0</v>
      </c>
      <c r="AT61" s="4074" t="e">
        <f t="shared" si="185"/>
        <v>#DIV/0!</v>
      </c>
      <c r="AU61" s="4112"/>
      <c r="AV61" s="3349"/>
      <c r="AW61" s="3349"/>
      <c r="AX61" s="3349">
        <f t="shared" si="186"/>
        <v>0</v>
      </c>
      <c r="AY61" s="4074" t="e">
        <f t="shared" si="187"/>
        <v>#DIV/0!</v>
      </c>
      <c r="AZ61" s="4112"/>
      <c r="BA61" s="3349"/>
      <c r="BB61" s="3349"/>
      <c r="BC61" s="3349">
        <f t="shared" si="188"/>
        <v>0</v>
      </c>
      <c r="BD61" s="4074" t="e">
        <f t="shared" si="189"/>
        <v>#DIV/0!</v>
      </c>
      <c r="BE61" s="4112"/>
      <c r="BF61" s="3349"/>
      <c r="BG61" s="3349"/>
      <c r="BH61" s="3349">
        <f t="shared" si="190"/>
        <v>0</v>
      </c>
      <c r="BI61" s="4074" t="e">
        <f t="shared" si="191"/>
        <v>#DIV/0!</v>
      </c>
      <c r="BJ61" s="4112"/>
      <c r="BK61" s="3349"/>
      <c r="BL61" s="3349"/>
      <c r="BM61" s="3349">
        <f t="shared" si="192"/>
        <v>0</v>
      </c>
      <c r="BN61" s="4074" t="e">
        <f t="shared" si="193"/>
        <v>#DIV/0!</v>
      </c>
      <c r="BO61" s="4112"/>
      <c r="BP61" s="3349"/>
      <c r="BQ61" s="3349"/>
      <c r="BR61" s="3349">
        <f t="shared" si="194"/>
        <v>0</v>
      </c>
      <c r="BS61" s="4074" t="e">
        <f t="shared" si="195"/>
        <v>#DIV/0!</v>
      </c>
      <c r="BT61" s="4112"/>
      <c r="BU61" s="3349"/>
      <c r="BV61" s="3349"/>
      <c r="BW61" s="3349">
        <f t="shared" si="196"/>
        <v>0</v>
      </c>
      <c r="BX61" s="4074" t="e">
        <f t="shared" si="197"/>
        <v>#DIV/0!</v>
      </c>
      <c r="BY61" s="4112"/>
      <c r="BZ61" s="3349"/>
      <c r="CA61" s="3349"/>
      <c r="CB61" s="3349">
        <f t="shared" si="198"/>
        <v>0</v>
      </c>
      <c r="CC61" s="4074" t="e">
        <f t="shared" si="199"/>
        <v>#DIV/0!</v>
      </c>
      <c r="CD61" s="4112"/>
      <c r="CE61" s="3349"/>
      <c r="CF61" s="3349"/>
      <c r="CG61" s="3349">
        <f t="shared" si="200"/>
        <v>0</v>
      </c>
      <c r="CH61" s="4074" t="e">
        <f t="shared" si="201"/>
        <v>#DIV/0!</v>
      </c>
      <c r="CI61" s="4112"/>
      <c r="CJ61" s="3341">
        <f t="shared" si="202"/>
        <v>0</v>
      </c>
      <c r="CK61" s="3341">
        <f t="shared" si="202"/>
        <v>0</v>
      </c>
      <c r="CL61" s="2012">
        <f t="shared" si="203"/>
        <v>0</v>
      </c>
      <c r="CM61" s="4074">
        <f t="shared" si="168"/>
        <v>0</v>
      </c>
      <c r="CN61" s="4076"/>
      <c r="CP61" s="2012">
        <f t="shared" si="204"/>
        <v>0</v>
      </c>
      <c r="CQ61" s="2012">
        <f t="shared" si="204"/>
        <v>0</v>
      </c>
      <c r="CR61" s="4188"/>
    </row>
    <row r="62" spans="1:98" ht="13.8" outlineLevel="2">
      <c r="A62" s="1571"/>
      <c r="B62" s="4098" t="s">
        <v>33</v>
      </c>
      <c r="C62" s="3349"/>
      <c r="D62" s="3349"/>
      <c r="E62" s="3349">
        <f t="shared" si="169"/>
        <v>0</v>
      </c>
      <c r="F62" s="4074" t="e">
        <f t="shared" si="133"/>
        <v>#DIV/0!</v>
      </c>
      <c r="G62" s="4112"/>
      <c r="H62" s="3349"/>
      <c r="I62" s="3349"/>
      <c r="J62" s="3349">
        <f t="shared" si="170"/>
        <v>0</v>
      </c>
      <c r="K62" s="4074" t="e">
        <f t="shared" si="171"/>
        <v>#DIV/0!</v>
      </c>
      <c r="L62" s="4112"/>
      <c r="M62" s="3349"/>
      <c r="N62" s="3349"/>
      <c r="O62" s="3349">
        <f t="shared" si="172"/>
        <v>0</v>
      </c>
      <c r="P62" s="4074" t="e">
        <f t="shared" si="173"/>
        <v>#DIV/0!</v>
      </c>
      <c r="Q62" s="4112"/>
      <c r="R62" s="3342">
        <f t="shared" si="174"/>
        <v>0</v>
      </c>
      <c r="S62" s="3342">
        <f t="shared" si="174"/>
        <v>0</v>
      </c>
      <c r="T62" s="2012">
        <f t="shared" si="175"/>
        <v>0</v>
      </c>
      <c r="U62" s="3462"/>
      <c r="V62" s="3462"/>
      <c r="W62" s="3342">
        <f t="shared" si="176"/>
        <v>0</v>
      </c>
      <c r="X62" s="3342">
        <f t="shared" si="176"/>
        <v>0</v>
      </c>
      <c r="Y62" s="2012">
        <f t="shared" si="177"/>
        <v>0</v>
      </c>
      <c r="Z62" s="3462"/>
      <c r="AA62" s="3462"/>
      <c r="AB62" s="3349"/>
      <c r="AC62" s="3349"/>
      <c r="AD62" s="3349">
        <f t="shared" si="178"/>
        <v>0</v>
      </c>
      <c r="AE62" s="4074" t="e">
        <f t="shared" si="179"/>
        <v>#DIV/0!</v>
      </c>
      <c r="AF62" s="4112"/>
      <c r="AG62" s="3349"/>
      <c r="AH62" s="3349"/>
      <c r="AI62" s="3349">
        <f t="shared" si="180"/>
        <v>0</v>
      </c>
      <c r="AJ62" s="4074">
        <f t="shared" si="181"/>
        <v>0</v>
      </c>
      <c r="AK62" s="4112"/>
      <c r="AL62" s="3349"/>
      <c r="AM62" s="3349"/>
      <c r="AN62" s="3349">
        <f t="shared" si="182"/>
        <v>0</v>
      </c>
      <c r="AO62" s="4074">
        <f t="shared" si="183"/>
        <v>0</v>
      </c>
      <c r="AP62" s="4170"/>
      <c r="AQ62" s="3349"/>
      <c r="AR62" s="3349"/>
      <c r="AS62" s="3349">
        <f t="shared" si="184"/>
        <v>0</v>
      </c>
      <c r="AT62" s="4074" t="e">
        <f t="shared" si="185"/>
        <v>#DIV/0!</v>
      </c>
      <c r="AU62" s="4112"/>
      <c r="AV62" s="3349"/>
      <c r="AW62" s="3349"/>
      <c r="AX62" s="3349">
        <f t="shared" si="186"/>
        <v>0</v>
      </c>
      <c r="AY62" s="4074" t="e">
        <f t="shared" si="187"/>
        <v>#DIV/0!</v>
      </c>
      <c r="AZ62" s="4112"/>
      <c r="BA62" s="3349"/>
      <c r="BB62" s="3349"/>
      <c r="BC62" s="3349">
        <f t="shared" si="188"/>
        <v>0</v>
      </c>
      <c r="BD62" s="4074" t="e">
        <f t="shared" si="189"/>
        <v>#DIV/0!</v>
      </c>
      <c r="BE62" s="4112"/>
      <c r="BF62" s="3349"/>
      <c r="BG62" s="3349"/>
      <c r="BH62" s="3349">
        <f t="shared" si="190"/>
        <v>0</v>
      </c>
      <c r="BI62" s="4074" t="e">
        <f t="shared" si="191"/>
        <v>#DIV/0!</v>
      </c>
      <c r="BJ62" s="4112"/>
      <c r="BK62" s="3349"/>
      <c r="BL62" s="3349"/>
      <c r="BM62" s="3349">
        <f t="shared" si="192"/>
        <v>0</v>
      </c>
      <c r="BN62" s="4074" t="e">
        <f t="shared" si="193"/>
        <v>#DIV/0!</v>
      </c>
      <c r="BO62" s="4112"/>
      <c r="BP62" s="3349"/>
      <c r="BQ62" s="3349"/>
      <c r="BR62" s="3349">
        <f t="shared" si="194"/>
        <v>0</v>
      </c>
      <c r="BS62" s="4074" t="e">
        <f t="shared" si="195"/>
        <v>#DIV/0!</v>
      </c>
      <c r="BT62" s="4112"/>
      <c r="BU62" s="3349"/>
      <c r="BV62" s="3349"/>
      <c r="BW62" s="3349">
        <f t="shared" si="196"/>
        <v>0</v>
      </c>
      <c r="BX62" s="4074" t="e">
        <f t="shared" si="197"/>
        <v>#DIV/0!</v>
      </c>
      <c r="BY62" s="4112"/>
      <c r="BZ62" s="3349"/>
      <c r="CA62" s="3349"/>
      <c r="CB62" s="3349">
        <f t="shared" si="198"/>
        <v>0</v>
      </c>
      <c r="CC62" s="4074" t="e">
        <f t="shared" si="199"/>
        <v>#DIV/0!</v>
      </c>
      <c r="CD62" s="4112"/>
      <c r="CE62" s="3349"/>
      <c r="CF62" s="3349"/>
      <c r="CG62" s="3349">
        <f t="shared" si="200"/>
        <v>0</v>
      </c>
      <c r="CH62" s="4074" t="e">
        <f t="shared" si="201"/>
        <v>#DIV/0!</v>
      </c>
      <c r="CI62" s="4112"/>
      <c r="CJ62" s="3341">
        <f t="shared" si="202"/>
        <v>0</v>
      </c>
      <c r="CK62" s="3341">
        <f t="shared" si="202"/>
        <v>0</v>
      </c>
      <c r="CL62" s="2012">
        <f t="shared" si="203"/>
        <v>0</v>
      </c>
      <c r="CM62" s="4074">
        <f t="shared" si="168"/>
        <v>0</v>
      </c>
      <c r="CN62" s="4076"/>
      <c r="CP62" s="2012">
        <f t="shared" si="204"/>
        <v>0</v>
      </c>
      <c r="CQ62" s="2012">
        <f t="shared" si="204"/>
        <v>0</v>
      </c>
      <c r="CR62" s="4188"/>
    </row>
    <row r="63" spans="1:98" ht="13.8" outlineLevel="2">
      <c r="A63" s="1571"/>
      <c r="B63" s="4098" t="s">
        <v>35</v>
      </c>
      <c r="C63" s="3349"/>
      <c r="D63" s="3349"/>
      <c r="E63" s="3349">
        <f t="shared" si="169"/>
        <v>0</v>
      </c>
      <c r="F63" s="4074" t="e">
        <f t="shared" si="133"/>
        <v>#DIV/0!</v>
      </c>
      <c r="G63" s="4112"/>
      <c r="H63" s="3349"/>
      <c r="I63" s="3349"/>
      <c r="J63" s="3349">
        <f t="shared" si="170"/>
        <v>0</v>
      </c>
      <c r="K63" s="4074" t="e">
        <f t="shared" si="171"/>
        <v>#DIV/0!</v>
      </c>
      <c r="L63" s="4112"/>
      <c r="M63" s="3349"/>
      <c r="N63" s="3349"/>
      <c r="O63" s="3349">
        <f t="shared" si="172"/>
        <v>0</v>
      </c>
      <c r="P63" s="4074" t="e">
        <f t="shared" si="173"/>
        <v>#DIV/0!</v>
      </c>
      <c r="Q63" s="4112"/>
      <c r="R63" s="3342">
        <f t="shared" si="174"/>
        <v>0</v>
      </c>
      <c r="S63" s="3342">
        <f t="shared" si="174"/>
        <v>0</v>
      </c>
      <c r="T63" s="2012">
        <f t="shared" si="175"/>
        <v>0</v>
      </c>
      <c r="U63" s="3462"/>
      <c r="V63" s="3462"/>
      <c r="W63" s="3342">
        <f t="shared" si="176"/>
        <v>0</v>
      </c>
      <c r="X63" s="3342">
        <f t="shared" si="176"/>
        <v>0</v>
      </c>
      <c r="Y63" s="2012">
        <f t="shared" si="177"/>
        <v>0</v>
      </c>
      <c r="Z63" s="3462"/>
      <c r="AA63" s="3462"/>
      <c r="AB63" s="3349"/>
      <c r="AC63" s="3349"/>
      <c r="AD63" s="3349">
        <f t="shared" si="178"/>
        <v>0</v>
      </c>
      <c r="AE63" s="4074" t="e">
        <f t="shared" si="179"/>
        <v>#DIV/0!</v>
      </c>
      <c r="AF63" s="4112"/>
      <c r="AG63" s="3349"/>
      <c r="AH63" s="3349"/>
      <c r="AI63" s="3349">
        <f t="shared" si="180"/>
        <v>0</v>
      </c>
      <c r="AJ63" s="4074">
        <f t="shared" si="181"/>
        <v>0</v>
      </c>
      <c r="AK63" s="4112"/>
      <c r="AL63" s="3349"/>
      <c r="AM63" s="3349"/>
      <c r="AN63" s="3349">
        <f t="shared" si="182"/>
        <v>0</v>
      </c>
      <c r="AO63" s="4074">
        <f t="shared" si="183"/>
        <v>0</v>
      </c>
      <c r="AP63" s="4170"/>
      <c r="AQ63" s="3349"/>
      <c r="AR63" s="3349"/>
      <c r="AS63" s="3349">
        <f t="shared" si="184"/>
        <v>0</v>
      </c>
      <c r="AT63" s="4074" t="e">
        <f t="shared" si="185"/>
        <v>#DIV/0!</v>
      </c>
      <c r="AU63" s="4112"/>
      <c r="AV63" s="3349"/>
      <c r="AW63" s="3349"/>
      <c r="AX63" s="3349">
        <f t="shared" si="186"/>
        <v>0</v>
      </c>
      <c r="AY63" s="4074" t="e">
        <f t="shared" si="187"/>
        <v>#DIV/0!</v>
      </c>
      <c r="AZ63" s="4112"/>
      <c r="BA63" s="3349"/>
      <c r="BB63" s="3349"/>
      <c r="BC63" s="3349">
        <f t="shared" si="188"/>
        <v>0</v>
      </c>
      <c r="BD63" s="4074" t="e">
        <f t="shared" si="189"/>
        <v>#DIV/0!</v>
      </c>
      <c r="BE63" s="4112"/>
      <c r="BF63" s="3349"/>
      <c r="BG63" s="3349"/>
      <c r="BH63" s="3349">
        <f t="shared" si="190"/>
        <v>0</v>
      </c>
      <c r="BI63" s="4074" t="e">
        <f t="shared" si="191"/>
        <v>#DIV/0!</v>
      </c>
      <c r="BJ63" s="4112"/>
      <c r="BK63" s="3349"/>
      <c r="BL63" s="3349"/>
      <c r="BM63" s="3349">
        <f t="shared" si="192"/>
        <v>0</v>
      </c>
      <c r="BN63" s="4074" t="e">
        <f t="shared" si="193"/>
        <v>#DIV/0!</v>
      </c>
      <c r="BO63" s="4112"/>
      <c r="BP63" s="3349"/>
      <c r="BQ63" s="3349"/>
      <c r="BR63" s="3349">
        <f t="shared" si="194"/>
        <v>0</v>
      </c>
      <c r="BS63" s="4074" t="e">
        <f t="shared" si="195"/>
        <v>#DIV/0!</v>
      </c>
      <c r="BT63" s="4112"/>
      <c r="BU63" s="3349"/>
      <c r="BV63" s="3349"/>
      <c r="BW63" s="3349">
        <f t="shared" si="196"/>
        <v>0</v>
      </c>
      <c r="BX63" s="4074" t="e">
        <f t="shared" si="197"/>
        <v>#DIV/0!</v>
      </c>
      <c r="BY63" s="4112"/>
      <c r="BZ63" s="3349"/>
      <c r="CA63" s="3349"/>
      <c r="CB63" s="3349">
        <f t="shared" si="198"/>
        <v>0</v>
      </c>
      <c r="CC63" s="4074" t="e">
        <f t="shared" si="199"/>
        <v>#DIV/0!</v>
      </c>
      <c r="CD63" s="4112"/>
      <c r="CE63" s="3349"/>
      <c r="CF63" s="3349"/>
      <c r="CG63" s="3349">
        <f t="shared" si="200"/>
        <v>0</v>
      </c>
      <c r="CH63" s="4074" t="e">
        <f t="shared" si="201"/>
        <v>#DIV/0!</v>
      </c>
      <c r="CI63" s="4112"/>
      <c r="CJ63" s="3341">
        <f t="shared" si="202"/>
        <v>0</v>
      </c>
      <c r="CK63" s="3341">
        <f t="shared" si="202"/>
        <v>0</v>
      </c>
      <c r="CL63" s="2012">
        <f t="shared" si="203"/>
        <v>0</v>
      </c>
      <c r="CM63" s="4074">
        <f t="shared" si="168"/>
        <v>0</v>
      </c>
      <c r="CN63" s="4076"/>
      <c r="CP63" s="2012">
        <f t="shared" si="204"/>
        <v>0</v>
      </c>
      <c r="CQ63" s="2012">
        <f t="shared" si="204"/>
        <v>0</v>
      </c>
      <c r="CR63" s="4188"/>
    </row>
    <row r="64" spans="1:98" ht="13.8" outlineLevel="2">
      <c r="A64" s="1571"/>
      <c r="B64" s="4098" t="s">
        <v>63</v>
      </c>
      <c r="C64" s="3349"/>
      <c r="D64" s="3349"/>
      <c r="E64" s="3349">
        <f t="shared" si="169"/>
        <v>0</v>
      </c>
      <c r="F64" s="4074" t="e">
        <f t="shared" si="133"/>
        <v>#DIV/0!</v>
      </c>
      <c r="G64" s="4112"/>
      <c r="H64" s="3349"/>
      <c r="I64" s="3349"/>
      <c r="J64" s="3349">
        <f t="shared" si="170"/>
        <v>0</v>
      </c>
      <c r="K64" s="4074" t="e">
        <f t="shared" si="171"/>
        <v>#DIV/0!</v>
      </c>
      <c r="L64" s="4112"/>
      <c r="M64" s="3349"/>
      <c r="N64" s="3349"/>
      <c r="O64" s="3349">
        <f t="shared" si="172"/>
        <v>0</v>
      </c>
      <c r="P64" s="4074" t="e">
        <f t="shared" si="173"/>
        <v>#DIV/0!</v>
      </c>
      <c r="Q64" s="4112"/>
      <c r="R64" s="3342">
        <f t="shared" si="174"/>
        <v>0</v>
      </c>
      <c r="S64" s="3342">
        <f t="shared" si="174"/>
        <v>0</v>
      </c>
      <c r="T64" s="2012">
        <f t="shared" si="175"/>
        <v>0</v>
      </c>
      <c r="U64" s="3462"/>
      <c r="V64" s="3462"/>
      <c r="W64" s="3342">
        <f t="shared" si="176"/>
        <v>0</v>
      </c>
      <c r="X64" s="3342">
        <f t="shared" si="176"/>
        <v>0</v>
      </c>
      <c r="Y64" s="2012">
        <f t="shared" si="177"/>
        <v>0</v>
      </c>
      <c r="Z64" s="3462"/>
      <c r="AA64" s="3462"/>
      <c r="AB64" s="3349"/>
      <c r="AC64" s="3349"/>
      <c r="AD64" s="3349">
        <f t="shared" si="178"/>
        <v>0</v>
      </c>
      <c r="AE64" s="4074" t="e">
        <f t="shared" si="179"/>
        <v>#DIV/0!</v>
      </c>
      <c r="AF64" s="4112"/>
      <c r="AG64" s="3349"/>
      <c r="AH64" s="3349"/>
      <c r="AI64" s="3349">
        <f t="shared" si="180"/>
        <v>0</v>
      </c>
      <c r="AJ64" s="4074">
        <f t="shared" si="181"/>
        <v>0</v>
      </c>
      <c r="AK64" s="4112"/>
      <c r="AL64" s="3349"/>
      <c r="AM64" s="3349"/>
      <c r="AN64" s="3349">
        <f t="shared" si="182"/>
        <v>0</v>
      </c>
      <c r="AO64" s="4074">
        <f t="shared" si="183"/>
        <v>0</v>
      </c>
      <c r="AP64" s="4170"/>
      <c r="AQ64" s="3349"/>
      <c r="AR64" s="3349"/>
      <c r="AS64" s="3349">
        <f t="shared" si="184"/>
        <v>0</v>
      </c>
      <c r="AT64" s="4074" t="e">
        <f t="shared" si="185"/>
        <v>#DIV/0!</v>
      </c>
      <c r="AU64" s="4112"/>
      <c r="AV64" s="3349"/>
      <c r="AW64" s="3349"/>
      <c r="AX64" s="3349">
        <f t="shared" si="186"/>
        <v>0</v>
      </c>
      <c r="AY64" s="4074" t="e">
        <f t="shared" si="187"/>
        <v>#DIV/0!</v>
      </c>
      <c r="AZ64" s="4112"/>
      <c r="BA64" s="3349"/>
      <c r="BB64" s="3349"/>
      <c r="BC64" s="3349">
        <f t="shared" si="188"/>
        <v>0</v>
      </c>
      <c r="BD64" s="4074" t="e">
        <f t="shared" si="189"/>
        <v>#DIV/0!</v>
      </c>
      <c r="BE64" s="4112"/>
      <c r="BF64" s="3349"/>
      <c r="BG64" s="3349"/>
      <c r="BH64" s="3349">
        <f t="shared" si="190"/>
        <v>0</v>
      </c>
      <c r="BI64" s="4074" t="e">
        <f t="shared" si="191"/>
        <v>#DIV/0!</v>
      </c>
      <c r="BJ64" s="4112"/>
      <c r="BK64" s="3349"/>
      <c r="BL64" s="3349"/>
      <c r="BM64" s="3349">
        <f t="shared" si="192"/>
        <v>0</v>
      </c>
      <c r="BN64" s="4074" t="e">
        <f t="shared" si="193"/>
        <v>#DIV/0!</v>
      </c>
      <c r="BO64" s="4112"/>
      <c r="BP64" s="3349"/>
      <c r="BQ64" s="3349"/>
      <c r="BR64" s="3349">
        <f t="shared" si="194"/>
        <v>0</v>
      </c>
      <c r="BS64" s="4074" t="e">
        <f t="shared" si="195"/>
        <v>#DIV/0!</v>
      </c>
      <c r="BT64" s="4112"/>
      <c r="BU64" s="3349"/>
      <c r="BV64" s="3349"/>
      <c r="BW64" s="3349">
        <f t="shared" si="196"/>
        <v>0</v>
      </c>
      <c r="BX64" s="4074" t="e">
        <f t="shared" si="197"/>
        <v>#DIV/0!</v>
      </c>
      <c r="BY64" s="4112"/>
      <c r="BZ64" s="3349"/>
      <c r="CA64" s="3349"/>
      <c r="CB64" s="3349">
        <f t="shared" si="198"/>
        <v>0</v>
      </c>
      <c r="CC64" s="4074" t="e">
        <f t="shared" si="199"/>
        <v>#DIV/0!</v>
      </c>
      <c r="CD64" s="4112"/>
      <c r="CE64" s="3349"/>
      <c r="CF64" s="3349"/>
      <c r="CG64" s="3349">
        <f t="shared" si="200"/>
        <v>0</v>
      </c>
      <c r="CH64" s="4074" t="e">
        <f t="shared" si="201"/>
        <v>#DIV/0!</v>
      </c>
      <c r="CI64" s="4112"/>
      <c r="CJ64" s="3341">
        <f t="shared" si="202"/>
        <v>0</v>
      </c>
      <c r="CK64" s="3341">
        <f t="shared" si="202"/>
        <v>0</v>
      </c>
      <c r="CL64" s="2012">
        <f t="shared" si="203"/>
        <v>0</v>
      </c>
      <c r="CM64" s="4074">
        <f t="shared" si="168"/>
        <v>0</v>
      </c>
      <c r="CN64" s="4076"/>
      <c r="CP64" s="2012">
        <f t="shared" si="204"/>
        <v>0</v>
      </c>
      <c r="CQ64" s="2012">
        <f t="shared" si="204"/>
        <v>0</v>
      </c>
      <c r="CR64" s="4188"/>
    </row>
    <row r="65" spans="1:98" ht="13.8" outlineLevel="2">
      <c r="A65" s="1571"/>
      <c r="B65" s="4098" t="s">
        <v>36</v>
      </c>
      <c r="C65" s="3341"/>
      <c r="D65" s="3341"/>
      <c r="E65" s="3349">
        <f t="shared" si="169"/>
        <v>0</v>
      </c>
      <c r="F65" s="4074" t="e">
        <f t="shared" si="133"/>
        <v>#DIV/0!</v>
      </c>
      <c r="G65" s="4112"/>
      <c r="H65" s="3341"/>
      <c r="I65" s="3341"/>
      <c r="J65" s="3349">
        <f t="shared" si="170"/>
        <v>0</v>
      </c>
      <c r="K65" s="4074" t="e">
        <f t="shared" si="171"/>
        <v>#DIV/0!</v>
      </c>
      <c r="L65" s="4112"/>
      <c r="M65" s="3341"/>
      <c r="N65" s="3341"/>
      <c r="O65" s="3349">
        <f t="shared" si="172"/>
        <v>0</v>
      </c>
      <c r="P65" s="4074" t="e">
        <f t="shared" si="173"/>
        <v>#DIV/0!</v>
      </c>
      <c r="Q65" s="4112"/>
      <c r="R65" s="3342">
        <f t="shared" si="174"/>
        <v>0</v>
      </c>
      <c r="S65" s="3342">
        <f t="shared" si="174"/>
        <v>0</v>
      </c>
      <c r="T65" s="2012">
        <f t="shared" si="175"/>
        <v>0</v>
      </c>
      <c r="U65" s="3462"/>
      <c r="V65" s="3462"/>
      <c r="W65" s="3342">
        <f t="shared" si="176"/>
        <v>0</v>
      </c>
      <c r="X65" s="3342">
        <f t="shared" si="176"/>
        <v>0</v>
      </c>
      <c r="Y65" s="2012">
        <f t="shared" si="177"/>
        <v>0</v>
      </c>
      <c r="Z65" s="3462"/>
      <c r="AA65" s="3462"/>
      <c r="AB65" s="3341"/>
      <c r="AC65" s="3341"/>
      <c r="AD65" s="3349">
        <f t="shared" si="178"/>
        <v>0</v>
      </c>
      <c r="AE65" s="4074" t="e">
        <f t="shared" si="179"/>
        <v>#DIV/0!</v>
      </c>
      <c r="AF65" s="4112"/>
      <c r="AG65" s="3341"/>
      <c r="AH65" s="3341"/>
      <c r="AI65" s="3349">
        <f t="shared" si="180"/>
        <v>0</v>
      </c>
      <c r="AJ65" s="4074">
        <f t="shared" si="181"/>
        <v>0</v>
      </c>
      <c r="AK65" s="4112"/>
      <c r="AL65" s="3341"/>
      <c r="AM65" s="3341"/>
      <c r="AN65" s="3349">
        <f t="shared" si="182"/>
        <v>0</v>
      </c>
      <c r="AO65" s="4074">
        <f t="shared" si="183"/>
        <v>0</v>
      </c>
      <c r="AP65" s="4170"/>
      <c r="AQ65" s="3341"/>
      <c r="AR65" s="3341"/>
      <c r="AS65" s="3349">
        <f t="shared" si="184"/>
        <v>0</v>
      </c>
      <c r="AT65" s="4074" t="e">
        <f t="shared" si="185"/>
        <v>#DIV/0!</v>
      </c>
      <c r="AU65" s="4112"/>
      <c r="AV65" s="3341"/>
      <c r="AW65" s="3341"/>
      <c r="AX65" s="3349">
        <f t="shared" si="186"/>
        <v>0</v>
      </c>
      <c r="AY65" s="4074" t="e">
        <f t="shared" si="187"/>
        <v>#DIV/0!</v>
      </c>
      <c r="AZ65" s="4112"/>
      <c r="BA65" s="3341"/>
      <c r="BB65" s="3341"/>
      <c r="BC65" s="3349">
        <f t="shared" si="188"/>
        <v>0</v>
      </c>
      <c r="BD65" s="4074" t="e">
        <f t="shared" si="189"/>
        <v>#DIV/0!</v>
      </c>
      <c r="BE65" s="4112"/>
      <c r="BF65" s="3341"/>
      <c r="BG65" s="3341"/>
      <c r="BH65" s="3349">
        <f t="shared" si="190"/>
        <v>0</v>
      </c>
      <c r="BI65" s="4074" t="e">
        <f t="shared" si="191"/>
        <v>#DIV/0!</v>
      </c>
      <c r="BJ65" s="4112"/>
      <c r="BK65" s="3341"/>
      <c r="BL65" s="3341"/>
      <c r="BM65" s="3349">
        <f t="shared" si="192"/>
        <v>0</v>
      </c>
      <c r="BN65" s="4074" t="e">
        <f t="shared" si="193"/>
        <v>#DIV/0!</v>
      </c>
      <c r="BO65" s="4112"/>
      <c r="BP65" s="3341"/>
      <c r="BQ65" s="3341"/>
      <c r="BR65" s="3349">
        <f t="shared" si="194"/>
        <v>0</v>
      </c>
      <c r="BS65" s="4074" t="e">
        <f t="shared" si="195"/>
        <v>#DIV/0!</v>
      </c>
      <c r="BT65" s="4112"/>
      <c r="BU65" s="3341"/>
      <c r="BV65" s="3341"/>
      <c r="BW65" s="3349">
        <f t="shared" si="196"/>
        <v>0</v>
      </c>
      <c r="BX65" s="4074" t="e">
        <f t="shared" si="197"/>
        <v>#DIV/0!</v>
      </c>
      <c r="BY65" s="4112"/>
      <c r="BZ65" s="3341"/>
      <c r="CA65" s="3341"/>
      <c r="CB65" s="3349">
        <f t="shared" si="198"/>
        <v>0</v>
      </c>
      <c r="CC65" s="4074" t="e">
        <f t="shared" si="199"/>
        <v>#DIV/0!</v>
      </c>
      <c r="CD65" s="4112"/>
      <c r="CE65" s="3341"/>
      <c r="CF65" s="3341"/>
      <c r="CG65" s="3349">
        <f t="shared" si="200"/>
        <v>0</v>
      </c>
      <c r="CH65" s="4074" t="e">
        <f t="shared" si="201"/>
        <v>#DIV/0!</v>
      </c>
      <c r="CI65" s="4112"/>
      <c r="CJ65" s="3341">
        <f t="shared" si="202"/>
        <v>0</v>
      </c>
      <c r="CK65" s="3341">
        <f t="shared" si="202"/>
        <v>0</v>
      </c>
      <c r="CL65" s="2012">
        <f t="shared" si="203"/>
        <v>0</v>
      </c>
      <c r="CM65" s="4074">
        <f t="shared" si="168"/>
        <v>0</v>
      </c>
      <c r="CN65" s="4076"/>
      <c r="CP65" s="2012">
        <f t="shared" si="204"/>
        <v>0</v>
      </c>
      <c r="CQ65" s="2012">
        <f t="shared" si="204"/>
        <v>0</v>
      </c>
      <c r="CR65" s="4188"/>
    </row>
    <row r="66" spans="1:98" s="1396" customFormat="1" ht="13.8" outlineLevel="2">
      <c r="A66" s="1571"/>
      <c r="B66" s="4098" t="s">
        <v>37</v>
      </c>
      <c r="C66" s="3341"/>
      <c r="D66" s="3341"/>
      <c r="E66" s="3349">
        <f t="shared" si="169"/>
        <v>0</v>
      </c>
      <c r="F66" s="4074" t="e">
        <f t="shared" si="133"/>
        <v>#DIV/0!</v>
      </c>
      <c r="G66" s="4112"/>
      <c r="H66" s="3341"/>
      <c r="I66" s="3341"/>
      <c r="J66" s="3349">
        <f t="shared" si="170"/>
        <v>0</v>
      </c>
      <c r="K66" s="4074" t="e">
        <f t="shared" si="171"/>
        <v>#DIV/0!</v>
      </c>
      <c r="L66" s="4112"/>
      <c r="M66" s="3341"/>
      <c r="N66" s="3341"/>
      <c r="O66" s="3349">
        <f t="shared" si="172"/>
        <v>0</v>
      </c>
      <c r="P66" s="4074" t="e">
        <f t="shared" si="173"/>
        <v>#DIV/0!</v>
      </c>
      <c r="Q66" s="4112"/>
      <c r="R66" s="3342">
        <f t="shared" si="174"/>
        <v>0</v>
      </c>
      <c r="S66" s="3342">
        <f t="shared" si="174"/>
        <v>0</v>
      </c>
      <c r="T66" s="2012">
        <f t="shared" si="175"/>
        <v>0</v>
      </c>
      <c r="U66" s="3462"/>
      <c r="V66" s="3462"/>
      <c r="W66" s="3342">
        <f t="shared" si="176"/>
        <v>0</v>
      </c>
      <c r="X66" s="3342">
        <f t="shared" si="176"/>
        <v>0</v>
      </c>
      <c r="Y66" s="2012">
        <f t="shared" si="177"/>
        <v>0</v>
      </c>
      <c r="Z66" s="3462"/>
      <c r="AA66" s="3462"/>
      <c r="AB66" s="3341"/>
      <c r="AC66" s="3341"/>
      <c r="AD66" s="3349">
        <f t="shared" si="178"/>
        <v>0</v>
      </c>
      <c r="AE66" s="4074" t="e">
        <f t="shared" si="179"/>
        <v>#DIV/0!</v>
      </c>
      <c r="AF66" s="4112"/>
      <c r="AG66" s="3341"/>
      <c r="AH66" s="3341"/>
      <c r="AI66" s="3349">
        <f t="shared" si="180"/>
        <v>0</v>
      </c>
      <c r="AJ66" s="4074">
        <f t="shared" si="181"/>
        <v>0</v>
      </c>
      <c r="AK66" s="4112"/>
      <c r="AL66" s="3341"/>
      <c r="AM66" s="3341"/>
      <c r="AN66" s="3349">
        <f t="shared" si="182"/>
        <v>0</v>
      </c>
      <c r="AO66" s="4074">
        <f t="shared" si="183"/>
        <v>0</v>
      </c>
      <c r="AP66" s="4170"/>
      <c r="AQ66" s="3341"/>
      <c r="AR66" s="3341"/>
      <c r="AS66" s="3349">
        <f t="shared" si="184"/>
        <v>0</v>
      </c>
      <c r="AT66" s="4074" t="e">
        <f t="shared" si="185"/>
        <v>#DIV/0!</v>
      </c>
      <c r="AU66" s="4112"/>
      <c r="AV66" s="3341"/>
      <c r="AW66" s="3341"/>
      <c r="AX66" s="3349">
        <f t="shared" si="186"/>
        <v>0</v>
      </c>
      <c r="AY66" s="4074" t="e">
        <f t="shared" si="187"/>
        <v>#DIV/0!</v>
      </c>
      <c r="AZ66" s="4112"/>
      <c r="BA66" s="3341"/>
      <c r="BB66" s="3341"/>
      <c r="BC66" s="3349">
        <f t="shared" si="188"/>
        <v>0</v>
      </c>
      <c r="BD66" s="4074" t="e">
        <f t="shared" si="189"/>
        <v>#DIV/0!</v>
      </c>
      <c r="BE66" s="4112"/>
      <c r="BF66" s="3341"/>
      <c r="BG66" s="3341"/>
      <c r="BH66" s="3349">
        <f t="shared" si="190"/>
        <v>0</v>
      </c>
      <c r="BI66" s="4074" t="e">
        <f t="shared" si="191"/>
        <v>#DIV/0!</v>
      </c>
      <c r="BJ66" s="4112"/>
      <c r="BK66" s="3341"/>
      <c r="BL66" s="3341"/>
      <c r="BM66" s="3349">
        <f t="shared" si="192"/>
        <v>0</v>
      </c>
      <c r="BN66" s="4074" t="e">
        <f t="shared" si="193"/>
        <v>#DIV/0!</v>
      </c>
      <c r="BO66" s="4112"/>
      <c r="BP66" s="3341"/>
      <c r="BQ66" s="3341"/>
      <c r="BR66" s="3349">
        <f t="shared" si="194"/>
        <v>0</v>
      </c>
      <c r="BS66" s="4074" t="e">
        <f t="shared" si="195"/>
        <v>#DIV/0!</v>
      </c>
      <c r="BT66" s="4112"/>
      <c r="BU66" s="3341"/>
      <c r="BV66" s="3341"/>
      <c r="BW66" s="3349">
        <f t="shared" si="196"/>
        <v>0</v>
      </c>
      <c r="BX66" s="4074" t="e">
        <f t="shared" si="197"/>
        <v>#DIV/0!</v>
      </c>
      <c r="BY66" s="4112"/>
      <c r="BZ66" s="3341"/>
      <c r="CA66" s="3341"/>
      <c r="CB66" s="3349">
        <f t="shared" si="198"/>
        <v>0</v>
      </c>
      <c r="CC66" s="4074" t="e">
        <f t="shared" si="199"/>
        <v>#DIV/0!</v>
      </c>
      <c r="CD66" s="4112"/>
      <c r="CE66" s="3341"/>
      <c r="CF66" s="3341"/>
      <c r="CG66" s="3349">
        <f t="shared" si="200"/>
        <v>0</v>
      </c>
      <c r="CH66" s="4074" t="e">
        <f t="shared" si="201"/>
        <v>#DIV/0!</v>
      </c>
      <c r="CI66" s="4112"/>
      <c r="CJ66" s="3341">
        <f t="shared" si="202"/>
        <v>0</v>
      </c>
      <c r="CK66" s="3341">
        <f t="shared" si="202"/>
        <v>0</v>
      </c>
      <c r="CL66" s="2012">
        <f t="shared" si="203"/>
        <v>0</v>
      </c>
      <c r="CM66" s="4074">
        <f t="shared" si="168"/>
        <v>0</v>
      </c>
      <c r="CN66" s="4076"/>
      <c r="CP66" s="2012">
        <f t="shared" si="204"/>
        <v>0</v>
      </c>
      <c r="CQ66" s="2012">
        <f t="shared" si="204"/>
        <v>0</v>
      </c>
      <c r="CR66" s="4188"/>
      <c r="CT66" s="2624"/>
    </row>
    <row r="67" spans="1:98" s="1396" customFormat="1" ht="13.8" outlineLevel="2">
      <c r="A67" s="1571"/>
      <c r="B67" s="4098" t="s">
        <v>3</v>
      </c>
      <c r="C67" s="3341"/>
      <c r="D67" s="3341"/>
      <c r="E67" s="3349">
        <f t="shared" si="169"/>
        <v>0</v>
      </c>
      <c r="F67" s="4074" t="e">
        <f t="shared" si="133"/>
        <v>#DIV/0!</v>
      </c>
      <c r="G67" s="4112"/>
      <c r="H67" s="3341"/>
      <c r="I67" s="3341"/>
      <c r="J67" s="3349">
        <f t="shared" si="170"/>
        <v>0</v>
      </c>
      <c r="K67" s="4074" t="e">
        <f t="shared" si="171"/>
        <v>#DIV/0!</v>
      </c>
      <c r="L67" s="4112"/>
      <c r="M67" s="3341"/>
      <c r="N67" s="3341"/>
      <c r="O67" s="3349">
        <f t="shared" si="172"/>
        <v>0</v>
      </c>
      <c r="P67" s="4074" t="e">
        <f t="shared" si="173"/>
        <v>#DIV/0!</v>
      </c>
      <c r="Q67" s="4112"/>
      <c r="R67" s="3342">
        <f t="shared" si="174"/>
        <v>0</v>
      </c>
      <c r="S67" s="3342">
        <f t="shared" si="174"/>
        <v>0</v>
      </c>
      <c r="T67" s="2012">
        <f t="shared" si="175"/>
        <v>0</v>
      </c>
      <c r="U67" s="3462"/>
      <c r="V67" s="3462"/>
      <c r="W67" s="3342">
        <f t="shared" si="176"/>
        <v>0</v>
      </c>
      <c r="X67" s="3342">
        <f t="shared" si="176"/>
        <v>0</v>
      </c>
      <c r="Y67" s="2012">
        <f t="shared" si="177"/>
        <v>0</v>
      </c>
      <c r="Z67" s="3462"/>
      <c r="AA67" s="3462"/>
      <c r="AB67" s="3341"/>
      <c r="AC67" s="3341"/>
      <c r="AD67" s="3349">
        <f t="shared" si="178"/>
        <v>0</v>
      </c>
      <c r="AE67" s="4074" t="e">
        <f t="shared" si="179"/>
        <v>#DIV/0!</v>
      </c>
      <c r="AF67" s="4112"/>
      <c r="AG67" s="3341"/>
      <c r="AH67" s="3341"/>
      <c r="AI67" s="3349">
        <f t="shared" si="180"/>
        <v>0</v>
      </c>
      <c r="AJ67" s="4074">
        <f t="shared" si="181"/>
        <v>0</v>
      </c>
      <c r="AK67" s="4112"/>
      <c r="AL67" s="3341"/>
      <c r="AM67" s="3341"/>
      <c r="AN67" s="3349">
        <f t="shared" si="182"/>
        <v>0</v>
      </c>
      <c r="AO67" s="4074">
        <f t="shared" si="183"/>
        <v>0</v>
      </c>
      <c r="AP67" s="4170"/>
      <c r="AQ67" s="3341"/>
      <c r="AR67" s="3341"/>
      <c r="AS67" s="3349">
        <f t="shared" si="184"/>
        <v>0</v>
      </c>
      <c r="AT67" s="4074" t="e">
        <f t="shared" si="185"/>
        <v>#DIV/0!</v>
      </c>
      <c r="AU67" s="4112"/>
      <c r="AV67" s="3341"/>
      <c r="AW67" s="3341"/>
      <c r="AX67" s="3349">
        <f t="shared" si="186"/>
        <v>0</v>
      </c>
      <c r="AY67" s="4074" t="e">
        <f t="shared" si="187"/>
        <v>#DIV/0!</v>
      </c>
      <c r="AZ67" s="4112"/>
      <c r="BA67" s="3341"/>
      <c r="BB67" s="3341"/>
      <c r="BC67" s="3349">
        <f t="shared" si="188"/>
        <v>0</v>
      </c>
      <c r="BD67" s="4074" t="e">
        <f t="shared" si="189"/>
        <v>#DIV/0!</v>
      </c>
      <c r="BE67" s="4112"/>
      <c r="BF67" s="3341"/>
      <c r="BG67" s="3341"/>
      <c r="BH67" s="3349">
        <f t="shared" si="190"/>
        <v>0</v>
      </c>
      <c r="BI67" s="4074" t="e">
        <f t="shared" si="191"/>
        <v>#DIV/0!</v>
      </c>
      <c r="BJ67" s="4112"/>
      <c r="BK67" s="3341"/>
      <c r="BL67" s="3341"/>
      <c r="BM67" s="3349">
        <f t="shared" si="192"/>
        <v>0</v>
      </c>
      <c r="BN67" s="4074" t="e">
        <f t="shared" si="193"/>
        <v>#DIV/0!</v>
      </c>
      <c r="BO67" s="4112"/>
      <c r="BP67" s="3341"/>
      <c r="BQ67" s="3341"/>
      <c r="BR67" s="3349">
        <f t="shared" si="194"/>
        <v>0</v>
      </c>
      <c r="BS67" s="4074" t="e">
        <f t="shared" si="195"/>
        <v>#DIV/0!</v>
      </c>
      <c r="BT67" s="4112"/>
      <c r="BU67" s="3341"/>
      <c r="BV67" s="3341"/>
      <c r="BW67" s="3349">
        <f t="shared" si="196"/>
        <v>0</v>
      </c>
      <c r="BX67" s="4074" t="e">
        <f t="shared" si="197"/>
        <v>#DIV/0!</v>
      </c>
      <c r="BY67" s="4112"/>
      <c r="BZ67" s="3341"/>
      <c r="CA67" s="3341"/>
      <c r="CB67" s="3349">
        <f t="shared" si="198"/>
        <v>0</v>
      </c>
      <c r="CC67" s="4074" t="e">
        <f t="shared" si="199"/>
        <v>#DIV/0!</v>
      </c>
      <c r="CD67" s="4112"/>
      <c r="CE67" s="3341"/>
      <c r="CF67" s="3341"/>
      <c r="CG67" s="3349">
        <f t="shared" si="200"/>
        <v>0</v>
      </c>
      <c r="CH67" s="4074" t="e">
        <f t="shared" si="201"/>
        <v>#DIV/0!</v>
      </c>
      <c r="CI67" s="4112"/>
      <c r="CJ67" s="3341">
        <f t="shared" si="202"/>
        <v>0</v>
      </c>
      <c r="CK67" s="3341">
        <f t="shared" si="202"/>
        <v>0</v>
      </c>
      <c r="CL67" s="2012">
        <f t="shared" si="203"/>
        <v>0</v>
      </c>
      <c r="CM67" s="4074">
        <f t="shared" si="168"/>
        <v>0</v>
      </c>
      <c r="CN67" s="4076"/>
      <c r="CP67" s="2012">
        <f t="shared" si="204"/>
        <v>0</v>
      </c>
      <c r="CQ67" s="2012">
        <f t="shared" si="204"/>
        <v>0</v>
      </c>
      <c r="CR67" s="4188"/>
      <c r="CT67" s="2624"/>
    </row>
    <row r="68" spans="1:98" s="1396" customFormat="1" ht="13.8" outlineLevel="2">
      <c r="A68" s="1571"/>
      <c r="B68" s="4098" t="s">
        <v>5</v>
      </c>
      <c r="C68" s="3341"/>
      <c r="D68" s="3341"/>
      <c r="E68" s="3349">
        <f t="shared" si="169"/>
        <v>0</v>
      </c>
      <c r="F68" s="4074" t="e">
        <f t="shared" si="133"/>
        <v>#DIV/0!</v>
      </c>
      <c r="G68" s="3341"/>
      <c r="H68" s="3341"/>
      <c r="I68" s="3341"/>
      <c r="J68" s="3349">
        <f t="shared" si="170"/>
        <v>0</v>
      </c>
      <c r="K68" s="4074" t="e">
        <f t="shared" si="171"/>
        <v>#DIV/0!</v>
      </c>
      <c r="L68" s="3341"/>
      <c r="M68" s="3341"/>
      <c r="N68" s="3341"/>
      <c r="O68" s="3349">
        <f t="shared" si="172"/>
        <v>0</v>
      </c>
      <c r="P68" s="4074" t="e">
        <f t="shared" si="173"/>
        <v>#DIV/0!</v>
      </c>
      <c r="Q68" s="3341"/>
      <c r="R68" s="3342">
        <f t="shared" si="174"/>
        <v>0</v>
      </c>
      <c r="S68" s="3342">
        <f t="shared" si="174"/>
        <v>0</v>
      </c>
      <c r="T68" s="2012">
        <f t="shared" si="175"/>
        <v>0</v>
      </c>
      <c r="U68" s="3341"/>
      <c r="V68" s="3341"/>
      <c r="W68" s="3342">
        <f t="shared" si="176"/>
        <v>0</v>
      </c>
      <c r="X68" s="3342">
        <f t="shared" si="176"/>
        <v>0</v>
      </c>
      <c r="Y68" s="2012">
        <f t="shared" si="177"/>
        <v>0</v>
      </c>
      <c r="Z68" s="3341"/>
      <c r="AA68" s="3341"/>
      <c r="AB68" s="3341"/>
      <c r="AC68" s="3341"/>
      <c r="AD68" s="3349">
        <f t="shared" si="178"/>
        <v>0</v>
      </c>
      <c r="AE68" s="4074" t="e">
        <f t="shared" si="179"/>
        <v>#DIV/0!</v>
      </c>
      <c r="AF68" s="3341"/>
      <c r="AG68" s="3341"/>
      <c r="AH68" s="3341"/>
      <c r="AI68" s="3349">
        <f t="shared" si="180"/>
        <v>0</v>
      </c>
      <c r="AJ68" s="4074">
        <f t="shared" si="181"/>
        <v>0</v>
      </c>
      <c r="AK68" s="3341"/>
      <c r="AL68" s="3341"/>
      <c r="AM68" s="3341"/>
      <c r="AN68" s="3349">
        <f t="shared" si="182"/>
        <v>0</v>
      </c>
      <c r="AO68" s="4074">
        <f t="shared" si="183"/>
        <v>0</v>
      </c>
      <c r="AP68" s="3719"/>
      <c r="AQ68" s="3341"/>
      <c r="AR68" s="3341"/>
      <c r="AS68" s="3349">
        <f t="shared" si="184"/>
        <v>0</v>
      </c>
      <c r="AT68" s="4074" t="e">
        <f t="shared" si="185"/>
        <v>#DIV/0!</v>
      </c>
      <c r="AU68" s="3341"/>
      <c r="AV68" s="3341"/>
      <c r="AW68" s="3341"/>
      <c r="AX68" s="3349">
        <f t="shared" si="186"/>
        <v>0</v>
      </c>
      <c r="AY68" s="4074" t="e">
        <f t="shared" si="187"/>
        <v>#DIV/0!</v>
      </c>
      <c r="AZ68" s="3341"/>
      <c r="BA68" s="3341"/>
      <c r="BB68" s="3341"/>
      <c r="BC68" s="3349">
        <f t="shared" si="188"/>
        <v>0</v>
      </c>
      <c r="BD68" s="4074" t="e">
        <f t="shared" si="189"/>
        <v>#DIV/0!</v>
      </c>
      <c r="BE68" s="3341"/>
      <c r="BF68" s="3341"/>
      <c r="BG68" s="3341"/>
      <c r="BH68" s="3349">
        <f t="shared" si="190"/>
        <v>0</v>
      </c>
      <c r="BI68" s="4074" t="e">
        <f t="shared" si="191"/>
        <v>#DIV/0!</v>
      </c>
      <c r="BJ68" s="3341"/>
      <c r="BK68" s="3341"/>
      <c r="BL68" s="3341"/>
      <c r="BM68" s="3349">
        <f t="shared" si="192"/>
        <v>0</v>
      </c>
      <c r="BN68" s="4074" t="e">
        <f t="shared" si="193"/>
        <v>#DIV/0!</v>
      </c>
      <c r="BO68" s="3341"/>
      <c r="BP68" s="3341"/>
      <c r="BQ68" s="3341"/>
      <c r="BR68" s="3349">
        <f t="shared" si="194"/>
        <v>0</v>
      </c>
      <c r="BS68" s="4074" t="e">
        <f t="shared" si="195"/>
        <v>#DIV/0!</v>
      </c>
      <c r="BT68" s="3341"/>
      <c r="BU68" s="3341"/>
      <c r="BV68" s="3341"/>
      <c r="BW68" s="3349">
        <f t="shared" si="196"/>
        <v>0</v>
      </c>
      <c r="BX68" s="4074" t="e">
        <f t="shared" si="197"/>
        <v>#DIV/0!</v>
      </c>
      <c r="BY68" s="3341"/>
      <c r="BZ68" s="3341"/>
      <c r="CA68" s="3341"/>
      <c r="CB68" s="3349">
        <f t="shared" si="198"/>
        <v>0</v>
      </c>
      <c r="CC68" s="4074" t="e">
        <f t="shared" si="199"/>
        <v>#DIV/0!</v>
      </c>
      <c r="CD68" s="3341"/>
      <c r="CE68" s="3341"/>
      <c r="CF68" s="3341"/>
      <c r="CG68" s="3349">
        <f t="shared" si="200"/>
        <v>0</v>
      </c>
      <c r="CH68" s="4074" t="e">
        <f t="shared" si="201"/>
        <v>#DIV/0!</v>
      </c>
      <c r="CI68" s="3341"/>
      <c r="CJ68" s="3341">
        <f t="shared" si="202"/>
        <v>0</v>
      </c>
      <c r="CK68" s="3341">
        <f t="shared" si="202"/>
        <v>0</v>
      </c>
      <c r="CL68" s="2012">
        <f t="shared" si="203"/>
        <v>0</v>
      </c>
      <c r="CM68" s="4074">
        <f t="shared" si="168"/>
        <v>0</v>
      </c>
      <c r="CN68" s="4076"/>
      <c r="CP68" s="2012">
        <f t="shared" si="204"/>
        <v>0</v>
      </c>
      <c r="CQ68" s="2012">
        <f t="shared" si="204"/>
        <v>0</v>
      </c>
      <c r="CR68" s="4188"/>
      <c r="CT68" s="2624"/>
    </row>
    <row r="69" spans="1:98" s="1396" customFormat="1" ht="13.8" outlineLevel="2">
      <c r="A69" s="1571"/>
      <c r="B69" s="4098" t="s">
        <v>42</v>
      </c>
      <c r="C69" s="3341"/>
      <c r="D69" s="3341"/>
      <c r="E69" s="3349">
        <f t="shared" si="169"/>
        <v>0</v>
      </c>
      <c r="F69" s="4074" t="e">
        <f t="shared" si="133"/>
        <v>#DIV/0!</v>
      </c>
      <c r="G69" s="4112"/>
      <c r="H69" s="3341"/>
      <c r="I69" s="3341"/>
      <c r="J69" s="3349">
        <f t="shared" si="170"/>
        <v>0</v>
      </c>
      <c r="K69" s="4074" t="e">
        <f t="shared" si="171"/>
        <v>#DIV/0!</v>
      </c>
      <c r="L69" s="4112"/>
      <c r="M69" s="3341"/>
      <c r="N69" s="3341"/>
      <c r="O69" s="3349">
        <f t="shared" si="172"/>
        <v>0</v>
      </c>
      <c r="P69" s="4074" t="e">
        <f t="shared" si="173"/>
        <v>#DIV/0!</v>
      </c>
      <c r="Q69" s="4112"/>
      <c r="R69" s="3342">
        <f t="shared" si="174"/>
        <v>0</v>
      </c>
      <c r="S69" s="3342">
        <f t="shared" si="174"/>
        <v>0</v>
      </c>
      <c r="T69" s="2012">
        <f t="shared" si="175"/>
        <v>0</v>
      </c>
      <c r="U69" s="3462"/>
      <c r="V69" s="3462"/>
      <c r="W69" s="3342">
        <f t="shared" si="176"/>
        <v>0</v>
      </c>
      <c r="X69" s="3342">
        <f t="shared" si="176"/>
        <v>0</v>
      </c>
      <c r="Y69" s="2012">
        <f t="shared" si="177"/>
        <v>0</v>
      </c>
      <c r="Z69" s="3462"/>
      <c r="AA69" s="3462"/>
      <c r="AB69" s="3341"/>
      <c r="AC69" s="3341"/>
      <c r="AD69" s="3349">
        <f t="shared" si="178"/>
        <v>0</v>
      </c>
      <c r="AE69" s="4074" t="e">
        <f t="shared" si="179"/>
        <v>#DIV/0!</v>
      </c>
      <c r="AF69" s="4112"/>
      <c r="AG69" s="3341"/>
      <c r="AH69" s="3341"/>
      <c r="AI69" s="3349">
        <f t="shared" si="180"/>
        <v>0</v>
      </c>
      <c r="AJ69" s="4074">
        <f t="shared" si="181"/>
        <v>0</v>
      </c>
      <c r="AK69" s="4112"/>
      <c r="AL69" s="3341"/>
      <c r="AM69" s="3341"/>
      <c r="AN69" s="3349">
        <f t="shared" si="182"/>
        <v>0</v>
      </c>
      <c r="AO69" s="4074">
        <f t="shared" si="183"/>
        <v>0</v>
      </c>
      <c r="AP69" s="4170"/>
      <c r="AQ69" s="3341"/>
      <c r="AR69" s="3341"/>
      <c r="AS69" s="3349">
        <f t="shared" si="184"/>
        <v>0</v>
      </c>
      <c r="AT69" s="4074" t="e">
        <f t="shared" si="185"/>
        <v>#DIV/0!</v>
      </c>
      <c r="AU69" s="4112"/>
      <c r="AV69" s="3341"/>
      <c r="AW69" s="3341"/>
      <c r="AX69" s="3349">
        <f t="shared" si="186"/>
        <v>0</v>
      </c>
      <c r="AY69" s="4074" t="e">
        <f t="shared" si="187"/>
        <v>#DIV/0!</v>
      </c>
      <c r="AZ69" s="4112"/>
      <c r="BA69" s="3341"/>
      <c r="BB69" s="3341"/>
      <c r="BC69" s="3349">
        <f t="shared" si="188"/>
        <v>0</v>
      </c>
      <c r="BD69" s="4074" t="e">
        <f t="shared" si="189"/>
        <v>#DIV/0!</v>
      </c>
      <c r="BE69" s="4112"/>
      <c r="BF69" s="3341"/>
      <c r="BG69" s="3341"/>
      <c r="BH69" s="3349">
        <f t="shared" si="190"/>
        <v>0</v>
      </c>
      <c r="BI69" s="4074" t="e">
        <f t="shared" si="191"/>
        <v>#DIV/0!</v>
      </c>
      <c r="BJ69" s="4112"/>
      <c r="BK69" s="3341"/>
      <c r="BL69" s="3341"/>
      <c r="BM69" s="3349">
        <f t="shared" si="192"/>
        <v>0</v>
      </c>
      <c r="BN69" s="4074" t="e">
        <f t="shared" si="193"/>
        <v>#DIV/0!</v>
      </c>
      <c r="BO69" s="4112"/>
      <c r="BP69" s="3341"/>
      <c r="BQ69" s="3341"/>
      <c r="BR69" s="3349">
        <f t="shared" si="194"/>
        <v>0</v>
      </c>
      <c r="BS69" s="4074" t="e">
        <f t="shared" si="195"/>
        <v>#DIV/0!</v>
      </c>
      <c r="BT69" s="4112"/>
      <c r="BU69" s="3341"/>
      <c r="BV69" s="3341"/>
      <c r="BW69" s="3349">
        <f t="shared" si="196"/>
        <v>0</v>
      </c>
      <c r="BX69" s="4074" t="e">
        <f t="shared" si="197"/>
        <v>#DIV/0!</v>
      </c>
      <c r="BY69" s="4112"/>
      <c r="BZ69" s="3341"/>
      <c r="CA69" s="3341"/>
      <c r="CB69" s="3349">
        <f t="shared" si="198"/>
        <v>0</v>
      </c>
      <c r="CC69" s="4074" t="e">
        <f t="shared" si="199"/>
        <v>#DIV/0!</v>
      </c>
      <c r="CD69" s="4112"/>
      <c r="CE69" s="3341"/>
      <c r="CF69" s="3341"/>
      <c r="CG69" s="3349">
        <f t="shared" si="200"/>
        <v>0</v>
      </c>
      <c r="CH69" s="4074" t="e">
        <f t="shared" si="201"/>
        <v>#DIV/0!</v>
      </c>
      <c r="CI69" s="4112"/>
      <c r="CJ69" s="3341">
        <f t="shared" si="202"/>
        <v>0</v>
      </c>
      <c r="CK69" s="3341">
        <f t="shared" si="202"/>
        <v>0</v>
      </c>
      <c r="CL69" s="2012">
        <f t="shared" si="203"/>
        <v>0</v>
      </c>
      <c r="CM69" s="4074">
        <f t="shared" si="168"/>
        <v>0</v>
      </c>
      <c r="CN69" s="4076"/>
      <c r="CP69" s="2012">
        <f t="shared" si="204"/>
        <v>0</v>
      </c>
      <c r="CQ69" s="2012">
        <f t="shared" si="204"/>
        <v>0</v>
      </c>
      <c r="CR69" s="4188"/>
      <c r="CT69" s="2624"/>
    </row>
    <row r="70" spans="1:98" s="1396" customFormat="1" ht="13.8" outlineLevel="2">
      <c r="A70" s="1571"/>
      <c r="B70" s="4098" t="s">
        <v>6</v>
      </c>
      <c r="C70" s="3341"/>
      <c r="D70" s="3341"/>
      <c r="E70" s="3349">
        <f t="shared" si="169"/>
        <v>0</v>
      </c>
      <c r="F70" s="4074" t="e">
        <f t="shared" si="133"/>
        <v>#DIV/0!</v>
      </c>
      <c r="G70" s="4112"/>
      <c r="H70" s="3341"/>
      <c r="I70" s="3341"/>
      <c r="J70" s="3349">
        <f t="shared" si="170"/>
        <v>0</v>
      </c>
      <c r="K70" s="4074" t="e">
        <f t="shared" si="171"/>
        <v>#DIV/0!</v>
      </c>
      <c r="L70" s="4112"/>
      <c r="M70" s="3341"/>
      <c r="N70" s="3341"/>
      <c r="O70" s="3349">
        <f t="shared" si="172"/>
        <v>0</v>
      </c>
      <c r="P70" s="4074" t="e">
        <f t="shared" si="173"/>
        <v>#DIV/0!</v>
      </c>
      <c r="Q70" s="4112"/>
      <c r="R70" s="3342">
        <f t="shared" si="174"/>
        <v>0</v>
      </c>
      <c r="S70" s="3342">
        <f t="shared" si="174"/>
        <v>0</v>
      </c>
      <c r="T70" s="2012">
        <f t="shared" si="175"/>
        <v>0</v>
      </c>
      <c r="U70" s="3462"/>
      <c r="V70" s="3462"/>
      <c r="W70" s="3342">
        <f t="shared" si="176"/>
        <v>0</v>
      </c>
      <c r="X70" s="3342">
        <f t="shared" si="176"/>
        <v>0</v>
      </c>
      <c r="Y70" s="2012">
        <f t="shared" si="177"/>
        <v>0</v>
      </c>
      <c r="Z70" s="3462"/>
      <c r="AA70" s="3462"/>
      <c r="AB70" s="3341"/>
      <c r="AC70" s="3341"/>
      <c r="AD70" s="3349">
        <f t="shared" si="178"/>
        <v>0</v>
      </c>
      <c r="AE70" s="4074" t="e">
        <f t="shared" si="179"/>
        <v>#DIV/0!</v>
      </c>
      <c r="AF70" s="4112"/>
      <c r="AG70" s="3341"/>
      <c r="AH70" s="3341"/>
      <c r="AI70" s="3349">
        <f t="shared" si="180"/>
        <v>0</v>
      </c>
      <c r="AJ70" s="4074">
        <f t="shared" si="181"/>
        <v>0</v>
      </c>
      <c r="AK70" s="4112"/>
      <c r="AL70" s="3341"/>
      <c r="AM70" s="3341"/>
      <c r="AN70" s="3349">
        <f t="shared" si="182"/>
        <v>0</v>
      </c>
      <c r="AO70" s="4074">
        <f t="shared" si="183"/>
        <v>0</v>
      </c>
      <c r="AP70" s="4170"/>
      <c r="AQ70" s="3341"/>
      <c r="AR70" s="3341"/>
      <c r="AS70" s="3349">
        <f t="shared" si="184"/>
        <v>0</v>
      </c>
      <c r="AT70" s="4074" t="e">
        <f t="shared" si="185"/>
        <v>#DIV/0!</v>
      </c>
      <c r="AU70" s="4112"/>
      <c r="AV70" s="3341"/>
      <c r="AW70" s="3341"/>
      <c r="AX70" s="3349">
        <f t="shared" si="186"/>
        <v>0</v>
      </c>
      <c r="AY70" s="4074" t="e">
        <f t="shared" si="187"/>
        <v>#DIV/0!</v>
      </c>
      <c r="AZ70" s="4112"/>
      <c r="BA70" s="3341"/>
      <c r="BB70" s="3341"/>
      <c r="BC70" s="3349">
        <f t="shared" si="188"/>
        <v>0</v>
      </c>
      <c r="BD70" s="4074" t="e">
        <f t="shared" si="189"/>
        <v>#DIV/0!</v>
      </c>
      <c r="BE70" s="4112"/>
      <c r="BF70" s="3341"/>
      <c r="BG70" s="3341"/>
      <c r="BH70" s="3349">
        <f t="shared" si="190"/>
        <v>0</v>
      </c>
      <c r="BI70" s="4074" t="e">
        <f t="shared" si="191"/>
        <v>#DIV/0!</v>
      </c>
      <c r="BJ70" s="4112"/>
      <c r="BK70" s="3341"/>
      <c r="BL70" s="3341"/>
      <c r="BM70" s="3349">
        <f t="shared" si="192"/>
        <v>0</v>
      </c>
      <c r="BN70" s="4074" t="e">
        <f t="shared" si="193"/>
        <v>#DIV/0!</v>
      </c>
      <c r="BO70" s="4112"/>
      <c r="BP70" s="3341"/>
      <c r="BQ70" s="3341"/>
      <c r="BR70" s="3349">
        <f t="shared" si="194"/>
        <v>0</v>
      </c>
      <c r="BS70" s="4074" t="e">
        <f t="shared" si="195"/>
        <v>#DIV/0!</v>
      </c>
      <c r="BT70" s="4112"/>
      <c r="BU70" s="3341"/>
      <c r="BV70" s="3341"/>
      <c r="BW70" s="3349">
        <f t="shared" si="196"/>
        <v>0</v>
      </c>
      <c r="BX70" s="4074" t="e">
        <f t="shared" si="197"/>
        <v>#DIV/0!</v>
      </c>
      <c r="BY70" s="4112"/>
      <c r="BZ70" s="3341"/>
      <c r="CA70" s="3341"/>
      <c r="CB70" s="3349">
        <f t="shared" si="198"/>
        <v>0</v>
      </c>
      <c r="CC70" s="4074" t="e">
        <f t="shared" si="199"/>
        <v>#DIV/0!</v>
      </c>
      <c r="CD70" s="4112"/>
      <c r="CE70" s="3341"/>
      <c r="CF70" s="3341"/>
      <c r="CG70" s="3349">
        <f t="shared" si="200"/>
        <v>0</v>
      </c>
      <c r="CH70" s="4074" t="e">
        <f t="shared" si="201"/>
        <v>#DIV/0!</v>
      </c>
      <c r="CI70" s="4112"/>
      <c r="CJ70" s="3341">
        <f t="shared" si="202"/>
        <v>0</v>
      </c>
      <c r="CK70" s="3341">
        <f t="shared" si="202"/>
        <v>0</v>
      </c>
      <c r="CL70" s="2012">
        <f t="shared" si="203"/>
        <v>0</v>
      </c>
      <c r="CM70" s="4074">
        <f t="shared" si="168"/>
        <v>0</v>
      </c>
      <c r="CN70" s="4076"/>
      <c r="CP70" s="2012">
        <f t="shared" si="204"/>
        <v>0</v>
      </c>
      <c r="CQ70" s="2012">
        <f t="shared" si="204"/>
        <v>0</v>
      </c>
      <c r="CR70" s="4188"/>
      <c r="CT70" s="2624"/>
    </row>
    <row r="71" spans="1:98" s="1396" customFormat="1" ht="13.8" outlineLevel="2">
      <c r="A71" s="1571"/>
      <c r="B71" s="4098" t="s">
        <v>78</v>
      </c>
      <c r="C71" s="3341"/>
      <c r="D71" s="3341"/>
      <c r="E71" s="3349">
        <f t="shared" si="169"/>
        <v>0</v>
      </c>
      <c r="F71" s="4074" t="e">
        <f t="shared" si="133"/>
        <v>#DIV/0!</v>
      </c>
      <c r="G71" s="4112"/>
      <c r="H71" s="3341"/>
      <c r="I71" s="3341"/>
      <c r="J71" s="3349">
        <f t="shared" si="170"/>
        <v>0</v>
      </c>
      <c r="K71" s="4074" t="e">
        <f t="shared" si="171"/>
        <v>#DIV/0!</v>
      </c>
      <c r="L71" s="4112"/>
      <c r="M71" s="3341"/>
      <c r="N71" s="3341"/>
      <c r="O71" s="3349">
        <f t="shared" si="172"/>
        <v>0</v>
      </c>
      <c r="P71" s="4074" t="e">
        <f t="shared" si="173"/>
        <v>#DIV/0!</v>
      </c>
      <c r="Q71" s="4112"/>
      <c r="R71" s="3342">
        <f t="shared" si="174"/>
        <v>0</v>
      </c>
      <c r="S71" s="3342">
        <f t="shared" si="174"/>
        <v>0</v>
      </c>
      <c r="T71" s="2012">
        <f t="shared" si="175"/>
        <v>0</v>
      </c>
      <c r="U71" s="3462"/>
      <c r="V71" s="3462"/>
      <c r="W71" s="3342">
        <f t="shared" si="176"/>
        <v>0</v>
      </c>
      <c r="X71" s="3342">
        <f t="shared" si="176"/>
        <v>0</v>
      </c>
      <c r="Y71" s="2012">
        <f t="shared" si="177"/>
        <v>0</v>
      </c>
      <c r="Z71" s="3462"/>
      <c r="AA71" s="3462"/>
      <c r="AB71" s="3341"/>
      <c r="AC71" s="3341"/>
      <c r="AD71" s="3349">
        <f t="shared" si="178"/>
        <v>0</v>
      </c>
      <c r="AE71" s="4074" t="e">
        <f t="shared" si="179"/>
        <v>#DIV/0!</v>
      </c>
      <c r="AF71" s="4112"/>
      <c r="AG71" s="3341"/>
      <c r="AH71" s="3341"/>
      <c r="AI71" s="3349">
        <f t="shared" si="180"/>
        <v>0</v>
      </c>
      <c r="AJ71" s="4074">
        <f t="shared" si="181"/>
        <v>0</v>
      </c>
      <c r="AK71" s="4112"/>
      <c r="AL71" s="3341"/>
      <c r="AM71" s="3341"/>
      <c r="AN71" s="3349">
        <f t="shared" si="182"/>
        <v>0</v>
      </c>
      <c r="AO71" s="4074">
        <f t="shared" si="183"/>
        <v>0</v>
      </c>
      <c r="AP71" s="4170"/>
      <c r="AQ71" s="3341"/>
      <c r="AR71" s="3341"/>
      <c r="AS71" s="3349">
        <f t="shared" si="184"/>
        <v>0</v>
      </c>
      <c r="AT71" s="4074" t="e">
        <f t="shared" si="185"/>
        <v>#DIV/0!</v>
      </c>
      <c r="AU71" s="4112"/>
      <c r="AV71" s="3341"/>
      <c r="AW71" s="3341"/>
      <c r="AX71" s="3349">
        <f t="shared" si="186"/>
        <v>0</v>
      </c>
      <c r="AY71" s="4074" t="e">
        <f t="shared" si="187"/>
        <v>#DIV/0!</v>
      </c>
      <c r="AZ71" s="4112"/>
      <c r="BA71" s="3341"/>
      <c r="BB71" s="3341"/>
      <c r="BC71" s="3349">
        <f t="shared" si="188"/>
        <v>0</v>
      </c>
      <c r="BD71" s="4074" t="e">
        <f t="shared" si="189"/>
        <v>#DIV/0!</v>
      </c>
      <c r="BE71" s="4112"/>
      <c r="BF71" s="3341"/>
      <c r="BG71" s="3341"/>
      <c r="BH71" s="3349">
        <f t="shared" si="190"/>
        <v>0</v>
      </c>
      <c r="BI71" s="4074" t="e">
        <f t="shared" si="191"/>
        <v>#DIV/0!</v>
      </c>
      <c r="BJ71" s="4112"/>
      <c r="BK71" s="3341"/>
      <c r="BL71" s="3341"/>
      <c r="BM71" s="3349">
        <f t="shared" si="192"/>
        <v>0</v>
      </c>
      <c r="BN71" s="4074" t="e">
        <f t="shared" si="193"/>
        <v>#DIV/0!</v>
      </c>
      <c r="BO71" s="4112"/>
      <c r="BP71" s="3341"/>
      <c r="BQ71" s="3341"/>
      <c r="BR71" s="3349">
        <f t="shared" si="194"/>
        <v>0</v>
      </c>
      <c r="BS71" s="4074" t="e">
        <f t="shared" si="195"/>
        <v>#DIV/0!</v>
      </c>
      <c r="BT71" s="4112"/>
      <c r="BU71" s="3341"/>
      <c r="BV71" s="3341"/>
      <c r="BW71" s="3349">
        <f t="shared" si="196"/>
        <v>0</v>
      </c>
      <c r="BX71" s="4074" t="e">
        <f t="shared" si="197"/>
        <v>#DIV/0!</v>
      </c>
      <c r="BY71" s="4112"/>
      <c r="BZ71" s="3341"/>
      <c r="CA71" s="3341"/>
      <c r="CB71" s="3349">
        <f t="shared" si="198"/>
        <v>0</v>
      </c>
      <c r="CC71" s="4074" t="e">
        <f t="shared" si="199"/>
        <v>#DIV/0!</v>
      </c>
      <c r="CD71" s="4112"/>
      <c r="CE71" s="3341"/>
      <c r="CF71" s="3341"/>
      <c r="CG71" s="3349">
        <f t="shared" si="200"/>
        <v>0</v>
      </c>
      <c r="CH71" s="4074" t="e">
        <f t="shared" si="201"/>
        <v>#DIV/0!</v>
      </c>
      <c r="CI71" s="4112"/>
      <c r="CJ71" s="3341">
        <f t="shared" si="202"/>
        <v>0</v>
      </c>
      <c r="CK71" s="3341">
        <f t="shared" si="202"/>
        <v>0</v>
      </c>
      <c r="CL71" s="2012">
        <f t="shared" si="203"/>
        <v>0</v>
      </c>
      <c r="CM71" s="4074">
        <f t="shared" si="168"/>
        <v>0</v>
      </c>
      <c r="CN71" s="4076"/>
      <c r="CP71" s="2012">
        <f t="shared" si="204"/>
        <v>0</v>
      </c>
      <c r="CQ71" s="2012">
        <f t="shared" si="204"/>
        <v>0</v>
      </c>
      <c r="CR71" s="4188"/>
      <c r="CT71" s="2624"/>
    </row>
    <row r="72" spans="1:98" s="1396" customFormat="1" ht="13.8" outlineLevel="2">
      <c r="A72" s="1571"/>
      <c r="B72" s="4123"/>
      <c r="C72" s="4080"/>
      <c r="D72" s="4080"/>
      <c r="E72" s="4115"/>
      <c r="F72" s="4074"/>
      <c r="G72" s="4112"/>
      <c r="H72" s="4080"/>
      <c r="I72" s="4080"/>
      <c r="J72" s="4115"/>
      <c r="K72" s="4074" t="e">
        <f t="shared" si="171"/>
        <v>#DIV/0!</v>
      </c>
      <c r="L72" s="4112"/>
      <c r="M72" s="4080"/>
      <c r="N72" s="4080"/>
      <c r="O72" s="4115"/>
      <c r="P72" s="4074" t="e">
        <f t="shared" si="173"/>
        <v>#DIV/0!</v>
      </c>
      <c r="Q72" s="4112"/>
      <c r="R72" s="4112"/>
      <c r="S72" s="4112"/>
      <c r="T72" s="4112"/>
      <c r="U72" s="4112"/>
      <c r="V72" s="4112"/>
      <c r="W72" s="4112"/>
      <c r="X72" s="4112"/>
      <c r="Y72" s="4112"/>
      <c r="Z72" s="4112"/>
      <c r="AA72" s="4112"/>
      <c r="AB72" s="4080"/>
      <c r="AC72" s="4080"/>
      <c r="AD72" s="4115"/>
      <c r="AE72" s="4074"/>
      <c r="AF72" s="4112"/>
      <c r="AG72" s="4080"/>
      <c r="AH72" s="4080"/>
      <c r="AI72" s="4115"/>
      <c r="AJ72" s="4074"/>
      <c r="AK72" s="4112"/>
      <c r="AL72" s="4080"/>
      <c r="AM72" s="4080"/>
      <c r="AN72" s="4115"/>
      <c r="AO72" s="4074"/>
      <c r="AP72" s="4170"/>
      <c r="AQ72" s="4080"/>
      <c r="AR72" s="4080"/>
      <c r="AS72" s="4115"/>
      <c r="AT72" s="4074"/>
      <c r="AU72" s="4112"/>
      <c r="AV72" s="4080"/>
      <c r="AW72" s="4080"/>
      <c r="AX72" s="4115"/>
      <c r="AY72" s="4074"/>
      <c r="AZ72" s="4112"/>
      <c r="BA72" s="4080"/>
      <c r="BB72" s="4080"/>
      <c r="BC72" s="4115"/>
      <c r="BD72" s="4074"/>
      <c r="BE72" s="4112"/>
      <c r="BF72" s="4080"/>
      <c r="BG72" s="4080"/>
      <c r="BH72" s="4115"/>
      <c r="BI72" s="4074"/>
      <c r="BJ72" s="4112"/>
      <c r="BK72" s="4080"/>
      <c r="BL72" s="4080"/>
      <c r="BM72" s="4115"/>
      <c r="BN72" s="4074"/>
      <c r="BO72" s="4112"/>
      <c r="BP72" s="4080"/>
      <c r="BQ72" s="4080"/>
      <c r="BR72" s="4115"/>
      <c r="BS72" s="4074"/>
      <c r="BT72" s="4112"/>
      <c r="BU72" s="4080"/>
      <c r="BV72" s="4080"/>
      <c r="BW72" s="4115"/>
      <c r="BX72" s="4074"/>
      <c r="BY72" s="4112"/>
      <c r="BZ72" s="4080"/>
      <c r="CA72" s="4080"/>
      <c r="CB72" s="4115"/>
      <c r="CC72" s="4074"/>
      <c r="CD72" s="4112"/>
      <c r="CE72" s="4080"/>
      <c r="CF72" s="4080"/>
      <c r="CG72" s="4115"/>
      <c r="CH72" s="4074"/>
      <c r="CI72" s="4112"/>
      <c r="CJ72" s="4080"/>
      <c r="CK72" s="4080"/>
      <c r="CL72" s="4115"/>
      <c r="CM72" s="4074">
        <f>CL72/$CL$89</f>
        <v>0</v>
      </c>
      <c r="CN72" s="4076"/>
      <c r="CP72" s="2030"/>
      <c r="CQ72" s="2030"/>
      <c r="CR72" s="4187"/>
      <c r="CT72" s="2624"/>
    </row>
    <row r="73" spans="1:98"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Y74</f>
        <v>0</v>
      </c>
      <c r="Z73" s="3738"/>
      <c r="AA73" s="3742"/>
      <c r="AB73" s="555">
        <f>AB74</f>
        <v>0</v>
      </c>
      <c r="AC73" s="3738">
        <f>AC74</f>
        <v>0</v>
      </c>
      <c r="AD73" s="3739">
        <f>AD74</f>
        <v>0</v>
      </c>
      <c r="AE73" s="3738"/>
      <c r="AF73" s="3741"/>
      <c r="AG73" s="555">
        <f>AG74</f>
        <v>0</v>
      </c>
      <c r="AH73" s="3738">
        <f>AH74</f>
        <v>0</v>
      </c>
      <c r="AI73" s="3739">
        <f>AI74</f>
        <v>0</v>
      </c>
      <c r="AJ73" s="3738"/>
      <c r="AK73" s="3741"/>
      <c r="AL73" s="555">
        <f>AL74</f>
        <v>0</v>
      </c>
      <c r="AM73" s="3738">
        <f>AM74</f>
        <v>0</v>
      </c>
      <c r="AN73" s="3739">
        <f>AN74</f>
        <v>0</v>
      </c>
      <c r="AO73" s="3738"/>
      <c r="AP73" s="3783"/>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4124">
        <f>CP74</f>
        <v>0</v>
      </c>
      <c r="CQ73" s="4124">
        <f>CQ74</f>
        <v>0</v>
      </c>
      <c r="CR73" s="4124"/>
      <c r="CT73" s="2624"/>
    </row>
    <row r="74" spans="1:98" s="1396" customFormat="1" ht="14.4" outlineLevel="1" thickBot="1">
      <c r="A74" s="1413"/>
      <c r="B74" s="1051" t="s">
        <v>64</v>
      </c>
      <c r="C74" s="3341"/>
      <c r="D74" s="3341"/>
      <c r="E74" s="3386">
        <f>C74+D74*1</f>
        <v>0</v>
      </c>
      <c r="F74" s="3386"/>
      <c r="G74" s="3468"/>
      <c r="H74" s="3341"/>
      <c r="I74" s="3341"/>
      <c r="J74" s="3386">
        <f>H74+I74*1</f>
        <v>0</v>
      </c>
      <c r="K74" s="4074" t="e">
        <f t="shared" ref="K74" si="205">J74/J$89</f>
        <v>#DIV/0!</v>
      </c>
      <c r="L74" s="3468"/>
      <c r="M74" s="3341"/>
      <c r="N74" s="3341"/>
      <c r="O74" s="3386">
        <f>M74+N74*1</f>
        <v>0</v>
      </c>
      <c r="P74" s="4074" t="e">
        <f t="shared" ref="P74" si="206">O74/O$89</f>
        <v>#DIV/0!</v>
      </c>
      <c r="Q74" s="3468"/>
      <c r="R74" s="3469"/>
      <c r="S74" s="3469"/>
      <c r="T74" s="3469"/>
      <c r="U74" s="3469"/>
      <c r="V74" s="3469"/>
      <c r="W74" s="3342">
        <f t="shared" ref="W74:X74" si="207">AB74+AG74+AL74+AV74+BA74+BF74+BK74+BP74+BU74+BZ74+CE74+AQ74</f>
        <v>0</v>
      </c>
      <c r="X74" s="3342">
        <f t="shared" si="207"/>
        <v>0</v>
      </c>
      <c r="Y74" s="3469"/>
      <c r="Z74" s="3469"/>
      <c r="AA74" s="3469"/>
      <c r="AB74" s="3341"/>
      <c r="AC74" s="3341"/>
      <c r="AD74" s="3386">
        <f>AB74+AC74*1</f>
        <v>0</v>
      </c>
      <c r="AE74" s="3386"/>
      <c r="AF74" s="3468"/>
      <c r="AG74" s="3341"/>
      <c r="AH74" s="3341"/>
      <c r="AI74" s="3386">
        <f>AG74+AH74*1</f>
        <v>0</v>
      </c>
      <c r="AJ74" s="3386"/>
      <c r="AK74" s="3468"/>
      <c r="AL74" s="3341"/>
      <c r="AM74" s="3341"/>
      <c r="AN74" s="3386">
        <f>AL74+AM74*1</f>
        <v>0</v>
      </c>
      <c r="AO74" s="3386"/>
      <c r="AP74" s="3724"/>
      <c r="AQ74" s="3341"/>
      <c r="AR74" s="3341"/>
      <c r="AS74" s="3386">
        <f>AQ74+AR74*1</f>
        <v>0</v>
      </c>
      <c r="AT74" s="3386"/>
      <c r="AU74" s="3468"/>
      <c r="AV74" s="3341"/>
      <c r="AW74" s="3341"/>
      <c r="AX74" s="3386">
        <f>AV74+AW74*1</f>
        <v>0</v>
      </c>
      <c r="AY74" s="3386"/>
      <c r="AZ74" s="3468"/>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C74+H74+M74</f>
        <v>0</v>
      </c>
      <c r="CK74" s="3341">
        <f>D74+I74+N74</f>
        <v>0</v>
      </c>
      <c r="CL74" s="3386">
        <f>CJ74+CK74*1</f>
        <v>0</v>
      </c>
      <c r="CM74" s="3386"/>
      <c r="CN74" s="3386"/>
      <c r="CP74" s="4125">
        <f>CN74+CO74*1</f>
        <v>0</v>
      </c>
      <c r="CQ74" s="4125">
        <f>CO74+CP74*1</f>
        <v>0</v>
      </c>
      <c r="CR74" s="4125"/>
      <c r="CT74" s="2624"/>
    </row>
    <row r="75" spans="1:98"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0</v>
      </c>
      <c r="O75" s="1508">
        <f>O38-O41-O50-O54</f>
        <v>0</v>
      </c>
      <c r="P75" s="1953"/>
      <c r="Q75" s="1058"/>
      <c r="R75" s="1450">
        <f>R38-R41-R50-R54</f>
        <v>0</v>
      </c>
      <c r="S75" s="1450">
        <f>S38-S41-S50-S54</f>
        <v>0</v>
      </c>
      <c r="T75" s="1508">
        <f>T38-T41-T50-T54</f>
        <v>0</v>
      </c>
      <c r="U75" s="3470"/>
      <c r="V75" s="3470"/>
      <c r="W75" s="1450">
        <f>W38-W41-W50-W54</f>
        <v>43400.106</v>
      </c>
      <c r="X75" s="1450">
        <f>X38-X41-X50-X54</f>
        <v>-25471.85</v>
      </c>
      <c r="Y75" s="1508">
        <f>Y38-Y41-Y50-Y54</f>
        <v>17928.255999999994</v>
      </c>
      <c r="Z75" s="3470"/>
      <c r="AA75" s="3470"/>
      <c r="AB75" s="1450">
        <f>AB38-AB41-AB50-AB54</f>
        <v>0</v>
      </c>
      <c r="AC75" s="1450">
        <f>AC38-AC41-AC50-AC54</f>
        <v>0</v>
      </c>
      <c r="AD75" s="1508">
        <f>AD38-AD41-AD50-AD54</f>
        <v>0</v>
      </c>
      <c r="AE75" s="1953"/>
      <c r="AF75" s="1058"/>
      <c r="AG75" s="1450">
        <f>AG38-AG41-AG50-AG54</f>
        <v>-21755.14</v>
      </c>
      <c r="AH75" s="1450">
        <f>AH38-AH41-AH50-AH54</f>
        <v>-17951.849999999999</v>
      </c>
      <c r="AI75" s="1508">
        <f>AI38-AI41-AI50-AI54</f>
        <v>-39706.99</v>
      </c>
      <c r="AJ75" s="1953"/>
      <c r="AK75" s="1058"/>
      <c r="AL75" s="1450">
        <f>AL38-AL41-AL50-AL54</f>
        <v>65155.245999999999</v>
      </c>
      <c r="AM75" s="1450">
        <f>AM38-AM41-AM50-AM54</f>
        <v>-7520</v>
      </c>
      <c r="AN75" s="1508">
        <f>AN38-AN41-AN50-AN54</f>
        <v>57635.245999999999</v>
      </c>
      <c r="AO75" s="1953"/>
      <c r="AP75" s="3725"/>
      <c r="AQ75" s="1450">
        <f>AQ38-AQ41-AQ50-AQ54</f>
        <v>0</v>
      </c>
      <c r="AR75" s="1450">
        <f>AR38-AR41-AR50-AR54</f>
        <v>0</v>
      </c>
      <c r="AS75" s="1508">
        <f>AS38-AS41-AS50-AS54</f>
        <v>0</v>
      </c>
      <c r="AT75" s="1953"/>
      <c r="AU75" s="1058"/>
      <c r="AV75" s="1450">
        <f>AV38-AV41-AV50-AV54</f>
        <v>0</v>
      </c>
      <c r="AW75" s="1450">
        <f>AW38-AW41-AW50-AW54</f>
        <v>0</v>
      </c>
      <c r="AX75" s="1508">
        <f>AX38-AX41-AX50-AX54</f>
        <v>0</v>
      </c>
      <c r="AY75" s="1953"/>
      <c r="AZ75" s="1058"/>
      <c r="BA75" s="1450">
        <f>BA38-BA41-BA50-BA54</f>
        <v>0</v>
      </c>
      <c r="BB75" s="1450">
        <f>BB38-BB41-BB50-BB54</f>
        <v>0</v>
      </c>
      <c r="BC75" s="1508">
        <f>BC38-BC41-BC50-BC54</f>
        <v>0</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43400.106</v>
      </c>
      <c r="CK75" s="1450">
        <f>CK38-CK41-CK50-CK54</f>
        <v>-25471.85</v>
      </c>
      <c r="CL75" s="1508">
        <f>CL38-CL41-CL50-CL54</f>
        <v>17928.255999999994</v>
      </c>
      <c r="CM75" s="1953"/>
      <c r="CN75" s="1953"/>
      <c r="CP75" s="3471">
        <f>CP38-CP41-CP50-CP54</f>
        <v>29422.199999999997</v>
      </c>
      <c r="CQ75" s="3471">
        <f>CQ38-CQ41-CQ50-CQ54</f>
        <v>17928.255999999994</v>
      </c>
      <c r="CR75" s="3471">
        <f>CR38-CR41-CR50-CR54</f>
        <v>11493.944</v>
      </c>
      <c r="CT75" s="2624"/>
    </row>
    <row r="76" spans="1:98"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2003">
        <f>IFERROR(AB75/AB5,0)</f>
        <v>0</v>
      </c>
      <c r="AC76" s="2003">
        <f>IFERROR(AC75/AC5,0)</f>
        <v>0</v>
      </c>
      <c r="AD76" s="2004">
        <f>IFERROR(AD75/AD5,0)</f>
        <v>0</v>
      </c>
      <c r="AE76" s="2004"/>
      <c r="AF76" s="1056"/>
      <c r="AG76" s="2003">
        <f>IFERROR(AG75/AG5,0)</f>
        <v>0</v>
      </c>
      <c r="AH76" s="2003">
        <f>IFERROR(AH75/AH5,0)</f>
        <v>0</v>
      </c>
      <c r="AI76" s="2004">
        <f>IFERROR(AI75/AI5,0)</f>
        <v>0</v>
      </c>
      <c r="AJ76" s="2004"/>
      <c r="AK76" s="1056"/>
      <c r="AL76" s="2003">
        <f>IFERROR(AL75/AL5,0)</f>
        <v>0.47908269117647057</v>
      </c>
      <c r="AM76" s="2003">
        <f>IFERROR(AM75/AM5,0)</f>
        <v>0</v>
      </c>
      <c r="AN76" s="2004">
        <f>IFERROR(AN75/AN5,0)</f>
        <v>0.42378857352941174</v>
      </c>
      <c r="AO76" s="2004"/>
      <c r="AP76" s="3722"/>
      <c r="AQ76" s="2003">
        <f>IFERROR(AQ75/AQ5,0)</f>
        <v>0</v>
      </c>
      <c r="AR76" s="2003">
        <f>IFERROR(AR75/AR5,0)</f>
        <v>0</v>
      </c>
      <c r="AS76" s="2004">
        <f>IFERROR(AS75/AS5,0)</f>
        <v>0</v>
      </c>
      <c r="AT76" s="2004"/>
      <c r="AU76" s="1056"/>
      <c r="AV76" s="2003">
        <f>IFERROR(AV75/AV5,0)</f>
        <v>0</v>
      </c>
      <c r="AW76" s="2003">
        <f>IFERROR(AW75/AW5,0)</f>
        <v>0</v>
      </c>
      <c r="AX76" s="2004">
        <f>IFERROR(AX75/AX5,0)</f>
        <v>0</v>
      </c>
      <c r="AY76" s="2004"/>
      <c r="AZ76" s="1056"/>
      <c r="BA76" s="2003">
        <f>IFERROR(BA75/BA5,0)</f>
        <v>0</v>
      </c>
      <c r="BB76" s="2003">
        <f>IFERROR(BB75/BB5,0)</f>
        <v>0</v>
      </c>
      <c r="BC76" s="2004">
        <f>IFERROR(BC75/BC5,0)</f>
        <v>0</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0.31911842647058825</v>
      </c>
      <c r="CK76" s="2003">
        <f>IFERROR(CK75/CK5,0)</f>
        <v>0</v>
      </c>
      <c r="CL76" s="2004">
        <f>IFERROR(CL75/CL5,0)</f>
        <v>0.13182541176470583</v>
      </c>
      <c r="CM76" s="2004"/>
      <c r="CN76" s="2004"/>
      <c r="CP76" s="2004">
        <f>CP75/CP5</f>
        <v>0.21633970588235291</v>
      </c>
      <c r="CQ76" s="2004">
        <f>IFERROR(CQ75/CQ5,0)</f>
        <v>0.13182541176470583</v>
      </c>
      <c r="CR76" s="2004" t="e">
        <f>CR75/CR5</f>
        <v>#DIV/0!</v>
      </c>
      <c r="CT76" s="2624"/>
    </row>
    <row r="77" spans="1:98" s="1396" customFormat="1" ht="14.4" outlineLevel="1" thickBot="1">
      <c r="A77" s="1566"/>
      <c r="B77" s="4126" t="s">
        <v>9</v>
      </c>
      <c r="C77" s="4127">
        <f>C78-C79</f>
        <v>0</v>
      </c>
      <c r="D77" s="4127">
        <f>D78-D79</f>
        <v>0</v>
      </c>
      <c r="E77" s="4128">
        <f>E78-E79</f>
        <v>0</v>
      </c>
      <c r="F77" s="4129"/>
      <c r="G77" s="4130"/>
      <c r="H77" s="4127">
        <f>H78-H79</f>
        <v>0</v>
      </c>
      <c r="I77" s="4127">
        <f>I78-I79</f>
        <v>0</v>
      </c>
      <c r="J77" s="4128">
        <f>J78-J79</f>
        <v>0</v>
      </c>
      <c r="K77" s="4129"/>
      <c r="L77" s="4130"/>
      <c r="M77" s="4127">
        <f>M78-M79</f>
        <v>0</v>
      </c>
      <c r="N77" s="4127">
        <f>N78-N79</f>
        <v>0</v>
      </c>
      <c r="O77" s="4128">
        <f>O78-O79</f>
        <v>0</v>
      </c>
      <c r="P77" s="4129"/>
      <c r="Q77" s="4130"/>
      <c r="R77" s="4127">
        <f>R78-R79</f>
        <v>0</v>
      </c>
      <c r="S77" s="4127">
        <f>S78-S79</f>
        <v>0</v>
      </c>
      <c r="T77" s="4128">
        <f>T78-T79</f>
        <v>0</v>
      </c>
      <c r="U77" s="4131"/>
      <c r="V77" s="4131"/>
      <c r="W77" s="4127">
        <f>W78-W79</f>
        <v>-3806.1377451909962</v>
      </c>
      <c r="X77" s="4127">
        <f>X78-X79</f>
        <v>0</v>
      </c>
      <c r="Y77" s="4128">
        <f>Y78-Y79</f>
        <v>-3806.1377451909962</v>
      </c>
      <c r="Z77" s="4131"/>
      <c r="AA77" s="4131"/>
      <c r="AB77" s="4127">
        <f>AB78-AB79</f>
        <v>0</v>
      </c>
      <c r="AC77" s="4127">
        <f>AC78-AC79</f>
        <v>0</v>
      </c>
      <c r="AD77" s="4128">
        <f>AD78-AD79</f>
        <v>0</v>
      </c>
      <c r="AE77" s="4129"/>
      <c r="AF77" s="4130"/>
      <c r="AG77" s="4127">
        <f>AG78-AG79</f>
        <v>-2682.4598088088214</v>
      </c>
      <c r="AH77" s="4127">
        <f>AH78-AH79</f>
        <v>0</v>
      </c>
      <c r="AI77" s="4128">
        <f>AI78-AI79</f>
        <v>-2682.4598088088214</v>
      </c>
      <c r="AJ77" s="4129"/>
      <c r="AK77" s="4130"/>
      <c r="AL77" s="4127">
        <f>AL78-AL79</f>
        <v>-1123.6779363821747</v>
      </c>
      <c r="AM77" s="4127">
        <f>AM78-AM79</f>
        <v>0</v>
      </c>
      <c r="AN77" s="4128">
        <f>AN78-AN79</f>
        <v>-1123.6779363821747</v>
      </c>
      <c r="AO77" s="4129"/>
      <c r="AP77" s="4172"/>
      <c r="AQ77" s="4127">
        <f>AQ78-AQ79</f>
        <v>0</v>
      </c>
      <c r="AR77" s="4127">
        <f>AR78-AR79</f>
        <v>0</v>
      </c>
      <c r="AS77" s="4128">
        <f>AS78-AS79</f>
        <v>0</v>
      </c>
      <c r="AT77" s="4129"/>
      <c r="AU77" s="4130"/>
      <c r="AV77" s="4127">
        <f>AV78-AV79</f>
        <v>0</v>
      </c>
      <c r="AW77" s="4127">
        <f>AW78-AW79</f>
        <v>0</v>
      </c>
      <c r="AX77" s="4128">
        <f>AX78-AX79</f>
        <v>0</v>
      </c>
      <c r="AY77" s="4129"/>
      <c r="AZ77" s="4130"/>
      <c r="BA77" s="4127">
        <f>BA78-BA79</f>
        <v>0</v>
      </c>
      <c r="BB77" s="4127">
        <f>BB78-BB79</f>
        <v>0</v>
      </c>
      <c r="BC77" s="4128">
        <f>BC78-BC79</f>
        <v>0</v>
      </c>
      <c r="BD77" s="4129"/>
      <c r="BE77" s="4130"/>
      <c r="BF77" s="4127">
        <f>BF78-BF79</f>
        <v>0</v>
      </c>
      <c r="BG77" s="4127">
        <f>BG78-BG79</f>
        <v>0</v>
      </c>
      <c r="BH77" s="4128">
        <f>BH78-BH79</f>
        <v>0</v>
      </c>
      <c r="BI77" s="4129"/>
      <c r="BJ77" s="4130"/>
      <c r="BK77" s="4127">
        <f>BK78-BK79</f>
        <v>0</v>
      </c>
      <c r="BL77" s="4127">
        <f>BL78-BL79</f>
        <v>0</v>
      </c>
      <c r="BM77" s="4128">
        <f>BM78-BM79</f>
        <v>0</v>
      </c>
      <c r="BN77" s="4129"/>
      <c r="BO77" s="4130"/>
      <c r="BP77" s="4127">
        <f>BP78-BP79</f>
        <v>0</v>
      </c>
      <c r="BQ77" s="4127">
        <f>BQ78-BQ79</f>
        <v>0</v>
      </c>
      <c r="BR77" s="4128">
        <f>BR78-BR79</f>
        <v>0</v>
      </c>
      <c r="BS77" s="4129"/>
      <c r="BT77" s="4130"/>
      <c r="BU77" s="4127">
        <f>BU78-BU79</f>
        <v>0</v>
      </c>
      <c r="BV77" s="4127">
        <f>BV78-BV79</f>
        <v>0</v>
      </c>
      <c r="BW77" s="4128">
        <f>BW78-BW79</f>
        <v>0</v>
      </c>
      <c r="BX77" s="4129"/>
      <c r="BY77" s="4130"/>
      <c r="BZ77" s="4127">
        <f>BZ78-BZ79</f>
        <v>0</v>
      </c>
      <c r="CA77" s="4127">
        <f>CA78-CA79</f>
        <v>0</v>
      </c>
      <c r="CB77" s="4128">
        <f>CB78-CB79</f>
        <v>0</v>
      </c>
      <c r="CC77" s="4129"/>
      <c r="CD77" s="4130"/>
      <c r="CE77" s="4127">
        <f>CE78-CE79</f>
        <v>0</v>
      </c>
      <c r="CF77" s="4127">
        <f>CF78-CF79</f>
        <v>0</v>
      </c>
      <c r="CG77" s="4128">
        <f>CG78-CG79</f>
        <v>0</v>
      </c>
      <c r="CH77" s="4129"/>
      <c r="CI77" s="4130"/>
      <c r="CJ77" s="4127">
        <f>CJ78-CJ79</f>
        <v>-3806.1377451909962</v>
      </c>
      <c r="CK77" s="4127">
        <f>CK78-CK79</f>
        <v>0</v>
      </c>
      <c r="CL77" s="4128">
        <f>CL78-CL79</f>
        <v>-3806.1377451909962</v>
      </c>
      <c r="CM77" s="4129"/>
      <c r="CN77" s="4129"/>
      <c r="CP77" s="4128">
        <f>CP78-CP79</f>
        <v>-675</v>
      </c>
      <c r="CQ77" s="4128">
        <f>CQ78-CQ79</f>
        <v>-3806.1377451909962</v>
      </c>
      <c r="CR77" s="4128"/>
      <c r="CT77" s="2624"/>
    </row>
    <row r="78" spans="1:98" s="1396" customFormat="1" ht="13.8" outlineLevel="2">
      <c r="A78" s="1405"/>
      <c r="B78" s="1400" t="s">
        <v>43</v>
      </c>
      <c r="C78" s="3341"/>
      <c r="D78" s="3341"/>
      <c r="E78" s="3391">
        <f>C78+D78*1.15</f>
        <v>0</v>
      </c>
      <c r="F78" s="3391"/>
      <c r="G78" s="3473"/>
      <c r="H78" s="3341"/>
      <c r="I78" s="3341"/>
      <c r="J78" s="3391">
        <f>H78+I78*1.15</f>
        <v>0</v>
      </c>
      <c r="K78" s="4074" t="e">
        <f t="shared" ref="K78:K79" si="208">J78/J$89</f>
        <v>#DIV/0!</v>
      </c>
      <c r="L78" s="3473"/>
      <c r="M78" s="3341"/>
      <c r="N78" s="3341"/>
      <c r="O78" s="3391">
        <f>M78+N78*1.15</f>
        <v>0</v>
      </c>
      <c r="P78" s="4074" t="e">
        <f t="shared" ref="P78:P79" si="209">O78/O$89</f>
        <v>#DIV/0!</v>
      </c>
      <c r="Q78" s="3473"/>
      <c r="R78" s="3342">
        <f t="shared" ref="R78:S79" si="210">M78+H78+C78</f>
        <v>0</v>
      </c>
      <c r="S78" s="3342">
        <f t="shared" si="210"/>
        <v>0</v>
      </c>
      <c r="T78" s="2012">
        <f t="shared" ref="T78:T79" si="211">R78+S78</f>
        <v>0</v>
      </c>
      <c r="U78" s="3474"/>
      <c r="V78" s="3474"/>
      <c r="W78" s="3342">
        <f t="shared" ref="W78:X79" si="212">AB78+AG78+AL78+AV78+BA78+BF78+BK78+BP78+BU78+BZ78+CE78+AQ78</f>
        <v>0</v>
      </c>
      <c r="X78" s="3342">
        <f t="shared" si="212"/>
        <v>0</v>
      </c>
      <c r="Y78" s="2012">
        <f t="shared" ref="Y78:Y79" si="213">W78+X78</f>
        <v>0</v>
      </c>
      <c r="Z78" s="3474"/>
      <c r="AA78" s="3474"/>
      <c r="AB78" s="3341"/>
      <c r="AC78" s="3341"/>
      <c r="AD78" s="3391">
        <f>AB78+AC78*1.15</f>
        <v>0</v>
      </c>
      <c r="AE78" s="3391"/>
      <c r="AF78" s="3473"/>
      <c r="AG78" s="3341"/>
      <c r="AH78" s="3341"/>
      <c r="AI78" s="3391">
        <f>AG78+AH78*1.15</f>
        <v>0</v>
      </c>
      <c r="AJ78" s="3391"/>
      <c r="AK78" s="3473"/>
      <c r="AL78" s="3341"/>
      <c r="AM78" s="3341"/>
      <c r="AN78" s="3391">
        <f>AL78+AM78*1.15</f>
        <v>0</v>
      </c>
      <c r="AO78" s="3391"/>
      <c r="AP78" s="3726"/>
      <c r="AQ78" s="3341"/>
      <c r="AR78" s="3341"/>
      <c r="AS78" s="3391">
        <f>AQ78+AR78*1.15</f>
        <v>0</v>
      </c>
      <c r="AT78" s="3391"/>
      <c r="AU78" s="3473"/>
      <c r="AV78" s="3341"/>
      <c r="AW78" s="3341"/>
      <c r="AX78" s="3391">
        <f>AV78+AW78*1.15</f>
        <v>0</v>
      </c>
      <c r="AY78" s="3391"/>
      <c r="AZ78" s="3473"/>
      <c r="BA78" s="3341"/>
      <c r="BB78" s="3341"/>
      <c r="BC78" s="3391">
        <f>BA78+BB78*1.15</f>
        <v>0</v>
      </c>
      <c r="BD78" s="3391"/>
      <c r="BE78" s="3473"/>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14">C78+H78+M78+W78</f>
        <v>0</v>
      </c>
      <c r="CK78" s="3341">
        <f t="shared" si="214"/>
        <v>0</v>
      </c>
      <c r="CL78" s="3391">
        <f>CJ78+CK78*1.15</f>
        <v>0</v>
      </c>
      <c r="CM78" s="3391"/>
      <c r="CN78" s="3391"/>
      <c r="CP78" s="3475">
        <f>CN78+CO78*1.15</f>
        <v>0</v>
      </c>
      <c r="CQ78" s="3475">
        <f>CO78+CP78*1.15</f>
        <v>0</v>
      </c>
      <c r="CR78" s="4188"/>
      <c r="CT78" s="2624"/>
    </row>
    <row r="79" spans="1:98" s="1396" customFormat="1" ht="13.8" outlineLevel="2">
      <c r="A79" s="1405"/>
      <c r="B79" s="4132" t="s">
        <v>79</v>
      </c>
      <c r="C79" s="3341">
        <v>0</v>
      </c>
      <c r="D79" s="3341"/>
      <c r="E79" s="2012">
        <f>C79+D79</f>
        <v>0</v>
      </c>
      <c r="F79" s="4100"/>
      <c r="G79" s="4099"/>
      <c r="H79" s="3341">
        <v>0</v>
      </c>
      <c r="I79" s="3341"/>
      <c r="J79" s="2012">
        <f>H79+I79</f>
        <v>0</v>
      </c>
      <c r="K79" s="4074" t="e">
        <f t="shared" si="208"/>
        <v>#DIV/0!</v>
      </c>
      <c r="L79" s="4099"/>
      <c r="M79" s="3341">
        <v>0</v>
      </c>
      <c r="N79" s="3341"/>
      <c r="O79" s="2012">
        <f>M79+N79</f>
        <v>0</v>
      </c>
      <c r="P79" s="4074" t="e">
        <f t="shared" si="209"/>
        <v>#DIV/0!</v>
      </c>
      <c r="Q79" s="4099"/>
      <c r="R79" s="3342">
        <f t="shared" si="210"/>
        <v>0</v>
      </c>
      <c r="S79" s="3342">
        <f t="shared" si="210"/>
        <v>0</v>
      </c>
      <c r="T79" s="2012">
        <f t="shared" si="211"/>
        <v>0</v>
      </c>
      <c r="U79" s="3455"/>
      <c r="V79" s="3455"/>
      <c r="W79" s="3342">
        <f t="shared" si="212"/>
        <v>3806.1377451909962</v>
      </c>
      <c r="X79" s="3342">
        <f t="shared" si="212"/>
        <v>0</v>
      </c>
      <c r="Y79" s="2012">
        <f t="shared" si="213"/>
        <v>3806.1377451909962</v>
      </c>
      <c r="Z79" s="3455"/>
      <c r="AA79" s="3455"/>
      <c r="AB79" s="3341">
        <v>0</v>
      </c>
      <c r="AC79" s="3341"/>
      <c r="AD79" s="2012">
        <f>AB79+AC79</f>
        <v>0</v>
      </c>
      <c r="AE79" s="4100"/>
      <c r="AF79" s="4099"/>
      <c r="AG79" s="3341">
        <v>2682.4598088088214</v>
      </c>
      <c r="AH79" s="3341"/>
      <c r="AI79" s="2012">
        <f>AG79+AH79</f>
        <v>2682.4598088088214</v>
      </c>
      <c r="AJ79" s="4100"/>
      <c r="AK79" s="4099"/>
      <c r="AL79" s="3341">
        <v>1123.6779363821747</v>
      </c>
      <c r="AM79" s="3341"/>
      <c r="AN79" s="2012">
        <f>AL79+AM79</f>
        <v>1123.6779363821747</v>
      </c>
      <c r="AO79" s="4100"/>
      <c r="AP79" s="4167"/>
      <c r="AQ79" s="3341">
        <v>0</v>
      </c>
      <c r="AR79" s="3341"/>
      <c r="AS79" s="2012">
        <f>AQ79+AR79</f>
        <v>0</v>
      </c>
      <c r="AT79" s="4100"/>
      <c r="AU79" s="4099"/>
      <c r="AV79" s="3341">
        <v>0</v>
      </c>
      <c r="AW79" s="3341"/>
      <c r="AX79" s="2012">
        <f>AV79+AW79</f>
        <v>0</v>
      </c>
      <c r="AY79" s="4100"/>
      <c r="AZ79" s="4099"/>
      <c r="BA79" s="3341">
        <v>0</v>
      </c>
      <c r="BB79" s="3341"/>
      <c r="BC79" s="2012">
        <f>BA79+BB79</f>
        <v>0</v>
      </c>
      <c r="BD79" s="4100"/>
      <c r="BE79" s="4099"/>
      <c r="BF79" s="3341">
        <v>0</v>
      </c>
      <c r="BG79" s="3341"/>
      <c r="BH79" s="2012">
        <f>BF79+BG79</f>
        <v>0</v>
      </c>
      <c r="BI79" s="4100"/>
      <c r="BJ79" s="4099"/>
      <c r="BK79" s="3341"/>
      <c r="BL79" s="3341"/>
      <c r="BM79" s="2012">
        <f>BK79+BL79</f>
        <v>0</v>
      </c>
      <c r="BN79" s="4100"/>
      <c r="BO79" s="4099"/>
      <c r="BP79" s="3341">
        <v>0</v>
      </c>
      <c r="BQ79" s="3341"/>
      <c r="BR79" s="2012">
        <f>BP79+BQ79</f>
        <v>0</v>
      </c>
      <c r="BS79" s="4100"/>
      <c r="BT79" s="4099"/>
      <c r="BU79" s="3341">
        <v>0</v>
      </c>
      <c r="BV79" s="3341"/>
      <c r="BW79" s="2012">
        <f>BU79+BV79</f>
        <v>0</v>
      </c>
      <c r="BX79" s="4100"/>
      <c r="BY79" s="4099"/>
      <c r="BZ79" s="3341">
        <v>0</v>
      </c>
      <c r="CA79" s="3341"/>
      <c r="CB79" s="2012">
        <f>BZ79+CA79</f>
        <v>0</v>
      </c>
      <c r="CC79" s="4100"/>
      <c r="CD79" s="4099"/>
      <c r="CE79" s="3341">
        <v>0</v>
      </c>
      <c r="CF79" s="3341"/>
      <c r="CG79" s="2012">
        <f>CE79+CF79</f>
        <v>0</v>
      </c>
      <c r="CH79" s="4100"/>
      <c r="CI79" s="4099"/>
      <c r="CJ79" s="3341">
        <f t="shared" si="214"/>
        <v>3806.1377451909962</v>
      </c>
      <c r="CK79" s="3341">
        <f t="shared" si="214"/>
        <v>0</v>
      </c>
      <c r="CL79" s="2012">
        <f t="shared" ref="CL79" si="215">CJ79+CK79*1</f>
        <v>3806.1377451909962</v>
      </c>
      <c r="CM79" s="4100"/>
      <c r="CN79" s="4100"/>
      <c r="CP79" s="2012">
        <f>CP18*0.15</f>
        <v>675</v>
      </c>
      <c r="CQ79" s="2012">
        <f>CJ79</f>
        <v>3806.1377451909962</v>
      </c>
      <c r="CR79" s="4188">
        <f t="shared" ref="CR79" si="216">CP79-CQ79</f>
        <v>-3131.1377451909962</v>
      </c>
      <c r="CT79" s="2624"/>
    </row>
    <row r="80" spans="1:98" ht="13.8" outlineLevel="2">
      <c r="A80" s="1397"/>
      <c r="B80" s="4123"/>
      <c r="C80" s="3341"/>
      <c r="D80" s="3341"/>
      <c r="E80" s="4133"/>
      <c r="F80" s="4133"/>
      <c r="G80" s="4134"/>
      <c r="H80" s="3341"/>
      <c r="I80" s="3341"/>
      <c r="J80" s="4133"/>
      <c r="K80" s="4133"/>
      <c r="L80" s="4134"/>
      <c r="M80" s="3341"/>
      <c r="N80" s="3341"/>
      <c r="O80" s="4133"/>
      <c r="P80" s="4133"/>
      <c r="Q80" s="4134"/>
      <c r="R80" s="3448"/>
      <c r="S80" s="3448"/>
      <c r="T80" s="3448"/>
      <c r="U80" s="3448"/>
      <c r="V80" s="3448"/>
      <c r="W80" s="3448"/>
      <c r="X80" s="3448"/>
      <c r="Y80" s="3448"/>
      <c r="Z80" s="3448"/>
      <c r="AA80" s="3448"/>
      <c r="AB80" s="3341"/>
      <c r="AC80" s="3341"/>
      <c r="AD80" s="4133"/>
      <c r="AE80" s="4133"/>
      <c r="AF80" s="4134"/>
      <c r="AG80" s="3341"/>
      <c r="AH80" s="3341"/>
      <c r="AI80" s="4133"/>
      <c r="AJ80" s="4133"/>
      <c r="AK80" s="4134"/>
      <c r="AL80" s="3341"/>
      <c r="AM80" s="3341"/>
      <c r="AN80" s="4133"/>
      <c r="AO80" s="4133"/>
      <c r="AP80" s="4173"/>
      <c r="AQ80" s="3341"/>
      <c r="AR80" s="3341"/>
      <c r="AS80" s="4133"/>
      <c r="AT80" s="4133"/>
      <c r="AU80" s="4134"/>
      <c r="AV80" s="3341"/>
      <c r="AW80" s="3341"/>
      <c r="AX80" s="4133"/>
      <c r="AY80" s="4133"/>
      <c r="AZ80" s="4134"/>
      <c r="BA80" s="3341"/>
      <c r="BB80" s="3341"/>
      <c r="BC80" s="4133"/>
      <c r="BD80" s="4133"/>
      <c r="BE80" s="4134"/>
      <c r="BF80" s="3341"/>
      <c r="BG80" s="3341"/>
      <c r="BH80" s="4133"/>
      <c r="BI80" s="4133"/>
      <c r="BJ80" s="4134"/>
      <c r="BK80" s="3341"/>
      <c r="BL80" s="3341"/>
      <c r="BM80" s="4133"/>
      <c r="BN80" s="4133"/>
      <c r="BO80" s="4134"/>
      <c r="BP80" s="3341"/>
      <c r="BQ80" s="3341"/>
      <c r="BR80" s="4133"/>
      <c r="BS80" s="4133"/>
      <c r="BT80" s="4134"/>
      <c r="BU80" s="3341"/>
      <c r="BV80" s="3341"/>
      <c r="BW80" s="4133"/>
      <c r="BX80" s="4133"/>
      <c r="BY80" s="4134"/>
      <c r="BZ80" s="3341"/>
      <c r="CA80" s="3341"/>
      <c r="CB80" s="4133"/>
      <c r="CC80" s="4133"/>
      <c r="CD80" s="4134"/>
      <c r="CE80" s="3341"/>
      <c r="CF80" s="3341"/>
      <c r="CG80" s="4133"/>
      <c r="CH80" s="4133"/>
      <c r="CI80" s="4134"/>
      <c r="CJ80" s="3341">
        <f>C80+H80+M80</f>
        <v>0</v>
      </c>
      <c r="CK80" s="3341">
        <f>D80+I80+N80</f>
        <v>0</v>
      </c>
      <c r="CL80" s="4133"/>
      <c r="CM80" s="4133"/>
      <c r="CN80" s="4133"/>
      <c r="CP80" s="4135"/>
      <c r="CQ80" s="4135"/>
      <c r="CR80" s="4188"/>
    </row>
    <row r="81" spans="1:101" s="1396" customFormat="1" ht="14.4" outlineLevel="1" thickBot="1">
      <c r="A81" s="1419"/>
      <c r="B81" s="4126" t="s">
        <v>12</v>
      </c>
      <c r="C81" s="4127">
        <f>(C75+C78)-C79</f>
        <v>0</v>
      </c>
      <c r="D81" s="4127">
        <f>(D75+D78)-D79</f>
        <v>0</v>
      </c>
      <c r="E81" s="4128">
        <f>(E75+E78)-E79</f>
        <v>0</v>
      </c>
      <c r="F81" s="4129"/>
      <c r="G81" s="4130"/>
      <c r="H81" s="4127">
        <f>(H75+H78)-H79</f>
        <v>0</v>
      </c>
      <c r="I81" s="4127">
        <f>(I75+I78)-I79</f>
        <v>0</v>
      </c>
      <c r="J81" s="4128">
        <f>(J75+J78)-J79</f>
        <v>0</v>
      </c>
      <c r="K81" s="4129"/>
      <c r="L81" s="4130"/>
      <c r="M81" s="4127">
        <f>(M75+M78)-M79</f>
        <v>0</v>
      </c>
      <c r="N81" s="4127">
        <f>(N75+N78)-N79</f>
        <v>0</v>
      </c>
      <c r="O81" s="4128">
        <f>(O75+O78)-O79</f>
        <v>0</v>
      </c>
      <c r="P81" s="4129"/>
      <c r="Q81" s="4130"/>
      <c r="R81" s="4127">
        <f>(R75+R78)-R79</f>
        <v>0</v>
      </c>
      <c r="S81" s="4127">
        <f>(S75+S78)-S79</f>
        <v>0</v>
      </c>
      <c r="T81" s="4128">
        <f>(T75+T78)-T79</f>
        <v>0</v>
      </c>
      <c r="U81" s="4131"/>
      <c r="V81" s="4131"/>
      <c r="W81" s="4127">
        <f>(W75+W78)-W79</f>
        <v>39593.968254809006</v>
      </c>
      <c r="X81" s="4127">
        <f>(X75+X78)-X79</f>
        <v>-25471.85</v>
      </c>
      <c r="Y81" s="4128">
        <f>(Y75+Y78)-Y79</f>
        <v>14122.118254808998</v>
      </c>
      <c r="Z81" s="4131"/>
      <c r="AA81" s="4131"/>
      <c r="AB81" s="4127">
        <f>(AB75+AB78)-AB79</f>
        <v>0</v>
      </c>
      <c r="AC81" s="4127">
        <f>(AC75+AC78)-AC79</f>
        <v>0</v>
      </c>
      <c r="AD81" s="4128">
        <f>(AD75+AD78)-AD79</f>
        <v>0</v>
      </c>
      <c r="AE81" s="4129"/>
      <c r="AF81" s="4130"/>
      <c r="AG81" s="4127">
        <f>(AG75+AG78)-AG79</f>
        <v>-24437.59980880882</v>
      </c>
      <c r="AH81" s="4127">
        <f>(AH75+AH78)-AH79</f>
        <v>-17951.849999999999</v>
      </c>
      <c r="AI81" s="4128">
        <f>(AI75+AI78)-AI79</f>
        <v>-42389.449808808822</v>
      </c>
      <c r="AJ81" s="4129"/>
      <c r="AK81" s="4130"/>
      <c r="AL81" s="4127">
        <f>(AL75+AL78)-AL79</f>
        <v>64031.568063617822</v>
      </c>
      <c r="AM81" s="4127">
        <f>(AM75+AM78)-AM79</f>
        <v>-7520</v>
      </c>
      <c r="AN81" s="4128">
        <f>(AN75+AN78)-AN79</f>
        <v>56511.568063617822</v>
      </c>
      <c r="AO81" s="4129"/>
      <c r="AP81" s="4172"/>
      <c r="AQ81" s="4127">
        <f>(AQ75+AQ78)-AQ79</f>
        <v>0</v>
      </c>
      <c r="AR81" s="4127">
        <f>(AR75+AR78)-AR79</f>
        <v>0</v>
      </c>
      <c r="AS81" s="4128">
        <f>(AS75+AS78)-AS79</f>
        <v>0</v>
      </c>
      <c r="AT81" s="4129"/>
      <c r="AU81" s="4130"/>
      <c r="AV81" s="4127">
        <f>(AV75+AV78)-AV79</f>
        <v>0</v>
      </c>
      <c r="AW81" s="4127">
        <f>(AW75+AW78)-AW79</f>
        <v>0</v>
      </c>
      <c r="AX81" s="4128">
        <f>(AX75+AX78)-AX79</f>
        <v>0</v>
      </c>
      <c r="AY81" s="4129"/>
      <c r="AZ81" s="4130"/>
      <c r="BA81" s="4127">
        <f>(BA75+BA78)-BA79</f>
        <v>0</v>
      </c>
      <c r="BB81" s="4127">
        <f>(BB75+BB78)-BB79</f>
        <v>0</v>
      </c>
      <c r="BC81" s="4128">
        <f>(BC75+BC78)-BC79</f>
        <v>0</v>
      </c>
      <c r="BD81" s="4129"/>
      <c r="BE81" s="4130"/>
      <c r="BF81" s="4127">
        <f>(BF75+BF78)-BF79</f>
        <v>0</v>
      </c>
      <c r="BG81" s="4127">
        <f>(BG75+BG78)-BG79</f>
        <v>0</v>
      </c>
      <c r="BH81" s="4128">
        <f>(BH75+BH78)-BH79</f>
        <v>0</v>
      </c>
      <c r="BI81" s="4129"/>
      <c r="BJ81" s="4130"/>
      <c r="BK81" s="4127">
        <f>(BK75+BK78)-BK79</f>
        <v>0</v>
      </c>
      <c r="BL81" s="4127">
        <f>(BL75+BL78)-BL79</f>
        <v>0</v>
      </c>
      <c r="BM81" s="4128">
        <f>(BM75+BM78)-BM79</f>
        <v>0</v>
      </c>
      <c r="BN81" s="4129"/>
      <c r="BO81" s="4130"/>
      <c r="BP81" s="4127">
        <f>(BP75+BP78)-BP79</f>
        <v>0</v>
      </c>
      <c r="BQ81" s="4127">
        <f>(BQ75+BQ78)-BQ79</f>
        <v>0</v>
      </c>
      <c r="BR81" s="4128">
        <f>(BR75+BR78)-BR79</f>
        <v>0</v>
      </c>
      <c r="BS81" s="4129"/>
      <c r="BT81" s="4130"/>
      <c r="BU81" s="4127">
        <f>(BU75+BU78)-BU79</f>
        <v>0</v>
      </c>
      <c r="BV81" s="4127">
        <f>(BV75+BV78)-BV79</f>
        <v>0</v>
      </c>
      <c r="BW81" s="4128">
        <f>(BW75+BW78)-BW79</f>
        <v>0</v>
      </c>
      <c r="BX81" s="4129"/>
      <c r="BY81" s="4130"/>
      <c r="BZ81" s="4127">
        <f>(BZ75+BZ78)-BZ79</f>
        <v>0</v>
      </c>
      <c r="CA81" s="4127">
        <f>(CA75+CA78)-CA79</f>
        <v>0</v>
      </c>
      <c r="CB81" s="4128">
        <f>(CB75+CB78)-CB79</f>
        <v>0</v>
      </c>
      <c r="CC81" s="4129"/>
      <c r="CD81" s="4130"/>
      <c r="CE81" s="4127">
        <f>(CE75+CE78)-CE79</f>
        <v>0</v>
      </c>
      <c r="CF81" s="4127">
        <f>(CF75+CF78)-CF79</f>
        <v>0</v>
      </c>
      <c r="CG81" s="4128">
        <f>(CG75+CG78)-CG79</f>
        <v>0</v>
      </c>
      <c r="CH81" s="4129"/>
      <c r="CI81" s="4130"/>
      <c r="CJ81" s="4127">
        <f>(CJ75+CJ78)-CJ79</f>
        <v>39593.968254809006</v>
      </c>
      <c r="CK81" s="4127">
        <f>(CK75+CK78)-CK79</f>
        <v>-25471.85</v>
      </c>
      <c r="CL81" s="4128">
        <f>(CL75+CL78)-CL79</f>
        <v>14122.118254808998</v>
      </c>
      <c r="CM81" s="4129"/>
      <c r="CN81" s="4129"/>
      <c r="CP81" s="4128">
        <f>(CP75+CP78)-CP79</f>
        <v>28747.199999999997</v>
      </c>
      <c r="CQ81" s="4136">
        <f>(CQ75+CQ78)-CQ79</f>
        <v>14122.118254808998</v>
      </c>
      <c r="CR81" s="4128">
        <f>(CR75+CR78)-CR79</f>
        <v>14625.081745190995</v>
      </c>
      <c r="CT81" s="2624"/>
    </row>
    <row r="82" spans="1:101" s="1396" customFormat="1" ht="13.8" outlineLevel="2">
      <c r="A82" s="1565"/>
      <c r="B82" s="1400" t="s">
        <v>38</v>
      </c>
      <c r="C82" s="3341"/>
      <c r="D82" s="3341"/>
      <c r="E82" s="3390">
        <f>C82+D82</f>
        <v>0</v>
      </c>
      <c r="F82" s="3381"/>
      <c r="G82" s="3455"/>
      <c r="H82" s="3341"/>
      <c r="I82" s="3341"/>
      <c r="J82" s="3390">
        <f>H82+I82</f>
        <v>0</v>
      </c>
      <c r="K82" s="4074" t="e">
        <f t="shared" ref="K82" si="217">J82/J$89</f>
        <v>#DIV/0!</v>
      </c>
      <c r="L82" s="3455"/>
      <c r="M82" s="3341"/>
      <c r="N82" s="3341"/>
      <c r="O82" s="3390">
        <f>M82+N82</f>
        <v>0</v>
      </c>
      <c r="P82" s="4074" t="e">
        <f t="shared" ref="P82" si="218">O82/O$89</f>
        <v>#DIV/0!</v>
      </c>
      <c r="Q82" s="3455"/>
      <c r="R82" s="3342">
        <f t="shared" ref="R82:S82" si="219">M82+H82+C82</f>
        <v>0</v>
      </c>
      <c r="S82" s="3342">
        <f t="shared" si="219"/>
        <v>0</v>
      </c>
      <c r="T82" s="2012">
        <f t="shared" ref="T82" si="220">R82+S82</f>
        <v>0</v>
      </c>
      <c r="U82" s="3455"/>
      <c r="V82" s="3455"/>
      <c r="W82" s="3342">
        <f t="shared" ref="W82:X82" si="221">AB82+AG82+AL82+AV82+BA82+BF82+BK82+BP82+BU82+BZ82+CE82+AQ82</f>
        <v>0</v>
      </c>
      <c r="X82" s="3342">
        <f t="shared" si="221"/>
        <v>0</v>
      </c>
      <c r="Y82" s="2012">
        <f t="shared" ref="Y82" si="222">W82+X82</f>
        <v>0</v>
      </c>
      <c r="Z82" s="3455"/>
      <c r="AA82" s="3455"/>
      <c r="AB82" s="3341"/>
      <c r="AC82" s="3341"/>
      <c r="AD82" s="3390">
        <f>AB82+AC82</f>
        <v>0</v>
      </c>
      <c r="AE82" s="3381"/>
      <c r="AF82" s="3455"/>
      <c r="AG82" s="3341"/>
      <c r="AH82" s="3341"/>
      <c r="AI82" s="3390">
        <f>AG82+AH82</f>
        <v>0</v>
      </c>
      <c r="AJ82" s="3381"/>
      <c r="AK82" s="3455"/>
      <c r="AL82" s="3341"/>
      <c r="AM82" s="3341"/>
      <c r="AN82" s="3390">
        <f>AL82+AM82</f>
        <v>0</v>
      </c>
      <c r="AO82" s="3381"/>
      <c r="AP82" s="3727"/>
      <c r="AQ82" s="3341"/>
      <c r="AR82" s="3341"/>
      <c r="AS82" s="3390">
        <f>AQ82+AR82</f>
        <v>0</v>
      </c>
      <c r="AT82" s="3381"/>
      <c r="AU82" s="3455"/>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381"/>
      <c r="CP82" s="3415">
        <f>CN82+CO82</f>
        <v>0</v>
      </c>
      <c r="CQ82" s="3415">
        <f>CO82+CP82</f>
        <v>0</v>
      </c>
      <c r="CR82" s="3415"/>
      <c r="CT82" s="2624"/>
    </row>
    <row r="83" spans="1:101" s="1396" customFormat="1" ht="13.8" outlineLevel="1">
      <c r="A83" s="1405"/>
      <c r="B83" s="4137" t="s">
        <v>13</v>
      </c>
      <c r="C83" s="4138">
        <f>(C81+C7)-C36</f>
        <v>0</v>
      </c>
      <c r="D83" s="4138">
        <f>(D81+D7)-D36</f>
        <v>0</v>
      </c>
      <c r="E83" s="4139">
        <f>(E81+E7)-E36</f>
        <v>0</v>
      </c>
      <c r="F83" s="4140"/>
      <c r="G83" s="4141"/>
      <c r="H83" s="4138">
        <f>(H81+H7)-H36</f>
        <v>0</v>
      </c>
      <c r="I83" s="4138">
        <f>(I81+I7)-I36</f>
        <v>0</v>
      </c>
      <c r="J83" s="4139">
        <f>(J81+J7)-J36</f>
        <v>0</v>
      </c>
      <c r="K83" s="4140"/>
      <c r="L83" s="4141"/>
      <c r="M83" s="4138">
        <f>(M81+M7)-M36</f>
        <v>0</v>
      </c>
      <c r="N83" s="4138">
        <f>(N81+N7)-N36</f>
        <v>0</v>
      </c>
      <c r="O83" s="4139">
        <f>(O81+O7)-O36</f>
        <v>0</v>
      </c>
      <c r="P83" s="4140"/>
      <c r="Q83" s="4141"/>
      <c r="R83" s="4138">
        <f>(R81+R7)-R36</f>
        <v>0</v>
      </c>
      <c r="S83" s="4138">
        <f>(S81+S7)-S36</f>
        <v>0</v>
      </c>
      <c r="T83" s="4139">
        <f>(T81+T7)-T36</f>
        <v>0</v>
      </c>
      <c r="U83" s="4142"/>
      <c r="V83" s="4142"/>
      <c r="W83" s="4138">
        <f>(W81+W7)-W36</f>
        <v>39593.968254809006</v>
      </c>
      <c r="X83" s="4138">
        <f>(X81+X7)-X36</f>
        <v>-25471.85</v>
      </c>
      <c r="Y83" s="4139">
        <f>(Y81+Y7)-Y36</f>
        <v>14122.118254808998</v>
      </c>
      <c r="Z83" s="4142"/>
      <c r="AA83" s="4142"/>
      <c r="AB83" s="4138">
        <f>(AB81+AB7)-AB36</f>
        <v>0</v>
      </c>
      <c r="AC83" s="4138">
        <f>(AC81+AC7)-AC36</f>
        <v>0</v>
      </c>
      <c r="AD83" s="4139">
        <f>(AD81+AD7)-AD36</f>
        <v>0</v>
      </c>
      <c r="AE83" s="4140"/>
      <c r="AF83" s="4141"/>
      <c r="AG83" s="4138">
        <f>(AG81+AG7)-AG36</f>
        <v>-24437.59980880882</v>
      </c>
      <c r="AH83" s="4138">
        <f>(AH81+AH7)-AH36</f>
        <v>-17951.849999999999</v>
      </c>
      <c r="AI83" s="4139">
        <f>(AI81+AI7)-AI36</f>
        <v>-42389.449808808822</v>
      </c>
      <c r="AJ83" s="4140"/>
      <c r="AK83" s="4141"/>
      <c r="AL83" s="4138">
        <f>(AL81+AL7)-AL36</f>
        <v>64031.568063617822</v>
      </c>
      <c r="AM83" s="4138">
        <f>(AM81+AM7)-AM36</f>
        <v>-7520</v>
      </c>
      <c r="AN83" s="4139">
        <f>(AN81+AN7)-AN36</f>
        <v>56511.568063617822</v>
      </c>
      <c r="AO83" s="4140"/>
      <c r="AP83" s="4174"/>
      <c r="AQ83" s="4138">
        <f>(AQ81+AQ7)-AQ36</f>
        <v>0</v>
      </c>
      <c r="AR83" s="4138">
        <f>(AR81+AR7)-AR36</f>
        <v>0</v>
      </c>
      <c r="AS83" s="4139">
        <f>(AS81+AS7)-AS36</f>
        <v>0</v>
      </c>
      <c r="AT83" s="4140"/>
      <c r="AU83" s="4141"/>
      <c r="AV83" s="4138">
        <f>(AV81+AV7)-AV36</f>
        <v>0</v>
      </c>
      <c r="AW83" s="4138">
        <f>(AW81+AW7)-AW36</f>
        <v>0</v>
      </c>
      <c r="AX83" s="4139">
        <f>(AX81+AX7)-AX36</f>
        <v>0</v>
      </c>
      <c r="AY83" s="4140"/>
      <c r="AZ83" s="4141"/>
      <c r="BA83" s="4138">
        <f>(BA81+BA7)-BA36</f>
        <v>0</v>
      </c>
      <c r="BB83" s="4138">
        <f>(BB81+BB7)-BB36</f>
        <v>0</v>
      </c>
      <c r="BC83" s="4139">
        <f>(BC81+BC7)-BC36</f>
        <v>0</v>
      </c>
      <c r="BD83" s="4140"/>
      <c r="BE83" s="4141"/>
      <c r="BF83" s="4138">
        <f>(BF81+BF7)-BF36</f>
        <v>0</v>
      </c>
      <c r="BG83" s="4138">
        <f>(BG81+BG7)-BG36</f>
        <v>0</v>
      </c>
      <c r="BH83" s="4139">
        <f>(BH81+BH7)-BH36</f>
        <v>0</v>
      </c>
      <c r="BI83" s="4140"/>
      <c r="BJ83" s="4141"/>
      <c r="BK83" s="4138">
        <f>(BK81+BK7)-BK36</f>
        <v>0</v>
      </c>
      <c r="BL83" s="4138">
        <f>(BL81+BL7)-BL36</f>
        <v>0</v>
      </c>
      <c r="BM83" s="4139">
        <f>(BM81+BM7)-BM36</f>
        <v>0</v>
      </c>
      <c r="BN83" s="4140"/>
      <c r="BO83" s="4141"/>
      <c r="BP83" s="4138">
        <f>(BP81+BP7)-BP36</f>
        <v>0</v>
      </c>
      <c r="BQ83" s="4138">
        <f>(BQ81+BQ7)-BQ36</f>
        <v>0</v>
      </c>
      <c r="BR83" s="4139">
        <f>(BR81+BR7)-BR36</f>
        <v>0</v>
      </c>
      <c r="BS83" s="4140"/>
      <c r="BT83" s="4141"/>
      <c r="BU83" s="4138">
        <f>(BU81+BU7)-BU36</f>
        <v>0</v>
      </c>
      <c r="BV83" s="4138">
        <f>(BV81+BV7)-BV36</f>
        <v>0</v>
      </c>
      <c r="BW83" s="4139">
        <f>(BW81+BW7)-BW36</f>
        <v>0</v>
      </c>
      <c r="BX83" s="4140"/>
      <c r="BY83" s="4141"/>
      <c r="BZ83" s="4138">
        <f>(BZ81+BZ7)-BZ36</f>
        <v>0</v>
      </c>
      <c r="CA83" s="4138">
        <f>(CA81+CA7)-CA36</f>
        <v>0</v>
      </c>
      <c r="CB83" s="4139">
        <f>(CB81+CB7)-CB36</f>
        <v>0</v>
      </c>
      <c r="CC83" s="4140"/>
      <c r="CD83" s="4141"/>
      <c r="CE83" s="4138">
        <f>(CE81+CE7)-CE36</f>
        <v>0</v>
      </c>
      <c r="CF83" s="4138">
        <f>(CF81+CF7)-CF36</f>
        <v>0</v>
      </c>
      <c r="CG83" s="4139">
        <f>(CG81+CG7)-CG36</f>
        <v>0</v>
      </c>
      <c r="CH83" s="4140"/>
      <c r="CI83" s="4141"/>
      <c r="CJ83" s="4138">
        <f>(CJ81+CJ7)-CJ36</f>
        <v>39593.968254809006</v>
      </c>
      <c r="CK83" s="4138">
        <f>(CK81+CK7)-CK36</f>
        <v>-25471.85</v>
      </c>
      <c r="CL83" s="4139">
        <f>(CL81+CL7)-CL36</f>
        <v>14122.118254808998</v>
      </c>
      <c r="CM83" s="4140"/>
      <c r="CN83" s="4140"/>
      <c r="CP83" s="3481">
        <f>(CP81+CP7)-CP36</f>
        <v>28747.199999999997</v>
      </c>
      <c r="CQ83" s="3481">
        <f>(CQ81+CQ7)-CQ36</f>
        <v>14122.118254808998</v>
      </c>
      <c r="CR83" s="3481">
        <f>(CR81+CR7)-CR36</f>
        <v>14625.081745190995</v>
      </c>
      <c r="CT83" s="2624"/>
    </row>
    <row r="84" spans="1:101" s="1396" customFormat="1" ht="14.4" outlineLevel="1" thickBot="1">
      <c r="A84" s="1405"/>
      <c r="B84" s="4143" t="s">
        <v>14</v>
      </c>
      <c r="C84" s="4144">
        <f>C83-C73-C82</f>
        <v>0</v>
      </c>
      <c r="D84" s="4144">
        <f>D83-D73-D82</f>
        <v>0</v>
      </c>
      <c r="E84" s="4144">
        <f>E83-E73-E82</f>
        <v>0</v>
      </c>
      <c r="F84" s="4145"/>
      <c r="G84" s="4146"/>
      <c r="H84" s="4144">
        <f>H83-H73-H82</f>
        <v>0</v>
      </c>
      <c r="I84" s="4144">
        <f>I83-I73-I82</f>
        <v>0</v>
      </c>
      <c r="J84" s="4144">
        <f>J83-J73-J82</f>
        <v>0</v>
      </c>
      <c r="K84" s="4145"/>
      <c r="L84" s="4146"/>
      <c r="M84" s="4144">
        <f>M83-M73-M82</f>
        <v>0</v>
      </c>
      <c r="N84" s="4144">
        <f>N83-N73-N82</f>
        <v>0</v>
      </c>
      <c r="O84" s="4144">
        <f>O83-O73-O82</f>
        <v>0</v>
      </c>
      <c r="P84" s="4145"/>
      <c r="Q84" s="4146"/>
      <c r="R84" s="4144">
        <f>R83-R73-R82</f>
        <v>0</v>
      </c>
      <c r="S84" s="4144">
        <f>S83-S73-S82</f>
        <v>0</v>
      </c>
      <c r="T84" s="4144">
        <f>T83-T73-T82</f>
        <v>0</v>
      </c>
      <c r="U84" s="4146"/>
      <c r="V84" s="4146"/>
      <c r="W84" s="4086">
        <f t="shared" ref="W84:X84" si="223">AB84+AG84+AL84+AV84+BA84+BF84+BK84+BP84+BU84+BZ84+CE84</f>
        <v>39593.968254809006</v>
      </c>
      <c r="X84" s="4087">
        <f t="shared" si="223"/>
        <v>-25471.85</v>
      </c>
      <c r="Y84" s="4144">
        <f>Y83-Y73-Y82</f>
        <v>14122.118254808998</v>
      </c>
      <c r="Z84" s="4146"/>
      <c r="AA84" s="4146"/>
      <c r="AB84" s="4144">
        <f>AB83-AB73-AB82</f>
        <v>0</v>
      </c>
      <c r="AC84" s="4144">
        <f>AC83-AC73-AC82</f>
        <v>0</v>
      </c>
      <c r="AD84" s="4144">
        <f>AD83-AD73-AD82</f>
        <v>0</v>
      </c>
      <c r="AE84" s="4145"/>
      <c r="AF84" s="4146"/>
      <c r="AG84" s="4144">
        <f>AG83-AG73-AG82</f>
        <v>-24437.59980880882</v>
      </c>
      <c r="AH84" s="4144">
        <f>AH83-AH73-AH82</f>
        <v>-17951.849999999999</v>
      </c>
      <c r="AI84" s="4144">
        <f>AI83-AI73-AI82</f>
        <v>-42389.449808808822</v>
      </c>
      <c r="AJ84" s="4145"/>
      <c r="AK84" s="4146"/>
      <c r="AL84" s="4144">
        <f>AL83-AL73-AL82</f>
        <v>64031.568063617822</v>
      </c>
      <c r="AM84" s="4144">
        <f>AM83-AM73-AM82</f>
        <v>-7520</v>
      </c>
      <c r="AN84" s="4144">
        <f>AN83-AN73-AN82</f>
        <v>56511.568063617822</v>
      </c>
      <c r="AO84" s="4145"/>
      <c r="AP84" s="4175"/>
      <c r="AQ84" s="4144">
        <f>AQ83-AQ73-AQ82</f>
        <v>0</v>
      </c>
      <c r="AR84" s="4144">
        <f>AR83-AR73-AR82</f>
        <v>0</v>
      </c>
      <c r="AS84" s="4144">
        <f>AS83-AS73-AS82</f>
        <v>0</v>
      </c>
      <c r="AT84" s="4145"/>
      <c r="AU84" s="4146"/>
      <c r="AV84" s="4144">
        <f>AV83-AV73-AV82</f>
        <v>0</v>
      </c>
      <c r="AW84" s="4144">
        <f>AW83-AW73-AW82</f>
        <v>0</v>
      </c>
      <c r="AX84" s="4144">
        <f>AX83-AX73-AX82</f>
        <v>0</v>
      </c>
      <c r="AY84" s="4145"/>
      <c r="AZ84" s="4146"/>
      <c r="BA84" s="4144">
        <f>BA83-BA73-BA82</f>
        <v>0</v>
      </c>
      <c r="BB84" s="4144">
        <f>BB83-BB73-BB82</f>
        <v>0</v>
      </c>
      <c r="BC84" s="4144">
        <f>BC83-BC73-BC82</f>
        <v>0</v>
      </c>
      <c r="BD84" s="4145"/>
      <c r="BE84" s="4146"/>
      <c r="BF84" s="4144">
        <f>BF83-BF73-BF82</f>
        <v>0</v>
      </c>
      <c r="BG84" s="4144">
        <f>BG83-BG73-BG82</f>
        <v>0</v>
      </c>
      <c r="BH84" s="4144">
        <f>BH83-BH73-BH82</f>
        <v>0</v>
      </c>
      <c r="BI84" s="4145"/>
      <c r="BJ84" s="4146"/>
      <c r="BK84" s="4144">
        <f>BK83-BK73-BK82</f>
        <v>0</v>
      </c>
      <c r="BL84" s="4144">
        <f>BL83-BL73-BL82</f>
        <v>0</v>
      </c>
      <c r="BM84" s="4144">
        <f>BM83-BM73-BM82</f>
        <v>0</v>
      </c>
      <c r="BN84" s="4145"/>
      <c r="BO84" s="4146"/>
      <c r="BP84" s="4144">
        <f>BP83-BP73-BP82</f>
        <v>0</v>
      </c>
      <c r="BQ84" s="4144">
        <f>BQ83-BQ73-BQ82</f>
        <v>0</v>
      </c>
      <c r="BR84" s="4144">
        <f>BR83-BR73-BR82</f>
        <v>0</v>
      </c>
      <c r="BS84" s="4145"/>
      <c r="BT84" s="4146"/>
      <c r="BU84" s="4144">
        <f>BU83-BU73-BU82</f>
        <v>0</v>
      </c>
      <c r="BV84" s="4144">
        <f>BV83-BV73-BV82</f>
        <v>0</v>
      </c>
      <c r="BW84" s="4144">
        <f>BW83-BW73-BW82</f>
        <v>0</v>
      </c>
      <c r="BX84" s="4145"/>
      <c r="BY84" s="4146"/>
      <c r="BZ84" s="4144">
        <f>BZ83-BZ73-BZ82</f>
        <v>0</v>
      </c>
      <c r="CA84" s="4144">
        <f>CA83-CA73-CA82</f>
        <v>0</v>
      </c>
      <c r="CB84" s="4144">
        <f>CB83-CB73-CB82</f>
        <v>0</v>
      </c>
      <c r="CC84" s="4145"/>
      <c r="CD84" s="4146"/>
      <c r="CE84" s="4144">
        <f>CE83-CE73-CE82</f>
        <v>0</v>
      </c>
      <c r="CF84" s="4144">
        <f>CF83-CF73-CF82</f>
        <v>0</v>
      </c>
      <c r="CG84" s="4144">
        <f>CG83-CG73-CG82</f>
        <v>0</v>
      </c>
      <c r="CH84" s="4145"/>
      <c r="CI84" s="4146"/>
      <c r="CJ84" s="4082">
        <f t="shared" ref="CJ84:CK84" si="224">C84+H84+M84+W84</f>
        <v>39593.968254809006</v>
      </c>
      <c r="CK84" s="4082">
        <f t="shared" si="224"/>
        <v>-25471.85</v>
      </c>
      <c r="CL84" s="4144">
        <f>CL83-CL73-CL82</f>
        <v>14122.118254808998</v>
      </c>
      <c r="CM84" s="4145"/>
      <c r="CN84" s="4145"/>
      <c r="CP84" s="3309">
        <f>CP83-CP73-CP82</f>
        <v>28747.199999999997</v>
      </c>
      <c r="CQ84" s="3484">
        <f>CQ83-CQ73-CQ82</f>
        <v>14122.118254808998</v>
      </c>
      <c r="CR84" s="3309">
        <f>CR83-CR73-CR82</f>
        <v>14625.081745190995</v>
      </c>
      <c r="CT84" s="2624"/>
    </row>
    <row r="85" spans="1:101" s="1396" customFormat="1" ht="13.8" outlineLevel="3">
      <c r="A85" s="1565"/>
      <c r="B85" s="1403" t="s">
        <v>44</v>
      </c>
      <c r="C85" s="3341"/>
      <c r="D85" s="3341"/>
      <c r="E85" s="2012">
        <f>C85+D85*1.15</f>
        <v>0</v>
      </c>
      <c r="F85" s="3381"/>
      <c r="G85" s="3455"/>
      <c r="H85" s="3341"/>
      <c r="I85" s="3341"/>
      <c r="J85" s="2012">
        <f>H85+I85*1.15</f>
        <v>0</v>
      </c>
      <c r="K85" s="4074" t="e">
        <f t="shared" ref="K85" si="225">J85/J$89</f>
        <v>#DIV/0!</v>
      </c>
      <c r="L85" s="3455"/>
      <c r="M85" s="3341"/>
      <c r="N85" s="3341"/>
      <c r="O85" s="2012">
        <f>M85+N85*1.15</f>
        <v>0</v>
      </c>
      <c r="P85" s="4074" t="e">
        <f t="shared" ref="P85" si="226">O85/O$89</f>
        <v>#DIV/0!</v>
      </c>
      <c r="Q85" s="3455"/>
      <c r="R85" s="3342">
        <f t="shared" ref="R85:S85" si="227">M85+H85+C85</f>
        <v>0</v>
      </c>
      <c r="S85" s="3342">
        <f t="shared" si="227"/>
        <v>0</v>
      </c>
      <c r="T85" s="2012">
        <f t="shared" ref="T85" si="228">R85+S85</f>
        <v>0</v>
      </c>
      <c r="U85" s="3455"/>
      <c r="V85" s="3455"/>
      <c r="W85" s="3342">
        <f t="shared" ref="W85:X85" si="229">AB85+AG85+AL85+AV85+BA85+BF85+BK85+BP85+BU85+BZ85+CE85+AQ85</f>
        <v>0</v>
      </c>
      <c r="X85" s="3342">
        <f t="shared" si="229"/>
        <v>0</v>
      </c>
      <c r="Y85" s="2012">
        <f t="shared" ref="Y85" si="230">W85+X85</f>
        <v>0</v>
      </c>
      <c r="Z85" s="3455"/>
      <c r="AA85" s="3455"/>
      <c r="AB85" s="3341"/>
      <c r="AC85" s="3341"/>
      <c r="AD85" s="2012">
        <f>AB85+AC85*1.15</f>
        <v>0</v>
      </c>
      <c r="AE85" s="3381"/>
      <c r="AF85" s="3455"/>
      <c r="AG85" s="3341"/>
      <c r="AH85" s="3341"/>
      <c r="AI85" s="2012">
        <f>AG85+AH85*1.15</f>
        <v>0</v>
      </c>
      <c r="AJ85" s="3381"/>
      <c r="AK85" s="3455"/>
      <c r="AL85" s="3341"/>
      <c r="AM85" s="3341"/>
      <c r="AN85" s="2012">
        <f>AL85+AM85*1.15</f>
        <v>0</v>
      </c>
      <c r="AO85" s="3381"/>
      <c r="AP85" s="3727"/>
      <c r="AQ85" s="3341"/>
      <c r="AR85" s="3341"/>
      <c r="AS85" s="2012">
        <f>AQ85+AR85*1.15</f>
        <v>0</v>
      </c>
      <c r="AT85" s="3381"/>
      <c r="AU85" s="3455"/>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2124">
        <f>CN85+CO85*1.15</f>
        <v>0</v>
      </c>
      <c r="CQ85" s="2124">
        <f>CO85+CP85*1.15</f>
        <v>0</v>
      </c>
      <c r="CR85" s="2124"/>
      <c r="CT85" s="2624" t="s">
        <v>1986</v>
      </c>
    </row>
    <row r="86" spans="1:101" s="1396" customFormat="1" ht="27.6">
      <c r="A86" s="1405"/>
      <c r="B86" s="4147" t="s">
        <v>50</v>
      </c>
      <c r="C86" s="4148">
        <f>C84-C85</f>
        <v>0</v>
      </c>
      <c r="D86" s="4148">
        <f>D84-D85</f>
        <v>0</v>
      </c>
      <c r="E86" s="4148">
        <f>E84-E85</f>
        <v>0</v>
      </c>
      <c r="F86" s="4149"/>
      <c r="G86" s="4150"/>
      <c r="H86" s="4148">
        <f>H84-H85</f>
        <v>0</v>
      </c>
      <c r="I86" s="4148">
        <f>I84-I85</f>
        <v>0</v>
      </c>
      <c r="J86" s="4148">
        <f>J84-J85</f>
        <v>0</v>
      </c>
      <c r="K86" s="4149"/>
      <c r="L86" s="4150"/>
      <c r="M86" s="4148">
        <f>M84-M85</f>
        <v>0</v>
      </c>
      <c r="N86" s="4148">
        <f>N84-N85</f>
        <v>0</v>
      </c>
      <c r="O86" s="4148">
        <f>O84-O85</f>
        <v>0</v>
      </c>
      <c r="P86" s="4149"/>
      <c r="Q86" s="4150"/>
      <c r="R86" s="4148">
        <f>R84-R85</f>
        <v>0</v>
      </c>
      <c r="S86" s="4148">
        <f>S84-S85</f>
        <v>0</v>
      </c>
      <c r="T86" s="4148">
        <f>T84-T85</f>
        <v>0</v>
      </c>
      <c r="U86" s="4150"/>
      <c r="V86" s="4150"/>
      <c r="W86" s="4148">
        <f>W84-W85</f>
        <v>39593.968254809006</v>
      </c>
      <c r="X86" s="4148">
        <f>X84-X85</f>
        <v>-25471.85</v>
      </c>
      <c r="Y86" s="4148">
        <f>Y84-Y85</f>
        <v>14122.118254808998</v>
      </c>
      <c r="Z86" s="4150"/>
      <c r="AA86" s="4150"/>
      <c r="AB86" s="4148">
        <f>AB84-AB85</f>
        <v>0</v>
      </c>
      <c r="AC86" s="4148">
        <f>AC84-AC85</f>
        <v>0</v>
      </c>
      <c r="AD86" s="4148">
        <f>AD84-AD85</f>
        <v>0</v>
      </c>
      <c r="AE86" s="4149"/>
      <c r="AF86" s="4150"/>
      <c r="AG86" s="4148">
        <f>AG84-AG85</f>
        <v>-24437.59980880882</v>
      </c>
      <c r="AH86" s="4148">
        <f>AH84-AH85</f>
        <v>-17951.849999999999</v>
      </c>
      <c r="AI86" s="4148">
        <f>AI84-AI85</f>
        <v>-42389.449808808822</v>
      </c>
      <c r="AJ86" s="4149"/>
      <c r="AK86" s="4150"/>
      <c r="AL86" s="4148">
        <f>AL84-AL85</f>
        <v>64031.568063617822</v>
      </c>
      <c r="AM86" s="4148">
        <f>AM84-AM85</f>
        <v>-7520</v>
      </c>
      <c r="AN86" s="4148">
        <f>AN84-AN85</f>
        <v>56511.568063617822</v>
      </c>
      <c r="AO86" s="4149"/>
      <c r="AP86" s="4176"/>
      <c r="AQ86" s="4148">
        <f>AQ84-AQ85</f>
        <v>0</v>
      </c>
      <c r="AR86" s="4148">
        <f>AR84-AR85</f>
        <v>0</v>
      </c>
      <c r="AS86" s="4148">
        <f>AS84-AS85</f>
        <v>0</v>
      </c>
      <c r="AT86" s="4149"/>
      <c r="AU86" s="4150"/>
      <c r="AV86" s="4148">
        <f>AV84-AV85</f>
        <v>0</v>
      </c>
      <c r="AW86" s="4148">
        <f>AW84-AW85</f>
        <v>0</v>
      </c>
      <c r="AX86" s="4148">
        <f>AX84-AX85</f>
        <v>0</v>
      </c>
      <c r="AY86" s="4149"/>
      <c r="AZ86" s="4150"/>
      <c r="BA86" s="4148">
        <f>BA84-BA85</f>
        <v>0</v>
      </c>
      <c r="BB86" s="4148">
        <f>BB84-BB85</f>
        <v>0</v>
      </c>
      <c r="BC86" s="4148">
        <f>BC84-BC85</f>
        <v>0</v>
      </c>
      <c r="BD86" s="4149"/>
      <c r="BE86" s="4150"/>
      <c r="BF86" s="4148">
        <f>BF84-BF85</f>
        <v>0</v>
      </c>
      <c r="BG86" s="4148">
        <f>BG84-BG85</f>
        <v>0</v>
      </c>
      <c r="BH86" s="4148">
        <f>BH84-BH85</f>
        <v>0</v>
      </c>
      <c r="BI86" s="4149"/>
      <c r="BJ86" s="4150"/>
      <c r="BK86" s="4148">
        <f>BK84-BK85</f>
        <v>0</v>
      </c>
      <c r="BL86" s="4148">
        <f>BL84-BL85</f>
        <v>0</v>
      </c>
      <c r="BM86" s="4148">
        <f>BM84-BM85</f>
        <v>0</v>
      </c>
      <c r="BN86" s="4149"/>
      <c r="BO86" s="4150"/>
      <c r="BP86" s="4148">
        <f>BP84-BP85</f>
        <v>0</v>
      </c>
      <c r="BQ86" s="4148">
        <f>BQ84-BQ85</f>
        <v>0</v>
      </c>
      <c r="BR86" s="4148">
        <f>BR84-BR85</f>
        <v>0</v>
      </c>
      <c r="BS86" s="4149"/>
      <c r="BT86" s="4150"/>
      <c r="BU86" s="4148">
        <f>BU84-BU85</f>
        <v>0</v>
      </c>
      <c r="BV86" s="4148">
        <f>BV84-BV85</f>
        <v>0</v>
      </c>
      <c r="BW86" s="4148">
        <f>BW84-BW85</f>
        <v>0</v>
      </c>
      <c r="BX86" s="4149"/>
      <c r="BY86" s="4150"/>
      <c r="BZ86" s="4148">
        <f>BZ84-BZ85</f>
        <v>0</v>
      </c>
      <c r="CA86" s="4148">
        <f>CA84-CA85</f>
        <v>0</v>
      </c>
      <c r="CB86" s="4148">
        <f>CB84-CB85</f>
        <v>0</v>
      </c>
      <c r="CC86" s="4149"/>
      <c r="CD86" s="4150"/>
      <c r="CE86" s="4148">
        <f>CE84-CE85</f>
        <v>0</v>
      </c>
      <c r="CF86" s="4148">
        <f>CF84-CF85</f>
        <v>0</v>
      </c>
      <c r="CG86" s="4148">
        <f>CG84-CG85</f>
        <v>0</v>
      </c>
      <c r="CH86" s="4149"/>
      <c r="CI86" s="4150"/>
      <c r="CJ86" s="4148">
        <f>CJ84-CJ85</f>
        <v>39593.968254809006</v>
      </c>
      <c r="CK86" s="4148">
        <f>CK84-CK85</f>
        <v>-25471.85</v>
      </c>
      <c r="CL86" s="4148">
        <f>CL84-CL85</f>
        <v>14122.118254808998</v>
      </c>
      <c r="CM86" s="4149"/>
      <c r="CN86" s="4149"/>
      <c r="CP86" s="3481">
        <f>CP84-CP85</f>
        <v>28747.199999999997</v>
      </c>
      <c r="CQ86" s="3481">
        <f>CQ84-CQ85</f>
        <v>14122.118254808998</v>
      </c>
      <c r="CR86" s="3481">
        <f>CR84-CR85</f>
        <v>14625.081745190995</v>
      </c>
      <c r="CT86" s="4189">
        <f>-CR86/CP86</f>
        <v>-0.50874804312040811</v>
      </c>
      <c r="CW86" s="933"/>
    </row>
    <row r="87" spans="1:101" s="1396" customFormat="1" ht="14.4" thickBot="1">
      <c r="A87" s="1567"/>
      <c r="B87" s="4151" t="s">
        <v>51</v>
      </c>
      <c r="C87" s="4152">
        <f>IFERROR(C86/C5,0)</f>
        <v>0</v>
      </c>
      <c r="D87" s="4153">
        <f>IFERROR(D86/D5,0)</f>
        <v>0</v>
      </c>
      <c r="E87" s="4154">
        <f>IFERROR(E86/E5,0)</f>
        <v>0</v>
      </c>
      <c r="F87" s="4155"/>
      <c r="G87" s="4156"/>
      <c r="H87" s="4152">
        <f>IFERROR(H86/H5,0)</f>
        <v>0</v>
      </c>
      <c r="I87" s="4153">
        <f>IFERROR(I86/I5,0)</f>
        <v>0</v>
      </c>
      <c r="J87" s="4154">
        <f>IFERROR(J86/J5,0)</f>
        <v>0</v>
      </c>
      <c r="K87" s="4155"/>
      <c r="L87" s="4156"/>
      <c r="M87" s="4152">
        <f>IFERROR(M86/M5,0)</f>
        <v>0</v>
      </c>
      <c r="N87" s="4153">
        <f>IFERROR(N86/N5,0)</f>
        <v>0</v>
      </c>
      <c r="O87" s="4154">
        <f>IFERROR(O86/O5,0)</f>
        <v>0</v>
      </c>
      <c r="P87" s="4155"/>
      <c r="Q87" s="4156"/>
      <c r="R87" s="4157"/>
      <c r="S87" s="4157"/>
      <c r="T87" s="4157"/>
      <c r="U87" s="4157"/>
      <c r="V87" s="4157"/>
      <c r="W87" s="4157"/>
      <c r="X87" s="4157"/>
      <c r="Y87" s="4157"/>
      <c r="Z87" s="4157"/>
      <c r="AA87" s="4157"/>
      <c r="AB87" s="4152">
        <f>IFERROR(AB86/AB5,0)</f>
        <v>0</v>
      </c>
      <c r="AC87" s="4153">
        <f>IFERROR(AC86/AC5,0)</f>
        <v>0</v>
      </c>
      <c r="AD87" s="4154">
        <f>IFERROR(AD86/AD5,0)</f>
        <v>0</v>
      </c>
      <c r="AE87" s="4155"/>
      <c r="AF87" s="4156"/>
      <c r="AG87" s="4152">
        <f>IFERROR(AG86/AG5,0)</f>
        <v>0</v>
      </c>
      <c r="AH87" s="4153">
        <f>IFERROR(AH86/AH5,0)</f>
        <v>0</v>
      </c>
      <c r="AI87" s="4154">
        <f>IFERROR(AI86/AI5,0)</f>
        <v>0</v>
      </c>
      <c r="AJ87" s="4155"/>
      <c r="AK87" s="4156"/>
      <c r="AL87" s="4152">
        <f>IFERROR(AL86/AL5,0)</f>
        <v>0.47082035340895456</v>
      </c>
      <c r="AM87" s="4153">
        <f>IFERROR(AM86/AM5,0)</f>
        <v>0</v>
      </c>
      <c r="AN87" s="4154">
        <f>IFERROR(AN86/AN5,0)</f>
        <v>0.41552623576189573</v>
      </c>
      <c r="AO87" s="4155"/>
      <c r="AP87" s="4177"/>
      <c r="AQ87" s="4152">
        <f>IFERROR(AQ86/AQ5,0)</f>
        <v>0</v>
      </c>
      <c r="AR87" s="4153">
        <f>IFERROR(AR86/AR5,0)</f>
        <v>0</v>
      </c>
      <c r="AS87" s="4154">
        <f>IFERROR(AS86/AS5,0)</f>
        <v>0</v>
      </c>
      <c r="AT87" s="4155"/>
      <c r="AU87" s="4156"/>
      <c r="AV87" s="4152">
        <f>IFERROR(AV86/AV5,0)</f>
        <v>0</v>
      </c>
      <c r="AW87" s="4153">
        <f>IFERROR(AW86/AW5,0)</f>
        <v>0</v>
      </c>
      <c r="AX87" s="4154">
        <f>IFERROR(AX86/AX5,0)</f>
        <v>0</v>
      </c>
      <c r="AY87" s="4155"/>
      <c r="AZ87" s="4156"/>
      <c r="BA87" s="4152">
        <f>IFERROR(BA86/BA5,0)</f>
        <v>0</v>
      </c>
      <c r="BB87" s="4153">
        <f>IFERROR(BB86/BB5,0)</f>
        <v>0</v>
      </c>
      <c r="BC87" s="4154">
        <f>IFERROR(BC86/BC5,0)</f>
        <v>0</v>
      </c>
      <c r="BD87" s="4155"/>
      <c r="BE87" s="4156"/>
      <c r="BF87" s="4152">
        <f>IFERROR(BF86/BF5,0)</f>
        <v>0</v>
      </c>
      <c r="BG87" s="4153">
        <f>IFERROR(BG86/BG5,0)</f>
        <v>0</v>
      </c>
      <c r="BH87" s="4154">
        <f>IFERROR(BH86/BH5,0)</f>
        <v>0</v>
      </c>
      <c r="BI87" s="4155"/>
      <c r="BJ87" s="4156"/>
      <c r="BK87" s="4152">
        <f>IFERROR(BK86/BK5,0)</f>
        <v>0</v>
      </c>
      <c r="BL87" s="4153">
        <f>IFERROR(BL86/BL5,0)</f>
        <v>0</v>
      </c>
      <c r="BM87" s="4154">
        <f>IFERROR(BM86/BM5,0)</f>
        <v>0</v>
      </c>
      <c r="BN87" s="4155"/>
      <c r="BO87" s="4156"/>
      <c r="BP87" s="4152">
        <f>IFERROR(BP86/BP5,0)</f>
        <v>0</v>
      </c>
      <c r="BQ87" s="4153">
        <f>IFERROR(BQ86/BQ5,0)</f>
        <v>0</v>
      </c>
      <c r="BR87" s="4154">
        <f>IFERROR(BR86/BR5,0)</f>
        <v>0</v>
      </c>
      <c r="BS87" s="4155"/>
      <c r="BT87" s="4156"/>
      <c r="BU87" s="4152">
        <f>IFERROR(BU86/BU5,0)</f>
        <v>0</v>
      </c>
      <c r="BV87" s="4153">
        <f>IFERROR(BV86/BV5,0)</f>
        <v>0</v>
      </c>
      <c r="BW87" s="4154">
        <f>IFERROR(BW86/BW5,0)</f>
        <v>0</v>
      </c>
      <c r="BX87" s="4155"/>
      <c r="BY87" s="4156"/>
      <c r="BZ87" s="4152">
        <f>IFERROR(BZ86/BZ5,0)</f>
        <v>0</v>
      </c>
      <c r="CA87" s="4153">
        <f>IFERROR(CA86/CA5,0)</f>
        <v>0</v>
      </c>
      <c r="CB87" s="4154">
        <f>IFERROR(CB86/CB5,0)</f>
        <v>0</v>
      </c>
      <c r="CC87" s="4155"/>
      <c r="CD87" s="4156"/>
      <c r="CE87" s="4152">
        <f>IFERROR(CE86/CE5,0)</f>
        <v>0</v>
      </c>
      <c r="CF87" s="4153">
        <f>IFERROR(CF86/CF5,0)</f>
        <v>0</v>
      </c>
      <c r="CG87" s="4154">
        <f>IFERROR(CG86/CG5,0)</f>
        <v>0</v>
      </c>
      <c r="CH87" s="4155"/>
      <c r="CI87" s="4156"/>
      <c r="CJ87" s="4152">
        <f>IFERROR(CJ86/CJ5,0)</f>
        <v>0.29113211952065443</v>
      </c>
      <c r="CK87" s="4153">
        <f>IFERROR(CK86/CK5,0)</f>
        <v>0</v>
      </c>
      <c r="CL87" s="4154">
        <f>IFERROR(CL86/CL5,0)</f>
        <v>0.10383910481477204</v>
      </c>
      <c r="CM87" s="4155"/>
      <c r="CN87" s="4155"/>
      <c r="CP87" s="4154">
        <f>CP86/CP5</f>
        <v>0.21137647058823528</v>
      </c>
      <c r="CQ87" s="4162">
        <f>IFERROR(CQ86/CQ5,0)</f>
        <v>0.10383910481477204</v>
      </c>
      <c r="CR87" s="4154" t="e">
        <f>CR86/CR5</f>
        <v>#DIV/0!</v>
      </c>
      <c r="CT87" s="2624"/>
    </row>
    <row r="88" spans="1:101"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1611"/>
      <c r="AG88" s="1954"/>
      <c r="AH88" s="1954"/>
      <c r="AI88" s="1954"/>
      <c r="AJ88" s="1954"/>
      <c r="AK88" s="1611"/>
      <c r="AL88" s="1954"/>
      <c r="AM88" s="1954"/>
      <c r="AN88" s="1954"/>
      <c r="AO88" s="1954"/>
      <c r="AP88" s="3729"/>
      <c r="AQ88" s="1954"/>
      <c r="AR88" s="1954"/>
      <c r="AS88" s="1954"/>
      <c r="AT88" s="1954"/>
      <c r="AU88" s="1611"/>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1954"/>
      <c r="CQ88" s="1954"/>
      <c r="CR88" s="1954"/>
    </row>
    <row r="89" spans="1:101">
      <c r="B89" s="1562" t="s">
        <v>56</v>
      </c>
      <c r="E89" s="1960">
        <f>E8+E36+E41+E50+E54+E73+E79+E82+E85</f>
        <v>0</v>
      </c>
      <c r="G89" s="1963"/>
      <c r="J89" s="1960">
        <f>J8+J36+J41+J50+J54+J73+J79+J82+J85</f>
        <v>0</v>
      </c>
      <c r="L89" s="1963"/>
      <c r="O89" s="1960">
        <f>O8+O36+O41+O50+O54+O73+O79+O82+O85</f>
        <v>0</v>
      </c>
      <c r="Q89" s="1963"/>
      <c r="R89" s="1963"/>
      <c r="S89" s="1963"/>
      <c r="T89" s="1960">
        <f>T8+T36+T41+T50+T54+T73+T79+T82+T85</f>
        <v>0</v>
      </c>
      <c r="U89" s="1963"/>
      <c r="V89" s="1963"/>
      <c r="W89" s="1963"/>
      <c r="X89" s="1963"/>
      <c r="Y89" s="1960">
        <f>Y8+Y36+Y41+Y50+Y54+Y73+Y79+Y82+Y85</f>
        <v>121877.881745191</v>
      </c>
      <c r="Z89" s="1963"/>
      <c r="AA89" s="1963"/>
      <c r="AD89" s="1960">
        <f>AD8+AD36+AD41+AD50+AD54+AD73+AD79+AD82+AD85</f>
        <v>0</v>
      </c>
      <c r="AF89" s="1963"/>
      <c r="AI89" s="1960">
        <f>AI8+AI36+AI41+AI50+AI54+AI73+AI79+AI82+AI85</f>
        <v>42389.449808808822</v>
      </c>
      <c r="AK89" s="1963"/>
      <c r="AN89" s="1960">
        <f>AN8+AN36+AN41+AN50+AN54+AN73+AN79+AN82+AN85</f>
        <v>79488.431936382171</v>
      </c>
      <c r="AS89" s="1960">
        <f>AS8+AS36+AS41+AS50+AS54+AS73+AS79+AS82+AS85</f>
        <v>0</v>
      </c>
      <c r="AU89" s="1963"/>
      <c r="AX89" s="1960">
        <f>AX8+AX36+AX41+AX50+AX54+AX73+AX79+AX82+AX85</f>
        <v>0</v>
      </c>
      <c r="AZ89" s="1963"/>
      <c r="BC89" s="1960">
        <f>BC8+BC36+BC41+BC50+BC54+BC73+BC79+BC82+BC85</f>
        <v>0</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121877.881745191</v>
      </c>
    </row>
    <row r="90" spans="1:101">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1963"/>
      <c r="AC90" s="1963"/>
      <c r="AD90" s="1963"/>
      <c r="AE90" s="1963"/>
      <c r="AF90" s="1963"/>
      <c r="AG90" s="1963"/>
      <c r="AH90" s="1963"/>
      <c r="AI90" s="1963"/>
      <c r="AJ90" s="1963"/>
      <c r="AK90" s="1963"/>
      <c r="AL90" s="1963"/>
      <c r="AM90" s="1963"/>
      <c r="AN90" s="1963"/>
      <c r="AO90" s="1963"/>
      <c r="AQ90" s="1963"/>
      <c r="AR90" s="1963"/>
      <c r="AS90" s="1963"/>
      <c r="AT90" s="1963"/>
      <c r="AU90" s="1963"/>
      <c r="AV90" s="1963"/>
      <c r="AW90" s="1963"/>
      <c r="AX90" s="1963"/>
      <c r="AY90" s="1963"/>
      <c r="AZ90" s="1963"/>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t="b">
        <f>J89+O89+E89+Y89=CL89</f>
        <v>1</v>
      </c>
    </row>
    <row r="91" spans="1:101"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963"/>
      <c r="AG91" s="1963"/>
      <c r="AH91" s="1963"/>
      <c r="AI91" s="1963"/>
      <c r="AJ91" s="1963"/>
      <c r="AK91" s="1963"/>
      <c r="AL91" s="1963"/>
      <c r="AM91" s="1963"/>
      <c r="AN91" s="1963"/>
      <c r="AO91" s="1963"/>
      <c r="AP91" s="1586"/>
      <c r="AQ91" s="1963"/>
      <c r="AR91" s="1963"/>
      <c r="AS91" s="1963"/>
      <c r="AT91" s="1963"/>
      <c r="AU91" s="1963"/>
      <c r="AV91" s="1963"/>
      <c r="AW91" s="1963"/>
      <c r="AX91" s="1963"/>
      <c r="AY91" s="1963"/>
      <c r="AZ91" s="196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c r="CP91" s="1952"/>
      <c r="CQ91" s="1952"/>
      <c r="CR91" s="1952"/>
      <c r="CT91" s="2624"/>
    </row>
    <row r="92" spans="1:101">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Q92" s="1963"/>
      <c r="AR92" s="1963"/>
      <c r="AS92" s="1963"/>
      <c r="AT92" s="1963"/>
      <c r="AU92" s="1963"/>
      <c r="AV92" s="1963"/>
      <c r="AW92" s="1963"/>
      <c r="AX92" s="1963"/>
      <c r="AY92" s="1963"/>
      <c r="AZ92" s="196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1" s="1396" customFormat="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963"/>
      <c r="AG93" s="1963"/>
      <c r="AH93" s="1963"/>
      <c r="AI93" s="1963"/>
      <c r="AJ93" s="1963"/>
      <c r="AK93" s="1963"/>
      <c r="AL93" s="1963"/>
      <c r="AM93" s="1963"/>
      <c r="AN93" s="1963"/>
      <c r="AO93" s="1963"/>
      <c r="AP93" s="1586"/>
      <c r="AQ93" s="1963"/>
      <c r="AR93" s="1963"/>
      <c r="AS93" s="1963"/>
      <c r="AT93" s="1963"/>
      <c r="AU93" s="1963"/>
      <c r="AV93" s="1963"/>
      <c r="AW93" s="1963"/>
      <c r="AX93" s="1963"/>
      <c r="AY93" s="1963"/>
      <c r="AZ93" s="1963"/>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52"/>
      <c r="CK93" s="1952"/>
      <c r="CL93" s="687"/>
      <c r="CM93" s="1952"/>
      <c r="CN93" s="1952"/>
      <c r="CP93" s="1952"/>
      <c r="CQ93" s="1952"/>
      <c r="CR93" s="1952"/>
      <c r="CT93" s="2624"/>
    </row>
    <row r="94" spans="1:101" s="1396" customForma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586"/>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52"/>
      <c r="CK94" s="1952"/>
      <c r="CL94" s="1952"/>
      <c r="CM94" s="1952"/>
      <c r="CN94" s="1952"/>
      <c r="CP94" s="1952"/>
      <c r="CQ94" s="1952"/>
      <c r="CR94" s="1952"/>
      <c r="CT94" s="2624"/>
    </row>
    <row r="95" spans="1:101" s="1396" customFormat="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586"/>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52"/>
      <c r="CK95" s="1952"/>
      <c r="CL95" s="1952"/>
      <c r="CM95" s="1952"/>
      <c r="CN95" s="1952"/>
      <c r="CP95" s="1952"/>
      <c r="CQ95" s="1952"/>
      <c r="CR95" s="1952"/>
      <c r="CT95" s="2624"/>
    </row>
    <row r="96" spans="1:101" s="1396" customFormat="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586"/>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52"/>
      <c r="CK96" s="1952"/>
      <c r="CL96" s="1952"/>
      <c r="CM96" s="1952"/>
      <c r="CN96" s="1952"/>
      <c r="CP96" s="1952"/>
      <c r="CQ96" s="1952"/>
      <c r="CR96" s="1952"/>
      <c r="CT96" s="2624"/>
    </row>
    <row r="97" spans="1:98">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1963"/>
      <c r="AH97" s="1963"/>
      <c r="AI97" s="1963"/>
      <c r="AJ97" s="1963"/>
      <c r="AK97" s="1963"/>
      <c r="AL97" s="1963"/>
      <c r="AM97" s="1963"/>
      <c r="AN97" s="1963"/>
      <c r="AO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98"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586"/>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1952"/>
      <c r="CQ98" s="1952"/>
      <c r="CR98" s="1952"/>
      <c r="CT98" s="2624"/>
    </row>
  </sheetData>
  <mergeCells count="22">
    <mergeCell ref="W2:AA3"/>
    <mergeCell ref="A2:B2"/>
    <mergeCell ref="C2:G3"/>
    <mergeCell ref="H2:L3"/>
    <mergeCell ref="M2:Q3"/>
    <mergeCell ref="R2:V3"/>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70" zoomScaleNormal="70" workbookViewId="0">
      <pane xSplit="2" ySplit="5" topLeftCell="CJ6" activePane="bottomRight" state="frozen"/>
      <selection activeCell="Y90" sqref="Y90"/>
      <selection pane="topRight" activeCell="Y90" sqref="Y90"/>
      <selection pane="bottomLeft" activeCell="Y90" sqref="Y90"/>
      <selection pane="bottomRight" activeCell="CX48" sqref="CX48"/>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customWidth="1" collapsed="1"/>
    <col min="19" max="27" width="13.44140625" style="1952" customWidth="1"/>
    <col min="28" max="31" width="12.88671875" style="1952" customWidth="1"/>
    <col min="32" max="32" width="29.33203125" style="1952" customWidth="1"/>
    <col min="33" max="36" width="12.88671875" style="1952" hidden="1" customWidth="1" outlineLevel="1"/>
    <col min="37" max="37" width="26.109375" style="1952" hidden="1" customWidth="1" outlineLevel="1"/>
    <col min="38" max="41" width="12.88671875" style="1952" hidden="1" customWidth="1" outlineLevel="1"/>
    <col min="42" max="42" width="26.109375" style="1952" hidden="1" customWidth="1" outlineLevel="1"/>
    <col min="43" max="46" width="12.88671875" style="1952" hidden="1" customWidth="1" outlineLevel="1"/>
    <col min="47" max="47" width="26.109375" style="1952" hidden="1" customWidth="1" outlineLevel="1"/>
    <col min="48" max="51" width="12.88671875" style="1952" hidden="1" customWidth="1" outlineLevel="1"/>
    <col min="52" max="52" width="26.109375" style="1952" hidden="1" customWidth="1" outlineLevel="1"/>
    <col min="53" max="56" width="12.88671875" style="1952" hidden="1" customWidth="1" outlineLevel="1"/>
    <col min="57" max="57" width="26.109375" style="1952" hidden="1" customWidth="1" outlineLevel="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14.33203125" style="1952" customWidth="1"/>
    <col min="93" max="93" width="2.88671875" style="1395"/>
    <col min="94" max="95" width="12.88671875" style="1952" customWidth="1"/>
    <col min="96" max="96" width="14.5546875" style="1952" customWidth="1"/>
    <col min="97" max="97" width="2.88671875" style="1395" customWidth="1" outlineLevel="1"/>
    <col min="98" max="98" width="11.6640625" style="1522" customWidth="1" outlineLevel="1"/>
    <col min="99" max="99" width="8.33203125" style="1395" customWidth="1" outlineLevel="1"/>
    <col min="100" max="100" width="8.44140625" style="1395" customWidth="1" outlineLevel="1"/>
    <col min="101" max="101" width="7.6640625" style="1395" bestFit="1" customWidth="1"/>
    <col min="102" max="16384" width="2.88671875" style="1395"/>
  </cols>
  <sheetData>
    <row r="1" spans="1:98" ht="13.8" thickBot="1"/>
    <row r="2" spans="1:98" ht="13.8">
      <c r="A2" s="4834" t="s">
        <v>1878</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1859</v>
      </c>
      <c r="CK2" s="4875"/>
      <c r="CL2" s="4875"/>
      <c r="CM2" s="4875"/>
      <c r="CN2" s="4876"/>
      <c r="CP2" s="5168" t="s">
        <v>1879</v>
      </c>
      <c r="CQ2" s="5169"/>
      <c r="CR2" s="5170"/>
    </row>
    <row r="3" spans="1:98"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71"/>
      <c r="CQ3" s="5172"/>
      <c r="CR3" s="5173"/>
    </row>
    <row r="4" spans="1:98"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1474" t="s">
        <v>1850</v>
      </c>
      <c r="CQ4" s="1474" t="s">
        <v>1860</v>
      </c>
      <c r="CR4" s="1474" t="s">
        <v>1826</v>
      </c>
    </row>
    <row r="5" spans="1:98"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0</v>
      </c>
      <c r="X5" s="1466">
        <f>X6</f>
        <v>0</v>
      </c>
      <c r="Y5" s="1466">
        <f>Y6+Y7</f>
        <v>0</v>
      </c>
      <c r="Z5" s="1466"/>
      <c r="AA5" s="1466"/>
      <c r="AB5" s="1466">
        <f>AB6</f>
        <v>0</v>
      </c>
      <c r="AC5" s="1466">
        <f>AC6</f>
        <v>0</v>
      </c>
      <c r="AD5" s="1466">
        <f>AD6+AD7</f>
        <v>0</v>
      </c>
      <c r="AE5" s="1466"/>
      <c r="AF5" s="1466"/>
      <c r="AG5" s="1466">
        <f>AG6</f>
        <v>0</v>
      </c>
      <c r="AH5" s="1466">
        <f>AH6</f>
        <v>0</v>
      </c>
      <c r="AI5" s="1466">
        <f>AI6+AI7</f>
        <v>0</v>
      </c>
      <c r="AJ5" s="1466"/>
      <c r="AK5" s="1466"/>
      <c r="AL5" s="1466">
        <f>AL6</f>
        <v>0</v>
      </c>
      <c r="AM5" s="1466">
        <f>AM6</f>
        <v>0</v>
      </c>
      <c r="AN5" s="1466">
        <f>AN6+AN7</f>
        <v>0</v>
      </c>
      <c r="AO5" s="1466"/>
      <c r="AP5" s="1466"/>
      <c r="AQ5" s="1466">
        <f>AQ6</f>
        <v>0</v>
      </c>
      <c r="AR5" s="1466">
        <f>AR6</f>
        <v>0</v>
      </c>
      <c r="AS5" s="1466">
        <f>AS6+AS7</f>
        <v>0</v>
      </c>
      <c r="AT5" s="1466"/>
      <c r="AU5" s="1466"/>
      <c r="AV5" s="1466">
        <f>AV6</f>
        <v>0</v>
      </c>
      <c r="AW5" s="1466">
        <f>AW6</f>
        <v>0</v>
      </c>
      <c r="AX5" s="1466">
        <f>AX6+AX7</f>
        <v>0</v>
      </c>
      <c r="AY5" s="1466"/>
      <c r="AZ5" s="1466"/>
      <c r="BA5" s="1466">
        <f>BA6</f>
        <v>0</v>
      </c>
      <c r="BB5" s="1466">
        <f>BB6</f>
        <v>0</v>
      </c>
      <c r="BC5" s="1466">
        <f>BC6+BC7</f>
        <v>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0</v>
      </c>
      <c r="CK5" s="1466">
        <f>CK6</f>
        <v>0</v>
      </c>
      <c r="CL5" s="1466">
        <f>CL6</f>
        <v>0</v>
      </c>
      <c r="CM5" s="1466"/>
      <c r="CN5" s="1466"/>
      <c r="CP5" s="1955">
        <f>CP6</f>
        <v>0</v>
      </c>
      <c r="CQ5" s="1955">
        <f>CQ6</f>
        <v>0</v>
      </c>
      <c r="CR5" s="3440">
        <f>CR6</f>
        <v>0</v>
      </c>
      <c r="CT5" s="2624"/>
    </row>
    <row r="6" spans="1:98" s="1396" customFormat="1" ht="13.8"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0</v>
      </c>
      <c r="X6" s="3342">
        <f>AC6+AH6+AM6+AW6+BB6+BG6+BL6+BQ6+BV6+CA6+CF6+AR6</f>
        <v>0</v>
      </c>
      <c r="Y6" s="2012">
        <f t="shared" ref="Y6:Y7" si="3">W6+X6</f>
        <v>0</v>
      </c>
      <c r="Z6" s="3342"/>
      <c r="AA6" s="3342"/>
      <c r="AB6" s="3341"/>
      <c r="AC6" s="3341"/>
      <c r="AD6" s="2012">
        <f t="shared" ref="AD6:AD7" si="4">AB6+AC6</f>
        <v>0</v>
      </c>
      <c r="AE6" s="3341"/>
      <c r="AF6" s="3342"/>
      <c r="AG6" s="3341"/>
      <c r="AH6" s="3341"/>
      <c r="AI6" s="2012">
        <f t="shared" ref="AI6:AI7" si="5">AG6+AH6</f>
        <v>0</v>
      </c>
      <c r="AJ6" s="3341"/>
      <c r="AK6" s="3342"/>
      <c r="AL6" s="3341"/>
      <c r="AM6" s="3341"/>
      <c r="AN6" s="2012">
        <f t="shared" ref="AN6:AN7" si="6">AL6+AM6</f>
        <v>0</v>
      </c>
      <c r="AO6" s="3341"/>
      <c r="AP6" s="3342"/>
      <c r="AQ6" s="3341"/>
      <c r="AR6" s="3341"/>
      <c r="AS6" s="2012">
        <f t="shared" ref="AS6:AS7" si="7">AQ6+AR6</f>
        <v>0</v>
      </c>
      <c r="AT6" s="3341"/>
      <c r="AU6" s="3342"/>
      <c r="AV6" s="3341"/>
      <c r="AW6" s="3341"/>
      <c r="AX6" s="2012">
        <f t="shared" ref="AX6:AX7" si="8">AV6+AW6</f>
        <v>0</v>
      </c>
      <c r="AY6" s="3341"/>
      <c r="AZ6" s="3342"/>
      <c r="BA6" s="3341"/>
      <c r="BB6" s="3341"/>
      <c r="BC6" s="2012">
        <f t="shared" ref="BC6:BC7" si="9">BA6+BB6</f>
        <v>0</v>
      </c>
      <c r="BD6" s="3341"/>
      <c r="BE6" s="3342"/>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f>
        <v>0</v>
      </c>
      <c r="CK6" s="3341">
        <f>D6+I6+N6+X6</f>
        <v>0</v>
      </c>
      <c r="CL6" s="2012">
        <f>CJ6+CK6</f>
        <v>0</v>
      </c>
      <c r="CM6" s="3341"/>
      <c r="CN6" s="3341"/>
      <c r="CP6" s="2012"/>
      <c r="CQ6" s="2012"/>
      <c r="CR6" s="3441">
        <f>CP6-CQ6</f>
        <v>0</v>
      </c>
      <c r="CS6" s="3305"/>
      <c r="CT6" s="2624"/>
    </row>
    <row r="7" spans="1:98" s="1396" customFormat="1" ht="14.4" outlineLevel="1" collapsed="1" thickBot="1">
      <c r="A7" s="1571"/>
      <c r="B7" s="3306" t="s">
        <v>41</v>
      </c>
      <c r="C7" s="3341"/>
      <c r="D7" s="3341"/>
      <c r="E7" s="2012">
        <f t="shared" si="0"/>
        <v>0</v>
      </c>
      <c r="F7" s="3344"/>
      <c r="G7" s="3344"/>
      <c r="H7" s="3341"/>
      <c r="I7" s="3341"/>
      <c r="J7" s="2012">
        <f>H7+I7</f>
        <v>0</v>
      </c>
      <c r="K7" s="3344"/>
      <c r="L7" s="3344"/>
      <c r="M7" s="3341"/>
      <c r="N7" s="3341"/>
      <c r="O7" s="2012">
        <f t="shared" si="1"/>
        <v>0</v>
      </c>
      <c r="P7" s="3344"/>
      <c r="Q7" s="3344"/>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1"/>
      <c r="AC7" s="3341"/>
      <c r="AD7" s="2012">
        <f t="shared" si="4"/>
        <v>0</v>
      </c>
      <c r="AE7" s="3344"/>
      <c r="AF7" s="3344"/>
      <c r="AG7" s="3341"/>
      <c r="AH7" s="3341"/>
      <c r="AI7" s="2012">
        <f t="shared" si="5"/>
        <v>0</v>
      </c>
      <c r="AJ7" s="3344"/>
      <c r="AK7" s="3344"/>
      <c r="AL7" s="3341"/>
      <c r="AM7" s="3341"/>
      <c r="AN7" s="2012">
        <f t="shared" si="6"/>
        <v>0</v>
      </c>
      <c r="AO7" s="3344"/>
      <c r="AP7" s="3344"/>
      <c r="AQ7" s="3341"/>
      <c r="AR7" s="3341"/>
      <c r="AS7" s="2012">
        <f t="shared" si="7"/>
        <v>0</v>
      </c>
      <c r="AT7" s="3344"/>
      <c r="AU7" s="3344"/>
      <c r="AV7" s="3341"/>
      <c r="AW7" s="3341"/>
      <c r="AX7" s="2012">
        <f t="shared" si="8"/>
        <v>0</v>
      </c>
      <c r="AY7" s="3344"/>
      <c r="AZ7" s="3344"/>
      <c r="BA7" s="3341"/>
      <c r="BB7" s="3341"/>
      <c r="BC7" s="2012">
        <f t="shared" si="9"/>
        <v>0</v>
      </c>
      <c r="BD7" s="3344"/>
      <c r="BE7" s="3344"/>
      <c r="BF7" s="3341"/>
      <c r="BG7" s="3341"/>
      <c r="BH7" s="2012">
        <f t="shared" si="10"/>
        <v>0</v>
      </c>
      <c r="BI7" s="3344"/>
      <c r="BJ7" s="3344"/>
      <c r="BK7" s="3341"/>
      <c r="BL7" s="3341"/>
      <c r="BM7" s="2012">
        <f t="shared" si="11"/>
        <v>0</v>
      </c>
      <c r="BN7" s="3344"/>
      <c r="BO7" s="3344"/>
      <c r="BP7" s="3341"/>
      <c r="BQ7" s="3341"/>
      <c r="BR7" s="2012">
        <f t="shared" si="12"/>
        <v>0</v>
      </c>
      <c r="BS7" s="3344"/>
      <c r="BT7" s="3344"/>
      <c r="BU7" s="3341"/>
      <c r="BV7" s="3341"/>
      <c r="BW7" s="2012">
        <f t="shared" si="13"/>
        <v>0</v>
      </c>
      <c r="BX7" s="3344"/>
      <c r="BY7" s="3344"/>
      <c r="BZ7" s="3341"/>
      <c r="CA7" s="3341"/>
      <c r="CB7" s="2012">
        <f t="shared" si="14"/>
        <v>0</v>
      </c>
      <c r="CC7" s="3344"/>
      <c r="CD7" s="3344"/>
      <c r="CE7" s="3341"/>
      <c r="CF7" s="3341"/>
      <c r="CG7" s="2012">
        <f t="shared" si="15"/>
        <v>0</v>
      </c>
      <c r="CH7" s="3344"/>
      <c r="CI7" s="3344"/>
      <c r="CJ7" s="3341">
        <f>C7+H7+M7+W7</f>
        <v>0</v>
      </c>
      <c r="CK7" s="3341">
        <f>D7+I7+N7+X7</f>
        <v>0</v>
      </c>
      <c r="CL7" s="2012">
        <f>CJ7+CK7</f>
        <v>0</v>
      </c>
      <c r="CM7" s="3344"/>
      <c r="CN7" s="3344"/>
      <c r="CP7" s="2012"/>
      <c r="CQ7" s="2012"/>
      <c r="CR7" s="3442"/>
      <c r="CT7" s="2624"/>
    </row>
    <row r="8" spans="1:98" s="1396" customFormat="1" ht="14.4" outlineLevel="1" thickBot="1">
      <c r="A8" s="1571"/>
      <c r="B8" s="1463" t="s">
        <v>16</v>
      </c>
      <c r="C8" s="1957">
        <f>SUM(C9:C33)</f>
        <v>0</v>
      </c>
      <c r="D8" s="1957">
        <f>SUM(D9:D33)</f>
        <v>0</v>
      </c>
      <c r="E8" s="1484">
        <f>SUM(E9:E33)</f>
        <v>0</v>
      </c>
      <c r="F8" s="1528" t="e">
        <f t="shared" ref="F8:F33" si="16">E8/$E$89</f>
        <v>#DIV/0!</v>
      </c>
      <c r="G8" s="1466"/>
      <c r="H8" s="1957">
        <f>SUM(H9:H33)</f>
        <v>0</v>
      </c>
      <c r="I8" s="1957">
        <f>SUM(I9:I33)</f>
        <v>0</v>
      </c>
      <c r="J8" s="1484">
        <f>SUM(J9:J33)</f>
        <v>0</v>
      </c>
      <c r="K8" s="1528" t="e">
        <f t="shared" ref="K8" si="17">J8/$E$89</f>
        <v>#DIV/0!</v>
      </c>
      <c r="L8" s="1466"/>
      <c r="M8" s="1957">
        <f>SUM(M9:M33)</f>
        <v>0</v>
      </c>
      <c r="N8" s="1957">
        <f>SUM(N9:N33)</f>
        <v>0</v>
      </c>
      <c r="O8" s="1484">
        <f>SUM(O9:O33)</f>
        <v>0</v>
      </c>
      <c r="P8" s="1528" t="e">
        <f t="shared" ref="P8" si="18">O8/$E$89</f>
        <v>#DIV/0!</v>
      </c>
      <c r="Q8" s="1466"/>
      <c r="R8" s="1957">
        <f>SUM(R9:R33)</f>
        <v>0</v>
      </c>
      <c r="S8" s="1957">
        <f>SUM(S9:S33)</f>
        <v>0</v>
      </c>
      <c r="T8" s="1484">
        <f>SUM(T9:T33)</f>
        <v>0</v>
      </c>
      <c r="U8" s="1528"/>
      <c r="V8" s="1466"/>
      <c r="W8" s="1957">
        <f>SUM(W9:W33)</f>
        <v>0</v>
      </c>
      <c r="X8" s="1957">
        <f>SUM(X9:X33)</f>
        <v>0</v>
      </c>
      <c r="Y8" s="1484">
        <f>SUM(Y9:Y33)</f>
        <v>0</v>
      </c>
      <c r="Z8" s="1528"/>
      <c r="AA8" s="1466"/>
      <c r="AB8" s="1957">
        <f>SUM(AB9:AB33)</f>
        <v>0</v>
      </c>
      <c r="AC8" s="1957">
        <f>SUM(AC9:AC33)</f>
        <v>0</v>
      </c>
      <c r="AD8" s="1484">
        <f>SUM(AD9:AD33)</f>
        <v>0</v>
      </c>
      <c r="AE8" s="1528"/>
      <c r="AF8" s="1466"/>
      <c r="AG8" s="1957">
        <f>SUM(AG9:AG33)</f>
        <v>0</v>
      </c>
      <c r="AH8" s="1957">
        <f>SUM(AH9:AH33)</f>
        <v>0</v>
      </c>
      <c r="AI8" s="1484">
        <f>SUM(AI9:AI33)</f>
        <v>0</v>
      </c>
      <c r="AJ8" s="1528"/>
      <c r="AK8" s="1466"/>
      <c r="AL8" s="1957">
        <f>SUM(AL9:AL33)</f>
        <v>0</v>
      </c>
      <c r="AM8" s="1957">
        <f>SUM(AM9:AM33)</f>
        <v>0</v>
      </c>
      <c r="AN8" s="1484">
        <f>SUM(AN9:AN33)</f>
        <v>0</v>
      </c>
      <c r="AO8" s="1528"/>
      <c r="AP8" s="1466"/>
      <c r="AQ8" s="1957">
        <f>SUM(AQ9:AQ33)</f>
        <v>0</v>
      </c>
      <c r="AR8" s="1957">
        <f>SUM(AR9:AR33)</f>
        <v>0</v>
      </c>
      <c r="AS8" s="1484">
        <f>SUM(AS9:AS33)</f>
        <v>0</v>
      </c>
      <c r="AT8" s="1528"/>
      <c r="AU8" s="1466"/>
      <c r="AV8" s="1957">
        <f>SUM(AV9:AV33)</f>
        <v>0</v>
      </c>
      <c r="AW8" s="1957">
        <f>SUM(AW9:AW33)</f>
        <v>0</v>
      </c>
      <c r="AX8" s="1484">
        <f>SUM(AX9:AX33)</f>
        <v>0</v>
      </c>
      <c r="AY8" s="1528"/>
      <c r="AZ8" s="1466"/>
      <c r="BA8" s="1957">
        <f>SUM(BA9:BA33)</f>
        <v>0</v>
      </c>
      <c r="BB8" s="1957">
        <f>SUM(BB9:BB33)</f>
        <v>0</v>
      </c>
      <c r="BC8" s="1484">
        <f>SUM(BC9:BC33)</f>
        <v>0</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0</v>
      </c>
      <c r="CK8" s="1957">
        <f>SUM(CK9:CK33)</f>
        <v>0</v>
      </c>
      <c r="CL8" s="1484">
        <f>SUM(CL9:CL33)</f>
        <v>0</v>
      </c>
      <c r="CM8" s="1528"/>
      <c r="CN8" s="1466"/>
      <c r="CP8" s="1484">
        <f>SUM(CP9:CP33)</f>
        <v>0</v>
      </c>
      <c r="CQ8" s="1484">
        <f>SUM(CQ9:CQ33)</f>
        <v>0</v>
      </c>
      <c r="CR8" s="3440">
        <f>SUM(CR9:CR33)</f>
        <v>0</v>
      </c>
      <c r="CT8" s="2624"/>
    </row>
    <row r="9" spans="1:98" s="1396" customFormat="1" ht="13.8" outlineLevel="2">
      <c r="A9" s="1571"/>
      <c r="B9" s="1424" t="s">
        <v>74</v>
      </c>
      <c r="C9" s="3341"/>
      <c r="D9" s="3341"/>
      <c r="E9" s="3349">
        <f t="shared" ref="E9:E32" si="19">C9+D9</f>
        <v>0</v>
      </c>
      <c r="F9" s="3350" t="e">
        <f t="shared" si="16"/>
        <v>#DIV/0!</v>
      </c>
      <c r="G9" s="2047"/>
      <c r="H9" s="3341"/>
      <c r="I9" s="3341"/>
      <c r="J9" s="3349">
        <f t="shared" ref="J9:J32" si="20">H9+I9</f>
        <v>0</v>
      </c>
      <c r="K9" s="3350" t="e">
        <f>J9/J$89</f>
        <v>#DIV/0!</v>
      </c>
      <c r="L9" s="2047"/>
      <c r="M9" s="3341"/>
      <c r="N9" s="3341"/>
      <c r="O9" s="3349">
        <f t="shared" ref="O9:O32" si="21">M9+N9</f>
        <v>0</v>
      </c>
      <c r="P9" s="3350" t="e">
        <f t="shared" ref="P9:P33" si="22">O9/O$89</f>
        <v>#DIV/0!</v>
      </c>
      <c r="Q9" s="2047"/>
      <c r="R9" s="3342">
        <f t="shared" ref="R9:S33" si="23">M9+H9+C9</f>
        <v>0</v>
      </c>
      <c r="S9" s="3342">
        <f t="shared" si="23"/>
        <v>0</v>
      </c>
      <c r="T9" s="2012">
        <f t="shared" ref="T9:T33" si="24">R9+S9</f>
        <v>0</v>
      </c>
      <c r="U9" s="2047"/>
      <c r="V9" s="2047"/>
      <c r="W9" s="3342">
        <f t="shared" ref="W9:X33" si="25">AB9+AG9+AL9+AV9+BA9+BF9+BK9+BP9+BU9+BZ9+CE9+AQ9</f>
        <v>0</v>
      </c>
      <c r="X9" s="3342">
        <f t="shared" si="25"/>
        <v>0</v>
      </c>
      <c r="Y9" s="2012">
        <f t="shared" ref="Y9:Y33" si="26">W9+X9</f>
        <v>0</v>
      </c>
      <c r="Z9" s="2047"/>
      <c r="AA9" s="2047"/>
      <c r="AB9" s="3341"/>
      <c r="AC9" s="3341"/>
      <c r="AD9" s="3349">
        <f t="shared" ref="AD9:AD32" si="27">AB9+AC9</f>
        <v>0</v>
      </c>
      <c r="AE9" s="3350" t="e">
        <f>AD9/AD$89</f>
        <v>#DIV/0!</v>
      </c>
      <c r="AF9" s="2047"/>
      <c r="AG9" s="3341"/>
      <c r="AH9" s="3341"/>
      <c r="AI9" s="3349">
        <f t="shared" ref="AI9:AI32" si="28">AG9+AH9</f>
        <v>0</v>
      </c>
      <c r="AJ9" s="3350" t="e">
        <f>AI9/AI$89</f>
        <v>#DIV/0!</v>
      </c>
      <c r="AK9" s="2047"/>
      <c r="AL9" s="3341"/>
      <c r="AM9" s="3341"/>
      <c r="AN9" s="3349">
        <f t="shared" ref="AN9:AN32" si="29">AL9+AM9</f>
        <v>0</v>
      </c>
      <c r="AO9" s="3350" t="e">
        <f>AN9/AN$89</f>
        <v>#DIV/0!</v>
      </c>
      <c r="AP9" s="2047"/>
      <c r="AQ9" s="3341"/>
      <c r="AR9" s="3341"/>
      <c r="AS9" s="3349">
        <f t="shared" ref="AS9:AS32" si="30">AQ9+AR9</f>
        <v>0</v>
      </c>
      <c r="AT9" s="3350" t="e">
        <f>AS9/AS$89</f>
        <v>#DIV/0!</v>
      </c>
      <c r="AU9" s="2047"/>
      <c r="AV9" s="3341"/>
      <c r="AW9" s="3341"/>
      <c r="AX9" s="3349">
        <f t="shared" ref="AX9:AX32" si="31">AV9+AW9</f>
        <v>0</v>
      </c>
      <c r="AY9" s="3350" t="e">
        <f>AX9/AX$89</f>
        <v>#DIV/0!</v>
      </c>
      <c r="AZ9" s="2047"/>
      <c r="BA9" s="3341"/>
      <c r="BB9" s="3341"/>
      <c r="BC9" s="3349">
        <f t="shared" ref="BC9:BC32" si="32">BA9+BB9</f>
        <v>0</v>
      </c>
      <c r="BD9" s="3350" t="e">
        <f>BC9/BC$89</f>
        <v>#DIV/0!</v>
      </c>
      <c r="BE9" s="2047"/>
      <c r="BF9" s="3341"/>
      <c r="BG9" s="3341"/>
      <c r="BH9" s="3349">
        <f t="shared" ref="BH9:BH32" si="33">BF9+BG9</f>
        <v>0</v>
      </c>
      <c r="BI9" s="3350" t="e">
        <f>BH9/BH$89</f>
        <v>#DIV/0!</v>
      </c>
      <c r="BJ9" s="2047"/>
      <c r="BK9" s="3341"/>
      <c r="BL9" s="3341"/>
      <c r="BM9" s="3349">
        <f t="shared" ref="BM9:BM32" si="34">BK9+BL9</f>
        <v>0</v>
      </c>
      <c r="BN9" s="3350" t="e">
        <f>BM9/BM$89</f>
        <v>#DIV/0!</v>
      </c>
      <c r="BO9" s="2047"/>
      <c r="BP9" s="3341"/>
      <c r="BQ9" s="3341"/>
      <c r="BR9" s="3349">
        <f t="shared" ref="BR9:BR32" si="35">BP9+BQ9</f>
        <v>0</v>
      </c>
      <c r="BS9" s="3350" t="e">
        <f>BR9/BR$89</f>
        <v>#DIV/0!</v>
      </c>
      <c r="BT9" s="2047"/>
      <c r="BU9" s="3341"/>
      <c r="BV9" s="3341"/>
      <c r="BW9" s="3349">
        <f t="shared" ref="BW9:BW32" si="36">BU9+BV9</f>
        <v>0</v>
      </c>
      <c r="BX9" s="3350" t="e">
        <f>BW9/BW$89</f>
        <v>#DIV/0!</v>
      </c>
      <c r="BY9" s="2047"/>
      <c r="BZ9" s="3341"/>
      <c r="CA9" s="3341"/>
      <c r="CB9" s="3349">
        <f t="shared" ref="CB9:CB32" si="37">BZ9+CA9</f>
        <v>0</v>
      </c>
      <c r="CC9" s="3350" t="e">
        <f>CB9/CB$89</f>
        <v>#DIV/0!</v>
      </c>
      <c r="CD9" s="2047"/>
      <c r="CE9" s="3341"/>
      <c r="CF9" s="3341"/>
      <c r="CG9" s="3349">
        <f t="shared" ref="CG9:CG32" si="38">CE9+CF9</f>
        <v>0</v>
      </c>
      <c r="CH9" s="3350" t="e">
        <f>CG9/CG$89</f>
        <v>#DIV/0!</v>
      </c>
      <c r="CI9" s="2047"/>
      <c r="CJ9" s="3341">
        <f t="shared" ref="CJ9:CK33" si="39">C9+H9+M9+W9</f>
        <v>0</v>
      </c>
      <c r="CK9" s="3341">
        <f t="shared" si="39"/>
        <v>0</v>
      </c>
      <c r="CL9" s="3349">
        <f>CJ9+CK9*1</f>
        <v>0</v>
      </c>
      <c r="CM9" s="3350" t="e">
        <f t="shared" ref="CM9:CM33" si="40">CL9/$CL$89</f>
        <v>#DIV/0!</v>
      </c>
      <c r="CN9" s="1434"/>
      <c r="CP9" s="3425"/>
      <c r="CQ9" s="2012">
        <f t="shared" ref="CQ9:CQ32" si="41">CL9</f>
        <v>0</v>
      </c>
      <c r="CR9" s="3441">
        <f>CP9-CQ9</f>
        <v>0</v>
      </c>
      <c r="CS9" s="3307"/>
      <c r="CT9" s="3443"/>
    </row>
    <row r="10" spans="1:98" s="1396" customFormat="1" ht="13.8" outlineLevel="2">
      <c r="A10" s="1571"/>
      <c r="B10" s="1424" t="s">
        <v>72</v>
      </c>
      <c r="C10" s="3341"/>
      <c r="D10" s="3341"/>
      <c r="E10" s="3349">
        <f t="shared" si="19"/>
        <v>0</v>
      </c>
      <c r="F10" s="3350" t="e">
        <f t="shared" si="16"/>
        <v>#DIV/0!</v>
      </c>
      <c r="G10" s="2047"/>
      <c r="H10" s="3341"/>
      <c r="I10" s="3341"/>
      <c r="J10" s="3349">
        <f t="shared" si="20"/>
        <v>0</v>
      </c>
      <c r="K10" s="3350" t="e">
        <f t="shared" ref="K10:K33" si="42">J10/J$89</f>
        <v>#DIV/0!</v>
      </c>
      <c r="L10" s="2047"/>
      <c r="M10" s="3341"/>
      <c r="N10" s="3341"/>
      <c r="O10" s="3349">
        <f t="shared" si="21"/>
        <v>0</v>
      </c>
      <c r="P10" s="3350" t="e">
        <f t="shared" si="22"/>
        <v>#DIV/0!</v>
      </c>
      <c r="Q10" s="2047"/>
      <c r="R10" s="3342">
        <f t="shared" si="23"/>
        <v>0</v>
      </c>
      <c r="S10" s="3342">
        <f t="shared" si="23"/>
        <v>0</v>
      </c>
      <c r="T10" s="2012">
        <f t="shared" si="24"/>
        <v>0</v>
      </c>
      <c r="U10" s="2047"/>
      <c r="V10" s="2047"/>
      <c r="W10" s="3342">
        <f t="shared" si="25"/>
        <v>0</v>
      </c>
      <c r="X10" s="3342">
        <f t="shared" si="25"/>
        <v>0</v>
      </c>
      <c r="Y10" s="2012">
        <f t="shared" si="26"/>
        <v>0</v>
      </c>
      <c r="Z10" s="2047"/>
      <c r="AA10" s="2047"/>
      <c r="AB10" s="3341"/>
      <c r="AC10" s="3341"/>
      <c r="AD10" s="3349">
        <f t="shared" si="27"/>
        <v>0</v>
      </c>
      <c r="AE10" s="3350" t="e">
        <f t="shared" ref="AE10:AE33" si="43">AD10/AD$89</f>
        <v>#DIV/0!</v>
      </c>
      <c r="AF10" s="2047"/>
      <c r="AG10" s="3341"/>
      <c r="AH10" s="3341"/>
      <c r="AI10" s="3349">
        <f t="shared" si="28"/>
        <v>0</v>
      </c>
      <c r="AJ10" s="3350" t="e">
        <f t="shared" ref="AJ10:AJ33" si="44">AI10/AI$89</f>
        <v>#DIV/0!</v>
      </c>
      <c r="AK10" s="2047"/>
      <c r="AL10" s="3341"/>
      <c r="AM10" s="3341"/>
      <c r="AN10" s="3349">
        <f t="shared" si="29"/>
        <v>0</v>
      </c>
      <c r="AO10" s="3350" t="e">
        <f t="shared" ref="AO10:AO33" si="45">AN10/AN$89</f>
        <v>#DIV/0!</v>
      </c>
      <c r="AP10" s="2047"/>
      <c r="AQ10" s="3341"/>
      <c r="AR10" s="3341"/>
      <c r="AS10" s="3349">
        <f t="shared" si="30"/>
        <v>0</v>
      </c>
      <c r="AT10" s="3350" t="e">
        <f t="shared" ref="AT10:AT33" si="46">AS10/AS$89</f>
        <v>#DIV/0!</v>
      </c>
      <c r="AU10" s="2047"/>
      <c r="AV10" s="3341"/>
      <c r="AW10" s="3341"/>
      <c r="AX10" s="3349">
        <f t="shared" si="31"/>
        <v>0</v>
      </c>
      <c r="AY10" s="3350" t="e">
        <f t="shared" ref="AY10:AY33" si="47">AX10/AX$89</f>
        <v>#DIV/0!</v>
      </c>
      <c r="AZ10" s="2047"/>
      <c r="BA10" s="3341"/>
      <c r="BB10" s="3341"/>
      <c r="BC10" s="3349">
        <f t="shared" si="32"/>
        <v>0</v>
      </c>
      <c r="BD10" s="3350" t="e">
        <f t="shared" ref="BD10:BD33" si="48">BC10/BC$89</f>
        <v>#DIV/0!</v>
      </c>
      <c r="BE10" s="2047"/>
      <c r="BF10" s="3341"/>
      <c r="BG10" s="3341"/>
      <c r="BH10" s="3349">
        <f t="shared" si="33"/>
        <v>0</v>
      </c>
      <c r="BI10" s="3350" t="e">
        <f t="shared" ref="BI10:BI33" si="49">BH10/BH$89</f>
        <v>#DIV/0!</v>
      </c>
      <c r="BJ10" s="2047"/>
      <c r="BK10" s="3341"/>
      <c r="BL10" s="3341"/>
      <c r="BM10" s="3349">
        <f t="shared" si="34"/>
        <v>0</v>
      </c>
      <c r="BN10" s="3350" t="e">
        <f t="shared" ref="BN10:BN33" si="50">BM10/BM$89</f>
        <v>#DIV/0!</v>
      </c>
      <c r="BO10" s="2047"/>
      <c r="BP10" s="3341"/>
      <c r="BQ10" s="3341"/>
      <c r="BR10" s="3349">
        <f t="shared" si="35"/>
        <v>0</v>
      </c>
      <c r="BS10" s="3350" t="e">
        <f t="shared" ref="BS10:BS33" si="51">BR10/BR$89</f>
        <v>#DIV/0!</v>
      </c>
      <c r="BT10" s="2047"/>
      <c r="BU10" s="3341"/>
      <c r="BV10" s="3341"/>
      <c r="BW10" s="3349">
        <f t="shared" si="36"/>
        <v>0</v>
      </c>
      <c r="BX10" s="3350" t="e">
        <f t="shared" ref="BX10:BX33" si="52">BW10/BW$89</f>
        <v>#DIV/0!</v>
      </c>
      <c r="BY10" s="2047"/>
      <c r="BZ10" s="3341"/>
      <c r="CA10" s="3341"/>
      <c r="CB10" s="3349">
        <f t="shared" si="37"/>
        <v>0</v>
      </c>
      <c r="CC10" s="3350" t="e">
        <f t="shared" ref="CC10:CC33" si="53">CB10/CB$89</f>
        <v>#DIV/0!</v>
      </c>
      <c r="CD10" s="2047"/>
      <c r="CE10" s="3341"/>
      <c r="CF10" s="3341"/>
      <c r="CG10" s="3349">
        <f t="shared" si="38"/>
        <v>0</v>
      </c>
      <c r="CH10" s="3350" t="e">
        <f t="shared" ref="CH10:CH33" si="54">CG10/CG$89</f>
        <v>#DIV/0!</v>
      </c>
      <c r="CI10" s="2047"/>
      <c r="CJ10" s="3341">
        <f t="shared" si="39"/>
        <v>0</v>
      </c>
      <c r="CK10" s="3341">
        <f t="shared" si="39"/>
        <v>0</v>
      </c>
      <c r="CL10" s="3349">
        <f t="shared" ref="CL10:CL33" si="55">CJ10+CK10*1</f>
        <v>0</v>
      </c>
      <c r="CM10" s="3350" t="e">
        <f t="shared" si="40"/>
        <v>#DIV/0!</v>
      </c>
      <c r="CN10" s="1434"/>
      <c r="CP10" s="3425"/>
      <c r="CQ10" s="2012">
        <f t="shared" si="41"/>
        <v>0</v>
      </c>
      <c r="CR10" s="3441">
        <f t="shared" ref="CR10:CR33" si="56">CP10-CQ10</f>
        <v>0</v>
      </c>
      <c r="CT10" s="2624"/>
    </row>
    <row r="11" spans="1:98" s="1396" customFormat="1" ht="13.8" outlineLevel="2">
      <c r="A11" s="1571"/>
      <c r="B11" s="1424" t="s">
        <v>69</v>
      </c>
      <c r="C11" s="3341"/>
      <c r="D11" s="3341"/>
      <c r="E11" s="3349">
        <f t="shared" si="19"/>
        <v>0</v>
      </c>
      <c r="F11" s="3350" t="e">
        <f t="shared" si="16"/>
        <v>#DIV/0!</v>
      </c>
      <c r="G11" s="1055"/>
      <c r="H11" s="3341"/>
      <c r="I11" s="3341"/>
      <c r="J11" s="3349">
        <f t="shared" si="20"/>
        <v>0</v>
      </c>
      <c r="K11" s="3350" t="e">
        <f t="shared" si="42"/>
        <v>#DIV/0!</v>
      </c>
      <c r="L11" s="1055"/>
      <c r="M11" s="3341"/>
      <c r="N11" s="3341"/>
      <c r="O11" s="3349">
        <f t="shared" si="21"/>
        <v>0</v>
      </c>
      <c r="P11" s="3350" t="e">
        <f t="shared" si="22"/>
        <v>#DIV/0!</v>
      </c>
      <c r="Q11" s="1055"/>
      <c r="R11" s="3342">
        <f t="shared" si="23"/>
        <v>0</v>
      </c>
      <c r="S11" s="3342">
        <f t="shared" si="23"/>
        <v>0</v>
      </c>
      <c r="T11" s="2012">
        <f t="shared" si="24"/>
        <v>0</v>
      </c>
      <c r="U11" s="1055"/>
      <c r="V11" s="1055"/>
      <c r="W11" s="3342">
        <f t="shared" si="25"/>
        <v>0</v>
      </c>
      <c r="X11" s="3342">
        <f t="shared" si="25"/>
        <v>0</v>
      </c>
      <c r="Y11" s="2012">
        <f t="shared" si="26"/>
        <v>0</v>
      </c>
      <c r="Z11" s="1055"/>
      <c r="AA11" s="1055"/>
      <c r="AB11" s="3341"/>
      <c r="AC11" s="3341"/>
      <c r="AD11" s="3349">
        <f t="shared" si="27"/>
        <v>0</v>
      </c>
      <c r="AE11" s="3350" t="e">
        <f t="shared" si="43"/>
        <v>#DIV/0!</v>
      </c>
      <c r="AF11" s="1055"/>
      <c r="AG11" s="3341"/>
      <c r="AH11" s="3341"/>
      <c r="AI11" s="3349">
        <f t="shared" si="28"/>
        <v>0</v>
      </c>
      <c r="AJ11" s="3350" t="e">
        <f t="shared" si="44"/>
        <v>#DIV/0!</v>
      </c>
      <c r="AK11" s="1055"/>
      <c r="AL11" s="3341"/>
      <c r="AM11" s="3341"/>
      <c r="AN11" s="3349">
        <f t="shared" si="29"/>
        <v>0</v>
      </c>
      <c r="AO11" s="3350" t="e">
        <f t="shared" si="45"/>
        <v>#DIV/0!</v>
      </c>
      <c r="AP11" s="1055"/>
      <c r="AQ11" s="3341"/>
      <c r="AR11" s="3341"/>
      <c r="AS11" s="3349">
        <f t="shared" si="30"/>
        <v>0</v>
      </c>
      <c r="AT11" s="3350" t="e">
        <f t="shared" si="46"/>
        <v>#DIV/0!</v>
      </c>
      <c r="AU11" s="1055"/>
      <c r="AV11" s="3341"/>
      <c r="AW11" s="3341"/>
      <c r="AX11" s="3349">
        <f t="shared" si="31"/>
        <v>0</v>
      </c>
      <c r="AY11" s="3350" t="e">
        <f t="shared" si="47"/>
        <v>#DIV/0!</v>
      </c>
      <c r="AZ11" s="1055"/>
      <c r="BA11" s="3341"/>
      <c r="BB11" s="3341"/>
      <c r="BC11" s="3349">
        <f t="shared" si="32"/>
        <v>0</v>
      </c>
      <c r="BD11" s="3350" t="e">
        <f t="shared" si="48"/>
        <v>#DIV/0!</v>
      </c>
      <c r="BE11" s="1055"/>
      <c r="BF11" s="3341"/>
      <c r="BG11" s="3341"/>
      <c r="BH11" s="3349">
        <f t="shared" si="33"/>
        <v>0</v>
      </c>
      <c r="BI11" s="3350" t="e">
        <f t="shared" si="49"/>
        <v>#DIV/0!</v>
      </c>
      <c r="BJ11" s="1055"/>
      <c r="BK11" s="3341"/>
      <c r="BL11" s="3341"/>
      <c r="BM11" s="3349">
        <f t="shared" si="34"/>
        <v>0</v>
      </c>
      <c r="BN11" s="3350" t="e">
        <f t="shared" si="50"/>
        <v>#DIV/0!</v>
      </c>
      <c r="BO11" s="1055"/>
      <c r="BP11" s="3341"/>
      <c r="BQ11" s="3341"/>
      <c r="BR11" s="3349">
        <f t="shared" si="35"/>
        <v>0</v>
      </c>
      <c r="BS11" s="3350" t="e">
        <f t="shared" si="51"/>
        <v>#DIV/0!</v>
      </c>
      <c r="BT11" s="1055"/>
      <c r="BU11" s="3341"/>
      <c r="BV11" s="3341"/>
      <c r="BW11" s="3349">
        <f t="shared" si="36"/>
        <v>0</v>
      </c>
      <c r="BX11" s="3350" t="e">
        <f t="shared" si="52"/>
        <v>#DIV/0!</v>
      </c>
      <c r="BY11" s="1055"/>
      <c r="BZ11" s="3341"/>
      <c r="CA11" s="3341"/>
      <c r="CB11" s="3349">
        <f t="shared" si="37"/>
        <v>0</v>
      </c>
      <c r="CC11" s="3350" t="e">
        <f t="shared" si="53"/>
        <v>#DIV/0!</v>
      </c>
      <c r="CD11" s="1055"/>
      <c r="CE11" s="3341"/>
      <c r="CF11" s="3341"/>
      <c r="CG11" s="3349">
        <f t="shared" si="38"/>
        <v>0</v>
      </c>
      <c r="CH11" s="3350" t="e">
        <f t="shared" si="54"/>
        <v>#DIV/0!</v>
      </c>
      <c r="CI11" s="1055"/>
      <c r="CJ11" s="3341">
        <f t="shared" si="39"/>
        <v>0</v>
      </c>
      <c r="CK11" s="3341">
        <f t="shared" si="39"/>
        <v>0</v>
      </c>
      <c r="CL11" s="3349">
        <f t="shared" si="55"/>
        <v>0</v>
      </c>
      <c r="CM11" s="3350" t="e">
        <f t="shared" si="40"/>
        <v>#DIV/0!</v>
      </c>
      <c r="CN11" s="1434"/>
      <c r="CP11" s="3425"/>
      <c r="CQ11" s="2012">
        <f t="shared" si="41"/>
        <v>0</v>
      </c>
      <c r="CR11" s="3441">
        <f t="shared" si="56"/>
        <v>0</v>
      </c>
      <c r="CT11" s="2624"/>
    </row>
    <row r="12" spans="1:98" s="1396" customFormat="1" ht="13.8" outlineLevel="2">
      <c r="A12" s="1571"/>
      <c r="B12" s="1424" t="s">
        <v>73</v>
      </c>
      <c r="C12" s="3341"/>
      <c r="D12" s="3341"/>
      <c r="E12" s="3349">
        <f t="shared" si="19"/>
        <v>0</v>
      </c>
      <c r="F12" s="3350" t="e">
        <f t="shared" si="16"/>
        <v>#DIV/0!</v>
      </c>
      <c r="G12" s="1055"/>
      <c r="H12" s="3341"/>
      <c r="I12" s="3341"/>
      <c r="J12" s="3349">
        <f t="shared" si="20"/>
        <v>0</v>
      </c>
      <c r="K12" s="3350" t="e">
        <f t="shared" si="42"/>
        <v>#DIV/0!</v>
      </c>
      <c r="L12" s="1055"/>
      <c r="M12" s="3341"/>
      <c r="N12" s="3341"/>
      <c r="O12" s="3349">
        <f t="shared" si="21"/>
        <v>0</v>
      </c>
      <c r="P12" s="3350" t="e">
        <f t="shared" si="22"/>
        <v>#DIV/0!</v>
      </c>
      <c r="Q12" s="1055"/>
      <c r="R12" s="3342">
        <f t="shared" si="23"/>
        <v>0</v>
      </c>
      <c r="S12" s="3342">
        <f t="shared" si="23"/>
        <v>0</v>
      </c>
      <c r="T12" s="2012">
        <f t="shared" si="24"/>
        <v>0</v>
      </c>
      <c r="U12" s="1055"/>
      <c r="V12" s="1055"/>
      <c r="W12" s="3342">
        <f t="shared" si="25"/>
        <v>0</v>
      </c>
      <c r="X12" s="3342">
        <f t="shared" si="25"/>
        <v>0</v>
      </c>
      <c r="Y12" s="2012">
        <f t="shared" si="26"/>
        <v>0</v>
      </c>
      <c r="Z12" s="1055"/>
      <c r="AA12" s="1055"/>
      <c r="AB12" s="3341"/>
      <c r="AC12" s="3341"/>
      <c r="AD12" s="3349">
        <f t="shared" si="27"/>
        <v>0</v>
      </c>
      <c r="AE12" s="3350" t="e">
        <f t="shared" si="43"/>
        <v>#DIV/0!</v>
      </c>
      <c r="AF12" s="1055"/>
      <c r="AG12" s="3341"/>
      <c r="AH12" s="3341"/>
      <c r="AI12" s="3349">
        <f t="shared" si="28"/>
        <v>0</v>
      </c>
      <c r="AJ12" s="3350" t="e">
        <f t="shared" si="44"/>
        <v>#DIV/0!</v>
      </c>
      <c r="AK12" s="1055"/>
      <c r="AL12" s="3341"/>
      <c r="AM12" s="3341"/>
      <c r="AN12" s="3349">
        <f t="shared" si="29"/>
        <v>0</v>
      </c>
      <c r="AO12" s="3350" t="e">
        <f t="shared" si="45"/>
        <v>#DIV/0!</v>
      </c>
      <c r="AP12" s="1055"/>
      <c r="AQ12" s="3341"/>
      <c r="AR12" s="3341"/>
      <c r="AS12" s="3349">
        <f t="shared" si="30"/>
        <v>0</v>
      </c>
      <c r="AT12" s="3350" t="e">
        <f t="shared" si="46"/>
        <v>#DIV/0!</v>
      </c>
      <c r="AU12" s="1055"/>
      <c r="AV12" s="3341"/>
      <c r="AW12" s="3341"/>
      <c r="AX12" s="3349">
        <f t="shared" si="31"/>
        <v>0</v>
      </c>
      <c r="AY12" s="3350" t="e">
        <f t="shared" si="47"/>
        <v>#DIV/0!</v>
      </c>
      <c r="AZ12" s="1055"/>
      <c r="BA12" s="3341"/>
      <c r="BB12" s="3341"/>
      <c r="BC12" s="3349">
        <f t="shared" si="32"/>
        <v>0</v>
      </c>
      <c r="BD12" s="3350" t="e">
        <f t="shared" si="48"/>
        <v>#DIV/0!</v>
      </c>
      <c r="BE12" s="1055"/>
      <c r="BF12" s="3341"/>
      <c r="BG12" s="3341"/>
      <c r="BH12" s="3349">
        <f t="shared" si="33"/>
        <v>0</v>
      </c>
      <c r="BI12" s="3350" t="e">
        <f t="shared" si="49"/>
        <v>#DIV/0!</v>
      </c>
      <c r="BJ12" s="1055"/>
      <c r="BK12" s="3341"/>
      <c r="BL12" s="3341"/>
      <c r="BM12" s="3349">
        <f t="shared" si="34"/>
        <v>0</v>
      </c>
      <c r="BN12" s="3350" t="e">
        <f t="shared" si="50"/>
        <v>#DIV/0!</v>
      </c>
      <c r="BO12" s="1055"/>
      <c r="BP12" s="3341"/>
      <c r="BQ12" s="3341"/>
      <c r="BR12" s="3349">
        <f t="shared" si="35"/>
        <v>0</v>
      </c>
      <c r="BS12" s="3350" t="e">
        <f t="shared" si="51"/>
        <v>#DIV/0!</v>
      </c>
      <c r="BT12" s="1055"/>
      <c r="BU12" s="3341"/>
      <c r="BV12" s="3341"/>
      <c r="BW12" s="3349">
        <f t="shared" si="36"/>
        <v>0</v>
      </c>
      <c r="BX12" s="3350" t="e">
        <f t="shared" si="52"/>
        <v>#DIV/0!</v>
      </c>
      <c r="BY12" s="1055"/>
      <c r="BZ12" s="3341"/>
      <c r="CA12" s="3341"/>
      <c r="CB12" s="3349">
        <f t="shared" si="37"/>
        <v>0</v>
      </c>
      <c r="CC12" s="3350" t="e">
        <f t="shared" si="53"/>
        <v>#DIV/0!</v>
      </c>
      <c r="CD12" s="1055"/>
      <c r="CE12" s="3341"/>
      <c r="CF12" s="3341"/>
      <c r="CG12" s="3349">
        <f t="shared" si="38"/>
        <v>0</v>
      </c>
      <c r="CH12" s="3350" t="e">
        <f t="shared" si="54"/>
        <v>#DIV/0!</v>
      </c>
      <c r="CI12" s="1055"/>
      <c r="CJ12" s="3341">
        <f t="shared" si="39"/>
        <v>0</v>
      </c>
      <c r="CK12" s="3341">
        <f t="shared" si="39"/>
        <v>0</v>
      </c>
      <c r="CL12" s="3349">
        <f t="shared" si="55"/>
        <v>0</v>
      </c>
      <c r="CM12" s="3350" t="e">
        <f t="shared" si="40"/>
        <v>#DIV/0!</v>
      </c>
      <c r="CN12" s="1434"/>
      <c r="CP12" s="3425"/>
      <c r="CQ12" s="2012">
        <f t="shared" si="41"/>
        <v>0</v>
      </c>
      <c r="CR12" s="3441">
        <f t="shared" si="56"/>
        <v>0</v>
      </c>
      <c r="CT12" s="2624"/>
    </row>
    <row r="13" spans="1:98" s="1396" customFormat="1" ht="13.8" outlineLevel="2">
      <c r="A13" s="1571"/>
      <c r="B13" s="1424" t="s">
        <v>71</v>
      </c>
      <c r="C13" s="3341"/>
      <c r="D13" s="3341"/>
      <c r="E13" s="3349">
        <f t="shared" si="19"/>
        <v>0</v>
      </c>
      <c r="F13" s="3350" t="e">
        <f t="shared" si="16"/>
        <v>#DIV/0!</v>
      </c>
      <c r="G13" s="1055"/>
      <c r="H13" s="3341"/>
      <c r="I13" s="3341"/>
      <c r="J13" s="3349">
        <f t="shared" si="20"/>
        <v>0</v>
      </c>
      <c r="K13" s="3350" t="e">
        <f t="shared" si="42"/>
        <v>#DIV/0!</v>
      </c>
      <c r="L13" s="1055"/>
      <c r="M13" s="3341"/>
      <c r="N13" s="3341"/>
      <c r="O13" s="3349">
        <f t="shared" si="21"/>
        <v>0</v>
      </c>
      <c r="P13" s="3350" t="e">
        <f t="shared" si="22"/>
        <v>#DIV/0!</v>
      </c>
      <c r="Q13" s="1055"/>
      <c r="R13" s="3342">
        <f t="shared" si="23"/>
        <v>0</v>
      </c>
      <c r="S13" s="3342">
        <f t="shared" si="23"/>
        <v>0</v>
      </c>
      <c r="T13" s="2012">
        <f t="shared" si="24"/>
        <v>0</v>
      </c>
      <c r="U13" s="1055"/>
      <c r="V13" s="1055"/>
      <c r="W13" s="3342">
        <f t="shared" si="25"/>
        <v>0</v>
      </c>
      <c r="X13" s="3342">
        <f t="shared" si="25"/>
        <v>0</v>
      </c>
      <c r="Y13" s="2012">
        <f t="shared" si="26"/>
        <v>0</v>
      </c>
      <c r="Z13" s="1055"/>
      <c r="AA13" s="1055"/>
      <c r="AB13" s="3341"/>
      <c r="AC13" s="3341"/>
      <c r="AD13" s="3349">
        <f t="shared" si="27"/>
        <v>0</v>
      </c>
      <c r="AE13" s="3350" t="e">
        <f t="shared" si="43"/>
        <v>#DIV/0!</v>
      </c>
      <c r="AF13" s="1055"/>
      <c r="AG13" s="3341"/>
      <c r="AH13" s="3341"/>
      <c r="AI13" s="3349">
        <f t="shared" si="28"/>
        <v>0</v>
      </c>
      <c r="AJ13" s="3350" t="e">
        <f t="shared" si="44"/>
        <v>#DIV/0!</v>
      </c>
      <c r="AK13" s="1055"/>
      <c r="AL13" s="3341"/>
      <c r="AM13" s="3341"/>
      <c r="AN13" s="3349">
        <f t="shared" si="29"/>
        <v>0</v>
      </c>
      <c r="AO13" s="3350" t="e">
        <f t="shared" si="45"/>
        <v>#DIV/0!</v>
      </c>
      <c r="AP13" s="1055"/>
      <c r="AQ13" s="3341"/>
      <c r="AR13" s="3341"/>
      <c r="AS13" s="3349">
        <f t="shared" si="30"/>
        <v>0</v>
      </c>
      <c r="AT13" s="3350" t="e">
        <f t="shared" si="46"/>
        <v>#DIV/0!</v>
      </c>
      <c r="AU13" s="1055"/>
      <c r="AV13" s="3341"/>
      <c r="AW13" s="3341"/>
      <c r="AX13" s="3349">
        <f t="shared" si="31"/>
        <v>0</v>
      </c>
      <c r="AY13" s="3350" t="e">
        <f t="shared" si="47"/>
        <v>#DIV/0!</v>
      </c>
      <c r="AZ13" s="1055"/>
      <c r="BA13" s="3341"/>
      <c r="BB13" s="3341"/>
      <c r="BC13" s="3349">
        <f t="shared" si="32"/>
        <v>0</v>
      </c>
      <c r="BD13" s="3350" t="e">
        <f t="shared" si="48"/>
        <v>#DIV/0!</v>
      </c>
      <c r="BE13" s="1055"/>
      <c r="BF13" s="3341"/>
      <c r="BG13" s="3341"/>
      <c r="BH13" s="3349">
        <f t="shared" si="33"/>
        <v>0</v>
      </c>
      <c r="BI13" s="3350" t="e">
        <f t="shared" si="49"/>
        <v>#DIV/0!</v>
      </c>
      <c r="BJ13" s="1055"/>
      <c r="BK13" s="3341"/>
      <c r="BL13" s="3341"/>
      <c r="BM13" s="3349">
        <f t="shared" si="34"/>
        <v>0</v>
      </c>
      <c r="BN13" s="3350" t="e">
        <f t="shared" si="50"/>
        <v>#DIV/0!</v>
      </c>
      <c r="BO13" s="1055"/>
      <c r="BP13" s="3341"/>
      <c r="BQ13" s="3341"/>
      <c r="BR13" s="3349">
        <f t="shared" si="35"/>
        <v>0</v>
      </c>
      <c r="BS13" s="3350" t="e">
        <f t="shared" si="51"/>
        <v>#DIV/0!</v>
      </c>
      <c r="BT13" s="1055"/>
      <c r="BU13" s="3341"/>
      <c r="BV13" s="3341"/>
      <c r="BW13" s="3349">
        <f t="shared" si="36"/>
        <v>0</v>
      </c>
      <c r="BX13" s="3350" t="e">
        <f t="shared" si="52"/>
        <v>#DIV/0!</v>
      </c>
      <c r="BY13" s="1055"/>
      <c r="BZ13" s="3341"/>
      <c r="CA13" s="3341"/>
      <c r="CB13" s="3349">
        <f t="shared" si="37"/>
        <v>0</v>
      </c>
      <c r="CC13" s="3350" t="e">
        <f t="shared" si="53"/>
        <v>#DIV/0!</v>
      </c>
      <c r="CD13" s="1055"/>
      <c r="CE13" s="3341"/>
      <c r="CF13" s="3341"/>
      <c r="CG13" s="3349">
        <f t="shared" si="38"/>
        <v>0</v>
      </c>
      <c r="CH13" s="3350" t="e">
        <f t="shared" si="54"/>
        <v>#DIV/0!</v>
      </c>
      <c r="CI13" s="1055"/>
      <c r="CJ13" s="3341">
        <f t="shared" si="39"/>
        <v>0</v>
      </c>
      <c r="CK13" s="3341">
        <f t="shared" si="39"/>
        <v>0</v>
      </c>
      <c r="CL13" s="3349">
        <f t="shared" si="55"/>
        <v>0</v>
      </c>
      <c r="CM13" s="3350" t="e">
        <f t="shared" si="40"/>
        <v>#DIV/0!</v>
      </c>
      <c r="CN13" s="1434"/>
      <c r="CP13" s="3425"/>
      <c r="CQ13" s="2012">
        <f t="shared" si="41"/>
        <v>0</v>
      </c>
      <c r="CR13" s="3441">
        <f t="shared" si="56"/>
        <v>0</v>
      </c>
      <c r="CT13" s="2624"/>
    </row>
    <row r="14" spans="1:98" s="1396" customFormat="1" ht="13.8" outlineLevel="2">
      <c r="A14" s="1571"/>
      <c r="B14" s="1424" t="s">
        <v>70</v>
      </c>
      <c r="C14" s="3341"/>
      <c r="D14" s="3341"/>
      <c r="E14" s="3349">
        <f t="shared" si="19"/>
        <v>0</v>
      </c>
      <c r="F14" s="3350" t="e">
        <f t="shared" si="16"/>
        <v>#DIV/0!</v>
      </c>
      <c r="G14" s="1055"/>
      <c r="H14" s="3341"/>
      <c r="I14" s="3341"/>
      <c r="J14" s="3349">
        <f t="shared" si="20"/>
        <v>0</v>
      </c>
      <c r="K14" s="3350" t="e">
        <f t="shared" si="42"/>
        <v>#DIV/0!</v>
      </c>
      <c r="L14" s="1055"/>
      <c r="M14" s="3341"/>
      <c r="N14" s="3341"/>
      <c r="O14" s="3349">
        <f t="shared" si="21"/>
        <v>0</v>
      </c>
      <c r="P14" s="3350" t="e">
        <f t="shared" si="22"/>
        <v>#DIV/0!</v>
      </c>
      <c r="Q14" s="1055"/>
      <c r="R14" s="3342">
        <f t="shared" si="23"/>
        <v>0</v>
      </c>
      <c r="S14" s="3342">
        <f t="shared" si="23"/>
        <v>0</v>
      </c>
      <c r="T14" s="2012">
        <f t="shared" si="24"/>
        <v>0</v>
      </c>
      <c r="U14" s="1055"/>
      <c r="V14" s="1055"/>
      <c r="W14" s="3342">
        <f t="shared" si="25"/>
        <v>0</v>
      </c>
      <c r="X14" s="3342">
        <f t="shared" si="25"/>
        <v>0</v>
      </c>
      <c r="Y14" s="2012">
        <f t="shared" si="26"/>
        <v>0</v>
      </c>
      <c r="Z14" s="1055"/>
      <c r="AA14" s="1055"/>
      <c r="AB14" s="3341"/>
      <c r="AC14" s="3341"/>
      <c r="AD14" s="3349">
        <f t="shared" si="27"/>
        <v>0</v>
      </c>
      <c r="AE14" s="3350" t="e">
        <f t="shared" si="43"/>
        <v>#DIV/0!</v>
      </c>
      <c r="AF14" s="1055"/>
      <c r="AG14" s="3341"/>
      <c r="AH14" s="3341"/>
      <c r="AI14" s="3349">
        <f t="shared" si="28"/>
        <v>0</v>
      </c>
      <c r="AJ14" s="3350" t="e">
        <f t="shared" si="44"/>
        <v>#DIV/0!</v>
      </c>
      <c r="AK14" s="1055"/>
      <c r="AL14" s="3341"/>
      <c r="AM14" s="3341"/>
      <c r="AN14" s="3349">
        <f t="shared" si="29"/>
        <v>0</v>
      </c>
      <c r="AO14" s="3350" t="e">
        <f t="shared" si="45"/>
        <v>#DIV/0!</v>
      </c>
      <c r="AP14" s="1055"/>
      <c r="AQ14" s="3341"/>
      <c r="AR14" s="3341"/>
      <c r="AS14" s="3349">
        <f t="shared" si="30"/>
        <v>0</v>
      </c>
      <c r="AT14" s="3350" t="e">
        <f t="shared" si="46"/>
        <v>#DIV/0!</v>
      </c>
      <c r="AU14" s="1055"/>
      <c r="AV14" s="3341"/>
      <c r="AW14" s="3341"/>
      <c r="AX14" s="3349">
        <f t="shared" si="31"/>
        <v>0</v>
      </c>
      <c r="AY14" s="3350" t="e">
        <f t="shared" si="47"/>
        <v>#DIV/0!</v>
      </c>
      <c r="AZ14" s="1055"/>
      <c r="BA14" s="3341"/>
      <c r="BB14" s="3341"/>
      <c r="BC14" s="3349">
        <f t="shared" si="32"/>
        <v>0</v>
      </c>
      <c r="BD14" s="3350" t="e">
        <f t="shared" si="48"/>
        <v>#DIV/0!</v>
      </c>
      <c r="BE14" s="1055"/>
      <c r="BF14" s="3341"/>
      <c r="BG14" s="3341"/>
      <c r="BH14" s="3349">
        <f t="shared" si="33"/>
        <v>0</v>
      </c>
      <c r="BI14" s="3350" t="e">
        <f t="shared" si="49"/>
        <v>#DIV/0!</v>
      </c>
      <c r="BJ14" s="1055"/>
      <c r="BK14" s="3341"/>
      <c r="BL14" s="3341"/>
      <c r="BM14" s="3349">
        <f t="shared" si="34"/>
        <v>0</v>
      </c>
      <c r="BN14" s="3350" t="e">
        <f t="shared" si="50"/>
        <v>#DIV/0!</v>
      </c>
      <c r="BO14" s="1055"/>
      <c r="BP14" s="3341"/>
      <c r="BQ14" s="3341"/>
      <c r="BR14" s="3349">
        <f t="shared" si="35"/>
        <v>0</v>
      </c>
      <c r="BS14" s="3350" t="e">
        <f t="shared" si="51"/>
        <v>#DIV/0!</v>
      </c>
      <c r="BT14" s="1055"/>
      <c r="BU14" s="3341"/>
      <c r="BV14" s="3341"/>
      <c r="BW14" s="3349">
        <f t="shared" si="36"/>
        <v>0</v>
      </c>
      <c r="BX14" s="3350" t="e">
        <f t="shared" si="52"/>
        <v>#DIV/0!</v>
      </c>
      <c r="BY14" s="1055"/>
      <c r="BZ14" s="3341"/>
      <c r="CA14" s="3341"/>
      <c r="CB14" s="3349">
        <f t="shared" si="37"/>
        <v>0</v>
      </c>
      <c r="CC14" s="3350" t="e">
        <f t="shared" si="53"/>
        <v>#DIV/0!</v>
      </c>
      <c r="CD14" s="1055"/>
      <c r="CE14" s="3341"/>
      <c r="CF14" s="3341"/>
      <c r="CG14" s="3349">
        <f t="shared" si="38"/>
        <v>0</v>
      </c>
      <c r="CH14" s="3350" t="e">
        <f t="shared" si="54"/>
        <v>#DIV/0!</v>
      </c>
      <c r="CI14" s="1055"/>
      <c r="CJ14" s="3341">
        <f t="shared" si="39"/>
        <v>0</v>
      </c>
      <c r="CK14" s="3341">
        <f t="shared" si="39"/>
        <v>0</v>
      </c>
      <c r="CL14" s="3349">
        <f t="shared" si="55"/>
        <v>0</v>
      </c>
      <c r="CM14" s="3350" t="e">
        <f t="shared" si="40"/>
        <v>#DIV/0!</v>
      </c>
      <c r="CN14" s="1434"/>
      <c r="CP14" s="3425"/>
      <c r="CQ14" s="2012">
        <f t="shared" si="41"/>
        <v>0</v>
      </c>
      <c r="CR14" s="3441">
        <f t="shared" si="56"/>
        <v>0</v>
      </c>
      <c r="CT14" s="2624"/>
    </row>
    <row r="15" spans="1:98" s="1396" customFormat="1" ht="13.8" outlineLevel="2">
      <c r="A15" s="1571"/>
      <c r="B15" s="3444" t="s">
        <v>20</v>
      </c>
      <c r="C15" s="3341"/>
      <c r="D15" s="3341"/>
      <c r="E15" s="3349">
        <f t="shared" si="19"/>
        <v>0</v>
      </c>
      <c r="F15" s="3350" t="e">
        <f t="shared" si="16"/>
        <v>#DIV/0!</v>
      </c>
      <c r="G15" s="1055"/>
      <c r="H15" s="3341"/>
      <c r="I15" s="3341"/>
      <c r="J15" s="3349">
        <f t="shared" si="20"/>
        <v>0</v>
      </c>
      <c r="K15" s="3350" t="e">
        <f t="shared" si="42"/>
        <v>#DIV/0!</v>
      </c>
      <c r="L15" s="1055"/>
      <c r="M15" s="3341"/>
      <c r="N15" s="3341"/>
      <c r="O15" s="3349">
        <f t="shared" si="21"/>
        <v>0</v>
      </c>
      <c r="P15" s="3350" t="e">
        <f t="shared" si="22"/>
        <v>#DIV/0!</v>
      </c>
      <c r="Q15" s="1055"/>
      <c r="R15" s="3342">
        <f t="shared" si="23"/>
        <v>0</v>
      </c>
      <c r="S15" s="3342">
        <f t="shared" si="23"/>
        <v>0</v>
      </c>
      <c r="T15" s="2012">
        <f t="shared" si="24"/>
        <v>0</v>
      </c>
      <c r="U15" s="1055"/>
      <c r="V15" s="1055"/>
      <c r="W15" s="3342">
        <f t="shared" si="25"/>
        <v>0</v>
      </c>
      <c r="X15" s="3342">
        <f t="shared" si="25"/>
        <v>0</v>
      </c>
      <c r="Y15" s="2012">
        <f t="shared" si="26"/>
        <v>0</v>
      </c>
      <c r="Z15" s="1055"/>
      <c r="AA15" s="1055"/>
      <c r="AB15" s="3341"/>
      <c r="AC15" s="3341"/>
      <c r="AD15" s="3349">
        <f t="shared" si="27"/>
        <v>0</v>
      </c>
      <c r="AE15" s="3350" t="e">
        <f t="shared" si="43"/>
        <v>#DIV/0!</v>
      </c>
      <c r="AF15" s="1055"/>
      <c r="AG15" s="3341"/>
      <c r="AH15" s="3341"/>
      <c r="AI15" s="3349">
        <f t="shared" si="28"/>
        <v>0</v>
      </c>
      <c r="AJ15" s="3350" t="e">
        <f t="shared" si="44"/>
        <v>#DIV/0!</v>
      </c>
      <c r="AK15" s="1055"/>
      <c r="AL15" s="3341"/>
      <c r="AM15" s="3341"/>
      <c r="AN15" s="3349">
        <f t="shared" si="29"/>
        <v>0</v>
      </c>
      <c r="AO15" s="3350" t="e">
        <f t="shared" si="45"/>
        <v>#DIV/0!</v>
      </c>
      <c r="AP15" s="1055"/>
      <c r="AQ15" s="3341"/>
      <c r="AR15" s="3341"/>
      <c r="AS15" s="3349">
        <f t="shared" si="30"/>
        <v>0</v>
      </c>
      <c r="AT15" s="3350" t="e">
        <f t="shared" si="46"/>
        <v>#DIV/0!</v>
      </c>
      <c r="AU15" s="1055"/>
      <c r="AV15" s="3341"/>
      <c r="AW15" s="3341"/>
      <c r="AX15" s="3349">
        <f t="shared" si="31"/>
        <v>0</v>
      </c>
      <c r="AY15" s="3350" t="e">
        <f t="shared" si="47"/>
        <v>#DIV/0!</v>
      </c>
      <c r="AZ15" s="1055"/>
      <c r="BA15" s="3341"/>
      <c r="BB15" s="3341"/>
      <c r="BC15" s="3349">
        <f t="shared" si="32"/>
        <v>0</v>
      </c>
      <c r="BD15" s="3350" t="e">
        <f t="shared" si="48"/>
        <v>#DIV/0!</v>
      </c>
      <c r="BE15" s="1055"/>
      <c r="BF15" s="3341"/>
      <c r="BG15" s="3341"/>
      <c r="BH15" s="3349">
        <f t="shared" si="33"/>
        <v>0</v>
      </c>
      <c r="BI15" s="3350" t="e">
        <f t="shared" si="49"/>
        <v>#DIV/0!</v>
      </c>
      <c r="BJ15" s="1055"/>
      <c r="BK15" s="3341"/>
      <c r="BL15" s="3341"/>
      <c r="BM15" s="3349">
        <f t="shared" si="34"/>
        <v>0</v>
      </c>
      <c r="BN15" s="3350" t="e">
        <f t="shared" si="50"/>
        <v>#DIV/0!</v>
      </c>
      <c r="BO15" s="1055"/>
      <c r="BP15" s="3341"/>
      <c r="BQ15" s="3341"/>
      <c r="BR15" s="3349">
        <f t="shared" si="35"/>
        <v>0</v>
      </c>
      <c r="BS15" s="3350" t="e">
        <f t="shared" si="51"/>
        <v>#DIV/0!</v>
      </c>
      <c r="BT15" s="1055"/>
      <c r="BU15" s="3341"/>
      <c r="BV15" s="3341"/>
      <c r="BW15" s="3349">
        <f t="shared" si="36"/>
        <v>0</v>
      </c>
      <c r="BX15" s="3350" t="e">
        <f t="shared" si="52"/>
        <v>#DIV/0!</v>
      </c>
      <c r="BY15" s="1055"/>
      <c r="BZ15" s="3341"/>
      <c r="CA15" s="3341"/>
      <c r="CB15" s="3349">
        <f t="shared" si="37"/>
        <v>0</v>
      </c>
      <c r="CC15" s="3350" t="e">
        <f t="shared" si="53"/>
        <v>#DIV/0!</v>
      </c>
      <c r="CD15" s="1055"/>
      <c r="CE15" s="3341"/>
      <c r="CF15" s="3341"/>
      <c r="CG15" s="3349">
        <f t="shared" si="38"/>
        <v>0</v>
      </c>
      <c r="CH15" s="3350" t="e">
        <f t="shared" si="54"/>
        <v>#DIV/0!</v>
      </c>
      <c r="CI15" s="1055"/>
      <c r="CJ15" s="3341">
        <f t="shared" si="39"/>
        <v>0</v>
      </c>
      <c r="CK15" s="3341">
        <f t="shared" si="39"/>
        <v>0</v>
      </c>
      <c r="CL15" s="3349">
        <f t="shared" si="55"/>
        <v>0</v>
      </c>
      <c r="CM15" s="3350" t="e">
        <f t="shared" si="40"/>
        <v>#DIV/0!</v>
      </c>
      <c r="CN15" s="1434"/>
      <c r="CP15" s="3425"/>
      <c r="CQ15" s="2012">
        <f t="shared" si="41"/>
        <v>0</v>
      </c>
      <c r="CR15" s="3441">
        <f t="shared" si="56"/>
        <v>0</v>
      </c>
      <c r="CT15" s="2624"/>
    </row>
    <row r="16" spans="1:98" s="1396" customFormat="1" ht="13.8" outlineLevel="2">
      <c r="A16" s="1571"/>
      <c r="B16" s="3444" t="s">
        <v>21</v>
      </c>
      <c r="C16" s="3341"/>
      <c r="D16" s="3341"/>
      <c r="E16" s="3349">
        <f t="shared" si="19"/>
        <v>0</v>
      </c>
      <c r="F16" s="3350" t="e">
        <f t="shared" si="16"/>
        <v>#DIV/0!</v>
      </c>
      <c r="G16" s="1055"/>
      <c r="H16" s="3341"/>
      <c r="I16" s="3341"/>
      <c r="J16" s="3349">
        <f t="shared" si="20"/>
        <v>0</v>
      </c>
      <c r="K16" s="3350" t="e">
        <f t="shared" si="42"/>
        <v>#DIV/0!</v>
      </c>
      <c r="L16" s="1055"/>
      <c r="M16" s="3341"/>
      <c r="N16" s="3341"/>
      <c r="O16" s="3349">
        <f t="shared" si="21"/>
        <v>0</v>
      </c>
      <c r="P16" s="3350" t="e">
        <f t="shared" si="22"/>
        <v>#DIV/0!</v>
      </c>
      <c r="Q16" s="1055"/>
      <c r="R16" s="3342">
        <f t="shared" si="23"/>
        <v>0</v>
      </c>
      <c r="S16" s="3342">
        <f t="shared" si="23"/>
        <v>0</v>
      </c>
      <c r="T16" s="2012">
        <f t="shared" si="24"/>
        <v>0</v>
      </c>
      <c r="U16" s="1055"/>
      <c r="V16" s="1055"/>
      <c r="W16" s="3342">
        <f t="shared" si="25"/>
        <v>0</v>
      </c>
      <c r="X16" s="3342">
        <f t="shared" si="25"/>
        <v>0</v>
      </c>
      <c r="Y16" s="2012">
        <f t="shared" si="26"/>
        <v>0</v>
      </c>
      <c r="Z16" s="1055"/>
      <c r="AA16" s="1055"/>
      <c r="AB16" s="3341"/>
      <c r="AC16" s="3341"/>
      <c r="AD16" s="3349">
        <f t="shared" si="27"/>
        <v>0</v>
      </c>
      <c r="AE16" s="3350" t="e">
        <f t="shared" si="43"/>
        <v>#DIV/0!</v>
      </c>
      <c r="AF16" s="1055"/>
      <c r="AG16" s="3341"/>
      <c r="AH16" s="3341"/>
      <c r="AI16" s="3349">
        <f t="shared" si="28"/>
        <v>0</v>
      </c>
      <c r="AJ16" s="3350" t="e">
        <f t="shared" si="44"/>
        <v>#DIV/0!</v>
      </c>
      <c r="AK16" s="1055"/>
      <c r="AL16" s="3341"/>
      <c r="AM16" s="3341"/>
      <c r="AN16" s="3349">
        <f t="shared" si="29"/>
        <v>0</v>
      </c>
      <c r="AO16" s="3350" t="e">
        <f t="shared" si="45"/>
        <v>#DIV/0!</v>
      </c>
      <c r="AP16" s="1055"/>
      <c r="AQ16" s="3341"/>
      <c r="AR16" s="3341"/>
      <c r="AS16" s="3349">
        <f t="shared" si="30"/>
        <v>0</v>
      </c>
      <c r="AT16" s="3350" t="e">
        <f t="shared" si="46"/>
        <v>#DIV/0!</v>
      </c>
      <c r="AU16" s="1055"/>
      <c r="AV16" s="3341"/>
      <c r="AW16" s="3341"/>
      <c r="AX16" s="3349">
        <f t="shared" si="31"/>
        <v>0</v>
      </c>
      <c r="AY16" s="3350" t="e">
        <f t="shared" si="47"/>
        <v>#DIV/0!</v>
      </c>
      <c r="AZ16" s="1055"/>
      <c r="BA16" s="3341"/>
      <c r="BB16" s="3341"/>
      <c r="BC16" s="3349">
        <f t="shared" si="32"/>
        <v>0</v>
      </c>
      <c r="BD16" s="3350" t="e">
        <f t="shared" si="48"/>
        <v>#DIV/0!</v>
      </c>
      <c r="BE16" s="1055"/>
      <c r="BF16" s="3341"/>
      <c r="BG16" s="3341"/>
      <c r="BH16" s="3349">
        <f t="shared" si="33"/>
        <v>0</v>
      </c>
      <c r="BI16" s="3350" t="e">
        <f t="shared" si="49"/>
        <v>#DIV/0!</v>
      </c>
      <c r="BJ16" s="1055"/>
      <c r="BK16" s="3341"/>
      <c r="BL16" s="3341"/>
      <c r="BM16" s="3349">
        <f t="shared" si="34"/>
        <v>0</v>
      </c>
      <c r="BN16" s="3350" t="e">
        <f t="shared" si="50"/>
        <v>#DIV/0!</v>
      </c>
      <c r="BO16" s="1055"/>
      <c r="BP16" s="3341"/>
      <c r="BQ16" s="3341"/>
      <c r="BR16" s="3349">
        <f t="shared" si="35"/>
        <v>0</v>
      </c>
      <c r="BS16" s="3350" t="e">
        <f t="shared" si="51"/>
        <v>#DIV/0!</v>
      </c>
      <c r="BT16" s="1055"/>
      <c r="BU16" s="3341"/>
      <c r="BV16" s="3341"/>
      <c r="BW16" s="3349">
        <f t="shared" si="36"/>
        <v>0</v>
      </c>
      <c r="BX16" s="3350" t="e">
        <f t="shared" si="52"/>
        <v>#DIV/0!</v>
      </c>
      <c r="BY16" s="1055"/>
      <c r="BZ16" s="3341"/>
      <c r="CA16" s="3341"/>
      <c r="CB16" s="3349">
        <f t="shared" si="37"/>
        <v>0</v>
      </c>
      <c r="CC16" s="3350" t="e">
        <f t="shared" si="53"/>
        <v>#DIV/0!</v>
      </c>
      <c r="CD16" s="1055"/>
      <c r="CE16" s="3341"/>
      <c r="CF16" s="3341"/>
      <c r="CG16" s="3349">
        <f t="shared" si="38"/>
        <v>0</v>
      </c>
      <c r="CH16" s="3350" t="e">
        <f t="shared" si="54"/>
        <v>#DIV/0!</v>
      </c>
      <c r="CI16" s="1055"/>
      <c r="CJ16" s="3341">
        <f t="shared" si="39"/>
        <v>0</v>
      </c>
      <c r="CK16" s="3341">
        <f t="shared" si="39"/>
        <v>0</v>
      </c>
      <c r="CL16" s="3349">
        <f>CJ16+CK16*1</f>
        <v>0</v>
      </c>
      <c r="CM16" s="3350" t="e">
        <f t="shared" si="40"/>
        <v>#DIV/0!</v>
      </c>
      <c r="CN16" s="1434"/>
      <c r="CP16" s="3425"/>
      <c r="CQ16" s="2012">
        <f t="shared" si="41"/>
        <v>0</v>
      </c>
      <c r="CR16" s="3441">
        <f t="shared" si="56"/>
        <v>0</v>
      </c>
      <c r="CT16" s="2624"/>
    </row>
    <row r="17" spans="1:100" s="1396" customFormat="1" ht="13.8" outlineLevel="2">
      <c r="A17" s="1571"/>
      <c r="B17" s="3444" t="s">
        <v>22</v>
      </c>
      <c r="C17" s="3341"/>
      <c r="D17" s="3341"/>
      <c r="E17" s="3349">
        <f t="shared" si="19"/>
        <v>0</v>
      </c>
      <c r="F17" s="3350" t="e">
        <f t="shared" si="16"/>
        <v>#DIV/0!</v>
      </c>
      <c r="G17" s="2047"/>
      <c r="H17" s="3341"/>
      <c r="I17" s="3341"/>
      <c r="J17" s="3349">
        <f t="shared" si="20"/>
        <v>0</v>
      </c>
      <c r="K17" s="3350" t="e">
        <f t="shared" si="42"/>
        <v>#DIV/0!</v>
      </c>
      <c r="L17" s="2047"/>
      <c r="M17" s="3341"/>
      <c r="N17" s="3341"/>
      <c r="O17" s="3349">
        <f t="shared" si="21"/>
        <v>0</v>
      </c>
      <c r="P17" s="3350" t="e">
        <f t="shared" si="22"/>
        <v>#DIV/0!</v>
      </c>
      <c r="Q17" s="2047"/>
      <c r="R17" s="3342">
        <f t="shared" si="23"/>
        <v>0</v>
      </c>
      <c r="S17" s="3342">
        <f t="shared" si="23"/>
        <v>0</v>
      </c>
      <c r="T17" s="2012">
        <f t="shared" si="24"/>
        <v>0</v>
      </c>
      <c r="U17" s="2047"/>
      <c r="V17" s="2047"/>
      <c r="W17" s="3342">
        <f t="shared" si="25"/>
        <v>0</v>
      </c>
      <c r="X17" s="3342">
        <f t="shared" si="25"/>
        <v>0</v>
      </c>
      <c r="Y17" s="2012">
        <f t="shared" si="26"/>
        <v>0</v>
      </c>
      <c r="Z17" s="2047"/>
      <c r="AA17" s="2047"/>
      <c r="AB17" s="3341"/>
      <c r="AC17" s="3341"/>
      <c r="AD17" s="3349">
        <f t="shared" si="27"/>
        <v>0</v>
      </c>
      <c r="AE17" s="3350" t="e">
        <f t="shared" si="43"/>
        <v>#DIV/0!</v>
      </c>
      <c r="AF17" s="2047"/>
      <c r="AG17" s="3341"/>
      <c r="AH17" s="3341"/>
      <c r="AI17" s="3349">
        <f t="shared" si="28"/>
        <v>0</v>
      </c>
      <c r="AJ17" s="3350" t="e">
        <f t="shared" si="44"/>
        <v>#DIV/0!</v>
      </c>
      <c r="AK17" s="2047"/>
      <c r="AL17" s="3341"/>
      <c r="AM17" s="3341"/>
      <c r="AN17" s="3349">
        <f t="shared" si="29"/>
        <v>0</v>
      </c>
      <c r="AO17" s="3350" t="e">
        <f t="shared" si="45"/>
        <v>#DIV/0!</v>
      </c>
      <c r="AP17" s="2047"/>
      <c r="AQ17" s="3341"/>
      <c r="AR17" s="3341"/>
      <c r="AS17" s="3349">
        <f t="shared" si="30"/>
        <v>0</v>
      </c>
      <c r="AT17" s="3350" t="e">
        <f t="shared" si="46"/>
        <v>#DIV/0!</v>
      </c>
      <c r="AU17" s="2047"/>
      <c r="AV17" s="3341"/>
      <c r="AW17" s="3341"/>
      <c r="AX17" s="3349">
        <f t="shared" si="31"/>
        <v>0</v>
      </c>
      <c r="AY17" s="3350" t="e">
        <f t="shared" si="47"/>
        <v>#DIV/0!</v>
      </c>
      <c r="AZ17" s="2047"/>
      <c r="BA17" s="3341"/>
      <c r="BB17" s="3341"/>
      <c r="BC17" s="3349">
        <f t="shared" si="32"/>
        <v>0</v>
      </c>
      <c r="BD17" s="3350" t="e">
        <f t="shared" si="48"/>
        <v>#DIV/0!</v>
      </c>
      <c r="BE17" s="2047"/>
      <c r="BF17" s="3341"/>
      <c r="BG17" s="3341"/>
      <c r="BH17" s="3349">
        <f t="shared" si="33"/>
        <v>0</v>
      </c>
      <c r="BI17" s="3350" t="e">
        <f t="shared" si="49"/>
        <v>#DIV/0!</v>
      </c>
      <c r="BJ17" s="2047"/>
      <c r="BK17" s="3341"/>
      <c r="BL17" s="3341"/>
      <c r="BM17" s="3349">
        <f t="shared" si="34"/>
        <v>0</v>
      </c>
      <c r="BN17" s="3350" t="e">
        <f t="shared" si="50"/>
        <v>#DIV/0!</v>
      </c>
      <c r="BO17" s="2047"/>
      <c r="BP17" s="3341"/>
      <c r="BQ17" s="3341"/>
      <c r="BR17" s="3349">
        <f t="shared" si="35"/>
        <v>0</v>
      </c>
      <c r="BS17" s="3350" t="e">
        <f t="shared" si="51"/>
        <v>#DIV/0!</v>
      </c>
      <c r="BT17" s="2047"/>
      <c r="BU17" s="3341"/>
      <c r="BV17" s="3341"/>
      <c r="BW17" s="3349">
        <f t="shared" si="36"/>
        <v>0</v>
      </c>
      <c r="BX17" s="3350" t="e">
        <f t="shared" si="52"/>
        <v>#DIV/0!</v>
      </c>
      <c r="BY17" s="2047"/>
      <c r="BZ17" s="3341"/>
      <c r="CA17" s="3341"/>
      <c r="CB17" s="3349">
        <f t="shared" si="37"/>
        <v>0</v>
      </c>
      <c r="CC17" s="3350" t="e">
        <f t="shared" si="53"/>
        <v>#DIV/0!</v>
      </c>
      <c r="CD17" s="2047"/>
      <c r="CE17" s="3341"/>
      <c r="CF17" s="3341"/>
      <c r="CG17" s="3349">
        <f t="shared" si="38"/>
        <v>0</v>
      </c>
      <c r="CH17" s="3350" t="e">
        <f t="shared" si="54"/>
        <v>#DIV/0!</v>
      </c>
      <c r="CI17" s="2047"/>
      <c r="CJ17" s="3341">
        <f t="shared" si="39"/>
        <v>0</v>
      </c>
      <c r="CK17" s="3341">
        <f t="shared" si="39"/>
        <v>0</v>
      </c>
      <c r="CL17" s="3349">
        <f t="shared" si="55"/>
        <v>0</v>
      </c>
      <c r="CM17" s="3350" t="e">
        <f t="shared" si="40"/>
        <v>#DIV/0!</v>
      </c>
      <c r="CN17" s="1434"/>
      <c r="CP17" s="3425"/>
      <c r="CQ17" s="2012">
        <f t="shared" si="41"/>
        <v>0</v>
      </c>
      <c r="CR17" s="3441">
        <f t="shared" si="56"/>
        <v>0</v>
      </c>
      <c r="CS17" s="3307"/>
      <c r="CT17" s="3443"/>
    </row>
    <row r="18" spans="1:100" s="1396" customFormat="1" ht="13.8" outlineLevel="2">
      <c r="A18" s="1571"/>
      <c r="B18" s="3444" t="s">
        <v>0</v>
      </c>
      <c r="C18" s="3341"/>
      <c r="D18" s="3341"/>
      <c r="E18" s="3349">
        <f t="shared" si="19"/>
        <v>0</v>
      </c>
      <c r="F18" s="3350" t="e">
        <f t="shared" si="16"/>
        <v>#DIV/0!</v>
      </c>
      <c r="G18" s="1055"/>
      <c r="H18" s="3341"/>
      <c r="I18" s="3341"/>
      <c r="J18" s="3349">
        <f t="shared" si="20"/>
        <v>0</v>
      </c>
      <c r="K18" s="3350" t="e">
        <f t="shared" si="42"/>
        <v>#DIV/0!</v>
      </c>
      <c r="L18" s="1055"/>
      <c r="M18" s="3341"/>
      <c r="N18" s="3341"/>
      <c r="O18" s="3349">
        <f t="shared" si="21"/>
        <v>0</v>
      </c>
      <c r="P18" s="3350" t="e">
        <f t="shared" si="22"/>
        <v>#DIV/0!</v>
      </c>
      <c r="Q18" s="1055"/>
      <c r="R18" s="3342">
        <f t="shared" si="23"/>
        <v>0</v>
      </c>
      <c r="S18" s="3342">
        <f t="shared" si="23"/>
        <v>0</v>
      </c>
      <c r="T18" s="2012">
        <f t="shared" si="24"/>
        <v>0</v>
      </c>
      <c r="U18" s="1055"/>
      <c r="V18" s="1055"/>
      <c r="W18" s="3342">
        <f t="shared" si="25"/>
        <v>0</v>
      </c>
      <c r="X18" s="3342">
        <f t="shared" si="25"/>
        <v>0</v>
      </c>
      <c r="Y18" s="2012">
        <f t="shared" si="26"/>
        <v>0</v>
      </c>
      <c r="Z18" s="1055"/>
      <c r="AA18" s="1055"/>
      <c r="AB18" s="3341"/>
      <c r="AC18" s="3341"/>
      <c r="AD18" s="3349">
        <f t="shared" si="27"/>
        <v>0</v>
      </c>
      <c r="AE18" s="3350" t="e">
        <f t="shared" si="43"/>
        <v>#DIV/0!</v>
      </c>
      <c r="AF18" s="1055"/>
      <c r="AG18" s="3341"/>
      <c r="AH18" s="3341"/>
      <c r="AI18" s="3349">
        <f t="shared" si="28"/>
        <v>0</v>
      </c>
      <c r="AJ18" s="3350" t="e">
        <f t="shared" si="44"/>
        <v>#DIV/0!</v>
      </c>
      <c r="AK18" s="1055"/>
      <c r="AL18" s="3341"/>
      <c r="AM18" s="3341"/>
      <c r="AN18" s="3349">
        <f t="shared" si="29"/>
        <v>0</v>
      </c>
      <c r="AO18" s="3350" t="e">
        <f t="shared" si="45"/>
        <v>#DIV/0!</v>
      </c>
      <c r="AP18" s="1055"/>
      <c r="AQ18" s="3341"/>
      <c r="AR18" s="3341"/>
      <c r="AS18" s="3349">
        <f t="shared" si="30"/>
        <v>0</v>
      </c>
      <c r="AT18" s="3350" t="e">
        <f t="shared" si="46"/>
        <v>#DIV/0!</v>
      </c>
      <c r="AU18" s="1055"/>
      <c r="AV18" s="3341"/>
      <c r="AW18" s="3341"/>
      <c r="AX18" s="3349">
        <f t="shared" si="31"/>
        <v>0</v>
      </c>
      <c r="AY18" s="3350" t="e">
        <f t="shared" si="47"/>
        <v>#DIV/0!</v>
      </c>
      <c r="AZ18" s="1055"/>
      <c r="BA18" s="3341"/>
      <c r="BB18" s="3341"/>
      <c r="BC18" s="3349">
        <f t="shared" si="32"/>
        <v>0</v>
      </c>
      <c r="BD18" s="3350" t="e">
        <f t="shared" si="48"/>
        <v>#DIV/0!</v>
      </c>
      <c r="BE18" s="1055"/>
      <c r="BF18" s="3341"/>
      <c r="BG18" s="3341"/>
      <c r="BH18" s="3349">
        <f t="shared" si="33"/>
        <v>0</v>
      </c>
      <c r="BI18" s="3350" t="e">
        <f t="shared" si="49"/>
        <v>#DIV/0!</v>
      </c>
      <c r="BJ18" s="1055"/>
      <c r="BK18" s="3341"/>
      <c r="BL18" s="3341"/>
      <c r="BM18" s="3349">
        <f t="shared" si="34"/>
        <v>0</v>
      </c>
      <c r="BN18" s="3350" t="e">
        <f t="shared" si="50"/>
        <v>#DIV/0!</v>
      </c>
      <c r="BO18" s="1055"/>
      <c r="BP18" s="3341"/>
      <c r="BQ18" s="3341"/>
      <c r="BR18" s="3349">
        <f t="shared" si="35"/>
        <v>0</v>
      </c>
      <c r="BS18" s="3350" t="e">
        <f t="shared" si="51"/>
        <v>#DIV/0!</v>
      </c>
      <c r="BT18" s="1055"/>
      <c r="BU18" s="3341"/>
      <c r="BV18" s="3341"/>
      <c r="BW18" s="3349">
        <f t="shared" si="36"/>
        <v>0</v>
      </c>
      <c r="BX18" s="3350" t="e">
        <f t="shared" si="52"/>
        <v>#DIV/0!</v>
      </c>
      <c r="BY18" s="1055"/>
      <c r="BZ18" s="3341"/>
      <c r="CA18" s="3341"/>
      <c r="CB18" s="3349">
        <f t="shared" si="37"/>
        <v>0</v>
      </c>
      <c r="CC18" s="3350" t="e">
        <f t="shared" si="53"/>
        <v>#DIV/0!</v>
      </c>
      <c r="CD18" s="1055"/>
      <c r="CE18" s="3341"/>
      <c r="CF18" s="3341"/>
      <c r="CG18" s="3349">
        <f t="shared" si="38"/>
        <v>0</v>
      </c>
      <c r="CH18" s="3350" t="e">
        <f t="shared" si="54"/>
        <v>#DIV/0!</v>
      </c>
      <c r="CI18" s="1055"/>
      <c r="CJ18" s="3341">
        <f t="shared" si="39"/>
        <v>0</v>
      </c>
      <c r="CK18" s="3341">
        <f t="shared" si="39"/>
        <v>0</v>
      </c>
      <c r="CL18" s="3349">
        <f t="shared" si="55"/>
        <v>0</v>
      </c>
      <c r="CM18" s="3350" t="e">
        <f t="shared" si="40"/>
        <v>#DIV/0!</v>
      </c>
      <c r="CN18" s="1434"/>
      <c r="CP18" s="3425"/>
      <c r="CQ18" s="2012">
        <f t="shared" si="41"/>
        <v>0</v>
      </c>
      <c r="CR18" s="3441">
        <f t="shared" si="56"/>
        <v>0</v>
      </c>
      <c r="CT18" s="2624"/>
    </row>
    <row r="19" spans="1:100" s="1396" customFormat="1" ht="13.8" outlineLevel="2">
      <c r="A19" s="1571"/>
      <c r="B19" s="3444" t="s">
        <v>53</v>
      </c>
      <c r="C19" s="3341"/>
      <c r="D19" s="3341"/>
      <c r="E19" s="3349">
        <f t="shared" si="19"/>
        <v>0</v>
      </c>
      <c r="F19" s="3350" t="e">
        <f t="shared" si="16"/>
        <v>#DIV/0!</v>
      </c>
      <c r="G19" s="1055"/>
      <c r="H19" s="3341"/>
      <c r="I19" s="3341"/>
      <c r="J19" s="3349">
        <f t="shared" si="20"/>
        <v>0</v>
      </c>
      <c r="K19" s="3350" t="e">
        <f t="shared" si="42"/>
        <v>#DIV/0!</v>
      </c>
      <c r="L19" s="1055"/>
      <c r="M19" s="3341"/>
      <c r="N19" s="3341"/>
      <c r="O19" s="3349">
        <f t="shared" si="21"/>
        <v>0</v>
      </c>
      <c r="P19" s="3350" t="e">
        <f t="shared" si="22"/>
        <v>#DIV/0!</v>
      </c>
      <c r="Q19" s="1055"/>
      <c r="R19" s="3342">
        <f t="shared" si="23"/>
        <v>0</v>
      </c>
      <c r="S19" s="3342">
        <f t="shared" si="23"/>
        <v>0</v>
      </c>
      <c r="T19" s="2012">
        <f t="shared" si="24"/>
        <v>0</v>
      </c>
      <c r="U19" s="1055"/>
      <c r="V19" s="1055"/>
      <c r="W19" s="3342">
        <f t="shared" si="25"/>
        <v>0</v>
      </c>
      <c r="X19" s="3342">
        <f t="shared" si="25"/>
        <v>0</v>
      </c>
      <c r="Y19" s="2012">
        <f t="shared" si="26"/>
        <v>0</v>
      </c>
      <c r="Z19" s="1055"/>
      <c r="AA19" s="1055"/>
      <c r="AB19" s="3341"/>
      <c r="AC19" s="3341"/>
      <c r="AD19" s="3349">
        <f t="shared" si="27"/>
        <v>0</v>
      </c>
      <c r="AE19" s="3350" t="e">
        <f t="shared" si="43"/>
        <v>#DIV/0!</v>
      </c>
      <c r="AF19" s="1055"/>
      <c r="AG19" s="3341"/>
      <c r="AH19" s="3341"/>
      <c r="AI19" s="3349">
        <f t="shared" si="28"/>
        <v>0</v>
      </c>
      <c r="AJ19" s="3350" t="e">
        <f t="shared" si="44"/>
        <v>#DIV/0!</v>
      </c>
      <c r="AK19" s="1055"/>
      <c r="AL19" s="3341"/>
      <c r="AM19" s="3341"/>
      <c r="AN19" s="3349">
        <f t="shared" si="29"/>
        <v>0</v>
      </c>
      <c r="AO19" s="3350" t="e">
        <f t="shared" si="45"/>
        <v>#DIV/0!</v>
      </c>
      <c r="AP19" s="1055"/>
      <c r="AQ19" s="3341"/>
      <c r="AR19" s="3341"/>
      <c r="AS19" s="3349">
        <f t="shared" si="30"/>
        <v>0</v>
      </c>
      <c r="AT19" s="3350" t="e">
        <f t="shared" si="46"/>
        <v>#DIV/0!</v>
      </c>
      <c r="AU19" s="1055"/>
      <c r="AV19" s="3341"/>
      <c r="AW19" s="3341"/>
      <c r="AX19" s="3349">
        <f t="shared" si="31"/>
        <v>0</v>
      </c>
      <c r="AY19" s="3350" t="e">
        <f t="shared" si="47"/>
        <v>#DIV/0!</v>
      </c>
      <c r="AZ19" s="1055"/>
      <c r="BA19" s="3341"/>
      <c r="BB19" s="3341"/>
      <c r="BC19" s="3349">
        <f t="shared" si="32"/>
        <v>0</v>
      </c>
      <c r="BD19" s="3350" t="e">
        <f t="shared" si="48"/>
        <v>#DIV/0!</v>
      </c>
      <c r="BE19" s="1055"/>
      <c r="BF19" s="3341"/>
      <c r="BG19" s="3341"/>
      <c r="BH19" s="3349">
        <f t="shared" si="33"/>
        <v>0</v>
      </c>
      <c r="BI19" s="3350" t="e">
        <f t="shared" si="49"/>
        <v>#DIV/0!</v>
      </c>
      <c r="BJ19" s="1055"/>
      <c r="BK19" s="3341"/>
      <c r="BL19" s="3341"/>
      <c r="BM19" s="3349">
        <f t="shared" si="34"/>
        <v>0</v>
      </c>
      <c r="BN19" s="3350" t="e">
        <f t="shared" si="50"/>
        <v>#DIV/0!</v>
      </c>
      <c r="BO19" s="1055"/>
      <c r="BP19" s="3341"/>
      <c r="BQ19" s="3341"/>
      <c r="BR19" s="3349">
        <f t="shared" si="35"/>
        <v>0</v>
      </c>
      <c r="BS19" s="3350" t="e">
        <f t="shared" si="51"/>
        <v>#DIV/0!</v>
      </c>
      <c r="BT19" s="1055"/>
      <c r="BU19" s="3341"/>
      <c r="BV19" s="3341"/>
      <c r="BW19" s="3349">
        <f t="shared" si="36"/>
        <v>0</v>
      </c>
      <c r="BX19" s="3350" t="e">
        <f t="shared" si="52"/>
        <v>#DIV/0!</v>
      </c>
      <c r="BY19" s="1055"/>
      <c r="BZ19" s="3341"/>
      <c r="CA19" s="3341"/>
      <c r="CB19" s="3349">
        <f t="shared" si="37"/>
        <v>0</v>
      </c>
      <c r="CC19" s="3350" t="e">
        <f t="shared" si="53"/>
        <v>#DIV/0!</v>
      </c>
      <c r="CD19" s="1055"/>
      <c r="CE19" s="3341"/>
      <c r="CF19" s="3341"/>
      <c r="CG19" s="3349">
        <f t="shared" si="38"/>
        <v>0</v>
      </c>
      <c r="CH19" s="3350" t="e">
        <f t="shared" si="54"/>
        <v>#DIV/0!</v>
      </c>
      <c r="CI19" s="1055"/>
      <c r="CJ19" s="3341">
        <f t="shared" si="39"/>
        <v>0</v>
      </c>
      <c r="CK19" s="3341">
        <f t="shared" si="39"/>
        <v>0</v>
      </c>
      <c r="CL19" s="3349">
        <f t="shared" si="55"/>
        <v>0</v>
      </c>
      <c r="CM19" s="3350" t="e">
        <f t="shared" si="40"/>
        <v>#DIV/0!</v>
      </c>
      <c r="CN19" s="1434"/>
      <c r="CP19" s="3425"/>
      <c r="CQ19" s="2012">
        <f t="shared" si="41"/>
        <v>0</v>
      </c>
      <c r="CR19" s="3441">
        <f t="shared" si="56"/>
        <v>0</v>
      </c>
      <c r="CT19" s="2624"/>
    </row>
    <row r="20" spans="1:100" s="1396" customFormat="1" ht="13.8" outlineLevel="2">
      <c r="A20" s="1571"/>
      <c r="B20" s="3444" t="s">
        <v>57</v>
      </c>
      <c r="C20" s="3341"/>
      <c r="D20" s="3341"/>
      <c r="E20" s="3349">
        <f t="shared" si="19"/>
        <v>0</v>
      </c>
      <c r="F20" s="3350" t="e">
        <f t="shared" si="16"/>
        <v>#DIV/0!</v>
      </c>
      <c r="G20" s="1055"/>
      <c r="H20" s="3341"/>
      <c r="I20" s="3341"/>
      <c r="J20" s="3349">
        <f t="shared" si="20"/>
        <v>0</v>
      </c>
      <c r="K20" s="3350" t="e">
        <f t="shared" si="42"/>
        <v>#DIV/0!</v>
      </c>
      <c r="L20" s="1055"/>
      <c r="M20" s="3341"/>
      <c r="N20" s="3341"/>
      <c r="O20" s="3349">
        <f t="shared" si="21"/>
        <v>0</v>
      </c>
      <c r="P20" s="3350" t="e">
        <f t="shared" si="22"/>
        <v>#DIV/0!</v>
      </c>
      <c r="Q20" s="1055"/>
      <c r="R20" s="3342">
        <f t="shared" si="23"/>
        <v>0</v>
      </c>
      <c r="S20" s="3342">
        <f t="shared" si="23"/>
        <v>0</v>
      </c>
      <c r="T20" s="2012">
        <f t="shared" si="24"/>
        <v>0</v>
      </c>
      <c r="U20" s="1055"/>
      <c r="V20" s="1055"/>
      <c r="W20" s="3342">
        <f t="shared" si="25"/>
        <v>0</v>
      </c>
      <c r="X20" s="3342">
        <f t="shared" si="25"/>
        <v>0</v>
      </c>
      <c r="Y20" s="2012">
        <f t="shared" si="26"/>
        <v>0</v>
      </c>
      <c r="Z20" s="1055"/>
      <c r="AA20" s="1055"/>
      <c r="AB20" s="3341"/>
      <c r="AC20" s="3341"/>
      <c r="AD20" s="3349">
        <f t="shared" si="27"/>
        <v>0</v>
      </c>
      <c r="AE20" s="3350" t="e">
        <f t="shared" si="43"/>
        <v>#DIV/0!</v>
      </c>
      <c r="AF20" s="1055"/>
      <c r="AG20" s="3341"/>
      <c r="AH20" s="3341"/>
      <c r="AI20" s="3349">
        <f t="shared" si="28"/>
        <v>0</v>
      </c>
      <c r="AJ20" s="3350" t="e">
        <f t="shared" si="44"/>
        <v>#DIV/0!</v>
      </c>
      <c r="AK20" s="1055"/>
      <c r="AL20" s="3341"/>
      <c r="AM20" s="3341"/>
      <c r="AN20" s="3349">
        <f t="shared" si="29"/>
        <v>0</v>
      </c>
      <c r="AO20" s="3350" t="e">
        <f t="shared" si="45"/>
        <v>#DIV/0!</v>
      </c>
      <c r="AP20" s="1055"/>
      <c r="AQ20" s="3341"/>
      <c r="AR20" s="3341"/>
      <c r="AS20" s="3349">
        <f t="shared" si="30"/>
        <v>0</v>
      </c>
      <c r="AT20" s="3350" t="e">
        <f t="shared" si="46"/>
        <v>#DIV/0!</v>
      </c>
      <c r="AU20" s="1055"/>
      <c r="AV20" s="3341"/>
      <c r="AW20" s="3341"/>
      <c r="AX20" s="3349">
        <f t="shared" si="31"/>
        <v>0</v>
      </c>
      <c r="AY20" s="3350" t="e">
        <f t="shared" si="47"/>
        <v>#DIV/0!</v>
      </c>
      <c r="AZ20" s="1055"/>
      <c r="BA20" s="3341"/>
      <c r="BB20" s="3341"/>
      <c r="BC20" s="3349">
        <f t="shared" si="32"/>
        <v>0</v>
      </c>
      <c r="BD20" s="3350" t="e">
        <f t="shared" si="48"/>
        <v>#DIV/0!</v>
      </c>
      <c r="BE20" s="1055"/>
      <c r="BF20" s="3341"/>
      <c r="BG20" s="3341"/>
      <c r="BH20" s="3349">
        <f t="shared" si="33"/>
        <v>0</v>
      </c>
      <c r="BI20" s="3350" t="e">
        <f t="shared" si="49"/>
        <v>#DIV/0!</v>
      </c>
      <c r="BJ20" s="1055"/>
      <c r="BK20" s="3341"/>
      <c r="BL20" s="3341"/>
      <c r="BM20" s="3349">
        <f t="shared" si="34"/>
        <v>0</v>
      </c>
      <c r="BN20" s="3350" t="e">
        <f t="shared" si="50"/>
        <v>#DIV/0!</v>
      </c>
      <c r="BO20" s="1055"/>
      <c r="BP20" s="3341"/>
      <c r="BQ20" s="3341"/>
      <c r="BR20" s="3349">
        <f t="shared" si="35"/>
        <v>0</v>
      </c>
      <c r="BS20" s="3350" t="e">
        <f t="shared" si="51"/>
        <v>#DIV/0!</v>
      </c>
      <c r="BT20" s="1055"/>
      <c r="BU20" s="3341"/>
      <c r="BV20" s="3341"/>
      <c r="BW20" s="3349">
        <f t="shared" si="36"/>
        <v>0</v>
      </c>
      <c r="BX20" s="3350" t="e">
        <f t="shared" si="52"/>
        <v>#DIV/0!</v>
      </c>
      <c r="BY20" s="1055"/>
      <c r="BZ20" s="3341"/>
      <c r="CA20" s="3341"/>
      <c r="CB20" s="3349">
        <f t="shared" si="37"/>
        <v>0</v>
      </c>
      <c r="CC20" s="3350" t="e">
        <f t="shared" si="53"/>
        <v>#DIV/0!</v>
      </c>
      <c r="CD20" s="1055"/>
      <c r="CE20" s="3341"/>
      <c r="CF20" s="3341"/>
      <c r="CG20" s="3349">
        <f t="shared" si="38"/>
        <v>0</v>
      </c>
      <c r="CH20" s="3350" t="e">
        <f t="shared" si="54"/>
        <v>#DIV/0!</v>
      </c>
      <c r="CI20" s="1055"/>
      <c r="CJ20" s="3341">
        <f t="shared" si="39"/>
        <v>0</v>
      </c>
      <c r="CK20" s="3341">
        <f t="shared" si="39"/>
        <v>0</v>
      </c>
      <c r="CL20" s="3349">
        <f t="shared" si="55"/>
        <v>0</v>
      </c>
      <c r="CM20" s="3350" t="e">
        <f t="shared" si="40"/>
        <v>#DIV/0!</v>
      </c>
      <c r="CN20" s="1434"/>
      <c r="CP20" s="3425"/>
      <c r="CQ20" s="2012">
        <f t="shared" si="41"/>
        <v>0</v>
      </c>
      <c r="CR20" s="3441">
        <f t="shared" si="56"/>
        <v>0</v>
      </c>
      <c r="CT20" s="2624"/>
    </row>
    <row r="21" spans="1:100" s="1396" customFormat="1" ht="13.8" outlineLevel="2">
      <c r="A21" s="1571"/>
      <c r="B21" s="3444" t="s">
        <v>58</v>
      </c>
      <c r="C21" s="3341"/>
      <c r="D21" s="3341"/>
      <c r="E21" s="3349">
        <f t="shared" si="19"/>
        <v>0</v>
      </c>
      <c r="F21" s="3350" t="e">
        <f t="shared" si="16"/>
        <v>#DIV/0!</v>
      </c>
      <c r="G21" s="1615"/>
      <c r="H21" s="3341"/>
      <c r="I21" s="3341"/>
      <c r="J21" s="3349">
        <f t="shared" si="20"/>
        <v>0</v>
      </c>
      <c r="K21" s="3350" t="e">
        <f t="shared" si="42"/>
        <v>#DIV/0!</v>
      </c>
      <c r="L21" s="1615"/>
      <c r="M21" s="3341"/>
      <c r="N21" s="3341"/>
      <c r="O21" s="3349">
        <f t="shared" si="21"/>
        <v>0</v>
      </c>
      <c r="P21" s="3350" t="e">
        <f t="shared" si="22"/>
        <v>#DIV/0!</v>
      </c>
      <c r="Q21" s="1615"/>
      <c r="R21" s="3342">
        <f t="shared" si="23"/>
        <v>0</v>
      </c>
      <c r="S21" s="3342">
        <f t="shared" si="23"/>
        <v>0</v>
      </c>
      <c r="T21" s="2012">
        <f t="shared" si="24"/>
        <v>0</v>
      </c>
      <c r="U21" s="1615"/>
      <c r="V21" s="1615"/>
      <c r="W21" s="3342">
        <f t="shared" si="25"/>
        <v>0</v>
      </c>
      <c r="X21" s="3342">
        <f t="shared" si="25"/>
        <v>0</v>
      </c>
      <c r="Y21" s="2012">
        <f t="shared" si="26"/>
        <v>0</v>
      </c>
      <c r="Z21" s="1615"/>
      <c r="AA21" s="1615"/>
      <c r="AB21" s="3341"/>
      <c r="AC21" s="3341"/>
      <c r="AD21" s="3349">
        <f t="shared" si="27"/>
        <v>0</v>
      </c>
      <c r="AE21" s="3350" t="e">
        <f t="shared" si="43"/>
        <v>#DIV/0!</v>
      </c>
      <c r="AF21" s="1615"/>
      <c r="AG21" s="3341"/>
      <c r="AH21" s="3341"/>
      <c r="AI21" s="3349">
        <f t="shared" si="28"/>
        <v>0</v>
      </c>
      <c r="AJ21" s="3350" t="e">
        <f t="shared" si="44"/>
        <v>#DIV/0!</v>
      </c>
      <c r="AK21" s="1615"/>
      <c r="AL21" s="3341"/>
      <c r="AM21" s="3341"/>
      <c r="AN21" s="3349">
        <f t="shared" si="29"/>
        <v>0</v>
      </c>
      <c r="AO21" s="3350" t="e">
        <f t="shared" si="45"/>
        <v>#DIV/0!</v>
      </c>
      <c r="AP21" s="1615"/>
      <c r="AQ21" s="3341"/>
      <c r="AR21" s="3341"/>
      <c r="AS21" s="3349">
        <f t="shared" si="30"/>
        <v>0</v>
      </c>
      <c r="AT21" s="3350" t="e">
        <f t="shared" si="46"/>
        <v>#DIV/0!</v>
      </c>
      <c r="AU21" s="1615"/>
      <c r="AV21" s="3341"/>
      <c r="AW21" s="3341"/>
      <c r="AX21" s="3349">
        <f t="shared" si="31"/>
        <v>0</v>
      </c>
      <c r="AY21" s="3350" t="e">
        <f t="shared" si="47"/>
        <v>#DIV/0!</v>
      </c>
      <c r="AZ21" s="1615"/>
      <c r="BA21" s="3341"/>
      <c r="BB21" s="3341"/>
      <c r="BC21" s="3349">
        <f t="shared" si="32"/>
        <v>0</v>
      </c>
      <c r="BD21" s="3350" t="e">
        <f t="shared" si="48"/>
        <v>#DIV/0!</v>
      </c>
      <c r="BE21" s="1615"/>
      <c r="BF21" s="3341"/>
      <c r="BG21" s="3341"/>
      <c r="BH21" s="3349">
        <f t="shared" si="33"/>
        <v>0</v>
      </c>
      <c r="BI21" s="3350" t="e">
        <f t="shared" si="49"/>
        <v>#DIV/0!</v>
      </c>
      <c r="BJ21" s="1615"/>
      <c r="BK21" s="3341"/>
      <c r="BL21" s="3341"/>
      <c r="BM21" s="3349">
        <f t="shared" si="34"/>
        <v>0</v>
      </c>
      <c r="BN21" s="3350" t="e">
        <f t="shared" si="50"/>
        <v>#DIV/0!</v>
      </c>
      <c r="BO21" s="1615"/>
      <c r="BP21" s="3341"/>
      <c r="BQ21" s="3341"/>
      <c r="BR21" s="3349">
        <f t="shared" si="35"/>
        <v>0</v>
      </c>
      <c r="BS21" s="3350" t="e">
        <f t="shared" si="51"/>
        <v>#DIV/0!</v>
      </c>
      <c r="BT21" s="1615"/>
      <c r="BU21" s="3341"/>
      <c r="BV21" s="3341"/>
      <c r="BW21" s="3349">
        <f t="shared" si="36"/>
        <v>0</v>
      </c>
      <c r="BX21" s="3350" t="e">
        <f t="shared" si="52"/>
        <v>#DIV/0!</v>
      </c>
      <c r="BY21" s="1615"/>
      <c r="BZ21" s="3341"/>
      <c r="CA21" s="3341"/>
      <c r="CB21" s="3349">
        <f t="shared" si="37"/>
        <v>0</v>
      </c>
      <c r="CC21" s="3350" t="e">
        <f t="shared" si="53"/>
        <v>#DIV/0!</v>
      </c>
      <c r="CD21" s="1615"/>
      <c r="CE21" s="3341"/>
      <c r="CF21" s="3341"/>
      <c r="CG21" s="3349">
        <f t="shared" si="38"/>
        <v>0</v>
      </c>
      <c r="CH21" s="3350" t="e">
        <f t="shared" si="54"/>
        <v>#DIV/0!</v>
      </c>
      <c r="CI21" s="1615"/>
      <c r="CJ21" s="3341">
        <f t="shared" si="39"/>
        <v>0</v>
      </c>
      <c r="CK21" s="3341">
        <f t="shared" si="39"/>
        <v>0</v>
      </c>
      <c r="CL21" s="3349">
        <f t="shared" si="55"/>
        <v>0</v>
      </c>
      <c r="CM21" s="3350" t="e">
        <f t="shared" si="40"/>
        <v>#DIV/0!</v>
      </c>
      <c r="CN21" s="1434"/>
      <c r="CP21" s="3425"/>
      <c r="CQ21" s="2012">
        <f t="shared" si="41"/>
        <v>0</v>
      </c>
      <c r="CR21" s="3441">
        <f t="shared" si="56"/>
        <v>0</v>
      </c>
      <c r="CT21" s="2624"/>
    </row>
    <row r="22" spans="1:100" s="1396" customFormat="1" ht="13.8" outlineLevel="2">
      <c r="A22" s="1571"/>
      <c r="B22" s="3444" t="s">
        <v>621</v>
      </c>
      <c r="C22" s="3341"/>
      <c r="D22" s="3341"/>
      <c r="E22" s="3349">
        <f t="shared" si="19"/>
        <v>0</v>
      </c>
      <c r="F22" s="3350" t="e">
        <f t="shared" si="16"/>
        <v>#DIV/0!</v>
      </c>
      <c r="G22" s="3342"/>
      <c r="H22" s="3341"/>
      <c r="I22" s="3341"/>
      <c r="J22" s="3349">
        <f t="shared" si="20"/>
        <v>0</v>
      </c>
      <c r="K22" s="3350" t="e">
        <f t="shared" si="42"/>
        <v>#DIV/0!</v>
      </c>
      <c r="L22" s="3342"/>
      <c r="M22" s="3341"/>
      <c r="N22" s="3341"/>
      <c r="O22" s="3349">
        <f t="shared" si="21"/>
        <v>0</v>
      </c>
      <c r="P22" s="3350" t="e">
        <f t="shared" si="22"/>
        <v>#DIV/0!</v>
      </c>
      <c r="Q22" s="3342"/>
      <c r="R22" s="3342">
        <f t="shared" si="23"/>
        <v>0</v>
      </c>
      <c r="S22" s="3342">
        <f t="shared" si="23"/>
        <v>0</v>
      </c>
      <c r="T22" s="2012">
        <f t="shared" si="24"/>
        <v>0</v>
      </c>
      <c r="U22" s="3342"/>
      <c r="V22" s="3342"/>
      <c r="W22" s="3342">
        <f t="shared" si="25"/>
        <v>0</v>
      </c>
      <c r="X22" s="3342">
        <f t="shared" si="25"/>
        <v>0</v>
      </c>
      <c r="Y22" s="2012">
        <f t="shared" si="26"/>
        <v>0</v>
      </c>
      <c r="Z22" s="3342"/>
      <c r="AA22" s="3342"/>
      <c r="AB22" s="3341"/>
      <c r="AC22" s="3341"/>
      <c r="AD22" s="3349">
        <f t="shared" si="27"/>
        <v>0</v>
      </c>
      <c r="AE22" s="3350" t="e">
        <f t="shared" si="43"/>
        <v>#DIV/0!</v>
      </c>
      <c r="AF22" s="3342"/>
      <c r="AG22" s="3341"/>
      <c r="AH22" s="3341"/>
      <c r="AI22" s="3349">
        <f t="shared" si="28"/>
        <v>0</v>
      </c>
      <c r="AJ22" s="3350" t="e">
        <f t="shared" si="44"/>
        <v>#DIV/0!</v>
      </c>
      <c r="AK22" s="3342"/>
      <c r="AL22" s="3341"/>
      <c r="AM22" s="3341"/>
      <c r="AN22" s="3349">
        <f t="shared" si="29"/>
        <v>0</v>
      </c>
      <c r="AO22" s="3350" t="e">
        <f t="shared" si="45"/>
        <v>#DIV/0!</v>
      </c>
      <c r="AP22" s="3342"/>
      <c r="AQ22" s="3341"/>
      <c r="AR22" s="3341"/>
      <c r="AS22" s="3349">
        <f t="shared" si="30"/>
        <v>0</v>
      </c>
      <c r="AT22" s="3350" t="e">
        <f t="shared" si="46"/>
        <v>#DIV/0!</v>
      </c>
      <c r="AU22" s="3342"/>
      <c r="AV22" s="3341"/>
      <c r="AW22" s="3341"/>
      <c r="AX22" s="3349">
        <f t="shared" si="31"/>
        <v>0</v>
      </c>
      <c r="AY22" s="3350" t="e">
        <f t="shared" si="47"/>
        <v>#DIV/0!</v>
      </c>
      <c r="AZ22" s="3342"/>
      <c r="BA22" s="3341"/>
      <c r="BB22" s="3341"/>
      <c r="BC22" s="3349">
        <f t="shared" si="32"/>
        <v>0</v>
      </c>
      <c r="BD22" s="3350" t="e">
        <f t="shared" si="48"/>
        <v>#DIV/0!</v>
      </c>
      <c r="BE22" s="3342"/>
      <c r="BF22" s="3341"/>
      <c r="BG22" s="3341"/>
      <c r="BH22" s="3349">
        <f t="shared" si="33"/>
        <v>0</v>
      </c>
      <c r="BI22" s="3350" t="e">
        <f t="shared" si="49"/>
        <v>#DIV/0!</v>
      </c>
      <c r="BJ22" s="3342"/>
      <c r="BK22" s="3341"/>
      <c r="BL22" s="3341"/>
      <c r="BM22" s="3349">
        <f t="shared" si="34"/>
        <v>0</v>
      </c>
      <c r="BN22" s="3350" t="e">
        <f t="shared" si="50"/>
        <v>#DIV/0!</v>
      </c>
      <c r="BO22" s="3342"/>
      <c r="BP22" s="3341"/>
      <c r="BQ22" s="3341"/>
      <c r="BR22" s="3349">
        <f t="shared" si="35"/>
        <v>0</v>
      </c>
      <c r="BS22" s="3350" t="e">
        <f t="shared" si="51"/>
        <v>#DIV/0!</v>
      </c>
      <c r="BT22" s="3342"/>
      <c r="BU22" s="3341"/>
      <c r="BV22" s="3341"/>
      <c r="BW22" s="3349">
        <f t="shared" si="36"/>
        <v>0</v>
      </c>
      <c r="BX22" s="3350" t="e">
        <f t="shared" si="52"/>
        <v>#DIV/0!</v>
      </c>
      <c r="BY22" s="3342"/>
      <c r="BZ22" s="3341"/>
      <c r="CA22" s="3341"/>
      <c r="CB22" s="3349">
        <f t="shared" si="37"/>
        <v>0</v>
      </c>
      <c r="CC22" s="3350" t="e">
        <f t="shared" si="53"/>
        <v>#DIV/0!</v>
      </c>
      <c r="CD22" s="3342"/>
      <c r="CE22" s="3341"/>
      <c r="CF22" s="3341"/>
      <c r="CG22" s="3349">
        <f t="shared" si="38"/>
        <v>0</v>
      </c>
      <c r="CH22" s="3350" t="e">
        <f t="shared" si="54"/>
        <v>#DIV/0!</v>
      </c>
      <c r="CI22" s="3342"/>
      <c r="CJ22" s="3341">
        <f t="shared" si="39"/>
        <v>0</v>
      </c>
      <c r="CK22" s="3341">
        <f t="shared" si="39"/>
        <v>0</v>
      </c>
      <c r="CL22" s="3349">
        <f t="shared" si="55"/>
        <v>0</v>
      </c>
      <c r="CM22" s="3350" t="e">
        <f t="shared" si="40"/>
        <v>#DIV/0!</v>
      </c>
      <c r="CN22" s="1434"/>
      <c r="CP22" s="3425"/>
      <c r="CQ22" s="2012">
        <f t="shared" si="41"/>
        <v>0</v>
      </c>
      <c r="CR22" s="3441">
        <f t="shared" si="56"/>
        <v>0</v>
      </c>
      <c r="CT22" s="3443">
        <f>CQ22</f>
        <v>0</v>
      </c>
    </row>
    <row r="23" spans="1:100" s="1396" customFormat="1" ht="13.8" outlineLevel="2">
      <c r="A23" s="1571"/>
      <c r="B23" s="3444" t="s">
        <v>630</v>
      </c>
      <c r="C23" s="3341"/>
      <c r="D23" s="3341"/>
      <c r="E23" s="3349">
        <f t="shared" si="19"/>
        <v>0</v>
      </c>
      <c r="F23" s="3350" t="e">
        <f t="shared" si="16"/>
        <v>#DIV/0!</v>
      </c>
      <c r="G23" s="1055"/>
      <c r="H23" s="3341"/>
      <c r="I23" s="3341"/>
      <c r="J23" s="3349">
        <f t="shared" si="20"/>
        <v>0</v>
      </c>
      <c r="K23" s="3350" t="e">
        <f t="shared" si="42"/>
        <v>#DIV/0!</v>
      </c>
      <c r="L23" s="1055"/>
      <c r="M23" s="3341"/>
      <c r="N23" s="3341"/>
      <c r="O23" s="3349">
        <f t="shared" si="21"/>
        <v>0</v>
      </c>
      <c r="P23" s="3350" t="e">
        <f t="shared" si="22"/>
        <v>#DIV/0!</v>
      </c>
      <c r="Q23" s="1055"/>
      <c r="R23" s="3342">
        <f t="shared" si="23"/>
        <v>0</v>
      </c>
      <c r="S23" s="3342">
        <f t="shared" si="23"/>
        <v>0</v>
      </c>
      <c r="T23" s="2012">
        <f t="shared" si="24"/>
        <v>0</v>
      </c>
      <c r="U23" s="1055"/>
      <c r="V23" s="1055"/>
      <c r="W23" s="3342">
        <f t="shared" si="25"/>
        <v>0</v>
      </c>
      <c r="X23" s="3342">
        <f t="shared" si="25"/>
        <v>0</v>
      </c>
      <c r="Y23" s="2012">
        <f t="shared" si="26"/>
        <v>0</v>
      </c>
      <c r="Z23" s="1055"/>
      <c r="AA23" s="1055"/>
      <c r="AB23" s="3341"/>
      <c r="AC23" s="3341"/>
      <c r="AD23" s="3349">
        <f t="shared" si="27"/>
        <v>0</v>
      </c>
      <c r="AE23" s="3350" t="e">
        <f t="shared" si="43"/>
        <v>#DIV/0!</v>
      </c>
      <c r="AF23" s="1055"/>
      <c r="AG23" s="3341"/>
      <c r="AH23" s="3341"/>
      <c r="AI23" s="3349">
        <f t="shared" si="28"/>
        <v>0</v>
      </c>
      <c r="AJ23" s="3350" t="e">
        <f t="shared" si="44"/>
        <v>#DIV/0!</v>
      </c>
      <c r="AK23" s="1055"/>
      <c r="AL23" s="3341"/>
      <c r="AM23" s="3341"/>
      <c r="AN23" s="3349">
        <f t="shared" si="29"/>
        <v>0</v>
      </c>
      <c r="AO23" s="3350" t="e">
        <f t="shared" si="45"/>
        <v>#DIV/0!</v>
      </c>
      <c r="AP23" s="1055"/>
      <c r="AQ23" s="3341"/>
      <c r="AR23" s="3341"/>
      <c r="AS23" s="3349">
        <f t="shared" si="30"/>
        <v>0</v>
      </c>
      <c r="AT23" s="3350" t="e">
        <f t="shared" si="46"/>
        <v>#DIV/0!</v>
      </c>
      <c r="AU23" s="1055"/>
      <c r="AV23" s="3341"/>
      <c r="AW23" s="3341"/>
      <c r="AX23" s="3349">
        <f t="shared" si="31"/>
        <v>0</v>
      </c>
      <c r="AY23" s="3350" t="e">
        <f t="shared" si="47"/>
        <v>#DIV/0!</v>
      </c>
      <c r="AZ23" s="1055"/>
      <c r="BA23" s="3341"/>
      <c r="BB23" s="3341"/>
      <c r="BC23" s="3349">
        <f t="shared" si="32"/>
        <v>0</v>
      </c>
      <c r="BD23" s="3350" t="e">
        <f t="shared" si="48"/>
        <v>#DIV/0!</v>
      </c>
      <c r="BE23" s="1055"/>
      <c r="BF23" s="3341"/>
      <c r="BG23" s="3341"/>
      <c r="BH23" s="3349">
        <f t="shared" si="33"/>
        <v>0</v>
      </c>
      <c r="BI23" s="3350" t="e">
        <f t="shared" si="49"/>
        <v>#DIV/0!</v>
      </c>
      <c r="BJ23" s="1055"/>
      <c r="BK23" s="3341"/>
      <c r="BL23" s="3341"/>
      <c r="BM23" s="3349">
        <f t="shared" si="34"/>
        <v>0</v>
      </c>
      <c r="BN23" s="3350" t="e">
        <f t="shared" si="50"/>
        <v>#DIV/0!</v>
      </c>
      <c r="BO23" s="1055"/>
      <c r="BP23" s="3341"/>
      <c r="BQ23" s="3341"/>
      <c r="BR23" s="3349">
        <f t="shared" si="35"/>
        <v>0</v>
      </c>
      <c r="BS23" s="3350" t="e">
        <f t="shared" si="51"/>
        <v>#DIV/0!</v>
      </c>
      <c r="BT23" s="1055"/>
      <c r="BU23" s="3341"/>
      <c r="BV23" s="3341"/>
      <c r="BW23" s="3349">
        <f t="shared" si="36"/>
        <v>0</v>
      </c>
      <c r="BX23" s="3350" t="e">
        <f t="shared" si="52"/>
        <v>#DIV/0!</v>
      </c>
      <c r="BY23" s="1055"/>
      <c r="BZ23" s="3341"/>
      <c r="CA23" s="3341"/>
      <c r="CB23" s="3349">
        <f t="shared" si="37"/>
        <v>0</v>
      </c>
      <c r="CC23" s="3350" t="e">
        <f t="shared" si="53"/>
        <v>#DIV/0!</v>
      </c>
      <c r="CD23" s="1055"/>
      <c r="CE23" s="3341"/>
      <c r="CF23" s="3341"/>
      <c r="CG23" s="3349">
        <f t="shared" si="38"/>
        <v>0</v>
      </c>
      <c r="CH23" s="3350" t="e">
        <f t="shared" si="54"/>
        <v>#DIV/0!</v>
      </c>
      <c r="CI23" s="1055"/>
      <c r="CJ23" s="3341">
        <f t="shared" si="39"/>
        <v>0</v>
      </c>
      <c r="CK23" s="3341">
        <f t="shared" si="39"/>
        <v>0</v>
      </c>
      <c r="CL23" s="3349">
        <f t="shared" si="55"/>
        <v>0</v>
      </c>
      <c r="CM23" s="3350" t="e">
        <f t="shared" si="40"/>
        <v>#DIV/0!</v>
      </c>
      <c r="CN23" s="1434"/>
      <c r="CP23" s="3425"/>
      <c r="CQ23" s="2012">
        <f t="shared" si="41"/>
        <v>0</v>
      </c>
      <c r="CR23" s="3441">
        <f t="shared" si="56"/>
        <v>0</v>
      </c>
      <c r="CT23" s="2624"/>
    </row>
    <row r="24" spans="1:100" s="1396" customFormat="1" ht="13.8" outlineLevel="2">
      <c r="A24" s="1571"/>
      <c r="B24" s="3444" t="s">
        <v>23</v>
      </c>
      <c r="C24" s="3341"/>
      <c r="D24" s="3341"/>
      <c r="E24" s="3349">
        <f t="shared" si="19"/>
        <v>0</v>
      </c>
      <c r="F24" s="3350" t="e">
        <f t="shared" si="16"/>
        <v>#DIV/0!</v>
      </c>
      <c r="G24" s="3342"/>
      <c r="H24" s="3341"/>
      <c r="I24" s="3341"/>
      <c r="J24" s="3349">
        <f t="shared" si="20"/>
        <v>0</v>
      </c>
      <c r="K24" s="3350" t="e">
        <f t="shared" si="42"/>
        <v>#DIV/0!</v>
      </c>
      <c r="L24" s="3342"/>
      <c r="M24" s="3341"/>
      <c r="N24" s="3341"/>
      <c r="O24" s="3349">
        <f t="shared" si="21"/>
        <v>0</v>
      </c>
      <c r="P24" s="3350" t="e">
        <f t="shared" si="22"/>
        <v>#DIV/0!</v>
      </c>
      <c r="Q24" s="3342"/>
      <c r="R24" s="3342">
        <f t="shared" si="23"/>
        <v>0</v>
      </c>
      <c r="S24" s="3342">
        <f t="shared" si="23"/>
        <v>0</v>
      </c>
      <c r="T24" s="2012">
        <f t="shared" si="24"/>
        <v>0</v>
      </c>
      <c r="U24" s="3342"/>
      <c r="V24" s="3342"/>
      <c r="W24" s="3342">
        <f t="shared" si="25"/>
        <v>0</v>
      </c>
      <c r="X24" s="3342">
        <f t="shared" si="25"/>
        <v>0</v>
      </c>
      <c r="Y24" s="2012">
        <f t="shared" si="26"/>
        <v>0</v>
      </c>
      <c r="Z24" s="3342"/>
      <c r="AA24" s="3342"/>
      <c r="AB24" s="3341"/>
      <c r="AC24" s="3341"/>
      <c r="AD24" s="3349">
        <f t="shared" si="27"/>
        <v>0</v>
      </c>
      <c r="AE24" s="3350" t="e">
        <f t="shared" si="43"/>
        <v>#DIV/0!</v>
      </c>
      <c r="AF24" s="3342"/>
      <c r="AG24" s="3341"/>
      <c r="AH24" s="3341"/>
      <c r="AI24" s="3349">
        <f t="shared" si="28"/>
        <v>0</v>
      </c>
      <c r="AJ24" s="3350" t="e">
        <f t="shared" si="44"/>
        <v>#DIV/0!</v>
      </c>
      <c r="AK24" s="3342"/>
      <c r="AL24" s="3341"/>
      <c r="AM24" s="3341"/>
      <c r="AN24" s="3349">
        <f t="shared" si="29"/>
        <v>0</v>
      </c>
      <c r="AO24" s="3350" t="e">
        <f t="shared" si="45"/>
        <v>#DIV/0!</v>
      </c>
      <c r="AP24" s="3342"/>
      <c r="AQ24" s="3341"/>
      <c r="AR24" s="3341"/>
      <c r="AS24" s="3349">
        <f t="shared" si="30"/>
        <v>0</v>
      </c>
      <c r="AT24" s="3350" t="e">
        <f t="shared" si="46"/>
        <v>#DIV/0!</v>
      </c>
      <c r="AU24" s="3342"/>
      <c r="AV24" s="3341"/>
      <c r="AW24" s="3341"/>
      <c r="AX24" s="3349">
        <f t="shared" si="31"/>
        <v>0</v>
      </c>
      <c r="AY24" s="3350" t="e">
        <f t="shared" si="47"/>
        <v>#DIV/0!</v>
      </c>
      <c r="AZ24" s="3342"/>
      <c r="BA24" s="3341"/>
      <c r="BB24" s="3341"/>
      <c r="BC24" s="3349">
        <f t="shared" si="32"/>
        <v>0</v>
      </c>
      <c r="BD24" s="3350" t="e">
        <f t="shared" si="48"/>
        <v>#DIV/0!</v>
      </c>
      <c r="BE24" s="3342"/>
      <c r="BF24" s="3341"/>
      <c r="BG24" s="3341"/>
      <c r="BH24" s="3349">
        <f t="shared" si="33"/>
        <v>0</v>
      </c>
      <c r="BI24" s="3350" t="e">
        <f t="shared" si="49"/>
        <v>#DIV/0!</v>
      </c>
      <c r="BJ24" s="3342"/>
      <c r="BK24" s="3341"/>
      <c r="BL24" s="3341"/>
      <c r="BM24" s="3349">
        <f t="shared" si="34"/>
        <v>0</v>
      </c>
      <c r="BN24" s="3350" t="e">
        <f t="shared" si="50"/>
        <v>#DIV/0!</v>
      </c>
      <c r="BO24" s="3342"/>
      <c r="BP24" s="3341"/>
      <c r="BQ24" s="3341"/>
      <c r="BR24" s="3349">
        <f t="shared" si="35"/>
        <v>0</v>
      </c>
      <c r="BS24" s="3350" t="e">
        <f t="shared" si="51"/>
        <v>#DIV/0!</v>
      </c>
      <c r="BT24" s="3342"/>
      <c r="BU24" s="3341"/>
      <c r="BV24" s="3341"/>
      <c r="BW24" s="3349">
        <f t="shared" si="36"/>
        <v>0</v>
      </c>
      <c r="BX24" s="3350" t="e">
        <f t="shared" si="52"/>
        <v>#DIV/0!</v>
      </c>
      <c r="BY24" s="3342"/>
      <c r="BZ24" s="3341"/>
      <c r="CA24" s="3341"/>
      <c r="CB24" s="3349">
        <f t="shared" si="37"/>
        <v>0</v>
      </c>
      <c r="CC24" s="3350" t="e">
        <f t="shared" si="53"/>
        <v>#DIV/0!</v>
      </c>
      <c r="CD24" s="3342"/>
      <c r="CE24" s="3341"/>
      <c r="CF24" s="3341"/>
      <c r="CG24" s="3349">
        <f t="shared" si="38"/>
        <v>0</v>
      </c>
      <c r="CH24" s="3350" t="e">
        <f t="shared" si="54"/>
        <v>#DIV/0!</v>
      </c>
      <c r="CI24" s="3342"/>
      <c r="CJ24" s="3341">
        <f t="shared" si="39"/>
        <v>0</v>
      </c>
      <c r="CK24" s="3341">
        <f t="shared" si="39"/>
        <v>0</v>
      </c>
      <c r="CL24" s="3349">
        <f t="shared" si="55"/>
        <v>0</v>
      </c>
      <c r="CM24" s="3350" t="e">
        <f t="shared" si="40"/>
        <v>#DIV/0!</v>
      </c>
      <c r="CN24" s="1434"/>
      <c r="CP24" s="3425"/>
      <c r="CQ24" s="2012">
        <f t="shared" si="41"/>
        <v>0</v>
      </c>
      <c r="CR24" s="3441">
        <f t="shared" si="56"/>
        <v>0</v>
      </c>
      <c r="CT24" s="2624"/>
    </row>
    <row r="25" spans="1:100" s="1396" customFormat="1" ht="13.8" outlineLevel="2">
      <c r="A25" s="1571"/>
      <c r="B25" s="3444" t="s">
        <v>24</v>
      </c>
      <c r="C25" s="3341"/>
      <c r="D25" s="3341"/>
      <c r="E25" s="3349">
        <f t="shared" si="19"/>
        <v>0</v>
      </c>
      <c r="F25" s="3350" t="e">
        <f t="shared" si="16"/>
        <v>#DIV/0!</v>
      </c>
      <c r="G25" s="3342"/>
      <c r="H25" s="3341"/>
      <c r="I25" s="3341"/>
      <c r="J25" s="3349">
        <f t="shared" si="20"/>
        <v>0</v>
      </c>
      <c r="K25" s="3350" t="e">
        <f t="shared" si="42"/>
        <v>#DIV/0!</v>
      </c>
      <c r="L25" s="3342"/>
      <c r="M25" s="3341"/>
      <c r="N25" s="3341"/>
      <c r="O25" s="3349">
        <f t="shared" si="21"/>
        <v>0</v>
      </c>
      <c r="P25" s="3350" t="e">
        <f t="shared" si="22"/>
        <v>#DIV/0!</v>
      </c>
      <c r="Q25" s="3342"/>
      <c r="R25" s="3342">
        <f t="shared" si="23"/>
        <v>0</v>
      </c>
      <c r="S25" s="3342">
        <f t="shared" si="23"/>
        <v>0</v>
      </c>
      <c r="T25" s="2012">
        <f t="shared" si="24"/>
        <v>0</v>
      </c>
      <c r="U25" s="3342"/>
      <c r="V25" s="3342"/>
      <c r="W25" s="3342">
        <f t="shared" si="25"/>
        <v>0</v>
      </c>
      <c r="X25" s="3342">
        <f t="shared" si="25"/>
        <v>0</v>
      </c>
      <c r="Y25" s="2012">
        <f t="shared" si="26"/>
        <v>0</v>
      </c>
      <c r="Z25" s="3342"/>
      <c r="AA25" s="3342"/>
      <c r="AB25" s="3341"/>
      <c r="AC25" s="3341"/>
      <c r="AD25" s="3349">
        <f t="shared" si="27"/>
        <v>0</v>
      </c>
      <c r="AE25" s="3350" t="e">
        <f t="shared" si="43"/>
        <v>#DIV/0!</v>
      </c>
      <c r="AF25" s="3342"/>
      <c r="AG25" s="3341"/>
      <c r="AH25" s="3341"/>
      <c r="AI25" s="3349">
        <f t="shared" si="28"/>
        <v>0</v>
      </c>
      <c r="AJ25" s="3350" t="e">
        <f t="shared" si="44"/>
        <v>#DIV/0!</v>
      </c>
      <c r="AK25" s="3342"/>
      <c r="AL25" s="3341"/>
      <c r="AM25" s="3341"/>
      <c r="AN25" s="3349">
        <f t="shared" si="29"/>
        <v>0</v>
      </c>
      <c r="AO25" s="3350" t="e">
        <f t="shared" si="45"/>
        <v>#DIV/0!</v>
      </c>
      <c r="AP25" s="3342"/>
      <c r="AQ25" s="3341"/>
      <c r="AR25" s="3341"/>
      <c r="AS25" s="3349">
        <f t="shared" si="30"/>
        <v>0</v>
      </c>
      <c r="AT25" s="3350" t="e">
        <f t="shared" si="46"/>
        <v>#DIV/0!</v>
      </c>
      <c r="AU25" s="3342"/>
      <c r="AV25" s="3341"/>
      <c r="AW25" s="3341"/>
      <c r="AX25" s="3349">
        <f t="shared" si="31"/>
        <v>0</v>
      </c>
      <c r="AY25" s="3350" t="e">
        <f t="shared" si="47"/>
        <v>#DIV/0!</v>
      </c>
      <c r="AZ25" s="3342"/>
      <c r="BA25" s="3341"/>
      <c r="BB25" s="3341"/>
      <c r="BC25" s="3349">
        <f t="shared" si="32"/>
        <v>0</v>
      </c>
      <c r="BD25" s="3350" t="e">
        <f t="shared" si="48"/>
        <v>#DIV/0!</v>
      </c>
      <c r="BE25" s="3342"/>
      <c r="BF25" s="3341"/>
      <c r="BG25" s="3341"/>
      <c r="BH25" s="3349">
        <f t="shared" si="33"/>
        <v>0</v>
      </c>
      <c r="BI25" s="3350" t="e">
        <f t="shared" si="49"/>
        <v>#DIV/0!</v>
      </c>
      <c r="BJ25" s="3342"/>
      <c r="BK25" s="3341"/>
      <c r="BL25" s="3341"/>
      <c r="BM25" s="3349">
        <f t="shared" si="34"/>
        <v>0</v>
      </c>
      <c r="BN25" s="3350" t="e">
        <f t="shared" si="50"/>
        <v>#DIV/0!</v>
      </c>
      <c r="BO25" s="3342"/>
      <c r="BP25" s="3341"/>
      <c r="BQ25" s="3341"/>
      <c r="BR25" s="3349">
        <f t="shared" si="35"/>
        <v>0</v>
      </c>
      <c r="BS25" s="3350" t="e">
        <f t="shared" si="51"/>
        <v>#DIV/0!</v>
      </c>
      <c r="BT25" s="3342"/>
      <c r="BU25" s="3341"/>
      <c r="BV25" s="3341"/>
      <c r="BW25" s="3349">
        <f t="shared" si="36"/>
        <v>0</v>
      </c>
      <c r="BX25" s="3350" t="e">
        <f t="shared" si="52"/>
        <v>#DIV/0!</v>
      </c>
      <c r="BY25" s="3342"/>
      <c r="BZ25" s="3341"/>
      <c r="CA25" s="3341"/>
      <c r="CB25" s="3349">
        <f t="shared" si="37"/>
        <v>0</v>
      </c>
      <c r="CC25" s="3350" t="e">
        <f t="shared" si="53"/>
        <v>#DIV/0!</v>
      </c>
      <c r="CD25" s="3342"/>
      <c r="CE25" s="3341"/>
      <c r="CF25" s="3341"/>
      <c r="CG25" s="3349">
        <f t="shared" si="38"/>
        <v>0</v>
      </c>
      <c r="CH25" s="3350" t="e">
        <f t="shared" si="54"/>
        <v>#DIV/0!</v>
      </c>
      <c r="CI25" s="3342"/>
      <c r="CJ25" s="3341">
        <f t="shared" si="39"/>
        <v>0</v>
      </c>
      <c r="CK25" s="3341">
        <f t="shared" si="39"/>
        <v>0</v>
      </c>
      <c r="CL25" s="3349">
        <f t="shared" si="55"/>
        <v>0</v>
      </c>
      <c r="CM25" s="3350" t="e">
        <f t="shared" si="40"/>
        <v>#DIV/0!</v>
      </c>
      <c r="CN25" s="1434"/>
      <c r="CP25" s="3425"/>
      <c r="CQ25" s="2012"/>
      <c r="CR25" s="3441">
        <f t="shared" si="56"/>
        <v>0</v>
      </c>
      <c r="CS25" s="3305"/>
      <c r="CT25" s="2624"/>
    </row>
    <row r="26" spans="1:100" s="1396" customFormat="1" ht="13.8" outlineLevel="2">
      <c r="A26" s="1571"/>
      <c r="B26" s="3444" t="s">
        <v>45</v>
      </c>
      <c r="C26" s="3341"/>
      <c r="D26" s="3341"/>
      <c r="E26" s="3349">
        <f t="shared" si="19"/>
        <v>0</v>
      </c>
      <c r="F26" s="3350" t="e">
        <f t="shared" si="16"/>
        <v>#DIV/0!</v>
      </c>
      <c r="G26" s="3342"/>
      <c r="H26" s="3341"/>
      <c r="I26" s="3341"/>
      <c r="J26" s="3349">
        <f t="shared" si="20"/>
        <v>0</v>
      </c>
      <c r="K26" s="3350" t="e">
        <f t="shared" si="42"/>
        <v>#DIV/0!</v>
      </c>
      <c r="L26" s="3342"/>
      <c r="M26" s="3341"/>
      <c r="N26" s="3341"/>
      <c r="O26" s="3349">
        <f t="shared" si="21"/>
        <v>0</v>
      </c>
      <c r="P26" s="3350" t="e">
        <f t="shared" si="22"/>
        <v>#DIV/0!</v>
      </c>
      <c r="Q26" s="3342"/>
      <c r="R26" s="3342">
        <f t="shared" si="23"/>
        <v>0</v>
      </c>
      <c r="S26" s="3342">
        <f t="shared" si="23"/>
        <v>0</v>
      </c>
      <c r="T26" s="2012">
        <f t="shared" si="24"/>
        <v>0</v>
      </c>
      <c r="U26" s="3342"/>
      <c r="V26" s="3342"/>
      <c r="W26" s="3342">
        <f t="shared" si="25"/>
        <v>0</v>
      </c>
      <c r="X26" s="3342">
        <f t="shared" si="25"/>
        <v>0</v>
      </c>
      <c r="Y26" s="2012">
        <f t="shared" si="26"/>
        <v>0</v>
      </c>
      <c r="Z26" s="3342"/>
      <c r="AA26" s="3342"/>
      <c r="AB26" s="3341"/>
      <c r="AC26" s="3341"/>
      <c r="AD26" s="3349">
        <f t="shared" si="27"/>
        <v>0</v>
      </c>
      <c r="AE26" s="3350" t="e">
        <f t="shared" si="43"/>
        <v>#DIV/0!</v>
      </c>
      <c r="AF26" s="3342"/>
      <c r="AG26" s="3341"/>
      <c r="AH26" s="3341"/>
      <c r="AI26" s="3349">
        <f t="shared" si="28"/>
        <v>0</v>
      </c>
      <c r="AJ26" s="3350" t="e">
        <f t="shared" si="44"/>
        <v>#DIV/0!</v>
      </c>
      <c r="AK26" s="3342"/>
      <c r="AL26" s="3341"/>
      <c r="AM26" s="3341"/>
      <c r="AN26" s="3349">
        <f t="shared" si="29"/>
        <v>0</v>
      </c>
      <c r="AO26" s="3350" t="e">
        <f t="shared" si="45"/>
        <v>#DIV/0!</v>
      </c>
      <c r="AP26" s="3342"/>
      <c r="AQ26" s="3341"/>
      <c r="AR26" s="3341"/>
      <c r="AS26" s="3349">
        <f t="shared" si="30"/>
        <v>0</v>
      </c>
      <c r="AT26" s="3350" t="e">
        <f t="shared" si="46"/>
        <v>#DIV/0!</v>
      </c>
      <c r="AU26" s="3342"/>
      <c r="AV26" s="3341"/>
      <c r="AW26" s="3341"/>
      <c r="AX26" s="3349">
        <f t="shared" si="31"/>
        <v>0</v>
      </c>
      <c r="AY26" s="3350" t="e">
        <f t="shared" si="47"/>
        <v>#DIV/0!</v>
      </c>
      <c r="AZ26" s="3342"/>
      <c r="BA26" s="3341"/>
      <c r="BB26" s="3341"/>
      <c r="BC26" s="3349">
        <f t="shared" si="32"/>
        <v>0</v>
      </c>
      <c r="BD26" s="3350" t="e">
        <f t="shared" si="48"/>
        <v>#DIV/0!</v>
      </c>
      <c r="BE26" s="3342"/>
      <c r="BF26" s="3341"/>
      <c r="BG26" s="3341"/>
      <c r="BH26" s="3349">
        <f t="shared" si="33"/>
        <v>0</v>
      </c>
      <c r="BI26" s="3350" t="e">
        <f t="shared" si="49"/>
        <v>#DIV/0!</v>
      </c>
      <c r="BJ26" s="3342"/>
      <c r="BK26" s="3341"/>
      <c r="BL26" s="3341"/>
      <c r="BM26" s="3349">
        <f t="shared" si="34"/>
        <v>0</v>
      </c>
      <c r="BN26" s="3350" t="e">
        <f t="shared" si="50"/>
        <v>#DIV/0!</v>
      </c>
      <c r="BO26" s="3342"/>
      <c r="BP26" s="3341"/>
      <c r="BQ26" s="3341"/>
      <c r="BR26" s="3349">
        <f t="shared" si="35"/>
        <v>0</v>
      </c>
      <c r="BS26" s="3350" t="e">
        <f t="shared" si="51"/>
        <v>#DIV/0!</v>
      </c>
      <c r="BT26" s="3342"/>
      <c r="BU26" s="3341"/>
      <c r="BV26" s="3341"/>
      <c r="BW26" s="3349">
        <f t="shared" si="36"/>
        <v>0</v>
      </c>
      <c r="BX26" s="3350" t="e">
        <f t="shared" si="52"/>
        <v>#DIV/0!</v>
      </c>
      <c r="BY26" s="3342"/>
      <c r="BZ26" s="3341"/>
      <c r="CA26" s="3341"/>
      <c r="CB26" s="3349">
        <f t="shared" si="37"/>
        <v>0</v>
      </c>
      <c r="CC26" s="3350" t="e">
        <f t="shared" si="53"/>
        <v>#DIV/0!</v>
      </c>
      <c r="CD26" s="3342"/>
      <c r="CE26" s="3341"/>
      <c r="CF26" s="3341"/>
      <c r="CG26" s="3349">
        <f t="shared" si="38"/>
        <v>0</v>
      </c>
      <c r="CH26" s="3350" t="e">
        <f t="shared" si="54"/>
        <v>#DIV/0!</v>
      </c>
      <c r="CI26" s="3342"/>
      <c r="CJ26" s="3341">
        <f t="shared" si="39"/>
        <v>0</v>
      </c>
      <c r="CK26" s="3341">
        <f t="shared" si="39"/>
        <v>0</v>
      </c>
      <c r="CL26" s="3349">
        <f t="shared" si="55"/>
        <v>0</v>
      </c>
      <c r="CM26" s="3350" t="e">
        <f t="shared" si="40"/>
        <v>#DIV/0!</v>
      </c>
      <c r="CN26" s="1434"/>
      <c r="CP26" s="3425"/>
      <c r="CQ26" s="2012"/>
      <c r="CR26" s="3441">
        <f t="shared" si="56"/>
        <v>0</v>
      </c>
      <c r="CS26" s="3305"/>
      <c r="CT26" s="2624"/>
    </row>
    <row r="27" spans="1:100" s="1396" customFormat="1" ht="13.8" outlineLevel="2">
      <c r="A27" s="1571"/>
      <c r="B27" s="3444" t="s">
        <v>25</v>
      </c>
      <c r="C27" s="3341"/>
      <c r="D27" s="3341"/>
      <c r="E27" s="3349">
        <f t="shared" si="19"/>
        <v>0</v>
      </c>
      <c r="F27" s="3350" t="e">
        <f t="shared" si="16"/>
        <v>#DIV/0!</v>
      </c>
      <c r="G27" s="3342"/>
      <c r="H27" s="3341"/>
      <c r="I27" s="3341"/>
      <c r="J27" s="3349">
        <f t="shared" si="20"/>
        <v>0</v>
      </c>
      <c r="K27" s="3350" t="e">
        <f t="shared" si="42"/>
        <v>#DIV/0!</v>
      </c>
      <c r="L27" s="3342"/>
      <c r="M27" s="3341"/>
      <c r="N27" s="3341"/>
      <c r="O27" s="3349">
        <f t="shared" si="21"/>
        <v>0</v>
      </c>
      <c r="P27" s="3350" t="e">
        <f t="shared" si="22"/>
        <v>#DIV/0!</v>
      </c>
      <c r="Q27" s="3342"/>
      <c r="R27" s="3342">
        <f t="shared" si="23"/>
        <v>0</v>
      </c>
      <c r="S27" s="3342">
        <f t="shared" si="23"/>
        <v>0</v>
      </c>
      <c r="T27" s="2012">
        <f t="shared" si="24"/>
        <v>0</v>
      </c>
      <c r="U27" s="3342"/>
      <c r="V27" s="3342"/>
      <c r="W27" s="3342">
        <f t="shared" si="25"/>
        <v>0</v>
      </c>
      <c r="X27" s="3342">
        <f t="shared" si="25"/>
        <v>0</v>
      </c>
      <c r="Y27" s="2012">
        <f t="shared" si="26"/>
        <v>0</v>
      </c>
      <c r="Z27" s="3342"/>
      <c r="AA27" s="3342"/>
      <c r="AB27" s="3341"/>
      <c r="AC27" s="3341"/>
      <c r="AD27" s="3349">
        <f t="shared" si="27"/>
        <v>0</v>
      </c>
      <c r="AE27" s="3350" t="e">
        <f t="shared" si="43"/>
        <v>#DIV/0!</v>
      </c>
      <c r="AF27" s="3342"/>
      <c r="AG27" s="3341"/>
      <c r="AH27" s="3341"/>
      <c r="AI27" s="3349">
        <f t="shared" si="28"/>
        <v>0</v>
      </c>
      <c r="AJ27" s="3350" t="e">
        <f t="shared" si="44"/>
        <v>#DIV/0!</v>
      </c>
      <c r="AK27" s="3342"/>
      <c r="AL27" s="3341"/>
      <c r="AM27" s="3341"/>
      <c r="AN27" s="3349">
        <f t="shared" si="29"/>
        <v>0</v>
      </c>
      <c r="AO27" s="3350" t="e">
        <f t="shared" si="45"/>
        <v>#DIV/0!</v>
      </c>
      <c r="AP27" s="3342"/>
      <c r="AQ27" s="3341"/>
      <c r="AR27" s="3341"/>
      <c r="AS27" s="3349">
        <f t="shared" si="30"/>
        <v>0</v>
      </c>
      <c r="AT27" s="3350" t="e">
        <f t="shared" si="46"/>
        <v>#DIV/0!</v>
      </c>
      <c r="AU27" s="3342"/>
      <c r="AV27" s="3341"/>
      <c r="AW27" s="3341"/>
      <c r="AX27" s="3349">
        <f t="shared" si="31"/>
        <v>0</v>
      </c>
      <c r="AY27" s="3350" t="e">
        <f t="shared" si="47"/>
        <v>#DIV/0!</v>
      </c>
      <c r="AZ27" s="3342"/>
      <c r="BA27" s="3341"/>
      <c r="BB27" s="3341"/>
      <c r="BC27" s="3349">
        <f t="shared" si="32"/>
        <v>0</v>
      </c>
      <c r="BD27" s="3350" t="e">
        <f t="shared" si="48"/>
        <v>#DIV/0!</v>
      </c>
      <c r="BE27" s="3342"/>
      <c r="BF27" s="3341"/>
      <c r="BG27" s="3341"/>
      <c r="BH27" s="3349">
        <f t="shared" si="33"/>
        <v>0</v>
      </c>
      <c r="BI27" s="3350" t="e">
        <f t="shared" si="49"/>
        <v>#DIV/0!</v>
      </c>
      <c r="BJ27" s="3342"/>
      <c r="BK27" s="3341"/>
      <c r="BL27" s="3341"/>
      <c r="BM27" s="3349">
        <f t="shared" si="34"/>
        <v>0</v>
      </c>
      <c r="BN27" s="3350" t="e">
        <f t="shared" si="50"/>
        <v>#DIV/0!</v>
      </c>
      <c r="BO27" s="3342"/>
      <c r="BP27" s="3341"/>
      <c r="BQ27" s="3341"/>
      <c r="BR27" s="3349">
        <f t="shared" si="35"/>
        <v>0</v>
      </c>
      <c r="BS27" s="3350" t="e">
        <f t="shared" si="51"/>
        <v>#DIV/0!</v>
      </c>
      <c r="BT27" s="3342"/>
      <c r="BU27" s="3341"/>
      <c r="BV27" s="3341"/>
      <c r="BW27" s="3349">
        <f t="shared" si="36"/>
        <v>0</v>
      </c>
      <c r="BX27" s="3350" t="e">
        <f t="shared" si="52"/>
        <v>#DIV/0!</v>
      </c>
      <c r="BY27" s="3342"/>
      <c r="BZ27" s="3341"/>
      <c r="CA27" s="3341"/>
      <c r="CB27" s="3349">
        <f t="shared" si="37"/>
        <v>0</v>
      </c>
      <c r="CC27" s="3350" t="e">
        <f t="shared" si="53"/>
        <v>#DIV/0!</v>
      </c>
      <c r="CD27" s="3342"/>
      <c r="CE27" s="3341"/>
      <c r="CF27" s="3341"/>
      <c r="CG27" s="3349">
        <f t="shared" si="38"/>
        <v>0</v>
      </c>
      <c r="CH27" s="3350" t="e">
        <f t="shared" si="54"/>
        <v>#DIV/0!</v>
      </c>
      <c r="CI27" s="3342"/>
      <c r="CJ27" s="3341">
        <f t="shared" si="39"/>
        <v>0</v>
      </c>
      <c r="CK27" s="3341">
        <f t="shared" si="39"/>
        <v>0</v>
      </c>
      <c r="CL27" s="3349">
        <f t="shared" si="55"/>
        <v>0</v>
      </c>
      <c r="CM27" s="3350" t="e">
        <f t="shared" si="40"/>
        <v>#DIV/0!</v>
      </c>
      <c r="CN27" s="1434"/>
      <c r="CP27" s="3425"/>
      <c r="CQ27" s="2012">
        <f t="shared" si="41"/>
        <v>0</v>
      </c>
      <c r="CR27" s="3441">
        <f t="shared" si="56"/>
        <v>0</v>
      </c>
      <c r="CS27" s="3307"/>
      <c r="CT27" s="3443"/>
    </row>
    <row r="28" spans="1:100" s="1396" customFormat="1" ht="13.8" outlineLevel="2">
      <c r="A28" s="1571"/>
      <c r="B28" s="3444" t="s">
        <v>52</v>
      </c>
      <c r="C28" s="3341"/>
      <c r="D28" s="3341"/>
      <c r="E28" s="3349">
        <f t="shared" si="19"/>
        <v>0</v>
      </c>
      <c r="F28" s="3350" t="e">
        <f t="shared" si="16"/>
        <v>#DIV/0!</v>
      </c>
      <c r="G28" s="3342"/>
      <c r="H28" s="3341"/>
      <c r="I28" s="3341"/>
      <c r="J28" s="3349">
        <f t="shared" si="20"/>
        <v>0</v>
      </c>
      <c r="K28" s="3350" t="e">
        <f t="shared" si="42"/>
        <v>#DIV/0!</v>
      </c>
      <c r="L28" s="3342"/>
      <c r="M28" s="3341"/>
      <c r="N28" s="3341"/>
      <c r="O28" s="3349">
        <f t="shared" si="21"/>
        <v>0</v>
      </c>
      <c r="P28" s="3350" t="e">
        <f t="shared" si="22"/>
        <v>#DIV/0!</v>
      </c>
      <c r="Q28" s="3409"/>
      <c r="R28" s="3342">
        <f t="shared" si="23"/>
        <v>0</v>
      </c>
      <c r="S28" s="3342">
        <f t="shared" si="23"/>
        <v>0</v>
      </c>
      <c r="T28" s="2012">
        <f t="shared" si="24"/>
        <v>0</v>
      </c>
      <c r="U28" s="3409"/>
      <c r="V28" s="3409"/>
      <c r="W28" s="3342">
        <f t="shared" si="25"/>
        <v>0</v>
      </c>
      <c r="X28" s="3342">
        <f t="shared" si="25"/>
        <v>0</v>
      </c>
      <c r="Y28" s="2012">
        <f t="shared" si="26"/>
        <v>0</v>
      </c>
      <c r="Z28" s="3409"/>
      <c r="AA28" s="3409"/>
      <c r="AB28" s="3341"/>
      <c r="AC28" s="3341"/>
      <c r="AD28" s="3349">
        <f t="shared" si="27"/>
        <v>0</v>
      </c>
      <c r="AE28" s="3350" t="e">
        <f t="shared" si="43"/>
        <v>#DIV/0!</v>
      </c>
      <c r="AF28" s="3409"/>
      <c r="AG28" s="3341"/>
      <c r="AH28" s="3341"/>
      <c r="AI28" s="3349">
        <f t="shared" si="28"/>
        <v>0</v>
      </c>
      <c r="AJ28" s="3350" t="e">
        <f t="shared" si="44"/>
        <v>#DIV/0!</v>
      </c>
      <c r="AK28" s="3409"/>
      <c r="AL28" s="3341"/>
      <c r="AM28" s="3341"/>
      <c r="AN28" s="3349">
        <f t="shared" si="29"/>
        <v>0</v>
      </c>
      <c r="AO28" s="3350" t="e">
        <f t="shared" si="45"/>
        <v>#DIV/0!</v>
      </c>
      <c r="AP28" s="3409"/>
      <c r="AQ28" s="3341"/>
      <c r="AR28" s="3341"/>
      <c r="AS28" s="3349">
        <f t="shared" si="30"/>
        <v>0</v>
      </c>
      <c r="AT28" s="3350" t="e">
        <f t="shared" si="46"/>
        <v>#DIV/0!</v>
      </c>
      <c r="AU28" s="3409"/>
      <c r="AV28" s="3341"/>
      <c r="AW28" s="3341"/>
      <c r="AX28" s="3349">
        <f t="shared" si="31"/>
        <v>0</v>
      </c>
      <c r="AY28" s="3350" t="e">
        <f t="shared" si="47"/>
        <v>#DIV/0!</v>
      </c>
      <c r="AZ28" s="3409"/>
      <c r="BA28" s="3341"/>
      <c r="BB28" s="3341"/>
      <c r="BC28" s="3349">
        <f t="shared" si="32"/>
        <v>0</v>
      </c>
      <c r="BD28" s="3350" t="e">
        <f t="shared" si="48"/>
        <v>#DIV/0!</v>
      </c>
      <c r="BE28" s="3409"/>
      <c r="BF28" s="3341"/>
      <c r="BG28" s="3341"/>
      <c r="BH28" s="3349">
        <f t="shared" si="33"/>
        <v>0</v>
      </c>
      <c r="BI28" s="3350" t="e">
        <f t="shared" si="49"/>
        <v>#DIV/0!</v>
      </c>
      <c r="BJ28" s="3409"/>
      <c r="BK28" s="3341"/>
      <c r="BL28" s="3341"/>
      <c r="BM28" s="3349">
        <f t="shared" si="34"/>
        <v>0</v>
      </c>
      <c r="BN28" s="3350" t="e">
        <f t="shared" si="50"/>
        <v>#DIV/0!</v>
      </c>
      <c r="BO28" s="3409"/>
      <c r="BP28" s="3341"/>
      <c r="BQ28" s="3341"/>
      <c r="BR28" s="3349">
        <f t="shared" si="35"/>
        <v>0</v>
      </c>
      <c r="BS28" s="3350" t="e">
        <f t="shared" si="51"/>
        <v>#DIV/0!</v>
      </c>
      <c r="BT28" s="3409"/>
      <c r="BU28" s="3341"/>
      <c r="BV28" s="3341"/>
      <c r="BW28" s="3349">
        <f t="shared" si="36"/>
        <v>0</v>
      </c>
      <c r="BX28" s="3350" t="e">
        <f t="shared" si="52"/>
        <v>#DIV/0!</v>
      </c>
      <c r="BY28" s="3409"/>
      <c r="BZ28" s="3341"/>
      <c r="CA28" s="3341"/>
      <c r="CB28" s="3349">
        <f t="shared" si="37"/>
        <v>0</v>
      </c>
      <c r="CC28" s="3350" t="e">
        <f t="shared" si="53"/>
        <v>#DIV/0!</v>
      </c>
      <c r="CD28" s="3409"/>
      <c r="CE28" s="3341"/>
      <c r="CF28" s="3341"/>
      <c r="CG28" s="3349">
        <f t="shared" si="38"/>
        <v>0</v>
      </c>
      <c r="CH28" s="3350" t="e">
        <f t="shared" si="54"/>
        <v>#DIV/0!</v>
      </c>
      <c r="CI28" s="3409"/>
      <c r="CJ28" s="3341">
        <f t="shared" si="39"/>
        <v>0</v>
      </c>
      <c r="CK28" s="3341">
        <f t="shared" si="39"/>
        <v>0</v>
      </c>
      <c r="CL28" s="3349">
        <f t="shared" si="55"/>
        <v>0</v>
      </c>
      <c r="CM28" s="3350" t="e">
        <f t="shared" si="40"/>
        <v>#DIV/0!</v>
      </c>
      <c r="CN28" s="1434"/>
      <c r="CP28" s="3425"/>
      <c r="CQ28" s="2012">
        <f t="shared" si="41"/>
        <v>0</v>
      </c>
      <c r="CR28" s="3441">
        <f t="shared" si="56"/>
        <v>0</v>
      </c>
      <c r="CS28" s="3307"/>
      <c r="CT28" s="3443"/>
    </row>
    <row r="29" spans="1:100" s="1396" customFormat="1" ht="13.8" outlineLevel="2">
      <c r="A29" s="1571"/>
      <c r="B29" s="3444" t="s">
        <v>31</v>
      </c>
      <c r="C29" s="3341"/>
      <c r="D29" s="3341"/>
      <c r="E29" s="3349">
        <f t="shared" si="19"/>
        <v>0</v>
      </c>
      <c r="F29" s="3350" t="e">
        <f t="shared" si="16"/>
        <v>#DIV/0!</v>
      </c>
      <c r="G29" s="3342"/>
      <c r="H29" s="3341"/>
      <c r="I29" s="3341"/>
      <c r="J29" s="3349">
        <f t="shared" si="20"/>
        <v>0</v>
      </c>
      <c r="K29" s="3350" t="e">
        <f t="shared" si="42"/>
        <v>#DIV/0!</v>
      </c>
      <c r="L29" s="3342"/>
      <c r="M29" s="3341"/>
      <c r="N29" s="3341"/>
      <c r="O29" s="3349">
        <f t="shared" si="21"/>
        <v>0</v>
      </c>
      <c r="P29" s="3350" t="e">
        <f t="shared" si="22"/>
        <v>#DIV/0!</v>
      </c>
      <c r="Q29" s="3342"/>
      <c r="R29" s="3342">
        <f t="shared" si="23"/>
        <v>0</v>
      </c>
      <c r="S29" s="3342">
        <f t="shared" si="23"/>
        <v>0</v>
      </c>
      <c r="T29" s="2012">
        <f t="shared" si="24"/>
        <v>0</v>
      </c>
      <c r="U29" s="3342"/>
      <c r="V29" s="3342"/>
      <c r="W29" s="3342">
        <f t="shared" si="25"/>
        <v>0</v>
      </c>
      <c r="X29" s="3342">
        <f t="shared" si="25"/>
        <v>0</v>
      </c>
      <c r="Y29" s="2012">
        <f t="shared" si="26"/>
        <v>0</v>
      </c>
      <c r="Z29" s="3342"/>
      <c r="AA29" s="3342"/>
      <c r="AB29" s="3341"/>
      <c r="AC29" s="3341"/>
      <c r="AD29" s="3349">
        <f t="shared" si="27"/>
        <v>0</v>
      </c>
      <c r="AE29" s="3350" t="e">
        <f t="shared" si="43"/>
        <v>#DIV/0!</v>
      </c>
      <c r="AF29" s="3342"/>
      <c r="AG29" s="3341"/>
      <c r="AH29" s="3341"/>
      <c r="AI29" s="3349">
        <f t="shared" si="28"/>
        <v>0</v>
      </c>
      <c r="AJ29" s="3350" t="e">
        <f t="shared" si="44"/>
        <v>#DIV/0!</v>
      </c>
      <c r="AK29" s="3342"/>
      <c r="AL29" s="3341"/>
      <c r="AM29" s="3341"/>
      <c r="AN29" s="3349">
        <f t="shared" si="29"/>
        <v>0</v>
      </c>
      <c r="AO29" s="3350" t="e">
        <f t="shared" si="45"/>
        <v>#DIV/0!</v>
      </c>
      <c r="AP29" s="3342"/>
      <c r="AQ29" s="3341"/>
      <c r="AR29" s="3341"/>
      <c r="AS29" s="3349">
        <f t="shared" si="30"/>
        <v>0</v>
      </c>
      <c r="AT29" s="3350" t="e">
        <f t="shared" si="46"/>
        <v>#DIV/0!</v>
      </c>
      <c r="AU29" s="3342"/>
      <c r="AV29" s="3341"/>
      <c r="AW29" s="3341"/>
      <c r="AX29" s="3349">
        <f t="shared" si="31"/>
        <v>0</v>
      </c>
      <c r="AY29" s="3350" t="e">
        <f t="shared" si="47"/>
        <v>#DIV/0!</v>
      </c>
      <c r="AZ29" s="3342"/>
      <c r="BA29" s="3341"/>
      <c r="BB29" s="3341"/>
      <c r="BC29" s="3349">
        <f t="shared" si="32"/>
        <v>0</v>
      </c>
      <c r="BD29" s="3350" t="e">
        <f t="shared" si="48"/>
        <v>#DIV/0!</v>
      </c>
      <c r="BE29" s="3342"/>
      <c r="BF29" s="3341"/>
      <c r="BG29" s="3341"/>
      <c r="BH29" s="3349">
        <f t="shared" si="33"/>
        <v>0</v>
      </c>
      <c r="BI29" s="3350" t="e">
        <f t="shared" si="49"/>
        <v>#DIV/0!</v>
      </c>
      <c r="BJ29" s="3342"/>
      <c r="BK29" s="3341"/>
      <c r="BL29" s="3341"/>
      <c r="BM29" s="3349">
        <f t="shared" si="34"/>
        <v>0</v>
      </c>
      <c r="BN29" s="3350" t="e">
        <f t="shared" si="50"/>
        <v>#DIV/0!</v>
      </c>
      <c r="BO29" s="3342"/>
      <c r="BP29" s="3341"/>
      <c r="BQ29" s="3341"/>
      <c r="BR29" s="3349">
        <f t="shared" si="35"/>
        <v>0</v>
      </c>
      <c r="BS29" s="3350" t="e">
        <f t="shared" si="51"/>
        <v>#DIV/0!</v>
      </c>
      <c r="BT29" s="3342"/>
      <c r="BU29" s="3341"/>
      <c r="BV29" s="3341"/>
      <c r="BW29" s="3349">
        <f t="shared" si="36"/>
        <v>0</v>
      </c>
      <c r="BX29" s="3350" t="e">
        <f t="shared" si="52"/>
        <v>#DIV/0!</v>
      </c>
      <c r="BY29" s="3342"/>
      <c r="BZ29" s="3341"/>
      <c r="CA29" s="3341"/>
      <c r="CB29" s="3349">
        <f t="shared" si="37"/>
        <v>0</v>
      </c>
      <c r="CC29" s="3350" t="e">
        <f t="shared" si="53"/>
        <v>#DIV/0!</v>
      </c>
      <c r="CD29" s="3342"/>
      <c r="CE29" s="3341"/>
      <c r="CF29" s="3341"/>
      <c r="CG29" s="3349">
        <f t="shared" si="38"/>
        <v>0</v>
      </c>
      <c r="CH29" s="3350" t="e">
        <f t="shared" si="54"/>
        <v>#DIV/0!</v>
      </c>
      <c r="CI29" s="3342"/>
      <c r="CJ29" s="3341">
        <f t="shared" si="39"/>
        <v>0</v>
      </c>
      <c r="CK29" s="3341">
        <f t="shared" si="39"/>
        <v>0</v>
      </c>
      <c r="CL29" s="3349">
        <f t="shared" si="55"/>
        <v>0</v>
      </c>
      <c r="CM29" s="3350" t="e">
        <f t="shared" si="40"/>
        <v>#DIV/0!</v>
      </c>
      <c r="CN29" s="3360"/>
      <c r="CP29" s="3425"/>
      <c r="CQ29" s="2012">
        <f t="shared" si="41"/>
        <v>0</v>
      </c>
      <c r="CR29" s="3441">
        <f t="shared" si="56"/>
        <v>0</v>
      </c>
      <c r="CT29" s="2624"/>
    </row>
    <row r="30" spans="1:100" s="1396" customFormat="1" ht="13.8" outlineLevel="2">
      <c r="A30" s="1571"/>
      <c r="B30" s="3444" t="s">
        <v>62</v>
      </c>
      <c r="C30" s="3341"/>
      <c r="D30" s="3341"/>
      <c r="E30" s="3349">
        <f t="shared" si="19"/>
        <v>0</v>
      </c>
      <c r="F30" s="3350" t="e">
        <f t="shared" si="16"/>
        <v>#DIV/0!</v>
      </c>
      <c r="G30" s="3343"/>
      <c r="H30" s="3341"/>
      <c r="I30" s="3341"/>
      <c r="J30" s="3349">
        <f t="shared" si="20"/>
        <v>0</v>
      </c>
      <c r="K30" s="3350" t="e">
        <f t="shared" si="42"/>
        <v>#DIV/0!</v>
      </c>
      <c r="L30" s="3343"/>
      <c r="M30" s="3341"/>
      <c r="N30" s="3341"/>
      <c r="O30" s="3349">
        <f t="shared" si="21"/>
        <v>0</v>
      </c>
      <c r="P30" s="3350" t="e">
        <f t="shared" si="22"/>
        <v>#DIV/0!</v>
      </c>
      <c r="Q30" s="3342"/>
      <c r="R30" s="3342">
        <f t="shared" si="23"/>
        <v>0</v>
      </c>
      <c r="S30" s="3342">
        <f t="shared" si="23"/>
        <v>0</v>
      </c>
      <c r="T30" s="2012">
        <f t="shared" si="24"/>
        <v>0</v>
      </c>
      <c r="U30" s="3342"/>
      <c r="V30" s="3342"/>
      <c r="W30" s="3342">
        <f t="shared" si="25"/>
        <v>0</v>
      </c>
      <c r="X30" s="3342">
        <f t="shared" si="25"/>
        <v>0</v>
      </c>
      <c r="Y30" s="2012">
        <f t="shared" si="26"/>
        <v>0</v>
      </c>
      <c r="Z30" s="3342"/>
      <c r="AA30" s="3342"/>
      <c r="AB30" s="3341"/>
      <c r="AC30" s="3341"/>
      <c r="AD30" s="3349">
        <f t="shared" si="27"/>
        <v>0</v>
      </c>
      <c r="AE30" s="3350" t="e">
        <f t="shared" si="43"/>
        <v>#DIV/0!</v>
      </c>
      <c r="AF30" s="3342"/>
      <c r="AG30" s="3341"/>
      <c r="AH30" s="3341"/>
      <c r="AI30" s="3349">
        <f t="shared" si="28"/>
        <v>0</v>
      </c>
      <c r="AJ30" s="3350" t="e">
        <f t="shared" si="44"/>
        <v>#DIV/0!</v>
      </c>
      <c r="AK30" s="3342"/>
      <c r="AL30" s="3341"/>
      <c r="AM30" s="3341"/>
      <c r="AN30" s="3349">
        <f t="shared" si="29"/>
        <v>0</v>
      </c>
      <c r="AO30" s="3350" t="e">
        <f t="shared" si="45"/>
        <v>#DIV/0!</v>
      </c>
      <c r="AP30" s="3342"/>
      <c r="AQ30" s="3341"/>
      <c r="AR30" s="3341"/>
      <c r="AS30" s="3349">
        <f t="shared" si="30"/>
        <v>0</v>
      </c>
      <c r="AT30" s="3350" t="e">
        <f t="shared" si="46"/>
        <v>#DIV/0!</v>
      </c>
      <c r="AU30" s="3342"/>
      <c r="AV30" s="3341"/>
      <c r="AW30" s="3341"/>
      <c r="AX30" s="3349">
        <f t="shared" si="31"/>
        <v>0</v>
      </c>
      <c r="AY30" s="3350" t="e">
        <f t="shared" si="47"/>
        <v>#DIV/0!</v>
      </c>
      <c r="AZ30" s="3342"/>
      <c r="BA30" s="3341"/>
      <c r="BB30" s="3341"/>
      <c r="BC30" s="3349">
        <f t="shared" si="32"/>
        <v>0</v>
      </c>
      <c r="BD30" s="3350" t="e">
        <f t="shared" si="48"/>
        <v>#DIV/0!</v>
      </c>
      <c r="BE30" s="3342"/>
      <c r="BF30" s="3341"/>
      <c r="BG30" s="3341"/>
      <c r="BH30" s="3349">
        <f t="shared" si="33"/>
        <v>0</v>
      </c>
      <c r="BI30" s="3350" t="e">
        <f t="shared" si="49"/>
        <v>#DIV/0!</v>
      </c>
      <c r="BJ30" s="3342"/>
      <c r="BK30" s="3341"/>
      <c r="BL30" s="3341"/>
      <c r="BM30" s="3349">
        <f t="shared" si="34"/>
        <v>0</v>
      </c>
      <c r="BN30" s="3350" t="e">
        <f t="shared" si="50"/>
        <v>#DIV/0!</v>
      </c>
      <c r="BO30" s="3342"/>
      <c r="BP30" s="3341"/>
      <c r="BQ30" s="3341"/>
      <c r="BR30" s="3349">
        <f t="shared" si="35"/>
        <v>0</v>
      </c>
      <c r="BS30" s="3350" t="e">
        <f t="shared" si="51"/>
        <v>#DIV/0!</v>
      </c>
      <c r="BT30" s="3342"/>
      <c r="BU30" s="3341"/>
      <c r="BV30" s="3341"/>
      <c r="BW30" s="3349">
        <f t="shared" si="36"/>
        <v>0</v>
      </c>
      <c r="BX30" s="3350" t="e">
        <f t="shared" si="52"/>
        <v>#DIV/0!</v>
      </c>
      <c r="BY30" s="3342"/>
      <c r="BZ30" s="3341"/>
      <c r="CA30" s="3341"/>
      <c r="CB30" s="3349">
        <f t="shared" si="37"/>
        <v>0</v>
      </c>
      <c r="CC30" s="3350" t="e">
        <f t="shared" si="53"/>
        <v>#DIV/0!</v>
      </c>
      <c r="CD30" s="3342"/>
      <c r="CE30" s="3341"/>
      <c r="CF30" s="3341"/>
      <c r="CG30" s="3349">
        <f t="shared" si="38"/>
        <v>0</v>
      </c>
      <c r="CH30" s="3350" t="e">
        <f t="shared" si="54"/>
        <v>#DIV/0!</v>
      </c>
      <c r="CI30" s="3342"/>
      <c r="CJ30" s="3341">
        <f t="shared" si="39"/>
        <v>0</v>
      </c>
      <c r="CK30" s="3341">
        <f t="shared" si="39"/>
        <v>0</v>
      </c>
      <c r="CL30" s="3349">
        <f t="shared" si="55"/>
        <v>0</v>
      </c>
      <c r="CM30" s="3350" t="e">
        <f t="shared" si="40"/>
        <v>#DIV/0!</v>
      </c>
      <c r="CN30" s="3360"/>
      <c r="CP30" s="3425"/>
      <c r="CQ30" s="2012">
        <f t="shared" si="41"/>
        <v>0</v>
      </c>
      <c r="CR30" s="3441">
        <f t="shared" si="56"/>
        <v>0</v>
      </c>
      <c r="CS30" s="3307"/>
      <c r="CT30" s="3443"/>
    </row>
    <row r="31" spans="1:100" s="1396" customFormat="1" ht="13.8" outlineLevel="2">
      <c r="A31" s="1571"/>
      <c r="B31" s="3444" t="s">
        <v>34</v>
      </c>
      <c r="C31" s="3341"/>
      <c r="D31" s="3341"/>
      <c r="E31" s="3349">
        <f t="shared" si="19"/>
        <v>0</v>
      </c>
      <c r="F31" s="3350" t="e">
        <f t="shared" si="16"/>
        <v>#DIV/0!</v>
      </c>
      <c r="G31" s="3343"/>
      <c r="H31" s="3341"/>
      <c r="I31" s="3341"/>
      <c r="J31" s="3349">
        <f t="shared" si="20"/>
        <v>0</v>
      </c>
      <c r="K31" s="3350" t="e">
        <f t="shared" si="42"/>
        <v>#DIV/0!</v>
      </c>
      <c r="L31" s="3343"/>
      <c r="M31" s="3341"/>
      <c r="N31" s="3341"/>
      <c r="O31" s="3349">
        <f t="shared" si="21"/>
        <v>0</v>
      </c>
      <c r="P31" s="3350" t="e">
        <f t="shared" si="22"/>
        <v>#DIV/0!</v>
      </c>
      <c r="Q31" s="3342"/>
      <c r="R31" s="3342">
        <f t="shared" si="23"/>
        <v>0</v>
      </c>
      <c r="S31" s="3342">
        <f t="shared" si="23"/>
        <v>0</v>
      </c>
      <c r="T31" s="2012">
        <f t="shared" si="24"/>
        <v>0</v>
      </c>
      <c r="U31" s="3342"/>
      <c r="V31" s="3342"/>
      <c r="W31" s="3342">
        <f t="shared" si="25"/>
        <v>0</v>
      </c>
      <c r="X31" s="3342">
        <f t="shared" si="25"/>
        <v>0</v>
      </c>
      <c r="Y31" s="2012">
        <f t="shared" si="26"/>
        <v>0</v>
      </c>
      <c r="Z31" s="3342"/>
      <c r="AA31" s="3342"/>
      <c r="AB31" s="3341"/>
      <c r="AC31" s="3341"/>
      <c r="AD31" s="3349">
        <f t="shared" si="27"/>
        <v>0</v>
      </c>
      <c r="AE31" s="3350" t="e">
        <f t="shared" si="43"/>
        <v>#DIV/0!</v>
      </c>
      <c r="AF31" s="3342"/>
      <c r="AG31" s="3341"/>
      <c r="AH31" s="3341"/>
      <c r="AI31" s="3349">
        <f t="shared" si="28"/>
        <v>0</v>
      </c>
      <c r="AJ31" s="3350" t="e">
        <f t="shared" si="44"/>
        <v>#DIV/0!</v>
      </c>
      <c r="AK31" s="3342"/>
      <c r="AL31" s="3341"/>
      <c r="AM31" s="3341"/>
      <c r="AN31" s="3349">
        <f t="shared" si="29"/>
        <v>0</v>
      </c>
      <c r="AO31" s="3350" t="e">
        <f t="shared" si="45"/>
        <v>#DIV/0!</v>
      </c>
      <c r="AP31" s="3342"/>
      <c r="AQ31" s="3341"/>
      <c r="AR31" s="3341"/>
      <c r="AS31" s="3349">
        <f t="shared" si="30"/>
        <v>0</v>
      </c>
      <c r="AT31" s="3350" t="e">
        <f t="shared" si="46"/>
        <v>#DIV/0!</v>
      </c>
      <c r="AU31" s="3342"/>
      <c r="AV31" s="3341"/>
      <c r="AW31" s="3341"/>
      <c r="AX31" s="3349">
        <f t="shared" si="31"/>
        <v>0</v>
      </c>
      <c r="AY31" s="3350" t="e">
        <f t="shared" si="47"/>
        <v>#DIV/0!</v>
      </c>
      <c r="AZ31" s="3342"/>
      <c r="BA31" s="3341"/>
      <c r="BB31" s="3341"/>
      <c r="BC31" s="3349">
        <f t="shared" si="32"/>
        <v>0</v>
      </c>
      <c r="BD31" s="3350" t="e">
        <f t="shared" si="48"/>
        <v>#DIV/0!</v>
      </c>
      <c r="BE31" s="3342"/>
      <c r="BF31" s="3341"/>
      <c r="BG31" s="3341"/>
      <c r="BH31" s="3349">
        <f t="shared" si="33"/>
        <v>0</v>
      </c>
      <c r="BI31" s="3350" t="e">
        <f t="shared" si="49"/>
        <v>#DIV/0!</v>
      </c>
      <c r="BJ31" s="3342"/>
      <c r="BK31" s="3341"/>
      <c r="BL31" s="3341"/>
      <c r="BM31" s="3349">
        <f t="shared" si="34"/>
        <v>0</v>
      </c>
      <c r="BN31" s="3350" t="e">
        <f t="shared" si="50"/>
        <v>#DIV/0!</v>
      </c>
      <c r="BO31" s="3342"/>
      <c r="BP31" s="3341"/>
      <c r="BQ31" s="3341"/>
      <c r="BR31" s="3349">
        <f t="shared" si="35"/>
        <v>0</v>
      </c>
      <c r="BS31" s="3350" t="e">
        <f t="shared" si="51"/>
        <v>#DIV/0!</v>
      </c>
      <c r="BT31" s="3342"/>
      <c r="BU31" s="3341"/>
      <c r="BV31" s="3341"/>
      <c r="BW31" s="3349">
        <f t="shared" si="36"/>
        <v>0</v>
      </c>
      <c r="BX31" s="3350" t="e">
        <f t="shared" si="52"/>
        <v>#DIV/0!</v>
      </c>
      <c r="BY31" s="3342"/>
      <c r="BZ31" s="3341"/>
      <c r="CA31" s="3341"/>
      <c r="CB31" s="3349">
        <f t="shared" si="37"/>
        <v>0</v>
      </c>
      <c r="CC31" s="3350" t="e">
        <f t="shared" si="53"/>
        <v>#DIV/0!</v>
      </c>
      <c r="CD31" s="3342"/>
      <c r="CE31" s="3341"/>
      <c r="CF31" s="3341"/>
      <c r="CG31" s="3349">
        <f t="shared" si="38"/>
        <v>0</v>
      </c>
      <c r="CH31" s="3350" t="e">
        <f t="shared" si="54"/>
        <v>#DIV/0!</v>
      </c>
      <c r="CI31" s="3342"/>
      <c r="CJ31" s="3341">
        <f t="shared" si="39"/>
        <v>0</v>
      </c>
      <c r="CK31" s="3341">
        <f t="shared" si="39"/>
        <v>0</v>
      </c>
      <c r="CL31" s="3349">
        <f t="shared" si="55"/>
        <v>0</v>
      </c>
      <c r="CM31" s="3350" t="e">
        <f t="shared" si="40"/>
        <v>#DIV/0!</v>
      </c>
      <c r="CN31" s="3360"/>
      <c r="CP31" s="3425"/>
      <c r="CQ31" s="2012">
        <f t="shared" si="41"/>
        <v>0</v>
      </c>
      <c r="CR31" s="3441">
        <f t="shared" si="56"/>
        <v>0</v>
      </c>
      <c r="CS31" s="3307"/>
      <c r="CT31" s="3443"/>
      <c r="CV31" s="933"/>
    </row>
    <row r="32" spans="1:100" s="1396" customFormat="1" ht="13.8" outlineLevel="2">
      <c r="A32" s="1571"/>
      <c r="B32" s="3446" t="s">
        <v>2</v>
      </c>
      <c r="C32" s="3341"/>
      <c r="D32" s="3341"/>
      <c r="E32" s="3349">
        <f t="shared" si="19"/>
        <v>0</v>
      </c>
      <c r="F32" s="3350" t="e">
        <f t="shared" si="16"/>
        <v>#DIV/0!</v>
      </c>
      <c r="G32" s="3445"/>
      <c r="H32" s="3341"/>
      <c r="I32" s="3341"/>
      <c r="J32" s="3349">
        <f t="shared" si="20"/>
        <v>0</v>
      </c>
      <c r="K32" s="3350" t="e">
        <f t="shared" si="42"/>
        <v>#DIV/0!</v>
      </c>
      <c r="L32" s="3445"/>
      <c r="M32" s="3341"/>
      <c r="N32" s="3341"/>
      <c r="O32" s="3349">
        <f t="shared" si="21"/>
        <v>0</v>
      </c>
      <c r="P32" s="3350" t="e">
        <f t="shared" si="22"/>
        <v>#DIV/0!</v>
      </c>
      <c r="Q32" s="3445"/>
      <c r="R32" s="3342">
        <f t="shared" si="23"/>
        <v>0</v>
      </c>
      <c r="S32" s="3342">
        <f t="shared" si="23"/>
        <v>0</v>
      </c>
      <c r="T32" s="2012">
        <f t="shared" si="24"/>
        <v>0</v>
      </c>
      <c r="U32" s="2048"/>
      <c r="V32" s="2048"/>
      <c r="W32" s="3342">
        <f t="shared" si="25"/>
        <v>0</v>
      </c>
      <c r="X32" s="3342">
        <f t="shared" si="25"/>
        <v>0</v>
      </c>
      <c r="Y32" s="2012">
        <f t="shared" si="26"/>
        <v>0</v>
      </c>
      <c r="Z32" s="2048"/>
      <c r="AA32" s="2048"/>
      <c r="AB32" s="3341"/>
      <c r="AC32" s="3341"/>
      <c r="AD32" s="3349">
        <f t="shared" si="27"/>
        <v>0</v>
      </c>
      <c r="AE32" s="3350" t="e">
        <f t="shared" si="43"/>
        <v>#DIV/0!</v>
      </c>
      <c r="AF32" s="3445"/>
      <c r="AG32" s="3341"/>
      <c r="AH32" s="3341"/>
      <c r="AI32" s="3349">
        <f t="shared" si="28"/>
        <v>0</v>
      </c>
      <c r="AJ32" s="3350" t="e">
        <f t="shared" si="44"/>
        <v>#DIV/0!</v>
      </c>
      <c r="AK32" s="3445"/>
      <c r="AL32" s="3341"/>
      <c r="AM32" s="3341"/>
      <c r="AN32" s="3349">
        <f t="shared" si="29"/>
        <v>0</v>
      </c>
      <c r="AO32" s="3350" t="e">
        <f t="shared" si="45"/>
        <v>#DIV/0!</v>
      </c>
      <c r="AP32" s="3445"/>
      <c r="AQ32" s="3341"/>
      <c r="AR32" s="3341"/>
      <c r="AS32" s="3349">
        <f t="shared" si="30"/>
        <v>0</v>
      </c>
      <c r="AT32" s="3350" t="e">
        <f t="shared" si="46"/>
        <v>#DIV/0!</v>
      </c>
      <c r="AU32" s="3445"/>
      <c r="AV32" s="3341"/>
      <c r="AW32" s="3341"/>
      <c r="AX32" s="3349">
        <f t="shared" si="31"/>
        <v>0</v>
      </c>
      <c r="AY32" s="3350" t="e">
        <f t="shared" si="47"/>
        <v>#DIV/0!</v>
      </c>
      <c r="AZ32" s="3445"/>
      <c r="BA32" s="3341"/>
      <c r="BB32" s="3341"/>
      <c r="BC32" s="3349">
        <f t="shared" si="32"/>
        <v>0</v>
      </c>
      <c r="BD32" s="3350" t="e">
        <f t="shared" si="48"/>
        <v>#DIV/0!</v>
      </c>
      <c r="BE32" s="3445"/>
      <c r="BF32" s="3341"/>
      <c r="BG32" s="3341"/>
      <c r="BH32" s="3349">
        <f t="shared" si="33"/>
        <v>0</v>
      </c>
      <c r="BI32" s="3350" t="e">
        <f t="shared" si="49"/>
        <v>#DIV/0!</v>
      </c>
      <c r="BJ32" s="3445"/>
      <c r="BK32" s="3341"/>
      <c r="BL32" s="3341"/>
      <c r="BM32" s="3349">
        <f t="shared" si="34"/>
        <v>0</v>
      </c>
      <c r="BN32" s="3350" t="e">
        <f t="shared" si="50"/>
        <v>#DIV/0!</v>
      </c>
      <c r="BO32" s="3445"/>
      <c r="BP32" s="3341"/>
      <c r="BQ32" s="3341"/>
      <c r="BR32" s="3349">
        <f t="shared" si="35"/>
        <v>0</v>
      </c>
      <c r="BS32" s="3350" t="e">
        <f t="shared" si="51"/>
        <v>#DIV/0!</v>
      </c>
      <c r="BT32" s="3445"/>
      <c r="BU32" s="3341"/>
      <c r="BV32" s="3341"/>
      <c r="BW32" s="3349">
        <f t="shared" si="36"/>
        <v>0</v>
      </c>
      <c r="BX32" s="3350" t="e">
        <f t="shared" si="52"/>
        <v>#DIV/0!</v>
      </c>
      <c r="BY32" s="3445"/>
      <c r="BZ32" s="3341"/>
      <c r="CA32" s="3341"/>
      <c r="CB32" s="3349">
        <f t="shared" si="37"/>
        <v>0</v>
      </c>
      <c r="CC32" s="3350" t="e">
        <f t="shared" si="53"/>
        <v>#DIV/0!</v>
      </c>
      <c r="CD32" s="3445"/>
      <c r="CE32" s="3341"/>
      <c r="CF32" s="3341"/>
      <c r="CG32" s="3349">
        <f t="shared" si="38"/>
        <v>0</v>
      </c>
      <c r="CH32" s="3350" t="e">
        <f t="shared" si="54"/>
        <v>#DIV/0!</v>
      </c>
      <c r="CI32" s="3445"/>
      <c r="CJ32" s="3428">
        <f t="shared" si="39"/>
        <v>0</v>
      </c>
      <c r="CK32" s="3447">
        <f t="shared" si="39"/>
        <v>0</v>
      </c>
      <c r="CL32" s="3349">
        <f t="shared" si="55"/>
        <v>0</v>
      </c>
      <c r="CM32" s="3350" t="e">
        <f t="shared" si="40"/>
        <v>#DIV/0!</v>
      </c>
      <c r="CN32" s="3360"/>
      <c r="CP32" s="3425"/>
      <c r="CQ32" s="2012">
        <f t="shared" si="41"/>
        <v>0</v>
      </c>
      <c r="CR32" s="3441">
        <f t="shared" si="56"/>
        <v>0</v>
      </c>
      <c r="CT32" s="2624"/>
    </row>
    <row r="33" spans="1:98" s="1396" customFormat="1" ht="14.4" outlineLevel="2" thickBot="1">
      <c r="A33" s="1571"/>
      <c r="B33" s="2834" t="s">
        <v>75</v>
      </c>
      <c r="C33" s="3365"/>
      <c r="D33" s="3365"/>
      <c r="E33" s="3366">
        <f t="shared" ref="E33" si="57">C33+D33*1</f>
        <v>0</v>
      </c>
      <c r="F33" s="3005" t="e">
        <f t="shared" si="16"/>
        <v>#DIV/0!</v>
      </c>
      <c r="G33" s="3744"/>
      <c r="H33" s="3365"/>
      <c r="I33" s="3365"/>
      <c r="J33" s="3366">
        <f>H33+I33*1</f>
        <v>0</v>
      </c>
      <c r="K33" s="3005" t="e">
        <f t="shared" si="42"/>
        <v>#DIV/0!</v>
      </c>
      <c r="L33" s="3744"/>
      <c r="M33" s="3365"/>
      <c r="N33" s="3365"/>
      <c r="O33" s="3366">
        <f t="shared" ref="O33" si="58">M33+N33*1</f>
        <v>0</v>
      </c>
      <c r="P33" s="3350" t="e">
        <f t="shared" si="22"/>
        <v>#DIV/0!</v>
      </c>
      <c r="Q33" s="3744"/>
      <c r="R33" s="3431">
        <f t="shared" si="23"/>
        <v>0</v>
      </c>
      <c r="S33" s="3430">
        <f t="shared" si="23"/>
        <v>0</v>
      </c>
      <c r="T33" s="3192">
        <f t="shared" si="24"/>
        <v>0</v>
      </c>
      <c r="U33" s="3744"/>
      <c r="V33" s="3744"/>
      <c r="W33" s="3430">
        <f t="shared" si="25"/>
        <v>0</v>
      </c>
      <c r="X33" s="3430">
        <f t="shared" si="25"/>
        <v>0</v>
      </c>
      <c r="Y33" s="3192">
        <f t="shared" si="26"/>
        <v>0</v>
      </c>
      <c r="Z33" s="3744"/>
      <c r="AA33" s="3744"/>
      <c r="AB33" s="3365"/>
      <c r="AC33" s="3365"/>
      <c r="AD33" s="3366">
        <f t="shared" ref="AD33" si="59">AB33+AC33*1</f>
        <v>0</v>
      </c>
      <c r="AE33" s="3005" t="e">
        <f t="shared" si="43"/>
        <v>#DIV/0!</v>
      </c>
      <c r="AF33" s="3744"/>
      <c r="AG33" s="3365"/>
      <c r="AH33" s="3365"/>
      <c r="AI33" s="3366">
        <f t="shared" ref="AI33" si="60">AG33+AH33*1</f>
        <v>0</v>
      </c>
      <c r="AJ33" s="3005" t="e">
        <f t="shared" si="44"/>
        <v>#DIV/0!</v>
      </c>
      <c r="AK33" s="3744"/>
      <c r="AL33" s="3365"/>
      <c r="AM33" s="3365"/>
      <c r="AN33" s="3366">
        <f t="shared" ref="AN33" si="61">AL33+AM33*1</f>
        <v>0</v>
      </c>
      <c r="AO33" s="3005" t="e">
        <f t="shared" si="45"/>
        <v>#DIV/0!</v>
      </c>
      <c r="AP33" s="3744"/>
      <c r="AQ33" s="3365"/>
      <c r="AR33" s="3365"/>
      <c r="AS33" s="3366">
        <f t="shared" ref="AS33" si="62">AQ33+AR33*1</f>
        <v>0</v>
      </c>
      <c r="AT33" s="3005" t="e">
        <f t="shared" si="46"/>
        <v>#DIV/0!</v>
      </c>
      <c r="AU33" s="3744"/>
      <c r="AV33" s="3365"/>
      <c r="AW33" s="3365"/>
      <c r="AX33" s="3366">
        <f t="shared" ref="AX33" si="63">AV33+AW33*1</f>
        <v>0</v>
      </c>
      <c r="AY33" s="3005" t="e">
        <f t="shared" si="47"/>
        <v>#DIV/0!</v>
      </c>
      <c r="AZ33" s="3744"/>
      <c r="BA33" s="3365"/>
      <c r="BB33" s="3365"/>
      <c r="BC33" s="3366">
        <f t="shared" ref="BC33" si="64">BA33+BB33*1</f>
        <v>0</v>
      </c>
      <c r="BD33" s="3005" t="e">
        <f t="shared" si="48"/>
        <v>#DIV/0!</v>
      </c>
      <c r="BE33" s="3744"/>
      <c r="BF33" s="3365"/>
      <c r="BG33" s="3365"/>
      <c r="BH33" s="3366">
        <f t="shared" ref="BH33" si="65">BF33+BG33*1</f>
        <v>0</v>
      </c>
      <c r="BI33" s="3005" t="e">
        <f t="shared" si="49"/>
        <v>#DIV/0!</v>
      </c>
      <c r="BJ33" s="3744"/>
      <c r="BK33" s="3365"/>
      <c r="BL33" s="3365"/>
      <c r="BM33" s="3366">
        <f t="shared" ref="BM33" si="66">BK33+BL33*1</f>
        <v>0</v>
      </c>
      <c r="BN33" s="3005" t="e">
        <f t="shared" si="50"/>
        <v>#DIV/0!</v>
      </c>
      <c r="BO33" s="3744"/>
      <c r="BP33" s="3365"/>
      <c r="BQ33" s="3365"/>
      <c r="BR33" s="3366">
        <f t="shared" ref="BR33" si="67">BP33+BQ33*1</f>
        <v>0</v>
      </c>
      <c r="BS33" s="3005" t="e">
        <f t="shared" si="51"/>
        <v>#DIV/0!</v>
      </c>
      <c r="BT33" s="3744"/>
      <c r="BU33" s="3365"/>
      <c r="BV33" s="3365"/>
      <c r="BW33" s="3366">
        <f t="shared" ref="BW33" si="68">BU33+BV33*1</f>
        <v>0</v>
      </c>
      <c r="BX33" s="3005" t="e">
        <f t="shared" si="52"/>
        <v>#DIV/0!</v>
      </c>
      <c r="BY33" s="3744"/>
      <c r="BZ33" s="3365"/>
      <c r="CA33" s="3365"/>
      <c r="CB33" s="3366">
        <f t="shared" ref="CB33" si="69">BZ33+CA33*1</f>
        <v>0</v>
      </c>
      <c r="CC33" s="3005" t="e">
        <f t="shared" si="53"/>
        <v>#DIV/0!</v>
      </c>
      <c r="CD33" s="3744"/>
      <c r="CE33" s="3365"/>
      <c r="CF33" s="3365"/>
      <c r="CG33" s="3366">
        <f t="shared" ref="CG33" si="70">CE33+CF33*1</f>
        <v>0</v>
      </c>
      <c r="CH33" s="3005" t="e">
        <f t="shared" si="54"/>
        <v>#DIV/0!</v>
      </c>
      <c r="CI33" s="3744"/>
      <c r="CJ33" s="3364">
        <f t="shared" si="39"/>
        <v>0</v>
      </c>
      <c r="CK33" s="3365">
        <f t="shared" si="39"/>
        <v>0</v>
      </c>
      <c r="CL33" s="3366">
        <f t="shared" si="55"/>
        <v>0</v>
      </c>
      <c r="CM33" s="2862" t="e">
        <f t="shared" si="40"/>
        <v>#DIV/0!</v>
      </c>
      <c r="CN33" s="2864"/>
      <c r="CP33" s="3425"/>
      <c r="CQ33" s="3425"/>
      <c r="CR33" s="3441">
        <f t="shared" si="56"/>
        <v>0</v>
      </c>
      <c r="CT33" s="2624"/>
    </row>
    <row r="34" spans="1:98"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1"/>
      <c r="AC34" s="3341"/>
      <c r="AD34" s="3368"/>
      <c r="AE34" s="3368"/>
      <c r="AF34" s="3448"/>
      <c r="AG34" s="3341"/>
      <c r="AH34" s="3341"/>
      <c r="AI34" s="3368"/>
      <c r="AJ34" s="3368"/>
      <c r="AK34" s="3448"/>
      <c r="AL34" s="3341"/>
      <c r="AM34" s="3341"/>
      <c r="AN34" s="3368"/>
      <c r="AO34" s="3368"/>
      <c r="AP34" s="3448"/>
      <c r="AQ34" s="3341"/>
      <c r="AR34" s="3341"/>
      <c r="AS34" s="3368"/>
      <c r="AT34" s="3368"/>
      <c r="AU34" s="3448"/>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3449"/>
      <c r="CQ34" s="3449"/>
      <c r="CR34" s="3450"/>
      <c r="CT34" s="2624"/>
    </row>
    <row r="35" spans="1:98" s="1396" customFormat="1" ht="13.8" outlineLevel="1">
      <c r="A35" s="1571"/>
      <c r="B35" s="3369" t="s">
        <v>80</v>
      </c>
      <c r="C35" s="3370">
        <f>C36</f>
        <v>0</v>
      </c>
      <c r="D35" s="3370">
        <f>D36</f>
        <v>0</v>
      </c>
      <c r="E35" s="3371">
        <f>E36</f>
        <v>0</v>
      </c>
      <c r="F35" s="3371"/>
      <c r="G35" s="3451"/>
      <c r="H35" s="3370">
        <f>H36</f>
        <v>0</v>
      </c>
      <c r="I35" s="3370">
        <f>I36</f>
        <v>0</v>
      </c>
      <c r="J35" s="3371">
        <f>J36</f>
        <v>0</v>
      </c>
      <c r="K35" s="3371"/>
      <c r="L35" s="3451"/>
      <c r="M35" s="3370">
        <f>M36</f>
        <v>0</v>
      </c>
      <c r="N35" s="3370">
        <f>N36</f>
        <v>0</v>
      </c>
      <c r="O35" s="3371">
        <f>O36</f>
        <v>0</v>
      </c>
      <c r="P35" s="3371"/>
      <c r="Q35" s="3451"/>
      <c r="R35" s="3370">
        <f>R36</f>
        <v>0</v>
      </c>
      <c r="S35" s="3370">
        <f>S36</f>
        <v>0</v>
      </c>
      <c r="T35" s="3371">
        <f>T36</f>
        <v>0</v>
      </c>
      <c r="U35" s="3452"/>
      <c r="V35" s="3452"/>
      <c r="W35" s="3370">
        <f>W36</f>
        <v>0</v>
      </c>
      <c r="X35" s="3370">
        <f>X36</f>
        <v>0</v>
      </c>
      <c r="Y35" s="3371">
        <f>Y36</f>
        <v>0</v>
      </c>
      <c r="Z35" s="3452"/>
      <c r="AA35" s="3452"/>
      <c r="AB35" s="3370">
        <f>AB36</f>
        <v>0</v>
      </c>
      <c r="AC35" s="3370">
        <f>AC36</f>
        <v>0</v>
      </c>
      <c r="AD35" s="3371">
        <f>AD36</f>
        <v>0</v>
      </c>
      <c r="AE35" s="3371"/>
      <c r="AF35" s="3451"/>
      <c r="AG35" s="3370">
        <f>AG36</f>
        <v>0</v>
      </c>
      <c r="AH35" s="3370">
        <f>AH36</f>
        <v>0</v>
      </c>
      <c r="AI35" s="3371">
        <f>AI36</f>
        <v>0</v>
      </c>
      <c r="AJ35" s="3371"/>
      <c r="AK35" s="3451"/>
      <c r="AL35" s="3370">
        <f>AL36</f>
        <v>0</v>
      </c>
      <c r="AM35" s="3370">
        <f>AM36</f>
        <v>0</v>
      </c>
      <c r="AN35" s="3371">
        <f>AN36</f>
        <v>0</v>
      </c>
      <c r="AO35" s="3371"/>
      <c r="AP35" s="3451"/>
      <c r="AQ35" s="3370">
        <f>AQ36</f>
        <v>0</v>
      </c>
      <c r="AR35" s="3370">
        <f>AR36</f>
        <v>0</v>
      </c>
      <c r="AS35" s="3371">
        <f>AS36</f>
        <v>0</v>
      </c>
      <c r="AT35" s="3371"/>
      <c r="AU35" s="3451"/>
      <c r="AV35" s="3370">
        <f>AV36</f>
        <v>0</v>
      </c>
      <c r="AW35" s="3370">
        <f>AW36</f>
        <v>0</v>
      </c>
      <c r="AX35" s="3371">
        <f>AX36</f>
        <v>0</v>
      </c>
      <c r="AY35" s="3371"/>
      <c r="AZ35" s="3451"/>
      <c r="BA35" s="3370">
        <f>BA36</f>
        <v>0</v>
      </c>
      <c r="BB35" s="3370">
        <f>BB36</f>
        <v>0</v>
      </c>
      <c r="BC35" s="3371">
        <f>BC36</f>
        <v>0</v>
      </c>
      <c r="BD35" s="3371"/>
      <c r="BE35" s="3451"/>
      <c r="BF35" s="3370">
        <f>BF36</f>
        <v>0</v>
      </c>
      <c r="BG35" s="3370">
        <f>BG36</f>
        <v>0</v>
      </c>
      <c r="BH35" s="3371">
        <f>BH36</f>
        <v>0</v>
      </c>
      <c r="BI35" s="3371"/>
      <c r="BJ35" s="3451"/>
      <c r="BK35" s="3370">
        <f>BK36</f>
        <v>0</v>
      </c>
      <c r="BL35" s="3370">
        <f>BL36</f>
        <v>0</v>
      </c>
      <c r="BM35" s="3371">
        <f>BM36</f>
        <v>0</v>
      </c>
      <c r="BN35" s="3371"/>
      <c r="BO35" s="3451"/>
      <c r="BP35" s="3370">
        <f>BP36</f>
        <v>0</v>
      </c>
      <c r="BQ35" s="3370">
        <f>BQ36</f>
        <v>0</v>
      </c>
      <c r="BR35" s="3371">
        <f>BR36</f>
        <v>0</v>
      </c>
      <c r="BS35" s="3371"/>
      <c r="BT35" s="3451"/>
      <c r="BU35" s="3370">
        <f>BU36</f>
        <v>0</v>
      </c>
      <c r="BV35" s="3370">
        <f>BV36</f>
        <v>0</v>
      </c>
      <c r="BW35" s="3371">
        <f>BW36</f>
        <v>0</v>
      </c>
      <c r="BX35" s="3371"/>
      <c r="BY35" s="3451"/>
      <c r="BZ35" s="3370">
        <f>BZ36</f>
        <v>0</v>
      </c>
      <c r="CA35" s="3370">
        <f>CA36</f>
        <v>0</v>
      </c>
      <c r="CB35" s="3371">
        <f>CB36</f>
        <v>0</v>
      </c>
      <c r="CC35" s="3371"/>
      <c r="CD35" s="3451"/>
      <c r="CE35" s="3370">
        <f>CE36</f>
        <v>0</v>
      </c>
      <c r="CF35" s="3370">
        <f>CF36</f>
        <v>0</v>
      </c>
      <c r="CG35" s="3371">
        <f>CG36</f>
        <v>0</v>
      </c>
      <c r="CH35" s="3371"/>
      <c r="CI35" s="3451"/>
      <c r="CJ35" s="3370">
        <f>CJ36</f>
        <v>0</v>
      </c>
      <c r="CK35" s="3370">
        <f>CK36</f>
        <v>0</v>
      </c>
      <c r="CL35" s="3371">
        <f>CL36</f>
        <v>0</v>
      </c>
      <c r="CM35" s="3371"/>
      <c r="CN35" s="3371"/>
      <c r="CP35" s="3371">
        <f>CP36</f>
        <v>0</v>
      </c>
      <c r="CQ35" s="3371">
        <f>CQ36</f>
        <v>0</v>
      </c>
      <c r="CR35" s="3453">
        <f>CR36</f>
        <v>0</v>
      </c>
      <c r="CT35" s="2624"/>
    </row>
    <row r="36" spans="1:98" s="1396" customFormat="1" ht="13.8" outlineLevel="3">
      <c r="A36" s="1571"/>
      <c r="B36" s="3372" t="s">
        <v>81</v>
      </c>
      <c r="C36" s="3341"/>
      <c r="D36" s="3341"/>
      <c r="E36" s="2012">
        <f>C36+D36*1</f>
        <v>0</v>
      </c>
      <c r="F36" s="3350" t="e">
        <f>E36/$E$89</f>
        <v>#DIV/0!</v>
      </c>
      <c r="G36" s="3454"/>
      <c r="H36" s="3341"/>
      <c r="I36" s="3341"/>
      <c r="J36" s="2012">
        <f>H36+I36*1</f>
        <v>0</v>
      </c>
      <c r="K36" s="3350" t="e">
        <f t="shared" ref="K36" si="71">J36/J$89</f>
        <v>#DIV/0!</v>
      </c>
      <c r="L36" s="3454"/>
      <c r="M36" s="3341"/>
      <c r="N36" s="3341"/>
      <c r="O36" s="3349">
        <f t="shared" ref="O36" si="72">M36+N36</f>
        <v>0</v>
      </c>
      <c r="P36" s="3350" t="e">
        <f t="shared" ref="P36" si="73">O36/O$89</f>
        <v>#DIV/0!</v>
      </c>
      <c r="Q36" s="3454"/>
      <c r="R36" s="3342">
        <f t="shared" ref="R36:S36" si="74">M36+H36+C36</f>
        <v>0</v>
      </c>
      <c r="S36" s="3342">
        <f t="shared" si="74"/>
        <v>0</v>
      </c>
      <c r="T36" s="2012">
        <f t="shared" ref="T36" si="75">R36+S36</f>
        <v>0</v>
      </c>
      <c r="U36" s="3455"/>
      <c r="V36" s="3455"/>
      <c r="W36" s="3342">
        <f t="shared" ref="W36:X36" si="76">AB36+AG36+AL36+AV36+BA36+BF36+BK36+BP36+BU36+BZ36+CE36+AQ36</f>
        <v>0</v>
      </c>
      <c r="X36" s="3342">
        <f t="shared" si="76"/>
        <v>0</v>
      </c>
      <c r="Y36" s="2012">
        <f t="shared" ref="Y36" si="77">W36+X36</f>
        <v>0</v>
      </c>
      <c r="Z36" s="3455"/>
      <c r="AA36" s="3455"/>
      <c r="AB36" s="3341"/>
      <c r="AC36" s="3341"/>
      <c r="AD36" s="3349">
        <f t="shared" ref="AD36" si="78">AB36+AC36</f>
        <v>0</v>
      </c>
      <c r="AE36" s="3350" t="e">
        <f>AD36/AD$89</f>
        <v>#DIV/0!</v>
      </c>
      <c r="AF36" s="3454"/>
      <c r="AG36" s="3341"/>
      <c r="AH36" s="3341"/>
      <c r="AI36" s="3349">
        <f t="shared" ref="AI36" si="79">AG36+AH36</f>
        <v>0</v>
      </c>
      <c r="AJ36" s="3350" t="e">
        <f>AI36/AI$89</f>
        <v>#DIV/0!</v>
      </c>
      <c r="AK36" s="3454"/>
      <c r="AL36" s="3341"/>
      <c r="AM36" s="3341"/>
      <c r="AN36" s="3349">
        <f t="shared" ref="AN36" si="80">AL36+AM36</f>
        <v>0</v>
      </c>
      <c r="AO36" s="3350" t="e">
        <f>AN36/AN$89</f>
        <v>#DIV/0!</v>
      </c>
      <c r="AP36" s="3454"/>
      <c r="AQ36" s="3341"/>
      <c r="AR36" s="3341"/>
      <c r="AS36" s="3349">
        <f t="shared" ref="AS36" si="81">AQ36+AR36</f>
        <v>0</v>
      </c>
      <c r="AT36" s="3350" t="e">
        <f>AS36/AS$89</f>
        <v>#DIV/0!</v>
      </c>
      <c r="AU36" s="3454"/>
      <c r="AV36" s="3341"/>
      <c r="AW36" s="3341"/>
      <c r="AX36" s="3349">
        <f t="shared" ref="AX36" si="82">AV36+AW36</f>
        <v>0</v>
      </c>
      <c r="AY36" s="3350" t="e">
        <f>AX36/AX$89</f>
        <v>#DIV/0!</v>
      </c>
      <c r="AZ36" s="3454"/>
      <c r="BA36" s="3341"/>
      <c r="BB36" s="3341"/>
      <c r="BC36" s="3349">
        <f t="shared" ref="BC36" si="83">BA36+BB36</f>
        <v>0</v>
      </c>
      <c r="BD36" s="3350" t="e">
        <f>BC36/BC$89</f>
        <v>#DIV/0!</v>
      </c>
      <c r="BE36" s="3454"/>
      <c r="BF36" s="3341"/>
      <c r="BG36" s="3341"/>
      <c r="BH36" s="3349">
        <f t="shared" ref="BH36" si="84">BF36+BG36</f>
        <v>0</v>
      </c>
      <c r="BI36" s="3350" t="e">
        <f>BH36/BH$89</f>
        <v>#DIV/0!</v>
      </c>
      <c r="BJ36" s="3454"/>
      <c r="BK36" s="3341"/>
      <c r="BL36" s="3341"/>
      <c r="BM36" s="3349">
        <f t="shared" ref="BM36" si="85">BK36+BL36</f>
        <v>0</v>
      </c>
      <c r="BN36" s="3350" t="e">
        <f>BM36/BM$89</f>
        <v>#DIV/0!</v>
      </c>
      <c r="BO36" s="3454"/>
      <c r="BP36" s="3341"/>
      <c r="BQ36" s="3341"/>
      <c r="BR36" s="3349">
        <f t="shared" ref="BR36" si="86">BP36+BQ36</f>
        <v>0</v>
      </c>
      <c r="BS36" s="3350" t="e">
        <f>BR36/BR$89</f>
        <v>#DIV/0!</v>
      </c>
      <c r="BT36" s="3454"/>
      <c r="BU36" s="3341"/>
      <c r="BV36" s="3341"/>
      <c r="BW36" s="3349">
        <f t="shared" ref="BW36" si="87">BU36+BV36</f>
        <v>0</v>
      </c>
      <c r="BX36" s="3350" t="e">
        <f>BW36/BW$89</f>
        <v>#DIV/0!</v>
      </c>
      <c r="BY36" s="3454"/>
      <c r="BZ36" s="3341"/>
      <c r="CA36" s="3341"/>
      <c r="CB36" s="3349">
        <f t="shared" ref="CB36" si="88">BZ36+CA36</f>
        <v>0</v>
      </c>
      <c r="CC36" s="3350" t="e">
        <f>CB36/CB$89</f>
        <v>#DIV/0!</v>
      </c>
      <c r="CD36" s="3454"/>
      <c r="CE36" s="3341"/>
      <c r="CF36" s="3341"/>
      <c r="CG36" s="3349">
        <f t="shared" ref="CG36" si="89">CE36+CF36</f>
        <v>0</v>
      </c>
      <c r="CH36" s="3350" t="e">
        <f>CG36/CG$89</f>
        <v>#DIV/0!</v>
      </c>
      <c r="CI36" s="3454"/>
      <c r="CJ36" s="3341">
        <f t="shared" ref="CJ36:CK36" si="90">C36+H36+M36+W36</f>
        <v>0</v>
      </c>
      <c r="CK36" s="3341">
        <f t="shared" si="90"/>
        <v>0</v>
      </c>
      <c r="CL36" s="2012">
        <f>CJ36+CK36*1</f>
        <v>0</v>
      </c>
      <c r="CM36" s="3350" t="e">
        <f>CL36/$CL$89</f>
        <v>#DIV/0!</v>
      </c>
      <c r="CN36" s="3373"/>
      <c r="CP36" s="2012"/>
      <c r="CQ36" s="2012">
        <f t="shared" ref="CQ36" si="91">CL36</f>
        <v>0</v>
      </c>
      <c r="CR36" s="3441">
        <f t="shared" ref="CR36" si="92">CP36-CQ36</f>
        <v>0</v>
      </c>
      <c r="CT36" s="3443"/>
    </row>
    <row r="37" spans="1:98" s="1396" customFormat="1" ht="14.4" outlineLevel="1" thickBot="1">
      <c r="A37" s="1398"/>
      <c r="B37" s="3715"/>
      <c r="C37" s="3341"/>
      <c r="D37" s="3341"/>
      <c r="E37" s="3374"/>
      <c r="F37" s="3374"/>
      <c r="G37" s="3746"/>
      <c r="H37" s="3341"/>
      <c r="I37" s="3341"/>
      <c r="J37" s="3374"/>
      <c r="K37" s="3374"/>
      <c r="L37" s="3746"/>
      <c r="M37" s="3341"/>
      <c r="N37" s="3341"/>
      <c r="O37" s="3374"/>
      <c r="P37" s="3374"/>
      <c r="Q37" s="3746"/>
      <c r="R37" s="3456"/>
      <c r="S37" s="3456"/>
      <c r="T37" s="3456"/>
      <c r="U37" s="3456"/>
      <c r="V37" s="3456"/>
      <c r="W37" s="3342">
        <f t="shared" ref="W37:X37" si="93">AB37+AG37+AL37+AV37+BA37+BF37+BK37+BP37+BU37+BZ37+CE37</f>
        <v>0</v>
      </c>
      <c r="X37" s="3342">
        <f t="shared" si="93"/>
        <v>0</v>
      </c>
      <c r="Y37" s="3456"/>
      <c r="Z37" s="3456"/>
      <c r="AA37" s="3456"/>
      <c r="AB37" s="3341"/>
      <c r="AC37" s="3341"/>
      <c r="AD37" s="3374"/>
      <c r="AE37" s="3374"/>
      <c r="AF37" s="3746"/>
      <c r="AG37" s="3341"/>
      <c r="AH37" s="3341"/>
      <c r="AI37" s="3374"/>
      <c r="AJ37" s="3374"/>
      <c r="AK37" s="3746"/>
      <c r="AL37" s="3341"/>
      <c r="AM37" s="3341"/>
      <c r="AN37" s="3374"/>
      <c r="AO37" s="3374"/>
      <c r="AP37" s="3746"/>
      <c r="AQ37" s="3341"/>
      <c r="AR37" s="3341"/>
      <c r="AS37" s="3374"/>
      <c r="AT37" s="3374"/>
      <c r="AU37" s="3746"/>
      <c r="AV37" s="3341"/>
      <c r="AW37" s="3341"/>
      <c r="AX37" s="3374"/>
      <c r="AY37" s="3374"/>
      <c r="AZ37" s="3746"/>
      <c r="BA37" s="3341"/>
      <c r="BB37" s="3341"/>
      <c r="BC37" s="3374"/>
      <c r="BD37" s="3374"/>
      <c r="BE37" s="3746"/>
      <c r="BF37" s="3341"/>
      <c r="BG37" s="3341"/>
      <c r="BH37" s="3374"/>
      <c r="BI37" s="3374"/>
      <c r="BJ37" s="3746"/>
      <c r="BK37" s="3341"/>
      <c r="BL37" s="3341"/>
      <c r="BM37" s="3374"/>
      <c r="BN37" s="3374"/>
      <c r="BO37" s="3746"/>
      <c r="BP37" s="3341"/>
      <c r="BQ37" s="3341"/>
      <c r="BR37" s="3374"/>
      <c r="BS37" s="3374"/>
      <c r="BT37" s="3746"/>
      <c r="BU37" s="3341"/>
      <c r="BV37" s="3341"/>
      <c r="BW37" s="3374"/>
      <c r="BX37" s="3374"/>
      <c r="BY37" s="3746"/>
      <c r="BZ37" s="3341"/>
      <c r="CA37" s="3341"/>
      <c r="CB37" s="3374"/>
      <c r="CC37" s="3374"/>
      <c r="CD37" s="3746"/>
      <c r="CE37" s="3341"/>
      <c r="CF37" s="3341"/>
      <c r="CG37" s="3374"/>
      <c r="CH37" s="3374"/>
      <c r="CI37" s="3746"/>
      <c r="CJ37" s="3341"/>
      <c r="CK37" s="3341"/>
      <c r="CL37" s="3374"/>
      <c r="CM37" s="3374"/>
      <c r="CN37" s="3374"/>
      <c r="CP37" s="3457"/>
      <c r="CQ37" s="3457"/>
      <c r="CR37" s="3458"/>
      <c r="CT37" s="2624"/>
    </row>
    <row r="38" spans="1:98"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0</v>
      </c>
      <c r="O38" s="3749">
        <f>(O5)-(O8)</f>
        <v>0</v>
      </c>
      <c r="P38" s="3749"/>
      <c r="Q38" s="3750"/>
      <c r="R38" s="3749">
        <f>(R5)-(R8)</f>
        <v>0</v>
      </c>
      <c r="S38" s="3749">
        <f>(S5)-(S8)</f>
        <v>0</v>
      </c>
      <c r="T38" s="3749">
        <f>(T5)-(T8)</f>
        <v>0</v>
      </c>
      <c r="U38" s="3750"/>
      <c r="V38" s="3750"/>
      <c r="W38" s="3749">
        <f>(W5)-(W8)</f>
        <v>0</v>
      </c>
      <c r="X38" s="3749">
        <f>(X5)-(X8)</f>
        <v>0</v>
      </c>
      <c r="Y38" s="3749">
        <f>(Y5)-(Y8)</f>
        <v>0</v>
      </c>
      <c r="Z38" s="3750"/>
      <c r="AA38" s="3750"/>
      <c r="AB38" s="3749">
        <f>(AB5)-(AB8)</f>
        <v>0</v>
      </c>
      <c r="AC38" s="3749">
        <f>(AC5)-(AC8)</f>
        <v>0</v>
      </c>
      <c r="AD38" s="3749">
        <f>(AD5)-(AD8)</f>
        <v>0</v>
      </c>
      <c r="AE38" s="3749"/>
      <c r="AF38" s="3750"/>
      <c r="AG38" s="3749">
        <f>(AG5)-(AG8)</f>
        <v>0</v>
      </c>
      <c r="AH38" s="3749">
        <f>(AH5)-(AH8)</f>
        <v>0</v>
      </c>
      <c r="AI38" s="3749">
        <f>(AI5)-(AI8)</f>
        <v>0</v>
      </c>
      <c r="AJ38" s="3749"/>
      <c r="AK38" s="3750"/>
      <c r="AL38" s="3749">
        <f>(AL5)-(AL8)</f>
        <v>0</v>
      </c>
      <c r="AM38" s="3749">
        <f>(AM5)-(AM8)</f>
        <v>0</v>
      </c>
      <c r="AN38" s="3749">
        <f>(AN5)-(AN8)</f>
        <v>0</v>
      </c>
      <c r="AO38" s="3749"/>
      <c r="AP38" s="3750"/>
      <c r="AQ38" s="3749">
        <f>(AQ5)-(AQ8)</f>
        <v>0</v>
      </c>
      <c r="AR38" s="3749">
        <f>(AR5)-(AR8)</f>
        <v>0</v>
      </c>
      <c r="AS38" s="3749">
        <f>(AS5)-(AS8)</f>
        <v>0</v>
      </c>
      <c r="AT38" s="3749"/>
      <c r="AU38" s="3750"/>
      <c r="AV38" s="3749">
        <f>(AV5)-(AV8)</f>
        <v>0</v>
      </c>
      <c r="AW38" s="3749">
        <f>(AW5)-(AW8)</f>
        <v>0</v>
      </c>
      <c r="AX38" s="3749">
        <f>(AX5)-(AX8)</f>
        <v>0</v>
      </c>
      <c r="AY38" s="3749"/>
      <c r="AZ38" s="3750"/>
      <c r="BA38" s="3749">
        <f>(BA5)-(BA8)</f>
        <v>0</v>
      </c>
      <c r="BB38" s="3749">
        <f>(BB5)-(BB8)</f>
        <v>0</v>
      </c>
      <c r="BC38" s="3749">
        <f>(BC5)-(BC8)</f>
        <v>0</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0</v>
      </c>
      <c r="CK38" s="3751">
        <f>(CK5)-(CK8)</f>
        <v>0</v>
      </c>
      <c r="CL38" s="3751">
        <f>(CL5)-(CL8)</f>
        <v>0</v>
      </c>
      <c r="CM38" s="3749"/>
      <c r="CN38" s="3749"/>
      <c r="CP38" s="3749">
        <f>(CP5)-(CP8)</f>
        <v>0</v>
      </c>
      <c r="CQ38" s="3760">
        <f>(CQ5)-(CQ8)</f>
        <v>0</v>
      </c>
      <c r="CR38" s="3749">
        <f>(CR5)-(CR8)</f>
        <v>0</v>
      </c>
      <c r="CT38" s="3761"/>
    </row>
    <row r="39" spans="1:98"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2003">
        <f>IFERROR(AB38/(AB5),0)</f>
        <v>0</v>
      </c>
      <c r="AC39" s="2003">
        <f>IFERROR(AC38/(AC5),0)</f>
        <v>0</v>
      </c>
      <c r="AD39" s="2004">
        <f>IFERROR(AD38/(AD5),0)</f>
        <v>0</v>
      </c>
      <c r="AE39" s="2004"/>
      <c r="AF39" s="1056"/>
      <c r="AG39" s="2003">
        <f>IFERROR(AG38/(AG5),0)</f>
        <v>0</v>
      </c>
      <c r="AH39" s="2003">
        <f>IFERROR(AH38/(AH5),0)</f>
        <v>0</v>
      </c>
      <c r="AI39" s="2004">
        <f>IFERROR(AI38/(AI5),0)</f>
        <v>0</v>
      </c>
      <c r="AJ39" s="2004"/>
      <c r="AK39" s="1056"/>
      <c r="AL39" s="2003">
        <f>IFERROR(AL38/(AL5),0)</f>
        <v>0</v>
      </c>
      <c r="AM39" s="2003">
        <f>IFERROR(AM38/(AM5),0)</f>
        <v>0</v>
      </c>
      <c r="AN39" s="2004">
        <f>IFERROR(AN38/(AN5),0)</f>
        <v>0</v>
      </c>
      <c r="AO39" s="2004"/>
      <c r="AP39" s="1056"/>
      <c r="AQ39" s="2003">
        <f>IFERROR(AQ38/(AQ5),0)</f>
        <v>0</v>
      </c>
      <c r="AR39" s="2003">
        <f>IFERROR(AR38/(AR5),0)</f>
        <v>0</v>
      </c>
      <c r="AS39" s="2004">
        <f>IFERROR(AS38/(AS5),0)</f>
        <v>0</v>
      </c>
      <c r="AT39" s="2004"/>
      <c r="AU39" s="1056"/>
      <c r="AV39" s="2003">
        <f>IFERROR(AV38/(AV5),0)</f>
        <v>0</v>
      </c>
      <c r="AW39" s="2003">
        <f>IFERROR(AW38/(AW5),0)</f>
        <v>0</v>
      </c>
      <c r="AX39" s="2004">
        <f>IFERROR(AX38/(AX5),0)</f>
        <v>0</v>
      </c>
      <c r="AY39" s="2004"/>
      <c r="AZ39" s="1056"/>
      <c r="BA39" s="2003">
        <f>IFERROR(BA38/(BA5),0)</f>
        <v>0</v>
      </c>
      <c r="BB39" s="2003">
        <f>IFERROR(BB38/(BB5),0)</f>
        <v>0</v>
      </c>
      <c r="BC39" s="2004">
        <f>IFERROR(BC38/(BC5),0)</f>
        <v>0</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v>
      </c>
      <c r="CK39" s="2003">
        <f>IFERROR(CK38/(CK5),0)</f>
        <v>0</v>
      </c>
      <c r="CL39" s="2004">
        <f>IFERROR(CL38/(CL5),0)</f>
        <v>0</v>
      </c>
      <c r="CM39" s="2004"/>
      <c r="CN39" s="2004"/>
      <c r="CP39" s="2004" t="e">
        <f>CP38/(CP5)</f>
        <v>#DIV/0!</v>
      </c>
      <c r="CQ39" s="2004">
        <f>IFERROR(CQ38/(CQ5),0)</f>
        <v>0</v>
      </c>
      <c r="CR39" s="2004" t="e">
        <f>CR38/(CR5)</f>
        <v>#DIV/0!</v>
      </c>
    </row>
    <row r="40" spans="1:98" ht="14.4" outlineLevel="1" thickBot="1">
      <c r="A40" s="1567"/>
      <c r="B40" s="3716"/>
      <c r="C40" s="3377"/>
      <c r="D40" s="3377"/>
      <c r="E40" s="3377"/>
      <c r="F40" s="3377"/>
      <c r="G40" s="3754"/>
      <c r="H40" s="3377"/>
      <c r="I40" s="3377"/>
      <c r="J40" s="3377"/>
      <c r="K40" s="3377"/>
      <c r="L40" s="3754"/>
      <c r="M40" s="3377"/>
      <c r="N40" s="3377"/>
      <c r="O40" s="3377"/>
      <c r="P40" s="3377"/>
      <c r="Q40" s="3754"/>
      <c r="R40" s="3754"/>
      <c r="S40" s="3754"/>
      <c r="T40" s="3754"/>
      <c r="U40" s="3754"/>
      <c r="V40" s="3754"/>
      <c r="W40" s="3754"/>
      <c r="X40" s="3754"/>
      <c r="Y40" s="3754"/>
      <c r="Z40" s="3754"/>
      <c r="AA40" s="3754"/>
      <c r="AB40" s="3377"/>
      <c r="AC40" s="3377"/>
      <c r="AD40" s="3377"/>
      <c r="AE40" s="3377"/>
      <c r="AF40" s="3754"/>
      <c r="AG40" s="3377"/>
      <c r="AH40" s="3377"/>
      <c r="AI40" s="3377"/>
      <c r="AJ40" s="3377"/>
      <c r="AK40" s="3754"/>
      <c r="AL40" s="3377"/>
      <c r="AM40" s="3377"/>
      <c r="AN40" s="3377"/>
      <c r="AO40" s="3377"/>
      <c r="AP40" s="3754"/>
      <c r="AQ40" s="3377"/>
      <c r="AR40" s="3377"/>
      <c r="AS40" s="3377"/>
      <c r="AT40" s="3377"/>
      <c r="AU40" s="3754"/>
      <c r="AV40" s="3377"/>
      <c r="AW40" s="3377"/>
      <c r="AX40" s="3377"/>
      <c r="AY40" s="3377"/>
      <c r="AZ40" s="3754"/>
      <c r="BA40" s="3377"/>
      <c r="BB40" s="3377"/>
      <c r="BC40" s="3377"/>
      <c r="BD40" s="3377"/>
      <c r="BE40" s="3754"/>
      <c r="BF40" s="3377"/>
      <c r="BG40" s="3377"/>
      <c r="BH40" s="3377"/>
      <c r="BI40" s="3377"/>
      <c r="BJ40" s="3754"/>
      <c r="BK40" s="3377"/>
      <c r="BL40" s="3377"/>
      <c r="BM40" s="3377"/>
      <c r="BN40" s="3377"/>
      <c r="BO40" s="3754"/>
      <c r="BP40" s="3377"/>
      <c r="BQ40" s="3377"/>
      <c r="BR40" s="3377"/>
      <c r="BS40" s="3377"/>
      <c r="BT40" s="3754"/>
      <c r="BU40" s="3377"/>
      <c r="BV40" s="3377"/>
      <c r="BW40" s="3377"/>
      <c r="BX40" s="3377"/>
      <c r="BY40" s="3754"/>
      <c r="BZ40" s="3377"/>
      <c r="CA40" s="3377"/>
      <c r="CB40" s="3377"/>
      <c r="CC40" s="3377"/>
      <c r="CD40" s="3754"/>
      <c r="CE40" s="3377"/>
      <c r="CF40" s="3377"/>
      <c r="CG40" s="3377"/>
      <c r="CH40" s="3377"/>
      <c r="CI40" s="3754"/>
      <c r="CJ40" s="3377"/>
      <c r="CK40" s="3377"/>
      <c r="CL40" s="3377"/>
      <c r="CM40" s="3377"/>
      <c r="CN40" s="3377"/>
      <c r="CP40" s="3424"/>
      <c r="CQ40" s="3424"/>
      <c r="CR40" s="3424"/>
    </row>
    <row r="41" spans="1:98" ht="13.8" outlineLevel="1">
      <c r="A41" s="1405"/>
      <c r="B41" s="1415" t="s">
        <v>26</v>
      </c>
      <c r="C41" s="2013">
        <f>SUM(C42:C48)</f>
        <v>0</v>
      </c>
      <c r="D41" s="2013">
        <f>SUM(D42:D48)</f>
        <v>0</v>
      </c>
      <c r="E41" s="2014">
        <f>SUM(E42:E48)</f>
        <v>0</v>
      </c>
      <c r="F41" s="3378" t="e">
        <f>E41/$E$89</f>
        <v>#DIV/0!</v>
      </c>
      <c r="G41" s="1057"/>
      <c r="H41" s="2013">
        <f>SUM(H42:H48)</f>
        <v>0</v>
      </c>
      <c r="I41" s="2013">
        <f>SUM(I42:I48)</f>
        <v>0</v>
      </c>
      <c r="J41" s="2014">
        <f>SUM(J42:J48)</f>
        <v>0</v>
      </c>
      <c r="K41" s="3378" t="e">
        <f>J41/$E$89</f>
        <v>#DIV/0!</v>
      </c>
      <c r="L41" s="1057"/>
      <c r="M41" s="2013">
        <f>SUM(M42:M48)</f>
        <v>0</v>
      </c>
      <c r="N41" s="2013">
        <f>SUM(N42:N48)</f>
        <v>0</v>
      </c>
      <c r="O41" s="2014">
        <f>SUM(O42:O48)</f>
        <v>0</v>
      </c>
      <c r="P41" s="3378" t="e">
        <f>O41/$E$89</f>
        <v>#DIV/0!</v>
      </c>
      <c r="Q41" s="1057"/>
      <c r="R41" s="2013">
        <f>SUM(R42:R48)</f>
        <v>0</v>
      </c>
      <c r="S41" s="2013">
        <f>SUM(S42:S48)</f>
        <v>0</v>
      </c>
      <c r="T41" s="2014">
        <f>SUM(T42:T48)</f>
        <v>0</v>
      </c>
      <c r="U41" s="3378"/>
      <c r="V41" s="3460"/>
      <c r="W41" s="2013">
        <f>SUM(W42:W48)</f>
        <v>0</v>
      </c>
      <c r="X41" s="2013">
        <f>SUM(X42:X48)</f>
        <v>0</v>
      </c>
      <c r="Y41" s="2014">
        <f>SUM(Y42:Y48)</f>
        <v>0</v>
      </c>
      <c r="Z41" s="3378"/>
      <c r="AA41" s="3460"/>
      <c r="AB41" s="2013">
        <f>SUM(AB42:AB48)</f>
        <v>0</v>
      </c>
      <c r="AC41" s="2013">
        <f>SUM(AC42:AC48)</f>
        <v>0</v>
      </c>
      <c r="AD41" s="2014">
        <f>SUM(AD42:AD48)</f>
        <v>0</v>
      </c>
      <c r="AE41" s="3378"/>
      <c r="AF41" s="1057"/>
      <c r="AG41" s="2013">
        <f>SUM(AG42:AG48)</f>
        <v>0</v>
      </c>
      <c r="AH41" s="2013">
        <f>SUM(AH42:AH48)</f>
        <v>0</v>
      </c>
      <c r="AI41" s="2014">
        <f>SUM(AI42:AI48)</f>
        <v>0</v>
      </c>
      <c r="AJ41" s="3378"/>
      <c r="AK41" s="1057"/>
      <c r="AL41" s="2013">
        <f>SUM(AL42:AL48)</f>
        <v>0</v>
      </c>
      <c r="AM41" s="2013">
        <f>SUM(AM42:AM48)</f>
        <v>0</v>
      </c>
      <c r="AN41" s="2014">
        <f>SUM(AN42:AN48)</f>
        <v>0</v>
      </c>
      <c r="AO41" s="3378"/>
      <c r="AP41" s="1057"/>
      <c r="AQ41" s="2013">
        <f>SUM(AQ42:AQ48)</f>
        <v>0</v>
      </c>
      <c r="AR41" s="2013">
        <f>SUM(AR42:AR48)</f>
        <v>0</v>
      </c>
      <c r="AS41" s="2014">
        <f>SUM(AS42:AS48)</f>
        <v>0</v>
      </c>
      <c r="AT41" s="3378"/>
      <c r="AU41" s="1057"/>
      <c r="AV41" s="2013">
        <f>SUM(AV42:AV48)</f>
        <v>0</v>
      </c>
      <c r="AW41" s="2013">
        <f>SUM(AW42:AW48)</f>
        <v>0</v>
      </c>
      <c r="AX41" s="2014">
        <f>SUM(AX42:AX48)</f>
        <v>0</v>
      </c>
      <c r="AY41" s="3378"/>
      <c r="AZ41" s="1057"/>
      <c r="BA41" s="2013">
        <f>SUM(BA42:BA48)</f>
        <v>0</v>
      </c>
      <c r="BB41" s="2013">
        <f>SUM(BB42:BB48)</f>
        <v>0</v>
      </c>
      <c r="BC41" s="2014">
        <f>SUM(BC42:BC48)</f>
        <v>0</v>
      </c>
      <c r="BD41" s="3378"/>
      <c r="BE41" s="1057"/>
      <c r="BF41" s="2013">
        <f>SUM(BF42:BF48)</f>
        <v>0</v>
      </c>
      <c r="BG41" s="2013">
        <f>SUM(BG42:BG48)</f>
        <v>0</v>
      </c>
      <c r="BH41" s="2014">
        <f>SUM(BH42:BH48)</f>
        <v>0</v>
      </c>
      <c r="BI41" s="3378"/>
      <c r="BJ41" s="1057"/>
      <c r="BK41" s="2013">
        <f>SUM(BK42:BK48)</f>
        <v>0</v>
      </c>
      <c r="BL41" s="2013">
        <f>SUM(BL42:BL48)</f>
        <v>0</v>
      </c>
      <c r="BM41" s="2014">
        <f>SUM(BM42:BM48)</f>
        <v>0</v>
      </c>
      <c r="BN41" s="3378"/>
      <c r="BO41" s="1057"/>
      <c r="BP41" s="2013">
        <f>SUM(BP42:BP48)</f>
        <v>0</v>
      </c>
      <c r="BQ41" s="2013">
        <f>SUM(BQ42:BQ48)</f>
        <v>0</v>
      </c>
      <c r="BR41" s="2014">
        <f>SUM(BR42:BR48)</f>
        <v>0</v>
      </c>
      <c r="BS41" s="3378"/>
      <c r="BT41" s="1057"/>
      <c r="BU41" s="2013">
        <f>SUM(BU42:BU48)</f>
        <v>0</v>
      </c>
      <c r="BV41" s="2013">
        <f>SUM(BV42:BV48)</f>
        <v>0</v>
      </c>
      <c r="BW41" s="2014">
        <f>SUM(BW42:BW48)</f>
        <v>0</v>
      </c>
      <c r="BX41" s="3378"/>
      <c r="BY41" s="1057"/>
      <c r="BZ41" s="2013">
        <f>SUM(BZ42:BZ48)</f>
        <v>0</v>
      </c>
      <c r="CA41" s="2013">
        <f>SUM(CA42:CA48)</f>
        <v>0</v>
      </c>
      <c r="CB41" s="2014">
        <f>SUM(CB42:CB48)</f>
        <v>0</v>
      </c>
      <c r="CC41" s="3378"/>
      <c r="CD41" s="1057"/>
      <c r="CE41" s="2013">
        <f>SUM(CE42:CE48)</f>
        <v>0</v>
      </c>
      <c r="CF41" s="2013">
        <f>SUM(CF42:CF48)</f>
        <v>0</v>
      </c>
      <c r="CG41" s="2014">
        <f>SUM(CG42:CG48)</f>
        <v>0</v>
      </c>
      <c r="CH41" s="3378"/>
      <c r="CI41" s="1057"/>
      <c r="CJ41" s="2013">
        <f>SUM(CJ42:CJ48)</f>
        <v>0</v>
      </c>
      <c r="CK41" s="2013">
        <f>SUM(CK42:CK48)</f>
        <v>0</v>
      </c>
      <c r="CL41" s="2014">
        <f>SUM(CL42:CL48)</f>
        <v>0</v>
      </c>
      <c r="CM41" s="3378" t="e">
        <f t="shared" ref="CM41:CM49" si="94">CL41/$CL$89</f>
        <v>#DIV/0!</v>
      </c>
      <c r="CN41" s="2006"/>
      <c r="CP41" s="2014">
        <f>SUM(CP42:CP48)</f>
        <v>0</v>
      </c>
      <c r="CQ41" s="2014">
        <f>SUM(CQ42:CQ48)</f>
        <v>0</v>
      </c>
      <c r="CR41" s="2014"/>
    </row>
    <row r="42" spans="1:98" ht="13.8" outlineLevel="2">
      <c r="A42" s="4833"/>
      <c r="B42" s="3379" t="s">
        <v>7</v>
      </c>
      <c r="C42" s="3341"/>
      <c r="D42" s="3341"/>
      <c r="E42" s="3349">
        <f t="shared" ref="E42:E48" si="95">C42+D42</f>
        <v>0</v>
      </c>
      <c r="F42" s="3350" t="e">
        <f t="shared" ref="F42:F48" si="96">E42/$E$89</f>
        <v>#DIV/0!</v>
      </c>
      <c r="G42" s="3461"/>
      <c r="H42" s="3341"/>
      <c r="I42" s="3341"/>
      <c r="J42" s="3349">
        <f t="shared" ref="J42:J48" si="97">H42+I42</f>
        <v>0</v>
      </c>
      <c r="K42" s="3350" t="e">
        <f t="shared" ref="K42:K48" si="98">J42/J$89</f>
        <v>#DIV/0!</v>
      </c>
      <c r="L42" s="3461"/>
      <c r="M42" s="3341"/>
      <c r="N42" s="3341"/>
      <c r="O42" s="3349">
        <f t="shared" ref="O42:O48" si="99">M42+N42</f>
        <v>0</v>
      </c>
      <c r="P42" s="3350" t="e">
        <f t="shared" ref="P42:P48" si="100">O42/O$89</f>
        <v>#DIV/0!</v>
      </c>
      <c r="Q42" s="3461"/>
      <c r="R42" s="3342">
        <f t="shared" ref="R42:S48" si="101">M42+H42+C42</f>
        <v>0</v>
      </c>
      <c r="S42" s="3342">
        <f t="shared" si="101"/>
        <v>0</v>
      </c>
      <c r="T42" s="2012">
        <f t="shared" ref="T42:T48" si="102">R42+S42</f>
        <v>0</v>
      </c>
      <c r="U42" s="3462"/>
      <c r="V42" s="3462"/>
      <c r="W42" s="3342">
        <f t="shared" ref="W42:X48" si="103">AB42+AG42+AL42+AV42+BA42+BF42+BK42+BP42+BU42+BZ42+CE42+AQ42</f>
        <v>0</v>
      </c>
      <c r="X42" s="3342">
        <f t="shared" si="103"/>
        <v>0</v>
      </c>
      <c r="Y42" s="2012">
        <f t="shared" ref="Y42:Y48" si="104">W42+X42</f>
        <v>0</v>
      </c>
      <c r="Z42" s="3462"/>
      <c r="AA42" s="3462"/>
      <c r="AB42" s="3341"/>
      <c r="AC42" s="3341"/>
      <c r="AD42" s="3349">
        <f t="shared" ref="AD42:AD48" si="105">AB42+AC42</f>
        <v>0</v>
      </c>
      <c r="AE42" s="3350" t="e">
        <f t="shared" ref="AE42:AE49" si="106">AD42/AD$89</f>
        <v>#DIV/0!</v>
      </c>
      <c r="AF42" s="3461"/>
      <c r="AG42" s="3341"/>
      <c r="AH42" s="3341"/>
      <c r="AI42" s="3349">
        <f t="shared" ref="AI42:AI48" si="107">AG42+AH42</f>
        <v>0</v>
      </c>
      <c r="AJ42" s="3350" t="e">
        <f t="shared" ref="AJ42:AJ49" si="108">AI42/AI$89</f>
        <v>#DIV/0!</v>
      </c>
      <c r="AK42" s="3461"/>
      <c r="AL42" s="3341"/>
      <c r="AM42" s="3341"/>
      <c r="AN42" s="3349">
        <f t="shared" ref="AN42:AN48" si="109">AL42+AM42</f>
        <v>0</v>
      </c>
      <c r="AO42" s="3350" t="e">
        <f t="shared" ref="AO42:AO49" si="110">AN42/AN$89</f>
        <v>#DIV/0!</v>
      </c>
      <c r="AP42" s="3461"/>
      <c r="AQ42" s="3341"/>
      <c r="AR42" s="3341"/>
      <c r="AS42" s="3349">
        <f t="shared" ref="AS42:AS48" si="111">AQ42+AR42</f>
        <v>0</v>
      </c>
      <c r="AT42" s="3350" t="e">
        <f t="shared" ref="AT42:AT49" si="112">AS42/AS$89</f>
        <v>#DIV/0!</v>
      </c>
      <c r="AU42" s="3461"/>
      <c r="AV42" s="3341"/>
      <c r="AW42" s="3341"/>
      <c r="AX42" s="3349">
        <f t="shared" ref="AX42:AX48" si="113">AV42+AW42</f>
        <v>0</v>
      </c>
      <c r="AY42" s="3350" t="e">
        <f t="shared" ref="AY42:AY49" si="114">AX42/AX$89</f>
        <v>#DIV/0!</v>
      </c>
      <c r="AZ42" s="3461"/>
      <c r="BA42" s="3341"/>
      <c r="BB42" s="3341"/>
      <c r="BC42" s="3349">
        <f t="shared" ref="BC42:BC48" si="115">BA42+BB42</f>
        <v>0</v>
      </c>
      <c r="BD42" s="3350" t="e">
        <f t="shared" ref="BD42:BD49" si="116">BC42/BC$89</f>
        <v>#DIV/0!</v>
      </c>
      <c r="BE42" s="3461"/>
      <c r="BF42" s="3341"/>
      <c r="BG42" s="3341"/>
      <c r="BH42" s="3349">
        <f t="shared" ref="BH42:BH48" si="117">BF42+BG42</f>
        <v>0</v>
      </c>
      <c r="BI42" s="3350" t="e">
        <f t="shared" ref="BI42:BI49" si="118">BH42/BH$89</f>
        <v>#DIV/0!</v>
      </c>
      <c r="BJ42" s="3461"/>
      <c r="BK42" s="3341"/>
      <c r="BL42" s="3341"/>
      <c r="BM42" s="3349">
        <f t="shared" ref="BM42:BM48" si="119">BK42+BL42</f>
        <v>0</v>
      </c>
      <c r="BN42" s="3350" t="e">
        <f t="shared" ref="BN42:BN49" si="120">BM42/BM$89</f>
        <v>#DIV/0!</v>
      </c>
      <c r="BO42" s="3461"/>
      <c r="BP42" s="3341"/>
      <c r="BQ42" s="3341"/>
      <c r="BR42" s="3349">
        <f t="shared" ref="BR42:BR48" si="121">BP42+BQ42</f>
        <v>0</v>
      </c>
      <c r="BS42" s="3350" t="e">
        <f t="shared" ref="BS42:BS49" si="122">BR42/BR$89</f>
        <v>#DIV/0!</v>
      </c>
      <c r="BT42" s="3461"/>
      <c r="BU42" s="3341"/>
      <c r="BV42" s="3341"/>
      <c r="BW42" s="3349">
        <f t="shared" ref="BW42:BW48" si="123">BU42+BV42</f>
        <v>0</v>
      </c>
      <c r="BX42" s="3350" t="e">
        <f t="shared" ref="BX42:BX49" si="124">BW42/BW$89</f>
        <v>#DIV/0!</v>
      </c>
      <c r="BY42" s="3461"/>
      <c r="BZ42" s="3341"/>
      <c r="CA42" s="3341"/>
      <c r="CB42" s="3349">
        <f t="shared" ref="CB42:CB48" si="125">BZ42+CA42</f>
        <v>0</v>
      </c>
      <c r="CC42" s="3350" t="e">
        <f t="shared" ref="CC42:CC49" si="126">CB42/CB$89</f>
        <v>#DIV/0!</v>
      </c>
      <c r="CD42" s="3461"/>
      <c r="CE42" s="3341"/>
      <c r="CF42" s="3341"/>
      <c r="CG42" s="3349">
        <f t="shared" ref="CG42:CG48" si="127">CE42+CF42</f>
        <v>0</v>
      </c>
      <c r="CH42" s="3350" t="e">
        <f t="shared" ref="CH42:CH49" si="128">CG42/CG$89</f>
        <v>#DIV/0!</v>
      </c>
      <c r="CI42" s="3461"/>
      <c r="CJ42" s="3341">
        <f t="shared" ref="CJ42:CK48" si="129">C42+H42+M42+W42</f>
        <v>0</v>
      </c>
      <c r="CK42" s="3341">
        <f t="shared" si="129"/>
        <v>0</v>
      </c>
      <c r="CL42" s="2012">
        <f t="shared" ref="CL42:CL48" si="130">CJ42+CK42*1</f>
        <v>0</v>
      </c>
      <c r="CM42" s="3350" t="e">
        <f t="shared" si="94"/>
        <v>#DIV/0!</v>
      </c>
      <c r="CN42" s="3360"/>
      <c r="CP42" s="2012">
        <f t="shared" ref="CP42:CQ48" si="131">CN42+CO42*1</f>
        <v>0</v>
      </c>
      <c r="CQ42" s="2012">
        <f t="shared" si="131"/>
        <v>0</v>
      </c>
      <c r="CR42" s="3441"/>
    </row>
    <row r="43" spans="1:98" ht="13.8" outlineLevel="2">
      <c r="A43" s="4833"/>
      <c r="B43" s="3379" t="s">
        <v>27</v>
      </c>
      <c r="C43" s="3341"/>
      <c r="D43" s="3341"/>
      <c r="E43" s="3349">
        <f t="shared" si="95"/>
        <v>0</v>
      </c>
      <c r="F43" s="3350" t="e">
        <f t="shared" si="96"/>
        <v>#DIV/0!</v>
      </c>
      <c r="G43" s="3461"/>
      <c r="H43" s="3341"/>
      <c r="I43" s="3341"/>
      <c r="J43" s="3349">
        <f t="shared" si="97"/>
        <v>0</v>
      </c>
      <c r="K43" s="3350" t="e">
        <f t="shared" si="98"/>
        <v>#DIV/0!</v>
      </c>
      <c r="L43" s="3461"/>
      <c r="M43" s="3341"/>
      <c r="N43" s="3341"/>
      <c r="O43" s="3349">
        <f t="shared" si="99"/>
        <v>0</v>
      </c>
      <c r="P43" s="3350" t="e">
        <f t="shared" si="100"/>
        <v>#DIV/0!</v>
      </c>
      <c r="Q43" s="3461"/>
      <c r="R43" s="3342">
        <f t="shared" si="101"/>
        <v>0</v>
      </c>
      <c r="S43" s="3342">
        <f t="shared" si="101"/>
        <v>0</v>
      </c>
      <c r="T43" s="2012">
        <f t="shared" si="102"/>
        <v>0</v>
      </c>
      <c r="U43" s="3462"/>
      <c r="V43" s="3462"/>
      <c r="W43" s="3342">
        <f t="shared" si="103"/>
        <v>0</v>
      </c>
      <c r="X43" s="3342">
        <f t="shared" si="103"/>
        <v>0</v>
      </c>
      <c r="Y43" s="2012">
        <f t="shared" si="104"/>
        <v>0</v>
      </c>
      <c r="Z43" s="3462"/>
      <c r="AA43" s="3462"/>
      <c r="AB43" s="3341"/>
      <c r="AC43" s="3341"/>
      <c r="AD43" s="3349">
        <f t="shared" si="105"/>
        <v>0</v>
      </c>
      <c r="AE43" s="3350" t="e">
        <f t="shared" si="106"/>
        <v>#DIV/0!</v>
      </c>
      <c r="AF43" s="3461"/>
      <c r="AG43" s="3341"/>
      <c r="AH43" s="3341"/>
      <c r="AI43" s="3349">
        <f t="shared" si="107"/>
        <v>0</v>
      </c>
      <c r="AJ43" s="3350" t="e">
        <f t="shared" si="108"/>
        <v>#DIV/0!</v>
      </c>
      <c r="AK43" s="3461"/>
      <c r="AL43" s="3341"/>
      <c r="AM43" s="3341"/>
      <c r="AN43" s="3349">
        <f t="shared" si="109"/>
        <v>0</v>
      </c>
      <c r="AO43" s="3350" t="e">
        <f t="shared" si="110"/>
        <v>#DIV/0!</v>
      </c>
      <c r="AP43" s="3461"/>
      <c r="AQ43" s="3341"/>
      <c r="AR43" s="3341"/>
      <c r="AS43" s="3349">
        <f t="shared" si="111"/>
        <v>0</v>
      </c>
      <c r="AT43" s="3350" t="e">
        <f t="shared" si="112"/>
        <v>#DIV/0!</v>
      </c>
      <c r="AU43" s="3461"/>
      <c r="AV43" s="3341"/>
      <c r="AW43" s="3341"/>
      <c r="AX43" s="3349">
        <f t="shared" si="113"/>
        <v>0</v>
      </c>
      <c r="AY43" s="3350" t="e">
        <f t="shared" si="114"/>
        <v>#DIV/0!</v>
      </c>
      <c r="AZ43" s="3461"/>
      <c r="BA43" s="3341"/>
      <c r="BB43" s="3341"/>
      <c r="BC43" s="3349">
        <f t="shared" si="115"/>
        <v>0</v>
      </c>
      <c r="BD43" s="3350" t="e">
        <f t="shared" si="116"/>
        <v>#DIV/0!</v>
      </c>
      <c r="BE43" s="3461"/>
      <c r="BF43" s="3341"/>
      <c r="BG43" s="3341"/>
      <c r="BH43" s="3349">
        <f t="shared" si="117"/>
        <v>0</v>
      </c>
      <c r="BI43" s="3350" t="e">
        <f t="shared" si="118"/>
        <v>#DIV/0!</v>
      </c>
      <c r="BJ43" s="3461"/>
      <c r="BK43" s="3341"/>
      <c r="BL43" s="3341"/>
      <c r="BM43" s="3349">
        <f t="shared" si="119"/>
        <v>0</v>
      </c>
      <c r="BN43" s="3350" t="e">
        <f t="shared" si="120"/>
        <v>#DIV/0!</v>
      </c>
      <c r="BO43" s="3461"/>
      <c r="BP43" s="3341"/>
      <c r="BQ43" s="3341"/>
      <c r="BR43" s="3349">
        <f t="shared" si="121"/>
        <v>0</v>
      </c>
      <c r="BS43" s="3350" t="e">
        <f t="shared" si="122"/>
        <v>#DIV/0!</v>
      </c>
      <c r="BT43" s="3461"/>
      <c r="BU43" s="3341"/>
      <c r="BV43" s="3341"/>
      <c r="BW43" s="3349">
        <f t="shared" si="123"/>
        <v>0</v>
      </c>
      <c r="BX43" s="3350" t="e">
        <f t="shared" si="124"/>
        <v>#DIV/0!</v>
      </c>
      <c r="BY43" s="3461"/>
      <c r="BZ43" s="3341"/>
      <c r="CA43" s="3341"/>
      <c r="CB43" s="3349">
        <f t="shared" si="125"/>
        <v>0</v>
      </c>
      <c r="CC43" s="3350" t="e">
        <f t="shared" si="126"/>
        <v>#DIV/0!</v>
      </c>
      <c r="CD43" s="3461"/>
      <c r="CE43" s="3341"/>
      <c r="CF43" s="3341"/>
      <c r="CG43" s="3349">
        <f t="shared" si="127"/>
        <v>0</v>
      </c>
      <c r="CH43" s="3350" t="e">
        <f t="shared" si="128"/>
        <v>#DIV/0!</v>
      </c>
      <c r="CI43" s="3461"/>
      <c r="CJ43" s="3341">
        <f t="shared" si="129"/>
        <v>0</v>
      </c>
      <c r="CK43" s="3341">
        <f t="shared" si="129"/>
        <v>0</v>
      </c>
      <c r="CL43" s="2012">
        <f t="shared" si="130"/>
        <v>0</v>
      </c>
      <c r="CM43" s="3350" t="e">
        <f t="shared" si="94"/>
        <v>#DIV/0!</v>
      </c>
      <c r="CN43" s="3360"/>
      <c r="CP43" s="2012">
        <f t="shared" si="131"/>
        <v>0</v>
      </c>
      <c r="CQ43" s="2012">
        <f t="shared" si="131"/>
        <v>0</v>
      </c>
      <c r="CR43" s="3441"/>
    </row>
    <row r="44" spans="1:98" ht="13.8" outlineLevel="2">
      <c r="A44" s="4833"/>
      <c r="B44" s="3372" t="s">
        <v>28</v>
      </c>
      <c r="C44" s="3341"/>
      <c r="D44" s="3341"/>
      <c r="E44" s="3349">
        <f t="shared" si="95"/>
        <v>0</v>
      </c>
      <c r="F44" s="3350" t="e">
        <f t="shared" si="96"/>
        <v>#DIV/0!</v>
      </c>
      <c r="G44" s="3461"/>
      <c r="H44" s="3341"/>
      <c r="I44" s="3341"/>
      <c r="J44" s="3349">
        <f t="shared" si="97"/>
        <v>0</v>
      </c>
      <c r="K44" s="3350" t="e">
        <f t="shared" si="98"/>
        <v>#DIV/0!</v>
      </c>
      <c r="L44" s="3461"/>
      <c r="M44" s="3341"/>
      <c r="N44" s="3341"/>
      <c r="O44" s="3349">
        <f t="shared" si="99"/>
        <v>0</v>
      </c>
      <c r="P44" s="3350" t="e">
        <f t="shared" si="100"/>
        <v>#DIV/0!</v>
      </c>
      <c r="Q44" s="3461"/>
      <c r="R44" s="3342">
        <f t="shared" si="101"/>
        <v>0</v>
      </c>
      <c r="S44" s="3342">
        <f t="shared" si="101"/>
        <v>0</v>
      </c>
      <c r="T44" s="2012">
        <f t="shared" si="102"/>
        <v>0</v>
      </c>
      <c r="U44" s="3462"/>
      <c r="V44" s="3462"/>
      <c r="W44" s="3342">
        <f t="shared" si="103"/>
        <v>0</v>
      </c>
      <c r="X44" s="3342">
        <f t="shared" si="103"/>
        <v>0</v>
      </c>
      <c r="Y44" s="2012">
        <f t="shared" si="104"/>
        <v>0</v>
      </c>
      <c r="Z44" s="3462"/>
      <c r="AA44" s="3462"/>
      <c r="AB44" s="3341"/>
      <c r="AC44" s="3341"/>
      <c r="AD44" s="3349">
        <f t="shared" si="105"/>
        <v>0</v>
      </c>
      <c r="AE44" s="3350" t="e">
        <f t="shared" si="106"/>
        <v>#DIV/0!</v>
      </c>
      <c r="AF44" s="3461"/>
      <c r="AG44" s="3341"/>
      <c r="AH44" s="3341"/>
      <c r="AI44" s="3349">
        <f t="shared" si="107"/>
        <v>0</v>
      </c>
      <c r="AJ44" s="3350" t="e">
        <f t="shared" si="108"/>
        <v>#DIV/0!</v>
      </c>
      <c r="AK44" s="3461"/>
      <c r="AL44" s="3341"/>
      <c r="AM44" s="3341"/>
      <c r="AN44" s="3349">
        <f t="shared" si="109"/>
        <v>0</v>
      </c>
      <c r="AO44" s="3350" t="e">
        <f t="shared" si="110"/>
        <v>#DIV/0!</v>
      </c>
      <c r="AP44" s="3461"/>
      <c r="AQ44" s="3341"/>
      <c r="AR44" s="3341"/>
      <c r="AS44" s="3349">
        <f t="shared" si="111"/>
        <v>0</v>
      </c>
      <c r="AT44" s="3350" t="e">
        <f t="shared" si="112"/>
        <v>#DIV/0!</v>
      </c>
      <c r="AU44" s="3461"/>
      <c r="AV44" s="3341"/>
      <c r="AW44" s="3341"/>
      <c r="AX44" s="3349">
        <f t="shared" si="113"/>
        <v>0</v>
      </c>
      <c r="AY44" s="3350" t="e">
        <f t="shared" si="114"/>
        <v>#DIV/0!</v>
      </c>
      <c r="AZ44" s="3461"/>
      <c r="BA44" s="3341"/>
      <c r="BB44" s="3341"/>
      <c r="BC44" s="3349">
        <f t="shared" si="115"/>
        <v>0</v>
      </c>
      <c r="BD44" s="3350" t="e">
        <f t="shared" si="116"/>
        <v>#DIV/0!</v>
      </c>
      <c r="BE44" s="3461"/>
      <c r="BF44" s="3341"/>
      <c r="BG44" s="3341"/>
      <c r="BH44" s="3349">
        <f t="shared" si="117"/>
        <v>0</v>
      </c>
      <c r="BI44" s="3350" t="e">
        <f t="shared" si="118"/>
        <v>#DIV/0!</v>
      </c>
      <c r="BJ44" s="3461"/>
      <c r="BK44" s="3341"/>
      <c r="BL44" s="3341"/>
      <c r="BM44" s="3349">
        <f t="shared" si="119"/>
        <v>0</v>
      </c>
      <c r="BN44" s="3350" t="e">
        <f t="shared" si="120"/>
        <v>#DIV/0!</v>
      </c>
      <c r="BO44" s="3461"/>
      <c r="BP44" s="3341"/>
      <c r="BQ44" s="3341"/>
      <c r="BR44" s="3349">
        <f t="shared" si="121"/>
        <v>0</v>
      </c>
      <c r="BS44" s="3350" t="e">
        <f t="shared" si="122"/>
        <v>#DIV/0!</v>
      </c>
      <c r="BT44" s="3461"/>
      <c r="BU44" s="3341"/>
      <c r="BV44" s="3341"/>
      <c r="BW44" s="3349">
        <f t="shared" si="123"/>
        <v>0</v>
      </c>
      <c r="BX44" s="3350" t="e">
        <f t="shared" si="124"/>
        <v>#DIV/0!</v>
      </c>
      <c r="BY44" s="3461"/>
      <c r="BZ44" s="3341"/>
      <c r="CA44" s="3341"/>
      <c r="CB44" s="3349">
        <f t="shared" si="125"/>
        <v>0</v>
      </c>
      <c r="CC44" s="3350" t="e">
        <f t="shared" si="126"/>
        <v>#DIV/0!</v>
      </c>
      <c r="CD44" s="3461"/>
      <c r="CE44" s="3341"/>
      <c r="CF44" s="3341"/>
      <c r="CG44" s="3349">
        <f t="shared" si="127"/>
        <v>0</v>
      </c>
      <c r="CH44" s="3350" t="e">
        <f t="shared" si="128"/>
        <v>#DIV/0!</v>
      </c>
      <c r="CI44" s="3461"/>
      <c r="CJ44" s="3341">
        <f t="shared" si="129"/>
        <v>0</v>
      </c>
      <c r="CK44" s="3341">
        <f t="shared" si="129"/>
        <v>0</v>
      </c>
      <c r="CL44" s="2012">
        <f t="shared" si="130"/>
        <v>0</v>
      </c>
      <c r="CM44" s="3350" t="e">
        <f t="shared" si="94"/>
        <v>#DIV/0!</v>
      </c>
      <c r="CN44" s="3360"/>
      <c r="CP44" s="2012">
        <f t="shared" si="131"/>
        <v>0</v>
      </c>
      <c r="CQ44" s="2012">
        <f t="shared" si="131"/>
        <v>0</v>
      </c>
      <c r="CR44" s="3441"/>
    </row>
    <row r="45" spans="1:98" ht="13.8" outlineLevel="2">
      <c r="A45" s="4833"/>
      <c r="B45" s="3379" t="s">
        <v>8</v>
      </c>
      <c r="C45" s="3341"/>
      <c r="D45" s="3341"/>
      <c r="E45" s="3349">
        <f t="shared" si="95"/>
        <v>0</v>
      </c>
      <c r="F45" s="3350" t="e">
        <f t="shared" si="96"/>
        <v>#DIV/0!</v>
      </c>
      <c r="G45" s="3461"/>
      <c r="H45" s="3341"/>
      <c r="I45" s="3341"/>
      <c r="J45" s="3349">
        <f t="shared" si="97"/>
        <v>0</v>
      </c>
      <c r="K45" s="3350" t="e">
        <f t="shared" si="98"/>
        <v>#DIV/0!</v>
      </c>
      <c r="L45" s="3461"/>
      <c r="M45" s="3341"/>
      <c r="N45" s="3341"/>
      <c r="O45" s="3349">
        <f t="shared" si="99"/>
        <v>0</v>
      </c>
      <c r="P45" s="3350" t="e">
        <f t="shared" si="100"/>
        <v>#DIV/0!</v>
      </c>
      <c r="Q45" s="3461"/>
      <c r="R45" s="3342">
        <f t="shared" si="101"/>
        <v>0</v>
      </c>
      <c r="S45" s="3342">
        <f t="shared" si="101"/>
        <v>0</v>
      </c>
      <c r="T45" s="2012">
        <f t="shared" si="102"/>
        <v>0</v>
      </c>
      <c r="U45" s="3462"/>
      <c r="V45" s="3462"/>
      <c r="W45" s="3342">
        <f t="shared" si="103"/>
        <v>0</v>
      </c>
      <c r="X45" s="3342">
        <f t="shared" si="103"/>
        <v>0</v>
      </c>
      <c r="Y45" s="2012">
        <f t="shared" si="104"/>
        <v>0</v>
      </c>
      <c r="Z45" s="3462"/>
      <c r="AA45" s="3462"/>
      <c r="AB45" s="3341"/>
      <c r="AC45" s="3341"/>
      <c r="AD45" s="3349">
        <f t="shared" si="105"/>
        <v>0</v>
      </c>
      <c r="AE45" s="3350" t="e">
        <f t="shared" si="106"/>
        <v>#DIV/0!</v>
      </c>
      <c r="AF45" s="3461"/>
      <c r="AG45" s="3341"/>
      <c r="AH45" s="3341"/>
      <c r="AI45" s="3349">
        <f t="shared" si="107"/>
        <v>0</v>
      </c>
      <c r="AJ45" s="3350" t="e">
        <f t="shared" si="108"/>
        <v>#DIV/0!</v>
      </c>
      <c r="AK45" s="3461"/>
      <c r="AL45" s="3341"/>
      <c r="AM45" s="3341"/>
      <c r="AN45" s="3349">
        <f t="shared" si="109"/>
        <v>0</v>
      </c>
      <c r="AO45" s="3350" t="e">
        <f t="shared" si="110"/>
        <v>#DIV/0!</v>
      </c>
      <c r="AP45" s="3461"/>
      <c r="AQ45" s="3341"/>
      <c r="AR45" s="3341"/>
      <c r="AS45" s="3349">
        <f t="shared" si="111"/>
        <v>0</v>
      </c>
      <c r="AT45" s="3350" t="e">
        <f t="shared" si="112"/>
        <v>#DIV/0!</v>
      </c>
      <c r="AU45" s="3461"/>
      <c r="AV45" s="3341"/>
      <c r="AW45" s="3341"/>
      <c r="AX45" s="3349">
        <f t="shared" si="113"/>
        <v>0</v>
      </c>
      <c r="AY45" s="3350" t="e">
        <f t="shared" si="114"/>
        <v>#DIV/0!</v>
      </c>
      <c r="AZ45" s="3461"/>
      <c r="BA45" s="3341"/>
      <c r="BB45" s="3341"/>
      <c r="BC45" s="3349">
        <f t="shared" si="115"/>
        <v>0</v>
      </c>
      <c r="BD45" s="3350" t="e">
        <f t="shared" si="116"/>
        <v>#DIV/0!</v>
      </c>
      <c r="BE45" s="3461"/>
      <c r="BF45" s="3341"/>
      <c r="BG45" s="3341"/>
      <c r="BH45" s="3349">
        <f t="shared" si="117"/>
        <v>0</v>
      </c>
      <c r="BI45" s="3350" t="e">
        <f t="shared" si="118"/>
        <v>#DIV/0!</v>
      </c>
      <c r="BJ45" s="3461"/>
      <c r="BK45" s="3341"/>
      <c r="BL45" s="3341"/>
      <c r="BM45" s="3349">
        <f t="shared" si="119"/>
        <v>0</v>
      </c>
      <c r="BN45" s="3350" t="e">
        <f t="shared" si="120"/>
        <v>#DIV/0!</v>
      </c>
      <c r="BO45" s="3461"/>
      <c r="BP45" s="3341"/>
      <c r="BQ45" s="3341"/>
      <c r="BR45" s="3349">
        <f t="shared" si="121"/>
        <v>0</v>
      </c>
      <c r="BS45" s="3350" t="e">
        <f t="shared" si="122"/>
        <v>#DIV/0!</v>
      </c>
      <c r="BT45" s="3461"/>
      <c r="BU45" s="3341"/>
      <c r="BV45" s="3341"/>
      <c r="BW45" s="3349">
        <f t="shared" si="123"/>
        <v>0</v>
      </c>
      <c r="BX45" s="3350" t="e">
        <f t="shared" si="124"/>
        <v>#DIV/0!</v>
      </c>
      <c r="BY45" s="3461"/>
      <c r="BZ45" s="3341"/>
      <c r="CA45" s="3341"/>
      <c r="CB45" s="3349">
        <f t="shared" si="125"/>
        <v>0</v>
      </c>
      <c r="CC45" s="3350" t="e">
        <f t="shared" si="126"/>
        <v>#DIV/0!</v>
      </c>
      <c r="CD45" s="3461"/>
      <c r="CE45" s="3341"/>
      <c r="CF45" s="3341"/>
      <c r="CG45" s="3349">
        <f t="shared" si="127"/>
        <v>0</v>
      </c>
      <c r="CH45" s="3350" t="e">
        <f t="shared" si="128"/>
        <v>#DIV/0!</v>
      </c>
      <c r="CI45" s="3461"/>
      <c r="CJ45" s="3341">
        <f t="shared" si="129"/>
        <v>0</v>
      </c>
      <c r="CK45" s="3341">
        <f t="shared" si="129"/>
        <v>0</v>
      </c>
      <c r="CL45" s="2012">
        <f t="shared" si="130"/>
        <v>0</v>
      </c>
      <c r="CM45" s="3350" t="e">
        <f t="shared" si="94"/>
        <v>#DIV/0!</v>
      </c>
      <c r="CN45" s="3360"/>
      <c r="CP45" s="2012">
        <f t="shared" si="131"/>
        <v>0</v>
      </c>
      <c r="CQ45" s="2012">
        <f t="shared" si="131"/>
        <v>0</v>
      </c>
      <c r="CR45" s="3441"/>
    </row>
    <row r="46" spans="1:98" ht="13.8" outlineLevel="2">
      <c r="A46" s="4833"/>
      <c r="B46" s="3379" t="s">
        <v>29</v>
      </c>
      <c r="C46" s="3341"/>
      <c r="D46" s="3341"/>
      <c r="E46" s="3349">
        <f t="shared" si="95"/>
        <v>0</v>
      </c>
      <c r="F46" s="3350" t="e">
        <f t="shared" si="96"/>
        <v>#DIV/0!</v>
      </c>
      <c r="G46" s="3461"/>
      <c r="H46" s="3341"/>
      <c r="I46" s="3341"/>
      <c r="J46" s="3349">
        <f t="shared" si="97"/>
        <v>0</v>
      </c>
      <c r="K46" s="3350" t="e">
        <f t="shared" si="98"/>
        <v>#DIV/0!</v>
      </c>
      <c r="L46" s="3461"/>
      <c r="M46" s="3341"/>
      <c r="N46" s="3341"/>
      <c r="O46" s="3349">
        <f t="shared" si="99"/>
        <v>0</v>
      </c>
      <c r="P46" s="3350" t="e">
        <f t="shared" si="100"/>
        <v>#DIV/0!</v>
      </c>
      <c r="Q46" s="3461"/>
      <c r="R46" s="3342">
        <f t="shared" si="101"/>
        <v>0</v>
      </c>
      <c r="S46" s="3342">
        <f t="shared" si="101"/>
        <v>0</v>
      </c>
      <c r="T46" s="2012">
        <f t="shared" si="102"/>
        <v>0</v>
      </c>
      <c r="U46" s="3462"/>
      <c r="V46" s="3462"/>
      <c r="W46" s="3342">
        <f t="shared" si="103"/>
        <v>0</v>
      </c>
      <c r="X46" s="3342">
        <f t="shared" si="103"/>
        <v>0</v>
      </c>
      <c r="Y46" s="2012">
        <f t="shared" si="104"/>
        <v>0</v>
      </c>
      <c r="Z46" s="3462"/>
      <c r="AA46" s="3462"/>
      <c r="AB46" s="3341"/>
      <c r="AC46" s="3341"/>
      <c r="AD46" s="3349">
        <f t="shared" si="105"/>
        <v>0</v>
      </c>
      <c r="AE46" s="3350" t="e">
        <f t="shared" si="106"/>
        <v>#DIV/0!</v>
      </c>
      <c r="AF46" s="3461"/>
      <c r="AG46" s="3341"/>
      <c r="AH46" s="3341"/>
      <c r="AI46" s="3349">
        <f t="shared" si="107"/>
        <v>0</v>
      </c>
      <c r="AJ46" s="3350" t="e">
        <f t="shared" si="108"/>
        <v>#DIV/0!</v>
      </c>
      <c r="AK46" s="3461"/>
      <c r="AL46" s="3341"/>
      <c r="AM46" s="3341"/>
      <c r="AN46" s="3349">
        <f t="shared" si="109"/>
        <v>0</v>
      </c>
      <c r="AO46" s="3350" t="e">
        <f t="shared" si="110"/>
        <v>#DIV/0!</v>
      </c>
      <c r="AP46" s="3461"/>
      <c r="AQ46" s="3341"/>
      <c r="AR46" s="3341"/>
      <c r="AS46" s="3349">
        <f t="shared" si="111"/>
        <v>0</v>
      </c>
      <c r="AT46" s="3350" t="e">
        <f t="shared" si="112"/>
        <v>#DIV/0!</v>
      </c>
      <c r="AU46" s="3461"/>
      <c r="AV46" s="3341"/>
      <c r="AW46" s="3341"/>
      <c r="AX46" s="3349">
        <f t="shared" si="113"/>
        <v>0</v>
      </c>
      <c r="AY46" s="3350" t="e">
        <f t="shared" si="114"/>
        <v>#DIV/0!</v>
      </c>
      <c r="AZ46" s="3461"/>
      <c r="BA46" s="3341"/>
      <c r="BB46" s="3341"/>
      <c r="BC46" s="3349">
        <f t="shared" si="115"/>
        <v>0</v>
      </c>
      <c r="BD46" s="3350" t="e">
        <f t="shared" si="116"/>
        <v>#DIV/0!</v>
      </c>
      <c r="BE46" s="3461"/>
      <c r="BF46" s="3341"/>
      <c r="BG46" s="3341"/>
      <c r="BH46" s="3349">
        <f t="shared" si="117"/>
        <v>0</v>
      </c>
      <c r="BI46" s="3350" t="e">
        <f t="shared" si="118"/>
        <v>#DIV/0!</v>
      </c>
      <c r="BJ46" s="3461"/>
      <c r="BK46" s="3341"/>
      <c r="BL46" s="3341"/>
      <c r="BM46" s="3349">
        <f t="shared" si="119"/>
        <v>0</v>
      </c>
      <c r="BN46" s="3350" t="e">
        <f t="shared" si="120"/>
        <v>#DIV/0!</v>
      </c>
      <c r="BO46" s="3461"/>
      <c r="BP46" s="3341"/>
      <c r="BQ46" s="3341"/>
      <c r="BR46" s="3349">
        <f t="shared" si="121"/>
        <v>0</v>
      </c>
      <c r="BS46" s="3350" t="e">
        <f t="shared" si="122"/>
        <v>#DIV/0!</v>
      </c>
      <c r="BT46" s="3461"/>
      <c r="BU46" s="3341"/>
      <c r="BV46" s="3341"/>
      <c r="BW46" s="3349">
        <f t="shared" si="123"/>
        <v>0</v>
      </c>
      <c r="BX46" s="3350" t="e">
        <f t="shared" si="124"/>
        <v>#DIV/0!</v>
      </c>
      <c r="BY46" s="3461"/>
      <c r="BZ46" s="3341"/>
      <c r="CA46" s="3341"/>
      <c r="CB46" s="3349">
        <f t="shared" si="125"/>
        <v>0</v>
      </c>
      <c r="CC46" s="3350" t="e">
        <f t="shared" si="126"/>
        <v>#DIV/0!</v>
      </c>
      <c r="CD46" s="3461"/>
      <c r="CE46" s="3341"/>
      <c r="CF46" s="3341"/>
      <c r="CG46" s="3349">
        <f t="shared" si="127"/>
        <v>0</v>
      </c>
      <c r="CH46" s="3350" t="e">
        <f t="shared" si="128"/>
        <v>#DIV/0!</v>
      </c>
      <c r="CI46" s="3461"/>
      <c r="CJ46" s="3341">
        <f t="shared" si="129"/>
        <v>0</v>
      </c>
      <c r="CK46" s="3341">
        <f t="shared" si="129"/>
        <v>0</v>
      </c>
      <c r="CL46" s="2012">
        <f t="shared" si="130"/>
        <v>0</v>
      </c>
      <c r="CM46" s="3350" t="e">
        <f t="shared" si="94"/>
        <v>#DIV/0!</v>
      </c>
      <c r="CN46" s="3360"/>
      <c r="CP46" s="2012">
        <f t="shared" si="131"/>
        <v>0</v>
      </c>
      <c r="CQ46" s="2012">
        <f t="shared" si="131"/>
        <v>0</v>
      </c>
      <c r="CR46" s="3441"/>
    </row>
    <row r="47" spans="1:98" ht="13.8" outlineLevel="2">
      <c r="A47" s="4833"/>
      <c r="B47" s="3379" t="s">
        <v>30</v>
      </c>
      <c r="C47" s="3341"/>
      <c r="D47" s="3341"/>
      <c r="E47" s="3349">
        <f t="shared" si="95"/>
        <v>0</v>
      </c>
      <c r="F47" s="3350" t="e">
        <f t="shared" si="96"/>
        <v>#DIV/0!</v>
      </c>
      <c r="G47" s="3461"/>
      <c r="H47" s="3341"/>
      <c r="I47" s="3341"/>
      <c r="J47" s="3349">
        <f t="shared" si="97"/>
        <v>0</v>
      </c>
      <c r="K47" s="3350" t="e">
        <f t="shared" si="98"/>
        <v>#DIV/0!</v>
      </c>
      <c r="L47" s="3461"/>
      <c r="M47" s="3341"/>
      <c r="N47" s="3341"/>
      <c r="O47" s="3349">
        <f t="shared" si="99"/>
        <v>0</v>
      </c>
      <c r="P47" s="3350" t="e">
        <f t="shared" si="100"/>
        <v>#DIV/0!</v>
      </c>
      <c r="Q47" s="3461"/>
      <c r="R47" s="3342">
        <f t="shared" si="101"/>
        <v>0</v>
      </c>
      <c r="S47" s="3342">
        <f t="shared" si="101"/>
        <v>0</v>
      </c>
      <c r="T47" s="2012">
        <f t="shared" si="102"/>
        <v>0</v>
      </c>
      <c r="U47" s="3462"/>
      <c r="V47" s="3462"/>
      <c r="W47" s="3342">
        <f t="shared" si="103"/>
        <v>0</v>
      </c>
      <c r="X47" s="3342">
        <f t="shared" si="103"/>
        <v>0</v>
      </c>
      <c r="Y47" s="2012">
        <f t="shared" si="104"/>
        <v>0</v>
      </c>
      <c r="Z47" s="3462"/>
      <c r="AA47" s="3462"/>
      <c r="AB47" s="3341"/>
      <c r="AC47" s="3341"/>
      <c r="AD47" s="3349">
        <f t="shared" si="105"/>
        <v>0</v>
      </c>
      <c r="AE47" s="3350" t="e">
        <f t="shared" si="106"/>
        <v>#DIV/0!</v>
      </c>
      <c r="AF47" s="3461"/>
      <c r="AG47" s="3341"/>
      <c r="AH47" s="3341"/>
      <c r="AI47" s="3349">
        <f t="shared" si="107"/>
        <v>0</v>
      </c>
      <c r="AJ47" s="3350" t="e">
        <f t="shared" si="108"/>
        <v>#DIV/0!</v>
      </c>
      <c r="AK47" s="3461"/>
      <c r="AL47" s="3341"/>
      <c r="AM47" s="3341"/>
      <c r="AN47" s="3349">
        <f t="shared" si="109"/>
        <v>0</v>
      </c>
      <c r="AO47" s="3350" t="e">
        <f t="shared" si="110"/>
        <v>#DIV/0!</v>
      </c>
      <c r="AP47" s="3461"/>
      <c r="AQ47" s="3341"/>
      <c r="AR47" s="3341"/>
      <c r="AS47" s="3349">
        <f t="shared" si="111"/>
        <v>0</v>
      </c>
      <c r="AT47" s="3350" t="e">
        <f t="shared" si="112"/>
        <v>#DIV/0!</v>
      </c>
      <c r="AU47" s="3461"/>
      <c r="AV47" s="3341"/>
      <c r="AW47" s="3341"/>
      <c r="AX47" s="3349">
        <f t="shared" si="113"/>
        <v>0</v>
      </c>
      <c r="AY47" s="3350" t="e">
        <f t="shared" si="114"/>
        <v>#DIV/0!</v>
      </c>
      <c r="AZ47" s="3461"/>
      <c r="BA47" s="3341"/>
      <c r="BB47" s="3341"/>
      <c r="BC47" s="3349">
        <f t="shared" si="115"/>
        <v>0</v>
      </c>
      <c r="BD47" s="3350" t="e">
        <f t="shared" si="116"/>
        <v>#DIV/0!</v>
      </c>
      <c r="BE47" s="3461"/>
      <c r="BF47" s="3341"/>
      <c r="BG47" s="3341"/>
      <c r="BH47" s="3349">
        <f t="shared" si="117"/>
        <v>0</v>
      </c>
      <c r="BI47" s="3350" t="e">
        <f t="shared" si="118"/>
        <v>#DIV/0!</v>
      </c>
      <c r="BJ47" s="3461"/>
      <c r="BK47" s="3341"/>
      <c r="BL47" s="3341"/>
      <c r="BM47" s="3349">
        <f t="shared" si="119"/>
        <v>0</v>
      </c>
      <c r="BN47" s="3350" t="e">
        <f t="shared" si="120"/>
        <v>#DIV/0!</v>
      </c>
      <c r="BO47" s="3461"/>
      <c r="BP47" s="3341"/>
      <c r="BQ47" s="3341"/>
      <c r="BR47" s="3349">
        <f t="shared" si="121"/>
        <v>0</v>
      </c>
      <c r="BS47" s="3350" t="e">
        <f t="shared" si="122"/>
        <v>#DIV/0!</v>
      </c>
      <c r="BT47" s="3461"/>
      <c r="BU47" s="3341"/>
      <c r="BV47" s="3341"/>
      <c r="BW47" s="3349">
        <f t="shared" si="123"/>
        <v>0</v>
      </c>
      <c r="BX47" s="3350" t="e">
        <f t="shared" si="124"/>
        <v>#DIV/0!</v>
      </c>
      <c r="BY47" s="3461"/>
      <c r="BZ47" s="3341"/>
      <c r="CA47" s="3341"/>
      <c r="CB47" s="3349">
        <f t="shared" si="125"/>
        <v>0</v>
      </c>
      <c r="CC47" s="3350" t="e">
        <f t="shared" si="126"/>
        <v>#DIV/0!</v>
      </c>
      <c r="CD47" s="3461"/>
      <c r="CE47" s="3341"/>
      <c r="CF47" s="3341"/>
      <c r="CG47" s="3349">
        <f t="shared" si="127"/>
        <v>0</v>
      </c>
      <c r="CH47" s="3350" t="e">
        <f t="shared" si="128"/>
        <v>#DIV/0!</v>
      </c>
      <c r="CI47" s="3461"/>
      <c r="CJ47" s="3341">
        <f t="shared" si="129"/>
        <v>0</v>
      </c>
      <c r="CK47" s="3341">
        <f t="shared" si="129"/>
        <v>0</v>
      </c>
      <c r="CL47" s="2012">
        <f t="shared" si="130"/>
        <v>0</v>
      </c>
      <c r="CM47" s="3350" t="e">
        <f t="shared" si="94"/>
        <v>#DIV/0!</v>
      </c>
      <c r="CN47" s="3360"/>
      <c r="CP47" s="2012">
        <f t="shared" si="131"/>
        <v>0</v>
      </c>
      <c r="CQ47" s="2012">
        <f t="shared" si="131"/>
        <v>0</v>
      </c>
      <c r="CR47" s="3441"/>
    </row>
    <row r="48" spans="1:98" ht="13.8" outlineLevel="2">
      <c r="A48" s="4833"/>
      <c r="B48" s="3379" t="s">
        <v>15</v>
      </c>
      <c r="C48" s="3341"/>
      <c r="D48" s="3341"/>
      <c r="E48" s="3349">
        <f t="shared" si="95"/>
        <v>0</v>
      </c>
      <c r="F48" s="3350" t="e">
        <f t="shared" si="96"/>
        <v>#DIV/0!</v>
      </c>
      <c r="G48" s="3461"/>
      <c r="H48" s="3341"/>
      <c r="I48" s="3341"/>
      <c r="J48" s="3349">
        <f t="shared" si="97"/>
        <v>0</v>
      </c>
      <c r="K48" s="3350" t="e">
        <f t="shared" si="98"/>
        <v>#DIV/0!</v>
      </c>
      <c r="L48" s="3461"/>
      <c r="M48" s="3341"/>
      <c r="N48" s="3341"/>
      <c r="O48" s="3349">
        <f t="shared" si="99"/>
        <v>0</v>
      </c>
      <c r="P48" s="3350" t="e">
        <f t="shared" si="100"/>
        <v>#DIV/0!</v>
      </c>
      <c r="Q48" s="3461"/>
      <c r="R48" s="3342">
        <f t="shared" si="101"/>
        <v>0</v>
      </c>
      <c r="S48" s="3342">
        <f t="shared" si="101"/>
        <v>0</v>
      </c>
      <c r="T48" s="2012">
        <f t="shared" si="102"/>
        <v>0</v>
      </c>
      <c r="U48" s="3730"/>
      <c r="V48" s="3461"/>
      <c r="W48" s="3731">
        <f t="shared" si="103"/>
        <v>0</v>
      </c>
      <c r="X48" s="3731">
        <f t="shared" si="103"/>
        <v>0</v>
      </c>
      <c r="Y48" s="3463">
        <f t="shared" si="104"/>
        <v>0</v>
      </c>
      <c r="Z48" s="3461"/>
      <c r="AA48" s="3461"/>
      <c r="AB48" s="3447"/>
      <c r="AC48" s="3447"/>
      <c r="AD48" s="3732">
        <f t="shared" si="105"/>
        <v>0</v>
      </c>
      <c r="AE48" s="3350" t="e">
        <f t="shared" si="106"/>
        <v>#DIV/0!</v>
      </c>
      <c r="AF48" s="3461"/>
      <c r="AG48" s="3447"/>
      <c r="AH48" s="3341"/>
      <c r="AI48" s="3349">
        <f t="shared" si="107"/>
        <v>0</v>
      </c>
      <c r="AJ48" s="3350" t="e">
        <f t="shared" si="108"/>
        <v>#DIV/0!</v>
      </c>
      <c r="AK48" s="3461"/>
      <c r="AL48" s="3341"/>
      <c r="AM48" s="3341"/>
      <c r="AN48" s="3349">
        <f t="shared" si="109"/>
        <v>0</v>
      </c>
      <c r="AO48" s="3350" t="e">
        <f t="shared" si="110"/>
        <v>#DIV/0!</v>
      </c>
      <c r="AP48" s="3461"/>
      <c r="AQ48" s="3341"/>
      <c r="AR48" s="3341"/>
      <c r="AS48" s="3349">
        <f t="shared" si="111"/>
        <v>0</v>
      </c>
      <c r="AT48" s="3350" t="e">
        <f t="shared" si="112"/>
        <v>#DIV/0!</v>
      </c>
      <c r="AU48" s="3461"/>
      <c r="AV48" s="3341"/>
      <c r="AW48" s="3341"/>
      <c r="AX48" s="3349">
        <f t="shared" si="113"/>
        <v>0</v>
      </c>
      <c r="AY48" s="3350" t="e">
        <f t="shared" si="114"/>
        <v>#DIV/0!</v>
      </c>
      <c r="AZ48" s="3461"/>
      <c r="BA48" s="3341"/>
      <c r="BB48" s="3341"/>
      <c r="BC48" s="3349">
        <f t="shared" si="115"/>
        <v>0</v>
      </c>
      <c r="BD48" s="3350" t="e">
        <f t="shared" si="116"/>
        <v>#DIV/0!</v>
      </c>
      <c r="BE48" s="3461"/>
      <c r="BF48" s="3341"/>
      <c r="BG48" s="3341"/>
      <c r="BH48" s="3349">
        <f t="shared" si="117"/>
        <v>0</v>
      </c>
      <c r="BI48" s="3350" t="e">
        <f t="shared" si="118"/>
        <v>#DIV/0!</v>
      </c>
      <c r="BJ48" s="3461"/>
      <c r="BK48" s="3341"/>
      <c r="BL48" s="3341"/>
      <c r="BM48" s="3349">
        <f t="shared" si="119"/>
        <v>0</v>
      </c>
      <c r="BN48" s="3350" t="e">
        <f t="shared" si="120"/>
        <v>#DIV/0!</v>
      </c>
      <c r="BO48" s="3461"/>
      <c r="BP48" s="3341"/>
      <c r="BQ48" s="3341"/>
      <c r="BR48" s="3349">
        <f t="shared" si="121"/>
        <v>0</v>
      </c>
      <c r="BS48" s="3350" t="e">
        <f t="shared" si="122"/>
        <v>#DIV/0!</v>
      </c>
      <c r="BT48" s="3461"/>
      <c r="BU48" s="3341"/>
      <c r="BV48" s="3341"/>
      <c r="BW48" s="3349">
        <f t="shared" si="123"/>
        <v>0</v>
      </c>
      <c r="BX48" s="3350" t="e">
        <f t="shared" si="124"/>
        <v>#DIV/0!</v>
      </c>
      <c r="BY48" s="3461"/>
      <c r="BZ48" s="3341"/>
      <c r="CA48" s="3341"/>
      <c r="CB48" s="3349">
        <f t="shared" si="125"/>
        <v>0</v>
      </c>
      <c r="CC48" s="3350" t="e">
        <f t="shared" si="126"/>
        <v>#DIV/0!</v>
      </c>
      <c r="CD48" s="3461"/>
      <c r="CE48" s="3341"/>
      <c r="CF48" s="3341"/>
      <c r="CG48" s="3349">
        <f t="shared" si="127"/>
        <v>0</v>
      </c>
      <c r="CH48" s="3350" t="e">
        <f t="shared" si="128"/>
        <v>#DIV/0!</v>
      </c>
      <c r="CI48" s="3461"/>
      <c r="CJ48" s="3341">
        <f t="shared" si="129"/>
        <v>0</v>
      </c>
      <c r="CK48" s="3341">
        <f t="shared" si="129"/>
        <v>0</v>
      </c>
      <c r="CL48" s="2012">
        <f t="shared" si="130"/>
        <v>0</v>
      </c>
      <c r="CM48" s="3350" t="e">
        <f t="shared" si="94"/>
        <v>#DIV/0!</v>
      </c>
      <c r="CN48" s="3360"/>
      <c r="CP48" s="2012">
        <f t="shared" si="131"/>
        <v>0</v>
      </c>
      <c r="CQ48" s="2012">
        <f t="shared" si="131"/>
        <v>0</v>
      </c>
      <c r="CR48" s="3441"/>
    </row>
    <row r="49" spans="1:98" s="1396" customFormat="1" ht="14.4" outlineLevel="2" thickBot="1">
      <c r="A49" s="1405"/>
      <c r="B49" s="3380"/>
      <c r="C49" s="3341"/>
      <c r="D49" s="3341"/>
      <c r="E49" s="3374"/>
      <c r="F49" s="3005"/>
      <c r="G49" s="3746"/>
      <c r="H49" s="3341"/>
      <c r="I49" s="3341"/>
      <c r="J49" s="3374"/>
      <c r="K49" s="3005"/>
      <c r="L49" s="3746"/>
      <c r="M49" s="3341"/>
      <c r="N49" s="3341"/>
      <c r="O49" s="3374"/>
      <c r="P49" s="3005"/>
      <c r="Q49" s="3746"/>
      <c r="R49" s="3456"/>
      <c r="S49" s="3456"/>
      <c r="T49" s="3456"/>
      <c r="U49" s="3733"/>
      <c r="V49" s="3734"/>
      <c r="W49" s="3734"/>
      <c r="X49" s="3734"/>
      <c r="Y49" s="3734"/>
      <c r="Z49" s="3734"/>
      <c r="AA49" s="3734"/>
      <c r="AB49" s="3375"/>
      <c r="AC49" s="3375"/>
      <c r="AD49" s="3374"/>
      <c r="AE49" s="3005" t="e">
        <f t="shared" si="106"/>
        <v>#DIV/0!</v>
      </c>
      <c r="AF49" s="3746"/>
      <c r="AG49" s="3375"/>
      <c r="AH49" s="3341"/>
      <c r="AI49" s="3374"/>
      <c r="AJ49" s="3005" t="e">
        <f t="shared" si="108"/>
        <v>#DIV/0!</v>
      </c>
      <c r="AK49" s="3746"/>
      <c r="AL49" s="3341"/>
      <c r="AM49" s="3341"/>
      <c r="AN49" s="3374"/>
      <c r="AO49" s="3005" t="e">
        <f t="shared" si="110"/>
        <v>#DIV/0!</v>
      </c>
      <c r="AP49" s="3746"/>
      <c r="AQ49" s="3341"/>
      <c r="AR49" s="3341"/>
      <c r="AS49" s="3374"/>
      <c r="AT49" s="3005" t="e">
        <f t="shared" si="112"/>
        <v>#DIV/0!</v>
      </c>
      <c r="AU49" s="3746"/>
      <c r="AV49" s="3341"/>
      <c r="AW49" s="3341"/>
      <c r="AX49" s="3374"/>
      <c r="AY49" s="3005" t="e">
        <f t="shared" si="114"/>
        <v>#DIV/0!</v>
      </c>
      <c r="AZ49" s="3746"/>
      <c r="BA49" s="3341"/>
      <c r="BB49" s="3341"/>
      <c r="BC49" s="3374"/>
      <c r="BD49" s="3005" t="e">
        <f t="shared" si="116"/>
        <v>#DIV/0!</v>
      </c>
      <c r="BE49" s="3746"/>
      <c r="BF49" s="3341"/>
      <c r="BG49" s="3341"/>
      <c r="BH49" s="3374"/>
      <c r="BI49" s="3005" t="e">
        <f t="shared" si="118"/>
        <v>#DIV/0!</v>
      </c>
      <c r="BJ49" s="3746"/>
      <c r="BK49" s="3341"/>
      <c r="BL49" s="3341"/>
      <c r="BM49" s="3374"/>
      <c r="BN49" s="3005" t="e">
        <f t="shared" si="120"/>
        <v>#DIV/0!</v>
      </c>
      <c r="BO49" s="3746"/>
      <c r="BP49" s="3341"/>
      <c r="BQ49" s="3341"/>
      <c r="BR49" s="3374"/>
      <c r="BS49" s="3005" t="e">
        <f t="shared" si="122"/>
        <v>#DIV/0!</v>
      </c>
      <c r="BT49" s="3746"/>
      <c r="BU49" s="3341"/>
      <c r="BV49" s="3341"/>
      <c r="BW49" s="3374"/>
      <c r="BX49" s="3005" t="e">
        <f t="shared" si="124"/>
        <v>#DIV/0!</v>
      </c>
      <c r="BY49" s="3746"/>
      <c r="BZ49" s="3341"/>
      <c r="CA49" s="3341"/>
      <c r="CB49" s="3374"/>
      <c r="CC49" s="3005" t="e">
        <f t="shared" si="126"/>
        <v>#DIV/0!</v>
      </c>
      <c r="CD49" s="3746"/>
      <c r="CE49" s="3341"/>
      <c r="CF49" s="3341"/>
      <c r="CG49" s="3374"/>
      <c r="CH49" s="3005" t="e">
        <f t="shared" si="128"/>
        <v>#DIV/0!</v>
      </c>
      <c r="CI49" s="3746"/>
      <c r="CJ49" s="3341"/>
      <c r="CK49" s="3341"/>
      <c r="CL49" s="3374"/>
      <c r="CM49" s="3350" t="e">
        <f t="shared" si="94"/>
        <v>#DIV/0!</v>
      </c>
      <c r="CN49" s="3374"/>
      <c r="CP49" s="3457"/>
      <c r="CQ49" s="3457"/>
      <c r="CR49" s="3441"/>
      <c r="CT49" s="2624"/>
    </row>
    <row r="50" spans="1:98" s="1396" customFormat="1" ht="13.8" outlineLevel="1">
      <c r="A50" s="1565"/>
      <c r="B50" s="1410" t="s">
        <v>59</v>
      </c>
      <c r="C50" s="2015">
        <f>C52+C51</f>
        <v>0</v>
      </c>
      <c r="D50" s="2015">
        <f>D52+D51</f>
        <v>0</v>
      </c>
      <c r="E50" s="2014">
        <f>SUM(E51:E52)</f>
        <v>0</v>
      </c>
      <c r="F50" s="3378" t="e">
        <f>E50/$E$89</f>
        <v>#DIV/0!</v>
      </c>
      <c r="G50" s="1057"/>
      <c r="H50" s="2015">
        <f>H52+H51</f>
        <v>0</v>
      </c>
      <c r="I50" s="2015">
        <f>I52+I51</f>
        <v>0</v>
      </c>
      <c r="J50" s="2014">
        <f>SUM(J51:J52)</f>
        <v>0</v>
      </c>
      <c r="K50" s="3378" t="e">
        <f>J50/$E$89</f>
        <v>#DIV/0!</v>
      </c>
      <c r="L50" s="1057"/>
      <c r="M50" s="2015">
        <f>M52+M51</f>
        <v>0</v>
      </c>
      <c r="N50" s="2015">
        <f>N52+N51</f>
        <v>0</v>
      </c>
      <c r="O50" s="2014">
        <f>SUM(O51:O52)</f>
        <v>0</v>
      </c>
      <c r="P50" s="3378" t="e">
        <f>O50/$E$89</f>
        <v>#DIV/0!</v>
      </c>
      <c r="Q50" s="1057"/>
      <c r="R50" s="2015">
        <f>R52+R51</f>
        <v>0</v>
      </c>
      <c r="S50" s="2015">
        <f>S52+S51</f>
        <v>0</v>
      </c>
      <c r="T50" s="2015">
        <f>SUM(T51:T52)</f>
        <v>0</v>
      </c>
      <c r="U50" s="1535"/>
      <c r="V50" s="3460"/>
      <c r="W50" s="2013">
        <f>W52+W51</f>
        <v>0</v>
      </c>
      <c r="X50" s="2013">
        <f>X52+X51</f>
        <v>0</v>
      </c>
      <c r="Y50" s="2013">
        <f>SUM(Y51:Y52)</f>
        <v>0</v>
      </c>
      <c r="Z50" s="1535"/>
      <c r="AA50" s="3460"/>
      <c r="AB50" s="2013">
        <f>AB52+AB51</f>
        <v>0</v>
      </c>
      <c r="AC50" s="2013">
        <f>AC52+AC51</f>
        <v>0</v>
      </c>
      <c r="AD50" s="2013">
        <f>SUM(AD51:AD52)</f>
        <v>0</v>
      </c>
      <c r="AE50" s="1535"/>
      <c r="AF50" s="3735"/>
      <c r="AG50" s="2013">
        <f>AG52+AG51</f>
        <v>0</v>
      </c>
      <c r="AH50" s="2015">
        <f>AH52+AH51</f>
        <v>0</v>
      </c>
      <c r="AI50" s="2015">
        <f>SUM(AI51:AI52)</f>
        <v>0</v>
      </c>
      <c r="AJ50" s="1535"/>
      <c r="AK50" s="1057"/>
      <c r="AL50" s="2015">
        <f>AL52+AL51</f>
        <v>0</v>
      </c>
      <c r="AM50" s="2015">
        <f>AM52+AM51</f>
        <v>0</v>
      </c>
      <c r="AN50" s="2015">
        <f>SUM(AN51:AN52)</f>
        <v>0</v>
      </c>
      <c r="AO50" s="1535"/>
      <c r="AP50" s="1057"/>
      <c r="AQ50" s="2015">
        <f>AQ52+AQ51</f>
        <v>0</v>
      </c>
      <c r="AR50" s="2015">
        <f>AR52+AR51</f>
        <v>0</v>
      </c>
      <c r="AS50" s="2015">
        <f>SUM(AS51:AS52)</f>
        <v>0</v>
      </c>
      <c r="AT50" s="1535"/>
      <c r="AU50" s="1057"/>
      <c r="AV50" s="2015">
        <f>AV52+AV51</f>
        <v>0</v>
      </c>
      <c r="AW50" s="2015">
        <f>AW52+AW51</f>
        <v>0</v>
      </c>
      <c r="AX50" s="2015">
        <f>SUM(AX51:AX52)</f>
        <v>0</v>
      </c>
      <c r="AY50" s="1535"/>
      <c r="AZ50" s="1057"/>
      <c r="BA50" s="2015">
        <f>BA52+BA51</f>
        <v>0</v>
      </c>
      <c r="BB50" s="2015">
        <f>BB52+BB51</f>
        <v>0</v>
      </c>
      <c r="BC50" s="2015">
        <f>SUM(BC51:BC52)</f>
        <v>0</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0</v>
      </c>
      <c r="CK50" s="2015">
        <f>CK52+CK51</f>
        <v>0</v>
      </c>
      <c r="CL50" s="2015">
        <f>SUM(CL51:CL52)</f>
        <v>0</v>
      </c>
      <c r="CM50" s="2006"/>
      <c r="CN50" s="2006"/>
      <c r="CP50" s="2015">
        <f>SUM(CP51:CP52)</f>
        <v>0</v>
      </c>
      <c r="CQ50" s="2015">
        <f>SUM(CQ51:CQ52)</f>
        <v>0</v>
      </c>
      <c r="CR50" s="2015"/>
      <c r="CT50" s="2624"/>
    </row>
    <row r="51" spans="1:98" s="1396" customFormat="1" ht="13.8" outlineLevel="1">
      <c r="A51" s="1566"/>
      <c r="B51" s="3379" t="s">
        <v>60</v>
      </c>
      <c r="C51" s="3341"/>
      <c r="D51" s="3341"/>
      <c r="E51" s="3349">
        <f t="shared" ref="E51:E52" si="132">C51+D51</f>
        <v>0</v>
      </c>
      <c r="F51" s="3350" t="e">
        <f t="shared" ref="F51:F71" si="133">E51/$E$89</f>
        <v>#DIV/0!</v>
      </c>
      <c r="G51" s="3454"/>
      <c r="H51" s="3341"/>
      <c r="I51" s="3341"/>
      <c r="J51" s="3349">
        <f>H51+I51</f>
        <v>0</v>
      </c>
      <c r="K51" s="3350" t="e">
        <f t="shared" ref="K51:K52" si="134">J51/J$89</f>
        <v>#DIV/0!</v>
      </c>
      <c r="L51" s="3454"/>
      <c r="M51" s="3341"/>
      <c r="N51" s="3341"/>
      <c r="O51" s="3349">
        <f t="shared" ref="O51:O52" si="135">M51+N51</f>
        <v>0</v>
      </c>
      <c r="P51" s="3350" t="e">
        <f t="shared" ref="P51:P53" si="136">O51/O$89</f>
        <v>#DIV/0!</v>
      </c>
      <c r="Q51" s="3454"/>
      <c r="R51" s="3342">
        <f t="shared" ref="R51:S52" si="137">M51+H51+C51</f>
        <v>0</v>
      </c>
      <c r="S51" s="3342">
        <f t="shared" si="137"/>
        <v>0</v>
      </c>
      <c r="T51" s="2012">
        <f t="shared" ref="T51:T52" si="138">R51+S51</f>
        <v>0</v>
      </c>
      <c r="U51" s="3455"/>
      <c r="V51" s="3455"/>
      <c r="W51" s="3342">
        <f t="shared" ref="W51:X52" si="139">AB51+AG51+AL51+AV51+BA51+BF51+BK51+BP51+BU51+BZ51+CE51+AQ51</f>
        <v>0</v>
      </c>
      <c r="X51" s="3342">
        <f t="shared" si="139"/>
        <v>0</v>
      </c>
      <c r="Y51" s="2012">
        <f t="shared" ref="Y51:Y52" si="140">W51+X51</f>
        <v>0</v>
      </c>
      <c r="Z51" s="3455"/>
      <c r="AA51" s="3455"/>
      <c r="AB51" s="3341"/>
      <c r="AC51" s="3341"/>
      <c r="AD51" s="3349">
        <f t="shared" ref="AD51:AD52" si="141">AB51+AC51</f>
        <v>0</v>
      </c>
      <c r="AE51" s="3350" t="e">
        <f t="shared" ref="AE51:AE53" si="142">AD51/AD$89</f>
        <v>#DIV/0!</v>
      </c>
      <c r="AF51" s="3454"/>
      <c r="AG51" s="3341"/>
      <c r="AH51" s="3341"/>
      <c r="AI51" s="3349">
        <f t="shared" ref="AI51:AI52" si="143">AG51+AH51</f>
        <v>0</v>
      </c>
      <c r="AJ51" s="3350" t="e">
        <f t="shared" ref="AJ51:AJ53" si="144">AI51/AI$89</f>
        <v>#DIV/0!</v>
      </c>
      <c r="AK51" s="3454"/>
      <c r="AL51" s="3341"/>
      <c r="AM51" s="3341"/>
      <c r="AN51" s="3349">
        <f t="shared" ref="AN51:AN52" si="145">AL51+AM51</f>
        <v>0</v>
      </c>
      <c r="AO51" s="3350" t="e">
        <f t="shared" ref="AO51:AO53" si="146">AN51/AN$89</f>
        <v>#DIV/0!</v>
      </c>
      <c r="AP51" s="3454"/>
      <c r="AQ51" s="3341"/>
      <c r="AR51" s="3341"/>
      <c r="AS51" s="3349">
        <f t="shared" ref="AS51:AS52" si="147">AQ51+AR51</f>
        <v>0</v>
      </c>
      <c r="AT51" s="3350" t="e">
        <f t="shared" ref="AT51:AT53" si="148">AS51/AS$89</f>
        <v>#DIV/0!</v>
      </c>
      <c r="AU51" s="3454"/>
      <c r="AV51" s="3341"/>
      <c r="AW51" s="3341"/>
      <c r="AX51" s="3349">
        <f t="shared" ref="AX51:AX52" si="149">AV51+AW51</f>
        <v>0</v>
      </c>
      <c r="AY51" s="3350" t="e">
        <f t="shared" ref="AY51:AY53" si="150">AX51/AX$89</f>
        <v>#DIV/0!</v>
      </c>
      <c r="AZ51" s="3454"/>
      <c r="BA51" s="3341"/>
      <c r="BB51" s="3341"/>
      <c r="BC51" s="3349">
        <f t="shared" ref="BC51:BC52" si="151">BA51+BB51</f>
        <v>0</v>
      </c>
      <c r="BD51" s="3350" t="e">
        <f t="shared" ref="BD51:BD53" si="152">BC51/BC$89</f>
        <v>#DIV/0!</v>
      </c>
      <c r="BE51" s="3454"/>
      <c r="BF51" s="3341"/>
      <c r="BG51" s="3341"/>
      <c r="BH51" s="3349">
        <f t="shared" ref="BH51:BH52" si="153">BF51+BG51</f>
        <v>0</v>
      </c>
      <c r="BI51" s="3350" t="e">
        <f t="shared" ref="BI51:BI53" si="154">BH51/BH$89</f>
        <v>#DIV/0!</v>
      </c>
      <c r="BJ51" s="3454"/>
      <c r="BK51" s="3341"/>
      <c r="BL51" s="3341"/>
      <c r="BM51" s="3349">
        <f t="shared" ref="BM51:BM52" si="155">BK51+BL51</f>
        <v>0</v>
      </c>
      <c r="BN51" s="3350" t="e">
        <f t="shared" ref="BN51:BN53" si="156">BM51/BM$89</f>
        <v>#DIV/0!</v>
      </c>
      <c r="BO51" s="3454"/>
      <c r="BP51" s="3341"/>
      <c r="BQ51" s="3341"/>
      <c r="BR51" s="3349">
        <f t="shared" ref="BR51:BR52" si="157">BP51+BQ51</f>
        <v>0</v>
      </c>
      <c r="BS51" s="3350" t="e">
        <f t="shared" ref="BS51:BS53" si="158">BR51/BR$89</f>
        <v>#DIV/0!</v>
      </c>
      <c r="BT51" s="3454"/>
      <c r="BU51" s="3341"/>
      <c r="BV51" s="3341"/>
      <c r="BW51" s="3349">
        <f t="shared" ref="BW51:BW52" si="159">BU51+BV51</f>
        <v>0</v>
      </c>
      <c r="BX51" s="3350" t="e">
        <f t="shared" ref="BX51:BX53" si="160">BW51/BW$89</f>
        <v>#DIV/0!</v>
      </c>
      <c r="BY51" s="3454"/>
      <c r="BZ51" s="3341"/>
      <c r="CA51" s="3341"/>
      <c r="CB51" s="3349">
        <f t="shared" ref="CB51:CB52" si="161">BZ51+CA51</f>
        <v>0</v>
      </c>
      <c r="CC51" s="3350" t="e">
        <f t="shared" ref="CC51:CC53" si="162">CB51/CB$89</f>
        <v>#DIV/0!</v>
      </c>
      <c r="CD51" s="3454"/>
      <c r="CE51" s="3341"/>
      <c r="CF51" s="3341"/>
      <c r="CG51" s="3349">
        <f t="shared" ref="CG51:CG52" si="163">CE51+CF51</f>
        <v>0</v>
      </c>
      <c r="CH51" s="3350" t="e">
        <f t="shared" ref="CH51:CH53" si="164">CG51/CG$89</f>
        <v>#DIV/0!</v>
      </c>
      <c r="CI51" s="3454"/>
      <c r="CJ51" s="3341">
        <f t="shared" ref="CJ51:CK53" si="165">C51+H51+M51+W51</f>
        <v>0</v>
      </c>
      <c r="CK51" s="3341">
        <f t="shared" si="165"/>
        <v>0</v>
      </c>
      <c r="CL51" s="2012">
        <f>CJ51+CK51*1</f>
        <v>0</v>
      </c>
      <c r="CM51" s="3350" t="e">
        <f>CL51/$CL$89</f>
        <v>#DIV/0!</v>
      </c>
      <c r="CN51" s="3373"/>
      <c r="CP51" s="2012">
        <f>CN51+CO51*1</f>
        <v>0</v>
      </c>
      <c r="CQ51" s="2012">
        <f>CO51+CP51*1</f>
        <v>0</v>
      </c>
      <c r="CR51" s="3441"/>
      <c r="CT51" s="2624"/>
    </row>
    <row r="52" spans="1:98" ht="13.8" outlineLevel="2">
      <c r="A52" s="1566"/>
      <c r="B52" s="3379" t="s">
        <v>61</v>
      </c>
      <c r="C52" s="3341"/>
      <c r="D52" s="3341"/>
      <c r="E52" s="3349">
        <f t="shared" si="132"/>
        <v>0</v>
      </c>
      <c r="F52" s="3350" t="e">
        <f t="shared" si="133"/>
        <v>#DIV/0!</v>
      </c>
      <c r="G52" s="3454"/>
      <c r="H52" s="3341"/>
      <c r="I52" s="3341"/>
      <c r="J52" s="3349">
        <f>H52+I52</f>
        <v>0</v>
      </c>
      <c r="K52" s="3350" t="e">
        <f t="shared" si="134"/>
        <v>#DIV/0!</v>
      </c>
      <c r="L52" s="3454"/>
      <c r="M52" s="3341"/>
      <c r="N52" s="3341"/>
      <c r="O52" s="3349">
        <f t="shared" si="135"/>
        <v>0</v>
      </c>
      <c r="P52" s="3350" t="e">
        <f t="shared" si="136"/>
        <v>#DIV/0!</v>
      </c>
      <c r="Q52" s="3454"/>
      <c r="R52" s="3342">
        <f t="shared" si="137"/>
        <v>0</v>
      </c>
      <c r="S52" s="3342">
        <f t="shared" si="137"/>
        <v>0</v>
      </c>
      <c r="T52" s="2012">
        <f t="shared" si="138"/>
        <v>0</v>
      </c>
      <c r="U52" s="3455"/>
      <c r="V52" s="3455"/>
      <c r="W52" s="3342">
        <f t="shared" si="139"/>
        <v>0</v>
      </c>
      <c r="X52" s="3342">
        <f t="shared" si="139"/>
        <v>0</v>
      </c>
      <c r="Y52" s="2012">
        <f t="shared" si="140"/>
        <v>0</v>
      </c>
      <c r="Z52" s="3455"/>
      <c r="AA52" s="3455"/>
      <c r="AB52" s="3341"/>
      <c r="AC52" s="3341"/>
      <c r="AD52" s="3349">
        <f t="shared" si="141"/>
        <v>0</v>
      </c>
      <c r="AE52" s="3350" t="e">
        <f t="shared" si="142"/>
        <v>#DIV/0!</v>
      </c>
      <c r="AF52" s="3454"/>
      <c r="AG52" s="3341"/>
      <c r="AH52" s="3341"/>
      <c r="AI52" s="3349">
        <f t="shared" si="143"/>
        <v>0</v>
      </c>
      <c r="AJ52" s="3350" t="e">
        <f t="shared" si="144"/>
        <v>#DIV/0!</v>
      </c>
      <c r="AK52" s="3454"/>
      <c r="AL52" s="3341"/>
      <c r="AM52" s="3341"/>
      <c r="AN52" s="3349">
        <f t="shared" si="145"/>
        <v>0</v>
      </c>
      <c r="AO52" s="3350" t="e">
        <f t="shared" si="146"/>
        <v>#DIV/0!</v>
      </c>
      <c r="AP52" s="3454"/>
      <c r="AQ52" s="3341"/>
      <c r="AR52" s="3341"/>
      <c r="AS52" s="3349">
        <f t="shared" si="147"/>
        <v>0</v>
      </c>
      <c r="AT52" s="3350" t="e">
        <f t="shared" si="148"/>
        <v>#DIV/0!</v>
      </c>
      <c r="AU52" s="3454"/>
      <c r="AV52" s="3341"/>
      <c r="AW52" s="3341"/>
      <c r="AX52" s="3349">
        <f t="shared" si="149"/>
        <v>0</v>
      </c>
      <c r="AY52" s="3350" t="e">
        <f t="shared" si="150"/>
        <v>#DIV/0!</v>
      </c>
      <c r="AZ52" s="3454"/>
      <c r="BA52" s="3341"/>
      <c r="BB52" s="3341"/>
      <c r="BC52" s="3349">
        <f t="shared" si="151"/>
        <v>0</v>
      </c>
      <c r="BD52" s="3350" t="e">
        <f t="shared" si="152"/>
        <v>#DIV/0!</v>
      </c>
      <c r="BE52" s="3454"/>
      <c r="BF52" s="3341"/>
      <c r="BG52" s="3341"/>
      <c r="BH52" s="3349">
        <f t="shared" si="153"/>
        <v>0</v>
      </c>
      <c r="BI52" s="3350" t="e">
        <f t="shared" si="154"/>
        <v>#DIV/0!</v>
      </c>
      <c r="BJ52" s="3454"/>
      <c r="BK52" s="3341"/>
      <c r="BL52" s="3341"/>
      <c r="BM52" s="3349">
        <f t="shared" si="155"/>
        <v>0</v>
      </c>
      <c r="BN52" s="3350" t="e">
        <f t="shared" si="156"/>
        <v>#DIV/0!</v>
      </c>
      <c r="BO52" s="3454"/>
      <c r="BP52" s="3341"/>
      <c r="BQ52" s="3341"/>
      <c r="BR52" s="3349">
        <f t="shared" si="157"/>
        <v>0</v>
      </c>
      <c r="BS52" s="3350" t="e">
        <f t="shared" si="158"/>
        <v>#DIV/0!</v>
      </c>
      <c r="BT52" s="3454"/>
      <c r="BU52" s="3341"/>
      <c r="BV52" s="3341"/>
      <c r="BW52" s="3349">
        <f t="shared" si="159"/>
        <v>0</v>
      </c>
      <c r="BX52" s="3350" t="e">
        <f t="shared" si="160"/>
        <v>#DIV/0!</v>
      </c>
      <c r="BY52" s="3454"/>
      <c r="BZ52" s="3341"/>
      <c r="CA52" s="3341"/>
      <c r="CB52" s="3349">
        <f t="shared" si="161"/>
        <v>0</v>
      </c>
      <c r="CC52" s="3350" t="e">
        <f t="shared" si="162"/>
        <v>#DIV/0!</v>
      </c>
      <c r="CD52" s="3454"/>
      <c r="CE52" s="3341"/>
      <c r="CF52" s="3341"/>
      <c r="CG52" s="3349">
        <f t="shared" si="163"/>
        <v>0</v>
      </c>
      <c r="CH52" s="3350" t="e">
        <f t="shared" si="164"/>
        <v>#DIV/0!</v>
      </c>
      <c r="CI52" s="3454"/>
      <c r="CJ52" s="3341">
        <f t="shared" si="165"/>
        <v>0</v>
      </c>
      <c r="CK52" s="3341">
        <f t="shared" si="165"/>
        <v>0</v>
      </c>
      <c r="CL52" s="2012">
        <f>CJ52+CK52*1</f>
        <v>0</v>
      </c>
      <c r="CM52" s="3350" t="e">
        <f>CL52/$CL$89</f>
        <v>#DIV/0!</v>
      </c>
      <c r="CN52" s="3373"/>
      <c r="CP52" s="2012">
        <f>CN52+CO52*1</f>
        <v>0</v>
      </c>
      <c r="CQ52" s="2012">
        <f>CO52+CP52*1</f>
        <v>0</v>
      </c>
      <c r="CR52" s="3441"/>
    </row>
    <row r="53" spans="1:98" ht="14.4" outlineLevel="1" thickBot="1">
      <c r="A53" s="1413"/>
      <c r="B53" s="3717"/>
      <c r="C53" s="3341"/>
      <c r="D53" s="3341"/>
      <c r="E53" s="3302"/>
      <c r="F53" s="3350" t="e">
        <f t="shared" si="133"/>
        <v>#DIV/0!</v>
      </c>
      <c r="G53" s="3756"/>
      <c r="H53" s="3341"/>
      <c r="I53" s="3341"/>
      <c r="J53" s="3302"/>
      <c r="K53" s="3350" t="e">
        <f t="shared" ref="K53:K54" si="166">J53/$E$89</f>
        <v>#DIV/0!</v>
      </c>
      <c r="L53" s="3756"/>
      <c r="M53" s="3341"/>
      <c r="N53" s="3341"/>
      <c r="O53" s="3302"/>
      <c r="P53" s="3350" t="e">
        <f t="shared" si="136"/>
        <v>#DIV/0!</v>
      </c>
      <c r="Q53" s="3756"/>
      <c r="R53" s="3736"/>
      <c r="S53" s="3756"/>
      <c r="T53" s="3756"/>
      <c r="U53" s="3756"/>
      <c r="V53" s="3756"/>
      <c r="W53" s="3756"/>
      <c r="X53" s="3756"/>
      <c r="Y53" s="3756"/>
      <c r="Z53" s="3756"/>
      <c r="AA53" s="3756"/>
      <c r="AB53" s="3365"/>
      <c r="AC53" s="3365"/>
      <c r="AD53" s="3302"/>
      <c r="AE53" s="3005" t="e">
        <f t="shared" si="142"/>
        <v>#DIV/0!</v>
      </c>
      <c r="AF53" s="3756"/>
      <c r="AG53" s="3365"/>
      <c r="AH53" s="3365"/>
      <c r="AI53" s="3302"/>
      <c r="AJ53" s="3005" t="e">
        <f t="shared" si="144"/>
        <v>#DIV/0!</v>
      </c>
      <c r="AK53" s="3756"/>
      <c r="AL53" s="3365"/>
      <c r="AM53" s="3365"/>
      <c r="AN53" s="3302"/>
      <c r="AO53" s="3005" t="e">
        <f t="shared" si="146"/>
        <v>#DIV/0!</v>
      </c>
      <c r="AP53" s="3756"/>
      <c r="AQ53" s="3365"/>
      <c r="AR53" s="3365"/>
      <c r="AS53" s="3302"/>
      <c r="AT53" s="3005" t="e">
        <f t="shared" si="148"/>
        <v>#DIV/0!</v>
      </c>
      <c r="AU53" s="3756"/>
      <c r="AV53" s="3365"/>
      <c r="AW53" s="3365"/>
      <c r="AX53" s="3302"/>
      <c r="AY53" s="3005" t="e">
        <f t="shared" si="150"/>
        <v>#DIV/0!</v>
      </c>
      <c r="AZ53" s="3756"/>
      <c r="BA53" s="3365"/>
      <c r="BB53" s="3365"/>
      <c r="BC53" s="3302"/>
      <c r="BD53" s="3005" t="e">
        <f t="shared" si="152"/>
        <v>#DIV/0!</v>
      </c>
      <c r="BE53" s="3756"/>
      <c r="BF53" s="3365"/>
      <c r="BG53" s="3365"/>
      <c r="BH53" s="3302"/>
      <c r="BI53" s="3005" t="e">
        <f t="shared" si="154"/>
        <v>#DIV/0!</v>
      </c>
      <c r="BJ53" s="3756"/>
      <c r="BK53" s="3365"/>
      <c r="BL53" s="3365"/>
      <c r="BM53" s="3302"/>
      <c r="BN53" s="3005" t="e">
        <f t="shared" si="156"/>
        <v>#DIV/0!</v>
      </c>
      <c r="BO53" s="3756"/>
      <c r="BP53" s="3365"/>
      <c r="BQ53" s="3365"/>
      <c r="BR53" s="3302"/>
      <c r="BS53" s="3005" t="e">
        <f t="shared" si="158"/>
        <v>#DIV/0!</v>
      </c>
      <c r="BT53" s="3756"/>
      <c r="BU53" s="3365"/>
      <c r="BV53" s="3365"/>
      <c r="BW53" s="3302"/>
      <c r="BX53" s="3005" t="e">
        <f t="shared" si="160"/>
        <v>#DIV/0!</v>
      </c>
      <c r="BY53" s="3756"/>
      <c r="BZ53" s="3365"/>
      <c r="CA53" s="3365"/>
      <c r="CB53" s="3302"/>
      <c r="CC53" s="3005" t="e">
        <f t="shared" si="162"/>
        <v>#DIV/0!</v>
      </c>
      <c r="CD53" s="3756"/>
      <c r="CE53" s="3365"/>
      <c r="CF53" s="3365"/>
      <c r="CG53" s="3302"/>
      <c r="CH53" s="3005" t="e">
        <f t="shared" si="164"/>
        <v>#DIV/0!</v>
      </c>
      <c r="CI53" s="3756"/>
      <c r="CJ53" s="3365">
        <f t="shared" si="165"/>
        <v>0</v>
      </c>
      <c r="CK53" s="3365">
        <f t="shared" si="165"/>
        <v>0</v>
      </c>
      <c r="CL53" s="3302"/>
      <c r="CM53" s="3302"/>
      <c r="CN53" s="3302"/>
      <c r="CP53" s="3016"/>
      <c r="CQ53" s="3016"/>
      <c r="CR53" s="3441"/>
    </row>
    <row r="54" spans="1:98" ht="13.8" outlineLevel="1">
      <c r="A54" s="1570"/>
      <c r="B54" s="1410" t="s">
        <v>1</v>
      </c>
      <c r="C54" s="2015">
        <f>SUM(C55:C72)</f>
        <v>0</v>
      </c>
      <c r="D54" s="2015">
        <f>SUM(D55:D72)</f>
        <v>0</v>
      </c>
      <c r="E54" s="2014">
        <f>SUM(E55:E72)</f>
        <v>0</v>
      </c>
      <c r="F54" s="3378" t="e">
        <f t="shared" si="133"/>
        <v>#DIV/0!</v>
      </c>
      <c r="G54" s="1057"/>
      <c r="H54" s="2015">
        <f>SUM(H55:H72)</f>
        <v>0</v>
      </c>
      <c r="I54" s="2015">
        <f>SUM(I55:I72)</f>
        <v>0</v>
      </c>
      <c r="J54" s="2014">
        <f>SUM(J55:J72)</f>
        <v>0</v>
      </c>
      <c r="K54" s="3378" t="e">
        <f t="shared" si="166"/>
        <v>#DIV/0!</v>
      </c>
      <c r="L54" s="1057"/>
      <c r="M54" s="2015">
        <f>SUM(M55:M72)</f>
        <v>0</v>
      </c>
      <c r="N54" s="2015">
        <f>SUM(N55:N72)</f>
        <v>0</v>
      </c>
      <c r="O54" s="2014">
        <f>SUM(O55:O72)</f>
        <v>0</v>
      </c>
      <c r="P54" s="3378" t="e">
        <f t="shared" ref="P54" si="167">O54/$E$89</f>
        <v>#DIV/0!</v>
      </c>
      <c r="Q54" s="1057"/>
      <c r="R54" s="2013">
        <f>SUM(R55:R72)</f>
        <v>0</v>
      </c>
      <c r="S54" s="2013">
        <f>SUM(S55:S72)</f>
        <v>0</v>
      </c>
      <c r="T54" s="2013">
        <f>SUM(T55:T72)</f>
        <v>0</v>
      </c>
      <c r="U54" s="1535"/>
      <c r="V54" s="3460"/>
      <c r="W54" s="2013">
        <f>SUM(W55:W72)</f>
        <v>0</v>
      </c>
      <c r="X54" s="2013">
        <f>SUM(X55:X72)</f>
        <v>0</v>
      </c>
      <c r="Y54" s="2013">
        <f>SUM(Y55:Y72)</f>
        <v>0</v>
      </c>
      <c r="Z54" s="1535"/>
      <c r="AA54" s="3460"/>
      <c r="AB54" s="2013">
        <f>SUM(AB55:AB72)</f>
        <v>0</v>
      </c>
      <c r="AC54" s="2013">
        <f>SUM(AC55:AC72)</f>
        <v>0</v>
      </c>
      <c r="AD54" s="2013">
        <f>SUM(AD55:AD72)</f>
        <v>0</v>
      </c>
      <c r="AE54" s="1535"/>
      <c r="AF54" s="3735"/>
      <c r="AG54" s="2013">
        <f>SUM(AG55:AG72)</f>
        <v>0</v>
      </c>
      <c r="AH54" s="2013">
        <f>SUM(AH55:AH72)</f>
        <v>0</v>
      </c>
      <c r="AI54" s="2013">
        <f>SUM(AI55:AI72)</f>
        <v>0</v>
      </c>
      <c r="AJ54" s="1535"/>
      <c r="AK54" s="3735"/>
      <c r="AL54" s="2013">
        <f>SUM(AL55:AL72)</f>
        <v>0</v>
      </c>
      <c r="AM54" s="2013">
        <f>SUM(AM55:AM72)</f>
        <v>0</v>
      </c>
      <c r="AN54" s="2013">
        <f>SUM(AN55:AN72)</f>
        <v>0</v>
      </c>
      <c r="AO54" s="1535"/>
      <c r="AP54" s="3735"/>
      <c r="AQ54" s="2013">
        <f>SUM(AQ55:AQ72)</f>
        <v>0</v>
      </c>
      <c r="AR54" s="2013">
        <f>SUM(AR55:AR72)</f>
        <v>0</v>
      </c>
      <c r="AS54" s="2013">
        <f>SUM(AS55:AS72)</f>
        <v>0</v>
      </c>
      <c r="AT54" s="1535"/>
      <c r="AU54" s="3735"/>
      <c r="AV54" s="2013">
        <f>SUM(AV55:AV72)</f>
        <v>0</v>
      </c>
      <c r="AW54" s="2013">
        <f>SUM(AW55:AW72)</f>
        <v>0</v>
      </c>
      <c r="AX54" s="2013">
        <f>SUM(AX55:AX72)</f>
        <v>0</v>
      </c>
      <c r="AY54" s="1535"/>
      <c r="AZ54" s="3735"/>
      <c r="BA54" s="2013">
        <f>SUM(BA55:BA72)</f>
        <v>0</v>
      </c>
      <c r="BB54" s="2013">
        <f>SUM(BB55:BB72)</f>
        <v>0</v>
      </c>
      <c r="BC54" s="2013">
        <f>SUM(BC55:BC72)</f>
        <v>0</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0</v>
      </c>
      <c r="CK54" s="2013">
        <f>SUM(CK55:CK72)</f>
        <v>0</v>
      </c>
      <c r="CL54" s="2013">
        <f>SUM(CL55:CL72)</f>
        <v>0</v>
      </c>
      <c r="CM54" s="1535" t="e">
        <f t="shared" ref="CM54:CM71" si="168">CL54/$CL$89</f>
        <v>#DIV/0!</v>
      </c>
      <c r="CN54" s="1061"/>
      <c r="CP54" s="2015">
        <f>SUM(CP55:CP72)</f>
        <v>0</v>
      </c>
      <c r="CQ54" s="2015">
        <f>SUM(CQ55:CQ72)</f>
        <v>0</v>
      </c>
      <c r="CR54" s="2015"/>
    </row>
    <row r="55" spans="1:98" ht="13.8" outlineLevel="2">
      <c r="A55" s="1571"/>
      <c r="B55" s="3372" t="s">
        <v>77</v>
      </c>
      <c r="C55" s="3349"/>
      <c r="D55" s="3349"/>
      <c r="E55" s="3349">
        <f t="shared" ref="E55:E71" si="169">C55+D55</f>
        <v>0</v>
      </c>
      <c r="F55" s="3350" t="e">
        <f t="shared" si="133"/>
        <v>#DIV/0!</v>
      </c>
      <c r="G55" s="3461"/>
      <c r="H55" s="3349"/>
      <c r="I55" s="3349"/>
      <c r="J55" s="3349">
        <f t="shared" ref="J55:J71" si="170">H55+I55</f>
        <v>0</v>
      </c>
      <c r="K55" s="3350" t="e">
        <f t="shared" ref="K55:K72" si="171">J55/J$89</f>
        <v>#DIV/0!</v>
      </c>
      <c r="L55" s="3461"/>
      <c r="M55" s="3349"/>
      <c r="N55" s="3349"/>
      <c r="O55" s="3349">
        <f t="shared" ref="O55:O71" si="172">M55+N55</f>
        <v>0</v>
      </c>
      <c r="P55" s="3350" t="e">
        <f t="shared" ref="P55:P72" si="173">O55/O$89</f>
        <v>#DIV/0!</v>
      </c>
      <c r="Q55" s="3461"/>
      <c r="R55" s="3342">
        <f t="shared" ref="R55:S71" si="174">M55+H55+C55</f>
        <v>0</v>
      </c>
      <c r="S55" s="3342">
        <f t="shared" si="174"/>
        <v>0</v>
      </c>
      <c r="T55" s="2012">
        <f t="shared" ref="T55:T71" si="175">R55+S55</f>
        <v>0</v>
      </c>
      <c r="U55" s="3462"/>
      <c r="V55" s="3462"/>
      <c r="W55" s="3342">
        <f t="shared" ref="W55:X71" si="176">AB55+AG55+AL55+AV55+BA55+BF55+BK55+BP55+BU55+BZ55+CE55+AQ55</f>
        <v>0</v>
      </c>
      <c r="X55" s="3342">
        <f t="shared" si="176"/>
        <v>0</v>
      </c>
      <c r="Y55" s="2012">
        <f t="shared" ref="Y55:Y71" si="177">W55+X55</f>
        <v>0</v>
      </c>
      <c r="Z55" s="3462"/>
      <c r="AA55" s="3462"/>
      <c r="AB55" s="3349"/>
      <c r="AC55" s="3349"/>
      <c r="AD55" s="3349">
        <f t="shared" ref="AD55:AD71" si="178">AB55+AC55</f>
        <v>0</v>
      </c>
      <c r="AE55" s="3350" t="e">
        <f t="shared" ref="AE55:AE71" si="179">AD55/AD$89</f>
        <v>#DIV/0!</v>
      </c>
      <c r="AF55" s="3461"/>
      <c r="AG55" s="3349"/>
      <c r="AH55" s="3349"/>
      <c r="AI55" s="3349">
        <f t="shared" ref="AI55:AI71" si="180">AG55+AH55</f>
        <v>0</v>
      </c>
      <c r="AJ55" s="3350" t="e">
        <f t="shared" ref="AJ55:AJ71" si="181">AI55/AI$89</f>
        <v>#DIV/0!</v>
      </c>
      <c r="AK55" s="3461"/>
      <c r="AL55" s="3349"/>
      <c r="AM55" s="3349"/>
      <c r="AN55" s="3349">
        <f t="shared" ref="AN55:AN71" si="182">AL55+AM55</f>
        <v>0</v>
      </c>
      <c r="AO55" s="3350" t="e">
        <f t="shared" ref="AO55:AO71" si="183">AN55/AN$89</f>
        <v>#DIV/0!</v>
      </c>
      <c r="AP55" s="3461"/>
      <c r="AQ55" s="3349"/>
      <c r="AR55" s="3349"/>
      <c r="AS55" s="3349">
        <f t="shared" ref="AS55:AS71" si="184">AQ55+AR55</f>
        <v>0</v>
      </c>
      <c r="AT55" s="3350" t="e">
        <f t="shared" ref="AT55:AT71" si="185">AS55/AS$89</f>
        <v>#DIV/0!</v>
      </c>
      <c r="AU55" s="3461"/>
      <c r="AV55" s="3349"/>
      <c r="AW55" s="3349"/>
      <c r="AX55" s="3349">
        <f t="shared" ref="AX55:AX71" si="186">AV55+AW55</f>
        <v>0</v>
      </c>
      <c r="AY55" s="3350" t="e">
        <f t="shared" ref="AY55:AY71" si="187">AX55/AX$89</f>
        <v>#DIV/0!</v>
      </c>
      <c r="AZ55" s="3461"/>
      <c r="BA55" s="3349"/>
      <c r="BB55" s="3349"/>
      <c r="BC55" s="3349">
        <f t="shared" ref="BC55:BC71" si="188">BA55+BB55</f>
        <v>0</v>
      </c>
      <c r="BD55" s="3350" t="e">
        <f t="shared" ref="BD55:BD71" si="189">BC55/BC$89</f>
        <v>#DIV/0!</v>
      </c>
      <c r="BE55" s="3461"/>
      <c r="BF55" s="3349"/>
      <c r="BG55" s="3349"/>
      <c r="BH55" s="3349">
        <f t="shared" ref="BH55:BH71" si="190">BF55+BG55</f>
        <v>0</v>
      </c>
      <c r="BI55" s="3350" t="e">
        <f t="shared" ref="BI55:BI71" si="191">BH55/BH$89</f>
        <v>#DIV/0!</v>
      </c>
      <c r="BJ55" s="3461"/>
      <c r="BK55" s="3349"/>
      <c r="BL55" s="3349"/>
      <c r="BM55" s="3349">
        <f t="shared" ref="BM55:BM71" si="192">BK55+BL55</f>
        <v>0</v>
      </c>
      <c r="BN55" s="3350" t="e">
        <f t="shared" ref="BN55:BN71" si="193">BM55/BM$89</f>
        <v>#DIV/0!</v>
      </c>
      <c r="BO55" s="3461"/>
      <c r="BP55" s="3349"/>
      <c r="BQ55" s="3349"/>
      <c r="BR55" s="3349">
        <f t="shared" ref="BR55:BR71" si="194">BP55+BQ55</f>
        <v>0</v>
      </c>
      <c r="BS55" s="3350" t="e">
        <f t="shared" ref="BS55:BS71" si="195">BR55/BR$89</f>
        <v>#DIV/0!</v>
      </c>
      <c r="BT55" s="3461"/>
      <c r="BU55" s="3349"/>
      <c r="BV55" s="3349"/>
      <c r="BW55" s="3349">
        <f t="shared" ref="BW55:BW71" si="196">BU55+BV55</f>
        <v>0</v>
      </c>
      <c r="BX55" s="3350" t="e">
        <f t="shared" ref="BX55:BX71" si="197">BW55/BW$89</f>
        <v>#DIV/0!</v>
      </c>
      <c r="BY55" s="3461"/>
      <c r="BZ55" s="3349"/>
      <c r="CA55" s="3349"/>
      <c r="CB55" s="3349">
        <f t="shared" ref="CB55:CB71" si="198">BZ55+CA55</f>
        <v>0</v>
      </c>
      <c r="CC55" s="3350" t="e">
        <f t="shared" ref="CC55:CC71" si="199">CB55/CB$89</f>
        <v>#DIV/0!</v>
      </c>
      <c r="CD55" s="3461"/>
      <c r="CE55" s="3349"/>
      <c r="CF55" s="3349"/>
      <c r="CG55" s="3349">
        <f t="shared" ref="CG55:CG71" si="200">CE55+CF55</f>
        <v>0</v>
      </c>
      <c r="CH55" s="3350" t="e">
        <f t="shared" ref="CH55:CH71" si="201">CG55/CG$89</f>
        <v>#DIV/0!</v>
      </c>
      <c r="CI55" s="3461"/>
      <c r="CJ55" s="3341">
        <f t="shared" ref="CJ55:CK71" si="202">C55+H55+M55+W55</f>
        <v>0</v>
      </c>
      <c r="CK55" s="3341">
        <f t="shared" si="202"/>
        <v>0</v>
      </c>
      <c r="CL55" s="2012">
        <f t="shared" ref="CL55:CL71" si="203">CJ55+CK55*1</f>
        <v>0</v>
      </c>
      <c r="CM55" s="3350" t="e">
        <f t="shared" si="168"/>
        <v>#DIV/0!</v>
      </c>
      <c r="CN55" s="3360"/>
      <c r="CP55" s="2012">
        <f t="shared" ref="CP55:CQ71" si="204">CN55+CO55*1</f>
        <v>0</v>
      </c>
      <c r="CQ55" s="2012">
        <f t="shared" si="204"/>
        <v>0</v>
      </c>
      <c r="CR55" s="3441"/>
    </row>
    <row r="56" spans="1:98" ht="13.8" outlineLevel="2">
      <c r="A56" s="1571"/>
      <c r="B56" s="3372" t="s">
        <v>76</v>
      </c>
      <c r="C56" s="3349"/>
      <c r="D56" s="3349"/>
      <c r="E56" s="3349">
        <f t="shared" si="169"/>
        <v>0</v>
      </c>
      <c r="F56" s="3350" t="e">
        <f t="shared" si="133"/>
        <v>#DIV/0!</v>
      </c>
      <c r="G56" s="3461"/>
      <c r="H56" s="3349"/>
      <c r="I56" s="3349"/>
      <c r="J56" s="3349">
        <f t="shared" si="170"/>
        <v>0</v>
      </c>
      <c r="K56" s="3350" t="e">
        <f t="shared" si="171"/>
        <v>#DIV/0!</v>
      </c>
      <c r="L56" s="3461"/>
      <c r="M56" s="3349"/>
      <c r="N56" s="3349"/>
      <c r="O56" s="3349">
        <f t="shared" si="172"/>
        <v>0</v>
      </c>
      <c r="P56" s="3350" t="e">
        <f t="shared" si="173"/>
        <v>#DIV/0!</v>
      </c>
      <c r="Q56" s="3461"/>
      <c r="R56" s="3342">
        <f t="shared" si="174"/>
        <v>0</v>
      </c>
      <c r="S56" s="3342">
        <f t="shared" si="174"/>
        <v>0</v>
      </c>
      <c r="T56" s="2012">
        <f t="shared" si="175"/>
        <v>0</v>
      </c>
      <c r="U56" s="3462"/>
      <c r="V56" s="3462"/>
      <c r="W56" s="3342">
        <f t="shared" si="176"/>
        <v>0</v>
      </c>
      <c r="X56" s="3342">
        <f t="shared" si="176"/>
        <v>0</v>
      </c>
      <c r="Y56" s="2012">
        <f t="shared" si="177"/>
        <v>0</v>
      </c>
      <c r="Z56" s="3462"/>
      <c r="AA56" s="3462"/>
      <c r="AB56" s="3349"/>
      <c r="AC56" s="3349"/>
      <c r="AD56" s="3349">
        <f t="shared" si="178"/>
        <v>0</v>
      </c>
      <c r="AE56" s="3350" t="e">
        <f t="shared" si="179"/>
        <v>#DIV/0!</v>
      </c>
      <c r="AF56" s="3461"/>
      <c r="AG56" s="3349"/>
      <c r="AH56" s="3349"/>
      <c r="AI56" s="3349">
        <f t="shared" si="180"/>
        <v>0</v>
      </c>
      <c r="AJ56" s="3350" t="e">
        <f t="shared" si="181"/>
        <v>#DIV/0!</v>
      </c>
      <c r="AK56" s="3461"/>
      <c r="AL56" s="3349"/>
      <c r="AM56" s="3349"/>
      <c r="AN56" s="3349">
        <f t="shared" si="182"/>
        <v>0</v>
      </c>
      <c r="AO56" s="3350" t="e">
        <f t="shared" si="183"/>
        <v>#DIV/0!</v>
      </c>
      <c r="AP56" s="3461"/>
      <c r="AQ56" s="3349"/>
      <c r="AR56" s="3349"/>
      <c r="AS56" s="3349">
        <f t="shared" si="184"/>
        <v>0</v>
      </c>
      <c r="AT56" s="3350" t="e">
        <f t="shared" si="185"/>
        <v>#DIV/0!</v>
      </c>
      <c r="AU56" s="3461"/>
      <c r="AV56" s="3349"/>
      <c r="AW56" s="3349"/>
      <c r="AX56" s="3349">
        <f t="shared" si="186"/>
        <v>0</v>
      </c>
      <c r="AY56" s="3350" t="e">
        <f t="shared" si="187"/>
        <v>#DIV/0!</v>
      </c>
      <c r="AZ56" s="3461"/>
      <c r="BA56" s="3349"/>
      <c r="BB56" s="3349"/>
      <c r="BC56" s="3349">
        <f t="shared" si="188"/>
        <v>0</v>
      </c>
      <c r="BD56" s="3350" t="e">
        <f t="shared" si="189"/>
        <v>#DIV/0!</v>
      </c>
      <c r="BE56" s="3461"/>
      <c r="BF56" s="3349"/>
      <c r="BG56" s="3349"/>
      <c r="BH56" s="3349">
        <f t="shared" si="190"/>
        <v>0</v>
      </c>
      <c r="BI56" s="3350" t="e">
        <f t="shared" si="191"/>
        <v>#DIV/0!</v>
      </c>
      <c r="BJ56" s="3461"/>
      <c r="BK56" s="3349"/>
      <c r="BL56" s="3349"/>
      <c r="BM56" s="3349">
        <f t="shared" si="192"/>
        <v>0</v>
      </c>
      <c r="BN56" s="3350" t="e">
        <f t="shared" si="193"/>
        <v>#DIV/0!</v>
      </c>
      <c r="BO56" s="3461"/>
      <c r="BP56" s="3349"/>
      <c r="BQ56" s="3349"/>
      <c r="BR56" s="3349">
        <f t="shared" si="194"/>
        <v>0</v>
      </c>
      <c r="BS56" s="3350" t="e">
        <f t="shared" si="195"/>
        <v>#DIV/0!</v>
      </c>
      <c r="BT56" s="3461"/>
      <c r="BU56" s="3349"/>
      <c r="BV56" s="3349"/>
      <c r="BW56" s="3349">
        <f t="shared" si="196"/>
        <v>0</v>
      </c>
      <c r="BX56" s="3350" t="e">
        <f t="shared" si="197"/>
        <v>#DIV/0!</v>
      </c>
      <c r="BY56" s="3461"/>
      <c r="BZ56" s="3349"/>
      <c r="CA56" s="3349"/>
      <c r="CB56" s="3349">
        <f t="shared" si="198"/>
        <v>0</v>
      </c>
      <c r="CC56" s="3350" t="e">
        <f t="shared" si="199"/>
        <v>#DIV/0!</v>
      </c>
      <c r="CD56" s="3461"/>
      <c r="CE56" s="3349"/>
      <c r="CF56" s="3349"/>
      <c r="CG56" s="3349">
        <f t="shared" si="200"/>
        <v>0</v>
      </c>
      <c r="CH56" s="3350" t="e">
        <f t="shared" si="201"/>
        <v>#DIV/0!</v>
      </c>
      <c r="CI56" s="3461"/>
      <c r="CJ56" s="3341">
        <f t="shared" si="202"/>
        <v>0</v>
      </c>
      <c r="CK56" s="3341">
        <f t="shared" si="202"/>
        <v>0</v>
      </c>
      <c r="CL56" s="2012">
        <f t="shared" si="203"/>
        <v>0</v>
      </c>
      <c r="CM56" s="3350" t="e">
        <f t="shared" si="168"/>
        <v>#DIV/0!</v>
      </c>
      <c r="CN56" s="3360"/>
      <c r="CP56" s="2012">
        <f t="shared" si="204"/>
        <v>0</v>
      </c>
      <c r="CQ56" s="2012">
        <f t="shared" si="204"/>
        <v>0</v>
      </c>
      <c r="CR56" s="3441"/>
    </row>
    <row r="57" spans="1:98" ht="13.8" outlineLevel="2">
      <c r="A57" s="1571"/>
      <c r="B57" s="3372" t="s">
        <v>68</v>
      </c>
      <c r="C57" s="3349"/>
      <c r="D57" s="3349"/>
      <c r="E57" s="3349">
        <f t="shared" si="169"/>
        <v>0</v>
      </c>
      <c r="F57" s="3350" t="e">
        <f t="shared" si="133"/>
        <v>#DIV/0!</v>
      </c>
      <c r="G57" s="3461"/>
      <c r="H57" s="3349"/>
      <c r="I57" s="3349"/>
      <c r="J57" s="3349">
        <f t="shared" si="170"/>
        <v>0</v>
      </c>
      <c r="K57" s="3350" t="e">
        <f t="shared" si="171"/>
        <v>#DIV/0!</v>
      </c>
      <c r="L57" s="3461"/>
      <c r="M57" s="3349"/>
      <c r="N57" s="3349"/>
      <c r="O57" s="3349">
        <f t="shared" si="172"/>
        <v>0</v>
      </c>
      <c r="P57" s="3350" t="e">
        <f t="shared" si="173"/>
        <v>#DIV/0!</v>
      </c>
      <c r="Q57" s="3461"/>
      <c r="R57" s="3342">
        <f t="shared" si="174"/>
        <v>0</v>
      </c>
      <c r="S57" s="3342">
        <f t="shared" si="174"/>
        <v>0</v>
      </c>
      <c r="T57" s="2012">
        <f t="shared" si="175"/>
        <v>0</v>
      </c>
      <c r="U57" s="3462"/>
      <c r="V57" s="3462"/>
      <c r="W57" s="3342">
        <f t="shared" si="176"/>
        <v>0</v>
      </c>
      <c r="X57" s="3342">
        <f t="shared" si="176"/>
        <v>0</v>
      </c>
      <c r="Y57" s="2012">
        <f t="shared" si="177"/>
        <v>0</v>
      </c>
      <c r="Z57" s="3462"/>
      <c r="AA57" s="3462"/>
      <c r="AB57" s="3349"/>
      <c r="AC57" s="3349"/>
      <c r="AD57" s="3349">
        <f t="shared" si="178"/>
        <v>0</v>
      </c>
      <c r="AE57" s="3350" t="e">
        <f t="shared" si="179"/>
        <v>#DIV/0!</v>
      </c>
      <c r="AF57" s="3461"/>
      <c r="AG57" s="3349"/>
      <c r="AH57" s="3349"/>
      <c r="AI57" s="3349">
        <f t="shared" si="180"/>
        <v>0</v>
      </c>
      <c r="AJ57" s="3350" t="e">
        <f t="shared" si="181"/>
        <v>#DIV/0!</v>
      </c>
      <c r="AK57" s="3461"/>
      <c r="AL57" s="3349"/>
      <c r="AM57" s="3349"/>
      <c r="AN57" s="3349">
        <f t="shared" si="182"/>
        <v>0</v>
      </c>
      <c r="AO57" s="3350" t="e">
        <f t="shared" si="183"/>
        <v>#DIV/0!</v>
      </c>
      <c r="AP57" s="3461"/>
      <c r="AQ57" s="3349"/>
      <c r="AR57" s="3349"/>
      <c r="AS57" s="3349">
        <f t="shared" si="184"/>
        <v>0</v>
      </c>
      <c r="AT57" s="3350" t="e">
        <f t="shared" si="185"/>
        <v>#DIV/0!</v>
      </c>
      <c r="AU57" s="3461"/>
      <c r="AV57" s="3349"/>
      <c r="AW57" s="3349"/>
      <c r="AX57" s="3349">
        <f t="shared" si="186"/>
        <v>0</v>
      </c>
      <c r="AY57" s="3350" t="e">
        <f t="shared" si="187"/>
        <v>#DIV/0!</v>
      </c>
      <c r="AZ57" s="3461"/>
      <c r="BA57" s="3349"/>
      <c r="BB57" s="3349"/>
      <c r="BC57" s="3349">
        <f t="shared" si="188"/>
        <v>0</v>
      </c>
      <c r="BD57" s="3350" t="e">
        <f t="shared" si="189"/>
        <v>#DIV/0!</v>
      </c>
      <c r="BE57" s="3461"/>
      <c r="BF57" s="3349"/>
      <c r="BG57" s="3349"/>
      <c r="BH57" s="3349">
        <f t="shared" si="190"/>
        <v>0</v>
      </c>
      <c r="BI57" s="3350" t="e">
        <f t="shared" si="191"/>
        <v>#DIV/0!</v>
      </c>
      <c r="BJ57" s="3461"/>
      <c r="BK57" s="3349"/>
      <c r="BL57" s="3349"/>
      <c r="BM57" s="3349">
        <f t="shared" si="192"/>
        <v>0</v>
      </c>
      <c r="BN57" s="3350" t="e">
        <f t="shared" si="193"/>
        <v>#DIV/0!</v>
      </c>
      <c r="BO57" s="3461"/>
      <c r="BP57" s="3349"/>
      <c r="BQ57" s="3349"/>
      <c r="BR57" s="3349">
        <f t="shared" si="194"/>
        <v>0</v>
      </c>
      <c r="BS57" s="3350" t="e">
        <f t="shared" si="195"/>
        <v>#DIV/0!</v>
      </c>
      <c r="BT57" s="3461"/>
      <c r="BU57" s="3349"/>
      <c r="BV57" s="3349"/>
      <c r="BW57" s="3349">
        <f t="shared" si="196"/>
        <v>0</v>
      </c>
      <c r="BX57" s="3350" t="e">
        <f t="shared" si="197"/>
        <v>#DIV/0!</v>
      </c>
      <c r="BY57" s="3461"/>
      <c r="BZ57" s="3349"/>
      <c r="CA57" s="3349"/>
      <c r="CB57" s="3349">
        <f t="shared" si="198"/>
        <v>0</v>
      </c>
      <c r="CC57" s="3350" t="e">
        <f t="shared" si="199"/>
        <v>#DIV/0!</v>
      </c>
      <c r="CD57" s="3461"/>
      <c r="CE57" s="3349"/>
      <c r="CF57" s="3349"/>
      <c r="CG57" s="3349">
        <f t="shared" si="200"/>
        <v>0</v>
      </c>
      <c r="CH57" s="3350" t="e">
        <f t="shared" si="201"/>
        <v>#DIV/0!</v>
      </c>
      <c r="CI57" s="3461"/>
      <c r="CJ57" s="3341">
        <f t="shared" si="202"/>
        <v>0</v>
      </c>
      <c r="CK57" s="3341">
        <f t="shared" si="202"/>
        <v>0</v>
      </c>
      <c r="CL57" s="2012">
        <f t="shared" si="203"/>
        <v>0</v>
      </c>
      <c r="CM57" s="3350" t="e">
        <f t="shared" si="168"/>
        <v>#DIV/0!</v>
      </c>
      <c r="CN57" s="3360"/>
      <c r="CP57" s="2012">
        <f t="shared" si="204"/>
        <v>0</v>
      </c>
      <c r="CQ57" s="2012">
        <f t="shared" si="204"/>
        <v>0</v>
      </c>
      <c r="CR57" s="3441"/>
    </row>
    <row r="58" spans="1:98" ht="13.8" outlineLevel="2">
      <c r="A58" s="1571"/>
      <c r="B58" s="3372" t="s">
        <v>67</v>
      </c>
      <c r="C58" s="3349"/>
      <c r="D58" s="3349"/>
      <c r="E58" s="3349">
        <f t="shared" si="169"/>
        <v>0</v>
      </c>
      <c r="F58" s="3350" t="e">
        <f t="shared" si="133"/>
        <v>#DIV/0!</v>
      </c>
      <c r="G58" s="3461"/>
      <c r="H58" s="3349"/>
      <c r="I58" s="3349"/>
      <c r="J58" s="3349">
        <f t="shared" si="170"/>
        <v>0</v>
      </c>
      <c r="K58" s="3350" t="e">
        <f t="shared" si="171"/>
        <v>#DIV/0!</v>
      </c>
      <c r="L58" s="3461"/>
      <c r="M58" s="3349"/>
      <c r="N58" s="3349"/>
      <c r="O58" s="3349">
        <f t="shared" si="172"/>
        <v>0</v>
      </c>
      <c r="P58" s="3350" t="e">
        <f t="shared" si="173"/>
        <v>#DIV/0!</v>
      </c>
      <c r="Q58" s="3461"/>
      <c r="R58" s="3342">
        <f t="shared" si="174"/>
        <v>0</v>
      </c>
      <c r="S58" s="3342">
        <f t="shared" si="174"/>
        <v>0</v>
      </c>
      <c r="T58" s="2012">
        <f t="shared" si="175"/>
        <v>0</v>
      </c>
      <c r="U58" s="3462"/>
      <c r="V58" s="3462"/>
      <c r="W58" s="3342">
        <f t="shared" si="176"/>
        <v>0</v>
      </c>
      <c r="X58" s="3342">
        <f t="shared" si="176"/>
        <v>0</v>
      </c>
      <c r="Y58" s="2012">
        <f t="shared" si="177"/>
        <v>0</v>
      </c>
      <c r="Z58" s="3462"/>
      <c r="AA58" s="3462"/>
      <c r="AB58" s="3349"/>
      <c r="AC58" s="3349"/>
      <c r="AD58" s="3349">
        <f t="shared" si="178"/>
        <v>0</v>
      </c>
      <c r="AE58" s="3350" t="e">
        <f t="shared" si="179"/>
        <v>#DIV/0!</v>
      </c>
      <c r="AF58" s="3461"/>
      <c r="AG58" s="3349"/>
      <c r="AH58" s="3349"/>
      <c r="AI58" s="3349">
        <f t="shared" si="180"/>
        <v>0</v>
      </c>
      <c r="AJ58" s="3350" t="e">
        <f t="shared" si="181"/>
        <v>#DIV/0!</v>
      </c>
      <c r="AK58" s="3461"/>
      <c r="AL58" s="3349"/>
      <c r="AM58" s="3349"/>
      <c r="AN58" s="3349">
        <f t="shared" si="182"/>
        <v>0</v>
      </c>
      <c r="AO58" s="3350" t="e">
        <f t="shared" si="183"/>
        <v>#DIV/0!</v>
      </c>
      <c r="AP58" s="3461"/>
      <c r="AQ58" s="3349"/>
      <c r="AR58" s="3349"/>
      <c r="AS58" s="3349">
        <f t="shared" si="184"/>
        <v>0</v>
      </c>
      <c r="AT58" s="3350" t="e">
        <f t="shared" si="185"/>
        <v>#DIV/0!</v>
      </c>
      <c r="AU58" s="3461"/>
      <c r="AV58" s="3349"/>
      <c r="AW58" s="3349"/>
      <c r="AX58" s="3349">
        <f t="shared" si="186"/>
        <v>0</v>
      </c>
      <c r="AY58" s="3350" t="e">
        <f t="shared" si="187"/>
        <v>#DIV/0!</v>
      </c>
      <c r="AZ58" s="3461"/>
      <c r="BA58" s="3349"/>
      <c r="BB58" s="3349"/>
      <c r="BC58" s="3349">
        <f t="shared" si="188"/>
        <v>0</v>
      </c>
      <c r="BD58" s="3350" t="e">
        <f t="shared" si="189"/>
        <v>#DIV/0!</v>
      </c>
      <c r="BE58" s="3461"/>
      <c r="BF58" s="3349"/>
      <c r="BG58" s="3349"/>
      <c r="BH58" s="3349">
        <f t="shared" si="190"/>
        <v>0</v>
      </c>
      <c r="BI58" s="3350" t="e">
        <f t="shared" si="191"/>
        <v>#DIV/0!</v>
      </c>
      <c r="BJ58" s="3461"/>
      <c r="BK58" s="3349"/>
      <c r="BL58" s="3349"/>
      <c r="BM58" s="3349">
        <f t="shared" si="192"/>
        <v>0</v>
      </c>
      <c r="BN58" s="3350" t="e">
        <f t="shared" si="193"/>
        <v>#DIV/0!</v>
      </c>
      <c r="BO58" s="3461"/>
      <c r="BP58" s="3349"/>
      <c r="BQ58" s="3349"/>
      <c r="BR58" s="3349">
        <f t="shared" si="194"/>
        <v>0</v>
      </c>
      <c r="BS58" s="3350" t="e">
        <f t="shared" si="195"/>
        <v>#DIV/0!</v>
      </c>
      <c r="BT58" s="3461"/>
      <c r="BU58" s="3349"/>
      <c r="BV58" s="3349"/>
      <c r="BW58" s="3349">
        <f t="shared" si="196"/>
        <v>0</v>
      </c>
      <c r="BX58" s="3350" t="e">
        <f t="shared" si="197"/>
        <v>#DIV/0!</v>
      </c>
      <c r="BY58" s="3461"/>
      <c r="BZ58" s="3349"/>
      <c r="CA58" s="3349"/>
      <c r="CB58" s="3349">
        <f t="shared" si="198"/>
        <v>0</v>
      </c>
      <c r="CC58" s="3350" t="e">
        <f t="shared" si="199"/>
        <v>#DIV/0!</v>
      </c>
      <c r="CD58" s="3461"/>
      <c r="CE58" s="3349"/>
      <c r="CF58" s="3349"/>
      <c r="CG58" s="3349">
        <f t="shared" si="200"/>
        <v>0</v>
      </c>
      <c r="CH58" s="3350" t="e">
        <f t="shared" si="201"/>
        <v>#DIV/0!</v>
      </c>
      <c r="CI58" s="3461"/>
      <c r="CJ58" s="3341">
        <f t="shared" si="202"/>
        <v>0</v>
      </c>
      <c r="CK58" s="3341">
        <f t="shared" si="202"/>
        <v>0</v>
      </c>
      <c r="CL58" s="2012">
        <f t="shared" si="203"/>
        <v>0</v>
      </c>
      <c r="CM58" s="3350" t="e">
        <f t="shared" si="168"/>
        <v>#DIV/0!</v>
      </c>
      <c r="CN58" s="3360"/>
      <c r="CP58" s="2012">
        <f t="shared" si="204"/>
        <v>0</v>
      </c>
      <c r="CQ58" s="2012">
        <f t="shared" si="204"/>
        <v>0</v>
      </c>
      <c r="CR58" s="3441"/>
    </row>
    <row r="59" spans="1:98" ht="13.8" outlineLevel="2">
      <c r="A59" s="1571"/>
      <c r="B59" s="3372" t="s">
        <v>66</v>
      </c>
      <c r="C59" s="3349"/>
      <c r="D59" s="3349"/>
      <c r="E59" s="3349">
        <f t="shared" si="169"/>
        <v>0</v>
      </c>
      <c r="F59" s="3350" t="e">
        <f t="shared" si="133"/>
        <v>#DIV/0!</v>
      </c>
      <c r="G59" s="3461"/>
      <c r="H59" s="3349"/>
      <c r="I59" s="3349"/>
      <c r="J59" s="3349">
        <f t="shared" si="170"/>
        <v>0</v>
      </c>
      <c r="K59" s="3350" t="e">
        <f t="shared" si="171"/>
        <v>#DIV/0!</v>
      </c>
      <c r="L59" s="3461"/>
      <c r="M59" s="3349"/>
      <c r="N59" s="3349"/>
      <c r="O59" s="3349">
        <f t="shared" si="172"/>
        <v>0</v>
      </c>
      <c r="P59" s="3350" t="e">
        <f t="shared" si="173"/>
        <v>#DIV/0!</v>
      </c>
      <c r="Q59" s="3461"/>
      <c r="R59" s="3342">
        <f t="shared" si="174"/>
        <v>0</v>
      </c>
      <c r="S59" s="3342">
        <f t="shared" si="174"/>
        <v>0</v>
      </c>
      <c r="T59" s="2012">
        <f t="shared" si="175"/>
        <v>0</v>
      </c>
      <c r="U59" s="3462"/>
      <c r="V59" s="3462"/>
      <c r="W59" s="3342">
        <f t="shared" si="176"/>
        <v>0</v>
      </c>
      <c r="X59" s="3342">
        <f t="shared" si="176"/>
        <v>0</v>
      </c>
      <c r="Y59" s="2012">
        <f t="shared" si="177"/>
        <v>0</v>
      </c>
      <c r="Z59" s="3462"/>
      <c r="AA59" s="3462"/>
      <c r="AB59" s="3349"/>
      <c r="AC59" s="3349"/>
      <c r="AD59" s="3349">
        <f t="shared" si="178"/>
        <v>0</v>
      </c>
      <c r="AE59" s="3350" t="e">
        <f t="shared" si="179"/>
        <v>#DIV/0!</v>
      </c>
      <c r="AF59" s="3461"/>
      <c r="AG59" s="3349"/>
      <c r="AH59" s="3349"/>
      <c r="AI59" s="3349">
        <f t="shared" si="180"/>
        <v>0</v>
      </c>
      <c r="AJ59" s="3350" t="e">
        <f t="shared" si="181"/>
        <v>#DIV/0!</v>
      </c>
      <c r="AK59" s="3461"/>
      <c r="AL59" s="3349"/>
      <c r="AM59" s="3349"/>
      <c r="AN59" s="3349">
        <f t="shared" si="182"/>
        <v>0</v>
      </c>
      <c r="AO59" s="3350" t="e">
        <f t="shared" si="183"/>
        <v>#DIV/0!</v>
      </c>
      <c r="AP59" s="3461"/>
      <c r="AQ59" s="3349"/>
      <c r="AR59" s="3349"/>
      <c r="AS59" s="3349">
        <f t="shared" si="184"/>
        <v>0</v>
      </c>
      <c r="AT59" s="3350" t="e">
        <f t="shared" si="185"/>
        <v>#DIV/0!</v>
      </c>
      <c r="AU59" s="3461"/>
      <c r="AV59" s="3349"/>
      <c r="AW59" s="3349"/>
      <c r="AX59" s="3349">
        <f t="shared" si="186"/>
        <v>0</v>
      </c>
      <c r="AY59" s="3350" t="e">
        <f t="shared" si="187"/>
        <v>#DIV/0!</v>
      </c>
      <c r="AZ59" s="3461"/>
      <c r="BA59" s="3349"/>
      <c r="BB59" s="3349"/>
      <c r="BC59" s="3349">
        <f t="shared" si="188"/>
        <v>0</v>
      </c>
      <c r="BD59" s="3350" t="e">
        <f t="shared" si="189"/>
        <v>#DIV/0!</v>
      </c>
      <c r="BE59" s="3461"/>
      <c r="BF59" s="3349"/>
      <c r="BG59" s="3349"/>
      <c r="BH59" s="3349">
        <f t="shared" si="190"/>
        <v>0</v>
      </c>
      <c r="BI59" s="3350" t="e">
        <f t="shared" si="191"/>
        <v>#DIV/0!</v>
      </c>
      <c r="BJ59" s="3461"/>
      <c r="BK59" s="3349"/>
      <c r="BL59" s="3349"/>
      <c r="BM59" s="3349">
        <f t="shared" si="192"/>
        <v>0</v>
      </c>
      <c r="BN59" s="3350" t="e">
        <f t="shared" si="193"/>
        <v>#DIV/0!</v>
      </c>
      <c r="BO59" s="3461"/>
      <c r="BP59" s="3349"/>
      <c r="BQ59" s="3349"/>
      <c r="BR59" s="3349">
        <f t="shared" si="194"/>
        <v>0</v>
      </c>
      <c r="BS59" s="3350" t="e">
        <f t="shared" si="195"/>
        <v>#DIV/0!</v>
      </c>
      <c r="BT59" s="3461"/>
      <c r="BU59" s="3349"/>
      <c r="BV59" s="3349"/>
      <c r="BW59" s="3349">
        <f t="shared" si="196"/>
        <v>0</v>
      </c>
      <c r="BX59" s="3350" t="e">
        <f t="shared" si="197"/>
        <v>#DIV/0!</v>
      </c>
      <c r="BY59" s="3461"/>
      <c r="BZ59" s="3349"/>
      <c r="CA59" s="3349"/>
      <c r="CB59" s="3349">
        <f t="shared" si="198"/>
        <v>0</v>
      </c>
      <c r="CC59" s="3350" t="e">
        <f t="shared" si="199"/>
        <v>#DIV/0!</v>
      </c>
      <c r="CD59" s="3461"/>
      <c r="CE59" s="3349"/>
      <c r="CF59" s="3349"/>
      <c r="CG59" s="3349">
        <f t="shared" si="200"/>
        <v>0</v>
      </c>
      <c r="CH59" s="3350" t="e">
        <f t="shared" si="201"/>
        <v>#DIV/0!</v>
      </c>
      <c r="CI59" s="3461"/>
      <c r="CJ59" s="3341">
        <f t="shared" si="202"/>
        <v>0</v>
      </c>
      <c r="CK59" s="3341">
        <f t="shared" si="202"/>
        <v>0</v>
      </c>
      <c r="CL59" s="2012">
        <f t="shared" si="203"/>
        <v>0</v>
      </c>
      <c r="CM59" s="3350" t="e">
        <f t="shared" si="168"/>
        <v>#DIV/0!</v>
      </c>
      <c r="CN59" s="3360"/>
      <c r="CP59" s="2012">
        <f t="shared" si="204"/>
        <v>0</v>
      </c>
      <c r="CQ59" s="2012">
        <f t="shared" si="204"/>
        <v>0</v>
      </c>
      <c r="CR59" s="3441"/>
    </row>
    <row r="60" spans="1:98" ht="13.8" outlineLevel="2">
      <c r="A60" s="1571"/>
      <c r="B60" s="3372" t="s">
        <v>65</v>
      </c>
      <c r="C60" s="3349"/>
      <c r="D60" s="3349"/>
      <c r="E60" s="3349">
        <f t="shared" si="169"/>
        <v>0</v>
      </c>
      <c r="F60" s="3350" t="e">
        <f t="shared" si="133"/>
        <v>#DIV/0!</v>
      </c>
      <c r="G60" s="3461"/>
      <c r="H60" s="3349"/>
      <c r="I60" s="3349"/>
      <c r="J60" s="3349">
        <f t="shared" si="170"/>
        <v>0</v>
      </c>
      <c r="K60" s="3350" t="e">
        <f t="shared" si="171"/>
        <v>#DIV/0!</v>
      </c>
      <c r="L60" s="3461"/>
      <c r="M60" s="3349"/>
      <c r="N60" s="3349"/>
      <c r="O60" s="3349">
        <f t="shared" si="172"/>
        <v>0</v>
      </c>
      <c r="P60" s="3350" t="e">
        <f t="shared" si="173"/>
        <v>#DIV/0!</v>
      </c>
      <c r="Q60" s="3461"/>
      <c r="R60" s="3342">
        <f t="shared" si="174"/>
        <v>0</v>
      </c>
      <c r="S60" s="3342">
        <f t="shared" si="174"/>
        <v>0</v>
      </c>
      <c r="T60" s="2012">
        <f t="shared" si="175"/>
        <v>0</v>
      </c>
      <c r="U60" s="3462"/>
      <c r="V60" s="3462"/>
      <c r="W60" s="3342">
        <f t="shared" si="176"/>
        <v>0</v>
      </c>
      <c r="X60" s="3342">
        <f t="shared" si="176"/>
        <v>0</v>
      </c>
      <c r="Y60" s="2012">
        <f t="shared" si="177"/>
        <v>0</v>
      </c>
      <c r="Z60" s="3462"/>
      <c r="AA60" s="3462"/>
      <c r="AB60" s="3349"/>
      <c r="AC60" s="3349"/>
      <c r="AD60" s="3349">
        <f t="shared" si="178"/>
        <v>0</v>
      </c>
      <c r="AE60" s="3350" t="e">
        <f t="shared" si="179"/>
        <v>#DIV/0!</v>
      </c>
      <c r="AF60" s="3461"/>
      <c r="AG60" s="3349"/>
      <c r="AH60" s="3349"/>
      <c r="AI60" s="3349">
        <f t="shared" si="180"/>
        <v>0</v>
      </c>
      <c r="AJ60" s="3350" t="e">
        <f t="shared" si="181"/>
        <v>#DIV/0!</v>
      </c>
      <c r="AK60" s="3461"/>
      <c r="AL60" s="3349"/>
      <c r="AM60" s="3349"/>
      <c r="AN60" s="3349">
        <f t="shared" si="182"/>
        <v>0</v>
      </c>
      <c r="AO60" s="3350" t="e">
        <f t="shared" si="183"/>
        <v>#DIV/0!</v>
      </c>
      <c r="AP60" s="3461"/>
      <c r="AQ60" s="3349"/>
      <c r="AR60" s="3349"/>
      <c r="AS60" s="3349">
        <f t="shared" si="184"/>
        <v>0</v>
      </c>
      <c r="AT60" s="3350" t="e">
        <f t="shared" si="185"/>
        <v>#DIV/0!</v>
      </c>
      <c r="AU60" s="3461"/>
      <c r="AV60" s="3349"/>
      <c r="AW60" s="3349"/>
      <c r="AX60" s="3349">
        <f t="shared" si="186"/>
        <v>0</v>
      </c>
      <c r="AY60" s="3350" t="e">
        <f t="shared" si="187"/>
        <v>#DIV/0!</v>
      </c>
      <c r="AZ60" s="3461"/>
      <c r="BA60" s="3349"/>
      <c r="BB60" s="3349"/>
      <c r="BC60" s="3349">
        <f t="shared" si="188"/>
        <v>0</v>
      </c>
      <c r="BD60" s="3350" t="e">
        <f t="shared" si="189"/>
        <v>#DIV/0!</v>
      </c>
      <c r="BE60" s="3461"/>
      <c r="BF60" s="3349"/>
      <c r="BG60" s="3349"/>
      <c r="BH60" s="3349">
        <f t="shared" si="190"/>
        <v>0</v>
      </c>
      <c r="BI60" s="3350" t="e">
        <f t="shared" si="191"/>
        <v>#DIV/0!</v>
      </c>
      <c r="BJ60" s="3461"/>
      <c r="BK60" s="3349"/>
      <c r="BL60" s="3349"/>
      <c r="BM60" s="3349">
        <f t="shared" si="192"/>
        <v>0</v>
      </c>
      <c r="BN60" s="3350" t="e">
        <f t="shared" si="193"/>
        <v>#DIV/0!</v>
      </c>
      <c r="BO60" s="3461"/>
      <c r="BP60" s="3349"/>
      <c r="BQ60" s="3349"/>
      <c r="BR60" s="3349">
        <f t="shared" si="194"/>
        <v>0</v>
      </c>
      <c r="BS60" s="3350" t="e">
        <f t="shared" si="195"/>
        <v>#DIV/0!</v>
      </c>
      <c r="BT60" s="3461"/>
      <c r="BU60" s="3349"/>
      <c r="BV60" s="3349"/>
      <c r="BW60" s="3349">
        <f t="shared" si="196"/>
        <v>0</v>
      </c>
      <c r="BX60" s="3350" t="e">
        <f t="shared" si="197"/>
        <v>#DIV/0!</v>
      </c>
      <c r="BY60" s="3461"/>
      <c r="BZ60" s="3349"/>
      <c r="CA60" s="3349"/>
      <c r="CB60" s="3349">
        <f t="shared" si="198"/>
        <v>0</v>
      </c>
      <c r="CC60" s="3350" t="e">
        <f t="shared" si="199"/>
        <v>#DIV/0!</v>
      </c>
      <c r="CD60" s="3461"/>
      <c r="CE60" s="3349"/>
      <c r="CF60" s="3349"/>
      <c r="CG60" s="3349">
        <f t="shared" si="200"/>
        <v>0</v>
      </c>
      <c r="CH60" s="3350" t="e">
        <f t="shared" si="201"/>
        <v>#DIV/0!</v>
      </c>
      <c r="CI60" s="3461"/>
      <c r="CJ60" s="3341">
        <f t="shared" si="202"/>
        <v>0</v>
      </c>
      <c r="CK60" s="3341">
        <f t="shared" si="202"/>
        <v>0</v>
      </c>
      <c r="CL60" s="2012">
        <f t="shared" si="203"/>
        <v>0</v>
      </c>
      <c r="CM60" s="3350" t="e">
        <f t="shared" si="168"/>
        <v>#DIV/0!</v>
      </c>
      <c r="CN60" s="3360"/>
      <c r="CP60" s="2012">
        <f t="shared" si="204"/>
        <v>0</v>
      </c>
      <c r="CQ60" s="2012">
        <f t="shared" si="204"/>
        <v>0</v>
      </c>
      <c r="CR60" s="3441"/>
    </row>
    <row r="61" spans="1:98" ht="13.8" outlineLevel="2">
      <c r="A61" s="1571"/>
      <c r="B61" s="3372" t="s">
        <v>32</v>
      </c>
      <c r="C61" s="3349"/>
      <c r="D61" s="3349"/>
      <c r="E61" s="3349">
        <f t="shared" si="169"/>
        <v>0</v>
      </c>
      <c r="F61" s="3350" t="e">
        <f t="shared" si="133"/>
        <v>#DIV/0!</v>
      </c>
      <c r="G61" s="3461"/>
      <c r="H61" s="3349"/>
      <c r="I61" s="3349"/>
      <c r="J61" s="3349">
        <f t="shared" si="170"/>
        <v>0</v>
      </c>
      <c r="K61" s="3350" t="e">
        <f t="shared" si="171"/>
        <v>#DIV/0!</v>
      </c>
      <c r="L61" s="3461"/>
      <c r="M61" s="3349"/>
      <c r="N61" s="3349"/>
      <c r="O61" s="3349">
        <f t="shared" si="172"/>
        <v>0</v>
      </c>
      <c r="P61" s="3350" t="e">
        <f t="shared" si="173"/>
        <v>#DIV/0!</v>
      </c>
      <c r="Q61" s="3461"/>
      <c r="R61" s="3342">
        <f t="shared" si="174"/>
        <v>0</v>
      </c>
      <c r="S61" s="3342">
        <f t="shared" si="174"/>
        <v>0</v>
      </c>
      <c r="T61" s="2012">
        <f t="shared" si="175"/>
        <v>0</v>
      </c>
      <c r="U61" s="3462"/>
      <c r="V61" s="3462"/>
      <c r="W61" s="3342">
        <f t="shared" si="176"/>
        <v>0</v>
      </c>
      <c r="X61" s="3342">
        <f t="shared" si="176"/>
        <v>0</v>
      </c>
      <c r="Y61" s="2012">
        <f t="shared" si="177"/>
        <v>0</v>
      </c>
      <c r="Z61" s="3462"/>
      <c r="AA61" s="3462"/>
      <c r="AB61" s="3349"/>
      <c r="AC61" s="3349"/>
      <c r="AD61" s="3349">
        <f t="shared" si="178"/>
        <v>0</v>
      </c>
      <c r="AE61" s="3350" t="e">
        <f t="shared" si="179"/>
        <v>#DIV/0!</v>
      </c>
      <c r="AF61" s="3461"/>
      <c r="AG61" s="3349"/>
      <c r="AH61" s="3349"/>
      <c r="AI61" s="3349">
        <f t="shared" si="180"/>
        <v>0</v>
      </c>
      <c r="AJ61" s="3350" t="e">
        <f t="shared" si="181"/>
        <v>#DIV/0!</v>
      </c>
      <c r="AK61" s="3461"/>
      <c r="AL61" s="3349"/>
      <c r="AM61" s="3349"/>
      <c r="AN61" s="3349">
        <f t="shared" si="182"/>
        <v>0</v>
      </c>
      <c r="AO61" s="3350" t="e">
        <f t="shared" si="183"/>
        <v>#DIV/0!</v>
      </c>
      <c r="AP61" s="3461"/>
      <c r="AQ61" s="3349"/>
      <c r="AR61" s="3349"/>
      <c r="AS61" s="3349">
        <f t="shared" si="184"/>
        <v>0</v>
      </c>
      <c r="AT61" s="3350" t="e">
        <f t="shared" si="185"/>
        <v>#DIV/0!</v>
      </c>
      <c r="AU61" s="3461"/>
      <c r="AV61" s="3349"/>
      <c r="AW61" s="3349"/>
      <c r="AX61" s="3349">
        <f t="shared" si="186"/>
        <v>0</v>
      </c>
      <c r="AY61" s="3350" t="e">
        <f t="shared" si="187"/>
        <v>#DIV/0!</v>
      </c>
      <c r="AZ61" s="3461"/>
      <c r="BA61" s="3349"/>
      <c r="BB61" s="3349"/>
      <c r="BC61" s="3349">
        <f t="shared" si="188"/>
        <v>0</v>
      </c>
      <c r="BD61" s="3350" t="e">
        <f t="shared" si="189"/>
        <v>#DIV/0!</v>
      </c>
      <c r="BE61" s="3461"/>
      <c r="BF61" s="3349"/>
      <c r="BG61" s="3349"/>
      <c r="BH61" s="3349">
        <f t="shared" si="190"/>
        <v>0</v>
      </c>
      <c r="BI61" s="3350" t="e">
        <f t="shared" si="191"/>
        <v>#DIV/0!</v>
      </c>
      <c r="BJ61" s="3461"/>
      <c r="BK61" s="3349"/>
      <c r="BL61" s="3349"/>
      <c r="BM61" s="3349">
        <f t="shared" si="192"/>
        <v>0</v>
      </c>
      <c r="BN61" s="3350" t="e">
        <f t="shared" si="193"/>
        <v>#DIV/0!</v>
      </c>
      <c r="BO61" s="3461"/>
      <c r="BP61" s="3349"/>
      <c r="BQ61" s="3349"/>
      <c r="BR61" s="3349">
        <f t="shared" si="194"/>
        <v>0</v>
      </c>
      <c r="BS61" s="3350" t="e">
        <f t="shared" si="195"/>
        <v>#DIV/0!</v>
      </c>
      <c r="BT61" s="3461"/>
      <c r="BU61" s="3349"/>
      <c r="BV61" s="3349"/>
      <c r="BW61" s="3349">
        <f t="shared" si="196"/>
        <v>0</v>
      </c>
      <c r="BX61" s="3350" t="e">
        <f t="shared" si="197"/>
        <v>#DIV/0!</v>
      </c>
      <c r="BY61" s="3461"/>
      <c r="BZ61" s="3349"/>
      <c r="CA61" s="3349"/>
      <c r="CB61" s="3349">
        <f t="shared" si="198"/>
        <v>0</v>
      </c>
      <c r="CC61" s="3350" t="e">
        <f t="shared" si="199"/>
        <v>#DIV/0!</v>
      </c>
      <c r="CD61" s="3461"/>
      <c r="CE61" s="3349"/>
      <c r="CF61" s="3349"/>
      <c r="CG61" s="3349">
        <f t="shared" si="200"/>
        <v>0</v>
      </c>
      <c r="CH61" s="3350" t="e">
        <f t="shared" si="201"/>
        <v>#DIV/0!</v>
      </c>
      <c r="CI61" s="3461"/>
      <c r="CJ61" s="3341">
        <f t="shared" si="202"/>
        <v>0</v>
      </c>
      <c r="CK61" s="3341">
        <f t="shared" si="202"/>
        <v>0</v>
      </c>
      <c r="CL61" s="2012">
        <f t="shared" si="203"/>
        <v>0</v>
      </c>
      <c r="CM61" s="3350" t="e">
        <f t="shared" si="168"/>
        <v>#DIV/0!</v>
      </c>
      <c r="CN61" s="3360"/>
      <c r="CP61" s="2012">
        <f t="shared" si="204"/>
        <v>0</v>
      </c>
      <c r="CQ61" s="2012">
        <f t="shared" si="204"/>
        <v>0</v>
      </c>
      <c r="CR61" s="3441"/>
    </row>
    <row r="62" spans="1:98" ht="13.8" outlineLevel="2">
      <c r="A62" s="1571"/>
      <c r="B62" s="3372" t="s">
        <v>33</v>
      </c>
      <c r="C62" s="3349"/>
      <c r="D62" s="3349"/>
      <c r="E62" s="3349">
        <f t="shared" si="169"/>
        <v>0</v>
      </c>
      <c r="F62" s="3350" t="e">
        <f t="shared" si="133"/>
        <v>#DIV/0!</v>
      </c>
      <c r="G62" s="3461"/>
      <c r="H62" s="3349"/>
      <c r="I62" s="3349"/>
      <c r="J62" s="3349">
        <f t="shared" si="170"/>
        <v>0</v>
      </c>
      <c r="K62" s="3350" t="e">
        <f t="shared" si="171"/>
        <v>#DIV/0!</v>
      </c>
      <c r="L62" s="3461"/>
      <c r="M62" s="3349"/>
      <c r="N62" s="3349"/>
      <c r="O62" s="3349">
        <f t="shared" si="172"/>
        <v>0</v>
      </c>
      <c r="P62" s="3350" t="e">
        <f t="shared" si="173"/>
        <v>#DIV/0!</v>
      </c>
      <c r="Q62" s="3461"/>
      <c r="R62" s="3342">
        <f t="shared" si="174"/>
        <v>0</v>
      </c>
      <c r="S62" s="3342">
        <f t="shared" si="174"/>
        <v>0</v>
      </c>
      <c r="T62" s="2012">
        <f t="shared" si="175"/>
        <v>0</v>
      </c>
      <c r="U62" s="3462"/>
      <c r="V62" s="3462"/>
      <c r="W62" s="3342">
        <f t="shared" si="176"/>
        <v>0</v>
      </c>
      <c r="X62" s="3342">
        <f t="shared" si="176"/>
        <v>0</v>
      </c>
      <c r="Y62" s="2012">
        <f t="shared" si="177"/>
        <v>0</v>
      </c>
      <c r="Z62" s="3462"/>
      <c r="AA62" s="3462"/>
      <c r="AB62" s="3349"/>
      <c r="AC62" s="3349"/>
      <c r="AD62" s="3349">
        <f t="shared" si="178"/>
        <v>0</v>
      </c>
      <c r="AE62" s="3350" t="e">
        <f t="shared" si="179"/>
        <v>#DIV/0!</v>
      </c>
      <c r="AF62" s="3461"/>
      <c r="AG62" s="3349"/>
      <c r="AH62" s="3349"/>
      <c r="AI62" s="3349">
        <f t="shared" si="180"/>
        <v>0</v>
      </c>
      <c r="AJ62" s="3350" t="e">
        <f t="shared" si="181"/>
        <v>#DIV/0!</v>
      </c>
      <c r="AK62" s="3461"/>
      <c r="AL62" s="3349"/>
      <c r="AM62" s="3349"/>
      <c r="AN62" s="3349">
        <f t="shared" si="182"/>
        <v>0</v>
      </c>
      <c r="AO62" s="3350" t="e">
        <f t="shared" si="183"/>
        <v>#DIV/0!</v>
      </c>
      <c r="AP62" s="3461"/>
      <c r="AQ62" s="3349"/>
      <c r="AR62" s="3349"/>
      <c r="AS62" s="3349">
        <f t="shared" si="184"/>
        <v>0</v>
      </c>
      <c r="AT62" s="3350" t="e">
        <f t="shared" si="185"/>
        <v>#DIV/0!</v>
      </c>
      <c r="AU62" s="3461"/>
      <c r="AV62" s="3349"/>
      <c r="AW62" s="3349"/>
      <c r="AX62" s="3349">
        <f t="shared" si="186"/>
        <v>0</v>
      </c>
      <c r="AY62" s="3350" t="e">
        <f t="shared" si="187"/>
        <v>#DIV/0!</v>
      </c>
      <c r="AZ62" s="3461"/>
      <c r="BA62" s="3349"/>
      <c r="BB62" s="3349"/>
      <c r="BC62" s="3349">
        <f t="shared" si="188"/>
        <v>0</v>
      </c>
      <c r="BD62" s="3350" t="e">
        <f t="shared" si="189"/>
        <v>#DIV/0!</v>
      </c>
      <c r="BE62" s="3461"/>
      <c r="BF62" s="3349"/>
      <c r="BG62" s="3349"/>
      <c r="BH62" s="3349">
        <f t="shared" si="190"/>
        <v>0</v>
      </c>
      <c r="BI62" s="3350" t="e">
        <f t="shared" si="191"/>
        <v>#DIV/0!</v>
      </c>
      <c r="BJ62" s="3461"/>
      <c r="BK62" s="3349"/>
      <c r="BL62" s="3349"/>
      <c r="BM62" s="3349">
        <f t="shared" si="192"/>
        <v>0</v>
      </c>
      <c r="BN62" s="3350" t="e">
        <f t="shared" si="193"/>
        <v>#DIV/0!</v>
      </c>
      <c r="BO62" s="3461"/>
      <c r="BP62" s="3349"/>
      <c r="BQ62" s="3349"/>
      <c r="BR62" s="3349">
        <f t="shared" si="194"/>
        <v>0</v>
      </c>
      <c r="BS62" s="3350" t="e">
        <f t="shared" si="195"/>
        <v>#DIV/0!</v>
      </c>
      <c r="BT62" s="3461"/>
      <c r="BU62" s="3349"/>
      <c r="BV62" s="3349"/>
      <c r="BW62" s="3349">
        <f t="shared" si="196"/>
        <v>0</v>
      </c>
      <c r="BX62" s="3350" t="e">
        <f t="shared" si="197"/>
        <v>#DIV/0!</v>
      </c>
      <c r="BY62" s="3461"/>
      <c r="BZ62" s="3349"/>
      <c r="CA62" s="3349"/>
      <c r="CB62" s="3349">
        <f t="shared" si="198"/>
        <v>0</v>
      </c>
      <c r="CC62" s="3350" t="e">
        <f t="shared" si="199"/>
        <v>#DIV/0!</v>
      </c>
      <c r="CD62" s="3461"/>
      <c r="CE62" s="3349"/>
      <c r="CF62" s="3349"/>
      <c r="CG62" s="3349">
        <f t="shared" si="200"/>
        <v>0</v>
      </c>
      <c r="CH62" s="3350" t="e">
        <f t="shared" si="201"/>
        <v>#DIV/0!</v>
      </c>
      <c r="CI62" s="3461"/>
      <c r="CJ62" s="3341">
        <f t="shared" si="202"/>
        <v>0</v>
      </c>
      <c r="CK62" s="3341">
        <f t="shared" si="202"/>
        <v>0</v>
      </c>
      <c r="CL62" s="2012">
        <f t="shared" si="203"/>
        <v>0</v>
      </c>
      <c r="CM62" s="3350" t="e">
        <f t="shared" si="168"/>
        <v>#DIV/0!</v>
      </c>
      <c r="CN62" s="3360"/>
      <c r="CP62" s="2012">
        <f t="shared" si="204"/>
        <v>0</v>
      </c>
      <c r="CQ62" s="2012">
        <f t="shared" si="204"/>
        <v>0</v>
      </c>
      <c r="CR62" s="3441"/>
    </row>
    <row r="63" spans="1:98" ht="13.8" outlineLevel="2">
      <c r="A63" s="1571"/>
      <c r="B63" s="3372" t="s">
        <v>35</v>
      </c>
      <c r="C63" s="3349"/>
      <c r="D63" s="3349"/>
      <c r="E63" s="3349">
        <f t="shared" si="169"/>
        <v>0</v>
      </c>
      <c r="F63" s="3350" t="e">
        <f t="shared" si="133"/>
        <v>#DIV/0!</v>
      </c>
      <c r="G63" s="3461"/>
      <c r="H63" s="3349"/>
      <c r="I63" s="3349"/>
      <c r="J63" s="3349">
        <f t="shared" si="170"/>
        <v>0</v>
      </c>
      <c r="K63" s="3350" t="e">
        <f t="shared" si="171"/>
        <v>#DIV/0!</v>
      </c>
      <c r="L63" s="3461"/>
      <c r="M63" s="3349"/>
      <c r="N63" s="3349"/>
      <c r="O63" s="3349">
        <f t="shared" si="172"/>
        <v>0</v>
      </c>
      <c r="P63" s="3350" t="e">
        <f t="shared" si="173"/>
        <v>#DIV/0!</v>
      </c>
      <c r="Q63" s="3461"/>
      <c r="R63" s="3342">
        <f t="shared" si="174"/>
        <v>0</v>
      </c>
      <c r="S63" s="3342">
        <f t="shared" si="174"/>
        <v>0</v>
      </c>
      <c r="T63" s="2012">
        <f t="shared" si="175"/>
        <v>0</v>
      </c>
      <c r="U63" s="3462"/>
      <c r="V63" s="3462"/>
      <c r="W63" s="3342">
        <f t="shared" si="176"/>
        <v>0</v>
      </c>
      <c r="X63" s="3342">
        <f t="shared" si="176"/>
        <v>0</v>
      </c>
      <c r="Y63" s="2012">
        <f t="shared" si="177"/>
        <v>0</v>
      </c>
      <c r="Z63" s="3462"/>
      <c r="AA63" s="3462"/>
      <c r="AB63" s="3349"/>
      <c r="AC63" s="3349"/>
      <c r="AD63" s="3349">
        <f t="shared" si="178"/>
        <v>0</v>
      </c>
      <c r="AE63" s="3350" t="e">
        <f t="shared" si="179"/>
        <v>#DIV/0!</v>
      </c>
      <c r="AF63" s="3461"/>
      <c r="AG63" s="3349"/>
      <c r="AH63" s="3349"/>
      <c r="AI63" s="3349">
        <f t="shared" si="180"/>
        <v>0</v>
      </c>
      <c r="AJ63" s="3350" t="e">
        <f t="shared" si="181"/>
        <v>#DIV/0!</v>
      </c>
      <c r="AK63" s="3461"/>
      <c r="AL63" s="3349"/>
      <c r="AM63" s="3349"/>
      <c r="AN63" s="3349">
        <f t="shared" si="182"/>
        <v>0</v>
      </c>
      <c r="AO63" s="3350" t="e">
        <f t="shared" si="183"/>
        <v>#DIV/0!</v>
      </c>
      <c r="AP63" s="3461"/>
      <c r="AQ63" s="3349"/>
      <c r="AR63" s="3349"/>
      <c r="AS63" s="3349">
        <f t="shared" si="184"/>
        <v>0</v>
      </c>
      <c r="AT63" s="3350" t="e">
        <f t="shared" si="185"/>
        <v>#DIV/0!</v>
      </c>
      <c r="AU63" s="3461"/>
      <c r="AV63" s="3349"/>
      <c r="AW63" s="3349"/>
      <c r="AX63" s="3349">
        <f t="shared" si="186"/>
        <v>0</v>
      </c>
      <c r="AY63" s="3350" t="e">
        <f t="shared" si="187"/>
        <v>#DIV/0!</v>
      </c>
      <c r="AZ63" s="3461"/>
      <c r="BA63" s="3349"/>
      <c r="BB63" s="3349"/>
      <c r="BC63" s="3349">
        <f t="shared" si="188"/>
        <v>0</v>
      </c>
      <c r="BD63" s="3350" t="e">
        <f t="shared" si="189"/>
        <v>#DIV/0!</v>
      </c>
      <c r="BE63" s="3461"/>
      <c r="BF63" s="3349"/>
      <c r="BG63" s="3349"/>
      <c r="BH63" s="3349">
        <f t="shared" si="190"/>
        <v>0</v>
      </c>
      <c r="BI63" s="3350" t="e">
        <f t="shared" si="191"/>
        <v>#DIV/0!</v>
      </c>
      <c r="BJ63" s="3461"/>
      <c r="BK63" s="3349"/>
      <c r="BL63" s="3349"/>
      <c r="BM63" s="3349">
        <f t="shared" si="192"/>
        <v>0</v>
      </c>
      <c r="BN63" s="3350" t="e">
        <f t="shared" si="193"/>
        <v>#DIV/0!</v>
      </c>
      <c r="BO63" s="3461"/>
      <c r="BP63" s="3349"/>
      <c r="BQ63" s="3349"/>
      <c r="BR63" s="3349">
        <f t="shared" si="194"/>
        <v>0</v>
      </c>
      <c r="BS63" s="3350" t="e">
        <f t="shared" si="195"/>
        <v>#DIV/0!</v>
      </c>
      <c r="BT63" s="3461"/>
      <c r="BU63" s="3349"/>
      <c r="BV63" s="3349"/>
      <c r="BW63" s="3349">
        <f t="shared" si="196"/>
        <v>0</v>
      </c>
      <c r="BX63" s="3350" t="e">
        <f t="shared" si="197"/>
        <v>#DIV/0!</v>
      </c>
      <c r="BY63" s="3461"/>
      <c r="BZ63" s="3349"/>
      <c r="CA63" s="3349"/>
      <c r="CB63" s="3349">
        <f t="shared" si="198"/>
        <v>0</v>
      </c>
      <c r="CC63" s="3350" t="e">
        <f t="shared" si="199"/>
        <v>#DIV/0!</v>
      </c>
      <c r="CD63" s="3461"/>
      <c r="CE63" s="3349"/>
      <c r="CF63" s="3349"/>
      <c r="CG63" s="3349">
        <f t="shared" si="200"/>
        <v>0</v>
      </c>
      <c r="CH63" s="3350" t="e">
        <f t="shared" si="201"/>
        <v>#DIV/0!</v>
      </c>
      <c r="CI63" s="3461"/>
      <c r="CJ63" s="3341">
        <f t="shared" si="202"/>
        <v>0</v>
      </c>
      <c r="CK63" s="3341">
        <f t="shared" si="202"/>
        <v>0</v>
      </c>
      <c r="CL63" s="2012">
        <f t="shared" si="203"/>
        <v>0</v>
      </c>
      <c r="CM63" s="3350" t="e">
        <f t="shared" si="168"/>
        <v>#DIV/0!</v>
      </c>
      <c r="CN63" s="3360"/>
      <c r="CP63" s="2012">
        <f t="shared" si="204"/>
        <v>0</v>
      </c>
      <c r="CQ63" s="2012">
        <f t="shared" si="204"/>
        <v>0</v>
      </c>
      <c r="CR63" s="3441"/>
    </row>
    <row r="64" spans="1:98" ht="13.8" outlineLevel="2">
      <c r="A64" s="1571"/>
      <c r="B64" s="3372" t="s">
        <v>63</v>
      </c>
      <c r="C64" s="3349"/>
      <c r="D64" s="3349"/>
      <c r="E64" s="3349">
        <f t="shared" si="169"/>
        <v>0</v>
      </c>
      <c r="F64" s="3350" t="e">
        <f t="shared" si="133"/>
        <v>#DIV/0!</v>
      </c>
      <c r="G64" s="3461"/>
      <c r="H64" s="3349"/>
      <c r="I64" s="3349"/>
      <c r="J64" s="3349">
        <f t="shared" si="170"/>
        <v>0</v>
      </c>
      <c r="K64" s="3350" t="e">
        <f t="shared" si="171"/>
        <v>#DIV/0!</v>
      </c>
      <c r="L64" s="3461"/>
      <c r="M64" s="3349"/>
      <c r="N64" s="3349"/>
      <c r="O64" s="3349">
        <f t="shared" si="172"/>
        <v>0</v>
      </c>
      <c r="P64" s="3350" t="e">
        <f t="shared" si="173"/>
        <v>#DIV/0!</v>
      </c>
      <c r="Q64" s="3461"/>
      <c r="R64" s="3342">
        <f t="shared" si="174"/>
        <v>0</v>
      </c>
      <c r="S64" s="3342">
        <f t="shared" si="174"/>
        <v>0</v>
      </c>
      <c r="T64" s="2012">
        <f t="shared" si="175"/>
        <v>0</v>
      </c>
      <c r="U64" s="3462"/>
      <c r="V64" s="3462"/>
      <c r="W64" s="3342">
        <f t="shared" si="176"/>
        <v>0</v>
      </c>
      <c r="X64" s="3342">
        <f t="shared" si="176"/>
        <v>0</v>
      </c>
      <c r="Y64" s="2012">
        <f t="shared" si="177"/>
        <v>0</v>
      </c>
      <c r="Z64" s="3462"/>
      <c r="AA64" s="3462"/>
      <c r="AB64" s="3349"/>
      <c r="AC64" s="3349"/>
      <c r="AD64" s="3349">
        <f t="shared" si="178"/>
        <v>0</v>
      </c>
      <c r="AE64" s="3350" t="e">
        <f t="shared" si="179"/>
        <v>#DIV/0!</v>
      </c>
      <c r="AF64" s="3461"/>
      <c r="AG64" s="3349"/>
      <c r="AH64" s="3349"/>
      <c r="AI64" s="3349">
        <f t="shared" si="180"/>
        <v>0</v>
      </c>
      <c r="AJ64" s="3350" t="e">
        <f t="shared" si="181"/>
        <v>#DIV/0!</v>
      </c>
      <c r="AK64" s="3461"/>
      <c r="AL64" s="3349"/>
      <c r="AM64" s="3349"/>
      <c r="AN64" s="3349">
        <f t="shared" si="182"/>
        <v>0</v>
      </c>
      <c r="AO64" s="3350" t="e">
        <f t="shared" si="183"/>
        <v>#DIV/0!</v>
      </c>
      <c r="AP64" s="3461"/>
      <c r="AQ64" s="3349"/>
      <c r="AR64" s="3349"/>
      <c r="AS64" s="3349">
        <f t="shared" si="184"/>
        <v>0</v>
      </c>
      <c r="AT64" s="3350" t="e">
        <f t="shared" si="185"/>
        <v>#DIV/0!</v>
      </c>
      <c r="AU64" s="3461"/>
      <c r="AV64" s="3349"/>
      <c r="AW64" s="3349"/>
      <c r="AX64" s="3349">
        <f t="shared" si="186"/>
        <v>0</v>
      </c>
      <c r="AY64" s="3350" t="e">
        <f t="shared" si="187"/>
        <v>#DIV/0!</v>
      </c>
      <c r="AZ64" s="3461"/>
      <c r="BA64" s="3349"/>
      <c r="BB64" s="3349"/>
      <c r="BC64" s="3349">
        <f t="shared" si="188"/>
        <v>0</v>
      </c>
      <c r="BD64" s="3350" t="e">
        <f t="shared" si="189"/>
        <v>#DIV/0!</v>
      </c>
      <c r="BE64" s="3461"/>
      <c r="BF64" s="3349"/>
      <c r="BG64" s="3349"/>
      <c r="BH64" s="3349">
        <f t="shared" si="190"/>
        <v>0</v>
      </c>
      <c r="BI64" s="3350" t="e">
        <f t="shared" si="191"/>
        <v>#DIV/0!</v>
      </c>
      <c r="BJ64" s="3461"/>
      <c r="BK64" s="3349"/>
      <c r="BL64" s="3349"/>
      <c r="BM64" s="3349">
        <f t="shared" si="192"/>
        <v>0</v>
      </c>
      <c r="BN64" s="3350" t="e">
        <f t="shared" si="193"/>
        <v>#DIV/0!</v>
      </c>
      <c r="BO64" s="3461"/>
      <c r="BP64" s="3349"/>
      <c r="BQ64" s="3349"/>
      <c r="BR64" s="3349">
        <f t="shared" si="194"/>
        <v>0</v>
      </c>
      <c r="BS64" s="3350" t="e">
        <f t="shared" si="195"/>
        <v>#DIV/0!</v>
      </c>
      <c r="BT64" s="3461"/>
      <c r="BU64" s="3349"/>
      <c r="BV64" s="3349"/>
      <c r="BW64" s="3349">
        <f t="shared" si="196"/>
        <v>0</v>
      </c>
      <c r="BX64" s="3350" t="e">
        <f t="shared" si="197"/>
        <v>#DIV/0!</v>
      </c>
      <c r="BY64" s="3461"/>
      <c r="BZ64" s="3349"/>
      <c r="CA64" s="3349"/>
      <c r="CB64" s="3349">
        <f t="shared" si="198"/>
        <v>0</v>
      </c>
      <c r="CC64" s="3350" t="e">
        <f t="shared" si="199"/>
        <v>#DIV/0!</v>
      </c>
      <c r="CD64" s="3461"/>
      <c r="CE64" s="3349"/>
      <c r="CF64" s="3349"/>
      <c r="CG64" s="3349">
        <f t="shared" si="200"/>
        <v>0</v>
      </c>
      <c r="CH64" s="3350" t="e">
        <f t="shared" si="201"/>
        <v>#DIV/0!</v>
      </c>
      <c r="CI64" s="3461"/>
      <c r="CJ64" s="3341">
        <f t="shared" si="202"/>
        <v>0</v>
      </c>
      <c r="CK64" s="3341">
        <f t="shared" si="202"/>
        <v>0</v>
      </c>
      <c r="CL64" s="2012">
        <f t="shared" si="203"/>
        <v>0</v>
      </c>
      <c r="CM64" s="3350" t="e">
        <f t="shared" si="168"/>
        <v>#DIV/0!</v>
      </c>
      <c r="CN64" s="3360"/>
      <c r="CP64" s="2012">
        <f t="shared" si="204"/>
        <v>0</v>
      </c>
      <c r="CQ64" s="2012">
        <f t="shared" si="204"/>
        <v>0</v>
      </c>
      <c r="CR64" s="3441"/>
    </row>
    <row r="65" spans="1:98" ht="13.8" outlineLevel="2">
      <c r="A65" s="1571"/>
      <c r="B65" s="3372" t="s">
        <v>36</v>
      </c>
      <c r="C65" s="3341"/>
      <c r="D65" s="3341"/>
      <c r="E65" s="3349">
        <f t="shared" si="169"/>
        <v>0</v>
      </c>
      <c r="F65" s="3350" t="e">
        <f t="shared" si="133"/>
        <v>#DIV/0!</v>
      </c>
      <c r="G65" s="3461"/>
      <c r="H65" s="3341"/>
      <c r="I65" s="3341"/>
      <c r="J65" s="3349">
        <f t="shared" si="170"/>
        <v>0</v>
      </c>
      <c r="K65" s="3350" t="e">
        <f t="shared" si="171"/>
        <v>#DIV/0!</v>
      </c>
      <c r="L65" s="3461"/>
      <c r="M65" s="3341"/>
      <c r="N65" s="3341"/>
      <c r="O65" s="3349">
        <f t="shared" si="172"/>
        <v>0</v>
      </c>
      <c r="P65" s="3350" t="e">
        <f t="shared" si="173"/>
        <v>#DIV/0!</v>
      </c>
      <c r="Q65" s="3461"/>
      <c r="R65" s="3342">
        <f t="shared" si="174"/>
        <v>0</v>
      </c>
      <c r="S65" s="3342">
        <f t="shared" si="174"/>
        <v>0</v>
      </c>
      <c r="T65" s="2012">
        <f t="shared" si="175"/>
        <v>0</v>
      </c>
      <c r="U65" s="3462"/>
      <c r="V65" s="3462"/>
      <c r="W65" s="3342">
        <f t="shared" si="176"/>
        <v>0</v>
      </c>
      <c r="X65" s="3342">
        <f t="shared" si="176"/>
        <v>0</v>
      </c>
      <c r="Y65" s="2012">
        <f t="shared" si="177"/>
        <v>0</v>
      </c>
      <c r="Z65" s="3462"/>
      <c r="AA65" s="3462"/>
      <c r="AB65" s="3341"/>
      <c r="AC65" s="3341"/>
      <c r="AD65" s="3349">
        <f t="shared" si="178"/>
        <v>0</v>
      </c>
      <c r="AE65" s="3350" t="e">
        <f t="shared" si="179"/>
        <v>#DIV/0!</v>
      </c>
      <c r="AF65" s="3461"/>
      <c r="AG65" s="3341"/>
      <c r="AH65" s="3341"/>
      <c r="AI65" s="3349">
        <f t="shared" si="180"/>
        <v>0</v>
      </c>
      <c r="AJ65" s="3350" t="e">
        <f t="shared" si="181"/>
        <v>#DIV/0!</v>
      </c>
      <c r="AK65" s="3461"/>
      <c r="AL65" s="3341"/>
      <c r="AM65" s="3341"/>
      <c r="AN65" s="3349">
        <f t="shared" si="182"/>
        <v>0</v>
      </c>
      <c r="AO65" s="3350" t="e">
        <f t="shared" si="183"/>
        <v>#DIV/0!</v>
      </c>
      <c r="AP65" s="3461"/>
      <c r="AQ65" s="3341"/>
      <c r="AR65" s="3341"/>
      <c r="AS65" s="3349">
        <f t="shared" si="184"/>
        <v>0</v>
      </c>
      <c r="AT65" s="3350" t="e">
        <f t="shared" si="185"/>
        <v>#DIV/0!</v>
      </c>
      <c r="AU65" s="3461"/>
      <c r="AV65" s="3341"/>
      <c r="AW65" s="3341"/>
      <c r="AX65" s="3349">
        <f t="shared" si="186"/>
        <v>0</v>
      </c>
      <c r="AY65" s="3350" t="e">
        <f t="shared" si="187"/>
        <v>#DIV/0!</v>
      </c>
      <c r="AZ65" s="3461"/>
      <c r="BA65" s="3341"/>
      <c r="BB65" s="3341"/>
      <c r="BC65" s="3349">
        <f t="shared" si="188"/>
        <v>0</v>
      </c>
      <c r="BD65" s="3350" t="e">
        <f t="shared" si="189"/>
        <v>#DIV/0!</v>
      </c>
      <c r="BE65" s="3461"/>
      <c r="BF65" s="3341"/>
      <c r="BG65" s="3341"/>
      <c r="BH65" s="3349">
        <f t="shared" si="190"/>
        <v>0</v>
      </c>
      <c r="BI65" s="3350" t="e">
        <f t="shared" si="191"/>
        <v>#DIV/0!</v>
      </c>
      <c r="BJ65" s="3461"/>
      <c r="BK65" s="3341"/>
      <c r="BL65" s="3341"/>
      <c r="BM65" s="3349">
        <f t="shared" si="192"/>
        <v>0</v>
      </c>
      <c r="BN65" s="3350" t="e">
        <f t="shared" si="193"/>
        <v>#DIV/0!</v>
      </c>
      <c r="BO65" s="3461"/>
      <c r="BP65" s="3341"/>
      <c r="BQ65" s="3341"/>
      <c r="BR65" s="3349">
        <f t="shared" si="194"/>
        <v>0</v>
      </c>
      <c r="BS65" s="3350" t="e">
        <f t="shared" si="195"/>
        <v>#DIV/0!</v>
      </c>
      <c r="BT65" s="3461"/>
      <c r="BU65" s="3341"/>
      <c r="BV65" s="3341"/>
      <c r="BW65" s="3349">
        <f t="shared" si="196"/>
        <v>0</v>
      </c>
      <c r="BX65" s="3350" t="e">
        <f t="shared" si="197"/>
        <v>#DIV/0!</v>
      </c>
      <c r="BY65" s="3461"/>
      <c r="BZ65" s="3341"/>
      <c r="CA65" s="3341"/>
      <c r="CB65" s="3349">
        <f t="shared" si="198"/>
        <v>0</v>
      </c>
      <c r="CC65" s="3350" t="e">
        <f t="shared" si="199"/>
        <v>#DIV/0!</v>
      </c>
      <c r="CD65" s="3461"/>
      <c r="CE65" s="3341"/>
      <c r="CF65" s="3341"/>
      <c r="CG65" s="3349">
        <f t="shared" si="200"/>
        <v>0</v>
      </c>
      <c r="CH65" s="3350" t="e">
        <f t="shared" si="201"/>
        <v>#DIV/0!</v>
      </c>
      <c r="CI65" s="3461"/>
      <c r="CJ65" s="3341">
        <f t="shared" si="202"/>
        <v>0</v>
      </c>
      <c r="CK65" s="3341">
        <f t="shared" si="202"/>
        <v>0</v>
      </c>
      <c r="CL65" s="2012">
        <f t="shared" si="203"/>
        <v>0</v>
      </c>
      <c r="CM65" s="3350" t="e">
        <f t="shared" si="168"/>
        <v>#DIV/0!</v>
      </c>
      <c r="CN65" s="3360"/>
      <c r="CP65" s="2012">
        <f t="shared" si="204"/>
        <v>0</v>
      </c>
      <c r="CQ65" s="2012">
        <f t="shared" si="204"/>
        <v>0</v>
      </c>
      <c r="CR65" s="3441"/>
    </row>
    <row r="66" spans="1:98" s="1396" customFormat="1" ht="13.8" outlineLevel="2">
      <c r="A66" s="1571"/>
      <c r="B66" s="3372" t="s">
        <v>37</v>
      </c>
      <c r="C66" s="3341"/>
      <c r="D66" s="3341"/>
      <c r="E66" s="3349">
        <f t="shared" si="169"/>
        <v>0</v>
      </c>
      <c r="F66" s="3350" t="e">
        <f t="shared" si="133"/>
        <v>#DIV/0!</v>
      </c>
      <c r="G66" s="3461"/>
      <c r="H66" s="3341"/>
      <c r="I66" s="3341"/>
      <c r="J66" s="3349">
        <f t="shared" si="170"/>
        <v>0</v>
      </c>
      <c r="K66" s="3350" t="e">
        <f t="shared" si="171"/>
        <v>#DIV/0!</v>
      </c>
      <c r="L66" s="3461"/>
      <c r="M66" s="3341"/>
      <c r="N66" s="3341"/>
      <c r="O66" s="3349">
        <f t="shared" si="172"/>
        <v>0</v>
      </c>
      <c r="P66" s="3350" t="e">
        <f t="shared" si="173"/>
        <v>#DIV/0!</v>
      </c>
      <c r="Q66" s="3461"/>
      <c r="R66" s="3342">
        <f t="shared" si="174"/>
        <v>0</v>
      </c>
      <c r="S66" s="3342">
        <f t="shared" si="174"/>
        <v>0</v>
      </c>
      <c r="T66" s="2012">
        <f t="shared" si="175"/>
        <v>0</v>
      </c>
      <c r="U66" s="3462"/>
      <c r="V66" s="3462"/>
      <c r="W66" s="3342">
        <f t="shared" si="176"/>
        <v>0</v>
      </c>
      <c r="X66" s="3342">
        <f t="shared" si="176"/>
        <v>0</v>
      </c>
      <c r="Y66" s="2012">
        <f t="shared" si="177"/>
        <v>0</v>
      </c>
      <c r="Z66" s="3462"/>
      <c r="AA66" s="3462"/>
      <c r="AB66" s="3341"/>
      <c r="AC66" s="3341"/>
      <c r="AD66" s="3349">
        <f t="shared" si="178"/>
        <v>0</v>
      </c>
      <c r="AE66" s="3350" t="e">
        <f t="shared" si="179"/>
        <v>#DIV/0!</v>
      </c>
      <c r="AF66" s="3461"/>
      <c r="AG66" s="3341"/>
      <c r="AH66" s="3341"/>
      <c r="AI66" s="3349">
        <f t="shared" si="180"/>
        <v>0</v>
      </c>
      <c r="AJ66" s="3350" t="e">
        <f t="shared" si="181"/>
        <v>#DIV/0!</v>
      </c>
      <c r="AK66" s="3461"/>
      <c r="AL66" s="3341"/>
      <c r="AM66" s="3341"/>
      <c r="AN66" s="3349">
        <f t="shared" si="182"/>
        <v>0</v>
      </c>
      <c r="AO66" s="3350" t="e">
        <f t="shared" si="183"/>
        <v>#DIV/0!</v>
      </c>
      <c r="AP66" s="3461"/>
      <c r="AQ66" s="3341"/>
      <c r="AR66" s="3341"/>
      <c r="AS66" s="3349">
        <f t="shared" si="184"/>
        <v>0</v>
      </c>
      <c r="AT66" s="3350" t="e">
        <f t="shared" si="185"/>
        <v>#DIV/0!</v>
      </c>
      <c r="AU66" s="3461"/>
      <c r="AV66" s="3341"/>
      <c r="AW66" s="3341"/>
      <c r="AX66" s="3349">
        <f t="shared" si="186"/>
        <v>0</v>
      </c>
      <c r="AY66" s="3350" t="e">
        <f t="shared" si="187"/>
        <v>#DIV/0!</v>
      </c>
      <c r="AZ66" s="3461"/>
      <c r="BA66" s="3341"/>
      <c r="BB66" s="3341"/>
      <c r="BC66" s="3349">
        <f t="shared" si="188"/>
        <v>0</v>
      </c>
      <c r="BD66" s="3350" t="e">
        <f t="shared" si="189"/>
        <v>#DIV/0!</v>
      </c>
      <c r="BE66" s="3461"/>
      <c r="BF66" s="3341"/>
      <c r="BG66" s="3341"/>
      <c r="BH66" s="3349">
        <f t="shared" si="190"/>
        <v>0</v>
      </c>
      <c r="BI66" s="3350" t="e">
        <f t="shared" si="191"/>
        <v>#DIV/0!</v>
      </c>
      <c r="BJ66" s="3461"/>
      <c r="BK66" s="3341"/>
      <c r="BL66" s="3341"/>
      <c r="BM66" s="3349">
        <f t="shared" si="192"/>
        <v>0</v>
      </c>
      <c r="BN66" s="3350" t="e">
        <f t="shared" si="193"/>
        <v>#DIV/0!</v>
      </c>
      <c r="BO66" s="3461"/>
      <c r="BP66" s="3341"/>
      <c r="BQ66" s="3341"/>
      <c r="BR66" s="3349">
        <f t="shared" si="194"/>
        <v>0</v>
      </c>
      <c r="BS66" s="3350" t="e">
        <f t="shared" si="195"/>
        <v>#DIV/0!</v>
      </c>
      <c r="BT66" s="3461"/>
      <c r="BU66" s="3341"/>
      <c r="BV66" s="3341"/>
      <c r="BW66" s="3349">
        <f t="shared" si="196"/>
        <v>0</v>
      </c>
      <c r="BX66" s="3350" t="e">
        <f t="shared" si="197"/>
        <v>#DIV/0!</v>
      </c>
      <c r="BY66" s="3461"/>
      <c r="BZ66" s="3341"/>
      <c r="CA66" s="3341"/>
      <c r="CB66" s="3349">
        <f t="shared" si="198"/>
        <v>0</v>
      </c>
      <c r="CC66" s="3350" t="e">
        <f t="shared" si="199"/>
        <v>#DIV/0!</v>
      </c>
      <c r="CD66" s="3461"/>
      <c r="CE66" s="3341"/>
      <c r="CF66" s="3341"/>
      <c r="CG66" s="3349">
        <f t="shared" si="200"/>
        <v>0</v>
      </c>
      <c r="CH66" s="3350" t="e">
        <f t="shared" si="201"/>
        <v>#DIV/0!</v>
      </c>
      <c r="CI66" s="3461"/>
      <c r="CJ66" s="3341">
        <f t="shared" si="202"/>
        <v>0</v>
      </c>
      <c r="CK66" s="3341">
        <f t="shared" si="202"/>
        <v>0</v>
      </c>
      <c r="CL66" s="2012">
        <f t="shared" si="203"/>
        <v>0</v>
      </c>
      <c r="CM66" s="3350" t="e">
        <f t="shared" si="168"/>
        <v>#DIV/0!</v>
      </c>
      <c r="CN66" s="3360"/>
      <c r="CP66" s="2012">
        <f t="shared" si="204"/>
        <v>0</v>
      </c>
      <c r="CQ66" s="2012">
        <f t="shared" si="204"/>
        <v>0</v>
      </c>
      <c r="CR66" s="3441"/>
      <c r="CT66" s="2624"/>
    </row>
    <row r="67" spans="1:98" s="1396" customFormat="1" ht="13.8" outlineLevel="2">
      <c r="A67" s="1571"/>
      <c r="B67" s="3372" t="s">
        <v>3</v>
      </c>
      <c r="C67" s="3341"/>
      <c r="D67" s="3341"/>
      <c r="E67" s="3349">
        <f t="shared" si="169"/>
        <v>0</v>
      </c>
      <c r="F67" s="3350" t="e">
        <f t="shared" si="133"/>
        <v>#DIV/0!</v>
      </c>
      <c r="G67" s="3461"/>
      <c r="H67" s="3341"/>
      <c r="I67" s="3341"/>
      <c r="J67" s="3349">
        <f t="shared" si="170"/>
        <v>0</v>
      </c>
      <c r="K67" s="3350" t="e">
        <f t="shared" si="171"/>
        <v>#DIV/0!</v>
      </c>
      <c r="L67" s="3461"/>
      <c r="M67" s="3341"/>
      <c r="N67" s="3341"/>
      <c r="O67" s="3349">
        <f t="shared" si="172"/>
        <v>0</v>
      </c>
      <c r="P67" s="3350" t="e">
        <f t="shared" si="173"/>
        <v>#DIV/0!</v>
      </c>
      <c r="Q67" s="3461"/>
      <c r="R67" s="3342">
        <f t="shared" si="174"/>
        <v>0</v>
      </c>
      <c r="S67" s="3342">
        <f t="shared" si="174"/>
        <v>0</v>
      </c>
      <c r="T67" s="2012">
        <f t="shared" si="175"/>
        <v>0</v>
      </c>
      <c r="U67" s="3462"/>
      <c r="V67" s="3462"/>
      <c r="W67" s="3342">
        <f t="shared" si="176"/>
        <v>0</v>
      </c>
      <c r="X67" s="3342">
        <f t="shared" si="176"/>
        <v>0</v>
      </c>
      <c r="Y67" s="2012">
        <f t="shared" si="177"/>
        <v>0</v>
      </c>
      <c r="Z67" s="3462"/>
      <c r="AA67" s="3462"/>
      <c r="AB67" s="3341"/>
      <c r="AC67" s="3341"/>
      <c r="AD67" s="3349">
        <f t="shared" si="178"/>
        <v>0</v>
      </c>
      <c r="AE67" s="3350" t="e">
        <f t="shared" si="179"/>
        <v>#DIV/0!</v>
      </c>
      <c r="AF67" s="3461"/>
      <c r="AG67" s="3341"/>
      <c r="AH67" s="3341"/>
      <c r="AI67" s="3349">
        <f t="shared" si="180"/>
        <v>0</v>
      </c>
      <c r="AJ67" s="3350" t="e">
        <f t="shared" si="181"/>
        <v>#DIV/0!</v>
      </c>
      <c r="AK67" s="3461"/>
      <c r="AL67" s="3341"/>
      <c r="AM67" s="3341"/>
      <c r="AN67" s="3349">
        <f t="shared" si="182"/>
        <v>0</v>
      </c>
      <c r="AO67" s="3350" t="e">
        <f t="shared" si="183"/>
        <v>#DIV/0!</v>
      </c>
      <c r="AP67" s="3461"/>
      <c r="AQ67" s="3341"/>
      <c r="AR67" s="3341"/>
      <c r="AS67" s="3349">
        <f t="shared" si="184"/>
        <v>0</v>
      </c>
      <c r="AT67" s="3350" t="e">
        <f t="shared" si="185"/>
        <v>#DIV/0!</v>
      </c>
      <c r="AU67" s="3461"/>
      <c r="AV67" s="3341"/>
      <c r="AW67" s="3341"/>
      <c r="AX67" s="3349">
        <f t="shared" si="186"/>
        <v>0</v>
      </c>
      <c r="AY67" s="3350" t="e">
        <f t="shared" si="187"/>
        <v>#DIV/0!</v>
      </c>
      <c r="AZ67" s="3461"/>
      <c r="BA67" s="3341"/>
      <c r="BB67" s="3341"/>
      <c r="BC67" s="3349">
        <f t="shared" si="188"/>
        <v>0</v>
      </c>
      <c r="BD67" s="3350" t="e">
        <f t="shared" si="189"/>
        <v>#DIV/0!</v>
      </c>
      <c r="BE67" s="3461"/>
      <c r="BF67" s="3341"/>
      <c r="BG67" s="3341"/>
      <c r="BH67" s="3349">
        <f t="shared" si="190"/>
        <v>0</v>
      </c>
      <c r="BI67" s="3350" t="e">
        <f t="shared" si="191"/>
        <v>#DIV/0!</v>
      </c>
      <c r="BJ67" s="3461"/>
      <c r="BK67" s="3341"/>
      <c r="BL67" s="3341"/>
      <c r="BM67" s="3349">
        <f t="shared" si="192"/>
        <v>0</v>
      </c>
      <c r="BN67" s="3350" t="e">
        <f t="shared" si="193"/>
        <v>#DIV/0!</v>
      </c>
      <c r="BO67" s="3461"/>
      <c r="BP67" s="3341"/>
      <c r="BQ67" s="3341"/>
      <c r="BR67" s="3349">
        <f t="shared" si="194"/>
        <v>0</v>
      </c>
      <c r="BS67" s="3350" t="e">
        <f t="shared" si="195"/>
        <v>#DIV/0!</v>
      </c>
      <c r="BT67" s="3461"/>
      <c r="BU67" s="3341"/>
      <c r="BV67" s="3341"/>
      <c r="BW67" s="3349">
        <f t="shared" si="196"/>
        <v>0</v>
      </c>
      <c r="BX67" s="3350" t="e">
        <f t="shared" si="197"/>
        <v>#DIV/0!</v>
      </c>
      <c r="BY67" s="3461"/>
      <c r="BZ67" s="3341"/>
      <c r="CA67" s="3341"/>
      <c r="CB67" s="3349">
        <f t="shared" si="198"/>
        <v>0</v>
      </c>
      <c r="CC67" s="3350" t="e">
        <f t="shared" si="199"/>
        <v>#DIV/0!</v>
      </c>
      <c r="CD67" s="3461"/>
      <c r="CE67" s="3341"/>
      <c r="CF67" s="3341"/>
      <c r="CG67" s="3349">
        <f t="shared" si="200"/>
        <v>0</v>
      </c>
      <c r="CH67" s="3350" t="e">
        <f t="shared" si="201"/>
        <v>#DIV/0!</v>
      </c>
      <c r="CI67" s="3461"/>
      <c r="CJ67" s="3341">
        <f t="shared" si="202"/>
        <v>0</v>
      </c>
      <c r="CK67" s="3341">
        <f t="shared" si="202"/>
        <v>0</v>
      </c>
      <c r="CL67" s="2012">
        <f t="shared" si="203"/>
        <v>0</v>
      </c>
      <c r="CM67" s="3350" t="e">
        <f t="shared" si="168"/>
        <v>#DIV/0!</v>
      </c>
      <c r="CN67" s="3360"/>
      <c r="CP67" s="2012">
        <f t="shared" si="204"/>
        <v>0</v>
      </c>
      <c r="CQ67" s="2012">
        <f t="shared" si="204"/>
        <v>0</v>
      </c>
      <c r="CR67" s="3441"/>
      <c r="CT67" s="2624"/>
    </row>
    <row r="68" spans="1:98" s="1396" customFormat="1" ht="13.8" outlineLevel="2">
      <c r="A68" s="1571"/>
      <c r="B68" s="3372" t="s">
        <v>5</v>
      </c>
      <c r="C68" s="3341"/>
      <c r="D68" s="3341"/>
      <c r="E68" s="3349">
        <f t="shared" si="169"/>
        <v>0</v>
      </c>
      <c r="F68" s="3350" t="e">
        <f t="shared" si="133"/>
        <v>#DIV/0!</v>
      </c>
      <c r="G68" s="3341"/>
      <c r="H68" s="3341"/>
      <c r="I68" s="3341"/>
      <c r="J68" s="3349">
        <f t="shared" si="170"/>
        <v>0</v>
      </c>
      <c r="K68" s="3350" t="e">
        <f t="shared" si="171"/>
        <v>#DIV/0!</v>
      </c>
      <c r="L68" s="3341"/>
      <c r="M68" s="3341"/>
      <c r="N68" s="3341"/>
      <c r="O68" s="3349">
        <f t="shared" si="172"/>
        <v>0</v>
      </c>
      <c r="P68" s="3350" t="e">
        <f t="shared" si="173"/>
        <v>#DIV/0!</v>
      </c>
      <c r="Q68" s="3341"/>
      <c r="R68" s="3342">
        <f t="shared" si="174"/>
        <v>0</v>
      </c>
      <c r="S68" s="3342">
        <f t="shared" si="174"/>
        <v>0</v>
      </c>
      <c r="T68" s="2012">
        <f t="shared" si="175"/>
        <v>0</v>
      </c>
      <c r="U68" s="3341"/>
      <c r="V68" s="3341"/>
      <c r="W68" s="3342">
        <f t="shared" si="176"/>
        <v>0</v>
      </c>
      <c r="X68" s="3342">
        <f t="shared" si="176"/>
        <v>0</v>
      </c>
      <c r="Y68" s="2012">
        <f t="shared" si="177"/>
        <v>0</v>
      </c>
      <c r="Z68" s="3341"/>
      <c r="AA68" s="3341"/>
      <c r="AB68" s="3341"/>
      <c r="AC68" s="3341"/>
      <c r="AD68" s="3349">
        <f t="shared" si="178"/>
        <v>0</v>
      </c>
      <c r="AE68" s="3350" t="e">
        <f t="shared" si="179"/>
        <v>#DIV/0!</v>
      </c>
      <c r="AF68" s="3341"/>
      <c r="AG68" s="3341"/>
      <c r="AH68" s="3341"/>
      <c r="AI68" s="3349">
        <f t="shared" si="180"/>
        <v>0</v>
      </c>
      <c r="AJ68" s="3350" t="e">
        <f t="shared" si="181"/>
        <v>#DIV/0!</v>
      </c>
      <c r="AK68" s="3341"/>
      <c r="AL68" s="3341"/>
      <c r="AM68" s="3341"/>
      <c r="AN68" s="3349">
        <f t="shared" si="182"/>
        <v>0</v>
      </c>
      <c r="AO68" s="3350" t="e">
        <f t="shared" si="183"/>
        <v>#DIV/0!</v>
      </c>
      <c r="AP68" s="3341"/>
      <c r="AQ68" s="3341"/>
      <c r="AR68" s="3341"/>
      <c r="AS68" s="3349">
        <f t="shared" si="184"/>
        <v>0</v>
      </c>
      <c r="AT68" s="3350" t="e">
        <f t="shared" si="185"/>
        <v>#DIV/0!</v>
      </c>
      <c r="AU68" s="3341"/>
      <c r="AV68" s="3341"/>
      <c r="AW68" s="3341"/>
      <c r="AX68" s="3349">
        <f t="shared" si="186"/>
        <v>0</v>
      </c>
      <c r="AY68" s="3350" t="e">
        <f t="shared" si="187"/>
        <v>#DIV/0!</v>
      </c>
      <c r="AZ68" s="3341"/>
      <c r="BA68" s="3341"/>
      <c r="BB68" s="3341"/>
      <c r="BC68" s="3349">
        <f t="shared" si="188"/>
        <v>0</v>
      </c>
      <c r="BD68" s="3350" t="e">
        <f t="shared" si="189"/>
        <v>#DIV/0!</v>
      </c>
      <c r="BE68" s="3341"/>
      <c r="BF68" s="3341"/>
      <c r="BG68" s="3341"/>
      <c r="BH68" s="3349">
        <f t="shared" si="190"/>
        <v>0</v>
      </c>
      <c r="BI68" s="3350" t="e">
        <f t="shared" si="191"/>
        <v>#DIV/0!</v>
      </c>
      <c r="BJ68" s="3341"/>
      <c r="BK68" s="3341"/>
      <c r="BL68" s="3341"/>
      <c r="BM68" s="3349">
        <f t="shared" si="192"/>
        <v>0</v>
      </c>
      <c r="BN68" s="3350" t="e">
        <f t="shared" si="193"/>
        <v>#DIV/0!</v>
      </c>
      <c r="BO68" s="3341"/>
      <c r="BP68" s="3341"/>
      <c r="BQ68" s="3341"/>
      <c r="BR68" s="3349">
        <f t="shared" si="194"/>
        <v>0</v>
      </c>
      <c r="BS68" s="3350" t="e">
        <f t="shared" si="195"/>
        <v>#DIV/0!</v>
      </c>
      <c r="BT68" s="3341"/>
      <c r="BU68" s="3341"/>
      <c r="BV68" s="3341"/>
      <c r="BW68" s="3349">
        <f t="shared" si="196"/>
        <v>0</v>
      </c>
      <c r="BX68" s="3350" t="e">
        <f t="shared" si="197"/>
        <v>#DIV/0!</v>
      </c>
      <c r="BY68" s="3341"/>
      <c r="BZ68" s="3341"/>
      <c r="CA68" s="3341"/>
      <c r="CB68" s="3349">
        <f t="shared" si="198"/>
        <v>0</v>
      </c>
      <c r="CC68" s="3350" t="e">
        <f t="shared" si="199"/>
        <v>#DIV/0!</v>
      </c>
      <c r="CD68" s="3341"/>
      <c r="CE68" s="3341"/>
      <c r="CF68" s="3341"/>
      <c r="CG68" s="3349">
        <f t="shared" si="200"/>
        <v>0</v>
      </c>
      <c r="CH68" s="3350" t="e">
        <f t="shared" si="201"/>
        <v>#DIV/0!</v>
      </c>
      <c r="CI68" s="3341"/>
      <c r="CJ68" s="3341">
        <f t="shared" si="202"/>
        <v>0</v>
      </c>
      <c r="CK68" s="3341">
        <f t="shared" si="202"/>
        <v>0</v>
      </c>
      <c r="CL68" s="2012">
        <f t="shared" si="203"/>
        <v>0</v>
      </c>
      <c r="CM68" s="3350" t="e">
        <f t="shared" si="168"/>
        <v>#DIV/0!</v>
      </c>
      <c r="CN68" s="3360"/>
      <c r="CP68" s="2012">
        <f t="shared" si="204"/>
        <v>0</v>
      </c>
      <c r="CQ68" s="2012">
        <f t="shared" si="204"/>
        <v>0</v>
      </c>
      <c r="CR68" s="3441"/>
      <c r="CT68" s="2624"/>
    </row>
    <row r="69" spans="1:98" s="1396" customFormat="1" ht="13.8" outlineLevel="2">
      <c r="A69" s="1571"/>
      <c r="B69" s="3372" t="s">
        <v>42</v>
      </c>
      <c r="C69" s="3341"/>
      <c r="D69" s="3341"/>
      <c r="E69" s="3349">
        <f t="shared" si="169"/>
        <v>0</v>
      </c>
      <c r="F69" s="3350" t="e">
        <f t="shared" si="133"/>
        <v>#DIV/0!</v>
      </c>
      <c r="G69" s="3461"/>
      <c r="H69" s="3341"/>
      <c r="I69" s="3341"/>
      <c r="J69" s="3349">
        <f t="shared" si="170"/>
        <v>0</v>
      </c>
      <c r="K69" s="3350" t="e">
        <f t="shared" si="171"/>
        <v>#DIV/0!</v>
      </c>
      <c r="L69" s="3461"/>
      <c r="M69" s="3341"/>
      <c r="N69" s="3341"/>
      <c r="O69" s="3349">
        <f t="shared" si="172"/>
        <v>0</v>
      </c>
      <c r="P69" s="3350" t="e">
        <f t="shared" si="173"/>
        <v>#DIV/0!</v>
      </c>
      <c r="Q69" s="3461"/>
      <c r="R69" s="3342">
        <f t="shared" si="174"/>
        <v>0</v>
      </c>
      <c r="S69" s="3342">
        <f t="shared" si="174"/>
        <v>0</v>
      </c>
      <c r="T69" s="2012">
        <f t="shared" si="175"/>
        <v>0</v>
      </c>
      <c r="U69" s="3462"/>
      <c r="V69" s="3462"/>
      <c r="W69" s="3342">
        <f t="shared" si="176"/>
        <v>0</v>
      </c>
      <c r="X69" s="3342">
        <f t="shared" si="176"/>
        <v>0</v>
      </c>
      <c r="Y69" s="2012">
        <f t="shared" si="177"/>
        <v>0</v>
      </c>
      <c r="Z69" s="3462"/>
      <c r="AA69" s="3462"/>
      <c r="AB69" s="3341"/>
      <c r="AC69" s="3341"/>
      <c r="AD69" s="3349">
        <f t="shared" si="178"/>
        <v>0</v>
      </c>
      <c r="AE69" s="3350" t="e">
        <f t="shared" si="179"/>
        <v>#DIV/0!</v>
      </c>
      <c r="AF69" s="3461"/>
      <c r="AG69" s="3341"/>
      <c r="AH69" s="3341"/>
      <c r="AI69" s="3349">
        <f t="shared" si="180"/>
        <v>0</v>
      </c>
      <c r="AJ69" s="3350" t="e">
        <f t="shared" si="181"/>
        <v>#DIV/0!</v>
      </c>
      <c r="AK69" s="3461"/>
      <c r="AL69" s="3341"/>
      <c r="AM69" s="3341"/>
      <c r="AN69" s="3349">
        <f t="shared" si="182"/>
        <v>0</v>
      </c>
      <c r="AO69" s="3350" t="e">
        <f t="shared" si="183"/>
        <v>#DIV/0!</v>
      </c>
      <c r="AP69" s="3461"/>
      <c r="AQ69" s="3341"/>
      <c r="AR69" s="3341"/>
      <c r="AS69" s="3349">
        <f t="shared" si="184"/>
        <v>0</v>
      </c>
      <c r="AT69" s="3350" t="e">
        <f t="shared" si="185"/>
        <v>#DIV/0!</v>
      </c>
      <c r="AU69" s="3461"/>
      <c r="AV69" s="3341"/>
      <c r="AW69" s="3341"/>
      <c r="AX69" s="3349">
        <f t="shared" si="186"/>
        <v>0</v>
      </c>
      <c r="AY69" s="3350" t="e">
        <f t="shared" si="187"/>
        <v>#DIV/0!</v>
      </c>
      <c r="AZ69" s="3461"/>
      <c r="BA69" s="3341"/>
      <c r="BB69" s="3341"/>
      <c r="BC69" s="3349">
        <f t="shared" si="188"/>
        <v>0</v>
      </c>
      <c r="BD69" s="3350" t="e">
        <f t="shared" si="189"/>
        <v>#DIV/0!</v>
      </c>
      <c r="BE69" s="3461"/>
      <c r="BF69" s="3341"/>
      <c r="BG69" s="3341"/>
      <c r="BH69" s="3349">
        <f t="shared" si="190"/>
        <v>0</v>
      </c>
      <c r="BI69" s="3350" t="e">
        <f t="shared" si="191"/>
        <v>#DIV/0!</v>
      </c>
      <c r="BJ69" s="3461"/>
      <c r="BK69" s="3341"/>
      <c r="BL69" s="3341"/>
      <c r="BM69" s="3349">
        <f t="shared" si="192"/>
        <v>0</v>
      </c>
      <c r="BN69" s="3350" t="e">
        <f t="shared" si="193"/>
        <v>#DIV/0!</v>
      </c>
      <c r="BO69" s="3461"/>
      <c r="BP69" s="3341"/>
      <c r="BQ69" s="3341"/>
      <c r="BR69" s="3349">
        <f t="shared" si="194"/>
        <v>0</v>
      </c>
      <c r="BS69" s="3350" t="e">
        <f t="shared" si="195"/>
        <v>#DIV/0!</v>
      </c>
      <c r="BT69" s="3461"/>
      <c r="BU69" s="3341"/>
      <c r="BV69" s="3341"/>
      <c r="BW69" s="3349">
        <f t="shared" si="196"/>
        <v>0</v>
      </c>
      <c r="BX69" s="3350" t="e">
        <f t="shared" si="197"/>
        <v>#DIV/0!</v>
      </c>
      <c r="BY69" s="3461"/>
      <c r="BZ69" s="3341"/>
      <c r="CA69" s="3341"/>
      <c r="CB69" s="3349">
        <f t="shared" si="198"/>
        <v>0</v>
      </c>
      <c r="CC69" s="3350" t="e">
        <f t="shared" si="199"/>
        <v>#DIV/0!</v>
      </c>
      <c r="CD69" s="3461"/>
      <c r="CE69" s="3341"/>
      <c r="CF69" s="3341"/>
      <c r="CG69" s="3349">
        <f t="shared" si="200"/>
        <v>0</v>
      </c>
      <c r="CH69" s="3350" t="e">
        <f t="shared" si="201"/>
        <v>#DIV/0!</v>
      </c>
      <c r="CI69" s="3461"/>
      <c r="CJ69" s="3341">
        <f t="shared" si="202"/>
        <v>0</v>
      </c>
      <c r="CK69" s="3341">
        <f t="shared" si="202"/>
        <v>0</v>
      </c>
      <c r="CL69" s="2012">
        <f t="shared" si="203"/>
        <v>0</v>
      </c>
      <c r="CM69" s="3350" t="e">
        <f t="shared" si="168"/>
        <v>#DIV/0!</v>
      </c>
      <c r="CN69" s="3360"/>
      <c r="CP69" s="2012">
        <f t="shared" si="204"/>
        <v>0</v>
      </c>
      <c r="CQ69" s="2012">
        <f t="shared" si="204"/>
        <v>0</v>
      </c>
      <c r="CR69" s="3441"/>
      <c r="CT69" s="2624"/>
    </row>
    <row r="70" spans="1:98" s="1396" customFormat="1" ht="13.8" outlineLevel="2">
      <c r="A70" s="1571"/>
      <c r="B70" s="3372" t="s">
        <v>6</v>
      </c>
      <c r="C70" s="3341"/>
      <c r="D70" s="3341"/>
      <c r="E70" s="3349">
        <f t="shared" si="169"/>
        <v>0</v>
      </c>
      <c r="F70" s="3350" t="e">
        <f t="shared" si="133"/>
        <v>#DIV/0!</v>
      </c>
      <c r="G70" s="3461"/>
      <c r="H70" s="3341"/>
      <c r="I70" s="3341"/>
      <c r="J70" s="3349">
        <f t="shared" si="170"/>
        <v>0</v>
      </c>
      <c r="K70" s="3350" t="e">
        <f t="shared" si="171"/>
        <v>#DIV/0!</v>
      </c>
      <c r="L70" s="3461"/>
      <c r="M70" s="3341"/>
      <c r="N70" s="3341"/>
      <c r="O70" s="3349">
        <f t="shared" si="172"/>
        <v>0</v>
      </c>
      <c r="P70" s="3350" t="e">
        <f t="shared" si="173"/>
        <v>#DIV/0!</v>
      </c>
      <c r="Q70" s="3461"/>
      <c r="R70" s="3342">
        <f t="shared" si="174"/>
        <v>0</v>
      </c>
      <c r="S70" s="3342">
        <f t="shared" si="174"/>
        <v>0</v>
      </c>
      <c r="T70" s="2012">
        <f t="shared" si="175"/>
        <v>0</v>
      </c>
      <c r="U70" s="3462"/>
      <c r="V70" s="3462"/>
      <c r="W70" s="3342">
        <f t="shared" si="176"/>
        <v>0</v>
      </c>
      <c r="X70" s="3342">
        <f t="shared" si="176"/>
        <v>0</v>
      </c>
      <c r="Y70" s="2012">
        <f t="shared" si="177"/>
        <v>0</v>
      </c>
      <c r="Z70" s="3462"/>
      <c r="AA70" s="3462"/>
      <c r="AB70" s="3341"/>
      <c r="AC70" s="3341"/>
      <c r="AD70" s="3349">
        <f t="shared" si="178"/>
        <v>0</v>
      </c>
      <c r="AE70" s="3350" t="e">
        <f t="shared" si="179"/>
        <v>#DIV/0!</v>
      </c>
      <c r="AF70" s="3461"/>
      <c r="AG70" s="3341"/>
      <c r="AH70" s="3341"/>
      <c r="AI70" s="3349">
        <f t="shared" si="180"/>
        <v>0</v>
      </c>
      <c r="AJ70" s="3350" t="e">
        <f t="shared" si="181"/>
        <v>#DIV/0!</v>
      </c>
      <c r="AK70" s="3461"/>
      <c r="AL70" s="3341"/>
      <c r="AM70" s="3341"/>
      <c r="AN70" s="3349">
        <f t="shared" si="182"/>
        <v>0</v>
      </c>
      <c r="AO70" s="3350" t="e">
        <f t="shared" si="183"/>
        <v>#DIV/0!</v>
      </c>
      <c r="AP70" s="3461"/>
      <c r="AQ70" s="3341"/>
      <c r="AR70" s="3341"/>
      <c r="AS70" s="3349">
        <f t="shared" si="184"/>
        <v>0</v>
      </c>
      <c r="AT70" s="3350" t="e">
        <f t="shared" si="185"/>
        <v>#DIV/0!</v>
      </c>
      <c r="AU70" s="3461"/>
      <c r="AV70" s="3341"/>
      <c r="AW70" s="3341"/>
      <c r="AX70" s="3349">
        <f t="shared" si="186"/>
        <v>0</v>
      </c>
      <c r="AY70" s="3350" t="e">
        <f t="shared" si="187"/>
        <v>#DIV/0!</v>
      </c>
      <c r="AZ70" s="3461"/>
      <c r="BA70" s="3341"/>
      <c r="BB70" s="3341"/>
      <c r="BC70" s="3349">
        <f t="shared" si="188"/>
        <v>0</v>
      </c>
      <c r="BD70" s="3350" t="e">
        <f t="shared" si="189"/>
        <v>#DIV/0!</v>
      </c>
      <c r="BE70" s="3461"/>
      <c r="BF70" s="3341"/>
      <c r="BG70" s="3341"/>
      <c r="BH70" s="3349">
        <f t="shared" si="190"/>
        <v>0</v>
      </c>
      <c r="BI70" s="3350" t="e">
        <f t="shared" si="191"/>
        <v>#DIV/0!</v>
      </c>
      <c r="BJ70" s="3461"/>
      <c r="BK70" s="3341"/>
      <c r="BL70" s="3341"/>
      <c r="BM70" s="3349">
        <f t="shared" si="192"/>
        <v>0</v>
      </c>
      <c r="BN70" s="3350" t="e">
        <f t="shared" si="193"/>
        <v>#DIV/0!</v>
      </c>
      <c r="BO70" s="3461"/>
      <c r="BP70" s="3341"/>
      <c r="BQ70" s="3341"/>
      <c r="BR70" s="3349">
        <f t="shared" si="194"/>
        <v>0</v>
      </c>
      <c r="BS70" s="3350" t="e">
        <f t="shared" si="195"/>
        <v>#DIV/0!</v>
      </c>
      <c r="BT70" s="3461"/>
      <c r="BU70" s="3341"/>
      <c r="BV70" s="3341"/>
      <c r="BW70" s="3349">
        <f t="shared" si="196"/>
        <v>0</v>
      </c>
      <c r="BX70" s="3350" t="e">
        <f t="shared" si="197"/>
        <v>#DIV/0!</v>
      </c>
      <c r="BY70" s="3461"/>
      <c r="BZ70" s="3341"/>
      <c r="CA70" s="3341"/>
      <c r="CB70" s="3349">
        <f t="shared" si="198"/>
        <v>0</v>
      </c>
      <c r="CC70" s="3350" t="e">
        <f t="shared" si="199"/>
        <v>#DIV/0!</v>
      </c>
      <c r="CD70" s="3461"/>
      <c r="CE70" s="3341"/>
      <c r="CF70" s="3341"/>
      <c r="CG70" s="3349">
        <f t="shared" si="200"/>
        <v>0</v>
      </c>
      <c r="CH70" s="3350" t="e">
        <f t="shared" si="201"/>
        <v>#DIV/0!</v>
      </c>
      <c r="CI70" s="3461"/>
      <c r="CJ70" s="3341">
        <f t="shared" si="202"/>
        <v>0</v>
      </c>
      <c r="CK70" s="3341">
        <f t="shared" si="202"/>
        <v>0</v>
      </c>
      <c r="CL70" s="2012">
        <f t="shared" si="203"/>
        <v>0</v>
      </c>
      <c r="CM70" s="3350" t="e">
        <f t="shared" si="168"/>
        <v>#DIV/0!</v>
      </c>
      <c r="CN70" s="3360"/>
      <c r="CP70" s="2012">
        <f t="shared" si="204"/>
        <v>0</v>
      </c>
      <c r="CQ70" s="2012">
        <f t="shared" si="204"/>
        <v>0</v>
      </c>
      <c r="CR70" s="3441"/>
      <c r="CT70" s="2624"/>
    </row>
    <row r="71" spans="1:98" s="1396" customFormat="1" ht="13.8" outlineLevel="2">
      <c r="A71" s="1571"/>
      <c r="B71" s="3372" t="s">
        <v>78</v>
      </c>
      <c r="C71" s="3341"/>
      <c r="D71" s="3341"/>
      <c r="E71" s="3349">
        <f t="shared" si="169"/>
        <v>0</v>
      </c>
      <c r="F71" s="3350" t="e">
        <f t="shared" si="133"/>
        <v>#DIV/0!</v>
      </c>
      <c r="G71" s="3461"/>
      <c r="H71" s="3341"/>
      <c r="I71" s="3341"/>
      <c r="J71" s="3349">
        <f t="shared" si="170"/>
        <v>0</v>
      </c>
      <c r="K71" s="3350" t="e">
        <f t="shared" si="171"/>
        <v>#DIV/0!</v>
      </c>
      <c r="L71" s="3461"/>
      <c r="M71" s="3341"/>
      <c r="N71" s="3341"/>
      <c r="O71" s="3349">
        <f t="shared" si="172"/>
        <v>0</v>
      </c>
      <c r="P71" s="3350" t="e">
        <f t="shared" si="173"/>
        <v>#DIV/0!</v>
      </c>
      <c r="Q71" s="3461"/>
      <c r="R71" s="3342">
        <f t="shared" si="174"/>
        <v>0</v>
      </c>
      <c r="S71" s="3342">
        <f t="shared" si="174"/>
        <v>0</v>
      </c>
      <c r="T71" s="2012">
        <f t="shared" si="175"/>
        <v>0</v>
      </c>
      <c r="U71" s="3462"/>
      <c r="V71" s="3462"/>
      <c r="W71" s="3342">
        <f t="shared" si="176"/>
        <v>0</v>
      </c>
      <c r="X71" s="3342">
        <f t="shared" si="176"/>
        <v>0</v>
      </c>
      <c r="Y71" s="2012">
        <f t="shared" si="177"/>
        <v>0</v>
      </c>
      <c r="Z71" s="3462"/>
      <c r="AA71" s="3462"/>
      <c r="AB71" s="3341"/>
      <c r="AC71" s="3341"/>
      <c r="AD71" s="3349">
        <f t="shared" si="178"/>
        <v>0</v>
      </c>
      <c r="AE71" s="3350" t="e">
        <f t="shared" si="179"/>
        <v>#DIV/0!</v>
      </c>
      <c r="AF71" s="3461"/>
      <c r="AG71" s="3341"/>
      <c r="AH71" s="3341"/>
      <c r="AI71" s="3349">
        <f t="shared" si="180"/>
        <v>0</v>
      </c>
      <c r="AJ71" s="3350" t="e">
        <f t="shared" si="181"/>
        <v>#DIV/0!</v>
      </c>
      <c r="AK71" s="3461"/>
      <c r="AL71" s="3341"/>
      <c r="AM71" s="3341"/>
      <c r="AN71" s="3349">
        <f t="shared" si="182"/>
        <v>0</v>
      </c>
      <c r="AO71" s="3350" t="e">
        <f t="shared" si="183"/>
        <v>#DIV/0!</v>
      </c>
      <c r="AP71" s="3461"/>
      <c r="AQ71" s="3341"/>
      <c r="AR71" s="3341"/>
      <c r="AS71" s="3349">
        <f t="shared" si="184"/>
        <v>0</v>
      </c>
      <c r="AT71" s="3350" t="e">
        <f t="shared" si="185"/>
        <v>#DIV/0!</v>
      </c>
      <c r="AU71" s="3461"/>
      <c r="AV71" s="3341"/>
      <c r="AW71" s="3341"/>
      <c r="AX71" s="3349">
        <f t="shared" si="186"/>
        <v>0</v>
      </c>
      <c r="AY71" s="3350" t="e">
        <f t="shared" si="187"/>
        <v>#DIV/0!</v>
      </c>
      <c r="AZ71" s="3461"/>
      <c r="BA71" s="3341"/>
      <c r="BB71" s="3341"/>
      <c r="BC71" s="3349">
        <f t="shared" si="188"/>
        <v>0</v>
      </c>
      <c r="BD71" s="3350" t="e">
        <f t="shared" si="189"/>
        <v>#DIV/0!</v>
      </c>
      <c r="BE71" s="3461"/>
      <c r="BF71" s="3341"/>
      <c r="BG71" s="3341"/>
      <c r="BH71" s="3349">
        <f t="shared" si="190"/>
        <v>0</v>
      </c>
      <c r="BI71" s="3350" t="e">
        <f t="shared" si="191"/>
        <v>#DIV/0!</v>
      </c>
      <c r="BJ71" s="3461"/>
      <c r="BK71" s="3341"/>
      <c r="BL71" s="3341"/>
      <c r="BM71" s="3349">
        <f t="shared" si="192"/>
        <v>0</v>
      </c>
      <c r="BN71" s="3350" t="e">
        <f t="shared" si="193"/>
        <v>#DIV/0!</v>
      </c>
      <c r="BO71" s="3461"/>
      <c r="BP71" s="3341"/>
      <c r="BQ71" s="3341"/>
      <c r="BR71" s="3349">
        <f t="shared" si="194"/>
        <v>0</v>
      </c>
      <c r="BS71" s="3350" t="e">
        <f t="shared" si="195"/>
        <v>#DIV/0!</v>
      </c>
      <c r="BT71" s="3461"/>
      <c r="BU71" s="3341"/>
      <c r="BV71" s="3341"/>
      <c r="BW71" s="3349">
        <f t="shared" si="196"/>
        <v>0</v>
      </c>
      <c r="BX71" s="3350" t="e">
        <f t="shared" si="197"/>
        <v>#DIV/0!</v>
      </c>
      <c r="BY71" s="3461"/>
      <c r="BZ71" s="3341"/>
      <c r="CA71" s="3341"/>
      <c r="CB71" s="3349">
        <f t="shared" si="198"/>
        <v>0</v>
      </c>
      <c r="CC71" s="3350" t="e">
        <f t="shared" si="199"/>
        <v>#DIV/0!</v>
      </c>
      <c r="CD71" s="3461"/>
      <c r="CE71" s="3341"/>
      <c r="CF71" s="3341"/>
      <c r="CG71" s="3349">
        <f t="shared" si="200"/>
        <v>0</v>
      </c>
      <c r="CH71" s="3350" t="e">
        <f t="shared" si="201"/>
        <v>#DIV/0!</v>
      </c>
      <c r="CI71" s="3461"/>
      <c r="CJ71" s="3341">
        <f t="shared" si="202"/>
        <v>0</v>
      </c>
      <c r="CK71" s="3341">
        <f t="shared" si="202"/>
        <v>0</v>
      </c>
      <c r="CL71" s="2012">
        <f t="shared" si="203"/>
        <v>0</v>
      </c>
      <c r="CM71" s="3350" t="e">
        <f t="shared" si="168"/>
        <v>#DIV/0!</v>
      </c>
      <c r="CN71" s="3360"/>
      <c r="CP71" s="2012">
        <f t="shared" si="204"/>
        <v>0</v>
      </c>
      <c r="CQ71" s="2012">
        <f t="shared" si="204"/>
        <v>0</v>
      </c>
      <c r="CR71" s="3441"/>
      <c r="CT71" s="2624"/>
    </row>
    <row r="72" spans="1:98" s="1396" customFormat="1" ht="13.8" outlineLevel="2">
      <c r="A72" s="1571"/>
      <c r="B72" s="3393"/>
      <c r="C72" s="3447"/>
      <c r="D72" s="3447"/>
      <c r="E72" s="3463"/>
      <c r="F72" s="3350"/>
      <c r="G72" s="3461"/>
      <c r="H72" s="3447"/>
      <c r="I72" s="3447"/>
      <c r="J72" s="3463"/>
      <c r="K72" s="3350" t="e">
        <f t="shared" si="171"/>
        <v>#DIV/0!</v>
      </c>
      <c r="L72" s="3461"/>
      <c r="M72" s="3447"/>
      <c r="N72" s="3447"/>
      <c r="O72" s="3463"/>
      <c r="P72" s="3350" t="e">
        <f t="shared" si="173"/>
        <v>#DIV/0!</v>
      </c>
      <c r="Q72" s="3461"/>
      <c r="R72" s="3461"/>
      <c r="S72" s="3461"/>
      <c r="T72" s="3461"/>
      <c r="U72" s="3461"/>
      <c r="V72" s="3461"/>
      <c r="W72" s="3461"/>
      <c r="X72" s="3461"/>
      <c r="Y72" s="3461"/>
      <c r="Z72" s="3461"/>
      <c r="AA72" s="3461"/>
      <c r="AB72" s="3447"/>
      <c r="AC72" s="3447"/>
      <c r="AD72" s="3463"/>
      <c r="AE72" s="3350"/>
      <c r="AF72" s="3461"/>
      <c r="AG72" s="3447"/>
      <c r="AH72" s="3447"/>
      <c r="AI72" s="3463"/>
      <c r="AJ72" s="3350"/>
      <c r="AK72" s="3461"/>
      <c r="AL72" s="3447"/>
      <c r="AM72" s="3447"/>
      <c r="AN72" s="3463"/>
      <c r="AO72" s="3350"/>
      <c r="AP72" s="3461"/>
      <c r="AQ72" s="3447"/>
      <c r="AR72" s="3447"/>
      <c r="AS72" s="3463"/>
      <c r="AT72" s="3350"/>
      <c r="AU72" s="3461"/>
      <c r="AV72" s="3447"/>
      <c r="AW72" s="3447"/>
      <c r="AX72" s="3463"/>
      <c r="AY72" s="3350"/>
      <c r="AZ72" s="3461"/>
      <c r="BA72" s="3447"/>
      <c r="BB72" s="3447"/>
      <c r="BC72" s="3463"/>
      <c r="BD72" s="3350"/>
      <c r="BE72" s="3461"/>
      <c r="BF72" s="3447"/>
      <c r="BG72" s="3447"/>
      <c r="BH72" s="3463"/>
      <c r="BI72" s="3350"/>
      <c r="BJ72" s="3461"/>
      <c r="BK72" s="3447"/>
      <c r="BL72" s="3447"/>
      <c r="BM72" s="3463"/>
      <c r="BN72" s="3350"/>
      <c r="BO72" s="3461"/>
      <c r="BP72" s="3447"/>
      <c r="BQ72" s="3447"/>
      <c r="BR72" s="3463"/>
      <c r="BS72" s="3350"/>
      <c r="BT72" s="3461"/>
      <c r="BU72" s="3447"/>
      <c r="BV72" s="3447"/>
      <c r="BW72" s="3463"/>
      <c r="BX72" s="3350"/>
      <c r="BY72" s="3461"/>
      <c r="BZ72" s="3447"/>
      <c r="CA72" s="3447"/>
      <c r="CB72" s="3463"/>
      <c r="CC72" s="3350"/>
      <c r="CD72" s="3461"/>
      <c r="CE72" s="3447"/>
      <c r="CF72" s="3447"/>
      <c r="CG72" s="3463"/>
      <c r="CH72" s="3350"/>
      <c r="CI72" s="3461"/>
      <c r="CJ72" s="3447"/>
      <c r="CK72" s="3447"/>
      <c r="CL72" s="3463"/>
      <c r="CM72" s="3350" t="e">
        <f>CL72/$CL$89</f>
        <v>#DIV/0!</v>
      </c>
      <c r="CN72" s="3360"/>
      <c r="CP72" s="2030"/>
      <c r="CQ72" s="2030"/>
      <c r="CR72" s="3464"/>
      <c r="CT72" s="2624"/>
    </row>
    <row r="73" spans="1:98"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Y74</f>
        <v>0</v>
      </c>
      <c r="Z73" s="3738"/>
      <c r="AA73" s="3742"/>
      <c r="AB73" s="555">
        <f>AB74</f>
        <v>0</v>
      </c>
      <c r="AC73" s="3738">
        <f>AC74</f>
        <v>0</v>
      </c>
      <c r="AD73" s="3739">
        <f>AD74</f>
        <v>0</v>
      </c>
      <c r="AE73" s="3738"/>
      <c r="AF73" s="3741"/>
      <c r="AG73" s="555">
        <f>AG74</f>
        <v>0</v>
      </c>
      <c r="AH73" s="3738">
        <f>AH74</f>
        <v>0</v>
      </c>
      <c r="AI73" s="3739">
        <f>AI74</f>
        <v>0</v>
      </c>
      <c r="AJ73" s="3738"/>
      <c r="AK73" s="3741"/>
      <c r="AL73" s="555">
        <f>AL74</f>
        <v>0</v>
      </c>
      <c r="AM73" s="3738">
        <f>AM74</f>
        <v>0</v>
      </c>
      <c r="AN73" s="3739">
        <f>AN74</f>
        <v>0</v>
      </c>
      <c r="AO73" s="3738"/>
      <c r="AP73" s="3741"/>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3466">
        <f>CP74</f>
        <v>0</v>
      </c>
      <c r="CQ73" s="3466">
        <f>CQ74</f>
        <v>0</v>
      </c>
      <c r="CR73" s="3466"/>
      <c r="CT73" s="2624"/>
    </row>
    <row r="74" spans="1:98" s="1396" customFormat="1" ht="14.4" outlineLevel="1" thickBot="1">
      <c r="A74" s="1413"/>
      <c r="B74" s="1051" t="s">
        <v>64</v>
      </c>
      <c r="C74" s="3341"/>
      <c r="D74" s="3341"/>
      <c r="E74" s="3386">
        <f>C74+D74*1</f>
        <v>0</v>
      </c>
      <c r="F74" s="3386"/>
      <c r="G74" s="3468"/>
      <c r="H74" s="3341"/>
      <c r="I74" s="3341"/>
      <c r="J74" s="3386">
        <f>H74+I74*1</f>
        <v>0</v>
      </c>
      <c r="K74" s="3350" t="e">
        <f t="shared" ref="K74" si="205">J74/J$89</f>
        <v>#DIV/0!</v>
      </c>
      <c r="L74" s="3468"/>
      <c r="M74" s="3341"/>
      <c r="N74" s="3341"/>
      <c r="O74" s="3386">
        <f>M74+N74*1</f>
        <v>0</v>
      </c>
      <c r="P74" s="3350" t="e">
        <f t="shared" ref="P74" si="206">O74/O$89</f>
        <v>#DIV/0!</v>
      </c>
      <c r="Q74" s="3468"/>
      <c r="R74" s="3469"/>
      <c r="S74" s="3469"/>
      <c r="T74" s="3469"/>
      <c r="U74" s="3469"/>
      <c r="V74" s="3469"/>
      <c r="W74" s="3342">
        <f t="shared" ref="W74:X74" si="207">AB74+AG74+AL74+AV74+BA74+BF74+BK74+BP74+BU74+BZ74+CE74+AQ74</f>
        <v>0</v>
      </c>
      <c r="X74" s="3342">
        <f t="shared" si="207"/>
        <v>0</v>
      </c>
      <c r="Y74" s="3469"/>
      <c r="Z74" s="3469"/>
      <c r="AA74" s="3469"/>
      <c r="AB74" s="3341"/>
      <c r="AC74" s="3341"/>
      <c r="AD74" s="3386">
        <f>AB74+AC74*1</f>
        <v>0</v>
      </c>
      <c r="AE74" s="3386"/>
      <c r="AF74" s="3468"/>
      <c r="AG74" s="3341"/>
      <c r="AH74" s="3341"/>
      <c r="AI74" s="3386">
        <f>AG74+AH74*1</f>
        <v>0</v>
      </c>
      <c r="AJ74" s="3386"/>
      <c r="AK74" s="3468"/>
      <c r="AL74" s="3341"/>
      <c r="AM74" s="3341"/>
      <c r="AN74" s="3386">
        <f>AL74+AM74*1</f>
        <v>0</v>
      </c>
      <c r="AO74" s="3386"/>
      <c r="AP74" s="3468"/>
      <c r="AQ74" s="3341"/>
      <c r="AR74" s="3341"/>
      <c r="AS74" s="3386">
        <f>AQ74+AR74*1</f>
        <v>0</v>
      </c>
      <c r="AT74" s="3386"/>
      <c r="AU74" s="3468"/>
      <c r="AV74" s="3341"/>
      <c r="AW74" s="3341"/>
      <c r="AX74" s="3386">
        <f>AV74+AW74*1</f>
        <v>0</v>
      </c>
      <c r="AY74" s="3386"/>
      <c r="AZ74" s="3468"/>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C74+H74+M74</f>
        <v>0</v>
      </c>
      <c r="CK74" s="3341">
        <f>D74+I74+N74</f>
        <v>0</v>
      </c>
      <c r="CL74" s="3386">
        <f>CJ74+CK74*1</f>
        <v>0</v>
      </c>
      <c r="CM74" s="3386"/>
      <c r="CN74" s="3386"/>
      <c r="CP74" s="3467">
        <f>CN74+CO74*1</f>
        <v>0</v>
      </c>
      <c r="CQ74" s="3467">
        <f>CO74+CP74*1</f>
        <v>0</v>
      </c>
      <c r="CR74" s="3467"/>
      <c r="CT74" s="2624"/>
    </row>
    <row r="75" spans="1:98"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0</v>
      </c>
      <c r="O75" s="1508">
        <f>O38-O41-O50-O54</f>
        <v>0</v>
      </c>
      <c r="P75" s="1953"/>
      <c r="Q75" s="1058"/>
      <c r="R75" s="1450">
        <f>R38-R41-R50-R54</f>
        <v>0</v>
      </c>
      <c r="S75" s="1450">
        <f>S38-S41-S50-S54</f>
        <v>0</v>
      </c>
      <c r="T75" s="1508">
        <f>T38-T41-T50-T54</f>
        <v>0</v>
      </c>
      <c r="U75" s="3470"/>
      <c r="V75" s="3470"/>
      <c r="W75" s="1450">
        <f>W38-W41-W50-W54</f>
        <v>0</v>
      </c>
      <c r="X75" s="1450">
        <f>X38-X41-X50-X54</f>
        <v>0</v>
      </c>
      <c r="Y75" s="1508">
        <f>Y38-Y41-Y50-Y54</f>
        <v>0</v>
      </c>
      <c r="Z75" s="3470"/>
      <c r="AA75" s="3470"/>
      <c r="AB75" s="1450">
        <f>AB38-AB41-AB50-AB54</f>
        <v>0</v>
      </c>
      <c r="AC75" s="1450">
        <f>AC38-AC41-AC50-AC54</f>
        <v>0</v>
      </c>
      <c r="AD75" s="1508">
        <f>AD38-AD41-AD50-AD54</f>
        <v>0</v>
      </c>
      <c r="AE75" s="1953"/>
      <c r="AF75" s="1058"/>
      <c r="AG75" s="1450">
        <f>AG38-AG41-AG50-AG54</f>
        <v>0</v>
      </c>
      <c r="AH75" s="1450">
        <f>AH38-AH41-AH50-AH54</f>
        <v>0</v>
      </c>
      <c r="AI75" s="1508">
        <f>AI38-AI41-AI50-AI54</f>
        <v>0</v>
      </c>
      <c r="AJ75" s="1953"/>
      <c r="AK75" s="1058"/>
      <c r="AL75" s="1450">
        <f>AL38-AL41-AL50-AL54</f>
        <v>0</v>
      </c>
      <c r="AM75" s="1450">
        <f>AM38-AM41-AM50-AM54</f>
        <v>0</v>
      </c>
      <c r="AN75" s="1508">
        <f>AN38-AN41-AN50-AN54</f>
        <v>0</v>
      </c>
      <c r="AO75" s="1953"/>
      <c r="AP75" s="1058"/>
      <c r="AQ75" s="1450">
        <f>AQ38-AQ41-AQ50-AQ54</f>
        <v>0</v>
      </c>
      <c r="AR75" s="1450">
        <f>AR38-AR41-AR50-AR54</f>
        <v>0</v>
      </c>
      <c r="AS75" s="1508">
        <f>AS38-AS41-AS50-AS54</f>
        <v>0</v>
      </c>
      <c r="AT75" s="1953"/>
      <c r="AU75" s="1058"/>
      <c r="AV75" s="1450">
        <f>AV38-AV41-AV50-AV54</f>
        <v>0</v>
      </c>
      <c r="AW75" s="1450">
        <f>AW38-AW41-AW50-AW54</f>
        <v>0</v>
      </c>
      <c r="AX75" s="1508">
        <f>AX38-AX41-AX50-AX54</f>
        <v>0</v>
      </c>
      <c r="AY75" s="1953"/>
      <c r="AZ75" s="1058"/>
      <c r="BA75" s="1450">
        <f>BA38-BA41-BA50-BA54</f>
        <v>0</v>
      </c>
      <c r="BB75" s="1450">
        <f>BB38-BB41-BB50-BB54</f>
        <v>0</v>
      </c>
      <c r="BC75" s="1508">
        <f>BC38-BC41-BC50-BC54</f>
        <v>0</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0</v>
      </c>
      <c r="CK75" s="1450">
        <f>CK38-CK41-CK50-CK54</f>
        <v>0</v>
      </c>
      <c r="CL75" s="1508">
        <f>CL38-CL41-CL50-CL54</f>
        <v>0</v>
      </c>
      <c r="CM75" s="1953"/>
      <c r="CN75" s="1953"/>
      <c r="CP75" s="3471">
        <f>CP38-CP41-CP50-CP54</f>
        <v>0</v>
      </c>
      <c r="CQ75" s="3471">
        <f>CQ38-CQ41-CQ50-CQ54</f>
        <v>0</v>
      </c>
      <c r="CR75" s="3471">
        <f>CR38-CR41-CR50-CR54</f>
        <v>0</v>
      </c>
      <c r="CT75" s="2624"/>
    </row>
    <row r="76" spans="1:98"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2003">
        <f>IFERROR(AB75/AB5,0)</f>
        <v>0</v>
      </c>
      <c r="AC76" s="2003">
        <f>IFERROR(AC75/AC5,0)</f>
        <v>0</v>
      </c>
      <c r="AD76" s="2004">
        <f>IFERROR(AD75/AD5,0)</f>
        <v>0</v>
      </c>
      <c r="AE76" s="2004"/>
      <c r="AF76" s="1056"/>
      <c r="AG76" s="2003">
        <f>IFERROR(AG75/AG5,0)</f>
        <v>0</v>
      </c>
      <c r="AH76" s="2003">
        <f>IFERROR(AH75/AH5,0)</f>
        <v>0</v>
      </c>
      <c r="AI76" s="2004">
        <f>IFERROR(AI75/AI5,0)</f>
        <v>0</v>
      </c>
      <c r="AJ76" s="2004"/>
      <c r="AK76" s="1056"/>
      <c r="AL76" s="2003">
        <f>IFERROR(AL75/AL5,0)</f>
        <v>0</v>
      </c>
      <c r="AM76" s="2003">
        <f>IFERROR(AM75/AM5,0)</f>
        <v>0</v>
      </c>
      <c r="AN76" s="2004">
        <f>IFERROR(AN75/AN5,0)</f>
        <v>0</v>
      </c>
      <c r="AO76" s="2004"/>
      <c r="AP76" s="1056"/>
      <c r="AQ76" s="2003">
        <f>IFERROR(AQ75/AQ5,0)</f>
        <v>0</v>
      </c>
      <c r="AR76" s="2003">
        <f>IFERROR(AR75/AR5,0)</f>
        <v>0</v>
      </c>
      <c r="AS76" s="2004">
        <f>IFERROR(AS75/AS5,0)</f>
        <v>0</v>
      </c>
      <c r="AT76" s="2004"/>
      <c r="AU76" s="1056"/>
      <c r="AV76" s="2003">
        <f>IFERROR(AV75/AV5,0)</f>
        <v>0</v>
      </c>
      <c r="AW76" s="2003">
        <f>IFERROR(AW75/AW5,0)</f>
        <v>0</v>
      </c>
      <c r="AX76" s="2004">
        <f>IFERROR(AX75/AX5,0)</f>
        <v>0</v>
      </c>
      <c r="AY76" s="2004"/>
      <c r="AZ76" s="1056"/>
      <c r="BA76" s="2003">
        <f>IFERROR(BA75/BA5,0)</f>
        <v>0</v>
      </c>
      <c r="BB76" s="2003">
        <f>IFERROR(BB75/BB5,0)</f>
        <v>0</v>
      </c>
      <c r="BC76" s="2004">
        <f>IFERROR(BC75/BC5,0)</f>
        <v>0</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v>
      </c>
      <c r="CK76" s="2003">
        <f>IFERROR(CK75/CK5,0)</f>
        <v>0</v>
      </c>
      <c r="CL76" s="2004">
        <f>IFERROR(CL75/CL5,0)</f>
        <v>0</v>
      </c>
      <c r="CM76" s="2004"/>
      <c r="CN76" s="2004"/>
      <c r="CP76" s="2004" t="e">
        <f>CP75/CP5</f>
        <v>#DIV/0!</v>
      </c>
      <c r="CQ76" s="2004">
        <f>IFERROR(CQ75/CQ5,0)</f>
        <v>0</v>
      </c>
      <c r="CR76" s="2004" t="e">
        <f>CR75/CR5</f>
        <v>#DIV/0!</v>
      </c>
      <c r="CT76" s="2624"/>
    </row>
    <row r="77" spans="1:98" s="1396" customFormat="1" ht="14.4" outlineLevel="1" thickBot="1">
      <c r="A77" s="1566"/>
      <c r="B77" s="3389" t="s">
        <v>9</v>
      </c>
      <c r="C77" s="2844">
        <f>C78-C79</f>
        <v>0</v>
      </c>
      <c r="D77" s="2844">
        <f>D78-D79</f>
        <v>0</v>
      </c>
      <c r="E77" s="2845">
        <f>E78-E79</f>
        <v>0</v>
      </c>
      <c r="F77" s="2847"/>
      <c r="G77" s="3472"/>
      <c r="H77" s="2844">
        <f>H78-H79</f>
        <v>0</v>
      </c>
      <c r="I77" s="2844">
        <f>I78-I79</f>
        <v>0</v>
      </c>
      <c r="J77" s="2845">
        <f>J78-J79</f>
        <v>0</v>
      </c>
      <c r="K77" s="2847"/>
      <c r="L77" s="3472"/>
      <c r="M77" s="2844">
        <f>M78-M79</f>
        <v>0</v>
      </c>
      <c r="N77" s="2844">
        <f>N78-N79</f>
        <v>0</v>
      </c>
      <c r="O77" s="2845">
        <f>O78-O79</f>
        <v>0</v>
      </c>
      <c r="P77" s="2847"/>
      <c r="Q77" s="3472"/>
      <c r="R77" s="2844">
        <f>R78-R79</f>
        <v>0</v>
      </c>
      <c r="S77" s="2844">
        <f>S78-S79</f>
        <v>0</v>
      </c>
      <c r="T77" s="2845">
        <f>T78-T79</f>
        <v>0</v>
      </c>
      <c r="U77" s="3758"/>
      <c r="V77" s="3758"/>
      <c r="W77" s="2844">
        <f>W78-W79</f>
        <v>0</v>
      </c>
      <c r="X77" s="2844">
        <f>X78-X79</f>
        <v>0</v>
      </c>
      <c r="Y77" s="2845">
        <f>Y78-Y79</f>
        <v>0</v>
      </c>
      <c r="Z77" s="3758"/>
      <c r="AA77" s="3758"/>
      <c r="AB77" s="2844">
        <f>AB78-AB79</f>
        <v>0</v>
      </c>
      <c r="AC77" s="2844">
        <f>AC78-AC79</f>
        <v>0</v>
      </c>
      <c r="AD77" s="2845">
        <f>AD78-AD79</f>
        <v>0</v>
      </c>
      <c r="AE77" s="2847"/>
      <c r="AF77" s="3472"/>
      <c r="AG77" s="2844">
        <f>AG78-AG79</f>
        <v>0</v>
      </c>
      <c r="AH77" s="2844">
        <f>AH78-AH79</f>
        <v>0</v>
      </c>
      <c r="AI77" s="2845">
        <f>AI78-AI79</f>
        <v>0</v>
      </c>
      <c r="AJ77" s="2847"/>
      <c r="AK77" s="3472"/>
      <c r="AL77" s="2844">
        <f>AL78-AL79</f>
        <v>0</v>
      </c>
      <c r="AM77" s="2844">
        <f>AM78-AM79</f>
        <v>0</v>
      </c>
      <c r="AN77" s="2845">
        <f>AN78-AN79</f>
        <v>0</v>
      </c>
      <c r="AO77" s="2847"/>
      <c r="AP77" s="3472"/>
      <c r="AQ77" s="2844">
        <f>AQ78-AQ79</f>
        <v>0</v>
      </c>
      <c r="AR77" s="2844">
        <f>AR78-AR79</f>
        <v>0</v>
      </c>
      <c r="AS77" s="2845">
        <f>AS78-AS79</f>
        <v>0</v>
      </c>
      <c r="AT77" s="2847"/>
      <c r="AU77" s="3472"/>
      <c r="AV77" s="2844">
        <f>AV78-AV79</f>
        <v>0</v>
      </c>
      <c r="AW77" s="2844">
        <f>AW78-AW79</f>
        <v>0</v>
      </c>
      <c r="AX77" s="2845">
        <f>AX78-AX79</f>
        <v>0</v>
      </c>
      <c r="AY77" s="2847"/>
      <c r="AZ77" s="3472"/>
      <c r="BA77" s="2844">
        <f>BA78-BA79</f>
        <v>0</v>
      </c>
      <c r="BB77" s="2844">
        <f>BB78-BB79</f>
        <v>0</v>
      </c>
      <c r="BC77" s="2845">
        <f>BC78-BC79</f>
        <v>0</v>
      </c>
      <c r="BD77" s="2847"/>
      <c r="BE77" s="3472"/>
      <c r="BF77" s="2844">
        <f>BF78-BF79</f>
        <v>0</v>
      </c>
      <c r="BG77" s="2844">
        <f>BG78-BG79</f>
        <v>0</v>
      </c>
      <c r="BH77" s="2845">
        <f>BH78-BH79</f>
        <v>0</v>
      </c>
      <c r="BI77" s="2847"/>
      <c r="BJ77" s="3472"/>
      <c r="BK77" s="2844">
        <f>BK78-BK79</f>
        <v>0</v>
      </c>
      <c r="BL77" s="2844">
        <f>BL78-BL79</f>
        <v>0</v>
      </c>
      <c r="BM77" s="2845">
        <f>BM78-BM79</f>
        <v>0</v>
      </c>
      <c r="BN77" s="2847"/>
      <c r="BO77" s="3472"/>
      <c r="BP77" s="2844">
        <f>BP78-BP79</f>
        <v>0</v>
      </c>
      <c r="BQ77" s="2844">
        <f>BQ78-BQ79</f>
        <v>0</v>
      </c>
      <c r="BR77" s="2845">
        <f>BR78-BR79</f>
        <v>0</v>
      </c>
      <c r="BS77" s="2847"/>
      <c r="BT77" s="3472"/>
      <c r="BU77" s="2844">
        <f>BU78-BU79</f>
        <v>0</v>
      </c>
      <c r="BV77" s="2844">
        <f>BV78-BV79</f>
        <v>0</v>
      </c>
      <c r="BW77" s="2845">
        <f>BW78-BW79</f>
        <v>0</v>
      </c>
      <c r="BX77" s="2847"/>
      <c r="BY77" s="3472"/>
      <c r="BZ77" s="2844">
        <f>BZ78-BZ79</f>
        <v>0</v>
      </c>
      <c r="CA77" s="2844">
        <f>CA78-CA79</f>
        <v>0</v>
      </c>
      <c r="CB77" s="2845">
        <f>CB78-CB79</f>
        <v>0</v>
      </c>
      <c r="CC77" s="2847"/>
      <c r="CD77" s="3472"/>
      <c r="CE77" s="2844">
        <f>CE78-CE79</f>
        <v>0</v>
      </c>
      <c r="CF77" s="2844">
        <f>CF78-CF79</f>
        <v>0</v>
      </c>
      <c r="CG77" s="2845">
        <f>CG78-CG79</f>
        <v>0</v>
      </c>
      <c r="CH77" s="2847"/>
      <c r="CI77" s="3472"/>
      <c r="CJ77" s="2844">
        <f>CJ78-CJ79</f>
        <v>0</v>
      </c>
      <c r="CK77" s="2844">
        <f>CK78-CK79</f>
        <v>0</v>
      </c>
      <c r="CL77" s="2845">
        <f>CL78-CL79</f>
        <v>0</v>
      </c>
      <c r="CM77" s="2847"/>
      <c r="CN77" s="2847"/>
      <c r="CP77" s="2845">
        <f>CP78-CP79</f>
        <v>0</v>
      </c>
      <c r="CQ77" s="2845">
        <f>CQ78-CQ79</f>
        <v>0</v>
      </c>
      <c r="CR77" s="2845"/>
      <c r="CT77" s="2624"/>
    </row>
    <row r="78" spans="1:98" s="1396" customFormat="1" ht="13.8" outlineLevel="2">
      <c r="A78" s="1405"/>
      <c r="B78" s="1400" t="s">
        <v>43</v>
      </c>
      <c r="C78" s="3341"/>
      <c r="D78" s="3341"/>
      <c r="E78" s="3391">
        <f>C78+D78*1.15</f>
        <v>0</v>
      </c>
      <c r="F78" s="3391"/>
      <c r="G78" s="3473"/>
      <c r="H78" s="3341"/>
      <c r="I78" s="3341"/>
      <c r="J78" s="3391">
        <f>H78+I78*1.15</f>
        <v>0</v>
      </c>
      <c r="K78" s="3350" t="e">
        <f t="shared" ref="K78:K79" si="208">J78/J$89</f>
        <v>#DIV/0!</v>
      </c>
      <c r="L78" s="3473"/>
      <c r="M78" s="3341"/>
      <c r="N78" s="3341"/>
      <c r="O78" s="3391">
        <f>M78+N78*1.15</f>
        <v>0</v>
      </c>
      <c r="P78" s="3350" t="e">
        <f t="shared" ref="P78:P79" si="209">O78/O$89</f>
        <v>#DIV/0!</v>
      </c>
      <c r="Q78" s="3473"/>
      <c r="R78" s="3342">
        <f t="shared" ref="R78:S79" si="210">M78+H78+C78</f>
        <v>0</v>
      </c>
      <c r="S78" s="3342">
        <f t="shared" si="210"/>
        <v>0</v>
      </c>
      <c r="T78" s="2012">
        <f t="shared" ref="T78:T79" si="211">R78+S78</f>
        <v>0</v>
      </c>
      <c r="U78" s="3474"/>
      <c r="V78" s="3474"/>
      <c r="W78" s="3342">
        <f t="shared" ref="W78:X79" si="212">AB78+AG78+AL78+AV78+BA78+BF78+BK78+BP78+BU78+BZ78+CE78+AQ78</f>
        <v>0</v>
      </c>
      <c r="X78" s="3342">
        <f t="shared" si="212"/>
        <v>0</v>
      </c>
      <c r="Y78" s="2012">
        <f t="shared" ref="Y78:Y79" si="213">W78+X78</f>
        <v>0</v>
      </c>
      <c r="Z78" s="3474"/>
      <c r="AA78" s="3474"/>
      <c r="AB78" s="3341"/>
      <c r="AC78" s="3341"/>
      <c r="AD78" s="3391">
        <f>AB78+AC78*1.15</f>
        <v>0</v>
      </c>
      <c r="AE78" s="3391"/>
      <c r="AF78" s="3473"/>
      <c r="AG78" s="3341"/>
      <c r="AH78" s="3341"/>
      <c r="AI78" s="3391">
        <f>AG78+AH78*1.15</f>
        <v>0</v>
      </c>
      <c r="AJ78" s="3391"/>
      <c r="AK78" s="3473"/>
      <c r="AL78" s="3341"/>
      <c r="AM78" s="3341"/>
      <c r="AN78" s="3391">
        <f>AL78+AM78*1.15</f>
        <v>0</v>
      </c>
      <c r="AO78" s="3391"/>
      <c r="AP78" s="3473"/>
      <c r="AQ78" s="3341"/>
      <c r="AR78" s="3341"/>
      <c r="AS78" s="3391">
        <f>AQ78+AR78*1.15</f>
        <v>0</v>
      </c>
      <c r="AT78" s="3391"/>
      <c r="AU78" s="3473"/>
      <c r="AV78" s="3341"/>
      <c r="AW78" s="3341"/>
      <c r="AX78" s="3391">
        <f>AV78+AW78*1.15</f>
        <v>0</v>
      </c>
      <c r="AY78" s="3391"/>
      <c r="AZ78" s="3473"/>
      <c r="BA78" s="3341"/>
      <c r="BB78" s="3341"/>
      <c r="BC78" s="3391">
        <f>BA78+BB78*1.15</f>
        <v>0</v>
      </c>
      <c r="BD78" s="3391"/>
      <c r="BE78" s="3473"/>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14">C78+H78+M78+W78</f>
        <v>0</v>
      </c>
      <c r="CK78" s="3341">
        <f t="shared" si="214"/>
        <v>0</v>
      </c>
      <c r="CL78" s="3391">
        <f>CJ78+CK78*1.15</f>
        <v>0</v>
      </c>
      <c r="CM78" s="3391"/>
      <c r="CN78" s="3391"/>
      <c r="CP78" s="3475">
        <f>CN78+CO78*1.15</f>
        <v>0</v>
      </c>
      <c r="CQ78" s="3475">
        <f>CO78+CP78*1.15</f>
        <v>0</v>
      </c>
      <c r="CR78" s="3441"/>
      <c r="CT78" s="2624"/>
    </row>
    <row r="79" spans="1:98" s="1396" customFormat="1" ht="13.8" outlineLevel="2">
      <c r="A79" s="1405"/>
      <c r="B79" s="3355" t="s">
        <v>79</v>
      </c>
      <c r="C79" s="3341">
        <f>(D8+D41+D50+D54)/(1-'расчет 2024'!$M$21)*'расчет 2024'!$M$21</f>
        <v>0</v>
      </c>
      <c r="D79" s="3341"/>
      <c r="E79" s="2012">
        <f>C79+D79</f>
        <v>0</v>
      </c>
      <c r="F79" s="3373"/>
      <c r="G79" s="3454"/>
      <c r="H79" s="3341">
        <f>(I8+I41+I50+I54)/(1-'расчет 2024'!$M$23)*'расчет 2024'!$M$23</f>
        <v>0</v>
      </c>
      <c r="I79" s="3341"/>
      <c r="J79" s="2012">
        <f>H79+I79</f>
        <v>0</v>
      </c>
      <c r="K79" s="3350" t="e">
        <f t="shared" si="208"/>
        <v>#DIV/0!</v>
      </c>
      <c r="L79" s="3454"/>
      <c r="M79" s="3341">
        <f>(N8+N41+N50+N54)/(1-'расчет 2024'!$M$23)*'расчет 2024'!$M$23</f>
        <v>0</v>
      </c>
      <c r="N79" s="3341"/>
      <c r="O79" s="2012">
        <f>M79+N79</f>
        <v>0</v>
      </c>
      <c r="P79" s="3350" t="e">
        <f t="shared" si="209"/>
        <v>#DIV/0!</v>
      </c>
      <c r="Q79" s="3454"/>
      <c r="R79" s="3342">
        <f t="shared" si="210"/>
        <v>0</v>
      </c>
      <c r="S79" s="3342">
        <f t="shared" si="210"/>
        <v>0</v>
      </c>
      <c r="T79" s="2012">
        <f t="shared" si="211"/>
        <v>0</v>
      </c>
      <c r="U79" s="3455"/>
      <c r="V79" s="3455"/>
      <c r="W79" s="3342">
        <f t="shared" si="212"/>
        <v>0</v>
      </c>
      <c r="X79" s="3342">
        <f t="shared" si="212"/>
        <v>0</v>
      </c>
      <c r="Y79" s="2012">
        <f t="shared" si="213"/>
        <v>0</v>
      </c>
      <c r="Z79" s="3455"/>
      <c r="AA79" s="3455"/>
      <c r="AB79" s="3341">
        <f>(AC8+AC41+AC50+AC54)/(1-'расчет 2024'!$M$23)*'расчет 2024'!$M$23</f>
        <v>0</v>
      </c>
      <c r="AC79" s="3341"/>
      <c r="AD79" s="2012">
        <f>AB79+AC79</f>
        <v>0</v>
      </c>
      <c r="AE79" s="3373"/>
      <c r="AF79" s="3454"/>
      <c r="AG79" s="3341">
        <f>(AH8+AH41+AH50+AH54)/(1-'расчет 2024'!$M$23)*'расчет 2024'!$M$23</f>
        <v>0</v>
      </c>
      <c r="AH79" s="3341"/>
      <c r="AI79" s="2012">
        <f>AG79+AH79</f>
        <v>0</v>
      </c>
      <c r="AJ79" s="3373"/>
      <c r="AK79" s="3454"/>
      <c r="AL79" s="3341">
        <f>(AM8+AM41+AM50+AM54)/(1-'расчет 2024'!$M$23)*'расчет 2024'!$M$23</f>
        <v>0</v>
      </c>
      <c r="AM79" s="3341"/>
      <c r="AN79" s="2012">
        <f>AL79+AM79</f>
        <v>0</v>
      </c>
      <c r="AO79" s="3373"/>
      <c r="AP79" s="3454"/>
      <c r="AQ79" s="3341">
        <f>(AR8+AR41+AR50+AR54)/(1-'расчет 2024'!$M$23)*'расчет 2024'!$M$23</f>
        <v>0</v>
      </c>
      <c r="AR79" s="3341"/>
      <c r="AS79" s="2012">
        <f>AQ79+AR79</f>
        <v>0</v>
      </c>
      <c r="AT79" s="3373"/>
      <c r="AU79" s="3454"/>
      <c r="AV79" s="3341">
        <f>(AW8+AW41+AW50+AW54)/(1-'расчет 2024'!$M$23)*'расчет 2024'!$M$23</f>
        <v>0</v>
      </c>
      <c r="AW79" s="3341"/>
      <c r="AX79" s="2012">
        <f>AV79+AW79</f>
        <v>0</v>
      </c>
      <c r="AY79" s="3373"/>
      <c r="AZ79" s="3454"/>
      <c r="BA79" s="3341">
        <f>(BB8+BB41+BB50+BB54)/(1-'расчет 2024'!$M$23)*'расчет 2024'!$M$23</f>
        <v>0</v>
      </c>
      <c r="BB79" s="3341"/>
      <c r="BC79" s="2012">
        <f>BA79+BB79</f>
        <v>0</v>
      </c>
      <c r="BD79" s="3373"/>
      <c r="BE79" s="3454"/>
      <c r="BF79" s="3341">
        <f>(BG8+BG41+BG50+BG54)/(1-'расчет 2024'!$M$23)*'расчет 2024'!$M$23</f>
        <v>0</v>
      </c>
      <c r="BG79" s="3341"/>
      <c r="BH79" s="2012">
        <f>BF79+BG79</f>
        <v>0</v>
      </c>
      <c r="BI79" s="3373"/>
      <c r="BJ79" s="3454"/>
      <c r="BK79" s="3341"/>
      <c r="BL79" s="3341"/>
      <c r="BM79" s="2012">
        <f>BK79+BL79</f>
        <v>0</v>
      </c>
      <c r="BN79" s="3373"/>
      <c r="BO79" s="3454"/>
      <c r="BP79" s="3341">
        <f>(BQ8+BQ41+BQ50+BQ54)/(1-'расчет 2024'!$M$23)*'расчет 2024'!$M$23</f>
        <v>0</v>
      </c>
      <c r="BQ79" s="3341"/>
      <c r="BR79" s="2012">
        <f>BP79+BQ79</f>
        <v>0</v>
      </c>
      <c r="BS79" s="3373"/>
      <c r="BT79" s="3454"/>
      <c r="BU79" s="3341">
        <f>(BV8+BV41+BV50+BV54)/(1-'расчет 2024'!$M$23)*'расчет 2024'!$M$23</f>
        <v>0</v>
      </c>
      <c r="BV79" s="3341"/>
      <c r="BW79" s="2012">
        <f>BU79+BV79</f>
        <v>0</v>
      </c>
      <c r="BX79" s="3373"/>
      <c r="BY79" s="3454"/>
      <c r="BZ79" s="3341">
        <f>(CA8+CA41+CA50+CA54)/(1-'расчет 2024'!$M$23)*'расчет 2024'!$M$23</f>
        <v>0</v>
      </c>
      <c r="CA79" s="3341"/>
      <c r="CB79" s="2012">
        <f>BZ79+CA79</f>
        <v>0</v>
      </c>
      <c r="CC79" s="3373"/>
      <c r="CD79" s="3454"/>
      <c r="CE79" s="3341">
        <f>(CF8+CF41+CF50+CF54)/(1-'расчет 2024'!$M$23)*'расчет 2024'!$M$23</f>
        <v>0</v>
      </c>
      <c r="CF79" s="3341"/>
      <c r="CG79" s="2012">
        <f>CE79+CF79</f>
        <v>0</v>
      </c>
      <c r="CH79" s="3373"/>
      <c r="CI79" s="3454"/>
      <c r="CJ79" s="3341">
        <f t="shared" si="214"/>
        <v>0</v>
      </c>
      <c r="CK79" s="3341">
        <f t="shared" si="214"/>
        <v>0</v>
      </c>
      <c r="CL79" s="2012">
        <f t="shared" ref="CL79" si="215">CJ79+CK79*1</f>
        <v>0</v>
      </c>
      <c r="CM79" s="3373"/>
      <c r="CN79" s="3373"/>
      <c r="CP79" s="2012">
        <f t="shared" ref="CP79" si="216">CN79+CO79*1</f>
        <v>0</v>
      </c>
      <c r="CQ79" s="2012"/>
      <c r="CR79" s="3441">
        <f t="shared" ref="CR79" si="217">CP79-CQ79</f>
        <v>0</v>
      </c>
      <c r="CT79" s="2624"/>
    </row>
    <row r="80" spans="1:98" ht="13.8" outlineLevel="2">
      <c r="A80" s="1397"/>
      <c r="B80" s="3393"/>
      <c r="C80" s="3341"/>
      <c r="D80" s="3341"/>
      <c r="E80" s="3394"/>
      <c r="F80" s="3394"/>
      <c r="G80" s="3476"/>
      <c r="H80" s="3341"/>
      <c r="I80" s="3341"/>
      <c r="J80" s="3394"/>
      <c r="K80" s="3394"/>
      <c r="L80" s="3476"/>
      <c r="M80" s="3341"/>
      <c r="N80" s="3341"/>
      <c r="O80" s="3394"/>
      <c r="P80" s="3394"/>
      <c r="Q80" s="3476"/>
      <c r="R80" s="3448"/>
      <c r="S80" s="3448"/>
      <c r="T80" s="3448"/>
      <c r="U80" s="3448"/>
      <c r="V80" s="3448"/>
      <c r="W80" s="3448"/>
      <c r="X80" s="3448"/>
      <c r="Y80" s="3448"/>
      <c r="Z80" s="3448"/>
      <c r="AA80" s="3448"/>
      <c r="AB80" s="3341"/>
      <c r="AC80" s="3341"/>
      <c r="AD80" s="3394"/>
      <c r="AE80" s="3394"/>
      <c r="AF80" s="3476"/>
      <c r="AG80" s="3341"/>
      <c r="AH80" s="3341"/>
      <c r="AI80" s="3394"/>
      <c r="AJ80" s="3394"/>
      <c r="AK80" s="3476"/>
      <c r="AL80" s="3341"/>
      <c r="AM80" s="3341"/>
      <c r="AN80" s="3394"/>
      <c r="AO80" s="3394"/>
      <c r="AP80" s="3476"/>
      <c r="AQ80" s="3341"/>
      <c r="AR80" s="3341"/>
      <c r="AS80" s="3394"/>
      <c r="AT80" s="3394"/>
      <c r="AU80" s="3476"/>
      <c r="AV80" s="3341"/>
      <c r="AW80" s="3341"/>
      <c r="AX80" s="3394"/>
      <c r="AY80" s="3394"/>
      <c r="AZ80" s="3476"/>
      <c r="BA80" s="3341"/>
      <c r="BB80" s="3341"/>
      <c r="BC80" s="3394"/>
      <c r="BD80" s="3394"/>
      <c r="BE80" s="3476"/>
      <c r="BF80" s="3341"/>
      <c r="BG80" s="3341"/>
      <c r="BH80" s="3394"/>
      <c r="BI80" s="3394"/>
      <c r="BJ80" s="3476"/>
      <c r="BK80" s="3341"/>
      <c r="BL80" s="3341"/>
      <c r="BM80" s="3394"/>
      <c r="BN80" s="3394"/>
      <c r="BO80" s="3476"/>
      <c r="BP80" s="3341"/>
      <c r="BQ80" s="3341"/>
      <c r="BR80" s="3394"/>
      <c r="BS80" s="3394"/>
      <c r="BT80" s="3476"/>
      <c r="BU80" s="3341"/>
      <c r="BV80" s="3341"/>
      <c r="BW80" s="3394"/>
      <c r="BX80" s="3394"/>
      <c r="BY80" s="3476"/>
      <c r="BZ80" s="3341"/>
      <c r="CA80" s="3341"/>
      <c r="CB80" s="3394"/>
      <c r="CC80" s="3394"/>
      <c r="CD80" s="3476"/>
      <c r="CE80" s="3341"/>
      <c r="CF80" s="3341"/>
      <c r="CG80" s="3394"/>
      <c r="CH80" s="3394"/>
      <c r="CI80" s="3476"/>
      <c r="CJ80" s="3341">
        <f>C80+H80+M80</f>
        <v>0</v>
      </c>
      <c r="CK80" s="3341">
        <f>D80+I80+N80</f>
        <v>0</v>
      </c>
      <c r="CL80" s="3394"/>
      <c r="CM80" s="3394"/>
      <c r="CN80" s="3394"/>
      <c r="CP80" s="3477"/>
      <c r="CQ80" s="3477"/>
      <c r="CR80" s="3441"/>
    </row>
    <row r="81" spans="1:101" s="1396" customFormat="1" ht="14.4" outlineLevel="1" thickBot="1">
      <c r="A81" s="1419"/>
      <c r="B81" s="3389" t="s">
        <v>12</v>
      </c>
      <c r="C81" s="2844">
        <f>(C75+C78)-C79</f>
        <v>0</v>
      </c>
      <c r="D81" s="2844">
        <f>(D75+D78)-D79</f>
        <v>0</v>
      </c>
      <c r="E81" s="2845">
        <f>(E75+E78)-E79</f>
        <v>0</v>
      </c>
      <c r="F81" s="2847"/>
      <c r="G81" s="3472"/>
      <c r="H81" s="2844">
        <f>(H75+H78)-H79</f>
        <v>0</v>
      </c>
      <c r="I81" s="2844">
        <f>(I75+I78)-I79</f>
        <v>0</v>
      </c>
      <c r="J81" s="2845">
        <f>(J75+J78)-J79</f>
        <v>0</v>
      </c>
      <c r="K81" s="2847"/>
      <c r="L81" s="3472"/>
      <c r="M81" s="2844">
        <f>(M75+M78)-M79</f>
        <v>0</v>
      </c>
      <c r="N81" s="2844">
        <f>(N75+N78)-N79</f>
        <v>0</v>
      </c>
      <c r="O81" s="2845">
        <f>(O75+O78)-O79</f>
        <v>0</v>
      </c>
      <c r="P81" s="2847"/>
      <c r="Q81" s="3472"/>
      <c r="R81" s="2844">
        <f>(R75+R78)-R79</f>
        <v>0</v>
      </c>
      <c r="S81" s="2844">
        <f>(S75+S78)-S79</f>
        <v>0</v>
      </c>
      <c r="T81" s="2845">
        <f>(T75+T78)-T79</f>
        <v>0</v>
      </c>
      <c r="U81" s="3758"/>
      <c r="V81" s="3758"/>
      <c r="W81" s="2844">
        <f>(W75+W78)-W79</f>
        <v>0</v>
      </c>
      <c r="X81" s="2844">
        <f>(X75+X78)-X79</f>
        <v>0</v>
      </c>
      <c r="Y81" s="2845">
        <f>(Y75+Y78)-Y79</f>
        <v>0</v>
      </c>
      <c r="Z81" s="3758"/>
      <c r="AA81" s="3758"/>
      <c r="AB81" s="2844">
        <f>(AB75+AB78)-AB79</f>
        <v>0</v>
      </c>
      <c r="AC81" s="2844">
        <f>(AC75+AC78)-AC79</f>
        <v>0</v>
      </c>
      <c r="AD81" s="2845">
        <f>(AD75+AD78)-AD79</f>
        <v>0</v>
      </c>
      <c r="AE81" s="2847"/>
      <c r="AF81" s="3472"/>
      <c r="AG81" s="2844">
        <f>(AG75+AG78)-AG79</f>
        <v>0</v>
      </c>
      <c r="AH81" s="2844">
        <f>(AH75+AH78)-AH79</f>
        <v>0</v>
      </c>
      <c r="AI81" s="2845">
        <f>(AI75+AI78)-AI79</f>
        <v>0</v>
      </c>
      <c r="AJ81" s="2847"/>
      <c r="AK81" s="3472"/>
      <c r="AL81" s="2844">
        <f>(AL75+AL78)-AL79</f>
        <v>0</v>
      </c>
      <c r="AM81" s="2844">
        <f>(AM75+AM78)-AM79</f>
        <v>0</v>
      </c>
      <c r="AN81" s="2845">
        <f>(AN75+AN78)-AN79</f>
        <v>0</v>
      </c>
      <c r="AO81" s="2847"/>
      <c r="AP81" s="3472"/>
      <c r="AQ81" s="2844">
        <f>(AQ75+AQ78)-AQ79</f>
        <v>0</v>
      </c>
      <c r="AR81" s="2844">
        <f>(AR75+AR78)-AR79</f>
        <v>0</v>
      </c>
      <c r="AS81" s="2845">
        <f>(AS75+AS78)-AS79</f>
        <v>0</v>
      </c>
      <c r="AT81" s="2847"/>
      <c r="AU81" s="3472"/>
      <c r="AV81" s="2844">
        <f>(AV75+AV78)-AV79</f>
        <v>0</v>
      </c>
      <c r="AW81" s="2844">
        <f>(AW75+AW78)-AW79</f>
        <v>0</v>
      </c>
      <c r="AX81" s="2845">
        <f>(AX75+AX78)-AX79</f>
        <v>0</v>
      </c>
      <c r="AY81" s="2847"/>
      <c r="AZ81" s="3472"/>
      <c r="BA81" s="2844">
        <f>(BA75+BA78)-BA79</f>
        <v>0</v>
      </c>
      <c r="BB81" s="2844">
        <f>(BB75+BB78)-BB79</f>
        <v>0</v>
      </c>
      <c r="BC81" s="2845">
        <f>(BC75+BC78)-BC79</f>
        <v>0</v>
      </c>
      <c r="BD81" s="2847"/>
      <c r="BE81" s="3472"/>
      <c r="BF81" s="2844">
        <f>(BF75+BF78)-BF79</f>
        <v>0</v>
      </c>
      <c r="BG81" s="2844">
        <f>(BG75+BG78)-BG79</f>
        <v>0</v>
      </c>
      <c r="BH81" s="2845">
        <f>(BH75+BH78)-BH79</f>
        <v>0</v>
      </c>
      <c r="BI81" s="2847"/>
      <c r="BJ81" s="3472"/>
      <c r="BK81" s="2844">
        <f>(BK75+BK78)-BK79</f>
        <v>0</v>
      </c>
      <c r="BL81" s="2844">
        <f>(BL75+BL78)-BL79</f>
        <v>0</v>
      </c>
      <c r="BM81" s="2845">
        <f>(BM75+BM78)-BM79</f>
        <v>0</v>
      </c>
      <c r="BN81" s="2847"/>
      <c r="BO81" s="3472"/>
      <c r="BP81" s="2844">
        <f>(BP75+BP78)-BP79</f>
        <v>0</v>
      </c>
      <c r="BQ81" s="2844">
        <f>(BQ75+BQ78)-BQ79</f>
        <v>0</v>
      </c>
      <c r="BR81" s="2845">
        <f>(BR75+BR78)-BR79</f>
        <v>0</v>
      </c>
      <c r="BS81" s="2847"/>
      <c r="BT81" s="3472"/>
      <c r="BU81" s="2844">
        <f>(BU75+BU78)-BU79</f>
        <v>0</v>
      </c>
      <c r="BV81" s="2844">
        <f>(BV75+BV78)-BV79</f>
        <v>0</v>
      </c>
      <c r="BW81" s="2845">
        <f>(BW75+BW78)-BW79</f>
        <v>0</v>
      </c>
      <c r="BX81" s="2847"/>
      <c r="BY81" s="3472"/>
      <c r="BZ81" s="2844">
        <f>(BZ75+BZ78)-BZ79</f>
        <v>0</v>
      </c>
      <c r="CA81" s="2844">
        <f>(CA75+CA78)-CA79</f>
        <v>0</v>
      </c>
      <c r="CB81" s="2845">
        <f>(CB75+CB78)-CB79</f>
        <v>0</v>
      </c>
      <c r="CC81" s="2847"/>
      <c r="CD81" s="3472"/>
      <c r="CE81" s="2844">
        <f>(CE75+CE78)-CE79</f>
        <v>0</v>
      </c>
      <c r="CF81" s="2844">
        <f>(CF75+CF78)-CF79</f>
        <v>0</v>
      </c>
      <c r="CG81" s="2845">
        <f>(CG75+CG78)-CG79</f>
        <v>0</v>
      </c>
      <c r="CH81" s="2847"/>
      <c r="CI81" s="3472"/>
      <c r="CJ81" s="2844">
        <f>(CJ75+CJ78)-CJ79</f>
        <v>0</v>
      </c>
      <c r="CK81" s="2844">
        <f>(CK75+CK78)-CK79</f>
        <v>0</v>
      </c>
      <c r="CL81" s="2845">
        <f>(CL75+CL78)-CL79</f>
        <v>0</v>
      </c>
      <c r="CM81" s="2847"/>
      <c r="CN81" s="2847"/>
      <c r="CP81" s="2845">
        <f>(CP75+CP78)-CP79</f>
        <v>0</v>
      </c>
      <c r="CQ81" s="3478">
        <f>(CQ75+CQ78)-CQ79</f>
        <v>0</v>
      </c>
      <c r="CR81" s="2845">
        <f>(CR75+CR78)-CR79</f>
        <v>0</v>
      </c>
      <c r="CT81" s="2624"/>
    </row>
    <row r="82" spans="1:101" s="1396" customFormat="1" ht="13.8" outlineLevel="2">
      <c r="A82" s="1565"/>
      <c r="B82" s="1400" t="s">
        <v>38</v>
      </c>
      <c r="C82" s="3341"/>
      <c r="D82" s="3341"/>
      <c r="E82" s="3390">
        <f>C82+D82</f>
        <v>0</v>
      </c>
      <c r="F82" s="3381"/>
      <c r="G82" s="3455"/>
      <c r="H82" s="3341"/>
      <c r="I82" s="3341"/>
      <c r="J82" s="3390">
        <f>H82+I82</f>
        <v>0</v>
      </c>
      <c r="K82" s="3350" t="e">
        <f t="shared" ref="K82" si="218">J82/J$89</f>
        <v>#DIV/0!</v>
      </c>
      <c r="L82" s="3455"/>
      <c r="M82" s="3341"/>
      <c r="N82" s="3341"/>
      <c r="O82" s="3390">
        <f>M82+N82</f>
        <v>0</v>
      </c>
      <c r="P82" s="3350" t="e">
        <f t="shared" ref="P82" si="219">O82/O$89</f>
        <v>#DIV/0!</v>
      </c>
      <c r="Q82" s="3455"/>
      <c r="R82" s="3342">
        <f t="shared" ref="R82:S82" si="220">M82+H82+C82</f>
        <v>0</v>
      </c>
      <c r="S82" s="3342">
        <f t="shared" si="220"/>
        <v>0</v>
      </c>
      <c r="T82" s="2012">
        <f t="shared" ref="T82" si="221">R82+S82</f>
        <v>0</v>
      </c>
      <c r="U82" s="3455"/>
      <c r="V82" s="3455"/>
      <c r="W82" s="3342">
        <f t="shared" ref="W82:X82" si="222">AB82+AG82+AL82+AV82+BA82+BF82+BK82+BP82+BU82+BZ82+CE82+AQ82</f>
        <v>0</v>
      </c>
      <c r="X82" s="3342">
        <f t="shared" si="222"/>
        <v>0</v>
      </c>
      <c r="Y82" s="2012">
        <f t="shared" ref="Y82" si="223">W82+X82</f>
        <v>0</v>
      </c>
      <c r="Z82" s="3455"/>
      <c r="AA82" s="3455"/>
      <c r="AB82" s="3341"/>
      <c r="AC82" s="3341"/>
      <c r="AD82" s="3390">
        <f>AB82+AC82</f>
        <v>0</v>
      </c>
      <c r="AE82" s="3381"/>
      <c r="AF82" s="3455"/>
      <c r="AG82" s="3341"/>
      <c r="AH82" s="3341"/>
      <c r="AI82" s="3390">
        <f>AG82+AH82</f>
        <v>0</v>
      </c>
      <c r="AJ82" s="3381"/>
      <c r="AK82" s="3455"/>
      <c r="AL82" s="3341"/>
      <c r="AM82" s="3341"/>
      <c r="AN82" s="3390">
        <f>AL82+AM82</f>
        <v>0</v>
      </c>
      <c r="AO82" s="3381"/>
      <c r="AP82" s="3455"/>
      <c r="AQ82" s="3341"/>
      <c r="AR82" s="3341"/>
      <c r="AS82" s="3390">
        <f>AQ82+AR82</f>
        <v>0</v>
      </c>
      <c r="AT82" s="3381"/>
      <c r="AU82" s="3455"/>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381"/>
      <c r="CP82" s="3415">
        <f>CN82+CO82</f>
        <v>0</v>
      </c>
      <c r="CQ82" s="3415">
        <f>CO82+CP82</f>
        <v>0</v>
      </c>
      <c r="CR82" s="3415"/>
      <c r="CT82" s="2624"/>
    </row>
    <row r="83" spans="1:101" s="1396" customFormat="1" ht="13.8" outlineLevel="1">
      <c r="A83" s="1405"/>
      <c r="B83" s="3395" t="s">
        <v>13</v>
      </c>
      <c r="C83" s="3396">
        <f>(C81+C7)-C36</f>
        <v>0</v>
      </c>
      <c r="D83" s="3396">
        <f>(D81+D7)-D36</f>
        <v>0</v>
      </c>
      <c r="E83" s="3397">
        <f>(E81+E7)-E36</f>
        <v>0</v>
      </c>
      <c r="F83" s="3398"/>
      <c r="G83" s="3479"/>
      <c r="H83" s="3396">
        <f>(H81+H7)-H36</f>
        <v>0</v>
      </c>
      <c r="I83" s="3396">
        <f>(I81+I7)-I36</f>
        <v>0</v>
      </c>
      <c r="J83" s="3397">
        <f>(J81+J7)-J36</f>
        <v>0</v>
      </c>
      <c r="K83" s="3398"/>
      <c r="L83" s="3479"/>
      <c r="M83" s="3396">
        <f>(M81+M7)-M36</f>
        <v>0</v>
      </c>
      <c r="N83" s="3396">
        <f>(N81+N7)-N36</f>
        <v>0</v>
      </c>
      <c r="O83" s="3397">
        <f>(O81+O7)-O36</f>
        <v>0</v>
      </c>
      <c r="P83" s="3398"/>
      <c r="Q83" s="3479"/>
      <c r="R83" s="3396">
        <f>(R81+R7)-R36</f>
        <v>0</v>
      </c>
      <c r="S83" s="3396">
        <f>(S81+S7)-S36</f>
        <v>0</v>
      </c>
      <c r="T83" s="3397">
        <f>(T81+T7)-T36</f>
        <v>0</v>
      </c>
      <c r="U83" s="3480"/>
      <c r="V83" s="3480"/>
      <c r="W83" s="3396">
        <f>(W81+W7)-W36</f>
        <v>0</v>
      </c>
      <c r="X83" s="3396">
        <f>(X81+X7)-X36</f>
        <v>0</v>
      </c>
      <c r="Y83" s="3397">
        <f>(Y81+Y7)-Y36</f>
        <v>0</v>
      </c>
      <c r="Z83" s="3480"/>
      <c r="AA83" s="3480"/>
      <c r="AB83" s="3396">
        <f>(AB81+AB7)-AB36</f>
        <v>0</v>
      </c>
      <c r="AC83" s="3396">
        <f>(AC81+AC7)-AC36</f>
        <v>0</v>
      </c>
      <c r="AD83" s="3397">
        <f>(AD81+AD7)-AD36</f>
        <v>0</v>
      </c>
      <c r="AE83" s="3398"/>
      <c r="AF83" s="3479"/>
      <c r="AG83" s="3396">
        <f>(AG81+AG7)-AG36</f>
        <v>0</v>
      </c>
      <c r="AH83" s="3396">
        <f>(AH81+AH7)-AH36</f>
        <v>0</v>
      </c>
      <c r="AI83" s="3397">
        <f>(AI81+AI7)-AI36</f>
        <v>0</v>
      </c>
      <c r="AJ83" s="3398"/>
      <c r="AK83" s="3479"/>
      <c r="AL83" s="3396">
        <f>(AL81+AL7)-AL36</f>
        <v>0</v>
      </c>
      <c r="AM83" s="3396">
        <f>(AM81+AM7)-AM36</f>
        <v>0</v>
      </c>
      <c r="AN83" s="3397">
        <f>(AN81+AN7)-AN36</f>
        <v>0</v>
      </c>
      <c r="AO83" s="3398"/>
      <c r="AP83" s="3479"/>
      <c r="AQ83" s="3396">
        <f>(AQ81+AQ7)-AQ36</f>
        <v>0</v>
      </c>
      <c r="AR83" s="3396">
        <f>(AR81+AR7)-AR36</f>
        <v>0</v>
      </c>
      <c r="AS83" s="3397">
        <f>(AS81+AS7)-AS36</f>
        <v>0</v>
      </c>
      <c r="AT83" s="3398"/>
      <c r="AU83" s="3479"/>
      <c r="AV83" s="3396">
        <f>(AV81+AV7)-AV36</f>
        <v>0</v>
      </c>
      <c r="AW83" s="3396">
        <f>(AW81+AW7)-AW36</f>
        <v>0</v>
      </c>
      <c r="AX83" s="3397">
        <f>(AX81+AX7)-AX36</f>
        <v>0</v>
      </c>
      <c r="AY83" s="3398"/>
      <c r="AZ83" s="3479"/>
      <c r="BA83" s="3396">
        <f>(BA81+BA7)-BA36</f>
        <v>0</v>
      </c>
      <c r="BB83" s="3396">
        <f>(BB81+BB7)-BB36</f>
        <v>0</v>
      </c>
      <c r="BC83" s="3397">
        <f>(BC81+BC7)-BC36</f>
        <v>0</v>
      </c>
      <c r="BD83" s="3398"/>
      <c r="BE83" s="3479"/>
      <c r="BF83" s="3396">
        <f>(BF81+BF7)-BF36</f>
        <v>0</v>
      </c>
      <c r="BG83" s="3396">
        <f>(BG81+BG7)-BG36</f>
        <v>0</v>
      </c>
      <c r="BH83" s="3397">
        <f>(BH81+BH7)-BH36</f>
        <v>0</v>
      </c>
      <c r="BI83" s="3398"/>
      <c r="BJ83" s="3479"/>
      <c r="BK83" s="3396">
        <f>(BK81+BK7)-BK36</f>
        <v>0</v>
      </c>
      <c r="BL83" s="3396">
        <f>(BL81+BL7)-BL36</f>
        <v>0</v>
      </c>
      <c r="BM83" s="3397">
        <f>(BM81+BM7)-BM36</f>
        <v>0</v>
      </c>
      <c r="BN83" s="3398"/>
      <c r="BO83" s="3479"/>
      <c r="BP83" s="3396">
        <f>(BP81+BP7)-BP36</f>
        <v>0</v>
      </c>
      <c r="BQ83" s="3396">
        <f>(BQ81+BQ7)-BQ36</f>
        <v>0</v>
      </c>
      <c r="BR83" s="3397">
        <f>(BR81+BR7)-BR36</f>
        <v>0</v>
      </c>
      <c r="BS83" s="3398"/>
      <c r="BT83" s="3479"/>
      <c r="BU83" s="3396">
        <f>(BU81+BU7)-BU36</f>
        <v>0</v>
      </c>
      <c r="BV83" s="3396">
        <f>(BV81+BV7)-BV36</f>
        <v>0</v>
      </c>
      <c r="BW83" s="3397">
        <f>(BW81+BW7)-BW36</f>
        <v>0</v>
      </c>
      <c r="BX83" s="3398"/>
      <c r="BY83" s="3479"/>
      <c r="BZ83" s="3396">
        <f>(BZ81+BZ7)-BZ36</f>
        <v>0</v>
      </c>
      <c r="CA83" s="3396">
        <f>(CA81+CA7)-CA36</f>
        <v>0</v>
      </c>
      <c r="CB83" s="3397">
        <f>(CB81+CB7)-CB36</f>
        <v>0</v>
      </c>
      <c r="CC83" s="3398"/>
      <c r="CD83" s="3479"/>
      <c r="CE83" s="3396">
        <f>(CE81+CE7)-CE36</f>
        <v>0</v>
      </c>
      <c r="CF83" s="3396">
        <f>(CF81+CF7)-CF36</f>
        <v>0</v>
      </c>
      <c r="CG83" s="3397">
        <f>(CG81+CG7)-CG36</f>
        <v>0</v>
      </c>
      <c r="CH83" s="3398"/>
      <c r="CI83" s="3479"/>
      <c r="CJ83" s="3396">
        <f>(CJ81+CJ7)-CJ36</f>
        <v>0</v>
      </c>
      <c r="CK83" s="3396">
        <f>(CK81+CK7)-CK36</f>
        <v>0</v>
      </c>
      <c r="CL83" s="3397">
        <f>(CL81+CL7)-CL36</f>
        <v>0</v>
      </c>
      <c r="CM83" s="3398"/>
      <c r="CN83" s="3398"/>
      <c r="CP83" s="3481">
        <f>(CP81+CP7)-CP36</f>
        <v>0</v>
      </c>
      <c r="CQ83" s="3481">
        <f>(CQ81+CQ7)-CQ36</f>
        <v>0</v>
      </c>
      <c r="CR83" s="3481">
        <f>(CR81+CR7)-CR36</f>
        <v>0</v>
      </c>
      <c r="CT83" s="2624"/>
    </row>
    <row r="84" spans="1:101" s="1396" customFormat="1" ht="14.4" outlineLevel="1" thickBot="1">
      <c r="A84" s="1405"/>
      <c r="B84" s="3123" t="s">
        <v>14</v>
      </c>
      <c r="C84" s="2852">
        <f>C83-C73-C82</f>
        <v>0</v>
      </c>
      <c r="D84" s="2852">
        <f>D83-D73-D82</f>
        <v>0</v>
      </c>
      <c r="E84" s="2852">
        <f>E83-E73-E82</f>
        <v>0</v>
      </c>
      <c r="F84" s="2853"/>
      <c r="G84" s="3483"/>
      <c r="H84" s="2852">
        <f>H83-H73-H82</f>
        <v>0</v>
      </c>
      <c r="I84" s="2852">
        <f>I83-I73-I82</f>
        <v>0</v>
      </c>
      <c r="J84" s="2852">
        <f>J83-J73-J82</f>
        <v>0</v>
      </c>
      <c r="K84" s="2853"/>
      <c r="L84" s="3483"/>
      <c r="M84" s="2852">
        <f>M83-M73-M82</f>
        <v>0</v>
      </c>
      <c r="N84" s="2852">
        <f>N83-N73-N82</f>
        <v>0</v>
      </c>
      <c r="O84" s="2852">
        <f>O83-O73-O82</f>
        <v>0</v>
      </c>
      <c r="P84" s="2853"/>
      <c r="Q84" s="3483"/>
      <c r="R84" s="2852">
        <f>R83-R73-R82</f>
        <v>0</v>
      </c>
      <c r="S84" s="2852">
        <f>S83-S73-S82</f>
        <v>0</v>
      </c>
      <c r="T84" s="2852">
        <f>T83-T73-T82</f>
        <v>0</v>
      </c>
      <c r="U84" s="3483"/>
      <c r="V84" s="3483"/>
      <c r="W84" s="3431">
        <f t="shared" ref="W84:X84" si="224">AB84+AG84+AL84+AV84+BA84+BF84+BK84+BP84+BU84+BZ84+CE84</f>
        <v>0</v>
      </c>
      <c r="X84" s="3430">
        <f t="shared" si="224"/>
        <v>0</v>
      </c>
      <c r="Y84" s="2852">
        <f>Y83-Y73-Y82</f>
        <v>0</v>
      </c>
      <c r="Z84" s="3483"/>
      <c r="AA84" s="3483"/>
      <c r="AB84" s="2852">
        <f>AB83-AB73-AB82</f>
        <v>0</v>
      </c>
      <c r="AC84" s="2852">
        <f>AC83-AC73-AC82</f>
        <v>0</v>
      </c>
      <c r="AD84" s="2852">
        <f>AD83-AD73-AD82</f>
        <v>0</v>
      </c>
      <c r="AE84" s="2853"/>
      <c r="AF84" s="3483"/>
      <c r="AG84" s="2852">
        <f>AG83-AG73-AG82</f>
        <v>0</v>
      </c>
      <c r="AH84" s="2852">
        <f>AH83-AH73-AH82</f>
        <v>0</v>
      </c>
      <c r="AI84" s="2852">
        <f>AI83-AI73-AI82</f>
        <v>0</v>
      </c>
      <c r="AJ84" s="2853"/>
      <c r="AK84" s="3483"/>
      <c r="AL84" s="2852">
        <f>AL83-AL73-AL82</f>
        <v>0</v>
      </c>
      <c r="AM84" s="2852">
        <f>AM83-AM73-AM82</f>
        <v>0</v>
      </c>
      <c r="AN84" s="2852">
        <f>AN83-AN73-AN82</f>
        <v>0</v>
      </c>
      <c r="AO84" s="2853"/>
      <c r="AP84" s="3483"/>
      <c r="AQ84" s="2852">
        <f>AQ83-AQ73-AQ82</f>
        <v>0</v>
      </c>
      <c r="AR84" s="2852">
        <f>AR83-AR73-AR82</f>
        <v>0</v>
      </c>
      <c r="AS84" s="2852">
        <f>AS83-AS73-AS82</f>
        <v>0</v>
      </c>
      <c r="AT84" s="2853"/>
      <c r="AU84" s="3483"/>
      <c r="AV84" s="2852">
        <f>AV83-AV73-AV82</f>
        <v>0</v>
      </c>
      <c r="AW84" s="2852">
        <f>AW83-AW73-AW82</f>
        <v>0</v>
      </c>
      <c r="AX84" s="2852">
        <f>AX83-AX73-AX82</f>
        <v>0</v>
      </c>
      <c r="AY84" s="2853"/>
      <c r="AZ84" s="3483"/>
      <c r="BA84" s="2852">
        <f>BA83-BA73-BA82</f>
        <v>0</v>
      </c>
      <c r="BB84" s="2852">
        <f>BB83-BB73-BB82</f>
        <v>0</v>
      </c>
      <c r="BC84" s="2852">
        <f>BC83-BC73-BC82</f>
        <v>0</v>
      </c>
      <c r="BD84" s="2853"/>
      <c r="BE84" s="3483"/>
      <c r="BF84" s="2852">
        <f>BF83-BF73-BF82</f>
        <v>0</v>
      </c>
      <c r="BG84" s="2852">
        <f>BG83-BG73-BG82</f>
        <v>0</v>
      </c>
      <c r="BH84" s="2852">
        <f>BH83-BH73-BH82</f>
        <v>0</v>
      </c>
      <c r="BI84" s="2853"/>
      <c r="BJ84" s="3483"/>
      <c r="BK84" s="2852">
        <f>BK83-BK73-BK82</f>
        <v>0</v>
      </c>
      <c r="BL84" s="2852">
        <f>BL83-BL73-BL82</f>
        <v>0</v>
      </c>
      <c r="BM84" s="2852">
        <f>BM83-BM73-BM82</f>
        <v>0</v>
      </c>
      <c r="BN84" s="2853"/>
      <c r="BO84" s="3483"/>
      <c r="BP84" s="2852">
        <f>BP83-BP73-BP82</f>
        <v>0</v>
      </c>
      <c r="BQ84" s="2852">
        <f>BQ83-BQ73-BQ82</f>
        <v>0</v>
      </c>
      <c r="BR84" s="2852">
        <f>BR83-BR73-BR82</f>
        <v>0</v>
      </c>
      <c r="BS84" s="2853"/>
      <c r="BT84" s="3483"/>
      <c r="BU84" s="2852">
        <f>BU83-BU73-BU82</f>
        <v>0</v>
      </c>
      <c r="BV84" s="2852">
        <f>BV83-BV73-BV82</f>
        <v>0</v>
      </c>
      <c r="BW84" s="2852">
        <f>BW83-BW73-BW82</f>
        <v>0</v>
      </c>
      <c r="BX84" s="2853"/>
      <c r="BY84" s="3483"/>
      <c r="BZ84" s="2852">
        <f>BZ83-BZ73-BZ82</f>
        <v>0</v>
      </c>
      <c r="CA84" s="2852">
        <f>CA83-CA73-CA82</f>
        <v>0</v>
      </c>
      <c r="CB84" s="2852">
        <f>CB83-CB73-CB82</f>
        <v>0</v>
      </c>
      <c r="CC84" s="2853"/>
      <c r="CD84" s="3483"/>
      <c r="CE84" s="2852">
        <f>CE83-CE73-CE82</f>
        <v>0</v>
      </c>
      <c r="CF84" s="2852">
        <f>CF83-CF73-CF82</f>
        <v>0</v>
      </c>
      <c r="CG84" s="2852">
        <f>CG83-CG73-CG82</f>
        <v>0</v>
      </c>
      <c r="CH84" s="2853"/>
      <c r="CI84" s="3483"/>
      <c r="CJ84" s="3365">
        <f t="shared" ref="CJ84:CK84" si="225">C84+H84+M84+W84</f>
        <v>0</v>
      </c>
      <c r="CK84" s="3365">
        <f t="shared" si="225"/>
        <v>0</v>
      </c>
      <c r="CL84" s="2852">
        <f>CL83-CL73-CL82</f>
        <v>0</v>
      </c>
      <c r="CM84" s="2853"/>
      <c r="CN84" s="2853"/>
      <c r="CP84" s="3309">
        <f>CP83-CP73-CP82</f>
        <v>0</v>
      </c>
      <c r="CQ84" s="3484">
        <f>CQ83-CQ73-CQ82</f>
        <v>0</v>
      </c>
      <c r="CR84" s="3309">
        <f>CR83-CR73-CR82</f>
        <v>0</v>
      </c>
      <c r="CT84" s="2624"/>
    </row>
    <row r="85" spans="1:101" s="1396" customFormat="1" ht="13.8" outlineLevel="3">
      <c r="A85" s="1565"/>
      <c r="B85" s="1403" t="s">
        <v>44</v>
      </c>
      <c r="C85" s="3341"/>
      <c r="D85" s="3341"/>
      <c r="E85" s="2012">
        <f>C85+D85*1.15</f>
        <v>0</v>
      </c>
      <c r="F85" s="3381"/>
      <c r="G85" s="3455"/>
      <c r="H85" s="3341"/>
      <c r="I85" s="3341"/>
      <c r="J85" s="2012">
        <f>H85+I85*1.15</f>
        <v>0</v>
      </c>
      <c r="K85" s="3350" t="e">
        <f t="shared" ref="K85" si="226">J85/J$89</f>
        <v>#DIV/0!</v>
      </c>
      <c r="L85" s="3455"/>
      <c r="M85" s="3341"/>
      <c r="N85" s="3341"/>
      <c r="O85" s="2012">
        <f>M85+N85*1.15</f>
        <v>0</v>
      </c>
      <c r="P85" s="3350" t="e">
        <f t="shared" ref="P85" si="227">O85/O$89</f>
        <v>#DIV/0!</v>
      </c>
      <c r="Q85" s="3455"/>
      <c r="R85" s="3342">
        <f t="shared" ref="R85:S85" si="228">M85+H85+C85</f>
        <v>0</v>
      </c>
      <c r="S85" s="3342">
        <f t="shared" si="228"/>
        <v>0</v>
      </c>
      <c r="T85" s="2012">
        <f t="shared" ref="T85" si="229">R85+S85</f>
        <v>0</v>
      </c>
      <c r="U85" s="3455"/>
      <c r="V85" s="3455"/>
      <c r="W85" s="3342">
        <f t="shared" ref="W85:X85" si="230">AB85+AG85+AL85+AV85+BA85+BF85+BK85+BP85+BU85+BZ85+CE85+AQ85</f>
        <v>0</v>
      </c>
      <c r="X85" s="3342">
        <f t="shared" si="230"/>
        <v>0</v>
      </c>
      <c r="Y85" s="2012">
        <f t="shared" ref="Y85" si="231">W85+X85</f>
        <v>0</v>
      </c>
      <c r="Z85" s="3455"/>
      <c r="AA85" s="3455"/>
      <c r="AB85" s="3341"/>
      <c r="AC85" s="3341"/>
      <c r="AD85" s="2012">
        <f>AB85+AC85*1.15</f>
        <v>0</v>
      </c>
      <c r="AE85" s="3381"/>
      <c r="AF85" s="3455"/>
      <c r="AG85" s="3341"/>
      <c r="AH85" s="3341"/>
      <c r="AI85" s="2012">
        <f>AG85+AH85*1.15</f>
        <v>0</v>
      </c>
      <c r="AJ85" s="3381"/>
      <c r="AK85" s="3455"/>
      <c r="AL85" s="3341"/>
      <c r="AM85" s="3341"/>
      <c r="AN85" s="2012">
        <f>AL85+AM85*1.15</f>
        <v>0</v>
      </c>
      <c r="AO85" s="3381"/>
      <c r="AP85" s="3455"/>
      <c r="AQ85" s="3341"/>
      <c r="AR85" s="3341"/>
      <c r="AS85" s="2012">
        <f>AQ85+AR85*1.15</f>
        <v>0</v>
      </c>
      <c r="AT85" s="3381"/>
      <c r="AU85" s="3455"/>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2124">
        <f>CN85+CO85*1.15</f>
        <v>0</v>
      </c>
      <c r="CQ85" s="2124">
        <f>CO85+CP85*1.15</f>
        <v>0</v>
      </c>
      <c r="CR85" s="2124"/>
      <c r="CT85" s="2624"/>
    </row>
    <row r="86" spans="1:101" s="1396" customFormat="1" ht="27.6">
      <c r="A86" s="1405"/>
      <c r="B86" s="3438" t="s">
        <v>50</v>
      </c>
      <c r="C86" s="3406">
        <f>C84-C85</f>
        <v>0</v>
      </c>
      <c r="D86" s="3406">
        <f>D84-D85</f>
        <v>0</v>
      </c>
      <c r="E86" s="3406">
        <f>E84-E85</f>
        <v>0</v>
      </c>
      <c r="F86" s="3407"/>
      <c r="G86" s="3485"/>
      <c r="H86" s="3406">
        <f>H84-H85</f>
        <v>0</v>
      </c>
      <c r="I86" s="3406">
        <f>I84-I85</f>
        <v>0</v>
      </c>
      <c r="J86" s="3406">
        <f>J84-J85</f>
        <v>0</v>
      </c>
      <c r="K86" s="3407"/>
      <c r="L86" s="3485"/>
      <c r="M86" s="3406">
        <f>M84-M85</f>
        <v>0</v>
      </c>
      <c r="N86" s="3406">
        <f>N84-N85</f>
        <v>0</v>
      </c>
      <c r="O86" s="3406">
        <f>O84-O85</f>
        <v>0</v>
      </c>
      <c r="P86" s="3407"/>
      <c r="Q86" s="3485"/>
      <c r="R86" s="3406">
        <f>R84-R85</f>
        <v>0</v>
      </c>
      <c r="S86" s="3406">
        <f>S84-S85</f>
        <v>0</v>
      </c>
      <c r="T86" s="3406">
        <f>T84-T85</f>
        <v>0</v>
      </c>
      <c r="U86" s="3485"/>
      <c r="V86" s="3485"/>
      <c r="W86" s="3406">
        <f>W84-W85</f>
        <v>0</v>
      </c>
      <c r="X86" s="3406">
        <f>X84-X85</f>
        <v>0</v>
      </c>
      <c r="Y86" s="3406">
        <f>Y84-Y85</f>
        <v>0</v>
      </c>
      <c r="Z86" s="3485"/>
      <c r="AA86" s="3485"/>
      <c r="AB86" s="3406">
        <f>AB84-AB85</f>
        <v>0</v>
      </c>
      <c r="AC86" s="3406">
        <f>AC84-AC85</f>
        <v>0</v>
      </c>
      <c r="AD86" s="3406">
        <f>AD84-AD85</f>
        <v>0</v>
      </c>
      <c r="AE86" s="3407"/>
      <c r="AF86" s="3485"/>
      <c r="AG86" s="3406">
        <f>AG84-AG85</f>
        <v>0</v>
      </c>
      <c r="AH86" s="3406">
        <f>AH84-AH85</f>
        <v>0</v>
      </c>
      <c r="AI86" s="3406">
        <f>AI84-AI85</f>
        <v>0</v>
      </c>
      <c r="AJ86" s="3407"/>
      <c r="AK86" s="3485"/>
      <c r="AL86" s="3406">
        <f>AL84-AL85</f>
        <v>0</v>
      </c>
      <c r="AM86" s="3406">
        <f>AM84-AM85</f>
        <v>0</v>
      </c>
      <c r="AN86" s="3406">
        <f>AN84-AN85</f>
        <v>0</v>
      </c>
      <c r="AO86" s="3407"/>
      <c r="AP86" s="3485"/>
      <c r="AQ86" s="3406">
        <f>AQ84-AQ85</f>
        <v>0</v>
      </c>
      <c r="AR86" s="3406">
        <f>AR84-AR85</f>
        <v>0</v>
      </c>
      <c r="AS86" s="3406">
        <f>AS84-AS85</f>
        <v>0</v>
      </c>
      <c r="AT86" s="3407"/>
      <c r="AU86" s="3485"/>
      <c r="AV86" s="3406">
        <f>AV84-AV85</f>
        <v>0</v>
      </c>
      <c r="AW86" s="3406">
        <f>AW84-AW85</f>
        <v>0</v>
      </c>
      <c r="AX86" s="3406">
        <f>AX84-AX85</f>
        <v>0</v>
      </c>
      <c r="AY86" s="3407"/>
      <c r="AZ86" s="3485"/>
      <c r="BA86" s="3406">
        <f>BA84-BA85</f>
        <v>0</v>
      </c>
      <c r="BB86" s="3406">
        <f>BB84-BB85</f>
        <v>0</v>
      </c>
      <c r="BC86" s="3406">
        <f>BC84-BC85</f>
        <v>0</v>
      </c>
      <c r="BD86" s="3407"/>
      <c r="BE86" s="3485"/>
      <c r="BF86" s="3406">
        <f>BF84-BF85</f>
        <v>0</v>
      </c>
      <c r="BG86" s="3406">
        <f>BG84-BG85</f>
        <v>0</v>
      </c>
      <c r="BH86" s="3406">
        <f>BH84-BH85</f>
        <v>0</v>
      </c>
      <c r="BI86" s="3407"/>
      <c r="BJ86" s="3485"/>
      <c r="BK86" s="3406">
        <f>BK84-BK85</f>
        <v>0</v>
      </c>
      <c r="BL86" s="3406">
        <f>BL84-BL85</f>
        <v>0</v>
      </c>
      <c r="BM86" s="3406">
        <f>BM84-BM85</f>
        <v>0</v>
      </c>
      <c r="BN86" s="3407"/>
      <c r="BO86" s="3485"/>
      <c r="BP86" s="3406">
        <f>BP84-BP85</f>
        <v>0</v>
      </c>
      <c r="BQ86" s="3406">
        <f>BQ84-BQ85</f>
        <v>0</v>
      </c>
      <c r="BR86" s="3406">
        <f>BR84-BR85</f>
        <v>0</v>
      </c>
      <c r="BS86" s="3407"/>
      <c r="BT86" s="3485"/>
      <c r="BU86" s="3406">
        <f>BU84-BU85</f>
        <v>0</v>
      </c>
      <c r="BV86" s="3406">
        <f>BV84-BV85</f>
        <v>0</v>
      </c>
      <c r="BW86" s="3406">
        <f>BW84-BW85</f>
        <v>0</v>
      </c>
      <c r="BX86" s="3407"/>
      <c r="BY86" s="3485"/>
      <c r="BZ86" s="3406">
        <f>BZ84-BZ85</f>
        <v>0</v>
      </c>
      <c r="CA86" s="3406">
        <f>CA84-CA85</f>
        <v>0</v>
      </c>
      <c r="CB86" s="3406">
        <f>CB84-CB85</f>
        <v>0</v>
      </c>
      <c r="CC86" s="3407"/>
      <c r="CD86" s="3485"/>
      <c r="CE86" s="3406">
        <f>CE84-CE85</f>
        <v>0</v>
      </c>
      <c r="CF86" s="3406">
        <f>CF84-CF85</f>
        <v>0</v>
      </c>
      <c r="CG86" s="3406">
        <f>CG84-CG85</f>
        <v>0</v>
      </c>
      <c r="CH86" s="3407"/>
      <c r="CI86" s="3485"/>
      <c r="CJ86" s="3406">
        <f>CJ84-CJ85</f>
        <v>0</v>
      </c>
      <c r="CK86" s="3406">
        <f>CK84-CK85</f>
        <v>0</v>
      </c>
      <c r="CL86" s="3406">
        <f>CL84-CL85</f>
        <v>0</v>
      </c>
      <c r="CM86" s="3407"/>
      <c r="CN86" s="3407"/>
      <c r="CP86" s="3481">
        <f>CP84-CP85</f>
        <v>0</v>
      </c>
      <c r="CQ86" s="3481">
        <f>CQ84-CQ85</f>
        <v>0</v>
      </c>
      <c r="CR86" s="3481">
        <f>CR84-CR85</f>
        <v>0</v>
      </c>
      <c r="CT86" s="2624">
        <f>CT6-SUM(CT8:CT37)</f>
        <v>0</v>
      </c>
      <c r="CW86" s="933"/>
    </row>
    <row r="87" spans="1:101" s="1396" customFormat="1" ht="14.4" thickBot="1">
      <c r="A87" s="1567"/>
      <c r="B87" s="3408" t="s">
        <v>51</v>
      </c>
      <c r="C87" s="2856">
        <f>IFERROR(C86/C5,0)</f>
        <v>0</v>
      </c>
      <c r="D87" s="2857">
        <f>IFERROR(D86/D5,0)</f>
        <v>0</v>
      </c>
      <c r="E87" s="2858">
        <f>IFERROR(E86/E5,0)</f>
        <v>0</v>
      </c>
      <c r="F87" s="2860"/>
      <c r="G87" s="3486"/>
      <c r="H87" s="2856">
        <f>IFERROR(H86/H5,0)</f>
        <v>0</v>
      </c>
      <c r="I87" s="2857">
        <f>IFERROR(I86/I5,0)</f>
        <v>0</v>
      </c>
      <c r="J87" s="2858">
        <f>IFERROR(J86/J5,0)</f>
        <v>0</v>
      </c>
      <c r="K87" s="2860"/>
      <c r="L87" s="3486"/>
      <c r="M87" s="2856">
        <f>IFERROR(M86/M5,0)</f>
        <v>0</v>
      </c>
      <c r="N87" s="2857">
        <f>IFERROR(N86/N5,0)</f>
        <v>0</v>
      </c>
      <c r="O87" s="2858">
        <f>IFERROR(O86/O5,0)</f>
        <v>0</v>
      </c>
      <c r="P87" s="2860"/>
      <c r="Q87" s="3486"/>
      <c r="R87" s="3759"/>
      <c r="S87" s="3759"/>
      <c r="T87" s="3759"/>
      <c r="U87" s="3759"/>
      <c r="V87" s="3759"/>
      <c r="W87" s="3759"/>
      <c r="X87" s="3759"/>
      <c r="Y87" s="3759"/>
      <c r="Z87" s="3759"/>
      <c r="AA87" s="3759"/>
      <c r="AB87" s="2856">
        <f>IFERROR(AB86/AB5,0)</f>
        <v>0</v>
      </c>
      <c r="AC87" s="2857">
        <f>IFERROR(AC86/AC5,0)</f>
        <v>0</v>
      </c>
      <c r="AD87" s="2858">
        <f>IFERROR(AD86/AD5,0)</f>
        <v>0</v>
      </c>
      <c r="AE87" s="2860"/>
      <c r="AF87" s="3486"/>
      <c r="AG87" s="2856">
        <f>IFERROR(AG86/AG5,0)</f>
        <v>0</v>
      </c>
      <c r="AH87" s="2857">
        <f>IFERROR(AH86/AH5,0)</f>
        <v>0</v>
      </c>
      <c r="AI87" s="2858">
        <f>IFERROR(AI86/AI5,0)</f>
        <v>0</v>
      </c>
      <c r="AJ87" s="2860"/>
      <c r="AK87" s="3486"/>
      <c r="AL87" s="2856">
        <f>IFERROR(AL86/AL5,0)</f>
        <v>0</v>
      </c>
      <c r="AM87" s="2857">
        <f>IFERROR(AM86/AM5,0)</f>
        <v>0</v>
      </c>
      <c r="AN87" s="2858">
        <f>IFERROR(AN86/AN5,0)</f>
        <v>0</v>
      </c>
      <c r="AO87" s="2860"/>
      <c r="AP87" s="3486"/>
      <c r="AQ87" s="2856">
        <f>IFERROR(AQ86/AQ5,0)</f>
        <v>0</v>
      </c>
      <c r="AR87" s="2857">
        <f>IFERROR(AR86/AR5,0)</f>
        <v>0</v>
      </c>
      <c r="AS87" s="2858">
        <f>IFERROR(AS86/AS5,0)</f>
        <v>0</v>
      </c>
      <c r="AT87" s="2860"/>
      <c r="AU87" s="3486"/>
      <c r="AV87" s="2856">
        <f>IFERROR(AV86/AV5,0)</f>
        <v>0</v>
      </c>
      <c r="AW87" s="2857">
        <f>IFERROR(AW86/AW5,0)</f>
        <v>0</v>
      </c>
      <c r="AX87" s="2858">
        <f>IFERROR(AX86/AX5,0)</f>
        <v>0</v>
      </c>
      <c r="AY87" s="2860"/>
      <c r="AZ87" s="3486"/>
      <c r="BA87" s="2856">
        <f>IFERROR(BA86/BA5,0)</f>
        <v>0</v>
      </c>
      <c r="BB87" s="2857">
        <f>IFERROR(BB86/BB5,0)</f>
        <v>0</v>
      </c>
      <c r="BC87" s="2858">
        <f>IFERROR(BC86/BC5,0)</f>
        <v>0</v>
      </c>
      <c r="BD87" s="2860"/>
      <c r="BE87" s="3486"/>
      <c r="BF87" s="2856">
        <f>IFERROR(BF86/BF5,0)</f>
        <v>0</v>
      </c>
      <c r="BG87" s="2857">
        <f>IFERROR(BG86/BG5,0)</f>
        <v>0</v>
      </c>
      <c r="BH87" s="2858">
        <f>IFERROR(BH86/BH5,0)</f>
        <v>0</v>
      </c>
      <c r="BI87" s="2860"/>
      <c r="BJ87" s="3486"/>
      <c r="BK87" s="2856">
        <f>IFERROR(BK86/BK5,0)</f>
        <v>0</v>
      </c>
      <c r="BL87" s="2857">
        <f>IFERROR(BL86/BL5,0)</f>
        <v>0</v>
      </c>
      <c r="BM87" s="2858">
        <f>IFERROR(BM86/BM5,0)</f>
        <v>0</v>
      </c>
      <c r="BN87" s="2860"/>
      <c r="BO87" s="3486"/>
      <c r="BP87" s="2856">
        <f>IFERROR(BP86/BP5,0)</f>
        <v>0</v>
      </c>
      <c r="BQ87" s="2857">
        <f>IFERROR(BQ86/BQ5,0)</f>
        <v>0</v>
      </c>
      <c r="BR87" s="2858">
        <f>IFERROR(BR86/BR5,0)</f>
        <v>0</v>
      </c>
      <c r="BS87" s="2860"/>
      <c r="BT87" s="3486"/>
      <c r="BU87" s="2856">
        <f>IFERROR(BU86/BU5,0)</f>
        <v>0</v>
      </c>
      <c r="BV87" s="2857">
        <f>IFERROR(BV86/BV5,0)</f>
        <v>0</v>
      </c>
      <c r="BW87" s="2858">
        <f>IFERROR(BW86/BW5,0)</f>
        <v>0</v>
      </c>
      <c r="BX87" s="2860"/>
      <c r="BY87" s="3486"/>
      <c r="BZ87" s="2856">
        <f>IFERROR(BZ86/BZ5,0)</f>
        <v>0</v>
      </c>
      <c r="CA87" s="2857">
        <f>IFERROR(CA86/CA5,0)</f>
        <v>0</v>
      </c>
      <c r="CB87" s="2858">
        <f>IFERROR(CB86/CB5,0)</f>
        <v>0</v>
      </c>
      <c r="CC87" s="2860"/>
      <c r="CD87" s="3486"/>
      <c r="CE87" s="2856">
        <f>IFERROR(CE86/CE5,0)</f>
        <v>0</v>
      </c>
      <c r="CF87" s="2857">
        <f>IFERROR(CF86/CF5,0)</f>
        <v>0</v>
      </c>
      <c r="CG87" s="2858">
        <f>IFERROR(CG86/CG5,0)</f>
        <v>0</v>
      </c>
      <c r="CH87" s="2860"/>
      <c r="CI87" s="3486"/>
      <c r="CJ87" s="2856">
        <f>IFERROR(CJ86/CJ5,0)</f>
        <v>0</v>
      </c>
      <c r="CK87" s="2857">
        <f>IFERROR(CK86/CK5,0)</f>
        <v>0</v>
      </c>
      <c r="CL87" s="2858">
        <f>IFERROR(CL86/CL5,0)</f>
        <v>0</v>
      </c>
      <c r="CM87" s="2860"/>
      <c r="CN87" s="2860"/>
      <c r="CP87" s="2858" t="e">
        <f>CP86/CP5</f>
        <v>#DIV/0!</v>
      </c>
      <c r="CQ87" s="3487">
        <f>IFERROR(CQ86/CQ5,0)</f>
        <v>0</v>
      </c>
      <c r="CR87" s="2858" t="e">
        <f>CR86/CR5</f>
        <v>#DIV/0!</v>
      </c>
      <c r="CT87" s="2624"/>
    </row>
    <row r="88" spans="1:101"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1611"/>
      <c r="AG88" s="1954"/>
      <c r="AH88" s="1954"/>
      <c r="AI88" s="1954"/>
      <c r="AJ88" s="1954"/>
      <c r="AK88" s="1611"/>
      <c r="AL88" s="1954"/>
      <c r="AM88" s="1954"/>
      <c r="AN88" s="1954"/>
      <c r="AO88" s="1954"/>
      <c r="AP88" s="1611"/>
      <c r="AQ88" s="1954"/>
      <c r="AR88" s="1954"/>
      <c r="AS88" s="1954"/>
      <c r="AT88" s="1954"/>
      <c r="AU88" s="1611"/>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1954"/>
      <c r="CQ88" s="1954"/>
      <c r="CR88" s="1954"/>
    </row>
    <row r="89" spans="1:101">
      <c r="B89" s="1562" t="s">
        <v>56</v>
      </c>
      <c r="E89" s="1960">
        <f>E8+E36+E41+E50+E54+E73+E79+E82+E85</f>
        <v>0</v>
      </c>
      <c r="G89" s="1963"/>
      <c r="J89" s="1960">
        <f>J8+J36+J41+J50+J54+J73+J79+J82+J85</f>
        <v>0</v>
      </c>
      <c r="L89" s="1963"/>
      <c r="O89" s="1960">
        <f>O8+O36+O41+O50+O54+O73+O79+O82+O85</f>
        <v>0</v>
      </c>
      <c r="Q89" s="1963"/>
      <c r="R89" s="1963"/>
      <c r="S89" s="1963"/>
      <c r="T89" s="1960">
        <f>T8+T36+T41+T50+T54+T73+T79+T82+T85</f>
        <v>0</v>
      </c>
      <c r="U89" s="1963"/>
      <c r="V89" s="1963"/>
      <c r="W89" s="1963"/>
      <c r="X89" s="1963"/>
      <c r="Y89" s="1960">
        <f>Y8+Y36+Y41+Y50+Y54+Y73+Y79+Y82+Y85</f>
        <v>0</v>
      </c>
      <c r="Z89" s="1963"/>
      <c r="AA89" s="1963"/>
      <c r="AD89" s="1960">
        <f>AD8+AD36+AD41+AD50+AD54+AD73+AD79+AD82+AD85</f>
        <v>0</v>
      </c>
      <c r="AF89" s="1963"/>
      <c r="AI89" s="1960">
        <f>AI8+AI36+AI41+AI50+AI54+AI73+AI79+AI82+AI85</f>
        <v>0</v>
      </c>
      <c r="AK89" s="1963"/>
      <c r="AN89" s="1960">
        <f>AN8+AN36+AN41+AN50+AN54+AN73+AN79+AN82+AN85</f>
        <v>0</v>
      </c>
      <c r="AP89" s="1963"/>
      <c r="AS89" s="1960">
        <f>AS8+AS36+AS41+AS50+AS54+AS73+AS79+AS82+AS85</f>
        <v>0</v>
      </c>
      <c r="AU89" s="1963"/>
      <c r="AX89" s="1960">
        <f>AX8+AX36+AX41+AX50+AX54+AX73+AX79+AX82+AX85</f>
        <v>0</v>
      </c>
      <c r="AZ89" s="1963"/>
      <c r="BC89" s="1960">
        <f>BC8+BC36+BC41+BC50+BC54+BC73+BC79+BC82+BC85</f>
        <v>0</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0</v>
      </c>
    </row>
    <row r="90" spans="1:101">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1963"/>
      <c r="AC90" s="1963"/>
      <c r="AD90" s="1963"/>
      <c r="AE90" s="1963"/>
      <c r="AF90" s="1963"/>
      <c r="AG90" s="1963"/>
      <c r="AH90" s="1963"/>
      <c r="AI90" s="1963"/>
      <c r="AJ90" s="1963"/>
      <c r="AK90" s="1963"/>
      <c r="AL90" s="1963"/>
      <c r="AM90" s="1963"/>
      <c r="AN90" s="1963"/>
      <c r="AO90" s="1963"/>
      <c r="AP90" s="1963"/>
      <c r="AQ90" s="1963"/>
      <c r="AR90" s="1963"/>
      <c r="AS90" s="1963"/>
      <c r="AT90" s="1963"/>
      <c r="AU90" s="1963"/>
      <c r="AV90" s="1963"/>
      <c r="AW90" s="1963"/>
      <c r="AX90" s="1963"/>
      <c r="AY90" s="1963"/>
      <c r="AZ90" s="1963"/>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t="b">
        <f>J89+O89+E89+Y89=CL89</f>
        <v>1</v>
      </c>
    </row>
    <row r="91" spans="1:101"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963"/>
      <c r="AG91" s="1963"/>
      <c r="AH91" s="1963"/>
      <c r="AI91" s="1963"/>
      <c r="AJ91" s="1963"/>
      <c r="AK91" s="1963"/>
      <c r="AL91" s="1963"/>
      <c r="AM91" s="1963"/>
      <c r="AN91" s="1963"/>
      <c r="AO91" s="1963"/>
      <c r="AP91" s="1963"/>
      <c r="AQ91" s="1963"/>
      <c r="AR91" s="1963"/>
      <c r="AS91" s="1963"/>
      <c r="AT91" s="1963"/>
      <c r="AU91" s="1963"/>
      <c r="AV91" s="1963"/>
      <c r="AW91" s="1963"/>
      <c r="AX91" s="1963"/>
      <c r="AY91" s="1963"/>
      <c r="AZ91" s="196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c r="CP91" s="1952"/>
      <c r="CQ91" s="1952"/>
      <c r="CR91" s="1952"/>
      <c r="CT91" s="2624"/>
    </row>
    <row r="92" spans="1:101">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P92" s="1963"/>
      <c r="AQ92" s="1963"/>
      <c r="AR92" s="1963"/>
      <c r="AS92" s="1963"/>
      <c r="AT92" s="1963"/>
      <c r="AU92" s="1963"/>
      <c r="AV92" s="1963"/>
      <c r="AW92" s="1963"/>
      <c r="AX92" s="1963"/>
      <c r="AY92" s="1963"/>
      <c r="AZ92" s="196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1" s="1396" customFormat="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963"/>
      <c r="AG93" s="1963"/>
      <c r="AH93" s="1963"/>
      <c r="AI93" s="1963"/>
      <c r="AJ93" s="1963"/>
      <c r="AK93" s="1963"/>
      <c r="AL93" s="1963"/>
      <c r="AM93" s="1963"/>
      <c r="AN93" s="1963"/>
      <c r="AO93" s="1963"/>
      <c r="AP93" s="1963"/>
      <c r="AQ93" s="1963"/>
      <c r="AR93" s="1963"/>
      <c r="AS93" s="1963"/>
      <c r="AT93" s="1963"/>
      <c r="AU93" s="1963"/>
      <c r="AV93" s="1963"/>
      <c r="AW93" s="1963"/>
      <c r="AX93" s="1963"/>
      <c r="AY93" s="1963"/>
      <c r="AZ93" s="1963"/>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52"/>
      <c r="CK93" s="1952"/>
      <c r="CL93" s="687"/>
      <c r="CM93" s="1952"/>
      <c r="CN93" s="1952"/>
      <c r="CP93" s="1952"/>
      <c r="CQ93" s="1952"/>
      <c r="CR93" s="1952"/>
      <c r="CT93" s="2624"/>
    </row>
    <row r="94" spans="1:101" s="1396" customForma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963"/>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52"/>
      <c r="CK94" s="1952"/>
      <c r="CL94" s="1952"/>
      <c r="CM94" s="1952"/>
      <c r="CN94" s="1952"/>
      <c r="CP94" s="1952"/>
      <c r="CQ94" s="1952"/>
      <c r="CR94" s="1952"/>
      <c r="CT94" s="2624"/>
    </row>
    <row r="95" spans="1:101" s="1396" customFormat="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963"/>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52"/>
      <c r="CK95" s="1952"/>
      <c r="CL95" s="1952"/>
      <c r="CM95" s="1952"/>
      <c r="CN95" s="1952"/>
      <c r="CP95" s="1952"/>
      <c r="CQ95" s="1952"/>
      <c r="CR95" s="1952"/>
      <c r="CT95" s="2624"/>
    </row>
    <row r="96" spans="1:101" s="1396" customFormat="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963"/>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52"/>
      <c r="CK96" s="1952"/>
      <c r="CL96" s="1952"/>
      <c r="CM96" s="1952"/>
      <c r="CN96" s="1952"/>
      <c r="CP96" s="1952"/>
      <c r="CQ96" s="1952"/>
      <c r="CR96" s="1952"/>
      <c r="CT96" s="2624"/>
    </row>
    <row r="97" spans="1:98">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1963"/>
      <c r="AH97" s="1963"/>
      <c r="AI97" s="1963"/>
      <c r="AJ97" s="1963"/>
      <c r="AK97" s="1963"/>
      <c r="AL97" s="1963"/>
      <c r="AM97" s="1963"/>
      <c r="AN97" s="1963"/>
      <c r="AO97" s="1963"/>
      <c r="AP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98"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952"/>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1952"/>
      <c r="CQ98" s="1952"/>
      <c r="CR98" s="1952"/>
      <c r="CT98" s="2624"/>
    </row>
  </sheetData>
  <mergeCells count="22">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 ref="W2:AA3"/>
    <mergeCell ref="A2:B2"/>
    <mergeCell ref="C2:G3"/>
    <mergeCell ref="H2:L3"/>
    <mergeCell ref="M2:Q3"/>
    <mergeCell ref="R2:V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W69" activePane="bottomRight" state="frozen"/>
      <selection activeCell="Y90" sqref="Y90"/>
      <selection pane="topRight" activeCell="Y90" sqref="Y90"/>
      <selection pane="bottomLeft" activeCell="Y90" sqref="Y90"/>
      <selection pane="bottomRight" activeCell="AL74" sqref="AL74"/>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hidden="1" customWidth="1" outlineLevel="1" collapsed="1"/>
    <col min="19" max="22" width="13.44140625" style="1952" hidden="1" customWidth="1" outlineLevel="1"/>
    <col min="23" max="23" width="13.44140625" style="1952" customWidth="1" collapsed="1"/>
    <col min="24" max="27" width="13.44140625" style="1952" customWidth="1"/>
    <col min="28" max="31" width="12.88671875" style="1952" hidden="1" customWidth="1" outlineLevel="1"/>
    <col min="32" max="32" width="29.33203125" style="1952" hidden="1" customWidth="1" outlineLevel="1"/>
    <col min="33" max="33" width="12.88671875" style="1952" hidden="1" customWidth="1" outlineLevel="1" collapsed="1"/>
    <col min="34" max="36" width="12.88671875" style="1952" hidden="1" customWidth="1" outlineLevel="1"/>
    <col min="37" max="37" width="26.109375" style="1952" hidden="1" customWidth="1" outlineLevel="1"/>
    <col min="38" max="38" width="12.88671875" style="1952" customWidth="1" collapsed="1"/>
    <col min="39" max="41" width="12.88671875" style="1952" customWidth="1"/>
    <col min="42" max="42" width="26.109375" style="1952" customWidth="1"/>
    <col min="43" max="46" width="12.88671875" style="1952" hidden="1" customWidth="1" outlineLevel="1"/>
    <col min="47" max="47" width="26.109375" style="1952" hidden="1" customWidth="1" outlineLevel="1"/>
    <col min="48" max="51" width="12.88671875" style="1952" hidden="1" customWidth="1" outlineLevel="1"/>
    <col min="52" max="52" width="26.109375" style="1952" hidden="1" customWidth="1" outlineLevel="1"/>
    <col min="53" max="56" width="12.88671875" style="1952" hidden="1" customWidth="1" outlineLevel="1"/>
    <col min="57" max="57" width="26.109375" style="1952" hidden="1" customWidth="1" outlineLevel="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14.33203125" style="1952" customWidth="1"/>
    <col min="93" max="93" width="2.88671875" style="1395"/>
    <col min="94" max="95" width="12.88671875" style="1952" customWidth="1"/>
    <col min="96" max="96" width="14.5546875" style="1952" customWidth="1"/>
    <col min="97" max="97" width="2.88671875" style="1395" customWidth="1" outlineLevel="1"/>
    <col min="98" max="98" width="11.6640625" style="1522" customWidth="1" outlineLevel="1"/>
    <col min="99" max="99" width="8.33203125" style="1395" customWidth="1" outlineLevel="1"/>
    <col min="100" max="100" width="8.44140625" style="1395" customWidth="1" outlineLevel="1"/>
    <col min="101" max="101" width="7.6640625" style="1395" bestFit="1" customWidth="1"/>
    <col min="102" max="16384" width="2.88671875" style="1395"/>
  </cols>
  <sheetData>
    <row r="1" spans="1:98" ht="13.8" thickBot="1"/>
    <row r="2" spans="1:98" ht="13.8">
      <c r="A2" s="4834" t="s">
        <v>1915</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1998</v>
      </c>
      <c r="CK2" s="4875"/>
      <c r="CL2" s="4875"/>
      <c r="CM2" s="4875"/>
      <c r="CN2" s="4876"/>
      <c r="CP2" s="5168" t="s">
        <v>1916</v>
      </c>
      <c r="CQ2" s="5169"/>
      <c r="CR2" s="5170"/>
    </row>
    <row r="3" spans="1:98"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71"/>
      <c r="CQ3" s="5172"/>
      <c r="CR3" s="5173"/>
    </row>
    <row r="4" spans="1:98"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1474" t="s">
        <v>1850</v>
      </c>
      <c r="CQ4" s="1474" t="s">
        <v>1982</v>
      </c>
      <c r="CR4" s="1474" t="s">
        <v>1826</v>
      </c>
    </row>
    <row r="5" spans="1:98"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430761.54</v>
      </c>
      <c r="X5" s="1466">
        <f>X6</f>
        <v>0</v>
      </c>
      <c r="Y5" s="1466">
        <f>Y6+Y7</f>
        <v>430761.54</v>
      </c>
      <c r="Z5" s="1466"/>
      <c r="AA5" s="1466"/>
      <c r="AB5" s="1466">
        <f>AB6</f>
        <v>0</v>
      </c>
      <c r="AC5" s="1466">
        <f>AC6</f>
        <v>0</v>
      </c>
      <c r="AD5" s="1466">
        <f>AD6+AD7</f>
        <v>0</v>
      </c>
      <c r="AE5" s="1466"/>
      <c r="AF5" s="1466"/>
      <c r="AG5" s="1466">
        <f>AG6</f>
        <v>0</v>
      </c>
      <c r="AH5" s="1466">
        <f>AH6</f>
        <v>0</v>
      </c>
      <c r="AI5" s="1466">
        <f>AI6+AI7</f>
        <v>0</v>
      </c>
      <c r="AJ5" s="1466"/>
      <c r="AK5" s="1466"/>
      <c r="AL5" s="1466">
        <f>AL6</f>
        <v>430761.54</v>
      </c>
      <c r="AM5" s="1466">
        <f>AM6</f>
        <v>0</v>
      </c>
      <c r="AN5" s="1466">
        <f>AN6+AN7</f>
        <v>430761.54</v>
      </c>
      <c r="AO5" s="1466"/>
      <c r="AP5" s="1466"/>
      <c r="AQ5" s="1466">
        <f>AQ6</f>
        <v>0</v>
      </c>
      <c r="AR5" s="1466">
        <f>AR6</f>
        <v>0</v>
      </c>
      <c r="AS5" s="1466">
        <f>AS6+AS7</f>
        <v>0</v>
      </c>
      <c r="AT5" s="1466"/>
      <c r="AU5" s="1466"/>
      <c r="AV5" s="1466">
        <f>AV6</f>
        <v>0</v>
      </c>
      <c r="AW5" s="1466">
        <f>AW6</f>
        <v>0</v>
      </c>
      <c r="AX5" s="1466">
        <f>AX6+AX7</f>
        <v>0</v>
      </c>
      <c r="AY5" s="1466"/>
      <c r="AZ5" s="1466"/>
      <c r="BA5" s="1466">
        <f>BA6</f>
        <v>0</v>
      </c>
      <c r="BB5" s="1466">
        <f>BB6</f>
        <v>0</v>
      </c>
      <c r="BC5" s="1466">
        <f>BC6+BC7</f>
        <v>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430761.54</v>
      </c>
      <c r="CK5" s="1466">
        <f>CK6</f>
        <v>0</v>
      </c>
      <c r="CL5" s="1466">
        <f>CL6</f>
        <v>430761.54</v>
      </c>
      <c r="CM5" s="1466"/>
      <c r="CN5" s="1466"/>
      <c r="CP5" s="1955">
        <f>CP6</f>
        <v>476907</v>
      </c>
      <c r="CQ5" s="1955">
        <f>CQ6</f>
        <v>430761.54</v>
      </c>
      <c r="CR5" s="3440">
        <f>CR6</f>
        <v>46145.460000000021</v>
      </c>
      <c r="CT5" s="2624"/>
    </row>
    <row r="6" spans="1:98" s="1396" customFormat="1" ht="79.2"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430761.54</v>
      </c>
      <c r="X6" s="3342">
        <f>AC6+AH6+AM6+AW6+BB6+BG6+BL6+BQ6+BV6+CA6+CF6+AR6</f>
        <v>0</v>
      </c>
      <c r="Y6" s="2012">
        <f t="shared" ref="Y6:Y7" si="3">W6+X6</f>
        <v>430761.54</v>
      </c>
      <c r="Z6" s="3342"/>
      <c r="AA6" s="3342"/>
      <c r="AB6" s="3341"/>
      <c r="AC6" s="3341"/>
      <c r="AD6" s="2012">
        <f t="shared" ref="AD6:AD7" si="4">AB6+AC6</f>
        <v>0</v>
      </c>
      <c r="AE6" s="3341"/>
      <c r="AF6" s="3342"/>
      <c r="AG6" s="3341"/>
      <c r="AH6" s="3341"/>
      <c r="AI6" s="2012">
        <f t="shared" ref="AI6:AI7" si="5">AG6+AH6</f>
        <v>0</v>
      </c>
      <c r="AJ6" s="3341"/>
      <c r="AK6" s="3342"/>
      <c r="AL6" s="3341">
        <f>415633.55+15127.99</f>
        <v>430761.54</v>
      </c>
      <c r="AM6" s="3341"/>
      <c r="AN6" s="2012">
        <f t="shared" ref="AN6:AN7" si="6">AL6+AM6</f>
        <v>430761.54</v>
      </c>
      <c r="AO6" s="3341"/>
      <c r="AP6" s="3409" t="s">
        <v>1999</v>
      </c>
      <c r="AQ6" s="3341"/>
      <c r="AR6" s="3341"/>
      <c r="AS6" s="2012">
        <f t="shared" ref="AS6:AS7" si="7">AQ6+AR6</f>
        <v>0</v>
      </c>
      <c r="AT6" s="3341"/>
      <c r="AU6" s="3342"/>
      <c r="AV6" s="3341"/>
      <c r="AW6" s="3341"/>
      <c r="AX6" s="2012">
        <f t="shared" ref="AX6:AX7" si="8">AV6+AW6</f>
        <v>0</v>
      </c>
      <c r="AY6" s="3341"/>
      <c r="AZ6" s="3342"/>
      <c r="BA6" s="3341"/>
      <c r="BB6" s="3341"/>
      <c r="BC6" s="2012">
        <f t="shared" ref="BC6:BC7" si="9">BA6+BB6</f>
        <v>0</v>
      </c>
      <c r="BD6" s="3341"/>
      <c r="BE6" s="3342"/>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f>
        <v>430761.54</v>
      </c>
      <c r="CK6" s="3341">
        <f>D6+I6+N6+X6</f>
        <v>0</v>
      </c>
      <c r="CL6" s="2012">
        <f>CJ6+CK6</f>
        <v>430761.54</v>
      </c>
      <c r="CM6" s="3341"/>
      <c r="CN6" s="3341"/>
      <c r="CP6" s="2012">
        <v>476907</v>
      </c>
      <c r="CQ6" s="2012">
        <f>CL6</f>
        <v>430761.54</v>
      </c>
      <c r="CR6" s="4188">
        <f>CP6-CQ6</f>
        <v>46145.460000000021</v>
      </c>
      <c r="CS6" s="3307"/>
      <c r="CT6" s="4058">
        <f>-CR6/CP6</f>
        <v>-9.675987142147216E-2</v>
      </c>
    </row>
    <row r="7" spans="1:98" s="1396" customFormat="1" ht="14.4" outlineLevel="1" collapsed="1" thickBot="1">
      <c r="A7" s="1571"/>
      <c r="B7" s="4072" t="s">
        <v>41</v>
      </c>
      <c r="C7" s="3341"/>
      <c r="D7" s="3341"/>
      <c r="E7" s="2012">
        <f t="shared" si="0"/>
        <v>0</v>
      </c>
      <c r="F7" s="4073"/>
      <c r="G7" s="4073"/>
      <c r="H7" s="3341"/>
      <c r="I7" s="3341"/>
      <c r="J7" s="2012">
        <f>H7+I7</f>
        <v>0</v>
      </c>
      <c r="K7" s="4073"/>
      <c r="L7" s="4073"/>
      <c r="M7" s="3341"/>
      <c r="N7" s="3341"/>
      <c r="O7" s="2012">
        <f t="shared" si="1"/>
        <v>0</v>
      </c>
      <c r="P7" s="4073"/>
      <c r="Q7" s="4073"/>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1"/>
      <c r="AC7" s="3341"/>
      <c r="AD7" s="2012">
        <f t="shared" si="4"/>
        <v>0</v>
      </c>
      <c r="AE7" s="4073"/>
      <c r="AF7" s="4073"/>
      <c r="AG7" s="3341"/>
      <c r="AH7" s="3341"/>
      <c r="AI7" s="2012">
        <f t="shared" si="5"/>
        <v>0</v>
      </c>
      <c r="AJ7" s="4073"/>
      <c r="AK7" s="4073"/>
      <c r="AL7" s="3341"/>
      <c r="AM7" s="3341"/>
      <c r="AN7" s="2012">
        <f t="shared" si="6"/>
        <v>0</v>
      </c>
      <c r="AO7" s="4073"/>
      <c r="AP7" s="4073"/>
      <c r="AQ7" s="3341"/>
      <c r="AR7" s="3341"/>
      <c r="AS7" s="2012">
        <f t="shared" si="7"/>
        <v>0</v>
      </c>
      <c r="AT7" s="4073"/>
      <c r="AU7" s="4073"/>
      <c r="AV7" s="3341"/>
      <c r="AW7" s="3341"/>
      <c r="AX7" s="2012">
        <f t="shared" si="8"/>
        <v>0</v>
      </c>
      <c r="AY7" s="4073"/>
      <c r="AZ7" s="4073"/>
      <c r="BA7" s="3341"/>
      <c r="BB7" s="3341"/>
      <c r="BC7" s="2012">
        <f t="shared" si="9"/>
        <v>0</v>
      </c>
      <c r="BD7" s="4073"/>
      <c r="BE7" s="4073"/>
      <c r="BF7" s="3341"/>
      <c r="BG7" s="3341"/>
      <c r="BH7" s="2012">
        <f t="shared" si="10"/>
        <v>0</v>
      </c>
      <c r="BI7" s="4073"/>
      <c r="BJ7" s="4073"/>
      <c r="BK7" s="3341"/>
      <c r="BL7" s="3341"/>
      <c r="BM7" s="2012">
        <f t="shared" si="11"/>
        <v>0</v>
      </c>
      <c r="BN7" s="4073"/>
      <c r="BO7" s="4073"/>
      <c r="BP7" s="3341"/>
      <c r="BQ7" s="3341"/>
      <c r="BR7" s="2012">
        <f t="shared" si="12"/>
        <v>0</v>
      </c>
      <c r="BS7" s="4073"/>
      <c r="BT7" s="4073"/>
      <c r="BU7" s="3341"/>
      <c r="BV7" s="3341"/>
      <c r="BW7" s="2012">
        <f t="shared" si="13"/>
        <v>0</v>
      </c>
      <c r="BX7" s="4073"/>
      <c r="BY7" s="4073"/>
      <c r="BZ7" s="3341"/>
      <c r="CA7" s="3341"/>
      <c r="CB7" s="2012">
        <f t="shared" si="14"/>
        <v>0</v>
      </c>
      <c r="CC7" s="4073"/>
      <c r="CD7" s="4073"/>
      <c r="CE7" s="3341"/>
      <c r="CF7" s="3341"/>
      <c r="CG7" s="2012">
        <f t="shared" si="15"/>
        <v>0</v>
      </c>
      <c r="CH7" s="4073"/>
      <c r="CI7" s="4073"/>
      <c r="CJ7" s="3341">
        <f>C7+H7+M7+W7</f>
        <v>0</v>
      </c>
      <c r="CK7" s="3341">
        <f>D7+I7+N7+X7</f>
        <v>0</v>
      </c>
      <c r="CL7" s="2012">
        <f>CJ7+CK7</f>
        <v>0</v>
      </c>
      <c r="CM7" s="4073"/>
      <c r="CN7" s="4073"/>
      <c r="CP7" s="2012"/>
      <c r="CQ7" s="2012"/>
      <c r="CR7" s="3442"/>
      <c r="CT7" s="2624"/>
    </row>
    <row r="8" spans="1:98" s="1396" customFormat="1" ht="14.4" outlineLevel="1" thickBot="1">
      <c r="A8" s="1571"/>
      <c r="B8" s="1463" t="s">
        <v>16</v>
      </c>
      <c r="C8" s="1957">
        <f>SUM(C9:C33)</f>
        <v>0</v>
      </c>
      <c r="D8" s="1957">
        <f>SUM(D9:D33)</f>
        <v>0</v>
      </c>
      <c r="E8" s="1484">
        <f>SUM(E9:E33)</f>
        <v>0</v>
      </c>
      <c r="F8" s="1528" t="e">
        <f t="shared" ref="F8:F33" si="16">E8/$E$89</f>
        <v>#DIV/0!</v>
      </c>
      <c r="G8" s="1466"/>
      <c r="H8" s="1957">
        <f>SUM(H9:H33)</f>
        <v>0</v>
      </c>
      <c r="I8" s="1957">
        <f>SUM(I9:I33)</f>
        <v>0</v>
      </c>
      <c r="J8" s="1484">
        <f>SUM(J9:J33)</f>
        <v>0</v>
      </c>
      <c r="K8" s="1528" t="e">
        <f t="shared" ref="K8" si="17">J8/$E$89</f>
        <v>#DIV/0!</v>
      </c>
      <c r="L8" s="1466"/>
      <c r="M8" s="1957">
        <f>SUM(M9:M33)</f>
        <v>0</v>
      </c>
      <c r="N8" s="1957">
        <f>SUM(N9:N33)</f>
        <v>0</v>
      </c>
      <c r="O8" s="1484">
        <f>SUM(O9:O33)</f>
        <v>0</v>
      </c>
      <c r="P8" s="1528" t="e">
        <f t="shared" ref="P8" si="18">O8/$E$89</f>
        <v>#DIV/0!</v>
      </c>
      <c r="Q8" s="1466"/>
      <c r="R8" s="1957">
        <f>SUM(R9:R33)</f>
        <v>0</v>
      </c>
      <c r="S8" s="1957">
        <f>SUM(S9:S33)</f>
        <v>0</v>
      </c>
      <c r="T8" s="1484">
        <f>SUM(T9:T33)</f>
        <v>0</v>
      </c>
      <c r="U8" s="1528"/>
      <c r="V8" s="1466"/>
      <c r="W8" s="1957">
        <f>SUM(W9:W33)</f>
        <v>213442.554</v>
      </c>
      <c r="X8" s="1957">
        <f>SUM(X9:X33)</f>
        <v>188710.96000000002</v>
      </c>
      <c r="Y8" s="1484">
        <f>SUM(Y9:Y33)</f>
        <v>402153.51400000002</v>
      </c>
      <c r="Z8" s="1528"/>
      <c r="AA8" s="1466"/>
      <c r="AB8" s="1957">
        <f>SUM(AB9:AB33)</f>
        <v>0</v>
      </c>
      <c r="AC8" s="1957">
        <f>SUM(AC9:AC33)</f>
        <v>0</v>
      </c>
      <c r="AD8" s="1484">
        <f>SUM(AD9:AD33)</f>
        <v>0</v>
      </c>
      <c r="AE8" s="1528"/>
      <c r="AF8" s="1466"/>
      <c r="AG8" s="1957">
        <f>SUM(AG9:AG33)</f>
        <v>61031.68</v>
      </c>
      <c r="AH8" s="1957">
        <f>SUM(AH9:AH33)</f>
        <v>108688.96000000001</v>
      </c>
      <c r="AI8" s="1484">
        <f>SUM(AI9:AI33)</f>
        <v>169720.63999999998</v>
      </c>
      <c r="AJ8" s="1528"/>
      <c r="AK8" s="1466"/>
      <c r="AL8" s="1957">
        <f>SUM(AL9:AL33)</f>
        <v>152410.87400000001</v>
      </c>
      <c r="AM8" s="1957">
        <f>SUM(AM9:AM33)</f>
        <v>80022</v>
      </c>
      <c r="AN8" s="1484">
        <f>SUM(AN9:AN33)</f>
        <v>232432.87400000001</v>
      </c>
      <c r="AO8" s="1528"/>
      <c r="AP8" s="1466"/>
      <c r="AQ8" s="1957">
        <f>SUM(AQ9:AQ33)</f>
        <v>0</v>
      </c>
      <c r="AR8" s="1957">
        <f>SUM(AR9:AR33)</f>
        <v>0</v>
      </c>
      <c r="AS8" s="1484">
        <f>SUM(AS9:AS33)</f>
        <v>0</v>
      </c>
      <c r="AT8" s="1528"/>
      <c r="AU8" s="1466"/>
      <c r="AV8" s="1957">
        <f>SUM(AV9:AV33)</f>
        <v>0</v>
      </c>
      <c r="AW8" s="1957">
        <f>SUM(AW9:AW33)</f>
        <v>0</v>
      </c>
      <c r="AX8" s="1484">
        <f>SUM(AX9:AX33)</f>
        <v>0</v>
      </c>
      <c r="AY8" s="1528"/>
      <c r="AZ8" s="1466"/>
      <c r="BA8" s="1957">
        <f>SUM(BA9:BA33)</f>
        <v>0</v>
      </c>
      <c r="BB8" s="1957">
        <f>SUM(BB9:BB33)</f>
        <v>0</v>
      </c>
      <c r="BC8" s="1484">
        <f>SUM(BC9:BC33)</f>
        <v>0</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213442.554</v>
      </c>
      <c r="CK8" s="1957">
        <f>SUM(CK9:CK33)</f>
        <v>188710.96000000002</v>
      </c>
      <c r="CL8" s="1484">
        <f>SUM(CL9:CL33)</f>
        <v>402153.51400000002</v>
      </c>
      <c r="CM8" s="1528"/>
      <c r="CN8" s="1466"/>
      <c r="CP8" s="1484">
        <f>SUM(CP9:CP33)</f>
        <v>219199.24083199998</v>
      </c>
      <c r="CQ8" s="1484">
        <f>SUM(CQ9:CQ33)</f>
        <v>402153.51400000002</v>
      </c>
      <c r="CR8" s="3440">
        <f>SUM(CR9:CR33)</f>
        <v>-182954.27316800007</v>
      </c>
      <c r="CT8" s="2624"/>
    </row>
    <row r="9" spans="1:98" s="1396" customFormat="1" ht="13.8" outlineLevel="2">
      <c r="A9" s="1571"/>
      <c r="B9" s="1424" t="s">
        <v>74</v>
      </c>
      <c r="C9" s="3341"/>
      <c r="D9" s="3341"/>
      <c r="E9" s="3349">
        <f t="shared" ref="E9:E32" si="19">C9+D9</f>
        <v>0</v>
      </c>
      <c r="F9" s="4074" t="e">
        <f t="shared" si="16"/>
        <v>#DIV/0!</v>
      </c>
      <c r="G9" s="2047"/>
      <c r="H9" s="3341"/>
      <c r="I9" s="3341"/>
      <c r="J9" s="3349">
        <f t="shared" ref="J9:J32" si="20">H9+I9</f>
        <v>0</v>
      </c>
      <c r="K9" s="4074" t="e">
        <f>J9/J$89</f>
        <v>#DIV/0!</v>
      </c>
      <c r="L9" s="2047"/>
      <c r="M9" s="3341"/>
      <c r="N9" s="3341"/>
      <c r="O9" s="3349">
        <f t="shared" ref="O9:O32" si="21">M9+N9</f>
        <v>0</v>
      </c>
      <c r="P9" s="4074" t="e">
        <f t="shared" ref="P9:P33" si="22">O9/O$89</f>
        <v>#DIV/0!</v>
      </c>
      <c r="Q9" s="2047"/>
      <c r="R9" s="3342">
        <f t="shared" ref="R9:S33" si="23">M9+H9+C9</f>
        <v>0</v>
      </c>
      <c r="S9" s="3342">
        <f t="shared" si="23"/>
        <v>0</v>
      </c>
      <c r="T9" s="2012">
        <f t="shared" ref="T9:T33" si="24">R9+S9</f>
        <v>0</v>
      </c>
      <c r="U9" s="2047"/>
      <c r="V9" s="2047"/>
      <c r="W9" s="3342">
        <f t="shared" ref="W9:X33" si="25">AB9+AG9+AL9+AV9+BA9+BF9+BK9+BP9+BU9+BZ9+CE9+AQ9</f>
        <v>84043.48000000001</v>
      </c>
      <c r="X9" s="3342">
        <f t="shared" si="25"/>
        <v>187210.96000000002</v>
      </c>
      <c r="Y9" s="2012">
        <f t="shared" ref="Y9:Y33" si="26">W9+X9</f>
        <v>271254.44000000006</v>
      </c>
      <c r="Z9" s="2047"/>
      <c r="AA9" s="2047"/>
      <c r="AB9" s="3341"/>
      <c r="AC9" s="3341"/>
      <c r="AD9" s="3349">
        <f t="shared" ref="AD9:AD32" si="27">AB9+AC9</f>
        <v>0</v>
      </c>
      <c r="AE9" s="4074" t="e">
        <f>AD9/AD$89</f>
        <v>#DIV/0!</v>
      </c>
      <c r="AF9" s="2047"/>
      <c r="AG9" s="3341">
        <v>41385.480000000003</v>
      </c>
      <c r="AH9" s="3341">
        <v>107188.96</v>
      </c>
      <c r="AI9" s="3349">
        <f t="shared" ref="AI9:AI32" si="28">AG9+AH9</f>
        <v>148574.44</v>
      </c>
      <c r="AJ9" s="4074">
        <f>AI9/AI$89</f>
        <v>0.79895261841007836</v>
      </c>
      <c r="AK9" s="2047"/>
      <c r="AL9" s="3341">
        <v>42658</v>
      </c>
      <c r="AM9" s="3341">
        <v>80022</v>
      </c>
      <c r="AN9" s="3349">
        <f t="shared" ref="AN9:AN32" si="29">AL9+AM9</f>
        <v>122680</v>
      </c>
      <c r="AO9" s="4074">
        <f>AN9/AN$89</f>
        <v>0.50198415917686368</v>
      </c>
      <c r="AP9" s="2047"/>
      <c r="AQ9" s="3341"/>
      <c r="AR9" s="3341"/>
      <c r="AS9" s="3349">
        <f t="shared" ref="AS9:AS32" si="30">AQ9+AR9</f>
        <v>0</v>
      </c>
      <c r="AT9" s="4074" t="e">
        <f>AS9/AS$89</f>
        <v>#DIV/0!</v>
      </c>
      <c r="AU9" s="2047"/>
      <c r="AV9" s="3341"/>
      <c r="AW9" s="3341"/>
      <c r="AX9" s="3349">
        <f t="shared" ref="AX9:AX32" si="31">AV9+AW9</f>
        <v>0</v>
      </c>
      <c r="AY9" s="4074" t="e">
        <f>AX9/AX$89</f>
        <v>#DIV/0!</v>
      </c>
      <c r="AZ9" s="2047"/>
      <c r="BA9" s="3341"/>
      <c r="BB9" s="3341"/>
      <c r="BC9" s="3349">
        <f t="shared" ref="BC9:BC32" si="32">BA9+BB9</f>
        <v>0</v>
      </c>
      <c r="BD9" s="4074" t="e">
        <f>BC9/BC$89</f>
        <v>#DIV/0!</v>
      </c>
      <c r="BE9" s="2047"/>
      <c r="BF9" s="3341"/>
      <c r="BG9" s="3341"/>
      <c r="BH9" s="3349">
        <f t="shared" ref="BH9:BH32" si="33">BF9+BG9</f>
        <v>0</v>
      </c>
      <c r="BI9" s="4074" t="e">
        <f>BH9/BH$89</f>
        <v>#DIV/0!</v>
      </c>
      <c r="BJ9" s="2047"/>
      <c r="BK9" s="3341"/>
      <c r="BL9" s="3341"/>
      <c r="BM9" s="3349">
        <f t="shared" ref="BM9:BM32" si="34">BK9+BL9</f>
        <v>0</v>
      </c>
      <c r="BN9" s="4074" t="e">
        <f>BM9/BM$89</f>
        <v>#DIV/0!</v>
      </c>
      <c r="BO9" s="2047"/>
      <c r="BP9" s="3341"/>
      <c r="BQ9" s="3341"/>
      <c r="BR9" s="3349">
        <f t="shared" ref="BR9:BR32" si="35">BP9+BQ9</f>
        <v>0</v>
      </c>
      <c r="BS9" s="4074" t="e">
        <f>BR9/BR$89</f>
        <v>#DIV/0!</v>
      </c>
      <c r="BT9" s="2047"/>
      <c r="BU9" s="3341"/>
      <c r="BV9" s="3341"/>
      <c r="BW9" s="3349">
        <f t="shared" ref="BW9:BW32" si="36">BU9+BV9</f>
        <v>0</v>
      </c>
      <c r="BX9" s="4074" t="e">
        <f>BW9/BW$89</f>
        <v>#DIV/0!</v>
      </c>
      <c r="BY9" s="2047"/>
      <c r="BZ9" s="3341"/>
      <c r="CA9" s="3341"/>
      <c r="CB9" s="3349">
        <f t="shared" ref="CB9:CB32" si="37">BZ9+CA9</f>
        <v>0</v>
      </c>
      <c r="CC9" s="4074" t="e">
        <f>CB9/CB$89</f>
        <v>#DIV/0!</v>
      </c>
      <c r="CD9" s="2047"/>
      <c r="CE9" s="3341"/>
      <c r="CF9" s="3341"/>
      <c r="CG9" s="3349">
        <f t="shared" ref="CG9:CG32" si="38">CE9+CF9</f>
        <v>0</v>
      </c>
      <c r="CH9" s="4074" t="e">
        <f>CG9/CG$89</f>
        <v>#DIV/0!</v>
      </c>
      <c r="CI9" s="2047"/>
      <c r="CJ9" s="3341">
        <f t="shared" ref="CJ9:CK33" si="39">C9+H9+M9+W9</f>
        <v>84043.48000000001</v>
      </c>
      <c r="CK9" s="3341">
        <f t="shared" si="39"/>
        <v>187210.96000000002</v>
      </c>
      <c r="CL9" s="3349">
        <f>CJ9+CK9*1</f>
        <v>271254.44000000006</v>
      </c>
      <c r="CM9" s="4074">
        <f t="shared" ref="CM9:CM33" si="40">CL9/$CL$89</f>
        <v>0.63030874838553796</v>
      </c>
      <c r="CN9" s="1434"/>
      <c r="CP9" s="4186">
        <v>135073.25</v>
      </c>
      <c r="CQ9" s="2012">
        <f t="shared" ref="CQ9:CQ32" si="41">CL9</f>
        <v>271254.44000000006</v>
      </c>
      <c r="CR9" s="4188">
        <f>CP9-CQ9</f>
        <v>-136181.19000000006</v>
      </c>
      <c r="CS9" s="3307"/>
      <c r="CT9" s="4058">
        <f>CR9/CP9</f>
        <v>-1.0082025123405267</v>
      </c>
    </row>
    <row r="10" spans="1:98" s="1396" customFormat="1" ht="13.8" outlineLevel="2">
      <c r="A10" s="1571"/>
      <c r="B10" s="1424" t="s">
        <v>72</v>
      </c>
      <c r="C10" s="3341"/>
      <c r="D10" s="3341"/>
      <c r="E10" s="3349">
        <f t="shared" si="19"/>
        <v>0</v>
      </c>
      <c r="F10" s="4074" t="e">
        <f t="shared" si="16"/>
        <v>#DIV/0!</v>
      </c>
      <c r="G10" s="2047"/>
      <c r="H10" s="3341"/>
      <c r="I10" s="3341"/>
      <c r="J10" s="3349">
        <f t="shared" si="20"/>
        <v>0</v>
      </c>
      <c r="K10" s="4074" t="e">
        <f t="shared" ref="K10:K33" si="42">J10/J$89</f>
        <v>#DIV/0!</v>
      </c>
      <c r="L10" s="2047"/>
      <c r="M10" s="3341"/>
      <c r="N10" s="3341"/>
      <c r="O10" s="3349">
        <f t="shared" si="21"/>
        <v>0</v>
      </c>
      <c r="P10" s="4074" t="e">
        <f t="shared" si="22"/>
        <v>#DIV/0!</v>
      </c>
      <c r="Q10" s="2047"/>
      <c r="R10" s="3342">
        <f t="shared" si="23"/>
        <v>0</v>
      </c>
      <c r="S10" s="3342">
        <f t="shared" si="23"/>
        <v>0</v>
      </c>
      <c r="T10" s="2012">
        <f t="shared" si="24"/>
        <v>0</v>
      </c>
      <c r="U10" s="2047"/>
      <c r="V10" s="2047"/>
      <c r="W10" s="3342">
        <f t="shared" si="25"/>
        <v>16388.47</v>
      </c>
      <c r="X10" s="3342">
        <f t="shared" si="25"/>
        <v>0</v>
      </c>
      <c r="Y10" s="2012">
        <f t="shared" si="26"/>
        <v>16388.47</v>
      </c>
      <c r="Z10" s="2047"/>
      <c r="AA10" s="2047"/>
      <c r="AB10" s="3341"/>
      <c r="AC10" s="3341"/>
      <c r="AD10" s="3349">
        <f t="shared" si="27"/>
        <v>0</v>
      </c>
      <c r="AE10" s="4074" t="e">
        <f t="shared" ref="AE10:AE33" si="43">AD10/AD$89</f>
        <v>#DIV/0!</v>
      </c>
      <c r="AF10" s="2047"/>
      <c r="AG10" s="3341">
        <v>8070.16</v>
      </c>
      <c r="AH10" s="3341"/>
      <c r="AI10" s="3349">
        <f t="shared" si="28"/>
        <v>8070.16</v>
      </c>
      <c r="AJ10" s="4074">
        <f t="shared" ref="AJ10:AJ33" si="44">AI10/AI$89</f>
        <v>4.3396935993756922E-2</v>
      </c>
      <c r="AK10" s="2047"/>
      <c r="AL10" s="3341">
        <v>8318.31</v>
      </c>
      <c r="AM10" s="3341"/>
      <c r="AN10" s="3349">
        <f t="shared" si="29"/>
        <v>8318.31</v>
      </c>
      <c r="AO10" s="4074">
        <f t="shared" ref="AO10:AO33" si="45">AN10/AN$89</f>
        <v>3.4037005633538446E-2</v>
      </c>
      <c r="AP10" s="2047"/>
      <c r="AQ10" s="3341"/>
      <c r="AR10" s="3341"/>
      <c r="AS10" s="3349">
        <f t="shared" si="30"/>
        <v>0</v>
      </c>
      <c r="AT10" s="4074" t="e">
        <f t="shared" ref="AT10:AT33" si="46">AS10/AS$89</f>
        <v>#DIV/0!</v>
      </c>
      <c r="AU10" s="2047"/>
      <c r="AV10" s="3341"/>
      <c r="AW10" s="3341"/>
      <c r="AX10" s="3349">
        <f t="shared" si="31"/>
        <v>0</v>
      </c>
      <c r="AY10" s="4074" t="e">
        <f t="shared" ref="AY10:AY33" si="47">AX10/AX$89</f>
        <v>#DIV/0!</v>
      </c>
      <c r="AZ10" s="2047"/>
      <c r="BA10" s="3341"/>
      <c r="BB10" s="3341"/>
      <c r="BC10" s="3349">
        <f t="shared" si="32"/>
        <v>0</v>
      </c>
      <c r="BD10" s="4074" t="e">
        <f t="shared" ref="BD10:BD33" si="48">BC10/BC$89</f>
        <v>#DIV/0!</v>
      </c>
      <c r="BE10" s="2047"/>
      <c r="BF10" s="3341"/>
      <c r="BG10" s="3341"/>
      <c r="BH10" s="3349">
        <f t="shared" si="33"/>
        <v>0</v>
      </c>
      <c r="BI10" s="4074" t="e">
        <f t="shared" ref="BI10:BI33" si="49">BH10/BH$89</f>
        <v>#DIV/0!</v>
      </c>
      <c r="BJ10" s="2047"/>
      <c r="BK10" s="3341"/>
      <c r="BL10" s="3341"/>
      <c r="BM10" s="3349">
        <f t="shared" si="34"/>
        <v>0</v>
      </c>
      <c r="BN10" s="4074" t="e">
        <f t="shared" ref="BN10:BN33" si="50">BM10/BM$89</f>
        <v>#DIV/0!</v>
      </c>
      <c r="BO10" s="2047"/>
      <c r="BP10" s="3341"/>
      <c r="BQ10" s="3341"/>
      <c r="BR10" s="3349">
        <f t="shared" si="35"/>
        <v>0</v>
      </c>
      <c r="BS10" s="4074" t="e">
        <f t="shared" ref="BS10:BS33" si="51">BR10/BR$89</f>
        <v>#DIV/0!</v>
      </c>
      <c r="BT10" s="2047"/>
      <c r="BU10" s="3341"/>
      <c r="BV10" s="3341"/>
      <c r="BW10" s="3349">
        <f t="shared" si="36"/>
        <v>0</v>
      </c>
      <c r="BX10" s="4074" t="e">
        <f t="shared" ref="BX10:BX33" si="52">BW10/BW$89</f>
        <v>#DIV/0!</v>
      </c>
      <c r="BY10" s="2047"/>
      <c r="BZ10" s="3341"/>
      <c r="CA10" s="3341"/>
      <c r="CB10" s="3349">
        <f t="shared" si="37"/>
        <v>0</v>
      </c>
      <c r="CC10" s="4074" t="e">
        <f t="shared" ref="CC10:CC33" si="53">CB10/CB$89</f>
        <v>#DIV/0!</v>
      </c>
      <c r="CD10" s="2047"/>
      <c r="CE10" s="3341"/>
      <c r="CF10" s="3341"/>
      <c r="CG10" s="3349">
        <f t="shared" si="38"/>
        <v>0</v>
      </c>
      <c r="CH10" s="4074" t="e">
        <f t="shared" ref="CH10:CH33" si="54">CG10/CG$89</f>
        <v>#DIV/0!</v>
      </c>
      <c r="CI10" s="2047"/>
      <c r="CJ10" s="3341">
        <f t="shared" si="39"/>
        <v>16388.47</v>
      </c>
      <c r="CK10" s="3341">
        <f t="shared" si="39"/>
        <v>0</v>
      </c>
      <c r="CL10" s="3349">
        <f t="shared" ref="CL10:CL33" si="55">CJ10+CK10*1</f>
        <v>16388.47</v>
      </c>
      <c r="CM10" s="4074">
        <f t="shared" si="40"/>
        <v>3.8081573940887146E-2</v>
      </c>
      <c r="CN10" s="1434"/>
      <c r="CP10" s="4186"/>
      <c r="CQ10" s="2012">
        <f t="shared" si="41"/>
        <v>16388.47</v>
      </c>
      <c r="CR10" s="4188">
        <f t="shared" ref="CR10:CR33" si="56">CP10-CQ10</f>
        <v>-16388.47</v>
      </c>
      <c r="CT10" s="2624"/>
    </row>
    <row r="11" spans="1:98" s="1396" customFormat="1" ht="13.8" outlineLevel="2">
      <c r="A11" s="1571"/>
      <c r="B11" s="1424" t="s">
        <v>69</v>
      </c>
      <c r="C11" s="3341"/>
      <c r="D11" s="3341"/>
      <c r="E11" s="3349">
        <f t="shared" si="19"/>
        <v>0</v>
      </c>
      <c r="F11" s="4074" t="e">
        <f t="shared" si="16"/>
        <v>#DIV/0!</v>
      </c>
      <c r="G11" s="1055"/>
      <c r="H11" s="3341"/>
      <c r="I11" s="3341"/>
      <c r="J11" s="3349">
        <f t="shared" si="20"/>
        <v>0</v>
      </c>
      <c r="K11" s="4074" t="e">
        <f t="shared" si="42"/>
        <v>#DIV/0!</v>
      </c>
      <c r="L11" s="1055"/>
      <c r="M11" s="3341"/>
      <c r="N11" s="3341"/>
      <c r="O11" s="3349">
        <f t="shared" si="21"/>
        <v>0</v>
      </c>
      <c r="P11" s="4074" t="e">
        <f t="shared" si="22"/>
        <v>#DIV/0!</v>
      </c>
      <c r="Q11" s="1055"/>
      <c r="R11" s="3342">
        <f t="shared" si="23"/>
        <v>0</v>
      </c>
      <c r="S11" s="3342">
        <f t="shared" si="23"/>
        <v>0</v>
      </c>
      <c r="T11" s="2012">
        <f t="shared" si="24"/>
        <v>0</v>
      </c>
      <c r="U11" s="1055"/>
      <c r="V11" s="1055"/>
      <c r="W11" s="3342">
        <f t="shared" si="25"/>
        <v>18489.559999999998</v>
      </c>
      <c r="X11" s="3342">
        <f t="shared" si="25"/>
        <v>0</v>
      </c>
      <c r="Y11" s="2012">
        <f t="shared" si="26"/>
        <v>18489.559999999998</v>
      </c>
      <c r="Z11" s="1055"/>
      <c r="AA11" s="1055"/>
      <c r="AB11" s="3341"/>
      <c r="AC11" s="3341"/>
      <c r="AD11" s="3349">
        <f t="shared" si="27"/>
        <v>0</v>
      </c>
      <c r="AE11" s="4074" t="e">
        <f t="shared" si="43"/>
        <v>#DIV/0!</v>
      </c>
      <c r="AF11" s="1055"/>
      <c r="AG11" s="3341">
        <v>9104.7999999999993</v>
      </c>
      <c r="AH11" s="3341"/>
      <c r="AI11" s="3349">
        <f t="shared" si="28"/>
        <v>9104.7999999999993</v>
      </c>
      <c r="AJ11" s="4074">
        <f t="shared" si="44"/>
        <v>4.8960667797907108E-2</v>
      </c>
      <c r="AK11" s="1055"/>
      <c r="AL11" s="3341">
        <v>9384.76</v>
      </c>
      <c r="AM11" s="3341"/>
      <c r="AN11" s="3349">
        <f t="shared" si="29"/>
        <v>9384.76</v>
      </c>
      <c r="AO11" s="4074">
        <f t="shared" si="45"/>
        <v>3.8400724304504918E-2</v>
      </c>
      <c r="AP11" s="1055"/>
      <c r="AQ11" s="3341"/>
      <c r="AR11" s="3341"/>
      <c r="AS11" s="3349">
        <f t="shared" si="30"/>
        <v>0</v>
      </c>
      <c r="AT11" s="4074" t="e">
        <f t="shared" si="46"/>
        <v>#DIV/0!</v>
      </c>
      <c r="AU11" s="1055"/>
      <c r="AV11" s="3341"/>
      <c r="AW11" s="3341"/>
      <c r="AX11" s="3349">
        <f t="shared" si="31"/>
        <v>0</v>
      </c>
      <c r="AY11" s="4074" t="e">
        <f t="shared" si="47"/>
        <v>#DIV/0!</v>
      </c>
      <c r="AZ11" s="1055"/>
      <c r="BA11" s="3341"/>
      <c r="BB11" s="3341"/>
      <c r="BC11" s="3349">
        <f t="shared" si="32"/>
        <v>0</v>
      </c>
      <c r="BD11" s="4074" t="e">
        <f t="shared" si="48"/>
        <v>#DIV/0!</v>
      </c>
      <c r="BE11" s="1055"/>
      <c r="BF11" s="3341"/>
      <c r="BG11" s="3341"/>
      <c r="BH11" s="3349">
        <f t="shared" si="33"/>
        <v>0</v>
      </c>
      <c r="BI11" s="4074" t="e">
        <f t="shared" si="49"/>
        <v>#DIV/0!</v>
      </c>
      <c r="BJ11" s="1055"/>
      <c r="BK11" s="3341"/>
      <c r="BL11" s="3341"/>
      <c r="BM11" s="3349">
        <f t="shared" si="34"/>
        <v>0</v>
      </c>
      <c r="BN11" s="4074" t="e">
        <f t="shared" si="50"/>
        <v>#DIV/0!</v>
      </c>
      <c r="BO11" s="1055"/>
      <c r="BP11" s="3341"/>
      <c r="BQ11" s="3341"/>
      <c r="BR11" s="3349">
        <f t="shared" si="35"/>
        <v>0</v>
      </c>
      <c r="BS11" s="4074" t="e">
        <f t="shared" si="51"/>
        <v>#DIV/0!</v>
      </c>
      <c r="BT11" s="1055"/>
      <c r="BU11" s="3341"/>
      <c r="BV11" s="3341"/>
      <c r="BW11" s="3349">
        <f t="shared" si="36"/>
        <v>0</v>
      </c>
      <c r="BX11" s="4074" t="e">
        <f t="shared" si="52"/>
        <v>#DIV/0!</v>
      </c>
      <c r="BY11" s="1055"/>
      <c r="BZ11" s="3341"/>
      <c r="CA11" s="3341"/>
      <c r="CB11" s="3349">
        <f t="shared" si="37"/>
        <v>0</v>
      </c>
      <c r="CC11" s="4074" t="e">
        <f t="shared" si="53"/>
        <v>#DIV/0!</v>
      </c>
      <c r="CD11" s="1055"/>
      <c r="CE11" s="3341"/>
      <c r="CF11" s="3341"/>
      <c r="CG11" s="3349">
        <f t="shared" si="38"/>
        <v>0</v>
      </c>
      <c r="CH11" s="4074" t="e">
        <f t="shared" si="54"/>
        <v>#DIV/0!</v>
      </c>
      <c r="CI11" s="1055"/>
      <c r="CJ11" s="3341">
        <f t="shared" si="39"/>
        <v>18489.559999999998</v>
      </c>
      <c r="CK11" s="3341">
        <f t="shared" si="39"/>
        <v>0</v>
      </c>
      <c r="CL11" s="3349">
        <f t="shared" si="55"/>
        <v>18489.559999999998</v>
      </c>
      <c r="CM11" s="4074">
        <f t="shared" si="40"/>
        <v>4.2963836543281293E-2</v>
      </c>
      <c r="CN11" s="1434"/>
      <c r="CP11" s="4186"/>
      <c r="CQ11" s="2012">
        <f t="shared" si="41"/>
        <v>18489.559999999998</v>
      </c>
      <c r="CR11" s="4188">
        <f t="shared" si="56"/>
        <v>-18489.559999999998</v>
      </c>
      <c r="CT11" s="2624"/>
    </row>
    <row r="12" spans="1:98" s="1396" customFormat="1" ht="13.8" outlineLevel="2">
      <c r="A12" s="1571"/>
      <c r="B12" s="1424" t="s">
        <v>73</v>
      </c>
      <c r="C12" s="3341"/>
      <c r="D12" s="3341"/>
      <c r="E12" s="3349">
        <f t="shared" si="19"/>
        <v>0</v>
      </c>
      <c r="F12" s="4074" t="e">
        <f t="shared" si="16"/>
        <v>#DIV/0!</v>
      </c>
      <c r="G12" s="1055"/>
      <c r="H12" s="3341"/>
      <c r="I12" s="3341"/>
      <c r="J12" s="3349">
        <f t="shared" si="20"/>
        <v>0</v>
      </c>
      <c r="K12" s="4074" t="e">
        <f t="shared" si="42"/>
        <v>#DIV/0!</v>
      </c>
      <c r="L12" s="1055"/>
      <c r="M12" s="3341"/>
      <c r="N12" s="3341"/>
      <c r="O12" s="3349">
        <f t="shared" si="21"/>
        <v>0</v>
      </c>
      <c r="P12" s="4074" t="e">
        <f t="shared" si="22"/>
        <v>#DIV/0!</v>
      </c>
      <c r="Q12" s="1055"/>
      <c r="R12" s="3342">
        <f t="shared" si="23"/>
        <v>0</v>
      </c>
      <c r="S12" s="3342">
        <f t="shared" si="23"/>
        <v>0</v>
      </c>
      <c r="T12" s="2012">
        <f t="shared" si="24"/>
        <v>0</v>
      </c>
      <c r="U12" s="1055"/>
      <c r="V12" s="1055"/>
      <c r="W12" s="3342">
        <f t="shared" si="25"/>
        <v>0</v>
      </c>
      <c r="X12" s="3342">
        <f t="shared" si="25"/>
        <v>0</v>
      </c>
      <c r="Y12" s="2012">
        <f t="shared" si="26"/>
        <v>0</v>
      </c>
      <c r="Z12" s="1055"/>
      <c r="AA12" s="1055"/>
      <c r="AB12" s="3341"/>
      <c r="AC12" s="3341"/>
      <c r="AD12" s="3349">
        <f t="shared" si="27"/>
        <v>0</v>
      </c>
      <c r="AE12" s="4074" t="e">
        <f t="shared" si="43"/>
        <v>#DIV/0!</v>
      </c>
      <c r="AF12" s="1055"/>
      <c r="AG12" s="3341"/>
      <c r="AH12" s="3341"/>
      <c r="AI12" s="3349">
        <f t="shared" si="28"/>
        <v>0</v>
      </c>
      <c r="AJ12" s="4074">
        <f t="shared" si="44"/>
        <v>0</v>
      </c>
      <c r="AK12" s="1055"/>
      <c r="AL12" s="3341"/>
      <c r="AM12" s="3341"/>
      <c r="AN12" s="3349">
        <f t="shared" si="29"/>
        <v>0</v>
      </c>
      <c r="AO12" s="4074">
        <f t="shared" si="45"/>
        <v>0</v>
      </c>
      <c r="AP12" s="1055"/>
      <c r="AQ12" s="3341"/>
      <c r="AR12" s="3341"/>
      <c r="AS12" s="3349">
        <f t="shared" si="30"/>
        <v>0</v>
      </c>
      <c r="AT12" s="4074" t="e">
        <f t="shared" si="46"/>
        <v>#DIV/0!</v>
      </c>
      <c r="AU12" s="1055"/>
      <c r="AV12" s="3341"/>
      <c r="AW12" s="3341"/>
      <c r="AX12" s="3349">
        <f t="shared" si="31"/>
        <v>0</v>
      </c>
      <c r="AY12" s="4074" t="e">
        <f t="shared" si="47"/>
        <v>#DIV/0!</v>
      </c>
      <c r="AZ12" s="1055"/>
      <c r="BA12" s="3341"/>
      <c r="BB12" s="3341"/>
      <c r="BC12" s="3349">
        <f t="shared" si="32"/>
        <v>0</v>
      </c>
      <c r="BD12" s="4074" t="e">
        <f t="shared" si="48"/>
        <v>#DIV/0!</v>
      </c>
      <c r="BE12" s="1055"/>
      <c r="BF12" s="3341"/>
      <c r="BG12" s="3341"/>
      <c r="BH12" s="3349">
        <f t="shared" si="33"/>
        <v>0</v>
      </c>
      <c r="BI12" s="4074" t="e">
        <f t="shared" si="49"/>
        <v>#DIV/0!</v>
      </c>
      <c r="BJ12" s="1055"/>
      <c r="BK12" s="3341"/>
      <c r="BL12" s="3341"/>
      <c r="BM12" s="3349">
        <f t="shared" si="34"/>
        <v>0</v>
      </c>
      <c r="BN12" s="4074" t="e">
        <f t="shared" si="50"/>
        <v>#DIV/0!</v>
      </c>
      <c r="BO12" s="1055"/>
      <c r="BP12" s="3341"/>
      <c r="BQ12" s="3341"/>
      <c r="BR12" s="3349">
        <f t="shared" si="35"/>
        <v>0</v>
      </c>
      <c r="BS12" s="4074" t="e">
        <f t="shared" si="51"/>
        <v>#DIV/0!</v>
      </c>
      <c r="BT12" s="1055"/>
      <c r="BU12" s="3341"/>
      <c r="BV12" s="3341"/>
      <c r="BW12" s="3349">
        <f t="shared" si="36"/>
        <v>0</v>
      </c>
      <c r="BX12" s="4074" t="e">
        <f t="shared" si="52"/>
        <v>#DIV/0!</v>
      </c>
      <c r="BY12" s="1055"/>
      <c r="BZ12" s="3341"/>
      <c r="CA12" s="3341"/>
      <c r="CB12" s="3349">
        <f t="shared" si="37"/>
        <v>0</v>
      </c>
      <c r="CC12" s="4074" t="e">
        <f t="shared" si="53"/>
        <v>#DIV/0!</v>
      </c>
      <c r="CD12" s="1055"/>
      <c r="CE12" s="3341"/>
      <c r="CF12" s="3341"/>
      <c r="CG12" s="3349">
        <f t="shared" si="38"/>
        <v>0</v>
      </c>
      <c r="CH12" s="4074" t="e">
        <f t="shared" si="54"/>
        <v>#DIV/0!</v>
      </c>
      <c r="CI12" s="1055"/>
      <c r="CJ12" s="3341">
        <f t="shared" si="39"/>
        <v>0</v>
      </c>
      <c r="CK12" s="3341">
        <f t="shared" si="39"/>
        <v>0</v>
      </c>
      <c r="CL12" s="3349">
        <f t="shared" si="55"/>
        <v>0</v>
      </c>
      <c r="CM12" s="4074">
        <f t="shared" si="40"/>
        <v>0</v>
      </c>
      <c r="CN12" s="1434"/>
      <c r="CP12" s="4186"/>
      <c r="CQ12" s="2012">
        <f t="shared" si="41"/>
        <v>0</v>
      </c>
      <c r="CR12" s="4188">
        <f t="shared" si="56"/>
        <v>0</v>
      </c>
      <c r="CT12" s="2624"/>
    </row>
    <row r="13" spans="1:98" s="1396" customFormat="1" ht="13.8" outlineLevel="2">
      <c r="A13" s="1571"/>
      <c r="B13" s="1424" t="s">
        <v>71</v>
      </c>
      <c r="C13" s="3341"/>
      <c r="D13" s="3341"/>
      <c r="E13" s="3349">
        <f t="shared" si="19"/>
        <v>0</v>
      </c>
      <c r="F13" s="4074" t="e">
        <f t="shared" si="16"/>
        <v>#DIV/0!</v>
      </c>
      <c r="G13" s="1055"/>
      <c r="H13" s="3341"/>
      <c r="I13" s="3341"/>
      <c r="J13" s="3349">
        <f t="shared" si="20"/>
        <v>0</v>
      </c>
      <c r="K13" s="4074" t="e">
        <f t="shared" si="42"/>
        <v>#DIV/0!</v>
      </c>
      <c r="L13" s="1055"/>
      <c r="M13" s="3341"/>
      <c r="N13" s="3341"/>
      <c r="O13" s="3349">
        <f t="shared" si="21"/>
        <v>0</v>
      </c>
      <c r="P13" s="4074" t="e">
        <f t="shared" si="22"/>
        <v>#DIV/0!</v>
      </c>
      <c r="Q13" s="1055"/>
      <c r="R13" s="3342">
        <f t="shared" si="23"/>
        <v>0</v>
      </c>
      <c r="S13" s="3342">
        <f t="shared" si="23"/>
        <v>0</v>
      </c>
      <c r="T13" s="2012">
        <f t="shared" si="24"/>
        <v>0</v>
      </c>
      <c r="U13" s="1055"/>
      <c r="V13" s="1055"/>
      <c r="W13" s="3342">
        <f t="shared" si="25"/>
        <v>0</v>
      </c>
      <c r="X13" s="3342">
        <f t="shared" si="25"/>
        <v>0</v>
      </c>
      <c r="Y13" s="2012">
        <f t="shared" si="26"/>
        <v>0</v>
      </c>
      <c r="Z13" s="1055"/>
      <c r="AA13" s="1055"/>
      <c r="AB13" s="3341"/>
      <c r="AC13" s="3341"/>
      <c r="AD13" s="3349">
        <f t="shared" si="27"/>
        <v>0</v>
      </c>
      <c r="AE13" s="4074" t="e">
        <f t="shared" si="43"/>
        <v>#DIV/0!</v>
      </c>
      <c r="AF13" s="1055"/>
      <c r="AG13" s="3341"/>
      <c r="AH13" s="3341"/>
      <c r="AI13" s="3349">
        <f t="shared" si="28"/>
        <v>0</v>
      </c>
      <c r="AJ13" s="4074">
        <f t="shared" si="44"/>
        <v>0</v>
      </c>
      <c r="AK13" s="1055"/>
      <c r="AL13" s="3341"/>
      <c r="AM13" s="3341"/>
      <c r="AN13" s="3349">
        <f t="shared" si="29"/>
        <v>0</v>
      </c>
      <c r="AO13" s="4074">
        <f t="shared" si="45"/>
        <v>0</v>
      </c>
      <c r="AP13" s="1055"/>
      <c r="AQ13" s="3341"/>
      <c r="AR13" s="3341"/>
      <c r="AS13" s="3349">
        <f t="shared" si="30"/>
        <v>0</v>
      </c>
      <c r="AT13" s="4074" t="e">
        <f t="shared" si="46"/>
        <v>#DIV/0!</v>
      </c>
      <c r="AU13" s="1055"/>
      <c r="AV13" s="3341"/>
      <c r="AW13" s="3341"/>
      <c r="AX13" s="3349">
        <f t="shared" si="31"/>
        <v>0</v>
      </c>
      <c r="AY13" s="4074" t="e">
        <f t="shared" si="47"/>
        <v>#DIV/0!</v>
      </c>
      <c r="AZ13" s="1055"/>
      <c r="BA13" s="3341"/>
      <c r="BB13" s="3341"/>
      <c r="BC13" s="3349">
        <f t="shared" si="32"/>
        <v>0</v>
      </c>
      <c r="BD13" s="4074" t="e">
        <f t="shared" si="48"/>
        <v>#DIV/0!</v>
      </c>
      <c r="BE13" s="1055"/>
      <c r="BF13" s="3341"/>
      <c r="BG13" s="3341"/>
      <c r="BH13" s="3349">
        <f t="shared" si="33"/>
        <v>0</v>
      </c>
      <c r="BI13" s="4074" t="e">
        <f t="shared" si="49"/>
        <v>#DIV/0!</v>
      </c>
      <c r="BJ13" s="1055"/>
      <c r="BK13" s="3341"/>
      <c r="BL13" s="3341"/>
      <c r="BM13" s="3349">
        <f t="shared" si="34"/>
        <v>0</v>
      </c>
      <c r="BN13" s="4074" t="e">
        <f t="shared" si="50"/>
        <v>#DIV/0!</v>
      </c>
      <c r="BO13" s="1055"/>
      <c r="BP13" s="3341"/>
      <c r="BQ13" s="3341"/>
      <c r="BR13" s="3349">
        <f t="shared" si="35"/>
        <v>0</v>
      </c>
      <c r="BS13" s="4074" t="e">
        <f t="shared" si="51"/>
        <v>#DIV/0!</v>
      </c>
      <c r="BT13" s="1055"/>
      <c r="BU13" s="3341"/>
      <c r="BV13" s="3341"/>
      <c r="BW13" s="3349">
        <f t="shared" si="36"/>
        <v>0</v>
      </c>
      <c r="BX13" s="4074" t="e">
        <f t="shared" si="52"/>
        <v>#DIV/0!</v>
      </c>
      <c r="BY13" s="1055"/>
      <c r="BZ13" s="3341"/>
      <c r="CA13" s="3341"/>
      <c r="CB13" s="3349">
        <f t="shared" si="37"/>
        <v>0</v>
      </c>
      <c r="CC13" s="4074" t="e">
        <f t="shared" si="53"/>
        <v>#DIV/0!</v>
      </c>
      <c r="CD13" s="1055"/>
      <c r="CE13" s="3341"/>
      <c r="CF13" s="3341"/>
      <c r="CG13" s="3349">
        <f t="shared" si="38"/>
        <v>0</v>
      </c>
      <c r="CH13" s="4074" t="e">
        <f t="shared" si="54"/>
        <v>#DIV/0!</v>
      </c>
      <c r="CI13" s="1055"/>
      <c r="CJ13" s="3341">
        <f t="shared" si="39"/>
        <v>0</v>
      </c>
      <c r="CK13" s="3341">
        <f t="shared" si="39"/>
        <v>0</v>
      </c>
      <c r="CL13" s="3349">
        <f t="shared" si="55"/>
        <v>0</v>
      </c>
      <c r="CM13" s="4074">
        <f t="shared" si="40"/>
        <v>0</v>
      </c>
      <c r="CN13" s="1434"/>
      <c r="CP13" s="4186"/>
      <c r="CQ13" s="2012">
        <f t="shared" si="41"/>
        <v>0</v>
      </c>
      <c r="CR13" s="4188">
        <f t="shared" si="56"/>
        <v>0</v>
      </c>
      <c r="CT13" s="2624"/>
    </row>
    <row r="14" spans="1:98" s="1396" customFormat="1" ht="13.8" outlineLevel="2">
      <c r="A14" s="1571"/>
      <c r="B14" s="1424" t="s">
        <v>70</v>
      </c>
      <c r="C14" s="3341"/>
      <c r="D14" s="3341"/>
      <c r="E14" s="3349">
        <f t="shared" si="19"/>
        <v>0</v>
      </c>
      <c r="F14" s="4074" t="e">
        <f t="shared" si="16"/>
        <v>#DIV/0!</v>
      </c>
      <c r="G14" s="1055"/>
      <c r="H14" s="3341"/>
      <c r="I14" s="3341"/>
      <c r="J14" s="3349">
        <f t="shared" si="20"/>
        <v>0</v>
      </c>
      <c r="K14" s="4074" t="e">
        <f t="shared" si="42"/>
        <v>#DIV/0!</v>
      </c>
      <c r="L14" s="1055"/>
      <c r="M14" s="3341"/>
      <c r="N14" s="3341"/>
      <c r="O14" s="3349">
        <f t="shared" si="21"/>
        <v>0</v>
      </c>
      <c r="P14" s="4074" t="e">
        <f t="shared" si="22"/>
        <v>#DIV/0!</v>
      </c>
      <c r="Q14" s="1055"/>
      <c r="R14" s="3342">
        <f t="shared" si="23"/>
        <v>0</v>
      </c>
      <c r="S14" s="3342">
        <f t="shared" si="23"/>
        <v>0</v>
      </c>
      <c r="T14" s="2012">
        <f t="shared" si="24"/>
        <v>0</v>
      </c>
      <c r="U14" s="1055"/>
      <c r="V14" s="1055"/>
      <c r="W14" s="3342">
        <f t="shared" si="25"/>
        <v>0</v>
      </c>
      <c r="X14" s="3342">
        <f t="shared" si="25"/>
        <v>0</v>
      </c>
      <c r="Y14" s="2012">
        <f t="shared" si="26"/>
        <v>0</v>
      </c>
      <c r="Z14" s="1055"/>
      <c r="AA14" s="1055"/>
      <c r="AB14" s="3341"/>
      <c r="AC14" s="3341"/>
      <c r="AD14" s="3349">
        <f t="shared" si="27"/>
        <v>0</v>
      </c>
      <c r="AE14" s="4074" t="e">
        <f t="shared" si="43"/>
        <v>#DIV/0!</v>
      </c>
      <c r="AF14" s="1055"/>
      <c r="AG14" s="3341"/>
      <c r="AH14" s="3341"/>
      <c r="AI14" s="3349">
        <f t="shared" si="28"/>
        <v>0</v>
      </c>
      <c r="AJ14" s="4074">
        <f t="shared" si="44"/>
        <v>0</v>
      </c>
      <c r="AK14" s="1055"/>
      <c r="AL14" s="3341"/>
      <c r="AM14" s="3341"/>
      <c r="AN14" s="3349">
        <f t="shared" si="29"/>
        <v>0</v>
      </c>
      <c r="AO14" s="4074">
        <f t="shared" si="45"/>
        <v>0</v>
      </c>
      <c r="AP14" s="1055"/>
      <c r="AQ14" s="3341"/>
      <c r="AR14" s="3341"/>
      <c r="AS14" s="3349">
        <f t="shared" si="30"/>
        <v>0</v>
      </c>
      <c r="AT14" s="4074" t="e">
        <f t="shared" si="46"/>
        <v>#DIV/0!</v>
      </c>
      <c r="AU14" s="1055"/>
      <c r="AV14" s="3341"/>
      <c r="AW14" s="3341"/>
      <c r="AX14" s="3349">
        <f t="shared" si="31"/>
        <v>0</v>
      </c>
      <c r="AY14" s="4074" t="e">
        <f t="shared" si="47"/>
        <v>#DIV/0!</v>
      </c>
      <c r="AZ14" s="1055"/>
      <c r="BA14" s="3341"/>
      <c r="BB14" s="3341"/>
      <c r="BC14" s="3349">
        <f t="shared" si="32"/>
        <v>0</v>
      </c>
      <c r="BD14" s="4074" t="e">
        <f t="shared" si="48"/>
        <v>#DIV/0!</v>
      </c>
      <c r="BE14" s="1055"/>
      <c r="BF14" s="3341"/>
      <c r="BG14" s="3341"/>
      <c r="BH14" s="3349">
        <f t="shared" si="33"/>
        <v>0</v>
      </c>
      <c r="BI14" s="4074" t="e">
        <f t="shared" si="49"/>
        <v>#DIV/0!</v>
      </c>
      <c r="BJ14" s="1055"/>
      <c r="BK14" s="3341"/>
      <c r="BL14" s="3341"/>
      <c r="BM14" s="3349">
        <f t="shared" si="34"/>
        <v>0</v>
      </c>
      <c r="BN14" s="4074" t="e">
        <f t="shared" si="50"/>
        <v>#DIV/0!</v>
      </c>
      <c r="BO14" s="1055"/>
      <c r="BP14" s="3341"/>
      <c r="BQ14" s="3341"/>
      <c r="BR14" s="3349">
        <f t="shared" si="35"/>
        <v>0</v>
      </c>
      <c r="BS14" s="4074" t="e">
        <f t="shared" si="51"/>
        <v>#DIV/0!</v>
      </c>
      <c r="BT14" s="1055"/>
      <c r="BU14" s="3341"/>
      <c r="BV14" s="3341"/>
      <c r="BW14" s="3349">
        <f t="shared" si="36"/>
        <v>0</v>
      </c>
      <c r="BX14" s="4074" t="e">
        <f t="shared" si="52"/>
        <v>#DIV/0!</v>
      </c>
      <c r="BY14" s="1055"/>
      <c r="BZ14" s="3341"/>
      <c r="CA14" s="3341"/>
      <c r="CB14" s="3349">
        <f t="shared" si="37"/>
        <v>0</v>
      </c>
      <c r="CC14" s="4074" t="e">
        <f t="shared" si="53"/>
        <v>#DIV/0!</v>
      </c>
      <c r="CD14" s="1055"/>
      <c r="CE14" s="3341"/>
      <c r="CF14" s="3341"/>
      <c r="CG14" s="3349">
        <f t="shared" si="38"/>
        <v>0</v>
      </c>
      <c r="CH14" s="4074" t="e">
        <f t="shared" si="54"/>
        <v>#DIV/0!</v>
      </c>
      <c r="CI14" s="1055"/>
      <c r="CJ14" s="3341">
        <f t="shared" si="39"/>
        <v>0</v>
      </c>
      <c r="CK14" s="3341">
        <f t="shared" si="39"/>
        <v>0</v>
      </c>
      <c r="CL14" s="3349">
        <f t="shared" si="55"/>
        <v>0</v>
      </c>
      <c r="CM14" s="4074">
        <f t="shared" si="40"/>
        <v>0</v>
      </c>
      <c r="CN14" s="1434"/>
      <c r="CP14" s="4186"/>
      <c r="CQ14" s="2012">
        <f t="shared" si="41"/>
        <v>0</v>
      </c>
      <c r="CR14" s="4188">
        <f t="shared" si="56"/>
        <v>0</v>
      </c>
      <c r="CT14" s="2624"/>
    </row>
    <row r="15" spans="1:98" s="1396" customFormat="1" ht="13.8" outlineLevel="2">
      <c r="A15" s="1571"/>
      <c r="B15" s="4075" t="s">
        <v>20</v>
      </c>
      <c r="C15" s="3341"/>
      <c r="D15" s="3341"/>
      <c r="E15" s="3349">
        <f t="shared" si="19"/>
        <v>0</v>
      </c>
      <c r="F15" s="4074" t="e">
        <f t="shared" si="16"/>
        <v>#DIV/0!</v>
      </c>
      <c r="G15" s="1055"/>
      <c r="H15" s="3341"/>
      <c r="I15" s="3341"/>
      <c r="J15" s="3349">
        <f t="shared" si="20"/>
        <v>0</v>
      </c>
      <c r="K15" s="4074" t="e">
        <f t="shared" si="42"/>
        <v>#DIV/0!</v>
      </c>
      <c r="L15" s="1055"/>
      <c r="M15" s="3341"/>
      <c r="N15" s="3341"/>
      <c r="O15" s="3349">
        <f t="shared" si="21"/>
        <v>0</v>
      </c>
      <c r="P15" s="4074" t="e">
        <f t="shared" si="22"/>
        <v>#DIV/0!</v>
      </c>
      <c r="Q15" s="1055"/>
      <c r="R15" s="3342">
        <f t="shared" si="23"/>
        <v>0</v>
      </c>
      <c r="S15" s="3342">
        <f t="shared" si="23"/>
        <v>0</v>
      </c>
      <c r="T15" s="2012">
        <f t="shared" si="24"/>
        <v>0</v>
      </c>
      <c r="U15" s="1055"/>
      <c r="V15" s="1055"/>
      <c r="W15" s="3342">
        <f t="shared" si="25"/>
        <v>0</v>
      </c>
      <c r="X15" s="3342">
        <f t="shared" si="25"/>
        <v>0</v>
      </c>
      <c r="Y15" s="2012">
        <f t="shared" si="26"/>
        <v>0</v>
      </c>
      <c r="Z15" s="1055"/>
      <c r="AA15" s="1055"/>
      <c r="AB15" s="3341"/>
      <c r="AC15" s="3341"/>
      <c r="AD15" s="3349">
        <f t="shared" si="27"/>
        <v>0</v>
      </c>
      <c r="AE15" s="4074" t="e">
        <f t="shared" si="43"/>
        <v>#DIV/0!</v>
      </c>
      <c r="AF15" s="1055"/>
      <c r="AG15" s="3341"/>
      <c r="AH15" s="3341"/>
      <c r="AI15" s="3349">
        <f t="shared" si="28"/>
        <v>0</v>
      </c>
      <c r="AJ15" s="4074">
        <f t="shared" si="44"/>
        <v>0</v>
      </c>
      <c r="AK15" s="1055"/>
      <c r="AL15" s="3341"/>
      <c r="AM15" s="3341"/>
      <c r="AN15" s="3349">
        <f t="shared" si="29"/>
        <v>0</v>
      </c>
      <c r="AO15" s="4074">
        <f t="shared" si="45"/>
        <v>0</v>
      </c>
      <c r="AP15" s="1055"/>
      <c r="AQ15" s="3341"/>
      <c r="AR15" s="3341"/>
      <c r="AS15" s="3349">
        <f t="shared" si="30"/>
        <v>0</v>
      </c>
      <c r="AT15" s="4074" t="e">
        <f t="shared" si="46"/>
        <v>#DIV/0!</v>
      </c>
      <c r="AU15" s="1055"/>
      <c r="AV15" s="3341"/>
      <c r="AW15" s="3341"/>
      <c r="AX15" s="3349">
        <f t="shared" si="31"/>
        <v>0</v>
      </c>
      <c r="AY15" s="4074" t="e">
        <f t="shared" si="47"/>
        <v>#DIV/0!</v>
      </c>
      <c r="AZ15" s="1055"/>
      <c r="BA15" s="3341"/>
      <c r="BB15" s="3341"/>
      <c r="BC15" s="3349">
        <f t="shared" si="32"/>
        <v>0</v>
      </c>
      <c r="BD15" s="4074" t="e">
        <f t="shared" si="48"/>
        <v>#DIV/0!</v>
      </c>
      <c r="BE15" s="1055"/>
      <c r="BF15" s="3341"/>
      <c r="BG15" s="3341"/>
      <c r="BH15" s="3349">
        <f t="shared" si="33"/>
        <v>0</v>
      </c>
      <c r="BI15" s="4074" t="e">
        <f t="shared" si="49"/>
        <v>#DIV/0!</v>
      </c>
      <c r="BJ15" s="1055"/>
      <c r="BK15" s="3341"/>
      <c r="BL15" s="3341"/>
      <c r="BM15" s="3349">
        <f t="shared" si="34"/>
        <v>0</v>
      </c>
      <c r="BN15" s="4074" t="e">
        <f t="shared" si="50"/>
        <v>#DIV/0!</v>
      </c>
      <c r="BO15" s="1055"/>
      <c r="BP15" s="3341"/>
      <c r="BQ15" s="3341"/>
      <c r="BR15" s="3349">
        <f t="shared" si="35"/>
        <v>0</v>
      </c>
      <c r="BS15" s="4074" t="e">
        <f t="shared" si="51"/>
        <v>#DIV/0!</v>
      </c>
      <c r="BT15" s="1055"/>
      <c r="BU15" s="3341"/>
      <c r="BV15" s="3341"/>
      <c r="BW15" s="3349">
        <f t="shared" si="36"/>
        <v>0</v>
      </c>
      <c r="BX15" s="4074" t="e">
        <f t="shared" si="52"/>
        <v>#DIV/0!</v>
      </c>
      <c r="BY15" s="1055"/>
      <c r="BZ15" s="3341"/>
      <c r="CA15" s="3341"/>
      <c r="CB15" s="3349">
        <f t="shared" si="37"/>
        <v>0</v>
      </c>
      <c r="CC15" s="4074" t="e">
        <f t="shared" si="53"/>
        <v>#DIV/0!</v>
      </c>
      <c r="CD15" s="1055"/>
      <c r="CE15" s="3341"/>
      <c r="CF15" s="3341"/>
      <c r="CG15" s="3349">
        <f t="shared" si="38"/>
        <v>0</v>
      </c>
      <c r="CH15" s="4074" t="e">
        <f t="shared" si="54"/>
        <v>#DIV/0!</v>
      </c>
      <c r="CI15" s="1055"/>
      <c r="CJ15" s="3341">
        <f t="shared" si="39"/>
        <v>0</v>
      </c>
      <c r="CK15" s="3341">
        <f t="shared" si="39"/>
        <v>0</v>
      </c>
      <c r="CL15" s="3349">
        <f t="shared" si="55"/>
        <v>0</v>
      </c>
      <c r="CM15" s="4074">
        <f t="shared" si="40"/>
        <v>0</v>
      </c>
      <c r="CN15" s="1434"/>
      <c r="CP15" s="4186"/>
      <c r="CQ15" s="2012">
        <f t="shared" si="41"/>
        <v>0</v>
      </c>
      <c r="CR15" s="4188">
        <f t="shared" si="56"/>
        <v>0</v>
      </c>
      <c r="CT15" s="2624"/>
    </row>
    <row r="16" spans="1:98" s="1396" customFormat="1" ht="13.8" outlineLevel="2">
      <c r="A16" s="1571"/>
      <c r="B16" s="4075" t="s">
        <v>21</v>
      </c>
      <c r="C16" s="3341"/>
      <c r="D16" s="3341"/>
      <c r="E16" s="3349">
        <f t="shared" si="19"/>
        <v>0</v>
      </c>
      <c r="F16" s="4074" t="e">
        <f t="shared" si="16"/>
        <v>#DIV/0!</v>
      </c>
      <c r="G16" s="1055"/>
      <c r="H16" s="3341"/>
      <c r="I16" s="3341"/>
      <c r="J16" s="3349">
        <f t="shared" si="20"/>
        <v>0</v>
      </c>
      <c r="K16" s="4074" t="e">
        <f t="shared" si="42"/>
        <v>#DIV/0!</v>
      </c>
      <c r="L16" s="1055"/>
      <c r="M16" s="3341"/>
      <c r="N16" s="3341"/>
      <c r="O16" s="3349">
        <f t="shared" si="21"/>
        <v>0</v>
      </c>
      <c r="P16" s="4074" t="e">
        <f t="shared" si="22"/>
        <v>#DIV/0!</v>
      </c>
      <c r="Q16" s="1055"/>
      <c r="R16" s="3342">
        <f t="shared" si="23"/>
        <v>0</v>
      </c>
      <c r="S16" s="3342">
        <f t="shared" si="23"/>
        <v>0</v>
      </c>
      <c r="T16" s="2012">
        <f t="shared" si="24"/>
        <v>0</v>
      </c>
      <c r="U16" s="1055"/>
      <c r="V16" s="1055"/>
      <c r="W16" s="3342">
        <f t="shared" si="25"/>
        <v>0</v>
      </c>
      <c r="X16" s="3342">
        <f t="shared" si="25"/>
        <v>0</v>
      </c>
      <c r="Y16" s="2012">
        <f t="shared" si="26"/>
        <v>0</v>
      </c>
      <c r="Z16" s="1055"/>
      <c r="AA16" s="1055"/>
      <c r="AB16" s="3341"/>
      <c r="AC16" s="3341"/>
      <c r="AD16" s="3349">
        <f t="shared" si="27"/>
        <v>0</v>
      </c>
      <c r="AE16" s="4074" t="e">
        <f t="shared" si="43"/>
        <v>#DIV/0!</v>
      </c>
      <c r="AF16" s="1055"/>
      <c r="AG16" s="3341"/>
      <c r="AH16" s="3341"/>
      <c r="AI16" s="3349">
        <f t="shared" si="28"/>
        <v>0</v>
      </c>
      <c r="AJ16" s="4074">
        <f t="shared" si="44"/>
        <v>0</v>
      </c>
      <c r="AK16" s="1055"/>
      <c r="AL16" s="3341"/>
      <c r="AM16" s="3341"/>
      <c r="AN16" s="3349">
        <f t="shared" si="29"/>
        <v>0</v>
      </c>
      <c r="AO16" s="4074">
        <f t="shared" si="45"/>
        <v>0</v>
      </c>
      <c r="AP16" s="1055"/>
      <c r="AQ16" s="3341"/>
      <c r="AR16" s="3341"/>
      <c r="AS16" s="3349">
        <f t="shared" si="30"/>
        <v>0</v>
      </c>
      <c r="AT16" s="4074" t="e">
        <f t="shared" si="46"/>
        <v>#DIV/0!</v>
      </c>
      <c r="AU16" s="1055"/>
      <c r="AV16" s="3341"/>
      <c r="AW16" s="3341"/>
      <c r="AX16" s="3349">
        <f t="shared" si="31"/>
        <v>0</v>
      </c>
      <c r="AY16" s="4074" t="e">
        <f t="shared" si="47"/>
        <v>#DIV/0!</v>
      </c>
      <c r="AZ16" s="1055"/>
      <c r="BA16" s="3341"/>
      <c r="BB16" s="3341"/>
      <c r="BC16" s="3349">
        <f t="shared" si="32"/>
        <v>0</v>
      </c>
      <c r="BD16" s="4074" t="e">
        <f t="shared" si="48"/>
        <v>#DIV/0!</v>
      </c>
      <c r="BE16" s="1055"/>
      <c r="BF16" s="3341"/>
      <c r="BG16" s="3341"/>
      <c r="BH16" s="3349">
        <f t="shared" si="33"/>
        <v>0</v>
      </c>
      <c r="BI16" s="4074" t="e">
        <f t="shared" si="49"/>
        <v>#DIV/0!</v>
      </c>
      <c r="BJ16" s="1055"/>
      <c r="BK16" s="3341"/>
      <c r="BL16" s="3341"/>
      <c r="BM16" s="3349">
        <f t="shared" si="34"/>
        <v>0</v>
      </c>
      <c r="BN16" s="4074" t="e">
        <f t="shared" si="50"/>
        <v>#DIV/0!</v>
      </c>
      <c r="BO16" s="1055"/>
      <c r="BP16" s="3341"/>
      <c r="BQ16" s="3341"/>
      <c r="BR16" s="3349">
        <f t="shared" si="35"/>
        <v>0</v>
      </c>
      <c r="BS16" s="4074" t="e">
        <f t="shared" si="51"/>
        <v>#DIV/0!</v>
      </c>
      <c r="BT16" s="1055"/>
      <c r="BU16" s="3341"/>
      <c r="BV16" s="3341"/>
      <c r="BW16" s="3349">
        <f t="shared" si="36"/>
        <v>0</v>
      </c>
      <c r="BX16" s="4074" t="e">
        <f t="shared" si="52"/>
        <v>#DIV/0!</v>
      </c>
      <c r="BY16" s="1055"/>
      <c r="BZ16" s="3341"/>
      <c r="CA16" s="3341"/>
      <c r="CB16" s="3349">
        <f t="shared" si="37"/>
        <v>0</v>
      </c>
      <c r="CC16" s="4074" t="e">
        <f t="shared" si="53"/>
        <v>#DIV/0!</v>
      </c>
      <c r="CD16" s="1055"/>
      <c r="CE16" s="3341"/>
      <c r="CF16" s="3341"/>
      <c r="CG16" s="3349">
        <f t="shared" si="38"/>
        <v>0</v>
      </c>
      <c r="CH16" s="4074" t="e">
        <f t="shared" si="54"/>
        <v>#DIV/0!</v>
      </c>
      <c r="CI16" s="1055"/>
      <c r="CJ16" s="3341">
        <f t="shared" si="39"/>
        <v>0</v>
      </c>
      <c r="CK16" s="3341">
        <f t="shared" si="39"/>
        <v>0</v>
      </c>
      <c r="CL16" s="3349">
        <f>CJ16+CK16*1</f>
        <v>0</v>
      </c>
      <c r="CM16" s="4074">
        <f t="shared" si="40"/>
        <v>0</v>
      </c>
      <c r="CN16" s="1434"/>
      <c r="CP16" s="4186"/>
      <c r="CQ16" s="2012">
        <f t="shared" si="41"/>
        <v>0</v>
      </c>
      <c r="CR16" s="4188">
        <f t="shared" si="56"/>
        <v>0</v>
      </c>
      <c r="CT16" s="2624"/>
    </row>
    <row r="17" spans="1:100" s="1396" customFormat="1" ht="13.8" outlineLevel="2">
      <c r="A17" s="1571"/>
      <c r="B17" s="4075" t="s">
        <v>22</v>
      </c>
      <c r="C17" s="3341"/>
      <c r="D17" s="3341"/>
      <c r="E17" s="3349">
        <f t="shared" si="19"/>
        <v>0</v>
      </c>
      <c r="F17" s="4074" t="e">
        <f t="shared" si="16"/>
        <v>#DIV/0!</v>
      </c>
      <c r="G17" s="2047"/>
      <c r="H17" s="3341"/>
      <c r="I17" s="3341"/>
      <c r="J17" s="3349">
        <f t="shared" si="20"/>
        <v>0</v>
      </c>
      <c r="K17" s="4074" t="e">
        <f t="shared" si="42"/>
        <v>#DIV/0!</v>
      </c>
      <c r="L17" s="2047"/>
      <c r="M17" s="3341"/>
      <c r="N17" s="3341"/>
      <c r="O17" s="3349">
        <f t="shared" si="21"/>
        <v>0</v>
      </c>
      <c r="P17" s="4074" t="e">
        <f t="shared" si="22"/>
        <v>#DIV/0!</v>
      </c>
      <c r="Q17" s="2047"/>
      <c r="R17" s="3342">
        <f t="shared" si="23"/>
        <v>0</v>
      </c>
      <c r="S17" s="3342">
        <f t="shared" si="23"/>
        <v>0</v>
      </c>
      <c r="T17" s="2012">
        <f t="shared" si="24"/>
        <v>0</v>
      </c>
      <c r="U17" s="2047"/>
      <c r="V17" s="2047"/>
      <c r="W17" s="3342">
        <f t="shared" si="25"/>
        <v>0</v>
      </c>
      <c r="X17" s="3342">
        <f t="shared" si="25"/>
        <v>0</v>
      </c>
      <c r="Y17" s="2012">
        <f t="shared" si="26"/>
        <v>0</v>
      </c>
      <c r="Z17" s="2047"/>
      <c r="AA17" s="2047"/>
      <c r="AB17" s="3341"/>
      <c r="AC17" s="3341"/>
      <c r="AD17" s="3349">
        <f t="shared" si="27"/>
        <v>0</v>
      </c>
      <c r="AE17" s="4074" t="e">
        <f t="shared" si="43"/>
        <v>#DIV/0!</v>
      </c>
      <c r="AF17" s="2047"/>
      <c r="AG17" s="3341"/>
      <c r="AH17" s="3341"/>
      <c r="AI17" s="3349">
        <f t="shared" si="28"/>
        <v>0</v>
      </c>
      <c r="AJ17" s="4074">
        <f t="shared" si="44"/>
        <v>0</v>
      </c>
      <c r="AK17" s="2047"/>
      <c r="AL17" s="3341"/>
      <c r="AM17" s="3341"/>
      <c r="AN17" s="3349">
        <f t="shared" si="29"/>
        <v>0</v>
      </c>
      <c r="AO17" s="4074">
        <f t="shared" si="45"/>
        <v>0</v>
      </c>
      <c r="AP17" s="2047"/>
      <c r="AQ17" s="3341"/>
      <c r="AR17" s="3341"/>
      <c r="AS17" s="3349">
        <f t="shared" si="30"/>
        <v>0</v>
      </c>
      <c r="AT17" s="4074" t="e">
        <f t="shared" si="46"/>
        <v>#DIV/0!</v>
      </c>
      <c r="AU17" s="2047"/>
      <c r="AV17" s="3341"/>
      <c r="AW17" s="3341"/>
      <c r="AX17" s="3349">
        <f t="shared" si="31"/>
        <v>0</v>
      </c>
      <c r="AY17" s="4074" t="e">
        <f t="shared" si="47"/>
        <v>#DIV/0!</v>
      </c>
      <c r="AZ17" s="2047"/>
      <c r="BA17" s="3341"/>
      <c r="BB17" s="3341"/>
      <c r="BC17" s="3349">
        <f t="shared" si="32"/>
        <v>0</v>
      </c>
      <c r="BD17" s="4074" t="e">
        <f t="shared" si="48"/>
        <v>#DIV/0!</v>
      </c>
      <c r="BE17" s="2047"/>
      <c r="BF17" s="3341"/>
      <c r="BG17" s="3341"/>
      <c r="BH17" s="3349">
        <f t="shared" si="33"/>
        <v>0</v>
      </c>
      <c r="BI17" s="4074" t="e">
        <f t="shared" si="49"/>
        <v>#DIV/0!</v>
      </c>
      <c r="BJ17" s="2047"/>
      <c r="BK17" s="3341"/>
      <c r="BL17" s="3341"/>
      <c r="BM17" s="3349">
        <f t="shared" si="34"/>
        <v>0</v>
      </c>
      <c r="BN17" s="4074" t="e">
        <f t="shared" si="50"/>
        <v>#DIV/0!</v>
      </c>
      <c r="BO17" s="2047"/>
      <c r="BP17" s="3341"/>
      <c r="BQ17" s="3341"/>
      <c r="BR17" s="3349">
        <f t="shared" si="35"/>
        <v>0</v>
      </c>
      <c r="BS17" s="4074" t="e">
        <f t="shared" si="51"/>
        <v>#DIV/0!</v>
      </c>
      <c r="BT17" s="2047"/>
      <c r="BU17" s="3341"/>
      <c r="BV17" s="3341"/>
      <c r="BW17" s="3349">
        <f t="shared" si="36"/>
        <v>0</v>
      </c>
      <c r="BX17" s="4074" t="e">
        <f t="shared" si="52"/>
        <v>#DIV/0!</v>
      </c>
      <c r="BY17" s="2047"/>
      <c r="BZ17" s="3341"/>
      <c r="CA17" s="3341"/>
      <c r="CB17" s="3349">
        <f t="shared" si="37"/>
        <v>0</v>
      </c>
      <c r="CC17" s="4074" t="e">
        <f t="shared" si="53"/>
        <v>#DIV/0!</v>
      </c>
      <c r="CD17" s="2047"/>
      <c r="CE17" s="3341"/>
      <c r="CF17" s="3341"/>
      <c r="CG17" s="3349">
        <f t="shared" si="38"/>
        <v>0</v>
      </c>
      <c r="CH17" s="4074" t="e">
        <f t="shared" si="54"/>
        <v>#DIV/0!</v>
      </c>
      <c r="CI17" s="2047"/>
      <c r="CJ17" s="3341">
        <f t="shared" si="39"/>
        <v>0</v>
      </c>
      <c r="CK17" s="3341">
        <f t="shared" si="39"/>
        <v>0</v>
      </c>
      <c r="CL17" s="3349">
        <f t="shared" si="55"/>
        <v>0</v>
      </c>
      <c r="CM17" s="4074">
        <f t="shared" si="40"/>
        <v>0</v>
      </c>
      <c r="CN17" s="1434"/>
      <c r="CP17" s="4186"/>
      <c r="CQ17" s="2012">
        <f t="shared" si="41"/>
        <v>0</v>
      </c>
      <c r="CR17" s="4188">
        <f t="shared" si="56"/>
        <v>0</v>
      </c>
      <c r="CS17" s="3307"/>
      <c r="CT17" s="3443"/>
    </row>
    <row r="18" spans="1:100" s="1396" customFormat="1" ht="13.8" outlineLevel="2">
      <c r="A18" s="1571"/>
      <c r="B18" s="4075" t="s">
        <v>0</v>
      </c>
      <c r="C18" s="3341"/>
      <c r="D18" s="3341"/>
      <c r="E18" s="3349">
        <f t="shared" si="19"/>
        <v>0</v>
      </c>
      <c r="F18" s="4074" t="e">
        <f t="shared" si="16"/>
        <v>#DIV/0!</v>
      </c>
      <c r="G18" s="1055"/>
      <c r="H18" s="3341"/>
      <c r="I18" s="3341"/>
      <c r="J18" s="3349">
        <f t="shared" si="20"/>
        <v>0</v>
      </c>
      <c r="K18" s="4074" t="e">
        <f t="shared" si="42"/>
        <v>#DIV/0!</v>
      </c>
      <c r="L18" s="1055"/>
      <c r="M18" s="3341"/>
      <c r="N18" s="3341"/>
      <c r="O18" s="3349">
        <f t="shared" si="21"/>
        <v>0</v>
      </c>
      <c r="P18" s="4074" t="e">
        <f t="shared" si="22"/>
        <v>#DIV/0!</v>
      </c>
      <c r="Q18" s="1055"/>
      <c r="R18" s="3342">
        <f t="shared" si="23"/>
        <v>0</v>
      </c>
      <c r="S18" s="3342">
        <f t="shared" si="23"/>
        <v>0</v>
      </c>
      <c r="T18" s="2012">
        <f t="shared" si="24"/>
        <v>0</v>
      </c>
      <c r="U18" s="1055"/>
      <c r="V18" s="1055"/>
      <c r="W18" s="3342">
        <f t="shared" si="25"/>
        <v>0</v>
      </c>
      <c r="X18" s="3342">
        <f t="shared" si="25"/>
        <v>1500</v>
      </c>
      <c r="Y18" s="2012">
        <f t="shared" si="26"/>
        <v>1500</v>
      </c>
      <c r="Z18" s="1055"/>
      <c r="AA18" s="1055"/>
      <c r="AB18" s="3341"/>
      <c r="AC18" s="3341"/>
      <c r="AD18" s="3349">
        <f t="shared" si="27"/>
        <v>0</v>
      </c>
      <c r="AE18" s="4074" t="e">
        <f t="shared" si="43"/>
        <v>#DIV/0!</v>
      </c>
      <c r="AF18" s="1055"/>
      <c r="AG18" s="3341"/>
      <c r="AH18" s="3341">
        <v>1500</v>
      </c>
      <c r="AI18" s="3349">
        <f t="shared" si="28"/>
        <v>1500</v>
      </c>
      <c r="AJ18" s="4074">
        <f t="shared" si="44"/>
        <v>8.0661850558892741E-3</v>
      </c>
      <c r="AK18" s="2047" t="s">
        <v>1929</v>
      </c>
      <c r="AL18" s="3341"/>
      <c r="AM18" s="3341"/>
      <c r="AN18" s="3349">
        <f t="shared" si="29"/>
        <v>0</v>
      </c>
      <c r="AO18" s="4074">
        <f t="shared" si="45"/>
        <v>0</v>
      </c>
      <c r="AP18" s="1055"/>
      <c r="AQ18" s="3341"/>
      <c r="AR18" s="3341"/>
      <c r="AS18" s="3349">
        <f t="shared" si="30"/>
        <v>0</v>
      </c>
      <c r="AT18" s="4074" t="e">
        <f t="shared" si="46"/>
        <v>#DIV/0!</v>
      </c>
      <c r="AU18" s="1055"/>
      <c r="AV18" s="3341"/>
      <c r="AW18" s="3341"/>
      <c r="AX18" s="3349">
        <f t="shared" si="31"/>
        <v>0</v>
      </c>
      <c r="AY18" s="4074" t="e">
        <f t="shared" si="47"/>
        <v>#DIV/0!</v>
      </c>
      <c r="AZ18" s="1055"/>
      <c r="BA18" s="3341"/>
      <c r="BB18" s="3341"/>
      <c r="BC18" s="3349">
        <f t="shared" si="32"/>
        <v>0</v>
      </c>
      <c r="BD18" s="4074" t="e">
        <f t="shared" si="48"/>
        <v>#DIV/0!</v>
      </c>
      <c r="BE18" s="1055"/>
      <c r="BF18" s="3341"/>
      <c r="BG18" s="3341"/>
      <c r="BH18" s="3349">
        <f t="shared" si="33"/>
        <v>0</v>
      </c>
      <c r="BI18" s="4074" t="e">
        <f t="shared" si="49"/>
        <v>#DIV/0!</v>
      </c>
      <c r="BJ18" s="1055"/>
      <c r="BK18" s="3341"/>
      <c r="BL18" s="3341"/>
      <c r="BM18" s="3349">
        <f t="shared" si="34"/>
        <v>0</v>
      </c>
      <c r="BN18" s="4074" t="e">
        <f t="shared" si="50"/>
        <v>#DIV/0!</v>
      </c>
      <c r="BO18" s="1055"/>
      <c r="BP18" s="3341"/>
      <c r="BQ18" s="3341"/>
      <c r="BR18" s="3349">
        <f t="shared" si="35"/>
        <v>0</v>
      </c>
      <c r="BS18" s="4074" t="e">
        <f t="shared" si="51"/>
        <v>#DIV/0!</v>
      </c>
      <c r="BT18" s="1055"/>
      <c r="BU18" s="3341"/>
      <c r="BV18" s="3341"/>
      <c r="BW18" s="3349">
        <f t="shared" si="36"/>
        <v>0</v>
      </c>
      <c r="BX18" s="4074" t="e">
        <f t="shared" si="52"/>
        <v>#DIV/0!</v>
      </c>
      <c r="BY18" s="1055"/>
      <c r="BZ18" s="3341"/>
      <c r="CA18" s="3341"/>
      <c r="CB18" s="3349">
        <f t="shared" si="37"/>
        <v>0</v>
      </c>
      <c r="CC18" s="4074" t="e">
        <f t="shared" si="53"/>
        <v>#DIV/0!</v>
      </c>
      <c r="CD18" s="1055"/>
      <c r="CE18" s="3341"/>
      <c r="CF18" s="3341"/>
      <c r="CG18" s="3349">
        <f t="shared" si="38"/>
        <v>0</v>
      </c>
      <c r="CH18" s="4074" t="e">
        <f t="shared" si="54"/>
        <v>#DIV/0!</v>
      </c>
      <c r="CI18" s="1055"/>
      <c r="CJ18" s="3341">
        <f t="shared" si="39"/>
        <v>0</v>
      </c>
      <c r="CK18" s="3341">
        <f t="shared" si="39"/>
        <v>1500</v>
      </c>
      <c r="CL18" s="3349">
        <f t="shared" si="55"/>
        <v>1500</v>
      </c>
      <c r="CM18" s="4074">
        <f t="shared" si="40"/>
        <v>3.4855212787606596E-3</v>
      </c>
      <c r="CN18" s="1434"/>
      <c r="CP18" s="4186"/>
      <c r="CQ18" s="2012">
        <f t="shared" si="41"/>
        <v>1500</v>
      </c>
      <c r="CR18" s="4188">
        <f t="shared" si="56"/>
        <v>-1500</v>
      </c>
      <c r="CT18" s="2624"/>
    </row>
    <row r="19" spans="1:100" s="1396" customFormat="1" ht="13.8" outlineLevel="2">
      <c r="A19" s="1571"/>
      <c r="B19" s="4075" t="s">
        <v>53</v>
      </c>
      <c r="C19" s="3341"/>
      <c r="D19" s="3341"/>
      <c r="E19" s="3349">
        <f t="shared" si="19"/>
        <v>0</v>
      </c>
      <c r="F19" s="4074" t="e">
        <f t="shared" si="16"/>
        <v>#DIV/0!</v>
      </c>
      <c r="G19" s="1055"/>
      <c r="H19" s="3341"/>
      <c r="I19" s="3341"/>
      <c r="J19" s="3349">
        <f t="shared" si="20"/>
        <v>0</v>
      </c>
      <c r="K19" s="4074" t="e">
        <f t="shared" si="42"/>
        <v>#DIV/0!</v>
      </c>
      <c r="L19" s="1055"/>
      <c r="M19" s="3341"/>
      <c r="N19" s="3341"/>
      <c r="O19" s="3349">
        <f t="shared" si="21"/>
        <v>0</v>
      </c>
      <c r="P19" s="4074" t="e">
        <f t="shared" si="22"/>
        <v>#DIV/0!</v>
      </c>
      <c r="Q19" s="1055"/>
      <c r="R19" s="3342">
        <f t="shared" si="23"/>
        <v>0</v>
      </c>
      <c r="S19" s="3342">
        <f t="shared" si="23"/>
        <v>0</v>
      </c>
      <c r="T19" s="2012">
        <f t="shared" si="24"/>
        <v>0</v>
      </c>
      <c r="U19" s="1055"/>
      <c r="V19" s="1055"/>
      <c r="W19" s="3342">
        <f t="shared" si="25"/>
        <v>0</v>
      </c>
      <c r="X19" s="3342">
        <f t="shared" si="25"/>
        <v>0</v>
      </c>
      <c r="Y19" s="2012">
        <f t="shared" si="26"/>
        <v>0</v>
      </c>
      <c r="Z19" s="1055"/>
      <c r="AA19" s="1055"/>
      <c r="AB19" s="3341"/>
      <c r="AC19" s="3341"/>
      <c r="AD19" s="3349">
        <f t="shared" si="27"/>
        <v>0</v>
      </c>
      <c r="AE19" s="4074" t="e">
        <f t="shared" si="43"/>
        <v>#DIV/0!</v>
      </c>
      <c r="AF19" s="1055"/>
      <c r="AG19" s="3341"/>
      <c r="AH19" s="3341"/>
      <c r="AI19" s="3349">
        <f t="shared" si="28"/>
        <v>0</v>
      </c>
      <c r="AJ19" s="4074">
        <f t="shared" si="44"/>
        <v>0</v>
      </c>
      <c r="AK19" s="1055"/>
      <c r="AL19" s="3341"/>
      <c r="AM19" s="3341"/>
      <c r="AN19" s="3349">
        <f t="shared" si="29"/>
        <v>0</v>
      </c>
      <c r="AO19" s="4074">
        <f t="shared" si="45"/>
        <v>0</v>
      </c>
      <c r="AP19" s="1055"/>
      <c r="AQ19" s="3341"/>
      <c r="AR19" s="3341"/>
      <c r="AS19" s="3349">
        <f t="shared" si="30"/>
        <v>0</v>
      </c>
      <c r="AT19" s="4074" t="e">
        <f t="shared" si="46"/>
        <v>#DIV/0!</v>
      </c>
      <c r="AU19" s="1055"/>
      <c r="AV19" s="3341"/>
      <c r="AW19" s="3341"/>
      <c r="AX19" s="3349">
        <f t="shared" si="31"/>
        <v>0</v>
      </c>
      <c r="AY19" s="4074" t="e">
        <f t="shared" si="47"/>
        <v>#DIV/0!</v>
      </c>
      <c r="AZ19" s="1055"/>
      <c r="BA19" s="3341"/>
      <c r="BB19" s="3341"/>
      <c r="BC19" s="3349">
        <f t="shared" si="32"/>
        <v>0</v>
      </c>
      <c r="BD19" s="4074" t="e">
        <f t="shared" si="48"/>
        <v>#DIV/0!</v>
      </c>
      <c r="BE19" s="1055"/>
      <c r="BF19" s="3341"/>
      <c r="BG19" s="3341"/>
      <c r="BH19" s="3349">
        <f t="shared" si="33"/>
        <v>0</v>
      </c>
      <c r="BI19" s="4074" t="e">
        <f t="shared" si="49"/>
        <v>#DIV/0!</v>
      </c>
      <c r="BJ19" s="1055"/>
      <c r="BK19" s="3341"/>
      <c r="BL19" s="3341"/>
      <c r="BM19" s="3349">
        <f t="shared" si="34"/>
        <v>0</v>
      </c>
      <c r="BN19" s="4074" t="e">
        <f t="shared" si="50"/>
        <v>#DIV/0!</v>
      </c>
      <c r="BO19" s="1055"/>
      <c r="BP19" s="3341"/>
      <c r="BQ19" s="3341"/>
      <c r="BR19" s="3349">
        <f t="shared" si="35"/>
        <v>0</v>
      </c>
      <c r="BS19" s="4074" t="e">
        <f t="shared" si="51"/>
        <v>#DIV/0!</v>
      </c>
      <c r="BT19" s="1055"/>
      <c r="BU19" s="3341"/>
      <c r="BV19" s="3341"/>
      <c r="BW19" s="3349">
        <f t="shared" si="36"/>
        <v>0</v>
      </c>
      <c r="BX19" s="4074" t="e">
        <f t="shared" si="52"/>
        <v>#DIV/0!</v>
      </c>
      <c r="BY19" s="1055"/>
      <c r="BZ19" s="3341"/>
      <c r="CA19" s="3341"/>
      <c r="CB19" s="3349">
        <f t="shared" si="37"/>
        <v>0</v>
      </c>
      <c r="CC19" s="4074" t="e">
        <f t="shared" si="53"/>
        <v>#DIV/0!</v>
      </c>
      <c r="CD19" s="1055"/>
      <c r="CE19" s="3341"/>
      <c r="CF19" s="3341"/>
      <c r="CG19" s="3349">
        <f t="shared" si="38"/>
        <v>0</v>
      </c>
      <c r="CH19" s="4074" t="e">
        <f t="shared" si="54"/>
        <v>#DIV/0!</v>
      </c>
      <c r="CI19" s="1055"/>
      <c r="CJ19" s="3341">
        <f t="shared" si="39"/>
        <v>0</v>
      </c>
      <c r="CK19" s="3341">
        <f t="shared" si="39"/>
        <v>0</v>
      </c>
      <c r="CL19" s="3349">
        <f t="shared" si="55"/>
        <v>0</v>
      </c>
      <c r="CM19" s="4074">
        <f t="shared" si="40"/>
        <v>0</v>
      </c>
      <c r="CN19" s="1434"/>
      <c r="CP19" s="4186"/>
      <c r="CQ19" s="2012">
        <f t="shared" si="41"/>
        <v>0</v>
      </c>
      <c r="CR19" s="4188">
        <f t="shared" si="56"/>
        <v>0</v>
      </c>
      <c r="CT19" s="2624"/>
    </row>
    <row r="20" spans="1:100" s="1396" customFormat="1" ht="13.8" outlineLevel="2">
      <c r="A20" s="1571"/>
      <c r="B20" s="4075" t="s">
        <v>57</v>
      </c>
      <c r="C20" s="3341"/>
      <c r="D20" s="3341"/>
      <c r="E20" s="3349">
        <f t="shared" si="19"/>
        <v>0</v>
      </c>
      <c r="F20" s="4074" t="e">
        <f t="shared" si="16"/>
        <v>#DIV/0!</v>
      </c>
      <c r="G20" s="1055"/>
      <c r="H20" s="3341"/>
      <c r="I20" s="3341"/>
      <c r="J20" s="3349">
        <f t="shared" si="20"/>
        <v>0</v>
      </c>
      <c r="K20" s="4074" t="e">
        <f t="shared" si="42"/>
        <v>#DIV/0!</v>
      </c>
      <c r="L20" s="1055"/>
      <c r="M20" s="3341"/>
      <c r="N20" s="3341"/>
      <c r="O20" s="3349">
        <f t="shared" si="21"/>
        <v>0</v>
      </c>
      <c r="P20" s="4074" t="e">
        <f t="shared" si="22"/>
        <v>#DIV/0!</v>
      </c>
      <c r="Q20" s="1055"/>
      <c r="R20" s="3342">
        <f t="shared" si="23"/>
        <v>0</v>
      </c>
      <c r="S20" s="3342">
        <f t="shared" si="23"/>
        <v>0</v>
      </c>
      <c r="T20" s="2012">
        <f t="shared" si="24"/>
        <v>0</v>
      </c>
      <c r="U20" s="1055"/>
      <c r="V20" s="1055"/>
      <c r="W20" s="3342">
        <f t="shared" si="25"/>
        <v>0</v>
      </c>
      <c r="X20" s="3342">
        <f t="shared" si="25"/>
        <v>0</v>
      </c>
      <c r="Y20" s="2012">
        <f t="shared" si="26"/>
        <v>0</v>
      </c>
      <c r="Z20" s="1055"/>
      <c r="AA20" s="1055"/>
      <c r="AB20" s="3341"/>
      <c r="AC20" s="3341"/>
      <c r="AD20" s="3349">
        <f t="shared" si="27"/>
        <v>0</v>
      </c>
      <c r="AE20" s="4074" t="e">
        <f t="shared" si="43"/>
        <v>#DIV/0!</v>
      </c>
      <c r="AF20" s="1055"/>
      <c r="AG20" s="3341"/>
      <c r="AH20" s="3341"/>
      <c r="AI20" s="3349">
        <f t="shared" si="28"/>
        <v>0</v>
      </c>
      <c r="AJ20" s="4074">
        <f t="shared" si="44"/>
        <v>0</v>
      </c>
      <c r="AK20" s="1055"/>
      <c r="AL20" s="3341"/>
      <c r="AM20" s="3341"/>
      <c r="AN20" s="3349">
        <f t="shared" si="29"/>
        <v>0</v>
      </c>
      <c r="AO20" s="4074">
        <f t="shared" si="45"/>
        <v>0</v>
      </c>
      <c r="AP20" s="1055"/>
      <c r="AQ20" s="3341"/>
      <c r="AR20" s="3341"/>
      <c r="AS20" s="3349">
        <f t="shared" si="30"/>
        <v>0</v>
      </c>
      <c r="AT20" s="4074" t="e">
        <f t="shared" si="46"/>
        <v>#DIV/0!</v>
      </c>
      <c r="AU20" s="1055"/>
      <c r="AV20" s="3341"/>
      <c r="AW20" s="3341"/>
      <c r="AX20" s="3349">
        <f t="shared" si="31"/>
        <v>0</v>
      </c>
      <c r="AY20" s="4074" t="e">
        <f t="shared" si="47"/>
        <v>#DIV/0!</v>
      </c>
      <c r="AZ20" s="1055"/>
      <c r="BA20" s="3341"/>
      <c r="BB20" s="3341"/>
      <c r="BC20" s="3349">
        <f t="shared" si="32"/>
        <v>0</v>
      </c>
      <c r="BD20" s="4074" t="e">
        <f t="shared" si="48"/>
        <v>#DIV/0!</v>
      </c>
      <c r="BE20" s="1055"/>
      <c r="BF20" s="3341"/>
      <c r="BG20" s="3341"/>
      <c r="BH20" s="3349">
        <f t="shared" si="33"/>
        <v>0</v>
      </c>
      <c r="BI20" s="4074" t="e">
        <f t="shared" si="49"/>
        <v>#DIV/0!</v>
      </c>
      <c r="BJ20" s="1055"/>
      <c r="BK20" s="3341"/>
      <c r="BL20" s="3341"/>
      <c r="BM20" s="3349">
        <f t="shared" si="34"/>
        <v>0</v>
      </c>
      <c r="BN20" s="4074" t="e">
        <f t="shared" si="50"/>
        <v>#DIV/0!</v>
      </c>
      <c r="BO20" s="1055"/>
      <c r="BP20" s="3341"/>
      <c r="BQ20" s="3341"/>
      <c r="BR20" s="3349">
        <f t="shared" si="35"/>
        <v>0</v>
      </c>
      <c r="BS20" s="4074" t="e">
        <f t="shared" si="51"/>
        <v>#DIV/0!</v>
      </c>
      <c r="BT20" s="1055"/>
      <c r="BU20" s="3341"/>
      <c r="BV20" s="3341"/>
      <c r="BW20" s="3349">
        <f t="shared" si="36"/>
        <v>0</v>
      </c>
      <c r="BX20" s="4074" t="e">
        <f t="shared" si="52"/>
        <v>#DIV/0!</v>
      </c>
      <c r="BY20" s="1055"/>
      <c r="BZ20" s="3341"/>
      <c r="CA20" s="3341"/>
      <c r="CB20" s="3349">
        <f t="shared" si="37"/>
        <v>0</v>
      </c>
      <c r="CC20" s="4074" t="e">
        <f t="shared" si="53"/>
        <v>#DIV/0!</v>
      </c>
      <c r="CD20" s="1055"/>
      <c r="CE20" s="3341"/>
      <c r="CF20" s="3341"/>
      <c r="CG20" s="3349">
        <f t="shared" si="38"/>
        <v>0</v>
      </c>
      <c r="CH20" s="4074" t="e">
        <f t="shared" si="54"/>
        <v>#DIV/0!</v>
      </c>
      <c r="CI20" s="1055"/>
      <c r="CJ20" s="3341">
        <f t="shared" si="39"/>
        <v>0</v>
      </c>
      <c r="CK20" s="3341">
        <f t="shared" si="39"/>
        <v>0</v>
      </c>
      <c r="CL20" s="3349">
        <f t="shared" si="55"/>
        <v>0</v>
      </c>
      <c r="CM20" s="4074">
        <f t="shared" si="40"/>
        <v>0</v>
      </c>
      <c r="CN20" s="1434"/>
      <c r="CP20" s="4186"/>
      <c r="CQ20" s="2012">
        <f t="shared" si="41"/>
        <v>0</v>
      </c>
      <c r="CR20" s="4188">
        <f t="shared" si="56"/>
        <v>0</v>
      </c>
      <c r="CT20" s="2624"/>
    </row>
    <row r="21" spans="1:100" s="1396" customFormat="1" ht="13.8" outlineLevel="2">
      <c r="A21" s="1571"/>
      <c r="B21" s="4075" t="s">
        <v>58</v>
      </c>
      <c r="C21" s="3341"/>
      <c r="D21" s="3341"/>
      <c r="E21" s="3349">
        <f t="shared" si="19"/>
        <v>0</v>
      </c>
      <c r="F21" s="4074" t="e">
        <f t="shared" si="16"/>
        <v>#DIV/0!</v>
      </c>
      <c r="G21" s="1615"/>
      <c r="H21" s="3341"/>
      <c r="I21" s="3341"/>
      <c r="J21" s="3349">
        <f t="shared" si="20"/>
        <v>0</v>
      </c>
      <c r="K21" s="4074" t="e">
        <f t="shared" si="42"/>
        <v>#DIV/0!</v>
      </c>
      <c r="L21" s="1615"/>
      <c r="M21" s="3341"/>
      <c r="N21" s="3341"/>
      <c r="O21" s="3349">
        <f t="shared" si="21"/>
        <v>0</v>
      </c>
      <c r="P21" s="4074" t="e">
        <f t="shared" si="22"/>
        <v>#DIV/0!</v>
      </c>
      <c r="Q21" s="1615"/>
      <c r="R21" s="3342">
        <f t="shared" si="23"/>
        <v>0</v>
      </c>
      <c r="S21" s="3342">
        <f t="shared" si="23"/>
        <v>0</v>
      </c>
      <c r="T21" s="2012">
        <f t="shared" si="24"/>
        <v>0</v>
      </c>
      <c r="U21" s="1615"/>
      <c r="V21" s="1615"/>
      <c r="W21" s="3342">
        <f t="shared" si="25"/>
        <v>0</v>
      </c>
      <c r="X21" s="3342">
        <f t="shared" si="25"/>
        <v>0</v>
      </c>
      <c r="Y21" s="2012">
        <f t="shared" si="26"/>
        <v>0</v>
      </c>
      <c r="Z21" s="1615"/>
      <c r="AA21" s="1615"/>
      <c r="AB21" s="3341"/>
      <c r="AC21" s="3341"/>
      <c r="AD21" s="3349">
        <f t="shared" si="27"/>
        <v>0</v>
      </c>
      <c r="AE21" s="4074" t="e">
        <f t="shared" si="43"/>
        <v>#DIV/0!</v>
      </c>
      <c r="AF21" s="1615"/>
      <c r="AG21" s="3341"/>
      <c r="AH21" s="3341"/>
      <c r="AI21" s="3349">
        <f t="shared" si="28"/>
        <v>0</v>
      </c>
      <c r="AJ21" s="4074">
        <f t="shared" si="44"/>
        <v>0</v>
      </c>
      <c r="AK21" s="1615"/>
      <c r="AL21" s="3341"/>
      <c r="AM21" s="3341"/>
      <c r="AN21" s="3349">
        <f t="shared" si="29"/>
        <v>0</v>
      </c>
      <c r="AO21" s="4074">
        <f t="shared" si="45"/>
        <v>0</v>
      </c>
      <c r="AP21" s="1615"/>
      <c r="AQ21" s="3341"/>
      <c r="AR21" s="3341"/>
      <c r="AS21" s="3349">
        <f t="shared" si="30"/>
        <v>0</v>
      </c>
      <c r="AT21" s="4074" t="e">
        <f t="shared" si="46"/>
        <v>#DIV/0!</v>
      </c>
      <c r="AU21" s="1615"/>
      <c r="AV21" s="3341"/>
      <c r="AW21" s="3341"/>
      <c r="AX21" s="3349">
        <f t="shared" si="31"/>
        <v>0</v>
      </c>
      <c r="AY21" s="4074" t="e">
        <f t="shared" si="47"/>
        <v>#DIV/0!</v>
      </c>
      <c r="AZ21" s="1615"/>
      <c r="BA21" s="3341"/>
      <c r="BB21" s="3341"/>
      <c r="BC21" s="3349">
        <f t="shared" si="32"/>
        <v>0</v>
      </c>
      <c r="BD21" s="4074" t="e">
        <f t="shared" si="48"/>
        <v>#DIV/0!</v>
      </c>
      <c r="BE21" s="1615"/>
      <c r="BF21" s="3341"/>
      <c r="BG21" s="3341"/>
      <c r="BH21" s="3349">
        <f t="shared" si="33"/>
        <v>0</v>
      </c>
      <c r="BI21" s="4074" t="e">
        <f t="shared" si="49"/>
        <v>#DIV/0!</v>
      </c>
      <c r="BJ21" s="1615"/>
      <c r="BK21" s="3341"/>
      <c r="BL21" s="3341"/>
      <c r="BM21" s="3349">
        <f t="shared" si="34"/>
        <v>0</v>
      </c>
      <c r="BN21" s="4074" t="e">
        <f t="shared" si="50"/>
        <v>#DIV/0!</v>
      </c>
      <c r="BO21" s="1615"/>
      <c r="BP21" s="3341"/>
      <c r="BQ21" s="3341"/>
      <c r="BR21" s="3349">
        <f t="shared" si="35"/>
        <v>0</v>
      </c>
      <c r="BS21" s="4074" t="e">
        <f t="shared" si="51"/>
        <v>#DIV/0!</v>
      </c>
      <c r="BT21" s="1615"/>
      <c r="BU21" s="3341"/>
      <c r="BV21" s="3341"/>
      <c r="BW21" s="3349">
        <f t="shared" si="36"/>
        <v>0</v>
      </c>
      <c r="BX21" s="4074" t="e">
        <f t="shared" si="52"/>
        <v>#DIV/0!</v>
      </c>
      <c r="BY21" s="1615"/>
      <c r="BZ21" s="3341"/>
      <c r="CA21" s="3341"/>
      <c r="CB21" s="3349">
        <f t="shared" si="37"/>
        <v>0</v>
      </c>
      <c r="CC21" s="4074" t="e">
        <f t="shared" si="53"/>
        <v>#DIV/0!</v>
      </c>
      <c r="CD21" s="1615"/>
      <c r="CE21" s="3341"/>
      <c r="CF21" s="3341"/>
      <c r="CG21" s="3349">
        <f t="shared" si="38"/>
        <v>0</v>
      </c>
      <c r="CH21" s="4074" t="e">
        <f t="shared" si="54"/>
        <v>#DIV/0!</v>
      </c>
      <c r="CI21" s="1615"/>
      <c r="CJ21" s="3341">
        <f t="shared" si="39"/>
        <v>0</v>
      </c>
      <c r="CK21" s="3341">
        <f t="shared" si="39"/>
        <v>0</v>
      </c>
      <c r="CL21" s="3349">
        <f t="shared" si="55"/>
        <v>0</v>
      </c>
      <c r="CM21" s="4074">
        <f t="shared" si="40"/>
        <v>0</v>
      </c>
      <c r="CN21" s="1434"/>
      <c r="CP21" s="4186"/>
      <c r="CQ21" s="2012">
        <f t="shared" si="41"/>
        <v>0</v>
      </c>
      <c r="CR21" s="4188">
        <f t="shared" si="56"/>
        <v>0</v>
      </c>
      <c r="CT21" s="2624"/>
    </row>
    <row r="22" spans="1:100" s="1396" customFormat="1" ht="13.8" outlineLevel="2">
      <c r="A22" s="1571"/>
      <c r="B22" s="4075" t="s">
        <v>621</v>
      </c>
      <c r="C22" s="3341"/>
      <c r="D22" s="3341"/>
      <c r="E22" s="3349">
        <f t="shared" si="19"/>
        <v>0</v>
      </c>
      <c r="F22" s="4074" t="e">
        <f t="shared" si="16"/>
        <v>#DIV/0!</v>
      </c>
      <c r="G22" s="3342"/>
      <c r="H22" s="3341"/>
      <c r="I22" s="3341"/>
      <c r="J22" s="3349">
        <f t="shared" si="20"/>
        <v>0</v>
      </c>
      <c r="K22" s="4074" t="e">
        <f t="shared" si="42"/>
        <v>#DIV/0!</v>
      </c>
      <c r="L22" s="3342"/>
      <c r="M22" s="3341"/>
      <c r="N22" s="3341"/>
      <c r="O22" s="3349">
        <f t="shared" si="21"/>
        <v>0</v>
      </c>
      <c r="P22" s="4074" t="e">
        <f t="shared" si="22"/>
        <v>#DIV/0!</v>
      </c>
      <c r="Q22" s="3342"/>
      <c r="R22" s="3342">
        <f t="shared" si="23"/>
        <v>0</v>
      </c>
      <c r="S22" s="3342">
        <f t="shared" si="23"/>
        <v>0</v>
      </c>
      <c r="T22" s="2012">
        <f t="shared" si="24"/>
        <v>0</v>
      </c>
      <c r="U22" s="3342"/>
      <c r="V22" s="3342"/>
      <c r="W22" s="3342">
        <f t="shared" si="25"/>
        <v>0</v>
      </c>
      <c r="X22" s="3342">
        <f t="shared" si="25"/>
        <v>0</v>
      </c>
      <c r="Y22" s="2012">
        <f t="shared" si="26"/>
        <v>0</v>
      </c>
      <c r="Z22" s="3342"/>
      <c r="AA22" s="3342"/>
      <c r="AB22" s="3341"/>
      <c r="AC22" s="3341"/>
      <c r="AD22" s="3349">
        <f t="shared" si="27"/>
        <v>0</v>
      </c>
      <c r="AE22" s="4074" t="e">
        <f t="shared" si="43"/>
        <v>#DIV/0!</v>
      </c>
      <c r="AF22" s="3342"/>
      <c r="AG22" s="3341"/>
      <c r="AH22" s="3341"/>
      <c r="AI22" s="3349">
        <f t="shared" si="28"/>
        <v>0</v>
      </c>
      <c r="AJ22" s="4074">
        <f t="shared" si="44"/>
        <v>0</v>
      </c>
      <c r="AK22" s="3342"/>
      <c r="AL22" s="3341"/>
      <c r="AM22" s="3341"/>
      <c r="AN22" s="3349">
        <f t="shared" si="29"/>
        <v>0</v>
      </c>
      <c r="AO22" s="4074">
        <f t="shared" si="45"/>
        <v>0</v>
      </c>
      <c r="AP22" s="3342"/>
      <c r="AQ22" s="3341"/>
      <c r="AR22" s="3341"/>
      <c r="AS22" s="3349">
        <f t="shared" si="30"/>
        <v>0</v>
      </c>
      <c r="AT22" s="4074" t="e">
        <f t="shared" si="46"/>
        <v>#DIV/0!</v>
      </c>
      <c r="AU22" s="3342"/>
      <c r="AV22" s="3341"/>
      <c r="AW22" s="3341"/>
      <c r="AX22" s="3349">
        <f t="shared" si="31"/>
        <v>0</v>
      </c>
      <c r="AY22" s="4074" t="e">
        <f t="shared" si="47"/>
        <v>#DIV/0!</v>
      </c>
      <c r="AZ22" s="3342"/>
      <c r="BA22" s="3341"/>
      <c r="BB22" s="3341"/>
      <c r="BC22" s="3349">
        <f t="shared" si="32"/>
        <v>0</v>
      </c>
      <c r="BD22" s="4074" t="e">
        <f t="shared" si="48"/>
        <v>#DIV/0!</v>
      </c>
      <c r="BE22" s="3342"/>
      <c r="BF22" s="3341"/>
      <c r="BG22" s="3341"/>
      <c r="BH22" s="3349">
        <f t="shared" si="33"/>
        <v>0</v>
      </c>
      <c r="BI22" s="4074" t="e">
        <f t="shared" si="49"/>
        <v>#DIV/0!</v>
      </c>
      <c r="BJ22" s="3342"/>
      <c r="BK22" s="3341"/>
      <c r="BL22" s="3341"/>
      <c r="BM22" s="3349">
        <f t="shared" si="34"/>
        <v>0</v>
      </c>
      <c r="BN22" s="4074" t="e">
        <f t="shared" si="50"/>
        <v>#DIV/0!</v>
      </c>
      <c r="BO22" s="3342"/>
      <c r="BP22" s="3341"/>
      <c r="BQ22" s="3341"/>
      <c r="BR22" s="3349">
        <f t="shared" si="35"/>
        <v>0</v>
      </c>
      <c r="BS22" s="4074" t="e">
        <f t="shared" si="51"/>
        <v>#DIV/0!</v>
      </c>
      <c r="BT22" s="3342"/>
      <c r="BU22" s="3341"/>
      <c r="BV22" s="3341"/>
      <c r="BW22" s="3349">
        <f t="shared" si="36"/>
        <v>0</v>
      </c>
      <c r="BX22" s="4074" t="e">
        <f t="shared" si="52"/>
        <v>#DIV/0!</v>
      </c>
      <c r="BY22" s="3342"/>
      <c r="BZ22" s="3341"/>
      <c r="CA22" s="3341"/>
      <c r="CB22" s="3349">
        <f t="shared" si="37"/>
        <v>0</v>
      </c>
      <c r="CC22" s="4074" t="e">
        <f t="shared" si="53"/>
        <v>#DIV/0!</v>
      </c>
      <c r="CD22" s="3342"/>
      <c r="CE22" s="3341"/>
      <c r="CF22" s="3341"/>
      <c r="CG22" s="3349">
        <f t="shared" si="38"/>
        <v>0</v>
      </c>
      <c r="CH22" s="4074" t="e">
        <f t="shared" si="54"/>
        <v>#DIV/0!</v>
      </c>
      <c r="CI22" s="3342"/>
      <c r="CJ22" s="3341">
        <f t="shared" si="39"/>
        <v>0</v>
      </c>
      <c r="CK22" s="3341">
        <f t="shared" si="39"/>
        <v>0</v>
      </c>
      <c r="CL22" s="3349">
        <f t="shared" si="55"/>
        <v>0</v>
      </c>
      <c r="CM22" s="4074">
        <f t="shared" si="40"/>
        <v>0</v>
      </c>
      <c r="CN22" s="1434"/>
      <c r="CP22" s="4186"/>
      <c r="CQ22" s="2012">
        <f t="shared" si="41"/>
        <v>0</v>
      </c>
      <c r="CR22" s="4188">
        <f t="shared" si="56"/>
        <v>0</v>
      </c>
      <c r="CT22" s="3443">
        <f>CQ22</f>
        <v>0</v>
      </c>
    </row>
    <row r="23" spans="1:100" s="1396" customFormat="1" ht="13.8" outlineLevel="2">
      <c r="A23" s="1571"/>
      <c r="B23" s="4075" t="s">
        <v>630</v>
      </c>
      <c r="C23" s="3341"/>
      <c r="D23" s="3341"/>
      <c r="E23" s="3349">
        <f t="shared" si="19"/>
        <v>0</v>
      </c>
      <c r="F23" s="4074" t="e">
        <f t="shared" si="16"/>
        <v>#DIV/0!</v>
      </c>
      <c r="G23" s="1055"/>
      <c r="H23" s="3341"/>
      <c r="I23" s="3341"/>
      <c r="J23" s="3349">
        <f t="shared" si="20"/>
        <v>0</v>
      </c>
      <c r="K23" s="4074" t="e">
        <f t="shared" si="42"/>
        <v>#DIV/0!</v>
      </c>
      <c r="L23" s="1055"/>
      <c r="M23" s="3341"/>
      <c r="N23" s="3341"/>
      <c r="O23" s="3349">
        <f t="shared" si="21"/>
        <v>0</v>
      </c>
      <c r="P23" s="4074" t="e">
        <f t="shared" si="22"/>
        <v>#DIV/0!</v>
      </c>
      <c r="Q23" s="1055"/>
      <c r="R23" s="3342">
        <f t="shared" si="23"/>
        <v>0</v>
      </c>
      <c r="S23" s="3342">
        <f t="shared" si="23"/>
        <v>0</v>
      </c>
      <c r="T23" s="2012">
        <f t="shared" si="24"/>
        <v>0</v>
      </c>
      <c r="U23" s="1055"/>
      <c r="V23" s="1055"/>
      <c r="W23" s="3342">
        <f t="shared" si="25"/>
        <v>0</v>
      </c>
      <c r="X23" s="3342">
        <f t="shared" si="25"/>
        <v>0</v>
      </c>
      <c r="Y23" s="2012">
        <f t="shared" si="26"/>
        <v>0</v>
      </c>
      <c r="Z23" s="1055"/>
      <c r="AA23" s="1055"/>
      <c r="AB23" s="3341"/>
      <c r="AC23" s="3341"/>
      <c r="AD23" s="3349">
        <f t="shared" si="27"/>
        <v>0</v>
      </c>
      <c r="AE23" s="4074" t="e">
        <f t="shared" si="43"/>
        <v>#DIV/0!</v>
      </c>
      <c r="AF23" s="1055"/>
      <c r="AG23" s="3341"/>
      <c r="AH23" s="3341"/>
      <c r="AI23" s="3349">
        <f t="shared" si="28"/>
        <v>0</v>
      </c>
      <c r="AJ23" s="4074">
        <f t="shared" si="44"/>
        <v>0</v>
      </c>
      <c r="AK23" s="1055"/>
      <c r="AL23" s="3341"/>
      <c r="AM23" s="3341"/>
      <c r="AN23" s="3349">
        <f t="shared" si="29"/>
        <v>0</v>
      </c>
      <c r="AO23" s="4074">
        <f t="shared" si="45"/>
        <v>0</v>
      </c>
      <c r="AP23" s="1055"/>
      <c r="AQ23" s="3341"/>
      <c r="AR23" s="3341"/>
      <c r="AS23" s="3349">
        <f t="shared" si="30"/>
        <v>0</v>
      </c>
      <c r="AT23" s="4074" t="e">
        <f t="shared" si="46"/>
        <v>#DIV/0!</v>
      </c>
      <c r="AU23" s="1055"/>
      <c r="AV23" s="3341"/>
      <c r="AW23" s="3341"/>
      <c r="AX23" s="3349">
        <f t="shared" si="31"/>
        <v>0</v>
      </c>
      <c r="AY23" s="4074" t="e">
        <f t="shared" si="47"/>
        <v>#DIV/0!</v>
      </c>
      <c r="AZ23" s="1055"/>
      <c r="BA23" s="3341"/>
      <c r="BB23" s="3341"/>
      <c r="BC23" s="3349">
        <f t="shared" si="32"/>
        <v>0</v>
      </c>
      <c r="BD23" s="4074" t="e">
        <f t="shared" si="48"/>
        <v>#DIV/0!</v>
      </c>
      <c r="BE23" s="1055"/>
      <c r="BF23" s="3341"/>
      <c r="BG23" s="3341"/>
      <c r="BH23" s="3349">
        <f t="shared" si="33"/>
        <v>0</v>
      </c>
      <c r="BI23" s="4074" t="e">
        <f t="shared" si="49"/>
        <v>#DIV/0!</v>
      </c>
      <c r="BJ23" s="1055"/>
      <c r="BK23" s="3341"/>
      <c r="BL23" s="3341"/>
      <c r="BM23" s="3349">
        <f t="shared" si="34"/>
        <v>0</v>
      </c>
      <c r="BN23" s="4074" t="e">
        <f t="shared" si="50"/>
        <v>#DIV/0!</v>
      </c>
      <c r="BO23" s="1055"/>
      <c r="BP23" s="3341"/>
      <c r="BQ23" s="3341"/>
      <c r="BR23" s="3349">
        <f t="shared" si="35"/>
        <v>0</v>
      </c>
      <c r="BS23" s="4074" t="e">
        <f t="shared" si="51"/>
        <v>#DIV/0!</v>
      </c>
      <c r="BT23" s="1055"/>
      <c r="BU23" s="3341"/>
      <c r="BV23" s="3341"/>
      <c r="BW23" s="3349">
        <f t="shared" si="36"/>
        <v>0</v>
      </c>
      <c r="BX23" s="4074" t="e">
        <f t="shared" si="52"/>
        <v>#DIV/0!</v>
      </c>
      <c r="BY23" s="1055"/>
      <c r="BZ23" s="3341"/>
      <c r="CA23" s="3341"/>
      <c r="CB23" s="3349">
        <f t="shared" si="37"/>
        <v>0</v>
      </c>
      <c r="CC23" s="4074" t="e">
        <f t="shared" si="53"/>
        <v>#DIV/0!</v>
      </c>
      <c r="CD23" s="1055"/>
      <c r="CE23" s="3341"/>
      <c r="CF23" s="3341"/>
      <c r="CG23" s="3349">
        <f t="shared" si="38"/>
        <v>0</v>
      </c>
      <c r="CH23" s="4074" t="e">
        <f t="shared" si="54"/>
        <v>#DIV/0!</v>
      </c>
      <c r="CI23" s="1055"/>
      <c r="CJ23" s="3341">
        <f t="shared" si="39"/>
        <v>0</v>
      </c>
      <c r="CK23" s="3341">
        <f t="shared" si="39"/>
        <v>0</v>
      </c>
      <c r="CL23" s="3349">
        <f t="shared" si="55"/>
        <v>0</v>
      </c>
      <c r="CM23" s="4074">
        <f t="shared" si="40"/>
        <v>0</v>
      </c>
      <c r="CN23" s="1434"/>
      <c r="CP23" s="4186"/>
      <c r="CQ23" s="2012">
        <f t="shared" si="41"/>
        <v>0</v>
      </c>
      <c r="CR23" s="4188">
        <f t="shared" si="56"/>
        <v>0</v>
      </c>
      <c r="CT23" s="2624"/>
    </row>
    <row r="24" spans="1:100" s="1396" customFormat="1" ht="13.8" outlineLevel="2">
      <c r="A24" s="1571"/>
      <c r="B24" s="4075" t="s">
        <v>23</v>
      </c>
      <c r="C24" s="3341"/>
      <c r="D24" s="3341"/>
      <c r="E24" s="3349">
        <f t="shared" si="19"/>
        <v>0</v>
      </c>
      <c r="F24" s="4074" t="e">
        <f t="shared" si="16"/>
        <v>#DIV/0!</v>
      </c>
      <c r="G24" s="3342"/>
      <c r="H24" s="3341"/>
      <c r="I24" s="3341"/>
      <c r="J24" s="3349">
        <f t="shared" si="20"/>
        <v>0</v>
      </c>
      <c r="K24" s="4074" t="e">
        <f t="shared" si="42"/>
        <v>#DIV/0!</v>
      </c>
      <c r="L24" s="3342"/>
      <c r="M24" s="3341"/>
      <c r="N24" s="3341"/>
      <c r="O24" s="3349">
        <f t="shared" si="21"/>
        <v>0</v>
      </c>
      <c r="P24" s="4074" t="e">
        <f t="shared" si="22"/>
        <v>#DIV/0!</v>
      </c>
      <c r="Q24" s="3342"/>
      <c r="R24" s="3342">
        <f t="shared" si="23"/>
        <v>0</v>
      </c>
      <c r="S24" s="3342">
        <f t="shared" si="23"/>
        <v>0</v>
      </c>
      <c r="T24" s="2012">
        <f t="shared" si="24"/>
        <v>0</v>
      </c>
      <c r="U24" s="3342"/>
      <c r="V24" s="3342"/>
      <c r="W24" s="3342">
        <f t="shared" si="25"/>
        <v>0</v>
      </c>
      <c r="X24" s="3342">
        <f t="shared" si="25"/>
        <v>0</v>
      </c>
      <c r="Y24" s="2012">
        <f t="shared" si="26"/>
        <v>0</v>
      </c>
      <c r="Z24" s="3342"/>
      <c r="AA24" s="3342"/>
      <c r="AB24" s="3341"/>
      <c r="AC24" s="3341"/>
      <c r="AD24" s="3349">
        <f t="shared" si="27"/>
        <v>0</v>
      </c>
      <c r="AE24" s="4074" t="e">
        <f t="shared" si="43"/>
        <v>#DIV/0!</v>
      </c>
      <c r="AF24" s="3342"/>
      <c r="AG24" s="3341"/>
      <c r="AH24" s="3341"/>
      <c r="AI24" s="3349">
        <f t="shared" si="28"/>
        <v>0</v>
      </c>
      <c r="AJ24" s="4074">
        <f t="shared" si="44"/>
        <v>0</v>
      </c>
      <c r="AK24" s="3342"/>
      <c r="AL24" s="3341"/>
      <c r="AM24" s="3341"/>
      <c r="AN24" s="3349">
        <f t="shared" si="29"/>
        <v>0</v>
      </c>
      <c r="AO24" s="4074">
        <f t="shared" si="45"/>
        <v>0</v>
      </c>
      <c r="AP24" s="3342"/>
      <c r="AQ24" s="3341"/>
      <c r="AR24" s="3341"/>
      <c r="AS24" s="3349">
        <f t="shared" si="30"/>
        <v>0</v>
      </c>
      <c r="AT24" s="4074" t="e">
        <f t="shared" si="46"/>
        <v>#DIV/0!</v>
      </c>
      <c r="AU24" s="3342"/>
      <c r="AV24" s="3341"/>
      <c r="AW24" s="3341"/>
      <c r="AX24" s="3349">
        <f t="shared" si="31"/>
        <v>0</v>
      </c>
      <c r="AY24" s="4074" t="e">
        <f t="shared" si="47"/>
        <v>#DIV/0!</v>
      </c>
      <c r="AZ24" s="3342"/>
      <c r="BA24" s="3341"/>
      <c r="BB24" s="3341"/>
      <c r="BC24" s="3349">
        <f t="shared" si="32"/>
        <v>0</v>
      </c>
      <c r="BD24" s="4074" t="e">
        <f t="shared" si="48"/>
        <v>#DIV/0!</v>
      </c>
      <c r="BE24" s="3342"/>
      <c r="BF24" s="3341"/>
      <c r="BG24" s="3341"/>
      <c r="BH24" s="3349">
        <f t="shared" si="33"/>
        <v>0</v>
      </c>
      <c r="BI24" s="4074" t="e">
        <f t="shared" si="49"/>
        <v>#DIV/0!</v>
      </c>
      <c r="BJ24" s="3342"/>
      <c r="BK24" s="3341"/>
      <c r="BL24" s="3341"/>
      <c r="BM24" s="3349">
        <f t="shared" si="34"/>
        <v>0</v>
      </c>
      <c r="BN24" s="4074" t="e">
        <f t="shared" si="50"/>
        <v>#DIV/0!</v>
      </c>
      <c r="BO24" s="3342"/>
      <c r="BP24" s="3341"/>
      <c r="BQ24" s="3341"/>
      <c r="BR24" s="3349">
        <f t="shared" si="35"/>
        <v>0</v>
      </c>
      <c r="BS24" s="4074" t="e">
        <f t="shared" si="51"/>
        <v>#DIV/0!</v>
      </c>
      <c r="BT24" s="3342"/>
      <c r="BU24" s="3341"/>
      <c r="BV24" s="3341"/>
      <c r="BW24" s="3349">
        <f t="shared" si="36"/>
        <v>0</v>
      </c>
      <c r="BX24" s="4074" t="e">
        <f t="shared" si="52"/>
        <v>#DIV/0!</v>
      </c>
      <c r="BY24" s="3342"/>
      <c r="BZ24" s="3341"/>
      <c r="CA24" s="3341"/>
      <c r="CB24" s="3349">
        <f t="shared" si="37"/>
        <v>0</v>
      </c>
      <c r="CC24" s="4074" t="e">
        <f t="shared" si="53"/>
        <v>#DIV/0!</v>
      </c>
      <c r="CD24" s="3342"/>
      <c r="CE24" s="3341"/>
      <c r="CF24" s="3341"/>
      <c r="CG24" s="3349">
        <f t="shared" si="38"/>
        <v>0</v>
      </c>
      <c r="CH24" s="4074" t="e">
        <f t="shared" si="54"/>
        <v>#DIV/0!</v>
      </c>
      <c r="CI24" s="3342"/>
      <c r="CJ24" s="3341">
        <f t="shared" si="39"/>
        <v>0</v>
      </c>
      <c r="CK24" s="3341">
        <f t="shared" si="39"/>
        <v>0</v>
      </c>
      <c r="CL24" s="3349">
        <f t="shared" si="55"/>
        <v>0</v>
      </c>
      <c r="CM24" s="4074">
        <f t="shared" si="40"/>
        <v>0</v>
      </c>
      <c r="CN24" s="1434"/>
      <c r="CP24" s="4186"/>
      <c r="CQ24" s="2012">
        <f t="shared" si="41"/>
        <v>0</v>
      </c>
      <c r="CR24" s="4188">
        <f t="shared" si="56"/>
        <v>0</v>
      </c>
      <c r="CT24" s="2624"/>
    </row>
    <row r="25" spans="1:100" s="1396" customFormat="1" ht="52.8" outlineLevel="2">
      <c r="A25" s="1571"/>
      <c r="B25" s="4075" t="s">
        <v>24</v>
      </c>
      <c r="C25" s="3341"/>
      <c r="D25" s="3341"/>
      <c r="E25" s="3349">
        <f t="shared" si="19"/>
        <v>0</v>
      </c>
      <c r="F25" s="4074" t="e">
        <f t="shared" si="16"/>
        <v>#DIV/0!</v>
      </c>
      <c r="G25" s="3342"/>
      <c r="H25" s="3341"/>
      <c r="I25" s="3341"/>
      <c r="J25" s="3349">
        <f t="shared" si="20"/>
        <v>0</v>
      </c>
      <c r="K25" s="4074" t="e">
        <f t="shared" si="42"/>
        <v>#DIV/0!</v>
      </c>
      <c r="L25" s="3342"/>
      <c r="M25" s="3341"/>
      <c r="N25" s="3341"/>
      <c r="O25" s="3349">
        <f t="shared" si="21"/>
        <v>0</v>
      </c>
      <c r="P25" s="4074" t="e">
        <f t="shared" si="22"/>
        <v>#DIV/0!</v>
      </c>
      <c r="Q25" s="3342"/>
      <c r="R25" s="3342">
        <f t="shared" si="23"/>
        <v>0</v>
      </c>
      <c r="S25" s="3342">
        <f t="shared" si="23"/>
        <v>0</v>
      </c>
      <c r="T25" s="2012">
        <f t="shared" si="24"/>
        <v>0</v>
      </c>
      <c r="U25" s="3342"/>
      <c r="V25" s="3342"/>
      <c r="W25" s="3342">
        <f t="shared" si="25"/>
        <v>94521.044000000009</v>
      </c>
      <c r="X25" s="3342">
        <f t="shared" si="25"/>
        <v>0</v>
      </c>
      <c r="Y25" s="2012">
        <f t="shared" si="26"/>
        <v>94521.044000000009</v>
      </c>
      <c r="Z25" s="3342"/>
      <c r="AA25" s="3342"/>
      <c r="AB25" s="3341"/>
      <c r="AC25" s="3341"/>
      <c r="AD25" s="3349">
        <f t="shared" si="27"/>
        <v>0</v>
      </c>
      <c r="AE25" s="4074" t="e">
        <f t="shared" si="43"/>
        <v>#DIV/0!</v>
      </c>
      <c r="AF25" s="3342"/>
      <c r="AG25" s="3341">
        <v>2471.2399999999998</v>
      </c>
      <c r="AH25" s="3341"/>
      <c r="AI25" s="3349">
        <f t="shared" si="28"/>
        <v>2471.2399999999998</v>
      </c>
      <c r="AJ25" s="4074">
        <f t="shared" si="44"/>
        <v>1.3288986105010539E-2</v>
      </c>
      <c r="AK25" s="3342" t="s">
        <v>1949</v>
      </c>
      <c r="AL25" s="3341">
        <f>90584.004+1465.8</f>
        <v>92049.804000000004</v>
      </c>
      <c r="AM25" s="3341"/>
      <c r="AN25" s="3349">
        <f t="shared" si="29"/>
        <v>92049.804000000004</v>
      </c>
      <c r="AO25" s="4074">
        <f t="shared" si="45"/>
        <v>0.37665099008261416</v>
      </c>
      <c r="AP25" s="3409" t="s">
        <v>2000</v>
      </c>
      <c r="AQ25" s="3341"/>
      <c r="AR25" s="3341"/>
      <c r="AS25" s="3349">
        <f t="shared" si="30"/>
        <v>0</v>
      </c>
      <c r="AT25" s="4074" t="e">
        <f t="shared" si="46"/>
        <v>#DIV/0!</v>
      </c>
      <c r="AU25" s="3342"/>
      <c r="AV25" s="3341"/>
      <c r="AW25" s="3341"/>
      <c r="AX25" s="3349">
        <f t="shared" si="31"/>
        <v>0</v>
      </c>
      <c r="AY25" s="4074" t="e">
        <f t="shared" si="47"/>
        <v>#DIV/0!</v>
      </c>
      <c r="AZ25" s="3342"/>
      <c r="BA25" s="3341"/>
      <c r="BB25" s="3341"/>
      <c r="BC25" s="3349">
        <f t="shared" si="32"/>
        <v>0</v>
      </c>
      <c r="BD25" s="4074" t="e">
        <f t="shared" si="48"/>
        <v>#DIV/0!</v>
      </c>
      <c r="BE25" s="3342"/>
      <c r="BF25" s="3341"/>
      <c r="BG25" s="3341"/>
      <c r="BH25" s="3349">
        <f t="shared" si="33"/>
        <v>0</v>
      </c>
      <c r="BI25" s="4074" t="e">
        <f t="shared" si="49"/>
        <v>#DIV/0!</v>
      </c>
      <c r="BJ25" s="3342"/>
      <c r="BK25" s="3341"/>
      <c r="BL25" s="3341"/>
      <c r="BM25" s="3349">
        <f t="shared" si="34"/>
        <v>0</v>
      </c>
      <c r="BN25" s="4074" t="e">
        <f t="shared" si="50"/>
        <v>#DIV/0!</v>
      </c>
      <c r="BO25" s="3342"/>
      <c r="BP25" s="3341"/>
      <c r="BQ25" s="3341"/>
      <c r="BR25" s="3349">
        <f t="shared" si="35"/>
        <v>0</v>
      </c>
      <c r="BS25" s="4074" t="e">
        <f t="shared" si="51"/>
        <v>#DIV/0!</v>
      </c>
      <c r="BT25" s="3342"/>
      <c r="BU25" s="3341"/>
      <c r="BV25" s="3341"/>
      <c r="BW25" s="3349">
        <f t="shared" si="36"/>
        <v>0</v>
      </c>
      <c r="BX25" s="4074" t="e">
        <f t="shared" si="52"/>
        <v>#DIV/0!</v>
      </c>
      <c r="BY25" s="3342"/>
      <c r="BZ25" s="3341"/>
      <c r="CA25" s="3341"/>
      <c r="CB25" s="3349">
        <f t="shared" si="37"/>
        <v>0</v>
      </c>
      <c r="CC25" s="4074" t="e">
        <f t="shared" si="53"/>
        <v>#DIV/0!</v>
      </c>
      <c r="CD25" s="3342"/>
      <c r="CE25" s="3341"/>
      <c r="CF25" s="3341"/>
      <c r="CG25" s="3349">
        <f t="shared" si="38"/>
        <v>0</v>
      </c>
      <c r="CH25" s="4074" t="e">
        <f t="shared" si="54"/>
        <v>#DIV/0!</v>
      </c>
      <c r="CI25" s="3342"/>
      <c r="CJ25" s="3341">
        <f t="shared" si="39"/>
        <v>94521.044000000009</v>
      </c>
      <c r="CK25" s="3341">
        <f t="shared" si="39"/>
        <v>0</v>
      </c>
      <c r="CL25" s="3349">
        <f t="shared" si="55"/>
        <v>94521.044000000009</v>
      </c>
      <c r="CM25" s="4074">
        <f t="shared" si="40"/>
        <v>0.21963674010178175</v>
      </c>
      <c r="CN25" s="1434"/>
      <c r="CP25" s="4186">
        <v>84125.990831999996</v>
      </c>
      <c r="CQ25" s="2012">
        <f t="shared" si="41"/>
        <v>94521.044000000009</v>
      </c>
      <c r="CR25" s="4188">
        <f t="shared" si="56"/>
        <v>-10395.053168000013</v>
      </c>
      <c r="CS25" s="3307"/>
      <c r="CT25" s="4058">
        <f>CR25/CP25</f>
        <v>-0.12356529849091447</v>
      </c>
    </row>
    <row r="26" spans="1:100" s="1396" customFormat="1" ht="13.8" outlineLevel="2">
      <c r="A26" s="1571"/>
      <c r="B26" s="4075" t="s">
        <v>45</v>
      </c>
      <c r="C26" s="3341"/>
      <c r="D26" s="3341"/>
      <c r="E26" s="3349">
        <f t="shared" si="19"/>
        <v>0</v>
      </c>
      <c r="F26" s="4074" t="e">
        <f t="shared" si="16"/>
        <v>#DIV/0!</v>
      </c>
      <c r="G26" s="3342"/>
      <c r="H26" s="3341"/>
      <c r="I26" s="3341"/>
      <c r="J26" s="3349">
        <f t="shared" si="20"/>
        <v>0</v>
      </c>
      <c r="K26" s="4074" t="e">
        <f t="shared" si="42"/>
        <v>#DIV/0!</v>
      </c>
      <c r="L26" s="3342"/>
      <c r="M26" s="3341"/>
      <c r="N26" s="3341"/>
      <c r="O26" s="3349">
        <f t="shared" si="21"/>
        <v>0</v>
      </c>
      <c r="P26" s="4074" t="e">
        <f t="shared" si="22"/>
        <v>#DIV/0!</v>
      </c>
      <c r="Q26" s="3342"/>
      <c r="R26" s="3342">
        <f t="shared" si="23"/>
        <v>0</v>
      </c>
      <c r="S26" s="3342">
        <f t="shared" si="23"/>
        <v>0</v>
      </c>
      <c r="T26" s="2012">
        <f t="shared" si="24"/>
        <v>0</v>
      </c>
      <c r="U26" s="3342"/>
      <c r="V26" s="3342"/>
      <c r="W26" s="3342">
        <f t="shared" si="25"/>
        <v>0</v>
      </c>
      <c r="X26" s="3342">
        <f t="shared" si="25"/>
        <v>0</v>
      </c>
      <c r="Y26" s="2012">
        <f t="shared" si="26"/>
        <v>0</v>
      </c>
      <c r="Z26" s="3342"/>
      <c r="AA26" s="3342"/>
      <c r="AB26" s="3341"/>
      <c r="AC26" s="3341"/>
      <c r="AD26" s="3349">
        <f t="shared" si="27"/>
        <v>0</v>
      </c>
      <c r="AE26" s="4074" t="e">
        <f t="shared" si="43"/>
        <v>#DIV/0!</v>
      </c>
      <c r="AF26" s="3342"/>
      <c r="AG26" s="3341"/>
      <c r="AH26" s="3341"/>
      <c r="AI26" s="3349">
        <f t="shared" si="28"/>
        <v>0</v>
      </c>
      <c r="AJ26" s="4074">
        <f t="shared" si="44"/>
        <v>0</v>
      </c>
      <c r="AK26" s="3342"/>
      <c r="AL26" s="3341"/>
      <c r="AM26" s="3341"/>
      <c r="AN26" s="3349">
        <f t="shared" si="29"/>
        <v>0</v>
      </c>
      <c r="AO26" s="4074">
        <f t="shared" si="45"/>
        <v>0</v>
      </c>
      <c r="AP26" s="3342"/>
      <c r="AQ26" s="3341"/>
      <c r="AR26" s="3341"/>
      <c r="AS26" s="3349">
        <f t="shared" si="30"/>
        <v>0</v>
      </c>
      <c r="AT26" s="4074" t="e">
        <f t="shared" si="46"/>
        <v>#DIV/0!</v>
      </c>
      <c r="AU26" s="3342"/>
      <c r="AV26" s="3341"/>
      <c r="AW26" s="3341"/>
      <c r="AX26" s="3349">
        <f t="shared" si="31"/>
        <v>0</v>
      </c>
      <c r="AY26" s="4074" t="e">
        <f t="shared" si="47"/>
        <v>#DIV/0!</v>
      </c>
      <c r="AZ26" s="3342"/>
      <c r="BA26" s="3341"/>
      <c r="BB26" s="3341"/>
      <c r="BC26" s="3349">
        <f t="shared" si="32"/>
        <v>0</v>
      </c>
      <c r="BD26" s="4074" t="e">
        <f t="shared" si="48"/>
        <v>#DIV/0!</v>
      </c>
      <c r="BE26" s="3342"/>
      <c r="BF26" s="3341"/>
      <c r="BG26" s="3341"/>
      <c r="BH26" s="3349">
        <f t="shared" si="33"/>
        <v>0</v>
      </c>
      <c r="BI26" s="4074" t="e">
        <f t="shared" si="49"/>
        <v>#DIV/0!</v>
      </c>
      <c r="BJ26" s="3342"/>
      <c r="BK26" s="3341"/>
      <c r="BL26" s="3341"/>
      <c r="BM26" s="3349">
        <f t="shared" si="34"/>
        <v>0</v>
      </c>
      <c r="BN26" s="4074" t="e">
        <f t="shared" si="50"/>
        <v>#DIV/0!</v>
      </c>
      <c r="BO26" s="3342"/>
      <c r="BP26" s="3341"/>
      <c r="BQ26" s="3341"/>
      <c r="BR26" s="3349">
        <f t="shared" si="35"/>
        <v>0</v>
      </c>
      <c r="BS26" s="4074" t="e">
        <f t="shared" si="51"/>
        <v>#DIV/0!</v>
      </c>
      <c r="BT26" s="3342"/>
      <c r="BU26" s="3341"/>
      <c r="BV26" s="3341"/>
      <c r="BW26" s="3349">
        <f t="shared" si="36"/>
        <v>0</v>
      </c>
      <c r="BX26" s="4074" t="e">
        <f t="shared" si="52"/>
        <v>#DIV/0!</v>
      </c>
      <c r="BY26" s="3342"/>
      <c r="BZ26" s="3341"/>
      <c r="CA26" s="3341"/>
      <c r="CB26" s="3349">
        <f t="shared" si="37"/>
        <v>0</v>
      </c>
      <c r="CC26" s="4074" t="e">
        <f t="shared" si="53"/>
        <v>#DIV/0!</v>
      </c>
      <c r="CD26" s="3342"/>
      <c r="CE26" s="3341"/>
      <c r="CF26" s="3341"/>
      <c r="CG26" s="3349">
        <f t="shared" si="38"/>
        <v>0</v>
      </c>
      <c r="CH26" s="4074" t="e">
        <f t="shared" si="54"/>
        <v>#DIV/0!</v>
      </c>
      <c r="CI26" s="3342"/>
      <c r="CJ26" s="3341">
        <f t="shared" si="39"/>
        <v>0</v>
      </c>
      <c r="CK26" s="3341">
        <f t="shared" si="39"/>
        <v>0</v>
      </c>
      <c r="CL26" s="3349">
        <f t="shared" si="55"/>
        <v>0</v>
      </c>
      <c r="CM26" s="4074">
        <f t="shared" si="40"/>
        <v>0</v>
      </c>
      <c r="CN26" s="1434"/>
      <c r="CP26" s="4186"/>
      <c r="CQ26" s="2012"/>
      <c r="CR26" s="4188">
        <f t="shared" si="56"/>
        <v>0</v>
      </c>
      <c r="CT26" s="2624"/>
    </row>
    <row r="27" spans="1:100" s="1396" customFormat="1" ht="13.8" outlineLevel="2">
      <c r="A27" s="1571"/>
      <c r="B27" s="4075" t="s">
        <v>25</v>
      </c>
      <c r="C27" s="3341"/>
      <c r="D27" s="3341"/>
      <c r="E27" s="3349">
        <f t="shared" si="19"/>
        <v>0</v>
      </c>
      <c r="F27" s="4074" t="e">
        <f t="shared" si="16"/>
        <v>#DIV/0!</v>
      </c>
      <c r="G27" s="3342"/>
      <c r="H27" s="3341"/>
      <c r="I27" s="3341"/>
      <c r="J27" s="3349">
        <f t="shared" si="20"/>
        <v>0</v>
      </c>
      <c r="K27" s="4074" t="e">
        <f t="shared" si="42"/>
        <v>#DIV/0!</v>
      </c>
      <c r="L27" s="3342"/>
      <c r="M27" s="3341"/>
      <c r="N27" s="3341"/>
      <c r="O27" s="3349">
        <f t="shared" si="21"/>
        <v>0</v>
      </c>
      <c r="P27" s="4074" t="e">
        <f t="shared" si="22"/>
        <v>#DIV/0!</v>
      </c>
      <c r="Q27" s="3342"/>
      <c r="R27" s="3342">
        <f t="shared" si="23"/>
        <v>0</v>
      </c>
      <c r="S27" s="3342">
        <f t="shared" si="23"/>
        <v>0</v>
      </c>
      <c r="T27" s="2012">
        <f t="shared" si="24"/>
        <v>0</v>
      </c>
      <c r="U27" s="3342"/>
      <c r="V27" s="3342"/>
      <c r="W27" s="3342">
        <f t="shared" si="25"/>
        <v>0</v>
      </c>
      <c r="X27" s="3342">
        <f t="shared" si="25"/>
        <v>0</v>
      </c>
      <c r="Y27" s="2012">
        <f t="shared" si="26"/>
        <v>0</v>
      </c>
      <c r="Z27" s="3342"/>
      <c r="AA27" s="3342"/>
      <c r="AB27" s="3341"/>
      <c r="AC27" s="3341"/>
      <c r="AD27" s="3349">
        <f t="shared" si="27"/>
        <v>0</v>
      </c>
      <c r="AE27" s="4074" t="e">
        <f t="shared" si="43"/>
        <v>#DIV/0!</v>
      </c>
      <c r="AF27" s="3342"/>
      <c r="AG27" s="3341"/>
      <c r="AH27" s="3341"/>
      <c r="AI27" s="3349">
        <f t="shared" si="28"/>
        <v>0</v>
      </c>
      <c r="AJ27" s="4074">
        <f t="shared" si="44"/>
        <v>0</v>
      </c>
      <c r="AK27" s="3342"/>
      <c r="AL27" s="3341"/>
      <c r="AM27" s="3341"/>
      <c r="AN27" s="3349">
        <f t="shared" si="29"/>
        <v>0</v>
      </c>
      <c r="AO27" s="4074">
        <f t="shared" si="45"/>
        <v>0</v>
      </c>
      <c r="AP27" s="3342"/>
      <c r="AQ27" s="3341"/>
      <c r="AR27" s="3341"/>
      <c r="AS27" s="3349">
        <f t="shared" si="30"/>
        <v>0</v>
      </c>
      <c r="AT27" s="4074" t="e">
        <f t="shared" si="46"/>
        <v>#DIV/0!</v>
      </c>
      <c r="AU27" s="3342"/>
      <c r="AV27" s="3341"/>
      <c r="AW27" s="3341"/>
      <c r="AX27" s="3349">
        <f t="shared" si="31"/>
        <v>0</v>
      </c>
      <c r="AY27" s="4074" t="e">
        <f t="shared" si="47"/>
        <v>#DIV/0!</v>
      </c>
      <c r="AZ27" s="3342"/>
      <c r="BA27" s="3341"/>
      <c r="BB27" s="3341"/>
      <c r="BC27" s="3349">
        <f t="shared" si="32"/>
        <v>0</v>
      </c>
      <c r="BD27" s="4074" t="e">
        <f t="shared" si="48"/>
        <v>#DIV/0!</v>
      </c>
      <c r="BE27" s="3342"/>
      <c r="BF27" s="3341"/>
      <c r="BG27" s="3341"/>
      <c r="BH27" s="3349">
        <f t="shared" si="33"/>
        <v>0</v>
      </c>
      <c r="BI27" s="4074" t="e">
        <f t="shared" si="49"/>
        <v>#DIV/0!</v>
      </c>
      <c r="BJ27" s="3342"/>
      <c r="BK27" s="3341"/>
      <c r="BL27" s="3341"/>
      <c r="BM27" s="3349">
        <f t="shared" si="34"/>
        <v>0</v>
      </c>
      <c r="BN27" s="4074" t="e">
        <f t="shared" si="50"/>
        <v>#DIV/0!</v>
      </c>
      <c r="BO27" s="3342"/>
      <c r="BP27" s="3341"/>
      <c r="BQ27" s="3341"/>
      <c r="BR27" s="3349">
        <f t="shared" si="35"/>
        <v>0</v>
      </c>
      <c r="BS27" s="4074" t="e">
        <f t="shared" si="51"/>
        <v>#DIV/0!</v>
      </c>
      <c r="BT27" s="3342"/>
      <c r="BU27" s="3341"/>
      <c r="BV27" s="3341"/>
      <c r="BW27" s="3349">
        <f t="shared" si="36"/>
        <v>0</v>
      </c>
      <c r="BX27" s="4074" t="e">
        <f t="shared" si="52"/>
        <v>#DIV/0!</v>
      </c>
      <c r="BY27" s="3342"/>
      <c r="BZ27" s="3341"/>
      <c r="CA27" s="3341"/>
      <c r="CB27" s="3349">
        <f t="shared" si="37"/>
        <v>0</v>
      </c>
      <c r="CC27" s="4074" t="e">
        <f t="shared" si="53"/>
        <v>#DIV/0!</v>
      </c>
      <c r="CD27" s="3342"/>
      <c r="CE27" s="3341"/>
      <c r="CF27" s="3341"/>
      <c r="CG27" s="3349">
        <f t="shared" si="38"/>
        <v>0</v>
      </c>
      <c r="CH27" s="4074" t="e">
        <f t="shared" si="54"/>
        <v>#DIV/0!</v>
      </c>
      <c r="CI27" s="3342"/>
      <c r="CJ27" s="3341">
        <f t="shared" si="39"/>
        <v>0</v>
      </c>
      <c r="CK27" s="3341">
        <f t="shared" si="39"/>
        <v>0</v>
      </c>
      <c r="CL27" s="3349">
        <f t="shared" si="55"/>
        <v>0</v>
      </c>
      <c r="CM27" s="4074">
        <f t="shared" si="40"/>
        <v>0</v>
      </c>
      <c r="CN27" s="1434"/>
      <c r="CP27" s="4186"/>
      <c r="CQ27" s="2012">
        <f t="shared" si="41"/>
        <v>0</v>
      </c>
      <c r="CR27" s="4188">
        <f t="shared" si="56"/>
        <v>0</v>
      </c>
      <c r="CS27" s="3307"/>
      <c r="CT27" s="3443"/>
    </row>
    <row r="28" spans="1:100" s="1396" customFormat="1" ht="13.8" outlineLevel="2">
      <c r="A28" s="1571"/>
      <c r="B28" s="4075" t="s">
        <v>52</v>
      </c>
      <c r="C28" s="3341"/>
      <c r="D28" s="3341"/>
      <c r="E28" s="3349">
        <f t="shared" si="19"/>
        <v>0</v>
      </c>
      <c r="F28" s="4074" t="e">
        <f t="shared" si="16"/>
        <v>#DIV/0!</v>
      </c>
      <c r="G28" s="3342"/>
      <c r="H28" s="3341"/>
      <c r="I28" s="3341"/>
      <c r="J28" s="3349">
        <f t="shared" si="20"/>
        <v>0</v>
      </c>
      <c r="K28" s="4074" t="e">
        <f t="shared" si="42"/>
        <v>#DIV/0!</v>
      </c>
      <c r="L28" s="3342"/>
      <c r="M28" s="3341"/>
      <c r="N28" s="3341"/>
      <c r="O28" s="3349">
        <f t="shared" si="21"/>
        <v>0</v>
      </c>
      <c r="P28" s="4074" t="e">
        <f t="shared" si="22"/>
        <v>#DIV/0!</v>
      </c>
      <c r="Q28" s="3409"/>
      <c r="R28" s="3342">
        <f t="shared" si="23"/>
        <v>0</v>
      </c>
      <c r="S28" s="3342">
        <f t="shared" si="23"/>
        <v>0</v>
      </c>
      <c r="T28" s="2012">
        <f t="shared" si="24"/>
        <v>0</v>
      </c>
      <c r="U28" s="3409"/>
      <c r="V28" s="3409"/>
      <c r="W28" s="3342">
        <f t="shared" si="25"/>
        <v>0</v>
      </c>
      <c r="X28" s="3342">
        <f t="shared" si="25"/>
        <v>0</v>
      </c>
      <c r="Y28" s="2012">
        <f t="shared" si="26"/>
        <v>0</v>
      </c>
      <c r="Z28" s="3409"/>
      <c r="AA28" s="3409"/>
      <c r="AB28" s="3341"/>
      <c r="AC28" s="3341"/>
      <c r="AD28" s="3349">
        <f t="shared" si="27"/>
        <v>0</v>
      </c>
      <c r="AE28" s="4074" t="e">
        <f t="shared" si="43"/>
        <v>#DIV/0!</v>
      </c>
      <c r="AF28" s="3409"/>
      <c r="AG28" s="3341"/>
      <c r="AH28" s="3341"/>
      <c r="AI28" s="3349">
        <f t="shared" si="28"/>
        <v>0</v>
      </c>
      <c r="AJ28" s="4074">
        <f t="shared" si="44"/>
        <v>0</v>
      </c>
      <c r="AK28" s="3409"/>
      <c r="AL28" s="3341"/>
      <c r="AM28" s="3341"/>
      <c r="AN28" s="3349">
        <f t="shared" si="29"/>
        <v>0</v>
      </c>
      <c r="AO28" s="4074">
        <f t="shared" si="45"/>
        <v>0</v>
      </c>
      <c r="AP28" s="3409"/>
      <c r="AQ28" s="3341"/>
      <c r="AR28" s="3341"/>
      <c r="AS28" s="3349">
        <f t="shared" si="30"/>
        <v>0</v>
      </c>
      <c r="AT28" s="4074" t="e">
        <f t="shared" si="46"/>
        <v>#DIV/0!</v>
      </c>
      <c r="AU28" s="3409"/>
      <c r="AV28" s="3341"/>
      <c r="AW28" s="3341"/>
      <c r="AX28" s="3349">
        <f t="shared" si="31"/>
        <v>0</v>
      </c>
      <c r="AY28" s="4074" t="e">
        <f t="shared" si="47"/>
        <v>#DIV/0!</v>
      </c>
      <c r="AZ28" s="3409"/>
      <c r="BA28" s="3341"/>
      <c r="BB28" s="3341"/>
      <c r="BC28" s="3349">
        <f t="shared" si="32"/>
        <v>0</v>
      </c>
      <c r="BD28" s="4074" t="e">
        <f t="shared" si="48"/>
        <v>#DIV/0!</v>
      </c>
      <c r="BE28" s="3409"/>
      <c r="BF28" s="3341"/>
      <c r="BG28" s="3341"/>
      <c r="BH28" s="3349">
        <f t="shared" si="33"/>
        <v>0</v>
      </c>
      <c r="BI28" s="4074" t="e">
        <f t="shared" si="49"/>
        <v>#DIV/0!</v>
      </c>
      <c r="BJ28" s="3409"/>
      <c r="BK28" s="3341"/>
      <c r="BL28" s="3341"/>
      <c r="BM28" s="3349">
        <f t="shared" si="34"/>
        <v>0</v>
      </c>
      <c r="BN28" s="4074" t="e">
        <f t="shared" si="50"/>
        <v>#DIV/0!</v>
      </c>
      <c r="BO28" s="3409"/>
      <c r="BP28" s="3341"/>
      <c r="BQ28" s="3341"/>
      <c r="BR28" s="3349">
        <f t="shared" si="35"/>
        <v>0</v>
      </c>
      <c r="BS28" s="4074" t="e">
        <f t="shared" si="51"/>
        <v>#DIV/0!</v>
      </c>
      <c r="BT28" s="3409"/>
      <c r="BU28" s="3341"/>
      <c r="BV28" s="3341"/>
      <c r="BW28" s="3349">
        <f t="shared" si="36"/>
        <v>0</v>
      </c>
      <c r="BX28" s="4074" t="e">
        <f t="shared" si="52"/>
        <v>#DIV/0!</v>
      </c>
      <c r="BY28" s="3409"/>
      <c r="BZ28" s="3341"/>
      <c r="CA28" s="3341"/>
      <c r="CB28" s="3349">
        <f t="shared" si="37"/>
        <v>0</v>
      </c>
      <c r="CC28" s="4074" t="e">
        <f t="shared" si="53"/>
        <v>#DIV/0!</v>
      </c>
      <c r="CD28" s="3409"/>
      <c r="CE28" s="3341"/>
      <c r="CF28" s="3341"/>
      <c r="CG28" s="3349">
        <f t="shared" si="38"/>
        <v>0</v>
      </c>
      <c r="CH28" s="4074" t="e">
        <f t="shared" si="54"/>
        <v>#DIV/0!</v>
      </c>
      <c r="CI28" s="3409"/>
      <c r="CJ28" s="3341">
        <f t="shared" si="39"/>
        <v>0</v>
      </c>
      <c r="CK28" s="3341">
        <f t="shared" si="39"/>
        <v>0</v>
      </c>
      <c r="CL28" s="3349">
        <f t="shared" si="55"/>
        <v>0</v>
      </c>
      <c r="CM28" s="4074">
        <f t="shared" si="40"/>
        <v>0</v>
      </c>
      <c r="CN28" s="1434"/>
      <c r="CP28" s="4186"/>
      <c r="CQ28" s="2012">
        <f t="shared" si="41"/>
        <v>0</v>
      </c>
      <c r="CR28" s="4188">
        <f t="shared" si="56"/>
        <v>0</v>
      </c>
      <c r="CS28" s="3307"/>
      <c r="CT28" s="3443"/>
    </row>
    <row r="29" spans="1:100" s="1396" customFormat="1" ht="13.8" outlineLevel="2">
      <c r="A29" s="1571"/>
      <c r="B29" s="4075" t="s">
        <v>31</v>
      </c>
      <c r="C29" s="3341"/>
      <c r="D29" s="3341"/>
      <c r="E29" s="3349">
        <f t="shared" si="19"/>
        <v>0</v>
      </c>
      <c r="F29" s="4074" t="e">
        <f t="shared" si="16"/>
        <v>#DIV/0!</v>
      </c>
      <c r="G29" s="3342"/>
      <c r="H29" s="3341"/>
      <c r="I29" s="3341"/>
      <c r="J29" s="3349">
        <f t="shared" si="20"/>
        <v>0</v>
      </c>
      <c r="K29" s="4074" t="e">
        <f t="shared" si="42"/>
        <v>#DIV/0!</v>
      </c>
      <c r="L29" s="3342"/>
      <c r="M29" s="3341"/>
      <c r="N29" s="3341"/>
      <c r="O29" s="3349">
        <f t="shared" si="21"/>
        <v>0</v>
      </c>
      <c r="P29" s="4074" t="e">
        <f t="shared" si="22"/>
        <v>#DIV/0!</v>
      </c>
      <c r="Q29" s="3342"/>
      <c r="R29" s="3342">
        <f t="shared" si="23"/>
        <v>0</v>
      </c>
      <c r="S29" s="3342">
        <f t="shared" si="23"/>
        <v>0</v>
      </c>
      <c r="T29" s="2012">
        <f t="shared" si="24"/>
        <v>0</v>
      </c>
      <c r="U29" s="3342"/>
      <c r="V29" s="3342"/>
      <c r="W29" s="3342">
        <f t="shared" si="25"/>
        <v>0</v>
      </c>
      <c r="X29" s="3342">
        <f t="shared" si="25"/>
        <v>0</v>
      </c>
      <c r="Y29" s="2012">
        <f t="shared" si="26"/>
        <v>0</v>
      </c>
      <c r="Z29" s="3342"/>
      <c r="AA29" s="3342"/>
      <c r="AB29" s="3341"/>
      <c r="AC29" s="3341"/>
      <c r="AD29" s="3349">
        <f t="shared" si="27"/>
        <v>0</v>
      </c>
      <c r="AE29" s="4074" t="e">
        <f t="shared" si="43"/>
        <v>#DIV/0!</v>
      </c>
      <c r="AF29" s="3342"/>
      <c r="AG29" s="3341"/>
      <c r="AH29" s="3341"/>
      <c r="AI29" s="3349">
        <f t="shared" si="28"/>
        <v>0</v>
      </c>
      <c r="AJ29" s="4074">
        <f t="shared" si="44"/>
        <v>0</v>
      </c>
      <c r="AK29" s="3342"/>
      <c r="AL29" s="3341"/>
      <c r="AM29" s="3341"/>
      <c r="AN29" s="3349">
        <f t="shared" si="29"/>
        <v>0</v>
      </c>
      <c r="AO29" s="4074">
        <f t="shared" si="45"/>
        <v>0</v>
      </c>
      <c r="AP29" s="3342"/>
      <c r="AQ29" s="3341"/>
      <c r="AR29" s="3341"/>
      <c r="AS29" s="3349">
        <f t="shared" si="30"/>
        <v>0</v>
      </c>
      <c r="AT29" s="4074" t="e">
        <f t="shared" si="46"/>
        <v>#DIV/0!</v>
      </c>
      <c r="AU29" s="3342"/>
      <c r="AV29" s="3341"/>
      <c r="AW29" s="3341"/>
      <c r="AX29" s="3349">
        <f t="shared" si="31"/>
        <v>0</v>
      </c>
      <c r="AY29" s="4074" t="e">
        <f t="shared" si="47"/>
        <v>#DIV/0!</v>
      </c>
      <c r="AZ29" s="3342"/>
      <c r="BA29" s="3341"/>
      <c r="BB29" s="3341"/>
      <c r="BC29" s="3349">
        <f t="shared" si="32"/>
        <v>0</v>
      </c>
      <c r="BD29" s="4074" t="e">
        <f t="shared" si="48"/>
        <v>#DIV/0!</v>
      </c>
      <c r="BE29" s="3342"/>
      <c r="BF29" s="3341"/>
      <c r="BG29" s="3341"/>
      <c r="BH29" s="3349">
        <f t="shared" si="33"/>
        <v>0</v>
      </c>
      <c r="BI29" s="4074" t="e">
        <f t="shared" si="49"/>
        <v>#DIV/0!</v>
      </c>
      <c r="BJ29" s="3342"/>
      <c r="BK29" s="3341"/>
      <c r="BL29" s="3341"/>
      <c r="BM29" s="3349">
        <f t="shared" si="34"/>
        <v>0</v>
      </c>
      <c r="BN29" s="4074" t="e">
        <f t="shared" si="50"/>
        <v>#DIV/0!</v>
      </c>
      <c r="BO29" s="3342"/>
      <c r="BP29" s="3341"/>
      <c r="BQ29" s="3341"/>
      <c r="BR29" s="3349">
        <f t="shared" si="35"/>
        <v>0</v>
      </c>
      <c r="BS29" s="4074" t="e">
        <f t="shared" si="51"/>
        <v>#DIV/0!</v>
      </c>
      <c r="BT29" s="3342"/>
      <c r="BU29" s="3341"/>
      <c r="BV29" s="3341"/>
      <c r="BW29" s="3349">
        <f t="shared" si="36"/>
        <v>0</v>
      </c>
      <c r="BX29" s="4074" t="e">
        <f t="shared" si="52"/>
        <v>#DIV/0!</v>
      </c>
      <c r="BY29" s="3342"/>
      <c r="BZ29" s="3341"/>
      <c r="CA29" s="3341"/>
      <c r="CB29" s="3349">
        <f t="shared" si="37"/>
        <v>0</v>
      </c>
      <c r="CC29" s="4074" t="e">
        <f t="shared" si="53"/>
        <v>#DIV/0!</v>
      </c>
      <c r="CD29" s="3342"/>
      <c r="CE29" s="3341"/>
      <c r="CF29" s="3341"/>
      <c r="CG29" s="3349">
        <f t="shared" si="38"/>
        <v>0</v>
      </c>
      <c r="CH29" s="4074" t="e">
        <f t="shared" si="54"/>
        <v>#DIV/0!</v>
      </c>
      <c r="CI29" s="3342"/>
      <c r="CJ29" s="3341">
        <f t="shared" si="39"/>
        <v>0</v>
      </c>
      <c r="CK29" s="3341">
        <f t="shared" si="39"/>
        <v>0</v>
      </c>
      <c r="CL29" s="3349">
        <f t="shared" si="55"/>
        <v>0</v>
      </c>
      <c r="CM29" s="4074">
        <f t="shared" si="40"/>
        <v>0</v>
      </c>
      <c r="CN29" s="4076"/>
      <c r="CP29" s="4186"/>
      <c r="CQ29" s="2012">
        <f t="shared" si="41"/>
        <v>0</v>
      </c>
      <c r="CR29" s="4188">
        <f t="shared" si="56"/>
        <v>0</v>
      </c>
      <c r="CT29" s="2624"/>
    </row>
    <row r="30" spans="1:100" s="1396" customFormat="1" ht="13.8" outlineLevel="2">
      <c r="A30" s="1571"/>
      <c r="B30" s="4075" t="s">
        <v>62</v>
      </c>
      <c r="C30" s="3341"/>
      <c r="D30" s="3341"/>
      <c r="E30" s="3349">
        <f t="shared" si="19"/>
        <v>0</v>
      </c>
      <c r="F30" s="4074" t="e">
        <f t="shared" si="16"/>
        <v>#DIV/0!</v>
      </c>
      <c r="G30" s="3343"/>
      <c r="H30" s="3341"/>
      <c r="I30" s="3341"/>
      <c r="J30" s="3349">
        <f t="shared" si="20"/>
        <v>0</v>
      </c>
      <c r="K30" s="4074" t="e">
        <f t="shared" si="42"/>
        <v>#DIV/0!</v>
      </c>
      <c r="L30" s="3343"/>
      <c r="M30" s="3341"/>
      <c r="N30" s="3341"/>
      <c r="O30" s="3349">
        <f t="shared" si="21"/>
        <v>0</v>
      </c>
      <c r="P30" s="4074" t="e">
        <f t="shared" si="22"/>
        <v>#DIV/0!</v>
      </c>
      <c r="Q30" s="3342"/>
      <c r="R30" s="3342">
        <f t="shared" si="23"/>
        <v>0</v>
      </c>
      <c r="S30" s="3342">
        <f t="shared" si="23"/>
        <v>0</v>
      </c>
      <c r="T30" s="2012">
        <f t="shared" si="24"/>
        <v>0</v>
      </c>
      <c r="U30" s="3342"/>
      <c r="V30" s="3342"/>
      <c r="W30" s="3342">
        <f t="shared" si="25"/>
        <v>0</v>
      </c>
      <c r="X30" s="3342">
        <f t="shared" si="25"/>
        <v>0</v>
      </c>
      <c r="Y30" s="2012">
        <f t="shared" si="26"/>
        <v>0</v>
      </c>
      <c r="Z30" s="3342"/>
      <c r="AA30" s="3342"/>
      <c r="AB30" s="3341"/>
      <c r="AC30" s="3341"/>
      <c r="AD30" s="3349">
        <f t="shared" si="27"/>
        <v>0</v>
      </c>
      <c r="AE30" s="4074" t="e">
        <f t="shared" si="43"/>
        <v>#DIV/0!</v>
      </c>
      <c r="AF30" s="3342"/>
      <c r="AG30" s="3341"/>
      <c r="AH30" s="3341"/>
      <c r="AI30" s="3349">
        <f t="shared" si="28"/>
        <v>0</v>
      </c>
      <c r="AJ30" s="4074">
        <f t="shared" si="44"/>
        <v>0</v>
      </c>
      <c r="AK30" s="3342"/>
      <c r="AL30" s="3341"/>
      <c r="AM30" s="3341"/>
      <c r="AN30" s="3349">
        <f t="shared" si="29"/>
        <v>0</v>
      </c>
      <c r="AO30" s="4074">
        <f t="shared" si="45"/>
        <v>0</v>
      </c>
      <c r="AP30" s="3342"/>
      <c r="AQ30" s="3341"/>
      <c r="AR30" s="3341"/>
      <c r="AS30" s="3349">
        <f t="shared" si="30"/>
        <v>0</v>
      </c>
      <c r="AT30" s="4074" t="e">
        <f t="shared" si="46"/>
        <v>#DIV/0!</v>
      </c>
      <c r="AU30" s="3342"/>
      <c r="AV30" s="3341"/>
      <c r="AW30" s="3341"/>
      <c r="AX30" s="3349">
        <f t="shared" si="31"/>
        <v>0</v>
      </c>
      <c r="AY30" s="4074" t="e">
        <f t="shared" si="47"/>
        <v>#DIV/0!</v>
      </c>
      <c r="AZ30" s="3342"/>
      <c r="BA30" s="3341"/>
      <c r="BB30" s="3341"/>
      <c r="BC30" s="3349">
        <f t="shared" si="32"/>
        <v>0</v>
      </c>
      <c r="BD30" s="4074" t="e">
        <f t="shared" si="48"/>
        <v>#DIV/0!</v>
      </c>
      <c r="BE30" s="3342"/>
      <c r="BF30" s="3341"/>
      <c r="BG30" s="3341"/>
      <c r="BH30" s="3349">
        <f t="shared" si="33"/>
        <v>0</v>
      </c>
      <c r="BI30" s="4074" t="e">
        <f t="shared" si="49"/>
        <v>#DIV/0!</v>
      </c>
      <c r="BJ30" s="3342"/>
      <c r="BK30" s="3341"/>
      <c r="BL30" s="3341"/>
      <c r="BM30" s="3349">
        <f t="shared" si="34"/>
        <v>0</v>
      </c>
      <c r="BN30" s="4074" t="e">
        <f t="shared" si="50"/>
        <v>#DIV/0!</v>
      </c>
      <c r="BO30" s="3342"/>
      <c r="BP30" s="3341"/>
      <c r="BQ30" s="3341"/>
      <c r="BR30" s="3349">
        <f t="shared" si="35"/>
        <v>0</v>
      </c>
      <c r="BS30" s="4074" t="e">
        <f t="shared" si="51"/>
        <v>#DIV/0!</v>
      </c>
      <c r="BT30" s="3342"/>
      <c r="BU30" s="3341"/>
      <c r="BV30" s="3341"/>
      <c r="BW30" s="3349">
        <f t="shared" si="36"/>
        <v>0</v>
      </c>
      <c r="BX30" s="4074" t="e">
        <f t="shared" si="52"/>
        <v>#DIV/0!</v>
      </c>
      <c r="BY30" s="3342"/>
      <c r="BZ30" s="3341"/>
      <c r="CA30" s="3341"/>
      <c r="CB30" s="3349">
        <f t="shared" si="37"/>
        <v>0</v>
      </c>
      <c r="CC30" s="4074" t="e">
        <f t="shared" si="53"/>
        <v>#DIV/0!</v>
      </c>
      <c r="CD30" s="3342"/>
      <c r="CE30" s="3341"/>
      <c r="CF30" s="3341"/>
      <c r="CG30" s="3349">
        <f t="shared" si="38"/>
        <v>0</v>
      </c>
      <c r="CH30" s="4074" t="e">
        <f t="shared" si="54"/>
        <v>#DIV/0!</v>
      </c>
      <c r="CI30" s="3342"/>
      <c r="CJ30" s="3341">
        <f t="shared" si="39"/>
        <v>0</v>
      </c>
      <c r="CK30" s="3341">
        <f t="shared" si="39"/>
        <v>0</v>
      </c>
      <c r="CL30" s="3349">
        <f t="shared" si="55"/>
        <v>0</v>
      </c>
      <c r="CM30" s="4074">
        <f t="shared" si="40"/>
        <v>0</v>
      </c>
      <c r="CN30" s="4076"/>
      <c r="CP30" s="4186"/>
      <c r="CQ30" s="2012">
        <f t="shared" si="41"/>
        <v>0</v>
      </c>
      <c r="CR30" s="4188">
        <f t="shared" si="56"/>
        <v>0</v>
      </c>
      <c r="CS30" s="3307"/>
      <c r="CT30" s="3443"/>
    </row>
    <row r="31" spans="1:100" s="1396" customFormat="1" ht="13.8" outlineLevel="2">
      <c r="A31" s="1571"/>
      <c r="B31" s="4075" t="s">
        <v>34</v>
      </c>
      <c r="C31" s="3341"/>
      <c r="D31" s="3341"/>
      <c r="E31" s="3349">
        <f t="shared" si="19"/>
        <v>0</v>
      </c>
      <c r="F31" s="4074" t="e">
        <f t="shared" si="16"/>
        <v>#DIV/0!</v>
      </c>
      <c r="G31" s="3343"/>
      <c r="H31" s="3341"/>
      <c r="I31" s="3341"/>
      <c r="J31" s="3349">
        <f t="shared" si="20"/>
        <v>0</v>
      </c>
      <c r="K31" s="4074" t="e">
        <f t="shared" si="42"/>
        <v>#DIV/0!</v>
      </c>
      <c r="L31" s="3343"/>
      <c r="M31" s="3341"/>
      <c r="N31" s="3341"/>
      <c r="O31" s="3349">
        <f t="shared" si="21"/>
        <v>0</v>
      </c>
      <c r="P31" s="4074" t="e">
        <f t="shared" si="22"/>
        <v>#DIV/0!</v>
      </c>
      <c r="Q31" s="3342"/>
      <c r="R31" s="3342">
        <f t="shared" si="23"/>
        <v>0</v>
      </c>
      <c r="S31" s="3342">
        <f t="shared" si="23"/>
        <v>0</v>
      </c>
      <c r="T31" s="2012">
        <f t="shared" si="24"/>
        <v>0</v>
      </c>
      <c r="U31" s="3342"/>
      <c r="V31" s="3342"/>
      <c r="W31" s="3342">
        <f t="shared" si="25"/>
        <v>0</v>
      </c>
      <c r="X31" s="3342">
        <f t="shared" si="25"/>
        <v>0</v>
      </c>
      <c r="Y31" s="2012">
        <f t="shared" si="26"/>
        <v>0</v>
      </c>
      <c r="Z31" s="3342"/>
      <c r="AA31" s="3342"/>
      <c r="AB31" s="3341"/>
      <c r="AC31" s="3341"/>
      <c r="AD31" s="3349">
        <f t="shared" si="27"/>
        <v>0</v>
      </c>
      <c r="AE31" s="4074" t="e">
        <f t="shared" si="43"/>
        <v>#DIV/0!</v>
      </c>
      <c r="AF31" s="3342"/>
      <c r="AG31" s="3341"/>
      <c r="AH31" s="3341"/>
      <c r="AI31" s="3349">
        <f t="shared" si="28"/>
        <v>0</v>
      </c>
      <c r="AJ31" s="4074">
        <f t="shared" si="44"/>
        <v>0</v>
      </c>
      <c r="AK31" s="3342"/>
      <c r="AL31" s="3341"/>
      <c r="AM31" s="3341"/>
      <c r="AN31" s="3349">
        <f t="shared" si="29"/>
        <v>0</v>
      </c>
      <c r="AO31" s="4074">
        <f t="shared" si="45"/>
        <v>0</v>
      </c>
      <c r="AP31" s="3342"/>
      <c r="AQ31" s="3341"/>
      <c r="AR31" s="3341"/>
      <c r="AS31" s="3349">
        <f t="shared" si="30"/>
        <v>0</v>
      </c>
      <c r="AT31" s="4074" t="e">
        <f t="shared" si="46"/>
        <v>#DIV/0!</v>
      </c>
      <c r="AU31" s="3342"/>
      <c r="AV31" s="3341"/>
      <c r="AW31" s="3341"/>
      <c r="AX31" s="3349">
        <f t="shared" si="31"/>
        <v>0</v>
      </c>
      <c r="AY31" s="4074" t="e">
        <f t="shared" si="47"/>
        <v>#DIV/0!</v>
      </c>
      <c r="AZ31" s="3342"/>
      <c r="BA31" s="3341"/>
      <c r="BB31" s="3341"/>
      <c r="BC31" s="3349">
        <f t="shared" si="32"/>
        <v>0</v>
      </c>
      <c r="BD31" s="4074" t="e">
        <f t="shared" si="48"/>
        <v>#DIV/0!</v>
      </c>
      <c r="BE31" s="3342"/>
      <c r="BF31" s="3341"/>
      <c r="BG31" s="3341"/>
      <c r="BH31" s="3349">
        <f t="shared" si="33"/>
        <v>0</v>
      </c>
      <c r="BI31" s="4074" t="e">
        <f t="shared" si="49"/>
        <v>#DIV/0!</v>
      </c>
      <c r="BJ31" s="3342"/>
      <c r="BK31" s="3341"/>
      <c r="BL31" s="3341"/>
      <c r="BM31" s="3349">
        <f t="shared" si="34"/>
        <v>0</v>
      </c>
      <c r="BN31" s="4074" t="e">
        <f t="shared" si="50"/>
        <v>#DIV/0!</v>
      </c>
      <c r="BO31" s="3342"/>
      <c r="BP31" s="3341"/>
      <c r="BQ31" s="3341"/>
      <c r="BR31" s="3349">
        <f t="shared" si="35"/>
        <v>0</v>
      </c>
      <c r="BS31" s="4074" t="e">
        <f t="shared" si="51"/>
        <v>#DIV/0!</v>
      </c>
      <c r="BT31" s="3342"/>
      <c r="BU31" s="3341"/>
      <c r="BV31" s="3341"/>
      <c r="BW31" s="3349">
        <f t="shared" si="36"/>
        <v>0</v>
      </c>
      <c r="BX31" s="4074" t="e">
        <f t="shared" si="52"/>
        <v>#DIV/0!</v>
      </c>
      <c r="BY31" s="3342"/>
      <c r="BZ31" s="3341"/>
      <c r="CA31" s="3341"/>
      <c r="CB31" s="3349">
        <f t="shared" si="37"/>
        <v>0</v>
      </c>
      <c r="CC31" s="4074" t="e">
        <f t="shared" si="53"/>
        <v>#DIV/0!</v>
      </c>
      <c r="CD31" s="3342"/>
      <c r="CE31" s="3341"/>
      <c r="CF31" s="3341"/>
      <c r="CG31" s="3349">
        <f t="shared" si="38"/>
        <v>0</v>
      </c>
      <c r="CH31" s="4074" t="e">
        <f t="shared" si="54"/>
        <v>#DIV/0!</v>
      </c>
      <c r="CI31" s="3342"/>
      <c r="CJ31" s="3341">
        <f t="shared" si="39"/>
        <v>0</v>
      </c>
      <c r="CK31" s="3341">
        <f t="shared" si="39"/>
        <v>0</v>
      </c>
      <c r="CL31" s="3349">
        <f t="shared" si="55"/>
        <v>0</v>
      </c>
      <c r="CM31" s="4074">
        <f t="shared" si="40"/>
        <v>0</v>
      </c>
      <c r="CN31" s="4076"/>
      <c r="CP31" s="4186"/>
      <c r="CQ31" s="2012">
        <f t="shared" si="41"/>
        <v>0</v>
      </c>
      <c r="CR31" s="4188">
        <f t="shared" si="56"/>
        <v>0</v>
      </c>
      <c r="CS31" s="3307"/>
      <c r="CT31" s="3443"/>
      <c r="CV31" s="933"/>
    </row>
    <row r="32" spans="1:100" s="1396" customFormat="1" ht="13.8" outlineLevel="2">
      <c r="A32" s="1571"/>
      <c r="B32" s="4077" t="s">
        <v>2</v>
      </c>
      <c r="C32" s="3341"/>
      <c r="D32" s="3341"/>
      <c r="E32" s="3349">
        <f t="shared" si="19"/>
        <v>0</v>
      </c>
      <c r="F32" s="4074" t="e">
        <f t="shared" si="16"/>
        <v>#DIV/0!</v>
      </c>
      <c r="G32" s="4078"/>
      <c r="H32" s="3341"/>
      <c r="I32" s="3341"/>
      <c r="J32" s="3349">
        <f t="shared" si="20"/>
        <v>0</v>
      </c>
      <c r="K32" s="4074" t="e">
        <f t="shared" si="42"/>
        <v>#DIV/0!</v>
      </c>
      <c r="L32" s="4078"/>
      <c r="M32" s="3341"/>
      <c r="N32" s="3341"/>
      <c r="O32" s="3349">
        <f t="shared" si="21"/>
        <v>0</v>
      </c>
      <c r="P32" s="4074" t="e">
        <f t="shared" si="22"/>
        <v>#DIV/0!</v>
      </c>
      <c r="Q32" s="4078"/>
      <c r="R32" s="3342">
        <f t="shared" si="23"/>
        <v>0</v>
      </c>
      <c r="S32" s="3342">
        <f t="shared" si="23"/>
        <v>0</v>
      </c>
      <c r="T32" s="2012">
        <f t="shared" si="24"/>
        <v>0</v>
      </c>
      <c r="U32" s="2048"/>
      <c r="V32" s="2048"/>
      <c r="W32" s="3342">
        <f t="shared" si="25"/>
        <v>0</v>
      </c>
      <c r="X32" s="3342">
        <f t="shared" si="25"/>
        <v>0</v>
      </c>
      <c r="Y32" s="2012">
        <f t="shared" si="26"/>
        <v>0</v>
      </c>
      <c r="Z32" s="2048"/>
      <c r="AA32" s="2048"/>
      <c r="AB32" s="3341"/>
      <c r="AC32" s="3341"/>
      <c r="AD32" s="3349">
        <f t="shared" si="27"/>
        <v>0</v>
      </c>
      <c r="AE32" s="4074" t="e">
        <f t="shared" si="43"/>
        <v>#DIV/0!</v>
      </c>
      <c r="AF32" s="4078"/>
      <c r="AG32" s="3341"/>
      <c r="AH32" s="3341"/>
      <c r="AI32" s="3349">
        <f t="shared" si="28"/>
        <v>0</v>
      </c>
      <c r="AJ32" s="4074">
        <f t="shared" si="44"/>
        <v>0</v>
      </c>
      <c r="AK32" s="4078"/>
      <c r="AL32" s="3341"/>
      <c r="AM32" s="3341"/>
      <c r="AN32" s="3349">
        <f t="shared" si="29"/>
        <v>0</v>
      </c>
      <c r="AO32" s="4074">
        <f t="shared" si="45"/>
        <v>0</v>
      </c>
      <c r="AP32" s="4078"/>
      <c r="AQ32" s="3341"/>
      <c r="AR32" s="3341"/>
      <c r="AS32" s="3349">
        <f t="shared" si="30"/>
        <v>0</v>
      </c>
      <c r="AT32" s="4074" t="e">
        <f t="shared" si="46"/>
        <v>#DIV/0!</v>
      </c>
      <c r="AU32" s="4078"/>
      <c r="AV32" s="3341"/>
      <c r="AW32" s="3341"/>
      <c r="AX32" s="3349">
        <f t="shared" si="31"/>
        <v>0</v>
      </c>
      <c r="AY32" s="4074" t="e">
        <f t="shared" si="47"/>
        <v>#DIV/0!</v>
      </c>
      <c r="AZ32" s="4078"/>
      <c r="BA32" s="3341"/>
      <c r="BB32" s="3341"/>
      <c r="BC32" s="3349">
        <f t="shared" si="32"/>
        <v>0</v>
      </c>
      <c r="BD32" s="4074" t="e">
        <f t="shared" si="48"/>
        <v>#DIV/0!</v>
      </c>
      <c r="BE32" s="4078"/>
      <c r="BF32" s="3341"/>
      <c r="BG32" s="3341"/>
      <c r="BH32" s="3349">
        <f t="shared" si="33"/>
        <v>0</v>
      </c>
      <c r="BI32" s="4074" t="e">
        <f t="shared" si="49"/>
        <v>#DIV/0!</v>
      </c>
      <c r="BJ32" s="4078"/>
      <c r="BK32" s="3341"/>
      <c r="BL32" s="3341"/>
      <c r="BM32" s="3349">
        <f t="shared" si="34"/>
        <v>0</v>
      </c>
      <c r="BN32" s="4074" t="e">
        <f t="shared" si="50"/>
        <v>#DIV/0!</v>
      </c>
      <c r="BO32" s="4078"/>
      <c r="BP32" s="3341"/>
      <c r="BQ32" s="3341"/>
      <c r="BR32" s="3349">
        <f t="shared" si="35"/>
        <v>0</v>
      </c>
      <c r="BS32" s="4074" t="e">
        <f t="shared" si="51"/>
        <v>#DIV/0!</v>
      </c>
      <c r="BT32" s="4078"/>
      <c r="BU32" s="3341"/>
      <c r="BV32" s="3341"/>
      <c r="BW32" s="3349">
        <f t="shared" si="36"/>
        <v>0</v>
      </c>
      <c r="BX32" s="4074" t="e">
        <f t="shared" si="52"/>
        <v>#DIV/0!</v>
      </c>
      <c r="BY32" s="4078"/>
      <c r="BZ32" s="3341"/>
      <c r="CA32" s="3341"/>
      <c r="CB32" s="3349">
        <f t="shared" si="37"/>
        <v>0</v>
      </c>
      <c r="CC32" s="4074" t="e">
        <f t="shared" si="53"/>
        <v>#DIV/0!</v>
      </c>
      <c r="CD32" s="4078"/>
      <c r="CE32" s="3341"/>
      <c r="CF32" s="3341"/>
      <c r="CG32" s="3349">
        <f t="shared" si="38"/>
        <v>0</v>
      </c>
      <c r="CH32" s="4074" t="e">
        <f t="shared" si="54"/>
        <v>#DIV/0!</v>
      </c>
      <c r="CI32" s="4078"/>
      <c r="CJ32" s="4079">
        <f t="shared" si="39"/>
        <v>0</v>
      </c>
      <c r="CK32" s="4080">
        <f t="shared" si="39"/>
        <v>0</v>
      </c>
      <c r="CL32" s="3349">
        <f t="shared" si="55"/>
        <v>0</v>
      </c>
      <c r="CM32" s="4074">
        <f t="shared" si="40"/>
        <v>0</v>
      </c>
      <c r="CN32" s="4076"/>
      <c r="CP32" s="4186"/>
      <c r="CQ32" s="2012">
        <f t="shared" si="41"/>
        <v>0</v>
      </c>
      <c r="CR32" s="4188">
        <f t="shared" si="56"/>
        <v>0</v>
      </c>
      <c r="CT32" s="2624"/>
    </row>
    <row r="33" spans="1:98" s="1396" customFormat="1" ht="14.4" outlineLevel="2" thickBot="1">
      <c r="A33" s="1571"/>
      <c r="B33" s="4081" t="s">
        <v>75</v>
      </c>
      <c r="C33" s="4082"/>
      <c r="D33" s="4082"/>
      <c r="E33" s="4083">
        <f t="shared" ref="E33" si="57">C33+D33*1</f>
        <v>0</v>
      </c>
      <c r="F33" s="4084" t="e">
        <f t="shared" si="16"/>
        <v>#DIV/0!</v>
      </c>
      <c r="G33" s="4085"/>
      <c r="H33" s="4082"/>
      <c r="I33" s="4082"/>
      <c r="J33" s="4083">
        <f>H33+I33*1</f>
        <v>0</v>
      </c>
      <c r="K33" s="4084" t="e">
        <f t="shared" si="42"/>
        <v>#DIV/0!</v>
      </c>
      <c r="L33" s="4085"/>
      <c r="M33" s="4082"/>
      <c r="N33" s="4082"/>
      <c r="O33" s="4083">
        <f t="shared" ref="O33" si="58">M33+N33*1</f>
        <v>0</v>
      </c>
      <c r="P33" s="4074" t="e">
        <f t="shared" si="22"/>
        <v>#DIV/0!</v>
      </c>
      <c r="Q33" s="4085"/>
      <c r="R33" s="4086">
        <f t="shared" si="23"/>
        <v>0</v>
      </c>
      <c r="S33" s="4087">
        <f t="shared" si="23"/>
        <v>0</v>
      </c>
      <c r="T33" s="4088">
        <f t="shared" si="24"/>
        <v>0</v>
      </c>
      <c r="U33" s="4085"/>
      <c r="V33" s="4085"/>
      <c r="W33" s="4087">
        <f t="shared" si="25"/>
        <v>0</v>
      </c>
      <c r="X33" s="4087">
        <f t="shared" si="25"/>
        <v>0</v>
      </c>
      <c r="Y33" s="4088">
        <f t="shared" si="26"/>
        <v>0</v>
      </c>
      <c r="Z33" s="4085"/>
      <c r="AA33" s="4085"/>
      <c r="AB33" s="4082"/>
      <c r="AC33" s="4082"/>
      <c r="AD33" s="4083">
        <f t="shared" ref="AD33" si="59">AB33+AC33*1</f>
        <v>0</v>
      </c>
      <c r="AE33" s="4084" t="e">
        <f t="shared" si="43"/>
        <v>#DIV/0!</v>
      </c>
      <c r="AF33" s="4085"/>
      <c r="AG33" s="4082"/>
      <c r="AH33" s="4082"/>
      <c r="AI33" s="4083">
        <f t="shared" ref="AI33" si="60">AG33+AH33*1</f>
        <v>0</v>
      </c>
      <c r="AJ33" s="4084">
        <f t="shared" si="44"/>
        <v>0</v>
      </c>
      <c r="AK33" s="4085"/>
      <c r="AL33" s="4082"/>
      <c r="AM33" s="4082"/>
      <c r="AN33" s="4083">
        <f t="shared" ref="AN33" si="61">AL33+AM33*1</f>
        <v>0</v>
      </c>
      <c r="AO33" s="4084">
        <f t="shared" si="45"/>
        <v>0</v>
      </c>
      <c r="AP33" s="4085"/>
      <c r="AQ33" s="4082"/>
      <c r="AR33" s="4082"/>
      <c r="AS33" s="4083">
        <f t="shared" ref="AS33" si="62">AQ33+AR33*1</f>
        <v>0</v>
      </c>
      <c r="AT33" s="4084" t="e">
        <f t="shared" si="46"/>
        <v>#DIV/0!</v>
      </c>
      <c r="AU33" s="4085"/>
      <c r="AV33" s="4082"/>
      <c r="AW33" s="4082"/>
      <c r="AX33" s="4083">
        <f t="shared" ref="AX33" si="63">AV33+AW33*1</f>
        <v>0</v>
      </c>
      <c r="AY33" s="4084" t="e">
        <f t="shared" si="47"/>
        <v>#DIV/0!</v>
      </c>
      <c r="AZ33" s="4085"/>
      <c r="BA33" s="4082"/>
      <c r="BB33" s="4082"/>
      <c r="BC33" s="4083">
        <f t="shared" ref="BC33" si="64">BA33+BB33*1</f>
        <v>0</v>
      </c>
      <c r="BD33" s="4084" t="e">
        <f t="shared" si="48"/>
        <v>#DIV/0!</v>
      </c>
      <c r="BE33" s="4085"/>
      <c r="BF33" s="4082"/>
      <c r="BG33" s="4082"/>
      <c r="BH33" s="4083">
        <f t="shared" ref="BH33" si="65">BF33+BG33*1</f>
        <v>0</v>
      </c>
      <c r="BI33" s="4084" t="e">
        <f t="shared" si="49"/>
        <v>#DIV/0!</v>
      </c>
      <c r="BJ33" s="4085"/>
      <c r="BK33" s="4082"/>
      <c r="BL33" s="4082"/>
      <c r="BM33" s="4083">
        <f t="shared" ref="BM33" si="66">BK33+BL33*1</f>
        <v>0</v>
      </c>
      <c r="BN33" s="4084" t="e">
        <f t="shared" si="50"/>
        <v>#DIV/0!</v>
      </c>
      <c r="BO33" s="4085"/>
      <c r="BP33" s="4082"/>
      <c r="BQ33" s="4082"/>
      <c r="BR33" s="4083">
        <f t="shared" ref="BR33" si="67">BP33+BQ33*1</f>
        <v>0</v>
      </c>
      <c r="BS33" s="4084" t="e">
        <f t="shared" si="51"/>
        <v>#DIV/0!</v>
      </c>
      <c r="BT33" s="4085"/>
      <c r="BU33" s="4082"/>
      <c r="BV33" s="4082"/>
      <c r="BW33" s="4083">
        <f t="shared" ref="BW33" si="68">BU33+BV33*1</f>
        <v>0</v>
      </c>
      <c r="BX33" s="4084" t="e">
        <f t="shared" si="52"/>
        <v>#DIV/0!</v>
      </c>
      <c r="BY33" s="4085"/>
      <c r="BZ33" s="4082"/>
      <c r="CA33" s="4082"/>
      <c r="CB33" s="4083">
        <f t="shared" ref="CB33" si="69">BZ33+CA33*1</f>
        <v>0</v>
      </c>
      <c r="CC33" s="4084" t="e">
        <f t="shared" si="53"/>
        <v>#DIV/0!</v>
      </c>
      <c r="CD33" s="4085"/>
      <c r="CE33" s="4082"/>
      <c r="CF33" s="4082"/>
      <c r="CG33" s="4083">
        <f t="shared" ref="CG33" si="70">CE33+CF33*1</f>
        <v>0</v>
      </c>
      <c r="CH33" s="4084" t="e">
        <f t="shared" si="54"/>
        <v>#DIV/0!</v>
      </c>
      <c r="CI33" s="4085"/>
      <c r="CJ33" s="4089">
        <f t="shared" si="39"/>
        <v>0</v>
      </c>
      <c r="CK33" s="4082">
        <f t="shared" si="39"/>
        <v>0</v>
      </c>
      <c r="CL33" s="4083">
        <f t="shared" si="55"/>
        <v>0</v>
      </c>
      <c r="CM33" s="4090">
        <f t="shared" si="40"/>
        <v>0</v>
      </c>
      <c r="CN33" s="4091"/>
      <c r="CP33" s="4186"/>
      <c r="CQ33" s="4186"/>
      <c r="CR33" s="4188">
        <f t="shared" si="56"/>
        <v>0</v>
      </c>
      <c r="CT33" s="2624"/>
    </row>
    <row r="34" spans="1:98"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1"/>
      <c r="AC34" s="3341"/>
      <c r="AD34" s="3368"/>
      <c r="AE34" s="3368"/>
      <c r="AF34" s="3448"/>
      <c r="AG34" s="3341"/>
      <c r="AH34" s="3341"/>
      <c r="AI34" s="3368"/>
      <c r="AJ34" s="3368"/>
      <c r="AK34" s="3448"/>
      <c r="AL34" s="3341"/>
      <c r="AM34" s="3341"/>
      <c r="AN34" s="3368"/>
      <c r="AO34" s="3368"/>
      <c r="AP34" s="3448"/>
      <c r="AQ34" s="3341"/>
      <c r="AR34" s="3341"/>
      <c r="AS34" s="3368"/>
      <c r="AT34" s="3368"/>
      <c r="AU34" s="3448"/>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3449"/>
      <c r="CQ34" s="3449"/>
      <c r="CR34" s="3450"/>
      <c r="CT34" s="2624"/>
    </row>
    <row r="35" spans="1:98" s="1396" customFormat="1" ht="13.8" outlineLevel="1">
      <c r="A35" s="1571"/>
      <c r="B35" s="4092" t="s">
        <v>80</v>
      </c>
      <c r="C35" s="4093">
        <f>C36</f>
        <v>0</v>
      </c>
      <c r="D35" s="4093">
        <f>D36</f>
        <v>0</v>
      </c>
      <c r="E35" s="4094">
        <f>E36</f>
        <v>0</v>
      </c>
      <c r="F35" s="4094"/>
      <c r="G35" s="4095"/>
      <c r="H35" s="4093">
        <f>H36</f>
        <v>0</v>
      </c>
      <c r="I35" s="4093">
        <f>I36</f>
        <v>0</v>
      </c>
      <c r="J35" s="4094">
        <f>J36</f>
        <v>0</v>
      </c>
      <c r="K35" s="4094"/>
      <c r="L35" s="4095"/>
      <c r="M35" s="4093">
        <f>M36</f>
        <v>0</v>
      </c>
      <c r="N35" s="4093">
        <f>N36</f>
        <v>0</v>
      </c>
      <c r="O35" s="4094">
        <f>O36</f>
        <v>0</v>
      </c>
      <c r="P35" s="4094"/>
      <c r="Q35" s="4095"/>
      <c r="R35" s="4093">
        <f>R36</f>
        <v>0</v>
      </c>
      <c r="S35" s="4093">
        <f>S36</f>
        <v>0</v>
      </c>
      <c r="T35" s="4094">
        <f>T36</f>
        <v>0</v>
      </c>
      <c r="U35" s="4096"/>
      <c r="V35" s="4096"/>
      <c r="W35" s="4093">
        <f>W36</f>
        <v>0</v>
      </c>
      <c r="X35" s="4093">
        <f>X36</f>
        <v>0</v>
      </c>
      <c r="Y35" s="4094">
        <f>Y36</f>
        <v>0</v>
      </c>
      <c r="Z35" s="4096"/>
      <c r="AA35" s="4096"/>
      <c r="AB35" s="4093">
        <f>AB36</f>
        <v>0</v>
      </c>
      <c r="AC35" s="4093">
        <f>AC36</f>
        <v>0</v>
      </c>
      <c r="AD35" s="4094">
        <f>AD36</f>
        <v>0</v>
      </c>
      <c r="AE35" s="4094"/>
      <c r="AF35" s="4095"/>
      <c r="AG35" s="4093">
        <f>AG36</f>
        <v>0</v>
      </c>
      <c r="AH35" s="4093">
        <f>AH36</f>
        <v>0</v>
      </c>
      <c r="AI35" s="4094">
        <f>AI36</f>
        <v>0</v>
      </c>
      <c r="AJ35" s="4094"/>
      <c r="AK35" s="4095"/>
      <c r="AL35" s="4093">
        <f>AL36</f>
        <v>0</v>
      </c>
      <c r="AM35" s="4093">
        <f>AM36</f>
        <v>0</v>
      </c>
      <c r="AN35" s="4094">
        <f>AN36</f>
        <v>0</v>
      </c>
      <c r="AO35" s="4094"/>
      <c r="AP35" s="4095"/>
      <c r="AQ35" s="4093">
        <f>AQ36</f>
        <v>0</v>
      </c>
      <c r="AR35" s="4093">
        <f>AR36</f>
        <v>0</v>
      </c>
      <c r="AS35" s="4094">
        <f>AS36</f>
        <v>0</v>
      </c>
      <c r="AT35" s="4094"/>
      <c r="AU35" s="4095"/>
      <c r="AV35" s="4093">
        <f>AV36</f>
        <v>0</v>
      </c>
      <c r="AW35" s="4093">
        <f>AW36</f>
        <v>0</v>
      </c>
      <c r="AX35" s="4094">
        <f>AX36</f>
        <v>0</v>
      </c>
      <c r="AY35" s="4094"/>
      <c r="AZ35" s="4095"/>
      <c r="BA35" s="4093">
        <f>BA36</f>
        <v>0</v>
      </c>
      <c r="BB35" s="4093">
        <f>BB36</f>
        <v>0</v>
      </c>
      <c r="BC35" s="4094">
        <f>BC36</f>
        <v>0</v>
      </c>
      <c r="BD35" s="4094"/>
      <c r="BE35" s="4095"/>
      <c r="BF35" s="4093">
        <f>BF36</f>
        <v>0</v>
      </c>
      <c r="BG35" s="4093">
        <f>BG36</f>
        <v>0</v>
      </c>
      <c r="BH35" s="4094">
        <f>BH36</f>
        <v>0</v>
      </c>
      <c r="BI35" s="4094"/>
      <c r="BJ35" s="4095"/>
      <c r="BK35" s="4093">
        <f>BK36</f>
        <v>0</v>
      </c>
      <c r="BL35" s="4093">
        <f>BL36</f>
        <v>0</v>
      </c>
      <c r="BM35" s="4094">
        <f>BM36</f>
        <v>0</v>
      </c>
      <c r="BN35" s="4094"/>
      <c r="BO35" s="4095"/>
      <c r="BP35" s="4093">
        <f>BP36</f>
        <v>0</v>
      </c>
      <c r="BQ35" s="4093">
        <f>BQ36</f>
        <v>0</v>
      </c>
      <c r="BR35" s="4094">
        <f>BR36</f>
        <v>0</v>
      </c>
      <c r="BS35" s="4094"/>
      <c r="BT35" s="4095"/>
      <c r="BU35" s="4093">
        <f>BU36</f>
        <v>0</v>
      </c>
      <c r="BV35" s="4093">
        <f>BV36</f>
        <v>0</v>
      </c>
      <c r="BW35" s="4094">
        <f>BW36</f>
        <v>0</v>
      </c>
      <c r="BX35" s="4094"/>
      <c r="BY35" s="4095"/>
      <c r="BZ35" s="4093">
        <f>BZ36</f>
        <v>0</v>
      </c>
      <c r="CA35" s="4093">
        <f>CA36</f>
        <v>0</v>
      </c>
      <c r="CB35" s="4094">
        <f>CB36</f>
        <v>0</v>
      </c>
      <c r="CC35" s="4094"/>
      <c r="CD35" s="4095"/>
      <c r="CE35" s="4093">
        <f>CE36</f>
        <v>0</v>
      </c>
      <c r="CF35" s="4093">
        <f>CF36</f>
        <v>0</v>
      </c>
      <c r="CG35" s="4094">
        <f>CG36</f>
        <v>0</v>
      </c>
      <c r="CH35" s="4094"/>
      <c r="CI35" s="4095"/>
      <c r="CJ35" s="4093">
        <f>CJ36</f>
        <v>0</v>
      </c>
      <c r="CK35" s="4093">
        <f>CK36</f>
        <v>0</v>
      </c>
      <c r="CL35" s="4094">
        <f>CL36</f>
        <v>0</v>
      </c>
      <c r="CM35" s="4094"/>
      <c r="CN35" s="4094"/>
      <c r="CP35" s="4094">
        <f>CP36</f>
        <v>0</v>
      </c>
      <c r="CQ35" s="4094">
        <f>CQ36</f>
        <v>0</v>
      </c>
      <c r="CR35" s="4097">
        <f>CR36</f>
        <v>0</v>
      </c>
      <c r="CT35" s="2624"/>
    </row>
    <row r="36" spans="1:98" s="1396" customFormat="1" ht="13.8" outlineLevel="3">
      <c r="A36" s="1571"/>
      <c r="B36" s="4098" t="s">
        <v>81</v>
      </c>
      <c r="C36" s="3341"/>
      <c r="D36" s="3341"/>
      <c r="E36" s="2012">
        <f>C36+D36*1</f>
        <v>0</v>
      </c>
      <c r="F36" s="4074" t="e">
        <f>E36/$E$89</f>
        <v>#DIV/0!</v>
      </c>
      <c r="G36" s="4099"/>
      <c r="H36" s="3341"/>
      <c r="I36" s="3341"/>
      <c r="J36" s="2012">
        <f>H36+I36*1</f>
        <v>0</v>
      </c>
      <c r="K36" s="4074" t="e">
        <f t="shared" ref="K36" si="71">J36/J$89</f>
        <v>#DIV/0!</v>
      </c>
      <c r="L36" s="4099"/>
      <c r="M36" s="3341"/>
      <c r="N36" s="3341"/>
      <c r="O36" s="3349">
        <f t="shared" ref="O36" si="72">M36+N36</f>
        <v>0</v>
      </c>
      <c r="P36" s="4074" t="e">
        <f t="shared" ref="P36" si="73">O36/O$89</f>
        <v>#DIV/0!</v>
      </c>
      <c r="Q36" s="4099"/>
      <c r="R36" s="3342">
        <f t="shared" ref="R36:S36" si="74">M36+H36+C36</f>
        <v>0</v>
      </c>
      <c r="S36" s="3342">
        <f t="shared" si="74"/>
        <v>0</v>
      </c>
      <c r="T36" s="2012">
        <f t="shared" ref="T36" si="75">R36+S36</f>
        <v>0</v>
      </c>
      <c r="U36" s="3455"/>
      <c r="V36" s="3455"/>
      <c r="W36" s="3342">
        <f t="shared" ref="W36:X36" si="76">AB36+AG36+AL36+AV36+BA36+BF36+BK36+BP36+BU36+BZ36+CE36+AQ36</f>
        <v>0</v>
      </c>
      <c r="X36" s="3342">
        <f t="shared" si="76"/>
        <v>0</v>
      </c>
      <c r="Y36" s="2012">
        <f t="shared" ref="Y36" si="77">W36+X36</f>
        <v>0</v>
      </c>
      <c r="Z36" s="3455"/>
      <c r="AA36" s="3455"/>
      <c r="AB36" s="3341"/>
      <c r="AC36" s="3341"/>
      <c r="AD36" s="3349">
        <f t="shared" ref="AD36" si="78">AB36+AC36</f>
        <v>0</v>
      </c>
      <c r="AE36" s="4074" t="e">
        <f>AD36/AD$89</f>
        <v>#DIV/0!</v>
      </c>
      <c r="AF36" s="4099"/>
      <c r="AG36" s="3341"/>
      <c r="AH36" s="3341"/>
      <c r="AI36" s="3349">
        <f t="shared" ref="AI36" si="79">AG36+AH36</f>
        <v>0</v>
      </c>
      <c r="AJ36" s="4074">
        <f>AI36/AI$89</f>
        <v>0</v>
      </c>
      <c r="AK36" s="4099"/>
      <c r="AL36" s="3341"/>
      <c r="AM36" s="3341"/>
      <c r="AN36" s="3349">
        <f t="shared" ref="AN36" si="80">AL36+AM36</f>
        <v>0</v>
      </c>
      <c r="AO36" s="4074">
        <f>AN36/AN$89</f>
        <v>0</v>
      </c>
      <c r="AP36" s="4099"/>
      <c r="AQ36" s="3341"/>
      <c r="AR36" s="3341"/>
      <c r="AS36" s="3349">
        <f t="shared" ref="AS36" si="81">AQ36+AR36</f>
        <v>0</v>
      </c>
      <c r="AT36" s="4074" t="e">
        <f>AS36/AS$89</f>
        <v>#DIV/0!</v>
      </c>
      <c r="AU36" s="4099"/>
      <c r="AV36" s="3341"/>
      <c r="AW36" s="3341"/>
      <c r="AX36" s="3349">
        <f t="shared" ref="AX36" si="82">AV36+AW36</f>
        <v>0</v>
      </c>
      <c r="AY36" s="4074" t="e">
        <f>AX36/AX$89</f>
        <v>#DIV/0!</v>
      </c>
      <c r="AZ36" s="4099"/>
      <c r="BA36" s="3341"/>
      <c r="BB36" s="3341"/>
      <c r="BC36" s="3349">
        <f t="shared" ref="BC36" si="83">BA36+BB36</f>
        <v>0</v>
      </c>
      <c r="BD36" s="4074" t="e">
        <f>BC36/BC$89</f>
        <v>#DIV/0!</v>
      </c>
      <c r="BE36" s="4099"/>
      <c r="BF36" s="3341"/>
      <c r="BG36" s="3341"/>
      <c r="BH36" s="3349">
        <f t="shared" ref="BH36" si="84">BF36+BG36</f>
        <v>0</v>
      </c>
      <c r="BI36" s="4074" t="e">
        <f>BH36/BH$89</f>
        <v>#DIV/0!</v>
      </c>
      <c r="BJ36" s="4099"/>
      <c r="BK36" s="3341"/>
      <c r="BL36" s="3341"/>
      <c r="BM36" s="3349">
        <f t="shared" ref="BM36" si="85">BK36+BL36</f>
        <v>0</v>
      </c>
      <c r="BN36" s="4074" t="e">
        <f>BM36/BM$89</f>
        <v>#DIV/0!</v>
      </c>
      <c r="BO36" s="4099"/>
      <c r="BP36" s="3341"/>
      <c r="BQ36" s="3341"/>
      <c r="BR36" s="3349">
        <f t="shared" ref="BR36" si="86">BP36+BQ36</f>
        <v>0</v>
      </c>
      <c r="BS36" s="4074" t="e">
        <f>BR36/BR$89</f>
        <v>#DIV/0!</v>
      </c>
      <c r="BT36" s="4099"/>
      <c r="BU36" s="3341"/>
      <c r="BV36" s="3341"/>
      <c r="BW36" s="3349">
        <f t="shared" ref="BW36" si="87">BU36+BV36</f>
        <v>0</v>
      </c>
      <c r="BX36" s="4074" t="e">
        <f>BW36/BW$89</f>
        <v>#DIV/0!</v>
      </c>
      <c r="BY36" s="4099"/>
      <c r="BZ36" s="3341"/>
      <c r="CA36" s="3341"/>
      <c r="CB36" s="3349">
        <f t="shared" ref="CB36" si="88">BZ36+CA36</f>
        <v>0</v>
      </c>
      <c r="CC36" s="4074" t="e">
        <f>CB36/CB$89</f>
        <v>#DIV/0!</v>
      </c>
      <c r="CD36" s="4099"/>
      <c r="CE36" s="3341"/>
      <c r="CF36" s="3341"/>
      <c r="CG36" s="3349">
        <f t="shared" ref="CG36" si="89">CE36+CF36</f>
        <v>0</v>
      </c>
      <c r="CH36" s="4074" t="e">
        <f>CG36/CG$89</f>
        <v>#DIV/0!</v>
      </c>
      <c r="CI36" s="4099"/>
      <c r="CJ36" s="3341">
        <f t="shared" ref="CJ36:CK36" si="90">C36+H36+M36+W36</f>
        <v>0</v>
      </c>
      <c r="CK36" s="3341">
        <f t="shared" si="90"/>
        <v>0</v>
      </c>
      <c r="CL36" s="2012">
        <f>CJ36+CK36*1</f>
        <v>0</v>
      </c>
      <c r="CM36" s="4074">
        <f>CL36/$CL$89</f>
        <v>0</v>
      </c>
      <c r="CN36" s="4100"/>
      <c r="CP36" s="2012"/>
      <c r="CQ36" s="2012">
        <f t="shared" ref="CQ36" si="91">CL36</f>
        <v>0</v>
      </c>
      <c r="CR36" s="4188">
        <f t="shared" ref="CR36" si="92">CP36-CQ36</f>
        <v>0</v>
      </c>
      <c r="CT36" s="3443"/>
    </row>
    <row r="37" spans="1:98" s="1396" customFormat="1" ht="14.4" outlineLevel="1" thickBot="1">
      <c r="A37" s="1398"/>
      <c r="B37" s="4101"/>
      <c r="C37" s="3341"/>
      <c r="D37" s="3341"/>
      <c r="E37" s="4102"/>
      <c r="F37" s="4102"/>
      <c r="G37" s="4103"/>
      <c r="H37" s="3341"/>
      <c r="I37" s="3341"/>
      <c r="J37" s="4102"/>
      <c r="K37" s="4102"/>
      <c r="L37" s="4103"/>
      <c r="M37" s="3341"/>
      <c r="N37" s="3341"/>
      <c r="O37" s="4102"/>
      <c r="P37" s="4102"/>
      <c r="Q37" s="4103"/>
      <c r="R37" s="3456"/>
      <c r="S37" s="3456"/>
      <c r="T37" s="3456"/>
      <c r="U37" s="3456"/>
      <c r="V37" s="3456"/>
      <c r="W37" s="3342">
        <f t="shared" ref="W37:X37" si="93">AB37+AG37+AL37+AV37+BA37+BF37+BK37+BP37+BU37+BZ37+CE37</f>
        <v>0</v>
      </c>
      <c r="X37" s="3342">
        <f t="shared" si="93"/>
        <v>0</v>
      </c>
      <c r="Y37" s="3456"/>
      <c r="Z37" s="3456"/>
      <c r="AA37" s="3456"/>
      <c r="AB37" s="3341"/>
      <c r="AC37" s="3341"/>
      <c r="AD37" s="4102"/>
      <c r="AE37" s="4102"/>
      <c r="AF37" s="4103"/>
      <c r="AG37" s="3341"/>
      <c r="AH37" s="3341"/>
      <c r="AI37" s="4102"/>
      <c r="AJ37" s="4102"/>
      <c r="AK37" s="4103"/>
      <c r="AL37" s="3341"/>
      <c r="AM37" s="3341"/>
      <c r="AN37" s="4102"/>
      <c r="AO37" s="4102"/>
      <c r="AP37" s="4103"/>
      <c r="AQ37" s="3341"/>
      <c r="AR37" s="3341"/>
      <c r="AS37" s="4102"/>
      <c r="AT37" s="4102"/>
      <c r="AU37" s="4103"/>
      <c r="AV37" s="3341"/>
      <c r="AW37" s="3341"/>
      <c r="AX37" s="4102"/>
      <c r="AY37" s="4102"/>
      <c r="AZ37" s="4103"/>
      <c r="BA37" s="3341"/>
      <c r="BB37" s="3341"/>
      <c r="BC37" s="4102"/>
      <c r="BD37" s="4102"/>
      <c r="BE37" s="4103"/>
      <c r="BF37" s="3341"/>
      <c r="BG37" s="3341"/>
      <c r="BH37" s="4102"/>
      <c r="BI37" s="4102"/>
      <c r="BJ37" s="4103"/>
      <c r="BK37" s="3341"/>
      <c r="BL37" s="3341"/>
      <c r="BM37" s="4102"/>
      <c r="BN37" s="4102"/>
      <c r="BO37" s="4103"/>
      <c r="BP37" s="3341"/>
      <c r="BQ37" s="3341"/>
      <c r="BR37" s="4102"/>
      <c r="BS37" s="4102"/>
      <c r="BT37" s="4103"/>
      <c r="BU37" s="3341"/>
      <c r="BV37" s="3341"/>
      <c r="BW37" s="4102"/>
      <c r="BX37" s="4102"/>
      <c r="BY37" s="4103"/>
      <c r="BZ37" s="3341"/>
      <c r="CA37" s="3341"/>
      <c r="CB37" s="4102"/>
      <c r="CC37" s="4102"/>
      <c r="CD37" s="4103"/>
      <c r="CE37" s="3341"/>
      <c r="CF37" s="3341"/>
      <c r="CG37" s="4102"/>
      <c r="CH37" s="4102"/>
      <c r="CI37" s="4103"/>
      <c r="CJ37" s="3341"/>
      <c r="CK37" s="3341"/>
      <c r="CL37" s="4102"/>
      <c r="CM37" s="4102"/>
      <c r="CN37" s="4102"/>
      <c r="CP37" s="4104"/>
      <c r="CQ37" s="4104"/>
      <c r="CR37" s="4105"/>
      <c r="CT37" s="2624"/>
    </row>
    <row r="38" spans="1:98"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0</v>
      </c>
      <c r="O38" s="3749">
        <f>(O5)-(O8)</f>
        <v>0</v>
      </c>
      <c r="P38" s="3749"/>
      <c r="Q38" s="3750"/>
      <c r="R38" s="3749">
        <f>(R5)-(R8)</f>
        <v>0</v>
      </c>
      <c r="S38" s="3749">
        <f>(S5)-(S8)</f>
        <v>0</v>
      </c>
      <c r="T38" s="3749">
        <f>(T5)-(T8)</f>
        <v>0</v>
      </c>
      <c r="U38" s="3750"/>
      <c r="V38" s="3750"/>
      <c r="W38" s="3749">
        <f>(W5)-(W8)</f>
        <v>217318.98599999998</v>
      </c>
      <c r="X38" s="3749">
        <f>(X5)-(X8)</f>
        <v>-188710.96000000002</v>
      </c>
      <c r="Y38" s="3749">
        <f>(Y5)-(Y8)</f>
        <v>28608.025999999954</v>
      </c>
      <c r="Z38" s="3750"/>
      <c r="AA38" s="3750"/>
      <c r="AB38" s="3749">
        <f>(AB5)-(AB8)</f>
        <v>0</v>
      </c>
      <c r="AC38" s="3749">
        <f>(AC5)-(AC8)</f>
        <v>0</v>
      </c>
      <c r="AD38" s="3749">
        <f>(AD5)-(AD8)</f>
        <v>0</v>
      </c>
      <c r="AE38" s="3749"/>
      <c r="AF38" s="3750"/>
      <c r="AG38" s="3749">
        <f>(AG5)-(AG8)</f>
        <v>-61031.68</v>
      </c>
      <c r="AH38" s="3749">
        <f>(AH5)-(AH8)</f>
        <v>-108688.96000000001</v>
      </c>
      <c r="AI38" s="3749">
        <f>(AI5)-(AI8)</f>
        <v>-169720.63999999998</v>
      </c>
      <c r="AJ38" s="3749"/>
      <c r="AK38" s="3750"/>
      <c r="AL38" s="3749">
        <f>(AL5)-(AL8)</f>
        <v>278350.66599999997</v>
      </c>
      <c r="AM38" s="3749">
        <f>(AM5)-(AM8)</f>
        <v>-80022</v>
      </c>
      <c r="AN38" s="3749">
        <f>(AN5)-(AN8)</f>
        <v>198328.66599999997</v>
      </c>
      <c r="AO38" s="3749"/>
      <c r="AP38" s="3750"/>
      <c r="AQ38" s="3749">
        <f>(AQ5)-(AQ8)</f>
        <v>0</v>
      </c>
      <c r="AR38" s="3749">
        <f>(AR5)-(AR8)</f>
        <v>0</v>
      </c>
      <c r="AS38" s="3749">
        <f>(AS5)-(AS8)</f>
        <v>0</v>
      </c>
      <c r="AT38" s="3749"/>
      <c r="AU38" s="3750"/>
      <c r="AV38" s="3749">
        <f>(AV5)-(AV8)</f>
        <v>0</v>
      </c>
      <c r="AW38" s="3749">
        <f>(AW5)-(AW8)</f>
        <v>0</v>
      </c>
      <c r="AX38" s="3749">
        <f>(AX5)-(AX8)</f>
        <v>0</v>
      </c>
      <c r="AY38" s="3749"/>
      <c r="AZ38" s="3750"/>
      <c r="BA38" s="3749">
        <f>(BA5)-(BA8)</f>
        <v>0</v>
      </c>
      <c r="BB38" s="3749">
        <f>(BB5)-(BB8)</f>
        <v>0</v>
      </c>
      <c r="BC38" s="3749">
        <f>(BC5)-(BC8)</f>
        <v>0</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217318.98599999998</v>
      </c>
      <c r="CK38" s="3751">
        <f>(CK5)-(CK8)</f>
        <v>-188710.96000000002</v>
      </c>
      <c r="CL38" s="3751">
        <f>(CL5)-(CL8)</f>
        <v>28608.025999999954</v>
      </c>
      <c r="CM38" s="3749"/>
      <c r="CN38" s="3749"/>
      <c r="CP38" s="3749">
        <f>(CP5)-(CP8)</f>
        <v>257707.75916800002</v>
      </c>
      <c r="CQ38" s="3760">
        <f>(CQ5)-(CQ8)</f>
        <v>28608.025999999954</v>
      </c>
      <c r="CR38" s="3749">
        <f>(CR5)-(CR8)</f>
        <v>229099.73316800009</v>
      </c>
      <c r="CT38" s="3761"/>
    </row>
    <row r="39" spans="1:98"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2003">
        <f>IFERROR(AB38/(AB5),0)</f>
        <v>0</v>
      </c>
      <c r="AC39" s="2003">
        <f>IFERROR(AC38/(AC5),0)</f>
        <v>0</v>
      </c>
      <c r="AD39" s="2004">
        <f>IFERROR(AD38/(AD5),0)</f>
        <v>0</v>
      </c>
      <c r="AE39" s="2004"/>
      <c r="AF39" s="1056"/>
      <c r="AG39" s="2003">
        <f>IFERROR(AG38/(AG5),0)</f>
        <v>0</v>
      </c>
      <c r="AH39" s="2003">
        <f>IFERROR(AH38/(AH5),0)</f>
        <v>0</v>
      </c>
      <c r="AI39" s="2004">
        <f>IFERROR(AI38/(AI5),0)</f>
        <v>0</v>
      </c>
      <c r="AJ39" s="2004"/>
      <c r="AK39" s="1056"/>
      <c r="AL39" s="2003">
        <f>IFERROR(AL38/(AL5),0)</f>
        <v>0.64618272559801881</v>
      </c>
      <c r="AM39" s="2003">
        <f>IFERROR(AM38/(AM5),0)</f>
        <v>0</v>
      </c>
      <c r="AN39" s="2004">
        <f>IFERROR(AN38/(AN5),0)</f>
        <v>0.46041405182087514</v>
      </c>
      <c r="AO39" s="2004"/>
      <c r="AP39" s="1056"/>
      <c r="AQ39" s="2003">
        <f>IFERROR(AQ38/(AQ5),0)</f>
        <v>0</v>
      </c>
      <c r="AR39" s="2003">
        <f>IFERROR(AR38/(AR5),0)</f>
        <v>0</v>
      </c>
      <c r="AS39" s="2004">
        <f>IFERROR(AS38/(AS5),0)</f>
        <v>0</v>
      </c>
      <c r="AT39" s="2004"/>
      <c r="AU39" s="1056"/>
      <c r="AV39" s="2003">
        <f>IFERROR(AV38/(AV5),0)</f>
        <v>0</v>
      </c>
      <c r="AW39" s="2003">
        <f>IFERROR(AW38/(AW5),0)</f>
        <v>0</v>
      </c>
      <c r="AX39" s="2004">
        <f>IFERROR(AX38/(AX5),0)</f>
        <v>0</v>
      </c>
      <c r="AY39" s="2004"/>
      <c r="AZ39" s="1056"/>
      <c r="BA39" s="2003">
        <f>IFERROR(BA38/(BA5),0)</f>
        <v>0</v>
      </c>
      <c r="BB39" s="2003">
        <f>IFERROR(BB38/(BB5),0)</f>
        <v>0</v>
      </c>
      <c r="BC39" s="2004">
        <f>IFERROR(BC38/(BC5),0)</f>
        <v>0</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0.50449951033232909</v>
      </c>
      <c r="CK39" s="2003">
        <f>IFERROR(CK38/(CK5),0)</f>
        <v>0</v>
      </c>
      <c r="CL39" s="2004">
        <f>IFERROR(CL38/(CL5),0)</f>
        <v>6.6412674632001636E-2</v>
      </c>
      <c r="CM39" s="2004"/>
      <c r="CN39" s="2004"/>
      <c r="CP39" s="2004">
        <f>CP38/(CP5)</f>
        <v>0.54037319470672485</v>
      </c>
      <c r="CQ39" s="2004">
        <f>IFERROR(CQ38/(CQ5),0)</f>
        <v>6.6412674632001636E-2</v>
      </c>
      <c r="CR39" s="2004">
        <f>CR38/(CR5)</f>
        <v>4.9647296433495294</v>
      </c>
    </row>
    <row r="40" spans="1:98" ht="14.4" outlineLevel="1" thickBot="1">
      <c r="A40" s="1567"/>
      <c r="B40" s="4106"/>
      <c r="C40" s="4107"/>
      <c r="D40" s="4107"/>
      <c r="E40" s="4107"/>
      <c r="F40" s="4107"/>
      <c r="G40" s="4108"/>
      <c r="H40" s="4107"/>
      <c r="I40" s="4107"/>
      <c r="J40" s="4107"/>
      <c r="K40" s="4107"/>
      <c r="L40" s="4108"/>
      <c r="M40" s="4107"/>
      <c r="N40" s="4107"/>
      <c r="O40" s="4107"/>
      <c r="P40" s="4107"/>
      <c r="Q40" s="4108"/>
      <c r="R40" s="4108"/>
      <c r="S40" s="4108"/>
      <c r="T40" s="4108"/>
      <c r="U40" s="4108"/>
      <c r="V40" s="4108"/>
      <c r="W40" s="4108"/>
      <c r="X40" s="4108"/>
      <c r="Y40" s="4108"/>
      <c r="Z40" s="4108"/>
      <c r="AA40" s="4108"/>
      <c r="AB40" s="4107"/>
      <c r="AC40" s="4107"/>
      <c r="AD40" s="4107"/>
      <c r="AE40" s="4107"/>
      <c r="AF40" s="4108"/>
      <c r="AG40" s="4107"/>
      <c r="AH40" s="4107"/>
      <c r="AI40" s="4107"/>
      <c r="AJ40" s="4107"/>
      <c r="AK40" s="4108"/>
      <c r="AL40" s="4107"/>
      <c r="AM40" s="4107"/>
      <c r="AN40" s="4107"/>
      <c r="AO40" s="4107"/>
      <c r="AP40" s="4108"/>
      <c r="AQ40" s="4107"/>
      <c r="AR40" s="4107"/>
      <c r="AS40" s="4107"/>
      <c r="AT40" s="4107"/>
      <c r="AU40" s="4108"/>
      <c r="AV40" s="4107"/>
      <c r="AW40" s="4107"/>
      <c r="AX40" s="4107"/>
      <c r="AY40" s="4107"/>
      <c r="AZ40" s="4108"/>
      <c r="BA40" s="4107"/>
      <c r="BB40" s="4107"/>
      <c r="BC40" s="4107"/>
      <c r="BD40" s="4107"/>
      <c r="BE40" s="4108"/>
      <c r="BF40" s="4107"/>
      <c r="BG40" s="4107"/>
      <c r="BH40" s="4107"/>
      <c r="BI40" s="4107"/>
      <c r="BJ40" s="4108"/>
      <c r="BK40" s="4107"/>
      <c r="BL40" s="4107"/>
      <c r="BM40" s="4107"/>
      <c r="BN40" s="4107"/>
      <c r="BO40" s="4108"/>
      <c r="BP40" s="4107"/>
      <c r="BQ40" s="4107"/>
      <c r="BR40" s="4107"/>
      <c r="BS40" s="4107"/>
      <c r="BT40" s="4108"/>
      <c r="BU40" s="4107"/>
      <c r="BV40" s="4107"/>
      <c r="BW40" s="4107"/>
      <c r="BX40" s="4107"/>
      <c r="BY40" s="4108"/>
      <c r="BZ40" s="4107"/>
      <c r="CA40" s="4107"/>
      <c r="CB40" s="4107"/>
      <c r="CC40" s="4107"/>
      <c r="CD40" s="4108"/>
      <c r="CE40" s="4107"/>
      <c r="CF40" s="4107"/>
      <c r="CG40" s="4107"/>
      <c r="CH40" s="4107"/>
      <c r="CI40" s="4108"/>
      <c r="CJ40" s="4107"/>
      <c r="CK40" s="4107"/>
      <c r="CL40" s="4107"/>
      <c r="CM40" s="4107"/>
      <c r="CN40" s="4107"/>
      <c r="CP40" s="4109"/>
      <c r="CQ40" s="4109"/>
      <c r="CR40" s="4109"/>
    </row>
    <row r="41" spans="1:98" ht="13.8" outlineLevel="1">
      <c r="A41" s="1405"/>
      <c r="B41" s="1415" t="s">
        <v>26</v>
      </c>
      <c r="C41" s="2013">
        <f>SUM(C42:C48)</f>
        <v>0</v>
      </c>
      <c r="D41" s="2013">
        <f>SUM(D42:D48)</f>
        <v>0</v>
      </c>
      <c r="E41" s="2014">
        <f>SUM(E42:E48)</f>
        <v>0</v>
      </c>
      <c r="F41" s="4110" t="e">
        <f>E41/$E$89</f>
        <v>#DIV/0!</v>
      </c>
      <c r="G41" s="1057"/>
      <c r="H41" s="2013">
        <f>SUM(H42:H48)</f>
        <v>0</v>
      </c>
      <c r="I41" s="2013">
        <f>SUM(I42:I48)</f>
        <v>0</v>
      </c>
      <c r="J41" s="2014">
        <f>SUM(J42:J48)</f>
        <v>0</v>
      </c>
      <c r="K41" s="4110" t="e">
        <f>J41/$E$89</f>
        <v>#DIV/0!</v>
      </c>
      <c r="L41" s="1057"/>
      <c r="M41" s="2013">
        <f>SUM(M42:M48)</f>
        <v>0</v>
      </c>
      <c r="N41" s="2013">
        <f>SUM(N42:N48)</f>
        <v>0</v>
      </c>
      <c r="O41" s="2014">
        <f>SUM(O42:O48)</f>
        <v>0</v>
      </c>
      <c r="P41" s="4110" t="e">
        <f>O41/$E$89</f>
        <v>#DIV/0!</v>
      </c>
      <c r="Q41" s="1057"/>
      <c r="R41" s="2013">
        <f>SUM(R42:R48)</f>
        <v>0</v>
      </c>
      <c r="S41" s="2013">
        <f>SUM(S42:S48)</f>
        <v>0</v>
      </c>
      <c r="T41" s="2014">
        <f>SUM(T42:T48)</f>
        <v>0</v>
      </c>
      <c r="U41" s="4110"/>
      <c r="V41" s="3460"/>
      <c r="W41" s="2013">
        <f>SUM(W42:W48)</f>
        <v>0</v>
      </c>
      <c r="X41" s="2013">
        <f>SUM(X42:X48)</f>
        <v>0</v>
      </c>
      <c r="Y41" s="2014">
        <f>SUM(Y42:Y48)</f>
        <v>0</v>
      </c>
      <c r="Z41" s="4110"/>
      <c r="AA41" s="3460"/>
      <c r="AB41" s="2013">
        <f>SUM(AB42:AB48)</f>
        <v>0</v>
      </c>
      <c r="AC41" s="2013">
        <f>SUM(AC42:AC48)</f>
        <v>0</v>
      </c>
      <c r="AD41" s="2014">
        <f>SUM(AD42:AD48)</f>
        <v>0</v>
      </c>
      <c r="AE41" s="4110"/>
      <c r="AF41" s="1057"/>
      <c r="AG41" s="2013">
        <f>SUM(AG42:AG48)</f>
        <v>0</v>
      </c>
      <c r="AH41" s="2013">
        <f>SUM(AH42:AH48)</f>
        <v>0</v>
      </c>
      <c r="AI41" s="2014">
        <f>SUM(AI42:AI48)</f>
        <v>0</v>
      </c>
      <c r="AJ41" s="4110"/>
      <c r="AK41" s="1057"/>
      <c r="AL41" s="2013">
        <f>SUM(AL42:AL48)</f>
        <v>0</v>
      </c>
      <c r="AM41" s="2013">
        <f>SUM(AM42:AM48)</f>
        <v>0</v>
      </c>
      <c r="AN41" s="2014">
        <f>SUM(AN42:AN48)</f>
        <v>0</v>
      </c>
      <c r="AO41" s="4110"/>
      <c r="AP41" s="1057"/>
      <c r="AQ41" s="2013">
        <f>SUM(AQ42:AQ48)</f>
        <v>0</v>
      </c>
      <c r="AR41" s="2013">
        <f>SUM(AR42:AR48)</f>
        <v>0</v>
      </c>
      <c r="AS41" s="2014">
        <f>SUM(AS42:AS48)</f>
        <v>0</v>
      </c>
      <c r="AT41" s="4110"/>
      <c r="AU41" s="1057"/>
      <c r="AV41" s="2013">
        <f>SUM(AV42:AV48)</f>
        <v>0</v>
      </c>
      <c r="AW41" s="2013">
        <f>SUM(AW42:AW48)</f>
        <v>0</v>
      </c>
      <c r="AX41" s="2014">
        <f>SUM(AX42:AX48)</f>
        <v>0</v>
      </c>
      <c r="AY41" s="4110"/>
      <c r="AZ41" s="1057"/>
      <c r="BA41" s="2013">
        <f>SUM(BA42:BA48)</f>
        <v>0</v>
      </c>
      <c r="BB41" s="2013">
        <f>SUM(BB42:BB48)</f>
        <v>0</v>
      </c>
      <c r="BC41" s="2014">
        <f>SUM(BC42:BC48)</f>
        <v>0</v>
      </c>
      <c r="BD41" s="4110"/>
      <c r="BE41" s="1057"/>
      <c r="BF41" s="2013">
        <f>SUM(BF42:BF48)</f>
        <v>0</v>
      </c>
      <c r="BG41" s="2013">
        <f>SUM(BG42:BG48)</f>
        <v>0</v>
      </c>
      <c r="BH41" s="2014">
        <f>SUM(BH42:BH48)</f>
        <v>0</v>
      </c>
      <c r="BI41" s="4110"/>
      <c r="BJ41" s="1057"/>
      <c r="BK41" s="2013">
        <f>SUM(BK42:BK48)</f>
        <v>0</v>
      </c>
      <c r="BL41" s="2013">
        <f>SUM(BL42:BL48)</f>
        <v>0</v>
      </c>
      <c r="BM41" s="2014">
        <f>SUM(BM42:BM48)</f>
        <v>0</v>
      </c>
      <c r="BN41" s="4110"/>
      <c r="BO41" s="1057"/>
      <c r="BP41" s="2013">
        <f>SUM(BP42:BP48)</f>
        <v>0</v>
      </c>
      <c r="BQ41" s="2013">
        <f>SUM(BQ42:BQ48)</f>
        <v>0</v>
      </c>
      <c r="BR41" s="2014">
        <f>SUM(BR42:BR48)</f>
        <v>0</v>
      </c>
      <c r="BS41" s="4110"/>
      <c r="BT41" s="1057"/>
      <c r="BU41" s="2013">
        <f>SUM(BU42:BU48)</f>
        <v>0</v>
      </c>
      <c r="BV41" s="2013">
        <f>SUM(BV42:BV48)</f>
        <v>0</v>
      </c>
      <c r="BW41" s="2014">
        <f>SUM(BW42:BW48)</f>
        <v>0</v>
      </c>
      <c r="BX41" s="4110"/>
      <c r="BY41" s="1057"/>
      <c r="BZ41" s="2013">
        <f>SUM(BZ42:BZ48)</f>
        <v>0</v>
      </c>
      <c r="CA41" s="2013">
        <f>SUM(CA42:CA48)</f>
        <v>0</v>
      </c>
      <c r="CB41" s="2014">
        <f>SUM(CB42:CB48)</f>
        <v>0</v>
      </c>
      <c r="CC41" s="4110"/>
      <c r="CD41" s="1057"/>
      <c r="CE41" s="2013">
        <f>SUM(CE42:CE48)</f>
        <v>0</v>
      </c>
      <c r="CF41" s="2013">
        <f>SUM(CF42:CF48)</f>
        <v>0</v>
      </c>
      <c r="CG41" s="2014">
        <f>SUM(CG42:CG48)</f>
        <v>0</v>
      </c>
      <c r="CH41" s="4110"/>
      <c r="CI41" s="1057"/>
      <c r="CJ41" s="2013">
        <f>SUM(CJ42:CJ48)</f>
        <v>0</v>
      </c>
      <c r="CK41" s="2013">
        <f>SUM(CK42:CK48)</f>
        <v>0</v>
      </c>
      <c r="CL41" s="2014">
        <f>SUM(CL42:CL48)</f>
        <v>0</v>
      </c>
      <c r="CM41" s="4110">
        <f t="shared" ref="CM41:CM49" si="94">CL41/$CL$89</f>
        <v>0</v>
      </c>
      <c r="CN41" s="2006"/>
      <c r="CP41" s="2014">
        <f>SUM(CP42:CP48)</f>
        <v>0</v>
      </c>
      <c r="CQ41" s="2014">
        <f>SUM(CQ42:CQ48)</f>
        <v>0</v>
      </c>
      <c r="CR41" s="2014"/>
    </row>
    <row r="42" spans="1:98" ht="13.8" outlineLevel="2">
      <c r="A42" s="4833"/>
      <c r="B42" s="4111" t="s">
        <v>7</v>
      </c>
      <c r="C42" s="3341"/>
      <c r="D42" s="3341"/>
      <c r="E42" s="3349">
        <f t="shared" ref="E42:E48" si="95">C42+D42</f>
        <v>0</v>
      </c>
      <c r="F42" s="4074" t="e">
        <f t="shared" ref="F42:F48" si="96">E42/$E$89</f>
        <v>#DIV/0!</v>
      </c>
      <c r="G42" s="4112"/>
      <c r="H42" s="3341"/>
      <c r="I42" s="3341"/>
      <c r="J42" s="3349">
        <f t="shared" ref="J42:J48" si="97">H42+I42</f>
        <v>0</v>
      </c>
      <c r="K42" s="4074" t="e">
        <f t="shared" ref="K42:K48" si="98">J42/J$89</f>
        <v>#DIV/0!</v>
      </c>
      <c r="L42" s="4112"/>
      <c r="M42" s="3341"/>
      <c r="N42" s="3341"/>
      <c r="O42" s="3349">
        <f t="shared" ref="O42:O48" si="99">M42+N42</f>
        <v>0</v>
      </c>
      <c r="P42" s="4074" t="e">
        <f t="shared" ref="P42:P48" si="100">O42/O$89</f>
        <v>#DIV/0!</v>
      </c>
      <c r="Q42" s="4112"/>
      <c r="R42" s="3342">
        <f t="shared" ref="R42:S48" si="101">M42+H42+C42</f>
        <v>0</v>
      </c>
      <c r="S42" s="3342">
        <f t="shared" si="101"/>
        <v>0</v>
      </c>
      <c r="T42" s="2012">
        <f t="shared" ref="T42:T48" si="102">R42+S42</f>
        <v>0</v>
      </c>
      <c r="U42" s="3462"/>
      <c r="V42" s="3462"/>
      <c r="W42" s="3342">
        <f t="shared" ref="W42:X48" si="103">AB42+AG42+AL42+AV42+BA42+BF42+BK42+BP42+BU42+BZ42+CE42+AQ42</f>
        <v>0</v>
      </c>
      <c r="X42" s="3342">
        <f t="shared" si="103"/>
        <v>0</v>
      </c>
      <c r="Y42" s="2012">
        <f t="shared" ref="Y42:Y48" si="104">W42+X42</f>
        <v>0</v>
      </c>
      <c r="Z42" s="3462"/>
      <c r="AA42" s="3462"/>
      <c r="AB42" s="3341"/>
      <c r="AC42" s="3341"/>
      <c r="AD42" s="3349">
        <f t="shared" ref="AD42:AD48" si="105">AB42+AC42</f>
        <v>0</v>
      </c>
      <c r="AE42" s="4074" t="e">
        <f t="shared" ref="AE42:AE49" si="106">AD42/AD$89</f>
        <v>#DIV/0!</v>
      </c>
      <c r="AF42" s="4112"/>
      <c r="AG42" s="3341"/>
      <c r="AH42" s="3341"/>
      <c r="AI42" s="3349">
        <f t="shared" ref="AI42:AI48" si="107">AG42+AH42</f>
        <v>0</v>
      </c>
      <c r="AJ42" s="4074">
        <f t="shared" ref="AJ42:AJ49" si="108">AI42/AI$89</f>
        <v>0</v>
      </c>
      <c r="AK42" s="4112"/>
      <c r="AL42" s="3341"/>
      <c r="AM42" s="3341"/>
      <c r="AN42" s="3349">
        <f t="shared" ref="AN42:AN48" si="109">AL42+AM42</f>
        <v>0</v>
      </c>
      <c r="AO42" s="4074">
        <f t="shared" ref="AO42:AO49" si="110">AN42/AN$89</f>
        <v>0</v>
      </c>
      <c r="AP42" s="4112"/>
      <c r="AQ42" s="3341"/>
      <c r="AR42" s="3341"/>
      <c r="AS42" s="3349">
        <f t="shared" ref="AS42:AS48" si="111">AQ42+AR42</f>
        <v>0</v>
      </c>
      <c r="AT42" s="4074" t="e">
        <f t="shared" ref="AT42:AT49" si="112">AS42/AS$89</f>
        <v>#DIV/0!</v>
      </c>
      <c r="AU42" s="4112"/>
      <c r="AV42" s="3341"/>
      <c r="AW42" s="3341"/>
      <c r="AX42" s="3349">
        <f t="shared" ref="AX42:AX48" si="113">AV42+AW42</f>
        <v>0</v>
      </c>
      <c r="AY42" s="4074" t="e">
        <f t="shared" ref="AY42:AY49" si="114">AX42/AX$89</f>
        <v>#DIV/0!</v>
      </c>
      <c r="AZ42" s="4112"/>
      <c r="BA42" s="3341"/>
      <c r="BB42" s="3341"/>
      <c r="BC42" s="3349">
        <f t="shared" ref="BC42:BC48" si="115">BA42+BB42</f>
        <v>0</v>
      </c>
      <c r="BD42" s="4074" t="e">
        <f t="shared" ref="BD42:BD49" si="116">BC42/BC$89</f>
        <v>#DIV/0!</v>
      </c>
      <c r="BE42" s="4112"/>
      <c r="BF42" s="3341"/>
      <c r="BG42" s="3341"/>
      <c r="BH42" s="3349">
        <f t="shared" ref="BH42:BH48" si="117">BF42+BG42</f>
        <v>0</v>
      </c>
      <c r="BI42" s="4074" t="e">
        <f t="shared" ref="BI42:BI49" si="118">BH42/BH$89</f>
        <v>#DIV/0!</v>
      </c>
      <c r="BJ42" s="4112"/>
      <c r="BK42" s="3341"/>
      <c r="BL42" s="3341"/>
      <c r="BM42" s="3349">
        <f t="shared" ref="BM42:BM48" si="119">BK42+BL42</f>
        <v>0</v>
      </c>
      <c r="BN42" s="4074" t="e">
        <f t="shared" ref="BN42:BN49" si="120">BM42/BM$89</f>
        <v>#DIV/0!</v>
      </c>
      <c r="BO42" s="4112"/>
      <c r="BP42" s="3341"/>
      <c r="BQ42" s="3341"/>
      <c r="BR42" s="3349">
        <f t="shared" ref="BR42:BR48" si="121">BP42+BQ42</f>
        <v>0</v>
      </c>
      <c r="BS42" s="4074" t="e">
        <f t="shared" ref="BS42:BS49" si="122">BR42/BR$89</f>
        <v>#DIV/0!</v>
      </c>
      <c r="BT42" s="4112"/>
      <c r="BU42" s="3341"/>
      <c r="BV42" s="3341"/>
      <c r="BW42" s="3349">
        <f t="shared" ref="BW42:BW48" si="123">BU42+BV42</f>
        <v>0</v>
      </c>
      <c r="BX42" s="4074" t="e">
        <f t="shared" ref="BX42:BX49" si="124">BW42/BW$89</f>
        <v>#DIV/0!</v>
      </c>
      <c r="BY42" s="4112"/>
      <c r="BZ42" s="3341"/>
      <c r="CA42" s="3341"/>
      <c r="CB42" s="3349">
        <f t="shared" ref="CB42:CB48" si="125">BZ42+CA42</f>
        <v>0</v>
      </c>
      <c r="CC42" s="4074" t="e">
        <f t="shared" ref="CC42:CC49" si="126">CB42/CB$89</f>
        <v>#DIV/0!</v>
      </c>
      <c r="CD42" s="4112"/>
      <c r="CE42" s="3341"/>
      <c r="CF42" s="3341"/>
      <c r="CG42" s="3349">
        <f t="shared" ref="CG42:CG48" si="127">CE42+CF42</f>
        <v>0</v>
      </c>
      <c r="CH42" s="4074" t="e">
        <f t="shared" ref="CH42:CH49" si="128">CG42/CG$89</f>
        <v>#DIV/0!</v>
      </c>
      <c r="CI42" s="4112"/>
      <c r="CJ42" s="3341">
        <f t="shared" ref="CJ42:CK48" si="129">C42+H42+M42+W42</f>
        <v>0</v>
      </c>
      <c r="CK42" s="3341">
        <f t="shared" si="129"/>
        <v>0</v>
      </c>
      <c r="CL42" s="2012">
        <f t="shared" ref="CL42:CL48" si="130">CJ42+CK42*1</f>
        <v>0</v>
      </c>
      <c r="CM42" s="4074">
        <f t="shared" si="94"/>
        <v>0</v>
      </c>
      <c r="CN42" s="4076"/>
      <c r="CP42" s="2012">
        <f t="shared" ref="CP42:CQ48" si="131">CN42+CO42*1</f>
        <v>0</v>
      </c>
      <c r="CQ42" s="2012">
        <f t="shared" si="131"/>
        <v>0</v>
      </c>
      <c r="CR42" s="4188"/>
    </row>
    <row r="43" spans="1:98" ht="13.8" outlineLevel="2">
      <c r="A43" s="4833"/>
      <c r="B43" s="4111" t="s">
        <v>27</v>
      </c>
      <c r="C43" s="3341"/>
      <c r="D43" s="3341"/>
      <c r="E43" s="3349">
        <f t="shared" si="95"/>
        <v>0</v>
      </c>
      <c r="F43" s="4074" t="e">
        <f t="shared" si="96"/>
        <v>#DIV/0!</v>
      </c>
      <c r="G43" s="4112"/>
      <c r="H43" s="3341"/>
      <c r="I43" s="3341"/>
      <c r="J43" s="3349">
        <f t="shared" si="97"/>
        <v>0</v>
      </c>
      <c r="K43" s="4074" t="e">
        <f t="shared" si="98"/>
        <v>#DIV/0!</v>
      </c>
      <c r="L43" s="4112"/>
      <c r="M43" s="3341"/>
      <c r="N43" s="3341"/>
      <c r="O43" s="3349">
        <f t="shared" si="99"/>
        <v>0</v>
      </c>
      <c r="P43" s="4074" t="e">
        <f t="shared" si="100"/>
        <v>#DIV/0!</v>
      </c>
      <c r="Q43" s="4112"/>
      <c r="R43" s="3342">
        <f t="shared" si="101"/>
        <v>0</v>
      </c>
      <c r="S43" s="3342">
        <f t="shared" si="101"/>
        <v>0</v>
      </c>
      <c r="T43" s="2012">
        <f t="shared" si="102"/>
        <v>0</v>
      </c>
      <c r="U43" s="3462"/>
      <c r="V43" s="3462"/>
      <c r="W43" s="3342">
        <f t="shared" si="103"/>
        <v>0</v>
      </c>
      <c r="X43" s="3342">
        <f t="shared" si="103"/>
        <v>0</v>
      </c>
      <c r="Y43" s="2012">
        <f t="shared" si="104"/>
        <v>0</v>
      </c>
      <c r="Z43" s="3462"/>
      <c r="AA43" s="3462"/>
      <c r="AB43" s="3341"/>
      <c r="AC43" s="3341"/>
      <c r="AD43" s="3349">
        <f t="shared" si="105"/>
        <v>0</v>
      </c>
      <c r="AE43" s="4074" t="e">
        <f t="shared" si="106"/>
        <v>#DIV/0!</v>
      </c>
      <c r="AF43" s="4112"/>
      <c r="AG43" s="3341"/>
      <c r="AH43" s="3341"/>
      <c r="AI43" s="3349">
        <f t="shared" si="107"/>
        <v>0</v>
      </c>
      <c r="AJ43" s="4074">
        <f t="shared" si="108"/>
        <v>0</v>
      </c>
      <c r="AK43" s="4112"/>
      <c r="AL43" s="3341"/>
      <c r="AM43" s="3341"/>
      <c r="AN43" s="3349">
        <f t="shared" si="109"/>
        <v>0</v>
      </c>
      <c r="AO43" s="4074">
        <f t="shared" si="110"/>
        <v>0</v>
      </c>
      <c r="AP43" s="4112"/>
      <c r="AQ43" s="3341"/>
      <c r="AR43" s="3341"/>
      <c r="AS43" s="3349">
        <f t="shared" si="111"/>
        <v>0</v>
      </c>
      <c r="AT43" s="4074" t="e">
        <f t="shared" si="112"/>
        <v>#DIV/0!</v>
      </c>
      <c r="AU43" s="4112"/>
      <c r="AV43" s="3341"/>
      <c r="AW43" s="3341"/>
      <c r="AX43" s="3349">
        <f t="shared" si="113"/>
        <v>0</v>
      </c>
      <c r="AY43" s="4074" t="e">
        <f t="shared" si="114"/>
        <v>#DIV/0!</v>
      </c>
      <c r="AZ43" s="4112"/>
      <c r="BA43" s="3341"/>
      <c r="BB43" s="3341"/>
      <c r="BC43" s="3349">
        <f t="shared" si="115"/>
        <v>0</v>
      </c>
      <c r="BD43" s="4074" t="e">
        <f t="shared" si="116"/>
        <v>#DIV/0!</v>
      </c>
      <c r="BE43" s="4112"/>
      <c r="BF43" s="3341"/>
      <c r="BG43" s="3341"/>
      <c r="BH43" s="3349">
        <f t="shared" si="117"/>
        <v>0</v>
      </c>
      <c r="BI43" s="4074" t="e">
        <f t="shared" si="118"/>
        <v>#DIV/0!</v>
      </c>
      <c r="BJ43" s="4112"/>
      <c r="BK43" s="3341"/>
      <c r="BL43" s="3341"/>
      <c r="BM43" s="3349">
        <f t="shared" si="119"/>
        <v>0</v>
      </c>
      <c r="BN43" s="4074" t="e">
        <f t="shared" si="120"/>
        <v>#DIV/0!</v>
      </c>
      <c r="BO43" s="4112"/>
      <c r="BP43" s="3341"/>
      <c r="BQ43" s="3341"/>
      <c r="BR43" s="3349">
        <f t="shared" si="121"/>
        <v>0</v>
      </c>
      <c r="BS43" s="4074" t="e">
        <f t="shared" si="122"/>
        <v>#DIV/0!</v>
      </c>
      <c r="BT43" s="4112"/>
      <c r="BU43" s="3341"/>
      <c r="BV43" s="3341"/>
      <c r="BW43" s="3349">
        <f t="shared" si="123"/>
        <v>0</v>
      </c>
      <c r="BX43" s="4074" t="e">
        <f t="shared" si="124"/>
        <v>#DIV/0!</v>
      </c>
      <c r="BY43" s="4112"/>
      <c r="BZ43" s="3341"/>
      <c r="CA43" s="3341"/>
      <c r="CB43" s="3349">
        <f t="shared" si="125"/>
        <v>0</v>
      </c>
      <c r="CC43" s="4074" t="e">
        <f t="shared" si="126"/>
        <v>#DIV/0!</v>
      </c>
      <c r="CD43" s="4112"/>
      <c r="CE43" s="3341"/>
      <c r="CF43" s="3341"/>
      <c r="CG43" s="3349">
        <f t="shared" si="127"/>
        <v>0</v>
      </c>
      <c r="CH43" s="4074" t="e">
        <f t="shared" si="128"/>
        <v>#DIV/0!</v>
      </c>
      <c r="CI43" s="4112"/>
      <c r="CJ43" s="3341">
        <f t="shared" si="129"/>
        <v>0</v>
      </c>
      <c r="CK43" s="3341">
        <f t="shared" si="129"/>
        <v>0</v>
      </c>
      <c r="CL43" s="2012">
        <f t="shared" si="130"/>
        <v>0</v>
      </c>
      <c r="CM43" s="4074">
        <f t="shared" si="94"/>
        <v>0</v>
      </c>
      <c r="CN43" s="4076"/>
      <c r="CP43" s="2012">
        <f t="shared" si="131"/>
        <v>0</v>
      </c>
      <c r="CQ43" s="2012">
        <f t="shared" si="131"/>
        <v>0</v>
      </c>
      <c r="CR43" s="4188"/>
    </row>
    <row r="44" spans="1:98" ht="13.8" outlineLevel="2">
      <c r="A44" s="4833"/>
      <c r="B44" s="4098" t="s">
        <v>28</v>
      </c>
      <c r="C44" s="3341"/>
      <c r="D44" s="3341"/>
      <c r="E44" s="3349">
        <f t="shared" si="95"/>
        <v>0</v>
      </c>
      <c r="F44" s="4074" t="e">
        <f t="shared" si="96"/>
        <v>#DIV/0!</v>
      </c>
      <c r="G44" s="4112"/>
      <c r="H44" s="3341"/>
      <c r="I44" s="3341"/>
      <c r="J44" s="3349">
        <f t="shared" si="97"/>
        <v>0</v>
      </c>
      <c r="K44" s="4074" t="e">
        <f t="shared" si="98"/>
        <v>#DIV/0!</v>
      </c>
      <c r="L44" s="4112"/>
      <c r="M44" s="3341"/>
      <c r="N44" s="3341"/>
      <c r="O44" s="3349">
        <f t="shared" si="99"/>
        <v>0</v>
      </c>
      <c r="P44" s="4074" t="e">
        <f t="shared" si="100"/>
        <v>#DIV/0!</v>
      </c>
      <c r="Q44" s="4112"/>
      <c r="R44" s="3342">
        <f t="shared" si="101"/>
        <v>0</v>
      </c>
      <c r="S44" s="3342">
        <f t="shared" si="101"/>
        <v>0</v>
      </c>
      <c r="T44" s="2012">
        <f t="shared" si="102"/>
        <v>0</v>
      </c>
      <c r="U44" s="3462"/>
      <c r="V44" s="3462"/>
      <c r="W44" s="3342">
        <f t="shared" si="103"/>
        <v>0</v>
      </c>
      <c r="X44" s="3342">
        <f t="shared" si="103"/>
        <v>0</v>
      </c>
      <c r="Y44" s="2012">
        <f t="shared" si="104"/>
        <v>0</v>
      </c>
      <c r="Z44" s="3462"/>
      <c r="AA44" s="3462"/>
      <c r="AB44" s="3341"/>
      <c r="AC44" s="3341"/>
      <c r="AD44" s="3349">
        <f t="shared" si="105"/>
        <v>0</v>
      </c>
      <c r="AE44" s="4074" t="e">
        <f t="shared" si="106"/>
        <v>#DIV/0!</v>
      </c>
      <c r="AF44" s="4112"/>
      <c r="AG44" s="3341"/>
      <c r="AH44" s="3341"/>
      <c r="AI44" s="3349">
        <f t="shared" si="107"/>
        <v>0</v>
      </c>
      <c r="AJ44" s="4074">
        <f t="shared" si="108"/>
        <v>0</v>
      </c>
      <c r="AK44" s="4112"/>
      <c r="AL44" s="3341"/>
      <c r="AM44" s="3341"/>
      <c r="AN44" s="3349">
        <f t="shared" si="109"/>
        <v>0</v>
      </c>
      <c r="AO44" s="4074">
        <f t="shared" si="110"/>
        <v>0</v>
      </c>
      <c r="AP44" s="4112"/>
      <c r="AQ44" s="3341"/>
      <c r="AR44" s="3341"/>
      <c r="AS44" s="3349">
        <f t="shared" si="111"/>
        <v>0</v>
      </c>
      <c r="AT44" s="4074" t="e">
        <f t="shared" si="112"/>
        <v>#DIV/0!</v>
      </c>
      <c r="AU44" s="4112"/>
      <c r="AV44" s="3341"/>
      <c r="AW44" s="3341"/>
      <c r="AX44" s="3349">
        <f t="shared" si="113"/>
        <v>0</v>
      </c>
      <c r="AY44" s="4074" t="e">
        <f t="shared" si="114"/>
        <v>#DIV/0!</v>
      </c>
      <c r="AZ44" s="4112"/>
      <c r="BA44" s="3341"/>
      <c r="BB44" s="3341"/>
      <c r="BC44" s="3349">
        <f t="shared" si="115"/>
        <v>0</v>
      </c>
      <c r="BD44" s="4074" t="e">
        <f t="shared" si="116"/>
        <v>#DIV/0!</v>
      </c>
      <c r="BE44" s="4112"/>
      <c r="BF44" s="3341"/>
      <c r="BG44" s="3341"/>
      <c r="BH44" s="3349">
        <f t="shared" si="117"/>
        <v>0</v>
      </c>
      <c r="BI44" s="4074" t="e">
        <f t="shared" si="118"/>
        <v>#DIV/0!</v>
      </c>
      <c r="BJ44" s="4112"/>
      <c r="BK44" s="3341"/>
      <c r="BL44" s="3341"/>
      <c r="BM44" s="3349">
        <f t="shared" si="119"/>
        <v>0</v>
      </c>
      <c r="BN44" s="4074" t="e">
        <f t="shared" si="120"/>
        <v>#DIV/0!</v>
      </c>
      <c r="BO44" s="4112"/>
      <c r="BP44" s="3341"/>
      <c r="BQ44" s="3341"/>
      <c r="BR44" s="3349">
        <f t="shared" si="121"/>
        <v>0</v>
      </c>
      <c r="BS44" s="4074" t="e">
        <f t="shared" si="122"/>
        <v>#DIV/0!</v>
      </c>
      <c r="BT44" s="4112"/>
      <c r="BU44" s="3341"/>
      <c r="BV44" s="3341"/>
      <c r="BW44" s="3349">
        <f t="shared" si="123"/>
        <v>0</v>
      </c>
      <c r="BX44" s="4074" t="e">
        <f t="shared" si="124"/>
        <v>#DIV/0!</v>
      </c>
      <c r="BY44" s="4112"/>
      <c r="BZ44" s="3341"/>
      <c r="CA44" s="3341"/>
      <c r="CB44" s="3349">
        <f t="shared" si="125"/>
        <v>0</v>
      </c>
      <c r="CC44" s="4074" t="e">
        <f t="shared" si="126"/>
        <v>#DIV/0!</v>
      </c>
      <c r="CD44" s="4112"/>
      <c r="CE44" s="3341"/>
      <c r="CF44" s="3341"/>
      <c r="CG44" s="3349">
        <f t="shared" si="127"/>
        <v>0</v>
      </c>
      <c r="CH44" s="4074" t="e">
        <f t="shared" si="128"/>
        <v>#DIV/0!</v>
      </c>
      <c r="CI44" s="4112"/>
      <c r="CJ44" s="3341">
        <f t="shared" si="129"/>
        <v>0</v>
      </c>
      <c r="CK44" s="3341">
        <f t="shared" si="129"/>
        <v>0</v>
      </c>
      <c r="CL44" s="2012">
        <f t="shared" si="130"/>
        <v>0</v>
      </c>
      <c r="CM44" s="4074">
        <f t="shared" si="94"/>
        <v>0</v>
      </c>
      <c r="CN44" s="4076"/>
      <c r="CP44" s="2012">
        <f t="shared" si="131"/>
        <v>0</v>
      </c>
      <c r="CQ44" s="2012">
        <f t="shared" si="131"/>
        <v>0</v>
      </c>
      <c r="CR44" s="4188"/>
    </row>
    <row r="45" spans="1:98" ht="13.8" outlineLevel="2">
      <c r="A45" s="4833"/>
      <c r="B45" s="4111" t="s">
        <v>8</v>
      </c>
      <c r="C45" s="3341"/>
      <c r="D45" s="3341"/>
      <c r="E45" s="3349">
        <f t="shared" si="95"/>
        <v>0</v>
      </c>
      <c r="F45" s="4074" t="e">
        <f t="shared" si="96"/>
        <v>#DIV/0!</v>
      </c>
      <c r="G45" s="4112"/>
      <c r="H45" s="3341"/>
      <c r="I45" s="3341"/>
      <c r="J45" s="3349">
        <f t="shared" si="97"/>
        <v>0</v>
      </c>
      <c r="K45" s="4074" t="e">
        <f t="shared" si="98"/>
        <v>#DIV/0!</v>
      </c>
      <c r="L45" s="4112"/>
      <c r="M45" s="3341"/>
      <c r="N45" s="3341"/>
      <c r="O45" s="3349">
        <f t="shared" si="99"/>
        <v>0</v>
      </c>
      <c r="P45" s="4074" t="e">
        <f t="shared" si="100"/>
        <v>#DIV/0!</v>
      </c>
      <c r="Q45" s="4112"/>
      <c r="R45" s="3342">
        <f t="shared" si="101"/>
        <v>0</v>
      </c>
      <c r="S45" s="3342">
        <f t="shared" si="101"/>
        <v>0</v>
      </c>
      <c r="T45" s="2012">
        <f t="shared" si="102"/>
        <v>0</v>
      </c>
      <c r="U45" s="3462"/>
      <c r="V45" s="3462"/>
      <c r="W45" s="3342">
        <f t="shared" si="103"/>
        <v>0</v>
      </c>
      <c r="X45" s="3342">
        <f t="shared" si="103"/>
        <v>0</v>
      </c>
      <c r="Y45" s="2012">
        <f t="shared" si="104"/>
        <v>0</v>
      </c>
      <c r="Z45" s="3462"/>
      <c r="AA45" s="3462"/>
      <c r="AB45" s="3341"/>
      <c r="AC45" s="3341"/>
      <c r="AD45" s="3349">
        <f t="shared" si="105"/>
        <v>0</v>
      </c>
      <c r="AE45" s="4074" t="e">
        <f t="shared" si="106"/>
        <v>#DIV/0!</v>
      </c>
      <c r="AF45" s="4112"/>
      <c r="AG45" s="3341"/>
      <c r="AH45" s="3341"/>
      <c r="AI45" s="3349">
        <f t="shared" si="107"/>
        <v>0</v>
      </c>
      <c r="AJ45" s="4074">
        <f t="shared" si="108"/>
        <v>0</v>
      </c>
      <c r="AK45" s="4112"/>
      <c r="AL45" s="3341"/>
      <c r="AM45" s="3341"/>
      <c r="AN45" s="3349">
        <f t="shared" si="109"/>
        <v>0</v>
      </c>
      <c r="AO45" s="4074">
        <f t="shared" si="110"/>
        <v>0</v>
      </c>
      <c r="AP45" s="4112"/>
      <c r="AQ45" s="3341"/>
      <c r="AR45" s="3341"/>
      <c r="AS45" s="3349">
        <f t="shared" si="111"/>
        <v>0</v>
      </c>
      <c r="AT45" s="4074" t="e">
        <f t="shared" si="112"/>
        <v>#DIV/0!</v>
      </c>
      <c r="AU45" s="4112"/>
      <c r="AV45" s="3341"/>
      <c r="AW45" s="3341"/>
      <c r="AX45" s="3349">
        <f t="shared" si="113"/>
        <v>0</v>
      </c>
      <c r="AY45" s="4074" t="e">
        <f t="shared" si="114"/>
        <v>#DIV/0!</v>
      </c>
      <c r="AZ45" s="4112"/>
      <c r="BA45" s="3341"/>
      <c r="BB45" s="3341"/>
      <c r="BC45" s="3349">
        <f t="shared" si="115"/>
        <v>0</v>
      </c>
      <c r="BD45" s="4074" t="e">
        <f t="shared" si="116"/>
        <v>#DIV/0!</v>
      </c>
      <c r="BE45" s="4112"/>
      <c r="BF45" s="3341"/>
      <c r="BG45" s="3341"/>
      <c r="BH45" s="3349">
        <f t="shared" si="117"/>
        <v>0</v>
      </c>
      <c r="BI45" s="4074" t="e">
        <f t="shared" si="118"/>
        <v>#DIV/0!</v>
      </c>
      <c r="BJ45" s="4112"/>
      <c r="BK45" s="3341"/>
      <c r="BL45" s="3341"/>
      <c r="BM45" s="3349">
        <f t="shared" si="119"/>
        <v>0</v>
      </c>
      <c r="BN45" s="4074" t="e">
        <f t="shared" si="120"/>
        <v>#DIV/0!</v>
      </c>
      <c r="BO45" s="4112"/>
      <c r="BP45" s="3341"/>
      <c r="BQ45" s="3341"/>
      <c r="BR45" s="3349">
        <f t="shared" si="121"/>
        <v>0</v>
      </c>
      <c r="BS45" s="4074" t="e">
        <f t="shared" si="122"/>
        <v>#DIV/0!</v>
      </c>
      <c r="BT45" s="4112"/>
      <c r="BU45" s="3341"/>
      <c r="BV45" s="3341"/>
      <c r="BW45" s="3349">
        <f t="shared" si="123"/>
        <v>0</v>
      </c>
      <c r="BX45" s="4074" t="e">
        <f t="shared" si="124"/>
        <v>#DIV/0!</v>
      </c>
      <c r="BY45" s="4112"/>
      <c r="BZ45" s="3341"/>
      <c r="CA45" s="3341"/>
      <c r="CB45" s="3349">
        <f t="shared" si="125"/>
        <v>0</v>
      </c>
      <c r="CC45" s="4074" t="e">
        <f t="shared" si="126"/>
        <v>#DIV/0!</v>
      </c>
      <c r="CD45" s="4112"/>
      <c r="CE45" s="3341"/>
      <c r="CF45" s="3341"/>
      <c r="CG45" s="3349">
        <f t="shared" si="127"/>
        <v>0</v>
      </c>
      <c r="CH45" s="4074" t="e">
        <f t="shared" si="128"/>
        <v>#DIV/0!</v>
      </c>
      <c r="CI45" s="4112"/>
      <c r="CJ45" s="3341">
        <f t="shared" si="129"/>
        <v>0</v>
      </c>
      <c r="CK45" s="3341">
        <f t="shared" si="129"/>
        <v>0</v>
      </c>
      <c r="CL45" s="2012">
        <f t="shared" si="130"/>
        <v>0</v>
      </c>
      <c r="CM45" s="4074">
        <f t="shared" si="94"/>
        <v>0</v>
      </c>
      <c r="CN45" s="4076"/>
      <c r="CP45" s="2012">
        <f t="shared" si="131"/>
        <v>0</v>
      </c>
      <c r="CQ45" s="2012">
        <f t="shared" si="131"/>
        <v>0</v>
      </c>
      <c r="CR45" s="4188"/>
    </row>
    <row r="46" spans="1:98" ht="13.8" outlineLevel="2">
      <c r="A46" s="4833"/>
      <c r="B46" s="4111" t="s">
        <v>29</v>
      </c>
      <c r="C46" s="3341"/>
      <c r="D46" s="3341"/>
      <c r="E46" s="3349">
        <f t="shared" si="95"/>
        <v>0</v>
      </c>
      <c r="F46" s="4074" t="e">
        <f t="shared" si="96"/>
        <v>#DIV/0!</v>
      </c>
      <c r="G46" s="4112"/>
      <c r="H46" s="3341"/>
      <c r="I46" s="3341"/>
      <c r="J46" s="3349">
        <f t="shared" si="97"/>
        <v>0</v>
      </c>
      <c r="K46" s="4074" t="e">
        <f t="shared" si="98"/>
        <v>#DIV/0!</v>
      </c>
      <c r="L46" s="4112"/>
      <c r="M46" s="3341"/>
      <c r="N46" s="3341"/>
      <c r="O46" s="3349">
        <f t="shared" si="99"/>
        <v>0</v>
      </c>
      <c r="P46" s="4074" t="e">
        <f t="shared" si="100"/>
        <v>#DIV/0!</v>
      </c>
      <c r="Q46" s="4112"/>
      <c r="R46" s="3342">
        <f t="shared" si="101"/>
        <v>0</v>
      </c>
      <c r="S46" s="3342">
        <f t="shared" si="101"/>
        <v>0</v>
      </c>
      <c r="T46" s="2012">
        <f t="shared" si="102"/>
        <v>0</v>
      </c>
      <c r="U46" s="3462"/>
      <c r="V46" s="3462"/>
      <c r="W46" s="3342">
        <f t="shared" si="103"/>
        <v>0</v>
      </c>
      <c r="X46" s="3342">
        <f t="shared" si="103"/>
        <v>0</v>
      </c>
      <c r="Y46" s="2012">
        <f t="shared" si="104"/>
        <v>0</v>
      </c>
      <c r="Z46" s="3462"/>
      <c r="AA46" s="3462"/>
      <c r="AB46" s="3341"/>
      <c r="AC46" s="3341"/>
      <c r="AD46" s="3349">
        <f t="shared" si="105"/>
        <v>0</v>
      </c>
      <c r="AE46" s="4074" t="e">
        <f t="shared" si="106"/>
        <v>#DIV/0!</v>
      </c>
      <c r="AF46" s="4112"/>
      <c r="AG46" s="3341"/>
      <c r="AH46" s="3341"/>
      <c r="AI46" s="3349">
        <f t="shared" si="107"/>
        <v>0</v>
      </c>
      <c r="AJ46" s="4074">
        <f t="shared" si="108"/>
        <v>0</v>
      </c>
      <c r="AK46" s="4112"/>
      <c r="AL46" s="3341"/>
      <c r="AM46" s="3341"/>
      <c r="AN46" s="3349">
        <f t="shared" si="109"/>
        <v>0</v>
      </c>
      <c r="AO46" s="4074">
        <f t="shared" si="110"/>
        <v>0</v>
      </c>
      <c r="AP46" s="4112"/>
      <c r="AQ46" s="3341"/>
      <c r="AR46" s="3341"/>
      <c r="AS46" s="3349">
        <f t="shared" si="111"/>
        <v>0</v>
      </c>
      <c r="AT46" s="4074" t="e">
        <f t="shared" si="112"/>
        <v>#DIV/0!</v>
      </c>
      <c r="AU46" s="4112"/>
      <c r="AV46" s="3341"/>
      <c r="AW46" s="3341"/>
      <c r="AX46" s="3349">
        <f t="shared" si="113"/>
        <v>0</v>
      </c>
      <c r="AY46" s="4074" t="e">
        <f t="shared" si="114"/>
        <v>#DIV/0!</v>
      </c>
      <c r="AZ46" s="4112"/>
      <c r="BA46" s="3341"/>
      <c r="BB46" s="3341"/>
      <c r="BC46" s="3349">
        <f t="shared" si="115"/>
        <v>0</v>
      </c>
      <c r="BD46" s="4074" t="e">
        <f t="shared" si="116"/>
        <v>#DIV/0!</v>
      </c>
      <c r="BE46" s="4112"/>
      <c r="BF46" s="3341"/>
      <c r="BG46" s="3341"/>
      <c r="BH46" s="3349">
        <f t="shared" si="117"/>
        <v>0</v>
      </c>
      <c r="BI46" s="4074" t="e">
        <f t="shared" si="118"/>
        <v>#DIV/0!</v>
      </c>
      <c r="BJ46" s="4112"/>
      <c r="BK46" s="3341"/>
      <c r="BL46" s="3341"/>
      <c r="BM46" s="3349">
        <f t="shared" si="119"/>
        <v>0</v>
      </c>
      <c r="BN46" s="4074" t="e">
        <f t="shared" si="120"/>
        <v>#DIV/0!</v>
      </c>
      <c r="BO46" s="4112"/>
      <c r="BP46" s="3341"/>
      <c r="BQ46" s="3341"/>
      <c r="BR46" s="3349">
        <f t="shared" si="121"/>
        <v>0</v>
      </c>
      <c r="BS46" s="4074" t="e">
        <f t="shared" si="122"/>
        <v>#DIV/0!</v>
      </c>
      <c r="BT46" s="4112"/>
      <c r="BU46" s="3341"/>
      <c r="BV46" s="3341"/>
      <c r="BW46" s="3349">
        <f t="shared" si="123"/>
        <v>0</v>
      </c>
      <c r="BX46" s="4074" t="e">
        <f t="shared" si="124"/>
        <v>#DIV/0!</v>
      </c>
      <c r="BY46" s="4112"/>
      <c r="BZ46" s="3341"/>
      <c r="CA46" s="3341"/>
      <c r="CB46" s="3349">
        <f t="shared" si="125"/>
        <v>0</v>
      </c>
      <c r="CC46" s="4074" t="e">
        <f t="shared" si="126"/>
        <v>#DIV/0!</v>
      </c>
      <c r="CD46" s="4112"/>
      <c r="CE46" s="3341"/>
      <c r="CF46" s="3341"/>
      <c r="CG46" s="3349">
        <f t="shared" si="127"/>
        <v>0</v>
      </c>
      <c r="CH46" s="4074" t="e">
        <f t="shared" si="128"/>
        <v>#DIV/0!</v>
      </c>
      <c r="CI46" s="4112"/>
      <c r="CJ46" s="3341">
        <f t="shared" si="129"/>
        <v>0</v>
      </c>
      <c r="CK46" s="3341">
        <f t="shared" si="129"/>
        <v>0</v>
      </c>
      <c r="CL46" s="2012">
        <f t="shared" si="130"/>
        <v>0</v>
      </c>
      <c r="CM46" s="4074">
        <f t="shared" si="94"/>
        <v>0</v>
      </c>
      <c r="CN46" s="4076"/>
      <c r="CP46" s="2012">
        <f t="shared" si="131"/>
        <v>0</v>
      </c>
      <c r="CQ46" s="2012">
        <f t="shared" si="131"/>
        <v>0</v>
      </c>
      <c r="CR46" s="4188"/>
    </row>
    <row r="47" spans="1:98" ht="13.8" outlineLevel="2">
      <c r="A47" s="4833"/>
      <c r="B47" s="4111" t="s">
        <v>30</v>
      </c>
      <c r="C47" s="3341"/>
      <c r="D47" s="3341"/>
      <c r="E47" s="3349">
        <f t="shared" si="95"/>
        <v>0</v>
      </c>
      <c r="F47" s="4074" t="e">
        <f t="shared" si="96"/>
        <v>#DIV/0!</v>
      </c>
      <c r="G47" s="4112"/>
      <c r="H47" s="3341"/>
      <c r="I47" s="3341"/>
      <c r="J47" s="3349">
        <f t="shared" si="97"/>
        <v>0</v>
      </c>
      <c r="K47" s="4074" t="e">
        <f t="shared" si="98"/>
        <v>#DIV/0!</v>
      </c>
      <c r="L47" s="4112"/>
      <c r="M47" s="3341"/>
      <c r="N47" s="3341"/>
      <c r="O47" s="3349">
        <f t="shared" si="99"/>
        <v>0</v>
      </c>
      <c r="P47" s="4074" t="e">
        <f t="shared" si="100"/>
        <v>#DIV/0!</v>
      </c>
      <c r="Q47" s="4112"/>
      <c r="R47" s="3342">
        <f t="shared" si="101"/>
        <v>0</v>
      </c>
      <c r="S47" s="3342">
        <f t="shared" si="101"/>
        <v>0</v>
      </c>
      <c r="T47" s="2012">
        <f t="shared" si="102"/>
        <v>0</v>
      </c>
      <c r="U47" s="3462"/>
      <c r="V47" s="3462"/>
      <c r="W47" s="3342">
        <f t="shared" si="103"/>
        <v>0</v>
      </c>
      <c r="X47" s="3342">
        <f t="shared" si="103"/>
        <v>0</v>
      </c>
      <c r="Y47" s="2012">
        <f t="shared" si="104"/>
        <v>0</v>
      </c>
      <c r="Z47" s="3462"/>
      <c r="AA47" s="3462"/>
      <c r="AB47" s="3341"/>
      <c r="AC47" s="3341"/>
      <c r="AD47" s="3349">
        <f t="shared" si="105"/>
        <v>0</v>
      </c>
      <c r="AE47" s="4074" t="e">
        <f t="shared" si="106"/>
        <v>#DIV/0!</v>
      </c>
      <c r="AF47" s="4112"/>
      <c r="AG47" s="3341"/>
      <c r="AH47" s="3341"/>
      <c r="AI47" s="3349">
        <f t="shared" si="107"/>
        <v>0</v>
      </c>
      <c r="AJ47" s="4074">
        <f t="shared" si="108"/>
        <v>0</v>
      </c>
      <c r="AK47" s="4112"/>
      <c r="AL47" s="3341"/>
      <c r="AM47" s="3341"/>
      <c r="AN47" s="3349">
        <f t="shared" si="109"/>
        <v>0</v>
      </c>
      <c r="AO47" s="4074">
        <f t="shared" si="110"/>
        <v>0</v>
      </c>
      <c r="AP47" s="4112"/>
      <c r="AQ47" s="3341"/>
      <c r="AR47" s="3341"/>
      <c r="AS47" s="3349">
        <f t="shared" si="111"/>
        <v>0</v>
      </c>
      <c r="AT47" s="4074" t="e">
        <f t="shared" si="112"/>
        <v>#DIV/0!</v>
      </c>
      <c r="AU47" s="4112"/>
      <c r="AV47" s="3341"/>
      <c r="AW47" s="3341"/>
      <c r="AX47" s="3349">
        <f t="shared" si="113"/>
        <v>0</v>
      </c>
      <c r="AY47" s="4074" t="e">
        <f t="shared" si="114"/>
        <v>#DIV/0!</v>
      </c>
      <c r="AZ47" s="4112"/>
      <c r="BA47" s="3341"/>
      <c r="BB47" s="3341"/>
      <c r="BC47" s="3349">
        <f t="shared" si="115"/>
        <v>0</v>
      </c>
      <c r="BD47" s="4074" t="e">
        <f t="shared" si="116"/>
        <v>#DIV/0!</v>
      </c>
      <c r="BE47" s="4112"/>
      <c r="BF47" s="3341"/>
      <c r="BG47" s="3341"/>
      <c r="BH47" s="3349">
        <f t="shared" si="117"/>
        <v>0</v>
      </c>
      <c r="BI47" s="4074" t="e">
        <f t="shared" si="118"/>
        <v>#DIV/0!</v>
      </c>
      <c r="BJ47" s="4112"/>
      <c r="BK47" s="3341"/>
      <c r="BL47" s="3341"/>
      <c r="BM47" s="3349">
        <f t="shared" si="119"/>
        <v>0</v>
      </c>
      <c r="BN47" s="4074" t="e">
        <f t="shared" si="120"/>
        <v>#DIV/0!</v>
      </c>
      <c r="BO47" s="4112"/>
      <c r="BP47" s="3341"/>
      <c r="BQ47" s="3341"/>
      <c r="BR47" s="3349">
        <f t="shared" si="121"/>
        <v>0</v>
      </c>
      <c r="BS47" s="4074" t="e">
        <f t="shared" si="122"/>
        <v>#DIV/0!</v>
      </c>
      <c r="BT47" s="4112"/>
      <c r="BU47" s="3341"/>
      <c r="BV47" s="3341"/>
      <c r="BW47" s="3349">
        <f t="shared" si="123"/>
        <v>0</v>
      </c>
      <c r="BX47" s="4074" t="e">
        <f t="shared" si="124"/>
        <v>#DIV/0!</v>
      </c>
      <c r="BY47" s="4112"/>
      <c r="BZ47" s="3341"/>
      <c r="CA47" s="3341"/>
      <c r="CB47" s="3349">
        <f t="shared" si="125"/>
        <v>0</v>
      </c>
      <c r="CC47" s="4074" t="e">
        <f t="shared" si="126"/>
        <v>#DIV/0!</v>
      </c>
      <c r="CD47" s="4112"/>
      <c r="CE47" s="3341"/>
      <c r="CF47" s="3341"/>
      <c r="CG47" s="3349">
        <f t="shared" si="127"/>
        <v>0</v>
      </c>
      <c r="CH47" s="4074" t="e">
        <f t="shared" si="128"/>
        <v>#DIV/0!</v>
      </c>
      <c r="CI47" s="4112"/>
      <c r="CJ47" s="3341">
        <f t="shared" si="129"/>
        <v>0</v>
      </c>
      <c r="CK47" s="3341">
        <f t="shared" si="129"/>
        <v>0</v>
      </c>
      <c r="CL47" s="2012">
        <f t="shared" si="130"/>
        <v>0</v>
      </c>
      <c r="CM47" s="4074">
        <f t="shared" si="94"/>
        <v>0</v>
      </c>
      <c r="CN47" s="4076"/>
      <c r="CP47" s="2012">
        <f t="shared" si="131"/>
        <v>0</v>
      </c>
      <c r="CQ47" s="2012">
        <f t="shared" si="131"/>
        <v>0</v>
      </c>
      <c r="CR47" s="4188"/>
    </row>
    <row r="48" spans="1:98" ht="13.8" outlineLevel="2">
      <c r="A48" s="4833"/>
      <c r="B48" s="4111" t="s">
        <v>15</v>
      </c>
      <c r="C48" s="3341"/>
      <c r="D48" s="3341"/>
      <c r="E48" s="3349">
        <f t="shared" si="95"/>
        <v>0</v>
      </c>
      <c r="F48" s="4074" t="e">
        <f t="shared" si="96"/>
        <v>#DIV/0!</v>
      </c>
      <c r="G48" s="4112"/>
      <c r="H48" s="3341"/>
      <c r="I48" s="3341"/>
      <c r="J48" s="3349">
        <f t="shared" si="97"/>
        <v>0</v>
      </c>
      <c r="K48" s="4074" t="e">
        <f t="shared" si="98"/>
        <v>#DIV/0!</v>
      </c>
      <c r="L48" s="4112"/>
      <c r="M48" s="3341"/>
      <c r="N48" s="3341"/>
      <c r="O48" s="3349">
        <f t="shared" si="99"/>
        <v>0</v>
      </c>
      <c r="P48" s="4074" t="e">
        <f t="shared" si="100"/>
        <v>#DIV/0!</v>
      </c>
      <c r="Q48" s="4112"/>
      <c r="R48" s="3342">
        <f t="shared" si="101"/>
        <v>0</v>
      </c>
      <c r="S48" s="3342">
        <f t="shared" si="101"/>
        <v>0</v>
      </c>
      <c r="T48" s="2012">
        <f t="shared" si="102"/>
        <v>0</v>
      </c>
      <c r="U48" s="4113"/>
      <c r="V48" s="4112"/>
      <c r="W48" s="4114">
        <f t="shared" si="103"/>
        <v>0</v>
      </c>
      <c r="X48" s="4114">
        <f t="shared" si="103"/>
        <v>0</v>
      </c>
      <c r="Y48" s="4115">
        <f t="shared" si="104"/>
        <v>0</v>
      </c>
      <c r="Z48" s="4112"/>
      <c r="AA48" s="4112"/>
      <c r="AB48" s="4080"/>
      <c r="AC48" s="4080"/>
      <c r="AD48" s="4116">
        <f t="shared" si="105"/>
        <v>0</v>
      </c>
      <c r="AE48" s="4074" t="e">
        <f t="shared" si="106"/>
        <v>#DIV/0!</v>
      </c>
      <c r="AF48" s="4112"/>
      <c r="AG48" s="4080"/>
      <c r="AH48" s="3341"/>
      <c r="AI48" s="3349">
        <f t="shared" si="107"/>
        <v>0</v>
      </c>
      <c r="AJ48" s="4074">
        <f t="shared" si="108"/>
        <v>0</v>
      </c>
      <c r="AK48" s="4112"/>
      <c r="AL48" s="3341"/>
      <c r="AM48" s="3341"/>
      <c r="AN48" s="3349">
        <f t="shared" si="109"/>
        <v>0</v>
      </c>
      <c r="AO48" s="4074">
        <f t="shared" si="110"/>
        <v>0</v>
      </c>
      <c r="AP48" s="4112"/>
      <c r="AQ48" s="3341"/>
      <c r="AR48" s="3341"/>
      <c r="AS48" s="3349">
        <f t="shared" si="111"/>
        <v>0</v>
      </c>
      <c r="AT48" s="4074" t="e">
        <f t="shared" si="112"/>
        <v>#DIV/0!</v>
      </c>
      <c r="AU48" s="4112"/>
      <c r="AV48" s="3341"/>
      <c r="AW48" s="3341"/>
      <c r="AX48" s="3349">
        <f t="shared" si="113"/>
        <v>0</v>
      </c>
      <c r="AY48" s="4074" t="e">
        <f t="shared" si="114"/>
        <v>#DIV/0!</v>
      </c>
      <c r="AZ48" s="4112"/>
      <c r="BA48" s="3341"/>
      <c r="BB48" s="3341"/>
      <c r="BC48" s="3349">
        <f t="shared" si="115"/>
        <v>0</v>
      </c>
      <c r="BD48" s="4074" t="e">
        <f t="shared" si="116"/>
        <v>#DIV/0!</v>
      </c>
      <c r="BE48" s="4112"/>
      <c r="BF48" s="3341"/>
      <c r="BG48" s="3341"/>
      <c r="BH48" s="3349">
        <f t="shared" si="117"/>
        <v>0</v>
      </c>
      <c r="BI48" s="4074" t="e">
        <f t="shared" si="118"/>
        <v>#DIV/0!</v>
      </c>
      <c r="BJ48" s="4112"/>
      <c r="BK48" s="3341"/>
      <c r="BL48" s="3341"/>
      <c r="BM48" s="3349">
        <f t="shared" si="119"/>
        <v>0</v>
      </c>
      <c r="BN48" s="4074" t="e">
        <f t="shared" si="120"/>
        <v>#DIV/0!</v>
      </c>
      <c r="BO48" s="4112"/>
      <c r="BP48" s="3341"/>
      <c r="BQ48" s="3341"/>
      <c r="BR48" s="3349">
        <f t="shared" si="121"/>
        <v>0</v>
      </c>
      <c r="BS48" s="4074" t="e">
        <f t="shared" si="122"/>
        <v>#DIV/0!</v>
      </c>
      <c r="BT48" s="4112"/>
      <c r="BU48" s="3341"/>
      <c r="BV48" s="3341"/>
      <c r="BW48" s="3349">
        <f t="shared" si="123"/>
        <v>0</v>
      </c>
      <c r="BX48" s="4074" t="e">
        <f t="shared" si="124"/>
        <v>#DIV/0!</v>
      </c>
      <c r="BY48" s="4112"/>
      <c r="BZ48" s="3341"/>
      <c r="CA48" s="3341"/>
      <c r="CB48" s="3349">
        <f t="shared" si="125"/>
        <v>0</v>
      </c>
      <c r="CC48" s="4074" t="e">
        <f t="shared" si="126"/>
        <v>#DIV/0!</v>
      </c>
      <c r="CD48" s="4112"/>
      <c r="CE48" s="3341"/>
      <c r="CF48" s="3341"/>
      <c r="CG48" s="3349">
        <f t="shared" si="127"/>
        <v>0</v>
      </c>
      <c r="CH48" s="4074" t="e">
        <f t="shared" si="128"/>
        <v>#DIV/0!</v>
      </c>
      <c r="CI48" s="4112"/>
      <c r="CJ48" s="3341">
        <f t="shared" si="129"/>
        <v>0</v>
      </c>
      <c r="CK48" s="3341">
        <f t="shared" si="129"/>
        <v>0</v>
      </c>
      <c r="CL48" s="2012">
        <f t="shared" si="130"/>
        <v>0</v>
      </c>
      <c r="CM48" s="4074">
        <f t="shared" si="94"/>
        <v>0</v>
      </c>
      <c r="CN48" s="4076"/>
      <c r="CP48" s="2012">
        <f t="shared" si="131"/>
        <v>0</v>
      </c>
      <c r="CQ48" s="2012">
        <f t="shared" si="131"/>
        <v>0</v>
      </c>
      <c r="CR48" s="4188"/>
    </row>
    <row r="49" spans="1:98" s="1396" customFormat="1" ht="14.4" outlineLevel="2" thickBot="1">
      <c r="A49" s="1405"/>
      <c r="B49" s="4117"/>
      <c r="C49" s="3341"/>
      <c r="D49" s="3341"/>
      <c r="E49" s="4102"/>
      <c r="F49" s="4084"/>
      <c r="G49" s="4103"/>
      <c r="H49" s="3341"/>
      <c r="I49" s="3341"/>
      <c r="J49" s="4102"/>
      <c r="K49" s="4084"/>
      <c r="L49" s="4103"/>
      <c r="M49" s="3341"/>
      <c r="N49" s="3341"/>
      <c r="O49" s="4102"/>
      <c r="P49" s="4084"/>
      <c r="Q49" s="4103"/>
      <c r="R49" s="3456"/>
      <c r="S49" s="3456"/>
      <c r="T49" s="3456"/>
      <c r="U49" s="3733"/>
      <c r="V49" s="3734"/>
      <c r="W49" s="3734"/>
      <c r="X49" s="3734"/>
      <c r="Y49" s="3734"/>
      <c r="Z49" s="3734"/>
      <c r="AA49" s="3734"/>
      <c r="AB49" s="3375"/>
      <c r="AC49" s="3375"/>
      <c r="AD49" s="4102"/>
      <c r="AE49" s="4084" t="e">
        <f t="shared" si="106"/>
        <v>#DIV/0!</v>
      </c>
      <c r="AF49" s="4103"/>
      <c r="AG49" s="3375"/>
      <c r="AH49" s="3341"/>
      <c r="AI49" s="4102"/>
      <c r="AJ49" s="4084">
        <f t="shared" si="108"/>
        <v>0</v>
      </c>
      <c r="AK49" s="4103"/>
      <c r="AL49" s="3341"/>
      <c r="AM49" s="3341"/>
      <c r="AN49" s="4102"/>
      <c r="AO49" s="4084">
        <f t="shared" si="110"/>
        <v>0</v>
      </c>
      <c r="AP49" s="4103"/>
      <c r="AQ49" s="3341"/>
      <c r="AR49" s="3341"/>
      <c r="AS49" s="4102"/>
      <c r="AT49" s="4084" t="e">
        <f t="shared" si="112"/>
        <v>#DIV/0!</v>
      </c>
      <c r="AU49" s="4103"/>
      <c r="AV49" s="3341"/>
      <c r="AW49" s="3341"/>
      <c r="AX49" s="4102"/>
      <c r="AY49" s="4084" t="e">
        <f t="shared" si="114"/>
        <v>#DIV/0!</v>
      </c>
      <c r="AZ49" s="4103"/>
      <c r="BA49" s="3341"/>
      <c r="BB49" s="3341"/>
      <c r="BC49" s="4102"/>
      <c r="BD49" s="4084" t="e">
        <f t="shared" si="116"/>
        <v>#DIV/0!</v>
      </c>
      <c r="BE49" s="4103"/>
      <c r="BF49" s="3341"/>
      <c r="BG49" s="3341"/>
      <c r="BH49" s="4102"/>
      <c r="BI49" s="4084" t="e">
        <f t="shared" si="118"/>
        <v>#DIV/0!</v>
      </c>
      <c r="BJ49" s="4103"/>
      <c r="BK49" s="3341"/>
      <c r="BL49" s="3341"/>
      <c r="BM49" s="4102"/>
      <c r="BN49" s="4084" t="e">
        <f t="shared" si="120"/>
        <v>#DIV/0!</v>
      </c>
      <c r="BO49" s="4103"/>
      <c r="BP49" s="3341"/>
      <c r="BQ49" s="3341"/>
      <c r="BR49" s="4102"/>
      <c r="BS49" s="4084" t="e">
        <f t="shared" si="122"/>
        <v>#DIV/0!</v>
      </c>
      <c r="BT49" s="4103"/>
      <c r="BU49" s="3341"/>
      <c r="BV49" s="3341"/>
      <c r="BW49" s="4102"/>
      <c r="BX49" s="4084" t="e">
        <f t="shared" si="124"/>
        <v>#DIV/0!</v>
      </c>
      <c r="BY49" s="4103"/>
      <c r="BZ49" s="3341"/>
      <c r="CA49" s="3341"/>
      <c r="CB49" s="4102"/>
      <c r="CC49" s="4084" t="e">
        <f t="shared" si="126"/>
        <v>#DIV/0!</v>
      </c>
      <c r="CD49" s="4103"/>
      <c r="CE49" s="3341"/>
      <c r="CF49" s="3341"/>
      <c r="CG49" s="4102"/>
      <c r="CH49" s="4084" t="e">
        <f t="shared" si="128"/>
        <v>#DIV/0!</v>
      </c>
      <c r="CI49" s="4103"/>
      <c r="CJ49" s="3341"/>
      <c r="CK49" s="3341"/>
      <c r="CL49" s="4102"/>
      <c r="CM49" s="4074">
        <f t="shared" si="94"/>
        <v>0</v>
      </c>
      <c r="CN49" s="4102"/>
      <c r="CP49" s="4104"/>
      <c r="CQ49" s="4104"/>
      <c r="CR49" s="4188"/>
      <c r="CT49" s="2624"/>
    </row>
    <row r="50" spans="1:98" s="1396" customFormat="1" ht="13.8" outlineLevel="1">
      <c r="A50" s="1565"/>
      <c r="B50" s="1410" t="s">
        <v>59</v>
      </c>
      <c r="C50" s="2015">
        <f>C52+C51</f>
        <v>0</v>
      </c>
      <c r="D50" s="2015">
        <f>D52+D51</f>
        <v>0</v>
      </c>
      <c r="E50" s="2014">
        <f>SUM(E51:E52)</f>
        <v>0</v>
      </c>
      <c r="F50" s="4110" t="e">
        <f>E50/$E$89</f>
        <v>#DIV/0!</v>
      </c>
      <c r="G50" s="1057"/>
      <c r="H50" s="2015">
        <f>H52+H51</f>
        <v>0</v>
      </c>
      <c r="I50" s="2015">
        <f>I52+I51</f>
        <v>0</v>
      </c>
      <c r="J50" s="2014">
        <f>SUM(J51:J52)</f>
        <v>0</v>
      </c>
      <c r="K50" s="4110" t="e">
        <f>J50/$E$89</f>
        <v>#DIV/0!</v>
      </c>
      <c r="L50" s="1057"/>
      <c r="M50" s="2015">
        <f>M52+M51</f>
        <v>0</v>
      </c>
      <c r="N50" s="2015">
        <f>N52+N51</f>
        <v>0</v>
      </c>
      <c r="O50" s="2014">
        <f>SUM(O51:O52)</f>
        <v>0</v>
      </c>
      <c r="P50" s="4110" t="e">
        <f>O50/$E$89</f>
        <v>#DIV/0!</v>
      </c>
      <c r="Q50" s="1057"/>
      <c r="R50" s="2015">
        <f>R52+R51</f>
        <v>0</v>
      </c>
      <c r="S50" s="2015">
        <f>S52+S51</f>
        <v>0</v>
      </c>
      <c r="T50" s="2015">
        <f>SUM(T51:T52)</f>
        <v>0</v>
      </c>
      <c r="U50" s="1535"/>
      <c r="V50" s="3460"/>
      <c r="W50" s="2013">
        <f>W52+W51</f>
        <v>0</v>
      </c>
      <c r="X50" s="2013">
        <f>X52+X51</f>
        <v>0</v>
      </c>
      <c r="Y50" s="2013">
        <f>SUM(Y51:Y52)</f>
        <v>0</v>
      </c>
      <c r="Z50" s="1535"/>
      <c r="AA50" s="3460"/>
      <c r="AB50" s="2013">
        <f>AB52+AB51</f>
        <v>0</v>
      </c>
      <c r="AC50" s="2013">
        <f>AC52+AC51</f>
        <v>0</v>
      </c>
      <c r="AD50" s="2013">
        <f>SUM(AD51:AD52)</f>
        <v>0</v>
      </c>
      <c r="AE50" s="1535"/>
      <c r="AF50" s="3735"/>
      <c r="AG50" s="2013">
        <f>AG52+AG51</f>
        <v>0</v>
      </c>
      <c r="AH50" s="2015">
        <f>AH52+AH51</f>
        <v>0</v>
      </c>
      <c r="AI50" s="2015">
        <f>SUM(AI51:AI52)</f>
        <v>0</v>
      </c>
      <c r="AJ50" s="1535"/>
      <c r="AK50" s="1057"/>
      <c r="AL50" s="2015">
        <f>AL52+AL51</f>
        <v>0</v>
      </c>
      <c r="AM50" s="2015">
        <f>AM52+AM51</f>
        <v>0</v>
      </c>
      <c r="AN50" s="2015">
        <f>SUM(AN51:AN52)</f>
        <v>0</v>
      </c>
      <c r="AO50" s="1535"/>
      <c r="AP50" s="1057"/>
      <c r="AQ50" s="2015">
        <f>AQ52+AQ51</f>
        <v>0</v>
      </c>
      <c r="AR50" s="2015">
        <f>AR52+AR51</f>
        <v>0</v>
      </c>
      <c r="AS50" s="2015">
        <f>SUM(AS51:AS52)</f>
        <v>0</v>
      </c>
      <c r="AT50" s="1535"/>
      <c r="AU50" s="1057"/>
      <c r="AV50" s="2015">
        <f>AV52+AV51</f>
        <v>0</v>
      </c>
      <c r="AW50" s="2015">
        <f>AW52+AW51</f>
        <v>0</v>
      </c>
      <c r="AX50" s="2015">
        <f>SUM(AX51:AX52)</f>
        <v>0</v>
      </c>
      <c r="AY50" s="1535"/>
      <c r="AZ50" s="1057"/>
      <c r="BA50" s="2015">
        <f>BA52+BA51</f>
        <v>0</v>
      </c>
      <c r="BB50" s="2015">
        <f>BB52+BB51</f>
        <v>0</v>
      </c>
      <c r="BC50" s="2015">
        <f>SUM(BC51:BC52)</f>
        <v>0</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0</v>
      </c>
      <c r="CK50" s="2015">
        <f>CK52+CK51</f>
        <v>0</v>
      </c>
      <c r="CL50" s="2015">
        <f>SUM(CL51:CL52)</f>
        <v>0</v>
      </c>
      <c r="CM50" s="2006"/>
      <c r="CN50" s="2006"/>
      <c r="CP50" s="2015">
        <f>SUM(CP51:CP52)</f>
        <v>0</v>
      </c>
      <c r="CQ50" s="2015">
        <f>SUM(CQ51:CQ52)</f>
        <v>0</v>
      </c>
      <c r="CR50" s="2015"/>
      <c r="CT50" s="2624"/>
    </row>
    <row r="51" spans="1:98" s="1396" customFormat="1" ht="13.8" outlineLevel="1">
      <c r="A51" s="1566"/>
      <c r="B51" s="4111" t="s">
        <v>60</v>
      </c>
      <c r="C51" s="3341"/>
      <c r="D51" s="3341"/>
      <c r="E51" s="3349">
        <f t="shared" ref="E51:E52" si="132">C51+D51</f>
        <v>0</v>
      </c>
      <c r="F51" s="4074" t="e">
        <f t="shared" ref="F51:F71" si="133">E51/$E$89</f>
        <v>#DIV/0!</v>
      </c>
      <c r="G51" s="4099"/>
      <c r="H51" s="3341"/>
      <c r="I51" s="3341"/>
      <c r="J51" s="3349">
        <f>H51+I51</f>
        <v>0</v>
      </c>
      <c r="K51" s="4074" t="e">
        <f t="shared" ref="K51:K52" si="134">J51/J$89</f>
        <v>#DIV/0!</v>
      </c>
      <c r="L51" s="4099"/>
      <c r="M51" s="3341"/>
      <c r="N51" s="3341"/>
      <c r="O51" s="3349">
        <f t="shared" ref="O51:O52" si="135">M51+N51</f>
        <v>0</v>
      </c>
      <c r="P51" s="4074" t="e">
        <f t="shared" ref="P51:P53" si="136">O51/O$89</f>
        <v>#DIV/0!</v>
      </c>
      <c r="Q51" s="4099"/>
      <c r="R51" s="3342">
        <f t="shared" ref="R51:S52" si="137">M51+H51+C51</f>
        <v>0</v>
      </c>
      <c r="S51" s="3342">
        <f t="shared" si="137"/>
        <v>0</v>
      </c>
      <c r="T51" s="2012">
        <f t="shared" ref="T51:T52" si="138">R51+S51</f>
        <v>0</v>
      </c>
      <c r="U51" s="3455"/>
      <c r="V51" s="3455"/>
      <c r="W51" s="3342">
        <f t="shared" ref="W51:X52" si="139">AB51+AG51+AL51+AV51+BA51+BF51+BK51+BP51+BU51+BZ51+CE51+AQ51</f>
        <v>0</v>
      </c>
      <c r="X51" s="3342">
        <f t="shared" si="139"/>
        <v>0</v>
      </c>
      <c r="Y51" s="2012">
        <f t="shared" ref="Y51:Y52" si="140">W51+X51</f>
        <v>0</v>
      </c>
      <c r="Z51" s="3455"/>
      <c r="AA51" s="3455"/>
      <c r="AB51" s="3341"/>
      <c r="AC51" s="3341"/>
      <c r="AD51" s="3349">
        <f t="shared" ref="AD51:AD52" si="141">AB51+AC51</f>
        <v>0</v>
      </c>
      <c r="AE51" s="4074" t="e">
        <f t="shared" ref="AE51:AE53" si="142">AD51/AD$89</f>
        <v>#DIV/0!</v>
      </c>
      <c r="AF51" s="4099"/>
      <c r="AG51" s="3341"/>
      <c r="AH51" s="3341"/>
      <c r="AI51" s="3349">
        <f t="shared" ref="AI51:AI52" si="143">AG51+AH51</f>
        <v>0</v>
      </c>
      <c r="AJ51" s="4074">
        <f t="shared" ref="AJ51:AJ53" si="144">AI51/AI$89</f>
        <v>0</v>
      </c>
      <c r="AK51" s="4099"/>
      <c r="AL51" s="3341"/>
      <c r="AM51" s="3341"/>
      <c r="AN51" s="3349">
        <f t="shared" ref="AN51:AN52" si="145">AL51+AM51</f>
        <v>0</v>
      </c>
      <c r="AO51" s="4074">
        <f t="shared" ref="AO51:AO53" si="146">AN51/AN$89</f>
        <v>0</v>
      </c>
      <c r="AP51" s="4099"/>
      <c r="AQ51" s="3341"/>
      <c r="AR51" s="3341"/>
      <c r="AS51" s="3349">
        <f t="shared" ref="AS51:AS52" si="147">AQ51+AR51</f>
        <v>0</v>
      </c>
      <c r="AT51" s="4074" t="e">
        <f t="shared" ref="AT51:AT53" si="148">AS51/AS$89</f>
        <v>#DIV/0!</v>
      </c>
      <c r="AU51" s="4099"/>
      <c r="AV51" s="3341"/>
      <c r="AW51" s="3341"/>
      <c r="AX51" s="3349">
        <f t="shared" ref="AX51:AX52" si="149">AV51+AW51</f>
        <v>0</v>
      </c>
      <c r="AY51" s="4074" t="e">
        <f t="shared" ref="AY51:AY53" si="150">AX51/AX$89</f>
        <v>#DIV/0!</v>
      </c>
      <c r="AZ51" s="4099"/>
      <c r="BA51" s="3341"/>
      <c r="BB51" s="3341"/>
      <c r="BC51" s="3349">
        <f t="shared" ref="BC51:BC52" si="151">BA51+BB51</f>
        <v>0</v>
      </c>
      <c r="BD51" s="4074" t="e">
        <f t="shared" ref="BD51:BD53" si="152">BC51/BC$89</f>
        <v>#DIV/0!</v>
      </c>
      <c r="BE51" s="4099"/>
      <c r="BF51" s="3341"/>
      <c r="BG51" s="3341"/>
      <c r="BH51" s="3349">
        <f t="shared" ref="BH51:BH52" si="153">BF51+BG51</f>
        <v>0</v>
      </c>
      <c r="BI51" s="4074" t="e">
        <f t="shared" ref="BI51:BI53" si="154">BH51/BH$89</f>
        <v>#DIV/0!</v>
      </c>
      <c r="BJ51" s="4099"/>
      <c r="BK51" s="3341"/>
      <c r="BL51" s="3341"/>
      <c r="BM51" s="3349">
        <f t="shared" ref="BM51:BM52" si="155">BK51+BL51</f>
        <v>0</v>
      </c>
      <c r="BN51" s="4074" t="e">
        <f t="shared" ref="BN51:BN53" si="156">BM51/BM$89</f>
        <v>#DIV/0!</v>
      </c>
      <c r="BO51" s="4099"/>
      <c r="BP51" s="3341"/>
      <c r="BQ51" s="3341"/>
      <c r="BR51" s="3349">
        <f t="shared" ref="BR51:BR52" si="157">BP51+BQ51</f>
        <v>0</v>
      </c>
      <c r="BS51" s="4074" t="e">
        <f t="shared" ref="BS51:BS53" si="158">BR51/BR$89</f>
        <v>#DIV/0!</v>
      </c>
      <c r="BT51" s="4099"/>
      <c r="BU51" s="3341"/>
      <c r="BV51" s="3341"/>
      <c r="BW51" s="3349">
        <f t="shared" ref="BW51:BW52" si="159">BU51+BV51</f>
        <v>0</v>
      </c>
      <c r="BX51" s="4074" t="e">
        <f t="shared" ref="BX51:BX53" si="160">BW51/BW$89</f>
        <v>#DIV/0!</v>
      </c>
      <c r="BY51" s="4099"/>
      <c r="BZ51" s="3341"/>
      <c r="CA51" s="3341"/>
      <c r="CB51" s="3349">
        <f t="shared" ref="CB51:CB52" si="161">BZ51+CA51</f>
        <v>0</v>
      </c>
      <c r="CC51" s="4074" t="e">
        <f t="shared" ref="CC51:CC53" si="162">CB51/CB$89</f>
        <v>#DIV/0!</v>
      </c>
      <c r="CD51" s="4099"/>
      <c r="CE51" s="3341"/>
      <c r="CF51" s="3341"/>
      <c r="CG51" s="3349">
        <f t="shared" ref="CG51:CG52" si="163">CE51+CF51</f>
        <v>0</v>
      </c>
      <c r="CH51" s="4074" t="e">
        <f t="shared" ref="CH51:CH53" si="164">CG51/CG$89</f>
        <v>#DIV/0!</v>
      </c>
      <c r="CI51" s="4099"/>
      <c r="CJ51" s="3341">
        <f t="shared" ref="CJ51:CK53" si="165">C51+H51+M51+W51</f>
        <v>0</v>
      </c>
      <c r="CK51" s="3341">
        <f t="shared" si="165"/>
        <v>0</v>
      </c>
      <c r="CL51" s="2012">
        <f>CJ51+CK51*1</f>
        <v>0</v>
      </c>
      <c r="CM51" s="4074">
        <f>CL51/$CL$89</f>
        <v>0</v>
      </c>
      <c r="CN51" s="4100"/>
      <c r="CP51" s="2012">
        <f>CN51+CO51*1</f>
        <v>0</v>
      </c>
      <c r="CQ51" s="2012">
        <f>CO51+CP51*1</f>
        <v>0</v>
      </c>
      <c r="CR51" s="4188"/>
      <c r="CT51" s="2624"/>
    </row>
    <row r="52" spans="1:98" ht="13.8" outlineLevel="2">
      <c r="A52" s="1566"/>
      <c r="B52" s="4111" t="s">
        <v>61</v>
      </c>
      <c r="C52" s="3341"/>
      <c r="D52" s="3341"/>
      <c r="E52" s="3349">
        <f t="shared" si="132"/>
        <v>0</v>
      </c>
      <c r="F52" s="4074" t="e">
        <f t="shared" si="133"/>
        <v>#DIV/0!</v>
      </c>
      <c r="G52" s="4099"/>
      <c r="H52" s="3341"/>
      <c r="I52" s="3341"/>
      <c r="J52" s="3349">
        <f>H52+I52</f>
        <v>0</v>
      </c>
      <c r="K52" s="4074" t="e">
        <f t="shared" si="134"/>
        <v>#DIV/0!</v>
      </c>
      <c r="L52" s="4099"/>
      <c r="M52" s="3341"/>
      <c r="N52" s="3341"/>
      <c r="O52" s="3349">
        <f t="shared" si="135"/>
        <v>0</v>
      </c>
      <c r="P52" s="4074" t="e">
        <f t="shared" si="136"/>
        <v>#DIV/0!</v>
      </c>
      <c r="Q52" s="4099"/>
      <c r="R52" s="3342">
        <f t="shared" si="137"/>
        <v>0</v>
      </c>
      <c r="S52" s="3342">
        <f t="shared" si="137"/>
        <v>0</v>
      </c>
      <c r="T52" s="2012">
        <f t="shared" si="138"/>
        <v>0</v>
      </c>
      <c r="U52" s="3455"/>
      <c r="V52" s="3455"/>
      <c r="W52" s="3342">
        <f t="shared" si="139"/>
        <v>0</v>
      </c>
      <c r="X52" s="3342">
        <f t="shared" si="139"/>
        <v>0</v>
      </c>
      <c r="Y52" s="2012">
        <f t="shared" si="140"/>
        <v>0</v>
      </c>
      <c r="Z52" s="3455"/>
      <c r="AA52" s="3455"/>
      <c r="AB52" s="3341"/>
      <c r="AC52" s="3341"/>
      <c r="AD52" s="3349">
        <f t="shared" si="141"/>
        <v>0</v>
      </c>
      <c r="AE52" s="4074" t="e">
        <f t="shared" si="142"/>
        <v>#DIV/0!</v>
      </c>
      <c r="AF52" s="4099"/>
      <c r="AG52" s="3341"/>
      <c r="AH52" s="3341"/>
      <c r="AI52" s="3349">
        <f t="shared" si="143"/>
        <v>0</v>
      </c>
      <c r="AJ52" s="4074">
        <f t="shared" si="144"/>
        <v>0</v>
      </c>
      <c r="AK52" s="4099"/>
      <c r="AL52" s="3341"/>
      <c r="AM52" s="3341"/>
      <c r="AN52" s="3349">
        <f t="shared" si="145"/>
        <v>0</v>
      </c>
      <c r="AO52" s="4074">
        <f t="shared" si="146"/>
        <v>0</v>
      </c>
      <c r="AP52" s="4099"/>
      <c r="AQ52" s="3341"/>
      <c r="AR52" s="3341"/>
      <c r="AS52" s="3349">
        <f t="shared" si="147"/>
        <v>0</v>
      </c>
      <c r="AT52" s="4074" t="e">
        <f t="shared" si="148"/>
        <v>#DIV/0!</v>
      </c>
      <c r="AU52" s="4099"/>
      <c r="AV52" s="3341"/>
      <c r="AW52" s="3341"/>
      <c r="AX52" s="3349">
        <f t="shared" si="149"/>
        <v>0</v>
      </c>
      <c r="AY52" s="4074" t="e">
        <f t="shared" si="150"/>
        <v>#DIV/0!</v>
      </c>
      <c r="AZ52" s="4099"/>
      <c r="BA52" s="3341"/>
      <c r="BB52" s="3341"/>
      <c r="BC52" s="3349">
        <f t="shared" si="151"/>
        <v>0</v>
      </c>
      <c r="BD52" s="4074" t="e">
        <f t="shared" si="152"/>
        <v>#DIV/0!</v>
      </c>
      <c r="BE52" s="4099"/>
      <c r="BF52" s="3341"/>
      <c r="BG52" s="3341"/>
      <c r="BH52" s="3349">
        <f t="shared" si="153"/>
        <v>0</v>
      </c>
      <c r="BI52" s="4074" t="e">
        <f t="shared" si="154"/>
        <v>#DIV/0!</v>
      </c>
      <c r="BJ52" s="4099"/>
      <c r="BK52" s="3341"/>
      <c r="BL52" s="3341"/>
      <c r="BM52" s="3349">
        <f t="shared" si="155"/>
        <v>0</v>
      </c>
      <c r="BN52" s="4074" t="e">
        <f t="shared" si="156"/>
        <v>#DIV/0!</v>
      </c>
      <c r="BO52" s="4099"/>
      <c r="BP52" s="3341"/>
      <c r="BQ52" s="3341"/>
      <c r="BR52" s="3349">
        <f t="shared" si="157"/>
        <v>0</v>
      </c>
      <c r="BS52" s="4074" t="e">
        <f t="shared" si="158"/>
        <v>#DIV/0!</v>
      </c>
      <c r="BT52" s="4099"/>
      <c r="BU52" s="3341"/>
      <c r="BV52" s="3341"/>
      <c r="BW52" s="3349">
        <f t="shared" si="159"/>
        <v>0</v>
      </c>
      <c r="BX52" s="4074" t="e">
        <f t="shared" si="160"/>
        <v>#DIV/0!</v>
      </c>
      <c r="BY52" s="4099"/>
      <c r="BZ52" s="3341"/>
      <c r="CA52" s="3341"/>
      <c r="CB52" s="3349">
        <f t="shared" si="161"/>
        <v>0</v>
      </c>
      <c r="CC52" s="4074" t="e">
        <f t="shared" si="162"/>
        <v>#DIV/0!</v>
      </c>
      <c r="CD52" s="4099"/>
      <c r="CE52" s="3341"/>
      <c r="CF52" s="3341"/>
      <c r="CG52" s="3349">
        <f t="shared" si="163"/>
        <v>0</v>
      </c>
      <c r="CH52" s="4074" t="e">
        <f t="shared" si="164"/>
        <v>#DIV/0!</v>
      </c>
      <c r="CI52" s="4099"/>
      <c r="CJ52" s="3341">
        <f t="shared" si="165"/>
        <v>0</v>
      </c>
      <c r="CK52" s="3341">
        <f t="shared" si="165"/>
        <v>0</v>
      </c>
      <c r="CL52" s="2012">
        <f>CJ52+CK52*1</f>
        <v>0</v>
      </c>
      <c r="CM52" s="4074">
        <f>CL52/$CL$89</f>
        <v>0</v>
      </c>
      <c r="CN52" s="4100"/>
      <c r="CP52" s="2012">
        <f>CN52+CO52*1</f>
        <v>0</v>
      </c>
      <c r="CQ52" s="2012">
        <f>CO52+CP52*1</f>
        <v>0</v>
      </c>
      <c r="CR52" s="4188"/>
    </row>
    <row r="53" spans="1:98" ht="14.4" outlineLevel="1" thickBot="1">
      <c r="A53" s="1413"/>
      <c r="B53" s="4118"/>
      <c r="C53" s="3341"/>
      <c r="D53" s="3341"/>
      <c r="E53" s="4119"/>
      <c r="F53" s="4074" t="e">
        <f t="shared" si="133"/>
        <v>#DIV/0!</v>
      </c>
      <c r="G53" s="4120"/>
      <c r="H53" s="3341"/>
      <c r="I53" s="3341"/>
      <c r="J53" s="4119"/>
      <c r="K53" s="4074" t="e">
        <f t="shared" ref="K53:K54" si="166">J53/$E$89</f>
        <v>#DIV/0!</v>
      </c>
      <c r="L53" s="4120"/>
      <c r="M53" s="3341"/>
      <c r="N53" s="3341"/>
      <c r="O53" s="4119"/>
      <c r="P53" s="4074" t="e">
        <f t="shared" si="136"/>
        <v>#DIV/0!</v>
      </c>
      <c r="Q53" s="4120"/>
      <c r="R53" s="4121"/>
      <c r="S53" s="4120"/>
      <c r="T53" s="4120"/>
      <c r="U53" s="4120"/>
      <c r="V53" s="4120"/>
      <c r="W53" s="4120"/>
      <c r="X53" s="4120"/>
      <c r="Y53" s="4120"/>
      <c r="Z53" s="4120"/>
      <c r="AA53" s="4120"/>
      <c r="AB53" s="4082"/>
      <c r="AC53" s="4082"/>
      <c r="AD53" s="4119"/>
      <c r="AE53" s="4084" t="e">
        <f t="shared" si="142"/>
        <v>#DIV/0!</v>
      </c>
      <c r="AF53" s="4120"/>
      <c r="AG53" s="4082"/>
      <c r="AH53" s="4082"/>
      <c r="AI53" s="4119"/>
      <c r="AJ53" s="4084">
        <f t="shared" si="144"/>
        <v>0</v>
      </c>
      <c r="AK53" s="4120"/>
      <c r="AL53" s="4082"/>
      <c r="AM53" s="4082"/>
      <c r="AN53" s="4119"/>
      <c r="AO53" s="4084">
        <f t="shared" si="146"/>
        <v>0</v>
      </c>
      <c r="AP53" s="4120"/>
      <c r="AQ53" s="4082"/>
      <c r="AR53" s="4082"/>
      <c r="AS53" s="4119"/>
      <c r="AT53" s="4084" t="e">
        <f t="shared" si="148"/>
        <v>#DIV/0!</v>
      </c>
      <c r="AU53" s="4120"/>
      <c r="AV53" s="4082"/>
      <c r="AW53" s="4082"/>
      <c r="AX53" s="4119"/>
      <c r="AY53" s="4084" t="e">
        <f t="shared" si="150"/>
        <v>#DIV/0!</v>
      </c>
      <c r="AZ53" s="4120"/>
      <c r="BA53" s="4082"/>
      <c r="BB53" s="4082"/>
      <c r="BC53" s="4119"/>
      <c r="BD53" s="4084" t="e">
        <f t="shared" si="152"/>
        <v>#DIV/0!</v>
      </c>
      <c r="BE53" s="4120"/>
      <c r="BF53" s="4082"/>
      <c r="BG53" s="4082"/>
      <c r="BH53" s="4119"/>
      <c r="BI53" s="4084" t="e">
        <f t="shared" si="154"/>
        <v>#DIV/0!</v>
      </c>
      <c r="BJ53" s="4120"/>
      <c r="BK53" s="4082"/>
      <c r="BL53" s="4082"/>
      <c r="BM53" s="4119"/>
      <c r="BN53" s="4084" t="e">
        <f t="shared" si="156"/>
        <v>#DIV/0!</v>
      </c>
      <c r="BO53" s="4120"/>
      <c r="BP53" s="4082"/>
      <c r="BQ53" s="4082"/>
      <c r="BR53" s="4119"/>
      <c r="BS53" s="4084" t="e">
        <f t="shared" si="158"/>
        <v>#DIV/0!</v>
      </c>
      <c r="BT53" s="4120"/>
      <c r="BU53" s="4082"/>
      <c r="BV53" s="4082"/>
      <c r="BW53" s="4119"/>
      <c r="BX53" s="4084" t="e">
        <f t="shared" si="160"/>
        <v>#DIV/0!</v>
      </c>
      <c r="BY53" s="4120"/>
      <c r="BZ53" s="4082"/>
      <c r="CA53" s="4082"/>
      <c r="CB53" s="4119"/>
      <c r="CC53" s="4084" t="e">
        <f t="shared" si="162"/>
        <v>#DIV/0!</v>
      </c>
      <c r="CD53" s="4120"/>
      <c r="CE53" s="4082"/>
      <c r="CF53" s="4082"/>
      <c r="CG53" s="4119"/>
      <c r="CH53" s="4084" t="e">
        <f t="shared" si="164"/>
        <v>#DIV/0!</v>
      </c>
      <c r="CI53" s="4120"/>
      <c r="CJ53" s="4082">
        <f t="shared" si="165"/>
        <v>0</v>
      </c>
      <c r="CK53" s="4082">
        <f t="shared" si="165"/>
        <v>0</v>
      </c>
      <c r="CL53" s="4119"/>
      <c r="CM53" s="4119"/>
      <c r="CN53" s="4119"/>
      <c r="CP53" s="4122"/>
      <c r="CQ53" s="4122"/>
      <c r="CR53" s="4188"/>
    </row>
    <row r="54" spans="1:98" ht="13.8" outlineLevel="1">
      <c r="A54" s="1570"/>
      <c r="B54" s="1410" t="s">
        <v>1</v>
      </c>
      <c r="C54" s="2015">
        <f>SUM(C55:C72)</f>
        <v>0</v>
      </c>
      <c r="D54" s="2015">
        <f>SUM(D55:D72)</f>
        <v>0</v>
      </c>
      <c r="E54" s="2014">
        <f>SUM(E55:E72)</f>
        <v>0</v>
      </c>
      <c r="F54" s="4110" t="e">
        <f t="shared" si="133"/>
        <v>#DIV/0!</v>
      </c>
      <c r="G54" s="1057"/>
      <c r="H54" s="2015">
        <f>SUM(H55:H72)</f>
        <v>0</v>
      </c>
      <c r="I54" s="2015">
        <f>SUM(I55:I72)</f>
        <v>0</v>
      </c>
      <c r="J54" s="2014">
        <f>SUM(J55:J72)</f>
        <v>0</v>
      </c>
      <c r="K54" s="4110" t="e">
        <f t="shared" si="166"/>
        <v>#DIV/0!</v>
      </c>
      <c r="L54" s="1057"/>
      <c r="M54" s="2015">
        <f>SUM(M55:M72)</f>
        <v>0</v>
      </c>
      <c r="N54" s="2015">
        <f>SUM(N55:N72)</f>
        <v>0</v>
      </c>
      <c r="O54" s="2014">
        <f>SUM(O55:O72)</f>
        <v>0</v>
      </c>
      <c r="P54" s="4110" t="e">
        <f t="shared" ref="P54" si="167">O54/$E$89</f>
        <v>#DIV/0!</v>
      </c>
      <c r="Q54" s="1057"/>
      <c r="R54" s="2013">
        <f>SUM(R55:R72)</f>
        <v>0</v>
      </c>
      <c r="S54" s="2013">
        <f>SUM(S55:S72)</f>
        <v>0</v>
      </c>
      <c r="T54" s="2013">
        <f>SUM(T55:T72)</f>
        <v>0</v>
      </c>
      <c r="U54" s="1535"/>
      <c r="V54" s="3460"/>
      <c r="W54" s="2013">
        <f>SUM(W55:W72)</f>
        <v>0</v>
      </c>
      <c r="X54" s="2013">
        <f>SUM(X55:X72)</f>
        <v>0</v>
      </c>
      <c r="Y54" s="2013">
        <f>SUM(Y55:Y72)</f>
        <v>0</v>
      </c>
      <c r="Z54" s="1535"/>
      <c r="AA54" s="3460"/>
      <c r="AB54" s="2013">
        <f>SUM(AB55:AB72)</f>
        <v>0</v>
      </c>
      <c r="AC54" s="2013">
        <f>SUM(AC55:AC72)</f>
        <v>0</v>
      </c>
      <c r="AD54" s="2013">
        <f>SUM(AD55:AD72)</f>
        <v>0</v>
      </c>
      <c r="AE54" s="1535"/>
      <c r="AF54" s="3735"/>
      <c r="AG54" s="2013">
        <f>SUM(AG55:AG72)</f>
        <v>0</v>
      </c>
      <c r="AH54" s="2013">
        <f>SUM(AH55:AH72)</f>
        <v>0</v>
      </c>
      <c r="AI54" s="2013">
        <f>SUM(AI55:AI72)</f>
        <v>0</v>
      </c>
      <c r="AJ54" s="1535"/>
      <c r="AK54" s="3735"/>
      <c r="AL54" s="2013">
        <f>SUM(AL55:AL72)</f>
        <v>0</v>
      </c>
      <c r="AM54" s="2013">
        <f>SUM(AM55:AM72)</f>
        <v>0</v>
      </c>
      <c r="AN54" s="2013">
        <f>SUM(AN55:AN72)</f>
        <v>0</v>
      </c>
      <c r="AO54" s="1535"/>
      <c r="AP54" s="3735"/>
      <c r="AQ54" s="2013">
        <f>SUM(AQ55:AQ72)</f>
        <v>0</v>
      </c>
      <c r="AR54" s="2013">
        <f>SUM(AR55:AR72)</f>
        <v>0</v>
      </c>
      <c r="AS54" s="2013">
        <f>SUM(AS55:AS72)</f>
        <v>0</v>
      </c>
      <c r="AT54" s="1535"/>
      <c r="AU54" s="3735"/>
      <c r="AV54" s="2013">
        <f>SUM(AV55:AV72)</f>
        <v>0</v>
      </c>
      <c r="AW54" s="2013">
        <f>SUM(AW55:AW72)</f>
        <v>0</v>
      </c>
      <c r="AX54" s="2013">
        <f>SUM(AX55:AX72)</f>
        <v>0</v>
      </c>
      <c r="AY54" s="1535"/>
      <c r="AZ54" s="3735"/>
      <c r="BA54" s="2013">
        <f>SUM(BA55:BA72)</f>
        <v>0</v>
      </c>
      <c r="BB54" s="2013">
        <f>SUM(BB55:BB72)</f>
        <v>0</v>
      </c>
      <c r="BC54" s="2013">
        <f>SUM(BC55:BC72)</f>
        <v>0</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0</v>
      </c>
      <c r="CK54" s="2013">
        <f>SUM(CK55:CK72)</f>
        <v>0</v>
      </c>
      <c r="CL54" s="2013">
        <f>SUM(CL55:CL72)</f>
        <v>0</v>
      </c>
      <c r="CM54" s="1535">
        <f t="shared" ref="CM54:CM71" si="168">CL54/$CL$89</f>
        <v>0</v>
      </c>
      <c r="CN54" s="1061"/>
      <c r="CP54" s="2015">
        <f>SUM(CP55:CP72)</f>
        <v>0</v>
      </c>
      <c r="CQ54" s="2015">
        <f>SUM(CQ55:CQ72)</f>
        <v>0</v>
      </c>
      <c r="CR54" s="2015"/>
    </row>
    <row r="55" spans="1:98" ht="13.8" outlineLevel="2">
      <c r="A55" s="1571"/>
      <c r="B55" s="4098" t="s">
        <v>77</v>
      </c>
      <c r="C55" s="3349"/>
      <c r="D55" s="3349"/>
      <c r="E55" s="3349">
        <f t="shared" ref="E55:E71" si="169">C55+D55</f>
        <v>0</v>
      </c>
      <c r="F55" s="4074" t="e">
        <f t="shared" si="133"/>
        <v>#DIV/0!</v>
      </c>
      <c r="G55" s="4112"/>
      <c r="H55" s="3349"/>
      <c r="I55" s="3349"/>
      <c r="J55" s="3349">
        <f t="shared" ref="J55:J71" si="170">H55+I55</f>
        <v>0</v>
      </c>
      <c r="K55" s="4074" t="e">
        <f t="shared" ref="K55:K72" si="171">J55/J$89</f>
        <v>#DIV/0!</v>
      </c>
      <c r="L55" s="4112"/>
      <c r="M55" s="3349"/>
      <c r="N55" s="3349"/>
      <c r="O55" s="3349">
        <f t="shared" ref="O55:O71" si="172">M55+N55</f>
        <v>0</v>
      </c>
      <c r="P55" s="4074" t="e">
        <f t="shared" ref="P55:P72" si="173">O55/O$89</f>
        <v>#DIV/0!</v>
      </c>
      <c r="Q55" s="4112"/>
      <c r="R55" s="3342">
        <f t="shared" ref="R55:S71" si="174">M55+H55+C55</f>
        <v>0</v>
      </c>
      <c r="S55" s="3342">
        <f t="shared" si="174"/>
        <v>0</v>
      </c>
      <c r="T55" s="2012">
        <f t="shared" ref="T55:T71" si="175">R55+S55</f>
        <v>0</v>
      </c>
      <c r="U55" s="3462"/>
      <c r="V55" s="3462"/>
      <c r="W55" s="3342">
        <f t="shared" ref="W55:X71" si="176">AB55+AG55+AL55+AV55+BA55+BF55+BK55+BP55+BU55+BZ55+CE55+AQ55</f>
        <v>0</v>
      </c>
      <c r="X55" s="3342">
        <f t="shared" si="176"/>
        <v>0</v>
      </c>
      <c r="Y55" s="2012">
        <f t="shared" ref="Y55:Y71" si="177">W55+X55</f>
        <v>0</v>
      </c>
      <c r="Z55" s="3462"/>
      <c r="AA55" s="3462"/>
      <c r="AB55" s="3349"/>
      <c r="AC55" s="3349"/>
      <c r="AD55" s="3349">
        <f t="shared" ref="AD55:AD71" si="178">AB55+AC55</f>
        <v>0</v>
      </c>
      <c r="AE55" s="4074" t="e">
        <f t="shared" ref="AE55:AE71" si="179">AD55/AD$89</f>
        <v>#DIV/0!</v>
      </c>
      <c r="AF55" s="4112"/>
      <c r="AG55" s="3349"/>
      <c r="AH55" s="3349"/>
      <c r="AI55" s="3349">
        <f t="shared" ref="AI55:AI71" si="180">AG55+AH55</f>
        <v>0</v>
      </c>
      <c r="AJ55" s="4074">
        <f t="shared" ref="AJ55:AJ71" si="181">AI55/AI$89</f>
        <v>0</v>
      </c>
      <c r="AK55" s="4112"/>
      <c r="AL55" s="3349"/>
      <c r="AM55" s="3349"/>
      <c r="AN55" s="3349">
        <f t="shared" ref="AN55:AN71" si="182">AL55+AM55</f>
        <v>0</v>
      </c>
      <c r="AO55" s="4074">
        <f t="shared" ref="AO55:AO71" si="183">AN55/AN$89</f>
        <v>0</v>
      </c>
      <c r="AP55" s="4112"/>
      <c r="AQ55" s="3349"/>
      <c r="AR55" s="3349"/>
      <c r="AS55" s="3349">
        <f t="shared" ref="AS55:AS71" si="184">AQ55+AR55</f>
        <v>0</v>
      </c>
      <c r="AT55" s="4074" t="e">
        <f t="shared" ref="AT55:AT71" si="185">AS55/AS$89</f>
        <v>#DIV/0!</v>
      </c>
      <c r="AU55" s="4112"/>
      <c r="AV55" s="3349"/>
      <c r="AW55" s="3349"/>
      <c r="AX55" s="3349">
        <f t="shared" ref="AX55:AX71" si="186">AV55+AW55</f>
        <v>0</v>
      </c>
      <c r="AY55" s="4074" t="e">
        <f t="shared" ref="AY55:AY71" si="187">AX55/AX$89</f>
        <v>#DIV/0!</v>
      </c>
      <c r="AZ55" s="4112"/>
      <c r="BA55" s="3349"/>
      <c r="BB55" s="3349"/>
      <c r="BC55" s="3349">
        <f t="shared" ref="BC55:BC71" si="188">BA55+BB55</f>
        <v>0</v>
      </c>
      <c r="BD55" s="4074" t="e">
        <f t="shared" ref="BD55:BD71" si="189">BC55/BC$89</f>
        <v>#DIV/0!</v>
      </c>
      <c r="BE55" s="4112"/>
      <c r="BF55" s="3349"/>
      <c r="BG55" s="3349"/>
      <c r="BH55" s="3349">
        <f t="shared" ref="BH55:BH71" si="190">BF55+BG55</f>
        <v>0</v>
      </c>
      <c r="BI55" s="4074" t="e">
        <f t="shared" ref="BI55:BI71" si="191">BH55/BH$89</f>
        <v>#DIV/0!</v>
      </c>
      <c r="BJ55" s="4112"/>
      <c r="BK55" s="3349"/>
      <c r="BL55" s="3349"/>
      <c r="BM55" s="3349">
        <f t="shared" ref="BM55:BM71" si="192">BK55+BL55</f>
        <v>0</v>
      </c>
      <c r="BN55" s="4074" t="e">
        <f t="shared" ref="BN55:BN71" si="193">BM55/BM$89</f>
        <v>#DIV/0!</v>
      </c>
      <c r="BO55" s="4112"/>
      <c r="BP55" s="3349"/>
      <c r="BQ55" s="3349"/>
      <c r="BR55" s="3349">
        <f t="shared" ref="BR55:BR71" si="194">BP55+BQ55</f>
        <v>0</v>
      </c>
      <c r="BS55" s="4074" t="e">
        <f t="shared" ref="BS55:BS71" si="195">BR55/BR$89</f>
        <v>#DIV/0!</v>
      </c>
      <c r="BT55" s="4112"/>
      <c r="BU55" s="3349"/>
      <c r="BV55" s="3349"/>
      <c r="BW55" s="3349">
        <f t="shared" ref="BW55:BW71" si="196">BU55+BV55</f>
        <v>0</v>
      </c>
      <c r="BX55" s="4074" t="e">
        <f t="shared" ref="BX55:BX71" si="197">BW55/BW$89</f>
        <v>#DIV/0!</v>
      </c>
      <c r="BY55" s="4112"/>
      <c r="BZ55" s="3349"/>
      <c r="CA55" s="3349"/>
      <c r="CB55" s="3349">
        <f t="shared" ref="CB55:CB71" si="198">BZ55+CA55</f>
        <v>0</v>
      </c>
      <c r="CC55" s="4074" t="e">
        <f t="shared" ref="CC55:CC71" si="199">CB55/CB$89</f>
        <v>#DIV/0!</v>
      </c>
      <c r="CD55" s="4112"/>
      <c r="CE55" s="3349"/>
      <c r="CF55" s="3349"/>
      <c r="CG55" s="3349">
        <f t="shared" ref="CG55:CG71" si="200">CE55+CF55</f>
        <v>0</v>
      </c>
      <c r="CH55" s="4074" t="e">
        <f t="shared" ref="CH55:CH71" si="201">CG55/CG$89</f>
        <v>#DIV/0!</v>
      </c>
      <c r="CI55" s="4112"/>
      <c r="CJ55" s="3341">
        <f t="shared" ref="CJ55:CK71" si="202">C55+H55+M55+W55</f>
        <v>0</v>
      </c>
      <c r="CK55" s="3341">
        <f t="shared" si="202"/>
        <v>0</v>
      </c>
      <c r="CL55" s="2012">
        <f t="shared" ref="CL55:CL71" si="203">CJ55+CK55*1</f>
        <v>0</v>
      </c>
      <c r="CM55" s="4074">
        <f t="shared" si="168"/>
        <v>0</v>
      </c>
      <c r="CN55" s="4076"/>
      <c r="CP55" s="2012">
        <f t="shared" ref="CP55:CQ71" si="204">CN55+CO55*1</f>
        <v>0</v>
      </c>
      <c r="CQ55" s="2012">
        <f t="shared" si="204"/>
        <v>0</v>
      </c>
      <c r="CR55" s="4188"/>
    </row>
    <row r="56" spans="1:98" ht="13.8" outlineLevel="2">
      <c r="A56" s="1571"/>
      <c r="B56" s="4098" t="s">
        <v>76</v>
      </c>
      <c r="C56" s="3349"/>
      <c r="D56" s="3349"/>
      <c r="E56" s="3349">
        <f t="shared" si="169"/>
        <v>0</v>
      </c>
      <c r="F56" s="4074" t="e">
        <f t="shared" si="133"/>
        <v>#DIV/0!</v>
      </c>
      <c r="G56" s="4112"/>
      <c r="H56" s="3349"/>
      <c r="I56" s="3349"/>
      <c r="J56" s="3349">
        <f t="shared" si="170"/>
        <v>0</v>
      </c>
      <c r="K56" s="4074" t="e">
        <f t="shared" si="171"/>
        <v>#DIV/0!</v>
      </c>
      <c r="L56" s="4112"/>
      <c r="M56" s="3349"/>
      <c r="N56" s="3349"/>
      <c r="O56" s="3349">
        <f t="shared" si="172"/>
        <v>0</v>
      </c>
      <c r="P56" s="4074" t="e">
        <f t="shared" si="173"/>
        <v>#DIV/0!</v>
      </c>
      <c r="Q56" s="4112"/>
      <c r="R56" s="3342">
        <f t="shared" si="174"/>
        <v>0</v>
      </c>
      <c r="S56" s="3342">
        <f t="shared" si="174"/>
        <v>0</v>
      </c>
      <c r="T56" s="2012">
        <f t="shared" si="175"/>
        <v>0</v>
      </c>
      <c r="U56" s="3462"/>
      <c r="V56" s="3462"/>
      <c r="W56" s="3342">
        <f t="shared" si="176"/>
        <v>0</v>
      </c>
      <c r="X56" s="3342">
        <f t="shared" si="176"/>
        <v>0</v>
      </c>
      <c r="Y56" s="2012">
        <f t="shared" si="177"/>
        <v>0</v>
      </c>
      <c r="Z56" s="3462"/>
      <c r="AA56" s="3462"/>
      <c r="AB56" s="3349"/>
      <c r="AC56" s="3349"/>
      <c r="AD56" s="3349">
        <f t="shared" si="178"/>
        <v>0</v>
      </c>
      <c r="AE56" s="4074" t="e">
        <f t="shared" si="179"/>
        <v>#DIV/0!</v>
      </c>
      <c r="AF56" s="4112"/>
      <c r="AG56" s="3349"/>
      <c r="AH56" s="3349"/>
      <c r="AI56" s="3349">
        <f t="shared" si="180"/>
        <v>0</v>
      </c>
      <c r="AJ56" s="4074">
        <f t="shared" si="181"/>
        <v>0</v>
      </c>
      <c r="AK56" s="4112"/>
      <c r="AL56" s="3349"/>
      <c r="AM56" s="3349"/>
      <c r="AN56" s="3349">
        <f t="shared" si="182"/>
        <v>0</v>
      </c>
      <c r="AO56" s="4074">
        <f t="shared" si="183"/>
        <v>0</v>
      </c>
      <c r="AP56" s="4112"/>
      <c r="AQ56" s="3349"/>
      <c r="AR56" s="3349"/>
      <c r="AS56" s="3349">
        <f t="shared" si="184"/>
        <v>0</v>
      </c>
      <c r="AT56" s="4074" t="e">
        <f t="shared" si="185"/>
        <v>#DIV/0!</v>
      </c>
      <c r="AU56" s="4112"/>
      <c r="AV56" s="3349"/>
      <c r="AW56" s="3349"/>
      <c r="AX56" s="3349">
        <f t="shared" si="186"/>
        <v>0</v>
      </c>
      <c r="AY56" s="4074" t="e">
        <f t="shared" si="187"/>
        <v>#DIV/0!</v>
      </c>
      <c r="AZ56" s="4112"/>
      <c r="BA56" s="3349"/>
      <c r="BB56" s="3349"/>
      <c r="BC56" s="3349">
        <f t="shared" si="188"/>
        <v>0</v>
      </c>
      <c r="BD56" s="4074" t="e">
        <f t="shared" si="189"/>
        <v>#DIV/0!</v>
      </c>
      <c r="BE56" s="4112"/>
      <c r="BF56" s="3349"/>
      <c r="BG56" s="3349"/>
      <c r="BH56" s="3349">
        <f t="shared" si="190"/>
        <v>0</v>
      </c>
      <c r="BI56" s="4074" t="e">
        <f t="shared" si="191"/>
        <v>#DIV/0!</v>
      </c>
      <c r="BJ56" s="4112"/>
      <c r="BK56" s="3349"/>
      <c r="BL56" s="3349"/>
      <c r="BM56" s="3349">
        <f t="shared" si="192"/>
        <v>0</v>
      </c>
      <c r="BN56" s="4074" t="e">
        <f t="shared" si="193"/>
        <v>#DIV/0!</v>
      </c>
      <c r="BO56" s="4112"/>
      <c r="BP56" s="3349"/>
      <c r="BQ56" s="3349"/>
      <c r="BR56" s="3349">
        <f t="shared" si="194"/>
        <v>0</v>
      </c>
      <c r="BS56" s="4074" t="e">
        <f t="shared" si="195"/>
        <v>#DIV/0!</v>
      </c>
      <c r="BT56" s="4112"/>
      <c r="BU56" s="3349"/>
      <c r="BV56" s="3349"/>
      <c r="BW56" s="3349">
        <f t="shared" si="196"/>
        <v>0</v>
      </c>
      <c r="BX56" s="4074" t="e">
        <f t="shared" si="197"/>
        <v>#DIV/0!</v>
      </c>
      <c r="BY56" s="4112"/>
      <c r="BZ56" s="3349"/>
      <c r="CA56" s="3349"/>
      <c r="CB56" s="3349">
        <f t="shared" si="198"/>
        <v>0</v>
      </c>
      <c r="CC56" s="4074" t="e">
        <f t="shared" si="199"/>
        <v>#DIV/0!</v>
      </c>
      <c r="CD56" s="4112"/>
      <c r="CE56" s="3349"/>
      <c r="CF56" s="3349"/>
      <c r="CG56" s="3349">
        <f t="shared" si="200"/>
        <v>0</v>
      </c>
      <c r="CH56" s="4074" t="e">
        <f t="shared" si="201"/>
        <v>#DIV/0!</v>
      </c>
      <c r="CI56" s="4112"/>
      <c r="CJ56" s="3341">
        <f t="shared" si="202"/>
        <v>0</v>
      </c>
      <c r="CK56" s="3341">
        <f t="shared" si="202"/>
        <v>0</v>
      </c>
      <c r="CL56" s="2012">
        <f t="shared" si="203"/>
        <v>0</v>
      </c>
      <c r="CM56" s="4074">
        <f t="shared" si="168"/>
        <v>0</v>
      </c>
      <c r="CN56" s="4076"/>
      <c r="CP56" s="2012">
        <f t="shared" si="204"/>
        <v>0</v>
      </c>
      <c r="CQ56" s="2012">
        <f t="shared" si="204"/>
        <v>0</v>
      </c>
      <c r="CR56" s="4188"/>
    </row>
    <row r="57" spans="1:98" ht="13.8" outlineLevel="2">
      <c r="A57" s="1571"/>
      <c r="B57" s="4098" t="s">
        <v>68</v>
      </c>
      <c r="C57" s="3349"/>
      <c r="D57" s="3349"/>
      <c r="E57" s="3349">
        <f t="shared" si="169"/>
        <v>0</v>
      </c>
      <c r="F57" s="4074" t="e">
        <f t="shared" si="133"/>
        <v>#DIV/0!</v>
      </c>
      <c r="G57" s="4112"/>
      <c r="H57" s="3349"/>
      <c r="I57" s="3349"/>
      <c r="J57" s="3349">
        <f t="shared" si="170"/>
        <v>0</v>
      </c>
      <c r="K57" s="4074" t="e">
        <f t="shared" si="171"/>
        <v>#DIV/0!</v>
      </c>
      <c r="L57" s="4112"/>
      <c r="M57" s="3349"/>
      <c r="N57" s="3349"/>
      <c r="O57" s="3349">
        <f t="shared" si="172"/>
        <v>0</v>
      </c>
      <c r="P57" s="4074" t="e">
        <f t="shared" si="173"/>
        <v>#DIV/0!</v>
      </c>
      <c r="Q57" s="4112"/>
      <c r="R57" s="3342">
        <f t="shared" si="174"/>
        <v>0</v>
      </c>
      <c r="S57" s="3342">
        <f t="shared" si="174"/>
        <v>0</v>
      </c>
      <c r="T57" s="2012">
        <f t="shared" si="175"/>
        <v>0</v>
      </c>
      <c r="U57" s="3462"/>
      <c r="V57" s="3462"/>
      <c r="W57" s="3342">
        <f t="shared" si="176"/>
        <v>0</v>
      </c>
      <c r="X57" s="3342">
        <f t="shared" si="176"/>
        <v>0</v>
      </c>
      <c r="Y57" s="2012">
        <f t="shared" si="177"/>
        <v>0</v>
      </c>
      <c r="Z57" s="3462"/>
      <c r="AA57" s="3462"/>
      <c r="AB57" s="3349"/>
      <c r="AC57" s="3349"/>
      <c r="AD57" s="3349">
        <f t="shared" si="178"/>
        <v>0</v>
      </c>
      <c r="AE57" s="4074" t="e">
        <f t="shared" si="179"/>
        <v>#DIV/0!</v>
      </c>
      <c r="AF57" s="4112"/>
      <c r="AG57" s="3349"/>
      <c r="AH57" s="3349"/>
      <c r="AI57" s="3349">
        <f t="shared" si="180"/>
        <v>0</v>
      </c>
      <c r="AJ57" s="4074">
        <f t="shared" si="181"/>
        <v>0</v>
      </c>
      <c r="AK57" s="4112"/>
      <c r="AL57" s="3349"/>
      <c r="AM57" s="3349"/>
      <c r="AN57" s="3349">
        <f t="shared" si="182"/>
        <v>0</v>
      </c>
      <c r="AO57" s="4074">
        <f t="shared" si="183"/>
        <v>0</v>
      </c>
      <c r="AP57" s="4112"/>
      <c r="AQ57" s="3349"/>
      <c r="AR57" s="3349"/>
      <c r="AS57" s="3349">
        <f t="shared" si="184"/>
        <v>0</v>
      </c>
      <c r="AT57" s="4074" t="e">
        <f t="shared" si="185"/>
        <v>#DIV/0!</v>
      </c>
      <c r="AU57" s="4112"/>
      <c r="AV57" s="3349"/>
      <c r="AW57" s="3349"/>
      <c r="AX57" s="3349">
        <f t="shared" si="186"/>
        <v>0</v>
      </c>
      <c r="AY57" s="4074" t="e">
        <f t="shared" si="187"/>
        <v>#DIV/0!</v>
      </c>
      <c r="AZ57" s="4112"/>
      <c r="BA57" s="3349"/>
      <c r="BB57" s="3349"/>
      <c r="BC57" s="3349">
        <f t="shared" si="188"/>
        <v>0</v>
      </c>
      <c r="BD57" s="4074" t="e">
        <f t="shared" si="189"/>
        <v>#DIV/0!</v>
      </c>
      <c r="BE57" s="4112"/>
      <c r="BF57" s="3349"/>
      <c r="BG57" s="3349"/>
      <c r="BH57" s="3349">
        <f t="shared" si="190"/>
        <v>0</v>
      </c>
      <c r="BI57" s="4074" t="e">
        <f t="shared" si="191"/>
        <v>#DIV/0!</v>
      </c>
      <c r="BJ57" s="4112"/>
      <c r="BK57" s="3349"/>
      <c r="BL57" s="3349"/>
      <c r="BM57" s="3349">
        <f t="shared" si="192"/>
        <v>0</v>
      </c>
      <c r="BN57" s="4074" t="e">
        <f t="shared" si="193"/>
        <v>#DIV/0!</v>
      </c>
      <c r="BO57" s="4112"/>
      <c r="BP57" s="3349"/>
      <c r="BQ57" s="3349"/>
      <c r="BR57" s="3349">
        <f t="shared" si="194"/>
        <v>0</v>
      </c>
      <c r="BS57" s="4074" t="e">
        <f t="shared" si="195"/>
        <v>#DIV/0!</v>
      </c>
      <c r="BT57" s="4112"/>
      <c r="BU57" s="3349"/>
      <c r="BV57" s="3349"/>
      <c r="BW57" s="3349">
        <f t="shared" si="196"/>
        <v>0</v>
      </c>
      <c r="BX57" s="4074" t="e">
        <f t="shared" si="197"/>
        <v>#DIV/0!</v>
      </c>
      <c r="BY57" s="4112"/>
      <c r="BZ57" s="3349"/>
      <c r="CA57" s="3349"/>
      <c r="CB57" s="3349">
        <f t="shared" si="198"/>
        <v>0</v>
      </c>
      <c r="CC57" s="4074" t="e">
        <f t="shared" si="199"/>
        <v>#DIV/0!</v>
      </c>
      <c r="CD57" s="4112"/>
      <c r="CE57" s="3349"/>
      <c r="CF57" s="3349"/>
      <c r="CG57" s="3349">
        <f t="shared" si="200"/>
        <v>0</v>
      </c>
      <c r="CH57" s="4074" t="e">
        <f t="shared" si="201"/>
        <v>#DIV/0!</v>
      </c>
      <c r="CI57" s="4112"/>
      <c r="CJ57" s="3341">
        <f t="shared" si="202"/>
        <v>0</v>
      </c>
      <c r="CK57" s="3341">
        <f t="shared" si="202"/>
        <v>0</v>
      </c>
      <c r="CL57" s="2012">
        <f t="shared" si="203"/>
        <v>0</v>
      </c>
      <c r="CM57" s="4074">
        <f t="shared" si="168"/>
        <v>0</v>
      </c>
      <c r="CN57" s="4076"/>
      <c r="CP57" s="2012">
        <f t="shared" si="204"/>
        <v>0</v>
      </c>
      <c r="CQ57" s="2012">
        <f t="shared" si="204"/>
        <v>0</v>
      </c>
      <c r="CR57" s="4188"/>
    </row>
    <row r="58" spans="1:98" ht="13.8" outlineLevel="2">
      <c r="A58" s="1571"/>
      <c r="B58" s="4098" t="s">
        <v>67</v>
      </c>
      <c r="C58" s="3349"/>
      <c r="D58" s="3349"/>
      <c r="E58" s="3349">
        <f t="shared" si="169"/>
        <v>0</v>
      </c>
      <c r="F58" s="4074" t="e">
        <f t="shared" si="133"/>
        <v>#DIV/0!</v>
      </c>
      <c r="G58" s="4112"/>
      <c r="H58" s="3349"/>
      <c r="I58" s="3349"/>
      <c r="J58" s="3349">
        <f t="shared" si="170"/>
        <v>0</v>
      </c>
      <c r="K58" s="4074" t="e">
        <f t="shared" si="171"/>
        <v>#DIV/0!</v>
      </c>
      <c r="L58" s="4112"/>
      <c r="M58" s="3349"/>
      <c r="N58" s="3349"/>
      <c r="O58" s="3349">
        <f t="shared" si="172"/>
        <v>0</v>
      </c>
      <c r="P58" s="4074" t="e">
        <f t="shared" si="173"/>
        <v>#DIV/0!</v>
      </c>
      <c r="Q58" s="4112"/>
      <c r="R58" s="3342">
        <f t="shared" si="174"/>
        <v>0</v>
      </c>
      <c r="S58" s="3342">
        <f t="shared" si="174"/>
        <v>0</v>
      </c>
      <c r="T58" s="2012">
        <f t="shared" si="175"/>
        <v>0</v>
      </c>
      <c r="U58" s="3462"/>
      <c r="V58" s="3462"/>
      <c r="W58" s="3342">
        <f t="shared" si="176"/>
        <v>0</v>
      </c>
      <c r="X58" s="3342">
        <f t="shared" si="176"/>
        <v>0</v>
      </c>
      <c r="Y58" s="2012">
        <f t="shared" si="177"/>
        <v>0</v>
      </c>
      <c r="Z58" s="3462"/>
      <c r="AA58" s="3462"/>
      <c r="AB58" s="3349"/>
      <c r="AC58" s="3349"/>
      <c r="AD58" s="3349">
        <f t="shared" si="178"/>
        <v>0</v>
      </c>
      <c r="AE58" s="4074" t="e">
        <f t="shared" si="179"/>
        <v>#DIV/0!</v>
      </c>
      <c r="AF58" s="4112"/>
      <c r="AG58" s="3349"/>
      <c r="AH58" s="3349"/>
      <c r="AI58" s="3349">
        <f t="shared" si="180"/>
        <v>0</v>
      </c>
      <c r="AJ58" s="4074">
        <f t="shared" si="181"/>
        <v>0</v>
      </c>
      <c r="AK58" s="4112"/>
      <c r="AL58" s="3349"/>
      <c r="AM58" s="3349"/>
      <c r="AN58" s="3349">
        <f t="shared" si="182"/>
        <v>0</v>
      </c>
      <c r="AO58" s="4074">
        <f t="shared" si="183"/>
        <v>0</v>
      </c>
      <c r="AP58" s="4112"/>
      <c r="AQ58" s="3349"/>
      <c r="AR58" s="3349"/>
      <c r="AS58" s="3349">
        <f t="shared" si="184"/>
        <v>0</v>
      </c>
      <c r="AT58" s="4074" t="e">
        <f t="shared" si="185"/>
        <v>#DIV/0!</v>
      </c>
      <c r="AU58" s="4112"/>
      <c r="AV58" s="3349"/>
      <c r="AW58" s="3349"/>
      <c r="AX58" s="3349">
        <f t="shared" si="186"/>
        <v>0</v>
      </c>
      <c r="AY58" s="4074" t="e">
        <f t="shared" si="187"/>
        <v>#DIV/0!</v>
      </c>
      <c r="AZ58" s="4112"/>
      <c r="BA58" s="3349"/>
      <c r="BB58" s="3349"/>
      <c r="BC58" s="3349">
        <f t="shared" si="188"/>
        <v>0</v>
      </c>
      <c r="BD58" s="4074" t="e">
        <f t="shared" si="189"/>
        <v>#DIV/0!</v>
      </c>
      <c r="BE58" s="4112"/>
      <c r="BF58" s="3349"/>
      <c r="BG58" s="3349"/>
      <c r="BH58" s="3349">
        <f t="shared" si="190"/>
        <v>0</v>
      </c>
      <c r="BI58" s="4074" t="e">
        <f t="shared" si="191"/>
        <v>#DIV/0!</v>
      </c>
      <c r="BJ58" s="4112"/>
      <c r="BK58" s="3349"/>
      <c r="BL58" s="3349"/>
      <c r="BM58" s="3349">
        <f t="shared" si="192"/>
        <v>0</v>
      </c>
      <c r="BN58" s="4074" t="e">
        <f t="shared" si="193"/>
        <v>#DIV/0!</v>
      </c>
      <c r="BO58" s="4112"/>
      <c r="BP58" s="3349"/>
      <c r="BQ58" s="3349"/>
      <c r="BR58" s="3349">
        <f t="shared" si="194"/>
        <v>0</v>
      </c>
      <c r="BS58" s="4074" t="e">
        <f t="shared" si="195"/>
        <v>#DIV/0!</v>
      </c>
      <c r="BT58" s="4112"/>
      <c r="BU58" s="3349"/>
      <c r="BV58" s="3349"/>
      <c r="BW58" s="3349">
        <f t="shared" si="196"/>
        <v>0</v>
      </c>
      <c r="BX58" s="4074" t="e">
        <f t="shared" si="197"/>
        <v>#DIV/0!</v>
      </c>
      <c r="BY58" s="4112"/>
      <c r="BZ58" s="3349"/>
      <c r="CA58" s="3349"/>
      <c r="CB58" s="3349">
        <f t="shared" si="198"/>
        <v>0</v>
      </c>
      <c r="CC58" s="4074" t="e">
        <f t="shared" si="199"/>
        <v>#DIV/0!</v>
      </c>
      <c r="CD58" s="4112"/>
      <c r="CE58" s="3349"/>
      <c r="CF58" s="3349"/>
      <c r="CG58" s="3349">
        <f t="shared" si="200"/>
        <v>0</v>
      </c>
      <c r="CH58" s="4074" t="e">
        <f t="shared" si="201"/>
        <v>#DIV/0!</v>
      </c>
      <c r="CI58" s="4112"/>
      <c r="CJ58" s="3341">
        <f t="shared" si="202"/>
        <v>0</v>
      </c>
      <c r="CK58" s="3341">
        <f t="shared" si="202"/>
        <v>0</v>
      </c>
      <c r="CL58" s="2012">
        <f t="shared" si="203"/>
        <v>0</v>
      </c>
      <c r="CM58" s="4074">
        <f t="shared" si="168"/>
        <v>0</v>
      </c>
      <c r="CN58" s="4076"/>
      <c r="CP58" s="2012">
        <f t="shared" si="204"/>
        <v>0</v>
      </c>
      <c r="CQ58" s="2012">
        <f t="shared" si="204"/>
        <v>0</v>
      </c>
      <c r="CR58" s="4188"/>
    </row>
    <row r="59" spans="1:98" ht="13.8" outlineLevel="2">
      <c r="A59" s="1571"/>
      <c r="B59" s="4098" t="s">
        <v>66</v>
      </c>
      <c r="C59" s="3349"/>
      <c r="D59" s="3349"/>
      <c r="E59" s="3349">
        <f t="shared" si="169"/>
        <v>0</v>
      </c>
      <c r="F59" s="4074" t="e">
        <f t="shared" si="133"/>
        <v>#DIV/0!</v>
      </c>
      <c r="G59" s="4112"/>
      <c r="H59" s="3349"/>
      <c r="I59" s="3349"/>
      <c r="J59" s="3349">
        <f t="shared" si="170"/>
        <v>0</v>
      </c>
      <c r="K59" s="4074" t="e">
        <f t="shared" si="171"/>
        <v>#DIV/0!</v>
      </c>
      <c r="L59" s="4112"/>
      <c r="M59" s="3349"/>
      <c r="N59" s="3349"/>
      <c r="O59" s="3349">
        <f t="shared" si="172"/>
        <v>0</v>
      </c>
      <c r="P59" s="4074" t="e">
        <f t="shared" si="173"/>
        <v>#DIV/0!</v>
      </c>
      <c r="Q59" s="4112"/>
      <c r="R59" s="3342">
        <f t="shared" si="174"/>
        <v>0</v>
      </c>
      <c r="S59" s="3342">
        <f t="shared" si="174"/>
        <v>0</v>
      </c>
      <c r="T59" s="2012">
        <f t="shared" si="175"/>
        <v>0</v>
      </c>
      <c r="U59" s="3462"/>
      <c r="V59" s="3462"/>
      <c r="W59" s="3342">
        <f t="shared" si="176"/>
        <v>0</v>
      </c>
      <c r="X59" s="3342">
        <f t="shared" si="176"/>
        <v>0</v>
      </c>
      <c r="Y59" s="2012">
        <f t="shared" si="177"/>
        <v>0</v>
      </c>
      <c r="Z59" s="3462"/>
      <c r="AA59" s="3462"/>
      <c r="AB59" s="3349"/>
      <c r="AC59" s="3349"/>
      <c r="AD59" s="3349">
        <f t="shared" si="178"/>
        <v>0</v>
      </c>
      <c r="AE59" s="4074" t="e">
        <f t="shared" si="179"/>
        <v>#DIV/0!</v>
      </c>
      <c r="AF59" s="4112"/>
      <c r="AG59" s="3349"/>
      <c r="AH59" s="3349"/>
      <c r="AI59" s="3349">
        <f t="shared" si="180"/>
        <v>0</v>
      </c>
      <c r="AJ59" s="4074">
        <f t="shared" si="181"/>
        <v>0</v>
      </c>
      <c r="AK59" s="4112"/>
      <c r="AL59" s="3349"/>
      <c r="AM59" s="3349"/>
      <c r="AN59" s="3349">
        <f t="shared" si="182"/>
        <v>0</v>
      </c>
      <c r="AO59" s="4074">
        <f t="shared" si="183"/>
        <v>0</v>
      </c>
      <c r="AP59" s="4112"/>
      <c r="AQ59" s="3349"/>
      <c r="AR59" s="3349"/>
      <c r="AS59" s="3349">
        <f t="shared" si="184"/>
        <v>0</v>
      </c>
      <c r="AT59" s="4074" t="e">
        <f t="shared" si="185"/>
        <v>#DIV/0!</v>
      </c>
      <c r="AU59" s="4112"/>
      <c r="AV59" s="3349"/>
      <c r="AW59" s="3349"/>
      <c r="AX59" s="3349">
        <f t="shared" si="186"/>
        <v>0</v>
      </c>
      <c r="AY59" s="4074" t="e">
        <f t="shared" si="187"/>
        <v>#DIV/0!</v>
      </c>
      <c r="AZ59" s="4112"/>
      <c r="BA59" s="3349"/>
      <c r="BB59" s="3349"/>
      <c r="BC59" s="3349">
        <f t="shared" si="188"/>
        <v>0</v>
      </c>
      <c r="BD59" s="4074" t="e">
        <f t="shared" si="189"/>
        <v>#DIV/0!</v>
      </c>
      <c r="BE59" s="4112"/>
      <c r="BF59" s="3349"/>
      <c r="BG59" s="3349"/>
      <c r="BH59" s="3349">
        <f t="shared" si="190"/>
        <v>0</v>
      </c>
      <c r="BI59" s="4074" t="e">
        <f t="shared" si="191"/>
        <v>#DIV/0!</v>
      </c>
      <c r="BJ59" s="4112"/>
      <c r="BK59" s="3349"/>
      <c r="BL59" s="3349"/>
      <c r="BM59" s="3349">
        <f t="shared" si="192"/>
        <v>0</v>
      </c>
      <c r="BN59" s="4074" t="e">
        <f t="shared" si="193"/>
        <v>#DIV/0!</v>
      </c>
      <c r="BO59" s="4112"/>
      <c r="BP59" s="3349"/>
      <c r="BQ59" s="3349"/>
      <c r="BR59" s="3349">
        <f t="shared" si="194"/>
        <v>0</v>
      </c>
      <c r="BS59" s="4074" t="e">
        <f t="shared" si="195"/>
        <v>#DIV/0!</v>
      </c>
      <c r="BT59" s="4112"/>
      <c r="BU59" s="3349"/>
      <c r="BV59" s="3349"/>
      <c r="BW59" s="3349">
        <f t="shared" si="196"/>
        <v>0</v>
      </c>
      <c r="BX59" s="4074" t="e">
        <f t="shared" si="197"/>
        <v>#DIV/0!</v>
      </c>
      <c r="BY59" s="4112"/>
      <c r="BZ59" s="3349"/>
      <c r="CA59" s="3349"/>
      <c r="CB59" s="3349">
        <f t="shared" si="198"/>
        <v>0</v>
      </c>
      <c r="CC59" s="4074" t="e">
        <f t="shared" si="199"/>
        <v>#DIV/0!</v>
      </c>
      <c r="CD59" s="4112"/>
      <c r="CE59" s="3349"/>
      <c r="CF59" s="3349"/>
      <c r="CG59" s="3349">
        <f t="shared" si="200"/>
        <v>0</v>
      </c>
      <c r="CH59" s="4074" t="e">
        <f t="shared" si="201"/>
        <v>#DIV/0!</v>
      </c>
      <c r="CI59" s="4112"/>
      <c r="CJ59" s="3341">
        <f t="shared" si="202"/>
        <v>0</v>
      </c>
      <c r="CK59" s="3341">
        <f t="shared" si="202"/>
        <v>0</v>
      </c>
      <c r="CL59" s="2012">
        <f t="shared" si="203"/>
        <v>0</v>
      </c>
      <c r="CM59" s="4074">
        <f t="shared" si="168"/>
        <v>0</v>
      </c>
      <c r="CN59" s="4076"/>
      <c r="CP59" s="2012">
        <f t="shared" si="204"/>
        <v>0</v>
      </c>
      <c r="CQ59" s="2012">
        <f t="shared" si="204"/>
        <v>0</v>
      </c>
      <c r="CR59" s="4188"/>
    </row>
    <row r="60" spans="1:98" ht="13.8" outlineLevel="2">
      <c r="A60" s="1571"/>
      <c r="B60" s="4098" t="s">
        <v>65</v>
      </c>
      <c r="C60" s="3349"/>
      <c r="D60" s="3349"/>
      <c r="E60" s="3349">
        <f t="shared" si="169"/>
        <v>0</v>
      </c>
      <c r="F60" s="4074" t="e">
        <f t="shared" si="133"/>
        <v>#DIV/0!</v>
      </c>
      <c r="G60" s="4112"/>
      <c r="H60" s="3349"/>
      <c r="I60" s="3349"/>
      <c r="J60" s="3349">
        <f t="shared" si="170"/>
        <v>0</v>
      </c>
      <c r="K60" s="4074" t="e">
        <f t="shared" si="171"/>
        <v>#DIV/0!</v>
      </c>
      <c r="L60" s="4112"/>
      <c r="M60" s="3349"/>
      <c r="N60" s="3349"/>
      <c r="O60" s="3349">
        <f t="shared" si="172"/>
        <v>0</v>
      </c>
      <c r="P60" s="4074" t="e">
        <f t="shared" si="173"/>
        <v>#DIV/0!</v>
      </c>
      <c r="Q60" s="4112"/>
      <c r="R60" s="3342">
        <f t="shared" si="174"/>
        <v>0</v>
      </c>
      <c r="S60" s="3342">
        <f t="shared" si="174"/>
        <v>0</v>
      </c>
      <c r="T60" s="2012">
        <f t="shared" si="175"/>
        <v>0</v>
      </c>
      <c r="U60" s="3462"/>
      <c r="V60" s="3462"/>
      <c r="W60" s="3342">
        <f t="shared" si="176"/>
        <v>0</v>
      </c>
      <c r="X60" s="3342">
        <f t="shared" si="176"/>
        <v>0</v>
      </c>
      <c r="Y60" s="2012">
        <f t="shared" si="177"/>
        <v>0</v>
      </c>
      <c r="Z60" s="3462"/>
      <c r="AA60" s="3462"/>
      <c r="AB60" s="3349"/>
      <c r="AC60" s="3349"/>
      <c r="AD60" s="3349">
        <f t="shared" si="178"/>
        <v>0</v>
      </c>
      <c r="AE60" s="4074" t="e">
        <f t="shared" si="179"/>
        <v>#DIV/0!</v>
      </c>
      <c r="AF60" s="4112"/>
      <c r="AG60" s="3349"/>
      <c r="AH60" s="3349"/>
      <c r="AI60" s="3349">
        <f t="shared" si="180"/>
        <v>0</v>
      </c>
      <c r="AJ60" s="4074">
        <f t="shared" si="181"/>
        <v>0</v>
      </c>
      <c r="AK60" s="4112"/>
      <c r="AL60" s="3349"/>
      <c r="AM60" s="3349"/>
      <c r="AN60" s="3349">
        <f t="shared" si="182"/>
        <v>0</v>
      </c>
      <c r="AO60" s="4074">
        <f t="shared" si="183"/>
        <v>0</v>
      </c>
      <c r="AP60" s="4112"/>
      <c r="AQ60" s="3349"/>
      <c r="AR60" s="3349"/>
      <c r="AS60" s="3349">
        <f t="shared" si="184"/>
        <v>0</v>
      </c>
      <c r="AT60" s="4074" t="e">
        <f t="shared" si="185"/>
        <v>#DIV/0!</v>
      </c>
      <c r="AU60" s="4112"/>
      <c r="AV60" s="3349"/>
      <c r="AW60" s="3349"/>
      <c r="AX60" s="3349">
        <f t="shared" si="186"/>
        <v>0</v>
      </c>
      <c r="AY60" s="4074" t="e">
        <f t="shared" si="187"/>
        <v>#DIV/0!</v>
      </c>
      <c r="AZ60" s="4112"/>
      <c r="BA60" s="3349"/>
      <c r="BB60" s="3349"/>
      <c r="BC60" s="3349">
        <f t="shared" si="188"/>
        <v>0</v>
      </c>
      <c r="BD60" s="4074" t="e">
        <f t="shared" si="189"/>
        <v>#DIV/0!</v>
      </c>
      <c r="BE60" s="4112"/>
      <c r="BF60" s="3349"/>
      <c r="BG60" s="3349"/>
      <c r="BH60" s="3349">
        <f t="shared" si="190"/>
        <v>0</v>
      </c>
      <c r="BI60" s="4074" t="e">
        <f t="shared" si="191"/>
        <v>#DIV/0!</v>
      </c>
      <c r="BJ60" s="4112"/>
      <c r="BK60" s="3349"/>
      <c r="BL60" s="3349"/>
      <c r="BM60" s="3349">
        <f t="shared" si="192"/>
        <v>0</v>
      </c>
      <c r="BN60" s="4074" t="e">
        <f t="shared" si="193"/>
        <v>#DIV/0!</v>
      </c>
      <c r="BO60" s="4112"/>
      <c r="BP60" s="3349"/>
      <c r="BQ60" s="3349"/>
      <c r="BR60" s="3349">
        <f t="shared" si="194"/>
        <v>0</v>
      </c>
      <c r="BS60" s="4074" t="e">
        <f t="shared" si="195"/>
        <v>#DIV/0!</v>
      </c>
      <c r="BT60" s="4112"/>
      <c r="BU60" s="3349"/>
      <c r="BV60" s="3349"/>
      <c r="BW60" s="3349">
        <f t="shared" si="196"/>
        <v>0</v>
      </c>
      <c r="BX60" s="4074" t="e">
        <f t="shared" si="197"/>
        <v>#DIV/0!</v>
      </c>
      <c r="BY60" s="4112"/>
      <c r="BZ60" s="3349"/>
      <c r="CA60" s="3349"/>
      <c r="CB60" s="3349">
        <f t="shared" si="198"/>
        <v>0</v>
      </c>
      <c r="CC60" s="4074" t="e">
        <f t="shared" si="199"/>
        <v>#DIV/0!</v>
      </c>
      <c r="CD60" s="4112"/>
      <c r="CE60" s="3349"/>
      <c r="CF60" s="3349"/>
      <c r="CG60" s="3349">
        <f t="shared" si="200"/>
        <v>0</v>
      </c>
      <c r="CH60" s="4074" t="e">
        <f t="shared" si="201"/>
        <v>#DIV/0!</v>
      </c>
      <c r="CI60" s="4112"/>
      <c r="CJ60" s="3341">
        <f t="shared" si="202"/>
        <v>0</v>
      </c>
      <c r="CK60" s="3341">
        <f t="shared" si="202"/>
        <v>0</v>
      </c>
      <c r="CL60" s="2012">
        <f t="shared" si="203"/>
        <v>0</v>
      </c>
      <c r="CM60" s="4074">
        <f t="shared" si="168"/>
        <v>0</v>
      </c>
      <c r="CN60" s="4076"/>
      <c r="CP60" s="2012">
        <f t="shared" si="204"/>
        <v>0</v>
      </c>
      <c r="CQ60" s="2012">
        <f t="shared" si="204"/>
        <v>0</v>
      </c>
      <c r="CR60" s="4188"/>
    </row>
    <row r="61" spans="1:98" ht="13.8" outlineLevel="2">
      <c r="A61" s="1571"/>
      <c r="B61" s="4098" t="s">
        <v>32</v>
      </c>
      <c r="C61" s="3349"/>
      <c r="D61" s="3349"/>
      <c r="E61" s="3349">
        <f t="shared" si="169"/>
        <v>0</v>
      </c>
      <c r="F61" s="4074" t="e">
        <f t="shared" si="133"/>
        <v>#DIV/0!</v>
      </c>
      <c r="G61" s="4112"/>
      <c r="H61" s="3349"/>
      <c r="I61" s="3349"/>
      <c r="J61" s="3349">
        <f t="shared" si="170"/>
        <v>0</v>
      </c>
      <c r="K61" s="4074" t="e">
        <f t="shared" si="171"/>
        <v>#DIV/0!</v>
      </c>
      <c r="L61" s="4112"/>
      <c r="M61" s="3349"/>
      <c r="N61" s="3349"/>
      <c r="O61" s="3349">
        <f t="shared" si="172"/>
        <v>0</v>
      </c>
      <c r="P61" s="4074" t="e">
        <f t="shared" si="173"/>
        <v>#DIV/0!</v>
      </c>
      <c r="Q61" s="4112"/>
      <c r="R61" s="3342">
        <f t="shared" si="174"/>
        <v>0</v>
      </c>
      <c r="S61" s="3342">
        <f t="shared" si="174"/>
        <v>0</v>
      </c>
      <c r="T61" s="2012">
        <f t="shared" si="175"/>
        <v>0</v>
      </c>
      <c r="U61" s="3462"/>
      <c r="V61" s="3462"/>
      <c r="W61" s="3342">
        <f t="shared" si="176"/>
        <v>0</v>
      </c>
      <c r="X61" s="3342">
        <f t="shared" si="176"/>
        <v>0</v>
      </c>
      <c r="Y61" s="2012">
        <f t="shared" si="177"/>
        <v>0</v>
      </c>
      <c r="Z61" s="3462"/>
      <c r="AA61" s="3462"/>
      <c r="AB61" s="3349"/>
      <c r="AC61" s="3349"/>
      <c r="AD61" s="3349">
        <f t="shared" si="178"/>
        <v>0</v>
      </c>
      <c r="AE61" s="4074" t="e">
        <f t="shared" si="179"/>
        <v>#DIV/0!</v>
      </c>
      <c r="AF61" s="4112"/>
      <c r="AG61" s="3349"/>
      <c r="AH61" s="3349"/>
      <c r="AI61" s="3349">
        <f t="shared" si="180"/>
        <v>0</v>
      </c>
      <c r="AJ61" s="4074">
        <f t="shared" si="181"/>
        <v>0</v>
      </c>
      <c r="AK61" s="4112"/>
      <c r="AL61" s="3349"/>
      <c r="AM61" s="3349"/>
      <c r="AN61" s="3349">
        <f t="shared" si="182"/>
        <v>0</v>
      </c>
      <c r="AO61" s="4074">
        <f t="shared" si="183"/>
        <v>0</v>
      </c>
      <c r="AP61" s="4112"/>
      <c r="AQ61" s="3349"/>
      <c r="AR61" s="3349"/>
      <c r="AS61" s="3349">
        <f t="shared" si="184"/>
        <v>0</v>
      </c>
      <c r="AT61" s="4074" t="e">
        <f t="shared" si="185"/>
        <v>#DIV/0!</v>
      </c>
      <c r="AU61" s="4112"/>
      <c r="AV61" s="3349"/>
      <c r="AW61" s="3349"/>
      <c r="AX61" s="3349">
        <f t="shared" si="186"/>
        <v>0</v>
      </c>
      <c r="AY61" s="4074" t="e">
        <f t="shared" si="187"/>
        <v>#DIV/0!</v>
      </c>
      <c r="AZ61" s="4112"/>
      <c r="BA61" s="3349"/>
      <c r="BB61" s="3349"/>
      <c r="BC61" s="3349">
        <f t="shared" si="188"/>
        <v>0</v>
      </c>
      <c r="BD61" s="4074" t="e">
        <f t="shared" si="189"/>
        <v>#DIV/0!</v>
      </c>
      <c r="BE61" s="4112"/>
      <c r="BF61" s="3349"/>
      <c r="BG61" s="3349"/>
      <c r="BH61" s="3349">
        <f t="shared" si="190"/>
        <v>0</v>
      </c>
      <c r="BI61" s="4074" t="e">
        <f t="shared" si="191"/>
        <v>#DIV/0!</v>
      </c>
      <c r="BJ61" s="4112"/>
      <c r="BK61" s="3349"/>
      <c r="BL61" s="3349"/>
      <c r="BM61" s="3349">
        <f t="shared" si="192"/>
        <v>0</v>
      </c>
      <c r="BN61" s="4074" t="e">
        <f t="shared" si="193"/>
        <v>#DIV/0!</v>
      </c>
      <c r="BO61" s="4112"/>
      <c r="BP61" s="3349"/>
      <c r="BQ61" s="3349"/>
      <c r="BR61" s="3349">
        <f t="shared" si="194"/>
        <v>0</v>
      </c>
      <c r="BS61" s="4074" t="e">
        <f t="shared" si="195"/>
        <v>#DIV/0!</v>
      </c>
      <c r="BT61" s="4112"/>
      <c r="BU61" s="3349"/>
      <c r="BV61" s="3349"/>
      <c r="BW61" s="3349">
        <f t="shared" si="196"/>
        <v>0</v>
      </c>
      <c r="BX61" s="4074" t="e">
        <f t="shared" si="197"/>
        <v>#DIV/0!</v>
      </c>
      <c r="BY61" s="4112"/>
      <c r="BZ61" s="3349"/>
      <c r="CA61" s="3349"/>
      <c r="CB61" s="3349">
        <f t="shared" si="198"/>
        <v>0</v>
      </c>
      <c r="CC61" s="4074" t="e">
        <f t="shared" si="199"/>
        <v>#DIV/0!</v>
      </c>
      <c r="CD61" s="4112"/>
      <c r="CE61" s="3349"/>
      <c r="CF61" s="3349"/>
      <c r="CG61" s="3349">
        <f t="shared" si="200"/>
        <v>0</v>
      </c>
      <c r="CH61" s="4074" t="e">
        <f t="shared" si="201"/>
        <v>#DIV/0!</v>
      </c>
      <c r="CI61" s="4112"/>
      <c r="CJ61" s="3341">
        <f t="shared" si="202"/>
        <v>0</v>
      </c>
      <c r="CK61" s="3341">
        <f t="shared" si="202"/>
        <v>0</v>
      </c>
      <c r="CL61" s="2012">
        <f t="shared" si="203"/>
        <v>0</v>
      </c>
      <c r="CM61" s="4074">
        <f t="shared" si="168"/>
        <v>0</v>
      </c>
      <c r="CN61" s="4076"/>
      <c r="CP61" s="2012">
        <f t="shared" si="204"/>
        <v>0</v>
      </c>
      <c r="CQ61" s="2012">
        <f t="shared" si="204"/>
        <v>0</v>
      </c>
      <c r="CR61" s="4188"/>
    </row>
    <row r="62" spans="1:98" ht="13.8" outlineLevel="2">
      <c r="A62" s="1571"/>
      <c r="B62" s="4098" t="s">
        <v>33</v>
      </c>
      <c r="C62" s="3349"/>
      <c r="D62" s="3349"/>
      <c r="E62" s="3349">
        <f t="shared" si="169"/>
        <v>0</v>
      </c>
      <c r="F62" s="4074" t="e">
        <f t="shared" si="133"/>
        <v>#DIV/0!</v>
      </c>
      <c r="G62" s="4112"/>
      <c r="H62" s="3349"/>
      <c r="I62" s="3349"/>
      <c r="J62" s="3349">
        <f t="shared" si="170"/>
        <v>0</v>
      </c>
      <c r="K62" s="4074" t="e">
        <f t="shared" si="171"/>
        <v>#DIV/0!</v>
      </c>
      <c r="L62" s="4112"/>
      <c r="M62" s="3349"/>
      <c r="N62" s="3349"/>
      <c r="O62" s="3349">
        <f t="shared" si="172"/>
        <v>0</v>
      </c>
      <c r="P62" s="4074" t="e">
        <f t="shared" si="173"/>
        <v>#DIV/0!</v>
      </c>
      <c r="Q62" s="4112"/>
      <c r="R62" s="3342">
        <f t="shared" si="174"/>
        <v>0</v>
      </c>
      <c r="S62" s="3342">
        <f t="shared" si="174"/>
        <v>0</v>
      </c>
      <c r="T62" s="2012">
        <f t="shared" si="175"/>
        <v>0</v>
      </c>
      <c r="U62" s="3462"/>
      <c r="V62" s="3462"/>
      <c r="W62" s="3342">
        <f t="shared" si="176"/>
        <v>0</v>
      </c>
      <c r="X62" s="3342">
        <f t="shared" si="176"/>
        <v>0</v>
      </c>
      <c r="Y62" s="2012">
        <f t="shared" si="177"/>
        <v>0</v>
      </c>
      <c r="Z62" s="3462"/>
      <c r="AA62" s="3462"/>
      <c r="AB62" s="3349"/>
      <c r="AC62" s="3349"/>
      <c r="AD62" s="3349">
        <f t="shared" si="178"/>
        <v>0</v>
      </c>
      <c r="AE62" s="4074" t="e">
        <f t="shared" si="179"/>
        <v>#DIV/0!</v>
      </c>
      <c r="AF62" s="4112"/>
      <c r="AG62" s="3349"/>
      <c r="AH62" s="3349"/>
      <c r="AI62" s="3349">
        <f t="shared" si="180"/>
        <v>0</v>
      </c>
      <c r="AJ62" s="4074">
        <f t="shared" si="181"/>
        <v>0</v>
      </c>
      <c r="AK62" s="4112"/>
      <c r="AL62" s="3349"/>
      <c r="AM62" s="3349"/>
      <c r="AN62" s="3349">
        <f t="shared" si="182"/>
        <v>0</v>
      </c>
      <c r="AO62" s="4074">
        <f t="shared" si="183"/>
        <v>0</v>
      </c>
      <c r="AP62" s="4112"/>
      <c r="AQ62" s="3349"/>
      <c r="AR62" s="3349"/>
      <c r="AS62" s="3349">
        <f t="shared" si="184"/>
        <v>0</v>
      </c>
      <c r="AT62" s="4074" t="e">
        <f t="shared" si="185"/>
        <v>#DIV/0!</v>
      </c>
      <c r="AU62" s="4112"/>
      <c r="AV62" s="3349"/>
      <c r="AW62" s="3349"/>
      <c r="AX62" s="3349">
        <f t="shared" si="186"/>
        <v>0</v>
      </c>
      <c r="AY62" s="4074" t="e">
        <f t="shared" si="187"/>
        <v>#DIV/0!</v>
      </c>
      <c r="AZ62" s="4112"/>
      <c r="BA62" s="3349"/>
      <c r="BB62" s="3349"/>
      <c r="BC62" s="3349">
        <f t="shared" si="188"/>
        <v>0</v>
      </c>
      <c r="BD62" s="4074" t="e">
        <f t="shared" si="189"/>
        <v>#DIV/0!</v>
      </c>
      <c r="BE62" s="4112"/>
      <c r="BF62" s="3349"/>
      <c r="BG62" s="3349"/>
      <c r="BH62" s="3349">
        <f t="shared" si="190"/>
        <v>0</v>
      </c>
      <c r="BI62" s="4074" t="e">
        <f t="shared" si="191"/>
        <v>#DIV/0!</v>
      </c>
      <c r="BJ62" s="4112"/>
      <c r="BK62" s="3349"/>
      <c r="BL62" s="3349"/>
      <c r="BM62" s="3349">
        <f t="shared" si="192"/>
        <v>0</v>
      </c>
      <c r="BN62" s="4074" t="e">
        <f t="shared" si="193"/>
        <v>#DIV/0!</v>
      </c>
      <c r="BO62" s="4112"/>
      <c r="BP62" s="3349"/>
      <c r="BQ62" s="3349"/>
      <c r="BR62" s="3349">
        <f t="shared" si="194"/>
        <v>0</v>
      </c>
      <c r="BS62" s="4074" t="e">
        <f t="shared" si="195"/>
        <v>#DIV/0!</v>
      </c>
      <c r="BT62" s="4112"/>
      <c r="BU62" s="3349"/>
      <c r="BV62" s="3349"/>
      <c r="BW62" s="3349">
        <f t="shared" si="196"/>
        <v>0</v>
      </c>
      <c r="BX62" s="4074" t="e">
        <f t="shared" si="197"/>
        <v>#DIV/0!</v>
      </c>
      <c r="BY62" s="4112"/>
      <c r="BZ62" s="3349"/>
      <c r="CA62" s="3349"/>
      <c r="CB62" s="3349">
        <f t="shared" si="198"/>
        <v>0</v>
      </c>
      <c r="CC62" s="4074" t="e">
        <f t="shared" si="199"/>
        <v>#DIV/0!</v>
      </c>
      <c r="CD62" s="4112"/>
      <c r="CE62" s="3349"/>
      <c r="CF62" s="3349"/>
      <c r="CG62" s="3349">
        <f t="shared" si="200"/>
        <v>0</v>
      </c>
      <c r="CH62" s="4074" t="e">
        <f t="shared" si="201"/>
        <v>#DIV/0!</v>
      </c>
      <c r="CI62" s="4112"/>
      <c r="CJ62" s="3341">
        <f t="shared" si="202"/>
        <v>0</v>
      </c>
      <c r="CK62" s="3341">
        <f t="shared" si="202"/>
        <v>0</v>
      </c>
      <c r="CL62" s="2012">
        <f t="shared" si="203"/>
        <v>0</v>
      </c>
      <c r="CM62" s="4074">
        <f t="shared" si="168"/>
        <v>0</v>
      </c>
      <c r="CN62" s="4076"/>
      <c r="CP62" s="2012">
        <f t="shared" si="204"/>
        <v>0</v>
      </c>
      <c r="CQ62" s="2012">
        <f t="shared" si="204"/>
        <v>0</v>
      </c>
      <c r="CR62" s="4188"/>
    </row>
    <row r="63" spans="1:98" ht="13.8" outlineLevel="2">
      <c r="A63" s="1571"/>
      <c r="B63" s="4098" t="s">
        <v>35</v>
      </c>
      <c r="C63" s="3349"/>
      <c r="D63" s="3349"/>
      <c r="E63" s="3349">
        <f t="shared" si="169"/>
        <v>0</v>
      </c>
      <c r="F63" s="4074" t="e">
        <f t="shared" si="133"/>
        <v>#DIV/0!</v>
      </c>
      <c r="G63" s="4112"/>
      <c r="H63" s="3349"/>
      <c r="I63" s="3349"/>
      <c r="J63" s="3349">
        <f t="shared" si="170"/>
        <v>0</v>
      </c>
      <c r="K63" s="4074" t="e">
        <f t="shared" si="171"/>
        <v>#DIV/0!</v>
      </c>
      <c r="L63" s="4112"/>
      <c r="M63" s="3349"/>
      <c r="N63" s="3349"/>
      <c r="O63" s="3349">
        <f t="shared" si="172"/>
        <v>0</v>
      </c>
      <c r="P63" s="4074" t="e">
        <f t="shared" si="173"/>
        <v>#DIV/0!</v>
      </c>
      <c r="Q63" s="4112"/>
      <c r="R63" s="3342">
        <f t="shared" si="174"/>
        <v>0</v>
      </c>
      <c r="S63" s="3342">
        <f t="shared" si="174"/>
        <v>0</v>
      </c>
      <c r="T63" s="2012">
        <f t="shared" si="175"/>
        <v>0</v>
      </c>
      <c r="U63" s="3462"/>
      <c r="V63" s="3462"/>
      <c r="W63" s="3342">
        <f t="shared" si="176"/>
        <v>0</v>
      </c>
      <c r="X63" s="3342">
        <f t="shared" si="176"/>
        <v>0</v>
      </c>
      <c r="Y63" s="2012">
        <f t="shared" si="177"/>
        <v>0</v>
      </c>
      <c r="Z63" s="3462"/>
      <c r="AA63" s="3462"/>
      <c r="AB63" s="3349"/>
      <c r="AC63" s="3349"/>
      <c r="AD63" s="3349">
        <f t="shared" si="178"/>
        <v>0</v>
      </c>
      <c r="AE63" s="4074" t="e">
        <f t="shared" si="179"/>
        <v>#DIV/0!</v>
      </c>
      <c r="AF63" s="4112"/>
      <c r="AG63" s="3349"/>
      <c r="AH63" s="3349"/>
      <c r="AI63" s="3349">
        <f t="shared" si="180"/>
        <v>0</v>
      </c>
      <c r="AJ63" s="4074">
        <f t="shared" si="181"/>
        <v>0</v>
      </c>
      <c r="AK63" s="4112"/>
      <c r="AL63" s="3349"/>
      <c r="AM63" s="3349"/>
      <c r="AN63" s="3349">
        <f t="shared" si="182"/>
        <v>0</v>
      </c>
      <c r="AO63" s="4074">
        <f t="shared" si="183"/>
        <v>0</v>
      </c>
      <c r="AP63" s="4112"/>
      <c r="AQ63" s="3349"/>
      <c r="AR63" s="3349"/>
      <c r="AS63" s="3349">
        <f t="shared" si="184"/>
        <v>0</v>
      </c>
      <c r="AT63" s="4074" t="e">
        <f t="shared" si="185"/>
        <v>#DIV/0!</v>
      </c>
      <c r="AU63" s="4112"/>
      <c r="AV63" s="3349"/>
      <c r="AW63" s="3349"/>
      <c r="AX63" s="3349">
        <f t="shared" si="186"/>
        <v>0</v>
      </c>
      <c r="AY63" s="4074" t="e">
        <f t="shared" si="187"/>
        <v>#DIV/0!</v>
      </c>
      <c r="AZ63" s="4112"/>
      <c r="BA63" s="3349"/>
      <c r="BB63" s="3349"/>
      <c r="BC63" s="3349">
        <f t="shared" si="188"/>
        <v>0</v>
      </c>
      <c r="BD63" s="4074" t="e">
        <f t="shared" si="189"/>
        <v>#DIV/0!</v>
      </c>
      <c r="BE63" s="4112"/>
      <c r="BF63" s="3349"/>
      <c r="BG63" s="3349"/>
      <c r="BH63" s="3349">
        <f t="shared" si="190"/>
        <v>0</v>
      </c>
      <c r="BI63" s="4074" t="e">
        <f t="shared" si="191"/>
        <v>#DIV/0!</v>
      </c>
      <c r="BJ63" s="4112"/>
      <c r="BK63" s="3349"/>
      <c r="BL63" s="3349"/>
      <c r="BM63" s="3349">
        <f t="shared" si="192"/>
        <v>0</v>
      </c>
      <c r="BN63" s="4074" t="e">
        <f t="shared" si="193"/>
        <v>#DIV/0!</v>
      </c>
      <c r="BO63" s="4112"/>
      <c r="BP63" s="3349"/>
      <c r="BQ63" s="3349"/>
      <c r="BR63" s="3349">
        <f t="shared" si="194"/>
        <v>0</v>
      </c>
      <c r="BS63" s="4074" t="e">
        <f t="shared" si="195"/>
        <v>#DIV/0!</v>
      </c>
      <c r="BT63" s="4112"/>
      <c r="BU63" s="3349"/>
      <c r="BV63" s="3349"/>
      <c r="BW63" s="3349">
        <f t="shared" si="196"/>
        <v>0</v>
      </c>
      <c r="BX63" s="4074" t="e">
        <f t="shared" si="197"/>
        <v>#DIV/0!</v>
      </c>
      <c r="BY63" s="4112"/>
      <c r="BZ63" s="3349"/>
      <c r="CA63" s="3349"/>
      <c r="CB63" s="3349">
        <f t="shared" si="198"/>
        <v>0</v>
      </c>
      <c r="CC63" s="4074" t="e">
        <f t="shared" si="199"/>
        <v>#DIV/0!</v>
      </c>
      <c r="CD63" s="4112"/>
      <c r="CE63" s="3349"/>
      <c r="CF63" s="3349"/>
      <c r="CG63" s="3349">
        <f t="shared" si="200"/>
        <v>0</v>
      </c>
      <c r="CH63" s="4074" t="e">
        <f t="shared" si="201"/>
        <v>#DIV/0!</v>
      </c>
      <c r="CI63" s="4112"/>
      <c r="CJ63" s="3341">
        <f t="shared" si="202"/>
        <v>0</v>
      </c>
      <c r="CK63" s="3341">
        <f t="shared" si="202"/>
        <v>0</v>
      </c>
      <c r="CL63" s="2012">
        <f t="shared" si="203"/>
        <v>0</v>
      </c>
      <c r="CM63" s="4074">
        <f t="shared" si="168"/>
        <v>0</v>
      </c>
      <c r="CN63" s="4076"/>
      <c r="CP63" s="2012">
        <f t="shared" si="204"/>
        <v>0</v>
      </c>
      <c r="CQ63" s="2012">
        <f t="shared" si="204"/>
        <v>0</v>
      </c>
      <c r="CR63" s="4188"/>
    </row>
    <row r="64" spans="1:98" ht="13.8" outlineLevel="2">
      <c r="A64" s="1571"/>
      <c r="B64" s="4098" t="s">
        <v>63</v>
      </c>
      <c r="C64" s="3349"/>
      <c r="D64" s="3349"/>
      <c r="E64" s="3349">
        <f t="shared" si="169"/>
        <v>0</v>
      </c>
      <c r="F64" s="4074" t="e">
        <f t="shared" si="133"/>
        <v>#DIV/0!</v>
      </c>
      <c r="G64" s="4112"/>
      <c r="H64" s="3349"/>
      <c r="I64" s="3349"/>
      <c r="J64" s="3349">
        <f t="shared" si="170"/>
        <v>0</v>
      </c>
      <c r="K64" s="4074" t="e">
        <f t="shared" si="171"/>
        <v>#DIV/0!</v>
      </c>
      <c r="L64" s="4112"/>
      <c r="M64" s="3349"/>
      <c r="N64" s="3349"/>
      <c r="O64" s="3349">
        <f t="shared" si="172"/>
        <v>0</v>
      </c>
      <c r="P64" s="4074" t="e">
        <f t="shared" si="173"/>
        <v>#DIV/0!</v>
      </c>
      <c r="Q64" s="4112"/>
      <c r="R64" s="3342">
        <f t="shared" si="174"/>
        <v>0</v>
      </c>
      <c r="S64" s="3342">
        <f t="shared" si="174"/>
        <v>0</v>
      </c>
      <c r="T64" s="2012">
        <f t="shared" si="175"/>
        <v>0</v>
      </c>
      <c r="U64" s="3462"/>
      <c r="V64" s="3462"/>
      <c r="W64" s="3342">
        <f t="shared" si="176"/>
        <v>0</v>
      </c>
      <c r="X64" s="3342">
        <f t="shared" si="176"/>
        <v>0</v>
      </c>
      <c r="Y64" s="2012">
        <f t="shared" si="177"/>
        <v>0</v>
      </c>
      <c r="Z64" s="3462"/>
      <c r="AA64" s="3462"/>
      <c r="AB64" s="3349"/>
      <c r="AC64" s="3349"/>
      <c r="AD64" s="3349">
        <f t="shared" si="178"/>
        <v>0</v>
      </c>
      <c r="AE64" s="4074" t="e">
        <f t="shared" si="179"/>
        <v>#DIV/0!</v>
      </c>
      <c r="AF64" s="4112"/>
      <c r="AG64" s="3349"/>
      <c r="AH64" s="3349"/>
      <c r="AI64" s="3349">
        <f t="shared" si="180"/>
        <v>0</v>
      </c>
      <c r="AJ64" s="4074">
        <f t="shared" si="181"/>
        <v>0</v>
      </c>
      <c r="AK64" s="4112"/>
      <c r="AL64" s="3349"/>
      <c r="AM64" s="3349"/>
      <c r="AN64" s="3349">
        <f t="shared" si="182"/>
        <v>0</v>
      </c>
      <c r="AO64" s="4074">
        <f t="shared" si="183"/>
        <v>0</v>
      </c>
      <c r="AP64" s="4112"/>
      <c r="AQ64" s="3349"/>
      <c r="AR64" s="3349"/>
      <c r="AS64" s="3349">
        <f t="shared" si="184"/>
        <v>0</v>
      </c>
      <c r="AT64" s="4074" t="e">
        <f t="shared" si="185"/>
        <v>#DIV/0!</v>
      </c>
      <c r="AU64" s="4112"/>
      <c r="AV64" s="3349"/>
      <c r="AW64" s="3349"/>
      <c r="AX64" s="3349">
        <f t="shared" si="186"/>
        <v>0</v>
      </c>
      <c r="AY64" s="4074" t="e">
        <f t="shared" si="187"/>
        <v>#DIV/0!</v>
      </c>
      <c r="AZ64" s="4112"/>
      <c r="BA64" s="3349"/>
      <c r="BB64" s="3349"/>
      <c r="BC64" s="3349">
        <f t="shared" si="188"/>
        <v>0</v>
      </c>
      <c r="BD64" s="4074" t="e">
        <f t="shared" si="189"/>
        <v>#DIV/0!</v>
      </c>
      <c r="BE64" s="4112"/>
      <c r="BF64" s="3349"/>
      <c r="BG64" s="3349"/>
      <c r="BH64" s="3349">
        <f t="shared" si="190"/>
        <v>0</v>
      </c>
      <c r="BI64" s="4074" t="e">
        <f t="shared" si="191"/>
        <v>#DIV/0!</v>
      </c>
      <c r="BJ64" s="4112"/>
      <c r="BK64" s="3349"/>
      <c r="BL64" s="3349"/>
      <c r="BM64" s="3349">
        <f t="shared" si="192"/>
        <v>0</v>
      </c>
      <c r="BN64" s="4074" t="e">
        <f t="shared" si="193"/>
        <v>#DIV/0!</v>
      </c>
      <c r="BO64" s="4112"/>
      <c r="BP64" s="3349"/>
      <c r="BQ64" s="3349"/>
      <c r="BR64" s="3349">
        <f t="shared" si="194"/>
        <v>0</v>
      </c>
      <c r="BS64" s="4074" t="e">
        <f t="shared" si="195"/>
        <v>#DIV/0!</v>
      </c>
      <c r="BT64" s="4112"/>
      <c r="BU64" s="3349"/>
      <c r="BV64" s="3349"/>
      <c r="BW64" s="3349">
        <f t="shared" si="196"/>
        <v>0</v>
      </c>
      <c r="BX64" s="4074" t="e">
        <f t="shared" si="197"/>
        <v>#DIV/0!</v>
      </c>
      <c r="BY64" s="4112"/>
      <c r="BZ64" s="3349"/>
      <c r="CA64" s="3349"/>
      <c r="CB64" s="3349">
        <f t="shared" si="198"/>
        <v>0</v>
      </c>
      <c r="CC64" s="4074" t="e">
        <f t="shared" si="199"/>
        <v>#DIV/0!</v>
      </c>
      <c r="CD64" s="4112"/>
      <c r="CE64" s="3349"/>
      <c r="CF64" s="3349"/>
      <c r="CG64" s="3349">
        <f t="shared" si="200"/>
        <v>0</v>
      </c>
      <c r="CH64" s="4074" t="e">
        <f t="shared" si="201"/>
        <v>#DIV/0!</v>
      </c>
      <c r="CI64" s="4112"/>
      <c r="CJ64" s="3341">
        <f t="shared" si="202"/>
        <v>0</v>
      </c>
      <c r="CK64" s="3341">
        <f t="shared" si="202"/>
        <v>0</v>
      </c>
      <c r="CL64" s="2012">
        <f t="shared" si="203"/>
        <v>0</v>
      </c>
      <c r="CM64" s="4074">
        <f t="shared" si="168"/>
        <v>0</v>
      </c>
      <c r="CN64" s="4076"/>
      <c r="CP64" s="2012">
        <f t="shared" si="204"/>
        <v>0</v>
      </c>
      <c r="CQ64" s="2012">
        <f t="shared" si="204"/>
        <v>0</v>
      </c>
      <c r="CR64" s="4188"/>
    </row>
    <row r="65" spans="1:98" ht="13.8" outlineLevel="2">
      <c r="A65" s="1571"/>
      <c r="B65" s="4098" t="s">
        <v>36</v>
      </c>
      <c r="C65" s="3341"/>
      <c r="D65" s="3341"/>
      <c r="E65" s="3349">
        <f t="shared" si="169"/>
        <v>0</v>
      </c>
      <c r="F65" s="4074" t="e">
        <f t="shared" si="133"/>
        <v>#DIV/0!</v>
      </c>
      <c r="G65" s="4112"/>
      <c r="H65" s="3341"/>
      <c r="I65" s="3341"/>
      <c r="J65" s="3349">
        <f t="shared" si="170"/>
        <v>0</v>
      </c>
      <c r="K65" s="4074" t="e">
        <f t="shared" si="171"/>
        <v>#DIV/0!</v>
      </c>
      <c r="L65" s="4112"/>
      <c r="M65" s="3341"/>
      <c r="N65" s="3341"/>
      <c r="O65" s="3349">
        <f t="shared" si="172"/>
        <v>0</v>
      </c>
      <c r="P65" s="4074" t="e">
        <f t="shared" si="173"/>
        <v>#DIV/0!</v>
      </c>
      <c r="Q65" s="4112"/>
      <c r="R65" s="3342">
        <f t="shared" si="174"/>
        <v>0</v>
      </c>
      <c r="S65" s="3342">
        <f t="shared" si="174"/>
        <v>0</v>
      </c>
      <c r="T65" s="2012">
        <f t="shared" si="175"/>
        <v>0</v>
      </c>
      <c r="U65" s="3462"/>
      <c r="V65" s="3462"/>
      <c r="W65" s="3342">
        <f t="shared" si="176"/>
        <v>0</v>
      </c>
      <c r="X65" s="3342">
        <f t="shared" si="176"/>
        <v>0</v>
      </c>
      <c r="Y65" s="2012">
        <f t="shared" si="177"/>
        <v>0</v>
      </c>
      <c r="Z65" s="3462"/>
      <c r="AA65" s="3462"/>
      <c r="AB65" s="3341"/>
      <c r="AC65" s="3341"/>
      <c r="AD65" s="3349">
        <f t="shared" si="178"/>
        <v>0</v>
      </c>
      <c r="AE65" s="4074" t="e">
        <f t="shared" si="179"/>
        <v>#DIV/0!</v>
      </c>
      <c r="AF65" s="4112"/>
      <c r="AG65" s="3341"/>
      <c r="AH65" s="3341"/>
      <c r="AI65" s="3349">
        <f t="shared" si="180"/>
        <v>0</v>
      </c>
      <c r="AJ65" s="4074">
        <f t="shared" si="181"/>
        <v>0</v>
      </c>
      <c r="AK65" s="4112"/>
      <c r="AL65" s="3341"/>
      <c r="AM65" s="3341"/>
      <c r="AN65" s="3349">
        <f t="shared" si="182"/>
        <v>0</v>
      </c>
      <c r="AO65" s="4074">
        <f t="shared" si="183"/>
        <v>0</v>
      </c>
      <c r="AP65" s="4112"/>
      <c r="AQ65" s="3341"/>
      <c r="AR65" s="3341"/>
      <c r="AS65" s="3349">
        <f t="shared" si="184"/>
        <v>0</v>
      </c>
      <c r="AT65" s="4074" t="e">
        <f t="shared" si="185"/>
        <v>#DIV/0!</v>
      </c>
      <c r="AU65" s="4112"/>
      <c r="AV65" s="3341"/>
      <c r="AW65" s="3341"/>
      <c r="AX65" s="3349">
        <f t="shared" si="186"/>
        <v>0</v>
      </c>
      <c r="AY65" s="4074" t="e">
        <f t="shared" si="187"/>
        <v>#DIV/0!</v>
      </c>
      <c r="AZ65" s="4112"/>
      <c r="BA65" s="3341"/>
      <c r="BB65" s="3341"/>
      <c r="BC65" s="3349">
        <f t="shared" si="188"/>
        <v>0</v>
      </c>
      <c r="BD65" s="4074" t="e">
        <f t="shared" si="189"/>
        <v>#DIV/0!</v>
      </c>
      <c r="BE65" s="4112"/>
      <c r="BF65" s="3341"/>
      <c r="BG65" s="3341"/>
      <c r="BH65" s="3349">
        <f t="shared" si="190"/>
        <v>0</v>
      </c>
      <c r="BI65" s="4074" t="e">
        <f t="shared" si="191"/>
        <v>#DIV/0!</v>
      </c>
      <c r="BJ65" s="4112"/>
      <c r="BK65" s="3341"/>
      <c r="BL65" s="3341"/>
      <c r="BM65" s="3349">
        <f t="shared" si="192"/>
        <v>0</v>
      </c>
      <c r="BN65" s="4074" t="e">
        <f t="shared" si="193"/>
        <v>#DIV/0!</v>
      </c>
      <c r="BO65" s="4112"/>
      <c r="BP65" s="3341"/>
      <c r="BQ65" s="3341"/>
      <c r="BR65" s="3349">
        <f t="shared" si="194"/>
        <v>0</v>
      </c>
      <c r="BS65" s="4074" t="e">
        <f t="shared" si="195"/>
        <v>#DIV/0!</v>
      </c>
      <c r="BT65" s="4112"/>
      <c r="BU65" s="3341"/>
      <c r="BV65" s="3341"/>
      <c r="BW65" s="3349">
        <f t="shared" si="196"/>
        <v>0</v>
      </c>
      <c r="BX65" s="4074" t="e">
        <f t="shared" si="197"/>
        <v>#DIV/0!</v>
      </c>
      <c r="BY65" s="4112"/>
      <c r="BZ65" s="3341"/>
      <c r="CA65" s="3341"/>
      <c r="CB65" s="3349">
        <f t="shared" si="198"/>
        <v>0</v>
      </c>
      <c r="CC65" s="4074" t="e">
        <f t="shared" si="199"/>
        <v>#DIV/0!</v>
      </c>
      <c r="CD65" s="4112"/>
      <c r="CE65" s="3341"/>
      <c r="CF65" s="3341"/>
      <c r="CG65" s="3349">
        <f t="shared" si="200"/>
        <v>0</v>
      </c>
      <c r="CH65" s="4074" t="e">
        <f t="shared" si="201"/>
        <v>#DIV/0!</v>
      </c>
      <c r="CI65" s="4112"/>
      <c r="CJ65" s="3341">
        <f t="shared" si="202"/>
        <v>0</v>
      </c>
      <c r="CK65" s="3341">
        <f t="shared" si="202"/>
        <v>0</v>
      </c>
      <c r="CL65" s="2012">
        <f t="shared" si="203"/>
        <v>0</v>
      </c>
      <c r="CM65" s="4074">
        <f t="shared" si="168"/>
        <v>0</v>
      </c>
      <c r="CN65" s="4076"/>
      <c r="CP65" s="2012">
        <f t="shared" si="204"/>
        <v>0</v>
      </c>
      <c r="CQ65" s="2012">
        <f t="shared" si="204"/>
        <v>0</v>
      </c>
      <c r="CR65" s="4188"/>
    </row>
    <row r="66" spans="1:98" s="1396" customFormat="1" ht="13.8" outlineLevel="2">
      <c r="A66" s="1571"/>
      <c r="B66" s="4098" t="s">
        <v>37</v>
      </c>
      <c r="C66" s="3341"/>
      <c r="D66" s="3341"/>
      <c r="E66" s="3349">
        <f t="shared" si="169"/>
        <v>0</v>
      </c>
      <c r="F66" s="4074" t="e">
        <f t="shared" si="133"/>
        <v>#DIV/0!</v>
      </c>
      <c r="G66" s="4112"/>
      <c r="H66" s="3341"/>
      <c r="I66" s="3341"/>
      <c r="J66" s="3349">
        <f t="shared" si="170"/>
        <v>0</v>
      </c>
      <c r="K66" s="4074" t="e">
        <f t="shared" si="171"/>
        <v>#DIV/0!</v>
      </c>
      <c r="L66" s="4112"/>
      <c r="M66" s="3341"/>
      <c r="N66" s="3341"/>
      <c r="O66" s="3349">
        <f t="shared" si="172"/>
        <v>0</v>
      </c>
      <c r="P66" s="4074" t="e">
        <f t="shared" si="173"/>
        <v>#DIV/0!</v>
      </c>
      <c r="Q66" s="4112"/>
      <c r="R66" s="3342">
        <f t="shared" si="174"/>
        <v>0</v>
      </c>
      <c r="S66" s="3342">
        <f t="shared" si="174"/>
        <v>0</v>
      </c>
      <c r="T66" s="2012">
        <f t="shared" si="175"/>
        <v>0</v>
      </c>
      <c r="U66" s="3462"/>
      <c r="V66" s="3462"/>
      <c r="W66" s="3342">
        <f t="shared" si="176"/>
        <v>0</v>
      </c>
      <c r="X66" s="3342">
        <f t="shared" si="176"/>
        <v>0</v>
      </c>
      <c r="Y66" s="2012">
        <f t="shared" si="177"/>
        <v>0</v>
      </c>
      <c r="Z66" s="3462"/>
      <c r="AA66" s="3462"/>
      <c r="AB66" s="3341"/>
      <c r="AC66" s="3341"/>
      <c r="AD66" s="3349">
        <f t="shared" si="178"/>
        <v>0</v>
      </c>
      <c r="AE66" s="4074" t="e">
        <f t="shared" si="179"/>
        <v>#DIV/0!</v>
      </c>
      <c r="AF66" s="4112"/>
      <c r="AG66" s="3341"/>
      <c r="AH66" s="3341"/>
      <c r="AI66" s="3349">
        <f t="shared" si="180"/>
        <v>0</v>
      </c>
      <c r="AJ66" s="4074">
        <f t="shared" si="181"/>
        <v>0</v>
      </c>
      <c r="AK66" s="4112"/>
      <c r="AL66" s="3341"/>
      <c r="AM66" s="3341"/>
      <c r="AN66" s="3349">
        <f t="shared" si="182"/>
        <v>0</v>
      </c>
      <c r="AO66" s="4074">
        <f t="shared" si="183"/>
        <v>0</v>
      </c>
      <c r="AP66" s="4112"/>
      <c r="AQ66" s="3341"/>
      <c r="AR66" s="3341"/>
      <c r="AS66" s="3349">
        <f t="shared" si="184"/>
        <v>0</v>
      </c>
      <c r="AT66" s="4074" t="e">
        <f t="shared" si="185"/>
        <v>#DIV/0!</v>
      </c>
      <c r="AU66" s="4112"/>
      <c r="AV66" s="3341"/>
      <c r="AW66" s="3341"/>
      <c r="AX66" s="3349">
        <f t="shared" si="186"/>
        <v>0</v>
      </c>
      <c r="AY66" s="4074" t="e">
        <f t="shared" si="187"/>
        <v>#DIV/0!</v>
      </c>
      <c r="AZ66" s="4112"/>
      <c r="BA66" s="3341"/>
      <c r="BB66" s="3341"/>
      <c r="BC66" s="3349">
        <f t="shared" si="188"/>
        <v>0</v>
      </c>
      <c r="BD66" s="4074" t="e">
        <f t="shared" si="189"/>
        <v>#DIV/0!</v>
      </c>
      <c r="BE66" s="4112"/>
      <c r="BF66" s="3341"/>
      <c r="BG66" s="3341"/>
      <c r="BH66" s="3349">
        <f t="shared" si="190"/>
        <v>0</v>
      </c>
      <c r="BI66" s="4074" t="e">
        <f t="shared" si="191"/>
        <v>#DIV/0!</v>
      </c>
      <c r="BJ66" s="4112"/>
      <c r="BK66" s="3341"/>
      <c r="BL66" s="3341"/>
      <c r="BM66" s="3349">
        <f t="shared" si="192"/>
        <v>0</v>
      </c>
      <c r="BN66" s="4074" t="e">
        <f t="shared" si="193"/>
        <v>#DIV/0!</v>
      </c>
      <c r="BO66" s="4112"/>
      <c r="BP66" s="3341"/>
      <c r="BQ66" s="3341"/>
      <c r="BR66" s="3349">
        <f t="shared" si="194"/>
        <v>0</v>
      </c>
      <c r="BS66" s="4074" t="e">
        <f t="shared" si="195"/>
        <v>#DIV/0!</v>
      </c>
      <c r="BT66" s="4112"/>
      <c r="BU66" s="3341"/>
      <c r="BV66" s="3341"/>
      <c r="BW66" s="3349">
        <f t="shared" si="196"/>
        <v>0</v>
      </c>
      <c r="BX66" s="4074" t="e">
        <f t="shared" si="197"/>
        <v>#DIV/0!</v>
      </c>
      <c r="BY66" s="4112"/>
      <c r="BZ66" s="3341"/>
      <c r="CA66" s="3341"/>
      <c r="CB66" s="3349">
        <f t="shared" si="198"/>
        <v>0</v>
      </c>
      <c r="CC66" s="4074" t="e">
        <f t="shared" si="199"/>
        <v>#DIV/0!</v>
      </c>
      <c r="CD66" s="4112"/>
      <c r="CE66" s="3341"/>
      <c r="CF66" s="3341"/>
      <c r="CG66" s="3349">
        <f t="shared" si="200"/>
        <v>0</v>
      </c>
      <c r="CH66" s="4074" t="e">
        <f t="shared" si="201"/>
        <v>#DIV/0!</v>
      </c>
      <c r="CI66" s="4112"/>
      <c r="CJ66" s="3341">
        <f t="shared" si="202"/>
        <v>0</v>
      </c>
      <c r="CK66" s="3341">
        <f t="shared" si="202"/>
        <v>0</v>
      </c>
      <c r="CL66" s="2012">
        <f t="shared" si="203"/>
        <v>0</v>
      </c>
      <c r="CM66" s="4074">
        <f t="shared" si="168"/>
        <v>0</v>
      </c>
      <c r="CN66" s="4076"/>
      <c r="CP66" s="2012">
        <f t="shared" si="204"/>
        <v>0</v>
      </c>
      <c r="CQ66" s="2012">
        <f t="shared" si="204"/>
        <v>0</v>
      </c>
      <c r="CR66" s="4188"/>
      <c r="CT66" s="2624"/>
    </row>
    <row r="67" spans="1:98" s="1396" customFormat="1" ht="13.8" outlineLevel="2">
      <c r="A67" s="1571"/>
      <c r="B67" s="4098" t="s">
        <v>3</v>
      </c>
      <c r="C67" s="3341"/>
      <c r="D67" s="3341"/>
      <c r="E67" s="3349">
        <f t="shared" si="169"/>
        <v>0</v>
      </c>
      <c r="F67" s="4074" t="e">
        <f t="shared" si="133"/>
        <v>#DIV/0!</v>
      </c>
      <c r="G67" s="4112"/>
      <c r="H67" s="3341"/>
      <c r="I67" s="3341"/>
      <c r="J67" s="3349">
        <f t="shared" si="170"/>
        <v>0</v>
      </c>
      <c r="K67" s="4074" t="e">
        <f t="shared" si="171"/>
        <v>#DIV/0!</v>
      </c>
      <c r="L67" s="4112"/>
      <c r="M67" s="3341"/>
      <c r="N67" s="3341"/>
      <c r="O67" s="3349">
        <f t="shared" si="172"/>
        <v>0</v>
      </c>
      <c r="P67" s="4074" t="e">
        <f t="shared" si="173"/>
        <v>#DIV/0!</v>
      </c>
      <c r="Q67" s="4112"/>
      <c r="R67" s="3342">
        <f t="shared" si="174"/>
        <v>0</v>
      </c>
      <c r="S67" s="3342">
        <f t="shared" si="174"/>
        <v>0</v>
      </c>
      <c r="T67" s="2012">
        <f t="shared" si="175"/>
        <v>0</v>
      </c>
      <c r="U67" s="3462"/>
      <c r="V67" s="3462"/>
      <c r="W67" s="3342">
        <f t="shared" si="176"/>
        <v>0</v>
      </c>
      <c r="X67" s="3342">
        <f t="shared" si="176"/>
        <v>0</v>
      </c>
      <c r="Y67" s="2012">
        <f t="shared" si="177"/>
        <v>0</v>
      </c>
      <c r="Z67" s="3462"/>
      <c r="AA67" s="3462"/>
      <c r="AB67" s="3341"/>
      <c r="AC67" s="3341"/>
      <c r="AD67" s="3349">
        <f t="shared" si="178"/>
        <v>0</v>
      </c>
      <c r="AE67" s="4074" t="e">
        <f t="shared" si="179"/>
        <v>#DIV/0!</v>
      </c>
      <c r="AF67" s="4112"/>
      <c r="AG67" s="3341"/>
      <c r="AH67" s="3341"/>
      <c r="AI67" s="3349">
        <f t="shared" si="180"/>
        <v>0</v>
      </c>
      <c r="AJ67" s="4074">
        <f t="shared" si="181"/>
        <v>0</v>
      </c>
      <c r="AK67" s="4112"/>
      <c r="AL67" s="3341"/>
      <c r="AM67" s="3341"/>
      <c r="AN67" s="3349">
        <f t="shared" si="182"/>
        <v>0</v>
      </c>
      <c r="AO67" s="4074">
        <f t="shared" si="183"/>
        <v>0</v>
      </c>
      <c r="AP67" s="4112"/>
      <c r="AQ67" s="3341"/>
      <c r="AR67" s="3341"/>
      <c r="AS67" s="3349">
        <f t="shared" si="184"/>
        <v>0</v>
      </c>
      <c r="AT67" s="4074" t="e">
        <f t="shared" si="185"/>
        <v>#DIV/0!</v>
      </c>
      <c r="AU67" s="4112"/>
      <c r="AV67" s="3341"/>
      <c r="AW67" s="3341"/>
      <c r="AX67" s="3349">
        <f t="shared" si="186"/>
        <v>0</v>
      </c>
      <c r="AY67" s="4074" t="e">
        <f t="shared" si="187"/>
        <v>#DIV/0!</v>
      </c>
      <c r="AZ67" s="4112"/>
      <c r="BA67" s="3341"/>
      <c r="BB67" s="3341"/>
      <c r="BC67" s="3349">
        <f t="shared" si="188"/>
        <v>0</v>
      </c>
      <c r="BD67" s="4074" t="e">
        <f t="shared" si="189"/>
        <v>#DIV/0!</v>
      </c>
      <c r="BE67" s="4112"/>
      <c r="BF67" s="3341"/>
      <c r="BG67" s="3341"/>
      <c r="BH67" s="3349">
        <f t="shared" si="190"/>
        <v>0</v>
      </c>
      <c r="BI67" s="4074" t="e">
        <f t="shared" si="191"/>
        <v>#DIV/0!</v>
      </c>
      <c r="BJ67" s="4112"/>
      <c r="BK67" s="3341"/>
      <c r="BL67" s="3341"/>
      <c r="BM67" s="3349">
        <f t="shared" si="192"/>
        <v>0</v>
      </c>
      <c r="BN67" s="4074" t="e">
        <f t="shared" si="193"/>
        <v>#DIV/0!</v>
      </c>
      <c r="BO67" s="4112"/>
      <c r="BP67" s="3341"/>
      <c r="BQ67" s="3341"/>
      <c r="BR67" s="3349">
        <f t="shared" si="194"/>
        <v>0</v>
      </c>
      <c r="BS67" s="4074" t="e">
        <f t="shared" si="195"/>
        <v>#DIV/0!</v>
      </c>
      <c r="BT67" s="4112"/>
      <c r="BU67" s="3341"/>
      <c r="BV67" s="3341"/>
      <c r="BW67" s="3349">
        <f t="shared" si="196"/>
        <v>0</v>
      </c>
      <c r="BX67" s="4074" t="e">
        <f t="shared" si="197"/>
        <v>#DIV/0!</v>
      </c>
      <c r="BY67" s="4112"/>
      <c r="BZ67" s="3341"/>
      <c r="CA67" s="3341"/>
      <c r="CB67" s="3349">
        <f t="shared" si="198"/>
        <v>0</v>
      </c>
      <c r="CC67" s="4074" t="e">
        <f t="shared" si="199"/>
        <v>#DIV/0!</v>
      </c>
      <c r="CD67" s="4112"/>
      <c r="CE67" s="3341"/>
      <c r="CF67" s="3341"/>
      <c r="CG67" s="3349">
        <f t="shared" si="200"/>
        <v>0</v>
      </c>
      <c r="CH67" s="4074" t="e">
        <f t="shared" si="201"/>
        <v>#DIV/0!</v>
      </c>
      <c r="CI67" s="4112"/>
      <c r="CJ67" s="3341">
        <f t="shared" si="202"/>
        <v>0</v>
      </c>
      <c r="CK67" s="3341">
        <f t="shared" si="202"/>
        <v>0</v>
      </c>
      <c r="CL67" s="2012">
        <f t="shared" si="203"/>
        <v>0</v>
      </c>
      <c r="CM67" s="4074">
        <f t="shared" si="168"/>
        <v>0</v>
      </c>
      <c r="CN67" s="4076"/>
      <c r="CP67" s="2012">
        <f t="shared" si="204"/>
        <v>0</v>
      </c>
      <c r="CQ67" s="2012">
        <f t="shared" si="204"/>
        <v>0</v>
      </c>
      <c r="CR67" s="4188"/>
      <c r="CT67" s="2624"/>
    </row>
    <row r="68" spans="1:98" s="1396" customFormat="1" ht="13.8" outlineLevel="2">
      <c r="A68" s="1571"/>
      <c r="B68" s="4098" t="s">
        <v>5</v>
      </c>
      <c r="C68" s="3341"/>
      <c r="D68" s="3341"/>
      <c r="E68" s="3349">
        <f t="shared" si="169"/>
        <v>0</v>
      </c>
      <c r="F68" s="4074" t="e">
        <f t="shared" si="133"/>
        <v>#DIV/0!</v>
      </c>
      <c r="G68" s="3341"/>
      <c r="H68" s="3341"/>
      <c r="I68" s="3341"/>
      <c r="J68" s="3349">
        <f t="shared" si="170"/>
        <v>0</v>
      </c>
      <c r="K68" s="4074" t="e">
        <f t="shared" si="171"/>
        <v>#DIV/0!</v>
      </c>
      <c r="L68" s="3341"/>
      <c r="M68" s="3341"/>
      <c r="N68" s="3341"/>
      <c r="O68" s="3349">
        <f t="shared" si="172"/>
        <v>0</v>
      </c>
      <c r="P68" s="4074" t="e">
        <f t="shared" si="173"/>
        <v>#DIV/0!</v>
      </c>
      <c r="Q68" s="3341"/>
      <c r="R68" s="3342">
        <f t="shared" si="174"/>
        <v>0</v>
      </c>
      <c r="S68" s="3342">
        <f t="shared" si="174"/>
        <v>0</v>
      </c>
      <c r="T68" s="2012">
        <f t="shared" si="175"/>
        <v>0</v>
      </c>
      <c r="U68" s="3341"/>
      <c r="V68" s="3341"/>
      <c r="W68" s="3342">
        <f t="shared" si="176"/>
        <v>0</v>
      </c>
      <c r="X68" s="3342">
        <f t="shared" si="176"/>
        <v>0</v>
      </c>
      <c r="Y68" s="2012">
        <f t="shared" si="177"/>
        <v>0</v>
      </c>
      <c r="Z68" s="3341"/>
      <c r="AA68" s="3341"/>
      <c r="AB68" s="3341"/>
      <c r="AC68" s="3341"/>
      <c r="AD68" s="3349">
        <f t="shared" si="178"/>
        <v>0</v>
      </c>
      <c r="AE68" s="4074" t="e">
        <f t="shared" si="179"/>
        <v>#DIV/0!</v>
      </c>
      <c r="AF68" s="3341"/>
      <c r="AG68" s="3341"/>
      <c r="AH68" s="3341"/>
      <c r="AI68" s="3349">
        <f t="shared" si="180"/>
        <v>0</v>
      </c>
      <c r="AJ68" s="4074">
        <f t="shared" si="181"/>
        <v>0</v>
      </c>
      <c r="AK68" s="3341"/>
      <c r="AL68" s="3341"/>
      <c r="AM68" s="3341"/>
      <c r="AN68" s="3349">
        <f t="shared" si="182"/>
        <v>0</v>
      </c>
      <c r="AO68" s="4074">
        <f t="shared" si="183"/>
        <v>0</v>
      </c>
      <c r="AP68" s="3341"/>
      <c r="AQ68" s="3341"/>
      <c r="AR68" s="3341"/>
      <c r="AS68" s="3349">
        <f t="shared" si="184"/>
        <v>0</v>
      </c>
      <c r="AT68" s="4074" t="e">
        <f t="shared" si="185"/>
        <v>#DIV/0!</v>
      </c>
      <c r="AU68" s="3341"/>
      <c r="AV68" s="3341"/>
      <c r="AW68" s="3341"/>
      <c r="AX68" s="3349">
        <f t="shared" si="186"/>
        <v>0</v>
      </c>
      <c r="AY68" s="4074" t="e">
        <f t="shared" si="187"/>
        <v>#DIV/0!</v>
      </c>
      <c r="AZ68" s="3341"/>
      <c r="BA68" s="3341"/>
      <c r="BB68" s="3341"/>
      <c r="BC68" s="3349">
        <f t="shared" si="188"/>
        <v>0</v>
      </c>
      <c r="BD68" s="4074" t="e">
        <f t="shared" si="189"/>
        <v>#DIV/0!</v>
      </c>
      <c r="BE68" s="3341"/>
      <c r="BF68" s="3341"/>
      <c r="BG68" s="3341"/>
      <c r="BH68" s="3349">
        <f t="shared" si="190"/>
        <v>0</v>
      </c>
      <c r="BI68" s="4074" t="e">
        <f t="shared" si="191"/>
        <v>#DIV/0!</v>
      </c>
      <c r="BJ68" s="3341"/>
      <c r="BK68" s="3341"/>
      <c r="BL68" s="3341"/>
      <c r="BM68" s="3349">
        <f t="shared" si="192"/>
        <v>0</v>
      </c>
      <c r="BN68" s="4074" t="e">
        <f t="shared" si="193"/>
        <v>#DIV/0!</v>
      </c>
      <c r="BO68" s="3341"/>
      <c r="BP68" s="3341"/>
      <c r="BQ68" s="3341"/>
      <c r="BR68" s="3349">
        <f t="shared" si="194"/>
        <v>0</v>
      </c>
      <c r="BS68" s="4074" t="e">
        <f t="shared" si="195"/>
        <v>#DIV/0!</v>
      </c>
      <c r="BT68" s="3341"/>
      <c r="BU68" s="3341"/>
      <c r="BV68" s="3341"/>
      <c r="BW68" s="3349">
        <f t="shared" si="196"/>
        <v>0</v>
      </c>
      <c r="BX68" s="4074" t="e">
        <f t="shared" si="197"/>
        <v>#DIV/0!</v>
      </c>
      <c r="BY68" s="3341"/>
      <c r="BZ68" s="3341"/>
      <c r="CA68" s="3341"/>
      <c r="CB68" s="3349">
        <f t="shared" si="198"/>
        <v>0</v>
      </c>
      <c r="CC68" s="4074" t="e">
        <f t="shared" si="199"/>
        <v>#DIV/0!</v>
      </c>
      <c r="CD68" s="3341"/>
      <c r="CE68" s="3341"/>
      <c r="CF68" s="3341"/>
      <c r="CG68" s="3349">
        <f t="shared" si="200"/>
        <v>0</v>
      </c>
      <c r="CH68" s="4074" t="e">
        <f t="shared" si="201"/>
        <v>#DIV/0!</v>
      </c>
      <c r="CI68" s="3341"/>
      <c r="CJ68" s="3341">
        <f t="shared" si="202"/>
        <v>0</v>
      </c>
      <c r="CK68" s="3341">
        <f t="shared" si="202"/>
        <v>0</v>
      </c>
      <c r="CL68" s="2012">
        <f t="shared" si="203"/>
        <v>0</v>
      </c>
      <c r="CM68" s="4074">
        <f t="shared" si="168"/>
        <v>0</v>
      </c>
      <c r="CN68" s="4076"/>
      <c r="CP68" s="2012">
        <f t="shared" si="204"/>
        <v>0</v>
      </c>
      <c r="CQ68" s="2012">
        <f t="shared" si="204"/>
        <v>0</v>
      </c>
      <c r="CR68" s="4188"/>
      <c r="CT68" s="2624"/>
    </row>
    <row r="69" spans="1:98" s="1396" customFormat="1" ht="13.8" outlineLevel="2">
      <c r="A69" s="1571"/>
      <c r="B69" s="4098" t="s">
        <v>42</v>
      </c>
      <c r="C69" s="3341"/>
      <c r="D69" s="3341"/>
      <c r="E69" s="3349">
        <f t="shared" si="169"/>
        <v>0</v>
      </c>
      <c r="F69" s="4074" t="e">
        <f t="shared" si="133"/>
        <v>#DIV/0!</v>
      </c>
      <c r="G69" s="4112"/>
      <c r="H69" s="3341"/>
      <c r="I69" s="3341"/>
      <c r="J69" s="3349">
        <f t="shared" si="170"/>
        <v>0</v>
      </c>
      <c r="K69" s="4074" t="e">
        <f t="shared" si="171"/>
        <v>#DIV/0!</v>
      </c>
      <c r="L69" s="4112"/>
      <c r="M69" s="3341"/>
      <c r="N69" s="3341"/>
      <c r="O69" s="3349">
        <f t="shared" si="172"/>
        <v>0</v>
      </c>
      <c r="P69" s="4074" t="e">
        <f t="shared" si="173"/>
        <v>#DIV/0!</v>
      </c>
      <c r="Q69" s="4112"/>
      <c r="R69" s="3342">
        <f t="shared" si="174"/>
        <v>0</v>
      </c>
      <c r="S69" s="3342">
        <f t="shared" si="174"/>
        <v>0</v>
      </c>
      <c r="T69" s="2012">
        <f t="shared" si="175"/>
        <v>0</v>
      </c>
      <c r="U69" s="3462"/>
      <c r="V69" s="3462"/>
      <c r="W69" s="3342">
        <f t="shared" si="176"/>
        <v>0</v>
      </c>
      <c r="X69" s="3342">
        <f t="shared" si="176"/>
        <v>0</v>
      </c>
      <c r="Y69" s="2012">
        <f t="shared" si="177"/>
        <v>0</v>
      </c>
      <c r="Z69" s="3462"/>
      <c r="AA69" s="3462"/>
      <c r="AB69" s="3341"/>
      <c r="AC69" s="3341"/>
      <c r="AD69" s="3349">
        <f t="shared" si="178"/>
        <v>0</v>
      </c>
      <c r="AE69" s="4074" t="e">
        <f t="shared" si="179"/>
        <v>#DIV/0!</v>
      </c>
      <c r="AF69" s="4112"/>
      <c r="AG69" s="3341"/>
      <c r="AH69" s="3341"/>
      <c r="AI69" s="3349">
        <f t="shared" si="180"/>
        <v>0</v>
      </c>
      <c r="AJ69" s="4074">
        <f t="shared" si="181"/>
        <v>0</v>
      </c>
      <c r="AK69" s="4112"/>
      <c r="AL69" s="3341"/>
      <c r="AM69" s="3341"/>
      <c r="AN69" s="3349">
        <f t="shared" si="182"/>
        <v>0</v>
      </c>
      <c r="AO69" s="4074">
        <f t="shared" si="183"/>
        <v>0</v>
      </c>
      <c r="AP69" s="4112"/>
      <c r="AQ69" s="3341"/>
      <c r="AR69" s="3341"/>
      <c r="AS69" s="3349">
        <f t="shared" si="184"/>
        <v>0</v>
      </c>
      <c r="AT69" s="4074" t="e">
        <f t="shared" si="185"/>
        <v>#DIV/0!</v>
      </c>
      <c r="AU69" s="4112"/>
      <c r="AV69" s="3341"/>
      <c r="AW69" s="3341"/>
      <c r="AX69" s="3349">
        <f t="shared" si="186"/>
        <v>0</v>
      </c>
      <c r="AY69" s="4074" t="e">
        <f t="shared" si="187"/>
        <v>#DIV/0!</v>
      </c>
      <c r="AZ69" s="4112"/>
      <c r="BA69" s="3341"/>
      <c r="BB69" s="3341"/>
      <c r="BC69" s="3349">
        <f t="shared" si="188"/>
        <v>0</v>
      </c>
      <c r="BD69" s="4074" t="e">
        <f t="shared" si="189"/>
        <v>#DIV/0!</v>
      </c>
      <c r="BE69" s="4112"/>
      <c r="BF69" s="3341"/>
      <c r="BG69" s="3341"/>
      <c r="BH69" s="3349">
        <f t="shared" si="190"/>
        <v>0</v>
      </c>
      <c r="BI69" s="4074" t="e">
        <f t="shared" si="191"/>
        <v>#DIV/0!</v>
      </c>
      <c r="BJ69" s="4112"/>
      <c r="BK69" s="3341"/>
      <c r="BL69" s="3341"/>
      <c r="BM69" s="3349">
        <f t="shared" si="192"/>
        <v>0</v>
      </c>
      <c r="BN69" s="4074" t="e">
        <f t="shared" si="193"/>
        <v>#DIV/0!</v>
      </c>
      <c r="BO69" s="4112"/>
      <c r="BP69" s="3341"/>
      <c r="BQ69" s="3341"/>
      <c r="BR69" s="3349">
        <f t="shared" si="194"/>
        <v>0</v>
      </c>
      <c r="BS69" s="4074" t="e">
        <f t="shared" si="195"/>
        <v>#DIV/0!</v>
      </c>
      <c r="BT69" s="4112"/>
      <c r="BU69" s="3341"/>
      <c r="BV69" s="3341"/>
      <c r="BW69" s="3349">
        <f t="shared" si="196"/>
        <v>0</v>
      </c>
      <c r="BX69" s="4074" t="e">
        <f t="shared" si="197"/>
        <v>#DIV/0!</v>
      </c>
      <c r="BY69" s="4112"/>
      <c r="BZ69" s="3341"/>
      <c r="CA69" s="3341"/>
      <c r="CB69" s="3349">
        <f t="shared" si="198"/>
        <v>0</v>
      </c>
      <c r="CC69" s="4074" t="e">
        <f t="shared" si="199"/>
        <v>#DIV/0!</v>
      </c>
      <c r="CD69" s="4112"/>
      <c r="CE69" s="3341"/>
      <c r="CF69" s="3341"/>
      <c r="CG69" s="3349">
        <f t="shared" si="200"/>
        <v>0</v>
      </c>
      <c r="CH69" s="4074" t="e">
        <f t="shared" si="201"/>
        <v>#DIV/0!</v>
      </c>
      <c r="CI69" s="4112"/>
      <c r="CJ69" s="3341">
        <f t="shared" si="202"/>
        <v>0</v>
      </c>
      <c r="CK69" s="3341">
        <f t="shared" si="202"/>
        <v>0</v>
      </c>
      <c r="CL69" s="2012">
        <f t="shared" si="203"/>
        <v>0</v>
      </c>
      <c r="CM69" s="4074">
        <f t="shared" si="168"/>
        <v>0</v>
      </c>
      <c r="CN69" s="4076"/>
      <c r="CP69" s="2012">
        <f t="shared" si="204"/>
        <v>0</v>
      </c>
      <c r="CQ69" s="2012">
        <f t="shared" si="204"/>
        <v>0</v>
      </c>
      <c r="CR69" s="4188"/>
      <c r="CT69" s="2624"/>
    </row>
    <row r="70" spans="1:98" s="1396" customFormat="1" ht="13.8" outlineLevel="2">
      <c r="A70" s="1571"/>
      <c r="B70" s="4098" t="s">
        <v>6</v>
      </c>
      <c r="C70" s="3341"/>
      <c r="D70" s="3341"/>
      <c r="E70" s="3349">
        <f t="shared" si="169"/>
        <v>0</v>
      </c>
      <c r="F70" s="4074" t="e">
        <f t="shared" si="133"/>
        <v>#DIV/0!</v>
      </c>
      <c r="G70" s="4112"/>
      <c r="H70" s="3341"/>
      <c r="I70" s="3341"/>
      <c r="J70" s="3349">
        <f t="shared" si="170"/>
        <v>0</v>
      </c>
      <c r="K70" s="4074" t="e">
        <f t="shared" si="171"/>
        <v>#DIV/0!</v>
      </c>
      <c r="L70" s="4112"/>
      <c r="M70" s="3341"/>
      <c r="N70" s="3341"/>
      <c r="O70" s="3349">
        <f t="shared" si="172"/>
        <v>0</v>
      </c>
      <c r="P70" s="4074" t="e">
        <f t="shared" si="173"/>
        <v>#DIV/0!</v>
      </c>
      <c r="Q70" s="4112"/>
      <c r="R70" s="3342">
        <f t="shared" si="174"/>
        <v>0</v>
      </c>
      <c r="S70" s="3342">
        <f t="shared" si="174"/>
        <v>0</v>
      </c>
      <c r="T70" s="2012">
        <f t="shared" si="175"/>
        <v>0</v>
      </c>
      <c r="U70" s="3462"/>
      <c r="V70" s="3462"/>
      <c r="W70" s="3342">
        <f t="shared" si="176"/>
        <v>0</v>
      </c>
      <c r="X70" s="3342">
        <f t="shared" si="176"/>
        <v>0</v>
      </c>
      <c r="Y70" s="2012">
        <f t="shared" si="177"/>
        <v>0</v>
      </c>
      <c r="Z70" s="3462"/>
      <c r="AA70" s="3462"/>
      <c r="AB70" s="3341"/>
      <c r="AC70" s="3341"/>
      <c r="AD70" s="3349">
        <f t="shared" si="178"/>
        <v>0</v>
      </c>
      <c r="AE70" s="4074" t="e">
        <f t="shared" si="179"/>
        <v>#DIV/0!</v>
      </c>
      <c r="AF70" s="4112"/>
      <c r="AG70" s="3341"/>
      <c r="AH70" s="3341"/>
      <c r="AI70" s="3349">
        <f t="shared" si="180"/>
        <v>0</v>
      </c>
      <c r="AJ70" s="4074">
        <f t="shared" si="181"/>
        <v>0</v>
      </c>
      <c r="AK70" s="4112"/>
      <c r="AL70" s="3341"/>
      <c r="AM70" s="3341"/>
      <c r="AN70" s="3349">
        <f t="shared" si="182"/>
        <v>0</v>
      </c>
      <c r="AO70" s="4074">
        <f t="shared" si="183"/>
        <v>0</v>
      </c>
      <c r="AP70" s="4112"/>
      <c r="AQ70" s="3341"/>
      <c r="AR70" s="3341"/>
      <c r="AS70" s="3349">
        <f t="shared" si="184"/>
        <v>0</v>
      </c>
      <c r="AT70" s="4074" t="e">
        <f t="shared" si="185"/>
        <v>#DIV/0!</v>
      </c>
      <c r="AU70" s="4112"/>
      <c r="AV70" s="3341"/>
      <c r="AW70" s="3341"/>
      <c r="AX70" s="3349">
        <f t="shared" si="186"/>
        <v>0</v>
      </c>
      <c r="AY70" s="4074" t="e">
        <f t="shared" si="187"/>
        <v>#DIV/0!</v>
      </c>
      <c r="AZ70" s="4112"/>
      <c r="BA70" s="3341"/>
      <c r="BB70" s="3341"/>
      <c r="BC70" s="3349">
        <f t="shared" si="188"/>
        <v>0</v>
      </c>
      <c r="BD70" s="4074" t="e">
        <f t="shared" si="189"/>
        <v>#DIV/0!</v>
      </c>
      <c r="BE70" s="4112"/>
      <c r="BF70" s="3341"/>
      <c r="BG70" s="3341"/>
      <c r="BH70" s="3349">
        <f t="shared" si="190"/>
        <v>0</v>
      </c>
      <c r="BI70" s="4074" t="e">
        <f t="shared" si="191"/>
        <v>#DIV/0!</v>
      </c>
      <c r="BJ70" s="4112"/>
      <c r="BK70" s="3341"/>
      <c r="BL70" s="3341"/>
      <c r="BM70" s="3349">
        <f t="shared" si="192"/>
        <v>0</v>
      </c>
      <c r="BN70" s="4074" t="e">
        <f t="shared" si="193"/>
        <v>#DIV/0!</v>
      </c>
      <c r="BO70" s="4112"/>
      <c r="BP70" s="3341"/>
      <c r="BQ70" s="3341"/>
      <c r="BR70" s="3349">
        <f t="shared" si="194"/>
        <v>0</v>
      </c>
      <c r="BS70" s="4074" t="e">
        <f t="shared" si="195"/>
        <v>#DIV/0!</v>
      </c>
      <c r="BT70" s="4112"/>
      <c r="BU70" s="3341"/>
      <c r="BV70" s="3341"/>
      <c r="BW70" s="3349">
        <f t="shared" si="196"/>
        <v>0</v>
      </c>
      <c r="BX70" s="4074" t="e">
        <f t="shared" si="197"/>
        <v>#DIV/0!</v>
      </c>
      <c r="BY70" s="4112"/>
      <c r="BZ70" s="3341"/>
      <c r="CA70" s="3341"/>
      <c r="CB70" s="3349">
        <f t="shared" si="198"/>
        <v>0</v>
      </c>
      <c r="CC70" s="4074" t="e">
        <f t="shared" si="199"/>
        <v>#DIV/0!</v>
      </c>
      <c r="CD70" s="4112"/>
      <c r="CE70" s="3341"/>
      <c r="CF70" s="3341"/>
      <c r="CG70" s="3349">
        <f t="shared" si="200"/>
        <v>0</v>
      </c>
      <c r="CH70" s="4074" t="e">
        <f t="shared" si="201"/>
        <v>#DIV/0!</v>
      </c>
      <c r="CI70" s="4112"/>
      <c r="CJ70" s="3341">
        <f t="shared" si="202"/>
        <v>0</v>
      </c>
      <c r="CK70" s="3341">
        <f t="shared" si="202"/>
        <v>0</v>
      </c>
      <c r="CL70" s="2012">
        <f t="shared" si="203"/>
        <v>0</v>
      </c>
      <c r="CM70" s="4074">
        <f t="shared" si="168"/>
        <v>0</v>
      </c>
      <c r="CN70" s="4076"/>
      <c r="CP70" s="2012">
        <f t="shared" si="204"/>
        <v>0</v>
      </c>
      <c r="CQ70" s="2012">
        <f t="shared" si="204"/>
        <v>0</v>
      </c>
      <c r="CR70" s="4188"/>
      <c r="CT70" s="2624"/>
    </row>
    <row r="71" spans="1:98" s="1396" customFormat="1" ht="13.8" outlineLevel="2">
      <c r="A71" s="1571"/>
      <c r="B71" s="4098" t="s">
        <v>78</v>
      </c>
      <c r="C71" s="3341"/>
      <c r="D71" s="3341"/>
      <c r="E71" s="3349">
        <f t="shared" si="169"/>
        <v>0</v>
      </c>
      <c r="F71" s="4074" t="e">
        <f t="shared" si="133"/>
        <v>#DIV/0!</v>
      </c>
      <c r="G71" s="4112"/>
      <c r="H71" s="3341"/>
      <c r="I71" s="3341"/>
      <c r="J71" s="3349">
        <f t="shared" si="170"/>
        <v>0</v>
      </c>
      <c r="K71" s="4074" t="e">
        <f t="shared" si="171"/>
        <v>#DIV/0!</v>
      </c>
      <c r="L71" s="4112"/>
      <c r="M71" s="3341"/>
      <c r="N71" s="3341"/>
      <c r="O71" s="3349">
        <f t="shared" si="172"/>
        <v>0</v>
      </c>
      <c r="P71" s="4074" t="e">
        <f t="shared" si="173"/>
        <v>#DIV/0!</v>
      </c>
      <c r="Q71" s="4112"/>
      <c r="R71" s="3342">
        <f t="shared" si="174"/>
        <v>0</v>
      </c>
      <c r="S71" s="3342">
        <f t="shared" si="174"/>
        <v>0</v>
      </c>
      <c r="T71" s="2012">
        <f t="shared" si="175"/>
        <v>0</v>
      </c>
      <c r="U71" s="3462"/>
      <c r="V71" s="3462"/>
      <c r="W71" s="3342">
        <f t="shared" si="176"/>
        <v>0</v>
      </c>
      <c r="X71" s="3342">
        <f t="shared" si="176"/>
        <v>0</v>
      </c>
      <c r="Y71" s="2012">
        <f t="shared" si="177"/>
        <v>0</v>
      </c>
      <c r="Z71" s="3462"/>
      <c r="AA71" s="3462"/>
      <c r="AB71" s="3341"/>
      <c r="AC71" s="3341"/>
      <c r="AD71" s="3349">
        <f t="shared" si="178"/>
        <v>0</v>
      </c>
      <c r="AE71" s="4074" t="e">
        <f t="shared" si="179"/>
        <v>#DIV/0!</v>
      </c>
      <c r="AF71" s="4112"/>
      <c r="AG71" s="3341"/>
      <c r="AH71" s="3341"/>
      <c r="AI71" s="3349">
        <f t="shared" si="180"/>
        <v>0</v>
      </c>
      <c r="AJ71" s="4074">
        <f t="shared" si="181"/>
        <v>0</v>
      </c>
      <c r="AK71" s="4112"/>
      <c r="AL71" s="3341"/>
      <c r="AM71" s="3341"/>
      <c r="AN71" s="3349">
        <f t="shared" si="182"/>
        <v>0</v>
      </c>
      <c r="AO71" s="4074">
        <f t="shared" si="183"/>
        <v>0</v>
      </c>
      <c r="AP71" s="4112"/>
      <c r="AQ71" s="3341"/>
      <c r="AR71" s="3341"/>
      <c r="AS71" s="3349">
        <f t="shared" si="184"/>
        <v>0</v>
      </c>
      <c r="AT71" s="4074" t="e">
        <f t="shared" si="185"/>
        <v>#DIV/0!</v>
      </c>
      <c r="AU71" s="4112"/>
      <c r="AV71" s="3341"/>
      <c r="AW71" s="3341"/>
      <c r="AX71" s="3349">
        <f t="shared" si="186"/>
        <v>0</v>
      </c>
      <c r="AY71" s="4074" t="e">
        <f t="shared" si="187"/>
        <v>#DIV/0!</v>
      </c>
      <c r="AZ71" s="4112"/>
      <c r="BA71" s="3341"/>
      <c r="BB71" s="3341"/>
      <c r="BC71" s="3349">
        <f t="shared" si="188"/>
        <v>0</v>
      </c>
      <c r="BD71" s="4074" t="e">
        <f t="shared" si="189"/>
        <v>#DIV/0!</v>
      </c>
      <c r="BE71" s="4112"/>
      <c r="BF71" s="3341"/>
      <c r="BG71" s="3341"/>
      <c r="BH71" s="3349">
        <f t="shared" si="190"/>
        <v>0</v>
      </c>
      <c r="BI71" s="4074" t="e">
        <f t="shared" si="191"/>
        <v>#DIV/0!</v>
      </c>
      <c r="BJ71" s="4112"/>
      <c r="BK71" s="3341"/>
      <c r="BL71" s="3341"/>
      <c r="BM71" s="3349">
        <f t="shared" si="192"/>
        <v>0</v>
      </c>
      <c r="BN71" s="4074" t="e">
        <f t="shared" si="193"/>
        <v>#DIV/0!</v>
      </c>
      <c r="BO71" s="4112"/>
      <c r="BP71" s="3341"/>
      <c r="BQ71" s="3341"/>
      <c r="BR71" s="3349">
        <f t="shared" si="194"/>
        <v>0</v>
      </c>
      <c r="BS71" s="4074" t="e">
        <f t="shared" si="195"/>
        <v>#DIV/0!</v>
      </c>
      <c r="BT71" s="4112"/>
      <c r="BU71" s="3341"/>
      <c r="BV71" s="3341"/>
      <c r="BW71" s="3349">
        <f t="shared" si="196"/>
        <v>0</v>
      </c>
      <c r="BX71" s="4074" t="e">
        <f t="shared" si="197"/>
        <v>#DIV/0!</v>
      </c>
      <c r="BY71" s="4112"/>
      <c r="BZ71" s="3341"/>
      <c r="CA71" s="3341"/>
      <c r="CB71" s="3349">
        <f t="shared" si="198"/>
        <v>0</v>
      </c>
      <c r="CC71" s="4074" t="e">
        <f t="shared" si="199"/>
        <v>#DIV/0!</v>
      </c>
      <c r="CD71" s="4112"/>
      <c r="CE71" s="3341"/>
      <c r="CF71" s="3341"/>
      <c r="CG71" s="3349">
        <f t="shared" si="200"/>
        <v>0</v>
      </c>
      <c r="CH71" s="4074" t="e">
        <f t="shared" si="201"/>
        <v>#DIV/0!</v>
      </c>
      <c r="CI71" s="4112"/>
      <c r="CJ71" s="3341">
        <f t="shared" si="202"/>
        <v>0</v>
      </c>
      <c r="CK71" s="3341">
        <f t="shared" si="202"/>
        <v>0</v>
      </c>
      <c r="CL71" s="2012">
        <f t="shared" si="203"/>
        <v>0</v>
      </c>
      <c r="CM71" s="4074">
        <f t="shared" si="168"/>
        <v>0</v>
      </c>
      <c r="CN71" s="4076"/>
      <c r="CP71" s="2012">
        <f t="shared" si="204"/>
        <v>0</v>
      </c>
      <c r="CQ71" s="2012">
        <f t="shared" si="204"/>
        <v>0</v>
      </c>
      <c r="CR71" s="4188"/>
      <c r="CT71" s="2624"/>
    </row>
    <row r="72" spans="1:98" s="1396" customFormat="1" ht="13.8" outlineLevel="2">
      <c r="A72" s="1571"/>
      <c r="B72" s="4123"/>
      <c r="C72" s="4080"/>
      <c r="D72" s="4080"/>
      <c r="E72" s="4115"/>
      <c r="F72" s="4074"/>
      <c r="G72" s="4112"/>
      <c r="H72" s="4080"/>
      <c r="I72" s="4080"/>
      <c r="J72" s="4115"/>
      <c r="K72" s="4074" t="e">
        <f t="shared" si="171"/>
        <v>#DIV/0!</v>
      </c>
      <c r="L72" s="4112"/>
      <c r="M72" s="4080"/>
      <c r="N72" s="4080"/>
      <c r="O72" s="4115"/>
      <c r="P72" s="4074" t="e">
        <f t="shared" si="173"/>
        <v>#DIV/0!</v>
      </c>
      <c r="Q72" s="4112"/>
      <c r="R72" s="4112"/>
      <c r="S72" s="4112"/>
      <c r="T72" s="4112"/>
      <c r="U72" s="4112"/>
      <c r="V72" s="4112"/>
      <c r="W72" s="4112"/>
      <c r="X72" s="4112"/>
      <c r="Y72" s="4112"/>
      <c r="Z72" s="4112"/>
      <c r="AA72" s="4112"/>
      <c r="AB72" s="4080"/>
      <c r="AC72" s="4080"/>
      <c r="AD72" s="4115"/>
      <c r="AE72" s="4074"/>
      <c r="AF72" s="4112"/>
      <c r="AG72" s="4080"/>
      <c r="AH72" s="4080"/>
      <c r="AI72" s="4115"/>
      <c r="AJ72" s="4074"/>
      <c r="AK72" s="4112"/>
      <c r="AL72" s="4080"/>
      <c r="AM72" s="4080"/>
      <c r="AN72" s="4115"/>
      <c r="AO72" s="4074"/>
      <c r="AP72" s="4112"/>
      <c r="AQ72" s="4080"/>
      <c r="AR72" s="4080"/>
      <c r="AS72" s="4115"/>
      <c r="AT72" s="4074"/>
      <c r="AU72" s="4112"/>
      <c r="AV72" s="4080"/>
      <c r="AW72" s="4080"/>
      <c r="AX72" s="4115"/>
      <c r="AY72" s="4074"/>
      <c r="AZ72" s="4112"/>
      <c r="BA72" s="4080"/>
      <c r="BB72" s="4080"/>
      <c r="BC72" s="4115"/>
      <c r="BD72" s="4074"/>
      <c r="BE72" s="4112"/>
      <c r="BF72" s="4080"/>
      <c r="BG72" s="4080"/>
      <c r="BH72" s="4115"/>
      <c r="BI72" s="4074"/>
      <c r="BJ72" s="4112"/>
      <c r="BK72" s="4080"/>
      <c r="BL72" s="4080"/>
      <c r="BM72" s="4115"/>
      <c r="BN72" s="4074"/>
      <c r="BO72" s="4112"/>
      <c r="BP72" s="4080"/>
      <c r="BQ72" s="4080"/>
      <c r="BR72" s="4115"/>
      <c r="BS72" s="4074"/>
      <c r="BT72" s="4112"/>
      <c r="BU72" s="4080"/>
      <c r="BV72" s="4080"/>
      <c r="BW72" s="4115"/>
      <c r="BX72" s="4074"/>
      <c r="BY72" s="4112"/>
      <c r="BZ72" s="4080"/>
      <c r="CA72" s="4080"/>
      <c r="CB72" s="4115"/>
      <c r="CC72" s="4074"/>
      <c r="CD72" s="4112"/>
      <c r="CE72" s="4080"/>
      <c r="CF72" s="4080"/>
      <c r="CG72" s="4115"/>
      <c r="CH72" s="4074"/>
      <c r="CI72" s="4112"/>
      <c r="CJ72" s="4080"/>
      <c r="CK72" s="4080"/>
      <c r="CL72" s="4115"/>
      <c r="CM72" s="4074">
        <f>CL72/$CL$89</f>
        <v>0</v>
      </c>
      <c r="CN72" s="4076"/>
      <c r="CP72" s="2030"/>
      <c r="CQ72" s="2030"/>
      <c r="CR72" s="4187"/>
      <c r="CT72" s="2624"/>
    </row>
    <row r="73" spans="1:98"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 t="shared" ref="Y73" si="205">W73+X73</f>
        <v>0</v>
      </c>
      <c r="Z73" s="3738"/>
      <c r="AA73" s="3742"/>
      <c r="AB73" s="555">
        <f>AB74</f>
        <v>0</v>
      </c>
      <c r="AC73" s="3738">
        <f>AC74</f>
        <v>0</v>
      </c>
      <c r="AD73" s="3739">
        <f>AD74</f>
        <v>0</v>
      </c>
      <c r="AE73" s="3738"/>
      <c r="AF73" s="3741"/>
      <c r="AG73" s="555">
        <f>AG74</f>
        <v>0</v>
      </c>
      <c r="AH73" s="3739">
        <f>AH74</f>
        <v>0</v>
      </c>
      <c r="AI73" s="3739">
        <f>AI74</f>
        <v>0</v>
      </c>
      <c r="AJ73" s="3738"/>
      <c r="AK73" s="3741"/>
      <c r="AL73" s="555">
        <f>AL74</f>
        <v>0</v>
      </c>
      <c r="AM73" s="3738">
        <f>AM74</f>
        <v>0</v>
      </c>
      <c r="AN73" s="555">
        <f>AN74</f>
        <v>0</v>
      </c>
      <c r="AO73" s="3738"/>
      <c r="AP73" s="3741"/>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4124">
        <f>CP74</f>
        <v>14307.21</v>
      </c>
      <c r="CQ73" s="4124">
        <f>CQ74</f>
        <v>14307.21</v>
      </c>
      <c r="CR73" s="4124"/>
      <c r="CT73" s="2624"/>
    </row>
    <row r="74" spans="1:98" s="1396" customFormat="1" ht="14.4" outlineLevel="1" thickBot="1">
      <c r="A74" s="1413"/>
      <c r="B74" s="1051" t="s">
        <v>64</v>
      </c>
      <c r="C74" s="3341"/>
      <c r="D74" s="3341"/>
      <c r="E74" s="3386">
        <f>C74+D74*1</f>
        <v>0</v>
      </c>
      <c r="F74" s="3386"/>
      <c r="G74" s="3468"/>
      <c r="H74" s="3341"/>
      <c r="I74" s="3341"/>
      <c r="J74" s="3386">
        <f>H74+I74*1</f>
        <v>0</v>
      </c>
      <c r="K74" s="4074" t="e">
        <f t="shared" ref="K74" si="206">J74/J$89</f>
        <v>#DIV/0!</v>
      </c>
      <c r="L74" s="3468"/>
      <c r="M74" s="3341"/>
      <c r="N74" s="3341"/>
      <c r="O74" s="3386">
        <f>M74+N74*1</f>
        <v>0</v>
      </c>
      <c r="P74" s="4074" t="e">
        <f t="shared" ref="P74" si="207">O74/O$89</f>
        <v>#DIV/0!</v>
      </c>
      <c r="Q74" s="3468"/>
      <c r="R74" s="3469"/>
      <c r="S74" s="3469"/>
      <c r="T74" s="3469"/>
      <c r="U74" s="3469"/>
      <c r="V74" s="3469"/>
      <c r="W74" s="3342">
        <f t="shared" ref="W74:X74" si="208">AB74+AG74+AL74+AV74+BA74+BF74+BK74+BP74+BU74+BZ74+CE74+AQ74</f>
        <v>0</v>
      </c>
      <c r="X74" s="3342">
        <f t="shared" si="208"/>
        <v>0</v>
      </c>
      <c r="Y74" s="3469"/>
      <c r="Z74" s="3469"/>
      <c r="AA74" s="3469"/>
      <c r="AB74" s="3341"/>
      <c r="AC74" s="3341"/>
      <c r="AD74" s="3386">
        <f>AB74+AC74*1</f>
        <v>0</v>
      </c>
      <c r="AE74" s="3386"/>
      <c r="AF74" s="3468"/>
      <c r="AG74" s="3341"/>
      <c r="AH74" s="3349"/>
      <c r="AI74" s="3349">
        <f>AG74+AH74*1</f>
        <v>0</v>
      </c>
      <c r="AJ74" s="3386"/>
      <c r="AK74" s="3981"/>
      <c r="AL74" s="3341"/>
      <c r="AM74" s="3341"/>
      <c r="AN74" s="2012">
        <f>AL74+AM74</f>
        <v>0</v>
      </c>
      <c r="AO74" s="3386"/>
      <c r="AP74" s="3468"/>
      <c r="AQ74" s="3341"/>
      <c r="AR74" s="3341"/>
      <c r="AS74" s="3386">
        <f>AQ74+AR74*1</f>
        <v>0</v>
      </c>
      <c r="AT74" s="3386"/>
      <c r="AU74" s="3468"/>
      <c r="AV74" s="3341"/>
      <c r="AW74" s="3341"/>
      <c r="AX74" s="3386">
        <f>AV74+AW74*1</f>
        <v>0</v>
      </c>
      <c r="AY74" s="3386"/>
      <c r="AZ74" s="3468"/>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 t="shared" ref="CJ74" si="209">C74+H74+M74+W74</f>
        <v>0</v>
      </c>
      <c r="CK74" s="3341">
        <f>D74+I74+N74</f>
        <v>0</v>
      </c>
      <c r="CL74" s="2012">
        <f>CJ74+CK74*1</f>
        <v>0</v>
      </c>
      <c r="CM74" s="3386"/>
      <c r="CN74" s="3386"/>
      <c r="CP74" s="2012">
        <v>14307.21</v>
      </c>
      <c r="CQ74" s="2012">
        <f>CP74</f>
        <v>14307.21</v>
      </c>
      <c r="CR74" s="4188"/>
      <c r="CT74" s="2624"/>
    </row>
    <row r="75" spans="1:98"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0</v>
      </c>
      <c r="O75" s="1508">
        <f>O38-O41-O50-O54</f>
        <v>0</v>
      </c>
      <c r="P75" s="1953"/>
      <c r="Q75" s="1058"/>
      <c r="R75" s="1450">
        <f>R38-R41-R50-R54</f>
        <v>0</v>
      </c>
      <c r="S75" s="1450">
        <f>S38-S41-S50-S54</f>
        <v>0</v>
      </c>
      <c r="T75" s="1508">
        <f>T38-T41-T50-T54</f>
        <v>0</v>
      </c>
      <c r="U75" s="3470"/>
      <c r="V75" s="3470"/>
      <c r="W75" s="1450">
        <f>W38-W41-W50-W54</f>
        <v>217318.98599999998</v>
      </c>
      <c r="X75" s="1450">
        <f>X38-X41-X50-X54</f>
        <v>-188710.96000000002</v>
      </c>
      <c r="Y75" s="1508">
        <f>Y38-Y41-Y50-Y54</f>
        <v>28608.025999999954</v>
      </c>
      <c r="Z75" s="3470"/>
      <c r="AA75" s="3470"/>
      <c r="AB75" s="1450">
        <f>AB38-AB41-AB50-AB54</f>
        <v>0</v>
      </c>
      <c r="AC75" s="1450">
        <f>AC38-AC41-AC50-AC54</f>
        <v>0</v>
      </c>
      <c r="AD75" s="1508">
        <f>AD38-AD41-AD50-AD54</f>
        <v>0</v>
      </c>
      <c r="AE75" s="1953"/>
      <c r="AF75" s="1058"/>
      <c r="AG75" s="1450">
        <f>AG38-AG41-AG50-AG54</f>
        <v>-61031.68</v>
      </c>
      <c r="AH75" s="1450">
        <f>AH38-AH41-AH50-AH54</f>
        <v>-108688.96000000001</v>
      </c>
      <c r="AI75" s="1508">
        <f>AI38-AI41-AI50-AI54</f>
        <v>-169720.63999999998</v>
      </c>
      <c r="AJ75" s="1953"/>
      <c r="AK75" s="1058"/>
      <c r="AL75" s="1450">
        <f>AL38-AL41-AL50-AL54</f>
        <v>278350.66599999997</v>
      </c>
      <c r="AM75" s="1450">
        <f>AM38-AM41-AM50-AM54</f>
        <v>-80022</v>
      </c>
      <c r="AN75" s="1508">
        <f>AN38-AN41-AN50-AN54</f>
        <v>198328.66599999997</v>
      </c>
      <c r="AO75" s="1953"/>
      <c r="AP75" s="1058"/>
      <c r="AQ75" s="1450">
        <f>AQ38-AQ41-AQ50-AQ54</f>
        <v>0</v>
      </c>
      <c r="AR75" s="1450">
        <f>AR38-AR41-AR50-AR54</f>
        <v>0</v>
      </c>
      <c r="AS75" s="1508">
        <f>AS38-AS41-AS50-AS54</f>
        <v>0</v>
      </c>
      <c r="AT75" s="1953"/>
      <c r="AU75" s="1058"/>
      <c r="AV75" s="1450">
        <f>AV38-AV41-AV50-AV54</f>
        <v>0</v>
      </c>
      <c r="AW75" s="1450">
        <f>AW38-AW41-AW50-AW54</f>
        <v>0</v>
      </c>
      <c r="AX75" s="1508">
        <f>AX38-AX41-AX50-AX54</f>
        <v>0</v>
      </c>
      <c r="AY75" s="1953"/>
      <c r="AZ75" s="1058"/>
      <c r="BA75" s="1450">
        <f>BA38-BA41-BA50-BA54</f>
        <v>0</v>
      </c>
      <c r="BB75" s="1450">
        <f>BB38-BB41-BB50-BB54</f>
        <v>0</v>
      </c>
      <c r="BC75" s="1508">
        <f>BC38-BC41-BC50-BC54</f>
        <v>0</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217318.98599999998</v>
      </c>
      <c r="CK75" s="1450">
        <f>CK38-CK41-CK50-CK54</f>
        <v>-188710.96000000002</v>
      </c>
      <c r="CL75" s="1508">
        <f>CL38-CL41-CL50-CL54</f>
        <v>28608.025999999954</v>
      </c>
      <c r="CM75" s="1953"/>
      <c r="CN75" s="1953"/>
      <c r="CP75" s="3471">
        <f>CP38-CP41-CP50-CP54</f>
        <v>257707.75916800002</v>
      </c>
      <c r="CQ75" s="3471">
        <f>CQ38-CQ41-CQ50-CQ54</f>
        <v>28608.025999999954</v>
      </c>
      <c r="CR75" s="3471">
        <f>CR38-CR41-CR50-CR54</f>
        <v>229099.73316800009</v>
      </c>
      <c r="CT75" s="2624"/>
    </row>
    <row r="76" spans="1:98"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2003">
        <f>IFERROR(AB75/AB5,0)</f>
        <v>0</v>
      </c>
      <c r="AC76" s="2003">
        <f>IFERROR(AC75/AC5,0)</f>
        <v>0</v>
      </c>
      <c r="AD76" s="2004">
        <f>IFERROR(AD75/AD5,0)</f>
        <v>0</v>
      </c>
      <c r="AE76" s="2004"/>
      <c r="AF76" s="1056"/>
      <c r="AG76" s="2003">
        <f>IFERROR(AG75/AG5,0)</f>
        <v>0</v>
      </c>
      <c r="AH76" s="2003">
        <f>IFERROR(AH75/AH5,0)</f>
        <v>0</v>
      </c>
      <c r="AI76" s="2004">
        <f>IFERROR(AI75/AI5,0)</f>
        <v>0</v>
      </c>
      <c r="AJ76" s="2004"/>
      <c r="AK76" s="1056"/>
      <c r="AL76" s="2003">
        <f>IFERROR(AL75/AL5,0)</f>
        <v>0.64618272559801881</v>
      </c>
      <c r="AM76" s="2003">
        <f>IFERROR(AM75/AM5,0)</f>
        <v>0</v>
      </c>
      <c r="AN76" s="2004">
        <f>IFERROR(AN75/AN5,0)</f>
        <v>0.46041405182087514</v>
      </c>
      <c r="AO76" s="2004"/>
      <c r="AP76" s="1056"/>
      <c r="AQ76" s="2003">
        <f>IFERROR(AQ75/AQ5,0)</f>
        <v>0</v>
      </c>
      <c r="AR76" s="2003">
        <f>IFERROR(AR75/AR5,0)</f>
        <v>0</v>
      </c>
      <c r="AS76" s="2004">
        <f>IFERROR(AS75/AS5,0)</f>
        <v>0</v>
      </c>
      <c r="AT76" s="2004"/>
      <c r="AU76" s="1056"/>
      <c r="AV76" s="2003">
        <f>IFERROR(AV75/AV5,0)</f>
        <v>0</v>
      </c>
      <c r="AW76" s="2003">
        <f>IFERROR(AW75/AW5,0)</f>
        <v>0</v>
      </c>
      <c r="AX76" s="2004">
        <f>IFERROR(AX75/AX5,0)</f>
        <v>0</v>
      </c>
      <c r="AY76" s="2004"/>
      <c r="AZ76" s="1056"/>
      <c r="BA76" s="2003">
        <f>IFERROR(BA75/BA5,0)</f>
        <v>0</v>
      </c>
      <c r="BB76" s="2003">
        <f>IFERROR(BB75/BB5,0)</f>
        <v>0</v>
      </c>
      <c r="BC76" s="2004">
        <f>IFERROR(BC75/BC5,0)</f>
        <v>0</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0.50449951033232909</v>
      </c>
      <c r="CK76" s="2003">
        <f>IFERROR(CK75/CK5,0)</f>
        <v>0</v>
      </c>
      <c r="CL76" s="2004">
        <f>IFERROR(CL75/CL5,0)</f>
        <v>6.6412674632001636E-2</v>
      </c>
      <c r="CM76" s="2004"/>
      <c r="CN76" s="2004"/>
      <c r="CP76" s="2004">
        <f>CP75/CP5</f>
        <v>0.54037319470672485</v>
      </c>
      <c r="CQ76" s="2004">
        <f>IFERROR(CQ75/CQ5,0)</f>
        <v>6.6412674632001636E-2</v>
      </c>
      <c r="CR76" s="2004">
        <f>CR75/CR5</f>
        <v>4.9647296433495294</v>
      </c>
      <c r="CT76" s="2624"/>
    </row>
    <row r="77" spans="1:98" s="1396" customFormat="1" ht="14.4" outlineLevel="1" thickBot="1">
      <c r="A77" s="1566"/>
      <c r="B77" s="4126" t="s">
        <v>9</v>
      </c>
      <c r="C77" s="4127">
        <f>C78-C79</f>
        <v>0</v>
      </c>
      <c r="D77" s="4127">
        <f>D78-D79</f>
        <v>0</v>
      </c>
      <c r="E77" s="4128">
        <f>E78-E79</f>
        <v>0</v>
      </c>
      <c r="F77" s="4129"/>
      <c r="G77" s="4130"/>
      <c r="H77" s="4127">
        <f>H78-H79</f>
        <v>0</v>
      </c>
      <c r="I77" s="4127">
        <f>I78-I79</f>
        <v>0</v>
      </c>
      <c r="J77" s="4128">
        <f>J78-J79</f>
        <v>0</v>
      </c>
      <c r="K77" s="4129"/>
      <c r="L77" s="4130"/>
      <c r="M77" s="4127">
        <f>M78-M79</f>
        <v>0</v>
      </c>
      <c r="N77" s="4127">
        <f>N78-N79</f>
        <v>0</v>
      </c>
      <c r="O77" s="4128">
        <f>O78-O79</f>
        <v>0</v>
      </c>
      <c r="P77" s="4129"/>
      <c r="Q77" s="4130"/>
      <c r="R77" s="4127">
        <f>R78-R79</f>
        <v>0</v>
      </c>
      <c r="S77" s="4127">
        <f>S78-S79</f>
        <v>0</v>
      </c>
      <c r="T77" s="4128">
        <f>T78-T79</f>
        <v>0</v>
      </c>
      <c r="U77" s="4131"/>
      <c r="V77" s="4131"/>
      <c r="W77" s="4127">
        <f>W78-W79</f>
        <v>-28198.18379062488</v>
      </c>
      <c r="X77" s="4127">
        <f>X78-X79</f>
        <v>0</v>
      </c>
      <c r="Y77" s="4128">
        <f>Y78-Y79</f>
        <v>-28198.18379062488</v>
      </c>
      <c r="Z77" s="4131"/>
      <c r="AA77" s="4131"/>
      <c r="AB77" s="4127">
        <f>AB78-AB79</f>
        <v>0</v>
      </c>
      <c r="AC77" s="4127">
        <f>AC78-AC79</f>
        <v>0</v>
      </c>
      <c r="AD77" s="4128">
        <f>AD78-AD79</f>
        <v>0</v>
      </c>
      <c r="AE77" s="4129"/>
      <c r="AF77" s="4130"/>
      <c r="AG77" s="4127">
        <f>AG78-AG79</f>
        <v>-16240.875835149563</v>
      </c>
      <c r="AH77" s="4127">
        <f>AH78-AH79</f>
        <v>0</v>
      </c>
      <c r="AI77" s="4128">
        <f>AI78-AI79</f>
        <v>-16240.875835149563</v>
      </c>
      <c r="AJ77" s="4129"/>
      <c r="AK77" s="4130"/>
      <c r="AL77" s="4127">
        <f>AL78-AL79</f>
        <v>-11957.307955475317</v>
      </c>
      <c r="AM77" s="4127">
        <f>AM78-AM79</f>
        <v>0</v>
      </c>
      <c r="AN77" s="4128">
        <f>AN78-AN79</f>
        <v>-11957.307955475317</v>
      </c>
      <c r="AO77" s="4129"/>
      <c r="AP77" s="4130"/>
      <c r="AQ77" s="4127">
        <f>AQ78-AQ79</f>
        <v>0</v>
      </c>
      <c r="AR77" s="4127">
        <f>AR78-AR79</f>
        <v>0</v>
      </c>
      <c r="AS77" s="4128">
        <f>AS78-AS79</f>
        <v>0</v>
      </c>
      <c r="AT77" s="4129"/>
      <c r="AU77" s="4130"/>
      <c r="AV77" s="4127">
        <f>AV78-AV79</f>
        <v>0</v>
      </c>
      <c r="AW77" s="4127">
        <f>AW78-AW79</f>
        <v>0</v>
      </c>
      <c r="AX77" s="4128">
        <f>AX78-AX79</f>
        <v>0</v>
      </c>
      <c r="AY77" s="4129"/>
      <c r="AZ77" s="4130"/>
      <c r="BA77" s="4127">
        <f>BA78-BA79</f>
        <v>0</v>
      </c>
      <c r="BB77" s="4127">
        <f>BB78-BB79</f>
        <v>0</v>
      </c>
      <c r="BC77" s="4128">
        <f>BC78-BC79</f>
        <v>0</v>
      </c>
      <c r="BD77" s="4129"/>
      <c r="BE77" s="4130"/>
      <c r="BF77" s="4127">
        <f>BF78-BF79</f>
        <v>0</v>
      </c>
      <c r="BG77" s="4127">
        <f>BG78-BG79</f>
        <v>0</v>
      </c>
      <c r="BH77" s="4128">
        <f>BH78-BH79</f>
        <v>0</v>
      </c>
      <c r="BI77" s="4129"/>
      <c r="BJ77" s="4130"/>
      <c r="BK77" s="4127">
        <f>BK78-BK79</f>
        <v>0</v>
      </c>
      <c r="BL77" s="4127">
        <f>BL78-BL79</f>
        <v>0</v>
      </c>
      <c r="BM77" s="4128">
        <f>BM78-BM79</f>
        <v>0</v>
      </c>
      <c r="BN77" s="4129"/>
      <c r="BO77" s="4130"/>
      <c r="BP77" s="4127">
        <f>BP78-BP79</f>
        <v>0</v>
      </c>
      <c r="BQ77" s="4127">
        <f>BQ78-BQ79</f>
        <v>0</v>
      </c>
      <c r="BR77" s="4128">
        <f>BR78-BR79</f>
        <v>0</v>
      </c>
      <c r="BS77" s="4129"/>
      <c r="BT77" s="4130"/>
      <c r="BU77" s="4127">
        <f>BU78-BU79</f>
        <v>0</v>
      </c>
      <c r="BV77" s="4127">
        <f>BV78-BV79</f>
        <v>0</v>
      </c>
      <c r="BW77" s="4128">
        <f>BW78-BW79</f>
        <v>0</v>
      </c>
      <c r="BX77" s="4129"/>
      <c r="BY77" s="4130"/>
      <c r="BZ77" s="4127">
        <f>BZ78-BZ79</f>
        <v>0</v>
      </c>
      <c r="CA77" s="4127">
        <f>CA78-CA79</f>
        <v>0</v>
      </c>
      <c r="CB77" s="4128">
        <f>CB78-CB79</f>
        <v>0</v>
      </c>
      <c r="CC77" s="4129"/>
      <c r="CD77" s="4130"/>
      <c r="CE77" s="4127">
        <f>CE78-CE79</f>
        <v>0</v>
      </c>
      <c r="CF77" s="4127">
        <f>CF78-CF79</f>
        <v>0</v>
      </c>
      <c r="CG77" s="4128">
        <f>CG78-CG79</f>
        <v>0</v>
      </c>
      <c r="CH77" s="4129"/>
      <c r="CI77" s="4130"/>
      <c r="CJ77" s="4127">
        <f>CJ78-CJ79</f>
        <v>-28198.18379062488</v>
      </c>
      <c r="CK77" s="4127">
        <f>CK78-CK79</f>
        <v>0</v>
      </c>
      <c r="CL77" s="4128">
        <f>CL78-CL79</f>
        <v>-28198.18379062488</v>
      </c>
      <c r="CM77" s="4129"/>
      <c r="CN77" s="4129"/>
      <c r="CP77" s="4128">
        <f>CP78-CP79</f>
        <v>0</v>
      </c>
      <c r="CQ77" s="4128">
        <f>CQ78-CQ79</f>
        <v>-28198.18379062488</v>
      </c>
      <c r="CR77" s="4128"/>
      <c r="CT77" s="2624"/>
    </row>
    <row r="78" spans="1:98" s="1396" customFormat="1" ht="13.8" outlineLevel="2">
      <c r="A78" s="1405"/>
      <c r="B78" s="1400" t="s">
        <v>43</v>
      </c>
      <c r="C78" s="3341"/>
      <c r="D78" s="3341"/>
      <c r="E78" s="3391">
        <f>C78+D78*1.15</f>
        <v>0</v>
      </c>
      <c r="F78" s="3391"/>
      <c r="G78" s="3473"/>
      <c r="H78" s="3341"/>
      <c r="I78" s="3341"/>
      <c r="J78" s="3391">
        <f>H78+I78*1.15</f>
        <v>0</v>
      </c>
      <c r="K78" s="4074" t="e">
        <f t="shared" ref="K78:K79" si="210">J78/J$89</f>
        <v>#DIV/0!</v>
      </c>
      <c r="L78" s="3473"/>
      <c r="M78" s="3341"/>
      <c r="N78" s="3341"/>
      <c r="O78" s="3391">
        <f>M78+N78*1.15</f>
        <v>0</v>
      </c>
      <c r="P78" s="4074" t="e">
        <f t="shared" ref="P78:P79" si="211">O78/O$89</f>
        <v>#DIV/0!</v>
      </c>
      <c r="Q78" s="3473"/>
      <c r="R78" s="3342">
        <f t="shared" ref="R78:S79" si="212">M78+H78+C78</f>
        <v>0</v>
      </c>
      <c r="S78" s="3342">
        <f t="shared" si="212"/>
        <v>0</v>
      </c>
      <c r="T78" s="2012">
        <f t="shared" ref="T78:T79" si="213">R78+S78</f>
        <v>0</v>
      </c>
      <c r="U78" s="3474"/>
      <c r="V78" s="3474"/>
      <c r="W78" s="3342">
        <f t="shared" ref="W78:X79" si="214">AB78+AG78+AL78+AV78+BA78+BF78+BK78+BP78+BU78+BZ78+CE78+AQ78</f>
        <v>0</v>
      </c>
      <c r="X78" s="3342">
        <f t="shared" si="214"/>
        <v>0</v>
      </c>
      <c r="Y78" s="2012">
        <f t="shared" ref="Y78:Y79" si="215">W78+X78</f>
        <v>0</v>
      </c>
      <c r="Z78" s="3474"/>
      <c r="AA78" s="3474"/>
      <c r="AB78" s="3341"/>
      <c r="AC78" s="3341"/>
      <c r="AD78" s="3391">
        <f>AB78+AC78*1.15</f>
        <v>0</v>
      </c>
      <c r="AE78" s="3391"/>
      <c r="AF78" s="3473"/>
      <c r="AG78" s="3341"/>
      <c r="AH78" s="3341"/>
      <c r="AI78" s="3391">
        <f>AG78+AH78*1.15</f>
        <v>0</v>
      </c>
      <c r="AJ78" s="3391"/>
      <c r="AK78" s="3473"/>
      <c r="AL78" s="3341"/>
      <c r="AM78" s="3341"/>
      <c r="AN78" s="3391">
        <f>AL78+AM78*1.15</f>
        <v>0</v>
      </c>
      <c r="AO78" s="3391"/>
      <c r="AP78" s="3473"/>
      <c r="AQ78" s="3341"/>
      <c r="AR78" s="3341"/>
      <c r="AS78" s="3391">
        <f>AQ78+AR78*1.15</f>
        <v>0</v>
      </c>
      <c r="AT78" s="3391"/>
      <c r="AU78" s="3473"/>
      <c r="AV78" s="3341"/>
      <c r="AW78" s="3341"/>
      <c r="AX78" s="3391">
        <f>AV78+AW78*1.15</f>
        <v>0</v>
      </c>
      <c r="AY78" s="3391"/>
      <c r="AZ78" s="3473"/>
      <c r="BA78" s="3341"/>
      <c r="BB78" s="3341"/>
      <c r="BC78" s="3391">
        <f>BA78+BB78*1.15</f>
        <v>0</v>
      </c>
      <c r="BD78" s="3391"/>
      <c r="BE78" s="3473"/>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16">C78+H78+M78+W78</f>
        <v>0</v>
      </c>
      <c r="CK78" s="3341">
        <f t="shared" si="216"/>
        <v>0</v>
      </c>
      <c r="CL78" s="3391">
        <f>CJ78+CK78*1.15</f>
        <v>0</v>
      </c>
      <c r="CM78" s="3391"/>
      <c r="CN78" s="3391"/>
      <c r="CP78" s="3475">
        <f>CN78+CO78*1.15</f>
        <v>0</v>
      </c>
      <c r="CQ78" s="3475">
        <f>CO78+CP78*1.15</f>
        <v>0</v>
      </c>
      <c r="CR78" s="4188"/>
      <c r="CT78" s="2624"/>
    </row>
    <row r="79" spans="1:98" s="1396" customFormat="1" ht="13.8" outlineLevel="2">
      <c r="A79" s="1405"/>
      <c r="B79" s="4132" t="s">
        <v>79</v>
      </c>
      <c r="C79" s="3341">
        <v>0</v>
      </c>
      <c r="D79" s="3341"/>
      <c r="E79" s="2012">
        <f>C79+D79</f>
        <v>0</v>
      </c>
      <c r="F79" s="4100"/>
      <c r="G79" s="4099"/>
      <c r="H79" s="3341">
        <v>0</v>
      </c>
      <c r="I79" s="3341"/>
      <c r="J79" s="2012">
        <f>H79+I79</f>
        <v>0</v>
      </c>
      <c r="K79" s="4074" t="e">
        <f t="shared" si="210"/>
        <v>#DIV/0!</v>
      </c>
      <c r="L79" s="4099"/>
      <c r="M79" s="3341">
        <v>0</v>
      </c>
      <c r="N79" s="3341"/>
      <c r="O79" s="2012">
        <f>M79+N79</f>
        <v>0</v>
      </c>
      <c r="P79" s="4074" t="e">
        <f t="shared" si="211"/>
        <v>#DIV/0!</v>
      </c>
      <c r="Q79" s="4099"/>
      <c r="R79" s="3342">
        <f t="shared" si="212"/>
        <v>0</v>
      </c>
      <c r="S79" s="3342">
        <f t="shared" si="212"/>
        <v>0</v>
      </c>
      <c r="T79" s="2012">
        <f t="shared" si="213"/>
        <v>0</v>
      </c>
      <c r="U79" s="3455"/>
      <c r="V79" s="3455"/>
      <c r="W79" s="3342">
        <f t="shared" si="214"/>
        <v>28198.18379062488</v>
      </c>
      <c r="X79" s="3342">
        <f t="shared" si="214"/>
        <v>0</v>
      </c>
      <c r="Y79" s="2012">
        <f t="shared" si="215"/>
        <v>28198.18379062488</v>
      </c>
      <c r="Z79" s="3455"/>
      <c r="AA79" s="3455"/>
      <c r="AB79" s="3341">
        <v>0</v>
      </c>
      <c r="AC79" s="3341"/>
      <c r="AD79" s="2012">
        <f>AB79+AC79</f>
        <v>0</v>
      </c>
      <c r="AE79" s="4100"/>
      <c r="AF79" s="4099"/>
      <c r="AG79" s="3341">
        <v>16240.875835149563</v>
      </c>
      <c r="AH79" s="3341"/>
      <c r="AI79" s="2012">
        <f>AG79+AH79</f>
        <v>16240.875835149563</v>
      </c>
      <c r="AJ79" s="4100"/>
      <c r="AK79" s="4099"/>
      <c r="AL79" s="3341">
        <v>11957.307955475317</v>
      </c>
      <c r="AM79" s="3341"/>
      <c r="AN79" s="2012">
        <f>AL79+AM79</f>
        <v>11957.307955475317</v>
      </c>
      <c r="AO79" s="4100"/>
      <c r="AP79" s="4099"/>
      <c r="AQ79" s="3341">
        <v>0</v>
      </c>
      <c r="AR79" s="3341"/>
      <c r="AS79" s="2012">
        <f>AQ79+AR79</f>
        <v>0</v>
      </c>
      <c r="AT79" s="4100"/>
      <c r="AU79" s="4099"/>
      <c r="AV79" s="3341">
        <v>0</v>
      </c>
      <c r="AW79" s="3341"/>
      <c r="AX79" s="2012">
        <f>AV79+AW79</f>
        <v>0</v>
      </c>
      <c r="AY79" s="4100"/>
      <c r="AZ79" s="4099"/>
      <c r="BA79" s="3341">
        <v>0</v>
      </c>
      <c r="BB79" s="3341"/>
      <c r="BC79" s="2012">
        <f>BA79+BB79</f>
        <v>0</v>
      </c>
      <c r="BD79" s="4100"/>
      <c r="BE79" s="4099"/>
      <c r="BF79" s="3341">
        <v>0</v>
      </c>
      <c r="BG79" s="3341"/>
      <c r="BH79" s="2012">
        <f>BF79+BG79</f>
        <v>0</v>
      </c>
      <c r="BI79" s="4100"/>
      <c r="BJ79" s="4099"/>
      <c r="BK79" s="3341"/>
      <c r="BL79" s="3341"/>
      <c r="BM79" s="2012">
        <f>BK79+BL79</f>
        <v>0</v>
      </c>
      <c r="BN79" s="4100"/>
      <c r="BO79" s="4099"/>
      <c r="BP79" s="3341">
        <v>0</v>
      </c>
      <c r="BQ79" s="3341"/>
      <c r="BR79" s="2012">
        <f>BP79+BQ79</f>
        <v>0</v>
      </c>
      <c r="BS79" s="4100"/>
      <c r="BT79" s="4099"/>
      <c r="BU79" s="3341">
        <v>0</v>
      </c>
      <c r="BV79" s="3341"/>
      <c r="BW79" s="2012">
        <f>BU79+BV79</f>
        <v>0</v>
      </c>
      <c r="BX79" s="4100"/>
      <c r="BY79" s="4099"/>
      <c r="BZ79" s="3341">
        <v>0</v>
      </c>
      <c r="CA79" s="3341"/>
      <c r="CB79" s="2012">
        <f>BZ79+CA79</f>
        <v>0</v>
      </c>
      <c r="CC79" s="4100"/>
      <c r="CD79" s="4099"/>
      <c r="CE79" s="3341">
        <v>0</v>
      </c>
      <c r="CF79" s="3341"/>
      <c r="CG79" s="2012">
        <f>CE79+CF79</f>
        <v>0</v>
      </c>
      <c r="CH79" s="4100"/>
      <c r="CI79" s="4099"/>
      <c r="CJ79" s="3341">
        <f t="shared" si="216"/>
        <v>28198.18379062488</v>
      </c>
      <c r="CK79" s="3341">
        <f t="shared" si="216"/>
        <v>0</v>
      </c>
      <c r="CL79" s="2012">
        <f t="shared" ref="CL79" si="217">CJ79+CK79*1</f>
        <v>28198.18379062488</v>
      </c>
      <c r="CM79" s="4100"/>
      <c r="CN79" s="4100"/>
      <c r="CP79" s="2012">
        <f t="shared" ref="CP79" si="218">CN79+CO79*1</f>
        <v>0</v>
      </c>
      <c r="CQ79" s="2012">
        <f>CJ79</f>
        <v>28198.18379062488</v>
      </c>
      <c r="CR79" s="4188">
        <f t="shared" ref="CR79" si="219">CP79-CQ79</f>
        <v>-28198.18379062488</v>
      </c>
      <c r="CT79" s="2624"/>
    </row>
    <row r="80" spans="1:98" ht="13.8" outlineLevel="2">
      <c r="A80" s="1397"/>
      <c r="B80" s="4123"/>
      <c r="C80" s="3341"/>
      <c r="D80" s="3341"/>
      <c r="E80" s="4133"/>
      <c r="F80" s="4133"/>
      <c r="G80" s="4134"/>
      <c r="H80" s="3341"/>
      <c r="I80" s="3341"/>
      <c r="J80" s="4133"/>
      <c r="K80" s="4133"/>
      <c r="L80" s="4134"/>
      <c r="M80" s="3341"/>
      <c r="N80" s="3341"/>
      <c r="O80" s="4133"/>
      <c r="P80" s="4133"/>
      <c r="Q80" s="4134"/>
      <c r="R80" s="3448"/>
      <c r="S80" s="3448"/>
      <c r="T80" s="3448"/>
      <c r="U80" s="3448"/>
      <c r="V80" s="3448"/>
      <c r="W80" s="3448"/>
      <c r="X80" s="3448"/>
      <c r="Y80" s="3448"/>
      <c r="Z80" s="3448"/>
      <c r="AA80" s="3448"/>
      <c r="AB80" s="3341"/>
      <c r="AC80" s="3341"/>
      <c r="AD80" s="4133"/>
      <c r="AE80" s="4133"/>
      <c r="AF80" s="4134"/>
      <c r="AG80" s="3341"/>
      <c r="AH80" s="3341"/>
      <c r="AI80" s="4133"/>
      <c r="AJ80" s="4133"/>
      <c r="AK80" s="4134"/>
      <c r="AL80" s="3341"/>
      <c r="AM80" s="3341"/>
      <c r="AN80" s="4133"/>
      <c r="AO80" s="4133"/>
      <c r="AP80" s="4134"/>
      <c r="AQ80" s="3341"/>
      <c r="AR80" s="3341"/>
      <c r="AS80" s="4133"/>
      <c r="AT80" s="4133"/>
      <c r="AU80" s="4134"/>
      <c r="AV80" s="3341"/>
      <c r="AW80" s="3341"/>
      <c r="AX80" s="4133"/>
      <c r="AY80" s="4133"/>
      <c r="AZ80" s="4134"/>
      <c r="BA80" s="3341"/>
      <c r="BB80" s="3341"/>
      <c r="BC80" s="4133"/>
      <c r="BD80" s="4133"/>
      <c r="BE80" s="4134"/>
      <c r="BF80" s="3341"/>
      <c r="BG80" s="3341"/>
      <c r="BH80" s="4133"/>
      <c r="BI80" s="4133"/>
      <c r="BJ80" s="4134"/>
      <c r="BK80" s="3341"/>
      <c r="BL80" s="3341"/>
      <c r="BM80" s="4133"/>
      <c r="BN80" s="4133"/>
      <c r="BO80" s="4134"/>
      <c r="BP80" s="3341"/>
      <c r="BQ80" s="3341"/>
      <c r="BR80" s="4133"/>
      <c r="BS80" s="4133"/>
      <c r="BT80" s="4134"/>
      <c r="BU80" s="3341"/>
      <c r="BV80" s="3341"/>
      <c r="BW80" s="4133"/>
      <c r="BX80" s="4133"/>
      <c r="BY80" s="4134"/>
      <c r="BZ80" s="3341"/>
      <c r="CA80" s="3341"/>
      <c r="CB80" s="4133"/>
      <c r="CC80" s="4133"/>
      <c r="CD80" s="4134"/>
      <c r="CE80" s="3341"/>
      <c r="CF80" s="3341"/>
      <c r="CG80" s="4133"/>
      <c r="CH80" s="4133"/>
      <c r="CI80" s="4134"/>
      <c r="CJ80" s="3341">
        <f>C80+H80+M80</f>
        <v>0</v>
      </c>
      <c r="CK80" s="3341">
        <f>D80+I80+N80</f>
        <v>0</v>
      </c>
      <c r="CL80" s="4133"/>
      <c r="CM80" s="4133"/>
      <c r="CN80" s="4133"/>
      <c r="CP80" s="4135"/>
      <c r="CQ80" s="4135"/>
      <c r="CR80" s="4188"/>
    </row>
    <row r="81" spans="1:101" s="1396" customFormat="1" ht="14.4" outlineLevel="1" thickBot="1">
      <c r="A81" s="1419"/>
      <c r="B81" s="4126" t="s">
        <v>12</v>
      </c>
      <c r="C81" s="4127">
        <f>(C75+C78)-C79</f>
        <v>0</v>
      </c>
      <c r="D81" s="4127">
        <f>(D75+D78)-D79</f>
        <v>0</v>
      </c>
      <c r="E81" s="4128">
        <f>(E75+E78)-E79</f>
        <v>0</v>
      </c>
      <c r="F81" s="4129"/>
      <c r="G81" s="4130"/>
      <c r="H81" s="4127">
        <f>(H75+H78)-H79</f>
        <v>0</v>
      </c>
      <c r="I81" s="4127">
        <f>(I75+I78)-I79</f>
        <v>0</v>
      </c>
      <c r="J81" s="4128">
        <f>(J75+J78)-J79</f>
        <v>0</v>
      </c>
      <c r="K81" s="4129"/>
      <c r="L81" s="4130"/>
      <c r="M81" s="4127">
        <f>(M75+M78)-M79</f>
        <v>0</v>
      </c>
      <c r="N81" s="4127">
        <f>(N75+N78)-N79</f>
        <v>0</v>
      </c>
      <c r="O81" s="4128">
        <f>(O75+O78)-O79</f>
        <v>0</v>
      </c>
      <c r="P81" s="4129"/>
      <c r="Q81" s="4130"/>
      <c r="R81" s="4127">
        <f>(R75+R78)-R79</f>
        <v>0</v>
      </c>
      <c r="S81" s="4127">
        <f>(S75+S78)-S79</f>
        <v>0</v>
      </c>
      <c r="T81" s="4128">
        <f>(T75+T78)-T79</f>
        <v>0</v>
      </c>
      <c r="U81" s="4131"/>
      <c r="V81" s="4131"/>
      <c r="W81" s="4127">
        <f>(W75+W78)-W79</f>
        <v>189120.80220937511</v>
      </c>
      <c r="X81" s="4127">
        <f>(X75+X78)-X79</f>
        <v>-188710.96000000002</v>
      </c>
      <c r="Y81" s="4128">
        <f>(Y75+Y78)-Y79</f>
        <v>409.84220937507416</v>
      </c>
      <c r="Z81" s="4131"/>
      <c r="AA81" s="4131"/>
      <c r="AB81" s="4127">
        <f>(AB75+AB78)-AB79</f>
        <v>0</v>
      </c>
      <c r="AC81" s="4127">
        <f>(AC75+AC78)-AC79</f>
        <v>0</v>
      </c>
      <c r="AD81" s="4128">
        <f>(AD75+AD78)-AD79</f>
        <v>0</v>
      </c>
      <c r="AE81" s="4129"/>
      <c r="AF81" s="4130"/>
      <c r="AG81" s="4127">
        <f>(AG75+AG78)-AG79</f>
        <v>-77272.555835149571</v>
      </c>
      <c r="AH81" s="4127">
        <f>(AH75+AH78)-AH79</f>
        <v>-108688.96000000001</v>
      </c>
      <c r="AI81" s="4128">
        <f>(AI75+AI78)-AI79</f>
        <v>-185961.51583514956</v>
      </c>
      <c r="AJ81" s="4129"/>
      <c r="AK81" s="4130"/>
      <c r="AL81" s="4127">
        <f>(AL75+AL78)-AL79</f>
        <v>266393.35804452468</v>
      </c>
      <c r="AM81" s="4127">
        <f>(AM75+AM78)-AM79</f>
        <v>-80022</v>
      </c>
      <c r="AN81" s="4128">
        <f>(AN75+AN78)-AN79</f>
        <v>186371.35804452465</v>
      </c>
      <c r="AO81" s="4129"/>
      <c r="AP81" s="4130"/>
      <c r="AQ81" s="4127">
        <f>(AQ75+AQ78)-AQ79</f>
        <v>0</v>
      </c>
      <c r="AR81" s="4127">
        <f>(AR75+AR78)-AR79</f>
        <v>0</v>
      </c>
      <c r="AS81" s="4128">
        <f>(AS75+AS78)-AS79</f>
        <v>0</v>
      </c>
      <c r="AT81" s="4129"/>
      <c r="AU81" s="4130"/>
      <c r="AV81" s="4127">
        <f>(AV75+AV78)-AV79</f>
        <v>0</v>
      </c>
      <c r="AW81" s="4127">
        <f>(AW75+AW78)-AW79</f>
        <v>0</v>
      </c>
      <c r="AX81" s="4128">
        <f>(AX75+AX78)-AX79</f>
        <v>0</v>
      </c>
      <c r="AY81" s="4129"/>
      <c r="AZ81" s="4130"/>
      <c r="BA81" s="4127">
        <f>(BA75+BA78)-BA79</f>
        <v>0</v>
      </c>
      <c r="BB81" s="4127">
        <f>(BB75+BB78)-BB79</f>
        <v>0</v>
      </c>
      <c r="BC81" s="4128">
        <f>(BC75+BC78)-BC79</f>
        <v>0</v>
      </c>
      <c r="BD81" s="4129"/>
      <c r="BE81" s="4130"/>
      <c r="BF81" s="4127">
        <f>(BF75+BF78)-BF79</f>
        <v>0</v>
      </c>
      <c r="BG81" s="4127">
        <f>(BG75+BG78)-BG79</f>
        <v>0</v>
      </c>
      <c r="BH81" s="4128">
        <f>(BH75+BH78)-BH79</f>
        <v>0</v>
      </c>
      <c r="BI81" s="4129"/>
      <c r="BJ81" s="4130"/>
      <c r="BK81" s="4127">
        <f>(BK75+BK78)-BK79</f>
        <v>0</v>
      </c>
      <c r="BL81" s="4127">
        <f>(BL75+BL78)-BL79</f>
        <v>0</v>
      </c>
      <c r="BM81" s="4128">
        <f>(BM75+BM78)-BM79</f>
        <v>0</v>
      </c>
      <c r="BN81" s="4129"/>
      <c r="BO81" s="4130"/>
      <c r="BP81" s="4127">
        <f>(BP75+BP78)-BP79</f>
        <v>0</v>
      </c>
      <c r="BQ81" s="4127">
        <f>(BQ75+BQ78)-BQ79</f>
        <v>0</v>
      </c>
      <c r="BR81" s="4128">
        <f>(BR75+BR78)-BR79</f>
        <v>0</v>
      </c>
      <c r="BS81" s="4129"/>
      <c r="BT81" s="4130"/>
      <c r="BU81" s="4127">
        <f>(BU75+BU78)-BU79</f>
        <v>0</v>
      </c>
      <c r="BV81" s="4127">
        <f>(BV75+BV78)-BV79</f>
        <v>0</v>
      </c>
      <c r="BW81" s="4128">
        <f>(BW75+BW78)-BW79</f>
        <v>0</v>
      </c>
      <c r="BX81" s="4129"/>
      <c r="BY81" s="4130"/>
      <c r="BZ81" s="4127">
        <f>(BZ75+BZ78)-BZ79</f>
        <v>0</v>
      </c>
      <c r="CA81" s="4127">
        <f>(CA75+CA78)-CA79</f>
        <v>0</v>
      </c>
      <c r="CB81" s="4128">
        <f>(CB75+CB78)-CB79</f>
        <v>0</v>
      </c>
      <c r="CC81" s="4129"/>
      <c r="CD81" s="4130"/>
      <c r="CE81" s="4127">
        <f>(CE75+CE78)-CE79</f>
        <v>0</v>
      </c>
      <c r="CF81" s="4127">
        <f>(CF75+CF78)-CF79</f>
        <v>0</v>
      </c>
      <c r="CG81" s="4128">
        <f>(CG75+CG78)-CG79</f>
        <v>0</v>
      </c>
      <c r="CH81" s="4129"/>
      <c r="CI81" s="4130"/>
      <c r="CJ81" s="4127">
        <f>(CJ75+CJ78)-CJ79</f>
        <v>189120.80220937511</v>
      </c>
      <c r="CK81" s="4127">
        <f>(CK75+CK78)-CK79</f>
        <v>-188710.96000000002</v>
      </c>
      <c r="CL81" s="4128">
        <f>(CL75+CL78)-CL79</f>
        <v>409.84220937507416</v>
      </c>
      <c r="CM81" s="4129"/>
      <c r="CN81" s="4129"/>
      <c r="CP81" s="4128">
        <f>(CP75+CP78)-CP79</f>
        <v>257707.75916800002</v>
      </c>
      <c r="CQ81" s="4136">
        <f>(CQ75+CQ78)-CQ79</f>
        <v>409.84220937507416</v>
      </c>
      <c r="CR81" s="4128">
        <f>(CR75+CR78)-CR79</f>
        <v>257297.91695862496</v>
      </c>
      <c r="CT81" s="2624"/>
    </row>
    <row r="82" spans="1:101" s="1396" customFormat="1" ht="13.8" outlineLevel="2">
      <c r="A82" s="1565"/>
      <c r="B82" s="1400" t="s">
        <v>38</v>
      </c>
      <c r="C82" s="3341"/>
      <c r="D82" s="3341"/>
      <c r="E82" s="3390">
        <f>C82+D82</f>
        <v>0</v>
      </c>
      <c r="F82" s="3381"/>
      <c r="G82" s="3455"/>
      <c r="H82" s="3341"/>
      <c r="I82" s="3341"/>
      <c r="J82" s="3390">
        <f>H82+I82</f>
        <v>0</v>
      </c>
      <c r="K82" s="4074" t="e">
        <f t="shared" ref="K82" si="220">J82/J$89</f>
        <v>#DIV/0!</v>
      </c>
      <c r="L82" s="3455"/>
      <c r="M82" s="3341"/>
      <c r="N82" s="3341"/>
      <c r="O82" s="3390">
        <f>M82+N82</f>
        <v>0</v>
      </c>
      <c r="P82" s="4074" t="e">
        <f t="shared" ref="P82" si="221">O82/O$89</f>
        <v>#DIV/0!</v>
      </c>
      <c r="Q82" s="3455"/>
      <c r="R82" s="3342">
        <f t="shared" ref="R82:S82" si="222">M82+H82+C82</f>
        <v>0</v>
      </c>
      <c r="S82" s="3342">
        <f t="shared" si="222"/>
        <v>0</v>
      </c>
      <c r="T82" s="2012">
        <f t="shared" ref="T82" si="223">R82+S82</f>
        <v>0</v>
      </c>
      <c r="U82" s="3455"/>
      <c r="V82" s="3455"/>
      <c r="W82" s="3342">
        <f t="shared" ref="W82:X82" si="224">AB82+AG82+AL82+AV82+BA82+BF82+BK82+BP82+BU82+BZ82+CE82+AQ82</f>
        <v>0</v>
      </c>
      <c r="X82" s="3342">
        <f t="shared" si="224"/>
        <v>0</v>
      </c>
      <c r="Y82" s="2012">
        <f t="shared" ref="Y82" si="225">W82+X82</f>
        <v>0</v>
      </c>
      <c r="Z82" s="3455"/>
      <c r="AA82" s="3455"/>
      <c r="AB82" s="3341"/>
      <c r="AC82" s="3341"/>
      <c r="AD82" s="3390">
        <f>AB82+AC82</f>
        <v>0</v>
      </c>
      <c r="AE82" s="3381"/>
      <c r="AF82" s="3455"/>
      <c r="AG82" s="3341"/>
      <c r="AH82" s="3341"/>
      <c r="AI82" s="3390">
        <f>AG82+AH82</f>
        <v>0</v>
      </c>
      <c r="AJ82" s="3381"/>
      <c r="AK82" s="3455"/>
      <c r="AL82" s="3341"/>
      <c r="AM82" s="3341"/>
      <c r="AN82" s="3390">
        <f>AL82+AM82</f>
        <v>0</v>
      </c>
      <c r="AO82" s="3381"/>
      <c r="AP82" s="3455"/>
      <c r="AQ82" s="3341"/>
      <c r="AR82" s="3341"/>
      <c r="AS82" s="3390">
        <f>AQ82+AR82</f>
        <v>0</v>
      </c>
      <c r="AT82" s="3381"/>
      <c r="AU82" s="3455"/>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381"/>
      <c r="CP82" s="3415">
        <f>CN82+CO82</f>
        <v>0</v>
      </c>
      <c r="CQ82" s="3415">
        <f>CO82+CP82</f>
        <v>0</v>
      </c>
      <c r="CR82" s="3415"/>
      <c r="CT82" s="2624"/>
    </row>
    <row r="83" spans="1:101" s="1396" customFormat="1" ht="13.8" outlineLevel="1">
      <c r="A83" s="1405"/>
      <c r="B83" s="4137" t="s">
        <v>13</v>
      </c>
      <c r="C83" s="4138">
        <f>(C81+C7)-C36</f>
        <v>0</v>
      </c>
      <c r="D83" s="4138">
        <f>(D81+D7)-D36</f>
        <v>0</v>
      </c>
      <c r="E83" s="4139">
        <f>(E81+E7)-E36</f>
        <v>0</v>
      </c>
      <c r="F83" s="4140"/>
      <c r="G83" s="4141"/>
      <c r="H83" s="4138">
        <f>(H81+H7)-H36</f>
        <v>0</v>
      </c>
      <c r="I83" s="4138">
        <f>(I81+I7)-I36</f>
        <v>0</v>
      </c>
      <c r="J83" s="4139">
        <f>(J81+J7)-J36</f>
        <v>0</v>
      </c>
      <c r="K83" s="4140"/>
      <c r="L83" s="4141"/>
      <c r="M83" s="4138">
        <f>(M81+M7)-M36</f>
        <v>0</v>
      </c>
      <c r="N83" s="4138">
        <f>(N81+N7)-N36</f>
        <v>0</v>
      </c>
      <c r="O83" s="4139">
        <f>(O81+O7)-O36</f>
        <v>0</v>
      </c>
      <c r="P83" s="4140"/>
      <c r="Q83" s="4141"/>
      <c r="R83" s="4138">
        <f>(R81+R7)-R36</f>
        <v>0</v>
      </c>
      <c r="S83" s="4138">
        <f>(S81+S7)-S36</f>
        <v>0</v>
      </c>
      <c r="T83" s="4139">
        <f>(T81+T7)-T36</f>
        <v>0</v>
      </c>
      <c r="U83" s="4142"/>
      <c r="V83" s="4142"/>
      <c r="W83" s="4138">
        <f>(W81+W7)-W36</f>
        <v>189120.80220937511</v>
      </c>
      <c r="X83" s="4138">
        <f>(X81+X7)-X36</f>
        <v>-188710.96000000002</v>
      </c>
      <c r="Y83" s="4139">
        <f>(Y81+Y7)-Y36</f>
        <v>409.84220937507416</v>
      </c>
      <c r="Z83" s="4142"/>
      <c r="AA83" s="4142"/>
      <c r="AB83" s="4138">
        <f>(AB81+AB7)-AB36</f>
        <v>0</v>
      </c>
      <c r="AC83" s="4138">
        <f>(AC81+AC7)-AC36</f>
        <v>0</v>
      </c>
      <c r="AD83" s="4139">
        <f>(AD81+AD7)-AD36</f>
        <v>0</v>
      </c>
      <c r="AE83" s="4140"/>
      <c r="AF83" s="4141"/>
      <c r="AG83" s="4138">
        <f>(AG81+AG7)-AG36</f>
        <v>-77272.555835149571</v>
      </c>
      <c r="AH83" s="4138">
        <f>(AH81+AH7)-AH36</f>
        <v>-108688.96000000001</v>
      </c>
      <c r="AI83" s="4139">
        <f>(AI81+AI7)-AI36</f>
        <v>-185961.51583514956</v>
      </c>
      <c r="AJ83" s="4140"/>
      <c r="AK83" s="4141"/>
      <c r="AL83" s="4138">
        <f>(AL81+AL7)-AL36</f>
        <v>266393.35804452468</v>
      </c>
      <c r="AM83" s="4138">
        <f>(AM81+AM7)-AM36</f>
        <v>-80022</v>
      </c>
      <c r="AN83" s="4139">
        <f>(AN81+AN7)-AN36</f>
        <v>186371.35804452465</v>
      </c>
      <c r="AO83" s="4140"/>
      <c r="AP83" s="4141"/>
      <c r="AQ83" s="4138">
        <f>(AQ81+AQ7)-AQ36</f>
        <v>0</v>
      </c>
      <c r="AR83" s="4138">
        <f>(AR81+AR7)-AR36</f>
        <v>0</v>
      </c>
      <c r="AS83" s="4139">
        <f>(AS81+AS7)-AS36</f>
        <v>0</v>
      </c>
      <c r="AT83" s="4140"/>
      <c r="AU83" s="4141"/>
      <c r="AV83" s="4138">
        <f>(AV81+AV7)-AV36</f>
        <v>0</v>
      </c>
      <c r="AW83" s="4138">
        <f>(AW81+AW7)-AW36</f>
        <v>0</v>
      </c>
      <c r="AX83" s="4139">
        <f>(AX81+AX7)-AX36</f>
        <v>0</v>
      </c>
      <c r="AY83" s="4140"/>
      <c r="AZ83" s="4141"/>
      <c r="BA83" s="4138">
        <f>(BA81+BA7)-BA36</f>
        <v>0</v>
      </c>
      <c r="BB83" s="4138">
        <f>(BB81+BB7)-BB36</f>
        <v>0</v>
      </c>
      <c r="BC83" s="4139">
        <f>(BC81+BC7)-BC36</f>
        <v>0</v>
      </c>
      <c r="BD83" s="4140"/>
      <c r="BE83" s="4141"/>
      <c r="BF83" s="4138">
        <f>(BF81+BF7)-BF36</f>
        <v>0</v>
      </c>
      <c r="BG83" s="4138">
        <f>(BG81+BG7)-BG36</f>
        <v>0</v>
      </c>
      <c r="BH83" s="4139">
        <f>(BH81+BH7)-BH36</f>
        <v>0</v>
      </c>
      <c r="BI83" s="4140"/>
      <c r="BJ83" s="4141"/>
      <c r="BK83" s="4138">
        <f>(BK81+BK7)-BK36</f>
        <v>0</v>
      </c>
      <c r="BL83" s="4138">
        <f>(BL81+BL7)-BL36</f>
        <v>0</v>
      </c>
      <c r="BM83" s="4139">
        <f>(BM81+BM7)-BM36</f>
        <v>0</v>
      </c>
      <c r="BN83" s="4140"/>
      <c r="BO83" s="4141"/>
      <c r="BP83" s="4138">
        <f>(BP81+BP7)-BP36</f>
        <v>0</v>
      </c>
      <c r="BQ83" s="4138">
        <f>(BQ81+BQ7)-BQ36</f>
        <v>0</v>
      </c>
      <c r="BR83" s="4139">
        <f>(BR81+BR7)-BR36</f>
        <v>0</v>
      </c>
      <c r="BS83" s="4140"/>
      <c r="BT83" s="4141"/>
      <c r="BU83" s="4138">
        <f>(BU81+BU7)-BU36</f>
        <v>0</v>
      </c>
      <c r="BV83" s="4138">
        <f>(BV81+BV7)-BV36</f>
        <v>0</v>
      </c>
      <c r="BW83" s="4139">
        <f>(BW81+BW7)-BW36</f>
        <v>0</v>
      </c>
      <c r="BX83" s="4140"/>
      <c r="BY83" s="4141"/>
      <c r="BZ83" s="4138">
        <f>(BZ81+BZ7)-BZ36</f>
        <v>0</v>
      </c>
      <c r="CA83" s="4138">
        <f>(CA81+CA7)-CA36</f>
        <v>0</v>
      </c>
      <c r="CB83" s="4139">
        <f>(CB81+CB7)-CB36</f>
        <v>0</v>
      </c>
      <c r="CC83" s="4140"/>
      <c r="CD83" s="4141"/>
      <c r="CE83" s="4138">
        <f>(CE81+CE7)-CE36</f>
        <v>0</v>
      </c>
      <c r="CF83" s="4138">
        <f>(CF81+CF7)-CF36</f>
        <v>0</v>
      </c>
      <c r="CG83" s="4139">
        <f>(CG81+CG7)-CG36</f>
        <v>0</v>
      </c>
      <c r="CH83" s="4140"/>
      <c r="CI83" s="4141"/>
      <c r="CJ83" s="4138">
        <f>(CJ81+CJ7)-CJ36</f>
        <v>189120.80220937511</v>
      </c>
      <c r="CK83" s="4138">
        <f>(CK81+CK7)-CK36</f>
        <v>-188710.96000000002</v>
      </c>
      <c r="CL83" s="4139">
        <f>(CL81+CL7)-CL36</f>
        <v>409.84220937507416</v>
      </c>
      <c r="CM83" s="4140"/>
      <c r="CN83" s="4140"/>
      <c r="CP83" s="3481">
        <f>(CP81+CP7)-CP36</f>
        <v>257707.75916800002</v>
      </c>
      <c r="CQ83" s="3481">
        <f>(CQ81+CQ7)-CQ36</f>
        <v>409.84220937507416</v>
      </c>
      <c r="CR83" s="3481">
        <f>(CR81+CR7)-CR36</f>
        <v>257297.91695862496</v>
      </c>
      <c r="CT83" s="2624"/>
    </row>
    <row r="84" spans="1:101" s="1396" customFormat="1" ht="14.4" outlineLevel="1" thickBot="1">
      <c r="A84" s="1405"/>
      <c r="B84" s="4143" t="s">
        <v>14</v>
      </c>
      <c r="C84" s="4144">
        <f>C83-C73-C82</f>
        <v>0</v>
      </c>
      <c r="D84" s="4144">
        <f>D83-D73-D82</f>
        <v>0</v>
      </c>
      <c r="E84" s="4144">
        <f>E83-E73-E82</f>
        <v>0</v>
      </c>
      <c r="F84" s="4145"/>
      <c r="G84" s="4146"/>
      <c r="H84" s="4144">
        <f>H83-H73-H82</f>
        <v>0</v>
      </c>
      <c r="I84" s="4144">
        <f>I83-I73-I82</f>
        <v>0</v>
      </c>
      <c r="J84" s="4144">
        <f>J83-J73-J82</f>
        <v>0</v>
      </c>
      <c r="K84" s="4145"/>
      <c r="L84" s="4146"/>
      <c r="M84" s="4144">
        <f>M83-M73-M82</f>
        <v>0</v>
      </c>
      <c r="N84" s="4144">
        <f>N83-N73-N82</f>
        <v>0</v>
      </c>
      <c r="O84" s="4144">
        <f>O83-O73-O82</f>
        <v>0</v>
      </c>
      <c r="P84" s="4145"/>
      <c r="Q84" s="4146"/>
      <c r="R84" s="4144">
        <f>R83-R73-R82</f>
        <v>0</v>
      </c>
      <c r="S84" s="4144">
        <f>S83-S73-S82</f>
        <v>0</v>
      </c>
      <c r="T84" s="4144">
        <f>T83-T73-T82</f>
        <v>0</v>
      </c>
      <c r="U84" s="4146"/>
      <c r="V84" s="4146"/>
      <c r="W84" s="4086">
        <f t="shared" ref="W84:X84" si="226">AB84+AG84+AL84+AV84+BA84+BF84+BK84+BP84+BU84+BZ84+CE84</f>
        <v>189120.80220937511</v>
      </c>
      <c r="X84" s="4087">
        <f t="shared" si="226"/>
        <v>-188710.96000000002</v>
      </c>
      <c r="Y84" s="4144">
        <f>Y83-Y73-Y82</f>
        <v>409.84220937507416</v>
      </c>
      <c r="Z84" s="4146"/>
      <c r="AA84" s="4146"/>
      <c r="AB84" s="4144">
        <f>AB83-AB73-AB82</f>
        <v>0</v>
      </c>
      <c r="AC84" s="4144">
        <f>AC83-AC73-AC82</f>
        <v>0</v>
      </c>
      <c r="AD84" s="4144">
        <f>AD83-AD73-AD82</f>
        <v>0</v>
      </c>
      <c r="AE84" s="4145"/>
      <c r="AF84" s="4146"/>
      <c r="AG84" s="4144">
        <f>AG83-AG73-AG82</f>
        <v>-77272.555835149571</v>
      </c>
      <c r="AH84" s="4144">
        <f>AH83-AH73-AH82</f>
        <v>-108688.96000000001</v>
      </c>
      <c r="AI84" s="4144">
        <f>AI83-AI73-AI82</f>
        <v>-185961.51583514956</v>
      </c>
      <c r="AJ84" s="4145"/>
      <c r="AK84" s="4146"/>
      <c r="AL84" s="4144">
        <f>AL83-AL73-AL82</f>
        <v>266393.35804452468</v>
      </c>
      <c r="AM84" s="4144">
        <f>AM83-AM73-AM82</f>
        <v>-80022</v>
      </c>
      <c r="AN84" s="4144">
        <f>AN83-AN73-AN82</f>
        <v>186371.35804452465</v>
      </c>
      <c r="AO84" s="4145"/>
      <c r="AP84" s="4146"/>
      <c r="AQ84" s="4144">
        <f>AQ83-AQ73-AQ82</f>
        <v>0</v>
      </c>
      <c r="AR84" s="4144">
        <f>AR83-AR73-AR82</f>
        <v>0</v>
      </c>
      <c r="AS84" s="4144">
        <f>AS83-AS73-AS82</f>
        <v>0</v>
      </c>
      <c r="AT84" s="4145"/>
      <c r="AU84" s="4146"/>
      <c r="AV84" s="4144">
        <f>AV83-AV73-AV82</f>
        <v>0</v>
      </c>
      <c r="AW84" s="4144">
        <f>AW83-AW73-AW82</f>
        <v>0</v>
      </c>
      <c r="AX84" s="4144">
        <f>AX83-AX73-AX82</f>
        <v>0</v>
      </c>
      <c r="AY84" s="4145"/>
      <c r="AZ84" s="4146"/>
      <c r="BA84" s="4144">
        <f>BA83-BA73-BA82</f>
        <v>0</v>
      </c>
      <c r="BB84" s="4144">
        <f>BB83-BB73-BB82</f>
        <v>0</v>
      </c>
      <c r="BC84" s="4144">
        <f>BC83-BC73-BC82</f>
        <v>0</v>
      </c>
      <c r="BD84" s="4145"/>
      <c r="BE84" s="4146"/>
      <c r="BF84" s="4144">
        <f>BF83-BF73-BF82</f>
        <v>0</v>
      </c>
      <c r="BG84" s="4144">
        <f>BG83-BG73-BG82</f>
        <v>0</v>
      </c>
      <c r="BH84" s="4144">
        <f>BH83-BH73-BH82</f>
        <v>0</v>
      </c>
      <c r="BI84" s="4145"/>
      <c r="BJ84" s="4146"/>
      <c r="BK84" s="4144">
        <f>BK83-BK73-BK82</f>
        <v>0</v>
      </c>
      <c r="BL84" s="4144">
        <f>BL83-BL73-BL82</f>
        <v>0</v>
      </c>
      <c r="BM84" s="4144">
        <f>BM83-BM73-BM82</f>
        <v>0</v>
      </c>
      <c r="BN84" s="4145"/>
      <c r="BO84" s="4146"/>
      <c r="BP84" s="4144">
        <f>BP83-BP73-BP82</f>
        <v>0</v>
      </c>
      <c r="BQ84" s="4144">
        <f>BQ83-BQ73-BQ82</f>
        <v>0</v>
      </c>
      <c r="BR84" s="4144">
        <f>BR83-BR73-BR82</f>
        <v>0</v>
      </c>
      <c r="BS84" s="4145"/>
      <c r="BT84" s="4146"/>
      <c r="BU84" s="4144">
        <f>BU83-BU73-BU82</f>
        <v>0</v>
      </c>
      <c r="BV84" s="4144">
        <f>BV83-BV73-BV82</f>
        <v>0</v>
      </c>
      <c r="BW84" s="4144">
        <f>BW83-BW73-BW82</f>
        <v>0</v>
      </c>
      <c r="BX84" s="4145"/>
      <c r="BY84" s="4146"/>
      <c r="BZ84" s="4144">
        <f>BZ83-BZ73-BZ82</f>
        <v>0</v>
      </c>
      <c r="CA84" s="4144">
        <f>CA83-CA73-CA82</f>
        <v>0</v>
      </c>
      <c r="CB84" s="4144">
        <f>CB83-CB73-CB82</f>
        <v>0</v>
      </c>
      <c r="CC84" s="4145"/>
      <c r="CD84" s="4146"/>
      <c r="CE84" s="4144">
        <f>CE83-CE73-CE82</f>
        <v>0</v>
      </c>
      <c r="CF84" s="4144">
        <f>CF83-CF73-CF82</f>
        <v>0</v>
      </c>
      <c r="CG84" s="4144">
        <f>CG83-CG73-CG82</f>
        <v>0</v>
      </c>
      <c r="CH84" s="4145"/>
      <c r="CI84" s="4146"/>
      <c r="CJ84" s="4082">
        <f t="shared" ref="CJ84:CK84" si="227">C84+H84+M84+W84</f>
        <v>189120.80220937511</v>
      </c>
      <c r="CK84" s="4082">
        <f t="shared" si="227"/>
        <v>-188710.96000000002</v>
      </c>
      <c r="CL84" s="4144">
        <f>CL83-CL73-CL82</f>
        <v>409.84220937507416</v>
      </c>
      <c r="CM84" s="4145"/>
      <c r="CN84" s="4145"/>
      <c r="CP84" s="3309">
        <f>CP83-CP73-CP82</f>
        <v>243400.54916800003</v>
      </c>
      <c r="CQ84" s="3484">
        <f>CQ83-CQ73-CQ82</f>
        <v>-13897.367790624925</v>
      </c>
      <c r="CR84" s="3309">
        <f>CR83-CR73-CR82</f>
        <v>257297.91695862496</v>
      </c>
      <c r="CT84" s="2624"/>
    </row>
    <row r="85" spans="1:101" s="1396" customFormat="1" ht="13.8" outlineLevel="3">
      <c r="A85" s="1565"/>
      <c r="B85" s="1403" t="s">
        <v>44</v>
      </c>
      <c r="C85" s="3341"/>
      <c r="D85" s="3341"/>
      <c r="E85" s="2012">
        <f>C85+D85*1.15</f>
        <v>0</v>
      </c>
      <c r="F85" s="3381"/>
      <c r="G85" s="3455"/>
      <c r="H85" s="3341"/>
      <c r="I85" s="3341"/>
      <c r="J85" s="2012">
        <f>H85+I85*1.15</f>
        <v>0</v>
      </c>
      <c r="K85" s="4074" t="e">
        <f t="shared" ref="K85" si="228">J85/J$89</f>
        <v>#DIV/0!</v>
      </c>
      <c r="L85" s="3455"/>
      <c r="M85" s="3341"/>
      <c r="N85" s="3341"/>
      <c r="O85" s="2012">
        <f>M85+N85*1.15</f>
        <v>0</v>
      </c>
      <c r="P85" s="4074" t="e">
        <f t="shared" ref="P85" si="229">O85/O$89</f>
        <v>#DIV/0!</v>
      </c>
      <c r="Q85" s="3455"/>
      <c r="R85" s="3342">
        <f t="shared" ref="R85:S85" si="230">M85+H85+C85</f>
        <v>0</v>
      </c>
      <c r="S85" s="3342">
        <f t="shared" si="230"/>
        <v>0</v>
      </c>
      <c r="T85" s="2012">
        <f t="shared" ref="T85" si="231">R85+S85</f>
        <v>0</v>
      </c>
      <c r="U85" s="3455"/>
      <c r="V85" s="3455"/>
      <c r="W85" s="3342">
        <f t="shared" ref="W85:X85" si="232">AB85+AG85+AL85+AV85+BA85+BF85+BK85+BP85+BU85+BZ85+CE85+AQ85</f>
        <v>0</v>
      </c>
      <c r="X85" s="3342">
        <f t="shared" si="232"/>
        <v>0</v>
      </c>
      <c r="Y85" s="2012">
        <f t="shared" ref="Y85" si="233">W85+X85</f>
        <v>0</v>
      </c>
      <c r="Z85" s="3455"/>
      <c r="AA85" s="3455"/>
      <c r="AB85" s="3341"/>
      <c r="AC85" s="3341"/>
      <c r="AD85" s="2012">
        <f>AB85+AC85*1.15</f>
        <v>0</v>
      </c>
      <c r="AE85" s="3381"/>
      <c r="AF85" s="3455"/>
      <c r="AG85" s="3341"/>
      <c r="AH85" s="3341"/>
      <c r="AI85" s="2012">
        <f>AG85+AH85*1.15</f>
        <v>0</v>
      </c>
      <c r="AJ85" s="3381"/>
      <c r="AK85" s="3455"/>
      <c r="AL85" s="3341"/>
      <c r="AM85" s="3341"/>
      <c r="AN85" s="2012">
        <f>AL85+AM85*1.15</f>
        <v>0</v>
      </c>
      <c r="AO85" s="3381"/>
      <c r="AP85" s="3455"/>
      <c r="AQ85" s="3341"/>
      <c r="AR85" s="3341"/>
      <c r="AS85" s="2012">
        <f>AQ85+AR85*1.15</f>
        <v>0</v>
      </c>
      <c r="AT85" s="3381"/>
      <c r="AU85" s="3455"/>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2124">
        <f>CN85+CO85*1.15</f>
        <v>0</v>
      </c>
      <c r="CQ85" s="2124">
        <f>CO85+CP85*1.15</f>
        <v>0</v>
      </c>
      <c r="CR85" s="2124"/>
      <c r="CT85" s="2624" t="s">
        <v>1986</v>
      </c>
    </row>
    <row r="86" spans="1:101" s="1396" customFormat="1" ht="27.6">
      <c r="A86" s="1405"/>
      <c r="B86" s="4147" t="s">
        <v>50</v>
      </c>
      <c r="C86" s="4148">
        <f>C84-C85</f>
        <v>0</v>
      </c>
      <c r="D86" s="4148">
        <f>D84-D85</f>
        <v>0</v>
      </c>
      <c r="E86" s="4148">
        <f>E84-E85</f>
        <v>0</v>
      </c>
      <c r="F86" s="4149"/>
      <c r="G86" s="4150"/>
      <c r="H86" s="4148">
        <f>H84-H85</f>
        <v>0</v>
      </c>
      <c r="I86" s="4148">
        <f>I84-I85</f>
        <v>0</v>
      </c>
      <c r="J86" s="4148">
        <f>J84-J85</f>
        <v>0</v>
      </c>
      <c r="K86" s="4149"/>
      <c r="L86" s="4150"/>
      <c r="M86" s="4148">
        <f>M84-M85</f>
        <v>0</v>
      </c>
      <c r="N86" s="4148">
        <f>N84-N85</f>
        <v>0</v>
      </c>
      <c r="O86" s="4148">
        <f>O84-O85</f>
        <v>0</v>
      </c>
      <c r="P86" s="4149"/>
      <c r="Q86" s="4150"/>
      <c r="R86" s="4148">
        <f>R84-R85</f>
        <v>0</v>
      </c>
      <c r="S86" s="4148">
        <f>S84-S85</f>
        <v>0</v>
      </c>
      <c r="T86" s="4148">
        <f>T84-T85</f>
        <v>0</v>
      </c>
      <c r="U86" s="4150"/>
      <c r="V86" s="4150"/>
      <c r="W86" s="4148">
        <f>W84-W85</f>
        <v>189120.80220937511</v>
      </c>
      <c r="X86" s="4148">
        <f>X84-X85</f>
        <v>-188710.96000000002</v>
      </c>
      <c r="Y86" s="4148">
        <f>Y84-Y85</f>
        <v>409.84220937507416</v>
      </c>
      <c r="Z86" s="4150"/>
      <c r="AA86" s="4150"/>
      <c r="AB86" s="4148">
        <f>AB84-AB85</f>
        <v>0</v>
      </c>
      <c r="AC86" s="4148">
        <f>AC84-AC85</f>
        <v>0</v>
      </c>
      <c r="AD86" s="4148">
        <f>AD84-AD85</f>
        <v>0</v>
      </c>
      <c r="AE86" s="4149"/>
      <c r="AF86" s="4150"/>
      <c r="AG86" s="4148">
        <f>AG84-AG85</f>
        <v>-77272.555835149571</v>
      </c>
      <c r="AH86" s="4148">
        <f>AH84-AH85</f>
        <v>-108688.96000000001</v>
      </c>
      <c r="AI86" s="4148">
        <f>AI84-AI85</f>
        <v>-185961.51583514956</v>
      </c>
      <c r="AJ86" s="4149"/>
      <c r="AK86" s="4150"/>
      <c r="AL86" s="4148">
        <f>AL84-AL85</f>
        <v>266393.35804452468</v>
      </c>
      <c r="AM86" s="4148">
        <f>AM84-AM85</f>
        <v>-80022</v>
      </c>
      <c r="AN86" s="4148">
        <f>AN84-AN85</f>
        <v>186371.35804452465</v>
      </c>
      <c r="AO86" s="4149"/>
      <c r="AP86" s="4150"/>
      <c r="AQ86" s="4148">
        <f>AQ84-AQ85</f>
        <v>0</v>
      </c>
      <c r="AR86" s="4148">
        <f>AR84-AR85</f>
        <v>0</v>
      </c>
      <c r="AS86" s="4148">
        <f>AS84-AS85</f>
        <v>0</v>
      </c>
      <c r="AT86" s="4149"/>
      <c r="AU86" s="4150"/>
      <c r="AV86" s="4148">
        <f>AV84-AV85</f>
        <v>0</v>
      </c>
      <c r="AW86" s="4148">
        <f>AW84-AW85</f>
        <v>0</v>
      </c>
      <c r="AX86" s="4148">
        <f>AX84-AX85</f>
        <v>0</v>
      </c>
      <c r="AY86" s="4149"/>
      <c r="AZ86" s="4150"/>
      <c r="BA86" s="4148">
        <f>BA84-BA85</f>
        <v>0</v>
      </c>
      <c r="BB86" s="4148">
        <f>BB84-BB85</f>
        <v>0</v>
      </c>
      <c r="BC86" s="4148">
        <f>BC84-BC85</f>
        <v>0</v>
      </c>
      <c r="BD86" s="4149"/>
      <c r="BE86" s="4150"/>
      <c r="BF86" s="4148">
        <f>BF84-BF85</f>
        <v>0</v>
      </c>
      <c r="BG86" s="4148">
        <f>BG84-BG85</f>
        <v>0</v>
      </c>
      <c r="BH86" s="4148">
        <f>BH84-BH85</f>
        <v>0</v>
      </c>
      <c r="BI86" s="4149"/>
      <c r="BJ86" s="4150"/>
      <c r="BK86" s="4148">
        <f>BK84-BK85</f>
        <v>0</v>
      </c>
      <c r="BL86" s="4148">
        <f>BL84-BL85</f>
        <v>0</v>
      </c>
      <c r="BM86" s="4148">
        <f>BM84-BM85</f>
        <v>0</v>
      </c>
      <c r="BN86" s="4149"/>
      <c r="BO86" s="4150"/>
      <c r="BP86" s="4148">
        <f>BP84-BP85</f>
        <v>0</v>
      </c>
      <c r="BQ86" s="4148">
        <f>BQ84-BQ85</f>
        <v>0</v>
      </c>
      <c r="BR86" s="4148">
        <f>BR84-BR85</f>
        <v>0</v>
      </c>
      <c r="BS86" s="4149"/>
      <c r="BT86" s="4150"/>
      <c r="BU86" s="4148">
        <f>BU84-BU85</f>
        <v>0</v>
      </c>
      <c r="BV86" s="4148">
        <f>BV84-BV85</f>
        <v>0</v>
      </c>
      <c r="BW86" s="4148">
        <f>BW84-BW85</f>
        <v>0</v>
      </c>
      <c r="BX86" s="4149"/>
      <c r="BY86" s="4150"/>
      <c r="BZ86" s="4148">
        <f>BZ84-BZ85</f>
        <v>0</v>
      </c>
      <c r="CA86" s="4148">
        <f>CA84-CA85</f>
        <v>0</v>
      </c>
      <c r="CB86" s="4148">
        <f>CB84-CB85</f>
        <v>0</v>
      </c>
      <c r="CC86" s="4149"/>
      <c r="CD86" s="4150"/>
      <c r="CE86" s="4148">
        <f>CE84-CE85</f>
        <v>0</v>
      </c>
      <c r="CF86" s="4148">
        <f>CF84-CF85</f>
        <v>0</v>
      </c>
      <c r="CG86" s="4148">
        <f>CG84-CG85</f>
        <v>0</v>
      </c>
      <c r="CH86" s="4149"/>
      <c r="CI86" s="4150"/>
      <c r="CJ86" s="4148">
        <f>CJ84-CJ85</f>
        <v>189120.80220937511</v>
      </c>
      <c r="CK86" s="4148">
        <f>CK84-CK85</f>
        <v>-188710.96000000002</v>
      </c>
      <c r="CL86" s="4148">
        <f>CL84-CL85</f>
        <v>409.84220937507416</v>
      </c>
      <c r="CM86" s="4149"/>
      <c r="CN86" s="4149"/>
      <c r="CP86" s="3481">
        <f>CP84-CP85</f>
        <v>243400.54916800003</v>
      </c>
      <c r="CQ86" s="3481">
        <f>CQ84-CQ85</f>
        <v>-13897.367790624925</v>
      </c>
      <c r="CR86" s="3481">
        <f>CR84-CR85</f>
        <v>257297.91695862496</v>
      </c>
      <c r="CT86" s="4058">
        <f>-CR86/CP86</f>
        <v>-1.0570966985823549</v>
      </c>
      <c r="CW86" s="933"/>
    </row>
    <row r="87" spans="1:101" s="1396" customFormat="1" ht="14.4" thickBot="1">
      <c r="A87" s="1567"/>
      <c r="B87" s="4151" t="s">
        <v>51</v>
      </c>
      <c r="C87" s="4152">
        <f>IFERROR(C86/C5,0)</f>
        <v>0</v>
      </c>
      <c r="D87" s="4153">
        <f>IFERROR(D86/D5,0)</f>
        <v>0</v>
      </c>
      <c r="E87" s="4154">
        <f>IFERROR(E86/E5,0)</f>
        <v>0</v>
      </c>
      <c r="F87" s="4155"/>
      <c r="G87" s="4156"/>
      <c r="H87" s="4152">
        <f>IFERROR(H86/H5,0)</f>
        <v>0</v>
      </c>
      <c r="I87" s="4153">
        <f>IFERROR(I86/I5,0)</f>
        <v>0</v>
      </c>
      <c r="J87" s="4154">
        <f>IFERROR(J86/J5,0)</f>
        <v>0</v>
      </c>
      <c r="K87" s="4155"/>
      <c r="L87" s="4156"/>
      <c r="M87" s="4152">
        <f>IFERROR(M86/M5,0)</f>
        <v>0</v>
      </c>
      <c r="N87" s="4153">
        <f>IFERROR(N86/N5,0)</f>
        <v>0</v>
      </c>
      <c r="O87" s="4154">
        <f>IFERROR(O86/O5,0)</f>
        <v>0</v>
      </c>
      <c r="P87" s="4155"/>
      <c r="Q87" s="4156"/>
      <c r="R87" s="4157"/>
      <c r="S87" s="4157"/>
      <c r="T87" s="4157"/>
      <c r="U87" s="4157"/>
      <c r="V87" s="4157"/>
      <c r="W87" s="4157"/>
      <c r="X87" s="4157"/>
      <c r="Y87" s="4157"/>
      <c r="Z87" s="4157"/>
      <c r="AA87" s="4157"/>
      <c r="AB87" s="4152">
        <f>IFERROR(AB86/AB5,0)</f>
        <v>0</v>
      </c>
      <c r="AC87" s="4153">
        <f>IFERROR(AC86/AC5,0)</f>
        <v>0</v>
      </c>
      <c r="AD87" s="4154">
        <f>IFERROR(AD86/AD5,0)</f>
        <v>0</v>
      </c>
      <c r="AE87" s="4155"/>
      <c r="AF87" s="4156"/>
      <c r="AG87" s="4152">
        <f>IFERROR(AG86/AG5,0)</f>
        <v>0</v>
      </c>
      <c r="AH87" s="4153">
        <f>IFERROR(AH86/AH5,0)</f>
        <v>0</v>
      </c>
      <c r="AI87" s="4154">
        <f>IFERROR(AI86/AI5,0)</f>
        <v>0</v>
      </c>
      <c r="AJ87" s="4155"/>
      <c r="AK87" s="4156"/>
      <c r="AL87" s="4152">
        <f>IFERROR(AL86/AL5,0)</f>
        <v>0.61842419368387602</v>
      </c>
      <c r="AM87" s="4153">
        <f>IFERROR(AM86/AM5,0)</f>
        <v>0</v>
      </c>
      <c r="AN87" s="4154">
        <f>IFERROR(AN86/AN5,0)</f>
        <v>0.43265551990673229</v>
      </c>
      <c r="AO87" s="4155"/>
      <c r="AP87" s="4156"/>
      <c r="AQ87" s="4152">
        <f>IFERROR(AQ86/AQ5,0)</f>
        <v>0</v>
      </c>
      <c r="AR87" s="4153">
        <f>IFERROR(AR86/AR5,0)</f>
        <v>0</v>
      </c>
      <c r="AS87" s="4154">
        <f>IFERROR(AS86/AS5,0)</f>
        <v>0</v>
      </c>
      <c r="AT87" s="4155"/>
      <c r="AU87" s="4156"/>
      <c r="AV87" s="4152">
        <f>IFERROR(AV86/AV5,0)</f>
        <v>0</v>
      </c>
      <c r="AW87" s="4153">
        <f>IFERROR(AW86/AW5,0)</f>
        <v>0</v>
      </c>
      <c r="AX87" s="4154">
        <f>IFERROR(AX86/AX5,0)</f>
        <v>0</v>
      </c>
      <c r="AY87" s="4155"/>
      <c r="AZ87" s="4156"/>
      <c r="BA87" s="4152">
        <f>IFERROR(BA86/BA5,0)</f>
        <v>0</v>
      </c>
      <c r="BB87" s="4153">
        <f>IFERROR(BB86/BB5,0)</f>
        <v>0</v>
      </c>
      <c r="BC87" s="4154">
        <f>IFERROR(BC86/BC5,0)</f>
        <v>0</v>
      </c>
      <c r="BD87" s="4155"/>
      <c r="BE87" s="4156"/>
      <c r="BF87" s="4152">
        <f>IFERROR(BF86/BF5,0)</f>
        <v>0</v>
      </c>
      <c r="BG87" s="4153">
        <f>IFERROR(BG86/BG5,0)</f>
        <v>0</v>
      </c>
      <c r="BH87" s="4154">
        <f>IFERROR(BH86/BH5,0)</f>
        <v>0</v>
      </c>
      <c r="BI87" s="4155"/>
      <c r="BJ87" s="4156"/>
      <c r="BK87" s="4152">
        <f>IFERROR(BK86/BK5,0)</f>
        <v>0</v>
      </c>
      <c r="BL87" s="4153">
        <f>IFERROR(BL86/BL5,0)</f>
        <v>0</v>
      </c>
      <c r="BM87" s="4154">
        <f>IFERROR(BM86/BM5,0)</f>
        <v>0</v>
      </c>
      <c r="BN87" s="4155"/>
      <c r="BO87" s="4156"/>
      <c r="BP87" s="4152">
        <f>IFERROR(BP86/BP5,0)</f>
        <v>0</v>
      </c>
      <c r="BQ87" s="4153">
        <f>IFERROR(BQ86/BQ5,0)</f>
        <v>0</v>
      </c>
      <c r="BR87" s="4154">
        <f>IFERROR(BR86/BR5,0)</f>
        <v>0</v>
      </c>
      <c r="BS87" s="4155"/>
      <c r="BT87" s="4156"/>
      <c r="BU87" s="4152">
        <f>IFERROR(BU86/BU5,0)</f>
        <v>0</v>
      </c>
      <c r="BV87" s="4153">
        <f>IFERROR(BV86/BV5,0)</f>
        <v>0</v>
      </c>
      <c r="BW87" s="4154">
        <f>IFERROR(BW86/BW5,0)</f>
        <v>0</v>
      </c>
      <c r="BX87" s="4155"/>
      <c r="BY87" s="4156"/>
      <c r="BZ87" s="4152">
        <f>IFERROR(BZ86/BZ5,0)</f>
        <v>0</v>
      </c>
      <c r="CA87" s="4153">
        <f>IFERROR(CA86/CA5,0)</f>
        <v>0</v>
      </c>
      <c r="CB87" s="4154">
        <f>IFERROR(CB86/CB5,0)</f>
        <v>0</v>
      </c>
      <c r="CC87" s="4155"/>
      <c r="CD87" s="4156"/>
      <c r="CE87" s="4152">
        <f>IFERROR(CE86/CE5,0)</f>
        <v>0</v>
      </c>
      <c r="CF87" s="4153">
        <f>IFERROR(CF86/CF5,0)</f>
        <v>0</v>
      </c>
      <c r="CG87" s="4154">
        <f>IFERROR(CG86/CG5,0)</f>
        <v>0</v>
      </c>
      <c r="CH87" s="4155"/>
      <c r="CI87" s="4156"/>
      <c r="CJ87" s="4152">
        <f>IFERROR(CJ86/CJ5,0)</f>
        <v>0.43903827210148594</v>
      </c>
      <c r="CK87" s="4153">
        <f>IFERROR(CK86/CK5,0)</f>
        <v>0</v>
      </c>
      <c r="CL87" s="4154">
        <f>IFERROR(CL86/CL5,0)</f>
        <v>9.5143640115845579E-4</v>
      </c>
      <c r="CM87" s="4155"/>
      <c r="CN87" s="4155"/>
      <c r="CP87" s="4154">
        <f>CP86/CP5</f>
        <v>0.51037319470672482</v>
      </c>
      <c r="CQ87" s="4162">
        <f>IFERROR(CQ86/CQ5,0)</f>
        <v>-3.2262322654489826E-2</v>
      </c>
      <c r="CR87" s="4154">
        <f>CR86/CR5</f>
        <v>5.5758013238707527</v>
      </c>
      <c r="CT87" s="2624"/>
    </row>
    <row r="88" spans="1:101"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1611"/>
      <c r="AG88" s="1954"/>
      <c r="AH88" s="1954"/>
      <c r="AI88" s="1954"/>
      <c r="AJ88" s="1954"/>
      <c r="AK88" s="1611"/>
      <c r="AL88" s="1954"/>
      <c r="AM88" s="1954"/>
      <c r="AN88" s="1954"/>
      <c r="AO88" s="1954"/>
      <c r="AP88" s="1611"/>
      <c r="AQ88" s="1954"/>
      <c r="AR88" s="1954"/>
      <c r="AS88" s="1954"/>
      <c r="AT88" s="1954"/>
      <c r="AU88" s="1611"/>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1954"/>
      <c r="CQ88" s="1954"/>
      <c r="CR88" s="1954"/>
    </row>
    <row r="89" spans="1:101">
      <c r="B89" s="1562" t="s">
        <v>56</v>
      </c>
      <c r="E89" s="1960">
        <f>E8+E36+E41+E50+E54+E73+E79+E82+E85</f>
        <v>0</v>
      </c>
      <c r="G89" s="1963"/>
      <c r="J89" s="1960">
        <f>J8+J36+J41+J50+J54+J73+J79+J82+J85</f>
        <v>0</v>
      </c>
      <c r="L89" s="1963"/>
      <c r="O89" s="1960">
        <f>O8+O36+O41+O50+O54+O73+O79+O82+O85</f>
        <v>0</v>
      </c>
      <c r="Q89" s="1963"/>
      <c r="R89" s="1963"/>
      <c r="S89" s="1963"/>
      <c r="T89" s="1960">
        <f>T8+T36+T41+T50+T54+T73+T79+T82+T85</f>
        <v>0</v>
      </c>
      <c r="U89" s="1963"/>
      <c r="V89" s="1963"/>
      <c r="W89" s="1963"/>
      <c r="X89" s="1963"/>
      <c r="Y89" s="1960">
        <f>Y8+Y36+Y41+Y50+Y54+Y73+Y79+Y82+Y85</f>
        <v>430351.69779062492</v>
      </c>
      <c r="Z89" s="1963"/>
      <c r="AA89" s="1963"/>
      <c r="AD89" s="1960">
        <f>AD8+AD36+AD41+AD50+AD54+AD73+AD79+AD82+AD85</f>
        <v>0</v>
      </c>
      <c r="AF89" s="1963"/>
      <c r="AI89" s="1960">
        <f>AI8+AI36+AI41+AI50+AI54+AI73+AI79+AI82+AI85</f>
        <v>185961.51583514956</v>
      </c>
      <c r="AK89" s="1963"/>
      <c r="AN89" s="1960">
        <f>AN8+AN36+AN41+AN50+AN54+AN73+AN79+AN82+AN85</f>
        <v>244390.18195547533</v>
      </c>
      <c r="AP89" s="1963"/>
      <c r="AS89" s="1960">
        <f>AS8+AS36+AS41+AS50+AS54+AS73+AS79+AS82+AS85</f>
        <v>0</v>
      </c>
      <c r="AU89" s="1963"/>
      <c r="AX89" s="1960">
        <f>AX8+AX36+AX41+AX50+AX54+AX73+AX79+AX82+AX85</f>
        <v>0</v>
      </c>
      <c r="AZ89" s="1963"/>
      <c r="BC89" s="1960">
        <f>BC8+BC36+BC41+BC50+BC54+BC73+BC79+BC82+BC85</f>
        <v>0</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430351.69779062492</v>
      </c>
    </row>
    <row r="90" spans="1:101">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1963"/>
      <c r="AC90" s="1963"/>
      <c r="AD90" s="1963"/>
      <c r="AE90" s="1963"/>
      <c r="AF90" s="1963"/>
      <c r="AG90" s="1963"/>
      <c r="AH90" s="1963"/>
      <c r="AI90" s="1963"/>
      <c r="AJ90" s="1963"/>
      <c r="AK90" s="1963"/>
      <c r="AL90" s="1963"/>
      <c r="AM90" s="1963"/>
      <c r="AN90" s="1963"/>
      <c r="AO90" s="1963"/>
      <c r="AP90" s="1963"/>
      <c r="AQ90" s="1963"/>
      <c r="AR90" s="1963"/>
      <c r="AS90" s="1963"/>
      <c r="AT90" s="1963"/>
      <c r="AU90" s="1963"/>
      <c r="AV90" s="1963"/>
      <c r="AW90" s="1963"/>
      <c r="AX90" s="1963"/>
      <c r="AY90" s="1963"/>
      <c r="AZ90" s="1963"/>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t="b">
        <f>J89+O89+E89+Y89=CL89</f>
        <v>1</v>
      </c>
    </row>
    <row r="91" spans="1:101"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963"/>
      <c r="AG91" s="1963"/>
      <c r="AH91" s="1963"/>
      <c r="AI91" s="1963"/>
      <c r="AJ91" s="1963"/>
      <c r="AK91" s="1963"/>
      <c r="AL91" s="1963"/>
      <c r="AM91" s="1963"/>
      <c r="AN91" s="1963"/>
      <c r="AO91" s="1963"/>
      <c r="AP91" s="1963"/>
      <c r="AQ91" s="1963"/>
      <c r="AR91" s="1963"/>
      <c r="AS91" s="1963"/>
      <c r="AT91" s="1963"/>
      <c r="AU91" s="1963"/>
      <c r="AV91" s="1963"/>
      <c r="AW91" s="1963"/>
      <c r="AX91" s="1963"/>
      <c r="AY91" s="1963"/>
      <c r="AZ91" s="196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c r="CP91" s="1952"/>
      <c r="CQ91" s="1952"/>
      <c r="CR91" s="1952"/>
      <c r="CT91" s="2624"/>
    </row>
    <row r="92" spans="1:101">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P92" s="1963"/>
      <c r="AQ92" s="1963"/>
      <c r="AR92" s="1963"/>
      <c r="AS92" s="1963"/>
      <c r="AT92" s="1963"/>
      <c r="AU92" s="1963"/>
      <c r="AV92" s="1963"/>
      <c r="AW92" s="1963"/>
      <c r="AX92" s="1963"/>
      <c r="AY92" s="1963"/>
      <c r="AZ92" s="196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1" s="1396" customFormat="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963"/>
      <c r="AG93" s="1963"/>
      <c r="AH93" s="1963"/>
      <c r="AI93" s="1963"/>
      <c r="AJ93" s="1963"/>
      <c r="AK93" s="1963"/>
      <c r="AL93" s="1963"/>
      <c r="AM93" s="1963"/>
      <c r="AN93" s="1963"/>
      <c r="AO93" s="1963"/>
      <c r="AP93" s="1963"/>
      <c r="AQ93" s="1963"/>
      <c r="AR93" s="1963"/>
      <c r="AS93" s="1963"/>
      <c r="AT93" s="1963"/>
      <c r="AU93" s="1963"/>
      <c r="AV93" s="1963"/>
      <c r="AW93" s="1963"/>
      <c r="AX93" s="1963"/>
      <c r="AY93" s="1963"/>
      <c r="AZ93" s="1963"/>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52"/>
      <c r="CK93" s="1952"/>
      <c r="CL93" s="687"/>
      <c r="CM93" s="1952"/>
      <c r="CN93" s="1952"/>
      <c r="CP93" s="1952"/>
      <c r="CQ93" s="1952"/>
      <c r="CR93" s="1952"/>
      <c r="CT93" s="2624"/>
    </row>
    <row r="94" spans="1:101" s="1396" customForma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963"/>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52"/>
      <c r="CK94" s="1952"/>
      <c r="CL94" s="1952"/>
      <c r="CM94" s="1952"/>
      <c r="CN94" s="1952"/>
      <c r="CP94" s="1952"/>
      <c r="CQ94" s="1952"/>
      <c r="CR94" s="1952"/>
      <c r="CT94" s="2624"/>
    </row>
    <row r="95" spans="1:101" s="1396" customFormat="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963"/>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52"/>
      <c r="CK95" s="1952"/>
      <c r="CL95" s="1952"/>
      <c r="CM95" s="1952"/>
      <c r="CN95" s="1952"/>
      <c r="CP95" s="1952"/>
      <c r="CQ95" s="1952"/>
      <c r="CR95" s="1952"/>
      <c r="CT95" s="2624"/>
    </row>
    <row r="96" spans="1:101" s="1396" customFormat="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963"/>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52"/>
      <c r="CK96" s="1952"/>
      <c r="CL96" s="1952"/>
      <c r="CM96" s="1952"/>
      <c r="CN96" s="1952"/>
      <c r="CP96" s="1952"/>
      <c r="CQ96" s="1952"/>
      <c r="CR96" s="1952"/>
      <c r="CT96" s="2624"/>
    </row>
    <row r="97" spans="1:98">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1963"/>
      <c r="AH97" s="1963"/>
      <c r="AI97" s="1963"/>
      <c r="AJ97" s="1963"/>
      <c r="AK97" s="1963"/>
      <c r="AL97" s="1963"/>
      <c r="AM97" s="1963"/>
      <c r="AN97" s="1963"/>
      <c r="AO97" s="1963"/>
      <c r="AP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98"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952"/>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1952"/>
      <c r="CQ98" s="1952"/>
      <c r="CR98" s="1952"/>
      <c r="CT98" s="2624"/>
    </row>
  </sheetData>
  <mergeCells count="22">
    <mergeCell ref="W2:AA3"/>
    <mergeCell ref="A2:B2"/>
    <mergeCell ref="C2:G3"/>
    <mergeCell ref="H2:L3"/>
    <mergeCell ref="M2:Q3"/>
    <mergeCell ref="R2:V3"/>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102"/>
  <sheetViews>
    <sheetView showZeros="0" zoomScale="85" zoomScaleNormal="85" workbookViewId="0">
      <pane xSplit="2" ySplit="5" topLeftCell="BE72" activePane="bottomRight" state="frozen"/>
      <selection activeCell="Y90" sqref="Y90"/>
      <selection pane="topRight" activeCell="Y90" sqref="Y90"/>
      <selection pane="bottomLeft" activeCell="Y90" sqref="Y90"/>
      <selection pane="bottomRight" sqref="A1:XFD1048576"/>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hidden="1" customWidth="1" outlineLevel="1" collapsed="1"/>
    <col min="19" max="22" width="13.44140625" style="1952" hidden="1" customWidth="1" outlineLevel="1"/>
    <col min="23" max="23" width="13.44140625" style="1952" customWidth="1" collapsed="1"/>
    <col min="24" max="27" width="13.44140625" style="1952" customWidth="1"/>
    <col min="28" max="31" width="12.88671875" style="1952" hidden="1" customWidth="1" outlineLevel="1"/>
    <col min="32" max="32" width="29.33203125" style="1952" hidden="1" customWidth="1" outlineLevel="1"/>
    <col min="33" max="33" width="12.88671875" style="1952" hidden="1" customWidth="1" outlineLevel="1" collapsed="1"/>
    <col min="34" max="36" width="12.88671875" style="1952" hidden="1" customWidth="1" outlineLevel="1"/>
    <col min="37" max="37" width="26.109375" style="1952" hidden="1" customWidth="1" outlineLevel="1"/>
    <col min="38" max="38" width="12.88671875" style="1952" hidden="1" customWidth="1" outlineLevel="1" collapsed="1"/>
    <col min="39" max="41" width="12.88671875" style="1952" hidden="1" customWidth="1" outlineLevel="1"/>
    <col min="42" max="42" width="27.6640625" style="1952" hidden="1" customWidth="1" outlineLevel="1"/>
    <col min="43" max="43" width="12.88671875" style="1952" hidden="1" customWidth="1" outlineLevel="1" collapsed="1"/>
    <col min="44" max="46" width="12.88671875" style="1952" hidden="1" customWidth="1" outlineLevel="1"/>
    <col min="47" max="47" width="38.88671875" style="1586" hidden="1" customWidth="1" outlineLevel="1"/>
    <col min="48" max="48" width="13.88671875" style="1952" customWidth="1" collapsed="1"/>
    <col min="49" max="51" width="13.88671875" style="1952" customWidth="1"/>
    <col min="52" max="52" width="38.88671875" style="1952" customWidth="1"/>
    <col min="53" max="56" width="12.88671875" style="1952" customWidth="1"/>
    <col min="57" max="57" width="38.21875" style="1952" customWidth="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30.109375" style="1952" customWidth="1"/>
    <col min="93" max="93" width="2.88671875" style="1395"/>
    <col min="94" max="95" width="12.88671875" style="1952" customWidth="1"/>
    <col min="96" max="96" width="14.5546875" style="1952" customWidth="1"/>
    <col min="97" max="97" width="2.88671875" style="1395" customWidth="1" outlineLevel="1"/>
    <col min="98" max="98" width="11.6640625" style="1522" customWidth="1" outlineLevel="1"/>
    <col min="99" max="99" width="8.33203125" style="1395" customWidth="1" outlineLevel="1"/>
    <col min="100" max="100" width="8.44140625" style="1395" customWidth="1" outlineLevel="1"/>
    <col min="101" max="101" width="7.6640625" style="1395" bestFit="1" customWidth="1"/>
    <col min="102" max="16384" width="2.88671875" style="1395"/>
  </cols>
  <sheetData>
    <row r="1" spans="1:98" ht="13.8" thickBot="1"/>
    <row r="2" spans="1:98" ht="13.8">
      <c r="A2" s="4834" t="s">
        <v>2001</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2170</v>
      </c>
      <c r="CK2" s="4875"/>
      <c r="CL2" s="4875"/>
      <c r="CM2" s="4875"/>
      <c r="CN2" s="4876"/>
      <c r="CP2" s="5168" t="s">
        <v>2002</v>
      </c>
      <c r="CQ2" s="5169"/>
      <c r="CR2" s="5170"/>
    </row>
    <row r="3" spans="1:98"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71"/>
      <c r="CQ3" s="5172"/>
      <c r="CR3" s="5173"/>
    </row>
    <row r="4" spans="1:98"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1474" t="s">
        <v>1850</v>
      </c>
      <c r="CQ4" s="1474" t="s">
        <v>2148</v>
      </c>
      <c r="CR4" s="1474" t="s">
        <v>1826</v>
      </c>
    </row>
    <row r="5" spans="1:98"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2105527.42</v>
      </c>
      <c r="X5" s="1466">
        <f>X6</f>
        <v>0</v>
      </c>
      <c r="Y5" s="1466">
        <f>Y6+Y7</f>
        <v>2105527.42</v>
      </c>
      <c r="Z5" s="1466"/>
      <c r="AA5" s="1466"/>
      <c r="AB5" s="1466">
        <f>AB6</f>
        <v>0</v>
      </c>
      <c r="AC5" s="1466">
        <f>AC6</f>
        <v>0</v>
      </c>
      <c r="AD5" s="1466">
        <f>AD6+AD7</f>
        <v>0</v>
      </c>
      <c r="AE5" s="1466"/>
      <c r="AF5" s="1466"/>
      <c r="AG5" s="1466">
        <f>AG6</f>
        <v>0</v>
      </c>
      <c r="AH5" s="1466">
        <f>AH6</f>
        <v>0</v>
      </c>
      <c r="AI5" s="1466">
        <f>AI6+AI7</f>
        <v>0</v>
      </c>
      <c r="AJ5" s="1466"/>
      <c r="AK5" s="1466"/>
      <c r="AL5" s="1466">
        <f>AL6</f>
        <v>10500</v>
      </c>
      <c r="AM5" s="1466">
        <f>AM6</f>
        <v>0</v>
      </c>
      <c r="AN5" s="1466">
        <f>AN6+AN7</f>
        <v>10500</v>
      </c>
      <c r="AO5" s="1466"/>
      <c r="AP5" s="1466"/>
      <c r="AQ5" s="1466">
        <f>AQ6</f>
        <v>397919.54000000004</v>
      </c>
      <c r="AR5" s="1466">
        <f>AR6</f>
        <v>0</v>
      </c>
      <c r="AS5" s="1466">
        <f>AS6+AS7</f>
        <v>397919.54000000004</v>
      </c>
      <c r="AT5" s="1466"/>
      <c r="AU5" s="3718"/>
      <c r="AV5" s="1466">
        <f>AV6</f>
        <v>1657107.88</v>
      </c>
      <c r="AW5" s="1466">
        <f>AW6</f>
        <v>0</v>
      </c>
      <c r="AX5" s="1466">
        <f>AX6+AX7</f>
        <v>1657107.88</v>
      </c>
      <c r="AY5" s="1466"/>
      <c r="AZ5" s="1466"/>
      <c r="BA5" s="1466">
        <f>BA6</f>
        <v>40000</v>
      </c>
      <c r="BB5" s="1466">
        <f>BB6</f>
        <v>0</v>
      </c>
      <c r="BC5" s="1466">
        <f>BC6+BC7</f>
        <v>40000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2105527.42</v>
      </c>
      <c r="CK5" s="1466">
        <f>CK6</f>
        <v>0</v>
      </c>
      <c r="CL5" s="1466">
        <f>CL6</f>
        <v>2105527.42</v>
      </c>
      <c r="CM5" s="1466"/>
      <c r="CN5" s="1466"/>
      <c r="CP5" s="1955">
        <f>CP6</f>
        <v>2285404.58</v>
      </c>
      <c r="CQ5" s="1955">
        <f>CQ6</f>
        <v>2105527.42</v>
      </c>
      <c r="CR5" s="3440">
        <f>CR6</f>
        <v>-179877.16000000015</v>
      </c>
      <c r="CT5" s="2624"/>
    </row>
    <row r="6" spans="1:98" s="1396" customFormat="1" ht="52.8"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2105527.42</v>
      </c>
      <c r="X6" s="3342">
        <f>AC6+AH6+AM6+AW6+BB6+BG6+BL6+BQ6+BV6+CA6+CF6+AR6</f>
        <v>0</v>
      </c>
      <c r="Y6" s="2012">
        <f t="shared" ref="Y6:Y7" si="3">W6+X6</f>
        <v>2105527.42</v>
      </c>
      <c r="Z6" s="3342"/>
      <c r="AA6" s="3342"/>
      <c r="AB6" s="3341"/>
      <c r="AC6" s="3341"/>
      <c r="AD6" s="2012">
        <f t="shared" ref="AD6:AD7" si="4">AB6+AC6</f>
        <v>0</v>
      </c>
      <c r="AE6" s="3341"/>
      <c r="AF6" s="3342"/>
      <c r="AG6" s="3341"/>
      <c r="AH6" s="3341"/>
      <c r="AI6" s="2012">
        <f t="shared" ref="AI6:AI7" si="5">AG6+AH6</f>
        <v>0</v>
      </c>
      <c r="AJ6" s="3341"/>
      <c r="AK6" s="3342"/>
      <c r="AL6" s="3341">
        <v>10500</v>
      </c>
      <c r="AM6" s="3341"/>
      <c r="AN6" s="2012">
        <f t="shared" ref="AN6:AN7" si="6">AL6+AM6</f>
        <v>10500</v>
      </c>
      <c r="AO6" s="3341"/>
      <c r="AP6" s="3342" t="s">
        <v>2025</v>
      </c>
      <c r="AQ6" s="3341">
        <f>327145.93+67466.33+3307.28</f>
        <v>397919.54000000004</v>
      </c>
      <c r="AR6" s="3341"/>
      <c r="AS6" s="2012">
        <f t="shared" ref="AS6:AS7" si="7">AQ6+AR6</f>
        <v>397919.54000000004</v>
      </c>
      <c r="AT6" s="3341"/>
      <c r="AU6" s="3409" t="s">
        <v>2059</v>
      </c>
      <c r="AV6" s="3341">
        <f>418537.66+122216.93+459424.54+130519.74+5555.26+67404.44+22498.76+183918.41+227119.64+16800+3112.5</f>
        <v>1657107.88</v>
      </c>
      <c r="AW6" s="3341"/>
      <c r="AX6" s="2012">
        <f t="shared" ref="AX6:AX7" si="8">AV6+AW6</f>
        <v>1657107.88</v>
      </c>
      <c r="AY6" s="3341"/>
      <c r="AZ6" s="3409" t="s">
        <v>2105</v>
      </c>
      <c r="BA6" s="2043">
        <f>40000</f>
        <v>40000</v>
      </c>
      <c r="BB6" s="3341"/>
      <c r="BC6" s="2012">
        <f t="shared" ref="BC6:BC7" si="9">BA6+BB6</f>
        <v>40000</v>
      </c>
      <c r="BD6" s="3341"/>
      <c r="BE6" s="3342" t="s">
        <v>2179</v>
      </c>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f>
        <v>2105527.42</v>
      </c>
      <c r="CK6" s="3341">
        <f>D6+I6+N6+X6</f>
        <v>0</v>
      </c>
      <c r="CL6" s="2012">
        <f>CJ6+CK6</f>
        <v>2105527.42</v>
      </c>
      <c r="CM6" s="3341"/>
      <c r="CN6" s="3341"/>
      <c r="CP6" s="2012">
        <f>2274904.58+10500</f>
        <v>2285404.58</v>
      </c>
      <c r="CQ6" s="2012">
        <f>CL6</f>
        <v>2105527.42</v>
      </c>
      <c r="CR6" s="4614">
        <f>CQ6-CP6</f>
        <v>-179877.16000000015</v>
      </c>
      <c r="CS6" s="3307"/>
      <c r="CT6" s="4616">
        <f>CR6/CP6</f>
        <v>-7.8706921992779122E-2</v>
      </c>
    </row>
    <row r="7" spans="1:98" s="1396" customFormat="1" ht="14.4" outlineLevel="1" collapsed="1" thickBot="1">
      <c r="A7" s="1571"/>
      <c r="B7" s="4426" t="s">
        <v>41</v>
      </c>
      <c r="C7" s="3341"/>
      <c r="D7" s="3341"/>
      <c r="E7" s="2012">
        <f t="shared" si="0"/>
        <v>0</v>
      </c>
      <c r="F7" s="4608"/>
      <c r="G7" s="4608"/>
      <c r="H7" s="3341"/>
      <c r="I7" s="3341"/>
      <c r="J7" s="2012">
        <f>H7+I7</f>
        <v>0</v>
      </c>
      <c r="K7" s="4608"/>
      <c r="L7" s="4608"/>
      <c r="M7" s="3341"/>
      <c r="N7" s="3341"/>
      <c r="O7" s="2012">
        <f t="shared" si="1"/>
        <v>0</v>
      </c>
      <c r="P7" s="4608"/>
      <c r="Q7" s="4608"/>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1"/>
      <c r="AC7" s="3341"/>
      <c r="AD7" s="2012">
        <f t="shared" si="4"/>
        <v>0</v>
      </c>
      <c r="AE7" s="4608"/>
      <c r="AF7" s="4608"/>
      <c r="AG7" s="3341"/>
      <c r="AH7" s="3341"/>
      <c r="AI7" s="2012">
        <f t="shared" si="5"/>
        <v>0</v>
      </c>
      <c r="AJ7" s="4608"/>
      <c r="AK7" s="4608"/>
      <c r="AL7" s="3341"/>
      <c r="AM7" s="3341"/>
      <c r="AN7" s="2012">
        <f t="shared" si="6"/>
        <v>0</v>
      </c>
      <c r="AO7" s="4608"/>
      <c r="AP7" s="4608"/>
      <c r="AQ7" s="3341"/>
      <c r="AR7" s="3341"/>
      <c r="AS7" s="2012">
        <f t="shared" si="7"/>
        <v>0</v>
      </c>
      <c r="AT7" s="4608"/>
      <c r="AU7" s="4672"/>
      <c r="AV7" s="3341"/>
      <c r="AW7" s="3341"/>
      <c r="AX7" s="2012">
        <f t="shared" si="8"/>
        <v>0</v>
      </c>
      <c r="AY7" s="4608"/>
      <c r="AZ7" s="4608"/>
      <c r="BA7" s="3341"/>
      <c r="BB7" s="3341"/>
      <c r="BC7" s="2012">
        <f t="shared" si="9"/>
        <v>0</v>
      </c>
      <c r="BD7" s="4608"/>
      <c r="BE7" s="4608"/>
      <c r="BF7" s="3341"/>
      <c r="BG7" s="3341"/>
      <c r="BH7" s="2012">
        <f t="shared" si="10"/>
        <v>0</v>
      </c>
      <c r="BI7" s="4608"/>
      <c r="BJ7" s="4608"/>
      <c r="BK7" s="3341"/>
      <c r="BL7" s="3341"/>
      <c r="BM7" s="2012">
        <f t="shared" si="11"/>
        <v>0</v>
      </c>
      <c r="BN7" s="4608"/>
      <c r="BO7" s="4608"/>
      <c r="BP7" s="3341"/>
      <c r="BQ7" s="3341"/>
      <c r="BR7" s="2012">
        <f t="shared" si="12"/>
        <v>0</v>
      </c>
      <c r="BS7" s="4608"/>
      <c r="BT7" s="4608"/>
      <c r="BU7" s="3341"/>
      <c r="BV7" s="3341"/>
      <c r="BW7" s="2012">
        <f t="shared" si="13"/>
        <v>0</v>
      </c>
      <c r="BX7" s="4608"/>
      <c r="BY7" s="4608"/>
      <c r="BZ7" s="3341"/>
      <c r="CA7" s="3341"/>
      <c r="CB7" s="2012">
        <f t="shared" si="14"/>
        <v>0</v>
      </c>
      <c r="CC7" s="4608"/>
      <c r="CD7" s="4608"/>
      <c r="CE7" s="3341"/>
      <c r="CF7" s="3341"/>
      <c r="CG7" s="2012">
        <f t="shared" si="15"/>
        <v>0</v>
      </c>
      <c r="CH7" s="4608"/>
      <c r="CI7" s="4608"/>
      <c r="CJ7" s="3341">
        <f>C7+H7+M7+W7</f>
        <v>0</v>
      </c>
      <c r="CK7" s="3341">
        <f>D7+I7+N7+X7</f>
        <v>0</v>
      </c>
      <c r="CL7" s="2012">
        <f>CJ7+CK7</f>
        <v>0</v>
      </c>
      <c r="CM7" s="4608"/>
      <c r="CN7" s="4608"/>
      <c r="CP7" s="2012"/>
      <c r="CQ7" s="2012"/>
      <c r="CR7" s="3442"/>
      <c r="CT7" s="2624"/>
    </row>
    <row r="8" spans="1:98" s="1396" customFormat="1" ht="14.4" outlineLevel="1" thickBot="1">
      <c r="A8" s="1571"/>
      <c r="B8" s="1463" t="s">
        <v>16</v>
      </c>
      <c r="C8" s="1957">
        <f>SUM(C9:C33)</f>
        <v>0</v>
      </c>
      <c r="D8" s="1957">
        <f>SUM(D9:D33)</f>
        <v>0</v>
      </c>
      <c r="E8" s="1484">
        <f>SUM(E9:E33)</f>
        <v>0</v>
      </c>
      <c r="F8" s="1528" t="e">
        <f t="shared" ref="F8:F33" si="16">E8/$E$89</f>
        <v>#DIV/0!</v>
      </c>
      <c r="G8" s="1466"/>
      <c r="H8" s="1957">
        <f>SUM(H9:H33)</f>
        <v>0</v>
      </c>
      <c r="I8" s="1957">
        <f>SUM(I9:I33)</f>
        <v>0</v>
      </c>
      <c r="J8" s="1484">
        <f>SUM(J9:J33)</f>
        <v>0</v>
      </c>
      <c r="K8" s="1528" t="e">
        <f t="shared" ref="K8" si="17">J8/$E$89</f>
        <v>#DIV/0!</v>
      </c>
      <c r="L8" s="1466"/>
      <c r="M8" s="1957">
        <f>SUM(M9:M33)</f>
        <v>0</v>
      </c>
      <c r="N8" s="1957">
        <f>SUM(N9:N33)</f>
        <v>0</v>
      </c>
      <c r="O8" s="1484">
        <f>SUM(O9:O33)</f>
        <v>0</v>
      </c>
      <c r="P8" s="1528" t="e">
        <f t="shared" ref="P8" si="18">O8/$E$89</f>
        <v>#DIV/0!</v>
      </c>
      <c r="Q8" s="1466"/>
      <c r="R8" s="1957">
        <f>SUM(R9:R33)</f>
        <v>0</v>
      </c>
      <c r="S8" s="1957">
        <f>SUM(S9:S33)</f>
        <v>0</v>
      </c>
      <c r="T8" s="1484">
        <f>SUM(T9:T33)</f>
        <v>0</v>
      </c>
      <c r="U8" s="1528"/>
      <c r="V8" s="1466"/>
      <c r="W8" s="1957">
        <f>SUM(W9:W33)</f>
        <v>791961.649544304</v>
      </c>
      <c r="X8" s="1957">
        <f>SUM(X9:X33)</f>
        <v>662619.75</v>
      </c>
      <c r="Y8" s="1484">
        <f>SUM(Y9:Y33)</f>
        <v>1454581.399544304</v>
      </c>
      <c r="Z8" s="1528"/>
      <c r="AA8" s="1466"/>
      <c r="AB8" s="1957">
        <f>SUM(AB9:AB33)</f>
        <v>0</v>
      </c>
      <c r="AC8" s="1957">
        <f>SUM(AC9:AC33)</f>
        <v>0</v>
      </c>
      <c r="AD8" s="1484">
        <f>SUM(AD9:AD33)</f>
        <v>0</v>
      </c>
      <c r="AE8" s="1528"/>
      <c r="AF8" s="1466"/>
      <c r="AG8" s="1957">
        <f>SUM(AG9:AG33)</f>
        <v>0</v>
      </c>
      <c r="AH8" s="1957">
        <f>SUM(AH9:AH33)</f>
        <v>0</v>
      </c>
      <c r="AI8" s="1484">
        <f>SUM(AI9:AI33)</f>
        <v>0</v>
      </c>
      <c r="AJ8" s="1528"/>
      <c r="AK8" s="1466"/>
      <c r="AL8" s="1957">
        <f>SUM(AL9:AL33)</f>
        <v>150162.34</v>
      </c>
      <c r="AM8" s="1957">
        <f>SUM(AM9:AM33)</f>
        <v>217661.81</v>
      </c>
      <c r="AN8" s="1484">
        <f>SUM(AN9:AN33)</f>
        <v>367824.15</v>
      </c>
      <c r="AO8" s="1528"/>
      <c r="AP8" s="1466"/>
      <c r="AQ8" s="1957">
        <f>SUM(AQ9:AQ33)</f>
        <v>234353.22954430402</v>
      </c>
      <c r="AR8" s="1957">
        <f>SUM(AR9:AR33)</f>
        <v>296274.44</v>
      </c>
      <c r="AS8" s="1484">
        <f>SUM(AS9:AS33)</f>
        <v>530627.66954430402</v>
      </c>
      <c r="AT8" s="1528"/>
      <c r="AU8" s="3718"/>
      <c r="AV8" s="1957">
        <f>SUM(AV9:AV33)</f>
        <v>404044.45</v>
      </c>
      <c r="AW8" s="1957">
        <f>SUM(AW9:AW33)</f>
        <v>145864</v>
      </c>
      <c r="AX8" s="1484">
        <f>SUM(AX9:AX33)</f>
        <v>549908.44999999995</v>
      </c>
      <c r="AY8" s="1528"/>
      <c r="AZ8" s="1466"/>
      <c r="BA8" s="1957">
        <f>SUM(BA9:BA33)</f>
        <v>3401.63</v>
      </c>
      <c r="BB8" s="1957">
        <f>SUM(BB9:BB33)</f>
        <v>2819.5</v>
      </c>
      <c r="BC8" s="1484">
        <f>SUM(BC9:BC33)</f>
        <v>6221.13</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791961.649544304</v>
      </c>
      <c r="CK8" s="1957">
        <f>SUM(CK9:CK33)</f>
        <v>662619.75</v>
      </c>
      <c r="CL8" s="1484">
        <f>SUM(CL9:CL33)</f>
        <v>1454581.399544304</v>
      </c>
      <c r="CM8" s="1528"/>
      <c r="CN8" s="1466"/>
      <c r="CP8" s="1484">
        <f>SUM(CP9:CP33)</f>
        <v>1447614.3508939999</v>
      </c>
      <c r="CQ8" s="1484">
        <f>SUM(CQ9:CQ33)</f>
        <v>1454581.399544304</v>
      </c>
      <c r="CR8" s="3440">
        <f>SUM(CR9:CR33)</f>
        <v>-6967.0486503041175</v>
      </c>
      <c r="CT8" s="2624"/>
    </row>
    <row r="9" spans="1:98" s="1396" customFormat="1" ht="13.8" outlineLevel="2">
      <c r="A9" s="1571"/>
      <c r="B9" s="1424" t="s">
        <v>74</v>
      </c>
      <c r="C9" s="3341"/>
      <c r="D9" s="3341"/>
      <c r="E9" s="3349">
        <f t="shared" ref="E9:E32" si="19">C9+D9</f>
        <v>0</v>
      </c>
      <c r="F9" s="4428" t="e">
        <f t="shared" si="16"/>
        <v>#DIV/0!</v>
      </c>
      <c r="G9" s="2047"/>
      <c r="H9" s="3341"/>
      <c r="I9" s="3341"/>
      <c r="J9" s="3349">
        <f t="shared" ref="J9:J32" si="20">H9+I9</f>
        <v>0</v>
      </c>
      <c r="K9" s="4428" t="e">
        <f>J9/J$89</f>
        <v>#DIV/0!</v>
      </c>
      <c r="L9" s="2047"/>
      <c r="M9" s="3341"/>
      <c r="N9" s="3341"/>
      <c r="O9" s="3349">
        <f t="shared" ref="O9:O32" si="21">M9+N9</f>
        <v>0</v>
      </c>
      <c r="P9" s="4428" t="e">
        <f t="shared" ref="P9:P33" si="22">O9/O$89</f>
        <v>#DIV/0!</v>
      </c>
      <c r="Q9" s="2047"/>
      <c r="R9" s="3342">
        <f t="shared" ref="R9:S33" si="23">M9+H9+C9</f>
        <v>0</v>
      </c>
      <c r="S9" s="3342">
        <f t="shared" si="23"/>
        <v>0</v>
      </c>
      <c r="T9" s="2012">
        <f t="shared" ref="T9:T33" si="24">R9+S9</f>
        <v>0</v>
      </c>
      <c r="U9" s="2047"/>
      <c r="V9" s="2047"/>
      <c r="W9" s="3342">
        <f t="shared" ref="W9:X33" si="25">AB9+AG9+AL9+AV9+BA9+BF9+BK9+BP9+BU9+BZ9+CE9+AQ9</f>
        <v>254765.49954430404</v>
      </c>
      <c r="X9" s="3342">
        <f t="shared" si="25"/>
        <v>613619.75</v>
      </c>
      <c r="Y9" s="2012">
        <f t="shared" ref="Y9:Y33" si="26">W9+X9</f>
        <v>868385.2495443041</v>
      </c>
      <c r="Z9" s="2047"/>
      <c r="AA9" s="2047"/>
      <c r="AB9" s="3341"/>
      <c r="AC9" s="3341"/>
      <c r="AD9" s="3349">
        <f t="shared" ref="AD9:AD32" si="27">AB9+AC9</f>
        <v>0</v>
      </c>
      <c r="AE9" s="4428" t="e">
        <f>AD9/AD$89</f>
        <v>#DIV/0!</v>
      </c>
      <c r="AF9" s="2047"/>
      <c r="AG9" s="3341"/>
      <c r="AH9" s="3341"/>
      <c r="AI9" s="3349">
        <f t="shared" ref="AI9:AI32" si="28">AG9+AH9</f>
        <v>0</v>
      </c>
      <c r="AJ9" s="4428" t="e">
        <f>AI9/AI$89</f>
        <v>#DIV/0!</v>
      </c>
      <c r="AK9" s="2047"/>
      <c r="AL9" s="3341">
        <v>101836.19</v>
      </c>
      <c r="AM9" s="3341">
        <v>217661.81</v>
      </c>
      <c r="AN9" s="3349">
        <f t="shared" ref="AN9:AN32" si="29">AL9+AM9</f>
        <v>319498</v>
      </c>
      <c r="AO9" s="4428">
        <f>AN9/AN$89</f>
        <v>0.79805030988182524</v>
      </c>
      <c r="AP9" s="2047"/>
      <c r="AQ9" s="3341">
        <v>103126.289544304</v>
      </c>
      <c r="AR9" s="3341">
        <v>266274.44</v>
      </c>
      <c r="AS9" s="3349">
        <f t="shared" ref="AS9:AS32" si="30">AQ9+AR9</f>
        <v>369400.72954430402</v>
      </c>
      <c r="AT9" s="4428">
        <f>AS9/AS$89</f>
        <v>0.64254940505552816</v>
      </c>
      <c r="AU9" s="3780"/>
      <c r="AV9" s="3341">
        <v>46641.39</v>
      </c>
      <c r="AW9" s="3341">
        <v>126864</v>
      </c>
      <c r="AX9" s="3349">
        <f t="shared" ref="AX9:AX32" si="31">AV9+AW9</f>
        <v>173505.39</v>
      </c>
      <c r="AY9" s="4428">
        <f>AX9/AX$89</f>
        <v>0.30348765992030968</v>
      </c>
      <c r="AZ9" s="2047"/>
      <c r="BA9" s="3341">
        <v>3161.63</v>
      </c>
      <c r="BB9" s="3341">
        <v>2819.5</v>
      </c>
      <c r="BC9" s="3349">
        <f t="shared" ref="BC9:BC32" si="32">BA9+BB9</f>
        <v>5981.13</v>
      </c>
      <c r="BD9" s="4428">
        <f>BC9/BC$89</f>
        <v>0.96142179957660423</v>
      </c>
      <c r="BE9" s="2047"/>
      <c r="BF9" s="3341"/>
      <c r="BG9" s="3341"/>
      <c r="BH9" s="3349">
        <f t="shared" ref="BH9:BH32" si="33">BF9+BG9</f>
        <v>0</v>
      </c>
      <c r="BI9" s="4428" t="e">
        <f>BH9/BH$89</f>
        <v>#DIV/0!</v>
      </c>
      <c r="BJ9" s="2047"/>
      <c r="BK9" s="3341"/>
      <c r="BL9" s="3341"/>
      <c r="BM9" s="3349">
        <f t="shared" ref="BM9:BM32" si="34">BK9+BL9</f>
        <v>0</v>
      </c>
      <c r="BN9" s="4428" t="e">
        <f>BM9/BM$89</f>
        <v>#DIV/0!</v>
      </c>
      <c r="BO9" s="2047"/>
      <c r="BP9" s="3341"/>
      <c r="BQ9" s="3341"/>
      <c r="BR9" s="3349">
        <f t="shared" ref="BR9:BR32" si="35">BP9+BQ9</f>
        <v>0</v>
      </c>
      <c r="BS9" s="4428" t="e">
        <f>BR9/BR$89</f>
        <v>#DIV/0!</v>
      </c>
      <c r="BT9" s="2047"/>
      <c r="BU9" s="3341"/>
      <c r="BV9" s="3341"/>
      <c r="BW9" s="3349">
        <f t="shared" ref="BW9:BW32" si="36">BU9+BV9</f>
        <v>0</v>
      </c>
      <c r="BX9" s="4428" t="e">
        <f>BW9/BW$89</f>
        <v>#DIV/0!</v>
      </c>
      <c r="BY9" s="2047"/>
      <c r="BZ9" s="3341"/>
      <c r="CA9" s="3341"/>
      <c r="CB9" s="3349">
        <f t="shared" ref="CB9:CB32" si="37">BZ9+CA9</f>
        <v>0</v>
      </c>
      <c r="CC9" s="4428" t="e">
        <f>CB9/CB$89</f>
        <v>#DIV/0!</v>
      </c>
      <c r="CD9" s="2047"/>
      <c r="CE9" s="3341"/>
      <c r="CF9" s="3341"/>
      <c r="CG9" s="3349">
        <f t="shared" ref="CG9:CG32" si="38">CE9+CF9</f>
        <v>0</v>
      </c>
      <c r="CH9" s="4428" t="e">
        <f>CG9/CG$89</f>
        <v>#DIV/0!</v>
      </c>
      <c r="CI9" s="2047"/>
      <c r="CJ9" s="3341">
        <f t="shared" ref="CJ9:CK33" si="39">C9+H9+M9+W9</f>
        <v>254765.49954430404</v>
      </c>
      <c r="CK9" s="3341">
        <f t="shared" si="39"/>
        <v>613619.75</v>
      </c>
      <c r="CL9" s="3349">
        <f>CJ9+CK9*1</f>
        <v>868385.2495443041</v>
      </c>
      <c r="CM9" s="4428">
        <f t="shared" ref="CM9:CM33" si="40">CL9/$CL$89</f>
        <v>0.55910407575432586</v>
      </c>
      <c r="CN9" s="1434"/>
      <c r="CP9" s="5177">
        <v>867026.4</v>
      </c>
      <c r="CQ9" s="2012">
        <f t="shared" ref="CQ9:CQ32" si="41">CL9</f>
        <v>868385.2495443041</v>
      </c>
      <c r="CR9" s="5174">
        <f>CP9-SUM(CQ9:CQ11)</f>
        <v>-105774.46954430407</v>
      </c>
      <c r="CS9" s="3307"/>
      <c r="CT9" s="5180">
        <f>CR9/CP9</f>
        <v>-0.12199682679132269</v>
      </c>
    </row>
    <row r="10" spans="1:98" s="1396" customFormat="1" ht="13.8" outlineLevel="2">
      <c r="A10" s="1571"/>
      <c r="B10" s="1424" t="s">
        <v>72</v>
      </c>
      <c r="C10" s="3341"/>
      <c r="D10" s="3341"/>
      <c r="E10" s="3349">
        <f t="shared" si="19"/>
        <v>0</v>
      </c>
      <c r="F10" s="4428" t="e">
        <f t="shared" si="16"/>
        <v>#DIV/0!</v>
      </c>
      <c r="G10" s="2047"/>
      <c r="H10" s="3341"/>
      <c r="I10" s="3341"/>
      <c r="J10" s="3349">
        <f t="shared" si="20"/>
        <v>0</v>
      </c>
      <c r="K10" s="4428" t="e">
        <f t="shared" ref="K10:K33" si="42">J10/J$89</f>
        <v>#DIV/0!</v>
      </c>
      <c r="L10" s="2047"/>
      <c r="M10" s="3341"/>
      <c r="N10" s="3341"/>
      <c r="O10" s="3349">
        <f t="shared" si="21"/>
        <v>0</v>
      </c>
      <c r="P10" s="4428" t="e">
        <f t="shared" si="22"/>
        <v>#DIV/0!</v>
      </c>
      <c r="Q10" s="2047"/>
      <c r="R10" s="3342">
        <f t="shared" si="23"/>
        <v>0</v>
      </c>
      <c r="S10" s="3342">
        <f t="shared" si="23"/>
        <v>0</v>
      </c>
      <c r="T10" s="2012">
        <f t="shared" si="24"/>
        <v>0</v>
      </c>
      <c r="U10" s="2047"/>
      <c r="V10" s="2047"/>
      <c r="W10" s="3342">
        <f t="shared" si="25"/>
        <v>49062.76</v>
      </c>
      <c r="X10" s="3342">
        <f t="shared" si="25"/>
        <v>0</v>
      </c>
      <c r="Y10" s="2012">
        <f t="shared" si="26"/>
        <v>49062.76</v>
      </c>
      <c r="Z10" s="2047"/>
      <c r="AA10" s="2047"/>
      <c r="AB10" s="3341"/>
      <c r="AC10" s="3341"/>
      <c r="AD10" s="3349">
        <f t="shared" si="27"/>
        <v>0</v>
      </c>
      <c r="AE10" s="4428" t="e">
        <f t="shared" ref="AE10:AE33" si="43">AD10/AD$89</f>
        <v>#DIV/0!</v>
      </c>
      <c r="AF10" s="2047"/>
      <c r="AG10" s="3341"/>
      <c r="AH10" s="3341"/>
      <c r="AI10" s="3349">
        <f t="shared" si="28"/>
        <v>0</v>
      </c>
      <c r="AJ10" s="4428" t="e">
        <f t="shared" ref="AJ10:AJ33" si="44">AI10/AI$89</f>
        <v>#DIV/0!</v>
      </c>
      <c r="AK10" s="2047"/>
      <c r="AL10" s="3341">
        <v>19858.060000000001</v>
      </c>
      <c r="AM10" s="3341"/>
      <c r="AN10" s="3349">
        <f t="shared" si="29"/>
        <v>19858.060000000001</v>
      </c>
      <c r="AO10" s="4428">
        <f t="shared" ref="AO10:AO33" si="45">AN10/AN$89</f>
        <v>4.9601972271037319E-2</v>
      </c>
      <c r="AP10" s="2047"/>
      <c r="AQ10" s="3341">
        <v>20109.63</v>
      </c>
      <c r="AR10" s="3341"/>
      <c r="AS10" s="3349">
        <f t="shared" si="30"/>
        <v>20109.63</v>
      </c>
      <c r="AT10" s="4428">
        <f t="shared" ref="AT10:AT33" si="46">AS10/AS$89</f>
        <v>3.4979440371779427E-2</v>
      </c>
      <c r="AU10" s="3780"/>
      <c r="AV10" s="3341">
        <v>9095.07</v>
      </c>
      <c r="AW10" s="3341"/>
      <c r="AX10" s="3349">
        <f t="shared" si="31"/>
        <v>9095.07</v>
      </c>
      <c r="AY10" s="4428">
        <f t="shared" ref="AY10:AY33" si="47">AX10/AX$89</f>
        <v>1.5908678751198512E-2</v>
      </c>
      <c r="AZ10" s="2047"/>
      <c r="BA10" s="3341"/>
      <c r="BB10" s="3341"/>
      <c r="BC10" s="3349">
        <f t="shared" si="32"/>
        <v>0</v>
      </c>
      <c r="BD10" s="4428">
        <f t="shared" ref="BD10:BD33" si="48">BC10/BC$89</f>
        <v>0</v>
      </c>
      <c r="BE10" s="2047"/>
      <c r="BF10" s="3341"/>
      <c r="BG10" s="3341"/>
      <c r="BH10" s="3349">
        <f t="shared" si="33"/>
        <v>0</v>
      </c>
      <c r="BI10" s="4428" t="e">
        <f t="shared" ref="BI10:BI33" si="49">BH10/BH$89</f>
        <v>#DIV/0!</v>
      </c>
      <c r="BJ10" s="2047"/>
      <c r="BK10" s="3341"/>
      <c r="BL10" s="3341"/>
      <c r="BM10" s="3349">
        <f t="shared" si="34"/>
        <v>0</v>
      </c>
      <c r="BN10" s="4428" t="e">
        <f t="shared" ref="BN10:BN33" si="50">BM10/BM$89</f>
        <v>#DIV/0!</v>
      </c>
      <c r="BO10" s="2047"/>
      <c r="BP10" s="3341"/>
      <c r="BQ10" s="3341"/>
      <c r="BR10" s="3349">
        <f t="shared" si="35"/>
        <v>0</v>
      </c>
      <c r="BS10" s="4428" t="e">
        <f t="shared" ref="BS10:BS33" si="51">BR10/BR$89</f>
        <v>#DIV/0!</v>
      </c>
      <c r="BT10" s="2047"/>
      <c r="BU10" s="3341"/>
      <c r="BV10" s="3341"/>
      <c r="BW10" s="3349">
        <f t="shared" si="36"/>
        <v>0</v>
      </c>
      <c r="BX10" s="4428" t="e">
        <f t="shared" ref="BX10:BX33" si="52">BW10/BW$89</f>
        <v>#DIV/0!</v>
      </c>
      <c r="BY10" s="2047"/>
      <c r="BZ10" s="3341"/>
      <c r="CA10" s="3341"/>
      <c r="CB10" s="3349">
        <f t="shared" si="37"/>
        <v>0</v>
      </c>
      <c r="CC10" s="4428" t="e">
        <f t="shared" ref="CC10:CC33" si="53">CB10/CB$89</f>
        <v>#DIV/0!</v>
      </c>
      <c r="CD10" s="2047"/>
      <c r="CE10" s="3341"/>
      <c r="CF10" s="3341"/>
      <c r="CG10" s="3349">
        <f t="shared" si="38"/>
        <v>0</v>
      </c>
      <c r="CH10" s="4428" t="e">
        <f t="shared" ref="CH10:CH33" si="54">CG10/CG$89</f>
        <v>#DIV/0!</v>
      </c>
      <c r="CI10" s="2047"/>
      <c r="CJ10" s="3341">
        <f t="shared" si="39"/>
        <v>49062.76</v>
      </c>
      <c r="CK10" s="3341">
        <f t="shared" si="39"/>
        <v>0</v>
      </c>
      <c r="CL10" s="3349">
        <f t="shared" ref="CL10:CL33" si="55">CJ10+CK10*1</f>
        <v>49062.76</v>
      </c>
      <c r="CM10" s="4428">
        <f t="shared" si="40"/>
        <v>3.1588732187875328E-2</v>
      </c>
      <c r="CN10" s="1434"/>
      <c r="CP10" s="5178"/>
      <c r="CQ10" s="2012">
        <f t="shared" si="41"/>
        <v>49062.76</v>
      </c>
      <c r="CR10" s="5175"/>
      <c r="CT10" s="5180"/>
    </row>
    <row r="11" spans="1:98" s="1396" customFormat="1" ht="13.8" outlineLevel="2">
      <c r="A11" s="1571"/>
      <c r="B11" s="1424" t="s">
        <v>69</v>
      </c>
      <c r="C11" s="3341"/>
      <c r="D11" s="3341"/>
      <c r="E11" s="3349">
        <f t="shared" si="19"/>
        <v>0</v>
      </c>
      <c r="F11" s="4428" t="e">
        <f t="shared" si="16"/>
        <v>#DIV/0!</v>
      </c>
      <c r="G11" s="1055"/>
      <c r="H11" s="3341"/>
      <c r="I11" s="3341"/>
      <c r="J11" s="3349">
        <f t="shared" si="20"/>
        <v>0</v>
      </c>
      <c r="K11" s="4428" t="e">
        <f t="shared" si="42"/>
        <v>#DIV/0!</v>
      </c>
      <c r="L11" s="1055"/>
      <c r="M11" s="3341"/>
      <c r="N11" s="3341"/>
      <c r="O11" s="3349">
        <f t="shared" si="21"/>
        <v>0</v>
      </c>
      <c r="P11" s="4428" t="e">
        <f t="shared" si="22"/>
        <v>#DIV/0!</v>
      </c>
      <c r="Q11" s="1055"/>
      <c r="R11" s="3342">
        <f t="shared" si="23"/>
        <v>0</v>
      </c>
      <c r="S11" s="3342">
        <f t="shared" si="23"/>
        <v>0</v>
      </c>
      <c r="T11" s="2012">
        <f t="shared" si="24"/>
        <v>0</v>
      </c>
      <c r="U11" s="1055"/>
      <c r="V11" s="1055"/>
      <c r="W11" s="3342">
        <f t="shared" si="25"/>
        <v>55352.86</v>
      </c>
      <c r="X11" s="3342">
        <f t="shared" si="25"/>
        <v>0</v>
      </c>
      <c r="Y11" s="2012">
        <f t="shared" si="26"/>
        <v>55352.86</v>
      </c>
      <c r="Z11" s="1055"/>
      <c r="AA11" s="1055"/>
      <c r="AB11" s="3341"/>
      <c r="AC11" s="3341"/>
      <c r="AD11" s="3349">
        <f t="shared" si="27"/>
        <v>0</v>
      </c>
      <c r="AE11" s="4428" t="e">
        <f t="shared" si="43"/>
        <v>#DIV/0!</v>
      </c>
      <c r="AF11" s="1055"/>
      <c r="AG11" s="3341"/>
      <c r="AH11" s="3341"/>
      <c r="AI11" s="3349">
        <f t="shared" si="28"/>
        <v>0</v>
      </c>
      <c r="AJ11" s="4428" t="e">
        <f t="shared" si="44"/>
        <v>#DIV/0!</v>
      </c>
      <c r="AK11" s="1055"/>
      <c r="AL11" s="3341">
        <v>22403.96</v>
      </c>
      <c r="AM11" s="3341"/>
      <c r="AN11" s="3349">
        <f t="shared" si="29"/>
        <v>22403.96</v>
      </c>
      <c r="AO11" s="4428">
        <f t="shared" si="45"/>
        <v>5.5961186675910393E-2</v>
      </c>
      <c r="AP11" s="1055"/>
      <c r="AQ11" s="3341">
        <v>22687.79</v>
      </c>
      <c r="AR11" s="3341"/>
      <c r="AS11" s="3349">
        <f t="shared" si="30"/>
        <v>22687.79</v>
      </c>
      <c r="AT11" s="4428">
        <f t="shared" si="46"/>
        <v>3.9463988023273104E-2</v>
      </c>
      <c r="AU11" s="3720"/>
      <c r="AV11" s="3341">
        <v>10261.11</v>
      </c>
      <c r="AW11" s="3341"/>
      <c r="AX11" s="3349">
        <f t="shared" si="31"/>
        <v>10261.11</v>
      </c>
      <c r="AY11" s="4428">
        <f t="shared" si="47"/>
        <v>1.7948262368592059E-2</v>
      </c>
      <c r="AZ11" s="1055"/>
      <c r="BA11" s="3341"/>
      <c r="BB11" s="3341"/>
      <c r="BC11" s="3349">
        <f t="shared" si="32"/>
        <v>0</v>
      </c>
      <c r="BD11" s="4428">
        <f t="shared" si="48"/>
        <v>0</v>
      </c>
      <c r="BE11" s="1055"/>
      <c r="BF11" s="3341"/>
      <c r="BG11" s="3341"/>
      <c r="BH11" s="3349">
        <f t="shared" si="33"/>
        <v>0</v>
      </c>
      <c r="BI11" s="4428" t="e">
        <f t="shared" si="49"/>
        <v>#DIV/0!</v>
      </c>
      <c r="BJ11" s="1055"/>
      <c r="BK11" s="3341"/>
      <c r="BL11" s="3341"/>
      <c r="BM11" s="3349">
        <f t="shared" si="34"/>
        <v>0</v>
      </c>
      <c r="BN11" s="4428" t="e">
        <f t="shared" si="50"/>
        <v>#DIV/0!</v>
      </c>
      <c r="BO11" s="1055"/>
      <c r="BP11" s="3341"/>
      <c r="BQ11" s="3341"/>
      <c r="BR11" s="3349">
        <f t="shared" si="35"/>
        <v>0</v>
      </c>
      <c r="BS11" s="4428" t="e">
        <f t="shared" si="51"/>
        <v>#DIV/0!</v>
      </c>
      <c r="BT11" s="1055"/>
      <c r="BU11" s="3341"/>
      <c r="BV11" s="3341"/>
      <c r="BW11" s="3349">
        <f t="shared" si="36"/>
        <v>0</v>
      </c>
      <c r="BX11" s="4428" t="e">
        <f t="shared" si="52"/>
        <v>#DIV/0!</v>
      </c>
      <c r="BY11" s="1055"/>
      <c r="BZ11" s="3341"/>
      <c r="CA11" s="3341"/>
      <c r="CB11" s="3349">
        <f t="shared" si="37"/>
        <v>0</v>
      </c>
      <c r="CC11" s="4428" t="e">
        <f t="shared" si="53"/>
        <v>#DIV/0!</v>
      </c>
      <c r="CD11" s="1055"/>
      <c r="CE11" s="3341"/>
      <c r="CF11" s="3341"/>
      <c r="CG11" s="3349">
        <f t="shared" si="38"/>
        <v>0</v>
      </c>
      <c r="CH11" s="4428" t="e">
        <f t="shared" si="54"/>
        <v>#DIV/0!</v>
      </c>
      <c r="CI11" s="1055"/>
      <c r="CJ11" s="3341">
        <f t="shared" si="39"/>
        <v>55352.86</v>
      </c>
      <c r="CK11" s="3341">
        <f t="shared" si="39"/>
        <v>0</v>
      </c>
      <c r="CL11" s="3349">
        <f t="shared" si="55"/>
        <v>55352.86</v>
      </c>
      <c r="CM11" s="4428">
        <f t="shared" si="40"/>
        <v>3.5638571298739749E-2</v>
      </c>
      <c r="CN11" s="1434"/>
      <c r="CP11" s="5179"/>
      <c r="CQ11" s="2012">
        <f t="shared" si="41"/>
        <v>55352.86</v>
      </c>
      <c r="CR11" s="5176"/>
      <c r="CT11" s="5180"/>
    </row>
    <row r="12" spans="1:98" s="1396" customFormat="1" ht="13.8" outlineLevel="2">
      <c r="A12" s="1571"/>
      <c r="B12" s="1424" t="s">
        <v>73</v>
      </c>
      <c r="C12" s="3341"/>
      <c r="D12" s="3341"/>
      <c r="E12" s="3349">
        <f t="shared" si="19"/>
        <v>0</v>
      </c>
      <c r="F12" s="4428" t="e">
        <f t="shared" si="16"/>
        <v>#DIV/0!</v>
      </c>
      <c r="G12" s="1055"/>
      <c r="H12" s="3341"/>
      <c r="I12" s="3341"/>
      <c r="J12" s="3349">
        <f t="shared" si="20"/>
        <v>0</v>
      </c>
      <c r="K12" s="4428" t="e">
        <f t="shared" si="42"/>
        <v>#DIV/0!</v>
      </c>
      <c r="L12" s="1055"/>
      <c r="M12" s="3341"/>
      <c r="N12" s="3341"/>
      <c r="O12" s="3349">
        <f t="shared" si="21"/>
        <v>0</v>
      </c>
      <c r="P12" s="4428" t="e">
        <f t="shared" si="22"/>
        <v>#DIV/0!</v>
      </c>
      <c r="Q12" s="1055"/>
      <c r="R12" s="3342">
        <f t="shared" si="23"/>
        <v>0</v>
      </c>
      <c r="S12" s="3342">
        <f t="shared" si="23"/>
        <v>0</v>
      </c>
      <c r="T12" s="2012">
        <f t="shared" si="24"/>
        <v>0</v>
      </c>
      <c r="U12" s="1055"/>
      <c r="V12" s="1055"/>
      <c r="W12" s="3342">
        <f t="shared" si="25"/>
        <v>0</v>
      </c>
      <c r="X12" s="3342">
        <f t="shared" si="25"/>
        <v>0</v>
      </c>
      <c r="Y12" s="2012">
        <f t="shared" si="26"/>
        <v>0</v>
      </c>
      <c r="Z12" s="1055"/>
      <c r="AA12" s="1055"/>
      <c r="AB12" s="3341"/>
      <c r="AC12" s="3341"/>
      <c r="AD12" s="3349">
        <f t="shared" si="27"/>
        <v>0</v>
      </c>
      <c r="AE12" s="4428" t="e">
        <f t="shared" si="43"/>
        <v>#DIV/0!</v>
      </c>
      <c r="AF12" s="1055"/>
      <c r="AG12" s="3341"/>
      <c r="AH12" s="3341"/>
      <c r="AI12" s="3349">
        <f t="shared" si="28"/>
        <v>0</v>
      </c>
      <c r="AJ12" s="4428" t="e">
        <f t="shared" si="44"/>
        <v>#DIV/0!</v>
      </c>
      <c r="AK12" s="1055"/>
      <c r="AL12" s="3341"/>
      <c r="AM12" s="3341"/>
      <c r="AN12" s="3349">
        <f t="shared" si="29"/>
        <v>0</v>
      </c>
      <c r="AO12" s="4428">
        <f t="shared" si="45"/>
        <v>0</v>
      </c>
      <c r="AP12" s="1055"/>
      <c r="AQ12" s="3341"/>
      <c r="AR12" s="3341"/>
      <c r="AS12" s="3349">
        <f t="shared" si="30"/>
        <v>0</v>
      </c>
      <c r="AT12" s="4428">
        <f t="shared" si="46"/>
        <v>0</v>
      </c>
      <c r="AU12" s="3720"/>
      <c r="AV12" s="3341"/>
      <c r="AW12" s="3341"/>
      <c r="AX12" s="3349">
        <f t="shared" si="31"/>
        <v>0</v>
      </c>
      <c r="AY12" s="4428">
        <f t="shared" si="47"/>
        <v>0</v>
      </c>
      <c r="AZ12" s="1055"/>
      <c r="BA12" s="3341"/>
      <c r="BB12" s="3341"/>
      <c r="BC12" s="3349">
        <f t="shared" si="32"/>
        <v>0</v>
      </c>
      <c r="BD12" s="4428">
        <f t="shared" si="48"/>
        <v>0</v>
      </c>
      <c r="BE12" s="1055"/>
      <c r="BF12" s="3341"/>
      <c r="BG12" s="3341"/>
      <c r="BH12" s="3349">
        <f t="shared" si="33"/>
        <v>0</v>
      </c>
      <c r="BI12" s="4428" t="e">
        <f t="shared" si="49"/>
        <v>#DIV/0!</v>
      </c>
      <c r="BJ12" s="1055"/>
      <c r="BK12" s="3341"/>
      <c r="BL12" s="3341"/>
      <c r="BM12" s="3349">
        <f t="shared" si="34"/>
        <v>0</v>
      </c>
      <c r="BN12" s="4428" t="e">
        <f t="shared" si="50"/>
        <v>#DIV/0!</v>
      </c>
      <c r="BO12" s="1055"/>
      <c r="BP12" s="3341"/>
      <c r="BQ12" s="3341"/>
      <c r="BR12" s="3349">
        <f t="shared" si="35"/>
        <v>0</v>
      </c>
      <c r="BS12" s="4428" t="e">
        <f t="shared" si="51"/>
        <v>#DIV/0!</v>
      </c>
      <c r="BT12" s="1055"/>
      <c r="BU12" s="3341"/>
      <c r="BV12" s="3341"/>
      <c r="BW12" s="3349">
        <f t="shared" si="36"/>
        <v>0</v>
      </c>
      <c r="BX12" s="4428" t="e">
        <f t="shared" si="52"/>
        <v>#DIV/0!</v>
      </c>
      <c r="BY12" s="1055"/>
      <c r="BZ12" s="3341"/>
      <c r="CA12" s="3341"/>
      <c r="CB12" s="3349">
        <f t="shared" si="37"/>
        <v>0</v>
      </c>
      <c r="CC12" s="4428" t="e">
        <f t="shared" si="53"/>
        <v>#DIV/0!</v>
      </c>
      <c r="CD12" s="1055"/>
      <c r="CE12" s="3341"/>
      <c r="CF12" s="3341"/>
      <c r="CG12" s="3349">
        <f t="shared" si="38"/>
        <v>0</v>
      </c>
      <c r="CH12" s="4428" t="e">
        <f t="shared" si="54"/>
        <v>#DIV/0!</v>
      </c>
      <c r="CI12" s="1055"/>
      <c r="CJ12" s="3341">
        <f t="shared" si="39"/>
        <v>0</v>
      </c>
      <c r="CK12" s="3341">
        <f t="shared" si="39"/>
        <v>0</v>
      </c>
      <c r="CL12" s="3349">
        <f t="shared" si="55"/>
        <v>0</v>
      </c>
      <c r="CM12" s="4428">
        <f t="shared" si="40"/>
        <v>0</v>
      </c>
      <c r="CN12" s="1434"/>
      <c r="CP12" s="4615"/>
      <c r="CQ12" s="2012">
        <f t="shared" si="41"/>
        <v>0</v>
      </c>
      <c r="CR12" s="4614">
        <f t="shared" ref="CR12:CR33" si="56">CP12-CQ12</f>
        <v>0</v>
      </c>
      <c r="CT12" s="2624"/>
    </row>
    <row r="13" spans="1:98" s="1396" customFormat="1" ht="13.8" outlineLevel="2">
      <c r="A13" s="1571"/>
      <c r="B13" s="1424" t="s">
        <v>71</v>
      </c>
      <c r="C13" s="3341"/>
      <c r="D13" s="3341"/>
      <c r="E13" s="3349">
        <f t="shared" si="19"/>
        <v>0</v>
      </c>
      <c r="F13" s="4428" t="e">
        <f t="shared" si="16"/>
        <v>#DIV/0!</v>
      </c>
      <c r="G13" s="1055"/>
      <c r="H13" s="3341"/>
      <c r="I13" s="3341"/>
      <c r="J13" s="3349">
        <f t="shared" si="20"/>
        <v>0</v>
      </c>
      <c r="K13" s="4428" t="e">
        <f t="shared" si="42"/>
        <v>#DIV/0!</v>
      </c>
      <c r="L13" s="1055"/>
      <c r="M13" s="3341"/>
      <c r="N13" s="3341"/>
      <c r="O13" s="3349">
        <f t="shared" si="21"/>
        <v>0</v>
      </c>
      <c r="P13" s="4428" t="e">
        <f t="shared" si="22"/>
        <v>#DIV/0!</v>
      </c>
      <c r="Q13" s="1055"/>
      <c r="R13" s="3342">
        <f t="shared" si="23"/>
        <v>0</v>
      </c>
      <c r="S13" s="3342">
        <f t="shared" si="23"/>
        <v>0</v>
      </c>
      <c r="T13" s="2012">
        <f t="shared" si="24"/>
        <v>0</v>
      </c>
      <c r="U13" s="1055"/>
      <c r="V13" s="1055"/>
      <c r="W13" s="3342">
        <f t="shared" si="25"/>
        <v>0</v>
      </c>
      <c r="X13" s="3342">
        <f t="shared" si="25"/>
        <v>0</v>
      </c>
      <c r="Y13" s="2012">
        <f t="shared" si="26"/>
        <v>0</v>
      </c>
      <c r="Z13" s="1055"/>
      <c r="AA13" s="1055"/>
      <c r="AB13" s="3341"/>
      <c r="AC13" s="3341"/>
      <c r="AD13" s="3349">
        <f t="shared" si="27"/>
        <v>0</v>
      </c>
      <c r="AE13" s="4428" t="e">
        <f t="shared" si="43"/>
        <v>#DIV/0!</v>
      </c>
      <c r="AF13" s="1055"/>
      <c r="AG13" s="3341"/>
      <c r="AH13" s="3341"/>
      <c r="AI13" s="3349">
        <f t="shared" si="28"/>
        <v>0</v>
      </c>
      <c r="AJ13" s="4428" t="e">
        <f t="shared" si="44"/>
        <v>#DIV/0!</v>
      </c>
      <c r="AK13" s="1055"/>
      <c r="AL13" s="3341"/>
      <c r="AM13" s="3341"/>
      <c r="AN13" s="3349">
        <f t="shared" si="29"/>
        <v>0</v>
      </c>
      <c r="AO13" s="4428">
        <f t="shared" si="45"/>
        <v>0</v>
      </c>
      <c r="AP13" s="1055"/>
      <c r="AQ13" s="3341"/>
      <c r="AR13" s="3341"/>
      <c r="AS13" s="3349">
        <f t="shared" si="30"/>
        <v>0</v>
      </c>
      <c r="AT13" s="4428">
        <f t="shared" si="46"/>
        <v>0</v>
      </c>
      <c r="AU13" s="3720"/>
      <c r="AV13" s="3341"/>
      <c r="AW13" s="3341"/>
      <c r="AX13" s="3349">
        <f t="shared" si="31"/>
        <v>0</v>
      </c>
      <c r="AY13" s="4428">
        <f t="shared" si="47"/>
        <v>0</v>
      </c>
      <c r="AZ13" s="1055"/>
      <c r="BA13" s="3341"/>
      <c r="BB13" s="3341"/>
      <c r="BC13" s="3349">
        <f t="shared" si="32"/>
        <v>0</v>
      </c>
      <c r="BD13" s="4428">
        <f t="shared" si="48"/>
        <v>0</v>
      </c>
      <c r="BE13" s="1055"/>
      <c r="BF13" s="3341"/>
      <c r="BG13" s="3341"/>
      <c r="BH13" s="3349">
        <f t="shared" si="33"/>
        <v>0</v>
      </c>
      <c r="BI13" s="4428" t="e">
        <f t="shared" si="49"/>
        <v>#DIV/0!</v>
      </c>
      <c r="BJ13" s="1055"/>
      <c r="BK13" s="3341"/>
      <c r="BL13" s="3341"/>
      <c r="BM13" s="3349">
        <f t="shared" si="34"/>
        <v>0</v>
      </c>
      <c r="BN13" s="4428" t="e">
        <f t="shared" si="50"/>
        <v>#DIV/0!</v>
      </c>
      <c r="BO13" s="1055"/>
      <c r="BP13" s="3341"/>
      <c r="BQ13" s="3341"/>
      <c r="BR13" s="3349">
        <f t="shared" si="35"/>
        <v>0</v>
      </c>
      <c r="BS13" s="4428" t="e">
        <f t="shared" si="51"/>
        <v>#DIV/0!</v>
      </c>
      <c r="BT13" s="1055"/>
      <c r="BU13" s="3341"/>
      <c r="BV13" s="3341"/>
      <c r="BW13" s="3349">
        <f t="shared" si="36"/>
        <v>0</v>
      </c>
      <c r="BX13" s="4428" t="e">
        <f t="shared" si="52"/>
        <v>#DIV/0!</v>
      </c>
      <c r="BY13" s="1055"/>
      <c r="BZ13" s="3341"/>
      <c r="CA13" s="3341"/>
      <c r="CB13" s="3349">
        <f t="shared" si="37"/>
        <v>0</v>
      </c>
      <c r="CC13" s="4428" t="e">
        <f t="shared" si="53"/>
        <v>#DIV/0!</v>
      </c>
      <c r="CD13" s="1055"/>
      <c r="CE13" s="3341"/>
      <c r="CF13" s="3341"/>
      <c r="CG13" s="3349">
        <f t="shared" si="38"/>
        <v>0</v>
      </c>
      <c r="CH13" s="4428" t="e">
        <f t="shared" si="54"/>
        <v>#DIV/0!</v>
      </c>
      <c r="CI13" s="1055"/>
      <c r="CJ13" s="3341">
        <f t="shared" si="39"/>
        <v>0</v>
      </c>
      <c r="CK13" s="3341">
        <f t="shared" si="39"/>
        <v>0</v>
      </c>
      <c r="CL13" s="3349">
        <f t="shared" si="55"/>
        <v>0</v>
      </c>
      <c r="CM13" s="4428">
        <f t="shared" si="40"/>
        <v>0</v>
      </c>
      <c r="CN13" s="1434"/>
      <c r="CP13" s="4615"/>
      <c r="CQ13" s="2012">
        <f t="shared" si="41"/>
        <v>0</v>
      </c>
      <c r="CR13" s="4614">
        <f t="shared" si="56"/>
        <v>0</v>
      </c>
      <c r="CT13" s="2624"/>
    </row>
    <row r="14" spans="1:98" s="1396" customFormat="1" ht="13.8" outlineLevel="2">
      <c r="A14" s="1571"/>
      <c r="B14" s="1424" t="s">
        <v>70</v>
      </c>
      <c r="C14" s="3341"/>
      <c r="D14" s="3341"/>
      <c r="E14" s="3349">
        <f t="shared" si="19"/>
        <v>0</v>
      </c>
      <c r="F14" s="4428" t="e">
        <f t="shared" si="16"/>
        <v>#DIV/0!</v>
      </c>
      <c r="G14" s="1055"/>
      <c r="H14" s="3341"/>
      <c r="I14" s="3341"/>
      <c r="J14" s="3349">
        <f t="shared" si="20"/>
        <v>0</v>
      </c>
      <c r="K14" s="4428" t="e">
        <f t="shared" si="42"/>
        <v>#DIV/0!</v>
      </c>
      <c r="L14" s="1055"/>
      <c r="M14" s="3341"/>
      <c r="N14" s="3341"/>
      <c r="O14" s="3349">
        <f t="shared" si="21"/>
        <v>0</v>
      </c>
      <c r="P14" s="4428" t="e">
        <f t="shared" si="22"/>
        <v>#DIV/0!</v>
      </c>
      <c r="Q14" s="1055"/>
      <c r="R14" s="3342">
        <f t="shared" si="23"/>
        <v>0</v>
      </c>
      <c r="S14" s="3342">
        <f t="shared" si="23"/>
        <v>0</v>
      </c>
      <c r="T14" s="2012">
        <f t="shared" si="24"/>
        <v>0</v>
      </c>
      <c r="U14" s="1055"/>
      <c r="V14" s="1055"/>
      <c r="W14" s="3342">
        <f t="shared" si="25"/>
        <v>0</v>
      </c>
      <c r="X14" s="3342">
        <f t="shared" si="25"/>
        <v>0</v>
      </c>
      <c r="Y14" s="2012">
        <f t="shared" si="26"/>
        <v>0</v>
      </c>
      <c r="Z14" s="1055"/>
      <c r="AA14" s="1055"/>
      <c r="AB14" s="3341"/>
      <c r="AC14" s="3341"/>
      <c r="AD14" s="3349">
        <f t="shared" si="27"/>
        <v>0</v>
      </c>
      <c r="AE14" s="4428" t="e">
        <f t="shared" si="43"/>
        <v>#DIV/0!</v>
      </c>
      <c r="AF14" s="1055"/>
      <c r="AG14" s="3341"/>
      <c r="AH14" s="3341"/>
      <c r="AI14" s="3349">
        <f t="shared" si="28"/>
        <v>0</v>
      </c>
      <c r="AJ14" s="4428" t="e">
        <f t="shared" si="44"/>
        <v>#DIV/0!</v>
      </c>
      <c r="AK14" s="1055"/>
      <c r="AL14" s="3341"/>
      <c r="AM14" s="3341"/>
      <c r="AN14" s="3349">
        <f t="shared" si="29"/>
        <v>0</v>
      </c>
      <c r="AO14" s="4428">
        <f t="shared" si="45"/>
        <v>0</v>
      </c>
      <c r="AP14" s="1055"/>
      <c r="AQ14" s="3341"/>
      <c r="AR14" s="3341"/>
      <c r="AS14" s="3349">
        <f t="shared" si="30"/>
        <v>0</v>
      </c>
      <c r="AT14" s="4428">
        <f t="shared" si="46"/>
        <v>0</v>
      </c>
      <c r="AU14" s="3720"/>
      <c r="AV14" s="3341"/>
      <c r="AW14" s="3341"/>
      <c r="AX14" s="3349">
        <f t="shared" si="31"/>
        <v>0</v>
      </c>
      <c r="AY14" s="4428">
        <f t="shared" si="47"/>
        <v>0</v>
      </c>
      <c r="AZ14" s="1055"/>
      <c r="BA14" s="3341"/>
      <c r="BB14" s="3341"/>
      <c r="BC14" s="3349">
        <f t="shared" si="32"/>
        <v>0</v>
      </c>
      <c r="BD14" s="4428">
        <f t="shared" si="48"/>
        <v>0</v>
      </c>
      <c r="BE14" s="1055"/>
      <c r="BF14" s="3341"/>
      <c r="BG14" s="3341"/>
      <c r="BH14" s="3349">
        <f t="shared" si="33"/>
        <v>0</v>
      </c>
      <c r="BI14" s="4428" t="e">
        <f t="shared" si="49"/>
        <v>#DIV/0!</v>
      </c>
      <c r="BJ14" s="1055"/>
      <c r="BK14" s="3341"/>
      <c r="BL14" s="3341"/>
      <c r="BM14" s="3349">
        <f t="shared" si="34"/>
        <v>0</v>
      </c>
      <c r="BN14" s="4428" t="e">
        <f t="shared" si="50"/>
        <v>#DIV/0!</v>
      </c>
      <c r="BO14" s="1055"/>
      <c r="BP14" s="3341"/>
      <c r="BQ14" s="3341"/>
      <c r="BR14" s="3349">
        <f t="shared" si="35"/>
        <v>0</v>
      </c>
      <c r="BS14" s="4428" t="e">
        <f t="shared" si="51"/>
        <v>#DIV/0!</v>
      </c>
      <c r="BT14" s="1055"/>
      <c r="BU14" s="3341"/>
      <c r="BV14" s="3341"/>
      <c r="BW14" s="3349">
        <f t="shared" si="36"/>
        <v>0</v>
      </c>
      <c r="BX14" s="4428" t="e">
        <f t="shared" si="52"/>
        <v>#DIV/0!</v>
      </c>
      <c r="BY14" s="1055"/>
      <c r="BZ14" s="3341"/>
      <c r="CA14" s="3341"/>
      <c r="CB14" s="3349">
        <f t="shared" si="37"/>
        <v>0</v>
      </c>
      <c r="CC14" s="4428" t="e">
        <f t="shared" si="53"/>
        <v>#DIV/0!</v>
      </c>
      <c r="CD14" s="1055"/>
      <c r="CE14" s="3341"/>
      <c r="CF14" s="3341"/>
      <c r="CG14" s="3349">
        <f t="shared" si="38"/>
        <v>0</v>
      </c>
      <c r="CH14" s="4428" t="e">
        <f t="shared" si="54"/>
        <v>#DIV/0!</v>
      </c>
      <c r="CI14" s="1055"/>
      <c r="CJ14" s="3341">
        <f t="shared" si="39"/>
        <v>0</v>
      </c>
      <c r="CK14" s="3341">
        <f t="shared" si="39"/>
        <v>0</v>
      </c>
      <c r="CL14" s="3349">
        <f t="shared" si="55"/>
        <v>0</v>
      </c>
      <c r="CM14" s="4428">
        <f t="shared" si="40"/>
        <v>0</v>
      </c>
      <c r="CN14" s="1434"/>
      <c r="CP14" s="4615"/>
      <c r="CQ14" s="2012">
        <f t="shared" si="41"/>
        <v>0</v>
      </c>
      <c r="CR14" s="4614">
        <f t="shared" si="56"/>
        <v>0</v>
      </c>
      <c r="CT14" s="2624"/>
    </row>
    <row r="15" spans="1:98" s="1396" customFormat="1" ht="13.8" outlineLevel="2">
      <c r="A15" s="1571"/>
      <c r="B15" s="4430" t="s">
        <v>20</v>
      </c>
      <c r="C15" s="3341"/>
      <c r="D15" s="3341"/>
      <c r="E15" s="3349">
        <f t="shared" si="19"/>
        <v>0</v>
      </c>
      <c r="F15" s="4428" t="e">
        <f t="shared" si="16"/>
        <v>#DIV/0!</v>
      </c>
      <c r="G15" s="1055"/>
      <c r="H15" s="3341"/>
      <c r="I15" s="3341"/>
      <c r="J15" s="3349">
        <f t="shared" si="20"/>
        <v>0</v>
      </c>
      <c r="K15" s="4428" t="e">
        <f t="shared" si="42"/>
        <v>#DIV/0!</v>
      </c>
      <c r="L15" s="1055"/>
      <c r="M15" s="3341"/>
      <c r="N15" s="3341"/>
      <c r="O15" s="3349">
        <f t="shared" si="21"/>
        <v>0</v>
      </c>
      <c r="P15" s="4428" t="e">
        <f t="shared" si="22"/>
        <v>#DIV/0!</v>
      </c>
      <c r="Q15" s="1055"/>
      <c r="R15" s="3342">
        <f t="shared" si="23"/>
        <v>0</v>
      </c>
      <c r="S15" s="3342">
        <f t="shared" si="23"/>
        <v>0</v>
      </c>
      <c r="T15" s="2012">
        <f t="shared" si="24"/>
        <v>0</v>
      </c>
      <c r="U15" s="1055"/>
      <c r="V15" s="1055"/>
      <c r="W15" s="3342">
        <f t="shared" si="25"/>
        <v>0</v>
      </c>
      <c r="X15" s="3342">
        <f t="shared" si="25"/>
        <v>0</v>
      </c>
      <c r="Y15" s="2012">
        <f t="shared" si="26"/>
        <v>0</v>
      </c>
      <c r="Z15" s="1055"/>
      <c r="AA15" s="1055"/>
      <c r="AB15" s="3341"/>
      <c r="AC15" s="3341"/>
      <c r="AD15" s="3349">
        <f t="shared" si="27"/>
        <v>0</v>
      </c>
      <c r="AE15" s="4428" t="e">
        <f t="shared" si="43"/>
        <v>#DIV/0!</v>
      </c>
      <c r="AF15" s="1055"/>
      <c r="AG15" s="3341"/>
      <c r="AH15" s="3341"/>
      <c r="AI15" s="3349">
        <f t="shared" si="28"/>
        <v>0</v>
      </c>
      <c r="AJ15" s="4428" t="e">
        <f t="shared" si="44"/>
        <v>#DIV/0!</v>
      </c>
      <c r="AK15" s="1055"/>
      <c r="AL15" s="3341"/>
      <c r="AM15" s="3341"/>
      <c r="AN15" s="3349">
        <f t="shared" si="29"/>
        <v>0</v>
      </c>
      <c r="AO15" s="4428">
        <f t="shared" si="45"/>
        <v>0</v>
      </c>
      <c r="AP15" s="1055"/>
      <c r="AQ15" s="3341"/>
      <c r="AR15" s="3341"/>
      <c r="AS15" s="3349">
        <f t="shared" si="30"/>
        <v>0</v>
      </c>
      <c r="AT15" s="4428">
        <f t="shared" si="46"/>
        <v>0</v>
      </c>
      <c r="AU15" s="3720"/>
      <c r="AV15" s="3341"/>
      <c r="AW15" s="3341"/>
      <c r="AX15" s="3349">
        <f t="shared" si="31"/>
        <v>0</v>
      </c>
      <c r="AY15" s="4428">
        <f t="shared" si="47"/>
        <v>0</v>
      </c>
      <c r="AZ15" s="1055"/>
      <c r="BA15" s="3341"/>
      <c r="BB15" s="3341"/>
      <c r="BC15" s="3349">
        <f t="shared" si="32"/>
        <v>0</v>
      </c>
      <c r="BD15" s="4428">
        <f t="shared" si="48"/>
        <v>0</v>
      </c>
      <c r="BE15" s="1055"/>
      <c r="BF15" s="3341"/>
      <c r="BG15" s="3341"/>
      <c r="BH15" s="3349">
        <f t="shared" si="33"/>
        <v>0</v>
      </c>
      <c r="BI15" s="4428" t="e">
        <f t="shared" si="49"/>
        <v>#DIV/0!</v>
      </c>
      <c r="BJ15" s="1055"/>
      <c r="BK15" s="3341"/>
      <c r="BL15" s="3341"/>
      <c r="BM15" s="3349">
        <f t="shared" si="34"/>
        <v>0</v>
      </c>
      <c r="BN15" s="4428" t="e">
        <f t="shared" si="50"/>
        <v>#DIV/0!</v>
      </c>
      <c r="BO15" s="1055"/>
      <c r="BP15" s="3341"/>
      <c r="BQ15" s="3341"/>
      <c r="BR15" s="3349">
        <f t="shared" si="35"/>
        <v>0</v>
      </c>
      <c r="BS15" s="4428" t="e">
        <f t="shared" si="51"/>
        <v>#DIV/0!</v>
      </c>
      <c r="BT15" s="1055"/>
      <c r="BU15" s="3341"/>
      <c r="BV15" s="3341"/>
      <c r="BW15" s="3349">
        <f t="shared" si="36"/>
        <v>0</v>
      </c>
      <c r="BX15" s="4428" t="e">
        <f t="shared" si="52"/>
        <v>#DIV/0!</v>
      </c>
      <c r="BY15" s="1055"/>
      <c r="BZ15" s="3341"/>
      <c r="CA15" s="3341"/>
      <c r="CB15" s="3349">
        <f t="shared" si="37"/>
        <v>0</v>
      </c>
      <c r="CC15" s="4428" t="e">
        <f t="shared" si="53"/>
        <v>#DIV/0!</v>
      </c>
      <c r="CD15" s="1055"/>
      <c r="CE15" s="3341"/>
      <c r="CF15" s="3341"/>
      <c r="CG15" s="3349">
        <f t="shared" si="38"/>
        <v>0</v>
      </c>
      <c r="CH15" s="4428" t="e">
        <f t="shared" si="54"/>
        <v>#DIV/0!</v>
      </c>
      <c r="CI15" s="1055"/>
      <c r="CJ15" s="3341">
        <f t="shared" si="39"/>
        <v>0</v>
      </c>
      <c r="CK15" s="3341">
        <f t="shared" si="39"/>
        <v>0</v>
      </c>
      <c r="CL15" s="3349">
        <f t="shared" si="55"/>
        <v>0</v>
      </c>
      <c r="CM15" s="4428">
        <f t="shared" si="40"/>
        <v>0</v>
      </c>
      <c r="CN15" s="1434"/>
      <c r="CP15" s="4615"/>
      <c r="CQ15" s="2012">
        <f t="shared" si="41"/>
        <v>0</v>
      </c>
      <c r="CR15" s="4614">
        <f t="shared" si="56"/>
        <v>0</v>
      </c>
      <c r="CT15" s="2624"/>
    </row>
    <row r="16" spans="1:98" s="1396" customFormat="1" ht="13.8" outlineLevel="2">
      <c r="A16" s="1571"/>
      <c r="B16" s="4430" t="s">
        <v>21</v>
      </c>
      <c r="C16" s="3341"/>
      <c r="D16" s="3341"/>
      <c r="E16" s="3349">
        <f t="shared" si="19"/>
        <v>0</v>
      </c>
      <c r="F16" s="4428" t="e">
        <f t="shared" si="16"/>
        <v>#DIV/0!</v>
      </c>
      <c r="G16" s="1055"/>
      <c r="H16" s="3341"/>
      <c r="I16" s="3341"/>
      <c r="J16" s="3349">
        <f t="shared" si="20"/>
        <v>0</v>
      </c>
      <c r="K16" s="4428" t="e">
        <f t="shared" si="42"/>
        <v>#DIV/0!</v>
      </c>
      <c r="L16" s="1055"/>
      <c r="M16" s="3341"/>
      <c r="N16" s="3341"/>
      <c r="O16" s="3349">
        <f t="shared" si="21"/>
        <v>0</v>
      </c>
      <c r="P16" s="4428" t="e">
        <f t="shared" si="22"/>
        <v>#DIV/0!</v>
      </c>
      <c r="Q16" s="1055"/>
      <c r="R16" s="3342">
        <f t="shared" si="23"/>
        <v>0</v>
      </c>
      <c r="S16" s="3342">
        <f t="shared" si="23"/>
        <v>0</v>
      </c>
      <c r="T16" s="2012">
        <f t="shared" si="24"/>
        <v>0</v>
      </c>
      <c r="U16" s="1055"/>
      <c r="V16" s="1055"/>
      <c r="W16" s="3342">
        <f t="shared" si="25"/>
        <v>0</v>
      </c>
      <c r="X16" s="3342">
        <f t="shared" si="25"/>
        <v>0</v>
      </c>
      <c r="Y16" s="2012">
        <f t="shared" si="26"/>
        <v>0</v>
      </c>
      <c r="Z16" s="1055"/>
      <c r="AA16" s="1055"/>
      <c r="AB16" s="3341"/>
      <c r="AC16" s="3341"/>
      <c r="AD16" s="3349">
        <f t="shared" si="27"/>
        <v>0</v>
      </c>
      <c r="AE16" s="4428" t="e">
        <f t="shared" si="43"/>
        <v>#DIV/0!</v>
      </c>
      <c r="AF16" s="1055"/>
      <c r="AG16" s="3341"/>
      <c r="AH16" s="3341"/>
      <c r="AI16" s="3349">
        <f t="shared" si="28"/>
        <v>0</v>
      </c>
      <c r="AJ16" s="4428" t="e">
        <f t="shared" si="44"/>
        <v>#DIV/0!</v>
      </c>
      <c r="AK16" s="1055"/>
      <c r="AL16" s="3341"/>
      <c r="AM16" s="3341"/>
      <c r="AN16" s="3349">
        <f t="shared" si="29"/>
        <v>0</v>
      </c>
      <c r="AO16" s="4428">
        <f t="shared" si="45"/>
        <v>0</v>
      </c>
      <c r="AP16" s="1055"/>
      <c r="AQ16" s="3341"/>
      <c r="AR16" s="3341"/>
      <c r="AS16" s="3349">
        <f t="shared" si="30"/>
        <v>0</v>
      </c>
      <c r="AT16" s="4428">
        <f t="shared" si="46"/>
        <v>0</v>
      </c>
      <c r="AU16" s="3720"/>
      <c r="AV16" s="3341"/>
      <c r="AW16" s="3341"/>
      <c r="AX16" s="3349">
        <f t="shared" si="31"/>
        <v>0</v>
      </c>
      <c r="AY16" s="4428">
        <f t="shared" si="47"/>
        <v>0</v>
      </c>
      <c r="AZ16" s="1055"/>
      <c r="BA16" s="3341"/>
      <c r="BB16" s="3341"/>
      <c r="BC16" s="3349">
        <f t="shared" si="32"/>
        <v>0</v>
      </c>
      <c r="BD16" s="4428">
        <f t="shared" si="48"/>
        <v>0</v>
      </c>
      <c r="BE16" s="1055"/>
      <c r="BF16" s="3341"/>
      <c r="BG16" s="3341"/>
      <c r="BH16" s="3349">
        <f t="shared" si="33"/>
        <v>0</v>
      </c>
      <c r="BI16" s="4428" t="e">
        <f t="shared" si="49"/>
        <v>#DIV/0!</v>
      </c>
      <c r="BJ16" s="1055"/>
      <c r="BK16" s="3341"/>
      <c r="BL16" s="3341"/>
      <c r="BM16" s="3349">
        <f t="shared" si="34"/>
        <v>0</v>
      </c>
      <c r="BN16" s="4428" t="e">
        <f t="shared" si="50"/>
        <v>#DIV/0!</v>
      </c>
      <c r="BO16" s="1055"/>
      <c r="BP16" s="3341"/>
      <c r="BQ16" s="3341"/>
      <c r="BR16" s="3349">
        <f t="shared" si="35"/>
        <v>0</v>
      </c>
      <c r="BS16" s="4428" t="e">
        <f t="shared" si="51"/>
        <v>#DIV/0!</v>
      </c>
      <c r="BT16" s="1055"/>
      <c r="BU16" s="3341"/>
      <c r="BV16" s="3341"/>
      <c r="BW16" s="3349">
        <f t="shared" si="36"/>
        <v>0</v>
      </c>
      <c r="BX16" s="4428" t="e">
        <f t="shared" si="52"/>
        <v>#DIV/0!</v>
      </c>
      <c r="BY16" s="1055"/>
      <c r="BZ16" s="3341"/>
      <c r="CA16" s="3341"/>
      <c r="CB16" s="3349">
        <f t="shared" si="37"/>
        <v>0</v>
      </c>
      <c r="CC16" s="4428" t="e">
        <f t="shared" si="53"/>
        <v>#DIV/0!</v>
      </c>
      <c r="CD16" s="1055"/>
      <c r="CE16" s="3341"/>
      <c r="CF16" s="3341"/>
      <c r="CG16" s="3349">
        <f t="shared" si="38"/>
        <v>0</v>
      </c>
      <c r="CH16" s="4428" t="e">
        <f t="shared" si="54"/>
        <v>#DIV/0!</v>
      </c>
      <c r="CI16" s="1055"/>
      <c r="CJ16" s="3341">
        <f t="shared" si="39"/>
        <v>0</v>
      </c>
      <c r="CK16" s="3341">
        <f t="shared" si="39"/>
        <v>0</v>
      </c>
      <c r="CL16" s="3349">
        <f>CJ16+CK16*1</f>
        <v>0</v>
      </c>
      <c r="CM16" s="4428">
        <f t="shared" si="40"/>
        <v>0</v>
      </c>
      <c r="CN16" s="1434"/>
      <c r="CP16" s="4615"/>
      <c r="CQ16" s="2012">
        <f t="shared" si="41"/>
        <v>0</v>
      </c>
      <c r="CR16" s="4614">
        <f t="shared" si="56"/>
        <v>0</v>
      </c>
      <c r="CT16" s="2624"/>
    </row>
    <row r="17" spans="1:100" s="1396" customFormat="1" ht="13.8" outlineLevel="2">
      <c r="A17" s="1571"/>
      <c r="B17" s="4430" t="s">
        <v>22</v>
      </c>
      <c r="C17" s="3341"/>
      <c r="D17" s="3341"/>
      <c r="E17" s="3349">
        <f t="shared" si="19"/>
        <v>0</v>
      </c>
      <c r="F17" s="4428" t="e">
        <f t="shared" si="16"/>
        <v>#DIV/0!</v>
      </c>
      <c r="G17" s="2047"/>
      <c r="H17" s="3341"/>
      <c r="I17" s="3341"/>
      <c r="J17" s="3349">
        <f t="shared" si="20"/>
        <v>0</v>
      </c>
      <c r="K17" s="4428" t="e">
        <f t="shared" si="42"/>
        <v>#DIV/0!</v>
      </c>
      <c r="L17" s="2047"/>
      <c r="M17" s="3341"/>
      <c r="N17" s="3341"/>
      <c r="O17" s="3349">
        <f t="shared" si="21"/>
        <v>0</v>
      </c>
      <c r="P17" s="4428" t="e">
        <f t="shared" si="22"/>
        <v>#DIV/0!</v>
      </c>
      <c r="Q17" s="2047"/>
      <c r="R17" s="3342">
        <f t="shared" si="23"/>
        <v>0</v>
      </c>
      <c r="S17" s="3342">
        <f t="shared" si="23"/>
        <v>0</v>
      </c>
      <c r="T17" s="2012">
        <f t="shared" si="24"/>
        <v>0</v>
      </c>
      <c r="U17" s="2047"/>
      <c r="V17" s="2047"/>
      <c r="W17" s="3342">
        <f t="shared" si="25"/>
        <v>0</v>
      </c>
      <c r="X17" s="3342">
        <f t="shared" si="25"/>
        <v>0</v>
      </c>
      <c r="Y17" s="2012">
        <f t="shared" si="26"/>
        <v>0</v>
      </c>
      <c r="Z17" s="2047"/>
      <c r="AA17" s="2047"/>
      <c r="AB17" s="3341"/>
      <c r="AC17" s="3341"/>
      <c r="AD17" s="3349">
        <f t="shared" si="27"/>
        <v>0</v>
      </c>
      <c r="AE17" s="4428" t="e">
        <f t="shared" si="43"/>
        <v>#DIV/0!</v>
      </c>
      <c r="AF17" s="2047"/>
      <c r="AG17" s="3341"/>
      <c r="AH17" s="3341"/>
      <c r="AI17" s="3349">
        <f t="shared" si="28"/>
        <v>0</v>
      </c>
      <c r="AJ17" s="4428" t="e">
        <f t="shared" si="44"/>
        <v>#DIV/0!</v>
      </c>
      <c r="AK17" s="2047"/>
      <c r="AL17" s="3341"/>
      <c r="AM17" s="3341"/>
      <c r="AN17" s="3349">
        <f t="shared" si="29"/>
        <v>0</v>
      </c>
      <c r="AO17" s="4428">
        <f t="shared" si="45"/>
        <v>0</v>
      </c>
      <c r="AP17" s="2047"/>
      <c r="AQ17" s="3341"/>
      <c r="AR17" s="3341"/>
      <c r="AS17" s="3349">
        <f t="shared" si="30"/>
        <v>0</v>
      </c>
      <c r="AT17" s="4428">
        <f t="shared" si="46"/>
        <v>0</v>
      </c>
      <c r="AU17" s="3409"/>
      <c r="AV17" s="3341"/>
      <c r="AW17" s="3341"/>
      <c r="AX17" s="3349">
        <f t="shared" si="31"/>
        <v>0</v>
      </c>
      <c r="AY17" s="4428">
        <f t="shared" si="47"/>
        <v>0</v>
      </c>
      <c r="AZ17" s="2047"/>
      <c r="BA17" s="3341"/>
      <c r="BB17" s="3341"/>
      <c r="BC17" s="3349">
        <f t="shared" si="32"/>
        <v>0</v>
      </c>
      <c r="BD17" s="4428">
        <f t="shared" si="48"/>
        <v>0</v>
      </c>
      <c r="BE17" s="2047"/>
      <c r="BF17" s="3341"/>
      <c r="BG17" s="3341"/>
      <c r="BH17" s="3349">
        <f t="shared" si="33"/>
        <v>0</v>
      </c>
      <c r="BI17" s="4428" t="e">
        <f t="shared" si="49"/>
        <v>#DIV/0!</v>
      </c>
      <c r="BJ17" s="2047"/>
      <c r="BK17" s="3341"/>
      <c r="BL17" s="3341"/>
      <c r="BM17" s="3349">
        <f t="shared" si="34"/>
        <v>0</v>
      </c>
      <c r="BN17" s="4428" t="e">
        <f t="shared" si="50"/>
        <v>#DIV/0!</v>
      </c>
      <c r="BO17" s="2047"/>
      <c r="BP17" s="3341"/>
      <c r="BQ17" s="3341"/>
      <c r="BR17" s="3349">
        <f t="shared" si="35"/>
        <v>0</v>
      </c>
      <c r="BS17" s="4428" t="e">
        <f t="shared" si="51"/>
        <v>#DIV/0!</v>
      </c>
      <c r="BT17" s="2047"/>
      <c r="BU17" s="3341"/>
      <c r="BV17" s="3341"/>
      <c r="BW17" s="3349">
        <f t="shared" si="36"/>
        <v>0</v>
      </c>
      <c r="BX17" s="4428" t="e">
        <f t="shared" si="52"/>
        <v>#DIV/0!</v>
      </c>
      <c r="BY17" s="2047"/>
      <c r="BZ17" s="3341"/>
      <c r="CA17" s="3341"/>
      <c r="CB17" s="3349">
        <f t="shared" si="37"/>
        <v>0</v>
      </c>
      <c r="CC17" s="4428" t="e">
        <f t="shared" si="53"/>
        <v>#DIV/0!</v>
      </c>
      <c r="CD17" s="2047"/>
      <c r="CE17" s="3341"/>
      <c r="CF17" s="3341"/>
      <c r="CG17" s="3349">
        <f t="shared" si="38"/>
        <v>0</v>
      </c>
      <c r="CH17" s="4428" t="e">
        <f t="shared" si="54"/>
        <v>#DIV/0!</v>
      </c>
      <c r="CI17" s="2047"/>
      <c r="CJ17" s="3341">
        <f t="shared" si="39"/>
        <v>0</v>
      </c>
      <c r="CK17" s="3341">
        <f t="shared" si="39"/>
        <v>0</v>
      </c>
      <c r="CL17" s="3349">
        <f t="shared" si="55"/>
        <v>0</v>
      </c>
      <c r="CM17" s="4428">
        <f t="shared" si="40"/>
        <v>0</v>
      </c>
      <c r="CN17" s="1434"/>
      <c r="CP17" s="4615"/>
      <c r="CQ17" s="2012">
        <f t="shared" si="41"/>
        <v>0</v>
      </c>
      <c r="CR17" s="4614">
        <f t="shared" si="56"/>
        <v>0</v>
      </c>
      <c r="CT17" s="3443"/>
    </row>
    <row r="18" spans="1:100" s="1396" customFormat="1" ht="13.8" outlineLevel="2">
      <c r="A18" s="1571"/>
      <c r="B18" s="4430" t="s">
        <v>0</v>
      </c>
      <c r="C18" s="3341"/>
      <c r="D18" s="3341"/>
      <c r="E18" s="3349">
        <f t="shared" si="19"/>
        <v>0</v>
      </c>
      <c r="F18" s="4428" t="e">
        <f t="shared" si="16"/>
        <v>#DIV/0!</v>
      </c>
      <c r="G18" s="1055"/>
      <c r="H18" s="3341"/>
      <c r="I18" s="3341"/>
      <c r="J18" s="3349">
        <f t="shared" si="20"/>
        <v>0</v>
      </c>
      <c r="K18" s="4428" t="e">
        <f t="shared" si="42"/>
        <v>#DIV/0!</v>
      </c>
      <c r="L18" s="1055"/>
      <c r="M18" s="3341"/>
      <c r="N18" s="3341"/>
      <c r="O18" s="3349">
        <f t="shared" si="21"/>
        <v>0</v>
      </c>
      <c r="P18" s="4428" t="e">
        <f t="shared" si="22"/>
        <v>#DIV/0!</v>
      </c>
      <c r="Q18" s="1055"/>
      <c r="R18" s="3342">
        <f t="shared" si="23"/>
        <v>0</v>
      </c>
      <c r="S18" s="3342">
        <f t="shared" si="23"/>
        <v>0</v>
      </c>
      <c r="T18" s="2012">
        <f t="shared" si="24"/>
        <v>0</v>
      </c>
      <c r="U18" s="1055"/>
      <c r="V18" s="1055"/>
      <c r="W18" s="3342">
        <f t="shared" si="25"/>
        <v>0</v>
      </c>
      <c r="X18" s="3342">
        <f t="shared" si="25"/>
        <v>49000</v>
      </c>
      <c r="Y18" s="2012">
        <f t="shared" si="26"/>
        <v>49000</v>
      </c>
      <c r="Z18" s="1055"/>
      <c r="AA18" s="1055"/>
      <c r="AB18" s="3341"/>
      <c r="AC18" s="3341"/>
      <c r="AD18" s="3349">
        <f t="shared" si="27"/>
        <v>0</v>
      </c>
      <c r="AE18" s="4428" t="e">
        <f t="shared" si="43"/>
        <v>#DIV/0!</v>
      </c>
      <c r="AF18" s="1055"/>
      <c r="AG18" s="3341"/>
      <c r="AH18" s="3341"/>
      <c r="AI18" s="3349">
        <f t="shared" si="28"/>
        <v>0</v>
      </c>
      <c r="AJ18" s="4428" t="e">
        <f t="shared" si="44"/>
        <v>#DIV/0!</v>
      </c>
      <c r="AK18" s="1055"/>
      <c r="AL18" s="3341"/>
      <c r="AM18" s="3341"/>
      <c r="AN18" s="3349">
        <f t="shared" si="29"/>
        <v>0</v>
      </c>
      <c r="AO18" s="4428">
        <f t="shared" si="45"/>
        <v>0</v>
      </c>
      <c r="AP18" s="2047"/>
      <c r="AQ18" s="3341"/>
      <c r="AR18" s="3341">
        <v>30000</v>
      </c>
      <c r="AS18" s="3349">
        <f t="shared" si="30"/>
        <v>30000</v>
      </c>
      <c r="AT18" s="4428">
        <f t="shared" si="46"/>
        <v>5.2183118792010728E-2</v>
      </c>
      <c r="AU18" s="3409" t="s">
        <v>2060</v>
      </c>
      <c r="AV18" s="3341"/>
      <c r="AW18" s="3341">
        <v>19000</v>
      </c>
      <c r="AX18" s="3349">
        <f t="shared" si="31"/>
        <v>19000</v>
      </c>
      <c r="AY18" s="4428">
        <f t="shared" si="47"/>
        <v>3.32339274214241E-2</v>
      </c>
      <c r="AZ18" s="3409" t="s">
        <v>2083</v>
      </c>
      <c r="BA18" s="3341"/>
      <c r="BB18" s="3341"/>
      <c r="BC18" s="3349">
        <f t="shared" si="32"/>
        <v>0</v>
      </c>
      <c r="BD18" s="4428">
        <f t="shared" si="48"/>
        <v>0</v>
      </c>
      <c r="BE18" s="1055"/>
      <c r="BF18" s="3341"/>
      <c r="BG18" s="3341"/>
      <c r="BH18" s="3349">
        <f t="shared" si="33"/>
        <v>0</v>
      </c>
      <c r="BI18" s="4428" t="e">
        <f t="shared" si="49"/>
        <v>#DIV/0!</v>
      </c>
      <c r="BJ18" s="1055"/>
      <c r="BK18" s="3341"/>
      <c r="BL18" s="3341"/>
      <c r="BM18" s="3349">
        <f t="shared" si="34"/>
        <v>0</v>
      </c>
      <c r="BN18" s="4428" t="e">
        <f t="shared" si="50"/>
        <v>#DIV/0!</v>
      </c>
      <c r="BO18" s="1055"/>
      <c r="BP18" s="3341"/>
      <c r="BQ18" s="3341"/>
      <c r="BR18" s="3349">
        <f t="shared" si="35"/>
        <v>0</v>
      </c>
      <c r="BS18" s="4428" t="e">
        <f t="shared" si="51"/>
        <v>#DIV/0!</v>
      </c>
      <c r="BT18" s="1055"/>
      <c r="BU18" s="3341"/>
      <c r="BV18" s="3341"/>
      <c r="BW18" s="3349">
        <f t="shared" si="36"/>
        <v>0</v>
      </c>
      <c r="BX18" s="4428" t="e">
        <f t="shared" si="52"/>
        <v>#DIV/0!</v>
      </c>
      <c r="BY18" s="1055"/>
      <c r="BZ18" s="3341"/>
      <c r="CA18" s="3341"/>
      <c r="CB18" s="3349">
        <f t="shared" si="37"/>
        <v>0</v>
      </c>
      <c r="CC18" s="4428" t="e">
        <f t="shared" si="53"/>
        <v>#DIV/0!</v>
      </c>
      <c r="CD18" s="1055"/>
      <c r="CE18" s="3341"/>
      <c r="CF18" s="3341"/>
      <c r="CG18" s="3349">
        <f t="shared" si="38"/>
        <v>0</v>
      </c>
      <c r="CH18" s="4428" t="e">
        <f t="shared" si="54"/>
        <v>#DIV/0!</v>
      </c>
      <c r="CI18" s="1055"/>
      <c r="CJ18" s="3341">
        <f t="shared" si="39"/>
        <v>0</v>
      </c>
      <c r="CK18" s="3341">
        <f t="shared" si="39"/>
        <v>49000</v>
      </c>
      <c r="CL18" s="3349">
        <f t="shared" si="55"/>
        <v>49000</v>
      </c>
      <c r="CM18" s="4428">
        <f t="shared" si="40"/>
        <v>3.1548324578680266E-2</v>
      </c>
      <c r="CN18" s="1434"/>
      <c r="CP18" s="4615">
        <v>61675.65</v>
      </c>
      <c r="CQ18" s="2012">
        <f t="shared" si="41"/>
        <v>49000</v>
      </c>
      <c r="CR18" s="4614">
        <f t="shared" si="56"/>
        <v>12675.650000000001</v>
      </c>
      <c r="CS18" s="3307"/>
      <c r="CT18" s="4616">
        <f>CR18/CP18</f>
        <v>0.20552114164990562</v>
      </c>
    </row>
    <row r="19" spans="1:100" s="1396" customFormat="1" ht="13.8" outlineLevel="2">
      <c r="A19" s="1571"/>
      <c r="B19" s="4430" t="s">
        <v>53</v>
      </c>
      <c r="C19" s="3341"/>
      <c r="D19" s="3341"/>
      <c r="E19" s="3349">
        <f t="shared" si="19"/>
        <v>0</v>
      </c>
      <c r="F19" s="4428" t="e">
        <f t="shared" si="16"/>
        <v>#DIV/0!</v>
      </c>
      <c r="G19" s="1055"/>
      <c r="H19" s="3341"/>
      <c r="I19" s="3341"/>
      <c r="J19" s="3349">
        <f t="shared" si="20"/>
        <v>0</v>
      </c>
      <c r="K19" s="4428" t="e">
        <f t="shared" si="42"/>
        <v>#DIV/0!</v>
      </c>
      <c r="L19" s="1055"/>
      <c r="M19" s="3341"/>
      <c r="N19" s="3341"/>
      <c r="O19" s="3349">
        <f t="shared" si="21"/>
        <v>0</v>
      </c>
      <c r="P19" s="4428" t="e">
        <f t="shared" si="22"/>
        <v>#DIV/0!</v>
      </c>
      <c r="Q19" s="1055"/>
      <c r="R19" s="3342">
        <f t="shared" si="23"/>
        <v>0</v>
      </c>
      <c r="S19" s="3342">
        <f t="shared" si="23"/>
        <v>0</v>
      </c>
      <c r="T19" s="2012">
        <f t="shared" si="24"/>
        <v>0</v>
      </c>
      <c r="U19" s="1055"/>
      <c r="V19" s="1055"/>
      <c r="W19" s="3342">
        <f t="shared" si="25"/>
        <v>0</v>
      </c>
      <c r="X19" s="3342">
        <f t="shared" si="25"/>
        <v>0</v>
      </c>
      <c r="Y19" s="2012">
        <f t="shared" si="26"/>
        <v>0</v>
      </c>
      <c r="Z19" s="1055"/>
      <c r="AA19" s="1055"/>
      <c r="AB19" s="3341"/>
      <c r="AC19" s="3341"/>
      <c r="AD19" s="3349">
        <f t="shared" si="27"/>
        <v>0</v>
      </c>
      <c r="AE19" s="4428" t="e">
        <f t="shared" si="43"/>
        <v>#DIV/0!</v>
      </c>
      <c r="AF19" s="1055"/>
      <c r="AG19" s="3341"/>
      <c r="AH19" s="3341"/>
      <c r="AI19" s="3349">
        <f t="shared" si="28"/>
        <v>0</v>
      </c>
      <c r="AJ19" s="4428" t="e">
        <f t="shared" si="44"/>
        <v>#DIV/0!</v>
      </c>
      <c r="AK19" s="1055"/>
      <c r="AL19" s="3341"/>
      <c r="AM19" s="3341"/>
      <c r="AN19" s="3349">
        <f t="shared" si="29"/>
        <v>0</v>
      </c>
      <c r="AO19" s="4428">
        <f t="shared" si="45"/>
        <v>0</v>
      </c>
      <c r="AP19" s="1055"/>
      <c r="AQ19" s="3341"/>
      <c r="AR19" s="3341"/>
      <c r="AS19" s="3349">
        <f t="shared" si="30"/>
        <v>0</v>
      </c>
      <c r="AT19" s="4428">
        <f t="shared" si="46"/>
        <v>0</v>
      </c>
      <c r="AU19" s="3720"/>
      <c r="AV19" s="3341"/>
      <c r="AW19" s="3341"/>
      <c r="AX19" s="3349">
        <f t="shared" si="31"/>
        <v>0</v>
      </c>
      <c r="AY19" s="4428">
        <f t="shared" si="47"/>
        <v>0</v>
      </c>
      <c r="AZ19" s="1055"/>
      <c r="BA19" s="3341"/>
      <c r="BB19" s="3341"/>
      <c r="BC19" s="3349">
        <f t="shared" si="32"/>
        <v>0</v>
      </c>
      <c r="BD19" s="4428">
        <f t="shared" si="48"/>
        <v>0</v>
      </c>
      <c r="BE19" s="1055"/>
      <c r="BF19" s="3341"/>
      <c r="BG19" s="3341"/>
      <c r="BH19" s="3349">
        <f t="shared" si="33"/>
        <v>0</v>
      </c>
      <c r="BI19" s="4428" t="e">
        <f t="shared" si="49"/>
        <v>#DIV/0!</v>
      </c>
      <c r="BJ19" s="1055"/>
      <c r="BK19" s="3341"/>
      <c r="BL19" s="3341"/>
      <c r="BM19" s="3349">
        <f t="shared" si="34"/>
        <v>0</v>
      </c>
      <c r="BN19" s="4428" t="e">
        <f t="shared" si="50"/>
        <v>#DIV/0!</v>
      </c>
      <c r="BO19" s="1055"/>
      <c r="BP19" s="3341"/>
      <c r="BQ19" s="3341"/>
      <c r="BR19" s="3349">
        <f t="shared" si="35"/>
        <v>0</v>
      </c>
      <c r="BS19" s="4428" t="e">
        <f t="shared" si="51"/>
        <v>#DIV/0!</v>
      </c>
      <c r="BT19" s="1055"/>
      <c r="BU19" s="3341"/>
      <c r="BV19" s="3341"/>
      <c r="BW19" s="3349">
        <f t="shared" si="36"/>
        <v>0</v>
      </c>
      <c r="BX19" s="4428" t="e">
        <f t="shared" si="52"/>
        <v>#DIV/0!</v>
      </c>
      <c r="BY19" s="1055"/>
      <c r="BZ19" s="3341"/>
      <c r="CA19" s="3341"/>
      <c r="CB19" s="3349">
        <f t="shared" si="37"/>
        <v>0</v>
      </c>
      <c r="CC19" s="4428" t="e">
        <f t="shared" si="53"/>
        <v>#DIV/0!</v>
      </c>
      <c r="CD19" s="1055"/>
      <c r="CE19" s="3341"/>
      <c r="CF19" s="3341"/>
      <c r="CG19" s="3349">
        <f t="shared" si="38"/>
        <v>0</v>
      </c>
      <c r="CH19" s="4428" t="e">
        <f t="shared" si="54"/>
        <v>#DIV/0!</v>
      </c>
      <c r="CI19" s="1055"/>
      <c r="CJ19" s="3341">
        <f t="shared" si="39"/>
        <v>0</v>
      </c>
      <c r="CK19" s="3341">
        <f t="shared" si="39"/>
        <v>0</v>
      </c>
      <c r="CL19" s="3349">
        <f t="shared" si="55"/>
        <v>0</v>
      </c>
      <c r="CM19" s="4428">
        <f t="shared" si="40"/>
        <v>0</v>
      </c>
      <c r="CN19" s="1434"/>
      <c r="CP19" s="4615"/>
      <c r="CQ19" s="2012">
        <f t="shared" si="41"/>
        <v>0</v>
      </c>
      <c r="CR19" s="4614">
        <f t="shared" si="56"/>
        <v>0</v>
      </c>
      <c r="CT19" s="2624"/>
    </row>
    <row r="20" spans="1:100" s="1396" customFormat="1" ht="13.8" outlineLevel="2">
      <c r="A20" s="1571"/>
      <c r="B20" s="4430" t="s">
        <v>57</v>
      </c>
      <c r="C20" s="3341"/>
      <c r="D20" s="3341"/>
      <c r="E20" s="3349">
        <f t="shared" si="19"/>
        <v>0</v>
      </c>
      <c r="F20" s="4428" t="e">
        <f t="shared" si="16"/>
        <v>#DIV/0!</v>
      </c>
      <c r="G20" s="1055"/>
      <c r="H20" s="3341"/>
      <c r="I20" s="3341"/>
      <c r="J20" s="3349">
        <f t="shared" si="20"/>
        <v>0</v>
      </c>
      <c r="K20" s="4428" t="e">
        <f t="shared" si="42"/>
        <v>#DIV/0!</v>
      </c>
      <c r="L20" s="1055"/>
      <c r="M20" s="3341"/>
      <c r="N20" s="3341"/>
      <c r="O20" s="3349">
        <f t="shared" si="21"/>
        <v>0</v>
      </c>
      <c r="P20" s="4428" t="e">
        <f t="shared" si="22"/>
        <v>#DIV/0!</v>
      </c>
      <c r="Q20" s="1055"/>
      <c r="R20" s="3342">
        <f t="shared" si="23"/>
        <v>0</v>
      </c>
      <c r="S20" s="3342">
        <f t="shared" si="23"/>
        <v>0</v>
      </c>
      <c r="T20" s="2012">
        <f t="shared" si="24"/>
        <v>0</v>
      </c>
      <c r="U20" s="1055"/>
      <c r="V20" s="1055"/>
      <c r="W20" s="3342">
        <f t="shared" si="25"/>
        <v>0</v>
      </c>
      <c r="X20" s="3342">
        <f t="shared" si="25"/>
        <v>0</v>
      </c>
      <c r="Y20" s="2012">
        <f t="shared" si="26"/>
        <v>0</v>
      </c>
      <c r="Z20" s="1055"/>
      <c r="AA20" s="1055"/>
      <c r="AB20" s="3341"/>
      <c r="AC20" s="3341"/>
      <c r="AD20" s="3349">
        <f t="shared" si="27"/>
        <v>0</v>
      </c>
      <c r="AE20" s="4428" t="e">
        <f t="shared" si="43"/>
        <v>#DIV/0!</v>
      </c>
      <c r="AF20" s="1055"/>
      <c r="AG20" s="3341"/>
      <c r="AH20" s="3341"/>
      <c r="AI20" s="3349">
        <f t="shared" si="28"/>
        <v>0</v>
      </c>
      <c r="AJ20" s="4428" t="e">
        <f t="shared" si="44"/>
        <v>#DIV/0!</v>
      </c>
      <c r="AK20" s="1055"/>
      <c r="AL20" s="3341"/>
      <c r="AM20" s="3341"/>
      <c r="AN20" s="3349">
        <f t="shared" si="29"/>
        <v>0</v>
      </c>
      <c r="AO20" s="4428">
        <f t="shared" si="45"/>
        <v>0</v>
      </c>
      <c r="AP20" s="1055"/>
      <c r="AQ20" s="3341"/>
      <c r="AR20" s="3341"/>
      <c r="AS20" s="3349">
        <f t="shared" si="30"/>
        <v>0</v>
      </c>
      <c r="AT20" s="4428">
        <f t="shared" si="46"/>
        <v>0</v>
      </c>
      <c r="AU20" s="3720"/>
      <c r="AV20" s="3341"/>
      <c r="AW20" s="3341"/>
      <c r="AX20" s="3349">
        <f t="shared" si="31"/>
        <v>0</v>
      </c>
      <c r="AY20" s="4428">
        <f t="shared" si="47"/>
        <v>0</v>
      </c>
      <c r="AZ20" s="1055"/>
      <c r="BA20" s="3341"/>
      <c r="BB20" s="3341"/>
      <c r="BC20" s="3349">
        <f t="shared" si="32"/>
        <v>0</v>
      </c>
      <c r="BD20" s="4428">
        <f t="shared" si="48"/>
        <v>0</v>
      </c>
      <c r="BE20" s="1055"/>
      <c r="BF20" s="3341"/>
      <c r="BG20" s="3341"/>
      <c r="BH20" s="3349">
        <f t="shared" si="33"/>
        <v>0</v>
      </c>
      <c r="BI20" s="4428" t="e">
        <f t="shared" si="49"/>
        <v>#DIV/0!</v>
      </c>
      <c r="BJ20" s="1055"/>
      <c r="BK20" s="3341"/>
      <c r="BL20" s="3341"/>
      <c r="BM20" s="3349">
        <f t="shared" si="34"/>
        <v>0</v>
      </c>
      <c r="BN20" s="4428" t="e">
        <f t="shared" si="50"/>
        <v>#DIV/0!</v>
      </c>
      <c r="BO20" s="1055"/>
      <c r="BP20" s="3341"/>
      <c r="BQ20" s="3341"/>
      <c r="BR20" s="3349">
        <f t="shared" si="35"/>
        <v>0</v>
      </c>
      <c r="BS20" s="4428" t="e">
        <f t="shared" si="51"/>
        <v>#DIV/0!</v>
      </c>
      <c r="BT20" s="1055"/>
      <c r="BU20" s="3341"/>
      <c r="BV20" s="3341"/>
      <c r="BW20" s="3349">
        <f t="shared" si="36"/>
        <v>0</v>
      </c>
      <c r="BX20" s="4428" t="e">
        <f t="shared" si="52"/>
        <v>#DIV/0!</v>
      </c>
      <c r="BY20" s="1055"/>
      <c r="BZ20" s="3341"/>
      <c r="CA20" s="3341"/>
      <c r="CB20" s="3349">
        <f t="shared" si="37"/>
        <v>0</v>
      </c>
      <c r="CC20" s="4428" t="e">
        <f t="shared" si="53"/>
        <v>#DIV/0!</v>
      </c>
      <c r="CD20" s="1055"/>
      <c r="CE20" s="3341"/>
      <c r="CF20" s="3341"/>
      <c r="CG20" s="3349">
        <f t="shared" si="38"/>
        <v>0</v>
      </c>
      <c r="CH20" s="4428" t="e">
        <f t="shared" si="54"/>
        <v>#DIV/0!</v>
      </c>
      <c r="CI20" s="1055"/>
      <c r="CJ20" s="3341">
        <f t="shared" si="39"/>
        <v>0</v>
      </c>
      <c r="CK20" s="3341">
        <f t="shared" si="39"/>
        <v>0</v>
      </c>
      <c r="CL20" s="3349">
        <f t="shared" si="55"/>
        <v>0</v>
      </c>
      <c r="CM20" s="4428">
        <f t="shared" si="40"/>
        <v>0</v>
      </c>
      <c r="CN20" s="1434"/>
      <c r="CP20" s="4615"/>
      <c r="CQ20" s="2012">
        <f t="shared" si="41"/>
        <v>0</v>
      </c>
      <c r="CR20" s="4614">
        <f t="shared" si="56"/>
        <v>0</v>
      </c>
      <c r="CT20" s="2624"/>
    </row>
    <row r="21" spans="1:100" s="1396" customFormat="1" ht="13.8" outlineLevel="2">
      <c r="A21" s="1571"/>
      <c r="B21" s="4430" t="s">
        <v>58</v>
      </c>
      <c r="C21" s="3341"/>
      <c r="D21" s="3341"/>
      <c r="E21" s="3349">
        <f t="shared" si="19"/>
        <v>0</v>
      </c>
      <c r="F21" s="4428" t="e">
        <f t="shared" si="16"/>
        <v>#DIV/0!</v>
      </c>
      <c r="G21" s="1615"/>
      <c r="H21" s="3341"/>
      <c r="I21" s="3341"/>
      <c r="J21" s="3349">
        <f t="shared" si="20"/>
        <v>0</v>
      </c>
      <c r="K21" s="4428" t="e">
        <f t="shared" si="42"/>
        <v>#DIV/0!</v>
      </c>
      <c r="L21" s="1615"/>
      <c r="M21" s="3341"/>
      <c r="N21" s="3341"/>
      <c r="O21" s="3349">
        <f t="shared" si="21"/>
        <v>0</v>
      </c>
      <c r="P21" s="4428" t="e">
        <f t="shared" si="22"/>
        <v>#DIV/0!</v>
      </c>
      <c r="Q21" s="1615"/>
      <c r="R21" s="3342">
        <f t="shared" si="23"/>
        <v>0</v>
      </c>
      <c r="S21" s="3342">
        <f t="shared" si="23"/>
        <v>0</v>
      </c>
      <c r="T21" s="2012">
        <f t="shared" si="24"/>
        <v>0</v>
      </c>
      <c r="U21" s="1615"/>
      <c r="V21" s="1615"/>
      <c r="W21" s="3342">
        <f t="shared" si="25"/>
        <v>0</v>
      </c>
      <c r="X21" s="3342">
        <f t="shared" si="25"/>
        <v>0</v>
      </c>
      <c r="Y21" s="2012">
        <f t="shared" si="26"/>
        <v>0</v>
      </c>
      <c r="Z21" s="1615"/>
      <c r="AA21" s="1615"/>
      <c r="AB21" s="3341"/>
      <c r="AC21" s="3341"/>
      <c r="AD21" s="3349">
        <f t="shared" si="27"/>
        <v>0</v>
      </c>
      <c r="AE21" s="4428" t="e">
        <f t="shared" si="43"/>
        <v>#DIV/0!</v>
      </c>
      <c r="AF21" s="1615"/>
      <c r="AG21" s="3341"/>
      <c r="AH21" s="3341"/>
      <c r="AI21" s="3349">
        <f t="shared" si="28"/>
        <v>0</v>
      </c>
      <c r="AJ21" s="4428" t="e">
        <f t="shared" si="44"/>
        <v>#DIV/0!</v>
      </c>
      <c r="AK21" s="1615"/>
      <c r="AL21" s="3341"/>
      <c r="AM21" s="3341"/>
      <c r="AN21" s="3349">
        <f t="shared" si="29"/>
        <v>0</v>
      </c>
      <c r="AO21" s="4428">
        <f t="shared" si="45"/>
        <v>0</v>
      </c>
      <c r="AP21" s="1615"/>
      <c r="AQ21" s="3341"/>
      <c r="AR21" s="3341"/>
      <c r="AS21" s="3349">
        <f t="shared" si="30"/>
        <v>0</v>
      </c>
      <c r="AT21" s="4428">
        <f t="shared" si="46"/>
        <v>0</v>
      </c>
      <c r="AU21" s="3781"/>
      <c r="AV21" s="3341"/>
      <c r="AW21" s="3341"/>
      <c r="AX21" s="3349">
        <f t="shared" si="31"/>
        <v>0</v>
      </c>
      <c r="AY21" s="4428">
        <f t="shared" si="47"/>
        <v>0</v>
      </c>
      <c r="AZ21" s="1615"/>
      <c r="BA21" s="3341"/>
      <c r="BB21" s="3341"/>
      <c r="BC21" s="3349">
        <f t="shared" si="32"/>
        <v>0</v>
      </c>
      <c r="BD21" s="4428">
        <f t="shared" si="48"/>
        <v>0</v>
      </c>
      <c r="BE21" s="1615"/>
      <c r="BF21" s="3341"/>
      <c r="BG21" s="3341"/>
      <c r="BH21" s="3349">
        <f t="shared" si="33"/>
        <v>0</v>
      </c>
      <c r="BI21" s="4428" t="e">
        <f t="shared" si="49"/>
        <v>#DIV/0!</v>
      </c>
      <c r="BJ21" s="1615"/>
      <c r="BK21" s="3341"/>
      <c r="BL21" s="3341"/>
      <c r="BM21" s="3349">
        <f t="shared" si="34"/>
        <v>0</v>
      </c>
      <c r="BN21" s="4428" t="e">
        <f t="shared" si="50"/>
        <v>#DIV/0!</v>
      </c>
      <c r="BO21" s="1615"/>
      <c r="BP21" s="3341"/>
      <c r="BQ21" s="3341"/>
      <c r="BR21" s="3349">
        <f t="shared" si="35"/>
        <v>0</v>
      </c>
      <c r="BS21" s="4428" t="e">
        <f t="shared" si="51"/>
        <v>#DIV/0!</v>
      </c>
      <c r="BT21" s="1615"/>
      <c r="BU21" s="3341"/>
      <c r="BV21" s="3341"/>
      <c r="BW21" s="3349">
        <f t="shared" si="36"/>
        <v>0</v>
      </c>
      <c r="BX21" s="4428" t="e">
        <f t="shared" si="52"/>
        <v>#DIV/0!</v>
      </c>
      <c r="BY21" s="1615"/>
      <c r="BZ21" s="3341"/>
      <c r="CA21" s="3341"/>
      <c r="CB21" s="3349">
        <f t="shared" si="37"/>
        <v>0</v>
      </c>
      <c r="CC21" s="4428" t="e">
        <f t="shared" si="53"/>
        <v>#DIV/0!</v>
      </c>
      <c r="CD21" s="1615"/>
      <c r="CE21" s="3341"/>
      <c r="CF21" s="3341"/>
      <c r="CG21" s="3349">
        <f t="shared" si="38"/>
        <v>0</v>
      </c>
      <c r="CH21" s="4428" t="e">
        <f t="shared" si="54"/>
        <v>#DIV/0!</v>
      </c>
      <c r="CI21" s="1615"/>
      <c r="CJ21" s="3341">
        <f t="shared" si="39"/>
        <v>0</v>
      </c>
      <c r="CK21" s="3341">
        <f t="shared" si="39"/>
        <v>0</v>
      </c>
      <c r="CL21" s="3349">
        <f t="shared" si="55"/>
        <v>0</v>
      </c>
      <c r="CM21" s="4428">
        <f t="shared" si="40"/>
        <v>0</v>
      </c>
      <c r="CN21" s="1434"/>
      <c r="CP21" s="4615"/>
      <c r="CQ21" s="2012">
        <f t="shared" si="41"/>
        <v>0</v>
      </c>
      <c r="CR21" s="4614">
        <f t="shared" si="56"/>
        <v>0</v>
      </c>
      <c r="CT21" s="2624"/>
    </row>
    <row r="22" spans="1:100" s="1396" customFormat="1" ht="13.8" outlineLevel="2">
      <c r="A22" s="1571"/>
      <c r="B22" s="4430" t="s">
        <v>621</v>
      </c>
      <c r="C22" s="3341"/>
      <c r="D22" s="3341"/>
      <c r="E22" s="3349">
        <f t="shared" si="19"/>
        <v>0</v>
      </c>
      <c r="F22" s="4428" t="e">
        <f t="shared" si="16"/>
        <v>#DIV/0!</v>
      </c>
      <c r="G22" s="3342"/>
      <c r="H22" s="3341"/>
      <c r="I22" s="3341"/>
      <c r="J22" s="3349">
        <f t="shared" si="20"/>
        <v>0</v>
      </c>
      <c r="K22" s="4428" t="e">
        <f t="shared" si="42"/>
        <v>#DIV/0!</v>
      </c>
      <c r="L22" s="3342"/>
      <c r="M22" s="3341"/>
      <c r="N22" s="3341"/>
      <c r="O22" s="3349">
        <f t="shared" si="21"/>
        <v>0</v>
      </c>
      <c r="P22" s="4428" t="e">
        <f t="shared" si="22"/>
        <v>#DIV/0!</v>
      </c>
      <c r="Q22" s="3342"/>
      <c r="R22" s="3342">
        <f t="shared" si="23"/>
        <v>0</v>
      </c>
      <c r="S22" s="3342">
        <f t="shared" si="23"/>
        <v>0</v>
      </c>
      <c r="T22" s="2012">
        <f t="shared" si="24"/>
        <v>0</v>
      </c>
      <c r="U22" s="3342"/>
      <c r="V22" s="3342"/>
      <c r="W22" s="3342">
        <f t="shared" si="25"/>
        <v>0</v>
      </c>
      <c r="X22" s="3342">
        <f t="shared" si="25"/>
        <v>0</v>
      </c>
      <c r="Y22" s="2012">
        <f t="shared" si="26"/>
        <v>0</v>
      </c>
      <c r="Z22" s="3342"/>
      <c r="AA22" s="3342"/>
      <c r="AB22" s="3341"/>
      <c r="AC22" s="3341"/>
      <c r="AD22" s="3349">
        <f t="shared" si="27"/>
        <v>0</v>
      </c>
      <c r="AE22" s="4428" t="e">
        <f t="shared" si="43"/>
        <v>#DIV/0!</v>
      </c>
      <c r="AF22" s="3342"/>
      <c r="AG22" s="3341"/>
      <c r="AH22" s="3341"/>
      <c r="AI22" s="3349">
        <f t="shared" si="28"/>
        <v>0</v>
      </c>
      <c r="AJ22" s="4428" t="e">
        <f t="shared" si="44"/>
        <v>#DIV/0!</v>
      </c>
      <c r="AK22" s="3342"/>
      <c r="AL22" s="3341"/>
      <c r="AM22" s="3341"/>
      <c r="AN22" s="3349">
        <f t="shared" si="29"/>
        <v>0</v>
      </c>
      <c r="AO22" s="4428">
        <f t="shared" si="45"/>
        <v>0</v>
      </c>
      <c r="AP22" s="3342"/>
      <c r="AQ22" s="3341"/>
      <c r="AR22" s="3341"/>
      <c r="AS22" s="3349">
        <f t="shared" si="30"/>
        <v>0</v>
      </c>
      <c r="AT22" s="4428">
        <f t="shared" si="46"/>
        <v>0</v>
      </c>
      <c r="AU22" s="3409"/>
      <c r="AV22" s="3341"/>
      <c r="AW22" s="3341"/>
      <c r="AX22" s="3349">
        <f t="shared" si="31"/>
        <v>0</v>
      </c>
      <c r="AY22" s="4428">
        <f t="shared" si="47"/>
        <v>0</v>
      </c>
      <c r="AZ22" s="3342"/>
      <c r="BA22" s="3341"/>
      <c r="BB22" s="3341"/>
      <c r="BC22" s="3349">
        <f t="shared" si="32"/>
        <v>0</v>
      </c>
      <c r="BD22" s="4428">
        <f t="shared" si="48"/>
        <v>0</v>
      </c>
      <c r="BE22" s="3342"/>
      <c r="BF22" s="3341"/>
      <c r="BG22" s="3341"/>
      <c r="BH22" s="3349">
        <f t="shared" si="33"/>
        <v>0</v>
      </c>
      <c r="BI22" s="4428" t="e">
        <f t="shared" si="49"/>
        <v>#DIV/0!</v>
      </c>
      <c r="BJ22" s="3342"/>
      <c r="BK22" s="3341"/>
      <c r="BL22" s="3341"/>
      <c r="BM22" s="3349">
        <f t="shared" si="34"/>
        <v>0</v>
      </c>
      <c r="BN22" s="4428" t="e">
        <f t="shared" si="50"/>
        <v>#DIV/0!</v>
      </c>
      <c r="BO22" s="3342"/>
      <c r="BP22" s="3341"/>
      <c r="BQ22" s="3341"/>
      <c r="BR22" s="3349">
        <f t="shared" si="35"/>
        <v>0</v>
      </c>
      <c r="BS22" s="4428" t="e">
        <f t="shared" si="51"/>
        <v>#DIV/0!</v>
      </c>
      <c r="BT22" s="3342"/>
      <c r="BU22" s="3341"/>
      <c r="BV22" s="3341"/>
      <c r="BW22" s="3349">
        <f t="shared" si="36"/>
        <v>0</v>
      </c>
      <c r="BX22" s="4428" t="e">
        <f t="shared" si="52"/>
        <v>#DIV/0!</v>
      </c>
      <c r="BY22" s="3342"/>
      <c r="BZ22" s="3341"/>
      <c r="CA22" s="3341"/>
      <c r="CB22" s="3349">
        <f t="shared" si="37"/>
        <v>0</v>
      </c>
      <c r="CC22" s="4428" t="e">
        <f t="shared" si="53"/>
        <v>#DIV/0!</v>
      </c>
      <c r="CD22" s="3342"/>
      <c r="CE22" s="3341"/>
      <c r="CF22" s="3341"/>
      <c r="CG22" s="3349">
        <f t="shared" si="38"/>
        <v>0</v>
      </c>
      <c r="CH22" s="4428" t="e">
        <f t="shared" si="54"/>
        <v>#DIV/0!</v>
      </c>
      <c r="CI22" s="3342"/>
      <c r="CJ22" s="3341">
        <f t="shared" si="39"/>
        <v>0</v>
      </c>
      <c r="CK22" s="3341">
        <f t="shared" si="39"/>
        <v>0</v>
      </c>
      <c r="CL22" s="3349">
        <f t="shared" si="55"/>
        <v>0</v>
      </c>
      <c r="CM22" s="4428">
        <f t="shared" si="40"/>
        <v>0</v>
      </c>
      <c r="CN22" s="1434"/>
      <c r="CP22" s="4615"/>
      <c r="CQ22" s="2012">
        <f t="shared" si="41"/>
        <v>0</v>
      </c>
      <c r="CR22" s="4614">
        <f t="shared" si="56"/>
        <v>0</v>
      </c>
      <c r="CT22" s="3443">
        <f>CQ22</f>
        <v>0</v>
      </c>
    </row>
    <row r="23" spans="1:100" s="1396" customFormat="1" ht="13.8" outlineLevel="2">
      <c r="A23" s="1571"/>
      <c r="B23" s="4430" t="s">
        <v>630</v>
      </c>
      <c r="C23" s="3341"/>
      <c r="D23" s="3341"/>
      <c r="E23" s="3349">
        <f t="shared" si="19"/>
        <v>0</v>
      </c>
      <c r="F23" s="4428" t="e">
        <f t="shared" si="16"/>
        <v>#DIV/0!</v>
      </c>
      <c r="G23" s="1055"/>
      <c r="H23" s="3341"/>
      <c r="I23" s="3341"/>
      <c r="J23" s="3349">
        <f t="shared" si="20"/>
        <v>0</v>
      </c>
      <c r="K23" s="4428" t="e">
        <f t="shared" si="42"/>
        <v>#DIV/0!</v>
      </c>
      <c r="L23" s="1055"/>
      <c r="M23" s="3341"/>
      <c r="N23" s="3341"/>
      <c r="O23" s="3349">
        <f t="shared" si="21"/>
        <v>0</v>
      </c>
      <c r="P23" s="4428" t="e">
        <f t="shared" si="22"/>
        <v>#DIV/0!</v>
      </c>
      <c r="Q23" s="1055"/>
      <c r="R23" s="3342">
        <f t="shared" si="23"/>
        <v>0</v>
      </c>
      <c r="S23" s="3342">
        <f t="shared" si="23"/>
        <v>0</v>
      </c>
      <c r="T23" s="2012">
        <f t="shared" si="24"/>
        <v>0</v>
      </c>
      <c r="U23" s="1055"/>
      <c r="V23" s="1055"/>
      <c r="W23" s="3342">
        <f t="shared" si="25"/>
        <v>0</v>
      </c>
      <c r="X23" s="3342">
        <f t="shared" si="25"/>
        <v>0</v>
      </c>
      <c r="Y23" s="2012">
        <f t="shared" si="26"/>
        <v>0</v>
      </c>
      <c r="Z23" s="1055"/>
      <c r="AA23" s="1055"/>
      <c r="AB23" s="3341"/>
      <c r="AC23" s="3341"/>
      <c r="AD23" s="3349">
        <f t="shared" si="27"/>
        <v>0</v>
      </c>
      <c r="AE23" s="4428" t="e">
        <f t="shared" si="43"/>
        <v>#DIV/0!</v>
      </c>
      <c r="AF23" s="1055"/>
      <c r="AG23" s="3341"/>
      <c r="AH23" s="3341"/>
      <c r="AI23" s="3349">
        <f t="shared" si="28"/>
        <v>0</v>
      </c>
      <c r="AJ23" s="4428" t="e">
        <f t="shared" si="44"/>
        <v>#DIV/0!</v>
      </c>
      <c r="AK23" s="1055"/>
      <c r="AL23" s="3341"/>
      <c r="AM23" s="3341"/>
      <c r="AN23" s="3349">
        <f t="shared" si="29"/>
        <v>0</v>
      </c>
      <c r="AO23" s="4428">
        <f t="shared" si="45"/>
        <v>0</v>
      </c>
      <c r="AP23" s="1055"/>
      <c r="AQ23" s="3341"/>
      <c r="AR23" s="3341"/>
      <c r="AS23" s="3349">
        <f t="shared" si="30"/>
        <v>0</v>
      </c>
      <c r="AT23" s="4428">
        <f t="shared" si="46"/>
        <v>0</v>
      </c>
      <c r="AU23" s="3720"/>
      <c r="AV23" s="3341"/>
      <c r="AW23" s="3341"/>
      <c r="AX23" s="3349">
        <f t="shared" si="31"/>
        <v>0</v>
      </c>
      <c r="AY23" s="4428">
        <f t="shared" si="47"/>
        <v>0</v>
      </c>
      <c r="AZ23" s="1055"/>
      <c r="BA23" s="3341"/>
      <c r="BB23" s="3341"/>
      <c r="BC23" s="3349">
        <f t="shared" si="32"/>
        <v>0</v>
      </c>
      <c r="BD23" s="4428">
        <f t="shared" si="48"/>
        <v>0</v>
      </c>
      <c r="BE23" s="1055"/>
      <c r="BF23" s="3341"/>
      <c r="BG23" s="3341"/>
      <c r="BH23" s="3349">
        <f t="shared" si="33"/>
        <v>0</v>
      </c>
      <c r="BI23" s="4428" t="e">
        <f t="shared" si="49"/>
        <v>#DIV/0!</v>
      </c>
      <c r="BJ23" s="1055"/>
      <c r="BK23" s="3341"/>
      <c r="BL23" s="3341"/>
      <c r="BM23" s="3349">
        <f t="shared" si="34"/>
        <v>0</v>
      </c>
      <c r="BN23" s="4428" t="e">
        <f t="shared" si="50"/>
        <v>#DIV/0!</v>
      </c>
      <c r="BO23" s="1055"/>
      <c r="BP23" s="3341"/>
      <c r="BQ23" s="3341"/>
      <c r="BR23" s="3349">
        <f t="shared" si="35"/>
        <v>0</v>
      </c>
      <c r="BS23" s="4428" t="e">
        <f t="shared" si="51"/>
        <v>#DIV/0!</v>
      </c>
      <c r="BT23" s="1055"/>
      <c r="BU23" s="3341"/>
      <c r="BV23" s="3341"/>
      <c r="BW23" s="3349">
        <f t="shared" si="36"/>
        <v>0</v>
      </c>
      <c r="BX23" s="4428" t="e">
        <f t="shared" si="52"/>
        <v>#DIV/0!</v>
      </c>
      <c r="BY23" s="1055"/>
      <c r="BZ23" s="3341"/>
      <c r="CA23" s="3341"/>
      <c r="CB23" s="3349">
        <f t="shared" si="37"/>
        <v>0</v>
      </c>
      <c r="CC23" s="4428" t="e">
        <f t="shared" si="53"/>
        <v>#DIV/0!</v>
      </c>
      <c r="CD23" s="1055"/>
      <c r="CE23" s="3341"/>
      <c r="CF23" s="3341"/>
      <c r="CG23" s="3349">
        <f t="shared" si="38"/>
        <v>0</v>
      </c>
      <c r="CH23" s="4428" t="e">
        <f t="shared" si="54"/>
        <v>#DIV/0!</v>
      </c>
      <c r="CI23" s="1055"/>
      <c r="CJ23" s="3341">
        <f t="shared" si="39"/>
        <v>0</v>
      </c>
      <c r="CK23" s="3341">
        <f t="shared" si="39"/>
        <v>0</v>
      </c>
      <c r="CL23" s="3349">
        <f t="shared" si="55"/>
        <v>0</v>
      </c>
      <c r="CM23" s="4428">
        <f t="shared" si="40"/>
        <v>0</v>
      </c>
      <c r="CN23" s="1434"/>
      <c r="CP23" s="4615"/>
      <c r="CQ23" s="2012">
        <f t="shared" si="41"/>
        <v>0</v>
      </c>
      <c r="CR23" s="4614">
        <f t="shared" si="56"/>
        <v>0</v>
      </c>
      <c r="CT23" s="2624"/>
    </row>
    <row r="24" spans="1:100" s="1396" customFormat="1" ht="27.6" outlineLevel="2">
      <c r="A24" s="1571"/>
      <c r="B24" s="4430" t="s">
        <v>23</v>
      </c>
      <c r="C24" s="3341"/>
      <c r="D24" s="3341"/>
      <c r="E24" s="3349">
        <f t="shared" si="19"/>
        <v>0</v>
      </c>
      <c r="F24" s="4428" t="e">
        <f t="shared" si="16"/>
        <v>#DIV/0!</v>
      </c>
      <c r="G24" s="3342"/>
      <c r="H24" s="3341"/>
      <c r="I24" s="3341"/>
      <c r="J24" s="3349">
        <f t="shared" si="20"/>
        <v>0</v>
      </c>
      <c r="K24" s="4428" t="e">
        <f t="shared" si="42"/>
        <v>#DIV/0!</v>
      </c>
      <c r="L24" s="3342"/>
      <c r="M24" s="3341"/>
      <c r="N24" s="3341"/>
      <c r="O24" s="3349">
        <f t="shared" si="21"/>
        <v>0</v>
      </c>
      <c r="P24" s="4428" t="e">
        <f t="shared" si="22"/>
        <v>#DIV/0!</v>
      </c>
      <c r="Q24" s="3342"/>
      <c r="R24" s="3342">
        <f t="shared" si="23"/>
        <v>0</v>
      </c>
      <c r="S24" s="3342">
        <f t="shared" si="23"/>
        <v>0</v>
      </c>
      <c r="T24" s="2012">
        <f t="shared" si="24"/>
        <v>0</v>
      </c>
      <c r="U24" s="3342"/>
      <c r="V24" s="3342"/>
      <c r="W24" s="3342">
        <f t="shared" si="25"/>
        <v>101160</v>
      </c>
      <c r="X24" s="3342">
        <f t="shared" si="25"/>
        <v>0</v>
      </c>
      <c r="Y24" s="2012">
        <f t="shared" si="26"/>
        <v>101160</v>
      </c>
      <c r="Z24" s="3342"/>
      <c r="AA24" s="3342"/>
      <c r="AB24" s="3341"/>
      <c r="AC24" s="3341"/>
      <c r="AD24" s="3349">
        <f t="shared" si="27"/>
        <v>0</v>
      </c>
      <c r="AE24" s="4428" t="e">
        <f t="shared" si="43"/>
        <v>#DIV/0!</v>
      </c>
      <c r="AF24" s="3342"/>
      <c r="AG24" s="3341"/>
      <c r="AH24" s="3341"/>
      <c r="AI24" s="3349">
        <f t="shared" si="28"/>
        <v>0</v>
      </c>
      <c r="AJ24" s="4428" t="e">
        <f t="shared" si="44"/>
        <v>#DIV/0!</v>
      </c>
      <c r="AK24" s="3342"/>
      <c r="AL24" s="3341"/>
      <c r="AM24" s="3341"/>
      <c r="AN24" s="3349">
        <f t="shared" si="29"/>
        <v>0</v>
      </c>
      <c r="AO24" s="4428">
        <f t="shared" si="45"/>
        <v>0</v>
      </c>
      <c r="AP24" s="3342"/>
      <c r="AQ24" s="3341">
        <v>14820</v>
      </c>
      <c r="AR24" s="3341"/>
      <c r="AS24" s="3349">
        <f t="shared" si="30"/>
        <v>14820</v>
      </c>
      <c r="AT24" s="4428">
        <f t="shared" si="46"/>
        <v>2.5778460683253301E-2</v>
      </c>
      <c r="AU24" s="3409" t="s">
        <v>2069</v>
      </c>
      <c r="AV24" s="3341">
        <f>14820*5+12000</f>
        <v>86100</v>
      </c>
      <c r="AW24" s="3341"/>
      <c r="AX24" s="3349">
        <f t="shared" si="31"/>
        <v>86100</v>
      </c>
      <c r="AY24" s="4428">
        <f t="shared" si="47"/>
        <v>0.15060216584129554</v>
      </c>
      <c r="AZ24" s="3409" t="s">
        <v>2084</v>
      </c>
      <c r="BA24" s="3341">
        <v>240</v>
      </c>
      <c r="BB24" s="3341"/>
      <c r="BC24" s="3349">
        <f t="shared" ref="BC24" si="57">BA24+BB24</f>
        <v>240</v>
      </c>
      <c r="BD24" s="4428">
        <f t="shared" ref="BD24" si="58">BC24/BC$89</f>
        <v>3.8578200423395749E-2</v>
      </c>
      <c r="BE24" s="3342" t="s">
        <v>2162</v>
      </c>
      <c r="BF24" s="3341"/>
      <c r="BG24" s="3341"/>
      <c r="BH24" s="3349">
        <f t="shared" si="33"/>
        <v>0</v>
      </c>
      <c r="BI24" s="4428" t="e">
        <f t="shared" si="49"/>
        <v>#DIV/0!</v>
      </c>
      <c r="BJ24" s="3342"/>
      <c r="BK24" s="3341"/>
      <c r="BL24" s="3341"/>
      <c r="BM24" s="3349">
        <f t="shared" si="34"/>
        <v>0</v>
      </c>
      <c r="BN24" s="4428" t="e">
        <f t="shared" si="50"/>
        <v>#DIV/0!</v>
      </c>
      <c r="BO24" s="3342"/>
      <c r="BP24" s="3341"/>
      <c r="BQ24" s="3341"/>
      <c r="BR24" s="3349">
        <f t="shared" si="35"/>
        <v>0</v>
      </c>
      <c r="BS24" s="4428" t="e">
        <f t="shared" si="51"/>
        <v>#DIV/0!</v>
      </c>
      <c r="BT24" s="3342"/>
      <c r="BU24" s="3341"/>
      <c r="BV24" s="3341"/>
      <c r="BW24" s="3349">
        <f t="shared" si="36"/>
        <v>0</v>
      </c>
      <c r="BX24" s="4428" t="e">
        <f t="shared" si="52"/>
        <v>#DIV/0!</v>
      </c>
      <c r="BY24" s="3342"/>
      <c r="BZ24" s="3341"/>
      <c r="CA24" s="3341"/>
      <c r="CB24" s="3349">
        <f t="shared" si="37"/>
        <v>0</v>
      </c>
      <c r="CC24" s="4428" t="e">
        <f t="shared" si="53"/>
        <v>#DIV/0!</v>
      </c>
      <c r="CD24" s="3342"/>
      <c r="CE24" s="3341"/>
      <c r="CF24" s="3341"/>
      <c r="CG24" s="3349">
        <f t="shared" si="38"/>
        <v>0</v>
      </c>
      <c r="CH24" s="4428" t="e">
        <f t="shared" si="54"/>
        <v>#DIV/0!</v>
      </c>
      <c r="CI24" s="3342"/>
      <c r="CJ24" s="2043">
        <f t="shared" si="39"/>
        <v>101160</v>
      </c>
      <c r="CK24" s="3341">
        <f t="shared" si="39"/>
        <v>0</v>
      </c>
      <c r="CL24" s="3349">
        <f t="shared" si="55"/>
        <v>101160</v>
      </c>
      <c r="CM24" s="4428">
        <f t="shared" si="40"/>
        <v>6.5131194171006032E-2</v>
      </c>
      <c r="CN24" s="1434"/>
      <c r="CP24" s="4615">
        <v>114000</v>
      </c>
      <c r="CQ24" s="2012">
        <f t="shared" si="41"/>
        <v>101160</v>
      </c>
      <c r="CR24" s="4614">
        <f t="shared" si="56"/>
        <v>12840</v>
      </c>
      <c r="CT24" s="4616">
        <f>CR24/CP24</f>
        <v>0.11263157894736842</v>
      </c>
    </row>
    <row r="25" spans="1:100" s="1396" customFormat="1" ht="39.6" outlineLevel="2">
      <c r="A25" s="1571"/>
      <c r="B25" s="4430" t="s">
        <v>24</v>
      </c>
      <c r="C25" s="3341"/>
      <c r="D25" s="3341"/>
      <c r="E25" s="3349">
        <f t="shared" si="19"/>
        <v>0</v>
      </c>
      <c r="F25" s="4428" t="e">
        <f t="shared" si="16"/>
        <v>#DIV/0!</v>
      </c>
      <c r="G25" s="3342"/>
      <c r="H25" s="3341"/>
      <c r="I25" s="3341"/>
      <c r="J25" s="3349">
        <f t="shared" si="20"/>
        <v>0</v>
      </c>
      <c r="K25" s="4428" t="e">
        <f t="shared" si="42"/>
        <v>#DIV/0!</v>
      </c>
      <c r="L25" s="3342"/>
      <c r="M25" s="3341"/>
      <c r="N25" s="3341"/>
      <c r="O25" s="3349">
        <f t="shared" si="21"/>
        <v>0</v>
      </c>
      <c r="P25" s="4428" t="e">
        <f t="shared" si="22"/>
        <v>#DIV/0!</v>
      </c>
      <c r="Q25" s="3342"/>
      <c r="R25" s="3342">
        <f t="shared" si="23"/>
        <v>0</v>
      </c>
      <c r="S25" s="3342">
        <f t="shared" si="23"/>
        <v>0</v>
      </c>
      <c r="T25" s="2012">
        <f t="shared" si="24"/>
        <v>0</v>
      </c>
      <c r="U25" s="3342"/>
      <c r="V25" s="3342"/>
      <c r="W25" s="3342">
        <f t="shared" si="25"/>
        <v>331620.53000000003</v>
      </c>
      <c r="X25" s="3342">
        <f t="shared" si="25"/>
        <v>0</v>
      </c>
      <c r="Y25" s="2012">
        <f t="shared" si="26"/>
        <v>331620.53000000003</v>
      </c>
      <c r="Z25" s="3342"/>
      <c r="AA25" s="3342"/>
      <c r="AB25" s="3341"/>
      <c r="AC25" s="3341"/>
      <c r="AD25" s="3349">
        <f t="shared" si="27"/>
        <v>0</v>
      </c>
      <c r="AE25" s="4428" t="e">
        <f t="shared" si="43"/>
        <v>#DIV/0!</v>
      </c>
      <c r="AF25" s="3342"/>
      <c r="AG25" s="3341"/>
      <c r="AH25" s="3341"/>
      <c r="AI25" s="3349">
        <f t="shared" si="28"/>
        <v>0</v>
      </c>
      <c r="AJ25" s="4428" t="e">
        <f t="shared" si="44"/>
        <v>#DIV/0!</v>
      </c>
      <c r="AK25" s="3342"/>
      <c r="AL25" s="3341">
        <v>6064.13</v>
      </c>
      <c r="AM25" s="3341"/>
      <c r="AN25" s="3349">
        <f t="shared" si="29"/>
        <v>6064.13</v>
      </c>
      <c r="AO25" s="4428">
        <f t="shared" si="45"/>
        <v>1.5147139655533597E-2</v>
      </c>
      <c r="AP25" s="3342" t="s">
        <v>2003</v>
      </c>
      <c r="AQ25" s="3341">
        <f>63500+10109.52</f>
        <v>73609.52</v>
      </c>
      <c r="AR25" s="3341"/>
      <c r="AS25" s="3349">
        <f t="shared" si="30"/>
        <v>73609.52</v>
      </c>
      <c r="AT25" s="4428">
        <f t="shared" si="46"/>
        <v>0.128039144212763</v>
      </c>
      <c r="AU25" s="3409" t="s">
        <v>2061</v>
      </c>
      <c r="AV25" s="3341">
        <f>250915.59+1031.29</f>
        <v>251946.88</v>
      </c>
      <c r="AW25" s="3341"/>
      <c r="AX25" s="3349">
        <f t="shared" si="31"/>
        <v>251946.88</v>
      </c>
      <c r="AY25" s="4428">
        <f t="shared" si="47"/>
        <v>0.44069391178811829</v>
      </c>
      <c r="AZ25" s="3409" t="s">
        <v>2106</v>
      </c>
      <c r="BA25" s="3341"/>
      <c r="BB25" s="3341"/>
      <c r="BC25" s="3349"/>
      <c r="BD25" s="4428"/>
      <c r="BE25" s="3342"/>
      <c r="BF25" s="3341"/>
      <c r="BG25" s="3341"/>
      <c r="BH25" s="3349">
        <f t="shared" si="33"/>
        <v>0</v>
      </c>
      <c r="BI25" s="4428" t="e">
        <f t="shared" si="49"/>
        <v>#DIV/0!</v>
      </c>
      <c r="BJ25" s="3342"/>
      <c r="BK25" s="3341"/>
      <c r="BL25" s="3341"/>
      <c r="BM25" s="3349">
        <f t="shared" si="34"/>
        <v>0</v>
      </c>
      <c r="BN25" s="4428" t="e">
        <f t="shared" si="50"/>
        <v>#DIV/0!</v>
      </c>
      <c r="BO25" s="3342"/>
      <c r="BP25" s="3341"/>
      <c r="BQ25" s="3341"/>
      <c r="BR25" s="3349">
        <f t="shared" si="35"/>
        <v>0</v>
      </c>
      <c r="BS25" s="4428" t="e">
        <f t="shared" si="51"/>
        <v>#DIV/0!</v>
      </c>
      <c r="BT25" s="3342"/>
      <c r="BU25" s="3341"/>
      <c r="BV25" s="3341"/>
      <c r="BW25" s="3349">
        <f t="shared" si="36"/>
        <v>0</v>
      </c>
      <c r="BX25" s="4428" t="e">
        <f t="shared" si="52"/>
        <v>#DIV/0!</v>
      </c>
      <c r="BY25" s="3342"/>
      <c r="BZ25" s="3341"/>
      <c r="CA25" s="3341"/>
      <c r="CB25" s="3349">
        <f t="shared" si="37"/>
        <v>0</v>
      </c>
      <c r="CC25" s="4428" t="e">
        <f t="shared" si="53"/>
        <v>#DIV/0!</v>
      </c>
      <c r="CD25" s="3342"/>
      <c r="CE25" s="3341"/>
      <c r="CF25" s="3341"/>
      <c r="CG25" s="3349">
        <f t="shared" si="38"/>
        <v>0</v>
      </c>
      <c r="CH25" s="4428" t="e">
        <f t="shared" si="54"/>
        <v>#DIV/0!</v>
      </c>
      <c r="CI25" s="3342"/>
      <c r="CJ25" s="2043">
        <f t="shared" si="39"/>
        <v>331620.53000000003</v>
      </c>
      <c r="CK25" s="3341">
        <f t="shared" si="39"/>
        <v>0</v>
      </c>
      <c r="CL25" s="3349">
        <f t="shared" si="55"/>
        <v>331620.53000000003</v>
      </c>
      <c r="CM25" s="4428">
        <f t="shared" si="40"/>
        <v>0.21351167586518321</v>
      </c>
      <c r="CN25" s="1434"/>
      <c r="CP25" s="4615">
        <v>404912.30089399999</v>
      </c>
      <c r="CQ25" s="2012">
        <f>CL25</f>
        <v>331620.53000000003</v>
      </c>
      <c r="CR25" s="4614">
        <f t="shared" si="56"/>
        <v>73291.770893999957</v>
      </c>
      <c r="CS25" s="3307"/>
      <c r="CT25" s="4616">
        <f>CR25/CP25</f>
        <v>0.18100653087639007</v>
      </c>
    </row>
    <row r="26" spans="1:100" s="1396" customFormat="1" ht="13.8" outlineLevel="2">
      <c r="A26" s="1571"/>
      <c r="B26" s="4430" t="s">
        <v>45</v>
      </c>
      <c r="C26" s="3341"/>
      <c r="D26" s="3341"/>
      <c r="E26" s="3349">
        <f t="shared" si="19"/>
        <v>0</v>
      </c>
      <c r="F26" s="4428" t="e">
        <f t="shared" si="16"/>
        <v>#DIV/0!</v>
      </c>
      <c r="G26" s="3342"/>
      <c r="H26" s="3341"/>
      <c r="I26" s="3341"/>
      <c r="J26" s="3349">
        <f t="shared" si="20"/>
        <v>0</v>
      </c>
      <c r="K26" s="4428" t="e">
        <f t="shared" si="42"/>
        <v>#DIV/0!</v>
      </c>
      <c r="L26" s="3342"/>
      <c r="M26" s="3341"/>
      <c r="N26" s="3341"/>
      <c r="O26" s="3349">
        <f t="shared" si="21"/>
        <v>0</v>
      </c>
      <c r="P26" s="4428" t="e">
        <f t="shared" si="22"/>
        <v>#DIV/0!</v>
      </c>
      <c r="Q26" s="3342"/>
      <c r="R26" s="3342">
        <f t="shared" si="23"/>
        <v>0</v>
      </c>
      <c r="S26" s="3342">
        <f t="shared" si="23"/>
        <v>0</v>
      </c>
      <c r="T26" s="2012">
        <f t="shared" si="24"/>
        <v>0</v>
      </c>
      <c r="U26" s="3342"/>
      <c r="V26" s="3342"/>
      <c r="W26" s="3342">
        <f t="shared" si="25"/>
        <v>0</v>
      </c>
      <c r="X26" s="3342">
        <f t="shared" si="25"/>
        <v>0</v>
      </c>
      <c r="Y26" s="2012">
        <f t="shared" si="26"/>
        <v>0</v>
      </c>
      <c r="Z26" s="3342"/>
      <c r="AA26" s="3342"/>
      <c r="AB26" s="3341"/>
      <c r="AC26" s="3341"/>
      <c r="AD26" s="3349">
        <f t="shared" si="27"/>
        <v>0</v>
      </c>
      <c r="AE26" s="4428" t="e">
        <f t="shared" si="43"/>
        <v>#DIV/0!</v>
      </c>
      <c r="AF26" s="3342"/>
      <c r="AG26" s="3341"/>
      <c r="AH26" s="3341"/>
      <c r="AI26" s="3349">
        <f t="shared" si="28"/>
        <v>0</v>
      </c>
      <c r="AJ26" s="4428" t="e">
        <f t="shared" si="44"/>
        <v>#DIV/0!</v>
      </c>
      <c r="AK26" s="3342"/>
      <c r="AL26" s="3341"/>
      <c r="AM26" s="3341"/>
      <c r="AN26" s="3349">
        <f t="shared" si="29"/>
        <v>0</v>
      </c>
      <c r="AO26" s="4428">
        <f t="shared" si="45"/>
        <v>0</v>
      </c>
      <c r="AP26" s="3342"/>
      <c r="AQ26" s="3341"/>
      <c r="AR26" s="3341"/>
      <c r="AS26" s="3349">
        <f t="shared" si="30"/>
        <v>0</v>
      </c>
      <c r="AT26" s="4428">
        <f t="shared" si="46"/>
        <v>0</v>
      </c>
      <c r="AU26" s="3409"/>
      <c r="AV26" s="3341"/>
      <c r="AW26" s="3341"/>
      <c r="AX26" s="3349">
        <f t="shared" si="31"/>
        <v>0</v>
      </c>
      <c r="AY26" s="4428">
        <f t="shared" si="47"/>
        <v>0</v>
      </c>
      <c r="AZ26" s="3342"/>
      <c r="BA26" s="3341"/>
      <c r="BB26" s="3341"/>
      <c r="BC26" s="3349">
        <f t="shared" si="32"/>
        <v>0</v>
      </c>
      <c r="BD26" s="4428">
        <f t="shared" si="48"/>
        <v>0</v>
      </c>
      <c r="BE26" s="3342"/>
      <c r="BF26" s="3341"/>
      <c r="BG26" s="3341"/>
      <c r="BH26" s="3349">
        <f t="shared" si="33"/>
        <v>0</v>
      </c>
      <c r="BI26" s="4428" t="e">
        <f t="shared" si="49"/>
        <v>#DIV/0!</v>
      </c>
      <c r="BJ26" s="3342"/>
      <c r="BK26" s="3341"/>
      <c r="BL26" s="3341"/>
      <c r="BM26" s="3349">
        <f t="shared" si="34"/>
        <v>0</v>
      </c>
      <c r="BN26" s="4428" t="e">
        <f t="shared" si="50"/>
        <v>#DIV/0!</v>
      </c>
      <c r="BO26" s="3342"/>
      <c r="BP26" s="3341"/>
      <c r="BQ26" s="3341"/>
      <c r="BR26" s="3349">
        <f t="shared" si="35"/>
        <v>0</v>
      </c>
      <c r="BS26" s="4428" t="e">
        <f t="shared" si="51"/>
        <v>#DIV/0!</v>
      </c>
      <c r="BT26" s="3342"/>
      <c r="BU26" s="3341"/>
      <c r="BV26" s="3341"/>
      <c r="BW26" s="3349">
        <f t="shared" si="36"/>
        <v>0</v>
      </c>
      <c r="BX26" s="4428" t="e">
        <f t="shared" si="52"/>
        <v>#DIV/0!</v>
      </c>
      <c r="BY26" s="3342"/>
      <c r="BZ26" s="3341"/>
      <c r="CA26" s="3341"/>
      <c r="CB26" s="3349">
        <f t="shared" si="37"/>
        <v>0</v>
      </c>
      <c r="CC26" s="4428" t="e">
        <f t="shared" si="53"/>
        <v>#DIV/0!</v>
      </c>
      <c r="CD26" s="3342"/>
      <c r="CE26" s="3341"/>
      <c r="CF26" s="3341"/>
      <c r="CG26" s="3349">
        <f t="shared" si="38"/>
        <v>0</v>
      </c>
      <c r="CH26" s="4428" t="e">
        <f t="shared" si="54"/>
        <v>#DIV/0!</v>
      </c>
      <c r="CI26" s="3342"/>
      <c r="CJ26" s="3341">
        <f t="shared" si="39"/>
        <v>0</v>
      </c>
      <c r="CK26" s="3341">
        <f t="shared" si="39"/>
        <v>0</v>
      </c>
      <c r="CL26" s="3349">
        <f t="shared" si="55"/>
        <v>0</v>
      </c>
      <c r="CM26" s="4428">
        <f t="shared" si="40"/>
        <v>0</v>
      </c>
      <c r="CN26" s="1434"/>
      <c r="CP26" s="4615"/>
      <c r="CQ26" s="2012"/>
      <c r="CR26" s="4614">
        <f t="shared" si="56"/>
        <v>0</v>
      </c>
    </row>
    <row r="27" spans="1:100" s="1396" customFormat="1" ht="13.8" outlineLevel="2">
      <c r="A27" s="1571"/>
      <c r="B27" s="4430" t="s">
        <v>25</v>
      </c>
      <c r="C27" s="3341"/>
      <c r="D27" s="3341"/>
      <c r="E27" s="3349">
        <f t="shared" si="19"/>
        <v>0</v>
      </c>
      <c r="F27" s="4428" t="e">
        <f t="shared" si="16"/>
        <v>#DIV/0!</v>
      </c>
      <c r="G27" s="3342"/>
      <c r="H27" s="3341"/>
      <c r="I27" s="3341"/>
      <c r="J27" s="3349">
        <f t="shared" si="20"/>
        <v>0</v>
      </c>
      <c r="K27" s="4428" t="e">
        <f t="shared" si="42"/>
        <v>#DIV/0!</v>
      </c>
      <c r="L27" s="3342"/>
      <c r="M27" s="3341"/>
      <c r="N27" s="3341"/>
      <c r="O27" s="3349">
        <f t="shared" si="21"/>
        <v>0</v>
      </c>
      <c r="P27" s="4428" t="e">
        <f t="shared" si="22"/>
        <v>#DIV/0!</v>
      </c>
      <c r="Q27" s="3342"/>
      <c r="R27" s="3342">
        <f t="shared" si="23"/>
        <v>0</v>
      </c>
      <c r="S27" s="3342">
        <f t="shared" si="23"/>
        <v>0</v>
      </c>
      <c r="T27" s="2012">
        <f t="shared" si="24"/>
        <v>0</v>
      </c>
      <c r="U27" s="3342"/>
      <c r="V27" s="3342"/>
      <c r="W27" s="3342">
        <f t="shared" si="25"/>
        <v>0</v>
      </c>
      <c r="X27" s="3342">
        <f t="shared" si="25"/>
        <v>0</v>
      </c>
      <c r="Y27" s="2012">
        <f t="shared" si="26"/>
        <v>0</v>
      </c>
      <c r="Z27" s="3342"/>
      <c r="AA27" s="3342"/>
      <c r="AB27" s="3341"/>
      <c r="AC27" s="3341"/>
      <c r="AD27" s="3349">
        <f t="shared" si="27"/>
        <v>0</v>
      </c>
      <c r="AE27" s="4428" t="e">
        <f t="shared" si="43"/>
        <v>#DIV/0!</v>
      </c>
      <c r="AF27" s="3342"/>
      <c r="AG27" s="3341"/>
      <c r="AH27" s="3341"/>
      <c r="AI27" s="3349">
        <f t="shared" si="28"/>
        <v>0</v>
      </c>
      <c r="AJ27" s="4428" t="e">
        <f t="shared" si="44"/>
        <v>#DIV/0!</v>
      </c>
      <c r="AK27" s="3342"/>
      <c r="AL27" s="3341"/>
      <c r="AM27" s="3341"/>
      <c r="AN27" s="3349">
        <f t="shared" si="29"/>
        <v>0</v>
      </c>
      <c r="AO27" s="4428">
        <f t="shared" si="45"/>
        <v>0</v>
      </c>
      <c r="AP27" s="3342"/>
      <c r="AQ27" s="3341"/>
      <c r="AR27" s="3341"/>
      <c r="AS27" s="3349">
        <f t="shared" si="30"/>
        <v>0</v>
      </c>
      <c r="AT27" s="4428">
        <f t="shared" si="46"/>
        <v>0</v>
      </c>
      <c r="AU27" s="3409"/>
      <c r="AV27" s="3341"/>
      <c r="AW27" s="3341"/>
      <c r="AX27" s="3349">
        <f t="shared" si="31"/>
        <v>0</v>
      </c>
      <c r="AY27" s="4428">
        <f t="shared" si="47"/>
        <v>0</v>
      </c>
      <c r="AZ27" s="3342"/>
      <c r="BA27" s="3341"/>
      <c r="BB27" s="3341"/>
      <c r="BC27" s="3349">
        <f t="shared" si="32"/>
        <v>0</v>
      </c>
      <c r="BD27" s="4428">
        <f t="shared" si="48"/>
        <v>0</v>
      </c>
      <c r="BE27" s="3342"/>
      <c r="BF27" s="3341"/>
      <c r="BG27" s="3341"/>
      <c r="BH27" s="3349">
        <f t="shared" si="33"/>
        <v>0</v>
      </c>
      <c r="BI27" s="4428" t="e">
        <f t="shared" si="49"/>
        <v>#DIV/0!</v>
      </c>
      <c r="BJ27" s="3342"/>
      <c r="BK27" s="3341"/>
      <c r="BL27" s="3341"/>
      <c r="BM27" s="3349">
        <f t="shared" si="34"/>
        <v>0</v>
      </c>
      <c r="BN27" s="4428" t="e">
        <f t="shared" si="50"/>
        <v>#DIV/0!</v>
      </c>
      <c r="BO27" s="3342"/>
      <c r="BP27" s="3341"/>
      <c r="BQ27" s="3341"/>
      <c r="BR27" s="3349">
        <f t="shared" si="35"/>
        <v>0</v>
      </c>
      <c r="BS27" s="4428" t="e">
        <f t="shared" si="51"/>
        <v>#DIV/0!</v>
      </c>
      <c r="BT27" s="3342"/>
      <c r="BU27" s="3341"/>
      <c r="BV27" s="3341"/>
      <c r="BW27" s="3349">
        <f t="shared" si="36"/>
        <v>0</v>
      </c>
      <c r="BX27" s="4428" t="e">
        <f t="shared" si="52"/>
        <v>#DIV/0!</v>
      </c>
      <c r="BY27" s="3342"/>
      <c r="BZ27" s="3341"/>
      <c r="CA27" s="3341"/>
      <c r="CB27" s="3349">
        <f t="shared" si="37"/>
        <v>0</v>
      </c>
      <c r="CC27" s="4428" t="e">
        <f t="shared" si="53"/>
        <v>#DIV/0!</v>
      </c>
      <c r="CD27" s="3342"/>
      <c r="CE27" s="3341"/>
      <c r="CF27" s="3341"/>
      <c r="CG27" s="3349">
        <f t="shared" si="38"/>
        <v>0</v>
      </c>
      <c r="CH27" s="4428" t="e">
        <f t="shared" si="54"/>
        <v>#DIV/0!</v>
      </c>
      <c r="CI27" s="3342"/>
      <c r="CJ27" s="3341">
        <f t="shared" si="39"/>
        <v>0</v>
      </c>
      <c r="CK27" s="3341">
        <f t="shared" si="39"/>
        <v>0</v>
      </c>
      <c r="CL27" s="3349">
        <f t="shared" si="55"/>
        <v>0</v>
      </c>
      <c r="CM27" s="4428">
        <f t="shared" si="40"/>
        <v>0</v>
      </c>
      <c r="CN27" s="1434"/>
      <c r="CP27" s="4615"/>
      <c r="CQ27" s="2012">
        <f t="shared" si="41"/>
        <v>0</v>
      </c>
      <c r="CR27" s="4614">
        <f t="shared" si="56"/>
        <v>0</v>
      </c>
    </row>
    <row r="28" spans="1:100" s="1396" customFormat="1" ht="13.8" outlineLevel="2">
      <c r="A28" s="1571"/>
      <c r="B28" s="4430" t="s">
        <v>52</v>
      </c>
      <c r="C28" s="3341"/>
      <c r="D28" s="3341"/>
      <c r="E28" s="3349">
        <f t="shared" si="19"/>
        <v>0</v>
      </c>
      <c r="F28" s="4428" t="e">
        <f t="shared" si="16"/>
        <v>#DIV/0!</v>
      </c>
      <c r="G28" s="3342"/>
      <c r="H28" s="3341"/>
      <c r="I28" s="3341"/>
      <c r="J28" s="3349">
        <f t="shared" si="20"/>
        <v>0</v>
      </c>
      <c r="K28" s="4428" t="e">
        <f t="shared" si="42"/>
        <v>#DIV/0!</v>
      </c>
      <c r="L28" s="3342"/>
      <c r="M28" s="3341"/>
      <c r="N28" s="3341"/>
      <c r="O28" s="3349">
        <f t="shared" si="21"/>
        <v>0</v>
      </c>
      <c r="P28" s="4428" t="e">
        <f t="shared" si="22"/>
        <v>#DIV/0!</v>
      </c>
      <c r="Q28" s="3409"/>
      <c r="R28" s="3342">
        <f t="shared" si="23"/>
        <v>0</v>
      </c>
      <c r="S28" s="3342">
        <f t="shared" si="23"/>
        <v>0</v>
      </c>
      <c r="T28" s="2012">
        <f t="shared" si="24"/>
        <v>0</v>
      </c>
      <c r="U28" s="3409"/>
      <c r="V28" s="3409"/>
      <c r="W28" s="3342">
        <f t="shared" si="25"/>
        <v>0</v>
      </c>
      <c r="X28" s="3342">
        <f t="shared" si="25"/>
        <v>0</v>
      </c>
      <c r="Y28" s="2012">
        <f t="shared" si="26"/>
        <v>0</v>
      </c>
      <c r="Z28" s="3409"/>
      <c r="AA28" s="3409"/>
      <c r="AB28" s="3341"/>
      <c r="AC28" s="3341"/>
      <c r="AD28" s="3349">
        <f t="shared" si="27"/>
        <v>0</v>
      </c>
      <c r="AE28" s="4428" t="e">
        <f t="shared" si="43"/>
        <v>#DIV/0!</v>
      </c>
      <c r="AF28" s="3409"/>
      <c r="AG28" s="3341"/>
      <c r="AH28" s="3341"/>
      <c r="AI28" s="3349">
        <f t="shared" si="28"/>
        <v>0</v>
      </c>
      <c r="AJ28" s="4428" t="e">
        <f t="shared" si="44"/>
        <v>#DIV/0!</v>
      </c>
      <c r="AK28" s="3409"/>
      <c r="AL28" s="3341"/>
      <c r="AM28" s="3341"/>
      <c r="AN28" s="3349">
        <f t="shared" si="29"/>
        <v>0</v>
      </c>
      <c r="AO28" s="4428">
        <f t="shared" si="45"/>
        <v>0</v>
      </c>
      <c r="AP28" s="3409"/>
      <c r="AQ28" s="3341"/>
      <c r="AR28" s="3341"/>
      <c r="AS28" s="3349">
        <f t="shared" si="30"/>
        <v>0</v>
      </c>
      <c r="AT28" s="4428">
        <f t="shared" si="46"/>
        <v>0</v>
      </c>
      <c r="AU28" s="3409"/>
      <c r="AV28" s="3341"/>
      <c r="AW28" s="3341"/>
      <c r="AX28" s="3349">
        <f t="shared" si="31"/>
        <v>0</v>
      </c>
      <c r="AY28" s="4428">
        <f t="shared" si="47"/>
        <v>0</v>
      </c>
      <c r="AZ28" s="3409"/>
      <c r="BA28" s="3341"/>
      <c r="BB28" s="3341"/>
      <c r="BC28" s="3349">
        <f t="shared" si="32"/>
        <v>0</v>
      </c>
      <c r="BD28" s="4428">
        <f t="shared" si="48"/>
        <v>0</v>
      </c>
      <c r="BE28" s="3409"/>
      <c r="BF28" s="3341"/>
      <c r="BG28" s="3341"/>
      <c r="BH28" s="3349">
        <f t="shared" si="33"/>
        <v>0</v>
      </c>
      <c r="BI28" s="4428" t="e">
        <f t="shared" si="49"/>
        <v>#DIV/0!</v>
      </c>
      <c r="BJ28" s="3409"/>
      <c r="BK28" s="3341"/>
      <c r="BL28" s="3341"/>
      <c r="BM28" s="3349">
        <f t="shared" si="34"/>
        <v>0</v>
      </c>
      <c r="BN28" s="4428" t="e">
        <f t="shared" si="50"/>
        <v>#DIV/0!</v>
      </c>
      <c r="BO28" s="3409"/>
      <c r="BP28" s="3341"/>
      <c r="BQ28" s="3341"/>
      <c r="BR28" s="3349">
        <f t="shared" si="35"/>
        <v>0</v>
      </c>
      <c r="BS28" s="4428" t="e">
        <f t="shared" si="51"/>
        <v>#DIV/0!</v>
      </c>
      <c r="BT28" s="3409"/>
      <c r="BU28" s="3341"/>
      <c r="BV28" s="3341"/>
      <c r="BW28" s="3349">
        <f t="shared" si="36"/>
        <v>0</v>
      </c>
      <c r="BX28" s="4428" t="e">
        <f t="shared" si="52"/>
        <v>#DIV/0!</v>
      </c>
      <c r="BY28" s="3409"/>
      <c r="BZ28" s="3341"/>
      <c r="CA28" s="3341"/>
      <c r="CB28" s="3349">
        <f t="shared" si="37"/>
        <v>0</v>
      </c>
      <c r="CC28" s="4428" t="e">
        <f t="shared" si="53"/>
        <v>#DIV/0!</v>
      </c>
      <c r="CD28" s="3409"/>
      <c r="CE28" s="3341"/>
      <c r="CF28" s="3341"/>
      <c r="CG28" s="3349">
        <f t="shared" si="38"/>
        <v>0</v>
      </c>
      <c r="CH28" s="4428" t="e">
        <f t="shared" si="54"/>
        <v>#DIV/0!</v>
      </c>
      <c r="CI28" s="3409"/>
      <c r="CJ28" s="3341">
        <f t="shared" si="39"/>
        <v>0</v>
      </c>
      <c r="CK28" s="3341">
        <f t="shared" si="39"/>
        <v>0</v>
      </c>
      <c r="CL28" s="3349">
        <f t="shared" si="55"/>
        <v>0</v>
      </c>
      <c r="CM28" s="4428">
        <f t="shared" si="40"/>
        <v>0</v>
      </c>
      <c r="CN28" s="1434"/>
      <c r="CP28" s="4615"/>
      <c r="CQ28" s="2012">
        <f t="shared" si="41"/>
        <v>0</v>
      </c>
      <c r="CR28" s="4614">
        <f t="shared" si="56"/>
        <v>0</v>
      </c>
    </row>
    <row r="29" spans="1:100" s="1396" customFormat="1" ht="13.8" outlineLevel="2">
      <c r="A29" s="1571"/>
      <c r="B29" s="4430" t="s">
        <v>31</v>
      </c>
      <c r="C29" s="3341"/>
      <c r="D29" s="3341"/>
      <c r="E29" s="3349">
        <f t="shared" si="19"/>
        <v>0</v>
      </c>
      <c r="F29" s="4428" t="e">
        <f t="shared" si="16"/>
        <v>#DIV/0!</v>
      </c>
      <c r="G29" s="3342"/>
      <c r="H29" s="3341"/>
      <c r="I29" s="3341"/>
      <c r="J29" s="3349">
        <f t="shared" si="20"/>
        <v>0</v>
      </c>
      <c r="K29" s="4428" t="e">
        <f t="shared" si="42"/>
        <v>#DIV/0!</v>
      </c>
      <c r="L29" s="3342"/>
      <c r="M29" s="3341"/>
      <c r="N29" s="3341"/>
      <c r="O29" s="3349">
        <f t="shared" si="21"/>
        <v>0</v>
      </c>
      <c r="P29" s="4428" t="e">
        <f t="shared" si="22"/>
        <v>#DIV/0!</v>
      </c>
      <c r="Q29" s="3342"/>
      <c r="R29" s="3342">
        <f t="shared" si="23"/>
        <v>0</v>
      </c>
      <c r="S29" s="3342">
        <f t="shared" si="23"/>
        <v>0</v>
      </c>
      <c r="T29" s="2012">
        <f t="shared" si="24"/>
        <v>0</v>
      </c>
      <c r="U29" s="3342"/>
      <c r="V29" s="3342"/>
      <c r="W29" s="3342">
        <f t="shared" si="25"/>
        <v>0</v>
      </c>
      <c r="X29" s="3342">
        <f t="shared" si="25"/>
        <v>0</v>
      </c>
      <c r="Y29" s="2012">
        <f t="shared" si="26"/>
        <v>0</v>
      </c>
      <c r="Z29" s="3342"/>
      <c r="AA29" s="3342"/>
      <c r="AB29" s="3341"/>
      <c r="AC29" s="3341"/>
      <c r="AD29" s="3349">
        <f t="shared" si="27"/>
        <v>0</v>
      </c>
      <c r="AE29" s="4428" t="e">
        <f t="shared" si="43"/>
        <v>#DIV/0!</v>
      </c>
      <c r="AF29" s="3342"/>
      <c r="AG29" s="3341"/>
      <c r="AH29" s="3341"/>
      <c r="AI29" s="3349">
        <f t="shared" si="28"/>
        <v>0</v>
      </c>
      <c r="AJ29" s="4428" t="e">
        <f t="shared" si="44"/>
        <v>#DIV/0!</v>
      </c>
      <c r="AK29" s="3342"/>
      <c r="AL29" s="3341"/>
      <c r="AM29" s="3341"/>
      <c r="AN29" s="3349">
        <f t="shared" si="29"/>
        <v>0</v>
      </c>
      <c r="AO29" s="4428">
        <f t="shared" si="45"/>
        <v>0</v>
      </c>
      <c r="AP29" s="3342"/>
      <c r="AQ29" s="3341"/>
      <c r="AR29" s="3341"/>
      <c r="AS29" s="3349">
        <f t="shared" si="30"/>
        <v>0</v>
      </c>
      <c r="AT29" s="4428">
        <f t="shared" si="46"/>
        <v>0</v>
      </c>
      <c r="AU29" s="3409"/>
      <c r="AV29" s="3341"/>
      <c r="AW29" s="3341"/>
      <c r="AX29" s="3349">
        <f t="shared" si="31"/>
        <v>0</v>
      </c>
      <c r="AY29" s="4428">
        <f t="shared" si="47"/>
        <v>0</v>
      </c>
      <c r="AZ29" s="3342"/>
      <c r="BA29" s="3341"/>
      <c r="BB29" s="3341"/>
      <c r="BC29" s="3349">
        <f t="shared" si="32"/>
        <v>0</v>
      </c>
      <c r="BD29" s="4428">
        <f t="shared" si="48"/>
        <v>0</v>
      </c>
      <c r="BE29" s="3342"/>
      <c r="BF29" s="3341"/>
      <c r="BG29" s="3341"/>
      <c r="BH29" s="3349">
        <f t="shared" si="33"/>
        <v>0</v>
      </c>
      <c r="BI29" s="4428" t="e">
        <f t="shared" si="49"/>
        <v>#DIV/0!</v>
      </c>
      <c r="BJ29" s="3342"/>
      <c r="BK29" s="3341"/>
      <c r="BL29" s="3341"/>
      <c r="BM29" s="3349">
        <f t="shared" si="34"/>
        <v>0</v>
      </c>
      <c r="BN29" s="4428" t="e">
        <f t="shared" si="50"/>
        <v>#DIV/0!</v>
      </c>
      <c r="BO29" s="3342"/>
      <c r="BP29" s="3341"/>
      <c r="BQ29" s="3341"/>
      <c r="BR29" s="3349">
        <f t="shared" si="35"/>
        <v>0</v>
      </c>
      <c r="BS29" s="4428" t="e">
        <f t="shared" si="51"/>
        <v>#DIV/0!</v>
      </c>
      <c r="BT29" s="3342"/>
      <c r="BU29" s="3341"/>
      <c r="BV29" s="3341"/>
      <c r="BW29" s="3349">
        <f t="shared" si="36"/>
        <v>0</v>
      </c>
      <c r="BX29" s="4428" t="e">
        <f t="shared" si="52"/>
        <v>#DIV/0!</v>
      </c>
      <c r="BY29" s="3342"/>
      <c r="BZ29" s="3341"/>
      <c r="CA29" s="3341"/>
      <c r="CB29" s="3349">
        <f t="shared" si="37"/>
        <v>0</v>
      </c>
      <c r="CC29" s="4428" t="e">
        <f t="shared" si="53"/>
        <v>#DIV/0!</v>
      </c>
      <c r="CD29" s="3342"/>
      <c r="CE29" s="3341"/>
      <c r="CF29" s="3341"/>
      <c r="CG29" s="3349">
        <f t="shared" si="38"/>
        <v>0</v>
      </c>
      <c r="CH29" s="4428" t="e">
        <f t="shared" si="54"/>
        <v>#DIV/0!</v>
      </c>
      <c r="CI29" s="3342"/>
      <c r="CJ29" s="3341">
        <f t="shared" si="39"/>
        <v>0</v>
      </c>
      <c r="CK29" s="3341">
        <f t="shared" si="39"/>
        <v>0</v>
      </c>
      <c r="CL29" s="3349">
        <f t="shared" si="55"/>
        <v>0</v>
      </c>
      <c r="CM29" s="4428">
        <f t="shared" si="40"/>
        <v>0</v>
      </c>
      <c r="CN29" s="4432"/>
      <c r="CP29" s="4615"/>
      <c r="CQ29" s="2012">
        <f t="shared" si="41"/>
        <v>0</v>
      </c>
      <c r="CR29" s="4614">
        <f t="shared" si="56"/>
        <v>0</v>
      </c>
    </row>
    <row r="30" spans="1:100" s="1396" customFormat="1" ht="13.8" outlineLevel="2">
      <c r="A30" s="1571"/>
      <c r="B30" s="4430" t="s">
        <v>62</v>
      </c>
      <c r="C30" s="3341"/>
      <c r="D30" s="3341"/>
      <c r="E30" s="3349">
        <f t="shared" si="19"/>
        <v>0</v>
      </c>
      <c r="F30" s="4428" t="e">
        <f t="shared" si="16"/>
        <v>#DIV/0!</v>
      </c>
      <c r="G30" s="3343"/>
      <c r="H30" s="3341"/>
      <c r="I30" s="3341"/>
      <c r="J30" s="3349">
        <f t="shared" si="20"/>
        <v>0</v>
      </c>
      <c r="K30" s="4428" t="e">
        <f t="shared" si="42"/>
        <v>#DIV/0!</v>
      </c>
      <c r="L30" s="3343"/>
      <c r="M30" s="3341"/>
      <c r="N30" s="3341"/>
      <c r="O30" s="3349">
        <f t="shared" si="21"/>
        <v>0</v>
      </c>
      <c r="P30" s="4428" t="e">
        <f t="shared" si="22"/>
        <v>#DIV/0!</v>
      </c>
      <c r="Q30" s="3342"/>
      <c r="R30" s="3342">
        <f t="shared" si="23"/>
        <v>0</v>
      </c>
      <c r="S30" s="3342">
        <f t="shared" si="23"/>
        <v>0</v>
      </c>
      <c r="T30" s="2012">
        <f t="shared" si="24"/>
        <v>0</v>
      </c>
      <c r="U30" s="3342"/>
      <c r="V30" s="3342"/>
      <c r="W30" s="3342">
        <f t="shared" si="25"/>
        <v>0</v>
      </c>
      <c r="X30" s="3342">
        <f t="shared" si="25"/>
        <v>0</v>
      </c>
      <c r="Y30" s="2012">
        <f t="shared" si="26"/>
        <v>0</v>
      </c>
      <c r="Z30" s="3342"/>
      <c r="AA30" s="3342"/>
      <c r="AB30" s="3341"/>
      <c r="AC30" s="3341"/>
      <c r="AD30" s="3349">
        <f t="shared" si="27"/>
        <v>0</v>
      </c>
      <c r="AE30" s="4428" t="e">
        <f t="shared" si="43"/>
        <v>#DIV/0!</v>
      </c>
      <c r="AF30" s="3342"/>
      <c r="AG30" s="3341"/>
      <c r="AH30" s="3341"/>
      <c r="AI30" s="3349">
        <f t="shared" si="28"/>
        <v>0</v>
      </c>
      <c r="AJ30" s="4428" t="e">
        <f t="shared" si="44"/>
        <v>#DIV/0!</v>
      </c>
      <c r="AK30" s="3342"/>
      <c r="AL30" s="3341"/>
      <c r="AM30" s="3341"/>
      <c r="AN30" s="3349">
        <f t="shared" si="29"/>
        <v>0</v>
      </c>
      <c r="AO30" s="4428">
        <f t="shared" si="45"/>
        <v>0</v>
      </c>
      <c r="AP30" s="3342"/>
      <c r="AQ30" s="3341"/>
      <c r="AR30" s="3341"/>
      <c r="AS30" s="3349">
        <f t="shared" si="30"/>
        <v>0</v>
      </c>
      <c r="AT30" s="4428">
        <f t="shared" si="46"/>
        <v>0</v>
      </c>
      <c r="AU30" s="3409"/>
      <c r="AV30" s="3341"/>
      <c r="AW30" s="3341"/>
      <c r="AX30" s="3349">
        <f t="shared" si="31"/>
        <v>0</v>
      </c>
      <c r="AY30" s="4428">
        <f t="shared" si="47"/>
        <v>0</v>
      </c>
      <c r="AZ30" s="3342"/>
      <c r="BA30" s="3341"/>
      <c r="BB30" s="3341"/>
      <c r="BC30" s="3349">
        <f t="shared" si="32"/>
        <v>0</v>
      </c>
      <c r="BD30" s="4428">
        <f t="shared" si="48"/>
        <v>0</v>
      </c>
      <c r="BE30" s="3342"/>
      <c r="BF30" s="3341"/>
      <c r="BG30" s="3341"/>
      <c r="BH30" s="3349">
        <f t="shared" si="33"/>
        <v>0</v>
      </c>
      <c r="BI30" s="4428" t="e">
        <f t="shared" si="49"/>
        <v>#DIV/0!</v>
      </c>
      <c r="BJ30" s="3342"/>
      <c r="BK30" s="3341"/>
      <c r="BL30" s="3341"/>
      <c r="BM30" s="3349">
        <f t="shared" si="34"/>
        <v>0</v>
      </c>
      <c r="BN30" s="4428" t="e">
        <f t="shared" si="50"/>
        <v>#DIV/0!</v>
      </c>
      <c r="BO30" s="3342"/>
      <c r="BP30" s="3341"/>
      <c r="BQ30" s="3341"/>
      <c r="BR30" s="3349">
        <f t="shared" si="35"/>
        <v>0</v>
      </c>
      <c r="BS30" s="4428" t="e">
        <f t="shared" si="51"/>
        <v>#DIV/0!</v>
      </c>
      <c r="BT30" s="3342"/>
      <c r="BU30" s="3341"/>
      <c r="BV30" s="3341"/>
      <c r="BW30" s="3349">
        <f t="shared" si="36"/>
        <v>0</v>
      </c>
      <c r="BX30" s="4428" t="e">
        <f t="shared" si="52"/>
        <v>#DIV/0!</v>
      </c>
      <c r="BY30" s="3342"/>
      <c r="BZ30" s="3341"/>
      <c r="CA30" s="3341"/>
      <c r="CB30" s="3349">
        <f t="shared" si="37"/>
        <v>0</v>
      </c>
      <c r="CC30" s="4428" t="e">
        <f t="shared" si="53"/>
        <v>#DIV/0!</v>
      </c>
      <c r="CD30" s="3342"/>
      <c r="CE30" s="3341"/>
      <c r="CF30" s="3341"/>
      <c r="CG30" s="3349">
        <f t="shared" si="38"/>
        <v>0</v>
      </c>
      <c r="CH30" s="4428" t="e">
        <f t="shared" si="54"/>
        <v>#DIV/0!</v>
      </c>
      <c r="CI30" s="3342"/>
      <c r="CJ30" s="3341">
        <f t="shared" si="39"/>
        <v>0</v>
      </c>
      <c r="CK30" s="3341">
        <f t="shared" si="39"/>
        <v>0</v>
      </c>
      <c r="CL30" s="3349">
        <f t="shared" si="55"/>
        <v>0</v>
      </c>
      <c r="CM30" s="4428">
        <f t="shared" si="40"/>
        <v>0</v>
      </c>
      <c r="CN30" s="4432"/>
      <c r="CP30" s="4615"/>
      <c r="CQ30" s="2012">
        <f t="shared" si="41"/>
        <v>0</v>
      </c>
      <c r="CR30" s="4614">
        <f t="shared" si="56"/>
        <v>0</v>
      </c>
    </row>
    <row r="31" spans="1:100" s="1396" customFormat="1" ht="13.8" outlineLevel="2">
      <c r="A31" s="1571"/>
      <c r="B31" s="4430" t="s">
        <v>34</v>
      </c>
      <c r="C31" s="3341"/>
      <c r="D31" s="3341"/>
      <c r="E31" s="3349">
        <f t="shared" si="19"/>
        <v>0</v>
      </c>
      <c r="F31" s="4428" t="e">
        <f t="shared" si="16"/>
        <v>#DIV/0!</v>
      </c>
      <c r="G31" s="3343"/>
      <c r="H31" s="3341"/>
      <c r="I31" s="3341"/>
      <c r="J31" s="3349">
        <f t="shared" si="20"/>
        <v>0</v>
      </c>
      <c r="K31" s="4428" t="e">
        <f t="shared" si="42"/>
        <v>#DIV/0!</v>
      </c>
      <c r="L31" s="3343"/>
      <c r="M31" s="3341"/>
      <c r="N31" s="3341"/>
      <c r="O31" s="3349">
        <f t="shared" si="21"/>
        <v>0</v>
      </c>
      <c r="P31" s="4428" t="e">
        <f t="shared" si="22"/>
        <v>#DIV/0!</v>
      </c>
      <c r="Q31" s="3342"/>
      <c r="R31" s="3342">
        <f t="shared" si="23"/>
        <v>0</v>
      </c>
      <c r="S31" s="3342">
        <f t="shared" si="23"/>
        <v>0</v>
      </c>
      <c r="T31" s="2012">
        <f t="shared" si="24"/>
        <v>0</v>
      </c>
      <c r="U31" s="3342"/>
      <c r="V31" s="3342"/>
      <c r="W31" s="3342">
        <f t="shared" si="25"/>
        <v>0</v>
      </c>
      <c r="X31" s="3342">
        <f t="shared" si="25"/>
        <v>0</v>
      </c>
      <c r="Y31" s="2012">
        <f t="shared" si="26"/>
        <v>0</v>
      </c>
      <c r="Z31" s="3342"/>
      <c r="AA31" s="3342"/>
      <c r="AB31" s="3341"/>
      <c r="AC31" s="3341"/>
      <c r="AD31" s="3349">
        <f t="shared" si="27"/>
        <v>0</v>
      </c>
      <c r="AE31" s="4428" t="e">
        <f t="shared" si="43"/>
        <v>#DIV/0!</v>
      </c>
      <c r="AF31" s="3342"/>
      <c r="AG31" s="3341"/>
      <c r="AH31" s="3341"/>
      <c r="AI31" s="3349">
        <f t="shared" si="28"/>
        <v>0</v>
      </c>
      <c r="AJ31" s="4428" t="e">
        <f t="shared" si="44"/>
        <v>#DIV/0!</v>
      </c>
      <c r="AK31" s="3342"/>
      <c r="AL31" s="3341"/>
      <c r="AM31" s="3341"/>
      <c r="AN31" s="3349">
        <f t="shared" si="29"/>
        <v>0</v>
      </c>
      <c r="AO31" s="4428">
        <f t="shared" si="45"/>
        <v>0</v>
      </c>
      <c r="AP31" s="3342"/>
      <c r="AQ31" s="3341"/>
      <c r="AR31" s="3341"/>
      <c r="AS31" s="3349">
        <f t="shared" si="30"/>
        <v>0</v>
      </c>
      <c r="AT31" s="4428">
        <f t="shared" si="46"/>
        <v>0</v>
      </c>
      <c r="AU31" s="3409"/>
      <c r="AV31" s="3341"/>
      <c r="AW31" s="3341"/>
      <c r="AX31" s="3349">
        <f t="shared" si="31"/>
        <v>0</v>
      </c>
      <c r="AY31" s="4428">
        <f t="shared" si="47"/>
        <v>0</v>
      </c>
      <c r="AZ31" s="3342"/>
      <c r="BA31" s="3341"/>
      <c r="BB31" s="3341"/>
      <c r="BC31" s="3349">
        <f t="shared" si="32"/>
        <v>0</v>
      </c>
      <c r="BD31" s="4428">
        <f t="shared" si="48"/>
        <v>0</v>
      </c>
      <c r="BE31" s="3342"/>
      <c r="BF31" s="3341"/>
      <c r="BG31" s="3341"/>
      <c r="BH31" s="3349">
        <f t="shared" si="33"/>
        <v>0</v>
      </c>
      <c r="BI31" s="4428" t="e">
        <f t="shared" si="49"/>
        <v>#DIV/0!</v>
      </c>
      <c r="BJ31" s="3342"/>
      <c r="BK31" s="3341"/>
      <c r="BL31" s="3341"/>
      <c r="BM31" s="3349">
        <f t="shared" si="34"/>
        <v>0</v>
      </c>
      <c r="BN31" s="4428" t="e">
        <f t="shared" si="50"/>
        <v>#DIV/0!</v>
      </c>
      <c r="BO31" s="3342"/>
      <c r="BP31" s="3341"/>
      <c r="BQ31" s="3341"/>
      <c r="BR31" s="3349">
        <f t="shared" si="35"/>
        <v>0</v>
      </c>
      <c r="BS31" s="4428" t="e">
        <f t="shared" si="51"/>
        <v>#DIV/0!</v>
      </c>
      <c r="BT31" s="3342"/>
      <c r="BU31" s="3341"/>
      <c r="BV31" s="3341"/>
      <c r="BW31" s="3349">
        <f t="shared" si="36"/>
        <v>0</v>
      </c>
      <c r="BX31" s="4428" t="e">
        <f t="shared" si="52"/>
        <v>#DIV/0!</v>
      </c>
      <c r="BY31" s="3342"/>
      <c r="BZ31" s="3341"/>
      <c r="CA31" s="3341"/>
      <c r="CB31" s="3349">
        <f t="shared" si="37"/>
        <v>0</v>
      </c>
      <c r="CC31" s="4428" t="e">
        <f t="shared" si="53"/>
        <v>#DIV/0!</v>
      </c>
      <c r="CD31" s="3342"/>
      <c r="CE31" s="3341"/>
      <c r="CF31" s="3341"/>
      <c r="CG31" s="3349">
        <f t="shared" si="38"/>
        <v>0</v>
      </c>
      <c r="CH31" s="4428" t="e">
        <f t="shared" si="54"/>
        <v>#DIV/0!</v>
      </c>
      <c r="CI31" s="3342"/>
      <c r="CJ31" s="3341">
        <f t="shared" si="39"/>
        <v>0</v>
      </c>
      <c r="CK31" s="3341">
        <f t="shared" si="39"/>
        <v>0</v>
      </c>
      <c r="CL31" s="3349">
        <f t="shared" si="55"/>
        <v>0</v>
      </c>
      <c r="CM31" s="4428">
        <f t="shared" si="40"/>
        <v>0</v>
      </c>
      <c r="CN31" s="4432"/>
      <c r="CP31" s="4615"/>
      <c r="CQ31" s="2012">
        <f t="shared" si="41"/>
        <v>0</v>
      </c>
      <c r="CR31" s="4614">
        <f t="shared" si="56"/>
        <v>0</v>
      </c>
      <c r="CV31" s="933"/>
    </row>
    <row r="32" spans="1:100" s="1396" customFormat="1" ht="13.8" outlineLevel="2">
      <c r="A32" s="1571"/>
      <c r="B32" s="4433" t="s">
        <v>2</v>
      </c>
      <c r="C32" s="3341"/>
      <c r="D32" s="3341"/>
      <c r="E32" s="3349">
        <f t="shared" si="19"/>
        <v>0</v>
      </c>
      <c r="F32" s="4428" t="e">
        <f t="shared" si="16"/>
        <v>#DIV/0!</v>
      </c>
      <c r="G32" s="4434"/>
      <c r="H32" s="3341"/>
      <c r="I32" s="3341"/>
      <c r="J32" s="3349">
        <f t="shared" si="20"/>
        <v>0</v>
      </c>
      <c r="K32" s="4428" t="e">
        <f t="shared" si="42"/>
        <v>#DIV/0!</v>
      </c>
      <c r="L32" s="4434"/>
      <c r="M32" s="3341"/>
      <c r="N32" s="3341"/>
      <c r="O32" s="3349">
        <f t="shared" si="21"/>
        <v>0</v>
      </c>
      <c r="P32" s="4428" t="e">
        <f t="shared" si="22"/>
        <v>#DIV/0!</v>
      </c>
      <c r="Q32" s="4434"/>
      <c r="R32" s="3342">
        <f t="shared" si="23"/>
        <v>0</v>
      </c>
      <c r="S32" s="3342">
        <f t="shared" si="23"/>
        <v>0</v>
      </c>
      <c r="T32" s="2012">
        <f t="shared" si="24"/>
        <v>0</v>
      </c>
      <c r="U32" s="2048"/>
      <c r="V32" s="2048"/>
      <c r="W32" s="3342">
        <f t="shared" si="25"/>
        <v>0</v>
      </c>
      <c r="X32" s="3342">
        <f t="shared" si="25"/>
        <v>0</v>
      </c>
      <c r="Y32" s="2012">
        <f t="shared" si="26"/>
        <v>0</v>
      </c>
      <c r="Z32" s="2048"/>
      <c r="AA32" s="2048"/>
      <c r="AB32" s="3341"/>
      <c r="AC32" s="3341"/>
      <c r="AD32" s="3349">
        <f t="shared" si="27"/>
        <v>0</v>
      </c>
      <c r="AE32" s="4428" t="e">
        <f t="shared" si="43"/>
        <v>#DIV/0!</v>
      </c>
      <c r="AF32" s="4434"/>
      <c r="AG32" s="3341"/>
      <c r="AH32" s="3341"/>
      <c r="AI32" s="3349">
        <f t="shared" si="28"/>
        <v>0</v>
      </c>
      <c r="AJ32" s="4428" t="e">
        <f t="shared" si="44"/>
        <v>#DIV/0!</v>
      </c>
      <c r="AK32" s="4434"/>
      <c r="AL32" s="3341"/>
      <c r="AM32" s="3341"/>
      <c r="AN32" s="3349">
        <f t="shared" si="29"/>
        <v>0</v>
      </c>
      <c r="AO32" s="4428">
        <f t="shared" si="45"/>
        <v>0</v>
      </c>
      <c r="AP32" s="4434"/>
      <c r="AQ32" s="3341"/>
      <c r="AR32" s="3341"/>
      <c r="AS32" s="3349">
        <f t="shared" si="30"/>
        <v>0</v>
      </c>
      <c r="AT32" s="4428">
        <f t="shared" si="46"/>
        <v>0</v>
      </c>
      <c r="AU32" s="4673"/>
      <c r="AV32" s="3341"/>
      <c r="AW32" s="3341"/>
      <c r="AX32" s="3349">
        <f t="shared" si="31"/>
        <v>0</v>
      </c>
      <c r="AY32" s="4428">
        <f t="shared" si="47"/>
        <v>0</v>
      </c>
      <c r="AZ32" s="4434"/>
      <c r="BA32" s="3341"/>
      <c r="BB32" s="3341"/>
      <c r="BC32" s="3349">
        <f t="shared" si="32"/>
        <v>0</v>
      </c>
      <c r="BD32" s="4428">
        <f t="shared" si="48"/>
        <v>0</v>
      </c>
      <c r="BE32" s="4434"/>
      <c r="BF32" s="3341"/>
      <c r="BG32" s="3341"/>
      <c r="BH32" s="3349">
        <f t="shared" si="33"/>
        <v>0</v>
      </c>
      <c r="BI32" s="4428" t="e">
        <f t="shared" si="49"/>
        <v>#DIV/0!</v>
      </c>
      <c r="BJ32" s="4434"/>
      <c r="BK32" s="3341"/>
      <c r="BL32" s="3341"/>
      <c r="BM32" s="3349">
        <f t="shared" si="34"/>
        <v>0</v>
      </c>
      <c r="BN32" s="4428" t="e">
        <f t="shared" si="50"/>
        <v>#DIV/0!</v>
      </c>
      <c r="BO32" s="4434"/>
      <c r="BP32" s="3341"/>
      <c r="BQ32" s="3341"/>
      <c r="BR32" s="3349">
        <f t="shared" si="35"/>
        <v>0</v>
      </c>
      <c r="BS32" s="4428" t="e">
        <f t="shared" si="51"/>
        <v>#DIV/0!</v>
      </c>
      <c r="BT32" s="4434"/>
      <c r="BU32" s="3341"/>
      <c r="BV32" s="3341"/>
      <c r="BW32" s="3349">
        <f t="shared" si="36"/>
        <v>0</v>
      </c>
      <c r="BX32" s="4428" t="e">
        <f t="shared" si="52"/>
        <v>#DIV/0!</v>
      </c>
      <c r="BY32" s="4434"/>
      <c r="BZ32" s="3341"/>
      <c r="CA32" s="3341"/>
      <c r="CB32" s="3349">
        <f t="shared" si="37"/>
        <v>0</v>
      </c>
      <c r="CC32" s="4428" t="e">
        <f t="shared" si="53"/>
        <v>#DIV/0!</v>
      </c>
      <c r="CD32" s="4434"/>
      <c r="CE32" s="3341"/>
      <c r="CF32" s="3341"/>
      <c r="CG32" s="3349">
        <f t="shared" si="38"/>
        <v>0</v>
      </c>
      <c r="CH32" s="4428" t="e">
        <f t="shared" si="54"/>
        <v>#DIV/0!</v>
      </c>
      <c r="CI32" s="4434"/>
      <c r="CJ32" s="4622">
        <f t="shared" si="39"/>
        <v>0</v>
      </c>
      <c r="CK32" s="4623">
        <f t="shared" si="39"/>
        <v>0</v>
      </c>
      <c r="CL32" s="3349">
        <f t="shared" si="55"/>
        <v>0</v>
      </c>
      <c r="CM32" s="4428">
        <f t="shared" si="40"/>
        <v>0</v>
      </c>
      <c r="CN32" s="4432"/>
      <c r="CP32" s="4615"/>
      <c r="CQ32" s="2012">
        <f t="shared" si="41"/>
        <v>0</v>
      </c>
      <c r="CR32" s="4614">
        <f t="shared" si="56"/>
        <v>0</v>
      </c>
    </row>
    <row r="33" spans="1:98" s="1396" customFormat="1" ht="14.4" outlineLevel="2" thickBot="1">
      <c r="A33" s="1571"/>
      <c r="B33" s="4435" t="s">
        <v>75</v>
      </c>
      <c r="C33" s="4624"/>
      <c r="D33" s="4624"/>
      <c r="E33" s="4625">
        <f t="shared" ref="E33" si="59">C33+D33*1</f>
        <v>0</v>
      </c>
      <c r="F33" s="4437" t="e">
        <f t="shared" si="16"/>
        <v>#DIV/0!</v>
      </c>
      <c r="G33" s="4438"/>
      <c r="H33" s="4624"/>
      <c r="I33" s="4624"/>
      <c r="J33" s="4625">
        <f>H33+I33*1</f>
        <v>0</v>
      </c>
      <c r="K33" s="4437" t="e">
        <f t="shared" si="42"/>
        <v>#DIV/0!</v>
      </c>
      <c r="L33" s="4438"/>
      <c r="M33" s="4624"/>
      <c r="N33" s="4624"/>
      <c r="O33" s="4625">
        <f t="shared" ref="O33" si="60">M33+N33*1</f>
        <v>0</v>
      </c>
      <c r="P33" s="4428" t="e">
        <f t="shared" si="22"/>
        <v>#DIV/0!</v>
      </c>
      <c r="Q33" s="4438"/>
      <c r="R33" s="4626">
        <f t="shared" si="23"/>
        <v>0</v>
      </c>
      <c r="S33" s="4627">
        <f t="shared" si="23"/>
        <v>0</v>
      </c>
      <c r="T33" s="4628">
        <f t="shared" si="24"/>
        <v>0</v>
      </c>
      <c r="U33" s="4438"/>
      <c r="V33" s="4438"/>
      <c r="W33" s="4627">
        <f t="shared" si="25"/>
        <v>0</v>
      </c>
      <c r="X33" s="4627">
        <f t="shared" si="25"/>
        <v>0</v>
      </c>
      <c r="Y33" s="4628">
        <f t="shared" si="26"/>
        <v>0</v>
      </c>
      <c r="Z33" s="4438"/>
      <c r="AA33" s="4438"/>
      <c r="AB33" s="4624"/>
      <c r="AC33" s="4624"/>
      <c r="AD33" s="4625">
        <f t="shared" ref="AD33" si="61">AB33+AC33*1</f>
        <v>0</v>
      </c>
      <c r="AE33" s="4437" t="e">
        <f t="shared" si="43"/>
        <v>#DIV/0!</v>
      </c>
      <c r="AF33" s="4438"/>
      <c r="AG33" s="4624"/>
      <c r="AH33" s="4624"/>
      <c r="AI33" s="4625">
        <f t="shared" ref="AI33" si="62">AG33+AH33*1</f>
        <v>0</v>
      </c>
      <c r="AJ33" s="4437" t="e">
        <f t="shared" si="44"/>
        <v>#DIV/0!</v>
      </c>
      <c r="AK33" s="4438"/>
      <c r="AL33" s="4624"/>
      <c r="AM33" s="4624"/>
      <c r="AN33" s="4625">
        <f t="shared" ref="AN33" si="63">AL33+AM33*1</f>
        <v>0</v>
      </c>
      <c r="AO33" s="4437">
        <f t="shared" si="45"/>
        <v>0</v>
      </c>
      <c r="AP33" s="4438"/>
      <c r="AQ33" s="4624"/>
      <c r="AR33" s="4624"/>
      <c r="AS33" s="4625">
        <f t="shared" ref="AS33" si="64">AQ33+AR33*1</f>
        <v>0</v>
      </c>
      <c r="AT33" s="4437">
        <f t="shared" si="46"/>
        <v>0</v>
      </c>
      <c r="AU33" s="4674"/>
      <c r="AV33" s="4624"/>
      <c r="AW33" s="4624"/>
      <c r="AX33" s="4625">
        <f t="shared" ref="AX33" si="65">AV33+AW33*1</f>
        <v>0</v>
      </c>
      <c r="AY33" s="4437">
        <f t="shared" si="47"/>
        <v>0</v>
      </c>
      <c r="AZ33" s="4438"/>
      <c r="BA33" s="4624"/>
      <c r="BB33" s="4624"/>
      <c r="BC33" s="4625">
        <f t="shared" ref="BC33" si="66">BA33+BB33*1</f>
        <v>0</v>
      </c>
      <c r="BD33" s="4437">
        <f t="shared" si="48"/>
        <v>0</v>
      </c>
      <c r="BE33" s="4438"/>
      <c r="BF33" s="4624"/>
      <c r="BG33" s="4624"/>
      <c r="BH33" s="4625">
        <f t="shared" ref="BH33" si="67">BF33+BG33*1</f>
        <v>0</v>
      </c>
      <c r="BI33" s="4437" t="e">
        <f t="shared" si="49"/>
        <v>#DIV/0!</v>
      </c>
      <c r="BJ33" s="4438"/>
      <c r="BK33" s="4624"/>
      <c r="BL33" s="4624"/>
      <c r="BM33" s="4625">
        <f t="shared" ref="BM33" si="68">BK33+BL33*1</f>
        <v>0</v>
      </c>
      <c r="BN33" s="4437" t="e">
        <f t="shared" si="50"/>
        <v>#DIV/0!</v>
      </c>
      <c r="BO33" s="4438"/>
      <c r="BP33" s="4624"/>
      <c r="BQ33" s="4624"/>
      <c r="BR33" s="4625">
        <f t="shared" ref="BR33" si="69">BP33+BQ33*1</f>
        <v>0</v>
      </c>
      <c r="BS33" s="4437" t="e">
        <f t="shared" si="51"/>
        <v>#DIV/0!</v>
      </c>
      <c r="BT33" s="4438"/>
      <c r="BU33" s="4624"/>
      <c r="BV33" s="4624"/>
      <c r="BW33" s="4625">
        <f t="shared" ref="BW33" si="70">BU33+BV33*1</f>
        <v>0</v>
      </c>
      <c r="BX33" s="4437" t="e">
        <f t="shared" si="52"/>
        <v>#DIV/0!</v>
      </c>
      <c r="BY33" s="4438"/>
      <c r="BZ33" s="4624"/>
      <c r="CA33" s="4624"/>
      <c r="CB33" s="4625">
        <f t="shared" ref="CB33" si="71">BZ33+CA33*1</f>
        <v>0</v>
      </c>
      <c r="CC33" s="4437" t="e">
        <f t="shared" si="53"/>
        <v>#DIV/0!</v>
      </c>
      <c r="CD33" s="4438"/>
      <c r="CE33" s="4624"/>
      <c r="CF33" s="4624"/>
      <c r="CG33" s="4625">
        <f t="shared" ref="CG33" si="72">CE33+CF33*1</f>
        <v>0</v>
      </c>
      <c r="CH33" s="4437" t="e">
        <f t="shared" si="54"/>
        <v>#DIV/0!</v>
      </c>
      <c r="CI33" s="4438"/>
      <c r="CJ33" s="4629">
        <f t="shared" si="39"/>
        <v>0</v>
      </c>
      <c r="CK33" s="4624">
        <f t="shared" si="39"/>
        <v>0</v>
      </c>
      <c r="CL33" s="4625">
        <f t="shared" si="55"/>
        <v>0</v>
      </c>
      <c r="CM33" s="4488">
        <f t="shared" si="40"/>
        <v>0</v>
      </c>
      <c r="CN33" s="4490"/>
      <c r="CP33" s="4615"/>
      <c r="CQ33" s="4615"/>
      <c r="CR33" s="4614">
        <f t="shared" si="56"/>
        <v>0</v>
      </c>
      <c r="CT33" s="2624"/>
    </row>
    <row r="34" spans="1:98"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1"/>
      <c r="AC34" s="3341"/>
      <c r="AD34" s="3368"/>
      <c r="AE34" s="3368"/>
      <c r="AF34" s="3448"/>
      <c r="AG34" s="3341"/>
      <c r="AH34" s="3341"/>
      <c r="AI34" s="3368"/>
      <c r="AJ34" s="3368"/>
      <c r="AK34" s="3448"/>
      <c r="AL34" s="3341"/>
      <c r="AM34" s="3341"/>
      <c r="AN34" s="3368"/>
      <c r="AO34" s="3368"/>
      <c r="AP34" s="3448"/>
      <c r="AQ34" s="3341"/>
      <c r="AR34" s="3341"/>
      <c r="AS34" s="3368"/>
      <c r="AT34" s="3368"/>
      <c r="AU34" s="3721"/>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3449"/>
      <c r="CQ34" s="3449"/>
      <c r="CR34" s="3450"/>
      <c r="CT34" s="2624"/>
    </row>
    <row r="35" spans="1:98" s="1396" customFormat="1" ht="13.8" outlineLevel="1">
      <c r="A35" s="1571"/>
      <c r="B35" s="4440" t="s">
        <v>80</v>
      </c>
      <c r="C35" s="4441">
        <f>C36</f>
        <v>0</v>
      </c>
      <c r="D35" s="4441">
        <f>D36</f>
        <v>0</v>
      </c>
      <c r="E35" s="4442">
        <f>E36</f>
        <v>0</v>
      </c>
      <c r="F35" s="4442"/>
      <c r="G35" s="4443"/>
      <c r="H35" s="4441">
        <f>H36</f>
        <v>0</v>
      </c>
      <c r="I35" s="4441">
        <f>I36</f>
        <v>0</v>
      </c>
      <c r="J35" s="4442">
        <f>J36</f>
        <v>0</v>
      </c>
      <c r="K35" s="4442"/>
      <c r="L35" s="4443"/>
      <c r="M35" s="4441">
        <f>M36</f>
        <v>0</v>
      </c>
      <c r="N35" s="4441">
        <f>N36</f>
        <v>0</v>
      </c>
      <c r="O35" s="4442">
        <f>O36</f>
        <v>0</v>
      </c>
      <c r="P35" s="4442"/>
      <c r="Q35" s="4443"/>
      <c r="R35" s="4441">
        <f>R36</f>
        <v>0</v>
      </c>
      <c r="S35" s="4441">
        <f>S36</f>
        <v>0</v>
      </c>
      <c r="T35" s="4442">
        <f>T36</f>
        <v>0</v>
      </c>
      <c r="U35" s="4444"/>
      <c r="V35" s="4444"/>
      <c r="W35" s="4441">
        <f>W36</f>
        <v>0</v>
      </c>
      <c r="X35" s="4441">
        <f>X36</f>
        <v>0</v>
      </c>
      <c r="Y35" s="4442">
        <f>Y36</f>
        <v>0</v>
      </c>
      <c r="Z35" s="4444"/>
      <c r="AA35" s="4444"/>
      <c r="AB35" s="4441">
        <f>AB36</f>
        <v>0</v>
      </c>
      <c r="AC35" s="4441">
        <f>AC36</f>
        <v>0</v>
      </c>
      <c r="AD35" s="4442">
        <f>AD36</f>
        <v>0</v>
      </c>
      <c r="AE35" s="4442"/>
      <c r="AF35" s="4443"/>
      <c r="AG35" s="4441">
        <f>AG36</f>
        <v>0</v>
      </c>
      <c r="AH35" s="4441">
        <f>AH36</f>
        <v>0</v>
      </c>
      <c r="AI35" s="4442">
        <f>AI36</f>
        <v>0</v>
      </c>
      <c r="AJ35" s="4442"/>
      <c r="AK35" s="4443"/>
      <c r="AL35" s="4441">
        <f>AL36</f>
        <v>0</v>
      </c>
      <c r="AM35" s="4441">
        <f>AM36</f>
        <v>0</v>
      </c>
      <c r="AN35" s="4442">
        <f>AN36</f>
        <v>0</v>
      </c>
      <c r="AO35" s="4442"/>
      <c r="AP35" s="4443"/>
      <c r="AQ35" s="4441">
        <f>AQ36</f>
        <v>0</v>
      </c>
      <c r="AR35" s="4441">
        <f>AR36</f>
        <v>0</v>
      </c>
      <c r="AS35" s="4442">
        <f>AS36</f>
        <v>0</v>
      </c>
      <c r="AT35" s="4442"/>
      <c r="AU35" s="4675"/>
      <c r="AV35" s="4441">
        <f>AV36</f>
        <v>0</v>
      </c>
      <c r="AW35" s="4441">
        <f>AW36</f>
        <v>0</v>
      </c>
      <c r="AX35" s="4442">
        <f>AX36</f>
        <v>0</v>
      </c>
      <c r="AY35" s="4442"/>
      <c r="AZ35" s="4443"/>
      <c r="BA35" s="4441">
        <f>BA36</f>
        <v>0</v>
      </c>
      <c r="BB35" s="4441">
        <f>BB36</f>
        <v>0</v>
      </c>
      <c r="BC35" s="4442">
        <f>BC36</f>
        <v>0</v>
      </c>
      <c r="BD35" s="4442"/>
      <c r="BE35" s="4443"/>
      <c r="BF35" s="4441">
        <f>BF36</f>
        <v>0</v>
      </c>
      <c r="BG35" s="4441">
        <f>BG36</f>
        <v>0</v>
      </c>
      <c r="BH35" s="4442">
        <f>BH36</f>
        <v>0</v>
      </c>
      <c r="BI35" s="4442"/>
      <c r="BJ35" s="4443"/>
      <c r="BK35" s="4441">
        <f>BK36</f>
        <v>0</v>
      </c>
      <c r="BL35" s="4441">
        <f>BL36</f>
        <v>0</v>
      </c>
      <c r="BM35" s="4442">
        <f>BM36</f>
        <v>0</v>
      </c>
      <c r="BN35" s="4442"/>
      <c r="BO35" s="4443"/>
      <c r="BP35" s="4441">
        <f>BP36</f>
        <v>0</v>
      </c>
      <c r="BQ35" s="4441">
        <f>BQ36</f>
        <v>0</v>
      </c>
      <c r="BR35" s="4442">
        <f>BR36</f>
        <v>0</v>
      </c>
      <c r="BS35" s="4442"/>
      <c r="BT35" s="4443"/>
      <c r="BU35" s="4441">
        <f>BU36</f>
        <v>0</v>
      </c>
      <c r="BV35" s="4441">
        <f>BV36</f>
        <v>0</v>
      </c>
      <c r="BW35" s="4442">
        <f>BW36</f>
        <v>0</v>
      </c>
      <c r="BX35" s="4442"/>
      <c r="BY35" s="4443"/>
      <c r="BZ35" s="4441">
        <f>BZ36</f>
        <v>0</v>
      </c>
      <c r="CA35" s="4441">
        <f>CA36</f>
        <v>0</v>
      </c>
      <c r="CB35" s="4442">
        <f>CB36</f>
        <v>0</v>
      </c>
      <c r="CC35" s="4442"/>
      <c r="CD35" s="4443"/>
      <c r="CE35" s="4441">
        <f>CE36</f>
        <v>0</v>
      </c>
      <c r="CF35" s="4441">
        <f>CF36</f>
        <v>0</v>
      </c>
      <c r="CG35" s="4442">
        <f>CG36</f>
        <v>0</v>
      </c>
      <c r="CH35" s="4442"/>
      <c r="CI35" s="4443"/>
      <c r="CJ35" s="4441">
        <f>CJ36</f>
        <v>0</v>
      </c>
      <c r="CK35" s="4441">
        <f>CK36</f>
        <v>0</v>
      </c>
      <c r="CL35" s="4442">
        <f>CL36</f>
        <v>0</v>
      </c>
      <c r="CM35" s="4442"/>
      <c r="CN35" s="4442"/>
      <c r="CP35" s="4442">
        <f>CP36</f>
        <v>0</v>
      </c>
      <c r="CQ35" s="4442">
        <f>CQ36</f>
        <v>0</v>
      </c>
      <c r="CR35" s="4669">
        <f>CR36</f>
        <v>0</v>
      </c>
      <c r="CT35" s="2624"/>
    </row>
    <row r="36" spans="1:98" s="1396" customFormat="1" ht="13.8" outlineLevel="3">
      <c r="A36" s="1571"/>
      <c r="B36" s="4632" t="s">
        <v>81</v>
      </c>
      <c r="C36" s="3341"/>
      <c r="D36" s="3341"/>
      <c r="E36" s="2012">
        <f>C36+D36*1</f>
        <v>0</v>
      </c>
      <c r="F36" s="4428" t="e">
        <f>E36/$E$89</f>
        <v>#DIV/0!</v>
      </c>
      <c r="G36" s="4633"/>
      <c r="H36" s="3341"/>
      <c r="I36" s="3341"/>
      <c r="J36" s="2012">
        <f>H36+I36*1</f>
        <v>0</v>
      </c>
      <c r="K36" s="4428" t="e">
        <f t="shared" ref="K36" si="73">J36/J$89</f>
        <v>#DIV/0!</v>
      </c>
      <c r="L36" s="4633"/>
      <c r="M36" s="3341"/>
      <c r="N36" s="3341"/>
      <c r="O36" s="3349">
        <f t="shared" ref="O36" si="74">M36+N36</f>
        <v>0</v>
      </c>
      <c r="P36" s="4428" t="e">
        <f t="shared" ref="P36" si="75">O36/O$89</f>
        <v>#DIV/0!</v>
      </c>
      <c r="Q36" s="4633"/>
      <c r="R36" s="3342">
        <f t="shared" ref="R36:S36" si="76">M36+H36+C36</f>
        <v>0</v>
      </c>
      <c r="S36" s="3342">
        <f t="shared" si="76"/>
        <v>0</v>
      </c>
      <c r="T36" s="2012">
        <f t="shared" ref="T36" si="77">R36+S36</f>
        <v>0</v>
      </c>
      <c r="U36" s="3455"/>
      <c r="V36" s="3455"/>
      <c r="W36" s="3342">
        <f t="shared" ref="W36:X36" si="78">AB36+AG36+AL36+AV36+BA36+BF36+BK36+BP36+BU36+BZ36+CE36+AQ36</f>
        <v>0</v>
      </c>
      <c r="X36" s="3342">
        <f t="shared" si="78"/>
        <v>0</v>
      </c>
      <c r="Y36" s="2012">
        <f t="shared" ref="Y36" si="79">W36+X36</f>
        <v>0</v>
      </c>
      <c r="Z36" s="3455"/>
      <c r="AA36" s="3455"/>
      <c r="AB36" s="3341"/>
      <c r="AC36" s="3341"/>
      <c r="AD36" s="3349">
        <f t="shared" ref="AD36" si="80">AB36+AC36</f>
        <v>0</v>
      </c>
      <c r="AE36" s="4428" t="e">
        <f>AD36/AD$89</f>
        <v>#DIV/0!</v>
      </c>
      <c r="AF36" s="4633"/>
      <c r="AG36" s="3341"/>
      <c r="AH36" s="3341"/>
      <c r="AI36" s="3349">
        <f t="shared" ref="AI36" si="81">AG36+AH36</f>
        <v>0</v>
      </c>
      <c r="AJ36" s="4428" t="e">
        <f>AI36/AI$89</f>
        <v>#DIV/0!</v>
      </c>
      <c r="AK36" s="4633"/>
      <c r="AL36" s="3341"/>
      <c r="AM36" s="3341"/>
      <c r="AN36" s="3349">
        <f t="shared" ref="AN36" si="82">AL36+AM36</f>
        <v>0</v>
      </c>
      <c r="AO36" s="4428">
        <f>AN36/AN$89</f>
        <v>0</v>
      </c>
      <c r="AP36" s="4633"/>
      <c r="AQ36" s="3341"/>
      <c r="AR36" s="3341"/>
      <c r="AS36" s="3349">
        <f t="shared" ref="AS36" si="83">AQ36+AR36</f>
        <v>0</v>
      </c>
      <c r="AT36" s="4428">
        <f>AS36/AS$89</f>
        <v>0</v>
      </c>
      <c r="AU36" s="4676"/>
      <c r="AV36" s="3341"/>
      <c r="AW36" s="3341"/>
      <c r="AX36" s="3349">
        <f t="shared" ref="AX36" si="84">AV36+AW36</f>
        <v>0</v>
      </c>
      <c r="AY36" s="4428">
        <f>AX36/AX$89</f>
        <v>0</v>
      </c>
      <c r="AZ36" s="4633"/>
      <c r="BA36" s="3341"/>
      <c r="BB36" s="3341"/>
      <c r="BC36" s="3349">
        <f t="shared" ref="BC36" si="85">BA36+BB36</f>
        <v>0</v>
      </c>
      <c r="BD36" s="4428">
        <f>BC36/BC$89</f>
        <v>0</v>
      </c>
      <c r="BE36" s="4633"/>
      <c r="BF36" s="3341"/>
      <c r="BG36" s="3341"/>
      <c r="BH36" s="3349">
        <f t="shared" ref="BH36" si="86">BF36+BG36</f>
        <v>0</v>
      </c>
      <c r="BI36" s="4428" t="e">
        <f>BH36/BH$89</f>
        <v>#DIV/0!</v>
      </c>
      <c r="BJ36" s="4633"/>
      <c r="BK36" s="3341"/>
      <c r="BL36" s="3341"/>
      <c r="BM36" s="3349">
        <f t="shared" ref="BM36" si="87">BK36+BL36</f>
        <v>0</v>
      </c>
      <c r="BN36" s="4428" t="e">
        <f>BM36/BM$89</f>
        <v>#DIV/0!</v>
      </c>
      <c r="BO36" s="4633"/>
      <c r="BP36" s="3341"/>
      <c r="BQ36" s="3341"/>
      <c r="BR36" s="3349">
        <f t="shared" ref="BR36" si="88">BP36+BQ36</f>
        <v>0</v>
      </c>
      <c r="BS36" s="4428" t="e">
        <f>BR36/BR$89</f>
        <v>#DIV/0!</v>
      </c>
      <c r="BT36" s="4633"/>
      <c r="BU36" s="3341"/>
      <c r="BV36" s="3341"/>
      <c r="BW36" s="3349">
        <f t="shared" ref="BW36" si="89">BU36+BV36</f>
        <v>0</v>
      </c>
      <c r="BX36" s="4428" t="e">
        <f>BW36/BW$89</f>
        <v>#DIV/0!</v>
      </c>
      <c r="BY36" s="4633"/>
      <c r="BZ36" s="3341"/>
      <c r="CA36" s="3341"/>
      <c r="CB36" s="3349">
        <f t="shared" ref="CB36" si="90">BZ36+CA36</f>
        <v>0</v>
      </c>
      <c r="CC36" s="4428" t="e">
        <f>CB36/CB$89</f>
        <v>#DIV/0!</v>
      </c>
      <c r="CD36" s="4633"/>
      <c r="CE36" s="3341"/>
      <c r="CF36" s="3341"/>
      <c r="CG36" s="3349">
        <f t="shared" ref="CG36" si="91">CE36+CF36</f>
        <v>0</v>
      </c>
      <c r="CH36" s="4428" t="e">
        <f>CG36/CG$89</f>
        <v>#DIV/0!</v>
      </c>
      <c r="CI36" s="4633"/>
      <c r="CJ36" s="3341">
        <f t="shared" ref="CJ36:CK36" si="92">C36+H36+M36+W36</f>
        <v>0</v>
      </c>
      <c r="CK36" s="3341">
        <f t="shared" si="92"/>
        <v>0</v>
      </c>
      <c r="CL36" s="2012">
        <f>CJ36+CK36*1</f>
        <v>0</v>
      </c>
      <c r="CM36" s="4428">
        <f>CL36/$CL$89</f>
        <v>0</v>
      </c>
      <c r="CN36" s="4611"/>
      <c r="CP36" s="2012"/>
      <c r="CQ36" s="2012">
        <f t="shared" ref="CQ36" si="93">CL36</f>
        <v>0</v>
      </c>
      <c r="CR36" s="4614">
        <f t="shared" ref="CR36" si="94">CP36-CQ36</f>
        <v>0</v>
      </c>
      <c r="CT36" s="3443"/>
    </row>
    <row r="37" spans="1:98" s="1396" customFormat="1" ht="14.4" outlineLevel="1" thickBot="1">
      <c r="A37" s="1398"/>
      <c r="B37" s="4446"/>
      <c r="C37" s="3341"/>
      <c r="D37" s="3341"/>
      <c r="E37" s="4609"/>
      <c r="F37" s="4609"/>
      <c r="G37" s="4634"/>
      <c r="H37" s="3341"/>
      <c r="I37" s="3341"/>
      <c r="J37" s="4609"/>
      <c r="K37" s="4609"/>
      <c r="L37" s="4634"/>
      <c r="M37" s="3341"/>
      <c r="N37" s="3341"/>
      <c r="O37" s="4609"/>
      <c r="P37" s="4609"/>
      <c r="Q37" s="4634"/>
      <c r="R37" s="3456"/>
      <c r="S37" s="3456"/>
      <c r="T37" s="3456"/>
      <c r="U37" s="3456"/>
      <c r="V37" s="3456"/>
      <c r="W37" s="3342">
        <f t="shared" ref="W37:X37" si="95">AB37+AG37+AL37+AV37+BA37+BF37+BK37+BP37+BU37+BZ37+CE37</f>
        <v>0</v>
      </c>
      <c r="X37" s="3342">
        <f t="shared" si="95"/>
        <v>0</v>
      </c>
      <c r="Y37" s="3456"/>
      <c r="Z37" s="3456"/>
      <c r="AA37" s="3456"/>
      <c r="AB37" s="3341"/>
      <c r="AC37" s="3341"/>
      <c r="AD37" s="4609"/>
      <c r="AE37" s="4609"/>
      <c r="AF37" s="4634"/>
      <c r="AG37" s="3341"/>
      <c r="AH37" s="3341"/>
      <c r="AI37" s="4609"/>
      <c r="AJ37" s="4609"/>
      <c r="AK37" s="4634"/>
      <c r="AL37" s="3341"/>
      <c r="AM37" s="3341"/>
      <c r="AN37" s="4609"/>
      <c r="AO37" s="4609"/>
      <c r="AP37" s="4634"/>
      <c r="AQ37" s="3341"/>
      <c r="AR37" s="3341"/>
      <c r="AS37" s="4609"/>
      <c r="AT37" s="4609"/>
      <c r="AU37" s="4677"/>
      <c r="AV37" s="3341"/>
      <c r="AW37" s="3341"/>
      <c r="AX37" s="4609"/>
      <c r="AY37" s="4609"/>
      <c r="AZ37" s="4634"/>
      <c r="BA37" s="3341"/>
      <c r="BB37" s="3341"/>
      <c r="BC37" s="4609"/>
      <c r="BD37" s="4609"/>
      <c r="BE37" s="4634"/>
      <c r="BF37" s="3341"/>
      <c r="BG37" s="3341"/>
      <c r="BH37" s="4609"/>
      <c r="BI37" s="4609"/>
      <c r="BJ37" s="4634"/>
      <c r="BK37" s="3341"/>
      <c r="BL37" s="3341"/>
      <c r="BM37" s="4609"/>
      <c r="BN37" s="4609"/>
      <c r="BO37" s="4634"/>
      <c r="BP37" s="3341"/>
      <c r="BQ37" s="3341"/>
      <c r="BR37" s="4609"/>
      <c r="BS37" s="4609"/>
      <c r="BT37" s="4634"/>
      <c r="BU37" s="3341"/>
      <c r="BV37" s="3341"/>
      <c r="BW37" s="4609"/>
      <c r="BX37" s="4609"/>
      <c r="BY37" s="4634"/>
      <c r="BZ37" s="3341"/>
      <c r="CA37" s="3341"/>
      <c r="CB37" s="4609"/>
      <c r="CC37" s="4609"/>
      <c r="CD37" s="4634"/>
      <c r="CE37" s="3341"/>
      <c r="CF37" s="3341"/>
      <c r="CG37" s="4609"/>
      <c r="CH37" s="4609"/>
      <c r="CI37" s="4634"/>
      <c r="CJ37" s="3341"/>
      <c r="CK37" s="3341"/>
      <c r="CL37" s="4609"/>
      <c r="CM37" s="4609"/>
      <c r="CN37" s="4609"/>
      <c r="CP37" s="4645"/>
      <c r="CQ37" s="4645"/>
      <c r="CR37" s="4670"/>
      <c r="CT37" s="2624"/>
    </row>
    <row r="38" spans="1:98"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0</v>
      </c>
      <c r="O38" s="3749">
        <f>(O5)-(O8)</f>
        <v>0</v>
      </c>
      <c r="P38" s="3749"/>
      <c r="Q38" s="3750"/>
      <c r="R38" s="3749">
        <f>(R5)-(R8)</f>
        <v>0</v>
      </c>
      <c r="S38" s="3749">
        <f>(S5)-(S8)</f>
        <v>0</v>
      </c>
      <c r="T38" s="3749">
        <f>(T5)-(T8)</f>
        <v>0</v>
      </c>
      <c r="U38" s="3750"/>
      <c r="V38" s="3750"/>
      <c r="W38" s="3749">
        <f>(W5)-(W8)</f>
        <v>1313565.7704556959</v>
      </c>
      <c r="X38" s="3749">
        <f>(X5)-(X8)</f>
        <v>-662619.75</v>
      </c>
      <c r="Y38" s="3749">
        <f>(Y5)-(Y8)</f>
        <v>650946.02045569592</v>
      </c>
      <c r="Z38" s="3750"/>
      <c r="AA38" s="3750"/>
      <c r="AB38" s="3749">
        <f>(AB5)-(AB8)</f>
        <v>0</v>
      </c>
      <c r="AC38" s="3749">
        <f>(AC5)-(AC8)</f>
        <v>0</v>
      </c>
      <c r="AD38" s="3749">
        <f>(AD5)-(AD8)</f>
        <v>0</v>
      </c>
      <c r="AE38" s="3749"/>
      <c r="AF38" s="3750"/>
      <c r="AG38" s="3749">
        <f>(AG5)-(AG8)</f>
        <v>0</v>
      </c>
      <c r="AH38" s="3749">
        <f>(AH5)-(AH8)</f>
        <v>0</v>
      </c>
      <c r="AI38" s="3749">
        <f>(AI5)-(AI8)</f>
        <v>0</v>
      </c>
      <c r="AJ38" s="3749"/>
      <c r="AK38" s="3750"/>
      <c r="AL38" s="3749">
        <f>(AL5)-(AL8)</f>
        <v>-139662.34</v>
      </c>
      <c r="AM38" s="3749">
        <f>(AM5)-(AM8)</f>
        <v>-217661.81</v>
      </c>
      <c r="AN38" s="3749">
        <f>(AN5)-(AN8)</f>
        <v>-357324.15</v>
      </c>
      <c r="AO38" s="3749"/>
      <c r="AP38" s="3750"/>
      <c r="AQ38" s="3749">
        <f>(AQ5)-(AQ8)</f>
        <v>163566.31045569602</v>
      </c>
      <c r="AR38" s="3749">
        <f>(AR5)-(AR8)</f>
        <v>-296274.44</v>
      </c>
      <c r="AS38" s="3749">
        <f>(AS5)-(AS8)</f>
        <v>-132708.12954430399</v>
      </c>
      <c r="AT38" s="3749"/>
      <c r="AU38" s="3749"/>
      <c r="AV38" s="3749">
        <f>(AV5)-(AV8)</f>
        <v>1253063.43</v>
      </c>
      <c r="AW38" s="3749">
        <f>(AW5)-(AW8)</f>
        <v>-145864</v>
      </c>
      <c r="AX38" s="3749">
        <f>(AX5)-(AX8)</f>
        <v>1107199.43</v>
      </c>
      <c r="AY38" s="3749"/>
      <c r="AZ38" s="3750"/>
      <c r="BA38" s="3749">
        <f>(BA5)-(BA8)</f>
        <v>36598.370000000003</v>
      </c>
      <c r="BB38" s="3749">
        <f>(BB5)-(BB8)</f>
        <v>-2819.5</v>
      </c>
      <c r="BC38" s="3749">
        <f>(BC5)-(BC8)</f>
        <v>33778.870000000003</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1313565.7704556959</v>
      </c>
      <c r="CK38" s="3751">
        <f>(CK5)-(CK8)</f>
        <v>-662619.75</v>
      </c>
      <c r="CL38" s="3751">
        <f>(CL5)-(CL8)</f>
        <v>650946.02045569592</v>
      </c>
      <c r="CM38" s="3749"/>
      <c r="CN38" s="3749"/>
      <c r="CP38" s="3749">
        <f>(CP5)-(CP8)</f>
        <v>837790.22910600016</v>
      </c>
      <c r="CQ38" s="3760">
        <f>(CQ5)-(CQ8)</f>
        <v>650946.02045569592</v>
      </c>
      <c r="CR38" s="3749">
        <f>(CR5)-(CR8)</f>
        <v>-172910.11134969603</v>
      </c>
      <c r="CT38" s="3761"/>
    </row>
    <row r="39" spans="1:98"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2003">
        <f>IFERROR(AB38/(AB5),0)</f>
        <v>0</v>
      </c>
      <c r="AC39" s="2003">
        <f>IFERROR(AC38/(AC5),0)</f>
        <v>0</v>
      </c>
      <c r="AD39" s="2004">
        <f>IFERROR(AD38/(AD5),0)</f>
        <v>0</v>
      </c>
      <c r="AE39" s="2004"/>
      <c r="AF39" s="1056"/>
      <c r="AG39" s="2003">
        <f>IFERROR(AG38/(AG5),0)</f>
        <v>0</v>
      </c>
      <c r="AH39" s="2003">
        <f>IFERROR(AH38/(AH5),0)</f>
        <v>0</v>
      </c>
      <c r="AI39" s="2004">
        <f>IFERROR(AI38/(AI5),0)</f>
        <v>0</v>
      </c>
      <c r="AJ39" s="2004"/>
      <c r="AK39" s="1056"/>
      <c r="AL39" s="2003">
        <f>IFERROR(AL38/(AL5),0)</f>
        <v>-13.301175238095238</v>
      </c>
      <c r="AM39" s="2003">
        <f>IFERROR(AM38/(AM5),0)</f>
        <v>0</v>
      </c>
      <c r="AN39" s="2004">
        <f>IFERROR(AN38/(AN5),0)</f>
        <v>-34.03087142857143</v>
      </c>
      <c r="AO39" s="2004"/>
      <c r="AP39" s="1056"/>
      <c r="AQ39" s="2003">
        <f>IFERROR(AQ38/(AQ5),0)</f>
        <v>0.41105372823786435</v>
      </c>
      <c r="AR39" s="2003">
        <f>IFERROR(AR38/(AR5),0)</f>
        <v>0</v>
      </c>
      <c r="AS39" s="2004">
        <f>IFERROR(AS38/(AS5),0)</f>
        <v>-0.33350493304325785</v>
      </c>
      <c r="AT39" s="2004"/>
      <c r="AU39" s="3722"/>
      <c r="AV39" s="2003">
        <f>IFERROR(AV38/(AV5),0)</f>
        <v>0.75617492688526711</v>
      </c>
      <c r="AW39" s="2003">
        <f>IFERROR(AW38/(AW5),0)</f>
        <v>0</v>
      </c>
      <c r="AX39" s="2004">
        <f>IFERROR(AX38/(AX5),0)</f>
        <v>0.66815168967756045</v>
      </c>
      <c r="AY39" s="2004"/>
      <c r="AZ39" s="1056"/>
      <c r="BA39" s="2003">
        <f>IFERROR(BA38/(BA5),0)</f>
        <v>0.91495925000000011</v>
      </c>
      <c r="BB39" s="2003">
        <f>IFERROR(BB38/(BB5),0)</f>
        <v>0</v>
      </c>
      <c r="BC39" s="2004">
        <f>IFERROR(BC38/(BC5),0)</f>
        <v>0.84447175000000008</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0.62386543057021593</v>
      </c>
      <c r="CK39" s="2003">
        <f>IFERROR(CK38/(CK5),0)</f>
        <v>0</v>
      </c>
      <c r="CL39" s="2004">
        <f>IFERROR(CL38/(CL5),0)</f>
        <v>0.3091605524926842</v>
      </c>
      <c r="CM39" s="2004"/>
      <c r="CN39" s="2004"/>
      <c r="CP39" s="2004">
        <f>CP38/(CP5)</f>
        <v>0.36658289584157572</v>
      </c>
      <c r="CQ39" s="2004">
        <f>IFERROR(CQ38/(CQ5),0)</f>
        <v>0.3091605524926842</v>
      </c>
      <c r="CR39" s="2004">
        <f>CR38/(CR5)</f>
        <v>0.96126774155037742</v>
      </c>
    </row>
    <row r="40" spans="1:98" ht="14.4" outlineLevel="1" thickBot="1">
      <c r="A40" s="1567"/>
      <c r="B40" s="4637"/>
      <c r="C40" s="4610"/>
      <c r="D40" s="4610"/>
      <c r="E40" s="4610"/>
      <c r="F40" s="4610"/>
      <c r="G40" s="4638"/>
      <c r="H40" s="4610"/>
      <c r="I40" s="4610"/>
      <c r="J40" s="4610"/>
      <c r="K40" s="4610"/>
      <c r="L40" s="4638"/>
      <c r="M40" s="4610"/>
      <c r="N40" s="4610"/>
      <c r="O40" s="4610"/>
      <c r="P40" s="4610"/>
      <c r="Q40" s="4638"/>
      <c r="R40" s="4638"/>
      <c r="S40" s="4638"/>
      <c r="T40" s="4638"/>
      <c r="U40" s="4638"/>
      <c r="V40" s="4638"/>
      <c r="W40" s="4638"/>
      <c r="X40" s="4638"/>
      <c r="Y40" s="4638"/>
      <c r="Z40" s="4638"/>
      <c r="AA40" s="4638"/>
      <c r="AB40" s="4610"/>
      <c r="AC40" s="4610"/>
      <c r="AD40" s="4610"/>
      <c r="AE40" s="4610"/>
      <c r="AF40" s="4638"/>
      <c r="AG40" s="4610"/>
      <c r="AH40" s="4610"/>
      <c r="AI40" s="4610"/>
      <c r="AJ40" s="4610"/>
      <c r="AK40" s="4638"/>
      <c r="AL40" s="4610"/>
      <c r="AM40" s="4610"/>
      <c r="AN40" s="4610"/>
      <c r="AO40" s="4610"/>
      <c r="AP40" s="4638"/>
      <c r="AQ40" s="4610"/>
      <c r="AR40" s="4610"/>
      <c r="AS40" s="4610"/>
      <c r="AT40" s="4610"/>
      <c r="AU40" s="4678"/>
      <c r="AV40" s="4610"/>
      <c r="AW40" s="4610"/>
      <c r="AX40" s="4610"/>
      <c r="AY40" s="4610"/>
      <c r="AZ40" s="4638"/>
      <c r="BA40" s="4610"/>
      <c r="BB40" s="4610"/>
      <c r="BC40" s="4610"/>
      <c r="BD40" s="4610"/>
      <c r="BE40" s="4638"/>
      <c r="BF40" s="4610"/>
      <c r="BG40" s="4610"/>
      <c r="BH40" s="4610"/>
      <c r="BI40" s="4610"/>
      <c r="BJ40" s="4638"/>
      <c r="BK40" s="4610"/>
      <c r="BL40" s="4610"/>
      <c r="BM40" s="4610"/>
      <c r="BN40" s="4610"/>
      <c r="BO40" s="4638"/>
      <c r="BP40" s="4610"/>
      <c r="BQ40" s="4610"/>
      <c r="BR40" s="4610"/>
      <c r="BS40" s="4610"/>
      <c r="BT40" s="4638"/>
      <c r="BU40" s="4610"/>
      <c r="BV40" s="4610"/>
      <c r="BW40" s="4610"/>
      <c r="BX40" s="4610"/>
      <c r="BY40" s="4638"/>
      <c r="BZ40" s="4610"/>
      <c r="CA40" s="4610"/>
      <c r="CB40" s="4610"/>
      <c r="CC40" s="4610"/>
      <c r="CD40" s="4638"/>
      <c r="CE40" s="4610"/>
      <c r="CF40" s="4610"/>
      <c r="CG40" s="4610"/>
      <c r="CH40" s="4610"/>
      <c r="CI40" s="4638"/>
      <c r="CJ40" s="4610"/>
      <c r="CK40" s="4610"/>
      <c r="CL40" s="4610"/>
      <c r="CM40" s="4610"/>
      <c r="CN40" s="4610"/>
      <c r="CP40" s="4639"/>
      <c r="CQ40" s="4639"/>
      <c r="CR40" s="4639"/>
    </row>
    <row r="41" spans="1:98" ht="13.8" outlineLevel="1">
      <c r="A41" s="1405"/>
      <c r="B41" s="1415" t="s">
        <v>26</v>
      </c>
      <c r="C41" s="2013">
        <f>SUM(C42:C48)</f>
        <v>0</v>
      </c>
      <c r="D41" s="2013">
        <f>SUM(D42:D48)</f>
        <v>0</v>
      </c>
      <c r="E41" s="2014">
        <f>SUM(E42:E48)</f>
        <v>0</v>
      </c>
      <c r="F41" s="4449" t="e">
        <f>E41/$E$89</f>
        <v>#DIV/0!</v>
      </c>
      <c r="G41" s="1057"/>
      <c r="H41" s="2013">
        <f>SUM(H42:H48)</f>
        <v>0</v>
      </c>
      <c r="I41" s="2013">
        <f>SUM(I42:I48)</f>
        <v>0</v>
      </c>
      <c r="J41" s="2014">
        <f>SUM(J42:J48)</f>
        <v>0</v>
      </c>
      <c r="K41" s="4449" t="e">
        <f>J41/$E$89</f>
        <v>#DIV/0!</v>
      </c>
      <c r="L41" s="1057"/>
      <c r="M41" s="2013">
        <f>SUM(M42:M48)</f>
        <v>0</v>
      </c>
      <c r="N41" s="2013">
        <f>SUM(N42:N48)</f>
        <v>0</v>
      </c>
      <c r="O41" s="2014">
        <f>SUM(O42:O48)</f>
        <v>0</v>
      </c>
      <c r="P41" s="4449" t="e">
        <f>O41/$E$89</f>
        <v>#DIV/0!</v>
      </c>
      <c r="Q41" s="1057"/>
      <c r="R41" s="2013">
        <f>SUM(R42:R48)</f>
        <v>0</v>
      </c>
      <c r="S41" s="2013">
        <f>SUM(S42:S48)</f>
        <v>0</v>
      </c>
      <c r="T41" s="2014">
        <f>SUM(T42:T48)</f>
        <v>0</v>
      </c>
      <c r="U41" s="4449"/>
      <c r="V41" s="3460"/>
      <c r="W41" s="2013">
        <f>SUM(W42:W48)</f>
        <v>0</v>
      </c>
      <c r="X41" s="2013">
        <f>SUM(X42:X48)</f>
        <v>0</v>
      </c>
      <c r="Y41" s="2014">
        <f>SUM(Y42:Y48)</f>
        <v>0</v>
      </c>
      <c r="Z41" s="4449"/>
      <c r="AA41" s="3460"/>
      <c r="AB41" s="2013">
        <f>SUM(AB42:AB48)</f>
        <v>0</v>
      </c>
      <c r="AC41" s="2013">
        <f>SUM(AC42:AC48)</f>
        <v>0</v>
      </c>
      <c r="AD41" s="2014">
        <f>SUM(AD42:AD48)</f>
        <v>0</v>
      </c>
      <c r="AE41" s="4449"/>
      <c r="AF41" s="1057"/>
      <c r="AG41" s="2013">
        <f>SUM(AG42:AG48)</f>
        <v>0</v>
      </c>
      <c r="AH41" s="2013">
        <f>SUM(AH42:AH48)</f>
        <v>0</v>
      </c>
      <c r="AI41" s="2014">
        <f>SUM(AI42:AI48)</f>
        <v>0</v>
      </c>
      <c r="AJ41" s="4449"/>
      <c r="AK41" s="1057"/>
      <c r="AL41" s="2013">
        <f>SUM(AL42:AL48)</f>
        <v>0</v>
      </c>
      <c r="AM41" s="2013">
        <f>SUM(AM42:AM48)</f>
        <v>0</v>
      </c>
      <c r="AN41" s="2014">
        <f>SUM(AN42:AN48)</f>
        <v>0</v>
      </c>
      <c r="AO41" s="4449"/>
      <c r="AP41" s="1057"/>
      <c r="AQ41" s="2013">
        <f>SUM(AQ42:AQ48)</f>
        <v>0</v>
      </c>
      <c r="AR41" s="2013">
        <f>SUM(AR42:AR48)</f>
        <v>0</v>
      </c>
      <c r="AS41" s="2014">
        <f>SUM(AS42:AS48)</f>
        <v>0</v>
      </c>
      <c r="AT41" s="4449"/>
      <c r="AU41" s="3723"/>
      <c r="AV41" s="2013">
        <f>SUM(AV42:AV48)</f>
        <v>0</v>
      </c>
      <c r="AW41" s="2013">
        <f>SUM(AW42:AW48)</f>
        <v>0</v>
      </c>
      <c r="AX41" s="2014">
        <f>SUM(AX42:AX48)</f>
        <v>0</v>
      </c>
      <c r="AY41" s="4449"/>
      <c r="AZ41" s="1057"/>
      <c r="BA41" s="2013">
        <f>SUM(BA42:BA48)</f>
        <v>0</v>
      </c>
      <c r="BB41" s="2013">
        <f>SUM(BB42:BB48)</f>
        <v>0</v>
      </c>
      <c r="BC41" s="2014">
        <f>SUM(BC42:BC48)</f>
        <v>0</v>
      </c>
      <c r="BD41" s="4449"/>
      <c r="BE41" s="1057"/>
      <c r="BF41" s="2013">
        <f>SUM(BF42:BF48)</f>
        <v>0</v>
      </c>
      <c r="BG41" s="2013">
        <f>SUM(BG42:BG48)</f>
        <v>0</v>
      </c>
      <c r="BH41" s="2014">
        <f>SUM(BH42:BH48)</f>
        <v>0</v>
      </c>
      <c r="BI41" s="4449"/>
      <c r="BJ41" s="1057"/>
      <c r="BK41" s="2013">
        <f>SUM(BK42:BK48)</f>
        <v>0</v>
      </c>
      <c r="BL41" s="2013">
        <f>SUM(BL42:BL48)</f>
        <v>0</v>
      </c>
      <c r="BM41" s="2014">
        <f>SUM(BM42:BM48)</f>
        <v>0</v>
      </c>
      <c r="BN41" s="4449"/>
      <c r="BO41" s="1057"/>
      <c r="BP41" s="2013">
        <f>SUM(BP42:BP48)</f>
        <v>0</v>
      </c>
      <c r="BQ41" s="2013">
        <f>SUM(BQ42:BQ48)</f>
        <v>0</v>
      </c>
      <c r="BR41" s="2014">
        <f>SUM(BR42:BR48)</f>
        <v>0</v>
      </c>
      <c r="BS41" s="4449"/>
      <c r="BT41" s="1057"/>
      <c r="BU41" s="2013">
        <f>SUM(BU42:BU48)</f>
        <v>0</v>
      </c>
      <c r="BV41" s="2013">
        <f>SUM(BV42:BV48)</f>
        <v>0</v>
      </c>
      <c r="BW41" s="2014">
        <f>SUM(BW42:BW48)</f>
        <v>0</v>
      </c>
      <c r="BX41" s="4449"/>
      <c r="BY41" s="1057"/>
      <c r="BZ41" s="2013">
        <f>SUM(BZ42:BZ48)</f>
        <v>0</v>
      </c>
      <c r="CA41" s="2013">
        <f>SUM(CA42:CA48)</f>
        <v>0</v>
      </c>
      <c r="CB41" s="2014">
        <f>SUM(CB42:CB48)</f>
        <v>0</v>
      </c>
      <c r="CC41" s="4449"/>
      <c r="CD41" s="1057"/>
      <c r="CE41" s="2013">
        <f>SUM(CE42:CE48)</f>
        <v>0</v>
      </c>
      <c r="CF41" s="2013">
        <f>SUM(CF42:CF48)</f>
        <v>0</v>
      </c>
      <c r="CG41" s="2014">
        <f>SUM(CG42:CG48)</f>
        <v>0</v>
      </c>
      <c r="CH41" s="4449"/>
      <c r="CI41" s="1057"/>
      <c r="CJ41" s="2013">
        <f>SUM(CJ42:CJ48)</f>
        <v>0</v>
      </c>
      <c r="CK41" s="2013">
        <f>SUM(CK42:CK48)</f>
        <v>0</v>
      </c>
      <c r="CL41" s="2014">
        <f>SUM(CL42:CL48)</f>
        <v>0</v>
      </c>
      <c r="CM41" s="4449">
        <f t="shared" ref="CM41:CM49" si="96">CL41/$CL$89</f>
        <v>0</v>
      </c>
      <c r="CN41" s="2006"/>
      <c r="CP41" s="2014">
        <f>SUM(CP42:CP48)</f>
        <v>0</v>
      </c>
      <c r="CQ41" s="2014">
        <f>SUM(CQ42:CQ48)</f>
        <v>0</v>
      </c>
      <c r="CR41" s="2014"/>
    </row>
    <row r="42" spans="1:98" ht="13.8" outlineLevel="2">
      <c r="A42" s="4833"/>
      <c r="B42" s="4640" t="s">
        <v>7</v>
      </c>
      <c r="C42" s="3341"/>
      <c r="D42" s="3341"/>
      <c r="E42" s="3349">
        <f t="shared" ref="E42:E48" si="97">C42+D42</f>
        <v>0</v>
      </c>
      <c r="F42" s="4428" t="e">
        <f t="shared" ref="F42:F48" si="98">E42/$E$89</f>
        <v>#DIV/0!</v>
      </c>
      <c r="G42" s="4429"/>
      <c r="H42" s="3341"/>
      <c r="I42" s="3341"/>
      <c r="J42" s="3349">
        <f t="shared" ref="J42:J48" si="99">H42+I42</f>
        <v>0</v>
      </c>
      <c r="K42" s="4428" t="e">
        <f t="shared" ref="K42:K48" si="100">J42/J$89</f>
        <v>#DIV/0!</v>
      </c>
      <c r="L42" s="4429"/>
      <c r="M42" s="3341"/>
      <c r="N42" s="3341"/>
      <c r="O42" s="3349">
        <f t="shared" ref="O42:O48" si="101">M42+N42</f>
        <v>0</v>
      </c>
      <c r="P42" s="4428" t="e">
        <f t="shared" ref="P42:P48" si="102">O42/O$89</f>
        <v>#DIV/0!</v>
      </c>
      <c r="Q42" s="4429"/>
      <c r="R42" s="3342">
        <f t="shared" ref="R42:S48" si="103">M42+H42+C42</f>
        <v>0</v>
      </c>
      <c r="S42" s="3342">
        <f t="shared" si="103"/>
        <v>0</v>
      </c>
      <c r="T42" s="2012">
        <f t="shared" ref="T42:T48" si="104">R42+S42</f>
        <v>0</v>
      </c>
      <c r="U42" s="3462"/>
      <c r="V42" s="3462"/>
      <c r="W42" s="3342">
        <f t="shared" ref="W42:X48" si="105">AB42+AG42+AL42+AV42+BA42+BF42+BK42+BP42+BU42+BZ42+CE42+AQ42</f>
        <v>0</v>
      </c>
      <c r="X42" s="3342">
        <f t="shared" si="105"/>
        <v>0</v>
      </c>
      <c r="Y42" s="2012">
        <f t="shared" ref="Y42:Y48" si="106">W42+X42</f>
        <v>0</v>
      </c>
      <c r="Z42" s="3462"/>
      <c r="AA42" s="3462"/>
      <c r="AB42" s="3341"/>
      <c r="AC42" s="3341"/>
      <c r="AD42" s="3349">
        <f t="shared" ref="AD42:AD48" si="107">AB42+AC42</f>
        <v>0</v>
      </c>
      <c r="AE42" s="4428" t="e">
        <f t="shared" ref="AE42:AE49" si="108">AD42/AD$89</f>
        <v>#DIV/0!</v>
      </c>
      <c r="AF42" s="4429"/>
      <c r="AG42" s="3341"/>
      <c r="AH42" s="3341"/>
      <c r="AI42" s="3349">
        <f t="shared" ref="AI42:AI48" si="109">AG42+AH42</f>
        <v>0</v>
      </c>
      <c r="AJ42" s="4428" t="e">
        <f t="shared" ref="AJ42:AJ49" si="110">AI42/AI$89</f>
        <v>#DIV/0!</v>
      </c>
      <c r="AK42" s="4429"/>
      <c r="AL42" s="3341"/>
      <c r="AM42" s="3341"/>
      <c r="AN42" s="3349">
        <f t="shared" ref="AN42:AN48" si="111">AL42+AM42</f>
        <v>0</v>
      </c>
      <c r="AO42" s="4428">
        <f t="shared" ref="AO42:AO49" si="112">AN42/AN$89</f>
        <v>0</v>
      </c>
      <c r="AP42" s="4429"/>
      <c r="AQ42" s="3341"/>
      <c r="AR42" s="3341"/>
      <c r="AS42" s="3349">
        <f t="shared" ref="AS42:AS48" si="113">AQ42+AR42</f>
        <v>0</v>
      </c>
      <c r="AT42" s="4428">
        <f t="shared" ref="AT42:AT49" si="114">AS42/AS$89</f>
        <v>0</v>
      </c>
      <c r="AU42" s="4679"/>
      <c r="AV42" s="3341"/>
      <c r="AW42" s="3341"/>
      <c r="AX42" s="3349">
        <f t="shared" ref="AX42:AX48" si="115">AV42+AW42</f>
        <v>0</v>
      </c>
      <c r="AY42" s="4428">
        <f t="shared" ref="AY42:AY49" si="116">AX42/AX$89</f>
        <v>0</v>
      </c>
      <c r="AZ42" s="4429"/>
      <c r="BA42" s="3341"/>
      <c r="BB42" s="3341"/>
      <c r="BC42" s="3349">
        <f t="shared" ref="BC42:BC48" si="117">BA42+BB42</f>
        <v>0</v>
      </c>
      <c r="BD42" s="4428">
        <f t="shared" ref="BD42:BD49" si="118">BC42/BC$89</f>
        <v>0</v>
      </c>
      <c r="BE42" s="4429"/>
      <c r="BF42" s="3341"/>
      <c r="BG42" s="3341"/>
      <c r="BH42" s="3349">
        <f t="shared" ref="BH42:BH48" si="119">BF42+BG42</f>
        <v>0</v>
      </c>
      <c r="BI42" s="4428" t="e">
        <f t="shared" ref="BI42:BI49" si="120">BH42/BH$89</f>
        <v>#DIV/0!</v>
      </c>
      <c r="BJ42" s="4429"/>
      <c r="BK42" s="3341"/>
      <c r="BL42" s="3341"/>
      <c r="BM42" s="3349">
        <f t="shared" ref="BM42:BM48" si="121">BK42+BL42</f>
        <v>0</v>
      </c>
      <c r="BN42" s="4428" t="e">
        <f t="shared" ref="BN42:BN49" si="122">BM42/BM$89</f>
        <v>#DIV/0!</v>
      </c>
      <c r="BO42" s="4429"/>
      <c r="BP42" s="3341"/>
      <c r="BQ42" s="3341"/>
      <c r="BR42" s="3349">
        <f t="shared" ref="BR42:BR48" si="123">BP42+BQ42</f>
        <v>0</v>
      </c>
      <c r="BS42" s="4428" t="e">
        <f t="shared" ref="BS42:BS49" si="124">BR42/BR$89</f>
        <v>#DIV/0!</v>
      </c>
      <c r="BT42" s="4429"/>
      <c r="BU42" s="3341"/>
      <c r="BV42" s="3341"/>
      <c r="BW42" s="3349">
        <f t="shared" ref="BW42:BW48" si="125">BU42+BV42</f>
        <v>0</v>
      </c>
      <c r="BX42" s="4428" t="e">
        <f t="shared" ref="BX42:BX49" si="126">BW42/BW$89</f>
        <v>#DIV/0!</v>
      </c>
      <c r="BY42" s="4429"/>
      <c r="BZ42" s="3341"/>
      <c r="CA42" s="3341"/>
      <c r="CB42" s="3349">
        <f t="shared" ref="CB42:CB48" si="127">BZ42+CA42</f>
        <v>0</v>
      </c>
      <c r="CC42" s="4428" t="e">
        <f t="shared" ref="CC42:CC49" si="128">CB42/CB$89</f>
        <v>#DIV/0!</v>
      </c>
      <c r="CD42" s="4429"/>
      <c r="CE42" s="3341"/>
      <c r="CF42" s="3341"/>
      <c r="CG42" s="3349">
        <f t="shared" ref="CG42:CG48" si="129">CE42+CF42</f>
        <v>0</v>
      </c>
      <c r="CH42" s="4428" t="e">
        <f t="shared" ref="CH42:CH49" si="130">CG42/CG$89</f>
        <v>#DIV/0!</v>
      </c>
      <c r="CI42" s="4429"/>
      <c r="CJ42" s="3341">
        <f t="shared" ref="CJ42:CK48" si="131">C42+H42+M42+W42</f>
        <v>0</v>
      </c>
      <c r="CK42" s="3341">
        <f t="shared" si="131"/>
        <v>0</v>
      </c>
      <c r="CL42" s="2012">
        <f t="shared" ref="CL42:CL48" si="132">CJ42+CK42*1</f>
        <v>0</v>
      </c>
      <c r="CM42" s="4428">
        <f t="shared" si="96"/>
        <v>0</v>
      </c>
      <c r="CN42" s="4432"/>
      <c r="CP42" s="2012">
        <f t="shared" ref="CP42:CQ48" si="133">CN42+CO42*1</f>
        <v>0</v>
      </c>
      <c r="CQ42" s="2012">
        <f t="shared" si="133"/>
        <v>0</v>
      </c>
      <c r="CR42" s="4614"/>
    </row>
    <row r="43" spans="1:98" ht="13.8" outlineLevel="2">
      <c r="A43" s="4833"/>
      <c r="B43" s="4640" t="s">
        <v>27</v>
      </c>
      <c r="C43" s="3341"/>
      <c r="D43" s="3341"/>
      <c r="E43" s="3349">
        <f t="shared" si="97"/>
        <v>0</v>
      </c>
      <c r="F43" s="4428" t="e">
        <f t="shared" si="98"/>
        <v>#DIV/0!</v>
      </c>
      <c r="G43" s="4429"/>
      <c r="H43" s="3341"/>
      <c r="I43" s="3341"/>
      <c r="J43" s="3349">
        <f t="shared" si="99"/>
        <v>0</v>
      </c>
      <c r="K43" s="4428" t="e">
        <f t="shared" si="100"/>
        <v>#DIV/0!</v>
      </c>
      <c r="L43" s="4429"/>
      <c r="M43" s="3341"/>
      <c r="N43" s="3341"/>
      <c r="O43" s="3349">
        <f t="shared" si="101"/>
        <v>0</v>
      </c>
      <c r="P43" s="4428" t="e">
        <f t="shared" si="102"/>
        <v>#DIV/0!</v>
      </c>
      <c r="Q43" s="4429"/>
      <c r="R43" s="3342">
        <f t="shared" si="103"/>
        <v>0</v>
      </c>
      <c r="S43" s="3342">
        <f t="shared" si="103"/>
        <v>0</v>
      </c>
      <c r="T43" s="2012">
        <f t="shared" si="104"/>
        <v>0</v>
      </c>
      <c r="U43" s="3462"/>
      <c r="V43" s="3462"/>
      <c r="W43" s="3342">
        <f t="shared" si="105"/>
        <v>0</v>
      </c>
      <c r="X43" s="3342">
        <f t="shared" si="105"/>
        <v>0</v>
      </c>
      <c r="Y43" s="2012">
        <f t="shared" si="106"/>
        <v>0</v>
      </c>
      <c r="Z43" s="3462"/>
      <c r="AA43" s="3462"/>
      <c r="AB43" s="3341"/>
      <c r="AC43" s="3341"/>
      <c r="AD43" s="3349">
        <f t="shared" si="107"/>
        <v>0</v>
      </c>
      <c r="AE43" s="4428" t="e">
        <f t="shared" si="108"/>
        <v>#DIV/0!</v>
      </c>
      <c r="AF43" s="4429"/>
      <c r="AG43" s="3341"/>
      <c r="AH43" s="3341"/>
      <c r="AI43" s="3349">
        <f t="shared" si="109"/>
        <v>0</v>
      </c>
      <c r="AJ43" s="4428" t="e">
        <f t="shared" si="110"/>
        <v>#DIV/0!</v>
      </c>
      <c r="AK43" s="4429"/>
      <c r="AL43" s="3341"/>
      <c r="AM43" s="3341"/>
      <c r="AN43" s="3349">
        <f t="shared" si="111"/>
        <v>0</v>
      </c>
      <c r="AO43" s="4428">
        <f t="shared" si="112"/>
        <v>0</v>
      </c>
      <c r="AP43" s="4429"/>
      <c r="AQ43" s="3341"/>
      <c r="AR43" s="3341"/>
      <c r="AS43" s="3349">
        <f t="shared" si="113"/>
        <v>0</v>
      </c>
      <c r="AT43" s="4428">
        <f t="shared" si="114"/>
        <v>0</v>
      </c>
      <c r="AU43" s="4679"/>
      <c r="AV43" s="3341"/>
      <c r="AW43" s="3341"/>
      <c r="AX43" s="3349">
        <f t="shared" si="115"/>
        <v>0</v>
      </c>
      <c r="AY43" s="4428">
        <f t="shared" si="116"/>
        <v>0</v>
      </c>
      <c r="AZ43" s="4429"/>
      <c r="BA43" s="3341"/>
      <c r="BB43" s="3341"/>
      <c r="BC43" s="3349">
        <f t="shared" si="117"/>
        <v>0</v>
      </c>
      <c r="BD43" s="4428">
        <f t="shared" si="118"/>
        <v>0</v>
      </c>
      <c r="BE43" s="4429"/>
      <c r="BF43" s="3341"/>
      <c r="BG43" s="3341"/>
      <c r="BH43" s="3349">
        <f t="shared" si="119"/>
        <v>0</v>
      </c>
      <c r="BI43" s="4428" t="e">
        <f t="shared" si="120"/>
        <v>#DIV/0!</v>
      </c>
      <c r="BJ43" s="4429"/>
      <c r="BK43" s="3341"/>
      <c r="BL43" s="3341"/>
      <c r="BM43" s="3349">
        <f t="shared" si="121"/>
        <v>0</v>
      </c>
      <c r="BN43" s="4428" t="e">
        <f t="shared" si="122"/>
        <v>#DIV/0!</v>
      </c>
      <c r="BO43" s="4429"/>
      <c r="BP43" s="3341"/>
      <c r="BQ43" s="3341"/>
      <c r="BR43" s="3349">
        <f t="shared" si="123"/>
        <v>0</v>
      </c>
      <c r="BS43" s="4428" t="e">
        <f t="shared" si="124"/>
        <v>#DIV/0!</v>
      </c>
      <c r="BT43" s="4429"/>
      <c r="BU43" s="3341"/>
      <c r="BV43" s="3341"/>
      <c r="BW43" s="3349">
        <f t="shared" si="125"/>
        <v>0</v>
      </c>
      <c r="BX43" s="4428" t="e">
        <f t="shared" si="126"/>
        <v>#DIV/0!</v>
      </c>
      <c r="BY43" s="4429"/>
      <c r="BZ43" s="3341"/>
      <c r="CA43" s="3341"/>
      <c r="CB43" s="3349">
        <f t="shared" si="127"/>
        <v>0</v>
      </c>
      <c r="CC43" s="4428" t="e">
        <f t="shared" si="128"/>
        <v>#DIV/0!</v>
      </c>
      <c r="CD43" s="4429"/>
      <c r="CE43" s="3341"/>
      <c r="CF43" s="3341"/>
      <c r="CG43" s="3349">
        <f t="shared" si="129"/>
        <v>0</v>
      </c>
      <c r="CH43" s="4428" t="e">
        <f t="shared" si="130"/>
        <v>#DIV/0!</v>
      </c>
      <c r="CI43" s="4429"/>
      <c r="CJ43" s="3341">
        <f t="shared" si="131"/>
        <v>0</v>
      </c>
      <c r="CK43" s="3341">
        <f t="shared" si="131"/>
        <v>0</v>
      </c>
      <c r="CL43" s="2012">
        <f t="shared" si="132"/>
        <v>0</v>
      </c>
      <c r="CM43" s="4428">
        <f t="shared" si="96"/>
        <v>0</v>
      </c>
      <c r="CN43" s="4432"/>
      <c r="CP43" s="2012">
        <f t="shared" si="133"/>
        <v>0</v>
      </c>
      <c r="CQ43" s="2012">
        <f t="shared" si="133"/>
        <v>0</v>
      </c>
      <c r="CR43" s="4614"/>
    </row>
    <row r="44" spans="1:98" ht="13.8" outlineLevel="2">
      <c r="A44" s="4833"/>
      <c r="B44" s="4632" t="s">
        <v>28</v>
      </c>
      <c r="C44" s="3341"/>
      <c r="D44" s="3341"/>
      <c r="E44" s="3349">
        <f t="shared" si="97"/>
        <v>0</v>
      </c>
      <c r="F44" s="4428" t="e">
        <f t="shared" si="98"/>
        <v>#DIV/0!</v>
      </c>
      <c r="G44" s="4429"/>
      <c r="H44" s="3341"/>
      <c r="I44" s="3341"/>
      <c r="J44" s="3349">
        <f t="shared" si="99"/>
        <v>0</v>
      </c>
      <c r="K44" s="4428" t="e">
        <f t="shared" si="100"/>
        <v>#DIV/0!</v>
      </c>
      <c r="L44" s="4429"/>
      <c r="M44" s="3341"/>
      <c r="N44" s="3341"/>
      <c r="O44" s="3349">
        <f t="shared" si="101"/>
        <v>0</v>
      </c>
      <c r="P44" s="4428" t="e">
        <f t="shared" si="102"/>
        <v>#DIV/0!</v>
      </c>
      <c r="Q44" s="4429"/>
      <c r="R44" s="3342">
        <f t="shared" si="103"/>
        <v>0</v>
      </c>
      <c r="S44" s="3342">
        <f t="shared" si="103"/>
        <v>0</v>
      </c>
      <c r="T44" s="2012">
        <f t="shared" si="104"/>
        <v>0</v>
      </c>
      <c r="U44" s="3462"/>
      <c r="V44" s="3462"/>
      <c r="W44" s="3342">
        <f t="shared" si="105"/>
        <v>0</v>
      </c>
      <c r="X44" s="3342">
        <f t="shared" si="105"/>
        <v>0</v>
      </c>
      <c r="Y44" s="2012">
        <f t="shared" si="106"/>
        <v>0</v>
      </c>
      <c r="Z44" s="3462"/>
      <c r="AA44" s="3462"/>
      <c r="AB44" s="3341"/>
      <c r="AC44" s="3341"/>
      <c r="AD44" s="3349">
        <f t="shared" si="107"/>
        <v>0</v>
      </c>
      <c r="AE44" s="4428" t="e">
        <f t="shared" si="108"/>
        <v>#DIV/0!</v>
      </c>
      <c r="AF44" s="4429"/>
      <c r="AG44" s="3341"/>
      <c r="AH44" s="3341"/>
      <c r="AI44" s="3349">
        <f t="shared" si="109"/>
        <v>0</v>
      </c>
      <c r="AJ44" s="4428" t="e">
        <f t="shared" si="110"/>
        <v>#DIV/0!</v>
      </c>
      <c r="AK44" s="4429"/>
      <c r="AL44" s="3341"/>
      <c r="AM44" s="3341"/>
      <c r="AN44" s="3349">
        <f t="shared" si="111"/>
        <v>0</v>
      </c>
      <c r="AO44" s="4428">
        <f t="shared" si="112"/>
        <v>0</v>
      </c>
      <c r="AP44" s="4429"/>
      <c r="AQ44" s="3341"/>
      <c r="AR44" s="3341"/>
      <c r="AS44" s="3349">
        <f t="shared" si="113"/>
        <v>0</v>
      </c>
      <c r="AT44" s="4428">
        <f t="shared" si="114"/>
        <v>0</v>
      </c>
      <c r="AU44" s="4679"/>
      <c r="AV44" s="3341"/>
      <c r="AW44" s="3341"/>
      <c r="AX44" s="3349">
        <f t="shared" si="115"/>
        <v>0</v>
      </c>
      <c r="AY44" s="4428">
        <f t="shared" si="116"/>
        <v>0</v>
      </c>
      <c r="AZ44" s="4429"/>
      <c r="BA44" s="3341"/>
      <c r="BB44" s="3341"/>
      <c r="BC44" s="3349">
        <f t="shared" si="117"/>
        <v>0</v>
      </c>
      <c r="BD44" s="4428">
        <f t="shared" si="118"/>
        <v>0</v>
      </c>
      <c r="BE44" s="4429"/>
      <c r="BF44" s="3341"/>
      <c r="BG44" s="3341"/>
      <c r="BH44" s="3349">
        <f t="shared" si="119"/>
        <v>0</v>
      </c>
      <c r="BI44" s="4428" t="e">
        <f t="shared" si="120"/>
        <v>#DIV/0!</v>
      </c>
      <c r="BJ44" s="4429"/>
      <c r="BK44" s="3341"/>
      <c r="BL44" s="3341"/>
      <c r="BM44" s="3349">
        <f t="shared" si="121"/>
        <v>0</v>
      </c>
      <c r="BN44" s="4428" t="e">
        <f t="shared" si="122"/>
        <v>#DIV/0!</v>
      </c>
      <c r="BO44" s="4429"/>
      <c r="BP44" s="3341"/>
      <c r="BQ44" s="3341"/>
      <c r="BR44" s="3349">
        <f t="shared" si="123"/>
        <v>0</v>
      </c>
      <c r="BS44" s="4428" t="e">
        <f t="shared" si="124"/>
        <v>#DIV/0!</v>
      </c>
      <c r="BT44" s="4429"/>
      <c r="BU44" s="3341"/>
      <c r="BV44" s="3341"/>
      <c r="BW44" s="3349">
        <f t="shared" si="125"/>
        <v>0</v>
      </c>
      <c r="BX44" s="4428" t="e">
        <f t="shared" si="126"/>
        <v>#DIV/0!</v>
      </c>
      <c r="BY44" s="4429"/>
      <c r="BZ44" s="3341"/>
      <c r="CA44" s="3341"/>
      <c r="CB44" s="3349">
        <f t="shared" si="127"/>
        <v>0</v>
      </c>
      <c r="CC44" s="4428" t="e">
        <f t="shared" si="128"/>
        <v>#DIV/0!</v>
      </c>
      <c r="CD44" s="4429"/>
      <c r="CE44" s="3341"/>
      <c r="CF44" s="3341"/>
      <c r="CG44" s="3349">
        <f t="shared" si="129"/>
        <v>0</v>
      </c>
      <c r="CH44" s="4428" t="e">
        <f t="shared" si="130"/>
        <v>#DIV/0!</v>
      </c>
      <c r="CI44" s="4429"/>
      <c r="CJ44" s="3341">
        <f t="shared" si="131"/>
        <v>0</v>
      </c>
      <c r="CK44" s="3341">
        <f t="shared" si="131"/>
        <v>0</v>
      </c>
      <c r="CL44" s="2012">
        <f t="shared" si="132"/>
        <v>0</v>
      </c>
      <c r="CM44" s="4428">
        <f t="shared" si="96"/>
        <v>0</v>
      </c>
      <c r="CN44" s="4432"/>
      <c r="CP44" s="2012">
        <f t="shared" si="133"/>
        <v>0</v>
      </c>
      <c r="CQ44" s="2012">
        <f t="shared" si="133"/>
        <v>0</v>
      </c>
      <c r="CR44" s="4614"/>
    </row>
    <row r="45" spans="1:98" ht="13.8" outlineLevel="2">
      <c r="A45" s="4833"/>
      <c r="B45" s="4640" t="s">
        <v>8</v>
      </c>
      <c r="C45" s="3341"/>
      <c r="D45" s="3341"/>
      <c r="E45" s="3349">
        <f t="shared" si="97"/>
        <v>0</v>
      </c>
      <c r="F45" s="4428" t="e">
        <f t="shared" si="98"/>
        <v>#DIV/0!</v>
      </c>
      <c r="G45" s="4429"/>
      <c r="H45" s="3341"/>
      <c r="I45" s="3341"/>
      <c r="J45" s="3349">
        <f t="shared" si="99"/>
        <v>0</v>
      </c>
      <c r="K45" s="4428" t="e">
        <f t="shared" si="100"/>
        <v>#DIV/0!</v>
      </c>
      <c r="L45" s="4429"/>
      <c r="M45" s="3341"/>
      <c r="N45" s="3341"/>
      <c r="O45" s="3349">
        <f t="shared" si="101"/>
        <v>0</v>
      </c>
      <c r="P45" s="4428" t="e">
        <f t="shared" si="102"/>
        <v>#DIV/0!</v>
      </c>
      <c r="Q45" s="4429"/>
      <c r="R45" s="3342">
        <f t="shared" si="103"/>
        <v>0</v>
      </c>
      <c r="S45" s="3342">
        <f t="shared" si="103"/>
        <v>0</v>
      </c>
      <c r="T45" s="2012">
        <f t="shared" si="104"/>
        <v>0</v>
      </c>
      <c r="U45" s="3462"/>
      <c r="V45" s="3462"/>
      <c r="W45" s="3342">
        <f t="shared" si="105"/>
        <v>0</v>
      </c>
      <c r="X45" s="3342">
        <f t="shared" si="105"/>
        <v>0</v>
      </c>
      <c r="Y45" s="2012">
        <f t="shared" si="106"/>
        <v>0</v>
      </c>
      <c r="Z45" s="3462"/>
      <c r="AA45" s="3462"/>
      <c r="AB45" s="3341"/>
      <c r="AC45" s="3341"/>
      <c r="AD45" s="3349">
        <f t="shared" si="107"/>
        <v>0</v>
      </c>
      <c r="AE45" s="4428" t="e">
        <f t="shared" si="108"/>
        <v>#DIV/0!</v>
      </c>
      <c r="AF45" s="4429"/>
      <c r="AG45" s="3341"/>
      <c r="AH45" s="3341"/>
      <c r="AI45" s="3349">
        <f t="shared" si="109"/>
        <v>0</v>
      </c>
      <c r="AJ45" s="4428" t="e">
        <f t="shared" si="110"/>
        <v>#DIV/0!</v>
      </c>
      <c r="AK45" s="4429"/>
      <c r="AL45" s="3341"/>
      <c r="AM45" s="3341"/>
      <c r="AN45" s="3349">
        <f t="shared" si="111"/>
        <v>0</v>
      </c>
      <c r="AO45" s="4428">
        <f t="shared" si="112"/>
        <v>0</v>
      </c>
      <c r="AP45" s="4429"/>
      <c r="AQ45" s="3341"/>
      <c r="AR45" s="3341"/>
      <c r="AS45" s="3349">
        <f t="shared" si="113"/>
        <v>0</v>
      </c>
      <c r="AT45" s="4428">
        <f t="shared" si="114"/>
        <v>0</v>
      </c>
      <c r="AU45" s="4679"/>
      <c r="AV45" s="3341"/>
      <c r="AW45" s="3341"/>
      <c r="AX45" s="3349">
        <f t="shared" si="115"/>
        <v>0</v>
      </c>
      <c r="AY45" s="4428">
        <f t="shared" si="116"/>
        <v>0</v>
      </c>
      <c r="AZ45" s="4429"/>
      <c r="BA45" s="3341"/>
      <c r="BB45" s="3341"/>
      <c r="BC45" s="3349">
        <f t="shared" si="117"/>
        <v>0</v>
      </c>
      <c r="BD45" s="4428">
        <f t="shared" si="118"/>
        <v>0</v>
      </c>
      <c r="BE45" s="4429"/>
      <c r="BF45" s="3341"/>
      <c r="BG45" s="3341"/>
      <c r="BH45" s="3349">
        <f t="shared" si="119"/>
        <v>0</v>
      </c>
      <c r="BI45" s="4428" t="e">
        <f t="shared" si="120"/>
        <v>#DIV/0!</v>
      </c>
      <c r="BJ45" s="4429"/>
      <c r="BK45" s="3341"/>
      <c r="BL45" s="3341"/>
      <c r="BM45" s="3349">
        <f t="shared" si="121"/>
        <v>0</v>
      </c>
      <c r="BN45" s="4428" t="e">
        <f t="shared" si="122"/>
        <v>#DIV/0!</v>
      </c>
      <c r="BO45" s="4429"/>
      <c r="BP45" s="3341"/>
      <c r="BQ45" s="3341"/>
      <c r="BR45" s="3349">
        <f t="shared" si="123"/>
        <v>0</v>
      </c>
      <c r="BS45" s="4428" t="e">
        <f t="shared" si="124"/>
        <v>#DIV/0!</v>
      </c>
      <c r="BT45" s="4429"/>
      <c r="BU45" s="3341"/>
      <c r="BV45" s="3341"/>
      <c r="BW45" s="3349">
        <f t="shared" si="125"/>
        <v>0</v>
      </c>
      <c r="BX45" s="4428" t="e">
        <f t="shared" si="126"/>
        <v>#DIV/0!</v>
      </c>
      <c r="BY45" s="4429"/>
      <c r="BZ45" s="3341"/>
      <c r="CA45" s="3341"/>
      <c r="CB45" s="3349">
        <f t="shared" si="127"/>
        <v>0</v>
      </c>
      <c r="CC45" s="4428" t="e">
        <f t="shared" si="128"/>
        <v>#DIV/0!</v>
      </c>
      <c r="CD45" s="4429"/>
      <c r="CE45" s="3341"/>
      <c r="CF45" s="3341"/>
      <c r="CG45" s="3349">
        <f t="shared" si="129"/>
        <v>0</v>
      </c>
      <c r="CH45" s="4428" t="e">
        <f t="shared" si="130"/>
        <v>#DIV/0!</v>
      </c>
      <c r="CI45" s="4429"/>
      <c r="CJ45" s="3341">
        <f t="shared" si="131"/>
        <v>0</v>
      </c>
      <c r="CK45" s="3341">
        <f t="shared" si="131"/>
        <v>0</v>
      </c>
      <c r="CL45" s="2012">
        <f t="shared" si="132"/>
        <v>0</v>
      </c>
      <c r="CM45" s="4428">
        <f t="shared" si="96"/>
        <v>0</v>
      </c>
      <c r="CN45" s="4432"/>
      <c r="CP45" s="2012">
        <f t="shared" si="133"/>
        <v>0</v>
      </c>
      <c r="CQ45" s="2012">
        <f t="shared" si="133"/>
        <v>0</v>
      </c>
      <c r="CR45" s="4614"/>
    </row>
    <row r="46" spans="1:98" ht="13.8" outlineLevel="2">
      <c r="A46" s="4833"/>
      <c r="B46" s="4640" t="s">
        <v>29</v>
      </c>
      <c r="C46" s="3341"/>
      <c r="D46" s="3341"/>
      <c r="E46" s="3349">
        <f t="shared" si="97"/>
        <v>0</v>
      </c>
      <c r="F46" s="4428" t="e">
        <f t="shared" si="98"/>
        <v>#DIV/0!</v>
      </c>
      <c r="G46" s="4429"/>
      <c r="H46" s="3341"/>
      <c r="I46" s="3341"/>
      <c r="J46" s="3349">
        <f t="shared" si="99"/>
        <v>0</v>
      </c>
      <c r="K46" s="4428" t="e">
        <f t="shared" si="100"/>
        <v>#DIV/0!</v>
      </c>
      <c r="L46" s="4429"/>
      <c r="M46" s="3341"/>
      <c r="N46" s="3341"/>
      <c r="O46" s="3349">
        <f t="shared" si="101"/>
        <v>0</v>
      </c>
      <c r="P46" s="4428" t="e">
        <f t="shared" si="102"/>
        <v>#DIV/0!</v>
      </c>
      <c r="Q46" s="4429"/>
      <c r="R46" s="3342">
        <f t="shared" si="103"/>
        <v>0</v>
      </c>
      <c r="S46" s="3342">
        <f t="shared" si="103"/>
        <v>0</v>
      </c>
      <c r="T46" s="2012">
        <f t="shared" si="104"/>
        <v>0</v>
      </c>
      <c r="U46" s="3462"/>
      <c r="V46" s="3462"/>
      <c r="W46" s="3342">
        <f t="shared" si="105"/>
        <v>0</v>
      </c>
      <c r="X46" s="3342">
        <f t="shared" si="105"/>
        <v>0</v>
      </c>
      <c r="Y46" s="2012">
        <f t="shared" si="106"/>
        <v>0</v>
      </c>
      <c r="Z46" s="3462"/>
      <c r="AA46" s="3462"/>
      <c r="AB46" s="3341"/>
      <c r="AC46" s="3341"/>
      <c r="AD46" s="3349">
        <f t="shared" si="107"/>
        <v>0</v>
      </c>
      <c r="AE46" s="4428" t="e">
        <f t="shared" si="108"/>
        <v>#DIV/0!</v>
      </c>
      <c r="AF46" s="4429"/>
      <c r="AG46" s="3341"/>
      <c r="AH46" s="3341"/>
      <c r="AI46" s="3349">
        <f t="shared" si="109"/>
        <v>0</v>
      </c>
      <c r="AJ46" s="4428" t="e">
        <f t="shared" si="110"/>
        <v>#DIV/0!</v>
      </c>
      <c r="AK46" s="4429"/>
      <c r="AL46" s="3341"/>
      <c r="AM46" s="3341"/>
      <c r="AN46" s="3349">
        <f t="shared" si="111"/>
        <v>0</v>
      </c>
      <c r="AO46" s="4428">
        <f t="shared" si="112"/>
        <v>0</v>
      </c>
      <c r="AP46" s="4429"/>
      <c r="AQ46" s="3341"/>
      <c r="AR46" s="3341"/>
      <c r="AS46" s="3349">
        <f t="shared" si="113"/>
        <v>0</v>
      </c>
      <c r="AT46" s="4428">
        <f t="shared" si="114"/>
        <v>0</v>
      </c>
      <c r="AU46" s="4679"/>
      <c r="AV46" s="3341"/>
      <c r="AW46" s="3341"/>
      <c r="AX46" s="3349">
        <f t="shared" si="115"/>
        <v>0</v>
      </c>
      <c r="AY46" s="4428">
        <f t="shared" si="116"/>
        <v>0</v>
      </c>
      <c r="AZ46" s="4429"/>
      <c r="BA46" s="3341"/>
      <c r="BB46" s="3341"/>
      <c r="BC46" s="3349">
        <f t="shared" si="117"/>
        <v>0</v>
      </c>
      <c r="BD46" s="4428">
        <f t="shared" si="118"/>
        <v>0</v>
      </c>
      <c r="BE46" s="4429"/>
      <c r="BF46" s="3341"/>
      <c r="BG46" s="3341"/>
      <c r="BH46" s="3349">
        <f t="shared" si="119"/>
        <v>0</v>
      </c>
      <c r="BI46" s="4428" t="e">
        <f t="shared" si="120"/>
        <v>#DIV/0!</v>
      </c>
      <c r="BJ46" s="4429"/>
      <c r="BK46" s="3341"/>
      <c r="BL46" s="3341"/>
      <c r="BM46" s="3349">
        <f t="shared" si="121"/>
        <v>0</v>
      </c>
      <c r="BN46" s="4428" t="e">
        <f t="shared" si="122"/>
        <v>#DIV/0!</v>
      </c>
      <c r="BO46" s="4429"/>
      <c r="BP46" s="3341"/>
      <c r="BQ46" s="3341"/>
      <c r="BR46" s="3349">
        <f t="shared" si="123"/>
        <v>0</v>
      </c>
      <c r="BS46" s="4428" t="e">
        <f t="shared" si="124"/>
        <v>#DIV/0!</v>
      </c>
      <c r="BT46" s="4429"/>
      <c r="BU46" s="3341"/>
      <c r="BV46" s="3341"/>
      <c r="BW46" s="3349">
        <f t="shared" si="125"/>
        <v>0</v>
      </c>
      <c r="BX46" s="4428" t="e">
        <f t="shared" si="126"/>
        <v>#DIV/0!</v>
      </c>
      <c r="BY46" s="4429"/>
      <c r="BZ46" s="3341"/>
      <c r="CA46" s="3341"/>
      <c r="CB46" s="3349">
        <f t="shared" si="127"/>
        <v>0</v>
      </c>
      <c r="CC46" s="4428" t="e">
        <f t="shared" si="128"/>
        <v>#DIV/0!</v>
      </c>
      <c r="CD46" s="4429"/>
      <c r="CE46" s="3341"/>
      <c r="CF46" s="3341"/>
      <c r="CG46" s="3349">
        <f t="shared" si="129"/>
        <v>0</v>
      </c>
      <c r="CH46" s="4428" t="e">
        <f t="shared" si="130"/>
        <v>#DIV/0!</v>
      </c>
      <c r="CI46" s="4429"/>
      <c r="CJ46" s="3341">
        <f t="shared" si="131"/>
        <v>0</v>
      </c>
      <c r="CK46" s="3341">
        <f t="shared" si="131"/>
        <v>0</v>
      </c>
      <c r="CL46" s="2012">
        <f t="shared" si="132"/>
        <v>0</v>
      </c>
      <c r="CM46" s="4428">
        <f t="shared" si="96"/>
        <v>0</v>
      </c>
      <c r="CN46" s="4432"/>
      <c r="CP46" s="2012">
        <f t="shared" si="133"/>
        <v>0</v>
      </c>
      <c r="CQ46" s="2012">
        <f t="shared" si="133"/>
        <v>0</v>
      </c>
      <c r="CR46" s="4614"/>
    </row>
    <row r="47" spans="1:98" ht="13.8" outlineLevel="2">
      <c r="A47" s="4833"/>
      <c r="B47" s="4640" t="s">
        <v>30</v>
      </c>
      <c r="C47" s="3341"/>
      <c r="D47" s="3341"/>
      <c r="E47" s="3349">
        <f t="shared" si="97"/>
        <v>0</v>
      </c>
      <c r="F47" s="4428" t="e">
        <f t="shared" si="98"/>
        <v>#DIV/0!</v>
      </c>
      <c r="G47" s="4429"/>
      <c r="H47" s="3341"/>
      <c r="I47" s="3341"/>
      <c r="J47" s="3349">
        <f t="shared" si="99"/>
        <v>0</v>
      </c>
      <c r="K47" s="4428" t="e">
        <f t="shared" si="100"/>
        <v>#DIV/0!</v>
      </c>
      <c r="L47" s="4429"/>
      <c r="M47" s="3341"/>
      <c r="N47" s="3341"/>
      <c r="O47" s="3349">
        <f t="shared" si="101"/>
        <v>0</v>
      </c>
      <c r="P47" s="4428" t="e">
        <f t="shared" si="102"/>
        <v>#DIV/0!</v>
      </c>
      <c r="Q47" s="4429"/>
      <c r="R47" s="3342">
        <f t="shared" si="103"/>
        <v>0</v>
      </c>
      <c r="S47" s="3342">
        <f t="shared" si="103"/>
        <v>0</v>
      </c>
      <c r="T47" s="2012">
        <f t="shared" si="104"/>
        <v>0</v>
      </c>
      <c r="U47" s="3462"/>
      <c r="V47" s="3462"/>
      <c r="W47" s="3342">
        <f t="shared" si="105"/>
        <v>0</v>
      </c>
      <c r="X47" s="3342">
        <f t="shared" si="105"/>
        <v>0</v>
      </c>
      <c r="Y47" s="2012">
        <f t="shared" si="106"/>
        <v>0</v>
      </c>
      <c r="Z47" s="3462"/>
      <c r="AA47" s="3462"/>
      <c r="AB47" s="3341"/>
      <c r="AC47" s="3341"/>
      <c r="AD47" s="3349">
        <f t="shared" si="107"/>
        <v>0</v>
      </c>
      <c r="AE47" s="4428" t="e">
        <f t="shared" si="108"/>
        <v>#DIV/0!</v>
      </c>
      <c r="AF47" s="4429"/>
      <c r="AG47" s="3341"/>
      <c r="AH47" s="3341"/>
      <c r="AI47" s="3349">
        <f t="shared" si="109"/>
        <v>0</v>
      </c>
      <c r="AJ47" s="4428" t="e">
        <f t="shared" si="110"/>
        <v>#DIV/0!</v>
      </c>
      <c r="AK47" s="4429"/>
      <c r="AL47" s="3341"/>
      <c r="AM47" s="3341"/>
      <c r="AN47" s="3349">
        <f t="shared" si="111"/>
        <v>0</v>
      </c>
      <c r="AO47" s="4428">
        <f t="shared" si="112"/>
        <v>0</v>
      </c>
      <c r="AP47" s="4429"/>
      <c r="AQ47" s="3341"/>
      <c r="AR47" s="3341"/>
      <c r="AS47" s="3349">
        <f t="shared" si="113"/>
        <v>0</v>
      </c>
      <c r="AT47" s="4428">
        <f t="shared" si="114"/>
        <v>0</v>
      </c>
      <c r="AU47" s="4679"/>
      <c r="AV47" s="3341"/>
      <c r="AW47" s="3341"/>
      <c r="AX47" s="3349">
        <f t="shared" si="115"/>
        <v>0</v>
      </c>
      <c r="AY47" s="4428">
        <f t="shared" si="116"/>
        <v>0</v>
      </c>
      <c r="AZ47" s="4429"/>
      <c r="BA47" s="3341"/>
      <c r="BB47" s="3341"/>
      <c r="BC47" s="3349">
        <f t="shared" si="117"/>
        <v>0</v>
      </c>
      <c r="BD47" s="4428">
        <f t="shared" si="118"/>
        <v>0</v>
      </c>
      <c r="BE47" s="4429"/>
      <c r="BF47" s="3341"/>
      <c r="BG47" s="3341"/>
      <c r="BH47" s="3349">
        <f t="shared" si="119"/>
        <v>0</v>
      </c>
      <c r="BI47" s="4428" t="e">
        <f t="shared" si="120"/>
        <v>#DIV/0!</v>
      </c>
      <c r="BJ47" s="4429"/>
      <c r="BK47" s="3341"/>
      <c r="BL47" s="3341"/>
      <c r="BM47" s="3349">
        <f t="shared" si="121"/>
        <v>0</v>
      </c>
      <c r="BN47" s="4428" t="e">
        <f t="shared" si="122"/>
        <v>#DIV/0!</v>
      </c>
      <c r="BO47" s="4429"/>
      <c r="BP47" s="3341"/>
      <c r="BQ47" s="3341"/>
      <c r="BR47" s="3349">
        <f t="shared" si="123"/>
        <v>0</v>
      </c>
      <c r="BS47" s="4428" t="e">
        <f t="shared" si="124"/>
        <v>#DIV/0!</v>
      </c>
      <c r="BT47" s="4429"/>
      <c r="BU47" s="3341"/>
      <c r="BV47" s="3341"/>
      <c r="BW47" s="3349">
        <f t="shared" si="125"/>
        <v>0</v>
      </c>
      <c r="BX47" s="4428" t="e">
        <f t="shared" si="126"/>
        <v>#DIV/0!</v>
      </c>
      <c r="BY47" s="4429"/>
      <c r="BZ47" s="3341"/>
      <c r="CA47" s="3341"/>
      <c r="CB47" s="3349">
        <f t="shared" si="127"/>
        <v>0</v>
      </c>
      <c r="CC47" s="4428" t="e">
        <f t="shared" si="128"/>
        <v>#DIV/0!</v>
      </c>
      <c r="CD47" s="4429"/>
      <c r="CE47" s="3341"/>
      <c r="CF47" s="3341"/>
      <c r="CG47" s="3349">
        <f t="shared" si="129"/>
        <v>0</v>
      </c>
      <c r="CH47" s="4428" t="e">
        <f t="shared" si="130"/>
        <v>#DIV/0!</v>
      </c>
      <c r="CI47" s="4429"/>
      <c r="CJ47" s="3341">
        <f t="shared" si="131"/>
        <v>0</v>
      </c>
      <c r="CK47" s="3341">
        <f t="shared" si="131"/>
        <v>0</v>
      </c>
      <c r="CL47" s="2012">
        <f t="shared" si="132"/>
        <v>0</v>
      </c>
      <c r="CM47" s="4428">
        <f t="shared" si="96"/>
        <v>0</v>
      </c>
      <c r="CN47" s="4432"/>
      <c r="CP47" s="2012">
        <f t="shared" si="133"/>
        <v>0</v>
      </c>
      <c r="CQ47" s="2012">
        <f t="shared" si="133"/>
        <v>0</v>
      </c>
      <c r="CR47" s="4614"/>
    </row>
    <row r="48" spans="1:98" ht="13.8" outlineLevel="2">
      <c r="A48" s="4833"/>
      <c r="B48" s="4640" t="s">
        <v>15</v>
      </c>
      <c r="C48" s="3341"/>
      <c r="D48" s="3341"/>
      <c r="E48" s="3349">
        <f t="shared" si="97"/>
        <v>0</v>
      </c>
      <c r="F48" s="4428" t="e">
        <f t="shared" si="98"/>
        <v>#DIV/0!</v>
      </c>
      <c r="G48" s="4429"/>
      <c r="H48" s="3341"/>
      <c r="I48" s="3341"/>
      <c r="J48" s="3349">
        <f t="shared" si="99"/>
        <v>0</v>
      </c>
      <c r="K48" s="4428" t="e">
        <f t="shared" si="100"/>
        <v>#DIV/0!</v>
      </c>
      <c r="L48" s="4429"/>
      <c r="M48" s="3341"/>
      <c r="N48" s="3341"/>
      <c r="O48" s="3349">
        <f t="shared" si="101"/>
        <v>0</v>
      </c>
      <c r="P48" s="4428" t="e">
        <f t="shared" si="102"/>
        <v>#DIV/0!</v>
      </c>
      <c r="Q48" s="4429"/>
      <c r="R48" s="3342">
        <f t="shared" si="103"/>
        <v>0</v>
      </c>
      <c r="S48" s="3342">
        <f t="shared" si="103"/>
        <v>0</v>
      </c>
      <c r="T48" s="2012">
        <f t="shared" si="104"/>
        <v>0</v>
      </c>
      <c r="U48" s="4641"/>
      <c r="V48" s="4429"/>
      <c r="W48" s="4642">
        <f t="shared" si="105"/>
        <v>0</v>
      </c>
      <c r="X48" s="4642">
        <f t="shared" si="105"/>
        <v>0</v>
      </c>
      <c r="Y48" s="4453">
        <f t="shared" si="106"/>
        <v>0</v>
      </c>
      <c r="Z48" s="4429"/>
      <c r="AA48" s="4429"/>
      <c r="AB48" s="4623"/>
      <c r="AC48" s="4623"/>
      <c r="AD48" s="4643">
        <f t="shared" si="107"/>
        <v>0</v>
      </c>
      <c r="AE48" s="4428" t="e">
        <f t="shared" si="108"/>
        <v>#DIV/0!</v>
      </c>
      <c r="AF48" s="4429"/>
      <c r="AG48" s="4623"/>
      <c r="AH48" s="3341"/>
      <c r="AI48" s="3349">
        <f t="shared" si="109"/>
        <v>0</v>
      </c>
      <c r="AJ48" s="4428" t="e">
        <f t="shared" si="110"/>
        <v>#DIV/0!</v>
      </c>
      <c r="AK48" s="4429"/>
      <c r="AL48" s="3341"/>
      <c r="AM48" s="3341"/>
      <c r="AN48" s="3349">
        <f t="shared" si="111"/>
        <v>0</v>
      </c>
      <c r="AO48" s="4428">
        <f t="shared" si="112"/>
        <v>0</v>
      </c>
      <c r="AP48" s="4429"/>
      <c r="AQ48" s="3341"/>
      <c r="AR48" s="3341"/>
      <c r="AS48" s="3349">
        <f t="shared" si="113"/>
        <v>0</v>
      </c>
      <c r="AT48" s="4428">
        <f t="shared" si="114"/>
        <v>0</v>
      </c>
      <c r="AU48" s="4679"/>
      <c r="AV48" s="3341"/>
      <c r="AW48" s="3341"/>
      <c r="AX48" s="3349">
        <f t="shared" si="115"/>
        <v>0</v>
      </c>
      <c r="AY48" s="4428">
        <f t="shared" si="116"/>
        <v>0</v>
      </c>
      <c r="AZ48" s="4429"/>
      <c r="BA48" s="3341"/>
      <c r="BB48" s="3341"/>
      <c r="BC48" s="3349">
        <f t="shared" si="117"/>
        <v>0</v>
      </c>
      <c r="BD48" s="4428">
        <f t="shared" si="118"/>
        <v>0</v>
      </c>
      <c r="BE48" s="4429"/>
      <c r="BF48" s="3341"/>
      <c r="BG48" s="3341"/>
      <c r="BH48" s="3349">
        <f t="shared" si="119"/>
        <v>0</v>
      </c>
      <c r="BI48" s="4428" t="e">
        <f t="shared" si="120"/>
        <v>#DIV/0!</v>
      </c>
      <c r="BJ48" s="4429"/>
      <c r="BK48" s="3341"/>
      <c r="BL48" s="3341"/>
      <c r="BM48" s="3349">
        <f t="shared" si="121"/>
        <v>0</v>
      </c>
      <c r="BN48" s="4428" t="e">
        <f t="shared" si="122"/>
        <v>#DIV/0!</v>
      </c>
      <c r="BO48" s="4429"/>
      <c r="BP48" s="3341"/>
      <c r="BQ48" s="3341"/>
      <c r="BR48" s="3349">
        <f t="shared" si="123"/>
        <v>0</v>
      </c>
      <c r="BS48" s="4428" t="e">
        <f t="shared" si="124"/>
        <v>#DIV/0!</v>
      </c>
      <c r="BT48" s="4429"/>
      <c r="BU48" s="3341"/>
      <c r="BV48" s="3341"/>
      <c r="BW48" s="3349">
        <f t="shared" si="125"/>
        <v>0</v>
      </c>
      <c r="BX48" s="4428" t="e">
        <f t="shared" si="126"/>
        <v>#DIV/0!</v>
      </c>
      <c r="BY48" s="4429"/>
      <c r="BZ48" s="3341"/>
      <c r="CA48" s="3341"/>
      <c r="CB48" s="3349">
        <f t="shared" si="127"/>
        <v>0</v>
      </c>
      <c r="CC48" s="4428" t="e">
        <f t="shared" si="128"/>
        <v>#DIV/0!</v>
      </c>
      <c r="CD48" s="4429"/>
      <c r="CE48" s="3341"/>
      <c r="CF48" s="3341"/>
      <c r="CG48" s="3349">
        <f t="shared" si="129"/>
        <v>0</v>
      </c>
      <c r="CH48" s="4428" t="e">
        <f t="shared" si="130"/>
        <v>#DIV/0!</v>
      </c>
      <c r="CI48" s="4429"/>
      <c r="CJ48" s="3341">
        <f t="shared" si="131"/>
        <v>0</v>
      </c>
      <c r="CK48" s="3341">
        <f t="shared" si="131"/>
        <v>0</v>
      </c>
      <c r="CL48" s="2012">
        <f t="shared" si="132"/>
        <v>0</v>
      </c>
      <c r="CM48" s="4428">
        <f t="shared" si="96"/>
        <v>0</v>
      </c>
      <c r="CN48" s="4432"/>
      <c r="CP48" s="2012">
        <f t="shared" si="133"/>
        <v>0</v>
      </c>
      <c r="CQ48" s="2012">
        <f t="shared" si="133"/>
        <v>0</v>
      </c>
      <c r="CR48" s="4614"/>
    </row>
    <row r="49" spans="1:98" s="1396" customFormat="1" ht="14.4" outlineLevel="2" thickBot="1">
      <c r="A49" s="1405"/>
      <c r="B49" s="4644"/>
      <c r="C49" s="3341"/>
      <c r="D49" s="3341"/>
      <c r="E49" s="4609"/>
      <c r="F49" s="4437"/>
      <c r="G49" s="4634"/>
      <c r="H49" s="3341"/>
      <c r="I49" s="3341"/>
      <c r="J49" s="4609"/>
      <c r="K49" s="4437"/>
      <c r="L49" s="4634"/>
      <c r="M49" s="3341"/>
      <c r="N49" s="3341"/>
      <c r="O49" s="4609"/>
      <c r="P49" s="4437"/>
      <c r="Q49" s="4634"/>
      <c r="R49" s="3456"/>
      <c r="S49" s="3456"/>
      <c r="T49" s="3456"/>
      <c r="U49" s="3733"/>
      <c r="V49" s="3734"/>
      <c r="W49" s="3734"/>
      <c r="X49" s="3734"/>
      <c r="Y49" s="3734"/>
      <c r="Z49" s="3734"/>
      <c r="AA49" s="3734"/>
      <c r="AB49" s="3375"/>
      <c r="AC49" s="3375"/>
      <c r="AD49" s="4609"/>
      <c r="AE49" s="4437" t="e">
        <f t="shared" si="108"/>
        <v>#DIV/0!</v>
      </c>
      <c r="AF49" s="4634"/>
      <c r="AG49" s="3375"/>
      <c r="AH49" s="3341"/>
      <c r="AI49" s="4609"/>
      <c r="AJ49" s="4437" t="e">
        <f t="shared" si="110"/>
        <v>#DIV/0!</v>
      </c>
      <c r="AK49" s="4634"/>
      <c r="AL49" s="3341"/>
      <c r="AM49" s="3341"/>
      <c r="AN49" s="4609"/>
      <c r="AO49" s="4437">
        <f t="shared" si="112"/>
        <v>0</v>
      </c>
      <c r="AP49" s="4634"/>
      <c r="AQ49" s="3341"/>
      <c r="AR49" s="3341"/>
      <c r="AS49" s="4609"/>
      <c r="AT49" s="4437">
        <f t="shared" si="114"/>
        <v>0</v>
      </c>
      <c r="AU49" s="4677"/>
      <c r="AV49" s="3341"/>
      <c r="AW49" s="3341"/>
      <c r="AX49" s="4609"/>
      <c r="AY49" s="4437">
        <f t="shared" si="116"/>
        <v>0</v>
      </c>
      <c r="AZ49" s="4634"/>
      <c r="BA49" s="3341"/>
      <c r="BB49" s="3341"/>
      <c r="BC49" s="4609"/>
      <c r="BD49" s="4437">
        <f t="shared" si="118"/>
        <v>0</v>
      </c>
      <c r="BE49" s="4634"/>
      <c r="BF49" s="3341"/>
      <c r="BG49" s="3341"/>
      <c r="BH49" s="4609"/>
      <c r="BI49" s="4437" t="e">
        <f t="shared" si="120"/>
        <v>#DIV/0!</v>
      </c>
      <c r="BJ49" s="4634"/>
      <c r="BK49" s="3341"/>
      <c r="BL49" s="3341"/>
      <c r="BM49" s="4609"/>
      <c r="BN49" s="4437" t="e">
        <f t="shared" si="122"/>
        <v>#DIV/0!</v>
      </c>
      <c r="BO49" s="4634"/>
      <c r="BP49" s="3341"/>
      <c r="BQ49" s="3341"/>
      <c r="BR49" s="4609"/>
      <c r="BS49" s="4437" t="e">
        <f t="shared" si="124"/>
        <v>#DIV/0!</v>
      </c>
      <c r="BT49" s="4634"/>
      <c r="BU49" s="3341"/>
      <c r="BV49" s="3341"/>
      <c r="BW49" s="4609"/>
      <c r="BX49" s="4437" t="e">
        <f t="shared" si="126"/>
        <v>#DIV/0!</v>
      </c>
      <c r="BY49" s="4634"/>
      <c r="BZ49" s="3341"/>
      <c r="CA49" s="3341"/>
      <c r="CB49" s="4609"/>
      <c r="CC49" s="4437" t="e">
        <f t="shared" si="128"/>
        <v>#DIV/0!</v>
      </c>
      <c r="CD49" s="4634"/>
      <c r="CE49" s="3341"/>
      <c r="CF49" s="3341"/>
      <c r="CG49" s="4609"/>
      <c r="CH49" s="4437" t="e">
        <f t="shared" si="130"/>
        <v>#DIV/0!</v>
      </c>
      <c r="CI49" s="4634"/>
      <c r="CJ49" s="3341"/>
      <c r="CK49" s="3341"/>
      <c r="CL49" s="4609"/>
      <c r="CM49" s="4428">
        <f t="shared" si="96"/>
        <v>0</v>
      </c>
      <c r="CN49" s="4609"/>
      <c r="CP49" s="4645"/>
      <c r="CQ49" s="4645"/>
      <c r="CR49" s="4614"/>
      <c r="CT49" s="2624"/>
    </row>
    <row r="50" spans="1:98" s="1396" customFormat="1" ht="13.8" outlineLevel="1">
      <c r="A50" s="1565"/>
      <c r="B50" s="1410" t="s">
        <v>59</v>
      </c>
      <c r="C50" s="2015">
        <f>C52+C51</f>
        <v>0</v>
      </c>
      <c r="D50" s="2015">
        <f>D52+D51</f>
        <v>0</v>
      </c>
      <c r="E50" s="2014">
        <f>SUM(E51:E52)</f>
        <v>0</v>
      </c>
      <c r="F50" s="4449" t="e">
        <f>E50/$E$89</f>
        <v>#DIV/0!</v>
      </c>
      <c r="G50" s="1057"/>
      <c r="H50" s="2015">
        <f>H52+H51</f>
        <v>0</v>
      </c>
      <c r="I50" s="2015">
        <f>I52+I51</f>
        <v>0</v>
      </c>
      <c r="J50" s="2014">
        <f>SUM(J51:J52)</f>
        <v>0</v>
      </c>
      <c r="K50" s="4449" t="e">
        <f>J50/$E$89</f>
        <v>#DIV/0!</v>
      </c>
      <c r="L50" s="1057"/>
      <c r="M50" s="2015">
        <f>M52+M51</f>
        <v>0</v>
      </c>
      <c r="N50" s="2015">
        <f>N52+N51</f>
        <v>0</v>
      </c>
      <c r="O50" s="2014">
        <f>SUM(O51:O52)</f>
        <v>0</v>
      </c>
      <c r="P50" s="4449" t="e">
        <f>O50/$E$89</f>
        <v>#DIV/0!</v>
      </c>
      <c r="Q50" s="1057"/>
      <c r="R50" s="2015">
        <f>R52+R51</f>
        <v>0</v>
      </c>
      <c r="S50" s="2015">
        <f>S52+S51</f>
        <v>0</v>
      </c>
      <c r="T50" s="2015">
        <f>SUM(T51:T52)</f>
        <v>0</v>
      </c>
      <c r="U50" s="1535"/>
      <c r="V50" s="3460"/>
      <c r="W50" s="2013">
        <f>W52+W51</f>
        <v>0</v>
      </c>
      <c r="X50" s="2013">
        <f>X52+X51</f>
        <v>0</v>
      </c>
      <c r="Y50" s="2013">
        <f>SUM(Y51:Y52)</f>
        <v>0</v>
      </c>
      <c r="Z50" s="1535"/>
      <c r="AA50" s="3460"/>
      <c r="AB50" s="2013">
        <f>AB52+AB51</f>
        <v>0</v>
      </c>
      <c r="AC50" s="2013">
        <f>AC52+AC51</f>
        <v>0</v>
      </c>
      <c r="AD50" s="2013">
        <f>SUM(AD51:AD52)</f>
        <v>0</v>
      </c>
      <c r="AE50" s="1535"/>
      <c r="AF50" s="3735"/>
      <c r="AG50" s="2013">
        <f>AG52+AG51</f>
        <v>0</v>
      </c>
      <c r="AH50" s="2015">
        <f>AH52+AH51</f>
        <v>0</v>
      </c>
      <c r="AI50" s="2015">
        <f>SUM(AI51:AI52)</f>
        <v>0</v>
      </c>
      <c r="AJ50" s="1535"/>
      <c r="AK50" s="1057"/>
      <c r="AL50" s="2015">
        <f>AL52+AL51</f>
        <v>0</v>
      </c>
      <c r="AM50" s="2015">
        <f>AM52+AM51</f>
        <v>0</v>
      </c>
      <c r="AN50" s="2015">
        <f>SUM(AN51:AN52)</f>
        <v>0</v>
      </c>
      <c r="AO50" s="1535"/>
      <c r="AP50" s="1057"/>
      <c r="AQ50" s="2015">
        <f>AQ52+AQ51</f>
        <v>0</v>
      </c>
      <c r="AR50" s="2015">
        <f>AR52+AR51</f>
        <v>0</v>
      </c>
      <c r="AS50" s="2015">
        <f>SUM(AS51:AS52)</f>
        <v>0</v>
      </c>
      <c r="AT50" s="1535"/>
      <c r="AU50" s="3723"/>
      <c r="AV50" s="2015">
        <f>AV52+AV51</f>
        <v>0</v>
      </c>
      <c r="AW50" s="2015">
        <f>AW52+AW51</f>
        <v>0</v>
      </c>
      <c r="AX50" s="2015">
        <f>SUM(AX51:AX52)</f>
        <v>0</v>
      </c>
      <c r="AY50" s="1535"/>
      <c r="AZ50" s="1057"/>
      <c r="BA50" s="2015">
        <f>BA52+BA51</f>
        <v>0</v>
      </c>
      <c r="BB50" s="2015">
        <f>BB52+BB51</f>
        <v>0</v>
      </c>
      <c r="BC50" s="2015">
        <f>SUM(BC51:BC52)</f>
        <v>0</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0</v>
      </c>
      <c r="CK50" s="2015">
        <f>CK52+CK51</f>
        <v>0</v>
      </c>
      <c r="CL50" s="2015">
        <f>SUM(CL51:CL52)</f>
        <v>0</v>
      </c>
      <c r="CM50" s="2006"/>
      <c r="CN50" s="2006"/>
      <c r="CP50" s="2015">
        <f>SUM(CP51:CP52)</f>
        <v>0</v>
      </c>
      <c r="CQ50" s="2015">
        <f>SUM(CQ51:CQ52)</f>
        <v>0</v>
      </c>
      <c r="CR50" s="2015"/>
      <c r="CT50" s="2624"/>
    </row>
    <row r="51" spans="1:98" s="1396" customFormat="1" ht="13.8" outlineLevel="1">
      <c r="A51" s="1566"/>
      <c r="B51" s="4640" t="s">
        <v>60</v>
      </c>
      <c r="C51" s="3341"/>
      <c r="D51" s="3341"/>
      <c r="E51" s="3349">
        <f t="shared" ref="E51:E52" si="134">C51+D51</f>
        <v>0</v>
      </c>
      <c r="F51" s="4428" t="e">
        <f t="shared" ref="F51:F71" si="135">E51/$E$89</f>
        <v>#DIV/0!</v>
      </c>
      <c r="G51" s="4633"/>
      <c r="H51" s="3341"/>
      <c r="I51" s="3341"/>
      <c r="J51" s="3349">
        <f>H51+I51</f>
        <v>0</v>
      </c>
      <c r="K51" s="4428" t="e">
        <f t="shared" ref="K51:K52" si="136">J51/J$89</f>
        <v>#DIV/0!</v>
      </c>
      <c r="L51" s="4633"/>
      <c r="M51" s="3341"/>
      <c r="N51" s="3341"/>
      <c r="O51" s="3349">
        <f t="shared" ref="O51:O52" si="137">M51+N51</f>
        <v>0</v>
      </c>
      <c r="P51" s="4428" t="e">
        <f t="shared" ref="P51:P53" si="138">O51/O$89</f>
        <v>#DIV/0!</v>
      </c>
      <c r="Q51" s="4633"/>
      <c r="R51" s="3342">
        <f t="shared" ref="R51:S52" si="139">M51+H51+C51</f>
        <v>0</v>
      </c>
      <c r="S51" s="3342">
        <f t="shared" si="139"/>
        <v>0</v>
      </c>
      <c r="T51" s="2012">
        <f t="shared" ref="T51:T52" si="140">R51+S51</f>
        <v>0</v>
      </c>
      <c r="U51" s="3455"/>
      <c r="V51" s="3455"/>
      <c r="W51" s="3342">
        <f t="shared" ref="W51:X52" si="141">AB51+AG51+AL51+AV51+BA51+BF51+BK51+BP51+BU51+BZ51+CE51+AQ51</f>
        <v>0</v>
      </c>
      <c r="X51" s="3342">
        <f t="shared" si="141"/>
        <v>0</v>
      </c>
      <c r="Y51" s="2012">
        <f t="shared" ref="Y51:Y52" si="142">W51+X51</f>
        <v>0</v>
      </c>
      <c r="Z51" s="3455"/>
      <c r="AA51" s="3455"/>
      <c r="AB51" s="3341"/>
      <c r="AC51" s="3341"/>
      <c r="AD51" s="3349">
        <f t="shared" ref="AD51:AD52" si="143">AB51+AC51</f>
        <v>0</v>
      </c>
      <c r="AE51" s="4428" t="e">
        <f t="shared" ref="AE51:AE53" si="144">AD51/AD$89</f>
        <v>#DIV/0!</v>
      </c>
      <c r="AF51" s="4633"/>
      <c r="AG51" s="3341"/>
      <c r="AH51" s="3341"/>
      <c r="AI51" s="3349">
        <f t="shared" ref="AI51:AI52" si="145">AG51+AH51</f>
        <v>0</v>
      </c>
      <c r="AJ51" s="4428" t="e">
        <f t="shared" ref="AJ51:AJ53" si="146">AI51/AI$89</f>
        <v>#DIV/0!</v>
      </c>
      <c r="AK51" s="4633"/>
      <c r="AL51" s="3341"/>
      <c r="AM51" s="3341"/>
      <c r="AN51" s="3349">
        <f t="shared" ref="AN51:AN52" si="147">AL51+AM51</f>
        <v>0</v>
      </c>
      <c r="AO51" s="4428">
        <f t="shared" ref="AO51:AO53" si="148">AN51/AN$89</f>
        <v>0</v>
      </c>
      <c r="AP51" s="4633"/>
      <c r="AQ51" s="3341"/>
      <c r="AR51" s="3341"/>
      <c r="AS51" s="3349">
        <f t="shared" ref="AS51:AS52" si="149">AQ51+AR51</f>
        <v>0</v>
      </c>
      <c r="AT51" s="4428">
        <f t="shared" ref="AT51:AT53" si="150">AS51/AS$89</f>
        <v>0</v>
      </c>
      <c r="AU51" s="4676"/>
      <c r="AV51" s="3341"/>
      <c r="AW51" s="3341"/>
      <c r="AX51" s="3349">
        <f t="shared" ref="AX51:AX52" si="151">AV51+AW51</f>
        <v>0</v>
      </c>
      <c r="AY51" s="4428">
        <f t="shared" ref="AY51:AY53" si="152">AX51/AX$89</f>
        <v>0</v>
      </c>
      <c r="AZ51" s="4633"/>
      <c r="BA51" s="3341"/>
      <c r="BB51" s="3341"/>
      <c r="BC51" s="3349">
        <f t="shared" ref="BC51:BC52" si="153">BA51+BB51</f>
        <v>0</v>
      </c>
      <c r="BD51" s="4428">
        <f t="shared" ref="BD51:BD53" si="154">BC51/BC$89</f>
        <v>0</v>
      </c>
      <c r="BE51" s="4633"/>
      <c r="BF51" s="3341"/>
      <c r="BG51" s="3341"/>
      <c r="BH51" s="3349">
        <f t="shared" ref="BH51:BH52" si="155">BF51+BG51</f>
        <v>0</v>
      </c>
      <c r="BI51" s="4428" t="e">
        <f t="shared" ref="BI51:BI53" si="156">BH51/BH$89</f>
        <v>#DIV/0!</v>
      </c>
      <c r="BJ51" s="4633"/>
      <c r="BK51" s="3341"/>
      <c r="BL51" s="3341"/>
      <c r="BM51" s="3349">
        <f t="shared" ref="BM51:BM52" si="157">BK51+BL51</f>
        <v>0</v>
      </c>
      <c r="BN51" s="4428" t="e">
        <f t="shared" ref="BN51:BN53" si="158">BM51/BM$89</f>
        <v>#DIV/0!</v>
      </c>
      <c r="BO51" s="4633"/>
      <c r="BP51" s="3341"/>
      <c r="BQ51" s="3341"/>
      <c r="BR51" s="3349">
        <f t="shared" ref="BR51:BR52" si="159">BP51+BQ51</f>
        <v>0</v>
      </c>
      <c r="BS51" s="4428" t="e">
        <f t="shared" ref="BS51:BS53" si="160">BR51/BR$89</f>
        <v>#DIV/0!</v>
      </c>
      <c r="BT51" s="4633"/>
      <c r="BU51" s="3341"/>
      <c r="BV51" s="3341"/>
      <c r="BW51" s="3349">
        <f t="shared" ref="BW51:BW52" si="161">BU51+BV51</f>
        <v>0</v>
      </c>
      <c r="BX51" s="4428" t="e">
        <f t="shared" ref="BX51:BX53" si="162">BW51/BW$89</f>
        <v>#DIV/0!</v>
      </c>
      <c r="BY51" s="4633"/>
      <c r="BZ51" s="3341"/>
      <c r="CA51" s="3341"/>
      <c r="CB51" s="3349">
        <f t="shared" ref="CB51:CB52" si="163">BZ51+CA51</f>
        <v>0</v>
      </c>
      <c r="CC51" s="4428" t="e">
        <f t="shared" ref="CC51:CC53" si="164">CB51/CB$89</f>
        <v>#DIV/0!</v>
      </c>
      <c r="CD51" s="4633"/>
      <c r="CE51" s="3341"/>
      <c r="CF51" s="3341"/>
      <c r="CG51" s="3349">
        <f t="shared" ref="CG51:CG52" si="165">CE51+CF51</f>
        <v>0</v>
      </c>
      <c r="CH51" s="4428" t="e">
        <f t="shared" ref="CH51:CH53" si="166">CG51/CG$89</f>
        <v>#DIV/0!</v>
      </c>
      <c r="CI51" s="4633"/>
      <c r="CJ51" s="3341">
        <f t="shared" ref="CJ51:CK53" si="167">C51+H51+M51+W51</f>
        <v>0</v>
      </c>
      <c r="CK51" s="3341">
        <f t="shared" si="167"/>
        <v>0</v>
      </c>
      <c r="CL51" s="2012">
        <f>CJ51+CK51*1</f>
        <v>0</v>
      </c>
      <c r="CM51" s="4428">
        <f>CL51/$CL$89</f>
        <v>0</v>
      </c>
      <c r="CN51" s="4611"/>
      <c r="CP51" s="2012">
        <f>CN51+CO51*1</f>
        <v>0</v>
      </c>
      <c r="CQ51" s="2012">
        <f>CO51+CP51*1</f>
        <v>0</v>
      </c>
      <c r="CR51" s="4614"/>
      <c r="CT51" s="2624"/>
    </row>
    <row r="52" spans="1:98" ht="13.8" outlineLevel="2">
      <c r="A52" s="1566"/>
      <c r="B52" s="4640" t="s">
        <v>61</v>
      </c>
      <c r="C52" s="3341"/>
      <c r="D52" s="3341"/>
      <c r="E52" s="3349">
        <f t="shared" si="134"/>
        <v>0</v>
      </c>
      <c r="F52" s="4428" t="e">
        <f t="shared" si="135"/>
        <v>#DIV/0!</v>
      </c>
      <c r="G52" s="4633"/>
      <c r="H52" s="3341"/>
      <c r="I52" s="3341"/>
      <c r="J52" s="3349">
        <f>H52+I52</f>
        <v>0</v>
      </c>
      <c r="K52" s="4428" t="e">
        <f t="shared" si="136"/>
        <v>#DIV/0!</v>
      </c>
      <c r="L52" s="4633"/>
      <c r="M52" s="3341"/>
      <c r="N52" s="3341"/>
      <c r="O52" s="3349">
        <f t="shared" si="137"/>
        <v>0</v>
      </c>
      <c r="P52" s="4428" t="e">
        <f t="shared" si="138"/>
        <v>#DIV/0!</v>
      </c>
      <c r="Q52" s="4633"/>
      <c r="R52" s="3342">
        <f t="shared" si="139"/>
        <v>0</v>
      </c>
      <c r="S52" s="3342">
        <f t="shared" si="139"/>
        <v>0</v>
      </c>
      <c r="T52" s="2012">
        <f t="shared" si="140"/>
        <v>0</v>
      </c>
      <c r="U52" s="3455"/>
      <c r="V52" s="3455"/>
      <c r="W52" s="3342">
        <f t="shared" si="141"/>
        <v>0</v>
      </c>
      <c r="X52" s="3342">
        <f t="shared" si="141"/>
        <v>0</v>
      </c>
      <c r="Y52" s="2012">
        <f t="shared" si="142"/>
        <v>0</v>
      </c>
      <c r="Z52" s="3455"/>
      <c r="AA52" s="3455"/>
      <c r="AB52" s="3341"/>
      <c r="AC52" s="3341"/>
      <c r="AD52" s="3349">
        <f t="shared" si="143"/>
        <v>0</v>
      </c>
      <c r="AE52" s="4428" t="e">
        <f t="shared" si="144"/>
        <v>#DIV/0!</v>
      </c>
      <c r="AF52" s="4633"/>
      <c r="AG52" s="3341"/>
      <c r="AH52" s="3341"/>
      <c r="AI52" s="3349">
        <f t="shared" si="145"/>
        <v>0</v>
      </c>
      <c r="AJ52" s="4428" t="e">
        <f t="shared" si="146"/>
        <v>#DIV/0!</v>
      </c>
      <c r="AK52" s="4633"/>
      <c r="AL52" s="3341"/>
      <c r="AM52" s="3341"/>
      <c r="AN52" s="3349">
        <f t="shared" si="147"/>
        <v>0</v>
      </c>
      <c r="AO52" s="4428">
        <f t="shared" si="148"/>
        <v>0</v>
      </c>
      <c r="AP52" s="4633"/>
      <c r="AQ52" s="3341"/>
      <c r="AR52" s="3341"/>
      <c r="AS52" s="3349">
        <f t="shared" si="149"/>
        <v>0</v>
      </c>
      <c r="AT52" s="4428">
        <f t="shared" si="150"/>
        <v>0</v>
      </c>
      <c r="AU52" s="4676"/>
      <c r="AV52" s="3341"/>
      <c r="AW52" s="3341"/>
      <c r="AX52" s="3349">
        <f t="shared" si="151"/>
        <v>0</v>
      </c>
      <c r="AY52" s="4428">
        <f t="shared" si="152"/>
        <v>0</v>
      </c>
      <c r="AZ52" s="4633"/>
      <c r="BA52" s="3341"/>
      <c r="BB52" s="3341"/>
      <c r="BC52" s="3349">
        <f t="shared" si="153"/>
        <v>0</v>
      </c>
      <c r="BD52" s="4428">
        <f t="shared" si="154"/>
        <v>0</v>
      </c>
      <c r="BE52" s="4633"/>
      <c r="BF52" s="3341"/>
      <c r="BG52" s="3341"/>
      <c r="BH52" s="3349">
        <f t="shared" si="155"/>
        <v>0</v>
      </c>
      <c r="BI52" s="4428" t="e">
        <f t="shared" si="156"/>
        <v>#DIV/0!</v>
      </c>
      <c r="BJ52" s="4633"/>
      <c r="BK52" s="3341"/>
      <c r="BL52" s="3341"/>
      <c r="BM52" s="3349">
        <f t="shared" si="157"/>
        <v>0</v>
      </c>
      <c r="BN52" s="4428" t="e">
        <f t="shared" si="158"/>
        <v>#DIV/0!</v>
      </c>
      <c r="BO52" s="4633"/>
      <c r="BP52" s="3341"/>
      <c r="BQ52" s="3341"/>
      <c r="BR52" s="3349">
        <f t="shared" si="159"/>
        <v>0</v>
      </c>
      <c r="BS52" s="4428" t="e">
        <f t="shared" si="160"/>
        <v>#DIV/0!</v>
      </c>
      <c r="BT52" s="4633"/>
      <c r="BU52" s="3341"/>
      <c r="BV52" s="3341"/>
      <c r="BW52" s="3349">
        <f t="shared" si="161"/>
        <v>0</v>
      </c>
      <c r="BX52" s="4428" t="e">
        <f t="shared" si="162"/>
        <v>#DIV/0!</v>
      </c>
      <c r="BY52" s="4633"/>
      <c r="BZ52" s="3341"/>
      <c r="CA52" s="3341"/>
      <c r="CB52" s="3349">
        <f t="shared" si="163"/>
        <v>0</v>
      </c>
      <c r="CC52" s="4428" t="e">
        <f t="shared" si="164"/>
        <v>#DIV/0!</v>
      </c>
      <c r="CD52" s="4633"/>
      <c r="CE52" s="3341"/>
      <c r="CF52" s="3341"/>
      <c r="CG52" s="3349">
        <f t="shared" si="165"/>
        <v>0</v>
      </c>
      <c r="CH52" s="4428" t="e">
        <f t="shared" si="166"/>
        <v>#DIV/0!</v>
      </c>
      <c r="CI52" s="4633"/>
      <c r="CJ52" s="3341">
        <f t="shared" si="167"/>
        <v>0</v>
      </c>
      <c r="CK52" s="3341">
        <f t="shared" si="167"/>
        <v>0</v>
      </c>
      <c r="CL52" s="2012">
        <f>CJ52+CK52*1</f>
        <v>0</v>
      </c>
      <c r="CM52" s="4428">
        <f>CL52/$CL$89</f>
        <v>0</v>
      </c>
      <c r="CN52" s="4611"/>
      <c r="CP52" s="2012">
        <f>CN52+CO52*1</f>
        <v>0</v>
      </c>
      <c r="CQ52" s="2012">
        <f>CO52+CP52*1</f>
        <v>0</v>
      </c>
      <c r="CR52" s="4614"/>
    </row>
    <row r="53" spans="1:98" ht="14.4" outlineLevel="1" thickBot="1">
      <c r="A53" s="1413"/>
      <c r="B53" s="4450"/>
      <c r="C53" s="3341"/>
      <c r="D53" s="3341"/>
      <c r="E53" s="4451"/>
      <c r="F53" s="4428" t="e">
        <f t="shared" si="135"/>
        <v>#DIV/0!</v>
      </c>
      <c r="G53" s="4452"/>
      <c r="H53" s="3341"/>
      <c r="I53" s="3341"/>
      <c r="J53" s="4451"/>
      <c r="K53" s="4428" t="e">
        <f t="shared" ref="K53:K54" si="168">J53/$E$89</f>
        <v>#DIV/0!</v>
      </c>
      <c r="L53" s="4452"/>
      <c r="M53" s="3341"/>
      <c r="N53" s="3341"/>
      <c r="O53" s="4451"/>
      <c r="P53" s="4428" t="e">
        <f t="shared" si="138"/>
        <v>#DIV/0!</v>
      </c>
      <c r="Q53" s="4452"/>
      <c r="R53" s="4646"/>
      <c r="S53" s="4452"/>
      <c r="T53" s="4452"/>
      <c r="U53" s="4452"/>
      <c r="V53" s="4452"/>
      <c r="W53" s="4452"/>
      <c r="X53" s="4452"/>
      <c r="Y53" s="4452"/>
      <c r="Z53" s="4452"/>
      <c r="AA53" s="4452"/>
      <c r="AB53" s="4624"/>
      <c r="AC53" s="4624"/>
      <c r="AD53" s="4451"/>
      <c r="AE53" s="4437" t="e">
        <f t="shared" si="144"/>
        <v>#DIV/0!</v>
      </c>
      <c r="AF53" s="4452"/>
      <c r="AG53" s="4624"/>
      <c r="AH53" s="4624"/>
      <c r="AI53" s="4451"/>
      <c r="AJ53" s="4437" t="e">
        <f t="shared" si="146"/>
        <v>#DIV/0!</v>
      </c>
      <c r="AK53" s="4452"/>
      <c r="AL53" s="4624"/>
      <c r="AM53" s="4624"/>
      <c r="AN53" s="4451"/>
      <c r="AO53" s="4437">
        <f t="shared" si="148"/>
        <v>0</v>
      </c>
      <c r="AP53" s="4452"/>
      <c r="AQ53" s="4624"/>
      <c r="AR53" s="4624"/>
      <c r="AS53" s="4451"/>
      <c r="AT53" s="4437">
        <f t="shared" si="150"/>
        <v>0</v>
      </c>
      <c r="AU53" s="4680"/>
      <c r="AV53" s="4624"/>
      <c r="AW53" s="4624"/>
      <c r="AX53" s="4451"/>
      <c r="AY53" s="4437">
        <f t="shared" si="152"/>
        <v>0</v>
      </c>
      <c r="AZ53" s="4452"/>
      <c r="BA53" s="4624"/>
      <c r="BB53" s="4624"/>
      <c r="BC53" s="4451"/>
      <c r="BD53" s="4437">
        <f t="shared" si="154"/>
        <v>0</v>
      </c>
      <c r="BE53" s="4452"/>
      <c r="BF53" s="4624"/>
      <c r="BG53" s="4624"/>
      <c r="BH53" s="4451"/>
      <c r="BI53" s="4437" t="e">
        <f t="shared" si="156"/>
        <v>#DIV/0!</v>
      </c>
      <c r="BJ53" s="4452"/>
      <c r="BK53" s="4624"/>
      <c r="BL53" s="4624"/>
      <c r="BM53" s="4451"/>
      <c r="BN53" s="4437" t="e">
        <f t="shared" si="158"/>
        <v>#DIV/0!</v>
      </c>
      <c r="BO53" s="4452"/>
      <c r="BP53" s="4624"/>
      <c r="BQ53" s="4624"/>
      <c r="BR53" s="4451"/>
      <c r="BS53" s="4437" t="e">
        <f t="shared" si="160"/>
        <v>#DIV/0!</v>
      </c>
      <c r="BT53" s="4452"/>
      <c r="BU53" s="4624"/>
      <c r="BV53" s="4624"/>
      <c r="BW53" s="4451"/>
      <c r="BX53" s="4437" t="e">
        <f t="shared" si="162"/>
        <v>#DIV/0!</v>
      </c>
      <c r="BY53" s="4452"/>
      <c r="BZ53" s="4624"/>
      <c r="CA53" s="4624"/>
      <c r="CB53" s="4451"/>
      <c r="CC53" s="4437" t="e">
        <f t="shared" si="164"/>
        <v>#DIV/0!</v>
      </c>
      <c r="CD53" s="4452"/>
      <c r="CE53" s="4624"/>
      <c r="CF53" s="4624"/>
      <c r="CG53" s="4451"/>
      <c r="CH53" s="4437" t="e">
        <f t="shared" si="166"/>
        <v>#DIV/0!</v>
      </c>
      <c r="CI53" s="4452"/>
      <c r="CJ53" s="4624">
        <f t="shared" si="167"/>
        <v>0</v>
      </c>
      <c r="CK53" s="4624">
        <f t="shared" si="167"/>
        <v>0</v>
      </c>
      <c r="CL53" s="4451"/>
      <c r="CM53" s="4451"/>
      <c r="CN53" s="4451"/>
      <c r="CP53" s="4647"/>
      <c r="CQ53" s="4647"/>
      <c r="CR53" s="4614"/>
    </row>
    <row r="54" spans="1:98" ht="13.8" outlineLevel="1">
      <c r="A54" s="1570"/>
      <c r="B54" s="1410" t="s">
        <v>1</v>
      </c>
      <c r="C54" s="2015">
        <f>SUM(C55:C72)</f>
        <v>0</v>
      </c>
      <c r="D54" s="2015">
        <f>SUM(D55:D72)</f>
        <v>0</v>
      </c>
      <c r="E54" s="2014">
        <f>SUM(E55:E72)</f>
        <v>0</v>
      </c>
      <c r="F54" s="4449" t="e">
        <f t="shared" si="135"/>
        <v>#DIV/0!</v>
      </c>
      <c r="G54" s="1057"/>
      <c r="H54" s="2015">
        <f>SUM(H55:H72)</f>
        <v>0</v>
      </c>
      <c r="I54" s="2015">
        <f>SUM(I55:I72)</f>
        <v>0</v>
      </c>
      <c r="J54" s="2014">
        <f>SUM(J55:J72)</f>
        <v>0</v>
      </c>
      <c r="K54" s="4449" t="e">
        <f t="shared" si="168"/>
        <v>#DIV/0!</v>
      </c>
      <c r="L54" s="1057"/>
      <c r="M54" s="2015">
        <f>SUM(M55:M72)</f>
        <v>0</v>
      </c>
      <c r="N54" s="2015">
        <f>SUM(N55:N72)</f>
        <v>0</v>
      </c>
      <c r="O54" s="2014">
        <f>SUM(O55:O72)</f>
        <v>0</v>
      </c>
      <c r="P54" s="4449" t="e">
        <f t="shared" ref="P54" si="169">O54/$E$89</f>
        <v>#DIV/0!</v>
      </c>
      <c r="Q54" s="1057"/>
      <c r="R54" s="2013">
        <f>SUM(R55:R72)</f>
        <v>0</v>
      </c>
      <c r="S54" s="2013">
        <f>SUM(S55:S72)</f>
        <v>0</v>
      </c>
      <c r="T54" s="2013">
        <f>SUM(T55:T72)</f>
        <v>0</v>
      </c>
      <c r="U54" s="1535"/>
      <c r="V54" s="3460"/>
      <c r="W54" s="2013">
        <f>SUM(W55:W72)</f>
        <v>0</v>
      </c>
      <c r="X54" s="2013">
        <f>SUM(X55:X72)</f>
        <v>0</v>
      </c>
      <c r="Y54" s="2013">
        <f>SUM(Y55:Y72)</f>
        <v>0</v>
      </c>
      <c r="Z54" s="1535"/>
      <c r="AA54" s="3460"/>
      <c r="AB54" s="2013">
        <f>SUM(AB55:AB72)</f>
        <v>0</v>
      </c>
      <c r="AC54" s="2013">
        <f>SUM(AC55:AC72)</f>
        <v>0</v>
      </c>
      <c r="AD54" s="2013">
        <f>SUM(AD55:AD72)</f>
        <v>0</v>
      </c>
      <c r="AE54" s="1535"/>
      <c r="AF54" s="3735"/>
      <c r="AG54" s="2013">
        <f>SUM(AG55:AG72)</f>
        <v>0</v>
      </c>
      <c r="AH54" s="2013">
        <f>SUM(AH55:AH72)</f>
        <v>0</v>
      </c>
      <c r="AI54" s="2013">
        <f>SUM(AI55:AI72)</f>
        <v>0</v>
      </c>
      <c r="AJ54" s="1535"/>
      <c r="AK54" s="3735"/>
      <c r="AL54" s="2013">
        <f>SUM(AL55:AL72)</f>
        <v>0</v>
      </c>
      <c r="AM54" s="2013">
        <f>SUM(AM55:AM72)</f>
        <v>0</v>
      </c>
      <c r="AN54" s="2013">
        <f>SUM(AN55:AN72)</f>
        <v>0</v>
      </c>
      <c r="AO54" s="1535"/>
      <c r="AP54" s="3735"/>
      <c r="AQ54" s="2013">
        <f>SUM(AQ55:AQ72)</f>
        <v>0</v>
      </c>
      <c r="AR54" s="2013">
        <f>SUM(AR55:AR72)</f>
        <v>0</v>
      </c>
      <c r="AS54" s="2013">
        <f>SUM(AS55:AS72)</f>
        <v>0</v>
      </c>
      <c r="AT54" s="1535"/>
      <c r="AU54" s="3782"/>
      <c r="AV54" s="2013">
        <f>SUM(AV55:AV72)</f>
        <v>0</v>
      </c>
      <c r="AW54" s="2013">
        <f>SUM(AW55:AW72)</f>
        <v>0</v>
      </c>
      <c r="AX54" s="2013">
        <f>SUM(AX55:AX72)</f>
        <v>0</v>
      </c>
      <c r="AY54" s="1535"/>
      <c r="AZ54" s="3735"/>
      <c r="BA54" s="2013">
        <f>SUM(BA55:BA72)</f>
        <v>0</v>
      </c>
      <c r="BB54" s="2013">
        <f>SUM(BB55:BB72)</f>
        <v>0</v>
      </c>
      <c r="BC54" s="2013">
        <f>SUM(BC55:BC72)</f>
        <v>0</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0</v>
      </c>
      <c r="CK54" s="2013">
        <f>SUM(CK55:CK72)</f>
        <v>0</v>
      </c>
      <c r="CL54" s="2013">
        <f>SUM(CL55:CL72)</f>
        <v>0</v>
      </c>
      <c r="CM54" s="1535">
        <f t="shared" ref="CM54:CM71" si="170">CL54/$CL$89</f>
        <v>0</v>
      </c>
      <c r="CN54" s="1061"/>
      <c r="CP54" s="2015">
        <f>SUM(CP55:CP72)</f>
        <v>0</v>
      </c>
      <c r="CQ54" s="2015">
        <f>SUM(CQ55:CQ72)</f>
        <v>0</v>
      </c>
      <c r="CR54" s="2015"/>
    </row>
    <row r="55" spans="1:98" ht="13.8" outlineLevel="2">
      <c r="A55" s="1571"/>
      <c r="B55" s="4632" t="s">
        <v>77</v>
      </c>
      <c r="C55" s="3349"/>
      <c r="D55" s="3349"/>
      <c r="E55" s="3349">
        <f t="shared" ref="E55:E71" si="171">C55+D55</f>
        <v>0</v>
      </c>
      <c r="F55" s="4428" t="e">
        <f t="shared" si="135"/>
        <v>#DIV/0!</v>
      </c>
      <c r="G55" s="4429"/>
      <c r="H55" s="3349"/>
      <c r="I55" s="3349"/>
      <c r="J55" s="3349">
        <f t="shared" ref="J55:J71" si="172">H55+I55</f>
        <v>0</v>
      </c>
      <c r="K55" s="4428" t="e">
        <f t="shared" ref="K55:K72" si="173">J55/J$89</f>
        <v>#DIV/0!</v>
      </c>
      <c r="L55" s="4429"/>
      <c r="M55" s="3349"/>
      <c r="N55" s="3349"/>
      <c r="O55" s="3349">
        <f t="shared" ref="O55:O71" si="174">M55+N55</f>
        <v>0</v>
      </c>
      <c r="P55" s="4428" t="e">
        <f t="shared" ref="P55:P72" si="175">O55/O$89</f>
        <v>#DIV/0!</v>
      </c>
      <c r="Q55" s="4429"/>
      <c r="R55" s="3342">
        <f t="shared" ref="R55:S71" si="176">M55+H55+C55</f>
        <v>0</v>
      </c>
      <c r="S55" s="3342">
        <f t="shared" si="176"/>
        <v>0</v>
      </c>
      <c r="T55" s="2012">
        <f t="shared" ref="T55:T71" si="177">R55+S55</f>
        <v>0</v>
      </c>
      <c r="U55" s="3462"/>
      <c r="V55" s="3462"/>
      <c r="W55" s="3342">
        <f t="shared" ref="W55:X71" si="178">AB55+AG55+AL55+AV55+BA55+BF55+BK55+BP55+BU55+BZ55+CE55+AQ55</f>
        <v>0</v>
      </c>
      <c r="X55" s="3342">
        <f t="shared" si="178"/>
        <v>0</v>
      </c>
      <c r="Y55" s="2012">
        <f t="shared" ref="Y55:Y71" si="179">W55+X55</f>
        <v>0</v>
      </c>
      <c r="Z55" s="3462"/>
      <c r="AA55" s="3462"/>
      <c r="AB55" s="3349"/>
      <c r="AC55" s="3349"/>
      <c r="AD55" s="3349">
        <f t="shared" ref="AD55:AD71" si="180">AB55+AC55</f>
        <v>0</v>
      </c>
      <c r="AE55" s="4428" t="e">
        <f t="shared" ref="AE55:AE71" si="181">AD55/AD$89</f>
        <v>#DIV/0!</v>
      </c>
      <c r="AF55" s="4429"/>
      <c r="AG55" s="3349"/>
      <c r="AH55" s="3349"/>
      <c r="AI55" s="3349">
        <f t="shared" ref="AI55:AI71" si="182">AG55+AH55</f>
        <v>0</v>
      </c>
      <c r="AJ55" s="4428" t="e">
        <f t="shared" ref="AJ55:AJ71" si="183">AI55/AI$89</f>
        <v>#DIV/0!</v>
      </c>
      <c r="AK55" s="4429"/>
      <c r="AL55" s="3349"/>
      <c r="AM55" s="3349"/>
      <c r="AN55" s="3349">
        <f t="shared" ref="AN55:AN71" si="184">AL55+AM55</f>
        <v>0</v>
      </c>
      <c r="AO55" s="4428">
        <f t="shared" ref="AO55:AO71" si="185">AN55/AN$89</f>
        <v>0</v>
      </c>
      <c r="AP55" s="4429"/>
      <c r="AQ55" s="3349"/>
      <c r="AR55" s="3349"/>
      <c r="AS55" s="3349">
        <f t="shared" ref="AS55:AS71" si="186">AQ55+AR55</f>
        <v>0</v>
      </c>
      <c r="AT55" s="4428">
        <f t="shared" ref="AT55:AT71" si="187">AS55/AS$89</f>
        <v>0</v>
      </c>
      <c r="AU55" s="4679"/>
      <c r="AV55" s="3349"/>
      <c r="AW55" s="3349"/>
      <c r="AX55" s="3349">
        <f t="shared" ref="AX55:AX71" si="188">AV55+AW55</f>
        <v>0</v>
      </c>
      <c r="AY55" s="4428">
        <f t="shared" ref="AY55:AY71" si="189">AX55/AX$89</f>
        <v>0</v>
      </c>
      <c r="AZ55" s="4429"/>
      <c r="BA55" s="3349"/>
      <c r="BB55" s="3349"/>
      <c r="BC55" s="3349">
        <f t="shared" ref="BC55:BC71" si="190">BA55+BB55</f>
        <v>0</v>
      </c>
      <c r="BD55" s="4428">
        <f t="shared" ref="BD55:BD71" si="191">BC55/BC$89</f>
        <v>0</v>
      </c>
      <c r="BE55" s="4429"/>
      <c r="BF55" s="3349"/>
      <c r="BG55" s="3349"/>
      <c r="BH55" s="3349">
        <f t="shared" ref="BH55:BH71" si="192">BF55+BG55</f>
        <v>0</v>
      </c>
      <c r="BI55" s="4428" t="e">
        <f t="shared" ref="BI55:BI71" si="193">BH55/BH$89</f>
        <v>#DIV/0!</v>
      </c>
      <c r="BJ55" s="4429"/>
      <c r="BK55" s="3349"/>
      <c r="BL55" s="3349"/>
      <c r="BM55" s="3349">
        <f t="shared" ref="BM55:BM71" si="194">BK55+BL55</f>
        <v>0</v>
      </c>
      <c r="BN55" s="4428" t="e">
        <f t="shared" ref="BN55:BN71" si="195">BM55/BM$89</f>
        <v>#DIV/0!</v>
      </c>
      <c r="BO55" s="4429"/>
      <c r="BP55" s="3349"/>
      <c r="BQ55" s="3349"/>
      <c r="BR55" s="3349">
        <f t="shared" ref="BR55:BR71" si="196">BP55+BQ55</f>
        <v>0</v>
      </c>
      <c r="BS55" s="4428" t="e">
        <f t="shared" ref="BS55:BS71" si="197">BR55/BR$89</f>
        <v>#DIV/0!</v>
      </c>
      <c r="BT55" s="4429"/>
      <c r="BU55" s="3349"/>
      <c r="BV55" s="3349"/>
      <c r="BW55" s="3349">
        <f t="shared" ref="BW55:BW71" si="198">BU55+BV55</f>
        <v>0</v>
      </c>
      <c r="BX55" s="4428" t="e">
        <f t="shared" ref="BX55:BX71" si="199">BW55/BW$89</f>
        <v>#DIV/0!</v>
      </c>
      <c r="BY55" s="4429"/>
      <c r="BZ55" s="3349"/>
      <c r="CA55" s="3349"/>
      <c r="CB55" s="3349">
        <f t="shared" ref="CB55:CB71" si="200">BZ55+CA55</f>
        <v>0</v>
      </c>
      <c r="CC55" s="4428" t="e">
        <f t="shared" ref="CC55:CC71" si="201">CB55/CB$89</f>
        <v>#DIV/0!</v>
      </c>
      <c r="CD55" s="4429"/>
      <c r="CE55" s="3349"/>
      <c r="CF55" s="3349"/>
      <c r="CG55" s="3349">
        <f t="shared" ref="CG55:CG71" si="202">CE55+CF55</f>
        <v>0</v>
      </c>
      <c r="CH55" s="4428" t="e">
        <f t="shared" ref="CH55:CH71" si="203">CG55/CG$89</f>
        <v>#DIV/0!</v>
      </c>
      <c r="CI55" s="4429"/>
      <c r="CJ55" s="3341">
        <f t="shared" ref="CJ55:CK71" si="204">C55+H55+M55+W55</f>
        <v>0</v>
      </c>
      <c r="CK55" s="3341">
        <f t="shared" si="204"/>
        <v>0</v>
      </c>
      <c r="CL55" s="2012">
        <f t="shared" ref="CL55:CL71" si="205">CJ55+CK55*1</f>
        <v>0</v>
      </c>
      <c r="CM55" s="4428">
        <f t="shared" si="170"/>
        <v>0</v>
      </c>
      <c r="CN55" s="4432"/>
      <c r="CP55" s="2012">
        <f t="shared" ref="CP55:CQ71" si="206">CN55+CO55*1</f>
        <v>0</v>
      </c>
      <c r="CQ55" s="2012">
        <f t="shared" si="206"/>
        <v>0</v>
      </c>
      <c r="CR55" s="4614"/>
    </row>
    <row r="56" spans="1:98" ht="13.8" outlineLevel="2">
      <c r="A56" s="1571"/>
      <c r="B56" s="4632" t="s">
        <v>76</v>
      </c>
      <c r="C56" s="3349"/>
      <c r="D56" s="3349"/>
      <c r="E56" s="3349">
        <f t="shared" si="171"/>
        <v>0</v>
      </c>
      <c r="F56" s="4428" t="e">
        <f t="shared" si="135"/>
        <v>#DIV/0!</v>
      </c>
      <c r="G56" s="4429"/>
      <c r="H56" s="3349"/>
      <c r="I56" s="3349"/>
      <c r="J56" s="3349">
        <f t="shared" si="172"/>
        <v>0</v>
      </c>
      <c r="K56" s="4428" t="e">
        <f t="shared" si="173"/>
        <v>#DIV/0!</v>
      </c>
      <c r="L56" s="4429"/>
      <c r="M56" s="3349"/>
      <c r="N56" s="3349"/>
      <c r="O56" s="3349">
        <f t="shared" si="174"/>
        <v>0</v>
      </c>
      <c r="P56" s="4428" t="e">
        <f t="shared" si="175"/>
        <v>#DIV/0!</v>
      </c>
      <c r="Q56" s="4429"/>
      <c r="R56" s="3342">
        <f t="shared" si="176"/>
        <v>0</v>
      </c>
      <c r="S56" s="3342">
        <f t="shared" si="176"/>
        <v>0</v>
      </c>
      <c r="T56" s="2012">
        <f t="shared" si="177"/>
        <v>0</v>
      </c>
      <c r="U56" s="3462"/>
      <c r="V56" s="3462"/>
      <c r="W56" s="3342">
        <f t="shared" si="178"/>
        <v>0</v>
      </c>
      <c r="X56" s="3342">
        <f t="shared" si="178"/>
        <v>0</v>
      </c>
      <c r="Y56" s="2012">
        <f t="shared" si="179"/>
        <v>0</v>
      </c>
      <c r="Z56" s="3462"/>
      <c r="AA56" s="3462"/>
      <c r="AB56" s="3349"/>
      <c r="AC56" s="3349"/>
      <c r="AD56" s="3349">
        <f t="shared" si="180"/>
        <v>0</v>
      </c>
      <c r="AE56" s="4428" t="e">
        <f t="shared" si="181"/>
        <v>#DIV/0!</v>
      </c>
      <c r="AF56" s="4429"/>
      <c r="AG56" s="3349"/>
      <c r="AH56" s="3349"/>
      <c r="AI56" s="3349">
        <f t="shared" si="182"/>
        <v>0</v>
      </c>
      <c r="AJ56" s="4428" t="e">
        <f t="shared" si="183"/>
        <v>#DIV/0!</v>
      </c>
      <c r="AK56" s="4429"/>
      <c r="AL56" s="3349"/>
      <c r="AM56" s="3349"/>
      <c r="AN56" s="3349">
        <f t="shared" si="184"/>
        <v>0</v>
      </c>
      <c r="AO56" s="4428">
        <f t="shared" si="185"/>
        <v>0</v>
      </c>
      <c r="AP56" s="4429"/>
      <c r="AQ56" s="3349"/>
      <c r="AR56" s="3349"/>
      <c r="AS56" s="3349">
        <f t="shared" si="186"/>
        <v>0</v>
      </c>
      <c r="AT56" s="4428">
        <f t="shared" si="187"/>
        <v>0</v>
      </c>
      <c r="AU56" s="4679"/>
      <c r="AV56" s="3349"/>
      <c r="AW56" s="3349"/>
      <c r="AX56" s="3349">
        <f t="shared" si="188"/>
        <v>0</v>
      </c>
      <c r="AY56" s="4428">
        <f t="shared" si="189"/>
        <v>0</v>
      </c>
      <c r="AZ56" s="4429"/>
      <c r="BA56" s="3349"/>
      <c r="BB56" s="3349"/>
      <c r="BC56" s="3349">
        <f t="shared" si="190"/>
        <v>0</v>
      </c>
      <c r="BD56" s="4428">
        <f t="shared" si="191"/>
        <v>0</v>
      </c>
      <c r="BE56" s="4429"/>
      <c r="BF56" s="3349"/>
      <c r="BG56" s="3349"/>
      <c r="BH56" s="3349">
        <f t="shared" si="192"/>
        <v>0</v>
      </c>
      <c r="BI56" s="4428" t="e">
        <f t="shared" si="193"/>
        <v>#DIV/0!</v>
      </c>
      <c r="BJ56" s="4429"/>
      <c r="BK56" s="3349"/>
      <c r="BL56" s="3349"/>
      <c r="BM56" s="3349">
        <f t="shared" si="194"/>
        <v>0</v>
      </c>
      <c r="BN56" s="4428" t="e">
        <f t="shared" si="195"/>
        <v>#DIV/0!</v>
      </c>
      <c r="BO56" s="4429"/>
      <c r="BP56" s="3349"/>
      <c r="BQ56" s="3349"/>
      <c r="BR56" s="3349">
        <f t="shared" si="196"/>
        <v>0</v>
      </c>
      <c r="BS56" s="4428" t="e">
        <f t="shared" si="197"/>
        <v>#DIV/0!</v>
      </c>
      <c r="BT56" s="4429"/>
      <c r="BU56" s="3349"/>
      <c r="BV56" s="3349"/>
      <c r="BW56" s="3349">
        <f t="shared" si="198"/>
        <v>0</v>
      </c>
      <c r="BX56" s="4428" t="e">
        <f t="shared" si="199"/>
        <v>#DIV/0!</v>
      </c>
      <c r="BY56" s="4429"/>
      <c r="BZ56" s="3349"/>
      <c r="CA56" s="3349"/>
      <c r="CB56" s="3349">
        <f t="shared" si="200"/>
        <v>0</v>
      </c>
      <c r="CC56" s="4428" t="e">
        <f t="shared" si="201"/>
        <v>#DIV/0!</v>
      </c>
      <c r="CD56" s="4429"/>
      <c r="CE56" s="3349"/>
      <c r="CF56" s="3349"/>
      <c r="CG56" s="3349">
        <f t="shared" si="202"/>
        <v>0</v>
      </c>
      <c r="CH56" s="4428" t="e">
        <f t="shared" si="203"/>
        <v>#DIV/0!</v>
      </c>
      <c r="CI56" s="4429"/>
      <c r="CJ56" s="3341">
        <f t="shared" si="204"/>
        <v>0</v>
      </c>
      <c r="CK56" s="3341">
        <f t="shared" si="204"/>
        <v>0</v>
      </c>
      <c r="CL56" s="2012">
        <f t="shared" si="205"/>
        <v>0</v>
      </c>
      <c r="CM56" s="4428">
        <f t="shared" si="170"/>
        <v>0</v>
      </c>
      <c r="CN56" s="4432"/>
      <c r="CP56" s="2012">
        <f t="shared" si="206"/>
        <v>0</v>
      </c>
      <c r="CQ56" s="2012">
        <f t="shared" si="206"/>
        <v>0</v>
      </c>
      <c r="CR56" s="4614"/>
    </row>
    <row r="57" spans="1:98" ht="13.8" outlineLevel="2">
      <c r="A57" s="1571"/>
      <c r="B57" s="4632" t="s">
        <v>68</v>
      </c>
      <c r="C57" s="3349"/>
      <c r="D57" s="3349"/>
      <c r="E57" s="3349">
        <f t="shared" si="171"/>
        <v>0</v>
      </c>
      <c r="F57" s="4428" t="e">
        <f t="shared" si="135"/>
        <v>#DIV/0!</v>
      </c>
      <c r="G57" s="4429"/>
      <c r="H57" s="3349"/>
      <c r="I57" s="3349"/>
      <c r="J57" s="3349">
        <f t="shared" si="172"/>
        <v>0</v>
      </c>
      <c r="K57" s="4428" t="e">
        <f t="shared" si="173"/>
        <v>#DIV/0!</v>
      </c>
      <c r="L57" s="4429"/>
      <c r="M57" s="3349"/>
      <c r="N57" s="3349"/>
      <c r="O57" s="3349">
        <f t="shared" si="174"/>
        <v>0</v>
      </c>
      <c r="P57" s="4428" t="e">
        <f t="shared" si="175"/>
        <v>#DIV/0!</v>
      </c>
      <c r="Q57" s="4429"/>
      <c r="R57" s="3342">
        <f t="shared" si="176"/>
        <v>0</v>
      </c>
      <c r="S57" s="3342">
        <f t="shared" si="176"/>
        <v>0</v>
      </c>
      <c r="T57" s="2012">
        <f t="shared" si="177"/>
        <v>0</v>
      </c>
      <c r="U57" s="3462"/>
      <c r="V57" s="3462"/>
      <c r="W57" s="3342">
        <f t="shared" si="178"/>
        <v>0</v>
      </c>
      <c r="X57" s="3342">
        <f t="shared" si="178"/>
        <v>0</v>
      </c>
      <c r="Y57" s="2012">
        <f t="shared" si="179"/>
        <v>0</v>
      </c>
      <c r="Z57" s="3462"/>
      <c r="AA57" s="3462"/>
      <c r="AB57" s="3349"/>
      <c r="AC57" s="3349"/>
      <c r="AD57" s="3349">
        <f t="shared" si="180"/>
        <v>0</v>
      </c>
      <c r="AE57" s="4428" t="e">
        <f t="shared" si="181"/>
        <v>#DIV/0!</v>
      </c>
      <c r="AF57" s="4429"/>
      <c r="AG57" s="3349"/>
      <c r="AH57" s="3349"/>
      <c r="AI57" s="3349">
        <f t="shared" si="182"/>
        <v>0</v>
      </c>
      <c r="AJ57" s="4428" t="e">
        <f t="shared" si="183"/>
        <v>#DIV/0!</v>
      </c>
      <c r="AK57" s="4429"/>
      <c r="AL57" s="3349"/>
      <c r="AM57" s="3349"/>
      <c r="AN57" s="3349">
        <f t="shared" si="184"/>
        <v>0</v>
      </c>
      <c r="AO57" s="4428">
        <f t="shared" si="185"/>
        <v>0</v>
      </c>
      <c r="AP57" s="4429"/>
      <c r="AQ57" s="3349"/>
      <c r="AR57" s="3349"/>
      <c r="AS57" s="3349">
        <f t="shared" si="186"/>
        <v>0</v>
      </c>
      <c r="AT57" s="4428">
        <f t="shared" si="187"/>
        <v>0</v>
      </c>
      <c r="AU57" s="4679"/>
      <c r="AV57" s="3349"/>
      <c r="AW57" s="3349"/>
      <c r="AX57" s="3349">
        <f t="shared" si="188"/>
        <v>0</v>
      </c>
      <c r="AY57" s="4428">
        <f t="shared" si="189"/>
        <v>0</v>
      </c>
      <c r="AZ57" s="4429"/>
      <c r="BA57" s="3349"/>
      <c r="BB57" s="3349"/>
      <c r="BC57" s="3349">
        <f t="shared" si="190"/>
        <v>0</v>
      </c>
      <c r="BD57" s="4428">
        <f t="shared" si="191"/>
        <v>0</v>
      </c>
      <c r="BE57" s="4429"/>
      <c r="BF57" s="3349"/>
      <c r="BG57" s="3349"/>
      <c r="BH57" s="3349">
        <f t="shared" si="192"/>
        <v>0</v>
      </c>
      <c r="BI57" s="4428" t="e">
        <f t="shared" si="193"/>
        <v>#DIV/0!</v>
      </c>
      <c r="BJ57" s="4429"/>
      <c r="BK57" s="3349"/>
      <c r="BL57" s="3349"/>
      <c r="BM57" s="3349">
        <f t="shared" si="194"/>
        <v>0</v>
      </c>
      <c r="BN57" s="4428" t="e">
        <f t="shared" si="195"/>
        <v>#DIV/0!</v>
      </c>
      <c r="BO57" s="4429"/>
      <c r="BP57" s="3349"/>
      <c r="BQ57" s="3349"/>
      <c r="BR57" s="3349">
        <f t="shared" si="196"/>
        <v>0</v>
      </c>
      <c r="BS57" s="4428" t="e">
        <f t="shared" si="197"/>
        <v>#DIV/0!</v>
      </c>
      <c r="BT57" s="4429"/>
      <c r="BU57" s="3349"/>
      <c r="BV57" s="3349"/>
      <c r="BW57" s="3349">
        <f t="shared" si="198"/>
        <v>0</v>
      </c>
      <c r="BX57" s="4428" t="e">
        <f t="shared" si="199"/>
        <v>#DIV/0!</v>
      </c>
      <c r="BY57" s="4429"/>
      <c r="BZ57" s="3349"/>
      <c r="CA57" s="3349"/>
      <c r="CB57" s="3349">
        <f t="shared" si="200"/>
        <v>0</v>
      </c>
      <c r="CC57" s="4428" t="e">
        <f t="shared" si="201"/>
        <v>#DIV/0!</v>
      </c>
      <c r="CD57" s="4429"/>
      <c r="CE57" s="3349"/>
      <c r="CF57" s="3349"/>
      <c r="CG57" s="3349">
        <f t="shared" si="202"/>
        <v>0</v>
      </c>
      <c r="CH57" s="4428" t="e">
        <f t="shared" si="203"/>
        <v>#DIV/0!</v>
      </c>
      <c r="CI57" s="4429"/>
      <c r="CJ57" s="3341">
        <f t="shared" si="204"/>
        <v>0</v>
      </c>
      <c r="CK57" s="3341">
        <f t="shared" si="204"/>
        <v>0</v>
      </c>
      <c r="CL57" s="2012">
        <f t="shared" si="205"/>
        <v>0</v>
      </c>
      <c r="CM57" s="4428">
        <f t="shared" si="170"/>
        <v>0</v>
      </c>
      <c r="CN57" s="4432"/>
      <c r="CP57" s="2012">
        <f t="shared" si="206"/>
        <v>0</v>
      </c>
      <c r="CQ57" s="2012">
        <f t="shared" si="206"/>
        <v>0</v>
      </c>
      <c r="CR57" s="4614"/>
    </row>
    <row r="58" spans="1:98" ht="13.8" outlineLevel="2">
      <c r="A58" s="1571"/>
      <c r="B58" s="4632" t="s">
        <v>67</v>
      </c>
      <c r="C58" s="3349"/>
      <c r="D58" s="3349"/>
      <c r="E58" s="3349">
        <f t="shared" si="171"/>
        <v>0</v>
      </c>
      <c r="F58" s="4428" t="e">
        <f t="shared" si="135"/>
        <v>#DIV/0!</v>
      </c>
      <c r="G58" s="4429"/>
      <c r="H58" s="3349"/>
      <c r="I58" s="3349"/>
      <c r="J58" s="3349">
        <f t="shared" si="172"/>
        <v>0</v>
      </c>
      <c r="K58" s="4428" t="e">
        <f t="shared" si="173"/>
        <v>#DIV/0!</v>
      </c>
      <c r="L58" s="4429"/>
      <c r="M58" s="3349"/>
      <c r="N58" s="3349"/>
      <c r="O58" s="3349">
        <f t="shared" si="174"/>
        <v>0</v>
      </c>
      <c r="P58" s="4428" t="e">
        <f t="shared" si="175"/>
        <v>#DIV/0!</v>
      </c>
      <c r="Q58" s="4429"/>
      <c r="R58" s="3342">
        <f t="shared" si="176"/>
        <v>0</v>
      </c>
      <c r="S58" s="3342">
        <f t="shared" si="176"/>
        <v>0</v>
      </c>
      <c r="T58" s="2012">
        <f t="shared" si="177"/>
        <v>0</v>
      </c>
      <c r="U58" s="3462"/>
      <c r="V58" s="3462"/>
      <c r="W58" s="3342">
        <f t="shared" si="178"/>
        <v>0</v>
      </c>
      <c r="X58" s="3342">
        <f t="shared" si="178"/>
        <v>0</v>
      </c>
      <c r="Y58" s="2012">
        <f t="shared" si="179"/>
        <v>0</v>
      </c>
      <c r="Z58" s="3462"/>
      <c r="AA58" s="3462"/>
      <c r="AB58" s="3349"/>
      <c r="AC58" s="3349"/>
      <c r="AD58" s="3349">
        <f t="shared" si="180"/>
        <v>0</v>
      </c>
      <c r="AE58" s="4428" t="e">
        <f t="shared" si="181"/>
        <v>#DIV/0!</v>
      </c>
      <c r="AF58" s="4429"/>
      <c r="AG58" s="3349"/>
      <c r="AH58" s="3349"/>
      <c r="AI58" s="3349">
        <f t="shared" si="182"/>
        <v>0</v>
      </c>
      <c r="AJ58" s="4428" t="e">
        <f t="shared" si="183"/>
        <v>#DIV/0!</v>
      </c>
      <c r="AK58" s="4429"/>
      <c r="AL58" s="3349"/>
      <c r="AM58" s="3349"/>
      <c r="AN58" s="3349">
        <f t="shared" si="184"/>
        <v>0</v>
      </c>
      <c r="AO58" s="4428">
        <f t="shared" si="185"/>
        <v>0</v>
      </c>
      <c r="AP58" s="4429"/>
      <c r="AQ58" s="3349"/>
      <c r="AR58" s="3349"/>
      <c r="AS58" s="3349">
        <f t="shared" si="186"/>
        <v>0</v>
      </c>
      <c r="AT58" s="4428">
        <f t="shared" si="187"/>
        <v>0</v>
      </c>
      <c r="AU58" s="4679"/>
      <c r="AV58" s="3349"/>
      <c r="AW58" s="3349"/>
      <c r="AX58" s="3349">
        <f t="shared" si="188"/>
        <v>0</v>
      </c>
      <c r="AY58" s="4428">
        <f t="shared" si="189"/>
        <v>0</v>
      </c>
      <c r="AZ58" s="4429"/>
      <c r="BA58" s="3349"/>
      <c r="BB58" s="3349"/>
      <c r="BC58" s="3349">
        <f t="shared" si="190"/>
        <v>0</v>
      </c>
      <c r="BD58" s="4428">
        <f t="shared" si="191"/>
        <v>0</v>
      </c>
      <c r="BE58" s="4429"/>
      <c r="BF58" s="3349"/>
      <c r="BG58" s="3349"/>
      <c r="BH58" s="3349">
        <f t="shared" si="192"/>
        <v>0</v>
      </c>
      <c r="BI58" s="4428" t="e">
        <f t="shared" si="193"/>
        <v>#DIV/0!</v>
      </c>
      <c r="BJ58" s="4429"/>
      <c r="BK58" s="3349"/>
      <c r="BL58" s="3349"/>
      <c r="BM58" s="3349">
        <f t="shared" si="194"/>
        <v>0</v>
      </c>
      <c r="BN58" s="4428" t="e">
        <f t="shared" si="195"/>
        <v>#DIV/0!</v>
      </c>
      <c r="BO58" s="4429"/>
      <c r="BP58" s="3349"/>
      <c r="BQ58" s="3349"/>
      <c r="BR58" s="3349">
        <f t="shared" si="196"/>
        <v>0</v>
      </c>
      <c r="BS58" s="4428" t="e">
        <f t="shared" si="197"/>
        <v>#DIV/0!</v>
      </c>
      <c r="BT58" s="4429"/>
      <c r="BU58" s="3349"/>
      <c r="BV58" s="3349"/>
      <c r="BW58" s="3349">
        <f t="shared" si="198"/>
        <v>0</v>
      </c>
      <c r="BX58" s="4428" t="e">
        <f t="shared" si="199"/>
        <v>#DIV/0!</v>
      </c>
      <c r="BY58" s="4429"/>
      <c r="BZ58" s="3349"/>
      <c r="CA58" s="3349"/>
      <c r="CB58" s="3349">
        <f t="shared" si="200"/>
        <v>0</v>
      </c>
      <c r="CC58" s="4428" t="e">
        <f t="shared" si="201"/>
        <v>#DIV/0!</v>
      </c>
      <c r="CD58" s="4429"/>
      <c r="CE58" s="3349"/>
      <c r="CF58" s="3349"/>
      <c r="CG58" s="3349">
        <f t="shared" si="202"/>
        <v>0</v>
      </c>
      <c r="CH58" s="4428" t="e">
        <f t="shared" si="203"/>
        <v>#DIV/0!</v>
      </c>
      <c r="CI58" s="4429"/>
      <c r="CJ58" s="3341">
        <f t="shared" si="204"/>
        <v>0</v>
      </c>
      <c r="CK58" s="3341">
        <f t="shared" si="204"/>
        <v>0</v>
      </c>
      <c r="CL58" s="2012">
        <f t="shared" si="205"/>
        <v>0</v>
      </c>
      <c r="CM58" s="4428">
        <f t="shared" si="170"/>
        <v>0</v>
      </c>
      <c r="CN58" s="4432"/>
      <c r="CP58" s="2012">
        <f t="shared" si="206"/>
        <v>0</v>
      </c>
      <c r="CQ58" s="2012">
        <f t="shared" si="206"/>
        <v>0</v>
      </c>
      <c r="CR58" s="4614"/>
    </row>
    <row r="59" spans="1:98" ht="13.8" outlineLevel="2">
      <c r="A59" s="1571"/>
      <c r="B59" s="4632" t="s">
        <v>66</v>
      </c>
      <c r="C59" s="3349"/>
      <c r="D59" s="3349"/>
      <c r="E59" s="3349">
        <f t="shared" si="171"/>
        <v>0</v>
      </c>
      <c r="F59" s="4428" t="e">
        <f t="shared" si="135"/>
        <v>#DIV/0!</v>
      </c>
      <c r="G59" s="4429"/>
      <c r="H59" s="3349"/>
      <c r="I59" s="3349"/>
      <c r="J59" s="3349">
        <f t="shared" si="172"/>
        <v>0</v>
      </c>
      <c r="K59" s="4428" t="e">
        <f t="shared" si="173"/>
        <v>#DIV/0!</v>
      </c>
      <c r="L59" s="4429"/>
      <c r="M59" s="3349"/>
      <c r="N59" s="3349"/>
      <c r="O59" s="3349">
        <f t="shared" si="174"/>
        <v>0</v>
      </c>
      <c r="P59" s="4428" t="e">
        <f t="shared" si="175"/>
        <v>#DIV/0!</v>
      </c>
      <c r="Q59" s="4429"/>
      <c r="R59" s="3342">
        <f t="shared" si="176"/>
        <v>0</v>
      </c>
      <c r="S59" s="3342">
        <f t="shared" si="176"/>
        <v>0</v>
      </c>
      <c r="T59" s="2012">
        <f t="shared" si="177"/>
        <v>0</v>
      </c>
      <c r="U59" s="3462"/>
      <c r="V59" s="3462"/>
      <c r="W59" s="3342">
        <f t="shared" si="178"/>
        <v>0</v>
      </c>
      <c r="X59" s="3342">
        <f t="shared" si="178"/>
        <v>0</v>
      </c>
      <c r="Y59" s="2012">
        <f t="shared" si="179"/>
        <v>0</v>
      </c>
      <c r="Z59" s="3462"/>
      <c r="AA59" s="3462"/>
      <c r="AB59" s="3349"/>
      <c r="AC59" s="3349"/>
      <c r="AD59" s="3349">
        <f t="shared" si="180"/>
        <v>0</v>
      </c>
      <c r="AE59" s="4428" t="e">
        <f t="shared" si="181"/>
        <v>#DIV/0!</v>
      </c>
      <c r="AF59" s="4429"/>
      <c r="AG59" s="3349"/>
      <c r="AH59" s="3349"/>
      <c r="AI59" s="3349">
        <f t="shared" si="182"/>
        <v>0</v>
      </c>
      <c r="AJ59" s="4428" t="e">
        <f t="shared" si="183"/>
        <v>#DIV/0!</v>
      </c>
      <c r="AK59" s="4429"/>
      <c r="AL59" s="3349"/>
      <c r="AM59" s="3349"/>
      <c r="AN59" s="3349">
        <f t="shared" si="184"/>
        <v>0</v>
      </c>
      <c r="AO59" s="4428">
        <f t="shared" si="185"/>
        <v>0</v>
      </c>
      <c r="AP59" s="4429"/>
      <c r="AQ59" s="3349"/>
      <c r="AR59" s="3349"/>
      <c r="AS59" s="3349">
        <f t="shared" si="186"/>
        <v>0</v>
      </c>
      <c r="AT59" s="4428">
        <f t="shared" si="187"/>
        <v>0</v>
      </c>
      <c r="AU59" s="4679"/>
      <c r="AV59" s="3349"/>
      <c r="AW59" s="3349"/>
      <c r="AX59" s="3349">
        <f t="shared" si="188"/>
        <v>0</v>
      </c>
      <c r="AY59" s="4428">
        <f t="shared" si="189"/>
        <v>0</v>
      </c>
      <c r="AZ59" s="4429"/>
      <c r="BA59" s="3349"/>
      <c r="BB59" s="3349"/>
      <c r="BC59" s="3349">
        <f t="shared" si="190"/>
        <v>0</v>
      </c>
      <c r="BD59" s="4428">
        <f t="shared" si="191"/>
        <v>0</v>
      </c>
      <c r="BE59" s="4429"/>
      <c r="BF59" s="3349"/>
      <c r="BG59" s="3349"/>
      <c r="BH59" s="3349">
        <f t="shared" si="192"/>
        <v>0</v>
      </c>
      <c r="BI59" s="4428" t="e">
        <f t="shared" si="193"/>
        <v>#DIV/0!</v>
      </c>
      <c r="BJ59" s="4429"/>
      <c r="BK59" s="3349"/>
      <c r="BL59" s="3349"/>
      <c r="BM59" s="3349">
        <f t="shared" si="194"/>
        <v>0</v>
      </c>
      <c r="BN59" s="4428" t="e">
        <f t="shared" si="195"/>
        <v>#DIV/0!</v>
      </c>
      <c r="BO59" s="4429"/>
      <c r="BP59" s="3349"/>
      <c r="BQ59" s="3349"/>
      <c r="BR59" s="3349">
        <f t="shared" si="196"/>
        <v>0</v>
      </c>
      <c r="BS59" s="4428" t="e">
        <f t="shared" si="197"/>
        <v>#DIV/0!</v>
      </c>
      <c r="BT59" s="4429"/>
      <c r="BU59" s="3349"/>
      <c r="BV59" s="3349"/>
      <c r="BW59" s="3349">
        <f t="shared" si="198"/>
        <v>0</v>
      </c>
      <c r="BX59" s="4428" t="e">
        <f t="shared" si="199"/>
        <v>#DIV/0!</v>
      </c>
      <c r="BY59" s="4429"/>
      <c r="BZ59" s="3349"/>
      <c r="CA59" s="3349"/>
      <c r="CB59" s="3349">
        <f t="shared" si="200"/>
        <v>0</v>
      </c>
      <c r="CC59" s="4428" t="e">
        <f t="shared" si="201"/>
        <v>#DIV/0!</v>
      </c>
      <c r="CD59" s="4429"/>
      <c r="CE59" s="3349"/>
      <c r="CF59" s="3349"/>
      <c r="CG59" s="3349">
        <f t="shared" si="202"/>
        <v>0</v>
      </c>
      <c r="CH59" s="4428" t="e">
        <f t="shared" si="203"/>
        <v>#DIV/0!</v>
      </c>
      <c r="CI59" s="4429"/>
      <c r="CJ59" s="3341">
        <f t="shared" si="204"/>
        <v>0</v>
      </c>
      <c r="CK59" s="3341">
        <f t="shared" si="204"/>
        <v>0</v>
      </c>
      <c r="CL59" s="2012">
        <f t="shared" si="205"/>
        <v>0</v>
      </c>
      <c r="CM59" s="4428">
        <f t="shared" si="170"/>
        <v>0</v>
      </c>
      <c r="CN59" s="4432"/>
      <c r="CP59" s="2012">
        <f t="shared" si="206"/>
        <v>0</v>
      </c>
      <c r="CQ59" s="2012">
        <f t="shared" si="206"/>
        <v>0</v>
      </c>
      <c r="CR59" s="4614"/>
    </row>
    <row r="60" spans="1:98" ht="13.8" outlineLevel="2">
      <c r="A60" s="1571"/>
      <c r="B60" s="4632" t="s">
        <v>65</v>
      </c>
      <c r="C60" s="3349"/>
      <c r="D60" s="3349"/>
      <c r="E60" s="3349">
        <f t="shared" si="171"/>
        <v>0</v>
      </c>
      <c r="F60" s="4428" t="e">
        <f t="shared" si="135"/>
        <v>#DIV/0!</v>
      </c>
      <c r="G60" s="4429"/>
      <c r="H60" s="3349"/>
      <c r="I60" s="3349"/>
      <c r="J60" s="3349">
        <f t="shared" si="172"/>
        <v>0</v>
      </c>
      <c r="K60" s="4428" t="e">
        <f t="shared" si="173"/>
        <v>#DIV/0!</v>
      </c>
      <c r="L60" s="4429"/>
      <c r="M60" s="3349"/>
      <c r="N60" s="3349"/>
      <c r="O60" s="3349">
        <f t="shared" si="174"/>
        <v>0</v>
      </c>
      <c r="P60" s="4428" t="e">
        <f t="shared" si="175"/>
        <v>#DIV/0!</v>
      </c>
      <c r="Q60" s="4429"/>
      <c r="R60" s="3342">
        <f t="shared" si="176"/>
        <v>0</v>
      </c>
      <c r="S60" s="3342">
        <f t="shared" si="176"/>
        <v>0</v>
      </c>
      <c r="T60" s="2012">
        <f t="shared" si="177"/>
        <v>0</v>
      </c>
      <c r="U60" s="3462"/>
      <c r="V60" s="3462"/>
      <c r="W60" s="3342">
        <f t="shared" si="178"/>
        <v>0</v>
      </c>
      <c r="X60" s="3342">
        <f t="shared" si="178"/>
        <v>0</v>
      </c>
      <c r="Y60" s="2012">
        <f t="shared" si="179"/>
        <v>0</v>
      </c>
      <c r="Z60" s="3462"/>
      <c r="AA60" s="3462"/>
      <c r="AB60" s="3349"/>
      <c r="AC60" s="3349"/>
      <c r="AD60" s="3349">
        <f t="shared" si="180"/>
        <v>0</v>
      </c>
      <c r="AE60" s="4428" t="e">
        <f t="shared" si="181"/>
        <v>#DIV/0!</v>
      </c>
      <c r="AF60" s="4429"/>
      <c r="AG60" s="3349"/>
      <c r="AH60" s="3349"/>
      <c r="AI60" s="3349">
        <f t="shared" si="182"/>
        <v>0</v>
      </c>
      <c r="AJ60" s="4428" t="e">
        <f t="shared" si="183"/>
        <v>#DIV/0!</v>
      </c>
      <c r="AK60" s="4429"/>
      <c r="AL60" s="3349"/>
      <c r="AM60" s="3349"/>
      <c r="AN60" s="3349">
        <f t="shared" si="184"/>
        <v>0</v>
      </c>
      <c r="AO60" s="4428">
        <f t="shared" si="185"/>
        <v>0</v>
      </c>
      <c r="AP60" s="4429"/>
      <c r="AQ60" s="3349"/>
      <c r="AR60" s="3349"/>
      <c r="AS60" s="3349">
        <f t="shared" si="186"/>
        <v>0</v>
      </c>
      <c r="AT60" s="4428">
        <f t="shared" si="187"/>
        <v>0</v>
      </c>
      <c r="AU60" s="4679"/>
      <c r="AV60" s="3349"/>
      <c r="AW60" s="3349"/>
      <c r="AX60" s="3349">
        <f t="shared" si="188"/>
        <v>0</v>
      </c>
      <c r="AY60" s="4428">
        <f t="shared" si="189"/>
        <v>0</v>
      </c>
      <c r="AZ60" s="4429"/>
      <c r="BA60" s="3349"/>
      <c r="BB60" s="3349"/>
      <c r="BC60" s="3349">
        <f t="shared" si="190"/>
        <v>0</v>
      </c>
      <c r="BD60" s="4428">
        <f t="shared" si="191"/>
        <v>0</v>
      </c>
      <c r="BE60" s="4429"/>
      <c r="BF60" s="3349"/>
      <c r="BG60" s="3349"/>
      <c r="BH60" s="3349">
        <f t="shared" si="192"/>
        <v>0</v>
      </c>
      <c r="BI60" s="4428" t="e">
        <f t="shared" si="193"/>
        <v>#DIV/0!</v>
      </c>
      <c r="BJ60" s="4429"/>
      <c r="BK60" s="3349"/>
      <c r="BL60" s="3349"/>
      <c r="BM60" s="3349">
        <f t="shared" si="194"/>
        <v>0</v>
      </c>
      <c r="BN60" s="4428" t="e">
        <f t="shared" si="195"/>
        <v>#DIV/0!</v>
      </c>
      <c r="BO60" s="4429"/>
      <c r="BP60" s="3349"/>
      <c r="BQ60" s="3349"/>
      <c r="BR60" s="3349">
        <f t="shared" si="196"/>
        <v>0</v>
      </c>
      <c r="BS60" s="4428" t="e">
        <f t="shared" si="197"/>
        <v>#DIV/0!</v>
      </c>
      <c r="BT60" s="4429"/>
      <c r="BU60" s="3349"/>
      <c r="BV60" s="3349"/>
      <c r="BW60" s="3349">
        <f t="shared" si="198"/>
        <v>0</v>
      </c>
      <c r="BX60" s="4428" t="e">
        <f t="shared" si="199"/>
        <v>#DIV/0!</v>
      </c>
      <c r="BY60" s="4429"/>
      <c r="BZ60" s="3349"/>
      <c r="CA60" s="3349"/>
      <c r="CB60" s="3349">
        <f t="shared" si="200"/>
        <v>0</v>
      </c>
      <c r="CC60" s="4428" t="e">
        <f t="shared" si="201"/>
        <v>#DIV/0!</v>
      </c>
      <c r="CD60" s="4429"/>
      <c r="CE60" s="3349"/>
      <c r="CF60" s="3349"/>
      <c r="CG60" s="3349">
        <f t="shared" si="202"/>
        <v>0</v>
      </c>
      <c r="CH60" s="4428" t="e">
        <f t="shared" si="203"/>
        <v>#DIV/0!</v>
      </c>
      <c r="CI60" s="4429"/>
      <c r="CJ60" s="3341">
        <f t="shared" si="204"/>
        <v>0</v>
      </c>
      <c r="CK60" s="3341">
        <f t="shared" si="204"/>
        <v>0</v>
      </c>
      <c r="CL60" s="2012">
        <f t="shared" si="205"/>
        <v>0</v>
      </c>
      <c r="CM60" s="4428">
        <f t="shared" si="170"/>
        <v>0</v>
      </c>
      <c r="CN60" s="4432"/>
      <c r="CP60" s="2012">
        <f t="shared" si="206"/>
        <v>0</v>
      </c>
      <c r="CQ60" s="2012">
        <f t="shared" si="206"/>
        <v>0</v>
      </c>
      <c r="CR60" s="4614"/>
    </row>
    <row r="61" spans="1:98" ht="13.8" outlineLevel="2">
      <c r="A61" s="1571"/>
      <c r="B61" s="4632" t="s">
        <v>32</v>
      </c>
      <c r="C61" s="3349"/>
      <c r="D61" s="3349"/>
      <c r="E61" s="3349">
        <f t="shared" si="171"/>
        <v>0</v>
      </c>
      <c r="F61" s="4428" t="e">
        <f t="shared" si="135"/>
        <v>#DIV/0!</v>
      </c>
      <c r="G61" s="4429"/>
      <c r="H61" s="3349"/>
      <c r="I61" s="3349"/>
      <c r="J61" s="3349">
        <f t="shared" si="172"/>
        <v>0</v>
      </c>
      <c r="K61" s="4428" t="e">
        <f t="shared" si="173"/>
        <v>#DIV/0!</v>
      </c>
      <c r="L61" s="4429"/>
      <c r="M61" s="3349"/>
      <c r="N61" s="3349"/>
      <c r="O61" s="3349">
        <f t="shared" si="174"/>
        <v>0</v>
      </c>
      <c r="P61" s="4428" t="e">
        <f t="shared" si="175"/>
        <v>#DIV/0!</v>
      </c>
      <c r="Q61" s="4429"/>
      <c r="R61" s="3342">
        <f t="shared" si="176"/>
        <v>0</v>
      </c>
      <c r="S61" s="3342">
        <f t="shared" si="176"/>
        <v>0</v>
      </c>
      <c r="T61" s="2012">
        <f t="shared" si="177"/>
        <v>0</v>
      </c>
      <c r="U61" s="3462"/>
      <c r="V61" s="3462"/>
      <c r="W61" s="3342">
        <f t="shared" si="178"/>
        <v>0</v>
      </c>
      <c r="X61" s="3342">
        <f t="shared" si="178"/>
        <v>0</v>
      </c>
      <c r="Y61" s="2012">
        <f t="shared" si="179"/>
        <v>0</v>
      </c>
      <c r="Z61" s="3462"/>
      <c r="AA61" s="3462"/>
      <c r="AB61" s="3349"/>
      <c r="AC61" s="3349"/>
      <c r="AD61" s="3349">
        <f t="shared" si="180"/>
        <v>0</v>
      </c>
      <c r="AE61" s="4428" t="e">
        <f t="shared" si="181"/>
        <v>#DIV/0!</v>
      </c>
      <c r="AF61" s="4429"/>
      <c r="AG61" s="3349"/>
      <c r="AH61" s="3349"/>
      <c r="AI61" s="3349">
        <f t="shared" si="182"/>
        <v>0</v>
      </c>
      <c r="AJ61" s="4428" t="e">
        <f t="shared" si="183"/>
        <v>#DIV/0!</v>
      </c>
      <c r="AK61" s="4429"/>
      <c r="AL61" s="3349"/>
      <c r="AM61" s="3349"/>
      <c r="AN61" s="3349">
        <f t="shared" si="184"/>
        <v>0</v>
      </c>
      <c r="AO61" s="4428">
        <f t="shared" si="185"/>
        <v>0</v>
      </c>
      <c r="AP61" s="4429"/>
      <c r="AQ61" s="3349"/>
      <c r="AR61" s="3349"/>
      <c r="AS61" s="3349">
        <f t="shared" si="186"/>
        <v>0</v>
      </c>
      <c r="AT61" s="4428">
        <f t="shared" si="187"/>
        <v>0</v>
      </c>
      <c r="AU61" s="4679"/>
      <c r="AV61" s="3349"/>
      <c r="AW61" s="3349"/>
      <c r="AX61" s="3349">
        <f t="shared" si="188"/>
        <v>0</v>
      </c>
      <c r="AY61" s="4428">
        <f t="shared" si="189"/>
        <v>0</v>
      </c>
      <c r="AZ61" s="4429"/>
      <c r="BA61" s="3349"/>
      <c r="BB61" s="3349"/>
      <c r="BC61" s="3349">
        <f t="shared" si="190"/>
        <v>0</v>
      </c>
      <c r="BD61" s="4428">
        <f t="shared" si="191"/>
        <v>0</v>
      </c>
      <c r="BE61" s="4429"/>
      <c r="BF61" s="3349"/>
      <c r="BG61" s="3349"/>
      <c r="BH61" s="3349">
        <f t="shared" si="192"/>
        <v>0</v>
      </c>
      <c r="BI61" s="4428" t="e">
        <f t="shared" si="193"/>
        <v>#DIV/0!</v>
      </c>
      <c r="BJ61" s="4429"/>
      <c r="BK61" s="3349"/>
      <c r="BL61" s="3349"/>
      <c r="BM61" s="3349">
        <f t="shared" si="194"/>
        <v>0</v>
      </c>
      <c r="BN61" s="4428" t="e">
        <f t="shared" si="195"/>
        <v>#DIV/0!</v>
      </c>
      <c r="BO61" s="4429"/>
      <c r="BP61" s="3349"/>
      <c r="BQ61" s="3349"/>
      <c r="BR61" s="3349">
        <f t="shared" si="196"/>
        <v>0</v>
      </c>
      <c r="BS61" s="4428" t="e">
        <f t="shared" si="197"/>
        <v>#DIV/0!</v>
      </c>
      <c r="BT61" s="4429"/>
      <c r="BU61" s="3349"/>
      <c r="BV61" s="3349"/>
      <c r="BW61" s="3349">
        <f t="shared" si="198"/>
        <v>0</v>
      </c>
      <c r="BX61" s="4428" t="e">
        <f t="shared" si="199"/>
        <v>#DIV/0!</v>
      </c>
      <c r="BY61" s="4429"/>
      <c r="BZ61" s="3349"/>
      <c r="CA61" s="3349"/>
      <c r="CB61" s="3349">
        <f t="shared" si="200"/>
        <v>0</v>
      </c>
      <c r="CC61" s="4428" t="e">
        <f t="shared" si="201"/>
        <v>#DIV/0!</v>
      </c>
      <c r="CD61" s="4429"/>
      <c r="CE61" s="3349"/>
      <c r="CF61" s="3349"/>
      <c r="CG61" s="3349">
        <f t="shared" si="202"/>
        <v>0</v>
      </c>
      <c r="CH61" s="4428" t="e">
        <f t="shared" si="203"/>
        <v>#DIV/0!</v>
      </c>
      <c r="CI61" s="4429"/>
      <c r="CJ61" s="3341">
        <f t="shared" si="204"/>
        <v>0</v>
      </c>
      <c r="CK61" s="3341">
        <f t="shared" si="204"/>
        <v>0</v>
      </c>
      <c r="CL61" s="2012">
        <f t="shared" si="205"/>
        <v>0</v>
      </c>
      <c r="CM61" s="4428">
        <f t="shared" si="170"/>
        <v>0</v>
      </c>
      <c r="CN61" s="4432"/>
      <c r="CP61" s="2012">
        <f t="shared" si="206"/>
        <v>0</v>
      </c>
      <c r="CQ61" s="2012">
        <f t="shared" si="206"/>
        <v>0</v>
      </c>
      <c r="CR61" s="4614"/>
    </row>
    <row r="62" spans="1:98" ht="13.8" outlineLevel="2">
      <c r="A62" s="1571"/>
      <c r="B62" s="4632" t="s">
        <v>33</v>
      </c>
      <c r="C62" s="3349"/>
      <c r="D62" s="3349"/>
      <c r="E62" s="3349">
        <f t="shared" si="171"/>
        <v>0</v>
      </c>
      <c r="F62" s="4428" t="e">
        <f t="shared" si="135"/>
        <v>#DIV/0!</v>
      </c>
      <c r="G62" s="4429"/>
      <c r="H62" s="3349"/>
      <c r="I62" s="3349"/>
      <c r="J62" s="3349">
        <f t="shared" si="172"/>
        <v>0</v>
      </c>
      <c r="K62" s="4428" t="e">
        <f t="shared" si="173"/>
        <v>#DIV/0!</v>
      </c>
      <c r="L62" s="4429"/>
      <c r="M62" s="3349"/>
      <c r="N62" s="3349"/>
      <c r="O62" s="3349">
        <f t="shared" si="174"/>
        <v>0</v>
      </c>
      <c r="P62" s="4428" t="e">
        <f t="shared" si="175"/>
        <v>#DIV/0!</v>
      </c>
      <c r="Q62" s="4429"/>
      <c r="R62" s="3342">
        <f t="shared" si="176"/>
        <v>0</v>
      </c>
      <c r="S62" s="3342">
        <f t="shared" si="176"/>
        <v>0</v>
      </c>
      <c r="T62" s="2012">
        <f t="shared" si="177"/>
        <v>0</v>
      </c>
      <c r="U62" s="3462"/>
      <c r="V62" s="3462"/>
      <c r="W62" s="3342">
        <f t="shared" si="178"/>
        <v>0</v>
      </c>
      <c r="X62" s="3342">
        <f t="shared" si="178"/>
        <v>0</v>
      </c>
      <c r="Y62" s="2012">
        <f t="shared" si="179"/>
        <v>0</v>
      </c>
      <c r="Z62" s="3462"/>
      <c r="AA62" s="3462"/>
      <c r="AB62" s="3349"/>
      <c r="AC62" s="3349"/>
      <c r="AD62" s="3349">
        <f t="shared" si="180"/>
        <v>0</v>
      </c>
      <c r="AE62" s="4428" t="e">
        <f t="shared" si="181"/>
        <v>#DIV/0!</v>
      </c>
      <c r="AF62" s="4429"/>
      <c r="AG62" s="3349"/>
      <c r="AH62" s="3349"/>
      <c r="AI62" s="3349">
        <f t="shared" si="182"/>
        <v>0</v>
      </c>
      <c r="AJ62" s="4428" t="e">
        <f t="shared" si="183"/>
        <v>#DIV/0!</v>
      </c>
      <c r="AK62" s="4429"/>
      <c r="AL62" s="3349"/>
      <c r="AM62" s="3349"/>
      <c r="AN62" s="3349">
        <f t="shared" si="184"/>
        <v>0</v>
      </c>
      <c r="AO62" s="4428">
        <f t="shared" si="185"/>
        <v>0</v>
      </c>
      <c r="AP62" s="4429"/>
      <c r="AQ62" s="3349"/>
      <c r="AR62" s="3349"/>
      <c r="AS62" s="3349">
        <f t="shared" si="186"/>
        <v>0</v>
      </c>
      <c r="AT62" s="4428">
        <f t="shared" si="187"/>
        <v>0</v>
      </c>
      <c r="AU62" s="4679"/>
      <c r="AV62" s="3349"/>
      <c r="AW62" s="3349"/>
      <c r="AX62" s="3349">
        <f t="shared" si="188"/>
        <v>0</v>
      </c>
      <c r="AY62" s="4428">
        <f t="shared" si="189"/>
        <v>0</v>
      </c>
      <c r="AZ62" s="4429"/>
      <c r="BA62" s="3349"/>
      <c r="BB62" s="3349"/>
      <c r="BC62" s="3349">
        <f t="shared" si="190"/>
        <v>0</v>
      </c>
      <c r="BD62" s="4428">
        <f t="shared" si="191"/>
        <v>0</v>
      </c>
      <c r="BE62" s="4429"/>
      <c r="BF62" s="3349"/>
      <c r="BG62" s="3349"/>
      <c r="BH62" s="3349">
        <f t="shared" si="192"/>
        <v>0</v>
      </c>
      <c r="BI62" s="4428" t="e">
        <f t="shared" si="193"/>
        <v>#DIV/0!</v>
      </c>
      <c r="BJ62" s="4429"/>
      <c r="BK62" s="3349"/>
      <c r="BL62" s="3349"/>
      <c r="BM62" s="3349">
        <f t="shared" si="194"/>
        <v>0</v>
      </c>
      <c r="BN62" s="4428" t="e">
        <f t="shared" si="195"/>
        <v>#DIV/0!</v>
      </c>
      <c r="BO62" s="4429"/>
      <c r="BP62" s="3349"/>
      <c r="BQ62" s="3349"/>
      <c r="BR62" s="3349">
        <f t="shared" si="196"/>
        <v>0</v>
      </c>
      <c r="BS62" s="4428" t="e">
        <f t="shared" si="197"/>
        <v>#DIV/0!</v>
      </c>
      <c r="BT62" s="4429"/>
      <c r="BU62" s="3349"/>
      <c r="BV62" s="3349"/>
      <c r="BW62" s="3349">
        <f t="shared" si="198"/>
        <v>0</v>
      </c>
      <c r="BX62" s="4428" t="e">
        <f t="shared" si="199"/>
        <v>#DIV/0!</v>
      </c>
      <c r="BY62" s="4429"/>
      <c r="BZ62" s="3349"/>
      <c r="CA62" s="3349"/>
      <c r="CB62" s="3349">
        <f t="shared" si="200"/>
        <v>0</v>
      </c>
      <c r="CC62" s="4428" t="e">
        <f t="shared" si="201"/>
        <v>#DIV/0!</v>
      </c>
      <c r="CD62" s="4429"/>
      <c r="CE62" s="3349"/>
      <c r="CF62" s="3349"/>
      <c r="CG62" s="3349">
        <f t="shared" si="202"/>
        <v>0</v>
      </c>
      <c r="CH62" s="4428" t="e">
        <f t="shared" si="203"/>
        <v>#DIV/0!</v>
      </c>
      <c r="CI62" s="4429"/>
      <c r="CJ62" s="3341">
        <f t="shared" si="204"/>
        <v>0</v>
      </c>
      <c r="CK62" s="3341">
        <f t="shared" si="204"/>
        <v>0</v>
      </c>
      <c r="CL62" s="2012">
        <f t="shared" si="205"/>
        <v>0</v>
      </c>
      <c r="CM62" s="4428">
        <f t="shared" si="170"/>
        <v>0</v>
      </c>
      <c r="CN62" s="4432"/>
      <c r="CP62" s="2012">
        <f t="shared" si="206"/>
        <v>0</v>
      </c>
      <c r="CQ62" s="2012">
        <f t="shared" si="206"/>
        <v>0</v>
      </c>
      <c r="CR62" s="4614"/>
    </row>
    <row r="63" spans="1:98" ht="13.8" outlineLevel="2">
      <c r="A63" s="1571"/>
      <c r="B63" s="4632" t="s">
        <v>35</v>
      </c>
      <c r="C63" s="3349"/>
      <c r="D63" s="3349"/>
      <c r="E63" s="3349">
        <f t="shared" si="171"/>
        <v>0</v>
      </c>
      <c r="F63" s="4428" t="e">
        <f t="shared" si="135"/>
        <v>#DIV/0!</v>
      </c>
      <c r="G63" s="4429"/>
      <c r="H63" s="3349"/>
      <c r="I63" s="3349"/>
      <c r="J63" s="3349">
        <f t="shared" si="172"/>
        <v>0</v>
      </c>
      <c r="K63" s="4428" t="e">
        <f t="shared" si="173"/>
        <v>#DIV/0!</v>
      </c>
      <c r="L63" s="4429"/>
      <c r="M63" s="3349"/>
      <c r="N63" s="3349"/>
      <c r="O63" s="3349">
        <f t="shared" si="174"/>
        <v>0</v>
      </c>
      <c r="P63" s="4428" t="e">
        <f t="shared" si="175"/>
        <v>#DIV/0!</v>
      </c>
      <c r="Q63" s="4429"/>
      <c r="R63" s="3342">
        <f t="shared" si="176"/>
        <v>0</v>
      </c>
      <c r="S63" s="3342">
        <f t="shared" si="176"/>
        <v>0</v>
      </c>
      <c r="T63" s="2012">
        <f t="shared" si="177"/>
        <v>0</v>
      </c>
      <c r="U63" s="3462"/>
      <c r="V63" s="3462"/>
      <c r="W63" s="3342">
        <f t="shared" si="178"/>
        <v>0</v>
      </c>
      <c r="X63" s="3342">
        <f t="shared" si="178"/>
        <v>0</v>
      </c>
      <c r="Y63" s="2012">
        <f t="shared" si="179"/>
        <v>0</v>
      </c>
      <c r="Z63" s="3462"/>
      <c r="AA63" s="3462"/>
      <c r="AB63" s="3349"/>
      <c r="AC63" s="3349"/>
      <c r="AD63" s="3349">
        <f t="shared" si="180"/>
        <v>0</v>
      </c>
      <c r="AE63" s="4428" t="e">
        <f t="shared" si="181"/>
        <v>#DIV/0!</v>
      </c>
      <c r="AF63" s="4429"/>
      <c r="AG63" s="3349"/>
      <c r="AH63" s="3349"/>
      <c r="AI63" s="3349">
        <f t="shared" si="182"/>
        <v>0</v>
      </c>
      <c r="AJ63" s="4428" t="e">
        <f t="shared" si="183"/>
        <v>#DIV/0!</v>
      </c>
      <c r="AK63" s="4429"/>
      <c r="AL63" s="3349"/>
      <c r="AM63" s="3349"/>
      <c r="AN63" s="3349">
        <f t="shared" si="184"/>
        <v>0</v>
      </c>
      <c r="AO63" s="4428">
        <f t="shared" si="185"/>
        <v>0</v>
      </c>
      <c r="AP63" s="4429"/>
      <c r="AQ63" s="3349"/>
      <c r="AR63" s="3349"/>
      <c r="AS63" s="3349">
        <f t="shared" si="186"/>
        <v>0</v>
      </c>
      <c r="AT63" s="4428">
        <f t="shared" si="187"/>
        <v>0</v>
      </c>
      <c r="AU63" s="4679"/>
      <c r="AV63" s="3349"/>
      <c r="AW63" s="3349"/>
      <c r="AX63" s="3349">
        <f t="shared" si="188"/>
        <v>0</v>
      </c>
      <c r="AY63" s="4428">
        <f t="shared" si="189"/>
        <v>0</v>
      </c>
      <c r="AZ63" s="4429"/>
      <c r="BA63" s="3349"/>
      <c r="BB63" s="3349"/>
      <c r="BC63" s="3349">
        <f t="shared" si="190"/>
        <v>0</v>
      </c>
      <c r="BD63" s="4428">
        <f t="shared" si="191"/>
        <v>0</v>
      </c>
      <c r="BE63" s="4429"/>
      <c r="BF63" s="3349"/>
      <c r="BG63" s="3349"/>
      <c r="BH63" s="3349">
        <f t="shared" si="192"/>
        <v>0</v>
      </c>
      <c r="BI63" s="4428" t="e">
        <f t="shared" si="193"/>
        <v>#DIV/0!</v>
      </c>
      <c r="BJ63" s="4429"/>
      <c r="BK63" s="3349"/>
      <c r="BL63" s="3349"/>
      <c r="BM63" s="3349">
        <f t="shared" si="194"/>
        <v>0</v>
      </c>
      <c r="BN63" s="4428" t="e">
        <f t="shared" si="195"/>
        <v>#DIV/0!</v>
      </c>
      <c r="BO63" s="4429"/>
      <c r="BP63" s="3349"/>
      <c r="BQ63" s="3349"/>
      <c r="BR63" s="3349">
        <f t="shared" si="196"/>
        <v>0</v>
      </c>
      <c r="BS63" s="4428" t="e">
        <f t="shared" si="197"/>
        <v>#DIV/0!</v>
      </c>
      <c r="BT63" s="4429"/>
      <c r="BU63" s="3349"/>
      <c r="BV63" s="3349"/>
      <c r="BW63" s="3349">
        <f t="shared" si="198"/>
        <v>0</v>
      </c>
      <c r="BX63" s="4428" t="e">
        <f t="shared" si="199"/>
        <v>#DIV/0!</v>
      </c>
      <c r="BY63" s="4429"/>
      <c r="BZ63" s="3349"/>
      <c r="CA63" s="3349"/>
      <c r="CB63" s="3349">
        <f t="shared" si="200"/>
        <v>0</v>
      </c>
      <c r="CC63" s="4428" t="e">
        <f t="shared" si="201"/>
        <v>#DIV/0!</v>
      </c>
      <c r="CD63" s="4429"/>
      <c r="CE63" s="3349"/>
      <c r="CF63" s="3349"/>
      <c r="CG63" s="3349">
        <f t="shared" si="202"/>
        <v>0</v>
      </c>
      <c r="CH63" s="4428" t="e">
        <f t="shared" si="203"/>
        <v>#DIV/0!</v>
      </c>
      <c r="CI63" s="4429"/>
      <c r="CJ63" s="3341">
        <f t="shared" si="204"/>
        <v>0</v>
      </c>
      <c r="CK63" s="3341">
        <f t="shared" si="204"/>
        <v>0</v>
      </c>
      <c r="CL63" s="2012">
        <f t="shared" si="205"/>
        <v>0</v>
      </c>
      <c r="CM63" s="4428">
        <f t="shared" si="170"/>
        <v>0</v>
      </c>
      <c r="CN63" s="4432"/>
      <c r="CP63" s="2012">
        <f t="shared" si="206"/>
        <v>0</v>
      </c>
      <c r="CQ63" s="2012">
        <f t="shared" si="206"/>
        <v>0</v>
      </c>
      <c r="CR63" s="4614"/>
    </row>
    <row r="64" spans="1:98" ht="13.8" outlineLevel="2">
      <c r="A64" s="1571"/>
      <c r="B64" s="4632" t="s">
        <v>63</v>
      </c>
      <c r="C64" s="3349"/>
      <c r="D64" s="3349"/>
      <c r="E64" s="3349">
        <f t="shared" si="171"/>
        <v>0</v>
      </c>
      <c r="F64" s="4428" t="e">
        <f t="shared" si="135"/>
        <v>#DIV/0!</v>
      </c>
      <c r="G64" s="4429"/>
      <c r="H64" s="3349"/>
      <c r="I64" s="3349"/>
      <c r="J64" s="3349">
        <f t="shared" si="172"/>
        <v>0</v>
      </c>
      <c r="K64" s="4428" t="e">
        <f t="shared" si="173"/>
        <v>#DIV/0!</v>
      </c>
      <c r="L64" s="4429"/>
      <c r="M64" s="3349"/>
      <c r="N64" s="3349"/>
      <c r="O64" s="3349">
        <f t="shared" si="174"/>
        <v>0</v>
      </c>
      <c r="P64" s="4428" t="e">
        <f t="shared" si="175"/>
        <v>#DIV/0!</v>
      </c>
      <c r="Q64" s="4429"/>
      <c r="R64" s="3342">
        <f t="shared" si="176"/>
        <v>0</v>
      </c>
      <c r="S64" s="3342">
        <f t="shared" si="176"/>
        <v>0</v>
      </c>
      <c r="T64" s="2012">
        <f t="shared" si="177"/>
        <v>0</v>
      </c>
      <c r="U64" s="3462"/>
      <c r="V64" s="3462"/>
      <c r="W64" s="3342">
        <f t="shared" si="178"/>
        <v>0</v>
      </c>
      <c r="X64" s="3342">
        <f t="shared" si="178"/>
        <v>0</v>
      </c>
      <c r="Y64" s="2012">
        <f t="shared" si="179"/>
        <v>0</v>
      </c>
      <c r="Z64" s="3462"/>
      <c r="AA64" s="3462"/>
      <c r="AB64" s="3349"/>
      <c r="AC64" s="3349"/>
      <c r="AD64" s="3349">
        <f t="shared" si="180"/>
        <v>0</v>
      </c>
      <c r="AE64" s="4428" t="e">
        <f t="shared" si="181"/>
        <v>#DIV/0!</v>
      </c>
      <c r="AF64" s="4429"/>
      <c r="AG64" s="3349"/>
      <c r="AH64" s="3349"/>
      <c r="AI64" s="3349">
        <f t="shared" si="182"/>
        <v>0</v>
      </c>
      <c r="AJ64" s="4428" t="e">
        <f t="shared" si="183"/>
        <v>#DIV/0!</v>
      </c>
      <c r="AK64" s="4429"/>
      <c r="AL64" s="3349"/>
      <c r="AM64" s="3349"/>
      <c r="AN64" s="3349">
        <f t="shared" si="184"/>
        <v>0</v>
      </c>
      <c r="AO64" s="4428">
        <f t="shared" si="185"/>
        <v>0</v>
      </c>
      <c r="AP64" s="4429"/>
      <c r="AQ64" s="3349"/>
      <c r="AR64" s="3349"/>
      <c r="AS64" s="3349">
        <f t="shared" si="186"/>
        <v>0</v>
      </c>
      <c r="AT64" s="4428">
        <f t="shared" si="187"/>
        <v>0</v>
      </c>
      <c r="AU64" s="4679"/>
      <c r="AV64" s="3349"/>
      <c r="AW64" s="3349"/>
      <c r="AX64" s="3349">
        <f t="shared" si="188"/>
        <v>0</v>
      </c>
      <c r="AY64" s="4428">
        <f t="shared" si="189"/>
        <v>0</v>
      </c>
      <c r="AZ64" s="4429"/>
      <c r="BA64" s="3349"/>
      <c r="BB64" s="3349"/>
      <c r="BC64" s="3349">
        <f t="shared" si="190"/>
        <v>0</v>
      </c>
      <c r="BD64" s="4428">
        <f t="shared" si="191"/>
        <v>0</v>
      </c>
      <c r="BE64" s="4429"/>
      <c r="BF64" s="3349"/>
      <c r="BG64" s="3349"/>
      <c r="BH64" s="3349">
        <f t="shared" si="192"/>
        <v>0</v>
      </c>
      <c r="BI64" s="4428" t="e">
        <f t="shared" si="193"/>
        <v>#DIV/0!</v>
      </c>
      <c r="BJ64" s="4429"/>
      <c r="BK64" s="3349"/>
      <c r="BL64" s="3349"/>
      <c r="BM64" s="3349">
        <f t="shared" si="194"/>
        <v>0</v>
      </c>
      <c r="BN64" s="4428" t="e">
        <f t="shared" si="195"/>
        <v>#DIV/0!</v>
      </c>
      <c r="BO64" s="4429"/>
      <c r="BP64" s="3349"/>
      <c r="BQ64" s="3349"/>
      <c r="BR64" s="3349">
        <f t="shared" si="196"/>
        <v>0</v>
      </c>
      <c r="BS64" s="4428" t="e">
        <f t="shared" si="197"/>
        <v>#DIV/0!</v>
      </c>
      <c r="BT64" s="4429"/>
      <c r="BU64" s="3349"/>
      <c r="BV64" s="3349"/>
      <c r="BW64" s="3349">
        <f t="shared" si="198"/>
        <v>0</v>
      </c>
      <c r="BX64" s="4428" t="e">
        <f t="shared" si="199"/>
        <v>#DIV/0!</v>
      </c>
      <c r="BY64" s="4429"/>
      <c r="BZ64" s="3349"/>
      <c r="CA64" s="3349"/>
      <c r="CB64" s="3349">
        <f t="shared" si="200"/>
        <v>0</v>
      </c>
      <c r="CC64" s="4428" t="e">
        <f t="shared" si="201"/>
        <v>#DIV/0!</v>
      </c>
      <c r="CD64" s="4429"/>
      <c r="CE64" s="3349"/>
      <c r="CF64" s="3349"/>
      <c r="CG64" s="3349">
        <f t="shared" si="202"/>
        <v>0</v>
      </c>
      <c r="CH64" s="4428" t="e">
        <f t="shared" si="203"/>
        <v>#DIV/0!</v>
      </c>
      <c r="CI64" s="4429"/>
      <c r="CJ64" s="3341">
        <f t="shared" si="204"/>
        <v>0</v>
      </c>
      <c r="CK64" s="3341">
        <f t="shared" si="204"/>
        <v>0</v>
      </c>
      <c r="CL64" s="2012">
        <f t="shared" si="205"/>
        <v>0</v>
      </c>
      <c r="CM64" s="4428">
        <f t="shared" si="170"/>
        <v>0</v>
      </c>
      <c r="CN64" s="4432"/>
      <c r="CP64" s="2012">
        <f t="shared" si="206"/>
        <v>0</v>
      </c>
      <c r="CQ64" s="2012">
        <f t="shared" si="206"/>
        <v>0</v>
      </c>
      <c r="CR64" s="4614"/>
    </row>
    <row r="65" spans="1:98" ht="13.8" outlineLevel="2">
      <c r="A65" s="1571"/>
      <c r="B65" s="4632" t="s">
        <v>36</v>
      </c>
      <c r="C65" s="3341"/>
      <c r="D65" s="3341"/>
      <c r="E65" s="3349">
        <f t="shared" si="171"/>
        <v>0</v>
      </c>
      <c r="F65" s="4428" t="e">
        <f t="shared" si="135"/>
        <v>#DIV/0!</v>
      </c>
      <c r="G65" s="4429"/>
      <c r="H65" s="3341"/>
      <c r="I65" s="3341"/>
      <c r="J65" s="3349">
        <f t="shared" si="172"/>
        <v>0</v>
      </c>
      <c r="K65" s="4428" t="e">
        <f t="shared" si="173"/>
        <v>#DIV/0!</v>
      </c>
      <c r="L65" s="4429"/>
      <c r="M65" s="3341"/>
      <c r="N65" s="3341"/>
      <c r="O65" s="3349">
        <f t="shared" si="174"/>
        <v>0</v>
      </c>
      <c r="P65" s="4428" t="e">
        <f t="shared" si="175"/>
        <v>#DIV/0!</v>
      </c>
      <c r="Q65" s="4429"/>
      <c r="R65" s="3342">
        <f t="shared" si="176"/>
        <v>0</v>
      </c>
      <c r="S65" s="3342">
        <f t="shared" si="176"/>
        <v>0</v>
      </c>
      <c r="T65" s="2012">
        <f t="shared" si="177"/>
        <v>0</v>
      </c>
      <c r="U65" s="3462"/>
      <c r="V65" s="3462"/>
      <c r="W65" s="3342">
        <f t="shared" si="178"/>
        <v>0</v>
      </c>
      <c r="X65" s="3342">
        <f t="shared" si="178"/>
        <v>0</v>
      </c>
      <c r="Y65" s="2012">
        <f t="shared" si="179"/>
        <v>0</v>
      </c>
      <c r="Z65" s="3462"/>
      <c r="AA65" s="3462"/>
      <c r="AB65" s="3341"/>
      <c r="AC65" s="3341"/>
      <c r="AD65" s="3349">
        <f t="shared" si="180"/>
        <v>0</v>
      </c>
      <c r="AE65" s="4428" t="e">
        <f t="shared" si="181"/>
        <v>#DIV/0!</v>
      </c>
      <c r="AF65" s="4429"/>
      <c r="AG65" s="3341"/>
      <c r="AH65" s="3341"/>
      <c r="AI65" s="3349">
        <f t="shared" si="182"/>
        <v>0</v>
      </c>
      <c r="AJ65" s="4428" t="e">
        <f t="shared" si="183"/>
        <v>#DIV/0!</v>
      </c>
      <c r="AK65" s="4429"/>
      <c r="AL65" s="3341"/>
      <c r="AM65" s="3341"/>
      <c r="AN65" s="3349">
        <f t="shared" si="184"/>
        <v>0</v>
      </c>
      <c r="AO65" s="4428">
        <f t="shared" si="185"/>
        <v>0</v>
      </c>
      <c r="AP65" s="4429"/>
      <c r="AQ65" s="3341"/>
      <c r="AR65" s="3341"/>
      <c r="AS65" s="3349">
        <f t="shared" si="186"/>
        <v>0</v>
      </c>
      <c r="AT65" s="4428">
        <f t="shared" si="187"/>
        <v>0</v>
      </c>
      <c r="AU65" s="4679"/>
      <c r="AV65" s="3341"/>
      <c r="AW65" s="3341"/>
      <c r="AX65" s="3349">
        <f t="shared" si="188"/>
        <v>0</v>
      </c>
      <c r="AY65" s="4428">
        <f t="shared" si="189"/>
        <v>0</v>
      </c>
      <c r="AZ65" s="4429"/>
      <c r="BA65" s="3341"/>
      <c r="BB65" s="3341"/>
      <c r="BC65" s="3349">
        <f t="shared" si="190"/>
        <v>0</v>
      </c>
      <c r="BD65" s="4428">
        <f t="shared" si="191"/>
        <v>0</v>
      </c>
      <c r="BE65" s="4429"/>
      <c r="BF65" s="3341"/>
      <c r="BG65" s="3341"/>
      <c r="BH65" s="3349">
        <f t="shared" si="192"/>
        <v>0</v>
      </c>
      <c r="BI65" s="4428" t="e">
        <f t="shared" si="193"/>
        <v>#DIV/0!</v>
      </c>
      <c r="BJ65" s="4429"/>
      <c r="BK65" s="3341"/>
      <c r="BL65" s="3341"/>
      <c r="BM65" s="3349">
        <f t="shared" si="194"/>
        <v>0</v>
      </c>
      <c r="BN65" s="4428" t="e">
        <f t="shared" si="195"/>
        <v>#DIV/0!</v>
      </c>
      <c r="BO65" s="4429"/>
      <c r="BP65" s="3341"/>
      <c r="BQ65" s="3341"/>
      <c r="BR65" s="3349">
        <f t="shared" si="196"/>
        <v>0</v>
      </c>
      <c r="BS65" s="4428" t="e">
        <f t="shared" si="197"/>
        <v>#DIV/0!</v>
      </c>
      <c r="BT65" s="4429"/>
      <c r="BU65" s="3341"/>
      <c r="BV65" s="3341"/>
      <c r="BW65" s="3349">
        <f t="shared" si="198"/>
        <v>0</v>
      </c>
      <c r="BX65" s="4428" t="e">
        <f t="shared" si="199"/>
        <v>#DIV/0!</v>
      </c>
      <c r="BY65" s="4429"/>
      <c r="BZ65" s="3341"/>
      <c r="CA65" s="3341"/>
      <c r="CB65" s="3349">
        <f t="shared" si="200"/>
        <v>0</v>
      </c>
      <c r="CC65" s="4428" t="e">
        <f t="shared" si="201"/>
        <v>#DIV/0!</v>
      </c>
      <c r="CD65" s="4429"/>
      <c r="CE65" s="3341"/>
      <c r="CF65" s="3341"/>
      <c r="CG65" s="3349">
        <f t="shared" si="202"/>
        <v>0</v>
      </c>
      <c r="CH65" s="4428" t="e">
        <f t="shared" si="203"/>
        <v>#DIV/0!</v>
      </c>
      <c r="CI65" s="4429"/>
      <c r="CJ65" s="3341">
        <f t="shared" si="204"/>
        <v>0</v>
      </c>
      <c r="CK65" s="3341">
        <f t="shared" si="204"/>
        <v>0</v>
      </c>
      <c r="CL65" s="2012">
        <f t="shared" si="205"/>
        <v>0</v>
      </c>
      <c r="CM65" s="4428">
        <f t="shared" si="170"/>
        <v>0</v>
      </c>
      <c r="CN65" s="4432"/>
      <c r="CP65" s="2012">
        <f t="shared" si="206"/>
        <v>0</v>
      </c>
      <c r="CQ65" s="2012">
        <f t="shared" si="206"/>
        <v>0</v>
      </c>
      <c r="CR65" s="4614"/>
    </row>
    <row r="66" spans="1:98" s="1396" customFormat="1" ht="13.8" outlineLevel="2">
      <c r="A66" s="1571"/>
      <c r="B66" s="4632" t="s">
        <v>37</v>
      </c>
      <c r="C66" s="3341"/>
      <c r="D66" s="3341"/>
      <c r="E66" s="3349">
        <f t="shared" si="171"/>
        <v>0</v>
      </c>
      <c r="F66" s="4428" t="e">
        <f t="shared" si="135"/>
        <v>#DIV/0!</v>
      </c>
      <c r="G66" s="4429"/>
      <c r="H66" s="3341"/>
      <c r="I66" s="3341"/>
      <c r="J66" s="3349">
        <f t="shared" si="172"/>
        <v>0</v>
      </c>
      <c r="K66" s="4428" t="e">
        <f t="shared" si="173"/>
        <v>#DIV/0!</v>
      </c>
      <c r="L66" s="4429"/>
      <c r="M66" s="3341"/>
      <c r="N66" s="3341"/>
      <c r="O66" s="3349">
        <f t="shared" si="174"/>
        <v>0</v>
      </c>
      <c r="P66" s="4428" t="e">
        <f t="shared" si="175"/>
        <v>#DIV/0!</v>
      </c>
      <c r="Q66" s="4429"/>
      <c r="R66" s="3342">
        <f t="shared" si="176"/>
        <v>0</v>
      </c>
      <c r="S66" s="3342">
        <f t="shared" si="176"/>
        <v>0</v>
      </c>
      <c r="T66" s="2012">
        <f t="shared" si="177"/>
        <v>0</v>
      </c>
      <c r="U66" s="3462"/>
      <c r="V66" s="3462"/>
      <c r="W66" s="3342">
        <f t="shared" si="178"/>
        <v>0</v>
      </c>
      <c r="X66" s="3342">
        <f t="shared" si="178"/>
        <v>0</v>
      </c>
      <c r="Y66" s="2012">
        <f t="shared" si="179"/>
        <v>0</v>
      </c>
      <c r="Z66" s="3462"/>
      <c r="AA66" s="3462"/>
      <c r="AB66" s="3341"/>
      <c r="AC66" s="3341"/>
      <c r="AD66" s="3349">
        <f t="shared" si="180"/>
        <v>0</v>
      </c>
      <c r="AE66" s="4428" t="e">
        <f t="shared" si="181"/>
        <v>#DIV/0!</v>
      </c>
      <c r="AF66" s="4429"/>
      <c r="AG66" s="3341"/>
      <c r="AH66" s="3341"/>
      <c r="AI66" s="3349">
        <f t="shared" si="182"/>
        <v>0</v>
      </c>
      <c r="AJ66" s="4428" t="e">
        <f t="shared" si="183"/>
        <v>#DIV/0!</v>
      </c>
      <c r="AK66" s="4429"/>
      <c r="AL66" s="3341"/>
      <c r="AM66" s="3341"/>
      <c r="AN66" s="3349">
        <f t="shared" si="184"/>
        <v>0</v>
      </c>
      <c r="AO66" s="4428">
        <f t="shared" si="185"/>
        <v>0</v>
      </c>
      <c r="AP66" s="4429"/>
      <c r="AQ66" s="3341"/>
      <c r="AR66" s="3341"/>
      <c r="AS66" s="3349">
        <f t="shared" si="186"/>
        <v>0</v>
      </c>
      <c r="AT66" s="4428">
        <f t="shared" si="187"/>
        <v>0</v>
      </c>
      <c r="AU66" s="4679"/>
      <c r="AV66" s="3341"/>
      <c r="AW66" s="3341"/>
      <c r="AX66" s="3349">
        <f t="shared" si="188"/>
        <v>0</v>
      </c>
      <c r="AY66" s="4428">
        <f t="shared" si="189"/>
        <v>0</v>
      </c>
      <c r="AZ66" s="4429"/>
      <c r="BA66" s="3341"/>
      <c r="BB66" s="3341"/>
      <c r="BC66" s="3349">
        <f t="shared" si="190"/>
        <v>0</v>
      </c>
      <c r="BD66" s="4428">
        <f t="shared" si="191"/>
        <v>0</v>
      </c>
      <c r="BE66" s="4429"/>
      <c r="BF66" s="3341"/>
      <c r="BG66" s="3341"/>
      <c r="BH66" s="3349">
        <f t="shared" si="192"/>
        <v>0</v>
      </c>
      <c r="BI66" s="4428" t="e">
        <f t="shared" si="193"/>
        <v>#DIV/0!</v>
      </c>
      <c r="BJ66" s="4429"/>
      <c r="BK66" s="3341"/>
      <c r="BL66" s="3341"/>
      <c r="BM66" s="3349">
        <f t="shared" si="194"/>
        <v>0</v>
      </c>
      <c r="BN66" s="4428" t="e">
        <f t="shared" si="195"/>
        <v>#DIV/0!</v>
      </c>
      <c r="BO66" s="4429"/>
      <c r="BP66" s="3341"/>
      <c r="BQ66" s="3341"/>
      <c r="BR66" s="3349">
        <f t="shared" si="196"/>
        <v>0</v>
      </c>
      <c r="BS66" s="4428" t="e">
        <f t="shared" si="197"/>
        <v>#DIV/0!</v>
      </c>
      <c r="BT66" s="4429"/>
      <c r="BU66" s="3341"/>
      <c r="BV66" s="3341"/>
      <c r="BW66" s="3349">
        <f t="shared" si="198"/>
        <v>0</v>
      </c>
      <c r="BX66" s="4428" t="e">
        <f t="shared" si="199"/>
        <v>#DIV/0!</v>
      </c>
      <c r="BY66" s="4429"/>
      <c r="BZ66" s="3341"/>
      <c r="CA66" s="3341"/>
      <c r="CB66" s="3349">
        <f t="shared" si="200"/>
        <v>0</v>
      </c>
      <c r="CC66" s="4428" t="e">
        <f t="shared" si="201"/>
        <v>#DIV/0!</v>
      </c>
      <c r="CD66" s="4429"/>
      <c r="CE66" s="3341"/>
      <c r="CF66" s="3341"/>
      <c r="CG66" s="3349">
        <f t="shared" si="202"/>
        <v>0</v>
      </c>
      <c r="CH66" s="4428" t="e">
        <f t="shared" si="203"/>
        <v>#DIV/0!</v>
      </c>
      <c r="CI66" s="4429"/>
      <c r="CJ66" s="3341">
        <f t="shared" si="204"/>
        <v>0</v>
      </c>
      <c r="CK66" s="3341">
        <f t="shared" si="204"/>
        <v>0</v>
      </c>
      <c r="CL66" s="2012">
        <f t="shared" si="205"/>
        <v>0</v>
      </c>
      <c r="CM66" s="4428">
        <f t="shared" si="170"/>
        <v>0</v>
      </c>
      <c r="CN66" s="4432"/>
      <c r="CP66" s="2012">
        <f t="shared" si="206"/>
        <v>0</v>
      </c>
      <c r="CQ66" s="2012">
        <f t="shared" si="206"/>
        <v>0</v>
      </c>
      <c r="CR66" s="4614"/>
      <c r="CT66" s="2624"/>
    </row>
    <row r="67" spans="1:98" s="1396" customFormat="1" ht="13.8" outlineLevel="2">
      <c r="A67" s="1571"/>
      <c r="B67" s="4632" t="s">
        <v>3</v>
      </c>
      <c r="C67" s="3341"/>
      <c r="D67" s="3341"/>
      <c r="E67" s="3349">
        <f t="shared" si="171"/>
        <v>0</v>
      </c>
      <c r="F67" s="4428" t="e">
        <f t="shared" si="135"/>
        <v>#DIV/0!</v>
      </c>
      <c r="G67" s="4429"/>
      <c r="H67" s="3341"/>
      <c r="I67" s="3341"/>
      <c r="J67" s="3349">
        <f t="shared" si="172"/>
        <v>0</v>
      </c>
      <c r="K67" s="4428" t="e">
        <f t="shared" si="173"/>
        <v>#DIV/0!</v>
      </c>
      <c r="L67" s="4429"/>
      <c r="M67" s="3341"/>
      <c r="N67" s="3341"/>
      <c r="O67" s="3349">
        <f t="shared" si="174"/>
        <v>0</v>
      </c>
      <c r="P67" s="4428" t="e">
        <f t="shared" si="175"/>
        <v>#DIV/0!</v>
      </c>
      <c r="Q67" s="4429"/>
      <c r="R67" s="3342">
        <f t="shared" si="176"/>
        <v>0</v>
      </c>
      <c r="S67" s="3342">
        <f t="shared" si="176"/>
        <v>0</v>
      </c>
      <c r="T67" s="2012">
        <f t="shared" si="177"/>
        <v>0</v>
      </c>
      <c r="U67" s="3462"/>
      <c r="V67" s="3462"/>
      <c r="W67" s="3342">
        <f t="shared" si="178"/>
        <v>0</v>
      </c>
      <c r="X67" s="3342">
        <f t="shared" si="178"/>
        <v>0</v>
      </c>
      <c r="Y67" s="2012">
        <f t="shared" si="179"/>
        <v>0</v>
      </c>
      <c r="Z67" s="3462"/>
      <c r="AA67" s="3462"/>
      <c r="AB67" s="3341"/>
      <c r="AC67" s="3341"/>
      <c r="AD67" s="3349">
        <f t="shared" si="180"/>
        <v>0</v>
      </c>
      <c r="AE67" s="4428" t="e">
        <f t="shared" si="181"/>
        <v>#DIV/0!</v>
      </c>
      <c r="AF67" s="4429"/>
      <c r="AG67" s="3341"/>
      <c r="AH67" s="3341"/>
      <c r="AI67" s="3349">
        <f t="shared" si="182"/>
        <v>0</v>
      </c>
      <c r="AJ67" s="4428" t="e">
        <f t="shared" si="183"/>
        <v>#DIV/0!</v>
      </c>
      <c r="AK67" s="4429"/>
      <c r="AL67" s="3341"/>
      <c r="AM67" s="3341"/>
      <c r="AN67" s="3349">
        <f t="shared" si="184"/>
        <v>0</v>
      </c>
      <c r="AO67" s="4428">
        <f t="shared" si="185"/>
        <v>0</v>
      </c>
      <c r="AP67" s="4429"/>
      <c r="AQ67" s="3341"/>
      <c r="AR67" s="3341"/>
      <c r="AS67" s="3349">
        <f t="shared" si="186"/>
        <v>0</v>
      </c>
      <c r="AT67" s="4428">
        <f t="shared" si="187"/>
        <v>0</v>
      </c>
      <c r="AU67" s="4679"/>
      <c r="AV67" s="3341"/>
      <c r="AW67" s="3341"/>
      <c r="AX67" s="3349">
        <f t="shared" si="188"/>
        <v>0</v>
      </c>
      <c r="AY67" s="4428">
        <f t="shared" si="189"/>
        <v>0</v>
      </c>
      <c r="AZ67" s="4429"/>
      <c r="BA67" s="3341"/>
      <c r="BB67" s="3341"/>
      <c r="BC67" s="3349">
        <f t="shared" si="190"/>
        <v>0</v>
      </c>
      <c r="BD67" s="4428">
        <f t="shared" si="191"/>
        <v>0</v>
      </c>
      <c r="BE67" s="4429"/>
      <c r="BF67" s="3341"/>
      <c r="BG67" s="3341"/>
      <c r="BH67" s="3349">
        <f t="shared" si="192"/>
        <v>0</v>
      </c>
      <c r="BI67" s="4428" t="e">
        <f t="shared" si="193"/>
        <v>#DIV/0!</v>
      </c>
      <c r="BJ67" s="4429"/>
      <c r="BK67" s="3341"/>
      <c r="BL67" s="3341"/>
      <c r="BM67" s="3349">
        <f t="shared" si="194"/>
        <v>0</v>
      </c>
      <c r="BN67" s="4428" t="e">
        <f t="shared" si="195"/>
        <v>#DIV/0!</v>
      </c>
      <c r="BO67" s="4429"/>
      <c r="BP67" s="3341"/>
      <c r="BQ67" s="3341"/>
      <c r="BR67" s="3349">
        <f t="shared" si="196"/>
        <v>0</v>
      </c>
      <c r="BS67" s="4428" t="e">
        <f t="shared" si="197"/>
        <v>#DIV/0!</v>
      </c>
      <c r="BT67" s="4429"/>
      <c r="BU67" s="3341"/>
      <c r="BV67" s="3341"/>
      <c r="BW67" s="3349">
        <f t="shared" si="198"/>
        <v>0</v>
      </c>
      <c r="BX67" s="4428" t="e">
        <f t="shared" si="199"/>
        <v>#DIV/0!</v>
      </c>
      <c r="BY67" s="4429"/>
      <c r="BZ67" s="3341"/>
      <c r="CA67" s="3341"/>
      <c r="CB67" s="3349">
        <f t="shared" si="200"/>
        <v>0</v>
      </c>
      <c r="CC67" s="4428" t="e">
        <f t="shared" si="201"/>
        <v>#DIV/0!</v>
      </c>
      <c r="CD67" s="4429"/>
      <c r="CE67" s="3341"/>
      <c r="CF67" s="3341"/>
      <c r="CG67" s="3349">
        <f t="shared" si="202"/>
        <v>0</v>
      </c>
      <c r="CH67" s="4428" t="e">
        <f t="shared" si="203"/>
        <v>#DIV/0!</v>
      </c>
      <c r="CI67" s="4429"/>
      <c r="CJ67" s="3341">
        <f t="shared" si="204"/>
        <v>0</v>
      </c>
      <c r="CK67" s="3341">
        <f t="shared" si="204"/>
        <v>0</v>
      </c>
      <c r="CL67" s="2012">
        <f t="shared" si="205"/>
        <v>0</v>
      </c>
      <c r="CM67" s="4428">
        <f t="shared" si="170"/>
        <v>0</v>
      </c>
      <c r="CN67" s="4432"/>
      <c r="CP67" s="2012">
        <f t="shared" si="206"/>
        <v>0</v>
      </c>
      <c r="CQ67" s="2012">
        <f t="shared" si="206"/>
        <v>0</v>
      </c>
      <c r="CR67" s="4614"/>
      <c r="CT67" s="2624"/>
    </row>
    <row r="68" spans="1:98" s="1396" customFormat="1" ht="13.8" outlineLevel="2">
      <c r="A68" s="1571"/>
      <c r="B68" s="4632" t="s">
        <v>5</v>
      </c>
      <c r="C68" s="3341"/>
      <c r="D68" s="3341"/>
      <c r="E68" s="3349">
        <f t="shared" si="171"/>
        <v>0</v>
      </c>
      <c r="F68" s="4428" t="e">
        <f t="shared" si="135"/>
        <v>#DIV/0!</v>
      </c>
      <c r="G68" s="3341"/>
      <c r="H68" s="3341"/>
      <c r="I68" s="3341"/>
      <c r="J68" s="3349">
        <f t="shared" si="172"/>
        <v>0</v>
      </c>
      <c r="K68" s="4428" t="e">
        <f t="shared" si="173"/>
        <v>#DIV/0!</v>
      </c>
      <c r="L68" s="3341"/>
      <c r="M68" s="3341"/>
      <c r="N68" s="3341"/>
      <c r="O68" s="3349">
        <f t="shared" si="174"/>
        <v>0</v>
      </c>
      <c r="P68" s="4428" t="e">
        <f t="shared" si="175"/>
        <v>#DIV/0!</v>
      </c>
      <c r="Q68" s="3341"/>
      <c r="R68" s="3342">
        <f t="shared" si="176"/>
        <v>0</v>
      </c>
      <c r="S68" s="3342">
        <f t="shared" si="176"/>
        <v>0</v>
      </c>
      <c r="T68" s="2012">
        <f t="shared" si="177"/>
        <v>0</v>
      </c>
      <c r="U68" s="3341"/>
      <c r="V68" s="3341"/>
      <c r="W68" s="3342">
        <f t="shared" si="178"/>
        <v>0</v>
      </c>
      <c r="X68" s="3342">
        <f t="shared" si="178"/>
        <v>0</v>
      </c>
      <c r="Y68" s="2012">
        <f t="shared" si="179"/>
        <v>0</v>
      </c>
      <c r="Z68" s="3341"/>
      <c r="AA68" s="3341"/>
      <c r="AB68" s="3341"/>
      <c r="AC68" s="3341"/>
      <c r="AD68" s="3349">
        <f t="shared" si="180"/>
        <v>0</v>
      </c>
      <c r="AE68" s="4428" t="e">
        <f t="shared" si="181"/>
        <v>#DIV/0!</v>
      </c>
      <c r="AF68" s="3341"/>
      <c r="AG68" s="3341"/>
      <c r="AH68" s="3341"/>
      <c r="AI68" s="3349">
        <f t="shared" si="182"/>
        <v>0</v>
      </c>
      <c r="AJ68" s="4428" t="e">
        <f t="shared" si="183"/>
        <v>#DIV/0!</v>
      </c>
      <c r="AK68" s="3341"/>
      <c r="AL68" s="3341"/>
      <c r="AM68" s="3341"/>
      <c r="AN68" s="3349">
        <f t="shared" si="184"/>
        <v>0</v>
      </c>
      <c r="AO68" s="4428">
        <f t="shared" si="185"/>
        <v>0</v>
      </c>
      <c r="AP68" s="3341"/>
      <c r="AQ68" s="3341"/>
      <c r="AR68" s="3341"/>
      <c r="AS68" s="3349">
        <f t="shared" si="186"/>
        <v>0</v>
      </c>
      <c r="AT68" s="4428">
        <f t="shared" si="187"/>
        <v>0</v>
      </c>
      <c r="AU68" s="3719"/>
      <c r="AV68" s="3341"/>
      <c r="AW68" s="3341"/>
      <c r="AX68" s="3349">
        <f t="shared" si="188"/>
        <v>0</v>
      </c>
      <c r="AY68" s="4428">
        <f t="shared" si="189"/>
        <v>0</v>
      </c>
      <c r="AZ68" s="3341"/>
      <c r="BA68" s="3341"/>
      <c r="BB68" s="3341"/>
      <c r="BC68" s="3349">
        <f t="shared" si="190"/>
        <v>0</v>
      </c>
      <c r="BD68" s="4428">
        <f t="shared" si="191"/>
        <v>0</v>
      </c>
      <c r="BE68" s="3341"/>
      <c r="BF68" s="3341"/>
      <c r="BG68" s="3341"/>
      <c r="BH68" s="3349">
        <f t="shared" si="192"/>
        <v>0</v>
      </c>
      <c r="BI68" s="4428" t="e">
        <f t="shared" si="193"/>
        <v>#DIV/0!</v>
      </c>
      <c r="BJ68" s="3341"/>
      <c r="BK68" s="3341"/>
      <c r="BL68" s="3341"/>
      <c r="BM68" s="3349">
        <f t="shared" si="194"/>
        <v>0</v>
      </c>
      <c r="BN68" s="4428" t="e">
        <f t="shared" si="195"/>
        <v>#DIV/0!</v>
      </c>
      <c r="BO68" s="3341"/>
      <c r="BP68" s="3341"/>
      <c r="BQ68" s="3341"/>
      <c r="BR68" s="3349">
        <f t="shared" si="196"/>
        <v>0</v>
      </c>
      <c r="BS68" s="4428" t="e">
        <f t="shared" si="197"/>
        <v>#DIV/0!</v>
      </c>
      <c r="BT68" s="3341"/>
      <c r="BU68" s="3341"/>
      <c r="BV68" s="3341"/>
      <c r="BW68" s="3349">
        <f t="shared" si="198"/>
        <v>0</v>
      </c>
      <c r="BX68" s="4428" t="e">
        <f t="shared" si="199"/>
        <v>#DIV/0!</v>
      </c>
      <c r="BY68" s="3341"/>
      <c r="BZ68" s="3341"/>
      <c r="CA68" s="3341"/>
      <c r="CB68" s="3349">
        <f t="shared" si="200"/>
        <v>0</v>
      </c>
      <c r="CC68" s="4428" t="e">
        <f t="shared" si="201"/>
        <v>#DIV/0!</v>
      </c>
      <c r="CD68" s="3341"/>
      <c r="CE68" s="3341"/>
      <c r="CF68" s="3341"/>
      <c r="CG68" s="3349">
        <f t="shared" si="202"/>
        <v>0</v>
      </c>
      <c r="CH68" s="4428" t="e">
        <f t="shared" si="203"/>
        <v>#DIV/0!</v>
      </c>
      <c r="CI68" s="3341"/>
      <c r="CJ68" s="3341">
        <f t="shared" si="204"/>
        <v>0</v>
      </c>
      <c r="CK68" s="3341">
        <f t="shared" si="204"/>
        <v>0</v>
      </c>
      <c r="CL68" s="2012">
        <f t="shared" si="205"/>
        <v>0</v>
      </c>
      <c r="CM68" s="4428">
        <f t="shared" si="170"/>
        <v>0</v>
      </c>
      <c r="CN68" s="4432"/>
      <c r="CP68" s="2012">
        <f t="shared" si="206"/>
        <v>0</v>
      </c>
      <c r="CQ68" s="2012">
        <f t="shared" si="206"/>
        <v>0</v>
      </c>
      <c r="CR68" s="4614"/>
      <c r="CT68" s="2624"/>
    </row>
    <row r="69" spans="1:98" s="1396" customFormat="1" ht="13.8" outlineLevel="2">
      <c r="A69" s="1571"/>
      <c r="B69" s="4632" t="s">
        <v>42</v>
      </c>
      <c r="C69" s="3341"/>
      <c r="D69" s="3341"/>
      <c r="E69" s="3349">
        <f t="shared" si="171"/>
        <v>0</v>
      </c>
      <c r="F69" s="4428" t="e">
        <f t="shared" si="135"/>
        <v>#DIV/0!</v>
      </c>
      <c r="G69" s="4429"/>
      <c r="H69" s="3341"/>
      <c r="I69" s="3341"/>
      <c r="J69" s="3349">
        <f t="shared" si="172"/>
        <v>0</v>
      </c>
      <c r="K69" s="4428" t="e">
        <f t="shared" si="173"/>
        <v>#DIV/0!</v>
      </c>
      <c r="L69" s="4429"/>
      <c r="M69" s="3341"/>
      <c r="N69" s="3341"/>
      <c r="O69" s="3349">
        <f t="shared" si="174"/>
        <v>0</v>
      </c>
      <c r="P69" s="4428" t="e">
        <f t="shared" si="175"/>
        <v>#DIV/0!</v>
      </c>
      <c r="Q69" s="4429"/>
      <c r="R69" s="3342">
        <f t="shared" si="176"/>
        <v>0</v>
      </c>
      <c r="S69" s="3342">
        <f t="shared" si="176"/>
        <v>0</v>
      </c>
      <c r="T69" s="2012">
        <f t="shared" si="177"/>
        <v>0</v>
      </c>
      <c r="U69" s="3462"/>
      <c r="V69" s="3462"/>
      <c r="W69" s="3342">
        <f t="shared" si="178"/>
        <v>0</v>
      </c>
      <c r="X69" s="3342">
        <f t="shared" si="178"/>
        <v>0</v>
      </c>
      <c r="Y69" s="2012">
        <f t="shared" si="179"/>
        <v>0</v>
      </c>
      <c r="Z69" s="3462"/>
      <c r="AA69" s="3462"/>
      <c r="AB69" s="3341"/>
      <c r="AC69" s="3341"/>
      <c r="AD69" s="3349">
        <f t="shared" si="180"/>
        <v>0</v>
      </c>
      <c r="AE69" s="4428" t="e">
        <f t="shared" si="181"/>
        <v>#DIV/0!</v>
      </c>
      <c r="AF69" s="4429"/>
      <c r="AG69" s="3341"/>
      <c r="AH69" s="3341"/>
      <c r="AI69" s="3349">
        <f t="shared" si="182"/>
        <v>0</v>
      </c>
      <c r="AJ69" s="4428" t="e">
        <f t="shared" si="183"/>
        <v>#DIV/0!</v>
      </c>
      <c r="AK69" s="4429"/>
      <c r="AL69" s="3341"/>
      <c r="AM69" s="3341"/>
      <c r="AN69" s="3349">
        <f t="shared" si="184"/>
        <v>0</v>
      </c>
      <c r="AO69" s="4428">
        <f t="shared" si="185"/>
        <v>0</v>
      </c>
      <c r="AP69" s="4429"/>
      <c r="AQ69" s="3341"/>
      <c r="AR69" s="3341"/>
      <c r="AS69" s="3349">
        <f t="shared" si="186"/>
        <v>0</v>
      </c>
      <c r="AT69" s="4428">
        <f t="shared" si="187"/>
        <v>0</v>
      </c>
      <c r="AU69" s="4679"/>
      <c r="AV69" s="3341"/>
      <c r="AW69" s="3341"/>
      <c r="AX69" s="3349">
        <f t="shared" si="188"/>
        <v>0</v>
      </c>
      <c r="AY69" s="4428">
        <f t="shared" si="189"/>
        <v>0</v>
      </c>
      <c r="AZ69" s="4429"/>
      <c r="BA69" s="3341"/>
      <c r="BB69" s="3341"/>
      <c r="BC69" s="3349">
        <f t="shared" si="190"/>
        <v>0</v>
      </c>
      <c r="BD69" s="4428">
        <f t="shared" si="191"/>
        <v>0</v>
      </c>
      <c r="BE69" s="4429"/>
      <c r="BF69" s="3341"/>
      <c r="BG69" s="3341"/>
      <c r="BH69" s="3349">
        <f t="shared" si="192"/>
        <v>0</v>
      </c>
      <c r="BI69" s="4428" t="e">
        <f t="shared" si="193"/>
        <v>#DIV/0!</v>
      </c>
      <c r="BJ69" s="4429"/>
      <c r="BK69" s="3341"/>
      <c r="BL69" s="3341"/>
      <c r="BM69" s="3349">
        <f t="shared" si="194"/>
        <v>0</v>
      </c>
      <c r="BN69" s="4428" t="e">
        <f t="shared" si="195"/>
        <v>#DIV/0!</v>
      </c>
      <c r="BO69" s="4429"/>
      <c r="BP69" s="3341"/>
      <c r="BQ69" s="3341"/>
      <c r="BR69" s="3349">
        <f t="shared" si="196"/>
        <v>0</v>
      </c>
      <c r="BS69" s="4428" t="e">
        <f t="shared" si="197"/>
        <v>#DIV/0!</v>
      </c>
      <c r="BT69" s="4429"/>
      <c r="BU69" s="3341"/>
      <c r="BV69" s="3341"/>
      <c r="BW69" s="3349">
        <f t="shared" si="198"/>
        <v>0</v>
      </c>
      <c r="BX69" s="4428" t="e">
        <f t="shared" si="199"/>
        <v>#DIV/0!</v>
      </c>
      <c r="BY69" s="4429"/>
      <c r="BZ69" s="3341"/>
      <c r="CA69" s="3341"/>
      <c r="CB69" s="3349">
        <f t="shared" si="200"/>
        <v>0</v>
      </c>
      <c r="CC69" s="4428" t="e">
        <f t="shared" si="201"/>
        <v>#DIV/0!</v>
      </c>
      <c r="CD69" s="4429"/>
      <c r="CE69" s="3341"/>
      <c r="CF69" s="3341"/>
      <c r="CG69" s="3349">
        <f t="shared" si="202"/>
        <v>0</v>
      </c>
      <c r="CH69" s="4428" t="e">
        <f t="shared" si="203"/>
        <v>#DIV/0!</v>
      </c>
      <c r="CI69" s="4429"/>
      <c r="CJ69" s="3341">
        <f t="shared" si="204"/>
        <v>0</v>
      </c>
      <c r="CK69" s="3341">
        <f t="shared" si="204"/>
        <v>0</v>
      </c>
      <c r="CL69" s="2012">
        <f t="shared" si="205"/>
        <v>0</v>
      </c>
      <c r="CM69" s="4428">
        <f t="shared" si="170"/>
        <v>0</v>
      </c>
      <c r="CN69" s="4432"/>
      <c r="CP69" s="2012">
        <f t="shared" si="206"/>
        <v>0</v>
      </c>
      <c r="CQ69" s="2012">
        <f t="shared" si="206"/>
        <v>0</v>
      </c>
      <c r="CR69" s="4614"/>
      <c r="CT69" s="2624"/>
    </row>
    <row r="70" spans="1:98" s="1396" customFormat="1" ht="13.8" outlineLevel="2">
      <c r="A70" s="1571"/>
      <c r="B70" s="4632" t="s">
        <v>6</v>
      </c>
      <c r="C70" s="3341"/>
      <c r="D70" s="3341"/>
      <c r="E70" s="3349">
        <f t="shared" si="171"/>
        <v>0</v>
      </c>
      <c r="F70" s="4428" t="e">
        <f t="shared" si="135"/>
        <v>#DIV/0!</v>
      </c>
      <c r="G70" s="4429"/>
      <c r="H70" s="3341"/>
      <c r="I70" s="3341"/>
      <c r="J70" s="3349">
        <f t="shared" si="172"/>
        <v>0</v>
      </c>
      <c r="K70" s="4428" t="e">
        <f t="shared" si="173"/>
        <v>#DIV/0!</v>
      </c>
      <c r="L70" s="4429"/>
      <c r="M70" s="3341"/>
      <c r="N70" s="3341"/>
      <c r="O70" s="3349">
        <f t="shared" si="174"/>
        <v>0</v>
      </c>
      <c r="P70" s="4428" t="e">
        <f t="shared" si="175"/>
        <v>#DIV/0!</v>
      </c>
      <c r="Q70" s="4429"/>
      <c r="R70" s="3342">
        <f t="shared" si="176"/>
        <v>0</v>
      </c>
      <c r="S70" s="3342">
        <f t="shared" si="176"/>
        <v>0</v>
      </c>
      <c r="T70" s="2012">
        <f t="shared" si="177"/>
        <v>0</v>
      </c>
      <c r="U70" s="3462"/>
      <c r="V70" s="3462"/>
      <c r="W70" s="3342">
        <f t="shared" si="178"/>
        <v>0</v>
      </c>
      <c r="X70" s="3342">
        <f t="shared" si="178"/>
        <v>0</v>
      </c>
      <c r="Y70" s="2012">
        <f t="shared" si="179"/>
        <v>0</v>
      </c>
      <c r="Z70" s="3462"/>
      <c r="AA70" s="3462"/>
      <c r="AB70" s="3341"/>
      <c r="AC70" s="3341"/>
      <c r="AD70" s="3349">
        <f t="shared" si="180"/>
        <v>0</v>
      </c>
      <c r="AE70" s="4428" t="e">
        <f t="shared" si="181"/>
        <v>#DIV/0!</v>
      </c>
      <c r="AF70" s="4429"/>
      <c r="AG70" s="3341"/>
      <c r="AH70" s="3341"/>
      <c r="AI70" s="3349">
        <f t="shared" si="182"/>
        <v>0</v>
      </c>
      <c r="AJ70" s="4428" t="e">
        <f t="shared" si="183"/>
        <v>#DIV/0!</v>
      </c>
      <c r="AK70" s="4429"/>
      <c r="AL70" s="3341"/>
      <c r="AM70" s="3341"/>
      <c r="AN70" s="3349">
        <f t="shared" si="184"/>
        <v>0</v>
      </c>
      <c r="AO70" s="4428">
        <f t="shared" si="185"/>
        <v>0</v>
      </c>
      <c r="AP70" s="4429"/>
      <c r="AQ70" s="3341"/>
      <c r="AR70" s="3341"/>
      <c r="AS70" s="3349">
        <f t="shared" si="186"/>
        <v>0</v>
      </c>
      <c r="AT70" s="4428">
        <f t="shared" si="187"/>
        <v>0</v>
      </c>
      <c r="AU70" s="4679"/>
      <c r="AV70" s="3341"/>
      <c r="AW70" s="3341"/>
      <c r="AX70" s="3349">
        <f t="shared" si="188"/>
        <v>0</v>
      </c>
      <c r="AY70" s="4428">
        <f t="shared" si="189"/>
        <v>0</v>
      </c>
      <c r="AZ70" s="4429"/>
      <c r="BA70" s="3341"/>
      <c r="BB70" s="3341"/>
      <c r="BC70" s="3349">
        <f t="shared" si="190"/>
        <v>0</v>
      </c>
      <c r="BD70" s="4428">
        <f t="shared" si="191"/>
        <v>0</v>
      </c>
      <c r="BE70" s="4429"/>
      <c r="BF70" s="3341"/>
      <c r="BG70" s="3341"/>
      <c r="BH70" s="3349">
        <f t="shared" si="192"/>
        <v>0</v>
      </c>
      <c r="BI70" s="4428" t="e">
        <f t="shared" si="193"/>
        <v>#DIV/0!</v>
      </c>
      <c r="BJ70" s="4429"/>
      <c r="BK70" s="3341"/>
      <c r="BL70" s="3341"/>
      <c r="BM70" s="3349">
        <f t="shared" si="194"/>
        <v>0</v>
      </c>
      <c r="BN70" s="4428" t="e">
        <f t="shared" si="195"/>
        <v>#DIV/0!</v>
      </c>
      <c r="BO70" s="4429"/>
      <c r="BP70" s="3341"/>
      <c r="BQ70" s="3341"/>
      <c r="BR70" s="3349">
        <f t="shared" si="196"/>
        <v>0</v>
      </c>
      <c r="BS70" s="4428" t="e">
        <f t="shared" si="197"/>
        <v>#DIV/0!</v>
      </c>
      <c r="BT70" s="4429"/>
      <c r="BU70" s="3341"/>
      <c r="BV70" s="3341"/>
      <c r="BW70" s="3349">
        <f t="shared" si="198"/>
        <v>0</v>
      </c>
      <c r="BX70" s="4428" t="e">
        <f t="shared" si="199"/>
        <v>#DIV/0!</v>
      </c>
      <c r="BY70" s="4429"/>
      <c r="BZ70" s="3341"/>
      <c r="CA70" s="3341"/>
      <c r="CB70" s="3349">
        <f t="shared" si="200"/>
        <v>0</v>
      </c>
      <c r="CC70" s="4428" t="e">
        <f t="shared" si="201"/>
        <v>#DIV/0!</v>
      </c>
      <c r="CD70" s="4429"/>
      <c r="CE70" s="3341"/>
      <c r="CF70" s="3341"/>
      <c r="CG70" s="3349">
        <f t="shared" si="202"/>
        <v>0</v>
      </c>
      <c r="CH70" s="4428" t="e">
        <f t="shared" si="203"/>
        <v>#DIV/0!</v>
      </c>
      <c r="CI70" s="4429"/>
      <c r="CJ70" s="3341">
        <f t="shared" si="204"/>
        <v>0</v>
      </c>
      <c r="CK70" s="3341">
        <f t="shared" si="204"/>
        <v>0</v>
      </c>
      <c r="CL70" s="2012">
        <f t="shared" si="205"/>
        <v>0</v>
      </c>
      <c r="CM70" s="4428">
        <f t="shared" si="170"/>
        <v>0</v>
      </c>
      <c r="CN70" s="4432"/>
      <c r="CP70" s="2012">
        <f t="shared" si="206"/>
        <v>0</v>
      </c>
      <c r="CQ70" s="2012">
        <f t="shared" si="206"/>
        <v>0</v>
      </c>
      <c r="CR70" s="4614"/>
      <c r="CT70" s="2624"/>
    </row>
    <row r="71" spans="1:98" s="1396" customFormat="1" ht="13.8" outlineLevel="2">
      <c r="A71" s="1571"/>
      <c r="B71" s="4632" t="s">
        <v>78</v>
      </c>
      <c r="C71" s="3341"/>
      <c r="D71" s="3341"/>
      <c r="E71" s="3349">
        <f t="shared" si="171"/>
        <v>0</v>
      </c>
      <c r="F71" s="4428" t="e">
        <f t="shared" si="135"/>
        <v>#DIV/0!</v>
      </c>
      <c r="G71" s="4429"/>
      <c r="H71" s="3341"/>
      <c r="I71" s="3341"/>
      <c r="J71" s="3349">
        <f t="shared" si="172"/>
        <v>0</v>
      </c>
      <c r="K71" s="4428" t="e">
        <f t="shared" si="173"/>
        <v>#DIV/0!</v>
      </c>
      <c r="L71" s="4429"/>
      <c r="M71" s="3341"/>
      <c r="N71" s="3341"/>
      <c r="O71" s="3349">
        <f t="shared" si="174"/>
        <v>0</v>
      </c>
      <c r="P71" s="4428" t="e">
        <f t="shared" si="175"/>
        <v>#DIV/0!</v>
      </c>
      <c r="Q71" s="4429"/>
      <c r="R71" s="3342">
        <f t="shared" si="176"/>
        <v>0</v>
      </c>
      <c r="S71" s="3342">
        <f t="shared" si="176"/>
        <v>0</v>
      </c>
      <c r="T71" s="2012">
        <f t="shared" si="177"/>
        <v>0</v>
      </c>
      <c r="U71" s="3462"/>
      <c r="V71" s="3462"/>
      <c r="W71" s="3342">
        <f t="shared" si="178"/>
        <v>0</v>
      </c>
      <c r="X71" s="3342">
        <f t="shared" si="178"/>
        <v>0</v>
      </c>
      <c r="Y71" s="2012">
        <f t="shared" si="179"/>
        <v>0</v>
      </c>
      <c r="Z71" s="3462"/>
      <c r="AA71" s="3462"/>
      <c r="AB71" s="3341"/>
      <c r="AC71" s="3341"/>
      <c r="AD71" s="3349">
        <f t="shared" si="180"/>
        <v>0</v>
      </c>
      <c r="AE71" s="4428" t="e">
        <f t="shared" si="181"/>
        <v>#DIV/0!</v>
      </c>
      <c r="AF71" s="4429"/>
      <c r="AG71" s="3341"/>
      <c r="AH71" s="3341"/>
      <c r="AI71" s="3349">
        <f t="shared" si="182"/>
        <v>0</v>
      </c>
      <c r="AJ71" s="4428" t="e">
        <f t="shared" si="183"/>
        <v>#DIV/0!</v>
      </c>
      <c r="AK71" s="4429"/>
      <c r="AL71" s="3341"/>
      <c r="AM71" s="3341"/>
      <c r="AN71" s="3349">
        <f t="shared" si="184"/>
        <v>0</v>
      </c>
      <c r="AO71" s="4428">
        <f t="shared" si="185"/>
        <v>0</v>
      </c>
      <c r="AP71" s="4429"/>
      <c r="AQ71" s="3341"/>
      <c r="AR71" s="3341"/>
      <c r="AS71" s="3349">
        <f t="shared" si="186"/>
        <v>0</v>
      </c>
      <c r="AT71" s="4428">
        <f t="shared" si="187"/>
        <v>0</v>
      </c>
      <c r="AU71" s="4679"/>
      <c r="AV71" s="3341"/>
      <c r="AW71" s="3341"/>
      <c r="AX71" s="3349">
        <f t="shared" si="188"/>
        <v>0</v>
      </c>
      <c r="AY71" s="4428">
        <f t="shared" si="189"/>
        <v>0</v>
      </c>
      <c r="AZ71" s="4429"/>
      <c r="BA71" s="3341"/>
      <c r="BB71" s="3341"/>
      <c r="BC71" s="3349">
        <f t="shared" si="190"/>
        <v>0</v>
      </c>
      <c r="BD71" s="4428">
        <f t="shared" si="191"/>
        <v>0</v>
      </c>
      <c r="BE71" s="4429"/>
      <c r="BF71" s="3341"/>
      <c r="BG71" s="3341"/>
      <c r="BH71" s="3349">
        <f t="shared" si="192"/>
        <v>0</v>
      </c>
      <c r="BI71" s="4428" t="e">
        <f t="shared" si="193"/>
        <v>#DIV/0!</v>
      </c>
      <c r="BJ71" s="4429"/>
      <c r="BK71" s="3341"/>
      <c r="BL71" s="3341"/>
      <c r="BM71" s="3349">
        <f t="shared" si="194"/>
        <v>0</v>
      </c>
      <c r="BN71" s="4428" t="e">
        <f t="shared" si="195"/>
        <v>#DIV/0!</v>
      </c>
      <c r="BO71" s="4429"/>
      <c r="BP71" s="3341"/>
      <c r="BQ71" s="3341"/>
      <c r="BR71" s="3349">
        <f t="shared" si="196"/>
        <v>0</v>
      </c>
      <c r="BS71" s="4428" t="e">
        <f t="shared" si="197"/>
        <v>#DIV/0!</v>
      </c>
      <c r="BT71" s="4429"/>
      <c r="BU71" s="3341"/>
      <c r="BV71" s="3341"/>
      <c r="BW71" s="3349">
        <f t="shared" si="198"/>
        <v>0</v>
      </c>
      <c r="BX71" s="4428" t="e">
        <f t="shared" si="199"/>
        <v>#DIV/0!</v>
      </c>
      <c r="BY71" s="4429"/>
      <c r="BZ71" s="3341"/>
      <c r="CA71" s="3341"/>
      <c r="CB71" s="3349">
        <f t="shared" si="200"/>
        <v>0</v>
      </c>
      <c r="CC71" s="4428" t="e">
        <f t="shared" si="201"/>
        <v>#DIV/0!</v>
      </c>
      <c r="CD71" s="4429"/>
      <c r="CE71" s="3341"/>
      <c r="CF71" s="3341"/>
      <c r="CG71" s="3349">
        <f t="shared" si="202"/>
        <v>0</v>
      </c>
      <c r="CH71" s="4428" t="e">
        <f t="shared" si="203"/>
        <v>#DIV/0!</v>
      </c>
      <c r="CI71" s="4429"/>
      <c r="CJ71" s="3341">
        <f t="shared" si="204"/>
        <v>0</v>
      </c>
      <c r="CK71" s="3341">
        <f t="shared" si="204"/>
        <v>0</v>
      </c>
      <c r="CL71" s="2012">
        <f t="shared" si="205"/>
        <v>0</v>
      </c>
      <c r="CM71" s="4428">
        <f t="shared" si="170"/>
        <v>0</v>
      </c>
      <c r="CN71" s="4432"/>
      <c r="CP71" s="2012">
        <f t="shared" si="206"/>
        <v>0</v>
      </c>
      <c r="CQ71" s="2012">
        <f t="shared" si="206"/>
        <v>0</v>
      </c>
      <c r="CR71" s="4614"/>
      <c r="CT71" s="2624"/>
    </row>
    <row r="72" spans="1:98" s="1396" customFormat="1" ht="13.8" outlineLevel="2">
      <c r="A72" s="1571"/>
      <c r="B72" s="4463"/>
      <c r="C72" s="4623"/>
      <c r="D72" s="4623"/>
      <c r="E72" s="4453"/>
      <c r="F72" s="4428"/>
      <c r="G72" s="4429"/>
      <c r="H72" s="4623"/>
      <c r="I72" s="4623"/>
      <c r="J72" s="4453"/>
      <c r="K72" s="4428" t="e">
        <f t="shared" si="173"/>
        <v>#DIV/0!</v>
      </c>
      <c r="L72" s="4429"/>
      <c r="M72" s="4623"/>
      <c r="N72" s="4623"/>
      <c r="O72" s="4453"/>
      <c r="P72" s="4428" t="e">
        <f t="shared" si="175"/>
        <v>#DIV/0!</v>
      </c>
      <c r="Q72" s="4429"/>
      <c r="R72" s="4429"/>
      <c r="S72" s="4429"/>
      <c r="T72" s="4429"/>
      <c r="U72" s="4429"/>
      <c r="V72" s="4429"/>
      <c r="W72" s="4429"/>
      <c r="X72" s="4429"/>
      <c r="Y72" s="4429"/>
      <c r="Z72" s="4429"/>
      <c r="AA72" s="4429"/>
      <c r="AB72" s="4623"/>
      <c r="AC72" s="4623"/>
      <c r="AD72" s="4453"/>
      <c r="AE72" s="4428"/>
      <c r="AF72" s="4429"/>
      <c r="AG72" s="4623"/>
      <c r="AH72" s="4623"/>
      <c r="AI72" s="4453"/>
      <c r="AJ72" s="4428"/>
      <c r="AK72" s="4429"/>
      <c r="AL72" s="4623"/>
      <c r="AM72" s="4623"/>
      <c r="AN72" s="4453"/>
      <c r="AO72" s="4428"/>
      <c r="AP72" s="4429"/>
      <c r="AQ72" s="4623"/>
      <c r="AR72" s="4623"/>
      <c r="AS72" s="4453"/>
      <c r="AT72" s="4428"/>
      <c r="AU72" s="4679"/>
      <c r="AV72" s="4623"/>
      <c r="AW72" s="4623"/>
      <c r="AX72" s="4453"/>
      <c r="AY72" s="4428"/>
      <c r="AZ72" s="4429"/>
      <c r="BA72" s="4623"/>
      <c r="BB72" s="4623"/>
      <c r="BC72" s="4453"/>
      <c r="BD72" s="4428"/>
      <c r="BE72" s="4429"/>
      <c r="BF72" s="4623"/>
      <c r="BG72" s="4623"/>
      <c r="BH72" s="4453"/>
      <c r="BI72" s="4428"/>
      <c r="BJ72" s="4429"/>
      <c r="BK72" s="4623"/>
      <c r="BL72" s="4623"/>
      <c r="BM72" s="4453"/>
      <c r="BN72" s="4428"/>
      <c r="BO72" s="4429"/>
      <c r="BP72" s="4623"/>
      <c r="BQ72" s="4623"/>
      <c r="BR72" s="4453"/>
      <c r="BS72" s="4428"/>
      <c r="BT72" s="4429"/>
      <c r="BU72" s="4623"/>
      <c r="BV72" s="4623"/>
      <c r="BW72" s="4453"/>
      <c r="BX72" s="4428"/>
      <c r="BY72" s="4429"/>
      <c r="BZ72" s="4623"/>
      <c r="CA72" s="4623"/>
      <c r="CB72" s="4453"/>
      <c r="CC72" s="4428"/>
      <c r="CD72" s="4429"/>
      <c r="CE72" s="4623"/>
      <c r="CF72" s="4623"/>
      <c r="CG72" s="4453"/>
      <c r="CH72" s="4428"/>
      <c r="CI72" s="4429"/>
      <c r="CJ72" s="4623"/>
      <c r="CK72" s="4623"/>
      <c r="CL72" s="4453"/>
      <c r="CM72" s="4428">
        <f>CL72/$CL$89</f>
        <v>0</v>
      </c>
      <c r="CN72" s="4432"/>
      <c r="CP72" s="2030"/>
      <c r="CQ72" s="2030"/>
      <c r="CR72" s="4613"/>
      <c r="CT72" s="2624"/>
    </row>
    <row r="73" spans="1:98"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Y74</f>
        <v>0</v>
      </c>
      <c r="Z73" s="3738"/>
      <c r="AA73" s="3742"/>
      <c r="AB73" s="555">
        <f>AB74</f>
        <v>0</v>
      </c>
      <c r="AC73" s="3738">
        <f>AC74</f>
        <v>0</v>
      </c>
      <c r="AD73" s="3739">
        <f>AD74</f>
        <v>0</v>
      </c>
      <c r="AE73" s="3738"/>
      <c r="AF73" s="3741"/>
      <c r="AG73" s="555">
        <f>AG74</f>
        <v>0</v>
      </c>
      <c r="AH73" s="3738">
        <f>AH74</f>
        <v>0</v>
      </c>
      <c r="AI73" s="3739">
        <f>AI74</f>
        <v>0</v>
      </c>
      <c r="AJ73" s="3738"/>
      <c r="AK73" s="3741"/>
      <c r="AL73" s="555">
        <f>AL74</f>
        <v>0</v>
      </c>
      <c r="AM73" s="3738">
        <f>AM74</f>
        <v>0</v>
      </c>
      <c r="AN73" s="3739">
        <f>AN74</f>
        <v>0</v>
      </c>
      <c r="AO73" s="3738"/>
      <c r="AP73" s="3741"/>
      <c r="AQ73" s="555">
        <f>AQ74</f>
        <v>0</v>
      </c>
      <c r="AR73" s="3738">
        <f>AR74</f>
        <v>0</v>
      </c>
      <c r="AS73" s="3739">
        <f>AS74</f>
        <v>0</v>
      </c>
      <c r="AT73" s="3738"/>
      <c r="AU73" s="3783"/>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4550">
        <f>CP74</f>
        <v>68247.137400000007</v>
      </c>
      <c r="CQ73" s="4550">
        <f>CQ74</f>
        <v>68247.137400000007</v>
      </c>
      <c r="CR73" s="4648"/>
      <c r="CT73" s="2624"/>
    </row>
    <row r="74" spans="1:98" s="1396" customFormat="1" ht="14.4" outlineLevel="1" thickBot="1">
      <c r="A74" s="1413"/>
      <c r="B74" s="1051" t="s">
        <v>64</v>
      </c>
      <c r="C74" s="3341"/>
      <c r="D74" s="3341"/>
      <c r="E74" s="3386">
        <f>C74+D74*1</f>
        <v>0</v>
      </c>
      <c r="F74" s="3386"/>
      <c r="G74" s="3468"/>
      <c r="H74" s="3341"/>
      <c r="I74" s="3341"/>
      <c r="J74" s="3386">
        <f>H74+I74*1</f>
        <v>0</v>
      </c>
      <c r="K74" s="4428" t="e">
        <f t="shared" ref="K74" si="207">J74/J$89</f>
        <v>#DIV/0!</v>
      </c>
      <c r="L74" s="3468"/>
      <c r="M74" s="3341"/>
      <c r="N74" s="3341"/>
      <c r="O74" s="3386">
        <f>M74+N74*1</f>
        <v>0</v>
      </c>
      <c r="P74" s="4428" t="e">
        <f t="shared" ref="P74" si="208">O74/O$89</f>
        <v>#DIV/0!</v>
      </c>
      <c r="Q74" s="3468"/>
      <c r="R74" s="3469"/>
      <c r="S74" s="3469"/>
      <c r="T74" s="3469"/>
      <c r="U74" s="3469"/>
      <c r="V74" s="3469"/>
      <c r="W74" s="3342">
        <f t="shared" ref="W74:X74" si="209">AB74+AG74+AL74+AV74+BA74+BF74+BK74+BP74+BU74+BZ74+CE74+AQ74</f>
        <v>0</v>
      </c>
      <c r="X74" s="3342">
        <f t="shared" si="209"/>
        <v>0</v>
      </c>
      <c r="Y74" s="2012">
        <f t="shared" ref="Y74" si="210">W74+X74</f>
        <v>0</v>
      </c>
      <c r="Z74" s="3469"/>
      <c r="AA74" s="3469"/>
      <c r="AB74" s="3341"/>
      <c r="AC74" s="3341"/>
      <c r="AD74" s="3386">
        <f>AB74+AC74*1</f>
        <v>0</v>
      </c>
      <c r="AE74" s="3386"/>
      <c r="AF74" s="3468"/>
      <c r="AG74" s="3341"/>
      <c r="AH74" s="3341"/>
      <c r="AI74" s="3386">
        <f>AG74+AH74*1</f>
        <v>0</v>
      </c>
      <c r="AJ74" s="3386"/>
      <c r="AK74" s="3468"/>
      <c r="AL74" s="3341"/>
      <c r="AM74" s="3341"/>
      <c r="AN74" s="3386">
        <f>AL74+AM74*1</f>
        <v>0</v>
      </c>
      <c r="AO74" s="3386"/>
      <c r="AP74" s="3468"/>
      <c r="AQ74" s="3341"/>
      <c r="AR74" s="3341"/>
      <c r="AS74" s="3386"/>
      <c r="AT74" s="3386"/>
      <c r="AU74" s="3724"/>
      <c r="AV74" s="3341"/>
      <c r="AW74" s="3341"/>
      <c r="AX74" s="3341">
        <f>AV74+AW74*1</f>
        <v>0</v>
      </c>
      <c r="AY74" s="3386"/>
      <c r="AZ74" s="3468"/>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 t="shared" ref="CJ74:CK74" si="211">C74+H74+M74+W74</f>
        <v>0</v>
      </c>
      <c r="CK74" s="3341">
        <f t="shared" si="211"/>
        <v>0</v>
      </c>
      <c r="CL74" s="2012">
        <f t="shared" ref="CL74" si="212">CJ74+CK74*1</f>
        <v>0</v>
      </c>
      <c r="CM74" s="3386"/>
      <c r="CN74" s="3386"/>
      <c r="CP74" s="2012">
        <v>68247.137400000007</v>
      </c>
      <c r="CQ74" s="2012">
        <f>CP74</f>
        <v>68247.137400000007</v>
      </c>
      <c r="CR74" s="4649"/>
      <c r="CT74" s="2624"/>
    </row>
    <row r="75" spans="1:98"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0</v>
      </c>
      <c r="O75" s="1508">
        <f>O38-O41-O50-O54</f>
        <v>0</v>
      </c>
      <c r="P75" s="1953"/>
      <c r="Q75" s="1058"/>
      <c r="R75" s="1450">
        <f>R38-R41-R50-R54</f>
        <v>0</v>
      </c>
      <c r="S75" s="1450">
        <f>S38-S41-S50-S54</f>
        <v>0</v>
      </c>
      <c r="T75" s="1508">
        <f>T38-T41-T50-T54</f>
        <v>0</v>
      </c>
      <c r="U75" s="3470"/>
      <c r="V75" s="3470"/>
      <c r="W75" s="1450">
        <f>W38-W41-W50-W54</f>
        <v>1313565.7704556959</v>
      </c>
      <c r="X75" s="1450">
        <f>X38-X41-X50-X54</f>
        <v>-662619.75</v>
      </c>
      <c r="Y75" s="1508">
        <f>Y38-Y41-Y50-Y54</f>
        <v>650946.02045569592</v>
      </c>
      <c r="Z75" s="3470"/>
      <c r="AA75" s="3470"/>
      <c r="AB75" s="1450">
        <f>AB38-AB41-AB50-AB54</f>
        <v>0</v>
      </c>
      <c r="AC75" s="1450">
        <f>AC38-AC41-AC50-AC54</f>
        <v>0</v>
      </c>
      <c r="AD75" s="1508">
        <f>AD38-AD41-AD50-AD54</f>
        <v>0</v>
      </c>
      <c r="AE75" s="1953"/>
      <c r="AF75" s="1058"/>
      <c r="AG75" s="1450">
        <f>AG38-AG41-AG50-AG54</f>
        <v>0</v>
      </c>
      <c r="AH75" s="1450">
        <f>AH38-AH41-AH50-AH54</f>
        <v>0</v>
      </c>
      <c r="AI75" s="1508">
        <f>AI38-AI41-AI50-AI54</f>
        <v>0</v>
      </c>
      <c r="AJ75" s="1953"/>
      <c r="AK75" s="1058"/>
      <c r="AL75" s="1450">
        <f>AL38-AL41-AL50-AL54</f>
        <v>-139662.34</v>
      </c>
      <c r="AM75" s="1450">
        <f>AM38-AM41-AM50-AM54</f>
        <v>-217661.81</v>
      </c>
      <c r="AN75" s="1508">
        <f>AN38-AN41-AN50-AN54</f>
        <v>-357324.15</v>
      </c>
      <c r="AO75" s="1953"/>
      <c r="AP75" s="1058"/>
      <c r="AQ75" s="1450">
        <f>AQ38-AQ41-AQ50-AQ54</f>
        <v>163566.31045569602</v>
      </c>
      <c r="AR75" s="1450">
        <f>AR38-AR41-AR50-AR54</f>
        <v>-296274.44</v>
      </c>
      <c r="AS75" s="1508">
        <f>AS38-AS41-AS50-AS54</f>
        <v>-132708.12954430399</v>
      </c>
      <c r="AT75" s="1953"/>
      <c r="AU75" s="3725"/>
      <c r="AV75" s="1450">
        <f>AV38-AV41-AV50-AV54</f>
        <v>1253063.43</v>
      </c>
      <c r="AW75" s="1450">
        <f>AW38-AW41-AW50-AW54</f>
        <v>-145864</v>
      </c>
      <c r="AX75" s="1508">
        <f>AX38-AX41-AX50-AX54</f>
        <v>1107199.43</v>
      </c>
      <c r="AY75" s="1953"/>
      <c r="AZ75" s="1058"/>
      <c r="BA75" s="1450">
        <f>BA38-BA41-BA50-BA54</f>
        <v>36598.370000000003</v>
      </c>
      <c r="BB75" s="1450">
        <f>BB38-BB41-BB50-BB54</f>
        <v>-2819.5</v>
      </c>
      <c r="BC75" s="1508">
        <f>BC38-BC41-BC50-BC54</f>
        <v>33778.870000000003</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1313565.7704556959</v>
      </c>
      <c r="CK75" s="1450">
        <f>CK38-CK41-CK50-CK54</f>
        <v>-662619.75</v>
      </c>
      <c r="CL75" s="1508">
        <f>CL38-CL41-CL50-CL54</f>
        <v>650946.02045569592</v>
      </c>
      <c r="CM75" s="1953"/>
      <c r="CN75" s="1953"/>
      <c r="CP75" s="3471">
        <f>CP38-CP41-CP50-CP54</f>
        <v>837790.22910600016</v>
      </c>
      <c r="CQ75" s="3471">
        <f>CQ38-CQ41-CQ50-CQ54</f>
        <v>650946.02045569592</v>
      </c>
      <c r="CR75" s="3471">
        <f>CR38-CR41-CR50-CR54</f>
        <v>-172910.11134969603</v>
      </c>
      <c r="CT75" s="2624"/>
    </row>
    <row r="76" spans="1:98"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2003">
        <f>IFERROR(AB75/AB5,0)</f>
        <v>0</v>
      </c>
      <c r="AC76" s="2003">
        <f>IFERROR(AC75/AC5,0)</f>
        <v>0</v>
      </c>
      <c r="AD76" s="2004">
        <f>IFERROR(AD75/AD5,0)</f>
        <v>0</v>
      </c>
      <c r="AE76" s="2004"/>
      <c r="AF76" s="1056"/>
      <c r="AG76" s="2003">
        <f>IFERROR(AG75/AG5,0)</f>
        <v>0</v>
      </c>
      <c r="AH76" s="2003">
        <f>IFERROR(AH75/AH5,0)</f>
        <v>0</v>
      </c>
      <c r="AI76" s="2004">
        <f>IFERROR(AI75/AI5,0)</f>
        <v>0</v>
      </c>
      <c r="AJ76" s="2004"/>
      <c r="AK76" s="1056"/>
      <c r="AL76" s="2003">
        <f>IFERROR(AL75/AL5,0)</f>
        <v>-13.301175238095238</v>
      </c>
      <c r="AM76" s="2003">
        <f>IFERROR(AM75/AM5,0)</f>
        <v>0</v>
      </c>
      <c r="AN76" s="2004">
        <f>IFERROR(AN75/AN5,0)</f>
        <v>-34.03087142857143</v>
      </c>
      <c r="AO76" s="2004"/>
      <c r="AP76" s="1056"/>
      <c r="AQ76" s="2003">
        <f>IFERROR(AQ75/AQ5,0)</f>
        <v>0.41105372823786435</v>
      </c>
      <c r="AR76" s="2003">
        <f>IFERROR(AR75/AR5,0)</f>
        <v>0</v>
      </c>
      <c r="AS76" s="2004">
        <f>IFERROR(AS75/AS5,0)</f>
        <v>-0.33350493304325785</v>
      </c>
      <c r="AT76" s="2004"/>
      <c r="AU76" s="3722"/>
      <c r="AV76" s="2003">
        <f>IFERROR(AV75/AV5,0)</f>
        <v>0.75617492688526711</v>
      </c>
      <c r="AW76" s="2003">
        <f>IFERROR(AW75/AW5,0)</f>
        <v>0</v>
      </c>
      <c r="AX76" s="2004">
        <f>IFERROR(AX75/AX5,0)</f>
        <v>0.66815168967756045</v>
      </c>
      <c r="AY76" s="2004"/>
      <c r="AZ76" s="1056"/>
      <c r="BA76" s="2003">
        <f>IFERROR(BA75/BA5,0)</f>
        <v>0.91495925000000011</v>
      </c>
      <c r="BB76" s="2003">
        <f>IFERROR(BB75/BB5,0)</f>
        <v>0</v>
      </c>
      <c r="BC76" s="2004">
        <f>IFERROR(BC75/BC5,0)</f>
        <v>0.84447175000000008</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0.62386543057021593</v>
      </c>
      <c r="CK76" s="2003">
        <f>IFERROR(CK75/CK5,0)</f>
        <v>0</v>
      </c>
      <c r="CL76" s="2004">
        <f>IFERROR(CL75/CL5,0)</f>
        <v>0.3091605524926842</v>
      </c>
      <c r="CM76" s="2004"/>
      <c r="CN76" s="2004"/>
      <c r="CP76" s="2004">
        <f>CP75/CP5</f>
        <v>0.36658289584157572</v>
      </c>
      <c r="CQ76" s="2004">
        <f>IFERROR(CQ75/CQ5,0)</f>
        <v>0.3091605524926842</v>
      </c>
      <c r="CR76" s="2004">
        <f>CR75/CR5</f>
        <v>0.96126774155037742</v>
      </c>
      <c r="CT76" s="2624"/>
    </row>
    <row r="77" spans="1:98" s="1396" customFormat="1" ht="14.4" outlineLevel="1" thickBot="1">
      <c r="A77" s="1566"/>
      <c r="B77" s="4456" t="s">
        <v>9</v>
      </c>
      <c r="C77" s="4457">
        <f>C78-C79</f>
        <v>0</v>
      </c>
      <c r="D77" s="4457">
        <f>D78-D79</f>
        <v>0</v>
      </c>
      <c r="E77" s="4458">
        <f>E78-E79</f>
        <v>0</v>
      </c>
      <c r="F77" s="4459"/>
      <c r="G77" s="4460"/>
      <c r="H77" s="4457">
        <f>H78-H79</f>
        <v>0</v>
      </c>
      <c r="I77" s="4457">
        <f>I78-I79</f>
        <v>0</v>
      </c>
      <c r="J77" s="4458">
        <f>J78-J79</f>
        <v>0</v>
      </c>
      <c r="K77" s="4459"/>
      <c r="L77" s="4460"/>
      <c r="M77" s="4457">
        <f>M78-M79</f>
        <v>0</v>
      </c>
      <c r="N77" s="4457">
        <f>N78-N79</f>
        <v>0</v>
      </c>
      <c r="O77" s="4458">
        <f>O78-O79</f>
        <v>0</v>
      </c>
      <c r="P77" s="4459"/>
      <c r="Q77" s="4460"/>
      <c r="R77" s="4457">
        <f>R78-R79</f>
        <v>0</v>
      </c>
      <c r="S77" s="4457">
        <f>S78-S79</f>
        <v>0</v>
      </c>
      <c r="T77" s="4458">
        <f>T78-T79</f>
        <v>0</v>
      </c>
      <c r="U77" s="4461"/>
      <c r="V77" s="4461"/>
      <c r="W77" s="4457">
        <f>W78-W79</f>
        <v>-98591.412463381304</v>
      </c>
      <c r="X77" s="4457">
        <f>X78-X79</f>
        <v>0</v>
      </c>
      <c r="Y77" s="4458">
        <f>Y78-Y79</f>
        <v>-98591.412463381304</v>
      </c>
      <c r="Z77" s="4461"/>
      <c r="AA77" s="4461"/>
      <c r="AB77" s="4457">
        <f>AB78-AB79</f>
        <v>0</v>
      </c>
      <c r="AC77" s="4457">
        <f>AC78-AC79</f>
        <v>0</v>
      </c>
      <c r="AD77" s="4458">
        <f>AD78-AD79</f>
        <v>0</v>
      </c>
      <c r="AE77" s="4459"/>
      <c r="AF77" s="4460"/>
      <c r="AG77" s="4457">
        <f>AG78-AG79</f>
        <v>0</v>
      </c>
      <c r="AH77" s="4457">
        <f>AH78-AH79</f>
        <v>0</v>
      </c>
      <c r="AI77" s="4458">
        <f>AI78-AI79</f>
        <v>0</v>
      </c>
      <c r="AJ77" s="4459"/>
      <c r="AK77" s="4460"/>
      <c r="AL77" s="4457">
        <f>AL78-AL79</f>
        <v>-32524.043646226379</v>
      </c>
      <c r="AM77" s="4457">
        <f>AM78-AM79</f>
        <v>0</v>
      </c>
      <c r="AN77" s="4458">
        <f>AN78-AN79</f>
        <v>-32524.043646226379</v>
      </c>
      <c r="AO77" s="4459"/>
      <c r="AP77" s="4460"/>
      <c r="AQ77" s="4457">
        <f>AQ78-AQ79</f>
        <v>-44270.893333333304</v>
      </c>
      <c r="AR77" s="4457">
        <f>AR78-AR79</f>
        <v>0</v>
      </c>
      <c r="AS77" s="4458">
        <f>AS78-AS79</f>
        <v>-44270.893333333304</v>
      </c>
      <c r="AT77" s="4459"/>
      <c r="AU77" s="4681"/>
      <c r="AV77" s="4457">
        <f>AV78-AV79</f>
        <v>-21796.475483821618</v>
      </c>
      <c r="AW77" s="4457">
        <f>AW78-AW79</f>
        <v>0</v>
      </c>
      <c r="AX77" s="4458">
        <f>AX78-AX79</f>
        <v>-21796.475483821618</v>
      </c>
      <c r="AY77" s="4459"/>
      <c r="AZ77" s="4460"/>
      <c r="BA77" s="4457">
        <f>BA78-BA79</f>
        <v>0</v>
      </c>
      <c r="BB77" s="4457">
        <f>BB78-BB79</f>
        <v>0</v>
      </c>
      <c r="BC77" s="4458">
        <f>BC78-BC79</f>
        <v>0</v>
      </c>
      <c r="BD77" s="4459"/>
      <c r="BE77" s="4460"/>
      <c r="BF77" s="4457">
        <f>BF78-BF79</f>
        <v>0</v>
      </c>
      <c r="BG77" s="4457">
        <f>BG78-BG79</f>
        <v>0</v>
      </c>
      <c r="BH77" s="4458">
        <f>BH78-BH79</f>
        <v>0</v>
      </c>
      <c r="BI77" s="4459"/>
      <c r="BJ77" s="4460"/>
      <c r="BK77" s="4457">
        <f>BK78-BK79</f>
        <v>0</v>
      </c>
      <c r="BL77" s="4457">
        <f>BL78-BL79</f>
        <v>0</v>
      </c>
      <c r="BM77" s="4458">
        <f>BM78-BM79</f>
        <v>0</v>
      </c>
      <c r="BN77" s="4459"/>
      <c r="BO77" s="4460"/>
      <c r="BP77" s="4457">
        <f>BP78-BP79</f>
        <v>0</v>
      </c>
      <c r="BQ77" s="4457">
        <f>BQ78-BQ79</f>
        <v>0</v>
      </c>
      <c r="BR77" s="4458">
        <f>BR78-BR79</f>
        <v>0</v>
      </c>
      <c r="BS77" s="4459"/>
      <c r="BT77" s="4460"/>
      <c r="BU77" s="4457">
        <f>BU78-BU79</f>
        <v>0</v>
      </c>
      <c r="BV77" s="4457">
        <f>BV78-BV79</f>
        <v>0</v>
      </c>
      <c r="BW77" s="4458">
        <f>BW78-BW79</f>
        <v>0</v>
      </c>
      <c r="BX77" s="4459"/>
      <c r="BY77" s="4460"/>
      <c r="BZ77" s="4457">
        <f>BZ78-BZ79</f>
        <v>0</v>
      </c>
      <c r="CA77" s="4457">
        <f>CA78-CA79</f>
        <v>0</v>
      </c>
      <c r="CB77" s="4458">
        <f>CB78-CB79</f>
        <v>0</v>
      </c>
      <c r="CC77" s="4459"/>
      <c r="CD77" s="4460"/>
      <c r="CE77" s="4457">
        <f>CE78-CE79</f>
        <v>0</v>
      </c>
      <c r="CF77" s="4457">
        <f>CF78-CF79</f>
        <v>0</v>
      </c>
      <c r="CG77" s="4458">
        <f>CG78-CG79</f>
        <v>0</v>
      </c>
      <c r="CH77" s="4459"/>
      <c r="CI77" s="4460"/>
      <c r="CJ77" s="4457">
        <f>CJ78-CJ79</f>
        <v>-98591.412463381304</v>
      </c>
      <c r="CK77" s="4457">
        <f>CK78-CK79</f>
        <v>0</v>
      </c>
      <c r="CL77" s="4458">
        <f>CL78-CL79</f>
        <v>-98591.412463381304</v>
      </c>
      <c r="CM77" s="4459"/>
      <c r="CN77" s="4459"/>
      <c r="CP77" s="4458">
        <f>CP78-CP79</f>
        <v>0</v>
      </c>
      <c r="CQ77" s="4458">
        <f>CQ78-CQ79</f>
        <v>-98591.412463381304</v>
      </c>
      <c r="CR77" s="4458"/>
      <c r="CT77" s="2624"/>
    </row>
    <row r="78" spans="1:98" s="1396" customFormat="1" ht="13.8" outlineLevel="2">
      <c r="A78" s="1405"/>
      <c r="B78" s="1400" t="s">
        <v>43</v>
      </c>
      <c r="C78" s="3341"/>
      <c r="D78" s="3341"/>
      <c r="E78" s="3391">
        <f>C78+D78*1.15</f>
        <v>0</v>
      </c>
      <c r="F78" s="3391"/>
      <c r="G78" s="3473"/>
      <c r="H78" s="3341"/>
      <c r="I78" s="3341"/>
      <c r="J78" s="3391">
        <f>H78+I78*1.15</f>
        <v>0</v>
      </c>
      <c r="K78" s="4428" t="e">
        <f t="shared" ref="K78:K79" si="213">J78/J$89</f>
        <v>#DIV/0!</v>
      </c>
      <c r="L78" s="3473"/>
      <c r="M78" s="3341"/>
      <c r="N78" s="3341"/>
      <c r="O78" s="3391">
        <f>M78+N78*1.15</f>
        <v>0</v>
      </c>
      <c r="P78" s="4428" t="e">
        <f t="shared" ref="P78:P79" si="214">O78/O$89</f>
        <v>#DIV/0!</v>
      </c>
      <c r="Q78" s="3473"/>
      <c r="R78" s="3342">
        <f t="shared" ref="R78:S79" si="215">M78+H78+C78</f>
        <v>0</v>
      </c>
      <c r="S78" s="3342">
        <f t="shared" si="215"/>
        <v>0</v>
      </c>
      <c r="T78" s="2012">
        <f t="shared" ref="T78:T79" si="216">R78+S78</f>
        <v>0</v>
      </c>
      <c r="U78" s="3474"/>
      <c r="V78" s="3474"/>
      <c r="W78" s="3342">
        <f t="shared" ref="W78:X79" si="217">AB78+AG78+AL78+AV78+BA78+BF78+BK78+BP78+BU78+BZ78+CE78+AQ78</f>
        <v>0</v>
      </c>
      <c r="X78" s="3342">
        <f t="shared" si="217"/>
        <v>0</v>
      </c>
      <c r="Y78" s="2012">
        <f t="shared" ref="Y78:Y79" si="218">W78+X78</f>
        <v>0</v>
      </c>
      <c r="Z78" s="3474"/>
      <c r="AA78" s="3474"/>
      <c r="AB78" s="3341"/>
      <c r="AC78" s="3341"/>
      <c r="AD78" s="3391">
        <f>AB78+AC78*1.15</f>
        <v>0</v>
      </c>
      <c r="AE78" s="3391"/>
      <c r="AF78" s="3473"/>
      <c r="AG78" s="3341"/>
      <c r="AH78" s="3341"/>
      <c r="AI78" s="3391">
        <f>AG78+AH78*1.15</f>
        <v>0</v>
      </c>
      <c r="AJ78" s="3391"/>
      <c r="AK78" s="3473"/>
      <c r="AL78" s="3341"/>
      <c r="AM78" s="3341"/>
      <c r="AN78" s="3391">
        <f>AL78+AM78*1.15</f>
        <v>0</v>
      </c>
      <c r="AO78" s="3391"/>
      <c r="AP78" s="3473"/>
      <c r="AQ78" s="3341"/>
      <c r="AR78" s="3341"/>
      <c r="AS78" s="3391">
        <f>AQ78+AR78*1.15</f>
        <v>0</v>
      </c>
      <c r="AT78" s="3391"/>
      <c r="AU78" s="3726"/>
      <c r="AV78" s="3341"/>
      <c r="AW78" s="3341"/>
      <c r="AX78" s="3391">
        <f>AV78+AW78*1.15</f>
        <v>0</v>
      </c>
      <c r="AY78" s="3391"/>
      <c r="AZ78" s="3473"/>
      <c r="BA78" s="3341"/>
      <c r="BB78" s="3341"/>
      <c r="BC78" s="3391">
        <f>BA78+BB78*1.15</f>
        <v>0</v>
      </c>
      <c r="BD78" s="3391"/>
      <c r="BE78" s="3473"/>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19">C78+H78+M78+W78</f>
        <v>0</v>
      </c>
      <c r="CK78" s="3341">
        <f t="shared" si="219"/>
        <v>0</v>
      </c>
      <c r="CL78" s="3391">
        <f>CJ78+CK78*1.15</f>
        <v>0</v>
      </c>
      <c r="CM78" s="3391"/>
      <c r="CN78" s="3391"/>
      <c r="CP78" s="3475">
        <f>CN78+CO78*1.15</f>
        <v>0</v>
      </c>
      <c r="CQ78" s="3475">
        <f>CO78+CP78*1.15</f>
        <v>0</v>
      </c>
      <c r="CR78" s="4614"/>
      <c r="CT78" s="2624"/>
    </row>
    <row r="79" spans="1:98" s="1396" customFormat="1" ht="13.8" outlineLevel="2">
      <c r="A79" s="1405"/>
      <c r="B79" s="4462" t="s">
        <v>79</v>
      </c>
      <c r="C79" s="3341">
        <v>0</v>
      </c>
      <c r="D79" s="3341"/>
      <c r="E79" s="2012">
        <f>C79+D79</f>
        <v>0</v>
      </c>
      <c r="F79" s="4611"/>
      <c r="G79" s="4633"/>
      <c r="H79" s="3341">
        <v>0</v>
      </c>
      <c r="I79" s="3341"/>
      <c r="J79" s="2012">
        <f>H79+I79</f>
        <v>0</v>
      </c>
      <c r="K79" s="4428" t="e">
        <f t="shared" si="213"/>
        <v>#DIV/0!</v>
      </c>
      <c r="L79" s="4633"/>
      <c r="M79" s="3341">
        <v>0</v>
      </c>
      <c r="N79" s="3341"/>
      <c r="O79" s="2012">
        <f>M79+N79</f>
        <v>0</v>
      </c>
      <c r="P79" s="4428" t="e">
        <f t="shared" si="214"/>
        <v>#DIV/0!</v>
      </c>
      <c r="Q79" s="4633"/>
      <c r="R79" s="3342">
        <f t="shared" si="215"/>
        <v>0</v>
      </c>
      <c r="S79" s="3342">
        <f t="shared" si="215"/>
        <v>0</v>
      </c>
      <c r="T79" s="2012">
        <f t="shared" si="216"/>
        <v>0</v>
      </c>
      <c r="U79" s="3455"/>
      <c r="V79" s="3455"/>
      <c r="W79" s="3342">
        <f t="shared" si="217"/>
        <v>98591.412463381304</v>
      </c>
      <c r="X79" s="3342">
        <f t="shared" si="217"/>
        <v>0</v>
      </c>
      <c r="Y79" s="2012">
        <f t="shared" si="218"/>
        <v>98591.412463381304</v>
      </c>
      <c r="Z79" s="3455"/>
      <c r="AA79" s="3455"/>
      <c r="AB79" s="3341">
        <v>0</v>
      </c>
      <c r="AC79" s="3341"/>
      <c r="AD79" s="2012">
        <f>AB79+AC79</f>
        <v>0</v>
      </c>
      <c r="AE79" s="4611"/>
      <c r="AF79" s="4633"/>
      <c r="AG79" s="3341">
        <f>(AH8+AH41+AH50+AH54)/(1-'расчет 2024'!$M$25)*'расчет 2024'!$M$25</f>
        <v>0</v>
      </c>
      <c r="AH79" s="3341"/>
      <c r="AI79" s="2012">
        <f>AG79+AH79</f>
        <v>0</v>
      </c>
      <c r="AJ79" s="4611"/>
      <c r="AK79" s="4633"/>
      <c r="AL79" s="3341">
        <f>(AM8+AM41+AM50+AM54)/(1-'расчет 2024'!$M$26)*'расчет 2024'!$M$26</f>
        <v>32524.043646226379</v>
      </c>
      <c r="AM79" s="3341"/>
      <c r="AN79" s="2012">
        <f>AL79+AM79</f>
        <v>32524.043646226379</v>
      </c>
      <c r="AO79" s="4611"/>
      <c r="AP79" s="4633"/>
      <c r="AQ79" s="3341">
        <f>(AR8+AR41+AR50+AR54)/(1-'расчет 2024'!$M$27)*'расчет 2024'!$M$27</f>
        <v>44270.893333333304</v>
      </c>
      <c r="AR79" s="3341"/>
      <c r="AS79" s="2012">
        <f>AQ79+AR79</f>
        <v>44270.893333333304</v>
      </c>
      <c r="AT79" s="4611"/>
      <c r="AU79" s="4676"/>
      <c r="AV79" s="3341">
        <f>(AW8+AW41+AW50+AW54)/(1-'расчет 2024'!$M$28)*'расчет 2024'!$M$28</f>
        <v>21796.475483821618</v>
      </c>
      <c r="AW79" s="3341"/>
      <c r="AX79" s="2012">
        <f>AV79+AW79</f>
        <v>21796.475483821618</v>
      </c>
      <c r="AY79" s="4611"/>
      <c r="AZ79" s="4633"/>
      <c r="BA79" s="3341">
        <v>0</v>
      </c>
      <c r="BB79" s="3341"/>
      <c r="BC79" s="2012">
        <f>BA79+BB79</f>
        <v>0</v>
      </c>
      <c r="BD79" s="4611"/>
      <c r="BE79" s="4633"/>
      <c r="BF79" s="3341">
        <v>0</v>
      </c>
      <c r="BG79" s="3341"/>
      <c r="BH79" s="2012">
        <f>BF79+BG79</f>
        <v>0</v>
      </c>
      <c r="BI79" s="4611"/>
      <c r="BJ79" s="4633"/>
      <c r="BK79" s="3341"/>
      <c r="BL79" s="3341"/>
      <c r="BM79" s="2012">
        <f>BK79+BL79</f>
        <v>0</v>
      </c>
      <c r="BN79" s="4611"/>
      <c r="BO79" s="4633"/>
      <c r="BP79" s="3341">
        <v>0</v>
      </c>
      <c r="BQ79" s="3341"/>
      <c r="BR79" s="2012">
        <f>BP79+BQ79</f>
        <v>0</v>
      </c>
      <c r="BS79" s="4611"/>
      <c r="BT79" s="4633"/>
      <c r="BU79" s="3341">
        <v>0</v>
      </c>
      <c r="BV79" s="3341"/>
      <c r="BW79" s="2012">
        <f>BU79+BV79</f>
        <v>0</v>
      </c>
      <c r="BX79" s="4611"/>
      <c r="BY79" s="4633"/>
      <c r="BZ79" s="3341">
        <v>0</v>
      </c>
      <c r="CA79" s="3341"/>
      <c r="CB79" s="2012">
        <f>BZ79+CA79</f>
        <v>0</v>
      </c>
      <c r="CC79" s="4611"/>
      <c r="CD79" s="4633"/>
      <c r="CE79" s="3341">
        <v>0</v>
      </c>
      <c r="CF79" s="3341"/>
      <c r="CG79" s="2012">
        <f>CE79+CF79</f>
        <v>0</v>
      </c>
      <c r="CH79" s="4611"/>
      <c r="CI79" s="4633"/>
      <c r="CJ79" s="3341">
        <f t="shared" si="219"/>
        <v>98591.412463381304</v>
      </c>
      <c r="CK79" s="3341">
        <f t="shared" si="219"/>
        <v>0</v>
      </c>
      <c r="CL79" s="2012">
        <f t="shared" ref="CL79" si="220">CJ79+CK79*1</f>
        <v>98591.412463381304</v>
      </c>
      <c r="CM79" s="4611"/>
      <c r="CN79" s="4611"/>
      <c r="CP79" s="2012">
        <f t="shared" ref="CP79" si="221">CN79+CO79*1</f>
        <v>0</v>
      </c>
      <c r="CQ79" s="2012">
        <f>CL79</f>
        <v>98591.412463381304</v>
      </c>
      <c r="CR79" s="4614">
        <f t="shared" ref="CR79" si="222">CP79-CQ79</f>
        <v>-98591.412463381304</v>
      </c>
      <c r="CT79" s="2624"/>
    </row>
    <row r="80" spans="1:98" ht="13.8" outlineLevel="2">
      <c r="A80" s="1397"/>
      <c r="B80" s="4463"/>
      <c r="C80" s="3341"/>
      <c r="D80" s="3341"/>
      <c r="E80" s="4612"/>
      <c r="F80" s="4612"/>
      <c r="G80" s="4650"/>
      <c r="H80" s="3341"/>
      <c r="I80" s="3341"/>
      <c r="J80" s="4612"/>
      <c r="K80" s="4612"/>
      <c r="L80" s="4650"/>
      <c r="M80" s="3341"/>
      <c r="N80" s="3341"/>
      <c r="O80" s="4612"/>
      <c r="P80" s="4612"/>
      <c r="Q80" s="4650"/>
      <c r="R80" s="3448"/>
      <c r="S80" s="3448"/>
      <c r="T80" s="3448"/>
      <c r="U80" s="3448"/>
      <c r="V80" s="3448"/>
      <c r="W80" s="3448"/>
      <c r="X80" s="3448"/>
      <c r="Y80" s="3448"/>
      <c r="Z80" s="3448"/>
      <c r="AA80" s="3448"/>
      <c r="AB80" s="3341"/>
      <c r="AC80" s="3341"/>
      <c r="AD80" s="4612"/>
      <c r="AE80" s="4612"/>
      <c r="AF80" s="4650"/>
      <c r="AG80" s="3341"/>
      <c r="AH80" s="3341"/>
      <c r="AI80" s="4612"/>
      <c r="AJ80" s="4612"/>
      <c r="AK80" s="4650"/>
      <c r="AL80" s="3341"/>
      <c r="AM80" s="3341"/>
      <c r="AN80" s="4612"/>
      <c r="AO80" s="4612"/>
      <c r="AP80" s="4650"/>
      <c r="AQ80" s="3341"/>
      <c r="AR80" s="3341"/>
      <c r="AS80" s="4612"/>
      <c r="AT80" s="4612"/>
      <c r="AU80" s="4682"/>
      <c r="AV80" s="3341"/>
      <c r="AW80" s="3341"/>
      <c r="AX80" s="4612"/>
      <c r="AY80" s="4612"/>
      <c r="AZ80" s="4650"/>
      <c r="BA80" s="3341"/>
      <c r="BB80" s="3341"/>
      <c r="BC80" s="4612"/>
      <c r="BD80" s="4612"/>
      <c r="BE80" s="4650"/>
      <c r="BF80" s="3341"/>
      <c r="BG80" s="3341"/>
      <c r="BH80" s="4612"/>
      <c r="BI80" s="4612"/>
      <c r="BJ80" s="4650"/>
      <c r="BK80" s="3341"/>
      <c r="BL80" s="3341"/>
      <c r="BM80" s="4612"/>
      <c r="BN80" s="4612"/>
      <c r="BO80" s="4650"/>
      <c r="BP80" s="3341"/>
      <c r="BQ80" s="3341"/>
      <c r="BR80" s="4612"/>
      <c r="BS80" s="4612"/>
      <c r="BT80" s="4650"/>
      <c r="BU80" s="3341"/>
      <c r="BV80" s="3341"/>
      <c r="BW80" s="4612"/>
      <c r="BX80" s="4612"/>
      <c r="BY80" s="4650"/>
      <c r="BZ80" s="3341"/>
      <c r="CA80" s="3341"/>
      <c r="CB80" s="4612"/>
      <c r="CC80" s="4612"/>
      <c r="CD80" s="4650"/>
      <c r="CE80" s="3341"/>
      <c r="CF80" s="3341"/>
      <c r="CG80" s="4612"/>
      <c r="CH80" s="4612"/>
      <c r="CI80" s="4650"/>
      <c r="CJ80" s="3341">
        <f>C80+H80+M80</f>
        <v>0</v>
      </c>
      <c r="CK80" s="3341">
        <f>D80+I80+N80</f>
        <v>0</v>
      </c>
      <c r="CL80" s="4612"/>
      <c r="CM80" s="4612"/>
      <c r="CN80" s="4612"/>
      <c r="CP80" s="4651"/>
      <c r="CQ80" s="4651"/>
      <c r="CR80" s="4614"/>
    </row>
    <row r="81" spans="1:101" s="1396" customFormat="1" ht="14.4" outlineLevel="1" thickBot="1">
      <c r="A81" s="1419"/>
      <c r="B81" s="4456" t="s">
        <v>12</v>
      </c>
      <c r="C81" s="4457">
        <f>(C75+C78)-C79</f>
        <v>0</v>
      </c>
      <c r="D81" s="4457">
        <f>(D75+D78)-D79</f>
        <v>0</v>
      </c>
      <c r="E81" s="4458">
        <f>(E75+E78)-E79</f>
        <v>0</v>
      </c>
      <c r="F81" s="4459"/>
      <c r="G81" s="4460"/>
      <c r="H81" s="4457">
        <f>(H75+H78)-H79</f>
        <v>0</v>
      </c>
      <c r="I81" s="4457">
        <f>(I75+I78)-I79</f>
        <v>0</v>
      </c>
      <c r="J81" s="4458">
        <f>(J75+J78)-J79</f>
        <v>0</v>
      </c>
      <c r="K81" s="4459"/>
      <c r="L81" s="4460"/>
      <c r="M81" s="4457">
        <f>(M75+M78)-M79</f>
        <v>0</v>
      </c>
      <c r="N81" s="4457">
        <f>(N75+N78)-N79</f>
        <v>0</v>
      </c>
      <c r="O81" s="4458">
        <f>(O75+O78)-O79</f>
        <v>0</v>
      </c>
      <c r="P81" s="4459"/>
      <c r="Q81" s="4460"/>
      <c r="R81" s="4457">
        <f>(R75+R78)-R79</f>
        <v>0</v>
      </c>
      <c r="S81" s="4457">
        <f>(S75+S78)-S79</f>
        <v>0</v>
      </c>
      <c r="T81" s="4458">
        <f>(T75+T78)-T79</f>
        <v>0</v>
      </c>
      <c r="U81" s="4461"/>
      <c r="V81" s="4461"/>
      <c r="W81" s="4457">
        <f>(W75+W78)-W79</f>
        <v>1214974.3579923147</v>
      </c>
      <c r="X81" s="4457">
        <f>(X75+X78)-X79</f>
        <v>-662619.75</v>
      </c>
      <c r="Y81" s="4458">
        <f>(Y75+Y78)-Y79</f>
        <v>552354.60799231462</v>
      </c>
      <c r="Z81" s="4461"/>
      <c r="AA81" s="4461"/>
      <c r="AB81" s="4457">
        <f>(AB75+AB78)-AB79</f>
        <v>0</v>
      </c>
      <c r="AC81" s="4457">
        <f>(AC75+AC78)-AC79</f>
        <v>0</v>
      </c>
      <c r="AD81" s="4458">
        <f>(AD75+AD78)-AD79</f>
        <v>0</v>
      </c>
      <c r="AE81" s="4459"/>
      <c r="AF81" s="4460"/>
      <c r="AG81" s="4457">
        <f>(AG75+AG78)-AG79</f>
        <v>0</v>
      </c>
      <c r="AH81" s="4457">
        <f>(AH75+AH78)-AH79</f>
        <v>0</v>
      </c>
      <c r="AI81" s="4458">
        <f>(AI75+AI78)-AI79</f>
        <v>0</v>
      </c>
      <c r="AJ81" s="4459"/>
      <c r="AK81" s="4460"/>
      <c r="AL81" s="4457">
        <f>(AL75+AL78)-AL79</f>
        <v>-172186.38364622637</v>
      </c>
      <c r="AM81" s="4457">
        <f>(AM75+AM78)-AM79</f>
        <v>-217661.81</v>
      </c>
      <c r="AN81" s="4458">
        <f>(AN75+AN78)-AN79</f>
        <v>-389848.19364622643</v>
      </c>
      <c r="AO81" s="4459"/>
      <c r="AP81" s="4460"/>
      <c r="AQ81" s="4457">
        <f>(AQ75+AQ78)-AQ79</f>
        <v>119295.41712236271</v>
      </c>
      <c r="AR81" s="4457">
        <f>(AR75+AR78)-AR79</f>
        <v>-296274.44</v>
      </c>
      <c r="AS81" s="4458">
        <f>(AS75+AS78)-AS79</f>
        <v>-176979.0228776373</v>
      </c>
      <c r="AT81" s="4459"/>
      <c r="AU81" s="4681"/>
      <c r="AV81" s="4457">
        <f>(AV75+AV78)-AV79</f>
        <v>1231266.9545161782</v>
      </c>
      <c r="AW81" s="4457">
        <f>(AW75+AW78)-AW79</f>
        <v>-145864</v>
      </c>
      <c r="AX81" s="4458">
        <f>(AX75+AX78)-AX79</f>
        <v>1085402.9545161782</v>
      </c>
      <c r="AY81" s="4459"/>
      <c r="AZ81" s="4460"/>
      <c r="BA81" s="4457">
        <f>(BA75+BA78)-BA79</f>
        <v>36598.370000000003</v>
      </c>
      <c r="BB81" s="4457">
        <f>(BB75+BB78)-BB79</f>
        <v>-2819.5</v>
      </c>
      <c r="BC81" s="4458">
        <f>(BC75+BC78)-BC79</f>
        <v>33778.870000000003</v>
      </c>
      <c r="BD81" s="4459"/>
      <c r="BE81" s="4460"/>
      <c r="BF81" s="4457">
        <f>(BF75+BF78)-BF79</f>
        <v>0</v>
      </c>
      <c r="BG81" s="4457">
        <f>(BG75+BG78)-BG79</f>
        <v>0</v>
      </c>
      <c r="BH81" s="4458">
        <f>(BH75+BH78)-BH79</f>
        <v>0</v>
      </c>
      <c r="BI81" s="4459"/>
      <c r="BJ81" s="4460"/>
      <c r="BK81" s="4457">
        <f>(BK75+BK78)-BK79</f>
        <v>0</v>
      </c>
      <c r="BL81" s="4457">
        <f>(BL75+BL78)-BL79</f>
        <v>0</v>
      </c>
      <c r="BM81" s="4458">
        <f>(BM75+BM78)-BM79</f>
        <v>0</v>
      </c>
      <c r="BN81" s="4459"/>
      <c r="BO81" s="4460"/>
      <c r="BP81" s="4457">
        <f>(BP75+BP78)-BP79</f>
        <v>0</v>
      </c>
      <c r="BQ81" s="4457">
        <f>(BQ75+BQ78)-BQ79</f>
        <v>0</v>
      </c>
      <c r="BR81" s="4458">
        <f>(BR75+BR78)-BR79</f>
        <v>0</v>
      </c>
      <c r="BS81" s="4459"/>
      <c r="BT81" s="4460"/>
      <c r="BU81" s="4457">
        <f>(BU75+BU78)-BU79</f>
        <v>0</v>
      </c>
      <c r="BV81" s="4457">
        <f>(BV75+BV78)-BV79</f>
        <v>0</v>
      </c>
      <c r="BW81" s="4458">
        <f>(BW75+BW78)-BW79</f>
        <v>0</v>
      </c>
      <c r="BX81" s="4459"/>
      <c r="BY81" s="4460"/>
      <c r="BZ81" s="4457">
        <f>(BZ75+BZ78)-BZ79</f>
        <v>0</v>
      </c>
      <c r="CA81" s="4457">
        <f>(CA75+CA78)-CA79</f>
        <v>0</v>
      </c>
      <c r="CB81" s="4458">
        <f>(CB75+CB78)-CB79</f>
        <v>0</v>
      </c>
      <c r="CC81" s="4459"/>
      <c r="CD81" s="4460"/>
      <c r="CE81" s="4457">
        <f>(CE75+CE78)-CE79</f>
        <v>0</v>
      </c>
      <c r="CF81" s="4457">
        <f>(CF75+CF78)-CF79</f>
        <v>0</v>
      </c>
      <c r="CG81" s="4458">
        <f>(CG75+CG78)-CG79</f>
        <v>0</v>
      </c>
      <c r="CH81" s="4459"/>
      <c r="CI81" s="4460"/>
      <c r="CJ81" s="4457">
        <f>(CJ75+CJ78)-CJ79</f>
        <v>1214974.3579923147</v>
      </c>
      <c r="CK81" s="4457">
        <f>(CK75+CK78)-CK79</f>
        <v>-662619.75</v>
      </c>
      <c r="CL81" s="4458">
        <f>(CL75+CL78)-CL79</f>
        <v>552354.60799231462</v>
      </c>
      <c r="CM81" s="4459"/>
      <c r="CN81" s="4459"/>
      <c r="CP81" s="4458">
        <f>(CP75+CP78)-CP79</f>
        <v>837790.22910600016</v>
      </c>
      <c r="CQ81" s="4652">
        <f>(CQ75+CQ78)-CQ79</f>
        <v>552354.60799231462</v>
      </c>
      <c r="CR81" s="4458">
        <f>(CR75+CR78)-CR79</f>
        <v>-74318.698886314727</v>
      </c>
      <c r="CT81" s="2624"/>
    </row>
    <row r="82" spans="1:101" s="1396" customFormat="1" ht="13.8" outlineLevel="2">
      <c r="A82" s="1565"/>
      <c r="B82" s="1400" t="s">
        <v>38</v>
      </c>
      <c r="C82" s="3341"/>
      <c r="D82" s="3341"/>
      <c r="E82" s="3390">
        <f>C82+D82</f>
        <v>0</v>
      </c>
      <c r="F82" s="3381"/>
      <c r="G82" s="3455"/>
      <c r="H82" s="3341"/>
      <c r="I82" s="3341"/>
      <c r="J82" s="3390">
        <f>H82+I82</f>
        <v>0</v>
      </c>
      <c r="K82" s="4428" t="e">
        <f t="shared" ref="K82" si="223">J82/J$89</f>
        <v>#DIV/0!</v>
      </c>
      <c r="L82" s="3455"/>
      <c r="M82" s="3341"/>
      <c r="N82" s="3341"/>
      <c r="O82" s="3390">
        <f>M82+N82</f>
        <v>0</v>
      </c>
      <c r="P82" s="4428" t="e">
        <f t="shared" ref="P82" si="224">O82/O$89</f>
        <v>#DIV/0!</v>
      </c>
      <c r="Q82" s="3455"/>
      <c r="R82" s="3342">
        <f t="shared" ref="R82:S82" si="225">M82+H82+C82</f>
        <v>0</v>
      </c>
      <c r="S82" s="3342">
        <f t="shared" si="225"/>
        <v>0</v>
      </c>
      <c r="T82" s="2012">
        <f t="shared" ref="T82" si="226">R82+S82</f>
        <v>0</v>
      </c>
      <c r="U82" s="3455"/>
      <c r="V82" s="3455"/>
      <c r="W82" s="3342">
        <f t="shared" ref="W82:X82" si="227">AB82+AG82+AL82+AV82+BA82+BF82+BK82+BP82+BU82+BZ82+CE82+AQ82</f>
        <v>0</v>
      </c>
      <c r="X82" s="3342">
        <f t="shared" si="227"/>
        <v>0</v>
      </c>
      <c r="Y82" s="2012">
        <f t="shared" ref="Y82" si="228">W82+X82</f>
        <v>0</v>
      </c>
      <c r="Z82" s="3455"/>
      <c r="AA82" s="3455"/>
      <c r="AB82" s="3341"/>
      <c r="AC82" s="3341"/>
      <c r="AD82" s="3390">
        <f>AB82+AC82</f>
        <v>0</v>
      </c>
      <c r="AE82" s="3381"/>
      <c r="AF82" s="3455"/>
      <c r="AG82" s="3341"/>
      <c r="AH82" s="3341"/>
      <c r="AI82" s="3390">
        <f>AG82+AH82</f>
        <v>0</v>
      </c>
      <c r="AJ82" s="3381"/>
      <c r="AK82" s="3455"/>
      <c r="AL82" s="3341"/>
      <c r="AM82" s="3341"/>
      <c r="AN82" s="3390">
        <f>AL82+AM82</f>
        <v>0</v>
      </c>
      <c r="AO82" s="3381"/>
      <c r="AP82" s="3455"/>
      <c r="AQ82" s="3341"/>
      <c r="AR82" s="3341"/>
      <c r="AS82" s="3390">
        <f>AQ82+AR82</f>
        <v>0</v>
      </c>
      <c r="AT82" s="3381"/>
      <c r="AU82" s="3727"/>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381"/>
      <c r="CP82" s="3415">
        <f>CN82+CO82</f>
        <v>0</v>
      </c>
      <c r="CQ82" s="3415">
        <f>CO82+CP82</f>
        <v>0</v>
      </c>
      <c r="CR82" s="3415"/>
      <c r="CT82" s="2624"/>
    </row>
    <row r="83" spans="1:101" s="1396" customFormat="1" ht="13.8" outlineLevel="1">
      <c r="A83" s="1405"/>
      <c r="B83" s="4466" t="s">
        <v>13</v>
      </c>
      <c r="C83" s="4467">
        <f>(C81+C7)-C36</f>
        <v>0</v>
      </c>
      <c r="D83" s="4467">
        <f>(D81+D7)-D36</f>
        <v>0</v>
      </c>
      <c r="E83" s="4468">
        <f>(E81+E7)-E36</f>
        <v>0</v>
      </c>
      <c r="F83" s="4469"/>
      <c r="G83" s="4470"/>
      <c r="H83" s="4467">
        <f>(H81+H7)-H36</f>
        <v>0</v>
      </c>
      <c r="I83" s="4467">
        <f>(I81+I7)-I36</f>
        <v>0</v>
      </c>
      <c r="J83" s="4468">
        <f>(J81+J7)-J36</f>
        <v>0</v>
      </c>
      <c r="K83" s="4469"/>
      <c r="L83" s="4470"/>
      <c r="M83" s="4467">
        <f>(M81+M7)-M36</f>
        <v>0</v>
      </c>
      <c r="N83" s="4467">
        <f>(N81+N7)-N36</f>
        <v>0</v>
      </c>
      <c r="O83" s="4468">
        <f>(O81+O7)-O36</f>
        <v>0</v>
      </c>
      <c r="P83" s="4469"/>
      <c r="Q83" s="4470"/>
      <c r="R83" s="4467">
        <f>(R81+R7)-R36</f>
        <v>0</v>
      </c>
      <c r="S83" s="4467">
        <f>(S81+S7)-S36</f>
        <v>0</v>
      </c>
      <c r="T83" s="4468">
        <f>(T81+T7)-T36</f>
        <v>0</v>
      </c>
      <c r="U83" s="4471"/>
      <c r="V83" s="4471"/>
      <c r="W83" s="4467">
        <f>(W81+W7)-W36</f>
        <v>1214974.3579923147</v>
      </c>
      <c r="X83" s="4467">
        <f>(X81+X7)-X36</f>
        <v>-662619.75</v>
      </c>
      <c r="Y83" s="4468">
        <f>(Y81+Y7)-Y36</f>
        <v>552354.60799231462</v>
      </c>
      <c r="Z83" s="4471"/>
      <c r="AA83" s="4471"/>
      <c r="AB83" s="4467">
        <f>(AB81+AB7)-AB36</f>
        <v>0</v>
      </c>
      <c r="AC83" s="4467">
        <f>(AC81+AC7)-AC36</f>
        <v>0</v>
      </c>
      <c r="AD83" s="4468">
        <f>(AD81+AD7)-AD36</f>
        <v>0</v>
      </c>
      <c r="AE83" s="4469"/>
      <c r="AF83" s="4470"/>
      <c r="AG83" s="4467">
        <f>(AG81+AG7)-AG36</f>
        <v>0</v>
      </c>
      <c r="AH83" s="4467">
        <f>(AH81+AH7)-AH36</f>
        <v>0</v>
      </c>
      <c r="AI83" s="4468">
        <f>(AI81+AI7)-AI36</f>
        <v>0</v>
      </c>
      <c r="AJ83" s="4469"/>
      <c r="AK83" s="4470"/>
      <c r="AL83" s="4467">
        <f>(AL81+AL7)-AL36</f>
        <v>-172186.38364622637</v>
      </c>
      <c r="AM83" s="4467">
        <f>(AM81+AM7)-AM36</f>
        <v>-217661.81</v>
      </c>
      <c r="AN83" s="4468">
        <f>(AN81+AN7)-AN36</f>
        <v>-389848.19364622643</v>
      </c>
      <c r="AO83" s="4469"/>
      <c r="AP83" s="4470"/>
      <c r="AQ83" s="4467">
        <f>(AQ81+AQ7)-AQ36</f>
        <v>119295.41712236271</v>
      </c>
      <c r="AR83" s="4467">
        <f>(AR81+AR7)-AR36</f>
        <v>-296274.44</v>
      </c>
      <c r="AS83" s="4468">
        <f>(AS81+AS7)-AS36</f>
        <v>-176979.0228776373</v>
      </c>
      <c r="AT83" s="4469"/>
      <c r="AU83" s="4683"/>
      <c r="AV83" s="4467">
        <f>(AV81+AV7)-AV36</f>
        <v>1231266.9545161782</v>
      </c>
      <c r="AW83" s="4467">
        <f>(AW81+AW7)-AW36</f>
        <v>-145864</v>
      </c>
      <c r="AX83" s="4468">
        <f>(AX81+AX7)-AX36</f>
        <v>1085402.9545161782</v>
      </c>
      <c r="AY83" s="4469"/>
      <c r="AZ83" s="4470"/>
      <c r="BA83" s="4467">
        <f>(BA81+BA7)-BA36</f>
        <v>36598.370000000003</v>
      </c>
      <c r="BB83" s="4467">
        <f>(BB81+BB7)-BB36</f>
        <v>-2819.5</v>
      </c>
      <c r="BC83" s="4468">
        <f>(BC81+BC7)-BC36</f>
        <v>33778.870000000003</v>
      </c>
      <c r="BD83" s="4469"/>
      <c r="BE83" s="4470"/>
      <c r="BF83" s="4467">
        <f>(BF81+BF7)-BF36</f>
        <v>0</v>
      </c>
      <c r="BG83" s="4467">
        <f>(BG81+BG7)-BG36</f>
        <v>0</v>
      </c>
      <c r="BH83" s="4468">
        <f>(BH81+BH7)-BH36</f>
        <v>0</v>
      </c>
      <c r="BI83" s="4469"/>
      <c r="BJ83" s="4470"/>
      <c r="BK83" s="4467">
        <f>(BK81+BK7)-BK36</f>
        <v>0</v>
      </c>
      <c r="BL83" s="4467">
        <f>(BL81+BL7)-BL36</f>
        <v>0</v>
      </c>
      <c r="BM83" s="4468">
        <f>(BM81+BM7)-BM36</f>
        <v>0</v>
      </c>
      <c r="BN83" s="4469"/>
      <c r="BO83" s="4470"/>
      <c r="BP83" s="4467">
        <f>(BP81+BP7)-BP36</f>
        <v>0</v>
      </c>
      <c r="BQ83" s="4467">
        <f>(BQ81+BQ7)-BQ36</f>
        <v>0</v>
      </c>
      <c r="BR83" s="4468">
        <f>(BR81+BR7)-BR36</f>
        <v>0</v>
      </c>
      <c r="BS83" s="4469"/>
      <c r="BT83" s="4470"/>
      <c r="BU83" s="4467">
        <f>(BU81+BU7)-BU36</f>
        <v>0</v>
      </c>
      <c r="BV83" s="4467">
        <f>(BV81+BV7)-BV36</f>
        <v>0</v>
      </c>
      <c r="BW83" s="4468">
        <f>(BW81+BW7)-BW36</f>
        <v>0</v>
      </c>
      <c r="BX83" s="4469"/>
      <c r="BY83" s="4470"/>
      <c r="BZ83" s="4467">
        <f>(BZ81+BZ7)-BZ36</f>
        <v>0</v>
      </c>
      <c r="CA83" s="4467">
        <f>(CA81+CA7)-CA36</f>
        <v>0</v>
      </c>
      <c r="CB83" s="4468">
        <f>(CB81+CB7)-CB36</f>
        <v>0</v>
      </c>
      <c r="CC83" s="4469"/>
      <c r="CD83" s="4470"/>
      <c r="CE83" s="4467">
        <f>(CE81+CE7)-CE36</f>
        <v>0</v>
      </c>
      <c r="CF83" s="4467">
        <f>(CF81+CF7)-CF36</f>
        <v>0</v>
      </c>
      <c r="CG83" s="4468">
        <f>(CG81+CG7)-CG36</f>
        <v>0</v>
      </c>
      <c r="CH83" s="4469"/>
      <c r="CI83" s="4470"/>
      <c r="CJ83" s="4467">
        <f>(CJ81+CJ7)-CJ36</f>
        <v>1214974.3579923147</v>
      </c>
      <c r="CK83" s="4467">
        <f>(CK81+CK7)-CK36</f>
        <v>-662619.75</v>
      </c>
      <c r="CL83" s="4468">
        <f>(CL81+CL7)-CL36</f>
        <v>552354.60799231462</v>
      </c>
      <c r="CM83" s="4469"/>
      <c r="CN83" s="4469"/>
      <c r="CP83" s="3481">
        <f>(CP81+CP7)-CP36</f>
        <v>837790.22910600016</v>
      </c>
      <c r="CQ83" s="3481">
        <f>(CQ81+CQ7)-CQ36</f>
        <v>552354.60799231462</v>
      </c>
      <c r="CR83" s="3481">
        <f>(CR81+CR7)-CR36</f>
        <v>-74318.698886314727</v>
      </c>
      <c r="CT83" s="2624"/>
    </row>
    <row r="84" spans="1:101" s="1396" customFormat="1" ht="14.4" outlineLevel="1" thickBot="1">
      <c r="A84" s="1405"/>
      <c r="B84" s="4653" t="s">
        <v>14</v>
      </c>
      <c r="C84" s="4472">
        <f>C83-C73-C82</f>
        <v>0</v>
      </c>
      <c r="D84" s="4472">
        <f>D83-D73-D82</f>
        <v>0</v>
      </c>
      <c r="E84" s="4472">
        <f>E83-E73-E82</f>
        <v>0</v>
      </c>
      <c r="F84" s="4594"/>
      <c r="G84" s="4654"/>
      <c r="H84" s="4472">
        <f>H83-H73-H82</f>
        <v>0</v>
      </c>
      <c r="I84" s="4472">
        <f>I83-I73-I82</f>
        <v>0</v>
      </c>
      <c r="J84" s="4472">
        <f>J83-J73-J82</f>
        <v>0</v>
      </c>
      <c r="K84" s="4594"/>
      <c r="L84" s="4654"/>
      <c r="M84" s="4472">
        <f>M83-M73-M82</f>
        <v>0</v>
      </c>
      <c r="N84" s="4472">
        <f>N83-N73-N82</f>
        <v>0</v>
      </c>
      <c r="O84" s="4472">
        <f>O83-O73-O82</f>
        <v>0</v>
      </c>
      <c r="P84" s="4594"/>
      <c r="Q84" s="4654"/>
      <c r="R84" s="4472">
        <f>R83-R73-R82</f>
        <v>0</v>
      </c>
      <c r="S84" s="4472">
        <f>S83-S73-S82</f>
        <v>0</v>
      </c>
      <c r="T84" s="4472">
        <f>T83-T73-T82</f>
        <v>0</v>
      </c>
      <c r="U84" s="4654"/>
      <c r="V84" s="4654"/>
      <c r="W84" s="4626">
        <f t="shared" ref="W84:X84" si="229">AB84+AG84+AL84+AV84+BA84+BF84+BK84+BP84+BU84+BZ84+CE84</f>
        <v>1095678.9408699521</v>
      </c>
      <c r="X84" s="4627">
        <f t="shared" si="229"/>
        <v>-366345.31</v>
      </c>
      <c r="Y84" s="4472">
        <f>Y83-Y73-Y82</f>
        <v>552354.60799231462</v>
      </c>
      <c r="Z84" s="4654"/>
      <c r="AA84" s="4654"/>
      <c r="AB84" s="4472">
        <f>AB83-AB73-AB82</f>
        <v>0</v>
      </c>
      <c r="AC84" s="4472">
        <f>AC83-AC73-AC82</f>
        <v>0</v>
      </c>
      <c r="AD84" s="4472">
        <f>AD83-AD73-AD82</f>
        <v>0</v>
      </c>
      <c r="AE84" s="4594"/>
      <c r="AF84" s="4654"/>
      <c r="AG84" s="4472">
        <f>AG83-AG73-AG82</f>
        <v>0</v>
      </c>
      <c r="AH84" s="4472">
        <f>AH83-AH73-AH82</f>
        <v>0</v>
      </c>
      <c r="AI84" s="4472">
        <f>AI83-AI73-AI82</f>
        <v>0</v>
      </c>
      <c r="AJ84" s="4594"/>
      <c r="AK84" s="4654"/>
      <c r="AL84" s="4472">
        <f>AL83-AL73-AL82</f>
        <v>-172186.38364622637</v>
      </c>
      <c r="AM84" s="4472">
        <f>AM83-AM73-AM82</f>
        <v>-217661.81</v>
      </c>
      <c r="AN84" s="4472">
        <f>AN83-AN73-AN82</f>
        <v>-389848.19364622643</v>
      </c>
      <c r="AO84" s="4594"/>
      <c r="AP84" s="4654"/>
      <c r="AQ84" s="4472">
        <f>AQ83-AQ73-AQ82</f>
        <v>119295.41712236271</v>
      </c>
      <c r="AR84" s="4472">
        <f>AR83-AR73-AR82</f>
        <v>-296274.44</v>
      </c>
      <c r="AS84" s="4472">
        <f>AS83-AS73-AS82</f>
        <v>-176979.0228776373</v>
      </c>
      <c r="AT84" s="4594"/>
      <c r="AU84" s="4684"/>
      <c r="AV84" s="4472">
        <f>AV83-AV73-AV82</f>
        <v>1231266.9545161782</v>
      </c>
      <c r="AW84" s="4472">
        <f>AW83-AW73-AW82</f>
        <v>-145864</v>
      </c>
      <c r="AX84" s="4472">
        <f>AX83-AX73-AX82</f>
        <v>1085402.9545161782</v>
      </c>
      <c r="AY84" s="4594"/>
      <c r="AZ84" s="4654"/>
      <c r="BA84" s="4472">
        <f>BA83-BA73-BA82</f>
        <v>36598.370000000003</v>
      </c>
      <c r="BB84" s="4472">
        <f>BB83-BB73-BB82</f>
        <v>-2819.5</v>
      </c>
      <c r="BC84" s="4472">
        <f>BC83-BC73-BC82</f>
        <v>33778.870000000003</v>
      </c>
      <c r="BD84" s="4594"/>
      <c r="BE84" s="4654"/>
      <c r="BF84" s="4472">
        <f>BF83-BF73-BF82</f>
        <v>0</v>
      </c>
      <c r="BG84" s="4472">
        <f>BG83-BG73-BG82</f>
        <v>0</v>
      </c>
      <c r="BH84" s="4472">
        <f>BH83-BH73-BH82</f>
        <v>0</v>
      </c>
      <c r="BI84" s="4594"/>
      <c r="BJ84" s="4654"/>
      <c r="BK84" s="4472">
        <f>BK83-BK73-BK82</f>
        <v>0</v>
      </c>
      <c r="BL84" s="4472">
        <f>BL83-BL73-BL82</f>
        <v>0</v>
      </c>
      <c r="BM84" s="4472">
        <f>BM83-BM73-BM82</f>
        <v>0</v>
      </c>
      <c r="BN84" s="4594"/>
      <c r="BO84" s="4654"/>
      <c r="BP84" s="4472">
        <f>BP83-BP73-BP82</f>
        <v>0</v>
      </c>
      <c r="BQ84" s="4472">
        <f>BQ83-BQ73-BQ82</f>
        <v>0</v>
      </c>
      <c r="BR84" s="4472">
        <f>BR83-BR73-BR82</f>
        <v>0</v>
      </c>
      <c r="BS84" s="4594"/>
      <c r="BT84" s="4654"/>
      <c r="BU84" s="4472">
        <f>BU83-BU73-BU82</f>
        <v>0</v>
      </c>
      <c r="BV84" s="4472">
        <f>BV83-BV73-BV82</f>
        <v>0</v>
      </c>
      <c r="BW84" s="4472">
        <f>BW83-BW73-BW82</f>
        <v>0</v>
      </c>
      <c r="BX84" s="4594"/>
      <c r="BY84" s="4654"/>
      <c r="BZ84" s="4472">
        <f>BZ83-BZ73-BZ82</f>
        <v>0</v>
      </c>
      <c r="CA84" s="4472">
        <f>CA83-CA73-CA82</f>
        <v>0</v>
      </c>
      <c r="CB84" s="4472">
        <f>CB83-CB73-CB82</f>
        <v>0</v>
      </c>
      <c r="CC84" s="4594"/>
      <c r="CD84" s="4654"/>
      <c r="CE84" s="4472">
        <f>CE83-CE73-CE82</f>
        <v>0</v>
      </c>
      <c r="CF84" s="4472">
        <f>CF83-CF73-CF82</f>
        <v>0</v>
      </c>
      <c r="CG84" s="4472">
        <f>CG83-CG73-CG82</f>
        <v>0</v>
      </c>
      <c r="CH84" s="4594"/>
      <c r="CI84" s="4654"/>
      <c r="CJ84" s="4624">
        <f t="shared" ref="CJ84:CK84" si="230">C84+H84+M84+W84</f>
        <v>1095678.9408699521</v>
      </c>
      <c r="CK84" s="4624">
        <f t="shared" si="230"/>
        <v>-366345.31</v>
      </c>
      <c r="CL84" s="4472">
        <f>CL83-CL73-CL82</f>
        <v>552354.60799231462</v>
      </c>
      <c r="CM84" s="4594"/>
      <c r="CN84" s="4594"/>
      <c r="CP84" s="3309">
        <f>CP83-CP73-CP82</f>
        <v>769543.09170600015</v>
      </c>
      <c r="CQ84" s="3484">
        <f>CQ83-CQ73-CQ82</f>
        <v>484107.47059231461</v>
      </c>
      <c r="CR84" s="3309">
        <f>CR83-CR73-CR82</f>
        <v>-74318.698886314727</v>
      </c>
      <c r="CT84" s="2624"/>
    </row>
    <row r="85" spans="1:101" s="1396" customFormat="1" ht="13.8" outlineLevel="3">
      <c r="A85" s="1565"/>
      <c r="B85" s="1403" t="s">
        <v>44</v>
      </c>
      <c r="C85" s="3341"/>
      <c r="D85" s="3341"/>
      <c r="E85" s="2012">
        <f>C85+D85*1.15</f>
        <v>0</v>
      </c>
      <c r="F85" s="3381"/>
      <c r="G85" s="3455"/>
      <c r="H85" s="3341"/>
      <c r="I85" s="3341"/>
      <c r="J85" s="2012">
        <f>H85+I85*1.15</f>
        <v>0</v>
      </c>
      <c r="K85" s="4428" t="e">
        <f t="shared" ref="K85" si="231">J85/J$89</f>
        <v>#DIV/0!</v>
      </c>
      <c r="L85" s="3455"/>
      <c r="M85" s="3341"/>
      <c r="N85" s="3341"/>
      <c r="O85" s="2012">
        <f>M85+N85*1.15</f>
        <v>0</v>
      </c>
      <c r="P85" s="4428" t="e">
        <f t="shared" ref="P85" si="232">O85/O$89</f>
        <v>#DIV/0!</v>
      </c>
      <c r="Q85" s="3455"/>
      <c r="R85" s="3342">
        <f t="shared" ref="R85:S85" si="233">M85+H85+C85</f>
        <v>0</v>
      </c>
      <c r="S85" s="3342">
        <f t="shared" si="233"/>
        <v>0</v>
      </c>
      <c r="T85" s="2012">
        <f t="shared" ref="T85" si="234">R85+S85</f>
        <v>0</v>
      </c>
      <c r="U85" s="3455"/>
      <c r="V85" s="3455"/>
      <c r="W85" s="3342">
        <f t="shared" ref="W85:X85" si="235">AB85+AG85+AL85+AV85+BA85+BF85+BK85+BP85+BU85+BZ85+CE85+AQ85</f>
        <v>0</v>
      </c>
      <c r="X85" s="3342">
        <f t="shared" si="235"/>
        <v>0</v>
      </c>
      <c r="Y85" s="2012">
        <f t="shared" ref="Y85" si="236">W85+X85</f>
        <v>0</v>
      </c>
      <c r="Z85" s="3455"/>
      <c r="AA85" s="3455"/>
      <c r="AB85" s="3341"/>
      <c r="AC85" s="3341"/>
      <c r="AD85" s="2012">
        <f>AB85+AC85*1.15</f>
        <v>0</v>
      </c>
      <c r="AE85" s="3381"/>
      <c r="AF85" s="3455"/>
      <c r="AG85" s="3341"/>
      <c r="AH85" s="3341"/>
      <c r="AI85" s="2012">
        <f>AG85+AH85*1.15</f>
        <v>0</v>
      </c>
      <c r="AJ85" s="3381"/>
      <c r="AK85" s="3455"/>
      <c r="AL85" s="3341"/>
      <c r="AM85" s="3341"/>
      <c r="AN85" s="2012">
        <f>AL85+AM85*1.15</f>
        <v>0</v>
      </c>
      <c r="AO85" s="3381"/>
      <c r="AP85" s="3455"/>
      <c r="AQ85" s="3341"/>
      <c r="AR85" s="3341"/>
      <c r="AS85" s="2012">
        <f>AQ85+AR85*1.15</f>
        <v>0</v>
      </c>
      <c r="AT85" s="3381"/>
      <c r="AU85" s="3727"/>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2124">
        <f>CN85+CO85*1.15</f>
        <v>0</v>
      </c>
      <c r="CQ85" s="2124">
        <f>CO85+CP85*1.15</f>
        <v>0</v>
      </c>
      <c r="CR85" s="2124"/>
      <c r="CT85" s="2624"/>
    </row>
    <row r="86" spans="1:101" s="1396" customFormat="1" ht="27.6">
      <c r="A86" s="1405"/>
      <c r="B86" s="4473" t="s">
        <v>50</v>
      </c>
      <c r="C86" s="4474">
        <f>C84-C85</f>
        <v>0</v>
      </c>
      <c r="D86" s="4474">
        <f>D84-D85</f>
        <v>0</v>
      </c>
      <c r="E86" s="4474">
        <f>E84-E85</f>
        <v>0</v>
      </c>
      <c r="F86" s="4475"/>
      <c r="G86" s="4476"/>
      <c r="H86" s="4474">
        <f>H84-H85</f>
        <v>0</v>
      </c>
      <c r="I86" s="4474">
        <f>I84-I85</f>
        <v>0</v>
      </c>
      <c r="J86" s="4474">
        <f>J84-J85</f>
        <v>0</v>
      </c>
      <c r="K86" s="4475"/>
      <c r="L86" s="4476"/>
      <c r="M86" s="4474">
        <f>M84-M85</f>
        <v>0</v>
      </c>
      <c r="N86" s="4474">
        <f>N84-N85</f>
        <v>0</v>
      </c>
      <c r="O86" s="4474">
        <f>O84-O85</f>
        <v>0</v>
      </c>
      <c r="P86" s="4475"/>
      <c r="Q86" s="4476"/>
      <c r="R86" s="4474">
        <f>R84-R85</f>
        <v>0</v>
      </c>
      <c r="S86" s="4474">
        <f>S84-S85</f>
        <v>0</v>
      </c>
      <c r="T86" s="4474">
        <f>T84-T85</f>
        <v>0</v>
      </c>
      <c r="U86" s="4476"/>
      <c r="V86" s="4476"/>
      <c r="W86" s="4474">
        <f>W84-W85</f>
        <v>1095678.9408699521</v>
      </c>
      <c r="X86" s="4474">
        <f>X84-X85</f>
        <v>-366345.31</v>
      </c>
      <c r="Y86" s="4474">
        <f>Y84-Y85</f>
        <v>552354.60799231462</v>
      </c>
      <c r="Z86" s="4476"/>
      <c r="AA86" s="4476"/>
      <c r="AB86" s="4474">
        <f>AB84-AB85</f>
        <v>0</v>
      </c>
      <c r="AC86" s="4474">
        <f>AC84-AC85</f>
        <v>0</v>
      </c>
      <c r="AD86" s="4474">
        <f>AD84-AD85</f>
        <v>0</v>
      </c>
      <c r="AE86" s="4475"/>
      <c r="AF86" s="4476"/>
      <c r="AG86" s="4474">
        <f>AG84-AG85</f>
        <v>0</v>
      </c>
      <c r="AH86" s="4474">
        <f>AH84-AH85</f>
        <v>0</v>
      </c>
      <c r="AI86" s="4474">
        <f>AI84-AI85</f>
        <v>0</v>
      </c>
      <c r="AJ86" s="4475"/>
      <c r="AK86" s="4476"/>
      <c r="AL86" s="4474">
        <f>AL84-AL85</f>
        <v>-172186.38364622637</v>
      </c>
      <c r="AM86" s="4474">
        <f>AM84-AM85</f>
        <v>-217661.81</v>
      </c>
      <c r="AN86" s="4474">
        <f>AN84-AN85</f>
        <v>-389848.19364622643</v>
      </c>
      <c r="AO86" s="4475"/>
      <c r="AP86" s="4476"/>
      <c r="AQ86" s="4474">
        <f>AQ84-AQ85</f>
        <v>119295.41712236271</v>
      </c>
      <c r="AR86" s="4474">
        <f>AR84-AR85</f>
        <v>-296274.44</v>
      </c>
      <c r="AS86" s="4474">
        <f>AS84-AS85</f>
        <v>-176979.0228776373</v>
      </c>
      <c r="AT86" s="4475"/>
      <c r="AU86" s="4685"/>
      <c r="AV86" s="4474">
        <f>AV84-AV85</f>
        <v>1231266.9545161782</v>
      </c>
      <c r="AW86" s="4474">
        <f>AW84-AW85</f>
        <v>-145864</v>
      </c>
      <c r="AX86" s="4474">
        <f>AX84-AX85</f>
        <v>1085402.9545161782</v>
      </c>
      <c r="AY86" s="4475"/>
      <c r="AZ86" s="4476"/>
      <c r="BA86" s="4474">
        <f>BA84-BA85</f>
        <v>36598.370000000003</v>
      </c>
      <c r="BB86" s="4474">
        <f>BB84-BB85</f>
        <v>-2819.5</v>
      </c>
      <c r="BC86" s="4474">
        <f>BC84-BC85</f>
        <v>33778.870000000003</v>
      </c>
      <c r="BD86" s="4475"/>
      <c r="BE86" s="4476"/>
      <c r="BF86" s="4474">
        <f>BF84-BF85</f>
        <v>0</v>
      </c>
      <c r="BG86" s="4474">
        <f>BG84-BG85</f>
        <v>0</v>
      </c>
      <c r="BH86" s="4474">
        <f>BH84-BH85</f>
        <v>0</v>
      </c>
      <c r="BI86" s="4475"/>
      <c r="BJ86" s="4476"/>
      <c r="BK86" s="4474">
        <f>BK84-BK85</f>
        <v>0</v>
      </c>
      <c r="BL86" s="4474">
        <f>BL84-BL85</f>
        <v>0</v>
      </c>
      <c r="BM86" s="4474">
        <f>BM84-BM85</f>
        <v>0</v>
      </c>
      <c r="BN86" s="4475"/>
      <c r="BO86" s="4476"/>
      <c r="BP86" s="4474">
        <f>BP84-BP85</f>
        <v>0</v>
      </c>
      <c r="BQ86" s="4474">
        <f>BQ84-BQ85</f>
        <v>0</v>
      </c>
      <c r="BR86" s="4474">
        <f>BR84-BR85</f>
        <v>0</v>
      </c>
      <c r="BS86" s="4475"/>
      <c r="BT86" s="4476"/>
      <c r="BU86" s="4474">
        <f>BU84-BU85</f>
        <v>0</v>
      </c>
      <c r="BV86" s="4474">
        <f>BV84-BV85</f>
        <v>0</v>
      </c>
      <c r="BW86" s="4474">
        <f>BW84-BW85</f>
        <v>0</v>
      </c>
      <c r="BX86" s="4475"/>
      <c r="BY86" s="4476"/>
      <c r="BZ86" s="4474">
        <f>BZ84-BZ85</f>
        <v>0</v>
      </c>
      <c r="CA86" s="4474">
        <f>CA84-CA85</f>
        <v>0</v>
      </c>
      <c r="CB86" s="4474">
        <f>CB84-CB85</f>
        <v>0</v>
      </c>
      <c r="CC86" s="4475"/>
      <c r="CD86" s="4476"/>
      <c r="CE86" s="4474">
        <f>CE84-CE85</f>
        <v>0</v>
      </c>
      <c r="CF86" s="4474">
        <f>CF84-CF85</f>
        <v>0</v>
      </c>
      <c r="CG86" s="4474">
        <f>CG84-CG85</f>
        <v>0</v>
      </c>
      <c r="CH86" s="4475"/>
      <c r="CI86" s="4476"/>
      <c r="CJ86" s="4474">
        <f>CJ84-CJ85</f>
        <v>1095678.9408699521</v>
      </c>
      <c r="CK86" s="4474">
        <f>CK84-CK85</f>
        <v>-366345.31</v>
      </c>
      <c r="CL86" s="3481">
        <f>CL84-CL85</f>
        <v>552354.60799231462</v>
      </c>
      <c r="CM86" s="4475"/>
      <c r="CN86" s="4475"/>
      <c r="CP86" s="3481">
        <f>CP84-CP85</f>
        <v>769543.09170600015</v>
      </c>
      <c r="CQ86" s="3481">
        <f>CQ84-CQ85</f>
        <v>484107.47059231461</v>
      </c>
      <c r="CR86" s="3481">
        <f>CQ86-CP86</f>
        <v>-285435.62111368554</v>
      </c>
      <c r="CT86" s="4616">
        <f>CR86/CP86</f>
        <v>-0.37091570854193923</v>
      </c>
      <c r="CW86" s="933"/>
    </row>
    <row r="87" spans="1:101" s="1396" customFormat="1" ht="14.4" thickBot="1">
      <c r="A87" s="1567"/>
      <c r="B87" s="4655" t="s">
        <v>51</v>
      </c>
      <c r="C87" s="4477">
        <f>IFERROR(C86/C5,0)</f>
        <v>0</v>
      </c>
      <c r="D87" s="4478">
        <f>IFERROR(D86/D5,0)</f>
        <v>0</v>
      </c>
      <c r="E87" s="4479">
        <f>IFERROR(E86/E5,0)</f>
        <v>0</v>
      </c>
      <c r="F87" s="4480"/>
      <c r="G87" s="4481"/>
      <c r="H87" s="4477">
        <f>IFERROR(H86/H5,0)</f>
        <v>0</v>
      </c>
      <c r="I87" s="4478">
        <f>IFERROR(I86/I5,0)</f>
        <v>0</v>
      </c>
      <c r="J87" s="4479">
        <f>IFERROR(J86/J5,0)</f>
        <v>0</v>
      </c>
      <c r="K87" s="4480"/>
      <c r="L87" s="4481"/>
      <c r="M87" s="4477">
        <f>IFERROR(M86/M5,0)</f>
        <v>0</v>
      </c>
      <c r="N87" s="4478">
        <f>IFERROR(N86/N5,0)</f>
        <v>0</v>
      </c>
      <c r="O87" s="4479">
        <f>IFERROR(O86/O5,0)</f>
        <v>0</v>
      </c>
      <c r="P87" s="4480"/>
      <c r="Q87" s="4481"/>
      <c r="R87" s="4482"/>
      <c r="S87" s="4482"/>
      <c r="T87" s="4482"/>
      <c r="U87" s="4482"/>
      <c r="V87" s="4482"/>
      <c r="W87" s="4482"/>
      <c r="X87" s="4482"/>
      <c r="Y87" s="4482"/>
      <c r="Z87" s="4482"/>
      <c r="AA87" s="4482"/>
      <c r="AB87" s="4477">
        <f>IFERROR(AB86/AB5,0)</f>
        <v>0</v>
      </c>
      <c r="AC87" s="4478">
        <f>IFERROR(AC86/AC5,0)</f>
        <v>0</v>
      </c>
      <c r="AD87" s="4479">
        <f>IFERROR(AD86/AD5,0)</f>
        <v>0</v>
      </c>
      <c r="AE87" s="4480"/>
      <c r="AF87" s="4481"/>
      <c r="AG87" s="4477">
        <f>IFERROR(AG86/AG5,0)</f>
        <v>0</v>
      </c>
      <c r="AH87" s="4478">
        <f>IFERROR(AH86/AH5,0)</f>
        <v>0</v>
      </c>
      <c r="AI87" s="4479">
        <f>IFERROR(AI86/AI5,0)</f>
        <v>0</v>
      </c>
      <c r="AJ87" s="4480"/>
      <c r="AK87" s="4481"/>
      <c r="AL87" s="4477">
        <f>IFERROR(AL86/AL5,0)</f>
        <v>-16.398703204402512</v>
      </c>
      <c r="AM87" s="4478">
        <f>IFERROR(AM86/AM5,0)</f>
        <v>0</v>
      </c>
      <c r="AN87" s="4479">
        <f>IFERROR(AN86/AN5,0)</f>
        <v>-37.128399394878706</v>
      </c>
      <c r="AO87" s="4480"/>
      <c r="AP87" s="4481"/>
      <c r="AQ87" s="4477">
        <f>IFERROR(AQ86/AQ5,0)</f>
        <v>0.29979783632229445</v>
      </c>
      <c r="AR87" s="4478">
        <f>IFERROR(AR86/AR5,0)</f>
        <v>0</v>
      </c>
      <c r="AS87" s="4479">
        <f>IFERROR(AS86/AS5,0)</f>
        <v>-0.44476082495882779</v>
      </c>
      <c r="AT87" s="4480"/>
      <c r="AU87" s="4686"/>
      <c r="AV87" s="4477">
        <f>IFERROR(AV86/AV5,0)</f>
        <v>0.74302160370885351</v>
      </c>
      <c r="AW87" s="4478">
        <f>IFERROR(AW86/AW5,0)</f>
        <v>0</v>
      </c>
      <c r="AX87" s="4479">
        <f>IFERROR(AX86/AX5,0)</f>
        <v>0.65499836650114673</v>
      </c>
      <c r="AY87" s="4480"/>
      <c r="AZ87" s="4481"/>
      <c r="BA87" s="4477">
        <f>IFERROR(BA86/BA5,0)</f>
        <v>0.91495925000000011</v>
      </c>
      <c r="BB87" s="4478">
        <f>IFERROR(BB86/BB5,0)</f>
        <v>0</v>
      </c>
      <c r="BC87" s="4479">
        <f>IFERROR(BC86/BC5,0)</f>
        <v>0.84447175000000008</v>
      </c>
      <c r="BD87" s="4480"/>
      <c r="BE87" s="4481"/>
      <c r="BF87" s="4477">
        <f>IFERROR(BF86/BF5,0)</f>
        <v>0</v>
      </c>
      <c r="BG87" s="4478">
        <f>IFERROR(BG86/BG5,0)</f>
        <v>0</v>
      </c>
      <c r="BH87" s="4479">
        <f>IFERROR(BH86/BH5,0)</f>
        <v>0</v>
      </c>
      <c r="BI87" s="4480"/>
      <c r="BJ87" s="4481"/>
      <c r="BK87" s="4477">
        <f>IFERROR(BK86/BK5,0)</f>
        <v>0</v>
      </c>
      <c r="BL87" s="4478">
        <f>IFERROR(BL86/BL5,0)</f>
        <v>0</v>
      </c>
      <c r="BM87" s="4479">
        <f>IFERROR(BM86/BM5,0)</f>
        <v>0</v>
      </c>
      <c r="BN87" s="4480"/>
      <c r="BO87" s="4481"/>
      <c r="BP87" s="4477">
        <f>IFERROR(BP86/BP5,0)</f>
        <v>0</v>
      </c>
      <c r="BQ87" s="4478">
        <f>IFERROR(BQ86/BQ5,0)</f>
        <v>0</v>
      </c>
      <c r="BR87" s="4479">
        <f>IFERROR(BR86/BR5,0)</f>
        <v>0</v>
      </c>
      <c r="BS87" s="4480"/>
      <c r="BT87" s="4481"/>
      <c r="BU87" s="4477">
        <f>IFERROR(BU86/BU5,0)</f>
        <v>0</v>
      </c>
      <c r="BV87" s="4478">
        <f>IFERROR(BV86/BV5,0)</f>
        <v>0</v>
      </c>
      <c r="BW87" s="4479">
        <f>IFERROR(BW86/BW5,0)</f>
        <v>0</v>
      </c>
      <c r="BX87" s="4480"/>
      <c r="BY87" s="4481"/>
      <c r="BZ87" s="4477">
        <f>IFERROR(BZ86/BZ5,0)</f>
        <v>0</v>
      </c>
      <c r="CA87" s="4478">
        <f>IFERROR(CA86/CA5,0)</f>
        <v>0</v>
      </c>
      <c r="CB87" s="4479">
        <f>IFERROR(CB86/CB5,0)</f>
        <v>0</v>
      </c>
      <c r="CC87" s="4480"/>
      <c r="CD87" s="4481"/>
      <c r="CE87" s="4477">
        <f>IFERROR(CE86/CE5,0)</f>
        <v>0</v>
      </c>
      <c r="CF87" s="4478">
        <f>IFERROR(CF86/CF5,0)</f>
        <v>0</v>
      </c>
      <c r="CG87" s="4479">
        <f>IFERROR(CG86/CG5,0)</f>
        <v>0</v>
      </c>
      <c r="CH87" s="4480"/>
      <c r="CI87" s="4481"/>
      <c r="CJ87" s="4477">
        <f>IFERROR(CJ86/CJ5,0)</f>
        <v>0.52038217620075078</v>
      </c>
      <c r="CK87" s="4478">
        <f>IFERROR(CK86/CK5,0)</f>
        <v>0</v>
      </c>
      <c r="CL87" s="4479">
        <f>IFERROR(CL86/CL5,0)</f>
        <v>0.26233550926271698</v>
      </c>
      <c r="CM87" s="4480"/>
      <c r="CN87" s="4480"/>
      <c r="CP87" s="4479">
        <f>CP86/CP5</f>
        <v>0.33672072701718314</v>
      </c>
      <c r="CQ87" s="4687">
        <f>IFERROR(CQ86/CQ5,0)</f>
        <v>0.22992218766370406</v>
      </c>
      <c r="CR87" s="4479"/>
      <c r="CT87" s="2624"/>
    </row>
    <row r="88" spans="1:101"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1611"/>
      <c r="AG88" s="1954"/>
      <c r="AH88" s="1954"/>
      <c r="AI88" s="1954"/>
      <c r="AJ88" s="1954"/>
      <c r="AK88" s="1611"/>
      <c r="AL88" s="1954"/>
      <c r="AM88" s="1954"/>
      <c r="AN88" s="1954"/>
      <c r="AO88" s="1954"/>
      <c r="AP88" s="1611"/>
      <c r="AQ88" s="1954"/>
      <c r="AR88" s="1954"/>
      <c r="AS88" s="1954"/>
      <c r="AT88" s="1954"/>
      <c r="AU88" s="3729"/>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1954"/>
      <c r="CQ88" s="1954"/>
      <c r="CR88" s="1954"/>
    </row>
    <row r="89" spans="1:101">
      <c r="B89" s="1562" t="s">
        <v>56</v>
      </c>
      <c r="E89" s="1960">
        <f>E8+E36+E41+E50+E54+E73+E79+E82+E85</f>
        <v>0</v>
      </c>
      <c r="G89" s="1963"/>
      <c r="J89" s="1960">
        <f>J8+J36+J41+J50+J54+J73+J79+J82+J85</f>
        <v>0</v>
      </c>
      <c r="L89" s="1963"/>
      <c r="O89" s="1960">
        <f>O8+O36+O41+O50+O54+O73+O79+O82+O85</f>
        <v>0</v>
      </c>
      <c r="Q89" s="1963"/>
      <c r="R89" s="1963"/>
      <c r="S89" s="1963"/>
      <c r="T89" s="1960">
        <f>T8+T36+T41+T50+T54+T73+T79+T82+T85</f>
        <v>0</v>
      </c>
      <c r="U89" s="1963"/>
      <c r="V89" s="1963"/>
      <c r="W89" s="1963"/>
      <c r="X89" s="1963"/>
      <c r="Y89" s="1960">
        <f>Y8+Y36+Y41+Y50+Y54+Y73+Y79+Y82+Y85</f>
        <v>1553172.8120076852</v>
      </c>
      <c r="Z89" s="1963"/>
      <c r="AA89" s="1963"/>
      <c r="AD89" s="1960">
        <f>AD8+AD36+AD41+AD50+AD54+AD73+AD79+AD82+AD85</f>
        <v>0</v>
      </c>
      <c r="AF89" s="1963"/>
      <c r="AI89" s="1960">
        <f>AI8+AI36+AI41+AI50+AI54+AI73+AI79+AI82+AI85</f>
        <v>0</v>
      </c>
      <c r="AK89" s="1963"/>
      <c r="AN89" s="1960">
        <f>AN8+AN36+AN41+AN50+AN54+AN73+AN79+AN82+AN85</f>
        <v>400348.19364622643</v>
      </c>
      <c r="AP89" s="1963"/>
      <c r="AS89" s="1960">
        <f>AS8+AS36+AS41+AS50+AS54+AS73+AS79+AS82+AS85</f>
        <v>574898.56287763733</v>
      </c>
      <c r="AX89" s="1960">
        <f>AX8+AX36+AX41+AX50+AX54+AX73+AX79+AX82+AX85</f>
        <v>571704.92548382154</v>
      </c>
      <c r="AZ89" s="1963"/>
      <c r="BC89" s="1960">
        <f>BC8+BC36+BC41+BC50+BC54+BC73+BC79+BC82+BC85</f>
        <v>6221.13</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1553172.8120076852</v>
      </c>
    </row>
    <row r="90" spans="1:101" ht="15" hidden="1" outlineLevel="1">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1963"/>
      <c r="AC90" s="1963"/>
      <c r="AD90" s="1963"/>
      <c r="AE90" s="1963"/>
      <c r="AF90" s="1963"/>
      <c r="AG90" s="1963"/>
      <c r="AH90" s="1963"/>
      <c r="AI90" s="1963"/>
      <c r="AJ90" s="1963"/>
      <c r="AK90" s="1963"/>
      <c r="AL90" s="1963"/>
      <c r="AM90" s="1963"/>
      <c r="AN90" s="1963"/>
      <c r="AO90" s="1963"/>
      <c r="AP90" s="1963"/>
      <c r="AR90" s="5181"/>
      <c r="AS90" s="5181"/>
      <c r="AT90" s="5181"/>
      <c r="AU90" s="5181"/>
      <c r="AV90" s="1963"/>
      <c r="AW90" s="1963"/>
      <c r="AX90" s="1963"/>
      <c r="AY90" s="1963"/>
      <c r="AZ90" s="1963" t="s">
        <v>2107</v>
      </c>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t="b">
        <f>J89+O89+E89+Y89=CL89</f>
        <v>1</v>
      </c>
    </row>
    <row r="91" spans="1:101" s="1396" customFormat="1" hidden="1" outlineLevel="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963"/>
      <c r="AG91" s="1963"/>
      <c r="AH91" s="1963"/>
      <c r="AI91" s="1963"/>
      <c r="AJ91" s="1963"/>
      <c r="AK91" s="1963"/>
      <c r="AL91" s="1963"/>
      <c r="AM91" s="1963"/>
      <c r="AN91" s="1963"/>
      <c r="AO91" s="1963"/>
      <c r="AP91" s="1963"/>
      <c r="AR91" s="1952"/>
      <c r="AS91" s="1952"/>
      <c r="AT91" s="4688">
        <v>327145.93</v>
      </c>
      <c r="AU91" s="4689" t="s">
        <v>2108</v>
      </c>
      <c r="AV91" s="1963"/>
      <c r="AW91" s="1963"/>
      <c r="AX91" s="1963"/>
      <c r="AY91" s="4688">
        <v>418537.66</v>
      </c>
      <c r="AZ91" s="4689" t="s">
        <v>2109</v>
      </c>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K91" s="1952"/>
      <c r="CL91" s="1952"/>
      <c r="CM91" s="1952"/>
      <c r="CN91" s="1952"/>
      <c r="CP91" s="1952"/>
      <c r="CQ91" s="1952"/>
      <c r="CR91" s="1952"/>
      <c r="CT91" s="2624"/>
    </row>
    <row r="92" spans="1:101" hidden="1" outlineLevel="1">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P92" s="1963"/>
      <c r="AQ92" s="1396"/>
      <c r="AT92" s="4688">
        <v>67466.33</v>
      </c>
      <c r="AU92" s="4689" t="s">
        <v>2110</v>
      </c>
      <c r="AV92" s="1963"/>
      <c r="AW92" s="1963"/>
      <c r="AX92" s="1963"/>
      <c r="AY92" s="4688">
        <v>122216.93</v>
      </c>
      <c r="AZ92" s="4689" t="s">
        <v>2111</v>
      </c>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1" s="1396" customFormat="1" hidden="1" outlineLevel="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963"/>
      <c r="AG93" s="1963"/>
      <c r="AH93" s="1963"/>
      <c r="AI93" s="1963"/>
      <c r="AJ93" s="1963"/>
      <c r="AK93" s="1963"/>
      <c r="AL93" s="1963"/>
      <c r="AM93" s="1963"/>
      <c r="AN93" s="1963"/>
      <c r="AO93" s="1963"/>
      <c r="AP93" s="1963"/>
      <c r="AR93" s="1952"/>
      <c r="AS93" s="1952"/>
      <c r="AT93" s="4688">
        <v>3307.28</v>
      </c>
      <c r="AU93" s="4689" t="s">
        <v>2112</v>
      </c>
      <c r="AV93" s="1963"/>
      <c r="AW93" s="1963"/>
      <c r="AX93" s="1963"/>
      <c r="AY93" s="4688">
        <v>459424.54</v>
      </c>
      <c r="AZ93" s="4689" t="s">
        <v>2113</v>
      </c>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K93" s="1952"/>
      <c r="CL93" s="687"/>
      <c r="CM93" s="1952"/>
      <c r="CN93" s="1952"/>
      <c r="CP93" s="1952"/>
      <c r="CQ93" s="1952"/>
      <c r="CR93" s="1952"/>
      <c r="CT93" s="2624"/>
    </row>
    <row r="94" spans="1:101" s="1396" customFormat="1" hidden="1" outlineLevel="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963"/>
      <c r="AR94" s="1952"/>
      <c r="AS94" s="1952"/>
      <c r="AT94" s="756">
        <f>SUM(AT91:AT93)</f>
        <v>397919.54000000004</v>
      </c>
      <c r="AU94" s="1952"/>
      <c r="AV94" s="1963"/>
      <c r="AW94" s="1963"/>
      <c r="AX94" s="1963"/>
      <c r="AY94" s="4688">
        <v>130519.74</v>
      </c>
      <c r="AZ94" s="4689" t="s">
        <v>2114</v>
      </c>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K94" s="1952"/>
      <c r="CL94" s="1952"/>
      <c r="CM94" s="1952"/>
      <c r="CN94" s="1952"/>
      <c r="CP94" s="1952"/>
      <c r="CQ94" s="1952"/>
      <c r="CR94" s="1952"/>
      <c r="CT94" s="2624"/>
    </row>
    <row r="95" spans="1:101" s="1396" customFormat="1" hidden="1" outlineLevel="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963"/>
      <c r="AR95" s="1952"/>
      <c r="AS95" s="1952"/>
      <c r="AT95" s="1952"/>
      <c r="AU95" s="1952"/>
      <c r="AV95" s="1963"/>
      <c r="AW95" s="1963"/>
      <c r="AX95" s="1963"/>
      <c r="AY95" s="4688">
        <v>5555.26</v>
      </c>
      <c r="AZ95" s="4689" t="s">
        <v>2115</v>
      </c>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K95" s="1952"/>
      <c r="CL95" s="1952"/>
      <c r="CM95" s="1952"/>
      <c r="CN95" s="1952"/>
      <c r="CP95" s="1952"/>
      <c r="CQ95" s="1952"/>
      <c r="CR95" s="1952"/>
      <c r="CT95" s="2624"/>
    </row>
    <row r="96" spans="1:101" s="1396" customFormat="1" hidden="1" outlineLevel="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963"/>
      <c r="AQ96" s="1963"/>
      <c r="AR96" s="1952"/>
      <c r="AS96" s="1952"/>
      <c r="AT96" s="1952"/>
      <c r="AU96" s="1952"/>
      <c r="AV96" s="1963"/>
      <c r="AW96" s="1963"/>
      <c r="AX96" s="1963"/>
      <c r="AY96" s="4688">
        <v>67404.44</v>
      </c>
      <c r="AZ96" s="4689" t="s">
        <v>2116</v>
      </c>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K96" s="1952"/>
      <c r="CL96" s="1952"/>
      <c r="CM96" s="1952"/>
      <c r="CN96" s="1952"/>
      <c r="CP96" s="1952"/>
      <c r="CQ96" s="1952"/>
      <c r="CR96" s="1952"/>
      <c r="CT96" s="2624"/>
    </row>
    <row r="97" spans="1:98" ht="27.6" hidden="1" customHeight="1" outlineLevel="1">
      <c r="B97" s="1655"/>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1963"/>
      <c r="AH97" s="1963"/>
      <c r="AI97" s="1963"/>
      <c r="AJ97" s="1963"/>
      <c r="AK97" s="1963"/>
      <c r="AL97" s="1963"/>
      <c r="AM97" s="1963"/>
      <c r="AN97" s="1963"/>
      <c r="AO97" s="1963"/>
      <c r="AP97" s="1963"/>
      <c r="AQ97" s="1963"/>
      <c r="AU97" s="1952"/>
      <c r="AV97" s="1963"/>
      <c r="AW97" s="1963"/>
      <c r="AX97" s="1963"/>
      <c r="AY97" s="4688">
        <v>22498.76</v>
      </c>
      <c r="AZ97" s="4689" t="s">
        <v>2117</v>
      </c>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98" s="1396" customFormat="1" hidden="1" outlineLevel="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952"/>
      <c r="AQ98" s="1952"/>
      <c r="AR98" s="1952"/>
      <c r="AS98" s="1952"/>
      <c r="AT98" s="1952"/>
      <c r="AU98" s="1952"/>
      <c r="AV98" s="1952"/>
      <c r="AW98" s="1963"/>
      <c r="AX98" s="1963"/>
      <c r="AY98" s="4688">
        <v>183918.41</v>
      </c>
      <c r="AZ98" s="4689" t="s">
        <v>2118</v>
      </c>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1952"/>
      <c r="CQ98" s="1952"/>
      <c r="CR98" s="1952"/>
      <c r="CT98" s="2624"/>
    </row>
    <row r="99" spans="1:98" hidden="1" outlineLevel="1" collapsed="1">
      <c r="AW99" s="1963"/>
      <c r="AX99" s="1963"/>
      <c r="AY99" s="4688">
        <v>227119.64</v>
      </c>
      <c r="AZ99" s="4689" t="s">
        <v>2119</v>
      </c>
    </row>
    <row r="100" spans="1:98" ht="13.8" hidden="1" outlineLevel="1" thickBot="1">
      <c r="AW100" s="1963"/>
      <c r="AX100" s="1963"/>
      <c r="AY100" s="4690">
        <v>16800</v>
      </c>
      <c r="AZ100" s="4691" t="s">
        <v>2120</v>
      </c>
    </row>
    <row r="101" spans="1:98" hidden="1" outlineLevel="1">
      <c r="AY101" s="756">
        <f>SUM(AY91:AY100)</f>
        <v>1653995.38</v>
      </c>
    </row>
    <row r="102" spans="1:98" collapsed="1"/>
  </sheetData>
  <mergeCells count="26">
    <mergeCell ref="CP9:CP11"/>
    <mergeCell ref="CT9:CT11"/>
    <mergeCell ref="AR90:AU90"/>
    <mergeCell ref="CR9:CR11"/>
    <mergeCell ref="W2:AA3"/>
    <mergeCell ref="CJ2:CN3"/>
    <mergeCell ref="CP2:CR3"/>
    <mergeCell ref="BZ2:CD3"/>
    <mergeCell ref="CE2:CI3"/>
    <mergeCell ref="AG2:AK3"/>
    <mergeCell ref="AL2:AP3"/>
    <mergeCell ref="AQ2:AU3"/>
    <mergeCell ref="AV2:AZ3"/>
    <mergeCell ref="BA2:BE3"/>
    <mergeCell ref="A42:A48"/>
    <mergeCell ref="BF2:BJ3"/>
    <mergeCell ref="BK2:BO3"/>
    <mergeCell ref="BP2:BT3"/>
    <mergeCell ref="BU2:BY3"/>
    <mergeCell ref="AB2:AF3"/>
    <mergeCell ref="A2:B2"/>
    <mergeCell ref="C2:G3"/>
    <mergeCell ref="H2:L3"/>
    <mergeCell ref="M2:Q3"/>
    <mergeCell ref="R2:V3"/>
    <mergeCell ref="A3:B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Z98"/>
  <sheetViews>
    <sheetView showZeros="0" zoomScale="85" zoomScaleNormal="85" workbookViewId="0">
      <pane xSplit="2" ySplit="5" topLeftCell="BA63" activePane="bottomRight" state="frozen"/>
      <selection activeCell="Y90" sqref="Y90"/>
      <selection pane="topRight" activeCell="Y90" sqref="Y90"/>
      <selection pane="bottomLeft" activeCell="Y90" sqref="Y90"/>
      <selection pane="bottomRight" sqref="A1:XFD1048576"/>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hidden="1" customWidth="1" outlineLevel="1" collapsed="1"/>
    <col min="19" max="22" width="13.44140625" style="1952" hidden="1" customWidth="1" outlineLevel="1"/>
    <col min="23" max="23" width="13.44140625" style="1952" customWidth="1" collapsed="1"/>
    <col min="24" max="27" width="13.44140625" style="1952" customWidth="1"/>
    <col min="28" max="31" width="12.88671875" style="1952" hidden="1" customWidth="1" outlineLevel="1"/>
    <col min="32" max="32" width="29.33203125" style="1952" hidden="1" customWidth="1" outlineLevel="1"/>
    <col min="33" max="33" width="12.88671875" style="1952" hidden="1" customWidth="1" outlineLevel="1" collapsed="1"/>
    <col min="34" max="36" width="12.88671875" style="1952" hidden="1" customWidth="1" outlineLevel="1"/>
    <col min="37" max="37" width="26.109375" style="1952" hidden="1" customWidth="1" outlineLevel="1"/>
    <col min="38" max="38" width="12.88671875" style="1952" hidden="1" customWidth="1" outlineLevel="1" collapsed="1"/>
    <col min="39" max="41" width="12.88671875" style="1952" hidden="1" customWidth="1" outlineLevel="1"/>
    <col min="42" max="42" width="30.109375" style="1952" hidden="1" customWidth="1" outlineLevel="1"/>
    <col min="43" max="43" width="12.88671875" style="1952" hidden="1" customWidth="1" outlineLevel="1" collapsed="1"/>
    <col min="44" max="46" width="12.88671875" style="1952" hidden="1" customWidth="1" outlineLevel="1"/>
    <col min="47" max="47" width="31.21875" style="1952" hidden="1" customWidth="1" outlineLevel="1"/>
    <col min="48" max="48" width="12.88671875" style="1952" customWidth="1" collapsed="1"/>
    <col min="49" max="51" width="12.88671875" style="1952" customWidth="1"/>
    <col min="52" max="52" width="31.21875" style="1952" customWidth="1"/>
    <col min="53" max="56" width="12.88671875" style="1952" customWidth="1"/>
    <col min="57" max="57" width="26.109375" style="1952" customWidth="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14.33203125" style="1952" customWidth="1"/>
    <col min="93" max="93" width="2.88671875" style="1395"/>
    <col min="94" max="95" width="12.88671875" style="1952" customWidth="1"/>
    <col min="96" max="96" width="14.5546875" style="1952" customWidth="1"/>
    <col min="97" max="98" width="12.88671875" style="1952" hidden="1" customWidth="1" outlineLevel="1"/>
    <col min="99" max="99" width="14.5546875" style="1952" hidden="1" customWidth="1" outlineLevel="1"/>
    <col min="100" max="100" width="2.88671875" style="1395" hidden="1" customWidth="1" outlineLevel="1"/>
    <col min="101" max="101" width="11.6640625" style="1522" hidden="1" customWidth="1" outlineLevel="1"/>
    <col min="102" max="102" width="8.33203125" style="1395" hidden="1" customWidth="1" outlineLevel="1"/>
    <col min="103" max="103" width="8.44140625" style="1395" hidden="1" customWidth="1" outlineLevel="1"/>
    <col min="104" max="104" width="7.6640625" style="1395" bestFit="1" customWidth="1" collapsed="1"/>
    <col min="105" max="16384" width="2.88671875" style="1395"/>
  </cols>
  <sheetData>
    <row r="1" spans="1:102" ht="13.8" thickBot="1"/>
    <row r="2" spans="1:102" ht="13.8">
      <c r="A2" s="4834" t="s">
        <v>1880</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2161</v>
      </c>
      <c r="CK2" s="4875"/>
      <c r="CL2" s="4875"/>
      <c r="CM2" s="4875"/>
      <c r="CN2" s="4876"/>
      <c r="CP2" s="5168" t="s">
        <v>1881</v>
      </c>
      <c r="CQ2" s="5169"/>
      <c r="CR2" s="5170"/>
      <c r="CS2" s="5168" t="s">
        <v>2121</v>
      </c>
      <c r="CT2" s="5169"/>
      <c r="CU2" s="5170"/>
    </row>
    <row r="3" spans="1:102"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71"/>
      <c r="CQ3" s="5172"/>
      <c r="CR3" s="5173"/>
      <c r="CS3" s="5171"/>
      <c r="CT3" s="5172"/>
      <c r="CU3" s="5173"/>
    </row>
    <row r="4" spans="1:102"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1474" t="s">
        <v>1850</v>
      </c>
      <c r="CQ4" s="1474" t="s">
        <v>2148</v>
      </c>
      <c r="CR4" s="1474" t="s">
        <v>1826</v>
      </c>
      <c r="CS4" s="1474" t="s">
        <v>1850</v>
      </c>
      <c r="CT4" s="1474" t="s">
        <v>2080</v>
      </c>
      <c r="CU4" s="1474" t="s">
        <v>1826</v>
      </c>
    </row>
    <row r="5" spans="1:102"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1045240</v>
      </c>
      <c r="X5" s="1466">
        <f>X6</f>
        <v>0</v>
      </c>
      <c r="Y5" s="1466">
        <f>Y6+Y7</f>
        <v>1045240</v>
      </c>
      <c r="Z5" s="1466"/>
      <c r="AA5" s="1466"/>
      <c r="AB5" s="1466">
        <f>AB6</f>
        <v>0</v>
      </c>
      <c r="AC5" s="1466">
        <f>AC6</f>
        <v>0</v>
      </c>
      <c r="AD5" s="1466">
        <f>AD6+AD7</f>
        <v>0</v>
      </c>
      <c r="AE5" s="1466"/>
      <c r="AF5" s="1466"/>
      <c r="AG5" s="1466">
        <f>AG6</f>
        <v>0</v>
      </c>
      <c r="AH5" s="1466">
        <f>AH6</f>
        <v>0</v>
      </c>
      <c r="AI5" s="1466">
        <f>AI6+AI7</f>
        <v>0</v>
      </c>
      <c r="AJ5" s="1466"/>
      <c r="AK5" s="1466"/>
      <c r="AL5" s="1466">
        <f>AL6</f>
        <v>0</v>
      </c>
      <c r="AM5" s="1466">
        <f>AM6</f>
        <v>0</v>
      </c>
      <c r="AN5" s="1466">
        <f>AN6+AN7</f>
        <v>0</v>
      </c>
      <c r="AO5" s="1466"/>
      <c r="AP5" s="1466"/>
      <c r="AQ5" s="1466">
        <f>AQ6</f>
        <v>907200</v>
      </c>
      <c r="AR5" s="1466">
        <f>AR6</f>
        <v>0</v>
      </c>
      <c r="AS5" s="1466">
        <f>AS6+AS7</f>
        <v>907200</v>
      </c>
      <c r="AT5" s="1466"/>
      <c r="AU5" s="1466"/>
      <c r="AV5" s="1466">
        <f>AV6</f>
        <v>138040</v>
      </c>
      <c r="AW5" s="1466">
        <f>AW6</f>
        <v>0</v>
      </c>
      <c r="AX5" s="1466">
        <f>AX6+AX7</f>
        <v>138040</v>
      </c>
      <c r="AY5" s="1466"/>
      <c r="AZ5" s="1466"/>
      <c r="BA5" s="1466">
        <f>BA6</f>
        <v>0</v>
      </c>
      <c r="BB5" s="1466">
        <f>BB6</f>
        <v>0</v>
      </c>
      <c r="BC5" s="1466">
        <f>BC6+BC7</f>
        <v>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1045240</v>
      </c>
      <c r="CK5" s="1466">
        <f>CK6</f>
        <v>0</v>
      </c>
      <c r="CL5" s="1466">
        <f>CL6</f>
        <v>1045240</v>
      </c>
      <c r="CM5" s="1466"/>
      <c r="CN5" s="1466"/>
      <c r="CP5" s="1955">
        <f>CP6</f>
        <v>1045240</v>
      </c>
      <c r="CQ5" s="1955">
        <f>CQ6</f>
        <v>1045240</v>
      </c>
      <c r="CR5" s="3440">
        <f>CR6</f>
        <v>0</v>
      </c>
      <c r="CS5" s="1955">
        <f>CS6</f>
        <v>138040</v>
      </c>
      <c r="CT5" s="1955">
        <f>CT6</f>
        <v>138040</v>
      </c>
      <c r="CU5" s="3440"/>
      <c r="CW5" s="2624"/>
    </row>
    <row r="6" spans="1:102" s="1396" customFormat="1" ht="27.6"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1045240</v>
      </c>
      <c r="X6" s="3342">
        <f>AC6+AH6+AM6+AW6+BB6+BG6+BL6+BQ6+BV6+CA6+CF6+AR6</f>
        <v>0</v>
      </c>
      <c r="Y6" s="2012">
        <f t="shared" ref="Y6:Y7" si="3">W6+X6</f>
        <v>1045240</v>
      </c>
      <c r="Z6" s="3342"/>
      <c r="AA6" s="3342"/>
      <c r="AB6" s="3341"/>
      <c r="AC6" s="3341"/>
      <c r="AD6" s="2012">
        <f t="shared" ref="AD6:AD7" si="4">AB6+AC6</f>
        <v>0</v>
      </c>
      <c r="AE6" s="3341"/>
      <c r="AF6" s="3342"/>
      <c r="AG6" s="3341"/>
      <c r="AH6" s="3341"/>
      <c r="AI6" s="2012">
        <f t="shared" ref="AI6:AI7" si="5">AG6+AH6</f>
        <v>0</v>
      </c>
      <c r="AJ6" s="3341"/>
      <c r="AK6" s="3342"/>
      <c r="AL6" s="3341"/>
      <c r="AM6" s="3341"/>
      <c r="AN6" s="2012">
        <f t="shared" ref="AN6:AN7" si="6">AL6+AM6</f>
        <v>0</v>
      </c>
      <c r="AO6" s="3341"/>
      <c r="AP6" s="3342"/>
      <c r="AQ6" s="3341">
        <v>907200</v>
      </c>
      <c r="AR6" s="3341"/>
      <c r="AS6" s="2012">
        <f t="shared" ref="AS6:AS7" si="7">AQ6+AR6</f>
        <v>907200</v>
      </c>
      <c r="AT6" s="3341"/>
      <c r="AU6" s="3342" t="s">
        <v>2062</v>
      </c>
      <c r="AV6" s="3341">
        <v>138040</v>
      </c>
      <c r="AW6" s="3341"/>
      <c r="AX6" s="2012">
        <f t="shared" ref="AX6:AX7" si="8">AV6+AW6</f>
        <v>138040</v>
      </c>
      <c r="AY6" s="3341"/>
      <c r="AZ6" s="3342" t="s">
        <v>2085</v>
      </c>
      <c r="BA6" s="3341"/>
      <c r="BB6" s="3341"/>
      <c r="BC6" s="2012">
        <f t="shared" ref="BC6:BC7" si="9">BA6+BB6</f>
        <v>0</v>
      </c>
      <c r="BD6" s="3341"/>
      <c r="BE6" s="3342"/>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f>
        <v>1045240</v>
      </c>
      <c r="CK6" s="3341">
        <f>D6+I6+N6+X6</f>
        <v>0</v>
      </c>
      <c r="CL6" s="2012">
        <f>CJ6+CK6</f>
        <v>1045240</v>
      </c>
      <c r="CM6" s="3341"/>
      <c r="CN6" s="3341"/>
      <c r="CP6" s="2012">
        <f>907200+138040</f>
        <v>1045240</v>
      </c>
      <c r="CQ6" s="2012">
        <f>CL6</f>
        <v>1045240</v>
      </c>
      <c r="CR6" s="4614">
        <f>CP6-CQ6</f>
        <v>0</v>
      </c>
      <c r="CS6" s="2012">
        <v>138040</v>
      </c>
      <c r="CT6" s="2012">
        <f>AV6</f>
        <v>138040</v>
      </c>
      <c r="CU6" s="4614"/>
      <c r="CV6" s="3779"/>
      <c r="CW6" s="4616">
        <f>CR6/CP6</f>
        <v>0</v>
      </c>
      <c r="CX6" s="4318" t="s">
        <v>2086</v>
      </c>
    </row>
    <row r="7" spans="1:102" s="1396" customFormat="1" ht="14.4" outlineLevel="1" collapsed="1" thickBot="1">
      <c r="A7" s="1571"/>
      <c r="B7" s="4426" t="s">
        <v>41</v>
      </c>
      <c r="C7" s="3341"/>
      <c r="D7" s="3341"/>
      <c r="E7" s="2012">
        <f t="shared" si="0"/>
        <v>0</v>
      </c>
      <c r="F7" s="4608"/>
      <c r="G7" s="4608"/>
      <c r="H7" s="3341"/>
      <c r="I7" s="3341"/>
      <c r="J7" s="2012">
        <f>H7+I7</f>
        <v>0</v>
      </c>
      <c r="K7" s="4608"/>
      <c r="L7" s="4608"/>
      <c r="M7" s="3341"/>
      <c r="N7" s="3341"/>
      <c r="O7" s="2012">
        <f t="shared" si="1"/>
        <v>0</v>
      </c>
      <c r="P7" s="4608"/>
      <c r="Q7" s="4608"/>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1"/>
      <c r="AC7" s="3341"/>
      <c r="AD7" s="2012">
        <f t="shared" si="4"/>
        <v>0</v>
      </c>
      <c r="AE7" s="4608"/>
      <c r="AF7" s="4608"/>
      <c r="AG7" s="3341"/>
      <c r="AH7" s="3341"/>
      <c r="AI7" s="2012">
        <f t="shared" si="5"/>
        <v>0</v>
      </c>
      <c r="AJ7" s="4608"/>
      <c r="AK7" s="4608"/>
      <c r="AL7" s="3341"/>
      <c r="AM7" s="3341"/>
      <c r="AN7" s="2012">
        <f t="shared" si="6"/>
        <v>0</v>
      </c>
      <c r="AO7" s="4608"/>
      <c r="AP7" s="4608"/>
      <c r="AQ7" s="3341"/>
      <c r="AR7" s="3341"/>
      <c r="AS7" s="2012">
        <f t="shared" si="7"/>
        <v>0</v>
      </c>
      <c r="AT7" s="4608"/>
      <c r="AU7" s="4608"/>
      <c r="AV7" s="3341"/>
      <c r="AW7" s="3341"/>
      <c r="AX7" s="2012">
        <f t="shared" si="8"/>
        <v>0</v>
      </c>
      <c r="AY7" s="4608"/>
      <c r="AZ7" s="4608"/>
      <c r="BA7" s="3341"/>
      <c r="BB7" s="3341"/>
      <c r="BC7" s="2012">
        <f t="shared" si="9"/>
        <v>0</v>
      </c>
      <c r="BD7" s="4608"/>
      <c r="BE7" s="4608"/>
      <c r="BF7" s="3341"/>
      <c r="BG7" s="3341"/>
      <c r="BH7" s="2012">
        <f t="shared" si="10"/>
        <v>0</v>
      </c>
      <c r="BI7" s="4608"/>
      <c r="BJ7" s="4608"/>
      <c r="BK7" s="3341"/>
      <c r="BL7" s="3341"/>
      <c r="BM7" s="2012">
        <f t="shared" si="11"/>
        <v>0</v>
      </c>
      <c r="BN7" s="4608"/>
      <c r="BO7" s="4608"/>
      <c r="BP7" s="3341"/>
      <c r="BQ7" s="3341"/>
      <c r="BR7" s="2012">
        <f t="shared" si="12"/>
        <v>0</v>
      </c>
      <c r="BS7" s="4608"/>
      <c r="BT7" s="4608"/>
      <c r="BU7" s="3341"/>
      <c r="BV7" s="3341"/>
      <c r="BW7" s="2012">
        <f t="shared" si="13"/>
        <v>0</v>
      </c>
      <c r="BX7" s="4608"/>
      <c r="BY7" s="4608"/>
      <c r="BZ7" s="3341"/>
      <c r="CA7" s="3341"/>
      <c r="CB7" s="2012">
        <f t="shared" si="14"/>
        <v>0</v>
      </c>
      <c r="CC7" s="4608"/>
      <c r="CD7" s="4608"/>
      <c r="CE7" s="3341"/>
      <c r="CF7" s="3341"/>
      <c r="CG7" s="2012">
        <f t="shared" si="15"/>
        <v>0</v>
      </c>
      <c r="CH7" s="4608"/>
      <c r="CI7" s="4608"/>
      <c r="CJ7" s="3341">
        <f>C7+H7+M7+W7</f>
        <v>0</v>
      </c>
      <c r="CK7" s="3341">
        <f>D7+I7+N7+X7</f>
        <v>0</v>
      </c>
      <c r="CL7" s="2012">
        <f>CJ7+CK7</f>
        <v>0</v>
      </c>
      <c r="CM7" s="4608"/>
      <c r="CN7" s="4608"/>
      <c r="CP7" s="2012"/>
      <c r="CQ7" s="2012"/>
      <c r="CR7" s="3442"/>
      <c r="CS7" s="2012"/>
      <c r="CT7" s="2012"/>
      <c r="CU7" s="3442"/>
      <c r="CW7" s="2624"/>
    </row>
    <row r="8" spans="1:102" s="1396" customFormat="1" ht="14.4" outlineLevel="1" thickBot="1">
      <c r="A8" s="1571"/>
      <c r="B8" s="1463" t="s">
        <v>16</v>
      </c>
      <c r="C8" s="1957">
        <f>SUM(C9:C33)</f>
        <v>0</v>
      </c>
      <c r="D8" s="1957">
        <f>SUM(D9:D33)</f>
        <v>0</v>
      </c>
      <c r="E8" s="1484">
        <f>SUM(E9:E33)</f>
        <v>0</v>
      </c>
      <c r="F8" s="1528" t="e">
        <f t="shared" ref="F8:F33" si="16">E8/$E$89</f>
        <v>#DIV/0!</v>
      </c>
      <c r="G8" s="1466"/>
      <c r="H8" s="1957">
        <f>SUM(H9:H33)</f>
        <v>0</v>
      </c>
      <c r="I8" s="1957">
        <f>SUM(I9:I33)</f>
        <v>0</v>
      </c>
      <c r="J8" s="1484">
        <f>SUM(J9:J33)</f>
        <v>0</v>
      </c>
      <c r="K8" s="1528" t="e">
        <f t="shared" ref="K8" si="17">J8/$E$89</f>
        <v>#DIV/0!</v>
      </c>
      <c r="L8" s="1466"/>
      <c r="M8" s="1957">
        <f>SUM(M9:M33)</f>
        <v>0</v>
      </c>
      <c r="N8" s="1957">
        <f>SUM(N9:N33)</f>
        <v>0</v>
      </c>
      <c r="O8" s="1484">
        <f>SUM(O9:O33)</f>
        <v>0</v>
      </c>
      <c r="P8" s="1528" t="e">
        <f t="shared" ref="P8" si="18">O8/$E$89</f>
        <v>#DIV/0!</v>
      </c>
      <c r="Q8" s="1466"/>
      <c r="R8" s="1957">
        <f>SUM(R9:R33)</f>
        <v>0</v>
      </c>
      <c r="S8" s="1957">
        <f>SUM(S9:S33)</f>
        <v>0</v>
      </c>
      <c r="T8" s="1484">
        <f>SUM(T9:T33)</f>
        <v>0</v>
      </c>
      <c r="U8" s="1528"/>
      <c r="V8" s="1466"/>
      <c r="W8" s="1957">
        <f>SUM(W9:W33)</f>
        <v>557165.6187341772</v>
      </c>
      <c r="X8" s="1957">
        <f>SUM(X9:X33)</f>
        <v>162843.96696202533</v>
      </c>
      <c r="Y8" s="1484">
        <f>SUM(Y9:Y33)</f>
        <v>720009.58569620247</v>
      </c>
      <c r="Z8" s="1528"/>
      <c r="AA8" s="1466"/>
      <c r="AB8" s="1957">
        <f>SUM(AB9:AB33)</f>
        <v>0</v>
      </c>
      <c r="AC8" s="1957">
        <f>SUM(AC9:AC33)</f>
        <v>0</v>
      </c>
      <c r="AD8" s="1484">
        <f>SUM(AD9:AD33)</f>
        <v>0</v>
      </c>
      <c r="AE8" s="1528"/>
      <c r="AF8" s="1466"/>
      <c r="AG8" s="1957">
        <f>SUM(AG9:AG33)</f>
        <v>42971.79</v>
      </c>
      <c r="AH8" s="1957">
        <f>SUM(AH9:AH33)</f>
        <v>68150.350000000006</v>
      </c>
      <c r="AI8" s="1484">
        <f>SUM(AI9:AI33)</f>
        <v>111122.14000000001</v>
      </c>
      <c r="AJ8" s="1528"/>
      <c r="AK8" s="1466"/>
      <c r="AL8" s="1957">
        <f>SUM(AL9:AL33)</f>
        <v>41836.089999999997</v>
      </c>
      <c r="AM8" s="1957">
        <f>SUM(AM9:AM33)</f>
        <v>56238.26</v>
      </c>
      <c r="AN8" s="1484">
        <f>SUM(AN9:AN33)</f>
        <v>98074.35</v>
      </c>
      <c r="AO8" s="1528"/>
      <c r="AP8" s="1466"/>
      <c r="AQ8" s="1957">
        <f>SUM(AQ9:AQ33)</f>
        <v>381288.69873417722</v>
      </c>
      <c r="AR8" s="1957">
        <f>SUM(AR9:AR33)</f>
        <v>24253.3569620253</v>
      </c>
      <c r="AS8" s="1484">
        <f>SUM(AS9:AS33)</f>
        <v>405542.05569620256</v>
      </c>
      <c r="AT8" s="1528"/>
      <c r="AU8" s="1466"/>
      <c r="AV8" s="1957">
        <f>SUM(AV9:AV33)</f>
        <v>91069.040000000008</v>
      </c>
      <c r="AW8" s="1957">
        <f>SUM(AW9:AW33)</f>
        <v>14202</v>
      </c>
      <c r="AX8" s="1484">
        <f>SUM(AX9:AX33)</f>
        <v>105271.03999999999</v>
      </c>
      <c r="AY8" s="1528"/>
      <c r="AZ8" s="1466"/>
      <c r="BA8" s="1957">
        <f>SUM(BA9:BA33)</f>
        <v>0</v>
      </c>
      <c r="BB8" s="1957">
        <f>SUM(BB9:BB33)</f>
        <v>0</v>
      </c>
      <c r="BC8" s="1484">
        <f>SUM(BC9:BC33)</f>
        <v>0</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557165.6187341772</v>
      </c>
      <c r="CK8" s="1957">
        <f>SUM(CK9:CK33)</f>
        <v>162843.96696202533</v>
      </c>
      <c r="CL8" s="1484">
        <f>SUM(CL9:CL33)</f>
        <v>720009.58569620247</v>
      </c>
      <c r="CM8" s="1528"/>
      <c r="CN8" s="1466"/>
      <c r="CP8" s="1484">
        <f t="shared" ref="CP8:CU8" si="19">SUM(CP9:CP33)</f>
        <v>631117.41399999999</v>
      </c>
      <c r="CQ8" s="1484">
        <f t="shared" si="19"/>
        <v>720009.58569620247</v>
      </c>
      <c r="CR8" s="3440">
        <f t="shared" si="19"/>
        <v>-88892.171696202553</v>
      </c>
      <c r="CS8" s="1484">
        <f t="shared" si="19"/>
        <v>108058.47</v>
      </c>
      <c r="CT8" s="1484">
        <f t="shared" si="19"/>
        <v>105271.03999999999</v>
      </c>
      <c r="CU8" s="3440">
        <f t="shared" si="19"/>
        <v>2787.4300000000067</v>
      </c>
      <c r="CW8" s="2624"/>
    </row>
    <row r="9" spans="1:102" s="1396" customFormat="1" ht="13.8" outlineLevel="2">
      <c r="A9" s="1571"/>
      <c r="B9" s="1424" t="s">
        <v>74</v>
      </c>
      <c r="C9" s="3341"/>
      <c r="D9" s="3341"/>
      <c r="E9" s="3349">
        <f t="shared" ref="E9:E32" si="20">C9+D9</f>
        <v>0</v>
      </c>
      <c r="F9" s="4428" t="e">
        <f t="shared" si="16"/>
        <v>#DIV/0!</v>
      </c>
      <c r="G9" s="2047"/>
      <c r="H9" s="3341"/>
      <c r="I9" s="3341"/>
      <c r="J9" s="3349">
        <f t="shared" ref="J9:J32" si="21">H9+I9</f>
        <v>0</v>
      </c>
      <c r="K9" s="4428" t="e">
        <f>J9/J$89</f>
        <v>#DIV/0!</v>
      </c>
      <c r="L9" s="2047"/>
      <c r="M9" s="3341"/>
      <c r="N9" s="3341"/>
      <c r="O9" s="3349">
        <f t="shared" ref="O9:O32" si="22">M9+N9</f>
        <v>0</v>
      </c>
      <c r="P9" s="4428" t="e">
        <f t="shared" ref="P9:P33" si="23">O9/O$89</f>
        <v>#DIV/0!</v>
      </c>
      <c r="Q9" s="2047"/>
      <c r="R9" s="3342">
        <f t="shared" ref="R9:S33" si="24">M9+H9+C9</f>
        <v>0</v>
      </c>
      <c r="S9" s="3342">
        <f t="shared" si="24"/>
        <v>0</v>
      </c>
      <c r="T9" s="2012">
        <f t="shared" ref="T9:T33" si="25">R9+S9</f>
        <v>0</v>
      </c>
      <c r="U9" s="2047"/>
      <c r="V9" s="2047"/>
      <c r="W9" s="3342">
        <f t="shared" ref="W9:X33" si="26">AB9+AG9+AL9+AV9+BA9+BF9+BK9+BP9+BU9+BZ9+CE9+AQ9</f>
        <v>73326.8227341772</v>
      </c>
      <c r="X9" s="3342">
        <f t="shared" si="26"/>
        <v>162843.96696202533</v>
      </c>
      <c r="Y9" s="2012">
        <f t="shared" ref="Y9:Y33" si="27">W9+X9</f>
        <v>236170.78969620253</v>
      </c>
      <c r="Z9" s="2047"/>
      <c r="AA9" s="2047"/>
      <c r="AB9" s="3341"/>
      <c r="AC9" s="3341"/>
      <c r="AD9" s="3349">
        <f t="shared" ref="AD9:AD32" si="28">AB9+AC9</f>
        <v>0</v>
      </c>
      <c r="AE9" s="4428" t="e">
        <f>AD9/AD$89</f>
        <v>#DIV/0!</v>
      </c>
      <c r="AF9" s="2047"/>
      <c r="AG9" s="3341">
        <v>29880.799999999999</v>
      </c>
      <c r="AH9" s="3341">
        <v>68150.350000000006</v>
      </c>
      <c r="AI9" s="3349">
        <f t="shared" ref="AI9:AI32" si="29">AG9+AH9</f>
        <v>98031.150000000009</v>
      </c>
      <c r="AJ9" s="4428">
        <f>AI9/AI$89</f>
        <v>0.80813426374080677</v>
      </c>
      <c r="AK9" s="2047"/>
      <c r="AL9" s="3341">
        <v>28005.82</v>
      </c>
      <c r="AM9" s="3341">
        <v>56238.26</v>
      </c>
      <c r="AN9" s="3349">
        <f t="shared" ref="AN9:AN32" si="30">AL9+AM9</f>
        <v>84244.08</v>
      </c>
      <c r="AO9" s="4428">
        <f>AN9/AN$89</f>
        <v>0.79118964478199949</v>
      </c>
      <c r="AP9" s="2047"/>
      <c r="AQ9" s="3341">
        <v>10584.202734177201</v>
      </c>
      <c r="AR9" s="3341">
        <v>24253.3569620253</v>
      </c>
      <c r="AS9" s="3349">
        <f t="shared" ref="AS9:AS32" si="31">AQ9+AR9</f>
        <v>34837.559696202501</v>
      </c>
      <c r="AT9" s="4428">
        <f>AS9/AS$89</f>
        <v>8.5142825733250174E-2</v>
      </c>
      <c r="AU9" s="2047"/>
      <c r="AV9" s="3341">
        <v>4856</v>
      </c>
      <c r="AW9" s="3341">
        <v>14202</v>
      </c>
      <c r="AX9" s="3349">
        <f t="shared" ref="AX9:AX32" si="32">AV9+AW9</f>
        <v>19058</v>
      </c>
      <c r="AY9" s="4428">
        <f>AX9/AX$89</f>
        <v>0.17745994838371421</v>
      </c>
      <c r="AZ9" s="2047"/>
      <c r="BA9" s="3341"/>
      <c r="BB9" s="3341"/>
      <c r="BC9" s="3349">
        <f t="shared" ref="BC9:BC32" si="33">BA9+BB9</f>
        <v>0</v>
      </c>
      <c r="BD9" s="4428" t="e">
        <f>BC9/BC$89</f>
        <v>#DIV/0!</v>
      </c>
      <c r="BE9" s="2047"/>
      <c r="BF9" s="3341"/>
      <c r="BG9" s="3341"/>
      <c r="BH9" s="3349">
        <f t="shared" ref="BH9:BH32" si="34">BF9+BG9</f>
        <v>0</v>
      </c>
      <c r="BI9" s="4428" t="e">
        <f>BH9/BH$89</f>
        <v>#DIV/0!</v>
      </c>
      <c r="BJ9" s="2047"/>
      <c r="BK9" s="3341"/>
      <c r="BL9" s="3341"/>
      <c r="BM9" s="3349">
        <f t="shared" ref="BM9:BM32" si="35">BK9+BL9</f>
        <v>0</v>
      </c>
      <c r="BN9" s="4428" t="e">
        <f>BM9/BM$89</f>
        <v>#DIV/0!</v>
      </c>
      <c r="BO9" s="2047"/>
      <c r="BP9" s="3341"/>
      <c r="BQ9" s="3341"/>
      <c r="BR9" s="3349">
        <f t="shared" ref="BR9:BR32" si="36">BP9+BQ9</f>
        <v>0</v>
      </c>
      <c r="BS9" s="4428" t="e">
        <f>BR9/BR$89</f>
        <v>#DIV/0!</v>
      </c>
      <c r="BT9" s="2047"/>
      <c r="BU9" s="3341"/>
      <c r="BV9" s="3341"/>
      <c r="BW9" s="3349">
        <f t="shared" ref="BW9:BW32" si="37">BU9+BV9</f>
        <v>0</v>
      </c>
      <c r="BX9" s="4428" t="e">
        <f>BW9/BW$89</f>
        <v>#DIV/0!</v>
      </c>
      <c r="BY9" s="2047"/>
      <c r="BZ9" s="3341"/>
      <c r="CA9" s="3341"/>
      <c r="CB9" s="3349">
        <f t="shared" ref="CB9:CB32" si="38">BZ9+CA9</f>
        <v>0</v>
      </c>
      <c r="CC9" s="4428" t="e">
        <f>CB9/CB$89</f>
        <v>#DIV/0!</v>
      </c>
      <c r="CD9" s="2047"/>
      <c r="CE9" s="3341"/>
      <c r="CF9" s="3341"/>
      <c r="CG9" s="3349">
        <f t="shared" ref="CG9:CG32" si="39">CE9+CF9</f>
        <v>0</v>
      </c>
      <c r="CH9" s="4428" t="e">
        <f>CG9/CG$89</f>
        <v>#DIV/0!</v>
      </c>
      <c r="CI9" s="2047"/>
      <c r="CJ9" s="3341">
        <f t="shared" ref="CJ9:CK33" si="40">C9+H9+M9+W9</f>
        <v>73326.8227341772</v>
      </c>
      <c r="CK9" s="3341">
        <f t="shared" si="40"/>
        <v>162843.96696202533</v>
      </c>
      <c r="CL9" s="3349">
        <f>CJ9+CK9*1</f>
        <v>236170.78969620253</v>
      </c>
      <c r="CM9" s="4428">
        <f t="shared" ref="CM9:CM33" si="41">CL9/$CL$89</f>
        <v>0.31728774097385176</v>
      </c>
      <c r="CN9" s="1434"/>
      <c r="CP9" s="2011">
        <f>122483.464+19182</f>
        <v>141665.46400000001</v>
      </c>
      <c r="CQ9" s="2012">
        <f t="shared" ref="CQ9:CQ32" si="42">CL9</f>
        <v>236170.78969620253</v>
      </c>
      <c r="CR9" s="5182">
        <f>CP9-SUM(CQ9:CQ11)</f>
        <v>-124935.95569620249</v>
      </c>
      <c r="CS9" s="2011">
        <v>19182</v>
      </c>
      <c r="CT9" s="2012">
        <f>AX9</f>
        <v>19058</v>
      </c>
      <c r="CU9" s="5182">
        <f>CS9-SUM(CT9:CT11)</f>
        <v>-1891.239999999998</v>
      </c>
      <c r="CV9" s="3307"/>
      <c r="CW9" s="4616">
        <f>CR9/CP9</f>
        <v>-0.88190835062102702</v>
      </c>
    </row>
    <row r="10" spans="1:102" s="1396" customFormat="1" ht="13.8" outlineLevel="2">
      <c r="A10" s="1571"/>
      <c r="B10" s="1424" t="s">
        <v>72</v>
      </c>
      <c r="C10" s="3341"/>
      <c r="D10" s="3341"/>
      <c r="E10" s="3349">
        <f t="shared" si="20"/>
        <v>0</v>
      </c>
      <c r="F10" s="4428" t="e">
        <f t="shared" si="16"/>
        <v>#DIV/0!</v>
      </c>
      <c r="G10" s="2047"/>
      <c r="H10" s="3341"/>
      <c r="I10" s="3341"/>
      <c r="J10" s="3349">
        <f t="shared" si="21"/>
        <v>0</v>
      </c>
      <c r="K10" s="4428" t="e">
        <f t="shared" ref="K10:K33" si="43">J10/J$89</f>
        <v>#DIV/0!</v>
      </c>
      <c r="L10" s="2047"/>
      <c r="M10" s="3341"/>
      <c r="N10" s="3341"/>
      <c r="O10" s="3349">
        <f t="shared" si="22"/>
        <v>0</v>
      </c>
      <c r="P10" s="4428" t="e">
        <f t="shared" si="23"/>
        <v>#DIV/0!</v>
      </c>
      <c r="Q10" s="2047"/>
      <c r="R10" s="3342">
        <f t="shared" si="24"/>
        <v>0</v>
      </c>
      <c r="S10" s="3342">
        <f t="shared" si="24"/>
        <v>0</v>
      </c>
      <c r="T10" s="2012">
        <f t="shared" si="25"/>
        <v>0</v>
      </c>
      <c r="U10" s="2047"/>
      <c r="V10" s="2047"/>
      <c r="W10" s="3342">
        <f t="shared" si="26"/>
        <v>14298.740000000002</v>
      </c>
      <c r="X10" s="3342">
        <f t="shared" si="26"/>
        <v>0</v>
      </c>
      <c r="Y10" s="2012">
        <f t="shared" si="27"/>
        <v>14298.740000000002</v>
      </c>
      <c r="Z10" s="2047"/>
      <c r="AA10" s="2047"/>
      <c r="AB10" s="3341"/>
      <c r="AC10" s="3341"/>
      <c r="AD10" s="3349">
        <f t="shared" si="28"/>
        <v>0</v>
      </c>
      <c r="AE10" s="4428" t="e">
        <f t="shared" ref="AE10:AE33" si="44">AD10/AD$89</f>
        <v>#DIV/0!</v>
      </c>
      <c r="AF10" s="2047"/>
      <c r="AG10" s="3341">
        <v>5826.76</v>
      </c>
      <c r="AH10" s="3341"/>
      <c r="AI10" s="3349">
        <f t="shared" si="29"/>
        <v>5826.76</v>
      </c>
      <c r="AJ10" s="4428">
        <f t="shared" ref="AJ10:AJ33" si="45">AI10/AI$89</f>
        <v>4.8033756643621778E-2</v>
      </c>
      <c r="AK10" s="2047"/>
      <c r="AL10" s="3341">
        <v>5461.14</v>
      </c>
      <c r="AM10" s="3341"/>
      <c r="AN10" s="3349">
        <f t="shared" si="30"/>
        <v>5461.14</v>
      </c>
      <c r="AO10" s="4428">
        <f t="shared" ref="AO10:AO33" si="46">AN10/AN$89</f>
        <v>5.1289033208087365E-2</v>
      </c>
      <c r="AP10" s="2047"/>
      <c r="AQ10" s="3341">
        <v>2063.92</v>
      </c>
      <c r="AR10" s="3341"/>
      <c r="AS10" s="3349">
        <f t="shared" si="31"/>
        <v>2063.92</v>
      </c>
      <c r="AT10" s="4428">
        <f t="shared" ref="AT10:AT33" si="47">AS10/AS$89</f>
        <v>5.0442103987704129E-3</v>
      </c>
      <c r="AU10" s="2047"/>
      <c r="AV10" s="3341">
        <v>946.92</v>
      </c>
      <c r="AW10" s="3341"/>
      <c r="AX10" s="3349">
        <f t="shared" si="32"/>
        <v>946.92</v>
      </c>
      <c r="AY10" s="4428">
        <f t="shared" ref="AY10:AY33" si="48">AX10/AX$89</f>
        <v>8.8173142157365221E-3</v>
      </c>
      <c r="AZ10" s="2047"/>
      <c r="BA10" s="3341"/>
      <c r="BB10" s="3341"/>
      <c r="BC10" s="3349">
        <f t="shared" si="33"/>
        <v>0</v>
      </c>
      <c r="BD10" s="4428" t="e">
        <f t="shared" ref="BD10:BD33" si="49">BC10/BC$89</f>
        <v>#DIV/0!</v>
      </c>
      <c r="BE10" s="2047"/>
      <c r="BF10" s="3341"/>
      <c r="BG10" s="3341"/>
      <c r="BH10" s="3349">
        <f t="shared" si="34"/>
        <v>0</v>
      </c>
      <c r="BI10" s="4428" t="e">
        <f t="shared" ref="BI10:BI33" si="50">BH10/BH$89</f>
        <v>#DIV/0!</v>
      </c>
      <c r="BJ10" s="2047"/>
      <c r="BK10" s="3341"/>
      <c r="BL10" s="3341"/>
      <c r="BM10" s="3349">
        <f t="shared" si="35"/>
        <v>0</v>
      </c>
      <c r="BN10" s="4428" t="e">
        <f t="shared" ref="BN10:BN33" si="51">BM10/BM$89</f>
        <v>#DIV/0!</v>
      </c>
      <c r="BO10" s="2047"/>
      <c r="BP10" s="3341"/>
      <c r="BQ10" s="3341"/>
      <c r="BR10" s="3349">
        <f t="shared" si="36"/>
        <v>0</v>
      </c>
      <c r="BS10" s="4428" t="e">
        <f t="shared" ref="BS10:BS33" si="52">BR10/BR$89</f>
        <v>#DIV/0!</v>
      </c>
      <c r="BT10" s="2047"/>
      <c r="BU10" s="3341"/>
      <c r="BV10" s="3341"/>
      <c r="BW10" s="3349">
        <f t="shared" si="37"/>
        <v>0</v>
      </c>
      <c r="BX10" s="4428" t="e">
        <f t="shared" ref="BX10:BX33" si="53">BW10/BW$89</f>
        <v>#DIV/0!</v>
      </c>
      <c r="BY10" s="2047"/>
      <c r="BZ10" s="3341"/>
      <c r="CA10" s="3341"/>
      <c r="CB10" s="3349">
        <f t="shared" si="38"/>
        <v>0</v>
      </c>
      <c r="CC10" s="4428" t="e">
        <f t="shared" ref="CC10:CC33" si="54">CB10/CB$89</f>
        <v>#DIV/0!</v>
      </c>
      <c r="CD10" s="2047"/>
      <c r="CE10" s="3341"/>
      <c r="CF10" s="3341"/>
      <c r="CG10" s="3349">
        <f t="shared" si="39"/>
        <v>0</v>
      </c>
      <c r="CH10" s="4428" t="e">
        <f t="shared" ref="CH10:CH33" si="55">CG10/CG$89</f>
        <v>#DIV/0!</v>
      </c>
      <c r="CI10" s="2047"/>
      <c r="CJ10" s="3341">
        <f t="shared" si="40"/>
        <v>14298.740000000002</v>
      </c>
      <c r="CK10" s="3341">
        <f t="shared" si="40"/>
        <v>0</v>
      </c>
      <c r="CL10" s="3349">
        <f t="shared" ref="CL10:CL33" si="56">CJ10+CK10*1</f>
        <v>14298.740000000002</v>
      </c>
      <c r="CM10" s="4428">
        <f t="shared" si="41"/>
        <v>1.9209890093556319E-2</v>
      </c>
      <c r="CN10" s="1434"/>
      <c r="CP10" s="2011"/>
      <c r="CQ10" s="2012">
        <f t="shared" si="42"/>
        <v>14298.740000000002</v>
      </c>
      <c r="CR10" s="5183"/>
      <c r="CS10" s="2011"/>
      <c r="CT10" s="2012">
        <f>AV10</f>
        <v>946.92</v>
      </c>
      <c r="CU10" s="5183"/>
      <c r="CW10" s="2624"/>
    </row>
    <row r="11" spans="1:102" s="1396" customFormat="1" ht="13.8" outlineLevel="2">
      <c r="A11" s="1571"/>
      <c r="B11" s="1424" t="s">
        <v>69</v>
      </c>
      <c r="C11" s="3341"/>
      <c r="D11" s="3341"/>
      <c r="E11" s="3349">
        <f t="shared" si="20"/>
        <v>0</v>
      </c>
      <c r="F11" s="4428" t="e">
        <f t="shared" si="16"/>
        <v>#DIV/0!</v>
      </c>
      <c r="G11" s="1055"/>
      <c r="H11" s="3341"/>
      <c r="I11" s="3341"/>
      <c r="J11" s="3349">
        <f t="shared" si="21"/>
        <v>0</v>
      </c>
      <c r="K11" s="4428" t="e">
        <f t="shared" si="43"/>
        <v>#DIV/0!</v>
      </c>
      <c r="L11" s="1055"/>
      <c r="M11" s="3341"/>
      <c r="N11" s="3341"/>
      <c r="O11" s="3349">
        <f t="shared" si="22"/>
        <v>0</v>
      </c>
      <c r="P11" s="4428" t="e">
        <f t="shared" si="23"/>
        <v>#DIV/0!</v>
      </c>
      <c r="Q11" s="1055"/>
      <c r="R11" s="3342">
        <f t="shared" si="24"/>
        <v>0</v>
      </c>
      <c r="S11" s="3342">
        <f t="shared" si="24"/>
        <v>0</v>
      </c>
      <c r="T11" s="2012">
        <f t="shared" si="25"/>
        <v>0</v>
      </c>
      <c r="U11" s="1055"/>
      <c r="V11" s="1055"/>
      <c r="W11" s="3342">
        <f t="shared" si="26"/>
        <v>16131.89</v>
      </c>
      <c r="X11" s="3342">
        <f t="shared" si="26"/>
        <v>0</v>
      </c>
      <c r="Y11" s="2012">
        <f t="shared" si="27"/>
        <v>16131.89</v>
      </c>
      <c r="Z11" s="1055"/>
      <c r="AA11" s="1055"/>
      <c r="AB11" s="3341"/>
      <c r="AC11" s="3341"/>
      <c r="AD11" s="3349">
        <f t="shared" si="28"/>
        <v>0</v>
      </c>
      <c r="AE11" s="4428" t="e">
        <f t="shared" si="44"/>
        <v>#DIV/0!</v>
      </c>
      <c r="AF11" s="1055"/>
      <c r="AG11" s="3341">
        <v>6573.77</v>
      </c>
      <c r="AH11" s="3341"/>
      <c r="AI11" s="3349">
        <f t="shared" si="29"/>
        <v>6573.77</v>
      </c>
      <c r="AJ11" s="4428">
        <f t="shared" si="45"/>
        <v>5.4191843908302652E-2</v>
      </c>
      <c r="AK11" s="1055"/>
      <c r="AL11" s="3341">
        <v>6161.28</v>
      </c>
      <c r="AM11" s="3341"/>
      <c r="AN11" s="3349">
        <f t="shared" si="30"/>
        <v>6161.28</v>
      </c>
      <c r="AO11" s="4428">
        <f t="shared" si="46"/>
        <v>5.7864492491370753E-2</v>
      </c>
      <c r="AP11" s="1055"/>
      <c r="AQ11" s="3341">
        <v>2328.52</v>
      </c>
      <c r="AR11" s="3341"/>
      <c r="AS11" s="3349">
        <f t="shared" si="31"/>
        <v>2328.52</v>
      </c>
      <c r="AT11" s="4428">
        <f t="shared" si="47"/>
        <v>5.6908915063301297E-3</v>
      </c>
      <c r="AU11" s="1055"/>
      <c r="AV11" s="3341">
        <v>1068.32</v>
      </c>
      <c r="AW11" s="3341"/>
      <c r="AX11" s="3349">
        <f t="shared" si="32"/>
        <v>1068.32</v>
      </c>
      <c r="AY11" s="4428">
        <f t="shared" si="48"/>
        <v>9.9477391151899224E-3</v>
      </c>
      <c r="AZ11" s="1055"/>
      <c r="BA11" s="3341"/>
      <c r="BB11" s="3341"/>
      <c r="BC11" s="3349">
        <f t="shared" si="33"/>
        <v>0</v>
      </c>
      <c r="BD11" s="4428" t="e">
        <f t="shared" si="49"/>
        <v>#DIV/0!</v>
      </c>
      <c r="BE11" s="1055"/>
      <c r="BF11" s="3341"/>
      <c r="BG11" s="3341"/>
      <c r="BH11" s="3349">
        <f t="shared" si="34"/>
        <v>0</v>
      </c>
      <c r="BI11" s="4428" t="e">
        <f t="shared" si="50"/>
        <v>#DIV/0!</v>
      </c>
      <c r="BJ11" s="1055"/>
      <c r="BK11" s="3341"/>
      <c r="BL11" s="3341"/>
      <c r="BM11" s="3349">
        <f t="shared" si="35"/>
        <v>0</v>
      </c>
      <c r="BN11" s="4428" t="e">
        <f t="shared" si="51"/>
        <v>#DIV/0!</v>
      </c>
      <c r="BO11" s="1055"/>
      <c r="BP11" s="3341"/>
      <c r="BQ11" s="3341"/>
      <c r="BR11" s="3349">
        <f t="shared" si="36"/>
        <v>0</v>
      </c>
      <c r="BS11" s="4428" t="e">
        <f t="shared" si="52"/>
        <v>#DIV/0!</v>
      </c>
      <c r="BT11" s="1055"/>
      <c r="BU11" s="3341"/>
      <c r="BV11" s="3341"/>
      <c r="BW11" s="3349">
        <f t="shared" si="37"/>
        <v>0</v>
      </c>
      <c r="BX11" s="4428" t="e">
        <f t="shared" si="53"/>
        <v>#DIV/0!</v>
      </c>
      <c r="BY11" s="1055"/>
      <c r="BZ11" s="3341"/>
      <c r="CA11" s="3341"/>
      <c r="CB11" s="3349">
        <f t="shared" si="38"/>
        <v>0</v>
      </c>
      <c r="CC11" s="4428" t="e">
        <f t="shared" si="54"/>
        <v>#DIV/0!</v>
      </c>
      <c r="CD11" s="1055"/>
      <c r="CE11" s="3341"/>
      <c r="CF11" s="3341"/>
      <c r="CG11" s="3349">
        <f t="shared" si="39"/>
        <v>0</v>
      </c>
      <c r="CH11" s="4428" t="e">
        <f t="shared" si="55"/>
        <v>#DIV/0!</v>
      </c>
      <c r="CI11" s="1055"/>
      <c r="CJ11" s="3341">
        <f t="shared" si="40"/>
        <v>16131.89</v>
      </c>
      <c r="CK11" s="3341">
        <f t="shared" si="40"/>
        <v>0</v>
      </c>
      <c r="CL11" s="3349">
        <f t="shared" si="56"/>
        <v>16131.89</v>
      </c>
      <c r="CM11" s="4428">
        <f t="shared" si="41"/>
        <v>2.1672667235108842E-2</v>
      </c>
      <c r="CN11" s="1434"/>
      <c r="CP11" s="2011"/>
      <c r="CQ11" s="2012">
        <f t="shared" si="42"/>
        <v>16131.89</v>
      </c>
      <c r="CR11" s="5184"/>
      <c r="CS11" s="2011"/>
      <c r="CT11" s="2012">
        <f>AV11</f>
        <v>1068.32</v>
      </c>
      <c r="CU11" s="5184"/>
      <c r="CW11" s="2624"/>
    </row>
    <row r="12" spans="1:102" s="1396" customFormat="1" ht="13.8" outlineLevel="2">
      <c r="A12" s="1571"/>
      <c r="B12" s="1424" t="s">
        <v>73</v>
      </c>
      <c r="C12" s="3341"/>
      <c r="D12" s="3341"/>
      <c r="E12" s="3349">
        <f t="shared" si="20"/>
        <v>0</v>
      </c>
      <c r="F12" s="4428" t="e">
        <f t="shared" si="16"/>
        <v>#DIV/0!</v>
      </c>
      <c r="G12" s="1055"/>
      <c r="H12" s="3341"/>
      <c r="I12" s="3341"/>
      <c r="J12" s="3349">
        <f t="shared" si="21"/>
        <v>0</v>
      </c>
      <c r="K12" s="4428" t="e">
        <f t="shared" si="43"/>
        <v>#DIV/0!</v>
      </c>
      <c r="L12" s="1055"/>
      <c r="M12" s="3341"/>
      <c r="N12" s="3341"/>
      <c r="O12" s="3349">
        <f t="shared" si="22"/>
        <v>0</v>
      </c>
      <c r="P12" s="4428" t="e">
        <f t="shared" si="23"/>
        <v>#DIV/0!</v>
      </c>
      <c r="Q12" s="1055"/>
      <c r="R12" s="3342">
        <f t="shared" si="24"/>
        <v>0</v>
      </c>
      <c r="S12" s="3342">
        <f t="shared" si="24"/>
        <v>0</v>
      </c>
      <c r="T12" s="2012">
        <f t="shared" si="25"/>
        <v>0</v>
      </c>
      <c r="U12" s="1055"/>
      <c r="V12" s="1055"/>
      <c r="W12" s="3342">
        <f t="shared" si="26"/>
        <v>0</v>
      </c>
      <c r="X12" s="3342">
        <f t="shared" si="26"/>
        <v>0</v>
      </c>
      <c r="Y12" s="2012">
        <f t="shared" si="27"/>
        <v>0</v>
      </c>
      <c r="Z12" s="1055"/>
      <c r="AA12" s="1055"/>
      <c r="AB12" s="3341"/>
      <c r="AC12" s="3341"/>
      <c r="AD12" s="3349">
        <f t="shared" si="28"/>
        <v>0</v>
      </c>
      <c r="AE12" s="4428" t="e">
        <f t="shared" si="44"/>
        <v>#DIV/0!</v>
      </c>
      <c r="AF12" s="1055"/>
      <c r="AG12" s="3341"/>
      <c r="AH12" s="3341"/>
      <c r="AI12" s="3349">
        <f t="shared" si="29"/>
        <v>0</v>
      </c>
      <c r="AJ12" s="4428">
        <f t="shared" si="45"/>
        <v>0</v>
      </c>
      <c r="AK12" s="1055"/>
      <c r="AL12" s="3341"/>
      <c r="AM12" s="3341"/>
      <c r="AN12" s="3349">
        <f t="shared" si="30"/>
        <v>0</v>
      </c>
      <c r="AO12" s="4428">
        <f t="shared" si="46"/>
        <v>0</v>
      </c>
      <c r="AP12" s="1055"/>
      <c r="AQ12" s="3341"/>
      <c r="AR12" s="3341"/>
      <c r="AS12" s="3349">
        <f t="shared" si="31"/>
        <v>0</v>
      </c>
      <c r="AT12" s="4428">
        <f t="shared" si="47"/>
        <v>0</v>
      </c>
      <c r="AU12" s="1055"/>
      <c r="AV12" s="3341"/>
      <c r="AW12" s="3341"/>
      <c r="AX12" s="3349">
        <f t="shared" si="32"/>
        <v>0</v>
      </c>
      <c r="AY12" s="4428">
        <f t="shared" si="48"/>
        <v>0</v>
      </c>
      <c r="AZ12" s="1055"/>
      <c r="BA12" s="3341"/>
      <c r="BB12" s="3341"/>
      <c r="BC12" s="3349">
        <f t="shared" si="33"/>
        <v>0</v>
      </c>
      <c r="BD12" s="4428" t="e">
        <f t="shared" si="49"/>
        <v>#DIV/0!</v>
      </c>
      <c r="BE12" s="1055"/>
      <c r="BF12" s="3341"/>
      <c r="BG12" s="3341"/>
      <c r="BH12" s="3349">
        <f t="shared" si="34"/>
        <v>0</v>
      </c>
      <c r="BI12" s="4428" t="e">
        <f t="shared" si="50"/>
        <v>#DIV/0!</v>
      </c>
      <c r="BJ12" s="1055"/>
      <c r="BK12" s="3341"/>
      <c r="BL12" s="3341"/>
      <c r="BM12" s="3349">
        <f t="shared" si="35"/>
        <v>0</v>
      </c>
      <c r="BN12" s="4428" t="e">
        <f t="shared" si="51"/>
        <v>#DIV/0!</v>
      </c>
      <c r="BO12" s="1055"/>
      <c r="BP12" s="3341"/>
      <c r="BQ12" s="3341"/>
      <c r="BR12" s="3349">
        <f t="shared" si="36"/>
        <v>0</v>
      </c>
      <c r="BS12" s="4428" t="e">
        <f t="shared" si="52"/>
        <v>#DIV/0!</v>
      </c>
      <c r="BT12" s="1055"/>
      <c r="BU12" s="3341"/>
      <c r="BV12" s="3341"/>
      <c r="BW12" s="3349">
        <f t="shared" si="37"/>
        <v>0</v>
      </c>
      <c r="BX12" s="4428" t="e">
        <f t="shared" si="53"/>
        <v>#DIV/0!</v>
      </c>
      <c r="BY12" s="1055"/>
      <c r="BZ12" s="3341"/>
      <c r="CA12" s="3341"/>
      <c r="CB12" s="3349">
        <f t="shared" si="38"/>
        <v>0</v>
      </c>
      <c r="CC12" s="4428" t="e">
        <f t="shared" si="54"/>
        <v>#DIV/0!</v>
      </c>
      <c r="CD12" s="1055"/>
      <c r="CE12" s="3341"/>
      <c r="CF12" s="3341"/>
      <c r="CG12" s="3349">
        <f t="shared" si="39"/>
        <v>0</v>
      </c>
      <c r="CH12" s="4428" t="e">
        <f t="shared" si="55"/>
        <v>#DIV/0!</v>
      </c>
      <c r="CI12" s="1055"/>
      <c r="CJ12" s="3341">
        <f t="shared" si="40"/>
        <v>0</v>
      </c>
      <c r="CK12" s="3341">
        <f t="shared" si="40"/>
        <v>0</v>
      </c>
      <c r="CL12" s="3349">
        <f t="shared" si="56"/>
        <v>0</v>
      </c>
      <c r="CM12" s="4428">
        <f t="shared" si="41"/>
        <v>0</v>
      </c>
      <c r="CN12" s="1434"/>
      <c r="CP12" s="2011"/>
      <c r="CQ12" s="2012">
        <f t="shared" si="42"/>
        <v>0</v>
      </c>
      <c r="CR12" s="4614">
        <f t="shared" ref="CR12:CR33" si="57">CP12-CQ12</f>
        <v>0</v>
      </c>
      <c r="CS12" s="2011"/>
      <c r="CT12" s="2012"/>
      <c r="CU12" s="4614"/>
      <c r="CW12" s="2624"/>
    </row>
    <row r="13" spans="1:102" s="1396" customFormat="1" ht="13.8" outlineLevel="2">
      <c r="A13" s="1571"/>
      <c r="B13" s="1424" t="s">
        <v>71</v>
      </c>
      <c r="C13" s="3341"/>
      <c r="D13" s="3341"/>
      <c r="E13" s="3349">
        <f t="shared" si="20"/>
        <v>0</v>
      </c>
      <c r="F13" s="4428" t="e">
        <f t="shared" si="16"/>
        <v>#DIV/0!</v>
      </c>
      <c r="G13" s="1055"/>
      <c r="H13" s="3341"/>
      <c r="I13" s="3341"/>
      <c r="J13" s="3349">
        <f t="shared" si="21"/>
        <v>0</v>
      </c>
      <c r="K13" s="4428" t="e">
        <f t="shared" si="43"/>
        <v>#DIV/0!</v>
      </c>
      <c r="L13" s="1055"/>
      <c r="M13" s="3341"/>
      <c r="N13" s="3341"/>
      <c r="O13" s="3349">
        <f t="shared" si="22"/>
        <v>0</v>
      </c>
      <c r="P13" s="4428" t="e">
        <f t="shared" si="23"/>
        <v>#DIV/0!</v>
      </c>
      <c r="Q13" s="1055"/>
      <c r="R13" s="3342">
        <f t="shared" si="24"/>
        <v>0</v>
      </c>
      <c r="S13" s="3342">
        <f t="shared" si="24"/>
        <v>0</v>
      </c>
      <c r="T13" s="2012">
        <f t="shared" si="25"/>
        <v>0</v>
      </c>
      <c r="U13" s="1055"/>
      <c r="V13" s="1055"/>
      <c r="W13" s="3342">
        <f t="shared" si="26"/>
        <v>0</v>
      </c>
      <c r="X13" s="3342">
        <f t="shared" si="26"/>
        <v>0</v>
      </c>
      <c r="Y13" s="2012">
        <f t="shared" si="27"/>
        <v>0</v>
      </c>
      <c r="Z13" s="1055"/>
      <c r="AA13" s="1055"/>
      <c r="AB13" s="3341"/>
      <c r="AC13" s="3341"/>
      <c r="AD13" s="3349">
        <f t="shared" si="28"/>
        <v>0</v>
      </c>
      <c r="AE13" s="4428" t="e">
        <f t="shared" si="44"/>
        <v>#DIV/0!</v>
      </c>
      <c r="AF13" s="1055"/>
      <c r="AG13" s="3341"/>
      <c r="AH13" s="3341"/>
      <c r="AI13" s="3349">
        <f t="shared" si="29"/>
        <v>0</v>
      </c>
      <c r="AJ13" s="4428">
        <f t="shared" si="45"/>
        <v>0</v>
      </c>
      <c r="AK13" s="1055"/>
      <c r="AL13" s="3341"/>
      <c r="AM13" s="3341"/>
      <c r="AN13" s="3349">
        <f t="shared" si="30"/>
        <v>0</v>
      </c>
      <c r="AO13" s="4428">
        <f t="shared" si="46"/>
        <v>0</v>
      </c>
      <c r="AP13" s="1055"/>
      <c r="AQ13" s="3341"/>
      <c r="AR13" s="3341"/>
      <c r="AS13" s="3349">
        <f t="shared" si="31"/>
        <v>0</v>
      </c>
      <c r="AT13" s="4428">
        <f t="shared" si="47"/>
        <v>0</v>
      </c>
      <c r="AU13" s="1055"/>
      <c r="AV13" s="3341"/>
      <c r="AW13" s="3341"/>
      <c r="AX13" s="3349">
        <f t="shared" si="32"/>
        <v>0</v>
      </c>
      <c r="AY13" s="4428">
        <f t="shared" si="48"/>
        <v>0</v>
      </c>
      <c r="AZ13" s="1055"/>
      <c r="BA13" s="3341"/>
      <c r="BB13" s="3341"/>
      <c r="BC13" s="3349">
        <f t="shared" si="33"/>
        <v>0</v>
      </c>
      <c r="BD13" s="4428" t="e">
        <f t="shared" si="49"/>
        <v>#DIV/0!</v>
      </c>
      <c r="BE13" s="1055"/>
      <c r="BF13" s="3341"/>
      <c r="BG13" s="3341"/>
      <c r="BH13" s="3349">
        <f t="shared" si="34"/>
        <v>0</v>
      </c>
      <c r="BI13" s="4428" t="e">
        <f t="shared" si="50"/>
        <v>#DIV/0!</v>
      </c>
      <c r="BJ13" s="1055"/>
      <c r="BK13" s="3341"/>
      <c r="BL13" s="3341"/>
      <c r="BM13" s="3349">
        <f t="shared" si="35"/>
        <v>0</v>
      </c>
      <c r="BN13" s="4428" t="e">
        <f t="shared" si="51"/>
        <v>#DIV/0!</v>
      </c>
      <c r="BO13" s="1055"/>
      <c r="BP13" s="3341"/>
      <c r="BQ13" s="3341"/>
      <c r="BR13" s="3349">
        <f t="shared" si="36"/>
        <v>0</v>
      </c>
      <c r="BS13" s="4428" t="e">
        <f t="shared" si="52"/>
        <v>#DIV/0!</v>
      </c>
      <c r="BT13" s="1055"/>
      <c r="BU13" s="3341"/>
      <c r="BV13" s="3341"/>
      <c r="BW13" s="3349">
        <f t="shared" si="37"/>
        <v>0</v>
      </c>
      <c r="BX13" s="4428" t="e">
        <f t="shared" si="53"/>
        <v>#DIV/0!</v>
      </c>
      <c r="BY13" s="1055"/>
      <c r="BZ13" s="3341"/>
      <c r="CA13" s="3341"/>
      <c r="CB13" s="3349">
        <f t="shared" si="38"/>
        <v>0</v>
      </c>
      <c r="CC13" s="4428" t="e">
        <f t="shared" si="54"/>
        <v>#DIV/0!</v>
      </c>
      <c r="CD13" s="1055"/>
      <c r="CE13" s="3341"/>
      <c r="CF13" s="3341"/>
      <c r="CG13" s="3349">
        <f t="shared" si="39"/>
        <v>0</v>
      </c>
      <c r="CH13" s="4428" t="e">
        <f t="shared" si="55"/>
        <v>#DIV/0!</v>
      </c>
      <c r="CI13" s="1055"/>
      <c r="CJ13" s="3341">
        <f t="shared" si="40"/>
        <v>0</v>
      </c>
      <c r="CK13" s="3341">
        <f t="shared" si="40"/>
        <v>0</v>
      </c>
      <c r="CL13" s="3349">
        <f t="shared" si="56"/>
        <v>0</v>
      </c>
      <c r="CM13" s="4428">
        <f t="shared" si="41"/>
        <v>0</v>
      </c>
      <c r="CN13" s="1434"/>
      <c r="CP13" s="2011"/>
      <c r="CQ13" s="2012">
        <f t="shared" si="42"/>
        <v>0</v>
      </c>
      <c r="CR13" s="4614">
        <f t="shared" si="57"/>
        <v>0</v>
      </c>
      <c r="CS13" s="2011"/>
      <c r="CT13" s="2012"/>
      <c r="CU13" s="4614"/>
      <c r="CW13" s="2624"/>
    </row>
    <row r="14" spans="1:102" s="1396" customFormat="1" ht="13.8" outlineLevel="2">
      <c r="A14" s="1571"/>
      <c r="B14" s="1424" t="s">
        <v>70</v>
      </c>
      <c r="C14" s="3341"/>
      <c r="D14" s="3341"/>
      <c r="E14" s="3349">
        <f t="shared" si="20"/>
        <v>0</v>
      </c>
      <c r="F14" s="4428" t="e">
        <f t="shared" si="16"/>
        <v>#DIV/0!</v>
      </c>
      <c r="G14" s="1055"/>
      <c r="H14" s="3341"/>
      <c r="I14" s="3341"/>
      <c r="J14" s="3349">
        <f t="shared" si="21"/>
        <v>0</v>
      </c>
      <c r="K14" s="4428" t="e">
        <f t="shared" si="43"/>
        <v>#DIV/0!</v>
      </c>
      <c r="L14" s="1055"/>
      <c r="M14" s="3341"/>
      <c r="N14" s="3341"/>
      <c r="O14" s="3349">
        <f t="shared" si="22"/>
        <v>0</v>
      </c>
      <c r="P14" s="4428" t="e">
        <f t="shared" si="23"/>
        <v>#DIV/0!</v>
      </c>
      <c r="Q14" s="1055"/>
      <c r="R14" s="3342">
        <f t="shared" si="24"/>
        <v>0</v>
      </c>
      <c r="S14" s="3342">
        <f t="shared" si="24"/>
        <v>0</v>
      </c>
      <c r="T14" s="2012">
        <f t="shared" si="25"/>
        <v>0</v>
      </c>
      <c r="U14" s="1055"/>
      <c r="V14" s="1055"/>
      <c r="W14" s="3342">
        <f t="shared" si="26"/>
        <v>0</v>
      </c>
      <c r="X14" s="3342">
        <f t="shared" si="26"/>
        <v>0</v>
      </c>
      <c r="Y14" s="2012">
        <f t="shared" si="27"/>
        <v>0</v>
      </c>
      <c r="Z14" s="1055"/>
      <c r="AA14" s="1055"/>
      <c r="AB14" s="3341"/>
      <c r="AC14" s="3341"/>
      <c r="AD14" s="3349">
        <f t="shared" si="28"/>
        <v>0</v>
      </c>
      <c r="AE14" s="4428" t="e">
        <f t="shared" si="44"/>
        <v>#DIV/0!</v>
      </c>
      <c r="AF14" s="1055"/>
      <c r="AG14" s="3341"/>
      <c r="AH14" s="3341"/>
      <c r="AI14" s="3349">
        <f t="shared" si="29"/>
        <v>0</v>
      </c>
      <c r="AJ14" s="4428">
        <f t="shared" si="45"/>
        <v>0</v>
      </c>
      <c r="AK14" s="1055"/>
      <c r="AL14" s="3341"/>
      <c r="AM14" s="3341"/>
      <c r="AN14" s="3349">
        <f t="shared" si="30"/>
        <v>0</v>
      </c>
      <c r="AO14" s="4428">
        <f t="shared" si="46"/>
        <v>0</v>
      </c>
      <c r="AP14" s="1055"/>
      <c r="AQ14" s="3341"/>
      <c r="AR14" s="3341"/>
      <c r="AS14" s="3349">
        <f t="shared" si="31"/>
        <v>0</v>
      </c>
      <c r="AT14" s="4428">
        <f t="shared" si="47"/>
        <v>0</v>
      </c>
      <c r="AU14" s="1055"/>
      <c r="AV14" s="3341"/>
      <c r="AW14" s="3341"/>
      <c r="AX14" s="3349">
        <f t="shared" si="32"/>
        <v>0</v>
      </c>
      <c r="AY14" s="4428">
        <f t="shared" si="48"/>
        <v>0</v>
      </c>
      <c r="AZ14" s="1055"/>
      <c r="BA14" s="3341"/>
      <c r="BB14" s="3341"/>
      <c r="BC14" s="3349">
        <f t="shared" si="33"/>
        <v>0</v>
      </c>
      <c r="BD14" s="4428" t="e">
        <f t="shared" si="49"/>
        <v>#DIV/0!</v>
      </c>
      <c r="BE14" s="1055"/>
      <c r="BF14" s="3341"/>
      <c r="BG14" s="3341"/>
      <c r="BH14" s="3349">
        <f t="shared" si="34"/>
        <v>0</v>
      </c>
      <c r="BI14" s="4428" t="e">
        <f t="shared" si="50"/>
        <v>#DIV/0!</v>
      </c>
      <c r="BJ14" s="1055"/>
      <c r="BK14" s="3341"/>
      <c r="BL14" s="3341"/>
      <c r="BM14" s="3349">
        <f t="shared" si="35"/>
        <v>0</v>
      </c>
      <c r="BN14" s="4428" t="e">
        <f t="shared" si="51"/>
        <v>#DIV/0!</v>
      </c>
      <c r="BO14" s="1055"/>
      <c r="BP14" s="3341"/>
      <c r="BQ14" s="3341"/>
      <c r="BR14" s="3349">
        <f t="shared" si="36"/>
        <v>0</v>
      </c>
      <c r="BS14" s="4428" t="e">
        <f t="shared" si="52"/>
        <v>#DIV/0!</v>
      </c>
      <c r="BT14" s="1055"/>
      <c r="BU14" s="3341"/>
      <c r="BV14" s="3341"/>
      <c r="BW14" s="3349">
        <f t="shared" si="37"/>
        <v>0</v>
      </c>
      <c r="BX14" s="4428" t="e">
        <f t="shared" si="53"/>
        <v>#DIV/0!</v>
      </c>
      <c r="BY14" s="1055"/>
      <c r="BZ14" s="3341"/>
      <c r="CA14" s="3341"/>
      <c r="CB14" s="3349">
        <f t="shared" si="38"/>
        <v>0</v>
      </c>
      <c r="CC14" s="4428" t="e">
        <f t="shared" si="54"/>
        <v>#DIV/0!</v>
      </c>
      <c r="CD14" s="1055"/>
      <c r="CE14" s="3341"/>
      <c r="CF14" s="3341"/>
      <c r="CG14" s="3349">
        <f t="shared" si="39"/>
        <v>0</v>
      </c>
      <c r="CH14" s="4428" t="e">
        <f t="shared" si="55"/>
        <v>#DIV/0!</v>
      </c>
      <c r="CI14" s="1055"/>
      <c r="CJ14" s="3341">
        <f t="shared" si="40"/>
        <v>0</v>
      </c>
      <c r="CK14" s="3341">
        <f t="shared" si="40"/>
        <v>0</v>
      </c>
      <c r="CL14" s="3349">
        <f t="shared" si="56"/>
        <v>0</v>
      </c>
      <c r="CM14" s="4428">
        <f t="shared" si="41"/>
        <v>0</v>
      </c>
      <c r="CN14" s="1434"/>
      <c r="CP14" s="2011"/>
      <c r="CQ14" s="2012">
        <f t="shared" si="42"/>
        <v>0</v>
      </c>
      <c r="CR14" s="4614">
        <f t="shared" si="57"/>
        <v>0</v>
      </c>
      <c r="CS14" s="2011"/>
      <c r="CT14" s="2012"/>
      <c r="CU14" s="4614"/>
      <c r="CW14" s="2624"/>
    </row>
    <row r="15" spans="1:102" s="1396" customFormat="1" ht="13.8" outlineLevel="2">
      <c r="A15" s="1571"/>
      <c r="B15" s="4430" t="s">
        <v>20</v>
      </c>
      <c r="C15" s="3341"/>
      <c r="D15" s="3341"/>
      <c r="E15" s="3349">
        <f t="shared" si="20"/>
        <v>0</v>
      </c>
      <c r="F15" s="4428" t="e">
        <f t="shared" si="16"/>
        <v>#DIV/0!</v>
      </c>
      <c r="G15" s="1055"/>
      <c r="H15" s="3341"/>
      <c r="I15" s="3341"/>
      <c r="J15" s="3349">
        <f t="shared" si="21"/>
        <v>0</v>
      </c>
      <c r="K15" s="4428" t="e">
        <f t="shared" si="43"/>
        <v>#DIV/0!</v>
      </c>
      <c r="L15" s="1055"/>
      <c r="M15" s="3341"/>
      <c r="N15" s="3341"/>
      <c r="O15" s="3349">
        <f t="shared" si="22"/>
        <v>0</v>
      </c>
      <c r="P15" s="4428" t="e">
        <f t="shared" si="23"/>
        <v>#DIV/0!</v>
      </c>
      <c r="Q15" s="1055"/>
      <c r="R15" s="3342">
        <f t="shared" si="24"/>
        <v>0</v>
      </c>
      <c r="S15" s="3342">
        <f t="shared" si="24"/>
        <v>0</v>
      </c>
      <c r="T15" s="2012">
        <f t="shared" si="25"/>
        <v>0</v>
      </c>
      <c r="U15" s="1055"/>
      <c r="V15" s="1055"/>
      <c r="W15" s="3342">
        <f t="shared" si="26"/>
        <v>0</v>
      </c>
      <c r="X15" s="3342">
        <f t="shared" si="26"/>
        <v>0</v>
      </c>
      <c r="Y15" s="2012">
        <f t="shared" si="27"/>
        <v>0</v>
      </c>
      <c r="Z15" s="1055"/>
      <c r="AA15" s="1055"/>
      <c r="AB15" s="3341"/>
      <c r="AC15" s="3341"/>
      <c r="AD15" s="3349">
        <f t="shared" si="28"/>
        <v>0</v>
      </c>
      <c r="AE15" s="4428" t="e">
        <f t="shared" si="44"/>
        <v>#DIV/0!</v>
      </c>
      <c r="AF15" s="1055"/>
      <c r="AG15" s="3341"/>
      <c r="AH15" s="3341"/>
      <c r="AI15" s="3349">
        <f t="shared" si="29"/>
        <v>0</v>
      </c>
      <c r="AJ15" s="4428">
        <f t="shared" si="45"/>
        <v>0</v>
      </c>
      <c r="AK15" s="1055"/>
      <c r="AL15" s="3341"/>
      <c r="AM15" s="3341"/>
      <c r="AN15" s="3349">
        <f t="shared" si="30"/>
        <v>0</v>
      </c>
      <c r="AO15" s="4428">
        <f t="shared" si="46"/>
        <v>0</v>
      </c>
      <c r="AP15" s="1055"/>
      <c r="AQ15" s="3341"/>
      <c r="AR15" s="3341"/>
      <c r="AS15" s="3349">
        <f t="shared" si="31"/>
        <v>0</v>
      </c>
      <c r="AT15" s="4428">
        <f t="shared" si="47"/>
        <v>0</v>
      </c>
      <c r="AU15" s="1055"/>
      <c r="AV15" s="3341"/>
      <c r="AW15" s="3341"/>
      <c r="AX15" s="3349">
        <f t="shared" si="32"/>
        <v>0</v>
      </c>
      <c r="AY15" s="4428">
        <f t="shared" si="48"/>
        <v>0</v>
      </c>
      <c r="AZ15" s="1055"/>
      <c r="BA15" s="3341"/>
      <c r="BB15" s="3341"/>
      <c r="BC15" s="3349">
        <f t="shared" si="33"/>
        <v>0</v>
      </c>
      <c r="BD15" s="4428" t="e">
        <f t="shared" si="49"/>
        <v>#DIV/0!</v>
      </c>
      <c r="BE15" s="1055"/>
      <c r="BF15" s="3341"/>
      <c r="BG15" s="3341"/>
      <c r="BH15" s="3349">
        <f t="shared" si="34"/>
        <v>0</v>
      </c>
      <c r="BI15" s="4428" t="e">
        <f t="shared" si="50"/>
        <v>#DIV/0!</v>
      </c>
      <c r="BJ15" s="1055"/>
      <c r="BK15" s="3341"/>
      <c r="BL15" s="3341"/>
      <c r="BM15" s="3349">
        <f t="shared" si="35"/>
        <v>0</v>
      </c>
      <c r="BN15" s="4428" t="e">
        <f t="shared" si="51"/>
        <v>#DIV/0!</v>
      </c>
      <c r="BO15" s="1055"/>
      <c r="BP15" s="3341"/>
      <c r="BQ15" s="3341"/>
      <c r="BR15" s="3349">
        <f t="shared" si="36"/>
        <v>0</v>
      </c>
      <c r="BS15" s="4428" t="e">
        <f t="shared" si="52"/>
        <v>#DIV/0!</v>
      </c>
      <c r="BT15" s="1055"/>
      <c r="BU15" s="3341"/>
      <c r="BV15" s="3341"/>
      <c r="BW15" s="3349">
        <f t="shared" si="37"/>
        <v>0</v>
      </c>
      <c r="BX15" s="4428" t="e">
        <f t="shared" si="53"/>
        <v>#DIV/0!</v>
      </c>
      <c r="BY15" s="1055"/>
      <c r="BZ15" s="3341"/>
      <c r="CA15" s="3341"/>
      <c r="CB15" s="3349">
        <f t="shared" si="38"/>
        <v>0</v>
      </c>
      <c r="CC15" s="4428" t="e">
        <f t="shared" si="54"/>
        <v>#DIV/0!</v>
      </c>
      <c r="CD15" s="1055"/>
      <c r="CE15" s="3341"/>
      <c r="CF15" s="3341"/>
      <c r="CG15" s="3349">
        <f t="shared" si="39"/>
        <v>0</v>
      </c>
      <c r="CH15" s="4428" t="e">
        <f t="shared" si="55"/>
        <v>#DIV/0!</v>
      </c>
      <c r="CI15" s="1055"/>
      <c r="CJ15" s="3341">
        <f t="shared" si="40"/>
        <v>0</v>
      </c>
      <c r="CK15" s="3341">
        <f t="shared" si="40"/>
        <v>0</v>
      </c>
      <c r="CL15" s="3349">
        <f t="shared" si="56"/>
        <v>0</v>
      </c>
      <c r="CM15" s="4428">
        <f t="shared" si="41"/>
        <v>0</v>
      </c>
      <c r="CN15" s="1434"/>
      <c r="CP15" s="2011"/>
      <c r="CQ15" s="2012">
        <f t="shared" si="42"/>
        <v>0</v>
      </c>
      <c r="CR15" s="4614">
        <f t="shared" si="57"/>
        <v>0</v>
      </c>
      <c r="CS15" s="2011"/>
      <c r="CT15" s="2012"/>
      <c r="CU15" s="4614"/>
      <c r="CW15" s="2624"/>
    </row>
    <row r="16" spans="1:102" s="1396" customFormat="1" ht="13.8" outlineLevel="2">
      <c r="A16" s="1571"/>
      <c r="B16" s="4430" t="s">
        <v>21</v>
      </c>
      <c r="C16" s="3341"/>
      <c r="D16" s="3341"/>
      <c r="E16" s="3349">
        <f t="shared" si="20"/>
        <v>0</v>
      </c>
      <c r="F16" s="4428" t="e">
        <f t="shared" si="16"/>
        <v>#DIV/0!</v>
      </c>
      <c r="G16" s="1055"/>
      <c r="H16" s="3341"/>
      <c r="I16" s="3341"/>
      <c r="J16" s="3349">
        <f t="shared" si="21"/>
        <v>0</v>
      </c>
      <c r="K16" s="4428" t="e">
        <f t="shared" si="43"/>
        <v>#DIV/0!</v>
      </c>
      <c r="L16" s="1055"/>
      <c r="M16" s="3341"/>
      <c r="N16" s="3341"/>
      <c r="O16" s="3349">
        <f t="shared" si="22"/>
        <v>0</v>
      </c>
      <c r="P16" s="4428" t="e">
        <f t="shared" si="23"/>
        <v>#DIV/0!</v>
      </c>
      <c r="Q16" s="1055"/>
      <c r="R16" s="3342">
        <f t="shared" si="24"/>
        <v>0</v>
      </c>
      <c r="S16" s="3342">
        <f t="shared" si="24"/>
        <v>0</v>
      </c>
      <c r="T16" s="2012">
        <f t="shared" si="25"/>
        <v>0</v>
      </c>
      <c r="U16" s="1055"/>
      <c r="V16" s="1055"/>
      <c r="W16" s="3342">
        <f t="shared" si="26"/>
        <v>0</v>
      </c>
      <c r="X16" s="3342">
        <f t="shared" si="26"/>
        <v>0</v>
      </c>
      <c r="Y16" s="2012">
        <f t="shared" si="27"/>
        <v>0</v>
      </c>
      <c r="Z16" s="1055"/>
      <c r="AA16" s="1055"/>
      <c r="AB16" s="3341"/>
      <c r="AC16" s="3341"/>
      <c r="AD16" s="3349">
        <f t="shared" si="28"/>
        <v>0</v>
      </c>
      <c r="AE16" s="4428" t="e">
        <f t="shared" si="44"/>
        <v>#DIV/0!</v>
      </c>
      <c r="AF16" s="1055"/>
      <c r="AG16" s="3341"/>
      <c r="AH16" s="3341"/>
      <c r="AI16" s="3349">
        <f t="shared" si="29"/>
        <v>0</v>
      </c>
      <c r="AJ16" s="4428">
        <f t="shared" si="45"/>
        <v>0</v>
      </c>
      <c r="AK16" s="1055"/>
      <c r="AL16" s="3341"/>
      <c r="AM16" s="3341"/>
      <c r="AN16" s="3349">
        <f t="shared" si="30"/>
        <v>0</v>
      </c>
      <c r="AO16" s="4428">
        <f t="shared" si="46"/>
        <v>0</v>
      </c>
      <c r="AP16" s="1055"/>
      <c r="AQ16" s="3341"/>
      <c r="AR16" s="3341"/>
      <c r="AS16" s="3349">
        <f t="shared" si="31"/>
        <v>0</v>
      </c>
      <c r="AT16" s="4428">
        <f t="shared" si="47"/>
        <v>0</v>
      </c>
      <c r="AU16" s="1055"/>
      <c r="AV16" s="3341"/>
      <c r="AW16" s="3341"/>
      <c r="AX16" s="3349">
        <f t="shared" si="32"/>
        <v>0</v>
      </c>
      <c r="AY16" s="4428">
        <f t="shared" si="48"/>
        <v>0</v>
      </c>
      <c r="AZ16" s="1055"/>
      <c r="BA16" s="3341"/>
      <c r="BB16" s="3341"/>
      <c r="BC16" s="3349">
        <f t="shared" si="33"/>
        <v>0</v>
      </c>
      <c r="BD16" s="4428" t="e">
        <f t="shared" si="49"/>
        <v>#DIV/0!</v>
      </c>
      <c r="BE16" s="1055"/>
      <c r="BF16" s="3341"/>
      <c r="BG16" s="3341"/>
      <c r="BH16" s="3349">
        <f t="shared" si="34"/>
        <v>0</v>
      </c>
      <c r="BI16" s="4428" t="e">
        <f t="shared" si="50"/>
        <v>#DIV/0!</v>
      </c>
      <c r="BJ16" s="1055"/>
      <c r="BK16" s="3341"/>
      <c r="BL16" s="3341"/>
      <c r="BM16" s="3349">
        <f t="shared" si="35"/>
        <v>0</v>
      </c>
      <c r="BN16" s="4428" t="e">
        <f t="shared" si="51"/>
        <v>#DIV/0!</v>
      </c>
      <c r="BO16" s="1055"/>
      <c r="BP16" s="3341"/>
      <c r="BQ16" s="3341"/>
      <c r="BR16" s="3349">
        <f t="shared" si="36"/>
        <v>0</v>
      </c>
      <c r="BS16" s="4428" t="e">
        <f t="shared" si="52"/>
        <v>#DIV/0!</v>
      </c>
      <c r="BT16" s="1055"/>
      <c r="BU16" s="3341"/>
      <c r="BV16" s="3341"/>
      <c r="BW16" s="3349">
        <f t="shared" si="37"/>
        <v>0</v>
      </c>
      <c r="BX16" s="4428" t="e">
        <f t="shared" si="53"/>
        <v>#DIV/0!</v>
      </c>
      <c r="BY16" s="1055"/>
      <c r="BZ16" s="3341"/>
      <c r="CA16" s="3341"/>
      <c r="CB16" s="3349">
        <f t="shared" si="38"/>
        <v>0</v>
      </c>
      <c r="CC16" s="4428" t="e">
        <f t="shared" si="54"/>
        <v>#DIV/0!</v>
      </c>
      <c r="CD16" s="1055"/>
      <c r="CE16" s="3341"/>
      <c r="CF16" s="3341"/>
      <c r="CG16" s="3349">
        <f t="shared" si="39"/>
        <v>0</v>
      </c>
      <c r="CH16" s="4428" t="e">
        <f t="shared" si="55"/>
        <v>#DIV/0!</v>
      </c>
      <c r="CI16" s="1055"/>
      <c r="CJ16" s="3341">
        <f t="shared" si="40"/>
        <v>0</v>
      </c>
      <c r="CK16" s="3341">
        <f t="shared" si="40"/>
        <v>0</v>
      </c>
      <c r="CL16" s="3349">
        <f>CJ16+CK16*1</f>
        <v>0</v>
      </c>
      <c r="CM16" s="4428">
        <f t="shared" si="41"/>
        <v>0</v>
      </c>
      <c r="CN16" s="1434"/>
      <c r="CP16" s="2011"/>
      <c r="CQ16" s="2012">
        <f t="shared" si="42"/>
        <v>0</v>
      </c>
      <c r="CR16" s="4614">
        <f t="shared" si="57"/>
        <v>0</v>
      </c>
      <c r="CS16" s="2011"/>
      <c r="CT16" s="2012"/>
      <c r="CU16" s="4614"/>
      <c r="CV16" s="3778"/>
      <c r="CW16" s="2624"/>
    </row>
    <row r="17" spans="1:103" s="1396" customFormat="1" ht="13.8" outlineLevel="2">
      <c r="A17" s="1571"/>
      <c r="B17" s="4430" t="s">
        <v>22</v>
      </c>
      <c r="C17" s="3341"/>
      <c r="D17" s="3341"/>
      <c r="E17" s="3349">
        <f t="shared" si="20"/>
        <v>0</v>
      </c>
      <c r="F17" s="4428" t="e">
        <f t="shared" si="16"/>
        <v>#DIV/0!</v>
      </c>
      <c r="G17" s="2047"/>
      <c r="H17" s="3341"/>
      <c r="I17" s="3341"/>
      <c r="J17" s="3349">
        <f t="shared" si="21"/>
        <v>0</v>
      </c>
      <c r="K17" s="4428" t="e">
        <f t="shared" si="43"/>
        <v>#DIV/0!</v>
      </c>
      <c r="L17" s="2047"/>
      <c r="M17" s="3341"/>
      <c r="N17" s="3341"/>
      <c r="O17" s="3349">
        <f t="shared" si="22"/>
        <v>0</v>
      </c>
      <c r="P17" s="4428" t="e">
        <f t="shared" si="23"/>
        <v>#DIV/0!</v>
      </c>
      <c r="Q17" s="2047"/>
      <c r="R17" s="3342">
        <f t="shared" si="24"/>
        <v>0</v>
      </c>
      <c r="S17" s="3342">
        <f t="shared" si="24"/>
        <v>0</v>
      </c>
      <c r="T17" s="2012">
        <f t="shared" si="25"/>
        <v>0</v>
      </c>
      <c r="U17" s="2047"/>
      <c r="V17" s="2047"/>
      <c r="W17" s="3342">
        <f t="shared" si="26"/>
        <v>0</v>
      </c>
      <c r="X17" s="3342">
        <f t="shared" si="26"/>
        <v>0</v>
      </c>
      <c r="Y17" s="2012">
        <f t="shared" si="27"/>
        <v>0</v>
      </c>
      <c r="Z17" s="2047"/>
      <c r="AA17" s="2047"/>
      <c r="AB17" s="3341"/>
      <c r="AC17" s="3341"/>
      <c r="AD17" s="3349">
        <f t="shared" si="28"/>
        <v>0</v>
      </c>
      <c r="AE17" s="4428" t="e">
        <f t="shared" si="44"/>
        <v>#DIV/0!</v>
      </c>
      <c r="AF17" s="2047"/>
      <c r="AG17" s="3341"/>
      <c r="AH17" s="3341"/>
      <c r="AI17" s="3349">
        <f t="shared" si="29"/>
        <v>0</v>
      </c>
      <c r="AJ17" s="4428">
        <f t="shared" si="45"/>
        <v>0</v>
      </c>
      <c r="AK17" s="2047"/>
      <c r="AL17" s="3341"/>
      <c r="AM17" s="3341"/>
      <c r="AN17" s="3349">
        <f t="shared" si="30"/>
        <v>0</v>
      </c>
      <c r="AO17" s="4428">
        <f t="shared" si="46"/>
        <v>0</v>
      </c>
      <c r="AP17" s="2047"/>
      <c r="AQ17" s="3341"/>
      <c r="AR17" s="3341"/>
      <c r="AS17" s="3349">
        <f t="shared" si="31"/>
        <v>0</v>
      </c>
      <c r="AT17" s="4428">
        <f t="shared" si="47"/>
        <v>0</v>
      </c>
      <c r="AU17" s="2047"/>
      <c r="AV17" s="3341"/>
      <c r="AW17" s="3341"/>
      <c r="AX17" s="3349">
        <f t="shared" si="32"/>
        <v>0</v>
      </c>
      <c r="AY17" s="4428">
        <f t="shared" si="48"/>
        <v>0</v>
      </c>
      <c r="AZ17" s="2047"/>
      <c r="BA17" s="3341"/>
      <c r="BB17" s="3341"/>
      <c r="BC17" s="3349">
        <f t="shared" si="33"/>
        <v>0</v>
      </c>
      <c r="BD17" s="4428" t="e">
        <f t="shared" si="49"/>
        <v>#DIV/0!</v>
      </c>
      <c r="BE17" s="2047"/>
      <c r="BF17" s="3341"/>
      <c r="BG17" s="3341"/>
      <c r="BH17" s="3349">
        <f t="shared" si="34"/>
        <v>0</v>
      </c>
      <c r="BI17" s="4428" t="e">
        <f t="shared" si="50"/>
        <v>#DIV/0!</v>
      </c>
      <c r="BJ17" s="2047"/>
      <c r="BK17" s="3341"/>
      <c r="BL17" s="3341"/>
      <c r="BM17" s="3349">
        <f t="shared" si="35"/>
        <v>0</v>
      </c>
      <c r="BN17" s="4428" t="e">
        <f t="shared" si="51"/>
        <v>#DIV/0!</v>
      </c>
      <c r="BO17" s="2047"/>
      <c r="BP17" s="3341"/>
      <c r="BQ17" s="3341"/>
      <c r="BR17" s="3349">
        <f t="shared" si="36"/>
        <v>0</v>
      </c>
      <c r="BS17" s="4428" t="e">
        <f t="shared" si="52"/>
        <v>#DIV/0!</v>
      </c>
      <c r="BT17" s="2047"/>
      <c r="BU17" s="3341"/>
      <c r="BV17" s="3341"/>
      <c r="BW17" s="3349">
        <f t="shared" si="37"/>
        <v>0</v>
      </c>
      <c r="BX17" s="4428" t="e">
        <f t="shared" si="53"/>
        <v>#DIV/0!</v>
      </c>
      <c r="BY17" s="2047"/>
      <c r="BZ17" s="3341"/>
      <c r="CA17" s="3341"/>
      <c r="CB17" s="3349">
        <f t="shared" si="38"/>
        <v>0</v>
      </c>
      <c r="CC17" s="4428" t="e">
        <f t="shared" si="54"/>
        <v>#DIV/0!</v>
      </c>
      <c r="CD17" s="2047"/>
      <c r="CE17" s="3341"/>
      <c r="CF17" s="3341"/>
      <c r="CG17" s="3349">
        <f t="shared" si="39"/>
        <v>0</v>
      </c>
      <c r="CH17" s="4428" t="e">
        <f t="shared" si="55"/>
        <v>#DIV/0!</v>
      </c>
      <c r="CI17" s="2047"/>
      <c r="CJ17" s="3341">
        <f t="shared" si="40"/>
        <v>0</v>
      </c>
      <c r="CK17" s="3341">
        <f t="shared" si="40"/>
        <v>0</v>
      </c>
      <c r="CL17" s="3349">
        <f t="shared" si="56"/>
        <v>0</v>
      </c>
      <c r="CM17" s="4428">
        <f t="shared" si="41"/>
        <v>0</v>
      </c>
      <c r="CN17" s="1434"/>
      <c r="CP17" s="2011"/>
      <c r="CQ17" s="2012">
        <f t="shared" si="42"/>
        <v>0</v>
      </c>
      <c r="CR17" s="4614">
        <f t="shared" si="57"/>
        <v>0</v>
      </c>
      <c r="CS17" s="2011"/>
      <c r="CT17" s="2012"/>
      <c r="CU17" s="4614"/>
      <c r="CV17" s="3307"/>
      <c r="CW17" s="3443"/>
    </row>
    <row r="18" spans="1:103" s="1396" customFormat="1" ht="13.8" outlineLevel="2">
      <c r="A18" s="1571"/>
      <c r="B18" s="4430" t="s">
        <v>0</v>
      </c>
      <c r="C18" s="3341"/>
      <c r="D18" s="3341"/>
      <c r="E18" s="3349">
        <f t="shared" si="20"/>
        <v>0</v>
      </c>
      <c r="F18" s="4428" t="e">
        <f t="shared" si="16"/>
        <v>#DIV/0!</v>
      </c>
      <c r="G18" s="1055"/>
      <c r="H18" s="3341"/>
      <c r="I18" s="3341"/>
      <c r="J18" s="3349">
        <f t="shared" si="21"/>
        <v>0</v>
      </c>
      <c r="K18" s="4428" t="e">
        <f t="shared" si="43"/>
        <v>#DIV/0!</v>
      </c>
      <c r="L18" s="1055"/>
      <c r="M18" s="3341"/>
      <c r="N18" s="3341"/>
      <c r="O18" s="3349">
        <f t="shared" si="22"/>
        <v>0</v>
      </c>
      <c r="P18" s="4428" t="e">
        <f t="shared" si="23"/>
        <v>#DIV/0!</v>
      </c>
      <c r="Q18" s="1055"/>
      <c r="R18" s="3342">
        <f t="shared" si="24"/>
        <v>0</v>
      </c>
      <c r="S18" s="3342">
        <f t="shared" si="24"/>
        <v>0</v>
      </c>
      <c r="T18" s="2012">
        <f t="shared" si="25"/>
        <v>0</v>
      </c>
      <c r="U18" s="1055"/>
      <c r="V18" s="1055"/>
      <c r="W18" s="3342">
        <f t="shared" si="26"/>
        <v>0</v>
      </c>
      <c r="X18" s="3342">
        <f t="shared" si="26"/>
        <v>0</v>
      </c>
      <c r="Y18" s="2012">
        <f t="shared" si="27"/>
        <v>0</v>
      </c>
      <c r="Z18" s="1055"/>
      <c r="AA18" s="1055"/>
      <c r="AB18" s="3341"/>
      <c r="AC18" s="3341"/>
      <c r="AD18" s="3349">
        <f t="shared" si="28"/>
        <v>0</v>
      </c>
      <c r="AE18" s="4428" t="e">
        <f t="shared" si="44"/>
        <v>#DIV/0!</v>
      </c>
      <c r="AF18" s="1055"/>
      <c r="AG18" s="3341"/>
      <c r="AH18" s="3341"/>
      <c r="AI18" s="3349">
        <f t="shared" si="29"/>
        <v>0</v>
      </c>
      <c r="AJ18" s="4428">
        <f t="shared" si="45"/>
        <v>0</v>
      </c>
      <c r="AK18" s="1055"/>
      <c r="AL18" s="3341"/>
      <c r="AM18" s="3341"/>
      <c r="AN18" s="3349">
        <f t="shared" si="30"/>
        <v>0</v>
      </c>
      <c r="AO18" s="4428">
        <f t="shared" si="46"/>
        <v>0</v>
      </c>
      <c r="AP18" s="1055"/>
      <c r="AQ18" s="3341"/>
      <c r="AR18" s="3341"/>
      <c r="AS18" s="3349">
        <f t="shared" si="31"/>
        <v>0</v>
      </c>
      <c r="AT18" s="4428">
        <f t="shared" si="47"/>
        <v>0</v>
      </c>
      <c r="AU18" s="1055"/>
      <c r="AV18" s="3341"/>
      <c r="AW18" s="3341"/>
      <c r="AX18" s="3349">
        <f t="shared" si="32"/>
        <v>0</v>
      </c>
      <c r="AY18" s="4428">
        <f t="shared" si="48"/>
        <v>0</v>
      </c>
      <c r="AZ18" s="1055"/>
      <c r="BA18" s="3341"/>
      <c r="BB18" s="3341"/>
      <c r="BC18" s="3349">
        <f t="shared" si="33"/>
        <v>0</v>
      </c>
      <c r="BD18" s="4428" t="e">
        <f t="shared" si="49"/>
        <v>#DIV/0!</v>
      </c>
      <c r="BE18" s="1055"/>
      <c r="BF18" s="3341"/>
      <c r="BG18" s="3341"/>
      <c r="BH18" s="3349">
        <f t="shared" si="34"/>
        <v>0</v>
      </c>
      <c r="BI18" s="4428" t="e">
        <f t="shared" si="50"/>
        <v>#DIV/0!</v>
      </c>
      <c r="BJ18" s="1055"/>
      <c r="BK18" s="3341"/>
      <c r="BL18" s="3341"/>
      <c r="BM18" s="3349">
        <f t="shared" si="35"/>
        <v>0</v>
      </c>
      <c r="BN18" s="4428" t="e">
        <f t="shared" si="51"/>
        <v>#DIV/0!</v>
      </c>
      <c r="BO18" s="1055"/>
      <c r="BP18" s="3341"/>
      <c r="BQ18" s="3341"/>
      <c r="BR18" s="3349">
        <f t="shared" si="36"/>
        <v>0</v>
      </c>
      <c r="BS18" s="4428" t="e">
        <f t="shared" si="52"/>
        <v>#DIV/0!</v>
      </c>
      <c r="BT18" s="1055"/>
      <c r="BU18" s="3341"/>
      <c r="BV18" s="3341"/>
      <c r="BW18" s="3349">
        <f t="shared" si="37"/>
        <v>0</v>
      </c>
      <c r="BX18" s="4428" t="e">
        <f t="shared" si="53"/>
        <v>#DIV/0!</v>
      </c>
      <c r="BY18" s="1055"/>
      <c r="BZ18" s="3341"/>
      <c r="CA18" s="3341"/>
      <c r="CB18" s="3349">
        <f t="shared" si="38"/>
        <v>0</v>
      </c>
      <c r="CC18" s="4428" t="e">
        <f t="shared" si="54"/>
        <v>#DIV/0!</v>
      </c>
      <c r="CD18" s="1055"/>
      <c r="CE18" s="3341"/>
      <c r="CF18" s="3341"/>
      <c r="CG18" s="3349">
        <f t="shared" si="39"/>
        <v>0</v>
      </c>
      <c r="CH18" s="4428" t="e">
        <f t="shared" si="55"/>
        <v>#DIV/0!</v>
      </c>
      <c r="CI18" s="1055"/>
      <c r="CJ18" s="3341">
        <f t="shared" si="40"/>
        <v>0</v>
      </c>
      <c r="CK18" s="3341">
        <f t="shared" si="40"/>
        <v>0</v>
      </c>
      <c r="CL18" s="3349">
        <f t="shared" si="56"/>
        <v>0</v>
      </c>
      <c r="CM18" s="4428">
        <f t="shared" si="41"/>
        <v>0</v>
      </c>
      <c r="CN18" s="1434"/>
      <c r="CP18" s="2011"/>
      <c r="CQ18" s="2012">
        <f t="shared" si="42"/>
        <v>0</v>
      </c>
      <c r="CR18" s="4614">
        <f t="shared" si="57"/>
        <v>0</v>
      </c>
      <c r="CS18" s="2011"/>
      <c r="CT18" s="2012"/>
      <c r="CU18" s="4614"/>
      <c r="CV18" s="3778"/>
      <c r="CW18" s="2624"/>
    </row>
    <row r="19" spans="1:103" s="1396" customFormat="1" ht="13.8" outlineLevel="2">
      <c r="A19" s="1571"/>
      <c r="B19" s="4430" t="s">
        <v>53</v>
      </c>
      <c r="C19" s="3341"/>
      <c r="D19" s="3341"/>
      <c r="E19" s="3349">
        <f t="shared" si="20"/>
        <v>0</v>
      </c>
      <c r="F19" s="4428" t="e">
        <f t="shared" si="16"/>
        <v>#DIV/0!</v>
      </c>
      <c r="G19" s="1055"/>
      <c r="H19" s="3341"/>
      <c r="I19" s="3341"/>
      <c r="J19" s="3349">
        <f t="shared" si="21"/>
        <v>0</v>
      </c>
      <c r="K19" s="4428" t="e">
        <f t="shared" si="43"/>
        <v>#DIV/0!</v>
      </c>
      <c r="L19" s="1055"/>
      <c r="M19" s="3341"/>
      <c r="N19" s="3341"/>
      <c r="O19" s="3349">
        <f t="shared" si="22"/>
        <v>0</v>
      </c>
      <c r="P19" s="4428" t="e">
        <f t="shared" si="23"/>
        <v>#DIV/0!</v>
      </c>
      <c r="Q19" s="1055"/>
      <c r="R19" s="3342">
        <f t="shared" si="24"/>
        <v>0</v>
      </c>
      <c r="S19" s="3342">
        <f t="shared" si="24"/>
        <v>0</v>
      </c>
      <c r="T19" s="2012">
        <f t="shared" si="25"/>
        <v>0</v>
      </c>
      <c r="U19" s="1055"/>
      <c r="V19" s="1055"/>
      <c r="W19" s="3342">
        <f t="shared" si="26"/>
        <v>0</v>
      </c>
      <c r="X19" s="3342">
        <f t="shared" si="26"/>
        <v>0</v>
      </c>
      <c r="Y19" s="2012">
        <f t="shared" si="27"/>
        <v>0</v>
      </c>
      <c r="Z19" s="1055"/>
      <c r="AA19" s="1055"/>
      <c r="AB19" s="3341"/>
      <c r="AC19" s="3341"/>
      <c r="AD19" s="3349">
        <f t="shared" si="28"/>
        <v>0</v>
      </c>
      <c r="AE19" s="4428" t="e">
        <f t="shared" si="44"/>
        <v>#DIV/0!</v>
      </c>
      <c r="AF19" s="1055"/>
      <c r="AG19" s="3341"/>
      <c r="AH19" s="3341"/>
      <c r="AI19" s="3349">
        <f t="shared" si="29"/>
        <v>0</v>
      </c>
      <c r="AJ19" s="4428">
        <f t="shared" si="45"/>
        <v>0</v>
      </c>
      <c r="AK19" s="1055"/>
      <c r="AL19" s="3341"/>
      <c r="AM19" s="3341"/>
      <c r="AN19" s="3349">
        <f t="shared" si="30"/>
        <v>0</v>
      </c>
      <c r="AO19" s="4428">
        <f t="shared" si="46"/>
        <v>0</v>
      </c>
      <c r="AP19" s="1055"/>
      <c r="AQ19" s="3341"/>
      <c r="AR19" s="3341"/>
      <c r="AS19" s="3349">
        <f t="shared" si="31"/>
        <v>0</v>
      </c>
      <c r="AT19" s="4428">
        <f t="shared" si="47"/>
        <v>0</v>
      </c>
      <c r="AU19" s="1055"/>
      <c r="AV19" s="3341"/>
      <c r="AW19" s="3341"/>
      <c r="AX19" s="3349">
        <f t="shared" si="32"/>
        <v>0</v>
      </c>
      <c r="AY19" s="4428">
        <f t="shared" si="48"/>
        <v>0</v>
      </c>
      <c r="AZ19" s="1055"/>
      <c r="BA19" s="3341"/>
      <c r="BB19" s="3341"/>
      <c r="BC19" s="3349">
        <f t="shared" si="33"/>
        <v>0</v>
      </c>
      <c r="BD19" s="4428" t="e">
        <f t="shared" si="49"/>
        <v>#DIV/0!</v>
      </c>
      <c r="BE19" s="1055"/>
      <c r="BF19" s="3341"/>
      <c r="BG19" s="3341"/>
      <c r="BH19" s="3349">
        <f t="shared" si="34"/>
        <v>0</v>
      </c>
      <c r="BI19" s="4428" t="e">
        <f t="shared" si="50"/>
        <v>#DIV/0!</v>
      </c>
      <c r="BJ19" s="1055"/>
      <c r="BK19" s="3341"/>
      <c r="BL19" s="3341"/>
      <c r="BM19" s="3349">
        <f t="shared" si="35"/>
        <v>0</v>
      </c>
      <c r="BN19" s="4428" t="e">
        <f t="shared" si="51"/>
        <v>#DIV/0!</v>
      </c>
      <c r="BO19" s="1055"/>
      <c r="BP19" s="3341"/>
      <c r="BQ19" s="3341"/>
      <c r="BR19" s="3349">
        <f t="shared" si="36"/>
        <v>0</v>
      </c>
      <c r="BS19" s="4428" t="e">
        <f t="shared" si="52"/>
        <v>#DIV/0!</v>
      </c>
      <c r="BT19" s="1055"/>
      <c r="BU19" s="3341"/>
      <c r="BV19" s="3341"/>
      <c r="BW19" s="3349">
        <f t="shared" si="37"/>
        <v>0</v>
      </c>
      <c r="BX19" s="4428" t="e">
        <f t="shared" si="53"/>
        <v>#DIV/0!</v>
      </c>
      <c r="BY19" s="1055"/>
      <c r="BZ19" s="3341"/>
      <c r="CA19" s="3341"/>
      <c r="CB19" s="3349">
        <f t="shared" si="38"/>
        <v>0</v>
      </c>
      <c r="CC19" s="4428" t="e">
        <f t="shared" si="54"/>
        <v>#DIV/0!</v>
      </c>
      <c r="CD19" s="1055"/>
      <c r="CE19" s="3341"/>
      <c r="CF19" s="3341"/>
      <c r="CG19" s="3349">
        <f t="shared" si="39"/>
        <v>0</v>
      </c>
      <c r="CH19" s="4428" t="e">
        <f t="shared" si="55"/>
        <v>#DIV/0!</v>
      </c>
      <c r="CI19" s="1055"/>
      <c r="CJ19" s="3341">
        <f t="shared" si="40"/>
        <v>0</v>
      </c>
      <c r="CK19" s="3341">
        <f t="shared" si="40"/>
        <v>0</v>
      </c>
      <c r="CL19" s="3349">
        <f t="shared" si="56"/>
        <v>0</v>
      </c>
      <c r="CM19" s="4428">
        <f t="shared" si="41"/>
        <v>0</v>
      </c>
      <c r="CN19" s="1434"/>
      <c r="CP19" s="2011"/>
      <c r="CQ19" s="2012">
        <f t="shared" si="42"/>
        <v>0</v>
      </c>
      <c r="CR19" s="4614">
        <f t="shared" si="57"/>
        <v>0</v>
      </c>
      <c r="CS19" s="2011"/>
      <c r="CT19" s="2012"/>
      <c r="CU19" s="4614"/>
      <c r="CW19" s="2624"/>
    </row>
    <row r="20" spans="1:103" s="1396" customFormat="1" ht="13.8" outlineLevel="2">
      <c r="A20" s="1571"/>
      <c r="B20" s="4430" t="s">
        <v>57</v>
      </c>
      <c r="C20" s="3341"/>
      <c r="D20" s="3341"/>
      <c r="E20" s="3349">
        <f t="shared" si="20"/>
        <v>0</v>
      </c>
      <c r="F20" s="4428" t="e">
        <f t="shared" si="16"/>
        <v>#DIV/0!</v>
      </c>
      <c r="G20" s="1055"/>
      <c r="H20" s="3341"/>
      <c r="I20" s="3341"/>
      <c r="J20" s="3349">
        <f t="shared" si="21"/>
        <v>0</v>
      </c>
      <c r="K20" s="4428" t="e">
        <f t="shared" si="43"/>
        <v>#DIV/0!</v>
      </c>
      <c r="L20" s="1055"/>
      <c r="M20" s="3341"/>
      <c r="N20" s="3341"/>
      <c r="O20" s="3349">
        <f t="shared" si="22"/>
        <v>0</v>
      </c>
      <c r="P20" s="4428" t="e">
        <f t="shared" si="23"/>
        <v>#DIV/0!</v>
      </c>
      <c r="Q20" s="1055"/>
      <c r="R20" s="3342">
        <f t="shared" si="24"/>
        <v>0</v>
      </c>
      <c r="S20" s="3342">
        <f t="shared" si="24"/>
        <v>0</v>
      </c>
      <c r="T20" s="2012">
        <f t="shared" si="25"/>
        <v>0</v>
      </c>
      <c r="U20" s="1055"/>
      <c r="V20" s="1055"/>
      <c r="W20" s="3342">
        <f t="shared" si="26"/>
        <v>0</v>
      </c>
      <c r="X20" s="3342">
        <f t="shared" si="26"/>
        <v>0</v>
      </c>
      <c r="Y20" s="2012">
        <f t="shared" si="27"/>
        <v>0</v>
      </c>
      <c r="Z20" s="1055"/>
      <c r="AA20" s="1055"/>
      <c r="AB20" s="3341"/>
      <c r="AC20" s="3341"/>
      <c r="AD20" s="3349">
        <f t="shared" si="28"/>
        <v>0</v>
      </c>
      <c r="AE20" s="4428" t="e">
        <f t="shared" si="44"/>
        <v>#DIV/0!</v>
      </c>
      <c r="AF20" s="1055"/>
      <c r="AG20" s="3341"/>
      <c r="AH20" s="3341"/>
      <c r="AI20" s="3349">
        <f t="shared" si="29"/>
        <v>0</v>
      </c>
      <c r="AJ20" s="4428">
        <f t="shared" si="45"/>
        <v>0</v>
      </c>
      <c r="AK20" s="1055"/>
      <c r="AL20" s="3341"/>
      <c r="AM20" s="3341"/>
      <c r="AN20" s="3349">
        <f t="shared" si="30"/>
        <v>0</v>
      </c>
      <c r="AO20" s="4428">
        <f t="shared" si="46"/>
        <v>0</v>
      </c>
      <c r="AP20" s="1055"/>
      <c r="AQ20" s="3341"/>
      <c r="AR20" s="3341"/>
      <c r="AS20" s="3349">
        <f t="shared" si="31"/>
        <v>0</v>
      </c>
      <c r="AT20" s="4428">
        <f t="shared" si="47"/>
        <v>0</v>
      </c>
      <c r="AU20" s="1055"/>
      <c r="AV20" s="3341"/>
      <c r="AW20" s="3341"/>
      <c r="AX20" s="3349">
        <f t="shared" si="32"/>
        <v>0</v>
      </c>
      <c r="AY20" s="4428">
        <f t="shared" si="48"/>
        <v>0</v>
      </c>
      <c r="AZ20" s="1055"/>
      <c r="BA20" s="3341"/>
      <c r="BB20" s="3341"/>
      <c r="BC20" s="3349">
        <f t="shared" si="33"/>
        <v>0</v>
      </c>
      <c r="BD20" s="4428" t="e">
        <f t="shared" si="49"/>
        <v>#DIV/0!</v>
      </c>
      <c r="BE20" s="1055"/>
      <c r="BF20" s="3341"/>
      <c r="BG20" s="3341"/>
      <c r="BH20" s="3349">
        <f t="shared" si="34"/>
        <v>0</v>
      </c>
      <c r="BI20" s="4428" t="e">
        <f t="shared" si="50"/>
        <v>#DIV/0!</v>
      </c>
      <c r="BJ20" s="1055"/>
      <c r="BK20" s="3341"/>
      <c r="BL20" s="3341"/>
      <c r="BM20" s="3349">
        <f t="shared" si="35"/>
        <v>0</v>
      </c>
      <c r="BN20" s="4428" t="e">
        <f t="shared" si="51"/>
        <v>#DIV/0!</v>
      </c>
      <c r="BO20" s="1055"/>
      <c r="BP20" s="3341"/>
      <c r="BQ20" s="3341"/>
      <c r="BR20" s="3349">
        <f t="shared" si="36"/>
        <v>0</v>
      </c>
      <c r="BS20" s="4428" t="e">
        <f t="shared" si="52"/>
        <v>#DIV/0!</v>
      </c>
      <c r="BT20" s="1055"/>
      <c r="BU20" s="3341"/>
      <c r="BV20" s="3341"/>
      <c r="BW20" s="3349">
        <f t="shared" si="37"/>
        <v>0</v>
      </c>
      <c r="BX20" s="4428" t="e">
        <f t="shared" si="53"/>
        <v>#DIV/0!</v>
      </c>
      <c r="BY20" s="1055"/>
      <c r="BZ20" s="3341"/>
      <c r="CA20" s="3341"/>
      <c r="CB20" s="3349">
        <f t="shared" si="38"/>
        <v>0</v>
      </c>
      <c r="CC20" s="4428" t="e">
        <f t="shared" si="54"/>
        <v>#DIV/0!</v>
      </c>
      <c r="CD20" s="1055"/>
      <c r="CE20" s="3341"/>
      <c r="CF20" s="3341"/>
      <c r="CG20" s="3349">
        <f t="shared" si="39"/>
        <v>0</v>
      </c>
      <c r="CH20" s="4428" t="e">
        <f t="shared" si="55"/>
        <v>#DIV/0!</v>
      </c>
      <c r="CI20" s="1055"/>
      <c r="CJ20" s="3341">
        <f t="shared" si="40"/>
        <v>0</v>
      </c>
      <c r="CK20" s="3341">
        <f t="shared" si="40"/>
        <v>0</v>
      </c>
      <c r="CL20" s="3349">
        <f t="shared" si="56"/>
        <v>0</v>
      </c>
      <c r="CM20" s="4428">
        <f t="shared" si="41"/>
        <v>0</v>
      </c>
      <c r="CN20" s="1434"/>
      <c r="CP20" s="2011"/>
      <c r="CQ20" s="2012">
        <f t="shared" si="42"/>
        <v>0</v>
      </c>
      <c r="CR20" s="4614">
        <f t="shared" si="57"/>
        <v>0</v>
      </c>
      <c r="CS20" s="2011"/>
      <c r="CT20" s="2012"/>
      <c r="CU20" s="4614"/>
      <c r="CW20" s="2624"/>
    </row>
    <row r="21" spans="1:103" s="1396" customFormat="1" ht="13.8" outlineLevel="2">
      <c r="A21" s="1571"/>
      <c r="B21" s="4430" t="s">
        <v>58</v>
      </c>
      <c r="C21" s="3341"/>
      <c r="D21" s="3341"/>
      <c r="E21" s="3349">
        <f t="shared" si="20"/>
        <v>0</v>
      </c>
      <c r="F21" s="4428" t="e">
        <f t="shared" si="16"/>
        <v>#DIV/0!</v>
      </c>
      <c r="G21" s="1615"/>
      <c r="H21" s="3341"/>
      <c r="I21" s="3341"/>
      <c r="J21" s="3349">
        <f t="shared" si="21"/>
        <v>0</v>
      </c>
      <c r="K21" s="4428" t="e">
        <f t="shared" si="43"/>
        <v>#DIV/0!</v>
      </c>
      <c r="L21" s="1615"/>
      <c r="M21" s="3341"/>
      <c r="N21" s="3341"/>
      <c r="O21" s="3349">
        <f t="shared" si="22"/>
        <v>0</v>
      </c>
      <c r="P21" s="4428" t="e">
        <f t="shared" si="23"/>
        <v>#DIV/0!</v>
      </c>
      <c r="Q21" s="1615"/>
      <c r="R21" s="3342">
        <f t="shared" si="24"/>
        <v>0</v>
      </c>
      <c r="S21" s="3342">
        <f t="shared" si="24"/>
        <v>0</v>
      </c>
      <c r="T21" s="2012">
        <f t="shared" si="25"/>
        <v>0</v>
      </c>
      <c r="U21" s="1615"/>
      <c r="V21" s="1615"/>
      <c r="W21" s="3342">
        <f t="shared" si="26"/>
        <v>0</v>
      </c>
      <c r="X21" s="3342">
        <f t="shared" si="26"/>
        <v>0</v>
      </c>
      <c r="Y21" s="2012">
        <f t="shared" si="27"/>
        <v>0</v>
      </c>
      <c r="Z21" s="1615"/>
      <c r="AA21" s="1615"/>
      <c r="AB21" s="3341"/>
      <c r="AC21" s="3341"/>
      <c r="AD21" s="3349">
        <f t="shared" si="28"/>
        <v>0</v>
      </c>
      <c r="AE21" s="4428" t="e">
        <f t="shared" si="44"/>
        <v>#DIV/0!</v>
      </c>
      <c r="AF21" s="1615"/>
      <c r="AG21" s="3341"/>
      <c r="AH21" s="3341"/>
      <c r="AI21" s="3349">
        <f t="shared" si="29"/>
        <v>0</v>
      </c>
      <c r="AJ21" s="4428">
        <f t="shared" si="45"/>
        <v>0</v>
      </c>
      <c r="AK21" s="1615"/>
      <c r="AL21" s="3341"/>
      <c r="AM21" s="3341"/>
      <c r="AN21" s="3349">
        <f t="shared" si="30"/>
        <v>0</v>
      </c>
      <c r="AO21" s="4428">
        <f t="shared" si="46"/>
        <v>0</v>
      </c>
      <c r="AP21" s="1615"/>
      <c r="AQ21" s="3341"/>
      <c r="AR21" s="3341"/>
      <c r="AS21" s="3349">
        <f t="shared" si="31"/>
        <v>0</v>
      </c>
      <c r="AT21" s="4428">
        <f t="shared" si="47"/>
        <v>0</v>
      </c>
      <c r="AU21" s="1615"/>
      <c r="AV21" s="3341"/>
      <c r="AW21" s="3341"/>
      <c r="AX21" s="3349">
        <f t="shared" si="32"/>
        <v>0</v>
      </c>
      <c r="AY21" s="4428">
        <f t="shared" si="48"/>
        <v>0</v>
      </c>
      <c r="AZ21" s="1615"/>
      <c r="BA21" s="3341"/>
      <c r="BB21" s="3341"/>
      <c r="BC21" s="3349">
        <f t="shared" si="33"/>
        <v>0</v>
      </c>
      <c r="BD21" s="4428" t="e">
        <f t="shared" si="49"/>
        <v>#DIV/0!</v>
      </c>
      <c r="BE21" s="1615"/>
      <c r="BF21" s="3341"/>
      <c r="BG21" s="3341"/>
      <c r="BH21" s="3349">
        <f t="shared" si="34"/>
        <v>0</v>
      </c>
      <c r="BI21" s="4428" t="e">
        <f t="shared" si="50"/>
        <v>#DIV/0!</v>
      </c>
      <c r="BJ21" s="1615"/>
      <c r="BK21" s="3341"/>
      <c r="BL21" s="3341"/>
      <c r="BM21" s="3349">
        <f t="shared" si="35"/>
        <v>0</v>
      </c>
      <c r="BN21" s="4428" t="e">
        <f t="shared" si="51"/>
        <v>#DIV/0!</v>
      </c>
      <c r="BO21" s="1615"/>
      <c r="BP21" s="3341"/>
      <c r="BQ21" s="3341"/>
      <c r="BR21" s="3349">
        <f t="shared" si="36"/>
        <v>0</v>
      </c>
      <c r="BS21" s="4428" t="e">
        <f t="shared" si="52"/>
        <v>#DIV/0!</v>
      </c>
      <c r="BT21" s="1615"/>
      <c r="BU21" s="3341"/>
      <c r="BV21" s="3341"/>
      <c r="BW21" s="3349">
        <f t="shared" si="37"/>
        <v>0</v>
      </c>
      <c r="BX21" s="4428" t="e">
        <f t="shared" si="53"/>
        <v>#DIV/0!</v>
      </c>
      <c r="BY21" s="1615"/>
      <c r="BZ21" s="3341"/>
      <c r="CA21" s="3341"/>
      <c r="CB21" s="3349">
        <f t="shared" si="38"/>
        <v>0</v>
      </c>
      <c r="CC21" s="4428" t="e">
        <f t="shared" si="54"/>
        <v>#DIV/0!</v>
      </c>
      <c r="CD21" s="1615"/>
      <c r="CE21" s="3341"/>
      <c r="CF21" s="3341"/>
      <c r="CG21" s="3349">
        <f t="shared" si="39"/>
        <v>0</v>
      </c>
      <c r="CH21" s="4428" t="e">
        <f t="shared" si="55"/>
        <v>#DIV/0!</v>
      </c>
      <c r="CI21" s="1615"/>
      <c r="CJ21" s="3341">
        <f t="shared" si="40"/>
        <v>0</v>
      </c>
      <c r="CK21" s="3341">
        <f t="shared" si="40"/>
        <v>0</v>
      </c>
      <c r="CL21" s="3349">
        <f t="shared" si="56"/>
        <v>0</v>
      </c>
      <c r="CM21" s="4428">
        <f t="shared" si="41"/>
        <v>0</v>
      </c>
      <c r="CN21" s="1434"/>
      <c r="CP21" s="2011"/>
      <c r="CQ21" s="2012">
        <f t="shared" si="42"/>
        <v>0</v>
      </c>
      <c r="CR21" s="4614">
        <f t="shared" si="57"/>
        <v>0</v>
      </c>
      <c r="CS21" s="2011"/>
      <c r="CT21" s="2012"/>
      <c r="CU21" s="4614"/>
      <c r="CW21" s="2624"/>
    </row>
    <row r="22" spans="1:103" s="1396" customFormat="1" ht="13.8" outlineLevel="2">
      <c r="A22" s="1571"/>
      <c r="B22" s="4430" t="s">
        <v>621</v>
      </c>
      <c r="C22" s="3341"/>
      <c r="D22" s="3341"/>
      <c r="E22" s="3349">
        <f t="shared" si="20"/>
        <v>0</v>
      </c>
      <c r="F22" s="4428" t="e">
        <f t="shared" si="16"/>
        <v>#DIV/0!</v>
      </c>
      <c r="G22" s="3342"/>
      <c r="H22" s="3341"/>
      <c r="I22" s="3341"/>
      <c r="J22" s="3349">
        <f t="shared" si="21"/>
        <v>0</v>
      </c>
      <c r="K22" s="4428" t="e">
        <f t="shared" si="43"/>
        <v>#DIV/0!</v>
      </c>
      <c r="L22" s="3342"/>
      <c r="M22" s="3341"/>
      <c r="N22" s="3341"/>
      <c r="O22" s="3349">
        <f t="shared" si="22"/>
        <v>0</v>
      </c>
      <c r="P22" s="4428" t="e">
        <f t="shared" si="23"/>
        <v>#DIV/0!</v>
      </c>
      <c r="Q22" s="3342"/>
      <c r="R22" s="3342">
        <f t="shared" si="24"/>
        <v>0</v>
      </c>
      <c r="S22" s="3342">
        <f t="shared" si="24"/>
        <v>0</v>
      </c>
      <c r="T22" s="2012">
        <f t="shared" si="25"/>
        <v>0</v>
      </c>
      <c r="U22" s="3342"/>
      <c r="V22" s="3342"/>
      <c r="W22" s="3342">
        <f t="shared" si="26"/>
        <v>0</v>
      </c>
      <c r="X22" s="3342">
        <f t="shared" si="26"/>
        <v>0</v>
      </c>
      <c r="Y22" s="2012">
        <f t="shared" si="27"/>
        <v>0</v>
      </c>
      <c r="Z22" s="3342"/>
      <c r="AA22" s="3342"/>
      <c r="AB22" s="3341"/>
      <c r="AC22" s="3341"/>
      <c r="AD22" s="3349">
        <f t="shared" si="28"/>
        <v>0</v>
      </c>
      <c r="AE22" s="4428" t="e">
        <f t="shared" si="44"/>
        <v>#DIV/0!</v>
      </c>
      <c r="AF22" s="3342"/>
      <c r="AG22" s="3341"/>
      <c r="AH22" s="3341"/>
      <c r="AI22" s="3349">
        <f t="shared" si="29"/>
        <v>0</v>
      </c>
      <c r="AJ22" s="4428">
        <f t="shared" si="45"/>
        <v>0</v>
      </c>
      <c r="AK22" s="3342"/>
      <c r="AL22" s="3341"/>
      <c r="AM22" s="3341"/>
      <c r="AN22" s="3349">
        <f t="shared" si="30"/>
        <v>0</v>
      </c>
      <c r="AO22" s="4428">
        <f t="shared" si="46"/>
        <v>0</v>
      </c>
      <c r="AP22" s="3342"/>
      <c r="AQ22" s="3341"/>
      <c r="AR22" s="3341"/>
      <c r="AS22" s="3349">
        <f t="shared" si="31"/>
        <v>0</v>
      </c>
      <c r="AT22" s="4428">
        <f t="shared" si="47"/>
        <v>0</v>
      </c>
      <c r="AU22" s="3342"/>
      <c r="AV22" s="3341"/>
      <c r="AW22" s="3341"/>
      <c r="AX22" s="3349">
        <f t="shared" si="32"/>
        <v>0</v>
      </c>
      <c r="AY22" s="4428">
        <f t="shared" si="48"/>
        <v>0</v>
      </c>
      <c r="AZ22" s="3342"/>
      <c r="BA22" s="3341"/>
      <c r="BB22" s="3341"/>
      <c r="BC22" s="3349">
        <f t="shared" si="33"/>
        <v>0</v>
      </c>
      <c r="BD22" s="4428" t="e">
        <f t="shared" si="49"/>
        <v>#DIV/0!</v>
      </c>
      <c r="BE22" s="3342"/>
      <c r="BF22" s="3341"/>
      <c r="BG22" s="3341"/>
      <c r="BH22" s="3349">
        <f t="shared" si="34"/>
        <v>0</v>
      </c>
      <c r="BI22" s="4428" t="e">
        <f t="shared" si="50"/>
        <v>#DIV/0!</v>
      </c>
      <c r="BJ22" s="3342"/>
      <c r="BK22" s="3341"/>
      <c r="BL22" s="3341"/>
      <c r="BM22" s="3349">
        <f t="shared" si="35"/>
        <v>0</v>
      </c>
      <c r="BN22" s="4428" t="e">
        <f t="shared" si="51"/>
        <v>#DIV/0!</v>
      </c>
      <c r="BO22" s="3342"/>
      <c r="BP22" s="3341"/>
      <c r="BQ22" s="3341"/>
      <c r="BR22" s="3349">
        <f t="shared" si="36"/>
        <v>0</v>
      </c>
      <c r="BS22" s="4428" t="e">
        <f t="shared" si="52"/>
        <v>#DIV/0!</v>
      </c>
      <c r="BT22" s="3342"/>
      <c r="BU22" s="3341"/>
      <c r="BV22" s="3341"/>
      <c r="BW22" s="3349">
        <f t="shared" si="37"/>
        <v>0</v>
      </c>
      <c r="BX22" s="4428" t="e">
        <f t="shared" si="53"/>
        <v>#DIV/0!</v>
      </c>
      <c r="BY22" s="3342"/>
      <c r="BZ22" s="3341"/>
      <c r="CA22" s="3341"/>
      <c r="CB22" s="3349">
        <f t="shared" si="38"/>
        <v>0</v>
      </c>
      <c r="CC22" s="4428" t="e">
        <f t="shared" si="54"/>
        <v>#DIV/0!</v>
      </c>
      <c r="CD22" s="3342"/>
      <c r="CE22" s="3341"/>
      <c r="CF22" s="3341"/>
      <c r="CG22" s="3349">
        <f t="shared" si="39"/>
        <v>0</v>
      </c>
      <c r="CH22" s="4428" t="e">
        <f t="shared" si="55"/>
        <v>#DIV/0!</v>
      </c>
      <c r="CI22" s="3342"/>
      <c r="CJ22" s="3341">
        <f t="shared" si="40"/>
        <v>0</v>
      </c>
      <c r="CK22" s="3341">
        <f t="shared" si="40"/>
        <v>0</v>
      </c>
      <c r="CL22" s="3349">
        <f t="shared" si="56"/>
        <v>0</v>
      </c>
      <c r="CM22" s="4428">
        <f t="shared" si="41"/>
        <v>0</v>
      </c>
      <c r="CN22" s="1434"/>
      <c r="CP22" s="2011"/>
      <c r="CQ22" s="2012">
        <f t="shared" si="42"/>
        <v>0</v>
      </c>
      <c r="CR22" s="4614">
        <f t="shared" si="57"/>
        <v>0</v>
      </c>
      <c r="CS22" s="2011"/>
      <c r="CT22" s="2012"/>
      <c r="CU22" s="4614"/>
      <c r="CW22" s="3443">
        <f>CQ22</f>
        <v>0</v>
      </c>
    </row>
    <row r="23" spans="1:103" s="1396" customFormat="1" ht="13.8" outlineLevel="2">
      <c r="A23" s="1571"/>
      <c r="B23" s="4430" t="s">
        <v>630</v>
      </c>
      <c r="C23" s="3341"/>
      <c r="D23" s="3341"/>
      <c r="E23" s="3349">
        <f t="shared" si="20"/>
        <v>0</v>
      </c>
      <c r="F23" s="4428" t="e">
        <f t="shared" si="16"/>
        <v>#DIV/0!</v>
      </c>
      <c r="G23" s="1055"/>
      <c r="H23" s="3341"/>
      <c r="I23" s="3341"/>
      <c r="J23" s="3349">
        <f t="shared" si="21"/>
        <v>0</v>
      </c>
      <c r="K23" s="4428" t="e">
        <f t="shared" si="43"/>
        <v>#DIV/0!</v>
      </c>
      <c r="L23" s="1055"/>
      <c r="M23" s="3341"/>
      <c r="N23" s="3341"/>
      <c r="O23" s="3349">
        <f t="shared" si="22"/>
        <v>0</v>
      </c>
      <c r="P23" s="4428" t="e">
        <f t="shared" si="23"/>
        <v>#DIV/0!</v>
      </c>
      <c r="Q23" s="1055"/>
      <c r="R23" s="3342">
        <f t="shared" si="24"/>
        <v>0</v>
      </c>
      <c r="S23" s="3342">
        <f t="shared" si="24"/>
        <v>0</v>
      </c>
      <c r="T23" s="2012">
        <f t="shared" si="25"/>
        <v>0</v>
      </c>
      <c r="U23" s="1055"/>
      <c r="V23" s="1055"/>
      <c r="W23" s="3342">
        <f t="shared" si="26"/>
        <v>0</v>
      </c>
      <c r="X23" s="3342">
        <f t="shared" si="26"/>
        <v>0</v>
      </c>
      <c r="Y23" s="2012">
        <f t="shared" si="27"/>
        <v>0</v>
      </c>
      <c r="Z23" s="1055"/>
      <c r="AA23" s="1055"/>
      <c r="AB23" s="3341"/>
      <c r="AC23" s="3341"/>
      <c r="AD23" s="3349">
        <f t="shared" si="28"/>
        <v>0</v>
      </c>
      <c r="AE23" s="4428" t="e">
        <f t="shared" si="44"/>
        <v>#DIV/0!</v>
      </c>
      <c r="AF23" s="1055"/>
      <c r="AG23" s="3341"/>
      <c r="AH23" s="3341"/>
      <c r="AI23" s="3349">
        <f t="shared" si="29"/>
        <v>0</v>
      </c>
      <c r="AJ23" s="4428">
        <f t="shared" si="45"/>
        <v>0</v>
      </c>
      <c r="AK23" s="1055"/>
      <c r="AL23" s="3341"/>
      <c r="AM23" s="3341"/>
      <c r="AN23" s="3349">
        <f t="shared" si="30"/>
        <v>0</v>
      </c>
      <c r="AO23" s="4428">
        <f t="shared" si="46"/>
        <v>0</v>
      </c>
      <c r="AP23" s="1055"/>
      <c r="AQ23" s="3341"/>
      <c r="AR23" s="3341"/>
      <c r="AS23" s="3349">
        <f t="shared" si="31"/>
        <v>0</v>
      </c>
      <c r="AT23" s="4428">
        <f t="shared" si="47"/>
        <v>0</v>
      </c>
      <c r="AU23" s="1055"/>
      <c r="AV23" s="3341"/>
      <c r="AW23" s="3341"/>
      <c r="AX23" s="3349">
        <f t="shared" si="32"/>
        <v>0</v>
      </c>
      <c r="AY23" s="4428">
        <f t="shared" si="48"/>
        <v>0</v>
      </c>
      <c r="AZ23" s="1055"/>
      <c r="BA23" s="3341"/>
      <c r="BB23" s="3341"/>
      <c r="BC23" s="3349">
        <f t="shared" si="33"/>
        <v>0</v>
      </c>
      <c r="BD23" s="4428" t="e">
        <f t="shared" si="49"/>
        <v>#DIV/0!</v>
      </c>
      <c r="BE23" s="1055"/>
      <c r="BF23" s="3341"/>
      <c r="BG23" s="3341"/>
      <c r="BH23" s="3349">
        <f t="shared" si="34"/>
        <v>0</v>
      </c>
      <c r="BI23" s="4428" t="e">
        <f t="shared" si="50"/>
        <v>#DIV/0!</v>
      </c>
      <c r="BJ23" s="1055"/>
      <c r="BK23" s="3341"/>
      <c r="BL23" s="3341"/>
      <c r="BM23" s="3349">
        <f t="shared" si="35"/>
        <v>0</v>
      </c>
      <c r="BN23" s="4428" t="e">
        <f t="shared" si="51"/>
        <v>#DIV/0!</v>
      </c>
      <c r="BO23" s="1055"/>
      <c r="BP23" s="3341"/>
      <c r="BQ23" s="3341"/>
      <c r="BR23" s="3349">
        <f t="shared" si="36"/>
        <v>0</v>
      </c>
      <c r="BS23" s="4428" t="e">
        <f t="shared" si="52"/>
        <v>#DIV/0!</v>
      </c>
      <c r="BT23" s="1055"/>
      <c r="BU23" s="3341"/>
      <c r="BV23" s="3341"/>
      <c r="BW23" s="3349">
        <f t="shared" si="37"/>
        <v>0</v>
      </c>
      <c r="BX23" s="4428" t="e">
        <f t="shared" si="53"/>
        <v>#DIV/0!</v>
      </c>
      <c r="BY23" s="1055"/>
      <c r="BZ23" s="3341"/>
      <c r="CA23" s="3341"/>
      <c r="CB23" s="3349">
        <f t="shared" si="38"/>
        <v>0</v>
      </c>
      <c r="CC23" s="4428" t="e">
        <f t="shared" si="54"/>
        <v>#DIV/0!</v>
      </c>
      <c r="CD23" s="1055"/>
      <c r="CE23" s="3341"/>
      <c r="CF23" s="3341"/>
      <c r="CG23" s="3349">
        <f t="shared" si="39"/>
        <v>0</v>
      </c>
      <c r="CH23" s="4428" t="e">
        <f t="shared" si="55"/>
        <v>#DIV/0!</v>
      </c>
      <c r="CI23" s="1055"/>
      <c r="CJ23" s="3341">
        <f t="shared" si="40"/>
        <v>0</v>
      </c>
      <c r="CK23" s="3341">
        <f t="shared" si="40"/>
        <v>0</v>
      </c>
      <c r="CL23" s="3349">
        <f t="shared" si="56"/>
        <v>0</v>
      </c>
      <c r="CM23" s="4428">
        <f t="shared" si="41"/>
        <v>0</v>
      </c>
      <c r="CN23" s="1434"/>
      <c r="CP23" s="2011"/>
      <c r="CQ23" s="2012">
        <f t="shared" si="42"/>
        <v>0</v>
      </c>
      <c r="CR23" s="4614">
        <f t="shared" si="57"/>
        <v>0</v>
      </c>
      <c r="CS23" s="2011"/>
      <c r="CT23" s="2012"/>
      <c r="CU23" s="4614"/>
      <c r="CW23" s="2624"/>
    </row>
    <row r="24" spans="1:103" s="1396" customFormat="1" ht="13.8" outlineLevel="2">
      <c r="A24" s="1571"/>
      <c r="B24" s="4430" t="s">
        <v>23</v>
      </c>
      <c r="C24" s="3341"/>
      <c r="D24" s="3341"/>
      <c r="E24" s="3349">
        <f t="shared" si="20"/>
        <v>0</v>
      </c>
      <c r="F24" s="4428" t="e">
        <f t="shared" si="16"/>
        <v>#DIV/0!</v>
      </c>
      <c r="G24" s="3342"/>
      <c r="H24" s="3341"/>
      <c r="I24" s="3341"/>
      <c r="J24" s="3349">
        <f t="shared" si="21"/>
        <v>0</v>
      </c>
      <c r="K24" s="4428" t="e">
        <f t="shared" si="43"/>
        <v>#DIV/0!</v>
      </c>
      <c r="L24" s="3342"/>
      <c r="M24" s="3341"/>
      <c r="N24" s="3341"/>
      <c r="O24" s="3349">
        <f t="shared" si="22"/>
        <v>0</v>
      </c>
      <c r="P24" s="4428" t="e">
        <f t="shared" si="23"/>
        <v>#DIV/0!</v>
      </c>
      <c r="Q24" s="3342"/>
      <c r="R24" s="3342">
        <f t="shared" si="24"/>
        <v>0</v>
      </c>
      <c r="S24" s="3342">
        <f t="shared" si="24"/>
        <v>0</v>
      </c>
      <c r="T24" s="2012">
        <f t="shared" si="25"/>
        <v>0</v>
      </c>
      <c r="U24" s="3342"/>
      <c r="V24" s="3342"/>
      <c r="W24" s="3342">
        <f t="shared" si="26"/>
        <v>5000</v>
      </c>
      <c r="X24" s="3342">
        <f t="shared" si="26"/>
        <v>0</v>
      </c>
      <c r="Y24" s="2012">
        <f t="shared" si="27"/>
        <v>5000</v>
      </c>
      <c r="Z24" s="3342"/>
      <c r="AA24" s="3342"/>
      <c r="AB24" s="3341"/>
      <c r="AC24" s="3341"/>
      <c r="AD24" s="3349">
        <f t="shared" si="28"/>
        <v>0</v>
      </c>
      <c r="AE24" s="4428" t="e">
        <f t="shared" si="44"/>
        <v>#DIV/0!</v>
      </c>
      <c r="AF24" s="3342"/>
      <c r="AG24" s="3341"/>
      <c r="AH24" s="3341"/>
      <c r="AI24" s="3349">
        <f t="shared" si="29"/>
        <v>0</v>
      </c>
      <c r="AJ24" s="4428">
        <f t="shared" si="45"/>
        <v>0</v>
      </c>
      <c r="AK24" s="3342"/>
      <c r="AL24" s="3341"/>
      <c r="AM24" s="3341"/>
      <c r="AN24" s="3349">
        <f t="shared" si="30"/>
        <v>0</v>
      </c>
      <c r="AO24" s="4428">
        <f t="shared" si="46"/>
        <v>0</v>
      </c>
      <c r="AP24" s="3342"/>
      <c r="AQ24" s="3341"/>
      <c r="AR24" s="3341"/>
      <c r="AS24" s="3349">
        <f t="shared" si="31"/>
        <v>0</v>
      </c>
      <c r="AT24" s="4428">
        <f t="shared" si="47"/>
        <v>0</v>
      </c>
      <c r="AU24" s="3342"/>
      <c r="AV24" s="3341">
        <v>5000</v>
      </c>
      <c r="AW24" s="3341"/>
      <c r="AX24" s="3349">
        <f t="shared" si="32"/>
        <v>5000</v>
      </c>
      <c r="AY24" s="4428">
        <f t="shared" si="48"/>
        <v>4.6557862415708418E-2</v>
      </c>
      <c r="AZ24" s="3342"/>
      <c r="BA24" s="3341"/>
      <c r="BB24" s="3341"/>
      <c r="BC24" s="3349">
        <f t="shared" si="33"/>
        <v>0</v>
      </c>
      <c r="BD24" s="4428" t="e">
        <f t="shared" si="49"/>
        <v>#DIV/0!</v>
      </c>
      <c r="BE24" s="3342"/>
      <c r="BF24" s="3341"/>
      <c r="BG24" s="3341"/>
      <c r="BH24" s="3349">
        <f t="shared" si="34"/>
        <v>0</v>
      </c>
      <c r="BI24" s="4428" t="e">
        <f t="shared" si="50"/>
        <v>#DIV/0!</v>
      </c>
      <c r="BJ24" s="3342"/>
      <c r="BK24" s="3341"/>
      <c r="BL24" s="3341"/>
      <c r="BM24" s="3349">
        <f t="shared" si="35"/>
        <v>0</v>
      </c>
      <c r="BN24" s="4428" t="e">
        <f t="shared" si="51"/>
        <v>#DIV/0!</v>
      </c>
      <c r="BO24" s="3342"/>
      <c r="BP24" s="3341"/>
      <c r="BQ24" s="3341"/>
      <c r="BR24" s="3349">
        <f t="shared" si="36"/>
        <v>0</v>
      </c>
      <c r="BS24" s="4428" t="e">
        <f t="shared" si="52"/>
        <v>#DIV/0!</v>
      </c>
      <c r="BT24" s="3342"/>
      <c r="BU24" s="3341"/>
      <c r="BV24" s="3341"/>
      <c r="BW24" s="3349">
        <f t="shared" si="37"/>
        <v>0</v>
      </c>
      <c r="BX24" s="4428" t="e">
        <f t="shared" si="53"/>
        <v>#DIV/0!</v>
      </c>
      <c r="BY24" s="3342"/>
      <c r="BZ24" s="3341"/>
      <c r="CA24" s="3341"/>
      <c r="CB24" s="3349">
        <f t="shared" si="38"/>
        <v>0</v>
      </c>
      <c r="CC24" s="4428" t="e">
        <f t="shared" si="54"/>
        <v>#DIV/0!</v>
      </c>
      <c r="CD24" s="3342"/>
      <c r="CE24" s="3341"/>
      <c r="CF24" s="3341"/>
      <c r="CG24" s="3349">
        <f t="shared" si="39"/>
        <v>0</v>
      </c>
      <c r="CH24" s="4428" t="e">
        <f t="shared" si="55"/>
        <v>#DIV/0!</v>
      </c>
      <c r="CI24" s="3342"/>
      <c r="CJ24" s="3341">
        <f t="shared" si="40"/>
        <v>5000</v>
      </c>
      <c r="CK24" s="3341">
        <f t="shared" si="40"/>
        <v>0</v>
      </c>
      <c r="CL24" s="3349">
        <f t="shared" si="56"/>
        <v>5000</v>
      </c>
      <c r="CM24" s="4428">
        <f t="shared" si="41"/>
        <v>6.7173366651734059E-3</v>
      </c>
      <c r="CN24" s="1434"/>
      <c r="CP24" s="2011">
        <v>6000</v>
      </c>
      <c r="CQ24" s="2012">
        <f t="shared" si="42"/>
        <v>5000</v>
      </c>
      <c r="CR24" s="4614">
        <f t="shared" si="57"/>
        <v>1000</v>
      </c>
      <c r="CS24" s="2011">
        <v>6000</v>
      </c>
      <c r="CT24" s="2012">
        <f>CJ24</f>
        <v>5000</v>
      </c>
      <c r="CU24" s="4614">
        <f t="shared" ref="CU24:CU26" si="58">CS24-CT24</f>
        <v>1000</v>
      </c>
      <c r="CW24" s="4616">
        <f>CR24/CP24</f>
        <v>0.16666666666666666</v>
      </c>
    </row>
    <row r="25" spans="1:103" s="1396" customFormat="1" ht="26.4" outlineLevel="2">
      <c r="A25" s="1571"/>
      <c r="B25" s="4430" t="s">
        <v>24</v>
      </c>
      <c r="C25" s="3341"/>
      <c r="D25" s="3341"/>
      <c r="E25" s="3349">
        <f t="shared" si="20"/>
        <v>0</v>
      </c>
      <c r="F25" s="4428" t="e">
        <f t="shared" si="16"/>
        <v>#DIV/0!</v>
      </c>
      <c r="G25" s="3342"/>
      <c r="H25" s="3341"/>
      <c r="I25" s="3341"/>
      <c r="J25" s="3349">
        <f t="shared" si="21"/>
        <v>0</v>
      </c>
      <c r="K25" s="4428" t="e">
        <f t="shared" si="43"/>
        <v>#DIV/0!</v>
      </c>
      <c r="L25" s="3342"/>
      <c r="M25" s="3341"/>
      <c r="N25" s="3341"/>
      <c r="O25" s="3349">
        <f t="shared" si="22"/>
        <v>0</v>
      </c>
      <c r="P25" s="4428" t="e">
        <f t="shared" si="23"/>
        <v>#DIV/0!</v>
      </c>
      <c r="Q25" s="3342"/>
      <c r="R25" s="3342">
        <f t="shared" si="24"/>
        <v>0</v>
      </c>
      <c r="S25" s="3342">
        <f t="shared" si="24"/>
        <v>0</v>
      </c>
      <c r="T25" s="2012">
        <f t="shared" si="25"/>
        <v>0</v>
      </c>
      <c r="U25" s="3342"/>
      <c r="V25" s="3342"/>
      <c r="W25" s="3342">
        <f t="shared" si="26"/>
        <v>29818.799999999999</v>
      </c>
      <c r="X25" s="3342">
        <f t="shared" si="26"/>
        <v>0</v>
      </c>
      <c r="Y25" s="2012">
        <f t="shared" si="27"/>
        <v>29818.799999999999</v>
      </c>
      <c r="Z25" s="3342"/>
      <c r="AA25" s="3342"/>
      <c r="AB25" s="3341"/>
      <c r="AC25" s="3341"/>
      <c r="AD25" s="3349">
        <f t="shared" si="28"/>
        <v>0</v>
      </c>
      <c r="AE25" s="4428" t="e">
        <f t="shared" si="44"/>
        <v>#DIV/0!</v>
      </c>
      <c r="AF25" s="3342"/>
      <c r="AG25" s="3341"/>
      <c r="AH25" s="3341"/>
      <c r="AI25" s="3349">
        <f t="shared" si="29"/>
        <v>0</v>
      </c>
      <c r="AJ25" s="4428">
        <f t="shared" si="45"/>
        <v>0</v>
      </c>
      <c r="AK25" s="3342"/>
      <c r="AL25" s="3341"/>
      <c r="AM25" s="3341"/>
      <c r="AN25" s="3349">
        <f t="shared" si="30"/>
        <v>0</v>
      </c>
      <c r="AO25" s="4428">
        <f t="shared" si="46"/>
        <v>0</v>
      </c>
      <c r="AP25" s="3409"/>
      <c r="AQ25" s="3341">
        <f>21555*1.2</f>
        <v>25866</v>
      </c>
      <c r="AR25" s="3341"/>
      <c r="AS25" s="3349">
        <f t="shared" si="31"/>
        <v>25866</v>
      </c>
      <c r="AT25" s="4428">
        <f t="shared" si="47"/>
        <v>6.3216377657368261E-2</v>
      </c>
      <c r="AU25" s="3409" t="s">
        <v>2063</v>
      </c>
      <c r="AV25" s="3341">
        <v>3952.8</v>
      </c>
      <c r="AW25" s="3341"/>
      <c r="AX25" s="3349">
        <f t="shared" si="32"/>
        <v>3952.8</v>
      </c>
      <c r="AY25" s="4428">
        <f t="shared" si="48"/>
        <v>3.6806783711362451E-2</v>
      </c>
      <c r="AZ25" s="3342" t="s">
        <v>2087</v>
      </c>
      <c r="BA25" s="3341"/>
      <c r="BB25" s="3341"/>
      <c r="BC25" s="3349">
        <f t="shared" si="33"/>
        <v>0</v>
      </c>
      <c r="BD25" s="4428" t="e">
        <f t="shared" si="49"/>
        <v>#DIV/0!</v>
      </c>
      <c r="BE25" s="3342"/>
      <c r="BF25" s="3341"/>
      <c r="BG25" s="3341"/>
      <c r="BH25" s="3349">
        <f t="shared" si="34"/>
        <v>0</v>
      </c>
      <c r="BI25" s="4428" t="e">
        <f t="shared" si="50"/>
        <v>#DIV/0!</v>
      </c>
      <c r="BJ25" s="3342"/>
      <c r="BK25" s="3341"/>
      <c r="BL25" s="3341"/>
      <c r="BM25" s="3349">
        <f t="shared" si="35"/>
        <v>0</v>
      </c>
      <c r="BN25" s="4428" t="e">
        <f t="shared" si="51"/>
        <v>#DIV/0!</v>
      </c>
      <c r="BO25" s="3342"/>
      <c r="BP25" s="3341"/>
      <c r="BQ25" s="3341"/>
      <c r="BR25" s="3349">
        <f t="shared" si="36"/>
        <v>0</v>
      </c>
      <c r="BS25" s="4428" t="e">
        <f t="shared" si="52"/>
        <v>#DIV/0!</v>
      </c>
      <c r="BT25" s="3342"/>
      <c r="BU25" s="3341"/>
      <c r="BV25" s="3341"/>
      <c r="BW25" s="3349">
        <f t="shared" si="37"/>
        <v>0</v>
      </c>
      <c r="BX25" s="4428" t="e">
        <f t="shared" si="53"/>
        <v>#DIV/0!</v>
      </c>
      <c r="BY25" s="3342"/>
      <c r="BZ25" s="3341"/>
      <c r="CA25" s="3341"/>
      <c r="CB25" s="3349">
        <f t="shared" si="38"/>
        <v>0</v>
      </c>
      <c r="CC25" s="4428" t="e">
        <f t="shared" si="54"/>
        <v>#DIV/0!</v>
      </c>
      <c r="CD25" s="3342"/>
      <c r="CE25" s="3341"/>
      <c r="CF25" s="3341"/>
      <c r="CG25" s="3349">
        <f t="shared" si="39"/>
        <v>0</v>
      </c>
      <c r="CH25" s="4428" t="e">
        <f t="shared" si="55"/>
        <v>#DIV/0!</v>
      </c>
      <c r="CI25" s="3342"/>
      <c r="CJ25" s="3341">
        <f t="shared" si="40"/>
        <v>29818.799999999999</v>
      </c>
      <c r="CK25" s="3341">
        <f t="shared" si="40"/>
        <v>0</v>
      </c>
      <c r="CL25" s="3349">
        <f t="shared" si="56"/>
        <v>29818.799999999999</v>
      </c>
      <c r="CM25" s="4428">
        <f t="shared" si="41"/>
        <v>4.0060583710294549E-2</v>
      </c>
      <c r="CN25" s="1434"/>
      <c r="CP25" s="2011">
        <f>25920+7528.59</f>
        <v>33448.589999999997</v>
      </c>
      <c r="CQ25" s="2012">
        <f>CL25</f>
        <v>29818.799999999999</v>
      </c>
      <c r="CR25" s="4614">
        <f t="shared" si="57"/>
        <v>3629.7899999999972</v>
      </c>
      <c r="CS25" s="2011">
        <v>7528.59</v>
      </c>
      <c r="CT25" s="2012">
        <f>AV25</f>
        <v>3952.8</v>
      </c>
      <c r="CU25" s="4614">
        <f t="shared" si="58"/>
        <v>3575.79</v>
      </c>
      <c r="CV25" s="4058"/>
      <c r="CW25" s="4616">
        <f>CR25/CP25</f>
        <v>0.10851847566668722</v>
      </c>
      <c r="CX25" s="3779"/>
    </row>
    <row r="26" spans="1:103" s="1396" customFormat="1" ht="39.6" outlineLevel="2">
      <c r="A26" s="1571"/>
      <c r="B26" s="4430" t="s">
        <v>45</v>
      </c>
      <c r="C26" s="3341"/>
      <c r="D26" s="3341"/>
      <c r="E26" s="3349">
        <f t="shared" si="20"/>
        <v>0</v>
      </c>
      <c r="F26" s="4428" t="e">
        <f t="shared" si="16"/>
        <v>#DIV/0!</v>
      </c>
      <c r="G26" s="3342"/>
      <c r="H26" s="3341"/>
      <c r="I26" s="3341"/>
      <c r="J26" s="3349">
        <f t="shared" si="21"/>
        <v>0</v>
      </c>
      <c r="K26" s="4428" t="e">
        <f t="shared" si="43"/>
        <v>#DIV/0!</v>
      </c>
      <c r="L26" s="3342"/>
      <c r="M26" s="3341"/>
      <c r="N26" s="3341"/>
      <c r="O26" s="3349">
        <f t="shared" si="22"/>
        <v>0</v>
      </c>
      <c r="P26" s="4428" t="e">
        <f t="shared" si="23"/>
        <v>#DIV/0!</v>
      </c>
      <c r="Q26" s="3342"/>
      <c r="R26" s="3342">
        <f t="shared" si="24"/>
        <v>0</v>
      </c>
      <c r="S26" s="3342">
        <f t="shared" si="24"/>
        <v>0</v>
      </c>
      <c r="T26" s="2012">
        <f t="shared" si="25"/>
        <v>0</v>
      </c>
      <c r="U26" s="3342"/>
      <c r="V26" s="3342"/>
      <c r="W26" s="3342">
        <f t="shared" si="26"/>
        <v>418589.36600000004</v>
      </c>
      <c r="X26" s="3342">
        <f t="shared" si="26"/>
        <v>0</v>
      </c>
      <c r="Y26" s="2012">
        <f t="shared" si="27"/>
        <v>418589.36600000004</v>
      </c>
      <c r="Z26" s="3342"/>
      <c r="AA26" s="3342"/>
      <c r="AB26" s="3341"/>
      <c r="AC26" s="3341"/>
      <c r="AD26" s="3349">
        <f t="shared" si="28"/>
        <v>0</v>
      </c>
      <c r="AE26" s="4428" t="e">
        <f t="shared" si="44"/>
        <v>#DIV/0!</v>
      </c>
      <c r="AF26" s="3342"/>
      <c r="AG26" s="3341">
        <v>690.46</v>
      </c>
      <c r="AH26" s="3341"/>
      <c r="AI26" s="3349">
        <f t="shared" si="29"/>
        <v>690.46</v>
      </c>
      <c r="AJ26" s="4428">
        <f t="shared" si="45"/>
        <v>5.6919089875256731E-3</v>
      </c>
      <c r="AK26" s="3342" t="s">
        <v>1948</v>
      </c>
      <c r="AL26" s="3341">
        <v>2207.85</v>
      </c>
      <c r="AM26" s="3341"/>
      <c r="AN26" s="3349">
        <f t="shared" si="30"/>
        <v>2207.85</v>
      </c>
      <c r="AO26" s="4428">
        <f t="shared" si="46"/>
        <v>2.0735321190900741E-2</v>
      </c>
      <c r="AP26" s="3409" t="s">
        <v>2004</v>
      </c>
      <c r="AQ26" s="3341">
        <f>340265.856+180.2</f>
        <v>340446.05600000004</v>
      </c>
      <c r="AR26" s="3341"/>
      <c r="AS26" s="3349">
        <f t="shared" si="31"/>
        <v>340446.05600000004</v>
      </c>
      <c r="AT26" s="4428">
        <f t="shared" si="47"/>
        <v>0.8320484979532029</v>
      </c>
      <c r="AU26" s="3409" t="s">
        <v>2064</v>
      </c>
      <c r="AV26" s="3341">
        <v>75245</v>
      </c>
      <c r="AW26" s="3341"/>
      <c r="AX26" s="3349">
        <f t="shared" si="32"/>
        <v>75245</v>
      </c>
      <c r="AY26" s="4428">
        <f t="shared" si="48"/>
        <v>0.70064927149399603</v>
      </c>
      <c r="AZ26" s="3342"/>
      <c r="BA26" s="3341"/>
      <c r="BB26" s="3341"/>
      <c r="BC26" s="3349">
        <f t="shared" si="33"/>
        <v>0</v>
      </c>
      <c r="BD26" s="4428" t="e">
        <f t="shared" si="49"/>
        <v>#DIV/0!</v>
      </c>
      <c r="BE26" s="3342"/>
      <c r="BF26" s="3341"/>
      <c r="BG26" s="3341"/>
      <c r="BH26" s="3349">
        <f t="shared" si="34"/>
        <v>0</v>
      </c>
      <c r="BI26" s="4428" t="e">
        <f t="shared" si="50"/>
        <v>#DIV/0!</v>
      </c>
      <c r="BJ26" s="3342"/>
      <c r="BK26" s="3341"/>
      <c r="BL26" s="3341"/>
      <c r="BM26" s="3349">
        <f t="shared" si="35"/>
        <v>0</v>
      </c>
      <c r="BN26" s="4428" t="e">
        <f t="shared" si="51"/>
        <v>#DIV/0!</v>
      </c>
      <c r="BO26" s="3342"/>
      <c r="BP26" s="3341"/>
      <c r="BQ26" s="3341"/>
      <c r="BR26" s="3349">
        <f t="shared" si="36"/>
        <v>0</v>
      </c>
      <c r="BS26" s="4428" t="e">
        <f t="shared" si="52"/>
        <v>#DIV/0!</v>
      </c>
      <c r="BT26" s="3342"/>
      <c r="BU26" s="3341"/>
      <c r="BV26" s="3341"/>
      <c r="BW26" s="3349">
        <f t="shared" si="37"/>
        <v>0</v>
      </c>
      <c r="BX26" s="4428" t="e">
        <f t="shared" si="53"/>
        <v>#DIV/0!</v>
      </c>
      <c r="BY26" s="3342"/>
      <c r="BZ26" s="3341"/>
      <c r="CA26" s="3341"/>
      <c r="CB26" s="3349">
        <f t="shared" si="38"/>
        <v>0</v>
      </c>
      <c r="CC26" s="4428" t="e">
        <f t="shared" si="54"/>
        <v>#DIV/0!</v>
      </c>
      <c r="CD26" s="3342"/>
      <c r="CE26" s="3341"/>
      <c r="CF26" s="3341"/>
      <c r="CG26" s="3349">
        <f t="shared" si="39"/>
        <v>0</v>
      </c>
      <c r="CH26" s="4428" t="e">
        <f t="shared" si="55"/>
        <v>#DIV/0!</v>
      </c>
      <c r="CI26" s="3342"/>
      <c r="CJ26" s="3341">
        <f t="shared" si="40"/>
        <v>418589.36600000004</v>
      </c>
      <c r="CK26" s="3341">
        <f t="shared" si="40"/>
        <v>0</v>
      </c>
      <c r="CL26" s="3349">
        <f t="shared" si="56"/>
        <v>418589.36600000004</v>
      </c>
      <c r="CM26" s="4428">
        <f t="shared" si="41"/>
        <v>0.56236113917669805</v>
      </c>
      <c r="CN26" s="1434"/>
      <c r="CP26" s="2011">
        <f>374655.48+75347.88</f>
        <v>450003.36</v>
      </c>
      <c r="CQ26" s="2012">
        <f>CL26</f>
        <v>418589.36600000004</v>
      </c>
      <c r="CR26" s="4614">
        <f t="shared" si="57"/>
        <v>31413.993999999948</v>
      </c>
      <c r="CS26" s="2011">
        <v>75347.88</v>
      </c>
      <c r="CT26" s="2012">
        <f>AX26</f>
        <v>75245</v>
      </c>
      <c r="CU26" s="4614">
        <f t="shared" si="58"/>
        <v>102.88000000000466</v>
      </c>
      <c r="CV26" s="4058"/>
      <c r="CW26" s="4616">
        <f>CR26/CP26</f>
        <v>6.9808354319843183E-2</v>
      </c>
    </row>
    <row r="27" spans="1:103" s="1396" customFormat="1" ht="13.8" outlineLevel="2">
      <c r="A27" s="1571"/>
      <c r="B27" s="4430" t="s">
        <v>25</v>
      </c>
      <c r="C27" s="3341"/>
      <c r="D27" s="3341"/>
      <c r="E27" s="3349">
        <f t="shared" si="20"/>
        <v>0</v>
      </c>
      <c r="F27" s="4428" t="e">
        <f t="shared" si="16"/>
        <v>#DIV/0!</v>
      </c>
      <c r="G27" s="3342"/>
      <c r="H27" s="3341"/>
      <c r="I27" s="3341"/>
      <c r="J27" s="3349">
        <f t="shared" si="21"/>
        <v>0</v>
      </c>
      <c r="K27" s="4428" t="e">
        <f t="shared" si="43"/>
        <v>#DIV/0!</v>
      </c>
      <c r="L27" s="3342"/>
      <c r="M27" s="3341"/>
      <c r="N27" s="3341"/>
      <c r="O27" s="3349">
        <f t="shared" si="22"/>
        <v>0</v>
      </c>
      <c r="P27" s="4428" t="e">
        <f t="shared" si="23"/>
        <v>#DIV/0!</v>
      </c>
      <c r="Q27" s="3342"/>
      <c r="R27" s="3342">
        <f t="shared" si="24"/>
        <v>0</v>
      </c>
      <c r="S27" s="3342">
        <f t="shared" si="24"/>
        <v>0</v>
      </c>
      <c r="T27" s="2012">
        <f t="shared" si="25"/>
        <v>0</v>
      </c>
      <c r="U27" s="3342"/>
      <c r="V27" s="3342"/>
      <c r="W27" s="3342">
        <f t="shared" si="26"/>
        <v>0</v>
      </c>
      <c r="X27" s="3342">
        <f t="shared" si="26"/>
        <v>0</v>
      </c>
      <c r="Y27" s="2012">
        <f t="shared" si="27"/>
        <v>0</v>
      </c>
      <c r="Z27" s="3342"/>
      <c r="AA27" s="3342"/>
      <c r="AB27" s="3341"/>
      <c r="AC27" s="3341"/>
      <c r="AD27" s="3349">
        <f t="shared" si="28"/>
        <v>0</v>
      </c>
      <c r="AE27" s="4428" t="e">
        <f t="shared" si="44"/>
        <v>#DIV/0!</v>
      </c>
      <c r="AF27" s="3342"/>
      <c r="AG27" s="3341"/>
      <c r="AH27" s="3341"/>
      <c r="AI27" s="3349">
        <f t="shared" si="29"/>
        <v>0</v>
      </c>
      <c r="AJ27" s="4428">
        <f t="shared" si="45"/>
        <v>0</v>
      </c>
      <c r="AK27" s="3342"/>
      <c r="AL27" s="3341"/>
      <c r="AM27" s="3341"/>
      <c r="AN27" s="3349">
        <f t="shared" si="30"/>
        <v>0</v>
      </c>
      <c r="AO27" s="4428">
        <f t="shared" si="46"/>
        <v>0</v>
      </c>
      <c r="AP27" s="3342"/>
      <c r="AQ27" s="3341"/>
      <c r="AR27" s="3341"/>
      <c r="AS27" s="3349">
        <f t="shared" si="31"/>
        <v>0</v>
      </c>
      <c r="AT27" s="4428">
        <f t="shared" si="47"/>
        <v>0</v>
      </c>
      <c r="AU27" s="3342"/>
      <c r="AV27" s="3341"/>
      <c r="AW27" s="3341"/>
      <c r="AX27" s="3349">
        <f t="shared" si="32"/>
        <v>0</v>
      </c>
      <c r="AY27" s="4428">
        <f t="shared" si="48"/>
        <v>0</v>
      </c>
      <c r="AZ27" s="3342"/>
      <c r="BA27" s="3341"/>
      <c r="BB27" s="3341"/>
      <c r="BC27" s="3349">
        <f t="shared" si="33"/>
        <v>0</v>
      </c>
      <c r="BD27" s="4428" t="e">
        <f t="shared" si="49"/>
        <v>#DIV/0!</v>
      </c>
      <c r="BE27" s="3342"/>
      <c r="BF27" s="3341"/>
      <c r="BG27" s="3341"/>
      <c r="BH27" s="3349">
        <f t="shared" si="34"/>
        <v>0</v>
      </c>
      <c r="BI27" s="4428" t="e">
        <f t="shared" si="50"/>
        <v>#DIV/0!</v>
      </c>
      <c r="BJ27" s="3342"/>
      <c r="BK27" s="3341"/>
      <c r="BL27" s="3341"/>
      <c r="BM27" s="3349">
        <f t="shared" si="35"/>
        <v>0</v>
      </c>
      <c r="BN27" s="4428" t="e">
        <f t="shared" si="51"/>
        <v>#DIV/0!</v>
      </c>
      <c r="BO27" s="3342"/>
      <c r="BP27" s="3341"/>
      <c r="BQ27" s="3341"/>
      <c r="BR27" s="3349">
        <f t="shared" si="36"/>
        <v>0</v>
      </c>
      <c r="BS27" s="4428" t="e">
        <f t="shared" si="52"/>
        <v>#DIV/0!</v>
      </c>
      <c r="BT27" s="3342"/>
      <c r="BU27" s="3341"/>
      <c r="BV27" s="3341"/>
      <c r="BW27" s="3349">
        <f t="shared" si="37"/>
        <v>0</v>
      </c>
      <c r="BX27" s="4428" t="e">
        <f t="shared" si="53"/>
        <v>#DIV/0!</v>
      </c>
      <c r="BY27" s="3342"/>
      <c r="BZ27" s="3341"/>
      <c r="CA27" s="3341"/>
      <c r="CB27" s="3349">
        <f t="shared" si="38"/>
        <v>0</v>
      </c>
      <c r="CC27" s="4428" t="e">
        <f t="shared" si="54"/>
        <v>#DIV/0!</v>
      </c>
      <c r="CD27" s="3342"/>
      <c r="CE27" s="3341"/>
      <c r="CF27" s="3341"/>
      <c r="CG27" s="3349">
        <f t="shared" si="39"/>
        <v>0</v>
      </c>
      <c r="CH27" s="4428" t="e">
        <f t="shared" si="55"/>
        <v>#DIV/0!</v>
      </c>
      <c r="CI27" s="3342"/>
      <c r="CJ27" s="3341">
        <f t="shared" si="40"/>
        <v>0</v>
      </c>
      <c r="CK27" s="3341">
        <f t="shared" si="40"/>
        <v>0</v>
      </c>
      <c r="CL27" s="3349">
        <f t="shared" si="56"/>
        <v>0</v>
      </c>
      <c r="CM27" s="4428">
        <f t="shared" si="41"/>
        <v>0</v>
      </c>
      <c r="CN27" s="1434"/>
      <c r="CP27" s="4615"/>
      <c r="CQ27" s="2012">
        <f t="shared" si="42"/>
        <v>0</v>
      </c>
      <c r="CR27" s="4614">
        <f t="shared" si="57"/>
        <v>0</v>
      </c>
      <c r="CS27" s="4615"/>
      <c r="CT27" s="2012"/>
      <c r="CU27" s="4614"/>
      <c r="CV27" s="3307"/>
      <c r="CW27" s="3443"/>
    </row>
    <row r="28" spans="1:103" s="1396" customFormat="1" ht="13.8" outlineLevel="2">
      <c r="A28" s="1571"/>
      <c r="B28" s="4430" t="s">
        <v>52</v>
      </c>
      <c r="C28" s="3341"/>
      <c r="D28" s="3341"/>
      <c r="E28" s="3349">
        <f t="shared" si="20"/>
        <v>0</v>
      </c>
      <c r="F28" s="4428" t="e">
        <f t="shared" si="16"/>
        <v>#DIV/0!</v>
      </c>
      <c r="G28" s="3342"/>
      <c r="H28" s="3341"/>
      <c r="I28" s="3341"/>
      <c r="J28" s="3349">
        <f t="shared" si="21"/>
        <v>0</v>
      </c>
      <c r="K28" s="4428" t="e">
        <f t="shared" si="43"/>
        <v>#DIV/0!</v>
      </c>
      <c r="L28" s="3342"/>
      <c r="M28" s="3341"/>
      <c r="N28" s="3341"/>
      <c r="O28" s="3349">
        <f t="shared" si="22"/>
        <v>0</v>
      </c>
      <c r="P28" s="4428" t="e">
        <f t="shared" si="23"/>
        <v>#DIV/0!</v>
      </c>
      <c r="Q28" s="3409"/>
      <c r="R28" s="3342">
        <f t="shared" si="24"/>
        <v>0</v>
      </c>
      <c r="S28" s="3342">
        <f t="shared" si="24"/>
        <v>0</v>
      </c>
      <c r="T28" s="2012">
        <f t="shared" si="25"/>
        <v>0</v>
      </c>
      <c r="U28" s="3409"/>
      <c r="V28" s="3409"/>
      <c r="W28" s="3342">
        <f t="shared" si="26"/>
        <v>0</v>
      </c>
      <c r="X28" s="3342">
        <f t="shared" si="26"/>
        <v>0</v>
      </c>
      <c r="Y28" s="2012">
        <f t="shared" si="27"/>
        <v>0</v>
      </c>
      <c r="Z28" s="3409"/>
      <c r="AA28" s="3409"/>
      <c r="AB28" s="3341"/>
      <c r="AC28" s="3341"/>
      <c r="AD28" s="3349">
        <f t="shared" si="28"/>
        <v>0</v>
      </c>
      <c r="AE28" s="4428" t="e">
        <f t="shared" si="44"/>
        <v>#DIV/0!</v>
      </c>
      <c r="AF28" s="3409"/>
      <c r="AG28" s="3341"/>
      <c r="AH28" s="3341"/>
      <c r="AI28" s="3349">
        <f t="shared" si="29"/>
        <v>0</v>
      </c>
      <c r="AJ28" s="4428">
        <f t="shared" si="45"/>
        <v>0</v>
      </c>
      <c r="AK28" s="3409"/>
      <c r="AL28" s="3341"/>
      <c r="AM28" s="3341"/>
      <c r="AN28" s="3349">
        <f t="shared" si="30"/>
        <v>0</v>
      </c>
      <c r="AO28" s="4428">
        <f t="shared" si="46"/>
        <v>0</v>
      </c>
      <c r="AP28" s="3409"/>
      <c r="AQ28" s="3341"/>
      <c r="AR28" s="3341"/>
      <c r="AS28" s="3349">
        <f t="shared" si="31"/>
        <v>0</v>
      </c>
      <c r="AT28" s="4428">
        <f t="shared" si="47"/>
        <v>0</v>
      </c>
      <c r="AU28" s="3409"/>
      <c r="AV28" s="3341"/>
      <c r="AW28" s="3341"/>
      <c r="AX28" s="3349">
        <f t="shared" si="32"/>
        <v>0</v>
      </c>
      <c r="AY28" s="4428">
        <f t="shared" si="48"/>
        <v>0</v>
      </c>
      <c r="AZ28" s="3409"/>
      <c r="BA28" s="3341"/>
      <c r="BB28" s="3341"/>
      <c r="BC28" s="3349">
        <f t="shared" si="33"/>
        <v>0</v>
      </c>
      <c r="BD28" s="4428" t="e">
        <f t="shared" si="49"/>
        <v>#DIV/0!</v>
      </c>
      <c r="BE28" s="3409"/>
      <c r="BF28" s="3341"/>
      <c r="BG28" s="3341"/>
      <c r="BH28" s="3349">
        <f t="shared" si="34"/>
        <v>0</v>
      </c>
      <c r="BI28" s="4428" t="e">
        <f t="shared" si="50"/>
        <v>#DIV/0!</v>
      </c>
      <c r="BJ28" s="3409"/>
      <c r="BK28" s="3341"/>
      <c r="BL28" s="3341"/>
      <c r="BM28" s="3349">
        <f t="shared" si="35"/>
        <v>0</v>
      </c>
      <c r="BN28" s="4428" t="e">
        <f t="shared" si="51"/>
        <v>#DIV/0!</v>
      </c>
      <c r="BO28" s="3409"/>
      <c r="BP28" s="3341"/>
      <c r="BQ28" s="3341"/>
      <c r="BR28" s="3349">
        <f t="shared" si="36"/>
        <v>0</v>
      </c>
      <c r="BS28" s="4428" t="e">
        <f t="shared" si="52"/>
        <v>#DIV/0!</v>
      </c>
      <c r="BT28" s="3409"/>
      <c r="BU28" s="3341"/>
      <c r="BV28" s="3341"/>
      <c r="BW28" s="3349">
        <f t="shared" si="37"/>
        <v>0</v>
      </c>
      <c r="BX28" s="4428" t="e">
        <f t="shared" si="53"/>
        <v>#DIV/0!</v>
      </c>
      <c r="BY28" s="3409"/>
      <c r="BZ28" s="3341"/>
      <c r="CA28" s="3341"/>
      <c r="CB28" s="3349">
        <f t="shared" si="38"/>
        <v>0</v>
      </c>
      <c r="CC28" s="4428" t="e">
        <f t="shared" si="54"/>
        <v>#DIV/0!</v>
      </c>
      <c r="CD28" s="3409"/>
      <c r="CE28" s="3341"/>
      <c r="CF28" s="3341"/>
      <c r="CG28" s="3349">
        <f t="shared" si="39"/>
        <v>0</v>
      </c>
      <c r="CH28" s="4428" t="e">
        <f t="shared" si="55"/>
        <v>#DIV/0!</v>
      </c>
      <c r="CI28" s="3409"/>
      <c r="CJ28" s="3341">
        <f t="shared" si="40"/>
        <v>0</v>
      </c>
      <c r="CK28" s="3341">
        <f t="shared" si="40"/>
        <v>0</v>
      </c>
      <c r="CL28" s="3349">
        <f t="shared" si="56"/>
        <v>0</v>
      </c>
      <c r="CM28" s="4428">
        <f t="shared" si="41"/>
        <v>0</v>
      </c>
      <c r="CN28" s="1434"/>
      <c r="CP28" s="4615"/>
      <c r="CQ28" s="2012">
        <f t="shared" si="42"/>
        <v>0</v>
      </c>
      <c r="CR28" s="4614">
        <f t="shared" si="57"/>
        <v>0</v>
      </c>
      <c r="CS28" s="4615"/>
      <c r="CT28" s="2012"/>
      <c r="CU28" s="4614"/>
      <c r="CV28" s="3307"/>
      <c r="CW28" s="3443"/>
    </row>
    <row r="29" spans="1:103" s="1396" customFormat="1" ht="13.8" outlineLevel="2">
      <c r="A29" s="1571"/>
      <c r="B29" s="4430" t="s">
        <v>31</v>
      </c>
      <c r="C29" s="3341"/>
      <c r="D29" s="3341"/>
      <c r="E29" s="3349">
        <f t="shared" si="20"/>
        <v>0</v>
      </c>
      <c r="F29" s="4428" t="e">
        <f t="shared" si="16"/>
        <v>#DIV/0!</v>
      </c>
      <c r="G29" s="3342"/>
      <c r="H29" s="3341"/>
      <c r="I29" s="3341"/>
      <c r="J29" s="3349">
        <f t="shared" si="21"/>
        <v>0</v>
      </c>
      <c r="K29" s="4428" t="e">
        <f t="shared" si="43"/>
        <v>#DIV/0!</v>
      </c>
      <c r="L29" s="3342"/>
      <c r="M29" s="3341"/>
      <c r="N29" s="3341"/>
      <c r="O29" s="3349">
        <f t="shared" si="22"/>
        <v>0</v>
      </c>
      <c r="P29" s="4428" t="e">
        <f t="shared" si="23"/>
        <v>#DIV/0!</v>
      </c>
      <c r="Q29" s="3342"/>
      <c r="R29" s="3342">
        <f t="shared" si="24"/>
        <v>0</v>
      </c>
      <c r="S29" s="3342">
        <f t="shared" si="24"/>
        <v>0</v>
      </c>
      <c r="T29" s="2012">
        <f t="shared" si="25"/>
        <v>0</v>
      </c>
      <c r="U29" s="3342"/>
      <c r="V29" s="3342"/>
      <c r="W29" s="3342">
        <f t="shared" si="26"/>
        <v>0</v>
      </c>
      <c r="X29" s="3342">
        <f t="shared" si="26"/>
        <v>0</v>
      </c>
      <c r="Y29" s="2012">
        <f t="shared" si="27"/>
        <v>0</v>
      </c>
      <c r="Z29" s="3342"/>
      <c r="AA29" s="3342"/>
      <c r="AB29" s="3341"/>
      <c r="AC29" s="3341"/>
      <c r="AD29" s="3349">
        <f t="shared" si="28"/>
        <v>0</v>
      </c>
      <c r="AE29" s="4428" t="e">
        <f t="shared" si="44"/>
        <v>#DIV/0!</v>
      </c>
      <c r="AF29" s="3342"/>
      <c r="AG29" s="3341"/>
      <c r="AH29" s="3341"/>
      <c r="AI29" s="3349">
        <f t="shared" si="29"/>
        <v>0</v>
      </c>
      <c r="AJ29" s="4428">
        <f t="shared" si="45"/>
        <v>0</v>
      </c>
      <c r="AK29" s="3342"/>
      <c r="AL29" s="3341"/>
      <c r="AM29" s="3341"/>
      <c r="AN29" s="3349">
        <f t="shared" si="30"/>
        <v>0</v>
      </c>
      <c r="AO29" s="4428">
        <f t="shared" si="46"/>
        <v>0</v>
      </c>
      <c r="AP29" s="3342"/>
      <c r="AQ29" s="3341"/>
      <c r="AR29" s="3341"/>
      <c r="AS29" s="3349">
        <f t="shared" si="31"/>
        <v>0</v>
      </c>
      <c r="AT29" s="4428">
        <f t="shared" si="47"/>
        <v>0</v>
      </c>
      <c r="AU29" s="3342"/>
      <c r="AV29" s="3341"/>
      <c r="AW29" s="3341"/>
      <c r="AX29" s="3349">
        <f t="shared" si="32"/>
        <v>0</v>
      </c>
      <c r="AY29" s="4428">
        <f t="shared" si="48"/>
        <v>0</v>
      </c>
      <c r="AZ29" s="3342"/>
      <c r="BA29" s="3341"/>
      <c r="BB29" s="3341"/>
      <c r="BC29" s="3349">
        <f t="shared" si="33"/>
        <v>0</v>
      </c>
      <c r="BD29" s="4428" t="e">
        <f t="shared" si="49"/>
        <v>#DIV/0!</v>
      </c>
      <c r="BE29" s="3342"/>
      <c r="BF29" s="3341"/>
      <c r="BG29" s="3341"/>
      <c r="BH29" s="3349">
        <f t="shared" si="34"/>
        <v>0</v>
      </c>
      <c r="BI29" s="4428" t="e">
        <f t="shared" si="50"/>
        <v>#DIV/0!</v>
      </c>
      <c r="BJ29" s="3342"/>
      <c r="BK29" s="3341"/>
      <c r="BL29" s="3341"/>
      <c r="BM29" s="3349">
        <f t="shared" si="35"/>
        <v>0</v>
      </c>
      <c r="BN29" s="4428" t="e">
        <f t="shared" si="51"/>
        <v>#DIV/0!</v>
      </c>
      <c r="BO29" s="3342"/>
      <c r="BP29" s="3341"/>
      <c r="BQ29" s="3341"/>
      <c r="BR29" s="3349">
        <f t="shared" si="36"/>
        <v>0</v>
      </c>
      <c r="BS29" s="4428" t="e">
        <f t="shared" si="52"/>
        <v>#DIV/0!</v>
      </c>
      <c r="BT29" s="3342"/>
      <c r="BU29" s="3341"/>
      <c r="BV29" s="3341"/>
      <c r="BW29" s="3349">
        <f t="shared" si="37"/>
        <v>0</v>
      </c>
      <c r="BX29" s="4428" t="e">
        <f t="shared" si="53"/>
        <v>#DIV/0!</v>
      </c>
      <c r="BY29" s="3342"/>
      <c r="BZ29" s="3341"/>
      <c r="CA29" s="3341"/>
      <c r="CB29" s="3349">
        <f t="shared" si="38"/>
        <v>0</v>
      </c>
      <c r="CC29" s="4428" t="e">
        <f t="shared" si="54"/>
        <v>#DIV/0!</v>
      </c>
      <c r="CD29" s="3342"/>
      <c r="CE29" s="3341"/>
      <c r="CF29" s="3341"/>
      <c r="CG29" s="3349">
        <f t="shared" si="39"/>
        <v>0</v>
      </c>
      <c r="CH29" s="4428" t="e">
        <f t="shared" si="55"/>
        <v>#DIV/0!</v>
      </c>
      <c r="CI29" s="3342"/>
      <c r="CJ29" s="3341">
        <f t="shared" si="40"/>
        <v>0</v>
      </c>
      <c r="CK29" s="3341">
        <f t="shared" si="40"/>
        <v>0</v>
      </c>
      <c r="CL29" s="3349">
        <f t="shared" si="56"/>
        <v>0</v>
      </c>
      <c r="CM29" s="4428">
        <f t="shared" si="41"/>
        <v>0</v>
      </c>
      <c r="CN29" s="4432"/>
      <c r="CP29" s="4615"/>
      <c r="CQ29" s="2012">
        <f t="shared" si="42"/>
        <v>0</v>
      </c>
      <c r="CR29" s="4614">
        <f t="shared" si="57"/>
        <v>0</v>
      </c>
      <c r="CS29" s="4615"/>
      <c r="CT29" s="2012"/>
      <c r="CU29" s="4614"/>
      <c r="CW29" s="2624"/>
    </row>
    <row r="30" spans="1:103" s="1396" customFormat="1" ht="13.8" outlineLevel="2">
      <c r="A30" s="1571"/>
      <c r="B30" s="4430" t="s">
        <v>62</v>
      </c>
      <c r="C30" s="3341"/>
      <c r="D30" s="3341"/>
      <c r="E30" s="3349">
        <f t="shared" si="20"/>
        <v>0</v>
      </c>
      <c r="F30" s="4428" t="e">
        <f t="shared" si="16"/>
        <v>#DIV/0!</v>
      </c>
      <c r="G30" s="3343"/>
      <c r="H30" s="3341"/>
      <c r="I30" s="3341"/>
      <c r="J30" s="3349">
        <f t="shared" si="21"/>
        <v>0</v>
      </c>
      <c r="K30" s="4428" t="e">
        <f t="shared" si="43"/>
        <v>#DIV/0!</v>
      </c>
      <c r="L30" s="3343"/>
      <c r="M30" s="3341"/>
      <c r="N30" s="3341"/>
      <c r="O30" s="3349">
        <f t="shared" si="22"/>
        <v>0</v>
      </c>
      <c r="P30" s="4428" t="e">
        <f t="shared" si="23"/>
        <v>#DIV/0!</v>
      </c>
      <c r="Q30" s="3342"/>
      <c r="R30" s="3342">
        <f t="shared" si="24"/>
        <v>0</v>
      </c>
      <c r="S30" s="3342">
        <f t="shared" si="24"/>
        <v>0</v>
      </c>
      <c r="T30" s="2012">
        <f t="shared" si="25"/>
        <v>0</v>
      </c>
      <c r="U30" s="3342"/>
      <c r="V30" s="3342"/>
      <c r="W30" s="3342">
        <f t="shared" si="26"/>
        <v>0</v>
      </c>
      <c r="X30" s="3342">
        <f t="shared" si="26"/>
        <v>0</v>
      </c>
      <c r="Y30" s="2012">
        <f t="shared" si="27"/>
        <v>0</v>
      </c>
      <c r="Z30" s="3342"/>
      <c r="AA30" s="3342"/>
      <c r="AB30" s="3341"/>
      <c r="AC30" s="3341"/>
      <c r="AD30" s="3349">
        <f t="shared" si="28"/>
        <v>0</v>
      </c>
      <c r="AE30" s="4428" t="e">
        <f t="shared" si="44"/>
        <v>#DIV/0!</v>
      </c>
      <c r="AF30" s="3342"/>
      <c r="AG30" s="3341"/>
      <c r="AH30" s="3341"/>
      <c r="AI30" s="3349">
        <f t="shared" si="29"/>
        <v>0</v>
      </c>
      <c r="AJ30" s="4428">
        <f t="shared" si="45"/>
        <v>0</v>
      </c>
      <c r="AK30" s="3342"/>
      <c r="AL30" s="3341"/>
      <c r="AM30" s="3341"/>
      <c r="AN30" s="3349">
        <f t="shared" si="30"/>
        <v>0</v>
      </c>
      <c r="AO30" s="4428">
        <f t="shared" si="46"/>
        <v>0</v>
      </c>
      <c r="AP30" s="3342"/>
      <c r="AQ30" s="3341"/>
      <c r="AR30" s="3341"/>
      <c r="AS30" s="3349">
        <f t="shared" si="31"/>
        <v>0</v>
      </c>
      <c r="AT30" s="4428">
        <f t="shared" si="47"/>
        <v>0</v>
      </c>
      <c r="AU30" s="3342"/>
      <c r="AV30" s="3341"/>
      <c r="AW30" s="3341"/>
      <c r="AX30" s="3349">
        <f t="shared" si="32"/>
        <v>0</v>
      </c>
      <c r="AY30" s="4428">
        <f t="shared" si="48"/>
        <v>0</v>
      </c>
      <c r="AZ30" s="3342"/>
      <c r="BA30" s="3341"/>
      <c r="BB30" s="3341"/>
      <c r="BC30" s="3349">
        <f t="shared" si="33"/>
        <v>0</v>
      </c>
      <c r="BD30" s="4428" t="e">
        <f t="shared" si="49"/>
        <v>#DIV/0!</v>
      </c>
      <c r="BE30" s="3342"/>
      <c r="BF30" s="3341"/>
      <c r="BG30" s="3341"/>
      <c r="BH30" s="3349">
        <f t="shared" si="34"/>
        <v>0</v>
      </c>
      <c r="BI30" s="4428" t="e">
        <f t="shared" si="50"/>
        <v>#DIV/0!</v>
      </c>
      <c r="BJ30" s="3342"/>
      <c r="BK30" s="3341"/>
      <c r="BL30" s="3341"/>
      <c r="BM30" s="3349">
        <f t="shared" si="35"/>
        <v>0</v>
      </c>
      <c r="BN30" s="4428" t="e">
        <f t="shared" si="51"/>
        <v>#DIV/0!</v>
      </c>
      <c r="BO30" s="3342"/>
      <c r="BP30" s="3341"/>
      <c r="BQ30" s="3341"/>
      <c r="BR30" s="3349">
        <f t="shared" si="36"/>
        <v>0</v>
      </c>
      <c r="BS30" s="4428" t="e">
        <f t="shared" si="52"/>
        <v>#DIV/0!</v>
      </c>
      <c r="BT30" s="3342"/>
      <c r="BU30" s="3341"/>
      <c r="BV30" s="3341"/>
      <c r="BW30" s="3349">
        <f t="shared" si="37"/>
        <v>0</v>
      </c>
      <c r="BX30" s="4428" t="e">
        <f t="shared" si="53"/>
        <v>#DIV/0!</v>
      </c>
      <c r="BY30" s="3342"/>
      <c r="BZ30" s="3341"/>
      <c r="CA30" s="3341"/>
      <c r="CB30" s="3349">
        <f t="shared" si="38"/>
        <v>0</v>
      </c>
      <c r="CC30" s="4428" t="e">
        <f t="shared" si="54"/>
        <v>#DIV/0!</v>
      </c>
      <c r="CD30" s="3342"/>
      <c r="CE30" s="3341"/>
      <c r="CF30" s="3341"/>
      <c r="CG30" s="3349">
        <f t="shared" si="39"/>
        <v>0</v>
      </c>
      <c r="CH30" s="4428" t="e">
        <f t="shared" si="55"/>
        <v>#DIV/0!</v>
      </c>
      <c r="CI30" s="3342"/>
      <c r="CJ30" s="3341">
        <f t="shared" si="40"/>
        <v>0</v>
      </c>
      <c r="CK30" s="3341">
        <f t="shared" si="40"/>
        <v>0</v>
      </c>
      <c r="CL30" s="3349">
        <f t="shared" si="56"/>
        <v>0</v>
      </c>
      <c r="CM30" s="4428">
        <f t="shared" si="41"/>
        <v>0</v>
      </c>
      <c r="CN30" s="4432"/>
      <c r="CP30" s="4615"/>
      <c r="CQ30" s="2012">
        <f t="shared" si="42"/>
        <v>0</v>
      </c>
      <c r="CR30" s="4614">
        <f t="shared" si="57"/>
        <v>0</v>
      </c>
      <c r="CS30" s="4615"/>
      <c r="CT30" s="2012"/>
      <c r="CU30" s="4614"/>
      <c r="CV30" s="3307"/>
      <c r="CW30" s="3443"/>
    </row>
    <row r="31" spans="1:103" s="1396" customFormat="1" ht="13.8" outlineLevel="2">
      <c r="A31" s="1571"/>
      <c r="B31" s="4430" t="s">
        <v>34</v>
      </c>
      <c r="C31" s="3341"/>
      <c r="D31" s="3341"/>
      <c r="E31" s="3349">
        <f t="shared" si="20"/>
        <v>0</v>
      </c>
      <c r="F31" s="4428" t="e">
        <f t="shared" si="16"/>
        <v>#DIV/0!</v>
      </c>
      <c r="G31" s="3343"/>
      <c r="H31" s="3341"/>
      <c r="I31" s="3341"/>
      <c r="J31" s="3349">
        <f t="shared" si="21"/>
        <v>0</v>
      </c>
      <c r="K31" s="4428" t="e">
        <f t="shared" si="43"/>
        <v>#DIV/0!</v>
      </c>
      <c r="L31" s="3343"/>
      <c r="M31" s="3341"/>
      <c r="N31" s="3341"/>
      <c r="O31" s="3349">
        <f t="shared" si="22"/>
        <v>0</v>
      </c>
      <c r="P31" s="4428" t="e">
        <f t="shared" si="23"/>
        <v>#DIV/0!</v>
      </c>
      <c r="Q31" s="3342"/>
      <c r="R31" s="3342">
        <f t="shared" si="24"/>
        <v>0</v>
      </c>
      <c r="S31" s="3342">
        <f t="shared" si="24"/>
        <v>0</v>
      </c>
      <c r="T31" s="2012">
        <f t="shared" si="25"/>
        <v>0</v>
      </c>
      <c r="U31" s="3342"/>
      <c r="V31" s="3342"/>
      <c r="W31" s="3342">
        <f t="shared" si="26"/>
        <v>0</v>
      </c>
      <c r="X31" s="3342">
        <f t="shared" si="26"/>
        <v>0</v>
      </c>
      <c r="Y31" s="2012">
        <f t="shared" si="27"/>
        <v>0</v>
      </c>
      <c r="Z31" s="3342"/>
      <c r="AA31" s="3342"/>
      <c r="AB31" s="3341"/>
      <c r="AC31" s="3341"/>
      <c r="AD31" s="3349">
        <f t="shared" si="28"/>
        <v>0</v>
      </c>
      <c r="AE31" s="4428" t="e">
        <f t="shared" si="44"/>
        <v>#DIV/0!</v>
      </c>
      <c r="AF31" s="3342"/>
      <c r="AG31" s="3341"/>
      <c r="AH31" s="3341"/>
      <c r="AI31" s="3349">
        <f t="shared" si="29"/>
        <v>0</v>
      </c>
      <c r="AJ31" s="4428">
        <f t="shared" si="45"/>
        <v>0</v>
      </c>
      <c r="AK31" s="3342"/>
      <c r="AL31" s="3341"/>
      <c r="AM31" s="3341"/>
      <c r="AN31" s="3349">
        <f t="shared" si="30"/>
        <v>0</v>
      </c>
      <c r="AO31" s="4428">
        <f t="shared" si="46"/>
        <v>0</v>
      </c>
      <c r="AP31" s="3342"/>
      <c r="AQ31" s="3341"/>
      <c r="AR31" s="3341"/>
      <c r="AS31" s="3349">
        <f t="shared" si="31"/>
        <v>0</v>
      </c>
      <c r="AT31" s="4428">
        <f t="shared" si="47"/>
        <v>0</v>
      </c>
      <c r="AU31" s="3342"/>
      <c r="AV31" s="3341"/>
      <c r="AW31" s="3341"/>
      <c r="AX31" s="3349">
        <f t="shared" si="32"/>
        <v>0</v>
      </c>
      <c r="AY31" s="4428">
        <f t="shared" si="48"/>
        <v>0</v>
      </c>
      <c r="AZ31" s="3342"/>
      <c r="BA31" s="3341"/>
      <c r="BB31" s="3341"/>
      <c r="BC31" s="3349">
        <f t="shared" si="33"/>
        <v>0</v>
      </c>
      <c r="BD31" s="4428" t="e">
        <f t="shared" si="49"/>
        <v>#DIV/0!</v>
      </c>
      <c r="BE31" s="3342"/>
      <c r="BF31" s="3341"/>
      <c r="BG31" s="3341"/>
      <c r="BH31" s="3349">
        <f t="shared" si="34"/>
        <v>0</v>
      </c>
      <c r="BI31" s="4428" t="e">
        <f t="shared" si="50"/>
        <v>#DIV/0!</v>
      </c>
      <c r="BJ31" s="3342"/>
      <c r="BK31" s="3341"/>
      <c r="BL31" s="3341"/>
      <c r="BM31" s="3349">
        <f t="shared" si="35"/>
        <v>0</v>
      </c>
      <c r="BN31" s="4428" t="e">
        <f t="shared" si="51"/>
        <v>#DIV/0!</v>
      </c>
      <c r="BO31" s="3342"/>
      <c r="BP31" s="3341"/>
      <c r="BQ31" s="3341"/>
      <c r="BR31" s="3349">
        <f t="shared" si="36"/>
        <v>0</v>
      </c>
      <c r="BS31" s="4428" t="e">
        <f t="shared" si="52"/>
        <v>#DIV/0!</v>
      </c>
      <c r="BT31" s="3342"/>
      <c r="BU31" s="3341"/>
      <c r="BV31" s="3341"/>
      <c r="BW31" s="3349">
        <f t="shared" si="37"/>
        <v>0</v>
      </c>
      <c r="BX31" s="4428" t="e">
        <f t="shared" si="53"/>
        <v>#DIV/0!</v>
      </c>
      <c r="BY31" s="3342"/>
      <c r="BZ31" s="3341"/>
      <c r="CA31" s="3341"/>
      <c r="CB31" s="3349">
        <f t="shared" si="38"/>
        <v>0</v>
      </c>
      <c r="CC31" s="4428" t="e">
        <f t="shared" si="54"/>
        <v>#DIV/0!</v>
      </c>
      <c r="CD31" s="3342"/>
      <c r="CE31" s="3341"/>
      <c r="CF31" s="3341"/>
      <c r="CG31" s="3349">
        <f t="shared" si="39"/>
        <v>0</v>
      </c>
      <c r="CH31" s="4428" t="e">
        <f t="shared" si="55"/>
        <v>#DIV/0!</v>
      </c>
      <c r="CI31" s="3342"/>
      <c r="CJ31" s="3341">
        <f t="shared" si="40"/>
        <v>0</v>
      </c>
      <c r="CK31" s="3341">
        <f t="shared" si="40"/>
        <v>0</v>
      </c>
      <c r="CL31" s="3349">
        <f t="shared" si="56"/>
        <v>0</v>
      </c>
      <c r="CM31" s="4428">
        <f t="shared" si="41"/>
        <v>0</v>
      </c>
      <c r="CN31" s="4432"/>
      <c r="CP31" s="4615"/>
      <c r="CQ31" s="2012">
        <f t="shared" si="42"/>
        <v>0</v>
      </c>
      <c r="CR31" s="4614">
        <f t="shared" si="57"/>
        <v>0</v>
      </c>
      <c r="CS31" s="4615"/>
      <c r="CT31" s="2012"/>
      <c r="CU31" s="4614"/>
      <c r="CV31" s="3307"/>
      <c r="CW31" s="3443"/>
      <c r="CY31" s="933"/>
    </row>
    <row r="32" spans="1:103" s="1396" customFormat="1" ht="13.8" outlineLevel="2">
      <c r="A32" s="1571"/>
      <c r="B32" s="4433" t="s">
        <v>2</v>
      </c>
      <c r="C32" s="3341"/>
      <c r="D32" s="3341"/>
      <c r="E32" s="3349">
        <f t="shared" si="20"/>
        <v>0</v>
      </c>
      <c r="F32" s="4428" t="e">
        <f t="shared" si="16"/>
        <v>#DIV/0!</v>
      </c>
      <c r="G32" s="4434"/>
      <c r="H32" s="3341"/>
      <c r="I32" s="3341"/>
      <c r="J32" s="3349">
        <f t="shared" si="21"/>
        <v>0</v>
      </c>
      <c r="K32" s="4428" t="e">
        <f t="shared" si="43"/>
        <v>#DIV/0!</v>
      </c>
      <c r="L32" s="4434"/>
      <c r="M32" s="3341"/>
      <c r="N32" s="3341"/>
      <c r="O32" s="3349">
        <f t="shared" si="22"/>
        <v>0</v>
      </c>
      <c r="P32" s="4428" t="e">
        <f t="shared" si="23"/>
        <v>#DIV/0!</v>
      </c>
      <c r="Q32" s="4434"/>
      <c r="R32" s="3342">
        <f t="shared" si="24"/>
        <v>0</v>
      </c>
      <c r="S32" s="3342">
        <f t="shared" si="24"/>
        <v>0</v>
      </c>
      <c r="T32" s="2012">
        <f t="shared" si="25"/>
        <v>0</v>
      </c>
      <c r="U32" s="2048"/>
      <c r="V32" s="2048"/>
      <c r="W32" s="3342">
        <f t="shared" si="26"/>
        <v>0</v>
      </c>
      <c r="X32" s="3342">
        <f t="shared" si="26"/>
        <v>0</v>
      </c>
      <c r="Y32" s="2012">
        <f t="shared" si="27"/>
        <v>0</v>
      </c>
      <c r="Z32" s="2048"/>
      <c r="AA32" s="2048"/>
      <c r="AB32" s="3341"/>
      <c r="AC32" s="3341"/>
      <c r="AD32" s="3349">
        <f t="shared" si="28"/>
        <v>0</v>
      </c>
      <c r="AE32" s="4428" t="e">
        <f t="shared" si="44"/>
        <v>#DIV/0!</v>
      </c>
      <c r="AF32" s="4434"/>
      <c r="AG32" s="3341"/>
      <c r="AH32" s="3341"/>
      <c r="AI32" s="3349">
        <f t="shared" si="29"/>
        <v>0</v>
      </c>
      <c r="AJ32" s="4428">
        <f t="shared" si="45"/>
        <v>0</v>
      </c>
      <c r="AK32" s="4434"/>
      <c r="AL32" s="3341"/>
      <c r="AM32" s="3341"/>
      <c r="AN32" s="3349">
        <f t="shared" si="30"/>
        <v>0</v>
      </c>
      <c r="AO32" s="4428">
        <f t="shared" si="46"/>
        <v>0</v>
      </c>
      <c r="AP32" s="4434"/>
      <c r="AQ32" s="3341"/>
      <c r="AR32" s="3341"/>
      <c r="AS32" s="3349">
        <f t="shared" si="31"/>
        <v>0</v>
      </c>
      <c r="AT32" s="4428">
        <f t="shared" si="47"/>
        <v>0</v>
      </c>
      <c r="AU32" s="4434"/>
      <c r="AV32" s="3341"/>
      <c r="AW32" s="3341"/>
      <c r="AX32" s="3349">
        <f t="shared" si="32"/>
        <v>0</v>
      </c>
      <c r="AY32" s="4428">
        <f t="shared" si="48"/>
        <v>0</v>
      </c>
      <c r="AZ32" s="4434"/>
      <c r="BA32" s="3341"/>
      <c r="BB32" s="3341"/>
      <c r="BC32" s="3349">
        <f t="shared" si="33"/>
        <v>0</v>
      </c>
      <c r="BD32" s="4428" t="e">
        <f t="shared" si="49"/>
        <v>#DIV/0!</v>
      </c>
      <c r="BE32" s="4434"/>
      <c r="BF32" s="3341"/>
      <c r="BG32" s="3341"/>
      <c r="BH32" s="3349">
        <f t="shared" si="34"/>
        <v>0</v>
      </c>
      <c r="BI32" s="4428" t="e">
        <f t="shared" si="50"/>
        <v>#DIV/0!</v>
      </c>
      <c r="BJ32" s="4434"/>
      <c r="BK32" s="3341"/>
      <c r="BL32" s="3341"/>
      <c r="BM32" s="3349">
        <f t="shared" si="35"/>
        <v>0</v>
      </c>
      <c r="BN32" s="4428" t="e">
        <f t="shared" si="51"/>
        <v>#DIV/0!</v>
      </c>
      <c r="BO32" s="4434"/>
      <c r="BP32" s="3341"/>
      <c r="BQ32" s="3341"/>
      <c r="BR32" s="3349">
        <f t="shared" si="36"/>
        <v>0</v>
      </c>
      <c r="BS32" s="4428" t="e">
        <f t="shared" si="52"/>
        <v>#DIV/0!</v>
      </c>
      <c r="BT32" s="4434"/>
      <c r="BU32" s="3341"/>
      <c r="BV32" s="3341"/>
      <c r="BW32" s="3349">
        <f t="shared" si="37"/>
        <v>0</v>
      </c>
      <c r="BX32" s="4428" t="e">
        <f t="shared" si="53"/>
        <v>#DIV/0!</v>
      </c>
      <c r="BY32" s="4434"/>
      <c r="BZ32" s="3341"/>
      <c r="CA32" s="3341"/>
      <c r="CB32" s="3349">
        <f t="shared" si="38"/>
        <v>0</v>
      </c>
      <c r="CC32" s="4428" t="e">
        <f t="shared" si="54"/>
        <v>#DIV/0!</v>
      </c>
      <c r="CD32" s="4434"/>
      <c r="CE32" s="3341"/>
      <c r="CF32" s="3341"/>
      <c r="CG32" s="3349">
        <f t="shared" si="39"/>
        <v>0</v>
      </c>
      <c r="CH32" s="4428" t="e">
        <f t="shared" si="55"/>
        <v>#DIV/0!</v>
      </c>
      <c r="CI32" s="4434"/>
      <c r="CJ32" s="4622">
        <f t="shared" si="40"/>
        <v>0</v>
      </c>
      <c r="CK32" s="4623">
        <f t="shared" si="40"/>
        <v>0</v>
      </c>
      <c r="CL32" s="3349">
        <f t="shared" si="56"/>
        <v>0</v>
      </c>
      <c r="CM32" s="4428">
        <f t="shared" si="41"/>
        <v>0</v>
      </c>
      <c r="CN32" s="4432"/>
      <c r="CP32" s="4615"/>
      <c r="CQ32" s="2012">
        <f t="shared" si="42"/>
        <v>0</v>
      </c>
      <c r="CR32" s="4614">
        <f t="shared" si="57"/>
        <v>0</v>
      </c>
      <c r="CS32" s="4615"/>
      <c r="CT32" s="2012"/>
      <c r="CU32" s="4614"/>
      <c r="CW32" s="2624"/>
    </row>
    <row r="33" spans="1:101" s="1396" customFormat="1" ht="14.4" outlineLevel="2" thickBot="1">
      <c r="A33" s="1571"/>
      <c r="B33" s="4435" t="s">
        <v>75</v>
      </c>
      <c r="C33" s="4624"/>
      <c r="D33" s="4624"/>
      <c r="E33" s="4625">
        <f t="shared" ref="E33" si="59">C33+D33*1</f>
        <v>0</v>
      </c>
      <c r="F33" s="4437" t="e">
        <f t="shared" si="16"/>
        <v>#DIV/0!</v>
      </c>
      <c r="G33" s="4438"/>
      <c r="H33" s="4624"/>
      <c r="I33" s="4624"/>
      <c r="J33" s="4625">
        <f>H33+I33*1</f>
        <v>0</v>
      </c>
      <c r="K33" s="4437" t="e">
        <f t="shared" si="43"/>
        <v>#DIV/0!</v>
      </c>
      <c r="L33" s="4438"/>
      <c r="M33" s="4624"/>
      <c r="N33" s="4624"/>
      <c r="O33" s="4625">
        <f t="shared" ref="O33" si="60">M33+N33*1</f>
        <v>0</v>
      </c>
      <c r="P33" s="4428" t="e">
        <f t="shared" si="23"/>
        <v>#DIV/0!</v>
      </c>
      <c r="Q33" s="4438"/>
      <c r="R33" s="4626">
        <f t="shared" si="24"/>
        <v>0</v>
      </c>
      <c r="S33" s="4627">
        <f t="shared" si="24"/>
        <v>0</v>
      </c>
      <c r="T33" s="4628">
        <f t="shared" si="25"/>
        <v>0</v>
      </c>
      <c r="U33" s="4438"/>
      <c r="V33" s="4438"/>
      <c r="W33" s="4627">
        <f t="shared" si="26"/>
        <v>0</v>
      </c>
      <c r="X33" s="4627">
        <f t="shared" si="26"/>
        <v>0</v>
      </c>
      <c r="Y33" s="4628">
        <f t="shared" si="27"/>
        <v>0</v>
      </c>
      <c r="Z33" s="4438"/>
      <c r="AA33" s="4438"/>
      <c r="AB33" s="4624"/>
      <c r="AC33" s="4624"/>
      <c r="AD33" s="4625">
        <f t="shared" ref="AD33" si="61">AB33+AC33*1</f>
        <v>0</v>
      </c>
      <c r="AE33" s="4437" t="e">
        <f t="shared" si="44"/>
        <v>#DIV/0!</v>
      </c>
      <c r="AF33" s="4438"/>
      <c r="AG33" s="4624"/>
      <c r="AH33" s="4624"/>
      <c r="AI33" s="4625">
        <f t="shared" ref="AI33" si="62">AG33+AH33*1</f>
        <v>0</v>
      </c>
      <c r="AJ33" s="4437">
        <f t="shared" si="45"/>
        <v>0</v>
      </c>
      <c r="AK33" s="4438"/>
      <c r="AL33" s="4624"/>
      <c r="AM33" s="4624"/>
      <c r="AN33" s="4625">
        <f t="shared" ref="AN33" si="63">AL33+AM33*1</f>
        <v>0</v>
      </c>
      <c r="AO33" s="4437">
        <f t="shared" si="46"/>
        <v>0</v>
      </c>
      <c r="AP33" s="4438"/>
      <c r="AQ33" s="4624"/>
      <c r="AR33" s="4624"/>
      <c r="AS33" s="4625">
        <f t="shared" ref="AS33" si="64">AQ33+AR33*1</f>
        <v>0</v>
      </c>
      <c r="AT33" s="4437">
        <f t="shared" si="47"/>
        <v>0</v>
      </c>
      <c r="AU33" s="4438"/>
      <c r="AV33" s="4624"/>
      <c r="AW33" s="4624"/>
      <c r="AX33" s="4625">
        <f t="shared" ref="AX33" si="65">AV33+AW33*1</f>
        <v>0</v>
      </c>
      <c r="AY33" s="4437">
        <f t="shared" si="48"/>
        <v>0</v>
      </c>
      <c r="AZ33" s="4438"/>
      <c r="BA33" s="4624"/>
      <c r="BB33" s="4624"/>
      <c r="BC33" s="4625">
        <f t="shared" ref="BC33" si="66">BA33+BB33*1</f>
        <v>0</v>
      </c>
      <c r="BD33" s="4437" t="e">
        <f t="shared" si="49"/>
        <v>#DIV/0!</v>
      </c>
      <c r="BE33" s="4438"/>
      <c r="BF33" s="4624"/>
      <c r="BG33" s="4624"/>
      <c r="BH33" s="4625">
        <f t="shared" ref="BH33" si="67">BF33+BG33*1</f>
        <v>0</v>
      </c>
      <c r="BI33" s="4437" t="e">
        <f t="shared" si="50"/>
        <v>#DIV/0!</v>
      </c>
      <c r="BJ33" s="4438"/>
      <c r="BK33" s="4624"/>
      <c r="BL33" s="4624"/>
      <c r="BM33" s="4625">
        <f t="shared" ref="BM33" si="68">BK33+BL33*1</f>
        <v>0</v>
      </c>
      <c r="BN33" s="4437" t="e">
        <f t="shared" si="51"/>
        <v>#DIV/0!</v>
      </c>
      <c r="BO33" s="4438"/>
      <c r="BP33" s="4624"/>
      <c r="BQ33" s="4624"/>
      <c r="BR33" s="4625">
        <f t="shared" ref="BR33" si="69">BP33+BQ33*1</f>
        <v>0</v>
      </c>
      <c r="BS33" s="4437" t="e">
        <f t="shared" si="52"/>
        <v>#DIV/0!</v>
      </c>
      <c r="BT33" s="4438"/>
      <c r="BU33" s="4624"/>
      <c r="BV33" s="4624"/>
      <c r="BW33" s="4625">
        <f t="shared" ref="BW33" si="70">BU33+BV33*1</f>
        <v>0</v>
      </c>
      <c r="BX33" s="4437" t="e">
        <f t="shared" si="53"/>
        <v>#DIV/0!</v>
      </c>
      <c r="BY33" s="4438"/>
      <c r="BZ33" s="4624"/>
      <c r="CA33" s="4624"/>
      <c r="CB33" s="4625">
        <f t="shared" ref="CB33" si="71">BZ33+CA33*1</f>
        <v>0</v>
      </c>
      <c r="CC33" s="4437" t="e">
        <f t="shared" si="54"/>
        <v>#DIV/0!</v>
      </c>
      <c r="CD33" s="4438"/>
      <c r="CE33" s="4624"/>
      <c r="CF33" s="4624"/>
      <c r="CG33" s="4625">
        <f t="shared" ref="CG33" si="72">CE33+CF33*1</f>
        <v>0</v>
      </c>
      <c r="CH33" s="4437" t="e">
        <f t="shared" si="55"/>
        <v>#DIV/0!</v>
      </c>
      <c r="CI33" s="4438"/>
      <c r="CJ33" s="4629">
        <f t="shared" si="40"/>
        <v>0</v>
      </c>
      <c r="CK33" s="4624">
        <f t="shared" si="40"/>
        <v>0</v>
      </c>
      <c r="CL33" s="4625">
        <f t="shared" si="56"/>
        <v>0</v>
      </c>
      <c r="CM33" s="4488">
        <f t="shared" si="41"/>
        <v>0</v>
      </c>
      <c r="CN33" s="4490"/>
      <c r="CP33" s="4615"/>
      <c r="CQ33" s="4615"/>
      <c r="CR33" s="4614">
        <f t="shared" si="57"/>
        <v>0</v>
      </c>
      <c r="CS33" s="4615"/>
      <c r="CT33" s="4615"/>
      <c r="CU33" s="4614"/>
      <c r="CW33" s="2624"/>
    </row>
    <row r="34" spans="1:101"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1"/>
      <c r="AC34" s="3341"/>
      <c r="AD34" s="3368"/>
      <c r="AE34" s="3368"/>
      <c r="AF34" s="3448"/>
      <c r="AG34" s="3341"/>
      <c r="AH34" s="3341"/>
      <c r="AI34" s="3368"/>
      <c r="AJ34" s="3368"/>
      <c r="AK34" s="3448"/>
      <c r="AL34" s="3341"/>
      <c r="AM34" s="3341"/>
      <c r="AN34" s="3368"/>
      <c r="AO34" s="3368"/>
      <c r="AP34" s="3448"/>
      <c r="AQ34" s="3341"/>
      <c r="AR34" s="3341"/>
      <c r="AS34" s="3368"/>
      <c r="AT34" s="3368"/>
      <c r="AU34" s="3448"/>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3449"/>
      <c r="CQ34" s="3449"/>
      <c r="CR34" s="3450"/>
      <c r="CS34" s="3449"/>
      <c r="CT34" s="3449"/>
      <c r="CU34" s="3450"/>
      <c r="CW34" s="2624"/>
    </row>
    <row r="35" spans="1:101" s="1396" customFormat="1" ht="13.8" outlineLevel="1">
      <c r="A35" s="1571"/>
      <c r="B35" s="4440" t="s">
        <v>80</v>
      </c>
      <c r="C35" s="4441">
        <f>C36</f>
        <v>0</v>
      </c>
      <c r="D35" s="4441">
        <f>D36</f>
        <v>0</v>
      </c>
      <c r="E35" s="4442">
        <f>E36</f>
        <v>0</v>
      </c>
      <c r="F35" s="4442"/>
      <c r="G35" s="4443"/>
      <c r="H35" s="4441">
        <f>H36</f>
        <v>0</v>
      </c>
      <c r="I35" s="4441">
        <f>I36</f>
        <v>0</v>
      </c>
      <c r="J35" s="4442">
        <f>J36</f>
        <v>0</v>
      </c>
      <c r="K35" s="4442"/>
      <c r="L35" s="4443"/>
      <c r="M35" s="4441">
        <f>M36</f>
        <v>0</v>
      </c>
      <c r="N35" s="4441">
        <f>N36</f>
        <v>0</v>
      </c>
      <c r="O35" s="4442">
        <f>O36</f>
        <v>0</v>
      </c>
      <c r="P35" s="4442"/>
      <c r="Q35" s="4443"/>
      <c r="R35" s="4441">
        <f>R36</f>
        <v>0</v>
      </c>
      <c r="S35" s="4441">
        <f>S36</f>
        <v>0</v>
      </c>
      <c r="T35" s="4442">
        <f>T36</f>
        <v>0</v>
      </c>
      <c r="U35" s="4444"/>
      <c r="V35" s="4444"/>
      <c r="W35" s="4441">
        <f>W36</f>
        <v>0</v>
      </c>
      <c r="X35" s="4441">
        <f>X36</f>
        <v>0</v>
      </c>
      <c r="Y35" s="4442">
        <f>Y36</f>
        <v>0</v>
      </c>
      <c r="Z35" s="4444"/>
      <c r="AA35" s="4444"/>
      <c r="AB35" s="4441">
        <f>AB36</f>
        <v>0</v>
      </c>
      <c r="AC35" s="4441">
        <f>AC36</f>
        <v>0</v>
      </c>
      <c r="AD35" s="4442">
        <f>AD36</f>
        <v>0</v>
      </c>
      <c r="AE35" s="4442"/>
      <c r="AF35" s="4443"/>
      <c r="AG35" s="4441">
        <f>AG36</f>
        <v>0</v>
      </c>
      <c r="AH35" s="4441">
        <f>AH36</f>
        <v>0</v>
      </c>
      <c r="AI35" s="4442">
        <f>AI36</f>
        <v>0</v>
      </c>
      <c r="AJ35" s="4442"/>
      <c r="AK35" s="4443"/>
      <c r="AL35" s="4441">
        <f>AL36</f>
        <v>0</v>
      </c>
      <c r="AM35" s="4441">
        <f>AM36</f>
        <v>0</v>
      </c>
      <c r="AN35" s="4442">
        <f>AN36</f>
        <v>0</v>
      </c>
      <c r="AO35" s="4442"/>
      <c r="AP35" s="4443"/>
      <c r="AQ35" s="4441">
        <f>AQ36</f>
        <v>0</v>
      </c>
      <c r="AR35" s="4441">
        <f>AR36</f>
        <v>0</v>
      </c>
      <c r="AS35" s="4442">
        <f>AS36</f>
        <v>0</v>
      </c>
      <c r="AT35" s="4442"/>
      <c r="AU35" s="4443"/>
      <c r="AV35" s="4441">
        <f>AV36</f>
        <v>0</v>
      </c>
      <c r="AW35" s="4441">
        <f>AW36</f>
        <v>0</v>
      </c>
      <c r="AX35" s="4442">
        <f>AX36</f>
        <v>0</v>
      </c>
      <c r="AY35" s="4442"/>
      <c r="AZ35" s="4443"/>
      <c r="BA35" s="4441">
        <f>BA36</f>
        <v>0</v>
      </c>
      <c r="BB35" s="4441">
        <f>BB36</f>
        <v>0</v>
      </c>
      <c r="BC35" s="4442">
        <f>BC36</f>
        <v>0</v>
      </c>
      <c r="BD35" s="4442"/>
      <c r="BE35" s="4443"/>
      <c r="BF35" s="4441">
        <f>BF36</f>
        <v>0</v>
      </c>
      <c r="BG35" s="4441">
        <f>BG36</f>
        <v>0</v>
      </c>
      <c r="BH35" s="4442">
        <f>BH36</f>
        <v>0</v>
      </c>
      <c r="BI35" s="4442"/>
      <c r="BJ35" s="4443"/>
      <c r="BK35" s="4441">
        <f>BK36</f>
        <v>0</v>
      </c>
      <c r="BL35" s="4441">
        <f>BL36</f>
        <v>0</v>
      </c>
      <c r="BM35" s="4442">
        <f>BM36</f>
        <v>0</v>
      </c>
      <c r="BN35" s="4442"/>
      <c r="BO35" s="4443"/>
      <c r="BP35" s="4441">
        <f>BP36</f>
        <v>0</v>
      </c>
      <c r="BQ35" s="4441">
        <f>BQ36</f>
        <v>0</v>
      </c>
      <c r="BR35" s="4442">
        <f>BR36</f>
        <v>0</v>
      </c>
      <c r="BS35" s="4442"/>
      <c r="BT35" s="4443"/>
      <c r="BU35" s="4441">
        <f>BU36</f>
        <v>0</v>
      </c>
      <c r="BV35" s="4441">
        <f>BV36</f>
        <v>0</v>
      </c>
      <c r="BW35" s="4442">
        <f>BW36</f>
        <v>0</v>
      </c>
      <c r="BX35" s="4442"/>
      <c r="BY35" s="4443"/>
      <c r="BZ35" s="4441">
        <f>BZ36</f>
        <v>0</v>
      </c>
      <c r="CA35" s="4441">
        <f>CA36</f>
        <v>0</v>
      </c>
      <c r="CB35" s="4442">
        <f>CB36</f>
        <v>0</v>
      </c>
      <c r="CC35" s="4442"/>
      <c r="CD35" s="4443"/>
      <c r="CE35" s="4441">
        <f>CE36</f>
        <v>0</v>
      </c>
      <c r="CF35" s="4441">
        <f>CF36</f>
        <v>0</v>
      </c>
      <c r="CG35" s="4442">
        <f>CG36</f>
        <v>0</v>
      </c>
      <c r="CH35" s="4442"/>
      <c r="CI35" s="4443"/>
      <c r="CJ35" s="4441">
        <f>CJ36</f>
        <v>0</v>
      </c>
      <c r="CK35" s="4441">
        <f>CK36</f>
        <v>0</v>
      </c>
      <c r="CL35" s="4442">
        <f>CL36</f>
        <v>0</v>
      </c>
      <c r="CM35" s="4442"/>
      <c r="CN35" s="4442"/>
      <c r="CP35" s="4442">
        <f>CP36</f>
        <v>0</v>
      </c>
      <c r="CQ35" s="4442">
        <f>CQ36</f>
        <v>0</v>
      </c>
      <c r="CR35" s="4669">
        <f>CR36</f>
        <v>0</v>
      </c>
      <c r="CS35" s="4442"/>
      <c r="CT35" s="4442"/>
      <c r="CU35" s="4669"/>
      <c r="CW35" s="2624"/>
    </row>
    <row r="36" spans="1:101" s="1396" customFormat="1" ht="13.8" outlineLevel="3">
      <c r="A36" s="1571"/>
      <c r="B36" s="4632" t="s">
        <v>81</v>
      </c>
      <c r="C36" s="3341"/>
      <c r="D36" s="3341"/>
      <c r="E36" s="2012">
        <f>C36+D36*1</f>
        <v>0</v>
      </c>
      <c r="F36" s="4428" t="e">
        <f>E36/$E$89</f>
        <v>#DIV/0!</v>
      </c>
      <c r="G36" s="4633"/>
      <c r="H36" s="3341"/>
      <c r="I36" s="3341"/>
      <c r="J36" s="2012">
        <f>H36+I36*1</f>
        <v>0</v>
      </c>
      <c r="K36" s="4428" t="e">
        <f t="shared" ref="K36" si="73">J36/J$89</f>
        <v>#DIV/0!</v>
      </c>
      <c r="L36" s="4633"/>
      <c r="M36" s="3341"/>
      <c r="N36" s="3341"/>
      <c r="O36" s="3349">
        <f t="shared" ref="O36" si="74">M36+N36</f>
        <v>0</v>
      </c>
      <c r="P36" s="4428" t="e">
        <f t="shared" ref="P36" si="75">O36/O$89</f>
        <v>#DIV/0!</v>
      </c>
      <c r="Q36" s="4633"/>
      <c r="R36" s="3342">
        <f t="shared" ref="R36:S36" si="76">M36+H36+C36</f>
        <v>0</v>
      </c>
      <c r="S36" s="3342">
        <f t="shared" si="76"/>
        <v>0</v>
      </c>
      <c r="T36" s="2012">
        <f t="shared" ref="T36" si="77">R36+S36</f>
        <v>0</v>
      </c>
      <c r="U36" s="3455"/>
      <c r="V36" s="3455"/>
      <c r="W36" s="3342">
        <f t="shared" ref="W36:X36" si="78">AB36+AG36+AL36+AV36+BA36+BF36+BK36+BP36+BU36+BZ36+CE36+AQ36</f>
        <v>0</v>
      </c>
      <c r="X36" s="3342">
        <f t="shared" si="78"/>
        <v>0</v>
      </c>
      <c r="Y36" s="2012">
        <f t="shared" ref="Y36" si="79">W36+X36</f>
        <v>0</v>
      </c>
      <c r="Z36" s="3455"/>
      <c r="AA36" s="3455"/>
      <c r="AB36" s="3341"/>
      <c r="AC36" s="3341"/>
      <c r="AD36" s="3349">
        <f t="shared" ref="AD36" si="80">AB36+AC36</f>
        <v>0</v>
      </c>
      <c r="AE36" s="4428" t="e">
        <f>AD36/AD$89</f>
        <v>#DIV/0!</v>
      </c>
      <c r="AF36" s="4633"/>
      <c r="AG36" s="3341"/>
      <c r="AH36" s="3341"/>
      <c r="AI36" s="3349">
        <f t="shared" ref="AI36" si="81">AG36+AH36</f>
        <v>0</v>
      </c>
      <c r="AJ36" s="4428">
        <f>AI36/AI$89</f>
        <v>0</v>
      </c>
      <c r="AK36" s="4633"/>
      <c r="AL36" s="3341"/>
      <c r="AM36" s="3341"/>
      <c r="AN36" s="3349">
        <f t="shared" ref="AN36" si="82">AL36+AM36</f>
        <v>0</v>
      </c>
      <c r="AO36" s="4428">
        <f>AN36/AN$89</f>
        <v>0</v>
      </c>
      <c r="AP36" s="4633"/>
      <c r="AQ36" s="3341"/>
      <c r="AR36" s="3341"/>
      <c r="AS36" s="3349">
        <f t="shared" ref="AS36" si="83">AQ36+AR36</f>
        <v>0</v>
      </c>
      <c r="AT36" s="4428">
        <f>AS36/AS$89</f>
        <v>0</v>
      </c>
      <c r="AU36" s="4633"/>
      <c r="AV36" s="3341"/>
      <c r="AW36" s="3341"/>
      <c r="AX36" s="3349">
        <f t="shared" ref="AX36" si="84">AV36+AW36</f>
        <v>0</v>
      </c>
      <c r="AY36" s="4428">
        <f>AX36/AX$89</f>
        <v>0</v>
      </c>
      <c r="AZ36" s="4633"/>
      <c r="BA36" s="3341"/>
      <c r="BB36" s="3341"/>
      <c r="BC36" s="3349">
        <f t="shared" ref="BC36" si="85">BA36+BB36</f>
        <v>0</v>
      </c>
      <c r="BD36" s="4428" t="e">
        <f>BC36/BC$89</f>
        <v>#DIV/0!</v>
      </c>
      <c r="BE36" s="4633"/>
      <c r="BF36" s="3341"/>
      <c r="BG36" s="3341"/>
      <c r="BH36" s="3349">
        <f t="shared" ref="BH36" si="86">BF36+BG36</f>
        <v>0</v>
      </c>
      <c r="BI36" s="4428" t="e">
        <f>BH36/BH$89</f>
        <v>#DIV/0!</v>
      </c>
      <c r="BJ36" s="4633"/>
      <c r="BK36" s="3341"/>
      <c r="BL36" s="3341"/>
      <c r="BM36" s="3349">
        <f t="shared" ref="BM36" si="87">BK36+BL36</f>
        <v>0</v>
      </c>
      <c r="BN36" s="4428" t="e">
        <f>BM36/BM$89</f>
        <v>#DIV/0!</v>
      </c>
      <c r="BO36" s="4633"/>
      <c r="BP36" s="3341"/>
      <c r="BQ36" s="3341"/>
      <c r="BR36" s="3349">
        <f t="shared" ref="BR36" si="88">BP36+BQ36</f>
        <v>0</v>
      </c>
      <c r="BS36" s="4428" t="e">
        <f>BR36/BR$89</f>
        <v>#DIV/0!</v>
      </c>
      <c r="BT36" s="4633"/>
      <c r="BU36" s="3341"/>
      <c r="BV36" s="3341"/>
      <c r="BW36" s="3349">
        <f t="shared" ref="BW36" si="89">BU36+BV36</f>
        <v>0</v>
      </c>
      <c r="BX36" s="4428" t="e">
        <f>BW36/BW$89</f>
        <v>#DIV/0!</v>
      </c>
      <c r="BY36" s="4633"/>
      <c r="BZ36" s="3341"/>
      <c r="CA36" s="3341"/>
      <c r="CB36" s="3349">
        <f t="shared" ref="CB36" si="90">BZ36+CA36</f>
        <v>0</v>
      </c>
      <c r="CC36" s="4428" t="e">
        <f>CB36/CB$89</f>
        <v>#DIV/0!</v>
      </c>
      <c r="CD36" s="4633"/>
      <c r="CE36" s="3341"/>
      <c r="CF36" s="3341"/>
      <c r="CG36" s="3349">
        <f t="shared" ref="CG36" si="91">CE36+CF36</f>
        <v>0</v>
      </c>
      <c r="CH36" s="4428" t="e">
        <f>CG36/CG$89</f>
        <v>#DIV/0!</v>
      </c>
      <c r="CI36" s="4633"/>
      <c r="CJ36" s="3341">
        <f t="shared" ref="CJ36:CK36" si="92">C36+H36+M36+W36</f>
        <v>0</v>
      </c>
      <c r="CK36" s="3341">
        <f t="shared" si="92"/>
        <v>0</v>
      </c>
      <c r="CL36" s="2012">
        <f>CJ36+CK36*1</f>
        <v>0</v>
      </c>
      <c r="CM36" s="4428">
        <f>CL36/$CL$89</f>
        <v>0</v>
      </c>
      <c r="CN36" s="4611"/>
      <c r="CP36" s="2012"/>
      <c r="CQ36" s="2012">
        <f t="shared" ref="CQ36" si="93">CL36</f>
        <v>0</v>
      </c>
      <c r="CR36" s="4614">
        <f t="shared" ref="CR36" si="94">CP36-CQ36</f>
        <v>0</v>
      </c>
      <c r="CS36" s="2012"/>
      <c r="CT36" s="2012"/>
      <c r="CU36" s="4614"/>
      <c r="CW36" s="3443"/>
    </row>
    <row r="37" spans="1:101" s="1396" customFormat="1" ht="14.4" outlineLevel="1" thickBot="1">
      <c r="A37" s="1398"/>
      <c r="B37" s="4446"/>
      <c r="C37" s="3341"/>
      <c r="D37" s="3341"/>
      <c r="E37" s="4609"/>
      <c r="F37" s="4609"/>
      <c r="G37" s="4634"/>
      <c r="H37" s="3341"/>
      <c r="I37" s="3341"/>
      <c r="J37" s="4609"/>
      <c r="K37" s="4609"/>
      <c r="L37" s="4634"/>
      <c r="M37" s="3341"/>
      <c r="N37" s="3341"/>
      <c r="O37" s="4609"/>
      <c r="P37" s="4609"/>
      <c r="Q37" s="4634"/>
      <c r="R37" s="3456"/>
      <c r="S37" s="3456"/>
      <c r="T37" s="3456"/>
      <c r="U37" s="3456"/>
      <c r="V37" s="3456"/>
      <c r="W37" s="3342">
        <f t="shared" ref="W37:X37" si="95">AB37+AG37+AL37+AV37+BA37+BF37+BK37+BP37+BU37+BZ37+CE37</f>
        <v>0</v>
      </c>
      <c r="X37" s="3342">
        <f t="shared" si="95"/>
        <v>0</v>
      </c>
      <c r="Y37" s="3456"/>
      <c r="Z37" s="3456"/>
      <c r="AA37" s="3456"/>
      <c r="AB37" s="3341"/>
      <c r="AC37" s="3341"/>
      <c r="AD37" s="4609"/>
      <c r="AE37" s="4609"/>
      <c r="AF37" s="4634"/>
      <c r="AG37" s="3341"/>
      <c r="AH37" s="3341"/>
      <c r="AI37" s="4609"/>
      <c r="AJ37" s="4609"/>
      <c r="AK37" s="4634"/>
      <c r="AL37" s="3341"/>
      <c r="AM37" s="3341"/>
      <c r="AN37" s="4609"/>
      <c r="AO37" s="4609"/>
      <c r="AP37" s="4634"/>
      <c r="AQ37" s="3341"/>
      <c r="AR37" s="3341"/>
      <c r="AS37" s="4609"/>
      <c r="AT37" s="4609"/>
      <c r="AU37" s="4634"/>
      <c r="AV37" s="3341"/>
      <c r="AW37" s="3341"/>
      <c r="AX37" s="4609"/>
      <c r="AY37" s="4609"/>
      <c r="AZ37" s="4634"/>
      <c r="BA37" s="3341"/>
      <c r="BB37" s="3341"/>
      <c r="BC37" s="4609"/>
      <c r="BD37" s="4609"/>
      <c r="BE37" s="4634"/>
      <c r="BF37" s="3341"/>
      <c r="BG37" s="3341"/>
      <c r="BH37" s="4609"/>
      <c r="BI37" s="4609"/>
      <c r="BJ37" s="4634"/>
      <c r="BK37" s="3341"/>
      <c r="BL37" s="3341"/>
      <c r="BM37" s="4609"/>
      <c r="BN37" s="4609"/>
      <c r="BO37" s="4634"/>
      <c r="BP37" s="3341"/>
      <c r="BQ37" s="3341"/>
      <c r="BR37" s="4609"/>
      <c r="BS37" s="4609"/>
      <c r="BT37" s="4634"/>
      <c r="BU37" s="3341"/>
      <c r="BV37" s="3341"/>
      <c r="BW37" s="4609"/>
      <c r="BX37" s="4609"/>
      <c r="BY37" s="4634"/>
      <c r="BZ37" s="3341"/>
      <c r="CA37" s="3341"/>
      <c r="CB37" s="4609"/>
      <c r="CC37" s="4609"/>
      <c r="CD37" s="4634"/>
      <c r="CE37" s="3341"/>
      <c r="CF37" s="3341"/>
      <c r="CG37" s="4609"/>
      <c r="CH37" s="4609"/>
      <c r="CI37" s="4634"/>
      <c r="CJ37" s="3341"/>
      <c r="CK37" s="3341"/>
      <c r="CL37" s="4609"/>
      <c r="CM37" s="4609"/>
      <c r="CN37" s="4609"/>
      <c r="CP37" s="4645"/>
      <c r="CQ37" s="4645"/>
      <c r="CR37" s="4670"/>
      <c r="CS37" s="4645"/>
      <c r="CT37" s="4645"/>
      <c r="CU37" s="4670"/>
      <c r="CW37" s="2624"/>
    </row>
    <row r="38" spans="1:101"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0</v>
      </c>
      <c r="O38" s="3749">
        <f>(O5)-(O8)</f>
        <v>0</v>
      </c>
      <c r="P38" s="3749"/>
      <c r="Q38" s="3750"/>
      <c r="R38" s="3749">
        <f>(R5)-(R8)</f>
        <v>0</v>
      </c>
      <c r="S38" s="3749">
        <f>(S5)-(S8)</f>
        <v>0</v>
      </c>
      <c r="T38" s="3749">
        <f>(T5)-(T8)</f>
        <v>0</v>
      </c>
      <c r="U38" s="3750"/>
      <c r="V38" s="3750"/>
      <c r="W38" s="3749">
        <f>(W5)-(W8)</f>
        <v>488074.3812658228</v>
      </c>
      <c r="X38" s="3749">
        <f>(X5)-(X8)</f>
        <v>-162843.96696202533</v>
      </c>
      <c r="Y38" s="3749">
        <f>(Y5)-(Y8)</f>
        <v>325230.41430379753</v>
      </c>
      <c r="Z38" s="3750"/>
      <c r="AA38" s="3750"/>
      <c r="AB38" s="3749">
        <f>(AB5)-(AB8)</f>
        <v>0</v>
      </c>
      <c r="AC38" s="3749">
        <f>(AC5)-(AC8)</f>
        <v>0</v>
      </c>
      <c r="AD38" s="3749">
        <f>(AD5)-(AD8)</f>
        <v>0</v>
      </c>
      <c r="AE38" s="3749"/>
      <c r="AF38" s="3750"/>
      <c r="AG38" s="3749">
        <f>(AG5)-(AG8)</f>
        <v>-42971.79</v>
      </c>
      <c r="AH38" s="3749">
        <f>(AH5)-(AH8)</f>
        <v>-68150.350000000006</v>
      </c>
      <c r="AI38" s="3749">
        <f>(AI5)-(AI8)</f>
        <v>-111122.14000000001</v>
      </c>
      <c r="AJ38" s="3749"/>
      <c r="AK38" s="3750"/>
      <c r="AL38" s="3749">
        <f>(AL5)-(AL8)</f>
        <v>-41836.089999999997</v>
      </c>
      <c r="AM38" s="3749">
        <f>(AM5)-(AM8)</f>
        <v>-56238.26</v>
      </c>
      <c r="AN38" s="3749">
        <f>(AN5)-(AN8)</f>
        <v>-98074.35</v>
      </c>
      <c r="AO38" s="3749"/>
      <c r="AP38" s="3750"/>
      <c r="AQ38" s="3749">
        <f>(AQ5)-(AQ8)</f>
        <v>525911.30126582272</v>
      </c>
      <c r="AR38" s="3749">
        <f>(AR5)-(AR8)</f>
        <v>-24253.3569620253</v>
      </c>
      <c r="AS38" s="3749">
        <f>(AS5)-(AS8)</f>
        <v>501657.94430379744</v>
      </c>
      <c r="AT38" s="3749"/>
      <c r="AU38" s="3750"/>
      <c r="AV38" s="3749">
        <f>(AV5)-(AV8)</f>
        <v>46970.959999999992</v>
      </c>
      <c r="AW38" s="3749">
        <f>(AW5)-(AW8)</f>
        <v>-14202</v>
      </c>
      <c r="AX38" s="3749">
        <f>(AX5)-(AX8)</f>
        <v>32768.960000000006</v>
      </c>
      <c r="AY38" s="3749"/>
      <c r="AZ38" s="3750"/>
      <c r="BA38" s="3749">
        <f>(BA5)-(BA8)</f>
        <v>0</v>
      </c>
      <c r="BB38" s="3749">
        <f>(BB5)-(BB8)</f>
        <v>0</v>
      </c>
      <c r="BC38" s="3749">
        <f>(BC5)-(BC8)</f>
        <v>0</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488074.3812658228</v>
      </c>
      <c r="CK38" s="3751">
        <f>(CK5)-(CK8)</f>
        <v>-162843.96696202533</v>
      </c>
      <c r="CL38" s="3751">
        <f>(CL5)-(CL8)</f>
        <v>325230.41430379753</v>
      </c>
      <c r="CM38" s="3749"/>
      <c r="CN38" s="3749"/>
      <c r="CP38" s="3749">
        <f>(CP5)-(CP8)</f>
        <v>414122.58600000001</v>
      </c>
      <c r="CQ38" s="3760">
        <f>(CQ5)-(CQ8)</f>
        <v>325230.41430379753</v>
      </c>
      <c r="CR38" s="3749">
        <f>(CR5)-(CR8)</f>
        <v>88892.171696202553</v>
      </c>
      <c r="CS38" s="3751">
        <f>(CS5)-(CS8)</f>
        <v>29981.53</v>
      </c>
      <c r="CT38" s="3751">
        <f>(CT5)-(CT8)</f>
        <v>32768.960000000006</v>
      </c>
      <c r="CU38" s="3751">
        <f>CT38-CS38</f>
        <v>2787.4300000000076</v>
      </c>
      <c r="CW38" s="3761"/>
    </row>
    <row r="39" spans="1:101"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2003">
        <f>IFERROR(AB38/(AB5),0)</f>
        <v>0</v>
      </c>
      <c r="AC39" s="2003">
        <f>IFERROR(AC38/(AC5),0)</f>
        <v>0</v>
      </c>
      <c r="AD39" s="2004">
        <f>IFERROR(AD38/(AD5),0)</f>
        <v>0</v>
      </c>
      <c r="AE39" s="2004"/>
      <c r="AF39" s="1056"/>
      <c r="AG39" s="2003">
        <f>IFERROR(AG38/(AG5),0)</f>
        <v>0</v>
      </c>
      <c r="AH39" s="2003">
        <f>IFERROR(AH38/(AH5),0)</f>
        <v>0</v>
      </c>
      <c r="AI39" s="2004">
        <f>IFERROR(AI38/(AI5),0)</f>
        <v>0</v>
      </c>
      <c r="AJ39" s="2004"/>
      <c r="AK39" s="1056"/>
      <c r="AL39" s="2003">
        <f>IFERROR(AL38/(AL5),0)</f>
        <v>0</v>
      </c>
      <c r="AM39" s="2003">
        <f>IFERROR(AM38/(AM5),0)</f>
        <v>0</v>
      </c>
      <c r="AN39" s="2004">
        <f>IFERROR(AN38/(AN5),0)</f>
        <v>0</v>
      </c>
      <c r="AO39" s="2004"/>
      <c r="AP39" s="1056"/>
      <c r="AQ39" s="2003">
        <f>IFERROR(AQ38/(AQ5),0)</f>
        <v>0.57970822449936366</v>
      </c>
      <c r="AR39" s="2003">
        <f>IFERROR(AR38/(AR5),0)</f>
        <v>0</v>
      </c>
      <c r="AS39" s="2004">
        <f>IFERROR(AS38/(AS5),0)</f>
        <v>0.55297392449713123</v>
      </c>
      <c r="AT39" s="2004"/>
      <c r="AU39" s="1056"/>
      <c r="AV39" s="2003">
        <f>IFERROR(AV38/(AV5),0)</f>
        <v>0.34027064618951025</v>
      </c>
      <c r="AW39" s="2003">
        <f>IFERROR(AW38/(AW5),0)</f>
        <v>0</v>
      </c>
      <c r="AX39" s="2004">
        <f>IFERROR(AX38/(AX5),0)</f>
        <v>0.23738742393509132</v>
      </c>
      <c r="AY39" s="2004"/>
      <c r="AZ39" s="1056"/>
      <c r="BA39" s="2003">
        <f>IFERROR(BA38/(BA5),0)</f>
        <v>0</v>
      </c>
      <c r="BB39" s="2003">
        <f>IFERROR(BB38/(BB5),0)</f>
        <v>0</v>
      </c>
      <c r="BC39" s="2004">
        <f>IFERROR(BC38/(BC5),0)</f>
        <v>0</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0.46694958216851901</v>
      </c>
      <c r="CK39" s="2003">
        <f>IFERROR(CK38/(CK5),0)</f>
        <v>0</v>
      </c>
      <c r="CL39" s="2004">
        <f>IFERROR(CL38/(CL5),0)</f>
        <v>0.31115381568232897</v>
      </c>
      <c r="CM39" s="2004"/>
      <c r="CN39" s="2004"/>
      <c r="CP39" s="2004">
        <f>CP38/(CP5)</f>
        <v>0.39619856300945239</v>
      </c>
      <c r="CQ39" s="2004">
        <f>IFERROR(CQ38/(CQ5),0)</f>
        <v>0.31115381568232897</v>
      </c>
      <c r="CR39" s="2004" t="e">
        <f>CR38/(CR5)</f>
        <v>#DIV/0!</v>
      </c>
      <c r="CS39" s="2004">
        <f>CS38/(CS5)</f>
        <v>0.21719450883801797</v>
      </c>
      <c r="CT39" s="2004">
        <f>IFERROR(CT38/(CT5),0)</f>
        <v>0.23738742393509132</v>
      </c>
      <c r="CU39" s="2004"/>
    </row>
    <row r="40" spans="1:101" ht="14.4" outlineLevel="1" thickBot="1">
      <c r="A40" s="1567"/>
      <c r="B40" s="4637"/>
      <c r="C40" s="4610"/>
      <c r="D40" s="4610"/>
      <c r="E40" s="4610"/>
      <c r="F40" s="4610"/>
      <c r="G40" s="4638"/>
      <c r="H40" s="4610"/>
      <c r="I40" s="4610"/>
      <c r="J40" s="4610"/>
      <c r="K40" s="4610"/>
      <c r="L40" s="4638"/>
      <c r="M40" s="4610"/>
      <c r="N40" s="4610"/>
      <c r="O40" s="4610"/>
      <c r="P40" s="4610"/>
      <c r="Q40" s="4638"/>
      <c r="R40" s="4638"/>
      <c r="S40" s="4638"/>
      <c r="T40" s="4638"/>
      <c r="U40" s="4638"/>
      <c r="V40" s="4638"/>
      <c r="W40" s="4638"/>
      <c r="X40" s="4638"/>
      <c r="Y40" s="4638"/>
      <c r="Z40" s="4638"/>
      <c r="AA40" s="4638"/>
      <c r="AB40" s="4610"/>
      <c r="AC40" s="4610"/>
      <c r="AD40" s="4610"/>
      <c r="AE40" s="4610"/>
      <c r="AF40" s="4638"/>
      <c r="AG40" s="4610"/>
      <c r="AH40" s="4610"/>
      <c r="AI40" s="4610"/>
      <c r="AJ40" s="4610"/>
      <c r="AK40" s="4638"/>
      <c r="AL40" s="4610"/>
      <c r="AM40" s="4610"/>
      <c r="AN40" s="4610"/>
      <c r="AO40" s="4610"/>
      <c r="AP40" s="4638"/>
      <c r="AQ40" s="4610"/>
      <c r="AR40" s="4610"/>
      <c r="AS40" s="4610"/>
      <c r="AT40" s="4610"/>
      <c r="AU40" s="4638"/>
      <c r="AV40" s="4610"/>
      <c r="AW40" s="4610"/>
      <c r="AX40" s="4610"/>
      <c r="AY40" s="4610"/>
      <c r="AZ40" s="4638"/>
      <c r="BA40" s="4610"/>
      <c r="BB40" s="4610"/>
      <c r="BC40" s="4610"/>
      <c r="BD40" s="4610"/>
      <c r="BE40" s="4638"/>
      <c r="BF40" s="4610"/>
      <c r="BG40" s="4610"/>
      <c r="BH40" s="4610"/>
      <c r="BI40" s="4610"/>
      <c r="BJ40" s="4638"/>
      <c r="BK40" s="4610"/>
      <c r="BL40" s="4610"/>
      <c r="BM40" s="4610"/>
      <c r="BN40" s="4610"/>
      <c r="BO40" s="4638"/>
      <c r="BP40" s="4610"/>
      <c r="BQ40" s="4610"/>
      <c r="BR40" s="4610"/>
      <c r="BS40" s="4610"/>
      <c r="BT40" s="4638"/>
      <c r="BU40" s="4610"/>
      <c r="BV40" s="4610"/>
      <c r="BW40" s="4610"/>
      <c r="BX40" s="4610"/>
      <c r="BY40" s="4638"/>
      <c r="BZ40" s="4610"/>
      <c r="CA40" s="4610"/>
      <c r="CB40" s="4610"/>
      <c r="CC40" s="4610"/>
      <c r="CD40" s="4638"/>
      <c r="CE40" s="4610"/>
      <c r="CF40" s="4610"/>
      <c r="CG40" s="4610"/>
      <c r="CH40" s="4610"/>
      <c r="CI40" s="4638"/>
      <c r="CJ40" s="4610"/>
      <c r="CK40" s="4610"/>
      <c r="CL40" s="4610"/>
      <c r="CM40" s="4610"/>
      <c r="CN40" s="4610"/>
      <c r="CP40" s="4639"/>
      <c r="CQ40" s="4639"/>
      <c r="CR40" s="4639"/>
      <c r="CS40" s="4639"/>
      <c r="CT40" s="4639"/>
      <c r="CU40" s="4639"/>
    </row>
    <row r="41" spans="1:101" ht="13.8" outlineLevel="1">
      <c r="A41" s="1405"/>
      <c r="B41" s="1415" t="s">
        <v>26</v>
      </c>
      <c r="C41" s="2013">
        <f>SUM(C42:C48)</f>
        <v>0</v>
      </c>
      <c r="D41" s="2013">
        <f>SUM(D42:D48)</f>
        <v>0</v>
      </c>
      <c r="E41" s="2014">
        <f>SUM(E42:E48)</f>
        <v>0</v>
      </c>
      <c r="F41" s="4449" t="e">
        <f>E41/$E$89</f>
        <v>#DIV/0!</v>
      </c>
      <c r="G41" s="1057"/>
      <c r="H41" s="2013">
        <f>SUM(H42:H48)</f>
        <v>0</v>
      </c>
      <c r="I41" s="2013">
        <f>SUM(I42:I48)</f>
        <v>0</v>
      </c>
      <c r="J41" s="2014">
        <f>SUM(J42:J48)</f>
        <v>0</v>
      </c>
      <c r="K41" s="4449" t="e">
        <f>J41/$E$89</f>
        <v>#DIV/0!</v>
      </c>
      <c r="L41" s="1057"/>
      <c r="M41" s="2013">
        <f>SUM(M42:M48)</f>
        <v>0</v>
      </c>
      <c r="N41" s="2013">
        <f>SUM(N42:N48)</f>
        <v>0</v>
      </c>
      <c r="O41" s="2014">
        <f>SUM(O42:O48)</f>
        <v>0</v>
      </c>
      <c r="P41" s="4449" t="e">
        <f>O41/$E$89</f>
        <v>#DIV/0!</v>
      </c>
      <c r="Q41" s="1057"/>
      <c r="R41" s="2013">
        <f>SUM(R42:R48)</f>
        <v>0</v>
      </c>
      <c r="S41" s="2013">
        <f>SUM(S42:S48)</f>
        <v>0</v>
      </c>
      <c r="T41" s="2014">
        <f>SUM(T42:T48)</f>
        <v>0</v>
      </c>
      <c r="U41" s="4449"/>
      <c r="V41" s="3460"/>
      <c r="W41" s="2013">
        <f>SUM(W42:W48)</f>
        <v>0</v>
      </c>
      <c r="X41" s="2013">
        <f>SUM(X42:X48)</f>
        <v>0</v>
      </c>
      <c r="Y41" s="2014">
        <f>SUM(Y42:Y48)</f>
        <v>0</v>
      </c>
      <c r="Z41" s="4449"/>
      <c r="AA41" s="3460"/>
      <c r="AB41" s="2013">
        <f>SUM(AB42:AB48)</f>
        <v>0</v>
      </c>
      <c r="AC41" s="2013">
        <f>SUM(AC42:AC48)</f>
        <v>0</v>
      </c>
      <c r="AD41" s="2014">
        <f>SUM(AD42:AD48)</f>
        <v>0</v>
      </c>
      <c r="AE41" s="4449"/>
      <c r="AF41" s="1057"/>
      <c r="AG41" s="2013">
        <f>SUM(AG42:AG48)</f>
        <v>0</v>
      </c>
      <c r="AH41" s="2013">
        <f>SUM(AH42:AH48)</f>
        <v>0</v>
      </c>
      <c r="AI41" s="2014">
        <f>SUM(AI42:AI48)</f>
        <v>0</v>
      </c>
      <c r="AJ41" s="4449"/>
      <c r="AK41" s="1057"/>
      <c r="AL41" s="2013">
        <f>SUM(AL42:AL48)</f>
        <v>0</v>
      </c>
      <c r="AM41" s="2013">
        <f>SUM(AM42:AM48)</f>
        <v>0</v>
      </c>
      <c r="AN41" s="2014">
        <f>SUM(AN42:AN48)</f>
        <v>0</v>
      </c>
      <c r="AO41" s="4449"/>
      <c r="AP41" s="1057"/>
      <c r="AQ41" s="2013">
        <f>SUM(AQ42:AQ48)</f>
        <v>0</v>
      </c>
      <c r="AR41" s="2013">
        <f>SUM(AR42:AR48)</f>
        <v>0</v>
      </c>
      <c r="AS41" s="2014">
        <f>SUM(AS42:AS48)</f>
        <v>0</v>
      </c>
      <c r="AT41" s="4449"/>
      <c r="AU41" s="1057"/>
      <c r="AV41" s="2013">
        <f>SUM(AV42:AV48)</f>
        <v>0</v>
      </c>
      <c r="AW41" s="2013">
        <f>SUM(AW42:AW48)</f>
        <v>0</v>
      </c>
      <c r="AX41" s="2014">
        <f>SUM(AX42:AX48)</f>
        <v>0</v>
      </c>
      <c r="AY41" s="4449"/>
      <c r="AZ41" s="1057"/>
      <c r="BA41" s="2013">
        <f>SUM(BA42:BA48)</f>
        <v>0</v>
      </c>
      <c r="BB41" s="2013">
        <f>SUM(BB42:BB48)</f>
        <v>0</v>
      </c>
      <c r="BC41" s="2014">
        <f>SUM(BC42:BC48)</f>
        <v>0</v>
      </c>
      <c r="BD41" s="4449"/>
      <c r="BE41" s="1057"/>
      <c r="BF41" s="2013">
        <f>SUM(BF42:BF48)</f>
        <v>0</v>
      </c>
      <c r="BG41" s="2013">
        <f>SUM(BG42:BG48)</f>
        <v>0</v>
      </c>
      <c r="BH41" s="2014">
        <f>SUM(BH42:BH48)</f>
        <v>0</v>
      </c>
      <c r="BI41" s="4449"/>
      <c r="BJ41" s="1057"/>
      <c r="BK41" s="2013">
        <f>SUM(BK42:BK48)</f>
        <v>0</v>
      </c>
      <c r="BL41" s="2013">
        <f>SUM(BL42:BL48)</f>
        <v>0</v>
      </c>
      <c r="BM41" s="2014">
        <f>SUM(BM42:BM48)</f>
        <v>0</v>
      </c>
      <c r="BN41" s="4449"/>
      <c r="BO41" s="1057"/>
      <c r="BP41" s="2013">
        <f>SUM(BP42:BP48)</f>
        <v>0</v>
      </c>
      <c r="BQ41" s="2013">
        <f>SUM(BQ42:BQ48)</f>
        <v>0</v>
      </c>
      <c r="BR41" s="2014">
        <f>SUM(BR42:BR48)</f>
        <v>0</v>
      </c>
      <c r="BS41" s="4449"/>
      <c r="BT41" s="1057"/>
      <c r="BU41" s="2013">
        <f>SUM(BU42:BU48)</f>
        <v>0</v>
      </c>
      <c r="BV41" s="2013">
        <f>SUM(BV42:BV48)</f>
        <v>0</v>
      </c>
      <c r="BW41" s="2014">
        <f>SUM(BW42:BW48)</f>
        <v>0</v>
      </c>
      <c r="BX41" s="4449"/>
      <c r="BY41" s="1057"/>
      <c r="BZ41" s="2013">
        <f>SUM(BZ42:BZ48)</f>
        <v>0</v>
      </c>
      <c r="CA41" s="2013">
        <f>SUM(CA42:CA48)</f>
        <v>0</v>
      </c>
      <c r="CB41" s="2014">
        <f>SUM(CB42:CB48)</f>
        <v>0</v>
      </c>
      <c r="CC41" s="4449"/>
      <c r="CD41" s="1057"/>
      <c r="CE41" s="2013">
        <f>SUM(CE42:CE48)</f>
        <v>0</v>
      </c>
      <c r="CF41" s="2013">
        <f>SUM(CF42:CF48)</f>
        <v>0</v>
      </c>
      <c r="CG41" s="2014">
        <f>SUM(CG42:CG48)</f>
        <v>0</v>
      </c>
      <c r="CH41" s="4449"/>
      <c r="CI41" s="1057"/>
      <c r="CJ41" s="2013">
        <f>SUM(CJ42:CJ48)</f>
        <v>0</v>
      </c>
      <c r="CK41" s="2013">
        <f>SUM(CK42:CK48)</f>
        <v>0</v>
      </c>
      <c r="CL41" s="2014">
        <f>SUM(CL42:CL48)</f>
        <v>0</v>
      </c>
      <c r="CM41" s="4449">
        <f t="shared" ref="CM41:CM49" si="96">CL41/$CL$89</f>
        <v>0</v>
      </c>
      <c r="CN41" s="2006"/>
      <c r="CP41" s="2014">
        <f>SUM(CP42:CP48)</f>
        <v>0</v>
      </c>
      <c r="CQ41" s="2014">
        <f>SUM(CQ42:CQ48)</f>
        <v>0</v>
      </c>
      <c r="CR41" s="2014"/>
      <c r="CS41" s="2014"/>
      <c r="CT41" s="2014"/>
      <c r="CU41" s="2014"/>
    </row>
    <row r="42" spans="1:101" ht="13.8" outlineLevel="2">
      <c r="A42" s="4833"/>
      <c r="B42" s="4640" t="s">
        <v>7</v>
      </c>
      <c r="C42" s="3341"/>
      <c r="D42" s="3341"/>
      <c r="E42" s="3349">
        <f t="shared" ref="E42:E48" si="97">C42+D42</f>
        <v>0</v>
      </c>
      <c r="F42" s="4428" t="e">
        <f t="shared" ref="F42:F48" si="98">E42/$E$89</f>
        <v>#DIV/0!</v>
      </c>
      <c r="G42" s="4429"/>
      <c r="H42" s="3341"/>
      <c r="I42" s="3341"/>
      <c r="J42" s="3349">
        <f t="shared" ref="J42:J48" si="99">H42+I42</f>
        <v>0</v>
      </c>
      <c r="K42" s="4428" t="e">
        <f t="shared" ref="K42:K48" si="100">J42/J$89</f>
        <v>#DIV/0!</v>
      </c>
      <c r="L42" s="4429"/>
      <c r="M42" s="3341"/>
      <c r="N42" s="3341"/>
      <c r="O42" s="3349">
        <f t="shared" ref="O42:O48" si="101">M42+N42</f>
        <v>0</v>
      </c>
      <c r="P42" s="4428" t="e">
        <f t="shared" ref="P42:P48" si="102">O42/O$89</f>
        <v>#DIV/0!</v>
      </c>
      <c r="Q42" s="4429"/>
      <c r="R42" s="3342">
        <f t="shared" ref="R42:S48" si="103">M42+H42+C42</f>
        <v>0</v>
      </c>
      <c r="S42" s="3342">
        <f t="shared" si="103"/>
        <v>0</v>
      </c>
      <c r="T42" s="2012">
        <f t="shared" ref="T42:T48" si="104">R42+S42</f>
        <v>0</v>
      </c>
      <c r="U42" s="3462"/>
      <c r="V42" s="3462"/>
      <c r="W42" s="3342">
        <f t="shared" ref="W42:X48" si="105">AB42+AG42+AL42+AV42+BA42+BF42+BK42+BP42+BU42+BZ42+CE42+AQ42</f>
        <v>0</v>
      </c>
      <c r="X42" s="3342">
        <f t="shared" si="105"/>
        <v>0</v>
      </c>
      <c r="Y42" s="2012">
        <f t="shared" ref="Y42:Y48" si="106">W42+X42</f>
        <v>0</v>
      </c>
      <c r="Z42" s="3462"/>
      <c r="AA42" s="3462"/>
      <c r="AB42" s="3341"/>
      <c r="AC42" s="3341"/>
      <c r="AD42" s="3349">
        <f t="shared" ref="AD42:AD48" si="107">AB42+AC42</f>
        <v>0</v>
      </c>
      <c r="AE42" s="4428" t="e">
        <f t="shared" ref="AE42:AE49" si="108">AD42/AD$89</f>
        <v>#DIV/0!</v>
      </c>
      <c r="AF42" s="4429"/>
      <c r="AG42" s="3341"/>
      <c r="AH42" s="3341"/>
      <c r="AI42" s="3349">
        <f t="shared" ref="AI42:AI48" si="109">AG42+AH42</f>
        <v>0</v>
      </c>
      <c r="AJ42" s="4428">
        <f t="shared" ref="AJ42:AJ49" si="110">AI42/AI$89</f>
        <v>0</v>
      </c>
      <c r="AK42" s="4429"/>
      <c r="AL42" s="3341"/>
      <c r="AM42" s="3341"/>
      <c r="AN42" s="3349">
        <f t="shared" ref="AN42:AN48" si="111">AL42+AM42</f>
        <v>0</v>
      </c>
      <c r="AO42" s="4428">
        <f t="shared" ref="AO42:AO49" si="112">AN42/AN$89</f>
        <v>0</v>
      </c>
      <c r="AP42" s="4429"/>
      <c r="AQ42" s="3341"/>
      <c r="AR42" s="3341"/>
      <c r="AS42" s="3349">
        <f t="shared" ref="AS42:AS48" si="113">AQ42+AR42</f>
        <v>0</v>
      </c>
      <c r="AT42" s="4428">
        <f t="shared" ref="AT42:AT49" si="114">AS42/AS$89</f>
        <v>0</v>
      </c>
      <c r="AU42" s="4429"/>
      <c r="AV42" s="3341"/>
      <c r="AW42" s="3341"/>
      <c r="AX42" s="3349">
        <f t="shared" ref="AX42:AX48" si="115">AV42+AW42</f>
        <v>0</v>
      </c>
      <c r="AY42" s="4428">
        <f t="shared" ref="AY42:AY49" si="116">AX42/AX$89</f>
        <v>0</v>
      </c>
      <c r="AZ42" s="4429"/>
      <c r="BA42" s="3341"/>
      <c r="BB42" s="3341"/>
      <c r="BC42" s="3349">
        <f t="shared" ref="BC42:BC48" si="117">BA42+BB42</f>
        <v>0</v>
      </c>
      <c r="BD42" s="4428" t="e">
        <f t="shared" ref="BD42:BD49" si="118">BC42/BC$89</f>
        <v>#DIV/0!</v>
      </c>
      <c r="BE42" s="4429"/>
      <c r="BF42" s="3341"/>
      <c r="BG42" s="3341"/>
      <c r="BH42" s="3349">
        <f t="shared" ref="BH42:BH48" si="119">BF42+BG42</f>
        <v>0</v>
      </c>
      <c r="BI42" s="4428" t="e">
        <f t="shared" ref="BI42:BI49" si="120">BH42/BH$89</f>
        <v>#DIV/0!</v>
      </c>
      <c r="BJ42" s="4429"/>
      <c r="BK42" s="3341"/>
      <c r="BL42" s="3341"/>
      <c r="BM42" s="3349">
        <f t="shared" ref="BM42:BM48" si="121">BK42+BL42</f>
        <v>0</v>
      </c>
      <c r="BN42" s="4428" t="e">
        <f t="shared" ref="BN42:BN49" si="122">BM42/BM$89</f>
        <v>#DIV/0!</v>
      </c>
      <c r="BO42" s="4429"/>
      <c r="BP42" s="3341"/>
      <c r="BQ42" s="3341"/>
      <c r="BR42" s="3349">
        <f t="shared" ref="BR42:BR48" si="123">BP42+BQ42</f>
        <v>0</v>
      </c>
      <c r="BS42" s="4428" t="e">
        <f t="shared" ref="BS42:BS49" si="124">BR42/BR$89</f>
        <v>#DIV/0!</v>
      </c>
      <c r="BT42" s="4429"/>
      <c r="BU42" s="3341"/>
      <c r="BV42" s="3341"/>
      <c r="BW42" s="3349">
        <f t="shared" ref="BW42:BW48" si="125">BU42+BV42</f>
        <v>0</v>
      </c>
      <c r="BX42" s="4428" t="e">
        <f t="shared" ref="BX42:BX49" si="126">BW42/BW$89</f>
        <v>#DIV/0!</v>
      </c>
      <c r="BY42" s="4429"/>
      <c r="BZ42" s="3341"/>
      <c r="CA42" s="3341"/>
      <c r="CB42" s="3349">
        <f t="shared" ref="CB42:CB48" si="127">BZ42+CA42</f>
        <v>0</v>
      </c>
      <c r="CC42" s="4428" t="e">
        <f t="shared" ref="CC42:CC49" si="128">CB42/CB$89</f>
        <v>#DIV/0!</v>
      </c>
      <c r="CD42" s="4429"/>
      <c r="CE42" s="3341"/>
      <c r="CF42" s="3341"/>
      <c r="CG42" s="3349">
        <f t="shared" ref="CG42:CG48" si="129">CE42+CF42</f>
        <v>0</v>
      </c>
      <c r="CH42" s="4428" t="e">
        <f t="shared" ref="CH42:CH49" si="130">CG42/CG$89</f>
        <v>#DIV/0!</v>
      </c>
      <c r="CI42" s="4429"/>
      <c r="CJ42" s="3341">
        <f t="shared" ref="CJ42:CK48" si="131">C42+H42+M42+W42</f>
        <v>0</v>
      </c>
      <c r="CK42" s="3341">
        <f t="shared" si="131"/>
        <v>0</v>
      </c>
      <c r="CL42" s="2012">
        <f t="shared" ref="CL42:CL48" si="132">CJ42+CK42*1</f>
        <v>0</v>
      </c>
      <c r="CM42" s="4428">
        <f t="shared" si="96"/>
        <v>0</v>
      </c>
      <c r="CN42" s="4432"/>
      <c r="CP42" s="2012">
        <f t="shared" ref="CP42:CQ48" si="133">CN42+CO42*1</f>
        <v>0</v>
      </c>
      <c r="CQ42" s="2012">
        <f t="shared" si="133"/>
        <v>0</v>
      </c>
      <c r="CR42" s="4614"/>
      <c r="CS42" s="2012"/>
      <c r="CT42" s="2012"/>
      <c r="CU42" s="4614"/>
    </row>
    <row r="43" spans="1:101" ht="13.8" outlineLevel="2">
      <c r="A43" s="4833"/>
      <c r="B43" s="4640" t="s">
        <v>27</v>
      </c>
      <c r="C43" s="3341"/>
      <c r="D43" s="3341"/>
      <c r="E43" s="3349">
        <f t="shared" si="97"/>
        <v>0</v>
      </c>
      <c r="F43" s="4428" t="e">
        <f t="shared" si="98"/>
        <v>#DIV/0!</v>
      </c>
      <c r="G43" s="4429"/>
      <c r="H43" s="3341"/>
      <c r="I43" s="3341"/>
      <c r="J43" s="3349">
        <f t="shared" si="99"/>
        <v>0</v>
      </c>
      <c r="K43" s="4428" t="e">
        <f t="shared" si="100"/>
        <v>#DIV/0!</v>
      </c>
      <c r="L43" s="4429"/>
      <c r="M43" s="3341"/>
      <c r="N43" s="3341"/>
      <c r="O43" s="3349">
        <f t="shared" si="101"/>
        <v>0</v>
      </c>
      <c r="P43" s="4428" t="e">
        <f t="shared" si="102"/>
        <v>#DIV/0!</v>
      </c>
      <c r="Q43" s="4429"/>
      <c r="R43" s="3342">
        <f t="shared" si="103"/>
        <v>0</v>
      </c>
      <c r="S43" s="3342">
        <f t="shared" si="103"/>
        <v>0</v>
      </c>
      <c r="T43" s="2012">
        <f t="shared" si="104"/>
        <v>0</v>
      </c>
      <c r="U43" s="3462"/>
      <c r="V43" s="3462"/>
      <c r="W43" s="3342">
        <f t="shared" si="105"/>
        <v>0</v>
      </c>
      <c r="X43" s="3342">
        <f t="shared" si="105"/>
        <v>0</v>
      </c>
      <c r="Y43" s="2012">
        <f t="shared" si="106"/>
        <v>0</v>
      </c>
      <c r="Z43" s="3462"/>
      <c r="AA43" s="3462"/>
      <c r="AB43" s="3341"/>
      <c r="AC43" s="3341"/>
      <c r="AD43" s="3349">
        <f t="shared" si="107"/>
        <v>0</v>
      </c>
      <c r="AE43" s="4428" t="e">
        <f t="shared" si="108"/>
        <v>#DIV/0!</v>
      </c>
      <c r="AF43" s="4429"/>
      <c r="AG43" s="3341"/>
      <c r="AH43" s="3341"/>
      <c r="AI43" s="3349">
        <f t="shared" si="109"/>
        <v>0</v>
      </c>
      <c r="AJ43" s="4428">
        <f t="shared" si="110"/>
        <v>0</v>
      </c>
      <c r="AK43" s="4429"/>
      <c r="AL43" s="3341"/>
      <c r="AM43" s="3341"/>
      <c r="AN43" s="3349">
        <f t="shared" si="111"/>
        <v>0</v>
      </c>
      <c r="AO43" s="4428">
        <f t="shared" si="112"/>
        <v>0</v>
      </c>
      <c r="AP43" s="4429"/>
      <c r="AQ43" s="3341"/>
      <c r="AR43" s="3341"/>
      <c r="AS43" s="3349">
        <f t="shared" si="113"/>
        <v>0</v>
      </c>
      <c r="AT43" s="4428">
        <f t="shared" si="114"/>
        <v>0</v>
      </c>
      <c r="AU43" s="4429"/>
      <c r="AV43" s="3341"/>
      <c r="AW43" s="3341"/>
      <c r="AX43" s="3349">
        <f t="shared" si="115"/>
        <v>0</v>
      </c>
      <c r="AY43" s="4428">
        <f t="shared" si="116"/>
        <v>0</v>
      </c>
      <c r="AZ43" s="4429"/>
      <c r="BA43" s="3341"/>
      <c r="BB43" s="3341"/>
      <c r="BC43" s="3349">
        <f t="shared" si="117"/>
        <v>0</v>
      </c>
      <c r="BD43" s="4428" t="e">
        <f t="shared" si="118"/>
        <v>#DIV/0!</v>
      </c>
      <c r="BE43" s="4429"/>
      <c r="BF43" s="3341"/>
      <c r="BG43" s="3341"/>
      <c r="BH43" s="3349">
        <f t="shared" si="119"/>
        <v>0</v>
      </c>
      <c r="BI43" s="4428" t="e">
        <f t="shared" si="120"/>
        <v>#DIV/0!</v>
      </c>
      <c r="BJ43" s="4429"/>
      <c r="BK43" s="3341"/>
      <c r="BL43" s="3341"/>
      <c r="BM43" s="3349">
        <f t="shared" si="121"/>
        <v>0</v>
      </c>
      <c r="BN43" s="4428" t="e">
        <f t="shared" si="122"/>
        <v>#DIV/0!</v>
      </c>
      <c r="BO43" s="4429"/>
      <c r="BP43" s="3341"/>
      <c r="BQ43" s="3341"/>
      <c r="BR43" s="3349">
        <f t="shared" si="123"/>
        <v>0</v>
      </c>
      <c r="BS43" s="4428" t="e">
        <f t="shared" si="124"/>
        <v>#DIV/0!</v>
      </c>
      <c r="BT43" s="4429"/>
      <c r="BU43" s="3341"/>
      <c r="BV43" s="3341"/>
      <c r="BW43" s="3349">
        <f t="shared" si="125"/>
        <v>0</v>
      </c>
      <c r="BX43" s="4428" t="e">
        <f t="shared" si="126"/>
        <v>#DIV/0!</v>
      </c>
      <c r="BY43" s="4429"/>
      <c r="BZ43" s="3341"/>
      <c r="CA43" s="3341"/>
      <c r="CB43" s="3349">
        <f t="shared" si="127"/>
        <v>0</v>
      </c>
      <c r="CC43" s="4428" t="e">
        <f t="shared" si="128"/>
        <v>#DIV/0!</v>
      </c>
      <c r="CD43" s="4429"/>
      <c r="CE43" s="3341"/>
      <c r="CF43" s="3341"/>
      <c r="CG43" s="3349">
        <f t="shared" si="129"/>
        <v>0</v>
      </c>
      <c r="CH43" s="4428" t="e">
        <f t="shared" si="130"/>
        <v>#DIV/0!</v>
      </c>
      <c r="CI43" s="4429"/>
      <c r="CJ43" s="3341">
        <f t="shared" si="131"/>
        <v>0</v>
      </c>
      <c r="CK43" s="3341">
        <f t="shared" si="131"/>
        <v>0</v>
      </c>
      <c r="CL43" s="2012">
        <f t="shared" si="132"/>
        <v>0</v>
      </c>
      <c r="CM43" s="4428">
        <f t="shared" si="96"/>
        <v>0</v>
      </c>
      <c r="CN43" s="4432"/>
      <c r="CP43" s="2012">
        <f t="shared" si="133"/>
        <v>0</v>
      </c>
      <c r="CQ43" s="2012">
        <f t="shared" si="133"/>
        <v>0</v>
      </c>
      <c r="CR43" s="4614"/>
      <c r="CS43" s="2012"/>
      <c r="CT43" s="2012"/>
      <c r="CU43" s="4614"/>
    </row>
    <row r="44" spans="1:101" ht="13.8" outlineLevel="2">
      <c r="A44" s="4833"/>
      <c r="B44" s="4632" t="s">
        <v>28</v>
      </c>
      <c r="C44" s="3341"/>
      <c r="D44" s="3341"/>
      <c r="E44" s="3349">
        <f t="shared" si="97"/>
        <v>0</v>
      </c>
      <c r="F44" s="4428" t="e">
        <f t="shared" si="98"/>
        <v>#DIV/0!</v>
      </c>
      <c r="G44" s="4429"/>
      <c r="H44" s="3341"/>
      <c r="I44" s="3341"/>
      <c r="J44" s="3349">
        <f t="shared" si="99"/>
        <v>0</v>
      </c>
      <c r="K44" s="4428" t="e">
        <f t="shared" si="100"/>
        <v>#DIV/0!</v>
      </c>
      <c r="L44" s="4429"/>
      <c r="M44" s="3341"/>
      <c r="N44" s="3341"/>
      <c r="O44" s="3349">
        <f t="shared" si="101"/>
        <v>0</v>
      </c>
      <c r="P44" s="4428" t="e">
        <f t="shared" si="102"/>
        <v>#DIV/0!</v>
      </c>
      <c r="Q44" s="4429"/>
      <c r="R44" s="3342">
        <f t="shared" si="103"/>
        <v>0</v>
      </c>
      <c r="S44" s="3342">
        <f t="shared" si="103"/>
        <v>0</v>
      </c>
      <c r="T44" s="2012">
        <f t="shared" si="104"/>
        <v>0</v>
      </c>
      <c r="U44" s="3462"/>
      <c r="V44" s="3462"/>
      <c r="W44" s="3342">
        <f t="shared" si="105"/>
        <v>0</v>
      </c>
      <c r="X44" s="3342">
        <f t="shared" si="105"/>
        <v>0</v>
      </c>
      <c r="Y44" s="2012">
        <f t="shared" si="106"/>
        <v>0</v>
      </c>
      <c r="Z44" s="3462"/>
      <c r="AA44" s="3462"/>
      <c r="AB44" s="3341"/>
      <c r="AC44" s="3341"/>
      <c r="AD44" s="3349">
        <f t="shared" si="107"/>
        <v>0</v>
      </c>
      <c r="AE44" s="4428" t="e">
        <f t="shared" si="108"/>
        <v>#DIV/0!</v>
      </c>
      <c r="AF44" s="4429"/>
      <c r="AG44" s="3341"/>
      <c r="AH44" s="3341"/>
      <c r="AI44" s="3349">
        <f t="shared" si="109"/>
        <v>0</v>
      </c>
      <c r="AJ44" s="4428">
        <f t="shared" si="110"/>
        <v>0</v>
      </c>
      <c r="AK44" s="4429"/>
      <c r="AL44" s="3341"/>
      <c r="AM44" s="3341"/>
      <c r="AN44" s="3349">
        <f t="shared" si="111"/>
        <v>0</v>
      </c>
      <c r="AO44" s="4428">
        <f t="shared" si="112"/>
        <v>0</v>
      </c>
      <c r="AP44" s="4429"/>
      <c r="AQ44" s="3341"/>
      <c r="AR44" s="3341"/>
      <c r="AS44" s="3349">
        <f t="shared" si="113"/>
        <v>0</v>
      </c>
      <c r="AT44" s="4428">
        <f t="shared" si="114"/>
        <v>0</v>
      </c>
      <c r="AU44" s="4429"/>
      <c r="AV44" s="3341"/>
      <c r="AW44" s="3341"/>
      <c r="AX44" s="3349">
        <f t="shared" si="115"/>
        <v>0</v>
      </c>
      <c r="AY44" s="4428">
        <f t="shared" si="116"/>
        <v>0</v>
      </c>
      <c r="AZ44" s="4429"/>
      <c r="BA44" s="3341"/>
      <c r="BB44" s="3341"/>
      <c r="BC44" s="3349">
        <f t="shared" si="117"/>
        <v>0</v>
      </c>
      <c r="BD44" s="4428" t="e">
        <f t="shared" si="118"/>
        <v>#DIV/0!</v>
      </c>
      <c r="BE44" s="4429"/>
      <c r="BF44" s="3341"/>
      <c r="BG44" s="3341"/>
      <c r="BH44" s="3349">
        <f t="shared" si="119"/>
        <v>0</v>
      </c>
      <c r="BI44" s="4428" t="e">
        <f t="shared" si="120"/>
        <v>#DIV/0!</v>
      </c>
      <c r="BJ44" s="4429"/>
      <c r="BK44" s="3341"/>
      <c r="BL44" s="3341"/>
      <c r="BM44" s="3349">
        <f t="shared" si="121"/>
        <v>0</v>
      </c>
      <c r="BN44" s="4428" t="e">
        <f t="shared" si="122"/>
        <v>#DIV/0!</v>
      </c>
      <c r="BO44" s="4429"/>
      <c r="BP44" s="3341"/>
      <c r="BQ44" s="3341"/>
      <c r="BR44" s="3349">
        <f t="shared" si="123"/>
        <v>0</v>
      </c>
      <c r="BS44" s="4428" t="e">
        <f t="shared" si="124"/>
        <v>#DIV/0!</v>
      </c>
      <c r="BT44" s="4429"/>
      <c r="BU44" s="3341"/>
      <c r="BV44" s="3341"/>
      <c r="BW44" s="3349">
        <f t="shared" si="125"/>
        <v>0</v>
      </c>
      <c r="BX44" s="4428" t="e">
        <f t="shared" si="126"/>
        <v>#DIV/0!</v>
      </c>
      <c r="BY44" s="4429"/>
      <c r="BZ44" s="3341"/>
      <c r="CA44" s="3341"/>
      <c r="CB44" s="3349">
        <f t="shared" si="127"/>
        <v>0</v>
      </c>
      <c r="CC44" s="4428" t="e">
        <f t="shared" si="128"/>
        <v>#DIV/0!</v>
      </c>
      <c r="CD44" s="4429"/>
      <c r="CE44" s="3341"/>
      <c r="CF44" s="3341"/>
      <c r="CG44" s="3349">
        <f t="shared" si="129"/>
        <v>0</v>
      </c>
      <c r="CH44" s="4428" t="e">
        <f t="shared" si="130"/>
        <v>#DIV/0!</v>
      </c>
      <c r="CI44" s="4429"/>
      <c r="CJ44" s="3341">
        <f t="shared" si="131"/>
        <v>0</v>
      </c>
      <c r="CK44" s="3341">
        <f t="shared" si="131"/>
        <v>0</v>
      </c>
      <c r="CL44" s="2012">
        <f t="shared" si="132"/>
        <v>0</v>
      </c>
      <c r="CM44" s="4428">
        <f t="shared" si="96"/>
        <v>0</v>
      </c>
      <c r="CN44" s="4432"/>
      <c r="CP44" s="2012">
        <f t="shared" si="133"/>
        <v>0</v>
      </c>
      <c r="CQ44" s="2012">
        <f t="shared" si="133"/>
        <v>0</v>
      </c>
      <c r="CR44" s="4614"/>
      <c r="CS44" s="2012"/>
      <c r="CT44" s="2012"/>
      <c r="CU44" s="4614"/>
    </row>
    <row r="45" spans="1:101" ht="13.8" outlineLevel="2">
      <c r="A45" s="4833"/>
      <c r="B45" s="4640" t="s">
        <v>8</v>
      </c>
      <c r="C45" s="3341"/>
      <c r="D45" s="3341"/>
      <c r="E45" s="3349">
        <f t="shared" si="97"/>
        <v>0</v>
      </c>
      <c r="F45" s="4428" t="e">
        <f t="shared" si="98"/>
        <v>#DIV/0!</v>
      </c>
      <c r="G45" s="4429"/>
      <c r="H45" s="3341"/>
      <c r="I45" s="3341"/>
      <c r="J45" s="3349">
        <f t="shared" si="99"/>
        <v>0</v>
      </c>
      <c r="K45" s="4428" t="e">
        <f t="shared" si="100"/>
        <v>#DIV/0!</v>
      </c>
      <c r="L45" s="4429"/>
      <c r="M45" s="3341"/>
      <c r="N45" s="3341"/>
      <c r="O45" s="3349">
        <f t="shared" si="101"/>
        <v>0</v>
      </c>
      <c r="P45" s="4428" t="e">
        <f t="shared" si="102"/>
        <v>#DIV/0!</v>
      </c>
      <c r="Q45" s="4429"/>
      <c r="R45" s="3342">
        <f t="shared" si="103"/>
        <v>0</v>
      </c>
      <c r="S45" s="3342">
        <f t="shared" si="103"/>
        <v>0</v>
      </c>
      <c r="T45" s="2012">
        <f t="shared" si="104"/>
        <v>0</v>
      </c>
      <c r="U45" s="3462"/>
      <c r="V45" s="3462"/>
      <c r="W45" s="3342">
        <f t="shared" si="105"/>
        <v>0</v>
      </c>
      <c r="X45" s="3342">
        <f t="shared" si="105"/>
        <v>0</v>
      </c>
      <c r="Y45" s="2012">
        <f t="shared" si="106"/>
        <v>0</v>
      </c>
      <c r="Z45" s="3462"/>
      <c r="AA45" s="3462"/>
      <c r="AB45" s="3341"/>
      <c r="AC45" s="3341"/>
      <c r="AD45" s="3349">
        <f t="shared" si="107"/>
        <v>0</v>
      </c>
      <c r="AE45" s="4428" t="e">
        <f t="shared" si="108"/>
        <v>#DIV/0!</v>
      </c>
      <c r="AF45" s="4429"/>
      <c r="AG45" s="3341"/>
      <c r="AH45" s="3341"/>
      <c r="AI45" s="3349">
        <f t="shared" si="109"/>
        <v>0</v>
      </c>
      <c r="AJ45" s="4428">
        <f t="shared" si="110"/>
        <v>0</v>
      </c>
      <c r="AK45" s="4429"/>
      <c r="AL45" s="3341"/>
      <c r="AM45" s="3341"/>
      <c r="AN45" s="3349">
        <f t="shared" si="111"/>
        <v>0</v>
      </c>
      <c r="AO45" s="4428">
        <f t="shared" si="112"/>
        <v>0</v>
      </c>
      <c r="AP45" s="4429"/>
      <c r="AQ45" s="3341"/>
      <c r="AR45" s="3341"/>
      <c r="AS45" s="3349">
        <f t="shared" si="113"/>
        <v>0</v>
      </c>
      <c r="AT45" s="4428">
        <f t="shared" si="114"/>
        <v>0</v>
      </c>
      <c r="AU45" s="4429"/>
      <c r="AV45" s="3341"/>
      <c r="AW45" s="3341"/>
      <c r="AX45" s="3349">
        <f t="shared" si="115"/>
        <v>0</v>
      </c>
      <c r="AY45" s="4428">
        <f t="shared" si="116"/>
        <v>0</v>
      </c>
      <c r="AZ45" s="4429"/>
      <c r="BA45" s="3341"/>
      <c r="BB45" s="3341"/>
      <c r="BC45" s="3349">
        <f t="shared" si="117"/>
        <v>0</v>
      </c>
      <c r="BD45" s="4428" t="e">
        <f t="shared" si="118"/>
        <v>#DIV/0!</v>
      </c>
      <c r="BE45" s="4429"/>
      <c r="BF45" s="3341"/>
      <c r="BG45" s="3341"/>
      <c r="BH45" s="3349">
        <f t="shared" si="119"/>
        <v>0</v>
      </c>
      <c r="BI45" s="4428" t="e">
        <f t="shared" si="120"/>
        <v>#DIV/0!</v>
      </c>
      <c r="BJ45" s="4429"/>
      <c r="BK45" s="3341"/>
      <c r="BL45" s="3341"/>
      <c r="BM45" s="3349">
        <f t="shared" si="121"/>
        <v>0</v>
      </c>
      <c r="BN45" s="4428" t="e">
        <f t="shared" si="122"/>
        <v>#DIV/0!</v>
      </c>
      <c r="BO45" s="4429"/>
      <c r="BP45" s="3341"/>
      <c r="BQ45" s="3341"/>
      <c r="BR45" s="3349">
        <f t="shared" si="123"/>
        <v>0</v>
      </c>
      <c r="BS45" s="4428" t="e">
        <f t="shared" si="124"/>
        <v>#DIV/0!</v>
      </c>
      <c r="BT45" s="4429"/>
      <c r="BU45" s="3341"/>
      <c r="BV45" s="3341"/>
      <c r="BW45" s="3349">
        <f t="shared" si="125"/>
        <v>0</v>
      </c>
      <c r="BX45" s="4428" t="e">
        <f t="shared" si="126"/>
        <v>#DIV/0!</v>
      </c>
      <c r="BY45" s="4429"/>
      <c r="BZ45" s="3341"/>
      <c r="CA45" s="3341"/>
      <c r="CB45" s="3349">
        <f t="shared" si="127"/>
        <v>0</v>
      </c>
      <c r="CC45" s="4428" t="e">
        <f t="shared" si="128"/>
        <v>#DIV/0!</v>
      </c>
      <c r="CD45" s="4429"/>
      <c r="CE45" s="3341"/>
      <c r="CF45" s="3341"/>
      <c r="CG45" s="3349">
        <f t="shared" si="129"/>
        <v>0</v>
      </c>
      <c r="CH45" s="4428" t="e">
        <f t="shared" si="130"/>
        <v>#DIV/0!</v>
      </c>
      <c r="CI45" s="4429"/>
      <c r="CJ45" s="3341">
        <f t="shared" si="131"/>
        <v>0</v>
      </c>
      <c r="CK45" s="3341">
        <f t="shared" si="131"/>
        <v>0</v>
      </c>
      <c r="CL45" s="2012">
        <f t="shared" si="132"/>
        <v>0</v>
      </c>
      <c r="CM45" s="4428">
        <f t="shared" si="96"/>
        <v>0</v>
      </c>
      <c r="CN45" s="4432"/>
      <c r="CP45" s="2012">
        <f t="shared" si="133"/>
        <v>0</v>
      </c>
      <c r="CQ45" s="2012">
        <f t="shared" si="133"/>
        <v>0</v>
      </c>
      <c r="CR45" s="4614"/>
      <c r="CS45" s="2012"/>
      <c r="CT45" s="2012"/>
      <c r="CU45" s="4614"/>
    </row>
    <row r="46" spans="1:101" ht="13.8" outlineLevel="2">
      <c r="A46" s="4833"/>
      <c r="B46" s="4640" t="s">
        <v>29</v>
      </c>
      <c r="C46" s="3341"/>
      <c r="D46" s="3341"/>
      <c r="E46" s="3349">
        <f t="shared" si="97"/>
        <v>0</v>
      </c>
      <c r="F46" s="4428" t="e">
        <f t="shared" si="98"/>
        <v>#DIV/0!</v>
      </c>
      <c r="G46" s="4429"/>
      <c r="H46" s="3341"/>
      <c r="I46" s="3341"/>
      <c r="J46" s="3349">
        <f t="shared" si="99"/>
        <v>0</v>
      </c>
      <c r="K46" s="4428" t="e">
        <f t="shared" si="100"/>
        <v>#DIV/0!</v>
      </c>
      <c r="L46" s="4429"/>
      <c r="M46" s="3341"/>
      <c r="N46" s="3341"/>
      <c r="O46" s="3349">
        <f t="shared" si="101"/>
        <v>0</v>
      </c>
      <c r="P46" s="4428" t="e">
        <f t="shared" si="102"/>
        <v>#DIV/0!</v>
      </c>
      <c r="Q46" s="4429"/>
      <c r="R46" s="3342">
        <f t="shared" si="103"/>
        <v>0</v>
      </c>
      <c r="S46" s="3342">
        <f t="shared" si="103"/>
        <v>0</v>
      </c>
      <c r="T46" s="2012">
        <f t="shared" si="104"/>
        <v>0</v>
      </c>
      <c r="U46" s="3462"/>
      <c r="V46" s="3462"/>
      <c r="W46" s="3342">
        <f t="shared" si="105"/>
        <v>0</v>
      </c>
      <c r="X46" s="3342">
        <f t="shared" si="105"/>
        <v>0</v>
      </c>
      <c r="Y46" s="2012">
        <f t="shared" si="106"/>
        <v>0</v>
      </c>
      <c r="Z46" s="3462"/>
      <c r="AA46" s="3462"/>
      <c r="AB46" s="3341"/>
      <c r="AC46" s="3341"/>
      <c r="AD46" s="3349">
        <f t="shared" si="107"/>
        <v>0</v>
      </c>
      <c r="AE46" s="4428" t="e">
        <f t="shared" si="108"/>
        <v>#DIV/0!</v>
      </c>
      <c r="AF46" s="4429"/>
      <c r="AG46" s="3341"/>
      <c r="AH46" s="3341"/>
      <c r="AI46" s="3349">
        <f t="shared" si="109"/>
        <v>0</v>
      </c>
      <c r="AJ46" s="4428">
        <f t="shared" si="110"/>
        <v>0</v>
      </c>
      <c r="AK46" s="4429"/>
      <c r="AL46" s="3341"/>
      <c r="AM46" s="3341"/>
      <c r="AN46" s="3349">
        <f t="shared" si="111"/>
        <v>0</v>
      </c>
      <c r="AO46" s="4428">
        <f t="shared" si="112"/>
        <v>0</v>
      </c>
      <c r="AP46" s="4429"/>
      <c r="AQ46" s="3341"/>
      <c r="AR46" s="3341"/>
      <c r="AS46" s="3349">
        <f t="shared" si="113"/>
        <v>0</v>
      </c>
      <c r="AT46" s="4428">
        <f t="shared" si="114"/>
        <v>0</v>
      </c>
      <c r="AU46" s="4429"/>
      <c r="AV46" s="3341"/>
      <c r="AW46" s="3341"/>
      <c r="AX46" s="3349">
        <f t="shared" si="115"/>
        <v>0</v>
      </c>
      <c r="AY46" s="4428">
        <f t="shared" si="116"/>
        <v>0</v>
      </c>
      <c r="AZ46" s="4429"/>
      <c r="BA46" s="3341"/>
      <c r="BB46" s="3341"/>
      <c r="BC46" s="3349">
        <f t="shared" si="117"/>
        <v>0</v>
      </c>
      <c r="BD46" s="4428" t="e">
        <f t="shared" si="118"/>
        <v>#DIV/0!</v>
      </c>
      <c r="BE46" s="4429"/>
      <c r="BF46" s="3341"/>
      <c r="BG46" s="3341"/>
      <c r="BH46" s="3349">
        <f t="shared" si="119"/>
        <v>0</v>
      </c>
      <c r="BI46" s="4428" t="e">
        <f t="shared" si="120"/>
        <v>#DIV/0!</v>
      </c>
      <c r="BJ46" s="4429"/>
      <c r="BK46" s="3341"/>
      <c r="BL46" s="3341"/>
      <c r="BM46" s="3349">
        <f t="shared" si="121"/>
        <v>0</v>
      </c>
      <c r="BN46" s="4428" t="e">
        <f t="shared" si="122"/>
        <v>#DIV/0!</v>
      </c>
      <c r="BO46" s="4429"/>
      <c r="BP46" s="3341"/>
      <c r="BQ46" s="3341"/>
      <c r="BR46" s="3349">
        <f t="shared" si="123"/>
        <v>0</v>
      </c>
      <c r="BS46" s="4428" t="e">
        <f t="shared" si="124"/>
        <v>#DIV/0!</v>
      </c>
      <c r="BT46" s="4429"/>
      <c r="BU46" s="3341"/>
      <c r="BV46" s="3341"/>
      <c r="BW46" s="3349">
        <f t="shared" si="125"/>
        <v>0</v>
      </c>
      <c r="BX46" s="4428" t="e">
        <f t="shared" si="126"/>
        <v>#DIV/0!</v>
      </c>
      <c r="BY46" s="4429"/>
      <c r="BZ46" s="3341"/>
      <c r="CA46" s="3341"/>
      <c r="CB46" s="3349">
        <f t="shared" si="127"/>
        <v>0</v>
      </c>
      <c r="CC46" s="4428" t="e">
        <f t="shared" si="128"/>
        <v>#DIV/0!</v>
      </c>
      <c r="CD46" s="4429"/>
      <c r="CE46" s="3341"/>
      <c r="CF46" s="3341"/>
      <c r="CG46" s="3349">
        <f t="shared" si="129"/>
        <v>0</v>
      </c>
      <c r="CH46" s="4428" t="e">
        <f t="shared" si="130"/>
        <v>#DIV/0!</v>
      </c>
      <c r="CI46" s="4429"/>
      <c r="CJ46" s="3341">
        <f t="shared" si="131"/>
        <v>0</v>
      </c>
      <c r="CK46" s="3341">
        <f t="shared" si="131"/>
        <v>0</v>
      </c>
      <c r="CL46" s="2012">
        <f t="shared" si="132"/>
        <v>0</v>
      </c>
      <c r="CM46" s="4428">
        <f t="shared" si="96"/>
        <v>0</v>
      </c>
      <c r="CN46" s="4432"/>
      <c r="CP46" s="2012">
        <f t="shared" si="133"/>
        <v>0</v>
      </c>
      <c r="CQ46" s="2012">
        <f t="shared" si="133"/>
        <v>0</v>
      </c>
      <c r="CR46" s="4614"/>
      <c r="CS46" s="2012"/>
      <c r="CT46" s="2012"/>
      <c r="CU46" s="4614"/>
    </row>
    <row r="47" spans="1:101" ht="13.8" outlineLevel="2">
      <c r="A47" s="4833"/>
      <c r="B47" s="4640" t="s">
        <v>30</v>
      </c>
      <c r="C47" s="3341"/>
      <c r="D47" s="3341"/>
      <c r="E47" s="3349">
        <f t="shared" si="97"/>
        <v>0</v>
      </c>
      <c r="F47" s="4428" t="e">
        <f t="shared" si="98"/>
        <v>#DIV/0!</v>
      </c>
      <c r="G47" s="4429"/>
      <c r="H47" s="3341"/>
      <c r="I47" s="3341"/>
      <c r="J47" s="3349">
        <f t="shared" si="99"/>
        <v>0</v>
      </c>
      <c r="K47" s="4428" t="e">
        <f t="shared" si="100"/>
        <v>#DIV/0!</v>
      </c>
      <c r="L47" s="4429"/>
      <c r="M47" s="3341"/>
      <c r="N47" s="3341"/>
      <c r="O47" s="3349">
        <f t="shared" si="101"/>
        <v>0</v>
      </c>
      <c r="P47" s="4428" t="e">
        <f t="shared" si="102"/>
        <v>#DIV/0!</v>
      </c>
      <c r="Q47" s="4429"/>
      <c r="R47" s="3342">
        <f t="shared" si="103"/>
        <v>0</v>
      </c>
      <c r="S47" s="3342">
        <f t="shared" si="103"/>
        <v>0</v>
      </c>
      <c r="T47" s="2012">
        <f t="shared" si="104"/>
        <v>0</v>
      </c>
      <c r="U47" s="3462"/>
      <c r="V47" s="3462"/>
      <c r="W47" s="3342">
        <f t="shared" si="105"/>
        <v>0</v>
      </c>
      <c r="X47" s="3342">
        <f t="shared" si="105"/>
        <v>0</v>
      </c>
      <c r="Y47" s="2012">
        <f t="shared" si="106"/>
        <v>0</v>
      </c>
      <c r="Z47" s="3462"/>
      <c r="AA47" s="3462"/>
      <c r="AB47" s="3341"/>
      <c r="AC47" s="3341"/>
      <c r="AD47" s="3349">
        <f t="shared" si="107"/>
        <v>0</v>
      </c>
      <c r="AE47" s="4428" t="e">
        <f t="shared" si="108"/>
        <v>#DIV/0!</v>
      </c>
      <c r="AF47" s="4429"/>
      <c r="AG47" s="3341"/>
      <c r="AH47" s="3341"/>
      <c r="AI47" s="3349">
        <f t="shared" si="109"/>
        <v>0</v>
      </c>
      <c r="AJ47" s="4428">
        <f t="shared" si="110"/>
        <v>0</v>
      </c>
      <c r="AK47" s="4429"/>
      <c r="AL47" s="3341"/>
      <c r="AM47" s="3341"/>
      <c r="AN47" s="3349">
        <f t="shared" si="111"/>
        <v>0</v>
      </c>
      <c r="AO47" s="4428">
        <f t="shared" si="112"/>
        <v>0</v>
      </c>
      <c r="AP47" s="4429"/>
      <c r="AQ47" s="3341"/>
      <c r="AR47" s="3341"/>
      <c r="AS47" s="3349">
        <f t="shared" si="113"/>
        <v>0</v>
      </c>
      <c r="AT47" s="4428">
        <f t="shared" si="114"/>
        <v>0</v>
      </c>
      <c r="AU47" s="4429"/>
      <c r="AV47" s="3341"/>
      <c r="AW47" s="3341"/>
      <c r="AX47" s="3349">
        <f t="shared" si="115"/>
        <v>0</v>
      </c>
      <c r="AY47" s="4428">
        <f t="shared" si="116"/>
        <v>0</v>
      </c>
      <c r="AZ47" s="4429"/>
      <c r="BA47" s="3341"/>
      <c r="BB47" s="3341"/>
      <c r="BC47" s="3349">
        <f t="shared" si="117"/>
        <v>0</v>
      </c>
      <c r="BD47" s="4428" t="e">
        <f t="shared" si="118"/>
        <v>#DIV/0!</v>
      </c>
      <c r="BE47" s="4429"/>
      <c r="BF47" s="3341"/>
      <c r="BG47" s="3341"/>
      <c r="BH47" s="3349">
        <f t="shared" si="119"/>
        <v>0</v>
      </c>
      <c r="BI47" s="4428" t="e">
        <f t="shared" si="120"/>
        <v>#DIV/0!</v>
      </c>
      <c r="BJ47" s="4429"/>
      <c r="BK47" s="3341"/>
      <c r="BL47" s="3341"/>
      <c r="BM47" s="3349">
        <f t="shared" si="121"/>
        <v>0</v>
      </c>
      <c r="BN47" s="4428" t="e">
        <f t="shared" si="122"/>
        <v>#DIV/0!</v>
      </c>
      <c r="BO47" s="4429"/>
      <c r="BP47" s="3341"/>
      <c r="BQ47" s="3341"/>
      <c r="BR47" s="3349">
        <f t="shared" si="123"/>
        <v>0</v>
      </c>
      <c r="BS47" s="4428" t="e">
        <f t="shared" si="124"/>
        <v>#DIV/0!</v>
      </c>
      <c r="BT47" s="4429"/>
      <c r="BU47" s="3341"/>
      <c r="BV47" s="3341"/>
      <c r="BW47" s="3349">
        <f t="shared" si="125"/>
        <v>0</v>
      </c>
      <c r="BX47" s="4428" t="e">
        <f t="shared" si="126"/>
        <v>#DIV/0!</v>
      </c>
      <c r="BY47" s="4429"/>
      <c r="BZ47" s="3341"/>
      <c r="CA47" s="3341"/>
      <c r="CB47" s="3349">
        <f t="shared" si="127"/>
        <v>0</v>
      </c>
      <c r="CC47" s="4428" t="e">
        <f t="shared" si="128"/>
        <v>#DIV/0!</v>
      </c>
      <c r="CD47" s="4429"/>
      <c r="CE47" s="3341"/>
      <c r="CF47" s="3341"/>
      <c r="CG47" s="3349">
        <f t="shared" si="129"/>
        <v>0</v>
      </c>
      <c r="CH47" s="4428" t="e">
        <f t="shared" si="130"/>
        <v>#DIV/0!</v>
      </c>
      <c r="CI47" s="4429"/>
      <c r="CJ47" s="3341">
        <f t="shared" si="131"/>
        <v>0</v>
      </c>
      <c r="CK47" s="3341">
        <f t="shared" si="131"/>
        <v>0</v>
      </c>
      <c r="CL47" s="2012">
        <f t="shared" si="132"/>
        <v>0</v>
      </c>
      <c r="CM47" s="4428">
        <f t="shared" si="96"/>
        <v>0</v>
      </c>
      <c r="CN47" s="4432"/>
      <c r="CP47" s="2012">
        <f t="shared" si="133"/>
        <v>0</v>
      </c>
      <c r="CQ47" s="2012">
        <f t="shared" si="133"/>
        <v>0</v>
      </c>
      <c r="CR47" s="4614"/>
      <c r="CS47" s="2012"/>
      <c r="CT47" s="2012"/>
      <c r="CU47" s="4614"/>
    </row>
    <row r="48" spans="1:101" ht="13.8" outlineLevel="2">
      <c r="A48" s="4833"/>
      <c r="B48" s="4640" t="s">
        <v>15</v>
      </c>
      <c r="C48" s="3341"/>
      <c r="D48" s="3341"/>
      <c r="E48" s="3349">
        <f t="shared" si="97"/>
        <v>0</v>
      </c>
      <c r="F48" s="4428" t="e">
        <f t="shared" si="98"/>
        <v>#DIV/0!</v>
      </c>
      <c r="G48" s="4429"/>
      <c r="H48" s="3341"/>
      <c r="I48" s="3341"/>
      <c r="J48" s="3349">
        <f t="shared" si="99"/>
        <v>0</v>
      </c>
      <c r="K48" s="4428" t="e">
        <f t="shared" si="100"/>
        <v>#DIV/0!</v>
      </c>
      <c r="L48" s="4429"/>
      <c r="M48" s="3341"/>
      <c r="N48" s="3341"/>
      <c r="O48" s="3349">
        <f t="shared" si="101"/>
        <v>0</v>
      </c>
      <c r="P48" s="4428" t="e">
        <f t="shared" si="102"/>
        <v>#DIV/0!</v>
      </c>
      <c r="Q48" s="4429"/>
      <c r="R48" s="3342">
        <f t="shared" si="103"/>
        <v>0</v>
      </c>
      <c r="S48" s="3342">
        <f t="shared" si="103"/>
        <v>0</v>
      </c>
      <c r="T48" s="2012">
        <f t="shared" si="104"/>
        <v>0</v>
      </c>
      <c r="U48" s="4641"/>
      <c r="V48" s="4429"/>
      <c r="W48" s="4642">
        <f t="shared" si="105"/>
        <v>0</v>
      </c>
      <c r="X48" s="4642">
        <f t="shared" si="105"/>
        <v>0</v>
      </c>
      <c r="Y48" s="4453">
        <f t="shared" si="106"/>
        <v>0</v>
      </c>
      <c r="Z48" s="4429"/>
      <c r="AA48" s="4429"/>
      <c r="AB48" s="4623"/>
      <c r="AC48" s="4623"/>
      <c r="AD48" s="4643">
        <f t="shared" si="107"/>
        <v>0</v>
      </c>
      <c r="AE48" s="4428" t="e">
        <f t="shared" si="108"/>
        <v>#DIV/0!</v>
      </c>
      <c r="AF48" s="4429"/>
      <c r="AG48" s="4623"/>
      <c r="AH48" s="3341"/>
      <c r="AI48" s="3349">
        <f t="shared" si="109"/>
        <v>0</v>
      </c>
      <c r="AJ48" s="4428">
        <f t="shared" si="110"/>
        <v>0</v>
      </c>
      <c r="AK48" s="4429"/>
      <c r="AL48" s="3341"/>
      <c r="AM48" s="3341"/>
      <c r="AN48" s="3349">
        <f t="shared" si="111"/>
        <v>0</v>
      </c>
      <c r="AO48" s="4428">
        <f t="shared" si="112"/>
        <v>0</v>
      </c>
      <c r="AP48" s="4429"/>
      <c r="AQ48" s="3341"/>
      <c r="AR48" s="3341"/>
      <c r="AS48" s="3349">
        <f t="shared" si="113"/>
        <v>0</v>
      </c>
      <c r="AT48" s="4428">
        <f t="shared" si="114"/>
        <v>0</v>
      </c>
      <c r="AU48" s="4429"/>
      <c r="AV48" s="3341"/>
      <c r="AW48" s="3341"/>
      <c r="AX48" s="3349">
        <f t="shared" si="115"/>
        <v>0</v>
      </c>
      <c r="AY48" s="4428">
        <f t="shared" si="116"/>
        <v>0</v>
      </c>
      <c r="AZ48" s="4429"/>
      <c r="BA48" s="3341"/>
      <c r="BB48" s="3341"/>
      <c r="BC48" s="3349">
        <f t="shared" si="117"/>
        <v>0</v>
      </c>
      <c r="BD48" s="4428" t="e">
        <f t="shared" si="118"/>
        <v>#DIV/0!</v>
      </c>
      <c r="BE48" s="4429"/>
      <c r="BF48" s="3341"/>
      <c r="BG48" s="3341"/>
      <c r="BH48" s="3349">
        <f t="shared" si="119"/>
        <v>0</v>
      </c>
      <c r="BI48" s="4428" t="e">
        <f t="shared" si="120"/>
        <v>#DIV/0!</v>
      </c>
      <c r="BJ48" s="4429"/>
      <c r="BK48" s="3341"/>
      <c r="BL48" s="3341"/>
      <c r="BM48" s="3349">
        <f t="shared" si="121"/>
        <v>0</v>
      </c>
      <c r="BN48" s="4428" t="e">
        <f t="shared" si="122"/>
        <v>#DIV/0!</v>
      </c>
      <c r="BO48" s="4429"/>
      <c r="BP48" s="3341"/>
      <c r="BQ48" s="3341"/>
      <c r="BR48" s="3349">
        <f t="shared" si="123"/>
        <v>0</v>
      </c>
      <c r="BS48" s="4428" t="e">
        <f t="shared" si="124"/>
        <v>#DIV/0!</v>
      </c>
      <c r="BT48" s="4429"/>
      <c r="BU48" s="3341"/>
      <c r="BV48" s="3341"/>
      <c r="BW48" s="3349">
        <f t="shared" si="125"/>
        <v>0</v>
      </c>
      <c r="BX48" s="4428" t="e">
        <f t="shared" si="126"/>
        <v>#DIV/0!</v>
      </c>
      <c r="BY48" s="4429"/>
      <c r="BZ48" s="3341"/>
      <c r="CA48" s="3341"/>
      <c r="CB48" s="3349">
        <f t="shared" si="127"/>
        <v>0</v>
      </c>
      <c r="CC48" s="4428" t="e">
        <f t="shared" si="128"/>
        <v>#DIV/0!</v>
      </c>
      <c r="CD48" s="4429"/>
      <c r="CE48" s="3341"/>
      <c r="CF48" s="3341"/>
      <c r="CG48" s="3349">
        <f t="shared" si="129"/>
        <v>0</v>
      </c>
      <c r="CH48" s="4428" t="e">
        <f t="shared" si="130"/>
        <v>#DIV/0!</v>
      </c>
      <c r="CI48" s="4429"/>
      <c r="CJ48" s="3341">
        <f t="shared" si="131"/>
        <v>0</v>
      </c>
      <c r="CK48" s="3341">
        <f t="shared" si="131"/>
        <v>0</v>
      </c>
      <c r="CL48" s="2012">
        <f t="shared" si="132"/>
        <v>0</v>
      </c>
      <c r="CM48" s="4428">
        <f t="shared" si="96"/>
        <v>0</v>
      </c>
      <c r="CN48" s="4432"/>
      <c r="CP48" s="2012">
        <f t="shared" si="133"/>
        <v>0</v>
      </c>
      <c r="CQ48" s="2012">
        <f t="shared" si="133"/>
        <v>0</v>
      </c>
      <c r="CR48" s="4614"/>
      <c r="CS48" s="2012"/>
      <c r="CT48" s="2012"/>
      <c r="CU48" s="4614"/>
    </row>
    <row r="49" spans="1:101" s="1396" customFormat="1" ht="14.4" outlineLevel="2" thickBot="1">
      <c r="A49" s="1405"/>
      <c r="B49" s="4644"/>
      <c r="C49" s="3341"/>
      <c r="D49" s="3341"/>
      <c r="E49" s="4609"/>
      <c r="F49" s="4437"/>
      <c r="G49" s="4634"/>
      <c r="H49" s="3341"/>
      <c r="I49" s="3341"/>
      <c r="J49" s="4609"/>
      <c r="K49" s="4437"/>
      <c r="L49" s="4634"/>
      <c r="M49" s="3341"/>
      <c r="N49" s="3341"/>
      <c r="O49" s="4609"/>
      <c r="P49" s="4437"/>
      <c r="Q49" s="4634"/>
      <c r="R49" s="3456"/>
      <c r="S49" s="3456"/>
      <c r="T49" s="3456"/>
      <c r="U49" s="3733"/>
      <c r="V49" s="3734"/>
      <c r="W49" s="3734"/>
      <c r="X49" s="3734"/>
      <c r="Y49" s="3734"/>
      <c r="Z49" s="3734"/>
      <c r="AA49" s="3734"/>
      <c r="AB49" s="3375"/>
      <c r="AC49" s="3375"/>
      <c r="AD49" s="4609"/>
      <c r="AE49" s="4437" t="e">
        <f t="shared" si="108"/>
        <v>#DIV/0!</v>
      </c>
      <c r="AF49" s="4634"/>
      <c r="AG49" s="3375"/>
      <c r="AH49" s="3341"/>
      <c r="AI49" s="4609"/>
      <c r="AJ49" s="4437">
        <f t="shared" si="110"/>
        <v>0</v>
      </c>
      <c r="AK49" s="4634"/>
      <c r="AL49" s="3341"/>
      <c r="AM49" s="3341"/>
      <c r="AN49" s="4609"/>
      <c r="AO49" s="4437">
        <f t="shared" si="112"/>
        <v>0</v>
      </c>
      <c r="AP49" s="4634"/>
      <c r="AQ49" s="3341"/>
      <c r="AR49" s="3341"/>
      <c r="AS49" s="4609"/>
      <c r="AT49" s="4437">
        <f t="shared" si="114"/>
        <v>0</v>
      </c>
      <c r="AU49" s="4634"/>
      <c r="AV49" s="3341"/>
      <c r="AW49" s="3341"/>
      <c r="AX49" s="4609"/>
      <c r="AY49" s="4437">
        <f t="shared" si="116"/>
        <v>0</v>
      </c>
      <c r="AZ49" s="4634"/>
      <c r="BA49" s="3341"/>
      <c r="BB49" s="3341"/>
      <c r="BC49" s="4609"/>
      <c r="BD49" s="4437" t="e">
        <f t="shared" si="118"/>
        <v>#DIV/0!</v>
      </c>
      <c r="BE49" s="4634"/>
      <c r="BF49" s="3341"/>
      <c r="BG49" s="3341"/>
      <c r="BH49" s="4609"/>
      <c r="BI49" s="4437" t="e">
        <f t="shared" si="120"/>
        <v>#DIV/0!</v>
      </c>
      <c r="BJ49" s="4634"/>
      <c r="BK49" s="3341"/>
      <c r="BL49" s="3341"/>
      <c r="BM49" s="4609"/>
      <c r="BN49" s="4437" t="e">
        <f t="shared" si="122"/>
        <v>#DIV/0!</v>
      </c>
      <c r="BO49" s="4634"/>
      <c r="BP49" s="3341"/>
      <c r="BQ49" s="3341"/>
      <c r="BR49" s="4609"/>
      <c r="BS49" s="4437" t="e">
        <f t="shared" si="124"/>
        <v>#DIV/0!</v>
      </c>
      <c r="BT49" s="4634"/>
      <c r="BU49" s="3341"/>
      <c r="BV49" s="3341"/>
      <c r="BW49" s="4609"/>
      <c r="BX49" s="4437" t="e">
        <f t="shared" si="126"/>
        <v>#DIV/0!</v>
      </c>
      <c r="BY49" s="4634"/>
      <c r="BZ49" s="3341"/>
      <c r="CA49" s="3341"/>
      <c r="CB49" s="4609"/>
      <c r="CC49" s="4437" t="e">
        <f t="shared" si="128"/>
        <v>#DIV/0!</v>
      </c>
      <c r="CD49" s="4634"/>
      <c r="CE49" s="3341"/>
      <c r="CF49" s="3341"/>
      <c r="CG49" s="4609"/>
      <c r="CH49" s="4437" t="e">
        <f t="shared" si="130"/>
        <v>#DIV/0!</v>
      </c>
      <c r="CI49" s="4634"/>
      <c r="CJ49" s="3341"/>
      <c r="CK49" s="3341"/>
      <c r="CL49" s="4609"/>
      <c r="CM49" s="4428">
        <f t="shared" si="96"/>
        <v>0</v>
      </c>
      <c r="CN49" s="4609"/>
      <c r="CP49" s="4645"/>
      <c r="CQ49" s="4645"/>
      <c r="CR49" s="4614"/>
      <c r="CS49" s="4645"/>
      <c r="CT49" s="4645"/>
      <c r="CU49" s="4614"/>
      <c r="CW49" s="2624"/>
    </row>
    <row r="50" spans="1:101" s="1396" customFormat="1" ht="13.8" outlineLevel="1">
      <c r="A50" s="1565"/>
      <c r="B50" s="1410" t="s">
        <v>59</v>
      </c>
      <c r="C50" s="2015">
        <f>C52+C51</f>
        <v>0</v>
      </c>
      <c r="D50" s="2015">
        <f>D52+D51</f>
        <v>0</v>
      </c>
      <c r="E50" s="2014">
        <f>SUM(E51:E52)</f>
        <v>0</v>
      </c>
      <c r="F50" s="4449" t="e">
        <f>E50/$E$89</f>
        <v>#DIV/0!</v>
      </c>
      <c r="G50" s="1057"/>
      <c r="H50" s="2015">
        <f>H52+H51</f>
        <v>0</v>
      </c>
      <c r="I50" s="2015">
        <f>I52+I51</f>
        <v>0</v>
      </c>
      <c r="J50" s="2014">
        <f>SUM(J51:J52)</f>
        <v>0</v>
      </c>
      <c r="K50" s="4449" t="e">
        <f>J50/$E$89</f>
        <v>#DIV/0!</v>
      </c>
      <c r="L50" s="1057"/>
      <c r="M50" s="2015">
        <f>M52+M51</f>
        <v>0</v>
      </c>
      <c r="N50" s="2015">
        <f>N52+N51</f>
        <v>0</v>
      </c>
      <c r="O50" s="2014">
        <f>SUM(O51:O52)</f>
        <v>0</v>
      </c>
      <c r="P50" s="4449" t="e">
        <f>O50/$E$89</f>
        <v>#DIV/0!</v>
      </c>
      <c r="Q50" s="1057"/>
      <c r="R50" s="2015">
        <f>R52+R51</f>
        <v>0</v>
      </c>
      <c r="S50" s="2015">
        <f>S52+S51</f>
        <v>0</v>
      </c>
      <c r="T50" s="2015">
        <f>SUM(T51:T52)</f>
        <v>0</v>
      </c>
      <c r="U50" s="1535"/>
      <c r="V50" s="3460"/>
      <c r="W50" s="2013">
        <f>W52+W51</f>
        <v>0</v>
      </c>
      <c r="X50" s="2013">
        <f>X52+X51</f>
        <v>0</v>
      </c>
      <c r="Y50" s="2013">
        <f>SUM(Y51:Y52)</f>
        <v>0</v>
      </c>
      <c r="Z50" s="1535"/>
      <c r="AA50" s="3460"/>
      <c r="AB50" s="2013">
        <f>AB52+AB51</f>
        <v>0</v>
      </c>
      <c r="AC50" s="2013">
        <f>AC52+AC51</f>
        <v>0</v>
      </c>
      <c r="AD50" s="2013">
        <f>SUM(AD51:AD52)</f>
        <v>0</v>
      </c>
      <c r="AE50" s="1535"/>
      <c r="AF50" s="3735"/>
      <c r="AG50" s="2013">
        <f>AG52+AG51</f>
        <v>0</v>
      </c>
      <c r="AH50" s="2015">
        <f>AH52+AH51</f>
        <v>0</v>
      </c>
      <c r="AI50" s="2015">
        <f>SUM(AI51:AI52)</f>
        <v>0</v>
      </c>
      <c r="AJ50" s="1535"/>
      <c r="AK50" s="1057"/>
      <c r="AL50" s="2015">
        <f>AL52+AL51</f>
        <v>0</v>
      </c>
      <c r="AM50" s="2015">
        <f>AM52+AM51</f>
        <v>0</v>
      </c>
      <c r="AN50" s="2015">
        <f>SUM(AN51:AN52)</f>
        <v>0</v>
      </c>
      <c r="AO50" s="1535"/>
      <c r="AP50" s="1057"/>
      <c r="AQ50" s="2015">
        <f>AQ52+AQ51</f>
        <v>0</v>
      </c>
      <c r="AR50" s="2015">
        <f>AR52+AR51</f>
        <v>0</v>
      </c>
      <c r="AS50" s="2015">
        <f>SUM(AS51:AS52)</f>
        <v>0</v>
      </c>
      <c r="AT50" s="1535"/>
      <c r="AU50" s="1057"/>
      <c r="AV50" s="2015">
        <f>AV52+AV51</f>
        <v>0</v>
      </c>
      <c r="AW50" s="2015">
        <f>AW52+AW51</f>
        <v>0</v>
      </c>
      <c r="AX50" s="2015">
        <f>SUM(AX51:AX52)</f>
        <v>0</v>
      </c>
      <c r="AY50" s="1535"/>
      <c r="AZ50" s="1057"/>
      <c r="BA50" s="2015">
        <f>BA52+BA51</f>
        <v>0</v>
      </c>
      <c r="BB50" s="2015">
        <f>BB52+BB51</f>
        <v>0</v>
      </c>
      <c r="BC50" s="2015">
        <f>SUM(BC51:BC52)</f>
        <v>0</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0</v>
      </c>
      <c r="CK50" s="2015">
        <f>CK52+CK51</f>
        <v>0</v>
      </c>
      <c r="CL50" s="2015">
        <f>SUM(CL51:CL52)</f>
        <v>0</v>
      </c>
      <c r="CM50" s="2006"/>
      <c r="CN50" s="2006"/>
      <c r="CP50" s="2015">
        <f>SUM(CP51:CP52)</f>
        <v>0</v>
      </c>
      <c r="CQ50" s="2015">
        <f>SUM(CQ51:CQ52)</f>
        <v>0</v>
      </c>
      <c r="CR50" s="2015"/>
      <c r="CS50" s="2015"/>
      <c r="CT50" s="2015"/>
      <c r="CU50" s="2015"/>
      <c r="CW50" s="2624"/>
    </row>
    <row r="51" spans="1:101" s="1396" customFormat="1" ht="13.8" outlineLevel="1">
      <c r="A51" s="1566"/>
      <c r="B51" s="4640" t="s">
        <v>60</v>
      </c>
      <c r="C51" s="3341"/>
      <c r="D51" s="3341"/>
      <c r="E51" s="3349">
        <f t="shared" ref="E51:E52" si="134">C51+D51</f>
        <v>0</v>
      </c>
      <c r="F51" s="4428" t="e">
        <f t="shared" ref="F51:F71" si="135">E51/$E$89</f>
        <v>#DIV/0!</v>
      </c>
      <c r="G51" s="4633"/>
      <c r="H51" s="3341"/>
      <c r="I51" s="3341"/>
      <c r="J51" s="3349">
        <f>H51+I51</f>
        <v>0</v>
      </c>
      <c r="K51" s="4428" t="e">
        <f t="shared" ref="K51:K52" si="136">J51/J$89</f>
        <v>#DIV/0!</v>
      </c>
      <c r="L51" s="4633"/>
      <c r="M51" s="3341"/>
      <c r="N51" s="3341"/>
      <c r="O51" s="3349">
        <f t="shared" ref="O51:O52" si="137">M51+N51</f>
        <v>0</v>
      </c>
      <c r="P51" s="4428" t="e">
        <f t="shared" ref="P51:P53" si="138">O51/O$89</f>
        <v>#DIV/0!</v>
      </c>
      <c r="Q51" s="4633"/>
      <c r="R51" s="3342">
        <f t="shared" ref="R51:S52" si="139">M51+H51+C51</f>
        <v>0</v>
      </c>
      <c r="S51" s="3342">
        <f t="shared" si="139"/>
        <v>0</v>
      </c>
      <c r="T51" s="2012">
        <f t="shared" ref="T51:T52" si="140">R51+S51</f>
        <v>0</v>
      </c>
      <c r="U51" s="3455"/>
      <c r="V51" s="3455"/>
      <c r="W51" s="3342">
        <f t="shared" ref="W51:X52" si="141">AB51+AG51+AL51+AV51+BA51+BF51+BK51+BP51+BU51+BZ51+CE51+AQ51</f>
        <v>0</v>
      </c>
      <c r="X51" s="3342">
        <f t="shared" si="141"/>
        <v>0</v>
      </c>
      <c r="Y51" s="2012">
        <f t="shared" ref="Y51:Y52" si="142">W51+X51</f>
        <v>0</v>
      </c>
      <c r="Z51" s="3455"/>
      <c r="AA51" s="3455"/>
      <c r="AB51" s="3341"/>
      <c r="AC51" s="3341"/>
      <c r="AD51" s="3349">
        <f t="shared" ref="AD51:AD52" si="143">AB51+AC51</f>
        <v>0</v>
      </c>
      <c r="AE51" s="4428" t="e">
        <f t="shared" ref="AE51:AE53" si="144">AD51/AD$89</f>
        <v>#DIV/0!</v>
      </c>
      <c r="AF51" s="4633"/>
      <c r="AG51" s="3341"/>
      <c r="AH51" s="3341"/>
      <c r="AI51" s="3349">
        <f t="shared" ref="AI51:AI52" si="145">AG51+AH51</f>
        <v>0</v>
      </c>
      <c r="AJ51" s="4428">
        <f t="shared" ref="AJ51:AJ53" si="146">AI51/AI$89</f>
        <v>0</v>
      </c>
      <c r="AK51" s="4633"/>
      <c r="AL51" s="3341"/>
      <c r="AM51" s="3341"/>
      <c r="AN51" s="3349">
        <f t="shared" ref="AN51:AN52" si="147">AL51+AM51</f>
        <v>0</v>
      </c>
      <c r="AO51" s="4428">
        <f t="shared" ref="AO51:AO53" si="148">AN51/AN$89</f>
        <v>0</v>
      </c>
      <c r="AP51" s="4633"/>
      <c r="AQ51" s="3341"/>
      <c r="AR51" s="3341"/>
      <c r="AS51" s="3349">
        <f t="shared" ref="AS51:AS52" si="149">AQ51+AR51</f>
        <v>0</v>
      </c>
      <c r="AT51" s="4428">
        <f t="shared" ref="AT51:AT53" si="150">AS51/AS$89</f>
        <v>0</v>
      </c>
      <c r="AU51" s="4633"/>
      <c r="AV51" s="3341"/>
      <c r="AW51" s="3341"/>
      <c r="AX51" s="3349">
        <f t="shared" ref="AX51:AX52" si="151">AV51+AW51</f>
        <v>0</v>
      </c>
      <c r="AY51" s="4428">
        <f t="shared" ref="AY51:AY53" si="152">AX51/AX$89</f>
        <v>0</v>
      </c>
      <c r="AZ51" s="4633"/>
      <c r="BA51" s="3341"/>
      <c r="BB51" s="3341"/>
      <c r="BC51" s="3349">
        <f t="shared" ref="BC51:BC52" si="153">BA51+BB51</f>
        <v>0</v>
      </c>
      <c r="BD51" s="4428" t="e">
        <f t="shared" ref="BD51:BD53" si="154">BC51/BC$89</f>
        <v>#DIV/0!</v>
      </c>
      <c r="BE51" s="4633"/>
      <c r="BF51" s="3341"/>
      <c r="BG51" s="3341"/>
      <c r="BH51" s="3349">
        <f t="shared" ref="BH51:BH52" si="155">BF51+BG51</f>
        <v>0</v>
      </c>
      <c r="BI51" s="4428" t="e">
        <f t="shared" ref="BI51:BI53" si="156">BH51/BH$89</f>
        <v>#DIV/0!</v>
      </c>
      <c r="BJ51" s="4633"/>
      <c r="BK51" s="3341"/>
      <c r="BL51" s="3341"/>
      <c r="BM51" s="3349">
        <f t="shared" ref="BM51:BM52" si="157">BK51+BL51</f>
        <v>0</v>
      </c>
      <c r="BN51" s="4428" t="e">
        <f t="shared" ref="BN51:BN53" si="158">BM51/BM$89</f>
        <v>#DIV/0!</v>
      </c>
      <c r="BO51" s="4633"/>
      <c r="BP51" s="3341"/>
      <c r="BQ51" s="3341"/>
      <c r="BR51" s="3349">
        <f t="shared" ref="BR51:BR52" si="159">BP51+BQ51</f>
        <v>0</v>
      </c>
      <c r="BS51" s="4428" t="e">
        <f t="shared" ref="BS51:BS53" si="160">BR51/BR$89</f>
        <v>#DIV/0!</v>
      </c>
      <c r="BT51" s="4633"/>
      <c r="BU51" s="3341"/>
      <c r="BV51" s="3341"/>
      <c r="BW51" s="3349">
        <f t="shared" ref="BW51:BW52" si="161">BU51+BV51</f>
        <v>0</v>
      </c>
      <c r="BX51" s="4428" t="e">
        <f t="shared" ref="BX51:BX53" si="162">BW51/BW$89</f>
        <v>#DIV/0!</v>
      </c>
      <c r="BY51" s="4633"/>
      <c r="BZ51" s="3341"/>
      <c r="CA51" s="3341"/>
      <c r="CB51" s="3349">
        <f t="shared" ref="CB51:CB52" si="163">BZ51+CA51</f>
        <v>0</v>
      </c>
      <c r="CC51" s="4428" t="e">
        <f t="shared" ref="CC51:CC53" si="164">CB51/CB$89</f>
        <v>#DIV/0!</v>
      </c>
      <c r="CD51" s="4633"/>
      <c r="CE51" s="3341"/>
      <c r="CF51" s="3341"/>
      <c r="CG51" s="3349">
        <f t="shared" ref="CG51:CG52" si="165">CE51+CF51</f>
        <v>0</v>
      </c>
      <c r="CH51" s="4428" t="e">
        <f t="shared" ref="CH51:CH53" si="166">CG51/CG$89</f>
        <v>#DIV/0!</v>
      </c>
      <c r="CI51" s="4633"/>
      <c r="CJ51" s="3341">
        <f t="shared" ref="CJ51:CK53" si="167">C51+H51+M51+W51</f>
        <v>0</v>
      </c>
      <c r="CK51" s="3341">
        <f t="shared" si="167"/>
        <v>0</v>
      </c>
      <c r="CL51" s="2012">
        <f>CJ51+CK51*1</f>
        <v>0</v>
      </c>
      <c r="CM51" s="4428">
        <f>CL51/$CL$89</f>
        <v>0</v>
      </c>
      <c r="CN51" s="4611"/>
      <c r="CP51" s="2012">
        <f>CN51+CO51*1</f>
        <v>0</v>
      </c>
      <c r="CQ51" s="2012">
        <f>CO51+CP51*1</f>
        <v>0</v>
      </c>
      <c r="CR51" s="4614"/>
      <c r="CS51" s="2012"/>
      <c r="CT51" s="2012"/>
      <c r="CU51" s="4614"/>
      <c r="CW51" s="2624"/>
    </row>
    <row r="52" spans="1:101" ht="13.8" outlineLevel="2">
      <c r="A52" s="1566"/>
      <c r="B52" s="4640" t="s">
        <v>61</v>
      </c>
      <c r="C52" s="3341"/>
      <c r="D52" s="3341"/>
      <c r="E52" s="3349">
        <f t="shared" si="134"/>
        <v>0</v>
      </c>
      <c r="F52" s="4428" t="e">
        <f t="shared" si="135"/>
        <v>#DIV/0!</v>
      </c>
      <c r="G52" s="4633"/>
      <c r="H52" s="3341"/>
      <c r="I52" s="3341"/>
      <c r="J52" s="3349">
        <f>H52+I52</f>
        <v>0</v>
      </c>
      <c r="K52" s="4428" t="e">
        <f t="shared" si="136"/>
        <v>#DIV/0!</v>
      </c>
      <c r="L52" s="4633"/>
      <c r="M52" s="3341"/>
      <c r="N52" s="3341"/>
      <c r="O52" s="3349">
        <f t="shared" si="137"/>
        <v>0</v>
      </c>
      <c r="P52" s="4428" t="e">
        <f t="shared" si="138"/>
        <v>#DIV/0!</v>
      </c>
      <c r="Q52" s="4633"/>
      <c r="R52" s="3342">
        <f t="shared" si="139"/>
        <v>0</v>
      </c>
      <c r="S52" s="3342">
        <f t="shared" si="139"/>
        <v>0</v>
      </c>
      <c r="T52" s="2012">
        <f t="shared" si="140"/>
        <v>0</v>
      </c>
      <c r="U52" s="3455"/>
      <c r="V52" s="3455"/>
      <c r="W52" s="3342">
        <f t="shared" si="141"/>
        <v>0</v>
      </c>
      <c r="X52" s="3342">
        <f t="shared" si="141"/>
        <v>0</v>
      </c>
      <c r="Y52" s="2012">
        <f t="shared" si="142"/>
        <v>0</v>
      </c>
      <c r="Z52" s="3455"/>
      <c r="AA52" s="3455"/>
      <c r="AB52" s="3341"/>
      <c r="AC52" s="3341"/>
      <c r="AD52" s="3349">
        <f t="shared" si="143"/>
        <v>0</v>
      </c>
      <c r="AE52" s="4428" t="e">
        <f t="shared" si="144"/>
        <v>#DIV/0!</v>
      </c>
      <c r="AF52" s="4633"/>
      <c r="AG52" s="3341"/>
      <c r="AH52" s="3341"/>
      <c r="AI52" s="3349">
        <f t="shared" si="145"/>
        <v>0</v>
      </c>
      <c r="AJ52" s="4428">
        <f t="shared" si="146"/>
        <v>0</v>
      </c>
      <c r="AK52" s="4633"/>
      <c r="AL52" s="3341"/>
      <c r="AM52" s="3341"/>
      <c r="AN52" s="3349">
        <f t="shared" si="147"/>
        <v>0</v>
      </c>
      <c r="AO52" s="4428">
        <f t="shared" si="148"/>
        <v>0</v>
      </c>
      <c r="AP52" s="4633"/>
      <c r="AQ52" s="3341"/>
      <c r="AR52" s="3341"/>
      <c r="AS52" s="3349">
        <f t="shared" si="149"/>
        <v>0</v>
      </c>
      <c r="AT52" s="4428">
        <f t="shared" si="150"/>
        <v>0</v>
      </c>
      <c r="AU52" s="4633"/>
      <c r="AV52" s="3341"/>
      <c r="AW52" s="3341"/>
      <c r="AX52" s="3349">
        <f t="shared" si="151"/>
        <v>0</v>
      </c>
      <c r="AY52" s="4428">
        <f t="shared" si="152"/>
        <v>0</v>
      </c>
      <c r="AZ52" s="4633"/>
      <c r="BA52" s="3341"/>
      <c r="BB52" s="3341"/>
      <c r="BC52" s="3349">
        <f t="shared" si="153"/>
        <v>0</v>
      </c>
      <c r="BD52" s="4428" t="e">
        <f t="shared" si="154"/>
        <v>#DIV/0!</v>
      </c>
      <c r="BE52" s="4633"/>
      <c r="BF52" s="3341"/>
      <c r="BG52" s="3341"/>
      <c r="BH52" s="3349">
        <f t="shared" si="155"/>
        <v>0</v>
      </c>
      <c r="BI52" s="4428" t="e">
        <f t="shared" si="156"/>
        <v>#DIV/0!</v>
      </c>
      <c r="BJ52" s="4633"/>
      <c r="BK52" s="3341"/>
      <c r="BL52" s="3341"/>
      <c r="BM52" s="3349">
        <f t="shared" si="157"/>
        <v>0</v>
      </c>
      <c r="BN52" s="4428" t="e">
        <f t="shared" si="158"/>
        <v>#DIV/0!</v>
      </c>
      <c r="BO52" s="4633"/>
      <c r="BP52" s="3341"/>
      <c r="BQ52" s="3341"/>
      <c r="BR52" s="3349">
        <f t="shared" si="159"/>
        <v>0</v>
      </c>
      <c r="BS52" s="4428" t="e">
        <f t="shared" si="160"/>
        <v>#DIV/0!</v>
      </c>
      <c r="BT52" s="4633"/>
      <c r="BU52" s="3341"/>
      <c r="BV52" s="3341"/>
      <c r="BW52" s="3349">
        <f t="shared" si="161"/>
        <v>0</v>
      </c>
      <c r="BX52" s="4428" t="e">
        <f t="shared" si="162"/>
        <v>#DIV/0!</v>
      </c>
      <c r="BY52" s="4633"/>
      <c r="BZ52" s="3341"/>
      <c r="CA52" s="3341"/>
      <c r="CB52" s="3349">
        <f t="shared" si="163"/>
        <v>0</v>
      </c>
      <c r="CC52" s="4428" t="e">
        <f t="shared" si="164"/>
        <v>#DIV/0!</v>
      </c>
      <c r="CD52" s="4633"/>
      <c r="CE52" s="3341"/>
      <c r="CF52" s="3341"/>
      <c r="CG52" s="3349">
        <f t="shared" si="165"/>
        <v>0</v>
      </c>
      <c r="CH52" s="4428" t="e">
        <f t="shared" si="166"/>
        <v>#DIV/0!</v>
      </c>
      <c r="CI52" s="4633"/>
      <c r="CJ52" s="3341">
        <f t="shared" si="167"/>
        <v>0</v>
      </c>
      <c r="CK52" s="3341">
        <f t="shared" si="167"/>
        <v>0</v>
      </c>
      <c r="CL52" s="2012">
        <f>CJ52+CK52*1</f>
        <v>0</v>
      </c>
      <c r="CM52" s="4428">
        <f>CL52/$CL$89</f>
        <v>0</v>
      </c>
      <c r="CN52" s="4611"/>
      <c r="CP52" s="2012">
        <f>CN52+CO52*1</f>
        <v>0</v>
      </c>
      <c r="CQ52" s="2012">
        <f>CO52+CP52*1</f>
        <v>0</v>
      </c>
      <c r="CR52" s="4614"/>
      <c r="CS52" s="2012"/>
      <c r="CT52" s="2012"/>
      <c r="CU52" s="4614"/>
    </row>
    <row r="53" spans="1:101" ht="14.4" outlineLevel="1" thickBot="1">
      <c r="A53" s="1413"/>
      <c r="B53" s="4450"/>
      <c r="C53" s="3341"/>
      <c r="D53" s="3341"/>
      <c r="E53" s="4451"/>
      <c r="F53" s="4428" t="e">
        <f t="shared" si="135"/>
        <v>#DIV/0!</v>
      </c>
      <c r="G53" s="4452"/>
      <c r="H53" s="3341"/>
      <c r="I53" s="3341"/>
      <c r="J53" s="4451"/>
      <c r="K53" s="4428" t="e">
        <f t="shared" ref="K53:K54" si="168">J53/$E$89</f>
        <v>#DIV/0!</v>
      </c>
      <c r="L53" s="4452"/>
      <c r="M53" s="3341"/>
      <c r="N53" s="3341"/>
      <c r="O53" s="4451"/>
      <c r="P53" s="4428" t="e">
        <f t="shared" si="138"/>
        <v>#DIV/0!</v>
      </c>
      <c r="Q53" s="4452"/>
      <c r="R53" s="4646"/>
      <c r="S53" s="4452"/>
      <c r="T53" s="4452"/>
      <c r="U53" s="4452"/>
      <c r="V53" s="4452"/>
      <c r="W53" s="4452"/>
      <c r="X53" s="4452"/>
      <c r="Y53" s="4452"/>
      <c r="Z53" s="4452"/>
      <c r="AA53" s="4452"/>
      <c r="AB53" s="4624"/>
      <c r="AC53" s="4624"/>
      <c r="AD53" s="4451"/>
      <c r="AE53" s="4437" t="e">
        <f t="shared" si="144"/>
        <v>#DIV/0!</v>
      </c>
      <c r="AF53" s="4452"/>
      <c r="AG53" s="4624"/>
      <c r="AH53" s="4624"/>
      <c r="AI53" s="4451"/>
      <c r="AJ53" s="4437">
        <f t="shared" si="146"/>
        <v>0</v>
      </c>
      <c r="AK53" s="4452"/>
      <c r="AL53" s="4624"/>
      <c r="AM53" s="4624"/>
      <c r="AN53" s="4451"/>
      <c r="AO53" s="4437">
        <f t="shared" si="148"/>
        <v>0</v>
      </c>
      <c r="AP53" s="4452"/>
      <c r="AQ53" s="4624"/>
      <c r="AR53" s="4624"/>
      <c r="AS53" s="4451"/>
      <c r="AT53" s="4437">
        <f t="shared" si="150"/>
        <v>0</v>
      </c>
      <c r="AU53" s="4452"/>
      <c r="AV53" s="4624"/>
      <c r="AW53" s="4624"/>
      <c r="AX53" s="4451"/>
      <c r="AY53" s="4437">
        <f t="shared" si="152"/>
        <v>0</v>
      </c>
      <c r="AZ53" s="4452"/>
      <c r="BA53" s="4624"/>
      <c r="BB53" s="4624"/>
      <c r="BC53" s="4451"/>
      <c r="BD53" s="4437" t="e">
        <f t="shared" si="154"/>
        <v>#DIV/0!</v>
      </c>
      <c r="BE53" s="4452"/>
      <c r="BF53" s="4624"/>
      <c r="BG53" s="4624"/>
      <c r="BH53" s="4451"/>
      <c r="BI53" s="4437" t="e">
        <f t="shared" si="156"/>
        <v>#DIV/0!</v>
      </c>
      <c r="BJ53" s="4452"/>
      <c r="BK53" s="4624"/>
      <c r="BL53" s="4624"/>
      <c r="BM53" s="4451"/>
      <c r="BN53" s="4437" t="e">
        <f t="shared" si="158"/>
        <v>#DIV/0!</v>
      </c>
      <c r="BO53" s="4452"/>
      <c r="BP53" s="4624"/>
      <c r="BQ53" s="4624"/>
      <c r="BR53" s="4451"/>
      <c r="BS53" s="4437" t="e">
        <f t="shared" si="160"/>
        <v>#DIV/0!</v>
      </c>
      <c r="BT53" s="4452"/>
      <c r="BU53" s="4624"/>
      <c r="BV53" s="4624"/>
      <c r="BW53" s="4451"/>
      <c r="BX53" s="4437" t="e">
        <f t="shared" si="162"/>
        <v>#DIV/0!</v>
      </c>
      <c r="BY53" s="4452"/>
      <c r="BZ53" s="4624"/>
      <c r="CA53" s="4624"/>
      <c r="CB53" s="4451"/>
      <c r="CC53" s="4437" t="e">
        <f t="shared" si="164"/>
        <v>#DIV/0!</v>
      </c>
      <c r="CD53" s="4452"/>
      <c r="CE53" s="4624"/>
      <c r="CF53" s="4624"/>
      <c r="CG53" s="4451"/>
      <c r="CH53" s="4437" t="e">
        <f t="shared" si="166"/>
        <v>#DIV/0!</v>
      </c>
      <c r="CI53" s="4452"/>
      <c r="CJ53" s="4624">
        <f t="shared" si="167"/>
        <v>0</v>
      </c>
      <c r="CK53" s="4624">
        <f t="shared" si="167"/>
        <v>0</v>
      </c>
      <c r="CL53" s="4451"/>
      <c r="CM53" s="4451"/>
      <c r="CN53" s="4451"/>
      <c r="CP53" s="4647"/>
      <c r="CQ53" s="4647"/>
      <c r="CR53" s="4614"/>
      <c r="CS53" s="4647"/>
      <c r="CT53" s="4647"/>
      <c r="CU53" s="4614"/>
    </row>
    <row r="54" spans="1:101" ht="13.8" outlineLevel="1">
      <c r="A54" s="1570"/>
      <c r="B54" s="1410" t="s">
        <v>1</v>
      </c>
      <c r="C54" s="2015">
        <f>SUM(C55:C72)</f>
        <v>0</v>
      </c>
      <c r="D54" s="2015">
        <f>SUM(D55:D72)</f>
        <v>0</v>
      </c>
      <c r="E54" s="2014">
        <f>SUM(E55:E72)</f>
        <v>0</v>
      </c>
      <c r="F54" s="4449" t="e">
        <f t="shared" si="135"/>
        <v>#DIV/0!</v>
      </c>
      <c r="G54" s="1057"/>
      <c r="H54" s="2015">
        <f>SUM(H55:H72)</f>
        <v>0</v>
      </c>
      <c r="I54" s="2015">
        <f>SUM(I55:I72)</f>
        <v>0</v>
      </c>
      <c r="J54" s="2014">
        <f>SUM(J55:J72)</f>
        <v>0</v>
      </c>
      <c r="K54" s="4449" t="e">
        <f t="shared" si="168"/>
        <v>#DIV/0!</v>
      </c>
      <c r="L54" s="1057"/>
      <c r="M54" s="2015">
        <f>SUM(M55:M72)</f>
        <v>0</v>
      </c>
      <c r="N54" s="2015">
        <f>SUM(N55:N72)</f>
        <v>0</v>
      </c>
      <c r="O54" s="2014">
        <f>SUM(O55:O72)</f>
        <v>0</v>
      </c>
      <c r="P54" s="4449" t="e">
        <f t="shared" ref="P54" si="169">O54/$E$89</f>
        <v>#DIV/0!</v>
      </c>
      <c r="Q54" s="1057"/>
      <c r="R54" s="2013">
        <f>SUM(R55:R72)</f>
        <v>0</v>
      </c>
      <c r="S54" s="2013">
        <f>SUM(S55:S72)</f>
        <v>0</v>
      </c>
      <c r="T54" s="2013">
        <f>SUM(T55:T72)</f>
        <v>0</v>
      </c>
      <c r="U54" s="1535"/>
      <c r="V54" s="3460"/>
      <c r="W54" s="2013">
        <f>SUM(W55:W72)</f>
        <v>0</v>
      </c>
      <c r="X54" s="2013">
        <f>SUM(X55:X72)</f>
        <v>0</v>
      </c>
      <c r="Y54" s="2013">
        <f>SUM(Y55:Y72)</f>
        <v>0</v>
      </c>
      <c r="Z54" s="1535"/>
      <c r="AA54" s="3460"/>
      <c r="AB54" s="2013">
        <f>SUM(AB55:AB72)</f>
        <v>0</v>
      </c>
      <c r="AC54" s="2013">
        <f>SUM(AC55:AC72)</f>
        <v>0</v>
      </c>
      <c r="AD54" s="2013">
        <f>SUM(AD55:AD72)</f>
        <v>0</v>
      </c>
      <c r="AE54" s="1535"/>
      <c r="AF54" s="3735"/>
      <c r="AG54" s="2013">
        <f>SUM(AG55:AG72)</f>
        <v>0</v>
      </c>
      <c r="AH54" s="2013">
        <f>SUM(AH55:AH72)</f>
        <v>0</v>
      </c>
      <c r="AI54" s="2013">
        <f>SUM(AI55:AI72)</f>
        <v>0</v>
      </c>
      <c r="AJ54" s="1535"/>
      <c r="AK54" s="3735"/>
      <c r="AL54" s="2013">
        <f>SUM(AL55:AL72)</f>
        <v>0</v>
      </c>
      <c r="AM54" s="2013">
        <f>SUM(AM55:AM72)</f>
        <v>0</v>
      </c>
      <c r="AN54" s="2013">
        <f>SUM(AN55:AN72)</f>
        <v>0</v>
      </c>
      <c r="AO54" s="1535"/>
      <c r="AP54" s="3735"/>
      <c r="AQ54" s="2013">
        <f>SUM(AQ55:AQ72)</f>
        <v>0</v>
      </c>
      <c r="AR54" s="2013">
        <f>SUM(AR55:AR72)</f>
        <v>0</v>
      </c>
      <c r="AS54" s="2013">
        <f>SUM(AS55:AS72)</f>
        <v>0</v>
      </c>
      <c r="AT54" s="1535"/>
      <c r="AU54" s="3735"/>
      <c r="AV54" s="2013">
        <f>SUM(AV55:AV72)</f>
        <v>0</v>
      </c>
      <c r="AW54" s="2013">
        <f>SUM(AW55:AW72)</f>
        <v>0</v>
      </c>
      <c r="AX54" s="2013">
        <f>SUM(AX55:AX72)</f>
        <v>0</v>
      </c>
      <c r="AY54" s="1535"/>
      <c r="AZ54" s="3735"/>
      <c r="BA54" s="2013">
        <f>SUM(BA55:BA72)</f>
        <v>0</v>
      </c>
      <c r="BB54" s="2013">
        <f>SUM(BB55:BB72)</f>
        <v>0</v>
      </c>
      <c r="BC54" s="2013">
        <f>SUM(BC55:BC72)</f>
        <v>0</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0</v>
      </c>
      <c r="CK54" s="2013">
        <f>SUM(CK55:CK72)</f>
        <v>0</v>
      </c>
      <c r="CL54" s="2013">
        <f>SUM(CL55:CL72)</f>
        <v>0</v>
      </c>
      <c r="CM54" s="1535">
        <f t="shared" ref="CM54:CM71" si="170">CL54/$CL$89</f>
        <v>0</v>
      </c>
      <c r="CN54" s="1061"/>
      <c r="CP54" s="2015">
        <f>SUM(CP55:CP72)</f>
        <v>0</v>
      </c>
      <c r="CQ54" s="2015">
        <f>SUM(CQ55:CQ72)</f>
        <v>0</v>
      </c>
      <c r="CR54" s="2015"/>
      <c r="CS54" s="2015"/>
      <c r="CT54" s="2015"/>
      <c r="CU54" s="2015"/>
    </row>
    <row r="55" spans="1:101" ht="13.8" outlineLevel="2">
      <c r="A55" s="1571"/>
      <c r="B55" s="4632" t="s">
        <v>77</v>
      </c>
      <c r="C55" s="3349"/>
      <c r="D55" s="3349"/>
      <c r="E55" s="3349">
        <f t="shared" ref="E55:E71" si="171">C55+D55</f>
        <v>0</v>
      </c>
      <c r="F55" s="4428" t="e">
        <f t="shared" si="135"/>
        <v>#DIV/0!</v>
      </c>
      <c r="G55" s="4429"/>
      <c r="H55" s="3349"/>
      <c r="I55" s="3349"/>
      <c r="J55" s="3349">
        <f t="shared" ref="J55:J71" si="172">H55+I55</f>
        <v>0</v>
      </c>
      <c r="K55" s="4428" t="e">
        <f t="shared" ref="K55:K72" si="173">J55/J$89</f>
        <v>#DIV/0!</v>
      </c>
      <c r="L55" s="4429"/>
      <c r="M55" s="3349"/>
      <c r="N55" s="3349"/>
      <c r="O55" s="3349">
        <f t="shared" ref="O55:O71" si="174">M55+N55</f>
        <v>0</v>
      </c>
      <c r="P55" s="4428" t="e">
        <f t="shared" ref="P55:P72" si="175">O55/O$89</f>
        <v>#DIV/0!</v>
      </c>
      <c r="Q55" s="4429"/>
      <c r="R55" s="3342">
        <f t="shared" ref="R55:S71" si="176">M55+H55+C55</f>
        <v>0</v>
      </c>
      <c r="S55" s="3342">
        <f t="shared" si="176"/>
        <v>0</v>
      </c>
      <c r="T55" s="2012">
        <f t="shared" ref="T55:T71" si="177">R55+S55</f>
        <v>0</v>
      </c>
      <c r="U55" s="3462"/>
      <c r="V55" s="3462"/>
      <c r="W55" s="3342">
        <f t="shared" ref="W55:X71" si="178">AB55+AG55+AL55+AV55+BA55+BF55+BK55+BP55+BU55+BZ55+CE55+AQ55</f>
        <v>0</v>
      </c>
      <c r="X55" s="3342">
        <f t="shared" si="178"/>
        <v>0</v>
      </c>
      <c r="Y55" s="2012">
        <f t="shared" ref="Y55:Y71" si="179">W55+X55</f>
        <v>0</v>
      </c>
      <c r="Z55" s="3462"/>
      <c r="AA55" s="3462"/>
      <c r="AB55" s="3349"/>
      <c r="AC55" s="3349"/>
      <c r="AD55" s="3349">
        <f t="shared" ref="AD55:AD71" si="180">AB55+AC55</f>
        <v>0</v>
      </c>
      <c r="AE55" s="4428" t="e">
        <f t="shared" ref="AE55:AE71" si="181">AD55/AD$89</f>
        <v>#DIV/0!</v>
      </c>
      <c r="AF55" s="4429"/>
      <c r="AG55" s="3349"/>
      <c r="AH55" s="3349"/>
      <c r="AI55" s="3349">
        <f t="shared" ref="AI55:AI71" si="182">AG55+AH55</f>
        <v>0</v>
      </c>
      <c r="AJ55" s="4428">
        <f t="shared" ref="AJ55:AJ71" si="183">AI55/AI$89</f>
        <v>0</v>
      </c>
      <c r="AK55" s="4429"/>
      <c r="AL55" s="3349"/>
      <c r="AM55" s="3349"/>
      <c r="AN55" s="3349">
        <f t="shared" ref="AN55:AN71" si="184">AL55+AM55</f>
        <v>0</v>
      </c>
      <c r="AO55" s="4428">
        <f t="shared" ref="AO55:AO71" si="185">AN55/AN$89</f>
        <v>0</v>
      </c>
      <c r="AP55" s="4429"/>
      <c r="AQ55" s="3349"/>
      <c r="AR55" s="3349"/>
      <c r="AS55" s="3349">
        <f t="shared" ref="AS55:AS71" si="186">AQ55+AR55</f>
        <v>0</v>
      </c>
      <c r="AT55" s="4428">
        <f t="shared" ref="AT55:AT71" si="187">AS55/AS$89</f>
        <v>0</v>
      </c>
      <c r="AU55" s="4429"/>
      <c r="AV55" s="3349"/>
      <c r="AW55" s="3349"/>
      <c r="AX55" s="3349">
        <f t="shared" ref="AX55:AX71" si="188">AV55+AW55</f>
        <v>0</v>
      </c>
      <c r="AY55" s="4428">
        <f t="shared" ref="AY55:AY71" si="189">AX55/AX$89</f>
        <v>0</v>
      </c>
      <c r="AZ55" s="4429"/>
      <c r="BA55" s="3349"/>
      <c r="BB55" s="3349"/>
      <c r="BC55" s="3349">
        <f t="shared" ref="BC55:BC71" si="190">BA55+BB55</f>
        <v>0</v>
      </c>
      <c r="BD55" s="4428" t="e">
        <f t="shared" ref="BD55:BD71" si="191">BC55/BC$89</f>
        <v>#DIV/0!</v>
      </c>
      <c r="BE55" s="4429"/>
      <c r="BF55" s="3349"/>
      <c r="BG55" s="3349"/>
      <c r="BH55" s="3349">
        <f t="shared" ref="BH55:BH71" si="192">BF55+BG55</f>
        <v>0</v>
      </c>
      <c r="BI55" s="4428" t="e">
        <f t="shared" ref="BI55:BI71" si="193">BH55/BH$89</f>
        <v>#DIV/0!</v>
      </c>
      <c r="BJ55" s="4429"/>
      <c r="BK55" s="3349"/>
      <c r="BL55" s="3349"/>
      <c r="BM55" s="3349">
        <f t="shared" ref="BM55:BM71" si="194">BK55+BL55</f>
        <v>0</v>
      </c>
      <c r="BN55" s="4428" t="e">
        <f t="shared" ref="BN55:BN71" si="195">BM55/BM$89</f>
        <v>#DIV/0!</v>
      </c>
      <c r="BO55" s="4429"/>
      <c r="BP55" s="3349"/>
      <c r="BQ55" s="3349"/>
      <c r="BR55" s="3349">
        <f t="shared" ref="BR55:BR71" si="196">BP55+BQ55</f>
        <v>0</v>
      </c>
      <c r="BS55" s="4428" t="e">
        <f t="shared" ref="BS55:BS71" si="197">BR55/BR$89</f>
        <v>#DIV/0!</v>
      </c>
      <c r="BT55" s="4429"/>
      <c r="BU55" s="3349"/>
      <c r="BV55" s="3349"/>
      <c r="BW55" s="3349">
        <f t="shared" ref="BW55:BW71" si="198">BU55+BV55</f>
        <v>0</v>
      </c>
      <c r="BX55" s="4428" t="e">
        <f t="shared" ref="BX55:BX71" si="199">BW55/BW$89</f>
        <v>#DIV/0!</v>
      </c>
      <c r="BY55" s="4429"/>
      <c r="BZ55" s="3349"/>
      <c r="CA55" s="3349"/>
      <c r="CB55" s="3349">
        <f t="shared" ref="CB55:CB71" si="200">BZ55+CA55</f>
        <v>0</v>
      </c>
      <c r="CC55" s="4428" t="e">
        <f t="shared" ref="CC55:CC71" si="201">CB55/CB$89</f>
        <v>#DIV/0!</v>
      </c>
      <c r="CD55" s="4429"/>
      <c r="CE55" s="3349"/>
      <c r="CF55" s="3349"/>
      <c r="CG55" s="3349">
        <f t="shared" ref="CG55:CG71" si="202">CE55+CF55</f>
        <v>0</v>
      </c>
      <c r="CH55" s="4428" t="e">
        <f t="shared" ref="CH55:CH71" si="203">CG55/CG$89</f>
        <v>#DIV/0!</v>
      </c>
      <c r="CI55" s="4429"/>
      <c r="CJ55" s="3341">
        <f t="shared" ref="CJ55:CK71" si="204">C55+H55+M55+W55</f>
        <v>0</v>
      </c>
      <c r="CK55" s="3341">
        <f t="shared" si="204"/>
        <v>0</v>
      </c>
      <c r="CL55" s="2012">
        <f t="shared" ref="CL55:CL71" si="205">CJ55+CK55*1</f>
        <v>0</v>
      </c>
      <c r="CM55" s="4428">
        <f t="shared" si="170"/>
        <v>0</v>
      </c>
      <c r="CN55" s="4432"/>
      <c r="CP55" s="2012">
        <f t="shared" ref="CP55:CQ71" si="206">CN55+CO55*1</f>
        <v>0</v>
      </c>
      <c r="CQ55" s="2012">
        <f t="shared" si="206"/>
        <v>0</v>
      </c>
      <c r="CR55" s="4614"/>
      <c r="CS55" s="2012"/>
      <c r="CT55" s="2012"/>
      <c r="CU55" s="4614"/>
    </row>
    <row r="56" spans="1:101" ht="13.8" outlineLevel="2">
      <c r="A56" s="1571"/>
      <c r="B56" s="4632" t="s">
        <v>76</v>
      </c>
      <c r="C56" s="3349"/>
      <c r="D56" s="3349"/>
      <c r="E56" s="3349">
        <f t="shared" si="171"/>
        <v>0</v>
      </c>
      <c r="F56" s="4428" t="e">
        <f t="shared" si="135"/>
        <v>#DIV/0!</v>
      </c>
      <c r="G56" s="4429"/>
      <c r="H56" s="3349"/>
      <c r="I56" s="3349"/>
      <c r="J56" s="3349">
        <f t="shared" si="172"/>
        <v>0</v>
      </c>
      <c r="K56" s="4428" t="e">
        <f t="shared" si="173"/>
        <v>#DIV/0!</v>
      </c>
      <c r="L56" s="4429"/>
      <c r="M56" s="3349"/>
      <c r="N56" s="3349"/>
      <c r="O56" s="3349">
        <f t="shared" si="174"/>
        <v>0</v>
      </c>
      <c r="P56" s="4428" t="e">
        <f t="shared" si="175"/>
        <v>#DIV/0!</v>
      </c>
      <c r="Q56" s="4429"/>
      <c r="R56" s="3342">
        <f t="shared" si="176"/>
        <v>0</v>
      </c>
      <c r="S56" s="3342">
        <f t="shared" si="176"/>
        <v>0</v>
      </c>
      <c r="T56" s="2012">
        <f t="shared" si="177"/>
        <v>0</v>
      </c>
      <c r="U56" s="3462"/>
      <c r="V56" s="3462"/>
      <c r="W56" s="3342">
        <f t="shared" si="178"/>
        <v>0</v>
      </c>
      <c r="X56" s="3342">
        <f t="shared" si="178"/>
        <v>0</v>
      </c>
      <c r="Y56" s="2012">
        <f t="shared" si="179"/>
        <v>0</v>
      </c>
      <c r="Z56" s="3462"/>
      <c r="AA56" s="3462"/>
      <c r="AB56" s="3349"/>
      <c r="AC56" s="3349"/>
      <c r="AD56" s="3349">
        <f t="shared" si="180"/>
        <v>0</v>
      </c>
      <c r="AE56" s="4428" t="e">
        <f t="shared" si="181"/>
        <v>#DIV/0!</v>
      </c>
      <c r="AF56" s="4429"/>
      <c r="AG56" s="3349"/>
      <c r="AH56" s="3349"/>
      <c r="AI56" s="3349">
        <f t="shared" si="182"/>
        <v>0</v>
      </c>
      <c r="AJ56" s="4428">
        <f t="shared" si="183"/>
        <v>0</v>
      </c>
      <c r="AK56" s="4429"/>
      <c r="AL56" s="3349"/>
      <c r="AM56" s="3349"/>
      <c r="AN56" s="3349">
        <f t="shared" si="184"/>
        <v>0</v>
      </c>
      <c r="AO56" s="4428">
        <f t="shared" si="185"/>
        <v>0</v>
      </c>
      <c r="AP56" s="4429"/>
      <c r="AQ56" s="3349"/>
      <c r="AR56" s="3349"/>
      <c r="AS56" s="3349">
        <f t="shared" si="186"/>
        <v>0</v>
      </c>
      <c r="AT56" s="4428">
        <f t="shared" si="187"/>
        <v>0</v>
      </c>
      <c r="AU56" s="4429"/>
      <c r="AV56" s="3349"/>
      <c r="AW56" s="3349"/>
      <c r="AX56" s="3349">
        <f t="shared" si="188"/>
        <v>0</v>
      </c>
      <c r="AY56" s="4428">
        <f t="shared" si="189"/>
        <v>0</v>
      </c>
      <c r="AZ56" s="4429"/>
      <c r="BA56" s="3349"/>
      <c r="BB56" s="3349"/>
      <c r="BC56" s="3349">
        <f t="shared" si="190"/>
        <v>0</v>
      </c>
      <c r="BD56" s="4428" t="e">
        <f t="shared" si="191"/>
        <v>#DIV/0!</v>
      </c>
      <c r="BE56" s="4429"/>
      <c r="BF56" s="3349"/>
      <c r="BG56" s="3349"/>
      <c r="BH56" s="3349">
        <f t="shared" si="192"/>
        <v>0</v>
      </c>
      <c r="BI56" s="4428" t="e">
        <f t="shared" si="193"/>
        <v>#DIV/0!</v>
      </c>
      <c r="BJ56" s="4429"/>
      <c r="BK56" s="3349"/>
      <c r="BL56" s="3349"/>
      <c r="BM56" s="3349">
        <f t="shared" si="194"/>
        <v>0</v>
      </c>
      <c r="BN56" s="4428" t="e">
        <f t="shared" si="195"/>
        <v>#DIV/0!</v>
      </c>
      <c r="BO56" s="4429"/>
      <c r="BP56" s="3349"/>
      <c r="BQ56" s="3349"/>
      <c r="BR56" s="3349">
        <f t="shared" si="196"/>
        <v>0</v>
      </c>
      <c r="BS56" s="4428" t="e">
        <f t="shared" si="197"/>
        <v>#DIV/0!</v>
      </c>
      <c r="BT56" s="4429"/>
      <c r="BU56" s="3349"/>
      <c r="BV56" s="3349"/>
      <c r="BW56" s="3349">
        <f t="shared" si="198"/>
        <v>0</v>
      </c>
      <c r="BX56" s="4428" t="e">
        <f t="shared" si="199"/>
        <v>#DIV/0!</v>
      </c>
      <c r="BY56" s="4429"/>
      <c r="BZ56" s="3349"/>
      <c r="CA56" s="3349"/>
      <c r="CB56" s="3349">
        <f t="shared" si="200"/>
        <v>0</v>
      </c>
      <c r="CC56" s="4428" t="e">
        <f t="shared" si="201"/>
        <v>#DIV/0!</v>
      </c>
      <c r="CD56" s="4429"/>
      <c r="CE56" s="3349"/>
      <c r="CF56" s="3349"/>
      <c r="CG56" s="3349">
        <f t="shared" si="202"/>
        <v>0</v>
      </c>
      <c r="CH56" s="4428" t="e">
        <f t="shared" si="203"/>
        <v>#DIV/0!</v>
      </c>
      <c r="CI56" s="4429"/>
      <c r="CJ56" s="3341">
        <f t="shared" si="204"/>
        <v>0</v>
      </c>
      <c r="CK56" s="3341">
        <f t="shared" si="204"/>
        <v>0</v>
      </c>
      <c r="CL56" s="2012">
        <f t="shared" si="205"/>
        <v>0</v>
      </c>
      <c r="CM56" s="4428">
        <f t="shared" si="170"/>
        <v>0</v>
      </c>
      <c r="CN56" s="4432"/>
      <c r="CP56" s="2012">
        <f t="shared" si="206"/>
        <v>0</v>
      </c>
      <c r="CQ56" s="2012">
        <f t="shared" si="206"/>
        <v>0</v>
      </c>
      <c r="CR56" s="4614"/>
      <c r="CS56" s="2012"/>
      <c r="CT56" s="2012"/>
      <c r="CU56" s="4614"/>
    </row>
    <row r="57" spans="1:101" ht="13.8" outlineLevel="2">
      <c r="A57" s="1571"/>
      <c r="B57" s="4632" t="s">
        <v>68</v>
      </c>
      <c r="C57" s="3349"/>
      <c r="D57" s="3349"/>
      <c r="E57" s="3349">
        <f t="shared" si="171"/>
        <v>0</v>
      </c>
      <c r="F57" s="4428" t="e">
        <f t="shared" si="135"/>
        <v>#DIV/0!</v>
      </c>
      <c r="G57" s="4429"/>
      <c r="H57" s="3349"/>
      <c r="I57" s="3349"/>
      <c r="J57" s="3349">
        <f t="shared" si="172"/>
        <v>0</v>
      </c>
      <c r="K57" s="4428" t="e">
        <f t="shared" si="173"/>
        <v>#DIV/0!</v>
      </c>
      <c r="L57" s="4429"/>
      <c r="M57" s="3349"/>
      <c r="N57" s="3349"/>
      <c r="O57" s="3349">
        <f t="shared" si="174"/>
        <v>0</v>
      </c>
      <c r="P57" s="4428" t="e">
        <f t="shared" si="175"/>
        <v>#DIV/0!</v>
      </c>
      <c r="Q57" s="4429"/>
      <c r="R57" s="3342">
        <f t="shared" si="176"/>
        <v>0</v>
      </c>
      <c r="S57" s="3342">
        <f t="shared" si="176"/>
        <v>0</v>
      </c>
      <c r="T57" s="2012">
        <f t="shared" si="177"/>
        <v>0</v>
      </c>
      <c r="U57" s="3462"/>
      <c r="V57" s="3462"/>
      <c r="W57" s="3342">
        <f t="shared" si="178"/>
        <v>0</v>
      </c>
      <c r="X57" s="3342">
        <f t="shared" si="178"/>
        <v>0</v>
      </c>
      <c r="Y57" s="2012">
        <f t="shared" si="179"/>
        <v>0</v>
      </c>
      <c r="Z57" s="3462"/>
      <c r="AA57" s="3462"/>
      <c r="AB57" s="3349"/>
      <c r="AC57" s="3349"/>
      <c r="AD57" s="3349">
        <f t="shared" si="180"/>
        <v>0</v>
      </c>
      <c r="AE57" s="4428" t="e">
        <f t="shared" si="181"/>
        <v>#DIV/0!</v>
      </c>
      <c r="AF57" s="4429"/>
      <c r="AG57" s="3349"/>
      <c r="AH57" s="3349"/>
      <c r="AI57" s="3349">
        <f t="shared" si="182"/>
        <v>0</v>
      </c>
      <c r="AJ57" s="4428">
        <f t="shared" si="183"/>
        <v>0</v>
      </c>
      <c r="AK57" s="4429"/>
      <c r="AL57" s="3349"/>
      <c r="AM57" s="3349"/>
      <c r="AN57" s="3349">
        <f t="shared" si="184"/>
        <v>0</v>
      </c>
      <c r="AO57" s="4428">
        <f t="shared" si="185"/>
        <v>0</v>
      </c>
      <c r="AP57" s="4429"/>
      <c r="AQ57" s="3349"/>
      <c r="AR57" s="3349"/>
      <c r="AS57" s="3349">
        <f t="shared" si="186"/>
        <v>0</v>
      </c>
      <c r="AT57" s="4428">
        <f t="shared" si="187"/>
        <v>0</v>
      </c>
      <c r="AU57" s="4429"/>
      <c r="AV57" s="3349"/>
      <c r="AW57" s="3349"/>
      <c r="AX57" s="3349">
        <f t="shared" si="188"/>
        <v>0</v>
      </c>
      <c r="AY57" s="4428">
        <f t="shared" si="189"/>
        <v>0</v>
      </c>
      <c r="AZ57" s="4429"/>
      <c r="BA57" s="3349"/>
      <c r="BB57" s="3349"/>
      <c r="BC57" s="3349">
        <f t="shared" si="190"/>
        <v>0</v>
      </c>
      <c r="BD57" s="4428" t="e">
        <f t="shared" si="191"/>
        <v>#DIV/0!</v>
      </c>
      <c r="BE57" s="4429"/>
      <c r="BF57" s="3349"/>
      <c r="BG57" s="3349"/>
      <c r="BH57" s="3349">
        <f t="shared" si="192"/>
        <v>0</v>
      </c>
      <c r="BI57" s="4428" t="e">
        <f t="shared" si="193"/>
        <v>#DIV/0!</v>
      </c>
      <c r="BJ57" s="4429"/>
      <c r="BK57" s="3349"/>
      <c r="BL57" s="3349"/>
      <c r="BM57" s="3349">
        <f t="shared" si="194"/>
        <v>0</v>
      </c>
      <c r="BN57" s="4428" t="e">
        <f t="shared" si="195"/>
        <v>#DIV/0!</v>
      </c>
      <c r="BO57" s="4429"/>
      <c r="BP57" s="3349"/>
      <c r="BQ57" s="3349"/>
      <c r="BR57" s="3349">
        <f t="shared" si="196"/>
        <v>0</v>
      </c>
      <c r="BS57" s="4428" t="e">
        <f t="shared" si="197"/>
        <v>#DIV/0!</v>
      </c>
      <c r="BT57" s="4429"/>
      <c r="BU57" s="3349"/>
      <c r="BV57" s="3349"/>
      <c r="BW57" s="3349">
        <f t="shared" si="198"/>
        <v>0</v>
      </c>
      <c r="BX57" s="4428" t="e">
        <f t="shared" si="199"/>
        <v>#DIV/0!</v>
      </c>
      <c r="BY57" s="4429"/>
      <c r="BZ57" s="3349"/>
      <c r="CA57" s="3349"/>
      <c r="CB57" s="3349">
        <f t="shared" si="200"/>
        <v>0</v>
      </c>
      <c r="CC57" s="4428" t="e">
        <f t="shared" si="201"/>
        <v>#DIV/0!</v>
      </c>
      <c r="CD57" s="4429"/>
      <c r="CE57" s="3349"/>
      <c r="CF57" s="3349"/>
      <c r="CG57" s="3349">
        <f t="shared" si="202"/>
        <v>0</v>
      </c>
      <c r="CH57" s="4428" t="e">
        <f t="shared" si="203"/>
        <v>#DIV/0!</v>
      </c>
      <c r="CI57" s="4429"/>
      <c r="CJ57" s="3341">
        <f t="shared" si="204"/>
        <v>0</v>
      </c>
      <c r="CK57" s="3341">
        <f t="shared" si="204"/>
        <v>0</v>
      </c>
      <c r="CL57" s="2012">
        <f t="shared" si="205"/>
        <v>0</v>
      </c>
      <c r="CM57" s="4428">
        <f t="shared" si="170"/>
        <v>0</v>
      </c>
      <c r="CN57" s="4432"/>
      <c r="CP57" s="2012">
        <f t="shared" si="206"/>
        <v>0</v>
      </c>
      <c r="CQ57" s="2012">
        <f t="shared" si="206"/>
        <v>0</v>
      </c>
      <c r="CR57" s="4614"/>
      <c r="CS57" s="2012"/>
      <c r="CT57" s="2012"/>
      <c r="CU57" s="4614"/>
    </row>
    <row r="58" spans="1:101" ht="13.8" outlineLevel="2">
      <c r="A58" s="1571"/>
      <c r="B58" s="4632" t="s">
        <v>67</v>
      </c>
      <c r="C58" s="3349"/>
      <c r="D58" s="3349"/>
      <c r="E58" s="3349">
        <f t="shared" si="171"/>
        <v>0</v>
      </c>
      <c r="F58" s="4428" t="e">
        <f t="shared" si="135"/>
        <v>#DIV/0!</v>
      </c>
      <c r="G58" s="4429"/>
      <c r="H58" s="3349"/>
      <c r="I58" s="3349"/>
      <c r="J58" s="3349">
        <f t="shared" si="172"/>
        <v>0</v>
      </c>
      <c r="K58" s="4428" t="e">
        <f t="shared" si="173"/>
        <v>#DIV/0!</v>
      </c>
      <c r="L58" s="4429"/>
      <c r="M58" s="3349"/>
      <c r="N58" s="3349"/>
      <c r="O58" s="3349">
        <f t="shared" si="174"/>
        <v>0</v>
      </c>
      <c r="P58" s="4428" t="e">
        <f t="shared" si="175"/>
        <v>#DIV/0!</v>
      </c>
      <c r="Q58" s="4429"/>
      <c r="R58" s="3342">
        <f t="shared" si="176"/>
        <v>0</v>
      </c>
      <c r="S58" s="3342">
        <f t="shared" si="176"/>
        <v>0</v>
      </c>
      <c r="T58" s="2012">
        <f t="shared" si="177"/>
        <v>0</v>
      </c>
      <c r="U58" s="3462"/>
      <c r="V58" s="3462"/>
      <c r="W58" s="3342">
        <f t="shared" si="178"/>
        <v>0</v>
      </c>
      <c r="X58" s="3342">
        <f t="shared" si="178"/>
        <v>0</v>
      </c>
      <c r="Y58" s="2012">
        <f t="shared" si="179"/>
        <v>0</v>
      </c>
      <c r="Z58" s="3462"/>
      <c r="AA58" s="3462"/>
      <c r="AB58" s="3349"/>
      <c r="AC58" s="3349"/>
      <c r="AD58" s="3349">
        <f t="shared" si="180"/>
        <v>0</v>
      </c>
      <c r="AE58" s="4428" t="e">
        <f t="shared" si="181"/>
        <v>#DIV/0!</v>
      </c>
      <c r="AF58" s="4429"/>
      <c r="AG58" s="3349"/>
      <c r="AH58" s="3349"/>
      <c r="AI58" s="3349">
        <f t="shared" si="182"/>
        <v>0</v>
      </c>
      <c r="AJ58" s="4428">
        <f t="shared" si="183"/>
        <v>0</v>
      </c>
      <c r="AK58" s="4429"/>
      <c r="AL58" s="3349"/>
      <c r="AM58" s="3349"/>
      <c r="AN58" s="3349">
        <f t="shared" si="184"/>
        <v>0</v>
      </c>
      <c r="AO58" s="4428">
        <f t="shared" si="185"/>
        <v>0</v>
      </c>
      <c r="AP58" s="4429"/>
      <c r="AQ58" s="3349"/>
      <c r="AR58" s="3349"/>
      <c r="AS58" s="3349">
        <f t="shared" si="186"/>
        <v>0</v>
      </c>
      <c r="AT58" s="4428">
        <f t="shared" si="187"/>
        <v>0</v>
      </c>
      <c r="AU58" s="4429"/>
      <c r="AV58" s="3349"/>
      <c r="AW58" s="3349"/>
      <c r="AX58" s="3349">
        <f t="shared" si="188"/>
        <v>0</v>
      </c>
      <c r="AY58" s="4428">
        <f t="shared" si="189"/>
        <v>0</v>
      </c>
      <c r="AZ58" s="4429"/>
      <c r="BA58" s="3349"/>
      <c r="BB58" s="3349"/>
      <c r="BC58" s="3349">
        <f t="shared" si="190"/>
        <v>0</v>
      </c>
      <c r="BD58" s="4428" t="e">
        <f t="shared" si="191"/>
        <v>#DIV/0!</v>
      </c>
      <c r="BE58" s="4429"/>
      <c r="BF58" s="3349"/>
      <c r="BG58" s="3349"/>
      <c r="BH58" s="3349">
        <f t="shared" si="192"/>
        <v>0</v>
      </c>
      <c r="BI58" s="4428" t="e">
        <f t="shared" si="193"/>
        <v>#DIV/0!</v>
      </c>
      <c r="BJ58" s="4429"/>
      <c r="BK58" s="3349"/>
      <c r="BL58" s="3349"/>
      <c r="BM58" s="3349">
        <f t="shared" si="194"/>
        <v>0</v>
      </c>
      <c r="BN58" s="4428" t="e">
        <f t="shared" si="195"/>
        <v>#DIV/0!</v>
      </c>
      <c r="BO58" s="4429"/>
      <c r="BP58" s="3349"/>
      <c r="BQ58" s="3349"/>
      <c r="BR58" s="3349">
        <f t="shared" si="196"/>
        <v>0</v>
      </c>
      <c r="BS58" s="4428" t="e">
        <f t="shared" si="197"/>
        <v>#DIV/0!</v>
      </c>
      <c r="BT58" s="4429"/>
      <c r="BU58" s="3349"/>
      <c r="BV58" s="3349"/>
      <c r="BW58" s="3349">
        <f t="shared" si="198"/>
        <v>0</v>
      </c>
      <c r="BX58" s="4428" t="e">
        <f t="shared" si="199"/>
        <v>#DIV/0!</v>
      </c>
      <c r="BY58" s="4429"/>
      <c r="BZ58" s="3349"/>
      <c r="CA58" s="3349"/>
      <c r="CB58" s="3349">
        <f t="shared" si="200"/>
        <v>0</v>
      </c>
      <c r="CC58" s="4428" t="e">
        <f t="shared" si="201"/>
        <v>#DIV/0!</v>
      </c>
      <c r="CD58" s="4429"/>
      <c r="CE58" s="3349"/>
      <c r="CF58" s="3349"/>
      <c r="CG58" s="3349">
        <f t="shared" si="202"/>
        <v>0</v>
      </c>
      <c r="CH58" s="4428" t="e">
        <f t="shared" si="203"/>
        <v>#DIV/0!</v>
      </c>
      <c r="CI58" s="4429"/>
      <c r="CJ58" s="3341">
        <f t="shared" si="204"/>
        <v>0</v>
      </c>
      <c r="CK58" s="3341">
        <f t="shared" si="204"/>
        <v>0</v>
      </c>
      <c r="CL58" s="2012">
        <f t="shared" si="205"/>
        <v>0</v>
      </c>
      <c r="CM58" s="4428">
        <f t="shared" si="170"/>
        <v>0</v>
      </c>
      <c r="CN58" s="4432"/>
      <c r="CP58" s="2012">
        <f t="shared" si="206"/>
        <v>0</v>
      </c>
      <c r="CQ58" s="2012">
        <f t="shared" si="206"/>
        <v>0</v>
      </c>
      <c r="CR58" s="4614"/>
      <c r="CS58" s="2012"/>
      <c r="CT58" s="2012"/>
      <c r="CU58" s="4614"/>
    </row>
    <row r="59" spans="1:101" ht="13.8" outlineLevel="2">
      <c r="A59" s="1571"/>
      <c r="B59" s="4632" t="s">
        <v>66</v>
      </c>
      <c r="C59" s="3349"/>
      <c r="D59" s="3349"/>
      <c r="E59" s="3349">
        <f t="shared" si="171"/>
        <v>0</v>
      </c>
      <c r="F59" s="4428" t="e">
        <f t="shared" si="135"/>
        <v>#DIV/0!</v>
      </c>
      <c r="G59" s="4429"/>
      <c r="H59" s="3349"/>
      <c r="I59" s="3349"/>
      <c r="J59" s="3349">
        <f t="shared" si="172"/>
        <v>0</v>
      </c>
      <c r="K59" s="4428" t="e">
        <f t="shared" si="173"/>
        <v>#DIV/0!</v>
      </c>
      <c r="L59" s="4429"/>
      <c r="M59" s="3349"/>
      <c r="N59" s="3349"/>
      <c r="O59" s="3349">
        <f t="shared" si="174"/>
        <v>0</v>
      </c>
      <c r="P59" s="4428" t="e">
        <f t="shared" si="175"/>
        <v>#DIV/0!</v>
      </c>
      <c r="Q59" s="4429"/>
      <c r="R59" s="3342">
        <f t="shared" si="176"/>
        <v>0</v>
      </c>
      <c r="S59" s="3342">
        <f t="shared" si="176"/>
        <v>0</v>
      </c>
      <c r="T59" s="2012">
        <f t="shared" si="177"/>
        <v>0</v>
      </c>
      <c r="U59" s="3462"/>
      <c r="V59" s="3462"/>
      <c r="W59" s="3342">
        <f t="shared" si="178"/>
        <v>0</v>
      </c>
      <c r="X59" s="3342">
        <f t="shared" si="178"/>
        <v>0</v>
      </c>
      <c r="Y59" s="2012">
        <f t="shared" si="179"/>
        <v>0</v>
      </c>
      <c r="Z59" s="3462"/>
      <c r="AA59" s="3462"/>
      <c r="AB59" s="3349"/>
      <c r="AC59" s="3349"/>
      <c r="AD59" s="3349">
        <f t="shared" si="180"/>
        <v>0</v>
      </c>
      <c r="AE59" s="4428" t="e">
        <f t="shared" si="181"/>
        <v>#DIV/0!</v>
      </c>
      <c r="AF59" s="4429"/>
      <c r="AG59" s="3349"/>
      <c r="AH59" s="3349"/>
      <c r="AI59" s="3349">
        <f t="shared" si="182"/>
        <v>0</v>
      </c>
      <c r="AJ59" s="4428">
        <f t="shared" si="183"/>
        <v>0</v>
      </c>
      <c r="AK59" s="4429"/>
      <c r="AL59" s="3349"/>
      <c r="AM59" s="3349"/>
      <c r="AN59" s="3349">
        <f t="shared" si="184"/>
        <v>0</v>
      </c>
      <c r="AO59" s="4428">
        <f t="shared" si="185"/>
        <v>0</v>
      </c>
      <c r="AP59" s="4429"/>
      <c r="AQ59" s="3349"/>
      <c r="AR59" s="3349"/>
      <c r="AS59" s="3349">
        <f t="shared" si="186"/>
        <v>0</v>
      </c>
      <c r="AT59" s="4428">
        <f t="shared" si="187"/>
        <v>0</v>
      </c>
      <c r="AU59" s="4429"/>
      <c r="AV59" s="3349"/>
      <c r="AW59" s="3349"/>
      <c r="AX59" s="3349">
        <f t="shared" si="188"/>
        <v>0</v>
      </c>
      <c r="AY59" s="4428">
        <f t="shared" si="189"/>
        <v>0</v>
      </c>
      <c r="AZ59" s="4429"/>
      <c r="BA59" s="3349"/>
      <c r="BB59" s="3349"/>
      <c r="BC59" s="3349">
        <f t="shared" si="190"/>
        <v>0</v>
      </c>
      <c r="BD59" s="4428" t="e">
        <f t="shared" si="191"/>
        <v>#DIV/0!</v>
      </c>
      <c r="BE59" s="4429"/>
      <c r="BF59" s="3349"/>
      <c r="BG59" s="3349"/>
      <c r="BH59" s="3349">
        <f t="shared" si="192"/>
        <v>0</v>
      </c>
      <c r="BI59" s="4428" t="e">
        <f t="shared" si="193"/>
        <v>#DIV/0!</v>
      </c>
      <c r="BJ59" s="4429"/>
      <c r="BK59" s="3349"/>
      <c r="BL59" s="3349"/>
      <c r="BM59" s="3349">
        <f t="shared" si="194"/>
        <v>0</v>
      </c>
      <c r="BN59" s="4428" t="e">
        <f t="shared" si="195"/>
        <v>#DIV/0!</v>
      </c>
      <c r="BO59" s="4429"/>
      <c r="BP59" s="3349"/>
      <c r="BQ59" s="3349"/>
      <c r="BR59" s="3349">
        <f t="shared" si="196"/>
        <v>0</v>
      </c>
      <c r="BS59" s="4428" t="e">
        <f t="shared" si="197"/>
        <v>#DIV/0!</v>
      </c>
      <c r="BT59" s="4429"/>
      <c r="BU59" s="3349"/>
      <c r="BV59" s="3349"/>
      <c r="BW59" s="3349">
        <f t="shared" si="198"/>
        <v>0</v>
      </c>
      <c r="BX59" s="4428" t="e">
        <f t="shared" si="199"/>
        <v>#DIV/0!</v>
      </c>
      <c r="BY59" s="4429"/>
      <c r="BZ59" s="3349"/>
      <c r="CA59" s="3349"/>
      <c r="CB59" s="3349">
        <f t="shared" si="200"/>
        <v>0</v>
      </c>
      <c r="CC59" s="4428" t="e">
        <f t="shared" si="201"/>
        <v>#DIV/0!</v>
      </c>
      <c r="CD59" s="4429"/>
      <c r="CE59" s="3349"/>
      <c r="CF59" s="3349"/>
      <c r="CG59" s="3349">
        <f t="shared" si="202"/>
        <v>0</v>
      </c>
      <c r="CH59" s="4428" t="e">
        <f t="shared" si="203"/>
        <v>#DIV/0!</v>
      </c>
      <c r="CI59" s="4429"/>
      <c r="CJ59" s="3341">
        <f t="shared" si="204"/>
        <v>0</v>
      </c>
      <c r="CK59" s="3341">
        <f t="shared" si="204"/>
        <v>0</v>
      </c>
      <c r="CL59" s="2012">
        <f t="shared" si="205"/>
        <v>0</v>
      </c>
      <c r="CM59" s="4428">
        <f t="shared" si="170"/>
        <v>0</v>
      </c>
      <c r="CN59" s="4432"/>
      <c r="CP59" s="2012">
        <f t="shared" si="206"/>
        <v>0</v>
      </c>
      <c r="CQ59" s="2012">
        <f t="shared" si="206"/>
        <v>0</v>
      </c>
      <c r="CR59" s="4614"/>
      <c r="CS59" s="2012"/>
      <c r="CT59" s="2012"/>
      <c r="CU59" s="4614"/>
    </row>
    <row r="60" spans="1:101" ht="13.8" outlineLevel="2">
      <c r="A60" s="1571"/>
      <c r="B60" s="4632" t="s">
        <v>65</v>
      </c>
      <c r="C60" s="3349"/>
      <c r="D60" s="3349"/>
      <c r="E60" s="3349">
        <f t="shared" si="171"/>
        <v>0</v>
      </c>
      <c r="F60" s="4428" t="e">
        <f t="shared" si="135"/>
        <v>#DIV/0!</v>
      </c>
      <c r="G60" s="4429"/>
      <c r="H60" s="3349"/>
      <c r="I60" s="3349"/>
      <c r="J60" s="3349">
        <f t="shared" si="172"/>
        <v>0</v>
      </c>
      <c r="K60" s="4428" t="e">
        <f t="shared" si="173"/>
        <v>#DIV/0!</v>
      </c>
      <c r="L60" s="4429"/>
      <c r="M60" s="3349"/>
      <c r="N60" s="3349"/>
      <c r="O60" s="3349">
        <f t="shared" si="174"/>
        <v>0</v>
      </c>
      <c r="P60" s="4428" t="e">
        <f t="shared" si="175"/>
        <v>#DIV/0!</v>
      </c>
      <c r="Q60" s="4429"/>
      <c r="R60" s="3342">
        <f t="shared" si="176"/>
        <v>0</v>
      </c>
      <c r="S60" s="3342">
        <f t="shared" si="176"/>
        <v>0</v>
      </c>
      <c r="T60" s="2012">
        <f t="shared" si="177"/>
        <v>0</v>
      </c>
      <c r="U60" s="3462"/>
      <c r="V60" s="3462"/>
      <c r="W60" s="3342">
        <f t="shared" si="178"/>
        <v>0</v>
      </c>
      <c r="X60" s="3342">
        <f t="shared" si="178"/>
        <v>0</v>
      </c>
      <c r="Y60" s="2012">
        <f t="shared" si="179"/>
        <v>0</v>
      </c>
      <c r="Z60" s="3462"/>
      <c r="AA60" s="3462"/>
      <c r="AB60" s="3349"/>
      <c r="AC60" s="3349"/>
      <c r="AD60" s="3349">
        <f t="shared" si="180"/>
        <v>0</v>
      </c>
      <c r="AE60" s="4428" t="e">
        <f t="shared" si="181"/>
        <v>#DIV/0!</v>
      </c>
      <c r="AF60" s="4429"/>
      <c r="AG60" s="3349"/>
      <c r="AH60" s="3349"/>
      <c r="AI60" s="3349">
        <f t="shared" si="182"/>
        <v>0</v>
      </c>
      <c r="AJ60" s="4428">
        <f t="shared" si="183"/>
        <v>0</v>
      </c>
      <c r="AK60" s="4429"/>
      <c r="AL60" s="3349"/>
      <c r="AM60" s="3349"/>
      <c r="AN60" s="3349">
        <f t="shared" si="184"/>
        <v>0</v>
      </c>
      <c r="AO60" s="4428">
        <f t="shared" si="185"/>
        <v>0</v>
      </c>
      <c r="AP60" s="4429"/>
      <c r="AQ60" s="3349"/>
      <c r="AR60" s="3349"/>
      <c r="AS60" s="3349">
        <f t="shared" si="186"/>
        <v>0</v>
      </c>
      <c r="AT60" s="4428">
        <f t="shared" si="187"/>
        <v>0</v>
      </c>
      <c r="AU60" s="4429"/>
      <c r="AV60" s="3349"/>
      <c r="AW60" s="3349"/>
      <c r="AX60" s="3349">
        <f t="shared" si="188"/>
        <v>0</v>
      </c>
      <c r="AY60" s="4428">
        <f t="shared" si="189"/>
        <v>0</v>
      </c>
      <c r="AZ60" s="4429"/>
      <c r="BA60" s="3349"/>
      <c r="BB60" s="3349"/>
      <c r="BC60" s="3349">
        <f t="shared" si="190"/>
        <v>0</v>
      </c>
      <c r="BD60" s="4428" t="e">
        <f t="shared" si="191"/>
        <v>#DIV/0!</v>
      </c>
      <c r="BE60" s="4429"/>
      <c r="BF60" s="3349"/>
      <c r="BG60" s="3349"/>
      <c r="BH60" s="3349">
        <f t="shared" si="192"/>
        <v>0</v>
      </c>
      <c r="BI60" s="4428" t="e">
        <f t="shared" si="193"/>
        <v>#DIV/0!</v>
      </c>
      <c r="BJ60" s="4429"/>
      <c r="BK60" s="3349"/>
      <c r="BL60" s="3349"/>
      <c r="BM60" s="3349">
        <f t="shared" si="194"/>
        <v>0</v>
      </c>
      <c r="BN60" s="4428" t="e">
        <f t="shared" si="195"/>
        <v>#DIV/0!</v>
      </c>
      <c r="BO60" s="4429"/>
      <c r="BP60" s="3349"/>
      <c r="BQ60" s="3349"/>
      <c r="BR60" s="3349">
        <f t="shared" si="196"/>
        <v>0</v>
      </c>
      <c r="BS60" s="4428" t="e">
        <f t="shared" si="197"/>
        <v>#DIV/0!</v>
      </c>
      <c r="BT60" s="4429"/>
      <c r="BU60" s="3349"/>
      <c r="BV60" s="3349"/>
      <c r="BW60" s="3349">
        <f t="shared" si="198"/>
        <v>0</v>
      </c>
      <c r="BX60" s="4428" t="e">
        <f t="shared" si="199"/>
        <v>#DIV/0!</v>
      </c>
      <c r="BY60" s="4429"/>
      <c r="BZ60" s="3349"/>
      <c r="CA60" s="3349"/>
      <c r="CB60" s="3349">
        <f t="shared" si="200"/>
        <v>0</v>
      </c>
      <c r="CC60" s="4428" t="e">
        <f t="shared" si="201"/>
        <v>#DIV/0!</v>
      </c>
      <c r="CD60" s="4429"/>
      <c r="CE60" s="3349"/>
      <c r="CF60" s="3349"/>
      <c r="CG60" s="3349">
        <f t="shared" si="202"/>
        <v>0</v>
      </c>
      <c r="CH60" s="4428" t="e">
        <f t="shared" si="203"/>
        <v>#DIV/0!</v>
      </c>
      <c r="CI60" s="4429"/>
      <c r="CJ60" s="3341">
        <f t="shared" si="204"/>
        <v>0</v>
      </c>
      <c r="CK60" s="3341">
        <f t="shared" si="204"/>
        <v>0</v>
      </c>
      <c r="CL60" s="2012">
        <f t="shared" si="205"/>
        <v>0</v>
      </c>
      <c r="CM60" s="4428">
        <f t="shared" si="170"/>
        <v>0</v>
      </c>
      <c r="CN60" s="4432"/>
      <c r="CP60" s="2012">
        <f t="shared" si="206"/>
        <v>0</v>
      </c>
      <c r="CQ60" s="2012">
        <f t="shared" si="206"/>
        <v>0</v>
      </c>
      <c r="CR60" s="4614"/>
      <c r="CS60" s="2012"/>
      <c r="CT60" s="2012"/>
      <c r="CU60" s="4614"/>
    </row>
    <row r="61" spans="1:101" ht="13.8" outlineLevel="2">
      <c r="A61" s="1571"/>
      <c r="B61" s="4632" t="s">
        <v>32</v>
      </c>
      <c r="C61" s="3349"/>
      <c r="D61" s="3349"/>
      <c r="E61" s="3349">
        <f t="shared" si="171"/>
        <v>0</v>
      </c>
      <c r="F61" s="4428" t="e">
        <f t="shared" si="135"/>
        <v>#DIV/0!</v>
      </c>
      <c r="G61" s="4429"/>
      <c r="H61" s="3349"/>
      <c r="I61" s="3349"/>
      <c r="J61" s="3349">
        <f t="shared" si="172"/>
        <v>0</v>
      </c>
      <c r="K61" s="4428" t="e">
        <f t="shared" si="173"/>
        <v>#DIV/0!</v>
      </c>
      <c r="L61" s="4429"/>
      <c r="M61" s="3349"/>
      <c r="N61" s="3349"/>
      <c r="O61" s="3349">
        <f t="shared" si="174"/>
        <v>0</v>
      </c>
      <c r="P61" s="4428" t="e">
        <f t="shared" si="175"/>
        <v>#DIV/0!</v>
      </c>
      <c r="Q61" s="4429"/>
      <c r="R61" s="3342">
        <f t="shared" si="176"/>
        <v>0</v>
      </c>
      <c r="S61" s="3342">
        <f t="shared" si="176"/>
        <v>0</v>
      </c>
      <c r="T61" s="2012">
        <f t="shared" si="177"/>
        <v>0</v>
      </c>
      <c r="U61" s="3462"/>
      <c r="V61" s="3462"/>
      <c r="W61" s="3342">
        <f t="shared" si="178"/>
        <v>0</v>
      </c>
      <c r="X61" s="3342">
        <f t="shared" si="178"/>
        <v>0</v>
      </c>
      <c r="Y61" s="2012">
        <f t="shared" si="179"/>
        <v>0</v>
      </c>
      <c r="Z61" s="3462"/>
      <c r="AA61" s="3462"/>
      <c r="AB61" s="3349"/>
      <c r="AC61" s="3349"/>
      <c r="AD61" s="3349">
        <f t="shared" si="180"/>
        <v>0</v>
      </c>
      <c r="AE61" s="4428" t="e">
        <f t="shared" si="181"/>
        <v>#DIV/0!</v>
      </c>
      <c r="AF61" s="4429"/>
      <c r="AG61" s="3349"/>
      <c r="AH61" s="3349"/>
      <c r="AI61" s="3349">
        <f t="shared" si="182"/>
        <v>0</v>
      </c>
      <c r="AJ61" s="4428">
        <f t="shared" si="183"/>
        <v>0</v>
      </c>
      <c r="AK61" s="4429"/>
      <c r="AL61" s="3349"/>
      <c r="AM61" s="3349"/>
      <c r="AN61" s="3349">
        <f t="shared" si="184"/>
        <v>0</v>
      </c>
      <c r="AO61" s="4428">
        <f t="shared" si="185"/>
        <v>0</v>
      </c>
      <c r="AP61" s="4429"/>
      <c r="AQ61" s="3349"/>
      <c r="AR61" s="3349"/>
      <c r="AS61" s="3349">
        <f t="shared" si="186"/>
        <v>0</v>
      </c>
      <c r="AT61" s="4428">
        <f t="shared" si="187"/>
        <v>0</v>
      </c>
      <c r="AU61" s="4429"/>
      <c r="AV61" s="3349"/>
      <c r="AW61" s="3349"/>
      <c r="AX61" s="3349">
        <f t="shared" si="188"/>
        <v>0</v>
      </c>
      <c r="AY61" s="4428">
        <f t="shared" si="189"/>
        <v>0</v>
      </c>
      <c r="AZ61" s="4429"/>
      <c r="BA61" s="3349"/>
      <c r="BB61" s="3349"/>
      <c r="BC61" s="3349">
        <f t="shared" si="190"/>
        <v>0</v>
      </c>
      <c r="BD61" s="4428" t="e">
        <f t="shared" si="191"/>
        <v>#DIV/0!</v>
      </c>
      <c r="BE61" s="4429"/>
      <c r="BF61" s="3349"/>
      <c r="BG61" s="3349"/>
      <c r="BH61" s="3349">
        <f t="shared" si="192"/>
        <v>0</v>
      </c>
      <c r="BI61" s="4428" t="e">
        <f t="shared" si="193"/>
        <v>#DIV/0!</v>
      </c>
      <c r="BJ61" s="4429"/>
      <c r="BK61" s="3349"/>
      <c r="BL61" s="3349"/>
      <c r="BM61" s="3349">
        <f t="shared" si="194"/>
        <v>0</v>
      </c>
      <c r="BN61" s="4428" t="e">
        <f t="shared" si="195"/>
        <v>#DIV/0!</v>
      </c>
      <c r="BO61" s="4429"/>
      <c r="BP61" s="3349"/>
      <c r="BQ61" s="3349"/>
      <c r="BR61" s="3349">
        <f t="shared" si="196"/>
        <v>0</v>
      </c>
      <c r="BS61" s="4428" t="e">
        <f t="shared" si="197"/>
        <v>#DIV/0!</v>
      </c>
      <c r="BT61" s="4429"/>
      <c r="BU61" s="3349"/>
      <c r="BV61" s="3349"/>
      <c r="BW61" s="3349">
        <f t="shared" si="198"/>
        <v>0</v>
      </c>
      <c r="BX61" s="4428" t="e">
        <f t="shared" si="199"/>
        <v>#DIV/0!</v>
      </c>
      <c r="BY61" s="4429"/>
      <c r="BZ61" s="3349"/>
      <c r="CA61" s="3349"/>
      <c r="CB61" s="3349">
        <f t="shared" si="200"/>
        <v>0</v>
      </c>
      <c r="CC61" s="4428" t="e">
        <f t="shared" si="201"/>
        <v>#DIV/0!</v>
      </c>
      <c r="CD61" s="4429"/>
      <c r="CE61" s="3349"/>
      <c r="CF61" s="3349"/>
      <c r="CG61" s="3349">
        <f t="shared" si="202"/>
        <v>0</v>
      </c>
      <c r="CH61" s="4428" t="e">
        <f t="shared" si="203"/>
        <v>#DIV/0!</v>
      </c>
      <c r="CI61" s="4429"/>
      <c r="CJ61" s="3341">
        <f t="shared" si="204"/>
        <v>0</v>
      </c>
      <c r="CK61" s="3341">
        <f t="shared" si="204"/>
        <v>0</v>
      </c>
      <c r="CL61" s="2012">
        <f t="shared" si="205"/>
        <v>0</v>
      </c>
      <c r="CM61" s="4428">
        <f t="shared" si="170"/>
        <v>0</v>
      </c>
      <c r="CN61" s="4432"/>
      <c r="CP61" s="2012">
        <f t="shared" si="206"/>
        <v>0</v>
      </c>
      <c r="CQ61" s="2012">
        <f t="shared" si="206"/>
        <v>0</v>
      </c>
      <c r="CR61" s="4614"/>
      <c r="CS61" s="2012"/>
      <c r="CT61" s="2012"/>
      <c r="CU61" s="4614"/>
    </row>
    <row r="62" spans="1:101" ht="13.8" outlineLevel="2">
      <c r="A62" s="1571"/>
      <c r="B62" s="4632" t="s">
        <v>33</v>
      </c>
      <c r="C62" s="3349"/>
      <c r="D62" s="3349"/>
      <c r="E62" s="3349">
        <f t="shared" si="171"/>
        <v>0</v>
      </c>
      <c r="F62" s="4428" t="e">
        <f t="shared" si="135"/>
        <v>#DIV/0!</v>
      </c>
      <c r="G62" s="4429"/>
      <c r="H62" s="3349"/>
      <c r="I62" s="3349"/>
      <c r="J62" s="3349">
        <f t="shared" si="172"/>
        <v>0</v>
      </c>
      <c r="K62" s="4428" t="e">
        <f t="shared" si="173"/>
        <v>#DIV/0!</v>
      </c>
      <c r="L62" s="4429"/>
      <c r="M62" s="3349"/>
      <c r="N62" s="3349"/>
      <c r="O62" s="3349">
        <f t="shared" si="174"/>
        <v>0</v>
      </c>
      <c r="P62" s="4428" t="e">
        <f t="shared" si="175"/>
        <v>#DIV/0!</v>
      </c>
      <c r="Q62" s="4429"/>
      <c r="R62" s="3342">
        <f t="shared" si="176"/>
        <v>0</v>
      </c>
      <c r="S62" s="3342">
        <f t="shared" si="176"/>
        <v>0</v>
      </c>
      <c r="T62" s="2012">
        <f t="shared" si="177"/>
        <v>0</v>
      </c>
      <c r="U62" s="3462"/>
      <c r="V62" s="3462"/>
      <c r="W62" s="3342">
        <f t="shared" si="178"/>
        <v>0</v>
      </c>
      <c r="X62" s="3342">
        <f t="shared" si="178"/>
        <v>0</v>
      </c>
      <c r="Y62" s="2012">
        <f t="shared" si="179"/>
        <v>0</v>
      </c>
      <c r="Z62" s="3462"/>
      <c r="AA62" s="3462"/>
      <c r="AB62" s="3349"/>
      <c r="AC62" s="3349"/>
      <c r="AD62" s="3349">
        <f t="shared" si="180"/>
        <v>0</v>
      </c>
      <c r="AE62" s="4428" t="e">
        <f t="shared" si="181"/>
        <v>#DIV/0!</v>
      </c>
      <c r="AF62" s="4429"/>
      <c r="AG62" s="3349"/>
      <c r="AH62" s="3349"/>
      <c r="AI62" s="3349">
        <f t="shared" si="182"/>
        <v>0</v>
      </c>
      <c r="AJ62" s="4428">
        <f t="shared" si="183"/>
        <v>0</v>
      </c>
      <c r="AK62" s="4429"/>
      <c r="AL62" s="3349"/>
      <c r="AM62" s="3349"/>
      <c r="AN62" s="3349">
        <f t="shared" si="184"/>
        <v>0</v>
      </c>
      <c r="AO62" s="4428">
        <f t="shared" si="185"/>
        <v>0</v>
      </c>
      <c r="AP62" s="4429"/>
      <c r="AQ62" s="3349"/>
      <c r="AR62" s="3349"/>
      <c r="AS62" s="3349">
        <f t="shared" si="186"/>
        <v>0</v>
      </c>
      <c r="AT62" s="4428">
        <f t="shared" si="187"/>
        <v>0</v>
      </c>
      <c r="AU62" s="4429"/>
      <c r="AV62" s="3349"/>
      <c r="AW62" s="3349"/>
      <c r="AX62" s="3349">
        <f t="shared" si="188"/>
        <v>0</v>
      </c>
      <c r="AY62" s="4428">
        <f t="shared" si="189"/>
        <v>0</v>
      </c>
      <c r="AZ62" s="4429"/>
      <c r="BA62" s="3349"/>
      <c r="BB62" s="3349"/>
      <c r="BC62" s="3349">
        <f t="shared" si="190"/>
        <v>0</v>
      </c>
      <c r="BD62" s="4428" t="e">
        <f t="shared" si="191"/>
        <v>#DIV/0!</v>
      </c>
      <c r="BE62" s="4429"/>
      <c r="BF62" s="3349"/>
      <c r="BG62" s="3349"/>
      <c r="BH62" s="3349">
        <f t="shared" si="192"/>
        <v>0</v>
      </c>
      <c r="BI62" s="4428" t="e">
        <f t="shared" si="193"/>
        <v>#DIV/0!</v>
      </c>
      <c r="BJ62" s="4429"/>
      <c r="BK62" s="3349"/>
      <c r="BL62" s="3349"/>
      <c r="BM62" s="3349">
        <f t="shared" si="194"/>
        <v>0</v>
      </c>
      <c r="BN62" s="4428" t="e">
        <f t="shared" si="195"/>
        <v>#DIV/0!</v>
      </c>
      <c r="BO62" s="4429"/>
      <c r="BP62" s="3349"/>
      <c r="BQ62" s="3349"/>
      <c r="BR62" s="3349">
        <f t="shared" si="196"/>
        <v>0</v>
      </c>
      <c r="BS62" s="4428" t="e">
        <f t="shared" si="197"/>
        <v>#DIV/0!</v>
      </c>
      <c r="BT62" s="4429"/>
      <c r="BU62" s="3349"/>
      <c r="BV62" s="3349"/>
      <c r="BW62" s="3349">
        <f t="shared" si="198"/>
        <v>0</v>
      </c>
      <c r="BX62" s="4428" t="e">
        <f t="shared" si="199"/>
        <v>#DIV/0!</v>
      </c>
      <c r="BY62" s="4429"/>
      <c r="BZ62" s="3349"/>
      <c r="CA62" s="3349"/>
      <c r="CB62" s="3349">
        <f t="shared" si="200"/>
        <v>0</v>
      </c>
      <c r="CC62" s="4428" t="e">
        <f t="shared" si="201"/>
        <v>#DIV/0!</v>
      </c>
      <c r="CD62" s="4429"/>
      <c r="CE62" s="3349"/>
      <c r="CF62" s="3349"/>
      <c r="CG62" s="3349">
        <f t="shared" si="202"/>
        <v>0</v>
      </c>
      <c r="CH62" s="4428" t="e">
        <f t="shared" si="203"/>
        <v>#DIV/0!</v>
      </c>
      <c r="CI62" s="4429"/>
      <c r="CJ62" s="3341">
        <f t="shared" si="204"/>
        <v>0</v>
      </c>
      <c r="CK62" s="3341">
        <f t="shared" si="204"/>
        <v>0</v>
      </c>
      <c r="CL62" s="2012">
        <f t="shared" si="205"/>
        <v>0</v>
      </c>
      <c r="CM62" s="4428">
        <f t="shared" si="170"/>
        <v>0</v>
      </c>
      <c r="CN62" s="4432"/>
      <c r="CP62" s="2012">
        <f t="shared" si="206"/>
        <v>0</v>
      </c>
      <c r="CQ62" s="2012">
        <f t="shared" si="206"/>
        <v>0</v>
      </c>
      <c r="CR62" s="4614"/>
      <c r="CS62" s="2012"/>
      <c r="CT62" s="2012"/>
      <c r="CU62" s="4614"/>
    </row>
    <row r="63" spans="1:101" ht="13.8" outlineLevel="2">
      <c r="A63" s="1571"/>
      <c r="B63" s="4632" t="s">
        <v>35</v>
      </c>
      <c r="C63" s="3349"/>
      <c r="D63" s="3349"/>
      <c r="E63" s="3349">
        <f t="shared" si="171"/>
        <v>0</v>
      </c>
      <c r="F63" s="4428" t="e">
        <f t="shared" si="135"/>
        <v>#DIV/0!</v>
      </c>
      <c r="G63" s="4429"/>
      <c r="H63" s="3349"/>
      <c r="I63" s="3349"/>
      <c r="J63" s="3349">
        <f t="shared" si="172"/>
        <v>0</v>
      </c>
      <c r="K63" s="4428" t="e">
        <f t="shared" si="173"/>
        <v>#DIV/0!</v>
      </c>
      <c r="L63" s="4429"/>
      <c r="M63" s="3349"/>
      <c r="N63" s="3349"/>
      <c r="O63" s="3349">
        <f t="shared" si="174"/>
        <v>0</v>
      </c>
      <c r="P63" s="4428" t="e">
        <f t="shared" si="175"/>
        <v>#DIV/0!</v>
      </c>
      <c r="Q63" s="4429"/>
      <c r="R63" s="3342">
        <f t="shared" si="176"/>
        <v>0</v>
      </c>
      <c r="S63" s="3342">
        <f t="shared" si="176"/>
        <v>0</v>
      </c>
      <c r="T63" s="2012">
        <f t="shared" si="177"/>
        <v>0</v>
      </c>
      <c r="U63" s="3462"/>
      <c r="V63" s="3462"/>
      <c r="W63" s="3342">
        <f t="shared" si="178"/>
        <v>0</v>
      </c>
      <c r="X63" s="3342">
        <f t="shared" si="178"/>
        <v>0</v>
      </c>
      <c r="Y63" s="2012">
        <f t="shared" si="179"/>
        <v>0</v>
      </c>
      <c r="Z63" s="3462"/>
      <c r="AA63" s="3462"/>
      <c r="AB63" s="3349"/>
      <c r="AC63" s="3349"/>
      <c r="AD63" s="3349">
        <f t="shared" si="180"/>
        <v>0</v>
      </c>
      <c r="AE63" s="4428" t="e">
        <f t="shared" si="181"/>
        <v>#DIV/0!</v>
      </c>
      <c r="AF63" s="4429"/>
      <c r="AG63" s="3349"/>
      <c r="AH63" s="3349"/>
      <c r="AI63" s="3349">
        <f t="shared" si="182"/>
        <v>0</v>
      </c>
      <c r="AJ63" s="4428">
        <f t="shared" si="183"/>
        <v>0</v>
      </c>
      <c r="AK63" s="4429"/>
      <c r="AL63" s="3349"/>
      <c r="AM63" s="3349"/>
      <c r="AN63" s="3349">
        <f t="shared" si="184"/>
        <v>0</v>
      </c>
      <c r="AO63" s="4428">
        <f t="shared" si="185"/>
        <v>0</v>
      </c>
      <c r="AP63" s="4429"/>
      <c r="AQ63" s="3349"/>
      <c r="AR63" s="3349"/>
      <c r="AS63" s="3349">
        <f t="shared" si="186"/>
        <v>0</v>
      </c>
      <c r="AT63" s="4428">
        <f t="shared" si="187"/>
        <v>0</v>
      </c>
      <c r="AU63" s="4429"/>
      <c r="AV63" s="3349"/>
      <c r="AW63" s="3349"/>
      <c r="AX63" s="3349">
        <f t="shared" si="188"/>
        <v>0</v>
      </c>
      <c r="AY63" s="4428">
        <f t="shared" si="189"/>
        <v>0</v>
      </c>
      <c r="AZ63" s="4429"/>
      <c r="BA63" s="3349"/>
      <c r="BB63" s="3349"/>
      <c r="BC63" s="3349">
        <f t="shared" si="190"/>
        <v>0</v>
      </c>
      <c r="BD63" s="4428" t="e">
        <f t="shared" si="191"/>
        <v>#DIV/0!</v>
      </c>
      <c r="BE63" s="4429"/>
      <c r="BF63" s="3349"/>
      <c r="BG63" s="3349"/>
      <c r="BH63" s="3349">
        <f t="shared" si="192"/>
        <v>0</v>
      </c>
      <c r="BI63" s="4428" t="e">
        <f t="shared" si="193"/>
        <v>#DIV/0!</v>
      </c>
      <c r="BJ63" s="4429"/>
      <c r="BK63" s="3349"/>
      <c r="BL63" s="3349"/>
      <c r="BM63" s="3349">
        <f t="shared" si="194"/>
        <v>0</v>
      </c>
      <c r="BN63" s="4428" t="e">
        <f t="shared" si="195"/>
        <v>#DIV/0!</v>
      </c>
      <c r="BO63" s="4429"/>
      <c r="BP63" s="3349"/>
      <c r="BQ63" s="3349"/>
      <c r="BR63" s="3349">
        <f t="shared" si="196"/>
        <v>0</v>
      </c>
      <c r="BS63" s="4428" t="e">
        <f t="shared" si="197"/>
        <v>#DIV/0!</v>
      </c>
      <c r="BT63" s="4429"/>
      <c r="BU63" s="3349"/>
      <c r="BV63" s="3349"/>
      <c r="BW63" s="3349">
        <f t="shared" si="198"/>
        <v>0</v>
      </c>
      <c r="BX63" s="4428" t="e">
        <f t="shared" si="199"/>
        <v>#DIV/0!</v>
      </c>
      <c r="BY63" s="4429"/>
      <c r="BZ63" s="3349"/>
      <c r="CA63" s="3349"/>
      <c r="CB63" s="3349">
        <f t="shared" si="200"/>
        <v>0</v>
      </c>
      <c r="CC63" s="4428" t="e">
        <f t="shared" si="201"/>
        <v>#DIV/0!</v>
      </c>
      <c r="CD63" s="4429"/>
      <c r="CE63" s="3349"/>
      <c r="CF63" s="3349"/>
      <c r="CG63" s="3349">
        <f t="shared" si="202"/>
        <v>0</v>
      </c>
      <c r="CH63" s="4428" t="e">
        <f t="shared" si="203"/>
        <v>#DIV/0!</v>
      </c>
      <c r="CI63" s="4429"/>
      <c r="CJ63" s="3341">
        <f t="shared" si="204"/>
        <v>0</v>
      </c>
      <c r="CK63" s="3341">
        <f t="shared" si="204"/>
        <v>0</v>
      </c>
      <c r="CL63" s="2012">
        <f t="shared" si="205"/>
        <v>0</v>
      </c>
      <c r="CM63" s="4428">
        <f t="shared" si="170"/>
        <v>0</v>
      </c>
      <c r="CN63" s="4432"/>
      <c r="CP63" s="2012">
        <f t="shared" si="206"/>
        <v>0</v>
      </c>
      <c r="CQ63" s="2012">
        <f t="shared" si="206"/>
        <v>0</v>
      </c>
      <c r="CR63" s="4614"/>
      <c r="CS63" s="2012"/>
      <c r="CT63" s="2012"/>
      <c r="CU63" s="4614"/>
    </row>
    <row r="64" spans="1:101" ht="13.8" outlineLevel="2">
      <c r="A64" s="1571"/>
      <c r="B64" s="4632" t="s">
        <v>63</v>
      </c>
      <c r="C64" s="3349"/>
      <c r="D64" s="3349"/>
      <c r="E64" s="3349">
        <f t="shared" si="171"/>
        <v>0</v>
      </c>
      <c r="F64" s="4428" t="e">
        <f t="shared" si="135"/>
        <v>#DIV/0!</v>
      </c>
      <c r="G64" s="4429"/>
      <c r="H64" s="3349"/>
      <c r="I64" s="3349"/>
      <c r="J64" s="3349">
        <f t="shared" si="172"/>
        <v>0</v>
      </c>
      <c r="K64" s="4428" t="e">
        <f t="shared" si="173"/>
        <v>#DIV/0!</v>
      </c>
      <c r="L64" s="4429"/>
      <c r="M64" s="3349"/>
      <c r="N64" s="3349"/>
      <c r="O64" s="3349">
        <f t="shared" si="174"/>
        <v>0</v>
      </c>
      <c r="P64" s="4428" t="e">
        <f t="shared" si="175"/>
        <v>#DIV/0!</v>
      </c>
      <c r="Q64" s="4429"/>
      <c r="R64" s="3342">
        <f t="shared" si="176"/>
        <v>0</v>
      </c>
      <c r="S64" s="3342">
        <f t="shared" si="176"/>
        <v>0</v>
      </c>
      <c r="T64" s="2012">
        <f t="shared" si="177"/>
        <v>0</v>
      </c>
      <c r="U64" s="3462"/>
      <c r="V64" s="3462"/>
      <c r="W64" s="3342">
        <f t="shared" si="178"/>
        <v>0</v>
      </c>
      <c r="X64" s="3342">
        <f t="shared" si="178"/>
        <v>0</v>
      </c>
      <c r="Y64" s="2012">
        <f t="shared" si="179"/>
        <v>0</v>
      </c>
      <c r="Z64" s="3462"/>
      <c r="AA64" s="3462"/>
      <c r="AB64" s="3349"/>
      <c r="AC64" s="3349"/>
      <c r="AD64" s="3349">
        <f t="shared" si="180"/>
        <v>0</v>
      </c>
      <c r="AE64" s="4428" t="e">
        <f t="shared" si="181"/>
        <v>#DIV/0!</v>
      </c>
      <c r="AF64" s="4429"/>
      <c r="AG64" s="3349"/>
      <c r="AH64" s="3349"/>
      <c r="AI64" s="3349">
        <f t="shared" si="182"/>
        <v>0</v>
      </c>
      <c r="AJ64" s="4428">
        <f t="shared" si="183"/>
        <v>0</v>
      </c>
      <c r="AK64" s="4429"/>
      <c r="AL64" s="3349"/>
      <c r="AM64" s="3349"/>
      <c r="AN64" s="3349">
        <f t="shared" si="184"/>
        <v>0</v>
      </c>
      <c r="AO64" s="4428">
        <f t="shared" si="185"/>
        <v>0</v>
      </c>
      <c r="AP64" s="4429"/>
      <c r="AQ64" s="3349"/>
      <c r="AR64" s="3349"/>
      <c r="AS64" s="3349">
        <f t="shared" si="186"/>
        <v>0</v>
      </c>
      <c r="AT64" s="4428">
        <f t="shared" si="187"/>
        <v>0</v>
      </c>
      <c r="AU64" s="4429"/>
      <c r="AV64" s="3349"/>
      <c r="AW64" s="3349"/>
      <c r="AX64" s="3349">
        <f t="shared" si="188"/>
        <v>0</v>
      </c>
      <c r="AY64" s="4428">
        <f t="shared" si="189"/>
        <v>0</v>
      </c>
      <c r="AZ64" s="4429"/>
      <c r="BA64" s="3349"/>
      <c r="BB64" s="3349"/>
      <c r="BC64" s="3349">
        <f t="shared" si="190"/>
        <v>0</v>
      </c>
      <c r="BD64" s="4428" t="e">
        <f t="shared" si="191"/>
        <v>#DIV/0!</v>
      </c>
      <c r="BE64" s="4429"/>
      <c r="BF64" s="3349"/>
      <c r="BG64" s="3349"/>
      <c r="BH64" s="3349">
        <f t="shared" si="192"/>
        <v>0</v>
      </c>
      <c r="BI64" s="4428" t="e">
        <f t="shared" si="193"/>
        <v>#DIV/0!</v>
      </c>
      <c r="BJ64" s="4429"/>
      <c r="BK64" s="3349"/>
      <c r="BL64" s="3349"/>
      <c r="BM64" s="3349">
        <f t="shared" si="194"/>
        <v>0</v>
      </c>
      <c r="BN64" s="4428" t="e">
        <f t="shared" si="195"/>
        <v>#DIV/0!</v>
      </c>
      <c r="BO64" s="4429"/>
      <c r="BP64" s="3349"/>
      <c r="BQ64" s="3349"/>
      <c r="BR64" s="3349">
        <f t="shared" si="196"/>
        <v>0</v>
      </c>
      <c r="BS64" s="4428" t="e">
        <f t="shared" si="197"/>
        <v>#DIV/0!</v>
      </c>
      <c r="BT64" s="4429"/>
      <c r="BU64" s="3349"/>
      <c r="BV64" s="3349"/>
      <c r="BW64" s="3349">
        <f t="shared" si="198"/>
        <v>0</v>
      </c>
      <c r="BX64" s="4428" t="e">
        <f t="shared" si="199"/>
        <v>#DIV/0!</v>
      </c>
      <c r="BY64" s="4429"/>
      <c r="BZ64" s="3349"/>
      <c r="CA64" s="3349"/>
      <c r="CB64" s="3349">
        <f t="shared" si="200"/>
        <v>0</v>
      </c>
      <c r="CC64" s="4428" t="e">
        <f t="shared" si="201"/>
        <v>#DIV/0!</v>
      </c>
      <c r="CD64" s="4429"/>
      <c r="CE64" s="3349"/>
      <c r="CF64" s="3349"/>
      <c r="CG64" s="3349">
        <f t="shared" si="202"/>
        <v>0</v>
      </c>
      <c r="CH64" s="4428" t="e">
        <f t="shared" si="203"/>
        <v>#DIV/0!</v>
      </c>
      <c r="CI64" s="4429"/>
      <c r="CJ64" s="3341">
        <f t="shared" si="204"/>
        <v>0</v>
      </c>
      <c r="CK64" s="3341">
        <f t="shared" si="204"/>
        <v>0</v>
      </c>
      <c r="CL64" s="2012">
        <f t="shared" si="205"/>
        <v>0</v>
      </c>
      <c r="CM64" s="4428">
        <f t="shared" si="170"/>
        <v>0</v>
      </c>
      <c r="CN64" s="4432"/>
      <c r="CP64" s="2012">
        <f t="shared" si="206"/>
        <v>0</v>
      </c>
      <c r="CQ64" s="2012">
        <f t="shared" si="206"/>
        <v>0</v>
      </c>
      <c r="CR64" s="4614"/>
      <c r="CS64" s="2012"/>
      <c r="CT64" s="2012"/>
      <c r="CU64" s="4614"/>
    </row>
    <row r="65" spans="1:101" ht="13.8" outlineLevel="2">
      <c r="A65" s="1571"/>
      <c r="B65" s="4632" t="s">
        <v>36</v>
      </c>
      <c r="C65" s="3341"/>
      <c r="D65" s="3341"/>
      <c r="E65" s="3349">
        <f t="shared" si="171"/>
        <v>0</v>
      </c>
      <c r="F65" s="4428" t="e">
        <f t="shared" si="135"/>
        <v>#DIV/0!</v>
      </c>
      <c r="G65" s="4429"/>
      <c r="H65" s="3341"/>
      <c r="I65" s="3341"/>
      <c r="J65" s="3349">
        <f t="shared" si="172"/>
        <v>0</v>
      </c>
      <c r="K65" s="4428" t="e">
        <f t="shared" si="173"/>
        <v>#DIV/0!</v>
      </c>
      <c r="L65" s="4429"/>
      <c r="M65" s="3341"/>
      <c r="N65" s="3341"/>
      <c r="O65" s="3349">
        <f t="shared" si="174"/>
        <v>0</v>
      </c>
      <c r="P65" s="4428" t="e">
        <f t="shared" si="175"/>
        <v>#DIV/0!</v>
      </c>
      <c r="Q65" s="4429"/>
      <c r="R65" s="3342">
        <f t="shared" si="176"/>
        <v>0</v>
      </c>
      <c r="S65" s="3342">
        <f t="shared" si="176"/>
        <v>0</v>
      </c>
      <c r="T65" s="2012">
        <f t="shared" si="177"/>
        <v>0</v>
      </c>
      <c r="U65" s="3462"/>
      <c r="V65" s="3462"/>
      <c r="W65" s="3342">
        <f t="shared" si="178"/>
        <v>0</v>
      </c>
      <c r="X65" s="3342">
        <f t="shared" si="178"/>
        <v>0</v>
      </c>
      <c r="Y65" s="2012">
        <f t="shared" si="179"/>
        <v>0</v>
      </c>
      <c r="Z65" s="3462"/>
      <c r="AA65" s="3462"/>
      <c r="AB65" s="3341"/>
      <c r="AC65" s="3341"/>
      <c r="AD65" s="3349">
        <f t="shared" si="180"/>
        <v>0</v>
      </c>
      <c r="AE65" s="4428" t="e">
        <f t="shared" si="181"/>
        <v>#DIV/0!</v>
      </c>
      <c r="AF65" s="4429"/>
      <c r="AG65" s="3341"/>
      <c r="AH65" s="3341"/>
      <c r="AI65" s="3349">
        <f t="shared" si="182"/>
        <v>0</v>
      </c>
      <c r="AJ65" s="4428">
        <f t="shared" si="183"/>
        <v>0</v>
      </c>
      <c r="AK65" s="4429"/>
      <c r="AL65" s="3341"/>
      <c r="AM65" s="3341"/>
      <c r="AN65" s="3349">
        <f t="shared" si="184"/>
        <v>0</v>
      </c>
      <c r="AO65" s="4428">
        <f t="shared" si="185"/>
        <v>0</v>
      </c>
      <c r="AP65" s="4429"/>
      <c r="AQ65" s="3341"/>
      <c r="AR65" s="3341"/>
      <c r="AS65" s="3349">
        <f t="shared" si="186"/>
        <v>0</v>
      </c>
      <c r="AT65" s="4428">
        <f t="shared" si="187"/>
        <v>0</v>
      </c>
      <c r="AU65" s="4429"/>
      <c r="AV65" s="3341"/>
      <c r="AW65" s="3341"/>
      <c r="AX65" s="3349">
        <f t="shared" si="188"/>
        <v>0</v>
      </c>
      <c r="AY65" s="4428">
        <f t="shared" si="189"/>
        <v>0</v>
      </c>
      <c r="AZ65" s="4429"/>
      <c r="BA65" s="3341"/>
      <c r="BB65" s="3341"/>
      <c r="BC65" s="3349">
        <f t="shared" si="190"/>
        <v>0</v>
      </c>
      <c r="BD65" s="4428" t="e">
        <f t="shared" si="191"/>
        <v>#DIV/0!</v>
      </c>
      <c r="BE65" s="4429"/>
      <c r="BF65" s="3341"/>
      <c r="BG65" s="3341"/>
      <c r="BH65" s="3349">
        <f t="shared" si="192"/>
        <v>0</v>
      </c>
      <c r="BI65" s="4428" t="e">
        <f t="shared" si="193"/>
        <v>#DIV/0!</v>
      </c>
      <c r="BJ65" s="4429"/>
      <c r="BK65" s="3341"/>
      <c r="BL65" s="3341"/>
      <c r="BM65" s="3349">
        <f t="shared" si="194"/>
        <v>0</v>
      </c>
      <c r="BN65" s="4428" t="e">
        <f t="shared" si="195"/>
        <v>#DIV/0!</v>
      </c>
      <c r="BO65" s="4429"/>
      <c r="BP65" s="3341"/>
      <c r="BQ65" s="3341"/>
      <c r="BR65" s="3349">
        <f t="shared" si="196"/>
        <v>0</v>
      </c>
      <c r="BS65" s="4428" t="e">
        <f t="shared" si="197"/>
        <v>#DIV/0!</v>
      </c>
      <c r="BT65" s="4429"/>
      <c r="BU65" s="3341"/>
      <c r="BV65" s="3341"/>
      <c r="BW65" s="3349">
        <f t="shared" si="198"/>
        <v>0</v>
      </c>
      <c r="BX65" s="4428" t="e">
        <f t="shared" si="199"/>
        <v>#DIV/0!</v>
      </c>
      <c r="BY65" s="4429"/>
      <c r="BZ65" s="3341"/>
      <c r="CA65" s="3341"/>
      <c r="CB65" s="3349">
        <f t="shared" si="200"/>
        <v>0</v>
      </c>
      <c r="CC65" s="4428" t="e">
        <f t="shared" si="201"/>
        <v>#DIV/0!</v>
      </c>
      <c r="CD65" s="4429"/>
      <c r="CE65" s="3341"/>
      <c r="CF65" s="3341"/>
      <c r="CG65" s="3349">
        <f t="shared" si="202"/>
        <v>0</v>
      </c>
      <c r="CH65" s="4428" t="e">
        <f t="shared" si="203"/>
        <v>#DIV/0!</v>
      </c>
      <c r="CI65" s="4429"/>
      <c r="CJ65" s="3341">
        <f t="shared" si="204"/>
        <v>0</v>
      </c>
      <c r="CK65" s="3341">
        <f t="shared" si="204"/>
        <v>0</v>
      </c>
      <c r="CL65" s="2012">
        <f t="shared" si="205"/>
        <v>0</v>
      </c>
      <c r="CM65" s="4428">
        <f t="shared" si="170"/>
        <v>0</v>
      </c>
      <c r="CN65" s="4432"/>
      <c r="CP65" s="2012">
        <f t="shared" si="206"/>
        <v>0</v>
      </c>
      <c r="CQ65" s="2012">
        <f t="shared" si="206"/>
        <v>0</v>
      </c>
      <c r="CR65" s="4614"/>
      <c r="CS65" s="2012"/>
      <c r="CT65" s="2012"/>
      <c r="CU65" s="4614"/>
    </row>
    <row r="66" spans="1:101" s="1396" customFormat="1" ht="13.8" outlineLevel="2">
      <c r="A66" s="1571"/>
      <c r="B66" s="4632" t="s">
        <v>37</v>
      </c>
      <c r="C66" s="3341"/>
      <c r="D66" s="3341"/>
      <c r="E66" s="3349">
        <f t="shared" si="171"/>
        <v>0</v>
      </c>
      <c r="F66" s="4428" t="e">
        <f t="shared" si="135"/>
        <v>#DIV/0!</v>
      </c>
      <c r="G66" s="4429"/>
      <c r="H66" s="3341"/>
      <c r="I66" s="3341"/>
      <c r="J66" s="3349">
        <f t="shared" si="172"/>
        <v>0</v>
      </c>
      <c r="K66" s="4428" t="e">
        <f t="shared" si="173"/>
        <v>#DIV/0!</v>
      </c>
      <c r="L66" s="4429"/>
      <c r="M66" s="3341"/>
      <c r="N66" s="3341"/>
      <c r="O66" s="3349">
        <f t="shared" si="174"/>
        <v>0</v>
      </c>
      <c r="P66" s="4428" t="e">
        <f t="shared" si="175"/>
        <v>#DIV/0!</v>
      </c>
      <c r="Q66" s="4429"/>
      <c r="R66" s="3342">
        <f t="shared" si="176"/>
        <v>0</v>
      </c>
      <c r="S66" s="3342">
        <f t="shared" si="176"/>
        <v>0</v>
      </c>
      <c r="T66" s="2012">
        <f t="shared" si="177"/>
        <v>0</v>
      </c>
      <c r="U66" s="3462"/>
      <c r="V66" s="3462"/>
      <c r="W66" s="3342">
        <f t="shared" si="178"/>
        <v>0</v>
      </c>
      <c r="X66" s="3342">
        <f t="shared" si="178"/>
        <v>0</v>
      </c>
      <c r="Y66" s="2012">
        <f t="shared" si="179"/>
        <v>0</v>
      </c>
      <c r="Z66" s="3462"/>
      <c r="AA66" s="3462"/>
      <c r="AB66" s="3341"/>
      <c r="AC66" s="3341"/>
      <c r="AD66" s="3349">
        <f t="shared" si="180"/>
        <v>0</v>
      </c>
      <c r="AE66" s="4428" t="e">
        <f t="shared" si="181"/>
        <v>#DIV/0!</v>
      </c>
      <c r="AF66" s="4429"/>
      <c r="AG66" s="3341"/>
      <c r="AH66" s="3341"/>
      <c r="AI66" s="3349">
        <f t="shared" si="182"/>
        <v>0</v>
      </c>
      <c r="AJ66" s="4428">
        <f t="shared" si="183"/>
        <v>0</v>
      </c>
      <c r="AK66" s="4429"/>
      <c r="AL66" s="3341"/>
      <c r="AM66" s="3341"/>
      <c r="AN66" s="3349">
        <f t="shared" si="184"/>
        <v>0</v>
      </c>
      <c r="AO66" s="4428">
        <f t="shared" si="185"/>
        <v>0</v>
      </c>
      <c r="AP66" s="4429"/>
      <c r="AQ66" s="3341"/>
      <c r="AR66" s="3341"/>
      <c r="AS66" s="3349">
        <f t="shared" si="186"/>
        <v>0</v>
      </c>
      <c r="AT66" s="4428">
        <f t="shared" si="187"/>
        <v>0</v>
      </c>
      <c r="AU66" s="4429"/>
      <c r="AV66" s="3341"/>
      <c r="AW66" s="3341"/>
      <c r="AX66" s="3349">
        <f t="shared" si="188"/>
        <v>0</v>
      </c>
      <c r="AY66" s="4428">
        <f t="shared" si="189"/>
        <v>0</v>
      </c>
      <c r="AZ66" s="4429"/>
      <c r="BA66" s="3341"/>
      <c r="BB66" s="3341"/>
      <c r="BC66" s="3349">
        <f t="shared" si="190"/>
        <v>0</v>
      </c>
      <c r="BD66" s="4428" t="e">
        <f t="shared" si="191"/>
        <v>#DIV/0!</v>
      </c>
      <c r="BE66" s="4429"/>
      <c r="BF66" s="3341"/>
      <c r="BG66" s="3341"/>
      <c r="BH66" s="3349">
        <f t="shared" si="192"/>
        <v>0</v>
      </c>
      <c r="BI66" s="4428" t="e">
        <f t="shared" si="193"/>
        <v>#DIV/0!</v>
      </c>
      <c r="BJ66" s="4429"/>
      <c r="BK66" s="3341"/>
      <c r="BL66" s="3341"/>
      <c r="BM66" s="3349">
        <f t="shared" si="194"/>
        <v>0</v>
      </c>
      <c r="BN66" s="4428" t="e">
        <f t="shared" si="195"/>
        <v>#DIV/0!</v>
      </c>
      <c r="BO66" s="4429"/>
      <c r="BP66" s="3341"/>
      <c r="BQ66" s="3341"/>
      <c r="BR66" s="3349">
        <f t="shared" si="196"/>
        <v>0</v>
      </c>
      <c r="BS66" s="4428" t="e">
        <f t="shared" si="197"/>
        <v>#DIV/0!</v>
      </c>
      <c r="BT66" s="4429"/>
      <c r="BU66" s="3341"/>
      <c r="BV66" s="3341"/>
      <c r="BW66" s="3349">
        <f t="shared" si="198"/>
        <v>0</v>
      </c>
      <c r="BX66" s="4428" t="e">
        <f t="shared" si="199"/>
        <v>#DIV/0!</v>
      </c>
      <c r="BY66" s="4429"/>
      <c r="BZ66" s="3341"/>
      <c r="CA66" s="3341"/>
      <c r="CB66" s="3349">
        <f t="shared" si="200"/>
        <v>0</v>
      </c>
      <c r="CC66" s="4428" t="e">
        <f t="shared" si="201"/>
        <v>#DIV/0!</v>
      </c>
      <c r="CD66" s="4429"/>
      <c r="CE66" s="3341"/>
      <c r="CF66" s="3341"/>
      <c r="CG66" s="3349">
        <f t="shared" si="202"/>
        <v>0</v>
      </c>
      <c r="CH66" s="4428" t="e">
        <f t="shared" si="203"/>
        <v>#DIV/0!</v>
      </c>
      <c r="CI66" s="4429"/>
      <c r="CJ66" s="3341">
        <f t="shared" si="204"/>
        <v>0</v>
      </c>
      <c r="CK66" s="3341">
        <f t="shared" si="204"/>
        <v>0</v>
      </c>
      <c r="CL66" s="2012">
        <f t="shared" si="205"/>
        <v>0</v>
      </c>
      <c r="CM66" s="4428">
        <f t="shared" si="170"/>
        <v>0</v>
      </c>
      <c r="CN66" s="4432"/>
      <c r="CP66" s="2012">
        <f t="shared" si="206"/>
        <v>0</v>
      </c>
      <c r="CQ66" s="2012">
        <f t="shared" si="206"/>
        <v>0</v>
      </c>
      <c r="CR66" s="4614"/>
      <c r="CS66" s="2012"/>
      <c r="CT66" s="2012"/>
      <c r="CU66" s="4614"/>
      <c r="CW66" s="2624"/>
    </row>
    <row r="67" spans="1:101" s="1396" customFormat="1" ht="13.8" outlineLevel="2">
      <c r="A67" s="1571"/>
      <c r="B67" s="4632" t="s">
        <v>3</v>
      </c>
      <c r="C67" s="3341"/>
      <c r="D67" s="3341"/>
      <c r="E67" s="3349">
        <f t="shared" si="171"/>
        <v>0</v>
      </c>
      <c r="F67" s="4428" t="e">
        <f t="shared" si="135"/>
        <v>#DIV/0!</v>
      </c>
      <c r="G67" s="4429"/>
      <c r="H67" s="3341"/>
      <c r="I67" s="3341"/>
      <c r="J67" s="3349">
        <f t="shared" si="172"/>
        <v>0</v>
      </c>
      <c r="K67" s="4428" t="e">
        <f t="shared" si="173"/>
        <v>#DIV/0!</v>
      </c>
      <c r="L67" s="4429"/>
      <c r="M67" s="3341"/>
      <c r="N67" s="3341"/>
      <c r="O67" s="3349">
        <f t="shared" si="174"/>
        <v>0</v>
      </c>
      <c r="P67" s="4428" t="e">
        <f t="shared" si="175"/>
        <v>#DIV/0!</v>
      </c>
      <c r="Q67" s="4429"/>
      <c r="R67" s="3342">
        <f t="shared" si="176"/>
        <v>0</v>
      </c>
      <c r="S67" s="3342">
        <f t="shared" si="176"/>
        <v>0</v>
      </c>
      <c r="T67" s="2012">
        <f t="shared" si="177"/>
        <v>0</v>
      </c>
      <c r="U67" s="3462"/>
      <c r="V67" s="3462"/>
      <c r="W67" s="3342">
        <f t="shared" si="178"/>
        <v>0</v>
      </c>
      <c r="X67" s="3342">
        <f t="shared" si="178"/>
        <v>0</v>
      </c>
      <c r="Y67" s="2012">
        <f t="shared" si="179"/>
        <v>0</v>
      </c>
      <c r="Z67" s="3462"/>
      <c r="AA67" s="3462"/>
      <c r="AB67" s="3341"/>
      <c r="AC67" s="3341"/>
      <c r="AD67" s="3349">
        <f t="shared" si="180"/>
        <v>0</v>
      </c>
      <c r="AE67" s="4428" t="e">
        <f t="shared" si="181"/>
        <v>#DIV/0!</v>
      </c>
      <c r="AF67" s="4429"/>
      <c r="AG67" s="3341"/>
      <c r="AH67" s="3341"/>
      <c r="AI67" s="3349">
        <f t="shared" si="182"/>
        <v>0</v>
      </c>
      <c r="AJ67" s="4428">
        <f t="shared" si="183"/>
        <v>0</v>
      </c>
      <c r="AK67" s="4429"/>
      <c r="AL67" s="3341"/>
      <c r="AM67" s="3341"/>
      <c r="AN67" s="3349">
        <f t="shared" si="184"/>
        <v>0</v>
      </c>
      <c r="AO67" s="4428">
        <f t="shared" si="185"/>
        <v>0</v>
      </c>
      <c r="AP67" s="4429"/>
      <c r="AQ67" s="3341"/>
      <c r="AR67" s="3341"/>
      <c r="AS67" s="3349">
        <f t="shared" si="186"/>
        <v>0</v>
      </c>
      <c r="AT67" s="4428">
        <f t="shared" si="187"/>
        <v>0</v>
      </c>
      <c r="AU67" s="4429"/>
      <c r="AV67" s="3341"/>
      <c r="AW67" s="3341"/>
      <c r="AX67" s="3349">
        <f t="shared" si="188"/>
        <v>0</v>
      </c>
      <c r="AY67" s="4428">
        <f t="shared" si="189"/>
        <v>0</v>
      </c>
      <c r="AZ67" s="4429"/>
      <c r="BA67" s="3341"/>
      <c r="BB67" s="3341"/>
      <c r="BC67" s="3349">
        <f t="shared" si="190"/>
        <v>0</v>
      </c>
      <c r="BD67" s="4428" t="e">
        <f t="shared" si="191"/>
        <v>#DIV/0!</v>
      </c>
      <c r="BE67" s="4429"/>
      <c r="BF67" s="3341"/>
      <c r="BG67" s="3341"/>
      <c r="BH67" s="3349">
        <f t="shared" si="192"/>
        <v>0</v>
      </c>
      <c r="BI67" s="4428" t="e">
        <f t="shared" si="193"/>
        <v>#DIV/0!</v>
      </c>
      <c r="BJ67" s="4429"/>
      <c r="BK67" s="3341"/>
      <c r="BL67" s="3341"/>
      <c r="BM67" s="3349">
        <f t="shared" si="194"/>
        <v>0</v>
      </c>
      <c r="BN67" s="4428" t="e">
        <f t="shared" si="195"/>
        <v>#DIV/0!</v>
      </c>
      <c r="BO67" s="4429"/>
      <c r="BP67" s="3341"/>
      <c r="BQ67" s="3341"/>
      <c r="BR67" s="3349">
        <f t="shared" si="196"/>
        <v>0</v>
      </c>
      <c r="BS67" s="4428" t="e">
        <f t="shared" si="197"/>
        <v>#DIV/0!</v>
      </c>
      <c r="BT67" s="4429"/>
      <c r="BU67" s="3341"/>
      <c r="BV67" s="3341"/>
      <c r="BW67" s="3349">
        <f t="shared" si="198"/>
        <v>0</v>
      </c>
      <c r="BX67" s="4428" t="e">
        <f t="shared" si="199"/>
        <v>#DIV/0!</v>
      </c>
      <c r="BY67" s="4429"/>
      <c r="BZ67" s="3341"/>
      <c r="CA67" s="3341"/>
      <c r="CB67" s="3349">
        <f t="shared" si="200"/>
        <v>0</v>
      </c>
      <c r="CC67" s="4428" t="e">
        <f t="shared" si="201"/>
        <v>#DIV/0!</v>
      </c>
      <c r="CD67" s="4429"/>
      <c r="CE67" s="3341"/>
      <c r="CF67" s="3341"/>
      <c r="CG67" s="3349">
        <f t="shared" si="202"/>
        <v>0</v>
      </c>
      <c r="CH67" s="4428" t="e">
        <f t="shared" si="203"/>
        <v>#DIV/0!</v>
      </c>
      <c r="CI67" s="4429"/>
      <c r="CJ67" s="3341">
        <f t="shared" si="204"/>
        <v>0</v>
      </c>
      <c r="CK67" s="3341">
        <f t="shared" si="204"/>
        <v>0</v>
      </c>
      <c r="CL67" s="2012">
        <f t="shared" si="205"/>
        <v>0</v>
      </c>
      <c r="CM67" s="4428">
        <f t="shared" si="170"/>
        <v>0</v>
      </c>
      <c r="CN67" s="4432"/>
      <c r="CP67" s="2012">
        <f t="shared" si="206"/>
        <v>0</v>
      </c>
      <c r="CQ67" s="2012">
        <f t="shared" si="206"/>
        <v>0</v>
      </c>
      <c r="CR67" s="4614"/>
      <c r="CS67" s="2012"/>
      <c r="CT67" s="2012"/>
      <c r="CU67" s="4614"/>
      <c r="CW67" s="2624"/>
    </row>
    <row r="68" spans="1:101" s="1396" customFormat="1" ht="13.8" outlineLevel="2">
      <c r="A68" s="1571"/>
      <c r="B68" s="4632" t="s">
        <v>5</v>
      </c>
      <c r="C68" s="3341"/>
      <c r="D68" s="3341"/>
      <c r="E68" s="3349">
        <f t="shared" si="171"/>
        <v>0</v>
      </c>
      <c r="F68" s="4428" t="e">
        <f t="shared" si="135"/>
        <v>#DIV/0!</v>
      </c>
      <c r="G68" s="3341"/>
      <c r="H68" s="3341"/>
      <c r="I68" s="3341"/>
      <c r="J68" s="3349">
        <f t="shared" si="172"/>
        <v>0</v>
      </c>
      <c r="K68" s="4428" t="e">
        <f t="shared" si="173"/>
        <v>#DIV/0!</v>
      </c>
      <c r="L68" s="3341"/>
      <c r="M68" s="3341"/>
      <c r="N68" s="3341"/>
      <c r="O68" s="3349">
        <f t="shared" si="174"/>
        <v>0</v>
      </c>
      <c r="P68" s="4428" t="e">
        <f t="shared" si="175"/>
        <v>#DIV/0!</v>
      </c>
      <c r="Q68" s="3341"/>
      <c r="R68" s="3342">
        <f t="shared" si="176"/>
        <v>0</v>
      </c>
      <c r="S68" s="3342">
        <f t="shared" si="176"/>
        <v>0</v>
      </c>
      <c r="T68" s="2012">
        <f t="shared" si="177"/>
        <v>0</v>
      </c>
      <c r="U68" s="3341"/>
      <c r="V68" s="3341"/>
      <c r="W68" s="3342">
        <f t="shared" si="178"/>
        <v>0</v>
      </c>
      <c r="X68" s="3342">
        <f t="shared" si="178"/>
        <v>0</v>
      </c>
      <c r="Y68" s="2012">
        <f t="shared" si="179"/>
        <v>0</v>
      </c>
      <c r="Z68" s="3341"/>
      <c r="AA68" s="3341"/>
      <c r="AB68" s="3341"/>
      <c r="AC68" s="3341"/>
      <c r="AD68" s="3349">
        <f t="shared" si="180"/>
        <v>0</v>
      </c>
      <c r="AE68" s="4428" t="e">
        <f t="shared" si="181"/>
        <v>#DIV/0!</v>
      </c>
      <c r="AF68" s="3341"/>
      <c r="AG68" s="3341"/>
      <c r="AH68" s="3341"/>
      <c r="AI68" s="3349">
        <f t="shared" si="182"/>
        <v>0</v>
      </c>
      <c r="AJ68" s="4428">
        <f t="shared" si="183"/>
        <v>0</v>
      </c>
      <c r="AK68" s="3341"/>
      <c r="AL68" s="3341"/>
      <c r="AM68" s="3341"/>
      <c r="AN68" s="3349">
        <f t="shared" si="184"/>
        <v>0</v>
      </c>
      <c r="AO68" s="4428">
        <f t="shared" si="185"/>
        <v>0</v>
      </c>
      <c r="AP68" s="3341"/>
      <c r="AQ68" s="3341"/>
      <c r="AR68" s="3341"/>
      <c r="AS68" s="3349">
        <f t="shared" si="186"/>
        <v>0</v>
      </c>
      <c r="AT68" s="4428">
        <f t="shared" si="187"/>
        <v>0</v>
      </c>
      <c r="AU68" s="3341"/>
      <c r="AV68" s="3341"/>
      <c r="AW68" s="3341"/>
      <c r="AX68" s="3349">
        <f t="shared" si="188"/>
        <v>0</v>
      </c>
      <c r="AY68" s="4428">
        <f t="shared" si="189"/>
        <v>0</v>
      </c>
      <c r="AZ68" s="3341"/>
      <c r="BA68" s="3341"/>
      <c r="BB68" s="3341"/>
      <c r="BC68" s="3349">
        <f t="shared" si="190"/>
        <v>0</v>
      </c>
      <c r="BD68" s="4428" t="e">
        <f t="shared" si="191"/>
        <v>#DIV/0!</v>
      </c>
      <c r="BE68" s="3341"/>
      <c r="BF68" s="3341"/>
      <c r="BG68" s="3341"/>
      <c r="BH68" s="3349">
        <f t="shared" si="192"/>
        <v>0</v>
      </c>
      <c r="BI68" s="4428" t="e">
        <f t="shared" si="193"/>
        <v>#DIV/0!</v>
      </c>
      <c r="BJ68" s="3341"/>
      <c r="BK68" s="3341"/>
      <c r="BL68" s="3341"/>
      <c r="BM68" s="3349">
        <f t="shared" si="194"/>
        <v>0</v>
      </c>
      <c r="BN68" s="4428" t="e">
        <f t="shared" si="195"/>
        <v>#DIV/0!</v>
      </c>
      <c r="BO68" s="3341"/>
      <c r="BP68" s="3341"/>
      <c r="BQ68" s="3341"/>
      <c r="BR68" s="3349">
        <f t="shared" si="196"/>
        <v>0</v>
      </c>
      <c r="BS68" s="4428" t="e">
        <f t="shared" si="197"/>
        <v>#DIV/0!</v>
      </c>
      <c r="BT68" s="3341"/>
      <c r="BU68" s="3341"/>
      <c r="BV68" s="3341"/>
      <c r="BW68" s="3349">
        <f t="shared" si="198"/>
        <v>0</v>
      </c>
      <c r="BX68" s="4428" t="e">
        <f t="shared" si="199"/>
        <v>#DIV/0!</v>
      </c>
      <c r="BY68" s="3341"/>
      <c r="BZ68" s="3341"/>
      <c r="CA68" s="3341"/>
      <c r="CB68" s="3349">
        <f t="shared" si="200"/>
        <v>0</v>
      </c>
      <c r="CC68" s="4428" t="e">
        <f t="shared" si="201"/>
        <v>#DIV/0!</v>
      </c>
      <c r="CD68" s="3341"/>
      <c r="CE68" s="3341"/>
      <c r="CF68" s="3341"/>
      <c r="CG68" s="3349">
        <f t="shared" si="202"/>
        <v>0</v>
      </c>
      <c r="CH68" s="4428" t="e">
        <f t="shared" si="203"/>
        <v>#DIV/0!</v>
      </c>
      <c r="CI68" s="3341"/>
      <c r="CJ68" s="3341">
        <f t="shared" si="204"/>
        <v>0</v>
      </c>
      <c r="CK68" s="3341">
        <f t="shared" si="204"/>
        <v>0</v>
      </c>
      <c r="CL68" s="2012">
        <f t="shared" si="205"/>
        <v>0</v>
      </c>
      <c r="CM68" s="4428">
        <f t="shared" si="170"/>
        <v>0</v>
      </c>
      <c r="CN68" s="4432"/>
      <c r="CP68" s="2012">
        <f t="shared" si="206"/>
        <v>0</v>
      </c>
      <c r="CQ68" s="2012">
        <f t="shared" si="206"/>
        <v>0</v>
      </c>
      <c r="CR68" s="4614"/>
      <c r="CS68" s="2012"/>
      <c r="CT68" s="2012"/>
      <c r="CU68" s="4614"/>
      <c r="CW68" s="2624"/>
    </row>
    <row r="69" spans="1:101" s="1396" customFormat="1" ht="13.8" outlineLevel="2">
      <c r="A69" s="1571"/>
      <c r="B69" s="4632" t="s">
        <v>42</v>
      </c>
      <c r="C69" s="3341"/>
      <c r="D69" s="3341"/>
      <c r="E69" s="3349">
        <f t="shared" si="171"/>
        <v>0</v>
      </c>
      <c r="F69" s="4428" t="e">
        <f t="shared" si="135"/>
        <v>#DIV/0!</v>
      </c>
      <c r="G69" s="4429"/>
      <c r="H69" s="3341"/>
      <c r="I69" s="3341"/>
      <c r="J69" s="3349">
        <f t="shared" si="172"/>
        <v>0</v>
      </c>
      <c r="K69" s="4428" t="e">
        <f t="shared" si="173"/>
        <v>#DIV/0!</v>
      </c>
      <c r="L69" s="4429"/>
      <c r="M69" s="3341"/>
      <c r="N69" s="3341"/>
      <c r="O69" s="3349">
        <f t="shared" si="174"/>
        <v>0</v>
      </c>
      <c r="P69" s="4428" t="e">
        <f t="shared" si="175"/>
        <v>#DIV/0!</v>
      </c>
      <c r="Q69" s="4429"/>
      <c r="R69" s="3342">
        <f t="shared" si="176"/>
        <v>0</v>
      </c>
      <c r="S69" s="3342">
        <f t="shared" si="176"/>
        <v>0</v>
      </c>
      <c r="T69" s="2012">
        <f t="shared" si="177"/>
        <v>0</v>
      </c>
      <c r="U69" s="3462"/>
      <c r="V69" s="3462"/>
      <c r="W69" s="3342">
        <f t="shared" si="178"/>
        <v>0</v>
      </c>
      <c r="X69" s="3342">
        <f t="shared" si="178"/>
        <v>0</v>
      </c>
      <c r="Y69" s="2012">
        <f t="shared" si="179"/>
        <v>0</v>
      </c>
      <c r="Z69" s="3462"/>
      <c r="AA69" s="3462"/>
      <c r="AB69" s="3341"/>
      <c r="AC69" s="3341"/>
      <c r="AD69" s="3349">
        <f t="shared" si="180"/>
        <v>0</v>
      </c>
      <c r="AE69" s="4428" t="e">
        <f t="shared" si="181"/>
        <v>#DIV/0!</v>
      </c>
      <c r="AF69" s="4429"/>
      <c r="AG69" s="3341"/>
      <c r="AH69" s="3341"/>
      <c r="AI69" s="3349">
        <f t="shared" si="182"/>
        <v>0</v>
      </c>
      <c r="AJ69" s="4428">
        <f t="shared" si="183"/>
        <v>0</v>
      </c>
      <c r="AK69" s="4429"/>
      <c r="AL69" s="3341"/>
      <c r="AM69" s="3341"/>
      <c r="AN69" s="3349">
        <f t="shared" si="184"/>
        <v>0</v>
      </c>
      <c r="AO69" s="4428">
        <f t="shared" si="185"/>
        <v>0</v>
      </c>
      <c r="AP69" s="4429"/>
      <c r="AQ69" s="3341"/>
      <c r="AR69" s="3341"/>
      <c r="AS69" s="3349">
        <f t="shared" si="186"/>
        <v>0</v>
      </c>
      <c r="AT69" s="4428">
        <f t="shared" si="187"/>
        <v>0</v>
      </c>
      <c r="AU69" s="4429"/>
      <c r="AV69" s="3341"/>
      <c r="AW69" s="3341"/>
      <c r="AX69" s="3349">
        <f t="shared" si="188"/>
        <v>0</v>
      </c>
      <c r="AY69" s="4428">
        <f t="shared" si="189"/>
        <v>0</v>
      </c>
      <c r="AZ69" s="4429"/>
      <c r="BA69" s="3341"/>
      <c r="BB69" s="3341"/>
      <c r="BC69" s="3349">
        <f t="shared" si="190"/>
        <v>0</v>
      </c>
      <c r="BD69" s="4428" t="e">
        <f t="shared" si="191"/>
        <v>#DIV/0!</v>
      </c>
      <c r="BE69" s="4429"/>
      <c r="BF69" s="3341"/>
      <c r="BG69" s="3341"/>
      <c r="BH69" s="3349">
        <f t="shared" si="192"/>
        <v>0</v>
      </c>
      <c r="BI69" s="4428" t="e">
        <f t="shared" si="193"/>
        <v>#DIV/0!</v>
      </c>
      <c r="BJ69" s="4429"/>
      <c r="BK69" s="3341"/>
      <c r="BL69" s="3341"/>
      <c r="BM69" s="3349">
        <f t="shared" si="194"/>
        <v>0</v>
      </c>
      <c r="BN69" s="4428" t="e">
        <f t="shared" si="195"/>
        <v>#DIV/0!</v>
      </c>
      <c r="BO69" s="4429"/>
      <c r="BP69" s="3341"/>
      <c r="BQ69" s="3341"/>
      <c r="BR69" s="3349">
        <f t="shared" si="196"/>
        <v>0</v>
      </c>
      <c r="BS69" s="4428" t="e">
        <f t="shared" si="197"/>
        <v>#DIV/0!</v>
      </c>
      <c r="BT69" s="4429"/>
      <c r="BU69" s="3341"/>
      <c r="BV69" s="3341"/>
      <c r="BW69" s="3349">
        <f t="shared" si="198"/>
        <v>0</v>
      </c>
      <c r="BX69" s="4428" t="e">
        <f t="shared" si="199"/>
        <v>#DIV/0!</v>
      </c>
      <c r="BY69" s="4429"/>
      <c r="BZ69" s="3341"/>
      <c r="CA69" s="3341"/>
      <c r="CB69" s="3349">
        <f t="shared" si="200"/>
        <v>0</v>
      </c>
      <c r="CC69" s="4428" t="e">
        <f t="shared" si="201"/>
        <v>#DIV/0!</v>
      </c>
      <c r="CD69" s="4429"/>
      <c r="CE69" s="3341"/>
      <c r="CF69" s="3341"/>
      <c r="CG69" s="3349">
        <f t="shared" si="202"/>
        <v>0</v>
      </c>
      <c r="CH69" s="4428" t="e">
        <f t="shared" si="203"/>
        <v>#DIV/0!</v>
      </c>
      <c r="CI69" s="4429"/>
      <c r="CJ69" s="3341">
        <f t="shared" si="204"/>
        <v>0</v>
      </c>
      <c r="CK69" s="3341">
        <f t="shared" si="204"/>
        <v>0</v>
      </c>
      <c r="CL69" s="2012">
        <f t="shared" si="205"/>
        <v>0</v>
      </c>
      <c r="CM69" s="4428">
        <f t="shared" si="170"/>
        <v>0</v>
      </c>
      <c r="CN69" s="4432"/>
      <c r="CP69" s="2012">
        <f t="shared" si="206"/>
        <v>0</v>
      </c>
      <c r="CQ69" s="2012">
        <f t="shared" si="206"/>
        <v>0</v>
      </c>
      <c r="CR69" s="4614"/>
      <c r="CS69" s="2012"/>
      <c r="CT69" s="2012"/>
      <c r="CU69" s="4614"/>
      <c r="CW69" s="2624"/>
    </row>
    <row r="70" spans="1:101" s="1396" customFormat="1" ht="13.8" outlineLevel="2">
      <c r="A70" s="1571"/>
      <c r="B70" s="4632" t="s">
        <v>6</v>
      </c>
      <c r="C70" s="3341"/>
      <c r="D70" s="3341"/>
      <c r="E70" s="3349">
        <f t="shared" si="171"/>
        <v>0</v>
      </c>
      <c r="F70" s="4428" t="e">
        <f t="shared" si="135"/>
        <v>#DIV/0!</v>
      </c>
      <c r="G70" s="4429"/>
      <c r="H70" s="3341"/>
      <c r="I70" s="3341"/>
      <c r="J70" s="3349">
        <f t="shared" si="172"/>
        <v>0</v>
      </c>
      <c r="K70" s="4428" t="e">
        <f t="shared" si="173"/>
        <v>#DIV/0!</v>
      </c>
      <c r="L70" s="4429"/>
      <c r="M70" s="3341"/>
      <c r="N70" s="3341"/>
      <c r="O70" s="3349">
        <f t="shared" si="174"/>
        <v>0</v>
      </c>
      <c r="P70" s="4428" t="e">
        <f t="shared" si="175"/>
        <v>#DIV/0!</v>
      </c>
      <c r="Q70" s="4429"/>
      <c r="R70" s="3342">
        <f t="shared" si="176"/>
        <v>0</v>
      </c>
      <c r="S70" s="3342">
        <f t="shared" si="176"/>
        <v>0</v>
      </c>
      <c r="T70" s="2012">
        <f t="shared" si="177"/>
        <v>0</v>
      </c>
      <c r="U70" s="3462"/>
      <c r="V70" s="3462"/>
      <c r="W70" s="3342">
        <f t="shared" si="178"/>
        <v>0</v>
      </c>
      <c r="X70" s="3342">
        <f t="shared" si="178"/>
        <v>0</v>
      </c>
      <c r="Y70" s="2012">
        <f t="shared" si="179"/>
        <v>0</v>
      </c>
      <c r="Z70" s="3462"/>
      <c r="AA70" s="3462"/>
      <c r="AB70" s="3341"/>
      <c r="AC70" s="3341"/>
      <c r="AD70" s="3349">
        <f t="shared" si="180"/>
        <v>0</v>
      </c>
      <c r="AE70" s="4428" t="e">
        <f t="shared" si="181"/>
        <v>#DIV/0!</v>
      </c>
      <c r="AF70" s="4429"/>
      <c r="AG70" s="3341"/>
      <c r="AH70" s="3341"/>
      <c r="AI70" s="3349">
        <f t="shared" si="182"/>
        <v>0</v>
      </c>
      <c r="AJ70" s="4428">
        <f t="shared" si="183"/>
        <v>0</v>
      </c>
      <c r="AK70" s="4429"/>
      <c r="AL70" s="3341"/>
      <c r="AM70" s="3341"/>
      <c r="AN70" s="3349">
        <f t="shared" si="184"/>
        <v>0</v>
      </c>
      <c r="AO70" s="4428">
        <f t="shared" si="185"/>
        <v>0</v>
      </c>
      <c r="AP70" s="4429"/>
      <c r="AQ70" s="3341"/>
      <c r="AR70" s="3341"/>
      <c r="AS70" s="3349">
        <f t="shared" si="186"/>
        <v>0</v>
      </c>
      <c r="AT70" s="4428">
        <f t="shared" si="187"/>
        <v>0</v>
      </c>
      <c r="AU70" s="4429"/>
      <c r="AV70" s="3341"/>
      <c r="AW70" s="3341"/>
      <c r="AX70" s="3349">
        <f t="shared" si="188"/>
        <v>0</v>
      </c>
      <c r="AY70" s="4428">
        <f t="shared" si="189"/>
        <v>0</v>
      </c>
      <c r="AZ70" s="4429"/>
      <c r="BA70" s="3341"/>
      <c r="BB70" s="3341"/>
      <c r="BC70" s="3349">
        <f t="shared" si="190"/>
        <v>0</v>
      </c>
      <c r="BD70" s="4428" t="e">
        <f t="shared" si="191"/>
        <v>#DIV/0!</v>
      </c>
      <c r="BE70" s="4429"/>
      <c r="BF70" s="3341"/>
      <c r="BG70" s="3341"/>
      <c r="BH70" s="3349">
        <f t="shared" si="192"/>
        <v>0</v>
      </c>
      <c r="BI70" s="4428" t="e">
        <f t="shared" si="193"/>
        <v>#DIV/0!</v>
      </c>
      <c r="BJ70" s="4429"/>
      <c r="BK70" s="3341"/>
      <c r="BL70" s="3341"/>
      <c r="BM70" s="3349">
        <f t="shared" si="194"/>
        <v>0</v>
      </c>
      <c r="BN70" s="4428" t="e">
        <f t="shared" si="195"/>
        <v>#DIV/0!</v>
      </c>
      <c r="BO70" s="4429"/>
      <c r="BP70" s="3341"/>
      <c r="BQ70" s="3341"/>
      <c r="BR70" s="3349">
        <f t="shared" si="196"/>
        <v>0</v>
      </c>
      <c r="BS70" s="4428" t="e">
        <f t="shared" si="197"/>
        <v>#DIV/0!</v>
      </c>
      <c r="BT70" s="4429"/>
      <c r="BU70" s="3341"/>
      <c r="BV70" s="3341"/>
      <c r="BW70" s="3349">
        <f t="shared" si="198"/>
        <v>0</v>
      </c>
      <c r="BX70" s="4428" t="e">
        <f t="shared" si="199"/>
        <v>#DIV/0!</v>
      </c>
      <c r="BY70" s="4429"/>
      <c r="BZ70" s="3341"/>
      <c r="CA70" s="3341"/>
      <c r="CB70" s="3349">
        <f t="shared" si="200"/>
        <v>0</v>
      </c>
      <c r="CC70" s="4428" t="e">
        <f t="shared" si="201"/>
        <v>#DIV/0!</v>
      </c>
      <c r="CD70" s="4429"/>
      <c r="CE70" s="3341"/>
      <c r="CF70" s="3341"/>
      <c r="CG70" s="3349">
        <f t="shared" si="202"/>
        <v>0</v>
      </c>
      <c r="CH70" s="4428" t="e">
        <f t="shared" si="203"/>
        <v>#DIV/0!</v>
      </c>
      <c r="CI70" s="4429"/>
      <c r="CJ70" s="3341">
        <f t="shared" si="204"/>
        <v>0</v>
      </c>
      <c r="CK70" s="3341">
        <f t="shared" si="204"/>
        <v>0</v>
      </c>
      <c r="CL70" s="2012">
        <f t="shared" si="205"/>
        <v>0</v>
      </c>
      <c r="CM70" s="4428">
        <f t="shared" si="170"/>
        <v>0</v>
      </c>
      <c r="CN70" s="4432"/>
      <c r="CP70" s="2012">
        <f t="shared" si="206"/>
        <v>0</v>
      </c>
      <c r="CQ70" s="2012">
        <f t="shared" si="206"/>
        <v>0</v>
      </c>
      <c r="CR70" s="4614"/>
      <c r="CS70" s="2012"/>
      <c r="CT70" s="2012"/>
      <c r="CU70" s="4614"/>
      <c r="CW70" s="2624"/>
    </row>
    <row r="71" spans="1:101" s="1396" customFormat="1" ht="13.8" outlineLevel="2">
      <c r="A71" s="1571"/>
      <c r="B71" s="4632" t="s">
        <v>78</v>
      </c>
      <c r="C71" s="3341"/>
      <c r="D71" s="3341"/>
      <c r="E71" s="3349">
        <f t="shared" si="171"/>
        <v>0</v>
      </c>
      <c r="F71" s="4428" t="e">
        <f t="shared" si="135"/>
        <v>#DIV/0!</v>
      </c>
      <c r="G71" s="4429"/>
      <c r="H71" s="3341"/>
      <c r="I71" s="3341"/>
      <c r="J71" s="3349">
        <f t="shared" si="172"/>
        <v>0</v>
      </c>
      <c r="K71" s="4428" t="e">
        <f t="shared" si="173"/>
        <v>#DIV/0!</v>
      </c>
      <c r="L71" s="4429"/>
      <c r="M71" s="3341"/>
      <c r="N71" s="3341"/>
      <c r="O71" s="3349">
        <f t="shared" si="174"/>
        <v>0</v>
      </c>
      <c r="P71" s="4428" t="e">
        <f t="shared" si="175"/>
        <v>#DIV/0!</v>
      </c>
      <c r="Q71" s="4429"/>
      <c r="R71" s="3342">
        <f t="shared" si="176"/>
        <v>0</v>
      </c>
      <c r="S71" s="3342">
        <f t="shared" si="176"/>
        <v>0</v>
      </c>
      <c r="T71" s="2012">
        <f t="shared" si="177"/>
        <v>0</v>
      </c>
      <c r="U71" s="3462"/>
      <c r="V71" s="3462"/>
      <c r="W71" s="3342">
        <f t="shared" si="178"/>
        <v>0</v>
      </c>
      <c r="X71" s="3342">
        <f t="shared" si="178"/>
        <v>0</v>
      </c>
      <c r="Y71" s="2012">
        <f t="shared" si="179"/>
        <v>0</v>
      </c>
      <c r="Z71" s="3462"/>
      <c r="AA71" s="3462"/>
      <c r="AB71" s="3341"/>
      <c r="AC71" s="3341"/>
      <c r="AD71" s="3349">
        <f t="shared" si="180"/>
        <v>0</v>
      </c>
      <c r="AE71" s="4428" t="e">
        <f t="shared" si="181"/>
        <v>#DIV/0!</v>
      </c>
      <c r="AF71" s="4429"/>
      <c r="AG71" s="3341"/>
      <c r="AH71" s="3341"/>
      <c r="AI71" s="3349">
        <f t="shared" si="182"/>
        <v>0</v>
      </c>
      <c r="AJ71" s="4428">
        <f t="shared" si="183"/>
        <v>0</v>
      </c>
      <c r="AK71" s="4429"/>
      <c r="AL71" s="3341"/>
      <c r="AM71" s="3341"/>
      <c r="AN71" s="3349">
        <f t="shared" si="184"/>
        <v>0</v>
      </c>
      <c r="AO71" s="4428">
        <f t="shared" si="185"/>
        <v>0</v>
      </c>
      <c r="AP71" s="4429"/>
      <c r="AQ71" s="3341"/>
      <c r="AR71" s="3341"/>
      <c r="AS71" s="3349">
        <f t="shared" si="186"/>
        <v>0</v>
      </c>
      <c r="AT71" s="4428">
        <f t="shared" si="187"/>
        <v>0</v>
      </c>
      <c r="AU71" s="4429"/>
      <c r="AV71" s="3341"/>
      <c r="AW71" s="3341"/>
      <c r="AX71" s="3349">
        <f t="shared" si="188"/>
        <v>0</v>
      </c>
      <c r="AY71" s="4428">
        <f t="shared" si="189"/>
        <v>0</v>
      </c>
      <c r="AZ71" s="4429"/>
      <c r="BA71" s="3341"/>
      <c r="BB71" s="3341"/>
      <c r="BC71" s="3349">
        <f t="shared" si="190"/>
        <v>0</v>
      </c>
      <c r="BD71" s="4428" t="e">
        <f t="shared" si="191"/>
        <v>#DIV/0!</v>
      </c>
      <c r="BE71" s="4429"/>
      <c r="BF71" s="3341"/>
      <c r="BG71" s="3341"/>
      <c r="BH71" s="3349">
        <f t="shared" si="192"/>
        <v>0</v>
      </c>
      <c r="BI71" s="4428" t="e">
        <f t="shared" si="193"/>
        <v>#DIV/0!</v>
      </c>
      <c r="BJ71" s="4429"/>
      <c r="BK71" s="3341"/>
      <c r="BL71" s="3341"/>
      <c r="BM71" s="3349">
        <f t="shared" si="194"/>
        <v>0</v>
      </c>
      <c r="BN71" s="4428" t="e">
        <f t="shared" si="195"/>
        <v>#DIV/0!</v>
      </c>
      <c r="BO71" s="4429"/>
      <c r="BP71" s="3341"/>
      <c r="BQ71" s="3341"/>
      <c r="BR71" s="3349">
        <f t="shared" si="196"/>
        <v>0</v>
      </c>
      <c r="BS71" s="4428" t="e">
        <f t="shared" si="197"/>
        <v>#DIV/0!</v>
      </c>
      <c r="BT71" s="4429"/>
      <c r="BU71" s="3341"/>
      <c r="BV71" s="3341"/>
      <c r="BW71" s="3349">
        <f t="shared" si="198"/>
        <v>0</v>
      </c>
      <c r="BX71" s="4428" t="e">
        <f t="shared" si="199"/>
        <v>#DIV/0!</v>
      </c>
      <c r="BY71" s="4429"/>
      <c r="BZ71" s="3341"/>
      <c r="CA71" s="3341"/>
      <c r="CB71" s="3349">
        <f t="shared" si="200"/>
        <v>0</v>
      </c>
      <c r="CC71" s="4428" t="e">
        <f t="shared" si="201"/>
        <v>#DIV/0!</v>
      </c>
      <c r="CD71" s="4429"/>
      <c r="CE71" s="3341"/>
      <c r="CF71" s="3341"/>
      <c r="CG71" s="3349">
        <f t="shared" si="202"/>
        <v>0</v>
      </c>
      <c r="CH71" s="4428" t="e">
        <f t="shared" si="203"/>
        <v>#DIV/0!</v>
      </c>
      <c r="CI71" s="4429"/>
      <c r="CJ71" s="3341">
        <f t="shared" si="204"/>
        <v>0</v>
      </c>
      <c r="CK71" s="3341">
        <f t="shared" si="204"/>
        <v>0</v>
      </c>
      <c r="CL71" s="2012">
        <f t="shared" si="205"/>
        <v>0</v>
      </c>
      <c r="CM71" s="4428">
        <f t="shared" si="170"/>
        <v>0</v>
      </c>
      <c r="CN71" s="4432"/>
      <c r="CP71" s="2012">
        <f t="shared" si="206"/>
        <v>0</v>
      </c>
      <c r="CQ71" s="2012">
        <f t="shared" si="206"/>
        <v>0</v>
      </c>
      <c r="CR71" s="4614"/>
      <c r="CS71" s="2012"/>
      <c r="CT71" s="2012"/>
      <c r="CU71" s="4614"/>
      <c r="CW71" s="2624"/>
    </row>
    <row r="72" spans="1:101" s="1396" customFormat="1" ht="13.8" outlineLevel="2">
      <c r="A72" s="1571"/>
      <c r="B72" s="4463"/>
      <c r="C72" s="4623"/>
      <c r="D72" s="4623"/>
      <c r="E72" s="4453"/>
      <c r="F72" s="4428"/>
      <c r="G72" s="4429"/>
      <c r="H72" s="4623"/>
      <c r="I72" s="4623"/>
      <c r="J72" s="4453"/>
      <c r="K72" s="4428" t="e">
        <f t="shared" si="173"/>
        <v>#DIV/0!</v>
      </c>
      <c r="L72" s="4429"/>
      <c r="M72" s="4623"/>
      <c r="N72" s="4623"/>
      <c r="O72" s="4453"/>
      <c r="P72" s="4428" t="e">
        <f t="shared" si="175"/>
        <v>#DIV/0!</v>
      </c>
      <c r="Q72" s="4429"/>
      <c r="R72" s="4429"/>
      <c r="S72" s="4429"/>
      <c r="T72" s="4429"/>
      <c r="U72" s="4429"/>
      <c r="V72" s="4429"/>
      <c r="W72" s="4429"/>
      <c r="X72" s="4429"/>
      <c r="Y72" s="4429"/>
      <c r="Z72" s="4429"/>
      <c r="AA72" s="4429"/>
      <c r="AB72" s="4623"/>
      <c r="AC72" s="4623"/>
      <c r="AD72" s="4453"/>
      <c r="AE72" s="4428"/>
      <c r="AF72" s="4429"/>
      <c r="AG72" s="4623"/>
      <c r="AH72" s="4623"/>
      <c r="AI72" s="4453"/>
      <c r="AJ72" s="4428"/>
      <c r="AK72" s="4429"/>
      <c r="AL72" s="4623"/>
      <c r="AM72" s="4623"/>
      <c r="AN72" s="4453"/>
      <c r="AO72" s="4428"/>
      <c r="AP72" s="4429"/>
      <c r="AQ72" s="4623"/>
      <c r="AR72" s="4623"/>
      <c r="AS72" s="4453"/>
      <c r="AT72" s="4428"/>
      <c r="AU72" s="4429"/>
      <c r="AV72" s="4623"/>
      <c r="AW72" s="4623"/>
      <c r="AX72" s="4453"/>
      <c r="AY72" s="4428"/>
      <c r="AZ72" s="4429"/>
      <c r="BA72" s="4623"/>
      <c r="BB72" s="4623"/>
      <c r="BC72" s="4453"/>
      <c r="BD72" s="4428"/>
      <c r="BE72" s="4429"/>
      <c r="BF72" s="4623"/>
      <c r="BG72" s="4623"/>
      <c r="BH72" s="4453"/>
      <c r="BI72" s="4428"/>
      <c r="BJ72" s="4429"/>
      <c r="BK72" s="4623"/>
      <c r="BL72" s="4623"/>
      <c r="BM72" s="4453"/>
      <c r="BN72" s="4428"/>
      <c r="BO72" s="4429"/>
      <c r="BP72" s="4623"/>
      <c r="BQ72" s="4623"/>
      <c r="BR72" s="4453"/>
      <c r="BS72" s="4428"/>
      <c r="BT72" s="4429"/>
      <c r="BU72" s="4623"/>
      <c r="BV72" s="4623"/>
      <c r="BW72" s="4453"/>
      <c r="BX72" s="4428"/>
      <c r="BY72" s="4429"/>
      <c r="BZ72" s="4623"/>
      <c r="CA72" s="4623"/>
      <c r="CB72" s="4453"/>
      <c r="CC72" s="4428"/>
      <c r="CD72" s="4429"/>
      <c r="CE72" s="4623"/>
      <c r="CF72" s="4623"/>
      <c r="CG72" s="4453"/>
      <c r="CH72" s="4428"/>
      <c r="CI72" s="4429"/>
      <c r="CJ72" s="4623"/>
      <c r="CK72" s="4623"/>
      <c r="CL72" s="4453"/>
      <c r="CM72" s="4428">
        <f>CL72/$CL$89</f>
        <v>0</v>
      </c>
      <c r="CN72" s="4432"/>
      <c r="CP72" s="2030"/>
      <c r="CQ72" s="2030"/>
      <c r="CR72" s="4613"/>
      <c r="CS72" s="2030"/>
      <c r="CT72" s="2030"/>
      <c r="CU72" s="4613"/>
      <c r="CW72" s="2624"/>
    </row>
    <row r="73" spans="1:101"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Y74</f>
        <v>0</v>
      </c>
      <c r="Z73" s="3738"/>
      <c r="AA73" s="3742"/>
      <c r="AB73" s="555">
        <f>AB74</f>
        <v>0</v>
      </c>
      <c r="AC73" s="3738">
        <f>AC74</f>
        <v>0</v>
      </c>
      <c r="AD73" s="3739">
        <f>AD74</f>
        <v>0</v>
      </c>
      <c r="AE73" s="3738"/>
      <c r="AF73" s="3741"/>
      <c r="AG73" s="555">
        <f>AG74</f>
        <v>0</v>
      </c>
      <c r="AH73" s="3738">
        <f>AH74</f>
        <v>0</v>
      </c>
      <c r="AI73" s="3739">
        <f>AI74</f>
        <v>0</v>
      </c>
      <c r="AJ73" s="3738"/>
      <c r="AK73" s="3741"/>
      <c r="AL73" s="555">
        <f>AL74</f>
        <v>0</v>
      </c>
      <c r="AM73" s="3738">
        <f>AM74</f>
        <v>0</v>
      </c>
      <c r="AN73" s="3739">
        <f>AN74</f>
        <v>0</v>
      </c>
      <c r="AO73" s="3738"/>
      <c r="AP73" s="3741"/>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4648">
        <f>CP74</f>
        <v>31357.200000000001</v>
      </c>
      <c r="CQ73" s="4648">
        <f>CQ74</f>
        <v>31357.200000000001</v>
      </c>
      <c r="CR73" s="4648"/>
      <c r="CS73" s="4648">
        <f>CS74</f>
        <v>4141.2</v>
      </c>
      <c r="CT73" s="4648">
        <f>CT74</f>
        <v>4141.2</v>
      </c>
      <c r="CU73" s="4648"/>
      <c r="CW73" s="2624"/>
    </row>
    <row r="74" spans="1:101" s="1396" customFormat="1" ht="14.4" outlineLevel="1" thickBot="1">
      <c r="A74" s="1413"/>
      <c r="B74" s="1051" t="s">
        <v>64</v>
      </c>
      <c r="C74" s="3341"/>
      <c r="D74" s="3341"/>
      <c r="E74" s="3386">
        <f>C74+D74*1</f>
        <v>0</v>
      </c>
      <c r="F74" s="3386"/>
      <c r="G74" s="3468"/>
      <c r="H74" s="3341"/>
      <c r="I74" s="3341"/>
      <c r="J74" s="3386">
        <f>H74+I74*1</f>
        <v>0</v>
      </c>
      <c r="K74" s="4428" t="e">
        <f t="shared" ref="K74" si="207">J74/J$89</f>
        <v>#DIV/0!</v>
      </c>
      <c r="L74" s="3468"/>
      <c r="M74" s="3341"/>
      <c r="N74" s="3341"/>
      <c r="O74" s="3386">
        <f>M74+N74*1</f>
        <v>0</v>
      </c>
      <c r="P74" s="4428" t="e">
        <f t="shared" ref="P74" si="208">O74/O$89</f>
        <v>#DIV/0!</v>
      </c>
      <c r="Q74" s="3468"/>
      <c r="R74" s="3469"/>
      <c r="S74" s="3469"/>
      <c r="T74" s="3469"/>
      <c r="U74" s="3469"/>
      <c r="V74" s="3469"/>
      <c r="W74" s="3342">
        <f t="shared" ref="W74:X74" si="209">AB74+AG74+AL74+AV74+BA74+BF74+BK74+BP74+BU74+BZ74+CE74+AQ74</f>
        <v>0</v>
      </c>
      <c r="X74" s="3342">
        <f t="shared" si="209"/>
        <v>0</v>
      </c>
      <c r="Y74" s="2012">
        <f t="shared" ref="Y74" si="210">W74+X74</f>
        <v>0</v>
      </c>
      <c r="Z74" s="3469"/>
      <c r="AA74" s="3469"/>
      <c r="AB74" s="3341"/>
      <c r="AC74" s="3341"/>
      <c r="AD74" s="3386">
        <f>AB74+AC74*1</f>
        <v>0</v>
      </c>
      <c r="AE74" s="3386"/>
      <c r="AF74" s="3468"/>
      <c r="AG74" s="3341"/>
      <c r="AH74" s="3341"/>
      <c r="AI74" s="3349">
        <f>AG74+AH74*1</f>
        <v>0</v>
      </c>
      <c r="AJ74" s="3386"/>
      <c r="AK74" s="3981"/>
      <c r="AL74" s="3341"/>
      <c r="AM74" s="3341"/>
      <c r="AN74" s="3386">
        <f>AL74+AM74*1</f>
        <v>0</v>
      </c>
      <c r="AO74" s="3386"/>
      <c r="AP74" s="3468"/>
      <c r="AQ74" s="3341"/>
      <c r="AR74" s="3341"/>
      <c r="AS74" s="2012">
        <f>AQ74+AR74</f>
        <v>0</v>
      </c>
      <c r="AT74" s="3386"/>
      <c r="AU74" s="3981"/>
      <c r="AV74" s="3341"/>
      <c r="AW74" s="3341"/>
      <c r="AX74" s="2012">
        <f>AV74+AW74</f>
        <v>0</v>
      </c>
      <c r="AY74" s="3386"/>
      <c r="AZ74" s="3981"/>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 t="shared" ref="CJ74:CK74" si="211">C74+H74+M74+W74</f>
        <v>0</v>
      </c>
      <c r="CK74" s="3341">
        <f t="shared" si="211"/>
        <v>0</v>
      </c>
      <c r="CL74" s="2012">
        <f t="shared" ref="CL74" si="212">CJ74+CK74*1</f>
        <v>0</v>
      </c>
      <c r="CM74" s="3386"/>
      <c r="CN74" s="3386"/>
      <c r="CP74" s="2012">
        <f>27216+4141.2</f>
        <v>31357.200000000001</v>
      </c>
      <c r="CQ74" s="2012">
        <f>CP74</f>
        <v>31357.200000000001</v>
      </c>
      <c r="CR74" s="4614">
        <f t="shared" ref="CR74" si="213">CP74-CQ74</f>
        <v>0</v>
      </c>
      <c r="CS74" s="2012">
        <v>4141.2</v>
      </c>
      <c r="CT74" s="2012">
        <v>4141.2</v>
      </c>
      <c r="CU74" s="4614"/>
      <c r="CV74" s="3778"/>
      <c r="CW74" s="3778" t="s">
        <v>908</v>
      </c>
    </row>
    <row r="75" spans="1:101"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0</v>
      </c>
      <c r="O75" s="1508">
        <f>O38-O41-O50-O54</f>
        <v>0</v>
      </c>
      <c r="P75" s="1953"/>
      <c r="Q75" s="1058"/>
      <c r="R75" s="1450">
        <f>R38-R41-R50-R54</f>
        <v>0</v>
      </c>
      <c r="S75" s="1450">
        <f>S38-S41-S50-S54</f>
        <v>0</v>
      </c>
      <c r="T75" s="1508">
        <f>T38-T41-T50-T54</f>
        <v>0</v>
      </c>
      <c r="U75" s="3470"/>
      <c r="V75" s="3470"/>
      <c r="W75" s="1450">
        <f>W38-W41-W50-W54</f>
        <v>488074.3812658228</v>
      </c>
      <c r="X75" s="1450">
        <f>X38-X41-X50-X54</f>
        <v>-162843.96696202533</v>
      </c>
      <c r="Y75" s="1508">
        <f>Y38-Y41-Y50-Y54</f>
        <v>325230.41430379753</v>
      </c>
      <c r="Z75" s="3470"/>
      <c r="AA75" s="3470"/>
      <c r="AB75" s="1450">
        <f>AB38-AB41-AB50-AB54</f>
        <v>0</v>
      </c>
      <c r="AC75" s="1450">
        <f>AC38-AC41-AC50-AC54</f>
        <v>0</v>
      </c>
      <c r="AD75" s="1508">
        <f>AD38-AD41-AD50-AD54</f>
        <v>0</v>
      </c>
      <c r="AE75" s="1953"/>
      <c r="AF75" s="1058"/>
      <c r="AG75" s="1450">
        <f>AG38-AG41-AG50-AG54</f>
        <v>-42971.79</v>
      </c>
      <c r="AH75" s="1450">
        <f>AH38-AH41-AH50-AH54</f>
        <v>-68150.350000000006</v>
      </c>
      <c r="AI75" s="1508">
        <f>AI38-AI41-AI50-AI54</f>
        <v>-111122.14000000001</v>
      </c>
      <c r="AJ75" s="1953"/>
      <c r="AK75" s="1058"/>
      <c r="AL75" s="1450">
        <f>AL38-AL41-AL50-AL54</f>
        <v>-41836.089999999997</v>
      </c>
      <c r="AM75" s="1450">
        <f>AM38-AM41-AM50-AM54</f>
        <v>-56238.26</v>
      </c>
      <c r="AN75" s="1508">
        <f>AN38-AN41-AN50-AN54</f>
        <v>-98074.35</v>
      </c>
      <c r="AO75" s="1953"/>
      <c r="AP75" s="1058"/>
      <c r="AQ75" s="1450">
        <f>AQ38-AQ41-AQ50-AQ54</f>
        <v>525911.30126582272</v>
      </c>
      <c r="AR75" s="1450">
        <f>AR38-AR41-AR50-AR54</f>
        <v>-24253.3569620253</v>
      </c>
      <c r="AS75" s="1508">
        <f>AS38-AS41-AS50-AS54</f>
        <v>501657.94430379744</v>
      </c>
      <c r="AT75" s="1953"/>
      <c r="AU75" s="1058"/>
      <c r="AV75" s="1450">
        <f>AV38-AV41-AV50-AV54</f>
        <v>46970.959999999992</v>
      </c>
      <c r="AW75" s="1450">
        <f>AW38-AW41-AW50-AW54</f>
        <v>-14202</v>
      </c>
      <c r="AX75" s="1508">
        <f>AX38-AX41-AX50-AX54</f>
        <v>32768.960000000006</v>
      </c>
      <c r="AY75" s="1953"/>
      <c r="AZ75" s="1058"/>
      <c r="BA75" s="1450">
        <f>BA38-BA41-BA50-BA54</f>
        <v>0</v>
      </c>
      <c r="BB75" s="1450">
        <f>BB38-BB41-BB50-BB54</f>
        <v>0</v>
      </c>
      <c r="BC75" s="1508">
        <f>BC38-BC41-BC50-BC54</f>
        <v>0</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488074.3812658228</v>
      </c>
      <c r="CK75" s="1450">
        <f>CK38-CK41-CK50-CK54</f>
        <v>-162843.96696202533</v>
      </c>
      <c r="CL75" s="1508">
        <f>CL38-CL41-CL50-CL54</f>
        <v>325230.41430379753</v>
      </c>
      <c r="CM75" s="1953"/>
      <c r="CN75" s="1953"/>
      <c r="CP75" s="3471">
        <f t="shared" ref="CP75:CU75" si="214">CP38-CP41-CP50-CP54</f>
        <v>414122.58600000001</v>
      </c>
      <c r="CQ75" s="3471">
        <f t="shared" si="214"/>
        <v>325230.41430379753</v>
      </c>
      <c r="CR75" s="3471">
        <f t="shared" si="214"/>
        <v>88892.171696202553</v>
      </c>
      <c r="CS75" s="3471">
        <f t="shared" si="214"/>
        <v>29981.53</v>
      </c>
      <c r="CT75" s="3471">
        <f t="shared" si="214"/>
        <v>32768.960000000006</v>
      </c>
      <c r="CU75" s="3471">
        <f t="shared" si="214"/>
        <v>2787.4300000000076</v>
      </c>
      <c r="CW75" s="2624"/>
    </row>
    <row r="76" spans="1:101"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2003">
        <f>IFERROR(AB75/AB5,0)</f>
        <v>0</v>
      </c>
      <c r="AC76" s="2003">
        <f>IFERROR(AC75/AC5,0)</f>
        <v>0</v>
      </c>
      <c r="AD76" s="2004">
        <f>IFERROR(AD75/AD5,0)</f>
        <v>0</v>
      </c>
      <c r="AE76" s="2004"/>
      <c r="AF76" s="1056"/>
      <c r="AG76" s="2003">
        <f>IFERROR(AG75/AG5,0)</f>
        <v>0</v>
      </c>
      <c r="AH76" s="2003">
        <f>IFERROR(AH75/AH5,0)</f>
        <v>0</v>
      </c>
      <c r="AI76" s="2004">
        <f>IFERROR(AI75/AI5,0)</f>
        <v>0</v>
      </c>
      <c r="AJ76" s="2004"/>
      <c r="AK76" s="1056"/>
      <c r="AL76" s="2003">
        <f>IFERROR(AL75/AL5,0)</f>
        <v>0</v>
      </c>
      <c r="AM76" s="2003">
        <f>IFERROR(AM75/AM5,0)</f>
        <v>0</v>
      </c>
      <c r="AN76" s="2004">
        <f>IFERROR(AN75/AN5,0)</f>
        <v>0</v>
      </c>
      <c r="AO76" s="2004"/>
      <c r="AP76" s="1056"/>
      <c r="AQ76" s="2003">
        <f>IFERROR(AQ75/AQ5,0)</f>
        <v>0.57970822449936366</v>
      </c>
      <c r="AR76" s="2003">
        <f>IFERROR(AR75/AR5,0)</f>
        <v>0</v>
      </c>
      <c r="AS76" s="2004">
        <f>IFERROR(AS75/AS5,0)</f>
        <v>0.55297392449713123</v>
      </c>
      <c r="AT76" s="2004"/>
      <c r="AU76" s="1056"/>
      <c r="AV76" s="2003">
        <f>IFERROR(AV75/AV5,0)</f>
        <v>0.34027064618951025</v>
      </c>
      <c r="AW76" s="2003">
        <f>IFERROR(AW75/AW5,0)</f>
        <v>0</v>
      </c>
      <c r="AX76" s="2004">
        <f>IFERROR(AX75/AX5,0)</f>
        <v>0.23738742393509132</v>
      </c>
      <c r="AY76" s="2004"/>
      <c r="AZ76" s="1056"/>
      <c r="BA76" s="2003">
        <f>IFERROR(BA75/BA5,0)</f>
        <v>0</v>
      </c>
      <c r="BB76" s="2003">
        <f>IFERROR(BB75/BB5,0)</f>
        <v>0</v>
      </c>
      <c r="BC76" s="2004">
        <f>IFERROR(BC75/BC5,0)</f>
        <v>0</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0.46694958216851901</v>
      </c>
      <c r="CK76" s="2003">
        <f>IFERROR(CK75/CK5,0)</f>
        <v>0</v>
      </c>
      <c r="CL76" s="2004">
        <f>IFERROR(CL75/CL5,0)</f>
        <v>0.31115381568232897</v>
      </c>
      <c r="CM76" s="2004"/>
      <c r="CN76" s="2004"/>
      <c r="CP76" s="2004">
        <f>CP75/CP5</f>
        <v>0.39619856300945239</v>
      </c>
      <c r="CQ76" s="2004">
        <f>IFERROR(CQ75/CQ5,0)</f>
        <v>0.31115381568232897</v>
      </c>
      <c r="CR76" s="2004" t="e">
        <f>CR75/CR5</f>
        <v>#DIV/0!</v>
      </c>
      <c r="CS76" s="2004">
        <f>CS75/CS5</f>
        <v>0.21719450883801797</v>
      </c>
      <c r="CT76" s="2004">
        <f>IFERROR(CT75/CT5,0)</f>
        <v>0.23738742393509132</v>
      </c>
      <c r="CU76" s="2004" t="e">
        <f>CU75/CU5</f>
        <v>#DIV/0!</v>
      </c>
      <c r="CW76" s="2624"/>
    </row>
    <row r="77" spans="1:101" s="1396" customFormat="1" ht="14.4" outlineLevel="1" thickBot="1">
      <c r="A77" s="1566"/>
      <c r="B77" s="4456" t="s">
        <v>9</v>
      </c>
      <c r="C77" s="4457">
        <f>C78-C79</f>
        <v>0</v>
      </c>
      <c r="D77" s="4457">
        <f>D78-D79</f>
        <v>0</v>
      </c>
      <c r="E77" s="4458">
        <f>E78-E79</f>
        <v>0</v>
      </c>
      <c r="F77" s="4459"/>
      <c r="G77" s="4460"/>
      <c r="H77" s="4457">
        <f>H78-H79</f>
        <v>0</v>
      </c>
      <c r="I77" s="4457">
        <f>I78-I79</f>
        <v>0</v>
      </c>
      <c r="J77" s="4458">
        <f>J78-J79</f>
        <v>0</v>
      </c>
      <c r="K77" s="4459"/>
      <c r="L77" s="4460"/>
      <c r="M77" s="4457">
        <f>M78-M79</f>
        <v>0</v>
      </c>
      <c r="N77" s="4457">
        <f>N78-N79</f>
        <v>0</v>
      </c>
      <c r="O77" s="4458">
        <f>O78-O79</f>
        <v>0</v>
      </c>
      <c r="P77" s="4459"/>
      <c r="Q77" s="4460"/>
      <c r="R77" s="4457">
        <f>R78-R79</f>
        <v>0</v>
      </c>
      <c r="S77" s="4457">
        <f>S78-S79</f>
        <v>0</v>
      </c>
      <c r="T77" s="4458">
        <f>T78-T79</f>
        <v>0</v>
      </c>
      <c r="U77" s="4461"/>
      <c r="V77" s="4461"/>
      <c r="W77" s="4457">
        <f>W78-W79</f>
        <v>-24333.038356410314</v>
      </c>
      <c r="X77" s="4457">
        <f>X78-X79</f>
        <v>0</v>
      </c>
      <c r="Y77" s="4458">
        <f>Y78-Y79</f>
        <v>-24333.038356410314</v>
      </c>
      <c r="Z77" s="4461"/>
      <c r="AA77" s="4461"/>
      <c r="AB77" s="4457">
        <f>AB78-AB79</f>
        <v>0</v>
      </c>
      <c r="AC77" s="4457">
        <f>AC78-AC79</f>
        <v>0</v>
      </c>
      <c r="AD77" s="4458">
        <f>AD78-AD79</f>
        <v>0</v>
      </c>
      <c r="AE77" s="4459"/>
      <c r="AF77" s="4460"/>
      <c r="AG77" s="4457">
        <f>AG78-AG79</f>
        <v>-10183.383597303582</v>
      </c>
      <c r="AH77" s="4457">
        <f>AH78-AH79</f>
        <v>0</v>
      </c>
      <c r="AI77" s="4458">
        <f>AI78-AI79</f>
        <v>-10183.383597303582</v>
      </c>
      <c r="AJ77" s="4459"/>
      <c r="AK77" s="4460"/>
      <c r="AL77" s="4457">
        <f>AL78-AL79</f>
        <v>-8403.3833166591212</v>
      </c>
      <c r="AM77" s="4457">
        <f>AM78-AM79</f>
        <v>0</v>
      </c>
      <c r="AN77" s="4458">
        <f>AN78-AN79</f>
        <v>-8403.3833166591212</v>
      </c>
      <c r="AO77" s="4459"/>
      <c r="AP77" s="4460"/>
      <c r="AQ77" s="4457">
        <f>AQ78-AQ79</f>
        <v>-3624.0648334060766</v>
      </c>
      <c r="AR77" s="4457">
        <f>AR78-AR79</f>
        <v>0</v>
      </c>
      <c r="AS77" s="4458">
        <f>AS78-AS79</f>
        <v>-3624.0648334060766</v>
      </c>
      <c r="AT77" s="4459"/>
      <c r="AU77" s="4460"/>
      <c r="AV77" s="4457">
        <f>AV78-AV79</f>
        <v>-2122.206609041536</v>
      </c>
      <c r="AW77" s="4457">
        <f>AW78-AW79</f>
        <v>0</v>
      </c>
      <c r="AX77" s="4458">
        <f>AX78-AX79</f>
        <v>-2122.206609041536</v>
      </c>
      <c r="AY77" s="4459"/>
      <c r="AZ77" s="4460"/>
      <c r="BA77" s="4457">
        <f>BA78-BA79</f>
        <v>0</v>
      </c>
      <c r="BB77" s="4457">
        <f>BB78-BB79</f>
        <v>0</v>
      </c>
      <c r="BC77" s="4458">
        <f>BC78-BC79</f>
        <v>0</v>
      </c>
      <c r="BD77" s="4459"/>
      <c r="BE77" s="4460"/>
      <c r="BF77" s="4457">
        <f>BF78-BF79</f>
        <v>0</v>
      </c>
      <c r="BG77" s="4457">
        <f>BG78-BG79</f>
        <v>0</v>
      </c>
      <c r="BH77" s="4458">
        <f>BH78-BH79</f>
        <v>0</v>
      </c>
      <c r="BI77" s="4459"/>
      <c r="BJ77" s="4460"/>
      <c r="BK77" s="4457">
        <f>BK78-BK79</f>
        <v>0</v>
      </c>
      <c r="BL77" s="4457">
        <f>BL78-BL79</f>
        <v>0</v>
      </c>
      <c r="BM77" s="4458">
        <f>BM78-BM79</f>
        <v>0</v>
      </c>
      <c r="BN77" s="4459"/>
      <c r="BO77" s="4460"/>
      <c r="BP77" s="4457">
        <f>BP78-BP79</f>
        <v>0</v>
      </c>
      <c r="BQ77" s="4457">
        <f>BQ78-BQ79</f>
        <v>0</v>
      </c>
      <c r="BR77" s="4458">
        <f>BR78-BR79</f>
        <v>0</v>
      </c>
      <c r="BS77" s="4459"/>
      <c r="BT77" s="4460"/>
      <c r="BU77" s="4457">
        <f>BU78-BU79</f>
        <v>0</v>
      </c>
      <c r="BV77" s="4457">
        <f>BV78-BV79</f>
        <v>0</v>
      </c>
      <c r="BW77" s="4458">
        <f>BW78-BW79</f>
        <v>0</v>
      </c>
      <c r="BX77" s="4459"/>
      <c r="BY77" s="4460"/>
      <c r="BZ77" s="4457">
        <f>BZ78-BZ79</f>
        <v>0</v>
      </c>
      <c r="CA77" s="4457">
        <f>CA78-CA79</f>
        <v>0</v>
      </c>
      <c r="CB77" s="4458">
        <f>CB78-CB79</f>
        <v>0</v>
      </c>
      <c r="CC77" s="4459"/>
      <c r="CD77" s="4460"/>
      <c r="CE77" s="4457">
        <f>CE78-CE79</f>
        <v>0</v>
      </c>
      <c r="CF77" s="4457">
        <f>CF78-CF79</f>
        <v>0</v>
      </c>
      <c r="CG77" s="4458">
        <f>CG78-CG79</f>
        <v>0</v>
      </c>
      <c r="CH77" s="4459"/>
      <c r="CI77" s="4460"/>
      <c r="CJ77" s="4457">
        <f>CJ78-CJ79</f>
        <v>-24333.038356410314</v>
      </c>
      <c r="CK77" s="4457">
        <f>CK78-CK79</f>
        <v>0</v>
      </c>
      <c r="CL77" s="4458">
        <f>CL78-CL79</f>
        <v>-24333.038356410314</v>
      </c>
      <c r="CM77" s="4459"/>
      <c r="CN77" s="4459"/>
      <c r="CP77" s="4458">
        <f>CP78-CP79</f>
        <v>0</v>
      </c>
      <c r="CQ77" s="4458">
        <f>CQ78-CQ79</f>
        <v>-24333.038356410314</v>
      </c>
      <c r="CR77" s="4458"/>
      <c r="CS77" s="4458">
        <f>CS78-CS79</f>
        <v>0</v>
      </c>
      <c r="CT77" s="4458">
        <f>CT78-CT79</f>
        <v>-2122.206609041536</v>
      </c>
      <c r="CU77" s="4458"/>
      <c r="CW77" s="2624"/>
    </row>
    <row r="78" spans="1:101" s="1396" customFormat="1" ht="13.8" outlineLevel="2">
      <c r="A78" s="1405"/>
      <c r="B78" s="1400" t="s">
        <v>43</v>
      </c>
      <c r="C78" s="3341"/>
      <c r="D78" s="3341"/>
      <c r="E78" s="3391">
        <f>C78+D78*1.15</f>
        <v>0</v>
      </c>
      <c r="F78" s="3391"/>
      <c r="G78" s="3473"/>
      <c r="H78" s="3341"/>
      <c r="I78" s="3341"/>
      <c r="J78" s="3391">
        <f>H78+I78*1.15</f>
        <v>0</v>
      </c>
      <c r="K78" s="4428" t="e">
        <f t="shared" ref="K78:K79" si="215">J78/J$89</f>
        <v>#DIV/0!</v>
      </c>
      <c r="L78" s="3473"/>
      <c r="M78" s="3341"/>
      <c r="N78" s="3341"/>
      <c r="O78" s="3391">
        <f>M78+N78*1.15</f>
        <v>0</v>
      </c>
      <c r="P78" s="4428" t="e">
        <f t="shared" ref="P78:P79" si="216">O78/O$89</f>
        <v>#DIV/0!</v>
      </c>
      <c r="Q78" s="3473"/>
      <c r="R78" s="3342">
        <f t="shared" ref="R78:S79" si="217">M78+H78+C78</f>
        <v>0</v>
      </c>
      <c r="S78" s="3342">
        <f t="shared" si="217"/>
        <v>0</v>
      </c>
      <c r="T78" s="2012">
        <f t="shared" ref="T78:T79" si="218">R78+S78</f>
        <v>0</v>
      </c>
      <c r="U78" s="3474"/>
      <c r="V78" s="3474"/>
      <c r="W78" s="3342">
        <f t="shared" ref="W78:X79" si="219">AB78+AG78+AL78+AV78+BA78+BF78+BK78+BP78+BU78+BZ78+CE78+AQ78</f>
        <v>0</v>
      </c>
      <c r="X78" s="3342">
        <f t="shared" si="219"/>
        <v>0</v>
      </c>
      <c r="Y78" s="2012">
        <f t="shared" ref="Y78:Y79" si="220">W78+X78</f>
        <v>0</v>
      </c>
      <c r="Z78" s="3474"/>
      <c r="AA78" s="3474"/>
      <c r="AB78" s="3341"/>
      <c r="AC78" s="3341"/>
      <c r="AD78" s="3391">
        <f>AB78+AC78*1.15</f>
        <v>0</v>
      </c>
      <c r="AE78" s="3391"/>
      <c r="AF78" s="3473"/>
      <c r="AG78" s="3341"/>
      <c r="AH78" s="3341"/>
      <c r="AI78" s="3391">
        <f>AG78+AH78*1.15</f>
        <v>0</v>
      </c>
      <c r="AJ78" s="3391"/>
      <c r="AK78" s="3473"/>
      <c r="AL78" s="3341"/>
      <c r="AM78" s="3341"/>
      <c r="AN78" s="3391">
        <f>AL78+AM78*1.15</f>
        <v>0</v>
      </c>
      <c r="AO78" s="3391"/>
      <c r="AP78" s="3473"/>
      <c r="AQ78" s="3341"/>
      <c r="AR78" s="3341"/>
      <c r="AS78" s="3391">
        <f>AQ78+AR78*1.15</f>
        <v>0</v>
      </c>
      <c r="AT78" s="3391"/>
      <c r="AU78" s="3473"/>
      <c r="AV78" s="3341"/>
      <c r="AW78" s="3341"/>
      <c r="AX78" s="3391">
        <f>AV78+AW78*1.15</f>
        <v>0</v>
      </c>
      <c r="AY78" s="3391"/>
      <c r="AZ78" s="3473"/>
      <c r="BA78" s="3341"/>
      <c r="BB78" s="3341"/>
      <c r="BC78" s="3391">
        <f>BA78+BB78*1.15</f>
        <v>0</v>
      </c>
      <c r="BD78" s="3391"/>
      <c r="BE78" s="3473"/>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21">C78+H78+M78+W78</f>
        <v>0</v>
      </c>
      <c r="CK78" s="3341">
        <f t="shared" si="221"/>
        <v>0</v>
      </c>
      <c r="CL78" s="3391">
        <f>CJ78+CK78*1.15</f>
        <v>0</v>
      </c>
      <c r="CM78" s="3391"/>
      <c r="CN78" s="3391"/>
      <c r="CP78" s="3475">
        <f>CN78+CO78*1.15</f>
        <v>0</v>
      </c>
      <c r="CQ78" s="3475">
        <f>CO78+CP78*1.15</f>
        <v>0</v>
      </c>
      <c r="CR78" s="4614"/>
      <c r="CS78" s="3475"/>
      <c r="CT78" s="3475"/>
      <c r="CU78" s="4614"/>
      <c r="CW78" s="2624"/>
    </row>
    <row r="79" spans="1:101" s="1396" customFormat="1" ht="13.8" outlineLevel="2">
      <c r="A79" s="1405"/>
      <c r="B79" s="4462" t="s">
        <v>79</v>
      </c>
      <c r="C79" s="3341">
        <v>0</v>
      </c>
      <c r="D79" s="3341"/>
      <c r="E79" s="2012">
        <f>C79+D79</f>
        <v>0</v>
      </c>
      <c r="F79" s="4611"/>
      <c r="G79" s="4633"/>
      <c r="H79" s="3341">
        <v>0</v>
      </c>
      <c r="I79" s="3341"/>
      <c r="J79" s="2012">
        <f>H79+I79</f>
        <v>0</v>
      </c>
      <c r="K79" s="4428" t="e">
        <f t="shared" si="215"/>
        <v>#DIV/0!</v>
      </c>
      <c r="L79" s="4633"/>
      <c r="M79" s="3341">
        <v>0</v>
      </c>
      <c r="N79" s="3341"/>
      <c r="O79" s="2012">
        <f>M79+N79</f>
        <v>0</v>
      </c>
      <c r="P79" s="4428" t="e">
        <f t="shared" si="216"/>
        <v>#DIV/0!</v>
      </c>
      <c r="Q79" s="4633"/>
      <c r="R79" s="3342">
        <f t="shared" si="217"/>
        <v>0</v>
      </c>
      <c r="S79" s="3342">
        <f t="shared" si="217"/>
        <v>0</v>
      </c>
      <c r="T79" s="2012">
        <f t="shared" si="218"/>
        <v>0</v>
      </c>
      <c r="U79" s="3455"/>
      <c r="V79" s="3455"/>
      <c r="W79" s="3342">
        <f t="shared" si="219"/>
        <v>24333.038356410314</v>
      </c>
      <c r="X79" s="3342">
        <f t="shared" si="219"/>
        <v>0</v>
      </c>
      <c r="Y79" s="2012">
        <f t="shared" si="220"/>
        <v>24333.038356410314</v>
      </c>
      <c r="Z79" s="3455"/>
      <c r="AA79" s="3455"/>
      <c r="AB79" s="3341">
        <v>0</v>
      </c>
      <c r="AC79" s="3341"/>
      <c r="AD79" s="2012">
        <f>AB79+AC79</f>
        <v>0</v>
      </c>
      <c r="AE79" s="4611"/>
      <c r="AF79" s="4633"/>
      <c r="AG79" s="3341">
        <f>(AH8+AH41+AH50+AH54)/(1-'расчет 2024'!$M$25)*'расчет 2024'!$M$25</f>
        <v>10183.383597303582</v>
      </c>
      <c r="AH79" s="3341"/>
      <c r="AI79" s="2012">
        <f>AG79+AH79</f>
        <v>10183.383597303582</v>
      </c>
      <c r="AJ79" s="4611"/>
      <c r="AK79" s="4633"/>
      <c r="AL79" s="3341">
        <f>(AM8+AM41+AM50+AM54)/(1-'расчет 2024'!$M$26)*'расчет 2024'!$M$26</f>
        <v>8403.3833166591212</v>
      </c>
      <c r="AM79" s="3341"/>
      <c r="AN79" s="2012">
        <f>AL79+AM79</f>
        <v>8403.3833166591212</v>
      </c>
      <c r="AO79" s="4611"/>
      <c r="AP79" s="4633"/>
      <c r="AQ79" s="3341">
        <f>(AR8+AR41+AR50+AR54)/(1-'расчет 2024'!$M$27)*'расчет 2024'!$M$27</f>
        <v>3624.0648334060766</v>
      </c>
      <c r="AR79" s="3341"/>
      <c r="AS79" s="2012">
        <f>AQ79+AR79</f>
        <v>3624.0648334060766</v>
      </c>
      <c r="AT79" s="4611"/>
      <c r="AU79" s="4633"/>
      <c r="AV79" s="3341">
        <f>(AW8+AW41+AW50+AW54)/(1-'расчет 2024'!$M$28)*'расчет 2024'!$M$28</f>
        <v>2122.206609041536</v>
      </c>
      <c r="AW79" s="3341"/>
      <c r="AX79" s="2012">
        <f>AV79+AW79</f>
        <v>2122.206609041536</v>
      </c>
      <c r="AY79" s="4611"/>
      <c r="AZ79" s="4633"/>
      <c r="BA79" s="3341">
        <v>0</v>
      </c>
      <c r="BB79" s="3341"/>
      <c r="BC79" s="2012">
        <f>BA79+BB79</f>
        <v>0</v>
      </c>
      <c r="BD79" s="4611"/>
      <c r="BE79" s="4633"/>
      <c r="BF79" s="3341">
        <v>0</v>
      </c>
      <c r="BG79" s="3341"/>
      <c r="BH79" s="2012">
        <f>BF79+BG79</f>
        <v>0</v>
      </c>
      <c r="BI79" s="4611"/>
      <c r="BJ79" s="4633"/>
      <c r="BK79" s="3341"/>
      <c r="BL79" s="3341"/>
      <c r="BM79" s="2012">
        <f>BK79+BL79</f>
        <v>0</v>
      </c>
      <c r="BN79" s="4611"/>
      <c r="BO79" s="4633"/>
      <c r="BP79" s="3341">
        <v>0</v>
      </c>
      <c r="BQ79" s="3341"/>
      <c r="BR79" s="2012">
        <f>BP79+BQ79</f>
        <v>0</v>
      </c>
      <c r="BS79" s="4611"/>
      <c r="BT79" s="4633"/>
      <c r="BU79" s="3341">
        <v>0</v>
      </c>
      <c r="BV79" s="3341"/>
      <c r="BW79" s="2012">
        <f>BU79+BV79</f>
        <v>0</v>
      </c>
      <c r="BX79" s="4611"/>
      <c r="BY79" s="4633"/>
      <c r="BZ79" s="3341">
        <v>0</v>
      </c>
      <c r="CA79" s="3341"/>
      <c r="CB79" s="2012">
        <f>BZ79+CA79</f>
        <v>0</v>
      </c>
      <c r="CC79" s="4611"/>
      <c r="CD79" s="4633"/>
      <c r="CE79" s="3341">
        <v>0</v>
      </c>
      <c r="CF79" s="3341"/>
      <c r="CG79" s="2012">
        <f>CE79+CF79</f>
        <v>0</v>
      </c>
      <c r="CH79" s="4611"/>
      <c r="CI79" s="4633"/>
      <c r="CJ79" s="3341">
        <f t="shared" si="221"/>
        <v>24333.038356410314</v>
      </c>
      <c r="CK79" s="3341">
        <f t="shared" si="221"/>
        <v>0</v>
      </c>
      <c r="CL79" s="2012">
        <f t="shared" ref="CL79" si="222">CJ79+CK79*1</f>
        <v>24333.038356410314</v>
      </c>
      <c r="CM79" s="4611"/>
      <c r="CN79" s="4611"/>
      <c r="CP79" s="2012">
        <f t="shared" ref="CP79" si="223">CN79+CO79*1</f>
        <v>0</v>
      </c>
      <c r="CQ79" s="2012">
        <f>CL79</f>
        <v>24333.038356410314</v>
      </c>
      <c r="CR79" s="4614">
        <f t="shared" ref="CR79" si="224">CP79-CQ79</f>
        <v>-24333.038356410314</v>
      </c>
      <c r="CS79" s="2012"/>
      <c r="CT79" s="2012">
        <f>AV79</f>
        <v>2122.206609041536</v>
      </c>
      <c r="CU79" s="4614"/>
      <c r="CW79" s="2624"/>
    </row>
    <row r="80" spans="1:101" ht="13.8" outlineLevel="2">
      <c r="A80" s="1397"/>
      <c r="B80" s="4463"/>
      <c r="C80" s="3341"/>
      <c r="D80" s="3341"/>
      <c r="E80" s="4612"/>
      <c r="F80" s="4612"/>
      <c r="G80" s="4650"/>
      <c r="H80" s="3341"/>
      <c r="I80" s="3341"/>
      <c r="J80" s="4612"/>
      <c r="K80" s="4612"/>
      <c r="L80" s="4650"/>
      <c r="M80" s="3341"/>
      <c r="N80" s="3341"/>
      <c r="O80" s="4612"/>
      <c r="P80" s="4612"/>
      <c r="Q80" s="4650"/>
      <c r="R80" s="3448"/>
      <c r="S80" s="3448"/>
      <c r="T80" s="3448"/>
      <c r="U80" s="3448"/>
      <c r="V80" s="3448"/>
      <c r="W80" s="3448"/>
      <c r="X80" s="3448"/>
      <c r="Y80" s="3448"/>
      <c r="Z80" s="3448"/>
      <c r="AA80" s="3448"/>
      <c r="AB80" s="3341"/>
      <c r="AC80" s="3341"/>
      <c r="AD80" s="4612"/>
      <c r="AE80" s="4612"/>
      <c r="AF80" s="4650"/>
      <c r="AG80" s="3341"/>
      <c r="AH80" s="3341"/>
      <c r="AI80" s="4612"/>
      <c r="AJ80" s="4612"/>
      <c r="AK80" s="4650"/>
      <c r="AL80" s="3341"/>
      <c r="AM80" s="3341"/>
      <c r="AN80" s="4612"/>
      <c r="AO80" s="4612"/>
      <c r="AP80" s="4650"/>
      <c r="AQ80" s="3341"/>
      <c r="AR80" s="3341"/>
      <c r="AS80" s="4612"/>
      <c r="AT80" s="4612"/>
      <c r="AU80" s="4650"/>
      <c r="AV80" s="3341"/>
      <c r="AW80" s="3341"/>
      <c r="AX80" s="4612"/>
      <c r="AY80" s="4612"/>
      <c r="AZ80" s="4650"/>
      <c r="BA80" s="3341"/>
      <c r="BB80" s="3341"/>
      <c r="BC80" s="4612"/>
      <c r="BD80" s="4612"/>
      <c r="BE80" s="4650"/>
      <c r="BF80" s="3341"/>
      <c r="BG80" s="3341"/>
      <c r="BH80" s="4612"/>
      <c r="BI80" s="4612"/>
      <c r="BJ80" s="4650"/>
      <c r="BK80" s="3341"/>
      <c r="BL80" s="3341"/>
      <c r="BM80" s="4612"/>
      <c r="BN80" s="4612"/>
      <c r="BO80" s="4650"/>
      <c r="BP80" s="3341"/>
      <c r="BQ80" s="3341"/>
      <c r="BR80" s="4612"/>
      <c r="BS80" s="4612"/>
      <c r="BT80" s="4650"/>
      <c r="BU80" s="3341"/>
      <c r="BV80" s="3341"/>
      <c r="BW80" s="4612"/>
      <c r="BX80" s="4612"/>
      <c r="BY80" s="4650"/>
      <c r="BZ80" s="3341"/>
      <c r="CA80" s="3341"/>
      <c r="CB80" s="4612"/>
      <c r="CC80" s="4612"/>
      <c r="CD80" s="4650"/>
      <c r="CE80" s="3341"/>
      <c r="CF80" s="3341"/>
      <c r="CG80" s="4612"/>
      <c r="CH80" s="4612"/>
      <c r="CI80" s="4650"/>
      <c r="CJ80" s="3341">
        <f>C80+H80+M80</f>
        <v>0</v>
      </c>
      <c r="CK80" s="3341">
        <f>D80+I80+N80</f>
        <v>0</v>
      </c>
      <c r="CL80" s="4612"/>
      <c r="CM80" s="4612"/>
      <c r="CN80" s="4612"/>
      <c r="CP80" s="4651"/>
      <c r="CQ80" s="4651"/>
      <c r="CR80" s="4614"/>
      <c r="CS80" s="4651"/>
      <c r="CT80" s="4651"/>
      <c r="CU80" s="4614"/>
    </row>
    <row r="81" spans="1:104" s="1396" customFormat="1" ht="14.4" outlineLevel="1" thickBot="1">
      <c r="A81" s="1419"/>
      <c r="B81" s="4456" t="s">
        <v>12</v>
      </c>
      <c r="C81" s="4457">
        <f>(C75+C78)-C79</f>
        <v>0</v>
      </c>
      <c r="D81" s="4457">
        <f>(D75+D78)-D79</f>
        <v>0</v>
      </c>
      <c r="E81" s="4458">
        <f>(E75+E78)-E79</f>
        <v>0</v>
      </c>
      <c r="F81" s="4459"/>
      <c r="G81" s="4460"/>
      <c r="H81" s="4457">
        <f>(H75+H78)-H79</f>
        <v>0</v>
      </c>
      <c r="I81" s="4457">
        <f>(I75+I78)-I79</f>
        <v>0</v>
      </c>
      <c r="J81" s="4458">
        <f>(J75+J78)-J79</f>
        <v>0</v>
      </c>
      <c r="K81" s="4459"/>
      <c r="L81" s="4460"/>
      <c r="M81" s="4457">
        <f>(M75+M78)-M79</f>
        <v>0</v>
      </c>
      <c r="N81" s="4457">
        <f>(N75+N78)-N79</f>
        <v>0</v>
      </c>
      <c r="O81" s="4458">
        <f>(O75+O78)-O79</f>
        <v>0</v>
      </c>
      <c r="P81" s="4459"/>
      <c r="Q81" s="4460"/>
      <c r="R81" s="4457">
        <f>(R75+R78)-R79</f>
        <v>0</v>
      </c>
      <c r="S81" s="4457">
        <f>(S75+S78)-S79</f>
        <v>0</v>
      </c>
      <c r="T81" s="4458">
        <f>(T75+T78)-T79</f>
        <v>0</v>
      </c>
      <c r="U81" s="4461"/>
      <c r="V81" s="4461"/>
      <c r="W81" s="4457">
        <f>(W75+W78)-W79</f>
        <v>463741.34290941246</v>
      </c>
      <c r="X81" s="4457">
        <f>(X75+X78)-X79</f>
        <v>-162843.96696202533</v>
      </c>
      <c r="Y81" s="4458">
        <f>(Y75+Y78)-Y79</f>
        <v>300897.37594738719</v>
      </c>
      <c r="Z81" s="4461"/>
      <c r="AA81" s="4461"/>
      <c r="AB81" s="4457">
        <f>(AB75+AB78)-AB79</f>
        <v>0</v>
      </c>
      <c r="AC81" s="4457">
        <f>(AC75+AC78)-AC79</f>
        <v>0</v>
      </c>
      <c r="AD81" s="4458">
        <f>(AD75+AD78)-AD79</f>
        <v>0</v>
      </c>
      <c r="AE81" s="4459"/>
      <c r="AF81" s="4460"/>
      <c r="AG81" s="4457">
        <f>(AG75+AG78)-AG79</f>
        <v>-53155.173597303583</v>
      </c>
      <c r="AH81" s="4457">
        <f>(AH75+AH78)-AH79</f>
        <v>-68150.350000000006</v>
      </c>
      <c r="AI81" s="4458">
        <f>(AI75+AI78)-AI79</f>
        <v>-121305.5235973036</v>
      </c>
      <c r="AJ81" s="4459"/>
      <c r="AK81" s="4460"/>
      <c r="AL81" s="4457">
        <f>(AL75+AL78)-AL79</f>
        <v>-50239.473316659118</v>
      </c>
      <c r="AM81" s="4457">
        <f>(AM75+AM78)-AM79</f>
        <v>-56238.26</v>
      </c>
      <c r="AN81" s="4458">
        <f>(AN75+AN78)-AN79</f>
        <v>-106477.73331665913</v>
      </c>
      <c r="AO81" s="4459"/>
      <c r="AP81" s="4460"/>
      <c r="AQ81" s="4457">
        <f>(AQ75+AQ78)-AQ79</f>
        <v>522287.23643241666</v>
      </c>
      <c r="AR81" s="4457">
        <f>(AR75+AR78)-AR79</f>
        <v>-24253.3569620253</v>
      </c>
      <c r="AS81" s="4458">
        <f>(AS75+AS78)-AS79</f>
        <v>498033.87947039137</v>
      </c>
      <c r="AT81" s="4459"/>
      <c r="AU81" s="4460"/>
      <c r="AV81" s="4457">
        <f>(AV75+AV78)-AV79</f>
        <v>44848.753390958453</v>
      </c>
      <c r="AW81" s="4457">
        <f>(AW75+AW78)-AW79</f>
        <v>-14202</v>
      </c>
      <c r="AX81" s="4458">
        <f>(AX75+AX78)-AX79</f>
        <v>30646.753390958471</v>
      </c>
      <c r="AY81" s="4459"/>
      <c r="AZ81" s="4460"/>
      <c r="BA81" s="4457">
        <f>(BA75+BA78)-BA79</f>
        <v>0</v>
      </c>
      <c r="BB81" s="4457">
        <f>(BB75+BB78)-BB79</f>
        <v>0</v>
      </c>
      <c r="BC81" s="4458">
        <f>(BC75+BC78)-BC79</f>
        <v>0</v>
      </c>
      <c r="BD81" s="4459"/>
      <c r="BE81" s="4460"/>
      <c r="BF81" s="4457">
        <f>(BF75+BF78)-BF79</f>
        <v>0</v>
      </c>
      <c r="BG81" s="4457">
        <f>(BG75+BG78)-BG79</f>
        <v>0</v>
      </c>
      <c r="BH81" s="4458">
        <f>(BH75+BH78)-BH79</f>
        <v>0</v>
      </c>
      <c r="BI81" s="4459"/>
      <c r="BJ81" s="4460"/>
      <c r="BK81" s="4457">
        <f>(BK75+BK78)-BK79</f>
        <v>0</v>
      </c>
      <c r="BL81" s="4457">
        <f>(BL75+BL78)-BL79</f>
        <v>0</v>
      </c>
      <c r="BM81" s="4458">
        <f>(BM75+BM78)-BM79</f>
        <v>0</v>
      </c>
      <c r="BN81" s="4459"/>
      <c r="BO81" s="4460"/>
      <c r="BP81" s="4457">
        <f>(BP75+BP78)-BP79</f>
        <v>0</v>
      </c>
      <c r="BQ81" s="4457">
        <f>(BQ75+BQ78)-BQ79</f>
        <v>0</v>
      </c>
      <c r="BR81" s="4458">
        <f>(BR75+BR78)-BR79</f>
        <v>0</v>
      </c>
      <c r="BS81" s="4459"/>
      <c r="BT81" s="4460"/>
      <c r="BU81" s="4457">
        <f>(BU75+BU78)-BU79</f>
        <v>0</v>
      </c>
      <c r="BV81" s="4457">
        <f>(BV75+BV78)-BV79</f>
        <v>0</v>
      </c>
      <c r="BW81" s="4458">
        <f>(BW75+BW78)-BW79</f>
        <v>0</v>
      </c>
      <c r="BX81" s="4459"/>
      <c r="BY81" s="4460"/>
      <c r="BZ81" s="4457">
        <f>(BZ75+BZ78)-BZ79</f>
        <v>0</v>
      </c>
      <c r="CA81" s="4457">
        <f>(CA75+CA78)-CA79</f>
        <v>0</v>
      </c>
      <c r="CB81" s="4458">
        <f>(CB75+CB78)-CB79</f>
        <v>0</v>
      </c>
      <c r="CC81" s="4459"/>
      <c r="CD81" s="4460"/>
      <c r="CE81" s="4457">
        <f>(CE75+CE78)-CE79</f>
        <v>0</v>
      </c>
      <c r="CF81" s="4457">
        <f>(CF75+CF78)-CF79</f>
        <v>0</v>
      </c>
      <c r="CG81" s="4458">
        <f>(CG75+CG78)-CG79</f>
        <v>0</v>
      </c>
      <c r="CH81" s="4459"/>
      <c r="CI81" s="4460"/>
      <c r="CJ81" s="4457">
        <f>(CJ75+CJ78)-CJ79</f>
        <v>463741.34290941246</v>
      </c>
      <c r="CK81" s="4457">
        <f>(CK75+CK78)-CK79</f>
        <v>-162843.96696202533</v>
      </c>
      <c r="CL81" s="4458">
        <f>(CL75+CL78)-CL79</f>
        <v>300897.37594738719</v>
      </c>
      <c r="CM81" s="4459"/>
      <c r="CN81" s="4459"/>
      <c r="CP81" s="4458">
        <f t="shared" ref="CP81:CU81" si="225">(CP75+CP78)-CP79</f>
        <v>414122.58600000001</v>
      </c>
      <c r="CQ81" s="4652">
        <f t="shared" si="225"/>
        <v>300897.37594738719</v>
      </c>
      <c r="CR81" s="4458">
        <f t="shared" si="225"/>
        <v>113225.21005261286</v>
      </c>
      <c r="CS81" s="4458">
        <f t="shared" si="225"/>
        <v>29981.53</v>
      </c>
      <c r="CT81" s="4652">
        <f t="shared" si="225"/>
        <v>30646.753390958471</v>
      </c>
      <c r="CU81" s="4458">
        <f t="shared" si="225"/>
        <v>2787.4300000000076</v>
      </c>
      <c r="CW81" s="2624"/>
    </row>
    <row r="82" spans="1:104" s="1396" customFormat="1" ht="13.8" outlineLevel="2">
      <c r="A82" s="1565"/>
      <c r="B82" s="1400" t="s">
        <v>38</v>
      </c>
      <c r="C82" s="3341"/>
      <c r="D82" s="3341"/>
      <c r="E82" s="3390">
        <f>C82+D82</f>
        <v>0</v>
      </c>
      <c r="F82" s="3381"/>
      <c r="G82" s="3455"/>
      <c r="H82" s="3341"/>
      <c r="I82" s="3341"/>
      <c r="J82" s="3390">
        <f>H82+I82</f>
        <v>0</v>
      </c>
      <c r="K82" s="4428" t="e">
        <f t="shared" ref="K82" si="226">J82/J$89</f>
        <v>#DIV/0!</v>
      </c>
      <c r="L82" s="3455"/>
      <c r="M82" s="3341"/>
      <c r="N82" s="3341"/>
      <c r="O82" s="3390">
        <f>M82+N82</f>
        <v>0</v>
      </c>
      <c r="P82" s="4428" t="e">
        <f t="shared" ref="P82" si="227">O82/O$89</f>
        <v>#DIV/0!</v>
      </c>
      <c r="Q82" s="3455"/>
      <c r="R82" s="3342">
        <f t="shared" ref="R82:S82" si="228">M82+H82+C82</f>
        <v>0</v>
      </c>
      <c r="S82" s="3342">
        <f t="shared" si="228"/>
        <v>0</v>
      </c>
      <c r="T82" s="2012">
        <f t="shared" ref="T82" si="229">R82+S82</f>
        <v>0</v>
      </c>
      <c r="U82" s="3455"/>
      <c r="V82" s="3455"/>
      <c r="W82" s="3342">
        <f t="shared" ref="W82:X82" si="230">AB82+AG82+AL82+AV82+BA82+BF82+BK82+BP82+BU82+BZ82+CE82+AQ82</f>
        <v>0</v>
      </c>
      <c r="X82" s="3342">
        <f t="shared" si="230"/>
        <v>0</v>
      </c>
      <c r="Y82" s="2012">
        <f t="shared" ref="Y82" si="231">W82+X82</f>
        <v>0</v>
      </c>
      <c r="Z82" s="3455"/>
      <c r="AA82" s="3455"/>
      <c r="AB82" s="3341"/>
      <c r="AC82" s="3341"/>
      <c r="AD82" s="3390">
        <f>AB82+AC82</f>
        <v>0</v>
      </c>
      <c r="AE82" s="3381"/>
      <c r="AF82" s="3455"/>
      <c r="AG82" s="3341"/>
      <c r="AH82" s="3341"/>
      <c r="AI82" s="3390">
        <f>AG82+AH82</f>
        <v>0</v>
      </c>
      <c r="AJ82" s="3381"/>
      <c r="AK82" s="3455"/>
      <c r="AL82" s="3341"/>
      <c r="AM82" s="3341"/>
      <c r="AN82" s="3390">
        <f>AL82+AM82</f>
        <v>0</v>
      </c>
      <c r="AO82" s="3381"/>
      <c r="AP82" s="3455"/>
      <c r="AQ82" s="3341"/>
      <c r="AR82" s="3341"/>
      <c r="AS82" s="3390">
        <f>AQ82+AR82</f>
        <v>0</v>
      </c>
      <c r="AT82" s="3381"/>
      <c r="AU82" s="3455"/>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381"/>
      <c r="CP82" s="3415">
        <f>CN82+CO82</f>
        <v>0</v>
      </c>
      <c r="CQ82" s="3415">
        <f>CO82+CP82</f>
        <v>0</v>
      </c>
      <c r="CR82" s="3415"/>
      <c r="CS82" s="3415"/>
      <c r="CT82" s="3415"/>
      <c r="CU82" s="3415"/>
      <c r="CW82" s="2624"/>
    </row>
    <row r="83" spans="1:104" s="1396" customFormat="1" ht="13.8" outlineLevel="1">
      <c r="A83" s="1405"/>
      <c r="B83" s="4466" t="s">
        <v>13</v>
      </c>
      <c r="C83" s="4467">
        <f>(C81+C7)-C36</f>
        <v>0</v>
      </c>
      <c r="D83" s="4467">
        <f>(D81+D7)-D36</f>
        <v>0</v>
      </c>
      <c r="E83" s="4468">
        <f>(E81+E7)-E36</f>
        <v>0</v>
      </c>
      <c r="F83" s="4469"/>
      <c r="G83" s="4470"/>
      <c r="H83" s="4467">
        <f>(H81+H7)-H36</f>
        <v>0</v>
      </c>
      <c r="I83" s="4467">
        <f>(I81+I7)-I36</f>
        <v>0</v>
      </c>
      <c r="J83" s="4468">
        <f>(J81+J7)-J36</f>
        <v>0</v>
      </c>
      <c r="K83" s="4469"/>
      <c r="L83" s="4470"/>
      <c r="M83" s="4467">
        <f>(M81+M7)-M36</f>
        <v>0</v>
      </c>
      <c r="N83" s="4467">
        <f>(N81+N7)-N36</f>
        <v>0</v>
      </c>
      <c r="O83" s="4468">
        <f>(O81+O7)-O36</f>
        <v>0</v>
      </c>
      <c r="P83" s="4469"/>
      <c r="Q83" s="4470"/>
      <c r="R83" s="4467">
        <f>(R81+R7)-R36</f>
        <v>0</v>
      </c>
      <c r="S83" s="4467">
        <f>(S81+S7)-S36</f>
        <v>0</v>
      </c>
      <c r="T83" s="4468">
        <f>(T81+T7)-T36</f>
        <v>0</v>
      </c>
      <c r="U83" s="4471"/>
      <c r="V83" s="4471"/>
      <c r="W83" s="4467">
        <f>(W81+W7)-W36</f>
        <v>463741.34290941246</v>
      </c>
      <c r="X83" s="4467">
        <f>(X81+X7)-X36</f>
        <v>-162843.96696202533</v>
      </c>
      <c r="Y83" s="4468">
        <f>(Y81+Y7)-Y36</f>
        <v>300897.37594738719</v>
      </c>
      <c r="Z83" s="4471"/>
      <c r="AA83" s="4471"/>
      <c r="AB83" s="4467">
        <f>(AB81+AB7)-AB36</f>
        <v>0</v>
      </c>
      <c r="AC83" s="4467">
        <f>(AC81+AC7)-AC36</f>
        <v>0</v>
      </c>
      <c r="AD83" s="4468">
        <f>(AD81+AD7)-AD36</f>
        <v>0</v>
      </c>
      <c r="AE83" s="4469"/>
      <c r="AF83" s="4470"/>
      <c r="AG83" s="4467">
        <f>(AG81+AG7)-AG36</f>
        <v>-53155.173597303583</v>
      </c>
      <c r="AH83" s="4467">
        <f>(AH81+AH7)-AH36</f>
        <v>-68150.350000000006</v>
      </c>
      <c r="AI83" s="4468">
        <f>(AI81+AI7)-AI36</f>
        <v>-121305.5235973036</v>
      </c>
      <c r="AJ83" s="4469"/>
      <c r="AK83" s="4470"/>
      <c r="AL83" s="4467">
        <f>(AL81+AL7)-AL36</f>
        <v>-50239.473316659118</v>
      </c>
      <c r="AM83" s="4467">
        <f>(AM81+AM7)-AM36</f>
        <v>-56238.26</v>
      </c>
      <c r="AN83" s="4468">
        <f>(AN81+AN7)-AN36</f>
        <v>-106477.73331665913</v>
      </c>
      <c r="AO83" s="4469"/>
      <c r="AP83" s="4470"/>
      <c r="AQ83" s="4467">
        <f>(AQ81+AQ7)-AQ36</f>
        <v>522287.23643241666</v>
      </c>
      <c r="AR83" s="4467">
        <f>(AR81+AR7)-AR36</f>
        <v>-24253.3569620253</v>
      </c>
      <c r="AS83" s="4468">
        <f>(AS81+AS7)-AS36</f>
        <v>498033.87947039137</v>
      </c>
      <c r="AT83" s="4469"/>
      <c r="AU83" s="4470"/>
      <c r="AV83" s="4467">
        <f>(AV81+AV7)-AV36</f>
        <v>44848.753390958453</v>
      </c>
      <c r="AW83" s="4467">
        <f>(AW81+AW7)-AW36</f>
        <v>-14202</v>
      </c>
      <c r="AX83" s="4468">
        <f>(AX81+AX7)-AX36</f>
        <v>30646.753390958471</v>
      </c>
      <c r="AY83" s="4469"/>
      <c r="AZ83" s="4470"/>
      <c r="BA83" s="4467">
        <f>(BA81+BA7)-BA36</f>
        <v>0</v>
      </c>
      <c r="BB83" s="4467">
        <f>(BB81+BB7)-BB36</f>
        <v>0</v>
      </c>
      <c r="BC83" s="4468">
        <f>(BC81+BC7)-BC36</f>
        <v>0</v>
      </c>
      <c r="BD83" s="4469"/>
      <c r="BE83" s="4470"/>
      <c r="BF83" s="4467">
        <f>(BF81+BF7)-BF36</f>
        <v>0</v>
      </c>
      <c r="BG83" s="4467">
        <f>(BG81+BG7)-BG36</f>
        <v>0</v>
      </c>
      <c r="BH83" s="4468">
        <f>(BH81+BH7)-BH36</f>
        <v>0</v>
      </c>
      <c r="BI83" s="4469"/>
      <c r="BJ83" s="4470"/>
      <c r="BK83" s="4467">
        <f>(BK81+BK7)-BK36</f>
        <v>0</v>
      </c>
      <c r="BL83" s="4467">
        <f>(BL81+BL7)-BL36</f>
        <v>0</v>
      </c>
      <c r="BM83" s="4468">
        <f>(BM81+BM7)-BM36</f>
        <v>0</v>
      </c>
      <c r="BN83" s="4469"/>
      <c r="BO83" s="4470"/>
      <c r="BP83" s="4467">
        <f>(BP81+BP7)-BP36</f>
        <v>0</v>
      </c>
      <c r="BQ83" s="4467">
        <f>(BQ81+BQ7)-BQ36</f>
        <v>0</v>
      </c>
      <c r="BR83" s="4468">
        <f>(BR81+BR7)-BR36</f>
        <v>0</v>
      </c>
      <c r="BS83" s="4469"/>
      <c r="BT83" s="4470"/>
      <c r="BU83" s="4467">
        <f>(BU81+BU7)-BU36</f>
        <v>0</v>
      </c>
      <c r="BV83" s="4467">
        <f>(BV81+BV7)-BV36</f>
        <v>0</v>
      </c>
      <c r="BW83" s="4468">
        <f>(BW81+BW7)-BW36</f>
        <v>0</v>
      </c>
      <c r="BX83" s="4469"/>
      <c r="BY83" s="4470"/>
      <c r="BZ83" s="4467">
        <f>(BZ81+BZ7)-BZ36</f>
        <v>0</v>
      </c>
      <c r="CA83" s="4467">
        <f>(CA81+CA7)-CA36</f>
        <v>0</v>
      </c>
      <c r="CB83" s="4468">
        <f>(CB81+CB7)-CB36</f>
        <v>0</v>
      </c>
      <c r="CC83" s="4469"/>
      <c r="CD83" s="4470"/>
      <c r="CE83" s="4467">
        <f>(CE81+CE7)-CE36</f>
        <v>0</v>
      </c>
      <c r="CF83" s="4467">
        <f>(CF81+CF7)-CF36</f>
        <v>0</v>
      </c>
      <c r="CG83" s="4468">
        <f>(CG81+CG7)-CG36</f>
        <v>0</v>
      </c>
      <c r="CH83" s="4469"/>
      <c r="CI83" s="4470"/>
      <c r="CJ83" s="4467">
        <f>(CJ81+CJ7)-CJ36</f>
        <v>463741.34290941246</v>
      </c>
      <c r="CK83" s="4467">
        <f>(CK81+CK7)-CK36</f>
        <v>-162843.96696202533</v>
      </c>
      <c r="CL83" s="4468">
        <f>(CL81+CL7)-CL36</f>
        <v>300897.37594738719</v>
      </c>
      <c r="CM83" s="4469"/>
      <c r="CN83" s="4469"/>
      <c r="CP83" s="3481">
        <f t="shared" ref="CP83:CU83" si="232">(CP81+CP7)-CP36</f>
        <v>414122.58600000001</v>
      </c>
      <c r="CQ83" s="3481">
        <f t="shared" si="232"/>
        <v>300897.37594738719</v>
      </c>
      <c r="CR83" s="3481">
        <f t="shared" si="232"/>
        <v>113225.21005261286</v>
      </c>
      <c r="CS83" s="3481">
        <f t="shared" si="232"/>
        <v>29981.53</v>
      </c>
      <c r="CT83" s="3481">
        <f t="shared" si="232"/>
        <v>30646.753390958471</v>
      </c>
      <c r="CU83" s="3481">
        <f t="shared" si="232"/>
        <v>2787.4300000000076</v>
      </c>
      <c r="CW83" s="2624"/>
    </row>
    <row r="84" spans="1:104" s="1396" customFormat="1" ht="14.4" outlineLevel="1" thickBot="1">
      <c r="A84" s="1405"/>
      <c r="B84" s="4653" t="s">
        <v>14</v>
      </c>
      <c r="C84" s="4472">
        <f>C83-C73-C82</f>
        <v>0</v>
      </c>
      <c r="D84" s="4472">
        <f>D83-D73-D82</f>
        <v>0</v>
      </c>
      <c r="E84" s="4472">
        <f>E83-E73-E82</f>
        <v>0</v>
      </c>
      <c r="F84" s="4594"/>
      <c r="G84" s="4654"/>
      <c r="H84" s="4472">
        <f>H83-H73-H82</f>
        <v>0</v>
      </c>
      <c r="I84" s="4472">
        <f>I83-I73-I82</f>
        <v>0</v>
      </c>
      <c r="J84" s="4472">
        <f>J83-J73-J82</f>
        <v>0</v>
      </c>
      <c r="K84" s="4594"/>
      <c r="L84" s="4654"/>
      <c r="M84" s="4472">
        <f>M83-M73-M82</f>
        <v>0</v>
      </c>
      <c r="N84" s="4472">
        <f>N83-N73-N82</f>
        <v>0</v>
      </c>
      <c r="O84" s="4472">
        <f>O83-O73-O82</f>
        <v>0</v>
      </c>
      <c r="P84" s="4594"/>
      <c r="Q84" s="4654"/>
      <c r="R84" s="4472">
        <f>R83-R73-R82</f>
        <v>0</v>
      </c>
      <c r="S84" s="4472">
        <f>S83-S73-S82</f>
        <v>0</v>
      </c>
      <c r="T84" s="4472">
        <f>T83-T73-T82</f>
        <v>0</v>
      </c>
      <c r="U84" s="4654"/>
      <c r="V84" s="4654"/>
      <c r="W84" s="3342">
        <f t="shared" ref="W84:X85" si="233">AB84+AG84+AL84+AV84+BA84+BF84+BK84+BP84+BU84+BZ84+CE84+AQ84</f>
        <v>463741.3429094124</v>
      </c>
      <c r="X84" s="3342">
        <f t="shared" si="233"/>
        <v>-162843.96696202533</v>
      </c>
      <c r="Y84" s="4472">
        <f>Y83-Y73-Y82</f>
        <v>300897.37594738719</v>
      </c>
      <c r="Z84" s="4654"/>
      <c r="AA84" s="4654"/>
      <c r="AB84" s="4472">
        <f>AB83-AB73-AB82</f>
        <v>0</v>
      </c>
      <c r="AC84" s="4472">
        <f>AC83-AC73-AC82</f>
        <v>0</v>
      </c>
      <c r="AD84" s="4472">
        <f>AD83-AD73-AD82</f>
        <v>0</v>
      </c>
      <c r="AE84" s="4594"/>
      <c r="AF84" s="4654"/>
      <c r="AG84" s="4472">
        <f>AG83-AG73-AG82</f>
        <v>-53155.173597303583</v>
      </c>
      <c r="AH84" s="4472">
        <f>AH83-AH73-AH82</f>
        <v>-68150.350000000006</v>
      </c>
      <c r="AI84" s="4472">
        <f>AI83-AI73-AI82</f>
        <v>-121305.5235973036</v>
      </c>
      <c r="AJ84" s="4594"/>
      <c r="AK84" s="4654"/>
      <c r="AL84" s="4472">
        <f>AL83-AL73-AL82</f>
        <v>-50239.473316659118</v>
      </c>
      <c r="AM84" s="4472">
        <f>AM83-AM73-AM82</f>
        <v>-56238.26</v>
      </c>
      <c r="AN84" s="4472">
        <f>AN83-AN73-AN82</f>
        <v>-106477.73331665913</v>
      </c>
      <c r="AO84" s="4594"/>
      <c r="AP84" s="4654"/>
      <c r="AQ84" s="4472">
        <f>AQ83-AQ73-AQ82</f>
        <v>522287.23643241666</v>
      </c>
      <c r="AR84" s="4472">
        <f>AR83-AR73-AR82</f>
        <v>-24253.3569620253</v>
      </c>
      <c r="AS84" s="4472">
        <f>AS83-AS73-AS82</f>
        <v>498033.87947039137</v>
      </c>
      <c r="AT84" s="4594"/>
      <c r="AU84" s="4654"/>
      <c r="AV84" s="4472">
        <f>AV83-AV73-AV82</f>
        <v>44848.753390958453</v>
      </c>
      <c r="AW84" s="4472">
        <f>AW83-AW73-AW82</f>
        <v>-14202</v>
      </c>
      <c r="AX84" s="4472">
        <f>AX83-AX73-AX82</f>
        <v>30646.753390958471</v>
      </c>
      <c r="AY84" s="4594"/>
      <c r="AZ84" s="4654"/>
      <c r="BA84" s="4472">
        <f>BA83-BA73-BA82</f>
        <v>0</v>
      </c>
      <c r="BB84" s="4472">
        <f>BB83-BB73-BB82</f>
        <v>0</v>
      </c>
      <c r="BC84" s="4472">
        <f>BC83-BC73-BC82</f>
        <v>0</v>
      </c>
      <c r="BD84" s="4594"/>
      <c r="BE84" s="4654"/>
      <c r="BF84" s="4472">
        <f>BF83-BF73-BF82</f>
        <v>0</v>
      </c>
      <c r="BG84" s="4472">
        <f>BG83-BG73-BG82</f>
        <v>0</v>
      </c>
      <c r="BH84" s="4472">
        <f>BH83-BH73-BH82</f>
        <v>0</v>
      </c>
      <c r="BI84" s="4594"/>
      <c r="BJ84" s="4654"/>
      <c r="BK84" s="4472">
        <f>BK83-BK73-BK82</f>
        <v>0</v>
      </c>
      <c r="BL84" s="4472">
        <f>BL83-BL73-BL82</f>
        <v>0</v>
      </c>
      <c r="BM84" s="4472">
        <f>BM83-BM73-BM82</f>
        <v>0</v>
      </c>
      <c r="BN84" s="4594"/>
      <c r="BO84" s="4654"/>
      <c r="BP84" s="4472">
        <f>BP83-BP73-BP82</f>
        <v>0</v>
      </c>
      <c r="BQ84" s="4472">
        <f>BQ83-BQ73-BQ82</f>
        <v>0</v>
      </c>
      <c r="BR84" s="4472">
        <f>BR83-BR73-BR82</f>
        <v>0</v>
      </c>
      <c r="BS84" s="4594"/>
      <c r="BT84" s="4654"/>
      <c r="BU84" s="4472">
        <f>BU83-BU73-BU82</f>
        <v>0</v>
      </c>
      <c r="BV84" s="4472">
        <f>BV83-BV73-BV82</f>
        <v>0</v>
      </c>
      <c r="BW84" s="4472">
        <f>BW83-BW73-BW82</f>
        <v>0</v>
      </c>
      <c r="BX84" s="4594"/>
      <c r="BY84" s="4654"/>
      <c r="BZ84" s="4472">
        <f>BZ83-BZ73-BZ82</f>
        <v>0</v>
      </c>
      <c r="CA84" s="4472">
        <f>CA83-CA73-CA82</f>
        <v>0</v>
      </c>
      <c r="CB84" s="4472">
        <f>CB83-CB73-CB82</f>
        <v>0</v>
      </c>
      <c r="CC84" s="4594"/>
      <c r="CD84" s="4654"/>
      <c r="CE84" s="4472">
        <f>CE83-CE73-CE82</f>
        <v>0</v>
      </c>
      <c r="CF84" s="4472">
        <f>CF83-CF73-CF82</f>
        <v>0</v>
      </c>
      <c r="CG84" s="4472">
        <f>CG83-CG73-CG82</f>
        <v>0</v>
      </c>
      <c r="CH84" s="4594"/>
      <c r="CI84" s="4654"/>
      <c r="CJ84" s="4624">
        <f t="shared" ref="CJ84:CK84" si="234">C84+H84+M84+W84</f>
        <v>463741.3429094124</v>
      </c>
      <c r="CK84" s="4624">
        <f t="shared" si="234"/>
        <v>-162843.96696202533</v>
      </c>
      <c r="CL84" s="4472">
        <f>CL83-CL73-CL82</f>
        <v>300897.37594738719</v>
      </c>
      <c r="CM84" s="4594"/>
      <c r="CN84" s="4594"/>
      <c r="CP84" s="3309">
        <f t="shared" ref="CP84:CU84" si="235">CP83-CP73-CP82</f>
        <v>382765.386</v>
      </c>
      <c r="CQ84" s="3484">
        <f t="shared" si="235"/>
        <v>269540.17594738718</v>
      </c>
      <c r="CR84" s="3309">
        <f t="shared" si="235"/>
        <v>113225.21005261286</v>
      </c>
      <c r="CS84" s="3309">
        <f t="shared" si="235"/>
        <v>25840.329999999998</v>
      </c>
      <c r="CT84" s="3484">
        <f t="shared" si="235"/>
        <v>26505.55339095847</v>
      </c>
      <c r="CU84" s="3309">
        <f t="shared" si="235"/>
        <v>2787.4300000000076</v>
      </c>
      <c r="CW84" s="2624"/>
    </row>
    <row r="85" spans="1:104" s="1396" customFormat="1" ht="13.8" outlineLevel="3">
      <c r="A85" s="1565"/>
      <c r="B85" s="1403" t="s">
        <v>44</v>
      </c>
      <c r="C85" s="3341"/>
      <c r="D85" s="3341"/>
      <c r="E85" s="2012">
        <f>C85+D85*1.15</f>
        <v>0</v>
      </c>
      <c r="F85" s="3381"/>
      <c r="G85" s="3455"/>
      <c r="H85" s="3341"/>
      <c r="I85" s="3341"/>
      <c r="J85" s="2012">
        <f>H85+I85*1.15</f>
        <v>0</v>
      </c>
      <c r="K85" s="4428" t="e">
        <f t="shared" ref="K85" si="236">J85/J$89</f>
        <v>#DIV/0!</v>
      </c>
      <c r="L85" s="3455"/>
      <c r="M85" s="3341"/>
      <c r="N85" s="3341"/>
      <c r="O85" s="2012">
        <f>M85+N85*1.15</f>
        <v>0</v>
      </c>
      <c r="P85" s="4428" t="e">
        <f t="shared" ref="P85" si="237">O85/O$89</f>
        <v>#DIV/0!</v>
      </c>
      <c r="Q85" s="3455"/>
      <c r="R85" s="3342">
        <f t="shared" ref="R85:S85" si="238">M85+H85+C85</f>
        <v>0</v>
      </c>
      <c r="S85" s="3342">
        <f t="shared" si="238"/>
        <v>0</v>
      </c>
      <c r="T85" s="2012">
        <f t="shared" ref="T85" si="239">R85+S85</f>
        <v>0</v>
      </c>
      <c r="U85" s="3455"/>
      <c r="V85" s="3455"/>
      <c r="W85" s="3342">
        <f t="shared" si="233"/>
        <v>0</v>
      </c>
      <c r="X85" s="3342">
        <f t="shared" si="233"/>
        <v>0</v>
      </c>
      <c r="Y85" s="2012">
        <f t="shared" ref="Y85" si="240">W85+X85</f>
        <v>0</v>
      </c>
      <c r="Z85" s="3455"/>
      <c r="AA85" s="3455"/>
      <c r="AB85" s="3341"/>
      <c r="AC85" s="3341"/>
      <c r="AD85" s="2012">
        <f>AB85+AC85*1.15</f>
        <v>0</v>
      </c>
      <c r="AE85" s="3381"/>
      <c r="AF85" s="3455"/>
      <c r="AG85" s="3341"/>
      <c r="AH85" s="3341"/>
      <c r="AI85" s="2012">
        <f>AG85+AH85*1.15</f>
        <v>0</v>
      </c>
      <c r="AJ85" s="3381"/>
      <c r="AK85" s="3455"/>
      <c r="AL85" s="3341"/>
      <c r="AM85" s="3341"/>
      <c r="AN85" s="2012">
        <f>AL85+AM85*1.15</f>
        <v>0</v>
      </c>
      <c r="AO85" s="3381"/>
      <c r="AP85" s="3455"/>
      <c r="AQ85" s="3341"/>
      <c r="AR85" s="3341"/>
      <c r="AS85" s="2012">
        <f>AQ85+AR85*1.15</f>
        <v>0</v>
      </c>
      <c r="AT85" s="3381"/>
      <c r="AU85" s="3455"/>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2124">
        <f>CN85+CO85*1.15</f>
        <v>0</v>
      </c>
      <c r="CQ85" s="2124">
        <f>CO85+CP85*1.15</f>
        <v>0</v>
      </c>
      <c r="CR85" s="2124"/>
      <c r="CS85" s="2124"/>
      <c r="CT85" s="2124"/>
      <c r="CU85" s="2124"/>
      <c r="CW85" s="2624" t="s">
        <v>1986</v>
      </c>
    </row>
    <row r="86" spans="1:104" s="1396" customFormat="1" ht="27.6">
      <c r="A86" s="1405"/>
      <c r="B86" s="4473" t="s">
        <v>50</v>
      </c>
      <c r="C86" s="4474">
        <f>C84-C85</f>
        <v>0</v>
      </c>
      <c r="D86" s="4474">
        <f>D84-D85</f>
        <v>0</v>
      </c>
      <c r="E86" s="4474">
        <f>E84-E85</f>
        <v>0</v>
      </c>
      <c r="F86" s="4475"/>
      <c r="G86" s="4476"/>
      <c r="H86" s="4474">
        <f>H84-H85</f>
        <v>0</v>
      </c>
      <c r="I86" s="4474">
        <f>I84-I85</f>
        <v>0</v>
      </c>
      <c r="J86" s="4474">
        <f>J84-J85</f>
        <v>0</v>
      </c>
      <c r="K86" s="4475"/>
      <c r="L86" s="4476"/>
      <c r="M86" s="4474">
        <f>M84-M85</f>
        <v>0</v>
      </c>
      <c r="N86" s="4474">
        <f>N84-N85</f>
        <v>0</v>
      </c>
      <c r="O86" s="4474">
        <f>O84-O85</f>
        <v>0</v>
      </c>
      <c r="P86" s="4475"/>
      <c r="Q86" s="4476"/>
      <c r="R86" s="4474">
        <f>R84-R85</f>
        <v>0</v>
      </c>
      <c r="S86" s="4474">
        <f>S84-S85</f>
        <v>0</v>
      </c>
      <c r="T86" s="4474">
        <f>T84-T85</f>
        <v>0</v>
      </c>
      <c r="U86" s="4476"/>
      <c r="V86" s="4476"/>
      <c r="W86" s="4474">
        <f>W84-W85</f>
        <v>463741.3429094124</v>
      </c>
      <c r="X86" s="4474">
        <f>X84-X85</f>
        <v>-162843.96696202533</v>
      </c>
      <c r="Y86" s="4474">
        <f>Y84-Y85</f>
        <v>300897.37594738719</v>
      </c>
      <c r="Z86" s="4476"/>
      <c r="AA86" s="4476"/>
      <c r="AB86" s="4474">
        <f>AB84-AB85</f>
        <v>0</v>
      </c>
      <c r="AC86" s="4474">
        <f>AC84-AC85</f>
        <v>0</v>
      </c>
      <c r="AD86" s="4474">
        <f>AD84-AD85</f>
        <v>0</v>
      </c>
      <c r="AE86" s="4475"/>
      <c r="AF86" s="4476"/>
      <c r="AG86" s="4474">
        <f>AG84-AG85</f>
        <v>-53155.173597303583</v>
      </c>
      <c r="AH86" s="4474">
        <f>AH84-AH85</f>
        <v>-68150.350000000006</v>
      </c>
      <c r="AI86" s="4474">
        <f>AI84-AI85</f>
        <v>-121305.5235973036</v>
      </c>
      <c r="AJ86" s="4475"/>
      <c r="AK86" s="4476"/>
      <c r="AL86" s="4474">
        <f>AL84-AL85</f>
        <v>-50239.473316659118</v>
      </c>
      <c r="AM86" s="4474">
        <f>AM84-AM85</f>
        <v>-56238.26</v>
      </c>
      <c r="AN86" s="4474">
        <f>AN84-AN85</f>
        <v>-106477.73331665913</v>
      </c>
      <c r="AO86" s="4475"/>
      <c r="AP86" s="4476"/>
      <c r="AQ86" s="4474">
        <f>AQ84-AQ85</f>
        <v>522287.23643241666</v>
      </c>
      <c r="AR86" s="4474">
        <f>AR84-AR85</f>
        <v>-24253.3569620253</v>
      </c>
      <c r="AS86" s="4474">
        <f>AS84-AS85</f>
        <v>498033.87947039137</v>
      </c>
      <c r="AT86" s="4475"/>
      <c r="AU86" s="4476"/>
      <c r="AV86" s="4474">
        <f>AV84-AV85</f>
        <v>44848.753390958453</v>
      </c>
      <c r="AW86" s="4474">
        <f>AW84-AW85</f>
        <v>-14202</v>
      </c>
      <c r="AX86" s="4474">
        <f>AX84-AX85</f>
        <v>30646.753390958471</v>
      </c>
      <c r="AY86" s="4475"/>
      <c r="AZ86" s="4476"/>
      <c r="BA86" s="4474">
        <f>BA84-BA85</f>
        <v>0</v>
      </c>
      <c r="BB86" s="4474">
        <f>BB84-BB85</f>
        <v>0</v>
      </c>
      <c r="BC86" s="4474">
        <f>BC84-BC85</f>
        <v>0</v>
      </c>
      <c r="BD86" s="4475"/>
      <c r="BE86" s="4476"/>
      <c r="BF86" s="4474">
        <f>BF84-BF85</f>
        <v>0</v>
      </c>
      <c r="BG86" s="4474">
        <f>BG84-BG85</f>
        <v>0</v>
      </c>
      <c r="BH86" s="4474">
        <f>BH84-BH85</f>
        <v>0</v>
      </c>
      <c r="BI86" s="4475"/>
      <c r="BJ86" s="4476"/>
      <c r="BK86" s="4474">
        <f>BK84-BK85</f>
        <v>0</v>
      </c>
      <c r="BL86" s="4474">
        <f>BL84-BL85</f>
        <v>0</v>
      </c>
      <c r="BM86" s="4474">
        <f>BM84-BM85</f>
        <v>0</v>
      </c>
      <c r="BN86" s="4475"/>
      <c r="BO86" s="4476"/>
      <c r="BP86" s="4474">
        <f>BP84-BP85</f>
        <v>0</v>
      </c>
      <c r="BQ86" s="4474">
        <f>BQ84-BQ85</f>
        <v>0</v>
      </c>
      <c r="BR86" s="4474">
        <f>BR84-BR85</f>
        <v>0</v>
      </c>
      <c r="BS86" s="4475"/>
      <c r="BT86" s="4476"/>
      <c r="BU86" s="4474">
        <f>BU84-BU85</f>
        <v>0</v>
      </c>
      <c r="BV86" s="4474">
        <f>BV84-BV85</f>
        <v>0</v>
      </c>
      <c r="BW86" s="4474">
        <f>BW84-BW85</f>
        <v>0</v>
      </c>
      <c r="BX86" s="4475"/>
      <c r="BY86" s="4476"/>
      <c r="BZ86" s="4474">
        <f>BZ84-BZ85</f>
        <v>0</v>
      </c>
      <c r="CA86" s="4474">
        <f>CA84-CA85</f>
        <v>0</v>
      </c>
      <c r="CB86" s="4474">
        <f>CB84-CB85</f>
        <v>0</v>
      </c>
      <c r="CC86" s="4475"/>
      <c r="CD86" s="4476"/>
      <c r="CE86" s="4474">
        <f>CE84-CE85</f>
        <v>0</v>
      </c>
      <c r="CF86" s="4474">
        <f>CF84-CF85</f>
        <v>0</v>
      </c>
      <c r="CG86" s="4474">
        <f>CG84-CG85</f>
        <v>0</v>
      </c>
      <c r="CH86" s="4475"/>
      <c r="CI86" s="4476"/>
      <c r="CJ86" s="4474">
        <f>CJ84-CJ85</f>
        <v>463741.3429094124</v>
      </c>
      <c r="CK86" s="4474">
        <f>CK84-CK85</f>
        <v>-162843.96696202533</v>
      </c>
      <c r="CL86" s="4474">
        <f>CL84-CL85</f>
        <v>300897.37594738719</v>
      </c>
      <c r="CM86" s="4475"/>
      <c r="CN86" s="4475"/>
      <c r="CP86" s="3481">
        <f>CP84-CP85</f>
        <v>382765.386</v>
      </c>
      <c r="CQ86" s="3481">
        <f>CQ84-CQ85</f>
        <v>269540.17594738718</v>
      </c>
      <c r="CR86" s="3481">
        <f>CQ86-CP86</f>
        <v>-113225.21005261282</v>
      </c>
      <c r="CS86" s="3481">
        <f>CS84-CS85</f>
        <v>25840.329999999998</v>
      </c>
      <c r="CT86" s="3481">
        <f>CT84-CT85</f>
        <v>26505.55339095847</v>
      </c>
      <c r="CU86" s="3481">
        <f>CT86-CS86</f>
        <v>665.22339095847201</v>
      </c>
      <c r="CW86" s="4058">
        <f>CR86/CP86</f>
        <v>-0.295808383396018</v>
      </c>
      <c r="CZ86" s="933"/>
    </row>
    <row r="87" spans="1:104" s="1396" customFormat="1" ht="14.4" thickBot="1">
      <c r="A87" s="1567"/>
      <c r="B87" s="4655" t="s">
        <v>51</v>
      </c>
      <c r="C87" s="4477">
        <f>IFERROR(C86/C5,0)</f>
        <v>0</v>
      </c>
      <c r="D87" s="4478">
        <f>IFERROR(D86/D5,0)</f>
        <v>0</v>
      </c>
      <c r="E87" s="4479">
        <f>IFERROR(E86/E5,0)</f>
        <v>0</v>
      </c>
      <c r="F87" s="4480"/>
      <c r="G87" s="4481"/>
      <c r="H87" s="4477">
        <f>IFERROR(H86/H5,0)</f>
        <v>0</v>
      </c>
      <c r="I87" s="4478">
        <f>IFERROR(I86/I5,0)</f>
        <v>0</v>
      </c>
      <c r="J87" s="4479">
        <f>IFERROR(J86/J5,0)</f>
        <v>0</v>
      </c>
      <c r="K87" s="4480"/>
      <c r="L87" s="4481"/>
      <c r="M87" s="4477">
        <f>IFERROR(M86/M5,0)</f>
        <v>0</v>
      </c>
      <c r="N87" s="4478">
        <f>IFERROR(N86/N5,0)</f>
        <v>0</v>
      </c>
      <c r="O87" s="4479">
        <f>IFERROR(O86/O5,0)</f>
        <v>0</v>
      </c>
      <c r="P87" s="4480"/>
      <c r="Q87" s="4481"/>
      <c r="R87" s="4482"/>
      <c r="S87" s="4482"/>
      <c r="T87" s="4482"/>
      <c r="U87" s="4482"/>
      <c r="V87" s="4482"/>
      <c r="W87" s="4482"/>
      <c r="X87" s="4482"/>
      <c r="Y87" s="4482"/>
      <c r="Z87" s="4482"/>
      <c r="AA87" s="4482"/>
      <c r="AB87" s="4477">
        <f>IFERROR(AB86/AB5,0)</f>
        <v>0</v>
      </c>
      <c r="AC87" s="4478">
        <f>IFERROR(AC86/AC5,0)</f>
        <v>0</v>
      </c>
      <c r="AD87" s="4479">
        <f>IFERROR(AD86/AD5,0)</f>
        <v>0</v>
      </c>
      <c r="AE87" s="4480"/>
      <c r="AF87" s="4481"/>
      <c r="AG87" s="4477">
        <f>IFERROR(AG86/AG5,0)</f>
        <v>0</v>
      </c>
      <c r="AH87" s="4478">
        <f>IFERROR(AH86/AH5,0)</f>
        <v>0</v>
      </c>
      <c r="AI87" s="4479">
        <f>IFERROR(AI86/AI5,0)</f>
        <v>0</v>
      </c>
      <c r="AJ87" s="4480"/>
      <c r="AK87" s="4481"/>
      <c r="AL87" s="4477">
        <f>IFERROR(AL86/AL5,0)</f>
        <v>0</v>
      </c>
      <c r="AM87" s="4478">
        <f>IFERROR(AM86/AM5,0)</f>
        <v>0</v>
      </c>
      <c r="AN87" s="4479">
        <f>IFERROR(AN86/AN5,0)</f>
        <v>0</v>
      </c>
      <c r="AO87" s="4480"/>
      <c r="AP87" s="4481"/>
      <c r="AQ87" s="4477">
        <f>IFERROR(AQ86/AQ5,0)</f>
        <v>0.57571344403925995</v>
      </c>
      <c r="AR87" s="4478">
        <f>IFERROR(AR86/AR5,0)</f>
        <v>0</v>
      </c>
      <c r="AS87" s="4479">
        <f>IFERROR(AS86/AS5,0)</f>
        <v>0.54897914403702752</v>
      </c>
      <c r="AT87" s="4480"/>
      <c r="AU87" s="4481"/>
      <c r="AV87" s="4477">
        <f>IFERROR(AV86/AV5,0)</f>
        <v>0.32489679361749096</v>
      </c>
      <c r="AW87" s="4478">
        <f>IFERROR(AW86/AW5,0)</f>
        <v>0</v>
      </c>
      <c r="AX87" s="4479">
        <f>IFERROR(AX86/AX5,0)</f>
        <v>0.22201357136307209</v>
      </c>
      <c r="AY87" s="4480"/>
      <c r="AZ87" s="4481"/>
      <c r="BA87" s="4477">
        <f>IFERROR(BA86/BA5,0)</f>
        <v>0</v>
      </c>
      <c r="BB87" s="4478">
        <f>IFERROR(BB86/BB5,0)</f>
        <v>0</v>
      </c>
      <c r="BC87" s="4479">
        <f>IFERROR(BC86/BC5,0)</f>
        <v>0</v>
      </c>
      <c r="BD87" s="4480"/>
      <c r="BE87" s="4481"/>
      <c r="BF87" s="4477">
        <f>IFERROR(BF86/BF5,0)</f>
        <v>0</v>
      </c>
      <c r="BG87" s="4478">
        <f>IFERROR(BG86/BG5,0)</f>
        <v>0</v>
      </c>
      <c r="BH87" s="4479">
        <f>IFERROR(BH86/BH5,0)</f>
        <v>0</v>
      </c>
      <c r="BI87" s="4480"/>
      <c r="BJ87" s="4481"/>
      <c r="BK87" s="4477">
        <f>IFERROR(BK86/BK5,0)</f>
        <v>0</v>
      </c>
      <c r="BL87" s="4478">
        <f>IFERROR(BL86/BL5,0)</f>
        <v>0</v>
      </c>
      <c r="BM87" s="4479">
        <f>IFERROR(BM86/BM5,0)</f>
        <v>0</v>
      </c>
      <c r="BN87" s="4480"/>
      <c r="BO87" s="4481"/>
      <c r="BP87" s="4477">
        <f>IFERROR(BP86/BP5,0)</f>
        <v>0</v>
      </c>
      <c r="BQ87" s="4478">
        <f>IFERROR(BQ86/BQ5,0)</f>
        <v>0</v>
      </c>
      <c r="BR87" s="4479">
        <f>IFERROR(BR86/BR5,0)</f>
        <v>0</v>
      </c>
      <c r="BS87" s="4480"/>
      <c r="BT87" s="4481"/>
      <c r="BU87" s="4477">
        <f>IFERROR(BU86/BU5,0)</f>
        <v>0</v>
      </c>
      <c r="BV87" s="4478">
        <f>IFERROR(BV86/BV5,0)</f>
        <v>0</v>
      </c>
      <c r="BW87" s="4479">
        <f>IFERROR(BW86/BW5,0)</f>
        <v>0</v>
      </c>
      <c r="BX87" s="4480"/>
      <c r="BY87" s="4481"/>
      <c r="BZ87" s="4477">
        <f>IFERROR(BZ86/BZ5,0)</f>
        <v>0</v>
      </c>
      <c r="CA87" s="4478">
        <f>IFERROR(CA86/CA5,0)</f>
        <v>0</v>
      </c>
      <c r="CB87" s="4479">
        <f>IFERROR(CB86/CB5,0)</f>
        <v>0</v>
      </c>
      <c r="CC87" s="4480"/>
      <c r="CD87" s="4481"/>
      <c r="CE87" s="4477">
        <f>IFERROR(CE86/CE5,0)</f>
        <v>0</v>
      </c>
      <c r="CF87" s="4478">
        <f>IFERROR(CF86/CF5,0)</f>
        <v>0</v>
      </c>
      <c r="CG87" s="4479">
        <f>IFERROR(CG86/CG5,0)</f>
        <v>0</v>
      </c>
      <c r="CH87" s="4480"/>
      <c r="CI87" s="4481"/>
      <c r="CJ87" s="4477">
        <f>IFERROR(CJ86/CJ5,0)</f>
        <v>0.44366972456987142</v>
      </c>
      <c r="CK87" s="4478">
        <f>IFERROR(CK86/CK5,0)</f>
        <v>0</v>
      </c>
      <c r="CL87" s="4479">
        <f>IFERROR(CL86/CL5,0)</f>
        <v>0.28787395808368144</v>
      </c>
      <c r="CM87" s="4480"/>
      <c r="CN87" s="4480"/>
      <c r="CP87" s="4479">
        <f>CP86/CP5</f>
        <v>0.36619856300945236</v>
      </c>
      <c r="CQ87" s="4479">
        <f>IFERROR(CQ86/CQ5,0)</f>
        <v>0.25787395808368141</v>
      </c>
      <c r="CR87" s="4479"/>
      <c r="CS87" s="4479">
        <f>CS86/CS5</f>
        <v>0.18719450883801794</v>
      </c>
      <c r="CT87" s="4656">
        <f>IFERROR(CT86/CT5,0)</f>
        <v>0.19201357136307209</v>
      </c>
      <c r="CU87" s="4479"/>
      <c r="CW87" s="2624"/>
    </row>
    <row r="88" spans="1:104"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1611"/>
      <c r="AG88" s="1954"/>
      <c r="AH88" s="1954"/>
      <c r="AI88" s="1954"/>
      <c r="AJ88" s="1954"/>
      <c r="AK88" s="1611"/>
      <c r="AL88" s="1954"/>
      <c r="AM88" s="1954"/>
      <c r="AN88" s="1954"/>
      <c r="AO88" s="1954"/>
      <c r="AP88" s="1611"/>
      <c r="AQ88" s="1954"/>
      <c r="AR88" s="1954"/>
      <c r="AS88" s="1954"/>
      <c r="AT88" s="1954"/>
      <c r="AU88" s="1611"/>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1954"/>
      <c r="CQ88" s="1954"/>
      <c r="CR88" s="1954"/>
      <c r="CS88" s="1954"/>
      <c r="CT88" s="1954"/>
      <c r="CU88" s="1954"/>
    </row>
    <row r="89" spans="1:104">
      <c r="B89" s="1562" t="s">
        <v>56</v>
      </c>
      <c r="E89" s="1960">
        <f>E8+E36+E41+E50+E54+E73+E79+E82+E85</f>
        <v>0</v>
      </c>
      <c r="G89" s="1963"/>
      <c r="J89" s="1960">
        <f>J8+J36+J41+J50+J54+J73+J79+J82+J85</f>
        <v>0</v>
      </c>
      <c r="L89" s="1963"/>
      <c r="O89" s="1960">
        <f>O8+O36+O41+O50+O54+O73+O79+O82+O85</f>
        <v>0</v>
      </c>
      <c r="Q89" s="1963"/>
      <c r="R89" s="1963"/>
      <c r="S89" s="1963"/>
      <c r="T89" s="1960">
        <f>T8+T36+T41+T50+T54+T73+T79+T82+T85</f>
        <v>0</v>
      </c>
      <c r="U89" s="1963"/>
      <c r="V89" s="1963"/>
      <c r="W89" s="1963"/>
      <c r="X89" s="1963"/>
      <c r="Y89" s="1960">
        <f>Y8+Y36+Y41+Y50+Y54+Y73+Y79+Y82+Y85</f>
        <v>744342.62405261281</v>
      </c>
      <c r="Z89" s="1963"/>
      <c r="AA89" s="1963"/>
      <c r="AD89" s="1960">
        <f>AD8+AD36+AD41+AD50+AD54+AD73+AD79+AD82+AD85</f>
        <v>0</v>
      </c>
      <c r="AF89" s="1963"/>
      <c r="AI89" s="1960">
        <f>AI8+AI36+AI41+AI50+AI54+AI73+AI79+AI82+AI85</f>
        <v>121305.5235973036</v>
      </c>
      <c r="AK89" s="1963"/>
      <c r="AN89" s="1960">
        <f>AN8+AN36+AN41+AN50+AN54+AN73+AN79+AN82+AN85</f>
        <v>106477.73331665913</v>
      </c>
      <c r="AP89" s="1963"/>
      <c r="AS89" s="1960">
        <f>AS8+AS36+AS41+AS50+AS54+AS73+AS79+AS82+AS85</f>
        <v>409166.12052960863</v>
      </c>
      <c r="AU89" s="1963"/>
      <c r="AX89" s="1960">
        <f>AX8+AX36+AX41+AX50+AX54+AX73+AX79+AX82+AX85</f>
        <v>107393.24660904153</v>
      </c>
      <c r="AZ89" s="1963"/>
      <c r="BC89" s="1960">
        <f>BC8+BC36+BC41+BC50+BC54+BC73+BC79+BC82+BC85</f>
        <v>0</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744342.62405261281</v>
      </c>
    </row>
    <row r="90" spans="1:104">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1963"/>
      <c r="AC90" s="1963"/>
      <c r="AD90" s="1963"/>
      <c r="AE90" s="1963"/>
      <c r="AF90" s="1963"/>
      <c r="AG90" s="1963"/>
      <c r="AH90" s="1963"/>
      <c r="AI90" s="1963"/>
      <c r="AJ90" s="1963"/>
      <c r="AK90" s="1963"/>
      <c r="AL90" s="1963"/>
      <c r="AM90" s="1963"/>
      <c r="AN90" s="1963"/>
      <c r="AO90" s="1963"/>
      <c r="AP90" s="1963"/>
      <c r="AQ90" s="1963"/>
      <c r="AR90" s="1963"/>
      <c r="AS90" s="1963"/>
      <c r="AT90" s="1963"/>
      <c r="AU90" s="1963"/>
      <c r="AV90" s="1963"/>
      <c r="AW90" s="1963"/>
      <c r="AX90" s="1963"/>
      <c r="AY90" s="1963"/>
      <c r="AZ90" s="1963"/>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t="b">
        <f>J89+O89+E89+Y89=CL89</f>
        <v>1</v>
      </c>
    </row>
    <row r="91" spans="1:104"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963"/>
      <c r="AG91" s="1963"/>
      <c r="AH91" s="1963"/>
      <c r="AI91" s="1963"/>
      <c r="AJ91" s="1963"/>
      <c r="AK91" s="1963"/>
      <c r="AL91" s="1963"/>
      <c r="AM91" s="1963"/>
      <c r="AN91" s="1963"/>
      <c r="AO91" s="1963"/>
      <c r="AP91" s="1963"/>
      <c r="AQ91" s="1963"/>
      <c r="AR91" s="1963"/>
      <c r="AS91" s="1963"/>
      <c r="AT91" s="1963"/>
      <c r="AU91" s="1963"/>
      <c r="AV91" s="1963"/>
      <c r="AW91" s="1963"/>
      <c r="AX91" s="1963"/>
      <c r="AY91" s="1963"/>
      <c r="AZ91" s="196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c r="CP91" s="1952"/>
      <c r="CQ91" s="1952"/>
      <c r="CR91" s="1952"/>
      <c r="CS91" s="1952"/>
      <c r="CT91" s="1952"/>
      <c r="CU91" s="1952"/>
      <c r="CW91" s="2624"/>
    </row>
    <row r="92" spans="1:104">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P92" s="1963"/>
      <c r="AQ92" s="1963"/>
      <c r="AR92" s="1963"/>
      <c r="AS92" s="1963"/>
      <c r="AT92" s="1963"/>
      <c r="AU92" s="1963"/>
      <c r="AV92" s="1963"/>
      <c r="AW92" s="1963"/>
      <c r="AX92" s="1963"/>
      <c r="AY92" s="1963"/>
      <c r="AZ92" s="196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4" s="1396" customFormat="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963"/>
      <c r="AG93" s="1963"/>
      <c r="AH93" s="1963"/>
      <c r="AI93" s="1963"/>
      <c r="AJ93" s="1963"/>
      <c r="AK93" s="1963"/>
      <c r="AL93" s="1963"/>
      <c r="AM93" s="1963"/>
      <c r="AN93" s="1963"/>
      <c r="AO93" s="1963"/>
      <c r="AP93" s="1963"/>
      <c r="AQ93" s="1963"/>
      <c r="AR93" s="1963"/>
      <c r="AS93" s="1963"/>
      <c r="AT93" s="1963"/>
      <c r="AU93" s="1963"/>
      <c r="AV93" s="1963"/>
      <c r="AW93" s="1963"/>
      <c r="AX93" s="1963"/>
      <c r="AY93" s="1963"/>
      <c r="AZ93" s="1963"/>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52"/>
      <c r="CK93" s="1952"/>
      <c r="CL93" s="687"/>
      <c r="CM93" s="1952"/>
      <c r="CN93" s="1952"/>
      <c r="CP93" s="1952"/>
      <c r="CQ93" s="1952"/>
      <c r="CR93" s="1952"/>
      <c r="CS93" s="1952"/>
      <c r="CT93" s="1952"/>
      <c r="CU93" s="1952"/>
      <c r="CW93" s="2624"/>
    </row>
    <row r="94" spans="1:104" s="1396" customForma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963"/>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52"/>
      <c r="CK94" s="1952"/>
      <c r="CL94" s="1952"/>
      <c r="CM94" s="1952"/>
      <c r="CN94" s="1952"/>
      <c r="CP94" s="1952"/>
      <c r="CQ94" s="1952"/>
      <c r="CR94" s="1952"/>
      <c r="CS94" s="1952"/>
      <c r="CT94" s="1952"/>
      <c r="CU94" s="1952"/>
      <c r="CW94" s="2624"/>
    </row>
    <row r="95" spans="1:104" s="1396" customFormat="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963"/>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52"/>
      <c r="CK95" s="1952"/>
      <c r="CL95" s="1952"/>
      <c r="CM95" s="1952"/>
      <c r="CN95" s="1952"/>
      <c r="CP95" s="1952"/>
      <c r="CQ95" s="1952"/>
      <c r="CR95" s="1952"/>
      <c r="CS95" s="1952"/>
      <c r="CT95" s="1952"/>
      <c r="CU95" s="1952"/>
      <c r="CW95" s="2624"/>
    </row>
    <row r="96" spans="1:104" s="1396" customFormat="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963"/>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52"/>
      <c r="CK96" s="1952"/>
      <c r="CL96" s="1952"/>
      <c r="CM96" s="1952"/>
      <c r="CN96" s="1952"/>
      <c r="CP96" s="1952"/>
      <c r="CQ96" s="1952"/>
      <c r="CR96" s="1952"/>
      <c r="CS96" s="1952"/>
      <c r="CT96" s="1952"/>
      <c r="CU96" s="1952"/>
      <c r="CW96" s="2624"/>
    </row>
    <row r="97" spans="1:101">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1963"/>
      <c r="AH97" s="1963"/>
      <c r="AI97" s="1963"/>
      <c r="AJ97" s="1963"/>
      <c r="AK97" s="1963"/>
      <c r="AL97" s="1963"/>
      <c r="AM97" s="1963"/>
      <c r="AN97" s="1963"/>
      <c r="AO97" s="1963"/>
      <c r="AP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101"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952"/>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1952"/>
      <c r="CQ98" s="1952"/>
      <c r="CR98" s="1952"/>
      <c r="CS98" s="1952"/>
      <c r="CT98" s="1952"/>
      <c r="CU98" s="1952"/>
      <c r="CW98" s="2624"/>
    </row>
  </sheetData>
  <mergeCells count="25">
    <mergeCell ref="A42:A48"/>
    <mergeCell ref="BF2:BJ3"/>
    <mergeCell ref="BK2:BO3"/>
    <mergeCell ref="BP2:BT3"/>
    <mergeCell ref="BU2:BY3"/>
    <mergeCell ref="AB2:AF3"/>
    <mergeCell ref="AG2:AK3"/>
    <mergeCell ref="AL2:AP3"/>
    <mergeCell ref="AQ2:AU3"/>
    <mergeCell ref="AV2:AZ3"/>
    <mergeCell ref="BA2:BE3"/>
    <mergeCell ref="CS2:CU3"/>
    <mergeCell ref="CU9:CU11"/>
    <mergeCell ref="CR9:CR11"/>
    <mergeCell ref="W2:AA3"/>
    <mergeCell ref="A2:B2"/>
    <mergeCell ref="C2:G3"/>
    <mergeCell ref="H2:L3"/>
    <mergeCell ref="M2:Q3"/>
    <mergeCell ref="R2:V3"/>
    <mergeCell ref="CJ2:CN3"/>
    <mergeCell ref="CP2:CR3"/>
    <mergeCell ref="A3:B3"/>
    <mergeCell ref="BZ2:CD3"/>
    <mergeCell ref="CE2:CI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EK98"/>
  <sheetViews>
    <sheetView showZeros="0" zoomScale="80" zoomScaleNormal="80" workbookViewId="0">
      <pane xSplit="2" ySplit="5" topLeftCell="CC66" activePane="bottomRight" state="frozen"/>
      <selection activeCell="AG67" sqref="AG67"/>
      <selection pane="topRight" activeCell="AG67" sqref="AG67"/>
      <selection pane="bottomLeft" activeCell="AG67" sqref="AG67"/>
      <selection pane="bottomRight" activeCell="EH85" sqref="EH85:EH86"/>
    </sheetView>
  </sheetViews>
  <sheetFormatPr defaultColWidth="2.88671875" defaultRowHeight="13.2" outlineLevelRow="3" outlineLevelCol="1"/>
  <cols>
    <col min="1" max="1" width="2.33203125" style="1402" customWidth="1"/>
    <col min="2" max="2" width="53.109375" style="1402" customWidth="1"/>
    <col min="3" max="5" width="6.44140625" style="1952" hidden="1" customWidth="1" outlineLevel="1"/>
    <col min="6" max="6" width="5.33203125" style="1952" hidden="1" customWidth="1" outlineLevel="1"/>
    <col min="7" max="15" width="6.44140625" style="1952" hidden="1" customWidth="1" outlineLevel="1"/>
    <col min="16" max="16" width="3.5546875" style="1952" hidden="1" customWidth="1" outlineLevel="1"/>
    <col min="17" max="17" width="18.5546875" style="1952" hidden="1" customWidth="1" outlineLevel="1"/>
    <col min="18" max="18" width="5.6640625" style="1952" hidden="1" customWidth="1" outlineLevel="1"/>
    <col min="19" max="19" width="5" style="1952" hidden="1" customWidth="1" outlineLevel="1"/>
    <col min="20" max="21" width="5.33203125" style="1952" hidden="1" customWidth="1" outlineLevel="1"/>
    <col min="22" max="22" width="15" style="1952" hidden="1" customWidth="1" outlineLevel="1"/>
    <col min="23" max="26" width="7.6640625" style="1952" hidden="1" customWidth="1" outlineLevel="1"/>
    <col min="27" max="27" width="16.109375" style="1952" hidden="1" customWidth="1" outlineLevel="1"/>
    <col min="28" max="31" width="7.6640625" style="1952" hidden="1" customWidth="1" outlineLevel="1"/>
    <col min="32" max="32" width="10" style="1952" hidden="1" customWidth="1" outlineLevel="1"/>
    <col min="33" max="34" width="4.88671875" style="1952" hidden="1" customWidth="1" outlineLevel="1"/>
    <col min="35" max="35" width="5.5546875" style="1952" hidden="1" customWidth="1" outlineLevel="1"/>
    <col min="36" max="36" width="6.6640625" style="1952" hidden="1" customWidth="1" outlineLevel="1"/>
    <col min="37" max="37" width="10" style="1952" hidden="1" customWidth="1" outlineLevel="1"/>
    <col min="38" max="38" width="7.6640625" style="1952" hidden="1" customWidth="1" outlineLevel="1" collapsed="1"/>
    <col min="39" max="41" width="7.6640625" style="1952" hidden="1" customWidth="1" outlineLevel="1"/>
    <col min="42" max="42" width="10" style="1952" hidden="1" customWidth="1" outlineLevel="1"/>
    <col min="43" max="43" width="12.88671875" style="1952" hidden="1" customWidth="1" outlineLevel="1" collapsed="1"/>
    <col min="44" max="46" width="12.88671875" style="1952" hidden="1" customWidth="1" outlineLevel="1"/>
    <col min="47" max="47" width="26.109375" style="1952" hidden="1" customWidth="1" outlineLevel="1"/>
    <col min="48" max="48" width="12.88671875" style="1952" hidden="1" customWidth="1" outlineLevel="1" collapsed="1"/>
    <col min="49" max="51" width="12.88671875" style="1952" hidden="1" customWidth="1" outlineLevel="1"/>
    <col min="52" max="52" width="26.109375" style="1952" hidden="1" customWidth="1" outlineLevel="1"/>
    <col min="53" max="56" width="12.88671875" style="1952" hidden="1" customWidth="1" outlineLevel="1"/>
    <col min="57" max="57" width="26.109375" style="1952" hidden="1" customWidth="1" outlineLevel="1"/>
    <col min="58" max="58" width="13.44140625" style="1952" hidden="1" customWidth="1" outlineLevel="1" collapsed="1"/>
    <col min="59" max="62" width="13.44140625" style="1952" hidden="1" customWidth="1" outlineLevel="1"/>
    <col min="63" max="63" width="13.44140625" style="1952" customWidth="1" collapsed="1"/>
    <col min="64" max="67" width="13.44140625" style="1952" customWidth="1"/>
    <col min="68" max="71" width="12.88671875" style="1952" hidden="1" customWidth="1" outlineLevel="1"/>
    <col min="72" max="72" width="29.33203125" style="1952" hidden="1" customWidth="1" outlineLevel="1"/>
    <col min="73" max="73" width="12.88671875" style="1952" hidden="1" customWidth="1" outlineLevel="1" collapsed="1"/>
    <col min="74" max="76" width="12.88671875" style="1952" hidden="1" customWidth="1" outlineLevel="1"/>
    <col min="77" max="77" width="26.109375" style="1952" hidden="1" customWidth="1" outlineLevel="1"/>
    <col min="78" max="78" width="12.88671875" style="1952" customWidth="1" collapsed="1"/>
    <col min="79" max="81" width="12.88671875" style="1952" customWidth="1"/>
    <col min="82" max="82" width="26.109375" style="1952" customWidth="1"/>
    <col min="83" max="86" width="12.88671875" style="1952" hidden="1" customWidth="1" outlineLevel="1"/>
    <col min="87" max="87" width="26.109375" style="1952" hidden="1" customWidth="1" outlineLevel="1"/>
    <col min="88" max="91" width="12.88671875" style="1952" hidden="1" customWidth="1" outlineLevel="1"/>
    <col min="92" max="92" width="26.109375" style="1952" hidden="1" customWidth="1" outlineLevel="1"/>
    <col min="93" max="96" width="12.88671875" style="1952" hidden="1" customWidth="1" outlineLevel="1"/>
    <col min="97" max="97" width="26.109375" style="1952" hidden="1" customWidth="1" outlineLevel="1"/>
    <col min="98" max="101" width="12.88671875" style="1952" hidden="1" customWidth="1" outlineLevel="1"/>
    <col min="102" max="102" width="26.109375" style="1952" hidden="1" customWidth="1" outlineLevel="1"/>
    <col min="103" max="106" width="12.88671875" style="1952" hidden="1" customWidth="1" outlineLevel="1"/>
    <col min="107" max="107" width="26.109375" style="1952" hidden="1" customWidth="1" outlineLevel="1"/>
    <col min="108" max="111" width="12.88671875" style="1952" hidden="1" customWidth="1" outlineLevel="1"/>
    <col min="112" max="112" width="26.109375" style="1952" hidden="1" customWidth="1" outlineLevel="1"/>
    <col min="113" max="116" width="12.88671875" style="1952" hidden="1" customWidth="1" outlineLevel="1"/>
    <col min="117" max="117" width="26.109375" style="1952" hidden="1" customWidth="1" outlineLevel="1"/>
    <col min="118" max="121" width="12.88671875" style="1952" hidden="1" customWidth="1" outlineLevel="1"/>
    <col min="122" max="122" width="26.109375" style="1952" hidden="1" customWidth="1" outlineLevel="1"/>
    <col min="123" max="126" width="12.88671875" style="1952" hidden="1" customWidth="1" outlineLevel="1"/>
    <col min="127" max="127" width="26.109375" style="1952" hidden="1" customWidth="1" outlineLevel="1"/>
    <col min="128" max="128" width="13.44140625" style="1952" customWidth="1" collapsed="1"/>
    <col min="129" max="131" width="13.44140625" style="1952" customWidth="1"/>
    <col min="132" max="132" width="14.33203125" style="1952" customWidth="1"/>
    <col min="133" max="133" width="2.88671875" style="1395"/>
    <col min="134" max="135" width="12.88671875" style="1952" customWidth="1"/>
    <col min="136" max="136" width="14.5546875" style="1952" customWidth="1"/>
    <col min="137" max="137" width="2.88671875" style="1395" customWidth="1" outlineLevel="1"/>
    <col min="138" max="138" width="11.6640625" style="1522" customWidth="1" outlineLevel="1"/>
    <col min="139" max="139" width="8.33203125" style="1395" customWidth="1" outlineLevel="1"/>
    <col min="140" max="140" width="8.44140625" style="1395" customWidth="1" outlineLevel="1"/>
    <col min="141" max="141" width="7.6640625" style="1395" bestFit="1" customWidth="1"/>
    <col min="142" max="16384" width="2.88671875" style="1395"/>
  </cols>
  <sheetData>
    <row r="1" spans="1:138" ht="13.8" thickBot="1">
      <c r="Y1" s="1592"/>
    </row>
    <row r="2" spans="1:138" ht="13.8">
      <c r="A2" s="4834" t="s">
        <v>85</v>
      </c>
      <c r="B2" s="4835"/>
      <c r="C2" s="4841" t="s">
        <v>465</v>
      </c>
      <c r="D2" s="4842"/>
      <c r="E2" s="4842"/>
      <c r="F2" s="4842"/>
      <c r="G2" s="4843"/>
      <c r="H2" s="4982" t="s">
        <v>969</v>
      </c>
      <c r="I2" s="4983"/>
      <c r="J2" s="4983"/>
      <c r="K2" s="4983"/>
      <c r="L2" s="4984"/>
      <c r="M2" s="4973" t="s">
        <v>466</v>
      </c>
      <c r="N2" s="4974"/>
      <c r="O2" s="4974"/>
      <c r="P2" s="4974"/>
      <c r="Q2" s="4975"/>
      <c r="R2" s="4898" t="s">
        <v>1009</v>
      </c>
      <c r="S2" s="4899"/>
      <c r="T2" s="4899"/>
      <c r="U2" s="4899"/>
      <c r="V2" s="4900"/>
      <c r="W2" s="4837" t="s">
        <v>1058</v>
      </c>
      <c r="X2" s="4838"/>
      <c r="Y2" s="4838"/>
      <c r="Z2" s="4838"/>
      <c r="AA2" s="4953"/>
      <c r="AB2" s="4892" t="s">
        <v>714</v>
      </c>
      <c r="AC2" s="4893"/>
      <c r="AD2" s="4893"/>
      <c r="AE2" s="4893"/>
      <c r="AF2" s="4184"/>
      <c r="AG2" s="4892" t="s">
        <v>770</v>
      </c>
      <c r="AH2" s="4893"/>
      <c r="AI2" s="4893"/>
      <c r="AJ2" s="4893"/>
      <c r="AK2" s="4184"/>
      <c r="AL2" s="4892" t="s">
        <v>1107</v>
      </c>
      <c r="AM2" s="4893"/>
      <c r="AN2" s="4893"/>
      <c r="AO2" s="4893"/>
      <c r="AP2" s="4894"/>
      <c r="AQ2" s="5054">
        <v>45200</v>
      </c>
      <c r="AR2" s="5055"/>
      <c r="AS2" s="5055"/>
      <c r="AT2" s="5055"/>
      <c r="AU2" s="5056"/>
      <c r="AV2" s="5101">
        <v>45231</v>
      </c>
      <c r="AW2" s="5102"/>
      <c r="AX2" s="5102"/>
      <c r="AY2" s="5102"/>
      <c r="AZ2" s="5103"/>
      <c r="BA2" s="5107">
        <v>45261</v>
      </c>
      <c r="BB2" s="5108"/>
      <c r="BC2" s="5108"/>
      <c r="BD2" s="5108"/>
      <c r="BE2" s="5109"/>
      <c r="BF2" s="5126">
        <v>2023</v>
      </c>
      <c r="BG2" s="5127"/>
      <c r="BH2" s="5127"/>
      <c r="BI2" s="5127"/>
      <c r="BJ2" s="5128"/>
      <c r="BK2" s="5132">
        <v>2024</v>
      </c>
      <c r="BL2" s="5133"/>
      <c r="BM2" s="5133"/>
      <c r="BN2" s="5133"/>
      <c r="BO2" s="5134"/>
      <c r="BP2" s="5150">
        <v>45292</v>
      </c>
      <c r="BQ2" s="5151"/>
      <c r="BR2" s="5151"/>
      <c r="BS2" s="5151"/>
      <c r="BT2" s="5152"/>
      <c r="BU2" s="5156">
        <v>45323</v>
      </c>
      <c r="BV2" s="5157"/>
      <c r="BW2" s="5157"/>
      <c r="BX2" s="5157"/>
      <c r="BY2" s="5158"/>
      <c r="BZ2" s="5018">
        <v>45352</v>
      </c>
      <c r="CA2" s="5019"/>
      <c r="CB2" s="5019"/>
      <c r="CC2" s="5019"/>
      <c r="CD2" s="5020"/>
      <c r="CE2" s="5054">
        <v>45383</v>
      </c>
      <c r="CF2" s="5055"/>
      <c r="CG2" s="5055"/>
      <c r="CH2" s="5055"/>
      <c r="CI2" s="5056"/>
      <c r="CJ2" s="5024">
        <v>45413</v>
      </c>
      <c r="CK2" s="5025"/>
      <c r="CL2" s="5025"/>
      <c r="CM2" s="5025"/>
      <c r="CN2" s="5026"/>
      <c r="CO2" s="5162">
        <v>45444</v>
      </c>
      <c r="CP2" s="5163"/>
      <c r="CQ2" s="5163"/>
      <c r="CR2" s="5163"/>
      <c r="CS2" s="5164"/>
      <c r="CT2" s="5048">
        <v>45474</v>
      </c>
      <c r="CU2" s="5049"/>
      <c r="CV2" s="5049"/>
      <c r="CW2" s="5049"/>
      <c r="CX2" s="5050"/>
      <c r="CY2" s="5138">
        <v>45505</v>
      </c>
      <c r="CZ2" s="5139"/>
      <c r="DA2" s="5139"/>
      <c r="DB2" s="5139"/>
      <c r="DC2" s="5140"/>
      <c r="DD2" s="5024">
        <v>45536</v>
      </c>
      <c r="DE2" s="5025"/>
      <c r="DF2" s="5025"/>
      <c r="DG2" s="5025"/>
      <c r="DH2" s="5026"/>
      <c r="DI2" s="5144">
        <v>45566</v>
      </c>
      <c r="DJ2" s="5145"/>
      <c r="DK2" s="5145"/>
      <c r="DL2" s="5145"/>
      <c r="DM2" s="5146"/>
      <c r="DN2" s="5030">
        <v>45597</v>
      </c>
      <c r="DO2" s="5031"/>
      <c r="DP2" s="5031"/>
      <c r="DQ2" s="5031"/>
      <c r="DR2" s="5032"/>
      <c r="DS2" s="5024">
        <v>45627</v>
      </c>
      <c r="DT2" s="5025"/>
      <c r="DU2" s="5025"/>
      <c r="DV2" s="5025"/>
      <c r="DW2" s="5026"/>
      <c r="DX2" s="4874" t="s">
        <v>1980</v>
      </c>
      <c r="DY2" s="4875"/>
      <c r="DZ2" s="4875"/>
      <c r="EA2" s="4875"/>
      <c r="EB2" s="4876"/>
      <c r="ED2" s="5168" t="s">
        <v>1825</v>
      </c>
      <c r="EE2" s="5169"/>
      <c r="EF2" s="5170"/>
    </row>
    <row r="3" spans="1:138" ht="14.4" thickBot="1">
      <c r="A3" s="4853" t="s">
        <v>54</v>
      </c>
      <c r="B3" s="4854"/>
      <c r="C3" s="4844"/>
      <c r="D3" s="4845"/>
      <c r="E3" s="4845"/>
      <c r="F3" s="4845"/>
      <c r="G3" s="4846"/>
      <c r="H3" s="4985"/>
      <c r="I3" s="4986"/>
      <c r="J3" s="4986"/>
      <c r="K3" s="4986"/>
      <c r="L3" s="4987"/>
      <c r="M3" s="4976"/>
      <c r="N3" s="4977"/>
      <c r="O3" s="4977"/>
      <c r="P3" s="4977"/>
      <c r="Q3" s="4978"/>
      <c r="R3" s="4901"/>
      <c r="S3" s="4902"/>
      <c r="T3" s="4902"/>
      <c r="U3" s="4902"/>
      <c r="V3" s="4903"/>
      <c r="W3" s="4839"/>
      <c r="X3" s="4840"/>
      <c r="Y3" s="4840"/>
      <c r="Z3" s="4840"/>
      <c r="AA3" s="4954"/>
      <c r="AB3" s="4895"/>
      <c r="AC3" s="4896"/>
      <c r="AD3" s="4896"/>
      <c r="AE3" s="4896"/>
      <c r="AF3" s="4185"/>
      <c r="AG3" s="4895"/>
      <c r="AH3" s="4896"/>
      <c r="AI3" s="4896"/>
      <c r="AJ3" s="4896"/>
      <c r="AK3" s="4185"/>
      <c r="AL3" s="4895"/>
      <c r="AM3" s="4896"/>
      <c r="AN3" s="4896"/>
      <c r="AO3" s="4896"/>
      <c r="AP3" s="4897"/>
      <c r="AQ3" s="5057"/>
      <c r="AR3" s="5058"/>
      <c r="AS3" s="5058"/>
      <c r="AT3" s="5058"/>
      <c r="AU3" s="5059"/>
      <c r="AV3" s="5104"/>
      <c r="AW3" s="5105"/>
      <c r="AX3" s="5105"/>
      <c r="AY3" s="5105"/>
      <c r="AZ3" s="5106"/>
      <c r="BA3" s="5110"/>
      <c r="BB3" s="5111"/>
      <c r="BC3" s="5111"/>
      <c r="BD3" s="5111"/>
      <c r="BE3" s="5112"/>
      <c r="BF3" s="5129"/>
      <c r="BG3" s="5130"/>
      <c r="BH3" s="5130"/>
      <c r="BI3" s="5130"/>
      <c r="BJ3" s="5131"/>
      <c r="BK3" s="5135"/>
      <c r="BL3" s="5136"/>
      <c r="BM3" s="5136"/>
      <c r="BN3" s="5136"/>
      <c r="BO3" s="5137"/>
      <c r="BP3" s="5153"/>
      <c r="BQ3" s="5154"/>
      <c r="BR3" s="5154"/>
      <c r="BS3" s="5154"/>
      <c r="BT3" s="5155"/>
      <c r="BU3" s="5159"/>
      <c r="BV3" s="5160"/>
      <c r="BW3" s="5160"/>
      <c r="BX3" s="5160"/>
      <c r="BY3" s="5161"/>
      <c r="BZ3" s="5021"/>
      <c r="CA3" s="5022"/>
      <c r="CB3" s="5022"/>
      <c r="CC3" s="5022"/>
      <c r="CD3" s="5023"/>
      <c r="CE3" s="5057"/>
      <c r="CF3" s="5058"/>
      <c r="CG3" s="5058"/>
      <c r="CH3" s="5058"/>
      <c r="CI3" s="5059"/>
      <c r="CJ3" s="5027"/>
      <c r="CK3" s="5028"/>
      <c r="CL3" s="5028"/>
      <c r="CM3" s="5028"/>
      <c r="CN3" s="5029"/>
      <c r="CO3" s="5165"/>
      <c r="CP3" s="5166"/>
      <c r="CQ3" s="5166"/>
      <c r="CR3" s="5166"/>
      <c r="CS3" s="5167"/>
      <c r="CT3" s="5051"/>
      <c r="CU3" s="5052"/>
      <c r="CV3" s="5052"/>
      <c r="CW3" s="5052"/>
      <c r="CX3" s="5053"/>
      <c r="CY3" s="5141"/>
      <c r="CZ3" s="5142"/>
      <c r="DA3" s="5142"/>
      <c r="DB3" s="5142"/>
      <c r="DC3" s="5143"/>
      <c r="DD3" s="5027"/>
      <c r="DE3" s="5028"/>
      <c r="DF3" s="5028"/>
      <c r="DG3" s="5028"/>
      <c r="DH3" s="5029"/>
      <c r="DI3" s="5147"/>
      <c r="DJ3" s="5148"/>
      <c r="DK3" s="5148"/>
      <c r="DL3" s="5148"/>
      <c r="DM3" s="5149"/>
      <c r="DN3" s="5033"/>
      <c r="DO3" s="5034"/>
      <c r="DP3" s="5034"/>
      <c r="DQ3" s="5034"/>
      <c r="DR3" s="5035"/>
      <c r="DS3" s="5027"/>
      <c r="DT3" s="5028"/>
      <c r="DU3" s="5028"/>
      <c r="DV3" s="5028"/>
      <c r="DW3" s="5029"/>
      <c r="DX3" s="4877"/>
      <c r="DY3" s="4878"/>
      <c r="DZ3" s="4878"/>
      <c r="EA3" s="4878"/>
      <c r="EB3" s="4879"/>
      <c r="ED3" s="5171"/>
      <c r="EE3" s="5172"/>
      <c r="EF3" s="5173"/>
    </row>
    <row r="4" spans="1:138" ht="92.4"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O4" s="1956" t="s">
        <v>55</v>
      </c>
      <c r="CP4" s="1956" t="s">
        <v>18</v>
      </c>
      <c r="CQ4" s="1474" t="s">
        <v>39</v>
      </c>
      <c r="CR4" s="1962" t="s">
        <v>40</v>
      </c>
      <c r="CS4" s="1474" t="s">
        <v>19</v>
      </c>
      <c r="CT4" s="1956" t="s">
        <v>55</v>
      </c>
      <c r="CU4" s="1956" t="s">
        <v>18</v>
      </c>
      <c r="CV4" s="1474" t="s">
        <v>39</v>
      </c>
      <c r="CW4" s="1962" t="s">
        <v>40</v>
      </c>
      <c r="CX4" s="1474" t="s">
        <v>19</v>
      </c>
      <c r="CY4" s="1956" t="s">
        <v>55</v>
      </c>
      <c r="CZ4" s="1956" t="s">
        <v>18</v>
      </c>
      <c r="DA4" s="1474" t="s">
        <v>39</v>
      </c>
      <c r="DB4" s="1962" t="s">
        <v>40</v>
      </c>
      <c r="DC4" s="1474" t="s">
        <v>19</v>
      </c>
      <c r="DD4" s="1956" t="s">
        <v>55</v>
      </c>
      <c r="DE4" s="1956" t="s">
        <v>18</v>
      </c>
      <c r="DF4" s="1474" t="s">
        <v>39</v>
      </c>
      <c r="DG4" s="1962" t="s">
        <v>40</v>
      </c>
      <c r="DH4" s="1474" t="s">
        <v>19</v>
      </c>
      <c r="DI4" s="1956" t="s">
        <v>55</v>
      </c>
      <c r="DJ4" s="1956" t="s">
        <v>18</v>
      </c>
      <c r="DK4" s="1474" t="s">
        <v>39</v>
      </c>
      <c r="DL4" s="1962" t="s">
        <v>40</v>
      </c>
      <c r="DM4" s="1474" t="s">
        <v>19</v>
      </c>
      <c r="DN4" s="1956" t="s">
        <v>55</v>
      </c>
      <c r="DO4" s="1956" t="s">
        <v>18</v>
      </c>
      <c r="DP4" s="1474" t="s">
        <v>39</v>
      </c>
      <c r="DQ4" s="1962" t="s">
        <v>40</v>
      </c>
      <c r="DR4" s="1474" t="s">
        <v>19</v>
      </c>
      <c r="DS4" s="1956" t="s">
        <v>55</v>
      </c>
      <c r="DT4" s="1956" t="s">
        <v>18</v>
      </c>
      <c r="DU4" s="1474" t="s">
        <v>39</v>
      </c>
      <c r="DV4" s="1962" t="s">
        <v>40</v>
      </c>
      <c r="DW4" s="1474" t="s">
        <v>19</v>
      </c>
      <c r="DX4" s="1956" t="s">
        <v>55</v>
      </c>
      <c r="DY4" s="1956" t="s">
        <v>18</v>
      </c>
      <c r="DZ4" s="1474" t="s">
        <v>39</v>
      </c>
      <c r="EA4" s="1962" t="s">
        <v>40</v>
      </c>
      <c r="EB4" s="1474" t="s">
        <v>19</v>
      </c>
      <c r="ED4" s="1474" t="s">
        <v>1850</v>
      </c>
      <c r="EE4" s="1474" t="s">
        <v>1919</v>
      </c>
      <c r="EF4" s="1474" t="s">
        <v>1826</v>
      </c>
    </row>
    <row r="5" spans="1:138" s="1396" customFormat="1" ht="14.4" thickBot="1">
      <c r="A5" s="1462"/>
      <c r="B5" s="1463" t="s">
        <v>10</v>
      </c>
      <c r="C5" s="1466">
        <f>C6</f>
        <v>2295321.7567999996</v>
      </c>
      <c r="D5" s="1466">
        <f>D6</f>
        <v>150000</v>
      </c>
      <c r="E5" s="1466">
        <f>E6</f>
        <v>2445321.7567999996</v>
      </c>
      <c r="F5" s="1466"/>
      <c r="G5" s="1466"/>
      <c r="H5" s="1466">
        <v>1590102.8520000002</v>
      </c>
      <c r="I5" s="1466">
        <v>0</v>
      </c>
      <c r="J5" s="1466">
        <v>1590102.8520000002</v>
      </c>
      <c r="K5" s="1466"/>
      <c r="L5" s="1466"/>
      <c r="M5" s="1466">
        <f>M6</f>
        <v>0</v>
      </c>
      <c r="N5" s="1466">
        <f>N6</f>
        <v>0</v>
      </c>
      <c r="O5" s="1466">
        <f>O6</f>
        <v>0</v>
      </c>
      <c r="P5" s="1466"/>
      <c r="Q5" s="1466"/>
      <c r="R5" s="1466">
        <f>R6</f>
        <v>0</v>
      </c>
      <c r="S5" s="1466">
        <f>S6</f>
        <v>0</v>
      </c>
      <c r="T5" s="1466">
        <f>T6</f>
        <v>0</v>
      </c>
      <c r="U5" s="1466"/>
      <c r="V5" s="1466"/>
      <c r="W5" s="1466">
        <f>W6</f>
        <v>0</v>
      </c>
      <c r="X5" s="1466">
        <f>X6</f>
        <v>0</v>
      </c>
      <c r="Y5" s="1466">
        <f>Y6</f>
        <v>0</v>
      </c>
      <c r="Z5" s="1466"/>
      <c r="AA5" s="1466"/>
      <c r="AB5" s="1466">
        <f>AB6</f>
        <v>0</v>
      </c>
      <c r="AC5" s="1466">
        <f>AC6</f>
        <v>0</v>
      </c>
      <c r="AD5" s="1466">
        <f>AD6</f>
        <v>0</v>
      </c>
      <c r="AE5" s="1466"/>
      <c r="AF5" s="1466"/>
      <c r="AG5" s="1466">
        <f>AG6</f>
        <v>0</v>
      </c>
      <c r="AH5" s="1466">
        <f>AH6</f>
        <v>0</v>
      </c>
      <c r="AI5" s="1466">
        <f>AI6</f>
        <v>0</v>
      </c>
      <c r="AJ5" s="1466"/>
      <c r="AK5" s="1466"/>
      <c r="AL5" s="1466">
        <f>AL6</f>
        <v>0</v>
      </c>
      <c r="AM5" s="1466">
        <f>AM6</f>
        <v>0</v>
      </c>
      <c r="AN5" s="1466">
        <f>AN6</f>
        <v>0</v>
      </c>
      <c r="AO5" s="1466"/>
      <c r="AP5" s="1466"/>
      <c r="AQ5" s="1466">
        <f>AQ6</f>
        <v>0</v>
      </c>
      <c r="AR5" s="1466">
        <f>AR6</f>
        <v>0</v>
      </c>
      <c r="AS5" s="1466">
        <f>AS6+AS7</f>
        <v>0</v>
      </c>
      <c r="AT5" s="1466"/>
      <c r="AU5" s="1466"/>
      <c r="AV5" s="1466">
        <f>AV6</f>
        <v>0</v>
      </c>
      <c r="AW5" s="1466">
        <f>AW6</f>
        <v>0</v>
      </c>
      <c r="AX5" s="1466">
        <f>AX6+AX7</f>
        <v>0</v>
      </c>
      <c r="AY5" s="1466"/>
      <c r="AZ5" s="1466"/>
      <c r="BA5" s="1466">
        <f>BA6</f>
        <v>0</v>
      </c>
      <c r="BB5" s="1466">
        <f>BB6</f>
        <v>0</v>
      </c>
      <c r="BC5" s="1466">
        <f>BC6+BC7</f>
        <v>0</v>
      </c>
      <c r="BD5" s="1466"/>
      <c r="BE5" s="1466"/>
      <c r="BF5" s="1466">
        <f>BF6</f>
        <v>0</v>
      </c>
      <c r="BG5" s="1466">
        <f>BG6</f>
        <v>0</v>
      </c>
      <c r="BH5" s="1466">
        <f>BH6+BH7</f>
        <v>0</v>
      </c>
      <c r="BI5" s="1466"/>
      <c r="BJ5" s="1466"/>
      <c r="BK5" s="1466">
        <f>BK6</f>
        <v>1041805.5</v>
      </c>
      <c r="BL5" s="1466">
        <f>BL6</f>
        <v>0</v>
      </c>
      <c r="BM5" s="1466">
        <f>BM6+BM7</f>
        <v>1041805.5</v>
      </c>
      <c r="BN5" s="1466"/>
      <c r="BO5" s="1466"/>
      <c r="BP5" s="1466">
        <f>BP6</f>
        <v>0</v>
      </c>
      <c r="BQ5" s="1466">
        <f>BQ6</f>
        <v>0</v>
      </c>
      <c r="BR5" s="1466">
        <f>BR6+BR7</f>
        <v>0</v>
      </c>
      <c r="BS5" s="1466"/>
      <c r="BT5" s="1466"/>
      <c r="BU5" s="1466">
        <f>BU6</f>
        <v>0</v>
      </c>
      <c r="BV5" s="1466">
        <f>BV6</f>
        <v>0</v>
      </c>
      <c r="BW5" s="1466">
        <f>BW6+BW7</f>
        <v>0</v>
      </c>
      <c r="BX5" s="1466"/>
      <c r="BY5" s="1466"/>
      <c r="BZ5" s="1466">
        <f>BZ6</f>
        <v>1041805.5</v>
      </c>
      <c r="CA5" s="1466">
        <f>CA6</f>
        <v>0</v>
      </c>
      <c r="CB5" s="1466">
        <f>CB6+CB7</f>
        <v>1041805.5</v>
      </c>
      <c r="CC5" s="1466"/>
      <c r="CD5" s="1466"/>
      <c r="CE5" s="1466">
        <f>CE6</f>
        <v>0</v>
      </c>
      <c r="CF5" s="1466">
        <f>CF6</f>
        <v>0</v>
      </c>
      <c r="CG5" s="1466">
        <f>CG6+CG7</f>
        <v>0</v>
      </c>
      <c r="CH5" s="1466"/>
      <c r="CI5" s="1466"/>
      <c r="CJ5" s="1466">
        <f>CJ6</f>
        <v>0</v>
      </c>
      <c r="CK5" s="1466">
        <f>CK6</f>
        <v>0</v>
      </c>
      <c r="CL5" s="1466">
        <f>CL6+CL7</f>
        <v>0</v>
      </c>
      <c r="CM5" s="1466"/>
      <c r="CN5" s="1466"/>
      <c r="CO5" s="1466">
        <f>CO6</f>
        <v>0</v>
      </c>
      <c r="CP5" s="1466">
        <f>CP6</f>
        <v>0</v>
      </c>
      <c r="CQ5" s="1466">
        <f>CQ6+CQ7</f>
        <v>0</v>
      </c>
      <c r="CR5" s="1466"/>
      <c r="CS5" s="1466"/>
      <c r="CT5" s="1466">
        <f>CT6</f>
        <v>0</v>
      </c>
      <c r="CU5" s="1466">
        <f>CU6</f>
        <v>0</v>
      </c>
      <c r="CV5" s="1466">
        <f>CV6+CV7</f>
        <v>0</v>
      </c>
      <c r="CW5" s="1466"/>
      <c r="CX5" s="1466"/>
      <c r="CY5" s="1466">
        <f>CY6</f>
        <v>0</v>
      </c>
      <c r="CZ5" s="1466">
        <f>CZ6</f>
        <v>0</v>
      </c>
      <c r="DA5" s="1466">
        <f>DA6+DA7</f>
        <v>0</v>
      </c>
      <c r="DB5" s="1466"/>
      <c r="DC5" s="1466"/>
      <c r="DD5" s="1466">
        <f>DD6</f>
        <v>0</v>
      </c>
      <c r="DE5" s="1466">
        <f>DE6</f>
        <v>0</v>
      </c>
      <c r="DF5" s="1466">
        <f>DF6+DF7</f>
        <v>0</v>
      </c>
      <c r="DG5" s="1466"/>
      <c r="DH5" s="1466"/>
      <c r="DI5" s="1466">
        <f>DI6</f>
        <v>0</v>
      </c>
      <c r="DJ5" s="1466">
        <f>DJ6</f>
        <v>0</v>
      </c>
      <c r="DK5" s="1466">
        <f>DK6+DK7</f>
        <v>0</v>
      </c>
      <c r="DL5" s="1466"/>
      <c r="DM5" s="1466"/>
      <c r="DN5" s="1466">
        <f>DN6</f>
        <v>0</v>
      </c>
      <c r="DO5" s="1466">
        <f>DO6</f>
        <v>0</v>
      </c>
      <c r="DP5" s="1466">
        <f>DP6+DP7</f>
        <v>0</v>
      </c>
      <c r="DQ5" s="1466"/>
      <c r="DR5" s="1466"/>
      <c r="DS5" s="1466">
        <f>DS6</f>
        <v>0</v>
      </c>
      <c r="DT5" s="1466">
        <f>DT6</f>
        <v>0</v>
      </c>
      <c r="DU5" s="1466">
        <f>DU6+DU7</f>
        <v>0</v>
      </c>
      <c r="DV5" s="1466"/>
      <c r="DW5" s="1466"/>
      <c r="DX5" s="1466">
        <f>DX6</f>
        <v>1041805.5</v>
      </c>
      <c r="DY5" s="1466">
        <f>DY6</f>
        <v>0</v>
      </c>
      <c r="DZ5" s="1466">
        <f>DZ6</f>
        <v>1041805.5</v>
      </c>
      <c r="EA5" s="1466"/>
      <c r="EB5" s="1466"/>
      <c r="ED5" s="1955">
        <f>ED6</f>
        <v>1190228</v>
      </c>
      <c r="EE5" s="1955">
        <f>EE6</f>
        <v>1041805.5</v>
      </c>
      <c r="EF5" s="3440">
        <f>EF6</f>
        <v>148422.5</v>
      </c>
      <c r="EH5" s="2624"/>
    </row>
    <row r="6" spans="1:138" s="1396" customFormat="1" ht="13.8" outlineLevel="1">
      <c r="A6" s="1571"/>
      <c r="B6" s="1403" t="s">
        <v>17</v>
      </c>
      <c r="C6" s="3341">
        <v>2295321.7567999996</v>
      </c>
      <c r="D6" s="3341">
        <v>150000</v>
      </c>
      <c r="E6" s="2012">
        <f>C6+D6</f>
        <v>2445321.7567999996</v>
      </c>
      <c r="F6" s="3341"/>
      <c r="G6" s="3341"/>
      <c r="H6" s="3341">
        <v>1590102.8520000002</v>
      </c>
      <c r="I6" s="3341">
        <v>0</v>
      </c>
      <c r="J6" s="2012">
        <v>1590102.8520000002</v>
      </c>
      <c r="K6" s="3341"/>
      <c r="L6" s="3341"/>
      <c r="M6" s="3341"/>
      <c r="N6" s="3341"/>
      <c r="O6" s="2012">
        <f>M6+N6</f>
        <v>0</v>
      </c>
      <c r="P6" s="3341"/>
      <c r="Q6" s="3341"/>
      <c r="R6" s="3341"/>
      <c r="S6" s="3341"/>
      <c r="T6" s="2012">
        <f>R6+S6</f>
        <v>0</v>
      </c>
      <c r="U6" s="3341"/>
      <c r="V6" s="3341"/>
      <c r="W6" s="3341"/>
      <c r="X6" s="3341"/>
      <c r="Y6" s="2012">
        <f>W6+X6</f>
        <v>0</v>
      </c>
      <c r="Z6" s="3341"/>
      <c r="AA6" s="3342"/>
      <c r="AB6" s="3341"/>
      <c r="AC6" s="3341"/>
      <c r="AD6" s="2012">
        <f>AB6+AC6</f>
        <v>0</v>
      </c>
      <c r="AE6" s="3341"/>
      <c r="AF6" s="3342"/>
      <c r="AG6" s="3341"/>
      <c r="AH6" s="3341"/>
      <c r="AI6" s="2012">
        <f>AG6+AH6</f>
        <v>0</v>
      </c>
      <c r="AJ6" s="3341"/>
      <c r="AK6" s="3342"/>
      <c r="AL6" s="3341"/>
      <c r="AM6" s="3341"/>
      <c r="AN6" s="2012">
        <f>AL6+AM6</f>
        <v>0</v>
      </c>
      <c r="AO6" s="3341"/>
      <c r="AP6" s="3342"/>
      <c r="AQ6" s="3341"/>
      <c r="AR6" s="3341"/>
      <c r="AS6" s="2012">
        <f t="shared" ref="AS6:AS7" si="0">AQ6+AR6</f>
        <v>0</v>
      </c>
      <c r="AT6" s="3341"/>
      <c r="AU6" s="3342"/>
      <c r="AV6" s="3341"/>
      <c r="AW6" s="3341"/>
      <c r="AX6" s="2012">
        <f>AV6+AW6</f>
        <v>0</v>
      </c>
      <c r="AY6" s="3341"/>
      <c r="AZ6" s="3342"/>
      <c r="BA6" s="3341"/>
      <c r="BB6" s="3341"/>
      <c r="BC6" s="2012">
        <f t="shared" ref="BC6:BC7" si="1">BA6+BB6</f>
        <v>0</v>
      </c>
      <c r="BD6" s="3341"/>
      <c r="BE6" s="3342"/>
      <c r="BF6" s="3342">
        <f>BA6+AV6+AQ6</f>
        <v>0</v>
      </c>
      <c r="BG6" s="3342">
        <f>BB6+AW6+AR6</f>
        <v>0</v>
      </c>
      <c r="BH6" s="2012">
        <f t="shared" ref="BH6:BH7" si="2">BF6+BG6</f>
        <v>0</v>
      </c>
      <c r="BI6" s="3342"/>
      <c r="BJ6" s="3342"/>
      <c r="BK6" s="3342">
        <f>BP6+BU6+BZ6+CJ6+CO6+CT6+CY6+DD6+DI6+DN6+DS6+CE6</f>
        <v>1041805.5</v>
      </c>
      <c r="BL6" s="3342">
        <f>BQ6+BV6+CA6+CK6+CP6+CU6+CZ6+DE6+DJ6+DO6+DT6+CF6</f>
        <v>0</v>
      </c>
      <c r="BM6" s="2012">
        <f t="shared" ref="BM6:BM7" si="3">BK6+BL6</f>
        <v>1041805.5</v>
      </c>
      <c r="BN6" s="3342"/>
      <c r="BO6" s="3342"/>
      <c r="BP6" s="3341"/>
      <c r="BQ6" s="3341"/>
      <c r="BR6" s="2012">
        <f t="shared" ref="BR6:BR7" si="4">BP6+BQ6</f>
        <v>0</v>
      </c>
      <c r="BS6" s="3341"/>
      <c r="BT6" s="3342"/>
      <c r="BU6" s="3341"/>
      <c r="BV6" s="3341"/>
      <c r="BW6" s="2012">
        <f t="shared" ref="BW6:BW7" si="5">BU6+BV6</f>
        <v>0</v>
      </c>
      <c r="BX6" s="3341"/>
      <c r="BY6" s="3342"/>
      <c r="BZ6" s="3341">
        <f>925270+26000+90535.5</f>
        <v>1041805.5</v>
      </c>
      <c r="CA6" s="3341"/>
      <c r="CB6" s="2012">
        <f t="shared" ref="CB6:CB7" si="6">BZ6+CA6</f>
        <v>1041805.5</v>
      </c>
      <c r="CC6" s="3341"/>
      <c r="CD6" s="3342"/>
      <c r="CE6" s="3341"/>
      <c r="CF6" s="3341"/>
      <c r="CG6" s="2012">
        <f t="shared" ref="CG6:CG7" si="7">CE6+CF6</f>
        <v>0</v>
      </c>
      <c r="CH6" s="3341"/>
      <c r="CI6" s="3342"/>
      <c r="CJ6" s="3341"/>
      <c r="CK6" s="3341"/>
      <c r="CL6" s="2012">
        <f t="shared" ref="CL6:CL7" si="8">CJ6+CK6</f>
        <v>0</v>
      </c>
      <c r="CM6" s="3341"/>
      <c r="CN6" s="3342"/>
      <c r="CO6" s="3341"/>
      <c r="CP6" s="3341"/>
      <c r="CQ6" s="2012">
        <f t="shared" ref="CQ6:CQ7" si="9">CO6+CP6</f>
        <v>0</v>
      </c>
      <c r="CR6" s="3341"/>
      <c r="CS6" s="3342"/>
      <c r="CT6" s="3341"/>
      <c r="CU6" s="3341"/>
      <c r="CV6" s="2012">
        <f t="shared" ref="CV6:CV7" si="10">CT6+CU6</f>
        <v>0</v>
      </c>
      <c r="CW6" s="3341"/>
      <c r="CX6" s="3342"/>
      <c r="CY6" s="3341"/>
      <c r="CZ6" s="3341"/>
      <c r="DA6" s="2012">
        <f t="shared" ref="DA6:DA7" si="11">CY6+CZ6</f>
        <v>0</v>
      </c>
      <c r="DB6" s="3341"/>
      <c r="DC6" s="3342"/>
      <c r="DD6" s="3341"/>
      <c r="DE6" s="3341"/>
      <c r="DF6" s="2012">
        <f t="shared" ref="DF6:DF7" si="12">DD6+DE6</f>
        <v>0</v>
      </c>
      <c r="DG6" s="3341"/>
      <c r="DH6" s="3342"/>
      <c r="DI6" s="3341"/>
      <c r="DJ6" s="3341"/>
      <c r="DK6" s="2012">
        <f t="shared" ref="DK6:DK7" si="13">DI6+DJ6</f>
        <v>0</v>
      </c>
      <c r="DL6" s="3341"/>
      <c r="DM6" s="3342"/>
      <c r="DN6" s="3341"/>
      <c r="DO6" s="3341"/>
      <c r="DP6" s="2012">
        <f t="shared" ref="DP6:DP7" si="14">DN6+DO6</f>
        <v>0</v>
      </c>
      <c r="DQ6" s="3341"/>
      <c r="DR6" s="3342"/>
      <c r="DS6" s="3341"/>
      <c r="DT6" s="3341"/>
      <c r="DU6" s="2012">
        <f t="shared" ref="DU6:DU7" si="15">DS6+DT6</f>
        <v>0</v>
      </c>
      <c r="DV6" s="3341"/>
      <c r="DW6" s="3342"/>
      <c r="DX6" s="3341">
        <f>AQ6+AV6+BA6+BK6</f>
        <v>1041805.5</v>
      </c>
      <c r="DY6" s="3341">
        <f>AR6+AW6+BB6+BL6</f>
        <v>0</v>
      </c>
      <c r="DZ6" s="2012">
        <f>DX6+DY6</f>
        <v>1041805.5</v>
      </c>
      <c r="EA6" s="3341"/>
      <c r="EB6" s="3341"/>
      <c r="ED6" s="2012">
        <v>1190228</v>
      </c>
      <c r="EE6" s="2012">
        <f>DZ6</f>
        <v>1041805.5</v>
      </c>
      <c r="EF6" s="4188">
        <f>ED6-EE6</f>
        <v>148422.5</v>
      </c>
      <c r="EG6" s="3307"/>
      <c r="EH6" s="4189">
        <f>-EF6/ED6</f>
        <v>-0.12470089764314064</v>
      </c>
    </row>
    <row r="7" spans="1:138" s="1396" customFormat="1" ht="14.4" outlineLevel="1" collapsed="1" thickBot="1">
      <c r="A7" s="1571"/>
      <c r="B7" s="4072" t="s">
        <v>41</v>
      </c>
      <c r="C7" s="3341">
        <v>0</v>
      </c>
      <c r="D7" s="3341">
        <v>0</v>
      </c>
      <c r="E7" s="2012">
        <f>C7+D7</f>
        <v>0</v>
      </c>
      <c r="F7" s="4073"/>
      <c r="G7" s="4073"/>
      <c r="H7" s="3341">
        <v>0</v>
      </c>
      <c r="I7" s="3341">
        <v>0</v>
      </c>
      <c r="J7" s="2012">
        <v>0</v>
      </c>
      <c r="K7" s="4073"/>
      <c r="L7" s="3345"/>
      <c r="M7" s="3341"/>
      <c r="N7" s="3341"/>
      <c r="O7" s="2012">
        <f>M7+N7</f>
        <v>0</v>
      </c>
      <c r="P7" s="4073"/>
      <c r="Q7" s="4073"/>
      <c r="R7" s="3341"/>
      <c r="S7" s="3341"/>
      <c r="T7" s="2012">
        <f>R7+S7</f>
        <v>0</v>
      </c>
      <c r="U7" s="4073"/>
      <c r="V7" s="4073"/>
      <c r="W7" s="3341"/>
      <c r="X7" s="3341"/>
      <c r="Y7" s="2012">
        <f>W7+X7</f>
        <v>0</v>
      </c>
      <c r="Z7" s="4073"/>
      <c r="AA7" s="4073"/>
      <c r="AB7" s="3341"/>
      <c r="AC7" s="3341"/>
      <c r="AD7" s="2012">
        <f>AB7+AC7</f>
        <v>0</v>
      </c>
      <c r="AE7" s="4073"/>
      <c r="AF7" s="4073"/>
      <c r="AG7" s="3341"/>
      <c r="AH7" s="3341"/>
      <c r="AI7" s="2012">
        <f>AG7+AH7</f>
        <v>0</v>
      </c>
      <c r="AJ7" s="4073"/>
      <c r="AK7" s="4073"/>
      <c r="AL7" s="3341"/>
      <c r="AM7" s="3341"/>
      <c r="AN7" s="2012">
        <f>AL7+AM7</f>
        <v>0</v>
      </c>
      <c r="AO7" s="4073"/>
      <c r="AP7" s="4073"/>
      <c r="AQ7" s="3341"/>
      <c r="AR7" s="3341"/>
      <c r="AS7" s="2012">
        <f t="shared" si="0"/>
        <v>0</v>
      </c>
      <c r="AT7" s="4073"/>
      <c r="AU7" s="4073"/>
      <c r="AV7" s="3341"/>
      <c r="AW7" s="3341"/>
      <c r="AX7" s="2012">
        <f>AV7+AW7</f>
        <v>0</v>
      </c>
      <c r="AY7" s="4073"/>
      <c r="AZ7" s="4073"/>
      <c r="BA7" s="3341"/>
      <c r="BB7" s="3341"/>
      <c r="BC7" s="2012">
        <f t="shared" si="1"/>
        <v>0</v>
      </c>
      <c r="BD7" s="4073"/>
      <c r="BE7" s="4073"/>
      <c r="BF7" s="3342">
        <f>BA7+AV7+AQ7</f>
        <v>0</v>
      </c>
      <c r="BG7" s="3342">
        <f>BB7+AW7+AR7</f>
        <v>0</v>
      </c>
      <c r="BH7" s="2012">
        <f t="shared" si="2"/>
        <v>0</v>
      </c>
      <c r="BI7" s="3345"/>
      <c r="BJ7" s="3345"/>
      <c r="BK7" s="3342">
        <f>BP7+BU7+BZ7+CJ7+CO7+CT7+CY7+DD7+DI7+DN7+DS7+CE7</f>
        <v>0</v>
      </c>
      <c r="BL7" s="3342">
        <f>BQ7+BV7+CA7+CK7+CP7+CU7+CZ7+DE7+DJ7+DO7+DT7+CF7</f>
        <v>0</v>
      </c>
      <c r="BM7" s="2012">
        <f t="shared" si="3"/>
        <v>0</v>
      </c>
      <c r="BN7" s="3345"/>
      <c r="BO7" s="3345"/>
      <c r="BP7" s="3341"/>
      <c r="BQ7" s="3341"/>
      <c r="BR7" s="2012">
        <f t="shared" si="4"/>
        <v>0</v>
      </c>
      <c r="BS7" s="4073"/>
      <c r="BT7" s="4073"/>
      <c r="BU7" s="3341"/>
      <c r="BV7" s="3341"/>
      <c r="BW7" s="2012">
        <f t="shared" si="5"/>
        <v>0</v>
      </c>
      <c r="BX7" s="4073"/>
      <c r="BY7" s="4073"/>
      <c r="BZ7" s="3341"/>
      <c r="CA7" s="3341"/>
      <c r="CB7" s="2012">
        <f t="shared" si="6"/>
        <v>0</v>
      </c>
      <c r="CC7" s="4073"/>
      <c r="CD7" s="4073"/>
      <c r="CE7" s="3341"/>
      <c r="CF7" s="3341"/>
      <c r="CG7" s="2012">
        <f t="shared" si="7"/>
        <v>0</v>
      </c>
      <c r="CH7" s="4073"/>
      <c r="CI7" s="4073"/>
      <c r="CJ7" s="3341"/>
      <c r="CK7" s="3341"/>
      <c r="CL7" s="2012">
        <f t="shared" si="8"/>
        <v>0</v>
      </c>
      <c r="CM7" s="4073"/>
      <c r="CN7" s="4073"/>
      <c r="CO7" s="3341"/>
      <c r="CP7" s="3341"/>
      <c r="CQ7" s="2012">
        <f t="shared" si="9"/>
        <v>0</v>
      </c>
      <c r="CR7" s="4073"/>
      <c r="CS7" s="4073"/>
      <c r="CT7" s="3341"/>
      <c r="CU7" s="3341"/>
      <c r="CV7" s="2012">
        <f t="shared" si="10"/>
        <v>0</v>
      </c>
      <c r="CW7" s="4073"/>
      <c r="CX7" s="4073"/>
      <c r="CY7" s="3341"/>
      <c r="CZ7" s="3341"/>
      <c r="DA7" s="2012">
        <f t="shared" si="11"/>
        <v>0</v>
      </c>
      <c r="DB7" s="4073"/>
      <c r="DC7" s="4073"/>
      <c r="DD7" s="3341"/>
      <c r="DE7" s="3341"/>
      <c r="DF7" s="2012">
        <f t="shared" si="12"/>
        <v>0</v>
      </c>
      <c r="DG7" s="4073"/>
      <c r="DH7" s="4073"/>
      <c r="DI7" s="3341"/>
      <c r="DJ7" s="3341"/>
      <c r="DK7" s="2012">
        <f t="shared" si="13"/>
        <v>0</v>
      </c>
      <c r="DL7" s="4073"/>
      <c r="DM7" s="4073"/>
      <c r="DN7" s="3341"/>
      <c r="DO7" s="3341"/>
      <c r="DP7" s="2012">
        <f t="shared" si="14"/>
        <v>0</v>
      </c>
      <c r="DQ7" s="4073"/>
      <c r="DR7" s="4073"/>
      <c r="DS7" s="3341"/>
      <c r="DT7" s="3341"/>
      <c r="DU7" s="2012">
        <f t="shared" si="15"/>
        <v>0</v>
      </c>
      <c r="DV7" s="4073"/>
      <c r="DW7" s="4073"/>
      <c r="DX7" s="3341">
        <f>AQ7+AV7+BA7+BK7</f>
        <v>0</v>
      </c>
      <c r="DY7" s="3341">
        <f>AR7+AW7+BB7+BL7</f>
        <v>0</v>
      </c>
      <c r="DZ7" s="2012">
        <f>DX7+DY7</f>
        <v>0</v>
      </c>
      <c r="EA7" s="4073"/>
      <c r="EB7" s="4073"/>
      <c r="ED7" s="2012"/>
      <c r="EE7" s="2012"/>
      <c r="EF7" s="3442"/>
      <c r="EH7" s="2624"/>
    </row>
    <row r="8" spans="1:138" s="1396" customFormat="1" ht="14.4" outlineLevel="1" thickBot="1">
      <c r="A8" s="1571"/>
      <c r="B8" s="1463" t="s">
        <v>16</v>
      </c>
      <c r="C8" s="1957">
        <f>SUM(C9:C33)</f>
        <v>1157888.4422500001</v>
      </c>
      <c r="D8" s="1957">
        <f>SUM(D9:D33)</f>
        <v>876729.66</v>
      </c>
      <c r="E8" s="1484">
        <f>SUM(E9:E33)</f>
        <v>2034618.10225</v>
      </c>
      <c r="F8" s="1528">
        <f t="shared" ref="F8:F21" si="16">E8/$E$89</f>
        <v>0.93996960063253987</v>
      </c>
      <c r="G8" s="1466"/>
      <c r="H8" s="1957">
        <v>564188.94559999998</v>
      </c>
      <c r="I8" s="1957">
        <v>212368.56</v>
      </c>
      <c r="J8" s="1484">
        <v>776557.50560000003</v>
      </c>
      <c r="K8" s="1528">
        <v>0.88821656859333631</v>
      </c>
      <c r="L8" s="1966"/>
      <c r="M8" s="1957">
        <f>SUM(M9:M33)</f>
        <v>0</v>
      </c>
      <c r="N8" s="1957">
        <f>SUM(N9:N33)</f>
        <v>6300</v>
      </c>
      <c r="O8" s="1484">
        <f>SUM(O9:O33)</f>
        <v>6300</v>
      </c>
      <c r="P8" s="1528">
        <f t="shared" ref="P8:P21" si="17">O8/$O$89</f>
        <v>0.89970696736128708</v>
      </c>
      <c r="Q8" s="1466"/>
      <c r="R8" s="1957">
        <f>SUM(R9:R33)</f>
        <v>0</v>
      </c>
      <c r="S8" s="1957">
        <f>SUM(S9:S33)</f>
        <v>0</v>
      </c>
      <c r="T8" s="1484">
        <f>SUM(T9:T33)</f>
        <v>0</v>
      </c>
      <c r="U8" s="1528">
        <f t="shared" ref="U8:U22" si="18">T8/$T$89</f>
        <v>0</v>
      </c>
      <c r="V8" s="1466"/>
      <c r="W8" s="1957">
        <f>SUM(W9:W33)</f>
        <v>76102.156000000003</v>
      </c>
      <c r="X8" s="1957">
        <f>SUM(X9:X33)</f>
        <v>16696</v>
      </c>
      <c r="Y8" s="1484">
        <f>SUM(Y9:Y33)</f>
        <v>92798.156000000003</v>
      </c>
      <c r="Z8" s="1528">
        <f t="shared" ref="Z8:Z17" si="19">Y8/$Y$89</f>
        <v>0.97381963387376025</v>
      </c>
      <c r="AA8" s="1466"/>
      <c r="AB8" s="1957">
        <f>SUM(AB9:AB33)</f>
        <v>0</v>
      </c>
      <c r="AC8" s="1957">
        <f>SUM(AC9:AC33)</f>
        <v>0</v>
      </c>
      <c r="AD8" s="1484">
        <f>SUM(AD9:AD33)</f>
        <v>0</v>
      </c>
      <c r="AE8" s="1528" t="e">
        <f>AD8/$AD$89</f>
        <v>#DIV/0!</v>
      </c>
      <c r="AF8" s="1466"/>
      <c r="AG8" s="1957">
        <f>SUM(AG9:AG33)</f>
        <v>0</v>
      </c>
      <c r="AH8" s="1957">
        <f>SUM(AH9:AH33)</f>
        <v>0</v>
      </c>
      <c r="AI8" s="1484">
        <f>SUM(AI9:AI33)</f>
        <v>0</v>
      </c>
      <c r="AJ8" s="1528" t="e">
        <f>AI8/$AI$89</f>
        <v>#DIV/0!</v>
      </c>
      <c r="AK8" s="1466"/>
      <c r="AL8" s="1957">
        <f>SUM(AL9:AL33)</f>
        <v>12956.963999999998</v>
      </c>
      <c r="AM8" s="1957">
        <f>SUM(AM9:AM33)</f>
        <v>0</v>
      </c>
      <c r="AN8" s="1484">
        <f>SUM(AN9:AN33)</f>
        <v>12956.963999999998</v>
      </c>
      <c r="AO8" s="1528" t="e">
        <f>AN8/$AD$89</f>
        <v>#DIV/0!</v>
      </c>
      <c r="AP8" s="1466"/>
      <c r="AQ8" s="1957">
        <f>SUM(AQ9:AQ33)</f>
        <v>69240</v>
      </c>
      <c r="AR8" s="1957">
        <f>SUM(AR9:AR33)</f>
        <v>110130</v>
      </c>
      <c r="AS8" s="1484">
        <f>SUM(AS9:AS33)</f>
        <v>179370</v>
      </c>
      <c r="AT8" s="1528">
        <f t="shared" ref="AT8:AT33" si="20">AS8/$AS$89</f>
        <v>0.92557395004963794</v>
      </c>
      <c r="AU8" s="1466"/>
      <c r="AV8" s="1957">
        <f>SUM(AV9:AV33)</f>
        <v>63858</v>
      </c>
      <c r="AW8" s="1957">
        <f>SUM(AW9:AW33)</f>
        <v>149232.54</v>
      </c>
      <c r="AX8" s="1484">
        <f>SUM(AX9:AX33)</f>
        <v>213090.54</v>
      </c>
      <c r="AY8" s="1528">
        <f t="shared" ref="AY8:AY33" si="21">AX8/$AS$89</f>
        <v>1.099576589318227</v>
      </c>
      <c r="AZ8" s="1466"/>
      <c r="BA8" s="1957">
        <f>SUM(BA9:BA33)</f>
        <v>0</v>
      </c>
      <c r="BB8" s="1957">
        <f>SUM(BB9:BB33)</f>
        <v>139076.9</v>
      </c>
      <c r="BC8" s="1484">
        <f>SUM(BC9:BC33)</f>
        <v>139076.9</v>
      </c>
      <c r="BD8" s="1528">
        <f t="shared" ref="BD8:BD33" si="22">BC8/$AS$89</f>
        <v>0.71765599427807603</v>
      </c>
      <c r="BE8" s="1466"/>
      <c r="BF8" s="1957">
        <f>SUM(BF9:BF33)</f>
        <v>133098</v>
      </c>
      <c r="BG8" s="1957">
        <f>SUM(BG9:BG33)</f>
        <v>398439.44</v>
      </c>
      <c r="BH8" s="1484">
        <f>SUM(BH9:BH33)</f>
        <v>531537.43999999994</v>
      </c>
      <c r="BI8" s="1528">
        <f t="shared" ref="BI8" si="23">BH8/$AS$89</f>
        <v>2.7428065336459406</v>
      </c>
      <c r="BJ8" s="1466"/>
      <c r="BK8" s="1957">
        <f>SUM(BK9:BK33)</f>
        <v>412013.08799999999</v>
      </c>
      <c r="BL8" s="1957">
        <f>SUM(BL9:BL33)</f>
        <v>270904.59999999998</v>
      </c>
      <c r="BM8" s="1484">
        <f>SUM(BM9:BM33)</f>
        <v>682917.68799999985</v>
      </c>
      <c r="BN8" s="1528">
        <f t="shared" ref="BN8" si="24">BM8/$AS$89</f>
        <v>3.5239495012595534</v>
      </c>
      <c r="BO8" s="1466"/>
      <c r="BP8" s="1957">
        <f>SUM(BP9:BP33)</f>
        <v>4940</v>
      </c>
      <c r="BQ8" s="1957">
        <f>SUM(BQ9:BQ33)</f>
        <v>119286.15</v>
      </c>
      <c r="BR8" s="1484">
        <f>SUM(BR9:BR33)</f>
        <v>124226.15</v>
      </c>
      <c r="BS8" s="1528">
        <f t="shared" ref="BS8:BS33" si="25">BR8/$AS$89</f>
        <v>0.64102407512381576</v>
      </c>
      <c r="BT8" s="1466"/>
      <c r="BU8" s="1957">
        <f>SUM(BU9:BU33)</f>
        <v>6470</v>
      </c>
      <c r="BV8" s="1957">
        <f>SUM(BV9:BV33)</f>
        <v>124318.45</v>
      </c>
      <c r="BW8" s="1484">
        <f>SUM(BW9:BW33)</f>
        <v>130788.45</v>
      </c>
      <c r="BX8" s="1528">
        <f t="shared" ref="BX8:BX33" si="26">BW8/$AS$89</f>
        <v>0.67488644861108082</v>
      </c>
      <c r="BY8" s="1466"/>
      <c r="BZ8" s="1957">
        <f>SUM(BZ9:BZ33)</f>
        <v>400603.08799999999</v>
      </c>
      <c r="CA8" s="1957">
        <f>SUM(CA9:CA33)</f>
        <v>27300</v>
      </c>
      <c r="CB8" s="1484">
        <f>SUM(CB9:CB33)</f>
        <v>427903.08799999999</v>
      </c>
      <c r="CC8" s="1528">
        <f t="shared" ref="CC8:CC33" si="27">CB8/$AS$89</f>
        <v>2.2080389775246574</v>
      </c>
      <c r="CD8" s="1466"/>
      <c r="CE8" s="1957">
        <f>SUM(CE9:CE33)</f>
        <v>0</v>
      </c>
      <c r="CF8" s="1957">
        <f>SUM(CF9:CF33)</f>
        <v>0</v>
      </c>
      <c r="CG8" s="1484">
        <f>SUM(CG9:CG33)</f>
        <v>0</v>
      </c>
      <c r="CH8" s="1528">
        <f t="shared" ref="CH8:CH33" si="28">CG8/$AS$89</f>
        <v>0</v>
      </c>
      <c r="CI8" s="1466"/>
      <c r="CJ8" s="1957">
        <f>SUM(CJ9:CJ33)</f>
        <v>0</v>
      </c>
      <c r="CK8" s="1957">
        <f>SUM(CK9:CK33)</f>
        <v>0</v>
      </c>
      <c r="CL8" s="1484">
        <f>SUM(CL9:CL33)</f>
        <v>0</v>
      </c>
      <c r="CM8" s="1528">
        <f t="shared" ref="CM8:CM33" si="29">CL8/$AS$89</f>
        <v>0</v>
      </c>
      <c r="CN8" s="1466"/>
      <c r="CO8" s="1957">
        <f>SUM(CO9:CO33)</f>
        <v>0</v>
      </c>
      <c r="CP8" s="1957">
        <f>SUM(CP9:CP33)</f>
        <v>0</v>
      </c>
      <c r="CQ8" s="1484">
        <f>SUM(CQ9:CQ33)</f>
        <v>0</v>
      </c>
      <c r="CR8" s="1528">
        <f t="shared" ref="CR8:CR33" si="30">CQ8/$AS$89</f>
        <v>0</v>
      </c>
      <c r="CS8" s="1466"/>
      <c r="CT8" s="1957">
        <f>SUM(CT9:CT33)</f>
        <v>0</v>
      </c>
      <c r="CU8" s="1957">
        <f>SUM(CU9:CU33)</f>
        <v>0</v>
      </c>
      <c r="CV8" s="1484">
        <f>SUM(CV9:CV33)</f>
        <v>0</v>
      </c>
      <c r="CW8" s="1528">
        <f t="shared" ref="CW8:CW33" si="31">CV8/$AS$89</f>
        <v>0</v>
      </c>
      <c r="CX8" s="1466"/>
      <c r="CY8" s="1957">
        <f>SUM(CY9:CY33)</f>
        <v>0</v>
      </c>
      <c r="CZ8" s="1957">
        <f>SUM(CZ9:CZ33)</f>
        <v>0</v>
      </c>
      <c r="DA8" s="1484">
        <f>SUM(DA9:DA33)</f>
        <v>0</v>
      </c>
      <c r="DB8" s="1528">
        <f t="shared" ref="DB8:DB33" si="32">DA8/$AS$89</f>
        <v>0</v>
      </c>
      <c r="DC8" s="1466"/>
      <c r="DD8" s="1957">
        <f>SUM(DD9:DD33)</f>
        <v>0</v>
      </c>
      <c r="DE8" s="1957">
        <f>SUM(DE9:DE33)</f>
        <v>0</v>
      </c>
      <c r="DF8" s="1484">
        <f>SUM(DF9:DF33)</f>
        <v>0</v>
      </c>
      <c r="DG8" s="1528">
        <f t="shared" ref="DG8:DG33" si="33">DF8/$AS$89</f>
        <v>0</v>
      </c>
      <c r="DH8" s="1466"/>
      <c r="DI8" s="1957">
        <f>SUM(DI9:DI33)</f>
        <v>0</v>
      </c>
      <c r="DJ8" s="1957">
        <f>SUM(DJ9:DJ33)</f>
        <v>0</v>
      </c>
      <c r="DK8" s="1484">
        <f>SUM(DK9:DK33)</f>
        <v>0</v>
      </c>
      <c r="DL8" s="1528">
        <f t="shared" ref="DL8:DL33" si="34">DK8/$AS$89</f>
        <v>0</v>
      </c>
      <c r="DM8" s="1466"/>
      <c r="DN8" s="1957">
        <f>SUM(DN9:DN33)</f>
        <v>0</v>
      </c>
      <c r="DO8" s="1957">
        <f>SUM(DO9:DO33)</f>
        <v>0</v>
      </c>
      <c r="DP8" s="1484">
        <f>SUM(DP9:DP33)</f>
        <v>0</v>
      </c>
      <c r="DQ8" s="1528">
        <f t="shared" ref="DQ8:DQ33" si="35">DP8/$AS$89</f>
        <v>0</v>
      </c>
      <c r="DR8" s="1466"/>
      <c r="DS8" s="1957">
        <f>SUM(DS9:DS33)</f>
        <v>0</v>
      </c>
      <c r="DT8" s="1957">
        <f>SUM(DT9:DT33)</f>
        <v>0</v>
      </c>
      <c r="DU8" s="1484">
        <f>SUM(DU9:DU33)</f>
        <v>0</v>
      </c>
      <c r="DV8" s="1528">
        <f t="shared" ref="DV8:DV33" si="36">DU8/$AS$89</f>
        <v>0</v>
      </c>
      <c r="DW8" s="1466"/>
      <c r="DX8" s="1957">
        <f>SUM(DX9:DX33)</f>
        <v>545111.08799999999</v>
      </c>
      <c r="DY8" s="1957">
        <f>SUM(DY9:DY33)</f>
        <v>669344.04</v>
      </c>
      <c r="DZ8" s="1484">
        <f>SUM(DZ9:DZ33)</f>
        <v>1214455.128</v>
      </c>
      <c r="EA8" s="1528">
        <f t="shared" ref="EA8:EA21" si="37">DZ8/$DZ$89</f>
        <v>0.91493091847043229</v>
      </c>
      <c r="EB8" s="1466"/>
      <c r="ED8" s="1484">
        <f>SUM(ED9:ED33)</f>
        <v>1066521.6772</v>
      </c>
      <c r="EE8" s="1484">
        <f>SUM(EE9:EE33)</f>
        <v>1214455.128</v>
      </c>
      <c r="EF8" s="3440">
        <f>SUM(EF9:EF33)</f>
        <v>-147933.45080000022</v>
      </c>
      <c r="EH8" s="2624"/>
    </row>
    <row r="9" spans="1:138" s="1396" customFormat="1" ht="24" outlineLevel="2">
      <c r="A9" s="1571"/>
      <c r="B9" s="1424" t="s">
        <v>74</v>
      </c>
      <c r="C9" s="3341">
        <v>29545.1</v>
      </c>
      <c r="D9" s="3341">
        <v>0</v>
      </c>
      <c r="E9" s="3349">
        <f>C9+D9*1</f>
        <v>29545.1</v>
      </c>
      <c r="F9" s="4074">
        <f t="shared" si="16"/>
        <v>1.3649488234149252E-2</v>
      </c>
      <c r="G9" s="1434"/>
      <c r="H9" s="3341">
        <v>14568.28</v>
      </c>
      <c r="I9" s="3341">
        <v>0</v>
      </c>
      <c r="J9" s="3349">
        <v>14568.28</v>
      </c>
      <c r="K9" s="4074">
        <v>1.6663012820807292E-2</v>
      </c>
      <c r="L9" s="1434"/>
      <c r="M9" s="3341"/>
      <c r="N9" s="3341"/>
      <c r="O9" s="3349">
        <f>M9+N9*1</f>
        <v>0</v>
      </c>
      <c r="P9" s="4074">
        <f t="shared" si="17"/>
        <v>0</v>
      </c>
      <c r="Q9" s="1434"/>
      <c r="R9" s="3341"/>
      <c r="S9" s="3341"/>
      <c r="T9" s="3349">
        <f>R9+S9*1</f>
        <v>0</v>
      </c>
      <c r="U9" s="4074">
        <f t="shared" si="18"/>
        <v>0</v>
      </c>
      <c r="V9" s="2047"/>
      <c r="W9" s="3341"/>
      <c r="X9" s="3341"/>
      <c r="Y9" s="3349">
        <f>W9+X9*1</f>
        <v>0</v>
      </c>
      <c r="Z9" s="4074">
        <f t="shared" si="19"/>
        <v>0</v>
      </c>
      <c r="AA9" s="2047"/>
      <c r="AB9" s="3341">
        <v>0</v>
      </c>
      <c r="AC9" s="3341"/>
      <c r="AD9" s="3349">
        <f>AB9+AC9*1</f>
        <v>0</v>
      </c>
      <c r="AE9" s="4074" t="e">
        <f>AD9/$AD$89</f>
        <v>#DIV/0!</v>
      </c>
      <c r="AF9" s="2047"/>
      <c r="AG9" s="3341"/>
      <c r="AH9" s="3341"/>
      <c r="AI9" s="3349"/>
      <c r="AJ9" s="4074" t="e">
        <f>AI9/$AI$89</f>
        <v>#DIV/0!</v>
      </c>
      <c r="AK9" s="2047"/>
      <c r="AL9" s="3341">
        <v>0</v>
      </c>
      <c r="AM9" s="3341"/>
      <c r="AN9" s="3349">
        <f>AL9+AM9*1</f>
        <v>0</v>
      </c>
      <c r="AO9" s="4074" t="e">
        <f>AN9/$AD$89</f>
        <v>#DIV/0!</v>
      </c>
      <c r="AP9" s="2047"/>
      <c r="AQ9" s="3341"/>
      <c r="AR9" s="3341">
        <f>27600+51300</f>
        <v>78900</v>
      </c>
      <c r="AS9" s="3349">
        <f t="shared" ref="AS9:AS32" si="38">AQ9+AR9</f>
        <v>78900</v>
      </c>
      <c r="AT9" s="4074">
        <f t="shared" si="20"/>
        <v>0.40713488687582333</v>
      </c>
      <c r="AU9" s="2047" t="s">
        <v>1788</v>
      </c>
      <c r="AV9" s="3341"/>
      <c r="AW9" s="3341">
        <f>63150+70500+3000</f>
        <v>136650</v>
      </c>
      <c r="AX9" s="3349">
        <f t="shared" ref="AX9:AX32" si="39">AV9+AW9</f>
        <v>136650</v>
      </c>
      <c r="AY9" s="4074">
        <f t="shared" si="21"/>
        <v>0.70513285540660664</v>
      </c>
      <c r="AZ9" s="2047" t="s">
        <v>1803</v>
      </c>
      <c r="BA9" s="3341"/>
      <c r="BB9" s="3341">
        <v>126450</v>
      </c>
      <c r="BC9" s="3349">
        <f t="shared" ref="BC9:BC32" si="40">BA9+BB9</f>
        <v>126450</v>
      </c>
      <c r="BD9" s="4074">
        <f t="shared" si="22"/>
        <v>0.65249944797779291</v>
      </c>
      <c r="BE9" s="2047" t="s">
        <v>1827</v>
      </c>
      <c r="BF9" s="3342">
        <f t="shared" ref="BF9:BG33" si="41">BA9+AV9+AQ9</f>
        <v>0</v>
      </c>
      <c r="BG9" s="3342">
        <f t="shared" si="41"/>
        <v>342000</v>
      </c>
      <c r="BH9" s="2012">
        <f t="shared" ref="BH9:BH33" si="42">BF9+BG9</f>
        <v>342000</v>
      </c>
      <c r="BI9" s="2047"/>
      <c r="BJ9" s="2047"/>
      <c r="BK9" s="3342">
        <f t="shared" ref="BK9:BL33" si="43">BP9+BU9+BZ9+CJ9+CO9+CT9+CY9+DD9+DI9+DN9+DS9+CE9</f>
        <v>2302.81</v>
      </c>
      <c r="BL9" s="3342">
        <f t="shared" si="43"/>
        <v>250007.15</v>
      </c>
      <c r="BM9" s="2012">
        <f t="shared" ref="BM9:BM33" si="44">BK9+BL9</f>
        <v>252309.96</v>
      </c>
      <c r="BN9" s="2047"/>
      <c r="BO9" s="2047"/>
      <c r="BP9" s="3341"/>
      <c r="BQ9" s="3341">
        <f>13350+90450+3753+2354.15</f>
        <v>109907.15</v>
      </c>
      <c r="BR9" s="3349">
        <f t="shared" ref="BR9:BR32" si="45">BP9+BQ9</f>
        <v>109907.15</v>
      </c>
      <c r="BS9" s="4074">
        <f t="shared" si="25"/>
        <v>0.56713605934213118</v>
      </c>
      <c r="BT9" s="2047" t="s">
        <v>1864</v>
      </c>
      <c r="BU9" s="3341"/>
      <c r="BV9" s="3341">
        <f>57450+55350</f>
        <v>112800</v>
      </c>
      <c r="BW9" s="3349">
        <f t="shared" ref="BW9:BW32" si="46">BU9+BV9</f>
        <v>112800</v>
      </c>
      <c r="BX9" s="4074">
        <f t="shared" si="26"/>
        <v>0.58206356450688057</v>
      </c>
      <c r="BY9" s="2047" t="s">
        <v>1930</v>
      </c>
      <c r="BZ9" s="3341">
        <v>2302.81</v>
      </c>
      <c r="CA9" s="3341">
        <v>27300</v>
      </c>
      <c r="CB9" s="3349">
        <f t="shared" ref="CB9:CB32" si="47">BZ9+CA9</f>
        <v>29602.81</v>
      </c>
      <c r="CC9" s="4074">
        <f t="shared" si="27"/>
        <v>0.15275458429095681</v>
      </c>
      <c r="CD9" s="2047" t="s">
        <v>2005</v>
      </c>
      <c r="CE9" s="3341"/>
      <c r="CF9" s="3341"/>
      <c r="CG9" s="3349">
        <f t="shared" ref="CG9:CG32" si="48">CE9+CF9</f>
        <v>0</v>
      </c>
      <c r="CH9" s="4074">
        <f t="shared" si="28"/>
        <v>0</v>
      </c>
      <c r="CI9" s="2047"/>
      <c r="CJ9" s="3341"/>
      <c r="CK9" s="3341"/>
      <c r="CL9" s="3349">
        <f t="shared" ref="CL9:CL32" si="49">CJ9+CK9</f>
        <v>0</v>
      </c>
      <c r="CM9" s="4074">
        <f t="shared" si="29"/>
        <v>0</v>
      </c>
      <c r="CN9" s="2047"/>
      <c r="CO9" s="3341"/>
      <c r="CP9" s="3341"/>
      <c r="CQ9" s="3349">
        <f t="shared" ref="CQ9:CQ32" si="50">CO9+CP9</f>
        <v>0</v>
      </c>
      <c r="CR9" s="4074">
        <f t="shared" si="30"/>
        <v>0</v>
      </c>
      <c r="CS9" s="2047"/>
      <c r="CT9" s="3341"/>
      <c r="CU9" s="3341"/>
      <c r="CV9" s="3349">
        <f t="shared" ref="CV9:CV32" si="51">CT9+CU9</f>
        <v>0</v>
      </c>
      <c r="CW9" s="4074">
        <f t="shared" si="31"/>
        <v>0</v>
      </c>
      <c r="CX9" s="2047"/>
      <c r="CY9" s="3341"/>
      <c r="CZ9" s="3341"/>
      <c r="DA9" s="3349">
        <f t="shared" ref="DA9:DA32" si="52">CY9+CZ9</f>
        <v>0</v>
      </c>
      <c r="DB9" s="4074">
        <f t="shared" si="32"/>
        <v>0</v>
      </c>
      <c r="DC9" s="2047"/>
      <c r="DD9" s="3341"/>
      <c r="DE9" s="3341"/>
      <c r="DF9" s="3349">
        <f t="shared" ref="DF9:DF32" si="53">DD9+DE9</f>
        <v>0</v>
      </c>
      <c r="DG9" s="4074">
        <f t="shared" si="33"/>
        <v>0</v>
      </c>
      <c r="DH9" s="2047"/>
      <c r="DI9" s="3341"/>
      <c r="DJ9" s="3341"/>
      <c r="DK9" s="3349">
        <f t="shared" ref="DK9:DK32" si="54">DI9+DJ9</f>
        <v>0</v>
      </c>
      <c r="DL9" s="4074">
        <f t="shared" si="34"/>
        <v>0</v>
      </c>
      <c r="DM9" s="2047"/>
      <c r="DN9" s="3341"/>
      <c r="DO9" s="3341"/>
      <c r="DP9" s="3349">
        <f t="shared" ref="DP9:DP32" si="55">DN9+DO9</f>
        <v>0</v>
      </c>
      <c r="DQ9" s="4074">
        <f t="shared" si="35"/>
        <v>0</v>
      </c>
      <c r="DR9" s="2047"/>
      <c r="DS9" s="3341"/>
      <c r="DT9" s="3341"/>
      <c r="DU9" s="3349">
        <f t="shared" ref="DU9:DU32" si="56">DS9+DT9</f>
        <v>0</v>
      </c>
      <c r="DV9" s="4074">
        <f t="shared" si="36"/>
        <v>0</v>
      </c>
      <c r="DW9" s="2047"/>
      <c r="DX9" s="3341">
        <f t="shared" ref="DX9:DY33" si="57">AQ9+AV9+BA9+BK9</f>
        <v>2302.81</v>
      </c>
      <c r="DY9" s="3341">
        <f t="shared" si="57"/>
        <v>592007.15</v>
      </c>
      <c r="DZ9" s="3349">
        <f>DX9+DY9*1</f>
        <v>594309.96000000008</v>
      </c>
      <c r="EA9" s="4074">
        <f t="shared" si="37"/>
        <v>0.44773375732242443</v>
      </c>
      <c r="EB9" s="1434"/>
      <c r="ED9" s="4186">
        <v>317619.8064</v>
      </c>
      <c r="EE9" s="2012">
        <f t="shared" ref="EE9:EE32" si="58">DZ9</f>
        <v>594309.96000000008</v>
      </c>
      <c r="EF9" s="4188">
        <f>ED9-EE9</f>
        <v>-276690.15360000008</v>
      </c>
      <c r="EG9" s="3307"/>
      <c r="EH9" s="4189">
        <f>EF9/ED9</f>
        <v>-0.87113633351802233</v>
      </c>
    </row>
    <row r="10" spans="1:138" s="1396" customFormat="1" ht="13.8" outlineLevel="2">
      <c r="A10" s="1571"/>
      <c r="B10" s="1424" t="s">
        <v>72</v>
      </c>
      <c r="C10" s="3341">
        <v>20419.888050000001</v>
      </c>
      <c r="D10" s="3341">
        <v>0</v>
      </c>
      <c r="E10" s="3349">
        <f t="shared" ref="E10:E33" si="59">C10+D10*1</f>
        <v>20419.888050000001</v>
      </c>
      <c r="F10" s="4074">
        <f t="shared" si="16"/>
        <v>9.4337477849497867E-3</v>
      </c>
      <c r="G10" s="1434"/>
      <c r="H10" s="3341">
        <v>15762.033600000001</v>
      </c>
      <c r="I10" s="3341">
        <v>0</v>
      </c>
      <c r="J10" s="3349">
        <v>15762.033600000001</v>
      </c>
      <c r="K10" s="4074">
        <v>1.8028412960129494E-2</v>
      </c>
      <c r="L10" s="1434"/>
      <c r="M10" s="3341"/>
      <c r="N10" s="3341"/>
      <c r="O10" s="3349">
        <f t="shared" ref="O10:O33" si="60">M10+N10*1</f>
        <v>0</v>
      </c>
      <c r="P10" s="4074">
        <f t="shared" si="17"/>
        <v>0</v>
      </c>
      <c r="Q10" s="1434"/>
      <c r="R10" s="3341"/>
      <c r="S10" s="3341"/>
      <c r="T10" s="3349">
        <f t="shared" ref="T10:T33" si="61">R10+S10*1</f>
        <v>0</v>
      </c>
      <c r="U10" s="4074">
        <f t="shared" si="18"/>
        <v>0</v>
      </c>
      <c r="V10" s="2047"/>
      <c r="W10" s="3341"/>
      <c r="X10" s="3341"/>
      <c r="Y10" s="3349">
        <f t="shared" ref="Y10:Y21" si="62">W10+X10*1</f>
        <v>0</v>
      </c>
      <c r="Z10" s="4074">
        <f t="shared" si="19"/>
        <v>0</v>
      </c>
      <c r="AA10" s="2047"/>
      <c r="AB10" s="3341"/>
      <c r="AC10" s="3341"/>
      <c r="AD10" s="3349">
        <f t="shared" ref="AD10:AD21" si="63">AB10+AC10*1</f>
        <v>0</v>
      </c>
      <c r="AE10" s="4074" t="e">
        <f>AD10/$AD$89</f>
        <v>#DIV/0!</v>
      </c>
      <c r="AF10" s="2047"/>
      <c r="AG10" s="1650"/>
      <c r="AH10" s="3341"/>
      <c r="AI10" s="3349"/>
      <c r="AJ10" s="4074" t="e">
        <f>AI10/$AI$89</f>
        <v>#DIV/0!</v>
      </c>
      <c r="AK10" s="2047"/>
      <c r="AL10" s="3341"/>
      <c r="AM10" s="3341"/>
      <c r="AN10" s="3349">
        <f t="shared" ref="AN10:AN21" si="64">AL10+AM10*1</f>
        <v>0</v>
      </c>
      <c r="AO10" s="4074" t="e">
        <f>AN10/$AD$89</f>
        <v>#DIV/0!</v>
      </c>
      <c r="AP10" s="2047"/>
      <c r="AQ10" s="3341"/>
      <c r="AR10" s="3341"/>
      <c r="AS10" s="3349">
        <f t="shared" si="38"/>
        <v>0</v>
      </c>
      <c r="AT10" s="4074">
        <f t="shared" si="20"/>
        <v>0</v>
      </c>
      <c r="AU10" s="2047"/>
      <c r="AV10" s="3341"/>
      <c r="AW10" s="3341"/>
      <c r="AX10" s="3349">
        <f t="shared" si="39"/>
        <v>0</v>
      </c>
      <c r="AY10" s="4074">
        <f t="shared" si="21"/>
        <v>0</v>
      </c>
      <c r="AZ10" s="2047"/>
      <c r="BA10" s="3341"/>
      <c r="BB10" s="3341"/>
      <c r="BC10" s="3349">
        <f t="shared" si="40"/>
        <v>0</v>
      </c>
      <c r="BD10" s="4074">
        <f t="shared" si="22"/>
        <v>0</v>
      </c>
      <c r="BE10" s="2047"/>
      <c r="BF10" s="3342">
        <f t="shared" si="41"/>
        <v>0</v>
      </c>
      <c r="BG10" s="3342">
        <f t="shared" si="41"/>
        <v>0</v>
      </c>
      <c r="BH10" s="2012">
        <f t="shared" si="42"/>
        <v>0</v>
      </c>
      <c r="BI10" s="2047"/>
      <c r="BJ10" s="2047"/>
      <c r="BK10" s="3342">
        <f t="shared" si="43"/>
        <v>557.83000000000004</v>
      </c>
      <c r="BL10" s="3342">
        <f t="shared" si="43"/>
        <v>0</v>
      </c>
      <c r="BM10" s="2012">
        <f t="shared" si="44"/>
        <v>557.83000000000004</v>
      </c>
      <c r="BN10" s="2047"/>
      <c r="BO10" s="2047"/>
      <c r="BP10" s="3341"/>
      <c r="BQ10" s="3341"/>
      <c r="BR10" s="3349">
        <f t="shared" si="45"/>
        <v>0</v>
      </c>
      <c r="BS10" s="4074">
        <f t="shared" si="25"/>
        <v>0</v>
      </c>
      <c r="BT10" s="2047"/>
      <c r="BU10" s="3341"/>
      <c r="BV10" s="3341"/>
      <c r="BW10" s="3349">
        <f t="shared" si="46"/>
        <v>0</v>
      </c>
      <c r="BX10" s="4074">
        <f t="shared" si="26"/>
        <v>0</v>
      </c>
      <c r="BY10" s="2047"/>
      <c r="BZ10" s="3341">
        <v>557.83000000000004</v>
      </c>
      <c r="CA10" s="3341"/>
      <c r="CB10" s="3349">
        <f t="shared" si="47"/>
        <v>557.83000000000004</v>
      </c>
      <c r="CC10" s="4074">
        <f t="shared" si="27"/>
        <v>2.8784797711779537E-3</v>
      </c>
      <c r="CD10" s="2047"/>
      <c r="CE10" s="3341"/>
      <c r="CF10" s="3341"/>
      <c r="CG10" s="3349">
        <f t="shared" si="48"/>
        <v>0</v>
      </c>
      <c r="CH10" s="4074">
        <f t="shared" si="28"/>
        <v>0</v>
      </c>
      <c r="CI10" s="2047"/>
      <c r="CJ10" s="3341"/>
      <c r="CK10" s="3341"/>
      <c r="CL10" s="3349">
        <f t="shared" si="49"/>
        <v>0</v>
      </c>
      <c r="CM10" s="4074">
        <f t="shared" si="29"/>
        <v>0</v>
      </c>
      <c r="CN10" s="2047"/>
      <c r="CO10" s="3341"/>
      <c r="CP10" s="3341"/>
      <c r="CQ10" s="3349">
        <f t="shared" si="50"/>
        <v>0</v>
      </c>
      <c r="CR10" s="4074">
        <f t="shared" si="30"/>
        <v>0</v>
      </c>
      <c r="CS10" s="2047"/>
      <c r="CT10" s="3341"/>
      <c r="CU10" s="3341"/>
      <c r="CV10" s="3349">
        <f t="shared" si="51"/>
        <v>0</v>
      </c>
      <c r="CW10" s="4074">
        <f t="shared" si="31"/>
        <v>0</v>
      </c>
      <c r="CX10" s="2047"/>
      <c r="CY10" s="3341"/>
      <c r="CZ10" s="3341"/>
      <c r="DA10" s="3349">
        <f t="shared" si="52"/>
        <v>0</v>
      </c>
      <c r="DB10" s="4074">
        <f t="shared" si="32"/>
        <v>0</v>
      </c>
      <c r="DC10" s="2047"/>
      <c r="DD10" s="3341"/>
      <c r="DE10" s="3341"/>
      <c r="DF10" s="3349">
        <f t="shared" si="53"/>
        <v>0</v>
      </c>
      <c r="DG10" s="4074">
        <f t="shared" si="33"/>
        <v>0</v>
      </c>
      <c r="DH10" s="2047"/>
      <c r="DI10" s="3341"/>
      <c r="DJ10" s="3341"/>
      <c r="DK10" s="3349">
        <f t="shared" si="54"/>
        <v>0</v>
      </c>
      <c r="DL10" s="4074">
        <f t="shared" si="34"/>
        <v>0</v>
      </c>
      <c r="DM10" s="2047"/>
      <c r="DN10" s="3341"/>
      <c r="DO10" s="3341"/>
      <c r="DP10" s="3349">
        <f t="shared" si="55"/>
        <v>0</v>
      </c>
      <c r="DQ10" s="4074">
        <f t="shared" si="35"/>
        <v>0</v>
      </c>
      <c r="DR10" s="2047"/>
      <c r="DS10" s="3341"/>
      <c r="DT10" s="3341"/>
      <c r="DU10" s="3349">
        <f t="shared" si="56"/>
        <v>0</v>
      </c>
      <c r="DV10" s="4074">
        <f t="shared" si="36"/>
        <v>0</v>
      </c>
      <c r="DW10" s="2047"/>
      <c r="DX10" s="3341">
        <f t="shared" si="57"/>
        <v>557.83000000000004</v>
      </c>
      <c r="DY10" s="3341">
        <f t="shared" si="57"/>
        <v>0</v>
      </c>
      <c r="DZ10" s="3349">
        <f t="shared" ref="DZ10:DZ33" si="65">DX10+DY10*1</f>
        <v>557.83000000000004</v>
      </c>
      <c r="EA10" s="4074">
        <f t="shared" si="37"/>
        <v>4.2025094421632779E-4</v>
      </c>
      <c r="EB10" s="1434"/>
      <c r="ED10" s="4186"/>
      <c r="EE10" s="2012">
        <f t="shared" si="58"/>
        <v>557.83000000000004</v>
      </c>
      <c r="EF10" s="4188">
        <f t="shared" ref="EF10:EF33" si="66">ED10-EE10</f>
        <v>-557.83000000000004</v>
      </c>
      <c r="EH10" s="2624"/>
    </row>
    <row r="11" spans="1:138" s="1396" customFormat="1" ht="13.8" outlineLevel="2">
      <c r="A11" s="1571"/>
      <c r="B11" s="1424" t="s">
        <v>69</v>
      </c>
      <c r="C11" s="3341">
        <v>23034.4378</v>
      </c>
      <c r="D11" s="3341">
        <v>0</v>
      </c>
      <c r="E11" s="3349">
        <f t="shared" si="59"/>
        <v>23034.4378</v>
      </c>
      <c r="F11" s="4074">
        <f t="shared" si="16"/>
        <v>1.0641638976728552E-2</v>
      </c>
      <c r="G11" s="1434"/>
      <c r="H11" s="3341">
        <v>19595.079999999998</v>
      </c>
      <c r="I11" s="3341">
        <v>0</v>
      </c>
      <c r="J11" s="3349">
        <v>19595.079999999998</v>
      </c>
      <c r="K11" s="4074">
        <v>2.241260253542247E-2</v>
      </c>
      <c r="L11" s="1434"/>
      <c r="M11" s="3341"/>
      <c r="N11" s="3341"/>
      <c r="O11" s="3349">
        <f t="shared" si="60"/>
        <v>0</v>
      </c>
      <c r="P11" s="4074">
        <f t="shared" si="17"/>
        <v>0</v>
      </c>
      <c r="Q11" s="1434"/>
      <c r="R11" s="3341"/>
      <c r="S11" s="3341"/>
      <c r="T11" s="3349">
        <f t="shared" si="61"/>
        <v>0</v>
      </c>
      <c r="U11" s="4074">
        <f t="shared" si="18"/>
        <v>0</v>
      </c>
      <c r="V11" s="1055"/>
      <c r="W11" s="3341"/>
      <c r="X11" s="3341"/>
      <c r="Y11" s="3349">
        <f t="shared" si="62"/>
        <v>0</v>
      </c>
      <c r="Z11" s="4074">
        <f t="shared" si="19"/>
        <v>0</v>
      </c>
      <c r="AA11" s="1055"/>
      <c r="AB11" s="3341"/>
      <c r="AC11" s="3341"/>
      <c r="AD11" s="3349">
        <f t="shared" si="63"/>
        <v>0</v>
      </c>
      <c r="AE11" s="4074" t="e">
        <f t="shared" ref="AE11:AE33" si="67">AD11/$AD$89</f>
        <v>#DIV/0!</v>
      </c>
      <c r="AF11" s="1055"/>
      <c r="AG11" s="1650"/>
      <c r="AH11" s="3341"/>
      <c r="AI11" s="3349"/>
      <c r="AJ11" s="4074" t="e">
        <f t="shared" ref="AJ11:AJ33" si="68">AI11/$AI$89</f>
        <v>#DIV/0!</v>
      </c>
      <c r="AK11" s="1055"/>
      <c r="AL11" s="3341"/>
      <c r="AM11" s="3341"/>
      <c r="AN11" s="3349">
        <f t="shared" si="64"/>
        <v>0</v>
      </c>
      <c r="AO11" s="4074" t="e">
        <f t="shared" ref="AO11:AO33" si="69">AN11/$AD$89</f>
        <v>#DIV/0!</v>
      </c>
      <c r="AP11" s="1055"/>
      <c r="AQ11" s="3341"/>
      <c r="AR11" s="3341"/>
      <c r="AS11" s="3349">
        <f t="shared" si="38"/>
        <v>0</v>
      </c>
      <c r="AT11" s="4074">
        <f t="shared" si="20"/>
        <v>0</v>
      </c>
      <c r="AU11" s="1055"/>
      <c r="AV11" s="3341"/>
      <c r="AW11" s="3341"/>
      <c r="AX11" s="3349">
        <f t="shared" si="39"/>
        <v>0</v>
      </c>
      <c r="AY11" s="4074">
        <f t="shared" si="21"/>
        <v>0</v>
      </c>
      <c r="AZ11" s="1055"/>
      <c r="BA11" s="3341"/>
      <c r="BB11" s="3341"/>
      <c r="BC11" s="3349">
        <f t="shared" si="40"/>
        <v>0</v>
      </c>
      <c r="BD11" s="4074">
        <f t="shared" si="22"/>
        <v>0</v>
      </c>
      <c r="BE11" s="1055"/>
      <c r="BF11" s="3342">
        <f t="shared" si="41"/>
        <v>0</v>
      </c>
      <c r="BG11" s="3342">
        <f t="shared" si="41"/>
        <v>0</v>
      </c>
      <c r="BH11" s="2012">
        <f t="shared" si="42"/>
        <v>0</v>
      </c>
      <c r="BI11" s="1055"/>
      <c r="BJ11" s="1055"/>
      <c r="BK11" s="3342">
        <f t="shared" si="43"/>
        <v>629.34</v>
      </c>
      <c r="BL11" s="3342">
        <f t="shared" si="43"/>
        <v>0</v>
      </c>
      <c r="BM11" s="2012">
        <f t="shared" si="44"/>
        <v>629.34</v>
      </c>
      <c r="BN11" s="1055"/>
      <c r="BO11" s="1055"/>
      <c r="BP11" s="3341"/>
      <c r="BQ11" s="3341"/>
      <c r="BR11" s="3349">
        <f t="shared" si="45"/>
        <v>0</v>
      </c>
      <c r="BS11" s="4074">
        <f t="shared" si="25"/>
        <v>0</v>
      </c>
      <c r="BT11" s="1055"/>
      <c r="BU11" s="3341"/>
      <c r="BV11" s="3341"/>
      <c r="BW11" s="3349">
        <f t="shared" si="46"/>
        <v>0</v>
      </c>
      <c r="BX11" s="4074">
        <f t="shared" si="26"/>
        <v>0</v>
      </c>
      <c r="BY11" s="1055"/>
      <c r="BZ11" s="3341">
        <v>629.34</v>
      </c>
      <c r="CA11" s="3341"/>
      <c r="CB11" s="3349">
        <f t="shared" si="47"/>
        <v>629.34</v>
      </c>
      <c r="CC11" s="4074">
        <f t="shared" si="27"/>
        <v>3.2474812383578035E-3</v>
      </c>
      <c r="CD11" s="1055"/>
      <c r="CE11" s="3341"/>
      <c r="CF11" s="3341"/>
      <c r="CG11" s="3349">
        <f t="shared" si="48"/>
        <v>0</v>
      </c>
      <c r="CH11" s="4074">
        <f t="shared" si="28"/>
        <v>0</v>
      </c>
      <c r="CI11" s="1055"/>
      <c r="CJ11" s="3341"/>
      <c r="CK11" s="3341"/>
      <c r="CL11" s="3349">
        <f t="shared" si="49"/>
        <v>0</v>
      </c>
      <c r="CM11" s="4074">
        <f t="shared" si="29"/>
        <v>0</v>
      </c>
      <c r="CN11" s="1055"/>
      <c r="CO11" s="3341"/>
      <c r="CP11" s="3341"/>
      <c r="CQ11" s="3349">
        <f t="shared" si="50"/>
        <v>0</v>
      </c>
      <c r="CR11" s="4074">
        <f t="shared" si="30"/>
        <v>0</v>
      </c>
      <c r="CS11" s="1055"/>
      <c r="CT11" s="3341"/>
      <c r="CU11" s="3341"/>
      <c r="CV11" s="3349">
        <f t="shared" si="51"/>
        <v>0</v>
      </c>
      <c r="CW11" s="4074">
        <f t="shared" si="31"/>
        <v>0</v>
      </c>
      <c r="CX11" s="1055"/>
      <c r="CY11" s="3341"/>
      <c r="CZ11" s="3341"/>
      <c r="DA11" s="3349">
        <f t="shared" si="52"/>
        <v>0</v>
      </c>
      <c r="DB11" s="4074">
        <f t="shared" si="32"/>
        <v>0</v>
      </c>
      <c r="DC11" s="1055"/>
      <c r="DD11" s="3341"/>
      <c r="DE11" s="3341"/>
      <c r="DF11" s="3349">
        <f t="shared" si="53"/>
        <v>0</v>
      </c>
      <c r="DG11" s="4074">
        <f t="shared" si="33"/>
        <v>0</v>
      </c>
      <c r="DH11" s="1055"/>
      <c r="DI11" s="3341"/>
      <c r="DJ11" s="3341"/>
      <c r="DK11" s="3349">
        <f t="shared" si="54"/>
        <v>0</v>
      </c>
      <c r="DL11" s="4074">
        <f t="shared" si="34"/>
        <v>0</v>
      </c>
      <c r="DM11" s="1055"/>
      <c r="DN11" s="3341"/>
      <c r="DO11" s="3341"/>
      <c r="DP11" s="3349">
        <f t="shared" si="55"/>
        <v>0</v>
      </c>
      <c r="DQ11" s="4074">
        <f t="shared" si="35"/>
        <v>0</v>
      </c>
      <c r="DR11" s="1055"/>
      <c r="DS11" s="3341"/>
      <c r="DT11" s="3341"/>
      <c r="DU11" s="3349">
        <f t="shared" si="56"/>
        <v>0</v>
      </c>
      <c r="DV11" s="4074">
        <f t="shared" si="36"/>
        <v>0</v>
      </c>
      <c r="DW11" s="1055"/>
      <c r="DX11" s="3341">
        <f t="shared" si="57"/>
        <v>629.34</v>
      </c>
      <c r="DY11" s="3341">
        <f t="shared" si="57"/>
        <v>0</v>
      </c>
      <c r="DZ11" s="3349">
        <f t="shared" si="65"/>
        <v>629.34</v>
      </c>
      <c r="EA11" s="4074">
        <f t="shared" si="37"/>
        <v>4.7412424794848561E-4</v>
      </c>
      <c r="EB11" s="1434"/>
      <c r="ED11" s="4186"/>
      <c r="EE11" s="2012">
        <f t="shared" si="58"/>
        <v>629.34</v>
      </c>
      <c r="EF11" s="4188">
        <f t="shared" si="66"/>
        <v>-629.34</v>
      </c>
      <c r="EH11" s="2624"/>
    </row>
    <row r="12" spans="1:138" s="1396" customFormat="1" ht="13.8" outlineLevel="2">
      <c r="A12" s="1571"/>
      <c r="B12" s="1424" t="s">
        <v>73</v>
      </c>
      <c r="C12" s="3341">
        <v>0</v>
      </c>
      <c r="D12" s="3341">
        <v>0</v>
      </c>
      <c r="E12" s="3349">
        <f t="shared" si="59"/>
        <v>0</v>
      </c>
      <c r="F12" s="4074">
        <f t="shared" si="16"/>
        <v>0</v>
      </c>
      <c r="G12" s="1434"/>
      <c r="H12" s="3341">
        <v>0</v>
      </c>
      <c r="I12" s="3341">
        <v>0</v>
      </c>
      <c r="J12" s="3349">
        <v>0</v>
      </c>
      <c r="K12" s="4074">
        <v>0</v>
      </c>
      <c r="L12" s="1434"/>
      <c r="M12" s="3341"/>
      <c r="N12" s="3341"/>
      <c r="O12" s="3349">
        <f t="shared" si="60"/>
        <v>0</v>
      </c>
      <c r="P12" s="4074">
        <f t="shared" si="17"/>
        <v>0</v>
      </c>
      <c r="Q12" s="1434"/>
      <c r="R12" s="3341"/>
      <c r="S12" s="3341"/>
      <c r="T12" s="3349">
        <f t="shared" si="61"/>
        <v>0</v>
      </c>
      <c r="U12" s="4074">
        <f t="shared" si="18"/>
        <v>0</v>
      </c>
      <c r="V12" s="1055"/>
      <c r="W12" s="3341"/>
      <c r="X12" s="3341"/>
      <c r="Y12" s="3349">
        <f t="shared" si="62"/>
        <v>0</v>
      </c>
      <c r="Z12" s="4074">
        <f t="shared" si="19"/>
        <v>0</v>
      </c>
      <c r="AA12" s="1055"/>
      <c r="AB12" s="3341"/>
      <c r="AC12" s="3341"/>
      <c r="AD12" s="3349">
        <f t="shared" si="63"/>
        <v>0</v>
      </c>
      <c r="AE12" s="4074" t="e">
        <f t="shared" si="67"/>
        <v>#DIV/0!</v>
      </c>
      <c r="AF12" s="1055"/>
      <c r="AG12" s="3341"/>
      <c r="AH12" s="3341"/>
      <c r="AI12" s="3349"/>
      <c r="AJ12" s="4074" t="e">
        <f t="shared" si="68"/>
        <v>#DIV/0!</v>
      </c>
      <c r="AK12" s="1055"/>
      <c r="AL12" s="3341"/>
      <c r="AM12" s="3341"/>
      <c r="AN12" s="3349">
        <f t="shared" si="64"/>
        <v>0</v>
      </c>
      <c r="AO12" s="4074" t="e">
        <f t="shared" si="69"/>
        <v>#DIV/0!</v>
      </c>
      <c r="AP12" s="1055"/>
      <c r="AQ12" s="3341"/>
      <c r="AR12" s="3341"/>
      <c r="AS12" s="3349">
        <f t="shared" si="38"/>
        <v>0</v>
      </c>
      <c r="AT12" s="4074">
        <f t="shared" si="20"/>
        <v>0</v>
      </c>
      <c r="AU12" s="1055"/>
      <c r="AV12" s="3341"/>
      <c r="AW12" s="3341"/>
      <c r="AX12" s="3349">
        <f t="shared" si="39"/>
        <v>0</v>
      </c>
      <c r="AY12" s="4074">
        <f t="shared" si="21"/>
        <v>0</v>
      </c>
      <c r="AZ12" s="1055"/>
      <c r="BA12" s="3341"/>
      <c r="BB12" s="3341"/>
      <c r="BC12" s="3349">
        <f t="shared" si="40"/>
        <v>0</v>
      </c>
      <c r="BD12" s="4074">
        <f t="shared" si="22"/>
        <v>0</v>
      </c>
      <c r="BE12" s="1055"/>
      <c r="BF12" s="3342">
        <f t="shared" si="41"/>
        <v>0</v>
      </c>
      <c r="BG12" s="3342">
        <f t="shared" si="41"/>
        <v>0</v>
      </c>
      <c r="BH12" s="2012">
        <f t="shared" si="42"/>
        <v>0</v>
      </c>
      <c r="BI12" s="1055"/>
      <c r="BJ12" s="1055"/>
      <c r="BK12" s="3342">
        <f t="shared" si="43"/>
        <v>0</v>
      </c>
      <c r="BL12" s="3342">
        <f t="shared" si="43"/>
        <v>0</v>
      </c>
      <c r="BM12" s="2012">
        <f t="shared" si="44"/>
        <v>0</v>
      </c>
      <c r="BN12" s="1055"/>
      <c r="BO12" s="1055"/>
      <c r="BP12" s="3341"/>
      <c r="BQ12" s="3341"/>
      <c r="BR12" s="3349">
        <f t="shared" si="45"/>
        <v>0</v>
      </c>
      <c r="BS12" s="4074">
        <f t="shared" si="25"/>
        <v>0</v>
      </c>
      <c r="BT12" s="1055"/>
      <c r="BU12" s="3341"/>
      <c r="BV12" s="3341"/>
      <c r="BW12" s="3349">
        <f t="shared" si="46"/>
        <v>0</v>
      </c>
      <c r="BX12" s="4074">
        <f t="shared" si="26"/>
        <v>0</v>
      </c>
      <c r="BY12" s="1055"/>
      <c r="BZ12" s="3341"/>
      <c r="CA12" s="3341"/>
      <c r="CB12" s="3349">
        <f t="shared" si="47"/>
        <v>0</v>
      </c>
      <c r="CC12" s="4074">
        <f t="shared" si="27"/>
        <v>0</v>
      </c>
      <c r="CD12" s="1055"/>
      <c r="CE12" s="3341"/>
      <c r="CF12" s="3341"/>
      <c r="CG12" s="3349">
        <f t="shared" si="48"/>
        <v>0</v>
      </c>
      <c r="CH12" s="4074">
        <f t="shared" si="28"/>
        <v>0</v>
      </c>
      <c r="CI12" s="1055"/>
      <c r="CJ12" s="3341"/>
      <c r="CK12" s="3341"/>
      <c r="CL12" s="3349">
        <f t="shared" si="49"/>
        <v>0</v>
      </c>
      <c r="CM12" s="4074">
        <f t="shared" si="29"/>
        <v>0</v>
      </c>
      <c r="CN12" s="1055"/>
      <c r="CO12" s="3341"/>
      <c r="CP12" s="3341"/>
      <c r="CQ12" s="3349">
        <f t="shared" si="50"/>
        <v>0</v>
      </c>
      <c r="CR12" s="4074">
        <f t="shared" si="30"/>
        <v>0</v>
      </c>
      <c r="CS12" s="1055"/>
      <c r="CT12" s="3341"/>
      <c r="CU12" s="3341"/>
      <c r="CV12" s="3349">
        <f t="shared" si="51"/>
        <v>0</v>
      </c>
      <c r="CW12" s="4074">
        <f t="shared" si="31"/>
        <v>0</v>
      </c>
      <c r="CX12" s="1055"/>
      <c r="CY12" s="3341"/>
      <c r="CZ12" s="3341"/>
      <c r="DA12" s="3349">
        <f t="shared" si="52"/>
        <v>0</v>
      </c>
      <c r="DB12" s="4074">
        <f t="shared" si="32"/>
        <v>0</v>
      </c>
      <c r="DC12" s="1055"/>
      <c r="DD12" s="3341"/>
      <c r="DE12" s="3341"/>
      <c r="DF12" s="3349">
        <f t="shared" si="53"/>
        <v>0</v>
      </c>
      <c r="DG12" s="4074">
        <f t="shared" si="33"/>
        <v>0</v>
      </c>
      <c r="DH12" s="1055"/>
      <c r="DI12" s="3341"/>
      <c r="DJ12" s="3341"/>
      <c r="DK12" s="3349">
        <f t="shared" si="54"/>
        <v>0</v>
      </c>
      <c r="DL12" s="4074">
        <f t="shared" si="34"/>
        <v>0</v>
      </c>
      <c r="DM12" s="1055"/>
      <c r="DN12" s="3341"/>
      <c r="DO12" s="3341"/>
      <c r="DP12" s="3349">
        <f t="shared" si="55"/>
        <v>0</v>
      </c>
      <c r="DQ12" s="4074">
        <f t="shared" si="35"/>
        <v>0</v>
      </c>
      <c r="DR12" s="1055"/>
      <c r="DS12" s="3341"/>
      <c r="DT12" s="3341"/>
      <c r="DU12" s="3349">
        <f t="shared" si="56"/>
        <v>0</v>
      </c>
      <c r="DV12" s="4074">
        <f t="shared" si="36"/>
        <v>0</v>
      </c>
      <c r="DW12" s="1055"/>
      <c r="DX12" s="3341">
        <f t="shared" si="57"/>
        <v>0</v>
      </c>
      <c r="DY12" s="3341">
        <f t="shared" si="57"/>
        <v>0</v>
      </c>
      <c r="DZ12" s="3349">
        <f t="shared" si="65"/>
        <v>0</v>
      </c>
      <c r="EA12" s="4074">
        <f t="shared" si="37"/>
        <v>0</v>
      </c>
      <c r="EB12" s="1434"/>
      <c r="ED12" s="4186"/>
      <c r="EE12" s="2012">
        <f t="shared" si="58"/>
        <v>0</v>
      </c>
      <c r="EF12" s="4188">
        <f t="shared" si="66"/>
        <v>0</v>
      </c>
      <c r="EH12" s="2624"/>
    </row>
    <row r="13" spans="1:138" s="1396" customFormat="1" ht="13.8" outlineLevel="2">
      <c r="A13" s="1571"/>
      <c r="B13" s="1424" t="s">
        <v>71</v>
      </c>
      <c r="C13" s="3341">
        <v>0</v>
      </c>
      <c r="D13" s="3341">
        <v>0</v>
      </c>
      <c r="E13" s="3349">
        <f t="shared" si="59"/>
        <v>0</v>
      </c>
      <c r="F13" s="4074">
        <f t="shared" si="16"/>
        <v>0</v>
      </c>
      <c r="G13" s="1434"/>
      <c r="H13" s="3341">
        <v>0</v>
      </c>
      <c r="I13" s="3341">
        <v>0</v>
      </c>
      <c r="J13" s="3349">
        <v>0</v>
      </c>
      <c r="K13" s="4074">
        <v>0</v>
      </c>
      <c r="L13" s="1434"/>
      <c r="M13" s="3341"/>
      <c r="N13" s="3341"/>
      <c r="O13" s="3349">
        <f t="shared" si="60"/>
        <v>0</v>
      </c>
      <c r="P13" s="4074">
        <f t="shared" si="17"/>
        <v>0</v>
      </c>
      <c r="Q13" s="1434"/>
      <c r="R13" s="3341"/>
      <c r="S13" s="3341"/>
      <c r="T13" s="3349">
        <f t="shared" si="61"/>
        <v>0</v>
      </c>
      <c r="U13" s="4074">
        <f t="shared" si="18"/>
        <v>0</v>
      </c>
      <c r="V13" s="1055"/>
      <c r="W13" s="3341"/>
      <c r="X13" s="3341"/>
      <c r="Y13" s="3349">
        <f t="shared" si="62"/>
        <v>0</v>
      </c>
      <c r="Z13" s="4074">
        <f t="shared" si="19"/>
        <v>0</v>
      </c>
      <c r="AA13" s="1055"/>
      <c r="AB13" s="3341"/>
      <c r="AC13" s="3341"/>
      <c r="AD13" s="3349">
        <f t="shared" si="63"/>
        <v>0</v>
      </c>
      <c r="AE13" s="4074" t="e">
        <f t="shared" si="67"/>
        <v>#DIV/0!</v>
      </c>
      <c r="AF13" s="1055"/>
      <c r="AG13" s="3341"/>
      <c r="AH13" s="3341"/>
      <c r="AI13" s="3349"/>
      <c r="AJ13" s="4074" t="e">
        <f t="shared" si="68"/>
        <v>#DIV/0!</v>
      </c>
      <c r="AK13" s="1055"/>
      <c r="AL13" s="3341"/>
      <c r="AM13" s="3341"/>
      <c r="AN13" s="3349">
        <f t="shared" si="64"/>
        <v>0</v>
      </c>
      <c r="AO13" s="4074" t="e">
        <f t="shared" si="69"/>
        <v>#DIV/0!</v>
      </c>
      <c r="AP13" s="1055"/>
      <c r="AQ13" s="3341"/>
      <c r="AR13" s="3341"/>
      <c r="AS13" s="3349">
        <f t="shared" si="38"/>
        <v>0</v>
      </c>
      <c r="AT13" s="4074">
        <f t="shared" si="20"/>
        <v>0</v>
      </c>
      <c r="AU13" s="1055"/>
      <c r="AV13" s="3341"/>
      <c r="AW13" s="3341"/>
      <c r="AX13" s="3349">
        <f t="shared" si="39"/>
        <v>0</v>
      </c>
      <c r="AY13" s="4074">
        <f t="shared" si="21"/>
        <v>0</v>
      </c>
      <c r="AZ13" s="1055"/>
      <c r="BA13" s="3341"/>
      <c r="BB13" s="3341"/>
      <c r="BC13" s="3349">
        <f t="shared" si="40"/>
        <v>0</v>
      </c>
      <c r="BD13" s="4074">
        <f t="shared" si="22"/>
        <v>0</v>
      </c>
      <c r="BE13" s="1055"/>
      <c r="BF13" s="3342">
        <f t="shared" si="41"/>
        <v>0</v>
      </c>
      <c r="BG13" s="3342">
        <f t="shared" si="41"/>
        <v>0</v>
      </c>
      <c r="BH13" s="2012">
        <f t="shared" si="42"/>
        <v>0</v>
      </c>
      <c r="BI13" s="1055"/>
      <c r="BJ13" s="1055"/>
      <c r="BK13" s="3342">
        <f t="shared" si="43"/>
        <v>0</v>
      </c>
      <c r="BL13" s="3342">
        <f t="shared" si="43"/>
        <v>0</v>
      </c>
      <c r="BM13" s="2012">
        <f t="shared" si="44"/>
        <v>0</v>
      </c>
      <c r="BN13" s="1055"/>
      <c r="BO13" s="1055"/>
      <c r="BP13" s="3341"/>
      <c r="BQ13" s="3341"/>
      <c r="BR13" s="3349">
        <f t="shared" si="45"/>
        <v>0</v>
      </c>
      <c r="BS13" s="4074">
        <f t="shared" si="25"/>
        <v>0</v>
      </c>
      <c r="BT13" s="1055"/>
      <c r="BU13" s="3341"/>
      <c r="BV13" s="3341"/>
      <c r="BW13" s="3349">
        <f t="shared" si="46"/>
        <v>0</v>
      </c>
      <c r="BX13" s="4074">
        <f t="shared" si="26"/>
        <v>0</v>
      </c>
      <c r="BY13" s="1055"/>
      <c r="BZ13" s="3341"/>
      <c r="CA13" s="3341"/>
      <c r="CB13" s="3349">
        <f t="shared" si="47"/>
        <v>0</v>
      </c>
      <c r="CC13" s="4074">
        <f t="shared" si="27"/>
        <v>0</v>
      </c>
      <c r="CD13" s="1055"/>
      <c r="CE13" s="3341"/>
      <c r="CF13" s="3341"/>
      <c r="CG13" s="3349">
        <f t="shared" si="48"/>
        <v>0</v>
      </c>
      <c r="CH13" s="4074">
        <f t="shared" si="28"/>
        <v>0</v>
      </c>
      <c r="CI13" s="1055"/>
      <c r="CJ13" s="3341"/>
      <c r="CK13" s="3341"/>
      <c r="CL13" s="3349">
        <f t="shared" si="49"/>
        <v>0</v>
      </c>
      <c r="CM13" s="4074">
        <f t="shared" si="29"/>
        <v>0</v>
      </c>
      <c r="CN13" s="1055"/>
      <c r="CO13" s="3341"/>
      <c r="CP13" s="3341"/>
      <c r="CQ13" s="3349">
        <f t="shared" si="50"/>
        <v>0</v>
      </c>
      <c r="CR13" s="4074">
        <f t="shared" si="30"/>
        <v>0</v>
      </c>
      <c r="CS13" s="1055"/>
      <c r="CT13" s="3341"/>
      <c r="CU13" s="3341"/>
      <c r="CV13" s="3349">
        <f t="shared" si="51"/>
        <v>0</v>
      </c>
      <c r="CW13" s="4074">
        <f t="shared" si="31"/>
        <v>0</v>
      </c>
      <c r="CX13" s="1055"/>
      <c r="CY13" s="3341"/>
      <c r="CZ13" s="3341"/>
      <c r="DA13" s="3349">
        <f t="shared" si="52"/>
        <v>0</v>
      </c>
      <c r="DB13" s="4074">
        <f t="shared" si="32"/>
        <v>0</v>
      </c>
      <c r="DC13" s="1055"/>
      <c r="DD13" s="3341"/>
      <c r="DE13" s="3341"/>
      <c r="DF13" s="3349">
        <f t="shared" si="53"/>
        <v>0</v>
      </c>
      <c r="DG13" s="4074">
        <f t="shared" si="33"/>
        <v>0</v>
      </c>
      <c r="DH13" s="1055"/>
      <c r="DI13" s="3341"/>
      <c r="DJ13" s="3341"/>
      <c r="DK13" s="3349">
        <f t="shared" si="54"/>
        <v>0</v>
      </c>
      <c r="DL13" s="4074">
        <f t="shared" si="34"/>
        <v>0</v>
      </c>
      <c r="DM13" s="1055"/>
      <c r="DN13" s="3341"/>
      <c r="DO13" s="3341"/>
      <c r="DP13" s="3349">
        <f t="shared" si="55"/>
        <v>0</v>
      </c>
      <c r="DQ13" s="4074">
        <f t="shared" si="35"/>
        <v>0</v>
      </c>
      <c r="DR13" s="1055"/>
      <c r="DS13" s="3341"/>
      <c r="DT13" s="3341"/>
      <c r="DU13" s="3349">
        <f t="shared" si="56"/>
        <v>0</v>
      </c>
      <c r="DV13" s="4074">
        <f t="shared" si="36"/>
        <v>0</v>
      </c>
      <c r="DW13" s="1055"/>
      <c r="DX13" s="3341">
        <f t="shared" si="57"/>
        <v>0</v>
      </c>
      <c r="DY13" s="3341">
        <f t="shared" si="57"/>
        <v>0</v>
      </c>
      <c r="DZ13" s="3349">
        <f t="shared" si="65"/>
        <v>0</v>
      </c>
      <c r="EA13" s="4074">
        <f t="shared" si="37"/>
        <v>0</v>
      </c>
      <c r="EB13" s="1434"/>
      <c r="ED13" s="4186"/>
      <c r="EE13" s="2012">
        <f t="shared" si="58"/>
        <v>0</v>
      </c>
      <c r="EF13" s="4188">
        <f t="shared" si="66"/>
        <v>0</v>
      </c>
      <c r="EH13" s="2624"/>
    </row>
    <row r="14" spans="1:138" s="1396" customFormat="1" ht="13.8" outlineLevel="2">
      <c r="A14" s="1571"/>
      <c r="B14" s="1424" t="s">
        <v>70</v>
      </c>
      <c r="C14" s="3341">
        <v>0</v>
      </c>
      <c r="D14" s="3341">
        <v>0</v>
      </c>
      <c r="E14" s="3349">
        <f t="shared" si="59"/>
        <v>0</v>
      </c>
      <c r="F14" s="4074">
        <f t="shared" si="16"/>
        <v>0</v>
      </c>
      <c r="G14" s="1434"/>
      <c r="H14" s="3341">
        <v>0</v>
      </c>
      <c r="I14" s="3341">
        <v>0</v>
      </c>
      <c r="J14" s="3349">
        <v>0</v>
      </c>
      <c r="K14" s="4074">
        <v>0</v>
      </c>
      <c r="L14" s="1434"/>
      <c r="M14" s="3341"/>
      <c r="N14" s="3341"/>
      <c r="O14" s="3349">
        <f t="shared" si="60"/>
        <v>0</v>
      </c>
      <c r="P14" s="4074">
        <f t="shared" si="17"/>
        <v>0</v>
      </c>
      <c r="Q14" s="1434"/>
      <c r="R14" s="3341"/>
      <c r="S14" s="3341"/>
      <c r="T14" s="3349">
        <f t="shared" si="61"/>
        <v>0</v>
      </c>
      <c r="U14" s="4074">
        <f t="shared" si="18"/>
        <v>0</v>
      </c>
      <c r="V14" s="1055"/>
      <c r="W14" s="3341"/>
      <c r="X14" s="3341"/>
      <c r="Y14" s="3349">
        <f t="shared" si="62"/>
        <v>0</v>
      </c>
      <c r="Z14" s="4074">
        <f t="shared" si="19"/>
        <v>0</v>
      </c>
      <c r="AA14" s="1055"/>
      <c r="AB14" s="3341"/>
      <c r="AC14" s="3341"/>
      <c r="AD14" s="3349">
        <f t="shared" si="63"/>
        <v>0</v>
      </c>
      <c r="AE14" s="4074" t="e">
        <f t="shared" si="67"/>
        <v>#DIV/0!</v>
      </c>
      <c r="AF14" s="1055"/>
      <c r="AG14" s="3341"/>
      <c r="AH14" s="3341"/>
      <c r="AI14" s="3349">
        <f t="shared" ref="AI14:AI21" si="70">AG14+AH14*1</f>
        <v>0</v>
      </c>
      <c r="AJ14" s="4074" t="e">
        <f t="shared" si="68"/>
        <v>#DIV/0!</v>
      </c>
      <c r="AK14" s="1055"/>
      <c r="AL14" s="3341"/>
      <c r="AM14" s="3341"/>
      <c r="AN14" s="3349">
        <f t="shared" si="64"/>
        <v>0</v>
      </c>
      <c r="AO14" s="4074" t="e">
        <f t="shared" si="69"/>
        <v>#DIV/0!</v>
      </c>
      <c r="AP14" s="1055"/>
      <c r="AQ14" s="3341"/>
      <c r="AR14" s="3341"/>
      <c r="AS14" s="3349">
        <f t="shared" si="38"/>
        <v>0</v>
      </c>
      <c r="AT14" s="4074">
        <f t="shared" si="20"/>
        <v>0</v>
      </c>
      <c r="AU14" s="1055"/>
      <c r="AV14" s="3341"/>
      <c r="AW14" s="3341"/>
      <c r="AX14" s="3349">
        <f t="shared" si="39"/>
        <v>0</v>
      </c>
      <c r="AY14" s="4074">
        <f t="shared" si="21"/>
        <v>0</v>
      </c>
      <c r="AZ14" s="1055"/>
      <c r="BA14" s="3341"/>
      <c r="BB14" s="3341"/>
      <c r="BC14" s="3349">
        <f t="shared" si="40"/>
        <v>0</v>
      </c>
      <c r="BD14" s="4074">
        <f t="shared" si="22"/>
        <v>0</v>
      </c>
      <c r="BE14" s="1055"/>
      <c r="BF14" s="3342">
        <f t="shared" si="41"/>
        <v>0</v>
      </c>
      <c r="BG14" s="3342">
        <f t="shared" si="41"/>
        <v>0</v>
      </c>
      <c r="BH14" s="2012">
        <f t="shared" si="42"/>
        <v>0</v>
      </c>
      <c r="BI14" s="1055"/>
      <c r="BJ14" s="1055"/>
      <c r="BK14" s="3342">
        <f t="shared" si="43"/>
        <v>0</v>
      </c>
      <c r="BL14" s="3342">
        <f t="shared" si="43"/>
        <v>0</v>
      </c>
      <c r="BM14" s="2012">
        <f t="shared" si="44"/>
        <v>0</v>
      </c>
      <c r="BN14" s="1055"/>
      <c r="BO14" s="1055"/>
      <c r="BP14" s="3341"/>
      <c r="BQ14" s="3341"/>
      <c r="BR14" s="3349">
        <f t="shared" si="45"/>
        <v>0</v>
      </c>
      <c r="BS14" s="4074">
        <f t="shared" si="25"/>
        <v>0</v>
      </c>
      <c r="BT14" s="1055"/>
      <c r="BU14" s="3341"/>
      <c r="BV14" s="3341"/>
      <c r="BW14" s="3349">
        <f t="shared" si="46"/>
        <v>0</v>
      </c>
      <c r="BX14" s="4074">
        <f t="shared" si="26"/>
        <v>0</v>
      </c>
      <c r="BY14" s="1055"/>
      <c r="BZ14" s="3341"/>
      <c r="CA14" s="3341"/>
      <c r="CB14" s="3349">
        <f t="shared" si="47"/>
        <v>0</v>
      </c>
      <c r="CC14" s="4074">
        <f t="shared" si="27"/>
        <v>0</v>
      </c>
      <c r="CD14" s="1055"/>
      <c r="CE14" s="3341"/>
      <c r="CF14" s="3341"/>
      <c r="CG14" s="3349">
        <f t="shared" si="48"/>
        <v>0</v>
      </c>
      <c r="CH14" s="4074">
        <f t="shared" si="28"/>
        <v>0</v>
      </c>
      <c r="CI14" s="1055"/>
      <c r="CJ14" s="3341"/>
      <c r="CK14" s="3341"/>
      <c r="CL14" s="3349">
        <f t="shared" si="49"/>
        <v>0</v>
      </c>
      <c r="CM14" s="4074">
        <f t="shared" si="29"/>
        <v>0</v>
      </c>
      <c r="CN14" s="1055"/>
      <c r="CO14" s="3341"/>
      <c r="CP14" s="3341"/>
      <c r="CQ14" s="3349">
        <f t="shared" si="50"/>
        <v>0</v>
      </c>
      <c r="CR14" s="4074">
        <f t="shared" si="30"/>
        <v>0</v>
      </c>
      <c r="CS14" s="1055"/>
      <c r="CT14" s="3341"/>
      <c r="CU14" s="3341"/>
      <c r="CV14" s="3349">
        <f t="shared" si="51"/>
        <v>0</v>
      </c>
      <c r="CW14" s="4074">
        <f t="shared" si="31"/>
        <v>0</v>
      </c>
      <c r="CX14" s="1055"/>
      <c r="CY14" s="3341"/>
      <c r="CZ14" s="3341"/>
      <c r="DA14" s="3349">
        <f t="shared" si="52"/>
        <v>0</v>
      </c>
      <c r="DB14" s="4074">
        <f t="shared" si="32"/>
        <v>0</v>
      </c>
      <c r="DC14" s="1055"/>
      <c r="DD14" s="3341"/>
      <c r="DE14" s="3341"/>
      <c r="DF14" s="3349">
        <f t="shared" si="53"/>
        <v>0</v>
      </c>
      <c r="DG14" s="4074">
        <f t="shared" si="33"/>
        <v>0</v>
      </c>
      <c r="DH14" s="1055"/>
      <c r="DI14" s="3341"/>
      <c r="DJ14" s="3341"/>
      <c r="DK14" s="3349">
        <f t="shared" si="54"/>
        <v>0</v>
      </c>
      <c r="DL14" s="4074">
        <f t="shared" si="34"/>
        <v>0</v>
      </c>
      <c r="DM14" s="1055"/>
      <c r="DN14" s="3341"/>
      <c r="DO14" s="3341"/>
      <c r="DP14" s="3349">
        <f t="shared" si="55"/>
        <v>0</v>
      </c>
      <c r="DQ14" s="4074">
        <f t="shared" si="35"/>
        <v>0</v>
      </c>
      <c r="DR14" s="1055"/>
      <c r="DS14" s="3341"/>
      <c r="DT14" s="3341"/>
      <c r="DU14" s="3349">
        <f t="shared" si="56"/>
        <v>0</v>
      </c>
      <c r="DV14" s="4074">
        <f t="shared" si="36"/>
        <v>0</v>
      </c>
      <c r="DW14" s="1055"/>
      <c r="DX14" s="3341">
        <f t="shared" si="57"/>
        <v>0</v>
      </c>
      <c r="DY14" s="3341">
        <f t="shared" si="57"/>
        <v>0</v>
      </c>
      <c r="DZ14" s="3349">
        <f t="shared" si="65"/>
        <v>0</v>
      </c>
      <c r="EA14" s="4074">
        <f t="shared" si="37"/>
        <v>0</v>
      </c>
      <c r="EB14" s="1434"/>
      <c r="ED14" s="4186"/>
      <c r="EE14" s="2012">
        <f t="shared" si="58"/>
        <v>0</v>
      </c>
      <c r="EF14" s="4188">
        <f t="shared" si="66"/>
        <v>0</v>
      </c>
      <c r="EH14" s="2624"/>
    </row>
    <row r="15" spans="1:138" s="1396" customFormat="1" ht="13.8" outlineLevel="2">
      <c r="A15" s="1571"/>
      <c r="B15" s="4075" t="s">
        <v>20</v>
      </c>
      <c r="C15" s="3341">
        <v>0</v>
      </c>
      <c r="D15" s="3341">
        <v>0</v>
      </c>
      <c r="E15" s="3349">
        <f t="shared" si="59"/>
        <v>0</v>
      </c>
      <c r="F15" s="4074">
        <f t="shared" si="16"/>
        <v>0</v>
      </c>
      <c r="G15" s="1434"/>
      <c r="H15" s="3341">
        <v>0</v>
      </c>
      <c r="I15" s="3341">
        <v>0</v>
      </c>
      <c r="J15" s="3349">
        <v>0</v>
      </c>
      <c r="K15" s="4074">
        <v>0</v>
      </c>
      <c r="L15" s="1434"/>
      <c r="M15" s="3341"/>
      <c r="N15" s="3341"/>
      <c r="O15" s="3349">
        <f t="shared" si="60"/>
        <v>0</v>
      </c>
      <c r="P15" s="4074">
        <f t="shared" si="17"/>
        <v>0</v>
      </c>
      <c r="Q15" s="1434"/>
      <c r="R15" s="3341"/>
      <c r="S15" s="3341"/>
      <c r="T15" s="3349">
        <f t="shared" si="61"/>
        <v>0</v>
      </c>
      <c r="U15" s="4074">
        <f t="shared" si="18"/>
        <v>0</v>
      </c>
      <c r="V15" s="1055"/>
      <c r="W15" s="3341"/>
      <c r="X15" s="3341"/>
      <c r="Y15" s="3349">
        <f t="shared" si="62"/>
        <v>0</v>
      </c>
      <c r="Z15" s="4074">
        <f t="shared" si="19"/>
        <v>0</v>
      </c>
      <c r="AA15" s="1055"/>
      <c r="AB15" s="3341"/>
      <c r="AC15" s="3341"/>
      <c r="AD15" s="3349">
        <f t="shared" si="63"/>
        <v>0</v>
      </c>
      <c r="AE15" s="4074" t="e">
        <f t="shared" si="67"/>
        <v>#DIV/0!</v>
      </c>
      <c r="AF15" s="1055"/>
      <c r="AG15" s="3341"/>
      <c r="AH15" s="3341"/>
      <c r="AI15" s="3349">
        <f t="shared" si="70"/>
        <v>0</v>
      </c>
      <c r="AJ15" s="4074" t="e">
        <f t="shared" si="68"/>
        <v>#DIV/0!</v>
      </c>
      <c r="AK15" s="1055"/>
      <c r="AL15" s="3341"/>
      <c r="AM15" s="3341"/>
      <c r="AN15" s="3349">
        <f t="shared" si="64"/>
        <v>0</v>
      </c>
      <c r="AO15" s="4074" t="e">
        <f t="shared" si="69"/>
        <v>#DIV/0!</v>
      </c>
      <c r="AP15" s="1055"/>
      <c r="AQ15" s="3341"/>
      <c r="AR15" s="3341"/>
      <c r="AS15" s="3349">
        <f t="shared" si="38"/>
        <v>0</v>
      </c>
      <c r="AT15" s="4074">
        <f t="shared" si="20"/>
        <v>0</v>
      </c>
      <c r="AU15" s="1055"/>
      <c r="AV15" s="3341"/>
      <c r="AW15" s="3341"/>
      <c r="AX15" s="3349">
        <f t="shared" si="39"/>
        <v>0</v>
      </c>
      <c r="AY15" s="4074">
        <f t="shared" si="21"/>
        <v>0</v>
      </c>
      <c r="AZ15" s="1055"/>
      <c r="BA15" s="3341"/>
      <c r="BB15" s="3341"/>
      <c r="BC15" s="3349">
        <f t="shared" si="40"/>
        <v>0</v>
      </c>
      <c r="BD15" s="4074">
        <f t="shared" si="22"/>
        <v>0</v>
      </c>
      <c r="BE15" s="1055"/>
      <c r="BF15" s="3342">
        <f t="shared" si="41"/>
        <v>0</v>
      </c>
      <c r="BG15" s="3342">
        <f t="shared" si="41"/>
        <v>0</v>
      </c>
      <c r="BH15" s="2012">
        <f t="shared" si="42"/>
        <v>0</v>
      </c>
      <c r="BI15" s="1055"/>
      <c r="BJ15" s="1055"/>
      <c r="BK15" s="3342">
        <f t="shared" si="43"/>
        <v>0</v>
      </c>
      <c r="BL15" s="3342">
        <f t="shared" si="43"/>
        <v>0</v>
      </c>
      <c r="BM15" s="2012">
        <f t="shared" si="44"/>
        <v>0</v>
      </c>
      <c r="BN15" s="1055"/>
      <c r="BO15" s="1055"/>
      <c r="BP15" s="3341"/>
      <c r="BQ15" s="3341"/>
      <c r="BR15" s="3349">
        <f t="shared" si="45"/>
        <v>0</v>
      </c>
      <c r="BS15" s="4074">
        <f t="shared" si="25"/>
        <v>0</v>
      </c>
      <c r="BT15" s="1055"/>
      <c r="BU15" s="3341"/>
      <c r="BV15" s="3341"/>
      <c r="BW15" s="3349">
        <f t="shared" si="46"/>
        <v>0</v>
      </c>
      <c r="BX15" s="4074">
        <f t="shared" si="26"/>
        <v>0</v>
      </c>
      <c r="BY15" s="1055"/>
      <c r="BZ15" s="3341"/>
      <c r="CA15" s="3341"/>
      <c r="CB15" s="3349">
        <f t="shared" si="47"/>
        <v>0</v>
      </c>
      <c r="CC15" s="4074">
        <f t="shared" si="27"/>
        <v>0</v>
      </c>
      <c r="CD15" s="1055"/>
      <c r="CE15" s="3341"/>
      <c r="CF15" s="3341"/>
      <c r="CG15" s="3349">
        <f t="shared" si="48"/>
        <v>0</v>
      </c>
      <c r="CH15" s="4074">
        <f t="shared" si="28"/>
        <v>0</v>
      </c>
      <c r="CI15" s="1055"/>
      <c r="CJ15" s="3341"/>
      <c r="CK15" s="3341"/>
      <c r="CL15" s="3349">
        <f t="shared" si="49"/>
        <v>0</v>
      </c>
      <c r="CM15" s="4074">
        <f t="shared" si="29"/>
        <v>0</v>
      </c>
      <c r="CN15" s="1055"/>
      <c r="CO15" s="3341"/>
      <c r="CP15" s="3341"/>
      <c r="CQ15" s="3349">
        <f t="shared" si="50"/>
        <v>0</v>
      </c>
      <c r="CR15" s="4074">
        <f t="shared" si="30"/>
        <v>0</v>
      </c>
      <c r="CS15" s="1055"/>
      <c r="CT15" s="3341"/>
      <c r="CU15" s="3341"/>
      <c r="CV15" s="3349">
        <f t="shared" si="51"/>
        <v>0</v>
      </c>
      <c r="CW15" s="4074">
        <f t="shared" si="31"/>
        <v>0</v>
      </c>
      <c r="CX15" s="1055"/>
      <c r="CY15" s="3341"/>
      <c r="CZ15" s="3341"/>
      <c r="DA15" s="3349">
        <f t="shared" si="52"/>
        <v>0</v>
      </c>
      <c r="DB15" s="4074">
        <f t="shared" si="32"/>
        <v>0</v>
      </c>
      <c r="DC15" s="1055"/>
      <c r="DD15" s="3341"/>
      <c r="DE15" s="3341"/>
      <c r="DF15" s="3349">
        <f t="shared" si="53"/>
        <v>0</v>
      </c>
      <c r="DG15" s="4074">
        <f t="shared" si="33"/>
        <v>0</v>
      </c>
      <c r="DH15" s="1055"/>
      <c r="DI15" s="3341"/>
      <c r="DJ15" s="3341"/>
      <c r="DK15" s="3349">
        <f t="shared" si="54"/>
        <v>0</v>
      </c>
      <c r="DL15" s="4074">
        <f t="shared" si="34"/>
        <v>0</v>
      </c>
      <c r="DM15" s="1055"/>
      <c r="DN15" s="3341"/>
      <c r="DO15" s="3341"/>
      <c r="DP15" s="3349">
        <f t="shared" si="55"/>
        <v>0</v>
      </c>
      <c r="DQ15" s="4074">
        <f t="shared" si="35"/>
        <v>0</v>
      </c>
      <c r="DR15" s="1055"/>
      <c r="DS15" s="3341"/>
      <c r="DT15" s="3341"/>
      <c r="DU15" s="3349">
        <f t="shared" si="56"/>
        <v>0</v>
      </c>
      <c r="DV15" s="4074">
        <f t="shared" si="36"/>
        <v>0</v>
      </c>
      <c r="DW15" s="1055"/>
      <c r="DX15" s="3341">
        <f t="shared" si="57"/>
        <v>0</v>
      </c>
      <c r="DY15" s="3341">
        <f t="shared" si="57"/>
        <v>0</v>
      </c>
      <c r="DZ15" s="3349">
        <f t="shared" si="65"/>
        <v>0</v>
      </c>
      <c r="EA15" s="4074">
        <f t="shared" si="37"/>
        <v>0</v>
      </c>
      <c r="EB15" s="1434"/>
      <c r="ED15" s="4186"/>
      <c r="EE15" s="2012">
        <f t="shared" si="58"/>
        <v>0</v>
      </c>
      <c r="EF15" s="4188">
        <f t="shared" si="66"/>
        <v>0</v>
      </c>
      <c r="EH15" s="2624"/>
    </row>
    <row r="16" spans="1:138" s="1396" customFormat="1" ht="13.8" outlineLevel="2">
      <c r="A16" s="1571"/>
      <c r="B16" s="4075" t="s">
        <v>21</v>
      </c>
      <c r="C16" s="3341">
        <v>0</v>
      </c>
      <c r="D16" s="3341">
        <v>713505.66</v>
      </c>
      <c r="E16" s="3349">
        <f t="shared" si="59"/>
        <v>713505.66</v>
      </c>
      <c r="F16" s="4074">
        <f t="shared" si="16"/>
        <v>0.32963121164487164</v>
      </c>
      <c r="G16" s="1434"/>
      <c r="H16" s="3341">
        <v>0</v>
      </c>
      <c r="I16" s="3341">
        <v>166232.56</v>
      </c>
      <c r="J16" s="3349">
        <v>166232.56</v>
      </c>
      <c r="K16" s="4074">
        <v>0.19013468154892801</v>
      </c>
      <c r="L16" s="1434"/>
      <c r="M16" s="3341"/>
      <c r="N16" s="3341"/>
      <c r="O16" s="3349">
        <f t="shared" si="60"/>
        <v>0</v>
      </c>
      <c r="P16" s="4074">
        <f t="shared" si="17"/>
        <v>0</v>
      </c>
      <c r="Q16" s="1434"/>
      <c r="R16" s="3341"/>
      <c r="S16" s="3341"/>
      <c r="T16" s="3349">
        <f t="shared" si="61"/>
        <v>0</v>
      </c>
      <c r="U16" s="4074">
        <f t="shared" si="18"/>
        <v>0</v>
      </c>
      <c r="V16" s="2047"/>
      <c r="W16" s="3341"/>
      <c r="X16" s="3341"/>
      <c r="Y16" s="3349">
        <f t="shared" si="62"/>
        <v>0</v>
      </c>
      <c r="Z16" s="4074">
        <f t="shared" si="19"/>
        <v>0</v>
      </c>
      <c r="AA16" s="2047"/>
      <c r="AB16" s="3341"/>
      <c r="AC16" s="3341"/>
      <c r="AD16" s="3349">
        <f t="shared" si="63"/>
        <v>0</v>
      </c>
      <c r="AE16" s="4074" t="e">
        <f t="shared" si="67"/>
        <v>#DIV/0!</v>
      </c>
      <c r="AF16" s="2047"/>
      <c r="AG16" s="3341"/>
      <c r="AH16" s="3341"/>
      <c r="AI16" s="3349">
        <f t="shared" si="70"/>
        <v>0</v>
      </c>
      <c r="AJ16" s="4074" t="e">
        <f t="shared" si="68"/>
        <v>#DIV/0!</v>
      </c>
      <c r="AK16" s="1055"/>
      <c r="AL16" s="3341"/>
      <c r="AM16" s="3341"/>
      <c r="AN16" s="3349">
        <f t="shared" si="64"/>
        <v>0</v>
      </c>
      <c r="AO16" s="4074" t="e">
        <f t="shared" si="69"/>
        <v>#DIV/0!</v>
      </c>
      <c r="AP16" s="2047"/>
      <c r="AQ16" s="3341"/>
      <c r="AR16" s="3341"/>
      <c r="AS16" s="3349">
        <f t="shared" si="38"/>
        <v>0</v>
      </c>
      <c r="AT16" s="4074">
        <f t="shared" si="20"/>
        <v>0</v>
      </c>
      <c r="AU16" s="1055"/>
      <c r="AV16" s="3341"/>
      <c r="AW16" s="3341"/>
      <c r="AX16" s="3349">
        <f t="shared" si="39"/>
        <v>0</v>
      </c>
      <c r="AY16" s="4074">
        <f t="shared" si="21"/>
        <v>0</v>
      </c>
      <c r="AZ16" s="1055"/>
      <c r="BA16" s="3341"/>
      <c r="BB16" s="3341"/>
      <c r="BC16" s="3349">
        <f t="shared" si="40"/>
        <v>0</v>
      </c>
      <c r="BD16" s="4074">
        <f t="shared" si="22"/>
        <v>0</v>
      </c>
      <c r="BE16" s="1055"/>
      <c r="BF16" s="3342">
        <f t="shared" si="41"/>
        <v>0</v>
      </c>
      <c r="BG16" s="3342">
        <f t="shared" si="41"/>
        <v>0</v>
      </c>
      <c r="BH16" s="2012">
        <f t="shared" si="42"/>
        <v>0</v>
      </c>
      <c r="BI16" s="1055"/>
      <c r="BJ16" s="1055"/>
      <c r="BK16" s="3342">
        <f t="shared" si="43"/>
        <v>0</v>
      </c>
      <c r="BL16" s="3342">
        <f t="shared" si="43"/>
        <v>0</v>
      </c>
      <c r="BM16" s="2012">
        <f t="shared" si="44"/>
        <v>0</v>
      </c>
      <c r="BN16" s="1055"/>
      <c r="BO16" s="1055"/>
      <c r="BP16" s="3341"/>
      <c r="BQ16" s="3341"/>
      <c r="BR16" s="3349">
        <f t="shared" si="45"/>
        <v>0</v>
      </c>
      <c r="BS16" s="4074">
        <f t="shared" si="25"/>
        <v>0</v>
      </c>
      <c r="BT16" s="1055"/>
      <c r="BU16" s="3341"/>
      <c r="BV16" s="3341"/>
      <c r="BW16" s="3349">
        <f t="shared" si="46"/>
        <v>0</v>
      </c>
      <c r="BX16" s="4074">
        <f t="shared" si="26"/>
        <v>0</v>
      </c>
      <c r="BY16" s="1055"/>
      <c r="BZ16" s="3341"/>
      <c r="CA16" s="3341"/>
      <c r="CB16" s="3349">
        <f t="shared" si="47"/>
        <v>0</v>
      </c>
      <c r="CC16" s="4074">
        <f t="shared" si="27"/>
        <v>0</v>
      </c>
      <c r="CD16" s="1055"/>
      <c r="CE16" s="3341"/>
      <c r="CF16" s="3341"/>
      <c r="CG16" s="3349">
        <f t="shared" si="48"/>
        <v>0</v>
      </c>
      <c r="CH16" s="4074">
        <f t="shared" si="28"/>
        <v>0</v>
      </c>
      <c r="CI16" s="1055"/>
      <c r="CJ16" s="3341"/>
      <c r="CK16" s="3341"/>
      <c r="CL16" s="3349">
        <f t="shared" si="49"/>
        <v>0</v>
      </c>
      <c r="CM16" s="4074">
        <f t="shared" si="29"/>
        <v>0</v>
      </c>
      <c r="CN16" s="1055"/>
      <c r="CO16" s="3341"/>
      <c r="CP16" s="3341"/>
      <c r="CQ16" s="3349">
        <f t="shared" si="50"/>
        <v>0</v>
      </c>
      <c r="CR16" s="4074">
        <f t="shared" si="30"/>
        <v>0</v>
      </c>
      <c r="CS16" s="1055"/>
      <c r="CT16" s="3341"/>
      <c r="CU16" s="3341"/>
      <c r="CV16" s="3349">
        <f t="shared" si="51"/>
        <v>0</v>
      </c>
      <c r="CW16" s="4074">
        <f t="shared" si="31"/>
        <v>0</v>
      </c>
      <c r="CX16" s="1055"/>
      <c r="CY16" s="3341"/>
      <c r="CZ16" s="3341"/>
      <c r="DA16" s="3349">
        <f t="shared" si="52"/>
        <v>0</v>
      </c>
      <c r="DB16" s="4074">
        <f t="shared" si="32"/>
        <v>0</v>
      </c>
      <c r="DC16" s="1055"/>
      <c r="DD16" s="3341"/>
      <c r="DE16" s="3341"/>
      <c r="DF16" s="3349">
        <f t="shared" si="53"/>
        <v>0</v>
      </c>
      <c r="DG16" s="4074">
        <f t="shared" si="33"/>
        <v>0</v>
      </c>
      <c r="DH16" s="1055"/>
      <c r="DI16" s="3341"/>
      <c r="DJ16" s="3341"/>
      <c r="DK16" s="3349">
        <f t="shared" si="54"/>
        <v>0</v>
      </c>
      <c r="DL16" s="4074">
        <f t="shared" si="34"/>
        <v>0</v>
      </c>
      <c r="DM16" s="1055"/>
      <c r="DN16" s="3341"/>
      <c r="DO16" s="3341"/>
      <c r="DP16" s="3349">
        <f t="shared" si="55"/>
        <v>0</v>
      </c>
      <c r="DQ16" s="4074">
        <f t="shared" si="35"/>
        <v>0</v>
      </c>
      <c r="DR16" s="1055"/>
      <c r="DS16" s="3341"/>
      <c r="DT16" s="3341"/>
      <c r="DU16" s="3349">
        <f t="shared" si="56"/>
        <v>0</v>
      </c>
      <c r="DV16" s="4074">
        <f t="shared" si="36"/>
        <v>0</v>
      </c>
      <c r="DW16" s="1055"/>
      <c r="DX16" s="3341">
        <f t="shared" si="57"/>
        <v>0</v>
      </c>
      <c r="DY16" s="3341">
        <f t="shared" si="57"/>
        <v>0</v>
      </c>
      <c r="DZ16" s="3349">
        <f>DX16+DY16*1</f>
        <v>0</v>
      </c>
      <c r="EA16" s="4074">
        <f t="shared" si="37"/>
        <v>0</v>
      </c>
      <c r="EB16" s="1434"/>
      <c r="ED16" s="4186"/>
      <c r="EE16" s="2012">
        <f t="shared" si="58"/>
        <v>0</v>
      </c>
      <c r="EF16" s="4188">
        <f t="shared" si="66"/>
        <v>0</v>
      </c>
      <c r="EH16" s="2624"/>
    </row>
    <row r="17" spans="1:140" s="1396" customFormat="1" ht="13.8" outlineLevel="2">
      <c r="A17" s="1571"/>
      <c r="B17" s="4075" t="s">
        <v>22</v>
      </c>
      <c r="C17" s="3341">
        <v>0</v>
      </c>
      <c r="D17" s="3341">
        <v>15000</v>
      </c>
      <c r="E17" s="3349">
        <f t="shared" si="59"/>
        <v>15000</v>
      </c>
      <c r="F17" s="4074">
        <f t="shared" si="16"/>
        <v>6.9298233382942952E-3</v>
      </c>
      <c r="G17" s="1434"/>
      <c r="H17" s="3341">
        <v>0</v>
      </c>
      <c r="I17" s="3341">
        <v>12000</v>
      </c>
      <c r="J17" s="3349">
        <v>12000</v>
      </c>
      <c r="K17" s="4074">
        <v>1.3725446919587452E-2</v>
      </c>
      <c r="L17" s="1434"/>
      <c r="M17" s="3341"/>
      <c r="N17" s="3341"/>
      <c r="O17" s="3349">
        <f t="shared" si="60"/>
        <v>0</v>
      </c>
      <c r="P17" s="4074">
        <f t="shared" si="17"/>
        <v>0</v>
      </c>
      <c r="Q17" s="1434"/>
      <c r="R17" s="3341"/>
      <c r="S17" s="3341"/>
      <c r="T17" s="3349">
        <f>R17+S17*1</f>
        <v>0</v>
      </c>
      <c r="U17" s="4074">
        <f t="shared" si="18"/>
        <v>0</v>
      </c>
      <c r="V17" s="2047"/>
      <c r="W17" s="3341"/>
      <c r="X17" s="3341"/>
      <c r="Y17" s="3349">
        <f t="shared" si="62"/>
        <v>0</v>
      </c>
      <c r="Z17" s="4074">
        <f t="shared" si="19"/>
        <v>0</v>
      </c>
      <c r="AA17" s="2047"/>
      <c r="AB17" s="3341"/>
      <c r="AC17" s="3341"/>
      <c r="AD17" s="3349">
        <f t="shared" si="63"/>
        <v>0</v>
      </c>
      <c r="AE17" s="4074" t="e">
        <f t="shared" si="67"/>
        <v>#DIV/0!</v>
      </c>
      <c r="AF17" s="2047"/>
      <c r="AG17" s="3341"/>
      <c r="AH17" s="3341"/>
      <c r="AI17" s="3349">
        <f t="shared" si="70"/>
        <v>0</v>
      </c>
      <c r="AJ17" s="4074" t="e">
        <f t="shared" si="68"/>
        <v>#DIV/0!</v>
      </c>
      <c r="AK17" s="2047"/>
      <c r="AL17" s="3341"/>
      <c r="AM17" s="3341"/>
      <c r="AN17" s="3349">
        <f t="shared" si="64"/>
        <v>0</v>
      </c>
      <c r="AO17" s="4074" t="e">
        <f t="shared" si="69"/>
        <v>#DIV/0!</v>
      </c>
      <c r="AP17" s="2047"/>
      <c r="AQ17" s="3341"/>
      <c r="AR17" s="3341"/>
      <c r="AS17" s="3349">
        <f t="shared" si="38"/>
        <v>0</v>
      </c>
      <c r="AT17" s="4074">
        <f t="shared" si="20"/>
        <v>0</v>
      </c>
      <c r="AU17" s="2047"/>
      <c r="AV17" s="3341"/>
      <c r="AW17" s="3341">
        <v>3000</v>
      </c>
      <c r="AX17" s="3349">
        <f t="shared" si="39"/>
        <v>3000</v>
      </c>
      <c r="AY17" s="4074">
        <f t="shared" si="21"/>
        <v>1.5480413949651078E-2</v>
      </c>
      <c r="AZ17" s="2047" t="s">
        <v>1804</v>
      </c>
      <c r="BA17" s="3341"/>
      <c r="BB17" s="3341"/>
      <c r="BC17" s="3349">
        <f t="shared" si="40"/>
        <v>0</v>
      </c>
      <c r="BD17" s="4074">
        <f t="shared" si="22"/>
        <v>0</v>
      </c>
      <c r="BE17" s="2047"/>
      <c r="BF17" s="3342">
        <f t="shared" si="41"/>
        <v>0</v>
      </c>
      <c r="BG17" s="3342">
        <f t="shared" si="41"/>
        <v>3000</v>
      </c>
      <c r="BH17" s="2012">
        <f t="shared" si="42"/>
        <v>3000</v>
      </c>
      <c r="BI17" s="2047"/>
      <c r="BJ17" s="2047"/>
      <c r="BK17" s="3342">
        <f t="shared" si="43"/>
        <v>0</v>
      </c>
      <c r="BL17" s="3342">
        <f t="shared" si="43"/>
        <v>3000</v>
      </c>
      <c r="BM17" s="2012">
        <f t="shared" si="44"/>
        <v>3000</v>
      </c>
      <c r="BN17" s="2047"/>
      <c r="BO17" s="2047"/>
      <c r="BP17" s="3341"/>
      <c r="BQ17" s="3341"/>
      <c r="BR17" s="3349">
        <f t="shared" si="45"/>
        <v>0</v>
      </c>
      <c r="BS17" s="4074">
        <f t="shared" si="25"/>
        <v>0</v>
      </c>
      <c r="BT17" s="2047"/>
      <c r="BU17" s="3341"/>
      <c r="BV17" s="3341">
        <v>3000</v>
      </c>
      <c r="BW17" s="3349">
        <f t="shared" si="46"/>
        <v>3000</v>
      </c>
      <c r="BX17" s="4074">
        <f t="shared" si="26"/>
        <v>1.5480413949651078E-2</v>
      </c>
      <c r="BY17" s="2047"/>
      <c r="BZ17" s="3341"/>
      <c r="CA17" s="3341"/>
      <c r="CB17" s="3349">
        <f t="shared" si="47"/>
        <v>0</v>
      </c>
      <c r="CC17" s="4074">
        <f t="shared" si="27"/>
        <v>0</v>
      </c>
      <c r="CD17" s="2047"/>
      <c r="CE17" s="3341"/>
      <c r="CF17" s="3341"/>
      <c r="CG17" s="3349">
        <f t="shared" si="48"/>
        <v>0</v>
      </c>
      <c r="CH17" s="4074">
        <f t="shared" si="28"/>
        <v>0</v>
      </c>
      <c r="CI17" s="2047"/>
      <c r="CJ17" s="3341"/>
      <c r="CK17" s="3341"/>
      <c r="CL17" s="3349">
        <f t="shared" si="49"/>
        <v>0</v>
      </c>
      <c r="CM17" s="4074">
        <f t="shared" si="29"/>
        <v>0</v>
      </c>
      <c r="CN17" s="2047"/>
      <c r="CO17" s="3341"/>
      <c r="CP17" s="3341"/>
      <c r="CQ17" s="3349">
        <f t="shared" si="50"/>
        <v>0</v>
      </c>
      <c r="CR17" s="4074">
        <f t="shared" si="30"/>
        <v>0</v>
      </c>
      <c r="CS17" s="2047"/>
      <c r="CT17" s="3341"/>
      <c r="CU17" s="3341"/>
      <c r="CV17" s="3349">
        <f t="shared" si="51"/>
        <v>0</v>
      </c>
      <c r="CW17" s="4074">
        <f t="shared" si="31"/>
        <v>0</v>
      </c>
      <c r="CX17" s="2047"/>
      <c r="CY17" s="3341"/>
      <c r="CZ17" s="3341"/>
      <c r="DA17" s="3349">
        <f t="shared" si="52"/>
        <v>0</v>
      </c>
      <c r="DB17" s="4074">
        <f t="shared" si="32"/>
        <v>0</v>
      </c>
      <c r="DC17" s="2047"/>
      <c r="DD17" s="3341"/>
      <c r="DE17" s="3341"/>
      <c r="DF17" s="3349">
        <f t="shared" si="53"/>
        <v>0</v>
      </c>
      <c r="DG17" s="4074">
        <f t="shared" si="33"/>
        <v>0</v>
      </c>
      <c r="DH17" s="2047"/>
      <c r="DI17" s="3341"/>
      <c r="DJ17" s="3341"/>
      <c r="DK17" s="3349">
        <f t="shared" si="54"/>
        <v>0</v>
      </c>
      <c r="DL17" s="4074">
        <f t="shared" si="34"/>
        <v>0</v>
      </c>
      <c r="DM17" s="2047"/>
      <c r="DN17" s="3341"/>
      <c r="DO17" s="3341"/>
      <c r="DP17" s="3349">
        <f t="shared" si="55"/>
        <v>0</v>
      </c>
      <c r="DQ17" s="4074">
        <f t="shared" si="35"/>
        <v>0</v>
      </c>
      <c r="DR17" s="2047"/>
      <c r="DS17" s="3341"/>
      <c r="DT17" s="3341"/>
      <c r="DU17" s="3349">
        <f t="shared" si="56"/>
        <v>0</v>
      </c>
      <c r="DV17" s="4074">
        <f t="shared" si="36"/>
        <v>0</v>
      </c>
      <c r="DW17" s="2047"/>
      <c r="DX17" s="3341">
        <f t="shared" si="57"/>
        <v>0</v>
      </c>
      <c r="DY17" s="3341">
        <f t="shared" si="57"/>
        <v>6000</v>
      </c>
      <c r="DZ17" s="3349">
        <f t="shared" si="65"/>
        <v>6000</v>
      </c>
      <c r="EA17" s="4074">
        <f t="shared" si="37"/>
        <v>4.5202044803936085E-3</v>
      </c>
      <c r="EB17" s="1434"/>
      <c r="ED17" s="4186">
        <v>6899.9999999999991</v>
      </c>
      <c r="EE17" s="2012">
        <f t="shared" si="58"/>
        <v>6000</v>
      </c>
      <c r="EF17" s="4188">
        <f t="shared" si="66"/>
        <v>899.99999999999909</v>
      </c>
      <c r="EG17" s="3307"/>
      <c r="EH17" s="4189">
        <f>EF17/ED17</f>
        <v>0.13043478260869554</v>
      </c>
    </row>
    <row r="18" spans="1:140" s="1396" customFormat="1" ht="48" outlineLevel="2">
      <c r="A18" s="1571"/>
      <c r="B18" s="4075" t="s">
        <v>0</v>
      </c>
      <c r="C18" s="3341">
        <v>0</v>
      </c>
      <c r="D18" s="3341">
        <v>500</v>
      </c>
      <c r="E18" s="3349">
        <f t="shared" si="59"/>
        <v>500</v>
      </c>
      <c r="F18" s="4074">
        <f t="shared" si="16"/>
        <v>2.309941112764765E-4</v>
      </c>
      <c r="G18" s="1434"/>
      <c r="H18" s="3341">
        <v>0</v>
      </c>
      <c r="I18" s="3341">
        <v>0</v>
      </c>
      <c r="J18" s="3349">
        <v>0</v>
      </c>
      <c r="K18" s="4074">
        <v>0</v>
      </c>
      <c r="L18" s="1434"/>
      <c r="M18" s="3341"/>
      <c r="N18" s="3341"/>
      <c r="O18" s="3349">
        <f t="shared" si="60"/>
        <v>0</v>
      </c>
      <c r="P18" s="4074">
        <f t="shared" si="17"/>
        <v>0</v>
      </c>
      <c r="Q18" s="1434"/>
      <c r="R18" s="3341"/>
      <c r="S18" s="3341"/>
      <c r="T18" s="3349">
        <f>R18+S18*1</f>
        <v>0</v>
      </c>
      <c r="U18" s="4074">
        <f t="shared" si="18"/>
        <v>0</v>
      </c>
      <c r="V18" s="3195"/>
      <c r="W18" s="3341"/>
      <c r="X18" s="3341">
        <v>250</v>
      </c>
      <c r="Y18" s="3349">
        <f t="shared" si="62"/>
        <v>250</v>
      </c>
      <c r="Z18" s="4074">
        <f>Y18/$T$89</f>
        <v>1.7827868852459015</v>
      </c>
      <c r="AA18" s="3195" t="s">
        <v>1023</v>
      </c>
      <c r="AB18" s="3341"/>
      <c r="AC18" s="3341"/>
      <c r="AD18" s="3349">
        <f t="shared" si="63"/>
        <v>0</v>
      </c>
      <c r="AE18" s="4074" t="e">
        <f t="shared" si="67"/>
        <v>#DIV/0!</v>
      </c>
      <c r="AF18" s="1055"/>
      <c r="AG18" s="3341"/>
      <c r="AH18" s="3341"/>
      <c r="AI18" s="3349">
        <f t="shared" si="70"/>
        <v>0</v>
      </c>
      <c r="AJ18" s="4074" t="e">
        <f t="shared" si="68"/>
        <v>#DIV/0!</v>
      </c>
      <c r="AK18" s="1055"/>
      <c r="AL18" s="3341"/>
      <c r="AM18" s="3341"/>
      <c r="AN18" s="3349">
        <f t="shared" si="64"/>
        <v>0</v>
      </c>
      <c r="AO18" s="4074" t="e">
        <f t="shared" si="69"/>
        <v>#DIV/0!</v>
      </c>
      <c r="AP18" s="1055"/>
      <c r="AQ18" s="3341"/>
      <c r="AR18" s="3341"/>
      <c r="AS18" s="3349">
        <f t="shared" si="38"/>
        <v>0</v>
      </c>
      <c r="AT18" s="4074">
        <f t="shared" si="20"/>
        <v>0</v>
      </c>
      <c r="AU18" s="1055"/>
      <c r="AV18" s="3341"/>
      <c r="AW18" s="3341"/>
      <c r="AX18" s="3349">
        <f t="shared" si="39"/>
        <v>0</v>
      </c>
      <c r="AY18" s="4074">
        <f t="shared" si="21"/>
        <v>0</v>
      </c>
      <c r="AZ18" s="1055"/>
      <c r="BA18" s="3341"/>
      <c r="BB18" s="3341"/>
      <c r="BC18" s="3349">
        <f t="shared" si="40"/>
        <v>0</v>
      </c>
      <c r="BD18" s="4074">
        <f t="shared" si="22"/>
        <v>0</v>
      </c>
      <c r="BE18" s="1055"/>
      <c r="BF18" s="3342">
        <f t="shared" si="41"/>
        <v>0</v>
      </c>
      <c r="BG18" s="3342">
        <f t="shared" si="41"/>
        <v>0</v>
      </c>
      <c r="BH18" s="2012">
        <f t="shared" si="42"/>
        <v>0</v>
      </c>
      <c r="BI18" s="1055"/>
      <c r="BJ18" s="1055"/>
      <c r="BK18" s="3342">
        <f t="shared" si="43"/>
        <v>0</v>
      </c>
      <c r="BL18" s="3342">
        <f t="shared" si="43"/>
        <v>0</v>
      </c>
      <c r="BM18" s="2012">
        <f t="shared" si="44"/>
        <v>0</v>
      </c>
      <c r="BN18" s="1055"/>
      <c r="BO18" s="1055"/>
      <c r="BP18" s="3341"/>
      <c r="BQ18" s="3341"/>
      <c r="BR18" s="3349">
        <f t="shared" si="45"/>
        <v>0</v>
      </c>
      <c r="BS18" s="4074">
        <f t="shared" si="25"/>
        <v>0</v>
      </c>
      <c r="BT18" s="1055"/>
      <c r="BU18" s="3341"/>
      <c r="BV18" s="3341"/>
      <c r="BW18" s="3349">
        <f t="shared" si="46"/>
        <v>0</v>
      </c>
      <c r="BX18" s="4074">
        <f t="shared" si="26"/>
        <v>0</v>
      </c>
      <c r="BY18" s="1055"/>
      <c r="BZ18" s="3341"/>
      <c r="CA18" s="3341"/>
      <c r="CB18" s="3349">
        <f t="shared" si="47"/>
        <v>0</v>
      </c>
      <c r="CC18" s="4074">
        <f t="shared" si="27"/>
        <v>0</v>
      </c>
      <c r="CD18" s="1055"/>
      <c r="CE18" s="3341"/>
      <c r="CF18" s="3341"/>
      <c r="CG18" s="3349">
        <f t="shared" si="48"/>
        <v>0</v>
      </c>
      <c r="CH18" s="4074">
        <f t="shared" si="28"/>
        <v>0</v>
      </c>
      <c r="CI18" s="1055"/>
      <c r="CJ18" s="3341"/>
      <c r="CK18" s="3341"/>
      <c r="CL18" s="3349">
        <f t="shared" si="49"/>
        <v>0</v>
      </c>
      <c r="CM18" s="4074">
        <f t="shared" si="29"/>
        <v>0</v>
      </c>
      <c r="CN18" s="1055"/>
      <c r="CO18" s="3341"/>
      <c r="CP18" s="3341"/>
      <c r="CQ18" s="3349">
        <f t="shared" si="50"/>
        <v>0</v>
      </c>
      <c r="CR18" s="4074">
        <f t="shared" si="30"/>
        <v>0</v>
      </c>
      <c r="CS18" s="1055"/>
      <c r="CT18" s="3341"/>
      <c r="CU18" s="3341"/>
      <c r="CV18" s="3349">
        <f t="shared" si="51"/>
        <v>0</v>
      </c>
      <c r="CW18" s="4074">
        <f t="shared" si="31"/>
        <v>0</v>
      </c>
      <c r="CX18" s="1055"/>
      <c r="CY18" s="3341"/>
      <c r="CZ18" s="3341"/>
      <c r="DA18" s="3349">
        <f t="shared" si="52"/>
        <v>0</v>
      </c>
      <c r="DB18" s="4074">
        <f t="shared" si="32"/>
        <v>0</v>
      </c>
      <c r="DC18" s="1055"/>
      <c r="DD18" s="3341"/>
      <c r="DE18" s="3341"/>
      <c r="DF18" s="3349">
        <f t="shared" si="53"/>
        <v>0</v>
      </c>
      <c r="DG18" s="4074">
        <f t="shared" si="33"/>
        <v>0</v>
      </c>
      <c r="DH18" s="1055"/>
      <c r="DI18" s="3341"/>
      <c r="DJ18" s="3341"/>
      <c r="DK18" s="3349">
        <f t="shared" si="54"/>
        <v>0</v>
      </c>
      <c r="DL18" s="4074">
        <f t="shared" si="34"/>
        <v>0</v>
      </c>
      <c r="DM18" s="1055"/>
      <c r="DN18" s="3341"/>
      <c r="DO18" s="3341"/>
      <c r="DP18" s="3349">
        <f t="shared" si="55"/>
        <v>0</v>
      </c>
      <c r="DQ18" s="4074">
        <f t="shared" si="35"/>
        <v>0</v>
      </c>
      <c r="DR18" s="1055"/>
      <c r="DS18" s="3341"/>
      <c r="DT18" s="3341"/>
      <c r="DU18" s="3349">
        <f t="shared" si="56"/>
        <v>0</v>
      </c>
      <c r="DV18" s="4074">
        <f t="shared" si="36"/>
        <v>0</v>
      </c>
      <c r="DW18" s="1055"/>
      <c r="DX18" s="3341">
        <f t="shared" si="57"/>
        <v>0</v>
      </c>
      <c r="DY18" s="3341">
        <f t="shared" si="57"/>
        <v>0</v>
      </c>
      <c r="DZ18" s="3349">
        <f t="shared" si="65"/>
        <v>0</v>
      </c>
      <c r="EA18" s="4074">
        <f t="shared" si="37"/>
        <v>0</v>
      </c>
      <c r="EB18" s="1434"/>
      <c r="ED18" s="4186"/>
      <c r="EE18" s="2012">
        <f t="shared" si="58"/>
        <v>0</v>
      </c>
      <c r="EF18" s="4188">
        <f t="shared" si="66"/>
        <v>0</v>
      </c>
      <c r="EH18" s="2624"/>
    </row>
    <row r="19" spans="1:140" s="1396" customFormat="1" ht="13.8" outlineLevel="2">
      <c r="A19" s="1571"/>
      <c r="B19" s="4075" t="s">
        <v>53</v>
      </c>
      <c r="C19" s="3341">
        <v>105240.97199999999</v>
      </c>
      <c r="D19" s="3341">
        <v>0</v>
      </c>
      <c r="E19" s="3349">
        <f t="shared" si="59"/>
        <v>105240.97199999999</v>
      </c>
      <c r="F19" s="4074">
        <f t="shared" si="16"/>
        <v>4.8620089594025091E-2</v>
      </c>
      <c r="G19" s="1434"/>
      <c r="H19" s="3341">
        <v>0</v>
      </c>
      <c r="I19" s="3341">
        <v>0</v>
      </c>
      <c r="J19" s="3349">
        <v>0</v>
      </c>
      <c r="K19" s="4074">
        <v>0</v>
      </c>
      <c r="L19" s="1434"/>
      <c r="M19" s="3341"/>
      <c r="N19" s="3341"/>
      <c r="O19" s="3349">
        <f t="shared" si="60"/>
        <v>0</v>
      </c>
      <c r="P19" s="4074">
        <f t="shared" si="17"/>
        <v>0</v>
      </c>
      <c r="Q19" s="1434"/>
      <c r="R19" s="3341"/>
      <c r="S19" s="3341"/>
      <c r="T19" s="3349">
        <f>R19+S19*1</f>
        <v>0</v>
      </c>
      <c r="U19" s="4074">
        <f t="shared" si="18"/>
        <v>0</v>
      </c>
      <c r="V19" s="1055"/>
      <c r="W19" s="3341"/>
      <c r="X19" s="3341"/>
      <c r="Y19" s="3349">
        <f t="shared" si="62"/>
        <v>0</v>
      </c>
      <c r="Z19" s="4074">
        <f>Y19/$T$89</f>
        <v>0</v>
      </c>
      <c r="AA19" s="1055"/>
      <c r="AB19" s="3341"/>
      <c r="AC19" s="3341"/>
      <c r="AD19" s="3349">
        <f t="shared" si="63"/>
        <v>0</v>
      </c>
      <c r="AE19" s="4074" t="e">
        <f t="shared" si="67"/>
        <v>#DIV/0!</v>
      </c>
      <c r="AF19" s="1055"/>
      <c r="AG19" s="3341"/>
      <c r="AH19" s="3341"/>
      <c r="AI19" s="3349">
        <f t="shared" si="70"/>
        <v>0</v>
      </c>
      <c r="AJ19" s="4074" t="e">
        <f t="shared" si="68"/>
        <v>#DIV/0!</v>
      </c>
      <c r="AK19" s="1055"/>
      <c r="AL19" s="3341"/>
      <c r="AM19" s="3341"/>
      <c r="AN19" s="3349">
        <f t="shared" si="64"/>
        <v>0</v>
      </c>
      <c r="AO19" s="4074" t="e">
        <f t="shared" si="69"/>
        <v>#DIV/0!</v>
      </c>
      <c r="AP19" s="1055"/>
      <c r="AQ19" s="3341"/>
      <c r="AR19" s="3341"/>
      <c r="AS19" s="3349">
        <f t="shared" si="38"/>
        <v>0</v>
      </c>
      <c r="AT19" s="4074">
        <f t="shared" si="20"/>
        <v>0</v>
      </c>
      <c r="AU19" s="1055"/>
      <c r="AV19" s="3341"/>
      <c r="AW19" s="3341"/>
      <c r="AX19" s="3349">
        <f t="shared" si="39"/>
        <v>0</v>
      </c>
      <c r="AY19" s="4074">
        <f t="shared" si="21"/>
        <v>0</v>
      </c>
      <c r="AZ19" s="1055"/>
      <c r="BA19" s="3341"/>
      <c r="BB19" s="3341"/>
      <c r="BC19" s="3349">
        <f t="shared" si="40"/>
        <v>0</v>
      </c>
      <c r="BD19" s="4074">
        <f t="shared" si="22"/>
        <v>0</v>
      </c>
      <c r="BE19" s="1055"/>
      <c r="BF19" s="3342">
        <f t="shared" si="41"/>
        <v>0</v>
      </c>
      <c r="BG19" s="3342">
        <f t="shared" si="41"/>
        <v>0</v>
      </c>
      <c r="BH19" s="2012">
        <f t="shared" si="42"/>
        <v>0</v>
      </c>
      <c r="BI19" s="1055"/>
      <c r="BJ19" s="1055"/>
      <c r="BK19" s="3342">
        <f t="shared" si="43"/>
        <v>0</v>
      </c>
      <c r="BL19" s="3342">
        <f t="shared" si="43"/>
        <v>0</v>
      </c>
      <c r="BM19" s="2012">
        <f t="shared" si="44"/>
        <v>0</v>
      </c>
      <c r="BN19" s="1055"/>
      <c r="BO19" s="1055"/>
      <c r="BP19" s="3341"/>
      <c r="BQ19" s="3341"/>
      <c r="BR19" s="3349">
        <f t="shared" si="45"/>
        <v>0</v>
      </c>
      <c r="BS19" s="4074">
        <f t="shared" si="25"/>
        <v>0</v>
      </c>
      <c r="BT19" s="1055"/>
      <c r="BU19" s="3341"/>
      <c r="BV19" s="3341"/>
      <c r="BW19" s="3349">
        <f t="shared" si="46"/>
        <v>0</v>
      </c>
      <c r="BX19" s="4074">
        <f t="shared" si="26"/>
        <v>0</v>
      </c>
      <c r="BY19" s="1055"/>
      <c r="BZ19" s="3341"/>
      <c r="CA19" s="3341"/>
      <c r="CB19" s="3349">
        <f t="shared" si="47"/>
        <v>0</v>
      </c>
      <c r="CC19" s="4074">
        <f t="shared" si="27"/>
        <v>0</v>
      </c>
      <c r="CD19" s="1055"/>
      <c r="CE19" s="3341"/>
      <c r="CF19" s="3341"/>
      <c r="CG19" s="3349">
        <f t="shared" si="48"/>
        <v>0</v>
      </c>
      <c r="CH19" s="4074">
        <f t="shared" si="28"/>
        <v>0</v>
      </c>
      <c r="CI19" s="1055"/>
      <c r="CJ19" s="3341"/>
      <c r="CK19" s="3341"/>
      <c r="CL19" s="3349">
        <f t="shared" si="49"/>
        <v>0</v>
      </c>
      <c r="CM19" s="4074">
        <f t="shared" si="29"/>
        <v>0</v>
      </c>
      <c r="CN19" s="1055"/>
      <c r="CO19" s="3341"/>
      <c r="CP19" s="3341"/>
      <c r="CQ19" s="3349">
        <f t="shared" si="50"/>
        <v>0</v>
      </c>
      <c r="CR19" s="4074">
        <f t="shared" si="30"/>
        <v>0</v>
      </c>
      <c r="CS19" s="1055"/>
      <c r="CT19" s="3341"/>
      <c r="CU19" s="3341"/>
      <c r="CV19" s="3349">
        <f t="shared" si="51"/>
        <v>0</v>
      </c>
      <c r="CW19" s="4074">
        <f t="shared" si="31"/>
        <v>0</v>
      </c>
      <c r="CX19" s="1055"/>
      <c r="CY19" s="3341"/>
      <c r="CZ19" s="3341"/>
      <c r="DA19" s="3349">
        <f t="shared" si="52"/>
        <v>0</v>
      </c>
      <c r="DB19" s="4074">
        <f t="shared" si="32"/>
        <v>0</v>
      </c>
      <c r="DC19" s="1055"/>
      <c r="DD19" s="3341"/>
      <c r="DE19" s="3341"/>
      <c r="DF19" s="3349">
        <f t="shared" si="53"/>
        <v>0</v>
      </c>
      <c r="DG19" s="4074">
        <f t="shared" si="33"/>
        <v>0</v>
      </c>
      <c r="DH19" s="1055"/>
      <c r="DI19" s="3341"/>
      <c r="DJ19" s="3341"/>
      <c r="DK19" s="3349">
        <f t="shared" si="54"/>
        <v>0</v>
      </c>
      <c r="DL19" s="4074">
        <f t="shared" si="34"/>
        <v>0</v>
      </c>
      <c r="DM19" s="1055"/>
      <c r="DN19" s="3341"/>
      <c r="DO19" s="3341"/>
      <c r="DP19" s="3349">
        <f t="shared" si="55"/>
        <v>0</v>
      </c>
      <c r="DQ19" s="4074">
        <f t="shared" si="35"/>
        <v>0</v>
      </c>
      <c r="DR19" s="1055"/>
      <c r="DS19" s="3341"/>
      <c r="DT19" s="3341"/>
      <c r="DU19" s="3349">
        <f t="shared" si="56"/>
        <v>0</v>
      </c>
      <c r="DV19" s="4074">
        <f t="shared" si="36"/>
        <v>0</v>
      </c>
      <c r="DW19" s="1055"/>
      <c r="DX19" s="3341">
        <f t="shared" si="57"/>
        <v>0</v>
      </c>
      <c r="DY19" s="3341">
        <f t="shared" si="57"/>
        <v>0</v>
      </c>
      <c r="DZ19" s="3349">
        <f t="shared" si="65"/>
        <v>0</v>
      </c>
      <c r="EA19" s="4074">
        <f t="shared" si="37"/>
        <v>0</v>
      </c>
      <c r="EB19" s="1434"/>
      <c r="ED19" s="4186"/>
      <c r="EE19" s="2012">
        <f t="shared" si="58"/>
        <v>0</v>
      </c>
      <c r="EF19" s="4188">
        <f t="shared" si="66"/>
        <v>0</v>
      </c>
      <c r="EH19" s="2624"/>
    </row>
    <row r="20" spans="1:140" s="1396" customFormat="1" ht="13.8" outlineLevel="2">
      <c r="A20" s="1571"/>
      <c r="B20" s="4075" t="s">
        <v>57</v>
      </c>
      <c r="C20" s="3341">
        <v>0</v>
      </c>
      <c r="D20" s="3341">
        <v>0</v>
      </c>
      <c r="E20" s="3349">
        <f t="shared" si="59"/>
        <v>0</v>
      </c>
      <c r="F20" s="4074">
        <f t="shared" si="16"/>
        <v>0</v>
      </c>
      <c r="G20" s="1434"/>
      <c r="H20" s="3341">
        <v>0</v>
      </c>
      <c r="I20" s="3341">
        <v>0</v>
      </c>
      <c r="J20" s="3349">
        <v>0</v>
      </c>
      <c r="K20" s="4074">
        <v>0</v>
      </c>
      <c r="L20" s="1434"/>
      <c r="M20" s="3341"/>
      <c r="N20" s="3341"/>
      <c r="O20" s="3349">
        <f t="shared" si="60"/>
        <v>0</v>
      </c>
      <c r="P20" s="4074">
        <f t="shared" si="17"/>
        <v>0</v>
      </c>
      <c r="Q20" s="1434"/>
      <c r="R20" s="3341"/>
      <c r="S20" s="3341"/>
      <c r="T20" s="3349">
        <f>R20+S20*1</f>
        <v>0</v>
      </c>
      <c r="U20" s="4074">
        <f t="shared" si="18"/>
        <v>0</v>
      </c>
      <c r="V20" s="1055"/>
      <c r="W20" s="3341"/>
      <c r="X20" s="3341"/>
      <c r="Y20" s="3349">
        <f t="shared" si="62"/>
        <v>0</v>
      </c>
      <c r="Z20" s="4074">
        <f>Y20/$T$89</f>
        <v>0</v>
      </c>
      <c r="AA20" s="1055"/>
      <c r="AB20" s="3341"/>
      <c r="AC20" s="3341"/>
      <c r="AD20" s="3349">
        <f t="shared" si="63"/>
        <v>0</v>
      </c>
      <c r="AE20" s="4074" t="e">
        <f t="shared" si="67"/>
        <v>#DIV/0!</v>
      </c>
      <c r="AF20" s="1055"/>
      <c r="AG20" s="3341"/>
      <c r="AH20" s="3341"/>
      <c r="AI20" s="3349">
        <f t="shared" si="70"/>
        <v>0</v>
      </c>
      <c r="AJ20" s="4074" t="e">
        <f t="shared" si="68"/>
        <v>#DIV/0!</v>
      </c>
      <c r="AK20" s="1055"/>
      <c r="AL20" s="3341"/>
      <c r="AM20" s="3341"/>
      <c r="AN20" s="3349">
        <f t="shared" si="64"/>
        <v>0</v>
      </c>
      <c r="AO20" s="4074" t="e">
        <f t="shared" si="69"/>
        <v>#DIV/0!</v>
      </c>
      <c r="AP20" s="1055"/>
      <c r="AQ20" s="3341"/>
      <c r="AR20" s="3341"/>
      <c r="AS20" s="3349">
        <f t="shared" si="38"/>
        <v>0</v>
      </c>
      <c r="AT20" s="4074">
        <f t="shared" si="20"/>
        <v>0</v>
      </c>
      <c r="AU20" s="1055"/>
      <c r="AV20" s="3341"/>
      <c r="AW20" s="3341"/>
      <c r="AX20" s="3349">
        <f t="shared" si="39"/>
        <v>0</v>
      </c>
      <c r="AY20" s="4074">
        <f t="shared" si="21"/>
        <v>0</v>
      </c>
      <c r="AZ20" s="1055"/>
      <c r="BA20" s="3341"/>
      <c r="BB20" s="3341"/>
      <c r="BC20" s="3349">
        <f t="shared" si="40"/>
        <v>0</v>
      </c>
      <c r="BD20" s="4074">
        <f t="shared" si="22"/>
        <v>0</v>
      </c>
      <c r="BE20" s="1055"/>
      <c r="BF20" s="3342">
        <f t="shared" si="41"/>
        <v>0</v>
      </c>
      <c r="BG20" s="3342">
        <f t="shared" si="41"/>
        <v>0</v>
      </c>
      <c r="BH20" s="2012">
        <f t="shared" si="42"/>
        <v>0</v>
      </c>
      <c r="BI20" s="1055"/>
      <c r="BJ20" s="1055"/>
      <c r="BK20" s="3342">
        <f t="shared" si="43"/>
        <v>0</v>
      </c>
      <c r="BL20" s="3342">
        <f t="shared" si="43"/>
        <v>0</v>
      </c>
      <c r="BM20" s="2012">
        <f t="shared" si="44"/>
        <v>0</v>
      </c>
      <c r="BN20" s="1055"/>
      <c r="BO20" s="1055"/>
      <c r="BP20" s="3341"/>
      <c r="BQ20" s="3341"/>
      <c r="BR20" s="3349">
        <f t="shared" si="45"/>
        <v>0</v>
      </c>
      <c r="BS20" s="4074">
        <f t="shared" si="25"/>
        <v>0</v>
      </c>
      <c r="BT20" s="1055"/>
      <c r="BU20" s="3341"/>
      <c r="BV20" s="3341"/>
      <c r="BW20" s="3349">
        <f t="shared" si="46"/>
        <v>0</v>
      </c>
      <c r="BX20" s="4074">
        <f t="shared" si="26"/>
        <v>0</v>
      </c>
      <c r="BY20" s="1055"/>
      <c r="BZ20" s="3341"/>
      <c r="CA20" s="3341"/>
      <c r="CB20" s="3349">
        <f t="shared" si="47"/>
        <v>0</v>
      </c>
      <c r="CC20" s="4074">
        <f t="shared" si="27"/>
        <v>0</v>
      </c>
      <c r="CD20" s="1055"/>
      <c r="CE20" s="3341"/>
      <c r="CF20" s="3341"/>
      <c r="CG20" s="3349">
        <f t="shared" si="48"/>
        <v>0</v>
      </c>
      <c r="CH20" s="4074">
        <f t="shared" si="28"/>
        <v>0</v>
      </c>
      <c r="CI20" s="1055"/>
      <c r="CJ20" s="3341"/>
      <c r="CK20" s="3341"/>
      <c r="CL20" s="3349">
        <f t="shared" si="49"/>
        <v>0</v>
      </c>
      <c r="CM20" s="4074">
        <f t="shared" si="29"/>
        <v>0</v>
      </c>
      <c r="CN20" s="1055"/>
      <c r="CO20" s="3341"/>
      <c r="CP20" s="3341"/>
      <c r="CQ20" s="3349">
        <f t="shared" si="50"/>
        <v>0</v>
      </c>
      <c r="CR20" s="4074">
        <f t="shared" si="30"/>
        <v>0</v>
      </c>
      <c r="CS20" s="1055"/>
      <c r="CT20" s="3341"/>
      <c r="CU20" s="3341"/>
      <c r="CV20" s="3349">
        <f t="shared" si="51"/>
        <v>0</v>
      </c>
      <c r="CW20" s="4074">
        <f t="shared" si="31"/>
        <v>0</v>
      </c>
      <c r="CX20" s="1055"/>
      <c r="CY20" s="3341"/>
      <c r="CZ20" s="3341"/>
      <c r="DA20" s="3349">
        <f t="shared" si="52"/>
        <v>0</v>
      </c>
      <c r="DB20" s="4074">
        <f t="shared" si="32"/>
        <v>0</v>
      </c>
      <c r="DC20" s="1055"/>
      <c r="DD20" s="3341"/>
      <c r="DE20" s="3341"/>
      <c r="DF20" s="3349">
        <f t="shared" si="53"/>
        <v>0</v>
      </c>
      <c r="DG20" s="4074">
        <f t="shared" si="33"/>
        <v>0</v>
      </c>
      <c r="DH20" s="1055"/>
      <c r="DI20" s="3341"/>
      <c r="DJ20" s="3341"/>
      <c r="DK20" s="3349">
        <f t="shared" si="54"/>
        <v>0</v>
      </c>
      <c r="DL20" s="4074">
        <f t="shared" si="34"/>
        <v>0</v>
      </c>
      <c r="DM20" s="1055"/>
      <c r="DN20" s="3341"/>
      <c r="DO20" s="3341"/>
      <c r="DP20" s="3349">
        <f t="shared" si="55"/>
        <v>0</v>
      </c>
      <c r="DQ20" s="4074">
        <f t="shared" si="35"/>
        <v>0</v>
      </c>
      <c r="DR20" s="1055"/>
      <c r="DS20" s="3341"/>
      <c r="DT20" s="3341"/>
      <c r="DU20" s="3349">
        <f t="shared" si="56"/>
        <v>0</v>
      </c>
      <c r="DV20" s="4074">
        <f t="shared" si="36"/>
        <v>0</v>
      </c>
      <c r="DW20" s="1055"/>
      <c r="DX20" s="3341">
        <f t="shared" si="57"/>
        <v>0</v>
      </c>
      <c r="DY20" s="3341">
        <f t="shared" si="57"/>
        <v>0</v>
      </c>
      <c r="DZ20" s="3349">
        <f t="shared" si="65"/>
        <v>0</v>
      </c>
      <c r="EA20" s="4074">
        <f t="shared" si="37"/>
        <v>0</v>
      </c>
      <c r="EB20" s="1434"/>
      <c r="ED20" s="4186"/>
      <c r="EE20" s="2012">
        <f t="shared" si="58"/>
        <v>0</v>
      </c>
      <c r="EF20" s="4188">
        <f t="shared" si="66"/>
        <v>0</v>
      </c>
      <c r="EH20" s="2624"/>
    </row>
    <row r="21" spans="1:140" s="1396" customFormat="1" ht="96" outlineLevel="2">
      <c r="A21" s="1571"/>
      <c r="B21" s="4075" t="s">
        <v>58</v>
      </c>
      <c r="C21" s="3341">
        <v>26000.04</v>
      </c>
      <c r="D21" s="3341">
        <v>2000</v>
      </c>
      <c r="E21" s="3349">
        <f t="shared" si="59"/>
        <v>28000.04</v>
      </c>
      <c r="F21" s="4074">
        <f t="shared" si="16"/>
        <v>1.2935688711011587E-2</v>
      </c>
      <c r="G21" s="1434"/>
      <c r="H21" s="3341">
        <v>0</v>
      </c>
      <c r="I21" s="3341">
        <v>0</v>
      </c>
      <c r="J21" s="3349">
        <v>0</v>
      </c>
      <c r="K21" s="4074">
        <v>0</v>
      </c>
      <c r="L21" s="1434"/>
      <c r="M21" s="3341"/>
      <c r="N21" s="3341"/>
      <c r="O21" s="3349">
        <f t="shared" si="60"/>
        <v>0</v>
      </c>
      <c r="P21" s="4074">
        <f t="shared" si="17"/>
        <v>0</v>
      </c>
      <c r="Q21" s="1055"/>
      <c r="R21" s="3341"/>
      <c r="S21" s="3341"/>
      <c r="T21" s="3349">
        <f>R21+S21*1</f>
        <v>0</v>
      </c>
      <c r="U21" s="4074">
        <f t="shared" si="18"/>
        <v>0</v>
      </c>
      <c r="V21" s="3195"/>
      <c r="W21" s="3341">
        <f>50310+6792.16</f>
        <v>57102.16</v>
      </c>
      <c r="X21" s="3341"/>
      <c r="Y21" s="3349">
        <f t="shared" si="62"/>
        <v>57102.16</v>
      </c>
      <c r="Z21" s="4074">
        <f>Y21/$T$89</f>
        <v>407.20392786885242</v>
      </c>
      <c r="AA21" s="3195" t="s">
        <v>1004</v>
      </c>
      <c r="AB21" s="3341"/>
      <c r="AC21" s="3341"/>
      <c r="AD21" s="3349">
        <f t="shared" si="63"/>
        <v>0</v>
      </c>
      <c r="AE21" s="4074" t="e">
        <f t="shared" si="67"/>
        <v>#DIV/0!</v>
      </c>
      <c r="AF21" s="1055"/>
      <c r="AG21" s="3341"/>
      <c r="AH21" s="3341"/>
      <c r="AI21" s="3349">
        <f t="shared" si="70"/>
        <v>0</v>
      </c>
      <c r="AJ21" s="4074" t="e">
        <f t="shared" si="68"/>
        <v>#DIV/0!</v>
      </c>
      <c r="AK21" s="1055"/>
      <c r="AL21" s="3341"/>
      <c r="AM21" s="3341"/>
      <c r="AN21" s="3349">
        <f t="shared" si="64"/>
        <v>0</v>
      </c>
      <c r="AO21" s="4074" t="e">
        <f t="shared" si="69"/>
        <v>#DIV/0!</v>
      </c>
      <c r="AP21" s="1055"/>
      <c r="AQ21" s="3341"/>
      <c r="AR21" s="3341"/>
      <c r="AS21" s="3349">
        <f t="shared" si="38"/>
        <v>0</v>
      </c>
      <c r="AT21" s="4074">
        <f t="shared" si="20"/>
        <v>0</v>
      </c>
      <c r="AU21" s="1615"/>
      <c r="AV21" s="3341"/>
      <c r="AW21" s="3341"/>
      <c r="AX21" s="3349">
        <f t="shared" si="39"/>
        <v>0</v>
      </c>
      <c r="AY21" s="4074">
        <f t="shared" si="21"/>
        <v>0</v>
      </c>
      <c r="AZ21" s="1615"/>
      <c r="BA21" s="3341"/>
      <c r="BB21" s="3341"/>
      <c r="BC21" s="3349">
        <f t="shared" si="40"/>
        <v>0</v>
      </c>
      <c r="BD21" s="4074">
        <f t="shared" si="22"/>
        <v>0</v>
      </c>
      <c r="BE21" s="1615"/>
      <c r="BF21" s="3342">
        <f t="shared" si="41"/>
        <v>0</v>
      </c>
      <c r="BG21" s="3342">
        <f t="shared" si="41"/>
        <v>0</v>
      </c>
      <c r="BH21" s="2012">
        <f t="shared" si="42"/>
        <v>0</v>
      </c>
      <c r="BI21" s="1615"/>
      <c r="BJ21" s="1615"/>
      <c r="BK21" s="3342">
        <f t="shared" si="43"/>
        <v>0</v>
      </c>
      <c r="BL21" s="3342">
        <f t="shared" si="43"/>
        <v>0</v>
      </c>
      <c r="BM21" s="2012">
        <f t="shared" si="44"/>
        <v>0</v>
      </c>
      <c r="BN21" s="1615"/>
      <c r="BO21" s="1615"/>
      <c r="BP21" s="3341"/>
      <c r="BQ21" s="3341"/>
      <c r="BR21" s="3349">
        <f t="shared" si="45"/>
        <v>0</v>
      </c>
      <c r="BS21" s="4074">
        <f t="shared" si="25"/>
        <v>0</v>
      </c>
      <c r="BT21" s="1615"/>
      <c r="BU21" s="3341"/>
      <c r="BV21" s="3341"/>
      <c r="BW21" s="3349">
        <f t="shared" si="46"/>
        <v>0</v>
      </c>
      <c r="BX21" s="4074">
        <f t="shared" si="26"/>
        <v>0</v>
      </c>
      <c r="BY21" s="1615"/>
      <c r="BZ21" s="3341"/>
      <c r="CA21" s="3341"/>
      <c r="CB21" s="3349">
        <f t="shared" si="47"/>
        <v>0</v>
      </c>
      <c r="CC21" s="4074">
        <f t="shared" si="27"/>
        <v>0</v>
      </c>
      <c r="CD21" s="1615"/>
      <c r="CE21" s="3341"/>
      <c r="CF21" s="3341"/>
      <c r="CG21" s="3349">
        <f t="shared" si="48"/>
        <v>0</v>
      </c>
      <c r="CH21" s="4074">
        <f t="shared" si="28"/>
        <v>0</v>
      </c>
      <c r="CI21" s="1615"/>
      <c r="CJ21" s="3341"/>
      <c r="CK21" s="3341"/>
      <c r="CL21" s="3349">
        <f t="shared" si="49"/>
        <v>0</v>
      </c>
      <c r="CM21" s="4074">
        <f t="shared" si="29"/>
        <v>0</v>
      </c>
      <c r="CN21" s="1615"/>
      <c r="CO21" s="3341"/>
      <c r="CP21" s="3341"/>
      <c r="CQ21" s="3349">
        <f t="shared" si="50"/>
        <v>0</v>
      </c>
      <c r="CR21" s="4074">
        <f t="shared" si="30"/>
        <v>0</v>
      </c>
      <c r="CS21" s="1615"/>
      <c r="CT21" s="3341"/>
      <c r="CU21" s="3341"/>
      <c r="CV21" s="3349">
        <f t="shared" si="51"/>
        <v>0</v>
      </c>
      <c r="CW21" s="4074">
        <f t="shared" si="31"/>
        <v>0</v>
      </c>
      <c r="CX21" s="1615"/>
      <c r="CY21" s="3341"/>
      <c r="CZ21" s="3341"/>
      <c r="DA21" s="3349">
        <f t="shared" si="52"/>
        <v>0</v>
      </c>
      <c r="DB21" s="4074">
        <f t="shared" si="32"/>
        <v>0</v>
      </c>
      <c r="DC21" s="1615"/>
      <c r="DD21" s="3341"/>
      <c r="DE21" s="3341"/>
      <c r="DF21" s="3349">
        <f t="shared" si="53"/>
        <v>0</v>
      </c>
      <c r="DG21" s="4074">
        <f t="shared" si="33"/>
        <v>0</v>
      </c>
      <c r="DH21" s="1615"/>
      <c r="DI21" s="3341"/>
      <c r="DJ21" s="3341"/>
      <c r="DK21" s="3349">
        <f t="shared" si="54"/>
        <v>0</v>
      </c>
      <c r="DL21" s="4074">
        <f t="shared" si="34"/>
        <v>0</v>
      </c>
      <c r="DM21" s="1615"/>
      <c r="DN21" s="3341"/>
      <c r="DO21" s="3341"/>
      <c r="DP21" s="3349">
        <f t="shared" si="55"/>
        <v>0</v>
      </c>
      <c r="DQ21" s="4074">
        <f t="shared" si="35"/>
        <v>0</v>
      </c>
      <c r="DR21" s="1615"/>
      <c r="DS21" s="3341"/>
      <c r="DT21" s="3341"/>
      <c r="DU21" s="3349">
        <f t="shared" si="56"/>
        <v>0</v>
      </c>
      <c r="DV21" s="4074">
        <f t="shared" si="36"/>
        <v>0</v>
      </c>
      <c r="DW21" s="1615"/>
      <c r="DX21" s="3341">
        <f t="shared" si="57"/>
        <v>0</v>
      </c>
      <c r="DY21" s="3341">
        <f t="shared" si="57"/>
        <v>0</v>
      </c>
      <c r="DZ21" s="3349">
        <f t="shared" si="65"/>
        <v>0</v>
      </c>
      <c r="EA21" s="4074">
        <f t="shared" si="37"/>
        <v>0</v>
      </c>
      <c r="EB21" s="1434"/>
      <c r="ED21" s="4186"/>
      <c r="EE21" s="2012">
        <f t="shared" si="58"/>
        <v>0</v>
      </c>
      <c r="EF21" s="4188">
        <f t="shared" si="66"/>
        <v>0</v>
      </c>
      <c r="EH21" s="2624"/>
    </row>
    <row r="22" spans="1:140" s="1396" customFormat="1" ht="13.8" outlineLevel="2">
      <c r="A22" s="1571"/>
      <c r="B22" s="4075" t="s">
        <v>621</v>
      </c>
      <c r="C22" s="3341"/>
      <c r="D22" s="3341"/>
      <c r="E22" s="3349"/>
      <c r="F22" s="4074"/>
      <c r="G22" s="1434"/>
      <c r="H22" s="3341">
        <v>0</v>
      </c>
      <c r="I22" s="3341">
        <v>0</v>
      </c>
      <c r="J22" s="3349">
        <v>0</v>
      </c>
      <c r="K22" s="4074"/>
      <c r="L22" s="1434"/>
      <c r="M22" s="3341"/>
      <c r="N22" s="3341"/>
      <c r="O22" s="3349"/>
      <c r="P22" s="4074"/>
      <c r="Q22" s="1055"/>
      <c r="R22" s="3341"/>
      <c r="S22" s="3341"/>
      <c r="T22" s="3349"/>
      <c r="U22" s="4074">
        <f t="shared" si="18"/>
        <v>0</v>
      </c>
      <c r="V22" s="1055"/>
      <c r="W22" s="3341"/>
      <c r="X22" s="3341"/>
      <c r="Y22" s="3349"/>
      <c r="Z22" s="4074">
        <f>Y22/$Y$89</f>
        <v>0</v>
      </c>
      <c r="AA22" s="1055"/>
      <c r="AB22" s="3341"/>
      <c r="AC22" s="3341"/>
      <c r="AD22" s="3349"/>
      <c r="AE22" s="4074" t="e">
        <f t="shared" si="67"/>
        <v>#DIV/0!</v>
      </c>
      <c r="AF22" s="1055"/>
      <c r="AG22" s="3341"/>
      <c r="AH22" s="3341"/>
      <c r="AI22" s="3349"/>
      <c r="AJ22" s="4074" t="e">
        <f t="shared" si="68"/>
        <v>#DIV/0!</v>
      </c>
      <c r="AK22" s="1055"/>
      <c r="AL22" s="3341"/>
      <c r="AM22" s="3341"/>
      <c r="AN22" s="3349"/>
      <c r="AO22" s="4074" t="e">
        <f t="shared" si="69"/>
        <v>#DIV/0!</v>
      </c>
      <c r="AP22" s="1055"/>
      <c r="AQ22" s="3341"/>
      <c r="AR22" s="3341"/>
      <c r="AS22" s="3349">
        <f t="shared" si="38"/>
        <v>0</v>
      </c>
      <c r="AT22" s="4074">
        <f t="shared" si="20"/>
        <v>0</v>
      </c>
      <c r="AU22" s="3342"/>
      <c r="AV22" s="3341"/>
      <c r="AW22" s="3341"/>
      <c r="AX22" s="3349">
        <f t="shared" si="39"/>
        <v>0</v>
      </c>
      <c r="AY22" s="4074">
        <f t="shared" si="21"/>
        <v>0</v>
      </c>
      <c r="AZ22" s="3342"/>
      <c r="BA22" s="3341"/>
      <c r="BB22" s="3341"/>
      <c r="BC22" s="3349">
        <f t="shared" si="40"/>
        <v>0</v>
      </c>
      <c r="BD22" s="4074">
        <f t="shared" si="22"/>
        <v>0</v>
      </c>
      <c r="BE22" s="3342"/>
      <c r="BF22" s="3342">
        <f t="shared" si="41"/>
        <v>0</v>
      </c>
      <c r="BG22" s="3342">
        <f t="shared" si="41"/>
        <v>0</v>
      </c>
      <c r="BH22" s="2012">
        <f t="shared" si="42"/>
        <v>0</v>
      </c>
      <c r="BI22" s="3342"/>
      <c r="BJ22" s="3342"/>
      <c r="BK22" s="3342">
        <f t="shared" si="43"/>
        <v>0</v>
      </c>
      <c r="BL22" s="3342">
        <f t="shared" si="43"/>
        <v>0</v>
      </c>
      <c r="BM22" s="2012">
        <f t="shared" si="44"/>
        <v>0</v>
      </c>
      <c r="BN22" s="3342"/>
      <c r="BO22" s="3342"/>
      <c r="BP22" s="3341"/>
      <c r="BQ22" s="3341"/>
      <c r="BR22" s="3349">
        <f t="shared" si="45"/>
        <v>0</v>
      </c>
      <c r="BS22" s="4074">
        <f t="shared" si="25"/>
        <v>0</v>
      </c>
      <c r="BT22" s="3342"/>
      <c r="BU22" s="3341"/>
      <c r="BV22" s="3341"/>
      <c r="BW22" s="3349">
        <f t="shared" si="46"/>
        <v>0</v>
      </c>
      <c r="BX22" s="4074">
        <f t="shared" si="26"/>
        <v>0</v>
      </c>
      <c r="BY22" s="3342"/>
      <c r="BZ22" s="3341"/>
      <c r="CA22" s="3341"/>
      <c r="CB22" s="3349">
        <f t="shared" si="47"/>
        <v>0</v>
      </c>
      <c r="CC22" s="4074">
        <f t="shared" si="27"/>
        <v>0</v>
      </c>
      <c r="CD22" s="3342"/>
      <c r="CE22" s="3341"/>
      <c r="CF22" s="3341"/>
      <c r="CG22" s="3349">
        <f t="shared" si="48"/>
        <v>0</v>
      </c>
      <c r="CH22" s="4074">
        <f t="shared" si="28"/>
        <v>0</v>
      </c>
      <c r="CI22" s="3342"/>
      <c r="CJ22" s="3341"/>
      <c r="CK22" s="3341"/>
      <c r="CL22" s="3349">
        <f t="shared" si="49"/>
        <v>0</v>
      </c>
      <c r="CM22" s="4074">
        <f t="shared" si="29"/>
        <v>0</v>
      </c>
      <c r="CN22" s="3342"/>
      <c r="CO22" s="3341"/>
      <c r="CP22" s="3341"/>
      <c r="CQ22" s="3349">
        <f t="shared" si="50"/>
        <v>0</v>
      </c>
      <c r="CR22" s="4074">
        <f t="shared" si="30"/>
        <v>0</v>
      </c>
      <c r="CS22" s="3342"/>
      <c r="CT22" s="3341"/>
      <c r="CU22" s="3341"/>
      <c r="CV22" s="3349">
        <f t="shared" si="51"/>
        <v>0</v>
      </c>
      <c r="CW22" s="4074">
        <f t="shared" si="31"/>
        <v>0</v>
      </c>
      <c r="CX22" s="3342"/>
      <c r="CY22" s="3341"/>
      <c r="CZ22" s="3341"/>
      <c r="DA22" s="3349">
        <f t="shared" si="52"/>
        <v>0</v>
      </c>
      <c r="DB22" s="4074">
        <f t="shared" si="32"/>
        <v>0</v>
      </c>
      <c r="DC22" s="3342"/>
      <c r="DD22" s="3341"/>
      <c r="DE22" s="3341"/>
      <c r="DF22" s="3349">
        <f t="shared" si="53"/>
        <v>0</v>
      </c>
      <c r="DG22" s="4074">
        <f t="shared" si="33"/>
        <v>0</v>
      </c>
      <c r="DH22" s="3342"/>
      <c r="DI22" s="3341"/>
      <c r="DJ22" s="3341"/>
      <c r="DK22" s="3349">
        <f t="shared" si="54"/>
        <v>0</v>
      </c>
      <c r="DL22" s="4074">
        <f t="shared" si="34"/>
        <v>0</v>
      </c>
      <c r="DM22" s="3342"/>
      <c r="DN22" s="3341"/>
      <c r="DO22" s="3341"/>
      <c r="DP22" s="3349">
        <f t="shared" si="55"/>
        <v>0</v>
      </c>
      <c r="DQ22" s="4074">
        <f t="shared" si="35"/>
        <v>0</v>
      </c>
      <c r="DR22" s="3342"/>
      <c r="DS22" s="3341"/>
      <c r="DT22" s="3341"/>
      <c r="DU22" s="3349">
        <f t="shared" si="56"/>
        <v>0</v>
      </c>
      <c r="DV22" s="4074">
        <f t="shared" si="36"/>
        <v>0</v>
      </c>
      <c r="DW22" s="3342"/>
      <c r="DX22" s="3341">
        <f t="shared" si="57"/>
        <v>0</v>
      </c>
      <c r="DY22" s="3341">
        <f t="shared" si="57"/>
        <v>0</v>
      </c>
      <c r="DZ22" s="3349">
        <f t="shared" si="65"/>
        <v>0</v>
      </c>
      <c r="EA22" s="4074"/>
      <c r="EB22" s="1434"/>
      <c r="ED22" s="4186"/>
      <c r="EE22" s="2012">
        <f t="shared" si="58"/>
        <v>0</v>
      </c>
      <c r="EF22" s="4188">
        <f t="shared" si="66"/>
        <v>0</v>
      </c>
      <c r="EH22" s="3443">
        <f>EE22</f>
        <v>0</v>
      </c>
    </row>
    <row r="23" spans="1:140" s="1396" customFormat="1" ht="13.8" outlineLevel="2">
      <c r="A23" s="1571"/>
      <c r="B23" s="4075" t="s">
        <v>630</v>
      </c>
      <c r="C23" s="3341"/>
      <c r="D23" s="3341"/>
      <c r="E23" s="3349"/>
      <c r="F23" s="4074"/>
      <c r="G23" s="1434"/>
      <c r="H23" s="3341">
        <v>0</v>
      </c>
      <c r="I23" s="3341">
        <v>0</v>
      </c>
      <c r="J23" s="3349">
        <v>0</v>
      </c>
      <c r="K23" s="4074"/>
      <c r="L23" s="1434"/>
      <c r="M23" s="3341"/>
      <c r="N23" s="3341"/>
      <c r="O23" s="3349"/>
      <c r="P23" s="4074"/>
      <c r="Q23" s="1055"/>
      <c r="R23" s="3341"/>
      <c r="S23" s="3341"/>
      <c r="T23" s="3349"/>
      <c r="U23" s="4074"/>
      <c r="V23" s="1055"/>
      <c r="W23" s="3341"/>
      <c r="X23" s="3341"/>
      <c r="Y23" s="3349"/>
      <c r="Z23" s="4074">
        <f>Y23/$Y$89</f>
        <v>0</v>
      </c>
      <c r="AA23" s="1055"/>
      <c r="AB23" s="3341"/>
      <c r="AC23" s="3341"/>
      <c r="AD23" s="3349"/>
      <c r="AE23" s="4074" t="e">
        <f t="shared" si="67"/>
        <v>#DIV/0!</v>
      </c>
      <c r="AF23" s="1055"/>
      <c r="AG23" s="3341"/>
      <c r="AH23" s="3341"/>
      <c r="AI23" s="3349"/>
      <c r="AJ23" s="4074" t="e">
        <f t="shared" si="68"/>
        <v>#DIV/0!</v>
      </c>
      <c r="AK23" s="1055"/>
      <c r="AL23" s="3341"/>
      <c r="AM23" s="3341"/>
      <c r="AN23" s="3349"/>
      <c r="AO23" s="4074" t="e">
        <f t="shared" si="69"/>
        <v>#DIV/0!</v>
      </c>
      <c r="AP23" s="1055"/>
      <c r="AQ23" s="3341"/>
      <c r="AR23" s="3341"/>
      <c r="AS23" s="3349">
        <f t="shared" si="38"/>
        <v>0</v>
      </c>
      <c r="AT23" s="4074">
        <f t="shared" si="20"/>
        <v>0</v>
      </c>
      <c r="AU23" s="1055"/>
      <c r="AV23" s="3341"/>
      <c r="AW23" s="3341"/>
      <c r="AX23" s="3349">
        <f t="shared" si="39"/>
        <v>0</v>
      </c>
      <c r="AY23" s="4074">
        <f t="shared" si="21"/>
        <v>0</v>
      </c>
      <c r="AZ23" s="1055"/>
      <c r="BA23" s="3341"/>
      <c r="BB23" s="3341"/>
      <c r="BC23" s="3349">
        <f t="shared" si="40"/>
        <v>0</v>
      </c>
      <c r="BD23" s="4074">
        <f t="shared" si="22"/>
        <v>0</v>
      </c>
      <c r="BE23" s="1055"/>
      <c r="BF23" s="3342">
        <f t="shared" si="41"/>
        <v>0</v>
      </c>
      <c r="BG23" s="3342">
        <f t="shared" si="41"/>
        <v>0</v>
      </c>
      <c r="BH23" s="2012">
        <f t="shared" si="42"/>
        <v>0</v>
      </c>
      <c r="BI23" s="1055"/>
      <c r="BJ23" s="1055"/>
      <c r="BK23" s="3342">
        <f t="shared" si="43"/>
        <v>0</v>
      </c>
      <c r="BL23" s="3342">
        <f t="shared" si="43"/>
        <v>0</v>
      </c>
      <c r="BM23" s="2012">
        <f t="shared" si="44"/>
        <v>0</v>
      </c>
      <c r="BN23" s="1055"/>
      <c r="BO23" s="1055"/>
      <c r="BP23" s="3341"/>
      <c r="BQ23" s="3341"/>
      <c r="BR23" s="3349">
        <f t="shared" si="45"/>
        <v>0</v>
      </c>
      <c r="BS23" s="4074">
        <f t="shared" si="25"/>
        <v>0</v>
      </c>
      <c r="BT23" s="1055"/>
      <c r="BU23" s="3341"/>
      <c r="BV23" s="3341"/>
      <c r="BW23" s="3349">
        <f t="shared" si="46"/>
        <v>0</v>
      </c>
      <c r="BX23" s="4074">
        <f t="shared" si="26"/>
        <v>0</v>
      </c>
      <c r="BY23" s="1055"/>
      <c r="BZ23" s="3341"/>
      <c r="CA23" s="3341"/>
      <c r="CB23" s="3349">
        <f t="shared" si="47"/>
        <v>0</v>
      </c>
      <c r="CC23" s="4074">
        <f t="shared" si="27"/>
        <v>0</v>
      </c>
      <c r="CD23" s="1055"/>
      <c r="CE23" s="3341"/>
      <c r="CF23" s="3341"/>
      <c r="CG23" s="3349">
        <f t="shared" si="48"/>
        <v>0</v>
      </c>
      <c r="CH23" s="4074">
        <f t="shared" si="28"/>
        <v>0</v>
      </c>
      <c r="CI23" s="1055"/>
      <c r="CJ23" s="3341"/>
      <c r="CK23" s="3341"/>
      <c r="CL23" s="3349">
        <f t="shared" si="49"/>
        <v>0</v>
      </c>
      <c r="CM23" s="4074">
        <f t="shared" si="29"/>
        <v>0</v>
      </c>
      <c r="CN23" s="1055"/>
      <c r="CO23" s="3341"/>
      <c r="CP23" s="3341"/>
      <c r="CQ23" s="3349">
        <f t="shared" si="50"/>
        <v>0</v>
      </c>
      <c r="CR23" s="4074">
        <f t="shared" si="30"/>
        <v>0</v>
      </c>
      <c r="CS23" s="1055"/>
      <c r="CT23" s="3341"/>
      <c r="CU23" s="3341"/>
      <c r="CV23" s="3349">
        <f t="shared" si="51"/>
        <v>0</v>
      </c>
      <c r="CW23" s="4074">
        <f t="shared" si="31"/>
        <v>0</v>
      </c>
      <c r="CX23" s="1055"/>
      <c r="CY23" s="3341"/>
      <c r="CZ23" s="3341"/>
      <c r="DA23" s="3349">
        <f t="shared" si="52"/>
        <v>0</v>
      </c>
      <c r="DB23" s="4074">
        <f t="shared" si="32"/>
        <v>0</v>
      </c>
      <c r="DC23" s="1055"/>
      <c r="DD23" s="3341"/>
      <c r="DE23" s="3341"/>
      <c r="DF23" s="3349">
        <f t="shared" si="53"/>
        <v>0</v>
      </c>
      <c r="DG23" s="4074">
        <f t="shared" si="33"/>
        <v>0</v>
      </c>
      <c r="DH23" s="1055"/>
      <c r="DI23" s="3341"/>
      <c r="DJ23" s="3341"/>
      <c r="DK23" s="3349">
        <f t="shared" si="54"/>
        <v>0</v>
      </c>
      <c r="DL23" s="4074">
        <f t="shared" si="34"/>
        <v>0</v>
      </c>
      <c r="DM23" s="1055"/>
      <c r="DN23" s="3341"/>
      <c r="DO23" s="3341"/>
      <c r="DP23" s="3349">
        <f t="shared" si="55"/>
        <v>0</v>
      </c>
      <c r="DQ23" s="4074">
        <f t="shared" si="35"/>
        <v>0</v>
      </c>
      <c r="DR23" s="1055"/>
      <c r="DS23" s="3341"/>
      <c r="DT23" s="3341"/>
      <c r="DU23" s="3349">
        <f t="shared" si="56"/>
        <v>0</v>
      </c>
      <c r="DV23" s="4074">
        <f t="shared" si="36"/>
        <v>0</v>
      </c>
      <c r="DW23" s="1055"/>
      <c r="DX23" s="3341">
        <f t="shared" si="57"/>
        <v>0</v>
      </c>
      <c r="DY23" s="3341">
        <f t="shared" si="57"/>
        <v>0</v>
      </c>
      <c r="DZ23" s="3349">
        <f t="shared" si="65"/>
        <v>0</v>
      </c>
      <c r="EA23" s="4074"/>
      <c r="EB23" s="1434"/>
      <c r="ED23" s="4186"/>
      <c r="EE23" s="2012">
        <f t="shared" si="58"/>
        <v>0</v>
      </c>
      <c r="EF23" s="4188">
        <f t="shared" si="66"/>
        <v>0</v>
      </c>
      <c r="EH23" s="2624"/>
    </row>
    <row r="24" spans="1:140" s="1396" customFormat="1" ht="48" outlineLevel="2">
      <c r="A24" s="1571"/>
      <c r="B24" s="4075" t="s">
        <v>23</v>
      </c>
      <c r="C24" s="3341">
        <v>227476.71399999998</v>
      </c>
      <c r="D24" s="3341">
        <v>400</v>
      </c>
      <c r="E24" s="3349">
        <f t="shared" si="59"/>
        <v>227876.71399999998</v>
      </c>
      <c r="F24" s="4074">
        <f t="shared" ref="F24:F33" si="71">E24/$E$89</f>
        <v>0.10527635806206762</v>
      </c>
      <c r="G24" s="1434"/>
      <c r="H24" s="3341">
        <v>55799.995999999999</v>
      </c>
      <c r="I24" s="3341">
        <v>0</v>
      </c>
      <c r="J24" s="3349">
        <v>55799.995999999999</v>
      </c>
      <c r="K24" s="4074">
        <v>6.382332360093268E-2</v>
      </c>
      <c r="L24" s="1434"/>
      <c r="M24" s="3341"/>
      <c r="N24" s="3341"/>
      <c r="O24" s="3349">
        <f t="shared" si="60"/>
        <v>0</v>
      </c>
      <c r="P24" s="4074">
        <f t="shared" ref="P24:P33" si="72">O24/$O$89</f>
        <v>0</v>
      </c>
      <c r="Q24" s="1055"/>
      <c r="R24" s="3341"/>
      <c r="S24" s="3341"/>
      <c r="T24" s="3349">
        <f t="shared" si="61"/>
        <v>0</v>
      </c>
      <c r="U24" s="4074">
        <f t="shared" ref="U24:U33" si="73">T24/$T$89</f>
        <v>0</v>
      </c>
      <c r="V24" s="3195"/>
      <c r="W24" s="3341">
        <v>18999.995999999999</v>
      </c>
      <c r="X24" s="3341">
        <v>600</v>
      </c>
      <c r="Y24" s="3349">
        <f t="shared" ref="Y24:Y31" si="74">W24+X24*1</f>
        <v>19599.995999999999</v>
      </c>
      <c r="Z24" s="4074">
        <f t="shared" ref="Z24:Z31" si="75">Y24/$T$89</f>
        <v>139.77046327868851</v>
      </c>
      <c r="AA24" s="3195" t="s">
        <v>1022</v>
      </c>
      <c r="AB24" s="3341"/>
      <c r="AC24" s="3341"/>
      <c r="AD24" s="3349">
        <f t="shared" ref="AD24:AD33" si="76">AB24+AC24*1</f>
        <v>0</v>
      </c>
      <c r="AE24" s="4074" t="e">
        <f t="shared" si="67"/>
        <v>#DIV/0!</v>
      </c>
      <c r="AF24" s="3342"/>
      <c r="AG24" s="3341"/>
      <c r="AH24" s="3341"/>
      <c r="AI24" s="3349">
        <f t="shared" ref="AI24:AI33" si="77">AG24+AH24*1</f>
        <v>0</v>
      </c>
      <c r="AJ24" s="4074" t="e">
        <f t="shared" si="68"/>
        <v>#DIV/0!</v>
      </c>
      <c r="AK24" s="3342"/>
      <c r="AL24" s="3341"/>
      <c r="AM24" s="3341"/>
      <c r="AN24" s="3349">
        <f t="shared" ref="AN24:AN33" si="78">AL24+AM24*1</f>
        <v>0</v>
      </c>
      <c r="AO24" s="4074" t="e">
        <f t="shared" si="69"/>
        <v>#DIV/0!</v>
      </c>
      <c r="AP24" s="3342"/>
      <c r="AQ24" s="3341"/>
      <c r="AR24" s="3341"/>
      <c r="AS24" s="3349">
        <f t="shared" si="38"/>
        <v>0</v>
      </c>
      <c r="AT24" s="4074">
        <f t="shared" si="20"/>
        <v>0</v>
      </c>
      <c r="AU24" s="3342"/>
      <c r="AV24" s="3341"/>
      <c r="AW24" s="3341"/>
      <c r="AX24" s="3349">
        <f t="shared" si="39"/>
        <v>0</v>
      </c>
      <c r="AY24" s="4074">
        <f t="shared" si="21"/>
        <v>0</v>
      </c>
      <c r="AZ24" s="3342"/>
      <c r="BA24" s="3341"/>
      <c r="BB24" s="3341"/>
      <c r="BC24" s="3349">
        <f t="shared" si="40"/>
        <v>0</v>
      </c>
      <c r="BD24" s="4074">
        <f t="shared" si="22"/>
        <v>0</v>
      </c>
      <c r="BE24" s="3342"/>
      <c r="BF24" s="3342">
        <f t="shared" si="41"/>
        <v>0</v>
      </c>
      <c r="BG24" s="3342">
        <f t="shared" si="41"/>
        <v>0</v>
      </c>
      <c r="BH24" s="2012">
        <f t="shared" si="42"/>
        <v>0</v>
      </c>
      <c r="BI24" s="3342"/>
      <c r="BJ24" s="3342"/>
      <c r="BK24" s="3342">
        <f t="shared" si="43"/>
        <v>0</v>
      </c>
      <c r="BL24" s="3342">
        <f t="shared" si="43"/>
        <v>0</v>
      </c>
      <c r="BM24" s="2012">
        <f t="shared" si="44"/>
        <v>0</v>
      </c>
      <c r="BN24" s="3342"/>
      <c r="BO24" s="3342"/>
      <c r="BP24" s="3341"/>
      <c r="BQ24" s="3341"/>
      <c r="BR24" s="3349">
        <f t="shared" si="45"/>
        <v>0</v>
      </c>
      <c r="BS24" s="4074">
        <f t="shared" si="25"/>
        <v>0</v>
      </c>
      <c r="BT24" s="3342"/>
      <c r="BU24" s="3341"/>
      <c r="BV24" s="3341"/>
      <c r="BW24" s="3349">
        <f t="shared" si="46"/>
        <v>0</v>
      </c>
      <c r="BX24" s="4074">
        <f t="shared" si="26"/>
        <v>0</v>
      </c>
      <c r="BY24" s="3342"/>
      <c r="BZ24" s="2043"/>
      <c r="CA24" s="3341"/>
      <c r="CB24" s="3349">
        <f t="shared" si="47"/>
        <v>0</v>
      </c>
      <c r="CC24" s="4074">
        <f t="shared" si="27"/>
        <v>0</v>
      </c>
      <c r="CD24" s="2046"/>
      <c r="CE24" s="3341"/>
      <c r="CF24" s="3341"/>
      <c r="CG24" s="3349">
        <f t="shared" si="48"/>
        <v>0</v>
      </c>
      <c r="CH24" s="4074">
        <f t="shared" si="28"/>
        <v>0</v>
      </c>
      <c r="CI24" s="3342"/>
      <c r="CJ24" s="3341"/>
      <c r="CK24" s="3341"/>
      <c r="CL24" s="3349">
        <f t="shared" si="49"/>
        <v>0</v>
      </c>
      <c r="CM24" s="4074">
        <f t="shared" si="29"/>
        <v>0</v>
      </c>
      <c r="CN24" s="3342"/>
      <c r="CO24" s="3341"/>
      <c r="CP24" s="3341"/>
      <c r="CQ24" s="3349">
        <f t="shared" si="50"/>
        <v>0</v>
      </c>
      <c r="CR24" s="4074">
        <f t="shared" si="30"/>
        <v>0</v>
      </c>
      <c r="CS24" s="3342"/>
      <c r="CT24" s="3341"/>
      <c r="CU24" s="3341"/>
      <c r="CV24" s="3349">
        <f t="shared" si="51"/>
        <v>0</v>
      </c>
      <c r="CW24" s="4074">
        <f t="shared" si="31"/>
        <v>0</v>
      </c>
      <c r="CX24" s="3342"/>
      <c r="CY24" s="3341"/>
      <c r="CZ24" s="3341"/>
      <c r="DA24" s="3349">
        <f t="shared" si="52"/>
        <v>0</v>
      </c>
      <c r="DB24" s="4074">
        <f t="shared" si="32"/>
        <v>0</v>
      </c>
      <c r="DC24" s="3342"/>
      <c r="DD24" s="3341"/>
      <c r="DE24" s="3341"/>
      <c r="DF24" s="3349">
        <f t="shared" si="53"/>
        <v>0</v>
      </c>
      <c r="DG24" s="4074">
        <f t="shared" si="33"/>
        <v>0</v>
      </c>
      <c r="DH24" s="3342"/>
      <c r="DI24" s="3341"/>
      <c r="DJ24" s="3341"/>
      <c r="DK24" s="3349">
        <f t="shared" si="54"/>
        <v>0</v>
      </c>
      <c r="DL24" s="4074">
        <f t="shared" si="34"/>
        <v>0</v>
      </c>
      <c r="DM24" s="3342"/>
      <c r="DN24" s="3341"/>
      <c r="DO24" s="3341"/>
      <c r="DP24" s="3349">
        <f t="shared" si="55"/>
        <v>0</v>
      </c>
      <c r="DQ24" s="4074">
        <f t="shared" si="35"/>
        <v>0</v>
      </c>
      <c r="DR24" s="3342"/>
      <c r="DS24" s="3341"/>
      <c r="DT24" s="3341"/>
      <c r="DU24" s="3349">
        <f t="shared" si="56"/>
        <v>0</v>
      </c>
      <c r="DV24" s="4074">
        <f t="shared" si="36"/>
        <v>0</v>
      </c>
      <c r="DW24" s="3342"/>
      <c r="DX24" s="3341">
        <f t="shared" si="57"/>
        <v>0</v>
      </c>
      <c r="DY24" s="3341">
        <f t="shared" si="57"/>
        <v>0</v>
      </c>
      <c r="DZ24" s="3349">
        <f t="shared" si="65"/>
        <v>0</v>
      </c>
      <c r="EA24" s="4074">
        <f t="shared" ref="EA24:EA33" si="79">DZ24/$DZ$89</f>
        <v>0</v>
      </c>
      <c r="EB24" s="1434"/>
      <c r="ED24" s="4186"/>
      <c r="EE24" s="2012">
        <f t="shared" si="58"/>
        <v>0</v>
      </c>
      <c r="EF24" s="4188">
        <f t="shared" si="66"/>
        <v>0</v>
      </c>
      <c r="EH24" s="2624"/>
    </row>
    <row r="25" spans="1:140" s="1396" customFormat="1" ht="110.4" outlineLevel="2">
      <c r="A25" s="1571"/>
      <c r="B25" s="4075" t="s">
        <v>24</v>
      </c>
      <c r="C25" s="3341">
        <v>65642.255999999994</v>
      </c>
      <c r="D25" s="3341">
        <v>5896</v>
      </c>
      <c r="E25" s="3349">
        <f t="shared" si="59"/>
        <v>71538.255999999994</v>
      </c>
      <c r="F25" s="4074">
        <f t="shared" si="71"/>
        <v>3.3049831733978123E-2</v>
      </c>
      <c r="G25" s="1434"/>
      <c r="H25" s="3341">
        <v>112290.84</v>
      </c>
      <c r="I25" s="3341">
        <v>0</v>
      </c>
      <c r="J25" s="3349">
        <v>112290.84</v>
      </c>
      <c r="K25" s="4074">
        <v>0.12843683033132394</v>
      </c>
      <c r="L25" s="1434"/>
      <c r="M25" s="3341"/>
      <c r="N25" s="3341"/>
      <c r="O25" s="3349">
        <f t="shared" si="60"/>
        <v>0</v>
      </c>
      <c r="P25" s="4074">
        <f t="shared" si="72"/>
        <v>0</v>
      </c>
      <c r="Q25" s="1055"/>
      <c r="R25" s="3341"/>
      <c r="S25" s="3341"/>
      <c r="T25" s="3349">
        <f t="shared" si="61"/>
        <v>0</v>
      </c>
      <c r="U25" s="4074">
        <f t="shared" si="73"/>
        <v>0</v>
      </c>
      <c r="V25" s="3195"/>
      <c r="W25" s="3341"/>
      <c r="X25" s="3341">
        <v>798</v>
      </c>
      <c r="Y25" s="3349">
        <f t="shared" si="74"/>
        <v>798</v>
      </c>
      <c r="Z25" s="4074">
        <f t="shared" si="75"/>
        <v>5.6906557377049172</v>
      </c>
      <c r="AA25" s="3195" t="s">
        <v>965</v>
      </c>
      <c r="AB25" s="3341"/>
      <c r="AC25" s="3341"/>
      <c r="AD25" s="3349">
        <f t="shared" si="76"/>
        <v>0</v>
      </c>
      <c r="AE25" s="4074" t="e">
        <f t="shared" si="67"/>
        <v>#DIV/0!</v>
      </c>
      <c r="AF25" s="3342"/>
      <c r="AG25" s="3341"/>
      <c r="AH25" s="3341"/>
      <c r="AI25" s="3349">
        <f t="shared" si="77"/>
        <v>0</v>
      </c>
      <c r="AJ25" s="4074" t="e">
        <f t="shared" si="68"/>
        <v>#DIV/0!</v>
      </c>
      <c r="AK25" s="3342"/>
      <c r="AL25" s="3341">
        <f>10797.47*1.2</f>
        <v>12956.963999999998</v>
      </c>
      <c r="AM25" s="3341"/>
      <c r="AN25" s="3349">
        <f t="shared" si="78"/>
        <v>12956.963999999998</v>
      </c>
      <c r="AO25" s="4074" t="e">
        <f t="shared" si="69"/>
        <v>#DIV/0!</v>
      </c>
      <c r="AP25" s="3342" t="s">
        <v>1141</v>
      </c>
      <c r="AQ25" s="3341"/>
      <c r="AR25" s="3341"/>
      <c r="AS25" s="3349">
        <f t="shared" si="38"/>
        <v>0</v>
      </c>
      <c r="AT25" s="4074">
        <f t="shared" si="20"/>
        <v>0</v>
      </c>
      <c r="AU25" s="3342"/>
      <c r="AV25" s="3341"/>
      <c r="AW25" s="3341"/>
      <c r="AX25" s="3349">
        <f t="shared" si="39"/>
        <v>0</v>
      </c>
      <c r="AY25" s="4074">
        <f t="shared" si="21"/>
        <v>0</v>
      </c>
      <c r="AZ25" s="3342"/>
      <c r="BA25" s="3341"/>
      <c r="BB25" s="3341"/>
      <c r="BC25" s="3349">
        <f t="shared" si="40"/>
        <v>0</v>
      </c>
      <c r="BD25" s="4074">
        <f t="shared" si="22"/>
        <v>0</v>
      </c>
      <c r="BE25" s="3342"/>
      <c r="BF25" s="3342">
        <f t="shared" si="41"/>
        <v>0</v>
      </c>
      <c r="BG25" s="3342">
        <f t="shared" si="41"/>
        <v>0</v>
      </c>
      <c r="BH25" s="2012">
        <f t="shared" si="42"/>
        <v>0</v>
      </c>
      <c r="BI25" s="3342"/>
      <c r="BJ25" s="3342"/>
      <c r="BK25" s="3342">
        <f t="shared" si="43"/>
        <v>56724.108</v>
      </c>
      <c r="BL25" s="3342">
        <f t="shared" si="43"/>
        <v>0</v>
      </c>
      <c r="BM25" s="2012">
        <f t="shared" si="44"/>
        <v>56724.108</v>
      </c>
      <c r="BN25" s="3342"/>
      <c r="BO25" s="3342"/>
      <c r="BP25" s="3341"/>
      <c r="BQ25" s="3341"/>
      <c r="BR25" s="3349"/>
      <c r="BS25" s="4074"/>
      <c r="BT25" s="3342"/>
      <c r="BU25" s="3341"/>
      <c r="BV25" s="3341"/>
      <c r="BW25" s="3349"/>
      <c r="BX25" s="4074"/>
      <c r="BY25" s="3342"/>
      <c r="BZ25" s="3341">
        <f>56724.108</f>
        <v>56724.108</v>
      </c>
      <c r="CA25" s="3341"/>
      <c r="CB25" s="3349">
        <f t="shared" si="47"/>
        <v>56724.108</v>
      </c>
      <c r="CC25" s="4074">
        <f t="shared" si="27"/>
        <v>0.29270422425490478</v>
      </c>
      <c r="CD25" s="2046" t="s">
        <v>2026</v>
      </c>
      <c r="CE25" s="3341"/>
      <c r="CF25" s="3341"/>
      <c r="CG25" s="3349">
        <f t="shared" si="48"/>
        <v>0</v>
      </c>
      <c r="CH25" s="4074">
        <f t="shared" si="28"/>
        <v>0</v>
      </c>
      <c r="CI25" s="3342"/>
      <c r="CJ25" s="3341"/>
      <c r="CK25" s="3341"/>
      <c r="CL25" s="3349">
        <f t="shared" si="49"/>
        <v>0</v>
      </c>
      <c r="CM25" s="4074">
        <f t="shared" si="29"/>
        <v>0</v>
      </c>
      <c r="CN25" s="3342"/>
      <c r="CO25" s="3341"/>
      <c r="CP25" s="3341"/>
      <c r="CQ25" s="3349">
        <f t="shared" si="50"/>
        <v>0</v>
      </c>
      <c r="CR25" s="4074">
        <f t="shared" si="30"/>
        <v>0</v>
      </c>
      <c r="CS25" s="3342"/>
      <c r="CT25" s="3341"/>
      <c r="CU25" s="3341"/>
      <c r="CV25" s="3349">
        <f t="shared" si="51"/>
        <v>0</v>
      </c>
      <c r="CW25" s="4074">
        <f t="shared" si="31"/>
        <v>0</v>
      </c>
      <c r="CX25" s="3342"/>
      <c r="CY25" s="3341"/>
      <c r="CZ25" s="3341"/>
      <c r="DA25" s="3349">
        <f t="shared" si="52"/>
        <v>0</v>
      </c>
      <c r="DB25" s="4074">
        <f t="shared" si="32"/>
        <v>0</v>
      </c>
      <c r="DC25" s="3342"/>
      <c r="DD25" s="3341"/>
      <c r="DE25" s="3341"/>
      <c r="DF25" s="3349">
        <f t="shared" si="53"/>
        <v>0</v>
      </c>
      <c r="DG25" s="4074">
        <f t="shared" si="33"/>
        <v>0</v>
      </c>
      <c r="DH25" s="3342"/>
      <c r="DI25" s="3341"/>
      <c r="DJ25" s="3341"/>
      <c r="DK25" s="3349">
        <f t="shared" si="54"/>
        <v>0</v>
      </c>
      <c r="DL25" s="4074">
        <f t="shared" si="34"/>
        <v>0</v>
      </c>
      <c r="DM25" s="3342"/>
      <c r="DN25" s="3341"/>
      <c r="DO25" s="3341"/>
      <c r="DP25" s="3349">
        <f t="shared" si="55"/>
        <v>0</v>
      </c>
      <c r="DQ25" s="4074">
        <f t="shared" si="35"/>
        <v>0</v>
      </c>
      <c r="DR25" s="3342"/>
      <c r="DS25" s="3341"/>
      <c r="DT25" s="3341"/>
      <c r="DU25" s="3349">
        <f t="shared" si="56"/>
        <v>0</v>
      </c>
      <c r="DV25" s="4074">
        <f t="shared" si="36"/>
        <v>0</v>
      </c>
      <c r="DW25" s="3342"/>
      <c r="DX25" s="3341">
        <f t="shared" si="57"/>
        <v>56724.108</v>
      </c>
      <c r="DY25" s="3341">
        <f t="shared" si="57"/>
        <v>0</v>
      </c>
      <c r="DZ25" s="3349">
        <f t="shared" si="65"/>
        <v>56724.108</v>
      </c>
      <c r="EA25" s="4074">
        <f t="shared" si="79"/>
        <v>4.2734094521321826E-2</v>
      </c>
      <c r="EB25" s="1434"/>
      <c r="ED25" s="4186">
        <v>105178.7419999999</v>
      </c>
      <c r="EE25" s="2012">
        <f>DZ25</f>
        <v>56724.108</v>
      </c>
      <c r="EF25" s="4188">
        <f t="shared" si="66"/>
        <v>48454.633999999896</v>
      </c>
      <c r="EG25" s="3307"/>
      <c r="EH25" s="4189">
        <f>EF25/ED25</f>
        <v>0.46068847258127449</v>
      </c>
    </row>
    <row r="26" spans="1:140" s="1396" customFormat="1" ht="27.6" outlineLevel="2">
      <c r="A26" s="1571"/>
      <c r="B26" s="4075" t="s">
        <v>45</v>
      </c>
      <c r="C26" s="3341">
        <v>564273.92839999998</v>
      </c>
      <c r="D26" s="3341">
        <v>0</v>
      </c>
      <c r="E26" s="3349">
        <f t="shared" si="59"/>
        <v>564273.92839999998</v>
      </c>
      <c r="F26" s="4074">
        <f t="shared" si="71"/>
        <v>0.26068790921448826</v>
      </c>
      <c r="G26" s="1434"/>
      <c r="H26" s="3341">
        <v>324462.32400000002</v>
      </c>
      <c r="I26" s="3341">
        <v>0</v>
      </c>
      <c r="J26" s="3349">
        <v>324462.32400000002</v>
      </c>
      <c r="K26" s="4074">
        <v>0.37111586712233213</v>
      </c>
      <c r="L26" s="1434"/>
      <c r="M26" s="3341"/>
      <c r="N26" s="3341"/>
      <c r="O26" s="3349">
        <f t="shared" si="60"/>
        <v>0</v>
      </c>
      <c r="P26" s="4074">
        <f t="shared" si="72"/>
        <v>0</v>
      </c>
      <c r="Q26" s="1055"/>
      <c r="R26" s="3341"/>
      <c r="S26" s="3341"/>
      <c r="T26" s="3349">
        <f t="shared" si="61"/>
        <v>0</v>
      </c>
      <c r="U26" s="4074">
        <f t="shared" si="73"/>
        <v>0</v>
      </c>
      <c r="V26" s="1055"/>
      <c r="W26" s="3341"/>
      <c r="X26" s="3341"/>
      <c r="Y26" s="3349">
        <f t="shared" si="74"/>
        <v>0</v>
      </c>
      <c r="Z26" s="4074">
        <f t="shared" si="75"/>
        <v>0</v>
      </c>
      <c r="AA26" s="1055"/>
      <c r="AB26" s="3341"/>
      <c r="AC26" s="3341"/>
      <c r="AD26" s="3349">
        <f t="shared" si="76"/>
        <v>0</v>
      </c>
      <c r="AE26" s="4074" t="e">
        <f t="shared" si="67"/>
        <v>#DIV/0!</v>
      </c>
      <c r="AF26" s="3342"/>
      <c r="AG26" s="3341"/>
      <c r="AH26" s="3341"/>
      <c r="AI26" s="3349">
        <f t="shared" si="77"/>
        <v>0</v>
      </c>
      <c r="AJ26" s="4074" t="e">
        <f t="shared" si="68"/>
        <v>#DIV/0!</v>
      </c>
      <c r="AK26" s="3342"/>
      <c r="AL26" s="3341"/>
      <c r="AM26" s="3341"/>
      <c r="AN26" s="3349">
        <f t="shared" si="78"/>
        <v>0</v>
      </c>
      <c r="AO26" s="4074" t="e">
        <f t="shared" si="69"/>
        <v>#DIV/0!</v>
      </c>
      <c r="AP26" s="3342"/>
      <c r="AQ26" s="3341"/>
      <c r="AR26" s="3341"/>
      <c r="AS26" s="3349">
        <f t="shared" si="38"/>
        <v>0</v>
      </c>
      <c r="AT26" s="4074">
        <f t="shared" si="20"/>
        <v>0</v>
      </c>
      <c r="AU26" s="3342"/>
      <c r="AV26" s="3341"/>
      <c r="AW26" s="3341"/>
      <c r="AX26" s="3349">
        <f t="shared" si="39"/>
        <v>0</v>
      </c>
      <c r="AY26" s="4074">
        <f t="shared" si="21"/>
        <v>0</v>
      </c>
      <c r="AZ26" s="3342"/>
      <c r="BA26" s="3341"/>
      <c r="BB26" s="3341"/>
      <c r="BC26" s="3349">
        <f t="shared" si="40"/>
        <v>0</v>
      </c>
      <c r="BD26" s="4074">
        <f t="shared" si="22"/>
        <v>0</v>
      </c>
      <c r="BE26" s="3342"/>
      <c r="BF26" s="3342">
        <f t="shared" si="41"/>
        <v>0</v>
      </c>
      <c r="BG26" s="3342">
        <f t="shared" si="41"/>
        <v>0</v>
      </c>
      <c r="BH26" s="2012">
        <f t="shared" si="42"/>
        <v>0</v>
      </c>
      <c r="BI26" s="3342"/>
      <c r="BJ26" s="3342"/>
      <c r="BK26" s="3342">
        <f t="shared" si="43"/>
        <v>291799</v>
      </c>
      <c r="BL26" s="3342">
        <f t="shared" si="43"/>
        <v>0</v>
      </c>
      <c r="BM26" s="2012">
        <f t="shared" si="44"/>
        <v>291799</v>
      </c>
      <c r="BN26" s="3342"/>
      <c r="BO26" s="3342"/>
      <c r="BP26" s="3341">
        <v>4940</v>
      </c>
      <c r="BQ26" s="3341"/>
      <c r="BR26" s="3349">
        <f t="shared" ref="BR26" si="80">BP26+BQ26</f>
        <v>4940</v>
      </c>
      <c r="BS26" s="4074">
        <f t="shared" ref="BS26" si="81">BR26/$AS$89</f>
        <v>2.549108163709211E-2</v>
      </c>
      <c r="BT26" s="3342" t="s">
        <v>2027</v>
      </c>
      <c r="BU26" s="3341">
        <v>6470</v>
      </c>
      <c r="BV26" s="3341"/>
      <c r="BW26" s="3349">
        <f t="shared" ref="BW26" si="82">BU26+BV26</f>
        <v>6470</v>
      </c>
      <c r="BX26" s="4074">
        <f t="shared" ref="BX26" si="83">BW26/$AS$89</f>
        <v>3.3386092751414159E-2</v>
      </c>
      <c r="BY26" s="3342" t="s">
        <v>2028</v>
      </c>
      <c r="BZ26" s="3341">
        <v>280389</v>
      </c>
      <c r="CA26" s="3341"/>
      <c r="CB26" s="3349">
        <f t="shared" si="47"/>
        <v>280389</v>
      </c>
      <c r="CC26" s="4074">
        <f t="shared" si="27"/>
        <v>1.4468459289762388</v>
      </c>
      <c r="CD26" s="2046" t="s">
        <v>2029</v>
      </c>
      <c r="CE26" s="3341"/>
      <c r="CF26" s="3341"/>
      <c r="CG26" s="3349">
        <f t="shared" si="48"/>
        <v>0</v>
      </c>
      <c r="CH26" s="4074">
        <f t="shared" si="28"/>
        <v>0</v>
      </c>
      <c r="CI26" s="3342"/>
      <c r="CJ26" s="3341"/>
      <c r="CK26" s="3341"/>
      <c r="CL26" s="3349">
        <f t="shared" si="49"/>
        <v>0</v>
      </c>
      <c r="CM26" s="4074">
        <f t="shared" si="29"/>
        <v>0</v>
      </c>
      <c r="CN26" s="3342"/>
      <c r="CO26" s="3341"/>
      <c r="CP26" s="3341"/>
      <c r="CQ26" s="3349">
        <f t="shared" si="50"/>
        <v>0</v>
      </c>
      <c r="CR26" s="4074">
        <f t="shared" si="30"/>
        <v>0</v>
      </c>
      <c r="CS26" s="3342"/>
      <c r="CT26" s="3341"/>
      <c r="CU26" s="3341"/>
      <c r="CV26" s="3349">
        <f t="shared" si="51"/>
        <v>0</v>
      </c>
      <c r="CW26" s="4074">
        <f t="shared" si="31"/>
        <v>0</v>
      </c>
      <c r="CX26" s="3342"/>
      <c r="CY26" s="3341"/>
      <c r="CZ26" s="3341"/>
      <c r="DA26" s="3349">
        <f t="shared" si="52"/>
        <v>0</v>
      </c>
      <c r="DB26" s="4074">
        <f t="shared" si="32"/>
        <v>0</v>
      </c>
      <c r="DC26" s="3342"/>
      <c r="DD26" s="3341"/>
      <c r="DE26" s="3341"/>
      <c r="DF26" s="3349">
        <f t="shared" si="53"/>
        <v>0</v>
      </c>
      <c r="DG26" s="4074">
        <f t="shared" si="33"/>
        <v>0</v>
      </c>
      <c r="DH26" s="3342"/>
      <c r="DI26" s="3341"/>
      <c r="DJ26" s="3341"/>
      <c r="DK26" s="3349">
        <f t="shared" si="54"/>
        <v>0</v>
      </c>
      <c r="DL26" s="4074">
        <f t="shared" si="34"/>
        <v>0</v>
      </c>
      <c r="DM26" s="3342"/>
      <c r="DN26" s="3341"/>
      <c r="DO26" s="3341"/>
      <c r="DP26" s="3349">
        <f t="shared" si="55"/>
        <v>0</v>
      </c>
      <c r="DQ26" s="4074">
        <f t="shared" si="35"/>
        <v>0</v>
      </c>
      <c r="DR26" s="3342"/>
      <c r="DS26" s="3341"/>
      <c r="DT26" s="3341"/>
      <c r="DU26" s="3349">
        <f t="shared" si="56"/>
        <v>0</v>
      </c>
      <c r="DV26" s="4074">
        <f t="shared" si="36"/>
        <v>0</v>
      </c>
      <c r="DW26" s="3342"/>
      <c r="DX26" s="3341">
        <f t="shared" si="57"/>
        <v>291799</v>
      </c>
      <c r="DY26" s="3341">
        <f t="shared" si="57"/>
        <v>0</v>
      </c>
      <c r="DZ26" s="3349">
        <f t="shared" si="65"/>
        <v>291799</v>
      </c>
      <c r="EA26" s="4074">
        <f t="shared" si="79"/>
        <v>0.21983185786239576</v>
      </c>
      <c r="EB26" s="1434"/>
      <c r="ED26" s="4186">
        <v>388343.01</v>
      </c>
      <c r="EE26" s="2012">
        <f t="shared" si="58"/>
        <v>291799</v>
      </c>
      <c r="EF26" s="4188">
        <f t="shared" si="66"/>
        <v>96544.010000000009</v>
      </c>
      <c r="EG26" s="3307"/>
      <c r="EH26" s="4189">
        <f>EF26/ED26</f>
        <v>0.24860498969712369</v>
      </c>
      <c r="EI26" s="3778" t="s">
        <v>2030</v>
      </c>
    </row>
    <row r="27" spans="1:140" s="1396" customFormat="1" ht="13.8" outlineLevel="2">
      <c r="A27" s="1571"/>
      <c r="B27" s="4075" t="s">
        <v>25</v>
      </c>
      <c r="C27" s="3341">
        <v>26766.83</v>
      </c>
      <c r="D27" s="3341">
        <v>0</v>
      </c>
      <c r="E27" s="3349">
        <f t="shared" si="59"/>
        <v>26766.83</v>
      </c>
      <c r="F27" s="4074">
        <f t="shared" si="71"/>
        <v>1.2365960215077059E-2</v>
      </c>
      <c r="G27" s="1434"/>
      <c r="H27" s="3341">
        <v>4554.3959999999997</v>
      </c>
      <c r="I27" s="3341">
        <v>0</v>
      </c>
      <c r="J27" s="3349">
        <v>4554.3959999999997</v>
      </c>
      <c r="K27" s="4074">
        <v>5.2092600457317841E-3</v>
      </c>
      <c r="L27" s="1434"/>
      <c r="M27" s="3341"/>
      <c r="N27" s="3341"/>
      <c r="O27" s="3349">
        <f t="shared" si="60"/>
        <v>0</v>
      </c>
      <c r="P27" s="4074">
        <f t="shared" si="72"/>
        <v>0</v>
      </c>
      <c r="Q27" s="1055"/>
      <c r="R27" s="3341"/>
      <c r="S27" s="3341"/>
      <c r="T27" s="3349">
        <f t="shared" si="61"/>
        <v>0</v>
      </c>
      <c r="U27" s="4074">
        <f t="shared" si="73"/>
        <v>0</v>
      </c>
      <c r="V27" s="1055"/>
      <c r="W27" s="3341"/>
      <c r="X27" s="3341">
        <v>300</v>
      </c>
      <c r="Y27" s="3349">
        <f t="shared" si="74"/>
        <v>300</v>
      </c>
      <c r="Z27" s="4074">
        <f t="shared" si="75"/>
        <v>2.1393442622950816</v>
      </c>
      <c r="AA27" s="1055"/>
      <c r="AB27" s="3341"/>
      <c r="AC27" s="3341"/>
      <c r="AD27" s="3349">
        <f t="shared" si="76"/>
        <v>0</v>
      </c>
      <c r="AE27" s="4074" t="e">
        <f t="shared" si="67"/>
        <v>#DIV/0!</v>
      </c>
      <c r="AF27" s="3342"/>
      <c r="AG27" s="3341"/>
      <c r="AH27" s="3341"/>
      <c r="AI27" s="3349">
        <f t="shared" si="77"/>
        <v>0</v>
      </c>
      <c r="AJ27" s="4074" t="e">
        <f t="shared" si="68"/>
        <v>#DIV/0!</v>
      </c>
      <c r="AK27" s="3342"/>
      <c r="AL27" s="3341"/>
      <c r="AM27" s="3341"/>
      <c r="AN27" s="3349">
        <f t="shared" si="78"/>
        <v>0</v>
      </c>
      <c r="AO27" s="4074" t="e">
        <f t="shared" si="69"/>
        <v>#DIV/0!</v>
      </c>
      <c r="AP27" s="3342"/>
      <c r="AQ27" s="3341">
        <v>10240</v>
      </c>
      <c r="AR27" s="3341"/>
      <c r="AS27" s="3349">
        <f t="shared" si="38"/>
        <v>10240</v>
      </c>
      <c r="AT27" s="4074">
        <f t="shared" si="20"/>
        <v>5.2839812948142349E-2</v>
      </c>
      <c r="AU27" s="3342" t="s">
        <v>1789</v>
      </c>
      <c r="AV27" s="3341">
        <v>908</v>
      </c>
      <c r="AW27" s="3341"/>
      <c r="AX27" s="3349">
        <f t="shared" si="39"/>
        <v>908</v>
      </c>
      <c r="AY27" s="4074">
        <f t="shared" si="21"/>
        <v>4.6854052887610595E-3</v>
      </c>
      <c r="AZ27" s="3342" t="s">
        <v>1789</v>
      </c>
      <c r="BA27" s="3341"/>
      <c r="BB27" s="3341"/>
      <c r="BC27" s="3349">
        <f t="shared" si="40"/>
        <v>0</v>
      </c>
      <c r="BD27" s="4074">
        <f t="shared" si="22"/>
        <v>0</v>
      </c>
      <c r="BE27" s="3342"/>
      <c r="BF27" s="3342">
        <f t="shared" si="41"/>
        <v>11148</v>
      </c>
      <c r="BG27" s="3342">
        <f t="shared" si="41"/>
        <v>0</v>
      </c>
      <c r="BH27" s="2012">
        <f t="shared" si="42"/>
        <v>11148</v>
      </c>
      <c r="BI27" s="3342"/>
      <c r="BJ27" s="3342"/>
      <c r="BK27" s="3342">
        <f t="shared" si="43"/>
        <v>0</v>
      </c>
      <c r="BL27" s="3342">
        <f t="shared" si="43"/>
        <v>0</v>
      </c>
      <c r="BM27" s="2012">
        <f t="shared" si="44"/>
        <v>0</v>
      </c>
      <c r="BN27" s="3342"/>
      <c r="BO27" s="3342"/>
      <c r="BP27" s="3341"/>
      <c r="BQ27" s="3341"/>
      <c r="BR27" s="3349">
        <f t="shared" si="45"/>
        <v>0</v>
      </c>
      <c r="BS27" s="4074">
        <f t="shared" si="25"/>
        <v>0</v>
      </c>
      <c r="BT27" s="3342"/>
      <c r="BU27" s="3341"/>
      <c r="BV27" s="3341"/>
      <c r="BW27" s="3349">
        <f t="shared" si="46"/>
        <v>0</v>
      </c>
      <c r="BX27" s="4074">
        <f t="shared" si="26"/>
        <v>0</v>
      </c>
      <c r="BY27" s="3342"/>
      <c r="BZ27" s="3341"/>
      <c r="CA27" s="3341"/>
      <c r="CB27" s="3349">
        <f t="shared" si="47"/>
        <v>0</v>
      </c>
      <c r="CC27" s="4074">
        <f t="shared" si="27"/>
        <v>0</v>
      </c>
      <c r="CD27" s="3342"/>
      <c r="CE27" s="3341"/>
      <c r="CF27" s="3341"/>
      <c r="CG27" s="3349">
        <f t="shared" si="48"/>
        <v>0</v>
      </c>
      <c r="CH27" s="4074">
        <f t="shared" si="28"/>
        <v>0</v>
      </c>
      <c r="CI27" s="3342"/>
      <c r="CJ27" s="3341"/>
      <c r="CK27" s="3341"/>
      <c r="CL27" s="3349">
        <f t="shared" si="49"/>
        <v>0</v>
      </c>
      <c r="CM27" s="4074">
        <f t="shared" si="29"/>
        <v>0</v>
      </c>
      <c r="CN27" s="3342"/>
      <c r="CO27" s="3341"/>
      <c r="CP27" s="3341"/>
      <c r="CQ27" s="3349">
        <f t="shared" si="50"/>
        <v>0</v>
      </c>
      <c r="CR27" s="4074">
        <f t="shared" si="30"/>
        <v>0</v>
      </c>
      <c r="CS27" s="3342"/>
      <c r="CT27" s="3341"/>
      <c r="CU27" s="3341"/>
      <c r="CV27" s="3349">
        <f t="shared" si="51"/>
        <v>0</v>
      </c>
      <c r="CW27" s="4074">
        <f t="shared" si="31"/>
        <v>0</v>
      </c>
      <c r="CX27" s="3342"/>
      <c r="CY27" s="3341"/>
      <c r="CZ27" s="3341"/>
      <c r="DA27" s="3349">
        <f t="shared" si="52"/>
        <v>0</v>
      </c>
      <c r="DB27" s="4074">
        <f t="shared" si="32"/>
        <v>0</v>
      </c>
      <c r="DC27" s="3342"/>
      <c r="DD27" s="3341"/>
      <c r="DE27" s="3341"/>
      <c r="DF27" s="3349">
        <f t="shared" si="53"/>
        <v>0</v>
      </c>
      <c r="DG27" s="4074">
        <f t="shared" si="33"/>
        <v>0</v>
      </c>
      <c r="DH27" s="3342"/>
      <c r="DI27" s="3341"/>
      <c r="DJ27" s="3341"/>
      <c r="DK27" s="3349">
        <f t="shared" si="54"/>
        <v>0</v>
      </c>
      <c r="DL27" s="4074">
        <f t="shared" si="34"/>
        <v>0</v>
      </c>
      <c r="DM27" s="3342"/>
      <c r="DN27" s="3341"/>
      <c r="DO27" s="3341"/>
      <c r="DP27" s="3349">
        <f t="shared" si="55"/>
        <v>0</v>
      </c>
      <c r="DQ27" s="4074">
        <f t="shared" si="35"/>
        <v>0</v>
      </c>
      <c r="DR27" s="3342"/>
      <c r="DS27" s="3341"/>
      <c r="DT27" s="3341"/>
      <c r="DU27" s="3349">
        <f t="shared" si="56"/>
        <v>0</v>
      </c>
      <c r="DV27" s="4074">
        <f t="shared" si="36"/>
        <v>0</v>
      </c>
      <c r="DW27" s="3342"/>
      <c r="DX27" s="3341">
        <f t="shared" si="57"/>
        <v>11148</v>
      </c>
      <c r="DY27" s="3341">
        <f t="shared" si="57"/>
        <v>0</v>
      </c>
      <c r="DZ27" s="3349">
        <f t="shared" si="65"/>
        <v>11148</v>
      </c>
      <c r="EA27" s="4074">
        <f t="shared" si="79"/>
        <v>8.398539924571324E-3</v>
      </c>
      <c r="EB27" s="1434"/>
      <c r="ED27" s="4186">
        <v>75062.9372</v>
      </c>
      <c r="EE27" s="2012">
        <f t="shared" si="58"/>
        <v>11148</v>
      </c>
      <c r="EF27" s="4188">
        <f t="shared" si="66"/>
        <v>63914.9372</v>
      </c>
      <c r="EG27" s="3307"/>
      <c r="EH27" s="4189">
        <f>EF27/ED27</f>
        <v>0.85148462855514262</v>
      </c>
    </row>
    <row r="28" spans="1:140" s="1396" customFormat="1" ht="120" outlineLevel="2">
      <c r="A28" s="1571"/>
      <c r="B28" s="4075" t="s">
        <v>52</v>
      </c>
      <c r="C28" s="3341">
        <v>61688.276000000005</v>
      </c>
      <c r="D28" s="3341">
        <v>0</v>
      </c>
      <c r="E28" s="3349">
        <f t="shared" si="59"/>
        <v>61688.276000000005</v>
      </c>
      <c r="F28" s="4074">
        <f t="shared" si="71"/>
        <v>2.8499256981595993E-2</v>
      </c>
      <c r="G28" s="1434"/>
      <c r="H28" s="3341">
        <v>17155.995999999999</v>
      </c>
      <c r="I28" s="3341">
        <v>0</v>
      </c>
      <c r="J28" s="3349">
        <v>17155.995999999999</v>
      </c>
      <c r="K28" s="4074">
        <v>1.9622809370887884E-2</v>
      </c>
      <c r="L28" s="1434"/>
      <c r="M28" s="3341"/>
      <c r="N28" s="3341">
        <v>200</v>
      </c>
      <c r="O28" s="3349">
        <f t="shared" si="60"/>
        <v>200</v>
      </c>
      <c r="P28" s="4074">
        <f t="shared" si="72"/>
        <v>2.8562125947977367E-2</v>
      </c>
      <c r="Q28" s="3195" t="s">
        <v>959</v>
      </c>
      <c r="R28" s="3341"/>
      <c r="S28" s="3341"/>
      <c r="T28" s="3349">
        <f t="shared" si="61"/>
        <v>0</v>
      </c>
      <c r="U28" s="4074">
        <f t="shared" si="73"/>
        <v>0</v>
      </c>
      <c r="V28" s="3195"/>
      <c r="W28" s="3341"/>
      <c r="X28" s="3341">
        <v>5720</v>
      </c>
      <c r="Y28" s="3349">
        <f t="shared" si="74"/>
        <v>5720</v>
      </c>
      <c r="Z28" s="4074">
        <f t="shared" si="75"/>
        <v>40.790163934426225</v>
      </c>
      <c r="AA28" s="3195" t="s">
        <v>1024</v>
      </c>
      <c r="AB28" s="3341"/>
      <c r="AC28" s="3341"/>
      <c r="AD28" s="3349">
        <f t="shared" si="76"/>
        <v>0</v>
      </c>
      <c r="AE28" s="4074" t="e">
        <f t="shared" si="67"/>
        <v>#DIV/0!</v>
      </c>
      <c r="AF28" s="3342"/>
      <c r="AG28" s="3341"/>
      <c r="AH28" s="3341"/>
      <c r="AI28" s="3349">
        <f t="shared" si="77"/>
        <v>0</v>
      </c>
      <c r="AJ28" s="4074" t="e">
        <f t="shared" si="68"/>
        <v>#DIV/0!</v>
      </c>
      <c r="AK28" s="3342"/>
      <c r="AL28" s="3341"/>
      <c r="AM28" s="3341"/>
      <c r="AN28" s="3349">
        <f t="shared" si="78"/>
        <v>0</v>
      </c>
      <c r="AO28" s="4074" t="e">
        <f t="shared" si="69"/>
        <v>#DIV/0!</v>
      </c>
      <c r="AP28" s="3342"/>
      <c r="AQ28" s="3341"/>
      <c r="AR28" s="3341">
        <v>3700</v>
      </c>
      <c r="AS28" s="3349">
        <f t="shared" si="38"/>
        <v>3700</v>
      </c>
      <c r="AT28" s="4074">
        <f t="shared" si="20"/>
        <v>1.9092510537902996E-2</v>
      </c>
      <c r="AU28" s="3342" t="s">
        <v>1790</v>
      </c>
      <c r="AV28" s="3341"/>
      <c r="AW28" s="3341"/>
      <c r="AX28" s="3349">
        <f t="shared" si="39"/>
        <v>0</v>
      </c>
      <c r="AY28" s="4074">
        <f t="shared" si="21"/>
        <v>0</v>
      </c>
      <c r="AZ28" s="3342"/>
      <c r="BA28" s="3341"/>
      <c r="BB28" s="3341">
        <f>1599.7+11027.2</f>
        <v>12626.900000000001</v>
      </c>
      <c r="BC28" s="3349">
        <f t="shared" si="40"/>
        <v>12626.900000000001</v>
      </c>
      <c r="BD28" s="4074">
        <f t="shared" si="22"/>
        <v>6.5156546300283072E-2</v>
      </c>
      <c r="BE28" s="3409" t="s">
        <v>1828</v>
      </c>
      <c r="BF28" s="3342">
        <f t="shared" si="41"/>
        <v>0</v>
      </c>
      <c r="BG28" s="3342">
        <f t="shared" si="41"/>
        <v>16326.900000000001</v>
      </c>
      <c r="BH28" s="2012">
        <f t="shared" si="42"/>
        <v>16326.900000000001</v>
      </c>
      <c r="BI28" s="3409"/>
      <c r="BJ28" s="3409"/>
      <c r="BK28" s="3342">
        <f t="shared" si="43"/>
        <v>0</v>
      </c>
      <c r="BL28" s="3342">
        <f t="shared" si="43"/>
        <v>0</v>
      </c>
      <c r="BM28" s="2012">
        <f t="shared" si="44"/>
        <v>0</v>
      </c>
      <c r="BN28" s="3409"/>
      <c r="BO28" s="3409"/>
      <c r="BP28" s="3341"/>
      <c r="BQ28" s="3341"/>
      <c r="BR28" s="3349">
        <f t="shared" si="45"/>
        <v>0</v>
      </c>
      <c r="BS28" s="4074">
        <f t="shared" si="25"/>
        <v>0</v>
      </c>
      <c r="BT28" s="3409"/>
      <c r="BU28" s="3341"/>
      <c r="BV28" s="3341"/>
      <c r="BW28" s="3349">
        <f t="shared" si="46"/>
        <v>0</v>
      </c>
      <c r="BX28" s="4074">
        <f t="shared" si="26"/>
        <v>0</v>
      </c>
      <c r="BY28" s="3409"/>
      <c r="BZ28" s="3341"/>
      <c r="CA28" s="3341"/>
      <c r="CB28" s="3349">
        <f t="shared" si="47"/>
        <v>0</v>
      </c>
      <c r="CC28" s="4074">
        <f t="shared" si="27"/>
        <v>0</v>
      </c>
      <c r="CD28" s="3409"/>
      <c r="CE28" s="3341"/>
      <c r="CF28" s="3341"/>
      <c r="CG28" s="3349">
        <f t="shared" si="48"/>
        <v>0</v>
      </c>
      <c r="CH28" s="4074">
        <f t="shared" si="28"/>
        <v>0</v>
      </c>
      <c r="CI28" s="3409"/>
      <c r="CJ28" s="3341"/>
      <c r="CK28" s="3341"/>
      <c r="CL28" s="3349">
        <f t="shared" si="49"/>
        <v>0</v>
      </c>
      <c r="CM28" s="4074">
        <f t="shared" si="29"/>
        <v>0</v>
      </c>
      <c r="CN28" s="3409"/>
      <c r="CO28" s="3341"/>
      <c r="CP28" s="3341"/>
      <c r="CQ28" s="3349">
        <f t="shared" si="50"/>
        <v>0</v>
      </c>
      <c r="CR28" s="4074">
        <f t="shared" si="30"/>
        <v>0</v>
      </c>
      <c r="CS28" s="3409"/>
      <c r="CT28" s="3341"/>
      <c r="CU28" s="3341"/>
      <c r="CV28" s="3349">
        <f t="shared" si="51"/>
        <v>0</v>
      </c>
      <c r="CW28" s="4074">
        <f t="shared" si="31"/>
        <v>0</v>
      </c>
      <c r="CX28" s="3409"/>
      <c r="CY28" s="3341"/>
      <c r="CZ28" s="3341"/>
      <c r="DA28" s="3349">
        <f t="shared" si="52"/>
        <v>0</v>
      </c>
      <c r="DB28" s="4074">
        <f t="shared" si="32"/>
        <v>0</v>
      </c>
      <c r="DC28" s="3409"/>
      <c r="DD28" s="3341"/>
      <c r="DE28" s="3341"/>
      <c r="DF28" s="3349">
        <f t="shared" si="53"/>
        <v>0</v>
      </c>
      <c r="DG28" s="4074">
        <f t="shared" si="33"/>
        <v>0</v>
      </c>
      <c r="DH28" s="3409"/>
      <c r="DI28" s="3341"/>
      <c r="DJ28" s="3341"/>
      <c r="DK28" s="3349">
        <f t="shared" si="54"/>
        <v>0</v>
      </c>
      <c r="DL28" s="4074">
        <f t="shared" si="34"/>
        <v>0</v>
      </c>
      <c r="DM28" s="3409"/>
      <c r="DN28" s="3341"/>
      <c r="DO28" s="3341"/>
      <c r="DP28" s="3349">
        <f t="shared" si="55"/>
        <v>0</v>
      </c>
      <c r="DQ28" s="4074">
        <f t="shared" si="35"/>
        <v>0</v>
      </c>
      <c r="DR28" s="3409"/>
      <c r="DS28" s="3341"/>
      <c r="DT28" s="3341"/>
      <c r="DU28" s="3349">
        <f t="shared" si="56"/>
        <v>0</v>
      </c>
      <c r="DV28" s="4074">
        <f t="shared" si="36"/>
        <v>0</v>
      </c>
      <c r="DW28" s="3409"/>
      <c r="DX28" s="3341">
        <f t="shared" si="57"/>
        <v>0</v>
      </c>
      <c r="DY28" s="3341">
        <f t="shared" si="57"/>
        <v>16326.900000000001</v>
      </c>
      <c r="DZ28" s="3349">
        <f t="shared" si="65"/>
        <v>16326.900000000001</v>
      </c>
      <c r="EA28" s="4074">
        <f t="shared" si="79"/>
        <v>1.2300154421823068E-2</v>
      </c>
      <c r="EB28" s="1434"/>
      <c r="ED28" s="4186">
        <v>17792.266800000001</v>
      </c>
      <c r="EE28" s="2012">
        <f t="shared" si="58"/>
        <v>16326.900000000001</v>
      </c>
      <c r="EF28" s="4188">
        <f t="shared" si="66"/>
        <v>1465.3667999999998</v>
      </c>
      <c r="EG28" s="3307"/>
      <c r="EH28" s="4189">
        <f>EF28/ED28</f>
        <v>8.235975867897842E-2</v>
      </c>
    </row>
    <row r="29" spans="1:140" s="1396" customFormat="1" ht="24" outlineLevel="2">
      <c r="A29" s="1571"/>
      <c r="B29" s="4075" t="s">
        <v>31</v>
      </c>
      <c r="C29" s="3341">
        <v>0</v>
      </c>
      <c r="D29" s="3341">
        <v>71100</v>
      </c>
      <c r="E29" s="3349">
        <f t="shared" si="59"/>
        <v>71100</v>
      </c>
      <c r="F29" s="4074">
        <f t="shared" si="71"/>
        <v>3.284736262351496E-2</v>
      </c>
      <c r="G29" s="4076"/>
      <c r="H29" s="3341">
        <v>0</v>
      </c>
      <c r="I29" s="3341">
        <v>22000</v>
      </c>
      <c r="J29" s="3349">
        <v>22000</v>
      </c>
      <c r="K29" s="4074">
        <v>2.5163319352576992E-2</v>
      </c>
      <c r="L29" s="1434"/>
      <c r="M29" s="3341"/>
      <c r="N29" s="3341">
        <f>4700+1400</f>
        <v>6100</v>
      </c>
      <c r="O29" s="3349">
        <f t="shared" si="60"/>
        <v>6100</v>
      </c>
      <c r="P29" s="4074">
        <f t="shared" si="72"/>
        <v>0.87114484141330972</v>
      </c>
      <c r="Q29" s="4178"/>
      <c r="R29" s="3341"/>
      <c r="S29" s="3341"/>
      <c r="T29" s="3349">
        <f t="shared" si="61"/>
        <v>0</v>
      </c>
      <c r="U29" s="4074">
        <f t="shared" si="73"/>
        <v>0</v>
      </c>
      <c r="V29" s="3195"/>
      <c r="W29" s="3341"/>
      <c r="X29" s="3341">
        <v>6200</v>
      </c>
      <c r="Y29" s="3349">
        <f t="shared" si="74"/>
        <v>6200</v>
      </c>
      <c r="Z29" s="4074">
        <f t="shared" si="75"/>
        <v>44.213114754098356</v>
      </c>
      <c r="AA29" s="3195" t="s">
        <v>1020</v>
      </c>
      <c r="AB29" s="3341"/>
      <c r="AC29" s="3341"/>
      <c r="AD29" s="3349">
        <f t="shared" si="76"/>
        <v>0</v>
      </c>
      <c r="AE29" s="4074" t="e">
        <f t="shared" si="67"/>
        <v>#DIV/0!</v>
      </c>
      <c r="AF29" s="3342"/>
      <c r="AG29" s="3341"/>
      <c r="AH29" s="3341"/>
      <c r="AI29" s="3349">
        <f t="shared" si="77"/>
        <v>0</v>
      </c>
      <c r="AJ29" s="4074" t="e">
        <f t="shared" si="68"/>
        <v>#DIV/0!</v>
      </c>
      <c r="AK29" s="3342"/>
      <c r="AL29" s="3341"/>
      <c r="AM29" s="3341"/>
      <c r="AN29" s="3349">
        <f t="shared" si="78"/>
        <v>0</v>
      </c>
      <c r="AO29" s="4074" t="e">
        <f t="shared" si="69"/>
        <v>#DIV/0!</v>
      </c>
      <c r="AP29" s="3342"/>
      <c r="AQ29" s="3341"/>
      <c r="AR29" s="3341"/>
      <c r="AS29" s="3349">
        <f t="shared" si="38"/>
        <v>0</v>
      </c>
      <c r="AT29" s="4074">
        <f t="shared" si="20"/>
        <v>0</v>
      </c>
      <c r="AU29" s="3342"/>
      <c r="AV29" s="3341"/>
      <c r="AW29" s="3341"/>
      <c r="AX29" s="3349">
        <f t="shared" si="39"/>
        <v>0</v>
      </c>
      <c r="AY29" s="4074">
        <f t="shared" si="21"/>
        <v>0</v>
      </c>
      <c r="AZ29" s="3342"/>
      <c r="BA29" s="3341"/>
      <c r="BB29" s="3341"/>
      <c r="BC29" s="3349">
        <f t="shared" si="40"/>
        <v>0</v>
      </c>
      <c r="BD29" s="4074">
        <f t="shared" si="22"/>
        <v>0</v>
      </c>
      <c r="BE29" s="3342"/>
      <c r="BF29" s="3342">
        <f t="shared" si="41"/>
        <v>0</v>
      </c>
      <c r="BG29" s="3342">
        <f t="shared" si="41"/>
        <v>0</v>
      </c>
      <c r="BH29" s="2012">
        <f t="shared" si="42"/>
        <v>0</v>
      </c>
      <c r="BI29" s="3342"/>
      <c r="BJ29" s="3342"/>
      <c r="BK29" s="3342">
        <f t="shared" si="43"/>
        <v>0</v>
      </c>
      <c r="BL29" s="3342">
        <f t="shared" si="43"/>
        <v>0</v>
      </c>
      <c r="BM29" s="2012">
        <f t="shared" si="44"/>
        <v>0</v>
      </c>
      <c r="BN29" s="3342"/>
      <c r="BO29" s="3342"/>
      <c r="BP29" s="3341"/>
      <c r="BQ29" s="3341"/>
      <c r="BR29" s="3349">
        <f t="shared" si="45"/>
        <v>0</v>
      </c>
      <c r="BS29" s="4074">
        <f t="shared" si="25"/>
        <v>0</v>
      </c>
      <c r="BT29" s="3342"/>
      <c r="BU29" s="3341"/>
      <c r="BV29" s="3341"/>
      <c r="BW29" s="3349">
        <f t="shared" si="46"/>
        <v>0</v>
      </c>
      <c r="BX29" s="4074">
        <f t="shared" si="26"/>
        <v>0</v>
      </c>
      <c r="BY29" s="3342"/>
      <c r="BZ29" s="3341"/>
      <c r="CA29" s="3341"/>
      <c r="CB29" s="3349">
        <f t="shared" si="47"/>
        <v>0</v>
      </c>
      <c r="CC29" s="4074">
        <f t="shared" si="27"/>
        <v>0</v>
      </c>
      <c r="CD29" s="3342"/>
      <c r="CE29" s="3341"/>
      <c r="CF29" s="3341"/>
      <c r="CG29" s="3349">
        <f t="shared" si="48"/>
        <v>0</v>
      </c>
      <c r="CH29" s="4074">
        <f t="shared" si="28"/>
        <v>0</v>
      </c>
      <c r="CI29" s="3342"/>
      <c r="CJ29" s="3341"/>
      <c r="CK29" s="3341"/>
      <c r="CL29" s="3349">
        <f t="shared" si="49"/>
        <v>0</v>
      </c>
      <c r="CM29" s="4074">
        <f t="shared" si="29"/>
        <v>0</v>
      </c>
      <c r="CN29" s="3342"/>
      <c r="CO29" s="3341"/>
      <c r="CP29" s="3341"/>
      <c r="CQ29" s="3349">
        <f t="shared" si="50"/>
        <v>0</v>
      </c>
      <c r="CR29" s="4074">
        <f t="shared" si="30"/>
        <v>0</v>
      </c>
      <c r="CS29" s="3342"/>
      <c r="CT29" s="3341"/>
      <c r="CU29" s="3341"/>
      <c r="CV29" s="3349">
        <f t="shared" si="51"/>
        <v>0</v>
      </c>
      <c r="CW29" s="4074">
        <f t="shared" si="31"/>
        <v>0</v>
      </c>
      <c r="CX29" s="3342"/>
      <c r="CY29" s="3341"/>
      <c r="CZ29" s="3341"/>
      <c r="DA29" s="3349">
        <f t="shared" si="52"/>
        <v>0</v>
      </c>
      <c r="DB29" s="4074">
        <f t="shared" si="32"/>
        <v>0</v>
      </c>
      <c r="DC29" s="3342"/>
      <c r="DD29" s="3341"/>
      <c r="DE29" s="3341"/>
      <c r="DF29" s="3349">
        <f t="shared" si="53"/>
        <v>0</v>
      </c>
      <c r="DG29" s="4074">
        <f t="shared" si="33"/>
        <v>0</v>
      </c>
      <c r="DH29" s="3342"/>
      <c r="DI29" s="3341"/>
      <c r="DJ29" s="3341"/>
      <c r="DK29" s="3349">
        <f t="shared" si="54"/>
        <v>0</v>
      </c>
      <c r="DL29" s="4074">
        <f t="shared" si="34"/>
        <v>0</v>
      </c>
      <c r="DM29" s="3342"/>
      <c r="DN29" s="3341"/>
      <c r="DO29" s="3341"/>
      <c r="DP29" s="3349">
        <f t="shared" si="55"/>
        <v>0</v>
      </c>
      <c r="DQ29" s="4074">
        <f t="shared" si="35"/>
        <v>0</v>
      </c>
      <c r="DR29" s="3342"/>
      <c r="DS29" s="3341"/>
      <c r="DT29" s="3341"/>
      <c r="DU29" s="3349">
        <f t="shared" si="56"/>
        <v>0</v>
      </c>
      <c r="DV29" s="4074">
        <f t="shared" si="36"/>
        <v>0</v>
      </c>
      <c r="DW29" s="3342"/>
      <c r="DX29" s="3341">
        <f t="shared" si="57"/>
        <v>0</v>
      </c>
      <c r="DY29" s="3341">
        <f t="shared" si="57"/>
        <v>0</v>
      </c>
      <c r="DZ29" s="3349">
        <f t="shared" si="65"/>
        <v>0</v>
      </c>
      <c r="EA29" s="4074">
        <f t="shared" si="79"/>
        <v>0</v>
      </c>
      <c r="EB29" s="4076"/>
      <c r="ED29" s="4186"/>
      <c r="EE29" s="2012">
        <f t="shared" si="58"/>
        <v>0</v>
      </c>
      <c r="EF29" s="4188">
        <f t="shared" si="66"/>
        <v>0</v>
      </c>
      <c r="EH29" s="2624"/>
    </row>
    <row r="30" spans="1:140" s="1396" customFormat="1" ht="36" outlineLevel="2">
      <c r="A30" s="1571"/>
      <c r="B30" s="4075" t="s">
        <v>62</v>
      </c>
      <c r="C30" s="3341">
        <v>0</v>
      </c>
      <c r="D30" s="3341">
        <v>48536</v>
      </c>
      <c r="E30" s="3349">
        <f t="shared" si="59"/>
        <v>48536</v>
      </c>
      <c r="F30" s="4074">
        <f t="shared" si="71"/>
        <v>2.2423060369830126E-2</v>
      </c>
      <c r="G30" s="4076"/>
      <c r="H30" s="3341">
        <v>0</v>
      </c>
      <c r="I30" s="3341">
        <v>11136</v>
      </c>
      <c r="J30" s="3349">
        <v>11136</v>
      </c>
      <c r="K30" s="4074">
        <v>1.2737214741377154E-2</v>
      </c>
      <c r="L30" s="1434"/>
      <c r="M30" s="3341"/>
      <c r="N30" s="3341"/>
      <c r="O30" s="3349">
        <f t="shared" si="60"/>
        <v>0</v>
      </c>
      <c r="P30" s="4074">
        <f t="shared" si="72"/>
        <v>0</v>
      </c>
      <c r="Q30" s="4178"/>
      <c r="R30" s="3341"/>
      <c r="S30" s="3341"/>
      <c r="T30" s="3349">
        <f t="shared" si="61"/>
        <v>0</v>
      </c>
      <c r="U30" s="4074">
        <f t="shared" si="73"/>
        <v>0</v>
      </c>
      <c r="V30" s="3195"/>
      <c r="W30" s="3341"/>
      <c r="X30" s="3341"/>
      <c r="Y30" s="3349">
        <f t="shared" si="74"/>
        <v>0</v>
      </c>
      <c r="Z30" s="4074">
        <f t="shared" si="75"/>
        <v>0</v>
      </c>
      <c r="AA30" s="3195"/>
      <c r="AB30" s="3341"/>
      <c r="AC30" s="3341"/>
      <c r="AD30" s="3349">
        <f t="shared" si="76"/>
        <v>0</v>
      </c>
      <c r="AE30" s="4074" t="e">
        <f t="shared" si="67"/>
        <v>#DIV/0!</v>
      </c>
      <c r="AF30" s="3342"/>
      <c r="AG30" s="3341"/>
      <c r="AH30" s="3341"/>
      <c r="AI30" s="3349">
        <f t="shared" si="77"/>
        <v>0</v>
      </c>
      <c r="AJ30" s="4074" t="e">
        <f t="shared" si="68"/>
        <v>#DIV/0!</v>
      </c>
      <c r="AK30" s="3342"/>
      <c r="AL30" s="3341"/>
      <c r="AM30" s="3341"/>
      <c r="AN30" s="3349">
        <f t="shared" si="78"/>
        <v>0</v>
      </c>
      <c r="AO30" s="4074" t="e">
        <f t="shared" si="69"/>
        <v>#DIV/0!</v>
      </c>
      <c r="AP30" s="3342"/>
      <c r="AQ30" s="3341"/>
      <c r="AR30" s="3341">
        <v>20200</v>
      </c>
      <c r="AS30" s="3349">
        <f t="shared" si="38"/>
        <v>20200</v>
      </c>
      <c r="AT30" s="4074">
        <f t="shared" si="20"/>
        <v>0.10423478726098392</v>
      </c>
      <c r="AU30" s="3343" t="s">
        <v>1791</v>
      </c>
      <c r="AV30" s="3341"/>
      <c r="AW30" s="3341">
        <v>6832.54</v>
      </c>
      <c r="AX30" s="3349">
        <f t="shared" si="39"/>
        <v>6832.54</v>
      </c>
      <c r="AY30" s="4074">
        <f t="shared" si="21"/>
        <v>3.5256849175849661E-2</v>
      </c>
      <c r="AZ30" s="3343" t="s">
        <v>1805</v>
      </c>
      <c r="BA30" s="3341"/>
      <c r="BB30" s="3341"/>
      <c r="BC30" s="3349">
        <f t="shared" si="40"/>
        <v>0</v>
      </c>
      <c r="BD30" s="4074">
        <f t="shared" si="22"/>
        <v>0</v>
      </c>
      <c r="BE30" s="3342"/>
      <c r="BF30" s="3342">
        <f t="shared" si="41"/>
        <v>0</v>
      </c>
      <c r="BG30" s="3342">
        <f t="shared" si="41"/>
        <v>27032.54</v>
      </c>
      <c r="BH30" s="2012">
        <f t="shared" si="42"/>
        <v>27032.54</v>
      </c>
      <c r="BI30" s="3342"/>
      <c r="BJ30" s="3342"/>
      <c r="BK30" s="3342">
        <f t="shared" si="43"/>
        <v>0</v>
      </c>
      <c r="BL30" s="3342">
        <f t="shared" si="43"/>
        <v>17897.45</v>
      </c>
      <c r="BM30" s="2012">
        <f t="shared" si="44"/>
        <v>17897.45</v>
      </c>
      <c r="BN30" s="3342"/>
      <c r="BO30" s="3342"/>
      <c r="BP30" s="3341"/>
      <c r="BQ30" s="3341">
        <v>9379</v>
      </c>
      <c r="BR30" s="3349">
        <f t="shared" si="45"/>
        <v>9379</v>
      </c>
      <c r="BS30" s="4074">
        <f t="shared" si="25"/>
        <v>4.8396934144592486E-2</v>
      </c>
      <c r="BT30" s="3342"/>
      <c r="BU30" s="3341"/>
      <c r="BV30" s="3341">
        <f>6000+2518.45</f>
        <v>8518.4500000000007</v>
      </c>
      <c r="BW30" s="3349">
        <f t="shared" si="46"/>
        <v>8518.4500000000007</v>
      </c>
      <c r="BX30" s="4074">
        <f t="shared" si="26"/>
        <v>4.3956377403135079E-2</v>
      </c>
      <c r="BY30" s="3342" t="s">
        <v>1931</v>
      </c>
      <c r="BZ30" s="3341"/>
      <c r="CA30" s="3341"/>
      <c r="CB30" s="3349">
        <f t="shared" si="47"/>
        <v>0</v>
      </c>
      <c r="CC30" s="4074">
        <f t="shared" si="27"/>
        <v>0</v>
      </c>
      <c r="CD30" s="3342"/>
      <c r="CE30" s="3341"/>
      <c r="CF30" s="3341"/>
      <c r="CG30" s="3349">
        <f t="shared" si="48"/>
        <v>0</v>
      </c>
      <c r="CH30" s="4074">
        <f t="shared" si="28"/>
        <v>0</v>
      </c>
      <c r="CI30" s="3342"/>
      <c r="CJ30" s="3341"/>
      <c r="CK30" s="3341"/>
      <c r="CL30" s="3349">
        <f t="shared" si="49"/>
        <v>0</v>
      </c>
      <c r="CM30" s="4074">
        <f t="shared" si="29"/>
        <v>0</v>
      </c>
      <c r="CN30" s="3342"/>
      <c r="CO30" s="3341"/>
      <c r="CP30" s="3341"/>
      <c r="CQ30" s="3349">
        <f t="shared" si="50"/>
        <v>0</v>
      </c>
      <c r="CR30" s="4074">
        <f t="shared" si="30"/>
        <v>0</v>
      </c>
      <c r="CS30" s="3342"/>
      <c r="CT30" s="3341"/>
      <c r="CU30" s="3341"/>
      <c r="CV30" s="3349">
        <f t="shared" si="51"/>
        <v>0</v>
      </c>
      <c r="CW30" s="4074">
        <f t="shared" si="31"/>
        <v>0</v>
      </c>
      <c r="CX30" s="3342"/>
      <c r="CY30" s="3341"/>
      <c r="CZ30" s="3341"/>
      <c r="DA30" s="3349">
        <f t="shared" si="52"/>
        <v>0</v>
      </c>
      <c r="DB30" s="4074">
        <f t="shared" si="32"/>
        <v>0</v>
      </c>
      <c r="DC30" s="3342"/>
      <c r="DD30" s="3341"/>
      <c r="DE30" s="3341"/>
      <c r="DF30" s="3349">
        <f t="shared" si="53"/>
        <v>0</v>
      </c>
      <c r="DG30" s="4074">
        <f t="shared" si="33"/>
        <v>0</v>
      </c>
      <c r="DH30" s="3342"/>
      <c r="DI30" s="3341"/>
      <c r="DJ30" s="3341"/>
      <c r="DK30" s="3349">
        <f t="shared" si="54"/>
        <v>0</v>
      </c>
      <c r="DL30" s="4074">
        <f t="shared" si="34"/>
        <v>0</v>
      </c>
      <c r="DM30" s="3342"/>
      <c r="DN30" s="3341"/>
      <c r="DO30" s="3341"/>
      <c r="DP30" s="3349">
        <f t="shared" si="55"/>
        <v>0</v>
      </c>
      <c r="DQ30" s="4074">
        <f t="shared" si="35"/>
        <v>0</v>
      </c>
      <c r="DR30" s="3342"/>
      <c r="DS30" s="3341"/>
      <c r="DT30" s="3341"/>
      <c r="DU30" s="3349">
        <f t="shared" si="56"/>
        <v>0</v>
      </c>
      <c r="DV30" s="4074">
        <f t="shared" si="36"/>
        <v>0</v>
      </c>
      <c r="DW30" s="3342"/>
      <c r="DX30" s="3341">
        <f t="shared" si="57"/>
        <v>0</v>
      </c>
      <c r="DY30" s="3341">
        <f t="shared" si="57"/>
        <v>44929.990000000005</v>
      </c>
      <c r="DZ30" s="3349">
        <f t="shared" si="65"/>
        <v>44929.990000000005</v>
      </c>
      <c r="EA30" s="4074">
        <f t="shared" si="79"/>
        <v>3.3848790350340011E-2</v>
      </c>
      <c r="EB30" s="4076"/>
      <c r="ED30" s="4186">
        <v>21674.914799999999</v>
      </c>
      <c r="EE30" s="2012">
        <f t="shared" si="58"/>
        <v>44929.990000000005</v>
      </c>
      <c r="EF30" s="4188">
        <f t="shared" si="66"/>
        <v>-23255.075200000007</v>
      </c>
      <c r="EG30" s="3307"/>
      <c r="EH30" s="4189">
        <f>EF30/ED30</f>
        <v>-1.0729027271655069</v>
      </c>
    </row>
    <row r="31" spans="1:140" s="1396" customFormat="1" ht="72" outlineLevel="2">
      <c r="A31" s="1571"/>
      <c r="B31" s="4075" t="s">
        <v>34</v>
      </c>
      <c r="C31" s="3341">
        <v>0</v>
      </c>
      <c r="D31" s="3341">
        <v>8792</v>
      </c>
      <c r="E31" s="3349">
        <f t="shared" si="59"/>
        <v>8792</v>
      </c>
      <c r="F31" s="4074">
        <f t="shared" si="71"/>
        <v>4.0618004526855626E-3</v>
      </c>
      <c r="G31" s="4076"/>
      <c r="H31" s="3341">
        <v>0</v>
      </c>
      <c r="I31" s="3341">
        <v>1000</v>
      </c>
      <c r="J31" s="3349">
        <v>1000</v>
      </c>
      <c r="K31" s="4074">
        <v>1.1437872432989542E-3</v>
      </c>
      <c r="L31" s="1434"/>
      <c r="M31" s="3341"/>
      <c r="N31" s="3341"/>
      <c r="O31" s="3349">
        <f t="shared" si="60"/>
        <v>0</v>
      </c>
      <c r="P31" s="4074">
        <f t="shared" si="72"/>
        <v>0</v>
      </c>
      <c r="Q31" s="4178"/>
      <c r="R31" s="3341"/>
      <c r="S31" s="3341"/>
      <c r="T31" s="3349">
        <f t="shared" si="61"/>
        <v>0</v>
      </c>
      <c r="U31" s="4074">
        <f t="shared" si="73"/>
        <v>0</v>
      </c>
      <c r="V31" s="3195"/>
      <c r="W31" s="3341"/>
      <c r="X31" s="3341">
        <f>1800+1028</f>
        <v>2828</v>
      </c>
      <c r="Y31" s="3349">
        <f t="shared" si="74"/>
        <v>2828</v>
      </c>
      <c r="Z31" s="4074">
        <f t="shared" si="75"/>
        <v>20.166885245901636</v>
      </c>
      <c r="AA31" s="3195" t="s">
        <v>1021</v>
      </c>
      <c r="AB31" s="3341"/>
      <c r="AC31" s="3341"/>
      <c r="AD31" s="3349">
        <f t="shared" si="76"/>
        <v>0</v>
      </c>
      <c r="AE31" s="4074" t="e">
        <f t="shared" si="67"/>
        <v>#DIV/0!</v>
      </c>
      <c r="AF31" s="3342"/>
      <c r="AG31" s="3341"/>
      <c r="AH31" s="3341"/>
      <c r="AI31" s="3349">
        <f t="shared" si="77"/>
        <v>0</v>
      </c>
      <c r="AJ31" s="4074" t="e">
        <f t="shared" si="68"/>
        <v>#DIV/0!</v>
      </c>
      <c r="AK31" s="4078"/>
      <c r="AL31" s="3341"/>
      <c r="AM31" s="3341"/>
      <c r="AN31" s="3349">
        <f t="shared" si="78"/>
        <v>0</v>
      </c>
      <c r="AO31" s="4074" t="e">
        <f t="shared" si="69"/>
        <v>#DIV/0!</v>
      </c>
      <c r="AP31" s="3342"/>
      <c r="AQ31" s="3341">
        <f>24000+35000</f>
        <v>59000</v>
      </c>
      <c r="AR31" s="3341">
        <f>1300+1260+4770</f>
        <v>7330</v>
      </c>
      <c r="AS31" s="3349">
        <f t="shared" si="38"/>
        <v>66330</v>
      </c>
      <c r="AT31" s="4074">
        <f t="shared" si="20"/>
        <v>0.34227195242678532</v>
      </c>
      <c r="AU31" s="3343" t="s">
        <v>1829</v>
      </c>
      <c r="AV31" s="3341">
        <f>27000+28000+7950</f>
        <v>62950</v>
      </c>
      <c r="AW31" s="3341">
        <f>800+1300+650</f>
        <v>2750</v>
      </c>
      <c r="AX31" s="3349">
        <f t="shared" si="39"/>
        <v>65700</v>
      </c>
      <c r="AY31" s="4074">
        <f t="shared" si="21"/>
        <v>0.33902106549735861</v>
      </c>
      <c r="AZ31" s="3343" t="s">
        <v>1830</v>
      </c>
      <c r="BA31" s="3341"/>
      <c r="BB31" s="3341"/>
      <c r="BC31" s="3349">
        <f t="shared" si="40"/>
        <v>0</v>
      </c>
      <c r="BD31" s="4074">
        <f t="shared" si="22"/>
        <v>0</v>
      </c>
      <c r="BE31" s="3342"/>
      <c r="BF31" s="3342">
        <f t="shared" si="41"/>
        <v>121950</v>
      </c>
      <c r="BG31" s="3342">
        <f t="shared" si="41"/>
        <v>10080</v>
      </c>
      <c r="BH31" s="2012">
        <f t="shared" si="42"/>
        <v>132030</v>
      </c>
      <c r="BI31" s="3342"/>
      <c r="BJ31" s="3342"/>
      <c r="BK31" s="3342">
        <f t="shared" si="43"/>
        <v>60000</v>
      </c>
      <c r="BL31" s="3342">
        <f t="shared" si="43"/>
        <v>0</v>
      </c>
      <c r="BM31" s="2012">
        <f t="shared" si="44"/>
        <v>60000</v>
      </c>
      <c r="BN31" s="3342"/>
      <c r="BO31" s="3342"/>
      <c r="BP31" s="3341"/>
      <c r="BQ31" s="3341"/>
      <c r="BR31" s="3349">
        <f t="shared" si="45"/>
        <v>0</v>
      </c>
      <c r="BS31" s="4074">
        <f t="shared" ref="BS31" si="84">BR31/BR$89</f>
        <v>0</v>
      </c>
      <c r="BT31" s="3342"/>
      <c r="BU31" s="3341"/>
      <c r="BV31" s="3341"/>
      <c r="BW31" s="3349">
        <f t="shared" si="46"/>
        <v>0</v>
      </c>
      <c r="BX31" s="4074">
        <f t="shared" si="26"/>
        <v>0</v>
      </c>
      <c r="BY31" s="3342"/>
      <c r="BZ31" s="2043">
        <f>28000+32000</f>
        <v>60000</v>
      </c>
      <c r="CA31" s="3341"/>
      <c r="CB31" s="3349">
        <f t="shared" si="47"/>
        <v>60000</v>
      </c>
      <c r="CC31" s="4074">
        <f t="shared" si="27"/>
        <v>0.30960827899302157</v>
      </c>
      <c r="CD31" s="2046" t="s">
        <v>2031</v>
      </c>
      <c r="CE31" s="3341"/>
      <c r="CF31" s="3341"/>
      <c r="CG31" s="3349">
        <f t="shared" si="48"/>
        <v>0</v>
      </c>
      <c r="CH31" s="4074">
        <f t="shared" si="28"/>
        <v>0</v>
      </c>
      <c r="CI31" s="3342"/>
      <c r="CJ31" s="3341"/>
      <c r="CK31" s="3341"/>
      <c r="CL31" s="3349">
        <f t="shared" si="49"/>
        <v>0</v>
      </c>
      <c r="CM31" s="4074">
        <f t="shared" si="29"/>
        <v>0</v>
      </c>
      <c r="CN31" s="3342"/>
      <c r="CO31" s="3341"/>
      <c r="CP31" s="3341"/>
      <c r="CQ31" s="3349">
        <f t="shared" si="50"/>
        <v>0</v>
      </c>
      <c r="CR31" s="4074">
        <f t="shared" si="30"/>
        <v>0</v>
      </c>
      <c r="CS31" s="3342"/>
      <c r="CT31" s="3341"/>
      <c r="CU31" s="3341"/>
      <c r="CV31" s="3349">
        <f t="shared" si="51"/>
        <v>0</v>
      </c>
      <c r="CW31" s="4074">
        <f t="shared" si="31"/>
        <v>0</v>
      </c>
      <c r="CX31" s="3342"/>
      <c r="CY31" s="3341"/>
      <c r="CZ31" s="3341"/>
      <c r="DA31" s="3349">
        <f t="shared" si="52"/>
        <v>0</v>
      </c>
      <c r="DB31" s="4074">
        <f t="shared" si="32"/>
        <v>0</v>
      </c>
      <c r="DC31" s="3342"/>
      <c r="DD31" s="3341"/>
      <c r="DE31" s="3341"/>
      <c r="DF31" s="3349">
        <f t="shared" si="53"/>
        <v>0</v>
      </c>
      <c r="DG31" s="4074">
        <f t="shared" si="33"/>
        <v>0</v>
      </c>
      <c r="DH31" s="3342"/>
      <c r="DI31" s="3341"/>
      <c r="DJ31" s="3341"/>
      <c r="DK31" s="3349">
        <f t="shared" si="54"/>
        <v>0</v>
      </c>
      <c r="DL31" s="4074">
        <f t="shared" si="34"/>
        <v>0</v>
      </c>
      <c r="DM31" s="3342"/>
      <c r="DN31" s="3341"/>
      <c r="DO31" s="3341"/>
      <c r="DP31" s="3349">
        <f t="shared" si="55"/>
        <v>0</v>
      </c>
      <c r="DQ31" s="4074">
        <f t="shared" si="35"/>
        <v>0</v>
      </c>
      <c r="DR31" s="3342"/>
      <c r="DS31" s="3341"/>
      <c r="DT31" s="3341"/>
      <c r="DU31" s="3349">
        <f t="shared" si="56"/>
        <v>0</v>
      </c>
      <c r="DV31" s="4074">
        <f t="shared" si="36"/>
        <v>0</v>
      </c>
      <c r="DW31" s="3342"/>
      <c r="DX31" s="3341">
        <f t="shared" si="57"/>
        <v>181950</v>
      </c>
      <c r="DY31" s="3341">
        <f t="shared" si="57"/>
        <v>10080</v>
      </c>
      <c r="DZ31" s="3349">
        <f t="shared" si="65"/>
        <v>192030</v>
      </c>
      <c r="EA31" s="4074">
        <f t="shared" si="79"/>
        <v>0.14466914439499745</v>
      </c>
      <c r="EB31" s="4076"/>
      <c r="ED31" s="4186">
        <v>133950</v>
      </c>
      <c r="EE31" s="2012">
        <f t="shared" si="58"/>
        <v>192030</v>
      </c>
      <c r="EF31" s="4188">
        <f t="shared" si="66"/>
        <v>-58080</v>
      </c>
      <c r="EG31" s="3307"/>
      <c r="EH31" s="4189">
        <f>EF31/ED31</f>
        <v>-0.43359462486002237</v>
      </c>
      <c r="EJ31" s="933"/>
    </row>
    <row r="32" spans="1:140" s="1396" customFormat="1" ht="13.8" outlineLevel="2">
      <c r="A32" s="1571"/>
      <c r="B32" s="4077" t="s">
        <v>2</v>
      </c>
      <c r="C32" s="3341">
        <v>7800</v>
      </c>
      <c r="D32" s="3341">
        <v>11000</v>
      </c>
      <c r="E32" s="3349">
        <f t="shared" si="59"/>
        <v>18800</v>
      </c>
      <c r="F32" s="4074">
        <f t="shared" si="71"/>
        <v>8.6853785839955157E-3</v>
      </c>
      <c r="G32" s="4076"/>
      <c r="H32" s="3341">
        <v>0</v>
      </c>
      <c r="I32" s="3341">
        <v>0</v>
      </c>
      <c r="J32" s="3349">
        <v>0</v>
      </c>
      <c r="K32" s="4074">
        <v>0</v>
      </c>
      <c r="L32" s="1434"/>
      <c r="M32" s="3341"/>
      <c r="N32" s="3341"/>
      <c r="O32" s="3349">
        <f t="shared" si="60"/>
        <v>0</v>
      </c>
      <c r="P32" s="4074">
        <f t="shared" si="72"/>
        <v>0</v>
      </c>
      <c r="Q32" s="4178"/>
      <c r="R32" s="3341"/>
      <c r="S32" s="3341"/>
      <c r="T32" s="3349">
        <f t="shared" si="61"/>
        <v>0</v>
      </c>
      <c r="U32" s="4074">
        <f t="shared" si="73"/>
        <v>0</v>
      </c>
      <c r="V32" s="4078"/>
      <c r="W32" s="3341"/>
      <c r="X32" s="3341"/>
      <c r="Y32" s="3349">
        <f>W32+X32*1</f>
        <v>0</v>
      </c>
      <c r="Z32" s="4074">
        <f>Y32/$Y$89</f>
        <v>0</v>
      </c>
      <c r="AA32" s="4078"/>
      <c r="AB32" s="3341"/>
      <c r="AC32" s="3341"/>
      <c r="AD32" s="3349">
        <f t="shared" si="76"/>
        <v>0</v>
      </c>
      <c r="AE32" s="4074" t="e">
        <f t="shared" si="67"/>
        <v>#DIV/0!</v>
      </c>
      <c r="AF32" s="4078"/>
      <c r="AG32" s="3341"/>
      <c r="AH32" s="3341"/>
      <c r="AI32" s="3349">
        <f t="shared" si="77"/>
        <v>0</v>
      </c>
      <c r="AJ32" s="4074" t="e">
        <f t="shared" si="68"/>
        <v>#DIV/0!</v>
      </c>
      <c r="AK32" s="4078"/>
      <c r="AL32" s="3341"/>
      <c r="AM32" s="3341"/>
      <c r="AN32" s="3349">
        <f t="shared" si="78"/>
        <v>0</v>
      </c>
      <c r="AO32" s="4074" t="e">
        <f t="shared" si="69"/>
        <v>#DIV/0!</v>
      </c>
      <c r="AP32" s="4078"/>
      <c r="AQ32" s="3341"/>
      <c r="AR32" s="3341"/>
      <c r="AS32" s="3349">
        <f t="shared" si="38"/>
        <v>0</v>
      </c>
      <c r="AT32" s="4074">
        <f t="shared" si="20"/>
        <v>0</v>
      </c>
      <c r="AU32" s="4078"/>
      <c r="AV32" s="3341"/>
      <c r="AW32" s="3341"/>
      <c r="AX32" s="3349">
        <f t="shared" si="39"/>
        <v>0</v>
      </c>
      <c r="AY32" s="4074">
        <f t="shared" si="21"/>
        <v>0</v>
      </c>
      <c r="AZ32" s="4078"/>
      <c r="BA32" s="3341"/>
      <c r="BB32" s="3341"/>
      <c r="BC32" s="3349">
        <f t="shared" si="40"/>
        <v>0</v>
      </c>
      <c r="BD32" s="4074">
        <f t="shared" si="22"/>
        <v>0</v>
      </c>
      <c r="BE32" s="4078"/>
      <c r="BF32" s="3342">
        <f t="shared" si="41"/>
        <v>0</v>
      </c>
      <c r="BG32" s="3342">
        <f t="shared" si="41"/>
        <v>0</v>
      </c>
      <c r="BH32" s="2012">
        <f t="shared" si="42"/>
        <v>0</v>
      </c>
      <c r="BI32" s="2048"/>
      <c r="BJ32" s="2048"/>
      <c r="BK32" s="3342">
        <f t="shared" si="43"/>
        <v>0</v>
      </c>
      <c r="BL32" s="3342">
        <f t="shared" si="43"/>
        <v>0</v>
      </c>
      <c r="BM32" s="2012">
        <f t="shared" si="44"/>
        <v>0</v>
      </c>
      <c r="BN32" s="2048"/>
      <c r="BO32" s="2048"/>
      <c r="BP32" s="3341"/>
      <c r="BQ32" s="3341"/>
      <c r="BR32" s="3349">
        <f t="shared" si="45"/>
        <v>0</v>
      </c>
      <c r="BS32" s="4074">
        <f t="shared" si="25"/>
        <v>0</v>
      </c>
      <c r="BT32" s="4078"/>
      <c r="BU32" s="3341"/>
      <c r="BV32" s="3341"/>
      <c r="BW32" s="3349">
        <f t="shared" si="46"/>
        <v>0</v>
      </c>
      <c r="BX32" s="4074">
        <f t="shared" si="26"/>
        <v>0</v>
      </c>
      <c r="BY32" s="4078"/>
      <c r="BZ32" s="3341"/>
      <c r="CA32" s="3341"/>
      <c r="CB32" s="3349">
        <f t="shared" si="47"/>
        <v>0</v>
      </c>
      <c r="CC32" s="4074">
        <f t="shared" si="27"/>
        <v>0</v>
      </c>
      <c r="CD32" s="4078"/>
      <c r="CE32" s="3341"/>
      <c r="CF32" s="3341"/>
      <c r="CG32" s="3349">
        <f t="shared" si="48"/>
        <v>0</v>
      </c>
      <c r="CH32" s="4074">
        <f t="shared" si="28"/>
        <v>0</v>
      </c>
      <c r="CI32" s="4078"/>
      <c r="CJ32" s="3341"/>
      <c r="CK32" s="3341"/>
      <c r="CL32" s="3349">
        <f t="shared" si="49"/>
        <v>0</v>
      </c>
      <c r="CM32" s="4074">
        <f t="shared" si="29"/>
        <v>0</v>
      </c>
      <c r="CN32" s="4078"/>
      <c r="CO32" s="3341"/>
      <c r="CP32" s="3341"/>
      <c r="CQ32" s="3349">
        <f t="shared" si="50"/>
        <v>0</v>
      </c>
      <c r="CR32" s="4074">
        <f t="shared" si="30"/>
        <v>0</v>
      </c>
      <c r="CS32" s="4078"/>
      <c r="CT32" s="3341"/>
      <c r="CU32" s="3341"/>
      <c r="CV32" s="3349">
        <f t="shared" si="51"/>
        <v>0</v>
      </c>
      <c r="CW32" s="4074">
        <f t="shared" si="31"/>
        <v>0</v>
      </c>
      <c r="CX32" s="4078"/>
      <c r="CY32" s="3341"/>
      <c r="CZ32" s="3341"/>
      <c r="DA32" s="3349">
        <f t="shared" si="52"/>
        <v>0</v>
      </c>
      <c r="DB32" s="4074">
        <f t="shared" si="32"/>
        <v>0</v>
      </c>
      <c r="DC32" s="4078"/>
      <c r="DD32" s="3341"/>
      <c r="DE32" s="3341"/>
      <c r="DF32" s="3349">
        <f t="shared" si="53"/>
        <v>0</v>
      </c>
      <c r="DG32" s="4074">
        <f t="shared" si="33"/>
        <v>0</v>
      </c>
      <c r="DH32" s="4078"/>
      <c r="DI32" s="3341"/>
      <c r="DJ32" s="3341"/>
      <c r="DK32" s="3349">
        <f t="shared" si="54"/>
        <v>0</v>
      </c>
      <c r="DL32" s="4074">
        <f t="shared" si="34"/>
        <v>0</v>
      </c>
      <c r="DM32" s="4078"/>
      <c r="DN32" s="3341"/>
      <c r="DO32" s="3341"/>
      <c r="DP32" s="3349">
        <f t="shared" si="55"/>
        <v>0</v>
      </c>
      <c r="DQ32" s="4074">
        <f t="shared" si="35"/>
        <v>0</v>
      </c>
      <c r="DR32" s="4078"/>
      <c r="DS32" s="3341"/>
      <c r="DT32" s="3341"/>
      <c r="DU32" s="3349">
        <f t="shared" si="56"/>
        <v>0</v>
      </c>
      <c r="DV32" s="4074">
        <f t="shared" si="36"/>
        <v>0</v>
      </c>
      <c r="DW32" s="4078"/>
      <c r="DX32" s="4079">
        <f t="shared" si="57"/>
        <v>0</v>
      </c>
      <c r="DY32" s="4080">
        <f t="shared" si="57"/>
        <v>0</v>
      </c>
      <c r="DZ32" s="3349">
        <f t="shared" si="65"/>
        <v>0</v>
      </c>
      <c r="EA32" s="4074">
        <f t="shared" si="79"/>
        <v>0</v>
      </c>
      <c r="EB32" s="4076"/>
      <c r="ED32" s="4186"/>
      <c r="EE32" s="2012">
        <f t="shared" si="58"/>
        <v>0</v>
      </c>
      <c r="EF32" s="4188">
        <f t="shared" si="66"/>
        <v>0</v>
      </c>
      <c r="EH32" s="2624"/>
    </row>
    <row r="33" spans="1:138" s="1396" customFormat="1" ht="14.4" outlineLevel="2" thickBot="1">
      <c r="A33" s="1571"/>
      <c r="B33" s="4081" t="s">
        <v>75</v>
      </c>
      <c r="C33" s="4082">
        <v>0</v>
      </c>
      <c r="D33" s="4082">
        <v>0</v>
      </c>
      <c r="E33" s="4083">
        <f t="shared" si="59"/>
        <v>0</v>
      </c>
      <c r="F33" s="4090">
        <f t="shared" si="71"/>
        <v>0</v>
      </c>
      <c r="G33" s="4091"/>
      <c r="H33" s="4082">
        <v>0</v>
      </c>
      <c r="I33" s="4082">
        <v>0</v>
      </c>
      <c r="J33" s="4083">
        <v>0</v>
      </c>
      <c r="K33" s="4090">
        <v>0</v>
      </c>
      <c r="L33" s="4091"/>
      <c r="M33" s="4082"/>
      <c r="N33" s="4082"/>
      <c r="O33" s="4083">
        <f t="shared" si="60"/>
        <v>0</v>
      </c>
      <c r="P33" s="4090">
        <f t="shared" si="72"/>
        <v>0</v>
      </c>
      <c r="Q33" s="4091"/>
      <c r="R33" s="4082"/>
      <c r="S33" s="4082"/>
      <c r="T33" s="4083">
        <f t="shared" si="61"/>
        <v>0</v>
      </c>
      <c r="U33" s="4090">
        <f t="shared" si="73"/>
        <v>0</v>
      </c>
      <c r="V33" s="4085"/>
      <c r="W33" s="4082"/>
      <c r="X33" s="4082"/>
      <c r="Y33" s="4083">
        <f>W33+X33*1</f>
        <v>0</v>
      </c>
      <c r="Z33" s="4090">
        <f>Y33/$T$89</f>
        <v>0</v>
      </c>
      <c r="AA33" s="4085"/>
      <c r="AB33" s="4082"/>
      <c r="AC33" s="4082"/>
      <c r="AD33" s="4083">
        <f t="shared" si="76"/>
        <v>0</v>
      </c>
      <c r="AE33" s="4090" t="e">
        <f t="shared" si="67"/>
        <v>#DIV/0!</v>
      </c>
      <c r="AF33" s="4085"/>
      <c r="AG33" s="4082"/>
      <c r="AH33" s="4082"/>
      <c r="AI33" s="4083">
        <f t="shared" si="77"/>
        <v>0</v>
      </c>
      <c r="AJ33" s="4074" t="e">
        <f t="shared" si="68"/>
        <v>#DIV/0!</v>
      </c>
      <c r="AK33" s="4085"/>
      <c r="AL33" s="4082"/>
      <c r="AM33" s="4082"/>
      <c r="AN33" s="4083">
        <f t="shared" si="78"/>
        <v>0</v>
      </c>
      <c r="AO33" s="4090" t="e">
        <f t="shared" si="69"/>
        <v>#DIV/0!</v>
      </c>
      <c r="AP33" s="4085"/>
      <c r="AQ33" s="4082"/>
      <c r="AR33" s="4082"/>
      <c r="AS33" s="4083">
        <f t="shared" ref="AS33" si="85">AQ33+AR33*1</f>
        <v>0</v>
      </c>
      <c r="AT33" s="4084">
        <f t="shared" si="20"/>
        <v>0</v>
      </c>
      <c r="AU33" s="4085"/>
      <c r="AV33" s="4082"/>
      <c r="AW33" s="4082"/>
      <c r="AX33" s="4083">
        <f>AV33+AW33*1</f>
        <v>0</v>
      </c>
      <c r="AY33" s="4084">
        <f t="shared" si="21"/>
        <v>0</v>
      </c>
      <c r="AZ33" s="4085"/>
      <c r="BA33" s="4082"/>
      <c r="BB33" s="4082"/>
      <c r="BC33" s="4083">
        <f t="shared" ref="BC33" si="86">BA33+BB33*1</f>
        <v>0</v>
      </c>
      <c r="BD33" s="4084">
        <f t="shared" si="22"/>
        <v>0</v>
      </c>
      <c r="BE33" s="4085"/>
      <c r="BF33" s="4086">
        <f t="shared" si="41"/>
        <v>0</v>
      </c>
      <c r="BG33" s="4087">
        <f t="shared" si="41"/>
        <v>0</v>
      </c>
      <c r="BH33" s="4088">
        <f t="shared" si="42"/>
        <v>0</v>
      </c>
      <c r="BI33" s="4085"/>
      <c r="BJ33" s="4085"/>
      <c r="BK33" s="4087">
        <f t="shared" si="43"/>
        <v>0</v>
      </c>
      <c r="BL33" s="4087">
        <f t="shared" si="43"/>
        <v>0</v>
      </c>
      <c r="BM33" s="4088">
        <f t="shared" si="44"/>
        <v>0</v>
      </c>
      <c r="BN33" s="4085"/>
      <c r="BO33" s="4085"/>
      <c r="BP33" s="4082"/>
      <c r="BQ33" s="4082"/>
      <c r="BR33" s="4083">
        <f t="shared" ref="BR33" si="87">BP33+BQ33*1</f>
        <v>0</v>
      </c>
      <c r="BS33" s="4084">
        <f t="shared" si="25"/>
        <v>0</v>
      </c>
      <c r="BT33" s="4085"/>
      <c r="BU33" s="4082"/>
      <c r="BV33" s="4082"/>
      <c r="BW33" s="4083">
        <f t="shared" ref="BW33" si="88">BU33+BV33*1</f>
        <v>0</v>
      </c>
      <c r="BX33" s="4084">
        <f t="shared" si="26"/>
        <v>0</v>
      </c>
      <c r="BY33" s="4085"/>
      <c r="BZ33" s="4082"/>
      <c r="CA33" s="4082"/>
      <c r="CB33" s="4083">
        <f t="shared" ref="CB33" si="89">BZ33+CA33*1</f>
        <v>0</v>
      </c>
      <c r="CC33" s="4084">
        <f t="shared" si="27"/>
        <v>0</v>
      </c>
      <c r="CD33" s="4085"/>
      <c r="CE33" s="4082"/>
      <c r="CF33" s="4082"/>
      <c r="CG33" s="4083">
        <f t="shared" ref="CG33" si="90">CE33+CF33*1</f>
        <v>0</v>
      </c>
      <c r="CH33" s="4084">
        <f t="shared" si="28"/>
        <v>0</v>
      </c>
      <c r="CI33" s="4085"/>
      <c r="CJ33" s="4082"/>
      <c r="CK33" s="4082"/>
      <c r="CL33" s="4083">
        <f t="shared" ref="CL33" si="91">CJ33+CK33*1</f>
        <v>0</v>
      </c>
      <c r="CM33" s="4084">
        <f t="shared" si="29"/>
        <v>0</v>
      </c>
      <c r="CN33" s="4085"/>
      <c r="CO33" s="4082"/>
      <c r="CP33" s="4082"/>
      <c r="CQ33" s="4083">
        <f t="shared" ref="CQ33" si="92">CO33+CP33*1</f>
        <v>0</v>
      </c>
      <c r="CR33" s="4084">
        <f t="shared" si="30"/>
        <v>0</v>
      </c>
      <c r="CS33" s="4085"/>
      <c r="CT33" s="4082"/>
      <c r="CU33" s="4082"/>
      <c r="CV33" s="4083">
        <f t="shared" ref="CV33" si="93">CT33+CU33*1</f>
        <v>0</v>
      </c>
      <c r="CW33" s="4084">
        <f t="shared" si="31"/>
        <v>0</v>
      </c>
      <c r="CX33" s="4085"/>
      <c r="CY33" s="4082"/>
      <c r="CZ33" s="4082"/>
      <c r="DA33" s="4083">
        <f t="shared" ref="DA33" si="94">CY33+CZ33*1</f>
        <v>0</v>
      </c>
      <c r="DB33" s="4084">
        <f t="shared" si="32"/>
        <v>0</v>
      </c>
      <c r="DC33" s="4085"/>
      <c r="DD33" s="4082"/>
      <c r="DE33" s="4082"/>
      <c r="DF33" s="4083">
        <f t="shared" ref="DF33" si="95">DD33+DE33*1</f>
        <v>0</v>
      </c>
      <c r="DG33" s="4084">
        <f t="shared" si="33"/>
        <v>0</v>
      </c>
      <c r="DH33" s="4085"/>
      <c r="DI33" s="4082"/>
      <c r="DJ33" s="4082"/>
      <c r="DK33" s="4083">
        <f t="shared" ref="DK33" si="96">DI33+DJ33*1</f>
        <v>0</v>
      </c>
      <c r="DL33" s="4084">
        <f t="shared" si="34"/>
        <v>0</v>
      </c>
      <c r="DM33" s="4085"/>
      <c r="DN33" s="4082"/>
      <c r="DO33" s="4082"/>
      <c r="DP33" s="4083">
        <f t="shared" ref="DP33" si="97">DN33+DO33*1</f>
        <v>0</v>
      </c>
      <c r="DQ33" s="4084">
        <f t="shared" si="35"/>
        <v>0</v>
      </c>
      <c r="DR33" s="4085"/>
      <c r="DS33" s="4082"/>
      <c r="DT33" s="4082"/>
      <c r="DU33" s="4083">
        <f t="shared" ref="DU33" si="98">DS33+DT33*1</f>
        <v>0</v>
      </c>
      <c r="DV33" s="4084">
        <f t="shared" si="36"/>
        <v>0</v>
      </c>
      <c r="DW33" s="4085"/>
      <c r="DX33" s="4089">
        <f t="shared" si="57"/>
        <v>0</v>
      </c>
      <c r="DY33" s="4082">
        <f t="shared" si="57"/>
        <v>0</v>
      </c>
      <c r="DZ33" s="4083">
        <f t="shared" si="65"/>
        <v>0</v>
      </c>
      <c r="EA33" s="4090">
        <f t="shared" si="79"/>
        <v>0</v>
      </c>
      <c r="EB33" s="4091"/>
      <c r="ED33" s="4186"/>
      <c r="EE33" s="4186"/>
      <c r="EF33" s="4188">
        <f t="shared" si="66"/>
        <v>0</v>
      </c>
      <c r="EH33" s="2624"/>
    </row>
    <row r="34" spans="1:138" s="1396" customFormat="1" ht="13.8" outlineLevel="2">
      <c r="A34" s="1571"/>
      <c r="B34" s="1616"/>
      <c r="C34" s="3368"/>
      <c r="D34" s="3368"/>
      <c r="E34" s="3368"/>
      <c r="F34" s="3368"/>
      <c r="G34" s="3368"/>
      <c r="H34" s="3341"/>
      <c r="I34" s="3341"/>
      <c r="J34" s="3368"/>
      <c r="K34" s="3368"/>
      <c r="L34" s="3368"/>
      <c r="M34" s="3341"/>
      <c r="N34" s="3341"/>
      <c r="O34" s="3368"/>
      <c r="P34" s="3368"/>
      <c r="Q34" s="3368"/>
      <c r="R34" s="3341"/>
      <c r="S34" s="3341"/>
      <c r="T34" s="3368"/>
      <c r="U34" s="3368"/>
      <c r="V34" s="3448"/>
      <c r="W34" s="3341"/>
      <c r="X34" s="3341"/>
      <c r="Y34" s="3368"/>
      <c r="Z34" s="3368"/>
      <c r="AA34" s="3448"/>
      <c r="AB34" s="3341"/>
      <c r="AC34" s="3341"/>
      <c r="AD34" s="3368"/>
      <c r="AE34" s="3368"/>
      <c r="AF34" s="3448"/>
      <c r="AG34" s="3341"/>
      <c r="AH34" s="3341"/>
      <c r="AI34" s="3368"/>
      <c r="AJ34" s="3368"/>
      <c r="AK34" s="3448"/>
      <c r="AL34" s="3341"/>
      <c r="AM34" s="3341"/>
      <c r="AN34" s="3368"/>
      <c r="AO34" s="3368"/>
      <c r="AP34" s="3448"/>
      <c r="AQ34" s="3341"/>
      <c r="AR34" s="3341"/>
      <c r="AS34" s="3368"/>
      <c r="AT34" s="3368"/>
      <c r="AU34" s="3448"/>
      <c r="AV34" s="3341"/>
      <c r="AW34" s="3341"/>
      <c r="AX34" s="3368"/>
      <c r="AY34" s="3368"/>
      <c r="AZ34" s="3448"/>
      <c r="BA34" s="3341"/>
      <c r="BB34" s="3341"/>
      <c r="BC34" s="3368"/>
      <c r="BD34" s="3368"/>
      <c r="BE34" s="3448"/>
      <c r="BF34" s="3448"/>
      <c r="BG34" s="3448"/>
      <c r="BH34" s="3448"/>
      <c r="BI34" s="3448"/>
      <c r="BJ34" s="3448"/>
      <c r="BK34" s="3448"/>
      <c r="BL34" s="3448"/>
      <c r="BM34" s="3448"/>
      <c r="BN34" s="344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448"/>
      <c r="CO34" s="3341"/>
      <c r="CP34" s="3341"/>
      <c r="CQ34" s="3368"/>
      <c r="CR34" s="3368"/>
      <c r="CS34" s="3448"/>
      <c r="CT34" s="3341"/>
      <c r="CU34" s="3341"/>
      <c r="CV34" s="3368"/>
      <c r="CW34" s="3368"/>
      <c r="CX34" s="3448"/>
      <c r="CY34" s="3341"/>
      <c r="CZ34" s="3341"/>
      <c r="DA34" s="3368"/>
      <c r="DB34" s="3368"/>
      <c r="DC34" s="3448"/>
      <c r="DD34" s="3341"/>
      <c r="DE34" s="3341"/>
      <c r="DF34" s="3368"/>
      <c r="DG34" s="3368"/>
      <c r="DH34" s="3448"/>
      <c r="DI34" s="3341"/>
      <c r="DJ34" s="3341"/>
      <c r="DK34" s="3368"/>
      <c r="DL34" s="3368"/>
      <c r="DM34" s="3448"/>
      <c r="DN34" s="3341"/>
      <c r="DO34" s="3341"/>
      <c r="DP34" s="3368"/>
      <c r="DQ34" s="3368"/>
      <c r="DR34" s="3448"/>
      <c r="DS34" s="3341"/>
      <c r="DT34" s="3341"/>
      <c r="DU34" s="3368"/>
      <c r="DV34" s="3368"/>
      <c r="DW34" s="3448"/>
      <c r="DX34" s="3341"/>
      <c r="DY34" s="3341"/>
      <c r="DZ34" s="3368"/>
      <c r="EA34" s="3368"/>
      <c r="EB34" s="3368"/>
      <c r="ED34" s="3449"/>
      <c r="EE34" s="3449"/>
      <c r="EF34" s="3450"/>
      <c r="EH34" s="2624"/>
    </row>
    <row r="35" spans="1:138" s="1396" customFormat="1" ht="13.8" outlineLevel="1">
      <c r="A35" s="1571"/>
      <c r="B35" s="4092" t="s">
        <v>80</v>
      </c>
      <c r="C35" s="4093">
        <f>C36</f>
        <v>0</v>
      </c>
      <c r="D35" s="4093">
        <f>D36</f>
        <v>0</v>
      </c>
      <c r="E35" s="4094">
        <f>E36</f>
        <v>0</v>
      </c>
      <c r="F35" s="4094"/>
      <c r="G35" s="4094"/>
      <c r="H35" s="4093">
        <v>0</v>
      </c>
      <c r="I35" s="4093">
        <v>0</v>
      </c>
      <c r="J35" s="4094">
        <v>0</v>
      </c>
      <c r="K35" s="4094"/>
      <c r="L35" s="4093"/>
      <c r="M35" s="4093">
        <f>M36</f>
        <v>0</v>
      </c>
      <c r="N35" s="4093">
        <f>N36</f>
        <v>0</v>
      </c>
      <c r="O35" s="4094">
        <f>O36</f>
        <v>0</v>
      </c>
      <c r="P35" s="4094"/>
      <c r="Q35" s="4094"/>
      <c r="R35" s="4093">
        <f>R36</f>
        <v>0</v>
      </c>
      <c r="S35" s="4093">
        <f>S36</f>
        <v>0</v>
      </c>
      <c r="T35" s="4094">
        <f>T36</f>
        <v>0</v>
      </c>
      <c r="U35" s="4094"/>
      <c r="V35" s="4095"/>
      <c r="W35" s="4093">
        <f>W36</f>
        <v>0</v>
      </c>
      <c r="X35" s="4093">
        <f>X36</f>
        <v>0</v>
      </c>
      <c r="Y35" s="4094">
        <f>Y36</f>
        <v>0</v>
      </c>
      <c r="Z35" s="4094"/>
      <c r="AA35" s="4095"/>
      <c r="AB35" s="4093">
        <f>AB36</f>
        <v>0</v>
      </c>
      <c r="AC35" s="4093">
        <f>AC36</f>
        <v>0</v>
      </c>
      <c r="AD35" s="4094">
        <f>AD36</f>
        <v>0</v>
      </c>
      <c r="AE35" s="4094"/>
      <c r="AF35" s="4095"/>
      <c r="AG35" s="4093">
        <f>AG36</f>
        <v>0</v>
      </c>
      <c r="AH35" s="4093">
        <f>AH36</f>
        <v>0</v>
      </c>
      <c r="AI35" s="4094">
        <f>AI36</f>
        <v>0</v>
      </c>
      <c r="AJ35" s="4094"/>
      <c r="AK35" s="4095"/>
      <c r="AL35" s="4093">
        <f>AL36</f>
        <v>0</v>
      </c>
      <c r="AM35" s="4093">
        <f>AM36</f>
        <v>0</v>
      </c>
      <c r="AN35" s="4094">
        <f>AN36</f>
        <v>0</v>
      </c>
      <c r="AO35" s="4094"/>
      <c r="AP35" s="4095"/>
      <c r="AQ35" s="4093">
        <f>AQ36</f>
        <v>0</v>
      </c>
      <c r="AR35" s="4093">
        <f>AR36</f>
        <v>0</v>
      </c>
      <c r="AS35" s="4094">
        <f>AS36</f>
        <v>0</v>
      </c>
      <c r="AT35" s="4094"/>
      <c r="AU35" s="4095"/>
      <c r="AV35" s="4093">
        <f>AV36</f>
        <v>0</v>
      </c>
      <c r="AW35" s="4093">
        <f>AW36</f>
        <v>0</v>
      </c>
      <c r="AX35" s="4094">
        <f>AX36</f>
        <v>0</v>
      </c>
      <c r="AY35" s="4094"/>
      <c r="AZ35" s="4095"/>
      <c r="BA35" s="4093">
        <f>BA36</f>
        <v>9900</v>
      </c>
      <c r="BB35" s="4093">
        <f>BB36</f>
        <v>0</v>
      </c>
      <c r="BC35" s="4094">
        <f>BC36</f>
        <v>9900</v>
      </c>
      <c r="BD35" s="4094"/>
      <c r="BE35" s="4095"/>
      <c r="BF35" s="4093">
        <f>BF36</f>
        <v>9900</v>
      </c>
      <c r="BG35" s="4093">
        <f>BG36</f>
        <v>0</v>
      </c>
      <c r="BH35" s="4094">
        <f>BH36</f>
        <v>9900</v>
      </c>
      <c r="BI35" s="4096"/>
      <c r="BJ35" s="4096"/>
      <c r="BK35" s="4093">
        <f>BK36</f>
        <v>0</v>
      </c>
      <c r="BL35" s="4093">
        <f>BL36</f>
        <v>0</v>
      </c>
      <c r="BM35" s="4094">
        <f>BM36</f>
        <v>0</v>
      </c>
      <c r="BN35" s="4096"/>
      <c r="BO35" s="4096"/>
      <c r="BP35" s="4093">
        <f>BP36</f>
        <v>0</v>
      </c>
      <c r="BQ35" s="4093">
        <f>BQ36</f>
        <v>0</v>
      </c>
      <c r="BR35" s="4094">
        <f>BR36</f>
        <v>0</v>
      </c>
      <c r="BS35" s="4094"/>
      <c r="BT35" s="4095"/>
      <c r="BU35" s="4093">
        <f>BU36</f>
        <v>0</v>
      </c>
      <c r="BV35" s="4093">
        <f>BV36</f>
        <v>0</v>
      </c>
      <c r="BW35" s="4094">
        <f>BW36</f>
        <v>0</v>
      </c>
      <c r="BX35" s="4094"/>
      <c r="BY35" s="4095"/>
      <c r="BZ35" s="4093">
        <f>BZ36</f>
        <v>0</v>
      </c>
      <c r="CA35" s="4093">
        <f>CA36</f>
        <v>0</v>
      </c>
      <c r="CB35" s="4094">
        <f>CB36</f>
        <v>0</v>
      </c>
      <c r="CC35" s="4094"/>
      <c r="CD35" s="4095"/>
      <c r="CE35" s="4093">
        <f>CE36</f>
        <v>0</v>
      </c>
      <c r="CF35" s="4093">
        <f>CF36</f>
        <v>0</v>
      </c>
      <c r="CG35" s="4094">
        <f>CG36</f>
        <v>0</v>
      </c>
      <c r="CH35" s="4094"/>
      <c r="CI35" s="4095"/>
      <c r="CJ35" s="4093">
        <f>CJ36</f>
        <v>0</v>
      </c>
      <c r="CK35" s="4093">
        <f>CK36</f>
        <v>0</v>
      </c>
      <c r="CL35" s="4094">
        <f>CL36</f>
        <v>0</v>
      </c>
      <c r="CM35" s="4094"/>
      <c r="CN35" s="4095"/>
      <c r="CO35" s="4093">
        <f>CO36</f>
        <v>0</v>
      </c>
      <c r="CP35" s="4093">
        <f>CP36</f>
        <v>0</v>
      </c>
      <c r="CQ35" s="4094">
        <f>CQ36</f>
        <v>0</v>
      </c>
      <c r="CR35" s="4094"/>
      <c r="CS35" s="4095"/>
      <c r="CT35" s="4093">
        <f>CT36</f>
        <v>0</v>
      </c>
      <c r="CU35" s="4093">
        <f>CU36</f>
        <v>0</v>
      </c>
      <c r="CV35" s="4094">
        <f>CV36</f>
        <v>0</v>
      </c>
      <c r="CW35" s="4094"/>
      <c r="CX35" s="4095"/>
      <c r="CY35" s="4093">
        <f>CY36</f>
        <v>0</v>
      </c>
      <c r="CZ35" s="4093">
        <f>CZ36</f>
        <v>0</v>
      </c>
      <c r="DA35" s="4094">
        <f>DA36</f>
        <v>0</v>
      </c>
      <c r="DB35" s="4094"/>
      <c r="DC35" s="4095"/>
      <c r="DD35" s="4093">
        <f>DD36</f>
        <v>0</v>
      </c>
      <c r="DE35" s="4093">
        <f>DE36</f>
        <v>0</v>
      </c>
      <c r="DF35" s="4094">
        <f>DF36</f>
        <v>0</v>
      </c>
      <c r="DG35" s="4094"/>
      <c r="DH35" s="4095"/>
      <c r="DI35" s="4093">
        <f>DI36</f>
        <v>0</v>
      </c>
      <c r="DJ35" s="4093">
        <f>DJ36</f>
        <v>0</v>
      </c>
      <c r="DK35" s="4094">
        <f>DK36</f>
        <v>0</v>
      </c>
      <c r="DL35" s="4094"/>
      <c r="DM35" s="4095"/>
      <c r="DN35" s="4093">
        <f>DN36</f>
        <v>0</v>
      </c>
      <c r="DO35" s="4093">
        <f>DO36</f>
        <v>0</v>
      </c>
      <c r="DP35" s="4094">
        <f>DP36</f>
        <v>0</v>
      </c>
      <c r="DQ35" s="4094"/>
      <c r="DR35" s="4095"/>
      <c r="DS35" s="4093">
        <f>DS36</f>
        <v>0</v>
      </c>
      <c r="DT35" s="4093">
        <f>DT36</f>
        <v>0</v>
      </c>
      <c r="DU35" s="4094">
        <f>DU36</f>
        <v>0</v>
      </c>
      <c r="DV35" s="4094"/>
      <c r="DW35" s="4095"/>
      <c r="DX35" s="4093">
        <f>DX36</f>
        <v>9900</v>
      </c>
      <c r="DY35" s="4093">
        <f>DY36</f>
        <v>0</v>
      </c>
      <c r="DZ35" s="4094">
        <f>DZ36</f>
        <v>9900</v>
      </c>
      <c r="EA35" s="4094"/>
      <c r="EB35" s="4094"/>
      <c r="ED35" s="4094">
        <f>ED36</f>
        <v>0</v>
      </c>
      <c r="EE35" s="4094">
        <f>EE36</f>
        <v>9900</v>
      </c>
      <c r="EF35" s="4097">
        <f>EF36</f>
        <v>-9900</v>
      </c>
      <c r="EH35" s="2624"/>
    </row>
    <row r="36" spans="1:138" s="1396" customFormat="1" ht="13.8" outlineLevel="3">
      <c r="A36" s="1571"/>
      <c r="B36" s="4098" t="s">
        <v>81</v>
      </c>
      <c r="C36" s="3341">
        <v>0</v>
      </c>
      <c r="D36" s="3341">
        <v>0</v>
      </c>
      <c r="E36" s="2012">
        <f>C36+D36*1</f>
        <v>0</v>
      </c>
      <c r="F36" s="4074">
        <f>E36/$E$89</f>
        <v>0</v>
      </c>
      <c r="G36" s="4100"/>
      <c r="H36" s="3341">
        <v>0</v>
      </c>
      <c r="I36" s="3341">
        <v>0</v>
      </c>
      <c r="J36" s="2012">
        <v>0</v>
      </c>
      <c r="K36" s="4074">
        <v>0</v>
      </c>
      <c r="L36" s="3381"/>
      <c r="M36" s="3341"/>
      <c r="N36" s="3341"/>
      <c r="O36" s="2012">
        <f>M36+N36*1</f>
        <v>0</v>
      </c>
      <c r="P36" s="4074">
        <f>O36/$O$89</f>
        <v>0</v>
      </c>
      <c r="Q36" s="4100"/>
      <c r="R36" s="3341"/>
      <c r="S36" s="3341"/>
      <c r="T36" s="2012">
        <f>R36+S36*1</f>
        <v>0</v>
      </c>
      <c r="U36" s="4074">
        <f>T36/$O$89</f>
        <v>0</v>
      </c>
      <c r="V36" s="4099"/>
      <c r="W36" s="3341"/>
      <c r="X36" s="3341"/>
      <c r="Y36" s="2012">
        <f>W36+X36*1</f>
        <v>0</v>
      </c>
      <c r="Z36" s="4074">
        <f>Y36/$O$89</f>
        <v>0</v>
      </c>
      <c r="AA36" s="4099"/>
      <c r="AB36" s="3341"/>
      <c r="AC36" s="3341"/>
      <c r="AD36" s="2012">
        <f>AB36+AC36*1</f>
        <v>0</v>
      </c>
      <c r="AE36" s="4074" t="e">
        <f>AD36/$AD$89</f>
        <v>#DIV/0!</v>
      </c>
      <c r="AF36" s="4099"/>
      <c r="AG36" s="3341"/>
      <c r="AH36" s="3341"/>
      <c r="AI36" s="2012">
        <f>AG36+AH36*1</f>
        <v>0</v>
      </c>
      <c r="AJ36" s="4074" t="e">
        <f>AI36/$AD$89</f>
        <v>#DIV/0!</v>
      </c>
      <c r="AK36" s="4099"/>
      <c r="AL36" s="3341"/>
      <c r="AM36" s="3341"/>
      <c r="AN36" s="2012">
        <f>AL36+AM36*1</f>
        <v>0</v>
      </c>
      <c r="AO36" s="4074" t="e">
        <f>AN36/$AD$89</f>
        <v>#DIV/0!</v>
      </c>
      <c r="AP36" s="4099"/>
      <c r="AQ36" s="3341"/>
      <c r="AR36" s="3341"/>
      <c r="AS36" s="2012">
        <f>AQ36+AR36*1</f>
        <v>0</v>
      </c>
      <c r="AT36" s="4074">
        <f>AS36/$AS$89</f>
        <v>0</v>
      </c>
      <c r="AU36" s="4099"/>
      <c r="AV36" s="3341"/>
      <c r="AW36" s="3341"/>
      <c r="AX36" s="2012">
        <f>AV36+AW36*1</f>
        <v>0</v>
      </c>
      <c r="AY36" s="4074">
        <f>AX36/$AS$89</f>
        <v>0</v>
      </c>
      <c r="AZ36" s="4099"/>
      <c r="BA36" s="3341">
        <v>9900</v>
      </c>
      <c r="BB36" s="3341"/>
      <c r="BC36" s="3349">
        <f t="shared" ref="BC36" si="99">BA36+BB36</f>
        <v>9900</v>
      </c>
      <c r="BD36" s="4074">
        <f>BC36/$AS$89</f>
        <v>5.1085366033848556E-2</v>
      </c>
      <c r="BE36" s="4099" t="s">
        <v>1831</v>
      </c>
      <c r="BF36" s="3342">
        <f t="shared" ref="BF36:BG36" si="100">BA36+AV36+AQ36</f>
        <v>9900</v>
      </c>
      <c r="BG36" s="3342">
        <f t="shared" si="100"/>
        <v>0</v>
      </c>
      <c r="BH36" s="2012">
        <f t="shared" ref="BH36" si="101">BF36+BG36</f>
        <v>9900</v>
      </c>
      <c r="BI36" s="3455"/>
      <c r="BJ36" s="3455"/>
      <c r="BK36" s="3342">
        <f t="shared" ref="BK36:BL36" si="102">BP36+BU36+BZ36+CJ36+CO36+CT36+CY36+DD36+DI36+DN36+DS36+CE36</f>
        <v>0</v>
      </c>
      <c r="BL36" s="3342">
        <f t="shared" si="102"/>
        <v>0</v>
      </c>
      <c r="BM36" s="2012">
        <f t="shared" ref="BM36" si="103">BK36+BL36</f>
        <v>0</v>
      </c>
      <c r="BN36" s="3455"/>
      <c r="BO36" s="3455"/>
      <c r="BP36" s="3341"/>
      <c r="BQ36" s="3341"/>
      <c r="BR36" s="3349">
        <f t="shared" ref="BR36" si="104">BP36+BQ36</f>
        <v>0</v>
      </c>
      <c r="BS36" s="4074">
        <f>BR36/$AS$89</f>
        <v>0</v>
      </c>
      <c r="BT36" s="4099"/>
      <c r="BU36" s="3341"/>
      <c r="BV36" s="3341"/>
      <c r="BW36" s="3349">
        <f t="shared" ref="BW36" si="105">BU36+BV36</f>
        <v>0</v>
      </c>
      <c r="BX36" s="4074">
        <f>BW36/$AS$89</f>
        <v>0</v>
      </c>
      <c r="BY36" s="4099"/>
      <c r="BZ36" s="3341"/>
      <c r="CA36" s="3341"/>
      <c r="CB36" s="3349">
        <f t="shared" ref="CB36" si="106">BZ36+CA36</f>
        <v>0</v>
      </c>
      <c r="CC36" s="4074">
        <f>CB36/$AS$89</f>
        <v>0</v>
      </c>
      <c r="CD36" s="4099"/>
      <c r="CE36" s="3341"/>
      <c r="CF36" s="3341"/>
      <c r="CG36" s="3349">
        <f t="shared" ref="CG36" si="107">CE36+CF36</f>
        <v>0</v>
      </c>
      <c r="CH36" s="4074">
        <f>CG36/$AS$89</f>
        <v>0</v>
      </c>
      <c r="CI36" s="4099"/>
      <c r="CJ36" s="3341"/>
      <c r="CK36" s="3341"/>
      <c r="CL36" s="3349">
        <f t="shared" ref="CL36" si="108">CJ36+CK36</f>
        <v>0</v>
      </c>
      <c r="CM36" s="4074">
        <f>CL36/$AS$89</f>
        <v>0</v>
      </c>
      <c r="CN36" s="4099"/>
      <c r="CO36" s="3341"/>
      <c r="CP36" s="3341"/>
      <c r="CQ36" s="3349">
        <f t="shared" ref="CQ36" si="109">CO36+CP36</f>
        <v>0</v>
      </c>
      <c r="CR36" s="4074">
        <f>CQ36/$AS$89</f>
        <v>0</v>
      </c>
      <c r="CS36" s="4099"/>
      <c r="CT36" s="3341"/>
      <c r="CU36" s="3341"/>
      <c r="CV36" s="3349">
        <f t="shared" ref="CV36" si="110">CT36+CU36</f>
        <v>0</v>
      </c>
      <c r="CW36" s="4074">
        <f>CV36/$AS$89</f>
        <v>0</v>
      </c>
      <c r="CX36" s="4099"/>
      <c r="CY36" s="3341"/>
      <c r="CZ36" s="3341"/>
      <c r="DA36" s="3349">
        <f t="shared" ref="DA36" si="111">CY36+CZ36</f>
        <v>0</v>
      </c>
      <c r="DB36" s="4074">
        <f>DA36/$AS$89</f>
        <v>0</v>
      </c>
      <c r="DC36" s="4099"/>
      <c r="DD36" s="3341"/>
      <c r="DE36" s="3341"/>
      <c r="DF36" s="3349">
        <f t="shared" ref="DF36" si="112">DD36+DE36</f>
        <v>0</v>
      </c>
      <c r="DG36" s="4074">
        <f>DF36/$AS$89</f>
        <v>0</v>
      </c>
      <c r="DH36" s="4099"/>
      <c r="DI36" s="3341"/>
      <c r="DJ36" s="3341"/>
      <c r="DK36" s="3349">
        <f t="shared" ref="DK36" si="113">DI36+DJ36</f>
        <v>0</v>
      </c>
      <c r="DL36" s="4074">
        <f>DK36/$AS$89</f>
        <v>0</v>
      </c>
      <c r="DM36" s="4099"/>
      <c r="DN36" s="3341"/>
      <c r="DO36" s="3341"/>
      <c r="DP36" s="3349">
        <f t="shared" ref="DP36" si="114">DN36+DO36</f>
        <v>0</v>
      </c>
      <c r="DQ36" s="4074">
        <f>DP36/$AS$89</f>
        <v>0</v>
      </c>
      <c r="DR36" s="4099"/>
      <c r="DS36" s="3341"/>
      <c r="DT36" s="3341"/>
      <c r="DU36" s="3349">
        <f t="shared" ref="DU36" si="115">DS36+DT36</f>
        <v>0</v>
      </c>
      <c r="DV36" s="4074">
        <f>DU36/$AS$89</f>
        <v>0</v>
      </c>
      <c r="DW36" s="4099"/>
      <c r="DX36" s="3341">
        <f t="shared" ref="DX36:DY36" si="116">AQ36+AV36+BA36+BK36</f>
        <v>9900</v>
      </c>
      <c r="DY36" s="3341">
        <f t="shared" si="116"/>
        <v>0</v>
      </c>
      <c r="DZ36" s="2012">
        <f>DX36+DY36*1</f>
        <v>9900</v>
      </c>
      <c r="EA36" s="4074">
        <f>DZ36/$DZ$89</f>
        <v>7.4583373926494544E-3</v>
      </c>
      <c r="EB36" s="4100"/>
      <c r="ED36" s="2012"/>
      <c r="EE36" s="2012">
        <f t="shared" ref="EE36" si="117">DZ36</f>
        <v>9900</v>
      </c>
      <c r="EF36" s="4188">
        <f t="shared" ref="EF36" si="118">ED36-EE36</f>
        <v>-9900</v>
      </c>
      <c r="EH36" s="3443"/>
    </row>
    <row r="37" spans="1:138" s="1396" customFormat="1" ht="14.4" outlineLevel="1" thickBot="1">
      <c r="A37" s="1398"/>
      <c r="B37" s="4101"/>
      <c r="C37" s="4102">
        <v>0</v>
      </c>
      <c r="D37" s="4102">
        <v>0</v>
      </c>
      <c r="E37" s="4102"/>
      <c r="F37" s="4102"/>
      <c r="G37" s="4102"/>
      <c r="H37" s="3341">
        <v>0</v>
      </c>
      <c r="I37" s="3341">
        <v>0</v>
      </c>
      <c r="J37" s="4102"/>
      <c r="K37" s="4102"/>
      <c r="L37" s="3376"/>
      <c r="M37" s="3341"/>
      <c r="N37" s="3341"/>
      <c r="O37" s="4102"/>
      <c r="P37" s="4102"/>
      <c r="Q37" s="4102"/>
      <c r="R37" s="3341"/>
      <c r="S37" s="3341"/>
      <c r="T37" s="4102"/>
      <c r="U37" s="4102"/>
      <c r="V37" s="4103"/>
      <c r="W37" s="3341"/>
      <c r="X37" s="3341"/>
      <c r="Y37" s="4102"/>
      <c r="Z37" s="4102"/>
      <c r="AA37" s="4103"/>
      <c r="AB37" s="3341"/>
      <c r="AC37" s="3341"/>
      <c r="AD37" s="4102"/>
      <c r="AE37" s="4102"/>
      <c r="AF37" s="4103"/>
      <c r="AG37" s="3341"/>
      <c r="AH37" s="3341"/>
      <c r="AI37" s="4102"/>
      <c r="AJ37" s="4102"/>
      <c r="AK37" s="4103"/>
      <c r="AL37" s="3341"/>
      <c r="AM37" s="3341"/>
      <c r="AN37" s="4102"/>
      <c r="AO37" s="4102"/>
      <c r="AP37" s="4103"/>
      <c r="AQ37" s="3341"/>
      <c r="AR37" s="3341"/>
      <c r="AS37" s="4102"/>
      <c r="AT37" s="4102"/>
      <c r="AU37" s="4103"/>
      <c r="AV37" s="3341"/>
      <c r="AW37" s="3341"/>
      <c r="AX37" s="4102"/>
      <c r="AY37" s="4102"/>
      <c r="AZ37" s="4103"/>
      <c r="BA37" s="3341"/>
      <c r="BB37" s="3341"/>
      <c r="BC37" s="4102"/>
      <c r="BD37" s="4102"/>
      <c r="BE37" s="4103"/>
      <c r="BF37" s="3456"/>
      <c r="BG37" s="3456"/>
      <c r="BH37" s="3456"/>
      <c r="BI37" s="3456"/>
      <c r="BJ37" s="3456"/>
      <c r="BK37" s="3342">
        <f t="shared" ref="BK37:BL37" si="119">BP37+BU37+BZ37+CJ37+CO37+CT37+CY37+DD37+DI37+DN37+DS37</f>
        <v>0</v>
      </c>
      <c r="BL37" s="3342">
        <f t="shared" si="119"/>
        <v>0</v>
      </c>
      <c r="BM37" s="3456"/>
      <c r="BN37" s="3456"/>
      <c r="BO37" s="3456"/>
      <c r="BP37" s="3341"/>
      <c r="BQ37" s="3341"/>
      <c r="BR37" s="4102"/>
      <c r="BS37" s="4102"/>
      <c r="BT37" s="4103"/>
      <c r="BU37" s="3341"/>
      <c r="BV37" s="3341"/>
      <c r="BW37" s="4102"/>
      <c r="BX37" s="4102"/>
      <c r="BY37" s="4103"/>
      <c r="BZ37" s="3341"/>
      <c r="CA37" s="3341"/>
      <c r="CB37" s="4102"/>
      <c r="CC37" s="4102"/>
      <c r="CD37" s="4103"/>
      <c r="CE37" s="3341"/>
      <c r="CF37" s="3341"/>
      <c r="CG37" s="4102"/>
      <c r="CH37" s="4102"/>
      <c r="CI37" s="4103"/>
      <c r="CJ37" s="3341"/>
      <c r="CK37" s="3341"/>
      <c r="CL37" s="4102"/>
      <c r="CM37" s="4102"/>
      <c r="CN37" s="4103"/>
      <c r="CO37" s="3341"/>
      <c r="CP37" s="3341"/>
      <c r="CQ37" s="4102"/>
      <c r="CR37" s="4102"/>
      <c r="CS37" s="4103"/>
      <c r="CT37" s="3341"/>
      <c r="CU37" s="3341"/>
      <c r="CV37" s="4102"/>
      <c r="CW37" s="4102"/>
      <c r="CX37" s="4103"/>
      <c r="CY37" s="3341"/>
      <c r="CZ37" s="3341"/>
      <c r="DA37" s="4102"/>
      <c r="DB37" s="4102"/>
      <c r="DC37" s="4103"/>
      <c r="DD37" s="3341"/>
      <c r="DE37" s="3341"/>
      <c r="DF37" s="4102"/>
      <c r="DG37" s="4102"/>
      <c r="DH37" s="4103"/>
      <c r="DI37" s="3341"/>
      <c r="DJ37" s="3341"/>
      <c r="DK37" s="4102"/>
      <c r="DL37" s="4102"/>
      <c r="DM37" s="4103"/>
      <c r="DN37" s="3341"/>
      <c r="DO37" s="3341"/>
      <c r="DP37" s="4102"/>
      <c r="DQ37" s="4102"/>
      <c r="DR37" s="4103"/>
      <c r="DS37" s="3341"/>
      <c r="DT37" s="3341"/>
      <c r="DU37" s="4102"/>
      <c r="DV37" s="4102"/>
      <c r="DW37" s="4103"/>
      <c r="DX37" s="3341">
        <f>M37+R37+W37+AB37+AG37+AL37+AQ37</f>
        <v>0</v>
      </c>
      <c r="DY37" s="3341">
        <f>N37+S37+X37+AC37+AH37+AM37+AR37</f>
        <v>0</v>
      </c>
      <c r="DZ37" s="4102"/>
      <c r="EA37" s="4102"/>
      <c r="EB37" s="4102"/>
      <c r="ED37" s="4104"/>
      <c r="EE37" s="4104"/>
      <c r="EF37" s="4105"/>
      <c r="EH37" s="2624"/>
    </row>
    <row r="38" spans="1:138" s="3752" customFormat="1" ht="14.4" thickBot="1">
      <c r="A38" s="3747"/>
      <c r="B38" s="3748" t="s">
        <v>46</v>
      </c>
      <c r="C38" s="3749">
        <f>(C5)-(C8)</f>
        <v>1137433.3145499995</v>
      </c>
      <c r="D38" s="3749">
        <f>(D5)-(D8)</f>
        <v>-726729.66</v>
      </c>
      <c r="E38" s="3749">
        <f>(E5)-(E8)</f>
        <v>410703.65454999963</v>
      </c>
      <c r="F38" s="3749"/>
      <c r="G38" s="3749"/>
      <c r="H38" s="3749">
        <v>1025913.9064000002</v>
      </c>
      <c r="I38" s="3749">
        <v>-212368.56</v>
      </c>
      <c r="J38" s="3749">
        <v>813545.34640000015</v>
      </c>
      <c r="K38" s="3749"/>
      <c r="L38" s="3749"/>
      <c r="M38" s="3749">
        <f>(M5)-(M8)</f>
        <v>0</v>
      </c>
      <c r="N38" s="3749">
        <f>(N5)-(N8)</f>
        <v>-6300</v>
      </c>
      <c r="O38" s="3749">
        <f>(O5)-(O8)</f>
        <v>-6300</v>
      </c>
      <c r="P38" s="3749"/>
      <c r="Q38" s="3749"/>
      <c r="R38" s="3749">
        <f>(R5)-(R8)</f>
        <v>0</v>
      </c>
      <c r="S38" s="3749">
        <f>(S5)-(S8)</f>
        <v>0</v>
      </c>
      <c r="T38" s="3749">
        <f>(T5)-(T8)</f>
        <v>0</v>
      </c>
      <c r="U38" s="3749"/>
      <c r="V38" s="3750"/>
      <c r="W38" s="3749">
        <f>(W5)-(W8)</f>
        <v>-76102.156000000003</v>
      </c>
      <c r="X38" s="3749">
        <f>(X5)-(X8)</f>
        <v>-16696</v>
      </c>
      <c r="Y38" s="3749">
        <f>(Y5)-(Y8)</f>
        <v>-92798.156000000003</v>
      </c>
      <c r="Z38" s="3749"/>
      <c r="AA38" s="3750"/>
      <c r="AB38" s="3749">
        <f>(AB5)-(AB8)</f>
        <v>0</v>
      </c>
      <c r="AC38" s="3749">
        <f>(AC5)-(AC8)</f>
        <v>0</v>
      </c>
      <c r="AD38" s="3749">
        <f>(AD5)-(AD8)</f>
        <v>0</v>
      </c>
      <c r="AE38" s="3749"/>
      <c r="AF38" s="3750"/>
      <c r="AG38" s="3749">
        <f>(AG5)-(AG8)</f>
        <v>0</v>
      </c>
      <c r="AH38" s="3749">
        <f>(AH5)-(AH8)</f>
        <v>0</v>
      </c>
      <c r="AI38" s="3749">
        <f>(AI5)-(AI8)</f>
        <v>0</v>
      </c>
      <c r="AJ38" s="3749"/>
      <c r="AK38" s="3750"/>
      <c r="AL38" s="3749">
        <f>(AL5)-(AL8)</f>
        <v>-12956.963999999998</v>
      </c>
      <c r="AM38" s="3749">
        <f>(AM5)-(AM8)</f>
        <v>0</v>
      </c>
      <c r="AN38" s="3749">
        <f>(AN5)-(AN8)</f>
        <v>-12956.963999999998</v>
      </c>
      <c r="AO38" s="3749"/>
      <c r="AP38" s="3750"/>
      <c r="AQ38" s="3749">
        <f>(AQ5)-(AQ8)</f>
        <v>-69240</v>
      </c>
      <c r="AR38" s="3749">
        <f>(AR5)-(AR8)</f>
        <v>-110130</v>
      </c>
      <c r="AS38" s="3749">
        <f>(AS5)-(AS8)</f>
        <v>-179370</v>
      </c>
      <c r="AT38" s="3749"/>
      <c r="AU38" s="3750"/>
      <c r="AV38" s="3749">
        <f>(AV5)-(AV8)</f>
        <v>-63858</v>
      </c>
      <c r="AW38" s="3749">
        <f>(AW5)-(AW8)</f>
        <v>-149232.54</v>
      </c>
      <c r="AX38" s="3749">
        <f>(AX5)-(AX8)</f>
        <v>-213090.54</v>
      </c>
      <c r="AY38" s="3749"/>
      <c r="AZ38" s="3750"/>
      <c r="BA38" s="3749">
        <f>(BA5)-(BA8)</f>
        <v>0</v>
      </c>
      <c r="BB38" s="3749">
        <f>(BB5)-(BB8)</f>
        <v>-139076.9</v>
      </c>
      <c r="BC38" s="3749">
        <f>(BC5)-(BC8)</f>
        <v>-139076.9</v>
      </c>
      <c r="BD38" s="3749"/>
      <c r="BE38" s="3750"/>
      <c r="BF38" s="3749">
        <f>(BF5)-(BF8)</f>
        <v>-133098</v>
      </c>
      <c r="BG38" s="3749">
        <f>(BG5)-(BG8)</f>
        <v>-398439.44</v>
      </c>
      <c r="BH38" s="3749">
        <f>(BH5)-(BH8)</f>
        <v>-531537.43999999994</v>
      </c>
      <c r="BI38" s="3750"/>
      <c r="BJ38" s="3750"/>
      <c r="BK38" s="3749">
        <f>(BK5)-(BK8)</f>
        <v>629792.41200000001</v>
      </c>
      <c r="BL38" s="3749">
        <f>(BL5)-(BL8)</f>
        <v>-270904.59999999998</v>
      </c>
      <c r="BM38" s="3749">
        <f>(BM5)-(BM8)</f>
        <v>358887.81200000015</v>
      </c>
      <c r="BN38" s="3750"/>
      <c r="BO38" s="3750"/>
      <c r="BP38" s="3749">
        <f>(BP5)-(BP8)</f>
        <v>-4940</v>
      </c>
      <c r="BQ38" s="3749">
        <f>(BQ5)-(BQ8)</f>
        <v>-119286.15</v>
      </c>
      <c r="BR38" s="3749">
        <f>(BR5)-(BR8)</f>
        <v>-124226.15</v>
      </c>
      <c r="BS38" s="3749"/>
      <c r="BT38" s="3750"/>
      <c r="BU38" s="3749">
        <f>(BU5)-(BU8)</f>
        <v>-6470</v>
      </c>
      <c r="BV38" s="3749">
        <f>(BV5)-(BV8)</f>
        <v>-124318.45</v>
      </c>
      <c r="BW38" s="3749">
        <f>(BW5)-(BW8)</f>
        <v>-130788.45</v>
      </c>
      <c r="BX38" s="3749"/>
      <c r="BY38" s="3750"/>
      <c r="BZ38" s="3749">
        <f>(BZ5)-(BZ8)</f>
        <v>641202.41200000001</v>
      </c>
      <c r="CA38" s="3749">
        <f>(CA5)-(CA8)</f>
        <v>-27300</v>
      </c>
      <c r="CB38" s="3749">
        <f>(CB5)-(CB8)</f>
        <v>613902.41200000001</v>
      </c>
      <c r="CC38" s="3749"/>
      <c r="CD38" s="3750"/>
      <c r="CE38" s="3749">
        <f>(CE5)-(CE8)</f>
        <v>0</v>
      </c>
      <c r="CF38" s="3749">
        <f>(CF5)-(CF8)</f>
        <v>0</v>
      </c>
      <c r="CG38" s="3749">
        <f>(CG5)-(CG8)</f>
        <v>0</v>
      </c>
      <c r="CH38" s="3749"/>
      <c r="CI38" s="3750"/>
      <c r="CJ38" s="3749">
        <f>(CJ5)-(CJ8)</f>
        <v>0</v>
      </c>
      <c r="CK38" s="3749">
        <f>(CK5)-(CK8)</f>
        <v>0</v>
      </c>
      <c r="CL38" s="3749">
        <f>(CL5)-(CL8)</f>
        <v>0</v>
      </c>
      <c r="CM38" s="3749"/>
      <c r="CN38" s="3750"/>
      <c r="CO38" s="3749">
        <f>(CO5)-(CO8)</f>
        <v>0</v>
      </c>
      <c r="CP38" s="3749">
        <f>(CP5)-(CP8)</f>
        <v>0</v>
      </c>
      <c r="CQ38" s="3749">
        <f>(CQ5)-(CQ8)</f>
        <v>0</v>
      </c>
      <c r="CR38" s="3749"/>
      <c r="CS38" s="3750"/>
      <c r="CT38" s="3749">
        <f>(CT5)-(CT8)</f>
        <v>0</v>
      </c>
      <c r="CU38" s="3749">
        <f>(CU5)-(CU8)</f>
        <v>0</v>
      </c>
      <c r="CV38" s="3749">
        <f>(CV5)-(CV8)</f>
        <v>0</v>
      </c>
      <c r="CW38" s="3749"/>
      <c r="CX38" s="3750"/>
      <c r="CY38" s="3749">
        <f>(CY5)-(CY8)</f>
        <v>0</v>
      </c>
      <c r="CZ38" s="3749">
        <f>(CZ5)-(CZ8)</f>
        <v>0</v>
      </c>
      <c r="DA38" s="3749">
        <f>(DA5)-(DA8)</f>
        <v>0</v>
      </c>
      <c r="DB38" s="3749"/>
      <c r="DC38" s="3750"/>
      <c r="DD38" s="3749">
        <f>(DD5)-(DD8)</f>
        <v>0</v>
      </c>
      <c r="DE38" s="3749">
        <f>(DE5)-(DE8)</f>
        <v>0</v>
      </c>
      <c r="DF38" s="3749">
        <f>(DF5)-(DF8)</f>
        <v>0</v>
      </c>
      <c r="DG38" s="3749"/>
      <c r="DH38" s="3750"/>
      <c r="DI38" s="3749">
        <f>(DI5)-(DI8)</f>
        <v>0</v>
      </c>
      <c r="DJ38" s="3749">
        <f>(DJ5)-(DJ8)</f>
        <v>0</v>
      </c>
      <c r="DK38" s="3749">
        <f>(DK5)-(DK8)</f>
        <v>0</v>
      </c>
      <c r="DL38" s="3749"/>
      <c r="DM38" s="3750"/>
      <c r="DN38" s="3749">
        <f>(DN5)-(DN8)</f>
        <v>0</v>
      </c>
      <c r="DO38" s="3749">
        <f>(DO5)-(DO8)</f>
        <v>0</v>
      </c>
      <c r="DP38" s="3749">
        <f>(DP5)-(DP8)</f>
        <v>0</v>
      </c>
      <c r="DQ38" s="3749"/>
      <c r="DR38" s="3750"/>
      <c r="DS38" s="3749">
        <f>(DS5)-(DS8)</f>
        <v>0</v>
      </c>
      <c r="DT38" s="3749">
        <f>(DT5)-(DT8)</f>
        <v>0</v>
      </c>
      <c r="DU38" s="3749">
        <f>(DU5)-(DU8)</f>
        <v>0</v>
      </c>
      <c r="DV38" s="3749"/>
      <c r="DW38" s="3750"/>
      <c r="DX38" s="3751">
        <f>(DX5)-(DX8)</f>
        <v>496694.41200000001</v>
      </c>
      <c r="DY38" s="3751">
        <f>(DY5)-(DY8)</f>
        <v>-669344.04</v>
      </c>
      <c r="DZ38" s="3751">
        <f>(DZ5)-(DZ8)</f>
        <v>-172649.62800000003</v>
      </c>
      <c r="EA38" s="3749"/>
      <c r="EB38" s="3749"/>
      <c r="ED38" s="3749">
        <f>(ED5)-(ED8)</f>
        <v>123706.32279999997</v>
      </c>
      <c r="EE38" s="3760">
        <f>(EE5)-(EE8)</f>
        <v>-172649.62800000003</v>
      </c>
      <c r="EF38" s="3749">
        <f>(EF5)-(EF8)</f>
        <v>296355.95080000022</v>
      </c>
      <c r="EH38" s="3761"/>
    </row>
    <row r="39" spans="1:138" ht="13.8">
      <c r="A39" s="1565"/>
      <c r="B39" s="1408" t="s">
        <v>47</v>
      </c>
      <c r="C39" s="2003">
        <f>C38/(C5)</f>
        <v>0.4955441698665119</v>
      </c>
      <c r="D39" s="2003">
        <f>D38/(D5)</f>
        <v>-4.8448644000000005</v>
      </c>
      <c r="E39" s="2004">
        <f>E38/(E5)</f>
        <v>0.16795485232481439</v>
      </c>
      <c r="F39" s="2004"/>
      <c r="G39" s="2004"/>
      <c r="H39" s="2003">
        <v>0.64518713686327012</v>
      </c>
      <c r="I39" s="2003" t="e">
        <v>#DIV/0!</v>
      </c>
      <c r="J39" s="2004">
        <v>0.51163064412892456</v>
      </c>
      <c r="K39" s="2004"/>
      <c r="L39" s="2003"/>
      <c r="M39" s="2003" t="e">
        <f>M38/(M5)</f>
        <v>#DIV/0!</v>
      </c>
      <c r="N39" s="2003" t="e">
        <f>N38/(N5)</f>
        <v>#DIV/0!</v>
      </c>
      <c r="O39" s="2004" t="e">
        <f>O38/(O5)</f>
        <v>#DIV/0!</v>
      </c>
      <c r="P39" s="2004"/>
      <c r="Q39" s="2004"/>
      <c r="R39" s="2003" t="e">
        <f>R38/(R5)</f>
        <v>#DIV/0!</v>
      </c>
      <c r="S39" s="2003" t="e">
        <f>S38/(S5)</f>
        <v>#DIV/0!</v>
      </c>
      <c r="T39" s="2004" t="e">
        <f>T38/(T5)</f>
        <v>#DIV/0!</v>
      </c>
      <c r="U39" s="2004"/>
      <c r="V39" s="1056"/>
      <c r="W39" s="2003" t="e">
        <f>W38/(W5)</f>
        <v>#DIV/0!</v>
      </c>
      <c r="X39" s="2003" t="e">
        <f>X38/(X5)</f>
        <v>#DIV/0!</v>
      </c>
      <c r="Y39" s="2004" t="e">
        <f>Y38/(Y5)</f>
        <v>#DIV/0!</v>
      </c>
      <c r="Z39" s="2004"/>
      <c r="AA39" s="1056"/>
      <c r="AB39" s="2003" t="e">
        <f>AB38/(AB5)</f>
        <v>#DIV/0!</v>
      </c>
      <c r="AC39" s="2003" t="e">
        <f>AC38/(AC5)</f>
        <v>#DIV/0!</v>
      </c>
      <c r="AD39" s="2004" t="e">
        <f>AD38/(AD5)</f>
        <v>#DIV/0!</v>
      </c>
      <c r="AE39" s="2004"/>
      <c r="AF39" s="1056"/>
      <c r="AG39" s="2003" t="e">
        <f>AG38/(AG5)</f>
        <v>#DIV/0!</v>
      </c>
      <c r="AH39" s="2003" t="e">
        <f>AH38/(AH5)</f>
        <v>#DIV/0!</v>
      </c>
      <c r="AI39" s="2004" t="e">
        <f>AI38/(AI5)</f>
        <v>#DIV/0!</v>
      </c>
      <c r="AJ39" s="2004"/>
      <c r="AK39" s="1056"/>
      <c r="AL39" s="2003" t="e">
        <f>AL38/(AL5)</f>
        <v>#DIV/0!</v>
      </c>
      <c r="AM39" s="2003" t="e">
        <f>AM38/(AM5)</f>
        <v>#DIV/0!</v>
      </c>
      <c r="AN39" s="2004" t="e">
        <f>AN38/(AN5)</f>
        <v>#DIV/0!</v>
      </c>
      <c r="AO39" s="2004"/>
      <c r="AP39" s="1056"/>
      <c r="AQ39" s="2003">
        <f>IFERROR(AQ38/(AQ5),0)</f>
        <v>0</v>
      </c>
      <c r="AR39" s="2003">
        <f>IFERROR(AR38/(AR5),0)</f>
        <v>0</v>
      </c>
      <c r="AS39" s="2004">
        <f>IFERROR(AS38/(AS5),0)</f>
        <v>0</v>
      </c>
      <c r="AT39" s="2004"/>
      <c r="AU39" s="1056"/>
      <c r="AV39" s="2003">
        <f>IFERROR(AV38/(AV5),0)</f>
        <v>0</v>
      </c>
      <c r="AW39" s="2003">
        <f>IFERROR(AW38/(AW5),0)</f>
        <v>0</v>
      </c>
      <c r="AX39" s="2004">
        <f>IFERROR(AX38/(AX5),0)</f>
        <v>0</v>
      </c>
      <c r="AY39" s="2004"/>
      <c r="AZ39" s="1056"/>
      <c r="BA39" s="2003">
        <f>IFERROR(BA38/(BA5),0)</f>
        <v>0</v>
      </c>
      <c r="BB39" s="2003">
        <f>IFERROR(BB38/(BB5),0)</f>
        <v>0</v>
      </c>
      <c r="BC39" s="2004">
        <f>IFERROR(BC38/(BC5),0)</f>
        <v>0</v>
      </c>
      <c r="BD39" s="2004"/>
      <c r="BE39" s="1056"/>
      <c r="BF39" s="3459"/>
      <c r="BG39" s="3459"/>
      <c r="BH39" s="3459"/>
      <c r="BI39" s="3459"/>
      <c r="BJ39" s="3459"/>
      <c r="BK39" s="3459"/>
      <c r="BL39" s="3459"/>
      <c r="BM39" s="3459"/>
      <c r="BN39" s="3459"/>
      <c r="BO39" s="3459"/>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0.61547228537380538</v>
      </c>
      <c r="CA39" s="2003">
        <f>IFERROR(CA38/(CA5),0)</f>
        <v>0</v>
      </c>
      <c r="CB39" s="2004">
        <f>IFERROR(CB38/(CB5),0)</f>
        <v>0.58926777791056006</v>
      </c>
      <c r="CC39" s="2004"/>
      <c r="CD39" s="1056"/>
      <c r="CE39" s="2003">
        <f>IFERROR(CE38/(CE5),0)</f>
        <v>0</v>
      </c>
      <c r="CF39" s="2003">
        <f>IFERROR(CF38/(CF5),0)</f>
        <v>0</v>
      </c>
      <c r="CG39" s="2004">
        <f>IFERROR(CG38/(CG5),0)</f>
        <v>0</v>
      </c>
      <c r="CH39" s="2004"/>
      <c r="CI39" s="1056"/>
      <c r="CJ39" s="2003">
        <f>IFERROR(CJ38/(CJ5),0)</f>
        <v>0</v>
      </c>
      <c r="CK39" s="2003">
        <f>IFERROR(CK38/(CK5),0)</f>
        <v>0</v>
      </c>
      <c r="CL39" s="2004">
        <f>IFERROR(CL38/(CL5),0)</f>
        <v>0</v>
      </c>
      <c r="CM39" s="2004"/>
      <c r="CN39" s="1056"/>
      <c r="CO39" s="2003">
        <f>IFERROR(CO38/(CO5),0)</f>
        <v>0</v>
      </c>
      <c r="CP39" s="2003">
        <f>IFERROR(CP38/(CP5),0)</f>
        <v>0</v>
      </c>
      <c r="CQ39" s="2004">
        <f>IFERROR(CQ38/(CQ5),0)</f>
        <v>0</v>
      </c>
      <c r="CR39" s="2004"/>
      <c r="CS39" s="1056"/>
      <c r="CT39" s="2003">
        <f>IFERROR(CT38/(CT5),0)</f>
        <v>0</v>
      </c>
      <c r="CU39" s="2003">
        <f>IFERROR(CU38/(CU5),0)</f>
        <v>0</v>
      </c>
      <c r="CV39" s="2004">
        <f>IFERROR(CV38/(CV5),0)</f>
        <v>0</v>
      </c>
      <c r="CW39" s="2004"/>
      <c r="CX39" s="1056"/>
      <c r="CY39" s="2003">
        <f>IFERROR(CY38/(CY5),0)</f>
        <v>0</v>
      </c>
      <c r="CZ39" s="2003">
        <f>IFERROR(CZ38/(CZ5),0)</f>
        <v>0</v>
      </c>
      <c r="DA39" s="2004">
        <f>IFERROR(DA38/(DA5),0)</f>
        <v>0</v>
      </c>
      <c r="DB39" s="2004"/>
      <c r="DC39" s="1056"/>
      <c r="DD39" s="2003">
        <f>IFERROR(DD38/(DD5),0)</f>
        <v>0</v>
      </c>
      <c r="DE39" s="2003">
        <f>IFERROR(DE38/(DE5),0)</f>
        <v>0</v>
      </c>
      <c r="DF39" s="2004">
        <f>IFERROR(DF38/(DF5),0)</f>
        <v>0</v>
      </c>
      <c r="DG39" s="2004"/>
      <c r="DH39" s="1056"/>
      <c r="DI39" s="2003">
        <f>IFERROR(DI38/(DI5),0)</f>
        <v>0</v>
      </c>
      <c r="DJ39" s="2003">
        <f>IFERROR(DJ38/(DJ5),0)</f>
        <v>0</v>
      </c>
      <c r="DK39" s="2004">
        <f>IFERROR(DK38/(DK5),0)</f>
        <v>0</v>
      </c>
      <c r="DL39" s="2004"/>
      <c r="DM39" s="1056"/>
      <c r="DN39" s="2003">
        <f>IFERROR(DN38/(DN5),0)</f>
        <v>0</v>
      </c>
      <c r="DO39" s="2003">
        <f>IFERROR(DO38/(DO5),0)</f>
        <v>0</v>
      </c>
      <c r="DP39" s="2004">
        <f>IFERROR(DP38/(DP5),0)</f>
        <v>0</v>
      </c>
      <c r="DQ39" s="2004"/>
      <c r="DR39" s="1056"/>
      <c r="DS39" s="2003">
        <f>IFERROR(DS38/(DS5),0)</f>
        <v>0</v>
      </c>
      <c r="DT39" s="2003">
        <f>IFERROR(DT38/(DT5),0)</f>
        <v>0</v>
      </c>
      <c r="DU39" s="2004">
        <f>IFERROR(DU38/(DU5),0)</f>
        <v>0</v>
      </c>
      <c r="DV39" s="2004"/>
      <c r="DW39" s="1056"/>
      <c r="DX39" s="2003">
        <f>IFERROR(DX38/(DX5),0)</f>
        <v>0.47676309253502697</v>
      </c>
      <c r="DY39" s="2003">
        <f>IFERROR(DY38/(DY5),0)</f>
        <v>0</v>
      </c>
      <c r="DZ39" s="2004">
        <f>IFERROR(DZ38/(DZ5),0)</f>
        <v>-0.1657215555110815</v>
      </c>
      <c r="EA39" s="2004"/>
      <c r="EB39" s="2004"/>
      <c r="ED39" s="2004">
        <f>ED38/(ED5)</f>
        <v>0.10393497951652958</v>
      </c>
      <c r="EE39" s="2004">
        <f>IFERROR(EE38/(EE5),0)</f>
        <v>-0.1657215555110815</v>
      </c>
      <c r="EF39" s="2004">
        <f>EF38/(EF5)</f>
        <v>1.9967050197914751</v>
      </c>
    </row>
    <row r="40" spans="1:138" ht="14.4" outlineLevel="1" thickBot="1">
      <c r="A40" s="1567"/>
      <c r="B40" s="4106"/>
      <c r="C40" s="4107"/>
      <c r="D40" s="4107"/>
      <c r="E40" s="4107"/>
      <c r="F40" s="4107"/>
      <c r="G40" s="4107"/>
      <c r="H40" s="4107"/>
      <c r="I40" s="4107"/>
      <c r="J40" s="4107"/>
      <c r="K40" s="4107"/>
      <c r="L40" s="4107"/>
      <c r="M40" s="4107"/>
      <c r="N40" s="4107"/>
      <c r="O40" s="4107"/>
      <c r="P40" s="4107"/>
      <c r="Q40" s="4107"/>
      <c r="R40" s="4107"/>
      <c r="S40" s="4107"/>
      <c r="T40" s="4107"/>
      <c r="U40" s="4107"/>
      <c r="V40" s="4108"/>
      <c r="W40" s="4107"/>
      <c r="X40" s="4107"/>
      <c r="Y40" s="4107"/>
      <c r="Z40" s="4107"/>
      <c r="AA40" s="4108"/>
      <c r="AB40" s="4107"/>
      <c r="AC40" s="4107"/>
      <c r="AD40" s="4107"/>
      <c r="AE40" s="4107"/>
      <c r="AF40" s="4108"/>
      <c r="AG40" s="4107"/>
      <c r="AH40" s="4107"/>
      <c r="AI40" s="4107"/>
      <c r="AJ40" s="4107"/>
      <c r="AK40" s="4108"/>
      <c r="AL40" s="4107"/>
      <c r="AM40" s="4107"/>
      <c r="AN40" s="4107"/>
      <c r="AO40" s="4107"/>
      <c r="AP40" s="4108"/>
      <c r="AQ40" s="4107"/>
      <c r="AR40" s="4107"/>
      <c r="AS40" s="4107"/>
      <c r="AT40" s="4107"/>
      <c r="AU40" s="4108"/>
      <c r="AV40" s="4107"/>
      <c r="AW40" s="4107"/>
      <c r="AX40" s="4107"/>
      <c r="AY40" s="4107"/>
      <c r="AZ40" s="4108"/>
      <c r="BA40" s="4107"/>
      <c r="BB40" s="4107"/>
      <c r="BC40" s="4107"/>
      <c r="BD40" s="4107"/>
      <c r="BE40" s="4108"/>
      <c r="BF40" s="4108"/>
      <c r="BG40" s="4108"/>
      <c r="BH40" s="4108"/>
      <c r="BI40" s="4108"/>
      <c r="BJ40" s="4108"/>
      <c r="BK40" s="4108"/>
      <c r="BL40" s="4108"/>
      <c r="BM40" s="4108"/>
      <c r="BN40" s="4108"/>
      <c r="BO40" s="4108"/>
      <c r="BP40" s="4107"/>
      <c r="BQ40" s="4107"/>
      <c r="BR40" s="4107"/>
      <c r="BS40" s="4107"/>
      <c r="BT40" s="4108"/>
      <c r="BU40" s="4107"/>
      <c r="BV40" s="4107"/>
      <c r="BW40" s="4107"/>
      <c r="BX40" s="4107"/>
      <c r="BY40" s="4108"/>
      <c r="BZ40" s="4107"/>
      <c r="CA40" s="4107"/>
      <c r="CB40" s="4107"/>
      <c r="CC40" s="4107"/>
      <c r="CD40" s="4108"/>
      <c r="CE40" s="4107"/>
      <c r="CF40" s="4107"/>
      <c r="CG40" s="4107"/>
      <c r="CH40" s="4107"/>
      <c r="CI40" s="4108"/>
      <c r="CJ40" s="4107"/>
      <c r="CK40" s="4107"/>
      <c r="CL40" s="4107"/>
      <c r="CM40" s="4107"/>
      <c r="CN40" s="4108"/>
      <c r="CO40" s="4107"/>
      <c r="CP40" s="4107"/>
      <c r="CQ40" s="4107"/>
      <c r="CR40" s="4107"/>
      <c r="CS40" s="4108"/>
      <c r="CT40" s="4107"/>
      <c r="CU40" s="4107"/>
      <c r="CV40" s="4107"/>
      <c r="CW40" s="4107"/>
      <c r="CX40" s="4108"/>
      <c r="CY40" s="4107"/>
      <c r="CZ40" s="4107"/>
      <c r="DA40" s="4107"/>
      <c r="DB40" s="4107"/>
      <c r="DC40" s="4108"/>
      <c r="DD40" s="4107"/>
      <c r="DE40" s="4107"/>
      <c r="DF40" s="4107"/>
      <c r="DG40" s="4107"/>
      <c r="DH40" s="4108"/>
      <c r="DI40" s="4107"/>
      <c r="DJ40" s="4107"/>
      <c r="DK40" s="4107"/>
      <c r="DL40" s="4107"/>
      <c r="DM40" s="4108"/>
      <c r="DN40" s="4107"/>
      <c r="DO40" s="4107"/>
      <c r="DP40" s="4107"/>
      <c r="DQ40" s="4107"/>
      <c r="DR40" s="4108"/>
      <c r="DS40" s="4107"/>
      <c r="DT40" s="4107"/>
      <c r="DU40" s="4107"/>
      <c r="DV40" s="4107"/>
      <c r="DW40" s="4108"/>
      <c r="DX40" s="4107"/>
      <c r="DY40" s="4107"/>
      <c r="DZ40" s="4107"/>
      <c r="EA40" s="4107"/>
      <c r="EB40" s="4107"/>
      <c r="ED40" s="4109"/>
      <c r="EE40" s="4109"/>
      <c r="EF40" s="4109"/>
    </row>
    <row r="41" spans="1:138" ht="13.8" outlineLevel="1">
      <c r="A41" s="1405"/>
      <c r="B41" s="1415" t="s">
        <v>26</v>
      </c>
      <c r="C41" s="2013">
        <f>SUM(C42:C48)</f>
        <v>916.5</v>
      </c>
      <c r="D41" s="2013">
        <f>SUM(D42:D48)</f>
        <v>0</v>
      </c>
      <c r="E41" s="2014">
        <f>SUM(E42:E48)</f>
        <v>916.5</v>
      </c>
      <c r="F41" s="4110">
        <f t="shared" ref="F41:F49" si="120">E41/$E$89</f>
        <v>4.2341220596978145E-4</v>
      </c>
      <c r="G41" s="2006"/>
      <c r="H41" s="2013">
        <v>0</v>
      </c>
      <c r="I41" s="2013">
        <v>0</v>
      </c>
      <c r="J41" s="2014">
        <v>0</v>
      </c>
      <c r="K41" s="4110">
        <v>0</v>
      </c>
      <c r="L41" s="1317"/>
      <c r="M41" s="2013">
        <f>SUM(M42:M48)</f>
        <v>0</v>
      </c>
      <c r="N41" s="2013">
        <f>SUM(N42:N48)</f>
        <v>0</v>
      </c>
      <c r="O41" s="2014">
        <f>SUM(O42:O48)</f>
        <v>0</v>
      </c>
      <c r="P41" s="4110">
        <f t="shared" ref="P41:P49" si="121">O41/$O$89</f>
        <v>0</v>
      </c>
      <c r="Q41" s="2006"/>
      <c r="R41" s="2013">
        <f>SUM(R42:R48)</f>
        <v>0</v>
      </c>
      <c r="S41" s="2013">
        <f>SUM(S42:S48)</f>
        <v>122</v>
      </c>
      <c r="T41" s="2014">
        <f>SUM(T42:T48)</f>
        <v>122</v>
      </c>
      <c r="U41" s="4110">
        <f t="shared" ref="U41:U49" si="122">T41/$O$89</f>
        <v>1.7422896828266195E-2</v>
      </c>
      <c r="V41" s="1057"/>
      <c r="W41" s="2013">
        <f>SUM(W42:W48)</f>
        <v>0</v>
      </c>
      <c r="X41" s="2013">
        <f>SUM(X42:X48)</f>
        <v>0</v>
      </c>
      <c r="Y41" s="2014">
        <f>SUM(Y42:Y48)</f>
        <v>0</v>
      </c>
      <c r="Z41" s="4110">
        <f t="shared" ref="Z41:Z49" si="123">Y41/$O$89</f>
        <v>0</v>
      </c>
      <c r="AA41" s="1057"/>
      <c r="AB41" s="2013">
        <f>SUM(AB42:AB48)</f>
        <v>0</v>
      </c>
      <c r="AC41" s="2013">
        <f>SUM(AC42:AC48)</f>
        <v>0</v>
      </c>
      <c r="AD41" s="2014">
        <f>SUM(AD42:AD48)</f>
        <v>0</v>
      </c>
      <c r="AE41" s="4110" t="e">
        <f>AD41/$AD$89</f>
        <v>#DIV/0!</v>
      </c>
      <c r="AF41" s="1057"/>
      <c r="AG41" s="2013">
        <f>SUM(AG42:AG48)</f>
        <v>0</v>
      </c>
      <c r="AH41" s="2013">
        <f>SUM(AH42:AH48)</f>
        <v>0</v>
      </c>
      <c r="AI41" s="2014">
        <f>SUM(AI42:AI48)</f>
        <v>0</v>
      </c>
      <c r="AJ41" s="4110" t="e">
        <f>AI41/$AD$89</f>
        <v>#DIV/0!</v>
      </c>
      <c r="AK41" s="1057"/>
      <c r="AL41" s="2013">
        <f>SUM(AL42:AL48)</f>
        <v>0</v>
      </c>
      <c r="AM41" s="2013">
        <f>SUM(AM42:AM48)</f>
        <v>0</v>
      </c>
      <c r="AN41" s="2014">
        <f>SUM(AN42:AN48)</f>
        <v>0</v>
      </c>
      <c r="AO41" s="4110" t="e">
        <f>AN41/$AD$89</f>
        <v>#DIV/0!</v>
      </c>
      <c r="AP41" s="1057"/>
      <c r="AQ41" s="2013">
        <f>SUM(AQ42:AQ48)</f>
        <v>0</v>
      </c>
      <c r="AR41" s="2013">
        <f>SUM(AR42:AR48)</f>
        <v>0</v>
      </c>
      <c r="AS41" s="2014">
        <f>SUM(AS42:AS48)</f>
        <v>0</v>
      </c>
      <c r="AT41" s="4110">
        <f>AS41/$AS$89</f>
        <v>0</v>
      </c>
      <c r="AU41" s="1057"/>
      <c r="AV41" s="2013">
        <f>SUM(AV42:AV48)</f>
        <v>0</v>
      </c>
      <c r="AW41" s="2013">
        <f>SUM(AW42:AW48)</f>
        <v>0</v>
      </c>
      <c r="AX41" s="2014">
        <f>SUM(AX42:AX48)</f>
        <v>0</v>
      </c>
      <c r="AY41" s="4110">
        <f>AX41/$AS$89</f>
        <v>0</v>
      </c>
      <c r="AZ41" s="1057"/>
      <c r="BA41" s="2013">
        <f>SUM(BA42:BA48)</f>
        <v>0</v>
      </c>
      <c r="BB41" s="2013">
        <f>SUM(BB42:BB48)</f>
        <v>0</v>
      </c>
      <c r="BC41" s="2014">
        <f>SUM(BC42:BC48)</f>
        <v>0</v>
      </c>
      <c r="BD41" s="4110">
        <f>BC41/$AS$89</f>
        <v>0</v>
      </c>
      <c r="BE41" s="1057"/>
      <c r="BF41" s="2013">
        <f>SUM(BF42:BF48)</f>
        <v>0</v>
      </c>
      <c r="BG41" s="2013">
        <f>SUM(BG42:BG48)</f>
        <v>0</v>
      </c>
      <c r="BH41" s="2014">
        <f>SUM(BH42:BH48)</f>
        <v>0</v>
      </c>
      <c r="BI41" s="4110">
        <f>BH41/$AS$89</f>
        <v>0</v>
      </c>
      <c r="BJ41" s="3460"/>
      <c r="BK41" s="2013">
        <f>SUM(BK42:BK48)</f>
        <v>0</v>
      </c>
      <c r="BL41" s="2013">
        <f>SUM(BL42:BL48)</f>
        <v>0</v>
      </c>
      <c r="BM41" s="2014">
        <f>SUM(BM42:BM48)</f>
        <v>0</v>
      </c>
      <c r="BN41" s="4110">
        <f>BM41/$AS$89</f>
        <v>0</v>
      </c>
      <c r="BO41" s="3460"/>
      <c r="BP41" s="2013">
        <f>SUM(BP42:BP48)</f>
        <v>0</v>
      </c>
      <c r="BQ41" s="2013">
        <f>SUM(BQ42:BQ48)</f>
        <v>0</v>
      </c>
      <c r="BR41" s="2014">
        <f>SUM(BR42:BR48)</f>
        <v>0</v>
      </c>
      <c r="BS41" s="4110">
        <f>BR41/$AS$89</f>
        <v>0</v>
      </c>
      <c r="BT41" s="1057"/>
      <c r="BU41" s="2013">
        <f>SUM(BU42:BU48)</f>
        <v>0</v>
      </c>
      <c r="BV41" s="2013">
        <f>SUM(BV42:BV48)</f>
        <v>0</v>
      </c>
      <c r="BW41" s="2014">
        <f>SUM(BW42:BW48)</f>
        <v>0</v>
      </c>
      <c r="BX41" s="4110">
        <f>BW41/$AS$89</f>
        <v>0</v>
      </c>
      <c r="BY41" s="1057"/>
      <c r="BZ41" s="2013">
        <f>SUM(BZ42:BZ48)</f>
        <v>0</v>
      </c>
      <c r="CA41" s="2013">
        <f>SUM(CA42:CA48)</f>
        <v>0</v>
      </c>
      <c r="CB41" s="2014">
        <f>SUM(CB42:CB48)</f>
        <v>0</v>
      </c>
      <c r="CC41" s="4110">
        <f>CB41/$AS$89</f>
        <v>0</v>
      </c>
      <c r="CD41" s="1057"/>
      <c r="CE41" s="2013">
        <f>SUM(CE42:CE48)</f>
        <v>0</v>
      </c>
      <c r="CF41" s="2013">
        <f>SUM(CF42:CF48)</f>
        <v>0</v>
      </c>
      <c r="CG41" s="2014">
        <f>SUM(CG42:CG48)</f>
        <v>0</v>
      </c>
      <c r="CH41" s="4110">
        <f>CG41/$AS$89</f>
        <v>0</v>
      </c>
      <c r="CI41" s="1057"/>
      <c r="CJ41" s="2013">
        <f>SUM(CJ42:CJ48)</f>
        <v>0</v>
      </c>
      <c r="CK41" s="2013">
        <f>SUM(CK42:CK48)</f>
        <v>0</v>
      </c>
      <c r="CL41" s="2014">
        <f>SUM(CL42:CL48)</f>
        <v>0</v>
      </c>
      <c r="CM41" s="4110">
        <f>CL41/$AS$89</f>
        <v>0</v>
      </c>
      <c r="CN41" s="1057"/>
      <c r="CO41" s="2013">
        <f>SUM(CO42:CO48)</f>
        <v>0</v>
      </c>
      <c r="CP41" s="2013">
        <f>SUM(CP42:CP48)</f>
        <v>0</v>
      </c>
      <c r="CQ41" s="2014">
        <f>SUM(CQ42:CQ48)</f>
        <v>0</v>
      </c>
      <c r="CR41" s="4110">
        <f>CQ41/$AS$89</f>
        <v>0</v>
      </c>
      <c r="CS41" s="1057"/>
      <c r="CT41" s="2013">
        <f>SUM(CT42:CT48)</f>
        <v>0</v>
      </c>
      <c r="CU41" s="2013">
        <f>SUM(CU42:CU48)</f>
        <v>0</v>
      </c>
      <c r="CV41" s="2014">
        <f>SUM(CV42:CV48)</f>
        <v>0</v>
      </c>
      <c r="CW41" s="4110">
        <f>CV41/$AS$89</f>
        <v>0</v>
      </c>
      <c r="CX41" s="1057"/>
      <c r="CY41" s="2013">
        <f>SUM(CY42:CY48)</f>
        <v>0</v>
      </c>
      <c r="CZ41" s="2013">
        <f>SUM(CZ42:CZ48)</f>
        <v>0</v>
      </c>
      <c r="DA41" s="2014">
        <f>SUM(DA42:DA48)</f>
        <v>0</v>
      </c>
      <c r="DB41" s="4110">
        <f>DA41/$AS$89</f>
        <v>0</v>
      </c>
      <c r="DC41" s="1057"/>
      <c r="DD41" s="2013">
        <f>SUM(DD42:DD48)</f>
        <v>0</v>
      </c>
      <c r="DE41" s="2013">
        <f>SUM(DE42:DE48)</f>
        <v>0</v>
      </c>
      <c r="DF41" s="2014">
        <f>SUM(DF42:DF48)</f>
        <v>0</v>
      </c>
      <c r="DG41" s="4110">
        <f>DF41/$AS$89</f>
        <v>0</v>
      </c>
      <c r="DH41" s="1057"/>
      <c r="DI41" s="2013">
        <f>SUM(DI42:DI48)</f>
        <v>0</v>
      </c>
      <c r="DJ41" s="2013">
        <f>SUM(DJ42:DJ48)</f>
        <v>0</v>
      </c>
      <c r="DK41" s="2014">
        <f>SUM(DK42:DK48)</f>
        <v>0</v>
      </c>
      <c r="DL41" s="4110">
        <f>DK41/$AS$89</f>
        <v>0</v>
      </c>
      <c r="DM41" s="1057"/>
      <c r="DN41" s="2013">
        <f>SUM(DN42:DN48)</f>
        <v>0</v>
      </c>
      <c r="DO41" s="2013">
        <f>SUM(DO42:DO48)</f>
        <v>0</v>
      </c>
      <c r="DP41" s="2014">
        <f>SUM(DP42:DP48)</f>
        <v>0</v>
      </c>
      <c r="DQ41" s="4110">
        <f>DP41/$AS$89</f>
        <v>0</v>
      </c>
      <c r="DR41" s="1057"/>
      <c r="DS41" s="2013">
        <f>SUM(DS42:DS48)</f>
        <v>0</v>
      </c>
      <c r="DT41" s="2013">
        <f>SUM(DT42:DT48)</f>
        <v>0</v>
      </c>
      <c r="DU41" s="2014">
        <f>SUM(DU42:DU48)</f>
        <v>0</v>
      </c>
      <c r="DV41" s="4110">
        <f>DU41/$AS$89</f>
        <v>0</v>
      </c>
      <c r="DW41" s="1057"/>
      <c r="DX41" s="2013">
        <f>SUM(DX42:DX48)</f>
        <v>0</v>
      </c>
      <c r="DY41" s="2013">
        <f>SUM(DY42:DY48)</f>
        <v>0</v>
      </c>
      <c r="DZ41" s="2014">
        <f>SUM(DZ42:DZ48)</f>
        <v>0</v>
      </c>
      <c r="EA41" s="4110">
        <f t="shared" ref="EA41:EA49" si="124">DZ41/$DZ$89</f>
        <v>0</v>
      </c>
      <c r="EB41" s="2006"/>
      <c r="ED41" s="2014">
        <f>SUM(ED42:ED48)</f>
        <v>0</v>
      </c>
      <c r="EE41" s="2014">
        <f>SUM(EE42:EE48)</f>
        <v>0</v>
      </c>
      <c r="EF41" s="2014"/>
    </row>
    <row r="42" spans="1:138" ht="13.8" outlineLevel="2">
      <c r="A42" s="4833"/>
      <c r="B42" s="4111" t="s">
        <v>7</v>
      </c>
      <c r="C42" s="3341">
        <v>0</v>
      </c>
      <c r="D42" s="3341">
        <v>0</v>
      </c>
      <c r="E42" s="2012">
        <f t="shared" ref="E42:E48" si="125">C42+D42*1</f>
        <v>0</v>
      </c>
      <c r="F42" s="4074">
        <f t="shared" si="120"/>
        <v>0</v>
      </c>
      <c r="G42" s="4076"/>
      <c r="H42" s="3341">
        <v>0</v>
      </c>
      <c r="I42" s="3341">
        <v>0</v>
      </c>
      <c r="J42" s="2012">
        <v>0</v>
      </c>
      <c r="K42" s="4074">
        <v>0</v>
      </c>
      <c r="L42" s="1434"/>
      <c r="M42" s="3341"/>
      <c r="N42" s="3341"/>
      <c r="O42" s="2012">
        <f t="shared" ref="O42:O48" si="126">M42+N42*1</f>
        <v>0</v>
      </c>
      <c r="P42" s="4074">
        <f t="shared" si="121"/>
        <v>0</v>
      </c>
      <c r="Q42" s="4076"/>
      <c r="R42" s="3341"/>
      <c r="S42" s="3341"/>
      <c r="T42" s="2012">
        <f t="shared" ref="T42:T48" si="127">R42+S42*1</f>
        <v>0</v>
      </c>
      <c r="U42" s="4074">
        <f t="shared" si="122"/>
        <v>0</v>
      </c>
      <c r="V42" s="4112"/>
      <c r="W42" s="3341"/>
      <c r="X42" s="3341"/>
      <c r="Y42" s="2012">
        <f t="shared" ref="Y42:Y48" si="128">W42+X42*1</f>
        <v>0</v>
      </c>
      <c r="Z42" s="4074">
        <f t="shared" si="123"/>
        <v>0</v>
      </c>
      <c r="AA42" s="4112"/>
      <c r="AB42" s="3341"/>
      <c r="AC42" s="3341"/>
      <c r="AD42" s="2012">
        <f t="shared" ref="AD42:AD48" si="129">AB42+AC42*1</f>
        <v>0</v>
      </c>
      <c r="AE42" s="4074">
        <f t="shared" ref="AE42:AE49" si="130">AD42/$O$89</f>
        <v>0</v>
      </c>
      <c r="AF42" s="4112"/>
      <c r="AG42" s="3341"/>
      <c r="AH42" s="3341"/>
      <c r="AI42" s="2012">
        <f t="shared" ref="AI42:AI48" si="131">AG42+AH42*1</f>
        <v>0</v>
      </c>
      <c r="AJ42" s="4074">
        <f t="shared" ref="AJ42:AJ49" si="132">AI42/$O$89</f>
        <v>0</v>
      </c>
      <c r="AK42" s="4112"/>
      <c r="AL42" s="3341"/>
      <c r="AM42" s="3341"/>
      <c r="AN42" s="2012">
        <f t="shared" ref="AN42:AN48" si="133">AL42+AM42*1</f>
        <v>0</v>
      </c>
      <c r="AO42" s="4074">
        <f t="shared" ref="AO42:AO49" si="134">AN42/$O$89</f>
        <v>0</v>
      </c>
      <c r="AP42" s="4112"/>
      <c r="AQ42" s="3341"/>
      <c r="AR42" s="3341"/>
      <c r="AS42" s="3349">
        <f t="shared" ref="AS42:AS48" si="135">AQ42+AR42</f>
        <v>0</v>
      </c>
      <c r="AT42" s="4074">
        <f t="shared" ref="AT42:AT48" si="136">AS42/$AS$89</f>
        <v>0</v>
      </c>
      <c r="AU42" s="4112"/>
      <c r="AV42" s="3341"/>
      <c r="AW42" s="3341"/>
      <c r="AX42" s="3349">
        <f t="shared" ref="AX42:AX48" si="137">AV42+AW42</f>
        <v>0</v>
      </c>
      <c r="AY42" s="4074">
        <f t="shared" ref="AY42:AY48" si="138">AX42/$AS$89</f>
        <v>0</v>
      </c>
      <c r="AZ42" s="4112"/>
      <c r="BA42" s="3341"/>
      <c r="BB42" s="3341"/>
      <c r="BC42" s="3349">
        <f t="shared" ref="BC42:BC48" si="139">BA42+BB42</f>
        <v>0</v>
      </c>
      <c r="BD42" s="4074">
        <f t="shared" ref="BD42:BD48" si="140">BC42/$AS$89</f>
        <v>0</v>
      </c>
      <c r="BE42" s="4112"/>
      <c r="BF42" s="3342">
        <f t="shared" ref="BF42:BG48" si="141">BA42+AV42+AQ42</f>
        <v>0</v>
      </c>
      <c r="BG42" s="3342">
        <f t="shared" si="141"/>
        <v>0</v>
      </c>
      <c r="BH42" s="2012">
        <f t="shared" ref="BH42:BH48" si="142">BF42+BG42</f>
        <v>0</v>
      </c>
      <c r="BI42" s="3462"/>
      <c r="BJ42" s="3462"/>
      <c r="BK42" s="3342">
        <f t="shared" ref="BK42:BL48" si="143">BP42+BU42+BZ42+CJ42+CO42+CT42+CY42+DD42+DI42+DN42+DS42+CE42</f>
        <v>0</v>
      </c>
      <c r="BL42" s="3342">
        <f t="shared" si="143"/>
        <v>0</v>
      </c>
      <c r="BM42" s="2012">
        <f t="shared" ref="BM42:BM48" si="144">BK42+BL42</f>
        <v>0</v>
      </c>
      <c r="BN42" s="3462"/>
      <c r="BO42" s="3462"/>
      <c r="BP42" s="3341"/>
      <c r="BQ42" s="3341"/>
      <c r="BR42" s="3349">
        <f t="shared" ref="BR42:BR48" si="145">BP42+BQ42</f>
        <v>0</v>
      </c>
      <c r="BS42" s="4074">
        <f t="shared" ref="BS42:BS48" si="146">BR42/$AS$89</f>
        <v>0</v>
      </c>
      <c r="BT42" s="4112"/>
      <c r="BU42" s="3341"/>
      <c r="BV42" s="3341"/>
      <c r="BW42" s="3349">
        <f t="shared" ref="BW42:BW48" si="147">BU42+BV42</f>
        <v>0</v>
      </c>
      <c r="BX42" s="4074">
        <f t="shared" ref="BX42:BX48" si="148">BW42/$AS$89</f>
        <v>0</v>
      </c>
      <c r="BY42" s="4112"/>
      <c r="BZ42" s="3341"/>
      <c r="CA42" s="3341"/>
      <c r="CB42" s="3349">
        <f t="shared" ref="CB42:CB48" si="149">BZ42+CA42</f>
        <v>0</v>
      </c>
      <c r="CC42" s="4074">
        <f t="shared" ref="CC42:CC48" si="150">CB42/$AS$89</f>
        <v>0</v>
      </c>
      <c r="CD42" s="4112"/>
      <c r="CE42" s="3341"/>
      <c r="CF42" s="3341"/>
      <c r="CG42" s="3349">
        <f t="shared" ref="CG42:CG48" si="151">CE42+CF42</f>
        <v>0</v>
      </c>
      <c r="CH42" s="4074">
        <f t="shared" ref="CH42:CH48" si="152">CG42/$AS$89</f>
        <v>0</v>
      </c>
      <c r="CI42" s="4112"/>
      <c r="CJ42" s="3341"/>
      <c r="CK42" s="3341"/>
      <c r="CL42" s="3349">
        <f t="shared" ref="CL42:CL48" si="153">CJ42+CK42</f>
        <v>0</v>
      </c>
      <c r="CM42" s="4074">
        <f t="shared" ref="CM42:CM48" si="154">CL42/$AS$89</f>
        <v>0</v>
      </c>
      <c r="CN42" s="4112"/>
      <c r="CO42" s="3341"/>
      <c r="CP42" s="3341"/>
      <c r="CQ42" s="3349">
        <f t="shared" ref="CQ42:CQ48" si="155">CO42+CP42</f>
        <v>0</v>
      </c>
      <c r="CR42" s="4074">
        <f t="shared" ref="CR42:CR48" si="156">CQ42/$AS$89</f>
        <v>0</v>
      </c>
      <c r="CS42" s="4112"/>
      <c r="CT42" s="3341"/>
      <c r="CU42" s="3341"/>
      <c r="CV42" s="3349">
        <f t="shared" ref="CV42:CV48" si="157">CT42+CU42</f>
        <v>0</v>
      </c>
      <c r="CW42" s="4074">
        <f t="shared" ref="CW42:CW48" si="158">CV42/$AS$89</f>
        <v>0</v>
      </c>
      <c r="CX42" s="4112"/>
      <c r="CY42" s="3341"/>
      <c r="CZ42" s="3341"/>
      <c r="DA42" s="3349">
        <f t="shared" ref="DA42:DA48" si="159">CY42+CZ42</f>
        <v>0</v>
      </c>
      <c r="DB42" s="4074">
        <f t="shared" ref="DB42:DB48" si="160">DA42/$AS$89</f>
        <v>0</v>
      </c>
      <c r="DC42" s="4112"/>
      <c r="DD42" s="3341"/>
      <c r="DE42" s="3341"/>
      <c r="DF42" s="3349">
        <f t="shared" ref="DF42:DF48" si="161">DD42+DE42</f>
        <v>0</v>
      </c>
      <c r="DG42" s="4074">
        <f t="shared" ref="DG42:DG48" si="162">DF42/$AS$89</f>
        <v>0</v>
      </c>
      <c r="DH42" s="4112"/>
      <c r="DI42" s="3341"/>
      <c r="DJ42" s="3341"/>
      <c r="DK42" s="3349">
        <f t="shared" ref="DK42:DK48" si="163">DI42+DJ42</f>
        <v>0</v>
      </c>
      <c r="DL42" s="4074">
        <f t="shared" ref="DL42:DL48" si="164">DK42/$AS$89</f>
        <v>0</v>
      </c>
      <c r="DM42" s="4112"/>
      <c r="DN42" s="3341"/>
      <c r="DO42" s="3341"/>
      <c r="DP42" s="3349">
        <f t="shared" ref="DP42:DP48" si="165">DN42+DO42</f>
        <v>0</v>
      </c>
      <c r="DQ42" s="4074">
        <f t="shared" ref="DQ42:DQ48" si="166">DP42/$AS$89</f>
        <v>0</v>
      </c>
      <c r="DR42" s="4112"/>
      <c r="DS42" s="3341"/>
      <c r="DT42" s="3341"/>
      <c r="DU42" s="3349">
        <f t="shared" ref="DU42:DU48" si="167">DS42+DT42</f>
        <v>0</v>
      </c>
      <c r="DV42" s="4074">
        <f t="shared" ref="DV42:DV48" si="168">DU42/$AS$89</f>
        <v>0</v>
      </c>
      <c r="DW42" s="4112"/>
      <c r="DX42" s="3341">
        <f t="shared" ref="DX42:DY48" si="169">AQ42+AV42+BA42+BK42</f>
        <v>0</v>
      </c>
      <c r="DY42" s="3341">
        <f t="shared" si="169"/>
        <v>0</v>
      </c>
      <c r="DZ42" s="2012">
        <f t="shared" ref="DZ42:DZ48" si="170">DX42+DY42*1</f>
        <v>0</v>
      </c>
      <c r="EA42" s="4074">
        <f t="shared" si="124"/>
        <v>0</v>
      </c>
      <c r="EB42" s="4076"/>
      <c r="ED42" s="2012">
        <f t="shared" ref="ED42:EE48" si="171">EB42+EC42*1</f>
        <v>0</v>
      </c>
      <c r="EE42" s="2012">
        <f t="shared" si="171"/>
        <v>0</v>
      </c>
      <c r="EF42" s="4188"/>
    </row>
    <row r="43" spans="1:138" ht="13.8" outlineLevel="2">
      <c r="A43" s="4833"/>
      <c r="B43" s="4111" t="s">
        <v>27</v>
      </c>
      <c r="C43" s="3341">
        <v>0</v>
      </c>
      <c r="D43" s="3341">
        <v>0</v>
      </c>
      <c r="E43" s="2012">
        <f t="shared" si="125"/>
        <v>0</v>
      </c>
      <c r="F43" s="4074">
        <f t="shared" si="120"/>
        <v>0</v>
      </c>
      <c r="G43" s="4076"/>
      <c r="H43" s="3341">
        <v>0</v>
      </c>
      <c r="I43" s="3341">
        <v>0</v>
      </c>
      <c r="J43" s="2012">
        <v>0</v>
      </c>
      <c r="K43" s="4074">
        <v>0</v>
      </c>
      <c r="L43" s="1434"/>
      <c r="M43" s="3341"/>
      <c r="N43" s="3341"/>
      <c r="O43" s="2012">
        <f t="shared" si="126"/>
        <v>0</v>
      </c>
      <c r="P43" s="4074">
        <f t="shared" si="121"/>
        <v>0</v>
      </c>
      <c r="Q43" s="4076"/>
      <c r="R43" s="3341"/>
      <c r="S43" s="3341"/>
      <c r="T43" s="2012">
        <f t="shared" si="127"/>
        <v>0</v>
      </c>
      <c r="U43" s="4074">
        <f t="shared" si="122"/>
        <v>0</v>
      </c>
      <c r="V43" s="4112"/>
      <c r="W43" s="3341"/>
      <c r="X43" s="3341"/>
      <c r="Y43" s="2012">
        <f t="shared" si="128"/>
        <v>0</v>
      </c>
      <c r="Z43" s="4074">
        <f t="shared" si="123"/>
        <v>0</v>
      </c>
      <c r="AA43" s="4112"/>
      <c r="AB43" s="3341"/>
      <c r="AC43" s="3341"/>
      <c r="AD43" s="2012">
        <f t="shared" si="129"/>
        <v>0</v>
      </c>
      <c r="AE43" s="4074">
        <f t="shared" si="130"/>
        <v>0</v>
      </c>
      <c r="AF43" s="4112"/>
      <c r="AG43" s="3341"/>
      <c r="AH43" s="3341"/>
      <c r="AI43" s="2012">
        <f t="shared" si="131"/>
        <v>0</v>
      </c>
      <c r="AJ43" s="4074">
        <f t="shared" si="132"/>
        <v>0</v>
      </c>
      <c r="AK43" s="4112"/>
      <c r="AL43" s="3341"/>
      <c r="AM43" s="3341"/>
      <c r="AN43" s="2012">
        <f t="shared" si="133"/>
        <v>0</v>
      </c>
      <c r="AO43" s="4074">
        <f t="shared" si="134"/>
        <v>0</v>
      </c>
      <c r="AP43" s="4112"/>
      <c r="AQ43" s="3341"/>
      <c r="AR43" s="3341"/>
      <c r="AS43" s="3349">
        <f t="shared" si="135"/>
        <v>0</v>
      </c>
      <c r="AT43" s="4074">
        <f t="shared" si="136"/>
        <v>0</v>
      </c>
      <c r="AU43" s="4112"/>
      <c r="AV43" s="3341"/>
      <c r="AW43" s="3341"/>
      <c r="AX43" s="3349">
        <f t="shared" si="137"/>
        <v>0</v>
      </c>
      <c r="AY43" s="4074">
        <f t="shared" si="138"/>
        <v>0</v>
      </c>
      <c r="AZ43" s="4112"/>
      <c r="BA43" s="3341"/>
      <c r="BB43" s="3341"/>
      <c r="BC43" s="3349">
        <f t="shared" si="139"/>
        <v>0</v>
      </c>
      <c r="BD43" s="4074">
        <f t="shared" si="140"/>
        <v>0</v>
      </c>
      <c r="BE43" s="4112"/>
      <c r="BF43" s="3342">
        <f t="shared" si="141"/>
        <v>0</v>
      </c>
      <c r="BG43" s="3342">
        <f t="shared" si="141"/>
        <v>0</v>
      </c>
      <c r="BH43" s="2012">
        <f t="shared" si="142"/>
        <v>0</v>
      </c>
      <c r="BI43" s="3462"/>
      <c r="BJ43" s="3462"/>
      <c r="BK43" s="3342">
        <f t="shared" si="143"/>
        <v>0</v>
      </c>
      <c r="BL43" s="3342">
        <f t="shared" si="143"/>
        <v>0</v>
      </c>
      <c r="BM43" s="2012">
        <f t="shared" si="144"/>
        <v>0</v>
      </c>
      <c r="BN43" s="3462"/>
      <c r="BO43" s="3462"/>
      <c r="BP43" s="3341"/>
      <c r="BQ43" s="3341"/>
      <c r="BR43" s="3349">
        <f t="shared" si="145"/>
        <v>0</v>
      </c>
      <c r="BS43" s="4074">
        <f t="shared" si="146"/>
        <v>0</v>
      </c>
      <c r="BT43" s="4112"/>
      <c r="BU43" s="3341"/>
      <c r="BV43" s="3341"/>
      <c r="BW43" s="3349">
        <f t="shared" si="147"/>
        <v>0</v>
      </c>
      <c r="BX43" s="4074">
        <f t="shared" si="148"/>
        <v>0</v>
      </c>
      <c r="BY43" s="4112"/>
      <c r="BZ43" s="3341"/>
      <c r="CA43" s="3341"/>
      <c r="CB43" s="3349">
        <f t="shared" si="149"/>
        <v>0</v>
      </c>
      <c r="CC43" s="4074">
        <f t="shared" si="150"/>
        <v>0</v>
      </c>
      <c r="CD43" s="4112"/>
      <c r="CE43" s="3341"/>
      <c r="CF43" s="3341"/>
      <c r="CG43" s="3349">
        <f t="shared" si="151"/>
        <v>0</v>
      </c>
      <c r="CH43" s="4074">
        <f t="shared" si="152"/>
        <v>0</v>
      </c>
      <c r="CI43" s="4112"/>
      <c r="CJ43" s="3341"/>
      <c r="CK43" s="3341"/>
      <c r="CL43" s="3349">
        <f t="shared" si="153"/>
        <v>0</v>
      </c>
      <c r="CM43" s="4074">
        <f t="shared" si="154"/>
        <v>0</v>
      </c>
      <c r="CN43" s="4112"/>
      <c r="CO43" s="3341"/>
      <c r="CP43" s="3341"/>
      <c r="CQ43" s="3349">
        <f t="shared" si="155"/>
        <v>0</v>
      </c>
      <c r="CR43" s="4074">
        <f t="shared" si="156"/>
        <v>0</v>
      </c>
      <c r="CS43" s="4112"/>
      <c r="CT43" s="3341"/>
      <c r="CU43" s="3341"/>
      <c r="CV43" s="3349">
        <f t="shared" si="157"/>
        <v>0</v>
      </c>
      <c r="CW43" s="4074">
        <f t="shared" si="158"/>
        <v>0</v>
      </c>
      <c r="CX43" s="4112"/>
      <c r="CY43" s="3341"/>
      <c r="CZ43" s="3341"/>
      <c r="DA43" s="3349">
        <f t="shared" si="159"/>
        <v>0</v>
      </c>
      <c r="DB43" s="4074">
        <f t="shared" si="160"/>
        <v>0</v>
      </c>
      <c r="DC43" s="4112"/>
      <c r="DD43" s="3341"/>
      <c r="DE43" s="3341"/>
      <c r="DF43" s="3349">
        <f t="shared" si="161"/>
        <v>0</v>
      </c>
      <c r="DG43" s="4074">
        <f t="shared" si="162"/>
        <v>0</v>
      </c>
      <c r="DH43" s="4112"/>
      <c r="DI43" s="3341"/>
      <c r="DJ43" s="3341"/>
      <c r="DK43" s="3349">
        <f t="shared" si="163"/>
        <v>0</v>
      </c>
      <c r="DL43" s="4074">
        <f t="shared" si="164"/>
        <v>0</v>
      </c>
      <c r="DM43" s="4112"/>
      <c r="DN43" s="3341"/>
      <c r="DO43" s="3341"/>
      <c r="DP43" s="3349">
        <f t="shared" si="165"/>
        <v>0</v>
      </c>
      <c r="DQ43" s="4074">
        <f t="shared" si="166"/>
        <v>0</v>
      </c>
      <c r="DR43" s="4112"/>
      <c r="DS43" s="3341"/>
      <c r="DT43" s="3341"/>
      <c r="DU43" s="3349">
        <f t="shared" si="167"/>
        <v>0</v>
      </c>
      <c r="DV43" s="4074">
        <f t="shared" si="168"/>
        <v>0</v>
      </c>
      <c r="DW43" s="4112"/>
      <c r="DX43" s="3341">
        <f t="shared" si="169"/>
        <v>0</v>
      </c>
      <c r="DY43" s="3341">
        <f t="shared" si="169"/>
        <v>0</v>
      </c>
      <c r="DZ43" s="2012">
        <f t="shared" si="170"/>
        <v>0</v>
      </c>
      <c r="EA43" s="4074">
        <f t="shared" si="124"/>
        <v>0</v>
      </c>
      <c r="EB43" s="4076"/>
      <c r="ED43" s="2012">
        <f t="shared" si="171"/>
        <v>0</v>
      </c>
      <c r="EE43" s="2012">
        <f t="shared" si="171"/>
        <v>0</v>
      </c>
      <c r="EF43" s="4188"/>
    </row>
    <row r="44" spans="1:138" ht="13.8" outlineLevel="2">
      <c r="A44" s="4833"/>
      <c r="B44" s="4098" t="s">
        <v>28</v>
      </c>
      <c r="C44" s="3341">
        <v>0</v>
      </c>
      <c r="D44" s="3341">
        <v>0</v>
      </c>
      <c r="E44" s="2012">
        <f t="shared" si="125"/>
        <v>0</v>
      </c>
      <c r="F44" s="4074">
        <f t="shared" si="120"/>
        <v>0</v>
      </c>
      <c r="G44" s="4076"/>
      <c r="H44" s="3341">
        <v>0</v>
      </c>
      <c r="I44" s="3341">
        <v>0</v>
      </c>
      <c r="J44" s="2012">
        <v>0</v>
      </c>
      <c r="K44" s="4074">
        <v>0</v>
      </c>
      <c r="L44" s="1434"/>
      <c r="M44" s="3341"/>
      <c r="N44" s="3341"/>
      <c r="O44" s="2012">
        <f t="shared" si="126"/>
        <v>0</v>
      </c>
      <c r="P44" s="4074">
        <f t="shared" si="121"/>
        <v>0</v>
      </c>
      <c r="Q44" s="4076"/>
      <c r="R44" s="3341"/>
      <c r="S44" s="3341"/>
      <c r="T44" s="2012">
        <f t="shared" si="127"/>
        <v>0</v>
      </c>
      <c r="U44" s="4074">
        <f t="shared" si="122"/>
        <v>0</v>
      </c>
      <c r="V44" s="4112"/>
      <c r="W44" s="3341"/>
      <c r="X44" s="3341"/>
      <c r="Y44" s="2012">
        <f t="shared" si="128"/>
        <v>0</v>
      </c>
      <c r="Z44" s="4074">
        <f t="shared" si="123"/>
        <v>0</v>
      </c>
      <c r="AA44" s="4112"/>
      <c r="AB44" s="3341"/>
      <c r="AC44" s="3341"/>
      <c r="AD44" s="2012">
        <f t="shared" si="129"/>
        <v>0</v>
      </c>
      <c r="AE44" s="4074">
        <f t="shared" si="130"/>
        <v>0</v>
      </c>
      <c r="AF44" s="4112"/>
      <c r="AG44" s="3341"/>
      <c r="AH44" s="3341"/>
      <c r="AI44" s="2012">
        <f t="shared" si="131"/>
        <v>0</v>
      </c>
      <c r="AJ44" s="4074">
        <f t="shared" si="132"/>
        <v>0</v>
      </c>
      <c r="AK44" s="4112"/>
      <c r="AL44" s="3341"/>
      <c r="AM44" s="3341"/>
      <c r="AN44" s="2012">
        <f t="shared" si="133"/>
        <v>0</v>
      </c>
      <c r="AO44" s="4074">
        <f t="shared" si="134"/>
        <v>0</v>
      </c>
      <c r="AP44" s="4112"/>
      <c r="AQ44" s="3341"/>
      <c r="AR44" s="3341"/>
      <c r="AS44" s="3349">
        <f t="shared" si="135"/>
        <v>0</v>
      </c>
      <c r="AT44" s="4074">
        <f t="shared" si="136"/>
        <v>0</v>
      </c>
      <c r="AU44" s="4112"/>
      <c r="AV44" s="3341"/>
      <c r="AW44" s="3341"/>
      <c r="AX44" s="3349">
        <f t="shared" si="137"/>
        <v>0</v>
      </c>
      <c r="AY44" s="4074">
        <f t="shared" si="138"/>
        <v>0</v>
      </c>
      <c r="AZ44" s="4112"/>
      <c r="BA44" s="3341"/>
      <c r="BB44" s="3341"/>
      <c r="BC44" s="3349">
        <f t="shared" si="139"/>
        <v>0</v>
      </c>
      <c r="BD44" s="4074">
        <f t="shared" si="140"/>
        <v>0</v>
      </c>
      <c r="BE44" s="4112"/>
      <c r="BF44" s="3342">
        <f t="shared" si="141"/>
        <v>0</v>
      </c>
      <c r="BG44" s="3342">
        <f t="shared" si="141"/>
        <v>0</v>
      </c>
      <c r="BH44" s="2012">
        <f t="shared" si="142"/>
        <v>0</v>
      </c>
      <c r="BI44" s="3462"/>
      <c r="BJ44" s="3462"/>
      <c r="BK44" s="3342">
        <f t="shared" si="143"/>
        <v>0</v>
      </c>
      <c r="BL44" s="3342">
        <f t="shared" si="143"/>
        <v>0</v>
      </c>
      <c r="BM44" s="2012">
        <f t="shared" si="144"/>
        <v>0</v>
      </c>
      <c r="BN44" s="3462"/>
      <c r="BO44" s="3462"/>
      <c r="BP44" s="3341"/>
      <c r="BQ44" s="3341"/>
      <c r="BR44" s="3349">
        <f t="shared" si="145"/>
        <v>0</v>
      </c>
      <c r="BS44" s="4074">
        <f t="shared" si="146"/>
        <v>0</v>
      </c>
      <c r="BT44" s="4112"/>
      <c r="BU44" s="3341"/>
      <c r="BV44" s="3341"/>
      <c r="BW44" s="3349">
        <f t="shared" si="147"/>
        <v>0</v>
      </c>
      <c r="BX44" s="4074">
        <f t="shared" si="148"/>
        <v>0</v>
      </c>
      <c r="BY44" s="4112"/>
      <c r="BZ44" s="3341"/>
      <c r="CA44" s="3341"/>
      <c r="CB44" s="3349">
        <f t="shared" si="149"/>
        <v>0</v>
      </c>
      <c r="CC44" s="4074">
        <f t="shared" si="150"/>
        <v>0</v>
      </c>
      <c r="CD44" s="4112"/>
      <c r="CE44" s="3341"/>
      <c r="CF44" s="3341"/>
      <c r="CG44" s="3349">
        <f t="shared" si="151"/>
        <v>0</v>
      </c>
      <c r="CH44" s="4074">
        <f t="shared" si="152"/>
        <v>0</v>
      </c>
      <c r="CI44" s="4112"/>
      <c r="CJ44" s="3341"/>
      <c r="CK44" s="3341"/>
      <c r="CL44" s="3349">
        <f t="shared" si="153"/>
        <v>0</v>
      </c>
      <c r="CM44" s="4074">
        <f t="shared" si="154"/>
        <v>0</v>
      </c>
      <c r="CN44" s="4112"/>
      <c r="CO44" s="3341"/>
      <c r="CP44" s="3341"/>
      <c r="CQ44" s="3349">
        <f t="shared" si="155"/>
        <v>0</v>
      </c>
      <c r="CR44" s="4074">
        <f t="shared" si="156"/>
        <v>0</v>
      </c>
      <c r="CS44" s="4112"/>
      <c r="CT44" s="3341"/>
      <c r="CU44" s="3341"/>
      <c r="CV44" s="3349">
        <f t="shared" si="157"/>
        <v>0</v>
      </c>
      <c r="CW44" s="4074">
        <f t="shared" si="158"/>
        <v>0</v>
      </c>
      <c r="CX44" s="4112"/>
      <c r="CY44" s="3341"/>
      <c r="CZ44" s="3341"/>
      <c r="DA44" s="3349">
        <f t="shared" si="159"/>
        <v>0</v>
      </c>
      <c r="DB44" s="4074">
        <f t="shared" si="160"/>
        <v>0</v>
      </c>
      <c r="DC44" s="4112"/>
      <c r="DD44" s="3341"/>
      <c r="DE44" s="3341"/>
      <c r="DF44" s="3349">
        <f t="shared" si="161"/>
        <v>0</v>
      </c>
      <c r="DG44" s="4074">
        <f t="shared" si="162"/>
        <v>0</v>
      </c>
      <c r="DH44" s="4112"/>
      <c r="DI44" s="3341"/>
      <c r="DJ44" s="3341"/>
      <c r="DK44" s="3349">
        <f t="shared" si="163"/>
        <v>0</v>
      </c>
      <c r="DL44" s="4074">
        <f t="shared" si="164"/>
        <v>0</v>
      </c>
      <c r="DM44" s="4112"/>
      <c r="DN44" s="3341"/>
      <c r="DO44" s="3341"/>
      <c r="DP44" s="3349">
        <f t="shared" si="165"/>
        <v>0</v>
      </c>
      <c r="DQ44" s="4074">
        <f t="shared" si="166"/>
        <v>0</v>
      </c>
      <c r="DR44" s="4112"/>
      <c r="DS44" s="3341"/>
      <c r="DT44" s="3341"/>
      <c r="DU44" s="3349">
        <f t="shared" si="167"/>
        <v>0</v>
      </c>
      <c r="DV44" s="4074">
        <f t="shared" si="168"/>
        <v>0</v>
      </c>
      <c r="DW44" s="4112"/>
      <c r="DX44" s="3341">
        <f t="shared" si="169"/>
        <v>0</v>
      </c>
      <c r="DY44" s="3341">
        <f t="shared" si="169"/>
        <v>0</v>
      </c>
      <c r="DZ44" s="2012">
        <f t="shared" si="170"/>
        <v>0</v>
      </c>
      <c r="EA44" s="4074">
        <f t="shared" si="124"/>
        <v>0</v>
      </c>
      <c r="EB44" s="4076"/>
      <c r="ED44" s="2012">
        <f t="shared" si="171"/>
        <v>0</v>
      </c>
      <c r="EE44" s="2012">
        <f t="shared" si="171"/>
        <v>0</v>
      </c>
      <c r="EF44" s="4188"/>
    </row>
    <row r="45" spans="1:138" ht="13.8" outlineLevel="2">
      <c r="A45" s="4833"/>
      <c r="B45" s="4111" t="s">
        <v>8</v>
      </c>
      <c r="C45" s="3341">
        <v>0</v>
      </c>
      <c r="D45" s="3341">
        <v>0</v>
      </c>
      <c r="E45" s="2012">
        <f t="shared" si="125"/>
        <v>0</v>
      </c>
      <c r="F45" s="4074">
        <f t="shared" si="120"/>
        <v>0</v>
      </c>
      <c r="G45" s="4076"/>
      <c r="H45" s="3341">
        <v>0</v>
      </c>
      <c r="I45" s="3341">
        <v>0</v>
      </c>
      <c r="J45" s="2012">
        <v>0</v>
      </c>
      <c r="K45" s="4074">
        <v>0</v>
      </c>
      <c r="L45" s="1434"/>
      <c r="M45" s="3341"/>
      <c r="N45" s="3341"/>
      <c r="O45" s="2012">
        <f t="shared" si="126"/>
        <v>0</v>
      </c>
      <c r="P45" s="4074">
        <f t="shared" si="121"/>
        <v>0</v>
      </c>
      <c r="Q45" s="4076"/>
      <c r="R45" s="3341"/>
      <c r="S45" s="3341"/>
      <c r="T45" s="2012">
        <f t="shared" si="127"/>
        <v>0</v>
      </c>
      <c r="U45" s="4074">
        <f t="shared" si="122"/>
        <v>0</v>
      </c>
      <c r="V45" s="4112"/>
      <c r="W45" s="3341"/>
      <c r="X45" s="3341"/>
      <c r="Y45" s="2012">
        <f t="shared" si="128"/>
        <v>0</v>
      </c>
      <c r="Z45" s="4074">
        <f t="shared" si="123"/>
        <v>0</v>
      </c>
      <c r="AA45" s="4112"/>
      <c r="AB45" s="3341"/>
      <c r="AC45" s="3341"/>
      <c r="AD45" s="2012">
        <f t="shared" si="129"/>
        <v>0</v>
      </c>
      <c r="AE45" s="4074">
        <f t="shared" si="130"/>
        <v>0</v>
      </c>
      <c r="AF45" s="4112"/>
      <c r="AG45" s="3341"/>
      <c r="AH45" s="3341"/>
      <c r="AI45" s="2012">
        <f t="shared" si="131"/>
        <v>0</v>
      </c>
      <c r="AJ45" s="4074">
        <f t="shared" si="132"/>
        <v>0</v>
      </c>
      <c r="AK45" s="4112"/>
      <c r="AL45" s="3341"/>
      <c r="AM45" s="3341"/>
      <c r="AN45" s="2012">
        <f t="shared" si="133"/>
        <v>0</v>
      </c>
      <c r="AO45" s="4074">
        <f t="shared" si="134"/>
        <v>0</v>
      </c>
      <c r="AP45" s="4112"/>
      <c r="AQ45" s="3341"/>
      <c r="AR45" s="3341"/>
      <c r="AS45" s="3349">
        <f t="shared" si="135"/>
        <v>0</v>
      </c>
      <c r="AT45" s="4074">
        <f t="shared" si="136"/>
        <v>0</v>
      </c>
      <c r="AU45" s="4112"/>
      <c r="AV45" s="3341"/>
      <c r="AW45" s="3341"/>
      <c r="AX45" s="3349">
        <f t="shared" si="137"/>
        <v>0</v>
      </c>
      <c r="AY45" s="4074">
        <f t="shared" si="138"/>
        <v>0</v>
      </c>
      <c r="AZ45" s="4112"/>
      <c r="BA45" s="3341"/>
      <c r="BB45" s="3341"/>
      <c r="BC45" s="3349">
        <f t="shared" si="139"/>
        <v>0</v>
      </c>
      <c r="BD45" s="4074">
        <f t="shared" si="140"/>
        <v>0</v>
      </c>
      <c r="BE45" s="4112"/>
      <c r="BF45" s="3342">
        <f t="shared" si="141"/>
        <v>0</v>
      </c>
      <c r="BG45" s="3342">
        <f t="shared" si="141"/>
        <v>0</v>
      </c>
      <c r="BH45" s="2012">
        <f t="shared" si="142"/>
        <v>0</v>
      </c>
      <c r="BI45" s="3462"/>
      <c r="BJ45" s="3462"/>
      <c r="BK45" s="3342">
        <f t="shared" si="143"/>
        <v>0</v>
      </c>
      <c r="BL45" s="3342">
        <f t="shared" si="143"/>
        <v>0</v>
      </c>
      <c r="BM45" s="2012">
        <f t="shared" si="144"/>
        <v>0</v>
      </c>
      <c r="BN45" s="3462"/>
      <c r="BO45" s="3462"/>
      <c r="BP45" s="3341"/>
      <c r="BQ45" s="3341"/>
      <c r="BR45" s="3349">
        <f t="shared" si="145"/>
        <v>0</v>
      </c>
      <c r="BS45" s="4074">
        <f t="shared" si="146"/>
        <v>0</v>
      </c>
      <c r="BT45" s="4112"/>
      <c r="BU45" s="3341"/>
      <c r="BV45" s="3341"/>
      <c r="BW45" s="3349">
        <f t="shared" si="147"/>
        <v>0</v>
      </c>
      <c r="BX45" s="4074">
        <f t="shared" si="148"/>
        <v>0</v>
      </c>
      <c r="BY45" s="4112"/>
      <c r="BZ45" s="3341"/>
      <c r="CA45" s="3341"/>
      <c r="CB45" s="3349">
        <f t="shared" si="149"/>
        <v>0</v>
      </c>
      <c r="CC45" s="4074">
        <f t="shared" si="150"/>
        <v>0</v>
      </c>
      <c r="CD45" s="4112"/>
      <c r="CE45" s="3341"/>
      <c r="CF45" s="3341"/>
      <c r="CG45" s="3349">
        <f t="shared" si="151"/>
        <v>0</v>
      </c>
      <c r="CH45" s="4074">
        <f t="shared" si="152"/>
        <v>0</v>
      </c>
      <c r="CI45" s="4112"/>
      <c r="CJ45" s="3341"/>
      <c r="CK45" s="3341"/>
      <c r="CL45" s="3349">
        <f t="shared" si="153"/>
        <v>0</v>
      </c>
      <c r="CM45" s="4074">
        <f t="shared" si="154"/>
        <v>0</v>
      </c>
      <c r="CN45" s="4112"/>
      <c r="CO45" s="3341"/>
      <c r="CP45" s="3341"/>
      <c r="CQ45" s="3349">
        <f t="shared" si="155"/>
        <v>0</v>
      </c>
      <c r="CR45" s="4074">
        <f t="shared" si="156"/>
        <v>0</v>
      </c>
      <c r="CS45" s="4112"/>
      <c r="CT45" s="3341"/>
      <c r="CU45" s="3341"/>
      <c r="CV45" s="3349">
        <f t="shared" si="157"/>
        <v>0</v>
      </c>
      <c r="CW45" s="4074">
        <f t="shared" si="158"/>
        <v>0</v>
      </c>
      <c r="CX45" s="4112"/>
      <c r="CY45" s="3341"/>
      <c r="CZ45" s="3341"/>
      <c r="DA45" s="3349">
        <f t="shared" si="159"/>
        <v>0</v>
      </c>
      <c r="DB45" s="4074">
        <f t="shared" si="160"/>
        <v>0</v>
      </c>
      <c r="DC45" s="4112"/>
      <c r="DD45" s="3341"/>
      <c r="DE45" s="3341"/>
      <c r="DF45" s="3349">
        <f t="shared" si="161"/>
        <v>0</v>
      </c>
      <c r="DG45" s="4074">
        <f t="shared" si="162"/>
        <v>0</v>
      </c>
      <c r="DH45" s="4112"/>
      <c r="DI45" s="3341"/>
      <c r="DJ45" s="3341"/>
      <c r="DK45" s="3349">
        <f t="shared" si="163"/>
        <v>0</v>
      </c>
      <c r="DL45" s="4074">
        <f t="shared" si="164"/>
        <v>0</v>
      </c>
      <c r="DM45" s="4112"/>
      <c r="DN45" s="3341"/>
      <c r="DO45" s="3341"/>
      <c r="DP45" s="3349">
        <f t="shared" si="165"/>
        <v>0</v>
      </c>
      <c r="DQ45" s="4074">
        <f t="shared" si="166"/>
        <v>0</v>
      </c>
      <c r="DR45" s="4112"/>
      <c r="DS45" s="3341"/>
      <c r="DT45" s="3341"/>
      <c r="DU45" s="3349">
        <f t="shared" si="167"/>
        <v>0</v>
      </c>
      <c r="DV45" s="4074">
        <f t="shared" si="168"/>
        <v>0</v>
      </c>
      <c r="DW45" s="4112"/>
      <c r="DX45" s="3341">
        <f t="shared" si="169"/>
        <v>0</v>
      </c>
      <c r="DY45" s="3341">
        <f t="shared" si="169"/>
        <v>0</v>
      </c>
      <c r="DZ45" s="2012">
        <f t="shared" si="170"/>
        <v>0</v>
      </c>
      <c r="EA45" s="4074">
        <f t="shared" si="124"/>
        <v>0</v>
      </c>
      <c r="EB45" s="4076"/>
      <c r="ED45" s="2012">
        <f t="shared" si="171"/>
        <v>0</v>
      </c>
      <c r="EE45" s="2012">
        <f t="shared" si="171"/>
        <v>0</v>
      </c>
      <c r="EF45" s="4188"/>
    </row>
    <row r="46" spans="1:138" ht="13.8" outlineLevel="2">
      <c r="A46" s="4833"/>
      <c r="B46" s="4111" t="s">
        <v>29</v>
      </c>
      <c r="C46" s="3341">
        <v>0</v>
      </c>
      <c r="D46" s="3341">
        <v>0</v>
      </c>
      <c r="E46" s="2012">
        <f t="shared" si="125"/>
        <v>0</v>
      </c>
      <c r="F46" s="4074">
        <f t="shared" si="120"/>
        <v>0</v>
      </c>
      <c r="G46" s="4076"/>
      <c r="H46" s="3341">
        <v>0</v>
      </c>
      <c r="I46" s="3341">
        <v>0</v>
      </c>
      <c r="J46" s="2012">
        <v>0</v>
      </c>
      <c r="K46" s="4074">
        <v>0</v>
      </c>
      <c r="L46" s="1434"/>
      <c r="M46" s="3341"/>
      <c r="N46" s="3341"/>
      <c r="O46" s="2012">
        <f t="shared" si="126"/>
        <v>0</v>
      </c>
      <c r="P46" s="4074">
        <f t="shared" si="121"/>
        <v>0</v>
      </c>
      <c r="Q46" s="4076"/>
      <c r="R46" s="3341"/>
      <c r="S46" s="3341"/>
      <c r="T46" s="2012">
        <f t="shared" si="127"/>
        <v>0</v>
      </c>
      <c r="U46" s="4074">
        <f t="shared" si="122"/>
        <v>0</v>
      </c>
      <c r="V46" s="4112"/>
      <c r="W46" s="3341"/>
      <c r="X46" s="3341"/>
      <c r="Y46" s="2012">
        <f t="shared" si="128"/>
        <v>0</v>
      </c>
      <c r="Z46" s="4074">
        <f t="shared" si="123"/>
        <v>0</v>
      </c>
      <c r="AA46" s="4112"/>
      <c r="AB46" s="3341"/>
      <c r="AC46" s="3341"/>
      <c r="AD46" s="2012">
        <f t="shared" si="129"/>
        <v>0</v>
      </c>
      <c r="AE46" s="4074">
        <f t="shared" si="130"/>
        <v>0</v>
      </c>
      <c r="AF46" s="4112"/>
      <c r="AG46" s="3341"/>
      <c r="AH46" s="3341"/>
      <c r="AI46" s="2012">
        <f t="shared" si="131"/>
        <v>0</v>
      </c>
      <c r="AJ46" s="4074">
        <f t="shared" si="132"/>
        <v>0</v>
      </c>
      <c r="AK46" s="4112"/>
      <c r="AL46" s="3341"/>
      <c r="AM46" s="3341"/>
      <c r="AN46" s="2012">
        <f t="shared" si="133"/>
        <v>0</v>
      </c>
      <c r="AO46" s="4074">
        <f t="shared" si="134"/>
        <v>0</v>
      </c>
      <c r="AP46" s="4112"/>
      <c r="AQ46" s="3341"/>
      <c r="AR46" s="3341"/>
      <c r="AS46" s="3349">
        <f t="shared" si="135"/>
        <v>0</v>
      </c>
      <c r="AT46" s="4074">
        <f t="shared" si="136"/>
        <v>0</v>
      </c>
      <c r="AU46" s="4112"/>
      <c r="AV46" s="3341"/>
      <c r="AW46" s="3341"/>
      <c r="AX46" s="3349">
        <f t="shared" si="137"/>
        <v>0</v>
      </c>
      <c r="AY46" s="4074">
        <f t="shared" si="138"/>
        <v>0</v>
      </c>
      <c r="AZ46" s="4112"/>
      <c r="BA46" s="3341"/>
      <c r="BB46" s="3341"/>
      <c r="BC46" s="3349">
        <f t="shared" si="139"/>
        <v>0</v>
      </c>
      <c r="BD46" s="4074">
        <f t="shared" si="140"/>
        <v>0</v>
      </c>
      <c r="BE46" s="4112"/>
      <c r="BF46" s="3342">
        <f t="shared" si="141"/>
        <v>0</v>
      </c>
      <c r="BG46" s="3342">
        <f t="shared" si="141"/>
        <v>0</v>
      </c>
      <c r="BH46" s="2012">
        <f t="shared" si="142"/>
        <v>0</v>
      </c>
      <c r="BI46" s="3462"/>
      <c r="BJ46" s="3462"/>
      <c r="BK46" s="3342">
        <f t="shared" si="143"/>
        <v>0</v>
      </c>
      <c r="BL46" s="3342">
        <f t="shared" si="143"/>
        <v>0</v>
      </c>
      <c r="BM46" s="2012">
        <f t="shared" si="144"/>
        <v>0</v>
      </c>
      <c r="BN46" s="3462"/>
      <c r="BO46" s="3462"/>
      <c r="BP46" s="3341"/>
      <c r="BQ46" s="3341"/>
      <c r="BR46" s="3349">
        <f t="shared" si="145"/>
        <v>0</v>
      </c>
      <c r="BS46" s="4074">
        <f t="shared" si="146"/>
        <v>0</v>
      </c>
      <c r="BT46" s="4112"/>
      <c r="BU46" s="3341"/>
      <c r="BV46" s="3341"/>
      <c r="BW46" s="3349">
        <f t="shared" si="147"/>
        <v>0</v>
      </c>
      <c r="BX46" s="4074">
        <f t="shared" si="148"/>
        <v>0</v>
      </c>
      <c r="BY46" s="4112"/>
      <c r="BZ46" s="3341"/>
      <c r="CA46" s="3341"/>
      <c r="CB46" s="3349">
        <f t="shared" si="149"/>
        <v>0</v>
      </c>
      <c r="CC46" s="4074">
        <f t="shared" si="150"/>
        <v>0</v>
      </c>
      <c r="CD46" s="4112"/>
      <c r="CE46" s="3341"/>
      <c r="CF46" s="3341"/>
      <c r="CG46" s="3349">
        <f t="shared" si="151"/>
        <v>0</v>
      </c>
      <c r="CH46" s="4074">
        <f t="shared" si="152"/>
        <v>0</v>
      </c>
      <c r="CI46" s="4112"/>
      <c r="CJ46" s="3341"/>
      <c r="CK46" s="3341"/>
      <c r="CL46" s="3349">
        <f t="shared" si="153"/>
        <v>0</v>
      </c>
      <c r="CM46" s="4074">
        <f t="shared" si="154"/>
        <v>0</v>
      </c>
      <c r="CN46" s="4112"/>
      <c r="CO46" s="3341"/>
      <c r="CP46" s="3341"/>
      <c r="CQ46" s="3349">
        <f t="shared" si="155"/>
        <v>0</v>
      </c>
      <c r="CR46" s="4074">
        <f t="shared" si="156"/>
        <v>0</v>
      </c>
      <c r="CS46" s="4112"/>
      <c r="CT46" s="3341"/>
      <c r="CU46" s="3341"/>
      <c r="CV46" s="3349">
        <f t="shared" si="157"/>
        <v>0</v>
      </c>
      <c r="CW46" s="4074">
        <f t="shared" si="158"/>
        <v>0</v>
      </c>
      <c r="CX46" s="4112"/>
      <c r="CY46" s="3341"/>
      <c r="CZ46" s="3341"/>
      <c r="DA46" s="3349">
        <f t="shared" si="159"/>
        <v>0</v>
      </c>
      <c r="DB46" s="4074">
        <f t="shared" si="160"/>
        <v>0</v>
      </c>
      <c r="DC46" s="4112"/>
      <c r="DD46" s="3341"/>
      <c r="DE46" s="3341"/>
      <c r="DF46" s="3349">
        <f t="shared" si="161"/>
        <v>0</v>
      </c>
      <c r="DG46" s="4074">
        <f t="shared" si="162"/>
        <v>0</v>
      </c>
      <c r="DH46" s="4112"/>
      <c r="DI46" s="3341"/>
      <c r="DJ46" s="3341"/>
      <c r="DK46" s="3349">
        <f t="shared" si="163"/>
        <v>0</v>
      </c>
      <c r="DL46" s="4074">
        <f t="shared" si="164"/>
        <v>0</v>
      </c>
      <c r="DM46" s="4112"/>
      <c r="DN46" s="3341"/>
      <c r="DO46" s="3341"/>
      <c r="DP46" s="3349">
        <f t="shared" si="165"/>
        <v>0</v>
      </c>
      <c r="DQ46" s="4074">
        <f t="shared" si="166"/>
        <v>0</v>
      </c>
      <c r="DR46" s="4112"/>
      <c r="DS46" s="3341"/>
      <c r="DT46" s="3341"/>
      <c r="DU46" s="3349">
        <f t="shared" si="167"/>
        <v>0</v>
      </c>
      <c r="DV46" s="4074">
        <f t="shared" si="168"/>
        <v>0</v>
      </c>
      <c r="DW46" s="4112"/>
      <c r="DX46" s="3341">
        <f t="shared" si="169"/>
        <v>0</v>
      </c>
      <c r="DY46" s="3341">
        <f t="shared" si="169"/>
        <v>0</v>
      </c>
      <c r="DZ46" s="2012">
        <f t="shared" si="170"/>
        <v>0</v>
      </c>
      <c r="EA46" s="4074">
        <f t="shared" si="124"/>
        <v>0</v>
      </c>
      <c r="EB46" s="4076"/>
      <c r="ED46" s="2012">
        <f t="shared" si="171"/>
        <v>0</v>
      </c>
      <c r="EE46" s="2012">
        <f t="shared" si="171"/>
        <v>0</v>
      </c>
      <c r="EF46" s="4188"/>
    </row>
    <row r="47" spans="1:138" ht="13.8" outlineLevel="2">
      <c r="A47" s="4833"/>
      <c r="B47" s="4111" t="s">
        <v>30</v>
      </c>
      <c r="C47" s="3341">
        <v>916.5</v>
      </c>
      <c r="D47" s="3341">
        <v>0</v>
      </c>
      <c r="E47" s="2012">
        <f t="shared" si="125"/>
        <v>916.5</v>
      </c>
      <c r="F47" s="4074">
        <f t="shared" si="120"/>
        <v>4.2341220596978145E-4</v>
      </c>
      <c r="G47" s="4076"/>
      <c r="H47" s="3341">
        <v>0</v>
      </c>
      <c r="I47" s="3341">
        <v>0</v>
      </c>
      <c r="J47" s="2012">
        <v>0</v>
      </c>
      <c r="K47" s="4074">
        <v>0</v>
      </c>
      <c r="L47" s="1434"/>
      <c r="M47" s="3341"/>
      <c r="N47" s="3341"/>
      <c r="O47" s="2012">
        <f t="shared" si="126"/>
        <v>0</v>
      </c>
      <c r="P47" s="4074">
        <f t="shared" si="121"/>
        <v>0</v>
      </c>
      <c r="Q47" s="4076"/>
      <c r="R47" s="3341"/>
      <c r="S47" s="3341">
        <v>122</v>
      </c>
      <c r="T47" s="2012">
        <f t="shared" si="127"/>
        <v>122</v>
      </c>
      <c r="U47" s="4074">
        <f t="shared" si="122"/>
        <v>1.7422896828266195E-2</v>
      </c>
      <c r="V47" s="4112"/>
      <c r="W47" s="3341"/>
      <c r="X47" s="3341"/>
      <c r="Y47" s="2012">
        <f t="shared" si="128"/>
        <v>0</v>
      </c>
      <c r="Z47" s="4074">
        <f t="shared" si="123"/>
        <v>0</v>
      </c>
      <c r="AA47" s="4112"/>
      <c r="AB47" s="3341"/>
      <c r="AC47" s="3341"/>
      <c r="AD47" s="2012">
        <f t="shared" si="129"/>
        <v>0</v>
      </c>
      <c r="AE47" s="4074">
        <f t="shared" si="130"/>
        <v>0</v>
      </c>
      <c r="AF47" s="4112"/>
      <c r="AG47" s="3341"/>
      <c r="AH47" s="3341"/>
      <c r="AI47" s="2012">
        <f t="shared" si="131"/>
        <v>0</v>
      </c>
      <c r="AJ47" s="4074">
        <f t="shared" si="132"/>
        <v>0</v>
      </c>
      <c r="AK47" s="4112"/>
      <c r="AL47" s="3341"/>
      <c r="AM47" s="3341"/>
      <c r="AN47" s="2012">
        <f t="shared" si="133"/>
        <v>0</v>
      </c>
      <c r="AO47" s="4074">
        <f t="shared" si="134"/>
        <v>0</v>
      </c>
      <c r="AP47" s="4112"/>
      <c r="AQ47" s="3341"/>
      <c r="AR47" s="3341"/>
      <c r="AS47" s="3349">
        <f t="shared" si="135"/>
        <v>0</v>
      </c>
      <c r="AT47" s="4074">
        <f t="shared" si="136"/>
        <v>0</v>
      </c>
      <c r="AU47" s="4112"/>
      <c r="AV47" s="3341"/>
      <c r="AW47" s="3341"/>
      <c r="AX47" s="3349">
        <f t="shared" si="137"/>
        <v>0</v>
      </c>
      <c r="AY47" s="4074">
        <f t="shared" si="138"/>
        <v>0</v>
      </c>
      <c r="AZ47" s="4112"/>
      <c r="BA47" s="3341"/>
      <c r="BB47" s="3341"/>
      <c r="BC47" s="3349">
        <f t="shared" si="139"/>
        <v>0</v>
      </c>
      <c r="BD47" s="4074">
        <f t="shared" si="140"/>
        <v>0</v>
      </c>
      <c r="BE47" s="4112"/>
      <c r="BF47" s="3342">
        <f t="shared" si="141"/>
        <v>0</v>
      </c>
      <c r="BG47" s="3342">
        <f t="shared" si="141"/>
        <v>0</v>
      </c>
      <c r="BH47" s="2012">
        <f t="shared" si="142"/>
        <v>0</v>
      </c>
      <c r="BI47" s="3462"/>
      <c r="BJ47" s="3462"/>
      <c r="BK47" s="3342">
        <f t="shared" si="143"/>
        <v>0</v>
      </c>
      <c r="BL47" s="3342">
        <f t="shared" si="143"/>
        <v>0</v>
      </c>
      <c r="BM47" s="2012">
        <f t="shared" si="144"/>
        <v>0</v>
      </c>
      <c r="BN47" s="3462"/>
      <c r="BO47" s="3462"/>
      <c r="BP47" s="3341"/>
      <c r="BQ47" s="3341"/>
      <c r="BR47" s="3349">
        <f t="shared" si="145"/>
        <v>0</v>
      </c>
      <c r="BS47" s="4074">
        <f t="shared" si="146"/>
        <v>0</v>
      </c>
      <c r="BT47" s="4112"/>
      <c r="BU47" s="3341"/>
      <c r="BV47" s="3341"/>
      <c r="BW47" s="3349">
        <f t="shared" si="147"/>
        <v>0</v>
      </c>
      <c r="BX47" s="4074">
        <f t="shared" si="148"/>
        <v>0</v>
      </c>
      <c r="BY47" s="4112"/>
      <c r="BZ47" s="3341"/>
      <c r="CA47" s="3341"/>
      <c r="CB47" s="3349">
        <f t="shared" si="149"/>
        <v>0</v>
      </c>
      <c r="CC47" s="4074">
        <f t="shared" si="150"/>
        <v>0</v>
      </c>
      <c r="CD47" s="4112"/>
      <c r="CE47" s="3341"/>
      <c r="CF47" s="3341"/>
      <c r="CG47" s="3349">
        <f t="shared" si="151"/>
        <v>0</v>
      </c>
      <c r="CH47" s="4074">
        <f t="shared" si="152"/>
        <v>0</v>
      </c>
      <c r="CI47" s="4112"/>
      <c r="CJ47" s="3341"/>
      <c r="CK47" s="3341"/>
      <c r="CL47" s="3349">
        <f t="shared" si="153"/>
        <v>0</v>
      </c>
      <c r="CM47" s="4074">
        <f t="shared" si="154"/>
        <v>0</v>
      </c>
      <c r="CN47" s="4112"/>
      <c r="CO47" s="3341"/>
      <c r="CP47" s="3341"/>
      <c r="CQ47" s="3349">
        <f t="shared" si="155"/>
        <v>0</v>
      </c>
      <c r="CR47" s="4074">
        <f t="shared" si="156"/>
        <v>0</v>
      </c>
      <c r="CS47" s="4112"/>
      <c r="CT47" s="3341"/>
      <c r="CU47" s="3341"/>
      <c r="CV47" s="3349">
        <f t="shared" si="157"/>
        <v>0</v>
      </c>
      <c r="CW47" s="4074">
        <f t="shared" si="158"/>
        <v>0</v>
      </c>
      <c r="CX47" s="4112"/>
      <c r="CY47" s="3341"/>
      <c r="CZ47" s="3341"/>
      <c r="DA47" s="3349">
        <f t="shared" si="159"/>
        <v>0</v>
      </c>
      <c r="DB47" s="4074">
        <f t="shared" si="160"/>
        <v>0</v>
      </c>
      <c r="DC47" s="4112"/>
      <c r="DD47" s="3341"/>
      <c r="DE47" s="3341"/>
      <c r="DF47" s="3349">
        <f t="shared" si="161"/>
        <v>0</v>
      </c>
      <c r="DG47" s="4074">
        <f t="shared" si="162"/>
        <v>0</v>
      </c>
      <c r="DH47" s="4112"/>
      <c r="DI47" s="3341"/>
      <c r="DJ47" s="3341"/>
      <c r="DK47" s="3349">
        <f t="shared" si="163"/>
        <v>0</v>
      </c>
      <c r="DL47" s="4074">
        <f t="shared" si="164"/>
        <v>0</v>
      </c>
      <c r="DM47" s="4112"/>
      <c r="DN47" s="3341"/>
      <c r="DO47" s="3341"/>
      <c r="DP47" s="3349">
        <f t="shared" si="165"/>
        <v>0</v>
      </c>
      <c r="DQ47" s="4074">
        <f t="shared" si="166"/>
        <v>0</v>
      </c>
      <c r="DR47" s="4112"/>
      <c r="DS47" s="3341"/>
      <c r="DT47" s="3341"/>
      <c r="DU47" s="3349">
        <f t="shared" si="167"/>
        <v>0</v>
      </c>
      <c r="DV47" s="4074">
        <f t="shared" si="168"/>
        <v>0</v>
      </c>
      <c r="DW47" s="4112"/>
      <c r="DX47" s="3341">
        <f t="shared" si="169"/>
        <v>0</v>
      </c>
      <c r="DY47" s="3341">
        <f t="shared" si="169"/>
        <v>0</v>
      </c>
      <c r="DZ47" s="2012">
        <f t="shared" si="170"/>
        <v>0</v>
      </c>
      <c r="EA47" s="4074">
        <f t="shared" si="124"/>
        <v>0</v>
      </c>
      <c r="EB47" s="4076"/>
      <c r="ED47" s="2012">
        <f t="shared" si="171"/>
        <v>0</v>
      </c>
      <c r="EE47" s="2012">
        <f t="shared" si="171"/>
        <v>0</v>
      </c>
      <c r="EF47" s="4188"/>
    </row>
    <row r="48" spans="1:138" ht="13.8" outlineLevel="2">
      <c r="A48" s="4833"/>
      <c r="B48" s="4111" t="s">
        <v>15</v>
      </c>
      <c r="C48" s="3341">
        <v>0</v>
      </c>
      <c r="D48" s="3341">
        <v>0</v>
      </c>
      <c r="E48" s="2012">
        <f t="shared" si="125"/>
        <v>0</v>
      </c>
      <c r="F48" s="4074">
        <f t="shared" si="120"/>
        <v>0</v>
      </c>
      <c r="G48" s="4076"/>
      <c r="H48" s="3341">
        <v>0</v>
      </c>
      <c r="I48" s="3341">
        <v>0</v>
      </c>
      <c r="J48" s="2012">
        <v>0</v>
      </c>
      <c r="K48" s="4074">
        <v>0</v>
      </c>
      <c r="L48" s="1434"/>
      <c r="M48" s="3341"/>
      <c r="N48" s="3341"/>
      <c r="O48" s="2012">
        <f t="shared" si="126"/>
        <v>0</v>
      </c>
      <c r="P48" s="4074">
        <f t="shared" si="121"/>
        <v>0</v>
      </c>
      <c r="Q48" s="4076"/>
      <c r="R48" s="3341"/>
      <c r="S48" s="3341"/>
      <c r="T48" s="2012">
        <f t="shared" si="127"/>
        <v>0</v>
      </c>
      <c r="U48" s="4074">
        <f t="shared" si="122"/>
        <v>0</v>
      </c>
      <c r="V48" s="4112"/>
      <c r="W48" s="3341"/>
      <c r="X48" s="3341"/>
      <c r="Y48" s="2012">
        <f t="shared" si="128"/>
        <v>0</v>
      </c>
      <c r="Z48" s="4074">
        <f t="shared" si="123"/>
        <v>0</v>
      </c>
      <c r="AA48" s="4112"/>
      <c r="AB48" s="3341"/>
      <c r="AC48" s="3341"/>
      <c r="AD48" s="2012">
        <f t="shared" si="129"/>
        <v>0</v>
      </c>
      <c r="AE48" s="4074">
        <f t="shared" si="130"/>
        <v>0</v>
      </c>
      <c r="AF48" s="4112"/>
      <c r="AG48" s="3341"/>
      <c r="AH48" s="3341"/>
      <c r="AI48" s="2012">
        <f t="shared" si="131"/>
        <v>0</v>
      </c>
      <c r="AJ48" s="4074">
        <f t="shared" si="132"/>
        <v>0</v>
      </c>
      <c r="AK48" s="4112"/>
      <c r="AL48" s="3341"/>
      <c r="AM48" s="3341"/>
      <c r="AN48" s="2012">
        <f t="shared" si="133"/>
        <v>0</v>
      </c>
      <c r="AO48" s="4074">
        <f t="shared" si="134"/>
        <v>0</v>
      </c>
      <c r="AP48" s="4112"/>
      <c r="AQ48" s="3341"/>
      <c r="AR48" s="3341"/>
      <c r="AS48" s="3349">
        <f t="shared" si="135"/>
        <v>0</v>
      </c>
      <c r="AT48" s="4074">
        <f t="shared" si="136"/>
        <v>0</v>
      </c>
      <c r="AU48" s="4112"/>
      <c r="AV48" s="3341"/>
      <c r="AW48" s="3341"/>
      <c r="AX48" s="3349">
        <f t="shared" si="137"/>
        <v>0</v>
      </c>
      <c r="AY48" s="4074">
        <f t="shared" si="138"/>
        <v>0</v>
      </c>
      <c r="AZ48" s="4112"/>
      <c r="BA48" s="3341"/>
      <c r="BB48" s="3341"/>
      <c r="BC48" s="3349">
        <f t="shared" si="139"/>
        <v>0</v>
      </c>
      <c r="BD48" s="4074">
        <f t="shared" si="140"/>
        <v>0</v>
      </c>
      <c r="BE48" s="4112"/>
      <c r="BF48" s="3342">
        <f t="shared" si="141"/>
        <v>0</v>
      </c>
      <c r="BG48" s="3342">
        <f t="shared" si="141"/>
        <v>0</v>
      </c>
      <c r="BH48" s="2012">
        <f t="shared" si="142"/>
        <v>0</v>
      </c>
      <c r="BI48" s="4113"/>
      <c r="BJ48" s="4112"/>
      <c r="BK48" s="4114">
        <f t="shared" si="143"/>
        <v>0</v>
      </c>
      <c r="BL48" s="4114">
        <f t="shared" si="143"/>
        <v>0</v>
      </c>
      <c r="BM48" s="4115">
        <f t="shared" si="144"/>
        <v>0</v>
      </c>
      <c r="BN48" s="4112"/>
      <c r="BO48" s="4112"/>
      <c r="BP48" s="4080"/>
      <c r="BQ48" s="4080"/>
      <c r="BR48" s="4116">
        <f t="shared" si="145"/>
        <v>0</v>
      </c>
      <c r="BS48" s="4074">
        <f t="shared" si="146"/>
        <v>0</v>
      </c>
      <c r="BT48" s="4112"/>
      <c r="BU48" s="4080"/>
      <c r="BV48" s="3341"/>
      <c r="BW48" s="3349">
        <f t="shared" si="147"/>
        <v>0</v>
      </c>
      <c r="BX48" s="4074">
        <f t="shared" si="148"/>
        <v>0</v>
      </c>
      <c r="BY48" s="4112"/>
      <c r="BZ48" s="3341"/>
      <c r="CA48" s="3341"/>
      <c r="CB48" s="3349">
        <f t="shared" si="149"/>
        <v>0</v>
      </c>
      <c r="CC48" s="4074">
        <f t="shared" si="150"/>
        <v>0</v>
      </c>
      <c r="CD48" s="4112"/>
      <c r="CE48" s="3341"/>
      <c r="CF48" s="3341"/>
      <c r="CG48" s="3349">
        <f t="shared" si="151"/>
        <v>0</v>
      </c>
      <c r="CH48" s="4074">
        <f t="shared" si="152"/>
        <v>0</v>
      </c>
      <c r="CI48" s="4112"/>
      <c r="CJ48" s="3341"/>
      <c r="CK48" s="3341"/>
      <c r="CL48" s="3349">
        <f t="shared" si="153"/>
        <v>0</v>
      </c>
      <c r="CM48" s="4074">
        <f t="shared" si="154"/>
        <v>0</v>
      </c>
      <c r="CN48" s="4112"/>
      <c r="CO48" s="3341"/>
      <c r="CP48" s="3341"/>
      <c r="CQ48" s="3349">
        <f t="shared" si="155"/>
        <v>0</v>
      </c>
      <c r="CR48" s="4074">
        <f t="shared" si="156"/>
        <v>0</v>
      </c>
      <c r="CS48" s="4112"/>
      <c r="CT48" s="3341"/>
      <c r="CU48" s="3341"/>
      <c r="CV48" s="3349">
        <f t="shared" si="157"/>
        <v>0</v>
      </c>
      <c r="CW48" s="4074">
        <f t="shared" si="158"/>
        <v>0</v>
      </c>
      <c r="CX48" s="4112"/>
      <c r="CY48" s="3341"/>
      <c r="CZ48" s="3341"/>
      <c r="DA48" s="3349">
        <f t="shared" si="159"/>
        <v>0</v>
      </c>
      <c r="DB48" s="4074">
        <f t="shared" si="160"/>
        <v>0</v>
      </c>
      <c r="DC48" s="4112"/>
      <c r="DD48" s="3341"/>
      <c r="DE48" s="3341"/>
      <c r="DF48" s="3349">
        <f t="shared" si="161"/>
        <v>0</v>
      </c>
      <c r="DG48" s="4074">
        <f t="shared" si="162"/>
        <v>0</v>
      </c>
      <c r="DH48" s="4112"/>
      <c r="DI48" s="3341"/>
      <c r="DJ48" s="3341"/>
      <c r="DK48" s="3349">
        <f t="shared" si="163"/>
        <v>0</v>
      </c>
      <c r="DL48" s="4074">
        <f t="shared" si="164"/>
        <v>0</v>
      </c>
      <c r="DM48" s="4112"/>
      <c r="DN48" s="3341"/>
      <c r="DO48" s="3341"/>
      <c r="DP48" s="3349">
        <f t="shared" si="165"/>
        <v>0</v>
      </c>
      <c r="DQ48" s="4074">
        <f t="shared" si="166"/>
        <v>0</v>
      </c>
      <c r="DR48" s="4112"/>
      <c r="DS48" s="3341"/>
      <c r="DT48" s="3341"/>
      <c r="DU48" s="3349">
        <f t="shared" si="167"/>
        <v>0</v>
      </c>
      <c r="DV48" s="4074">
        <f t="shared" si="168"/>
        <v>0</v>
      </c>
      <c r="DW48" s="4112"/>
      <c r="DX48" s="3341">
        <f t="shared" si="169"/>
        <v>0</v>
      </c>
      <c r="DY48" s="3341">
        <f t="shared" si="169"/>
        <v>0</v>
      </c>
      <c r="DZ48" s="2012">
        <f t="shared" si="170"/>
        <v>0</v>
      </c>
      <c r="EA48" s="4074">
        <f t="shared" si="124"/>
        <v>0</v>
      </c>
      <c r="EB48" s="4076"/>
      <c r="ED48" s="2012">
        <f t="shared" si="171"/>
        <v>0</v>
      </c>
      <c r="EE48" s="2012">
        <f t="shared" si="171"/>
        <v>0</v>
      </c>
      <c r="EF48" s="4188"/>
    </row>
    <row r="49" spans="1:138" s="1396" customFormat="1" ht="14.4" outlineLevel="2" thickBot="1">
      <c r="A49" s="1405"/>
      <c r="B49" s="4117"/>
      <c r="C49" s="3349">
        <v>0</v>
      </c>
      <c r="D49" s="3349">
        <v>0</v>
      </c>
      <c r="E49" s="4102"/>
      <c r="F49" s="4074">
        <f t="shared" si="120"/>
        <v>0</v>
      </c>
      <c r="G49" s="4102"/>
      <c r="H49" s="3341">
        <v>0</v>
      </c>
      <c r="I49" s="3341">
        <v>0</v>
      </c>
      <c r="J49" s="4102"/>
      <c r="K49" s="4074">
        <v>0</v>
      </c>
      <c r="L49" s="3376"/>
      <c r="M49" s="3341"/>
      <c r="N49" s="3341"/>
      <c r="O49" s="4102"/>
      <c r="P49" s="4074">
        <f t="shared" si="121"/>
        <v>0</v>
      </c>
      <c r="Q49" s="4102"/>
      <c r="R49" s="3341"/>
      <c r="S49" s="3341"/>
      <c r="T49" s="4102"/>
      <c r="U49" s="4074">
        <f t="shared" si="122"/>
        <v>0</v>
      </c>
      <c r="V49" s="4103"/>
      <c r="W49" s="3341"/>
      <c r="X49" s="3341"/>
      <c r="Y49" s="4102"/>
      <c r="Z49" s="4074">
        <f t="shared" si="123"/>
        <v>0</v>
      </c>
      <c r="AA49" s="4103"/>
      <c r="AB49" s="3341"/>
      <c r="AC49" s="3341"/>
      <c r="AD49" s="4102"/>
      <c r="AE49" s="4074">
        <f t="shared" si="130"/>
        <v>0</v>
      </c>
      <c r="AF49" s="4103"/>
      <c r="AG49" s="3341"/>
      <c r="AH49" s="3341"/>
      <c r="AI49" s="4102"/>
      <c r="AJ49" s="4074">
        <f t="shared" si="132"/>
        <v>0</v>
      </c>
      <c r="AK49" s="4103"/>
      <c r="AL49" s="3341"/>
      <c r="AM49" s="3341"/>
      <c r="AN49" s="4102"/>
      <c r="AO49" s="4074">
        <f t="shared" si="134"/>
        <v>0</v>
      </c>
      <c r="AP49" s="4103"/>
      <c r="AQ49" s="3341"/>
      <c r="AR49" s="3341"/>
      <c r="AS49" s="4102"/>
      <c r="AT49" s="4084">
        <f t="shared" ref="AT49" si="172">AS49/$O$89</f>
        <v>0</v>
      </c>
      <c r="AU49" s="4103"/>
      <c r="AV49" s="3341"/>
      <c r="AW49" s="3341"/>
      <c r="AX49" s="4102"/>
      <c r="AY49" s="4084">
        <f>AX49/$O$89</f>
        <v>0</v>
      </c>
      <c r="AZ49" s="4103"/>
      <c r="BA49" s="3341"/>
      <c r="BB49" s="3341"/>
      <c r="BC49" s="4102"/>
      <c r="BD49" s="4084">
        <f t="shared" ref="BD49" si="173">BC49/$O$89</f>
        <v>0</v>
      </c>
      <c r="BE49" s="4103"/>
      <c r="BF49" s="3456"/>
      <c r="BG49" s="3456"/>
      <c r="BH49" s="3456"/>
      <c r="BI49" s="3733"/>
      <c r="BJ49" s="3734"/>
      <c r="BK49" s="3734"/>
      <c r="BL49" s="3734"/>
      <c r="BM49" s="3734"/>
      <c r="BN49" s="3734"/>
      <c r="BO49" s="3734"/>
      <c r="BP49" s="3375"/>
      <c r="BQ49" s="3375"/>
      <c r="BR49" s="4102"/>
      <c r="BS49" s="4084">
        <f t="shared" ref="BS49" si="174">BR49/$O$89</f>
        <v>0</v>
      </c>
      <c r="BT49" s="4103"/>
      <c r="BU49" s="3375"/>
      <c r="BV49" s="3341"/>
      <c r="BW49" s="4102"/>
      <c r="BX49" s="4084">
        <f t="shared" ref="BX49" si="175">BW49/$O$89</f>
        <v>0</v>
      </c>
      <c r="BY49" s="4103"/>
      <c r="BZ49" s="3341"/>
      <c r="CA49" s="3341"/>
      <c r="CB49" s="4102"/>
      <c r="CC49" s="4084">
        <f t="shared" ref="CC49" si="176">CB49/$O$89</f>
        <v>0</v>
      </c>
      <c r="CD49" s="4103"/>
      <c r="CE49" s="3341"/>
      <c r="CF49" s="3341"/>
      <c r="CG49" s="4102"/>
      <c r="CH49" s="4084">
        <f t="shared" ref="CH49" si="177">CG49/$O$89</f>
        <v>0</v>
      </c>
      <c r="CI49" s="4103"/>
      <c r="CJ49" s="3341"/>
      <c r="CK49" s="3341"/>
      <c r="CL49" s="4102"/>
      <c r="CM49" s="4084">
        <f t="shared" ref="CM49" si="178">CL49/$O$89</f>
        <v>0</v>
      </c>
      <c r="CN49" s="4103"/>
      <c r="CO49" s="3341"/>
      <c r="CP49" s="3341"/>
      <c r="CQ49" s="4102"/>
      <c r="CR49" s="4084">
        <f t="shared" ref="CR49" si="179">CQ49/$O$89</f>
        <v>0</v>
      </c>
      <c r="CS49" s="4103"/>
      <c r="CT49" s="3341"/>
      <c r="CU49" s="3341"/>
      <c r="CV49" s="4102"/>
      <c r="CW49" s="4084">
        <f t="shared" ref="CW49" si="180">CV49/$O$89</f>
        <v>0</v>
      </c>
      <c r="CX49" s="4103"/>
      <c r="CY49" s="3341"/>
      <c r="CZ49" s="3341"/>
      <c r="DA49" s="4102"/>
      <c r="DB49" s="4084">
        <f t="shared" ref="DB49" si="181">DA49/$O$89</f>
        <v>0</v>
      </c>
      <c r="DC49" s="4103"/>
      <c r="DD49" s="3341"/>
      <c r="DE49" s="3341"/>
      <c r="DF49" s="4102"/>
      <c r="DG49" s="4084">
        <f t="shared" ref="DG49" si="182">DF49/$O$89</f>
        <v>0</v>
      </c>
      <c r="DH49" s="4103"/>
      <c r="DI49" s="3341"/>
      <c r="DJ49" s="3341"/>
      <c r="DK49" s="4102"/>
      <c r="DL49" s="4084">
        <f t="shared" ref="DL49" si="183">DK49/$O$89</f>
        <v>0</v>
      </c>
      <c r="DM49" s="4103"/>
      <c r="DN49" s="3341"/>
      <c r="DO49" s="3341"/>
      <c r="DP49" s="4102"/>
      <c r="DQ49" s="4084">
        <f t="shared" ref="DQ49" si="184">DP49/$O$89</f>
        <v>0</v>
      </c>
      <c r="DR49" s="4103"/>
      <c r="DS49" s="3341"/>
      <c r="DT49" s="3341"/>
      <c r="DU49" s="4102"/>
      <c r="DV49" s="4084">
        <f t="shared" ref="DV49" si="185">DU49/$O$89</f>
        <v>0</v>
      </c>
      <c r="DW49" s="4103"/>
      <c r="DX49" s="3341">
        <f>M49+R49</f>
        <v>0</v>
      </c>
      <c r="DY49" s="3341">
        <f>N49+S49</f>
        <v>0</v>
      </c>
      <c r="DZ49" s="4102"/>
      <c r="EA49" s="4074">
        <f t="shared" si="124"/>
        <v>0</v>
      </c>
      <c r="EB49" s="4102"/>
      <c r="ED49" s="4104"/>
      <c r="EE49" s="4104"/>
      <c r="EF49" s="4188"/>
      <c r="EH49" s="2624"/>
    </row>
    <row r="50" spans="1:138" s="1396" customFormat="1" ht="13.8" outlineLevel="1">
      <c r="A50" s="1565"/>
      <c r="B50" s="1410" t="s">
        <v>59</v>
      </c>
      <c r="C50" s="2015">
        <f>C52+C51</f>
        <v>0</v>
      </c>
      <c r="D50" s="2015">
        <f>D52+D51</f>
        <v>0</v>
      </c>
      <c r="E50" s="2015">
        <f>SUM(E51:E52)</f>
        <v>0</v>
      </c>
      <c r="F50" s="2006"/>
      <c r="G50" s="2006"/>
      <c r="H50" s="2015">
        <v>0</v>
      </c>
      <c r="I50" s="2015">
        <v>0</v>
      </c>
      <c r="J50" s="2015">
        <v>0</v>
      </c>
      <c r="K50" s="2006"/>
      <c r="L50" s="1445"/>
      <c r="M50" s="2015">
        <f>M52+M51</f>
        <v>0</v>
      </c>
      <c r="N50" s="2015">
        <f>N52+N51</f>
        <v>0</v>
      </c>
      <c r="O50" s="2015">
        <f>SUM(O51:O52)</f>
        <v>0</v>
      </c>
      <c r="P50" s="2006"/>
      <c r="Q50" s="2006"/>
      <c r="R50" s="2015">
        <f>R52+R51</f>
        <v>0</v>
      </c>
      <c r="S50" s="2015">
        <f>S52+S51</f>
        <v>0</v>
      </c>
      <c r="T50" s="2015">
        <f>SUM(T51:T52)</f>
        <v>0</v>
      </c>
      <c r="U50" s="2006"/>
      <c r="V50" s="1057"/>
      <c r="W50" s="2015">
        <f>W52+W51</f>
        <v>0</v>
      </c>
      <c r="X50" s="2015">
        <f>X52+X51</f>
        <v>0</v>
      </c>
      <c r="Y50" s="2015">
        <f>SUM(Y51:Y52)</f>
        <v>0</v>
      </c>
      <c r="Z50" s="2006"/>
      <c r="AA50" s="1057"/>
      <c r="AB50" s="2015">
        <f>AB52+AB51</f>
        <v>0</v>
      </c>
      <c r="AC50" s="2015">
        <f>AC52+AC51</f>
        <v>0</v>
      </c>
      <c r="AD50" s="2015">
        <f>SUM(AD51:AD52)</f>
        <v>0</v>
      </c>
      <c r="AE50" s="2006"/>
      <c r="AF50" s="1057"/>
      <c r="AG50" s="2015">
        <f>AG52+AG51</f>
        <v>0</v>
      </c>
      <c r="AH50" s="2015">
        <f>AH52+AH51</f>
        <v>0</v>
      </c>
      <c r="AI50" s="2015">
        <f>SUM(AI51:AI52)</f>
        <v>0</v>
      </c>
      <c r="AJ50" s="4074" t="e">
        <f>AI50/$AI$89</f>
        <v>#DIV/0!</v>
      </c>
      <c r="AK50" s="1057"/>
      <c r="AL50" s="2015">
        <f>AL52+AL51</f>
        <v>0</v>
      </c>
      <c r="AM50" s="2015">
        <f>AM52+AM51</f>
        <v>0</v>
      </c>
      <c r="AN50" s="2015">
        <f>SUM(AN51:AN52)</f>
        <v>0</v>
      </c>
      <c r="AO50" s="2006"/>
      <c r="AP50" s="1057"/>
      <c r="AQ50" s="2015">
        <f>AQ52+AQ51</f>
        <v>0</v>
      </c>
      <c r="AR50" s="2015">
        <f>AR52+AR51</f>
        <v>0</v>
      </c>
      <c r="AS50" s="2015">
        <f>SUM(AS51:AS52)</f>
        <v>0</v>
      </c>
      <c r="AT50" s="1535">
        <f>AS50/$AS$89</f>
        <v>0</v>
      </c>
      <c r="AU50" s="1057"/>
      <c r="AV50" s="2015">
        <f>AV52+AV51</f>
        <v>0</v>
      </c>
      <c r="AW50" s="2015">
        <f>AW52+AW51</f>
        <v>0</v>
      </c>
      <c r="AX50" s="2015">
        <f>SUM(AX51:AX52)</f>
        <v>0</v>
      </c>
      <c r="AY50" s="1535">
        <f>AX50/$AS$89</f>
        <v>0</v>
      </c>
      <c r="AZ50" s="1057"/>
      <c r="BA50" s="2015">
        <f>BA52+BA51</f>
        <v>0</v>
      </c>
      <c r="BB50" s="2015">
        <f>BB52+BB51</f>
        <v>0</v>
      </c>
      <c r="BC50" s="2015">
        <f>SUM(BC51:BC52)</f>
        <v>0</v>
      </c>
      <c r="BD50" s="1535">
        <f>BC50/$AS$89</f>
        <v>0</v>
      </c>
      <c r="BE50" s="1057"/>
      <c r="BF50" s="2015">
        <f>BF52+BF51</f>
        <v>0</v>
      </c>
      <c r="BG50" s="2015">
        <f>BG52+BG51</f>
        <v>0</v>
      </c>
      <c r="BH50" s="2015">
        <f>SUM(BH51:BH52)</f>
        <v>0</v>
      </c>
      <c r="BI50" s="1535">
        <f>BH50/$AS$89</f>
        <v>0</v>
      </c>
      <c r="BJ50" s="3460"/>
      <c r="BK50" s="2013">
        <f>BK52+BK51</f>
        <v>0</v>
      </c>
      <c r="BL50" s="2013">
        <f>BL52+BL51</f>
        <v>0</v>
      </c>
      <c r="BM50" s="2013">
        <f>SUM(BM51:BM52)</f>
        <v>0</v>
      </c>
      <c r="BN50" s="1535">
        <f>BM50/$AS$89</f>
        <v>0</v>
      </c>
      <c r="BO50" s="3460"/>
      <c r="BP50" s="2013">
        <f>BP52+BP51</f>
        <v>0</v>
      </c>
      <c r="BQ50" s="2013">
        <f>BQ52+BQ51</f>
        <v>0</v>
      </c>
      <c r="BR50" s="2013">
        <f>SUM(BR51:BR52)</f>
        <v>0</v>
      </c>
      <c r="BS50" s="1535">
        <f>BR50/$AS$89</f>
        <v>0</v>
      </c>
      <c r="BT50" s="3735"/>
      <c r="BU50" s="2013">
        <f>BU52+BU51</f>
        <v>0</v>
      </c>
      <c r="BV50" s="2015">
        <f>BV52+BV51</f>
        <v>0</v>
      </c>
      <c r="BW50" s="2015">
        <f>SUM(BW51:BW52)</f>
        <v>0</v>
      </c>
      <c r="BX50" s="1535">
        <f>BW50/$AS$89</f>
        <v>0</v>
      </c>
      <c r="BY50" s="1057"/>
      <c r="BZ50" s="2015">
        <f>BZ52+BZ51</f>
        <v>0</v>
      </c>
      <c r="CA50" s="2015">
        <f>CA52+CA51</f>
        <v>0</v>
      </c>
      <c r="CB50" s="2015">
        <f>SUM(CB51:CB52)</f>
        <v>0</v>
      </c>
      <c r="CC50" s="1535">
        <f>CB50/$AS$89</f>
        <v>0</v>
      </c>
      <c r="CD50" s="1057"/>
      <c r="CE50" s="2015">
        <f>CE52+CE51</f>
        <v>0</v>
      </c>
      <c r="CF50" s="2015">
        <f>CF52+CF51</f>
        <v>0</v>
      </c>
      <c r="CG50" s="2015">
        <f>SUM(CG51:CG52)</f>
        <v>0</v>
      </c>
      <c r="CH50" s="1535">
        <f>CG50/$AS$89</f>
        <v>0</v>
      </c>
      <c r="CI50" s="1057"/>
      <c r="CJ50" s="2015">
        <f>CJ52+CJ51</f>
        <v>0</v>
      </c>
      <c r="CK50" s="2015">
        <f>CK52+CK51</f>
        <v>0</v>
      </c>
      <c r="CL50" s="2015">
        <f>SUM(CL51:CL52)</f>
        <v>0</v>
      </c>
      <c r="CM50" s="1535">
        <f>CL50/$AS$89</f>
        <v>0</v>
      </c>
      <c r="CN50" s="1057"/>
      <c r="CO50" s="2015">
        <f>CO52+CO51</f>
        <v>0</v>
      </c>
      <c r="CP50" s="2015">
        <f>CP52+CP51</f>
        <v>0</v>
      </c>
      <c r="CQ50" s="2015">
        <f>SUM(CQ51:CQ52)</f>
        <v>0</v>
      </c>
      <c r="CR50" s="1535">
        <f>CQ50/$AS$89</f>
        <v>0</v>
      </c>
      <c r="CS50" s="1057"/>
      <c r="CT50" s="2015">
        <f>CT52+CT51</f>
        <v>0</v>
      </c>
      <c r="CU50" s="2015">
        <f>CU52+CU51</f>
        <v>0</v>
      </c>
      <c r="CV50" s="2015">
        <f>SUM(CV51:CV52)</f>
        <v>0</v>
      </c>
      <c r="CW50" s="1535">
        <f>CV50/$AS$89</f>
        <v>0</v>
      </c>
      <c r="CX50" s="1057"/>
      <c r="CY50" s="2015">
        <f>CY52+CY51</f>
        <v>0</v>
      </c>
      <c r="CZ50" s="2015">
        <f>CZ52+CZ51</f>
        <v>0</v>
      </c>
      <c r="DA50" s="2015">
        <f>SUM(DA51:DA52)</f>
        <v>0</v>
      </c>
      <c r="DB50" s="1535">
        <f>DA50/$AS$89</f>
        <v>0</v>
      </c>
      <c r="DC50" s="1057"/>
      <c r="DD50" s="2015">
        <f>DD52+DD51</f>
        <v>0</v>
      </c>
      <c r="DE50" s="2015">
        <f>DE52+DE51</f>
        <v>0</v>
      </c>
      <c r="DF50" s="2015">
        <f>SUM(DF51:DF52)</f>
        <v>0</v>
      </c>
      <c r="DG50" s="1535">
        <f>DF50/$AS$89</f>
        <v>0</v>
      </c>
      <c r="DH50" s="1057"/>
      <c r="DI50" s="2015">
        <f>DI52+DI51</f>
        <v>0</v>
      </c>
      <c r="DJ50" s="2015">
        <f>DJ52+DJ51</f>
        <v>0</v>
      </c>
      <c r="DK50" s="2015">
        <f>SUM(DK51:DK52)</f>
        <v>0</v>
      </c>
      <c r="DL50" s="1535">
        <f>DK50/$AS$89</f>
        <v>0</v>
      </c>
      <c r="DM50" s="1057"/>
      <c r="DN50" s="2015">
        <f>DN52+DN51</f>
        <v>0</v>
      </c>
      <c r="DO50" s="2015">
        <f>DO52+DO51</f>
        <v>0</v>
      </c>
      <c r="DP50" s="2015">
        <f>SUM(DP51:DP52)</f>
        <v>0</v>
      </c>
      <c r="DQ50" s="1535">
        <f>DP50/$AS$89</f>
        <v>0</v>
      </c>
      <c r="DR50" s="1057"/>
      <c r="DS50" s="2015">
        <f>DS52+DS51</f>
        <v>0</v>
      </c>
      <c r="DT50" s="2015">
        <f>DT52+DT51</f>
        <v>0</v>
      </c>
      <c r="DU50" s="2015">
        <f>SUM(DU51:DU52)</f>
        <v>0</v>
      </c>
      <c r="DV50" s="1535">
        <f>DU50/$AS$89</f>
        <v>0</v>
      </c>
      <c r="DW50" s="1057"/>
      <c r="DX50" s="2015">
        <f>DX52+DX51</f>
        <v>0</v>
      </c>
      <c r="DY50" s="2015">
        <f>DY52+DY51</f>
        <v>0</v>
      </c>
      <c r="DZ50" s="2015">
        <f>SUM(DZ51:DZ52)</f>
        <v>0</v>
      </c>
      <c r="EA50" s="2006"/>
      <c r="EB50" s="2006"/>
      <c r="ED50" s="2015">
        <f>SUM(ED51:ED52)</f>
        <v>0</v>
      </c>
      <c r="EE50" s="2015">
        <f>SUM(EE51:EE52)</f>
        <v>0</v>
      </c>
      <c r="EF50" s="2015"/>
      <c r="EH50" s="2624"/>
    </row>
    <row r="51" spans="1:138" s="1396" customFormat="1" ht="13.8" outlineLevel="1">
      <c r="A51" s="1566"/>
      <c r="B51" s="4111" t="s">
        <v>60</v>
      </c>
      <c r="C51" s="3341"/>
      <c r="D51" s="3341"/>
      <c r="E51" s="2012">
        <f>C51+D51*1</f>
        <v>0</v>
      </c>
      <c r="F51" s="4074">
        <f>E51/$E$89</f>
        <v>0</v>
      </c>
      <c r="G51" s="4100"/>
      <c r="H51" s="3341">
        <v>0</v>
      </c>
      <c r="I51" s="3341">
        <v>0</v>
      </c>
      <c r="J51" s="2012">
        <v>0</v>
      </c>
      <c r="K51" s="4074">
        <v>0</v>
      </c>
      <c r="L51" s="3381"/>
      <c r="M51" s="3341"/>
      <c r="N51" s="3341"/>
      <c r="O51" s="2012">
        <f>M51+N51*1</f>
        <v>0</v>
      </c>
      <c r="P51" s="4074">
        <f>O51/$O$89</f>
        <v>0</v>
      </c>
      <c r="Q51" s="4100"/>
      <c r="R51" s="3341"/>
      <c r="S51" s="3341"/>
      <c r="T51" s="2012">
        <f>R51+S51*1</f>
        <v>0</v>
      </c>
      <c r="U51" s="4074">
        <f>T51/$O$89</f>
        <v>0</v>
      </c>
      <c r="V51" s="4099"/>
      <c r="W51" s="3341"/>
      <c r="X51" s="3341"/>
      <c r="Y51" s="2012">
        <f>W51+X51*1</f>
        <v>0</v>
      </c>
      <c r="Z51" s="4074">
        <f>Y51/$O$89</f>
        <v>0</v>
      </c>
      <c r="AA51" s="4099"/>
      <c r="AB51" s="3341"/>
      <c r="AC51" s="3341"/>
      <c r="AD51" s="2012">
        <f>AB51+AC51*1</f>
        <v>0</v>
      </c>
      <c r="AE51" s="4074" t="e">
        <f>AD51/$AD$89</f>
        <v>#DIV/0!</v>
      </c>
      <c r="AF51" s="4099"/>
      <c r="AG51" s="3341"/>
      <c r="AH51" s="3341"/>
      <c r="AI51" s="2012">
        <f>AG51+AH51*1</f>
        <v>0</v>
      </c>
      <c r="AJ51" s="4074" t="e">
        <f>AI51/$AI$89</f>
        <v>#DIV/0!</v>
      </c>
      <c r="AK51" s="4099"/>
      <c r="AL51" s="3341"/>
      <c r="AM51" s="3341"/>
      <c r="AN51" s="2012">
        <f>AL51+AM51*1</f>
        <v>0</v>
      </c>
      <c r="AO51" s="4074" t="e">
        <f>AN51/$AD$89</f>
        <v>#DIV/0!</v>
      </c>
      <c r="AP51" s="4099"/>
      <c r="AQ51" s="3341"/>
      <c r="AR51" s="3341"/>
      <c r="AS51" s="3349">
        <f t="shared" ref="AS51:AS52" si="186">AQ51+AR51</f>
        <v>0</v>
      </c>
      <c r="AT51" s="4074">
        <f t="shared" ref="AT51:AT71" si="187">AS51/$AS$89</f>
        <v>0</v>
      </c>
      <c r="AU51" s="4099"/>
      <c r="AV51" s="3341"/>
      <c r="AW51" s="3341"/>
      <c r="AX51" s="3349">
        <f>AV51+AW51</f>
        <v>0</v>
      </c>
      <c r="AY51" s="4074">
        <f t="shared" ref="AY51:AY71" si="188">AX51/$AS$89</f>
        <v>0</v>
      </c>
      <c r="AZ51" s="4099"/>
      <c r="BA51" s="3341"/>
      <c r="BB51" s="3341"/>
      <c r="BC51" s="3349">
        <f t="shared" ref="BC51:BC52" si="189">BA51+BB51</f>
        <v>0</v>
      </c>
      <c r="BD51" s="4074">
        <f t="shared" ref="BD51:BD71" si="190">BC51/$AS$89</f>
        <v>0</v>
      </c>
      <c r="BE51" s="4099"/>
      <c r="BF51" s="3342">
        <f t="shared" ref="BF51:BG52" si="191">BA51+AV51+AQ51</f>
        <v>0</v>
      </c>
      <c r="BG51" s="3342">
        <f t="shared" si="191"/>
        <v>0</v>
      </c>
      <c r="BH51" s="2012">
        <f t="shared" ref="BH51:BH52" si="192">BF51+BG51</f>
        <v>0</v>
      </c>
      <c r="BI51" s="3455"/>
      <c r="BJ51" s="3455"/>
      <c r="BK51" s="3342">
        <f t="shared" ref="BK51:BL52" si="193">BP51+BU51+BZ51+CJ51+CO51+CT51+CY51+DD51+DI51+DN51+DS51+CE51</f>
        <v>0</v>
      </c>
      <c r="BL51" s="3342">
        <f t="shared" si="193"/>
        <v>0</v>
      </c>
      <c r="BM51" s="2012">
        <f t="shared" ref="BM51:BM52" si="194">BK51+BL51</f>
        <v>0</v>
      </c>
      <c r="BN51" s="3455"/>
      <c r="BO51" s="3455"/>
      <c r="BP51" s="3341"/>
      <c r="BQ51" s="3341"/>
      <c r="BR51" s="3349">
        <f t="shared" ref="BR51:BR52" si="195">BP51+BQ51</f>
        <v>0</v>
      </c>
      <c r="BS51" s="4074">
        <f t="shared" ref="BS51:BS71" si="196">BR51/$AS$89</f>
        <v>0</v>
      </c>
      <c r="BT51" s="4099"/>
      <c r="BU51" s="3341"/>
      <c r="BV51" s="3341"/>
      <c r="BW51" s="3349">
        <f t="shared" ref="BW51:BW52" si="197">BU51+BV51</f>
        <v>0</v>
      </c>
      <c r="BX51" s="4074">
        <f t="shared" ref="BX51:BX71" si="198">BW51/$AS$89</f>
        <v>0</v>
      </c>
      <c r="BY51" s="4099"/>
      <c r="BZ51" s="3341"/>
      <c r="CA51" s="3341"/>
      <c r="CB51" s="3349">
        <f t="shared" ref="CB51:CB52" si="199">BZ51+CA51</f>
        <v>0</v>
      </c>
      <c r="CC51" s="4074">
        <f t="shared" ref="CC51:CC71" si="200">CB51/$AS$89</f>
        <v>0</v>
      </c>
      <c r="CD51" s="4099"/>
      <c r="CE51" s="3341"/>
      <c r="CF51" s="3341"/>
      <c r="CG51" s="3349">
        <f t="shared" ref="CG51:CG52" si="201">CE51+CF51</f>
        <v>0</v>
      </c>
      <c r="CH51" s="4074">
        <f t="shared" ref="CH51:CH71" si="202">CG51/$AS$89</f>
        <v>0</v>
      </c>
      <c r="CI51" s="4099"/>
      <c r="CJ51" s="3341"/>
      <c r="CK51" s="3341"/>
      <c r="CL51" s="3349">
        <f t="shared" ref="CL51:CL52" si="203">CJ51+CK51</f>
        <v>0</v>
      </c>
      <c r="CM51" s="4074">
        <f t="shared" ref="CM51:CM71" si="204">CL51/$AS$89</f>
        <v>0</v>
      </c>
      <c r="CN51" s="4099"/>
      <c r="CO51" s="3341"/>
      <c r="CP51" s="3341"/>
      <c r="CQ51" s="3349">
        <f t="shared" ref="CQ51:CQ52" si="205">CO51+CP51</f>
        <v>0</v>
      </c>
      <c r="CR51" s="4074">
        <f t="shared" ref="CR51:CR71" si="206">CQ51/$AS$89</f>
        <v>0</v>
      </c>
      <c r="CS51" s="4099"/>
      <c r="CT51" s="3341"/>
      <c r="CU51" s="3341"/>
      <c r="CV51" s="3349">
        <f t="shared" ref="CV51:CV52" si="207">CT51+CU51</f>
        <v>0</v>
      </c>
      <c r="CW51" s="4074">
        <f t="shared" ref="CW51:CW71" si="208">CV51/$AS$89</f>
        <v>0</v>
      </c>
      <c r="CX51" s="4099"/>
      <c r="CY51" s="3341"/>
      <c r="CZ51" s="3341"/>
      <c r="DA51" s="3349">
        <f t="shared" ref="DA51:DA52" si="209">CY51+CZ51</f>
        <v>0</v>
      </c>
      <c r="DB51" s="4074">
        <f t="shared" ref="DB51:DB71" si="210">DA51/$AS$89</f>
        <v>0</v>
      </c>
      <c r="DC51" s="4099"/>
      <c r="DD51" s="3341"/>
      <c r="DE51" s="3341"/>
      <c r="DF51" s="3349">
        <f t="shared" ref="DF51:DF52" si="211">DD51+DE51</f>
        <v>0</v>
      </c>
      <c r="DG51" s="4074">
        <f t="shared" ref="DG51:DG71" si="212">DF51/$AS$89</f>
        <v>0</v>
      </c>
      <c r="DH51" s="4099"/>
      <c r="DI51" s="3341"/>
      <c r="DJ51" s="3341"/>
      <c r="DK51" s="3349">
        <f t="shared" ref="DK51:DK52" si="213">DI51+DJ51</f>
        <v>0</v>
      </c>
      <c r="DL51" s="4074">
        <f t="shared" ref="DL51:DL71" si="214">DK51/$AS$89</f>
        <v>0</v>
      </c>
      <c r="DM51" s="4099"/>
      <c r="DN51" s="3341"/>
      <c r="DO51" s="3341"/>
      <c r="DP51" s="3349">
        <f t="shared" ref="DP51:DP52" si="215">DN51+DO51</f>
        <v>0</v>
      </c>
      <c r="DQ51" s="4074">
        <f t="shared" ref="DQ51:DQ71" si="216">DP51/$AS$89</f>
        <v>0</v>
      </c>
      <c r="DR51" s="4099"/>
      <c r="DS51" s="3341"/>
      <c r="DT51" s="3341"/>
      <c r="DU51" s="3349">
        <f t="shared" ref="DU51:DU52" si="217">DS51+DT51</f>
        <v>0</v>
      </c>
      <c r="DV51" s="4074">
        <f t="shared" ref="DV51:DV71" si="218">DU51/$AS$89</f>
        <v>0</v>
      </c>
      <c r="DW51" s="4099"/>
      <c r="DX51" s="3341">
        <f t="shared" ref="DX51:DY53" si="219">AQ51+AV51+BA51+BK51</f>
        <v>0</v>
      </c>
      <c r="DY51" s="3341">
        <f t="shared" si="219"/>
        <v>0</v>
      </c>
      <c r="DZ51" s="2012">
        <f>DX51+DY51*1</f>
        <v>0</v>
      </c>
      <c r="EA51" s="4074">
        <f>DZ51/$DZ$89</f>
        <v>0</v>
      </c>
      <c r="EB51" s="4100"/>
      <c r="ED51" s="2012">
        <f>EB51+EC51*1</f>
        <v>0</v>
      </c>
      <c r="EE51" s="2012">
        <f>EC51+ED51*1</f>
        <v>0</v>
      </c>
      <c r="EF51" s="4188"/>
      <c r="EH51" s="2624"/>
    </row>
    <row r="52" spans="1:138" ht="13.8" outlineLevel="2">
      <c r="A52" s="1566"/>
      <c r="B52" s="4111" t="s">
        <v>61</v>
      </c>
      <c r="C52" s="3341"/>
      <c r="D52" s="3341"/>
      <c r="E52" s="2012">
        <f>C52+D52*1</f>
        <v>0</v>
      </c>
      <c r="F52" s="4074">
        <f>E52/$E$89</f>
        <v>0</v>
      </c>
      <c r="G52" s="4100"/>
      <c r="H52" s="3341">
        <v>0</v>
      </c>
      <c r="I52" s="3341">
        <v>0</v>
      </c>
      <c r="J52" s="2012">
        <v>0</v>
      </c>
      <c r="K52" s="4074">
        <v>0</v>
      </c>
      <c r="L52" s="3381"/>
      <c r="M52" s="3341"/>
      <c r="N52" s="3341"/>
      <c r="O52" s="2012">
        <f>M52+N52*1</f>
        <v>0</v>
      </c>
      <c r="P52" s="4074">
        <f>O52/$O$89</f>
        <v>0</v>
      </c>
      <c r="Q52" s="4100"/>
      <c r="R52" s="3341"/>
      <c r="S52" s="3341"/>
      <c r="T52" s="2012">
        <f>R52+S52*1</f>
        <v>0</v>
      </c>
      <c r="U52" s="4074">
        <f>T52/$O$89</f>
        <v>0</v>
      </c>
      <c r="V52" s="4099"/>
      <c r="W52" s="3341"/>
      <c r="X52" s="3341"/>
      <c r="Y52" s="2012">
        <f>W52+X52*1</f>
        <v>0</v>
      </c>
      <c r="Z52" s="4074">
        <f>Y52/$O$89</f>
        <v>0</v>
      </c>
      <c r="AA52" s="4099"/>
      <c r="AB52" s="3341"/>
      <c r="AC52" s="3341"/>
      <c r="AD52" s="2012">
        <f>AB52+AC52*1</f>
        <v>0</v>
      </c>
      <c r="AE52" s="4074">
        <f>AD52/$O$89</f>
        <v>0</v>
      </c>
      <c r="AF52" s="4099"/>
      <c r="AG52" s="3341"/>
      <c r="AH52" s="3341"/>
      <c r="AI52" s="2012">
        <f>AG52+AH52*1</f>
        <v>0</v>
      </c>
      <c r="AJ52" s="4074">
        <f>AI52/$O$89</f>
        <v>0</v>
      </c>
      <c r="AK52" s="4099"/>
      <c r="AL52" s="3341"/>
      <c r="AM52" s="3341"/>
      <c r="AN52" s="2012">
        <f>AL52+AM52*1</f>
        <v>0</v>
      </c>
      <c r="AO52" s="4074">
        <f>AN52/$O$89</f>
        <v>0</v>
      </c>
      <c r="AP52" s="4099"/>
      <c r="AQ52" s="3341"/>
      <c r="AR52" s="3341"/>
      <c r="AS52" s="3349">
        <f t="shared" si="186"/>
        <v>0</v>
      </c>
      <c r="AT52" s="4074">
        <f t="shared" si="187"/>
        <v>0</v>
      </c>
      <c r="AU52" s="4099"/>
      <c r="AV52" s="3341"/>
      <c r="AW52" s="3341"/>
      <c r="AX52" s="3349">
        <f>AV52+AW52</f>
        <v>0</v>
      </c>
      <c r="AY52" s="4074">
        <f t="shared" si="188"/>
        <v>0</v>
      </c>
      <c r="AZ52" s="4099"/>
      <c r="BA52" s="3341"/>
      <c r="BB52" s="3341"/>
      <c r="BC52" s="3349">
        <f t="shared" si="189"/>
        <v>0</v>
      </c>
      <c r="BD52" s="4074">
        <f t="shared" si="190"/>
        <v>0</v>
      </c>
      <c r="BE52" s="4099"/>
      <c r="BF52" s="3342">
        <f t="shared" si="191"/>
        <v>0</v>
      </c>
      <c r="BG52" s="3342">
        <f t="shared" si="191"/>
        <v>0</v>
      </c>
      <c r="BH52" s="2012">
        <f t="shared" si="192"/>
        <v>0</v>
      </c>
      <c r="BI52" s="3455"/>
      <c r="BJ52" s="3455"/>
      <c r="BK52" s="3342">
        <f t="shared" si="193"/>
        <v>0</v>
      </c>
      <c r="BL52" s="3342">
        <f t="shared" si="193"/>
        <v>0</v>
      </c>
      <c r="BM52" s="2012">
        <f t="shared" si="194"/>
        <v>0</v>
      </c>
      <c r="BN52" s="3455"/>
      <c r="BO52" s="3455"/>
      <c r="BP52" s="3341"/>
      <c r="BQ52" s="3341"/>
      <c r="BR52" s="3349">
        <f t="shared" si="195"/>
        <v>0</v>
      </c>
      <c r="BS52" s="4074">
        <f t="shared" si="196"/>
        <v>0</v>
      </c>
      <c r="BT52" s="4099"/>
      <c r="BU52" s="3341"/>
      <c r="BV52" s="3341"/>
      <c r="BW52" s="3349">
        <f t="shared" si="197"/>
        <v>0</v>
      </c>
      <c r="BX52" s="4074">
        <f t="shared" si="198"/>
        <v>0</v>
      </c>
      <c r="BY52" s="4099"/>
      <c r="BZ52" s="3341"/>
      <c r="CA52" s="3341"/>
      <c r="CB52" s="3349">
        <f t="shared" si="199"/>
        <v>0</v>
      </c>
      <c r="CC52" s="4074">
        <f t="shared" si="200"/>
        <v>0</v>
      </c>
      <c r="CD52" s="4099"/>
      <c r="CE52" s="3341"/>
      <c r="CF52" s="3341"/>
      <c r="CG52" s="3349">
        <f t="shared" si="201"/>
        <v>0</v>
      </c>
      <c r="CH52" s="4074">
        <f t="shared" si="202"/>
        <v>0</v>
      </c>
      <c r="CI52" s="4099"/>
      <c r="CJ52" s="3341"/>
      <c r="CK52" s="3341"/>
      <c r="CL52" s="3349">
        <f t="shared" si="203"/>
        <v>0</v>
      </c>
      <c r="CM52" s="4074">
        <f t="shared" si="204"/>
        <v>0</v>
      </c>
      <c r="CN52" s="4099"/>
      <c r="CO52" s="3341"/>
      <c r="CP52" s="3341"/>
      <c r="CQ52" s="3349">
        <f t="shared" si="205"/>
        <v>0</v>
      </c>
      <c r="CR52" s="4074">
        <f t="shared" si="206"/>
        <v>0</v>
      </c>
      <c r="CS52" s="4099"/>
      <c r="CT52" s="3341"/>
      <c r="CU52" s="3341"/>
      <c r="CV52" s="3349">
        <f t="shared" si="207"/>
        <v>0</v>
      </c>
      <c r="CW52" s="4074">
        <f t="shared" si="208"/>
        <v>0</v>
      </c>
      <c r="CX52" s="4099"/>
      <c r="CY52" s="3341"/>
      <c r="CZ52" s="3341"/>
      <c r="DA52" s="3349">
        <f t="shared" si="209"/>
        <v>0</v>
      </c>
      <c r="DB52" s="4074">
        <f t="shared" si="210"/>
        <v>0</v>
      </c>
      <c r="DC52" s="4099"/>
      <c r="DD52" s="3341"/>
      <c r="DE52" s="3341"/>
      <c r="DF52" s="3349">
        <f t="shared" si="211"/>
        <v>0</v>
      </c>
      <c r="DG52" s="4074">
        <f t="shared" si="212"/>
        <v>0</v>
      </c>
      <c r="DH52" s="4099"/>
      <c r="DI52" s="3341"/>
      <c r="DJ52" s="3341"/>
      <c r="DK52" s="3349">
        <f t="shared" si="213"/>
        <v>0</v>
      </c>
      <c r="DL52" s="4074">
        <f t="shared" si="214"/>
        <v>0</v>
      </c>
      <c r="DM52" s="4099"/>
      <c r="DN52" s="3341"/>
      <c r="DO52" s="3341"/>
      <c r="DP52" s="3349">
        <f t="shared" si="215"/>
        <v>0</v>
      </c>
      <c r="DQ52" s="4074">
        <f t="shared" si="216"/>
        <v>0</v>
      </c>
      <c r="DR52" s="4099"/>
      <c r="DS52" s="3341"/>
      <c r="DT52" s="3341"/>
      <c r="DU52" s="3349">
        <f t="shared" si="217"/>
        <v>0</v>
      </c>
      <c r="DV52" s="4074">
        <f t="shared" si="218"/>
        <v>0</v>
      </c>
      <c r="DW52" s="4099"/>
      <c r="DX52" s="3341">
        <f t="shared" si="219"/>
        <v>0</v>
      </c>
      <c r="DY52" s="3341">
        <f t="shared" si="219"/>
        <v>0</v>
      </c>
      <c r="DZ52" s="2012">
        <f>DX52+DY52*1</f>
        <v>0</v>
      </c>
      <c r="EA52" s="4074">
        <f>DZ52/$DZ$89</f>
        <v>0</v>
      </c>
      <c r="EB52" s="4100"/>
      <c r="ED52" s="2012">
        <f>EB52+EC52*1</f>
        <v>0</v>
      </c>
      <c r="EE52" s="2012">
        <f>EC52+ED52*1</f>
        <v>0</v>
      </c>
      <c r="EF52" s="4188"/>
    </row>
    <row r="53" spans="1:138" ht="14.4" outlineLevel="1" thickBot="1">
      <c r="A53" s="1413"/>
      <c r="B53" s="4118"/>
      <c r="C53" s="3349"/>
      <c r="D53" s="3349"/>
      <c r="E53" s="4119"/>
      <c r="F53" s="4119"/>
      <c r="G53" s="4119"/>
      <c r="H53" s="3341">
        <v>0</v>
      </c>
      <c r="I53" s="3341">
        <v>0</v>
      </c>
      <c r="J53" s="4119"/>
      <c r="K53" s="4119"/>
      <c r="L53" s="1316"/>
      <c r="M53" s="3341"/>
      <c r="N53" s="3341"/>
      <c r="O53" s="4119"/>
      <c r="P53" s="4119"/>
      <c r="Q53" s="4119"/>
      <c r="R53" s="3341"/>
      <c r="S53" s="3341"/>
      <c r="T53" s="4119"/>
      <c r="U53" s="4119"/>
      <c r="V53" s="4120"/>
      <c r="W53" s="3341"/>
      <c r="X53" s="3341"/>
      <c r="Y53" s="4119"/>
      <c r="Z53" s="4119"/>
      <c r="AA53" s="4120"/>
      <c r="AB53" s="3341"/>
      <c r="AC53" s="3341"/>
      <c r="AD53" s="4119"/>
      <c r="AE53" s="4119"/>
      <c r="AF53" s="4120"/>
      <c r="AG53" s="3341"/>
      <c r="AH53" s="3341"/>
      <c r="AI53" s="4119"/>
      <c r="AJ53" s="4119"/>
      <c r="AK53" s="4120"/>
      <c r="AL53" s="3341"/>
      <c r="AM53" s="3341"/>
      <c r="AN53" s="4119"/>
      <c r="AO53" s="4119"/>
      <c r="AP53" s="4120"/>
      <c r="AQ53" s="3341"/>
      <c r="AR53" s="3341"/>
      <c r="AS53" s="4119"/>
      <c r="AT53" s="4074">
        <f t="shared" si="187"/>
        <v>0</v>
      </c>
      <c r="AU53" s="4120"/>
      <c r="AV53" s="3341"/>
      <c r="AW53" s="3341"/>
      <c r="AX53" s="4119"/>
      <c r="AY53" s="4074">
        <f t="shared" si="188"/>
        <v>0</v>
      </c>
      <c r="AZ53" s="4120"/>
      <c r="BA53" s="3341"/>
      <c r="BB53" s="3341"/>
      <c r="BC53" s="4119"/>
      <c r="BD53" s="4074">
        <f t="shared" si="190"/>
        <v>0</v>
      </c>
      <c r="BE53" s="4120"/>
      <c r="BF53" s="4121"/>
      <c r="BG53" s="4120"/>
      <c r="BH53" s="4120"/>
      <c r="BI53" s="4120"/>
      <c r="BJ53" s="4120"/>
      <c r="BK53" s="4120"/>
      <c r="BL53" s="4120"/>
      <c r="BM53" s="4120"/>
      <c r="BN53" s="4120"/>
      <c r="BO53" s="4120"/>
      <c r="BP53" s="4082"/>
      <c r="BQ53" s="4082"/>
      <c r="BR53" s="4119"/>
      <c r="BS53" s="4090">
        <f t="shared" si="196"/>
        <v>0</v>
      </c>
      <c r="BT53" s="4120"/>
      <c r="BU53" s="4082"/>
      <c r="BV53" s="4082"/>
      <c r="BW53" s="4119"/>
      <c r="BX53" s="4090">
        <f t="shared" si="198"/>
        <v>0</v>
      </c>
      <c r="BY53" s="4120"/>
      <c r="BZ53" s="4082"/>
      <c r="CA53" s="4082"/>
      <c r="CB53" s="4119"/>
      <c r="CC53" s="4090">
        <f t="shared" si="200"/>
        <v>0</v>
      </c>
      <c r="CD53" s="4120"/>
      <c r="CE53" s="4082"/>
      <c r="CF53" s="4082"/>
      <c r="CG53" s="4119"/>
      <c r="CH53" s="4090">
        <f t="shared" si="202"/>
        <v>0</v>
      </c>
      <c r="CI53" s="4120"/>
      <c r="CJ53" s="4082"/>
      <c r="CK53" s="4082"/>
      <c r="CL53" s="4119"/>
      <c r="CM53" s="4090">
        <f t="shared" si="204"/>
        <v>0</v>
      </c>
      <c r="CN53" s="4120"/>
      <c r="CO53" s="4082"/>
      <c r="CP53" s="4082"/>
      <c r="CQ53" s="4119"/>
      <c r="CR53" s="4090">
        <f t="shared" si="206"/>
        <v>0</v>
      </c>
      <c r="CS53" s="4120"/>
      <c r="CT53" s="4082"/>
      <c r="CU53" s="4082"/>
      <c r="CV53" s="4119"/>
      <c r="CW53" s="4090">
        <f t="shared" si="208"/>
        <v>0</v>
      </c>
      <c r="CX53" s="4120"/>
      <c r="CY53" s="4082"/>
      <c r="CZ53" s="4082"/>
      <c r="DA53" s="4119"/>
      <c r="DB53" s="4090">
        <f t="shared" si="210"/>
        <v>0</v>
      </c>
      <c r="DC53" s="4120"/>
      <c r="DD53" s="4082"/>
      <c r="DE53" s="4082"/>
      <c r="DF53" s="4119"/>
      <c r="DG53" s="4090">
        <f t="shared" si="212"/>
        <v>0</v>
      </c>
      <c r="DH53" s="4120"/>
      <c r="DI53" s="4082"/>
      <c r="DJ53" s="4082"/>
      <c r="DK53" s="4119"/>
      <c r="DL53" s="4090">
        <f t="shared" si="214"/>
        <v>0</v>
      </c>
      <c r="DM53" s="4120"/>
      <c r="DN53" s="4082"/>
      <c r="DO53" s="4082"/>
      <c r="DP53" s="4119"/>
      <c r="DQ53" s="4090">
        <f t="shared" si="216"/>
        <v>0</v>
      </c>
      <c r="DR53" s="4120"/>
      <c r="DS53" s="4082"/>
      <c r="DT53" s="4082"/>
      <c r="DU53" s="4119"/>
      <c r="DV53" s="4090">
        <f t="shared" si="218"/>
        <v>0</v>
      </c>
      <c r="DW53" s="4120"/>
      <c r="DX53" s="4082">
        <f t="shared" si="219"/>
        <v>0</v>
      </c>
      <c r="DY53" s="4082">
        <f t="shared" si="219"/>
        <v>0</v>
      </c>
      <c r="DZ53" s="4119"/>
      <c r="EA53" s="4119"/>
      <c r="EB53" s="4119"/>
      <c r="ED53" s="4122"/>
      <c r="EE53" s="4122"/>
      <c r="EF53" s="4188"/>
    </row>
    <row r="54" spans="1:138" ht="13.8" outlineLevel="1">
      <c r="A54" s="1570"/>
      <c r="B54" s="1410" t="s">
        <v>1</v>
      </c>
      <c r="C54" s="2015">
        <f>SUM(C55:C71)</f>
        <v>4795.97</v>
      </c>
      <c r="D54" s="2015">
        <f>SUM(D55:D71)</f>
        <v>4112</v>
      </c>
      <c r="E54" s="1975">
        <f>SUM(E55:E71)</f>
        <v>8907.9700000000012</v>
      </c>
      <c r="F54" s="4110">
        <f t="shared" ref="F54:F72" si="220">E54/$E$89</f>
        <v>4.1153772268550295E-3</v>
      </c>
      <c r="G54" s="2006"/>
      <c r="H54" s="2015">
        <v>1260</v>
      </c>
      <c r="I54" s="2015">
        <v>114.73</v>
      </c>
      <c r="J54" s="2015">
        <v>1374.73</v>
      </c>
      <c r="K54" s="4110">
        <v>1.5723986369803715E-3</v>
      </c>
      <c r="L54" s="1445"/>
      <c r="M54" s="2015">
        <f>SUM(M55:M72)</f>
        <v>253.9</v>
      </c>
      <c r="N54" s="2015">
        <f>SUM(N55:N72)</f>
        <v>430.15</v>
      </c>
      <c r="O54" s="2015">
        <f>SUM(O55:O72)</f>
        <v>684.05</v>
      </c>
      <c r="P54" s="4110">
        <f t="shared" ref="P54:P72" si="221">O54/$O$89</f>
        <v>9.7689611273569593E-2</v>
      </c>
      <c r="Q54" s="2006"/>
      <c r="R54" s="2015">
        <f>SUM(R55:R72)</f>
        <v>0</v>
      </c>
      <c r="S54" s="2015">
        <f>SUM(S55:S72)</f>
        <v>0</v>
      </c>
      <c r="T54" s="2015">
        <f>SUM(T55:T72)</f>
        <v>0</v>
      </c>
      <c r="U54" s="4110">
        <f>T54/$T$89</f>
        <v>0</v>
      </c>
      <c r="V54" s="1057"/>
      <c r="W54" s="2015">
        <f>SUM(W55:W72)</f>
        <v>0</v>
      </c>
      <c r="X54" s="2015">
        <f>SUM(X55:X72)</f>
        <v>0</v>
      </c>
      <c r="Y54" s="2015">
        <f>SUM(Y55:Y72)</f>
        <v>0</v>
      </c>
      <c r="Z54" s="4110">
        <f>Y54/$Y$89</f>
        <v>0</v>
      </c>
      <c r="AA54" s="1057"/>
      <c r="AB54" s="2015">
        <f>SUM(AB55:AB72)</f>
        <v>0</v>
      </c>
      <c r="AC54" s="2015">
        <f>SUM(AC55:AC72)</f>
        <v>0</v>
      </c>
      <c r="AD54" s="2015">
        <f>SUM(AD55:AD72)</f>
        <v>0</v>
      </c>
      <c r="AE54" s="4110" t="e">
        <f>AD54/$AD$89</f>
        <v>#DIV/0!</v>
      </c>
      <c r="AF54" s="1057"/>
      <c r="AG54" s="2015">
        <f>SUM(AG55:AG72)</f>
        <v>0</v>
      </c>
      <c r="AH54" s="2015">
        <f>SUM(AH55:AH72)</f>
        <v>0</v>
      </c>
      <c r="AI54" s="2015">
        <f>SUM(AI55:AI72)</f>
        <v>0</v>
      </c>
      <c r="AJ54" s="4110" t="e">
        <f>AI54/$AD$89</f>
        <v>#DIV/0!</v>
      </c>
      <c r="AK54" s="1057"/>
      <c r="AL54" s="2015">
        <f>SUM(AL55:AL72)</f>
        <v>0</v>
      </c>
      <c r="AM54" s="2015">
        <f>SUM(AM55:AM72)</f>
        <v>0</v>
      </c>
      <c r="AN54" s="2015">
        <f>SUM(AN55:AN72)</f>
        <v>0</v>
      </c>
      <c r="AO54" s="4110" t="e">
        <f>AN54/$AD$89</f>
        <v>#DIV/0!</v>
      </c>
      <c r="AP54" s="1057"/>
      <c r="AQ54" s="2015">
        <f>SUM(AQ55:AQ72)</f>
        <v>0</v>
      </c>
      <c r="AR54" s="2015">
        <f>SUM(AR55:AR72)</f>
        <v>0</v>
      </c>
      <c r="AS54" s="2015">
        <f>SUM(AS55:AS72)</f>
        <v>0</v>
      </c>
      <c r="AT54" s="4110">
        <f t="shared" si="187"/>
        <v>0</v>
      </c>
      <c r="AU54" s="1057"/>
      <c r="AV54" s="2015">
        <f>SUM(AV55:AV72)</f>
        <v>0</v>
      </c>
      <c r="AW54" s="2015">
        <f>SUM(AW55:AW72)</f>
        <v>0</v>
      </c>
      <c r="AX54" s="2015">
        <f>SUM(AX55:AX72)</f>
        <v>0</v>
      </c>
      <c r="AY54" s="4110">
        <f t="shared" si="188"/>
        <v>0</v>
      </c>
      <c r="AZ54" s="1057"/>
      <c r="BA54" s="2015">
        <f>SUM(BA55:BA72)</f>
        <v>0</v>
      </c>
      <c r="BB54" s="2015">
        <f>SUM(BB55:BB72)</f>
        <v>0</v>
      </c>
      <c r="BC54" s="2015">
        <f>SUM(BC55:BC72)</f>
        <v>0</v>
      </c>
      <c r="BD54" s="4110">
        <f t="shared" si="190"/>
        <v>0</v>
      </c>
      <c r="BE54" s="1057"/>
      <c r="BF54" s="2013">
        <f>SUM(BF55:BF72)</f>
        <v>0</v>
      </c>
      <c r="BG54" s="2013">
        <f>SUM(BG55:BG72)</f>
        <v>0</v>
      </c>
      <c r="BH54" s="2013">
        <f>SUM(BH55:BH72)</f>
        <v>0</v>
      </c>
      <c r="BI54" s="1535">
        <f t="shared" ref="BI54" si="222">BH54/$AS$89</f>
        <v>0</v>
      </c>
      <c r="BJ54" s="3460"/>
      <c r="BK54" s="2013">
        <f>SUM(BK55:BK72)</f>
        <v>0</v>
      </c>
      <c r="BL54" s="2013">
        <f>SUM(BL55:BL72)</f>
        <v>0</v>
      </c>
      <c r="BM54" s="2013">
        <f>SUM(BM55:BM72)</f>
        <v>0</v>
      </c>
      <c r="BN54" s="1535">
        <f t="shared" ref="BN54" si="223">BM54/$AS$89</f>
        <v>0</v>
      </c>
      <c r="BO54" s="3460"/>
      <c r="BP54" s="2013">
        <f>SUM(BP55:BP72)</f>
        <v>0</v>
      </c>
      <c r="BQ54" s="2013">
        <f>SUM(BQ55:BQ72)</f>
        <v>0</v>
      </c>
      <c r="BR54" s="2013">
        <f>SUM(BR55:BR72)</f>
        <v>0</v>
      </c>
      <c r="BS54" s="1535">
        <f t="shared" si="196"/>
        <v>0</v>
      </c>
      <c r="BT54" s="3735"/>
      <c r="BU54" s="2013">
        <f>SUM(BU55:BU72)</f>
        <v>0</v>
      </c>
      <c r="BV54" s="2013">
        <f>SUM(BV55:BV72)</f>
        <v>0</v>
      </c>
      <c r="BW54" s="2013">
        <f>SUM(BW55:BW72)</f>
        <v>0</v>
      </c>
      <c r="BX54" s="1535">
        <f t="shared" si="198"/>
        <v>0</v>
      </c>
      <c r="BY54" s="3735"/>
      <c r="BZ54" s="2013">
        <f>SUM(BZ55:BZ72)</f>
        <v>0</v>
      </c>
      <c r="CA54" s="2013">
        <f>SUM(CA55:CA72)</f>
        <v>0</v>
      </c>
      <c r="CB54" s="2013">
        <f>SUM(CB55:CB72)</f>
        <v>0</v>
      </c>
      <c r="CC54" s="1535">
        <f t="shared" si="200"/>
        <v>0</v>
      </c>
      <c r="CD54" s="3735"/>
      <c r="CE54" s="2013">
        <f>SUM(CE55:CE72)</f>
        <v>0</v>
      </c>
      <c r="CF54" s="2013">
        <f>SUM(CF55:CF72)</f>
        <v>0</v>
      </c>
      <c r="CG54" s="2013">
        <f>SUM(CG55:CG72)</f>
        <v>0</v>
      </c>
      <c r="CH54" s="1535">
        <f t="shared" si="202"/>
        <v>0</v>
      </c>
      <c r="CI54" s="3735"/>
      <c r="CJ54" s="2013">
        <f>SUM(CJ55:CJ72)</f>
        <v>0</v>
      </c>
      <c r="CK54" s="2013">
        <f>SUM(CK55:CK72)</f>
        <v>0</v>
      </c>
      <c r="CL54" s="2013">
        <f>SUM(CL55:CL72)</f>
        <v>0</v>
      </c>
      <c r="CM54" s="1535">
        <f t="shared" si="204"/>
        <v>0</v>
      </c>
      <c r="CN54" s="3735"/>
      <c r="CO54" s="2013">
        <f>SUM(CO55:CO72)</f>
        <v>0</v>
      </c>
      <c r="CP54" s="2013">
        <f>SUM(CP55:CP72)</f>
        <v>0</v>
      </c>
      <c r="CQ54" s="2013">
        <f>SUM(CQ55:CQ72)</f>
        <v>0</v>
      </c>
      <c r="CR54" s="1535">
        <f t="shared" si="206"/>
        <v>0</v>
      </c>
      <c r="CS54" s="3735"/>
      <c r="CT54" s="2013">
        <f>SUM(CT55:CT72)</f>
        <v>0</v>
      </c>
      <c r="CU54" s="2013">
        <f>SUM(CU55:CU72)</f>
        <v>0</v>
      </c>
      <c r="CV54" s="2013">
        <f>SUM(CV55:CV72)</f>
        <v>0</v>
      </c>
      <c r="CW54" s="1535">
        <f t="shared" si="208"/>
        <v>0</v>
      </c>
      <c r="CX54" s="3735"/>
      <c r="CY54" s="2013">
        <f>SUM(CY55:CY72)</f>
        <v>0</v>
      </c>
      <c r="CZ54" s="2013">
        <f>SUM(CZ55:CZ72)</f>
        <v>0</v>
      </c>
      <c r="DA54" s="2013">
        <f>SUM(DA55:DA72)</f>
        <v>0</v>
      </c>
      <c r="DB54" s="1535">
        <f t="shared" si="210"/>
        <v>0</v>
      </c>
      <c r="DC54" s="3735"/>
      <c r="DD54" s="2013">
        <f>SUM(DD55:DD72)</f>
        <v>0</v>
      </c>
      <c r="DE54" s="2013">
        <f>SUM(DE55:DE72)</f>
        <v>0</v>
      </c>
      <c r="DF54" s="2013">
        <f>SUM(DF55:DF72)</f>
        <v>0</v>
      </c>
      <c r="DG54" s="1535">
        <f t="shared" si="212"/>
        <v>0</v>
      </c>
      <c r="DH54" s="3735"/>
      <c r="DI54" s="2013">
        <f>SUM(DI55:DI72)</f>
        <v>0</v>
      </c>
      <c r="DJ54" s="2013">
        <f>SUM(DJ55:DJ72)</f>
        <v>0</v>
      </c>
      <c r="DK54" s="2013">
        <f>SUM(DK55:DK72)</f>
        <v>0</v>
      </c>
      <c r="DL54" s="1535">
        <f t="shared" si="214"/>
        <v>0</v>
      </c>
      <c r="DM54" s="3735"/>
      <c r="DN54" s="2013">
        <f>SUM(DN55:DN72)</f>
        <v>0</v>
      </c>
      <c r="DO54" s="2013">
        <f>SUM(DO55:DO72)</f>
        <v>0</v>
      </c>
      <c r="DP54" s="2013">
        <f>SUM(DP55:DP72)</f>
        <v>0</v>
      </c>
      <c r="DQ54" s="1535">
        <f t="shared" si="216"/>
        <v>0</v>
      </c>
      <c r="DR54" s="3735"/>
      <c r="DS54" s="2013">
        <f>SUM(DS55:DS72)</f>
        <v>0</v>
      </c>
      <c r="DT54" s="2013">
        <f>SUM(DT55:DT72)</f>
        <v>0</v>
      </c>
      <c r="DU54" s="2013">
        <f>SUM(DU55:DU72)</f>
        <v>0</v>
      </c>
      <c r="DV54" s="1535">
        <f t="shared" si="218"/>
        <v>0</v>
      </c>
      <c r="DW54" s="3735"/>
      <c r="DX54" s="2013">
        <f>SUM(DX55:DX72)</f>
        <v>0</v>
      </c>
      <c r="DY54" s="2013">
        <f>SUM(DY55:DY72)</f>
        <v>0</v>
      </c>
      <c r="DZ54" s="2013">
        <f>SUM(DZ55:DZ72)</f>
        <v>0</v>
      </c>
      <c r="EA54" s="1535">
        <f t="shared" ref="EA54:EA71" si="224">DZ54/$DZ$89</f>
        <v>0</v>
      </c>
      <c r="EB54" s="1061"/>
      <c r="ED54" s="2015">
        <f>SUM(ED55:ED72)</f>
        <v>0</v>
      </c>
      <c r="EE54" s="2015">
        <f>SUM(EE55:EE72)</f>
        <v>0</v>
      </c>
      <c r="EF54" s="2015"/>
    </row>
    <row r="55" spans="1:138" ht="13.8" outlineLevel="2">
      <c r="A55" s="1571"/>
      <c r="B55" s="4098" t="s">
        <v>77</v>
      </c>
      <c r="C55" s="3341">
        <v>0</v>
      </c>
      <c r="D55" s="3341">
        <v>0</v>
      </c>
      <c r="E55" s="2012">
        <f t="shared" ref="E55:E71" si="225">C55+D55*1</f>
        <v>0</v>
      </c>
      <c r="F55" s="4074">
        <f t="shared" si="220"/>
        <v>0</v>
      </c>
      <c r="G55" s="4076"/>
      <c r="H55" s="3349">
        <v>0</v>
      </c>
      <c r="I55" s="3349">
        <v>0</v>
      </c>
      <c r="J55" s="2012">
        <v>0</v>
      </c>
      <c r="K55" s="4074">
        <v>0</v>
      </c>
      <c r="L55" s="1434"/>
      <c r="M55" s="3349"/>
      <c r="N55" s="3349"/>
      <c r="O55" s="2012">
        <f t="shared" ref="O55:O71" si="226">M55+N55*1</f>
        <v>0</v>
      </c>
      <c r="P55" s="4074">
        <f t="shared" si="221"/>
        <v>0</v>
      </c>
      <c r="Q55" s="4076"/>
      <c r="R55" s="3349"/>
      <c r="S55" s="3349"/>
      <c r="T55" s="2012">
        <f t="shared" ref="T55:T71" si="227">R55+S55*1</f>
        <v>0</v>
      </c>
      <c r="U55" s="4074">
        <f t="shared" ref="U55:U64" si="228">T55/$O$89</f>
        <v>0</v>
      </c>
      <c r="V55" s="4112"/>
      <c r="W55" s="3349"/>
      <c r="X55" s="3349"/>
      <c r="Y55" s="2012">
        <f t="shared" ref="Y55:Y71" si="229">W55+X55*1</f>
        <v>0</v>
      </c>
      <c r="Z55" s="4074">
        <f t="shared" ref="Z55:Z72" si="230">Y55/$Y$89</f>
        <v>0</v>
      </c>
      <c r="AA55" s="4112"/>
      <c r="AB55" s="3349"/>
      <c r="AC55" s="3349"/>
      <c r="AD55" s="2012">
        <f t="shared" ref="AD55:AD71" si="231">AB55+AC55*1</f>
        <v>0</v>
      </c>
      <c r="AE55" s="4074" t="e">
        <f t="shared" ref="AE55:AE71" si="232">AD55/$AD$89</f>
        <v>#DIV/0!</v>
      </c>
      <c r="AF55" s="4112"/>
      <c r="AG55" s="3349"/>
      <c r="AH55" s="3349"/>
      <c r="AI55" s="2012">
        <f t="shared" ref="AI55:AI71" si="233">AG55+AH55*1</f>
        <v>0</v>
      </c>
      <c r="AJ55" s="4074" t="e">
        <f t="shared" ref="AJ55:AJ71" si="234">AI55/$AI$89</f>
        <v>#DIV/0!</v>
      </c>
      <c r="AK55" s="4112"/>
      <c r="AL55" s="3349"/>
      <c r="AM55" s="3349"/>
      <c r="AN55" s="2012">
        <f t="shared" ref="AN55:AN71" si="235">AL55+AM55*1</f>
        <v>0</v>
      </c>
      <c r="AO55" s="4074" t="e">
        <f t="shared" ref="AO55:AO71" si="236">AN55/$AD$89</f>
        <v>#DIV/0!</v>
      </c>
      <c r="AP55" s="4112"/>
      <c r="AQ55" s="3349"/>
      <c r="AR55" s="3349"/>
      <c r="AS55" s="3349">
        <f t="shared" ref="AS55:AS71" si="237">AQ55+AR55</f>
        <v>0</v>
      </c>
      <c r="AT55" s="4074">
        <f t="shared" si="187"/>
        <v>0</v>
      </c>
      <c r="AU55" s="4112"/>
      <c r="AV55" s="3349"/>
      <c r="AW55" s="3349"/>
      <c r="AX55" s="3349">
        <f t="shared" ref="AX55:AX71" si="238">AV55+AW55</f>
        <v>0</v>
      </c>
      <c r="AY55" s="4074">
        <f t="shared" si="188"/>
        <v>0</v>
      </c>
      <c r="AZ55" s="4112"/>
      <c r="BA55" s="3349"/>
      <c r="BB55" s="3349"/>
      <c r="BC55" s="3349">
        <f t="shared" ref="BC55:BC71" si="239">BA55+BB55</f>
        <v>0</v>
      </c>
      <c r="BD55" s="4074">
        <f t="shared" si="190"/>
        <v>0</v>
      </c>
      <c r="BE55" s="4112"/>
      <c r="BF55" s="3342">
        <f t="shared" ref="BF55:BG71" si="240">BA55+AV55+AQ55</f>
        <v>0</v>
      </c>
      <c r="BG55" s="3342">
        <f t="shared" si="240"/>
        <v>0</v>
      </c>
      <c r="BH55" s="2012">
        <f t="shared" ref="BH55:BH71" si="241">BF55+BG55</f>
        <v>0</v>
      </c>
      <c r="BI55" s="3462"/>
      <c r="BJ55" s="3462"/>
      <c r="BK55" s="3342">
        <f t="shared" ref="BK55:BL71" si="242">BP55+BU55+BZ55+CJ55+CO55+CT55+CY55+DD55+DI55+DN55+DS55+CE55</f>
        <v>0</v>
      </c>
      <c r="BL55" s="3342">
        <f t="shared" si="242"/>
        <v>0</v>
      </c>
      <c r="BM55" s="2012">
        <f t="shared" ref="BM55:BM71" si="243">BK55+BL55</f>
        <v>0</v>
      </c>
      <c r="BN55" s="3462"/>
      <c r="BO55" s="3462"/>
      <c r="BP55" s="3349"/>
      <c r="BQ55" s="3349"/>
      <c r="BR55" s="3349">
        <f t="shared" ref="BR55:BR71" si="244">BP55+BQ55</f>
        <v>0</v>
      </c>
      <c r="BS55" s="4074">
        <f t="shared" si="196"/>
        <v>0</v>
      </c>
      <c r="BT55" s="4112"/>
      <c r="BU55" s="3349"/>
      <c r="BV55" s="3349"/>
      <c r="BW55" s="3349">
        <f t="shared" ref="BW55:BW71" si="245">BU55+BV55</f>
        <v>0</v>
      </c>
      <c r="BX55" s="4074">
        <f t="shared" si="198"/>
        <v>0</v>
      </c>
      <c r="BY55" s="4112"/>
      <c r="BZ55" s="3349"/>
      <c r="CA55" s="3349"/>
      <c r="CB55" s="3349">
        <f t="shared" ref="CB55:CB71" si="246">BZ55+CA55</f>
        <v>0</v>
      </c>
      <c r="CC55" s="4074">
        <f t="shared" si="200"/>
        <v>0</v>
      </c>
      <c r="CD55" s="4112"/>
      <c r="CE55" s="3349"/>
      <c r="CF55" s="3349"/>
      <c r="CG55" s="3349">
        <f t="shared" ref="CG55:CG71" si="247">CE55+CF55</f>
        <v>0</v>
      </c>
      <c r="CH55" s="4074">
        <f t="shared" si="202"/>
        <v>0</v>
      </c>
      <c r="CI55" s="4112"/>
      <c r="CJ55" s="3349"/>
      <c r="CK55" s="3349"/>
      <c r="CL55" s="3349">
        <f t="shared" ref="CL55:CL71" si="248">CJ55+CK55</f>
        <v>0</v>
      </c>
      <c r="CM55" s="4074">
        <f t="shared" si="204"/>
        <v>0</v>
      </c>
      <c r="CN55" s="4112"/>
      <c r="CO55" s="3349"/>
      <c r="CP55" s="3349"/>
      <c r="CQ55" s="3349">
        <f t="shared" ref="CQ55:CQ71" si="249">CO55+CP55</f>
        <v>0</v>
      </c>
      <c r="CR55" s="4074">
        <f t="shared" si="206"/>
        <v>0</v>
      </c>
      <c r="CS55" s="4112"/>
      <c r="CT55" s="3349"/>
      <c r="CU55" s="3349"/>
      <c r="CV55" s="3349">
        <f t="shared" ref="CV55:CV71" si="250">CT55+CU55</f>
        <v>0</v>
      </c>
      <c r="CW55" s="4074">
        <f t="shared" si="208"/>
        <v>0</v>
      </c>
      <c r="CX55" s="4112"/>
      <c r="CY55" s="3349"/>
      <c r="CZ55" s="3349"/>
      <c r="DA55" s="3349">
        <f t="shared" ref="DA55:DA71" si="251">CY55+CZ55</f>
        <v>0</v>
      </c>
      <c r="DB55" s="4074">
        <f t="shared" si="210"/>
        <v>0</v>
      </c>
      <c r="DC55" s="4112"/>
      <c r="DD55" s="3349"/>
      <c r="DE55" s="3349"/>
      <c r="DF55" s="3349">
        <f t="shared" ref="DF55:DF71" si="252">DD55+DE55</f>
        <v>0</v>
      </c>
      <c r="DG55" s="4074">
        <f t="shared" si="212"/>
        <v>0</v>
      </c>
      <c r="DH55" s="4112"/>
      <c r="DI55" s="3349"/>
      <c r="DJ55" s="3349"/>
      <c r="DK55" s="3349">
        <f t="shared" ref="DK55:DK71" si="253">DI55+DJ55</f>
        <v>0</v>
      </c>
      <c r="DL55" s="4074">
        <f t="shared" si="214"/>
        <v>0</v>
      </c>
      <c r="DM55" s="4112"/>
      <c r="DN55" s="3349"/>
      <c r="DO55" s="3349"/>
      <c r="DP55" s="3349">
        <f t="shared" ref="DP55:DP71" si="254">DN55+DO55</f>
        <v>0</v>
      </c>
      <c r="DQ55" s="4074">
        <f t="shared" si="216"/>
        <v>0</v>
      </c>
      <c r="DR55" s="4112"/>
      <c r="DS55" s="3349"/>
      <c r="DT55" s="3349"/>
      <c r="DU55" s="3349">
        <f t="shared" ref="DU55:DU71" si="255">DS55+DT55</f>
        <v>0</v>
      </c>
      <c r="DV55" s="4074">
        <f t="shared" si="218"/>
        <v>0</v>
      </c>
      <c r="DW55" s="4112"/>
      <c r="DX55" s="3341">
        <f t="shared" ref="DX55:DY71" si="256">AQ55+AV55+BA55+BK55</f>
        <v>0</v>
      </c>
      <c r="DY55" s="3341">
        <f t="shared" si="256"/>
        <v>0</v>
      </c>
      <c r="DZ55" s="2012">
        <f t="shared" ref="DZ55:DZ71" si="257">DX55+DY55*1</f>
        <v>0</v>
      </c>
      <c r="EA55" s="4074">
        <f t="shared" si="224"/>
        <v>0</v>
      </c>
      <c r="EB55" s="4076"/>
      <c r="ED55" s="2012">
        <f t="shared" ref="ED55:EE71" si="258">EB55+EC55*1</f>
        <v>0</v>
      </c>
      <c r="EE55" s="2012">
        <f t="shared" si="258"/>
        <v>0</v>
      </c>
      <c r="EF55" s="4188"/>
    </row>
    <row r="56" spans="1:138" ht="13.8" outlineLevel="2">
      <c r="A56" s="1571"/>
      <c r="B56" s="4098" t="s">
        <v>76</v>
      </c>
      <c r="C56" s="3341">
        <v>0</v>
      </c>
      <c r="D56" s="3341">
        <v>0</v>
      </c>
      <c r="E56" s="2012">
        <f t="shared" si="225"/>
        <v>0</v>
      </c>
      <c r="F56" s="4074">
        <f t="shared" si="220"/>
        <v>0</v>
      </c>
      <c r="G56" s="4076"/>
      <c r="H56" s="3349">
        <v>0</v>
      </c>
      <c r="I56" s="3349">
        <v>0</v>
      </c>
      <c r="J56" s="2012">
        <v>0</v>
      </c>
      <c r="K56" s="4074">
        <v>0</v>
      </c>
      <c r="L56" s="1434"/>
      <c r="M56" s="3349"/>
      <c r="N56" s="3349"/>
      <c r="O56" s="2012">
        <f t="shared" si="226"/>
        <v>0</v>
      </c>
      <c r="P56" s="4074">
        <f t="shared" si="221"/>
        <v>0</v>
      </c>
      <c r="Q56" s="4076"/>
      <c r="R56" s="3349"/>
      <c r="S56" s="3349"/>
      <c r="T56" s="2012">
        <f t="shared" si="227"/>
        <v>0</v>
      </c>
      <c r="U56" s="4074">
        <f t="shared" si="228"/>
        <v>0</v>
      </c>
      <c r="V56" s="4112"/>
      <c r="W56" s="3349"/>
      <c r="X56" s="3349"/>
      <c r="Y56" s="2012">
        <f t="shared" si="229"/>
        <v>0</v>
      </c>
      <c r="Z56" s="4074">
        <f t="shared" si="230"/>
        <v>0</v>
      </c>
      <c r="AA56" s="4112"/>
      <c r="AB56" s="3349"/>
      <c r="AC56" s="3349"/>
      <c r="AD56" s="2012">
        <f t="shared" si="231"/>
        <v>0</v>
      </c>
      <c r="AE56" s="4074" t="e">
        <f t="shared" si="232"/>
        <v>#DIV/0!</v>
      </c>
      <c r="AF56" s="4112"/>
      <c r="AG56" s="3349"/>
      <c r="AH56" s="3349"/>
      <c r="AI56" s="2012">
        <f t="shared" si="233"/>
        <v>0</v>
      </c>
      <c r="AJ56" s="4074" t="e">
        <f t="shared" si="234"/>
        <v>#DIV/0!</v>
      </c>
      <c r="AK56" s="4112"/>
      <c r="AL56" s="3349"/>
      <c r="AM56" s="3349"/>
      <c r="AN56" s="2012">
        <f t="shared" si="235"/>
        <v>0</v>
      </c>
      <c r="AO56" s="4074" t="e">
        <f t="shared" si="236"/>
        <v>#DIV/0!</v>
      </c>
      <c r="AP56" s="4112"/>
      <c r="AQ56" s="3349"/>
      <c r="AR56" s="3349"/>
      <c r="AS56" s="3349">
        <f t="shared" si="237"/>
        <v>0</v>
      </c>
      <c r="AT56" s="4074">
        <f t="shared" si="187"/>
        <v>0</v>
      </c>
      <c r="AU56" s="4112"/>
      <c r="AV56" s="3349"/>
      <c r="AW56" s="3349"/>
      <c r="AX56" s="3349">
        <f t="shared" si="238"/>
        <v>0</v>
      </c>
      <c r="AY56" s="4074">
        <f t="shared" si="188"/>
        <v>0</v>
      </c>
      <c r="AZ56" s="4112"/>
      <c r="BA56" s="3349"/>
      <c r="BB56" s="3349"/>
      <c r="BC56" s="3349">
        <f t="shared" si="239"/>
        <v>0</v>
      </c>
      <c r="BD56" s="4074">
        <f t="shared" si="190"/>
        <v>0</v>
      </c>
      <c r="BE56" s="4112"/>
      <c r="BF56" s="3342">
        <f t="shared" si="240"/>
        <v>0</v>
      </c>
      <c r="BG56" s="3342">
        <f t="shared" si="240"/>
        <v>0</v>
      </c>
      <c r="BH56" s="2012">
        <f t="shared" si="241"/>
        <v>0</v>
      </c>
      <c r="BI56" s="3462"/>
      <c r="BJ56" s="3462"/>
      <c r="BK56" s="3342">
        <f t="shared" si="242"/>
        <v>0</v>
      </c>
      <c r="BL56" s="3342">
        <f t="shared" si="242"/>
        <v>0</v>
      </c>
      <c r="BM56" s="2012">
        <f t="shared" si="243"/>
        <v>0</v>
      </c>
      <c r="BN56" s="3462"/>
      <c r="BO56" s="3462"/>
      <c r="BP56" s="3349"/>
      <c r="BQ56" s="3349"/>
      <c r="BR56" s="3349">
        <f t="shared" si="244"/>
        <v>0</v>
      </c>
      <c r="BS56" s="4074">
        <f t="shared" si="196"/>
        <v>0</v>
      </c>
      <c r="BT56" s="4112"/>
      <c r="BU56" s="3349"/>
      <c r="BV56" s="3349"/>
      <c r="BW56" s="3349">
        <f t="shared" si="245"/>
        <v>0</v>
      </c>
      <c r="BX56" s="4074">
        <f t="shared" si="198"/>
        <v>0</v>
      </c>
      <c r="BY56" s="4112"/>
      <c r="BZ56" s="3349"/>
      <c r="CA56" s="3349"/>
      <c r="CB56" s="3349">
        <f t="shared" si="246"/>
        <v>0</v>
      </c>
      <c r="CC56" s="4074">
        <f t="shared" si="200"/>
        <v>0</v>
      </c>
      <c r="CD56" s="4112"/>
      <c r="CE56" s="3349"/>
      <c r="CF56" s="3349"/>
      <c r="CG56" s="3349">
        <f t="shared" si="247"/>
        <v>0</v>
      </c>
      <c r="CH56" s="4074">
        <f t="shared" si="202"/>
        <v>0</v>
      </c>
      <c r="CI56" s="4112"/>
      <c r="CJ56" s="3349"/>
      <c r="CK56" s="3349"/>
      <c r="CL56" s="3349">
        <f t="shared" si="248"/>
        <v>0</v>
      </c>
      <c r="CM56" s="4074">
        <f t="shared" si="204"/>
        <v>0</v>
      </c>
      <c r="CN56" s="4112"/>
      <c r="CO56" s="3349"/>
      <c r="CP56" s="3349"/>
      <c r="CQ56" s="3349">
        <f t="shared" si="249"/>
        <v>0</v>
      </c>
      <c r="CR56" s="4074">
        <f t="shared" si="206"/>
        <v>0</v>
      </c>
      <c r="CS56" s="4112"/>
      <c r="CT56" s="3349"/>
      <c r="CU56" s="3349"/>
      <c r="CV56" s="3349">
        <f t="shared" si="250"/>
        <v>0</v>
      </c>
      <c r="CW56" s="4074">
        <f t="shared" si="208"/>
        <v>0</v>
      </c>
      <c r="CX56" s="4112"/>
      <c r="CY56" s="3349"/>
      <c r="CZ56" s="3349"/>
      <c r="DA56" s="3349">
        <f t="shared" si="251"/>
        <v>0</v>
      </c>
      <c r="DB56" s="4074">
        <f t="shared" si="210"/>
        <v>0</v>
      </c>
      <c r="DC56" s="4112"/>
      <c r="DD56" s="3349"/>
      <c r="DE56" s="3349"/>
      <c r="DF56" s="3349">
        <f t="shared" si="252"/>
        <v>0</v>
      </c>
      <c r="DG56" s="4074">
        <f t="shared" si="212"/>
        <v>0</v>
      </c>
      <c r="DH56" s="4112"/>
      <c r="DI56" s="3349"/>
      <c r="DJ56" s="3349"/>
      <c r="DK56" s="3349">
        <f t="shared" si="253"/>
        <v>0</v>
      </c>
      <c r="DL56" s="4074">
        <f t="shared" si="214"/>
        <v>0</v>
      </c>
      <c r="DM56" s="4112"/>
      <c r="DN56" s="3349"/>
      <c r="DO56" s="3349"/>
      <c r="DP56" s="3349">
        <f t="shared" si="254"/>
        <v>0</v>
      </c>
      <c r="DQ56" s="4074">
        <f t="shared" si="216"/>
        <v>0</v>
      </c>
      <c r="DR56" s="4112"/>
      <c r="DS56" s="3349"/>
      <c r="DT56" s="3349"/>
      <c r="DU56" s="3349">
        <f t="shared" si="255"/>
        <v>0</v>
      </c>
      <c r="DV56" s="4074">
        <f t="shared" si="218"/>
        <v>0</v>
      </c>
      <c r="DW56" s="4112"/>
      <c r="DX56" s="3341">
        <f t="shared" si="256"/>
        <v>0</v>
      </c>
      <c r="DY56" s="3341">
        <f t="shared" si="256"/>
        <v>0</v>
      </c>
      <c r="DZ56" s="2012">
        <f t="shared" si="257"/>
        <v>0</v>
      </c>
      <c r="EA56" s="4074">
        <f t="shared" si="224"/>
        <v>0</v>
      </c>
      <c r="EB56" s="4076"/>
      <c r="ED56" s="2012">
        <f t="shared" si="258"/>
        <v>0</v>
      </c>
      <c r="EE56" s="2012">
        <f t="shared" si="258"/>
        <v>0</v>
      </c>
      <c r="EF56" s="4188"/>
    </row>
    <row r="57" spans="1:138" ht="13.8" outlineLevel="2">
      <c r="A57" s="1571"/>
      <c r="B57" s="4098" t="s">
        <v>68</v>
      </c>
      <c r="C57" s="3341">
        <v>0</v>
      </c>
      <c r="D57" s="3341">
        <v>0</v>
      </c>
      <c r="E57" s="2012">
        <f t="shared" si="225"/>
        <v>0</v>
      </c>
      <c r="F57" s="4074">
        <f t="shared" si="220"/>
        <v>0</v>
      </c>
      <c r="G57" s="4076"/>
      <c r="H57" s="3349">
        <v>0</v>
      </c>
      <c r="I57" s="3349">
        <v>0</v>
      </c>
      <c r="J57" s="2012">
        <v>0</v>
      </c>
      <c r="K57" s="4074">
        <v>0</v>
      </c>
      <c r="L57" s="1434"/>
      <c r="M57" s="3349"/>
      <c r="N57" s="3349"/>
      <c r="O57" s="2012">
        <f t="shared" si="226"/>
        <v>0</v>
      </c>
      <c r="P57" s="4074">
        <f t="shared" si="221"/>
        <v>0</v>
      </c>
      <c r="Q57" s="4076"/>
      <c r="R57" s="3349"/>
      <c r="S57" s="3349"/>
      <c r="T57" s="2012">
        <f t="shared" si="227"/>
        <v>0</v>
      </c>
      <c r="U57" s="4074">
        <f t="shared" si="228"/>
        <v>0</v>
      </c>
      <c r="V57" s="4112"/>
      <c r="W57" s="3349"/>
      <c r="X57" s="3349"/>
      <c r="Y57" s="2012">
        <f t="shared" si="229"/>
        <v>0</v>
      </c>
      <c r="Z57" s="4074">
        <f t="shared" si="230"/>
        <v>0</v>
      </c>
      <c r="AA57" s="4112"/>
      <c r="AB57" s="3349"/>
      <c r="AC57" s="3349"/>
      <c r="AD57" s="2012">
        <f t="shared" si="231"/>
        <v>0</v>
      </c>
      <c r="AE57" s="4074" t="e">
        <f t="shared" si="232"/>
        <v>#DIV/0!</v>
      </c>
      <c r="AF57" s="4112"/>
      <c r="AG57" s="3349"/>
      <c r="AH57" s="3349"/>
      <c r="AI57" s="2012">
        <f t="shared" si="233"/>
        <v>0</v>
      </c>
      <c r="AJ57" s="4074" t="e">
        <f t="shared" si="234"/>
        <v>#DIV/0!</v>
      </c>
      <c r="AK57" s="4112"/>
      <c r="AL57" s="3349"/>
      <c r="AM57" s="3349"/>
      <c r="AN57" s="2012">
        <f t="shared" si="235"/>
        <v>0</v>
      </c>
      <c r="AO57" s="4074" t="e">
        <f t="shared" si="236"/>
        <v>#DIV/0!</v>
      </c>
      <c r="AP57" s="4112"/>
      <c r="AQ57" s="3349"/>
      <c r="AR57" s="3349"/>
      <c r="AS57" s="3349">
        <f t="shared" si="237"/>
        <v>0</v>
      </c>
      <c r="AT57" s="4074">
        <f t="shared" si="187"/>
        <v>0</v>
      </c>
      <c r="AU57" s="4112"/>
      <c r="AV57" s="3349"/>
      <c r="AW57" s="3349"/>
      <c r="AX57" s="3349">
        <f t="shared" si="238"/>
        <v>0</v>
      </c>
      <c r="AY57" s="4074">
        <f t="shared" si="188"/>
        <v>0</v>
      </c>
      <c r="AZ57" s="4112"/>
      <c r="BA57" s="3349"/>
      <c r="BB57" s="3349"/>
      <c r="BC57" s="3349">
        <f t="shared" si="239"/>
        <v>0</v>
      </c>
      <c r="BD57" s="4074">
        <f t="shared" si="190"/>
        <v>0</v>
      </c>
      <c r="BE57" s="4112"/>
      <c r="BF57" s="3342">
        <f t="shared" si="240"/>
        <v>0</v>
      </c>
      <c r="BG57" s="3342">
        <f t="shared" si="240"/>
        <v>0</v>
      </c>
      <c r="BH57" s="2012">
        <f t="shared" si="241"/>
        <v>0</v>
      </c>
      <c r="BI57" s="3462"/>
      <c r="BJ57" s="3462"/>
      <c r="BK57" s="3342">
        <f t="shared" si="242"/>
        <v>0</v>
      </c>
      <c r="BL57" s="3342">
        <f t="shared" si="242"/>
        <v>0</v>
      </c>
      <c r="BM57" s="2012">
        <f t="shared" si="243"/>
        <v>0</v>
      </c>
      <c r="BN57" s="3462"/>
      <c r="BO57" s="3462"/>
      <c r="BP57" s="3349"/>
      <c r="BQ57" s="3349"/>
      <c r="BR57" s="3349">
        <f t="shared" si="244"/>
        <v>0</v>
      </c>
      <c r="BS57" s="4074">
        <f t="shared" si="196"/>
        <v>0</v>
      </c>
      <c r="BT57" s="4112"/>
      <c r="BU57" s="3349"/>
      <c r="BV57" s="3349"/>
      <c r="BW57" s="3349">
        <f t="shared" si="245"/>
        <v>0</v>
      </c>
      <c r="BX57" s="4074">
        <f t="shared" si="198"/>
        <v>0</v>
      </c>
      <c r="BY57" s="4112"/>
      <c r="BZ57" s="3349"/>
      <c r="CA57" s="3349"/>
      <c r="CB57" s="3349">
        <f t="shared" si="246"/>
        <v>0</v>
      </c>
      <c r="CC57" s="4074">
        <f t="shared" si="200"/>
        <v>0</v>
      </c>
      <c r="CD57" s="4112"/>
      <c r="CE57" s="3349"/>
      <c r="CF57" s="3349"/>
      <c r="CG57" s="3349">
        <f t="shared" si="247"/>
        <v>0</v>
      </c>
      <c r="CH57" s="4074">
        <f t="shared" si="202"/>
        <v>0</v>
      </c>
      <c r="CI57" s="4112"/>
      <c r="CJ57" s="3349"/>
      <c r="CK57" s="3349"/>
      <c r="CL57" s="3349">
        <f t="shared" si="248"/>
        <v>0</v>
      </c>
      <c r="CM57" s="4074">
        <f t="shared" si="204"/>
        <v>0</v>
      </c>
      <c r="CN57" s="4112"/>
      <c r="CO57" s="3349"/>
      <c r="CP57" s="3349"/>
      <c r="CQ57" s="3349">
        <f t="shared" si="249"/>
        <v>0</v>
      </c>
      <c r="CR57" s="4074">
        <f t="shared" si="206"/>
        <v>0</v>
      </c>
      <c r="CS57" s="4112"/>
      <c r="CT57" s="3349"/>
      <c r="CU57" s="3349"/>
      <c r="CV57" s="3349">
        <f t="shared" si="250"/>
        <v>0</v>
      </c>
      <c r="CW57" s="4074">
        <f t="shared" si="208"/>
        <v>0</v>
      </c>
      <c r="CX57" s="4112"/>
      <c r="CY57" s="3349"/>
      <c r="CZ57" s="3349"/>
      <c r="DA57" s="3349">
        <f t="shared" si="251"/>
        <v>0</v>
      </c>
      <c r="DB57" s="4074">
        <f t="shared" si="210"/>
        <v>0</v>
      </c>
      <c r="DC57" s="4112"/>
      <c r="DD57" s="3349"/>
      <c r="DE57" s="3349"/>
      <c r="DF57" s="3349">
        <f t="shared" si="252"/>
        <v>0</v>
      </c>
      <c r="DG57" s="4074">
        <f t="shared" si="212"/>
        <v>0</v>
      </c>
      <c r="DH57" s="4112"/>
      <c r="DI57" s="3349"/>
      <c r="DJ57" s="3349"/>
      <c r="DK57" s="3349">
        <f t="shared" si="253"/>
        <v>0</v>
      </c>
      <c r="DL57" s="4074">
        <f t="shared" si="214"/>
        <v>0</v>
      </c>
      <c r="DM57" s="4112"/>
      <c r="DN57" s="3349"/>
      <c r="DO57" s="3349"/>
      <c r="DP57" s="3349">
        <f t="shared" si="254"/>
        <v>0</v>
      </c>
      <c r="DQ57" s="4074">
        <f t="shared" si="216"/>
        <v>0</v>
      </c>
      <c r="DR57" s="4112"/>
      <c r="DS57" s="3349"/>
      <c r="DT57" s="3349"/>
      <c r="DU57" s="3349">
        <f t="shared" si="255"/>
        <v>0</v>
      </c>
      <c r="DV57" s="4074">
        <f t="shared" si="218"/>
        <v>0</v>
      </c>
      <c r="DW57" s="4112"/>
      <c r="DX57" s="3341">
        <f t="shared" si="256"/>
        <v>0</v>
      </c>
      <c r="DY57" s="3341">
        <f t="shared" si="256"/>
        <v>0</v>
      </c>
      <c r="DZ57" s="2012">
        <f t="shared" si="257"/>
        <v>0</v>
      </c>
      <c r="EA57" s="4074">
        <f t="shared" si="224"/>
        <v>0</v>
      </c>
      <c r="EB57" s="4076"/>
      <c r="ED57" s="2012">
        <f t="shared" si="258"/>
        <v>0</v>
      </c>
      <c r="EE57" s="2012">
        <f t="shared" si="258"/>
        <v>0</v>
      </c>
      <c r="EF57" s="4188"/>
    </row>
    <row r="58" spans="1:138" ht="13.8" outlineLevel="2">
      <c r="A58" s="1571"/>
      <c r="B58" s="4098" t="s">
        <v>67</v>
      </c>
      <c r="C58" s="3341">
        <v>2173.5</v>
      </c>
      <c r="D58" s="3341">
        <v>0</v>
      </c>
      <c r="E58" s="2012">
        <f t="shared" si="225"/>
        <v>2173.5</v>
      </c>
      <c r="F58" s="4074">
        <f t="shared" si="220"/>
        <v>1.0041314017188434E-3</v>
      </c>
      <c r="G58" s="4076"/>
      <c r="H58" s="3349">
        <v>0</v>
      </c>
      <c r="I58" s="3349">
        <v>0</v>
      </c>
      <c r="J58" s="2012">
        <v>0</v>
      </c>
      <c r="K58" s="4074">
        <v>0</v>
      </c>
      <c r="L58" s="1434"/>
      <c r="M58" s="3349"/>
      <c r="N58" s="3349"/>
      <c r="O58" s="2012">
        <f t="shared" si="226"/>
        <v>0</v>
      </c>
      <c r="P58" s="4074">
        <f t="shared" si="221"/>
        <v>0</v>
      </c>
      <c r="Q58" s="4076"/>
      <c r="R58" s="3349"/>
      <c r="S58" s="3349"/>
      <c r="T58" s="2012">
        <f t="shared" si="227"/>
        <v>0</v>
      </c>
      <c r="U58" s="4074">
        <f t="shared" si="228"/>
        <v>0</v>
      </c>
      <c r="V58" s="4112"/>
      <c r="W58" s="3349"/>
      <c r="X58" s="3349"/>
      <c r="Y58" s="2012">
        <f t="shared" si="229"/>
        <v>0</v>
      </c>
      <c r="Z58" s="4074">
        <f t="shared" si="230"/>
        <v>0</v>
      </c>
      <c r="AA58" s="4112"/>
      <c r="AB58" s="3349"/>
      <c r="AC58" s="3349"/>
      <c r="AD58" s="2012">
        <f t="shared" si="231"/>
        <v>0</v>
      </c>
      <c r="AE58" s="4074" t="e">
        <f t="shared" si="232"/>
        <v>#DIV/0!</v>
      </c>
      <c r="AF58" s="4112"/>
      <c r="AG58" s="3349"/>
      <c r="AH58" s="3349"/>
      <c r="AI58" s="2012">
        <f t="shared" si="233"/>
        <v>0</v>
      </c>
      <c r="AJ58" s="4074" t="e">
        <f t="shared" si="234"/>
        <v>#DIV/0!</v>
      </c>
      <c r="AK58" s="4112"/>
      <c r="AL58" s="3349"/>
      <c r="AM58" s="3349"/>
      <c r="AN58" s="2012">
        <f t="shared" si="235"/>
        <v>0</v>
      </c>
      <c r="AO58" s="4074" t="e">
        <f t="shared" si="236"/>
        <v>#DIV/0!</v>
      </c>
      <c r="AP58" s="4112"/>
      <c r="AQ58" s="3349"/>
      <c r="AR58" s="3349"/>
      <c r="AS58" s="3349">
        <f t="shared" si="237"/>
        <v>0</v>
      </c>
      <c r="AT58" s="4074">
        <f t="shared" si="187"/>
        <v>0</v>
      </c>
      <c r="AU58" s="4112"/>
      <c r="AV58" s="3349"/>
      <c r="AW58" s="3349"/>
      <c r="AX58" s="3349">
        <f t="shared" si="238"/>
        <v>0</v>
      </c>
      <c r="AY58" s="4074">
        <f t="shared" si="188"/>
        <v>0</v>
      </c>
      <c r="AZ58" s="4112"/>
      <c r="BA58" s="3349"/>
      <c r="BB58" s="3349"/>
      <c r="BC58" s="3349">
        <f t="shared" si="239"/>
        <v>0</v>
      </c>
      <c r="BD58" s="4074">
        <f t="shared" si="190"/>
        <v>0</v>
      </c>
      <c r="BE58" s="4112"/>
      <c r="BF58" s="3342">
        <f t="shared" si="240"/>
        <v>0</v>
      </c>
      <c r="BG58" s="3342">
        <f t="shared" si="240"/>
        <v>0</v>
      </c>
      <c r="BH58" s="2012">
        <f t="shared" si="241"/>
        <v>0</v>
      </c>
      <c r="BI58" s="3462"/>
      <c r="BJ58" s="3462"/>
      <c r="BK58" s="3342">
        <f t="shared" si="242"/>
        <v>0</v>
      </c>
      <c r="BL58" s="3342">
        <f t="shared" si="242"/>
        <v>0</v>
      </c>
      <c r="BM58" s="2012">
        <f t="shared" si="243"/>
        <v>0</v>
      </c>
      <c r="BN58" s="3462"/>
      <c r="BO58" s="3462"/>
      <c r="BP58" s="3349"/>
      <c r="BQ58" s="3349"/>
      <c r="BR58" s="3349">
        <f t="shared" si="244"/>
        <v>0</v>
      </c>
      <c r="BS58" s="4074">
        <f t="shared" si="196"/>
        <v>0</v>
      </c>
      <c r="BT58" s="4112"/>
      <c r="BU58" s="3349"/>
      <c r="BV58" s="3349"/>
      <c r="BW58" s="3349">
        <f t="shared" si="245"/>
        <v>0</v>
      </c>
      <c r="BX58" s="4074">
        <f t="shared" si="198"/>
        <v>0</v>
      </c>
      <c r="BY58" s="4112"/>
      <c r="BZ58" s="3349"/>
      <c r="CA58" s="3349"/>
      <c r="CB58" s="3349">
        <f t="shared" si="246"/>
        <v>0</v>
      </c>
      <c r="CC58" s="4074">
        <f t="shared" si="200"/>
        <v>0</v>
      </c>
      <c r="CD58" s="4112"/>
      <c r="CE58" s="3349"/>
      <c r="CF58" s="3349"/>
      <c r="CG58" s="3349">
        <f t="shared" si="247"/>
        <v>0</v>
      </c>
      <c r="CH58" s="4074">
        <f t="shared" si="202"/>
        <v>0</v>
      </c>
      <c r="CI58" s="4112"/>
      <c r="CJ58" s="3349"/>
      <c r="CK58" s="3349"/>
      <c r="CL58" s="3349">
        <f t="shared" si="248"/>
        <v>0</v>
      </c>
      <c r="CM58" s="4074">
        <f t="shared" si="204"/>
        <v>0</v>
      </c>
      <c r="CN58" s="4112"/>
      <c r="CO58" s="3349"/>
      <c r="CP58" s="3349"/>
      <c r="CQ58" s="3349">
        <f t="shared" si="249"/>
        <v>0</v>
      </c>
      <c r="CR58" s="4074">
        <f t="shared" si="206"/>
        <v>0</v>
      </c>
      <c r="CS58" s="4112"/>
      <c r="CT58" s="3349"/>
      <c r="CU58" s="3349"/>
      <c r="CV58" s="3349">
        <f t="shared" si="250"/>
        <v>0</v>
      </c>
      <c r="CW58" s="4074">
        <f t="shared" si="208"/>
        <v>0</v>
      </c>
      <c r="CX58" s="4112"/>
      <c r="CY58" s="3349"/>
      <c r="CZ58" s="3349"/>
      <c r="DA58" s="3349">
        <f t="shared" si="251"/>
        <v>0</v>
      </c>
      <c r="DB58" s="4074">
        <f t="shared" si="210"/>
        <v>0</v>
      </c>
      <c r="DC58" s="4112"/>
      <c r="DD58" s="3349"/>
      <c r="DE58" s="3349"/>
      <c r="DF58" s="3349">
        <f t="shared" si="252"/>
        <v>0</v>
      </c>
      <c r="DG58" s="4074">
        <f t="shared" si="212"/>
        <v>0</v>
      </c>
      <c r="DH58" s="4112"/>
      <c r="DI58" s="3349"/>
      <c r="DJ58" s="3349"/>
      <c r="DK58" s="3349">
        <f t="shared" si="253"/>
        <v>0</v>
      </c>
      <c r="DL58" s="4074">
        <f t="shared" si="214"/>
        <v>0</v>
      </c>
      <c r="DM58" s="4112"/>
      <c r="DN58" s="3349"/>
      <c r="DO58" s="3349"/>
      <c r="DP58" s="3349">
        <f t="shared" si="254"/>
        <v>0</v>
      </c>
      <c r="DQ58" s="4074">
        <f t="shared" si="216"/>
        <v>0</v>
      </c>
      <c r="DR58" s="4112"/>
      <c r="DS58" s="3349"/>
      <c r="DT58" s="3349"/>
      <c r="DU58" s="3349">
        <f t="shared" si="255"/>
        <v>0</v>
      </c>
      <c r="DV58" s="4074">
        <f t="shared" si="218"/>
        <v>0</v>
      </c>
      <c r="DW58" s="4112"/>
      <c r="DX58" s="3341">
        <f t="shared" si="256"/>
        <v>0</v>
      </c>
      <c r="DY58" s="3341">
        <f t="shared" si="256"/>
        <v>0</v>
      </c>
      <c r="DZ58" s="2012">
        <f t="shared" si="257"/>
        <v>0</v>
      </c>
      <c r="EA58" s="4074">
        <f t="shared" si="224"/>
        <v>0</v>
      </c>
      <c r="EB58" s="4076"/>
      <c r="ED58" s="2012">
        <f t="shared" si="258"/>
        <v>0</v>
      </c>
      <c r="EE58" s="2012">
        <f t="shared" si="258"/>
        <v>0</v>
      </c>
      <c r="EF58" s="4188"/>
    </row>
    <row r="59" spans="1:138" ht="13.8" outlineLevel="2">
      <c r="A59" s="1571"/>
      <c r="B59" s="4098" t="s">
        <v>66</v>
      </c>
      <c r="C59" s="3341">
        <v>526.5</v>
      </c>
      <c r="D59" s="3341">
        <v>0</v>
      </c>
      <c r="E59" s="2012">
        <f t="shared" si="225"/>
        <v>526.5</v>
      </c>
      <c r="F59" s="4074">
        <f t="shared" si="220"/>
        <v>2.4323679917412976E-4</v>
      </c>
      <c r="G59" s="4076"/>
      <c r="H59" s="3349">
        <v>0</v>
      </c>
      <c r="I59" s="3349">
        <v>0</v>
      </c>
      <c r="J59" s="2012">
        <v>0</v>
      </c>
      <c r="K59" s="4074">
        <v>0</v>
      </c>
      <c r="L59" s="1434"/>
      <c r="M59" s="3349"/>
      <c r="N59" s="3349"/>
      <c r="O59" s="2012">
        <f t="shared" si="226"/>
        <v>0</v>
      </c>
      <c r="P59" s="4074">
        <f t="shared" si="221"/>
        <v>0</v>
      </c>
      <c r="Q59" s="4076"/>
      <c r="R59" s="3349"/>
      <c r="S59" s="3349"/>
      <c r="T59" s="2012">
        <f t="shared" si="227"/>
        <v>0</v>
      </c>
      <c r="U59" s="4074">
        <f t="shared" si="228"/>
        <v>0</v>
      </c>
      <c r="V59" s="4112"/>
      <c r="W59" s="3349"/>
      <c r="X59" s="3349"/>
      <c r="Y59" s="2012">
        <f t="shared" si="229"/>
        <v>0</v>
      </c>
      <c r="Z59" s="4074">
        <f t="shared" si="230"/>
        <v>0</v>
      </c>
      <c r="AA59" s="4112"/>
      <c r="AB59" s="3349"/>
      <c r="AC59" s="3349"/>
      <c r="AD59" s="2012">
        <f t="shared" si="231"/>
        <v>0</v>
      </c>
      <c r="AE59" s="4074" t="e">
        <f t="shared" si="232"/>
        <v>#DIV/0!</v>
      </c>
      <c r="AF59" s="4112"/>
      <c r="AG59" s="3349"/>
      <c r="AH59" s="3349"/>
      <c r="AI59" s="2012">
        <f t="shared" si="233"/>
        <v>0</v>
      </c>
      <c r="AJ59" s="4074" t="e">
        <f t="shared" si="234"/>
        <v>#DIV/0!</v>
      </c>
      <c r="AK59" s="4112"/>
      <c r="AL59" s="3349"/>
      <c r="AM59" s="3349"/>
      <c r="AN59" s="2012">
        <f t="shared" si="235"/>
        <v>0</v>
      </c>
      <c r="AO59" s="4074" t="e">
        <f t="shared" si="236"/>
        <v>#DIV/0!</v>
      </c>
      <c r="AP59" s="4112"/>
      <c r="AQ59" s="3349"/>
      <c r="AR59" s="3349"/>
      <c r="AS59" s="3349">
        <f t="shared" si="237"/>
        <v>0</v>
      </c>
      <c r="AT59" s="4074">
        <f t="shared" si="187"/>
        <v>0</v>
      </c>
      <c r="AU59" s="4112"/>
      <c r="AV59" s="3349"/>
      <c r="AW59" s="3349"/>
      <c r="AX59" s="3349">
        <f t="shared" si="238"/>
        <v>0</v>
      </c>
      <c r="AY59" s="4074">
        <f t="shared" si="188"/>
        <v>0</v>
      </c>
      <c r="AZ59" s="4112"/>
      <c r="BA59" s="3349"/>
      <c r="BB59" s="3349"/>
      <c r="BC59" s="3349">
        <f t="shared" si="239"/>
        <v>0</v>
      </c>
      <c r="BD59" s="4074">
        <f t="shared" si="190"/>
        <v>0</v>
      </c>
      <c r="BE59" s="4112"/>
      <c r="BF59" s="3342">
        <f t="shared" si="240"/>
        <v>0</v>
      </c>
      <c r="BG59" s="3342">
        <f t="shared" si="240"/>
        <v>0</v>
      </c>
      <c r="BH59" s="2012">
        <f t="shared" si="241"/>
        <v>0</v>
      </c>
      <c r="BI59" s="3462"/>
      <c r="BJ59" s="3462"/>
      <c r="BK59" s="3342">
        <f t="shared" si="242"/>
        <v>0</v>
      </c>
      <c r="BL59" s="3342">
        <f t="shared" si="242"/>
        <v>0</v>
      </c>
      <c r="BM59" s="2012">
        <f t="shared" si="243"/>
        <v>0</v>
      </c>
      <c r="BN59" s="3462"/>
      <c r="BO59" s="3462"/>
      <c r="BP59" s="3349"/>
      <c r="BQ59" s="3349"/>
      <c r="BR59" s="3349">
        <f t="shared" si="244"/>
        <v>0</v>
      </c>
      <c r="BS59" s="4074">
        <f t="shared" si="196"/>
        <v>0</v>
      </c>
      <c r="BT59" s="4112"/>
      <c r="BU59" s="3349"/>
      <c r="BV59" s="3349"/>
      <c r="BW59" s="3349">
        <f t="shared" si="245"/>
        <v>0</v>
      </c>
      <c r="BX59" s="4074">
        <f t="shared" si="198"/>
        <v>0</v>
      </c>
      <c r="BY59" s="4112"/>
      <c r="BZ59" s="3349"/>
      <c r="CA59" s="3349"/>
      <c r="CB59" s="3349">
        <f t="shared" si="246"/>
        <v>0</v>
      </c>
      <c r="CC59" s="4074">
        <f t="shared" si="200"/>
        <v>0</v>
      </c>
      <c r="CD59" s="4112"/>
      <c r="CE59" s="3349"/>
      <c r="CF59" s="3349"/>
      <c r="CG59" s="3349">
        <f t="shared" si="247"/>
        <v>0</v>
      </c>
      <c r="CH59" s="4074">
        <f t="shared" si="202"/>
        <v>0</v>
      </c>
      <c r="CI59" s="4112"/>
      <c r="CJ59" s="3349"/>
      <c r="CK59" s="3349"/>
      <c r="CL59" s="3349">
        <f t="shared" si="248"/>
        <v>0</v>
      </c>
      <c r="CM59" s="4074">
        <f t="shared" si="204"/>
        <v>0</v>
      </c>
      <c r="CN59" s="4112"/>
      <c r="CO59" s="3349"/>
      <c r="CP59" s="3349"/>
      <c r="CQ59" s="3349">
        <f t="shared" si="249"/>
        <v>0</v>
      </c>
      <c r="CR59" s="4074">
        <f t="shared" si="206"/>
        <v>0</v>
      </c>
      <c r="CS59" s="4112"/>
      <c r="CT59" s="3349"/>
      <c r="CU59" s="3349"/>
      <c r="CV59" s="3349">
        <f t="shared" si="250"/>
        <v>0</v>
      </c>
      <c r="CW59" s="4074">
        <f t="shared" si="208"/>
        <v>0</v>
      </c>
      <c r="CX59" s="4112"/>
      <c r="CY59" s="3349"/>
      <c r="CZ59" s="3349"/>
      <c r="DA59" s="3349">
        <f t="shared" si="251"/>
        <v>0</v>
      </c>
      <c r="DB59" s="4074">
        <f t="shared" si="210"/>
        <v>0</v>
      </c>
      <c r="DC59" s="4112"/>
      <c r="DD59" s="3349"/>
      <c r="DE59" s="3349"/>
      <c r="DF59" s="3349">
        <f t="shared" si="252"/>
        <v>0</v>
      </c>
      <c r="DG59" s="4074">
        <f t="shared" si="212"/>
        <v>0</v>
      </c>
      <c r="DH59" s="4112"/>
      <c r="DI59" s="3349"/>
      <c r="DJ59" s="3349"/>
      <c r="DK59" s="3349">
        <f t="shared" si="253"/>
        <v>0</v>
      </c>
      <c r="DL59" s="4074">
        <f t="shared" si="214"/>
        <v>0</v>
      </c>
      <c r="DM59" s="4112"/>
      <c r="DN59" s="3349"/>
      <c r="DO59" s="3349"/>
      <c r="DP59" s="3349">
        <f t="shared" si="254"/>
        <v>0</v>
      </c>
      <c r="DQ59" s="4074">
        <f t="shared" si="216"/>
        <v>0</v>
      </c>
      <c r="DR59" s="4112"/>
      <c r="DS59" s="3349"/>
      <c r="DT59" s="3349"/>
      <c r="DU59" s="3349">
        <f t="shared" si="255"/>
        <v>0</v>
      </c>
      <c r="DV59" s="4074">
        <f t="shared" si="218"/>
        <v>0</v>
      </c>
      <c r="DW59" s="4112"/>
      <c r="DX59" s="3341">
        <f t="shared" si="256"/>
        <v>0</v>
      </c>
      <c r="DY59" s="3341">
        <f t="shared" si="256"/>
        <v>0</v>
      </c>
      <c r="DZ59" s="2012">
        <f t="shared" si="257"/>
        <v>0</v>
      </c>
      <c r="EA59" s="4074">
        <f t="shared" si="224"/>
        <v>0</v>
      </c>
      <c r="EB59" s="4076"/>
      <c r="ED59" s="2012">
        <f t="shared" si="258"/>
        <v>0</v>
      </c>
      <c r="EE59" s="2012">
        <f t="shared" si="258"/>
        <v>0</v>
      </c>
      <c r="EF59" s="4188"/>
    </row>
    <row r="60" spans="1:138" ht="13.8" outlineLevel="2">
      <c r="A60" s="1571"/>
      <c r="B60" s="4098" t="s">
        <v>65</v>
      </c>
      <c r="C60" s="3341">
        <v>594</v>
      </c>
      <c r="D60" s="3341">
        <v>0</v>
      </c>
      <c r="E60" s="2012">
        <f t="shared" si="225"/>
        <v>594</v>
      </c>
      <c r="F60" s="4074">
        <f t="shared" si="220"/>
        <v>2.7442100419645406E-4</v>
      </c>
      <c r="G60" s="4076"/>
      <c r="H60" s="3349">
        <v>0</v>
      </c>
      <c r="I60" s="3349">
        <v>0</v>
      </c>
      <c r="J60" s="2012">
        <v>0</v>
      </c>
      <c r="K60" s="4074">
        <v>0</v>
      </c>
      <c r="L60" s="1434"/>
      <c r="M60" s="3349"/>
      <c r="N60" s="3349"/>
      <c r="O60" s="2012">
        <f t="shared" si="226"/>
        <v>0</v>
      </c>
      <c r="P60" s="4074">
        <f t="shared" si="221"/>
        <v>0</v>
      </c>
      <c r="Q60" s="4076"/>
      <c r="R60" s="3349"/>
      <c r="S60" s="3349"/>
      <c r="T60" s="2012">
        <f t="shared" si="227"/>
        <v>0</v>
      </c>
      <c r="U60" s="4074">
        <f t="shared" si="228"/>
        <v>0</v>
      </c>
      <c r="V60" s="4112"/>
      <c r="W60" s="3349"/>
      <c r="X60" s="3349"/>
      <c r="Y60" s="2012">
        <f t="shared" si="229"/>
        <v>0</v>
      </c>
      <c r="Z60" s="4074">
        <f t="shared" si="230"/>
        <v>0</v>
      </c>
      <c r="AA60" s="4112"/>
      <c r="AB60" s="3349"/>
      <c r="AC60" s="3349"/>
      <c r="AD60" s="2012">
        <f t="shared" si="231"/>
        <v>0</v>
      </c>
      <c r="AE60" s="4074" t="e">
        <f t="shared" si="232"/>
        <v>#DIV/0!</v>
      </c>
      <c r="AF60" s="4112"/>
      <c r="AG60" s="3349"/>
      <c r="AH60" s="3349"/>
      <c r="AI60" s="2012">
        <f t="shared" si="233"/>
        <v>0</v>
      </c>
      <c r="AJ60" s="4074" t="e">
        <f t="shared" si="234"/>
        <v>#DIV/0!</v>
      </c>
      <c r="AK60" s="4112"/>
      <c r="AL60" s="3349"/>
      <c r="AM60" s="3349"/>
      <c r="AN60" s="2012">
        <f t="shared" si="235"/>
        <v>0</v>
      </c>
      <c r="AO60" s="4074" t="e">
        <f t="shared" si="236"/>
        <v>#DIV/0!</v>
      </c>
      <c r="AP60" s="4112"/>
      <c r="AQ60" s="3349"/>
      <c r="AR60" s="3349"/>
      <c r="AS60" s="3349">
        <f t="shared" si="237"/>
        <v>0</v>
      </c>
      <c r="AT60" s="4074">
        <f t="shared" si="187"/>
        <v>0</v>
      </c>
      <c r="AU60" s="4112"/>
      <c r="AV60" s="3349"/>
      <c r="AW60" s="3349"/>
      <c r="AX60" s="3349">
        <f t="shared" si="238"/>
        <v>0</v>
      </c>
      <c r="AY60" s="4074">
        <f t="shared" si="188"/>
        <v>0</v>
      </c>
      <c r="AZ60" s="4112"/>
      <c r="BA60" s="3349"/>
      <c r="BB60" s="3349"/>
      <c r="BC60" s="3349">
        <f t="shared" si="239"/>
        <v>0</v>
      </c>
      <c r="BD60" s="4074">
        <f t="shared" si="190"/>
        <v>0</v>
      </c>
      <c r="BE60" s="4112"/>
      <c r="BF60" s="3342">
        <f t="shared" si="240"/>
        <v>0</v>
      </c>
      <c r="BG60" s="3342">
        <f t="shared" si="240"/>
        <v>0</v>
      </c>
      <c r="BH60" s="2012">
        <f t="shared" si="241"/>
        <v>0</v>
      </c>
      <c r="BI60" s="3462"/>
      <c r="BJ60" s="3462"/>
      <c r="BK60" s="3342">
        <f t="shared" si="242"/>
        <v>0</v>
      </c>
      <c r="BL60" s="3342">
        <f t="shared" si="242"/>
        <v>0</v>
      </c>
      <c r="BM60" s="2012">
        <f t="shared" si="243"/>
        <v>0</v>
      </c>
      <c r="BN60" s="3462"/>
      <c r="BO60" s="3462"/>
      <c r="BP60" s="3349"/>
      <c r="BQ60" s="3349"/>
      <c r="BR60" s="3349">
        <f t="shared" si="244"/>
        <v>0</v>
      </c>
      <c r="BS60" s="4074">
        <f t="shared" si="196"/>
        <v>0</v>
      </c>
      <c r="BT60" s="4112"/>
      <c r="BU60" s="3349"/>
      <c r="BV60" s="3349"/>
      <c r="BW60" s="3349">
        <f t="shared" si="245"/>
        <v>0</v>
      </c>
      <c r="BX60" s="4074">
        <f t="shared" si="198"/>
        <v>0</v>
      </c>
      <c r="BY60" s="4112"/>
      <c r="BZ60" s="3349"/>
      <c r="CA60" s="3349"/>
      <c r="CB60" s="3349">
        <f t="shared" si="246"/>
        <v>0</v>
      </c>
      <c r="CC60" s="4074">
        <f t="shared" si="200"/>
        <v>0</v>
      </c>
      <c r="CD60" s="4112"/>
      <c r="CE60" s="3349"/>
      <c r="CF60" s="3349"/>
      <c r="CG60" s="3349">
        <f t="shared" si="247"/>
        <v>0</v>
      </c>
      <c r="CH60" s="4074">
        <f t="shared" si="202"/>
        <v>0</v>
      </c>
      <c r="CI60" s="4112"/>
      <c r="CJ60" s="3349"/>
      <c r="CK60" s="3349"/>
      <c r="CL60" s="3349">
        <f t="shared" si="248"/>
        <v>0</v>
      </c>
      <c r="CM60" s="4074">
        <f t="shared" si="204"/>
        <v>0</v>
      </c>
      <c r="CN60" s="4112"/>
      <c r="CO60" s="3349"/>
      <c r="CP60" s="3349"/>
      <c r="CQ60" s="3349">
        <f t="shared" si="249"/>
        <v>0</v>
      </c>
      <c r="CR60" s="4074">
        <f t="shared" si="206"/>
        <v>0</v>
      </c>
      <c r="CS60" s="4112"/>
      <c r="CT60" s="3349"/>
      <c r="CU60" s="3349"/>
      <c r="CV60" s="3349">
        <f t="shared" si="250"/>
        <v>0</v>
      </c>
      <c r="CW60" s="4074">
        <f t="shared" si="208"/>
        <v>0</v>
      </c>
      <c r="CX60" s="4112"/>
      <c r="CY60" s="3349"/>
      <c r="CZ60" s="3349"/>
      <c r="DA60" s="3349">
        <f t="shared" si="251"/>
        <v>0</v>
      </c>
      <c r="DB60" s="4074">
        <f t="shared" si="210"/>
        <v>0</v>
      </c>
      <c r="DC60" s="4112"/>
      <c r="DD60" s="3349"/>
      <c r="DE60" s="3349"/>
      <c r="DF60" s="3349">
        <f t="shared" si="252"/>
        <v>0</v>
      </c>
      <c r="DG60" s="4074">
        <f t="shared" si="212"/>
        <v>0</v>
      </c>
      <c r="DH60" s="4112"/>
      <c r="DI60" s="3349"/>
      <c r="DJ60" s="3349"/>
      <c r="DK60" s="3349">
        <f t="shared" si="253"/>
        <v>0</v>
      </c>
      <c r="DL60" s="4074">
        <f t="shared" si="214"/>
        <v>0</v>
      </c>
      <c r="DM60" s="4112"/>
      <c r="DN60" s="3349"/>
      <c r="DO60" s="3349"/>
      <c r="DP60" s="3349">
        <f t="shared" si="254"/>
        <v>0</v>
      </c>
      <c r="DQ60" s="4074">
        <f t="shared" si="216"/>
        <v>0</v>
      </c>
      <c r="DR60" s="4112"/>
      <c r="DS60" s="3349"/>
      <c r="DT60" s="3349"/>
      <c r="DU60" s="3349">
        <f t="shared" si="255"/>
        <v>0</v>
      </c>
      <c r="DV60" s="4074">
        <f t="shared" si="218"/>
        <v>0</v>
      </c>
      <c r="DW60" s="4112"/>
      <c r="DX60" s="3341">
        <f t="shared" si="256"/>
        <v>0</v>
      </c>
      <c r="DY60" s="3341">
        <f t="shared" si="256"/>
        <v>0</v>
      </c>
      <c r="DZ60" s="2012">
        <f t="shared" si="257"/>
        <v>0</v>
      </c>
      <c r="EA60" s="4074">
        <f t="shared" si="224"/>
        <v>0</v>
      </c>
      <c r="EB60" s="4076"/>
      <c r="ED60" s="2012">
        <f t="shared" si="258"/>
        <v>0</v>
      </c>
      <c r="EE60" s="2012">
        <f t="shared" si="258"/>
        <v>0</v>
      </c>
      <c r="EF60" s="4188"/>
    </row>
    <row r="61" spans="1:138" ht="13.8" outlineLevel="2">
      <c r="A61" s="1571"/>
      <c r="B61" s="4098" t="s">
        <v>32</v>
      </c>
      <c r="C61" s="3341">
        <v>0</v>
      </c>
      <c r="D61" s="3341">
        <v>0</v>
      </c>
      <c r="E61" s="2012">
        <f t="shared" si="225"/>
        <v>0</v>
      </c>
      <c r="F61" s="4074">
        <f t="shared" si="220"/>
        <v>0</v>
      </c>
      <c r="G61" s="4076"/>
      <c r="H61" s="3349">
        <v>0</v>
      </c>
      <c r="I61" s="3349">
        <v>0</v>
      </c>
      <c r="J61" s="2012">
        <v>0</v>
      </c>
      <c r="K61" s="4074">
        <v>0</v>
      </c>
      <c r="L61" s="1434"/>
      <c r="M61" s="3349"/>
      <c r="N61" s="3349"/>
      <c r="O61" s="2012">
        <f t="shared" si="226"/>
        <v>0</v>
      </c>
      <c r="P61" s="4074">
        <f t="shared" si="221"/>
        <v>0</v>
      </c>
      <c r="Q61" s="4076"/>
      <c r="R61" s="3349"/>
      <c r="S61" s="3349"/>
      <c r="T61" s="2012">
        <f t="shared" si="227"/>
        <v>0</v>
      </c>
      <c r="U61" s="4074">
        <f t="shared" si="228"/>
        <v>0</v>
      </c>
      <c r="V61" s="4112"/>
      <c r="W61" s="3349"/>
      <c r="X61" s="3349"/>
      <c r="Y61" s="2012">
        <f t="shared" si="229"/>
        <v>0</v>
      </c>
      <c r="Z61" s="4074">
        <f t="shared" si="230"/>
        <v>0</v>
      </c>
      <c r="AA61" s="4112"/>
      <c r="AB61" s="3349"/>
      <c r="AC61" s="3349"/>
      <c r="AD61" s="2012">
        <f t="shared" si="231"/>
        <v>0</v>
      </c>
      <c r="AE61" s="4074" t="e">
        <f t="shared" si="232"/>
        <v>#DIV/0!</v>
      </c>
      <c r="AF61" s="4112"/>
      <c r="AG61" s="3349"/>
      <c r="AH61" s="3349"/>
      <c r="AI61" s="2012">
        <f t="shared" si="233"/>
        <v>0</v>
      </c>
      <c r="AJ61" s="4074" t="e">
        <f t="shared" si="234"/>
        <v>#DIV/0!</v>
      </c>
      <c r="AK61" s="4112"/>
      <c r="AL61" s="3349"/>
      <c r="AM61" s="3349"/>
      <c r="AN61" s="2012">
        <f t="shared" si="235"/>
        <v>0</v>
      </c>
      <c r="AO61" s="4074" t="e">
        <f t="shared" si="236"/>
        <v>#DIV/0!</v>
      </c>
      <c r="AP61" s="4112"/>
      <c r="AQ61" s="3349"/>
      <c r="AR61" s="3349"/>
      <c r="AS61" s="3349">
        <f t="shared" si="237"/>
        <v>0</v>
      </c>
      <c r="AT61" s="4074">
        <f t="shared" si="187"/>
        <v>0</v>
      </c>
      <c r="AU61" s="4112"/>
      <c r="AV61" s="3349"/>
      <c r="AW61" s="3349"/>
      <c r="AX61" s="3349">
        <f t="shared" si="238"/>
        <v>0</v>
      </c>
      <c r="AY61" s="4074">
        <f t="shared" si="188"/>
        <v>0</v>
      </c>
      <c r="AZ61" s="4112"/>
      <c r="BA61" s="3349"/>
      <c r="BB61" s="3349"/>
      <c r="BC61" s="3349">
        <f t="shared" si="239"/>
        <v>0</v>
      </c>
      <c r="BD61" s="4074">
        <f t="shared" si="190"/>
        <v>0</v>
      </c>
      <c r="BE61" s="4112"/>
      <c r="BF61" s="3342">
        <f t="shared" si="240"/>
        <v>0</v>
      </c>
      <c r="BG61" s="3342">
        <f t="shared" si="240"/>
        <v>0</v>
      </c>
      <c r="BH61" s="2012">
        <f t="shared" si="241"/>
        <v>0</v>
      </c>
      <c r="BI61" s="3462"/>
      <c r="BJ61" s="3462"/>
      <c r="BK61" s="3342">
        <f t="shared" si="242"/>
        <v>0</v>
      </c>
      <c r="BL61" s="3342">
        <f t="shared" si="242"/>
        <v>0</v>
      </c>
      <c r="BM61" s="2012">
        <f t="shared" si="243"/>
        <v>0</v>
      </c>
      <c r="BN61" s="3462"/>
      <c r="BO61" s="3462"/>
      <c r="BP61" s="3349"/>
      <c r="BQ61" s="3349"/>
      <c r="BR61" s="3349">
        <f t="shared" si="244"/>
        <v>0</v>
      </c>
      <c r="BS61" s="4074">
        <f t="shared" si="196"/>
        <v>0</v>
      </c>
      <c r="BT61" s="4112"/>
      <c r="BU61" s="3349"/>
      <c r="BV61" s="3349"/>
      <c r="BW61" s="3349">
        <f t="shared" si="245"/>
        <v>0</v>
      </c>
      <c r="BX61" s="4074">
        <f t="shared" si="198"/>
        <v>0</v>
      </c>
      <c r="BY61" s="4112"/>
      <c r="BZ61" s="3349"/>
      <c r="CA61" s="3349"/>
      <c r="CB61" s="3349">
        <f t="shared" si="246"/>
        <v>0</v>
      </c>
      <c r="CC61" s="4074">
        <f t="shared" si="200"/>
        <v>0</v>
      </c>
      <c r="CD61" s="4112"/>
      <c r="CE61" s="3349"/>
      <c r="CF61" s="3349"/>
      <c r="CG61" s="3349">
        <f t="shared" si="247"/>
        <v>0</v>
      </c>
      <c r="CH61" s="4074">
        <f t="shared" si="202"/>
        <v>0</v>
      </c>
      <c r="CI61" s="4112"/>
      <c r="CJ61" s="3349"/>
      <c r="CK61" s="3349"/>
      <c r="CL61" s="3349">
        <f t="shared" si="248"/>
        <v>0</v>
      </c>
      <c r="CM61" s="4074">
        <f t="shared" si="204"/>
        <v>0</v>
      </c>
      <c r="CN61" s="4112"/>
      <c r="CO61" s="3349"/>
      <c r="CP61" s="3349"/>
      <c r="CQ61" s="3349">
        <f t="shared" si="249"/>
        <v>0</v>
      </c>
      <c r="CR61" s="4074">
        <f t="shared" si="206"/>
        <v>0</v>
      </c>
      <c r="CS61" s="4112"/>
      <c r="CT61" s="3349"/>
      <c r="CU61" s="3349"/>
      <c r="CV61" s="3349">
        <f t="shared" si="250"/>
        <v>0</v>
      </c>
      <c r="CW61" s="4074">
        <f t="shared" si="208"/>
        <v>0</v>
      </c>
      <c r="CX61" s="4112"/>
      <c r="CY61" s="3349"/>
      <c r="CZ61" s="3349"/>
      <c r="DA61" s="3349">
        <f t="shared" si="251"/>
        <v>0</v>
      </c>
      <c r="DB61" s="4074">
        <f t="shared" si="210"/>
        <v>0</v>
      </c>
      <c r="DC61" s="4112"/>
      <c r="DD61" s="3349"/>
      <c r="DE61" s="3349"/>
      <c r="DF61" s="3349">
        <f t="shared" si="252"/>
        <v>0</v>
      </c>
      <c r="DG61" s="4074">
        <f t="shared" si="212"/>
        <v>0</v>
      </c>
      <c r="DH61" s="4112"/>
      <c r="DI61" s="3349"/>
      <c r="DJ61" s="3349"/>
      <c r="DK61" s="3349">
        <f t="shared" si="253"/>
        <v>0</v>
      </c>
      <c r="DL61" s="4074">
        <f t="shared" si="214"/>
        <v>0</v>
      </c>
      <c r="DM61" s="4112"/>
      <c r="DN61" s="3349"/>
      <c r="DO61" s="3349"/>
      <c r="DP61" s="3349">
        <f t="shared" si="254"/>
        <v>0</v>
      </c>
      <c r="DQ61" s="4074">
        <f t="shared" si="216"/>
        <v>0</v>
      </c>
      <c r="DR61" s="4112"/>
      <c r="DS61" s="3349"/>
      <c r="DT61" s="3349"/>
      <c r="DU61" s="3349">
        <f t="shared" si="255"/>
        <v>0</v>
      </c>
      <c r="DV61" s="4074">
        <f t="shared" si="218"/>
        <v>0</v>
      </c>
      <c r="DW61" s="4112"/>
      <c r="DX61" s="3341">
        <f t="shared" si="256"/>
        <v>0</v>
      </c>
      <c r="DY61" s="3341">
        <f t="shared" si="256"/>
        <v>0</v>
      </c>
      <c r="DZ61" s="2012">
        <f t="shared" si="257"/>
        <v>0</v>
      </c>
      <c r="EA61" s="4074">
        <f t="shared" si="224"/>
        <v>0</v>
      </c>
      <c r="EB61" s="4076"/>
      <c r="ED61" s="2012">
        <f t="shared" si="258"/>
        <v>0</v>
      </c>
      <c r="EE61" s="2012">
        <f t="shared" si="258"/>
        <v>0</v>
      </c>
      <c r="EF61" s="4188"/>
    </row>
    <row r="62" spans="1:138" ht="13.8" outlineLevel="2">
      <c r="A62" s="1571"/>
      <c r="B62" s="4098" t="s">
        <v>33</v>
      </c>
      <c r="C62" s="3341">
        <v>0</v>
      </c>
      <c r="D62" s="3341">
        <v>0</v>
      </c>
      <c r="E62" s="2012">
        <f t="shared" si="225"/>
        <v>0</v>
      </c>
      <c r="F62" s="4074">
        <f t="shared" si="220"/>
        <v>0</v>
      </c>
      <c r="G62" s="4076"/>
      <c r="H62" s="3349">
        <v>0</v>
      </c>
      <c r="I62" s="3349">
        <v>0</v>
      </c>
      <c r="J62" s="2012">
        <v>0</v>
      </c>
      <c r="K62" s="4074">
        <v>0</v>
      </c>
      <c r="L62" s="1434"/>
      <c r="M62" s="3349"/>
      <c r="N62" s="3349"/>
      <c r="O62" s="2012">
        <f t="shared" si="226"/>
        <v>0</v>
      </c>
      <c r="P62" s="4074">
        <f t="shared" si="221"/>
        <v>0</v>
      </c>
      <c r="Q62" s="4076"/>
      <c r="R62" s="3349"/>
      <c r="S62" s="3349"/>
      <c r="T62" s="2012">
        <f t="shared" si="227"/>
        <v>0</v>
      </c>
      <c r="U62" s="4074">
        <f t="shared" si="228"/>
        <v>0</v>
      </c>
      <c r="V62" s="4112"/>
      <c r="W62" s="3349"/>
      <c r="X62" s="3349"/>
      <c r="Y62" s="2012">
        <f t="shared" si="229"/>
        <v>0</v>
      </c>
      <c r="Z62" s="4074">
        <f t="shared" si="230"/>
        <v>0</v>
      </c>
      <c r="AA62" s="4112"/>
      <c r="AB62" s="3349"/>
      <c r="AC62" s="3349"/>
      <c r="AD62" s="2012">
        <f t="shared" si="231"/>
        <v>0</v>
      </c>
      <c r="AE62" s="4074" t="e">
        <f t="shared" si="232"/>
        <v>#DIV/0!</v>
      </c>
      <c r="AF62" s="4112"/>
      <c r="AG62" s="3349"/>
      <c r="AH62" s="3349"/>
      <c r="AI62" s="2012">
        <f t="shared" si="233"/>
        <v>0</v>
      </c>
      <c r="AJ62" s="4074" t="e">
        <f t="shared" si="234"/>
        <v>#DIV/0!</v>
      </c>
      <c r="AK62" s="4112"/>
      <c r="AL62" s="3349"/>
      <c r="AM62" s="3349"/>
      <c r="AN62" s="2012">
        <f t="shared" si="235"/>
        <v>0</v>
      </c>
      <c r="AO62" s="4074" t="e">
        <f t="shared" si="236"/>
        <v>#DIV/0!</v>
      </c>
      <c r="AP62" s="4112"/>
      <c r="AQ62" s="3349"/>
      <c r="AR62" s="3349"/>
      <c r="AS62" s="3349">
        <f t="shared" si="237"/>
        <v>0</v>
      </c>
      <c r="AT62" s="4074">
        <f t="shared" si="187"/>
        <v>0</v>
      </c>
      <c r="AU62" s="4112"/>
      <c r="AV62" s="3349"/>
      <c r="AW62" s="3349"/>
      <c r="AX62" s="3349">
        <f t="shared" si="238"/>
        <v>0</v>
      </c>
      <c r="AY62" s="4074">
        <f t="shared" si="188"/>
        <v>0</v>
      </c>
      <c r="AZ62" s="4112"/>
      <c r="BA62" s="3349"/>
      <c r="BB62" s="3349"/>
      <c r="BC62" s="3349">
        <f t="shared" si="239"/>
        <v>0</v>
      </c>
      <c r="BD62" s="4074">
        <f t="shared" si="190"/>
        <v>0</v>
      </c>
      <c r="BE62" s="4112"/>
      <c r="BF62" s="3342">
        <f t="shared" si="240"/>
        <v>0</v>
      </c>
      <c r="BG62" s="3342">
        <f t="shared" si="240"/>
        <v>0</v>
      </c>
      <c r="BH62" s="2012">
        <f t="shared" si="241"/>
        <v>0</v>
      </c>
      <c r="BI62" s="3462"/>
      <c r="BJ62" s="3462"/>
      <c r="BK62" s="3342">
        <f t="shared" si="242"/>
        <v>0</v>
      </c>
      <c r="BL62" s="3342">
        <f t="shared" si="242"/>
        <v>0</v>
      </c>
      <c r="BM62" s="2012">
        <f t="shared" si="243"/>
        <v>0</v>
      </c>
      <c r="BN62" s="3462"/>
      <c r="BO62" s="3462"/>
      <c r="BP62" s="3349"/>
      <c r="BQ62" s="3349"/>
      <c r="BR62" s="3349">
        <f t="shared" si="244"/>
        <v>0</v>
      </c>
      <c r="BS62" s="4074">
        <f t="shared" si="196"/>
        <v>0</v>
      </c>
      <c r="BT62" s="4112"/>
      <c r="BU62" s="3349"/>
      <c r="BV62" s="3349"/>
      <c r="BW62" s="3349">
        <f t="shared" si="245"/>
        <v>0</v>
      </c>
      <c r="BX62" s="4074">
        <f t="shared" si="198"/>
        <v>0</v>
      </c>
      <c r="BY62" s="4112"/>
      <c r="BZ62" s="3349"/>
      <c r="CA62" s="3349"/>
      <c r="CB62" s="3349">
        <f t="shared" si="246"/>
        <v>0</v>
      </c>
      <c r="CC62" s="4074">
        <f t="shared" si="200"/>
        <v>0</v>
      </c>
      <c r="CD62" s="4112"/>
      <c r="CE62" s="3349"/>
      <c r="CF62" s="3349"/>
      <c r="CG62" s="3349">
        <f t="shared" si="247"/>
        <v>0</v>
      </c>
      <c r="CH62" s="4074">
        <f t="shared" si="202"/>
        <v>0</v>
      </c>
      <c r="CI62" s="4112"/>
      <c r="CJ62" s="3349"/>
      <c r="CK62" s="3349"/>
      <c r="CL62" s="3349">
        <f t="shared" si="248"/>
        <v>0</v>
      </c>
      <c r="CM62" s="4074">
        <f t="shared" si="204"/>
        <v>0</v>
      </c>
      <c r="CN62" s="4112"/>
      <c r="CO62" s="3349"/>
      <c r="CP62" s="3349"/>
      <c r="CQ62" s="3349">
        <f t="shared" si="249"/>
        <v>0</v>
      </c>
      <c r="CR62" s="4074">
        <f t="shared" si="206"/>
        <v>0</v>
      </c>
      <c r="CS62" s="4112"/>
      <c r="CT62" s="3349"/>
      <c r="CU62" s="3349"/>
      <c r="CV62" s="3349">
        <f t="shared" si="250"/>
        <v>0</v>
      </c>
      <c r="CW62" s="4074">
        <f t="shared" si="208"/>
        <v>0</v>
      </c>
      <c r="CX62" s="4112"/>
      <c r="CY62" s="3349"/>
      <c r="CZ62" s="3349"/>
      <c r="DA62" s="3349">
        <f t="shared" si="251"/>
        <v>0</v>
      </c>
      <c r="DB62" s="4074">
        <f t="shared" si="210"/>
        <v>0</v>
      </c>
      <c r="DC62" s="4112"/>
      <c r="DD62" s="3349"/>
      <c r="DE62" s="3349"/>
      <c r="DF62" s="3349">
        <f t="shared" si="252"/>
        <v>0</v>
      </c>
      <c r="DG62" s="4074">
        <f t="shared" si="212"/>
        <v>0</v>
      </c>
      <c r="DH62" s="4112"/>
      <c r="DI62" s="3349"/>
      <c r="DJ62" s="3349"/>
      <c r="DK62" s="3349">
        <f t="shared" si="253"/>
        <v>0</v>
      </c>
      <c r="DL62" s="4074">
        <f t="shared" si="214"/>
        <v>0</v>
      </c>
      <c r="DM62" s="4112"/>
      <c r="DN62" s="3349"/>
      <c r="DO62" s="3349"/>
      <c r="DP62" s="3349">
        <f t="shared" si="254"/>
        <v>0</v>
      </c>
      <c r="DQ62" s="4074">
        <f t="shared" si="216"/>
        <v>0</v>
      </c>
      <c r="DR62" s="4112"/>
      <c r="DS62" s="3349"/>
      <c r="DT62" s="3349"/>
      <c r="DU62" s="3349">
        <f t="shared" si="255"/>
        <v>0</v>
      </c>
      <c r="DV62" s="4074">
        <f t="shared" si="218"/>
        <v>0</v>
      </c>
      <c r="DW62" s="4112"/>
      <c r="DX62" s="3341">
        <f t="shared" si="256"/>
        <v>0</v>
      </c>
      <c r="DY62" s="3341">
        <f t="shared" si="256"/>
        <v>0</v>
      </c>
      <c r="DZ62" s="2012">
        <f t="shared" si="257"/>
        <v>0</v>
      </c>
      <c r="EA62" s="4074">
        <f t="shared" si="224"/>
        <v>0</v>
      </c>
      <c r="EB62" s="4076"/>
      <c r="ED62" s="2012">
        <f t="shared" si="258"/>
        <v>0</v>
      </c>
      <c r="EE62" s="2012">
        <f t="shared" si="258"/>
        <v>0</v>
      </c>
      <c r="EF62" s="4188"/>
    </row>
    <row r="63" spans="1:138" ht="13.8" outlineLevel="2">
      <c r="A63" s="1571"/>
      <c r="B63" s="4098" t="s">
        <v>35</v>
      </c>
      <c r="C63" s="3341">
        <v>1501.97</v>
      </c>
      <c r="D63" s="3341">
        <v>0</v>
      </c>
      <c r="E63" s="2012">
        <f t="shared" si="225"/>
        <v>1501.97</v>
      </c>
      <c r="F63" s="4074">
        <f t="shared" si="220"/>
        <v>6.938924506278588E-4</v>
      </c>
      <c r="G63" s="4076"/>
      <c r="H63" s="3349">
        <v>0</v>
      </c>
      <c r="I63" s="3349">
        <v>0</v>
      </c>
      <c r="J63" s="2012">
        <v>0</v>
      </c>
      <c r="K63" s="4074">
        <v>0</v>
      </c>
      <c r="L63" s="1434"/>
      <c r="M63" s="3349"/>
      <c r="N63" s="3349"/>
      <c r="O63" s="2012">
        <f t="shared" si="226"/>
        <v>0</v>
      </c>
      <c r="P63" s="4074">
        <f t="shared" si="221"/>
        <v>0</v>
      </c>
      <c r="Q63" s="4076"/>
      <c r="R63" s="3349"/>
      <c r="S63" s="3349"/>
      <c r="T63" s="2012">
        <f t="shared" si="227"/>
        <v>0</v>
      </c>
      <c r="U63" s="4074">
        <f t="shared" si="228"/>
        <v>0</v>
      </c>
      <c r="V63" s="4112"/>
      <c r="W63" s="3349"/>
      <c r="X63" s="3349"/>
      <c r="Y63" s="2012">
        <f t="shared" si="229"/>
        <v>0</v>
      </c>
      <c r="Z63" s="4074">
        <f t="shared" si="230"/>
        <v>0</v>
      </c>
      <c r="AA63" s="4112"/>
      <c r="AB63" s="3349"/>
      <c r="AC63" s="3349"/>
      <c r="AD63" s="2012">
        <f t="shared" si="231"/>
        <v>0</v>
      </c>
      <c r="AE63" s="4074" t="e">
        <f t="shared" si="232"/>
        <v>#DIV/0!</v>
      </c>
      <c r="AF63" s="4112"/>
      <c r="AG63" s="3349"/>
      <c r="AH63" s="3349"/>
      <c r="AI63" s="2012">
        <f t="shared" si="233"/>
        <v>0</v>
      </c>
      <c r="AJ63" s="4074" t="e">
        <f t="shared" si="234"/>
        <v>#DIV/0!</v>
      </c>
      <c r="AK63" s="4112"/>
      <c r="AL63" s="3349"/>
      <c r="AM63" s="3349"/>
      <c r="AN63" s="2012">
        <f t="shared" si="235"/>
        <v>0</v>
      </c>
      <c r="AO63" s="4074" t="e">
        <f t="shared" si="236"/>
        <v>#DIV/0!</v>
      </c>
      <c r="AP63" s="4112"/>
      <c r="AQ63" s="3349"/>
      <c r="AR63" s="3349"/>
      <c r="AS63" s="3349">
        <f t="shared" si="237"/>
        <v>0</v>
      </c>
      <c r="AT63" s="4074">
        <f t="shared" si="187"/>
        <v>0</v>
      </c>
      <c r="AU63" s="4112"/>
      <c r="AV63" s="3349"/>
      <c r="AW63" s="3349"/>
      <c r="AX63" s="3349">
        <f t="shared" si="238"/>
        <v>0</v>
      </c>
      <c r="AY63" s="4074">
        <f t="shared" si="188"/>
        <v>0</v>
      </c>
      <c r="AZ63" s="4112"/>
      <c r="BA63" s="3349"/>
      <c r="BB63" s="3349"/>
      <c r="BC63" s="3349">
        <f t="shared" si="239"/>
        <v>0</v>
      </c>
      <c r="BD63" s="4074">
        <f t="shared" si="190"/>
        <v>0</v>
      </c>
      <c r="BE63" s="4112"/>
      <c r="BF63" s="3342">
        <f t="shared" si="240"/>
        <v>0</v>
      </c>
      <c r="BG63" s="3342">
        <f t="shared" si="240"/>
        <v>0</v>
      </c>
      <c r="BH63" s="2012">
        <f t="shared" si="241"/>
        <v>0</v>
      </c>
      <c r="BI63" s="3462"/>
      <c r="BJ63" s="3462"/>
      <c r="BK63" s="3342">
        <f t="shared" si="242"/>
        <v>0</v>
      </c>
      <c r="BL63" s="3342">
        <f t="shared" si="242"/>
        <v>0</v>
      </c>
      <c r="BM63" s="2012">
        <f t="shared" si="243"/>
        <v>0</v>
      </c>
      <c r="BN63" s="3462"/>
      <c r="BO63" s="3462"/>
      <c r="BP63" s="3349"/>
      <c r="BQ63" s="3349"/>
      <c r="BR63" s="3349">
        <f t="shared" si="244"/>
        <v>0</v>
      </c>
      <c r="BS63" s="4074">
        <f t="shared" si="196"/>
        <v>0</v>
      </c>
      <c r="BT63" s="4112"/>
      <c r="BU63" s="3349"/>
      <c r="BV63" s="3349"/>
      <c r="BW63" s="3349">
        <f t="shared" si="245"/>
        <v>0</v>
      </c>
      <c r="BX63" s="4074">
        <f t="shared" si="198"/>
        <v>0</v>
      </c>
      <c r="BY63" s="4112"/>
      <c r="BZ63" s="3349"/>
      <c r="CA63" s="3349"/>
      <c r="CB63" s="3349">
        <f t="shared" si="246"/>
        <v>0</v>
      </c>
      <c r="CC63" s="4074">
        <f t="shared" si="200"/>
        <v>0</v>
      </c>
      <c r="CD63" s="4112"/>
      <c r="CE63" s="3349"/>
      <c r="CF63" s="3349"/>
      <c r="CG63" s="3349">
        <f t="shared" si="247"/>
        <v>0</v>
      </c>
      <c r="CH63" s="4074">
        <f t="shared" si="202"/>
        <v>0</v>
      </c>
      <c r="CI63" s="4112"/>
      <c r="CJ63" s="3349"/>
      <c r="CK63" s="3349"/>
      <c r="CL63" s="3349">
        <f t="shared" si="248"/>
        <v>0</v>
      </c>
      <c r="CM63" s="4074">
        <f t="shared" si="204"/>
        <v>0</v>
      </c>
      <c r="CN63" s="4112"/>
      <c r="CO63" s="3349"/>
      <c r="CP63" s="3349"/>
      <c r="CQ63" s="3349">
        <f t="shared" si="249"/>
        <v>0</v>
      </c>
      <c r="CR63" s="4074">
        <f t="shared" si="206"/>
        <v>0</v>
      </c>
      <c r="CS63" s="4112"/>
      <c r="CT63" s="3349"/>
      <c r="CU63" s="3349"/>
      <c r="CV63" s="3349">
        <f t="shared" si="250"/>
        <v>0</v>
      </c>
      <c r="CW63" s="4074">
        <f t="shared" si="208"/>
        <v>0</v>
      </c>
      <c r="CX63" s="4112"/>
      <c r="CY63" s="3349"/>
      <c r="CZ63" s="3349"/>
      <c r="DA63" s="3349">
        <f t="shared" si="251"/>
        <v>0</v>
      </c>
      <c r="DB63" s="4074">
        <f t="shared" si="210"/>
        <v>0</v>
      </c>
      <c r="DC63" s="4112"/>
      <c r="DD63" s="3349"/>
      <c r="DE63" s="3349"/>
      <c r="DF63" s="3349">
        <f t="shared" si="252"/>
        <v>0</v>
      </c>
      <c r="DG63" s="4074">
        <f t="shared" si="212"/>
        <v>0</v>
      </c>
      <c r="DH63" s="4112"/>
      <c r="DI63" s="3349"/>
      <c r="DJ63" s="3349"/>
      <c r="DK63" s="3349">
        <f t="shared" si="253"/>
        <v>0</v>
      </c>
      <c r="DL63" s="4074">
        <f t="shared" si="214"/>
        <v>0</v>
      </c>
      <c r="DM63" s="4112"/>
      <c r="DN63" s="3349"/>
      <c r="DO63" s="3349"/>
      <c r="DP63" s="3349">
        <f t="shared" si="254"/>
        <v>0</v>
      </c>
      <c r="DQ63" s="4074">
        <f t="shared" si="216"/>
        <v>0</v>
      </c>
      <c r="DR63" s="4112"/>
      <c r="DS63" s="3349"/>
      <c r="DT63" s="3349"/>
      <c r="DU63" s="3349">
        <f t="shared" si="255"/>
        <v>0</v>
      </c>
      <c r="DV63" s="4074">
        <f t="shared" si="218"/>
        <v>0</v>
      </c>
      <c r="DW63" s="4112"/>
      <c r="DX63" s="3341">
        <f t="shared" si="256"/>
        <v>0</v>
      </c>
      <c r="DY63" s="3341">
        <f t="shared" si="256"/>
        <v>0</v>
      </c>
      <c r="DZ63" s="2012">
        <f t="shared" si="257"/>
        <v>0</v>
      </c>
      <c r="EA63" s="4074">
        <f t="shared" si="224"/>
        <v>0</v>
      </c>
      <c r="EB63" s="4076"/>
      <c r="ED63" s="2012">
        <f t="shared" si="258"/>
        <v>0</v>
      </c>
      <c r="EE63" s="2012">
        <f t="shared" si="258"/>
        <v>0</v>
      </c>
      <c r="EF63" s="4188"/>
    </row>
    <row r="64" spans="1:138" ht="13.8" outlineLevel="2">
      <c r="A64" s="1571"/>
      <c r="B64" s="4098" t="s">
        <v>63</v>
      </c>
      <c r="C64" s="3341">
        <v>0</v>
      </c>
      <c r="D64" s="3341">
        <v>0</v>
      </c>
      <c r="E64" s="2012">
        <f t="shared" si="225"/>
        <v>0</v>
      </c>
      <c r="F64" s="4074">
        <f t="shared" si="220"/>
        <v>0</v>
      </c>
      <c r="G64" s="4076"/>
      <c r="H64" s="3349">
        <v>0</v>
      </c>
      <c r="I64" s="3349">
        <v>0</v>
      </c>
      <c r="J64" s="2012">
        <v>0</v>
      </c>
      <c r="K64" s="4074">
        <v>0</v>
      </c>
      <c r="L64" s="1434"/>
      <c r="M64" s="3349"/>
      <c r="N64" s="3349"/>
      <c r="O64" s="2012">
        <f t="shared" si="226"/>
        <v>0</v>
      </c>
      <c r="P64" s="4074">
        <f t="shared" si="221"/>
        <v>0</v>
      </c>
      <c r="Q64" s="4076"/>
      <c r="R64" s="3349"/>
      <c r="S64" s="3349"/>
      <c r="T64" s="2012">
        <f t="shared" si="227"/>
        <v>0</v>
      </c>
      <c r="U64" s="4074">
        <f t="shared" si="228"/>
        <v>0</v>
      </c>
      <c r="V64" s="4112"/>
      <c r="W64" s="3349"/>
      <c r="X64" s="3349"/>
      <c r="Y64" s="2012">
        <f t="shared" si="229"/>
        <v>0</v>
      </c>
      <c r="Z64" s="4074">
        <f t="shared" si="230"/>
        <v>0</v>
      </c>
      <c r="AA64" s="4112"/>
      <c r="AB64" s="3349"/>
      <c r="AC64" s="3349"/>
      <c r="AD64" s="2012">
        <f t="shared" si="231"/>
        <v>0</v>
      </c>
      <c r="AE64" s="4074" t="e">
        <f t="shared" si="232"/>
        <v>#DIV/0!</v>
      </c>
      <c r="AF64" s="4112"/>
      <c r="AG64" s="3349"/>
      <c r="AH64" s="3349"/>
      <c r="AI64" s="2012">
        <f t="shared" si="233"/>
        <v>0</v>
      </c>
      <c r="AJ64" s="4074" t="e">
        <f t="shared" si="234"/>
        <v>#DIV/0!</v>
      </c>
      <c r="AK64" s="4112"/>
      <c r="AL64" s="3349"/>
      <c r="AM64" s="3349"/>
      <c r="AN64" s="2012">
        <f t="shared" si="235"/>
        <v>0</v>
      </c>
      <c r="AO64" s="4074" t="e">
        <f t="shared" si="236"/>
        <v>#DIV/0!</v>
      </c>
      <c r="AP64" s="4112"/>
      <c r="AQ64" s="3349"/>
      <c r="AR64" s="3349"/>
      <c r="AS64" s="3349">
        <f t="shared" si="237"/>
        <v>0</v>
      </c>
      <c r="AT64" s="4074">
        <f t="shared" si="187"/>
        <v>0</v>
      </c>
      <c r="AU64" s="4112"/>
      <c r="AV64" s="3349"/>
      <c r="AW64" s="3349"/>
      <c r="AX64" s="3349">
        <f t="shared" si="238"/>
        <v>0</v>
      </c>
      <c r="AY64" s="4074">
        <f t="shared" si="188"/>
        <v>0</v>
      </c>
      <c r="AZ64" s="4112"/>
      <c r="BA64" s="3349"/>
      <c r="BB64" s="3349"/>
      <c r="BC64" s="3349">
        <f t="shared" si="239"/>
        <v>0</v>
      </c>
      <c r="BD64" s="4074">
        <f t="shared" si="190"/>
        <v>0</v>
      </c>
      <c r="BE64" s="4112"/>
      <c r="BF64" s="3342">
        <f t="shared" si="240"/>
        <v>0</v>
      </c>
      <c r="BG64" s="3342">
        <f t="shared" si="240"/>
        <v>0</v>
      </c>
      <c r="BH64" s="2012">
        <f t="shared" si="241"/>
        <v>0</v>
      </c>
      <c r="BI64" s="3462"/>
      <c r="BJ64" s="3462"/>
      <c r="BK64" s="3342">
        <f t="shared" si="242"/>
        <v>0</v>
      </c>
      <c r="BL64" s="3342">
        <f t="shared" si="242"/>
        <v>0</v>
      </c>
      <c r="BM64" s="2012">
        <f t="shared" si="243"/>
        <v>0</v>
      </c>
      <c r="BN64" s="3462"/>
      <c r="BO64" s="3462"/>
      <c r="BP64" s="3349"/>
      <c r="BQ64" s="3349"/>
      <c r="BR64" s="3349">
        <f t="shared" si="244"/>
        <v>0</v>
      </c>
      <c r="BS64" s="4074">
        <f t="shared" si="196"/>
        <v>0</v>
      </c>
      <c r="BT64" s="4112"/>
      <c r="BU64" s="3349"/>
      <c r="BV64" s="3349"/>
      <c r="BW64" s="3349">
        <f t="shared" si="245"/>
        <v>0</v>
      </c>
      <c r="BX64" s="4074">
        <f t="shared" si="198"/>
        <v>0</v>
      </c>
      <c r="BY64" s="4112"/>
      <c r="BZ64" s="3349"/>
      <c r="CA64" s="3349"/>
      <c r="CB64" s="3349">
        <f t="shared" si="246"/>
        <v>0</v>
      </c>
      <c r="CC64" s="4074">
        <f t="shared" si="200"/>
        <v>0</v>
      </c>
      <c r="CD64" s="4112"/>
      <c r="CE64" s="3349"/>
      <c r="CF64" s="3349"/>
      <c r="CG64" s="3349">
        <f t="shared" si="247"/>
        <v>0</v>
      </c>
      <c r="CH64" s="4074">
        <f t="shared" si="202"/>
        <v>0</v>
      </c>
      <c r="CI64" s="4112"/>
      <c r="CJ64" s="3349"/>
      <c r="CK64" s="3349"/>
      <c r="CL64" s="3349">
        <f t="shared" si="248"/>
        <v>0</v>
      </c>
      <c r="CM64" s="4074">
        <f t="shared" si="204"/>
        <v>0</v>
      </c>
      <c r="CN64" s="4112"/>
      <c r="CO64" s="3349"/>
      <c r="CP64" s="3349"/>
      <c r="CQ64" s="3349">
        <f t="shared" si="249"/>
        <v>0</v>
      </c>
      <c r="CR64" s="4074">
        <f t="shared" si="206"/>
        <v>0</v>
      </c>
      <c r="CS64" s="4112"/>
      <c r="CT64" s="3349"/>
      <c r="CU64" s="3349"/>
      <c r="CV64" s="3349">
        <f t="shared" si="250"/>
        <v>0</v>
      </c>
      <c r="CW64" s="4074">
        <f t="shared" si="208"/>
        <v>0</v>
      </c>
      <c r="CX64" s="4112"/>
      <c r="CY64" s="3349"/>
      <c r="CZ64" s="3349"/>
      <c r="DA64" s="3349">
        <f t="shared" si="251"/>
        <v>0</v>
      </c>
      <c r="DB64" s="4074">
        <f t="shared" si="210"/>
        <v>0</v>
      </c>
      <c r="DC64" s="4112"/>
      <c r="DD64" s="3349"/>
      <c r="DE64" s="3349"/>
      <c r="DF64" s="3349">
        <f t="shared" si="252"/>
        <v>0</v>
      </c>
      <c r="DG64" s="4074">
        <f t="shared" si="212"/>
        <v>0</v>
      </c>
      <c r="DH64" s="4112"/>
      <c r="DI64" s="3349"/>
      <c r="DJ64" s="3349"/>
      <c r="DK64" s="3349">
        <f t="shared" si="253"/>
        <v>0</v>
      </c>
      <c r="DL64" s="4074">
        <f t="shared" si="214"/>
        <v>0</v>
      </c>
      <c r="DM64" s="4112"/>
      <c r="DN64" s="3349"/>
      <c r="DO64" s="3349"/>
      <c r="DP64" s="3349">
        <f t="shared" si="254"/>
        <v>0</v>
      </c>
      <c r="DQ64" s="4074">
        <f t="shared" si="216"/>
        <v>0</v>
      </c>
      <c r="DR64" s="4112"/>
      <c r="DS64" s="3349"/>
      <c r="DT64" s="3349"/>
      <c r="DU64" s="3349">
        <f t="shared" si="255"/>
        <v>0</v>
      </c>
      <c r="DV64" s="4074">
        <f t="shared" si="218"/>
        <v>0</v>
      </c>
      <c r="DW64" s="4112"/>
      <c r="DX64" s="3341">
        <f t="shared" si="256"/>
        <v>0</v>
      </c>
      <c r="DY64" s="3341">
        <f t="shared" si="256"/>
        <v>0</v>
      </c>
      <c r="DZ64" s="2012">
        <f t="shared" si="257"/>
        <v>0</v>
      </c>
      <c r="EA64" s="4074">
        <f t="shared" si="224"/>
        <v>0</v>
      </c>
      <c r="EB64" s="4076"/>
      <c r="ED64" s="2012">
        <f t="shared" si="258"/>
        <v>0</v>
      </c>
      <c r="EE64" s="2012">
        <f t="shared" si="258"/>
        <v>0</v>
      </c>
      <c r="EF64" s="4188"/>
    </row>
    <row r="65" spans="1:138" ht="13.8" outlineLevel="2">
      <c r="A65" s="1571"/>
      <c r="B65" s="4098" t="s">
        <v>36</v>
      </c>
      <c r="C65" s="3341">
        <v>0</v>
      </c>
      <c r="D65" s="3341">
        <v>2800</v>
      </c>
      <c r="E65" s="2012">
        <f t="shared" si="225"/>
        <v>2800</v>
      </c>
      <c r="F65" s="4074">
        <f t="shared" si="220"/>
        <v>1.2935670231482685E-3</v>
      </c>
      <c r="G65" s="4076"/>
      <c r="H65" s="3341">
        <v>0</v>
      </c>
      <c r="I65" s="3341">
        <v>0</v>
      </c>
      <c r="J65" s="2012">
        <v>0</v>
      </c>
      <c r="K65" s="4074">
        <v>0</v>
      </c>
      <c r="L65" s="1434"/>
      <c r="M65" s="3341"/>
      <c r="N65" s="3341"/>
      <c r="O65" s="2012">
        <f t="shared" si="226"/>
        <v>0</v>
      </c>
      <c r="P65" s="4074">
        <f>O65/$O$89</f>
        <v>0</v>
      </c>
      <c r="Q65" s="4076"/>
      <c r="R65" s="3341"/>
      <c r="S65" s="3341"/>
      <c r="T65" s="2012">
        <f t="shared" si="227"/>
        <v>0</v>
      </c>
      <c r="U65" s="4074">
        <f>T65/$O$89</f>
        <v>0</v>
      </c>
      <c r="V65" s="4112"/>
      <c r="W65" s="3341"/>
      <c r="X65" s="3341"/>
      <c r="Y65" s="2012">
        <f t="shared" si="229"/>
        <v>0</v>
      </c>
      <c r="Z65" s="4074">
        <f t="shared" si="230"/>
        <v>0</v>
      </c>
      <c r="AA65" s="4112"/>
      <c r="AB65" s="3341"/>
      <c r="AC65" s="3341"/>
      <c r="AD65" s="2012">
        <f t="shared" si="231"/>
        <v>0</v>
      </c>
      <c r="AE65" s="4074" t="e">
        <f t="shared" si="232"/>
        <v>#DIV/0!</v>
      </c>
      <c r="AF65" s="4112"/>
      <c r="AG65" s="3341"/>
      <c r="AH65" s="3341"/>
      <c r="AI65" s="2012">
        <f t="shared" si="233"/>
        <v>0</v>
      </c>
      <c r="AJ65" s="4074" t="e">
        <f t="shared" si="234"/>
        <v>#DIV/0!</v>
      </c>
      <c r="AK65" s="4112"/>
      <c r="AL65" s="3341"/>
      <c r="AM65" s="3341"/>
      <c r="AN65" s="2012">
        <f t="shared" si="235"/>
        <v>0</v>
      </c>
      <c r="AO65" s="4074" t="e">
        <f t="shared" si="236"/>
        <v>#DIV/0!</v>
      </c>
      <c r="AP65" s="4112"/>
      <c r="AQ65" s="3341"/>
      <c r="AR65" s="3341"/>
      <c r="AS65" s="3349">
        <f t="shared" si="237"/>
        <v>0</v>
      </c>
      <c r="AT65" s="4074">
        <f t="shared" si="187"/>
        <v>0</v>
      </c>
      <c r="AU65" s="4112"/>
      <c r="AV65" s="3341"/>
      <c r="AW65" s="3341"/>
      <c r="AX65" s="3349">
        <f t="shared" si="238"/>
        <v>0</v>
      </c>
      <c r="AY65" s="4074">
        <f t="shared" si="188"/>
        <v>0</v>
      </c>
      <c r="AZ65" s="4112"/>
      <c r="BA65" s="3341"/>
      <c r="BB65" s="3341"/>
      <c r="BC65" s="3349">
        <f t="shared" si="239"/>
        <v>0</v>
      </c>
      <c r="BD65" s="4074">
        <f t="shared" si="190"/>
        <v>0</v>
      </c>
      <c r="BE65" s="4112"/>
      <c r="BF65" s="3342">
        <f t="shared" si="240"/>
        <v>0</v>
      </c>
      <c r="BG65" s="3342">
        <f t="shared" si="240"/>
        <v>0</v>
      </c>
      <c r="BH65" s="2012">
        <f t="shared" si="241"/>
        <v>0</v>
      </c>
      <c r="BI65" s="3462"/>
      <c r="BJ65" s="3462"/>
      <c r="BK65" s="3342">
        <f t="shared" si="242"/>
        <v>0</v>
      </c>
      <c r="BL65" s="3342">
        <f t="shared" si="242"/>
        <v>0</v>
      </c>
      <c r="BM65" s="2012">
        <f t="shared" si="243"/>
        <v>0</v>
      </c>
      <c r="BN65" s="3462"/>
      <c r="BO65" s="3462"/>
      <c r="BP65" s="3341"/>
      <c r="BQ65" s="3341"/>
      <c r="BR65" s="3349">
        <f t="shared" si="244"/>
        <v>0</v>
      </c>
      <c r="BS65" s="4074">
        <f t="shared" si="196"/>
        <v>0</v>
      </c>
      <c r="BT65" s="4112"/>
      <c r="BU65" s="3341"/>
      <c r="BV65" s="3341"/>
      <c r="BW65" s="3349">
        <f t="shared" si="245"/>
        <v>0</v>
      </c>
      <c r="BX65" s="4074">
        <f t="shared" si="198"/>
        <v>0</v>
      </c>
      <c r="BY65" s="4112"/>
      <c r="BZ65" s="3341"/>
      <c r="CA65" s="3341"/>
      <c r="CB65" s="3349">
        <f t="shared" si="246"/>
        <v>0</v>
      </c>
      <c r="CC65" s="4074">
        <f t="shared" si="200"/>
        <v>0</v>
      </c>
      <c r="CD65" s="4112"/>
      <c r="CE65" s="3341"/>
      <c r="CF65" s="3341"/>
      <c r="CG65" s="3349">
        <f t="shared" si="247"/>
        <v>0</v>
      </c>
      <c r="CH65" s="4074">
        <f t="shared" si="202"/>
        <v>0</v>
      </c>
      <c r="CI65" s="4112"/>
      <c r="CJ65" s="3341"/>
      <c r="CK65" s="3341"/>
      <c r="CL65" s="3349">
        <f t="shared" si="248"/>
        <v>0</v>
      </c>
      <c r="CM65" s="4074">
        <f t="shared" si="204"/>
        <v>0</v>
      </c>
      <c r="CN65" s="4112"/>
      <c r="CO65" s="3341"/>
      <c r="CP65" s="3341"/>
      <c r="CQ65" s="3349">
        <f t="shared" si="249"/>
        <v>0</v>
      </c>
      <c r="CR65" s="4074">
        <f t="shared" si="206"/>
        <v>0</v>
      </c>
      <c r="CS65" s="4112"/>
      <c r="CT65" s="3341"/>
      <c r="CU65" s="3341"/>
      <c r="CV65" s="3349">
        <f t="shared" si="250"/>
        <v>0</v>
      </c>
      <c r="CW65" s="4074">
        <f t="shared" si="208"/>
        <v>0</v>
      </c>
      <c r="CX65" s="4112"/>
      <c r="CY65" s="3341"/>
      <c r="CZ65" s="3341"/>
      <c r="DA65" s="3349">
        <f t="shared" si="251"/>
        <v>0</v>
      </c>
      <c r="DB65" s="4074">
        <f t="shared" si="210"/>
        <v>0</v>
      </c>
      <c r="DC65" s="4112"/>
      <c r="DD65" s="3341"/>
      <c r="DE65" s="3341"/>
      <c r="DF65" s="3349">
        <f t="shared" si="252"/>
        <v>0</v>
      </c>
      <c r="DG65" s="4074">
        <f t="shared" si="212"/>
        <v>0</v>
      </c>
      <c r="DH65" s="4112"/>
      <c r="DI65" s="3341"/>
      <c r="DJ65" s="3341"/>
      <c r="DK65" s="3349">
        <f t="shared" si="253"/>
        <v>0</v>
      </c>
      <c r="DL65" s="4074">
        <f t="shared" si="214"/>
        <v>0</v>
      </c>
      <c r="DM65" s="4112"/>
      <c r="DN65" s="3341"/>
      <c r="DO65" s="3341"/>
      <c r="DP65" s="3349">
        <f t="shared" si="254"/>
        <v>0</v>
      </c>
      <c r="DQ65" s="4074">
        <f t="shared" si="216"/>
        <v>0</v>
      </c>
      <c r="DR65" s="4112"/>
      <c r="DS65" s="3341"/>
      <c r="DT65" s="3341"/>
      <c r="DU65" s="3349">
        <f t="shared" si="255"/>
        <v>0</v>
      </c>
      <c r="DV65" s="4074">
        <f t="shared" si="218"/>
        <v>0</v>
      </c>
      <c r="DW65" s="4112"/>
      <c r="DX65" s="3341">
        <f t="shared" si="256"/>
        <v>0</v>
      </c>
      <c r="DY65" s="3341">
        <f t="shared" si="256"/>
        <v>0</v>
      </c>
      <c r="DZ65" s="2012">
        <f t="shared" si="257"/>
        <v>0</v>
      </c>
      <c r="EA65" s="4074">
        <f t="shared" si="224"/>
        <v>0</v>
      </c>
      <c r="EB65" s="4076"/>
      <c r="ED65" s="2012">
        <f t="shared" si="258"/>
        <v>0</v>
      </c>
      <c r="EE65" s="2012">
        <f t="shared" si="258"/>
        <v>0</v>
      </c>
      <c r="EF65" s="4188"/>
    </row>
    <row r="66" spans="1:138" s="1396" customFormat="1" ht="13.8" outlineLevel="2">
      <c r="A66" s="1571"/>
      <c r="B66" s="4098" t="s">
        <v>37</v>
      </c>
      <c r="C66" s="3341">
        <v>0</v>
      </c>
      <c r="D66" s="3341">
        <v>0</v>
      </c>
      <c r="E66" s="2012">
        <f t="shared" si="225"/>
        <v>0</v>
      </c>
      <c r="F66" s="4074">
        <f t="shared" si="220"/>
        <v>0</v>
      </c>
      <c r="G66" s="4076"/>
      <c r="H66" s="3341">
        <v>0</v>
      </c>
      <c r="I66" s="3341">
        <v>0</v>
      </c>
      <c r="J66" s="2012">
        <v>0</v>
      </c>
      <c r="K66" s="4074">
        <v>0</v>
      </c>
      <c r="L66" s="1434"/>
      <c r="M66" s="3341"/>
      <c r="N66" s="3341"/>
      <c r="O66" s="2012">
        <f t="shared" si="226"/>
        <v>0</v>
      </c>
      <c r="P66" s="4074">
        <f t="shared" si="221"/>
        <v>0</v>
      </c>
      <c r="Q66" s="4076"/>
      <c r="R66" s="3341"/>
      <c r="S66" s="3341"/>
      <c r="T66" s="2012">
        <f t="shared" si="227"/>
        <v>0</v>
      </c>
      <c r="U66" s="4074">
        <f t="shared" ref="U66:U72" si="259">T66/$O$89</f>
        <v>0</v>
      </c>
      <c r="V66" s="4112"/>
      <c r="W66" s="3341"/>
      <c r="X66" s="3341"/>
      <c r="Y66" s="2012">
        <f t="shared" si="229"/>
        <v>0</v>
      </c>
      <c r="Z66" s="4074">
        <f t="shared" si="230"/>
        <v>0</v>
      </c>
      <c r="AA66" s="4112"/>
      <c r="AB66" s="3341"/>
      <c r="AC66" s="3341"/>
      <c r="AD66" s="2012">
        <f t="shared" si="231"/>
        <v>0</v>
      </c>
      <c r="AE66" s="4074" t="e">
        <f t="shared" si="232"/>
        <v>#DIV/0!</v>
      </c>
      <c r="AF66" s="4112"/>
      <c r="AG66" s="3341"/>
      <c r="AH66" s="3341"/>
      <c r="AI66" s="2012">
        <f t="shared" si="233"/>
        <v>0</v>
      </c>
      <c r="AJ66" s="4074" t="e">
        <f t="shared" si="234"/>
        <v>#DIV/0!</v>
      </c>
      <c r="AK66" s="4112"/>
      <c r="AL66" s="3341"/>
      <c r="AM66" s="3341"/>
      <c r="AN66" s="2012">
        <f t="shared" si="235"/>
        <v>0</v>
      </c>
      <c r="AO66" s="4074" t="e">
        <f t="shared" si="236"/>
        <v>#DIV/0!</v>
      </c>
      <c r="AP66" s="4112"/>
      <c r="AQ66" s="3341"/>
      <c r="AR66" s="3341"/>
      <c r="AS66" s="3349">
        <f t="shared" si="237"/>
        <v>0</v>
      </c>
      <c r="AT66" s="4074">
        <f t="shared" si="187"/>
        <v>0</v>
      </c>
      <c r="AU66" s="4112"/>
      <c r="AV66" s="3341"/>
      <c r="AW66" s="3341"/>
      <c r="AX66" s="3349">
        <f t="shared" si="238"/>
        <v>0</v>
      </c>
      <c r="AY66" s="4074">
        <f t="shared" si="188"/>
        <v>0</v>
      </c>
      <c r="AZ66" s="4112"/>
      <c r="BA66" s="3341"/>
      <c r="BB66" s="3341"/>
      <c r="BC66" s="3349">
        <f t="shared" si="239"/>
        <v>0</v>
      </c>
      <c r="BD66" s="4074">
        <f t="shared" si="190"/>
        <v>0</v>
      </c>
      <c r="BE66" s="4112"/>
      <c r="BF66" s="3342">
        <f t="shared" si="240"/>
        <v>0</v>
      </c>
      <c r="BG66" s="3342">
        <f t="shared" si="240"/>
        <v>0</v>
      </c>
      <c r="BH66" s="2012">
        <f t="shared" si="241"/>
        <v>0</v>
      </c>
      <c r="BI66" s="3462"/>
      <c r="BJ66" s="3462"/>
      <c r="BK66" s="3342">
        <f t="shared" si="242"/>
        <v>0</v>
      </c>
      <c r="BL66" s="3342">
        <f t="shared" si="242"/>
        <v>0</v>
      </c>
      <c r="BM66" s="2012">
        <f t="shared" si="243"/>
        <v>0</v>
      </c>
      <c r="BN66" s="3462"/>
      <c r="BO66" s="3462"/>
      <c r="BP66" s="3341"/>
      <c r="BQ66" s="3341"/>
      <c r="BR66" s="3349">
        <f t="shared" si="244"/>
        <v>0</v>
      </c>
      <c r="BS66" s="4074">
        <f t="shared" si="196"/>
        <v>0</v>
      </c>
      <c r="BT66" s="4112"/>
      <c r="BU66" s="3341"/>
      <c r="BV66" s="3341"/>
      <c r="BW66" s="3349">
        <f t="shared" si="245"/>
        <v>0</v>
      </c>
      <c r="BX66" s="4074">
        <f t="shared" si="198"/>
        <v>0</v>
      </c>
      <c r="BY66" s="4112"/>
      <c r="BZ66" s="3341"/>
      <c r="CA66" s="3341"/>
      <c r="CB66" s="3349">
        <f t="shared" si="246"/>
        <v>0</v>
      </c>
      <c r="CC66" s="4074">
        <f t="shared" si="200"/>
        <v>0</v>
      </c>
      <c r="CD66" s="4112"/>
      <c r="CE66" s="3341"/>
      <c r="CF66" s="3341"/>
      <c r="CG66" s="3349">
        <f t="shared" si="247"/>
        <v>0</v>
      </c>
      <c r="CH66" s="4074">
        <f t="shared" si="202"/>
        <v>0</v>
      </c>
      <c r="CI66" s="4112"/>
      <c r="CJ66" s="3341"/>
      <c r="CK66" s="3341"/>
      <c r="CL66" s="3349">
        <f t="shared" si="248"/>
        <v>0</v>
      </c>
      <c r="CM66" s="4074">
        <f t="shared" si="204"/>
        <v>0</v>
      </c>
      <c r="CN66" s="4112"/>
      <c r="CO66" s="3341"/>
      <c r="CP66" s="3341"/>
      <c r="CQ66" s="3349">
        <f t="shared" si="249"/>
        <v>0</v>
      </c>
      <c r="CR66" s="4074">
        <f t="shared" si="206"/>
        <v>0</v>
      </c>
      <c r="CS66" s="4112"/>
      <c r="CT66" s="3341"/>
      <c r="CU66" s="3341"/>
      <c r="CV66" s="3349">
        <f t="shared" si="250"/>
        <v>0</v>
      </c>
      <c r="CW66" s="4074">
        <f t="shared" si="208"/>
        <v>0</v>
      </c>
      <c r="CX66" s="4112"/>
      <c r="CY66" s="3341"/>
      <c r="CZ66" s="3341"/>
      <c r="DA66" s="3349">
        <f t="shared" si="251"/>
        <v>0</v>
      </c>
      <c r="DB66" s="4074">
        <f t="shared" si="210"/>
        <v>0</v>
      </c>
      <c r="DC66" s="4112"/>
      <c r="DD66" s="3341"/>
      <c r="DE66" s="3341"/>
      <c r="DF66" s="3349">
        <f t="shared" si="252"/>
        <v>0</v>
      </c>
      <c r="DG66" s="4074">
        <f t="shared" si="212"/>
        <v>0</v>
      </c>
      <c r="DH66" s="4112"/>
      <c r="DI66" s="3341"/>
      <c r="DJ66" s="3341"/>
      <c r="DK66" s="3349">
        <f t="shared" si="253"/>
        <v>0</v>
      </c>
      <c r="DL66" s="4074">
        <f t="shared" si="214"/>
        <v>0</v>
      </c>
      <c r="DM66" s="4112"/>
      <c r="DN66" s="3341"/>
      <c r="DO66" s="3341"/>
      <c r="DP66" s="3349">
        <f t="shared" si="254"/>
        <v>0</v>
      </c>
      <c r="DQ66" s="4074">
        <f t="shared" si="216"/>
        <v>0</v>
      </c>
      <c r="DR66" s="4112"/>
      <c r="DS66" s="3341"/>
      <c r="DT66" s="3341"/>
      <c r="DU66" s="3349">
        <f t="shared" si="255"/>
        <v>0</v>
      </c>
      <c r="DV66" s="4074">
        <f t="shared" si="218"/>
        <v>0</v>
      </c>
      <c r="DW66" s="4112"/>
      <c r="DX66" s="3341">
        <f t="shared" si="256"/>
        <v>0</v>
      </c>
      <c r="DY66" s="3341">
        <f t="shared" si="256"/>
        <v>0</v>
      </c>
      <c r="DZ66" s="2012">
        <f t="shared" si="257"/>
        <v>0</v>
      </c>
      <c r="EA66" s="4074">
        <f t="shared" si="224"/>
        <v>0</v>
      </c>
      <c r="EB66" s="4076"/>
      <c r="ED66" s="2012">
        <f t="shared" si="258"/>
        <v>0</v>
      </c>
      <c r="EE66" s="2012">
        <f t="shared" si="258"/>
        <v>0</v>
      </c>
      <c r="EF66" s="4188"/>
      <c r="EH66" s="2624"/>
    </row>
    <row r="67" spans="1:138" s="1396" customFormat="1" ht="13.8" outlineLevel="2">
      <c r="A67" s="1571"/>
      <c r="B67" s="4098" t="s">
        <v>3</v>
      </c>
      <c r="C67" s="3341">
        <v>0</v>
      </c>
      <c r="D67" s="3341">
        <v>0</v>
      </c>
      <c r="E67" s="2012">
        <f t="shared" si="225"/>
        <v>0</v>
      </c>
      <c r="F67" s="4074">
        <f t="shared" si="220"/>
        <v>0</v>
      </c>
      <c r="G67" s="4076"/>
      <c r="H67" s="3341">
        <v>1260</v>
      </c>
      <c r="I67" s="3341">
        <v>0</v>
      </c>
      <c r="J67" s="2012">
        <v>1260</v>
      </c>
      <c r="K67" s="4074">
        <v>1.4411719265566823E-3</v>
      </c>
      <c r="L67" s="1434"/>
      <c r="M67" s="3341"/>
      <c r="N67" s="3341"/>
      <c r="O67" s="2012">
        <f t="shared" si="226"/>
        <v>0</v>
      </c>
      <c r="P67" s="4074">
        <f t="shared" si="221"/>
        <v>0</v>
      </c>
      <c r="Q67" s="4076"/>
      <c r="R67" s="3341"/>
      <c r="S67" s="3341"/>
      <c r="T67" s="2012">
        <f t="shared" si="227"/>
        <v>0</v>
      </c>
      <c r="U67" s="4074">
        <f>T67/$T$89</f>
        <v>0</v>
      </c>
      <c r="V67" s="4112"/>
      <c r="W67" s="3341"/>
      <c r="X67" s="3341"/>
      <c r="Y67" s="2012">
        <f t="shared" si="229"/>
        <v>0</v>
      </c>
      <c r="Z67" s="4074">
        <f t="shared" si="230"/>
        <v>0</v>
      </c>
      <c r="AA67" s="4112"/>
      <c r="AB67" s="3341"/>
      <c r="AC67" s="3341"/>
      <c r="AD67" s="2012">
        <f t="shared" si="231"/>
        <v>0</v>
      </c>
      <c r="AE67" s="4074" t="e">
        <f t="shared" si="232"/>
        <v>#DIV/0!</v>
      </c>
      <c r="AF67" s="4112"/>
      <c r="AG67" s="3341"/>
      <c r="AH67" s="3341"/>
      <c r="AI67" s="2012">
        <f t="shared" si="233"/>
        <v>0</v>
      </c>
      <c r="AJ67" s="4074" t="e">
        <f t="shared" si="234"/>
        <v>#DIV/0!</v>
      </c>
      <c r="AK67" s="4112"/>
      <c r="AL67" s="3341"/>
      <c r="AM67" s="3341"/>
      <c r="AN67" s="2012">
        <f t="shared" si="235"/>
        <v>0</v>
      </c>
      <c r="AO67" s="4074" t="e">
        <f t="shared" si="236"/>
        <v>#DIV/0!</v>
      </c>
      <c r="AP67" s="4112"/>
      <c r="AQ67" s="3341"/>
      <c r="AR67" s="3341"/>
      <c r="AS67" s="3349">
        <f t="shared" si="237"/>
        <v>0</v>
      </c>
      <c r="AT67" s="4074">
        <f t="shared" si="187"/>
        <v>0</v>
      </c>
      <c r="AU67" s="4112"/>
      <c r="AV67" s="3341"/>
      <c r="AW67" s="3341"/>
      <c r="AX67" s="3349">
        <f t="shared" si="238"/>
        <v>0</v>
      </c>
      <c r="AY67" s="4074">
        <f t="shared" si="188"/>
        <v>0</v>
      </c>
      <c r="AZ67" s="4112"/>
      <c r="BA67" s="3341"/>
      <c r="BB67" s="3341"/>
      <c r="BC67" s="3349">
        <f t="shared" si="239"/>
        <v>0</v>
      </c>
      <c r="BD67" s="4074">
        <f t="shared" si="190"/>
        <v>0</v>
      </c>
      <c r="BE67" s="4112"/>
      <c r="BF67" s="3342">
        <f t="shared" si="240"/>
        <v>0</v>
      </c>
      <c r="BG67" s="3342">
        <f t="shared" si="240"/>
        <v>0</v>
      </c>
      <c r="BH67" s="2012">
        <f t="shared" si="241"/>
        <v>0</v>
      </c>
      <c r="BI67" s="3462"/>
      <c r="BJ67" s="3462"/>
      <c r="BK67" s="3342">
        <f t="shared" si="242"/>
        <v>0</v>
      </c>
      <c r="BL67" s="3342">
        <f t="shared" si="242"/>
        <v>0</v>
      </c>
      <c r="BM67" s="2012">
        <f t="shared" si="243"/>
        <v>0</v>
      </c>
      <c r="BN67" s="3462"/>
      <c r="BO67" s="3462"/>
      <c r="BP67" s="3341"/>
      <c r="BQ67" s="3341"/>
      <c r="BR67" s="3349">
        <f t="shared" si="244"/>
        <v>0</v>
      </c>
      <c r="BS67" s="4074">
        <f t="shared" si="196"/>
        <v>0</v>
      </c>
      <c r="BT67" s="4112"/>
      <c r="BU67" s="3341"/>
      <c r="BV67" s="3341"/>
      <c r="BW67" s="3349">
        <f t="shared" si="245"/>
        <v>0</v>
      </c>
      <c r="BX67" s="4074">
        <f t="shared" si="198"/>
        <v>0</v>
      </c>
      <c r="BY67" s="4112"/>
      <c r="BZ67" s="3341"/>
      <c r="CA67" s="3341"/>
      <c r="CB67" s="3349">
        <f t="shared" si="246"/>
        <v>0</v>
      </c>
      <c r="CC67" s="4074">
        <f t="shared" si="200"/>
        <v>0</v>
      </c>
      <c r="CD67" s="4112"/>
      <c r="CE67" s="3341"/>
      <c r="CF67" s="3341"/>
      <c r="CG67" s="3349">
        <f t="shared" si="247"/>
        <v>0</v>
      </c>
      <c r="CH67" s="4074">
        <f t="shared" si="202"/>
        <v>0</v>
      </c>
      <c r="CI67" s="4112"/>
      <c r="CJ67" s="3341"/>
      <c r="CK67" s="3341"/>
      <c r="CL67" s="3349">
        <f t="shared" si="248"/>
        <v>0</v>
      </c>
      <c r="CM67" s="4074">
        <f t="shared" si="204"/>
        <v>0</v>
      </c>
      <c r="CN67" s="4112"/>
      <c r="CO67" s="3341"/>
      <c r="CP67" s="3341"/>
      <c r="CQ67" s="3349">
        <f t="shared" si="249"/>
        <v>0</v>
      </c>
      <c r="CR67" s="4074">
        <f t="shared" si="206"/>
        <v>0</v>
      </c>
      <c r="CS67" s="4112"/>
      <c r="CT67" s="3341"/>
      <c r="CU67" s="3341"/>
      <c r="CV67" s="3349">
        <f t="shared" si="250"/>
        <v>0</v>
      </c>
      <c r="CW67" s="4074">
        <f t="shared" si="208"/>
        <v>0</v>
      </c>
      <c r="CX67" s="4112"/>
      <c r="CY67" s="3341"/>
      <c r="CZ67" s="3341"/>
      <c r="DA67" s="3349">
        <f t="shared" si="251"/>
        <v>0</v>
      </c>
      <c r="DB67" s="4074">
        <f t="shared" si="210"/>
        <v>0</v>
      </c>
      <c r="DC67" s="4112"/>
      <c r="DD67" s="3341"/>
      <c r="DE67" s="3341"/>
      <c r="DF67" s="3349">
        <f t="shared" si="252"/>
        <v>0</v>
      </c>
      <c r="DG67" s="4074">
        <f t="shared" si="212"/>
        <v>0</v>
      </c>
      <c r="DH67" s="4112"/>
      <c r="DI67" s="3341"/>
      <c r="DJ67" s="3341"/>
      <c r="DK67" s="3349">
        <f t="shared" si="253"/>
        <v>0</v>
      </c>
      <c r="DL67" s="4074">
        <f t="shared" si="214"/>
        <v>0</v>
      </c>
      <c r="DM67" s="4112"/>
      <c r="DN67" s="3341"/>
      <c r="DO67" s="3341"/>
      <c r="DP67" s="3349">
        <f t="shared" si="254"/>
        <v>0</v>
      </c>
      <c r="DQ67" s="4074">
        <f t="shared" si="216"/>
        <v>0</v>
      </c>
      <c r="DR67" s="4112"/>
      <c r="DS67" s="3341"/>
      <c r="DT67" s="3341"/>
      <c r="DU67" s="3349">
        <f t="shared" si="255"/>
        <v>0</v>
      </c>
      <c r="DV67" s="4074">
        <f t="shared" si="218"/>
        <v>0</v>
      </c>
      <c r="DW67" s="4112"/>
      <c r="DX67" s="3341">
        <f t="shared" si="256"/>
        <v>0</v>
      </c>
      <c r="DY67" s="3341">
        <f t="shared" si="256"/>
        <v>0</v>
      </c>
      <c r="DZ67" s="2012">
        <f t="shared" si="257"/>
        <v>0</v>
      </c>
      <c r="EA67" s="4074">
        <f t="shared" si="224"/>
        <v>0</v>
      </c>
      <c r="EB67" s="4076"/>
      <c r="ED67" s="2012">
        <f t="shared" si="258"/>
        <v>0</v>
      </c>
      <c r="EE67" s="2012">
        <f t="shared" si="258"/>
        <v>0</v>
      </c>
      <c r="EF67" s="4188"/>
      <c r="EH67" s="2624"/>
    </row>
    <row r="68" spans="1:138" s="1396" customFormat="1" ht="13.8" outlineLevel="2">
      <c r="A68" s="1571"/>
      <c r="B68" s="4098" t="s">
        <v>5</v>
      </c>
      <c r="C68" s="3341">
        <v>0</v>
      </c>
      <c r="D68" s="3341">
        <v>1312</v>
      </c>
      <c r="E68" s="2012">
        <f t="shared" si="225"/>
        <v>1312</v>
      </c>
      <c r="F68" s="4074">
        <f t="shared" si="220"/>
        <v>6.0612854798947438E-4</v>
      </c>
      <c r="G68" s="4076"/>
      <c r="H68" s="3341">
        <v>0</v>
      </c>
      <c r="I68" s="3341">
        <v>114.73</v>
      </c>
      <c r="J68" s="2012">
        <v>114.73</v>
      </c>
      <c r="K68" s="4074">
        <v>1.3122671042368903E-4</v>
      </c>
      <c r="L68" s="1434"/>
      <c r="M68" s="3341">
        <v>253.9</v>
      </c>
      <c r="N68" s="3341">
        <v>430.15</v>
      </c>
      <c r="O68" s="2012">
        <f t="shared" si="226"/>
        <v>684.05</v>
      </c>
      <c r="P68" s="4074">
        <f t="shared" si="221"/>
        <v>9.7689611273569593E-2</v>
      </c>
      <c r="Q68" s="4076"/>
      <c r="R68" s="3341"/>
      <c r="S68" s="3341"/>
      <c r="T68" s="2012">
        <f t="shared" si="227"/>
        <v>0</v>
      </c>
      <c r="U68" s="4074">
        <f t="shared" si="259"/>
        <v>0</v>
      </c>
      <c r="V68" s="4112"/>
      <c r="W68" s="3341"/>
      <c r="X68" s="3341"/>
      <c r="Y68" s="2012">
        <f t="shared" si="229"/>
        <v>0</v>
      </c>
      <c r="Z68" s="4074">
        <f t="shared" si="230"/>
        <v>0</v>
      </c>
      <c r="AA68" s="3341"/>
      <c r="AB68" s="3341"/>
      <c r="AC68" s="3341"/>
      <c r="AD68" s="2012">
        <f t="shared" si="231"/>
        <v>0</v>
      </c>
      <c r="AE68" s="4074" t="e">
        <f t="shared" si="232"/>
        <v>#DIV/0!</v>
      </c>
      <c r="AF68" s="3341"/>
      <c r="AG68" s="3341"/>
      <c r="AH68" s="3341"/>
      <c r="AI68" s="2012">
        <f t="shared" si="233"/>
        <v>0</v>
      </c>
      <c r="AJ68" s="4074" t="e">
        <f t="shared" si="234"/>
        <v>#DIV/0!</v>
      </c>
      <c r="AK68" s="3341"/>
      <c r="AL68" s="3341"/>
      <c r="AM68" s="3341"/>
      <c r="AN68" s="2012">
        <f t="shared" si="235"/>
        <v>0</v>
      </c>
      <c r="AO68" s="4074" t="e">
        <f t="shared" si="236"/>
        <v>#DIV/0!</v>
      </c>
      <c r="AP68" s="3341"/>
      <c r="AQ68" s="3341"/>
      <c r="AR68" s="3341"/>
      <c r="AS68" s="3349">
        <f t="shared" si="237"/>
        <v>0</v>
      </c>
      <c r="AT68" s="4074">
        <f t="shared" si="187"/>
        <v>0</v>
      </c>
      <c r="AU68" s="3341"/>
      <c r="AV68" s="3341"/>
      <c r="AW68" s="3341"/>
      <c r="AX68" s="3349">
        <f t="shared" si="238"/>
        <v>0</v>
      </c>
      <c r="AY68" s="4074">
        <f t="shared" si="188"/>
        <v>0</v>
      </c>
      <c r="AZ68" s="3341"/>
      <c r="BA68" s="3341"/>
      <c r="BB68" s="3341"/>
      <c r="BC68" s="3349">
        <f t="shared" si="239"/>
        <v>0</v>
      </c>
      <c r="BD68" s="4074">
        <f t="shared" si="190"/>
        <v>0</v>
      </c>
      <c r="BE68" s="3341"/>
      <c r="BF68" s="3342">
        <f t="shared" si="240"/>
        <v>0</v>
      </c>
      <c r="BG68" s="3342">
        <f t="shared" si="240"/>
        <v>0</v>
      </c>
      <c r="BH68" s="2012">
        <f t="shared" si="241"/>
        <v>0</v>
      </c>
      <c r="BI68" s="3341"/>
      <c r="BJ68" s="3341"/>
      <c r="BK68" s="3342">
        <f t="shared" si="242"/>
        <v>0</v>
      </c>
      <c r="BL68" s="3342">
        <f t="shared" si="242"/>
        <v>0</v>
      </c>
      <c r="BM68" s="2012">
        <f t="shared" si="243"/>
        <v>0</v>
      </c>
      <c r="BN68" s="3341"/>
      <c r="BO68" s="3341"/>
      <c r="BP68" s="3341"/>
      <c r="BQ68" s="3341"/>
      <c r="BR68" s="3349">
        <f t="shared" si="244"/>
        <v>0</v>
      </c>
      <c r="BS68" s="4074">
        <f t="shared" si="196"/>
        <v>0</v>
      </c>
      <c r="BT68" s="3341"/>
      <c r="BU68" s="3341"/>
      <c r="BV68" s="3341"/>
      <c r="BW68" s="3349">
        <f t="shared" si="245"/>
        <v>0</v>
      </c>
      <c r="BX68" s="4074">
        <f t="shared" si="198"/>
        <v>0</v>
      </c>
      <c r="BY68" s="3341"/>
      <c r="BZ68" s="3341"/>
      <c r="CA68" s="3341"/>
      <c r="CB68" s="3349">
        <f t="shared" si="246"/>
        <v>0</v>
      </c>
      <c r="CC68" s="4074">
        <f t="shared" si="200"/>
        <v>0</v>
      </c>
      <c r="CD68" s="3341"/>
      <c r="CE68" s="3341"/>
      <c r="CF68" s="3341"/>
      <c r="CG68" s="3349">
        <f t="shared" si="247"/>
        <v>0</v>
      </c>
      <c r="CH68" s="4074">
        <f t="shared" si="202"/>
        <v>0</v>
      </c>
      <c r="CI68" s="3341"/>
      <c r="CJ68" s="3341"/>
      <c r="CK68" s="3341"/>
      <c r="CL68" s="3349">
        <f t="shared" si="248"/>
        <v>0</v>
      </c>
      <c r="CM68" s="4074">
        <f t="shared" si="204"/>
        <v>0</v>
      </c>
      <c r="CN68" s="3341"/>
      <c r="CO68" s="3341"/>
      <c r="CP68" s="3341"/>
      <c r="CQ68" s="3349">
        <f t="shared" si="249"/>
        <v>0</v>
      </c>
      <c r="CR68" s="4074">
        <f t="shared" si="206"/>
        <v>0</v>
      </c>
      <c r="CS68" s="3341"/>
      <c r="CT68" s="3341"/>
      <c r="CU68" s="3341"/>
      <c r="CV68" s="3349">
        <f t="shared" si="250"/>
        <v>0</v>
      </c>
      <c r="CW68" s="4074">
        <f t="shared" si="208"/>
        <v>0</v>
      </c>
      <c r="CX68" s="3341"/>
      <c r="CY68" s="3341"/>
      <c r="CZ68" s="3341"/>
      <c r="DA68" s="3349">
        <f t="shared" si="251"/>
        <v>0</v>
      </c>
      <c r="DB68" s="4074">
        <f t="shared" si="210"/>
        <v>0</v>
      </c>
      <c r="DC68" s="3341"/>
      <c r="DD68" s="3341"/>
      <c r="DE68" s="3341"/>
      <c r="DF68" s="3349">
        <f t="shared" si="252"/>
        <v>0</v>
      </c>
      <c r="DG68" s="4074">
        <f t="shared" si="212"/>
        <v>0</v>
      </c>
      <c r="DH68" s="3341"/>
      <c r="DI68" s="3341"/>
      <c r="DJ68" s="3341"/>
      <c r="DK68" s="3349">
        <f t="shared" si="253"/>
        <v>0</v>
      </c>
      <c r="DL68" s="4074">
        <f t="shared" si="214"/>
        <v>0</v>
      </c>
      <c r="DM68" s="3341"/>
      <c r="DN68" s="3341"/>
      <c r="DO68" s="3341"/>
      <c r="DP68" s="3349">
        <f t="shared" si="254"/>
        <v>0</v>
      </c>
      <c r="DQ68" s="4074">
        <f t="shared" si="216"/>
        <v>0</v>
      </c>
      <c r="DR68" s="3341"/>
      <c r="DS68" s="3341"/>
      <c r="DT68" s="3341"/>
      <c r="DU68" s="3349">
        <f t="shared" si="255"/>
        <v>0</v>
      </c>
      <c r="DV68" s="4074">
        <f t="shared" si="218"/>
        <v>0</v>
      </c>
      <c r="DW68" s="3341"/>
      <c r="DX68" s="3341">
        <f t="shared" si="256"/>
        <v>0</v>
      </c>
      <c r="DY68" s="3341">
        <f t="shared" si="256"/>
        <v>0</v>
      </c>
      <c r="DZ68" s="2012">
        <f t="shared" si="257"/>
        <v>0</v>
      </c>
      <c r="EA68" s="4074">
        <f t="shared" si="224"/>
        <v>0</v>
      </c>
      <c r="EB68" s="4076"/>
      <c r="ED68" s="2012">
        <f t="shared" si="258"/>
        <v>0</v>
      </c>
      <c r="EE68" s="2012">
        <f t="shared" si="258"/>
        <v>0</v>
      </c>
      <c r="EF68" s="4188"/>
      <c r="EH68" s="2624"/>
    </row>
    <row r="69" spans="1:138" s="1396" customFormat="1" ht="13.8" outlineLevel="2">
      <c r="A69" s="1571"/>
      <c r="B69" s="4098" t="s">
        <v>42</v>
      </c>
      <c r="C69" s="3341">
        <v>0</v>
      </c>
      <c r="D69" s="3341">
        <v>0</v>
      </c>
      <c r="E69" s="2012">
        <f t="shared" si="225"/>
        <v>0</v>
      </c>
      <c r="F69" s="4074">
        <f t="shared" si="220"/>
        <v>0</v>
      </c>
      <c r="G69" s="4076"/>
      <c r="H69" s="3341">
        <v>0</v>
      </c>
      <c r="I69" s="3341">
        <v>0</v>
      </c>
      <c r="J69" s="2012">
        <v>0</v>
      </c>
      <c r="K69" s="4074">
        <v>0</v>
      </c>
      <c r="L69" s="1434"/>
      <c r="M69" s="3341"/>
      <c r="N69" s="3341"/>
      <c r="O69" s="2012">
        <f t="shared" si="226"/>
        <v>0</v>
      </c>
      <c r="P69" s="4074">
        <f t="shared" si="221"/>
        <v>0</v>
      </c>
      <c r="Q69" s="4076"/>
      <c r="R69" s="3341"/>
      <c r="S69" s="3341"/>
      <c r="T69" s="2012">
        <f t="shared" si="227"/>
        <v>0</v>
      </c>
      <c r="U69" s="4074">
        <f t="shared" si="259"/>
        <v>0</v>
      </c>
      <c r="V69" s="4112"/>
      <c r="W69" s="3341"/>
      <c r="X69" s="3341"/>
      <c r="Y69" s="2012">
        <f t="shared" si="229"/>
        <v>0</v>
      </c>
      <c r="Z69" s="4074">
        <f t="shared" si="230"/>
        <v>0</v>
      </c>
      <c r="AA69" s="4112"/>
      <c r="AB69" s="3341"/>
      <c r="AC69" s="3341"/>
      <c r="AD69" s="2012">
        <f t="shared" si="231"/>
        <v>0</v>
      </c>
      <c r="AE69" s="4074" t="e">
        <f t="shared" si="232"/>
        <v>#DIV/0!</v>
      </c>
      <c r="AF69" s="4112"/>
      <c r="AG69" s="3341"/>
      <c r="AH69" s="3341"/>
      <c r="AI69" s="2012">
        <f t="shared" si="233"/>
        <v>0</v>
      </c>
      <c r="AJ69" s="4074" t="e">
        <f t="shared" si="234"/>
        <v>#DIV/0!</v>
      </c>
      <c r="AK69" s="4112"/>
      <c r="AL69" s="3341"/>
      <c r="AM69" s="3341"/>
      <c r="AN69" s="2012">
        <f t="shared" si="235"/>
        <v>0</v>
      </c>
      <c r="AO69" s="4074" t="e">
        <f t="shared" si="236"/>
        <v>#DIV/0!</v>
      </c>
      <c r="AP69" s="4112"/>
      <c r="AQ69" s="3341"/>
      <c r="AR69" s="3341"/>
      <c r="AS69" s="3349">
        <f t="shared" si="237"/>
        <v>0</v>
      </c>
      <c r="AT69" s="4074">
        <f t="shared" si="187"/>
        <v>0</v>
      </c>
      <c r="AU69" s="4112"/>
      <c r="AV69" s="3341"/>
      <c r="AW69" s="3341"/>
      <c r="AX69" s="3349">
        <f t="shared" si="238"/>
        <v>0</v>
      </c>
      <c r="AY69" s="4074">
        <f t="shared" si="188"/>
        <v>0</v>
      </c>
      <c r="AZ69" s="4112"/>
      <c r="BA69" s="3341"/>
      <c r="BB69" s="3341"/>
      <c r="BC69" s="3349">
        <f t="shared" si="239"/>
        <v>0</v>
      </c>
      <c r="BD69" s="4074">
        <f t="shared" si="190"/>
        <v>0</v>
      </c>
      <c r="BE69" s="4112"/>
      <c r="BF69" s="3342">
        <f t="shared" si="240"/>
        <v>0</v>
      </c>
      <c r="BG69" s="3342">
        <f t="shared" si="240"/>
        <v>0</v>
      </c>
      <c r="BH69" s="2012">
        <f t="shared" si="241"/>
        <v>0</v>
      </c>
      <c r="BI69" s="3462"/>
      <c r="BJ69" s="3462"/>
      <c r="BK69" s="3342">
        <f t="shared" si="242"/>
        <v>0</v>
      </c>
      <c r="BL69" s="3342">
        <f t="shared" si="242"/>
        <v>0</v>
      </c>
      <c r="BM69" s="2012">
        <f t="shared" si="243"/>
        <v>0</v>
      </c>
      <c r="BN69" s="3462"/>
      <c r="BO69" s="3462"/>
      <c r="BP69" s="3341"/>
      <c r="BQ69" s="3341"/>
      <c r="BR69" s="3349">
        <f t="shared" si="244"/>
        <v>0</v>
      </c>
      <c r="BS69" s="4074">
        <f t="shared" si="196"/>
        <v>0</v>
      </c>
      <c r="BT69" s="4112"/>
      <c r="BU69" s="3341"/>
      <c r="BV69" s="3341"/>
      <c r="BW69" s="3349">
        <f t="shared" si="245"/>
        <v>0</v>
      </c>
      <c r="BX69" s="4074">
        <f t="shared" si="198"/>
        <v>0</v>
      </c>
      <c r="BY69" s="4112"/>
      <c r="BZ69" s="3341"/>
      <c r="CA69" s="3341"/>
      <c r="CB69" s="3349">
        <f t="shared" si="246"/>
        <v>0</v>
      </c>
      <c r="CC69" s="4074">
        <f t="shared" si="200"/>
        <v>0</v>
      </c>
      <c r="CD69" s="4112"/>
      <c r="CE69" s="3341"/>
      <c r="CF69" s="3341"/>
      <c r="CG69" s="3349">
        <f t="shared" si="247"/>
        <v>0</v>
      </c>
      <c r="CH69" s="4074">
        <f t="shared" si="202"/>
        <v>0</v>
      </c>
      <c r="CI69" s="4112"/>
      <c r="CJ69" s="3341"/>
      <c r="CK69" s="3341"/>
      <c r="CL69" s="3349">
        <f t="shared" si="248"/>
        <v>0</v>
      </c>
      <c r="CM69" s="4074">
        <f t="shared" si="204"/>
        <v>0</v>
      </c>
      <c r="CN69" s="4112"/>
      <c r="CO69" s="3341"/>
      <c r="CP69" s="3341"/>
      <c r="CQ69" s="3349">
        <f t="shared" si="249"/>
        <v>0</v>
      </c>
      <c r="CR69" s="4074">
        <f t="shared" si="206"/>
        <v>0</v>
      </c>
      <c r="CS69" s="4112"/>
      <c r="CT69" s="3341"/>
      <c r="CU69" s="3341"/>
      <c r="CV69" s="3349">
        <f t="shared" si="250"/>
        <v>0</v>
      </c>
      <c r="CW69" s="4074">
        <f t="shared" si="208"/>
        <v>0</v>
      </c>
      <c r="CX69" s="4112"/>
      <c r="CY69" s="3341"/>
      <c r="CZ69" s="3341"/>
      <c r="DA69" s="3349">
        <f t="shared" si="251"/>
        <v>0</v>
      </c>
      <c r="DB69" s="4074">
        <f t="shared" si="210"/>
        <v>0</v>
      </c>
      <c r="DC69" s="4112"/>
      <c r="DD69" s="3341"/>
      <c r="DE69" s="3341"/>
      <c r="DF69" s="3349">
        <f t="shared" si="252"/>
        <v>0</v>
      </c>
      <c r="DG69" s="4074">
        <f t="shared" si="212"/>
        <v>0</v>
      </c>
      <c r="DH69" s="4112"/>
      <c r="DI69" s="3341"/>
      <c r="DJ69" s="3341"/>
      <c r="DK69" s="3349">
        <f t="shared" si="253"/>
        <v>0</v>
      </c>
      <c r="DL69" s="4074">
        <f t="shared" si="214"/>
        <v>0</v>
      </c>
      <c r="DM69" s="4112"/>
      <c r="DN69" s="3341"/>
      <c r="DO69" s="3341"/>
      <c r="DP69" s="3349">
        <f t="shared" si="254"/>
        <v>0</v>
      </c>
      <c r="DQ69" s="4074">
        <f t="shared" si="216"/>
        <v>0</v>
      </c>
      <c r="DR69" s="4112"/>
      <c r="DS69" s="3341"/>
      <c r="DT69" s="3341"/>
      <c r="DU69" s="3349">
        <f t="shared" si="255"/>
        <v>0</v>
      </c>
      <c r="DV69" s="4074">
        <f t="shared" si="218"/>
        <v>0</v>
      </c>
      <c r="DW69" s="4112"/>
      <c r="DX69" s="3341">
        <f t="shared" si="256"/>
        <v>0</v>
      </c>
      <c r="DY69" s="3341">
        <f t="shared" si="256"/>
        <v>0</v>
      </c>
      <c r="DZ69" s="2012">
        <f t="shared" si="257"/>
        <v>0</v>
      </c>
      <c r="EA69" s="4074">
        <f t="shared" si="224"/>
        <v>0</v>
      </c>
      <c r="EB69" s="4076"/>
      <c r="ED69" s="2012">
        <f t="shared" si="258"/>
        <v>0</v>
      </c>
      <c r="EE69" s="2012">
        <f t="shared" si="258"/>
        <v>0</v>
      </c>
      <c r="EF69" s="4188"/>
      <c r="EH69" s="2624"/>
    </row>
    <row r="70" spans="1:138" s="1396" customFormat="1" ht="13.8" outlineLevel="2">
      <c r="A70" s="1571"/>
      <c r="B70" s="4098" t="s">
        <v>6</v>
      </c>
      <c r="C70" s="3341">
        <v>0</v>
      </c>
      <c r="D70" s="3341">
        <v>0</v>
      </c>
      <c r="E70" s="2012">
        <f t="shared" si="225"/>
        <v>0</v>
      </c>
      <c r="F70" s="4074">
        <f t="shared" si="220"/>
        <v>0</v>
      </c>
      <c r="G70" s="4076"/>
      <c r="H70" s="3341">
        <v>0</v>
      </c>
      <c r="I70" s="3341">
        <v>0</v>
      </c>
      <c r="J70" s="2012">
        <v>0</v>
      </c>
      <c r="K70" s="4074">
        <v>0</v>
      </c>
      <c r="L70" s="1434"/>
      <c r="M70" s="3341"/>
      <c r="N70" s="3341"/>
      <c r="O70" s="2012">
        <f t="shared" si="226"/>
        <v>0</v>
      </c>
      <c r="P70" s="4074">
        <f t="shared" si="221"/>
        <v>0</v>
      </c>
      <c r="Q70" s="4076"/>
      <c r="R70" s="3341"/>
      <c r="S70" s="3341"/>
      <c r="T70" s="2012">
        <f t="shared" si="227"/>
        <v>0</v>
      </c>
      <c r="U70" s="4074">
        <f t="shared" si="259"/>
        <v>0</v>
      </c>
      <c r="V70" s="4112"/>
      <c r="W70" s="3341"/>
      <c r="X70" s="3341"/>
      <c r="Y70" s="2012">
        <f t="shared" si="229"/>
        <v>0</v>
      </c>
      <c r="Z70" s="4074">
        <f t="shared" si="230"/>
        <v>0</v>
      </c>
      <c r="AA70" s="4112"/>
      <c r="AB70" s="3341"/>
      <c r="AC70" s="3341"/>
      <c r="AD70" s="2012">
        <f t="shared" si="231"/>
        <v>0</v>
      </c>
      <c r="AE70" s="4074" t="e">
        <f t="shared" si="232"/>
        <v>#DIV/0!</v>
      </c>
      <c r="AF70" s="4112"/>
      <c r="AG70" s="3341"/>
      <c r="AH70" s="3341"/>
      <c r="AI70" s="2012">
        <f t="shared" si="233"/>
        <v>0</v>
      </c>
      <c r="AJ70" s="4074" t="e">
        <f t="shared" si="234"/>
        <v>#DIV/0!</v>
      </c>
      <c r="AK70" s="4112"/>
      <c r="AL70" s="3341"/>
      <c r="AM70" s="3341"/>
      <c r="AN70" s="2012">
        <f t="shared" si="235"/>
        <v>0</v>
      </c>
      <c r="AO70" s="4074" t="e">
        <f t="shared" si="236"/>
        <v>#DIV/0!</v>
      </c>
      <c r="AP70" s="4112"/>
      <c r="AQ70" s="3341"/>
      <c r="AR70" s="3341"/>
      <c r="AS70" s="3349">
        <f t="shared" si="237"/>
        <v>0</v>
      </c>
      <c r="AT70" s="4074">
        <f t="shared" si="187"/>
        <v>0</v>
      </c>
      <c r="AU70" s="4112"/>
      <c r="AV70" s="3341"/>
      <c r="AW70" s="3341"/>
      <c r="AX70" s="3349">
        <f t="shared" si="238"/>
        <v>0</v>
      </c>
      <c r="AY70" s="4074">
        <f t="shared" si="188"/>
        <v>0</v>
      </c>
      <c r="AZ70" s="4112"/>
      <c r="BA70" s="3341"/>
      <c r="BB70" s="3341"/>
      <c r="BC70" s="3349">
        <f t="shared" si="239"/>
        <v>0</v>
      </c>
      <c r="BD70" s="4074">
        <f t="shared" si="190"/>
        <v>0</v>
      </c>
      <c r="BE70" s="4112"/>
      <c r="BF70" s="3342">
        <f t="shared" si="240"/>
        <v>0</v>
      </c>
      <c r="BG70" s="3342">
        <f t="shared" si="240"/>
        <v>0</v>
      </c>
      <c r="BH70" s="2012">
        <f t="shared" si="241"/>
        <v>0</v>
      </c>
      <c r="BI70" s="3462"/>
      <c r="BJ70" s="3462"/>
      <c r="BK70" s="3342">
        <f t="shared" si="242"/>
        <v>0</v>
      </c>
      <c r="BL70" s="3342">
        <f t="shared" si="242"/>
        <v>0</v>
      </c>
      <c r="BM70" s="2012">
        <f t="shared" si="243"/>
        <v>0</v>
      </c>
      <c r="BN70" s="3462"/>
      <c r="BO70" s="3462"/>
      <c r="BP70" s="3341"/>
      <c r="BQ70" s="3341"/>
      <c r="BR70" s="3349">
        <f t="shared" si="244"/>
        <v>0</v>
      </c>
      <c r="BS70" s="4074">
        <f t="shared" si="196"/>
        <v>0</v>
      </c>
      <c r="BT70" s="4112"/>
      <c r="BU70" s="3341"/>
      <c r="BV70" s="3341"/>
      <c r="BW70" s="3349">
        <f t="shared" si="245"/>
        <v>0</v>
      </c>
      <c r="BX70" s="4074">
        <f t="shared" si="198"/>
        <v>0</v>
      </c>
      <c r="BY70" s="4112"/>
      <c r="BZ70" s="3341"/>
      <c r="CA70" s="3341"/>
      <c r="CB70" s="3349">
        <f t="shared" si="246"/>
        <v>0</v>
      </c>
      <c r="CC70" s="4074">
        <f t="shared" si="200"/>
        <v>0</v>
      </c>
      <c r="CD70" s="4112"/>
      <c r="CE70" s="3341"/>
      <c r="CF70" s="3341"/>
      <c r="CG70" s="3349">
        <f t="shared" si="247"/>
        <v>0</v>
      </c>
      <c r="CH70" s="4074">
        <f t="shared" si="202"/>
        <v>0</v>
      </c>
      <c r="CI70" s="4112"/>
      <c r="CJ70" s="3341"/>
      <c r="CK70" s="3341"/>
      <c r="CL70" s="3349">
        <f t="shared" si="248"/>
        <v>0</v>
      </c>
      <c r="CM70" s="4074">
        <f t="shared" si="204"/>
        <v>0</v>
      </c>
      <c r="CN70" s="4112"/>
      <c r="CO70" s="3341"/>
      <c r="CP70" s="3341"/>
      <c r="CQ70" s="3349">
        <f t="shared" si="249"/>
        <v>0</v>
      </c>
      <c r="CR70" s="4074">
        <f t="shared" si="206"/>
        <v>0</v>
      </c>
      <c r="CS70" s="4112"/>
      <c r="CT70" s="3341"/>
      <c r="CU70" s="3341"/>
      <c r="CV70" s="3349">
        <f t="shared" si="250"/>
        <v>0</v>
      </c>
      <c r="CW70" s="4074">
        <f t="shared" si="208"/>
        <v>0</v>
      </c>
      <c r="CX70" s="4112"/>
      <c r="CY70" s="3341"/>
      <c r="CZ70" s="3341"/>
      <c r="DA70" s="3349">
        <f t="shared" si="251"/>
        <v>0</v>
      </c>
      <c r="DB70" s="4074">
        <f t="shared" si="210"/>
        <v>0</v>
      </c>
      <c r="DC70" s="4112"/>
      <c r="DD70" s="3341"/>
      <c r="DE70" s="3341"/>
      <c r="DF70" s="3349">
        <f t="shared" si="252"/>
        <v>0</v>
      </c>
      <c r="DG70" s="4074">
        <f t="shared" si="212"/>
        <v>0</v>
      </c>
      <c r="DH70" s="4112"/>
      <c r="DI70" s="3341"/>
      <c r="DJ70" s="3341"/>
      <c r="DK70" s="3349">
        <f t="shared" si="253"/>
        <v>0</v>
      </c>
      <c r="DL70" s="4074">
        <f t="shared" si="214"/>
        <v>0</v>
      </c>
      <c r="DM70" s="4112"/>
      <c r="DN70" s="3341"/>
      <c r="DO70" s="3341"/>
      <c r="DP70" s="3349">
        <f t="shared" si="254"/>
        <v>0</v>
      </c>
      <c r="DQ70" s="4074">
        <f t="shared" si="216"/>
        <v>0</v>
      </c>
      <c r="DR70" s="4112"/>
      <c r="DS70" s="3341"/>
      <c r="DT70" s="3341"/>
      <c r="DU70" s="3349">
        <f t="shared" si="255"/>
        <v>0</v>
      </c>
      <c r="DV70" s="4074">
        <f t="shared" si="218"/>
        <v>0</v>
      </c>
      <c r="DW70" s="4112"/>
      <c r="DX70" s="3341">
        <f t="shared" si="256"/>
        <v>0</v>
      </c>
      <c r="DY70" s="3341">
        <f t="shared" si="256"/>
        <v>0</v>
      </c>
      <c r="DZ70" s="2012">
        <f t="shared" si="257"/>
        <v>0</v>
      </c>
      <c r="EA70" s="4074">
        <f t="shared" si="224"/>
        <v>0</v>
      </c>
      <c r="EB70" s="4076"/>
      <c r="ED70" s="2012">
        <f t="shared" si="258"/>
        <v>0</v>
      </c>
      <c r="EE70" s="2012">
        <f t="shared" si="258"/>
        <v>0</v>
      </c>
      <c r="EF70" s="4188"/>
      <c r="EH70" s="2624"/>
    </row>
    <row r="71" spans="1:138" s="1396" customFormat="1" ht="13.8" outlineLevel="2">
      <c r="A71" s="1571"/>
      <c r="B71" s="4098" t="s">
        <v>78</v>
      </c>
      <c r="C71" s="3341">
        <v>0</v>
      </c>
      <c r="D71" s="3341">
        <v>0</v>
      </c>
      <c r="E71" s="2012">
        <f t="shared" si="225"/>
        <v>0</v>
      </c>
      <c r="F71" s="4074">
        <f t="shared" si="220"/>
        <v>0</v>
      </c>
      <c r="G71" s="4076"/>
      <c r="H71" s="3341">
        <v>0</v>
      </c>
      <c r="I71" s="3341">
        <v>0</v>
      </c>
      <c r="J71" s="2012">
        <v>0</v>
      </c>
      <c r="K71" s="4074">
        <v>0</v>
      </c>
      <c r="L71" s="1434"/>
      <c r="M71" s="3341"/>
      <c r="N71" s="3341"/>
      <c r="O71" s="2012">
        <f t="shared" si="226"/>
        <v>0</v>
      </c>
      <c r="P71" s="4074">
        <f t="shared" si="221"/>
        <v>0</v>
      </c>
      <c r="Q71" s="4076"/>
      <c r="R71" s="3341"/>
      <c r="S71" s="3341"/>
      <c r="T71" s="2012">
        <f t="shared" si="227"/>
        <v>0</v>
      </c>
      <c r="U71" s="4074">
        <f t="shared" si="259"/>
        <v>0</v>
      </c>
      <c r="V71" s="4112"/>
      <c r="W71" s="3341"/>
      <c r="X71" s="3341"/>
      <c r="Y71" s="2012">
        <f t="shared" si="229"/>
        <v>0</v>
      </c>
      <c r="Z71" s="4074">
        <f t="shared" si="230"/>
        <v>0</v>
      </c>
      <c r="AA71" s="4112"/>
      <c r="AB71" s="3341"/>
      <c r="AC71" s="3341"/>
      <c r="AD71" s="2012">
        <f t="shared" si="231"/>
        <v>0</v>
      </c>
      <c r="AE71" s="4074" t="e">
        <f t="shared" si="232"/>
        <v>#DIV/0!</v>
      </c>
      <c r="AF71" s="4112"/>
      <c r="AG71" s="3341"/>
      <c r="AH71" s="3341"/>
      <c r="AI71" s="2012">
        <f t="shared" si="233"/>
        <v>0</v>
      </c>
      <c r="AJ71" s="4074" t="e">
        <f t="shared" si="234"/>
        <v>#DIV/0!</v>
      </c>
      <c r="AK71" s="4112"/>
      <c r="AL71" s="3341"/>
      <c r="AM71" s="3341"/>
      <c r="AN71" s="2012">
        <f t="shared" si="235"/>
        <v>0</v>
      </c>
      <c r="AO71" s="4074" t="e">
        <f t="shared" si="236"/>
        <v>#DIV/0!</v>
      </c>
      <c r="AP71" s="4112"/>
      <c r="AQ71" s="3341"/>
      <c r="AR71" s="3341"/>
      <c r="AS71" s="3349">
        <f t="shared" si="237"/>
        <v>0</v>
      </c>
      <c r="AT71" s="4074">
        <f t="shared" si="187"/>
        <v>0</v>
      </c>
      <c r="AU71" s="4112"/>
      <c r="AV71" s="3341"/>
      <c r="AW71" s="3341"/>
      <c r="AX71" s="3349">
        <f t="shared" si="238"/>
        <v>0</v>
      </c>
      <c r="AY71" s="4074">
        <f t="shared" si="188"/>
        <v>0</v>
      </c>
      <c r="AZ71" s="4112"/>
      <c r="BA71" s="3341"/>
      <c r="BB71" s="3341"/>
      <c r="BC71" s="3349">
        <f t="shared" si="239"/>
        <v>0</v>
      </c>
      <c r="BD71" s="4074">
        <f t="shared" si="190"/>
        <v>0</v>
      </c>
      <c r="BE71" s="4112"/>
      <c r="BF71" s="3342">
        <f t="shared" si="240"/>
        <v>0</v>
      </c>
      <c r="BG71" s="3342">
        <f t="shared" si="240"/>
        <v>0</v>
      </c>
      <c r="BH71" s="2012">
        <f t="shared" si="241"/>
        <v>0</v>
      </c>
      <c r="BI71" s="3462"/>
      <c r="BJ71" s="3462"/>
      <c r="BK71" s="3342">
        <f t="shared" si="242"/>
        <v>0</v>
      </c>
      <c r="BL71" s="3342">
        <f t="shared" si="242"/>
        <v>0</v>
      </c>
      <c r="BM71" s="2012">
        <f t="shared" si="243"/>
        <v>0</v>
      </c>
      <c r="BN71" s="3462"/>
      <c r="BO71" s="3462"/>
      <c r="BP71" s="3341"/>
      <c r="BQ71" s="3341"/>
      <c r="BR71" s="3349">
        <f t="shared" si="244"/>
        <v>0</v>
      </c>
      <c r="BS71" s="4074">
        <f t="shared" si="196"/>
        <v>0</v>
      </c>
      <c r="BT71" s="4112"/>
      <c r="BU71" s="3341"/>
      <c r="BV71" s="3341"/>
      <c r="BW71" s="3349">
        <f t="shared" si="245"/>
        <v>0</v>
      </c>
      <c r="BX71" s="4074">
        <f t="shared" si="198"/>
        <v>0</v>
      </c>
      <c r="BY71" s="4112"/>
      <c r="BZ71" s="3341"/>
      <c r="CA71" s="3341"/>
      <c r="CB71" s="3349">
        <f t="shared" si="246"/>
        <v>0</v>
      </c>
      <c r="CC71" s="4074">
        <f t="shared" si="200"/>
        <v>0</v>
      </c>
      <c r="CD71" s="4112"/>
      <c r="CE71" s="3341"/>
      <c r="CF71" s="3341"/>
      <c r="CG71" s="3349">
        <f t="shared" si="247"/>
        <v>0</v>
      </c>
      <c r="CH71" s="4074">
        <f t="shared" si="202"/>
        <v>0</v>
      </c>
      <c r="CI71" s="4112"/>
      <c r="CJ71" s="3341"/>
      <c r="CK71" s="3341"/>
      <c r="CL71" s="3349">
        <f t="shared" si="248"/>
        <v>0</v>
      </c>
      <c r="CM71" s="4074">
        <f t="shared" si="204"/>
        <v>0</v>
      </c>
      <c r="CN71" s="4112"/>
      <c r="CO71" s="3341"/>
      <c r="CP71" s="3341"/>
      <c r="CQ71" s="3349">
        <f t="shared" si="249"/>
        <v>0</v>
      </c>
      <c r="CR71" s="4074">
        <f t="shared" si="206"/>
        <v>0</v>
      </c>
      <c r="CS71" s="4112"/>
      <c r="CT71" s="3341"/>
      <c r="CU71" s="3341"/>
      <c r="CV71" s="3349">
        <f t="shared" si="250"/>
        <v>0</v>
      </c>
      <c r="CW71" s="4074">
        <f t="shared" si="208"/>
        <v>0</v>
      </c>
      <c r="CX71" s="4112"/>
      <c r="CY71" s="3341"/>
      <c r="CZ71" s="3341"/>
      <c r="DA71" s="3349">
        <f t="shared" si="251"/>
        <v>0</v>
      </c>
      <c r="DB71" s="4074">
        <f t="shared" si="210"/>
        <v>0</v>
      </c>
      <c r="DC71" s="4112"/>
      <c r="DD71" s="3341"/>
      <c r="DE71" s="3341"/>
      <c r="DF71" s="3349">
        <f t="shared" si="252"/>
        <v>0</v>
      </c>
      <c r="DG71" s="4074">
        <f t="shared" si="212"/>
        <v>0</v>
      </c>
      <c r="DH71" s="4112"/>
      <c r="DI71" s="3341"/>
      <c r="DJ71" s="3341"/>
      <c r="DK71" s="3349">
        <f t="shared" si="253"/>
        <v>0</v>
      </c>
      <c r="DL71" s="4074">
        <f t="shared" si="214"/>
        <v>0</v>
      </c>
      <c r="DM71" s="4112"/>
      <c r="DN71" s="3341"/>
      <c r="DO71" s="3341"/>
      <c r="DP71" s="3349">
        <f t="shared" si="254"/>
        <v>0</v>
      </c>
      <c r="DQ71" s="4074">
        <f t="shared" si="216"/>
        <v>0</v>
      </c>
      <c r="DR71" s="4112"/>
      <c r="DS71" s="3341"/>
      <c r="DT71" s="3341"/>
      <c r="DU71" s="3349">
        <f t="shared" si="255"/>
        <v>0</v>
      </c>
      <c r="DV71" s="4074">
        <f t="shared" si="218"/>
        <v>0</v>
      </c>
      <c r="DW71" s="4112"/>
      <c r="DX71" s="3341">
        <f t="shared" si="256"/>
        <v>0</v>
      </c>
      <c r="DY71" s="3341">
        <f t="shared" si="256"/>
        <v>0</v>
      </c>
      <c r="DZ71" s="2012">
        <f t="shared" si="257"/>
        <v>0</v>
      </c>
      <c r="EA71" s="4074">
        <f t="shared" si="224"/>
        <v>0</v>
      </c>
      <c r="EB71" s="4076"/>
      <c r="ED71" s="2012">
        <f t="shared" si="258"/>
        <v>0</v>
      </c>
      <c r="EE71" s="2012">
        <f t="shared" si="258"/>
        <v>0</v>
      </c>
      <c r="EF71" s="4188"/>
      <c r="EH71" s="2624"/>
    </row>
    <row r="72" spans="1:138" s="1396" customFormat="1" ht="13.8" outlineLevel="2">
      <c r="A72" s="1571"/>
      <c r="B72" s="4123"/>
      <c r="C72" s="4116">
        <v>0</v>
      </c>
      <c r="D72" s="4116">
        <v>0</v>
      </c>
      <c r="E72" s="4115"/>
      <c r="F72" s="4074">
        <f t="shared" si="220"/>
        <v>0</v>
      </c>
      <c r="G72" s="4076"/>
      <c r="H72" s="4080">
        <v>0</v>
      </c>
      <c r="I72" s="4080">
        <v>0</v>
      </c>
      <c r="J72" s="4115"/>
      <c r="K72" s="4074">
        <v>0</v>
      </c>
      <c r="L72" s="4076"/>
      <c r="M72" s="4080"/>
      <c r="N72" s="4080"/>
      <c r="O72" s="4115"/>
      <c r="P72" s="4074">
        <f t="shared" si="221"/>
        <v>0</v>
      </c>
      <c r="Q72" s="4076"/>
      <c r="R72" s="4080"/>
      <c r="S72" s="4080"/>
      <c r="T72" s="4115"/>
      <c r="U72" s="4074">
        <f t="shared" si="259"/>
        <v>0</v>
      </c>
      <c r="V72" s="4112"/>
      <c r="W72" s="4080"/>
      <c r="X72" s="4080"/>
      <c r="Y72" s="4115"/>
      <c r="Z72" s="4074">
        <f t="shared" si="230"/>
        <v>0</v>
      </c>
      <c r="AA72" s="4112"/>
      <c r="AB72" s="4080"/>
      <c r="AC72" s="4080"/>
      <c r="AD72" s="4115"/>
      <c r="AE72" s="4074">
        <f>AD72/$Y$89</f>
        <v>0</v>
      </c>
      <c r="AF72" s="4112"/>
      <c r="AG72" s="4080"/>
      <c r="AH72" s="4080"/>
      <c r="AI72" s="4115"/>
      <c r="AJ72" s="4074">
        <f>AI72/$Y$89</f>
        <v>0</v>
      </c>
      <c r="AK72" s="4112"/>
      <c r="AL72" s="4080"/>
      <c r="AM72" s="4080"/>
      <c r="AN72" s="4115"/>
      <c r="AO72" s="4074">
        <f>AN72/$Y$89</f>
        <v>0</v>
      </c>
      <c r="AP72" s="4112"/>
      <c r="AQ72" s="4080"/>
      <c r="AR72" s="4080"/>
      <c r="AS72" s="4115"/>
      <c r="AT72" s="4074"/>
      <c r="AU72" s="4112"/>
      <c r="AV72" s="4080"/>
      <c r="AW72" s="4080"/>
      <c r="AX72" s="4115"/>
      <c r="AY72" s="4074"/>
      <c r="AZ72" s="4112"/>
      <c r="BA72" s="4080"/>
      <c r="BB72" s="4080"/>
      <c r="BC72" s="4115"/>
      <c r="BD72" s="4074"/>
      <c r="BE72" s="4112"/>
      <c r="BF72" s="4112"/>
      <c r="BG72" s="4112"/>
      <c r="BH72" s="4112"/>
      <c r="BI72" s="4112"/>
      <c r="BJ72" s="4112"/>
      <c r="BK72" s="4112"/>
      <c r="BL72" s="4112"/>
      <c r="BM72" s="4112"/>
      <c r="BN72" s="4112"/>
      <c r="BO72" s="4112"/>
      <c r="BP72" s="4080"/>
      <c r="BQ72" s="4080"/>
      <c r="BR72" s="4115"/>
      <c r="BS72" s="4074"/>
      <c r="BT72" s="4112"/>
      <c r="BU72" s="4080"/>
      <c r="BV72" s="4080"/>
      <c r="BW72" s="4115"/>
      <c r="BX72" s="4074"/>
      <c r="BY72" s="4112"/>
      <c r="BZ72" s="4080"/>
      <c r="CA72" s="4080"/>
      <c r="CB72" s="4115"/>
      <c r="CC72" s="4074"/>
      <c r="CD72" s="4112"/>
      <c r="CE72" s="4080"/>
      <c r="CF72" s="4080"/>
      <c r="CG72" s="4115"/>
      <c r="CH72" s="4074"/>
      <c r="CI72" s="4112"/>
      <c r="CJ72" s="4080"/>
      <c r="CK72" s="4080"/>
      <c r="CL72" s="4115"/>
      <c r="CM72" s="4074"/>
      <c r="CN72" s="4112"/>
      <c r="CO72" s="4080"/>
      <c r="CP72" s="4080"/>
      <c r="CQ72" s="4115"/>
      <c r="CR72" s="4074"/>
      <c r="CS72" s="4112"/>
      <c r="CT72" s="4080"/>
      <c r="CU72" s="4080"/>
      <c r="CV72" s="4115"/>
      <c r="CW72" s="4074"/>
      <c r="CX72" s="4112"/>
      <c r="CY72" s="4080"/>
      <c r="CZ72" s="4080"/>
      <c r="DA72" s="4115"/>
      <c r="DB72" s="4074"/>
      <c r="DC72" s="4112"/>
      <c r="DD72" s="4080"/>
      <c r="DE72" s="4080"/>
      <c r="DF72" s="4115"/>
      <c r="DG72" s="4074"/>
      <c r="DH72" s="4112"/>
      <c r="DI72" s="4080"/>
      <c r="DJ72" s="4080"/>
      <c r="DK72" s="4115"/>
      <c r="DL72" s="4074"/>
      <c r="DM72" s="4112"/>
      <c r="DN72" s="4080"/>
      <c r="DO72" s="4080"/>
      <c r="DP72" s="4115"/>
      <c r="DQ72" s="4074"/>
      <c r="DR72" s="4112"/>
      <c r="DS72" s="4080"/>
      <c r="DT72" s="4080"/>
      <c r="DU72" s="4115"/>
      <c r="DV72" s="4074"/>
      <c r="DW72" s="4112"/>
      <c r="DX72" s="4080">
        <f>M72+R72+W72</f>
        <v>0</v>
      </c>
      <c r="DY72" s="4080">
        <f>X72+S72+N72</f>
        <v>0</v>
      </c>
      <c r="DZ72" s="4115"/>
      <c r="EA72" s="4074">
        <f>DZ72/$DZ$89</f>
        <v>0</v>
      </c>
      <c r="EB72" s="4076"/>
      <c r="ED72" s="2030"/>
      <c r="EE72" s="2030"/>
      <c r="EF72" s="4187"/>
      <c r="EH72" s="2624"/>
    </row>
    <row r="73" spans="1:138" s="1396" customFormat="1" ht="14.4" outlineLevel="1" thickBot="1">
      <c r="A73" s="1571"/>
      <c r="B73" s="3737" t="s">
        <v>4</v>
      </c>
      <c r="C73" s="555">
        <f>C74</f>
        <v>0</v>
      </c>
      <c r="D73" s="3738">
        <f>D74</f>
        <v>0</v>
      </c>
      <c r="E73" s="3739">
        <f>E74</f>
        <v>0</v>
      </c>
      <c r="F73" s="3738"/>
      <c r="G73" s="3738"/>
      <c r="H73" s="555">
        <v>0</v>
      </c>
      <c r="I73" s="3738">
        <v>0</v>
      </c>
      <c r="J73" s="3739">
        <v>0</v>
      </c>
      <c r="K73" s="3738"/>
      <c r="L73" s="3740"/>
      <c r="M73" s="555">
        <f>M74</f>
        <v>0</v>
      </c>
      <c r="N73" s="3738">
        <f>N74</f>
        <v>0</v>
      </c>
      <c r="O73" s="3739">
        <f>O74</f>
        <v>0</v>
      </c>
      <c r="P73" s="3738"/>
      <c r="Q73" s="3738"/>
      <c r="R73" s="555">
        <f>R74</f>
        <v>0</v>
      </c>
      <c r="S73" s="3738">
        <f>S74</f>
        <v>0</v>
      </c>
      <c r="T73" s="3739">
        <f>T74</f>
        <v>0</v>
      </c>
      <c r="U73" s="3738"/>
      <c r="V73" s="3741"/>
      <c r="W73" s="555">
        <f>W74</f>
        <v>0</v>
      </c>
      <c r="X73" s="3738">
        <f>X74</f>
        <v>0</v>
      </c>
      <c r="Y73" s="3739">
        <f>Y74</f>
        <v>0</v>
      </c>
      <c r="Z73" s="3738"/>
      <c r="AA73" s="3741"/>
      <c r="AB73" s="555">
        <f>AB74</f>
        <v>0</v>
      </c>
      <c r="AC73" s="3738">
        <f>AC74</f>
        <v>0</v>
      </c>
      <c r="AD73" s="3739">
        <f>AD74</f>
        <v>0</v>
      </c>
      <c r="AE73" s="3738"/>
      <c r="AF73" s="3741"/>
      <c r="AG73" s="555">
        <f>AG74</f>
        <v>0</v>
      </c>
      <c r="AH73" s="3738">
        <f>AH74</f>
        <v>0</v>
      </c>
      <c r="AI73" s="3739">
        <f>AI74</f>
        <v>0</v>
      </c>
      <c r="AJ73" s="3738"/>
      <c r="AK73" s="3741"/>
      <c r="AL73" s="555">
        <f>AL74</f>
        <v>0</v>
      </c>
      <c r="AM73" s="3738">
        <f>AM74</f>
        <v>0</v>
      </c>
      <c r="AN73" s="3739">
        <f>AN74</f>
        <v>0</v>
      </c>
      <c r="AO73" s="3738"/>
      <c r="AP73" s="3741"/>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2"/>
      <c r="BK73" s="555">
        <f>BK74</f>
        <v>0</v>
      </c>
      <c r="BL73" s="3738">
        <f>BL74</f>
        <v>0</v>
      </c>
      <c r="BM73" s="3739">
        <f>BM74</f>
        <v>0</v>
      </c>
      <c r="BN73" s="3738"/>
      <c r="BO73" s="3742"/>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38">
        <f>CK74</f>
        <v>0</v>
      </c>
      <c r="CL73" s="3739">
        <f>CL74</f>
        <v>0</v>
      </c>
      <c r="CM73" s="3738"/>
      <c r="CN73" s="3741"/>
      <c r="CO73" s="555">
        <f>CO74</f>
        <v>0</v>
      </c>
      <c r="CP73" s="3738">
        <f>CP74</f>
        <v>0</v>
      </c>
      <c r="CQ73" s="3739">
        <f>CQ74</f>
        <v>0</v>
      </c>
      <c r="CR73" s="3738"/>
      <c r="CS73" s="3741"/>
      <c r="CT73" s="555">
        <f>CT74</f>
        <v>0</v>
      </c>
      <c r="CU73" s="3738">
        <f>CU74</f>
        <v>0</v>
      </c>
      <c r="CV73" s="3739">
        <f>CV74</f>
        <v>0</v>
      </c>
      <c r="CW73" s="3738"/>
      <c r="CX73" s="3741"/>
      <c r="CY73" s="555">
        <f>CY74</f>
        <v>0</v>
      </c>
      <c r="CZ73" s="3738">
        <f>CZ74</f>
        <v>0</v>
      </c>
      <c r="DA73" s="3739">
        <f>DA74</f>
        <v>0</v>
      </c>
      <c r="DB73" s="3738"/>
      <c r="DC73" s="3741"/>
      <c r="DD73" s="555">
        <f>DD74</f>
        <v>0</v>
      </c>
      <c r="DE73" s="3738">
        <f>DE74</f>
        <v>0</v>
      </c>
      <c r="DF73" s="3739">
        <f>DF74</f>
        <v>0</v>
      </c>
      <c r="DG73" s="3738"/>
      <c r="DH73" s="3741"/>
      <c r="DI73" s="555">
        <f>DI74</f>
        <v>0</v>
      </c>
      <c r="DJ73" s="3738">
        <f>DJ74</f>
        <v>0</v>
      </c>
      <c r="DK73" s="3739">
        <f>DK74</f>
        <v>0</v>
      </c>
      <c r="DL73" s="3738"/>
      <c r="DM73" s="3741"/>
      <c r="DN73" s="555">
        <f>DN74</f>
        <v>0</v>
      </c>
      <c r="DO73" s="3738">
        <f>DO74</f>
        <v>0</v>
      </c>
      <c r="DP73" s="3739">
        <f>DP74</f>
        <v>0</v>
      </c>
      <c r="DQ73" s="3738"/>
      <c r="DR73" s="3741"/>
      <c r="DS73" s="555">
        <f>DS74</f>
        <v>0</v>
      </c>
      <c r="DT73" s="3738">
        <f>DT74</f>
        <v>0</v>
      </c>
      <c r="DU73" s="3739">
        <f>DU74</f>
        <v>0</v>
      </c>
      <c r="DV73" s="3738"/>
      <c r="DW73" s="3741"/>
      <c r="DX73" s="555">
        <f>DX74</f>
        <v>0</v>
      </c>
      <c r="DY73" s="3743">
        <f>DY74</f>
        <v>0</v>
      </c>
      <c r="DZ73" s="3739">
        <f>DZ74</f>
        <v>0</v>
      </c>
      <c r="EA73" s="3738"/>
      <c r="EB73" s="3738"/>
      <c r="ED73" s="4124">
        <f>ED74</f>
        <v>0</v>
      </c>
      <c r="EE73" s="4124">
        <f>EE74</f>
        <v>0</v>
      </c>
      <c r="EF73" s="4124"/>
      <c r="EH73" s="2624"/>
    </row>
    <row r="74" spans="1:138" s="1396" customFormat="1" ht="14.4" outlineLevel="1" thickBot="1">
      <c r="A74" s="1413"/>
      <c r="B74" s="1051" t="s">
        <v>64</v>
      </c>
      <c r="C74" s="3661"/>
      <c r="D74" s="3386"/>
      <c r="E74" s="3386">
        <f>C74+D74*1</f>
        <v>0</v>
      </c>
      <c r="F74" s="3386"/>
      <c r="G74" s="3386"/>
      <c r="H74" s="3341">
        <v>0</v>
      </c>
      <c r="I74" s="3341">
        <v>0</v>
      </c>
      <c r="J74" s="3386">
        <v>0</v>
      </c>
      <c r="K74" s="3386"/>
      <c r="L74" s="3388"/>
      <c r="M74" s="3341"/>
      <c r="N74" s="3341"/>
      <c r="O74" s="3386">
        <f>M74+N74*1</f>
        <v>0</v>
      </c>
      <c r="P74" s="3386"/>
      <c r="Q74" s="3386"/>
      <c r="R74" s="3341"/>
      <c r="S74" s="3341"/>
      <c r="T74" s="3386">
        <f>R74+S74*1</f>
        <v>0</v>
      </c>
      <c r="U74" s="3386"/>
      <c r="V74" s="3468"/>
      <c r="W74" s="3341"/>
      <c r="X74" s="3341"/>
      <c r="Y74" s="3386">
        <f>W74+X74*1</f>
        <v>0</v>
      </c>
      <c r="Z74" s="3386"/>
      <c r="AA74" s="3468"/>
      <c r="AB74" s="3341"/>
      <c r="AC74" s="3341"/>
      <c r="AD74" s="3386">
        <f>AB74+AC74*1</f>
        <v>0</v>
      </c>
      <c r="AE74" s="3386"/>
      <c r="AF74" s="3468"/>
      <c r="AG74" s="3341"/>
      <c r="AH74" s="3341"/>
      <c r="AI74" s="3386">
        <f>AG74+AH74*1</f>
        <v>0</v>
      </c>
      <c r="AJ74" s="3386"/>
      <c r="AK74" s="3468"/>
      <c r="AL74" s="3341"/>
      <c r="AM74" s="3341"/>
      <c r="AN74" s="3386">
        <f>AL74+AM74*1</f>
        <v>0</v>
      </c>
      <c r="AO74" s="3386"/>
      <c r="AP74" s="3468"/>
      <c r="AQ74" s="3341"/>
      <c r="AR74" s="3341"/>
      <c r="AS74" s="3386">
        <f>AQ74+AR74*1</f>
        <v>0</v>
      </c>
      <c r="AT74" s="3386"/>
      <c r="AU74" s="3468"/>
      <c r="AV74" s="3341"/>
      <c r="AW74" s="3341"/>
      <c r="AX74" s="3386">
        <f>AV74+AW74*1</f>
        <v>0</v>
      </c>
      <c r="AY74" s="3386"/>
      <c r="AZ74" s="3468"/>
      <c r="BA74" s="3341"/>
      <c r="BB74" s="3341"/>
      <c r="BC74" s="3386">
        <f>BA74+BB74*1</f>
        <v>0</v>
      </c>
      <c r="BD74" s="3386"/>
      <c r="BE74" s="3468"/>
      <c r="BF74" s="3469"/>
      <c r="BG74" s="3469"/>
      <c r="BH74" s="3469"/>
      <c r="BI74" s="3469"/>
      <c r="BJ74" s="3469"/>
      <c r="BK74" s="3342">
        <f t="shared" ref="BK74:BL74" si="260">BP74+BU74+BZ74+CJ74+CO74+CT74+CY74+DD74+DI74+DN74+DS74+CE74</f>
        <v>0</v>
      </c>
      <c r="BL74" s="3342">
        <f t="shared" si="260"/>
        <v>0</v>
      </c>
      <c r="BM74" s="3469"/>
      <c r="BN74" s="3469"/>
      <c r="BO74" s="3469"/>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c r="CK74" s="3341"/>
      <c r="CL74" s="3386">
        <f>CJ74+CK74*1</f>
        <v>0</v>
      </c>
      <c r="CM74" s="3386"/>
      <c r="CN74" s="3468"/>
      <c r="CO74" s="3341"/>
      <c r="CP74" s="3341"/>
      <c r="CQ74" s="3386">
        <f>CO74+CP74*1</f>
        <v>0</v>
      </c>
      <c r="CR74" s="3386"/>
      <c r="CS74" s="3468"/>
      <c r="CT74" s="3341"/>
      <c r="CU74" s="3341"/>
      <c r="CV74" s="3386">
        <f>CT74+CU74*1</f>
        <v>0</v>
      </c>
      <c r="CW74" s="3386"/>
      <c r="CX74" s="3468"/>
      <c r="CY74" s="3341"/>
      <c r="CZ74" s="3341"/>
      <c r="DA74" s="3386">
        <f>CY74+CZ74*1</f>
        <v>0</v>
      </c>
      <c r="DB74" s="3386"/>
      <c r="DC74" s="3468"/>
      <c r="DD74" s="3341"/>
      <c r="DE74" s="3341"/>
      <c r="DF74" s="3386">
        <f>DD74+DE74*1</f>
        <v>0</v>
      </c>
      <c r="DG74" s="3386"/>
      <c r="DH74" s="3468"/>
      <c r="DI74" s="3341"/>
      <c r="DJ74" s="3341"/>
      <c r="DK74" s="3386">
        <f>DI74+DJ74*1</f>
        <v>0</v>
      </c>
      <c r="DL74" s="3386"/>
      <c r="DM74" s="3468"/>
      <c r="DN74" s="3341"/>
      <c r="DO74" s="3341"/>
      <c r="DP74" s="3386">
        <f>DN74+DO74*1</f>
        <v>0</v>
      </c>
      <c r="DQ74" s="3386"/>
      <c r="DR74" s="3468"/>
      <c r="DS74" s="3341"/>
      <c r="DT74" s="3341"/>
      <c r="DU74" s="3386">
        <f>DS74+DT74*1</f>
        <v>0</v>
      </c>
      <c r="DV74" s="3386"/>
      <c r="DW74" s="3468"/>
      <c r="DX74" s="3341">
        <f>AQ74+AV74+BA74</f>
        <v>0</v>
      </c>
      <c r="DY74" s="3341">
        <f>AR74+AW74+BB74</f>
        <v>0</v>
      </c>
      <c r="DZ74" s="3386">
        <f>DX74+DY74*1</f>
        <v>0</v>
      </c>
      <c r="EA74" s="3386"/>
      <c r="EB74" s="3386"/>
      <c r="ED74" s="4125">
        <f>EB74+EC74*1</f>
        <v>0</v>
      </c>
      <c r="EE74" s="4125">
        <f>EC74+ED74*1</f>
        <v>0</v>
      </c>
      <c r="EF74" s="4125"/>
      <c r="EH74" s="2624"/>
    </row>
    <row r="75" spans="1:138" s="1396" customFormat="1" ht="14.4" thickBot="1">
      <c r="A75" s="1399"/>
      <c r="B75" s="1416" t="s">
        <v>48</v>
      </c>
      <c r="C75" s="1450">
        <f>C38-C41-C50-C54</f>
        <v>1131720.8445499996</v>
      </c>
      <c r="D75" s="1450">
        <f>D38-D41-D50-D54</f>
        <v>-730841.66</v>
      </c>
      <c r="E75" s="1953">
        <f>E38-E41-E50-E54</f>
        <v>400879.18454999966</v>
      </c>
      <c r="F75" s="1953"/>
      <c r="G75" s="1953"/>
      <c r="H75" s="1450">
        <v>1024653.9064000002</v>
      </c>
      <c r="I75" s="1450">
        <v>-212483.29</v>
      </c>
      <c r="J75" s="1508">
        <v>812170.61640000017</v>
      </c>
      <c r="K75" s="1953"/>
      <c r="L75" s="1450"/>
      <c r="M75" s="1450">
        <f>M38-M41-M50-M54</f>
        <v>-253.9</v>
      </c>
      <c r="N75" s="1450">
        <f>N38-N41-N50-N54</f>
        <v>-6730.15</v>
      </c>
      <c r="O75" s="1508">
        <f>O38-O41-O50-O54</f>
        <v>-6984.05</v>
      </c>
      <c r="P75" s="1953"/>
      <c r="Q75" s="1953"/>
      <c r="R75" s="1450">
        <f>R38-R41-R50-R54</f>
        <v>0</v>
      </c>
      <c r="S75" s="1450">
        <f>S38-S41-S50-S54</f>
        <v>-122</v>
      </c>
      <c r="T75" s="1508">
        <f>T38-T41-T50-T54</f>
        <v>-122</v>
      </c>
      <c r="U75" s="1953"/>
      <c r="V75" s="1058"/>
      <c r="W75" s="1450">
        <f>W38-W41-W50-W54</f>
        <v>-76102.156000000003</v>
      </c>
      <c r="X75" s="1450">
        <f>X38-X41-X50-X54</f>
        <v>-16696</v>
      </c>
      <c r="Y75" s="1508">
        <f>Y38-Y41-Y50-Y54</f>
        <v>-92798.156000000003</v>
      </c>
      <c r="Z75" s="1953"/>
      <c r="AA75" s="1058"/>
      <c r="AB75" s="1450">
        <f>AB38-AB41-AB50-AB54</f>
        <v>0</v>
      </c>
      <c r="AC75" s="1450">
        <f>AC38-AC41-AC50-AC54</f>
        <v>0</v>
      </c>
      <c r="AD75" s="1508">
        <f>AD38-AD41-AD50-AD54</f>
        <v>0</v>
      </c>
      <c r="AE75" s="1953"/>
      <c r="AF75" s="1058"/>
      <c r="AG75" s="1450">
        <f>AG38-AG41-AG50-AG54</f>
        <v>0</v>
      </c>
      <c r="AH75" s="1450">
        <f>AH38-AH41-AH50-AH54</f>
        <v>0</v>
      </c>
      <c r="AI75" s="1508">
        <f>AI38-AI41-AI50-AI54</f>
        <v>0</v>
      </c>
      <c r="AJ75" s="1953"/>
      <c r="AK75" s="1058"/>
      <c r="AL75" s="1450">
        <f>AL38-AL41-AL50-AL54</f>
        <v>-12956.963999999998</v>
      </c>
      <c r="AM75" s="1450">
        <f>AM38-AM41-AM50-AM54</f>
        <v>0</v>
      </c>
      <c r="AN75" s="1508">
        <f>AN38-AN41-AN50-AN54</f>
        <v>-12956.963999999998</v>
      </c>
      <c r="AO75" s="1953"/>
      <c r="AP75" s="1058"/>
      <c r="AQ75" s="1450">
        <f>AQ38-AQ41-AQ50-AQ54</f>
        <v>-69240</v>
      </c>
      <c r="AR75" s="1450">
        <f>AR38-AR41-AR50-AR54</f>
        <v>-110130</v>
      </c>
      <c r="AS75" s="1508">
        <f>AS38-AS41-AS50-AS54</f>
        <v>-179370</v>
      </c>
      <c r="AT75" s="1953"/>
      <c r="AU75" s="1058"/>
      <c r="AV75" s="1450">
        <f>AV38-AV41-AV50-AV54</f>
        <v>-63858</v>
      </c>
      <c r="AW75" s="1450">
        <f>AW38-AW41-AW50-AW54</f>
        <v>-149232.54</v>
      </c>
      <c r="AX75" s="1508">
        <f>AX38-AX41-AX50-AX54</f>
        <v>-213090.54</v>
      </c>
      <c r="AY75" s="1953"/>
      <c r="AZ75" s="1058"/>
      <c r="BA75" s="1450">
        <f>BA38-BA41-BA50-BA54</f>
        <v>0</v>
      </c>
      <c r="BB75" s="1450">
        <f>BB38-BB41-BB50-BB54</f>
        <v>-139076.9</v>
      </c>
      <c r="BC75" s="1508">
        <f>BC38-BC41-BC50-BC54</f>
        <v>-139076.9</v>
      </c>
      <c r="BD75" s="1953"/>
      <c r="BE75" s="1058"/>
      <c r="BF75" s="1450">
        <f>BF38-BF41-BF50-BF54</f>
        <v>-133098</v>
      </c>
      <c r="BG75" s="1450">
        <f>BG38-BG41-BG50-BG54</f>
        <v>-398439.44</v>
      </c>
      <c r="BH75" s="1508">
        <f>BH38-BH41-BH50-BH54</f>
        <v>-531537.43999999994</v>
      </c>
      <c r="BI75" s="3470"/>
      <c r="BJ75" s="3470"/>
      <c r="BK75" s="1450">
        <f>BK38-BK41-BK50-BK54</f>
        <v>629792.41200000001</v>
      </c>
      <c r="BL75" s="1450">
        <f>BL38-BL41-BL50-BL54</f>
        <v>-270904.59999999998</v>
      </c>
      <c r="BM75" s="1508">
        <f>BM38-BM41-BM50-BM54</f>
        <v>358887.81200000015</v>
      </c>
      <c r="BN75" s="3470"/>
      <c r="BO75" s="3470"/>
      <c r="BP75" s="1450">
        <f>BP38-BP41-BP50-BP54</f>
        <v>-4940</v>
      </c>
      <c r="BQ75" s="1450">
        <f>BQ38-BQ41-BQ50-BQ54</f>
        <v>-119286.15</v>
      </c>
      <c r="BR75" s="1508">
        <f>BR38-BR41-BR50-BR54</f>
        <v>-124226.15</v>
      </c>
      <c r="BS75" s="1953"/>
      <c r="BT75" s="1058"/>
      <c r="BU75" s="1450">
        <f>BU38-BU41-BU50-BU54</f>
        <v>-6470</v>
      </c>
      <c r="BV75" s="1450">
        <f>BV38-BV41-BV50-BV54</f>
        <v>-124318.45</v>
      </c>
      <c r="BW75" s="1508">
        <f>BW38-BW41-BW50-BW54</f>
        <v>-130788.45</v>
      </c>
      <c r="BX75" s="1953"/>
      <c r="BY75" s="1058"/>
      <c r="BZ75" s="1450">
        <f>BZ38-BZ41-BZ50-BZ54</f>
        <v>641202.41200000001</v>
      </c>
      <c r="CA75" s="1450">
        <f>CA38-CA41-CA50-CA54</f>
        <v>-27300</v>
      </c>
      <c r="CB75" s="1508">
        <f>CB38-CB41-CB50-CB54</f>
        <v>613902.41200000001</v>
      </c>
      <c r="CC75" s="1953"/>
      <c r="CD75" s="1058"/>
      <c r="CE75" s="1450">
        <f>CE38-CE41-CE50-CE54</f>
        <v>0</v>
      </c>
      <c r="CF75" s="1450">
        <f>CF38-CF41-CF50-CF54</f>
        <v>0</v>
      </c>
      <c r="CG75" s="1508">
        <f>CG38-CG41-CG50-CG54</f>
        <v>0</v>
      </c>
      <c r="CH75" s="1953"/>
      <c r="CI75" s="1058"/>
      <c r="CJ75" s="1450">
        <f>CJ38-CJ41-CJ50-CJ54</f>
        <v>0</v>
      </c>
      <c r="CK75" s="1450">
        <f>CK38-CK41-CK50-CK54</f>
        <v>0</v>
      </c>
      <c r="CL75" s="1508">
        <f>CL38-CL41-CL50-CL54</f>
        <v>0</v>
      </c>
      <c r="CM75" s="1953"/>
      <c r="CN75" s="1058"/>
      <c r="CO75" s="1450">
        <f>CO38-CO41-CO50-CO54</f>
        <v>0</v>
      </c>
      <c r="CP75" s="1450">
        <f>CP38-CP41-CP50-CP54</f>
        <v>0</v>
      </c>
      <c r="CQ75" s="1508">
        <f>CQ38-CQ41-CQ50-CQ54</f>
        <v>0</v>
      </c>
      <c r="CR75" s="1953"/>
      <c r="CS75" s="1058"/>
      <c r="CT75" s="1450">
        <f>CT38-CT41-CT50-CT54</f>
        <v>0</v>
      </c>
      <c r="CU75" s="1450">
        <f>CU38-CU41-CU50-CU54</f>
        <v>0</v>
      </c>
      <c r="CV75" s="1508">
        <f>CV38-CV41-CV50-CV54</f>
        <v>0</v>
      </c>
      <c r="CW75" s="1953"/>
      <c r="CX75" s="1058"/>
      <c r="CY75" s="1450">
        <f>CY38-CY41-CY50-CY54</f>
        <v>0</v>
      </c>
      <c r="CZ75" s="1450">
        <f>CZ38-CZ41-CZ50-CZ54</f>
        <v>0</v>
      </c>
      <c r="DA75" s="1508">
        <f>DA38-DA41-DA50-DA54</f>
        <v>0</v>
      </c>
      <c r="DB75" s="1953"/>
      <c r="DC75" s="1058"/>
      <c r="DD75" s="1450">
        <f>DD38-DD41-DD50-DD54</f>
        <v>0</v>
      </c>
      <c r="DE75" s="1450">
        <f>DE38-DE41-DE50-DE54</f>
        <v>0</v>
      </c>
      <c r="DF75" s="1508">
        <f>DF38-DF41-DF50-DF54</f>
        <v>0</v>
      </c>
      <c r="DG75" s="1953"/>
      <c r="DH75" s="1058"/>
      <c r="DI75" s="1450">
        <f>DI38-DI41-DI50-DI54</f>
        <v>0</v>
      </c>
      <c r="DJ75" s="1450">
        <f>DJ38-DJ41-DJ50-DJ54</f>
        <v>0</v>
      </c>
      <c r="DK75" s="1508">
        <f>DK38-DK41-DK50-DK54</f>
        <v>0</v>
      </c>
      <c r="DL75" s="1953"/>
      <c r="DM75" s="1058"/>
      <c r="DN75" s="1450">
        <f>DN38-DN41-DN50-DN54</f>
        <v>0</v>
      </c>
      <c r="DO75" s="1450">
        <f>DO38-DO41-DO50-DO54</f>
        <v>0</v>
      </c>
      <c r="DP75" s="1508">
        <f>DP38-DP41-DP50-DP54</f>
        <v>0</v>
      </c>
      <c r="DQ75" s="1953"/>
      <c r="DR75" s="1058"/>
      <c r="DS75" s="1450">
        <f>DS38-DS41-DS50-DS54</f>
        <v>0</v>
      </c>
      <c r="DT75" s="1450">
        <f>DT38-DT41-DT50-DT54</f>
        <v>0</v>
      </c>
      <c r="DU75" s="1508">
        <f>DU38-DU41-DU50-DU54</f>
        <v>0</v>
      </c>
      <c r="DV75" s="1953"/>
      <c r="DW75" s="1058"/>
      <c r="DX75" s="1450">
        <f>DX38-DX41-DX50-DX54</f>
        <v>496694.41200000001</v>
      </c>
      <c r="DY75" s="1450">
        <f>DY38-DY41-DY50-DY54</f>
        <v>-669344.04</v>
      </c>
      <c r="DZ75" s="1508">
        <f>DZ38-DZ41-DZ50-DZ54</f>
        <v>-172649.62800000003</v>
      </c>
      <c r="EA75" s="1953"/>
      <c r="EB75" s="1953"/>
      <c r="ED75" s="3471">
        <f>ED38-ED41-ED50-ED54</f>
        <v>123706.32279999997</v>
      </c>
      <c r="EE75" s="3471">
        <f>EE38-EE41-EE50-EE54</f>
        <v>-172649.62800000003</v>
      </c>
      <c r="EF75" s="3471">
        <f>EF38-EF41-EF50-EF54</f>
        <v>296355.95080000022</v>
      </c>
      <c r="EH75" s="2624"/>
    </row>
    <row r="76" spans="1:138" s="1396" customFormat="1" ht="13.8">
      <c r="A76" s="1566"/>
      <c r="B76" s="1429" t="s">
        <v>49</v>
      </c>
      <c r="C76" s="2003">
        <f>C75/C5</f>
        <v>0.49305542510422468</v>
      </c>
      <c r="D76" s="2003">
        <f>D75/D5</f>
        <v>-4.8722777333333331</v>
      </c>
      <c r="E76" s="2004">
        <f>E75/E5</f>
        <v>0.16393719290119052</v>
      </c>
      <c r="F76" s="2004"/>
      <c r="G76" s="2004"/>
      <c r="H76" s="2003">
        <v>0.64439473529099744</v>
      </c>
      <c r="I76" s="2003" t="e">
        <v>#DIV/0!</v>
      </c>
      <c r="J76" s="2004">
        <v>0.5107660899912656</v>
      </c>
      <c r="K76" s="2004"/>
      <c r="L76" s="2003"/>
      <c r="M76" s="2003" t="e">
        <f>M75/M5</f>
        <v>#DIV/0!</v>
      </c>
      <c r="N76" s="2003" t="e">
        <f>N75/N5</f>
        <v>#DIV/0!</v>
      </c>
      <c r="O76" s="2004" t="e">
        <f>O75/O5</f>
        <v>#DIV/0!</v>
      </c>
      <c r="P76" s="2004"/>
      <c r="Q76" s="2004"/>
      <c r="R76" s="2003" t="e">
        <f>R75/R5</f>
        <v>#DIV/0!</v>
      </c>
      <c r="S76" s="2003" t="e">
        <f>S75/S5</f>
        <v>#DIV/0!</v>
      </c>
      <c r="T76" s="2004" t="e">
        <f>T75/T5</f>
        <v>#DIV/0!</v>
      </c>
      <c r="U76" s="2004"/>
      <c r="V76" s="1056"/>
      <c r="W76" s="2003" t="e">
        <f>W75/W5</f>
        <v>#DIV/0!</v>
      </c>
      <c r="X76" s="2003" t="e">
        <f>X75/X5</f>
        <v>#DIV/0!</v>
      </c>
      <c r="Y76" s="2004" t="e">
        <f>Y75/Y5</f>
        <v>#DIV/0!</v>
      </c>
      <c r="Z76" s="2004"/>
      <c r="AA76" s="1056"/>
      <c r="AB76" s="2003" t="e">
        <f>AB75/AB5</f>
        <v>#DIV/0!</v>
      </c>
      <c r="AC76" s="2003" t="e">
        <f>AC75/AC5</f>
        <v>#DIV/0!</v>
      </c>
      <c r="AD76" s="2004" t="e">
        <f>AD75/AD5</f>
        <v>#DIV/0!</v>
      </c>
      <c r="AE76" s="2004"/>
      <c r="AF76" s="1056"/>
      <c r="AG76" s="2003" t="e">
        <f>AG75/AG5</f>
        <v>#DIV/0!</v>
      </c>
      <c r="AH76" s="2003" t="e">
        <f>AH75/AH5</f>
        <v>#DIV/0!</v>
      </c>
      <c r="AI76" s="2004" t="e">
        <f>AI75/AI5</f>
        <v>#DIV/0!</v>
      </c>
      <c r="AJ76" s="2004"/>
      <c r="AK76" s="1056"/>
      <c r="AL76" s="2003" t="e">
        <f>AL75/AL5</f>
        <v>#DIV/0!</v>
      </c>
      <c r="AM76" s="2003" t="e">
        <f>AM75/AM5</f>
        <v>#DIV/0!</v>
      </c>
      <c r="AN76" s="2004" t="e">
        <f>AN75/AN5</f>
        <v>#DIV/0!</v>
      </c>
      <c r="AO76" s="2004"/>
      <c r="AP76" s="1056"/>
      <c r="AQ76" s="2003">
        <f>IFERROR(AQ75/AQ5,0)</f>
        <v>0</v>
      </c>
      <c r="AR76" s="2003">
        <f>IFERROR(AR75/AR5,0)</f>
        <v>0</v>
      </c>
      <c r="AS76" s="2004">
        <f>IFERROR(AS75/AS5,0)</f>
        <v>0</v>
      </c>
      <c r="AT76" s="2004"/>
      <c r="AU76" s="1056"/>
      <c r="AV76" s="2003">
        <f>IFERROR(AV75/AV5,0)</f>
        <v>0</v>
      </c>
      <c r="AW76" s="2003">
        <f>IFERROR(AW75/AW5,0)</f>
        <v>0</v>
      </c>
      <c r="AX76" s="2004">
        <f>IFERROR(AX75/AX5,0)</f>
        <v>0</v>
      </c>
      <c r="AY76" s="2004"/>
      <c r="AZ76" s="1056"/>
      <c r="BA76" s="2003">
        <f>IFERROR(BA75/BA5,0)</f>
        <v>0</v>
      </c>
      <c r="BB76" s="2003">
        <f>IFERROR(BB75/BB5,0)</f>
        <v>0</v>
      </c>
      <c r="BC76" s="2004">
        <f>IFERROR(BC75/BC5,0)</f>
        <v>0</v>
      </c>
      <c r="BD76" s="2004"/>
      <c r="BE76" s="1056"/>
      <c r="BF76" s="3459"/>
      <c r="BG76" s="3459"/>
      <c r="BH76" s="3459"/>
      <c r="BI76" s="3459"/>
      <c r="BJ76" s="3459"/>
      <c r="BK76" s="3459"/>
      <c r="BL76" s="3459"/>
      <c r="BM76" s="3459"/>
      <c r="BN76" s="3459"/>
      <c r="BO76" s="3459"/>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0.61547228537380538</v>
      </c>
      <c r="CA76" s="2003">
        <f>IFERROR(CA75/CA5,0)</f>
        <v>0</v>
      </c>
      <c r="CB76" s="2004">
        <f>IFERROR(CB75/CB5,0)</f>
        <v>0.58926777791056006</v>
      </c>
      <c r="CC76" s="2004"/>
      <c r="CD76" s="1056"/>
      <c r="CE76" s="2003">
        <f>IFERROR(CE75/CE5,0)</f>
        <v>0</v>
      </c>
      <c r="CF76" s="2003">
        <f>IFERROR(CF75/CF5,0)</f>
        <v>0</v>
      </c>
      <c r="CG76" s="2004">
        <f>IFERROR(CG75/CG5,0)</f>
        <v>0</v>
      </c>
      <c r="CH76" s="2004"/>
      <c r="CI76" s="1056"/>
      <c r="CJ76" s="2003">
        <f>IFERROR(CJ75/CJ5,0)</f>
        <v>0</v>
      </c>
      <c r="CK76" s="2003">
        <f>IFERROR(CK75/CK5,0)</f>
        <v>0</v>
      </c>
      <c r="CL76" s="2004">
        <f>IFERROR(CL75/CL5,0)</f>
        <v>0</v>
      </c>
      <c r="CM76" s="2004"/>
      <c r="CN76" s="1056"/>
      <c r="CO76" s="2003">
        <f>IFERROR(CO75/CO5,0)</f>
        <v>0</v>
      </c>
      <c r="CP76" s="2003">
        <f>IFERROR(CP75/CP5,0)</f>
        <v>0</v>
      </c>
      <c r="CQ76" s="2004">
        <f>IFERROR(CQ75/CQ5,0)</f>
        <v>0</v>
      </c>
      <c r="CR76" s="2004"/>
      <c r="CS76" s="1056"/>
      <c r="CT76" s="2003">
        <f>IFERROR(CT75/CT5,0)</f>
        <v>0</v>
      </c>
      <c r="CU76" s="2003">
        <f>IFERROR(CU75/CU5,0)</f>
        <v>0</v>
      </c>
      <c r="CV76" s="2004">
        <f>IFERROR(CV75/CV5,0)</f>
        <v>0</v>
      </c>
      <c r="CW76" s="2004"/>
      <c r="CX76" s="1056"/>
      <c r="CY76" s="2003">
        <f>IFERROR(CY75/CY5,0)</f>
        <v>0</v>
      </c>
      <c r="CZ76" s="2003">
        <f>IFERROR(CZ75/CZ5,0)</f>
        <v>0</v>
      </c>
      <c r="DA76" s="2004">
        <f>IFERROR(DA75/DA5,0)</f>
        <v>0</v>
      </c>
      <c r="DB76" s="2004"/>
      <c r="DC76" s="1056"/>
      <c r="DD76" s="2003">
        <f>IFERROR(DD75/DD5,0)</f>
        <v>0</v>
      </c>
      <c r="DE76" s="2003">
        <f>IFERROR(DE75/DE5,0)</f>
        <v>0</v>
      </c>
      <c r="DF76" s="2004">
        <f>IFERROR(DF75/DF5,0)</f>
        <v>0</v>
      </c>
      <c r="DG76" s="2004"/>
      <c r="DH76" s="1056"/>
      <c r="DI76" s="2003">
        <f>IFERROR(DI75/DI5,0)</f>
        <v>0</v>
      </c>
      <c r="DJ76" s="2003">
        <f>IFERROR(DJ75/DJ5,0)</f>
        <v>0</v>
      </c>
      <c r="DK76" s="2004">
        <f>IFERROR(DK75/DK5,0)</f>
        <v>0</v>
      </c>
      <c r="DL76" s="2004"/>
      <c r="DM76" s="1056"/>
      <c r="DN76" s="2003">
        <f>IFERROR(DN75/DN5,0)</f>
        <v>0</v>
      </c>
      <c r="DO76" s="2003">
        <f>IFERROR(DO75/DO5,0)</f>
        <v>0</v>
      </c>
      <c r="DP76" s="2004">
        <f>IFERROR(DP75/DP5,0)</f>
        <v>0</v>
      </c>
      <c r="DQ76" s="2004"/>
      <c r="DR76" s="1056"/>
      <c r="DS76" s="2003">
        <f>IFERROR(DS75/DS5,0)</f>
        <v>0</v>
      </c>
      <c r="DT76" s="2003">
        <f>IFERROR(DT75/DT5,0)</f>
        <v>0</v>
      </c>
      <c r="DU76" s="2004">
        <f>IFERROR(DU75/DU5,0)</f>
        <v>0</v>
      </c>
      <c r="DV76" s="2004"/>
      <c r="DW76" s="1056"/>
      <c r="DX76" s="2003">
        <f>IFERROR(DX75/DX5,0)</f>
        <v>0.47676309253502697</v>
      </c>
      <c r="DY76" s="2003">
        <f>IFERROR(DY75/DY5,0)</f>
        <v>0</v>
      </c>
      <c r="DZ76" s="2004">
        <f>IFERROR(DZ75/DZ5,0)</f>
        <v>-0.1657215555110815</v>
      </c>
      <c r="EA76" s="2004"/>
      <c r="EB76" s="2004"/>
      <c r="ED76" s="2004">
        <f>ED75/ED5</f>
        <v>0.10393497951652958</v>
      </c>
      <c r="EE76" s="2004">
        <f>IFERROR(EE75/EE5,0)</f>
        <v>-0.1657215555110815</v>
      </c>
      <c r="EF76" s="2004">
        <f>EF75/EF5</f>
        <v>1.9967050197914751</v>
      </c>
      <c r="EH76" s="2624"/>
    </row>
    <row r="77" spans="1:138" s="1396" customFormat="1" ht="14.4" outlineLevel="1" thickBot="1">
      <c r="A77" s="1566"/>
      <c r="B77" s="4126" t="s">
        <v>9</v>
      </c>
      <c r="C77" s="4127">
        <f>C78-C79</f>
        <v>0</v>
      </c>
      <c r="D77" s="4127">
        <f>D78-D79</f>
        <v>0</v>
      </c>
      <c r="E77" s="4128">
        <f>E78-E79</f>
        <v>-120114.77181818182</v>
      </c>
      <c r="F77" s="4129"/>
      <c r="G77" s="4129"/>
      <c r="H77" s="4127">
        <v>0</v>
      </c>
      <c r="I77" s="4127">
        <v>-65192</v>
      </c>
      <c r="J77" s="4128">
        <v>-96356.235318562074</v>
      </c>
      <c r="K77" s="4129"/>
      <c r="L77" s="4179"/>
      <c r="M77" s="4127">
        <f>M78-M79</f>
        <v>0</v>
      </c>
      <c r="N77" s="4127">
        <f>N78-N79</f>
        <v>0</v>
      </c>
      <c r="O77" s="4128">
        <f>O78-O79</f>
        <v>-18.229885057471268</v>
      </c>
      <c r="P77" s="4129"/>
      <c r="Q77" s="4129"/>
      <c r="R77" s="4127">
        <f>R78-R79</f>
        <v>0</v>
      </c>
      <c r="S77" s="4127">
        <f>S78-S79</f>
        <v>0</v>
      </c>
      <c r="T77" s="4128">
        <f>T78-T79</f>
        <v>-18.229885057471268</v>
      </c>
      <c r="U77" s="4129"/>
      <c r="V77" s="4130"/>
      <c r="W77" s="4127">
        <f>W78-W79</f>
        <v>0</v>
      </c>
      <c r="X77" s="4127">
        <f>X78-X79</f>
        <v>0</v>
      </c>
      <c r="Y77" s="4128">
        <f>Y78-Y79</f>
        <v>-2494.8045977011498</v>
      </c>
      <c r="Z77" s="4129"/>
      <c r="AA77" s="4130"/>
      <c r="AB77" s="4127">
        <f>AB78-AB79</f>
        <v>0</v>
      </c>
      <c r="AC77" s="4127">
        <f>AC78-AC79</f>
        <v>0</v>
      </c>
      <c r="AD77" s="4128">
        <f>AD78-AD79</f>
        <v>0</v>
      </c>
      <c r="AE77" s="4129"/>
      <c r="AF77" s="4130"/>
      <c r="AG77" s="4127">
        <f>AG78-AG79</f>
        <v>0</v>
      </c>
      <c r="AH77" s="4127">
        <f>AH78-AH79</f>
        <v>0</v>
      </c>
      <c r="AI77" s="4128">
        <f>AI78-AI79</f>
        <v>0</v>
      </c>
      <c r="AJ77" s="4129"/>
      <c r="AK77" s="4130"/>
      <c r="AL77" s="4127">
        <f>AL78-AL79</f>
        <v>0</v>
      </c>
      <c r="AM77" s="4127">
        <f>AM78-AM79</f>
        <v>0</v>
      </c>
      <c r="AN77" s="4128">
        <f>AN78-AN79</f>
        <v>0</v>
      </c>
      <c r="AO77" s="4129"/>
      <c r="AP77" s="4130"/>
      <c r="AQ77" s="4127">
        <f>AQ78-AQ79</f>
        <v>-14423.267399520577</v>
      </c>
      <c r="AR77" s="4127">
        <f>AR78-AR79</f>
        <v>0</v>
      </c>
      <c r="AS77" s="4128">
        <f>AS78-AS79</f>
        <v>-14423.267399520577</v>
      </c>
      <c r="AT77" s="4129"/>
      <c r="AU77" s="4130"/>
      <c r="AV77" s="4127">
        <f>AV78-AV79</f>
        <v>-24079.780268726096</v>
      </c>
      <c r="AW77" s="4127">
        <f>AW78-AW79</f>
        <v>0</v>
      </c>
      <c r="AX77" s="4128">
        <f>AX78-AX79</f>
        <v>-24079.780268726096</v>
      </c>
      <c r="AY77" s="4129"/>
      <c r="AZ77" s="4130"/>
      <c r="BA77" s="4127">
        <f>BA78-BA79</f>
        <v>-22441.09222060813</v>
      </c>
      <c r="BB77" s="4127">
        <f>BB78-BB79</f>
        <v>0</v>
      </c>
      <c r="BC77" s="4128">
        <f>BC78-BC79</f>
        <v>-22441.09222060813</v>
      </c>
      <c r="BD77" s="4129"/>
      <c r="BE77" s="4130"/>
      <c r="BF77" s="4127">
        <f>BF78-BF79</f>
        <v>-60944.139888854806</v>
      </c>
      <c r="BG77" s="4127">
        <f>BG78-BG79</f>
        <v>0</v>
      </c>
      <c r="BH77" s="4128">
        <f>BH78-BH79</f>
        <v>-60944.139888854806</v>
      </c>
      <c r="BI77" s="4131"/>
      <c r="BJ77" s="4131"/>
      <c r="BK77" s="4127">
        <f>BK78-BK79</f>
        <v>-42074.311343015404</v>
      </c>
      <c r="BL77" s="4127">
        <f>BL78-BL79</f>
        <v>0</v>
      </c>
      <c r="BM77" s="4128">
        <f>BM78-BM79</f>
        <v>-42074.311343015404</v>
      </c>
      <c r="BN77" s="4131"/>
      <c r="BO77" s="4131"/>
      <c r="BP77" s="4127">
        <f>BP78-BP79</f>
        <v>-19418.685410373924</v>
      </c>
      <c r="BQ77" s="4127">
        <f>BQ78-BQ79</f>
        <v>0</v>
      </c>
      <c r="BR77" s="4128">
        <f>BR78-BR79</f>
        <v>-19418.685410373924</v>
      </c>
      <c r="BS77" s="4129"/>
      <c r="BT77" s="4130"/>
      <c r="BU77" s="4127">
        <f>BU78-BU79</f>
        <v>-18576.316402956189</v>
      </c>
      <c r="BV77" s="4127">
        <f>BV78-BV79</f>
        <v>0</v>
      </c>
      <c r="BW77" s="4128">
        <f>BW78-BW79</f>
        <v>-18576.316402956189</v>
      </c>
      <c r="BX77" s="4129"/>
      <c r="BY77" s="4130"/>
      <c r="BZ77" s="4127">
        <f>BZ78-BZ79</f>
        <v>-4079.309529685288</v>
      </c>
      <c r="CA77" s="4127">
        <f>CA78-CA79</f>
        <v>0</v>
      </c>
      <c r="CB77" s="4128">
        <f>CB78-CB79</f>
        <v>-4079.309529685288</v>
      </c>
      <c r="CC77" s="4129"/>
      <c r="CD77" s="4130"/>
      <c r="CE77" s="4127">
        <f>CE78-CE79</f>
        <v>0</v>
      </c>
      <c r="CF77" s="4127">
        <f>CF78-CF79</f>
        <v>0</v>
      </c>
      <c r="CG77" s="4128">
        <f>CG78-CG79</f>
        <v>0</v>
      </c>
      <c r="CH77" s="4129"/>
      <c r="CI77" s="4130"/>
      <c r="CJ77" s="4127">
        <f>CJ78-CJ79</f>
        <v>0</v>
      </c>
      <c r="CK77" s="4127">
        <f>CK78-CK79</f>
        <v>0</v>
      </c>
      <c r="CL77" s="4128">
        <f>CL78-CL79</f>
        <v>0</v>
      </c>
      <c r="CM77" s="4129"/>
      <c r="CN77" s="4130"/>
      <c r="CO77" s="4127">
        <f>CO78-CO79</f>
        <v>0</v>
      </c>
      <c r="CP77" s="4127">
        <f>CP78-CP79</f>
        <v>0</v>
      </c>
      <c r="CQ77" s="4128">
        <f>CQ78-CQ79</f>
        <v>0</v>
      </c>
      <c r="CR77" s="4129"/>
      <c r="CS77" s="4130"/>
      <c r="CT77" s="4127">
        <f>CT78-CT79</f>
        <v>0</v>
      </c>
      <c r="CU77" s="4127">
        <f>CU78-CU79</f>
        <v>0</v>
      </c>
      <c r="CV77" s="4128">
        <f>CV78-CV79</f>
        <v>0</v>
      </c>
      <c r="CW77" s="4129"/>
      <c r="CX77" s="4130"/>
      <c r="CY77" s="4127">
        <f>CY78-CY79</f>
        <v>0</v>
      </c>
      <c r="CZ77" s="4127">
        <f>CZ78-CZ79</f>
        <v>0</v>
      </c>
      <c r="DA77" s="4128">
        <f>DA78-DA79</f>
        <v>0</v>
      </c>
      <c r="DB77" s="4129"/>
      <c r="DC77" s="4130"/>
      <c r="DD77" s="4127">
        <f>DD78-DD79</f>
        <v>0</v>
      </c>
      <c r="DE77" s="4127">
        <f>DE78-DE79</f>
        <v>0</v>
      </c>
      <c r="DF77" s="4128">
        <f>DF78-DF79</f>
        <v>0</v>
      </c>
      <c r="DG77" s="4129"/>
      <c r="DH77" s="4130"/>
      <c r="DI77" s="4127">
        <f>DI78-DI79</f>
        <v>0</v>
      </c>
      <c r="DJ77" s="4127">
        <f>DJ78-DJ79</f>
        <v>0</v>
      </c>
      <c r="DK77" s="4128">
        <f>DK78-DK79</f>
        <v>0</v>
      </c>
      <c r="DL77" s="4129"/>
      <c r="DM77" s="4130"/>
      <c r="DN77" s="4127">
        <f>DN78-DN79</f>
        <v>0</v>
      </c>
      <c r="DO77" s="4127">
        <f>DO78-DO79</f>
        <v>0</v>
      </c>
      <c r="DP77" s="4128">
        <f>DP78-DP79</f>
        <v>0</v>
      </c>
      <c r="DQ77" s="4129"/>
      <c r="DR77" s="4130"/>
      <c r="DS77" s="4127">
        <f>DS78-DS79</f>
        <v>0</v>
      </c>
      <c r="DT77" s="4127">
        <f>DT78-DT79</f>
        <v>0</v>
      </c>
      <c r="DU77" s="4128">
        <f>DU78-DU79</f>
        <v>0</v>
      </c>
      <c r="DV77" s="4129"/>
      <c r="DW77" s="4130"/>
      <c r="DX77" s="4127">
        <f>DX78-DX79</f>
        <v>-103018.4512318702</v>
      </c>
      <c r="DY77" s="4127">
        <f>DY78-DY79</f>
        <v>0</v>
      </c>
      <c r="DZ77" s="4128">
        <f>DZ78-DZ79</f>
        <v>-103018.4512318702</v>
      </c>
      <c r="EA77" s="4129"/>
      <c r="EB77" s="4129"/>
      <c r="ED77" s="4128">
        <f>ED78-ED79</f>
        <v>0</v>
      </c>
      <c r="EE77" s="4128">
        <f>EE78-EE79</f>
        <v>-103018.4512318702</v>
      </c>
      <c r="EF77" s="4128"/>
      <c r="EH77" s="2624"/>
    </row>
    <row r="78" spans="1:138" s="1396" customFormat="1" ht="13.8" outlineLevel="2">
      <c r="A78" s="1405"/>
      <c r="B78" s="1400" t="s">
        <v>43</v>
      </c>
      <c r="C78" s="3341"/>
      <c r="D78" s="3341"/>
      <c r="E78" s="3391">
        <f>C78+D78*1</f>
        <v>0</v>
      </c>
      <c r="F78" s="3391"/>
      <c r="G78" s="3391"/>
      <c r="H78" s="3341">
        <v>0</v>
      </c>
      <c r="I78" s="3341">
        <v>0</v>
      </c>
      <c r="J78" s="3391">
        <v>0</v>
      </c>
      <c r="K78" s="3391"/>
      <c r="L78" s="3392"/>
      <c r="M78" s="3341"/>
      <c r="N78" s="3341"/>
      <c r="O78" s="3391">
        <f>M78+N78*1.15</f>
        <v>0</v>
      </c>
      <c r="P78" s="3391"/>
      <c r="Q78" s="3391"/>
      <c r="R78" s="3341"/>
      <c r="S78" s="3341"/>
      <c r="T78" s="3391">
        <f>R78+S78*1.15</f>
        <v>0</v>
      </c>
      <c r="U78" s="3391"/>
      <c r="V78" s="3473"/>
      <c r="W78" s="3341"/>
      <c r="X78" s="3341"/>
      <c r="Y78" s="3391">
        <f>W78+X78*1.15</f>
        <v>0</v>
      </c>
      <c r="Z78" s="3391"/>
      <c r="AA78" s="3473"/>
      <c r="AB78" s="3341"/>
      <c r="AC78" s="3341"/>
      <c r="AD78" s="3391">
        <f>AB78+AC78*1.15</f>
        <v>0</v>
      </c>
      <c r="AE78" s="3391"/>
      <c r="AF78" s="3473"/>
      <c r="AG78" s="3341"/>
      <c r="AH78" s="3341"/>
      <c r="AI78" s="3391">
        <f>AG78+AH78*1.15</f>
        <v>0</v>
      </c>
      <c r="AJ78" s="3391"/>
      <c r="AK78" s="3473"/>
      <c r="AL78" s="3341"/>
      <c r="AM78" s="3341"/>
      <c r="AN78" s="3391">
        <f>AL78+AM78*1.15</f>
        <v>0</v>
      </c>
      <c r="AO78" s="3391"/>
      <c r="AP78" s="3473"/>
      <c r="AQ78" s="3341"/>
      <c r="AR78" s="3341"/>
      <c r="AS78" s="3391">
        <f>AQ78+AR78*1.15</f>
        <v>0</v>
      </c>
      <c r="AT78" s="3391"/>
      <c r="AU78" s="3473"/>
      <c r="AV78" s="3341"/>
      <c r="AW78" s="3341"/>
      <c r="AX78" s="3391">
        <f>AV78+AW78*1.15</f>
        <v>0</v>
      </c>
      <c r="AY78" s="3391"/>
      <c r="AZ78" s="3473"/>
      <c r="BA78" s="3341"/>
      <c r="BB78" s="3341"/>
      <c r="BC78" s="3391">
        <f>BA78+BB78*1.15</f>
        <v>0</v>
      </c>
      <c r="BD78" s="3391"/>
      <c r="BE78" s="3473"/>
      <c r="BF78" s="3342">
        <f t="shared" ref="BF78:BG79" si="261">BA78+AV78+AQ78</f>
        <v>0</v>
      </c>
      <c r="BG78" s="3342">
        <f t="shared" si="261"/>
        <v>0</v>
      </c>
      <c r="BH78" s="2012">
        <f t="shared" ref="BH78:BH79" si="262">BF78+BG78</f>
        <v>0</v>
      </c>
      <c r="BI78" s="3474"/>
      <c r="BJ78" s="3474"/>
      <c r="BK78" s="3342">
        <f t="shared" ref="BK78:BL79" si="263">BP78+BU78+BZ78+CJ78+CO78+CT78+CY78+DD78+DI78+DN78+DS78+CE78</f>
        <v>0</v>
      </c>
      <c r="BL78" s="3342">
        <f t="shared" si="263"/>
        <v>0</v>
      </c>
      <c r="BM78" s="2012">
        <f t="shared" ref="BM78:BM79" si="264">BK78+BL78</f>
        <v>0</v>
      </c>
      <c r="BN78" s="3474"/>
      <c r="BO78" s="3474"/>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c r="CK78" s="3341"/>
      <c r="CL78" s="3391">
        <f>CJ78+CK78*1.15</f>
        <v>0</v>
      </c>
      <c r="CM78" s="3391"/>
      <c r="CN78" s="3473"/>
      <c r="CO78" s="3341"/>
      <c r="CP78" s="3341"/>
      <c r="CQ78" s="3391">
        <f>CO78+CP78*1.15</f>
        <v>0</v>
      </c>
      <c r="CR78" s="3391"/>
      <c r="CS78" s="3473"/>
      <c r="CT78" s="3341"/>
      <c r="CU78" s="3341"/>
      <c r="CV78" s="3391">
        <f>CT78+CU78*1.15</f>
        <v>0</v>
      </c>
      <c r="CW78" s="3391"/>
      <c r="CX78" s="3473"/>
      <c r="CY78" s="3341"/>
      <c r="CZ78" s="3341"/>
      <c r="DA78" s="3391">
        <f>CY78+CZ78*1.15</f>
        <v>0</v>
      </c>
      <c r="DB78" s="3391"/>
      <c r="DC78" s="3473"/>
      <c r="DD78" s="3341"/>
      <c r="DE78" s="3341"/>
      <c r="DF78" s="3391">
        <f>DD78+DE78*1.15</f>
        <v>0</v>
      </c>
      <c r="DG78" s="3391"/>
      <c r="DH78" s="3473"/>
      <c r="DI78" s="3341"/>
      <c r="DJ78" s="3341"/>
      <c r="DK78" s="3391">
        <f>DI78+DJ78*1.15</f>
        <v>0</v>
      </c>
      <c r="DL78" s="3391"/>
      <c r="DM78" s="3473"/>
      <c r="DN78" s="3341"/>
      <c r="DO78" s="3341"/>
      <c r="DP78" s="3391">
        <f>DN78+DO78*1.15</f>
        <v>0</v>
      </c>
      <c r="DQ78" s="3391"/>
      <c r="DR78" s="3473"/>
      <c r="DS78" s="3341"/>
      <c r="DT78" s="3341"/>
      <c r="DU78" s="3391">
        <f>DS78+DT78*1.15</f>
        <v>0</v>
      </c>
      <c r="DV78" s="3391"/>
      <c r="DW78" s="3473"/>
      <c r="DX78" s="3341">
        <f t="shared" ref="DX78:DY79" si="265">AQ78+AV78+BA78+BK78</f>
        <v>0</v>
      </c>
      <c r="DY78" s="3341">
        <f t="shared" si="265"/>
        <v>0</v>
      </c>
      <c r="DZ78" s="3391">
        <f>DX78+DY78*1.15</f>
        <v>0</v>
      </c>
      <c r="EA78" s="3391"/>
      <c r="EB78" s="3391"/>
      <c r="ED78" s="3475">
        <f>EB78+EC78*1.15</f>
        <v>0</v>
      </c>
      <c r="EE78" s="3475">
        <f>EC78+ED78*1.15</f>
        <v>0</v>
      </c>
      <c r="EF78" s="4188"/>
      <c r="EH78" s="2624"/>
    </row>
    <row r="79" spans="1:138" s="1396" customFormat="1" ht="13.8" outlineLevel="2">
      <c r="A79" s="1405"/>
      <c r="B79" s="4132" t="s">
        <v>79</v>
      </c>
      <c r="C79" s="3341"/>
      <c r="D79" s="3341"/>
      <c r="E79" s="2012">
        <f>(D8+D41+D50+D54)/0.88*0.12</f>
        <v>120114.77181818182</v>
      </c>
      <c r="F79" s="4100"/>
      <c r="G79" s="4100"/>
      <c r="H79" s="3341">
        <v>0</v>
      </c>
      <c r="I79" s="3341">
        <v>65192</v>
      </c>
      <c r="J79" s="2012">
        <v>96356.235318562074</v>
      </c>
      <c r="K79" s="4100"/>
      <c r="L79" s="3381"/>
      <c r="M79" s="3341"/>
      <c r="N79" s="3341"/>
      <c r="O79" s="2012">
        <v>18.229885057471268</v>
      </c>
      <c r="P79" s="4100"/>
      <c r="Q79" s="4100"/>
      <c r="R79" s="3341"/>
      <c r="S79" s="3341"/>
      <c r="T79" s="2012">
        <v>18.229885057471268</v>
      </c>
      <c r="U79" s="4100"/>
      <c r="V79" s="4099"/>
      <c r="W79" s="3341"/>
      <c r="X79" s="3341"/>
      <c r="Y79" s="2012">
        <v>2494.8045977011498</v>
      </c>
      <c r="Z79" s="4100"/>
      <c r="AA79" s="4099"/>
      <c r="AB79" s="3341"/>
      <c r="AC79" s="3341"/>
      <c r="AD79" s="2012">
        <v>0</v>
      </c>
      <c r="AE79" s="4100"/>
      <c r="AF79" s="4099"/>
      <c r="AG79" s="3341"/>
      <c r="AH79" s="3341"/>
      <c r="AI79" s="2012">
        <v>0</v>
      </c>
      <c r="AJ79" s="4100"/>
      <c r="AK79" s="4099"/>
      <c r="AL79" s="3341"/>
      <c r="AM79" s="3341"/>
      <c r="AN79" s="2012">
        <v>0</v>
      </c>
      <c r="AO79" s="4100"/>
      <c r="AP79" s="4099"/>
      <c r="AQ79" s="3341">
        <v>14423.267399520577</v>
      </c>
      <c r="AR79" s="3341"/>
      <c r="AS79" s="2012">
        <f>AQ79+AR79</f>
        <v>14423.267399520577</v>
      </c>
      <c r="AT79" s="4100"/>
      <c r="AU79" s="4099"/>
      <c r="AV79" s="3341">
        <v>24079.780268726096</v>
      </c>
      <c r="AW79" s="3341"/>
      <c r="AX79" s="2012">
        <f>AV79+AW79</f>
        <v>24079.780268726096</v>
      </c>
      <c r="AY79" s="4100"/>
      <c r="AZ79" s="4099"/>
      <c r="BA79" s="3341">
        <v>22441.09222060813</v>
      </c>
      <c r="BB79" s="3341"/>
      <c r="BC79" s="2012">
        <f>BA79+BB79</f>
        <v>22441.09222060813</v>
      </c>
      <c r="BD79" s="4100"/>
      <c r="BE79" s="4099"/>
      <c r="BF79" s="3342">
        <f t="shared" si="261"/>
        <v>60944.139888854806</v>
      </c>
      <c r="BG79" s="3342">
        <f t="shared" si="261"/>
        <v>0</v>
      </c>
      <c r="BH79" s="2012">
        <f t="shared" si="262"/>
        <v>60944.139888854806</v>
      </c>
      <c r="BI79" s="3455"/>
      <c r="BJ79" s="3455"/>
      <c r="BK79" s="3342">
        <f t="shared" si="263"/>
        <v>42074.311343015404</v>
      </c>
      <c r="BL79" s="3342">
        <f t="shared" si="263"/>
        <v>0</v>
      </c>
      <c r="BM79" s="2012">
        <f t="shared" si="264"/>
        <v>42074.311343015404</v>
      </c>
      <c r="BN79" s="3455"/>
      <c r="BO79" s="3455"/>
      <c r="BP79" s="3341">
        <v>19418.685410373924</v>
      </c>
      <c r="BQ79" s="3341"/>
      <c r="BR79" s="2012">
        <f>BP79+BQ79</f>
        <v>19418.685410373924</v>
      </c>
      <c r="BS79" s="4100"/>
      <c r="BT79" s="4099"/>
      <c r="BU79" s="3341">
        <v>18576.316402956189</v>
      </c>
      <c r="BV79" s="3341"/>
      <c r="BW79" s="2012">
        <f>BU79+BV79</f>
        <v>18576.316402956189</v>
      </c>
      <c r="BX79" s="4100"/>
      <c r="BY79" s="4099"/>
      <c r="BZ79" s="3341">
        <v>4079.309529685288</v>
      </c>
      <c r="CA79" s="3341"/>
      <c r="CB79" s="2012">
        <f>BZ79+CA79</f>
        <v>4079.309529685288</v>
      </c>
      <c r="CC79" s="4100"/>
      <c r="CD79" s="4099"/>
      <c r="CE79" s="3341">
        <v>0</v>
      </c>
      <c r="CF79" s="3341"/>
      <c r="CG79" s="2012">
        <f>CE79+CF79</f>
        <v>0</v>
      </c>
      <c r="CH79" s="4100"/>
      <c r="CI79" s="4099"/>
      <c r="CJ79" s="3341">
        <v>0</v>
      </c>
      <c r="CK79" s="3341"/>
      <c r="CL79" s="2012">
        <f>CJ79+CK79</f>
        <v>0</v>
      </c>
      <c r="CM79" s="4100"/>
      <c r="CN79" s="4099"/>
      <c r="CO79" s="3341">
        <v>0</v>
      </c>
      <c r="CP79" s="3341"/>
      <c r="CQ79" s="2012">
        <f>CO79+CP79</f>
        <v>0</v>
      </c>
      <c r="CR79" s="4100"/>
      <c r="CS79" s="4099"/>
      <c r="CT79" s="3341">
        <v>0</v>
      </c>
      <c r="CU79" s="3341"/>
      <c r="CV79" s="2012">
        <f>CT79+CU79</f>
        <v>0</v>
      </c>
      <c r="CW79" s="4100"/>
      <c r="CX79" s="4099"/>
      <c r="CY79" s="3341"/>
      <c r="CZ79" s="3341"/>
      <c r="DA79" s="2012">
        <f>CY79+CZ79</f>
        <v>0</v>
      </c>
      <c r="DB79" s="4100"/>
      <c r="DC79" s="4099"/>
      <c r="DD79" s="3341">
        <v>0</v>
      </c>
      <c r="DE79" s="3341"/>
      <c r="DF79" s="2012">
        <f>DD79+DE79</f>
        <v>0</v>
      </c>
      <c r="DG79" s="4100"/>
      <c r="DH79" s="4099"/>
      <c r="DI79" s="3341">
        <v>0</v>
      </c>
      <c r="DJ79" s="3341"/>
      <c r="DK79" s="2012">
        <f>DI79+DJ79</f>
        <v>0</v>
      </c>
      <c r="DL79" s="4100"/>
      <c r="DM79" s="4099"/>
      <c r="DN79" s="3341">
        <v>0</v>
      </c>
      <c r="DO79" s="3341"/>
      <c r="DP79" s="2012">
        <f>DN79+DO79</f>
        <v>0</v>
      </c>
      <c r="DQ79" s="4100"/>
      <c r="DR79" s="4099"/>
      <c r="DS79" s="3341">
        <v>0</v>
      </c>
      <c r="DT79" s="3341"/>
      <c r="DU79" s="2012">
        <f>DS79+DT79</f>
        <v>0</v>
      </c>
      <c r="DV79" s="4100"/>
      <c r="DW79" s="4099"/>
      <c r="DX79" s="3341">
        <f t="shared" si="265"/>
        <v>103018.4512318702</v>
      </c>
      <c r="DY79" s="3341">
        <f t="shared" si="265"/>
        <v>0</v>
      </c>
      <c r="DZ79" s="2012">
        <f t="shared" ref="DZ79" si="266">DX79+DY79*1</f>
        <v>103018.4512318702</v>
      </c>
      <c r="EA79" s="4100"/>
      <c r="EB79" s="4100"/>
      <c r="ED79" s="2012">
        <f t="shared" ref="ED79" si="267">EB79+EC79*1</f>
        <v>0</v>
      </c>
      <c r="EE79" s="2012">
        <f>DZ79</f>
        <v>103018.4512318702</v>
      </c>
      <c r="EF79" s="4188">
        <f t="shared" ref="EF79" si="268">ED79-EE79</f>
        <v>-103018.4512318702</v>
      </c>
      <c r="EH79" s="2624"/>
    </row>
    <row r="80" spans="1:138" ht="13.8" outlineLevel="2">
      <c r="A80" s="1397"/>
      <c r="B80" s="4123"/>
      <c r="C80" s="4133"/>
      <c r="D80" s="4133"/>
      <c r="E80" s="4133"/>
      <c r="F80" s="4133"/>
      <c r="G80" s="4133"/>
      <c r="H80" s="3341">
        <v>0</v>
      </c>
      <c r="I80" s="3341">
        <v>0</v>
      </c>
      <c r="J80" s="4133"/>
      <c r="K80" s="4133"/>
      <c r="L80" s="3368"/>
      <c r="M80" s="3341"/>
      <c r="N80" s="3341"/>
      <c r="O80" s="4133"/>
      <c r="P80" s="4133"/>
      <c r="Q80" s="4133"/>
      <c r="R80" s="3341"/>
      <c r="S80" s="3341"/>
      <c r="T80" s="4133"/>
      <c r="U80" s="4133"/>
      <c r="V80" s="4134"/>
      <c r="W80" s="3341"/>
      <c r="X80" s="3341"/>
      <c r="Y80" s="4133"/>
      <c r="Z80" s="4133"/>
      <c r="AA80" s="4134"/>
      <c r="AB80" s="3341"/>
      <c r="AC80" s="3341"/>
      <c r="AD80" s="4133"/>
      <c r="AE80" s="4133"/>
      <c r="AF80" s="4134"/>
      <c r="AG80" s="3341"/>
      <c r="AH80" s="3341"/>
      <c r="AI80" s="4133"/>
      <c r="AJ80" s="4133"/>
      <c r="AK80" s="4134"/>
      <c r="AL80" s="3341"/>
      <c r="AM80" s="3341"/>
      <c r="AN80" s="4133"/>
      <c r="AO80" s="4133"/>
      <c r="AP80" s="4134"/>
      <c r="AQ80" s="3341"/>
      <c r="AR80" s="3341"/>
      <c r="AS80" s="4133"/>
      <c r="AT80" s="4133"/>
      <c r="AU80" s="4134"/>
      <c r="AV80" s="3341"/>
      <c r="AW80" s="3341"/>
      <c r="AX80" s="4133"/>
      <c r="AY80" s="4133"/>
      <c r="AZ80" s="4134"/>
      <c r="BA80" s="3341"/>
      <c r="BB80" s="3341"/>
      <c r="BC80" s="4133"/>
      <c r="BD80" s="4133"/>
      <c r="BE80" s="4134"/>
      <c r="BF80" s="3448"/>
      <c r="BG80" s="3448"/>
      <c r="BH80" s="3448"/>
      <c r="BI80" s="3448"/>
      <c r="BJ80" s="3448"/>
      <c r="BK80" s="3448"/>
      <c r="BL80" s="3448"/>
      <c r="BM80" s="3448"/>
      <c r="BN80" s="3448"/>
      <c r="BO80" s="3448"/>
      <c r="BP80" s="3341"/>
      <c r="BQ80" s="3341"/>
      <c r="BR80" s="4133"/>
      <c r="BS80" s="4133"/>
      <c r="BT80" s="4134"/>
      <c r="BU80" s="3341"/>
      <c r="BV80" s="3341"/>
      <c r="BW80" s="4133"/>
      <c r="BX80" s="4133"/>
      <c r="BY80" s="4134"/>
      <c r="BZ80" s="3341"/>
      <c r="CA80" s="3341"/>
      <c r="CB80" s="4133"/>
      <c r="CC80" s="4133"/>
      <c r="CD80" s="4134"/>
      <c r="CE80" s="3341"/>
      <c r="CF80" s="3341"/>
      <c r="CG80" s="4133"/>
      <c r="CH80" s="4133"/>
      <c r="CI80" s="4134"/>
      <c r="CJ80" s="3341"/>
      <c r="CK80" s="3341"/>
      <c r="CL80" s="4133"/>
      <c r="CM80" s="4133"/>
      <c r="CN80" s="4134"/>
      <c r="CO80" s="3341"/>
      <c r="CP80" s="3341"/>
      <c r="CQ80" s="4133"/>
      <c r="CR80" s="4133"/>
      <c r="CS80" s="4134"/>
      <c r="CT80" s="3341"/>
      <c r="CU80" s="3341"/>
      <c r="CV80" s="4133"/>
      <c r="CW80" s="4133"/>
      <c r="CX80" s="4134"/>
      <c r="CY80" s="3341"/>
      <c r="CZ80" s="3341"/>
      <c r="DA80" s="4133"/>
      <c r="DB80" s="4133"/>
      <c r="DC80" s="4134"/>
      <c r="DD80" s="3341"/>
      <c r="DE80" s="3341"/>
      <c r="DF80" s="4133"/>
      <c r="DG80" s="4133"/>
      <c r="DH80" s="4134"/>
      <c r="DI80" s="3341"/>
      <c r="DJ80" s="3341"/>
      <c r="DK80" s="4133"/>
      <c r="DL80" s="4133"/>
      <c r="DM80" s="4134"/>
      <c r="DN80" s="3341"/>
      <c r="DO80" s="3341"/>
      <c r="DP80" s="4133"/>
      <c r="DQ80" s="4133"/>
      <c r="DR80" s="4134"/>
      <c r="DS80" s="3341"/>
      <c r="DT80" s="3341"/>
      <c r="DU80" s="4133"/>
      <c r="DV80" s="4133"/>
      <c r="DW80" s="4134"/>
      <c r="DX80" s="3341">
        <f>AQ80+AV80+BA80</f>
        <v>0</v>
      </c>
      <c r="DY80" s="3341">
        <f>AR80+AW80+BB80</f>
        <v>0</v>
      </c>
      <c r="DZ80" s="4133"/>
      <c r="EA80" s="4133"/>
      <c r="EB80" s="4133"/>
      <c r="ED80" s="4135"/>
      <c r="EE80" s="4135"/>
      <c r="EF80" s="4188"/>
    </row>
    <row r="81" spans="1:141" s="1396" customFormat="1" ht="14.4" outlineLevel="1" thickBot="1">
      <c r="A81" s="1419"/>
      <c r="B81" s="4126" t="s">
        <v>12</v>
      </c>
      <c r="C81" s="4127">
        <f>(C75+C78)-C79</f>
        <v>1131720.8445499996</v>
      </c>
      <c r="D81" s="4127">
        <f>(D75+D78)-D79</f>
        <v>-730841.66</v>
      </c>
      <c r="E81" s="4128">
        <f>(E75+E78)-E79</f>
        <v>280764.41273181781</v>
      </c>
      <c r="F81" s="4129"/>
      <c r="G81" s="4129"/>
      <c r="H81" s="4127">
        <v>1024653.9064000002</v>
      </c>
      <c r="I81" s="4127">
        <v>-277675.29000000004</v>
      </c>
      <c r="J81" s="4128">
        <v>715814.38108143816</v>
      </c>
      <c r="K81" s="4129"/>
      <c r="L81" s="4179"/>
      <c r="M81" s="4127">
        <f>(M75+M78)-M79</f>
        <v>-253.9</v>
      </c>
      <c r="N81" s="4127">
        <f>(N75+N78)-N79</f>
        <v>-6730.15</v>
      </c>
      <c r="O81" s="4128">
        <f>(O75+O78)-O79</f>
        <v>-7002.2798850574718</v>
      </c>
      <c r="P81" s="4129"/>
      <c r="Q81" s="4129"/>
      <c r="R81" s="4127">
        <f>(R75+R78)-R79</f>
        <v>0</v>
      </c>
      <c r="S81" s="4127">
        <f>(S75+S78)-S79</f>
        <v>-122</v>
      </c>
      <c r="T81" s="4128">
        <f>(T75+T78)-T79</f>
        <v>-140.22988505747128</v>
      </c>
      <c r="U81" s="4129"/>
      <c r="V81" s="4130"/>
      <c r="W81" s="4127">
        <f>(W75+W78)-W79</f>
        <v>-76102.156000000003</v>
      </c>
      <c r="X81" s="4127">
        <f>(X75+X78)-X79</f>
        <v>-16696</v>
      </c>
      <c r="Y81" s="4128">
        <f>(Y75+Y78)-Y79</f>
        <v>-95292.960597701152</v>
      </c>
      <c r="Z81" s="4129"/>
      <c r="AA81" s="4130"/>
      <c r="AB81" s="4127">
        <f>(AB75+AB78)-AB79</f>
        <v>0</v>
      </c>
      <c r="AC81" s="4127">
        <f>(AC75+AC78)-AC79</f>
        <v>0</v>
      </c>
      <c r="AD81" s="4128">
        <f>(AD75+AD78)-AD79</f>
        <v>0</v>
      </c>
      <c r="AE81" s="4129"/>
      <c r="AF81" s="4130"/>
      <c r="AG81" s="4127">
        <f>(AG75+AG78)-AG79</f>
        <v>0</v>
      </c>
      <c r="AH81" s="4127">
        <f>(AH75+AH78)-AH79</f>
        <v>0</v>
      </c>
      <c r="AI81" s="4128">
        <f>(AI75+AI78)-AI79</f>
        <v>0</v>
      </c>
      <c r="AJ81" s="4129"/>
      <c r="AK81" s="4130"/>
      <c r="AL81" s="4127">
        <f>(AL75+AL78)-AL79</f>
        <v>-12956.963999999998</v>
      </c>
      <c r="AM81" s="4127">
        <f>(AM75+AM78)-AM79</f>
        <v>0</v>
      </c>
      <c r="AN81" s="4128">
        <f>(AN75+AN78)-AN79</f>
        <v>-12956.963999999998</v>
      </c>
      <c r="AO81" s="4129"/>
      <c r="AP81" s="4130"/>
      <c r="AQ81" s="4127">
        <f>(AQ75+AQ78)-AQ79</f>
        <v>-83663.267399520584</v>
      </c>
      <c r="AR81" s="4127">
        <f>(AR75+AR78)-AR79</f>
        <v>-110130</v>
      </c>
      <c r="AS81" s="4128">
        <f>(AS75+AS78)-AS79</f>
        <v>-193793.26739952058</v>
      </c>
      <c r="AT81" s="4129"/>
      <c r="AU81" s="4130"/>
      <c r="AV81" s="4127">
        <f>(AV75+AV78)-AV79</f>
        <v>-87937.780268726099</v>
      </c>
      <c r="AW81" s="4127">
        <f>(AW75+AW78)-AW79</f>
        <v>-149232.54</v>
      </c>
      <c r="AX81" s="4128">
        <f>(AX75+AX78)-AX79</f>
        <v>-237170.32026872609</v>
      </c>
      <c r="AY81" s="4129"/>
      <c r="AZ81" s="4130"/>
      <c r="BA81" s="4127">
        <f>(BA75+BA78)-BA79</f>
        <v>-22441.09222060813</v>
      </c>
      <c r="BB81" s="4127">
        <f>(BB75+BB78)-BB79</f>
        <v>-139076.9</v>
      </c>
      <c r="BC81" s="4128">
        <f>(BC75+BC78)-BC79</f>
        <v>-161517.99222060811</v>
      </c>
      <c r="BD81" s="4129"/>
      <c r="BE81" s="4130"/>
      <c r="BF81" s="4127">
        <f>(BF75+BF78)-BF79</f>
        <v>-194042.13988885481</v>
      </c>
      <c r="BG81" s="4127">
        <f>(BG75+BG78)-BG79</f>
        <v>-398439.44</v>
      </c>
      <c r="BH81" s="4128">
        <f>(BH75+BH78)-BH79</f>
        <v>-592481.57988885476</v>
      </c>
      <c r="BI81" s="4131"/>
      <c r="BJ81" s="4131"/>
      <c r="BK81" s="4127">
        <f>(BK75+BK78)-BK79</f>
        <v>587718.10065698461</v>
      </c>
      <c r="BL81" s="4127">
        <f>(BL75+BL78)-BL79</f>
        <v>-270904.59999999998</v>
      </c>
      <c r="BM81" s="4128">
        <f>(BM75+BM78)-BM79</f>
        <v>316813.50065698475</v>
      </c>
      <c r="BN81" s="4131"/>
      <c r="BO81" s="4131"/>
      <c r="BP81" s="4127">
        <f>(BP75+BP78)-BP79</f>
        <v>-24358.685410373924</v>
      </c>
      <c r="BQ81" s="4127">
        <f>(BQ75+BQ78)-BQ79</f>
        <v>-119286.15</v>
      </c>
      <c r="BR81" s="4128">
        <f>(BR75+BR78)-BR79</f>
        <v>-143644.83541037393</v>
      </c>
      <c r="BS81" s="4129"/>
      <c r="BT81" s="4130"/>
      <c r="BU81" s="4127">
        <f>(BU75+BU78)-BU79</f>
        <v>-25046.316402956189</v>
      </c>
      <c r="BV81" s="4127">
        <f>(BV75+BV78)-BV79</f>
        <v>-124318.45</v>
      </c>
      <c r="BW81" s="4128">
        <f>(BW75+BW78)-BW79</f>
        <v>-149364.76640295619</v>
      </c>
      <c r="BX81" s="4129"/>
      <c r="BY81" s="4130"/>
      <c r="BZ81" s="4127">
        <f>(BZ75+BZ78)-BZ79</f>
        <v>637123.10247031471</v>
      </c>
      <c r="CA81" s="4127">
        <f>(CA75+CA78)-CA79</f>
        <v>-27300</v>
      </c>
      <c r="CB81" s="4128">
        <f>(CB75+CB78)-CB79</f>
        <v>609823.10247031471</v>
      </c>
      <c r="CC81" s="4129"/>
      <c r="CD81" s="4130"/>
      <c r="CE81" s="4127">
        <f>(CE75+CE78)-CE79</f>
        <v>0</v>
      </c>
      <c r="CF81" s="4127">
        <f>(CF75+CF78)-CF79</f>
        <v>0</v>
      </c>
      <c r="CG81" s="4128">
        <f>(CG75+CG78)-CG79</f>
        <v>0</v>
      </c>
      <c r="CH81" s="4129"/>
      <c r="CI81" s="4130"/>
      <c r="CJ81" s="4127">
        <f>(CJ75+CJ78)-CJ79</f>
        <v>0</v>
      </c>
      <c r="CK81" s="4127">
        <f>(CK75+CK78)-CK79</f>
        <v>0</v>
      </c>
      <c r="CL81" s="4128">
        <f>(CL75+CL78)-CL79</f>
        <v>0</v>
      </c>
      <c r="CM81" s="4129"/>
      <c r="CN81" s="4130"/>
      <c r="CO81" s="4127">
        <f>(CO75+CO78)-CO79</f>
        <v>0</v>
      </c>
      <c r="CP81" s="4127">
        <f>(CP75+CP78)-CP79</f>
        <v>0</v>
      </c>
      <c r="CQ81" s="4128">
        <f>(CQ75+CQ78)-CQ79</f>
        <v>0</v>
      </c>
      <c r="CR81" s="4129"/>
      <c r="CS81" s="4130"/>
      <c r="CT81" s="4127">
        <f>(CT75+CT78)-CT79</f>
        <v>0</v>
      </c>
      <c r="CU81" s="4127">
        <f>(CU75+CU78)-CU79</f>
        <v>0</v>
      </c>
      <c r="CV81" s="4128">
        <f>(CV75+CV78)-CV79</f>
        <v>0</v>
      </c>
      <c r="CW81" s="4129"/>
      <c r="CX81" s="4130"/>
      <c r="CY81" s="4127">
        <f>(CY75+CY78)-CY79</f>
        <v>0</v>
      </c>
      <c r="CZ81" s="4127">
        <f>(CZ75+CZ78)-CZ79</f>
        <v>0</v>
      </c>
      <c r="DA81" s="4128">
        <f>(DA75+DA78)-DA79</f>
        <v>0</v>
      </c>
      <c r="DB81" s="4129"/>
      <c r="DC81" s="4130"/>
      <c r="DD81" s="4127">
        <f>(DD75+DD78)-DD79</f>
        <v>0</v>
      </c>
      <c r="DE81" s="4127">
        <f>(DE75+DE78)-DE79</f>
        <v>0</v>
      </c>
      <c r="DF81" s="4128">
        <f>(DF75+DF78)-DF79</f>
        <v>0</v>
      </c>
      <c r="DG81" s="4129"/>
      <c r="DH81" s="4130"/>
      <c r="DI81" s="4127">
        <f>(DI75+DI78)-DI79</f>
        <v>0</v>
      </c>
      <c r="DJ81" s="4127">
        <f>(DJ75+DJ78)-DJ79</f>
        <v>0</v>
      </c>
      <c r="DK81" s="4128">
        <f>(DK75+DK78)-DK79</f>
        <v>0</v>
      </c>
      <c r="DL81" s="4129"/>
      <c r="DM81" s="4130"/>
      <c r="DN81" s="4127">
        <f>(DN75+DN78)-DN79</f>
        <v>0</v>
      </c>
      <c r="DO81" s="4127">
        <f>(DO75+DO78)-DO79</f>
        <v>0</v>
      </c>
      <c r="DP81" s="4128">
        <f>(DP75+DP78)-DP79</f>
        <v>0</v>
      </c>
      <c r="DQ81" s="4129"/>
      <c r="DR81" s="4130"/>
      <c r="DS81" s="4127">
        <f>(DS75+DS78)-DS79</f>
        <v>0</v>
      </c>
      <c r="DT81" s="4127">
        <f>(DT75+DT78)-DT79</f>
        <v>0</v>
      </c>
      <c r="DU81" s="4128">
        <f>(DU75+DU78)-DU79</f>
        <v>0</v>
      </c>
      <c r="DV81" s="4129"/>
      <c r="DW81" s="4130"/>
      <c r="DX81" s="4127">
        <f>(DX75+DX78)-DX79</f>
        <v>393675.96076812979</v>
      </c>
      <c r="DY81" s="4127">
        <f>(DY75+DY78)-DY79</f>
        <v>-669344.04</v>
      </c>
      <c r="DZ81" s="4128">
        <f>(DZ75+DZ78)-DZ79</f>
        <v>-275668.07923187024</v>
      </c>
      <c r="EA81" s="4129"/>
      <c r="EB81" s="4129"/>
      <c r="ED81" s="4128">
        <f>(ED75+ED78)-ED79</f>
        <v>123706.32279999997</v>
      </c>
      <c r="EE81" s="4136">
        <f>(EE75+EE78)-EE79</f>
        <v>-275668.07923187024</v>
      </c>
      <c r="EF81" s="4128">
        <f>(EF75+EF78)-EF79</f>
        <v>399374.40203187044</v>
      </c>
      <c r="EH81" s="2624"/>
    </row>
    <row r="82" spans="1:141" s="1396" customFormat="1" ht="13.8" outlineLevel="2">
      <c r="A82" s="1565"/>
      <c r="B82" s="1400" t="s">
        <v>38</v>
      </c>
      <c r="C82" s="3341"/>
      <c r="D82" s="3341"/>
      <c r="E82" s="3390">
        <f>C82+D82</f>
        <v>0</v>
      </c>
      <c r="F82" s="3381"/>
      <c r="G82" s="3381"/>
      <c r="H82" s="3341">
        <v>0</v>
      </c>
      <c r="I82" s="3341">
        <v>0</v>
      </c>
      <c r="J82" s="3390">
        <v>0</v>
      </c>
      <c r="K82" s="3381"/>
      <c r="L82" s="3381"/>
      <c r="M82" s="3341"/>
      <c r="N82" s="3341"/>
      <c r="O82" s="3390">
        <f>M82+N82</f>
        <v>0</v>
      </c>
      <c r="P82" s="3381"/>
      <c r="Q82" s="3381"/>
      <c r="R82" s="3341"/>
      <c r="S82" s="3341"/>
      <c r="T82" s="3390">
        <f>R82+S82</f>
        <v>0</v>
      </c>
      <c r="U82" s="3381"/>
      <c r="V82" s="3455"/>
      <c r="W82" s="3341"/>
      <c r="X82" s="3341"/>
      <c r="Y82" s="3390">
        <f>W82+X82</f>
        <v>0</v>
      </c>
      <c r="Z82" s="3381"/>
      <c r="AA82" s="3455"/>
      <c r="AB82" s="3341"/>
      <c r="AC82" s="3341"/>
      <c r="AD82" s="3390">
        <f>AB82+AC82</f>
        <v>0</v>
      </c>
      <c r="AE82" s="3381"/>
      <c r="AF82" s="3455"/>
      <c r="AG82" s="3341"/>
      <c r="AH82" s="3341"/>
      <c r="AI82" s="3390">
        <f>AG82+AH82</f>
        <v>0</v>
      </c>
      <c r="AJ82" s="3381"/>
      <c r="AK82" s="3455"/>
      <c r="AL82" s="3341"/>
      <c r="AM82" s="3341"/>
      <c r="AN82" s="3390">
        <f>AL82+AM82</f>
        <v>0</v>
      </c>
      <c r="AO82" s="3381"/>
      <c r="AP82" s="3455"/>
      <c r="AQ82" s="3341"/>
      <c r="AR82" s="3341"/>
      <c r="AS82" s="3390">
        <f>AQ82+AR82</f>
        <v>0</v>
      </c>
      <c r="AT82" s="3381"/>
      <c r="AU82" s="3455"/>
      <c r="AV82" s="3341"/>
      <c r="AW82" s="3341"/>
      <c r="AX82" s="3390">
        <f>AV82+AW82</f>
        <v>0</v>
      </c>
      <c r="AY82" s="3381"/>
      <c r="AZ82" s="3455"/>
      <c r="BA82" s="3341"/>
      <c r="BB82" s="3341"/>
      <c r="BC82" s="3390">
        <f>BA82+BB82</f>
        <v>0</v>
      </c>
      <c r="BD82" s="3381"/>
      <c r="BE82" s="3455"/>
      <c r="BF82" s="3342">
        <f t="shared" ref="BF82:BG82" si="269">BA82+AV82+AQ82</f>
        <v>0</v>
      </c>
      <c r="BG82" s="3342">
        <f t="shared" si="269"/>
        <v>0</v>
      </c>
      <c r="BH82" s="2012">
        <f t="shared" ref="BH82" si="270">BF82+BG82</f>
        <v>0</v>
      </c>
      <c r="BI82" s="3455"/>
      <c r="BJ82" s="3455"/>
      <c r="BK82" s="3342">
        <f t="shared" ref="BK82:BL82" si="271">BP82+BU82+BZ82+CJ82+CO82+CT82+CY82+DD82+DI82+DN82+DS82+CE82</f>
        <v>0</v>
      </c>
      <c r="BL82" s="3342">
        <f t="shared" si="271"/>
        <v>0</v>
      </c>
      <c r="BM82" s="2012">
        <f t="shared" ref="BM82" si="272">BK82+BL82</f>
        <v>0</v>
      </c>
      <c r="BN82" s="3455"/>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455"/>
      <c r="CO82" s="3341"/>
      <c r="CP82" s="3341"/>
      <c r="CQ82" s="3390">
        <f>CO82+CP82</f>
        <v>0</v>
      </c>
      <c r="CR82" s="3381"/>
      <c r="CS82" s="3455"/>
      <c r="CT82" s="3341"/>
      <c r="CU82" s="3341"/>
      <c r="CV82" s="3390">
        <f>CT82+CU82</f>
        <v>0</v>
      </c>
      <c r="CW82" s="3381"/>
      <c r="CX82" s="3455"/>
      <c r="CY82" s="3341"/>
      <c r="CZ82" s="3341"/>
      <c r="DA82" s="3390">
        <f>CY82+CZ82</f>
        <v>0</v>
      </c>
      <c r="DB82" s="3381"/>
      <c r="DC82" s="3455"/>
      <c r="DD82" s="3341"/>
      <c r="DE82" s="3341"/>
      <c r="DF82" s="3390">
        <f>DD82+DE82</f>
        <v>0</v>
      </c>
      <c r="DG82" s="3381"/>
      <c r="DH82" s="3455"/>
      <c r="DI82" s="3341"/>
      <c r="DJ82" s="3341"/>
      <c r="DK82" s="3390">
        <f>DI82+DJ82</f>
        <v>0</v>
      </c>
      <c r="DL82" s="3381"/>
      <c r="DM82" s="3455"/>
      <c r="DN82" s="3341"/>
      <c r="DO82" s="3341"/>
      <c r="DP82" s="3390">
        <f>DN82+DO82</f>
        <v>0</v>
      </c>
      <c r="DQ82" s="3381"/>
      <c r="DR82" s="3455"/>
      <c r="DS82" s="3341"/>
      <c r="DT82" s="3341"/>
      <c r="DU82" s="3390">
        <f>DS82+DT82</f>
        <v>0</v>
      </c>
      <c r="DV82" s="3381"/>
      <c r="DW82" s="3455"/>
      <c r="DX82" s="3341">
        <f>M82</f>
        <v>0</v>
      </c>
      <c r="DY82" s="3341">
        <f>N82</f>
        <v>0</v>
      </c>
      <c r="DZ82" s="3390">
        <f>DX82+DY82</f>
        <v>0</v>
      </c>
      <c r="EA82" s="3381"/>
      <c r="EB82" s="3381"/>
      <c r="ED82" s="3415">
        <f>EB82+EC82</f>
        <v>0</v>
      </c>
      <c r="EE82" s="3415">
        <f>EC82+ED82</f>
        <v>0</v>
      </c>
      <c r="EF82" s="3415"/>
      <c r="EH82" s="2624"/>
    </row>
    <row r="83" spans="1:141" s="1396" customFormat="1" ht="13.8" outlineLevel="1">
      <c r="A83" s="1405"/>
      <c r="B83" s="4137" t="s">
        <v>13</v>
      </c>
      <c r="C83" s="4138">
        <f>(C81+C7)-C36</f>
        <v>1131720.8445499996</v>
      </c>
      <c r="D83" s="4138">
        <f>(D81+D7)-D36</f>
        <v>-730841.66</v>
      </c>
      <c r="E83" s="4139">
        <f>(E81+E7)-E36</f>
        <v>280764.41273181781</v>
      </c>
      <c r="F83" s="4140"/>
      <c r="G83" s="4140"/>
      <c r="H83" s="4138">
        <v>1024653.9064000002</v>
      </c>
      <c r="I83" s="4138">
        <v>-277675.29000000004</v>
      </c>
      <c r="J83" s="4139">
        <v>715814.38108143816</v>
      </c>
      <c r="K83" s="4140"/>
      <c r="L83" s="4180"/>
      <c r="M83" s="4138">
        <f>(M81+M7)-M36</f>
        <v>-253.9</v>
      </c>
      <c r="N83" s="4138">
        <f>(N81+N7)-N36</f>
        <v>-6730.15</v>
      </c>
      <c r="O83" s="4139">
        <f>(O81+O7)-O36</f>
        <v>-7002.2798850574718</v>
      </c>
      <c r="P83" s="4140"/>
      <c r="Q83" s="4140"/>
      <c r="R83" s="4138">
        <f>(R81+R7)-R36</f>
        <v>0</v>
      </c>
      <c r="S83" s="4138">
        <f>(S81+S7)-S36</f>
        <v>-122</v>
      </c>
      <c r="T83" s="4139">
        <f>(T81+T7)-T36</f>
        <v>-140.22988505747128</v>
      </c>
      <c r="U83" s="4140"/>
      <c r="V83" s="4141"/>
      <c r="W83" s="4138">
        <f>(W81+W7)-W36</f>
        <v>-76102.156000000003</v>
      </c>
      <c r="X83" s="4138">
        <f>(X81+X7)-X36</f>
        <v>-16696</v>
      </c>
      <c r="Y83" s="4139">
        <f>(Y81+Y7)-Y36</f>
        <v>-95292.960597701152</v>
      </c>
      <c r="Z83" s="4140"/>
      <c r="AA83" s="4141"/>
      <c r="AB83" s="4138">
        <f>(AB81+AB7)-AB36</f>
        <v>0</v>
      </c>
      <c r="AC83" s="4138">
        <f>(AC81+AC7)-AC36</f>
        <v>0</v>
      </c>
      <c r="AD83" s="4139">
        <f>(AD81+AD7)-AD36</f>
        <v>0</v>
      </c>
      <c r="AE83" s="4140"/>
      <c r="AF83" s="4141"/>
      <c r="AG83" s="4138">
        <f>(AG81+AG7)-AG36</f>
        <v>0</v>
      </c>
      <c r="AH83" s="4138">
        <f>(AH81+AH7)-AH36</f>
        <v>0</v>
      </c>
      <c r="AI83" s="4139">
        <f>(AI81+AI7)-AI36</f>
        <v>0</v>
      </c>
      <c r="AJ83" s="4140"/>
      <c r="AK83" s="4141"/>
      <c r="AL83" s="4138">
        <f>(AL81+AL7)-AL36</f>
        <v>-12956.963999999998</v>
      </c>
      <c r="AM83" s="4138">
        <f>(AM81+AM7)-AM36</f>
        <v>0</v>
      </c>
      <c r="AN83" s="4139">
        <f>(AN81+AN7)-AN36</f>
        <v>-12956.963999999998</v>
      </c>
      <c r="AO83" s="4140"/>
      <c r="AP83" s="4141"/>
      <c r="AQ83" s="4138">
        <f>(AQ81+AQ7)-AQ36</f>
        <v>-83663.267399520584</v>
      </c>
      <c r="AR83" s="4138">
        <f>(AR81+AR7)-AR36</f>
        <v>-110130</v>
      </c>
      <c r="AS83" s="4139">
        <f>(AS81+AS7)-AS36</f>
        <v>-193793.26739952058</v>
      </c>
      <c r="AT83" s="4140"/>
      <c r="AU83" s="4141"/>
      <c r="AV83" s="4138">
        <f>(AV81+AV7)-AV36</f>
        <v>-87937.780268726099</v>
      </c>
      <c r="AW83" s="4138">
        <f>(AW81+AW7)-AW36</f>
        <v>-149232.54</v>
      </c>
      <c r="AX83" s="4139">
        <f>(AX81+AX7)-AX36</f>
        <v>-237170.32026872609</v>
      </c>
      <c r="AY83" s="4140"/>
      <c r="AZ83" s="4141"/>
      <c r="BA83" s="4138">
        <f>(BA81+BA7)-BA36</f>
        <v>-32341.09222060813</v>
      </c>
      <c r="BB83" s="4138">
        <f>(BB81+BB7)-BB36</f>
        <v>-139076.9</v>
      </c>
      <c r="BC83" s="4139">
        <f>(BC81+BC7)-BC36</f>
        <v>-171417.99222060811</v>
      </c>
      <c r="BD83" s="4140"/>
      <c r="BE83" s="4141"/>
      <c r="BF83" s="4138">
        <f>(BF81+BF7)-BF36</f>
        <v>-203942.13988885481</v>
      </c>
      <c r="BG83" s="4138">
        <f>(BG81+BG7)-BG36</f>
        <v>-398439.44</v>
      </c>
      <c r="BH83" s="4139">
        <f>(BH81+BH7)-BH36</f>
        <v>-602381.57988885476</v>
      </c>
      <c r="BI83" s="4142"/>
      <c r="BJ83" s="4142"/>
      <c r="BK83" s="4138">
        <f>(BK81+BK7)-BK36</f>
        <v>587718.10065698461</v>
      </c>
      <c r="BL83" s="4138">
        <f>(BL81+BL7)-BL36</f>
        <v>-270904.59999999998</v>
      </c>
      <c r="BM83" s="4139">
        <f>(BM81+BM7)-BM36</f>
        <v>316813.50065698475</v>
      </c>
      <c r="BN83" s="4142"/>
      <c r="BO83" s="4142"/>
      <c r="BP83" s="4138">
        <f>(BP81+BP7)-BP36</f>
        <v>-24358.685410373924</v>
      </c>
      <c r="BQ83" s="4138">
        <f>(BQ81+BQ7)-BQ36</f>
        <v>-119286.15</v>
      </c>
      <c r="BR83" s="4139">
        <f>(BR81+BR7)-BR36</f>
        <v>-143644.83541037393</v>
      </c>
      <c r="BS83" s="4140"/>
      <c r="BT83" s="4141"/>
      <c r="BU83" s="4138">
        <f>(BU81+BU7)-BU36</f>
        <v>-25046.316402956189</v>
      </c>
      <c r="BV83" s="4138">
        <f>(BV81+BV7)-BV36</f>
        <v>-124318.45</v>
      </c>
      <c r="BW83" s="4139">
        <f>(BW81+BW7)-BW36</f>
        <v>-149364.76640295619</v>
      </c>
      <c r="BX83" s="4140"/>
      <c r="BY83" s="4141"/>
      <c r="BZ83" s="4138">
        <f>(BZ81+BZ7)-BZ36</f>
        <v>637123.10247031471</v>
      </c>
      <c r="CA83" s="4138">
        <f>(CA81+CA7)-CA36</f>
        <v>-27300</v>
      </c>
      <c r="CB83" s="4139">
        <f>(CB81+CB7)-CB36</f>
        <v>609823.10247031471</v>
      </c>
      <c r="CC83" s="4140"/>
      <c r="CD83" s="4141"/>
      <c r="CE83" s="4138">
        <f>(CE81+CE7)-CE36</f>
        <v>0</v>
      </c>
      <c r="CF83" s="4138">
        <f>(CF81+CF7)-CF36</f>
        <v>0</v>
      </c>
      <c r="CG83" s="4139">
        <f>(CG81+CG7)-CG36</f>
        <v>0</v>
      </c>
      <c r="CH83" s="4140"/>
      <c r="CI83" s="4141"/>
      <c r="CJ83" s="4138">
        <f>(CJ81+CJ7)-CJ36</f>
        <v>0</v>
      </c>
      <c r="CK83" s="4138">
        <f>(CK81+CK7)-CK36</f>
        <v>0</v>
      </c>
      <c r="CL83" s="4139">
        <f>(CL81+CL7)-CL36</f>
        <v>0</v>
      </c>
      <c r="CM83" s="4140"/>
      <c r="CN83" s="4141"/>
      <c r="CO83" s="4138">
        <f>(CO81+CO7)-CO36</f>
        <v>0</v>
      </c>
      <c r="CP83" s="4138">
        <f>(CP81+CP7)-CP36</f>
        <v>0</v>
      </c>
      <c r="CQ83" s="4139">
        <f>(CQ81+CQ7)-CQ36</f>
        <v>0</v>
      </c>
      <c r="CR83" s="4140"/>
      <c r="CS83" s="4141"/>
      <c r="CT83" s="4138">
        <f>(CT81+CT7)-CT36</f>
        <v>0</v>
      </c>
      <c r="CU83" s="4138">
        <f>(CU81+CU7)-CU36</f>
        <v>0</v>
      </c>
      <c r="CV83" s="4139">
        <f>(CV81+CV7)-CV36</f>
        <v>0</v>
      </c>
      <c r="CW83" s="4140"/>
      <c r="CX83" s="4141"/>
      <c r="CY83" s="4138">
        <f>(CY81+CY7)-CY36</f>
        <v>0</v>
      </c>
      <c r="CZ83" s="4138">
        <f>(CZ81+CZ7)-CZ36</f>
        <v>0</v>
      </c>
      <c r="DA83" s="4139">
        <f>(DA81+DA7)-DA36</f>
        <v>0</v>
      </c>
      <c r="DB83" s="4140"/>
      <c r="DC83" s="4141"/>
      <c r="DD83" s="4138">
        <f>(DD81+DD7)-DD36</f>
        <v>0</v>
      </c>
      <c r="DE83" s="4138">
        <f>(DE81+DE7)-DE36</f>
        <v>0</v>
      </c>
      <c r="DF83" s="4139">
        <f>(DF81+DF7)-DF36</f>
        <v>0</v>
      </c>
      <c r="DG83" s="4140"/>
      <c r="DH83" s="4141"/>
      <c r="DI83" s="4138">
        <f>(DI81+DI7)-DI36</f>
        <v>0</v>
      </c>
      <c r="DJ83" s="4138">
        <f>(DJ81+DJ7)-DJ36</f>
        <v>0</v>
      </c>
      <c r="DK83" s="4139">
        <f>(DK81+DK7)-DK36</f>
        <v>0</v>
      </c>
      <c r="DL83" s="4140"/>
      <c r="DM83" s="4141"/>
      <c r="DN83" s="4138">
        <f>(DN81+DN7)-DN36</f>
        <v>0</v>
      </c>
      <c r="DO83" s="4138">
        <f>(DO81+DO7)-DO36</f>
        <v>0</v>
      </c>
      <c r="DP83" s="4139">
        <f>(DP81+DP7)-DP36</f>
        <v>0</v>
      </c>
      <c r="DQ83" s="4140"/>
      <c r="DR83" s="4141"/>
      <c r="DS83" s="4138">
        <f>(DS81+DS7)-DS36</f>
        <v>0</v>
      </c>
      <c r="DT83" s="4138">
        <f>(DT81+DT7)-DT36</f>
        <v>0</v>
      </c>
      <c r="DU83" s="4139">
        <f>(DU81+DU7)-DU36</f>
        <v>0</v>
      </c>
      <c r="DV83" s="4140"/>
      <c r="DW83" s="4141"/>
      <c r="DX83" s="4138">
        <f>(DX81+DX7)-DX36</f>
        <v>383775.96076812979</v>
      </c>
      <c r="DY83" s="4138">
        <f>(DY81+DY7)-DY36</f>
        <v>-669344.04</v>
      </c>
      <c r="DZ83" s="4139">
        <f>(DZ81+DZ7)-DZ36</f>
        <v>-285568.07923187024</v>
      </c>
      <c r="EA83" s="4140"/>
      <c r="EB83" s="4140"/>
      <c r="ED83" s="3481">
        <f>(ED81+ED7)-ED36</f>
        <v>123706.32279999997</v>
      </c>
      <c r="EE83" s="3481">
        <f>(EE81+EE7)-EE36</f>
        <v>-285568.07923187024</v>
      </c>
      <c r="EF83" s="3481">
        <f>(EF81+EF7)-EF36</f>
        <v>409274.40203187044</v>
      </c>
      <c r="EH83" s="2624"/>
    </row>
    <row r="84" spans="1:141" s="1396" customFormat="1" ht="14.4" outlineLevel="1" thickBot="1">
      <c r="A84" s="1405"/>
      <c r="B84" s="4143" t="s">
        <v>14</v>
      </c>
      <c r="C84" s="4181">
        <f>C83-C73-C82</f>
        <v>1131720.8445499996</v>
      </c>
      <c r="D84" s="4181">
        <f>D83-D73-D82</f>
        <v>-730841.66</v>
      </c>
      <c r="E84" s="4144">
        <f>E83-E73-E82</f>
        <v>280764.41273181781</v>
      </c>
      <c r="F84" s="4145"/>
      <c r="G84" s="4145"/>
      <c r="H84" s="4144">
        <v>1024653.9064000002</v>
      </c>
      <c r="I84" s="4144">
        <v>-277675.29000000004</v>
      </c>
      <c r="J84" s="4144">
        <v>715814.38108143816</v>
      </c>
      <c r="K84" s="4145"/>
      <c r="L84" s="4145"/>
      <c r="M84" s="4144">
        <f>M83-M73-M82</f>
        <v>-253.9</v>
      </c>
      <c r="N84" s="4144">
        <f>N83-N73-N82</f>
        <v>-6730.15</v>
      </c>
      <c r="O84" s="4144">
        <f>O83-O73-O82</f>
        <v>-7002.2798850574718</v>
      </c>
      <c r="P84" s="4145"/>
      <c r="Q84" s="4145"/>
      <c r="R84" s="4144">
        <f>R83-R73-R82</f>
        <v>0</v>
      </c>
      <c r="S84" s="4144">
        <f>S83-S73-S82</f>
        <v>-122</v>
      </c>
      <c r="T84" s="4144">
        <f>T83-T73-T82</f>
        <v>-140.22988505747128</v>
      </c>
      <c r="U84" s="4145"/>
      <c r="V84" s="4146"/>
      <c r="W84" s="4144">
        <f>W83-W73-W82</f>
        <v>-76102.156000000003</v>
      </c>
      <c r="X84" s="4144">
        <f>X83-X73-X82</f>
        <v>-16696</v>
      </c>
      <c r="Y84" s="4144">
        <f>Y83-Y73-Y82</f>
        <v>-95292.960597701152</v>
      </c>
      <c r="Z84" s="4145"/>
      <c r="AA84" s="4146"/>
      <c r="AB84" s="4144">
        <f>AB83-AB73-AB82</f>
        <v>0</v>
      </c>
      <c r="AC84" s="4144">
        <f>AC83-AC73-AC82</f>
        <v>0</v>
      </c>
      <c r="AD84" s="4144">
        <f>AD83-AD73-AD82</f>
        <v>0</v>
      </c>
      <c r="AE84" s="4145"/>
      <c r="AF84" s="4146"/>
      <c r="AG84" s="4144">
        <f>AG83-AG73-AG82</f>
        <v>0</v>
      </c>
      <c r="AH84" s="4144">
        <f>AH83-AH73-AH82</f>
        <v>0</v>
      </c>
      <c r="AI84" s="4144">
        <f>AI83-AI73-AI82</f>
        <v>0</v>
      </c>
      <c r="AJ84" s="4145"/>
      <c r="AK84" s="4146"/>
      <c r="AL84" s="4144">
        <f>AL83-AL73-AL82</f>
        <v>-12956.963999999998</v>
      </c>
      <c r="AM84" s="4144">
        <f>AM83-AM73-AM82</f>
        <v>0</v>
      </c>
      <c r="AN84" s="4144">
        <f>AN83-AN73-AN82</f>
        <v>-12956.963999999998</v>
      </c>
      <c r="AO84" s="4145"/>
      <c r="AP84" s="4146"/>
      <c r="AQ84" s="4144">
        <f>AQ83-AQ73-AQ82</f>
        <v>-83663.267399520584</v>
      </c>
      <c r="AR84" s="4144">
        <f>AR83-AR73-AR82</f>
        <v>-110130</v>
      </c>
      <c r="AS84" s="4144">
        <f>AS83-AS73-AS82</f>
        <v>-193793.26739952058</v>
      </c>
      <c r="AT84" s="4145"/>
      <c r="AU84" s="4146"/>
      <c r="AV84" s="4144">
        <f>AV83-AV73-AV82</f>
        <v>-87937.780268726099</v>
      </c>
      <c r="AW84" s="4144">
        <f>AW83-AW73-AW82</f>
        <v>-149232.54</v>
      </c>
      <c r="AX84" s="4144">
        <f>AX83-AX73-AX82</f>
        <v>-237170.32026872609</v>
      </c>
      <c r="AY84" s="4145"/>
      <c r="AZ84" s="4146"/>
      <c r="BA84" s="4144">
        <f>BA83-BA73-BA82</f>
        <v>-32341.09222060813</v>
      </c>
      <c r="BB84" s="4144">
        <f>BB83-BB73-BB82</f>
        <v>-139076.9</v>
      </c>
      <c r="BC84" s="4144">
        <f>BC83-BC73-BC82</f>
        <v>-171417.99222060811</v>
      </c>
      <c r="BD84" s="4145"/>
      <c r="BE84" s="4146"/>
      <c r="BF84" s="4144">
        <f>BF83-BF73-BF82</f>
        <v>-203942.13988885481</v>
      </c>
      <c r="BG84" s="4144">
        <f>BG83-BG73-BG82</f>
        <v>-398439.44</v>
      </c>
      <c r="BH84" s="4144">
        <f>BH83-BH73-BH82</f>
        <v>-602381.57988885476</v>
      </c>
      <c r="BI84" s="4146"/>
      <c r="BJ84" s="4146"/>
      <c r="BK84" s="4086">
        <f t="shared" ref="BK84:BL84" si="273">BP84+BU84+BZ84+CJ84+CO84+CT84+CY84+DD84+DI84+DN84+DS84</f>
        <v>587718.10065698461</v>
      </c>
      <c r="BL84" s="4087">
        <f t="shared" si="273"/>
        <v>-270904.59999999998</v>
      </c>
      <c r="BM84" s="4144">
        <f>BM83-BM73-BM82</f>
        <v>316813.50065698475</v>
      </c>
      <c r="BN84" s="4146"/>
      <c r="BO84" s="4146"/>
      <c r="BP84" s="4144">
        <f>BP83-BP73-BP82</f>
        <v>-24358.685410373924</v>
      </c>
      <c r="BQ84" s="4144">
        <f>BQ83-BQ73-BQ82</f>
        <v>-119286.15</v>
      </c>
      <c r="BR84" s="4144">
        <f>BR83-BR73-BR82</f>
        <v>-143644.83541037393</v>
      </c>
      <c r="BS84" s="4145"/>
      <c r="BT84" s="4146"/>
      <c r="BU84" s="4144">
        <f>BU83-BU73-BU82</f>
        <v>-25046.316402956189</v>
      </c>
      <c r="BV84" s="4144">
        <f>BV83-BV73-BV82</f>
        <v>-124318.45</v>
      </c>
      <c r="BW84" s="4144">
        <f>BW83-BW73-BW82</f>
        <v>-149364.76640295619</v>
      </c>
      <c r="BX84" s="4145"/>
      <c r="BY84" s="4146"/>
      <c r="BZ84" s="4144">
        <f>BZ83-BZ73-BZ82</f>
        <v>637123.10247031471</v>
      </c>
      <c r="CA84" s="4144">
        <f>CA83-CA73-CA82</f>
        <v>-27300</v>
      </c>
      <c r="CB84" s="4144">
        <f>CB83-CB73-CB82</f>
        <v>609823.10247031471</v>
      </c>
      <c r="CC84" s="4145"/>
      <c r="CD84" s="4146"/>
      <c r="CE84" s="4144">
        <f>CE83-CE73-CE82</f>
        <v>0</v>
      </c>
      <c r="CF84" s="4144">
        <f>CF83-CF73-CF82</f>
        <v>0</v>
      </c>
      <c r="CG84" s="4144">
        <f>CG83-CG73-CG82</f>
        <v>0</v>
      </c>
      <c r="CH84" s="4145"/>
      <c r="CI84" s="4146"/>
      <c r="CJ84" s="4144">
        <f>CJ83-CJ73-CJ82</f>
        <v>0</v>
      </c>
      <c r="CK84" s="4144">
        <f>CK83-CK73-CK82</f>
        <v>0</v>
      </c>
      <c r="CL84" s="4144">
        <f>CL83-CL73-CL82</f>
        <v>0</v>
      </c>
      <c r="CM84" s="4145"/>
      <c r="CN84" s="4146"/>
      <c r="CO84" s="4144">
        <f>CO83-CO73-CO82</f>
        <v>0</v>
      </c>
      <c r="CP84" s="4144">
        <f>CP83-CP73-CP82</f>
        <v>0</v>
      </c>
      <c r="CQ84" s="4144">
        <f>CQ83-CQ73-CQ82</f>
        <v>0</v>
      </c>
      <c r="CR84" s="4145"/>
      <c r="CS84" s="4146"/>
      <c r="CT84" s="4144">
        <f>CT83-CT73-CT82</f>
        <v>0</v>
      </c>
      <c r="CU84" s="4144">
        <f>CU83-CU73-CU82</f>
        <v>0</v>
      </c>
      <c r="CV84" s="4144">
        <f>CV83-CV73-CV82</f>
        <v>0</v>
      </c>
      <c r="CW84" s="4145"/>
      <c r="CX84" s="4146"/>
      <c r="CY84" s="4144">
        <f>CY83-CY73-CY82</f>
        <v>0</v>
      </c>
      <c r="CZ84" s="4144">
        <f>CZ83-CZ73-CZ82</f>
        <v>0</v>
      </c>
      <c r="DA84" s="4144">
        <f>DA83-DA73-DA82</f>
        <v>0</v>
      </c>
      <c r="DB84" s="4145"/>
      <c r="DC84" s="4146"/>
      <c r="DD84" s="4144">
        <f>DD83-DD73-DD82</f>
        <v>0</v>
      </c>
      <c r="DE84" s="4144">
        <f>DE83-DE73-DE82</f>
        <v>0</v>
      </c>
      <c r="DF84" s="4144">
        <f>DF83-DF73-DF82</f>
        <v>0</v>
      </c>
      <c r="DG84" s="4145"/>
      <c r="DH84" s="4146"/>
      <c r="DI84" s="4144">
        <f>DI83-DI73-DI82</f>
        <v>0</v>
      </c>
      <c r="DJ84" s="4144">
        <f>DJ83-DJ73-DJ82</f>
        <v>0</v>
      </c>
      <c r="DK84" s="4144">
        <f>DK83-DK73-DK82</f>
        <v>0</v>
      </c>
      <c r="DL84" s="4145"/>
      <c r="DM84" s="4146"/>
      <c r="DN84" s="4144">
        <f>DN83-DN73-DN82</f>
        <v>0</v>
      </c>
      <c r="DO84" s="4144">
        <f>DO83-DO73-DO82</f>
        <v>0</v>
      </c>
      <c r="DP84" s="4144">
        <f>DP83-DP73-DP82</f>
        <v>0</v>
      </c>
      <c r="DQ84" s="4145"/>
      <c r="DR84" s="4146"/>
      <c r="DS84" s="4144">
        <f>DS83-DS73-DS82</f>
        <v>0</v>
      </c>
      <c r="DT84" s="4144">
        <f>DT83-DT73-DT82</f>
        <v>0</v>
      </c>
      <c r="DU84" s="4144">
        <f>DU83-DU73-DU82</f>
        <v>0</v>
      </c>
      <c r="DV84" s="4145"/>
      <c r="DW84" s="4146"/>
      <c r="DX84" s="4082">
        <f t="shared" ref="DX84:DY84" si="274">AQ84+AV84+BA84+BK84</f>
        <v>383775.96076812979</v>
      </c>
      <c r="DY84" s="4082">
        <f t="shared" si="274"/>
        <v>-669344.04</v>
      </c>
      <c r="DZ84" s="4144">
        <f>DZ83-DZ73-DZ82</f>
        <v>-285568.07923187024</v>
      </c>
      <c r="EA84" s="4145"/>
      <c r="EB84" s="4145"/>
      <c r="ED84" s="3309">
        <f>ED83-ED73-ED82</f>
        <v>123706.32279999997</v>
      </c>
      <c r="EE84" s="3484">
        <f>EE83-EE73-EE82</f>
        <v>-285568.07923187024</v>
      </c>
      <c r="EF84" s="3309">
        <f>EF83-EF73-EF82</f>
        <v>409274.40203187044</v>
      </c>
      <c r="EH84" s="2624"/>
    </row>
    <row r="85" spans="1:141" s="1396" customFormat="1" ht="13.8" outlineLevel="3">
      <c r="A85" s="1565"/>
      <c r="B85" s="1403" t="s">
        <v>44</v>
      </c>
      <c r="C85" s="3341"/>
      <c r="D85" s="3341"/>
      <c r="E85" s="2012">
        <f>C85+D85*1.15</f>
        <v>0</v>
      </c>
      <c r="F85" s="3381"/>
      <c r="G85" s="3381"/>
      <c r="H85" s="3341"/>
      <c r="I85" s="3341"/>
      <c r="J85" s="2012">
        <v>0</v>
      </c>
      <c r="K85" s="3381"/>
      <c r="L85" s="3381"/>
      <c r="M85" s="3341"/>
      <c r="N85" s="3341"/>
      <c r="O85" s="2012">
        <f>M85+N85*1.15</f>
        <v>0</v>
      </c>
      <c r="P85" s="3381"/>
      <c r="Q85" s="3381"/>
      <c r="R85" s="3341"/>
      <c r="S85" s="3341"/>
      <c r="T85" s="2012">
        <f>R85+S85*1.15</f>
        <v>0</v>
      </c>
      <c r="U85" s="3381"/>
      <c r="V85" s="3455"/>
      <c r="W85" s="3341"/>
      <c r="X85" s="3341"/>
      <c r="Y85" s="2012">
        <f>W85+X85*1.15</f>
        <v>0</v>
      </c>
      <c r="Z85" s="3381"/>
      <c r="AA85" s="3455"/>
      <c r="AB85" s="3341"/>
      <c r="AC85" s="3341"/>
      <c r="AD85" s="2012">
        <f>AB85+AC85*1.15</f>
        <v>0</v>
      </c>
      <c r="AE85" s="3381"/>
      <c r="AF85" s="3455"/>
      <c r="AG85" s="3341"/>
      <c r="AH85" s="3341"/>
      <c r="AI85" s="2012">
        <f>AG85+AH85*1.15</f>
        <v>0</v>
      </c>
      <c r="AJ85" s="3381"/>
      <c r="AK85" s="3455"/>
      <c r="AL85" s="3341"/>
      <c r="AM85" s="3341"/>
      <c r="AN85" s="2012">
        <f>AL85+AM85*1.15</f>
        <v>0</v>
      </c>
      <c r="AO85" s="3381"/>
      <c r="AP85" s="3455"/>
      <c r="AQ85" s="3341"/>
      <c r="AR85" s="3341"/>
      <c r="AS85" s="2012">
        <f>AQ85+AR85*1.15</f>
        <v>0</v>
      </c>
      <c r="AT85" s="3381"/>
      <c r="AU85" s="3455"/>
      <c r="AV85" s="3341"/>
      <c r="AW85" s="3341"/>
      <c r="AX85" s="2012">
        <f>AV85+AW85*1.15</f>
        <v>0</v>
      </c>
      <c r="AY85" s="3381"/>
      <c r="AZ85" s="3455"/>
      <c r="BA85" s="3341"/>
      <c r="BB85" s="3341"/>
      <c r="BC85" s="2012">
        <f>BA85+BB85*1.15</f>
        <v>0</v>
      </c>
      <c r="BD85" s="3381"/>
      <c r="BE85" s="3455"/>
      <c r="BF85" s="3342">
        <f t="shared" ref="BF85:BG85" si="275">BA85+AV85+AQ85</f>
        <v>0</v>
      </c>
      <c r="BG85" s="3342">
        <f t="shared" si="275"/>
        <v>0</v>
      </c>
      <c r="BH85" s="2012">
        <f t="shared" ref="BH85" si="276">BF85+BG85</f>
        <v>0</v>
      </c>
      <c r="BI85" s="3455"/>
      <c r="BJ85" s="3455"/>
      <c r="BK85" s="3342">
        <f t="shared" ref="BK85:BL85" si="277">BP85+BU85+BZ85+CJ85+CO85+CT85+CY85+DD85+DI85+DN85+DS85+CE85</f>
        <v>0</v>
      </c>
      <c r="BL85" s="3342">
        <f t="shared" si="277"/>
        <v>0</v>
      </c>
      <c r="BM85" s="2012">
        <f t="shared" ref="BM85" si="278">BK85+BL85</f>
        <v>0</v>
      </c>
      <c r="BN85" s="3455"/>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c r="CK85" s="3341"/>
      <c r="CL85" s="2012">
        <f>CJ85+CK85*1.15</f>
        <v>0</v>
      </c>
      <c r="CM85" s="3381"/>
      <c r="CN85" s="3455"/>
      <c r="CO85" s="3341"/>
      <c r="CP85" s="3341"/>
      <c r="CQ85" s="2012">
        <f>CO85+CP85*1.15</f>
        <v>0</v>
      </c>
      <c r="CR85" s="3381"/>
      <c r="CS85" s="3455"/>
      <c r="CT85" s="3341"/>
      <c r="CU85" s="3341"/>
      <c r="CV85" s="2012">
        <f>CT85+CU85*1.15</f>
        <v>0</v>
      </c>
      <c r="CW85" s="3381"/>
      <c r="CX85" s="3455"/>
      <c r="CY85" s="3341"/>
      <c r="CZ85" s="3341"/>
      <c r="DA85" s="2012">
        <f>CY85+CZ85*1.15</f>
        <v>0</v>
      </c>
      <c r="DB85" s="3381"/>
      <c r="DC85" s="3455"/>
      <c r="DD85" s="3341"/>
      <c r="DE85" s="3341"/>
      <c r="DF85" s="2012">
        <f>DD85+DE85*1.15</f>
        <v>0</v>
      </c>
      <c r="DG85" s="3381"/>
      <c r="DH85" s="3455"/>
      <c r="DI85" s="3341"/>
      <c r="DJ85" s="3341"/>
      <c r="DK85" s="2012">
        <f>DI85+DJ85*1.15</f>
        <v>0</v>
      </c>
      <c r="DL85" s="3381"/>
      <c r="DM85" s="3455"/>
      <c r="DN85" s="3341"/>
      <c r="DO85" s="3341"/>
      <c r="DP85" s="2012">
        <f>DN85+DO85*1.15</f>
        <v>0</v>
      </c>
      <c r="DQ85" s="3381"/>
      <c r="DR85" s="3455"/>
      <c r="DS85" s="3341"/>
      <c r="DT85" s="3341"/>
      <c r="DU85" s="2012">
        <f>DS85+DT85*1.15</f>
        <v>0</v>
      </c>
      <c r="DV85" s="3381"/>
      <c r="DW85" s="3455"/>
      <c r="DX85" s="3341">
        <f>AQ85+AV85+BA85</f>
        <v>0</v>
      </c>
      <c r="DY85" s="3341">
        <f>AR85+AW85+BB85</f>
        <v>0</v>
      </c>
      <c r="DZ85" s="2012">
        <f>DX85+DY85*1.15</f>
        <v>0</v>
      </c>
      <c r="EA85" s="3381"/>
      <c r="EB85" s="3381"/>
      <c r="ED85" s="2124">
        <f>EB85+EC85*1.15</f>
        <v>0</v>
      </c>
      <c r="EE85" s="2124">
        <f>EC85+ED85*1.15</f>
        <v>0</v>
      </c>
      <c r="EF85" s="2124"/>
      <c r="EH85" s="2624" t="s">
        <v>1986</v>
      </c>
    </row>
    <row r="86" spans="1:141" s="1396" customFormat="1" ht="27.6">
      <c r="A86" s="1405"/>
      <c r="B86" s="4147" t="s">
        <v>50</v>
      </c>
      <c r="C86" s="4182">
        <f>C84-C85</f>
        <v>1131720.8445499996</v>
      </c>
      <c r="D86" s="4182">
        <f>D84-D85</f>
        <v>-730841.66</v>
      </c>
      <c r="E86" s="4148">
        <f>E84-E85</f>
        <v>280764.41273181781</v>
      </c>
      <c r="F86" s="4149"/>
      <c r="G86" s="4149"/>
      <c r="H86" s="4148">
        <v>1024653.9064000002</v>
      </c>
      <c r="I86" s="4148">
        <v>-277675.29000000004</v>
      </c>
      <c r="J86" s="4148">
        <v>715814.38108143816</v>
      </c>
      <c r="K86" s="4149"/>
      <c r="L86" s="4149"/>
      <c r="M86" s="4148">
        <f>M84-M85</f>
        <v>-253.9</v>
      </c>
      <c r="N86" s="4148">
        <f>N84-N85</f>
        <v>-6730.15</v>
      </c>
      <c r="O86" s="4148">
        <f>O84-O85</f>
        <v>-7002.2798850574718</v>
      </c>
      <c r="P86" s="4149"/>
      <c r="Q86" s="4149"/>
      <c r="R86" s="4148">
        <f>R84-R85</f>
        <v>0</v>
      </c>
      <c r="S86" s="4148">
        <f>S84-S85</f>
        <v>-122</v>
      </c>
      <c r="T86" s="4148">
        <f>T84-T85</f>
        <v>-140.22988505747128</v>
      </c>
      <c r="U86" s="4149"/>
      <c r="V86" s="4150"/>
      <c r="W86" s="4148">
        <f>W84-W85</f>
        <v>-76102.156000000003</v>
      </c>
      <c r="X86" s="4148">
        <f>X84-X85</f>
        <v>-16696</v>
      </c>
      <c r="Y86" s="4148">
        <f>Y84-Y85</f>
        <v>-95292.960597701152</v>
      </c>
      <c r="Z86" s="4149"/>
      <c r="AA86" s="4150"/>
      <c r="AB86" s="4148">
        <f>AB84-AB85</f>
        <v>0</v>
      </c>
      <c r="AC86" s="4148">
        <f>AC84-AC85</f>
        <v>0</v>
      </c>
      <c r="AD86" s="4148">
        <f>AD84-AD85</f>
        <v>0</v>
      </c>
      <c r="AE86" s="4149"/>
      <c r="AF86" s="4150"/>
      <c r="AG86" s="4148">
        <f>AG84-AG85</f>
        <v>0</v>
      </c>
      <c r="AH86" s="4148">
        <f>AH84-AH85</f>
        <v>0</v>
      </c>
      <c r="AI86" s="4148">
        <f>AI84-AI85</f>
        <v>0</v>
      </c>
      <c r="AJ86" s="4149"/>
      <c r="AK86" s="4150"/>
      <c r="AL86" s="4148">
        <f>AL84-AL85</f>
        <v>-12956.963999999998</v>
      </c>
      <c r="AM86" s="4148">
        <f>AM84-AM85</f>
        <v>0</v>
      </c>
      <c r="AN86" s="4148">
        <f>AN84-AN85</f>
        <v>-12956.963999999998</v>
      </c>
      <c r="AO86" s="4149"/>
      <c r="AP86" s="4150"/>
      <c r="AQ86" s="4148">
        <f>AQ84-AQ85</f>
        <v>-83663.267399520584</v>
      </c>
      <c r="AR86" s="4148">
        <f>AR84-AR85</f>
        <v>-110130</v>
      </c>
      <c r="AS86" s="4148">
        <f>AS84-AS85</f>
        <v>-193793.26739952058</v>
      </c>
      <c r="AT86" s="4149"/>
      <c r="AU86" s="4150"/>
      <c r="AV86" s="4148">
        <f>AV84-AV85</f>
        <v>-87937.780268726099</v>
      </c>
      <c r="AW86" s="4148">
        <f>AW84-AW85</f>
        <v>-149232.54</v>
      </c>
      <c r="AX86" s="4148">
        <f>AX84-AX85</f>
        <v>-237170.32026872609</v>
      </c>
      <c r="AY86" s="4149"/>
      <c r="AZ86" s="4150"/>
      <c r="BA86" s="4148">
        <f>BA84-BA85</f>
        <v>-32341.09222060813</v>
      </c>
      <c r="BB86" s="4148">
        <f>BB84-BB85</f>
        <v>-139076.9</v>
      </c>
      <c r="BC86" s="4148">
        <f>BC84-BC85</f>
        <v>-171417.99222060811</v>
      </c>
      <c r="BD86" s="4149"/>
      <c r="BE86" s="4150"/>
      <c r="BF86" s="4148">
        <f>BF84-BF85</f>
        <v>-203942.13988885481</v>
      </c>
      <c r="BG86" s="4148">
        <f>BG84-BG85</f>
        <v>-398439.44</v>
      </c>
      <c r="BH86" s="4148">
        <f>BH84-BH85</f>
        <v>-602381.57988885476</v>
      </c>
      <c r="BI86" s="4150"/>
      <c r="BJ86" s="4150"/>
      <c r="BK86" s="4148">
        <f>BK84-BK85</f>
        <v>587718.10065698461</v>
      </c>
      <c r="BL86" s="4148">
        <f>BL84-BL85</f>
        <v>-270904.59999999998</v>
      </c>
      <c r="BM86" s="4148">
        <f>BM84-BM85</f>
        <v>316813.50065698475</v>
      </c>
      <c r="BN86" s="4150"/>
      <c r="BO86" s="4150"/>
      <c r="BP86" s="4148">
        <f>BP84-BP85</f>
        <v>-24358.685410373924</v>
      </c>
      <c r="BQ86" s="4148">
        <f>BQ84-BQ85</f>
        <v>-119286.15</v>
      </c>
      <c r="BR86" s="4148">
        <f>BR84-BR85</f>
        <v>-143644.83541037393</v>
      </c>
      <c r="BS86" s="4149"/>
      <c r="BT86" s="4150"/>
      <c r="BU86" s="4148">
        <f>BU84-BU85</f>
        <v>-25046.316402956189</v>
      </c>
      <c r="BV86" s="4148">
        <f>BV84-BV85</f>
        <v>-124318.45</v>
      </c>
      <c r="BW86" s="4148">
        <f>BW84-BW85</f>
        <v>-149364.76640295619</v>
      </c>
      <c r="BX86" s="4149"/>
      <c r="BY86" s="4150"/>
      <c r="BZ86" s="4148">
        <f>BZ84-BZ85</f>
        <v>637123.10247031471</v>
      </c>
      <c r="CA86" s="4148">
        <f>CA84-CA85</f>
        <v>-27300</v>
      </c>
      <c r="CB86" s="4148">
        <f>CB84-CB85</f>
        <v>609823.10247031471</v>
      </c>
      <c r="CC86" s="4149"/>
      <c r="CD86" s="4150"/>
      <c r="CE86" s="4148">
        <f>CE84-CE85</f>
        <v>0</v>
      </c>
      <c r="CF86" s="4148">
        <f>CF84-CF85</f>
        <v>0</v>
      </c>
      <c r="CG86" s="4148">
        <f>CG84-CG85</f>
        <v>0</v>
      </c>
      <c r="CH86" s="4149"/>
      <c r="CI86" s="4150"/>
      <c r="CJ86" s="4148">
        <f>CJ84-CJ85</f>
        <v>0</v>
      </c>
      <c r="CK86" s="4148">
        <f>CK84-CK85</f>
        <v>0</v>
      </c>
      <c r="CL86" s="4148">
        <f>CL84-CL85</f>
        <v>0</v>
      </c>
      <c r="CM86" s="4149"/>
      <c r="CN86" s="4150"/>
      <c r="CO86" s="4148">
        <f>CO84-CO85</f>
        <v>0</v>
      </c>
      <c r="CP86" s="4148">
        <f>CP84-CP85</f>
        <v>0</v>
      </c>
      <c r="CQ86" s="4148">
        <f>CQ84-CQ85</f>
        <v>0</v>
      </c>
      <c r="CR86" s="4149"/>
      <c r="CS86" s="4150"/>
      <c r="CT86" s="4148">
        <f>CT84-CT85</f>
        <v>0</v>
      </c>
      <c r="CU86" s="4148">
        <f>CU84-CU85</f>
        <v>0</v>
      </c>
      <c r="CV86" s="4148">
        <f>CV84-CV85</f>
        <v>0</v>
      </c>
      <c r="CW86" s="4149"/>
      <c r="CX86" s="4150"/>
      <c r="CY86" s="4148">
        <f>CY84-CY85</f>
        <v>0</v>
      </c>
      <c r="CZ86" s="4148">
        <f>CZ84-CZ85</f>
        <v>0</v>
      </c>
      <c r="DA86" s="4148">
        <f>DA84-DA85</f>
        <v>0</v>
      </c>
      <c r="DB86" s="4149"/>
      <c r="DC86" s="4150"/>
      <c r="DD86" s="4148">
        <f>DD84-DD85</f>
        <v>0</v>
      </c>
      <c r="DE86" s="4148">
        <f>DE84-DE85</f>
        <v>0</v>
      </c>
      <c r="DF86" s="4148">
        <f>DF84-DF85</f>
        <v>0</v>
      </c>
      <c r="DG86" s="4149"/>
      <c r="DH86" s="4150"/>
      <c r="DI86" s="4148">
        <f>DI84-DI85</f>
        <v>0</v>
      </c>
      <c r="DJ86" s="4148">
        <f>DJ84-DJ85</f>
        <v>0</v>
      </c>
      <c r="DK86" s="4148">
        <f>DK84-DK85</f>
        <v>0</v>
      </c>
      <c r="DL86" s="4149"/>
      <c r="DM86" s="4150"/>
      <c r="DN86" s="4148">
        <f>DN84-DN85</f>
        <v>0</v>
      </c>
      <c r="DO86" s="4148">
        <f>DO84-DO85</f>
        <v>0</v>
      </c>
      <c r="DP86" s="4148">
        <f>DP84-DP85</f>
        <v>0</v>
      </c>
      <c r="DQ86" s="4149"/>
      <c r="DR86" s="4150"/>
      <c r="DS86" s="4148">
        <f>DS84-DS85</f>
        <v>0</v>
      </c>
      <c r="DT86" s="4148">
        <f>DT84-DT85</f>
        <v>0</v>
      </c>
      <c r="DU86" s="4148">
        <f>DU84-DU85</f>
        <v>0</v>
      </c>
      <c r="DV86" s="4149"/>
      <c r="DW86" s="4150"/>
      <c r="DX86" s="4148">
        <f>DX84-DX85</f>
        <v>383775.96076812979</v>
      </c>
      <c r="DY86" s="4148">
        <f>DY84-DY85</f>
        <v>-669344.04</v>
      </c>
      <c r="DZ86" s="3481">
        <f>DZ84-DZ85</f>
        <v>-285568.07923187024</v>
      </c>
      <c r="EA86" s="4149"/>
      <c r="EB86" s="4149"/>
      <c r="ED86" s="3481">
        <f>ED84-ED85</f>
        <v>123706.32279999997</v>
      </c>
      <c r="EE86" s="3481">
        <f>EE84-EE85</f>
        <v>-285568.07923187024</v>
      </c>
      <c r="EF86" s="3481">
        <f>EF84-EF85</f>
        <v>409274.40203187044</v>
      </c>
      <c r="EH86" s="4058">
        <f>-EF86/ED86</f>
        <v>-3.3084355978599223</v>
      </c>
      <c r="EK86" s="933"/>
    </row>
    <row r="87" spans="1:141" s="1396" customFormat="1" ht="14.4" thickBot="1">
      <c r="A87" s="1567"/>
      <c r="B87" s="4151" t="s">
        <v>51</v>
      </c>
      <c r="C87" s="4152">
        <f>C86/C5</f>
        <v>0.49305542510422468</v>
      </c>
      <c r="D87" s="4153">
        <f>D86/D5</f>
        <v>-4.8722777333333331</v>
      </c>
      <c r="E87" s="4154">
        <f>E86/E5</f>
        <v>0.1148169609790869</v>
      </c>
      <c r="F87" s="4155"/>
      <c r="G87" s="4155"/>
      <c r="H87" s="4152">
        <v>0.64439473529099744</v>
      </c>
      <c r="I87" s="4153" t="e">
        <v>#DIV/0!</v>
      </c>
      <c r="J87" s="4154">
        <v>0.45016860398753505</v>
      </c>
      <c r="K87" s="4155"/>
      <c r="L87" s="4183"/>
      <c r="M87" s="4152" t="e">
        <f>M86/M5</f>
        <v>#DIV/0!</v>
      </c>
      <c r="N87" s="4153" t="e">
        <f>N86/N5</f>
        <v>#DIV/0!</v>
      </c>
      <c r="O87" s="4154" t="e">
        <f>O86/O5</f>
        <v>#DIV/0!</v>
      </c>
      <c r="P87" s="4155"/>
      <c r="Q87" s="4155"/>
      <c r="R87" s="4152" t="e">
        <f>R86/R5</f>
        <v>#DIV/0!</v>
      </c>
      <c r="S87" s="4153" t="e">
        <f>S86/S5</f>
        <v>#DIV/0!</v>
      </c>
      <c r="T87" s="4154" t="e">
        <f>T86/T5</f>
        <v>#DIV/0!</v>
      </c>
      <c r="U87" s="4155"/>
      <c r="V87" s="4156"/>
      <c r="W87" s="4152" t="e">
        <f>W86/W5</f>
        <v>#DIV/0!</v>
      </c>
      <c r="X87" s="4153" t="e">
        <f>X86/X5</f>
        <v>#DIV/0!</v>
      </c>
      <c r="Y87" s="4154" t="e">
        <f>Y86/Y5</f>
        <v>#DIV/0!</v>
      </c>
      <c r="Z87" s="4155"/>
      <c r="AA87" s="4156"/>
      <c r="AB87" s="4152" t="e">
        <f>AB86/AB5</f>
        <v>#DIV/0!</v>
      </c>
      <c r="AC87" s="4153" t="e">
        <f>AC86/AC5</f>
        <v>#DIV/0!</v>
      </c>
      <c r="AD87" s="4154" t="e">
        <f>AD86/AD5</f>
        <v>#DIV/0!</v>
      </c>
      <c r="AE87" s="4155"/>
      <c r="AF87" s="4156"/>
      <c r="AG87" s="4152" t="e">
        <f>AG86/AG5</f>
        <v>#DIV/0!</v>
      </c>
      <c r="AH87" s="4153" t="e">
        <f>AH86/AH5</f>
        <v>#DIV/0!</v>
      </c>
      <c r="AI87" s="4154" t="e">
        <f>AI86/AI5</f>
        <v>#DIV/0!</v>
      </c>
      <c r="AJ87" s="4155"/>
      <c r="AK87" s="4156"/>
      <c r="AL87" s="4152" t="e">
        <f>AL86/AL5</f>
        <v>#DIV/0!</v>
      </c>
      <c r="AM87" s="4153" t="e">
        <f>AM86/AM5</f>
        <v>#DIV/0!</v>
      </c>
      <c r="AN87" s="4154" t="e">
        <f>AN86/AN5</f>
        <v>#DIV/0!</v>
      </c>
      <c r="AO87" s="4155"/>
      <c r="AP87" s="4156"/>
      <c r="AQ87" s="4152">
        <f>IFERROR(AQ86/AQ5,0)</f>
        <v>0</v>
      </c>
      <c r="AR87" s="4153">
        <f>IFERROR(AR86/AR5,0)</f>
        <v>0</v>
      </c>
      <c r="AS87" s="4154">
        <f>IFERROR(AS86/AS5,0)</f>
        <v>0</v>
      </c>
      <c r="AT87" s="4155"/>
      <c r="AU87" s="4156"/>
      <c r="AV87" s="4152">
        <f>IFERROR(AV86/AV5,0)</f>
        <v>0</v>
      </c>
      <c r="AW87" s="4153">
        <f>IFERROR(AW86/AW5,0)</f>
        <v>0</v>
      </c>
      <c r="AX87" s="4154">
        <f>IFERROR(AX86/AX5,0)</f>
        <v>0</v>
      </c>
      <c r="AY87" s="4155"/>
      <c r="AZ87" s="4156"/>
      <c r="BA87" s="4152">
        <f>IFERROR(BA86/BA5,0)</f>
        <v>0</v>
      </c>
      <c r="BB87" s="4153">
        <f>IFERROR(BB86/BB5,0)</f>
        <v>0</v>
      </c>
      <c r="BC87" s="4154">
        <f>IFERROR(BC86/BC5,0)</f>
        <v>0</v>
      </c>
      <c r="BD87" s="4155"/>
      <c r="BE87" s="4156"/>
      <c r="BF87" s="4157"/>
      <c r="BG87" s="4157"/>
      <c r="BH87" s="4157"/>
      <c r="BI87" s="4157"/>
      <c r="BJ87" s="4157"/>
      <c r="BK87" s="4157"/>
      <c r="BL87" s="4157"/>
      <c r="BM87" s="4157"/>
      <c r="BN87" s="4157"/>
      <c r="BO87" s="4157"/>
      <c r="BP87" s="4152">
        <f>IFERROR(BP86/BP5,0)</f>
        <v>0</v>
      </c>
      <c r="BQ87" s="4153">
        <f>IFERROR(BQ86/BQ5,0)</f>
        <v>0</v>
      </c>
      <c r="BR87" s="4154">
        <f>IFERROR(BR86/BR5,0)</f>
        <v>0</v>
      </c>
      <c r="BS87" s="4155"/>
      <c r="BT87" s="4156"/>
      <c r="BU87" s="4152">
        <f>IFERROR(BU86/BU5,0)</f>
        <v>0</v>
      </c>
      <c r="BV87" s="4153">
        <f>IFERROR(BV86/BV5,0)</f>
        <v>0</v>
      </c>
      <c r="BW87" s="4154">
        <f>IFERROR(BW86/BW5,0)</f>
        <v>0</v>
      </c>
      <c r="BX87" s="4155"/>
      <c r="BY87" s="4156"/>
      <c r="BZ87" s="4152">
        <f>IFERROR(BZ86/BZ5,0)</f>
        <v>0.61155667009851145</v>
      </c>
      <c r="CA87" s="4153">
        <f>IFERROR(CA86/CA5,0)</f>
        <v>0</v>
      </c>
      <c r="CB87" s="4154">
        <f>IFERROR(CB86/CB5,0)</f>
        <v>0.58535216263526613</v>
      </c>
      <c r="CC87" s="4155"/>
      <c r="CD87" s="4156"/>
      <c r="CE87" s="4152">
        <f>IFERROR(CE86/CE5,0)</f>
        <v>0</v>
      </c>
      <c r="CF87" s="4153">
        <f>IFERROR(CF86/CF5,0)</f>
        <v>0</v>
      </c>
      <c r="CG87" s="4154">
        <f>IFERROR(CG86/CG5,0)</f>
        <v>0</v>
      </c>
      <c r="CH87" s="4155"/>
      <c r="CI87" s="4156"/>
      <c r="CJ87" s="4152">
        <f>IFERROR(CJ86/CJ5,0)</f>
        <v>0</v>
      </c>
      <c r="CK87" s="4153">
        <f>IFERROR(CK86/CK5,0)</f>
        <v>0</v>
      </c>
      <c r="CL87" s="4154">
        <f>IFERROR(CL86/CL5,0)</f>
        <v>0</v>
      </c>
      <c r="CM87" s="4155"/>
      <c r="CN87" s="4156"/>
      <c r="CO87" s="4152">
        <f>IFERROR(CO86/CO5,0)</f>
        <v>0</v>
      </c>
      <c r="CP87" s="4153">
        <f>IFERROR(CP86/CP5,0)</f>
        <v>0</v>
      </c>
      <c r="CQ87" s="4154">
        <f>IFERROR(CQ86/CQ5,0)</f>
        <v>0</v>
      </c>
      <c r="CR87" s="4155"/>
      <c r="CS87" s="4156"/>
      <c r="CT87" s="4152">
        <f>IFERROR(CT86/CT5,0)</f>
        <v>0</v>
      </c>
      <c r="CU87" s="4153">
        <f>IFERROR(CU86/CU5,0)</f>
        <v>0</v>
      </c>
      <c r="CV87" s="4154">
        <f>IFERROR(CV86/CV5,0)</f>
        <v>0</v>
      </c>
      <c r="CW87" s="4155"/>
      <c r="CX87" s="4156"/>
      <c r="CY87" s="4152">
        <f>IFERROR(CY86/CY5,0)</f>
        <v>0</v>
      </c>
      <c r="CZ87" s="4153">
        <f>IFERROR(CZ86/CZ5,0)</f>
        <v>0</v>
      </c>
      <c r="DA87" s="4154">
        <f>IFERROR(DA86/DA5,0)</f>
        <v>0</v>
      </c>
      <c r="DB87" s="4155"/>
      <c r="DC87" s="4156"/>
      <c r="DD87" s="4152">
        <f>IFERROR(DD86/DD5,0)</f>
        <v>0</v>
      </c>
      <c r="DE87" s="4153">
        <f>IFERROR(DE86/DE5,0)</f>
        <v>0</v>
      </c>
      <c r="DF87" s="4154">
        <f>IFERROR(DF86/DF5,0)</f>
        <v>0</v>
      </c>
      <c r="DG87" s="4155"/>
      <c r="DH87" s="4156"/>
      <c r="DI87" s="4152">
        <f>IFERROR(DI86/DI5,0)</f>
        <v>0</v>
      </c>
      <c r="DJ87" s="4153">
        <f>IFERROR(DJ86/DJ5,0)</f>
        <v>0</v>
      </c>
      <c r="DK87" s="4154">
        <f>IFERROR(DK86/DK5,0)</f>
        <v>0</v>
      </c>
      <c r="DL87" s="4155"/>
      <c r="DM87" s="4156"/>
      <c r="DN87" s="4152">
        <f>IFERROR(DN86/DN5,0)</f>
        <v>0</v>
      </c>
      <c r="DO87" s="4153">
        <f>IFERROR(DO86/DO5,0)</f>
        <v>0</v>
      </c>
      <c r="DP87" s="4154">
        <f>IFERROR(DP86/DP5,0)</f>
        <v>0</v>
      </c>
      <c r="DQ87" s="4155"/>
      <c r="DR87" s="4156"/>
      <c r="DS87" s="4152">
        <f>IFERROR(DS86/DS5,0)</f>
        <v>0</v>
      </c>
      <c r="DT87" s="4153">
        <f>IFERROR(DT86/DT5,0)</f>
        <v>0</v>
      </c>
      <c r="DU87" s="4154">
        <f>IFERROR(DU86/DU5,0)</f>
        <v>0</v>
      </c>
      <c r="DV87" s="4155"/>
      <c r="DW87" s="4156"/>
      <c r="DX87" s="4152">
        <f>IFERROR(DX86/DX5,0)</f>
        <v>0.36837582520742096</v>
      </c>
      <c r="DY87" s="4153">
        <f>IFERROR(DY86/DY5,0)</f>
        <v>0</v>
      </c>
      <c r="DZ87" s="4154">
        <f>IFERROR(DZ86/DZ5,0)</f>
        <v>-0.27410882283868748</v>
      </c>
      <c r="EA87" s="4155"/>
      <c r="EB87" s="4155"/>
      <c r="ED87" s="4154">
        <f>ED86/ED5</f>
        <v>0.10393497951652958</v>
      </c>
      <c r="EE87" s="4162">
        <f>IFERROR(EE86/EE5,0)</f>
        <v>-0.27410882283868748</v>
      </c>
      <c r="EF87" s="4154">
        <f>EF86/EF5</f>
        <v>2.7574956764093748</v>
      </c>
      <c r="EH87" s="2624"/>
    </row>
    <row r="88" spans="1:141" ht="13.8">
      <c r="A88" s="1423"/>
      <c r="B88" s="1423"/>
      <c r="C88" s="1954"/>
      <c r="D88" s="1954"/>
      <c r="E88" s="1954"/>
      <c r="F88" s="1954"/>
      <c r="G88" s="1954"/>
      <c r="H88" s="1954"/>
      <c r="I88" s="1954"/>
      <c r="J88" s="1954"/>
      <c r="K88" s="1954"/>
      <c r="L88" s="1954"/>
      <c r="M88" s="1954"/>
      <c r="N88" s="1954"/>
      <c r="O88" s="1954"/>
      <c r="P88" s="1954"/>
      <c r="Q88" s="1954"/>
      <c r="R88" s="1954"/>
      <c r="S88" s="1954"/>
      <c r="T88" s="1954"/>
      <c r="U88" s="1954"/>
      <c r="V88" s="1611"/>
      <c r="W88" s="1954"/>
      <c r="X88" s="1954"/>
      <c r="Y88" s="1954"/>
      <c r="Z88" s="1954"/>
      <c r="AA88" s="1611"/>
      <c r="AB88" s="1954"/>
      <c r="AC88" s="1954"/>
      <c r="AD88" s="1954"/>
      <c r="AE88" s="1954"/>
      <c r="AF88" s="1611"/>
      <c r="AG88" s="1954"/>
      <c r="AH88" s="1954"/>
      <c r="AI88" s="1954"/>
      <c r="AJ88" s="1954"/>
      <c r="AK88" s="1611"/>
      <c r="AL88" s="1954"/>
      <c r="AM88" s="1954"/>
      <c r="AN88" s="1954"/>
      <c r="AO88" s="1954"/>
      <c r="AP88" s="1611"/>
      <c r="AQ88" s="1954"/>
      <c r="AR88" s="1954"/>
      <c r="AS88" s="1954"/>
      <c r="AT88" s="1954"/>
      <c r="AU88" s="1611"/>
      <c r="AV88" s="1954"/>
      <c r="AW88" s="1954"/>
      <c r="AX88" s="1954"/>
      <c r="AY88" s="1954"/>
      <c r="AZ88" s="1611"/>
      <c r="BA88" s="1954"/>
      <c r="BB88" s="1954"/>
      <c r="BC88" s="1954"/>
      <c r="BD88" s="1954"/>
      <c r="BE88" s="1611"/>
      <c r="BF88" s="1611"/>
      <c r="BG88" s="1611"/>
      <c r="BH88" s="1611"/>
      <c r="BI88" s="1611"/>
      <c r="BJ88" s="1611"/>
      <c r="BK88" s="1611"/>
      <c r="BL88" s="1611"/>
      <c r="BM88" s="1611"/>
      <c r="BN88" s="1611"/>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611"/>
      <c r="CO88" s="1954"/>
      <c r="CP88" s="1954"/>
      <c r="CQ88" s="1954"/>
      <c r="CR88" s="1954"/>
      <c r="CS88" s="1611"/>
      <c r="CT88" s="1954"/>
      <c r="CU88" s="1954"/>
      <c r="CV88" s="1954"/>
      <c r="CW88" s="1954"/>
      <c r="CX88" s="1611"/>
      <c r="CY88" s="1954"/>
      <c r="CZ88" s="1954"/>
      <c r="DA88" s="1954"/>
      <c r="DB88" s="1954"/>
      <c r="DC88" s="1611"/>
      <c r="DD88" s="1954"/>
      <c r="DE88" s="1954"/>
      <c r="DF88" s="1954"/>
      <c r="DG88" s="1954"/>
      <c r="DH88" s="1611"/>
      <c r="DI88" s="1954"/>
      <c r="DJ88" s="1954"/>
      <c r="DK88" s="1954"/>
      <c r="DL88" s="1954"/>
      <c r="DM88" s="1611"/>
      <c r="DN88" s="1954"/>
      <c r="DO88" s="1954"/>
      <c r="DP88" s="1954"/>
      <c r="DQ88" s="1954"/>
      <c r="DR88" s="1611"/>
      <c r="DS88" s="1954"/>
      <c r="DT88" s="1954"/>
      <c r="DU88" s="1954"/>
      <c r="DV88" s="1954"/>
      <c r="DW88" s="1611"/>
      <c r="DX88" s="1954"/>
      <c r="DY88" s="1954"/>
      <c r="DZ88" s="1954"/>
      <c r="EA88" s="1954"/>
      <c r="EB88" s="1954"/>
      <c r="ED88" s="1954"/>
      <c r="EE88" s="1954"/>
      <c r="EF88" s="1954"/>
    </row>
    <row r="89" spans="1:141">
      <c r="B89" s="1562" t="s">
        <v>56</v>
      </c>
      <c r="E89" s="1960">
        <f>E8+E36+E41+E50+E54+E73+E79+E82+E85</f>
        <v>2164557.3440681817</v>
      </c>
      <c r="J89" s="1960">
        <v>874288.47091856203</v>
      </c>
      <c r="O89" s="1960">
        <f>O8+O36+O41+O50+O54+O73+O79+O82+O85</f>
        <v>7002.2798850574718</v>
      </c>
      <c r="T89" s="1960">
        <f>T8+T36+T41+T50+T54+T73+T79+T82+T85</f>
        <v>140.22988505747128</v>
      </c>
      <c r="V89" s="1963"/>
      <c r="Y89" s="1960">
        <f>Y8+Y36+Y41+Y50+Y54+Y73+Y79+Y82+Y85</f>
        <v>95292.960597701152</v>
      </c>
      <c r="AA89" s="1963"/>
      <c r="AD89" s="1960">
        <f>AD8+AD36+AD41+AD50+AD54+AD73+AD79+AD82+AD85</f>
        <v>0</v>
      </c>
      <c r="AF89" s="1963"/>
      <c r="AI89" s="1960">
        <f>AI8+AI36+AI41+AI50+AI54+AI73+AI79+AI82+AI85</f>
        <v>0</v>
      </c>
      <c r="AK89" s="1963"/>
      <c r="AN89" s="1960">
        <f>AN8+AN36+AN41+AN50+AN54+AN73+AN79+AN82+AN85</f>
        <v>12956.963999999998</v>
      </c>
      <c r="AP89" s="1963"/>
      <c r="AS89" s="1960">
        <f>AS8+AS36+AS41+AS50+AS54+AS73+AS79+AS82+AS85</f>
        <v>193793.26739952058</v>
      </c>
      <c r="AU89" s="1963"/>
      <c r="AX89" s="1960">
        <f>AX8+AX36+AX41+AX50+AX54+AX73+AX79+AX82+AX85</f>
        <v>237170.32026872609</v>
      </c>
      <c r="AZ89" s="1963"/>
      <c r="BC89" s="1960">
        <f>BC8+BC36+BC41+BC50+BC54+BC73+BC79+BC82+BC85</f>
        <v>171417.99222060811</v>
      </c>
      <c r="BE89" s="1963"/>
      <c r="BF89" s="1963"/>
      <c r="BG89" s="1963"/>
      <c r="BH89" s="1960">
        <f>BH8+BH36+BH41+BH50+BH54+BH73+BH79+BH82+BH85</f>
        <v>602381.57988885476</v>
      </c>
      <c r="BI89" s="1963"/>
      <c r="BJ89" s="1963"/>
      <c r="BK89" s="1963"/>
      <c r="BL89" s="1963"/>
      <c r="BM89" s="1960">
        <f>BM8+BM36+BM41+BM50+BM54+BM73+BM79+BM82+BM85</f>
        <v>724991.99934301525</v>
      </c>
      <c r="BN89" s="1963"/>
      <c r="BO89" s="1963"/>
      <c r="BR89" s="1960">
        <f>BR8+BR36+BR41+BR50+BR54+BR73+BR79+BR82+BR85</f>
        <v>143644.83541037393</v>
      </c>
      <c r="BT89" s="1963"/>
      <c r="BW89" s="1960">
        <f>BW8+BW36+BW41+BW50+BW54+BW73+BW79+BW82+BW85</f>
        <v>149364.76640295619</v>
      </c>
      <c r="BY89" s="1963"/>
      <c r="CB89" s="1960">
        <f>CB8+CB36+CB41+CB50+CB54+CB73+CB79+CB82+CB85</f>
        <v>431982.39752968529</v>
      </c>
      <c r="CD89" s="1963"/>
      <c r="CG89" s="1960">
        <f>CG8+CG36+CG41+CG50+CG54+CG73+CG79+CG82+CG85</f>
        <v>0</v>
      </c>
      <c r="CI89" s="1963"/>
      <c r="CL89" s="1960">
        <f>CL8+CL36+CL41+CL50+CL54+CL73+CL79+CL82+CL85</f>
        <v>0</v>
      </c>
      <c r="CN89" s="1963"/>
      <c r="CQ89" s="1960">
        <f>CQ8+CQ36+CQ41+CQ50+CQ54+CQ73+CQ79+CQ82+CQ85</f>
        <v>0</v>
      </c>
      <c r="CS89" s="1963"/>
      <c r="CV89" s="1960">
        <f>CV8+CV36+CV41+CV50+CV54+CV73+CV79+CV82+CV85</f>
        <v>0</v>
      </c>
      <c r="CX89" s="1963"/>
      <c r="DA89" s="1960">
        <f>DA8+DA36+DA41+DA50+DA54+DA73+DA79+DA82+DA85</f>
        <v>0</v>
      </c>
      <c r="DC89" s="1963"/>
      <c r="DF89" s="1960">
        <f>DF8+DF36+DF41+DF50+DF54+DF73+DF79+DF82+DF85</f>
        <v>0</v>
      </c>
      <c r="DH89" s="1963"/>
      <c r="DK89" s="1960">
        <f>DK8+DK36+DK41+DK50+DK54+DK73+DK79+DK82+DK85</f>
        <v>0</v>
      </c>
      <c r="DM89" s="1963"/>
      <c r="DP89" s="1960">
        <f>DP8+DP36+DP41+DP50+DP54+DP73+DP79+DP82+DP85</f>
        <v>0</v>
      </c>
      <c r="DR89" s="1963"/>
      <c r="DU89" s="1960">
        <f>DU8+DU36+DU41+DU50+DU54+DU73+DU79+DU82+DU85</f>
        <v>0</v>
      </c>
      <c r="DW89" s="1963"/>
      <c r="DZ89" s="1960">
        <f>DZ8+DZ36+DZ41+DZ50+DZ54+DZ73+DZ79+DZ82+DZ85</f>
        <v>1327373.5792318701</v>
      </c>
    </row>
    <row r="90" spans="1:141">
      <c r="J90" s="1952" t="b">
        <v>1</v>
      </c>
      <c r="V90" s="1963"/>
      <c r="AA90" s="1963"/>
      <c r="AF90" s="1963"/>
      <c r="AK90" s="1963"/>
      <c r="AP90" s="1963"/>
      <c r="AQ90" s="1963"/>
      <c r="AR90" s="1963"/>
      <c r="AS90" s="1963"/>
      <c r="AT90" s="1963"/>
      <c r="AU90" s="1963"/>
      <c r="AV90" s="1963"/>
      <c r="AW90" s="1963"/>
      <c r="AX90" s="1963"/>
      <c r="AY90" s="1963"/>
      <c r="AZ90" s="1963"/>
      <c r="BA90" s="1963"/>
      <c r="BB90" s="1963"/>
      <c r="BC90" s="1963"/>
      <c r="BD90" s="1963"/>
      <c r="BE90" s="1963"/>
      <c r="BF90" s="1963"/>
      <c r="BG90" s="1963"/>
      <c r="BH90" s="1606" t="b">
        <f>BC89+AX89+AS89=BH89</f>
        <v>1</v>
      </c>
      <c r="BI90" s="1963"/>
      <c r="BJ90" s="1963"/>
      <c r="BK90" s="1963"/>
      <c r="BL90" s="1963"/>
      <c r="BM90" s="1606"/>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J90" s="1963"/>
      <c r="CK90" s="1963"/>
      <c r="CL90" s="1963"/>
      <c r="CM90" s="1963"/>
      <c r="CN90" s="1963"/>
      <c r="CO90" s="1963"/>
      <c r="CP90" s="1963"/>
      <c r="CQ90" s="1963"/>
      <c r="CR90" s="1963"/>
      <c r="CS90" s="1963"/>
      <c r="CT90" s="1963"/>
      <c r="CU90" s="1963"/>
      <c r="CV90" s="1963"/>
      <c r="CW90" s="1963"/>
      <c r="CX90" s="1963"/>
      <c r="CY90" s="1963"/>
      <c r="CZ90" s="1963"/>
      <c r="DA90" s="1963"/>
      <c r="DB90" s="1963"/>
      <c r="DC90" s="1963"/>
      <c r="DD90" s="1963"/>
      <c r="DE90" s="1963"/>
      <c r="DF90" s="1963"/>
      <c r="DG90" s="1963"/>
      <c r="DH90" s="1963"/>
      <c r="DI90" s="1963"/>
      <c r="DJ90" s="1963"/>
      <c r="DK90" s="1963"/>
      <c r="DL90" s="1963"/>
      <c r="DM90" s="1963"/>
      <c r="DN90" s="1963"/>
      <c r="DO90" s="1963"/>
      <c r="DP90" s="1963"/>
      <c r="DQ90" s="1963"/>
      <c r="DR90" s="1963"/>
      <c r="DS90" s="1963"/>
      <c r="DT90" s="1963"/>
      <c r="DU90" s="1963"/>
      <c r="DV90" s="1963"/>
      <c r="DW90" s="1963"/>
      <c r="DZ90" s="1592" t="b">
        <f>AX89+BC89+AS89+BM89=DZ89</f>
        <v>1</v>
      </c>
    </row>
    <row r="91" spans="1:141" s="1396" customFormat="1">
      <c r="A91" s="1402"/>
      <c r="B91" s="1402"/>
      <c r="C91" s="1952"/>
      <c r="D91" s="1952"/>
      <c r="E91" s="333" t="e">
        <f>E89-#REF!-#REF!-#REF!-#REF!-#REF!-#REF!-#REF!</f>
        <v>#REF!</v>
      </c>
      <c r="F91" s="1952"/>
      <c r="G91" s="1952"/>
      <c r="H91" s="1952"/>
      <c r="I91" s="1952"/>
      <c r="J91" s="1952"/>
      <c r="K91" s="1952"/>
      <c r="L91" s="1952"/>
      <c r="M91" s="1952"/>
      <c r="N91" s="1952"/>
      <c r="O91" s="1952"/>
      <c r="P91" s="1952"/>
      <c r="Q91" s="1952"/>
      <c r="R91" s="1952"/>
      <c r="S91" s="1952"/>
      <c r="T91" s="1952"/>
      <c r="U91" s="1952"/>
      <c r="V91" s="1963"/>
      <c r="W91" s="1952"/>
      <c r="X91" s="1952"/>
      <c r="Y91" s="1952"/>
      <c r="Z91" s="1952"/>
      <c r="AA91" s="1963"/>
      <c r="AB91" s="1952"/>
      <c r="AC91" s="1952"/>
      <c r="AD91" s="1952"/>
      <c r="AE91" s="1952"/>
      <c r="AF91" s="1963"/>
      <c r="AG91" s="1952"/>
      <c r="AH91" s="1952"/>
      <c r="AI91" s="1952"/>
      <c r="AJ91" s="1952"/>
      <c r="AK91" s="1963"/>
      <c r="AL91" s="1952"/>
      <c r="AM91" s="1952"/>
      <c r="AN91" s="1952"/>
      <c r="AO91" s="1952"/>
      <c r="AP91" s="1963"/>
      <c r="AQ91" s="1963"/>
      <c r="AR91" s="1963"/>
      <c r="AS91" s="1963"/>
      <c r="AT91" s="1963"/>
      <c r="AU91" s="1963"/>
      <c r="AV91" s="1963"/>
      <c r="AW91" s="1963"/>
      <c r="AX91" s="1963"/>
      <c r="AY91" s="1963"/>
      <c r="AZ91" s="196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63"/>
      <c r="CK91" s="1963"/>
      <c r="CL91" s="1963"/>
      <c r="CM91" s="1963"/>
      <c r="CN91" s="1963"/>
      <c r="CO91" s="1963"/>
      <c r="CP91" s="1963"/>
      <c r="CQ91" s="1963"/>
      <c r="CR91" s="1963"/>
      <c r="CS91" s="1963"/>
      <c r="CT91" s="1963"/>
      <c r="CU91" s="1963"/>
      <c r="CV91" s="1963"/>
      <c r="CW91" s="1963"/>
      <c r="CX91" s="1963"/>
      <c r="CY91" s="1963"/>
      <c r="CZ91" s="1963"/>
      <c r="DA91" s="1963"/>
      <c r="DB91" s="1963"/>
      <c r="DC91" s="1963"/>
      <c r="DD91" s="1963"/>
      <c r="DE91" s="1963"/>
      <c r="DF91" s="1963"/>
      <c r="DG91" s="1963"/>
      <c r="DH91" s="1963"/>
      <c r="DI91" s="1963"/>
      <c r="DJ91" s="1963"/>
      <c r="DK91" s="1963"/>
      <c r="DL91" s="1963"/>
      <c r="DM91" s="1963"/>
      <c r="DN91" s="1963"/>
      <c r="DO91" s="1963"/>
      <c r="DP91" s="1963"/>
      <c r="DQ91" s="1963"/>
      <c r="DR91" s="1963"/>
      <c r="DS91" s="1963"/>
      <c r="DT91" s="1963"/>
      <c r="DU91" s="1963"/>
      <c r="DV91" s="1963"/>
      <c r="DW91" s="1963"/>
      <c r="DX91" s="1952"/>
      <c r="DY91" s="1952"/>
      <c r="DZ91" s="1952"/>
      <c r="EA91" s="1952"/>
      <c r="EB91" s="1952"/>
      <c r="ED91" s="1952"/>
      <c r="EE91" s="1952"/>
      <c r="EF91" s="1952"/>
      <c r="EH91" s="2624"/>
    </row>
    <row r="92" spans="1:141">
      <c r="V92" s="1963"/>
      <c r="AA92" s="1963"/>
      <c r="AF92" s="1963"/>
      <c r="AG92" s="1963"/>
      <c r="AH92" s="1963"/>
      <c r="AI92" s="1963"/>
      <c r="AJ92" s="1963"/>
      <c r="AK92" s="1963"/>
      <c r="AP92" s="1963"/>
      <c r="AQ92" s="1963"/>
      <c r="AR92" s="1963"/>
      <c r="AS92" s="1963"/>
      <c r="AT92" s="1963"/>
      <c r="AU92" s="1963"/>
      <c r="AV92" s="1963"/>
      <c r="AW92" s="1963"/>
      <c r="AX92" s="1963"/>
      <c r="AY92" s="1963"/>
      <c r="AZ92" s="196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c r="CJ92" s="1963"/>
      <c r="CK92" s="1963"/>
      <c r="CL92" s="1963"/>
      <c r="CM92" s="1963"/>
      <c r="CN92" s="1963"/>
      <c r="CO92" s="1963"/>
      <c r="CP92" s="1963"/>
      <c r="CQ92" s="1963"/>
      <c r="CR92" s="1963"/>
      <c r="CS92" s="1963"/>
      <c r="CT92" s="1963"/>
      <c r="CU92" s="1963"/>
      <c r="CV92" s="1963"/>
      <c r="CW92" s="1963"/>
      <c r="CX92" s="1963"/>
      <c r="CY92" s="1963"/>
      <c r="CZ92" s="1963"/>
      <c r="DA92" s="1963"/>
      <c r="DB92" s="1963"/>
      <c r="DC92" s="1963"/>
      <c r="DD92" s="1963"/>
      <c r="DE92" s="1963"/>
      <c r="DF92" s="1963"/>
      <c r="DG92" s="1963"/>
      <c r="DH92" s="1963"/>
      <c r="DI92" s="1963"/>
      <c r="DJ92" s="1963"/>
      <c r="DK92" s="1963"/>
      <c r="DL92" s="1963"/>
      <c r="DM92" s="1963"/>
      <c r="DN92" s="1963"/>
      <c r="DO92" s="1963"/>
      <c r="DP92" s="1963"/>
      <c r="DQ92" s="1963"/>
      <c r="DR92" s="1963"/>
      <c r="DS92" s="1963"/>
      <c r="DT92" s="1963"/>
      <c r="DU92" s="1963"/>
      <c r="DV92" s="1963"/>
      <c r="DW92" s="1963"/>
    </row>
    <row r="93" spans="1:141" s="1396" customFormat="1">
      <c r="A93" s="1402"/>
      <c r="B93" s="1655"/>
      <c r="C93" s="1952"/>
      <c r="D93" s="1952"/>
      <c r="E93" s="1952"/>
      <c r="F93" s="1952"/>
      <c r="G93" s="1952"/>
      <c r="H93" s="1952"/>
      <c r="I93" s="1952"/>
      <c r="J93" s="1952"/>
      <c r="K93" s="1952"/>
      <c r="L93" s="1952"/>
      <c r="M93" s="1952"/>
      <c r="N93" s="1952"/>
      <c r="O93" s="1952"/>
      <c r="P93" s="1952"/>
      <c r="Q93" s="1952"/>
      <c r="R93" s="1952"/>
      <c r="S93" s="1952"/>
      <c r="T93" s="1952"/>
      <c r="U93" s="1952"/>
      <c r="V93" s="1963"/>
      <c r="W93" s="1952"/>
      <c r="X93" s="1952"/>
      <c r="Y93" s="1952"/>
      <c r="Z93" s="1952"/>
      <c r="AA93" s="1963"/>
      <c r="AB93" s="1952"/>
      <c r="AC93" s="1952"/>
      <c r="AD93" s="1952"/>
      <c r="AE93" s="1952"/>
      <c r="AF93" s="1963"/>
      <c r="AG93" s="1963"/>
      <c r="AH93" s="1963"/>
      <c r="AI93" s="687">
        <f>AI5-AI89</f>
        <v>0</v>
      </c>
      <c r="AJ93" s="1963"/>
      <c r="AK93" s="1963"/>
      <c r="AL93" s="1952"/>
      <c r="AM93" s="1952"/>
      <c r="AN93" s="1952"/>
      <c r="AO93" s="1952"/>
      <c r="AP93" s="1963"/>
      <c r="AQ93" s="1963"/>
      <c r="AR93" s="1963"/>
      <c r="AS93" s="1963"/>
      <c r="AT93" s="1963"/>
      <c r="AU93" s="1963"/>
      <c r="AV93" s="1963"/>
      <c r="AW93" s="1963"/>
      <c r="AX93" s="1963"/>
      <c r="AY93" s="1963"/>
      <c r="AZ93" s="1963"/>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63"/>
      <c r="CK93" s="1963"/>
      <c r="CL93" s="1963"/>
      <c r="CM93" s="1963"/>
      <c r="CN93" s="1963"/>
      <c r="CO93" s="1963"/>
      <c r="CP93" s="1963"/>
      <c r="CQ93" s="1963"/>
      <c r="CR93" s="1963"/>
      <c r="CS93" s="1963"/>
      <c r="CT93" s="1963"/>
      <c r="CU93" s="1963"/>
      <c r="CV93" s="1963"/>
      <c r="CW93" s="1963"/>
      <c r="CX93" s="1963"/>
      <c r="CY93" s="1963"/>
      <c r="CZ93" s="1963"/>
      <c r="DA93" s="1963"/>
      <c r="DB93" s="1963"/>
      <c r="DC93" s="1963"/>
      <c r="DD93" s="1963"/>
      <c r="DE93" s="1963"/>
      <c r="DF93" s="1963"/>
      <c r="DG93" s="1963"/>
      <c r="DH93" s="1963"/>
      <c r="DI93" s="1963"/>
      <c r="DJ93" s="1963"/>
      <c r="DK93" s="1963"/>
      <c r="DL93" s="1963"/>
      <c r="DM93" s="1963"/>
      <c r="DN93" s="1963"/>
      <c r="DO93" s="1963"/>
      <c r="DP93" s="1963"/>
      <c r="DQ93" s="1963"/>
      <c r="DR93" s="1963"/>
      <c r="DS93" s="1963"/>
      <c r="DT93" s="1963"/>
      <c r="DU93" s="1963"/>
      <c r="DV93" s="1963"/>
      <c r="DW93" s="1963"/>
      <c r="DX93" s="1952"/>
      <c r="DY93" s="1952"/>
      <c r="DZ93" s="687"/>
      <c r="EA93" s="1952"/>
      <c r="EB93" s="1952"/>
      <c r="ED93" s="1952"/>
      <c r="EE93" s="1952"/>
      <c r="EF93" s="1952"/>
      <c r="EH93" s="2624"/>
    </row>
    <row r="94" spans="1:141" s="1396" customFormat="1">
      <c r="A94" s="1402"/>
      <c r="B94" s="1655"/>
      <c r="C94" s="1952"/>
      <c r="D94" s="1952"/>
      <c r="E94" s="1952"/>
      <c r="F94" s="1952"/>
      <c r="G94" s="1952"/>
      <c r="H94" s="1952"/>
      <c r="I94" s="1952"/>
      <c r="J94" s="1952"/>
      <c r="K94" s="1952"/>
      <c r="L94" s="1952"/>
      <c r="M94" s="1952"/>
      <c r="N94" s="1952"/>
      <c r="O94" s="1952"/>
      <c r="P94" s="1952"/>
      <c r="Q94" s="1952"/>
      <c r="R94" s="1952"/>
      <c r="S94" s="1952"/>
      <c r="T94" s="1952"/>
      <c r="U94" s="1952"/>
      <c r="V94" s="1963"/>
      <c r="W94" s="1952"/>
      <c r="X94" s="1952"/>
      <c r="Y94" s="1952"/>
      <c r="Z94" s="1952"/>
      <c r="AA94" s="1963"/>
      <c r="AB94" s="1654"/>
      <c r="AC94" s="1952"/>
      <c r="AD94" s="1952"/>
      <c r="AE94" s="1952"/>
      <c r="AF94" s="1963"/>
      <c r="AG94" s="1963"/>
      <c r="AH94" s="1963"/>
      <c r="AI94" s="1963"/>
      <c r="AJ94" s="1963"/>
      <c r="AK94" s="1963"/>
      <c r="AL94" s="1654"/>
      <c r="AM94" s="1952"/>
      <c r="AN94" s="1952"/>
      <c r="AO94" s="1952"/>
      <c r="AP94" s="1963"/>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63"/>
      <c r="CK94" s="1963"/>
      <c r="CL94" s="1963"/>
      <c r="CM94" s="1963"/>
      <c r="CN94" s="1963"/>
      <c r="CO94" s="1963"/>
      <c r="CP94" s="1963"/>
      <c r="CQ94" s="1963"/>
      <c r="CR94" s="1963"/>
      <c r="CS94" s="1963"/>
      <c r="CT94" s="1963"/>
      <c r="CU94" s="1963"/>
      <c r="CV94" s="1963"/>
      <c r="CW94" s="1963"/>
      <c r="CX94" s="1963"/>
      <c r="CY94" s="1963"/>
      <c r="CZ94" s="1963"/>
      <c r="DA94" s="1963"/>
      <c r="DB94" s="1963"/>
      <c r="DC94" s="1963"/>
      <c r="DD94" s="1963"/>
      <c r="DE94" s="1963"/>
      <c r="DF94" s="1963"/>
      <c r="DG94" s="1963"/>
      <c r="DH94" s="1963"/>
      <c r="DI94" s="1963"/>
      <c r="DJ94" s="1963"/>
      <c r="DK94" s="1963"/>
      <c r="DL94" s="1963"/>
      <c r="DM94" s="1963"/>
      <c r="DN94" s="1963"/>
      <c r="DO94" s="1963"/>
      <c r="DP94" s="1963"/>
      <c r="DQ94" s="1963"/>
      <c r="DR94" s="1963"/>
      <c r="DS94" s="1963"/>
      <c r="DT94" s="1963"/>
      <c r="DU94" s="1963"/>
      <c r="DV94" s="1963"/>
      <c r="DW94" s="1963"/>
      <c r="DX94" s="1952"/>
      <c r="DY94" s="1952"/>
      <c r="DZ94" s="1952"/>
      <c r="EA94" s="1952"/>
      <c r="EB94" s="1952"/>
      <c r="ED94" s="1952"/>
      <c r="EE94" s="1952"/>
      <c r="EF94" s="1952"/>
      <c r="EH94" s="2624"/>
    </row>
    <row r="95" spans="1:141" s="1396" customFormat="1">
      <c r="A95" s="1402"/>
      <c r="B95" s="1655"/>
      <c r="C95" s="1952"/>
      <c r="D95" s="1952"/>
      <c r="E95" s="1952"/>
      <c r="F95" s="1952"/>
      <c r="G95" s="1952"/>
      <c r="H95" s="1952"/>
      <c r="I95" s="1952"/>
      <c r="J95" s="1952"/>
      <c r="K95" s="1952"/>
      <c r="L95" s="1952"/>
      <c r="M95" s="1952"/>
      <c r="N95" s="1952"/>
      <c r="O95" s="1952"/>
      <c r="P95" s="1952"/>
      <c r="Q95" s="1952"/>
      <c r="R95" s="1952"/>
      <c r="S95" s="1952"/>
      <c r="T95" s="1952"/>
      <c r="U95" s="1952"/>
      <c r="V95" s="1963"/>
      <c r="W95" s="1952"/>
      <c r="X95" s="1952"/>
      <c r="Y95" s="1952"/>
      <c r="Z95" s="1952"/>
      <c r="AA95" s="1963"/>
      <c r="AB95" s="1952"/>
      <c r="AC95" s="1952"/>
      <c r="AD95" s="1952"/>
      <c r="AE95" s="1952"/>
      <c r="AF95" s="1963"/>
      <c r="AG95" s="1963"/>
      <c r="AH95" s="1963"/>
      <c r="AI95" s="1963"/>
      <c r="AJ95" s="1963"/>
      <c r="AK95" s="1963"/>
      <c r="AL95" s="1952"/>
      <c r="AM95" s="1952"/>
      <c r="AN95" s="1952"/>
      <c r="AO95" s="1952"/>
      <c r="AP95" s="1963"/>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63"/>
      <c r="CK95" s="1963"/>
      <c r="CL95" s="1963"/>
      <c r="CM95" s="1963"/>
      <c r="CN95" s="1963"/>
      <c r="CO95" s="1963"/>
      <c r="CP95" s="1963"/>
      <c r="CQ95" s="1963"/>
      <c r="CR95" s="1963"/>
      <c r="CS95" s="1963"/>
      <c r="CT95" s="1963"/>
      <c r="CU95" s="1963"/>
      <c r="CV95" s="1963"/>
      <c r="CW95" s="1963"/>
      <c r="CX95" s="1963"/>
      <c r="CY95" s="1963"/>
      <c r="CZ95" s="1963"/>
      <c r="DA95" s="1963"/>
      <c r="DB95" s="1963"/>
      <c r="DC95" s="1963"/>
      <c r="DD95" s="1963"/>
      <c r="DE95" s="1963"/>
      <c r="DF95" s="1963"/>
      <c r="DG95" s="1963"/>
      <c r="DH95" s="1963"/>
      <c r="DI95" s="1963"/>
      <c r="DJ95" s="1963"/>
      <c r="DK95" s="1963"/>
      <c r="DL95" s="1963"/>
      <c r="DM95" s="1963"/>
      <c r="DN95" s="1963"/>
      <c r="DO95" s="1963"/>
      <c r="DP95" s="1963"/>
      <c r="DQ95" s="1963"/>
      <c r="DR95" s="1963"/>
      <c r="DS95" s="1963"/>
      <c r="DT95" s="1963"/>
      <c r="DU95" s="1963"/>
      <c r="DV95" s="1963"/>
      <c r="DW95" s="1963"/>
      <c r="DX95" s="1952"/>
      <c r="DY95" s="1952"/>
      <c r="DZ95" s="1952"/>
      <c r="EA95" s="1952"/>
      <c r="EB95" s="1952"/>
      <c r="ED95" s="1952"/>
      <c r="EE95" s="1952"/>
      <c r="EF95" s="1952"/>
      <c r="EH95" s="2624"/>
    </row>
    <row r="96" spans="1:141" s="1396" customFormat="1">
      <c r="A96" s="1402"/>
      <c r="B96" s="1655"/>
      <c r="C96" s="1952"/>
      <c r="D96" s="1952"/>
      <c r="E96" s="1952"/>
      <c r="F96" s="1952"/>
      <c r="G96" s="1952"/>
      <c r="H96" s="1952"/>
      <c r="I96" s="1952"/>
      <c r="J96" s="1952"/>
      <c r="K96" s="1952"/>
      <c r="L96" s="1952"/>
      <c r="M96" s="1952"/>
      <c r="N96" s="1952"/>
      <c r="O96" s="1952"/>
      <c r="P96" s="1952"/>
      <c r="Q96" s="1952"/>
      <c r="R96" s="1952"/>
      <c r="S96" s="1952"/>
      <c r="T96" s="1952"/>
      <c r="U96" s="1952"/>
      <c r="V96" s="1963"/>
      <c r="W96" s="1952"/>
      <c r="X96" s="1952"/>
      <c r="Y96" s="1952"/>
      <c r="Z96" s="1952"/>
      <c r="AA96" s="1963"/>
      <c r="AB96" s="1952"/>
      <c r="AC96" s="1952"/>
      <c r="AD96" s="1952"/>
      <c r="AE96" s="1952"/>
      <c r="AF96" s="1963"/>
      <c r="AG96" s="1963"/>
      <c r="AH96" s="1963"/>
      <c r="AI96" s="1963"/>
      <c r="AJ96" s="1963"/>
      <c r="AK96" s="1963"/>
      <c r="AL96" s="1952"/>
      <c r="AM96" s="1952"/>
      <c r="AN96" s="1952"/>
      <c r="AO96" s="1952"/>
      <c r="AP96" s="1963"/>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63"/>
      <c r="CK96" s="1963"/>
      <c r="CL96" s="1963"/>
      <c r="CM96" s="1963"/>
      <c r="CN96" s="1963"/>
      <c r="CO96" s="1963"/>
      <c r="CP96" s="1963"/>
      <c r="CQ96" s="1963"/>
      <c r="CR96" s="1963"/>
      <c r="CS96" s="1963"/>
      <c r="CT96" s="1963"/>
      <c r="CU96" s="1963"/>
      <c r="CV96" s="1963"/>
      <c r="CW96" s="1963"/>
      <c r="CX96" s="1963"/>
      <c r="CY96" s="1963"/>
      <c r="CZ96" s="1963"/>
      <c r="DA96" s="1963"/>
      <c r="DB96" s="1963"/>
      <c r="DC96" s="1963"/>
      <c r="DD96" s="1963"/>
      <c r="DE96" s="1963"/>
      <c r="DF96" s="1963"/>
      <c r="DG96" s="1963"/>
      <c r="DH96" s="1963"/>
      <c r="DI96" s="1963"/>
      <c r="DJ96" s="1963"/>
      <c r="DK96" s="1963"/>
      <c r="DL96" s="1963"/>
      <c r="DM96" s="1963"/>
      <c r="DN96" s="1963"/>
      <c r="DO96" s="1963"/>
      <c r="DP96" s="1963"/>
      <c r="DQ96" s="1963"/>
      <c r="DR96" s="1963"/>
      <c r="DS96" s="1963"/>
      <c r="DT96" s="1963"/>
      <c r="DU96" s="1963"/>
      <c r="DV96" s="1963"/>
      <c r="DW96" s="1963"/>
      <c r="DX96" s="1952"/>
      <c r="DY96" s="1952"/>
      <c r="DZ96" s="1952"/>
      <c r="EA96" s="1952"/>
      <c r="EB96" s="1952"/>
      <c r="ED96" s="1952"/>
      <c r="EE96" s="1952"/>
      <c r="EF96" s="1952"/>
      <c r="EH96" s="2624"/>
    </row>
    <row r="97" spans="1:138">
      <c r="V97" s="1963"/>
      <c r="AA97" s="1963"/>
      <c r="AF97" s="1963"/>
      <c r="AG97" s="1963"/>
      <c r="AH97" s="1963"/>
      <c r="AI97" s="1963"/>
      <c r="AJ97" s="1963"/>
      <c r="AK97" s="1963"/>
      <c r="AP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c r="CJ97" s="1963"/>
      <c r="CK97" s="1963"/>
      <c r="CL97" s="1963"/>
      <c r="CM97" s="1963"/>
      <c r="CN97" s="1963"/>
      <c r="CO97" s="1963"/>
      <c r="CP97" s="1963"/>
      <c r="CQ97" s="1963"/>
      <c r="CR97" s="1963"/>
      <c r="CS97" s="1963"/>
      <c r="CT97" s="1963"/>
      <c r="CU97" s="1963"/>
      <c r="CV97" s="1963"/>
      <c r="CW97" s="1963"/>
      <c r="CX97" s="1963"/>
      <c r="CY97" s="1963"/>
      <c r="CZ97" s="1963"/>
      <c r="DA97" s="1963"/>
      <c r="DB97" s="1963"/>
      <c r="DC97" s="1963"/>
      <c r="DD97" s="1963"/>
      <c r="DE97" s="1963"/>
      <c r="DF97" s="1963"/>
      <c r="DG97" s="1963"/>
      <c r="DH97" s="1963"/>
      <c r="DI97" s="1963"/>
      <c r="DJ97" s="1963"/>
      <c r="DK97" s="1963"/>
      <c r="DL97" s="1963"/>
      <c r="DM97" s="1963"/>
      <c r="DN97" s="1963"/>
      <c r="DO97" s="1963"/>
      <c r="DP97" s="1963"/>
      <c r="DQ97" s="1963"/>
      <c r="DR97" s="1963"/>
      <c r="DS97" s="1963"/>
      <c r="DT97" s="1963"/>
      <c r="DU97" s="1963"/>
      <c r="DV97" s="1963"/>
      <c r="DW97" s="1963"/>
    </row>
    <row r="98" spans="1:138"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952"/>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O98" s="1952"/>
      <c r="CP98" s="1952"/>
      <c r="CQ98" s="1952"/>
      <c r="CR98" s="1952"/>
      <c r="CS98" s="1952"/>
      <c r="CT98" s="1952"/>
      <c r="CU98" s="1952"/>
      <c r="CV98" s="1952"/>
      <c r="CW98" s="1952"/>
      <c r="CX98" s="1952"/>
      <c r="CY98" s="1952"/>
      <c r="CZ98" s="1952"/>
      <c r="DA98" s="1952"/>
      <c r="DB98" s="1952"/>
      <c r="DC98" s="1952"/>
      <c r="DD98" s="1952"/>
      <c r="DE98" s="1952"/>
      <c r="DF98" s="1952"/>
      <c r="DG98" s="1952"/>
      <c r="DH98" s="1952"/>
      <c r="DI98" s="1952"/>
      <c r="DJ98" s="1952"/>
      <c r="DK98" s="1952"/>
      <c r="DL98" s="1952"/>
      <c r="DM98" s="1952"/>
      <c r="DN98" s="1952"/>
      <c r="DO98" s="1952"/>
      <c r="DP98" s="1952"/>
      <c r="DQ98" s="1952"/>
      <c r="DR98" s="1952"/>
      <c r="DS98" s="1952"/>
      <c r="DT98" s="1952"/>
      <c r="DU98" s="1952"/>
      <c r="DV98" s="1952"/>
      <c r="DW98" s="1952"/>
      <c r="DX98" s="1952"/>
      <c r="DY98" s="1952"/>
      <c r="DZ98" s="1952"/>
      <c r="EA98" s="1952"/>
      <c r="EB98" s="1952"/>
      <c r="ED98" s="1952"/>
      <c r="EE98" s="1952"/>
      <c r="EF98" s="1952"/>
      <c r="EH98" s="2624"/>
    </row>
  </sheetData>
  <mergeCells count="30">
    <mergeCell ref="ED2:EF3"/>
    <mergeCell ref="DN2:DR3"/>
    <mergeCell ref="DS2:DW3"/>
    <mergeCell ref="CO2:CS3"/>
    <mergeCell ref="CT2:CX3"/>
    <mergeCell ref="CY2:DC3"/>
    <mergeCell ref="DD2:DH3"/>
    <mergeCell ref="DI2:DM3"/>
    <mergeCell ref="DX2:EB3"/>
    <mergeCell ref="BP2:BT3"/>
    <mergeCell ref="BU2:BY3"/>
    <mergeCell ref="BZ2:CD3"/>
    <mergeCell ref="CE2:CI3"/>
    <mergeCell ref="CJ2:CN3"/>
    <mergeCell ref="BK2:BO3"/>
    <mergeCell ref="W2:AA3"/>
    <mergeCell ref="A3:B3"/>
    <mergeCell ref="A42:A48"/>
    <mergeCell ref="A2:B2"/>
    <mergeCell ref="C2:G3"/>
    <mergeCell ref="H2:L3"/>
    <mergeCell ref="M2:Q3"/>
    <mergeCell ref="R2:V3"/>
    <mergeCell ref="BF2:BJ3"/>
    <mergeCell ref="AB2:AE3"/>
    <mergeCell ref="AG2:AJ3"/>
    <mergeCell ref="AQ2:AU3"/>
    <mergeCell ref="AV2:AZ3"/>
    <mergeCell ref="AL2:AP3"/>
    <mergeCell ref="BA2:BE3"/>
  </mergeCells>
  <pageMargins left="0.39370078740157483" right="0.19685039370078741" top="0.19685039370078741" bottom="0.19685039370078741" header="0.11811023622047245" footer="0.11811023622047245"/>
  <pageSetup paperSize="9" scale="28" orientation="portrait" horizontalDpi="4294967295" verticalDpi="4294967295"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BC66" activePane="bottomRight" state="frozen"/>
      <selection activeCell="CT9" sqref="CT9"/>
      <selection pane="topRight" activeCell="CT9" sqref="CT9"/>
      <selection pane="bottomLeft" activeCell="CT9" sqref="CT9"/>
      <selection pane="bottomRight" sqref="A1:XFD1048576"/>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hidden="1" customWidth="1" outlineLevel="1" collapsed="1"/>
    <col min="19" max="22" width="13.44140625" style="1952" hidden="1" customWidth="1" outlineLevel="1"/>
    <col min="23" max="23" width="13.44140625" style="1952" customWidth="1" collapsed="1"/>
    <col min="24" max="27" width="13.44140625" style="1952" customWidth="1"/>
    <col min="28" max="31" width="12.88671875" style="1952" hidden="1" customWidth="1" outlineLevel="1"/>
    <col min="32" max="32" width="29.33203125" style="1952" hidden="1" customWidth="1" outlineLevel="1"/>
    <col min="33" max="36" width="12.88671875" style="1952" hidden="1" customWidth="1" outlineLevel="1"/>
    <col min="37" max="37" width="26.109375" style="1952" hidden="1" customWidth="1" outlineLevel="1"/>
    <col min="38" max="41" width="12.88671875" style="1952" hidden="1" customWidth="1" outlineLevel="1"/>
    <col min="42" max="42" width="26.109375" style="1952" hidden="1" customWidth="1" outlineLevel="1"/>
    <col min="43" max="43" width="12.88671875" style="1952" hidden="1" customWidth="1" outlineLevel="1" collapsed="1"/>
    <col min="44" max="46" width="12.88671875" style="1952" hidden="1" customWidth="1" outlineLevel="1"/>
    <col min="47" max="47" width="26.109375" style="1952" hidden="1" customWidth="1" outlineLevel="1"/>
    <col min="48" max="48" width="12.88671875" style="1952" hidden="1" customWidth="1" outlineLevel="1" collapsed="1"/>
    <col min="49" max="51" width="12.88671875" style="1952" hidden="1" customWidth="1" outlineLevel="1"/>
    <col min="52" max="52" width="26.109375" style="1952" hidden="1" customWidth="1" outlineLevel="1"/>
    <col min="53" max="53" width="12.88671875" style="1952" customWidth="1" collapsed="1"/>
    <col min="54" max="56" width="12.88671875" style="1952" customWidth="1"/>
    <col min="57" max="57" width="26.109375" style="1952" customWidth="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14.33203125" style="1952" customWidth="1"/>
    <col min="93" max="93" width="2.88671875" style="1395"/>
    <col min="94" max="95" width="12.88671875" style="1952" customWidth="1"/>
    <col min="96" max="96" width="14.5546875" style="1952" customWidth="1"/>
    <col min="97" max="97" width="2.88671875" style="1395" customWidth="1" outlineLevel="1"/>
    <col min="98" max="98" width="11.6640625" style="1522" customWidth="1" outlineLevel="1"/>
    <col min="99" max="99" width="8.33203125" style="1395" customWidth="1" outlineLevel="1"/>
    <col min="100" max="100" width="8.44140625" style="1395" customWidth="1" outlineLevel="1"/>
    <col min="101" max="101" width="7.6640625" style="1395" bestFit="1" customWidth="1"/>
    <col min="102" max="16384" width="2.88671875" style="1395"/>
  </cols>
  <sheetData>
    <row r="1" spans="1:98" ht="13.8" thickBot="1"/>
    <row r="2" spans="1:98" ht="13.8">
      <c r="A2" s="4834" t="s">
        <v>2088</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2146</v>
      </c>
      <c r="CK2" s="4875"/>
      <c r="CL2" s="4875"/>
      <c r="CM2" s="4875"/>
      <c r="CN2" s="4876"/>
      <c r="CP2" s="5168" t="s">
        <v>2089</v>
      </c>
      <c r="CQ2" s="5169"/>
      <c r="CR2" s="5170"/>
    </row>
    <row r="3" spans="1:98"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71"/>
      <c r="CQ3" s="5172"/>
      <c r="CR3" s="5173"/>
    </row>
    <row r="4" spans="1:98"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1474" t="s">
        <v>1850</v>
      </c>
      <c r="CQ4" s="1474" t="s">
        <v>2148</v>
      </c>
      <c r="CR4" s="1474" t="s">
        <v>1826</v>
      </c>
    </row>
    <row r="5" spans="1:98"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160000</v>
      </c>
      <c r="X5" s="1466">
        <f>X6</f>
        <v>0</v>
      </c>
      <c r="Y5" s="1466">
        <f>Y6+Y7</f>
        <v>160000</v>
      </c>
      <c r="Z5" s="1466"/>
      <c r="AA5" s="1466"/>
      <c r="AB5" s="1466">
        <f>AB6</f>
        <v>0</v>
      </c>
      <c r="AC5" s="1466">
        <f>AC6</f>
        <v>0</v>
      </c>
      <c r="AD5" s="1466">
        <f>AD6+AD7</f>
        <v>0</v>
      </c>
      <c r="AE5" s="1466"/>
      <c r="AF5" s="1466"/>
      <c r="AG5" s="1466">
        <f>AG6</f>
        <v>0</v>
      </c>
      <c r="AH5" s="1466">
        <f>AH6</f>
        <v>0</v>
      </c>
      <c r="AI5" s="1466">
        <f>AI6+AI7</f>
        <v>0</v>
      </c>
      <c r="AJ5" s="1466"/>
      <c r="AK5" s="1466"/>
      <c r="AL5" s="1466">
        <f>AL6</f>
        <v>0</v>
      </c>
      <c r="AM5" s="1466">
        <f>AM6</f>
        <v>0</v>
      </c>
      <c r="AN5" s="1466">
        <f>AN6+AN7</f>
        <v>0</v>
      </c>
      <c r="AO5" s="1466"/>
      <c r="AP5" s="1466"/>
      <c r="AQ5" s="1466">
        <f>AQ6</f>
        <v>0</v>
      </c>
      <c r="AR5" s="1466">
        <f>AR6</f>
        <v>0</v>
      </c>
      <c r="AS5" s="1466">
        <f>AS6+AS7</f>
        <v>0</v>
      </c>
      <c r="AT5" s="1466"/>
      <c r="AU5" s="1466"/>
      <c r="AV5" s="1466">
        <f>AV6</f>
        <v>0</v>
      </c>
      <c r="AW5" s="1466">
        <f>AW6</f>
        <v>0</v>
      </c>
      <c r="AX5" s="1466">
        <f>AX6+AX7</f>
        <v>0</v>
      </c>
      <c r="AY5" s="1466"/>
      <c r="AZ5" s="1466"/>
      <c r="BA5" s="1466">
        <f>BA6</f>
        <v>160000</v>
      </c>
      <c r="BB5" s="1466">
        <f>BB6</f>
        <v>0</v>
      </c>
      <c r="BC5" s="1466">
        <f>BC6+BC7</f>
        <v>160000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160000</v>
      </c>
      <c r="CK5" s="1466">
        <f>CK6</f>
        <v>0</v>
      </c>
      <c r="CL5" s="1466">
        <f>CL6</f>
        <v>160000</v>
      </c>
      <c r="CM5" s="1466"/>
      <c r="CN5" s="1466"/>
      <c r="CP5" s="1955">
        <f>CP6</f>
        <v>160000</v>
      </c>
      <c r="CQ5" s="1955">
        <f>CQ6</f>
        <v>160000</v>
      </c>
      <c r="CR5" s="3440">
        <f>CR6</f>
        <v>0</v>
      </c>
      <c r="CT5" s="2624"/>
    </row>
    <row r="6" spans="1:98" s="1396" customFormat="1" ht="13.8"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160000</v>
      </c>
      <c r="X6" s="3342">
        <f>AC6+AH6+AM6+AW6+BB6+BG6+BL6+BQ6+BV6+CA6+CF6+AR6</f>
        <v>0</v>
      </c>
      <c r="Y6" s="2012">
        <f t="shared" ref="Y6:Y7" si="3">W6+X6</f>
        <v>160000</v>
      </c>
      <c r="Z6" s="3342"/>
      <c r="AA6" s="3342"/>
      <c r="AB6" s="3341"/>
      <c r="AC6" s="3341"/>
      <c r="AD6" s="2012">
        <f t="shared" ref="AD6:AD7" si="4">AB6+AC6</f>
        <v>0</v>
      </c>
      <c r="AE6" s="3341"/>
      <c r="AF6" s="3342"/>
      <c r="AG6" s="3341"/>
      <c r="AH6" s="3341"/>
      <c r="AI6" s="2012">
        <f t="shared" ref="AI6:AI7" si="5">AG6+AH6</f>
        <v>0</v>
      </c>
      <c r="AJ6" s="3341"/>
      <c r="AK6" s="3342"/>
      <c r="AL6" s="3341"/>
      <c r="AM6" s="3341"/>
      <c r="AN6" s="2012">
        <f t="shared" ref="AN6:AN7" si="6">AL6+AM6</f>
        <v>0</v>
      </c>
      <c r="AO6" s="3341"/>
      <c r="AP6" s="3342"/>
      <c r="AQ6" s="3341"/>
      <c r="AR6" s="3341"/>
      <c r="AS6" s="2012">
        <f t="shared" ref="AS6:AS7" si="7">AQ6+AR6</f>
        <v>0</v>
      </c>
      <c r="AT6" s="3341"/>
      <c r="AU6" s="3342"/>
      <c r="AV6" s="3341"/>
      <c r="AW6" s="3341"/>
      <c r="AX6" s="2012">
        <f t="shared" ref="AX6:AX7" si="8">AV6+AW6</f>
        <v>0</v>
      </c>
      <c r="AY6" s="3341"/>
      <c r="AZ6" s="3342"/>
      <c r="BA6" s="3341">
        <v>160000</v>
      </c>
      <c r="BB6" s="3341"/>
      <c r="BC6" s="2012">
        <f t="shared" ref="BC6:BC7" si="9">BA6+BB6</f>
        <v>160000</v>
      </c>
      <c r="BD6" s="3341"/>
      <c r="BE6" s="3342" t="s">
        <v>2158</v>
      </c>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f>
        <v>160000</v>
      </c>
      <c r="CK6" s="3341">
        <f>D6+I6+N6+X6</f>
        <v>0</v>
      </c>
      <c r="CL6" s="2012">
        <f>CJ6+CK6</f>
        <v>160000</v>
      </c>
      <c r="CM6" s="3341"/>
      <c r="CN6" s="3341"/>
      <c r="CP6" s="2012">
        <v>160000</v>
      </c>
      <c r="CQ6" s="2012">
        <f>CL6</f>
        <v>160000</v>
      </c>
      <c r="CR6" s="4614">
        <f>CP6-CQ6</f>
        <v>0</v>
      </c>
      <c r="CS6" s="3307"/>
      <c r="CT6" s="4616">
        <f>CR6/CP6</f>
        <v>0</v>
      </c>
    </row>
    <row r="7" spans="1:98" s="1396" customFormat="1" ht="14.4" outlineLevel="1" collapsed="1" thickBot="1">
      <c r="A7" s="1571"/>
      <c r="B7" s="4426" t="s">
        <v>41</v>
      </c>
      <c r="C7" s="3341"/>
      <c r="D7" s="3341"/>
      <c r="E7" s="2012">
        <f t="shared" si="0"/>
        <v>0</v>
      </c>
      <c r="F7" s="4608"/>
      <c r="G7" s="4608"/>
      <c r="H7" s="3341"/>
      <c r="I7" s="3341"/>
      <c r="J7" s="2012">
        <f>H7+I7</f>
        <v>0</v>
      </c>
      <c r="K7" s="4608"/>
      <c r="L7" s="4608"/>
      <c r="M7" s="3341"/>
      <c r="N7" s="3341"/>
      <c r="O7" s="2012">
        <f t="shared" si="1"/>
        <v>0</v>
      </c>
      <c r="P7" s="4608"/>
      <c r="Q7" s="4608"/>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1"/>
      <c r="AC7" s="3341"/>
      <c r="AD7" s="2012">
        <f t="shared" si="4"/>
        <v>0</v>
      </c>
      <c r="AE7" s="4608"/>
      <c r="AF7" s="4608"/>
      <c r="AG7" s="3341"/>
      <c r="AH7" s="3341"/>
      <c r="AI7" s="2012">
        <f t="shared" si="5"/>
        <v>0</v>
      </c>
      <c r="AJ7" s="4608"/>
      <c r="AK7" s="4608"/>
      <c r="AL7" s="3341"/>
      <c r="AM7" s="3341"/>
      <c r="AN7" s="2012">
        <f t="shared" si="6"/>
        <v>0</v>
      </c>
      <c r="AO7" s="4608"/>
      <c r="AP7" s="4608"/>
      <c r="AQ7" s="3341"/>
      <c r="AR7" s="3341"/>
      <c r="AS7" s="2012">
        <f t="shared" si="7"/>
        <v>0</v>
      </c>
      <c r="AT7" s="4608"/>
      <c r="AU7" s="4608"/>
      <c r="AV7" s="3341"/>
      <c r="AW7" s="3341"/>
      <c r="AX7" s="2012">
        <f t="shared" si="8"/>
        <v>0</v>
      </c>
      <c r="AY7" s="4608"/>
      <c r="AZ7" s="4608"/>
      <c r="BA7" s="3341"/>
      <c r="BB7" s="3341"/>
      <c r="BC7" s="2012">
        <f t="shared" si="9"/>
        <v>0</v>
      </c>
      <c r="BD7" s="4608"/>
      <c r="BE7" s="4608"/>
      <c r="BF7" s="3341"/>
      <c r="BG7" s="3341"/>
      <c r="BH7" s="2012">
        <f t="shared" si="10"/>
        <v>0</v>
      </c>
      <c r="BI7" s="4608"/>
      <c r="BJ7" s="4608"/>
      <c r="BK7" s="3341"/>
      <c r="BL7" s="3341"/>
      <c r="BM7" s="2012">
        <f t="shared" si="11"/>
        <v>0</v>
      </c>
      <c r="BN7" s="4608"/>
      <c r="BO7" s="4608"/>
      <c r="BP7" s="3341"/>
      <c r="BQ7" s="3341"/>
      <c r="BR7" s="2012">
        <f t="shared" si="12"/>
        <v>0</v>
      </c>
      <c r="BS7" s="4608"/>
      <c r="BT7" s="4608"/>
      <c r="BU7" s="3341"/>
      <c r="BV7" s="3341"/>
      <c r="BW7" s="2012">
        <f t="shared" si="13"/>
        <v>0</v>
      </c>
      <c r="BX7" s="4608"/>
      <c r="BY7" s="4608"/>
      <c r="BZ7" s="3341"/>
      <c r="CA7" s="3341"/>
      <c r="CB7" s="2012">
        <f t="shared" si="14"/>
        <v>0</v>
      </c>
      <c r="CC7" s="4608"/>
      <c r="CD7" s="4608"/>
      <c r="CE7" s="3341"/>
      <c r="CF7" s="3341"/>
      <c r="CG7" s="2012">
        <f t="shared" si="15"/>
        <v>0</v>
      </c>
      <c r="CH7" s="4608"/>
      <c r="CI7" s="4608"/>
      <c r="CJ7" s="3341">
        <f>C7+H7+M7+W7</f>
        <v>0</v>
      </c>
      <c r="CK7" s="3341">
        <f>D7+I7+N7+X7</f>
        <v>0</v>
      </c>
      <c r="CL7" s="2012">
        <f>CJ7+CK7</f>
        <v>0</v>
      </c>
      <c r="CM7" s="4608"/>
      <c r="CN7" s="4608"/>
      <c r="CP7" s="2012"/>
      <c r="CQ7" s="2012"/>
      <c r="CR7" s="3442"/>
      <c r="CT7" s="2624"/>
    </row>
    <row r="8" spans="1:98" s="1396" customFormat="1" ht="14.4" outlineLevel="1" thickBot="1">
      <c r="A8" s="1571"/>
      <c r="B8" s="1463" t="s">
        <v>16</v>
      </c>
      <c r="C8" s="1957">
        <f>SUM(C9:C33)</f>
        <v>0</v>
      </c>
      <c r="D8" s="1957">
        <f>SUM(D9:D33)</f>
        <v>0</v>
      </c>
      <c r="E8" s="1484">
        <f>SUM(E9:E33)</f>
        <v>0</v>
      </c>
      <c r="F8" s="1528" t="e">
        <f t="shared" ref="F8:F33" si="16">E8/$E$89</f>
        <v>#DIV/0!</v>
      </c>
      <c r="G8" s="1466"/>
      <c r="H8" s="1957">
        <f>SUM(H9:H33)</f>
        <v>0</v>
      </c>
      <c r="I8" s="1957">
        <f>SUM(I9:I33)</f>
        <v>0</v>
      </c>
      <c r="J8" s="1484">
        <f>SUM(J9:J33)</f>
        <v>0</v>
      </c>
      <c r="K8" s="1528" t="e">
        <f t="shared" ref="K8" si="17">J8/$E$89</f>
        <v>#DIV/0!</v>
      </c>
      <c r="L8" s="1466"/>
      <c r="M8" s="1957">
        <f>SUM(M9:M33)</f>
        <v>0</v>
      </c>
      <c r="N8" s="1957">
        <f>SUM(N9:N33)</f>
        <v>0</v>
      </c>
      <c r="O8" s="1484">
        <f>SUM(O9:O33)</f>
        <v>0</v>
      </c>
      <c r="P8" s="1528" t="e">
        <f t="shared" ref="P8" si="18">O8/$E$89</f>
        <v>#DIV/0!</v>
      </c>
      <c r="Q8" s="1466"/>
      <c r="R8" s="1957">
        <f>SUM(R9:R33)</f>
        <v>0</v>
      </c>
      <c r="S8" s="1957">
        <f>SUM(S9:S33)</f>
        <v>0</v>
      </c>
      <c r="T8" s="1484">
        <f>SUM(T9:T33)</f>
        <v>0</v>
      </c>
      <c r="U8" s="1528"/>
      <c r="V8" s="1466"/>
      <c r="W8" s="1957">
        <f>SUM(W9:W33)</f>
        <v>74568.233999999997</v>
      </c>
      <c r="X8" s="1957">
        <f>SUM(X9:X33)</f>
        <v>36788.51</v>
      </c>
      <c r="Y8" s="1484">
        <f>SUM(Y9:Y33)</f>
        <v>111356.74400000001</v>
      </c>
      <c r="Z8" s="1528"/>
      <c r="AA8" s="1466"/>
      <c r="AB8" s="1957">
        <f>SUM(AB9:AB33)</f>
        <v>0</v>
      </c>
      <c r="AC8" s="1957">
        <f>SUM(AC9:AC33)</f>
        <v>0</v>
      </c>
      <c r="AD8" s="1484">
        <f>SUM(AD9:AD33)</f>
        <v>0</v>
      </c>
      <c r="AE8" s="1528"/>
      <c r="AF8" s="1466"/>
      <c r="AG8" s="1957">
        <f>SUM(AG9:AG33)</f>
        <v>0</v>
      </c>
      <c r="AH8" s="1957">
        <f>SUM(AH9:AH33)</f>
        <v>0</v>
      </c>
      <c r="AI8" s="1484">
        <f>SUM(AI9:AI33)</f>
        <v>0</v>
      </c>
      <c r="AJ8" s="1528"/>
      <c r="AK8" s="1466"/>
      <c r="AL8" s="1957">
        <f>SUM(AL9:AL33)</f>
        <v>0</v>
      </c>
      <c r="AM8" s="1957">
        <f>SUM(AM9:AM33)</f>
        <v>0</v>
      </c>
      <c r="AN8" s="1484">
        <f>SUM(AN9:AN33)</f>
        <v>0</v>
      </c>
      <c r="AO8" s="1528"/>
      <c r="AP8" s="1466"/>
      <c r="AQ8" s="1957">
        <f>SUM(AQ9:AQ33)</f>
        <v>0</v>
      </c>
      <c r="AR8" s="1957">
        <f>SUM(AR9:AR33)</f>
        <v>0</v>
      </c>
      <c r="AS8" s="1484">
        <f>SUM(AS9:AS33)</f>
        <v>0</v>
      </c>
      <c r="AT8" s="1528"/>
      <c r="AU8" s="1466"/>
      <c r="AV8" s="1957">
        <f>SUM(AV9:AV33)</f>
        <v>16901.23</v>
      </c>
      <c r="AW8" s="1957">
        <f>SUM(AW9:AW33)</f>
        <v>31220</v>
      </c>
      <c r="AX8" s="1484">
        <f>SUM(AX9:AX33)</f>
        <v>48121.23</v>
      </c>
      <c r="AY8" s="1528"/>
      <c r="AZ8" s="1466"/>
      <c r="BA8" s="1957">
        <f>SUM(BA9:BA33)</f>
        <v>57667.004000000008</v>
      </c>
      <c r="BB8" s="1957">
        <f>SUM(BB9:BB33)</f>
        <v>5568.51</v>
      </c>
      <c r="BC8" s="1484">
        <f>SUM(BC9:BC33)</f>
        <v>63235.51400000001</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74568.233999999997</v>
      </c>
      <c r="CK8" s="1957">
        <f>SUM(CK9:CK33)</f>
        <v>36788.51</v>
      </c>
      <c r="CL8" s="1484">
        <f>SUM(CL9:CL33)</f>
        <v>111356.74400000001</v>
      </c>
      <c r="CM8" s="1528"/>
      <c r="CN8" s="1466"/>
      <c r="CP8" s="1484">
        <f>SUM(CP9:CP33)</f>
        <v>70843.34</v>
      </c>
      <c r="CQ8" s="1484">
        <f>SUM(CQ9:CQ33)</f>
        <v>111356.74400000001</v>
      </c>
      <c r="CR8" s="3440">
        <f>SUM(CR9:CR33)</f>
        <v>-40513.404000000002</v>
      </c>
      <c r="CT8" s="2624"/>
    </row>
    <row r="9" spans="1:98" s="1396" customFormat="1" ht="13.8" outlineLevel="2">
      <c r="A9" s="1571"/>
      <c r="B9" s="1424" t="s">
        <v>74</v>
      </c>
      <c r="C9" s="3341"/>
      <c r="D9" s="3341"/>
      <c r="E9" s="3349">
        <f t="shared" ref="E9:E32" si="19">C9+D9</f>
        <v>0</v>
      </c>
      <c r="F9" s="4428" t="e">
        <f t="shared" si="16"/>
        <v>#DIV/0!</v>
      </c>
      <c r="G9" s="2047"/>
      <c r="H9" s="3341"/>
      <c r="I9" s="3341"/>
      <c r="J9" s="3349">
        <f t="shared" ref="J9:J32" si="20">H9+I9</f>
        <v>0</v>
      </c>
      <c r="K9" s="4428" t="e">
        <f>J9/J$89</f>
        <v>#DIV/0!</v>
      </c>
      <c r="L9" s="2047"/>
      <c r="M9" s="3341"/>
      <c r="N9" s="3341"/>
      <c r="O9" s="3349">
        <f t="shared" ref="O9:O32" si="21">M9+N9</f>
        <v>0</v>
      </c>
      <c r="P9" s="4428" t="e">
        <f t="shared" ref="P9:P33" si="22">O9/O$89</f>
        <v>#DIV/0!</v>
      </c>
      <c r="Q9" s="2047"/>
      <c r="R9" s="3342">
        <f t="shared" ref="R9:S33" si="23">M9+H9+C9</f>
        <v>0</v>
      </c>
      <c r="S9" s="3342">
        <f t="shared" si="23"/>
        <v>0</v>
      </c>
      <c r="T9" s="2012">
        <f t="shared" ref="T9:T33" si="24">R9+S9</f>
        <v>0</v>
      </c>
      <c r="U9" s="2047"/>
      <c r="V9" s="2047"/>
      <c r="W9" s="3342">
        <f t="shared" ref="W9:X33" si="25">AB9+AG9+AL9+AV9+BA9+BF9+BK9+BP9+BU9+BZ9+CE9+AQ9</f>
        <v>17430.55</v>
      </c>
      <c r="X9" s="3342">
        <f t="shared" si="25"/>
        <v>36788.51</v>
      </c>
      <c r="Y9" s="2012">
        <f t="shared" ref="Y9:Y33" si="26">W9+X9</f>
        <v>54219.06</v>
      </c>
      <c r="Z9" s="2047"/>
      <c r="AA9" s="2047"/>
      <c r="AB9" s="3341"/>
      <c r="AC9" s="3341"/>
      <c r="AD9" s="3349">
        <f t="shared" ref="AD9:AD32" si="27">AB9+AC9</f>
        <v>0</v>
      </c>
      <c r="AE9" s="4428" t="e">
        <f>AD9/AD$89</f>
        <v>#DIV/0!</v>
      </c>
      <c r="AF9" s="2047"/>
      <c r="AG9" s="3341"/>
      <c r="AH9" s="3341"/>
      <c r="AI9" s="3349">
        <f t="shared" ref="AI9:AI32" si="28">AG9+AH9</f>
        <v>0</v>
      </c>
      <c r="AJ9" s="4428" t="e">
        <f>AI9/AI$89</f>
        <v>#DIV/0!</v>
      </c>
      <c r="AK9" s="2047"/>
      <c r="AL9" s="3341"/>
      <c r="AM9" s="3341"/>
      <c r="AN9" s="3349">
        <f t="shared" ref="AN9:AN32" si="29">AL9+AM9</f>
        <v>0</v>
      </c>
      <c r="AO9" s="4428" t="e">
        <f>AN9/AN$89</f>
        <v>#DIV/0!</v>
      </c>
      <c r="AP9" s="2047"/>
      <c r="AQ9" s="3341"/>
      <c r="AR9" s="3341"/>
      <c r="AS9" s="3349">
        <f t="shared" ref="AS9:AS32" si="30">AQ9+AR9</f>
        <v>0</v>
      </c>
      <c r="AT9" s="4428" t="e">
        <f>AS9/AS$89</f>
        <v>#DIV/0!</v>
      </c>
      <c r="AU9" s="2047"/>
      <c r="AV9" s="3341">
        <v>11186.33</v>
      </c>
      <c r="AW9" s="3341">
        <v>31220</v>
      </c>
      <c r="AX9" s="3349">
        <f t="shared" ref="AX9:AX32" si="31">AV9+AW9</f>
        <v>42406.33</v>
      </c>
      <c r="AY9" s="4428">
        <f>AX9/AX$89</f>
        <v>0.80335652961841453</v>
      </c>
      <c r="AZ9" s="2047"/>
      <c r="BA9" s="3341">
        <v>6244.22</v>
      </c>
      <c r="BB9" s="3341">
        <v>5568.51</v>
      </c>
      <c r="BC9" s="3349">
        <f t="shared" ref="BC9:BC32" si="32">BA9+BB9</f>
        <v>11812.73</v>
      </c>
      <c r="BD9" s="4428">
        <f>BC9/BC$89</f>
        <v>0.18437910645393085</v>
      </c>
      <c r="BE9" s="2047"/>
      <c r="BF9" s="3341"/>
      <c r="BG9" s="3341"/>
      <c r="BH9" s="3349">
        <f t="shared" ref="BH9:BH32" si="33">BF9+BG9</f>
        <v>0</v>
      </c>
      <c r="BI9" s="4428" t="e">
        <f>BH9/BH$89</f>
        <v>#DIV/0!</v>
      </c>
      <c r="BJ9" s="2047"/>
      <c r="BK9" s="3341"/>
      <c r="BL9" s="3341"/>
      <c r="BM9" s="3349">
        <f t="shared" ref="BM9:BM32" si="34">BK9+BL9</f>
        <v>0</v>
      </c>
      <c r="BN9" s="4428" t="e">
        <f>BM9/BM$89</f>
        <v>#DIV/0!</v>
      </c>
      <c r="BO9" s="2047"/>
      <c r="BP9" s="3341"/>
      <c r="BQ9" s="3341"/>
      <c r="BR9" s="3349">
        <f t="shared" ref="BR9:BR32" si="35">BP9+BQ9</f>
        <v>0</v>
      </c>
      <c r="BS9" s="4428" t="e">
        <f>BR9/BR$89</f>
        <v>#DIV/0!</v>
      </c>
      <c r="BT9" s="2047"/>
      <c r="BU9" s="3341"/>
      <c r="BV9" s="3341"/>
      <c r="BW9" s="3349">
        <f t="shared" ref="BW9:BW32" si="36">BU9+BV9</f>
        <v>0</v>
      </c>
      <c r="BX9" s="4428" t="e">
        <f>BW9/BW$89</f>
        <v>#DIV/0!</v>
      </c>
      <c r="BY9" s="2047"/>
      <c r="BZ9" s="3341"/>
      <c r="CA9" s="3341"/>
      <c r="CB9" s="3349">
        <f t="shared" ref="CB9:CB32" si="37">BZ9+CA9</f>
        <v>0</v>
      </c>
      <c r="CC9" s="4428" t="e">
        <f>CB9/CB$89</f>
        <v>#DIV/0!</v>
      </c>
      <c r="CD9" s="2047"/>
      <c r="CE9" s="3341"/>
      <c r="CF9" s="3341"/>
      <c r="CG9" s="3349">
        <f t="shared" ref="CG9:CG32" si="38">CE9+CF9</f>
        <v>0</v>
      </c>
      <c r="CH9" s="4428" t="e">
        <f>CG9/CG$89</f>
        <v>#DIV/0!</v>
      </c>
      <c r="CI9" s="2047"/>
      <c r="CJ9" s="3341">
        <f t="shared" ref="CJ9:CK33" si="39">C9+H9+M9+W9</f>
        <v>17430.55</v>
      </c>
      <c r="CK9" s="3341">
        <f t="shared" si="39"/>
        <v>36788.51</v>
      </c>
      <c r="CL9" s="3349">
        <f>CJ9+CK9*1</f>
        <v>54219.06</v>
      </c>
      <c r="CM9" s="4428">
        <f t="shared" ref="CM9:CM33" si="40">CL9/$CL$89</f>
        <v>0.46398954431575462</v>
      </c>
      <c r="CN9" s="1434"/>
      <c r="CP9" s="5177">
        <v>52320</v>
      </c>
      <c r="CQ9" s="2012">
        <f t="shared" ref="CQ9:CQ32" si="41">CL9</f>
        <v>54219.06</v>
      </c>
      <c r="CR9" s="5174">
        <f>CP9-SUM(CQ9:CQ11)</f>
        <v>-6541.3799999999974</v>
      </c>
      <c r="CS9" s="3307"/>
      <c r="CT9" s="4616">
        <f>CR9/CP9</f>
        <v>-0.12502637614678894</v>
      </c>
    </row>
    <row r="10" spans="1:98" s="1396" customFormat="1" ht="13.8" outlineLevel="2">
      <c r="A10" s="1571"/>
      <c r="B10" s="1424" t="s">
        <v>72</v>
      </c>
      <c r="C10" s="3341"/>
      <c r="D10" s="3341"/>
      <c r="E10" s="3349">
        <f t="shared" si="19"/>
        <v>0</v>
      </c>
      <c r="F10" s="4428" t="e">
        <f t="shared" si="16"/>
        <v>#DIV/0!</v>
      </c>
      <c r="G10" s="2047"/>
      <c r="H10" s="3341"/>
      <c r="I10" s="3341"/>
      <c r="J10" s="3349">
        <f t="shared" si="20"/>
        <v>0</v>
      </c>
      <c r="K10" s="4428" t="e">
        <f t="shared" ref="K10:K33" si="42">J10/J$89</f>
        <v>#DIV/0!</v>
      </c>
      <c r="L10" s="2047"/>
      <c r="M10" s="3341"/>
      <c r="N10" s="3341"/>
      <c r="O10" s="3349">
        <f t="shared" si="21"/>
        <v>0</v>
      </c>
      <c r="P10" s="4428" t="e">
        <f t="shared" si="22"/>
        <v>#DIV/0!</v>
      </c>
      <c r="Q10" s="2047"/>
      <c r="R10" s="3342">
        <f t="shared" si="23"/>
        <v>0</v>
      </c>
      <c r="S10" s="3342">
        <f t="shared" si="23"/>
        <v>0</v>
      </c>
      <c r="T10" s="2012">
        <f t="shared" si="24"/>
        <v>0</v>
      </c>
      <c r="U10" s="2047"/>
      <c r="V10" s="2047"/>
      <c r="W10" s="3342">
        <f t="shared" si="25"/>
        <v>2181.33</v>
      </c>
      <c r="X10" s="3342">
        <f t="shared" si="25"/>
        <v>0</v>
      </c>
      <c r="Y10" s="2012">
        <f t="shared" si="26"/>
        <v>2181.33</v>
      </c>
      <c r="Z10" s="2047"/>
      <c r="AA10" s="2047"/>
      <c r="AB10" s="3341"/>
      <c r="AC10" s="3341"/>
      <c r="AD10" s="3349">
        <f t="shared" si="27"/>
        <v>0</v>
      </c>
      <c r="AE10" s="4428" t="e">
        <f t="shared" ref="AE10:AE33" si="43">AD10/AD$89</f>
        <v>#DIV/0!</v>
      </c>
      <c r="AF10" s="2047"/>
      <c r="AG10" s="3341"/>
      <c r="AH10" s="3341"/>
      <c r="AI10" s="3349">
        <f t="shared" si="28"/>
        <v>0</v>
      </c>
      <c r="AJ10" s="4428" t="e">
        <f t="shared" ref="AJ10:AJ33" si="44">AI10/AI$89</f>
        <v>#DIV/0!</v>
      </c>
      <c r="AK10" s="2047"/>
      <c r="AL10" s="3341"/>
      <c r="AM10" s="3341"/>
      <c r="AN10" s="3349">
        <f t="shared" si="29"/>
        <v>0</v>
      </c>
      <c r="AO10" s="4428" t="e">
        <f t="shared" ref="AO10:AO33" si="45">AN10/AN$89</f>
        <v>#DIV/0!</v>
      </c>
      <c r="AP10" s="2047"/>
      <c r="AQ10" s="3341"/>
      <c r="AR10" s="3341"/>
      <c r="AS10" s="3349">
        <f t="shared" si="30"/>
        <v>0</v>
      </c>
      <c r="AT10" s="4428" t="e">
        <f t="shared" ref="AT10:AT33" si="46">AS10/AS$89</f>
        <v>#DIV/0!</v>
      </c>
      <c r="AU10" s="2047"/>
      <c r="AV10" s="3341">
        <v>2181.33</v>
      </c>
      <c r="AW10" s="3341"/>
      <c r="AX10" s="3349">
        <f t="shared" si="31"/>
        <v>2181.33</v>
      </c>
      <c r="AY10" s="4428">
        <f t="shared" ref="AY10:AY33" si="47">AX10/AX$89</f>
        <v>4.1323682071816539E-2</v>
      </c>
      <c r="AZ10" s="2047"/>
      <c r="BA10" s="3341"/>
      <c r="BB10" s="3341"/>
      <c r="BC10" s="3349">
        <f t="shared" si="32"/>
        <v>0</v>
      </c>
      <c r="BD10" s="4428">
        <f t="shared" ref="BD10:BD33" si="48">BC10/BC$89</f>
        <v>0</v>
      </c>
      <c r="BE10" s="2047"/>
      <c r="BF10" s="3341"/>
      <c r="BG10" s="3341"/>
      <c r="BH10" s="3349">
        <f t="shared" si="33"/>
        <v>0</v>
      </c>
      <c r="BI10" s="4428" t="e">
        <f t="shared" ref="BI10:BI33" si="49">BH10/BH$89</f>
        <v>#DIV/0!</v>
      </c>
      <c r="BJ10" s="2047"/>
      <c r="BK10" s="3341"/>
      <c r="BL10" s="3341"/>
      <c r="BM10" s="3349">
        <f t="shared" si="34"/>
        <v>0</v>
      </c>
      <c r="BN10" s="4428" t="e">
        <f t="shared" ref="BN10:BN33" si="50">BM10/BM$89</f>
        <v>#DIV/0!</v>
      </c>
      <c r="BO10" s="2047"/>
      <c r="BP10" s="3341"/>
      <c r="BQ10" s="3341"/>
      <c r="BR10" s="3349">
        <f t="shared" si="35"/>
        <v>0</v>
      </c>
      <c r="BS10" s="4428" t="e">
        <f t="shared" ref="BS10:BS33" si="51">BR10/BR$89</f>
        <v>#DIV/0!</v>
      </c>
      <c r="BT10" s="2047"/>
      <c r="BU10" s="3341"/>
      <c r="BV10" s="3341"/>
      <c r="BW10" s="3349">
        <f t="shared" si="36"/>
        <v>0</v>
      </c>
      <c r="BX10" s="4428" t="e">
        <f t="shared" ref="BX10:BX33" si="52">BW10/BW$89</f>
        <v>#DIV/0!</v>
      </c>
      <c r="BY10" s="2047"/>
      <c r="BZ10" s="3341"/>
      <c r="CA10" s="3341"/>
      <c r="CB10" s="3349">
        <f t="shared" si="37"/>
        <v>0</v>
      </c>
      <c r="CC10" s="4428" t="e">
        <f t="shared" ref="CC10:CC33" si="53">CB10/CB$89</f>
        <v>#DIV/0!</v>
      </c>
      <c r="CD10" s="2047"/>
      <c r="CE10" s="3341"/>
      <c r="CF10" s="3341"/>
      <c r="CG10" s="3349">
        <f t="shared" si="38"/>
        <v>0</v>
      </c>
      <c r="CH10" s="4428" t="e">
        <f t="shared" ref="CH10:CH33" si="54">CG10/CG$89</f>
        <v>#DIV/0!</v>
      </c>
      <c r="CI10" s="2047"/>
      <c r="CJ10" s="3341">
        <f t="shared" si="39"/>
        <v>2181.33</v>
      </c>
      <c r="CK10" s="3341">
        <f t="shared" si="39"/>
        <v>0</v>
      </c>
      <c r="CL10" s="3349">
        <f t="shared" ref="CL10:CL33" si="55">CJ10+CK10*1</f>
        <v>2181.33</v>
      </c>
      <c r="CM10" s="4428">
        <f t="shared" si="40"/>
        <v>1.8667131313274059E-2</v>
      </c>
      <c r="CN10" s="1434"/>
      <c r="CP10" s="5178"/>
      <c r="CQ10" s="2012">
        <f t="shared" si="41"/>
        <v>2181.33</v>
      </c>
      <c r="CR10" s="5175"/>
      <c r="CT10" s="2624"/>
    </row>
    <row r="11" spans="1:98" s="1396" customFormat="1" ht="13.8" outlineLevel="2">
      <c r="A11" s="1571"/>
      <c r="B11" s="1424" t="s">
        <v>69</v>
      </c>
      <c r="C11" s="3341"/>
      <c r="D11" s="3341"/>
      <c r="E11" s="3349">
        <f t="shared" si="19"/>
        <v>0</v>
      </c>
      <c r="F11" s="4428" t="e">
        <f t="shared" si="16"/>
        <v>#DIV/0!</v>
      </c>
      <c r="G11" s="1055"/>
      <c r="H11" s="3341"/>
      <c r="I11" s="3341"/>
      <c r="J11" s="3349">
        <f t="shared" si="20"/>
        <v>0</v>
      </c>
      <c r="K11" s="4428" t="e">
        <f t="shared" si="42"/>
        <v>#DIV/0!</v>
      </c>
      <c r="L11" s="1055"/>
      <c r="M11" s="3341"/>
      <c r="N11" s="3341"/>
      <c r="O11" s="3349">
        <f t="shared" si="21"/>
        <v>0</v>
      </c>
      <c r="P11" s="4428" t="e">
        <f t="shared" si="22"/>
        <v>#DIV/0!</v>
      </c>
      <c r="Q11" s="1055"/>
      <c r="R11" s="3342">
        <f t="shared" si="23"/>
        <v>0</v>
      </c>
      <c r="S11" s="3342">
        <f t="shared" si="23"/>
        <v>0</v>
      </c>
      <c r="T11" s="2012">
        <f t="shared" si="24"/>
        <v>0</v>
      </c>
      <c r="U11" s="1055"/>
      <c r="V11" s="1055"/>
      <c r="W11" s="3342">
        <f t="shared" si="25"/>
        <v>2460.9899999999998</v>
      </c>
      <c r="X11" s="3342">
        <f t="shared" si="25"/>
        <v>0</v>
      </c>
      <c r="Y11" s="2012">
        <f t="shared" si="26"/>
        <v>2460.9899999999998</v>
      </c>
      <c r="Z11" s="1055"/>
      <c r="AA11" s="1055"/>
      <c r="AB11" s="3341"/>
      <c r="AC11" s="3341"/>
      <c r="AD11" s="3349">
        <f t="shared" si="27"/>
        <v>0</v>
      </c>
      <c r="AE11" s="4428" t="e">
        <f t="shared" si="43"/>
        <v>#DIV/0!</v>
      </c>
      <c r="AF11" s="1055"/>
      <c r="AG11" s="3341"/>
      <c r="AH11" s="3341"/>
      <c r="AI11" s="3349">
        <f t="shared" si="28"/>
        <v>0</v>
      </c>
      <c r="AJ11" s="4428" t="e">
        <f t="shared" si="44"/>
        <v>#DIV/0!</v>
      </c>
      <c r="AK11" s="1055"/>
      <c r="AL11" s="3341"/>
      <c r="AM11" s="3341"/>
      <c r="AN11" s="3349">
        <f t="shared" si="29"/>
        <v>0</v>
      </c>
      <c r="AO11" s="4428" t="e">
        <f t="shared" si="45"/>
        <v>#DIV/0!</v>
      </c>
      <c r="AP11" s="1055"/>
      <c r="AQ11" s="3341"/>
      <c r="AR11" s="3341"/>
      <c r="AS11" s="3349">
        <f t="shared" si="30"/>
        <v>0</v>
      </c>
      <c r="AT11" s="4428" t="e">
        <f t="shared" si="46"/>
        <v>#DIV/0!</v>
      </c>
      <c r="AU11" s="1055"/>
      <c r="AV11" s="3341">
        <v>2460.9899999999998</v>
      </c>
      <c r="AW11" s="3341"/>
      <c r="AX11" s="3349">
        <f t="shared" si="31"/>
        <v>2460.9899999999998</v>
      </c>
      <c r="AY11" s="4428">
        <f t="shared" si="47"/>
        <v>4.6621633747264184E-2</v>
      </c>
      <c r="AZ11" s="1055"/>
      <c r="BA11" s="3341"/>
      <c r="BB11" s="3341"/>
      <c r="BC11" s="3349">
        <f t="shared" si="32"/>
        <v>0</v>
      </c>
      <c r="BD11" s="4428">
        <f t="shared" si="48"/>
        <v>0</v>
      </c>
      <c r="BE11" s="1055"/>
      <c r="BF11" s="3341"/>
      <c r="BG11" s="3341"/>
      <c r="BH11" s="3349">
        <f t="shared" si="33"/>
        <v>0</v>
      </c>
      <c r="BI11" s="4428" t="e">
        <f t="shared" si="49"/>
        <v>#DIV/0!</v>
      </c>
      <c r="BJ11" s="1055"/>
      <c r="BK11" s="3341"/>
      <c r="BL11" s="3341"/>
      <c r="BM11" s="3349">
        <f t="shared" si="34"/>
        <v>0</v>
      </c>
      <c r="BN11" s="4428" t="e">
        <f t="shared" si="50"/>
        <v>#DIV/0!</v>
      </c>
      <c r="BO11" s="1055"/>
      <c r="BP11" s="3341"/>
      <c r="BQ11" s="3341"/>
      <c r="BR11" s="3349">
        <f t="shared" si="35"/>
        <v>0</v>
      </c>
      <c r="BS11" s="4428" t="e">
        <f t="shared" si="51"/>
        <v>#DIV/0!</v>
      </c>
      <c r="BT11" s="1055"/>
      <c r="BU11" s="3341"/>
      <c r="BV11" s="3341"/>
      <c r="BW11" s="3349">
        <f t="shared" si="36"/>
        <v>0</v>
      </c>
      <c r="BX11" s="4428" t="e">
        <f t="shared" si="52"/>
        <v>#DIV/0!</v>
      </c>
      <c r="BY11" s="1055"/>
      <c r="BZ11" s="3341"/>
      <c r="CA11" s="3341"/>
      <c r="CB11" s="3349">
        <f t="shared" si="37"/>
        <v>0</v>
      </c>
      <c r="CC11" s="4428" t="e">
        <f t="shared" si="53"/>
        <v>#DIV/0!</v>
      </c>
      <c r="CD11" s="1055"/>
      <c r="CE11" s="3341"/>
      <c r="CF11" s="3341"/>
      <c r="CG11" s="3349">
        <f t="shared" si="38"/>
        <v>0</v>
      </c>
      <c r="CH11" s="4428" t="e">
        <f t="shared" si="54"/>
        <v>#DIV/0!</v>
      </c>
      <c r="CI11" s="1055"/>
      <c r="CJ11" s="3341">
        <f t="shared" si="39"/>
        <v>2460.9899999999998</v>
      </c>
      <c r="CK11" s="3341">
        <f t="shared" si="39"/>
        <v>0</v>
      </c>
      <c r="CL11" s="3349">
        <f t="shared" si="55"/>
        <v>2460.9899999999998</v>
      </c>
      <c r="CM11" s="4428">
        <f t="shared" si="40"/>
        <v>2.1060373025014244E-2</v>
      </c>
      <c r="CN11" s="1434"/>
      <c r="CP11" s="5179"/>
      <c r="CQ11" s="2012">
        <f t="shared" si="41"/>
        <v>2460.9899999999998</v>
      </c>
      <c r="CR11" s="5176"/>
      <c r="CT11" s="2624"/>
    </row>
    <row r="12" spans="1:98" s="1396" customFormat="1" ht="13.8" outlineLevel="2">
      <c r="A12" s="1571"/>
      <c r="B12" s="1424" t="s">
        <v>73</v>
      </c>
      <c r="C12" s="3341"/>
      <c r="D12" s="3341"/>
      <c r="E12" s="3349">
        <f t="shared" si="19"/>
        <v>0</v>
      </c>
      <c r="F12" s="4428" t="e">
        <f t="shared" si="16"/>
        <v>#DIV/0!</v>
      </c>
      <c r="G12" s="1055"/>
      <c r="H12" s="3341"/>
      <c r="I12" s="3341"/>
      <c r="J12" s="3349">
        <f t="shared" si="20"/>
        <v>0</v>
      </c>
      <c r="K12" s="4428" t="e">
        <f t="shared" si="42"/>
        <v>#DIV/0!</v>
      </c>
      <c r="L12" s="1055"/>
      <c r="M12" s="3341"/>
      <c r="N12" s="3341"/>
      <c r="O12" s="3349">
        <f t="shared" si="21"/>
        <v>0</v>
      </c>
      <c r="P12" s="4428" t="e">
        <f t="shared" si="22"/>
        <v>#DIV/0!</v>
      </c>
      <c r="Q12" s="1055"/>
      <c r="R12" s="3342">
        <f t="shared" si="23"/>
        <v>0</v>
      </c>
      <c r="S12" s="3342">
        <f t="shared" si="23"/>
        <v>0</v>
      </c>
      <c r="T12" s="2012">
        <f t="shared" si="24"/>
        <v>0</v>
      </c>
      <c r="U12" s="1055"/>
      <c r="V12" s="1055"/>
      <c r="W12" s="3342">
        <f t="shared" si="25"/>
        <v>0</v>
      </c>
      <c r="X12" s="3342">
        <f t="shared" si="25"/>
        <v>0</v>
      </c>
      <c r="Y12" s="2012">
        <f t="shared" si="26"/>
        <v>0</v>
      </c>
      <c r="Z12" s="1055"/>
      <c r="AA12" s="1055"/>
      <c r="AB12" s="3341"/>
      <c r="AC12" s="3341"/>
      <c r="AD12" s="3349">
        <f t="shared" si="27"/>
        <v>0</v>
      </c>
      <c r="AE12" s="4428" t="e">
        <f t="shared" si="43"/>
        <v>#DIV/0!</v>
      </c>
      <c r="AF12" s="1055"/>
      <c r="AG12" s="3341"/>
      <c r="AH12" s="3341"/>
      <c r="AI12" s="3349">
        <f t="shared" si="28"/>
        <v>0</v>
      </c>
      <c r="AJ12" s="4428" t="e">
        <f t="shared" si="44"/>
        <v>#DIV/0!</v>
      </c>
      <c r="AK12" s="1055"/>
      <c r="AL12" s="3341"/>
      <c r="AM12" s="3341"/>
      <c r="AN12" s="3349">
        <f t="shared" si="29"/>
        <v>0</v>
      </c>
      <c r="AO12" s="4428" t="e">
        <f t="shared" si="45"/>
        <v>#DIV/0!</v>
      </c>
      <c r="AP12" s="1055"/>
      <c r="AQ12" s="3341"/>
      <c r="AR12" s="3341"/>
      <c r="AS12" s="3349">
        <f t="shared" si="30"/>
        <v>0</v>
      </c>
      <c r="AT12" s="4428" t="e">
        <f t="shared" si="46"/>
        <v>#DIV/0!</v>
      </c>
      <c r="AU12" s="1055"/>
      <c r="AV12" s="3341"/>
      <c r="AW12" s="3341"/>
      <c r="AX12" s="3349">
        <f t="shared" si="31"/>
        <v>0</v>
      </c>
      <c r="AY12" s="4428">
        <f t="shared" si="47"/>
        <v>0</v>
      </c>
      <c r="AZ12" s="1055"/>
      <c r="BA12" s="3341"/>
      <c r="BB12" s="3341"/>
      <c r="BC12" s="3349">
        <f t="shared" si="32"/>
        <v>0</v>
      </c>
      <c r="BD12" s="4428">
        <f t="shared" si="48"/>
        <v>0</v>
      </c>
      <c r="BE12" s="1055"/>
      <c r="BF12" s="3341"/>
      <c r="BG12" s="3341"/>
      <c r="BH12" s="3349">
        <f t="shared" si="33"/>
        <v>0</v>
      </c>
      <c r="BI12" s="4428" t="e">
        <f t="shared" si="49"/>
        <v>#DIV/0!</v>
      </c>
      <c r="BJ12" s="1055"/>
      <c r="BK12" s="3341"/>
      <c r="BL12" s="3341"/>
      <c r="BM12" s="3349">
        <f t="shared" si="34"/>
        <v>0</v>
      </c>
      <c r="BN12" s="4428" t="e">
        <f t="shared" si="50"/>
        <v>#DIV/0!</v>
      </c>
      <c r="BO12" s="1055"/>
      <c r="BP12" s="3341"/>
      <c r="BQ12" s="3341"/>
      <c r="BR12" s="3349">
        <f t="shared" si="35"/>
        <v>0</v>
      </c>
      <c r="BS12" s="4428" t="e">
        <f t="shared" si="51"/>
        <v>#DIV/0!</v>
      </c>
      <c r="BT12" s="1055"/>
      <c r="BU12" s="3341"/>
      <c r="BV12" s="3341"/>
      <c r="BW12" s="3349">
        <f t="shared" si="36"/>
        <v>0</v>
      </c>
      <c r="BX12" s="4428" t="e">
        <f t="shared" si="52"/>
        <v>#DIV/0!</v>
      </c>
      <c r="BY12" s="1055"/>
      <c r="BZ12" s="3341"/>
      <c r="CA12" s="3341"/>
      <c r="CB12" s="3349">
        <f t="shared" si="37"/>
        <v>0</v>
      </c>
      <c r="CC12" s="4428" t="e">
        <f t="shared" si="53"/>
        <v>#DIV/0!</v>
      </c>
      <c r="CD12" s="1055"/>
      <c r="CE12" s="3341"/>
      <c r="CF12" s="3341"/>
      <c r="CG12" s="3349">
        <f t="shared" si="38"/>
        <v>0</v>
      </c>
      <c r="CH12" s="4428" t="e">
        <f t="shared" si="54"/>
        <v>#DIV/0!</v>
      </c>
      <c r="CI12" s="1055"/>
      <c r="CJ12" s="3341">
        <f t="shared" si="39"/>
        <v>0</v>
      </c>
      <c r="CK12" s="3341">
        <f t="shared" si="39"/>
        <v>0</v>
      </c>
      <c r="CL12" s="3349">
        <f t="shared" si="55"/>
        <v>0</v>
      </c>
      <c r="CM12" s="4428">
        <f t="shared" si="40"/>
        <v>0</v>
      </c>
      <c r="CN12" s="1434"/>
      <c r="CP12" s="4615"/>
      <c r="CQ12" s="2012">
        <f t="shared" si="41"/>
        <v>0</v>
      </c>
      <c r="CR12" s="4614">
        <f t="shared" ref="CR12:CR33" si="56">CP12-CQ12</f>
        <v>0</v>
      </c>
      <c r="CT12" s="2624"/>
    </row>
    <row r="13" spans="1:98" s="1396" customFormat="1" ht="13.8" outlineLevel="2">
      <c r="A13" s="1571"/>
      <c r="B13" s="1424" t="s">
        <v>71</v>
      </c>
      <c r="C13" s="3341"/>
      <c r="D13" s="3341"/>
      <c r="E13" s="3349">
        <f t="shared" si="19"/>
        <v>0</v>
      </c>
      <c r="F13" s="4428" t="e">
        <f t="shared" si="16"/>
        <v>#DIV/0!</v>
      </c>
      <c r="G13" s="1055"/>
      <c r="H13" s="3341"/>
      <c r="I13" s="3341"/>
      <c r="J13" s="3349">
        <f t="shared" si="20"/>
        <v>0</v>
      </c>
      <c r="K13" s="4428" t="e">
        <f t="shared" si="42"/>
        <v>#DIV/0!</v>
      </c>
      <c r="L13" s="1055"/>
      <c r="M13" s="3341"/>
      <c r="N13" s="3341"/>
      <c r="O13" s="3349">
        <f t="shared" si="21"/>
        <v>0</v>
      </c>
      <c r="P13" s="4428" t="e">
        <f t="shared" si="22"/>
        <v>#DIV/0!</v>
      </c>
      <c r="Q13" s="1055"/>
      <c r="R13" s="3342">
        <f t="shared" si="23"/>
        <v>0</v>
      </c>
      <c r="S13" s="3342">
        <f t="shared" si="23"/>
        <v>0</v>
      </c>
      <c r="T13" s="2012">
        <f t="shared" si="24"/>
        <v>0</v>
      </c>
      <c r="U13" s="1055"/>
      <c r="V13" s="1055"/>
      <c r="W13" s="3342">
        <f t="shared" si="25"/>
        <v>0</v>
      </c>
      <c r="X13" s="3342">
        <f t="shared" si="25"/>
        <v>0</v>
      </c>
      <c r="Y13" s="2012">
        <f t="shared" si="26"/>
        <v>0</v>
      </c>
      <c r="Z13" s="1055"/>
      <c r="AA13" s="1055"/>
      <c r="AB13" s="3341"/>
      <c r="AC13" s="3341"/>
      <c r="AD13" s="3349">
        <f t="shared" si="27"/>
        <v>0</v>
      </c>
      <c r="AE13" s="4428" t="e">
        <f t="shared" si="43"/>
        <v>#DIV/0!</v>
      </c>
      <c r="AF13" s="1055"/>
      <c r="AG13" s="3341"/>
      <c r="AH13" s="3341"/>
      <c r="AI13" s="3349">
        <f t="shared" si="28"/>
        <v>0</v>
      </c>
      <c r="AJ13" s="4428" t="e">
        <f t="shared" si="44"/>
        <v>#DIV/0!</v>
      </c>
      <c r="AK13" s="1055"/>
      <c r="AL13" s="3341"/>
      <c r="AM13" s="3341"/>
      <c r="AN13" s="3349">
        <f t="shared" si="29"/>
        <v>0</v>
      </c>
      <c r="AO13" s="4428" t="e">
        <f t="shared" si="45"/>
        <v>#DIV/0!</v>
      </c>
      <c r="AP13" s="1055"/>
      <c r="AQ13" s="3341"/>
      <c r="AR13" s="3341"/>
      <c r="AS13" s="3349">
        <f t="shared" si="30"/>
        <v>0</v>
      </c>
      <c r="AT13" s="4428" t="e">
        <f t="shared" si="46"/>
        <v>#DIV/0!</v>
      </c>
      <c r="AU13" s="1055"/>
      <c r="AV13" s="3341"/>
      <c r="AW13" s="3341"/>
      <c r="AX13" s="3349">
        <f t="shared" si="31"/>
        <v>0</v>
      </c>
      <c r="AY13" s="4428">
        <f t="shared" si="47"/>
        <v>0</v>
      </c>
      <c r="AZ13" s="1055"/>
      <c r="BA13" s="3341"/>
      <c r="BB13" s="3341"/>
      <c r="BC13" s="3349">
        <f t="shared" si="32"/>
        <v>0</v>
      </c>
      <c r="BD13" s="4428">
        <f t="shared" si="48"/>
        <v>0</v>
      </c>
      <c r="BE13" s="1055"/>
      <c r="BF13" s="3341"/>
      <c r="BG13" s="3341"/>
      <c r="BH13" s="3349">
        <f t="shared" si="33"/>
        <v>0</v>
      </c>
      <c r="BI13" s="4428" t="e">
        <f t="shared" si="49"/>
        <v>#DIV/0!</v>
      </c>
      <c r="BJ13" s="1055"/>
      <c r="BK13" s="3341"/>
      <c r="BL13" s="3341"/>
      <c r="BM13" s="3349">
        <f t="shared" si="34"/>
        <v>0</v>
      </c>
      <c r="BN13" s="4428" t="e">
        <f t="shared" si="50"/>
        <v>#DIV/0!</v>
      </c>
      <c r="BO13" s="1055"/>
      <c r="BP13" s="3341"/>
      <c r="BQ13" s="3341"/>
      <c r="BR13" s="3349">
        <f t="shared" si="35"/>
        <v>0</v>
      </c>
      <c r="BS13" s="4428" t="e">
        <f t="shared" si="51"/>
        <v>#DIV/0!</v>
      </c>
      <c r="BT13" s="1055"/>
      <c r="BU13" s="3341"/>
      <c r="BV13" s="3341"/>
      <c r="BW13" s="3349">
        <f t="shared" si="36"/>
        <v>0</v>
      </c>
      <c r="BX13" s="4428" t="e">
        <f t="shared" si="52"/>
        <v>#DIV/0!</v>
      </c>
      <c r="BY13" s="1055"/>
      <c r="BZ13" s="3341"/>
      <c r="CA13" s="3341"/>
      <c r="CB13" s="3349">
        <f t="shared" si="37"/>
        <v>0</v>
      </c>
      <c r="CC13" s="4428" t="e">
        <f t="shared" si="53"/>
        <v>#DIV/0!</v>
      </c>
      <c r="CD13" s="1055"/>
      <c r="CE13" s="3341"/>
      <c r="CF13" s="3341"/>
      <c r="CG13" s="3349">
        <f t="shared" si="38"/>
        <v>0</v>
      </c>
      <c r="CH13" s="4428" t="e">
        <f t="shared" si="54"/>
        <v>#DIV/0!</v>
      </c>
      <c r="CI13" s="1055"/>
      <c r="CJ13" s="3341">
        <f t="shared" si="39"/>
        <v>0</v>
      </c>
      <c r="CK13" s="3341">
        <f t="shared" si="39"/>
        <v>0</v>
      </c>
      <c r="CL13" s="3349">
        <f t="shared" si="55"/>
        <v>0</v>
      </c>
      <c r="CM13" s="4428">
        <f t="shared" si="40"/>
        <v>0</v>
      </c>
      <c r="CN13" s="1434"/>
      <c r="CP13" s="4615"/>
      <c r="CQ13" s="2012">
        <f t="shared" si="41"/>
        <v>0</v>
      </c>
      <c r="CR13" s="4614">
        <f t="shared" si="56"/>
        <v>0</v>
      </c>
      <c r="CT13" s="2624"/>
    </row>
    <row r="14" spans="1:98" s="1396" customFormat="1" ht="13.8" outlineLevel="2">
      <c r="A14" s="1571"/>
      <c r="B14" s="1424" t="s">
        <v>70</v>
      </c>
      <c r="C14" s="3341"/>
      <c r="D14" s="3341"/>
      <c r="E14" s="3349">
        <f t="shared" si="19"/>
        <v>0</v>
      </c>
      <c r="F14" s="4428" t="e">
        <f t="shared" si="16"/>
        <v>#DIV/0!</v>
      </c>
      <c r="G14" s="1055"/>
      <c r="H14" s="3341"/>
      <c r="I14" s="3341"/>
      <c r="J14" s="3349">
        <f t="shared" si="20"/>
        <v>0</v>
      </c>
      <c r="K14" s="4428" t="e">
        <f t="shared" si="42"/>
        <v>#DIV/0!</v>
      </c>
      <c r="L14" s="1055"/>
      <c r="M14" s="3341"/>
      <c r="N14" s="3341"/>
      <c r="O14" s="3349">
        <f t="shared" si="21"/>
        <v>0</v>
      </c>
      <c r="P14" s="4428" t="e">
        <f t="shared" si="22"/>
        <v>#DIV/0!</v>
      </c>
      <c r="Q14" s="1055"/>
      <c r="R14" s="3342">
        <f t="shared" si="23"/>
        <v>0</v>
      </c>
      <c r="S14" s="3342">
        <f t="shared" si="23"/>
        <v>0</v>
      </c>
      <c r="T14" s="2012">
        <f t="shared" si="24"/>
        <v>0</v>
      </c>
      <c r="U14" s="1055"/>
      <c r="V14" s="1055"/>
      <c r="W14" s="3342">
        <f t="shared" si="25"/>
        <v>0</v>
      </c>
      <c r="X14" s="3342">
        <f t="shared" si="25"/>
        <v>0</v>
      </c>
      <c r="Y14" s="2012">
        <f t="shared" si="26"/>
        <v>0</v>
      </c>
      <c r="Z14" s="1055"/>
      <c r="AA14" s="1055"/>
      <c r="AB14" s="3341"/>
      <c r="AC14" s="3341"/>
      <c r="AD14" s="3349">
        <f t="shared" si="27"/>
        <v>0</v>
      </c>
      <c r="AE14" s="4428" t="e">
        <f t="shared" si="43"/>
        <v>#DIV/0!</v>
      </c>
      <c r="AF14" s="1055"/>
      <c r="AG14" s="3341"/>
      <c r="AH14" s="3341"/>
      <c r="AI14" s="3349">
        <f t="shared" si="28"/>
        <v>0</v>
      </c>
      <c r="AJ14" s="4428" t="e">
        <f t="shared" si="44"/>
        <v>#DIV/0!</v>
      </c>
      <c r="AK14" s="1055"/>
      <c r="AL14" s="3341"/>
      <c r="AM14" s="3341"/>
      <c r="AN14" s="3349">
        <f t="shared" si="29"/>
        <v>0</v>
      </c>
      <c r="AO14" s="4428" t="e">
        <f t="shared" si="45"/>
        <v>#DIV/0!</v>
      </c>
      <c r="AP14" s="1055"/>
      <c r="AQ14" s="3341"/>
      <c r="AR14" s="3341"/>
      <c r="AS14" s="3349">
        <f t="shared" si="30"/>
        <v>0</v>
      </c>
      <c r="AT14" s="4428" t="e">
        <f t="shared" si="46"/>
        <v>#DIV/0!</v>
      </c>
      <c r="AU14" s="1055"/>
      <c r="AV14" s="3341"/>
      <c r="AW14" s="3341"/>
      <c r="AX14" s="3349">
        <f t="shared" si="31"/>
        <v>0</v>
      </c>
      <c r="AY14" s="4428">
        <f t="shared" si="47"/>
        <v>0</v>
      </c>
      <c r="AZ14" s="1055"/>
      <c r="BA14" s="3341"/>
      <c r="BB14" s="3341"/>
      <c r="BC14" s="3349">
        <f t="shared" si="32"/>
        <v>0</v>
      </c>
      <c r="BD14" s="4428">
        <f t="shared" si="48"/>
        <v>0</v>
      </c>
      <c r="BE14" s="1055"/>
      <c r="BF14" s="3341"/>
      <c r="BG14" s="3341"/>
      <c r="BH14" s="3349">
        <f t="shared" si="33"/>
        <v>0</v>
      </c>
      <c r="BI14" s="4428" t="e">
        <f t="shared" si="49"/>
        <v>#DIV/0!</v>
      </c>
      <c r="BJ14" s="1055"/>
      <c r="BK14" s="3341"/>
      <c r="BL14" s="3341"/>
      <c r="BM14" s="3349">
        <f t="shared" si="34"/>
        <v>0</v>
      </c>
      <c r="BN14" s="4428" t="e">
        <f t="shared" si="50"/>
        <v>#DIV/0!</v>
      </c>
      <c r="BO14" s="1055"/>
      <c r="BP14" s="3341"/>
      <c r="BQ14" s="3341"/>
      <c r="BR14" s="3349">
        <f t="shared" si="35"/>
        <v>0</v>
      </c>
      <c r="BS14" s="4428" t="e">
        <f t="shared" si="51"/>
        <v>#DIV/0!</v>
      </c>
      <c r="BT14" s="1055"/>
      <c r="BU14" s="3341"/>
      <c r="BV14" s="3341"/>
      <c r="BW14" s="3349">
        <f t="shared" si="36"/>
        <v>0</v>
      </c>
      <c r="BX14" s="4428" t="e">
        <f t="shared" si="52"/>
        <v>#DIV/0!</v>
      </c>
      <c r="BY14" s="1055"/>
      <c r="BZ14" s="3341"/>
      <c r="CA14" s="3341"/>
      <c r="CB14" s="3349">
        <f t="shared" si="37"/>
        <v>0</v>
      </c>
      <c r="CC14" s="4428" t="e">
        <f t="shared" si="53"/>
        <v>#DIV/0!</v>
      </c>
      <c r="CD14" s="1055"/>
      <c r="CE14" s="3341"/>
      <c r="CF14" s="3341"/>
      <c r="CG14" s="3349">
        <f t="shared" si="38"/>
        <v>0</v>
      </c>
      <c r="CH14" s="4428" t="e">
        <f t="shared" si="54"/>
        <v>#DIV/0!</v>
      </c>
      <c r="CI14" s="1055"/>
      <c r="CJ14" s="3341">
        <f t="shared" si="39"/>
        <v>0</v>
      </c>
      <c r="CK14" s="3341">
        <f t="shared" si="39"/>
        <v>0</v>
      </c>
      <c r="CL14" s="3349">
        <f t="shared" si="55"/>
        <v>0</v>
      </c>
      <c r="CM14" s="4428">
        <f t="shared" si="40"/>
        <v>0</v>
      </c>
      <c r="CN14" s="1434"/>
      <c r="CP14" s="4615"/>
      <c r="CQ14" s="2012">
        <f t="shared" si="41"/>
        <v>0</v>
      </c>
      <c r="CR14" s="4614">
        <f t="shared" si="56"/>
        <v>0</v>
      </c>
      <c r="CT14" s="2624"/>
    </row>
    <row r="15" spans="1:98" s="1396" customFormat="1" ht="13.8" outlineLevel="2">
      <c r="A15" s="1571"/>
      <c r="B15" s="4430" t="s">
        <v>20</v>
      </c>
      <c r="C15" s="3341"/>
      <c r="D15" s="3341"/>
      <c r="E15" s="3349">
        <f t="shared" si="19"/>
        <v>0</v>
      </c>
      <c r="F15" s="4428" t="e">
        <f t="shared" si="16"/>
        <v>#DIV/0!</v>
      </c>
      <c r="G15" s="1055"/>
      <c r="H15" s="3341"/>
      <c r="I15" s="3341"/>
      <c r="J15" s="3349">
        <f t="shared" si="20"/>
        <v>0</v>
      </c>
      <c r="K15" s="4428" t="e">
        <f t="shared" si="42"/>
        <v>#DIV/0!</v>
      </c>
      <c r="L15" s="1055"/>
      <c r="M15" s="3341"/>
      <c r="N15" s="3341"/>
      <c r="O15" s="3349">
        <f t="shared" si="21"/>
        <v>0</v>
      </c>
      <c r="P15" s="4428" t="e">
        <f t="shared" si="22"/>
        <v>#DIV/0!</v>
      </c>
      <c r="Q15" s="1055"/>
      <c r="R15" s="3342">
        <f t="shared" si="23"/>
        <v>0</v>
      </c>
      <c r="S15" s="3342">
        <f t="shared" si="23"/>
        <v>0</v>
      </c>
      <c r="T15" s="2012">
        <f t="shared" si="24"/>
        <v>0</v>
      </c>
      <c r="U15" s="1055"/>
      <c r="V15" s="1055"/>
      <c r="W15" s="3342">
        <f t="shared" si="25"/>
        <v>0</v>
      </c>
      <c r="X15" s="3342">
        <f t="shared" si="25"/>
        <v>0</v>
      </c>
      <c r="Y15" s="2012">
        <f t="shared" si="26"/>
        <v>0</v>
      </c>
      <c r="Z15" s="1055"/>
      <c r="AA15" s="1055"/>
      <c r="AB15" s="3341"/>
      <c r="AC15" s="3341"/>
      <c r="AD15" s="3349">
        <f t="shared" si="27"/>
        <v>0</v>
      </c>
      <c r="AE15" s="4428" t="e">
        <f t="shared" si="43"/>
        <v>#DIV/0!</v>
      </c>
      <c r="AF15" s="1055"/>
      <c r="AG15" s="3341"/>
      <c r="AH15" s="3341"/>
      <c r="AI15" s="3349">
        <f t="shared" si="28"/>
        <v>0</v>
      </c>
      <c r="AJ15" s="4428" t="e">
        <f t="shared" si="44"/>
        <v>#DIV/0!</v>
      </c>
      <c r="AK15" s="1055"/>
      <c r="AL15" s="3341"/>
      <c r="AM15" s="3341"/>
      <c r="AN15" s="3349">
        <f t="shared" si="29"/>
        <v>0</v>
      </c>
      <c r="AO15" s="4428" t="e">
        <f t="shared" si="45"/>
        <v>#DIV/0!</v>
      </c>
      <c r="AP15" s="1055"/>
      <c r="AQ15" s="3341"/>
      <c r="AR15" s="3341"/>
      <c r="AS15" s="3349">
        <f t="shared" si="30"/>
        <v>0</v>
      </c>
      <c r="AT15" s="4428" t="e">
        <f t="shared" si="46"/>
        <v>#DIV/0!</v>
      </c>
      <c r="AU15" s="1055"/>
      <c r="AV15" s="3341"/>
      <c r="AW15" s="3341"/>
      <c r="AX15" s="3349">
        <f t="shared" si="31"/>
        <v>0</v>
      </c>
      <c r="AY15" s="4428">
        <f t="shared" si="47"/>
        <v>0</v>
      </c>
      <c r="AZ15" s="1055"/>
      <c r="BA15" s="3341"/>
      <c r="BB15" s="3341"/>
      <c r="BC15" s="3349">
        <f t="shared" si="32"/>
        <v>0</v>
      </c>
      <c r="BD15" s="4428">
        <f t="shared" si="48"/>
        <v>0</v>
      </c>
      <c r="BE15" s="1055"/>
      <c r="BF15" s="3341"/>
      <c r="BG15" s="3341"/>
      <c r="BH15" s="3349">
        <f t="shared" si="33"/>
        <v>0</v>
      </c>
      <c r="BI15" s="4428" t="e">
        <f t="shared" si="49"/>
        <v>#DIV/0!</v>
      </c>
      <c r="BJ15" s="1055"/>
      <c r="BK15" s="3341"/>
      <c r="BL15" s="3341"/>
      <c r="BM15" s="3349">
        <f t="shared" si="34"/>
        <v>0</v>
      </c>
      <c r="BN15" s="4428" t="e">
        <f t="shared" si="50"/>
        <v>#DIV/0!</v>
      </c>
      <c r="BO15" s="1055"/>
      <c r="BP15" s="3341"/>
      <c r="BQ15" s="3341"/>
      <c r="BR15" s="3349">
        <f t="shared" si="35"/>
        <v>0</v>
      </c>
      <c r="BS15" s="4428" t="e">
        <f t="shared" si="51"/>
        <v>#DIV/0!</v>
      </c>
      <c r="BT15" s="1055"/>
      <c r="BU15" s="3341"/>
      <c r="BV15" s="3341"/>
      <c r="BW15" s="3349">
        <f t="shared" si="36"/>
        <v>0</v>
      </c>
      <c r="BX15" s="4428" t="e">
        <f t="shared" si="52"/>
        <v>#DIV/0!</v>
      </c>
      <c r="BY15" s="1055"/>
      <c r="BZ15" s="3341"/>
      <c r="CA15" s="3341"/>
      <c r="CB15" s="3349">
        <f t="shared" si="37"/>
        <v>0</v>
      </c>
      <c r="CC15" s="4428" t="e">
        <f t="shared" si="53"/>
        <v>#DIV/0!</v>
      </c>
      <c r="CD15" s="1055"/>
      <c r="CE15" s="3341"/>
      <c r="CF15" s="3341"/>
      <c r="CG15" s="3349">
        <f t="shared" si="38"/>
        <v>0</v>
      </c>
      <c r="CH15" s="4428" t="e">
        <f t="shared" si="54"/>
        <v>#DIV/0!</v>
      </c>
      <c r="CI15" s="1055"/>
      <c r="CJ15" s="3341">
        <f t="shared" si="39"/>
        <v>0</v>
      </c>
      <c r="CK15" s="3341">
        <f t="shared" si="39"/>
        <v>0</v>
      </c>
      <c r="CL15" s="3349">
        <f t="shared" si="55"/>
        <v>0</v>
      </c>
      <c r="CM15" s="4428">
        <f t="shared" si="40"/>
        <v>0</v>
      </c>
      <c r="CN15" s="1434"/>
      <c r="CP15" s="4615"/>
      <c r="CQ15" s="2012">
        <f t="shared" si="41"/>
        <v>0</v>
      </c>
      <c r="CR15" s="4614">
        <f t="shared" si="56"/>
        <v>0</v>
      </c>
      <c r="CT15" s="2624"/>
    </row>
    <row r="16" spans="1:98" s="1396" customFormat="1" ht="13.8" outlineLevel="2">
      <c r="A16" s="1571"/>
      <c r="B16" s="4430" t="s">
        <v>21</v>
      </c>
      <c r="C16" s="3341"/>
      <c r="D16" s="3341"/>
      <c r="E16" s="3349">
        <f t="shared" si="19"/>
        <v>0</v>
      </c>
      <c r="F16" s="4428" t="e">
        <f t="shared" si="16"/>
        <v>#DIV/0!</v>
      </c>
      <c r="G16" s="1055"/>
      <c r="H16" s="3341"/>
      <c r="I16" s="3341"/>
      <c r="J16" s="3349">
        <f t="shared" si="20"/>
        <v>0</v>
      </c>
      <c r="K16" s="4428" t="e">
        <f t="shared" si="42"/>
        <v>#DIV/0!</v>
      </c>
      <c r="L16" s="1055"/>
      <c r="M16" s="3341"/>
      <c r="N16" s="3341"/>
      <c r="O16" s="3349">
        <f t="shared" si="21"/>
        <v>0</v>
      </c>
      <c r="P16" s="4428" t="e">
        <f t="shared" si="22"/>
        <v>#DIV/0!</v>
      </c>
      <c r="Q16" s="1055"/>
      <c r="R16" s="3342">
        <f t="shared" si="23"/>
        <v>0</v>
      </c>
      <c r="S16" s="3342">
        <f t="shared" si="23"/>
        <v>0</v>
      </c>
      <c r="T16" s="2012">
        <f t="shared" si="24"/>
        <v>0</v>
      </c>
      <c r="U16" s="1055"/>
      <c r="V16" s="1055"/>
      <c r="W16" s="3342">
        <f t="shared" si="25"/>
        <v>0</v>
      </c>
      <c r="X16" s="3342">
        <f t="shared" si="25"/>
        <v>0</v>
      </c>
      <c r="Y16" s="2012">
        <f t="shared" si="26"/>
        <v>0</v>
      </c>
      <c r="Z16" s="1055"/>
      <c r="AA16" s="1055"/>
      <c r="AB16" s="3341"/>
      <c r="AC16" s="3341"/>
      <c r="AD16" s="3349">
        <f t="shared" si="27"/>
        <v>0</v>
      </c>
      <c r="AE16" s="4428" t="e">
        <f t="shared" si="43"/>
        <v>#DIV/0!</v>
      </c>
      <c r="AF16" s="1055"/>
      <c r="AG16" s="3341"/>
      <c r="AH16" s="3341"/>
      <c r="AI16" s="3349">
        <f t="shared" si="28"/>
        <v>0</v>
      </c>
      <c r="AJ16" s="4428" t="e">
        <f t="shared" si="44"/>
        <v>#DIV/0!</v>
      </c>
      <c r="AK16" s="1055"/>
      <c r="AL16" s="3341"/>
      <c r="AM16" s="3341"/>
      <c r="AN16" s="3349">
        <f t="shared" si="29"/>
        <v>0</v>
      </c>
      <c r="AO16" s="4428" t="e">
        <f t="shared" si="45"/>
        <v>#DIV/0!</v>
      </c>
      <c r="AP16" s="1055"/>
      <c r="AQ16" s="3341"/>
      <c r="AR16" s="3341"/>
      <c r="AS16" s="3349">
        <f t="shared" si="30"/>
        <v>0</v>
      </c>
      <c r="AT16" s="4428" t="e">
        <f t="shared" si="46"/>
        <v>#DIV/0!</v>
      </c>
      <c r="AU16" s="1055"/>
      <c r="AV16" s="3341"/>
      <c r="AW16" s="3341"/>
      <c r="AX16" s="3349">
        <f t="shared" si="31"/>
        <v>0</v>
      </c>
      <c r="AY16" s="4428">
        <f t="shared" si="47"/>
        <v>0</v>
      </c>
      <c r="AZ16" s="1055"/>
      <c r="BA16" s="3341"/>
      <c r="BB16" s="3341"/>
      <c r="BC16" s="3349">
        <f t="shared" si="32"/>
        <v>0</v>
      </c>
      <c r="BD16" s="4428">
        <f t="shared" si="48"/>
        <v>0</v>
      </c>
      <c r="BE16" s="1055"/>
      <c r="BF16" s="3341"/>
      <c r="BG16" s="3341"/>
      <c r="BH16" s="3349">
        <f t="shared" si="33"/>
        <v>0</v>
      </c>
      <c r="BI16" s="4428" t="e">
        <f t="shared" si="49"/>
        <v>#DIV/0!</v>
      </c>
      <c r="BJ16" s="1055"/>
      <c r="BK16" s="3341"/>
      <c r="BL16" s="3341"/>
      <c r="BM16" s="3349">
        <f t="shared" si="34"/>
        <v>0</v>
      </c>
      <c r="BN16" s="4428" t="e">
        <f t="shared" si="50"/>
        <v>#DIV/0!</v>
      </c>
      <c r="BO16" s="1055"/>
      <c r="BP16" s="3341"/>
      <c r="BQ16" s="3341"/>
      <c r="BR16" s="3349">
        <f t="shared" si="35"/>
        <v>0</v>
      </c>
      <c r="BS16" s="4428" t="e">
        <f t="shared" si="51"/>
        <v>#DIV/0!</v>
      </c>
      <c r="BT16" s="1055"/>
      <c r="BU16" s="3341"/>
      <c r="BV16" s="3341"/>
      <c r="BW16" s="3349">
        <f t="shared" si="36"/>
        <v>0</v>
      </c>
      <c r="BX16" s="4428" t="e">
        <f t="shared" si="52"/>
        <v>#DIV/0!</v>
      </c>
      <c r="BY16" s="1055"/>
      <c r="BZ16" s="3341"/>
      <c r="CA16" s="3341"/>
      <c r="CB16" s="3349">
        <f t="shared" si="37"/>
        <v>0</v>
      </c>
      <c r="CC16" s="4428" t="e">
        <f t="shared" si="53"/>
        <v>#DIV/0!</v>
      </c>
      <c r="CD16" s="1055"/>
      <c r="CE16" s="3341"/>
      <c r="CF16" s="3341"/>
      <c r="CG16" s="3349">
        <f t="shared" si="38"/>
        <v>0</v>
      </c>
      <c r="CH16" s="4428" t="e">
        <f t="shared" si="54"/>
        <v>#DIV/0!</v>
      </c>
      <c r="CI16" s="1055"/>
      <c r="CJ16" s="3341">
        <f t="shared" si="39"/>
        <v>0</v>
      </c>
      <c r="CK16" s="3341">
        <f t="shared" si="39"/>
        <v>0</v>
      </c>
      <c r="CL16" s="3349">
        <f>CJ16+CK16*1</f>
        <v>0</v>
      </c>
      <c r="CM16" s="4428">
        <f t="shared" si="40"/>
        <v>0</v>
      </c>
      <c r="CN16" s="1434"/>
      <c r="CP16" s="4615"/>
      <c r="CQ16" s="2012">
        <f t="shared" si="41"/>
        <v>0</v>
      </c>
      <c r="CR16" s="4614">
        <f t="shared" si="56"/>
        <v>0</v>
      </c>
      <c r="CT16" s="2624"/>
    </row>
    <row r="17" spans="1:100" s="1396" customFormat="1" ht="13.8" outlineLevel="2">
      <c r="A17" s="1571"/>
      <c r="B17" s="4430" t="s">
        <v>22</v>
      </c>
      <c r="C17" s="3341"/>
      <c r="D17" s="3341"/>
      <c r="E17" s="3349">
        <f t="shared" si="19"/>
        <v>0</v>
      </c>
      <c r="F17" s="4428" t="e">
        <f t="shared" si="16"/>
        <v>#DIV/0!</v>
      </c>
      <c r="G17" s="2047"/>
      <c r="H17" s="3341"/>
      <c r="I17" s="3341"/>
      <c r="J17" s="3349">
        <f t="shared" si="20"/>
        <v>0</v>
      </c>
      <c r="K17" s="4428" t="e">
        <f t="shared" si="42"/>
        <v>#DIV/0!</v>
      </c>
      <c r="L17" s="2047"/>
      <c r="M17" s="3341"/>
      <c r="N17" s="3341"/>
      <c r="O17" s="3349">
        <f t="shared" si="21"/>
        <v>0</v>
      </c>
      <c r="P17" s="4428" t="e">
        <f t="shared" si="22"/>
        <v>#DIV/0!</v>
      </c>
      <c r="Q17" s="2047"/>
      <c r="R17" s="3342">
        <f t="shared" si="23"/>
        <v>0</v>
      </c>
      <c r="S17" s="3342">
        <f t="shared" si="23"/>
        <v>0</v>
      </c>
      <c r="T17" s="2012">
        <f t="shared" si="24"/>
        <v>0</v>
      </c>
      <c r="U17" s="2047"/>
      <c r="V17" s="2047"/>
      <c r="W17" s="3342">
        <f t="shared" si="25"/>
        <v>0</v>
      </c>
      <c r="X17" s="3342">
        <f t="shared" si="25"/>
        <v>0</v>
      </c>
      <c r="Y17" s="2012">
        <f t="shared" si="26"/>
        <v>0</v>
      </c>
      <c r="Z17" s="2047"/>
      <c r="AA17" s="2047"/>
      <c r="AB17" s="3341"/>
      <c r="AC17" s="3341"/>
      <c r="AD17" s="3349">
        <f t="shared" si="27"/>
        <v>0</v>
      </c>
      <c r="AE17" s="4428" t="e">
        <f t="shared" si="43"/>
        <v>#DIV/0!</v>
      </c>
      <c r="AF17" s="2047"/>
      <c r="AG17" s="3341"/>
      <c r="AH17" s="3341"/>
      <c r="AI17" s="3349">
        <f t="shared" si="28"/>
        <v>0</v>
      </c>
      <c r="AJ17" s="4428" t="e">
        <f t="shared" si="44"/>
        <v>#DIV/0!</v>
      </c>
      <c r="AK17" s="2047"/>
      <c r="AL17" s="3341"/>
      <c r="AM17" s="3341"/>
      <c r="AN17" s="3349">
        <f t="shared" si="29"/>
        <v>0</v>
      </c>
      <c r="AO17" s="4428" t="e">
        <f t="shared" si="45"/>
        <v>#DIV/0!</v>
      </c>
      <c r="AP17" s="2047"/>
      <c r="AQ17" s="3341"/>
      <c r="AR17" s="3341"/>
      <c r="AS17" s="3349">
        <f t="shared" si="30"/>
        <v>0</v>
      </c>
      <c r="AT17" s="4428" t="e">
        <f t="shared" si="46"/>
        <v>#DIV/0!</v>
      </c>
      <c r="AU17" s="2047"/>
      <c r="AV17" s="3341"/>
      <c r="AW17" s="3341"/>
      <c r="AX17" s="3349">
        <f t="shared" si="31"/>
        <v>0</v>
      </c>
      <c r="AY17" s="4428">
        <f t="shared" si="47"/>
        <v>0</v>
      </c>
      <c r="AZ17" s="2047"/>
      <c r="BA17" s="3341"/>
      <c r="BB17" s="3341"/>
      <c r="BC17" s="3349">
        <f t="shared" si="32"/>
        <v>0</v>
      </c>
      <c r="BD17" s="4428">
        <f t="shared" si="48"/>
        <v>0</v>
      </c>
      <c r="BE17" s="2047"/>
      <c r="BF17" s="3341"/>
      <c r="BG17" s="3341"/>
      <c r="BH17" s="3349">
        <f t="shared" si="33"/>
        <v>0</v>
      </c>
      <c r="BI17" s="4428" t="e">
        <f t="shared" si="49"/>
        <v>#DIV/0!</v>
      </c>
      <c r="BJ17" s="2047"/>
      <c r="BK17" s="3341"/>
      <c r="BL17" s="3341"/>
      <c r="BM17" s="3349">
        <f t="shared" si="34"/>
        <v>0</v>
      </c>
      <c r="BN17" s="4428" t="e">
        <f t="shared" si="50"/>
        <v>#DIV/0!</v>
      </c>
      <c r="BO17" s="2047"/>
      <c r="BP17" s="3341"/>
      <c r="BQ17" s="3341"/>
      <c r="BR17" s="3349">
        <f t="shared" si="35"/>
        <v>0</v>
      </c>
      <c r="BS17" s="4428" t="e">
        <f t="shared" si="51"/>
        <v>#DIV/0!</v>
      </c>
      <c r="BT17" s="2047"/>
      <c r="BU17" s="3341"/>
      <c r="BV17" s="3341"/>
      <c r="BW17" s="3349">
        <f t="shared" si="36"/>
        <v>0</v>
      </c>
      <c r="BX17" s="4428" t="e">
        <f t="shared" si="52"/>
        <v>#DIV/0!</v>
      </c>
      <c r="BY17" s="2047"/>
      <c r="BZ17" s="3341"/>
      <c r="CA17" s="3341"/>
      <c r="CB17" s="3349">
        <f t="shared" si="37"/>
        <v>0</v>
      </c>
      <c r="CC17" s="4428" t="e">
        <f t="shared" si="53"/>
        <v>#DIV/0!</v>
      </c>
      <c r="CD17" s="2047"/>
      <c r="CE17" s="3341"/>
      <c r="CF17" s="3341"/>
      <c r="CG17" s="3349">
        <f t="shared" si="38"/>
        <v>0</v>
      </c>
      <c r="CH17" s="4428" t="e">
        <f t="shared" si="54"/>
        <v>#DIV/0!</v>
      </c>
      <c r="CI17" s="2047"/>
      <c r="CJ17" s="3341">
        <f t="shared" si="39"/>
        <v>0</v>
      </c>
      <c r="CK17" s="3341">
        <f t="shared" si="39"/>
        <v>0</v>
      </c>
      <c r="CL17" s="3349">
        <f t="shared" si="55"/>
        <v>0</v>
      </c>
      <c r="CM17" s="4428">
        <f t="shared" si="40"/>
        <v>0</v>
      </c>
      <c r="CN17" s="1434"/>
      <c r="CP17" s="4615"/>
      <c r="CQ17" s="2012">
        <f t="shared" si="41"/>
        <v>0</v>
      </c>
      <c r="CR17" s="4614">
        <f t="shared" si="56"/>
        <v>0</v>
      </c>
      <c r="CT17" s="3443"/>
    </row>
    <row r="18" spans="1:100" s="1396" customFormat="1" ht="13.8" outlineLevel="2">
      <c r="A18" s="1571"/>
      <c r="B18" s="4430" t="s">
        <v>0</v>
      </c>
      <c r="C18" s="3341"/>
      <c r="D18" s="3341"/>
      <c r="E18" s="3349">
        <f t="shared" si="19"/>
        <v>0</v>
      </c>
      <c r="F18" s="4428" t="e">
        <f t="shared" si="16"/>
        <v>#DIV/0!</v>
      </c>
      <c r="G18" s="1055"/>
      <c r="H18" s="3341"/>
      <c r="I18" s="3341"/>
      <c r="J18" s="3349">
        <f t="shared" si="20"/>
        <v>0</v>
      </c>
      <c r="K18" s="4428" t="e">
        <f t="shared" si="42"/>
        <v>#DIV/0!</v>
      </c>
      <c r="L18" s="1055"/>
      <c r="M18" s="3341"/>
      <c r="N18" s="3341"/>
      <c r="O18" s="3349">
        <f t="shared" si="21"/>
        <v>0</v>
      </c>
      <c r="P18" s="4428" t="e">
        <f t="shared" si="22"/>
        <v>#DIV/0!</v>
      </c>
      <c r="Q18" s="1055"/>
      <c r="R18" s="3342">
        <f t="shared" si="23"/>
        <v>0</v>
      </c>
      <c r="S18" s="3342">
        <f t="shared" si="23"/>
        <v>0</v>
      </c>
      <c r="T18" s="2012">
        <f t="shared" si="24"/>
        <v>0</v>
      </c>
      <c r="U18" s="1055"/>
      <c r="V18" s="1055"/>
      <c r="W18" s="3342">
        <f t="shared" si="25"/>
        <v>0</v>
      </c>
      <c r="X18" s="3342">
        <f t="shared" si="25"/>
        <v>0</v>
      </c>
      <c r="Y18" s="2012">
        <f t="shared" si="26"/>
        <v>0</v>
      </c>
      <c r="Z18" s="1055"/>
      <c r="AA18" s="1055"/>
      <c r="AB18" s="3341"/>
      <c r="AC18" s="3341"/>
      <c r="AD18" s="3349">
        <f t="shared" si="27"/>
        <v>0</v>
      </c>
      <c r="AE18" s="4428" t="e">
        <f t="shared" si="43"/>
        <v>#DIV/0!</v>
      </c>
      <c r="AF18" s="1055"/>
      <c r="AG18" s="3341"/>
      <c r="AH18" s="3341"/>
      <c r="AI18" s="3349">
        <f t="shared" si="28"/>
        <v>0</v>
      </c>
      <c r="AJ18" s="4428" t="e">
        <f t="shared" si="44"/>
        <v>#DIV/0!</v>
      </c>
      <c r="AK18" s="1055"/>
      <c r="AL18" s="3341"/>
      <c r="AM18" s="3341"/>
      <c r="AN18" s="3349">
        <f t="shared" si="29"/>
        <v>0</v>
      </c>
      <c r="AO18" s="4428" t="e">
        <f t="shared" si="45"/>
        <v>#DIV/0!</v>
      </c>
      <c r="AP18" s="1055"/>
      <c r="AQ18" s="3341"/>
      <c r="AR18" s="3341"/>
      <c r="AS18" s="3349">
        <f t="shared" si="30"/>
        <v>0</v>
      </c>
      <c r="AT18" s="4428" t="e">
        <f t="shared" si="46"/>
        <v>#DIV/0!</v>
      </c>
      <c r="AU18" s="1055"/>
      <c r="AV18" s="3341"/>
      <c r="AW18" s="3341"/>
      <c r="AX18" s="3349">
        <f t="shared" si="31"/>
        <v>0</v>
      </c>
      <c r="AY18" s="4428">
        <f t="shared" si="47"/>
        <v>0</v>
      </c>
      <c r="AZ18" s="1055"/>
      <c r="BA18" s="3341"/>
      <c r="BB18" s="3341"/>
      <c r="BC18" s="3349">
        <f t="shared" si="32"/>
        <v>0</v>
      </c>
      <c r="BD18" s="4428">
        <f t="shared" si="48"/>
        <v>0</v>
      </c>
      <c r="BE18" s="1055"/>
      <c r="BF18" s="3341"/>
      <c r="BG18" s="3341"/>
      <c r="BH18" s="3349">
        <f t="shared" si="33"/>
        <v>0</v>
      </c>
      <c r="BI18" s="4428" t="e">
        <f t="shared" si="49"/>
        <v>#DIV/0!</v>
      </c>
      <c r="BJ18" s="1055"/>
      <c r="BK18" s="3341"/>
      <c r="BL18" s="3341"/>
      <c r="BM18" s="3349">
        <f t="shared" si="34"/>
        <v>0</v>
      </c>
      <c r="BN18" s="4428" t="e">
        <f t="shared" si="50"/>
        <v>#DIV/0!</v>
      </c>
      <c r="BO18" s="1055"/>
      <c r="BP18" s="3341"/>
      <c r="BQ18" s="3341"/>
      <c r="BR18" s="3349">
        <f t="shared" si="35"/>
        <v>0</v>
      </c>
      <c r="BS18" s="4428" t="e">
        <f t="shared" si="51"/>
        <v>#DIV/0!</v>
      </c>
      <c r="BT18" s="1055"/>
      <c r="BU18" s="3341"/>
      <c r="BV18" s="3341"/>
      <c r="BW18" s="3349">
        <f t="shared" si="36"/>
        <v>0</v>
      </c>
      <c r="BX18" s="4428" t="e">
        <f t="shared" si="52"/>
        <v>#DIV/0!</v>
      </c>
      <c r="BY18" s="1055"/>
      <c r="BZ18" s="3341"/>
      <c r="CA18" s="3341"/>
      <c r="CB18" s="3349">
        <f t="shared" si="37"/>
        <v>0</v>
      </c>
      <c r="CC18" s="4428" t="e">
        <f t="shared" si="53"/>
        <v>#DIV/0!</v>
      </c>
      <c r="CD18" s="1055"/>
      <c r="CE18" s="3341"/>
      <c r="CF18" s="3341"/>
      <c r="CG18" s="3349">
        <f t="shared" si="38"/>
        <v>0</v>
      </c>
      <c r="CH18" s="4428" t="e">
        <f t="shared" si="54"/>
        <v>#DIV/0!</v>
      </c>
      <c r="CI18" s="1055"/>
      <c r="CJ18" s="3341">
        <f t="shared" si="39"/>
        <v>0</v>
      </c>
      <c r="CK18" s="3341">
        <f t="shared" si="39"/>
        <v>0</v>
      </c>
      <c r="CL18" s="3349">
        <f t="shared" si="55"/>
        <v>0</v>
      </c>
      <c r="CM18" s="4428">
        <f t="shared" si="40"/>
        <v>0</v>
      </c>
      <c r="CN18" s="1434"/>
      <c r="CP18" s="4615"/>
      <c r="CQ18" s="2012">
        <f t="shared" si="41"/>
        <v>0</v>
      </c>
      <c r="CR18" s="4614">
        <f t="shared" si="56"/>
        <v>0</v>
      </c>
      <c r="CT18" s="2624"/>
    </row>
    <row r="19" spans="1:100" s="1396" customFormat="1" ht="13.8" outlineLevel="2">
      <c r="A19" s="1571"/>
      <c r="B19" s="4430" t="s">
        <v>53</v>
      </c>
      <c r="C19" s="3341"/>
      <c r="D19" s="3341"/>
      <c r="E19" s="3349">
        <f t="shared" si="19"/>
        <v>0</v>
      </c>
      <c r="F19" s="4428" t="e">
        <f t="shared" si="16"/>
        <v>#DIV/0!</v>
      </c>
      <c r="G19" s="1055"/>
      <c r="H19" s="3341"/>
      <c r="I19" s="3341"/>
      <c r="J19" s="3349">
        <f t="shared" si="20"/>
        <v>0</v>
      </c>
      <c r="K19" s="4428" t="e">
        <f t="shared" si="42"/>
        <v>#DIV/0!</v>
      </c>
      <c r="L19" s="1055"/>
      <c r="M19" s="3341"/>
      <c r="N19" s="3341"/>
      <c r="O19" s="3349">
        <f t="shared" si="21"/>
        <v>0</v>
      </c>
      <c r="P19" s="4428" t="e">
        <f t="shared" si="22"/>
        <v>#DIV/0!</v>
      </c>
      <c r="Q19" s="1055"/>
      <c r="R19" s="3342">
        <f t="shared" si="23"/>
        <v>0</v>
      </c>
      <c r="S19" s="3342">
        <f t="shared" si="23"/>
        <v>0</v>
      </c>
      <c r="T19" s="2012">
        <f t="shared" si="24"/>
        <v>0</v>
      </c>
      <c r="U19" s="1055"/>
      <c r="V19" s="1055"/>
      <c r="W19" s="3342">
        <f t="shared" si="25"/>
        <v>0</v>
      </c>
      <c r="X19" s="3342">
        <f t="shared" si="25"/>
        <v>0</v>
      </c>
      <c r="Y19" s="2012">
        <f t="shared" si="26"/>
        <v>0</v>
      </c>
      <c r="Z19" s="1055"/>
      <c r="AA19" s="1055"/>
      <c r="AB19" s="3341"/>
      <c r="AC19" s="3341"/>
      <c r="AD19" s="3349">
        <f t="shared" si="27"/>
        <v>0</v>
      </c>
      <c r="AE19" s="4428" t="e">
        <f t="shared" si="43"/>
        <v>#DIV/0!</v>
      </c>
      <c r="AF19" s="1055"/>
      <c r="AG19" s="3341"/>
      <c r="AH19" s="3341"/>
      <c r="AI19" s="3349">
        <f t="shared" si="28"/>
        <v>0</v>
      </c>
      <c r="AJ19" s="4428" t="e">
        <f t="shared" si="44"/>
        <v>#DIV/0!</v>
      </c>
      <c r="AK19" s="1055"/>
      <c r="AL19" s="3341"/>
      <c r="AM19" s="3341"/>
      <c r="AN19" s="3349">
        <f t="shared" si="29"/>
        <v>0</v>
      </c>
      <c r="AO19" s="4428" t="e">
        <f t="shared" si="45"/>
        <v>#DIV/0!</v>
      </c>
      <c r="AP19" s="1055"/>
      <c r="AQ19" s="3341"/>
      <c r="AR19" s="3341"/>
      <c r="AS19" s="3349">
        <f t="shared" si="30"/>
        <v>0</v>
      </c>
      <c r="AT19" s="4428" t="e">
        <f t="shared" si="46"/>
        <v>#DIV/0!</v>
      </c>
      <c r="AU19" s="1055"/>
      <c r="AV19" s="3341"/>
      <c r="AW19" s="3341"/>
      <c r="AX19" s="3349">
        <f t="shared" si="31"/>
        <v>0</v>
      </c>
      <c r="AY19" s="4428">
        <f t="shared" si="47"/>
        <v>0</v>
      </c>
      <c r="AZ19" s="1055"/>
      <c r="BA19" s="3341"/>
      <c r="BB19" s="3341"/>
      <c r="BC19" s="3349">
        <f t="shared" si="32"/>
        <v>0</v>
      </c>
      <c r="BD19" s="4428">
        <f t="shared" si="48"/>
        <v>0</v>
      </c>
      <c r="BE19" s="1055"/>
      <c r="BF19" s="3341"/>
      <c r="BG19" s="3341"/>
      <c r="BH19" s="3349">
        <f t="shared" si="33"/>
        <v>0</v>
      </c>
      <c r="BI19" s="4428" t="e">
        <f t="shared" si="49"/>
        <v>#DIV/0!</v>
      </c>
      <c r="BJ19" s="1055"/>
      <c r="BK19" s="3341"/>
      <c r="BL19" s="3341"/>
      <c r="BM19" s="3349">
        <f t="shared" si="34"/>
        <v>0</v>
      </c>
      <c r="BN19" s="4428" t="e">
        <f t="shared" si="50"/>
        <v>#DIV/0!</v>
      </c>
      <c r="BO19" s="1055"/>
      <c r="BP19" s="3341"/>
      <c r="BQ19" s="3341"/>
      <c r="BR19" s="3349">
        <f t="shared" si="35"/>
        <v>0</v>
      </c>
      <c r="BS19" s="4428" t="e">
        <f t="shared" si="51"/>
        <v>#DIV/0!</v>
      </c>
      <c r="BT19" s="1055"/>
      <c r="BU19" s="3341"/>
      <c r="BV19" s="3341"/>
      <c r="BW19" s="3349">
        <f t="shared" si="36"/>
        <v>0</v>
      </c>
      <c r="BX19" s="4428" t="e">
        <f t="shared" si="52"/>
        <v>#DIV/0!</v>
      </c>
      <c r="BY19" s="1055"/>
      <c r="BZ19" s="3341"/>
      <c r="CA19" s="3341"/>
      <c r="CB19" s="3349">
        <f t="shared" si="37"/>
        <v>0</v>
      </c>
      <c r="CC19" s="4428" t="e">
        <f t="shared" si="53"/>
        <v>#DIV/0!</v>
      </c>
      <c r="CD19" s="1055"/>
      <c r="CE19" s="3341"/>
      <c r="CF19" s="3341"/>
      <c r="CG19" s="3349">
        <f t="shared" si="38"/>
        <v>0</v>
      </c>
      <c r="CH19" s="4428" t="e">
        <f t="shared" si="54"/>
        <v>#DIV/0!</v>
      </c>
      <c r="CI19" s="1055"/>
      <c r="CJ19" s="3341">
        <f t="shared" si="39"/>
        <v>0</v>
      </c>
      <c r="CK19" s="3341">
        <f t="shared" si="39"/>
        <v>0</v>
      </c>
      <c r="CL19" s="3349">
        <f t="shared" si="55"/>
        <v>0</v>
      </c>
      <c r="CM19" s="4428">
        <f t="shared" si="40"/>
        <v>0</v>
      </c>
      <c r="CN19" s="1434"/>
      <c r="CP19" s="4615"/>
      <c r="CQ19" s="2012">
        <f t="shared" si="41"/>
        <v>0</v>
      </c>
      <c r="CR19" s="4614">
        <f t="shared" si="56"/>
        <v>0</v>
      </c>
      <c r="CT19" s="2624"/>
    </row>
    <row r="20" spans="1:100" s="1396" customFormat="1" ht="13.8" outlineLevel="2">
      <c r="A20" s="1571"/>
      <c r="B20" s="4430" t="s">
        <v>57</v>
      </c>
      <c r="C20" s="3341"/>
      <c r="D20" s="3341"/>
      <c r="E20" s="3349">
        <f t="shared" si="19"/>
        <v>0</v>
      </c>
      <c r="F20" s="4428" t="e">
        <f t="shared" si="16"/>
        <v>#DIV/0!</v>
      </c>
      <c r="G20" s="1055"/>
      <c r="H20" s="3341"/>
      <c r="I20" s="3341"/>
      <c r="J20" s="3349">
        <f t="shared" si="20"/>
        <v>0</v>
      </c>
      <c r="K20" s="4428" t="e">
        <f t="shared" si="42"/>
        <v>#DIV/0!</v>
      </c>
      <c r="L20" s="1055"/>
      <c r="M20" s="3341"/>
      <c r="N20" s="3341"/>
      <c r="O20" s="3349">
        <f t="shared" si="21"/>
        <v>0</v>
      </c>
      <c r="P20" s="4428" t="e">
        <f t="shared" si="22"/>
        <v>#DIV/0!</v>
      </c>
      <c r="Q20" s="1055"/>
      <c r="R20" s="3342">
        <f t="shared" si="23"/>
        <v>0</v>
      </c>
      <c r="S20" s="3342">
        <f t="shared" si="23"/>
        <v>0</v>
      </c>
      <c r="T20" s="2012">
        <f t="shared" si="24"/>
        <v>0</v>
      </c>
      <c r="U20" s="1055"/>
      <c r="V20" s="1055"/>
      <c r="W20" s="3342">
        <f t="shared" si="25"/>
        <v>0</v>
      </c>
      <c r="X20" s="3342">
        <f t="shared" si="25"/>
        <v>0</v>
      </c>
      <c r="Y20" s="2012">
        <f t="shared" si="26"/>
        <v>0</v>
      </c>
      <c r="Z20" s="1055"/>
      <c r="AA20" s="1055"/>
      <c r="AB20" s="3341"/>
      <c r="AC20" s="3341"/>
      <c r="AD20" s="3349">
        <f t="shared" si="27"/>
        <v>0</v>
      </c>
      <c r="AE20" s="4428" t="e">
        <f t="shared" si="43"/>
        <v>#DIV/0!</v>
      </c>
      <c r="AF20" s="1055"/>
      <c r="AG20" s="3341"/>
      <c r="AH20" s="3341"/>
      <c r="AI20" s="3349">
        <f t="shared" si="28"/>
        <v>0</v>
      </c>
      <c r="AJ20" s="4428" t="e">
        <f t="shared" si="44"/>
        <v>#DIV/0!</v>
      </c>
      <c r="AK20" s="1055"/>
      <c r="AL20" s="3341"/>
      <c r="AM20" s="3341"/>
      <c r="AN20" s="3349">
        <f t="shared" si="29"/>
        <v>0</v>
      </c>
      <c r="AO20" s="4428" t="e">
        <f t="shared" si="45"/>
        <v>#DIV/0!</v>
      </c>
      <c r="AP20" s="1055"/>
      <c r="AQ20" s="3341"/>
      <c r="AR20" s="3341"/>
      <c r="AS20" s="3349">
        <f t="shared" si="30"/>
        <v>0</v>
      </c>
      <c r="AT20" s="4428" t="e">
        <f t="shared" si="46"/>
        <v>#DIV/0!</v>
      </c>
      <c r="AU20" s="1055"/>
      <c r="AV20" s="3341"/>
      <c r="AW20" s="3341"/>
      <c r="AX20" s="3349">
        <f t="shared" si="31"/>
        <v>0</v>
      </c>
      <c r="AY20" s="4428">
        <f t="shared" si="47"/>
        <v>0</v>
      </c>
      <c r="AZ20" s="1055"/>
      <c r="BA20" s="3341"/>
      <c r="BB20" s="3341"/>
      <c r="BC20" s="3349">
        <f t="shared" si="32"/>
        <v>0</v>
      </c>
      <c r="BD20" s="4428">
        <f t="shared" si="48"/>
        <v>0</v>
      </c>
      <c r="BE20" s="1055"/>
      <c r="BF20" s="3341"/>
      <c r="BG20" s="3341"/>
      <c r="BH20" s="3349">
        <f t="shared" si="33"/>
        <v>0</v>
      </c>
      <c r="BI20" s="4428" t="e">
        <f t="shared" si="49"/>
        <v>#DIV/0!</v>
      </c>
      <c r="BJ20" s="1055"/>
      <c r="BK20" s="3341"/>
      <c r="BL20" s="3341"/>
      <c r="BM20" s="3349">
        <f t="shared" si="34"/>
        <v>0</v>
      </c>
      <c r="BN20" s="4428" t="e">
        <f t="shared" si="50"/>
        <v>#DIV/0!</v>
      </c>
      <c r="BO20" s="1055"/>
      <c r="BP20" s="3341"/>
      <c r="BQ20" s="3341"/>
      <c r="BR20" s="3349">
        <f t="shared" si="35"/>
        <v>0</v>
      </c>
      <c r="BS20" s="4428" t="e">
        <f t="shared" si="51"/>
        <v>#DIV/0!</v>
      </c>
      <c r="BT20" s="1055"/>
      <c r="BU20" s="3341"/>
      <c r="BV20" s="3341"/>
      <c r="BW20" s="3349">
        <f t="shared" si="36"/>
        <v>0</v>
      </c>
      <c r="BX20" s="4428" t="e">
        <f t="shared" si="52"/>
        <v>#DIV/0!</v>
      </c>
      <c r="BY20" s="1055"/>
      <c r="BZ20" s="3341"/>
      <c r="CA20" s="3341"/>
      <c r="CB20" s="3349">
        <f t="shared" si="37"/>
        <v>0</v>
      </c>
      <c r="CC20" s="4428" t="e">
        <f t="shared" si="53"/>
        <v>#DIV/0!</v>
      </c>
      <c r="CD20" s="1055"/>
      <c r="CE20" s="3341"/>
      <c r="CF20" s="3341"/>
      <c r="CG20" s="3349">
        <f t="shared" si="38"/>
        <v>0</v>
      </c>
      <c r="CH20" s="4428" t="e">
        <f t="shared" si="54"/>
        <v>#DIV/0!</v>
      </c>
      <c r="CI20" s="1055"/>
      <c r="CJ20" s="3341">
        <f t="shared" si="39"/>
        <v>0</v>
      </c>
      <c r="CK20" s="3341">
        <f t="shared" si="39"/>
        <v>0</v>
      </c>
      <c r="CL20" s="3349">
        <f t="shared" si="55"/>
        <v>0</v>
      </c>
      <c r="CM20" s="4428">
        <f t="shared" si="40"/>
        <v>0</v>
      </c>
      <c r="CN20" s="1434"/>
      <c r="CP20" s="4615"/>
      <c r="CQ20" s="2012">
        <f t="shared" si="41"/>
        <v>0</v>
      </c>
      <c r="CR20" s="4614">
        <f t="shared" si="56"/>
        <v>0</v>
      </c>
      <c r="CT20" s="2624"/>
    </row>
    <row r="21" spans="1:100" s="1396" customFormat="1" ht="13.8" outlineLevel="2">
      <c r="A21" s="1571"/>
      <c r="B21" s="4430" t="s">
        <v>58</v>
      </c>
      <c r="C21" s="3341"/>
      <c r="D21" s="3341"/>
      <c r="E21" s="3349">
        <f t="shared" si="19"/>
        <v>0</v>
      </c>
      <c r="F21" s="4428" t="e">
        <f t="shared" si="16"/>
        <v>#DIV/0!</v>
      </c>
      <c r="G21" s="1615"/>
      <c r="H21" s="3341"/>
      <c r="I21" s="3341"/>
      <c r="J21" s="3349">
        <f t="shared" si="20"/>
        <v>0</v>
      </c>
      <c r="K21" s="4428" t="e">
        <f t="shared" si="42"/>
        <v>#DIV/0!</v>
      </c>
      <c r="L21" s="1615"/>
      <c r="M21" s="3341"/>
      <c r="N21" s="3341"/>
      <c r="O21" s="3349">
        <f t="shared" si="21"/>
        <v>0</v>
      </c>
      <c r="P21" s="4428" t="e">
        <f t="shared" si="22"/>
        <v>#DIV/0!</v>
      </c>
      <c r="Q21" s="1615"/>
      <c r="R21" s="3342">
        <f t="shared" si="23"/>
        <v>0</v>
      </c>
      <c r="S21" s="3342">
        <f t="shared" si="23"/>
        <v>0</v>
      </c>
      <c r="T21" s="2012">
        <f t="shared" si="24"/>
        <v>0</v>
      </c>
      <c r="U21" s="1615"/>
      <c r="V21" s="1615"/>
      <c r="W21" s="3342">
        <f t="shared" si="25"/>
        <v>0</v>
      </c>
      <c r="X21" s="3342">
        <f t="shared" si="25"/>
        <v>0</v>
      </c>
      <c r="Y21" s="2012">
        <f t="shared" si="26"/>
        <v>0</v>
      </c>
      <c r="Z21" s="1615"/>
      <c r="AA21" s="1615"/>
      <c r="AB21" s="3341"/>
      <c r="AC21" s="3341"/>
      <c r="AD21" s="3349">
        <f t="shared" si="27"/>
        <v>0</v>
      </c>
      <c r="AE21" s="4428" t="e">
        <f t="shared" si="43"/>
        <v>#DIV/0!</v>
      </c>
      <c r="AF21" s="1615"/>
      <c r="AG21" s="3341"/>
      <c r="AH21" s="3341"/>
      <c r="AI21" s="3349">
        <f t="shared" si="28"/>
        <v>0</v>
      </c>
      <c r="AJ21" s="4428" t="e">
        <f t="shared" si="44"/>
        <v>#DIV/0!</v>
      </c>
      <c r="AK21" s="1615"/>
      <c r="AL21" s="3341"/>
      <c r="AM21" s="3341"/>
      <c r="AN21" s="3349">
        <f t="shared" si="29"/>
        <v>0</v>
      </c>
      <c r="AO21" s="4428" t="e">
        <f t="shared" si="45"/>
        <v>#DIV/0!</v>
      </c>
      <c r="AP21" s="1615"/>
      <c r="AQ21" s="3341"/>
      <c r="AR21" s="3341"/>
      <c r="AS21" s="3349">
        <f t="shared" si="30"/>
        <v>0</v>
      </c>
      <c r="AT21" s="4428" t="e">
        <f t="shared" si="46"/>
        <v>#DIV/0!</v>
      </c>
      <c r="AU21" s="1615"/>
      <c r="AV21" s="3341"/>
      <c r="AW21" s="3341"/>
      <c r="AX21" s="3349">
        <f t="shared" si="31"/>
        <v>0</v>
      </c>
      <c r="AY21" s="4428">
        <f t="shared" si="47"/>
        <v>0</v>
      </c>
      <c r="AZ21" s="1615"/>
      <c r="BA21" s="3341"/>
      <c r="BB21" s="3341"/>
      <c r="BC21" s="3349">
        <f t="shared" si="32"/>
        <v>0</v>
      </c>
      <c r="BD21" s="4428">
        <f t="shared" si="48"/>
        <v>0</v>
      </c>
      <c r="BE21" s="1615"/>
      <c r="BF21" s="3341"/>
      <c r="BG21" s="3341"/>
      <c r="BH21" s="3349">
        <f t="shared" si="33"/>
        <v>0</v>
      </c>
      <c r="BI21" s="4428" t="e">
        <f t="shared" si="49"/>
        <v>#DIV/0!</v>
      </c>
      <c r="BJ21" s="1615"/>
      <c r="BK21" s="3341"/>
      <c r="BL21" s="3341"/>
      <c r="BM21" s="3349">
        <f t="shared" si="34"/>
        <v>0</v>
      </c>
      <c r="BN21" s="4428" t="e">
        <f t="shared" si="50"/>
        <v>#DIV/0!</v>
      </c>
      <c r="BO21" s="1615"/>
      <c r="BP21" s="3341"/>
      <c r="BQ21" s="3341"/>
      <c r="BR21" s="3349">
        <f t="shared" si="35"/>
        <v>0</v>
      </c>
      <c r="BS21" s="4428" t="e">
        <f t="shared" si="51"/>
        <v>#DIV/0!</v>
      </c>
      <c r="BT21" s="1615"/>
      <c r="BU21" s="3341"/>
      <c r="BV21" s="3341"/>
      <c r="BW21" s="3349">
        <f t="shared" si="36"/>
        <v>0</v>
      </c>
      <c r="BX21" s="4428" t="e">
        <f t="shared" si="52"/>
        <v>#DIV/0!</v>
      </c>
      <c r="BY21" s="1615"/>
      <c r="BZ21" s="3341"/>
      <c r="CA21" s="3341"/>
      <c r="CB21" s="3349">
        <f t="shared" si="37"/>
        <v>0</v>
      </c>
      <c r="CC21" s="4428" t="e">
        <f t="shared" si="53"/>
        <v>#DIV/0!</v>
      </c>
      <c r="CD21" s="1615"/>
      <c r="CE21" s="3341"/>
      <c r="CF21" s="3341"/>
      <c r="CG21" s="3349">
        <f t="shared" si="38"/>
        <v>0</v>
      </c>
      <c r="CH21" s="4428" t="e">
        <f t="shared" si="54"/>
        <v>#DIV/0!</v>
      </c>
      <c r="CI21" s="1615"/>
      <c r="CJ21" s="3341">
        <f t="shared" si="39"/>
        <v>0</v>
      </c>
      <c r="CK21" s="3341">
        <f t="shared" si="39"/>
        <v>0</v>
      </c>
      <c r="CL21" s="3349">
        <f t="shared" si="55"/>
        <v>0</v>
      </c>
      <c r="CM21" s="4428">
        <f t="shared" si="40"/>
        <v>0</v>
      </c>
      <c r="CN21" s="1434"/>
      <c r="CP21" s="4615"/>
      <c r="CQ21" s="2012">
        <f t="shared" si="41"/>
        <v>0</v>
      </c>
      <c r="CR21" s="4614">
        <f t="shared" si="56"/>
        <v>0</v>
      </c>
      <c r="CT21" s="2624"/>
    </row>
    <row r="22" spans="1:100" s="1396" customFormat="1" ht="13.8" outlineLevel="2">
      <c r="A22" s="1571"/>
      <c r="B22" s="4430" t="s">
        <v>621</v>
      </c>
      <c r="C22" s="3341"/>
      <c r="D22" s="3341"/>
      <c r="E22" s="3349">
        <f t="shared" si="19"/>
        <v>0</v>
      </c>
      <c r="F22" s="4428" t="e">
        <f t="shared" si="16"/>
        <v>#DIV/0!</v>
      </c>
      <c r="G22" s="3342"/>
      <c r="H22" s="3341"/>
      <c r="I22" s="3341"/>
      <c r="J22" s="3349">
        <f t="shared" si="20"/>
        <v>0</v>
      </c>
      <c r="K22" s="4428" t="e">
        <f t="shared" si="42"/>
        <v>#DIV/0!</v>
      </c>
      <c r="L22" s="3342"/>
      <c r="M22" s="3341"/>
      <c r="N22" s="3341"/>
      <c r="O22" s="3349">
        <f t="shared" si="21"/>
        <v>0</v>
      </c>
      <c r="P22" s="4428" t="e">
        <f t="shared" si="22"/>
        <v>#DIV/0!</v>
      </c>
      <c r="Q22" s="3342"/>
      <c r="R22" s="3342">
        <f t="shared" si="23"/>
        <v>0</v>
      </c>
      <c r="S22" s="3342">
        <f t="shared" si="23"/>
        <v>0</v>
      </c>
      <c r="T22" s="2012">
        <f t="shared" si="24"/>
        <v>0</v>
      </c>
      <c r="U22" s="3342"/>
      <c r="V22" s="3342"/>
      <c r="W22" s="3342">
        <f t="shared" si="25"/>
        <v>0</v>
      </c>
      <c r="X22" s="3342">
        <f t="shared" si="25"/>
        <v>0</v>
      </c>
      <c r="Y22" s="2012">
        <f t="shared" si="26"/>
        <v>0</v>
      </c>
      <c r="Z22" s="3342"/>
      <c r="AA22" s="3342"/>
      <c r="AB22" s="3341"/>
      <c r="AC22" s="3341"/>
      <c r="AD22" s="3349">
        <f t="shared" si="27"/>
        <v>0</v>
      </c>
      <c r="AE22" s="4428" t="e">
        <f t="shared" si="43"/>
        <v>#DIV/0!</v>
      </c>
      <c r="AF22" s="3342"/>
      <c r="AG22" s="3341"/>
      <c r="AH22" s="3341"/>
      <c r="AI22" s="3349">
        <f t="shared" si="28"/>
        <v>0</v>
      </c>
      <c r="AJ22" s="4428" t="e">
        <f t="shared" si="44"/>
        <v>#DIV/0!</v>
      </c>
      <c r="AK22" s="3342"/>
      <c r="AL22" s="3341"/>
      <c r="AM22" s="3341"/>
      <c r="AN22" s="3349">
        <f t="shared" si="29"/>
        <v>0</v>
      </c>
      <c r="AO22" s="4428" t="e">
        <f t="shared" si="45"/>
        <v>#DIV/0!</v>
      </c>
      <c r="AP22" s="3342"/>
      <c r="AQ22" s="3341"/>
      <c r="AR22" s="3341"/>
      <c r="AS22" s="3349">
        <f t="shared" si="30"/>
        <v>0</v>
      </c>
      <c r="AT22" s="4428" t="e">
        <f t="shared" si="46"/>
        <v>#DIV/0!</v>
      </c>
      <c r="AU22" s="3342"/>
      <c r="AV22" s="3341"/>
      <c r="AW22" s="3341"/>
      <c r="AX22" s="3349">
        <f t="shared" si="31"/>
        <v>0</v>
      </c>
      <c r="AY22" s="4428">
        <f t="shared" si="47"/>
        <v>0</v>
      </c>
      <c r="AZ22" s="3342"/>
      <c r="BA22" s="3341"/>
      <c r="BB22" s="3341"/>
      <c r="BC22" s="3349">
        <f t="shared" si="32"/>
        <v>0</v>
      </c>
      <c r="BD22" s="4428">
        <f t="shared" si="48"/>
        <v>0</v>
      </c>
      <c r="BE22" s="3342"/>
      <c r="BF22" s="3341"/>
      <c r="BG22" s="3341"/>
      <c r="BH22" s="3349">
        <f t="shared" si="33"/>
        <v>0</v>
      </c>
      <c r="BI22" s="4428" t="e">
        <f t="shared" si="49"/>
        <v>#DIV/0!</v>
      </c>
      <c r="BJ22" s="3342"/>
      <c r="BK22" s="3341"/>
      <c r="BL22" s="3341"/>
      <c r="BM22" s="3349">
        <f t="shared" si="34"/>
        <v>0</v>
      </c>
      <c r="BN22" s="4428" t="e">
        <f t="shared" si="50"/>
        <v>#DIV/0!</v>
      </c>
      <c r="BO22" s="3342"/>
      <c r="BP22" s="3341"/>
      <c r="BQ22" s="3341"/>
      <c r="BR22" s="3349">
        <f t="shared" si="35"/>
        <v>0</v>
      </c>
      <c r="BS22" s="4428" t="e">
        <f t="shared" si="51"/>
        <v>#DIV/0!</v>
      </c>
      <c r="BT22" s="3342"/>
      <c r="BU22" s="3341"/>
      <c r="BV22" s="3341"/>
      <c r="BW22" s="3349">
        <f t="shared" si="36"/>
        <v>0</v>
      </c>
      <c r="BX22" s="4428" t="e">
        <f t="shared" si="52"/>
        <v>#DIV/0!</v>
      </c>
      <c r="BY22" s="3342"/>
      <c r="BZ22" s="3341"/>
      <c r="CA22" s="3341"/>
      <c r="CB22" s="3349">
        <f t="shared" si="37"/>
        <v>0</v>
      </c>
      <c r="CC22" s="4428" t="e">
        <f t="shared" si="53"/>
        <v>#DIV/0!</v>
      </c>
      <c r="CD22" s="3342"/>
      <c r="CE22" s="3341"/>
      <c r="CF22" s="3341"/>
      <c r="CG22" s="3349">
        <f t="shared" si="38"/>
        <v>0</v>
      </c>
      <c r="CH22" s="4428" t="e">
        <f t="shared" si="54"/>
        <v>#DIV/0!</v>
      </c>
      <c r="CI22" s="3342"/>
      <c r="CJ22" s="3341">
        <f t="shared" si="39"/>
        <v>0</v>
      </c>
      <c r="CK22" s="3341">
        <f t="shared" si="39"/>
        <v>0</v>
      </c>
      <c r="CL22" s="3349">
        <f t="shared" si="55"/>
        <v>0</v>
      </c>
      <c r="CM22" s="4428">
        <f t="shared" si="40"/>
        <v>0</v>
      </c>
      <c r="CN22" s="1434"/>
      <c r="CP22" s="4615"/>
      <c r="CQ22" s="2012">
        <f t="shared" si="41"/>
        <v>0</v>
      </c>
      <c r="CR22" s="4614">
        <f t="shared" si="56"/>
        <v>0</v>
      </c>
      <c r="CT22" s="3443">
        <f>CQ22</f>
        <v>0</v>
      </c>
    </row>
    <row r="23" spans="1:100" s="1396" customFormat="1" ht="13.8" outlineLevel="2">
      <c r="A23" s="1571"/>
      <c r="B23" s="4430" t="s">
        <v>630</v>
      </c>
      <c r="C23" s="3341"/>
      <c r="D23" s="3341"/>
      <c r="E23" s="3349">
        <f t="shared" si="19"/>
        <v>0</v>
      </c>
      <c r="F23" s="4428" t="e">
        <f t="shared" si="16"/>
        <v>#DIV/0!</v>
      </c>
      <c r="G23" s="1055"/>
      <c r="H23" s="3341"/>
      <c r="I23" s="3341"/>
      <c r="J23" s="3349">
        <f t="shared" si="20"/>
        <v>0</v>
      </c>
      <c r="K23" s="4428" t="e">
        <f t="shared" si="42"/>
        <v>#DIV/0!</v>
      </c>
      <c r="L23" s="1055"/>
      <c r="M23" s="3341"/>
      <c r="N23" s="3341"/>
      <c r="O23" s="3349">
        <f t="shared" si="21"/>
        <v>0</v>
      </c>
      <c r="P23" s="4428" t="e">
        <f t="shared" si="22"/>
        <v>#DIV/0!</v>
      </c>
      <c r="Q23" s="1055"/>
      <c r="R23" s="3342">
        <f t="shared" si="23"/>
        <v>0</v>
      </c>
      <c r="S23" s="3342">
        <f t="shared" si="23"/>
        <v>0</v>
      </c>
      <c r="T23" s="2012">
        <f t="shared" si="24"/>
        <v>0</v>
      </c>
      <c r="U23" s="1055"/>
      <c r="V23" s="1055"/>
      <c r="W23" s="3342">
        <f t="shared" si="25"/>
        <v>0</v>
      </c>
      <c r="X23" s="3342">
        <f t="shared" si="25"/>
        <v>0</v>
      </c>
      <c r="Y23" s="2012">
        <f t="shared" si="26"/>
        <v>0</v>
      </c>
      <c r="Z23" s="1055"/>
      <c r="AA23" s="1055"/>
      <c r="AB23" s="3341"/>
      <c r="AC23" s="3341"/>
      <c r="AD23" s="3349">
        <f t="shared" si="27"/>
        <v>0</v>
      </c>
      <c r="AE23" s="4428" t="e">
        <f t="shared" si="43"/>
        <v>#DIV/0!</v>
      </c>
      <c r="AF23" s="1055"/>
      <c r="AG23" s="3341"/>
      <c r="AH23" s="3341"/>
      <c r="AI23" s="3349">
        <f t="shared" si="28"/>
        <v>0</v>
      </c>
      <c r="AJ23" s="4428" t="e">
        <f t="shared" si="44"/>
        <v>#DIV/0!</v>
      </c>
      <c r="AK23" s="1055"/>
      <c r="AL23" s="3341"/>
      <c r="AM23" s="3341"/>
      <c r="AN23" s="3349">
        <f t="shared" si="29"/>
        <v>0</v>
      </c>
      <c r="AO23" s="4428" t="e">
        <f t="shared" si="45"/>
        <v>#DIV/0!</v>
      </c>
      <c r="AP23" s="1055"/>
      <c r="AQ23" s="3341"/>
      <c r="AR23" s="3341"/>
      <c r="AS23" s="3349">
        <f t="shared" si="30"/>
        <v>0</v>
      </c>
      <c r="AT23" s="4428" t="e">
        <f t="shared" si="46"/>
        <v>#DIV/0!</v>
      </c>
      <c r="AU23" s="1055"/>
      <c r="AV23" s="3341"/>
      <c r="AW23" s="3341"/>
      <c r="AX23" s="3349">
        <f t="shared" si="31"/>
        <v>0</v>
      </c>
      <c r="AY23" s="4428">
        <f t="shared" si="47"/>
        <v>0</v>
      </c>
      <c r="AZ23" s="1055"/>
      <c r="BA23" s="3341"/>
      <c r="BB23" s="3341"/>
      <c r="BC23" s="3349">
        <f t="shared" si="32"/>
        <v>0</v>
      </c>
      <c r="BD23" s="4428">
        <f t="shared" si="48"/>
        <v>0</v>
      </c>
      <c r="BE23" s="1055"/>
      <c r="BF23" s="3341"/>
      <c r="BG23" s="3341"/>
      <c r="BH23" s="3349">
        <f t="shared" si="33"/>
        <v>0</v>
      </c>
      <c r="BI23" s="4428" t="e">
        <f t="shared" si="49"/>
        <v>#DIV/0!</v>
      </c>
      <c r="BJ23" s="1055"/>
      <c r="BK23" s="3341"/>
      <c r="BL23" s="3341"/>
      <c r="BM23" s="3349">
        <f t="shared" si="34"/>
        <v>0</v>
      </c>
      <c r="BN23" s="4428" t="e">
        <f t="shared" si="50"/>
        <v>#DIV/0!</v>
      </c>
      <c r="BO23" s="1055"/>
      <c r="BP23" s="3341"/>
      <c r="BQ23" s="3341"/>
      <c r="BR23" s="3349">
        <f t="shared" si="35"/>
        <v>0</v>
      </c>
      <c r="BS23" s="4428" t="e">
        <f t="shared" si="51"/>
        <v>#DIV/0!</v>
      </c>
      <c r="BT23" s="1055"/>
      <c r="BU23" s="3341"/>
      <c r="BV23" s="3341"/>
      <c r="BW23" s="3349">
        <f t="shared" si="36"/>
        <v>0</v>
      </c>
      <c r="BX23" s="4428" t="e">
        <f t="shared" si="52"/>
        <v>#DIV/0!</v>
      </c>
      <c r="BY23" s="1055"/>
      <c r="BZ23" s="3341"/>
      <c r="CA23" s="3341"/>
      <c r="CB23" s="3349">
        <f t="shared" si="37"/>
        <v>0</v>
      </c>
      <c r="CC23" s="4428" t="e">
        <f t="shared" si="53"/>
        <v>#DIV/0!</v>
      </c>
      <c r="CD23" s="1055"/>
      <c r="CE23" s="3341"/>
      <c r="CF23" s="3341"/>
      <c r="CG23" s="3349">
        <f t="shared" si="38"/>
        <v>0</v>
      </c>
      <c r="CH23" s="4428" t="e">
        <f t="shared" si="54"/>
        <v>#DIV/0!</v>
      </c>
      <c r="CI23" s="1055"/>
      <c r="CJ23" s="3341">
        <f t="shared" si="39"/>
        <v>0</v>
      </c>
      <c r="CK23" s="3341">
        <f t="shared" si="39"/>
        <v>0</v>
      </c>
      <c r="CL23" s="3349">
        <f t="shared" si="55"/>
        <v>0</v>
      </c>
      <c r="CM23" s="4428">
        <f t="shared" si="40"/>
        <v>0</v>
      </c>
      <c r="CN23" s="1434"/>
      <c r="CP23" s="4615"/>
      <c r="CQ23" s="2012">
        <f t="shared" si="41"/>
        <v>0</v>
      </c>
      <c r="CR23" s="4614">
        <f t="shared" si="56"/>
        <v>0</v>
      </c>
      <c r="CT23" s="2624"/>
    </row>
    <row r="24" spans="1:100" s="1396" customFormat="1" ht="13.8" outlineLevel="2">
      <c r="A24" s="1571"/>
      <c r="B24" s="4430" t="s">
        <v>23</v>
      </c>
      <c r="C24" s="3341"/>
      <c r="D24" s="3341"/>
      <c r="E24" s="3349">
        <f t="shared" si="19"/>
        <v>0</v>
      </c>
      <c r="F24" s="4428" t="e">
        <f t="shared" si="16"/>
        <v>#DIV/0!</v>
      </c>
      <c r="G24" s="3342"/>
      <c r="H24" s="3341"/>
      <c r="I24" s="3341"/>
      <c r="J24" s="3349">
        <f t="shared" si="20"/>
        <v>0</v>
      </c>
      <c r="K24" s="4428" t="e">
        <f t="shared" si="42"/>
        <v>#DIV/0!</v>
      </c>
      <c r="L24" s="3342"/>
      <c r="M24" s="3341"/>
      <c r="N24" s="3341"/>
      <c r="O24" s="3349">
        <f t="shared" si="21"/>
        <v>0</v>
      </c>
      <c r="P24" s="4428" t="e">
        <f t="shared" si="22"/>
        <v>#DIV/0!</v>
      </c>
      <c r="Q24" s="3342"/>
      <c r="R24" s="3342">
        <f t="shared" si="23"/>
        <v>0</v>
      </c>
      <c r="S24" s="3342">
        <f t="shared" si="23"/>
        <v>0</v>
      </c>
      <c r="T24" s="2012">
        <f t="shared" si="24"/>
        <v>0</v>
      </c>
      <c r="U24" s="3342"/>
      <c r="V24" s="3342"/>
      <c r="W24" s="3342">
        <f t="shared" si="25"/>
        <v>0</v>
      </c>
      <c r="X24" s="3342">
        <f t="shared" si="25"/>
        <v>0</v>
      </c>
      <c r="Y24" s="2012">
        <f t="shared" si="26"/>
        <v>0</v>
      </c>
      <c r="Z24" s="3342"/>
      <c r="AA24" s="3342"/>
      <c r="AB24" s="3341"/>
      <c r="AC24" s="3341"/>
      <c r="AD24" s="3349">
        <f t="shared" si="27"/>
        <v>0</v>
      </c>
      <c r="AE24" s="4428" t="e">
        <f t="shared" si="43"/>
        <v>#DIV/0!</v>
      </c>
      <c r="AF24" s="3342"/>
      <c r="AG24" s="3341"/>
      <c r="AH24" s="3341"/>
      <c r="AI24" s="3349">
        <f t="shared" si="28"/>
        <v>0</v>
      </c>
      <c r="AJ24" s="4428" t="e">
        <f t="shared" si="44"/>
        <v>#DIV/0!</v>
      </c>
      <c r="AK24" s="3342"/>
      <c r="AL24" s="3341"/>
      <c r="AM24" s="3341"/>
      <c r="AN24" s="3349">
        <f t="shared" si="29"/>
        <v>0</v>
      </c>
      <c r="AO24" s="4428" t="e">
        <f t="shared" si="45"/>
        <v>#DIV/0!</v>
      </c>
      <c r="AP24" s="3342"/>
      <c r="AQ24" s="3341"/>
      <c r="AR24" s="3341"/>
      <c r="AS24" s="3349">
        <f t="shared" si="30"/>
        <v>0</v>
      </c>
      <c r="AT24" s="4428" t="e">
        <f t="shared" si="46"/>
        <v>#DIV/0!</v>
      </c>
      <c r="AU24" s="3342"/>
      <c r="AV24" s="3341"/>
      <c r="AW24" s="3341"/>
      <c r="AX24" s="3349">
        <f t="shared" si="31"/>
        <v>0</v>
      </c>
      <c r="AY24" s="4428">
        <f t="shared" si="47"/>
        <v>0</v>
      </c>
      <c r="AZ24" s="3342"/>
      <c r="BA24" s="3341"/>
      <c r="BB24" s="3341"/>
      <c r="BC24" s="3349">
        <f t="shared" si="32"/>
        <v>0</v>
      </c>
      <c r="BD24" s="4428">
        <f t="shared" si="48"/>
        <v>0</v>
      </c>
      <c r="BE24" s="3342"/>
      <c r="BF24" s="3341"/>
      <c r="BG24" s="3341"/>
      <c r="BH24" s="3349">
        <f t="shared" si="33"/>
        <v>0</v>
      </c>
      <c r="BI24" s="4428" t="e">
        <f t="shared" si="49"/>
        <v>#DIV/0!</v>
      </c>
      <c r="BJ24" s="3342"/>
      <c r="BK24" s="3341"/>
      <c r="BL24" s="3341"/>
      <c r="BM24" s="3349">
        <f t="shared" si="34"/>
        <v>0</v>
      </c>
      <c r="BN24" s="4428" t="e">
        <f t="shared" si="50"/>
        <v>#DIV/0!</v>
      </c>
      <c r="BO24" s="3342"/>
      <c r="BP24" s="3341"/>
      <c r="BQ24" s="3341"/>
      <c r="BR24" s="3349">
        <f t="shared" si="35"/>
        <v>0</v>
      </c>
      <c r="BS24" s="4428" t="e">
        <f t="shared" si="51"/>
        <v>#DIV/0!</v>
      </c>
      <c r="BT24" s="3342"/>
      <c r="BU24" s="3341"/>
      <c r="BV24" s="3341"/>
      <c r="BW24" s="3349">
        <f t="shared" si="36"/>
        <v>0</v>
      </c>
      <c r="BX24" s="4428" t="e">
        <f t="shared" si="52"/>
        <v>#DIV/0!</v>
      </c>
      <c r="BY24" s="3342"/>
      <c r="BZ24" s="3341"/>
      <c r="CA24" s="3341"/>
      <c r="CB24" s="3349">
        <f t="shared" si="37"/>
        <v>0</v>
      </c>
      <c r="CC24" s="4428" t="e">
        <f t="shared" si="53"/>
        <v>#DIV/0!</v>
      </c>
      <c r="CD24" s="3342"/>
      <c r="CE24" s="3341"/>
      <c r="CF24" s="3341"/>
      <c r="CG24" s="3349">
        <f t="shared" si="38"/>
        <v>0</v>
      </c>
      <c r="CH24" s="4428" t="e">
        <f t="shared" si="54"/>
        <v>#DIV/0!</v>
      </c>
      <c r="CI24" s="3342"/>
      <c r="CJ24" s="3341">
        <f t="shared" si="39"/>
        <v>0</v>
      </c>
      <c r="CK24" s="3341">
        <f t="shared" si="39"/>
        <v>0</v>
      </c>
      <c r="CL24" s="3349">
        <f t="shared" si="55"/>
        <v>0</v>
      </c>
      <c r="CM24" s="4428">
        <f t="shared" si="40"/>
        <v>0</v>
      </c>
      <c r="CN24" s="1434"/>
      <c r="CP24" s="4615"/>
      <c r="CQ24" s="2012">
        <f t="shared" si="41"/>
        <v>0</v>
      </c>
      <c r="CR24" s="4614">
        <f t="shared" si="56"/>
        <v>0</v>
      </c>
      <c r="CT24" s="2624"/>
    </row>
    <row r="25" spans="1:100" s="1396" customFormat="1" ht="27.6" outlineLevel="2">
      <c r="A25" s="1571"/>
      <c r="B25" s="4430" t="s">
        <v>24</v>
      </c>
      <c r="C25" s="3341"/>
      <c r="D25" s="3341"/>
      <c r="E25" s="3349">
        <f t="shared" si="19"/>
        <v>0</v>
      </c>
      <c r="F25" s="4428" t="e">
        <f t="shared" si="16"/>
        <v>#DIV/0!</v>
      </c>
      <c r="G25" s="3342"/>
      <c r="H25" s="3341"/>
      <c r="I25" s="3341"/>
      <c r="J25" s="3349">
        <f t="shared" si="20"/>
        <v>0</v>
      </c>
      <c r="K25" s="4428" t="e">
        <f t="shared" si="42"/>
        <v>#DIV/0!</v>
      </c>
      <c r="L25" s="3342"/>
      <c r="M25" s="3341"/>
      <c r="N25" s="3341"/>
      <c r="O25" s="3349">
        <f t="shared" si="21"/>
        <v>0</v>
      </c>
      <c r="P25" s="4428" t="e">
        <f t="shared" si="22"/>
        <v>#DIV/0!</v>
      </c>
      <c r="Q25" s="3342"/>
      <c r="R25" s="3342">
        <f t="shared" si="23"/>
        <v>0</v>
      </c>
      <c r="S25" s="3342">
        <f t="shared" si="23"/>
        <v>0</v>
      </c>
      <c r="T25" s="2012">
        <f t="shared" si="24"/>
        <v>0</v>
      </c>
      <c r="U25" s="3342"/>
      <c r="V25" s="3342"/>
      <c r="W25" s="3342">
        <f t="shared" si="25"/>
        <v>52495.364000000009</v>
      </c>
      <c r="X25" s="3342">
        <f t="shared" si="25"/>
        <v>0</v>
      </c>
      <c r="Y25" s="2012">
        <f t="shared" si="26"/>
        <v>52495.364000000009</v>
      </c>
      <c r="Z25" s="3342"/>
      <c r="AA25" s="3342"/>
      <c r="AB25" s="3341"/>
      <c r="AC25" s="3341"/>
      <c r="AD25" s="3349">
        <f t="shared" si="27"/>
        <v>0</v>
      </c>
      <c r="AE25" s="4428" t="e">
        <f t="shared" si="43"/>
        <v>#DIV/0!</v>
      </c>
      <c r="AF25" s="3342"/>
      <c r="AG25" s="3341"/>
      <c r="AH25" s="3341"/>
      <c r="AI25" s="3349">
        <f t="shared" si="28"/>
        <v>0</v>
      </c>
      <c r="AJ25" s="4428" t="e">
        <f t="shared" si="44"/>
        <v>#DIV/0!</v>
      </c>
      <c r="AK25" s="3342"/>
      <c r="AL25" s="3341"/>
      <c r="AM25" s="3341"/>
      <c r="AN25" s="3349">
        <f t="shared" si="29"/>
        <v>0</v>
      </c>
      <c r="AO25" s="4428" t="e">
        <f t="shared" si="45"/>
        <v>#DIV/0!</v>
      </c>
      <c r="AP25" s="3342"/>
      <c r="AQ25" s="3341"/>
      <c r="AR25" s="3341"/>
      <c r="AS25" s="3349">
        <f t="shared" si="30"/>
        <v>0</v>
      </c>
      <c r="AT25" s="4428" t="e">
        <f t="shared" si="46"/>
        <v>#DIV/0!</v>
      </c>
      <c r="AU25" s="3342"/>
      <c r="AV25" s="3341">
        <v>1072.58</v>
      </c>
      <c r="AW25" s="3341"/>
      <c r="AX25" s="3349">
        <f t="shared" si="31"/>
        <v>1072.58</v>
      </c>
      <c r="AY25" s="4428">
        <f t="shared" si="47"/>
        <v>2.0319234098732878E-2</v>
      </c>
      <c r="AZ25" s="3342" t="s">
        <v>2122</v>
      </c>
      <c r="BA25" s="3341">
        <f>42031.66*1.2+820.66*1.2</f>
        <v>51422.784000000007</v>
      </c>
      <c r="BB25" s="3341"/>
      <c r="BC25" s="3349">
        <f t="shared" si="32"/>
        <v>51422.784000000007</v>
      </c>
      <c r="BD25" s="4428">
        <f t="shared" si="48"/>
        <v>0.80263300399598514</v>
      </c>
      <c r="BE25" s="3342" t="s">
        <v>2159</v>
      </c>
      <c r="BF25" s="3341"/>
      <c r="BG25" s="3341"/>
      <c r="BH25" s="3349">
        <f t="shared" si="33"/>
        <v>0</v>
      </c>
      <c r="BI25" s="4428" t="e">
        <f t="shared" si="49"/>
        <v>#DIV/0!</v>
      </c>
      <c r="BJ25" s="3342"/>
      <c r="BK25" s="3341"/>
      <c r="BL25" s="3341"/>
      <c r="BM25" s="3349">
        <f t="shared" si="34"/>
        <v>0</v>
      </c>
      <c r="BN25" s="4428" t="e">
        <f t="shared" si="50"/>
        <v>#DIV/0!</v>
      </c>
      <c r="BO25" s="3342"/>
      <c r="BP25" s="3341"/>
      <c r="BQ25" s="3341"/>
      <c r="BR25" s="3349">
        <f t="shared" si="35"/>
        <v>0</v>
      </c>
      <c r="BS25" s="4428" t="e">
        <f t="shared" si="51"/>
        <v>#DIV/0!</v>
      </c>
      <c r="BT25" s="3342"/>
      <c r="BU25" s="3341"/>
      <c r="BV25" s="3341"/>
      <c r="BW25" s="3349">
        <f t="shared" si="36"/>
        <v>0</v>
      </c>
      <c r="BX25" s="4428" t="e">
        <f t="shared" si="52"/>
        <v>#DIV/0!</v>
      </c>
      <c r="BY25" s="3342"/>
      <c r="BZ25" s="3341"/>
      <c r="CA25" s="3341"/>
      <c r="CB25" s="3349">
        <f t="shared" si="37"/>
        <v>0</v>
      </c>
      <c r="CC25" s="4428" t="e">
        <f t="shared" si="53"/>
        <v>#DIV/0!</v>
      </c>
      <c r="CD25" s="3342"/>
      <c r="CE25" s="3341"/>
      <c r="CF25" s="3341"/>
      <c r="CG25" s="3349">
        <f t="shared" si="38"/>
        <v>0</v>
      </c>
      <c r="CH25" s="4428" t="e">
        <f t="shared" si="54"/>
        <v>#DIV/0!</v>
      </c>
      <c r="CI25" s="3342"/>
      <c r="CJ25" s="3341">
        <f t="shared" si="39"/>
        <v>52495.364000000009</v>
      </c>
      <c r="CK25" s="3341">
        <f t="shared" si="39"/>
        <v>0</v>
      </c>
      <c r="CL25" s="3349">
        <f t="shared" si="55"/>
        <v>52495.364000000009</v>
      </c>
      <c r="CM25" s="4428">
        <f t="shared" si="40"/>
        <v>0.44923869984189463</v>
      </c>
      <c r="CN25" s="1434"/>
      <c r="CP25" s="4615">
        <v>18523.34</v>
      </c>
      <c r="CQ25" s="2012">
        <f>CL25</f>
        <v>52495.364000000009</v>
      </c>
      <c r="CR25" s="4614">
        <f t="shared" si="56"/>
        <v>-33972.024000000005</v>
      </c>
      <c r="CS25" s="3307"/>
      <c r="CT25" s="4616">
        <f>CR25/CP25</f>
        <v>-1.8340117926896555</v>
      </c>
      <c r="CU25" s="3778" t="s">
        <v>2160</v>
      </c>
    </row>
    <row r="26" spans="1:100" s="1396" customFormat="1" ht="13.8" outlineLevel="2">
      <c r="A26" s="1571"/>
      <c r="B26" s="4430" t="s">
        <v>45</v>
      </c>
      <c r="C26" s="3341"/>
      <c r="D26" s="3341"/>
      <c r="E26" s="3349">
        <f t="shared" si="19"/>
        <v>0</v>
      </c>
      <c r="F26" s="4428" t="e">
        <f t="shared" si="16"/>
        <v>#DIV/0!</v>
      </c>
      <c r="G26" s="3342"/>
      <c r="H26" s="3341"/>
      <c r="I26" s="3341"/>
      <c r="J26" s="3349">
        <f t="shared" si="20"/>
        <v>0</v>
      </c>
      <c r="K26" s="4428" t="e">
        <f t="shared" si="42"/>
        <v>#DIV/0!</v>
      </c>
      <c r="L26" s="3342"/>
      <c r="M26" s="3341"/>
      <c r="N26" s="3341"/>
      <c r="O26" s="3349">
        <f t="shared" si="21"/>
        <v>0</v>
      </c>
      <c r="P26" s="4428" t="e">
        <f t="shared" si="22"/>
        <v>#DIV/0!</v>
      </c>
      <c r="Q26" s="3342"/>
      <c r="R26" s="3342">
        <f t="shared" si="23"/>
        <v>0</v>
      </c>
      <c r="S26" s="3342">
        <f t="shared" si="23"/>
        <v>0</v>
      </c>
      <c r="T26" s="2012">
        <f t="shared" si="24"/>
        <v>0</v>
      </c>
      <c r="U26" s="3342"/>
      <c r="V26" s="3342"/>
      <c r="W26" s="3342">
        <f t="shared" si="25"/>
        <v>0</v>
      </c>
      <c r="X26" s="3342">
        <f t="shared" si="25"/>
        <v>0</v>
      </c>
      <c r="Y26" s="2012">
        <f t="shared" si="26"/>
        <v>0</v>
      </c>
      <c r="Z26" s="3342"/>
      <c r="AA26" s="3342"/>
      <c r="AB26" s="3341"/>
      <c r="AC26" s="3341"/>
      <c r="AD26" s="3349">
        <f t="shared" si="27"/>
        <v>0</v>
      </c>
      <c r="AE26" s="4428" t="e">
        <f t="shared" si="43"/>
        <v>#DIV/0!</v>
      </c>
      <c r="AF26" s="3342"/>
      <c r="AG26" s="3341"/>
      <c r="AH26" s="3341"/>
      <c r="AI26" s="3349">
        <f t="shared" si="28"/>
        <v>0</v>
      </c>
      <c r="AJ26" s="4428" t="e">
        <f t="shared" si="44"/>
        <v>#DIV/0!</v>
      </c>
      <c r="AK26" s="3342"/>
      <c r="AL26" s="3341"/>
      <c r="AM26" s="3341"/>
      <c r="AN26" s="3349">
        <f t="shared" si="29"/>
        <v>0</v>
      </c>
      <c r="AO26" s="4428" t="e">
        <f t="shared" si="45"/>
        <v>#DIV/0!</v>
      </c>
      <c r="AP26" s="3342"/>
      <c r="AQ26" s="3341"/>
      <c r="AR26" s="3341"/>
      <c r="AS26" s="3349">
        <f t="shared" si="30"/>
        <v>0</v>
      </c>
      <c r="AT26" s="4428" t="e">
        <f t="shared" si="46"/>
        <v>#DIV/0!</v>
      </c>
      <c r="AU26" s="3342"/>
      <c r="AV26" s="3341"/>
      <c r="AW26" s="3341"/>
      <c r="AX26" s="3349">
        <f t="shared" si="31"/>
        <v>0</v>
      </c>
      <c r="AY26" s="4428">
        <f t="shared" si="47"/>
        <v>0</v>
      </c>
      <c r="AZ26" s="3342"/>
      <c r="BA26" s="3341"/>
      <c r="BB26" s="3341"/>
      <c r="BC26" s="3349">
        <f t="shared" si="32"/>
        <v>0</v>
      </c>
      <c r="BD26" s="4428">
        <f t="shared" si="48"/>
        <v>0</v>
      </c>
      <c r="BE26" s="3342"/>
      <c r="BF26" s="3341"/>
      <c r="BG26" s="3341"/>
      <c r="BH26" s="3349">
        <f t="shared" si="33"/>
        <v>0</v>
      </c>
      <c r="BI26" s="4428" t="e">
        <f t="shared" si="49"/>
        <v>#DIV/0!</v>
      </c>
      <c r="BJ26" s="3342"/>
      <c r="BK26" s="3341"/>
      <c r="BL26" s="3341"/>
      <c r="BM26" s="3349">
        <f t="shared" si="34"/>
        <v>0</v>
      </c>
      <c r="BN26" s="4428" t="e">
        <f t="shared" si="50"/>
        <v>#DIV/0!</v>
      </c>
      <c r="BO26" s="3342"/>
      <c r="BP26" s="3341"/>
      <c r="BQ26" s="3341"/>
      <c r="BR26" s="3349">
        <f t="shared" si="35"/>
        <v>0</v>
      </c>
      <c r="BS26" s="4428" t="e">
        <f t="shared" si="51"/>
        <v>#DIV/0!</v>
      </c>
      <c r="BT26" s="3342"/>
      <c r="BU26" s="3341"/>
      <c r="BV26" s="3341"/>
      <c r="BW26" s="3349">
        <f t="shared" si="36"/>
        <v>0</v>
      </c>
      <c r="BX26" s="4428" t="e">
        <f t="shared" si="52"/>
        <v>#DIV/0!</v>
      </c>
      <c r="BY26" s="3342"/>
      <c r="BZ26" s="3341"/>
      <c r="CA26" s="3341"/>
      <c r="CB26" s="3349">
        <f t="shared" si="37"/>
        <v>0</v>
      </c>
      <c r="CC26" s="4428" t="e">
        <f t="shared" si="53"/>
        <v>#DIV/0!</v>
      </c>
      <c r="CD26" s="3342"/>
      <c r="CE26" s="3341"/>
      <c r="CF26" s="3341"/>
      <c r="CG26" s="3349">
        <f t="shared" si="38"/>
        <v>0</v>
      </c>
      <c r="CH26" s="4428" t="e">
        <f t="shared" si="54"/>
        <v>#DIV/0!</v>
      </c>
      <c r="CI26" s="3342"/>
      <c r="CJ26" s="3341">
        <f t="shared" si="39"/>
        <v>0</v>
      </c>
      <c r="CK26" s="3341">
        <f t="shared" si="39"/>
        <v>0</v>
      </c>
      <c r="CL26" s="3349">
        <f t="shared" si="55"/>
        <v>0</v>
      </c>
      <c r="CM26" s="4428">
        <f t="shared" si="40"/>
        <v>0</v>
      </c>
      <c r="CN26" s="1434"/>
      <c r="CP26" s="4615"/>
      <c r="CQ26" s="2012"/>
      <c r="CR26" s="4614">
        <f t="shared" si="56"/>
        <v>0</v>
      </c>
    </row>
    <row r="27" spans="1:100" s="1396" customFormat="1" ht="13.8" outlineLevel="2">
      <c r="A27" s="1571"/>
      <c r="B27" s="4430" t="s">
        <v>25</v>
      </c>
      <c r="C27" s="3341"/>
      <c r="D27" s="3341"/>
      <c r="E27" s="3349">
        <f t="shared" si="19"/>
        <v>0</v>
      </c>
      <c r="F27" s="4428" t="e">
        <f t="shared" si="16"/>
        <v>#DIV/0!</v>
      </c>
      <c r="G27" s="3342"/>
      <c r="H27" s="3341"/>
      <c r="I27" s="3341"/>
      <c r="J27" s="3349">
        <f t="shared" si="20"/>
        <v>0</v>
      </c>
      <c r="K27" s="4428" t="e">
        <f t="shared" si="42"/>
        <v>#DIV/0!</v>
      </c>
      <c r="L27" s="3342"/>
      <c r="M27" s="3341"/>
      <c r="N27" s="3341"/>
      <c r="O27" s="3349">
        <f t="shared" si="21"/>
        <v>0</v>
      </c>
      <c r="P27" s="4428" t="e">
        <f t="shared" si="22"/>
        <v>#DIV/0!</v>
      </c>
      <c r="Q27" s="3342"/>
      <c r="R27" s="3342">
        <f t="shared" si="23"/>
        <v>0</v>
      </c>
      <c r="S27" s="3342">
        <f t="shared" si="23"/>
        <v>0</v>
      </c>
      <c r="T27" s="2012">
        <f t="shared" si="24"/>
        <v>0</v>
      </c>
      <c r="U27" s="3342"/>
      <c r="V27" s="3342"/>
      <c r="W27" s="3342">
        <f t="shared" si="25"/>
        <v>0</v>
      </c>
      <c r="X27" s="3342">
        <f t="shared" si="25"/>
        <v>0</v>
      </c>
      <c r="Y27" s="2012">
        <f t="shared" si="26"/>
        <v>0</v>
      </c>
      <c r="Z27" s="3342"/>
      <c r="AA27" s="3342"/>
      <c r="AB27" s="3341"/>
      <c r="AC27" s="3341"/>
      <c r="AD27" s="3349">
        <f t="shared" si="27"/>
        <v>0</v>
      </c>
      <c r="AE27" s="4428" t="e">
        <f t="shared" si="43"/>
        <v>#DIV/0!</v>
      </c>
      <c r="AF27" s="3342"/>
      <c r="AG27" s="3341"/>
      <c r="AH27" s="3341"/>
      <c r="AI27" s="3349">
        <f t="shared" si="28"/>
        <v>0</v>
      </c>
      <c r="AJ27" s="4428" t="e">
        <f t="shared" si="44"/>
        <v>#DIV/0!</v>
      </c>
      <c r="AK27" s="3342"/>
      <c r="AL27" s="3341"/>
      <c r="AM27" s="3341"/>
      <c r="AN27" s="3349">
        <f t="shared" si="29"/>
        <v>0</v>
      </c>
      <c r="AO27" s="4428" t="e">
        <f t="shared" si="45"/>
        <v>#DIV/0!</v>
      </c>
      <c r="AP27" s="3342"/>
      <c r="AQ27" s="3341"/>
      <c r="AR27" s="3341"/>
      <c r="AS27" s="3349">
        <f t="shared" si="30"/>
        <v>0</v>
      </c>
      <c r="AT27" s="4428" t="e">
        <f t="shared" si="46"/>
        <v>#DIV/0!</v>
      </c>
      <c r="AU27" s="3342"/>
      <c r="AV27" s="3341"/>
      <c r="AW27" s="3341"/>
      <c r="AX27" s="3349">
        <f t="shared" si="31"/>
        <v>0</v>
      </c>
      <c r="AY27" s="4428">
        <f t="shared" si="47"/>
        <v>0</v>
      </c>
      <c r="AZ27" s="3342"/>
      <c r="BA27" s="3341"/>
      <c r="BB27" s="3341"/>
      <c r="BC27" s="3349">
        <f t="shared" si="32"/>
        <v>0</v>
      </c>
      <c r="BD27" s="4428">
        <f t="shared" si="48"/>
        <v>0</v>
      </c>
      <c r="BE27" s="3342"/>
      <c r="BF27" s="3341"/>
      <c r="BG27" s="3341"/>
      <c r="BH27" s="3349">
        <f t="shared" si="33"/>
        <v>0</v>
      </c>
      <c r="BI27" s="4428" t="e">
        <f t="shared" si="49"/>
        <v>#DIV/0!</v>
      </c>
      <c r="BJ27" s="3342"/>
      <c r="BK27" s="3341"/>
      <c r="BL27" s="3341"/>
      <c r="BM27" s="3349">
        <f t="shared" si="34"/>
        <v>0</v>
      </c>
      <c r="BN27" s="4428" t="e">
        <f t="shared" si="50"/>
        <v>#DIV/0!</v>
      </c>
      <c r="BO27" s="3342"/>
      <c r="BP27" s="3341"/>
      <c r="BQ27" s="3341"/>
      <c r="BR27" s="3349">
        <f t="shared" si="35"/>
        <v>0</v>
      </c>
      <c r="BS27" s="4428" t="e">
        <f t="shared" si="51"/>
        <v>#DIV/0!</v>
      </c>
      <c r="BT27" s="3342"/>
      <c r="BU27" s="3341"/>
      <c r="BV27" s="3341"/>
      <c r="BW27" s="3349">
        <f t="shared" si="36"/>
        <v>0</v>
      </c>
      <c r="BX27" s="4428" t="e">
        <f t="shared" si="52"/>
        <v>#DIV/0!</v>
      </c>
      <c r="BY27" s="3342"/>
      <c r="BZ27" s="3341"/>
      <c r="CA27" s="3341"/>
      <c r="CB27" s="3349">
        <f t="shared" si="37"/>
        <v>0</v>
      </c>
      <c r="CC27" s="4428" t="e">
        <f t="shared" si="53"/>
        <v>#DIV/0!</v>
      </c>
      <c r="CD27" s="3342"/>
      <c r="CE27" s="3341"/>
      <c r="CF27" s="3341"/>
      <c r="CG27" s="3349">
        <f t="shared" si="38"/>
        <v>0</v>
      </c>
      <c r="CH27" s="4428" t="e">
        <f t="shared" si="54"/>
        <v>#DIV/0!</v>
      </c>
      <c r="CI27" s="3342"/>
      <c r="CJ27" s="3341">
        <f t="shared" si="39"/>
        <v>0</v>
      </c>
      <c r="CK27" s="3341">
        <f t="shared" si="39"/>
        <v>0</v>
      </c>
      <c r="CL27" s="3349">
        <f t="shared" si="55"/>
        <v>0</v>
      </c>
      <c r="CM27" s="4428">
        <f t="shared" si="40"/>
        <v>0</v>
      </c>
      <c r="CN27" s="1434"/>
      <c r="CP27" s="4615"/>
      <c r="CQ27" s="2012">
        <f t="shared" si="41"/>
        <v>0</v>
      </c>
      <c r="CR27" s="4614">
        <f t="shared" si="56"/>
        <v>0</v>
      </c>
    </row>
    <row r="28" spans="1:100" s="1396" customFormat="1" ht="13.8" outlineLevel="2">
      <c r="A28" s="1571"/>
      <c r="B28" s="4430" t="s">
        <v>52</v>
      </c>
      <c r="C28" s="3341"/>
      <c r="D28" s="3341"/>
      <c r="E28" s="3349">
        <f t="shared" si="19"/>
        <v>0</v>
      </c>
      <c r="F28" s="4428" t="e">
        <f t="shared" si="16"/>
        <v>#DIV/0!</v>
      </c>
      <c r="G28" s="3342"/>
      <c r="H28" s="3341"/>
      <c r="I28" s="3341"/>
      <c r="J28" s="3349">
        <f t="shared" si="20"/>
        <v>0</v>
      </c>
      <c r="K28" s="4428" t="e">
        <f t="shared" si="42"/>
        <v>#DIV/0!</v>
      </c>
      <c r="L28" s="3342"/>
      <c r="M28" s="3341"/>
      <c r="N28" s="3341"/>
      <c r="O28" s="3349">
        <f t="shared" si="21"/>
        <v>0</v>
      </c>
      <c r="P28" s="4428" t="e">
        <f t="shared" si="22"/>
        <v>#DIV/0!</v>
      </c>
      <c r="Q28" s="3409"/>
      <c r="R28" s="3342">
        <f t="shared" si="23"/>
        <v>0</v>
      </c>
      <c r="S28" s="3342">
        <f t="shared" si="23"/>
        <v>0</v>
      </c>
      <c r="T28" s="2012">
        <f t="shared" si="24"/>
        <v>0</v>
      </c>
      <c r="U28" s="3409"/>
      <c r="V28" s="3409"/>
      <c r="W28" s="3342">
        <f t="shared" si="25"/>
        <v>0</v>
      </c>
      <c r="X28" s="3342">
        <f t="shared" si="25"/>
        <v>0</v>
      </c>
      <c r="Y28" s="2012">
        <f t="shared" si="26"/>
        <v>0</v>
      </c>
      <c r="Z28" s="3409"/>
      <c r="AA28" s="3409"/>
      <c r="AB28" s="3341"/>
      <c r="AC28" s="3341"/>
      <c r="AD28" s="3349">
        <f t="shared" si="27"/>
        <v>0</v>
      </c>
      <c r="AE28" s="4428" t="e">
        <f t="shared" si="43"/>
        <v>#DIV/0!</v>
      </c>
      <c r="AF28" s="3409"/>
      <c r="AG28" s="3341"/>
      <c r="AH28" s="3341"/>
      <c r="AI28" s="3349">
        <f t="shared" si="28"/>
        <v>0</v>
      </c>
      <c r="AJ28" s="4428" t="e">
        <f t="shared" si="44"/>
        <v>#DIV/0!</v>
      </c>
      <c r="AK28" s="3409"/>
      <c r="AL28" s="3341"/>
      <c r="AM28" s="3341"/>
      <c r="AN28" s="3349">
        <f t="shared" si="29"/>
        <v>0</v>
      </c>
      <c r="AO28" s="4428" t="e">
        <f t="shared" si="45"/>
        <v>#DIV/0!</v>
      </c>
      <c r="AP28" s="3409"/>
      <c r="AQ28" s="3341"/>
      <c r="AR28" s="3341"/>
      <c r="AS28" s="3349">
        <f t="shared" si="30"/>
        <v>0</v>
      </c>
      <c r="AT28" s="4428" t="e">
        <f t="shared" si="46"/>
        <v>#DIV/0!</v>
      </c>
      <c r="AU28" s="3409"/>
      <c r="AV28" s="3341"/>
      <c r="AW28" s="3341"/>
      <c r="AX28" s="3349">
        <f t="shared" si="31"/>
        <v>0</v>
      </c>
      <c r="AY28" s="4428">
        <f t="shared" si="47"/>
        <v>0</v>
      </c>
      <c r="AZ28" s="3409"/>
      <c r="BA28" s="3341"/>
      <c r="BB28" s="3341"/>
      <c r="BC28" s="3349">
        <f t="shared" si="32"/>
        <v>0</v>
      </c>
      <c r="BD28" s="4428">
        <f t="shared" si="48"/>
        <v>0</v>
      </c>
      <c r="BE28" s="3409"/>
      <c r="BF28" s="3341"/>
      <c r="BG28" s="3341"/>
      <c r="BH28" s="3349">
        <f t="shared" si="33"/>
        <v>0</v>
      </c>
      <c r="BI28" s="4428" t="e">
        <f t="shared" si="49"/>
        <v>#DIV/0!</v>
      </c>
      <c r="BJ28" s="3409"/>
      <c r="BK28" s="3341"/>
      <c r="BL28" s="3341"/>
      <c r="BM28" s="3349">
        <f t="shared" si="34"/>
        <v>0</v>
      </c>
      <c r="BN28" s="4428" t="e">
        <f t="shared" si="50"/>
        <v>#DIV/0!</v>
      </c>
      <c r="BO28" s="3409"/>
      <c r="BP28" s="3341"/>
      <c r="BQ28" s="3341"/>
      <c r="BR28" s="3349">
        <f t="shared" si="35"/>
        <v>0</v>
      </c>
      <c r="BS28" s="4428" t="e">
        <f t="shared" si="51"/>
        <v>#DIV/0!</v>
      </c>
      <c r="BT28" s="3409"/>
      <c r="BU28" s="3341"/>
      <c r="BV28" s="3341"/>
      <c r="BW28" s="3349">
        <f t="shared" si="36"/>
        <v>0</v>
      </c>
      <c r="BX28" s="4428" t="e">
        <f t="shared" si="52"/>
        <v>#DIV/0!</v>
      </c>
      <c r="BY28" s="3409"/>
      <c r="BZ28" s="3341"/>
      <c r="CA28" s="3341"/>
      <c r="CB28" s="3349">
        <f t="shared" si="37"/>
        <v>0</v>
      </c>
      <c r="CC28" s="4428" t="e">
        <f t="shared" si="53"/>
        <v>#DIV/0!</v>
      </c>
      <c r="CD28" s="3409"/>
      <c r="CE28" s="3341"/>
      <c r="CF28" s="3341"/>
      <c r="CG28" s="3349">
        <f t="shared" si="38"/>
        <v>0</v>
      </c>
      <c r="CH28" s="4428" t="e">
        <f t="shared" si="54"/>
        <v>#DIV/0!</v>
      </c>
      <c r="CI28" s="3409"/>
      <c r="CJ28" s="3341">
        <f t="shared" si="39"/>
        <v>0</v>
      </c>
      <c r="CK28" s="3341">
        <f t="shared" si="39"/>
        <v>0</v>
      </c>
      <c r="CL28" s="3349">
        <f t="shared" si="55"/>
        <v>0</v>
      </c>
      <c r="CM28" s="4428">
        <f t="shared" si="40"/>
        <v>0</v>
      </c>
      <c r="CN28" s="1434"/>
      <c r="CP28" s="4615"/>
      <c r="CQ28" s="2012">
        <f t="shared" si="41"/>
        <v>0</v>
      </c>
      <c r="CR28" s="4614">
        <f t="shared" si="56"/>
        <v>0</v>
      </c>
    </row>
    <row r="29" spans="1:100" s="1396" customFormat="1" ht="13.8" outlineLevel="2">
      <c r="A29" s="1571"/>
      <c r="B29" s="4430" t="s">
        <v>31</v>
      </c>
      <c r="C29" s="3341"/>
      <c r="D29" s="3341"/>
      <c r="E29" s="3349">
        <f t="shared" si="19"/>
        <v>0</v>
      </c>
      <c r="F29" s="4428" t="e">
        <f t="shared" si="16"/>
        <v>#DIV/0!</v>
      </c>
      <c r="G29" s="3342"/>
      <c r="H29" s="3341"/>
      <c r="I29" s="3341"/>
      <c r="J29" s="3349">
        <f t="shared" si="20"/>
        <v>0</v>
      </c>
      <c r="K29" s="4428" t="e">
        <f t="shared" si="42"/>
        <v>#DIV/0!</v>
      </c>
      <c r="L29" s="3342"/>
      <c r="M29" s="3341"/>
      <c r="N29" s="3341"/>
      <c r="O29" s="3349">
        <f t="shared" si="21"/>
        <v>0</v>
      </c>
      <c r="P29" s="4428" t="e">
        <f t="shared" si="22"/>
        <v>#DIV/0!</v>
      </c>
      <c r="Q29" s="3342"/>
      <c r="R29" s="3342">
        <f t="shared" si="23"/>
        <v>0</v>
      </c>
      <c r="S29" s="3342">
        <f t="shared" si="23"/>
        <v>0</v>
      </c>
      <c r="T29" s="2012">
        <f t="shared" si="24"/>
        <v>0</v>
      </c>
      <c r="U29" s="3342"/>
      <c r="V29" s="3342"/>
      <c r="W29" s="3342">
        <f t="shared" si="25"/>
        <v>0</v>
      </c>
      <c r="X29" s="3342">
        <f t="shared" si="25"/>
        <v>0</v>
      </c>
      <c r="Y29" s="2012">
        <f t="shared" si="26"/>
        <v>0</v>
      </c>
      <c r="Z29" s="3342"/>
      <c r="AA29" s="3342"/>
      <c r="AB29" s="3341"/>
      <c r="AC29" s="3341"/>
      <c r="AD29" s="3349">
        <f t="shared" si="27"/>
        <v>0</v>
      </c>
      <c r="AE29" s="4428" t="e">
        <f t="shared" si="43"/>
        <v>#DIV/0!</v>
      </c>
      <c r="AF29" s="3342"/>
      <c r="AG29" s="3341"/>
      <c r="AH29" s="3341"/>
      <c r="AI29" s="3349">
        <f t="shared" si="28"/>
        <v>0</v>
      </c>
      <c r="AJ29" s="4428" t="e">
        <f t="shared" si="44"/>
        <v>#DIV/0!</v>
      </c>
      <c r="AK29" s="3342"/>
      <c r="AL29" s="3341"/>
      <c r="AM29" s="3341"/>
      <c r="AN29" s="3349">
        <f t="shared" si="29"/>
        <v>0</v>
      </c>
      <c r="AO29" s="4428" t="e">
        <f t="shared" si="45"/>
        <v>#DIV/0!</v>
      </c>
      <c r="AP29" s="3342"/>
      <c r="AQ29" s="3341"/>
      <c r="AR29" s="3341"/>
      <c r="AS29" s="3349">
        <f t="shared" si="30"/>
        <v>0</v>
      </c>
      <c r="AT29" s="4428" t="e">
        <f t="shared" si="46"/>
        <v>#DIV/0!</v>
      </c>
      <c r="AU29" s="3342"/>
      <c r="AV29" s="3341"/>
      <c r="AW29" s="3341"/>
      <c r="AX29" s="3349">
        <f t="shared" si="31"/>
        <v>0</v>
      </c>
      <c r="AY29" s="4428">
        <f t="shared" si="47"/>
        <v>0</v>
      </c>
      <c r="AZ29" s="3342"/>
      <c r="BA29" s="3341"/>
      <c r="BB29" s="3341"/>
      <c r="BC29" s="3349">
        <f t="shared" si="32"/>
        <v>0</v>
      </c>
      <c r="BD29" s="4428">
        <f t="shared" si="48"/>
        <v>0</v>
      </c>
      <c r="BE29" s="3342"/>
      <c r="BF29" s="3341"/>
      <c r="BG29" s="3341"/>
      <c r="BH29" s="3349">
        <f t="shared" si="33"/>
        <v>0</v>
      </c>
      <c r="BI29" s="4428" t="e">
        <f t="shared" si="49"/>
        <v>#DIV/0!</v>
      </c>
      <c r="BJ29" s="3342"/>
      <c r="BK29" s="3341"/>
      <c r="BL29" s="3341"/>
      <c r="BM29" s="3349">
        <f t="shared" si="34"/>
        <v>0</v>
      </c>
      <c r="BN29" s="4428" t="e">
        <f t="shared" si="50"/>
        <v>#DIV/0!</v>
      </c>
      <c r="BO29" s="3342"/>
      <c r="BP29" s="3341"/>
      <c r="BQ29" s="3341"/>
      <c r="BR29" s="3349">
        <f t="shared" si="35"/>
        <v>0</v>
      </c>
      <c r="BS29" s="4428" t="e">
        <f t="shared" si="51"/>
        <v>#DIV/0!</v>
      </c>
      <c r="BT29" s="3342"/>
      <c r="BU29" s="3341"/>
      <c r="BV29" s="3341"/>
      <c r="BW29" s="3349">
        <f t="shared" si="36"/>
        <v>0</v>
      </c>
      <c r="BX29" s="4428" t="e">
        <f t="shared" si="52"/>
        <v>#DIV/0!</v>
      </c>
      <c r="BY29" s="3342"/>
      <c r="BZ29" s="3341"/>
      <c r="CA29" s="3341"/>
      <c r="CB29" s="3349">
        <f t="shared" si="37"/>
        <v>0</v>
      </c>
      <c r="CC29" s="4428" t="e">
        <f t="shared" si="53"/>
        <v>#DIV/0!</v>
      </c>
      <c r="CD29" s="3342"/>
      <c r="CE29" s="3341"/>
      <c r="CF29" s="3341"/>
      <c r="CG29" s="3349">
        <f t="shared" si="38"/>
        <v>0</v>
      </c>
      <c r="CH29" s="4428" t="e">
        <f t="shared" si="54"/>
        <v>#DIV/0!</v>
      </c>
      <c r="CI29" s="3342"/>
      <c r="CJ29" s="3341">
        <f t="shared" si="39"/>
        <v>0</v>
      </c>
      <c r="CK29" s="3341">
        <f t="shared" si="39"/>
        <v>0</v>
      </c>
      <c r="CL29" s="3349">
        <f t="shared" si="55"/>
        <v>0</v>
      </c>
      <c r="CM29" s="4428">
        <f t="shared" si="40"/>
        <v>0</v>
      </c>
      <c r="CN29" s="4432"/>
      <c r="CP29" s="4615"/>
      <c r="CQ29" s="2012">
        <f t="shared" si="41"/>
        <v>0</v>
      </c>
      <c r="CR29" s="4614">
        <f t="shared" si="56"/>
        <v>0</v>
      </c>
    </row>
    <row r="30" spans="1:100" s="1396" customFormat="1" ht="13.8" outlineLevel="2">
      <c r="A30" s="1571"/>
      <c r="B30" s="4430" t="s">
        <v>62</v>
      </c>
      <c r="C30" s="3341"/>
      <c r="D30" s="3341"/>
      <c r="E30" s="3349">
        <f t="shared" si="19"/>
        <v>0</v>
      </c>
      <c r="F30" s="4428" t="e">
        <f t="shared" si="16"/>
        <v>#DIV/0!</v>
      </c>
      <c r="G30" s="3343"/>
      <c r="H30" s="3341"/>
      <c r="I30" s="3341"/>
      <c r="J30" s="3349">
        <f t="shared" si="20"/>
        <v>0</v>
      </c>
      <c r="K30" s="4428" t="e">
        <f t="shared" si="42"/>
        <v>#DIV/0!</v>
      </c>
      <c r="L30" s="3343"/>
      <c r="M30" s="3341"/>
      <c r="N30" s="3341"/>
      <c r="O30" s="3349">
        <f t="shared" si="21"/>
        <v>0</v>
      </c>
      <c r="P30" s="4428" t="e">
        <f t="shared" si="22"/>
        <v>#DIV/0!</v>
      </c>
      <c r="Q30" s="3342"/>
      <c r="R30" s="3342">
        <f t="shared" si="23"/>
        <v>0</v>
      </c>
      <c r="S30" s="3342">
        <f t="shared" si="23"/>
        <v>0</v>
      </c>
      <c r="T30" s="2012">
        <f t="shared" si="24"/>
        <v>0</v>
      </c>
      <c r="U30" s="3342"/>
      <c r="V30" s="3342"/>
      <c r="W30" s="3342">
        <f t="shared" si="25"/>
        <v>0</v>
      </c>
      <c r="X30" s="3342">
        <f t="shared" si="25"/>
        <v>0</v>
      </c>
      <c r="Y30" s="2012">
        <f t="shared" si="26"/>
        <v>0</v>
      </c>
      <c r="Z30" s="3342"/>
      <c r="AA30" s="3342"/>
      <c r="AB30" s="3341"/>
      <c r="AC30" s="3341"/>
      <c r="AD30" s="3349">
        <f t="shared" si="27"/>
        <v>0</v>
      </c>
      <c r="AE30" s="4428" t="e">
        <f t="shared" si="43"/>
        <v>#DIV/0!</v>
      </c>
      <c r="AF30" s="3342"/>
      <c r="AG30" s="3341"/>
      <c r="AH30" s="3341"/>
      <c r="AI30" s="3349">
        <f t="shared" si="28"/>
        <v>0</v>
      </c>
      <c r="AJ30" s="4428" t="e">
        <f t="shared" si="44"/>
        <v>#DIV/0!</v>
      </c>
      <c r="AK30" s="3342"/>
      <c r="AL30" s="3341"/>
      <c r="AM30" s="3341"/>
      <c r="AN30" s="3349">
        <f t="shared" si="29"/>
        <v>0</v>
      </c>
      <c r="AO30" s="4428" t="e">
        <f t="shared" si="45"/>
        <v>#DIV/0!</v>
      </c>
      <c r="AP30" s="3342"/>
      <c r="AQ30" s="3341"/>
      <c r="AR30" s="3341"/>
      <c r="AS30" s="3349">
        <f t="shared" si="30"/>
        <v>0</v>
      </c>
      <c r="AT30" s="4428" t="e">
        <f t="shared" si="46"/>
        <v>#DIV/0!</v>
      </c>
      <c r="AU30" s="3342"/>
      <c r="AV30" s="3341"/>
      <c r="AW30" s="3341"/>
      <c r="AX30" s="3349">
        <f t="shared" si="31"/>
        <v>0</v>
      </c>
      <c r="AY30" s="4428">
        <f t="shared" si="47"/>
        <v>0</v>
      </c>
      <c r="AZ30" s="3342"/>
      <c r="BA30" s="3341"/>
      <c r="BB30" s="3341"/>
      <c r="BC30" s="3349">
        <f t="shared" si="32"/>
        <v>0</v>
      </c>
      <c r="BD30" s="4428">
        <f t="shared" si="48"/>
        <v>0</v>
      </c>
      <c r="BE30" s="3342"/>
      <c r="BF30" s="3341"/>
      <c r="BG30" s="3341"/>
      <c r="BH30" s="3349">
        <f t="shared" si="33"/>
        <v>0</v>
      </c>
      <c r="BI30" s="4428" t="e">
        <f t="shared" si="49"/>
        <v>#DIV/0!</v>
      </c>
      <c r="BJ30" s="3342"/>
      <c r="BK30" s="3341"/>
      <c r="BL30" s="3341"/>
      <c r="BM30" s="3349">
        <f t="shared" si="34"/>
        <v>0</v>
      </c>
      <c r="BN30" s="4428" t="e">
        <f t="shared" si="50"/>
        <v>#DIV/0!</v>
      </c>
      <c r="BO30" s="3342"/>
      <c r="BP30" s="3341"/>
      <c r="BQ30" s="3341"/>
      <c r="BR30" s="3349">
        <f t="shared" si="35"/>
        <v>0</v>
      </c>
      <c r="BS30" s="4428" t="e">
        <f t="shared" si="51"/>
        <v>#DIV/0!</v>
      </c>
      <c r="BT30" s="3342"/>
      <c r="BU30" s="3341"/>
      <c r="BV30" s="3341"/>
      <c r="BW30" s="3349">
        <f t="shared" si="36"/>
        <v>0</v>
      </c>
      <c r="BX30" s="4428" t="e">
        <f t="shared" si="52"/>
        <v>#DIV/0!</v>
      </c>
      <c r="BY30" s="3342"/>
      <c r="BZ30" s="3341"/>
      <c r="CA30" s="3341"/>
      <c r="CB30" s="3349">
        <f t="shared" si="37"/>
        <v>0</v>
      </c>
      <c r="CC30" s="4428" t="e">
        <f t="shared" si="53"/>
        <v>#DIV/0!</v>
      </c>
      <c r="CD30" s="3342"/>
      <c r="CE30" s="3341"/>
      <c r="CF30" s="3341"/>
      <c r="CG30" s="3349">
        <f t="shared" si="38"/>
        <v>0</v>
      </c>
      <c r="CH30" s="4428" t="e">
        <f t="shared" si="54"/>
        <v>#DIV/0!</v>
      </c>
      <c r="CI30" s="3342"/>
      <c r="CJ30" s="3341">
        <f t="shared" si="39"/>
        <v>0</v>
      </c>
      <c r="CK30" s="3341">
        <f t="shared" si="39"/>
        <v>0</v>
      </c>
      <c r="CL30" s="3349">
        <f t="shared" si="55"/>
        <v>0</v>
      </c>
      <c r="CM30" s="4428">
        <f t="shared" si="40"/>
        <v>0</v>
      </c>
      <c r="CN30" s="4432"/>
      <c r="CP30" s="4615"/>
      <c r="CQ30" s="2012">
        <f t="shared" si="41"/>
        <v>0</v>
      </c>
      <c r="CR30" s="4614">
        <f t="shared" si="56"/>
        <v>0</v>
      </c>
    </row>
    <row r="31" spans="1:100" s="1396" customFormat="1" ht="13.8" outlineLevel="2">
      <c r="A31" s="1571"/>
      <c r="B31" s="4430" t="s">
        <v>34</v>
      </c>
      <c r="C31" s="3341"/>
      <c r="D31" s="3341"/>
      <c r="E31" s="3349">
        <f t="shared" si="19"/>
        <v>0</v>
      </c>
      <c r="F31" s="4428" t="e">
        <f t="shared" si="16"/>
        <v>#DIV/0!</v>
      </c>
      <c r="G31" s="3343"/>
      <c r="H31" s="3341"/>
      <c r="I31" s="3341"/>
      <c r="J31" s="3349">
        <f t="shared" si="20"/>
        <v>0</v>
      </c>
      <c r="K31" s="4428" t="e">
        <f t="shared" si="42"/>
        <v>#DIV/0!</v>
      </c>
      <c r="L31" s="3343"/>
      <c r="M31" s="3341"/>
      <c r="N31" s="3341"/>
      <c r="O31" s="3349">
        <f t="shared" si="21"/>
        <v>0</v>
      </c>
      <c r="P31" s="4428" t="e">
        <f t="shared" si="22"/>
        <v>#DIV/0!</v>
      </c>
      <c r="Q31" s="3342"/>
      <c r="R31" s="3342">
        <f t="shared" si="23"/>
        <v>0</v>
      </c>
      <c r="S31" s="3342">
        <f t="shared" si="23"/>
        <v>0</v>
      </c>
      <c r="T31" s="2012">
        <f t="shared" si="24"/>
        <v>0</v>
      </c>
      <c r="U31" s="3342"/>
      <c r="V31" s="3342"/>
      <c r="W31" s="3342">
        <f t="shared" si="25"/>
        <v>0</v>
      </c>
      <c r="X31" s="3342">
        <f t="shared" si="25"/>
        <v>0</v>
      </c>
      <c r="Y31" s="2012">
        <f t="shared" si="26"/>
        <v>0</v>
      </c>
      <c r="Z31" s="3342"/>
      <c r="AA31" s="3342"/>
      <c r="AB31" s="3341"/>
      <c r="AC31" s="3341"/>
      <c r="AD31" s="3349">
        <f t="shared" si="27"/>
        <v>0</v>
      </c>
      <c r="AE31" s="4428" t="e">
        <f t="shared" si="43"/>
        <v>#DIV/0!</v>
      </c>
      <c r="AF31" s="3342"/>
      <c r="AG31" s="3341"/>
      <c r="AH31" s="3341"/>
      <c r="AI31" s="3349">
        <f t="shared" si="28"/>
        <v>0</v>
      </c>
      <c r="AJ31" s="4428" t="e">
        <f t="shared" si="44"/>
        <v>#DIV/0!</v>
      </c>
      <c r="AK31" s="3342"/>
      <c r="AL31" s="3341"/>
      <c r="AM31" s="3341"/>
      <c r="AN31" s="3349">
        <f t="shared" si="29"/>
        <v>0</v>
      </c>
      <c r="AO31" s="4428" t="e">
        <f t="shared" si="45"/>
        <v>#DIV/0!</v>
      </c>
      <c r="AP31" s="3342"/>
      <c r="AQ31" s="3341"/>
      <c r="AR31" s="3341"/>
      <c r="AS31" s="3349">
        <f t="shared" si="30"/>
        <v>0</v>
      </c>
      <c r="AT31" s="4428" t="e">
        <f t="shared" si="46"/>
        <v>#DIV/0!</v>
      </c>
      <c r="AU31" s="3342"/>
      <c r="AV31" s="3341"/>
      <c r="AW31" s="3341"/>
      <c r="AX31" s="3349">
        <f t="shared" si="31"/>
        <v>0</v>
      </c>
      <c r="AY31" s="4428">
        <f t="shared" si="47"/>
        <v>0</v>
      </c>
      <c r="AZ31" s="3342"/>
      <c r="BA31" s="3341"/>
      <c r="BB31" s="3341"/>
      <c r="BC31" s="3349">
        <f t="shared" si="32"/>
        <v>0</v>
      </c>
      <c r="BD31" s="4428">
        <f t="shared" si="48"/>
        <v>0</v>
      </c>
      <c r="BE31" s="3342"/>
      <c r="BF31" s="3341"/>
      <c r="BG31" s="3341"/>
      <c r="BH31" s="3349">
        <f t="shared" si="33"/>
        <v>0</v>
      </c>
      <c r="BI31" s="4428" t="e">
        <f t="shared" si="49"/>
        <v>#DIV/0!</v>
      </c>
      <c r="BJ31" s="3342"/>
      <c r="BK31" s="3341"/>
      <c r="BL31" s="3341"/>
      <c r="BM31" s="3349">
        <f t="shared" si="34"/>
        <v>0</v>
      </c>
      <c r="BN31" s="4428" t="e">
        <f t="shared" si="50"/>
        <v>#DIV/0!</v>
      </c>
      <c r="BO31" s="3342"/>
      <c r="BP31" s="3341"/>
      <c r="BQ31" s="3341"/>
      <c r="BR31" s="3349">
        <f t="shared" si="35"/>
        <v>0</v>
      </c>
      <c r="BS31" s="4428" t="e">
        <f t="shared" si="51"/>
        <v>#DIV/0!</v>
      </c>
      <c r="BT31" s="3342"/>
      <c r="BU31" s="3341"/>
      <c r="BV31" s="3341"/>
      <c r="BW31" s="3349">
        <f t="shared" si="36"/>
        <v>0</v>
      </c>
      <c r="BX31" s="4428" t="e">
        <f t="shared" si="52"/>
        <v>#DIV/0!</v>
      </c>
      <c r="BY31" s="3342"/>
      <c r="BZ31" s="3341"/>
      <c r="CA31" s="3341"/>
      <c r="CB31" s="3349">
        <f t="shared" si="37"/>
        <v>0</v>
      </c>
      <c r="CC31" s="4428" t="e">
        <f t="shared" si="53"/>
        <v>#DIV/0!</v>
      </c>
      <c r="CD31" s="3342"/>
      <c r="CE31" s="3341"/>
      <c r="CF31" s="3341"/>
      <c r="CG31" s="3349">
        <f t="shared" si="38"/>
        <v>0</v>
      </c>
      <c r="CH31" s="4428" t="e">
        <f t="shared" si="54"/>
        <v>#DIV/0!</v>
      </c>
      <c r="CI31" s="3342"/>
      <c r="CJ31" s="3341">
        <f t="shared" si="39"/>
        <v>0</v>
      </c>
      <c r="CK31" s="3341">
        <f t="shared" si="39"/>
        <v>0</v>
      </c>
      <c r="CL31" s="3349">
        <f t="shared" si="55"/>
        <v>0</v>
      </c>
      <c r="CM31" s="4428">
        <f t="shared" si="40"/>
        <v>0</v>
      </c>
      <c r="CN31" s="4432"/>
      <c r="CP31" s="4615"/>
      <c r="CQ31" s="2012">
        <f t="shared" si="41"/>
        <v>0</v>
      </c>
      <c r="CR31" s="4614">
        <f t="shared" si="56"/>
        <v>0</v>
      </c>
      <c r="CV31" s="933"/>
    </row>
    <row r="32" spans="1:100" s="1396" customFormat="1" ht="13.8" outlineLevel="2">
      <c r="A32" s="1571"/>
      <c r="B32" s="4433" t="s">
        <v>2</v>
      </c>
      <c r="C32" s="3341"/>
      <c r="D32" s="3341"/>
      <c r="E32" s="3349">
        <f t="shared" si="19"/>
        <v>0</v>
      </c>
      <c r="F32" s="4428" t="e">
        <f t="shared" si="16"/>
        <v>#DIV/0!</v>
      </c>
      <c r="G32" s="4434"/>
      <c r="H32" s="3341"/>
      <c r="I32" s="3341"/>
      <c r="J32" s="3349">
        <f t="shared" si="20"/>
        <v>0</v>
      </c>
      <c r="K32" s="4428" t="e">
        <f t="shared" si="42"/>
        <v>#DIV/0!</v>
      </c>
      <c r="L32" s="4434"/>
      <c r="M32" s="3341"/>
      <c r="N32" s="3341"/>
      <c r="O32" s="3349">
        <f t="shared" si="21"/>
        <v>0</v>
      </c>
      <c r="P32" s="4428" t="e">
        <f t="shared" si="22"/>
        <v>#DIV/0!</v>
      </c>
      <c r="Q32" s="4434"/>
      <c r="R32" s="3342">
        <f t="shared" si="23"/>
        <v>0</v>
      </c>
      <c r="S32" s="3342">
        <f t="shared" si="23"/>
        <v>0</v>
      </c>
      <c r="T32" s="2012">
        <f t="shared" si="24"/>
        <v>0</v>
      </c>
      <c r="U32" s="2048"/>
      <c r="V32" s="2048"/>
      <c r="W32" s="3342">
        <f t="shared" si="25"/>
        <v>0</v>
      </c>
      <c r="X32" s="3342">
        <f t="shared" si="25"/>
        <v>0</v>
      </c>
      <c r="Y32" s="2012">
        <f t="shared" si="26"/>
        <v>0</v>
      </c>
      <c r="Z32" s="2048"/>
      <c r="AA32" s="2048"/>
      <c r="AB32" s="3341"/>
      <c r="AC32" s="3341"/>
      <c r="AD32" s="3349">
        <f t="shared" si="27"/>
        <v>0</v>
      </c>
      <c r="AE32" s="4428" t="e">
        <f t="shared" si="43"/>
        <v>#DIV/0!</v>
      </c>
      <c r="AF32" s="4434"/>
      <c r="AG32" s="3341"/>
      <c r="AH32" s="3341"/>
      <c r="AI32" s="3349">
        <f t="shared" si="28"/>
        <v>0</v>
      </c>
      <c r="AJ32" s="4428" t="e">
        <f t="shared" si="44"/>
        <v>#DIV/0!</v>
      </c>
      <c r="AK32" s="4434"/>
      <c r="AL32" s="3341"/>
      <c r="AM32" s="3341"/>
      <c r="AN32" s="3349">
        <f t="shared" si="29"/>
        <v>0</v>
      </c>
      <c r="AO32" s="4428" t="e">
        <f t="shared" si="45"/>
        <v>#DIV/0!</v>
      </c>
      <c r="AP32" s="4434"/>
      <c r="AQ32" s="3341"/>
      <c r="AR32" s="3341"/>
      <c r="AS32" s="3349">
        <f t="shared" si="30"/>
        <v>0</v>
      </c>
      <c r="AT32" s="4428" t="e">
        <f t="shared" si="46"/>
        <v>#DIV/0!</v>
      </c>
      <c r="AU32" s="4434"/>
      <c r="AV32" s="3341"/>
      <c r="AW32" s="3341"/>
      <c r="AX32" s="3349">
        <f t="shared" si="31"/>
        <v>0</v>
      </c>
      <c r="AY32" s="4428">
        <f t="shared" si="47"/>
        <v>0</v>
      </c>
      <c r="AZ32" s="4434"/>
      <c r="BA32" s="3341"/>
      <c r="BB32" s="3341"/>
      <c r="BC32" s="3349">
        <f t="shared" si="32"/>
        <v>0</v>
      </c>
      <c r="BD32" s="4428">
        <f t="shared" si="48"/>
        <v>0</v>
      </c>
      <c r="BE32" s="4434"/>
      <c r="BF32" s="3341"/>
      <c r="BG32" s="3341"/>
      <c r="BH32" s="3349">
        <f t="shared" si="33"/>
        <v>0</v>
      </c>
      <c r="BI32" s="4428" t="e">
        <f t="shared" si="49"/>
        <v>#DIV/0!</v>
      </c>
      <c r="BJ32" s="4434"/>
      <c r="BK32" s="3341"/>
      <c r="BL32" s="3341"/>
      <c r="BM32" s="3349">
        <f t="shared" si="34"/>
        <v>0</v>
      </c>
      <c r="BN32" s="4428" t="e">
        <f t="shared" si="50"/>
        <v>#DIV/0!</v>
      </c>
      <c r="BO32" s="4434"/>
      <c r="BP32" s="3341"/>
      <c r="BQ32" s="3341"/>
      <c r="BR32" s="3349">
        <f t="shared" si="35"/>
        <v>0</v>
      </c>
      <c r="BS32" s="4428" t="e">
        <f t="shared" si="51"/>
        <v>#DIV/0!</v>
      </c>
      <c r="BT32" s="4434"/>
      <c r="BU32" s="3341"/>
      <c r="BV32" s="3341"/>
      <c r="BW32" s="3349">
        <f t="shared" si="36"/>
        <v>0</v>
      </c>
      <c r="BX32" s="4428" t="e">
        <f t="shared" si="52"/>
        <v>#DIV/0!</v>
      </c>
      <c r="BY32" s="4434"/>
      <c r="BZ32" s="3341"/>
      <c r="CA32" s="3341"/>
      <c r="CB32" s="3349">
        <f t="shared" si="37"/>
        <v>0</v>
      </c>
      <c r="CC32" s="4428" t="e">
        <f t="shared" si="53"/>
        <v>#DIV/0!</v>
      </c>
      <c r="CD32" s="4434"/>
      <c r="CE32" s="3341"/>
      <c r="CF32" s="3341"/>
      <c r="CG32" s="3349">
        <f t="shared" si="38"/>
        <v>0</v>
      </c>
      <c r="CH32" s="4428" t="e">
        <f t="shared" si="54"/>
        <v>#DIV/0!</v>
      </c>
      <c r="CI32" s="4434"/>
      <c r="CJ32" s="4622">
        <f t="shared" si="39"/>
        <v>0</v>
      </c>
      <c r="CK32" s="4623">
        <f t="shared" si="39"/>
        <v>0</v>
      </c>
      <c r="CL32" s="3349">
        <f t="shared" si="55"/>
        <v>0</v>
      </c>
      <c r="CM32" s="4428">
        <f t="shared" si="40"/>
        <v>0</v>
      </c>
      <c r="CN32" s="4432"/>
      <c r="CP32" s="4615"/>
      <c r="CQ32" s="2012">
        <f t="shared" si="41"/>
        <v>0</v>
      </c>
      <c r="CR32" s="4614">
        <f t="shared" si="56"/>
        <v>0</v>
      </c>
    </row>
    <row r="33" spans="1:98" s="1396" customFormat="1" ht="14.4" outlineLevel="2" thickBot="1">
      <c r="A33" s="1571"/>
      <c r="B33" s="4435" t="s">
        <v>75</v>
      </c>
      <c r="C33" s="4624"/>
      <c r="D33" s="4624"/>
      <c r="E33" s="4625">
        <f t="shared" ref="E33" si="57">C33+D33*1</f>
        <v>0</v>
      </c>
      <c r="F33" s="4437" t="e">
        <f t="shared" si="16"/>
        <v>#DIV/0!</v>
      </c>
      <c r="G33" s="4438"/>
      <c r="H33" s="4624"/>
      <c r="I33" s="4624"/>
      <c r="J33" s="4625">
        <f>H33+I33*1</f>
        <v>0</v>
      </c>
      <c r="K33" s="4437" t="e">
        <f t="shared" si="42"/>
        <v>#DIV/0!</v>
      </c>
      <c r="L33" s="4438"/>
      <c r="M33" s="4624"/>
      <c r="N33" s="4624"/>
      <c r="O33" s="4625">
        <f t="shared" ref="O33" si="58">M33+N33*1</f>
        <v>0</v>
      </c>
      <c r="P33" s="4428" t="e">
        <f t="shared" si="22"/>
        <v>#DIV/0!</v>
      </c>
      <c r="Q33" s="4438"/>
      <c r="R33" s="4626">
        <f t="shared" si="23"/>
        <v>0</v>
      </c>
      <c r="S33" s="4627">
        <f t="shared" si="23"/>
        <v>0</v>
      </c>
      <c r="T33" s="4628">
        <f t="shared" si="24"/>
        <v>0</v>
      </c>
      <c r="U33" s="4438"/>
      <c r="V33" s="4438"/>
      <c r="W33" s="4627">
        <f t="shared" si="25"/>
        <v>0</v>
      </c>
      <c r="X33" s="4627">
        <f t="shared" si="25"/>
        <v>0</v>
      </c>
      <c r="Y33" s="4628">
        <f t="shared" si="26"/>
        <v>0</v>
      </c>
      <c r="Z33" s="4438"/>
      <c r="AA33" s="4438"/>
      <c r="AB33" s="4624"/>
      <c r="AC33" s="4624"/>
      <c r="AD33" s="4625">
        <f t="shared" ref="AD33" si="59">AB33+AC33*1</f>
        <v>0</v>
      </c>
      <c r="AE33" s="4437" t="e">
        <f t="shared" si="43"/>
        <v>#DIV/0!</v>
      </c>
      <c r="AF33" s="4438"/>
      <c r="AG33" s="4624"/>
      <c r="AH33" s="4624"/>
      <c r="AI33" s="4625">
        <f t="shared" ref="AI33" si="60">AG33+AH33*1</f>
        <v>0</v>
      </c>
      <c r="AJ33" s="4437" t="e">
        <f t="shared" si="44"/>
        <v>#DIV/0!</v>
      </c>
      <c r="AK33" s="4438"/>
      <c r="AL33" s="4624"/>
      <c r="AM33" s="4624"/>
      <c r="AN33" s="4625">
        <f t="shared" ref="AN33" si="61">AL33+AM33*1</f>
        <v>0</v>
      </c>
      <c r="AO33" s="4437" t="e">
        <f t="shared" si="45"/>
        <v>#DIV/0!</v>
      </c>
      <c r="AP33" s="4438"/>
      <c r="AQ33" s="4624"/>
      <c r="AR33" s="4624"/>
      <c r="AS33" s="4625">
        <f t="shared" ref="AS33" si="62">AQ33+AR33*1</f>
        <v>0</v>
      </c>
      <c r="AT33" s="4437" t="e">
        <f t="shared" si="46"/>
        <v>#DIV/0!</v>
      </c>
      <c r="AU33" s="4438"/>
      <c r="AV33" s="4624"/>
      <c r="AW33" s="4624"/>
      <c r="AX33" s="4625">
        <f t="shared" ref="AX33" si="63">AV33+AW33*1</f>
        <v>0</v>
      </c>
      <c r="AY33" s="4437">
        <f t="shared" si="47"/>
        <v>0</v>
      </c>
      <c r="AZ33" s="4438"/>
      <c r="BA33" s="4624"/>
      <c r="BB33" s="4624"/>
      <c r="BC33" s="4625">
        <f t="shared" ref="BC33" si="64">BA33+BB33*1</f>
        <v>0</v>
      </c>
      <c r="BD33" s="4437">
        <f t="shared" si="48"/>
        <v>0</v>
      </c>
      <c r="BE33" s="4438"/>
      <c r="BF33" s="4624"/>
      <c r="BG33" s="4624"/>
      <c r="BH33" s="4625">
        <f t="shared" ref="BH33" si="65">BF33+BG33*1</f>
        <v>0</v>
      </c>
      <c r="BI33" s="4437" t="e">
        <f t="shared" si="49"/>
        <v>#DIV/0!</v>
      </c>
      <c r="BJ33" s="4438"/>
      <c r="BK33" s="4624"/>
      <c r="BL33" s="4624"/>
      <c r="BM33" s="4625">
        <f t="shared" ref="BM33" si="66">BK33+BL33*1</f>
        <v>0</v>
      </c>
      <c r="BN33" s="4437" t="e">
        <f t="shared" si="50"/>
        <v>#DIV/0!</v>
      </c>
      <c r="BO33" s="4438"/>
      <c r="BP33" s="4624"/>
      <c r="BQ33" s="4624"/>
      <c r="BR33" s="4625">
        <f t="shared" ref="BR33" si="67">BP33+BQ33*1</f>
        <v>0</v>
      </c>
      <c r="BS33" s="4437" t="e">
        <f t="shared" si="51"/>
        <v>#DIV/0!</v>
      </c>
      <c r="BT33" s="4438"/>
      <c r="BU33" s="4624"/>
      <c r="BV33" s="4624"/>
      <c r="BW33" s="4625">
        <f t="shared" ref="BW33" si="68">BU33+BV33*1</f>
        <v>0</v>
      </c>
      <c r="BX33" s="4437" t="e">
        <f t="shared" si="52"/>
        <v>#DIV/0!</v>
      </c>
      <c r="BY33" s="4438"/>
      <c r="BZ33" s="4624"/>
      <c r="CA33" s="4624"/>
      <c r="CB33" s="4625">
        <f t="shared" ref="CB33" si="69">BZ33+CA33*1</f>
        <v>0</v>
      </c>
      <c r="CC33" s="4437" t="e">
        <f t="shared" si="53"/>
        <v>#DIV/0!</v>
      </c>
      <c r="CD33" s="4438"/>
      <c r="CE33" s="4624"/>
      <c r="CF33" s="4624"/>
      <c r="CG33" s="4625">
        <f t="shared" ref="CG33" si="70">CE33+CF33*1</f>
        <v>0</v>
      </c>
      <c r="CH33" s="4437" t="e">
        <f t="shared" si="54"/>
        <v>#DIV/0!</v>
      </c>
      <c r="CI33" s="4438"/>
      <c r="CJ33" s="4629">
        <f t="shared" si="39"/>
        <v>0</v>
      </c>
      <c r="CK33" s="4624">
        <f t="shared" si="39"/>
        <v>0</v>
      </c>
      <c r="CL33" s="4625">
        <f t="shared" si="55"/>
        <v>0</v>
      </c>
      <c r="CM33" s="4488">
        <f t="shared" si="40"/>
        <v>0</v>
      </c>
      <c r="CN33" s="4490"/>
      <c r="CP33" s="4615"/>
      <c r="CQ33" s="4615"/>
      <c r="CR33" s="4614">
        <f t="shared" si="56"/>
        <v>0</v>
      </c>
      <c r="CT33" s="2624"/>
    </row>
    <row r="34" spans="1:98"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1"/>
      <c r="AC34" s="3341"/>
      <c r="AD34" s="3368"/>
      <c r="AE34" s="3368"/>
      <c r="AF34" s="3448"/>
      <c r="AG34" s="3341"/>
      <c r="AH34" s="3341"/>
      <c r="AI34" s="3368"/>
      <c r="AJ34" s="3368"/>
      <c r="AK34" s="3448"/>
      <c r="AL34" s="3341"/>
      <c r="AM34" s="3341"/>
      <c r="AN34" s="3368"/>
      <c r="AO34" s="3368"/>
      <c r="AP34" s="3448"/>
      <c r="AQ34" s="3341"/>
      <c r="AR34" s="3341"/>
      <c r="AS34" s="3368"/>
      <c r="AT34" s="3368"/>
      <c r="AU34" s="3448"/>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3449"/>
      <c r="CQ34" s="3449"/>
      <c r="CR34" s="3450"/>
      <c r="CT34" s="2624"/>
    </row>
    <row r="35" spans="1:98" s="1396" customFormat="1" ht="13.8" outlineLevel="1">
      <c r="A35" s="1571"/>
      <c r="B35" s="4440" t="s">
        <v>80</v>
      </c>
      <c r="C35" s="4441">
        <f>C36</f>
        <v>0</v>
      </c>
      <c r="D35" s="4441">
        <f>D36</f>
        <v>0</v>
      </c>
      <c r="E35" s="4442">
        <f>E36</f>
        <v>0</v>
      </c>
      <c r="F35" s="4442"/>
      <c r="G35" s="4443"/>
      <c r="H35" s="4441">
        <f>H36</f>
        <v>0</v>
      </c>
      <c r="I35" s="4441">
        <f>I36</f>
        <v>0</v>
      </c>
      <c r="J35" s="4442">
        <f>J36</f>
        <v>0</v>
      </c>
      <c r="K35" s="4442"/>
      <c r="L35" s="4443"/>
      <c r="M35" s="4441">
        <f>M36</f>
        <v>0</v>
      </c>
      <c r="N35" s="4441">
        <f>N36</f>
        <v>0</v>
      </c>
      <c r="O35" s="4442">
        <f>O36</f>
        <v>0</v>
      </c>
      <c r="P35" s="4442"/>
      <c r="Q35" s="4443"/>
      <c r="R35" s="4441">
        <f>R36</f>
        <v>0</v>
      </c>
      <c r="S35" s="4441">
        <f>S36</f>
        <v>0</v>
      </c>
      <c r="T35" s="4442">
        <f>T36</f>
        <v>0</v>
      </c>
      <c r="U35" s="4444"/>
      <c r="V35" s="4444"/>
      <c r="W35" s="4441">
        <f>W36</f>
        <v>0</v>
      </c>
      <c r="X35" s="4441">
        <f>X36</f>
        <v>0</v>
      </c>
      <c r="Y35" s="4442">
        <f>Y36</f>
        <v>0</v>
      </c>
      <c r="Z35" s="4444"/>
      <c r="AA35" s="4444"/>
      <c r="AB35" s="4441">
        <f>AB36</f>
        <v>0</v>
      </c>
      <c r="AC35" s="4441">
        <f>AC36</f>
        <v>0</v>
      </c>
      <c r="AD35" s="4442">
        <f>AD36</f>
        <v>0</v>
      </c>
      <c r="AE35" s="4442"/>
      <c r="AF35" s="4443"/>
      <c r="AG35" s="4441">
        <f>AG36</f>
        <v>0</v>
      </c>
      <c r="AH35" s="4441">
        <f>AH36</f>
        <v>0</v>
      </c>
      <c r="AI35" s="4442">
        <f>AI36</f>
        <v>0</v>
      </c>
      <c r="AJ35" s="4442"/>
      <c r="AK35" s="4443"/>
      <c r="AL35" s="4441">
        <f>AL36</f>
        <v>0</v>
      </c>
      <c r="AM35" s="4441">
        <f>AM36</f>
        <v>0</v>
      </c>
      <c r="AN35" s="4442">
        <f>AN36</f>
        <v>0</v>
      </c>
      <c r="AO35" s="4442"/>
      <c r="AP35" s="4443"/>
      <c r="AQ35" s="4441">
        <f>AQ36</f>
        <v>0</v>
      </c>
      <c r="AR35" s="4441">
        <f>AR36</f>
        <v>0</v>
      </c>
      <c r="AS35" s="4442">
        <f>AS36</f>
        <v>0</v>
      </c>
      <c r="AT35" s="4442"/>
      <c r="AU35" s="4443"/>
      <c r="AV35" s="4441">
        <f>AV36</f>
        <v>0</v>
      </c>
      <c r="AW35" s="4441">
        <f>AW36</f>
        <v>0</v>
      </c>
      <c r="AX35" s="4442">
        <f>AX36</f>
        <v>0</v>
      </c>
      <c r="AY35" s="4442"/>
      <c r="AZ35" s="4443"/>
      <c r="BA35" s="4441">
        <f>BA36</f>
        <v>0</v>
      </c>
      <c r="BB35" s="4441">
        <f>BB36</f>
        <v>0</v>
      </c>
      <c r="BC35" s="4442">
        <f>BC36</f>
        <v>0</v>
      </c>
      <c r="BD35" s="4442"/>
      <c r="BE35" s="4443"/>
      <c r="BF35" s="4441">
        <f>BF36</f>
        <v>0</v>
      </c>
      <c r="BG35" s="4441">
        <f>BG36</f>
        <v>0</v>
      </c>
      <c r="BH35" s="4442">
        <f>BH36</f>
        <v>0</v>
      </c>
      <c r="BI35" s="4442"/>
      <c r="BJ35" s="4443"/>
      <c r="BK35" s="4441">
        <f>BK36</f>
        <v>0</v>
      </c>
      <c r="BL35" s="4441">
        <f>BL36</f>
        <v>0</v>
      </c>
      <c r="BM35" s="4442">
        <f>BM36</f>
        <v>0</v>
      </c>
      <c r="BN35" s="4442"/>
      <c r="BO35" s="4443"/>
      <c r="BP35" s="4441">
        <f>BP36</f>
        <v>0</v>
      </c>
      <c r="BQ35" s="4441">
        <f>BQ36</f>
        <v>0</v>
      </c>
      <c r="BR35" s="4442">
        <f>BR36</f>
        <v>0</v>
      </c>
      <c r="BS35" s="4442"/>
      <c r="BT35" s="4443"/>
      <c r="BU35" s="4441">
        <f>BU36</f>
        <v>0</v>
      </c>
      <c r="BV35" s="4441">
        <f>BV36</f>
        <v>0</v>
      </c>
      <c r="BW35" s="4442">
        <f>BW36</f>
        <v>0</v>
      </c>
      <c r="BX35" s="4442"/>
      <c r="BY35" s="4443"/>
      <c r="BZ35" s="4441">
        <f>BZ36</f>
        <v>0</v>
      </c>
      <c r="CA35" s="4441">
        <f>CA36</f>
        <v>0</v>
      </c>
      <c r="CB35" s="4442">
        <f>CB36</f>
        <v>0</v>
      </c>
      <c r="CC35" s="4442"/>
      <c r="CD35" s="4443"/>
      <c r="CE35" s="4441">
        <f>CE36</f>
        <v>0</v>
      </c>
      <c r="CF35" s="4441">
        <f>CF36</f>
        <v>0</v>
      </c>
      <c r="CG35" s="4442">
        <f>CG36</f>
        <v>0</v>
      </c>
      <c r="CH35" s="4442"/>
      <c r="CI35" s="4443"/>
      <c r="CJ35" s="4441">
        <f>CJ36</f>
        <v>0</v>
      </c>
      <c r="CK35" s="4441">
        <f>CK36</f>
        <v>0</v>
      </c>
      <c r="CL35" s="4442">
        <f>CL36</f>
        <v>0</v>
      </c>
      <c r="CM35" s="4442"/>
      <c r="CN35" s="4442"/>
      <c r="CP35" s="4442">
        <f>CP36</f>
        <v>0</v>
      </c>
      <c r="CQ35" s="4442">
        <f>CQ36</f>
        <v>0</v>
      </c>
      <c r="CR35" s="4669">
        <f>CR36</f>
        <v>0</v>
      </c>
      <c r="CT35" s="2624"/>
    </row>
    <row r="36" spans="1:98" s="1396" customFormat="1" ht="13.8" outlineLevel="3">
      <c r="A36" s="1571"/>
      <c r="B36" s="4632" t="s">
        <v>81</v>
      </c>
      <c r="C36" s="3341"/>
      <c r="D36" s="3341"/>
      <c r="E36" s="2012">
        <f>C36+D36*1</f>
        <v>0</v>
      </c>
      <c r="F36" s="4428" t="e">
        <f>E36/$E$89</f>
        <v>#DIV/0!</v>
      </c>
      <c r="G36" s="4633"/>
      <c r="H36" s="3341"/>
      <c r="I36" s="3341"/>
      <c r="J36" s="2012">
        <f>H36+I36*1</f>
        <v>0</v>
      </c>
      <c r="K36" s="4428" t="e">
        <f t="shared" ref="K36" si="71">J36/J$89</f>
        <v>#DIV/0!</v>
      </c>
      <c r="L36" s="4633"/>
      <c r="M36" s="3341"/>
      <c r="N36" s="3341"/>
      <c r="O36" s="3349">
        <f t="shared" ref="O36" si="72">M36+N36</f>
        <v>0</v>
      </c>
      <c r="P36" s="4428" t="e">
        <f t="shared" ref="P36" si="73">O36/O$89</f>
        <v>#DIV/0!</v>
      </c>
      <c r="Q36" s="4633"/>
      <c r="R36" s="3342">
        <f t="shared" ref="R36:S36" si="74">M36+H36+C36</f>
        <v>0</v>
      </c>
      <c r="S36" s="3342">
        <f t="shared" si="74"/>
        <v>0</v>
      </c>
      <c r="T36" s="2012">
        <f t="shared" ref="T36" si="75">R36+S36</f>
        <v>0</v>
      </c>
      <c r="U36" s="3455"/>
      <c r="V36" s="3455"/>
      <c r="W36" s="3342">
        <f t="shared" ref="W36:X36" si="76">AB36+AG36+AL36+AV36+BA36+BF36+BK36+BP36+BU36+BZ36+CE36+AQ36</f>
        <v>0</v>
      </c>
      <c r="X36" s="3342">
        <f t="shared" si="76"/>
        <v>0</v>
      </c>
      <c r="Y36" s="2012">
        <f t="shared" ref="Y36" si="77">W36+X36</f>
        <v>0</v>
      </c>
      <c r="Z36" s="3455"/>
      <c r="AA36" s="3455"/>
      <c r="AB36" s="3341"/>
      <c r="AC36" s="3341"/>
      <c r="AD36" s="3349">
        <f t="shared" ref="AD36" si="78">AB36+AC36</f>
        <v>0</v>
      </c>
      <c r="AE36" s="4428" t="e">
        <f>AD36/AD$89</f>
        <v>#DIV/0!</v>
      </c>
      <c r="AF36" s="4633"/>
      <c r="AG36" s="3341"/>
      <c r="AH36" s="3341"/>
      <c r="AI36" s="3349">
        <f t="shared" ref="AI36" si="79">AG36+AH36</f>
        <v>0</v>
      </c>
      <c r="AJ36" s="4428" t="e">
        <f>AI36/AI$89</f>
        <v>#DIV/0!</v>
      </c>
      <c r="AK36" s="4633"/>
      <c r="AL36" s="3341"/>
      <c r="AM36" s="3341"/>
      <c r="AN36" s="3349">
        <f t="shared" ref="AN36" si="80">AL36+AM36</f>
        <v>0</v>
      </c>
      <c r="AO36" s="4428" t="e">
        <f>AN36/AN$89</f>
        <v>#DIV/0!</v>
      </c>
      <c r="AP36" s="4633"/>
      <c r="AQ36" s="3341"/>
      <c r="AR36" s="3341"/>
      <c r="AS36" s="3349">
        <f t="shared" ref="AS36" si="81">AQ36+AR36</f>
        <v>0</v>
      </c>
      <c r="AT36" s="4428" t="e">
        <f>AS36/AS$89</f>
        <v>#DIV/0!</v>
      </c>
      <c r="AU36" s="4633"/>
      <c r="AV36" s="3341"/>
      <c r="AW36" s="3341"/>
      <c r="AX36" s="3349">
        <f t="shared" ref="AX36" si="82">AV36+AW36</f>
        <v>0</v>
      </c>
      <c r="AY36" s="4428">
        <f>AX36/AX$89</f>
        <v>0</v>
      </c>
      <c r="AZ36" s="4633"/>
      <c r="BA36" s="3341"/>
      <c r="BB36" s="3341"/>
      <c r="BC36" s="3349">
        <f t="shared" ref="BC36" si="83">BA36+BB36</f>
        <v>0</v>
      </c>
      <c r="BD36" s="4428">
        <f>BC36/BC$89</f>
        <v>0</v>
      </c>
      <c r="BE36" s="4633"/>
      <c r="BF36" s="3341"/>
      <c r="BG36" s="3341"/>
      <c r="BH36" s="3349">
        <f t="shared" ref="BH36" si="84">BF36+BG36</f>
        <v>0</v>
      </c>
      <c r="BI36" s="4428" t="e">
        <f>BH36/BH$89</f>
        <v>#DIV/0!</v>
      </c>
      <c r="BJ36" s="4633"/>
      <c r="BK36" s="3341"/>
      <c r="BL36" s="3341"/>
      <c r="BM36" s="3349">
        <f t="shared" ref="BM36" si="85">BK36+BL36</f>
        <v>0</v>
      </c>
      <c r="BN36" s="4428" t="e">
        <f>BM36/BM$89</f>
        <v>#DIV/0!</v>
      </c>
      <c r="BO36" s="4633"/>
      <c r="BP36" s="3341"/>
      <c r="BQ36" s="3341"/>
      <c r="BR36" s="3349">
        <f t="shared" ref="BR36" si="86">BP36+BQ36</f>
        <v>0</v>
      </c>
      <c r="BS36" s="4428" t="e">
        <f>BR36/BR$89</f>
        <v>#DIV/0!</v>
      </c>
      <c r="BT36" s="4633"/>
      <c r="BU36" s="3341"/>
      <c r="BV36" s="3341"/>
      <c r="BW36" s="3349">
        <f t="shared" ref="BW36" si="87">BU36+BV36</f>
        <v>0</v>
      </c>
      <c r="BX36" s="4428" t="e">
        <f>BW36/BW$89</f>
        <v>#DIV/0!</v>
      </c>
      <c r="BY36" s="4633"/>
      <c r="BZ36" s="3341"/>
      <c r="CA36" s="3341"/>
      <c r="CB36" s="3349">
        <f t="shared" ref="CB36" si="88">BZ36+CA36</f>
        <v>0</v>
      </c>
      <c r="CC36" s="4428" t="e">
        <f>CB36/CB$89</f>
        <v>#DIV/0!</v>
      </c>
      <c r="CD36" s="4633"/>
      <c r="CE36" s="3341"/>
      <c r="CF36" s="3341"/>
      <c r="CG36" s="3349">
        <f t="shared" ref="CG36" si="89">CE36+CF36</f>
        <v>0</v>
      </c>
      <c r="CH36" s="4428" t="e">
        <f>CG36/CG$89</f>
        <v>#DIV/0!</v>
      </c>
      <c r="CI36" s="4633"/>
      <c r="CJ36" s="3341">
        <f t="shared" ref="CJ36:CK36" si="90">C36+H36+M36+W36</f>
        <v>0</v>
      </c>
      <c r="CK36" s="3341">
        <f t="shared" si="90"/>
        <v>0</v>
      </c>
      <c r="CL36" s="2012">
        <f>CJ36+CK36*1</f>
        <v>0</v>
      </c>
      <c r="CM36" s="4428">
        <f>CL36/$CL$89</f>
        <v>0</v>
      </c>
      <c r="CN36" s="4611"/>
      <c r="CP36" s="2012"/>
      <c r="CQ36" s="2012">
        <f t="shared" ref="CQ36" si="91">CL36</f>
        <v>0</v>
      </c>
      <c r="CR36" s="4614">
        <f t="shared" ref="CR36" si="92">CP36-CQ36</f>
        <v>0</v>
      </c>
      <c r="CT36" s="3443"/>
    </row>
    <row r="37" spans="1:98" s="1396" customFormat="1" ht="14.4" outlineLevel="1" thickBot="1">
      <c r="A37" s="1398"/>
      <c r="B37" s="4446"/>
      <c r="C37" s="3341"/>
      <c r="D37" s="3341"/>
      <c r="E37" s="4609"/>
      <c r="F37" s="4609"/>
      <c r="G37" s="4634"/>
      <c r="H37" s="3341"/>
      <c r="I37" s="3341"/>
      <c r="J37" s="4609"/>
      <c r="K37" s="4609"/>
      <c r="L37" s="4634"/>
      <c r="M37" s="3341"/>
      <c r="N37" s="3341"/>
      <c r="O37" s="4609"/>
      <c r="P37" s="4609"/>
      <c r="Q37" s="4634"/>
      <c r="R37" s="3456"/>
      <c r="S37" s="3456"/>
      <c r="T37" s="3456"/>
      <c r="U37" s="3456"/>
      <c r="V37" s="3456"/>
      <c r="W37" s="3342">
        <f t="shared" ref="W37:X37" si="93">AB37+AG37+AL37+AV37+BA37+BF37+BK37+BP37+BU37+BZ37+CE37</f>
        <v>0</v>
      </c>
      <c r="X37" s="3342">
        <f t="shared" si="93"/>
        <v>0</v>
      </c>
      <c r="Y37" s="3456"/>
      <c r="Z37" s="3456"/>
      <c r="AA37" s="3456"/>
      <c r="AB37" s="3341"/>
      <c r="AC37" s="3341"/>
      <c r="AD37" s="4609"/>
      <c r="AE37" s="4609"/>
      <c r="AF37" s="4634"/>
      <c r="AG37" s="3341"/>
      <c r="AH37" s="3341"/>
      <c r="AI37" s="4609"/>
      <c r="AJ37" s="4609"/>
      <c r="AK37" s="4634"/>
      <c r="AL37" s="3341"/>
      <c r="AM37" s="3341"/>
      <c r="AN37" s="4609"/>
      <c r="AO37" s="4609"/>
      <c r="AP37" s="4634"/>
      <c r="AQ37" s="3341"/>
      <c r="AR37" s="3341"/>
      <c r="AS37" s="4609"/>
      <c r="AT37" s="4609"/>
      <c r="AU37" s="4634"/>
      <c r="AV37" s="3341"/>
      <c r="AW37" s="3341"/>
      <c r="AX37" s="4609"/>
      <c r="AY37" s="4609"/>
      <c r="AZ37" s="4634"/>
      <c r="BA37" s="3341"/>
      <c r="BB37" s="3341"/>
      <c r="BC37" s="4609"/>
      <c r="BD37" s="4609"/>
      <c r="BE37" s="4634"/>
      <c r="BF37" s="3341"/>
      <c r="BG37" s="3341"/>
      <c r="BH37" s="4609"/>
      <c r="BI37" s="4609"/>
      <c r="BJ37" s="4634"/>
      <c r="BK37" s="3341"/>
      <c r="BL37" s="3341"/>
      <c r="BM37" s="4609"/>
      <c r="BN37" s="4609"/>
      <c r="BO37" s="4634"/>
      <c r="BP37" s="3341"/>
      <c r="BQ37" s="3341"/>
      <c r="BR37" s="4609"/>
      <c r="BS37" s="4609"/>
      <c r="BT37" s="4634"/>
      <c r="BU37" s="3341"/>
      <c r="BV37" s="3341"/>
      <c r="BW37" s="4609"/>
      <c r="BX37" s="4609"/>
      <c r="BY37" s="4634"/>
      <c r="BZ37" s="3341"/>
      <c r="CA37" s="3341"/>
      <c r="CB37" s="4609"/>
      <c r="CC37" s="4609"/>
      <c r="CD37" s="4634"/>
      <c r="CE37" s="3341"/>
      <c r="CF37" s="3341"/>
      <c r="CG37" s="4609"/>
      <c r="CH37" s="4609"/>
      <c r="CI37" s="4634"/>
      <c r="CJ37" s="3341"/>
      <c r="CK37" s="3341"/>
      <c r="CL37" s="4609"/>
      <c r="CM37" s="4609"/>
      <c r="CN37" s="4609"/>
      <c r="CP37" s="4645"/>
      <c r="CQ37" s="4645"/>
      <c r="CR37" s="4670"/>
      <c r="CT37" s="2624"/>
    </row>
    <row r="38" spans="1:98"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0</v>
      </c>
      <c r="O38" s="3749">
        <f>(O5)-(O8)</f>
        <v>0</v>
      </c>
      <c r="P38" s="3749"/>
      <c r="Q38" s="3750"/>
      <c r="R38" s="3749">
        <f>(R5)-(R8)</f>
        <v>0</v>
      </c>
      <c r="S38" s="3749">
        <f>(S5)-(S8)</f>
        <v>0</v>
      </c>
      <c r="T38" s="3749">
        <f>(T5)-(T8)</f>
        <v>0</v>
      </c>
      <c r="U38" s="3750"/>
      <c r="V38" s="3750"/>
      <c r="W38" s="3749">
        <f>(W5)-(W8)</f>
        <v>85431.766000000003</v>
      </c>
      <c r="X38" s="3749">
        <f>(X5)-(X8)</f>
        <v>-36788.51</v>
      </c>
      <c r="Y38" s="3749">
        <f>(Y5)-(Y8)</f>
        <v>48643.255999999994</v>
      </c>
      <c r="Z38" s="3750"/>
      <c r="AA38" s="3750"/>
      <c r="AB38" s="3749">
        <f>(AB5)-(AB8)</f>
        <v>0</v>
      </c>
      <c r="AC38" s="3749">
        <f>(AC5)-(AC8)</f>
        <v>0</v>
      </c>
      <c r="AD38" s="3749">
        <f>(AD5)-(AD8)</f>
        <v>0</v>
      </c>
      <c r="AE38" s="3749"/>
      <c r="AF38" s="3750"/>
      <c r="AG38" s="3749">
        <f>(AG5)-(AG8)</f>
        <v>0</v>
      </c>
      <c r="AH38" s="3749">
        <f>(AH5)-(AH8)</f>
        <v>0</v>
      </c>
      <c r="AI38" s="3749">
        <f>(AI5)-(AI8)</f>
        <v>0</v>
      </c>
      <c r="AJ38" s="3749"/>
      <c r="AK38" s="3750"/>
      <c r="AL38" s="3749">
        <f>(AL5)-(AL8)</f>
        <v>0</v>
      </c>
      <c r="AM38" s="3749">
        <f>(AM5)-(AM8)</f>
        <v>0</v>
      </c>
      <c r="AN38" s="3749">
        <f>(AN5)-(AN8)</f>
        <v>0</v>
      </c>
      <c r="AO38" s="3749"/>
      <c r="AP38" s="3750"/>
      <c r="AQ38" s="3749">
        <f>(AQ5)-(AQ8)</f>
        <v>0</v>
      </c>
      <c r="AR38" s="3749">
        <f>(AR5)-(AR8)</f>
        <v>0</v>
      </c>
      <c r="AS38" s="3749">
        <f>(AS5)-(AS8)</f>
        <v>0</v>
      </c>
      <c r="AT38" s="3749"/>
      <c r="AU38" s="3750"/>
      <c r="AV38" s="3749">
        <f>(AV5)-(AV8)</f>
        <v>-16901.23</v>
      </c>
      <c r="AW38" s="3749">
        <f>(AW5)-(AW8)</f>
        <v>-31220</v>
      </c>
      <c r="AX38" s="3749">
        <f>(AX5)-(AX8)</f>
        <v>-48121.23</v>
      </c>
      <c r="AY38" s="3749"/>
      <c r="AZ38" s="3750"/>
      <c r="BA38" s="3749">
        <f>(BA5)-(BA8)</f>
        <v>102332.99599999998</v>
      </c>
      <c r="BB38" s="3749">
        <f>(BB5)-(BB8)</f>
        <v>-5568.51</v>
      </c>
      <c r="BC38" s="3749">
        <f>(BC5)-(BC8)</f>
        <v>96764.48599999999</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85431.766000000003</v>
      </c>
      <c r="CK38" s="3751">
        <f>(CK5)-(CK8)</f>
        <v>-36788.51</v>
      </c>
      <c r="CL38" s="3751">
        <f>(CL5)-(CL8)</f>
        <v>48643.255999999994</v>
      </c>
      <c r="CM38" s="3749"/>
      <c r="CN38" s="3749"/>
      <c r="CP38" s="3749">
        <f>(CP5)-(CP8)</f>
        <v>89156.66</v>
      </c>
      <c r="CQ38" s="3760">
        <f>(CQ5)-(CQ8)</f>
        <v>48643.255999999994</v>
      </c>
      <c r="CR38" s="3749">
        <f>(CR5)-(CR8)</f>
        <v>40513.404000000002</v>
      </c>
      <c r="CT38" s="3761"/>
    </row>
    <row r="39" spans="1:98"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2003">
        <f>IFERROR(AB38/(AB5),0)</f>
        <v>0</v>
      </c>
      <c r="AC39" s="2003">
        <f>IFERROR(AC38/(AC5),0)</f>
        <v>0</v>
      </c>
      <c r="AD39" s="2004">
        <f>IFERROR(AD38/(AD5),0)</f>
        <v>0</v>
      </c>
      <c r="AE39" s="2004"/>
      <c r="AF39" s="1056"/>
      <c r="AG39" s="2003">
        <f>IFERROR(AG38/(AG5),0)</f>
        <v>0</v>
      </c>
      <c r="AH39" s="2003">
        <f>IFERROR(AH38/(AH5),0)</f>
        <v>0</v>
      </c>
      <c r="AI39" s="2004">
        <f>IFERROR(AI38/(AI5),0)</f>
        <v>0</v>
      </c>
      <c r="AJ39" s="2004"/>
      <c r="AK39" s="1056"/>
      <c r="AL39" s="2003">
        <f>IFERROR(AL38/(AL5),0)</f>
        <v>0</v>
      </c>
      <c r="AM39" s="2003">
        <f>IFERROR(AM38/(AM5),0)</f>
        <v>0</v>
      </c>
      <c r="AN39" s="2004">
        <f>IFERROR(AN38/(AN5),0)</f>
        <v>0</v>
      </c>
      <c r="AO39" s="2004"/>
      <c r="AP39" s="1056"/>
      <c r="AQ39" s="2003">
        <f>IFERROR(AQ38/(AQ5),0)</f>
        <v>0</v>
      </c>
      <c r="AR39" s="2003">
        <f>IFERROR(AR38/(AR5),0)</f>
        <v>0</v>
      </c>
      <c r="AS39" s="2004">
        <f>IFERROR(AS38/(AS5),0)</f>
        <v>0</v>
      </c>
      <c r="AT39" s="2004"/>
      <c r="AU39" s="1056"/>
      <c r="AV39" s="2003">
        <f>IFERROR(AV38/(AV5),0)</f>
        <v>0</v>
      </c>
      <c r="AW39" s="2003">
        <f>IFERROR(AW38/(AW5),0)</f>
        <v>0</v>
      </c>
      <c r="AX39" s="2004">
        <f>IFERROR(AX38/(AX5),0)</f>
        <v>0</v>
      </c>
      <c r="AY39" s="2004"/>
      <c r="AZ39" s="1056"/>
      <c r="BA39" s="2003">
        <f>IFERROR(BA38/(BA5),0)</f>
        <v>0.63958122499999992</v>
      </c>
      <c r="BB39" s="2003">
        <f>IFERROR(BB38/(BB5),0)</f>
        <v>0</v>
      </c>
      <c r="BC39" s="2004">
        <f>IFERROR(BC38/(BC5),0)</f>
        <v>0.60477803749999992</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0.53394853750000004</v>
      </c>
      <c r="CK39" s="2003">
        <f>IFERROR(CK38/(CK5),0)</f>
        <v>0</v>
      </c>
      <c r="CL39" s="2004">
        <f>IFERROR(CL38/(CL5),0)</f>
        <v>0.30402034999999994</v>
      </c>
      <c r="CM39" s="2004"/>
      <c r="CN39" s="2004"/>
      <c r="CP39" s="2004">
        <f>CP38/(CP5)</f>
        <v>0.55722912499999999</v>
      </c>
      <c r="CQ39" s="2004">
        <f>IFERROR(CQ38/(CQ5),0)</f>
        <v>0.30402034999999994</v>
      </c>
      <c r="CR39" s="2004" t="e">
        <f>CR38/(CR5)</f>
        <v>#DIV/0!</v>
      </c>
      <c r="CT39" s="4616"/>
    </row>
    <row r="40" spans="1:98" ht="14.4" outlineLevel="1" thickBot="1">
      <c r="A40" s="1567"/>
      <c r="B40" s="4637"/>
      <c r="C40" s="4610"/>
      <c r="D40" s="4610"/>
      <c r="E40" s="4610"/>
      <c r="F40" s="4610"/>
      <c r="G40" s="4638"/>
      <c r="H40" s="4610"/>
      <c r="I40" s="4610"/>
      <c r="J40" s="4610"/>
      <c r="K40" s="4610"/>
      <c r="L40" s="4638"/>
      <c r="M40" s="4610"/>
      <c r="N40" s="4610"/>
      <c r="O40" s="4610"/>
      <c r="P40" s="4610"/>
      <c r="Q40" s="4638"/>
      <c r="R40" s="4638"/>
      <c r="S40" s="4638"/>
      <c r="T40" s="4638"/>
      <c r="U40" s="4638"/>
      <c r="V40" s="4638"/>
      <c r="W40" s="4638"/>
      <c r="X40" s="4638"/>
      <c r="Y40" s="4638"/>
      <c r="Z40" s="4638"/>
      <c r="AA40" s="4638"/>
      <c r="AB40" s="4610"/>
      <c r="AC40" s="4610"/>
      <c r="AD40" s="4610"/>
      <c r="AE40" s="4610"/>
      <c r="AF40" s="4638"/>
      <c r="AG40" s="4610"/>
      <c r="AH40" s="4610"/>
      <c r="AI40" s="4610"/>
      <c r="AJ40" s="4610"/>
      <c r="AK40" s="4638"/>
      <c r="AL40" s="4610"/>
      <c r="AM40" s="4610"/>
      <c r="AN40" s="4610"/>
      <c r="AO40" s="4610"/>
      <c r="AP40" s="4638"/>
      <c r="AQ40" s="4610"/>
      <c r="AR40" s="4610"/>
      <c r="AS40" s="4610"/>
      <c r="AT40" s="4610"/>
      <c r="AU40" s="4638"/>
      <c r="AV40" s="4610"/>
      <c r="AW40" s="4610"/>
      <c r="AX40" s="4610"/>
      <c r="AY40" s="4610"/>
      <c r="AZ40" s="4638"/>
      <c r="BA40" s="4610"/>
      <c r="BB40" s="4610"/>
      <c r="BC40" s="4610"/>
      <c r="BD40" s="4610"/>
      <c r="BE40" s="4638"/>
      <c r="BF40" s="4610"/>
      <c r="BG40" s="4610"/>
      <c r="BH40" s="4610"/>
      <c r="BI40" s="4610"/>
      <c r="BJ40" s="4638"/>
      <c r="BK40" s="4610"/>
      <c r="BL40" s="4610"/>
      <c r="BM40" s="4610"/>
      <c r="BN40" s="4610"/>
      <c r="BO40" s="4638"/>
      <c r="BP40" s="4610"/>
      <c r="BQ40" s="4610"/>
      <c r="BR40" s="4610"/>
      <c r="BS40" s="4610"/>
      <c r="BT40" s="4638"/>
      <c r="BU40" s="4610"/>
      <c r="BV40" s="4610"/>
      <c r="BW40" s="4610"/>
      <c r="BX40" s="4610"/>
      <c r="BY40" s="4638"/>
      <c r="BZ40" s="4610"/>
      <c r="CA40" s="4610"/>
      <c r="CB40" s="4610"/>
      <c r="CC40" s="4610"/>
      <c r="CD40" s="4638"/>
      <c r="CE40" s="4610"/>
      <c r="CF40" s="4610"/>
      <c r="CG40" s="4610"/>
      <c r="CH40" s="4610"/>
      <c r="CI40" s="4638"/>
      <c r="CJ40" s="4610"/>
      <c r="CK40" s="4610"/>
      <c r="CL40" s="4610"/>
      <c r="CM40" s="4610"/>
      <c r="CN40" s="4610"/>
      <c r="CP40" s="4639"/>
      <c r="CQ40" s="4639"/>
      <c r="CR40" s="4639"/>
    </row>
    <row r="41" spans="1:98" ht="13.8" outlineLevel="1">
      <c r="A41" s="1405"/>
      <c r="B41" s="1415" t="s">
        <v>26</v>
      </c>
      <c r="C41" s="2013">
        <f>SUM(C42:C48)</f>
        <v>0</v>
      </c>
      <c r="D41" s="2013">
        <f>SUM(D42:D48)</f>
        <v>0</v>
      </c>
      <c r="E41" s="2014">
        <f>SUM(E42:E48)</f>
        <v>0</v>
      </c>
      <c r="F41" s="4449" t="e">
        <f>E41/$E$89</f>
        <v>#DIV/0!</v>
      </c>
      <c r="G41" s="1057"/>
      <c r="H41" s="2013">
        <f>SUM(H42:H48)</f>
        <v>0</v>
      </c>
      <c r="I41" s="2013">
        <f>SUM(I42:I48)</f>
        <v>0</v>
      </c>
      <c r="J41" s="2014">
        <f>SUM(J42:J48)</f>
        <v>0</v>
      </c>
      <c r="K41" s="4449" t="e">
        <f>J41/$E$89</f>
        <v>#DIV/0!</v>
      </c>
      <c r="L41" s="1057"/>
      <c r="M41" s="2013">
        <f>SUM(M42:M48)</f>
        <v>0</v>
      </c>
      <c r="N41" s="2013">
        <f>SUM(N42:N48)</f>
        <v>0</v>
      </c>
      <c r="O41" s="2014">
        <f>SUM(O42:O48)</f>
        <v>0</v>
      </c>
      <c r="P41" s="4449" t="e">
        <f>O41/$E$89</f>
        <v>#DIV/0!</v>
      </c>
      <c r="Q41" s="1057"/>
      <c r="R41" s="2013">
        <f>SUM(R42:R48)</f>
        <v>0</v>
      </c>
      <c r="S41" s="2013">
        <f>SUM(S42:S48)</f>
        <v>0</v>
      </c>
      <c r="T41" s="2014">
        <f>SUM(T42:T48)</f>
        <v>0</v>
      </c>
      <c r="U41" s="4449"/>
      <c r="V41" s="3460"/>
      <c r="W41" s="2013">
        <f>SUM(W42:W48)</f>
        <v>0</v>
      </c>
      <c r="X41" s="2013">
        <f>SUM(X42:X48)</f>
        <v>0</v>
      </c>
      <c r="Y41" s="2014">
        <f>SUM(Y42:Y48)</f>
        <v>0</v>
      </c>
      <c r="Z41" s="4449"/>
      <c r="AA41" s="3460"/>
      <c r="AB41" s="2013">
        <f>SUM(AB42:AB48)</f>
        <v>0</v>
      </c>
      <c r="AC41" s="2013">
        <f>SUM(AC42:AC48)</f>
        <v>0</v>
      </c>
      <c r="AD41" s="2014">
        <f>SUM(AD42:AD48)</f>
        <v>0</v>
      </c>
      <c r="AE41" s="4449"/>
      <c r="AF41" s="1057"/>
      <c r="AG41" s="2013">
        <f>SUM(AG42:AG48)</f>
        <v>0</v>
      </c>
      <c r="AH41" s="2013">
        <f>SUM(AH42:AH48)</f>
        <v>0</v>
      </c>
      <c r="AI41" s="2014">
        <f>SUM(AI42:AI48)</f>
        <v>0</v>
      </c>
      <c r="AJ41" s="4449"/>
      <c r="AK41" s="1057"/>
      <c r="AL41" s="2013">
        <f>SUM(AL42:AL48)</f>
        <v>0</v>
      </c>
      <c r="AM41" s="2013">
        <f>SUM(AM42:AM48)</f>
        <v>0</v>
      </c>
      <c r="AN41" s="2014">
        <f>SUM(AN42:AN48)</f>
        <v>0</v>
      </c>
      <c r="AO41" s="4449"/>
      <c r="AP41" s="1057"/>
      <c r="AQ41" s="2013">
        <f>SUM(AQ42:AQ48)</f>
        <v>0</v>
      </c>
      <c r="AR41" s="2013">
        <f>SUM(AR42:AR48)</f>
        <v>0</v>
      </c>
      <c r="AS41" s="2014">
        <f>SUM(AS42:AS48)</f>
        <v>0</v>
      </c>
      <c r="AT41" s="4449"/>
      <c r="AU41" s="1057"/>
      <c r="AV41" s="2013">
        <f>SUM(AV42:AV48)</f>
        <v>0</v>
      </c>
      <c r="AW41" s="2013">
        <f>SUM(AW42:AW48)</f>
        <v>0</v>
      </c>
      <c r="AX41" s="2014">
        <f>SUM(AX42:AX48)</f>
        <v>0</v>
      </c>
      <c r="AY41" s="4449"/>
      <c r="AZ41" s="1057"/>
      <c r="BA41" s="2013">
        <f>SUM(BA42:BA48)</f>
        <v>0</v>
      </c>
      <c r="BB41" s="2013">
        <f>SUM(BB42:BB48)</f>
        <v>0</v>
      </c>
      <c r="BC41" s="2014">
        <f>SUM(BC42:BC48)</f>
        <v>0</v>
      </c>
      <c r="BD41" s="4449"/>
      <c r="BE41" s="1057"/>
      <c r="BF41" s="2013">
        <f>SUM(BF42:BF48)</f>
        <v>0</v>
      </c>
      <c r="BG41" s="2013">
        <f>SUM(BG42:BG48)</f>
        <v>0</v>
      </c>
      <c r="BH41" s="2014">
        <f>SUM(BH42:BH48)</f>
        <v>0</v>
      </c>
      <c r="BI41" s="4449"/>
      <c r="BJ41" s="1057"/>
      <c r="BK41" s="2013">
        <f>SUM(BK42:BK48)</f>
        <v>0</v>
      </c>
      <c r="BL41" s="2013">
        <f>SUM(BL42:BL48)</f>
        <v>0</v>
      </c>
      <c r="BM41" s="2014">
        <f>SUM(BM42:BM48)</f>
        <v>0</v>
      </c>
      <c r="BN41" s="4449"/>
      <c r="BO41" s="1057"/>
      <c r="BP41" s="2013">
        <f>SUM(BP42:BP48)</f>
        <v>0</v>
      </c>
      <c r="BQ41" s="2013">
        <f>SUM(BQ42:BQ48)</f>
        <v>0</v>
      </c>
      <c r="BR41" s="2014">
        <f>SUM(BR42:BR48)</f>
        <v>0</v>
      </c>
      <c r="BS41" s="4449"/>
      <c r="BT41" s="1057"/>
      <c r="BU41" s="2013">
        <f>SUM(BU42:BU48)</f>
        <v>0</v>
      </c>
      <c r="BV41" s="2013">
        <f>SUM(BV42:BV48)</f>
        <v>0</v>
      </c>
      <c r="BW41" s="2014">
        <f>SUM(BW42:BW48)</f>
        <v>0</v>
      </c>
      <c r="BX41" s="4449"/>
      <c r="BY41" s="1057"/>
      <c r="BZ41" s="2013">
        <f>SUM(BZ42:BZ48)</f>
        <v>0</v>
      </c>
      <c r="CA41" s="2013">
        <f>SUM(CA42:CA48)</f>
        <v>0</v>
      </c>
      <c r="CB41" s="2014">
        <f>SUM(CB42:CB48)</f>
        <v>0</v>
      </c>
      <c r="CC41" s="4449"/>
      <c r="CD41" s="1057"/>
      <c r="CE41" s="2013">
        <f>SUM(CE42:CE48)</f>
        <v>0</v>
      </c>
      <c r="CF41" s="2013">
        <f>SUM(CF42:CF48)</f>
        <v>0</v>
      </c>
      <c r="CG41" s="2014">
        <f>SUM(CG42:CG48)</f>
        <v>0</v>
      </c>
      <c r="CH41" s="4449"/>
      <c r="CI41" s="1057"/>
      <c r="CJ41" s="2013">
        <f>SUM(CJ42:CJ48)</f>
        <v>0</v>
      </c>
      <c r="CK41" s="2013">
        <f>SUM(CK42:CK48)</f>
        <v>0</v>
      </c>
      <c r="CL41" s="2014">
        <f>SUM(CL42:CL48)</f>
        <v>0</v>
      </c>
      <c r="CM41" s="4449">
        <f t="shared" ref="CM41:CM49" si="94">CL41/$CL$89</f>
        <v>0</v>
      </c>
      <c r="CN41" s="2006"/>
      <c r="CP41" s="2014">
        <f>SUM(CP42:CP48)</f>
        <v>0</v>
      </c>
      <c r="CQ41" s="2014">
        <f>SUM(CQ42:CQ48)</f>
        <v>0</v>
      </c>
      <c r="CR41" s="2014"/>
    </row>
    <row r="42" spans="1:98" ht="13.8" outlineLevel="2">
      <c r="A42" s="4833"/>
      <c r="B42" s="4640" t="s">
        <v>7</v>
      </c>
      <c r="C42" s="3341"/>
      <c r="D42" s="3341"/>
      <c r="E42" s="3349">
        <f t="shared" ref="E42:E48" si="95">C42+D42</f>
        <v>0</v>
      </c>
      <c r="F42" s="4428" t="e">
        <f t="shared" ref="F42:F48" si="96">E42/$E$89</f>
        <v>#DIV/0!</v>
      </c>
      <c r="G42" s="4429"/>
      <c r="H42" s="3341"/>
      <c r="I42" s="3341"/>
      <c r="J42" s="3349">
        <f t="shared" ref="J42:J48" si="97">H42+I42</f>
        <v>0</v>
      </c>
      <c r="K42" s="4428" t="e">
        <f t="shared" ref="K42:K48" si="98">J42/J$89</f>
        <v>#DIV/0!</v>
      </c>
      <c r="L42" s="4429"/>
      <c r="M42" s="3341"/>
      <c r="N42" s="3341"/>
      <c r="O42" s="3349">
        <f t="shared" ref="O42:O48" si="99">M42+N42</f>
        <v>0</v>
      </c>
      <c r="P42" s="4428" t="e">
        <f t="shared" ref="P42:P48" si="100">O42/O$89</f>
        <v>#DIV/0!</v>
      </c>
      <c r="Q42" s="4429"/>
      <c r="R42" s="3342">
        <f t="shared" ref="R42:S48" si="101">M42+H42+C42</f>
        <v>0</v>
      </c>
      <c r="S42" s="3342">
        <f t="shared" si="101"/>
        <v>0</v>
      </c>
      <c r="T42" s="2012">
        <f t="shared" ref="T42:T48" si="102">R42+S42</f>
        <v>0</v>
      </c>
      <c r="U42" s="3462"/>
      <c r="V42" s="3462"/>
      <c r="W42" s="3342">
        <f t="shared" ref="W42:X48" si="103">AB42+AG42+AL42+AV42+BA42+BF42+BK42+BP42+BU42+BZ42+CE42+AQ42</f>
        <v>0</v>
      </c>
      <c r="X42" s="3342">
        <f t="shared" si="103"/>
        <v>0</v>
      </c>
      <c r="Y42" s="2012">
        <f t="shared" ref="Y42:Y48" si="104">W42+X42</f>
        <v>0</v>
      </c>
      <c r="Z42" s="3462"/>
      <c r="AA42" s="3462"/>
      <c r="AB42" s="3341"/>
      <c r="AC42" s="3341"/>
      <c r="AD42" s="3349">
        <f t="shared" ref="AD42:AD48" si="105">AB42+AC42</f>
        <v>0</v>
      </c>
      <c r="AE42" s="4428" t="e">
        <f t="shared" ref="AE42:AE49" si="106">AD42/AD$89</f>
        <v>#DIV/0!</v>
      </c>
      <c r="AF42" s="4429"/>
      <c r="AG42" s="3341"/>
      <c r="AH42" s="3341"/>
      <c r="AI42" s="3349">
        <f t="shared" ref="AI42:AI48" si="107">AG42+AH42</f>
        <v>0</v>
      </c>
      <c r="AJ42" s="4428" t="e">
        <f t="shared" ref="AJ42:AJ49" si="108">AI42/AI$89</f>
        <v>#DIV/0!</v>
      </c>
      <c r="AK42" s="4429"/>
      <c r="AL42" s="3341"/>
      <c r="AM42" s="3341"/>
      <c r="AN42" s="3349">
        <f t="shared" ref="AN42:AN48" si="109">AL42+AM42</f>
        <v>0</v>
      </c>
      <c r="AO42" s="4428" t="e">
        <f t="shared" ref="AO42:AO49" si="110">AN42/AN$89</f>
        <v>#DIV/0!</v>
      </c>
      <c r="AP42" s="4429"/>
      <c r="AQ42" s="3341"/>
      <c r="AR42" s="3341"/>
      <c r="AS42" s="3349">
        <f t="shared" ref="AS42:AS48" si="111">AQ42+AR42</f>
        <v>0</v>
      </c>
      <c r="AT42" s="4428" t="e">
        <f t="shared" ref="AT42:AT49" si="112">AS42/AS$89</f>
        <v>#DIV/0!</v>
      </c>
      <c r="AU42" s="4429"/>
      <c r="AV42" s="3341"/>
      <c r="AW42" s="3341"/>
      <c r="AX42" s="3349">
        <f t="shared" ref="AX42:AX48" si="113">AV42+AW42</f>
        <v>0</v>
      </c>
      <c r="AY42" s="4428">
        <f t="shared" ref="AY42:AY49" si="114">AX42/AX$89</f>
        <v>0</v>
      </c>
      <c r="AZ42" s="4429"/>
      <c r="BA42" s="3341"/>
      <c r="BB42" s="3341"/>
      <c r="BC42" s="3349">
        <f t="shared" ref="BC42:BC48" si="115">BA42+BB42</f>
        <v>0</v>
      </c>
      <c r="BD42" s="4428">
        <f t="shared" ref="BD42:BD49" si="116">BC42/BC$89</f>
        <v>0</v>
      </c>
      <c r="BE42" s="4429"/>
      <c r="BF42" s="3341"/>
      <c r="BG42" s="3341"/>
      <c r="BH42" s="3349">
        <f t="shared" ref="BH42:BH48" si="117">BF42+BG42</f>
        <v>0</v>
      </c>
      <c r="BI42" s="4428" t="e">
        <f t="shared" ref="BI42:BI49" si="118">BH42/BH$89</f>
        <v>#DIV/0!</v>
      </c>
      <c r="BJ42" s="4429"/>
      <c r="BK42" s="3341"/>
      <c r="BL42" s="3341"/>
      <c r="BM42" s="3349">
        <f t="shared" ref="BM42:BM48" si="119">BK42+BL42</f>
        <v>0</v>
      </c>
      <c r="BN42" s="4428" t="e">
        <f t="shared" ref="BN42:BN49" si="120">BM42/BM$89</f>
        <v>#DIV/0!</v>
      </c>
      <c r="BO42" s="4429"/>
      <c r="BP42" s="3341"/>
      <c r="BQ42" s="3341"/>
      <c r="BR42" s="3349">
        <f t="shared" ref="BR42:BR48" si="121">BP42+BQ42</f>
        <v>0</v>
      </c>
      <c r="BS42" s="4428" t="e">
        <f t="shared" ref="BS42:BS49" si="122">BR42/BR$89</f>
        <v>#DIV/0!</v>
      </c>
      <c r="BT42" s="4429"/>
      <c r="BU42" s="3341"/>
      <c r="BV42" s="3341"/>
      <c r="BW42" s="3349">
        <f t="shared" ref="BW42:BW48" si="123">BU42+BV42</f>
        <v>0</v>
      </c>
      <c r="BX42" s="4428" t="e">
        <f t="shared" ref="BX42:BX49" si="124">BW42/BW$89</f>
        <v>#DIV/0!</v>
      </c>
      <c r="BY42" s="4429"/>
      <c r="BZ42" s="3341"/>
      <c r="CA42" s="3341"/>
      <c r="CB42" s="3349">
        <f t="shared" ref="CB42:CB48" si="125">BZ42+CA42</f>
        <v>0</v>
      </c>
      <c r="CC42" s="4428" t="e">
        <f t="shared" ref="CC42:CC49" si="126">CB42/CB$89</f>
        <v>#DIV/0!</v>
      </c>
      <c r="CD42" s="4429"/>
      <c r="CE42" s="3341"/>
      <c r="CF42" s="3341"/>
      <c r="CG42" s="3349">
        <f t="shared" ref="CG42:CG48" si="127">CE42+CF42</f>
        <v>0</v>
      </c>
      <c r="CH42" s="4428" t="e">
        <f t="shared" ref="CH42:CH49" si="128">CG42/CG$89</f>
        <v>#DIV/0!</v>
      </c>
      <c r="CI42" s="4429"/>
      <c r="CJ42" s="3341">
        <f t="shared" ref="CJ42:CK48" si="129">C42+H42+M42+W42</f>
        <v>0</v>
      </c>
      <c r="CK42" s="3341">
        <f t="shared" si="129"/>
        <v>0</v>
      </c>
      <c r="CL42" s="2012">
        <f t="shared" ref="CL42:CL48" si="130">CJ42+CK42*1</f>
        <v>0</v>
      </c>
      <c r="CM42" s="4428">
        <f t="shared" si="94"/>
        <v>0</v>
      </c>
      <c r="CN42" s="4432"/>
      <c r="CP42" s="2012">
        <f t="shared" ref="CP42:CQ48" si="131">CN42+CO42*1</f>
        <v>0</v>
      </c>
      <c r="CQ42" s="2012">
        <f t="shared" si="131"/>
        <v>0</v>
      </c>
      <c r="CR42" s="4614"/>
    </row>
    <row r="43" spans="1:98" ht="13.8" outlineLevel="2">
      <c r="A43" s="4833"/>
      <c r="B43" s="4640" t="s">
        <v>27</v>
      </c>
      <c r="C43" s="3341"/>
      <c r="D43" s="3341"/>
      <c r="E43" s="3349">
        <f t="shared" si="95"/>
        <v>0</v>
      </c>
      <c r="F43" s="4428" t="e">
        <f t="shared" si="96"/>
        <v>#DIV/0!</v>
      </c>
      <c r="G43" s="4429"/>
      <c r="H43" s="3341"/>
      <c r="I43" s="3341"/>
      <c r="J43" s="3349">
        <f t="shared" si="97"/>
        <v>0</v>
      </c>
      <c r="K43" s="4428" t="e">
        <f t="shared" si="98"/>
        <v>#DIV/0!</v>
      </c>
      <c r="L43" s="4429"/>
      <c r="M43" s="3341"/>
      <c r="N43" s="3341"/>
      <c r="O43" s="3349">
        <f t="shared" si="99"/>
        <v>0</v>
      </c>
      <c r="P43" s="4428" t="e">
        <f t="shared" si="100"/>
        <v>#DIV/0!</v>
      </c>
      <c r="Q43" s="4429"/>
      <c r="R43" s="3342">
        <f t="shared" si="101"/>
        <v>0</v>
      </c>
      <c r="S43" s="3342">
        <f t="shared" si="101"/>
        <v>0</v>
      </c>
      <c r="T43" s="2012">
        <f t="shared" si="102"/>
        <v>0</v>
      </c>
      <c r="U43" s="3462"/>
      <c r="V43" s="3462"/>
      <c r="W43" s="3342">
        <f t="shared" si="103"/>
        <v>0</v>
      </c>
      <c r="X43" s="3342">
        <f t="shared" si="103"/>
        <v>0</v>
      </c>
      <c r="Y43" s="2012">
        <f t="shared" si="104"/>
        <v>0</v>
      </c>
      <c r="Z43" s="3462"/>
      <c r="AA43" s="3462"/>
      <c r="AB43" s="3341"/>
      <c r="AC43" s="3341"/>
      <c r="AD43" s="3349">
        <f t="shared" si="105"/>
        <v>0</v>
      </c>
      <c r="AE43" s="4428" t="e">
        <f t="shared" si="106"/>
        <v>#DIV/0!</v>
      </c>
      <c r="AF43" s="4429"/>
      <c r="AG43" s="3341"/>
      <c r="AH43" s="3341"/>
      <c r="AI43" s="3349">
        <f t="shared" si="107"/>
        <v>0</v>
      </c>
      <c r="AJ43" s="4428" t="e">
        <f t="shared" si="108"/>
        <v>#DIV/0!</v>
      </c>
      <c r="AK43" s="4429"/>
      <c r="AL43" s="3341"/>
      <c r="AM43" s="3341"/>
      <c r="AN43" s="3349">
        <f t="shared" si="109"/>
        <v>0</v>
      </c>
      <c r="AO43" s="4428" t="e">
        <f t="shared" si="110"/>
        <v>#DIV/0!</v>
      </c>
      <c r="AP43" s="4429"/>
      <c r="AQ43" s="3341"/>
      <c r="AR43" s="3341"/>
      <c r="AS43" s="3349">
        <f t="shared" si="111"/>
        <v>0</v>
      </c>
      <c r="AT43" s="4428" t="e">
        <f t="shared" si="112"/>
        <v>#DIV/0!</v>
      </c>
      <c r="AU43" s="4429"/>
      <c r="AV43" s="3341"/>
      <c r="AW43" s="3341"/>
      <c r="AX43" s="3349">
        <f t="shared" si="113"/>
        <v>0</v>
      </c>
      <c r="AY43" s="4428">
        <f t="shared" si="114"/>
        <v>0</v>
      </c>
      <c r="AZ43" s="4429"/>
      <c r="BA43" s="3341"/>
      <c r="BB43" s="3341"/>
      <c r="BC43" s="3349">
        <f t="shared" si="115"/>
        <v>0</v>
      </c>
      <c r="BD43" s="4428">
        <f t="shared" si="116"/>
        <v>0</v>
      </c>
      <c r="BE43" s="4429"/>
      <c r="BF43" s="3341"/>
      <c r="BG43" s="3341"/>
      <c r="BH43" s="3349">
        <f t="shared" si="117"/>
        <v>0</v>
      </c>
      <c r="BI43" s="4428" t="e">
        <f t="shared" si="118"/>
        <v>#DIV/0!</v>
      </c>
      <c r="BJ43" s="4429"/>
      <c r="BK43" s="3341"/>
      <c r="BL43" s="3341"/>
      <c r="BM43" s="3349">
        <f t="shared" si="119"/>
        <v>0</v>
      </c>
      <c r="BN43" s="4428" t="e">
        <f t="shared" si="120"/>
        <v>#DIV/0!</v>
      </c>
      <c r="BO43" s="4429"/>
      <c r="BP43" s="3341"/>
      <c r="BQ43" s="3341"/>
      <c r="BR43" s="3349">
        <f t="shared" si="121"/>
        <v>0</v>
      </c>
      <c r="BS43" s="4428" t="e">
        <f t="shared" si="122"/>
        <v>#DIV/0!</v>
      </c>
      <c r="BT43" s="4429"/>
      <c r="BU43" s="3341"/>
      <c r="BV43" s="3341"/>
      <c r="BW43" s="3349">
        <f t="shared" si="123"/>
        <v>0</v>
      </c>
      <c r="BX43" s="4428" t="e">
        <f t="shared" si="124"/>
        <v>#DIV/0!</v>
      </c>
      <c r="BY43" s="4429"/>
      <c r="BZ43" s="3341"/>
      <c r="CA43" s="3341"/>
      <c r="CB43" s="3349">
        <f t="shared" si="125"/>
        <v>0</v>
      </c>
      <c r="CC43" s="4428" t="e">
        <f t="shared" si="126"/>
        <v>#DIV/0!</v>
      </c>
      <c r="CD43" s="4429"/>
      <c r="CE43" s="3341"/>
      <c r="CF43" s="3341"/>
      <c r="CG43" s="3349">
        <f t="shared" si="127"/>
        <v>0</v>
      </c>
      <c r="CH43" s="4428" t="e">
        <f t="shared" si="128"/>
        <v>#DIV/0!</v>
      </c>
      <c r="CI43" s="4429"/>
      <c r="CJ43" s="3341">
        <f t="shared" si="129"/>
        <v>0</v>
      </c>
      <c r="CK43" s="3341">
        <f t="shared" si="129"/>
        <v>0</v>
      </c>
      <c r="CL43" s="2012">
        <f t="shared" si="130"/>
        <v>0</v>
      </c>
      <c r="CM43" s="4428">
        <f t="shared" si="94"/>
        <v>0</v>
      </c>
      <c r="CN43" s="4432"/>
      <c r="CP43" s="2012">
        <f t="shared" si="131"/>
        <v>0</v>
      </c>
      <c r="CQ43" s="2012">
        <f t="shared" si="131"/>
        <v>0</v>
      </c>
      <c r="CR43" s="4614"/>
    </row>
    <row r="44" spans="1:98" ht="13.8" outlineLevel="2">
      <c r="A44" s="4833"/>
      <c r="B44" s="4632" t="s">
        <v>28</v>
      </c>
      <c r="C44" s="3341"/>
      <c r="D44" s="3341"/>
      <c r="E44" s="3349">
        <f t="shared" si="95"/>
        <v>0</v>
      </c>
      <c r="F44" s="4428" t="e">
        <f t="shared" si="96"/>
        <v>#DIV/0!</v>
      </c>
      <c r="G44" s="4429"/>
      <c r="H44" s="3341"/>
      <c r="I44" s="3341"/>
      <c r="J44" s="3349">
        <f t="shared" si="97"/>
        <v>0</v>
      </c>
      <c r="K44" s="4428" t="e">
        <f t="shared" si="98"/>
        <v>#DIV/0!</v>
      </c>
      <c r="L44" s="4429"/>
      <c r="M44" s="3341"/>
      <c r="N44" s="3341"/>
      <c r="O44" s="3349">
        <f t="shared" si="99"/>
        <v>0</v>
      </c>
      <c r="P44" s="4428" t="e">
        <f t="shared" si="100"/>
        <v>#DIV/0!</v>
      </c>
      <c r="Q44" s="4429"/>
      <c r="R44" s="3342">
        <f t="shared" si="101"/>
        <v>0</v>
      </c>
      <c r="S44" s="3342">
        <f t="shared" si="101"/>
        <v>0</v>
      </c>
      <c r="T44" s="2012">
        <f t="shared" si="102"/>
        <v>0</v>
      </c>
      <c r="U44" s="3462"/>
      <c r="V44" s="3462"/>
      <c r="W44" s="3342">
        <f t="shared" si="103"/>
        <v>0</v>
      </c>
      <c r="X44" s="3342">
        <f t="shared" si="103"/>
        <v>0</v>
      </c>
      <c r="Y44" s="2012">
        <f t="shared" si="104"/>
        <v>0</v>
      </c>
      <c r="Z44" s="3462"/>
      <c r="AA44" s="3462"/>
      <c r="AB44" s="3341"/>
      <c r="AC44" s="3341"/>
      <c r="AD44" s="3349">
        <f t="shared" si="105"/>
        <v>0</v>
      </c>
      <c r="AE44" s="4428" t="e">
        <f t="shared" si="106"/>
        <v>#DIV/0!</v>
      </c>
      <c r="AF44" s="4429"/>
      <c r="AG44" s="3341"/>
      <c r="AH44" s="3341"/>
      <c r="AI44" s="3349">
        <f t="shared" si="107"/>
        <v>0</v>
      </c>
      <c r="AJ44" s="4428" t="e">
        <f t="shared" si="108"/>
        <v>#DIV/0!</v>
      </c>
      <c r="AK44" s="4429"/>
      <c r="AL44" s="3341"/>
      <c r="AM44" s="3341"/>
      <c r="AN44" s="3349">
        <f t="shared" si="109"/>
        <v>0</v>
      </c>
      <c r="AO44" s="4428" t="e">
        <f t="shared" si="110"/>
        <v>#DIV/0!</v>
      </c>
      <c r="AP44" s="4429"/>
      <c r="AQ44" s="3341"/>
      <c r="AR44" s="3341"/>
      <c r="AS44" s="3349">
        <f t="shared" si="111"/>
        <v>0</v>
      </c>
      <c r="AT44" s="4428" t="e">
        <f t="shared" si="112"/>
        <v>#DIV/0!</v>
      </c>
      <c r="AU44" s="4429"/>
      <c r="AV44" s="3341"/>
      <c r="AW44" s="3341"/>
      <c r="AX44" s="3349">
        <f t="shared" si="113"/>
        <v>0</v>
      </c>
      <c r="AY44" s="4428">
        <f t="shared" si="114"/>
        <v>0</v>
      </c>
      <c r="AZ44" s="4429"/>
      <c r="BA44" s="3341"/>
      <c r="BB44" s="3341"/>
      <c r="BC44" s="3349">
        <f t="shared" si="115"/>
        <v>0</v>
      </c>
      <c r="BD44" s="4428">
        <f t="shared" si="116"/>
        <v>0</v>
      </c>
      <c r="BE44" s="4429"/>
      <c r="BF44" s="3341"/>
      <c r="BG44" s="3341"/>
      <c r="BH44" s="3349">
        <f t="shared" si="117"/>
        <v>0</v>
      </c>
      <c r="BI44" s="4428" t="e">
        <f t="shared" si="118"/>
        <v>#DIV/0!</v>
      </c>
      <c r="BJ44" s="4429"/>
      <c r="BK44" s="3341"/>
      <c r="BL44" s="3341"/>
      <c r="BM44" s="3349">
        <f t="shared" si="119"/>
        <v>0</v>
      </c>
      <c r="BN44" s="4428" t="e">
        <f t="shared" si="120"/>
        <v>#DIV/0!</v>
      </c>
      <c r="BO44" s="4429"/>
      <c r="BP44" s="3341"/>
      <c r="BQ44" s="3341"/>
      <c r="BR44" s="3349">
        <f t="shared" si="121"/>
        <v>0</v>
      </c>
      <c r="BS44" s="4428" t="e">
        <f t="shared" si="122"/>
        <v>#DIV/0!</v>
      </c>
      <c r="BT44" s="4429"/>
      <c r="BU44" s="3341"/>
      <c r="BV44" s="3341"/>
      <c r="BW44" s="3349">
        <f t="shared" si="123"/>
        <v>0</v>
      </c>
      <c r="BX44" s="4428" t="e">
        <f t="shared" si="124"/>
        <v>#DIV/0!</v>
      </c>
      <c r="BY44" s="4429"/>
      <c r="BZ44" s="3341"/>
      <c r="CA44" s="3341"/>
      <c r="CB44" s="3349">
        <f t="shared" si="125"/>
        <v>0</v>
      </c>
      <c r="CC44" s="4428" t="e">
        <f t="shared" si="126"/>
        <v>#DIV/0!</v>
      </c>
      <c r="CD44" s="4429"/>
      <c r="CE44" s="3341"/>
      <c r="CF44" s="3341"/>
      <c r="CG44" s="3349">
        <f t="shared" si="127"/>
        <v>0</v>
      </c>
      <c r="CH44" s="4428" t="e">
        <f t="shared" si="128"/>
        <v>#DIV/0!</v>
      </c>
      <c r="CI44" s="4429"/>
      <c r="CJ44" s="3341">
        <f t="shared" si="129"/>
        <v>0</v>
      </c>
      <c r="CK44" s="3341">
        <f t="shared" si="129"/>
        <v>0</v>
      </c>
      <c r="CL44" s="2012">
        <f t="shared" si="130"/>
        <v>0</v>
      </c>
      <c r="CM44" s="4428">
        <f t="shared" si="94"/>
        <v>0</v>
      </c>
      <c r="CN44" s="4432"/>
      <c r="CP44" s="2012">
        <f t="shared" si="131"/>
        <v>0</v>
      </c>
      <c r="CQ44" s="2012">
        <f t="shared" si="131"/>
        <v>0</v>
      </c>
      <c r="CR44" s="4614"/>
    </row>
    <row r="45" spans="1:98" ht="13.8" outlineLevel="2">
      <c r="A45" s="4833"/>
      <c r="B45" s="4640" t="s">
        <v>8</v>
      </c>
      <c r="C45" s="3341"/>
      <c r="D45" s="3341"/>
      <c r="E45" s="3349">
        <f t="shared" si="95"/>
        <v>0</v>
      </c>
      <c r="F45" s="4428" t="e">
        <f t="shared" si="96"/>
        <v>#DIV/0!</v>
      </c>
      <c r="G45" s="4429"/>
      <c r="H45" s="3341"/>
      <c r="I45" s="3341"/>
      <c r="J45" s="3349">
        <f t="shared" si="97"/>
        <v>0</v>
      </c>
      <c r="K45" s="4428" t="e">
        <f t="shared" si="98"/>
        <v>#DIV/0!</v>
      </c>
      <c r="L45" s="4429"/>
      <c r="M45" s="3341"/>
      <c r="N45" s="3341"/>
      <c r="O45" s="3349">
        <f t="shared" si="99"/>
        <v>0</v>
      </c>
      <c r="P45" s="4428" t="e">
        <f t="shared" si="100"/>
        <v>#DIV/0!</v>
      </c>
      <c r="Q45" s="4429"/>
      <c r="R45" s="3342">
        <f t="shared" si="101"/>
        <v>0</v>
      </c>
      <c r="S45" s="3342">
        <f t="shared" si="101"/>
        <v>0</v>
      </c>
      <c r="T45" s="2012">
        <f t="shared" si="102"/>
        <v>0</v>
      </c>
      <c r="U45" s="3462"/>
      <c r="V45" s="3462"/>
      <c r="W45" s="3342">
        <f t="shared" si="103"/>
        <v>0</v>
      </c>
      <c r="X45" s="3342">
        <f t="shared" si="103"/>
        <v>0</v>
      </c>
      <c r="Y45" s="2012">
        <f t="shared" si="104"/>
        <v>0</v>
      </c>
      <c r="Z45" s="3462"/>
      <c r="AA45" s="3462"/>
      <c r="AB45" s="3341"/>
      <c r="AC45" s="3341"/>
      <c r="AD45" s="3349">
        <f t="shared" si="105"/>
        <v>0</v>
      </c>
      <c r="AE45" s="4428" t="e">
        <f t="shared" si="106"/>
        <v>#DIV/0!</v>
      </c>
      <c r="AF45" s="4429"/>
      <c r="AG45" s="3341"/>
      <c r="AH45" s="3341"/>
      <c r="AI45" s="3349">
        <f t="shared" si="107"/>
        <v>0</v>
      </c>
      <c r="AJ45" s="4428" t="e">
        <f t="shared" si="108"/>
        <v>#DIV/0!</v>
      </c>
      <c r="AK45" s="4429"/>
      <c r="AL45" s="3341"/>
      <c r="AM45" s="3341"/>
      <c r="AN45" s="3349">
        <f t="shared" si="109"/>
        <v>0</v>
      </c>
      <c r="AO45" s="4428" t="e">
        <f t="shared" si="110"/>
        <v>#DIV/0!</v>
      </c>
      <c r="AP45" s="4429"/>
      <c r="AQ45" s="3341"/>
      <c r="AR45" s="3341"/>
      <c r="AS45" s="3349">
        <f t="shared" si="111"/>
        <v>0</v>
      </c>
      <c r="AT45" s="4428" t="e">
        <f t="shared" si="112"/>
        <v>#DIV/0!</v>
      </c>
      <c r="AU45" s="4429"/>
      <c r="AV45" s="3341"/>
      <c r="AW45" s="3341"/>
      <c r="AX45" s="3349">
        <f t="shared" si="113"/>
        <v>0</v>
      </c>
      <c r="AY45" s="4428">
        <f t="shared" si="114"/>
        <v>0</v>
      </c>
      <c r="AZ45" s="4429"/>
      <c r="BA45" s="3341"/>
      <c r="BB45" s="3341"/>
      <c r="BC45" s="3349">
        <f t="shared" si="115"/>
        <v>0</v>
      </c>
      <c r="BD45" s="4428">
        <f t="shared" si="116"/>
        <v>0</v>
      </c>
      <c r="BE45" s="4429"/>
      <c r="BF45" s="3341"/>
      <c r="BG45" s="3341"/>
      <c r="BH45" s="3349">
        <f t="shared" si="117"/>
        <v>0</v>
      </c>
      <c r="BI45" s="4428" t="e">
        <f t="shared" si="118"/>
        <v>#DIV/0!</v>
      </c>
      <c r="BJ45" s="4429"/>
      <c r="BK45" s="3341"/>
      <c r="BL45" s="3341"/>
      <c r="BM45" s="3349">
        <f t="shared" si="119"/>
        <v>0</v>
      </c>
      <c r="BN45" s="4428" t="e">
        <f t="shared" si="120"/>
        <v>#DIV/0!</v>
      </c>
      <c r="BO45" s="4429"/>
      <c r="BP45" s="3341"/>
      <c r="BQ45" s="3341"/>
      <c r="BR45" s="3349">
        <f t="shared" si="121"/>
        <v>0</v>
      </c>
      <c r="BS45" s="4428" t="e">
        <f t="shared" si="122"/>
        <v>#DIV/0!</v>
      </c>
      <c r="BT45" s="4429"/>
      <c r="BU45" s="3341"/>
      <c r="BV45" s="3341"/>
      <c r="BW45" s="3349">
        <f t="shared" si="123"/>
        <v>0</v>
      </c>
      <c r="BX45" s="4428" t="e">
        <f t="shared" si="124"/>
        <v>#DIV/0!</v>
      </c>
      <c r="BY45" s="4429"/>
      <c r="BZ45" s="3341"/>
      <c r="CA45" s="3341"/>
      <c r="CB45" s="3349">
        <f t="shared" si="125"/>
        <v>0</v>
      </c>
      <c r="CC45" s="4428" t="e">
        <f t="shared" si="126"/>
        <v>#DIV/0!</v>
      </c>
      <c r="CD45" s="4429"/>
      <c r="CE45" s="3341"/>
      <c r="CF45" s="3341"/>
      <c r="CG45" s="3349">
        <f t="shared" si="127"/>
        <v>0</v>
      </c>
      <c r="CH45" s="4428" t="e">
        <f t="shared" si="128"/>
        <v>#DIV/0!</v>
      </c>
      <c r="CI45" s="4429"/>
      <c r="CJ45" s="3341">
        <f t="shared" si="129"/>
        <v>0</v>
      </c>
      <c r="CK45" s="3341">
        <f t="shared" si="129"/>
        <v>0</v>
      </c>
      <c r="CL45" s="2012">
        <f t="shared" si="130"/>
        <v>0</v>
      </c>
      <c r="CM45" s="4428">
        <f t="shared" si="94"/>
        <v>0</v>
      </c>
      <c r="CN45" s="4432"/>
      <c r="CP45" s="2012">
        <f t="shared" si="131"/>
        <v>0</v>
      </c>
      <c r="CQ45" s="2012">
        <f t="shared" si="131"/>
        <v>0</v>
      </c>
      <c r="CR45" s="4614"/>
    </row>
    <row r="46" spans="1:98" ht="13.8" outlineLevel="2">
      <c r="A46" s="4833"/>
      <c r="B46" s="4640" t="s">
        <v>29</v>
      </c>
      <c r="C46" s="3341"/>
      <c r="D46" s="3341"/>
      <c r="E46" s="3349">
        <f t="shared" si="95"/>
        <v>0</v>
      </c>
      <c r="F46" s="4428" t="e">
        <f t="shared" si="96"/>
        <v>#DIV/0!</v>
      </c>
      <c r="G46" s="4429"/>
      <c r="H46" s="3341"/>
      <c r="I46" s="3341"/>
      <c r="J46" s="3349">
        <f t="shared" si="97"/>
        <v>0</v>
      </c>
      <c r="K46" s="4428" t="e">
        <f t="shared" si="98"/>
        <v>#DIV/0!</v>
      </c>
      <c r="L46" s="4429"/>
      <c r="M46" s="3341"/>
      <c r="N46" s="3341"/>
      <c r="O46" s="3349">
        <f t="shared" si="99"/>
        <v>0</v>
      </c>
      <c r="P46" s="4428" t="e">
        <f t="shared" si="100"/>
        <v>#DIV/0!</v>
      </c>
      <c r="Q46" s="4429"/>
      <c r="R46" s="3342">
        <f t="shared" si="101"/>
        <v>0</v>
      </c>
      <c r="S46" s="3342">
        <f t="shared" si="101"/>
        <v>0</v>
      </c>
      <c r="T46" s="2012">
        <f t="shared" si="102"/>
        <v>0</v>
      </c>
      <c r="U46" s="3462"/>
      <c r="V46" s="3462"/>
      <c r="W46" s="3342">
        <f t="shared" si="103"/>
        <v>0</v>
      </c>
      <c r="X46" s="3342">
        <f t="shared" si="103"/>
        <v>0</v>
      </c>
      <c r="Y46" s="2012">
        <f t="shared" si="104"/>
        <v>0</v>
      </c>
      <c r="Z46" s="3462"/>
      <c r="AA46" s="3462"/>
      <c r="AB46" s="3341"/>
      <c r="AC46" s="3341"/>
      <c r="AD46" s="3349">
        <f t="shared" si="105"/>
        <v>0</v>
      </c>
      <c r="AE46" s="4428" t="e">
        <f t="shared" si="106"/>
        <v>#DIV/0!</v>
      </c>
      <c r="AF46" s="4429"/>
      <c r="AG46" s="3341"/>
      <c r="AH46" s="3341"/>
      <c r="AI46" s="3349">
        <f t="shared" si="107"/>
        <v>0</v>
      </c>
      <c r="AJ46" s="4428" t="e">
        <f t="shared" si="108"/>
        <v>#DIV/0!</v>
      </c>
      <c r="AK46" s="4429"/>
      <c r="AL46" s="3341"/>
      <c r="AM46" s="3341"/>
      <c r="AN46" s="3349">
        <f t="shared" si="109"/>
        <v>0</v>
      </c>
      <c r="AO46" s="4428" t="e">
        <f t="shared" si="110"/>
        <v>#DIV/0!</v>
      </c>
      <c r="AP46" s="4429"/>
      <c r="AQ46" s="3341"/>
      <c r="AR46" s="3341"/>
      <c r="AS46" s="3349">
        <f t="shared" si="111"/>
        <v>0</v>
      </c>
      <c r="AT46" s="4428" t="e">
        <f t="shared" si="112"/>
        <v>#DIV/0!</v>
      </c>
      <c r="AU46" s="4429"/>
      <c r="AV46" s="3341"/>
      <c r="AW46" s="3341"/>
      <c r="AX46" s="3349">
        <f t="shared" si="113"/>
        <v>0</v>
      </c>
      <c r="AY46" s="4428">
        <f t="shared" si="114"/>
        <v>0</v>
      </c>
      <c r="AZ46" s="4429"/>
      <c r="BA46" s="3341"/>
      <c r="BB46" s="3341"/>
      <c r="BC46" s="3349">
        <f t="shared" si="115"/>
        <v>0</v>
      </c>
      <c r="BD46" s="4428">
        <f t="shared" si="116"/>
        <v>0</v>
      </c>
      <c r="BE46" s="4429"/>
      <c r="BF46" s="3341"/>
      <c r="BG46" s="3341"/>
      <c r="BH46" s="3349">
        <f t="shared" si="117"/>
        <v>0</v>
      </c>
      <c r="BI46" s="4428" t="e">
        <f t="shared" si="118"/>
        <v>#DIV/0!</v>
      </c>
      <c r="BJ46" s="4429"/>
      <c r="BK46" s="3341"/>
      <c r="BL46" s="3341"/>
      <c r="BM46" s="3349">
        <f t="shared" si="119"/>
        <v>0</v>
      </c>
      <c r="BN46" s="4428" t="e">
        <f t="shared" si="120"/>
        <v>#DIV/0!</v>
      </c>
      <c r="BO46" s="4429"/>
      <c r="BP46" s="3341"/>
      <c r="BQ46" s="3341"/>
      <c r="BR46" s="3349">
        <f t="shared" si="121"/>
        <v>0</v>
      </c>
      <c r="BS46" s="4428" t="e">
        <f t="shared" si="122"/>
        <v>#DIV/0!</v>
      </c>
      <c r="BT46" s="4429"/>
      <c r="BU46" s="3341"/>
      <c r="BV46" s="3341"/>
      <c r="BW46" s="3349">
        <f t="shared" si="123"/>
        <v>0</v>
      </c>
      <c r="BX46" s="4428" t="e">
        <f t="shared" si="124"/>
        <v>#DIV/0!</v>
      </c>
      <c r="BY46" s="4429"/>
      <c r="BZ46" s="3341"/>
      <c r="CA46" s="3341"/>
      <c r="CB46" s="3349">
        <f t="shared" si="125"/>
        <v>0</v>
      </c>
      <c r="CC46" s="4428" t="e">
        <f t="shared" si="126"/>
        <v>#DIV/0!</v>
      </c>
      <c r="CD46" s="4429"/>
      <c r="CE46" s="3341"/>
      <c r="CF46" s="3341"/>
      <c r="CG46" s="3349">
        <f t="shared" si="127"/>
        <v>0</v>
      </c>
      <c r="CH46" s="4428" t="e">
        <f t="shared" si="128"/>
        <v>#DIV/0!</v>
      </c>
      <c r="CI46" s="4429"/>
      <c r="CJ46" s="3341">
        <f t="shared" si="129"/>
        <v>0</v>
      </c>
      <c r="CK46" s="3341">
        <f t="shared" si="129"/>
        <v>0</v>
      </c>
      <c r="CL46" s="2012">
        <f t="shared" si="130"/>
        <v>0</v>
      </c>
      <c r="CM46" s="4428">
        <f t="shared" si="94"/>
        <v>0</v>
      </c>
      <c r="CN46" s="4432"/>
      <c r="CP46" s="2012">
        <f t="shared" si="131"/>
        <v>0</v>
      </c>
      <c r="CQ46" s="2012">
        <f t="shared" si="131"/>
        <v>0</v>
      </c>
      <c r="CR46" s="4614"/>
    </row>
    <row r="47" spans="1:98" ht="13.8" outlineLevel="2">
      <c r="A47" s="4833"/>
      <c r="B47" s="4640" t="s">
        <v>30</v>
      </c>
      <c r="C47" s="3341"/>
      <c r="D47" s="3341"/>
      <c r="E47" s="3349">
        <f t="shared" si="95"/>
        <v>0</v>
      </c>
      <c r="F47" s="4428" t="e">
        <f t="shared" si="96"/>
        <v>#DIV/0!</v>
      </c>
      <c r="G47" s="4429"/>
      <c r="H47" s="3341"/>
      <c r="I47" s="3341"/>
      <c r="J47" s="3349">
        <f t="shared" si="97"/>
        <v>0</v>
      </c>
      <c r="K47" s="4428" t="e">
        <f t="shared" si="98"/>
        <v>#DIV/0!</v>
      </c>
      <c r="L47" s="4429"/>
      <c r="M47" s="3341"/>
      <c r="N47" s="3341"/>
      <c r="O47" s="3349">
        <f t="shared" si="99"/>
        <v>0</v>
      </c>
      <c r="P47" s="4428" t="e">
        <f t="shared" si="100"/>
        <v>#DIV/0!</v>
      </c>
      <c r="Q47" s="4429"/>
      <c r="R47" s="3342">
        <f t="shared" si="101"/>
        <v>0</v>
      </c>
      <c r="S47" s="3342">
        <f t="shared" si="101"/>
        <v>0</v>
      </c>
      <c r="T47" s="2012">
        <f t="shared" si="102"/>
        <v>0</v>
      </c>
      <c r="U47" s="3462"/>
      <c r="V47" s="3462"/>
      <c r="W47" s="3342">
        <f t="shared" si="103"/>
        <v>0</v>
      </c>
      <c r="X47" s="3342">
        <f t="shared" si="103"/>
        <v>0</v>
      </c>
      <c r="Y47" s="2012">
        <f t="shared" si="104"/>
        <v>0</v>
      </c>
      <c r="Z47" s="3462"/>
      <c r="AA47" s="3462"/>
      <c r="AB47" s="3341"/>
      <c r="AC47" s="3341"/>
      <c r="AD47" s="3349">
        <f t="shared" si="105"/>
        <v>0</v>
      </c>
      <c r="AE47" s="4428" t="e">
        <f t="shared" si="106"/>
        <v>#DIV/0!</v>
      </c>
      <c r="AF47" s="4429"/>
      <c r="AG47" s="3341"/>
      <c r="AH47" s="3341"/>
      <c r="AI47" s="3349">
        <f t="shared" si="107"/>
        <v>0</v>
      </c>
      <c r="AJ47" s="4428" t="e">
        <f t="shared" si="108"/>
        <v>#DIV/0!</v>
      </c>
      <c r="AK47" s="4429"/>
      <c r="AL47" s="3341"/>
      <c r="AM47" s="3341"/>
      <c r="AN47" s="3349">
        <f t="shared" si="109"/>
        <v>0</v>
      </c>
      <c r="AO47" s="4428" t="e">
        <f t="shared" si="110"/>
        <v>#DIV/0!</v>
      </c>
      <c r="AP47" s="4429"/>
      <c r="AQ47" s="3341"/>
      <c r="AR47" s="3341"/>
      <c r="AS47" s="3349">
        <f t="shared" si="111"/>
        <v>0</v>
      </c>
      <c r="AT47" s="4428" t="e">
        <f t="shared" si="112"/>
        <v>#DIV/0!</v>
      </c>
      <c r="AU47" s="4429"/>
      <c r="AV47" s="3341"/>
      <c r="AW47" s="3341"/>
      <c r="AX47" s="3349">
        <f t="shared" si="113"/>
        <v>0</v>
      </c>
      <c r="AY47" s="4428">
        <f t="shared" si="114"/>
        <v>0</v>
      </c>
      <c r="AZ47" s="4429"/>
      <c r="BA47" s="3341"/>
      <c r="BB47" s="3341"/>
      <c r="BC47" s="3349">
        <f t="shared" si="115"/>
        <v>0</v>
      </c>
      <c r="BD47" s="4428">
        <f t="shared" si="116"/>
        <v>0</v>
      </c>
      <c r="BE47" s="4429"/>
      <c r="BF47" s="3341"/>
      <c r="BG47" s="3341"/>
      <c r="BH47" s="3349">
        <f t="shared" si="117"/>
        <v>0</v>
      </c>
      <c r="BI47" s="4428" t="e">
        <f t="shared" si="118"/>
        <v>#DIV/0!</v>
      </c>
      <c r="BJ47" s="4429"/>
      <c r="BK47" s="3341"/>
      <c r="BL47" s="3341"/>
      <c r="BM47" s="3349">
        <f t="shared" si="119"/>
        <v>0</v>
      </c>
      <c r="BN47" s="4428" t="e">
        <f t="shared" si="120"/>
        <v>#DIV/0!</v>
      </c>
      <c r="BO47" s="4429"/>
      <c r="BP47" s="3341"/>
      <c r="BQ47" s="3341"/>
      <c r="BR47" s="3349">
        <f t="shared" si="121"/>
        <v>0</v>
      </c>
      <c r="BS47" s="4428" t="e">
        <f t="shared" si="122"/>
        <v>#DIV/0!</v>
      </c>
      <c r="BT47" s="4429"/>
      <c r="BU47" s="3341"/>
      <c r="BV47" s="3341"/>
      <c r="BW47" s="3349">
        <f t="shared" si="123"/>
        <v>0</v>
      </c>
      <c r="BX47" s="4428" t="e">
        <f t="shared" si="124"/>
        <v>#DIV/0!</v>
      </c>
      <c r="BY47" s="4429"/>
      <c r="BZ47" s="3341"/>
      <c r="CA47" s="3341"/>
      <c r="CB47" s="3349">
        <f t="shared" si="125"/>
        <v>0</v>
      </c>
      <c r="CC47" s="4428" t="e">
        <f t="shared" si="126"/>
        <v>#DIV/0!</v>
      </c>
      <c r="CD47" s="4429"/>
      <c r="CE47" s="3341"/>
      <c r="CF47" s="3341"/>
      <c r="CG47" s="3349">
        <f t="shared" si="127"/>
        <v>0</v>
      </c>
      <c r="CH47" s="4428" t="e">
        <f t="shared" si="128"/>
        <v>#DIV/0!</v>
      </c>
      <c r="CI47" s="4429"/>
      <c r="CJ47" s="3341">
        <f t="shared" si="129"/>
        <v>0</v>
      </c>
      <c r="CK47" s="3341">
        <f t="shared" si="129"/>
        <v>0</v>
      </c>
      <c r="CL47" s="2012">
        <f t="shared" si="130"/>
        <v>0</v>
      </c>
      <c r="CM47" s="4428">
        <f t="shared" si="94"/>
        <v>0</v>
      </c>
      <c r="CN47" s="4432"/>
      <c r="CP47" s="2012">
        <f t="shared" si="131"/>
        <v>0</v>
      </c>
      <c r="CQ47" s="2012">
        <f t="shared" si="131"/>
        <v>0</v>
      </c>
      <c r="CR47" s="4614"/>
    </row>
    <row r="48" spans="1:98" ht="13.8" outlineLevel="2">
      <c r="A48" s="4833"/>
      <c r="B48" s="4640" t="s">
        <v>15</v>
      </c>
      <c r="C48" s="3341"/>
      <c r="D48" s="3341"/>
      <c r="E48" s="3349">
        <f t="shared" si="95"/>
        <v>0</v>
      </c>
      <c r="F48" s="4428" t="e">
        <f t="shared" si="96"/>
        <v>#DIV/0!</v>
      </c>
      <c r="G48" s="4429"/>
      <c r="H48" s="3341"/>
      <c r="I48" s="3341"/>
      <c r="J48" s="3349">
        <f t="shared" si="97"/>
        <v>0</v>
      </c>
      <c r="K48" s="4428" t="e">
        <f t="shared" si="98"/>
        <v>#DIV/0!</v>
      </c>
      <c r="L48" s="4429"/>
      <c r="M48" s="3341"/>
      <c r="N48" s="3341"/>
      <c r="O48" s="3349">
        <f t="shared" si="99"/>
        <v>0</v>
      </c>
      <c r="P48" s="4428" t="e">
        <f t="shared" si="100"/>
        <v>#DIV/0!</v>
      </c>
      <c r="Q48" s="4429"/>
      <c r="R48" s="3342">
        <f t="shared" si="101"/>
        <v>0</v>
      </c>
      <c r="S48" s="3342">
        <f t="shared" si="101"/>
        <v>0</v>
      </c>
      <c r="T48" s="2012">
        <f t="shared" si="102"/>
        <v>0</v>
      </c>
      <c r="U48" s="4641"/>
      <c r="V48" s="4429"/>
      <c r="W48" s="4642">
        <f t="shared" si="103"/>
        <v>0</v>
      </c>
      <c r="X48" s="4642">
        <f t="shared" si="103"/>
        <v>0</v>
      </c>
      <c r="Y48" s="4453">
        <f t="shared" si="104"/>
        <v>0</v>
      </c>
      <c r="Z48" s="4429"/>
      <c r="AA48" s="4429"/>
      <c r="AB48" s="4623"/>
      <c r="AC48" s="4623"/>
      <c r="AD48" s="4643">
        <f t="shared" si="105"/>
        <v>0</v>
      </c>
      <c r="AE48" s="4428" t="e">
        <f t="shared" si="106"/>
        <v>#DIV/0!</v>
      </c>
      <c r="AF48" s="4429"/>
      <c r="AG48" s="4623"/>
      <c r="AH48" s="3341"/>
      <c r="AI48" s="3349">
        <f t="shared" si="107"/>
        <v>0</v>
      </c>
      <c r="AJ48" s="4428" t="e">
        <f t="shared" si="108"/>
        <v>#DIV/0!</v>
      </c>
      <c r="AK48" s="4429"/>
      <c r="AL48" s="3341"/>
      <c r="AM48" s="3341"/>
      <c r="AN48" s="3349">
        <f t="shared" si="109"/>
        <v>0</v>
      </c>
      <c r="AO48" s="4428" t="e">
        <f t="shared" si="110"/>
        <v>#DIV/0!</v>
      </c>
      <c r="AP48" s="4429"/>
      <c r="AQ48" s="3341"/>
      <c r="AR48" s="3341"/>
      <c r="AS48" s="3349">
        <f t="shared" si="111"/>
        <v>0</v>
      </c>
      <c r="AT48" s="4428" t="e">
        <f t="shared" si="112"/>
        <v>#DIV/0!</v>
      </c>
      <c r="AU48" s="4429"/>
      <c r="AV48" s="3341"/>
      <c r="AW48" s="3341"/>
      <c r="AX48" s="3349">
        <f t="shared" si="113"/>
        <v>0</v>
      </c>
      <c r="AY48" s="4428">
        <f t="shared" si="114"/>
        <v>0</v>
      </c>
      <c r="AZ48" s="4429"/>
      <c r="BA48" s="3341"/>
      <c r="BB48" s="3341"/>
      <c r="BC48" s="3349">
        <f t="shared" si="115"/>
        <v>0</v>
      </c>
      <c r="BD48" s="4428">
        <f t="shared" si="116"/>
        <v>0</v>
      </c>
      <c r="BE48" s="4429"/>
      <c r="BF48" s="3341"/>
      <c r="BG48" s="3341"/>
      <c r="BH48" s="3349">
        <f t="shared" si="117"/>
        <v>0</v>
      </c>
      <c r="BI48" s="4428" t="e">
        <f t="shared" si="118"/>
        <v>#DIV/0!</v>
      </c>
      <c r="BJ48" s="4429"/>
      <c r="BK48" s="3341"/>
      <c r="BL48" s="3341"/>
      <c r="BM48" s="3349">
        <f t="shared" si="119"/>
        <v>0</v>
      </c>
      <c r="BN48" s="4428" t="e">
        <f t="shared" si="120"/>
        <v>#DIV/0!</v>
      </c>
      <c r="BO48" s="4429"/>
      <c r="BP48" s="3341"/>
      <c r="BQ48" s="3341"/>
      <c r="BR48" s="3349">
        <f t="shared" si="121"/>
        <v>0</v>
      </c>
      <c r="BS48" s="4428" t="e">
        <f t="shared" si="122"/>
        <v>#DIV/0!</v>
      </c>
      <c r="BT48" s="4429"/>
      <c r="BU48" s="3341"/>
      <c r="BV48" s="3341"/>
      <c r="BW48" s="3349">
        <f t="shared" si="123"/>
        <v>0</v>
      </c>
      <c r="BX48" s="4428" t="e">
        <f t="shared" si="124"/>
        <v>#DIV/0!</v>
      </c>
      <c r="BY48" s="4429"/>
      <c r="BZ48" s="3341"/>
      <c r="CA48" s="3341"/>
      <c r="CB48" s="3349">
        <f t="shared" si="125"/>
        <v>0</v>
      </c>
      <c r="CC48" s="4428" t="e">
        <f t="shared" si="126"/>
        <v>#DIV/0!</v>
      </c>
      <c r="CD48" s="4429"/>
      <c r="CE48" s="3341"/>
      <c r="CF48" s="3341"/>
      <c r="CG48" s="3349">
        <f t="shared" si="127"/>
        <v>0</v>
      </c>
      <c r="CH48" s="4428" t="e">
        <f t="shared" si="128"/>
        <v>#DIV/0!</v>
      </c>
      <c r="CI48" s="4429"/>
      <c r="CJ48" s="3341">
        <f t="shared" si="129"/>
        <v>0</v>
      </c>
      <c r="CK48" s="3341">
        <f t="shared" si="129"/>
        <v>0</v>
      </c>
      <c r="CL48" s="2012">
        <f t="shared" si="130"/>
        <v>0</v>
      </c>
      <c r="CM48" s="4428">
        <f t="shared" si="94"/>
        <v>0</v>
      </c>
      <c r="CN48" s="4432"/>
      <c r="CP48" s="2012">
        <f t="shared" si="131"/>
        <v>0</v>
      </c>
      <c r="CQ48" s="2012">
        <f t="shared" si="131"/>
        <v>0</v>
      </c>
      <c r="CR48" s="4614"/>
    </row>
    <row r="49" spans="1:98" s="1396" customFormat="1" ht="14.4" outlineLevel="2" thickBot="1">
      <c r="A49" s="1405"/>
      <c r="B49" s="4644"/>
      <c r="C49" s="3341"/>
      <c r="D49" s="3341"/>
      <c r="E49" s="4609"/>
      <c r="F49" s="4437"/>
      <c r="G49" s="4634"/>
      <c r="H49" s="3341"/>
      <c r="I49" s="3341"/>
      <c r="J49" s="4609"/>
      <c r="K49" s="4437"/>
      <c r="L49" s="4634"/>
      <c r="M49" s="3341"/>
      <c r="N49" s="3341"/>
      <c r="O49" s="4609"/>
      <c r="P49" s="4437"/>
      <c r="Q49" s="4634"/>
      <c r="R49" s="3456"/>
      <c r="S49" s="3456"/>
      <c r="T49" s="3456"/>
      <c r="U49" s="3733"/>
      <c r="V49" s="3734"/>
      <c r="W49" s="3734"/>
      <c r="X49" s="3734"/>
      <c r="Y49" s="3734"/>
      <c r="Z49" s="3734"/>
      <c r="AA49" s="3734"/>
      <c r="AB49" s="3375"/>
      <c r="AC49" s="3375"/>
      <c r="AD49" s="4609"/>
      <c r="AE49" s="4437" t="e">
        <f t="shared" si="106"/>
        <v>#DIV/0!</v>
      </c>
      <c r="AF49" s="4634"/>
      <c r="AG49" s="3375"/>
      <c r="AH49" s="3341"/>
      <c r="AI49" s="4609"/>
      <c r="AJ49" s="4437" t="e">
        <f t="shared" si="108"/>
        <v>#DIV/0!</v>
      </c>
      <c r="AK49" s="4634"/>
      <c r="AL49" s="3341"/>
      <c r="AM49" s="3341"/>
      <c r="AN49" s="4609"/>
      <c r="AO49" s="4437" t="e">
        <f t="shared" si="110"/>
        <v>#DIV/0!</v>
      </c>
      <c r="AP49" s="4634"/>
      <c r="AQ49" s="3341"/>
      <c r="AR49" s="3341"/>
      <c r="AS49" s="4609"/>
      <c r="AT49" s="4437" t="e">
        <f t="shared" si="112"/>
        <v>#DIV/0!</v>
      </c>
      <c r="AU49" s="4634"/>
      <c r="AV49" s="3341"/>
      <c r="AW49" s="3341"/>
      <c r="AX49" s="4609"/>
      <c r="AY49" s="4437">
        <f t="shared" si="114"/>
        <v>0</v>
      </c>
      <c r="AZ49" s="4634"/>
      <c r="BA49" s="3341"/>
      <c r="BB49" s="3341"/>
      <c r="BC49" s="4609"/>
      <c r="BD49" s="4437">
        <f t="shared" si="116"/>
        <v>0</v>
      </c>
      <c r="BE49" s="4634"/>
      <c r="BF49" s="3341"/>
      <c r="BG49" s="3341"/>
      <c r="BH49" s="4609"/>
      <c r="BI49" s="4437" t="e">
        <f t="shared" si="118"/>
        <v>#DIV/0!</v>
      </c>
      <c r="BJ49" s="4634"/>
      <c r="BK49" s="3341"/>
      <c r="BL49" s="3341"/>
      <c r="BM49" s="4609"/>
      <c r="BN49" s="4437" t="e">
        <f t="shared" si="120"/>
        <v>#DIV/0!</v>
      </c>
      <c r="BO49" s="4634"/>
      <c r="BP49" s="3341"/>
      <c r="BQ49" s="3341"/>
      <c r="BR49" s="4609"/>
      <c r="BS49" s="4437" t="e">
        <f t="shared" si="122"/>
        <v>#DIV/0!</v>
      </c>
      <c r="BT49" s="4634"/>
      <c r="BU49" s="3341"/>
      <c r="BV49" s="3341"/>
      <c r="BW49" s="4609"/>
      <c r="BX49" s="4437" t="e">
        <f t="shared" si="124"/>
        <v>#DIV/0!</v>
      </c>
      <c r="BY49" s="4634"/>
      <c r="BZ49" s="3341"/>
      <c r="CA49" s="3341"/>
      <c r="CB49" s="4609"/>
      <c r="CC49" s="4437" t="e">
        <f t="shared" si="126"/>
        <v>#DIV/0!</v>
      </c>
      <c r="CD49" s="4634"/>
      <c r="CE49" s="3341"/>
      <c r="CF49" s="3341"/>
      <c r="CG49" s="4609"/>
      <c r="CH49" s="4437" t="e">
        <f t="shared" si="128"/>
        <v>#DIV/0!</v>
      </c>
      <c r="CI49" s="4634"/>
      <c r="CJ49" s="3341"/>
      <c r="CK49" s="3341"/>
      <c r="CL49" s="4609"/>
      <c r="CM49" s="4428">
        <f t="shared" si="94"/>
        <v>0</v>
      </c>
      <c r="CN49" s="4609"/>
      <c r="CP49" s="4645"/>
      <c r="CQ49" s="4645"/>
      <c r="CR49" s="4614"/>
      <c r="CT49" s="2624"/>
    </row>
    <row r="50" spans="1:98" s="1396" customFormat="1" ht="13.8" outlineLevel="1">
      <c r="A50" s="1565"/>
      <c r="B50" s="1410" t="s">
        <v>59</v>
      </c>
      <c r="C50" s="2015">
        <f>C52+C51</f>
        <v>0</v>
      </c>
      <c r="D50" s="2015">
        <f>D52+D51</f>
        <v>0</v>
      </c>
      <c r="E50" s="2014">
        <f>SUM(E51:E52)</f>
        <v>0</v>
      </c>
      <c r="F50" s="4449" t="e">
        <f>E50/$E$89</f>
        <v>#DIV/0!</v>
      </c>
      <c r="G50" s="1057"/>
      <c r="H50" s="2015">
        <f>H52+H51</f>
        <v>0</v>
      </c>
      <c r="I50" s="2015">
        <f>I52+I51</f>
        <v>0</v>
      </c>
      <c r="J50" s="2014">
        <f>SUM(J51:J52)</f>
        <v>0</v>
      </c>
      <c r="K50" s="4449" t="e">
        <f>J50/$E$89</f>
        <v>#DIV/0!</v>
      </c>
      <c r="L50" s="1057"/>
      <c r="M50" s="2015">
        <f>M52+M51</f>
        <v>0</v>
      </c>
      <c r="N50" s="2015">
        <f>N52+N51</f>
        <v>0</v>
      </c>
      <c r="O50" s="2014">
        <f>SUM(O51:O52)</f>
        <v>0</v>
      </c>
      <c r="P50" s="4449" t="e">
        <f>O50/$E$89</f>
        <v>#DIV/0!</v>
      </c>
      <c r="Q50" s="1057"/>
      <c r="R50" s="2015">
        <f>R52+R51</f>
        <v>0</v>
      </c>
      <c r="S50" s="2015">
        <f>S52+S51</f>
        <v>0</v>
      </c>
      <c r="T50" s="2015">
        <f>SUM(T51:T52)</f>
        <v>0</v>
      </c>
      <c r="U50" s="1535"/>
      <c r="V50" s="3460"/>
      <c r="W50" s="2013">
        <f>W52+W51</f>
        <v>0</v>
      </c>
      <c r="X50" s="2013">
        <f>X52+X51</f>
        <v>0</v>
      </c>
      <c r="Y50" s="2013">
        <f>SUM(Y51:Y52)</f>
        <v>0</v>
      </c>
      <c r="Z50" s="1535"/>
      <c r="AA50" s="3460"/>
      <c r="AB50" s="2013">
        <f>AB52+AB51</f>
        <v>0</v>
      </c>
      <c r="AC50" s="2013">
        <f>AC52+AC51</f>
        <v>0</v>
      </c>
      <c r="AD50" s="2013">
        <f>SUM(AD51:AD52)</f>
        <v>0</v>
      </c>
      <c r="AE50" s="1535"/>
      <c r="AF50" s="3735"/>
      <c r="AG50" s="2013">
        <f>AG52+AG51</f>
        <v>0</v>
      </c>
      <c r="AH50" s="2015">
        <f>AH52+AH51</f>
        <v>0</v>
      </c>
      <c r="AI50" s="2015">
        <f>SUM(AI51:AI52)</f>
        <v>0</v>
      </c>
      <c r="AJ50" s="1535"/>
      <c r="AK50" s="1057"/>
      <c r="AL50" s="2015">
        <f>AL52+AL51</f>
        <v>0</v>
      </c>
      <c r="AM50" s="2015">
        <f>AM52+AM51</f>
        <v>0</v>
      </c>
      <c r="AN50" s="2015">
        <f>SUM(AN51:AN52)</f>
        <v>0</v>
      </c>
      <c r="AO50" s="1535"/>
      <c r="AP50" s="1057"/>
      <c r="AQ50" s="2015">
        <f>AQ52+AQ51</f>
        <v>0</v>
      </c>
      <c r="AR50" s="2015">
        <f>AR52+AR51</f>
        <v>0</v>
      </c>
      <c r="AS50" s="2015">
        <f>SUM(AS51:AS52)</f>
        <v>0</v>
      </c>
      <c r="AT50" s="1535"/>
      <c r="AU50" s="1057"/>
      <c r="AV50" s="2015">
        <f>AV52+AV51</f>
        <v>0</v>
      </c>
      <c r="AW50" s="2015">
        <f>AW52+AW51</f>
        <v>0</v>
      </c>
      <c r="AX50" s="2015">
        <f>SUM(AX51:AX52)</f>
        <v>0</v>
      </c>
      <c r="AY50" s="1535"/>
      <c r="AZ50" s="1057"/>
      <c r="BA50" s="2015">
        <f>BA52+BA51</f>
        <v>0</v>
      </c>
      <c r="BB50" s="2015">
        <f>BB52+BB51</f>
        <v>0</v>
      </c>
      <c r="BC50" s="2015">
        <f>SUM(BC51:BC52)</f>
        <v>0</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0</v>
      </c>
      <c r="CK50" s="2015">
        <f>CK52+CK51</f>
        <v>0</v>
      </c>
      <c r="CL50" s="2015">
        <f>SUM(CL51:CL52)</f>
        <v>0</v>
      </c>
      <c r="CM50" s="2006"/>
      <c r="CN50" s="2006"/>
      <c r="CP50" s="2015">
        <f>SUM(CP51:CP52)</f>
        <v>0</v>
      </c>
      <c r="CQ50" s="2015">
        <f>SUM(CQ51:CQ52)</f>
        <v>0</v>
      </c>
      <c r="CR50" s="2015"/>
      <c r="CT50" s="2624"/>
    </row>
    <row r="51" spans="1:98" s="1396" customFormat="1" ht="13.8" outlineLevel="1">
      <c r="A51" s="1566"/>
      <c r="B51" s="4640" t="s">
        <v>60</v>
      </c>
      <c r="C51" s="3341"/>
      <c r="D51" s="3341"/>
      <c r="E51" s="3349">
        <f t="shared" ref="E51:E52" si="132">C51+D51</f>
        <v>0</v>
      </c>
      <c r="F51" s="4428" t="e">
        <f t="shared" ref="F51:F71" si="133">E51/$E$89</f>
        <v>#DIV/0!</v>
      </c>
      <c r="G51" s="4633"/>
      <c r="H51" s="3341"/>
      <c r="I51" s="3341"/>
      <c r="J51" s="3349">
        <f>H51+I51</f>
        <v>0</v>
      </c>
      <c r="K51" s="4428" t="e">
        <f t="shared" ref="K51:K52" si="134">J51/J$89</f>
        <v>#DIV/0!</v>
      </c>
      <c r="L51" s="4633"/>
      <c r="M51" s="3341"/>
      <c r="N51" s="3341"/>
      <c r="O51" s="3349">
        <f t="shared" ref="O51:O52" si="135">M51+N51</f>
        <v>0</v>
      </c>
      <c r="P51" s="4428" t="e">
        <f t="shared" ref="P51:P53" si="136">O51/O$89</f>
        <v>#DIV/0!</v>
      </c>
      <c r="Q51" s="4633"/>
      <c r="R51" s="3342">
        <f t="shared" ref="R51:S52" si="137">M51+H51+C51</f>
        <v>0</v>
      </c>
      <c r="S51" s="3342">
        <f t="shared" si="137"/>
        <v>0</v>
      </c>
      <c r="T51" s="2012">
        <f t="shared" ref="T51:T52" si="138">R51+S51</f>
        <v>0</v>
      </c>
      <c r="U51" s="3455"/>
      <c r="V51" s="3455"/>
      <c r="W51" s="3342">
        <f t="shared" ref="W51:X52" si="139">AB51+AG51+AL51+AV51+BA51+BF51+BK51+BP51+BU51+BZ51+CE51+AQ51</f>
        <v>0</v>
      </c>
      <c r="X51" s="3342">
        <f t="shared" si="139"/>
        <v>0</v>
      </c>
      <c r="Y51" s="2012">
        <f t="shared" ref="Y51:Y52" si="140">W51+X51</f>
        <v>0</v>
      </c>
      <c r="Z51" s="3455"/>
      <c r="AA51" s="3455"/>
      <c r="AB51" s="3341"/>
      <c r="AC51" s="3341"/>
      <c r="AD51" s="3349">
        <f t="shared" ref="AD51:AD52" si="141">AB51+AC51</f>
        <v>0</v>
      </c>
      <c r="AE51" s="4428" t="e">
        <f t="shared" ref="AE51:AE53" si="142">AD51/AD$89</f>
        <v>#DIV/0!</v>
      </c>
      <c r="AF51" s="4633"/>
      <c r="AG51" s="3341"/>
      <c r="AH51" s="3341"/>
      <c r="AI51" s="3349">
        <f t="shared" ref="AI51:AI52" si="143">AG51+AH51</f>
        <v>0</v>
      </c>
      <c r="AJ51" s="4428" t="e">
        <f t="shared" ref="AJ51:AJ53" si="144">AI51/AI$89</f>
        <v>#DIV/0!</v>
      </c>
      <c r="AK51" s="4633"/>
      <c r="AL51" s="3341"/>
      <c r="AM51" s="3341"/>
      <c r="AN51" s="3349">
        <f t="shared" ref="AN51:AN52" si="145">AL51+AM51</f>
        <v>0</v>
      </c>
      <c r="AO51" s="4428" t="e">
        <f t="shared" ref="AO51:AO53" si="146">AN51/AN$89</f>
        <v>#DIV/0!</v>
      </c>
      <c r="AP51" s="4633"/>
      <c r="AQ51" s="3341"/>
      <c r="AR51" s="3341"/>
      <c r="AS51" s="3349">
        <f t="shared" ref="AS51:AS52" si="147">AQ51+AR51</f>
        <v>0</v>
      </c>
      <c r="AT51" s="4428" t="e">
        <f t="shared" ref="AT51:AT53" si="148">AS51/AS$89</f>
        <v>#DIV/0!</v>
      </c>
      <c r="AU51" s="4633"/>
      <c r="AV51" s="3341"/>
      <c r="AW51" s="3341"/>
      <c r="AX51" s="3349">
        <f t="shared" ref="AX51:AX52" si="149">AV51+AW51</f>
        <v>0</v>
      </c>
      <c r="AY51" s="4428">
        <f t="shared" ref="AY51:AY53" si="150">AX51/AX$89</f>
        <v>0</v>
      </c>
      <c r="AZ51" s="4633"/>
      <c r="BA51" s="3341"/>
      <c r="BB51" s="3341"/>
      <c r="BC51" s="3349">
        <f t="shared" ref="BC51:BC52" si="151">BA51+BB51</f>
        <v>0</v>
      </c>
      <c r="BD51" s="4428">
        <f t="shared" ref="BD51:BD53" si="152">BC51/BC$89</f>
        <v>0</v>
      </c>
      <c r="BE51" s="4633"/>
      <c r="BF51" s="3341"/>
      <c r="BG51" s="3341"/>
      <c r="BH51" s="3349">
        <f t="shared" ref="BH51:BH52" si="153">BF51+BG51</f>
        <v>0</v>
      </c>
      <c r="BI51" s="4428" t="e">
        <f t="shared" ref="BI51:BI53" si="154">BH51/BH$89</f>
        <v>#DIV/0!</v>
      </c>
      <c r="BJ51" s="4633"/>
      <c r="BK51" s="3341"/>
      <c r="BL51" s="3341"/>
      <c r="BM51" s="3349">
        <f t="shared" ref="BM51:BM52" si="155">BK51+BL51</f>
        <v>0</v>
      </c>
      <c r="BN51" s="4428" t="e">
        <f t="shared" ref="BN51:BN53" si="156">BM51/BM$89</f>
        <v>#DIV/0!</v>
      </c>
      <c r="BO51" s="4633"/>
      <c r="BP51" s="3341"/>
      <c r="BQ51" s="3341"/>
      <c r="BR51" s="3349">
        <f t="shared" ref="BR51:BR52" si="157">BP51+BQ51</f>
        <v>0</v>
      </c>
      <c r="BS51" s="4428" t="e">
        <f t="shared" ref="BS51:BS53" si="158">BR51/BR$89</f>
        <v>#DIV/0!</v>
      </c>
      <c r="BT51" s="4633"/>
      <c r="BU51" s="3341"/>
      <c r="BV51" s="3341"/>
      <c r="BW51" s="3349">
        <f t="shared" ref="BW51:BW52" si="159">BU51+BV51</f>
        <v>0</v>
      </c>
      <c r="BX51" s="4428" t="e">
        <f t="shared" ref="BX51:BX53" si="160">BW51/BW$89</f>
        <v>#DIV/0!</v>
      </c>
      <c r="BY51" s="4633"/>
      <c r="BZ51" s="3341"/>
      <c r="CA51" s="3341"/>
      <c r="CB51" s="3349">
        <f t="shared" ref="CB51:CB52" si="161">BZ51+CA51</f>
        <v>0</v>
      </c>
      <c r="CC51" s="4428" t="e">
        <f t="shared" ref="CC51:CC53" si="162">CB51/CB$89</f>
        <v>#DIV/0!</v>
      </c>
      <c r="CD51" s="4633"/>
      <c r="CE51" s="3341"/>
      <c r="CF51" s="3341"/>
      <c r="CG51" s="3349">
        <f t="shared" ref="CG51:CG52" si="163">CE51+CF51</f>
        <v>0</v>
      </c>
      <c r="CH51" s="4428" t="e">
        <f t="shared" ref="CH51:CH53" si="164">CG51/CG$89</f>
        <v>#DIV/0!</v>
      </c>
      <c r="CI51" s="4633"/>
      <c r="CJ51" s="3341">
        <f t="shared" ref="CJ51:CK53" si="165">C51+H51+M51+W51</f>
        <v>0</v>
      </c>
      <c r="CK51" s="3341">
        <f t="shared" si="165"/>
        <v>0</v>
      </c>
      <c r="CL51" s="2012">
        <f>CJ51+CK51*1</f>
        <v>0</v>
      </c>
      <c r="CM51" s="4428">
        <f>CL51/$CL$89</f>
        <v>0</v>
      </c>
      <c r="CN51" s="4611"/>
      <c r="CP51" s="2012">
        <f>CN51+CO51*1</f>
        <v>0</v>
      </c>
      <c r="CQ51" s="2012">
        <f>CO51+CP51*1</f>
        <v>0</v>
      </c>
      <c r="CR51" s="4614"/>
      <c r="CT51" s="2624"/>
    </row>
    <row r="52" spans="1:98" ht="13.8" outlineLevel="2">
      <c r="A52" s="1566"/>
      <c r="B52" s="4640" t="s">
        <v>61</v>
      </c>
      <c r="C52" s="3341"/>
      <c r="D52" s="3341"/>
      <c r="E52" s="3349">
        <f t="shared" si="132"/>
        <v>0</v>
      </c>
      <c r="F52" s="4428" t="e">
        <f t="shared" si="133"/>
        <v>#DIV/0!</v>
      </c>
      <c r="G52" s="4633"/>
      <c r="H52" s="3341"/>
      <c r="I52" s="3341"/>
      <c r="J52" s="3349">
        <f>H52+I52</f>
        <v>0</v>
      </c>
      <c r="K52" s="4428" t="e">
        <f t="shared" si="134"/>
        <v>#DIV/0!</v>
      </c>
      <c r="L52" s="4633"/>
      <c r="M52" s="3341"/>
      <c r="N52" s="3341"/>
      <c r="O52" s="3349">
        <f t="shared" si="135"/>
        <v>0</v>
      </c>
      <c r="P52" s="4428" t="e">
        <f t="shared" si="136"/>
        <v>#DIV/0!</v>
      </c>
      <c r="Q52" s="4633"/>
      <c r="R52" s="3342">
        <f t="shared" si="137"/>
        <v>0</v>
      </c>
      <c r="S52" s="3342">
        <f t="shared" si="137"/>
        <v>0</v>
      </c>
      <c r="T52" s="2012">
        <f t="shared" si="138"/>
        <v>0</v>
      </c>
      <c r="U52" s="3455"/>
      <c r="V52" s="3455"/>
      <c r="W52" s="3342">
        <f t="shared" si="139"/>
        <v>0</v>
      </c>
      <c r="X52" s="3342">
        <f t="shared" si="139"/>
        <v>0</v>
      </c>
      <c r="Y52" s="2012">
        <f t="shared" si="140"/>
        <v>0</v>
      </c>
      <c r="Z52" s="3455"/>
      <c r="AA52" s="3455"/>
      <c r="AB52" s="3341"/>
      <c r="AC52" s="3341"/>
      <c r="AD52" s="3349">
        <f t="shared" si="141"/>
        <v>0</v>
      </c>
      <c r="AE52" s="4428" t="e">
        <f t="shared" si="142"/>
        <v>#DIV/0!</v>
      </c>
      <c r="AF52" s="4633"/>
      <c r="AG52" s="3341"/>
      <c r="AH52" s="3341"/>
      <c r="AI52" s="3349">
        <f t="shared" si="143"/>
        <v>0</v>
      </c>
      <c r="AJ52" s="4428" t="e">
        <f t="shared" si="144"/>
        <v>#DIV/0!</v>
      </c>
      <c r="AK52" s="4633"/>
      <c r="AL52" s="3341"/>
      <c r="AM52" s="3341"/>
      <c r="AN52" s="3349">
        <f t="shared" si="145"/>
        <v>0</v>
      </c>
      <c r="AO52" s="4428" t="e">
        <f t="shared" si="146"/>
        <v>#DIV/0!</v>
      </c>
      <c r="AP52" s="4633"/>
      <c r="AQ52" s="3341"/>
      <c r="AR52" s="3341"/>
      <c r="AS52" s="3349">
        <f t="shared" si="147"/>
        <v>0</v>
      </c>
      <c r="AT52" s="4428" t="e">
        <f t="shared" si="148"/>
        <v>#DIV/0!</v>
      </c>
      <c r="AU52" s="4633"/>
      <c r="AV52" s="3341"/>
      <c r="AW52" s="3341"/>
      <c r="AX52" s="3349">
        <f t="shared" si="149"/>
        <v>0</v>
      </c>
      <c r="AY52" s="4428">
        <f t="shared" si="150"/>
        <v>0</v>
      </c>
      <c r="AZ52" s="4633"/>
      <c r="BA52" s="3341"/>
      <c r="BB52" s="3341"/>
      <c r="BC52" s="3349">
        <f t="shared" si="151"/>
        <v>0</v>
      </c>
      <c r="BD52" s="4428">
        <f t="shared" si="152"/>
        <v>0</v>
      </c>
      <c r="BE52" s="4633"/>
      <c r="BF52" s="3341"/>
      <c r="BG52" s="3341"/>
      <c r="BH52" s="3349">
        <f t="shared" si="153"/>
        <v>0</v>
      </c>
      <c r="BI52" s="4428" t="e">
        <f t="shared" si="154"/>
        <v>#DIV/0!</v>
      </c>
      <c r="BJ52" s="4633"/>
      <c r="BK52" s="3341"/>
      <c r="BL52" s="3341"/>
      <c r="BM52" s="3349">
        <f t="shared" si="155"/>
        <v>0</v>
      </c>
      <c r="BN52" s="4428" t="e">
        <f t="shared" si="156"/>
        <v>#DIV/0!</v>
      </c>
      <c r="BO52" s="4633"/>
      <c r="BP52" s="3341"/>
      <c r="BQ52" s="3341"/>
      <c r="BR52" s="3349">
        <f t="shared" si="157"/>
        <v>0</v>
      </c>
      <c r="BS52" s="4428" t="e">
        <f t="shared" si="158"/>
        <v>#DIV/0!</v>
      </c>
      <c r="BT52" s="4633"/>
      <c r="BU52" s="3341"/>
      <c r="BV52" s="3341"/>
      <c r="BW52" s="3349">
        <f t="shared" si="159"/>
        <v>0</v>
      </c>
      <c r="BX52" s="4428" t="e">
        <f t="shared" si="160"/>
        <v>#DIV/0!</v>
      </c>
      <c r="BY52" s="4633"/>
      <c r="BZ52" s="3341"/>
      <c r="CA52" s="3341"/>
      <c r="CB52" s="3349">
        <f t="shared" si="161"/>
        <v>0</v>
      </c>
      <c r="CC52" s="4428" t="e">
        <f t="shared" si="162"/>
        <v>#DIV/0!</v>
      </c>
      <c r="CD52" s="4633"/>
      <c r="CE52" s="3341"/>
      <c r="CF52" s="3341"/>
      <c r="CG52" s="3349">
        <f t="shared" si="163"/>
        <v>0</v>
      </c>
      <c r="CH52" s="4428" t="e">
        <f t="shared" si="164"/>
        <v>#DIV/0!</v>
      </c>
      <c r="CI52" s="4633"/>
      <c r="CJ52" s="3341">
        <f t="shared" si="165"/>
        <v>0</v>
      </c>
      <c r="CK52" s="3341">
        <f t="shared" si="165"/>
        <v>0</v>
      </c>
      <c r="CL52" s="2012">
        <f>CJ52+CK52*1</f>
        <v>0</v>
      </c>
      <c r="CM52" s="4428">
        <f>CL52/$CL$89</f>
        <v>0</v>
      </c>
      <c r="CN52" s="4611"/>
      <c r="CP52" s="2012">
        <f>CN52+CO52*1</f>
        <v>0</v>
      </c>
      <c r="CQ52" s="2012">
        <f>CO52+CP52*1</f>
        <v>0</v>
      </c>
      <c r="CR52" s="4614"/>
    </row>
    <row r="53" spans="1:98" ht="14.4" outlineLevel="1" thickBot="1">
      <c r="A53" s="1413"/>
      <c r="B53" s="4450"/>
      <c r="C53" s="3341"/>
      <c r="D53" s="3341"/>
      <c r="E53" s="4451"/>
      <c r="F53" s="4428" t="e">
        <f t="shared" si="133"/>
        <v>#DIV/0!</v>
      </c>
      <c r="G53" s="4452"/>
      <c r="H53" s="3341"/>
      <c r="I53" s="3341"/>
      <c r="J53" s="4451"/>
      <c r="K53" s="4428" t="e">
        <f t="shared" ref="K53:K54" si="166">J53/$E$89</f>
        <v>#DIV/0!</v>
      </c>
      <c r="L53" s="4452"/>
      <c r="M53" s="3341"/>
      <c r="N53" s="3341"/>
      <c r="O53" s="4451"/>
      <c r="P53" s="4428" t="e">
        <f t="shared" si="136"/>
        <v>#DIV/0!</v>
      </c>
      <c r="Q53" s="4452"/>
      <c r="R53" s="4646"/>
      <c r="S53" s="4452"/>
      <c r="T53" s="4452"/>
      <c r="U53" s="4452"/>
      <c r="V53" s="4452"/>
      <c r="W53" s="4452"/>
      <c r="X53" s="4452"/>
      <c r="Y53" s="4452"/>
      <c r="Z53" s="4452"/>
      <c r="AA53" s="4452"/>
      <c r="AB53" s="4624"/>
      <c r="AC53" s="4624"/>
      <c r="AD53" s="4451"/>
      <c r="AE53" s="4437" t="e">
        <f t="shared" si="142"/>
        <v>#DIV/0!</v>
      </c>
      <c r="AF53" s="4452"/>
      <c r="AG53" s="4624"/>
      <c r="AH53" s="4624"/>
      <c r="AI53" s="4451"/>
      <c r="AJ53" s="4437" t="e">
        <f t="shared" si="144"/>
        <v>#DIV/0!</v>
      </c>
      <c r="AK53" s="4452"/>
      <c r="AL53" s="4624"/>
      <c r="AM53" s="4624"/>
      <c r="AN53" s="4451"/>
      <c r="AO53" s="4437" t="e">
        <f t="shared" si="146"/>
        <v>#DIV/0!</v>
      </c>
      <c r="AP53" s="4452"/>
      <c r="AQ53" s="4624"/>
      <c r="AR53" s="4624"/>
      <c r="AS53" s="4451"/>
      <c r="AT53" s="4437" t="e">
        <f t="shared" si="148"/>
        <v>#DIV/0!</v>
      </c>
      <c r="AU53" s="4452"/>
      <c r="AV53" s="4624"/>
      <c r="AW53" s="4624"/>
      <c r="AX53" s="4451"/>
      <c r="AY53" s="4437">
        <f t="shared" si="150"/>
        <v>0</v>
      </c>
      <c r="AZ53" s="4452"/>
      <c r="BA53" s="4624"/>
      <c r="BB53" s="4624"/>
      <c r="BC53" s="4451"/>
      <c r="BD53" s="4437">
        <f t="shared" si="152"/>
        <v>0</v>
      </c>
      <c r="BE53" s="4452"/>
      <c r="BF53" s="4624"/>
      <c r="BG53" s="4624"/>
      <c r="BH53" s="4451"/>
      <c r="BI53" s="4437" t="e">
        <f t="shared" si="154"/>
        <v>#DIV/0!</v>
      </c>
      <c r="BJ53" s="4452"/>
      <c r="BK53" s="4624"/>
      <c r="BL53" s="4624"/>
      <c r="BM53" s="4451"/>
      <c r="BN53" s="4437" t="e">
        <f t="shared" si="156"/>
        <v>#DIV/0!</v>
      </c>
      <c r="BO53" s="4452"/>
      <c r="BP53" s="4624"/>
      <c r="BQ53" s="4624"/>
      <c r="BR53" s="4451"/>
      <c r="BS53" s="4437" t="e">
        <f t="shared" si="158"/>
        <v>#DIV/0!</v>
      </c>
      <c r="BT53" s="4452"/>
      <c r="BU53" s="4624"/>
      <c r="BV53" s="4624"/>
      <c r="BW53" s="4451"/>
      <c r="BX53" s="4437" t="e">
        <f t="shared" si="160"/>
        <v>#DIV/0!</v>
      </c>
      <c r="BY53" s="4452"/>
      <c r="BZ53" s="4624"/>
      <c r="CA53" s="4624"/>
      <c r="CB53" s="4451"/>
      <c r="CC53" s="4437" t="e">
        <f t="shared" si="162"/>
        <v>#DIV/0!</v>
      </c>
      <c r="CD53" s="4452"/>
      <c r="CE53" s="4624"/>
      <c r="CF53" s="4624"/>
      <c r="CG53" s="4451"/>
      <c r="CH53" s="4437" t="e">
        <f t="shared" si="164"/>
        <v>#DIV/0!</v>
      </c>
      <c r="CI53" s="4452"/>
      <c r="CJ53" s="4624">
        <f t="shared" si="165"/>
        <v>0</v>
      </c>
      <c r="CK53" s="4624">
        <f t="shared" si="165"/>
        <v>0</v>
      </c>
      <c r="CL53" s="4451"/>
      <c r="CM53" s="4451"/>
      <c r="CN53" s="4451"/>
      <c r="CP53" s="4647"/>
      <c r="CQ53" s="4647"/>
      <c r="CR53" s="4614"/>
    </row>
    <row r="54" spans="1:98" ht="13.8" outlineLevel="1">
      <c r="A54" s="1570"/>
      <c r="B54" s="1410" t="s">
        <v>1</v>
      </c>
      <c r="C54" s="2015">
        <f>SUM(C55:C72)</f>
        <v>0</v>
      </c>
      <c r="D54" s="2015">
        <f>SUM(D55:D72)</f>
        <v>0</v>
      </c>
      <c r="E54" s="2014">
        <f>SUM(E55:E72)</f>
        <v>0</v>
      </c>
      <c r="F54" s="4449" t="e">
        <f t="shared" si="133"/>
        <v>#DIV/0!</v>
      </c>
      <c r="G54" s="1057"/>
      <c r="H54" s="2015">
        <f>SUM(H55:H72)</f>
        <v>0</v>
      </c>
      <c r="I54" s="2015">
        <f>SUM(I55:I72)</f>
        <v>0</v>
      </c>
      <c r="J54" s="2014">
        <f>SUM(J55:J72)</f>
        <v>0</v>
      </c>
      <c r="K54" s="4449" t="e">
        <f t="shared" si="166"/>
        <v>#DIV/0!</v>
      </c>
      <c r="L54" s="1057"/>
      <c r="M54" s="2015">
        <f>SUM(M55:M72)</f>
        <v>0</v>
      </c>
      <c r="N54" s="2015">
        <f>SUM(N55:N72)</f>
        <v>0</v>
      </c>
      <c r="O54" s="2014">
        <f>SUM(O55:O72)</f>
        <v>0</v>
      </c>
      <c r="P54" s="4449" t="e">
        <f t="shared" ref="P54" si="167">O54/$E$89</f>
        <v>#DIV/0!</v>
      </c>
      <c r="Q54" s="1057"/>
      <c r="R54" s="2013">
        <f>SUM(R55:R72)</f>
        <v>0</v>
      </c>
      <c r="S54" s="2013">
        <f>SUM(S55:S72)</f>
        <v>0</v>
      </c>
      <c r="T54" s="2013">
        <f>SUM(T55:T72)</f>
        <v>0</v>
      </c>
      <c r="U54" s="1535"/>
      <c r="V54" s="3460"/>
      <c r="W54" s="2013">
        <f>SUM(W55:W72)</f>
        <v>0</v>
      </c>
      <c r="X54" s="2013">
        <f>SUM(X55:X72)</f>
        <v>0</v>
      </c>
      <c r="Y54" s="2013">
        <f>SUM(Y55:Y72)</f>
        <v>0</v>
      </c>
      <c r="Z54" s="1535"/>
      <c r="AA54" s="3460"/>
      <c r="AB54" s="2013">
        <f>SUM(AB55:AB72)</f>
        <v>0</v>
      </c>
      <c r="AC54" s="2013">
        <f>SUM(AC55:AC72)</f>
        <v>0</v>
      </c>
      <c r="AD54" s="2013">
        <f>SUM(AD55:AD72)</f>
        <v>0</v>
      </c>
      <c r="AE54" s="1535"/>
      <c r="AF54" s="3735"/>
      <c r="AG54" s="2013">
        <f>SUM(AG55:AG72)</f>
        <v>0</v>
      </c>
      <c r="AH54" s="2013">
        <f>SUM(AH55:AH72)</f>
        <v>0</v>
      </c>
      <c r="AI54" s="2013">
        <f>SUM(AI55:AI72)</f>
        <v>0</v>
      </c>
      <c r="AJ54" s="1535"/>
      <c r="AK54" s="3735"/>
      <c r="AL54" s="2013">
        <f>SUM(AL55:AL72)</f>
        <v>0</v>
      </c>
      <c r="AM54" s="2013">
        <f>SUM(AM55:AM72)</f>
        <v>0</v>
      </c>
      <c r="AN54" s="2013">
        <f>SUM(AN55:AN72)</f>
        <v>0</v>
      </c>
      <c r="AO54" s="1535"/>
      <c r="AP54" s="3735"/>
      <c r="AQ54" s="2013">
        <f>SUM(AQ55:AQ72)</f>
        <v>0</v>
      </c>
      <c r="AR54" s="2013">
        <f>SUM(AR55:AR72)</f>
        <v>0</v>
      </c>
      <c r="AS54" s="2013">
        <f>SUM(AS55:AS72)</f>
        <v>0</v>
      </c>
      <c r="AT54" s="1535"/>
      <c r="AU54" s="3735"/>
      <c r="AV54" s="2013">
        <f>SUM(AV55:AV72)</f>
        <v>0</v>
      </c>
      <c r="AW54" s="2013">
        <f>SUM(AW55:AW72)</f>
        <v>0</v>
      </c>
      <c r="AX54" s="2013">
        <f>SUM(AX55:AX72)</f>
        <v>0</v>
      </c>
      <c r="AY54" s="1535"/>
      <c r="AZ54" s="3735"/>
      <c r="BA54" s="2013">
        <f>SUM(BA55:BA72)</f>
        <v>0</v>
      </c>
      <c r="BB54" s="2013">
        <f>SUM(BB55:BB72)</f>
        <v>0</v>
      </c>
      <c r="BC54" s="2013">
        <f>SUM(BC55:BC72)</f>
        <v>0</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0</v>
      </c>
      <c r="CK54" s="2013">
        <f>SUM(CK55:CK72)</f>
        <v>0</v>
      </c>
      <c r="CL54" s="2013">
        <f>SUM(CL55:CL72)</f>
        <v>0</v>
      </c>
      <c r="CM54" s="1535">
        <f t="shared" ref="CM54:CM71" si="168">CL54/$CL$89</f>
        <v>0</v>
      </c>
      <c r="CN54" s="1061"/>
      <c r="CP54" s="2015">
        <f>SUM(CP55:CP72)</f>
        <v>0</v>
      </c>
      <c r="CQ54" s="2015">
        <f>SUM(CQ55:CQ72)</f>
        <v>0</v>
      </c>
      <c r="CR54" s="2015"/>
    </row>
    <row r="55" spans="1:98" ht="13.8" outlineLevel="2">
      <c r="A55" s="1571"/>
      <c r="B55" s="4632" t="s">
        <v>77</v>
      </c>
      <c r="C55" s="3349"/>
      <c r="D55" s="3349"/>
      <c r="E55" s="3349">
        <f t="shared" ref="E55:E71" si="169">C55+D55</f>
        <v>0</v>
      </c>
      <c r="F55" s="4428" t="e">
        <f t="shared" si="133"/>
        <v>#DIV/0!</v>
      </c>
      <c r="G55" s="4429"/>
      <c r="H55" s="3349"/>
      <c r="I55" s="3349"/>
      <c r="J55" s="3349">
        <f t="shared" ref="J55:J71" si="170">H55+I55</f>
        <v>0</v>
      </c>
      <c r="K55" s="4428" t="e">
        <f t="shared" ref="K55:K72" si="171">J55/J$89</f>
        <v>#DIV/0!</v>
      </c>
      <c r="L55" s="4429"/>
      <c r="M55" s="3349"/>
      <c r="N55" s="3349"/>
      <c r="O55" s="3349">
        <f t="shared" ref="O55:O71" si="172">M55+N55</f>
        <v>0</v>
      </c>
      <c r="P55" s="4428" t="e">
        <f t="shared" ref="P55:P72" si="173">O55/O$89</f>
        <v>#DIV/0!</v>
      </c>
      <c r="Q55" s="4429"/>
      <c r="R55" s="3342">
        <f t="shared" ref="R55:S71" si="174">M55+H55+C55</f>
        <v>0</v>
      </c>
      <c r="S55" s="3342">
        <f t="shared" si="174"/>
        <v>0</v>
      </c>
      <c r="T55" s="2012">
        <f t="shared" ref="T55:T71" si="175">R55+S55</f>
        <v>0</v>
      </c>
      <c r="U55" s="3462"/>
      <c r="V55" s="3462"/>
      <c r="W55" s="3342">
        <f t="shared" ref="W55:X71" si="176">AB55+AG55+AL55+AV55+BA55+BF55+BK55+BP55+BU55+BZ55+CE55+AQ55</f>
        <v>0</v>
      </c>
      <c r="X55" s="3342">
        <f t="shared" si="176"/>
        <v>0</v>
      </c>
      <c r="Y55" s="2012">
        <f t="shared" ref="Y55:Y71" si="177">W55+X55</f>
        <v>0</v>
      </c>
      <c r="Z55" s="3462"/>
      <c r="AA55" s="3462"/>
      <c r="AB55" s="3349"/>
      <c r="AC55" s="3349"/>
      <c r="AD55" s="3349">
        <f t="shared" ref="AD55:AD71" si="178">AB55+AC55</f>
        <v>0</v>
      </c>
      <c r="AE55" s="4428" t="e">
        <f t="shared" ref="AE55:AE71" si="179">AD55/AD$89</f>
        <v>#DIV/0!</v>
      </c>
      <c r="AF55" s="4429"/>
      <c r="AG55" s="3349"/>
      <c r="AH55" s="3349"/>
      <c r="AI55" s="3349">
        <f t="shared" ref="AI55:AI71" si="180">AG55+AH55</f>
        <v>0</v>
      </c>
      <c r="AJ55" s="4428" t="e">
        <f t="shared" ref="AJ55:AJ71" si="181">AI55/AI$89</f>
        <v>#DIV/0!</v>
      </c>
      <c r="AK55" s="4429"/>
      <c r="AL55" s="3349"/>
      <c r="AM55" s="3349"/>
      <c r="AN55" s="3349">
        <f t="shared" ref="AN55:AN71" si="182">AL55+AM55</f>
        <v>0</v>
      </c>
      <c r="AO55" s="4428" t="e">
        <f t="shared" ref="AO55:AO71" si="183">AN55/AN$89</f>
        <v>#DIV/0!</v>
      </c>
      <c r="AP55" s="4429"/>
      <c r="AQ55" s="3349"/>
      <c r="AR55" s="3349"/>
      <c r="AS55" s="3349">
        <f t="shared" ref="AS55:AS71" si="184">AQ55+AR55</f>
        <v>0</v>
      </c>
      <c r="AT55" s="4428" t="e">
        <f t="shared" ref="AT55:AT71" si="185">AS55/AS$89</f>
        <v>#DIV/0!</v>
      </c>
      <c r="AU55" s="4429"/>
      <c r="AV55" s="3349"/>
      <c r="AW55" s="3349"/>
      <c r="AX55" s="3349">
        <f t="shared" ref="AX55:AX71" si="186">AV55+AW55</f>
        <v>0</v>
      </c>
      <c r="AY55" s="4428">
        <f t="shared" ref="AY55:AY71" si="187">AX55/AX$89</f>
        <v>0</v>
      </c>
      <c r="AZ55" s="4429"/>
      <c r="BA55" s="3349"/>
      <c r="BB55" s="3349"/>
      <c r="BC55" s="3349">
        <f t="shared" ref="BC55:BC71" si="188">BA55+BB55</f>
        <v>0</v>
      </c>
      <c r="BD55" s="4428">
        <f t="shared" ref="BD55:BD71" si="189">BC55/BC$89</f>
        <v>0</v>
      </c>
      <c r="BE55" s="4429"/>
      <c r="BF55" s="3349"/>
      <c r="BG55" s="3349"/>
      <c r="BH55" s="3349">
        <f t="shared" ref="BH55:BH71" si="190">BF55+BG55</f>
        <v>0</v>
      </c>
      <c r="BI55" s="4428" t="e">
        <f t="shared" ref="BI55:BI71" si="191">BH55/BH$89</f>
        <v>#DIV/0!</v>
      </c>
      <c r="BJ55" s="4429"/>
      <c r="BK55" s="3349"/>
      <c r="BL55" s="3349"/>
      <c r="BM55" s="3349">
        <f t="shared" ref="BM55:BM71" si="192">BK55+BL55</f>
        <v>0</v>
      </c>
      <c r="BN55" s="4428" t="e">
        <f t="shared" ref="BN55:BN71" si="193">BM55/BM$89</f>
        <v>#DIV/0!</v>
      </c>
      <c r="BO55" s="4429"/>
      <c r="BP55" s="3349"/>
      <c r="BQ55" s="3349"/>
      <c r="BR55" s="3349">
        <f t="shared" ref="BR55:BR71" si="194">BP55+BQ55</f>
        <v>0</v>
      </c>
      <c r="BS55" s="4428" t="e">
        <f t="shared" ref="BS55:BS71" si="195">BR55/BR$89</f>
        <v>#DIV/0!</v>
      </c>
      <c r="BT55" s="4429"/>
      <c r="BU55" s="3349"/>
      <c r="BV55" s="3349"/>
      <c r="BW55" s="3349">
        <f t="shared" ref="BW55:BW71" si="196">BU55+BV55</f>
        <v>0</v>
      </c>
      <c r="BX55" s="4428" t="e">
        <f t="shared" ref="BX55:BX71" si="197">BW55/BW$89</f>
        <v>#DIV/0!</v>
      </c>
      <c r="BY55" s="4429"/>
      <c r="BZ55" s="3349"/>
      <c r="CA55" s="3349"/>
      <c r="CB55" s="3349">
        <f t="shared" ref="CB55:CB71" si="198">BZ55+CA55</f>
        <v>0</v>
      </c>
      <c r="CC55" s="4428" t="e">
        <f t="shared" ref="CC55:CC71" si="199">CB55/CB$89</f>
        <v>#DIV/0!</v>
      </c>
      <c r="CD55" s="4429"/>
      <c r="CE55" s="3349"/>
      <c r="CF55" s="3349"/>
      <c r="CG55" s="3349">
        <f t="shared" ref="CG55:CG71" si="200">CE55+CF55</f>
        <v>0</v>
      </c>
      <c r="CH55" s="4428" t="e">
        <f t="shared" ref="CH55:CH71" si="201">CG55/CG$89</f>
        <v>#DIV/0!</v>
      </c>
      <c r="CI55" s="4429"/>
      <c r="CJ55" s="3341">
        <f t="shared" ref="CJ55:CK71" si="202">C55+H55+M55+W55</f>
        <v>0</v>
      </c>
      <c r="CK55" s="3341">
        <f t="shared" si="202"/>
        <v>0</v>
      </c>
      <c r="CL55" s="2012">
        <f t="shared" ref="CL55:CL71" si="203">CJ55+CK55*1</f>
        <v>0</v>
      </c>
      <c r="CM55" s="4428">
        <f t="shared" si="168"/>
        <v>0</v>
      </c>
      <c r="CN55" s="4432"/>
      <c r="CP55" s="2012">
        <f t="shared" ref="CP55:CQ71" si="204">CN55+CO55*1</f>
        <v>0</v>
      </c>
      <c r="CQ55" s="2012">
        <f t="shared" si="204"/>
        <v>0</v>
      </c>
      <c r="CR55" s="4614"/>
    </row>
    <row r="56" spans="1:98" ht="13.8" outlineLevel="2">
      <c r="A56" s="1571"/>
      <c r="B56" s="4632" t="s">
        <v>76</v>
      </c>
      <c r="C56" s="3349"/>
      <c r="D56" s="3349"/>
      <c r="E56" s="3349">
        <f t="shared" si="169"/>
        <v>0</v>
      </c>
      <c r="F56" s="4428" t="e">
        <f t="shared" si="133"/>
        <v>#DIV/0!</v>
      </c>
      <c r="G56" s="4429"/>
      <c r="H56" s="3349"/>
      <c r="I56" s="3349"/>
      <c r="J56" s="3349">
        <f t="shared" si="170"/>
        <v>0</v>
      </c>
      <c r="K56" s="4428" t="e">
        <f t="shared" si="171"/>
        <v>#DIV/0!</v>
      </c>
      <c r="L56" s="4429"/>
      <c r="M56" s="3349"/>
      <c r="N56" s="3349"/>
      <c r="O56" s="3349">
        <f t="shared" si="172"/>
        <v>0</v>
      </c>
      <c r="P56" s="4428" t="e">
        <f t="shared" si="173"/>
        <v>#DIV/0!</v>
      </c>
      <c r="Q56" s="4429"/>
      <c r="R56" s="3342">
        <f t="shared" si="174"/>
        <v>0</v>
      </c>
      <c r="S56" s="3342">
        <f t="shared" si="174"/>
        <v>0</v>
      </c>
      <c r="T56" s="2012">
        <f t="shared" si="175"/>
        <v>0</v>
      </c>
      <c r="U56" s="3462"/>
      <c r="V56" s="3462"/>
      <c r="W56" s="3342">
        <f t="shared" si="176"/>
        <v>0</v>
      </c>
      <c r="X56" s="3342">
        <f t="shared" si="176"/>
        <v>0</v>
      </c>
      <c r="Y56" s="2012">
        <f t="shared" si="177"/>
        <v>0</v>
      </c>
      <c r="Z56" s="3462"/>
      <c r="AA56" s="3462"/>
      <c r="AB56" s="3349"/>
      <c r="AC56" s="3349"/>
      <c r="AD56" s="3349">
        <f t="shared" si="178"/>
        <v>0</v>
      </c>
      <c r="AE56" s="4428" t="e">
        <f t="shared" si="179"/>
        <v>#DIV/0!</v>
      </c>
      <c r="AF56" s="4429"/>
      <c r="AG56" s="3349"/>
      <c r="AH56" s="3349"/>
      <c r="AI56" s="3349">
        <f t="shared" si="180"/>
        <v>0</v>
      </c>
      <c r="AJ56" s="4428" t="e">
        <f t="shared" si="181"/>
        <v>#DIV/0!</v>
      </c>
      <c r="AK56" s="4429"/>
      <c r="AL56" s="3349"/>
      <c r="AM56" s="3349"/>
      <c r="AN56" s="3349">
        <f t="shared" si="182"/>
        <v>0</v>
      </c>
      <c r="AO56" s="4428" t="e">
        <f t="shared" si="183"/>
        <v>#DIV/0!</v>
      </c>
      <c r="AP56" s="4429"/>
      <c r="AQ56" s="3349"/>
      <c r="AR56" s="3349"/>
      <c r="AS56" s="3349">
        <f t="shared" si="184"/>
        <v>0</v>
      </c>
      <c r="AT56" s="4428" t="e">
        <f t="shared" si="185"/>
        <v>#DIV/0!</v>
      </c>
      <c r="AU56" s="4429"/>
      <c r="AV56" s="3349"/>
      <c r="AW56" s="3349"/>
      <c r="AX56" s="3349">
        <f t="shared" si="186"/>
        <v>0</v>
      </c>
      <c r="AY56" s="4428">
        <f t="shared" si="187"/>
        <v>0</v>
      </c>
      <c r="AZ56" s="4429"/>
      <c r="BA56" s="3349"/>
      <c r="BB56" s="3349"/>
      <c r="BC56" s="3349">
        <f t="shared" si="188"/>
        <v>0</v>
      </c>
      <c r="BD56" s="4428">
        <f t="shared" si="189"/>
        <v>0</v>
      </c>
      <c r="BE56" s="4429"/>
      <c r="BF56" s="3349"/>
      <c r="BG56" s="3349"/>
      <c r="BH56" s="3349">
        <f t="shared" si="190"/>
        <v>0</v>
      </c>
      <c r="BI56" s="4428" t="e">
        <f t="shared" si="191"/>
        <v>#DIV/0!</v>
      </c>
      <c r="BJ56" s="4429"/>
      <c r="BK56" s="3349"/>
      <c r="BL56" s="3349"/>
      <c r="BM56" s="3349">
        <f t="shared" si="192"/>
        <v>0</v>
      </c>
      <c r="BN56" s="4428" t="e">
        <f t="shared" si="193"/>
        <v>#DIV/0!</v>
      </c>
      <c r="BO56" s="4429"/>
      <c r="BP56" s="3349"/>
      <c r="BQ56" s="3349"/>
      <c r="BR56" s="3349">
        <f t="shared" si="194"/>
        <v>0</v>
      </c>
      <c r="BS56" s="4428" t="e">
        <f t="shared" si="195"/>
        <v>#DIV/0!</v>
      </c>
      <c r="BT56" s="4429"/>
      <c r="BU56" s="3349"/>
      <c r="BV56" s="3349"/>
      <c r="BW56" s="3349">
        <f t="shared" si="196"/>
        <v>0</v>
      </c>
      <c r="BX56" s="4428" t="e">
        <f t="shared" si="197"/>
        <v>#DIV/0!</v>
      </c>
      <c r="BY56" s="4429"/>
      <c r="BZ56" s="3349"/>
      <c r="CA56" s="3349"/>
      <c r="CB56" s="3349">
        <f t="shared" si="198"/>
        <v>0</v>
      </c>
      <c r="CC56" s="4428" t="e">
        <f t="shared" si="199"/>
        <v>#DIV/0!</v>
      </c>
      <c r="CD56" s="4429"/>
      <c r="CE56" s="3349"/>
      <c r="CF56" s="3349"/>
      <c r="CG56" s="3349">
        <f t="shared" si="200"/>
        <v>0</v>
      </c>
      <c r="CH56" s="4428" t="e">
        <f t="shared" si="201"/>
        <v>#DIV/0!</v>
      </c>
      <c r="CI56" s="4429"/>
      <c r="CJ56" s="3341">
        <f t="shared" si="202"/>
        <v>0</v>
      </c>
      <c r="CK56" s="3341">
        <f t="shared" si="202"/>
        <v>0</v>
      </c>
      <c r="CL56" s="2012">
        <f t="shared" si="203"/>
        <v>0</v>
      </c>
      <c r="CM56" s="4428">
        <f t="shared" si="168"/>
        <v>0</v>
      </c>
      <c r="CN56" s="4432"/>
      <c r="CP56" s="2012">
        <f t="shared" si="204"/>
        <v>0</v>
      </c>
      <c r="CQ56" s="2012">
        <f t="shared" si="204"/>
        <v>0</v>
      </c>
      <c r="CR56" s="4614"/>
    </row>
    <row r="57" spans="1:98" ht="13.8" outlineLevel="2">
      <c r="A57" s="1571"/>
      <c r="B57" s="4632" t="s">
        <v>68</v>
      </c>
      <c r="C57" s="3349"/>
      <c r="D57" s="3349"/>
      <c r="E57" s="3349">
        <f t="shared" si="169"/>
        <v>0</v>
      </c>
      <c r="F57" s="4428" t="e">
        <f t="shared" si="133"/>
        <v>#DIV/0!</v>
      </c>
      <c r="G57" s="4429"/>
      <c r="H57" s="3349"/>
      <c r="I57" s="3349"/>
      <c r="J57" s="3349">
        <f t="shared" si="170"/>
        <v>0</v>
      </c>
      <c r="K57" s="4428" t="e">
        <f t="shared" si="171"/>
        <v>#DIV/0!</v>
      </c>
      <c r="L57" s="4429"/>
      <c r="M57" s="3349"/>
      <c r="N57" s="3349"/>
      <c r="O57" s="3349">
        <f t="shared" si="172"/>
        <v>0</v>
      </c>
      <c r="P57" s="4428" t="e">
        <f t="shared" si="173"/>
        <v>#DIV/0!</v>
      </c>
      <c r="Q57" s="4429"/>
      <c r="R57" s="3342">
        <f t="shared" si="174"/>
        <v>0</v>
      </c>
      <c r="S57" s="3342">
        <f t="shared" si="174"/>
        <v>0</v>
      </c>
      <c r="T57" s="2012">
        <f t="shared" si="175"/>
        <v>0</v>
      </c>
      <c r="U57" s="3462"/>
      <c r="V57" s="3462"/>
      <c r="W57" s="3342">
        <f t="shared" si="176"/>
        <v>0</v>
      </c>
      <c r="X57" s="3342">
        <f t="shared" si="176"/>
        <v>0</v>
      </c>
      <c r="Y57" s="2012">
        <f t="shared" si="177"/>
        <v>0</v>
      </c>
      <c r="Z57" s="3462"/>
      <c r="AA57" s="3462"/>
      <c r="AB57" s="3349"/>
      <c r="AC57" s="3349"/>
      <c r="AD57" s="3349">
        <f t="shared" si="178"/>
        <v>0</v>
      </c>
      <c r="AE57" s="4428" t="e">
        <f t="shared" si="179"/>
        <v>#DIV/0!</v>
      </c>
      <c r="AF57" s="4429"/>
      <c r="AG57" s="3349"/>
      <c r="AH57" s="3349"/>
      <c r="AI57" s="3349">
        <f t="shared" si="180"/>
        <v>0</v>
      </c>
      <c r="AJ57" s="4428" t="e">
        <f t="shared" si="181"/>
        <v>#DIV/0!</v>
      </c>
      <c r="AK57" s="4429"/>
      <c r="AL57" s="3349"/>
      <c r="AM57" s="3349"/>
      <c r="AN57" s="3349">
        <f t="shared" si="182"/>
        <v>0</v>
      </c>
      <c r="AO57" s="4428" t="e">
        <f t="shared" si="183"/>
        <v>#DIV/0!</v>
      </c>
      <c r="AP57" s="4429"/>
      <c r="AQ57" s="3349"/>
      <c r="AR57" s="3349"/>
      <c r="AS57" s="3349">
        <f t="shared" si="184"/>
        <v>0</v>
      </c>
      <c r="AT57" s="4428" t="e">
        <f t="shared" si="185"/>
        <v>#DIV/0!</v>
      </c>
      <c r="AU57" s="4429"/>
      <c r="AV57" s="3349"/>
      <c r="AW57" s="3349"/>
      <c r="AX57" s="3349">
        <f t="shared" si="186"/>
        <v>0</v>
      </c>
      <c r="AY57" s="4428">
        <f t="shared" si="187"/>
        <v>0</v>
      </c>
      <c r="AZ57" s="4429"/>
      <c r="BA57" s="3349"/>
      <c r="BB57" s="3349"/>
      <c r="BC57" s="3349">
        <f t="shared" si="188"/>
        <v>0</v>
      </c>
      <c r="BD57" s="4428">
        <f t="shared" si="189"/>
        <v>0</v>
      </c>
      <c r="BE57" s="4429"/>
      <c r="BF57" s="3349"/>
      <c r="BG57" s="3349"/>
      <c r="BH57" s="3349">
        <f t="shared" si="190"/>
        <v>0</v>
      </c>
      <c r="BI57" s="4428" t="e">
        <f t="shared" si="191"/>
        <v>#DIV/0!</v>
      </c>
      <c r="BJ57" s="4429"/>
      <c r="BK57" s="3349"/>
      <c r="BL57" s="3349"/>
      <c r="BM57" s="3349">
        <f t="shared" si="192"/>
        <v>0</v>
      </c>
      <c r="BN57" s="4428" t="e">
        <f t="shared" si="193"/>
        <v>#DIV/0!</v>
      </c>
      <c r="BO57" s="4429"/>
      <c r="BP57" s="3349"/>
      <c r="BQ57" s="3349"/>
      <c r="BR57" s="3349">
        <f t="shared" si="194"/>
        <v>0</v>
      </c>
      <c r="BS57" s="4428" t="e">
        <f t="shared" si="195"/>
        <v>#DIV/0!</v>
      </c>
      <c r="BT57" s="4429"/>
      <c r="BU57" s="3349"/>
      <c r="BV57" s="3349"/>
      <c r="BW57" s="3349">
        <f t="shared" si="196"/>
        <v>0</v>
      </c>
      <c r="BX57" s="4428" t="e">
        <f t="shared" si="197"/>
        <v>#DIV/0!</v>
      </c>
      <c r="BY57" s="4429"/>
      <c r="BZ57" s="3349"/>
      <c r="CA57" s="3349"/>
      <c r="CB57" s="3349">
        <f t="shared" si="198"/>
        <v>0</v>
      </c>
      <c r="CC57" s="4428" t="e">
        <f t="shared" si="199"/>
        <v>#DIV/0!</v>
      </c>
      <c r="CD57" s="4429"/>
      <c r="CE57" s="3349"/>
      <c r="CF57" s="3349"/>
      <c r="CG57" s="3349">
        <f t="shared" si="200"/>
        <v>0</v>
      </c>
      <c r="CH57" s="4428" t="e">
        <f t="shared" si="201"/>
        <v>#DIV/0!</v>
      </c>
      <c r="CI57" s="4429"/>
      <c r="CJ57" s="3341">
        <f t="shared" si="202"/>
        <v>0</v>
      </c>
      <c r="CK57" s="3341">
        <f t="shared" si="202"/>
        <v>0</v>
      </c>
      <c r="CL57" s="2012">
        <f t="shared" si="203"/>
        <v>0</v>
      </c>
      <c r="CM57" s="4428">
        <f t="shared" si="168"/>
        <v>0</v>
      </c>
      <c r="CN57" s="4432"/>
      <c r="CP57" s="2012">
        <f t="shared" si="204"/>
        <v>0</v>
      </c>
      <c r="CQ57" s="2012">
        <f t="shared" si="204"/>
        <v>0</v>
      </c>
      <c r="CR57" s="4614"/>
    </row>
    <row r="58" spans="1:98" ht="13.8" outlineLevel="2">
      <c r="A58" s="1571"/>
      <c r="B58" s="4632" t="s">
        <v>67</v>
      </c>
      <c r="C58" s="3349"/>
      <c r="D58" s="3349"/>
      <c r="E58" s="3349">
        <f t="shared" si="169"/>
        <v>0</v>
      </c>
      <c r="F58" s="4428" t="e">
        <f t="shared" si="133"/>
        <v>#DIV/0!</v>
      </c>
      <c r="G58" s="4429"/>
      <c r="H58" s="3349"/>
      <c r="I58" s="3349"/>
      <c r="J58" s="3349">
        <f t="shared" si="170"/>
        <v>0</v>
      </c>
      <c r="K58" s="4428" t="e">
        <f t="shared" si="171"/>
        <v>#DIV/0!</v>
      </c>
      <c r="L58" s="4429"/>
      <c r="M58" s="3349"/>
      <c r="N58" s="3349"/>
      <c r="O58" s="3349">
        <f t="shared" si="172"/>
        <v>0</v>
      </c>
      <c r="P58" s="4428" t="e">
        <f t="shared" si="173"/>
        <v>#DIV/0!</v>
      </c>
      <c r="Q58" s="4429"/>
      <c r="R58" s="3342">
        <f t="shared" si="174"/>
        <v>0</v>
      </c>
      <c r="S58" s="3342">
        <f t="shared" si="174"/>
        <v>0</v>
      </c>
      <c r="T58" s="2012">
        <f t="shared" si="175"/>
        <v>0</v>
      </c>
      <c r="U58" s="3462"/>
      <c r="V58" s="3462"/>
      <c r="W58" s="3342">
        <f t="shared" si="176"/>
        <v>0</v>
      </c>
      <c r="X58" s="3342">
        <f t="shared" si="176"/>
        <v>0</v>
      </c>
      <c r="Y58" s="2012">
        <f t="shared" si="177"/>
        <v>0</v>
      </c>
      <c r="Z58" s="3462"/>
      <c r="AA58" s="3462"/>
      <c r="AB58" s="3349"/>
      <c r="AC58" s="3349"/>
      <c r="AD58" s="3349">
        <f t="shared" si="178"/>
        <v>0</v>
      </c>
      <c r="AE58" s="4428" t="e">
        <f t="shared" si="179"/>
        <v>#DIV/0!</v>
      </c>
      <c r="AF58" s="4429"/>
      <c r="AG58" s="3349"/>
      <c r="AH58" s="3349"/>
      <c r="AI58" s="3349">
        <f t="shared" si="180"/>
        <v>0</v>
      </c>
      <c r="AJ58" s="4428" t="e">
        <f t="shared" si="181"/>
        <v>#DIV/0!</v>
      </c>
      <c r="AK58" s="4429"/>
      <c r="AL58" s="3349"/>
      <c r="AM58" s="3349"/>
      <c r="AN58" s="3349">
        <f t="shared" si="182"/>
        <v>0</v>
      </c>
      <c r="AO58" s="4428" t="e">
        <f t="shared" si="183"/>
        <v>#DIV/0!</v>
      </c>
      <c r="AP58" s="4429"/>
      <c r="AQ58" s="3349"/>
      <c r="AR58" s="3349"/>
      <c r="AS58" s="3349">
        <f t="shared" si="184"/>
        <v>0</v>
      </c>
      <c r="AT58" s="4428" t="e">
        <f t="shared" si="185"/>
        <v>#DIV/0!</v>
      </c>
      <c r="AU58" s="4429"/>
      <c r="AV58" s="3349"/>
      <c r="AW58" s="3349"/>
      <c r="AX58" s="3349">
        <f t="shared" si="186"/>
        <v>0</v>
      </c>
      <c r="AY58" s="4428">
        <f t="shared" si="187"/>
        <v>0</v>
      </c>
      <c r="AZ58" s="4429"/>
      <c r="BA58" s="3349"/>
      <c r="BB58" s="3349"/>
      <c r="BC58" s="3349">
        <f t="shared" si="188"/>
        <v>0</v>
      </c>
      <c r="BD58" s="4428">
        <f t="shared" si="189"/>
        <v>0</v>
      </c>
      <c r="BE58" s="4429"/>
      <c r="BF58" s="3349"/>
      <c r="BG58" s="3349"/>
      <c r="BH58" s="3349">
        <f t="shared" si="190"/>
        <v>0</v>
      </c>
      <c r="BI58" s="4428" t="e">
        <f t="shared" si="191"/>
        <v>#DIV/0!</v>
      </c>
      <c r="BJ58" s="4429"/>
      <c r="BK58" s="3349"/>
      <c r="BL58" s="3349"/>
      <c r="BM58" s="3349">
        <f t="shared" si="192"/>
        <v>0</v>
      </c>
      <c r="BN58" s="4428" t="e">
        <f t="shared" si="193"/>
        <v>#DIV/0!</v>
      </c>
      <c r="BO58" s="4429"/>
      <c r="BP58" s="3349"/>
      <c r="BQ58" s="3349"/>
      <c r="BR58" s="3349">
        <f t="shared" si="194"/>
        <v>0</v>
      </c>
      <c r="BS58" s="4428" t="e">
        <f t="shared" si="195"/>
        <v>#DIV/0!</v>
      </c>
      <c r="BT58" s="4429"/>
      <c r="BU58" s="3349"/>
      <c r="BV58" s="3349"/>
      <c r="BW58" s="3349">
        <f t="shared" si="196"/>
        <v>0</v>
      </c>
      <c r="BX58" s="4428" t="e">
        <f t="shared" si="197"/>
        <v>#DIV/0!</v>
      </c>
      <c r="BY58" s="4429"/>
      <c r="BZ58" s="3349"/>
      <c r="CA58" s="3349"/>
      <c r="CB58" s="3349">
        <f t="shared" si="198"/>
        <v>0</v>
      </c>
      <c r="CC58" s="4428" t="e">
        <f t="shared" si="199"/>
        <v>#DIV/0!</v>
      </c>
      <c r="CD58" s="4429"/>
      <c r="CE58" s="3349"/>
      <c r="CF58" s="3349"/>
      <c r="CG58" s="3349">
        <f t="shared" si="200"/>
        <v>0</v>
      </c>
      <c r="CH58" s="4428" t="e">
        <f t="shared" si="201"/>
        <v>#DIV/0!</v>
      </c>
      <c r="CI58" s="4429"/>
      <c r="CJ58" s="3341">
        <f t="shared" si="202"/>
        <v>0</v>
      </c>
      <c r="CK58" s="3341">
        <f t="shared" si="202"/>
        <v>0</v>
      </c>
      <c r="CL58" s="2012">
        <f t="shared" si="203"/>
        <v>0</v>
      </c>
      <c r="CM58" s="4428">
        <f t="shared" si="168"/>
        <v>0</v>
      </c>
      <c r="CN58" s="4432"/>
      <c r="CP58" s="2012">
        <f t="shared" si="204"/>
        <v>0</v>
      </c>
      <c r="CQ58" s="2012">
        <f t="shared" si="204"/>
        <v>0</v>
      </c>
      <c r="CR58" s="4614"/>
    </row>
    <row r="59" spans="1:98" ht="13.8" outlineLevel="2">
      <c r="A59" s="1571"/>
      <c r="B59" s="4632" t="s">
        <v>66</v>
      </c>
      <c r="C59" s="3349"/>
      <c r="D59" s="3349"/>
      <c r="E59" s="3349">
        <f t="shared" si="169"/>
        <v>0</v>
      </c>
      <c r="F59" s="4428" t="e">
        <f t="shared" si="133"/>
        <v>#DIV/0!</v>
      </c>
      <c r="G59" s="4429"/>
      <c r="H59" s="3349"/>
      <c r="I59" s="3349"/>
      <c r="J59" s="3349">
        <f t="shared" si="170"/>
        <v>0</v>
      </c>
      <c r="K59" s="4428" t="e">
        <f t="shared" si="171"/>
        <v>#DIV/0!</v>
      </c>
      <c r="L59" s="4429"/>
      <c r="M59" s="3349"/>
      <c r="N59" s="3349"/>
      <c r="O59" s="3349">
        <f t="shared" si="172"/>
        <v>0</v>
      </c>
      <c r="P59" s="4428" t="e">
        <f t="shared" si="173"/>
        <v>#DIV/0!</v>
      </c>
      <c r="Q59" s="4429"/>
      <c r="R59" s="3342">
        <f t="shared" si="174"/>
        <v>0</v>
      </c>
      <c r="S59" s="3342">
        <f t="shared" si="174"/>
        <v>0</v>
      </c>
      <c r="T59" s="2012">
        <f t="shared" si="175"/>
        <v>0</v>
      </c>
      <c r="U59" s="3462"/>
      <c r="V59" s="3462"/>
      <c r="W59" s="3342">
        <f t="shared" si="176"/>
        <v>0</v>
      </c>
      <c r="X59" s="3342">
        <f t="shared" si="176"/>
        <v>0</v>
      </c>
      <c r="Y59" s="2012">
        <f t="shared" si="177"/>
        <v>0</v>
      </c>
      <c r="Z59" s="3462"/>
      <c r="AA59" s="3462"/>
      <c r="AB59" s="3349"/>
      <c r="AC59" s="3349"/>
      <c r="AD59" s="3349">
        <f t="shared" si="178"/>
        <v>0</v>
      </c>
      <c r="AE59" s="4428" t="e">
        <f t="shared" si="179"/>
        <v>#DIV/0!</v>
      </c>
      <c r="AF59" s="4429"/>
      <c r="AG59" s="3349"/>
      <c r="AH59" s="3349"/>
      <c r="AI59" s="3349">
        <f t="shared" si="180"/>
        <v>0</v>
      </c>
      <c r="AJ59" s="4428" t="e">
        <f t="shared" si="181"/>
        <v>#DIV/0!</v>
      </c>
      <c r="AK59" s="4429"/>
      <c r="AL59" s="3349"/>
      <c r="AM59" s="3349"/>
      <c r="AN59" s="3349">
        <f t="shared" si="182"/>
        <v>0</v>
      </c>
      <c r="AO59" s="4428" t="e">
        <f t="shared" si="183"/>
        <v>#DIV/0!</v>
      </c>
      <c r="AP59" s="4429"/>
      <c r="AQ59" s="3349"/>
      <c r="AR59" s="3349"/>
      <c r="AS59" s="3349">
        <f t="shared" si="184"/>
        <v>0</v>
      </c>
      <c r="AT59" s="4428" t="e">
        <f t="shared" si="185"/>
        <v>#DIV/0!</v>
      </c>
      <c r="AU59" s="4429"/>
      <c r="AV59" s="3349"/>
      <c r="AW59" s="3349"/>
      <c r="AX59" s="3349">
        <f t="shared" si="186"/>
        <v>0</v>
      </c>
      <c r="AY59" s="4428">
        <f t="shared" si="187"/>
        <v>0</v>
      </c>
      <c r="AZ59" s="4429"/>
      <c r="BA59" s="3349"/>
      <c r="BB59" s="3349"/>
      <c r="BC59" s="3349">
        <f t="shared" si="188"/>
        <v>0</v>
      </c>
      <c r="BD59" s="4428">
        <f t="shared" si="189"/>
        <v>0</v>
      </c>
      <c r="BE59" s="4429"/>
      <c r="BF59" s="3349"/>
      <c r="BG59" s="3349"/>
      <c r="BH59" s="3349">
        <f t="shared" si="190"/>
        <v>0</v>
      </c>
      <c r="BI59" s="4428" t="e">
        <f t="shared" si="191"/>
        <v>#DIV/0!</v>
      </c>
      <c r="BJ59" s="4429"/>
      <c r="BK59" s="3349"/>
      <c r="BL59" s="3349"/>
      <c r="BM59" s="3349">
        <f t="shared" si="192"/>
        <v>0</v>
      </c>
      <c r="BN59" s="4428" t="e">
        <f t="shared" si="193"/>
        <v>#DIV/0!</v>
      </c>
      <c r="BO59" s="4429"/>
      <c r="BP59" s="3349"/>
      <c r="BQ59" s="3349"/>
      <c r="BR59" s="3349">
        <f t="shared" si="194"/>
        <v>0</v>
      </c>
      <c r="BS59" s="4428" t="e">
        <f t="shared" si="195"/>
        <v>#DIV/0!</v>
      </c>
      <c r="BT59" s="4429"/>
      <c r="BU59" s="3349"/>
      <c r="BV59" s="3349"/>
      <c r="BW59" s="3349">
        <f t="shared" si="196"/>
        <v>0</v>
      </c>
      <c r="BX59" s="4428" t="e">
        <f t="shared" si="197"/>
        <v>#DIV/0!</v>
      </c>
      <c r="BY59" s="4429"/>
      <c r="BZ59" s="3349"/>
      <c r="CA59" s="3349"/>
      <c r="CB59" s="3349">
        <f t="shared" si="198"/>
        <v>0</v>
      </c>
      <c r="CC59" s="4428" t="e">
        <f t="shared" si="199"/>
        <v>#DIV/0!</v>
      </c>
      <c r="CD59" s="4429"/>
      <c r="CE59" s="3349"/>
      <c r="CF59" s="3349"/>
      <c r="CG59" s="3349">
        <f t="shared" si="200"/>
        <v>0</v>
      </c>
      <c r="CH59" s="4428" t="e">
        <f t="shared" si="201"/>
        <v>#DIV/0!</v>
      </c>
      <c r="CI59" s="4429"/>
      <c r="CJ59" s="3341">
        <f t="shared" si="202"/>
        <v>0</v>
      </c>
      <c r="CK59" s="3341">
        <f t="shared" si="202"/>
        <v>0</v>
      </c>
      <c r="CL59" s="2012">
        <f t="shared" si="203"/>
        <v>0</v>
      </c>
      <c r="CM59" s="4428">
        <f t="shared" si="168"/>
        <v>0</v>
      </c>
      <c r="CN59" s="4432"/>
      <c r="CP59" s="2012">
        <f t="shared" si="204"/>
        <v>0</v>
      </c>
      <c r="CQ59" s="2012">
        <f t="shared" si="204"/>
        <v>0</v>
      </c>
      <c r="CR59" s="4614"/>
    </row>
    <row r="60" spans="1:98" ht="13.8" outlineLevel="2">
      <c r="A60" s="1571"/>
      <c r="B60" s="4632" t="s">
        <v>65</v>
      </c>
      <c r="C60" s="3349"/>
      <c r="D60" s="3349"/>
      <c r="E60" s="3349">
        <f t="shared" si="169"/>
        <v>0</v>
      </c>
      <c r="F60" s="4428" t="e">
        <f t="shared" si="133"/>
        <v>#DIV/0!</v>
      </c>
      <c r="G60" s="4429"/>
      <c r="H60" s="3349"/>
      <c r="I60" s="3349"/>
      <c r="J60" s="3349">
        <f t="shared" si="170"/>
        <v>0</v>
      </c>
      <c r="K60" s="4428" t="e">
        <f t="shared" si="171"/>
        <v>#DIV/0!</v>
      </c>
      <c r="L60" s="4429"/>
      <c r="M60" s="3349"/>
      <c r="N60" s="3349"/>
      <c r="O60" s="3349">
        <f t="shared" si="172"/>
        <v>0</v>
      </c>
      <c r="P60" s="4428" t="e">
        <f t="shared" si="173"/>
        <v>#DIV/0!</v>
      </c>
      <c r="Q60" s="4429"/>
      <c r="R60" s="3342">
        <f t="shared" si="174"/>
        <v>0</v>
      </c>
      <c r="S60" s="3342">
        <f t="shared" si="174"/>
        <v>0</v>
      </c>
      <c r="T60" s="2012">
        <f t="shared" si="175"/>
        <v>0</v>
      </c>
      <c r="U60" s="3462"/>
      <c r="V60" s="3462"/>
      <c r="W60" s="3342">
        <f t="shared" si="176"/>
        <v>0</v>
      </c>
      <c r="X60" s="3342">
        <f t="shared" si="176"/>
        <v>0</v>
      </c>
      <c r="Y60" s="2012">
        <f t="shared" si="177"/>
        <v>0</v>
      </c>
      <c r="Z60" s="3462"/>
      <c r="AA60" s="3462"/>
      <c r="AB60" s="3349"/>
      <c r="AC60" s="3349"/>
      <c r="AD60" s="3349">
        <f t="shared" si="178"/>
        <v>0</v>
      </c>
      <c r="AE60" s="4428" t="e">
        <f t="shared" si="179"/>
        <v>#DIV/0!</v>
      </c>
      <c r="AF60" s="4429"/>
      <c r="AG60" s="3349"/>
      <c r="AH60" s="3349"/>
      <c r="AI60" s="3349">
        <f t="shared" si="180"/>
        <v>0</v>
      </c>
      <c r="AJ60" s="4428" t="e">
        <f t="shared" si="181"/>
        <v>#DIV/0!</v>
      </c>
      <c r="AK60" s="4429"/>
      <c r="AL60" s="3349"/>
      <c r="AM60" s="3349"/>
      <c r="AN60" s="3349">
        <f t="shared" si="182"/>
        <v>0</v>
      </c>
      <c r="AO60" s="4428" t="e">
        <f t="shared" si="183"/>
        <v>#DIV/0!</v>
      </c>
      <c r="AP60" s="4429"/>
      <c r="AQ60" s="3349"/>
      <c r="AR60" s="3349"/>
      <c r="AS60" s="3349">
        <f t="shared" si="184"/>
        <v>0</v>
      </c>
      <c r="AT60" s="4428" t="e">
        <f t="shared" si="185"/>
        <v>#DIV/0!</v>
      </c>
      <c r="AU60" s="4429"/>
      <c r="AV60" s="3349"/>
      <c r="AW60" s="3349"/>
      <c r="AX60" s="3349">
        <f t="shared" si="186"/>
        <v>0</v>
      </c>
      <c r="AY60" s="4428">
        <f t="shared" si="187"/>
        <v>0</v>
      </c>
      <c r="AZ60" s="4429"/>
      <c r="BA60" s="3349"/>
      <c r="BB60" s="3349"/>
      <c r="BC60" s="3349">
        <f t="shared" si="188"/>
        <v>0</v>
      </c>
      <c r="BD60" s="4428">
        <f t="shared" si="189"/>
        <v>0</v>
      </c>
      <c r="BE60" s="4429"/>
      <c r="BF60" s="3349"/>
      <c r="BG60" s="3349"/>
      <c r="BH60" s="3349">
        <f t="shared" si="190"/>
        <v>0</v>
      </c>
      <c r="BI60" s="4428" t="e">
        <f t="shared" si="191"/>
        <v>#DIV/0!</v>
      </c>
      <c r="BJ60" s="4429"/>
      <c r="BK60" s="3349"/>
      <c r="BL60" s="3349"/>
      <c r="BM60" s="3349">
        <f t="shared" si="192"/>
        <v>0</v>
      </c>
      <c r="BN60" s="4428" t="e">
        <f t="shared" si="193"/>
        <v>#DIV/0!</v>
      </c>
      <c r="BO60" s="4429"/>
      <c r="BP60" s="3349"/>
      <c r="BQ60" s="3349"/>
      <c r="BR60" s="3349">
        <f t="shared" si="194"/>
        <v>0</v>
      </c>
      <c r="BS60" s="4428" t="e">
        <f t="shared" si="195"/>
        <v>#DIV/0!</v>
      </c>
      <c r="BT60" s="4429"/>
      <c r="BU60" s="3349"/>
      <c r="BV60" s="3349"/>
      <c r="BW60" s="3349">
        <f t="shared" si="196"/>
        <v>0</v>
      </c>
      <c r="BX60" s="4428" t="e">
        <f t="shared" si="197"/>
        <v>#DIV/0!</v>
      </c>
      <c r="BY60" s="4429"/>
      <c r="BZ60" s="3349"/>
      <c r="CA60" s="3349"/>
      <c r="CB60" s="3349">
        <f t="shared" si="198"/>
        <v>0</v>
      </c>
      <c r="CC60" s="4428" t="e">
        <f t="shared" si="199"/>
        <v>#DIV/0!</v>
      </c>
      <c r="CD60" s="4429"/>
      <c r="CE60" s="3349"/>
      <c r="CF60" s="3349"/>
      <c r="CG60" s="3349">
        <f t="shared" si="200"/>
        <v>0</v>
      </c>
      <c r="CH60" s="4428" t="e">
        <f t="shared" si="201"/>
        <v>#DIV/0!</v>
      </c>
      <c r="CI60" s="4429"/>
      <c r="CJ60" s="3341">
        <f t="shared" si="202"/>
        <v>0</v>
      </c>
      <c r="CK60" s="3341">
        <f t="shared" si="202"/>
        <v>0</v>
      </c>
      <c r="CL60" s="2012">
        <f t="shared" si="203"/>
        <v>0</v>
      </c>
      <c r="CM60" s="4428">
        <f t="shared" si="168"/>
        <v>0</v>
      </c>
      <c r="CN60" s="4432"/>
      <c r="CP60" s="2012">
        <f t="shared" si="204"/>
        <v>0</v>
      </c>
      <c r="CQ60" s="2012">
        <f t="shared" si="204"/>
        <v>0</v>
      </c>
      <c r="CR60" s="4614"/>
    </row>
    <row r="61" spans="1:98" ht="13.8" outlineLevel="2">
      <c r="A61" s="1571"/>
      <c r="B61" s="4632" t="s">
        <v>32</v>
      </c>
      <c r="C61" s="3349"/>
      <c r="D61" s="3349"/>
      <c r="E61" s="3349">
        <f t="shared" si="169"/>
        <v>0</v>
      </c>
      <c r="F61" s="4428" t="e">
        <f t="shared" si="133"/>
        <v>#DIV/0!</v>
      </c>
      <c r="G61" s="4429"/>
      <c r="H61" s="3349"/>
      <c r="I61" s="3349"/>
      <c r="J61" s="3349">
        <f t="shared" si="170"/>
        <v>0</v>
      </c>
      <c r="K61" s="4428" t="e">
        <f t="shared" si="171"/>
        <v>#DIV/0!</v>
      </c>
      <c r="L61" s="4429"/>
      <c r="M61" s="3349"/>
      <c r="N61" s="3349"/>
      <c r="O61" s="3349">
        <f t="shared" si="172"/>
        <v>0</v>
      </c>
      <c r="P61" s="4428" t="e">
        <f t="shared" si="173"/>
        <v>#DIV/0!</v>
      </c>
      <c r="Q61" s="4429"/>
      <c r="R61" s="3342">
        <f t="shared" si="174"/>
        <v>0</v>
      </c>
      <c r="S61" s="3342">
        <f t="shared" si="174"/>
        <v>0</v>
      </c>
      <c r="T61" s="2012">
        <f t="shared" si="175"/>
        <v>0</v>
      </c>
      <c r="U61" s="3462"/>
      <c r="V61" s="3462"/>
      <c r="W61" s="3342">
        <f t="shared" si="176"/>
        <v>0</v>
      </c>
      <c r="X61" s="3342">
        <f t="shared" si="176"/>
        <v>0</v>
      </c>
      <c r="Y61" s="2012">
        <f t="shared" si="177"/>
        <v>0</v>
      </c>
      <c r="Z61" s="3462"/>
      <c r="AA61" s="3462"/>
      <c r="AB61" s="3349"/>
      <c r="AC61" s="3349"/>
      <c r="AD61" s="3349">
        <f t="shared" si="178"/>
        <v>0</v>
      </c>
      <c r="AE61" s="4428" t="e">
        <f t="shared" si="179"/>
        <v>#DIV/0!</v>
      </c>
      <c r="AF61" s="4429"/>
      <c r="AG61" s="3349"/>
      <c r="AH61" s="3349"/>
      <c r="AI61" s="3349">
        <f t="shared" si="180"/>
        <v>0</v>
      </c>
      <c r="AJ61" s="4428" t="e">
        <f t="shared" si="181"/>
        <v>#DIV/0!</v>
      </c>
      <c r="AK61" s="4429"/>
      <c r="AL61" s="3349"/>
      <c r="AM61" s="3349"/>
      <c r="AN61" s="3349">
        <f t="shared" si="182"/>
        <v>0</v>
      </c>
      <c r="AO61" s="4428" t="e">
        <f t="shared" si="183"/>
        <v>#DIV/0!</v>
      </c>
      <c r="AP61" s="4429"/>
      <c r="AQ61" s="3349"/>
      <c r="AR61" s="3349"/>
      <c r="AS61" s="3349">
        <f t="shared" si="184"/>
        <v>0</v>
      </c>
      <c r="AT61" s="4428" t="e">
        <f t="shared" si="185"/>
        <v>#DIV/0!</v>
      </c>
      <c r="AU61" s="4429"/>
      <c r="AV61" s="3349"/>
      <c r="AW61" s="3349"/>
      <c r="AX61" s="3349">
        <f t="shared" si="186"/>
        <v>0</v>
      </c>
      <c r="AY61" s="4428">
        <f t="shared" si="187"/>
        <v>0</v>
      </c>
      <c r="AZ61" s="4429"/>
      <c r="BA61" s="3349"/>
      <c r="BB61" s="3349"/>
      <c r="BC61" s="3349">
        <f t="shared" si="188"/>
        <v>0</v>
      </c>
      <c r="BD61" s="4428">
        <f t="shared" si="189"/>
        <v>0</v>
      </c>
      <c r="BE61" s="4429"/>
      <c r="BF61" s="3349"/>
      <c r="BG61" s="3349"/>
      <c r="BH61" s="3349">
        <f t="shared" si="190"/>
        <v>0</v>
      </c>
      <c r="BI61" s="4428" t="e">
        <f t="shared" si="191"/>
        <v>#DIV/0!</v>
      </c>
      <c r="BJ61" s="4429"/>
      <c r="BK61" s="3349"/>
      <c r="BL61" s="3349"/>
      <c r="BM61" s="3349">
        <f t="shared" si="192"/>
        <v>0</v>
      </c>
      <c r="BN61" s="4428" t="e">
        <f t="shared" si="193"/>
        <v>#DIV/0!</v>
      </c>
      <c r="BO61" s="4429"/>
      <c r="BP61" s="3349"/>
      <c r="BQ61" s="3349"/>
      <c r="BR61" s="3349">
        <f t="shared" si="194"/>
        <v>0</v>
      </c>
      <c r="BS61" s="4428" t="e">
        <f t="shared" si="195"/>
        <v>#DIV/0!</v>
      </c>
      <c r="BT61" s="4429"/>
      <c r="BU61" s="3349"/>
      <c r="BV61" s="3349"/>
      <c r="BW61" s="3349">
        <f t="shared" si="196"/>
        <v>0</v>
      </c>
      <c r="BX61" s="4428" t="e">
        <f t="shared" si="197"/>
        <v>#DIV/0!</v>
      </c>
      <c r="BY61" s="4429"/>
      <c r="BZ61" s="3349"/>
      <c r="CA61" s="3349"/>
      <c r="CB61" s="3349">
        <f t="shared" si="198"/>
        <v>0</v>
      </c>
      <c r="CC61" s="4428" t="e">
        <f t="shared" si="199"/>
        <v>#DIV/0!</v>
      </c>
      <c r="CD61" s="4429"/>
      <c r="CE61" s="3349"/>
      <c r="CF61" s="3349"/>
      <c r="CG61" s="3349">
        <f t="shared" si="200"/>
        <v>0</v>
      </c>
      <c r="CH61" s="4428" t="e">
        <f t="shared" si="201"/>
        <v>#DIV/0!</v>
      </c>
      <c r="CI61" s="4429"/>
      <c r="CJ61" s="3341">
        <f t="shared" si="202"/>
        <v>0</v>
      </c>
      <c r="CK61" s="3341">
        <f t="shared" si="202"/>
        <v>0</v>
      </c>
      <c r="CL61" s="2012">
        <f t="shared" si="203"/>
        <v>0</v>
      </c>
      <c r="CM61" s="4428">
        <f t="shared" si="168"/>
        <v>0</v>
      </c>
      <c r="CN61" s="4432"/>
      <c r="CP61" s="2012">
        <f t="shared" si="204"/>
        <v>0</v>
      </c>
      <c r="CQ61" s="2012">
        <f t="shared" si="204"/>
        <v>0</v>
      </c>
      <c r="CR61" s="4614"/>
    </row>
    <row r="62" spans="1:98" ht="13.8" outlineLevel="2">
      <c r="A62" s="1571"/>
      <c r="B62" s="4632" t="s">
        <v>33</v>
      </c>
      <c r="C62" s="3349"/>
      <c r="D62" s="3349"/>
      <c r="E62" s="3349">
        <f t="shared" si="169"/>
        <v>0</v>
      </c>
      <c r="F62" s="4428" t="e">
        <f t="shared" si="133"/>
        <v>#DIV/0!</v>
      </c>
      <c r="G62" s="4429"/>
      <c r="H62" s="3349"/>
      <c r="I62" s="3349"/>
      <c r="J62" s="3349">
        <f t="shared" si="170"/>
        <v>0</v>
      </c>
      <c r="K62" s="4428" t="e">
        <f t="shared" si="171"/>
        <v>#DIV/0!</v>
      </c>
      <c r="L62" s="4429"/>
      <c r="M62" s="3349"/>
      <c r="N62" s="3349"/>
      <c r="O62" s="3349">
        <f t="shared" si="172"/>
        <v>0</v>
      </c>
      <c r="P62" s="4428" t="e">
        <f t="shared" si="173"/>
        <v>#DIV/0!</v>
      </c>
      <c r="Q62" s="4429"/>
      <c r="R62" s="3342">
        <f t="shared" si="174"/>
        <v>0</v>
      </c>
      <c r="S62" s="3342">
        <f t="shared" si="174"/>
        <v>0</v>
      </c>
      <c r="T62" s="2012">
        <f t="shared" si="175"/>
        <v>0</v>
      </c>
      <c r="U62" s="3462"/>
      <c r="V62" s="3462"/>
      <c r="W62" s="3342">
        <f t="shared" si="176"/>
        <v>0</v>
      </c>
      <c r="X62" s="3342">
        <f t="shared" si="176"/>
        <v>0</v>
      </c>
      <c r="Y62" s="2012">
        <f t="shared" si="177"/>
        <v>0</v>
      </c>
      <c r="Z62" s="3462"/>
      <c r="AA62" s="3462"/>
      <c r="AB62" s="3349"/>
      <c r="AC62" s="3349"/>
      <c r="AD62" s="3349">
        <f t="shared" si="178"/>
        <v>0</v>
      </c>
      <c r="AE62" s="4428" t="e">
        <f t="shared" si="179"/>
        <v>#DIV/0!</v>
      </c>
      <c r="AF62" s="4429"/>
      <c r="AG62" s="3349"/>
      <c r="AH62" s="3349"/>
      <c r="AI62" s="3349">
        <f t="shared" si="180"/>
        <v>0</v>
      </c>
      <c r="AJ62" s="4428" t="e">
        <f t="shared" si="181"/>
        <v>#DIV/0!</v>
      </c>
      <c r="AK62" s="4429"/>
      <c r="AL62" s="3349"/>
      <c r="AM62" s="3349"/>
      <c r="AN62" s="3349">
        <f t="shared" si="182"/>
        <v>0</v>
      </c>
      <c r="AO62" s="4428" t="e">
        <f t="shared" si="183"/>
        <v>#DIV/0!</v>
      </c>
      <c r="AP62" s="4429"/>
      <c r="AQ62" s="3349"/>
      <c r="AR62" s="3349"/>
      <c r="AS62" s="3349">
        <f t="shared" si="184"/>
        <v>0</v>
      </c>
      <c r="AT62" s="4428" t="e">
        <f t="shared" si="185"/>
        <v>#DIV/0!</v>
      </c>
      <c r="AU62" s="4429"/>
      <c r="AV62" s="3349"/>
      <c r="AW62" s="3349"/>
      <c r="AX62" s="3349">
        <f t="shared" si="186"/>
        <v>0</v>
      </c>
      <c r="AY62" s="4428">
        <f t="shared" si="187"/>
        <v>0</v>
      </c>
      <c r="AZ62" s="4429"/>
      <c r="BA62" s="3349"/>
      <c r="BB62" s="3349"/>
      <c r="BC62" s="3349">
        <f t="shared" si="188"/>
        <v>0</v>
      </c>
      <c r="BD62" s="4428">
        <f t="shared" si="189"/>
        <v>0</v>
      </c>
      <c r="BE62" s="4429"/>
      <c r="BF62" s="3349"/>
      <c r="BG62" s="3349"/>
      <c r="BH62" s="3349">
        <f t="shared" si="190"/>
        <v>0</v>
      </c>
      <c r="BI62" s="4428" t="e">
        <f t="shared" si="191"/>
        <v>#DIV/0!</v>
      </c>
      <c r="BJ62" s="4429"/>
      <c r="BK62" s="3349"/>
      <c r="BL62" s="3349"/>
      <c r="BM62" s="3349">
        <f t="shared" si="192"/>
        <v>0</v>
      </c>
      <c r="BN62" s="4428" t="e">
        <f t="shared" si="193"/>
        <v>#DIV/0!</v>
      </c>
      <c r="BO62" s="4429"/>
      <c r="BP62" s="3349"/>
      <c r="BQ62" s="3349"/>
      <c r="BR62" s="3349">
        <f t="shared" si="194"/>
        <v>0</v>
      </c>
      <c r="BS62" s="4428" t="e">
        <f t="shared" si="195"/>
        <v>#DIV/0!</v>
      </c>
      <c r="BT62" s="4429"/>
      <c r="BU62" s="3349"/>
      <c r="BV62" s="3349"/>
      <c r="BW62" s="3349">
        <f t="shared" si="196"/>
        <v>0</v>
      </c>
      <c r="BX62" s="4428" t="e">
        <f t="shared" si="197"/>
        <v>#DIV/0!</v>
      </c>
      <c r="BY62" s="4429"/>
      <c r="BZ62" s="3349"/>
      <c r="CA62" s="3349"/>
      <c r="CB62" s="3349">
        <f t="shared" si="198"/>
        <v>0</v>
      </c>
      <c r="CC62" s="4428" t="e">
        <f t="shared" si="199"/>
        <v>#DIV/0!</v>
      </c>
      <c r="CD62" s="4429"/>
      <c r="CE62" s="3349"/>
      <c r="CF62" s="3349"/>
      <c r="CG62" s="3349">
        <f t="shared" si="200"/>
        <v>0</v>
      </c>
      <c r="CH62" s="4428" t="e">
        <f t="shared" si="201"/>
        <v>#DIV/0!</v>
      </c>
      <c r="CI62" s="4429"/>
      <c r="CJ62" s="3341">
        <f t="shared" si="202"/>
        <v>0</v>
      </c>
      <c r="CK62" s="3341">
        <f t="shared" si="202"/>
        <v>0</v>
      </c>
      <c r="CL62" s="2012">
        <f t="shared" si="203"/>
        <v>0</v>
      </c>
      <c r="CM62" s="4428">
        <f t="shared" si="168"/>
        <v>0</v>
      </c>
      <c r="CN62" s="4432"/>
      <c r="CP62" s="2012">
        <f t="shared" si="204"/>
        <v>0</v>
      </c>
      <c r="CQ62" s="2012">
        <f t="shared" si="204"/>
        <v>0</v>
      </c>
      <c r="CR62" s="4614"/>
    </row>
    <row r="63" spans="1:98" ht="13.8" outlineLevel="2">
      <c r="A63" s="1571"/>
      <c r="B63" s="4632" t="s">
        <v>35</v>
      </c>
      <c r="C63" s="3349"/>
      <c r="D63" s="3349"/>
      <c r="E63" s="3349">
        <f t="shared" si="169"/>
        <v>0</v>
      </c>
      <c r="F63" s="4428" t="e">
        <f t="shared" si="133"/>
        <v>#DIV/0!</v>
      </c>
      <c r="G63" s="4429"/>
      <c r="H63" s="3349"/>
      <c r="I63" s="3349"/>
      <c r="J63" s="3349">
        <f t="shared" si="170"/>
        <v>0</v>
      </c>
      <c r="K63" s="4428" t="e">
        <f t="shared" si="171"/>
        <v>#DIV/0!</v>
      </c>
      <c r="L63" s="4429"/>
      <c r="M63" s="3349"/>
      <c r="N63" s="3349"/>
      <c r="O63" s="3349">
        <f t="shared" si="172"/>
        <v>0</v>
      </c>
      <c r="P63" s="4428" t="e">
        <f t="shared" si="173"/>
        <v>#DIV/0!</v>
      </c>
      <c r="Q63" s="4429"/>
      <c r="R63" s="3342">
        <f t="shared" si="174"/>
        <v>0</v>
      </c>
      <c r="S63" s="3342">
        <f t="shared" si="174"/>
        <v>0</v>
      </c>
      <c r="T63" s="2012">
        <f t="shared" si="175"/>
        <v>0</v>
      </c>
      <c r="U63" s="3462"/>
      <c r="V63" s="3462"/>
      <c r="W63" s="3342">
        <f t="shared" si="176"/>
        <v>0</v>
      </c>
      <c r="X63" s="3342">
        <f t="shared" si="176"/>
        <v>0</v>
      </c>
      <c r="Y63" s="2012">
        <f t="shared" si="177"/>
        <v>0</v>
      </c>
      <c r="Z63" s="3462"/>
      <c r="AA63" s="3462"/>
      <c r="AB63" s="3349"/>
      <c r="AC63" s="3349"/>
      <c r="AD63" s="3349">
        <f t="shared" si="178"/>
        <v>0</v>
      </c>
      <c r="AE63" s="4428" t="e">
        <f t="shared" si="179"/>
        <v>#DIV/0!</v>
      </c>
      <c r="AF63" s="4429"/>
      <c r="AG63" s="3349"/>
      <c r="AH63" s="3349"/>
      <c r="AI63" s="3349">
        <f t="shared" si="180"/>
        <v>0</v>
      </c>
      <c r="AJ63" s="4428" t="e">
        <f t="shared" si="181"/>
        <v>#DIV/0!</v>
      </c>
      <c r="AK63" s="4429"/>
      <c r="AL63" s="3349"/>
      <c r="AM63" s="3349"/>
      <c r="AN63" s="3349">
        <f t="shared" si="182"/>
        <v>0</v>
      </c>
      <c r="AO63" s="4428" t="e">
        <f t="shared" si="183"/>
        <v>#DIV/0!</v>
      </c>
      <c r="AP63" s="4429"/>
      <c r="AQ63" s="3349"/>
      <c r="AR63" s="3349"/>
      <c r="AS63" s="3349">
        <f t="shared" si="184"/>
        <v>0</v>
      </c>
      <c r="AT63" s="4428" t="e">
        <f t="shared" si="185"/>
        <v>#DIV/0!</v>
      </c>
      <c r="AU63" s="4429"/>
      <c r="AV63" s="3349"/>
      <c r="AW63" s="3349"/>
      <c r="AX63" s="3349">
        <f t="shared" si="186"/>
        <v>0</v>
      </c>
      <c r="AY63" s="4428">
        <f t="shared" si="187"/>
        <v>0</v>
      </c>
      <c r="AZ63" s="4429"/>
      <c r="BA63" s="3349"/>
      <c r="BB63" s="3349"/>
      <c r="BC63" s="3349">
        <f t="shared" si="188"/>
        <v>0</v>
      </c>
      <c r="BD63" s="4428">
        <f t="shared" si="189"/>
        <v>0</v>
      </c>
      <c r="BE63" s="4429"/>
      <c r="BF63" s="3349"/>
      <c r="BG63" s="3349"/>
      <c r="BH63" s="3349">
        <f t="shared" si="190"/>
        <v>0</v>
      </c>
      <c r="BI63" s="4428" t="e">
        <f t="shared" si="191"/>
        <v>#DIV/0!</v>
      </c>
      <c r="BJ63" s="4429"/>
      <c r="BK63" s="3349"/>
      <c r="BL63" s="3349"/>
      <c r="BM63" s="3349">
        <f t="shared" si="192"/>
        <v>0</v>
      </c>
      <c r="BN63" s="4428" t="e">
        <f t="shared" si="193"/>
        <v>#DIV/0!</v>
      </c>
      <c r="BO63" s="4429"/>
      <c r="BP63" s="3349"/>
      <c r="BQ63" s="3349"/>
      <c r="BR63" s="3349">
        <f t="shared" si="194"/>
        <v>0</v>
      </c>
      <c r="BS63" s="4428" t="e">
        <f t="shared" si="195"/>
        <v>#DIV/0!</v>
      </c>
      <c r="BT63" s="4429"/>
      <c r="BU63" s="3349"/>
      <c r="BV63" s="3349"/>
      <c r="BW63" s="3349">
        <f t="shared" si="196"/>
        <v>0</v>
      </c>
      <c r="BX63" s="4428" t="e">
        <f t="shared" si="197"/>
        <v>#DIV/0!</v>
      </c>
      <c r="BY63" s="4429"/>
      <c r="BZ63" s="3349"/>
      <c r="CA63" s="3349"/>
      <c r="CB63" s="3349">
        <f t="shared" si="198"/>
        <v>0</v>
      </c>
      <c r="CC63" s="4428" t="e">
        <f t="shared" si="199"/>
        <v>#DIV/0!</v>
      </c>
      <c r="CD63" s="4429"/>
      <c r="CE63" s="3349"/>
      <c r="CF63" s="3349"/>
      <c r="CG63" s="3349">
        <f t="shared" si="200"/>
        <v>0</v>
      </c>
      <c r="CH63" s="4428" t="e">
        <f t="shared" si="201"/>
        <v>#DIV/0!</v>
      </c>
      <c r="CI63" s="4429"/>
      <c r="CJ63" s="3341">
        <f t="shared" si="202"/>
        <v>0</v>
      </c>
      <c r="CK63" s="3341">
        <f t="shared" si="202"/>
        <v>0</v>
      </c>
      <c r="CL63" s="2012">
        <f t="shared" si="203"/>
        <v>0</v>
      </c>
      <c r="CM63" s="4428">
        <f t="shared" si="168"/>
        <v>0</v>
      </c>
      <c r="CN63" s="4432"/>
      <c r="CP63" s="2012">
        <f t="shared" si="204"/>
        <v>0</v>
      </c>
      <c r="CQ63" s="2012">
        <f t="shared" si="204"/>
        <v>0</v>
      </c>
      <c r="CR63" s="4614"/>
    </row>
    <row r="64" spans="1:98" ht="13.8" outlineLevel="2">
      <c r="A64" s="1571"/>
      <c r="B64" s="4632" t="s">
        <v>63</v>
      </c>
      <c r="C64" s="3349"/>
      <c r="D64" s="3349"/>
      <c r="E64" s="3349">
        <f t="shared" si="169"/>
        <v>0</v>
      </c>
      <c r="F64" s="4428" t="e">
        <f t="shared" si="133"/>
        <v>#DIV/0!</v>
      </c>
      <c r="G64" s="4429"/>
      <c r="H64" s="3349"/>
      <c r="I64" s="3349"/>
      <c r="J64" s="3349">
        <f t="shared" si="170"/>
        <v>0</v>
      </c>
      <c r="K64" s="4428" t="e">
        <f t="shared" si="171"/>
        <v>#DIV/0!</v>
      </c>
      <c r="L64" s="4429"/>
      <c r="M64" s="3349"/>
      <c r="N64" s="3349"/>
      <c r="O64" s="3349">
        <f t="shared" si="172"/>
        <v>0</v>
      </c>
      <c r="P64" s="4428" t="e">
        <f t="shared" si="173"/>
        <v>#DIV/0!</v>
      </c>
      <c r="Q64" s="4429"/>
      <c r="R64" s="3342">
        <f t="shared" si="174"/>
        <v>0</v>
      </c>
      <c r="S64" s="3342">
        <f t="shared" si="174"/>
        <v>0</v>
      </c>
      <c r="T64" s="2012">
        <f t="shared" si="175"/>
        <v>0</v>
      </c>
      <c r="U64" s="3462"/>
      <c r="V64" s="3462"/>
      <c r="W64" s="3342">
        <f t="shared" si="176"/>
        <v>0</v>
      </c>
      <c r="X64" s="3342">
        <f t="shared" si="176"/>
        <v>0</v>
      </c>
      <c r="Y64" s="2012">
        <f t="shared" si="177"/>
        <v>0</v>
      </c>
      <c r="Z64" s="3462"/>
      <c r="AA64" s="3462"/>
      <c r="AB64" s="3349"/>
      <c r="AC64" s="3349"/>
      <c r="AD64" s="3349">
        <f t="shared" si="178"/>
        <v>0</v>
      </c>
      <c r="AE64" s="4428" t="e">
        <f t="shared" si="179"/>
        <v>#DIV/0!</v>
      </c>
      <c r="AF64" s="4429"/>
      <c r="AG64" s="3349"/>
      <c r="AH64" s="3349"/>
      <c r="AI64" s="3349">
        <f t="shared" si="180"/>
        <v>0</v>
      </c>
      <c r="AJ64" s="4428" t="e">
        <f t="shared" si="181"/>
        <v>#DIV/0!</v>
      </c>
      <c r="AK64" s="4429"/>
      <c r="AL64" s="3349"/>
      <c r="AM64" s="3349"/>
      <c r="AN64" s="3349">
        <f t="shared" si="182"/>
        <v>0</v>
      </c>
      <c r="AO64" s="4428" t="e">
        <f t="shared" si="183"/>
        <v>#DIV/0!</v>
      </c>
      <c r="AP64" s="4429"/>
      <c r="AQ64" s="3349"/>
      <c r="AR64" s="3349"/>
      <c r="AS64" s="3349">
        <f t="shared" si="184"/>
        <v>0</v>
      </c>
      <c r="AT64" s="4428" t="e">
        <f t="shared" si="185"/>
        <v>#DIV/0!</v>
      </c>
      <c r="AU64" s="4429"/>
      <c r="AV64" s="3349"/>
      <c r="AW64" s="3349"/>
      <c r="AX64" s="3349">
        <f t="shared" si="186"/>
        <v>0</v>
      </c>
      <c r="AY64" s="4428">
        <f t="shared" si="187"/>
        <v>0</v>
      </c>
      <c r="AZ64" s="4429"/>
      <c r="BA64" s="3349"/>
      <c r="BB64" s="3349"/>
      <c r="BC64" s="3349">
        <f t="shared" si="188"/>
        <v>0</v>
      </c>
      <c r="BD64" s="4428">
        <f t="shared" si="189"/>
        <v>0</v>
      </c>
      <c r="BE64" s="4429"/>
      <c r="BF64" s="3349"/>
      <c r="BG64" s="3349"/>
      <c r="BH64" s="3349">
        <f t="shared" si="190"/>
        <v>0</v>
      </c>
      <c r="BI64" s="4428" t="e">
        <f t="shared" si="191"/>
        <v>#DIV/0!</v>
      </c>
      <c r="BJ64" s="4429"/>
      <c r="BK64" s="3349"/>
      <c r="BL64" s="3349"/>
      <c r="BM64" s="3349">
        <f t="shared" si="192"/>
        <v>0</v>
      </c>
      <c r="BN64" s="4428" t="e">
        <f t="shared" si="193"/>
        <v>#DIV/0!</v>
      </c>
      <c r="BO64" s="4429"/>
      <c r="BP64" s="3349"/>
      <c r="BQ64" s="3349"/>
      <c r="BR64" s="3349">
        <f t="shared" si="194"/>
        <v>0</v>
      </c>
      <c r="BS64" s="4428" t="e">
        <f t="shared" si="195"/>
        <v>#DIV/0!</v>
      </c>
      <c r="BT64" s="4429"/>
      <c r="BU64" s="3349"/>
      <c r="BV64" s="3349"/>
      <c r="BW64" s="3349">
        <f t="shared" si="196"/>
        <v>0</v>
      </c>
      <c r="BX64" s="4428" t="e">
        <f t="shared" si="197"/>
        <v>#DIV/0!</v>
      </c>
      <c r="BY64" s="4429"/>
      <c r="BZ64" s="3349"/>
      <c r="CA64" s="3349"/>
      <c r="CB64" s="3349">
        <f t="shared" si="198"/>
        <v>0</v>
      </c>
      <c r="CC64" s="4428" t="e">
        <f t="shared" si="199"/>
        <v>#DIV/0!</v>
      </c>
      <c r="CD64" s="4429"/>
      <c r="CE64" s="3349"/>
      <c r="CF64" s="3349"/>
      <c r="CG64" s="3349">
        <f t="shared" si="200"/>
        <v>0</v>
      </c>
      <c r="CH64" s="4428" t="e">
        <f t="shared" si="201"/>
        <v>#DIV/0!</v>
      </c>
      <c r="CI64" s="4429"/>
      <c r="CJ64" s="3341">
        <f t="shared" si="202"/>
        <v>0</v>
      </c>
      <c r="CK64" s="3341">
        <f t="shared" si="202"/>
        <v>0</v>
      </c>
      <c r="CL64" s="2012">
        <f t="shared" si="203"/>
        <v>0</v>
      </c>
      <c r="CM64" s="4428">
        <f t="shared" si="168"/>
        <v>0</v>
      </c>
      <c r="CN64" s="4432"/>
      <c r="CP64" s="2012">
        <f t="shared" si="204"/>
        <v>0</v>
      </c>
      <c r="CQ64" s="2012">
        <f t="shared" si="204"/>
        <v>0</v>
      </c>
      <c r="CR64" s="4614"/>
    </row>
    <row r="65" spans="1:98" ht="13.8" outlineLevel="2">
      <c r="A65" s="1571"/>
      <c r="B65" s="4632" t="s">
        <v>36</v>
      </c>
      <c r="C65" s="3341"/>
      <c r="D65" s="3341"/>
      <c r="E65" s="3349">
        <f t="shared" si="169"/>
        <v>0</v>
      </c>
      <c r="F65" s="4428" t="e">
        <f t="shared" si="133"/>
        <v>#DIV/0!</v>
      </c>
      <c r="G65" s="4429"/>
      <c r="H65" s="3341"/>
      <c r="I65" s="3341"/>
      <c r="J65" s="3349">
        <f t="shared" si="170"/>
        <v>0</v>
      </c>
      <c r="K65" s="4428" t="e">
        <f t="shared" si="171"/>
        <v>#DIV/0!</v>
      </c>
      <c r="L65" s="4429"/>
      <c r="M65" s="3341"/>
      <c r="N65" s="3341"/>
      <c r="O65" s="3349">
        <f t="shared" si="172"/>
        <v>0</v>
      </c>
      <c r="P65" s="4428" t="e">
        <f t="shared" si="173"/>
        <v>#DIV/0!</v>
      </c>
      <c r="Q65" s="4429"/>
      <c r="R65" s="3342">
        <f t="shared" si="174"/>
        <v>0</v>
      </c>
      <c r="S65" s="3342">
        <f t="shared" si="174"/>
        <v>0</v>
      </c>
      <c r="T65" s="2012">
        <f t="shared" si="175"/>
        <v>0</v>
      </c>
      <c r="U65" s="3462"/>
      <c r="V65" s="3462"/>
      <c r="W65" s="3342">
        <f t="shared" si="176"/>
        <v>0</v>
      </c>
      <c r="X65" s="3342">
        <f t="shared" si="176"/>
        <v>0</v>
      </c>
      <c r="Y65" s="2012">
        <f t="shared" si="177"/>
        <v>0</v>
      </c>
      <c r="Z65" s="3462"/>
      <c r="AA65" s="3462"/>
      <c r="AB65" s="3341"/>
      <c r="AC65" s="3341"/>
      <c r="AD65" s="3349">
        <f t="shared" si="178"/>
        <v>0</v>
      </c>
      <c r="AE65" s="4428" t="e">
        <f t="shared" si="179"/>
        <v>#DIV/0!</v>
      </c>
      <c r="AF65" s="4429"/>
      <c r="AG65" s="3341"/>
      <c r="AH65" s="3341"/>
      <c r="AI65" s="3349">
        <f t="shared" si="180"/>
        <v>0</v>
      </c>
      <c r="AJ65" s="4428" t="e">
        <f t="shared" si="181"/>
        <v>#DIV/0!</v>
      </c>
      <c r="AK65" s="4429"/>
      <c r="AL65" s="3341"/>
      <c r="AM65" s="3341"/>
      <c r="AN65" s="3349">
        <f t="shared" si="182"/>
        <v>0</v>
      </c>
      <c r="AO65" s="4428" t="e">
        <f t="shared" si="183"/>
        <v>#DIV/0!</v>
      </c>
      <c r="AP65" s="4429"/>
      <c r="AQ65" s="3341"/>
      <c r="AR65" s="3341"/>
      <c r="AS65" s="3349">
        <f t="shared" si="184"/>
        <v>0</v>
      </c>
      <c r="AT65" s="4428" t="e">
        <f t="shared" si="185"/>
        <v>#DIV/0!</v>
      </c>
      <c r="AU65" s="4429"/>
      <c r="AV65" s="3341"/>
      <c r="AW65" s="3341"/>
      <c r="AX65" s="3349">
        <f t="shared" si="186"/>
        <v>0</v>
      </c>
      <c r="AY65" s="4428">
        <f t="shared" si="187"/>
        <v>0</v>
      </c>
      <c r="AZ65" s="4429"/>
      <c r="BA65" s="3341"/>
      <c r="BB65" s="3341"/>
      <c r="BC65" s="3349">
        <f t="shared" si="188"/>
        <v>0</v>
      </c>
      <c r="BD65" s="4428">
        <f t="shared" si="189"/>
        <v>0</v>
      </c>
      <c r="BE65" s="4429"/>
      <c r="BF65" s="3341"/>
      <c r="BG65" s="3341"/>
      <c r="BH65" s="3349">
        <f t="shared" si="190"/>
        <v>0</v>
      </c>
      <c r="BI65" s="4428" t="e">
        <f t="shared" si="191"/>
        <v>#DIV/0!</v>
      </c>
      <c r="BJ65" s="4429"/>
      <c r="BK65" s="3341"/>
      <c r="BL65" s="3341"/>
      <c r="BM65" s="3349">
        <f t="shared" si="192"/>
        <v>0</v>
      </c>
      <c r="BN65" s="4428" t="e">
        <f t="shared" si="193"/>
        <v>#DIV/0!</v>
      </c>
      <c r="BO65" s="4429"/>
      <c r="BP65" s="3341"/>
      <c r="BQ65" s="3341"/>
      <c r="BR65" s="3349">
        <f t="shared" si="194"/>
        <v>0</v>
      </c>
      <c r="BS65" s="4428" t="e">
        <f t="shared" si="195"/>
        <v>#DIV/0!</v>
      </c>
      <c r="BT65" s="4429"/>
      <c r="BU65" s="3341"/>
      <c r="BV65" s="3341"/>
      <c r="BW65" s="3349">
        <f t="shared" si="196"/>
        <v>0</v>
      </c>
      <c r="BX65" s="4428" t="e">
        <f t="shared" si="197"/>
        <v>#DIV/0!</v>
      </c>
      <c r="BY65" s="4429"/>
      <c r="BZ65" s="3341"/>
      <c r="CA65" s="3341"/>
      <c r="CB65" s="3349">
        <f t="shared" si="198"/>
        <v>0</v>
      </c>
      <c r="CC65" s="4428" t="e">
        <f t="shared" si="199"/>
        <v>#DIV/0!</v>
      </c>
      <c r="CD65" s="4429"/>
      <c r="CE65" s="3341"/>
      <c r="CF65" s="3341"/>
      <c r="CG65" s="3349">
        <f t="shared" si="200"/>
        <v>0</v>
      </c>
      <c r="CH65" s="4428" t="e">
        <f t="shared" si="201"/>
        <v>#DIV/0!</v>
      </c>
      <c r="CI65" s="4429"/>
      <c r="CJ65" s="3341">
        <f t="shared" si="202"/>
        <v>0</v>
      </c>
      <c r="CK65" s="3341">
        <f t="shared" si="202"/>
        <v>0</v>
      </c>
      <c r="CL65" s="2012">
        <f t="shared" si="203"/>
        <v>0</v>
      </c>
      <c r="CM65" s="4428">
        <f t="shared" si="168"/>
        <v>0</v>
      </c>
      <c r="CN65" s="4432"/>
      <c r="CP65" s="2012">
        <f t="shared" si="204"/>
        <v>0</v>
      </c>
      <c r="CQ65" s="2012">
        <f t="shared" si="204"/>
        <v>0</v>
      </c>
      <c r="CR65" s="4614"/>
    </row>
    <row r="66" spans="1:98" s="1396" customFormat="1" ht="13.8" outlineLevel="2">
      <c r="A66" s="1571"/>
      <c r="B66" s="4632" t="s">
        <v>37</v>
      </c>
      <c r="C66" s="3341"/>
      <c r="D66" s="3341"/>
      <c r="E66" s="3349">
        <f t="shared" si="169"/>
        <v>0</v>
      </c>
      <c r="F66" s="4428" t="e">
        <f t="shared" si="133"/>
        <v>#DIV/0!</v>
      </c>
      <c r="G66" s="4429"/>
      <c r="H66" s="3341"/>
      <c r="I66" s="3341"/>
      <c r="J66" s="3349">
        <f t="shared" si="170"/>
        <v>0</v>
      </c>
      <c r="K66" s="4428" t="e">
        <f t="shared" si="171"/>
        <v>#DIV/0!</v>
      </c>
      <c r="L66" s="4429"/>
      <c r="M66" s="3341"/>
      <c r="N66" s="3341"/>
      <c r="O66" s="3349">
        <f t="shared" si="172"/>
        <v>0</v>
      </c>
      <c r="P66" s="4428" t="e">
        <f t="shared" si="173"/>
        <v>#DIV/0!</v>
      </c>
      <c r="Q66" s="4429"/>
      <c r="R66" s="3342">
        <f t="shared" si="174"/>
        <v>0</v>
      </c>
      <c r="S66" s="3342">
        <f t="shared" si="174"/>
        <v>0</v>
      </c>
      <c r="T66" s="2012">
        <f t="shared" si="175"/>
        <v>0</v>
      </c>
      <c r="U66" s="3462"/>
      <c r="V66" s="3462"/>
      <c r="W66" s="3342">
        <f t="shared" si="176"/>
        <v>0</v>
      </c>
      <c r="X66" s="3342">
        <f t="shared" si="176"/>
        <v>0</v>
      </c>
      <c r="Y66" s="2012">
        <f t="shared" si="177"/>
        <v>0</v>
      </c>
      <c r="Z66" s="3462"/>
      <c r="AA66" s="3462"/>
      <c r="AB66" s="3341"/>
      <c r="AC66" s="3341"/>
      <c r="AD66" s="3349">
        <f t="shared" si="178"/>
        <v>0</v>
      </c>
      <c r="AE66" s="4428" t="e">
        <f t="shared" si="179"/>
        <v>#DIV/0!</v>
      </c>
      <c r="AF66" s="4429"/>
      <c r="AG66" s="3341"/>
      <c r="AH66" s="3341"/>
      <c r="AI66" s="3349">
        <f t="shared" si="180"/>
        <v>0</v>
      </c>
      <c r="AJ66" s="4428" t="e">
        <f t="shared" si="181"/>
        <v>#DIV/0!</v>
      </c>
      <c r="AK66" s="4429"/>
      <c r="AL66" s="3341"/>
      <c r="AM66" s="3341"/>
      <c r="AN66" s="3349">
        <f t="shared" si="182"/>
        <v>0</v>
      </c>
      <c r="AO66" s="4428" t="e">
        <f t="shared" si="183"/>
        <v>#DIV/0!</v>
      </c>
      <c r="AP66" s="4429"/>
      <c r="AQ66" s="3341"/>
      <c r="AR66" s="3341"/>
      <c r="AS66" s="3349">
        <f t="shared" si="184"/>
        <v>0</v>
      </c>
      <c r="AT66" s="4428" t="e">
        <f t="shared" si="185"/>
        <v>#DIV/0!</v>
      </c>
      <c r="AU66" s="4429"/>
      <c r="AV66" s="3341"/>
      <c r="AW66" s="3341"/>
      <c r="AX66" s="3349">
        <f t="shared" si="186"/>
        <v>0</v>
      </c>
      <c r="AY66" s="4428">
        <f t="shared" si="187"/>
        <v>0</v>
      </c>
      <c r="AZ66" s="4429"/>
      <c r="BA66" s="3341"/>
      <c r="BB66" s="3341"/>
      <c r="BC66" s="3349">
        <f t="shared" si="188"/>
        <v>0</v>
      </c>
      <c r="BD66" s="4428">
        <f t="shared" si="189"/>
        <v>0</v>
      </c>
      <c r="BE66" s="4429"/>
      <c r="BF66" s="3341"/>
      <c r="BG66" s="3341"/>
      <c r="BH66" s="3349">
        <f t="shared" si="190"/>
        <v>0</v>
      </c>
      <c r="BI66" s="4428" t="e">
        <f t="shared" si="191"/>
        <v>#DIV/0!</v>
      </c>
      <c r="BJ66" s="4429"/>
      <c r="BK66" s="3341"/>
      <c r="BL66" s="3341"/>
      <c r="BM66" s="3349">
        <f t="shared" si="192"/>
        <v>0</v>
      </c>
      <c r="BN66" s="4428" t="e">
        <f t="shared" si="193"/>
        <v>#DIV/0!</v>
      </c>
      <c r="BO66" s="4429"/>
      <c r="BP66" s="3341"/>
      <c r="BQ66" s="3341"/>
      <c r="BR66" s="3349">
        <f t="shared" si="194"/>
        <v>0</v>
      </c>
      <c r="BS66" s="4428" t="e">
        <f t="shared" si="195"/>
        <v>#DIV/0!</v>
      </c>
      <c r="BT66" s="4429"/>
      <c r="BU66" s="3341"/>
      <c r="BV66" s="3341"/>
      <c r="BW66" s="3349">
        <f t="shared" si="196"/>
        <v>0</v>
      </c>
      <c r="BX66" s="4428" t="e">
        <f t="shared" si="197"/>
        <v>#DIV/0!</v>
      </c>
      <c r="BY66" s="4429"/>
      <c r="BZ66" s="3341"/>
      <c r="CA66" s="3341"/>
      <c r="CB66" s="3349">
        <f t="shared" si="198"/>
        <v>0</v>
      </c>
      <c r="CC66" s="4428" t="e">
        <f t="shared" si="199"/>
        <v>#DIV/0!</v>
      </c>
      <c r="CD66" s="4429"/>
      <c r="CE66" s="3341"/>
      <c r="CF66" s="3341"/>
      <c r="CG66" s="3349">
        <f t="shared" si="200"/>
        <v>0</v>
      </c>
      <c r="CH66" s="4428" t="e">
        <f t="shared" si="201"/>
        <v>#DIV/0!</v>
      </c>
      <c r="CI66" s="4429"/>
      <c r="CJ66" s="3341">
        <f t="shared" si="202"/>
        <v>0</v>
      </c>
      <c r="CK66" s="3341">
        <f t="shared" si="202"/>
        <v>0</v>
      </c>
      <c r="CL66" s="2012">
        <f t="shared" si="203"/>
        <v>0</v>
      </c>
      <c r="CM66" s="4428">
        <f t="shared" si="168"/>
        <v>0</v>
      </c>
      <c r="CN66" s="4432"/>
      <c r="CP66" s="2012">
        <f t="shared" si="204"/>
        <v>0</v>
      </c>
      <c r="CQ66" s="2012">
        <f t="shared" si="204"/>
        <v>0</v>
      </c>
      <c r="CR66" s="4614"/>
      <c r="CT66" s="2624"/>
    </row>
    <row r="67" spans="1:98" s="1396" customFormat="1" ht="13.8" outlineLevel="2">
      <c r="A67" s="1571"/>
      <c r="B67" s="4632" t="s">
        <v>3</v>
      </c>
      <c r="C67" s="3341"/>
      <c r="D67" s="3341"/>
      <c r="E67" s="3349">
        <f t="shared" si="169"/>
        <v>0</v>
      </c>
      <c r="F67" s="4428" t="e">
        <f t="shared" si="133"/>
        <v>#DIV/0!</v>
      </c>
      <c r="G67" s="4429"/>
      <c r="H67" s="3341"/>
      <c r="I67" s="3341"/>
      <c r="J67" s="3349">
        <f t="shared" si="170"/>
        <v>0</v>
      </c>
      <c r="K67" s="4428" t="e">
        <f t="shared" si="171"/>
        <v>#DIV/0!</v>
      </c>
      <c r="L67" s="4429"/>
      <c r="M67" s="3341"/>
      <c r="N67" s="3341"/>
      <c r="O67" s="3349">
        <f t="shared" si="172"/>
        <v>0</v>
      </c>
      <c r="P67" s="4428" t="e">
        <f t="shared" si="173"/>
        <v>#DIV/0!</v>
      </c>
      <c r="Q67" s="4429"/>
      <c r="R67" s="3342">
        <f t="shared" si="174"/>
        <v>0</v>
      </c>
      <c r="S67" s="3342">
        <f t="shared" si="174"/>
        <v>0</v>
      </c>
      <c r="T67" s="2012">
        <f t="shared" si="175"/>
        <v>0</v>
      </c>
      <c r="U67" s="3462"/>
      <c r="V67" s="3462"/>
      <c r="W67" s="3342">
        <f t="shared" si="176"/>
        <v>0</v>
      </c>
      <c r="X67" s="3342">
        <f t="shared" si="176"/>
        <v>0</v>
      </c>
      <c r="Y67" s="2012">
        <f t="shared" si="177"/>
        <v>0</v>
      </c>
      <c r="Z67" s="3462"/>
      <c r="AA67" s="3462"/>
      <c r="AB67" s="3341"/>
      <c r="AC67" s="3341"/>
      <c r="AD67" s="3349">
        <f t="shared" si="178"/>
        <v>0</v>
      </c>
      <c r="AE67" s="4428" t="e">
        <f t="shared" si="179"/>
        <v>#DIV/0!</v>
      </c>
      <c r="AF67" s="4429"/>
      <c r="AG67" s="3341"/>
      <c r="AH67" s="3341"/>
      <c r="AI67" s="3349">
        <f t="shared" si="180"/>
        <v>0</v>
      </c>
      <c r="AJ67" s="4428" t="e">
        <f t="shared" si="181"/>
        <v>#DIV/0!</v>
      </c>
      <c r="AK67" s="4429"/>
      <c r="AL67" s="3341"/>
      <c r="AM67" s="3341"/>
      <c r="AN67" s="3349">
        <f t="shared" si="182"/>
        <v>0</v>
      </c>
      <c r="AO67" s="4428" t="e">
        <f t="shared" si="183"/>
        <v>#DIV/0!</v>
      </c>
      <c r="AP67" s="4429"/>
      <c r="AQ67" s="3341"/>
      <c r="AR67" s="3341"/>
      <c r="AS67" s="3349">
        <f t="shared" si="184"/>
        <v>0</v>
      </c>
      <c r="AT67" s="4428" t="e">
        <f t="shared" si="185"/>
        <v>#DIV/0!</v>
      </c>
      <c r="AU67" s="4429"/>
      <c r="AV67" s="3341"/>
      <c r="AW67" s="3341"/>
      <c r="AX67" s="3349">
        <f t="shared" si="186"/>
        <v>0</v>
      </c>
      <c r="AY67" s="4428">
        <f t="shared" si="187"/>
        <v>0</v>
      </c>
      <c r="AZ67" s="4429"/>
      <c r="BA67" s="3341"/>
      <c r="BB67" s="3341"/>
      <c r="BC67" s="3349">
        <f t="shared" si="188"/>
        <v>0</v>
      </c>
      <c r="BD67" s="4428">
        <f t="shared" si="189"/>
        <v>0</v>
      </c>
      <c r="BE67" s="4429"/>
      <c r="BF67" s="3341"/>
      <c r="BG67" s="3341"/>
      <c r="BH67" s="3349">
        <f t="shared" si="190"/>
        <v>0</v>
      </c>
      <c r="BI67" s="4428" t="e">
        <f t="shared" si="191"/>
        <v>#DIV/0!</v>
      </c>
      <c r="BJ67" s="4429"/>
      <c r="BK67" s="3341"/>
      <c r="BL67" s="3341"/>
      <c r="BM67" s="3349">
        <f t="shared" si="192"/>
        <v>0</v>
      </c>
      <c r="BN67" s="4428" t="e">
        <f t="shared" si="193"/>
        <v>#DIV/0!</v>
      </c>
      <c r="BO67" s="4429"/>
      <c r="BP67" s="3341"/>
      <c r="BQ67" s="3341"/>
      <c r="BR67" s="3349">
        <f t="shared" si="194"/>
        <v>0</v>
      </c>
      <c r="BS67" s="4428" t="e">
        <f t="shared" si="195"/>
        <v>#DIV/0!</v>
      </c>
      <c r="BT67" s="4429"/>
      <c r="BU67" s="3341"/>
      <c r="BV67" s="3341"/>
      <c r="BW67" s="3349">
        <f t="shared" si="196"/>
        <v>0</v>
      </c>
      <c r="BX67" s="4428" t="e">
        <f t="shared" si="197"/>
        <v>#DIV/0!</v>
      </c>
      <c r="BY67" s="4429"/>
      <c r="BZ67" s="3341"/>
      <c r="CA67" s="3341"/>
      <c r="CB67" s="3349">
        <f t="shared" si="198"/>
        <v>0</v>
      </c>
      <c r="CC67" s="4428" t="e">
        <f t="shared" si="199"/>
        <v>#DIV/0!</v>
      </c>
      <c r="CD67" s="4429"/>
      <c r="CE67" s="3341"/>
      <c r="CF67" s="3341"/>
      <c r="CG67" s="3349">
        <f t="shared" si="200"/>
        <v>0</v>
      </c>
      <c r="CH67" s="4428" t="e">
        <f t="shared" si="201"/>
        <v>#DIV/0!</v>
      </c>
      <c r="CI67" s="4429"/>
      <c r="CJ67" s="3341">
        <f t="shared" si="202"/>
        <v>0</v>
      </c>
      <c r="CK67" s="3341">
        <f t="shared" si="202"/>
        <v>0</v>
      </c>
      <c r="CL67" s="2012">
        <f t="shared" si="203"/>
        <v>0</v>
      </c>
      <c r="CM67" s="4428">
        <f t="shared" si="168"/>
        <v>0</v>
      </c>
      <c r="CN67" s="4432"/>
      <c r="CP67" s="2012">
        <f t="shared" si="204"/>
        <v>0</v>
      </c>
      <c r="CQ67" s="2012">
        <f t="shared" si="204"/>
        <v>0</v>
      </c>
      <c r="CR67" s="4614"/>
      <c r="CT67" s="2624"/>
    </row>
    <row r="68" spans="1:98" s="1396" customFormat="1" ht="13.8" outlineLevel="2">
      <c r="A68" s="1571"/>
      <c r="B68" s="4632" t="s">
        <v>5</v>
      </c>
      <c r="C68" s="3341"/>
      <c r="D68" s="3341"/>
      <c r="E68" s="3349">
        <f t="shared" si="169"/>
        <v>0</v>
      </c>
      <c r="F68" s="4428" t="e">
        <f t="shared" si="133"/>
        <v>#DIV/0!</v>
      </c>
      <c r="G68" s="3341"/>
      <c r="H68" s="3341"/>
      <c r="I68" s="3341"/>
      <c r="J68" s="3349">
        <f t="shared" si="170"/>
        <v>0</v>
      </c>
      <c r="K68" s="4428" t="e">
        <f t="shared" si="171"/>
        <v>#DIV/0!</v>
      </c>
      <c r="L68" s="3341"/>
      <c r="M68" s="3341"/>
      <c r="N68" s="3341"/>
      <c r="O68" s="3349">
        <f t="shared" si="172"/>
        <v>0</v>
      </c>
      <c r="P68" s="4428" t="e">
        <f t="shared" si="173"/>
        <v>#DIV/0!</v>
      </c>
      <c r="Q68" s="3341"/>
      <c r="R68" s="3342">
        <f t="shared" si="174"/>
        <v>0</v>
      </c>
      <c r="S68" s="3342">
        <f t="shared" si="174"/>
        <v>0</v>
      </c>
      <c r="T68" s="2012">
        <f t="shared" si="175"/>
        <v>0</v>
      </c>
      <c r="U68" s="3341"/>
      <c r="V68" s="3341"/>
      <c r="W68" s="3342">
        <f t="shared" si="176"/>
        <v>0</v>
      </c>
      <c r="X68" s="3342">
        <f t="shared" si="176"/>
        <v>0</v>
      </c>
      <c r="Y68" s="2012">
        <f t="shared" si="177"/>
        <v>0</v>
      </c>
      <c r="Z68" s="3341"/>
      <c r="AA68" s="3341"/>
      <c r="AB68" s="3341"/>
      <c r="AC68" s="3341"/>
      <c r="AD68" s="3349">
        <f t="shared" si="178"/>
        <v>0</v>
      </c>
      <c r="AE68" s="4428" t="e">
        <f t="shared" si="179"/>
        <v>#DIV/0!</v>
      </c>
      <c r="AF68" s="3341"/>
      <c r="AG68" s="3341"/>
      <c r="AH68" s="3341"/>
      <c r="AI68" s="3349">
        <f t="shared" si="180"/>
        <v>0</v>
      </c>
      <c r="AJ68" s="4428" t="e">
        <f t="shared" si="181"/>
        <v>#DIV/0!</v>
      </c>
      <c r="AK68" s="3341"/>
      <c r="AL68" s="3341"/>
      <c r="AM68" s="3341"/>
      <c r="AN68" s="3349">
        <f t="shared" si="182"/>
        <v>0</v>
      </c>
      <c r="AO68" s="4428" t="e">
        <f t="shared" si="183"/>
        <v>#DIV/0!</v>
      </c>
      <c r="AP68" s="3341"/>
      <c r="AQ68" s="3341"/>
      <c r="AR68" s="3341"/>
      <c r="AS68" s="3349">
        <f t="shared" si="184"/>
        <v>0</v>
      </c>
      <c r="AT68" s="4428" t="e">
        <f t="shared" si="185"/>
        <v>#DIV/0!</v>
      </c>
      <c r="AU68" s="3341"/>
      <c r="AV68" s="3341"/>
      <c r="AW68" s="3341"/>
      <c r="AX68" s="3349">
        <f t="shared" si="186"/>
        <v>0</v>
      </c>
      <c r="AY68" s="4428">
        <f t="shared" si="187"/>
        <v>0</v>
      </c>
      <c r="AZ68" s="3341"/>
      <c r="BA68" s="3341"/>
      <c r="BB68" s="3341"/>
      <c r="BC68" s="3349">
        <f t="shared" si="188"/>
        <v>0</v>
      </c>
      <c r="BD68" s="4428">
        <f t="shared" si="189"/>
        <v>0</v>
      </c>
      <c r="BE68" s="3341"/>
      <c r="BF68" s="3341"/>
      <c r="BG68" s="3341"/>
      <c r="BH68" s="3349">
        <f t="shared" si="190"/>
        <v>0</v>
      </c>
      <c r="BI68" s="4428" t="e">
        <f t="shared" si="191"/>
        <v>#DIV/0!</v>
      </c>
      <c r="BJ68" s="3341"/>
      <c r="BK68" s="3341"/>
      <c r="BL68" s="3341"/>
      <c r="BM68" s="3349">
        <f t="shared" si="192"/>
        <v>0</v>
      </c>
      <c r="BN68" s="4428" t="e">
        <f t="shared" si="193"/>
        <v>#DIV/0!</v>
      </c>
      <c r="BO68" s="3341"/>
      <c r="BP68" s="3341"/>
      <c r="BQ68" s="3341"/>
      <c r="BR68" s="3349">
        <f t="shared" si="194"/>
        <v>0</v>
      </c>
      <c r="BS68" s="4428" t="e">
        <f t="shared" si="195"/>
        <v>#DIV/0!</v>
      </c>
      <c r="BT68" s="3341"/>
      <c r="BU68" s="3341"/>
      <c r="BV68" s="3341"/>
      <c r="BW68" s="3349">
        <f t="shared" si="196"/>
        <v>0</v>
      </c>
      <c r="BX68" s="4428" t="e">
        <f t="shared" si="197"/>
        <v>#DIV/0!</v>
      </c>
      <c r="BY68" s="3341"/>
      <c r="BZ68" s="3341"/>
      <c r="CA68" s="3341"/>
      <c r="CB68" s="3349">
        <f t="shared" si="198"/>
        <v>0</v>
      </c>
      <c r="CC68" s="4428" t="e">
        <f t="shared" si="199"/>
        <v>#DIV/0!</v>
      </c>
      <c r="CD68" s="3341"/>
      <c r="CE68" s="3341"/>
      <c r="CF68" s="3341"/>
      <c r="CG68" s="3349">
        <f t="shared" si="200"/>
        <v>0</v>
      </c>
      <c r="CH68" s="4428" t="e">
        <f t="shared" si="201"/>
        <v>#DIV/0!</v>
      </c>
      <c r="CI68" s="3341"/>
      <c r="CJ68" s="3341">
        <f t="shared" si="202"/>
        <v>0</v>
      </c>
      <c r="CK68" s="3341">
        <f t="shared" si="202"/>
        <v>0</v>
      </c>
      <c r="CL68" s="2012">
        <f t="shared" si="203"/>
        <v>0</v>
      </c>
      <c r="CM68" s="4428">
        <f t="shared" si="168"/>
        <v>0</v>
      </c>
      <c r="CN68" s="4432"/>
      <c r="CP68" s="2012">
        <f t="shared" si="204"/>
        <v>0</v>
      </c>
      <c r="CQ68" s="2012">
        <f t="shared" si="204"/>
        <v>0</v>
      </c>
      <c r="CR68" s="4614"/>
      <c r="CT68" s="2624"/>
    </row>
    <row r="69" spans="1:98" s="1396" customFormat="1" ht="13.8" outlineLevel="2">
      <c r="A69" s="1571"/>
      <c r="B69" s="4632" t="s">
        <v>42</v>
      </c>
      <c r="C69" s="3341"/>
      <c r="D69" s="3341"/>
      <c r="E69" s="3349">
        <f t="shared" si="169"/>
        <v>0</v>
      </c>
      <c r="F69" s="4428" t="e">
        <f t="shared" si="133"/>
        <v>#DIV/0!</v>
      </c>
      <c r="G69" s="4429"/>
      <c r="H69" s="3341"/>
      <c r="I69" s="3341"/>
      <c r="J69" s="3349">
        <f t="shared" si="170"/>
        <v>0</v>
      </c>
      <c r="K69" s="4428" t="e">
        <f t="shared" si="171"/>
        <v>#DIV/0!</v>
      </c>
      <c r="L69" s="4429"/>
      <c r="M69" s="3341"/>
      <c r="N69" s="3341"/>
      <c r="O69" s="3349">
        <f t="shared" si="172"/>
        <v>0</v>
      </c>
      <c r="P69" s="4428" t="e">
        <f t="shared" si="173"/>
        <v>#DIV/0!</v>
      </c>
      <c r="Q69" s="4429"/>
      <c r="R69" s="3342">
        <f t="shared" si="174"/>
        <v>0</v>
      </c>
      <c r="S69" s="3342">
        <f t="shared" si="174"/>
        <v>0</v>
      </c>
      <c r="T69" s="2012">
        <f t="shared" si="175"/>
        <v>0</v>
      </c>
      <c r="U69" s="3462"/>
      <c r="V69" s="3462"/>
      <c r="W69" s="3342">
        <f t="shared" si="176"/>
        <v>0</v>
      </c>
      <c r="X69" s="3342">
        <f t="shared" si="176"/>
        <v>0</v>
      </c>
      <c r="Y69" s="2012">
        <f t="shared" si="177"/>
        <v>0</v>
      </c>
      <c r="Z69" s="3462"/>
      <c r="AA69" s="3462"/>
      <c r="AB69" s="3341"/>
      <c r="AC69" s="3341"/>
      <c r="AD69" s="3349">
        <f t="shared" si="178"/>
        <v>0</v>
      </c>
      <c r="AE69" s="4428" t="e">
        <f t="shared" si="179"/>
        <v>#DIV/0!</v>
      </c>
      <c r="AF69" s="4429"/>
      <c r="AG69" s="3341"/>
      <c r="AH69" s="3341"/>
      <c r="AI69" s="3349">
        <f t="shared" si="180"/>
        <v>0</v>
      </c>
      <c r="AJ69" s="4428" t="e">
        <f t="shared" si="181"/>
        <v>#DIV/0!</v>
      </c>
      <c r="AK69" s="4429"/>
      <c r="AL69" s="3341"/>
      <c r="AM69" s="3341"/>
      <c r="AN69" s="3349">
        <f t="shared" si="182"/>
        <v>0</v>
      </c>
      <c r="AO69" s="4428" t="e">
        <f t="shared" si="183"/>
        <v>#DIV/0!</v>
      </c>
      <c r="AP69" s="4429"/>
      <c r="AQ69" s="3341"/>
      <c r="AR69" s="3341"/>
      <c r="AS69" s="3349">
        <f t="shared" si="184"/>
        <v>0</v>
      </c>
      <c r="AT69" s="4428" t="e">
        <f t="shared" si="185"/>
        <v>#DIV/0!</v>
      </c>
      <c r="AU69" s="4429"/>
      <c r="AV69" s="3341"/>
      <c r="AW69" s="3341"/>
      <c r="AX69" s="3349">
        <f t="shared" si="186"/>
        <v>0</v>
      </c>
      <c r="AY69" s="4428">
        <f t="shared" si="187"/>
        <v>0</v>
      </c>
      <c r="AZ69" s="4429"/>
      <c r="BA69" s="3341"/>
      <c r="BB69" s="3341"/>
      <c r="BC69" s="3349">
        <f t="shared" si="188"/>
        <v>0</v>
      </c>
      <c r="BD69" s="4428">
        <f t="shared" si="189"/>
        <v>0</v>
      </c>
      <c r="BE69" s="4429"/>
      <c r="BF69" s="3341"/>
      <c r="BG69" s="3341"/>
      <c r="BH69" s="3349">
        <f t="shared" si="190"/>
        <v>0</v>
      </c>
      <c r="BI69" s="4428" t="e">
        <f t="shared" si="191"/>
        <v>#DIV/0!</v>
      </c>
      <c r="BJ69" s="4429"/>
      <c r="BK69" s="3341"/>
      <c r="BL69" s="3341"/>
      <c r="BM69" s="3349">
        <f t="shared" si="192"/>
        <v>0</v>
      </c>
      <c r="BN69" s="4428" t="e">
        <f t="shared" si="193"/>
        <v>#DIV/0!</v>
      </c>
      <c r="BO69" s="4429"/>
      <c r="BP69" s="3341"/>
      <c r="BQ69" s="3341"/>
      <c r="BR69" s="3349">
        <f t="shared" si="194"/>
        <v>0</v>
      </c>
      <c r="BS69" s="4428" t="e">
        <f t="shared" si="195"/>
        <v>#DIV/0!</v>
      </c>
      <c r="BT69" s="4429"/>
      <c r="BU69" s="3341"/>
      <c r="BV69" s="3341"/>
      <c r="BW69" s="3349">
        <f t="shared" si="196"/>
        <v>0</v>
      </c>
      <c r="BX69" s="4428" t="e">
        <f t="shared" si="197"/>
        <v>#DIV/0!</v>
      </c>
      <c r="BY69" s="4429"/>
      <c r="BZ69" s="3341"/>
      <c r="CA69" s="3341"/>
      <c r="CB69" s="3349">
        <f t="shared" si="198"/>
        <v>0</v>
      </c>
      <c r="CC69" s="4428" t="e">
        <f t="shared" si="199"/>
        <v>#DIV/0!</v>
      </c>
      <c r="CD69" s="4429"/>
      <c r="CE69" s="3341"/>
      <c r="CF69" s="3341"/>
      <c r="CG69" s="3349">
        <f t="shared" si="200"/>
        <v>0</v>
      </c>
      <c r="CH69" s="4428" t="e">
        <f t="shared" si="201"/>
        <v>#DIV/0!</v>
      </c>
      <c r="CI69" s="4429"/>
      <c r="CJ69" s="3341">
        <f t="shared" si="202"/>
        <v>0</v>
      </c>
      <c r="CK69" s="3341">
        <f t="shared" si="202"/>
        <v>0</v>
      </c>
      <c r="CL69" s="2012">
        <f t="shared" si="203"/>
        <v>0</v>
      </c>
      <c r="CM69" s="4428">
        <f t="shared" si="168"/>
        <v>0</v>
      </c>
      <c r="CN69" s="4432"/>
      <c r="CP69" s="2012">
        <f t="shared" si="204"/>
        <v>0</v>
      </c>
      <c r="CQ69" s="2012">
        <f t="shared" si="204"/>
        <v>0</v>
      </c>
      <c r="CR69" s="4614"/>
      <c r="CT69" s="2624"/>
    </row>
    <row r="70" spans="1:98" s="1396" customFormat="1" ht="13.8" outlineLevel="2">
      <c r="A70" s="1571"/>
      <c r="B70" s="4632" t="s">
        <v>6</v>
      </c>
      <c r="C70" s="3341"/>
      <c r="D70" s="3341"/>
      <c r="E70" s="3349">
        <f t="shared" si="169"/>
        <v>0</v>
      </c>
      <c r="F70" s="4428" t="e">
        <f t="shared" si="133"/>
        <v>#DIV/0!</v>
      </c>
      <c r="G70" s="4429"/>
      <c r="H70" s="3341"/>
      <c r="I70" s="3341"/>
      <c r="J70" s="3349">
        <f t="shared" si="170"/>
        <v>0</v>
      </c>
      <c r="K70" s="4428" t="e">
        <f t="shared" si="171"/>
        <v>#DIV/0!</v>
      </c>
      <c r="L70" s="4429"/>
      <c r="M70" s="3341"/>
      <c r="N70" s="3341"/>
      <c r="O70" s="3349">
        <f t="shared" si="172"/>
        <v>0</v>
      </c>
      <c r="P70" s="4428" t="e">
        <f t="shared" si="173"/>
        <v>#DIV/0!</v>
      </c>
      <c r="Q70" s="4429"/>
      <c r="R70" s="3342">
        <f t="shared" si="174"/>
        <v>0</v>
      </c>
      <c r="S70" s="3342">
        <f t="shared" si="174"/>
        <v>0</v>
      </c>
      <c r="T70" s="2012">
        <f t="shared" si="175"/>
        <v>0</v>
      </c>
      <c r="U70" s="3462"/>
      <c r="V70" s="3462"/>
      <c r="W70" s="3342">
        <f t="shared" si="176"/>
        <v>0</v>
      </c>
      <c r="X70" s="3342">
        <f t="shared" si="176"/>
        <v>0</v>
      </c>
      <c r="Y70" s="2012">
        <f t="shared" si="177"/>
        <v>0</v>
      </c>
      <c r="Z70" s="3462"/>
      <c r="AA70" s="3462"/>
      <c r="AB70" s="3341"/>
      <c r="AC70" s="3341"/>
      <c r="AD70" s="3349">
        <f t="shared" si="178"/>
        <v>0</v>
      </c>
      <c r="AE70" s="4428" t="e">
        <f t="shared" si="179"/>
        <v>#DIV/0!</v>
      </c>
      <c r="AF70" s="4429"/>
      <c r="AG70" s="3341"/>
      <c r="AH70" s="3341"/>
      <c r="AI70" s="3349">
        <f t="shared" si="180"/>
        <v>0</v>
      </c>
      <c r="AJ70" s="4428" t="e">
        <f t="shared" si="181"/>
        <v>#DIV/0!</v>
      </c>
      <c r="AK70" s="4429"/>
      <c r="AL70" s="3341"/>
      <c r="AM70" s="3341"/>
      <c r="AN70" s="3349">
        <f t="shared" si="182"/>
        <v>0</v>
      </c>
      <c r="AO70" s="4428" t="e">
        <f t="shared" si="183"/>
        <v>#DIV/0!</v>
      </c>
      <c r="AP70" s="4429"/>
      <c r="AQ70" s="3341"/>
      <c r="AR70" s="3341"/>
      <c r="AS70" s="3349">
        <f t="shared" si="184"/>
        <v>0</v>
      </c>
      <c r="AT70" s="4428" t="e">
        <f t="shared" si="185"/>
        <v>#DIV/0!</v>
      </c>
      <c r="AU70" s="4429"/>
      <c r="AV70" s="3341"/>
      <c r="AW70" s="3341"/>
      <c r="AX70" s="3349">
        <f t="shared" si="186"/>
        <v>0</v>
      </c>
      <c r="AY70" s="4428">
        <f t="shared" si="187"/>
        <v>0</v>
      </c>
      <c r="AZ70" s="4429"/>
      <c r="BA70" s="3341"/>
      <c r="BB70" s="3341"/>
      <c r="BC70" s="3349">
        <f t="shared" si="188"/>
        <v>0</v>
      </c>
      <c r="BD70" s="4428">
        <f t="shared" si="189"/>
        <v>0</v>
      </c>
      <c r="BE70" s="4429"/>
      <c r="BF70" s="3341"/>
      <c r="BG70" s="3341"/>
      <c r="BH70" s="3349">
        <f t="shared" si="190"/>
        <v>0</v>
      </c>
      <c r="BI70" s="4428" t="e">
        <f t="shared" si="191"/>
        <v>#DIV/0!</v>
      </c>
      <c r="BJ70" s="4429"/>
      <c r="BK70" s="3341"/>
      <c r="BL70" s="3341"/>
      <c r="BM70" s="3349">
        <f t="shared" si="192"/>
        <v>0</v>
      </c>
      <c r="BN70" s="4428" t="e">
        <f t="shared" si="193"/>
        <v>#DIV/0!</v>
      </c>
      <c r="BO70" s="4429"/>
      <c r="BP70" s="3341"/>
      <c r="BQ70" s="3341"/>
      <c r="BR70" s="3349">
        <f t="shared" si="194"/>
        <v>0</v>
      </c>
      <c r="BS70" s="4428" t="e">
        <f t="shared" si="195"/>
        <v>#DIV/0!</v>
      </c>
      <c r="BT70" s="4429"/>
      <c r="BU70" s="3341"/>
      <c r="BV70" s="3341"/>
      <c r="BW70" s="3349">
        <f t="shared" si="196"/>
        <v>0</v>
      </c>
      <c r="BX70" s="4428" t="e">
        <f t="shared" si="197"/>
        <v>#DIV/0!</v>
      </c>
      <c r="BY70" s="4429"/>
      <c r="BZ70" s="3341"/>
      <c r="CA70" s="3341"/>
      <c r="CB70" s="3349">
        <f t="shared" si="198"/>
        <v>0</v>
      </c>
      <c r="CC70" s="4428" t="e">
        <f t="shared" si="199"/>
        <v>#DIV/0!</v>
      </c>
      <c r="CD70" s="4429"/>
      <c r="CE70" s="3341"/>
      <c r="CF70" s="3341"/>
      <c r="CG70" s="3349">
        <f t="shared" si="200"/>
        <v>0</v>
      </c>
      <c r="CH70" s="4428" t="e">
        <f t="shared" si="201"/>
        <v>#DIV/0!</v>
      </c>
      <c r="CI70" s="4429"/>
      <c r="CJ70" s="3341">
        <f t="shared" si="202"/>
        <v>0</v>
      </c>
      <c r="CK70" s="3341">
        <f t="shared" si="202"/>
        <v>0</v>
      </c>
      <c r="CL70" s="2012">
        <f t="shared" si="203"/>
        <v>0</v>
      </c>
      <c r="CM70" s="4428">
        <f t="shared" si="168"/>
        <v>0</v>
      </c>
      <c r="CN70" s="4432"/>
      <c r="CP70" s="2012">
        <f t="shared" si="204"/>
        <v>0</v>
      </c>
      <c r="CQ70" s="2012">
        <f t="shared" si="204"/>
        <v>0</v>
      </c>
      <c r="CR70" s="4614"/>
      <c r="CT70" s="2624"/>
    </row>
    <row r="71" spans="1:98" s="1396" customFormat="1" ht="13.8" outlineLevel="2">
      <c r="A71" s="1571"/>
      <c r="B71" s="4632" t="s">
        <v>78</v>
      </c>
      <c r="C71" s="3341"/>
      <c r="D71" s="3341"/>
      <c r="E71" s="3349">
        <f t="shared" si="169"/>
        <v>0</v>
      </c>
      <c r="F71" s="4428" t="e">
        <f t="shared" si="133"/>
        <v>#DIV/0!</v>
      </c>
      <c r="G71" s="4429"/>
      <c r="H71" s="3341"/>
      <c r="I71" s="3341"/>
      <c r="J71" s="3349">
        <f t="shared" si="170"/>
        <v>0</v>
      </c>
      <c r="K71" s="4428" t="e">
        <f t="shared" si="171"/>
        <v>#DIV/0!</v>
      </c>
      <c r="L71" s="4429"/>
      <c r="M71" s="3341"/>
      <c r="N71" s="3341"/>
      <c r="O71" s="3349">
        <f t="shared" si="172"/>
        <v>0</v>
      </c>
      <c r="P71" s="4428" t="e">
        <f t="shared" si="173"/>
        <v>#DIV/0!</v>
      </c>
      <c r="Q71" s="4429"/>
      <c r="R71" s="3342">
        <f t="shared" si="174"/>
        <v>0</v>
      </c>
      <c r="S71" s="3342">
        <f t="shared" si="174"/>
        <v>0</v>
      </c>
      <c r="T71" s="2012">
        <f t="shared" si="175"/>
        <v>0</v>
      </c>
      <c r="U71" s="3462"/>
      <c r="V71" s="3462"/>
      <c r="W71" s="3342">
        <f t="shared" si="176"/>
        <v>0</v>
      </c>
      <c r="X71" s="3342">
        <f t="shared" si="176"/>
        <v>0</v>
      </c>
      <c r="Y71" s="2012">
        <f t="shared" si="177"/>
        <v>0</v>
      </c>
      <c r="Z71" s="3462"/>
      <c r="AA71" s="3462"/>
      <c r="AB71" s="3341"/>
      <c r="AC71" s="3341"/>
      <c r="AD71" s="3349">
        <f t="shared" si="178"/>
        <v>0</v>
      </c>
      <c r="AE71" s="4428" t="e">
        <f t="shared" si="179"/>
        <v>#DIV/0!</v>
      </c>
      <c r="AF71" s="4429"/>
      <c r="AG71" s="3341"/>
      <c r="AH71" s="3341"/>
      <c r="AI71" s="3349">
        <f t="shared" si="180"/>
        <v>0</v>
      </c>
      <c r="AJ71" s="4428" t="e">
        <f t="shared" si="181"/>
        <v>#DIV/0!</v>
      </c>
      <c r="AK71" s="4429"/>
      <c r="AL71" s="3341"/>
      <c r="AM71" s="3341"/>
      <c r="AN71" s="3349">
        <f t="shared" si="182"/>
        <v>0</v>
      </c>
      <c r="AO71" s="4428" t="e">
        <f t="shared" si="183"/>
        <v>#DIV/0!</v>
      </c>
      <c r="AP71" s="4429"/>
      <c r="AQ71" s="3341"/>
      <c r="AR71" s="3341"/>
      <c r="AS71" s="3349">
        <f t="shared" si="184"/>
        <v>0</v>
      </c>
      <c r="AT71" s="4428" t="e">
        <f t="shared" si="185"/>
        <v>#DIV/0!</v>
      </c>
      <c r="AU71" s="4429"/>
      <c r="AV71" s="3341"/>
      <c r="AW71" s="3341"/>
      <c r="AX71" s="3349">
        <f t="shared" si="186"/>
        <v>0</v>
      </c>
      <c r="AY71" s="4428">
        <f t="shared" si="187"/>
        <v>0</v>
      </c>
      <c r="AZ71" s="4429"/>
      <c r="BA71" s="3341"/>
      <c r="BB71" s="3341"/>
      <c r="BC71" s="3349">
        <f t="shared" si="188"/>
        <v>0</v>
      </c>
      <c r="BD71" s="4428">
        <f t="shared" si="189"/>
        <v>0</v>
      </c>
      <c r="BE71" s="4429"/>
      <c r="BF71" s="3341"/>
      <c r="BG71" s="3341"/>
      <c r="BH71" s="3349">
        <f t="shared" si="190"/>
        <v>0</v>
      </c>
      <c r="BI71" s="4428" t="e">
        <f t="shared" si="191"/>
        <v>#DIV/0!</v>
      </c>
      <c r="BJ71" s="4429"/>
      <c r="BK71" s="3341"/>
      <c r="BL71" s="3341"/>
      <c r="BM71" s="3349">
        <f t="shared" si="192"/>
        <v>0</v>
      </c>
      <c r="BN71" s="4428" t="e">
        <f t="shared" si="193"/>
        <v>#DIV/0!</v>
      </c>
      <c r="BO71" s="4429"/>
      <c r="BP71" s="3341"/>
      <c r="BQ71" s="3341"/>
      <c r="BR71" s="3349">
        <f t="shared" si="194"/>
        <v>0</v>
      </c>
      <c r="BS71" s="4428" t="e">
        <f t="shared" si="195"/>
        <v>#DIV/0!</v>
      </c>
      <c r="BT71" s="4429"/>
      <c r="BU71" s="3341"/>
      <c r="BV71" s="3341"/>
      <c r="BW71" s="3349">
        <f t="shared" si="196"/>
        <v>0</v>
      </c>
      <c r="BX71" s="4428" t="e">
        <f t="shared" si="197"/>
        <v>#DIV/0!</v>
      </c>
      <c r="BY71" s="4429"/>
      <c r="BZ71" s="3341"/>
      <c r="CA71" s="3341"/>
      <c r="CB71" s="3349">
        <f t="shared" si="198"/>
        <v>0</v>
      </c>
      <c r="CC71" s="4428" t="e">
        <f t="shared" si="199"/>
        <v>#DIV/0!</v>
      </c>
      <c r="CD71" s="4429"/>
      <c r="CE71" s="3341"/>
      <c r="CF71" s="3341"/>
      <c r="CG71" s="3349">
        <f t="shared" si="200"/>
        <v>0</v>
      </c>
      <c r="CH71" s="4428" t="e">
        <f t="shared" si="201"/>
        <v>#DIV/0!</v>
      </c>
      <c r="CI71" s="4429"/>
      <c r="CJ71" s="3341">
        <f t="shared" si="202"/>
        <v>0</v>
      </c>
      <c r="CK71" s="3341">
        <f t="shared" si="202"/>
        <v>0</v>
      </c>
      <c r="CL71" s="2012">
        <f t="shared" si="203"/>
        <v>0</v>
      </c>
      <c r="CM71" s="4428">
        <f t="shared" si="168"/>
        <v>0</v>
      </c>
      <c r="CN71" s="4432"/>
      <c r="CP71" s="2012">
        <f t="shared" si="204"/>
        <v>0</v>
      </c>
      <c r="CQ71" s="2012">
        <f t="shared" si="204"/>
        <v>0</v>
      </c>
      <c r="CR71" s="4614"/>
      <c r="CT71" s="2624"/>
    </row>
    <row r="72" spans="1:98" s="1396" customFormat="1" ht="13.8" outlineLevel="2">
      <c r="A72" s="1571"/>
      <c r="B72" s="4463"/>
      <c r="C72" s="4623"/>
      <c r="D72" s="4623"/>
      <c r="E72" s="4453"/>
      <c r="F72" s="4428"/>
      <c r="G72" s="4429"/>
      <c r="H72" s="4623"/>
      <c r="I72" s="4623"/>
      <c r="J72" s="4453"/>
      <c r="K72" s="4428" t="e">
        <f t="shared" si="171"/>
        <v>#DIV/0!</v>
      </c>
      <c r="L72" s="4429"/>
      <c r="M72" s="4623"/>
      <c r="N72" s="4623"/>
      <c r="O72" s="4453"/>
      <c r="P72" s="4428" t="e">
        <f t="shared" si="173"/>
        <v>#DIV/0!</v>
      </c>
      <c r="Q72" s="4429"/>
      <c r="R72" s="4429"/>
      <c r="S72" s="4429"/>
      <c r="T72" s="4429"/>
      <c r="U72" s="4429"/>
      <c r="V72" s="4429"/>
      <c r="W72" s="4429"/>
      <c r="X72" s="4429"/>
      <c r="Y72" s="4429"/>
      <c r="Z72" s="4429"/>
      <c r="AA72" s="4429"/>
      <c r="AB72" s="4623"/>
      <c r="AC72" s="4623"/>
      <c r="AD72" s="4453"/>
      <c r="AE72" s="4428"/>
      <c r="AF72" s="4429"/>
      <c r="AG72" s="4623"/>
      <c r="AH72" s="4623"/>
      <c r="AI72" s="4453"/>
      <c r="AJ72" s="4428"/>
      <c r="AK72" s="4429"/>
      <c r="AL72" s="4623"/>
      <c r="AM72" s="4623"/>
      <c r="AN72" s="4453"/>
      <c r="AO72" s="4428"/>
      <c r="AP72" s="4429"/>
      <c r="AQ72" s="4623"/>
      <c r="AR72" s="4623"/>
      <c r="AS72" s="4453"/>
      <c r="AT72" s="4428"/>
      <c r="AU72" s="4429"/>
      <c r="AV72" s="4623"/>
      <c r="AW72" s="4623"/>
      <c r="AX72" s="4453"/>
      <c r="AY72" s="4428"/>
      <c r="AZ72" s="4429"/>
      <c r="BA72" s="4623"/>
      <c r="BB72" s="4623"/>
      <c r="BC72" s="4453"/>
      <c r="BD72" s="4428"/>
      <c r="BE72" s="4429"/>
      <c r="BF72" s="4623"/>
      <c r="BG72" s="4623"/>
      <c r="BH72" s="4453"/>
      <c r="BI72" s="4428"/>
      <c r="BJ72" s="4429"/>
      <c r="BK72" s="4623"/>
      <c r="BL72" s="4623"/>
      <c r="BM72" s="4453"/>
      <c r="BN72" s="4428"/>
      <c r="BO72" s="4429"/>
      <c r="BP72" s="4623"/>
      <c r="BQ72" s="4623"/>
      <c r="BR72" s="4453"/>
      <c r="BS72" s="4428"/>
      <c r="BT72" s="4429"/>
      <c r="BU72" s="4623"/>
      <c r="BV72" s="4623"/>
      <c r="BW72" s="4453"/>
      <c r="BX72" s="4428"/>
      <c r="BY72" s="4429"/>
      <c r="BZ72" s="4623"/>
      <c r="CA72" s="4623"/>
      <c r="CB72" s="4453"/>
      <c r="CC72" s="4428"/>
      <c r="CD72" s="4429"/>
      <c r="CE72" s="4623"/>
      <c r="CF72" s="4623"/>
      <c r="CG72" s="4453"/>
      <c r="CH72" s="4428"/>
      <c r="CI72" s="4429"/>
      <c r="CJ72" s="4623"/>
      <c r="CK72" s="4623"/>
      <c r="CL72" s="4453"/>
      <c r="CM72" s="4428">
        <f>CL72/$CL$89</f>
        <v>0</v>
      </c>
      <c r="CN72" s="4432"/>
      <c r="CP72" s="2030"/>
      <c r="CQ72" s="2030"/>
      <c r="CR72" s="4613"/>
      <c r="CT72" s="2624"/>
    </row>
    <row r="73" spans="1:98"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Y74</f>
        <v>0</v>
      </c>
      <c r="Z73" s="3738"/>
      <c r="AA73" s="3742"/>
      <c r="AB73" s="555">
        <f>AB74</f>
        <v>0</v>
      </c>
      <c r="AC73" s="3738">
        <f>AC74</f>
        <v>0</v>
      </c>
      <c r="AD73" s="3739">
        <f>AD74</f>
        <v>0</v>
      </c>
      <c r="AE73" s="3738"/>
      <c r="AF73" s="3741"/>
      <c r="AG73" s="555">
        <f>AG74</f>
        <v>0</v>
      </c>
      <c r="AH73" s="3738">
        <f>AH74</f>
        <v>0</v>
      </c>
      <c r="AI73" s="3739">
        <f>AI74</f>
        <v>0</v>
      </c>
      <c r="AJ73" s="3738"/>
      <c r="AK73" s="3741"/>
      <c r="AL73" s="555">
        <f>AL74</f>
        <v>0</v>
      </c>
      <c r="AM73" s="3738">
        <f>AM74</f>
        <v>0</v>
      </c>
      <c r="AN73" s="3739">
        <f>AN74</f>
        <v>0</v>
      </c>
      <c r="AO73" s="3738"/>
      <c r="AP73" s="3741"/>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4648">
        <f>CP74</f>
        <v>0</v>
      </c>
      <c r="CQ73" s="4648">
        <f>CQ74</f>
        <v>0</v>
      </c>
      <c r="CR73" s="4648"/>
      <c r="CT73" s="2624"/>
    </row>
    <row r="74" spans="1:98" s="1396" customFormat="1" ht="14.4" outlineLevel="1" thickBot="1">
      <c r="A74" s="1413"/>
      <c r="B74" s="1051" t="s">
        <v>64</v>
      </c>
      <c r="C74" s="3341"/>
      <c r="D74" s="3341"/>
      <c r="E74" s="3386">
        <f>C74+D74*1</f>
        <v>0</v>
      </c>
      <c r="F74" s="3386"/>
      <c r="G74" s="3468"/>
      <c r="H74" s="3341"/>
      <c r="I74" s="3341"/>
      <c r="J74" s="3386">
        <f>H74+I74*1</f>
        <v>0</v>
      </c>
      <c r="K74" s="4428" t="e">
        <f t="shared" ref="K74" si="205">J74/J$89</f>
        <v>#DIV/0!</v>
      </c>
      <c r="L74" s="3468"/>
      <c r="M74" s="3341"/>
      <c r="N74" s="3341"/>
      <c r="O74" s="3386">
        <f>M74+N74*1</f>
        <v>0</v>
      </c>
      <c r="P74" s="4428" t="e">
        <f t="shared" ref="P74" si="206">O74/O$89</f>
        <v>#DIV/0!</v>
      </c>
      <c r="Q74" s="3468"/>
      <c r="R74" s="3469"/>
      <c r="S74" s="3469"/>
      <c r="T74" s="3469"/>
      <c r="U74" s="3469"/>
      <c r="V74" s="3469"/>
      <c r="W74" s="3342">
        <f t="shared" ref="W74:X74" si="207">AB74+AG74+AL74+AV74+BA74+BF74+BK74+BP74+BU74+BZ74+CE74+AQ74</f>
        <v>0</v>
      </c>
      <c r="X74" s="3342">
        <f t="shared" si="207"/>
        <v>0</v>
      </c>
      <c r="Y74" s="3469"/>
      <c r="Z74" s="3469"/>
      <c r="AA74" s="3469"/>
      <c r="AB74" s="3341"/>
      <c r="AC74" s="3341"/>
      <c r="AD74" s="3386">
        <f>AB74+AC74*1</f>
        <v>0</v>
      </c>
      <c r="AE74" s="3386"/>
      <c r="AF74" s="3468"/>
      <c r="AG74" s="3341"/>
      <c r="AH74" s="3341"/>
      <c r="AI74" s="3386">
        <f>AG74+AH74*1</f>
        <v>0</v>
      </c>
      <c r="AJ74" s="3386"/>
      <c r="AK74" s="3468"/>
      <c r="AL74" s="3341"/>
      <c r="AM74" s="3341"/>
      <c r="AN74" s="3386">
        <f>AL74+AM74*1</f>
        <v>0</v>
      </c>
      <c r="AO74" s="3386"/>
      <c r="AP74" s="3468"/>
      <c r="AQ74" s="3341"/>
      <c r="AR74" s="3341"/>
      <c r="AS74" s="3386">
        <f>AQ74+AR74*1</f>
        <v>0</v>
      </c>
      <c r="AT74" s="3386"/>
      <c r="AU74" s="3468"/>
      <c r="AV74" s="3341"/>
      <c r="AW74" s="3341"/>
      <c r="AX74" s="3386">
        <f>AV74+AW74*1</f>
        <v>0</v>
      </c>
      <c r="AY74" s="3386"/>
      <c r="AZ74" s="3468"/>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C74+H74+M74</f>
        <v>0</v>
      </c>
      <c r="CK74" s="3341">
        <f>D74+I74+N74</f>
        <v>0</v>
      </c>
      <c r="CL74" s="3386">
        <f>CJ74+CK74*1</f>
        <v>0</v>
      </c>
      <c r="CM74" s="3386"/>
      <c r="CN74" s="3386"/>
      <c r="CP74" s="4649">
        <f>CN74+CO74*1</f>
        <v>0</v>
      </c>
      <c r="CQ74" s="4649">
        <f>CO74+CP74*1</f>
        <v>0</v>
      </c>
      <c r="CR74" s="4649"/>
      <c r="CT74" s="2624"/>
    </row>
    <row r="75" spans="1:98"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0</v>
      </c>
      <c r="O75" s="1508">
        <f>O38-O41-O50-O54</f>
        <v>0</v>
      </c>
      <c r="P75" s="1953"/>
      <c r="Q75" s="1058"/>
      <c r="R75" s="1450">
        <f>R38-R41-R50-R54</f>
        <v>0</v>
      </c>
      <c r="S75" s="1450">
        <f>S38-S41-S50-S54</f>
        <v>0</v>
      </c>
      <c r="T75" s="1508">
        <f>T38-T41-T50-T54</f>
        <v>0</v>
      </c>
      <c r="U75" s="3470"/>
      <c r="V75" s="3470"/>
      <c r="W75" s="1450">
        <f>W38-W41-W50-W54</f>
        <v>85431.766000000003</v>
      </c>
      <c r="X75" s="1450">
        <f>X38-X41-X50-X54</f>
        <v>-36788.51</v>
      </c>
      <c r="Y75" s="1508">
        <f>Y38-Y41-Y50-Y54</f>
        <v>48643.255999999994</v>
      </c>
      <c r="Z75" s="3470"/>
      <c r="AA75" s="3470"/>
      <c r="AB75" s="1450">
        <f>AB38-AB41-AB50-AB54</f>
        <v>0</v>
      </c>
      <c r="AC75" s="1450">
        <f>AC38-AC41-AC50-AC54</f>
        <v>0</v>
      </c>
      <c r="AD75" s="1508">
        <f>AD38-AD41-AD50-AD54</f>
        <v>0</v>
      </c>
      <c r="AE75" s="1953"/>
      <c r="AF75" s="1058"/>
      <c r="AG75" s="1450">
        <f>AG38-AG41-AG50-AG54</f>
        <v>0</v>
      </c>
      <c r="AH75" s="1450">
        <f>AH38-AH41-AH50-AH54</f>
        <v>0</v>
      </c>
      <c r="AI75" s="1508">
        <f>AI38-AI41-AI50-AI54</f>
        <v>0</v>
      </c>
      <c r="AJ75" s="1953"/>
      <c r="AK75" s="1058"/>
      <c r="AL75" s="1450">
        <f>AL38-AL41-AL50-AL54</f>
        <v>0</v>
      </c>
      <c r="AM75" s="1450">
        <f>AM38-AM41-AM50-AM54</f>
        <v>0</v>
      </c>
      <c r="AN75" s="1508">
        <f>AN38-AN41-AN50-AN54</f>
        <v>0</v>
      </c>
      <c r="AO75" s="1953"/>
      <c r="AP75" s="1058"/>
      <c r="AQ75" s="1450">
        <f>AQ38-AQ41-AQ50-AQ54</f>
        <v>0</v>
      </c>
      <c r="AR75" s="1450">
        <f>AR38-AR41-AR50-AR54</f>
        <v>0</v>
      </c>
      <c r="AS75" s="1508">
        <f>AS38-AS41-AS50-AS54</f>
        <v>0</v>
      </c>
      <c r="AT75" s="1953"/>
      <c r="AU75" s="1058"/>
      <c r="AV75" s="1450">
        <f>AV38-AV41-AV50-AV54</f>
        <v>-16901.23</v>
      </c>
      <c r="AW75" s="1450">
        <f>AW38-AW41-AW50-AW54</f>
        <v>-31220</v>
      </c>
      <c r="AX75" s="1508">
        <f>AX38-AX41-AX50-AX54</f>
        <v>-48121.23</v>
      </c>
      <c r="AY75" s="1953"/>
      <c r="AZ75" s="1058"/>
      <c r="BA75" s="1450">
        <f>BA38-BA41-BA50-BA54</f>
        <v>102332.99599999998</v>
      </c>
      <c r="BB75" s="1450">
        <f>BB38-BB41-BB50-BB54</f>
        <v>-5568.51</v>
      </c>
      <c r="BC75" s="1508">
        <f>BC38-BC41-BC50-BC54</f>
        <v>96764.48599999999</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85431.766000000003</v>
      </c>
      <c r="CK75" s="1450">
        <f>CK38-CK41-CK50-CK54</f>
        <v>-36788.51</v>
      </c>
      <c r="CL75" s="1508">
        <f>CL38-CL41-CL50-CL54</f>
        <v>48643.255999999994</v>
      </c>
      <c r="CM75" s="1953"/>
      <c r="CN75" s="1953"/>
      <c r="CP75" s="3471">
        <f>CP38-CP41-CP50-CP54</f>
        <v>89156.66</v>
      </c>
      <c r="CQ75" s="3471">
        <f>CQ38-CQ41-CQ50-CQ54</f>
        <v>48643.255999999994</v>
      </c>
      <c r="CR75" s="3471">
        <f>CR38-CR41-CR50-CR54</f>
        <v>40513.404000000002</v>
      </c>
      <c r="CT75" s="2624"/>
    </row>
    <row r="76" spans="1:98"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2003">
        <f>IFERROR(AB75/AB5,0)</f>
        <v>0</v>
      </c>
      <c r="AC76" s="2003">
        <f>IFERROR(AC75/AC5,0)</f>
        <v>0</v>
      </c>
      <c r="AD76" s="2004">
        <f>IFERROR(AD75/AD5,0)</f>
        <v>0</v>
      </c>
      <c r="AE76" s="2004"/>
      <c r="AF76" s="1056"/>
      <c r="AG76" s="2003">
        <f>IFERROR(AG75/AG5,0)</f>
        <v>0</v>
      </c>
      <c r="AH76" s="2003">
        <f>IFERROR(AH75/AH5,0)</f>
        <v>0</v>
      </c>
      <c r="AI76" s="2004">
        <f>IFERROR(AI75/AI5,0)</f>
        <v>0</v>
      </c>
      <c r="AJ76" s="2004"/>
      <c r="AK76" s="1056"/>
      <c r="AL76" s="2003">
        <f>IFERROR(AL75/AL5,0)</f>
        <v>0</v>
      </c>
      <c r="AM76" s="2003">
        <f>IFERROR(AM75/AM5,0)</f>
        <v>0</v>
      </c>
      <c r="AN76" s="2004">
        <f>IFERROR(AN75/AN5,0)</f>
        <v>0</v>
      </c>
      <c r="AO76" s="2004"/>
      <c r="AP76" s="1056"/>
      <c r="AQ76" s="2003">
        <f>IFERROR(AQ75/AQ5,0)</f>
        <v>0</v>
      </c>
      <c r="AR76" s="2003">
        <f>IFERROR(AR75/AR5,0)</f>
        <v>0</v>
      </c>
      <c r="AS76" s="2004">
        <f>IFERROR(AS75/AS5,0)</f>
        <v>0</v>
      </c>
      <c r="AT76" s="2004"/>
      <c r="AU76" s="1056"/>
      <c r="AV76" s="2003">
        <f>IFERROR(AV75/AV5,0)</f>
        <v>0</v>
      </c>
      <c r="AW76" s="2003">
        <f>IFERROR(AW75/AW5,0)</f>
        <v>0</v>
      </c>
      <c r="AX76" s="2004">
        <f>IFERROR(AX75/AX5,0)</f>
        <v>0</v>
      </c>
      <c r="AY76" s="2004"/>
      <c r="AZ76" s="1056"/>
      <c r="BA76" s="2003">
        <f>IFERROR(BA75/BA5,0)</f>
        <v>0.63958122499999992</v>
      </c>
      <c r="BB76" s="2003">
        <f>IFERROR(BB75/BB5,0)</f>
        <v>0</v>
      </c>
      <c r="BC76" s="2004">
        <f>IFERROR(BC75/BC5,0)</f>
        <v>0.60477803749999992</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0.53394853750000004</v>
      </c>
      <c r="CK76" s="2003">
        <f>IFERROR(CK75/CK5,0)</f>
        <v>0</v>
      </c>
      <c r="CL76" s="2004">
        <f>IFERROR(CL75/CL5,0)</f>
        <v>0.30402034999999994</v>
      </c>
      <c r="CM76" s="2004"/>
      <c r="CN76" s="2004"/>
      <c r="CP76" s="2004">
        <f>CP75/CP5</f>
        <v>0.55722912499999999</v>
      </c>
      <c r="CQ76" s="2004">
        <f>IFERROR(CQ75/CQ5,0)</f>
        <v>0.30402034999999994</v>
      </c>
      <c r="CR76" s="2004"/>
      <c r="CT76" s="2624"/>
    </row>
    <row r="77" spans="1:98" s="1396" customFormat="1" ht="14.4" outlineLevel="1" thickBot="1">
      <c r="A77" s="1566"/>
      <c r="B77" s="4456" t="s">
        <v>9</v>
      </c>
      <c r="C77" s="4457">
        <f>C78-C79</f>
        <v>0</v>
      </c>
      <c r="D77" s="4457">
        <f>D78-D79</f>
        <v>0</v>
      </c>
      <c r="E77" s="4458">
        <f>E78-E79</f>
        <v>0</v>
      </c>
      <c r="F77" s="4459"/>
      <c r="G77" s="4460"/>
      <c r="H77" s="4457">
        <f>H78-H79</f>
        <v>0</v>
      </c>
      <c r="I77" s="4457">
        <f>I78-I79</f>
        <v>0</v>
      </c>
      <c r="J77" s="4458">
        <f>J78-J79</f>
        <v>0</v>
      </c>
      <c r="K77" s="4459"/>
      <c r="L77" s="4460"/>
      <c r="M77" s="4457">
        <f>M78-M79</f>
        <v>0</v>
      </c>
      <c r="N77" s="4457">
        <f>N78-N79</f>
        <v>0</v>
      </c>
      <c r="O77" s="4458">
        <f>O78-O79</f>
        <v>0</v>
      </c>
      <c r="P77" s="4459"/>
      <c r="Q77" s="4460"/>
      <c r="R77" s="4457">
        <f>R78-R79</f>
        <v>0</v>
      </c>
      <c r="S77" s="4457">
        <f>S78-S79</f>
        <v>0</v>
      </c>
      <c r="T77" s="4458">
        <f>T78-T79</f>
        <v>0</v>
      </c>
      <c r="U77" s="4461"/>
      <c r="V77" s="4461"/>
      <c r="W77" s="4457">
        <f>W78-W79</f>
        <v>-5497.3115799739917</v>
      </c>
      <c r="X77" s="4457">
        <f>X78-X79</f>
        <v>0</v>
      </c>
      <c r="Y77" s="4458">
        <f>Y78-Y79</f>
        <v>-5497.3115799739917</v>
      </c>
      <c r="Z77" s="4461"/>
      <c r="AA77" s="4461"/>
      <c r="AB77" s="4457">
        <f>AB78-AB79</f>
        <v>0</v>
      </c>
      <c r="AC77" s="4457">
        <f>AC78-AC79</f>
        <v>0</v>
      </c>
      <c r="AD77" s="4458">
        <f>AD78-AD79</f>
        <v>0</v>
      </c>
      <c r="AE77" s="4459"/>
      <c r="AF77" s="4460"/>
      <c r="AG77" s="4457">
        <f>AG78-AG79</f>
        <v>0</v>
      </c>
      <c r="AH77" s="4457">
        <f>AH78-AH79</f>
        <v>0</v>
      </c>
      <c r="AI77" s="4458">
        <f>AI78-AI79</f>
        <v>0</v>
      </c>
      <c r="AJ77" s="4459"/>
      <c r="AK77" s="4460"/>
      <c r="AL77" s="4457">
        <f>AL78-AL79</f>
        <v>0</v>
      </c>
      <c r="AM77" s="4457">
        <f>AM78-AM79</f>
        <v>0</v>
      </c>
      <c r="AN77" s="4458">
        <f>AN78-AN79</f>
        <v>0</v>
      </c>
      <c r="AO77" s="4459"/>
      <c r="AP77" s="4460"/>
      <c r="AQ77" s="4457">
        <f>AQ78-AQ79</f>
        <v>0</v>
      </c>
      <c r="AR77" s="4457">
        <f>AR78-AR79</f>
        <v>0</v>
      </c>
      <c r="AS77" s="4458">
        <f>AS78-AS79</f>
        <v>0</v>
      </c>
      <c r="AT77" s="4459"/>
      <c r="AU77" s="4460"/>
      <c r="AV77" s="4457">
        <f>AV78-AV79</f>
        <v>-4665.2084448864071</v>
      </c>
      <c r="AW77" s="4457">
        <f>AW78-AW79</f>
        <v>0</v>
      </c>
      <c r="AX77" s="4458">
        <f>AX78-AX79</f>
        <v>-4665.2084448864071</v>
      </c>
      <c r="AY77" s="4459"/>
      <c r="AZ77" s="4460"/>
      <c r="BA77" s="4457">
        <f>BA78-BA79</f>
        <v>-832.10313508758509</v>
      </c>
      <c r="BB77" s="4457">
        <f>BB78-BB79</f>
        <v>0</v>
      </c>
      <c r="BC77" s="4458">
        <f>BC78-BC79</f>
        <v>-832.10313508758509</v>
      </c>
      <c r="BD77" s="4459"/>
      <c r="BE77" s="4460"/>
      <c r="BF77" s="4457">
        <f>BF78-BF79</f>
        <v>0</v>
      </c>
      <c r="BG77" s="4457">
        <f>BG78-BG79</f>
        <v>0</v>
      </c>
      <c r="BH77" s="4458">
        <f>BH78-BH79</f>
        <v>0</v>
      </c>
      <c r="BI77" s="4459"/>
      <c r="BJ77" s="4460"/>
      <c r="BK77" s="4457">
        <f>BK78-BK79</f>
        <v>0</v>
      </c>
      <c r="BL77" s="4457">
        <f>BL78-BL79</f>
        <v>0</v>
      </c>
      <c r="BM77" s="4458">
        <f>BM78-BM79</f>
        <v>0</v>
      </c>
      <c r="BN77" s="4459"/>
      <c r="BO77" s="4460"/>
      <c r="BP77" s="4457">
        <f>BP78-BP79</f>
        <v>0</v>
      </c>
      <c r="BQ77" s="4457">
        <f>BQ78-BQ79</f>
        <v>0</v>
      </c>
      <c r="BR77" s="4458">
        <f>BR78-BR79</f>
        <v>0</v>
      </c>
      <c r="BS77" s="4459"/>
      <c r="BT77" s="4460"/>
      <c r="BU77" s="4457">
        <f>BU78-BU79</f>
        <v>0</v>
      </c>
      <c r="BV77" s="4457">
        <f>BV78-BV79</f>
        <v>0</v>
      </c>
      <c r="BW77" s="4458">
        <f>BW78-BW79</f>
        <v>0</v>
      </c>
      <c r="BX77" s="4459"/>
      <c r="BY77" s="4460"/>
      <c r="BZ77" s="4457">
        <f>BZ78-BZ79</f>
        <v>0</v>
      </c>
      <c r="CA77" s="4457">
        <f>CA78-CA79</f>
        <v>0</v>
      </c>
      <c r="CB77" s="4458">
        <f>CB78-CB79</f>
        <v>0</v>
      </c>
      <c r="CC77" s="4459"/>
      <c r="CD77" s="4460"/>
      <c r="CE77" s="4457">
        <f>CE78-CE79</f>
        <v>0</v>
      </c>
      <c r="CF77" s="4457">
        <f>CF78-CF79</f>
        <v>0</v>
      </c>
      <c r="CG77" s="4458">
        <f>CG78-CG79</f>
        <v>0</v>
      </c>
      <c r="CH77" s="4459"/>
      <c r="CI77" s="4460"/>
      <c r="CJ77" s="4457">
        <f>CJ78-CJ79</f>
        <v>-5497.3115799739917</v>
      </c>
      <c r="CK77" s="4457">
        <f>CK78-CK79</f>
        <v>0</v>
      </c>
      <c r="CL77" s="4458">
        <f>CL78-CL79</f>
        <v>-5497.3115799739917</v>
      </c>
      <c r="CM77" s="4459"/>
      <c r="CN77" s="4459"/>
      <c r="CP77" s="4458">
        <f>CP78-CP79</f>
        <v>0</v>
      </c>
      <c r="CQ77" s="4458">
        <f>CQ78-CQ79</f>
        <v>-5497.3115799739917</v>
      </c>
      <c r="CR77" s="4458"/>
      <c r="CT77" s="2624"/>
    </row>
    <row r="78" spans="1:98" s="1396" customFormat="1" ht="13.8" outlineLevel="2">
      <c r="A78" s="1405"/>
      <c r="B78" s="1400" t="s">
        <v>43</v>
      </c>
      <c r="C78" s="3341"/>
      <c r="D78" s="3341"/>
      <c r="E78" s="3391">
        <f>C78+D78*1.15</f>
        <v>0</v>
      </c>
      <c r="F78" s="3391"/>
      <c r="G78" s="3473"/>
      <c r="H78" s="3341"/>
      <c r="I78" s="3341"/>
      <c r="J78" s="3391">
        <f>H78+I78*1.15</f>
        <v>0</v>
      </c>
      <c r="K78" s="4428" t="e">
        <f t="shared" ref="K78:K79" si="208">J78/J$89</f>
        <v>#DIV/0!</v>
      </c>
      <c r="L78" s="3473"/>
      <c r="M78" s="3341"/>
      <c r="N78" s="3341"/>
      <c r="O78" s="3391">
        <f>M78+N78*1.15</f>
        <v>0</v>
      </c>
      <c r="P78" s="4428" t="e">
        <f t="shared" ref="P78:P79" si="209">O78/O$89</f>
        <v>#DIV/0!</v>
      </c>
      <c r="Q78" s="3473"/>
      <c r="R78" s="3342">
        <f t="shared" ref="R78:S79" si="210">M78+H78+C78</f>
        <v>0</v>
      </c>
      <c r="S78" s="3342">
        <f t="shared" si="210"/>
        <v>0</v>
      </c>
      <c r="T78" s="2012">
        <f t="shared" ref="T78:T79" si="211">R78+S78</f>
        <v>0</v>
      </c>
      <c r="U78" s="3474"/>
      <c r="V78" s="3474"/>
      <c r="W78" s="3342">
        <f t="shared" ref="W78:X79" si="212">AB78+AG78+AL78+AV78+BA78+BF78+BK78+BP78+BU78+BZ78+CE78+AQ78</f>
        <v>0</v>
      </c>
      <c r="X78" s="3342">
        <f t="shared" si="212"/>
        <v>0</v>
      </c>
      <c r="Y78" s="2012">
        <f t="shared" ref="Y78:Y79" si="213">W78+X78</f>
        <v>0</v>
      </c>
      <c r="Z78" s="3474"/>
      <c r="AA78" s="3474"/>
      <c r="AB78" s="3341"/>
      <c r="AC78" s="3341"/>
      <c r="AD78" s="3391">
        <f>AB78+AC78*1.15</f>
        <v>0</v>
      </c>
      <c r="AE78" s="3391"/>
      <c r="AF78" s="3473"/>
      <c r="AG78" s="3341"/>
      <c r="AH78" s="3341"/>
      <c r="AI78" s="3391">
        <f>AG78+AH78*1.15</f>
        <v>0</v>
      </c>
      <c r="AJ78" s="3391"/>
      <c r="AK78" s="3473"/>
      <c r="AL78" s="3341"/>
      <c r="AM78" s="3341"/>
      <c r="AN78" s="3391">
        <f>AL78+AM78*1.15</f>
        <v>0</v>
      </c>
      <c r="AO78" s="3391"/>
      <c r="AP78" s="3473"/>
      <c r="AQ78" s="3341"/>
      <c r="AR78" s="3341"/>
      <c r="AS78" s="3391">
        <f>AQ78+AR78*1.15</f>
        <v>0</v>
      </c>
      <c r="AT78" s="3391"/>
      <c r="AU78" s="3473"/>
      <c r="AV78" s="3341"/>
      <c r="AW78" s="3341"/>
      <c r="AX78" s="3391">
        <f>AV78+AW78*1.15</f>
        <v>0</v>
      </c>
      <c r="AY78" s="3391"/>
      <c r="AZ78" s="3473"/>
      <c r="BA78" s="3341"/>
      <c r="BB78" s="3341"/>
      <c r="BC78" s="3391">
        <f>BA78+BB78*1.15</f>
        <v>0</v>
      </c>
      <c r="BD78" s="3391"/>
      <c r="BE78" s="3473"/>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14">C78+H78+M78+W78</f>
        <v>0</v>
      </c>
      <c r="CK78" s="3341">
        <f t="shared" si="214"/>
        <v>0</v>
      </c>
      <c r="CL78" s="3391">
        <f>CJ78+CK78*1.15</f>
        <v>0</v>
      </c>
      <c r="CM78" s="3391"/>
      <c r="CN78" s="3391"/>
      <c r="CP78" s="3475">
        <f>CN78+CO78*1.15</f>
        <v>0</v>
      </c>
      <c r="CQ78" s="3475">
        <f>CO78+CP78*1.15</f>
        <v>0</v>
      </c>
      <c r="CR78" s="4614"/>
      <c r="CT78" s="2624"/>
    </row>
    <row r="79" spans="1:98" s="1396" customFormat="1" ht="13.8" outlineLevel="2">
      <c r="A79" s="1405"/>
      <c r="B79" s="4462" t="s">
        <v>79</v>
      </c>
      <c r="C79" s="3341">
        <f>(D8+D41+D50+D54)/(1-'расчет 2024'!$M$21)*'расчет 2024'!$M$21</f>
        <v>0</v>
      </c>
      <c r="D79" s="3341"/>
      <c r="E79" s="2012">
        <f>C79+D79</f>
        <v>0</v>
      </c>
      <c r="F79" s="4611"/>
      <c r="G79" s="4633"/>
      <c r="H79" s="3341">
        <f>(I8+I41+I50+I54)/(1-'расчет 2024'!$M$23)*'расчет 2024'!$M$23</f>
        <v>0</v>
      </c>
      <c r="I79" s="3341"/>
      <c r="J79" s="2012">
        <f>H79+I79</f>
        <v>0</v>
      </c>
      <c r="K79" s="4428" t="e">
        <f t="shared" si="208"/>
        <v>#DIV/0!</v>
      </c>
      <c r="L79" s="4633"/>
      <c r="M79" s="3341">
        <f>(N8+N41+N50+N54)/(1-'расчет 2024'!$M$23)*'расчет 2024'!$M$23</f>
        <v>0</v>
      </c>
      <c r="N79" s="3341"/>
      <c r="O79" s="2012">
        <f>M79+N79</f>
        <v>0</v>
      </c>
      <c r="P79" s="4428" t="e">
        <f t="shared" si="209"/>
        <v>#DIV/0!</v>
      </c>
      <c r="Q79" s="4633"/>
      <c r="R79" s="3342">
        <f t="shared" si="210"/>
        <v>0</v>
      </c>
      <c r="S79" s="3342">
        <f t="shared" si="210"/>
        <v>0</v>
      </c>
      <c r="T79" s="2012">
        <f t="shared" si="211"/>
        <v>0</v>
      </c>
      <c r="U79" s="3455"/>
      <c r="V79" s="3455"/>
      <c r="W79" s="3342">
        <f t="shared" si="212"/>
        <v>5497.3115799739917</v>
      </c>
      <c r="X79" s="3342">
        <f t="shared" si="212"/>
        <v>0</v>
      </c>
      <c r="Y79" s="2012">
        <f t="shared" si="213"/>
        <v>5497.3115799739917</v>
      </c>
      <c r="Z79" s="3455"/>
      <c r="AA79" s="3455"/>
      <c r="AB79" s="3341">
        <f>(AC8+AC41+AC50+AC54)/(1-'расчет 2024'!$M$23)*'расчет 2024'!$M$23</f>
        <v>0</v>
      </c>
      <c r="AC79" s="3341"/>
      <c r="AD79" s="2012">
        <f>AB79+AC79</f>
        <v>0</v>
      </c>
      <c r="AE79" s="4611"/>
      <c r="AF79" s="4633"/>
      <c r="AG79" s="3341">
        <f>(AH8+AH41+AH50+AH54)/(1-'расчет 2024'!$M$23)*'расчет 2024'!$M$23</f>
        <v>0</v>
      </c>
      <c r="AH79" s="3341"/>
      <c r="AI79" s="2012">
        <f>AG79+AH79</f>
        <v>0</v>
      </c>
      <c r="AJ79" s="4611"/>
      <c r="AK79" s="4633"/>
      <c r="AL79" s="3341">
        <f>(AM8+AM41+AM50+AM54)/(1-'расчет 2024'!$M$23)*'расчет 2024'!$M$23</f>
        <v>0</v>
      </c>
      <c r="AM79" s="3341"/>
      <c r="AN79" s="2012">
        <f>AL79+AM79</f>
        <v>0</v>
      </c>
      <c r="AO79" s="4611"/>
      <c r="AP79" s="4633"/>
      <c r="AQ79" s="3341">
        <f>(AR8+AR41+AR50+AR54)/(1-'расчет 2024'!$M$23)*'расчет 2024'!$M$23</f>
        <v>0</v>
      </c>
      <c r="AR79" s="3341"/>
      <c r="AS79" s="2012">
        <f>AQ79+AR79</f>
        <v>0</v>
      </c>
      <c r="AT79" s="4611"/>
      <c r="AU79" s="4633"/>
      <c r="AV79" s="3341">
        <f>(AW8+AW41+AW50+AW54)/(1-'расчет 2024'!$M$28)*'расчет 2024'!$M$28</f>
        <v>4665.2084448864071</v>
      </c>
      <c r="AW79" s="3341"/>
      <c r="AX79" s="2012">
        <f>AV79+AW79</f>
        <v>4665.2084448864071</v>
      </c>
      <c r="AY79" s="4611"/>
      <c r="AZ79" s="4633"/>
      <c r="BA79" s="3341">
        <f>(BB8+BB41+BB50+BB54)/(1-'расчет 2024'!$M$28)*'расчет 2024'!$M$28</f>
        <v>832.10313508758509</v>
      </c>
      <c r="BB79" s="3341"/>
      <c r="BC79" s="2012">
        <f>BA79+BB79</f>
        <v>832.10313508758509</v>
      </c>
      <c r="BD79" s="4611"/>
      <c r="BE79" s="4633"/>
      <c r="BF79" s="3341">
        <f>(BG8+BG41+BG50+BG54)/(1-'расчет 2024'!$M$23)*'расчет 2024'!$M$23</f>
        <v>0</v>
      </c>
      <c r="BG79" s="3341"/>
      <c r="BH79" s="2012">
        <f>BF79+BG79</f>
        <v>0</v>
      </c>
      <c r="BI79" s="4611"/>
      <c r="BJ79" s="4633"/>
      <c r="BK79" s="3341"/>
      <c r="BL79" s="3341"/>
      <c r="BM79" s="2012">
        <f>BK79+BL79</f>
        <v>0</v>
      </c>
      <c r="BN79" s="4611"/>
      <c r="BO79" s="4633"/>
      <c r="BP79" s="3341">
        <f>(BQ8+BQ41+BQ50+BQ54)/(1-'расчет 2024'!$M$23)*'расчет 2024'!$M$23</f>
        <v>0</v>
      </c>
      <c r="BQ79" s="3341"/>
      <c r="BR79" s="2012">
        <f>BP79+BQ79</f>
        <v>0</v>
      </c>
      <c r="BS79" s="4611"/>
      <c r="BT79" s="4633"/>
      <c r="BU79" s="3341">
        <f>(BV8+BV41+BV50+BV54)/(1-'расчет 2024'!$M$23)*'расчет 2024'!$M$23</f>
        <v>0</v>
      </c>
      <c r="BV79" s="3341"/>
      <c r="BW79" s="2012">
        <f>BU79+BV79</f>
        <v>0</v>
      </c>
      <c r="BX79" s="4611"/>
      <c r="BY79" s="4633"/>
      <c r="BZ79" s="3341">
        <f>(CA8+CA41+CA50+CA54)/(1-'расчет 2024'!$M$23)*'расчет 2024'!$M$23</f>
        <v>0</v>
      </c>
      <c r="CA79" s="3341"/>
      <c r="CB79" s="2012">
        <f>BZ79+CA79</f>
        <v>0</v>
      </c>
      <c r="CC79" s="4611"/>
      <c r="CD79" s="4633"/>
      <c r="CE79" s="3341">
        <f>(CF8+CF41+CF50+CF54)/(1-'расчет 2024'!$M$23)*'расчет 2024'!$M$23</f>
        <v>0</v>
      </c>
      <c r="CF79" s="3341"/>
      <c r="CG79" s="2012">
        <f>CE79+CF79</f>
        <v>0</v>
      </c>
      <c r="CH79" s="4611"/>
      <c r="CI79" s="4633"/>
      <c r="CJ79" s="3341">
        <f t="shared" si="214"/>
        <v>5497.3115799739917</v>
      </c>
      <c r="CK79" s="3341">
        <f t="shared" si="214"/>
        <v>0</v>
      </c>
      <c r="CL79" s="2012">
        <f t="shared" ref="CL79" si="215">CJ79+CK79*1</f>
        <v>5497.3115799739917</v>
      </c>
      <c r="CM79" s="4611"/>
      <c r="CN79" s="4611"/>
      <c r="CP79" s="2012">
        <f t="shared" ref="CP79" si="216">CN79+CO79*1</f>
        <v>0</v>
      </c>
      <c r="CQ79" s="2012">
        <f>CL79</f>
        <v>5497.3115799739917</v>
      </c>
      <c r="CR79" s="4614">
        <f t="shared" ref="CR79" si="217">CP79-CQ79</f>
        <v>-5497.3115799739917</v>
      </c>
      <c r="CT79" s="2624"/>
    </row>
    <row r="80" spans="1:98" ht="13.8" outlineLevel="2">
      <c r="A80" s="1397"/>
      <c r="B80" s="4463"/>
      <c r="C80" s="3341"/>
      <c r="D80" s="3341"/>
      <c r="E80" s="4612"/>
      <c r="F80" s="4612"/>
      <c r="G80" s="4650"/>
      <c r="H80" s="3341"/>
      <c r="I80" s="3341"/>
      <c r="J80" s="4612"/>
      <c r="K80" s="4612"/>
      <c r="L80" s="4650"/>
      <c r="M80" s="3341"/>
      <c r="N80" s="3341"/>
      <c r="O80" s="4612"/>
      <c r="P80" s="4612"/>
      <c r="Q80" s="4650"/>
      <c r="R80" s="3448"/>
      <c r="S80" s="3448"/>
      <c r="T80" s="3448"/>
      <c r="U80" s="3448"/>
      <c r="V80" s="3448"/>
      <c r="W80" s="3448"/>
      <c r="X80" s="3448"/>
      <c r="Y80" s="3448"/>
      <c r="Z80" s="3448"/>
      <c r="AA80" s="3448"/>
      <c r="AB80" s="3341"/>
      <c r="AC80" s="3341"/>
      <c r="AD80" s="4612"/>
      <c r="AE80" s="4612"/>
      <c r="AF80" s="4650"/>
      <c r="AG80" s="3341"/>
      <c r="AH80" s="3341"/>
      <c r="AI80" s="4612"/>
      <c r="AJ80" s="4612"/>
      <c r="AK80" s="4650"/>
      <c r="AL80" s="3341"/>
      <c r="AM80" s="3341"/>
      <c r="AN80" s="4612"/>
      <c r="AO80" s="4612"/>
      <c r="AP80" s="4650"/>
      <c r="AQ80" s="3341"/>
      <c r="AR80" s="3341"/>
      <c r="AS80" s="4612"/>
      <c r="AT80" s="4612"/>
      <c r="AU80" s="4650"/>
      <c r="AV80" s="3341"/>
      <c r="AW80" s="3341"/>
      <c r="AX80" s="4612"/>
      <c r="AY80" s="4612"/>
      <c r="AZ80" s="4650"/>
      <c r="BA80" s="3341"/>
      <c r="BB80" s="3341"/>
      <c r="BC80" s="4612"/>
      <c r="BD80" s="4612"/>
      <c r="BE80" s="4650"/>
      <c r="BF80" s="3341"/>
      <c r="BG80" s="3341"/>
      <c r="BH80" s="4612"/>
      <c r="BI80" s="4612"/>
      <c r="BJ80" s="4650"/>
      <c r="BK80" s="3341"/>
      <c r="BL80" s="3341"/>
      <c r="BM80" s="4612"/>
      <c r="BN80" s="4612"/>
      <c r="BO80" s="4650"/>
      <c r="BP80" s="3341"/>
      <c r="BQ80" s="3341"/>
      <c r="BR80" s="4612"/>
      <c r="BS80" s="4612"/>
      <c r="BT80" s="4650"/>
      <c r="BU80" s="3341"/>
      <c r="BV80" s="3341"/>
      <c r="BW80" s="4612"/>
      <c r="BX80" s="4612"/>
      <c r="BY80" s="4650"/>
      <c r="BZ80" s="3341"/>
      <c r="CA80" s="3341"/>
      <c r="CB80" s="4612"/>
      <c r="CC80" s="4612"/>
      <c r="CD80" s="4650"/>
      <c r="CE80" s="3341"/>
      <c r="CF80" s="3341"/>
      <c r="CG80" s="4612"/>
      <c r="CH80" s="4612"/>
      <c r="CI80" s="4650"/>
      <c r="CJ80" s="3341">
        <f>C80+H80+M80</f>
        <v>0</v>
      </c>
      <c r="CK80" s="3341">
        <f>D80+I80+N80</f>
        <v>0</v>
      </c>
      <c r="CL80" s="4612"/>
      <c r="CM80" s="4612"/>
      <c r="CN80" s="4612"/>
      <c r="CP80" s="4651"/>
      <c r="CQ80" s="4651"/>
      <c r="CR80" s="4614"/>
    </row>
    <row r="81" spans="1:101" s="1396" customFormat="1" ht="14.4" outlineLevel="1" thickBot="1">
      <c r="A81" s="1419"/>
      <c r="B81" s="4456" t="s">
        <v>12</v>
      </c>
      <c r="C81" s="4457">
        <f>(C75+C78)-C79</f>
        <v>0</v>
      </c>
      <c r="D81" s="4457">
        <f>(D75+D78)-D79</f>
        <v>0</v>
      </c>
      <c r="E81" s="4458">
        <f>(E75+E78)-E79</f>
        <v>0</v>
      </c>
      <c r="F81" s="4459"/>
      <c r="G81" s="4460"/>
      <c r="H81" s="4457">
        <f>(H75+H78)-H79</f>
        <v>0</v>
      </c>
      <c r="I81" s="4457">
        <f>(I75+I78)-I79</f>
        <v>0</v>
      </c>
      <c r="J81" s="4458">
        <f>(J75+J78)-J79</f>
        <v>0</v>
      </c>
      <c r="K81" s="4459"/>
      <c r="L81" s="4460"/>
      <c r="M81" s="4457">
        <f>(M75+M78)-M79</f>
        <v>0</v>
      </c>
      <c r="N81" s="4457">
        <f>(N75+N78)-N79</f>
        <v>0</v>
      </c>
      <c r="O81" s="4458">
        <f>(O75+O78)-O79</f>
        <v>0</v>
      </c>
      <c r="P81" s="4459"/>
      <c r="Q81" s="4460"/>
      <c r="R81" s="4457">
        <f>(R75+R78)-R79</f>
        <v>0</v>
      </c>
      <c r="S81" s="4457">
        <f>(S75+S78)-S79</f>
        <v>0</v>
      </c>
      <c r="T81" s="4458">
        <f>(T75+T78)-T79</f>
        <v>0</v>
      </c>
      <c r="U81" s="4461"/>
      <c r="V81" s="4461"/>
      <c r="W81" s="4457">
        <f>(W75+W78)-W79</f>
        <v>79934.454420026013</v>
      </c>
      <c r="X81" s="4457">
        <f>(X75+X78)-X79</f>
        <v>-36788.51</v>
      </c>
      <c r="Y81" s="4458">
        <f>(Y75+Y78)-Y79</f>
        <v>43145.944420026004</v>
      </c>
      <c r="Z81" s="4461"/>
      <c r="AA81" s="4461"/>
      <c r="AB81" s="4457">
        <f>(AB75+AB78)-AB79</f>
        <v>0</v>
      </c>
      <c r="AC81" s="4457">
        <f>(AC75+AC78)-AC79</f>
        <v>0</v>
      </c>
      <c r="AD81" s="4458">
        <f>(AD75+AD78)-AD79</f>
        <v>0</v>
      </c>
      <c r="AE81" s="4459"/>
      <c r="AF81" s="4460"/>
      <c r="AG81" s="4457">
        <f>(AG75+AG78)-AG79</f>
        <v>0</v>
      </c>
      <c r="AH81" s="4457">
        <f>(AH75+AH78)-AH79</f>
        <v>0</v>
      </c>
      <c r="AI81" s="4458">
        <f>(AI75+AI78)-AI79</f>
        <v>0</v>
      </c>
      <c r="AJ81" s="4459"/>
      <c r="AK81" s="4460"/>
      <c r="AL81" s="4457">
        <f>(AL75+AL78)-AL79</f>
        <v>0</v>
      </c>
      <c r="AM81" s="4457">
        <f>(AM75+AM78)-AM79</f>
        <v>0</v>
      </c>
      <c r="AN81" s="4458">
        <f>(AN75+AN78)-AN79</f>
        <v>0</v>
      </c>
      <c r="AO81" s="4459"/>
      <c r="AP81" s="4460"/>
      <c r="AQ81" s="4457">
        <f>(AQ75+AQ78)-AQ79</f>
        <v>0</v>
      </c>
      <c r="AR81" s="4457">
        <f>(AR75+AR78)-AR79</f>
        <v>0</v>
      </c>
      <c r="AS81" s="4458">
        <f>(AS75+AS78)-AS79</f>
        <v>0</v>
      </c>
      <c r="AT81" s="4459"/>
      <c r="AU81" s="4460"/>
      <c r="AV81" s="4457">
        <f>(AV75+AV78)-AV79</f>
        <v>-21566.438444886408</v>
      </c>
      <c r="AW81" s="4457">
        <f>(AW75+AW78)-AW79</f>
        <v>-31220</v>
      </c>
      <c r="AX81" s="4458">
        <f>(AX75+AX78)-AX79</f>
        <v>-52786.438444886408</v>
      </c>
      <c r="AY81" s="4459"/>
      <c r="AZ81" s="4460"/>
      <c r="BA81" s="4457">
        <f>(BA75+BA78)-BA79</f>
        <v>101500.8928649124</v>
      </c>
      <c r="BB81" s="4457">
        <f>(BB75+BB78)-BB79</f>
        <v>-5568.51</v>
      </c>
      <c r="BC81" s="4458">
        <f>(BC75+BC78)-BC79</f>
        <v>95932.382864912404</v>
      </c>
      <c r="BD81" s="4459"/>
      <c r="BE81" s="4460"/>
      <c r="BF81" s="4457">
        <f>(BF75+BF78)-BF79</f>
        <v>0</v>
      </c>
      <c r="BG81" s="4457">
        <f>(BG75+BG78)-BG79</f>
        <v>0</v>
      </c>
      <c r="BH81" s="4458">
        <f>(BH75+BH78)-BH79</f>
        <v>0</v>
      </c>
      <c r="BI81" s="4459"/>
      <c r="BJ81" s="4460"/>
      <c r="BK81" s="4457">
        <f>(BK75+BK78)-BK79</f>
        <v>0</v>
      </c>
      <c r="BL81" s="4457">
        <f>(BL75+BL78)-BL79</f>
        <v>0</v>
      </c>
      <c r="BM81" s="4458">
        <f>(BM75+BM78)-BM79</f>
        <v>0</v>
      </c>
      <c r="BN81" s="4459"/>
      <c r="BO81" s="4460"/>
      <c r="BP81" s="4457">
        <f>(BP75+BP78)-BP79</f>
        <v>0</v>
      </c>
      <c r="BQ81" s="4457">
        <f>(BQ75+BQ78)-BQ79</f>
        <v>0</v>
      </c>
      <c r="BR81" s="4458">
        <f>(BR75+BR78)-BR79</f>
        <v>0</v>
      </c>
      <c r="BS81" s="4459"/>
      <c r="BT81" s="4460"/>
      <c r="BU81" s="4457">
        <f>(BU75+BU78)-BU79</f>
        <v>0</v>
      </c>
      <c r="BV81" s="4457">
        <f>(BV75+BV78)-BV79</f>
        <v>0</v>
      </c>
      <c r="BW81" s="4458">
        <f>(BW75+BW78)-BW79</f>
        <v>0</v>
      </c>
      <c r="BX81" s="4459"/>
      <c r="BY81" s="4460"/>
      <c r="BZ81" s="4457">
        <f>(BZ75+BZ78)-BZ79</f>
        <v>0</v>
      </c>
      <c r="CA81" s="4457">
        <f>(CA75+CA78)-CA79</f>
        <v>0</v>
      </c>
      <c r="CB81" s="4458">
        <f>(CB75+CB78)-CB79</f>
        <v>0</v>
      </c>
      <c r="CC81" s="4459"/>
      <c r="CD81" s="4460"/>
      <c r="CE81" s="4457">
        <f>(CE75+CE78)-CE79</f>
        <v>0</v>
      </c>
      <c r="CF81" s="4457">
        <f>(CF75+CF78)-CF79</f>
        <v>0</v>
      </c>
      <c r="CG81" s="4458">
        <f>(CG75+CG78)-CG79</f>
        <v>0</v>
      </c>
      <c r="CH81" s="4459"/>
      <c r="CI81" s="4460"/>
      <c r="CJ81" s="4457">
        <f>(CJ75+CJ78)-CJ79</f>
        <v>79934.454420026013</v>
      </c>
      <c r="CK81" s="4457">
        <f>(CK75+CK78)-CK79</f>
        <v>-36788.51</v>
      </c>
      <c r="CL81" s="4458">
        <f>(CL75+CL78)-CL79</f>
        <v>43145.944420026004</v>
      </c>
      <c r="CM81" s="4459"/>
      <c r="CN81" s="4459"/>
      <c r="CP81" s="4458">
        <f>(CP75+CP78)-CP79</f>
        <v>89156.66</v>
      </c>
      <c r="CQ81" s="4652">
        <f>(CQ75+CQ78)-CQ79</f>
        <v>43145.944420026004</v>
      </c>
      <c r="CR81" s="4458">
        <f>(CR75+CR78)-CR79</f>
        <v>46010.715579973992</v>
      </c>
      <c r="CT81" s="2624"/>
    </row>
    <row r="82" spans="1:101" s="1396" customFormat="1" ht="13.8" outlineLevel="2">
      <c r="A82" s="1565"/>
      <c r="B82" s="1400" t="s">
        <v>38</v>
      </c>
      <c r="C82" s="3341"/>
      <c r="D82" s="3341"/>
      <c r="E82" s="3390">
        <f>C82+D82</f>
        <v>0</v>
      </c>
      <c r="F82" s="3381"/>
      <c r="G82" s="3455"/>
      <c r="H82" s="3341"/>
      <c r="I82" s="3341"/>
      <c r="J82" s="3390">
        <f>H82+I82</f>
        <v>0</v>
      </c>
      <c r="K82" s="4428" t="e">
        <f t="shared" ref="K82" si="218">J82/J$89</f>
        <v>#DIV/0!</v>
      </c>
      <c r="L82" s="3455"/>
      <c r="M82" s="3341"/>
      <c r="N82" s="3341"/>
      <c r="O82" s="3390">
        <f>M82+N82</f>
        <v>0</v>
      </c>
      <c r="P82" s="4428" t="e">
        <f t="shared" ref="P82" si="219">O82/O$89</f>
        <v>#DIV/0!</v>
      </c>
      <c r="Q82" s="3455"/>
      <c r="R82" s="3342">
        <f t="shared" ref="R82:S82" si="220">M82+H82+C82</f>
        <v>0</v>
      </c>
      <c r="S82" s="3342">
        <f t="shared" si="220"/>
        <v>0</v>
      </c>
      <c r="T82" s="2012">
        <f t="shared" ref="T82" si="221">R82+S82</f>
        <v>0</v>
      </c>
      <c r="U82" s="3455"/>
      <c r="V82" s="3455"/>
      <c r="W82" s="3342">
        <f t="shared" ref="W82:X82" si="222">AB82+AG82+AL82+AV82+BA82+BF82+BK82+BP82+BU82+BZ82+CE82+AQ82</f>
        <v>0</v>
      </c>
      <c r="X82" s="3342">
        <f t="shared" si="222"/>
        <v>0</v>
      </c>
      <c r="Y82" s="2012">
        <f t="shared" ref="Y82" si="223">W82+X82</f>
        <v>0</v>
      </c>
      <c r="Z82" s="3455"/>
      <c r="AA82" s="3455"/>
      <c r="AB82" s="3341"/>
      <c r="AC82" s="3341"/>
      <c r="AD82" s="3390">
        <f>AB82+AC82</f>
        <v>0</v>
      </c>
      <c r="AE82" s="3381"/>
      <c r="AF82" s="3455"/>
      <c r="AG82" s="3341"/>
      <c r="AH82" s="3341"/>
      <c r="AI82" s="3390">
        <f>AG82+AH82</f>
        <v>0</v>
      </c>
      <c r="AJ82" s="3381"/>
      <c r="AK82" s="3455"/>
      <c r="AL82" s="3341"/>
      <c r="AM82" s="3341"/>
      <c r="AN82" s="3390">
        <f>AL82+AM82</f>
        <v>0</v>
      </c>
      <c r="AO82" s="3381"/>
      <c r="AP82" s="3455"/>
      <c r="AQ82" s="3341"/>
      <c r="AR82" s="3341"/>
      <c r="AS82" s="3390">
        <f>AQ82+AR82</f>
        <v>0</v>
      </c>
      <c r="AT82" s="3381"/>
      <c r="AU82" s="3455"/>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381"/>
      <c r="CP82" s="3415">
        <f>CN82+CO82</f>
        <v>0</v>
      </c>
      <c r="CQ82" s="3415">
        <f>CO82+CP82</f>
        <v>0</v>
      </c>
      <c r="CR82" s="3415"/>
      <c r="CT82" s="2624"/>
    </row>
    <row r="83" spans="1:101" s="1396" customFormat="1" ht="13.8" outlineLevel="1">
      <c r="A83" s="1405"/>
      <c r="B83" s="4466" t="s">
        <v>13</v>
      </c>
      <c r="C83" s="4467">
        <f>(C81+C7)-C36</f>
        <v>0</v>
      </c>
      <c r="D83" s="4467">
        <f>(D81+D7)-D36</f>
        <v>0</v>
      </c>
      <c r="E83" s="4468">
        <f>(E81+E7)-E36</f>
        <v>0</v>
      </c>
      <c r="F83" s="4469"/>
      <c r="G83" s="4470"/>
      <c r="H83" s="4467">
        <f>(H81+H7)-H36</f>
        <v>0</v>
      </c>
      <c r="I83" s="4467">
        <f>(I81+I7)-I36</f>
        <v>0</v>
      </c>
      <c r="J83" s="4468">
        <f>(J81+J7)-J36</f>
        <v>0</v>
      </c>
      <c r="K83" s="4469"/>
      <c r="L83" s="4470"/>
      <c r="M83" s="4467">
        <f>(M81+M7)-M36</f>
        <v>0</v>
      </c>
      <c r="N83" s="4467">
        <f>(N81+N7)-N36</f>
        <v>0</v>
      </c>
      <c r="O83" s="4468">
        <f>(O81+O7)-O36</f>
        <v>0</v>
      </c>
      <c r="P83" s="4469"/>
      <c r="Q83" s="4470"/>
      <c r="R83" s="4467">
        <f>(R81+R7)-R36</f>
        <v>0</v>
      </c>
      <c r="S83" s="4467">
        <f>(S81+S7)-S36</f>
        <v>0</v>
      </c>
      <c r="T83" s="4468">
        <f>(T81+T7)-T36</f>
        <v>0</v>
      </c>
      <c r="U83" s="4471"/>
      <c r="V83" s="4471"/>
      <c r="W83" s="4467">
        <f>(W81+W7)-W36</f>
        <v>79934.454420026013</v>
      </c>
      <c r="X83" s="4467">
        <f>(X81+X7)-X36</f>
        <v>-36788.51</v>
      </c>
      <c r="Y83" s="4468">
        <f>(Y81+Y7)-Y36</f>
        <v>43145.944420026004</v>
      </c>
      <c r="Z83" s="4471"/>
      <c r="AA83" s="4471"/>
      <c r="AB83" s="4467">
        <f>(AB81+AB7)-AB36</f>
        <v>0</v>
      </c>
      <c r="AC83" s="4467">
        <f>(AC81+AC7)-AC36</f>
        <v>0</v>
      </c>
      <c r="AD83" s="4468">
        <f>(AD81+AD7)-AD36</f>
        <v>0</v>
      </c>
      <c r="AE83" s="4469"/>
      <c r="AF83" s="4470"/>
      <c r="AG83" s="4467">
        <f>(AG81+AG7)-AG36</f>
        <v>0</v>
      </c>
      <c r="AH83" s="4467">
        <f>(AH81+AH7)-AH36</f>
        <v>0</v>
      </c>
      <c r="AI83" s="4468">
        <f>(AI81+AI7)-AI36</f>
        <v>0</v>
      </c>
      <c r="AJ83" s="4469"/>
      <c r="AK83" s="4470"/>
      <c r="AL83" s="4467">
        <f>(AL81+AL7)-AL36</f>
        <v>0</v>
      </c>
      <c r="AM83" s="4467">
        <f>(AM81+AM7)-AM36</f>
        <v>0</v>
      </c>
      <c r="AN83" s="4468">
        <f>(AN81+AN7)-AN36</f>
        <v>0</v>
      </c>
      <c r="AO83" s="4469"/>
      <c r="AP83" s="4470"/>
      <c r="AQ83" s="4467">
        <f>(AQ81+AQ7)-AQ36</f>
        <v>0</v>
      </c>
      <c r="AR83" s="4467">
        <f>(AR81+AR7)-AR36</f>
        <v>0</v>
      </c>
      <c r="AS83" s="4468">
        <f>(AS81+AS7)-AS36</f>
        <v>0</v>
      </c>
      <c r="AT83" s="4469"/>
      <c r="AU83" s="4470"/>
      <c r="AV83" s="4467">
        <f>(AV81+AV7)-AV36</f>
        <v>-21566.438444886408</v>
      </c>
      <c r="AW83" s="4467">
        <f>(AW81+AW7)-AW36</f>
        <v>-31220</v>
      </c>
      <c r="AX83" s="4468">
        <f>(AX81+AX7)-AX36</f>
        <v>-52786.438444886408</v>
      </c>
      <c r="AY83" s="4469"/>
      <c r="AZ83" s="4470"/>
      <c r="BA83" s="4467">
        <f>(BA81+BA7)-BA36</f>
        <v>101500.8928649124</v>
      </c>
      <c r="BB83" s="4467">
        <f>(BB81+BB7)-BB36</f>
        <v>-5568.51</v>
      </c>
      <c r="BC83" s="4468">
        <f>(BC81+BC7)-BC36</f>
        <v>95932.382864912404</v>
      </c>
      <c r="BD83" s="4469"/>
      <c r="BE83" s="4470"/>
      <c r="BF83" s="4467">
        <f>(BF81+BF7)-BF36</f>
        <v>0</v>
      </c>
      <c r="BG83" s="4467">
        <f>(BG81+BG7)-BG36</f>
        <v>0</v>
      </c>
      <c r="BH83" s="4468">
        <f>(BH81+BH7)-BH36</f>
        <v>0</v>
      </c>
      <c r="BI83" s="4469"/>
      <c r="BJ83" s="4470"/>
      <c r="BK83" s="4467">
        <f>(BK81+BK7)-BK36</f>
        <v>0</v>
      </c>
      <c r="BL83" s="4467">
        <f>(BL81+BL7)-BL36</f>
        <v>0</v>
      </c>
      <c r="BM83" s="4468">
        <f>(BM81+BM7)-BM36</f>
        <v>0</v>
      </c>
      <c r="BN83" s="4469"/>
      <c r="BO83" s="4470"/>
      <c r="BP83" s="4467">
        <f>(BP81+BP7)-BP36</f>
        <v>0</v>
      </c>
      <c r="BQ83" s="4467">
        <f>(BQ81+BQ7)-BQ36</f>
        <v>0</v>
      </c>
      <c r="BR83" s="4468">
        <f>(BR81+BR7)-BR36</f>
        <v>0</v>
      </c>
      <c r="BS83" s="4469"/>
      <c r="BT83" s="4470"/>
      <c r="BU83" s="4467">
        <f>(BU81+BU7)-BU36</f>
        <v>0</v>
      </c>
      <c r="BV83" s="4467">
        <f>(BV81+BV7)-BV36</f>
        <v>0</v>
      </c>
      <c r="BW83" s="4468">
        <f>(BW81+BW7)-BW36</f>
        <v>0</v>
      </c>
      <c r="BX83" s="4469"/>
      <c r="BY83" s="4470"/>
      <c r="BZ83" s="4467">
        <f>(BZ81+BZ7)-BZ36</f>
        <v>0</v>
      </c>
      <c r="CA83" s="4467">
        <f>(CA81+CA7)-CA36</f>
        <v>0</v>
      </c>
      <c r="CB83" s="4468">
        <f>(CB81+CB7)-CB36</f>
        <v>0</v>
      </c>
      <c r="CC83" s="4469"/>
      <c r="CD83" s="4470"/>
      <c r="CE83" s="4467">
        <f>(CE81+CE7)-CE36</f>
        <v>0</v>
      </c>
      <c r="CF83" s="4467">
        <f>(CF81+CF7)-CF36</f>
        <v>0</v>
      </c>
      <c r="CG83" s="4468">
        <f>(CG81+CG7)-CG36</f>
        <v>0</v>
      </c>
      <c r="CH83" s="4469"/>
      <c r="CI83" s="4470"/>
      <c r="CJ83" s="4467">
        <f>(CJ81+CJ7)-CJ36</f>
        <v>79934.454420026013</v>
      </c>
      <c r="CK83" s="4467">
        <f>(CK81+CK7)-CK36</f>
        <v>-36788.51</v>
      </c>
      <c r="CL83" s="4468">
        <f>(CL81+CL7)-CL36</f>
        <v>43145.944420026004</v>
      </c>
      <c r="CM83" s="4469"/>
      <c r="CN83" s="4469"/>
      <c r="CP83" s="3481">
        <f>(CP81+CP7)-CP36</f>
        <v>89156.66</v>
      </c>
      <c r="CQ83" s="3481">
        <f>(CQ81+CQ7)-CQ36</f>
        <v>43145.944420026004</v>
      </c>
      <c r="CR83" s="3481">
        <f>(CR81+CR7)-CR36</f>
        <v>46010.715579973992</v>
      </c>
      <c r="CT83" s="2624"/>
    </row>
    <row r="84" spans="1:101" s="1396" customFormat="1" ht="14.4" outlineLevel="1" thickBot="1">
      <c r="A84" s="1405"/>
      <c r="B84" s="4653" t="s">
        <v>14</v>
      </c>
      <c r="C84" s="4472">
        <f>C83-C73-C82</f>
        <v>0</v>
      </c>
      <c r="D84" s="4472">
        <f>D83-D73-D82</f>
        <v>0</v>
      </c>
      <c r="E84" s="4472">
        <f>E83-E73-E82</f>
        <v>0</v>
      </c>
      <c r="F84" s="4594"/>
      <c r="G84" s="4654"/>
      <c r="H84" s="4472">
        <f>H83-H73-H82</f>
        <v>0</v>
      </c>
      <c r="I84" s="4472">
        <f>I83-I73-I82</f>
        <v>0</v>
      </c>
      <c r="J84" s="4472">
        <f>J83-J73-J82</f>
        <v>0</v>
      </c>
      <c r="K84" s="4594"/>
      <c r="L84" s="4654"/>
      <c r="M84" s="4472">
        <f>M83-M73-M82</f>
        <v>0</v>
      </c>
      <c r="N84" s="4472">
        <f>N83-N73-N82</f>
        <v>0</v>
      </c>
      <c r="O84" s="4472">
        <f>O83-O73-O82</f>
        <v>0</v>
      </c>
      <c r="P84" s="4594"/>
      <c r="Q84" s="4654"/>
      <c r="R84" s="4472">
        <f>R83-R73-R82</f>
        <v>0</v>
      </c>
      <c r="S84" s="4472">
        <f>S83-S73-S82</f>
        <v>0</v>
      </c>
      <c r="T84" s="4472">
        <f>T83-T73-T82</f>
        <v>0</v>
      </c>
      <c r="U84" s="4654"/>
      <c r="V84" s="4654"/>
      <c r="W84" s="4626">
        <f t="shared" ref="W84:X84" si="224">AB84+AG84+AL84+AV84+BA84+BF84+BK84+BP84+BU84+BZ84+CE84</f>
        <v>79934.454420025984</v>
      </c>
      <c r="X84" s="4627">
        <f t="shared" si="224"/>
        <v>-36788.51</v>
      </c>
      <c r="Y84" s="4472">
        <f>Y83-Y73-Y82</f>
        <v>43145.944420026004</v>
      </c>
      <c r="Z84" s="4654"/>
      <c r="AA84" s="4654"/>
      <c r="AB84" s="4472">
        <f>AB83-AB73-AB82</f>
        <v>0</v>
      </c>
      <c r="AC84" s="4472">
        <f>AC83-AC73-AC82</f>
        <v>0</v>
      </c>
      <c r="AD84" s="4472">
        <f>AD83-AD73-AD82</f>
        <v>0</v>
      </c>
      <c r="AE84" s="4594"/>
      <c r="AF84" s="4654"/>
      <c r="AG84" s="4472">
        <f>AG83-AG73-AG82</f>
        <v>0</v>
      </c>
      <c r="AH84" s="4472">
        <f>AH83-AH73-AH82</f>
        <v>0</v>
      </c>
      <c r="AI84" s="4472">
        <f>AI83-AI73-AI82</f>
        <v>0</v>
      </c>
      <c r="AJ84" s="4594"/>
      <c r="AK84" s="4654"/>
      <c r="AL84" s="4472">
        <f>AL83-AL73-AL82</f>
        <v>0</v>
      </c>
      <c r="AM84" s="4472">
        <f>AM83-AM73-AM82</f>
        <v>0</v>
      </c>
      <c r="AN84" s="4472">
        <f>AN83-AN73-AN82</f>
        <v>0</v>
      </c>
      <c r="AO84" s="4594"/>
      <c r="AP84" s="4654"/>
      <c r="AQ84" s="4472">
        <f>AQ83-AQ73-AQ82</f>
        <v>0</v>
      </c>
      <c r="AR84" s="4472">
        <f>AR83-AR73-AR82</f>
        <v>0</v>
      </c>
      <c r="AS84" s="4472">
        <f>AS83-AS73-AS82</f>
        <v>0</v>
      </c>
      <c r="AT84" s="4594"/>
      <c r="AU84" s="4654"/>
      <c r="AV84" s="4472">
        <f>AV83-AV73-AV82</f>
        <v>-21566.438444886408</v>
      </c>
      <c r="AW84" s="4472">
        <f>AW83-AW73-AW82</f>
        <v>-31220</v>
      </c>
      <c r="AX84" s="4472">
        <f>AX83-AX73-AX82</f>
        <v>-52786.438444886408</v>
      </c>
      <c r="AY84" s="4594"/>
      <c r="AZ84" s="4654"/>
      <c r="BA84" s="4472">
        <f>BA83-BA73-BA82</f>
        <v>101500.8928649124</v>
      </c>
      <c r="BB84" s="4472">
        <f>BB83-BB73-BB82</f>
        <v>-5568.51</v>
      </c>
      <c r="BC84" s="4472">
        <f>BC83-BC73-BC82</f>
        <v>95932.382864912404</v>
      </c>
      <c r="BD84" s="4594"/>
      <c r="BE84" s="4654"/>
      <c r="BF84" s="4472">
        <f>BF83-BF73-BF82</f>
        <v>0</v>
      </c>
      <c r="BG84" s="4472">
        <f>BG83-BG73-BG82</f>
        <v>0</v>
      </c>
      <c r="BH84" s="4472">
        <f>BH83-BH73-BH82</f>
        <v>0</v>
      </c>
      <c r="BI84" s="4594"/>
      <c r="BJ84" s="4654"/>
      <c r="BK84" s="4472">
        <f>BK83-BK73-BK82</f>
        <v>0</v>
      </c>
      <c r="BL84" s="4472">
        <f>BL83-BL73-BL82</f>
        <v>0</v>
      </c>
      <c r="BM84" s="4472">
        <f>BM83-BM73-BM82</f>
        <v>0</v>
      </c>
      <c r="BN84" s="4594"/>
      <c r="BO84" s="4654"/>
      <c r="BP84" s="4472">
        <f>BP83-BP73-BP82</f>
        <v>0</v>
      </c>
      <c r="BQ84" s="4472">
        <f>BQ83-BQ73-BQ82</f>
        <v>0</v>
      </c>
      <c r="BR84" s="4472">
        <f>BR83-BR73-BR82</f>
        <v>0</v>
      </c>
      <c r="BS84" s="4594"/>
      <c r="BT84" s="4654"/>
      <c r="BU84" s="4472">
        <f>BU83-BU73-BU82</f>
        <v>0</v>
      </c>
      <c r="BV84" s="4472">
        <f>BV83-BV73-BV82</f>
        <v>0</v>
      </c>
      <c r="BW84" s="4472">
        <f>BW83-BW73-BW82</f>
        <v>0</v>
      </c>
      <c r="BX84" s="4594"/>
      <c r="BY84" s="4654"/>
      <c r="BZ84" s="4472">
        <f>BZ83-BZ73-BZ82</f>
        <v>0</v>
      </c>
      <c r="CA84" s="4472">
        <f>CA83-CA73-CA82</f>
        <v>0</v>
      </c>
      <c r="CB84" s="4472">
        <f>CB83-CB73-CB82</f>
        <v>0</v>
      </c>
      <c r="CC84" s="4594"/>
      <c r="CD84" s="4654"/>
      <c r="CE84" s="4472">
        <f>CE83-CE73-CE82</f>
        <v>0</v>
      </c>
      <c r="CF84" s="4472">
        <f>CF83-CF73-CF82</f>
        <v>0</v>
      </c>
      <c r="CG84" s="4472">
        <f>CG83-CG73-CG82</f>
        <v>0</v>
      </c>
      <c r="CH84" s="4594"/>
      <c r="CI84" s="4654"/>
      <c r="CJ84" s="4624">
        <f t="shared" ref="CJ84:CK84" si="225">C84+H84+M84+W84</f>
        <v>79934.454420025984</v>
      </c>
      <c r="CK84" s="4624">
        <f t="shared" si="225"/>
        <v>-36788.51</v>
      </c>
      <c r="CL84" s="4472">
        <f>CL83-CL73-CL82</f>
        <v>43145.944420026004</v>
      </c>
      <c r="CM84" s="4594"/>
      <c r="CN84" s="4594"/>
      <c r="CP84" s="3309">
        <f>CP83-CP73-CP82</f>
        <v>89156.66</v>
      </c>
      <c r="CQ84" s="3484">
        <f>CQ83-CQ73-CQ82</f>
        <v>43145.944420026004</v>
      </c>
      <c r="CR84" s="3309">
        <f>CR83-CR73-CR82</f>
        <v>46010.715579973992</v>
      </c>
      <c r="CT84" s="2624"/>
    </row>
    <row r="85" spans="1:101" s="1396" customFormat="1" ht="13.8" outlineLevel="3">
      <c r="A85" s="1565"/>
      <c r="B85" s="1403" t="s">
        <v>44</v>
      </c>
      <c r="C85" s="3341"/>
      <c r="D85" s="3341"/>
      <c r="E85" s="2012">
        <f>C85+D85*1.15</f>
        <v>0</v>
      </c>
      <c r="F85" s="3381"/>
      <c r="G85" s="3455"/>
      <c r="H85" s="3341"/>
      <c r="I85" s="3341"/>
      <c r="J85" s="2012">
        <f>H85+I85*1.15</f>
        <v>0</v>
      </c>
      <c r="K85" s="4428" t="e">
        <f t="shared" ref="K85" si="226">J85/J$89</f>
        <v>#DIV/0!</v>
      </c>
      <c r="L85" s="3455"/>
      <c r="M85" s="3341"/>
      <c r="N85" s="3341"/>
      <c r="O85" s="2012">
        <f>M85+N85*1.15</f>
        <v>0</v>
      </c>
      <c r="P85" s="4428" t="e">
        <f t="shared" ref="P85" si="227">O85/O$89</f>
        <v>#DIV/0!</v>
      </c>
      <c r="Q85" s="3455"/>
      <c r="R85" s="3342">
        <f t="shared" ref="R85:S85" si="228">M85+H85+C85</f>
        <v>0</v>
      </c>
      <c r="S85" s="3342">
        <f t="shared" si="228"/>
        <v>0</v>
      </c>
      <c r="T85" s="2012">
        <f t="shared" ref="T85" si="229">R85+S85</f>
        <v>0</v>
      </c>
      <c r="U85" s="3455"/>
      <c r="V85" s="3455"/>
      <c r="W85" s="3342">
        <f t="shared" ref="W85:X85" si="230">AB85+AG85+AL85+AV85+BA85+BF85+BK85+BP85+BU85+BZ85+CE85+AQ85</f>
        <v>0</v>
      </c>
      <c r="X85" s="3342">
        <f t="shared" si="230"/>
        <v>0</v>
      </c>
      <c r="Y85" s="2012">
        <f t="shared" ref="Y85" si="231">W85+X85</f>
        <v>0</v>
      </c>
      <c r="Z85" s="3455"/>
      <c r="AA85" s="3455"/>
      <c r="AB85" s="3341"/>
      <c r="AC85" s="3341"/>
      <c r="AD85" s="2012">
        <f>AB85+AC85*1.15</f>
        <v>0</v>
      </c>
      <c r="AE85" s="3381"/>
      <c r="AF85" s="3455"/>
      <c r="AG85" s="3341"/>
      <c r="AH85" s="3341"/>
      <c r="AI85" s="2012">
        <f>AG85+AH85*1.15</f>
        <v>0</v>
      </c>
      <c r="AJ85" s="3381"/>
      <c r="AK85" s="3455"/>
      <c r="AL85" s="3341"/>
      <c r="AM85" s="3341"/>
      <c r="AN85" s="2012">
        <f>AL85+AM85*1.15</f>
        <v>0</v>
      </c>
      <c r="AO85" s="3381"/>
      <c r="AP85" s="3455"/>
      <c r="AQ85" s="3341"/>
      <c r="AR85" s="3341"/>
      <c r="AS85" s="2012">
        <f>AQ85+AR85*1.15</f>
        <v>0</v>
      </c>
      <c r="AT85" s="3381"/>
      <c r="AU85" s="3455"/>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2124">
        <f>CN85+CO85*1.15</f>
        <v>0</v>
      </c>
      <c r="CQ85" s="2124">
        <f>CO85+CP85*1.15</f>
        <v>0</v>
      </c>
      <c r="CR85" s="2124"/>
      <c r="CT85" s="2624"/>
    </row>
    <row r="86" spans="1:101" s="1396" customFormat="1" ht="27.6">
      <c r="A86" s="1405"/>
      <c r="B86" s="4473" t="s">
        <v>50</v>
      </c>
      <c r="C86" s="4474">
        <f>C84-C85</f>
        <v>0</v>
      </c>
      <c r="D86" s="4474">
        <f>D84-D85</f>
        <v>0</v>
      </c>
      <c r="E86" s="4474">
        <f>E84-E85</f>
        <v>0</v>
      </c>
      <c r="F86" s="4475"/>
      <c r="G86" s="4476"/>
      <c r="H86" s="4474">
        <f>H84-H85</f>
        <v>0</v>
      </c>
      <c r="I86" s="4474">
        <f>I84-I85</f>
        <v>0</v>
      </c>
      <c r="J86" s="4474">
        <f>J84-J85</f>
        <v>0</v>
      </c>
      <c r="K86" s="4475"/>
      <c r="L86" s="4476"/>
      <c r="M86" s="4474">
        <f>M84-M85</f>
        <v>0</v>
      </c>
      <c r="N86" s="4474">
        <f>N84-N85</f>
        <v>0</v>
      </c>
      <c r="O86" s="4474">
        <f>O84-O85</f>
        <v>0</v>
      </c>
      <c r="P86" s="4475"/>
      <c r="Q86" s="4476"/>
      <c r="R86" s="4474">
        <f>R84-R85</f>
        <v>0</v>
      </c>
      <c r="S86" s="4474">
        <f>S84-S85</f>
        <v>0</v>
      </c>
      <c r="T86" s="4474">
        <f>T84-T85</f>
        <v>0</v>
      </c>
      <c r="U86" s="4476"/>
      <c r="V86" s="4476"/>
      <c r="W86" s="4474">
        <f>W84-W85</f>
        <v>79934.454420025984</v>
      </c>
      <c r="X86" s="4474">
        <f>X84-X85</f>
        <v>-36788.51</v>
      </c>
      <c r="Y86" s="4474">
        <f>Y84-Y85</f>
        <v>43145.944420026004</v>
      </c>
      <c r="Z86" s="4476"/>
      <c r="AA86" s="4476"/>
      <c r="AB86" s="4474">
        <f>AB84-AB85</f>
        <v>0</v>
      </c>
      <c r="AC86" s="4474">
        <f>AC84-AC85</f>
        <v>0</v>
      </c>
      <c r="AD86" s="4474">
        <f>AD84-AD85</f>
        <v>0</v>
      </c>
      <c r="AE86" s="4475"/>
      <c r="AF86" s="4476"/>
      <c r="AG86" s="4474">
        <f>AG84-AG85</f>
        <v>0</v>
      </c>
      <c r="AH86" s="4474">
        <f>AH84-AH85</f>
        <v>0</v>
      </c>
      <c r="AI86" s="4474">
        <f>AI84-AI85</f>
        <v>0</v>
      </c>
      <c r="AJ86" s="4475"/>
      <c r="AK86" s="4476"/>
      <c r="AL86" s="4474">
        <f>AL84-AL85</f>
        <v>0</v>
      </c>
      <c r="AM86" s="4474">
        <f>AM84-AM85</f>
        <v>0</v>
      </c>
      <c r="AN86" s="4474">
        <f>AN84-AN85</f>
        <v>0</v>
      </c>
      <c r="AO86" s="4475"/>
      <c r="AP86" s="4476"/>
      <c r="AQ86" s="4474">
        <f>AQ84-AQ85</f>
        <v>0</v>
      </c>
      <c r="AR86" s="4474">
        <f>AR84-AR85</f>
        <v>0</v>
      </c>
      <c r="AS86" s="4474">
        <f>AS84-AS85</f>
        <v>0</v>
      </c>
      <c r="AT86" s="4475"/>
      <c r="AU86" s="4476"/>
      <c r="AV86" s="3481">
        <f>AV84-AV85</f>
        <v>-21566.438444886408</v>
      </c>
      <c r="AW86" s="3481">
        <f>AW84-AW85</f>
        <v>-31220</v>
      </c>
      <c r="AX86" s="3481">
        <f>AX84-AX85</f>
        <v>-52786.438444886408</v>
      </c>
      <c r="AY86" s="4475"/>
      <c r="AZ86" s="4476"/>
      <c r="BA86" s="4474">
        <f>BA84-BA85</f>
        <v>101500.8928649124</v>
      </c>
      <c r="BB86" s="4474">
        <f>BB84-BB85</f>
        <v>-5568.51</v>
      </c>
      <c r="BC86" s="4474">
        <f>BC84-BC85</f>
        <v>95932.382864912404</v>
      </c>
      <c r="BD86" s="4475"/>
      <c r="BE86" s="4476"/>
      <c r="BF86" s="4474">
        <f>BF84-BF85</f>
        <v>0</v>
      </c>
      <c r="BG86" s="4474">
        <f>BG84-BG85</f>
        <v>0</v>
      </c>
      <c r="BH86" s="4474">
        <f>BH84-BH85</f>
        <v>0</v>
      </c>
      <c r="BI86" s="4475"/>
      <c r="BJ86" s="4476"/>
      <c r="BK86" s="4474">
        <f>BK84-BK85</f>
        <v>0</v>
      </c>
      <c r="BL86" s="4474">
        <f>BL84-BL85</f>
        <v>0</v>
      </c>
      <c r="BM86" s="4474">
        <f>BM84-BM85</f>
        <v>0</v>
      </c>
      <c r="BN86" s="4475"/>
      <c r="BO86" s="4476"/>
      <c r="BP86" s="4474">
        <f>BP84-BP85</f>
        <v>0</v>
      </c>
      <c r="BQ86" s="4474">
        <f>BQ84-BQ85</f>
        <v>0</v>
      </c>
      <c r="BR86" s="4474">
        <f>BR84-BR85</f>
        <v>0</v>
      </c>
      <c r="BS86" s="4475"/>
      <c r="BT86" s="4476"/>
      <c r="BU86" s="4474">
        <f>BU84-BU85</f>
        <v>0</v>
      </c>
      <c r="BV86" s="4474">
        <f>BV84-BV85</f>
        <v>0</v>
      </c>
      <c r="BW86" s="4474">
        <f>BW84-BW85</f>
        <v>0</v>
      </c>
      <c r="BX86" s="4475"/>
      <c r="BY86" s="4476"/>
      <c r="BZ86" s="4474">
        <f>BZ84-BZ85</f>
        <v>0</v>
      </c>
      <c r="CA86" s="4474">
        <f>CA84-CA85</f>
        <v>0</v>
      </c>
      <c r="CB86" s="4474">
        <f>CB84-CB85</f>
        <v>0</v>
      </c>
      <c r="CC86" s="4475"/>
      <c r="CD86" s="4476"/>
      <c r="CE86" s="4474">
        <f>CE84-CE85</f>
        <v>0</v>
      </c>
      <c r="CF86" s="4474">
        <f>CF84-CF85</f>
        <v>0</v>
      </c>
      <c r="CG86" s="4474">
        <f>CG84-CG85</f>
        <v>0</v>
      </c>
      <c r="CH86" s="4475"/>
      <c r="CI86" s="4476"/>
      <c r="CJ86" s="3481">
        <f>CJ84-CJ85</f>
        <v>79934.454420025984</v>
      </c>
      <c r="CK86" s="3481">
        <f>CK84-CK85</f>
        <v>-36788.51</v>
      </c>
      <c r="CL86" s="3481">
        <f>CL84-CL85</f>
        <v>43145.944420026004</v>
      </c>
      <c r="CM86" s="3481"/>
      <c r="CN86" s="4475"/>
      <c r="CP86" s="3481">
        <f>CP84-CP85</f>
        <v>89156.66</v>
      </c>
      <c r="CQ86" s="3481">
        <f>CQ84-CQ85</f>
        <v>43145.944420026004</v>
      </c>
      <c r="CR86" s="3481">
        <f>CQ86-CP86</f>
        <v>-46010.715579973999</v>
      </c>
      <c r="CT86" s="4616">
        <f>CR86/CP86</f>
        <v>-0.51606594033439568</v>
      </c>
      <c r="CW86" s="933"/>
    </row>
    <row r="87" spans="1:101" s="1396" customFormat="1" ht="14.4" thickBot="1">
      <c r="A87" s="1567"/>
      <c r="B87" s="4655" t="s">
        <v>51</v>
      </c>
      <c r="C87" s="4477">
        <f>IFERROR(C86/C5,0)</f>
        <v>0</v>
      </c>
      <c r="D87" s="4478">
        <f>IFERROR(D86/D5,0)</f>
        <v>0</v>
      </c>
      <c r="E87" s="4479">
        <f>IFERROR(E86/E5,0)</f>
        <v>0</v>
      </c>
      <c r="F87" s="4480"/>
      <c r="G87" s="4481"/>
      <c r="H87" s="4477">
        <f>IFERROR(H86/H5,0)</f>
        <v>0</v>
      </c>
      <c r="I87" s="4478">
        <f>IFERROR(I86/I5,0)</f>
        <v>0</v>
      </c>
      <c r="J87" s="4479">
        <f>IFERROR(J86/J5,0)</f>
        <v>0</v>
      </c>
      <c r="K87" s="4480"/>
      <c r="L87" s="4481"/>
      <c r="M87" s="4477">
        <f>IFERROR(M86/M5,0)</f>
        <v>0</v>
      </c>
      <c r="N87" s="4478">
        <f>IFERROR(N86/N5,0)</f>
        <v>0</v>
      </c>
      <c r="O87" s="4479">
        <f>IFERROR(O86/O5,0)</f>
        <v>0</v>
      </c>
      <c r="P87" s="4480"/>
      <c r="Q87" s="4481"/>
      <c r="R87" s="4482"/>
      <c r="S87" s="4482"/>
      <c r="T87" s="4482"/>
      <c r="U87" s="4482"/>
      <c r="V87" s="4482"/>
      <c r="W87" s="4482"/>
      <c r="X87" s="4482"/>
      <c r="Y87" s="4482"/>
      <c r="Z87" s="4482"/>
      <c r="AA87" s="4482"/>
      <c r="AB87" s="4477">
        <f>IFERROR(AB86/AB5,0)</f>
        <v>0</v>
      </c>
      <c r="AC87" s="4478">
        <f>IFERROR(AC86/AC5,0)</f>
        <v>0</v>
      </c>
      <c r="AD87" s="4479">
        <f>IFERROR(AD86/AD5,0)</f>
        <v>0</v>
      </c>
      <c r="AE87" s="4480"/>
      <c r="AF87" s="4481"/>
      <c r="AG87" s="4477">
        <f>IFERROR(AG86/AG5,0)</f>
        <v>0</v>
      </c>
      <c r="AH87" s="4478">
        <f>IFERROR(AH86/AH5,0)</f>
        <v>0</v>
      </c>
      <c r="AI87" s="4479">
        <f>IFERROR(AI86/AI5,0)</f>
        <v>0</v>
      </c>
      <c r="AJ87" s="4480"/>
      <c r="AK87" s="4481"/>
      <c r="AL87" s="4477">
        <f>IFERROR(AL86/AL5,0)</f>
        <v>0</v>
      </c>
      <c r="AM87" s="4478">
        <f>IFERROR(AM86/AM5,0)</f>
        <v>0</v>
      </c>
      <c r="AN87" s="4479">
        <f>IFERROR(AN86/AN5,0)</f>
        <v>0</v>
      </c>
      <c r="AO87" s="4480"/>
      <c r="AP87" s="4481"/>
      <c r="AQ87" s="4477">
        <f>IFERROR(AQ86/AQ5,0)</f>
        <v>0</v>
      </c>
      <c r="AR87" s="4478">
        <f>IFERROR(AR86/AR5,0)</f>
        <v>0</v>
      </c>
      <c r="AS87" s="4479">
        <f>IFERROR(AS86/AS5,0)</f>
        <v>0</v>
      </c>
      <c r="AT87" s="4480"/>
      <c r="AU87" s="4481"/>
      <c r="AV87" s="4477">
        <f>IFERROR(AV86/AV5,0)</f>
        <v>0</v>
      </c>
      <c r="AW87" s="4478">
        <f>IFERROR(AW86/AW5,0)</f>
        <v>0</v>
      </c>
      <c r="AX87" s="4479">
        <f>IFERROR(AX86/AX5,0)</f>
        <v>0</v>
      </c>
      <c r="AY87" s="4480"/>
      <c r="AZ87" s="4481"/>
      <c r="BA87" s="4477">
        <f>IFERROR(BA86/BA5,0)</f>
        <v>0.63438058040570244</v>
      </c>
      <c r="BB87" s="4478">
        <f>IFERROR(BB86/BB5,0)</f>
        <v>0</v>
      </c>
      <c r="BC87" s="4479">
        <f>IFERROR(BC86/BC5,0)</f>
        <v>0.59957739290570256</v>
      </c>
      <c r="BD87" s="4480"/>
      <c r="BE87" s="4481"/>
      <c r="BF87" s="4477">
        <f>IFERROR(BF86/BF5,0)</f>
        <v>0</v>
      </c>
      <c r="BG87" s="4478">
        <f>IFERROR(BG86/BG5,0)</f>
        <v>0</v>
      </c>
      <c r="BH87" s="4479">
        <f>IFERROR(BH86/BH5,0)</f>
        <v>0</v>
      </c>
      <c r="BI87" s="4480"/>
      <c r="BJ87" s="4481"/>
      <c r="BK87" s="4477">
        <f>IFERROR(BK86/BK5,0)</f>
        <v>0</v>
      </c>
      <c r="BL87" s="4478">
        <f>IFERROR(BL86/BL5,0)</f>
        <v>0</v>
      </c>
      <c r="BM87" s="4479">
        <f>IFERROR(BM86/BM5,0)</f>
        <v>0</v>
      </c>
      <c r="BN87" s="4480"/>
      <c r="BO87" s="4481"/>
      <c r="BP87" s="4477">
        <f>IFERROR(BP86/BP5,0)</f>
        <v>0</v>
      </c>
      <c r="BQ87" s="4478">
        <f>IFERROR(BQ86/BQ5,0)</f>
        <v>0</v>
      </c>
      <c r="BR87" s="4479">
        <f>IFERROR(BR86/BR5,0)</f>
        <v>0</v>
      </c>
      <c r="BS87" s="4480"/>
      <c r="BT87" s="4481"/>
      <c r="BU87" s="4477">
        <f>IFERROR(BU86/BU5,0)</f>
        <v>0</v>
      </c>
      <c r="BV87" s="4478">
        <f>IFERROR(BV86/BV5,0)</f>
        <v>0</v>
      </c>
      <c r="BW87" s="4479">
        <f>IFERROR(BW86/BW5,0)</f>
        <v>0</v>
      </c>
      <c r="BX87" s="4480"/>
      <c r="BY87" s="4481"/>
      <c r="BZ87" s="4477">
        <f>IFERROR(BZ86/BZ5,0)</f>
        <v>0</v>
      </c>
      <c r="CA87" s="4478">
        <f>IFERROR(CA86/CA5,0)</f>
        <v>0</v>
      </c>
      <c r="CB87" s="4479">
        <f>IFERROR(CB86/CB5,0)</f>
        <v>0</v>
      </c>
      <c r="CC87" s="4480"/>
      <c r="CD87" s="4481"/>
      <c r="CE87" s="4477">
        <f>IFERROR(CE86/CE5,0)</f>
        <v>0</v>
      </c>
      <c r="CF87" s="4478">
        <f>IFERROR(CF86/CF5,0)</f>
        <v>0</v>
      </c>
      <c r="CG87" s="4479">
        <f>IFERROR(CG86/CG5,0)</f>
        <v>0</v>
      </c>
      <c r="CH87" s="4480"/>
      <c r="CI87" s="4481"/>
      <c r="CJ87" s="4477">
        <f>IFERROR(CJ86/CJ5,0)</f>
        <v>0.4995903401251624</v>
      </c>
      <c r="CK87" s="4478">
        <f>IFERROR(CK86/CK5,0)</f>
        <v>0</v>
      </c>
      <c r="CL87" s="4479">
        <f>IFERROR(CL86/CL5,0)</f>
        <v>0.26966215262516252</v>
      </c>
      <c r="CM87" s="4480"/>
      <c r="CN87" s="4480"/>
      <c r="CP87" s="4479">
        <f>CP86/CP5</f>
        <v>0.55722912499999999</v>
      </c>
      <c r="CQ87" s="4656">
        <f>IFERROR(CQ86/CQ5,0)</f>
        <v>0.26966215262516252</v>
      </c>
      <c r="CR87" s="4479" t="e">
        <f>CR86/CR5</f>
        <v>#DIV/0!</v>
      </c>
      <c r="CT87" s="2624"/>
    </row>
    <row r="88" spans="1:101"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1611"/>
      <c r="AG88" s="1954"/>
      <c r="AH88" s="1954"/>
      <c r="AI88" s="1954"/>
      <c r="AJ88" s="1954"/>
      <c r="AK88" s="1611"/>
      <c r="AL88" s="1954"/>
      <c r="AM88" s="1954"/>
      <c r="AN88" s="1954"/>
      <c r="AO88" s="1954"/>
      <c r="AP88" s="1611"/>
      <c r="AQ88" s="1954"/>
      <c r="AR88" s="1954"/>
      <c r="AS88" s="1954"/>
      <c r="AT88" s="1954"/>
      <c r="AU88" s="1611"/>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1954"/>
      <c r="CQ88" s="1954"/>
      <c r="CR88" s="1954"/>
    </row>
    <row r="89" spans="1:101">
      <c r="B89" s="1562" t="s">
        <v>56</v>
      </c>
      <c r="E89" s="1960">
        <f>E8+E36+E41+E50+E54+E73+E79+E82+E85</f>
        <v>0</v>
      </c>
      <c r="G89" s="1963"/>
      <c r="J89" s="1960">
        <f>J8+J36+J41+J50+J54+J73+J79+J82+J85</f>
        <v>0</v>
      </c>
      <c r="L89" s="1963"/>
      <c r="O89" s="1960">
        <f>O8+O36+O41+O50+O54+O73+O79+O82+O85</f>
        <v>0</v>
      </c>
      <c r="Q89" s="1963"/>
      <c r="R89" s="1963"/>
      <c r="S89" s="1963"/>
      <c r="T89" s="1960">
        <f>T8+T36+T41+T50+T54+T73+T79+T82+T85</f>
        <v>0</v>
      </c>
      <c r="U89" s="1963"/>
      <c r="V89" s="1963"/>
      <c r="W89" s="1963"/>
      <c r="X89" s="1963"/>
      <c r="Y89" s="1960">
        <f>Y8+Y36+Y41+Y50+Y54+Y73+Y79+Y82+Y85</f>
        <v>116854.055579974</v>
      </c>
      <c r="Z89" s="1963"/>
      <c r="AA89" s="1963"/>
      <c r="AD89" s="1960">
        <f>AD8+AD36+AD41+AD50+AD54+AD73+AD79+AD82+AD85</f>
        <v>0</v>
      </c>
      <c r="AF89" s="1963"/>
      <c r="AI89" s="1960">
        <f>AI8+AI36+AI41+AI50+AI54+AI73+AI79+AI82+AI85</f>
        <v>0</v>
      </c>
      <c r="AK89" s="1963"/>
      <c r="AN89" s="1960">
        <f>AN8+AN36+AN41+AN50+AN54+AN73+AN79+AN82+AN85</f>
        <v>0</v>
      </c>
      <c r="AP89" s="1963"/>
      <c r="AS89" s="1960">
        <f>AS8+AS36+AS41+AS50+AS54+AS73+AS79+AS82+AS85</f>
        <v>0</v>
      </c>
      <c r="AU89" s="1963"/>
      <c r="AX89" s="1960">
        <f>AX8+AX36+AX41+AX50+AX54+AX73+AX79+AX82+AX85</f>
        <v>52786.438444886408</v>
      </c>
      <c r="AZ89" s="1963"/>
      <c r="BC89" s="1960">
        <f>BC8+BC36+BC41+BC50+BC54+BC73+BC79+BC82+BC85</f>
        <v>64067.617135087596</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116854.055579974</v>
      </c>
    </row>
    <row r="90" spans="1:101">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1963"/>
      <c r="AC90" s="1963"/>
      <c r="AD90" s="1963"/>
      <c r="AE90" s="1963"/>
      <c r="AF90" s="1963"/>
      <c r="AG90" s="1963"/>
      <c r="AH90" s="1963"/>
      <c r="AI90" s="1963"/>
      <c r="AJ90" s="1963"/>
      <c r="AK90" s="1963"/>
      <c r="AL90" s="1963"/>
      <c r="AM90" s="1963"/>
      <c r="AN90" s="1963"/>
      <c r="AO90" s="1963"/>
      <c r="AP90" s="1963"/>
      <c r="AQ90" s="1963"/>
      <c r="AR90" s="1963"/>
      <c r="AS90" s="1963"/>
      <c r="AT90" s="1963"/>
      <c r="AU90" s="1963"/>
      <c r="AV90" s="1963"/>
      <c r="AW90" s="1963"/>
      <c r="AX90" s="1963"/>
      <c r="AY90" s="1963"/>
      <c r="AZ90" s="1963"/>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t="b">
        <f>J89+O89+E89+Y89=CL89</f>
        <v>1</v>
      </c>
    </row>
    <row r="91" spans="1:101"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963"/>
      <c r="AG91" s="1963"/>
      <c r="AH91" s="1963"/>
      <c r="AI91" s="1963"/>
      <c r="AJ91" s="1963"/>
      <c r="AK91" s="1963"/>
      <c r="AL91" s="1963"/>
      <c r="AM91" s="1963"/>
      <c r="AN91" s="1963"/>
      <c r="AO91" s="1963"/>
      <c r="AP91" s="1963"/>
      <c r="AQ91" s="1963"/>
      <c r="AR91" s="1963"/>
      <c r="AS91" s="1963"/>
      <c r="AT91" s="1963"/>
      <c r="AU91" s="1963"/>
      <c r="AV91" s="1963"/>
      <c r="AW91" s="1963"/>
      <c r="AX91" s="1963"/>
      <c r="AY91" s="1963"/>
      <c r="AZ91" s="196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c r="CP91" s="1952"/>
      <c r="CQ91" s="1952"/>
      <c r="CR91" s="1952"/>
      <c r="CT91" s="2624"/>
    </row>
    <row r="92" spans="1:101">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P92" s="1963"/>
      <c r="AQ92" s="1963"/>
      <c r="AR92" s="1963"/>
      <c r="AS92" s="1963"/>
      <c r="AT92" s="1963"/>
      <c r="AU92" s="1963"/>
      <c r="AV92" s="1963"/>
      <c r="AW92" s="1963"/>
      <c r="AX92" s="1963"/>
      <c r="AY92" s="1963"/>
      <c r="AZ92" s="196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1" s="1396" customFormat="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963"/>
      <c r="AG93" s="1963"/>
      <c r="AH93" s="1963"/>
      <c r="AI93" s="1963"/>
      <c r="AJ93" s="1963"/>
      <c r="AK93" s="1963"/>
      <c r="AL93" s="1963"/>
      <c r="AM93" s="1963"/>
      <c r="AN93" s="1963"/>
      <c r="AO93" s="1963"/>
      <c r="AP93" s="1963"/>
      <c r="AQ93" s="1963"/>
      <c r="AR93" s="1963"/>
      <c r="AS93" s="1963"/>
      <c r="AT93" s="1963"/>
      <c r="AU93" s="1963"/>
      <c r="AV93" s="1963"/>
      <c r="AW93" s="1963"/>
      <c r="AX93" s="1963"/>
      <c r="AY93" s="1963"/>
      <c r="AZ93" s="1963"/>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52"/>
      <c r="CK93" s="1952"/>
      <c r="CL93" s="687"/>
      <c r="CM93" s="1952"/>
      <c r="CN93" s="1952"/>
      <c r="CP93" s="1952"/>
      <c r="CQ93" s="1952"/>
      <c r="CR93" s="1952"/>
      <c r="CT93" s="2624"/>
    </row>
    <row r="94" spans="1:101" s="1396" customForma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963"/>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52"/>
      <c r="CK94" s="1952"/>
      <c r="CL94" s="1952"/>
      <c r="CM94" s="1952"/>
      <c r="CN94" s="1952"/>
      <c r="CP94" s="1952"/>
      <c r="CQ94" s="1952"/>
      <c r="CR94" s="1952"/>
      <c r="CT94" s="2624"/>
    </row>
    <row r="95" spans="1:101" s="1396" customFormat="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963"/>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52"/>
      <c r="CK95" s="1952"/>
      <c r="CL95" s="1952"/>
      <c r="CM95" s="1952"/>
      <c r="CN95" s="1952"/>
      <c r="CP95" s="1952"/>
      <c r="CQ95" s="1952"/>
      <c r="CR95" s="1952"/>
      <c r="CT95" s="2624"/>
    </row>
    <row r="96" spans="1:101" s="1396" customFormat="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963"/>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52"/>
      <c r="CK96" s="1952"/>
      <c r="CL96" s="1952"/>
      <c r="CM96" s="1952"/>
      <c r="CN96" s="1952"/>
      <c r="CP96" s="1952"/>
      <c r="CQ96" s="1952"/>
      <c r="CR96" s="1952"/>
      <c r="CT96" s="2624"/>
    </row>
    <row r="97" spans="1:98">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1963"/>
      <c r="AH97" s="1963"/>
      <c r="AI97" s="1963"/>
      <c r="AJ97" s="1963"/>
      <c r="AK97" s="1963"/>
      <c r="AL97" s="1963"/>
      <c r="AM97" s="1963"/>
      <c r="AN97" s="1963"/>
      <c r="AO97" s="1963"/>
      <c r="AP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98"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952"/>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1952"/>
      <c r="CQ98" s="1952"/>
      <c r="CR98" s="1952"/>
      <c r="CT98" s="2624"/>
    </row>
  </sheetData>
  <mergeCells count="24">
    <mergeCell ref="A42:A48"/>
    <mergeCell ref="BF2:BJ3"/>
    <mergeCell ref="BK2:BO3"/>
    <mergeCell ref="BP2:BT3"/>
    <mergeCell ref="BU2:BY3"/>
    <mergeCell ref="AB2:AF3"/>
    <mergeCell ref="AG2:AK3"/>
    <mergeCell ref="AL2:AP3"/>
    <mergeCell ref="AQ2:AU3"/>
    <mergeCell ref="AV2:AZ3"/>
    <mergeCell ref="BA2:BE3"/>
    <mergeCell ref="A2:B2"/>
    <mergeCell ref="C2:G3"/>
    <mergeCell ref="H2:L3"/>
    <mergeCell ref="M2:Q3"/>
    <mergeCell ref="R2:V3"/>
    <mergeCell ref="CJ2:CN3"/>
    <mergeCell ref="CP2:CR3"/>
    <mergeCell ref="A3:B3"/>
    <mergeCell ref="CP9:CP11"/>
    <mergeCell ref="CR9:CR11"/>
    <mergeCell ref="BZ2:CD3"/>
    <mergeCell ref="CE2:CI3"/>
    <mergeCell ref="W2:AA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BD75" activePane="bottomRight" state="frozen"/>
      <selection activeCell="CT9" sqref="CT9"/>
      <selection pane="topRight" activeCell="CT9" sqref="CT9"/>
      <selection pane="bottomLeft" activeCell="CT9" sqref="CT9"/>
      <selection pane="bottomRight" sqref="A1:XFD1048576"/>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hidden="1" customWidth="1" outlineLevel="1" collapsed="1"/>
    <col min="19" max="22" width="13.44140625" style="1952" hidden="1" customWidth="1" outlineLevel="1"/>
    <col min="23" max="23" width="13.44140625" style="1952" customWidth="1" collapsed="1"/>
    <col min="24" max="27" width="13.44140625" style="1952" customWidth="1"/>
    <col min="28" max="31" width="12.88671875" style="1952" hidden="1" customWidth="1" outlineLevel="1"/>
    <col min="32" max="32" width="29.33203125" style="1952" hidden="1" customWidth="1" outlineLevel="1"/>
    <col min="33" max="36" width="12.88671875" style="1952" hidden="1" customWidth="1" outlineLevel="1"/>
    <col min="37" max="37" width="26.109375" style="1952" hidden="1" customWidth="1" outlineLevel="1"/>
    <col min="38" max="41" width="12.88671875" style="1952" hidden="1" customWidth="1" outlineLevel="1"/>
    <col min="42" max="42" width="26.109375" style="1952" hidden="1" customWidth="1" outlineLevel="1"/>
    <col min="43" max="43" width="12.88671875" style="1952" hidden="1" customWidth="1" outlineLevel="1" collapsed="1"/>
    <col min="44" max="46" width="12.88671875" style="1952" hidden="1" customWidth="1" outlineLevel="1"/>
    <col min="47" max="47" width="26.109375" style="1952" hidden="1" customWidth="1" outlineLevel="1"/>
    <col min="48" max="48" width="12.88671875" style="1952" customWidth="1" collapsed="1"/>
    <col min="49" max="51" width="12.88671875" style="1952" customWidth="1"/>
    <col min="52" max="52" width="26.109375" style="1952" customWidth="1"/>
    <col min="53" max="56" width="12.88671875" style="1952" customWidth="1"/>
    <col min="57" max="57" width="26.109375" style="1952" customWidth="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14.33203125" style="1952" customWidth="1"/>
    <col min="93" max="93" width="2.88671875" style="1395"/>
    <col min="94" max="95" width="12.88671875" style="1952" customWidth="1"/>
    <col min="96" max="96" width="14.5546875" style="1952" customWidth="1"/>
    <col min="97" max="97" width="2.88671875" style="1395" customWidth="1" outlineLevel="1"/>
    <col min="98" max="98" width="11.6640625" style="1522" customWidth="1" outlineLevel="1"/>
    <col min="99" max="99" width="8.33203125" style="1395" customWidth="1" outlineLevel="1"/>
    <col min="100" max="100" width="8.44140625" style="1395" customWidth="1" outlineLevel="1"/>
    <col min="101" max="101" width="7.6640625" style="1395" bestFit="1" customWidth="1"/>
    <col min="102" max="16384" width="2.88671875" style="1395"/>
  </cols>
  <sheetData>
    <row r="1" spans="1:99" ht="13.8" thickBot="1"/>
    <row r="2" spans="1:99" ht="13.8">
      <c r="A2" s="4834" t="s">
        <v>2090</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2146</v>
      </c>
      <c r="CK2" s="4875"/>
      <c r="CL2" s="4875"/>
      <c r="CM2" s="4875"/>
      <c r="CN2" s="4876"/>
      <c r="CP2" s="5168" t="s">
        <v>2091</v>
      </c>
      <c r="CQ2" s="5169"/>
      <c r="CR2" s="5170"/>
    </row>
    <row r="3" spans="1:99"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71"/>
      <c r="CQ3" s="5172"/>
      <c r="CR3" s="5173"/>
    </row>
    <row r="4" spans="1:99"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1474" t="s">
        <v>1850</v>
      </c>
      <c r="CQ4" s="1474" t="s">
        <v>2148</v>
      </c>
      <c r="CR4" s="1474" t="s">
        <v>1826</v>
      </c>
    </row>
    <row r="5" spans="1:99"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0</v>
      </c>
      <c r="X5" s="1466">
        <f>X6</f>
        <v>0</v>
      </c>
      <c r="Y5" s="1466">
        <f>Y6+Y7</f>
        <v>0</v>
      </c>
      <c r="Z5" s="1466"/>
      <c r="AA5" s="1466"/>
      <c r="AB5" s="1466">
        <f>AB6</f>
        <v>0</v>
      </c>
      <c r="AC5" s="1466">
        <f>AC6</f>
        <v>0</v>
      </c>
      <c r="AD5" s="1466">
        <f>AD6+AD7</f>
        <v>0</v>
      </c>
      <c r="AE5" s="1466"/>
      <c r="AF5" s="1466"/>
      <c r="AG5" s="1466">
        <f>AG6</f>
        <v>0</v>
      </c>
      <c r="AH5" s="1466">
        <f>AH6</f>
        <v>0</v>
      </c>
      <c r="AI5" s="1466">
        <f>AI6+AI7</f>
        <v>0</v>
      </c>
      <c r="AJ5" s="1466"/>
      <c r="AK5" s="1466"/>
      <c r="AL5" s="1466">
        <f>AL6</f>
        <v>0</v>
      </c>
      <c r="AM5" s="1466">
        <f>AM6</f>
        <v>0</v>
      </c>
      <c r="AN5" s="1466">
        <f>AN6+AN7</f>
        <v>0</v>
      </c>
      <c r="AO5" s="1466"/>
      <c r="AP5" s="1466"/>
      <c r="AQ5" s="1466">
        <f>AQ6</f>
        <v>0</v>
      </c>
      <c r="AR5" s="1466">
        <f>AR6</f>
        <v>0</v>
      </c>
      <c r="AS5" s="1466">
        <f>AS6+AS7</f>
        <v>0</v>
      </c>
      <c r="AT5" s="1466"/>
      <c r="AU5" s="1466"/>
      <c r="AV5" s="1466">
        <f>AV6</f>
        <v>0</v>
      </c>
      <c r="AW5" s="1466">
        <f>AW6</f>
        <v>0</v>
      </c>
      <c r="AX5" s="1466">
        <f>AX6+AX7</f>
        <v>0</v>
      </c>
      <c r="AY5" s="1466"/>
      <c r="AZ5" s="1466"/>
      <c r="BA5" s="1466">
        <f>BA6</f>
        <v>0</v>
      </c>
      <c r="BB5" s="1466">
        <f>BB6</f>
        <v>0</v>
      </c>
      <c r="BC5" s="1466">
        <f>BC6+BC7</f>
        <v>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0</v>
      </c>
      <c r="CK5" s="1466">
        <f>CK6</f>
        <v>0</v>
      </c>
      <c r="CL5" s="1466">
        <f>CL6</f>
        <v>0</v>
      </c>
      <c r="CM5" s="1466"/>
      <c r="CN5" s="1466"/>
      <c r="CP5" s="1955">
        <f>CP6</f>
        <v>85300</v>
      </c>
      <c r="CQ5" s="1955">
        <f>CQ6</f>
        <v>0</v>
      </c>
      <c r="CR5" s="3440">
        <f>CR6</f>
        <v>85300</v>
      </c>
      <c r="CT5" s="2624"/>
    </row>
    <row r="6" spans="1:99" s="1396" customFormat="1" ht="13.8"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0</v>
      </c>
      <c r="X6" s="3342">
        <f>AC6+AH6+AM6+AW6+BB6+BG6+BL6+BQ6+BV6+CA6+CF6+AR6</f>
        <v>0</v>
      </c>
      <c r="Y6" s="2012">
        <f t="shared" ref="Y6:Y7" si="3">W6+X6</f>
        <v>0</v>
      </c>
      <c r="Z6" s="3342"/>
      <c r="AA6" s="3342"/>
      <c r="AB6" s="3341"/>
      <c r="AC6" s="3341"/>
      <c r="AD6" s="2012">
        <f t="shared" ref="AD6:AD7" si="4">AB6+AC6</f>
        <v>0</v>
      </c>
      <c r="AE6" s="3341"/>
      <c r="AF6" s="3342"/>
      <c r="AG6" s="3341"/>
      <c r="AH6" s="3341"/>
      <c r="AI6" s="2012">
        <f t="shared" ref="AI6:AI7" si="5">AG6+AH6</f>
        <v>0</v>
      </c>
      <c r="AJ6" s="3341"/>
      <c r="AK6" s="3342"/>
      <c r="AL6" s="3341"/>
      <c r="AM6" s="3341"/>
      <c r="AN6" s="2012">
        <f t="shared" ref="AN6:AN7" si="6">AL6+AM6</f>
        <v>0</v>
      </c>
      <c r="AO6" s="3341"/>
      <c r="AP6" s="3342"/>
      <c r="AQ6" s="3341"/>
      <c r="AR6" s="3341"/>
      <c r="AS6" s="2012">
        <f t="shared" ref="AS6:AS7" si="7">AQ6+AR6</f>
        <v>0</v>
      </c>
      <c r="AT6" s="3341"/>
      <c r="AU6" s="3342"/>
      <c r="AV6" s="3341"/>
      <c r="AW6" s="3341"/>
      <c r="AX6" s="2012">
        <f t="shared" ref="AX6:AX7" si="8">AV6+AW6</f>
        <v>0</v>
      </c>
      <c r="AY6" s="3341"/>
      <c r="AZ6" s="3342"/>
      <c r="BA6" s="3341"/>
      <c r="BB6" s="3341"/>
      <c r="BC6" s="2012">
        <f t="shared" ref="BC6:BC7" si="9">BA6+BB6</f>
        <v>0</v>
      </c>
      <c r="BD6" s="3341"/>
      <c r="BE6" s="3342"/>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f>
        <v>0</v>
      </c>
      <c r="CK6" s="3341">
        <f>D6+I6+N6+X6</f>
        <v>0</v>
      </c>
      <c r="CL6" s="2012">
        <f>CJ6+CK6</f>
        <v>0</v>
      </c>
      <c r="CM6" s="3341"/>
      <c r="CN6" s="3341"/>
      <c r="CP6" s="2012">
        <v>85300</v>
      </c>
      <c r="CQ6" s="2012">
        <f>CL6</f>
        <v>0</v>
      </c>
      <c r="CR6" s="4614">
        <f>CP6-CQ6</f>
        <v>85300</v>
      </c>
      <c r="CS6" s="3305"/>
      <c r="CT6" s="4616">
        <f>CR6/CP6</f>
        <v>1</v>
      </c>
      <c r="CU6" s="3778" t="s">
        <v>2157</v>
      </c>
    </row>
    <row r="7" spans="1:99" s="1396" customFormat="1" ht="14.4" outlineLevel="1" collapsed="1" thickBot="1">
      <c r="A7" s="1571"/>
      <c r="B7" s="4426" t="s">
        <v>41</v>
      </c>
      <c r="C7" s="3341"/>
      <c r="D7" s="3341"/>
      <c r="E7" s="2012">
        <f t="shared" si="0"/>
        <v>0</v>
      </c>
      <c r="F7" s="4608"/>
      <c r="G7" s="4608"/>
      <c r="H7" s="3341"/>
      <c r="I7" s="3341"/>
      <c r="J7" s="2012">
        <f>H7+I7</f>
        <v>0</v>
      </c>
      <c r="K7" s="4608"/>
      <c r="L7" s="4608"/>
      <c r="M7" s="3341"/>
      <c r="N7" s="3341"/>
      <c r="O7" s="2012">
        <f t="shared" si="1"/>
        <v>0</v>
      </c>
      <c r="P7" s="4608"/>
      <c r="Q7" s="4608"/>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1"/>
      <c r="AC7" s="3341"/>
      <c r="AD7" s="2012">
        <f t="shared" si="4"/>
        <v>0</v>
      </c>
      <c r="AE7" s="4608"/>
      <c r="AF7" s="4608"/>
      <c r="AG7" s="3341"/>
      <c r="AH7" s="3341"/>
      <c r="AI7" s="2012">
        <f t="shared" si="5"/>
        <v>0</v>
      </c>
      <c r="AJ7" s="4608"/>
      <c r="AK7" s="4608"/>
      <c r="AL7" s="3341"/>
      <c r="AM7" s="3341"/>
      <c r="AN7" s="2012">
        <f t="shared" si="6"/>
        <v>0</v>
      </c>
      <c r="AO7" s="4608"/>
      <c r="AP7" s="4608"/>
      <c r="AQ7" s="3341"/>
      <c r="AR7" s="3341"/>
      <c r="AS7" s="2012">
        <f t="shared" si="7"/>
        <v>0</v>
      </c>
      <c r="AT7" s="4608"/>
      <c r="AU7" s="4608"/>
      <c r="AV7" s="3341"/>
      <c r="AW7" s="3341"/>
      <c r="AX7" s="2012">
        <f t="shared" si="8"/>
        <v>0</v>
      </c>
      <c r="AY7" s="4608"/>
      <c r="AZ7" s="4608"/>
      <c r="BA7" s="3341"/>
      <c r="BB7" s="3341"/>
      <c r="BC7" s="2012">
        <f t="shared" si="9"/>
        <v>0</v>
      </c>
      <c r="BD7" s="4608"/>
      <c r="BE7" s="4608"/>
      <c r="BF7" s="3341"/>
      <c r="BG7" s="3341"/>
      <c r="BH7" s="2012">
        <f t="shared" si="10"/>
        <v>0</v>
      </c>
      <c r="BI7" s="4608"/>
      <c r="BJ7" s="4608"/>
      <c r="BK7" s="3341"/>
      <c r="BL7" s="3341"/>
      <c r="BM7" s="2012">
        <f t="shared" si="11"/>
        <v>0</v>
      </c>
      <c r="BN7" s="4608"/>
      <c r="BO7" s="4608"/>
      <c r="BP7" s="3341"/>
      <c r="BQ7" s="3341"/>
      <c r="BR7" s="2012">
        <f t="shared" si="12"/>
        <v>0</v>
      </c>
      <c r="BS7" s="4608"/>
      <c r="BT7" s="4608"/>
      <c r="BU7" s="3341"/>
      <c r="BV7" s="3341"/>
      <c r="BW7" s="2012">
        <f t="shared" si="13"/>
        <v>0</v>
      </c>
      <c r="BX7" s="4608"/>
      <c r="BY7" s="4608"/>
      <c r="BZ7" s="3341"/>
      <c r="CA7" s="3341"/>
      <c r="CB7" s="2012">
        <f t="shared" si="14"/>
        <v>0</v>
      </c>
      <c r="CC7" s="4608"/>
      <c r="CD7" s="4608"/>
      <c r="CE7" s="3341"/>
      <c r="CF7" s="3341"/>
      <c r="CG7" s="2012">
        <f t="shared" si="15"/>
        <v>0</v>
      </c>
      <c r="CH7" s="4608"/>
      <c r="CI7" s="4608"/>
      <c r="CJ7" s="3341">
        <f>C7+H7+M7+W7</f>
        <v>0</v>
      </c>
      <c r="CK7" s="3341">
        <f>D7+I7+N7+X7</f>
        <v>0</v>
      </c>
      <c r="CL7" s="2012">
        <f>CJ7+CK7</f>
        <v>0</v>
      </c>
      <c r="CM7" s="4608"/>
      <c r="CN7" s="4608"/>
      <c r="CP7" s="2012"/>
      <c r="CQ7" s="2012"/>
      <c r="CR7" s="3442"/>
      <c r="CT7" s="2624"/>
    </row>
    <row r="8" spans="1:99" s="1396" customFormat="1" ht="14.4" outlineLevel="1" thickBot="1">
      <c r="A8" s="1571"/>
      <c r="B8" s="1463" t="s">
        <v>16</v>
      </c>
      <c r="C8" s="1957">
        <f>SUM(C9:C33)</f>
        <v>0</v>
      </c>
      <c r="D8" s="1957">
        <f>SUM(D9:D33)</f>
        <v>0</v>
      </c>
      <c r="E8" s="1484">
        <f>SUM(E9:E33)</f>
        <v>0</v>
      </c>
      <c r="F8" s="1528" t="e">
        <f t="shared" ref="F8:F33" si="16">E8/$E$89</f>
        <v>#DIV/0!</v>
      </c>
      <c r="G8" s="1466"/>
      <c r="H8" s="1957">
        <f>SUM(H9:H33)</f>
        <v>0</v>
      </c>
      <c r="I8" s="1957">
        <f>SUM(I9:I33)</f>
        <v>0</v>
      </c>
      <c r="J8" s="1484">
        <f>SUM(J9:J33)</f>
        <v>0</v>
      </c>
      <c r="K8" s="1528" t="e">
        <f t="shared" ref="K8" si="17">J8/$E$89</f>
        <v>#DIV/0!</v>
      </c>
      <c r="L8" s="1466"/>
      <c r="M8" s="1957">
        <f>SUM(M9:M33)</f>
        <v>0</v>
      </c>
      <c r="N8" s="1957">
        <f>SUM(N9:N33)</f>
        <v>0</v>
      </c>
      <c r="O8" s="1484">
        <f>SUM(O9:O33)</f>
        <v>0</v>
      </c>
      <c r="P8" s="1528" t="e">
        <f t="shared" ref="P8" si="18">O8/$E$89</f>
        <v>#DIV/0!</v>
      </c>
      <c r="Q8" s="1466"/>
      <c r="R8" s="1957">
        <f>SUM(R9:R33)</f>
        <v>0</v>
      </c>
      <c r="S8" s="1957">
        <f>SUM(S9:S33)</f>
        <v>0</v>
      </c>
      <c r="T8" s="1484">
        <f>SUM(T9:T33)</f>
        <v>0</v>
      </c>
      <c r="U8" s="1528"/>
      <c r="V8" s="1466"/>
      <c r="W8" s="1957">
        <f>SUM(W9:W33)</f>
        <v>2931.6</v>
      </c>
      <c r="X8" s="1957">
        <f>SUM(X9:X33)</f>
        <v>5260</v>
      </c>
      <c r="Y8" s="1484">
        <f>SUM(Y9:Y33)</f>
        <v>8191.6</v>
      </c>
      <c r="Z8" s="1528"/>
      <c r="AA8" s="1466"/>
      <c r="AB8" s="1957">
        <f>SUM(AB9:AB33)</f>
        <v>0</v>
      </c>
      <c r="AC8" s="1957">
        <f>SUM(AC9:AC33)</f>
        <v>0</v>
      </c>
      <c r="AD8" s="1484">
        <f>SUM(AD9:AD33)</f>
        <v>0</v>
      </c>
      <c r="AE8" s="1528"/>
      <c r="AF8" s="1466"/>
      <c r="AG8" s="1957">
        <f>SUM(AG9:AG33)</f>
        <v>0</v>
      </c>
      <c r="AH8" s="1957">
        <f>SUM(AH9:AH33)</f>
        <v>0</v>
      </c>
      <c r="AI8" s="1484">
        <f>SUM(AI9:AI33)</f>
        <v>0</v>
      </c>
      <c r="AJ8" s="1528"/>
      <c r="AK8" s="1466"/>
      <c r="AL8" s="1957">
        <f>SUM(AL9:AL33)</f>
        <v>0</v>
      </c>
      <c r="AM8" s="1957">
        <f>SUM(AM9:AM33)</f>
        <v>0</v>
      </c>
      <c r="AN8" s="1484">
        <f>SUM(AN9:AN33)</f>
        <v>0</v>
      </c>
      <c r="AO8" s="1528"/>
      <c r="AP8" s="1466"/>
      <c r="AQ8" s="1957">
        <f>SUM(AQ9:AQ33)</f>
        <v>0</v>
      </c>
      <c r="AR8" s="1957">
        <f>SUM(AR9:AR33)</f>
        <v>0</v>
      </c>
      <c r="AS8" s="1484">
        <f>SUM(AS9:AS33)</f>
        <v>0</v>
      </c>
      <c r="AT8" s="1528"/>
      <c r="AU8" s="1466"/>
      <c r="AV8" s="1957">
        <f>SUM(AV9:AV33)</f>
        <v>2931.6</v>
      </c>
      <c r="AW8" s="1957">
        <f>SUM(AW9:AW33)</f>
        <v>5260</v>
      </c>
      <c r="AX8" s="1484">
        <f>SUM(AX9:AX33)</f>
        <v>8191.6</v>
      </c>
      <c r="AY8" s="1528"/>
      <c r="AZ8" s="1466"/>
      <c r="BA8" s="1957">
        <f>SUM(BA9:BA33)</f>
        <v>0</v>
      </c>
      <c r="BB8" s="1957">
        <f>SUM(BB9:BB33)</f>
        <v>0</v>
      </c>
      <c r="BC8" s="1484">
        <f>SUM(BC9:BC33)</f>
        <v>0</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2931.6</v>
      </c>
      <c r="CK8" s="1957">
        <f>SUM(CK9:CK33)</f>
        <v>5260</v>
      </c>
      <c r="CL8" s="1484">
        <f>SUM(CL9:CL33)</f>
        <v>8191.6</v>
      </c>
      <c r="CM8" s="1528"/>
      <c r="CN8" s="1466"/>
      <c r="CP8" s="1484">
        <f>SUM(CP9:CP33)</f>
        <v>69045.320000000007</v>
      </c>
      <c r="CQ8" s="1484">
        <f>SUM(CQ9:CQ33)</f>
        <v>8191.6</v>
      </c>
      <c r="CR8" s="3440">
        <f>SUM(CR9:CR33)</f>
        <v>60853.72</v>
      </c>
      <c r="CT8" s="2624"/>
    </row>
    <row r="9" spans="1:99" s="1396" customFormat="1" ht="13.8" outlineLevel="2">
      <c r="A9" s="1571"/>
      <c r="B9" s="1424" t="s">
        <v>74</v>
      </c>
      <c r="C9" s="3341"/>
      <c r="D9" s="3341"/>
      <c r="E9" s="3349">
        <f t="shared" ref="E9:E32" si="19">C9+D9</f>
        <v>0</v>
      </c>
      <c r="F9" s="4428" t="e">
        <f t="shared" si="16"/>
        <v>#DIV/0!</v>
      </c>
      <c r="G9" s="2047"/>
      <c r="H9" s="3341"/>
      <c r="I9" s="3341"/>
      <c r="J9" s="3349">
        <f t="shared" ref="J9:J32" si="20">H9+I9</f>
        <v>0</v>
      </c>
      <c r="K9" s="4428" t="e">
        <f>J9/J$89</f>
        <v>#DIV/0!</v>
      </c>
      <c r="L9" s="2047"/>
      <c r="M9" s="3341"/>
      <c r="N9" s="3341"/>
      <c r="O9" s="3349">
        <f t="shared" ref="O9:O32" si="21">M9+N9</f>
        <v>0</v>
      </c>
      <c r="P9" s="4428" t="e">
        <f t="shared" ref="P9:P33" si="22">O9/O$89</f>
        <v>#DIV/0!</v>
      </c>
      <c r="Q9" s="2047"/>
      <c r="R9" s="3342">
        <f t="shared" ref="R9:S33" si="23">M9+H9+C9</f>
        <v>0</v>
      </c>
      <c r="S9" s="3342">
        <f t="shared" si="23"/>
        <v>0</v>
      </c>
      <c r="T9" s="2012">
        <f t="shared" ref="T9:T33" si="24">R9+S9</f>
        <v>0</v>
      </c>
      <c r="U9" s="2047"/>
      <c r="V9" s="2047"/>
      <c r="W9" s="3342">
        <f t="shared" ref="W9:X33" si="25">AB9+AG9+AL9+AV9+BA9+BF9+BK9+BP9+BU9+BZ9+CE9+AQ9</f>
        <v>1798</v>
      </c>
      <c r="X9" s="3342">
        <f t="shared" si="25"/>
        <v>5260</v>
      </c>
      <c r="Y9" s="2012">
        <f t="shared" ref="Y9:Y33" si="26">W9+X9</f>
        <v>7058</v>
      </c>
      <c r="Z9" s="2047"/>
      <c r="AA9" s="2047"/>
      <c r="AB9" s="3341"/>
      <c r="AC9" s="3341"/>
      <c r="AD9" s="3349">
        <f t="shared" ref="AD9:AD32" si="27">AB9+AC9</f>
        <v>0</v>
      </c>
      <c r="AE9" s="4428" t="e">
        <f>AD9/AD$89</f>
        <v>#DIV/0!</v>
      </c>
      <c r="AF9" s="2047"/>
      <c r="AG9" s="3341"/>
      <c r="AH9" s="3341"/>
      <c r="AI9" s="3349">
        <f t="shared" ref="AI9:AI32" si="28">AG9+AH9</f>
        <v>0</v>
      </c>
      <c r="AJ9" s="4428" t="e">
        <f>AI9/AI$89</f>
        <v>#DIV/0!</v>
      </c>
      <c r="AK9" s="2047"/>
      <c r="AL9" s="3341"/>
      <c r="AM9" s="3341"/>
      <c r="AN9" s="3349">
        <f t="shared" ref="AN9:AN32" si="29">AL9+AM9</f>
        <v>0</v>
      </c>
      <c r="AO9" s="4428" t="e">
        <f>AN9/AN$89</f>
        <v>#DIV/0!</v>
      </c>
      <c r="AP9" s="2047"/>
      <c r="AQ9" s="3341"/>
      <c r="AR9" s="3341"/>
      <c r="AS9" s="3349">
        <f t="shared" ref="AS9:AS32" si="30">AQ9+AR9</f>
        <v>0</v>
      </c>
      <c r="AT9" s="4428" t="e">
        <f>AS9/AS$89</f>
        <v>#DIV/0!</v>
      </c>
      <c r="AU9" s="2047"/>
      <c r="AV9" s="3341">
        <v>1798</v>
      </c>
      <c r="AW9" s="3341">
        <v>5260</v>
      </c>
      <c r="AX9" s="3349">
        <f t="shared" ref="AX9:AX32" si="31">AV9+AW9</f>
        <v>7058</v>
      </c>
      <c r="AY9" s="4428">
        <f>AX9/AX$89</f>
        <v>0.78617871988026922</v>
      </c>
      <c r="AZ9" s="2047"/>
      <c r="BA9" s="3341"/>
      <c r="BB9" s="3341"/>
      <c r="BC9" s="3349">
        <f t="shared" ref="BC9:BC32" si="32">BA9+BB9</f>
        <v>0</v>
      </c>
      <c r="BD9" s="4428" t="e">
        <f>BC9/BC$89</f>
        <v>#DIV/0!</v>
      </c>
      <c r="BE9" s="2047"/>
      <c r="BF9" s="3341"/>
      <c r="BG9" s="3341"/>
      <c r="BH9" s="3349">
        <f t="shared" ref="BH9:BH32" si="33">BF9+BG9</f>
        <v>0</v>
      </c>
      <c r="BI9" s="4428" t="e">
        <f>BH9/BH$89</f>
        <v>#DIV/0!</v>
      </c>
      <c r="BJ9" s="2047"/>
      <c r="BK9" s="3341"/>
      <c r="BL9" s="3341"/>
      <c r="BM9" s="3349">
        <f t="shared" ref="BM9:BM32" si="34">BK9+BL9</f>
        <v>0</v>
      </c>
      <c r="BN9" s="4428" t="e">
        <f>BM9/BM$89</f>
        <v>#DIV/0!</v>
      </c>
      <c r="BO9" s="2047"/>
      <c r="BP9" s="3341"/>
      <c r="BQ9" s="3341"/>
      <c r="BR9" s="3349">
        <f t="shared" ref="BR9:BR32" si="35">BP9+BQ9</f>
        <v>0</v>
      </c>
      <c r="BS9" s="4428" t="e">
        <f>BR9/BR$89</f>
        <v>#DIV/0!</v>
      </c>
      <c r="BT9" s="2047"/>
      <c r="BU9" s="3341"/>
      <c r="BV9" s="3341"/>
      <c r="BW9" s="3349">
        <f t="shared" ref="BW9:BW32" si="36">BU9+BV9</f>
        <v>0</v>
      </c>
      <c r="BX9" s="4428" t="e">
        <f>BW9/BW$89</f>
        <v>#DIV/0!</v>
      </c>
      <c r="BY9" s="2047"/>
      <c r="BZ9" s="3341"/>
      <c r="CA9" s="3341"/>
      <c r="CB9" s="3349">
        <f t="shared" ref="CB9:CB32" si="37">BZ9+CA9</f>
        <v>0</v>
      </c>
      <c r="CC9" s="4428" t="e">
        <f>CB9/CB$89</f>
        <v>#DIV/0!</v>
      </c>
      <c r="CD9" s="2047"/>
      <c r="CE9" s="3341"/>
      <c r="CF9" s="3341"/>
      <c r="CG9" s="3349">
        <f t="shared" ref="CG9:CG32" si="38">CE9+CF9</f>
        <v>0</v>
      </c>
      <c r="CH9" s="4428" t="e">
        <f>CG9/CG$89</f>
        <v>#DIV/0!</v>
      </c>
      <c r="CI9" s="2047"/>
      <c r="CJ9" s="3341">
        <f t="shared" ref="CJ9:CK33" si="39">C9+H9+M9+W9</f>
        <v>1798</v>
      </c>
      <c r="CK9" s="3341">
        <f t="shared" si="39"/>
        <v>5260</v>
      </c>
      <c r="CL9" s="3349">
        <f>CJ9+CK9*1</f>
        <v>7058</v>
      </c>
      <c r="CM9" s="4428">
        <f t="shared" ref="CM9:CM33" si="40">CL9/$CL$89</f>
        <v>0.78617871988026922</v>
      </c>
      <c r="CN9" s="1434"/>
      <c r="CP9" s="5177">
        <v>10820</v>
      </c>
      <c r="CQ9" s="2012">
        <f t="shared" ref="CQ9:CQ32" si="41">CL9</f>
        <v>7058</v>
      </c>
      <c r="CR9" s="5174">
        <f>CP9-SUM(CQ9:CQ11)</f>
        <v>3015.83</v>
      </c>
      <c r="CS9" s="3307"/>
      <c r="CT9" s="4616" t="s">
        <v>155</v>
      </c>
    </row>
    <row r="10" spans="1:99" s="1396" customFormat="1" ht="13.8" outlineLevel="2">
      <c r="A10" s="1571"/>
      <c r="B10" s="1424" t="s">
        <v>72</v>
      </c>
      <c r="C10" s="3341"/>
      <c r="D10" s="3341"/>
      <c r="E10" s="3349">
        <f t="shared" si="19"/>
        <v>0</v>
      </c>
      <c r="F10" s="4428" t="e">
        <f t="shared" si="16"/>
        <v>#DIV/0!</v>
      </c>
      <c r="G10" s="2047"/>
      <c r="H10" s="3341"/>
      <c r="I10" s="3341"/>
      <c r="J10" s="3349">
        <f t="shared" si="20"/>
        <v>0</v>
      </c>
      <c r="K10" s="4428" t="e">
        <f t="shared" ref="K10:K33" si="42">J10/J$89</f>
        <v>#DIV/0!</v>
      </c>
      <c r="L10" s="2047"/>
      <c r="M10" s="3341"/>
      <c r="N10" s="3341"/>
      <c r="O10" s="3349">
        <f t="shared" si="21"/>
        <v>0</v>
      </c>
      <c r="P10" s="4428" t="e">
        <f t="shared" si="22"/>
        <v>#DIV/0!</v>
      </c>
      <c r="Q10" s="2047"/>
      <c r="R10" s="3342">
        <f t="shared" si="23"/>
        <v>0</v>
      </c>
      <c r="S10" s="3342">
        <f t="shared" si="23"/>
        <v>0</v>
      </c>
      <c r="T10" s="2012">
        <f t="shared" si="24"/>
        <v>0</v>
      </c>
      <c r="U10" s="2047"/>
      <c r="V10" s="2047"/>
      <c r="W10" s="3342">
        <f t="shared" si="25"/>
        <v>350.61</v>
      </c>
      <c r="X10" s="3342">
        <f t="shared" si="25"/>
        <v>0</v>
      </c>
      <c r="Y10" s="2012">
        <f t="shared" si="26"/>
        <v>350.61</v>
      </c>
      <c r="Z10" s="2047"/>
      <c r="AA10" s="2047"/>
      <c r="AB10" s="3341"/>
      <c r="AC10" s="3341"/>
      <c r="AD10" s="3349">
        <f t="shared" si="27"/>
        <v>0</v>
      </c>
      <c r="AE10" s="4428" t="e">
        <f t="shared" ref="AE10:AE33" si="43">AD10/AD$89</f>
        <v>#DIV/0!</v>
      </c>
      <c r="AF10" s="2047"/>
      <c r="AG10" s="3341"/>
      <c r="AH10" s="3341"/>
      <c r="AI10" s="3349">
        <f t="shared" si="28"/>
        <v>0</v>
      </c>
      <c r="AJ10" s="4428" t="e">
        <f t="shared" ref="AJ10:AJ33" si="44">AI10/AI$89</f>
        <v>#DIV/0!</v>
      </c>
      <c r="AK10" s="2047"/>
      <c r="AL10" s="3341"/>
      <c r="AM10" s="3341"/>
      <c r="AN10" s="3349">
        <f t="shared" si="29"/>
        <v>0</v>
      </c>
      <c r="AO10" s="4428" t="e">
        <f t="shared" ref="AO10:AO33" si="45">AN10/AN$89</f>
        <v>#DIV/0!</v>
      </c>
      <c r="AP10" s="2047"/>
      <c r="AQ10" s="3341"/>
      <c r="AR10" s="3341"/>
      <c r="AS10" s="3349">
        <f t="shared" si="30"/>
        <v>0</v>
      </c>
      <c r="AT10" s="4428" t="e">
        <f t="shared" ref="AT10:AT33" si="46">AS10/AS$89</f>
        <v>#DIV/0!</v>
      </c>
      <c r="AU10" s="2047"/>
      <c r="AV10" s="3341">
        <v>350.61</v>
      </c>
      <c r="AW10" s="3341"/>
      <c r="AX10" s="3349">
        <f t="shared" si="31"/>
        <v>350.61</v>
      </c>
      <c r="AY10" s="4428">
        <f t="shared" ref="AY10:AY33" si="47">AX10/AX$89</f>
        <v>3.9053856755061095E-2</v>
      </c>
      <c r="AZ10" s="2047"/>
      <c r="BA10" s="3341"/>
      <c r="BB10" s="3341"/>
      <c r="BC10" s="3349">
        <f t="shared" si="32"/>
        <v>0</v>
      </c>
      <c r="BD10" s="4428" t="e">
        <f t="shared" ref="BD10:BD33" si="48">BC10/BC$89</f>
        <v>#DIV/0!</v>
      </c>
      <c r="BE10" s="2047"/>
      <c r="BF10" s="3341"/>
      <c r="BG10" s="3341"/>
      <c r="BH10" s="3349">
        <f t="shared" si="33"/>
        <v>0</v>
      </c>
      <c r="BI10" s="4428" t="e">
        <f t="shared" ref="BI10:BI33" si="49">BH10/BH$89</f>
        <v>#DIV/0!</v>
      </c>
      <c r="BJ10" s="2047"/>
      <c r="BK10" s="3341"/>
      <c r="BL10" s="3341"/>
      <c r="BM10" s="3349">
        <f t="shared" si="34"/>
        <v>0</v>
      </c>
      <c r="BN10" s="4428" t="e">
        <f t="shared" ref="BN10:BN33" si="50">BM10/BM$89</f>
        <v>#DIV/0!</v>
      </c>
      <c r="BO10" s="2047"/>
      <c r="BP10" s="3341"/>
      <c r="BQ10" s="3341"/>
      <c r="BR10" s="3349">
        <f t="shared" si="35"/>
        <v>0</v>
      </c>
      <c r="BS10" s="4428" t="e">
        <f t="shared" ref="BS10:BS33" si="51">BR10/BR$89</f>
        <v>#DIV/0!</v>
      </c>
      <c r="BT10" s="2047"/>
      <c r="BU10" s="3341"/>
      <c r="BV10" s="3341"/>
      <c r="BW10" s="3349">
        <f t="shared" si="36"/>
        <v>0</v>
      </c>
      <c r="BX10" s="4428" t="e">
        <f t="shared" ref="BX10:BX33" si="52">BW10/BW$89</f>
        <v>#DIV/0!</v>
      </c>
      <c r="BY10" s="2047"/>
      <c r="BZ10" s="3341"/>
      <c r="CA10" s="3341"/>
      <c r="CB10" s="3349">
        <f t="shared" si="37"/>
        <v>0</v>
      </c>
      <c r="CC10" s="4428" t="e">
        <f t="shared" ref="CC10:CC33" si="53">CB10/CB$89</f>
        <v>#DIV/0!</v>
      </c>
      <c r="CD10" s="2047"/>
      <c r="CE10" s="3341"/>
      <c r="CF10" s="3341"/>
      <c r="CG10" s="3349">
        <f t="shared" si="38"/>
        <v>0</v>
      </c>
      <c r="CH10" s="4428" t="e">
        <f t="shared" ref="CH10:CH33" si="54">CG10/CG$89</f>
        <v>#DIV/0!</v>
      </c>
      <c r="CI10" s="2047"/>
      <c r="CJ10" s="3341">
        <f t="shared" si="39"/>
        <v>350.61</v>
      </c>
      <c r="CK10" s="3341">
        <f t="shared" si="39"/>
        <v>0</v>
      </c>
      <c r="CL10" s="3349">
        <f t="shared" ref="CL10:CL33" si="55">CJ10+CK10*1</f>
        <v>350.61</v>
      </c>
      <c r="CM10" s="4428">
        <f t="shared" si="40"/>
        <v>3.9053856755061095E-2</v>
      </c>
      <c r="CN10" s="1434"/>
      <c r="CP10" s="5178"/>
      <c r="CQ10" s="2012">
        <f t="shared" si="41"/>
        <v>350.61</v>
      </c>
      <c r="CR10" s="5175"/>
      <c r="CT10" s="2624"/>
    </row>
    <row r="11" spans="1:99" s="1396" customFormat="1" ht="13.8" outlineLevel="2">
      <c r="A11" s="1571"/>
      <c r="B11" s="1424" t="s">
        <v>69</v>
      </c>
      <c r="C11" s="3341"/>
      <c r="D11" s="3341"/>
      <c r="E11" s="3349">
        <f t="shared" si="19"/>
        <v>0</v>
      </c>
      <c r="F11" s="4428" t="e">
        <f t="shared" si="16"/>
        <v>#DIV/0!</v>
      </c>
      <c r="G11" s="1055"/>
      <c r="H11" s="3341"/>
      <c r="I11" s="3341"/>
      <c r="J11" s="3349">
        <f t="shared" si="20"/>
        <v>0</v>
      </c>
      <c r="K11" s="4428" t="e">
        <f t="shared" si="42"/>
        <v>#DIV/0!</v>
      </c>
      <c r="L11" s="1055"/>
      <c r="M11" s="3341"/>
      <c r="N11" s="3341"/>
      <c r="O11" s="3349">
        <f t="shared" si="21"/>
        <v>0</v>
      </c>
      <c r="P11" s="4428" t="e">
        <f t="shared" si="22"/>
        <v>#DIV/0!</v>
      </c>
      <c r="Q11" s="1055"/>
      <c r="R11" s="3342">
        <f t="shared" si="23"/>
        <v>0</v>
      </c>
      <c r="S11" s="3342">
        <f t="shared" si="23"/>
        <v>0</v>
      </c>
      <c r="T11" s="2012">
        <f t="shared" si="24"/>
        <v>0</v>
      </c>
      <c r="U11" s="1055"/>
      <c r="V11" s="1055"/>
      <c r="W11" s="3342">
        <f t="shared" si="25"/>
        <v>395.56</v>
      </c>
      <c r="X11" s="3342">
        <f t="shared" si="25"/>
        <v>0</v>
      </c>
      <c r="Y11" s="2012">
        <f t="shared" si="26"/>
        <v>395.56</v>
      </c>
      <c r="Z11" s="1055"/>
      <c r="AA11" s="1055"/>
      <c r="AB11" s="3341"/>
      <c r="AC11" s="3341"/>
      <c r="AD11" s="3349">
        <f t="shared" si="27"/>
        <v>0</v>
      </c>
      <c r="AE11" s="4428" t="e">
        <f t="shared" si="43"/>
        <v>#DIV/0!</v>
      </c>
      <c r="AF11" s="1055"/>
      <c r="AG11" s="3341"/>
      <c r="AH11" s="3341"/>
      <c r="AI11" s="3349">
        <f t="shared" si="28"/>
        <v>0</v>
      </c>
      <c r="AJ11" s="4428" t="e">
        <f t="shared" si="44"/>
        <v>#DIV/0!</v>
      </c>
      <c r="AK11" s="1055"/>
      <c r="AL11" s="3341"/>
      <c r="AM11" s="3341"/>
      <c r="AN11" s="3349">
        <f t="shared" si="29"/>
        <v>0</v>
      </c>
      <c r="AO11" s="4428" t="e">
        <f t="shared" si="45"/>
        <v>#DIV/0!</v>
      </c>
      <c r="AP11" s="1055"/>
      <c r="AQ11" s="3341"/>
      <c r="AR11" s="3341"/>
      <c r="AS11" s="3349">
        <f t="shared" si="30"/>
        <v>0</v>
      </c>
      <c r="AT11" s="4428" t="e">
        <f t="shared" si="46"/>
        <v>#DIV/0!</v>
      </c>
      <c r="AU11" s="1055"/>
      <c r="AV11" s="3341">
        <v>395.56</v>
      </c>
      <c r="AW11" s="3341"/>
      <c r="AX11" s="3349">
        <f t="shared" si="31"/>
        <v>395.56</v>
      </c>
      <c r="AY11" s="4428">
        <f t="shared" si="47"/>
        <v>4.406076146724841E-2</v>
      </c>
      <c r="AZ11" s="1055"/>
      <c r="BA11" s="3341"/>
      <c r="BB11" s="3341"/>
      <c r="BC11" s="3349">
        <f t="shared" si="32"/>
        <v>0</v>
      </c>
      <c r="BD11" s="4428" t="e">
        <f t="shared" si="48"/>
        <v>#DIV/0!</v>
      </c>
      <c r="BE11" s="1055"/>
      <c r="BF11" s="3341"/>
      <c r="BG11" s="3341"/>
      <c r="BH11" s="3349">
        <f t="shared" si="33"/>
        <v>0</v>
      </c>
      <c r="BI11" s="4428" t="e">
        <f t="shared" si="49"/>
        <v>#DIV/0!</v>
      </c>
      <c r="BJ11" s="1055"/>
      <c r="BK11" s="3341"/>
      <c r="BL11" s="3341"/>
      <c r="BM11" s="3349">
        <f t="shared" si="34"/>
        <v>0</v>
      </c>
      <c r="BN11" s="4428" t="e">
        <f t="shared" si="50"/>
        <v>#DIV/0!</v>
      </c>
      <c r="BO11" s="1055"/>
      <c r="BP11" s="3341"/>
      <c r="BQ11" s="3341"/>
      <c r="BR11" s="3349">
        <f t="shared" si="35"/>
        <v>0</v>
      </c>
      <c r="BS11" s="4428" t="e">
        <f t="shared" si="51"/>
        <v>#DIV/0!</v>
      </c>
      <c r="BT11" s="1055"/>
      <c r="BU11" s="3341"/>
      <c r="BV11" s="3341"/>
      <c r="BW11" s="3349">
        <f t="shared" si="36"/>
        <v>0</v>
      </c>
      <c r="BX11" s="4428" t="e">
        <f t="shared" si="52"/>
        <v>#DIV/0!</v>
      </c>
      <c r="BY11" s="1055"/>
      <c r="BZ11" s="3341"/>
      <c r="CA11" s="3341"/>
      <c r="CB11" s="3349">
        <f t="shared" si="37"/>
        <v>0</v>
      </c>
      <c r="CC11" s="4428" t="e">
        <f t="shared" si="53"/>
        <v>#DIV/0!</v>
      </c>
      <c r="CD11" s="1055"/>
      <c r="CE11" s="3341"/>
      <c r="CF11" s="3341"/>
      <c r="CG11" s="3349">
        <f t="shared" si="38"/>
        <v>0</v>
      </c>
      <c r="CH11" s="4428" t="e">
        <f t="shared" si="54"/>
        <v>#DIV/0!</v>
      </c>
      <c r="CI11" s="1055"/>
      <c r="CJ11" s="3341">
        <f t="shared" si="39"/>
        <v>395.56</v>
      </c>
      <c r="CK11" s="3341">
        <f t="shared" si="39"/>
        <v>0</v>
      </c>
      <c r="CL11" s="3349">
        <f t="shared" si="55"/>
        <v>395.56</v>
      </c>
      <c r="CM11" s="4428">
        <f t="shared" si="40"/>
        <v>4.406076146724841E-2</v>
      </c>
      <c r="CN11" s="1434"/>
      <c r="CP11" s="5179"/>
      <c r="CQ11" s="2012">
        <f t="shared" si="41"/>
        <v>395.56</v>
      </c>
      <c r="CR11" s="5176"/>
      <c r="CT11" s="2624"/>
    </row>
    <row r="12" spans="1:99" s="1396" customFormat="1" ht="13.8" outlineLevel="2">
      <c r="A12" s="1571"/>
      <c r="B12" s="1424" t="s">
        <v>73</v>
      </c>
      <c r="C12" s="3341"/>
      <c r="D12" s="3341"/>
      <c r="E12" s="3349">
        <f t="shared" si="19"/>
        <v>0</v>
      </c>
      <c r="F12" s="4428" t="e">
        <f t="shared" si="16"/>
        <v>#DIV/0!</v>
      </c>
      <c r="G12" s="1055"/>
      <c r="H12" s="3341"/>
      <c r="I12" s="3341"/>
      <c r="J12" s="3349">
        <f t="shared" si="20"/>
        <v>0</v>
      </c>
      <c r="K12" s="4428" t="e">
        <f t="shared" si="42"/>
        <v>#DIV/0!</v>
      </c>
      <c r="L12" s="1055"/>
      <c r="M12" s="3341"/>
      <c r="N12" s="3341"/>
      <c r="O12" s="3349">
        <f t="shared" si="21"/>
        <v>0</v>
      </c>
      <c r="P12" s="4428" t="e">
        <f t="shared" si="22"/>
        <v>#DIV/0!</v>
      </c>
      <c r="Q12" s="1055"/>
      <c r="R12" s="3342">
        <f t="shared" si="23"/>
        <v>0</v>
      </c>
      <c r="S12" s="3342">
        <f t="shared" si="23"/>
        <v>0</v>
      </c>
      <c r="T12" s="2012">
        <f t="shared" si="24"/>
        <v>0</v>
      </c>
      <c r="U12" s="1055"/>
      <c r="V12" s="1055"/>
      <c r="W12" s="3342">
        <f t="shared" si="25"/>
        <v>0</v>
      </c>
      <c r="X12" s="3342">
        <f t="shared" si="25"/>
        <v>0</v>
      </c>
      <c r="Y12" s="2012">
        <f t="shared" si="26"/>
        <v>0</v>
      </c>
      <c r="Z12" s="1055"/>
      <c r="AA12" s="1055"/>
      <c r="AB12" s="3341"/>
      <c r="AC12" s="3341"/>
      <c r="AD12" s="3349">
        <f t="shared" si="27"/>
        <v>0</v>
      </c>
      <c r="AE12" s="4428" t="e">
        <f t="shared" si="43"/>
        <v>#DIV/0!</v>
      </c>
      <c r="AF12" s="1055"/>
      <c r="AG12" s="3341"/>
      <c r="AH12" s="3341"/>
      <c r="AI12" s="3349">
        <f t="shared" si="28"/>
        <v>0</v>
      </c>
      <c r="AJ12" s="4428" t="e">
        <f t="shared" si="44"/>
        <v>#DIV/0!</v>
      </c>
      <c r="AK12" s="1055"/>
      <c r="AL12" s="3341"/>
      <c r="AM12" s="3341"/>
      <c r="AN12" s="3349">
        <f t="shared" si="29"/>
        <v>0</v>
      </c>
      <c r="AO12" s="4428" t="e">
        <f t="shared" si="45"/>
        <v>#DIV/0!</v>
      </c>
      <c r="AP12" s="1055"/>
      <c r="AQ12" s="3341"/>
      <c r="AR12" s="3341"/>
      <c r="AS12" s="3349">
        <f t="shared" si="30"/>
        <v>0</v>
      </c>
      <c r="AT12" s="4428" t="e">
        <f t="shared" si="46"/>
        <v>#DIV/0!</v>
      </c>
      <c r="AU12" s="1055"/>
      <c r="AV12" s="3341"/>
      <c r="AW12" s="3341"/>
      <c r="AX12" s="3349">
        <f t="shared" si="31"/>
        <v>0</v>
      </c>
      <c r="AY12" s="4428">
        <f t="shared" si="47"/>
        <v>0</v>
      </c>
      <c r="AZ12" s="1055"/>
      <c r="BA12" s="3341"/>
      <c r="BB12" s="3341"/>
      <c r="BC12" s="3349">
        <f t="shared" si="32"/>
        <v>0</v>
      </c>
      <c r="BD12" s="4428" t="e">
        <f t="shared" si="48"/>
        <v>#DIV/0!</v>
      </c>
      <c r="BE12" s="1055"/>
      <c r="BF12" s="3341"/>
      <c r="BG12" s="3341"/>
      <c r="BH12" s="3349">
        <f t="shared" si="33"/>
        <v>0</v>
      </c>
      <c r="BI12" s="4428" t="e">
        <f t="shared" si="49"/>
        <v>#DIV/0!</v>
      </c>
      <c r="BJ12" s="1055"/>
      <c r="BK12" s="3341"/>
      <c r="BL12" s="3341"/>
      <c r="BM12" s="3349">
        <f t="shared" si="34"/>
        <v>0</v>
      </c>
      <c r="BN12" s="4428" t="e">
        <f t="shared" si="50"/>
        <v>#DIV/0!</v>
      </c>
      <c r="BO12" s="1055"/>
      <c r="BP12" s="3341"/>
      <c r="BQ12" s="3341"/>
      <c r="BR12" s="3349">
        <f t="shared" si="35"/>
        <v>0</v>
      </c>
      <c r="BS12" s="4428" t="e">
        <f t="shared" si="51"/>
        <v>#DIV/0!</v>
      </c>
      <c r="BT12" s="1055"/>
      <c r="BU12" s="3341"/>
      <c r="BV12" s="3341"/>
      <c r="BW12" s="3349">
        <f t="shared" si="36"/>
        <v>0</v>
      </c>
      <c r="BX12" s="4428" t="e">
        <f t="shared" si="52"/>
        <v>#DIV/0!</v>
      </c>
      <c r="BY12" s="1055"/>
      <c r="BZ12" s="3341"/>
      <c r="CA12" s="3341"/>
      <c r="CB12" s="3349">
        <f t="shared" si="37"/>
        <v>0</v>
      </c>
      <c r="CC12" s="4428" t="e">
        <f t="shared" si="53"/>
        <v>#DIV/0!</v>
      </c>
      <c r="CD12" s="1055"/>
      <c r="CE12" s="3341"/>
      <c r="CF12" s="3341"/>
      <c r="CG12" s="3349">
        <f t="shared" si="38"/>
        <v>0</v>
      </c>
      <c r="CH12" s="4428" t="e">
        <f t="shared" si="54"/>
        <v>#DIV/0!</v>
      </c>
      <c r="CI12" s="1055"/>
      <c r="CJ12" s="3341">
        <f t="shared" si="39"/>
        <v>0</v>
      </c>
      <c r="CK12" s="3341">
        <f t="shared" si="39"/>
        <v>0</v>
      </c>
      <c r="CL12" s="3349">
        <f t="shared" si="55"/>
        <v>0</v>
      </c>
      <c r="CM12" s="4428">
        <f t="shared" si="40"/>
        <v>0</v>
      </c>
      <c r="CN12" s="1434"/>
      <c r="CP12" s="4615"/>
      <c r="CQ12" s="2012">
        <f t="shared" si="41"/>
        <v>0</v>
      </c>
      <c r="CR12" s="4614">
        <f t="shared" ref="CR12:CR33" si="56">CP12-CQ12</f>
        <v>0</v>
      </c>
      <c r="CT12" s="2624"/>
    </row>
    <row r="13" spans="1:99" s="1396" customFormat="1" ht="13.8" outlineLevel="2">
      <c r="A13" s="1571"/>
      <c r="B13" s="1424" t="s">
        <v>71</v>
      </c>
      <c r="C13" s="3341"/>
      <c r="D13" s="3341"/>
      <c r="E13" s="3349">
        <f t="shared" si="19"/>
        <v>0</v>
      </c>
      <c r="F13" s="4428" t="e">
        <f t="shared" si="16"/>
        <v>#DIV/0!</v>
      </c>
      <c r="G13" s="1055"/>
      <c r="H13" s="3341"/>
      <c r="I13" s="3341"/>
      <c r="J13" s="3349">
        <f t="shared" si="20"/>
        <v>0</v>
      </c>
      <c r="K13" s="4428" t="e">
        <f t="shared" si="42"/>
        <v>#DIV/0!</v>
      </c>
      <c r="L13" s="1055"/>
      <c r="M13" s="3341"/>
      <c r="N13" s="3341"/>
      <c r="O13" s="3349">
        <f t="shared" si="21"/>
        <v>0</v>
      </c>
      <c r="P13" s="4428" t="e">
        <f t="shared" si="22"/>
        <v>#DIV/0!</v>
      </c>
      <c r="Q13" s="1055"/>
      <c r="R13" s="3342">
        <f t="shared" si="23"/>
        <v>0</v>
      </c>
      <c r="S13" s="3342">
        <f t="shared" si="23"/>
        <v>0</v>
      </c>
      <c r="T13" s="2012">
        <f t="shared" si="24"/>
        <v>0</v>
      </c>
      <c r="U13" s="1055"/>
      <c r="V13" s="1055"/>
      <c r="W13" s="3342">
        <f t="shared" si="25"/>
        <v>0</v>
      </c>
      <c r="X13" s="3342">
        <f t="shared" si="25"/>
        <v>0</v>
      </c>
      <c r="Y13" s="2012">
        <f t="shared" si="26"/>
        <v>0</v>
      </c>
      <c r="Z13" s="1055"/>
      <c r="AA13" s="1055"/>
      <c r="AB13" s="3341"/>
      <c r="AC13" s="3341"/>
      <c r="AD13" s="3349">
        <f t="shared" si="27"/>
        <v>0</v>
      </c>
      <c r="AE13" s="4428" t="e">
        <f t="shared" si="43"/>
        <v>#DIV/0!</v>
      </c>
      <c r="AF13" s="1055"/>
      <c r="AG13" s="3341"/>
      <c r="AH13" s="3341"/>
      <c r="AI13" s="3349">
        <f t="shared" si="28"/>
        <v>0</v>
      </c>
      <c r="AJ13" s="4428" t="e">
        <f t="shared" si="44"/>
        <v>#DIV/0!</v>
      </c>
      <c r="AK13" s="1055"/>
      <c r="AL13" s="3341"/>
      <c r="AM13" s="3341"/>
      <c r="AN13" s="3349">
        <f t="shared" si="29"/>
        <v>0</v>
      </c>
      <c r="AO13" s="4428" t="e">
        <f t="shared" si="45"/>
        <v>#DIV/0!</v>
      </c>
      <c r="AP13" s="1055"/>
      <c r="AQ13" s="3341"/>
      <c r="AR13" s="3341"/>
      <c r="AS13" s="3349">
        <f t="shared" si="30"/>
        <v>0</v>
      </c>
      <c r="AT13" s="4428" t="e">
        <f t="shared" si="46"/>
        <v>#DIV/0!</v>
      </c>
      <c r="AU13" s="1055"/>
      <c r="AV13" s="3341"/>
      <c r="AW13" s="3341"/>
      <c r="AX13" s="3349">
        <f t="shared" si="31"/>
        <v>0</v>
      </c>
      <c r="AY13" s="4428">
        <f t="shared" si="47"/>
        <v>0</v>
      </c>
      <c r="AZ13" s="1055"/>
      <c r="BA13" s="3341"/>
      <c r="BB13" s="3341"/>
      <c r="BC13" s="3349">
        <f t="shared" si="32"/>
        <v>0</v>
      </c>
      <c r="BD13" s="4428" t="e">
        <f t="shared" si="48"/>
        <v>#DIV/0!</v>
      </c>
      <c r="BE13" s="1055"/>
      <c r="BF13" s="3341"/>
      <c r="BG13" s="3341"/>
      <c r="BH13" s="3349">
        <f t="shared" si="33"/>
        <v>0</v>
      </c>
      <c r="BI13" s="4428" t="e">
        <f t="shared" si="49"/>
        <v>#DIV/0!</v>
      </c>
      <c r="BJ13" s="1055"/>
      <c r="BK13" s="3341"/>
      <c r="BL13" s="3341"/>
      <c r="BM13" s="3349">
        <f t="shared" si="34"/>
        <v>0</v>
      </c>
      <c r="BN13" s="4428" t="e">
        <f t="shared" si="50"/>
        <v>#DIV/0!</v>
      </c>
      <c r="BO13" s="1055"/>
      <c r="BP13" s="3341"/>
      <c r="BQ13" s="3341"/>
      <c r="BR13" s="3349">
        <f t="shared" si="35"/>
        <v>0</v>
      </c>
      <c r="BS13" s="4428" t="e">
        <f t="shared" si="51"/>
        <v>#DIV/0!</v>
      </c>
      <c r="BT13" s="1055"/>
      <c r="BU13" s="3341"/>
      <c r="BV13" s="3341"/>
      <c r="BW13" s="3349">
        <f t="shared" si="36"/>
        <v>0</v>
      </c>
      <c r="BX13" s="4428" t="e">
        <f t="shared" si="52"/>
        <v>#DIV/0!</v>
      </c>
      <c r="BY13" s="1055"/>
      <c r="BZ13" s="3341"/>
      <c r="CA13" s="3341"/>
      <c r="CB13" s="3349">
        <f t="shared" si="37"/>
        <v>0</v>
      </c>
      <c r="CC13" s="4428" t="e">
        <f t="shared" si="53"/>
        <v>#DIV/0!</v>
      </c>
      <c r="CD13" s="1055"/>
      <c r="CE13" s="3341"/>
      <c r="CF13" s="3341"/>
      <c r="CG13" s="3349">
        <f t="shared" si="38"/>
        <v>0</v>
      </c>
      <c r="CH13" s="4428" t="e">
        <f t="shared" si="54"/>
        <v>#DIV/0!</v>
      </c>
      <c r="CI13" s="1055"/>
      <c r="CJ13" s="3341">
        <f t="shared" si="39"/>
        <v>0</v>
      </c>
      <c r="CK13" s="3341">
        <f t="shared" si="39"/>
        <v>0</v>
      </c>
      <c r="CL13" s="3349">
        <f t="shared" si="55"/>
        <v>0</v>
      </c>
      <c r="CM13" s="4428">
        <f t="shared" si="40"/>
        <v>0</v>
      </c>
      <c r="CN13" s="1434"/>
      <c r="CP13" s="4615"/>
      <c r="CQ13" s="2012">
        <f t="shared" si="41"/>
        <v>0</v>
      </c>
      <c r="CR13" s="4614">
        <f t="shared" si="56"/>
        <v>0</v>
      </c>
      <c r="CT13" s="2624"/>
    </row>
    <row r="14" spans="1:99" s="1396" customFormat="1" ht="13.8" outlineLevel="2">
      <c r="A14" s="1571"/>
      <c r="B14" s="1424" t="s">
        <v>70</v>
      </c>
      <c r="C14" s="3341"/>
      <c r="D14" s="3341"/>
      <c r="E14" s="3349">
        <f t="shared" si="19"/>
        <v>0</v>
      </c>
      <c r="F14" s="4428" t="e">
        <f t="shared" si="16"/>
        <v>#DIV/0!</v>
      </c>
      <c r="G14" s="1055"/>
      <c r="H14" s="3341"/>
      <c r="I14" s="3341"/>
      <c r="J14" s="3349">
        <f t="shared" si="20"/>
        <v>0</v>
      </c>
      <c r="K14" s="4428" t="e">
        <f t="shared" si="42"/>
        <v>#DIV/0!</v>
      </c>
      <c r="L14" s="1055"/>
      <c r="M14" s="3341"/>
      <c r="N14" s="3341"/>
      <c r="O14" s="3349">
        <f t="shared" si="21"/>
        <v>0</v>
      </c>
      <c r="P14" s="4428" t="e">
        <f t="shared" si="22"/>
        <v>#DIV/0!</v>
      </c>
      <c r="Q14" s="1055"/>
      <c r="R14" s="3342">
        <f t="shared" si="23"/>
        <v>0</v>
      </c>
      <c r="S14" s="3342">
        <f t="shared" si="23"/>
        <v>0</v>
      </c>
      <c r="T14" s="2012">
        <f t="shared" si="24"/>
        <v>0</v>
      </c>
      <c r="U14" s="1055"/>
      <c r="V14" s="1055"/>
      <c r="W14" s="3342">
        <f t="shared" si="25"/>
        <v>0</v>
      </c>
      <c r="X14" s="3342">
        <f t="shared" si="25"/>
        <v>0</v>
      </c>
      <c r="Y14" s="2012">
        <f t="shared" si="26"/>
        <v>0</v>
      </c>
      <c r="Z14" s="1055"/>
      <c r="AA14" s="1055"/>
      <c r="AB14" s="3341"/>
      <c r="AC14" s="3341"/>
      <c r="AD14" s="3349">
        <f t="shared" si="27"/>
        <v>0</v>
      </c>
      <c r="AE14" s="4428" t="e">
        <f t="shared" si="43"/>
        <v>#DIV/0!</v>
      </c>
      <c r="AF14" s="1055"/>
      <c r="AG14" s="3341"/>
      <c r="AH14" s="3341"/>
      <c r="AI14" s="3349">
        <f t="shared" si="28"/>
        <v>0</v>
      </c>
      <c r="AJ14" s="4428" t="e">
        <f t="shared" si="44"/>
        <v>#DIV/0!</v>
      </c>
      <c r="AK14" s="1055"/>
      <c r="AL14" s="3341"/>
      <c r="AM14" s="3341"/>
      <c r="AN14" s="3349">
        <f t="shared" si="29"/>
        <v>0</v>
      </c>
      <c r="AO14" s="4428" t="e">
        <f t="shared" si="45"/>
        <v>#DIV/0!</v>
      </c>
      <c r="AP14" s="1055"/>
      <c r="AQ14" s="3341"/>
      <c r="AR14" s="3341"/>
      <c r="AS14" s="3349">
        <f t="shared" si="30"/>
        <v>0</v>
      </c>
      <c r="AT14" s="4428" t="e">
        <f t="shared" si="46"/>
        <v>#DIV/0!</v>
      </c>
      <c r="AU14" s="1055"/>
      <c r="AV14" s="3341"/>
      <c r="AW14" s="3341"/>
      <c r="AX14" s="3349">
        <f t="shared" si="31"/>
        <v>0</v>
      </c>
      <c r="AY14" s="4428">
        <f t="shared" si="47"/>
        <v>0</v>
      </c>
      <c r="AZ14" s="1055"/>
      <c r="BA14" s="3341"/>
      <c r="BB14" s="3341"/>
      <c r="BC14" s="3349">
        <f t="shared" si="32"/>
        <v>0</v>
      </c>
      <c r="BD14" s="4428" t="e">
        <f t="shared" si="48"/>
        <v>#DIV/0!</v>
      </c>
      <c r="BE14" s="1055"/>
      <c r="BF14" s="3341"/>
      <c r="BG14" s="3341"/>
      <c r="BH14" s="3349">
        <f t="shared" si="33"/>
        <v>0</v>
      </c>
      <c r="BI14" s="4428" t="e">
        <f t="shared" si="49"/>
        <v>#DIV/0!</v>
      </c>
      <c r="BJ14" s="1055"/>
      <c r="BK14" s="3341"/>
      <c r="BL14" s="3341"/>
      <c r="BM14" s="3349">
        <f t="shared" si="34"/>
        <v>0</v>
      </c>
      <c r="BN14" s="4428" t="e">
        <f t="shared" si="50"/>
        <v>#DIV/0!</v>
      </c>
      <c r="BO14" s="1055"/>
      <c r="BP14" s="3341"/>
      <c r="BQ14" s="3341"/>
      <c r="BR14" s="3349">
        <f t="shared" si="35"/>
        <v>0</v>
      </c>
      <c r="BS14" s="4428" t="e">
        <f t="shared" si="51"/>
        <v>#DIV/0!</v>
      </c>
      <c r="BT14" s="1055"/>
      <c r="BU14" s="3341"/>
      <c r="BV14" s="3341"/>
      <c r="BW14" s="3349">
        <f t="shared" si="36"/>
        <v>0</v>
      </c>
      <c r="BX14" s="4428" t="e">
        <f t="shared" si="52"/>
        <v>#DIV/0!</v>
      </c>
      <c r="BY14" s="1055"/>
      <c r="BZ14" s="3341"/>
      <c r="CA14" s="3341"/>
      <c r="CB14" s="3349">
        <f t="shared" si="37"/>
        <v>0</v>
      </c>
      <c r="CC14" s="4428" t="e">
        <f t="shared" si="53"/>
        <v>#DIV/0!</v>
      </c>
      <c r="CD14" s="1055"/>
      <c r="CE14" s="3341"/>
      <c r="CF14" s="3341"/>
      <c r="CG14" s="3349">
        <f t="shared" si="38"/>
        <v>0</v>
      </c>
      <c r="CH14" s="4428" t="e">
        <f t="shared" si="54"/>
        <v>#DIV/0!</v>
      </c>
      <c r="CI14" s="1055"/>
      <c r="CJ14" s="3341">
        <f t="shared" si="39"/>
        <v>0</v>
      </c>
      <c r="CK14" s="3341">
        <f t="shared" si="39"/>
        <v>0</v>
      </c>
      <c r="CL14" s="3349">
        <f t="shared" si="55"/>
        <v>0</v>
      </c>
      <c r="CM14" s="4428">
        <f t="shared" si="40"/>
        <v>0</v>
      </c>
      <c r="CN14" s="1434"/>
      <c r="CP14" s="4615"/>
      <c r="CQ14" s="2012">
        <f t="shared" si="41"/>
        <v>0</v>
      </c>
      <c r="CR14" s="4614">
        <f t="shared" si="56"/>
        <v>0</v>
      </c>
      <c r="CT14" s="2624"/>
    </row>
    <row r="15" spans="1:99" s="1396" customFormat="1" ht="13.8" outlineLevel="2">
      <c r="A15" s="1571"/>
      <c r="B15" s="4430" t="s">
        <v>20</v>
      </c>
      <c r="C15" s="3341"/>
      <c r="D15" s="3341"/>
      <c r="E15" s="3349">
        <f t="shared" si="19"/>
        <v>0</v>
      </c>
      <c r="F15" s="4428" t="e">
        <f t="shared" si="16"/>
        <v>#DIV/0!</v>
      </c>
      <c r="G15" s="1055"/>
      <c r="H15" s="3341"/>
      <c r="I15" s="3341"/>
      <c r="J15" s="3349">
        <f t="shared" si="20"/>
        <v>0</v>
      </c>
      <c r="K15" s="4428" t="e">
        <f t="shared" si="42"/>
        <v>#DIV/0!</v>
      </c>
      <c r="L15" s="1055"/>
      <c r="M15" s="3341"/>
      <c r="N15" s="3341"/>
      <c r="O15" s="3349">
        <f t="shared" si="21"/>
        <v>0</v>
      </c>
      <c r="P15" s="4428" t="e">
        <f t="shared" si="22"/>
        <v>#DIV/0!</v>
      </c>
      <c r="Q15" s="1055"/>
      <c r="R15" s="3342">
        <f t="shared" si="23"/>
        <v>0</v>
      </c>
      <c r="S15" s="3342">
        <f t="shared" si="23"/>
        <v>0</v>
      </c>
      <c r="T15" s="2012">
        <f t="shared" si="24"/>
        <v>0</v>
      </c>
      <c r="U15" s="1055"/>
      <c r="V15" s="1055"/>
      <c r="W15" s="3342">
        <f t="shared" si="25"/>
        <v>0</v>
      </c>
      <c r="X15" s="3342">
        <f t="shared" si="25"/>
        <v>0</v>
      </c>
      <c r="Y15" s="2012">
        <f t="shared" si="26"/>
        <v>0</v>
      </c>
      <c r="Z15" s="1055"/>
      <c r="AA15" s="1055"/>
      <c r="AB15" s="3341"/>
      <c r="AC15" s="3341"/>
      <c r="AD15" s="3349">
        <f t="shared" si="27"/>
        <v>0</v>
      </c>
      <c r="AE15" s="4428" t="e">
        <f t="shared" si="43"/>
        <v>#DIV/0!</v>
      </c>
      <c r="AF15" s="1055"/>
      <c r="AG15" s="3341"/>
      <c r="AH15" s="3341"/>
      <c r="AI15" s="3349">
        <f t="shared" si="28"/>
        <v>0</v>
      </c>
      <c r="AJ15" s="4428" t="e">
        <f t="shared" si="44"/>
        <v>#DIV/0!</v>
      </c>
      <c r="AK15" s="1055"/>
      <c r="AL15" s="3341"/>
      <c r="AM15" s="3341"/>
      <c r="AN15" s="3349">
        <f t="shared" si="29"/>
        <v>0</v>
      </c>
      <c r="AO15" s="4428" t="e">
        <f t="shared" si="45"/>
        <v>#DIV/0!</v>
      </c>
      <c r="AP15" s="1055"/>
      <c r="AQ15" s="3341"/>
      <c r="AR15" s="3341"/>
      <c r="AS15" s="3349">
        <f t="shared" si="30"/>
        <v>0</v>
      </c>
      <c r="AT15" s="4428" t="e">
        <f t="shared" si="46"/>
        <v>#DIV/0!</v>
      </c>
      <c r="AU15" s="1055"/>
      <c r="AV15" s="3341"/>
      <c r="AW15" s="3341"/>
      <c r="AX15" s="3349">
        <f t="shared" si="31"/>
        <v>0</v>
      </c>
      <c r="AY15" s="4428">
        <f t="shared" si="47"/>
        <v>0</v>
      </c>
      <c r="AZ15" s="1055"/>
      <c r="BA15" s="3341"/>
      <c r="BB15" s="3341"/>
      <c r="BC15" s="3349">
        <f t="shared" si="32"/>
        <v>0</v>
      </c>
      <c r="BD15" s="4428" t="e">
        <f t="shared" si="48"/>
        <v>#DIV/0!</v>
      </c>
      <c r="BE15" s="1055"/>
      <c r="BF15" s="3341"/>
      <c r="BG15" s="3341"/>
      <c r="BH15" s="3349">
        <f t="shared" si="33"/>
        <v>0</v>
      </c>
      <c r="BI15" s="4428" t="e">
        <f t="shared" si="49"/>
        <v>#DIV/0!</v>
      </c>
      <c r="BJ15" s="1055"/>
      <c r="BK15" s="3341"/>
      <c r="BL15" s="3341"/>
      <c r="BM15" s="3349">
        <f t="shared" si="34"/>
        <v>0</v>
      </c>
      <c r="BN15" s="4428" t="e">
        <f t="shared" si="50"/>
        <v>#DIV/0!</v>
      </c>
      <c r="BO15" s="1055"/>
      <c r="BP15" s="3341"/>
      <c r="BQ15" s="3341"/>
      <c r="BR15" s="3349">
        <f t="shared" si="35"/>
        <v>0</v>
      </c>
      <c r="BS15" s="4428" t="e">
        <f t="shared" si="51"/>
        <v>#DIV/0!</v>
      </c>
      <c r="BT15" s="1055"/>
      <c r="BU15" s="3341"/>
      <c r="BV15" s="3341"/>
      <c r="BW15" s="3349">
        <f t="shared" si="36"/>
        <v>0</v>
      </c>
      <c r="BX15" s="4428" t="e">
        <f t="shared" si="52"/>
        <v>#DIV/0!</v>
      </c>
      <c r="BY15" s="1055"/>
      <c r="BZ15" s="3341"/>
      <c r="CA15" s="3341"/>
      <c r="CB15" s="3349">
        <f t="shared" si="37"/>
        <v>0</v>
      </c>
      <c r="CC15" s="4428" t="e">
        <f t="shared" si="53"/>
        <v>#DIV/0!</v>
      </c>
      <c r="CD15" s="1055"/>
      <c r="CE15" s="3341"/>
      <c r="CF15" s="3341"/>
      <c r="CG15" s="3349">
        <f t="shared" si="38"/>
        <v>0</v>
      </c>
      <c r="CH15" s="4428" t="e">
        <f t="shared" si="54"/>
        <v>#DIV/0!</v>
      </c>
      <c r="CI15" s="1055"/>
      <c r="CJ15" s="3341">
        <f t="shared" si="39"/>
        <v>0</v>
      </c>
      <c r="CK15" s="3341">
        <f t="shared" si="39"/>
        <v>0</v>
      </c>
      <c r="CL15" s="3349">
        <f t="shared" si="55"/>
        <v>0</v>
      </c>
      <c r="CM15" s="4428">
        <f t="shared" si="40"/>
        <v>0</v>
      </c>
      <c r="CN15" s="1434"/>
      <c r="CP15" s="4615"/>
      <c r="CQ15" s="2012">
        <f t="shared" si="41"/>
        <v>0</v>
      </c>
      <c r="CR15" s="4614">
        <f t="shared" si="56"/>
        <v>0</v>
      </c>
      <c r="CT15" s="2624"/>
    </row>
    <row r="16" spans="1:99" s="1396" customFormat="1" ht="13.8" outlineLevel="2">
      <c r="A16" s="1571"/>
      <c r="B16" s="4430" t="s">
        <v>21</v>
      </c>
      <c r="C16" s="3341"/>
      <c r="D16" s="3341"/>
      <c r="E16" s="3349">
        <f t="shared" si="19"/>
        <v>0</v>
      </c>
      <c r="F16" s="4428" t="e">
        <f t="shared" si="16"/>
        <v>#DIV/0!</v>
      </c>
      <c r="G16" s="1055"/>
      <c r="H16" s="3341"/>
      <c r="I16" s="3341"/>
      <c r="J16" s="3349">
        <f t="shared" si="20"/>
        <v>0</v>
      </c>
      <c r="K16" s="4428" t="e">
        <f t="shared" si="42"/>
        <v>#DIV/0!</v>
      </c>
      <c r="L16" s="1055"/>
      <c r="M16" s="3341"/>
      <c r="N16" s="3341"/>
      <c r="O16" s="3349">
        <f t="shared" si="21"/>
        <v>0</v>
      </c>
      <c r="P16" s="4428" t="e">
        <f t="shared" si="22"/>
        <v>#DIV/0!</v>
      </c>
      <c r="Q16" s="1055"/>
      <c r="R16" s="3342">
        <f t="shared" si="23"/>
        <v>0</v>
      </c>
      <c r="S16" s="3342">
        <f t="shared" si="23"/>
        <v>0</v>
      </c>
      <c r="T16" s="2012">
        <f t="shared" si="24"/>
        <v>0</v>
      </c>
      <c r="U16" s="1055"/>
      <c r="V16" s="1055"/>
      <c r="W16" s="3342">
        <f t="shared" si="25"/>
        <v>0</v>
      </c>
      <c r="X16" s="3342">
        <f t="shared" si="25"/>
        <v>0</v>
      </c>
      <c r="Y16" s="2012">
        <f t="shared" si="26"/>
        <v>0</v>
      </c>
      <c r="Z16" s="1055"/>
      <c r="AA16" s="1055"/>
      <c r="AB16" s="3341"/>
      <c r="AC16" s="3341"/>
      <c r="AD16" s="3349">
        <f t="shared" si="27"/>
        <v>0</v>
      </c>
      <c r="AE16" s="4428" t="e">
        <f t="shared" si="43"/>
        <v>#DIV/0!</v>
      </c>
      <c r="AF16" s="1055"/>
      <c r="AG16" s="3341"/>
      <c r="AH16" s="3341"/>
      <c r="AI16" s="3349">
        <f t="shared" si="28"/>
        <v>0</v>
      </c>
      <c r="AJ16" s="4428" t="e">
        <f t="shared" si="44"/>
        <v>#DIV/0!</v>
      </c>
      <c r="AK16" s="1055"/>
      <c r="AL16" s="3341"/>
      <c r="AM16" s="3341"/>
      <c r="AN16" s="3349">
        <f t="shared" si="29"/>
        <v>0</v>
      </c>
      <c r="AO16" s="4428" t="e">
        <f t="shared" si="45"/>
        <v>#DIV/0!</v>
      </c>
      <c r="AP16" s="1055"/>
      <c r="AQ16" s="3341"/>
      <c r="AR16" s="3341"/>
      <c r="AS16" s="3349">
        <f t="shared" si="30"/>
        <v>0</v>
      </c>
      <c r="AT16" s="4428" t="e">
        <f t="shared" si="46"/>
        <v>#DIV/0!</v>
      </c>
      <c r="AU16" s="1055"/>
      <c r="AV16" s="3341"/>
      <c r="AW16" s="3341"/>
      <c r="AX16" s="3349">
        <f t="shared" si="31"/>
        <v>0</v>
      </c>
      <c r="AY16" s="4428">
        <f t="shared" si="47"/>
        <v>0</v>
      </c>
      <c r="AZ16" s="1055"/>
      <c r="BA16" s="3341"/>
      <c r="BB16" s="3341"/>
      <c r="BC16" s="3349">
        <f t="shared" si="32"/>
        <v>0</v>
      </c>
      <c r="BD16" s="4428" t="e">
        <f t="shared" si="48"/>
        <v>#DIV/0!</v>
      </c>
      <c r="BE16" s="1055"/>
      <c r="BF16" s="3341"/>
      <c r="BG16" s="3341"/>
      <c r="BH16" s="3349">
        <f t="shared" si="33"/>
        <v>0</v>
      </c>
      <c r="BI16" s="4428" t="e">
        <f t="shared" si="49"/>
        <v>#DIV/0!</v>
      </c>
      <c r="BJ16" s="1055"/>
      <c r="BK16" s="3341"/>
      <c r="BL16" s="3341"/>
      <c r="BM16" s="3349">
        <f t="shared" si="34"/>
        <v>0</v>
      </c>
      <c r="BN16" s="4428" t="e">
        <f t="shared" si="50"/>
        <v>#DIV/0!</v>
      </c>
      <c r="BO16" s="1055"/>
      <c r="BP16" s="3341"/>
      <c r="BQ16" s="3341"/>
      <c r="BR16" s="3349">
        <f t="shared" si="35"/>
        <v>0</v>
      </c>
      <c r="BS16" s="4428" t="e">
        <f t="shared" si="51"/>
        <v>#DIV/0!</v>
      </c>
      <c r="BT16" s="1055"/>
      <c r="BU16" s="3341"/>
      <c r="BV16" s="3341"/>
      <c r="BW16" s="3349">
        <f t="shared" si="36"/>
        <v>0</v>
      </c>
      <c r="BX16" s="4428" t="e">
        <f t="shared" si="52"/>
        <v>#DIV/0!</v>
      </c>
      <c r="BY16" s="1055"/>
      <c r="BZ16" s="3341"/>
      <c r="CA16" s="3341"/>
      <c r="CB16" s="3349">
        <f t="shared" si="37"/>
        <v>0</v>
      </c>
      <c r="CC16" s="4428" t="e">
        <f t="shared" si="53"/>
        <v>#DIV/0!</v>
      </c>
      <c r="CD16" s="1055"/>
      <c r="CE16" s="3341"/>
      <c r="CF16" s="3341"/>
      <c r="CG16" s="3349">
        <f t="shared" si="38"/>
        <v>0</v>
      </c>
      <c r="CH16" s="4428" t="e">
        <f t="shared" si="54"/>
        <v>#DIV/0!</v>
      </c>
      <c r="CI16" s="1055"/>
      <c r="CJ16" s="3341">
        <f t="shared" si="39"/>
        <v>0</v>
      </c>
      <c r="CK16" s="3341">
        <f t="shared" si="39"/>
        <v>0</v>
      </c>
      <c r="CL16" s="3349">
        <f>CJ16+CK16*1</f>
        <v>0</v>
      </c>
      <c r="CM16" s="4428">
        <f t="shared" si="40"/>
        <v>0</v>
      </c>
      <c r="CN16" s="1434"/>
      <c r="CP16" s="4615"/>
      <c r="CQ16" s="2012">
        <f t="shared" si="41"/>
        <v>0</v>
      </c>
      <c r="CR16" s="4614">
        <f t="shared" si="56"/>
        <v>0</v>
      </c>
      <c r="CT16" s="2624"/>
    </row>
    <row r="17" spans="1:100" s="1396" customFormat="1" ht="13.8" outlineLevel="2">
      <c r="A17" s="1571"/>
      <c r="B17" s="4430" t="s">
        <v>22</v>
      </c>
      <c r="C17" s="3341"/>
      <c r="D17" s="3341"/>
      <c r="E17" s="3349">
        <f t="shared" si="19"/>
        <v>0</v>
      </c>
      <c r="F17" s="4428" t="e">
        <f t="shared" si="16"/>
        <v>#DIV/0!</v>
      </c>
      <c r="G17" s="2047"/>
      <c r="H17" s="3341"/>
      <c r="I17" s="3341"/>
      <c r="J17" s="3349">
        <f t="shared" si="20"/>
        <v>0</v>
      </c>
      <c r="K17" s="4428" t="e">
        <f t="shared" si="42"/>
        <v>#DIV/0!</v>
      </c>
      <c r="L17" s="2047"/>
      <c r="M17" s="3341"/>
      <c r="N17" s="3341"/>
      <c r="O17" s="3349">
        <f t="shared" si="21"/>
        <v>0</v>
      </c>
      <c r="P17" s="4428" t="e">
        <f t="shared" si="22"/>
        <v>#DIV/0!</v>
      </c>
      <c r="Q17" s="2047"/>
      <c r="R17" s="3342">
        <f t="shared" si="23"/>
        <v>0</v>
      </c>
      <c r="S17" s="3342">
        <f t="shared" si="23"/>
        <v>0</v>
      </c>
      <c r="T17" s="2012">
        <f t="shared" si="24"/>
        <v>0</v>
      </c>
      <c r="U17" s="2047"/>
      <c r="V17" s="2047"/>
      <c r="W17" s="3342">
        <f t="shared" si="25"/>
        <v>0</v>
      </c>
      <c r="X17" s="3342">
        <f t="shared" si="25"/>
        <v>0</v>
      </c>
      <c r="Y17" s="2012">
        <f t="shared" si="26"/>
        <v>0</v>
      </c>
      <c r="Z17" s="2047"/>
      <c r="AA17" s="2047"/>
      <c r="AB17" s="3341"/>
      <c r="AC17" s="3341"/>
      <c r="AD17" s="3349">
        <f t="shared" si="27"/>
        <v>0</v>
      </c>
      <c r="AE17" s="4428" t="e">
        <f t="shared" si="43"/>
        <v>#DIV/0!</v>
      </c>
      <c r="AF17" s="2047"/>
      <c r="AG17" s="3341"/>
      <c r="AH17" s="3341"/>
      <c r="AI17" s="3349">
        <f t="shared" si="28"/>
        <v>0</v>
      </c>
      <c r="AJ17" s="4428" t="e">
        <f t="shared" si="44"/>
        <v>#DIV/0!</v>
      </c>
      <c r="AK17" s="2047"/>
      <c r="AL17" s="3341"/>
      <c r="AM17" s="3341"/>
      <c r="AN17" s="3349">
        <f t="shared" si="29"/>
        <v>0</v>
      </c>
      <c r="AO17" s="4428" t="e">
        <f t="shared" si="45"/>
        <v>#DIV/0!</v>
      </c>
      <c r="AP17" s="2047"/>
      <c r="AQ17" s="3341"/>
      <c r="AR17" s="3341"/>
      <c r="AS17" s="3349">
        <f t="shared" si="30"/>
        <v>0</v>
      </c>
      <c r="AT17" s="4428" t="e">
        <f t="shared" si="46"/>
        <v>#DIV/0!</v>
      </c>
      <c r="AU17" s="2047"/>
      <c r="AV17" s="3341"/>
      <c r="AW17" s="3341"/>
      <c r="AX17" s="3349">
        <f t="shared" si="31"/>
        <v>0</v>
      </c>
      <c r="AY17" s="4428">
        <f t="shared" si="47"/>
        <v>0</v>
      </c>
      <c r="AZ17" s="2047"/>
      <c r="BA17" s="3341"/>
      <c r="BB17" s="3341"/>
      <c r="BC17" s="3349">
        <f t="shared" si="32"/>
        <v>0</v>
      </c>
      <c r="BD17" s="4428" t="e">
        <f t="shared" si="48"/>
        <v>#DIV/0!</v>
      </c>
      <c r="BE17" s="2047"/>
      <c r="BF17" s="3341"/>
      <c r="BG17" s="3341"/>
      <c r="BH17" s="3349">
        <f t="shared" si="33"/>
        <v>0</v>
      </c>
      <c r="BI17" s="4428" t="e">
        <f t="shared" si="49"/>
        <v>#DIV/0!</v>
      </c>
      <c r="BJ17" s="2047"/>
      <c r="BK17" s="3341"/>
      <c r="BL17" s="3341"/>
      <c r="BM17" s="3349">
        <f t="shared" si="34"/>
        <v>0</v>
      </c>
      <c r="BN17" s="4428" t="e">
        <f t="shared" si="50"/>
        <v>#DIV/0!</v>
      </c>
      <c r="BO17" s="2047"/>
      <c r="BP17" s="3341"/>
      <c r="BQ17" s="3341"/>
      <c r="BR17" s="3349">
        <f t="shared" si="35"/>
        <v>0</v>
      </c>
      <c r="BS17" s="4428" t="e">
        <f t="shared" si="51"/>
        <v>#DIV/0!</v>
      </c>
      <c r="BT17" s="2047"/>
      <c r="BU17" s="3341"/>
      <c r="BV17" s="3341"/>
      <c r="BW17" s="3349">
        <f t="shared" si="36"/>
        <v>0</v>
      </c>
      <c r="BX17" s="4428" t="e">
        <f t="shared" si="52"/>
        <v>#DIV/0!</v>
      </c>
      <c r="BY17" s="2047"/>
      <c r="BZ17" s="3341"/>
      <c r="CA17" s="3341"/>
      <c r="CB17" s="3349">
        <f t="shared" si="37"/>
        <v>0</v>
      </c>
      <c r="CC17" s="4428" t="e">
        <f t="shared" si="53"/>
        <v>#DIV/0!</v>
      </c>
      <c r="CD17" s="2047"/>
      <c r="CE17" s="3341"/>
      <c r="CF17" s="3341"/>
      <c r="CG17" s="3349">
        <f t="shared" si="38"/>
        <v>0</v>
      </c>
      <c r="CH17" s="4428" t="e">
        <f t="shared" si="54"/>
        <v>#DIV/0!</v>
      </c>
      <c r="CI17" s="2047"/>
      <c r="CJ17" s="3341">
        <f t="shared" si="39"/>
        <v>0</v>
      </c>
      <c r="CK17" s="3341">
        <f t="shared" si="39"/>
        <v>0</v>
      </c>
      <c r="CL17" s="3349">
        <f t="shared" si="55"/>
        <v>0</v>
      </c>
      <c r="CM17" s="4428">
        <f t="shared" si="40"/>
        <v>0</v>
      </c>
      <c r="CN17" s="1434"/>
      <c r="CP17" s="4615"/>
      <c r="CQ17" s="2012">
        <f t="shared" si="41"/>
        <v>0</v>
      </c>
      <c r="CR17" s="4614">
        <f t="shared" si="56"/>
        <v>0</v>
      </c>
      <c r="CS17" s="3307"/>
      <c r="CT17" s="3443"/>
    </row>
    <row r="18" spans="1:100" s="1396" customFormat="1" ht="13.8" outlineLevel="2">
      <c r="A18" s="1571"/>
      <c r="B18" s="4430" t="s">
        <v>0</v>
      </c>
      <c r="C18" s="3341"/>
      <c r="D18" s="3341"/>
      <c r="E18" s="3349">
        <f t="shared" si="19"/>
        <v>0</v>
      </c>
      <c r="F18" s="4428" t="e">
        <f t="shared" si="16"/>
        <v>#DIV/0!</v>
      </c>
      <c r="G18" s="1055"/>
      <c r="H18" s="3341"/>
      <c r="I18" s="3341"/>
      <c r="J18" s="3349">
        <f t="shared" si="20"/>
        <v>0</v>
      </c>
      <c r="K18" s="4428" t="e">
        <f t="shared" si="42"/>
        <v>#DIV/0!</v>
      </c>
      <c r="L18" s="1055"/>
      <c r="M18" s="3341"/>
      <c r="N18" s="3341"/>
      <c r="O18" s="3349">
        <f t="shared" si="21"/>
        <v>0</v>
      </c>
      <c r="P18" s="4428" t="e">
        <f t="shared" si="22"/>
        <v>#DIV/0!</v>
      </c>
      <c r="Q18" s="1055"/>
      <c r="R18" s="3342">
        <f t="shared" si="23"/>
        <v>0</v>
      </c>
      <c r="S18" s="3342">
        <f t="shared" si="23"/>
        <v>0</v>
      </c>
      <c r="T18" s="2012">
        <f t="shared" si="24"/>
        <v>0</v>
      </c>
      <c r="U18" s="1055"/>
      <c r="V18" s="1055"/>
      <c r="W18" s="3342">
        <f t="shared" si="25"/>
        <v>0</v>
      </c>
      <c r="X18" s="3342">
        <f t="shared" si="25"/>
        <v>0</v>
      </c>
      <c r="Y18" s="2012">
        <f t="shared" si="26"/>
        <v>0</v>
      </c>
      <c r="Z18" s="1055"/>
      <c r="AA18" s="1055"/>
      <c r="AB18" s="3341"/>
      <c r="AC18" s="3341"/>
      <c r="AD18" s="3349">
        <f t="shared" si="27"/>
        <v>0</v>
      </c>
      <c r="AE18" s="4428" t="e">
        <f t="shared" si="43"/>
        <v>#DIV/0!</v>
      </c>
      <c r="AF18" s="1055"/>
      <c r="AG18" s="3341"/>
      <c r="AH18" s="3341"/>
      <c r="AI18" s="3349">
        <f t="shared" si="28"/>
        <v>0</v>
      </c>
      <c r="AJ18" s="4428" t="e">
        <f t="shared" si="44"/>
        <v>#DIV/0!</v>
      </c>
      <c r="AK18" s="1055"/>
      <c r="AL18" s="3341"/>
      <c r="AM18" s="3341"/>
      <c r="AN18" s="3349">
        <f t="shared" si="29"/>
        <v>0</v>
      </c>
      <c r="AO18" s="4428" t="e">
        <f t="shared" si="45"/>
        <v>#DIV/0!</v>
      </c>
      <c r="AP18" s="1055"/>
      <c r="AQ18" s="3341"/>
      <c r="AR18" s="3341"/>
      <c r="AS18" s="3349">
        <f t="shared" si="30"/>
        <v>0</v>
      </c>
      <c r="AT18" s="4428" t="e">
        <f t="shared" si="46"/>
        <v>#DIV/0!</v>
      </c>
      <c r="AU18" s="1055"/>
      <c r="AV18" s="3341"/>
      <c r="AW18" s="3341"/>
      <c r="AX18" s="3349">
        <f t="shared" si="31"/>
        <v>0</v>
      </c>
      <c r="AY18" s="4428">
        <f t="shared" si="47"/>
        <v>0</v>
      </c>
      <c r="AZ18" s="1055"/>
      <c r="BA18" s="3341"/>
      <c r="BB18" s="3341"/>
      <c r="BC18" s="3349">
        <f t="shared" si="32"/>
        <v>0</v>
      </c>
      <c r="BD18" s="4428" t="e">
        <f t="shared" si="48"/>
        <v>#DIV/0!</v>
      </c>
      <c r="BE18" s="1055"/>
      <c r="BF18" s="3341"/>
      <c r="BG18" s="3341"/>
      <c r="BH18" s="3349">
        <f t="shared" si="33"/>
        <v>0</v>
      </c>
      <c r="BI18" s="4428" t="e">
        <f t="shared" si="49"/>
        <v>#DIV/0!</v>
      </c>
      <c r="BJ18" s="1055"/>
      <c r="BK18" s="3341"/>
      <c r="BL18" s="3341"/>
      <c r="BM18" s="3349">
        <f t="shared" si="34"/>
        <v>0</v>
      </c>
      <c r="BN18" s="4428" t="e">
        <f t="shared" si="50"/>
        <v>#DIV/0!</v>
      </c>
      <c r="BO18" s="1055"/>
      <c r="BP18" s="3341"/>
      <c r="BQ18" s="3341"/>
      <c r="BR18" s="3349">
        <f t="shared" si="35"/>
        <v>0</v>
      </c>
      <c r="BS18" s="4428" t="e">
        <f t="shared" si="51"/>
        <v>#DIV/0!</v>
      </c>
      <c r="BT18" s="1055"/>
      <c r="BU18" s="3341"/>
      <c r="BV18" s="3341"/>
      <c r="BW18" s="3349">
        <f t="shared" si="36"/>
        <v>0</v>
      </c>
      <c r="BX18" s="4428" t="e">
        <f t="shared" si="52"/>
        <v>#DIV/0!</v>
      </c>
      <c r="BY18" s="1055"/>
      <c r="BZ18" s="3341"/>
      <c r="CA18" s="3341"/>
      <c r="CB18" s="3349">
        <f t="shared" si="37"/>
        <v>0</v>
      </c>
      <c r="CC18" s="4428" t="e">
        <f t="shared" si="53"/>
        <v>#DIV/0!</v>
      </c>
      <c r="CD18" s="1055"/>
      <c r="CE18" s="3341"/>
      <c r="CF18" s="3341"/>
      <c r="CG18" s="3349">
        <f t="shared" si="38"/>
        <v>0</v>
      </c>
      <c r="CH18" s="4428" t="e">
        <f t="shared" si="54"/>
        <v>#DIV/0!</v>
      </c>
      <c r="CI18" s="1055"/>
      <c r="CJ18" s="3341">
        <f t="shared" si="39"/>
        <v>0</v>
      </c>
      <c r="CK18" s="3341">
        <f t="shared" si="39"/>
        <v>0</v>
      </c>
      <c r="CL18" s="3349">
        <f t="shared" si="55"/>
        <v>0</v>
      </c>
      <c r="CM18" s="4428">
        <f t="shared" si="40"/>
        <v>0</v>
      </c>
      <c r="CN18" s="1434"/>
      <c r="CP18" s="4615">
        <v>20000</v>
      </c>
      <c r="CQ18" s="2012">
        <f t="shared" si="41"/>
        <v>0</v>
      </c>
      <c r="CR18" s="4614">
        <f t="shared" si="56"/>
        <v>20000</v>
      </c>
      <c r="CS18" s="3307"/>
      <c r="CT18" s="2624"/>
    </row>
    <row r="19" spans="1:100" s="1396" customFormat="1" ht="13.8" outlineLevel="2">
      <c r="A19" s="1571"/>
      <c r="B19" s="4430" t="s">
        <v>53</v>
      </c>
      <c r="C19" s="3341"/>
      <c r="D19" s="3341"/>
      <c r="E19" s="3349">
        <f t="shared" si="19"/>
        <v>0</v>
      </c>
      <c r="F19" s="4428" t="e">
        <f t="shared" si="16"/>
        <v>#DIV/0!</v>
      </c>
      <c r="G19" s="1055"/>
      <c r="H19" s="3341"/>
      <c r="I19" s="3341"/>
      <c r="J19" s="3349">
        <f t="shared" si="20"/>
        <v>0</v>
      </c>
      <c r="K19" s="4428" t="e">
        <f t="shared" si="42"/>
        <v>#DIV/0!</v>
      </c>
      <c r="L19" s="1055"/>
      <c r="M19" s="3341"/>
      <c r="N19" s="3341"/>
      <c r="O19" s="3349">
        <f t="shared" si="21"/>
        <v>0</v>
      </c>
      <c r="P19" s="4428" t="e">
        <f t="shared" si="22"/>
        <v>#DIV/0!</v>
      </c>
      <c r="Q19" s="1055"/>
      <c r="R19" s="3342">
        <f t="shared" si="23"/>
        <v>0</v>
      </c>
      <c r="S19" s="3342">
        <f t="shared" si="23"/>
        <v>0</v>
      </c>
      <c r="T19" s="2012">
        <f t="shared" si="24"/>
        <v>0</v>
      </c>
      <c r="U19" s="1055"/>
      <c r="V19" s="1055"/>
      <c r="W19" s="3342">
        <f t="shared" si="25"/>
        <v>0</v>
      </c>
      <c r="X19" s="3342">
        <f t="shared" si="25"/>
        <v>0</v>
      </c>
      <c r="Y19" s="2012">
        <f t="shared" si="26"/>
        <v>0</v>
      </c>
      <c r="Z19" s="1055"/>
      <c r="AA19" s="1055"/>
      <c r="AB19" s="3341"/>
      <c r="AC19" s="3341"/>
      <c r="AD19" s="3349">
        <f t="shared" si="27"/>
        <v>0</v>
      </c>
      <c r="AE19" s="4428" t="e">
        <f t="shared" si="43"/>
        <v>#DIV/0!</v>
      </c>
      <c r="AF19" s="1055"/>
      <c r="AG19" s="3341"/>
      <c r="AH19" s="3341"/>
      <c r="AI19" s="3349">
        <f t="shared" si="28"/>
        <v>0</v>
      </c>
      <c r="AJ19" s="4428" t="e">
        <f t="shared" si="44"/>
        <v>#DIV/0!</v>
      </c>
      <c r="AK19" s="1055"/>
      <c r="AL19" s="3341"/>
      <c r="AM19" s="3341"/>
      <c r="AN19" s="3349">
        <f t="shared" si="29"/>
        <v>0</v>
      </c>
      <c r="AO19" s="4428" t="e">
        <f t="shared" si="45"/>
        <v>#DIV/0!</v>
      </c>
      <c r="AP19" s="1055"/>
      <c r="AQ19" s="3341"/>
      <c r="AR19" s="3341"/>
      <c r="AS19" s="3349">
        <f t="shared" si="30"/>
        <v>0</v>
      </c>
      <c r="AT19" s="4428" t="e">
        <f t="shared" si="46"/>
        <v>#DIV/0!</v>
      </c>
      <c r="AU19" s="1055"/>
      <c r="AV19" s="3341"/>
      <c r="AW19" s="3341"/>
      <c r="AX19" s="3349">
        <f t="shared" si="31"/>
        <v>0</v>
      </c>
      <c r="AY19" s="4428">
        <f t="shared" si="47"/>
        <v>0</v>
      </c>
      <c r="AZ19" s="1055"/>
      <c r="BA19" s="3341"/>
      <c r="BB19" s="3341"/>
      <c r="BC19" s="3349">
        <f t="shared" si="32"/>
        <v>0</v>
      </c>
      <c r="BD19" s="4428" t="e">
        <f t="shared" si="48"/>
        <v>#DIV/0!</v>
      </c>
      <c r="BE19" s="1055"/>
      <c r="BF19" s="3341"/>
      <c r="BG19" s="3341"/>
      <c r="BH19" s="3349">
        <f t="shared" si="33"/>
        <v>0</v>
      </c>
      <c r="BI19" s="4428" t="e">
        <f t="shared" si="49"/>
        <v>#DIV/0!</v>
      </c>
      <c r="BJ19" s="1055"/>
      <c r="BK19" s="3341"/>
      <c r="BL19" s="3341"/>
      <c r="BM19" s="3349">
        <f t="shared" si="34"/>
        <v>0</v>
      </c>
      <c r="BN19" s="4428" t="e">
        <f t="shared" si="50"/>
        <v>#DIV/0!</v>
      </c>
      <c r="BO19" s="1055"/>
      <c r="BP19" s="3341"/>
      <c r="BQ19" s="3341"/>
      <c r="BR19" s="3349">
        <f t="shared" si="35"/>
        <v>0</v>
      </c>
      <c r="BS19" s="4428" t="e">
        <f t="shared" si="51"/>
        <v>#DIV/0!</v>
      </c>
      <c r="BT19" s="1055"/>
      <c r="BU19" s="3341"/>
      <c r="BV19" s="3341"/>
      <c r="BW19" s="3349">
        <f t="shared" si="36"/>
        <v>0</v>
      </c>
      <c r="BX19" s="4428" t="e">
        <f t="shared" si="52"/>
        <v>#DIV/0!</v>
      </c>
      <c r="BY19" s="1055"/>
      <c r="BZ19" s="3341"/>
      <c r="CA19" s="3341"/>
      <c r="CB19" s="3349">
        <f t="shared" si="37"/>
        <v>0</v>
      </c>
      <c r="CC19" s="4428" t="e">
        <f t="shared" si="53"/>
        <v>#DIV/0!</v>
      </c>
      <c r="CD19" s="1055"/>
      <c r="CE19" s="3341"/>
      <c r="CF19" s="3341"/>
      <c r="CG19" s="3349">
        <f t="shared" si="38"/>
        <v>0</v>
      </c>
      <c r="CH19" s="4428" t="e">
        <f t="shared" si="54"/>
        <v>#DIV/0!</v>
      </c>
      <c r="CI19" s="1055"/>
      <c r="CJ19" s="3341">
        <f t="shared" si="39"/>
        <v>0</v>
      </c>
      <c r="CK19" s="3341">
        <f t="shared" si="39"/>
        <v>0</v>
      </c>
      <c r="CL19" s="3349">
        <f t="shared" si="55"/>
        <v>0</v>
      </c>
      <c r="CM19" s="4428">
        <f t="shared" si="40"/>
        <v>0</v>
      </c>
      <c r="CN19" s="1434"/>
      <c r="CP19" s="4615"/>
      <c r="CQ19" s="2012">
        <f t="shared" si="41"/>
        <v>0</v>
      </c>
      <c r="CR19" s="4614">
        <f t="shared" si="56"/>
        <v>0</v>
      </c>
      <c r="CT19" s="2624"/>
    </row>
    <row r="20" spans="1:100" s="1396" customFormat="1" ht="13.8" outlineLevel="2">
      <c r="A20" s="1571"/>
      <c r="B20" s="4430" t="s">
        <v>57</v>
      </c>
      <c r="C20" s="3341"/>
      <c r="D20" s="3341"/>
      <c r="E20" s="3349">
        <f t="shared" si="19"/>
        <v>0</v>
      </c>
      <c r="F20" s="4428" t="e">
        <f t="shared" si="16"/>
        <v>#DIV/0!</v>
      </c>
      <c r="G20" s="1055"/>
      <c r="H20" s="3341"/>
      <c r="I20" s="3341"/>
      <c r="J20" s="3349">
        <f t="shared" si="20"/>
        <v>0</v>
      </c>
      <c r="K20" s="4428" t="e">
        <f t="shared" si="42"/>
        <v>#DIV/0!</v>
      </c>
      <c r="L20" s="1055"/>
      <c r="M20" s="3341"/>
      <c r="N20" s="3341"/>
      <c r="O20" s="3349">
        <f t="shared" si="21"/>
        <v>0</v>
      </c>
      <c r="P20" s="4428" t="e">
        <f t="shared" si="22"/>
        <v>#DIV/0!</v>
      </c>
      <c r="Q20" s="1055"/>
      <c r="R20" s="3342">
        <f t="shared" si="23"/>
        <v>0</v>
      </c>
      <c r="S20" s="3342">
        <f t="shared" si="23"/>
        <v>0</v>
      </c>
      <c r="T20" s="2012">
        <f t="shared" si="24"/>
        <v>0</v>
      </c>
      <c r="U20" s="1055"/>
      <c r="V20" s="1055"/>
      <c r="W20" s="3342">
        <f t="shared" si="25"/>
        <v>0</v>
      </c>
      <c r="X20" s="3342">
        <f t="shared" si="25"/>
        <v>0</v>
      </c>
      <c r="Y20" s="2012">
        <f t="shared" si="26"/>
        <v>0</v>
      </c>
      <c r="Z20" s="1055"/>
      <c r="AA20" s="1055"/>
      <c r="AB20" s="3341"/>
      <c r="AC20" s="3341"/>
      <c r="AD20" s="3349">
        <f t="shared" si="27"/>
        <v>0</v>
      </c>
      <c r="AE20" s="4428" t="e">
        <f t="shared" si="43"/>
        <v>#DIV/0!</v>
      </c>
      <c r="AF20" s="1055"/>
      <c r="AG20" s="3341"/>
      <c r="AH20" s="3341"/>
      <c r="AI20" s="3349">
        <f t="shared" si="28"/>
        <v>0</v>
      </c>
      <c r="AJ20" s="4428" t="e">
        <f t="shared" si="44"/>
        <v>#DIV/0!</v>
      </c>
      <c r="AK20" s="1055"/>
      <c r="AL20" s="3341"/>
      <c r="AM20" s="3341"/>
      <c r="AN20" s="3349">
        <f t="shared" si="29"/>
        <v>0</v>
      </c>
      <c r="AO20" s="4428" t="e">
        <f t="shared" si="45"/>
        <v>#DIV/0!</v>
      </c>
      <c r="AP20" s="1055"/>
      <c r="AQ20" s="3341"/>
      <c r="AR20" s="3341"/>
      <c r="AS20" s="3349">
        <f t="shared" si="30"/>
        <v>0</v>
      </c>
      <c r="AT20" s="4428" t="e">
        <f t="shared" si="46"/>
        <v>#DIV/0!</v>
      </c>
      <c r="AU20" s="1055"/>
      <c r="AV20" s="3341"/>
      <c r="AW20" s="3341"/>
      <c r="AX20" s="3349">
        <f t="shared" si="31"/>
        <v>0</v>
      </c>
      <c r="AY20" s="4428">
        <f t="shared" si="47"/>
        <v>0</v>
      </c>
      <c r="AZ20" s="1055"/>
      <c r="BA20" s="3341"/>
      <c r="BB20" s="3341"/>
      <c r="BC20" s="3349">
        <f t="shared" si="32"/>
        <v>0</v>
      </c>
      <c r="BD20" s="4428" t="e">
        <f t="shared" si="48"/>
        <v>#DIV/0!</v>
      </c>
      <c r="BE20" s="1055"/>
      <c r="BF20" s="3341"/>
      <c r="BG20" s="3341"/>
      <c r="BH20" s="3349">
        <f t="shared" si="33"/>
        <v>0</v>
      </c>
      <c r="BI20" s="4428" t="e">
        <f t="shared" si="49"/>
        <v>#DIV/0!</v>
      </c>
      <c r="BJ20" s="1055"/>
      <c r="BK20" s="3341"/>
      <c r="BL20" s="3341"/>
      <c r="BM20" s="3349">
        <f t="shared" si="34"/>
        <v>0</v>
      </c>
      <c r="BN20" s="4428" t="e">
        <f t="shared" si="50"/>
        <v>#DIV/0!</v>
      </c>
      <c r="BO20" s="1055"/>
      <c r="BP20" s="3341"/>
      <c r="BQ20" s="3341"/>
      <c r="BR20" s="3349">
        <f t="shared" si="35"/>
        <v>0</v>
      </c>
      <c r="BS20" s="4428" t="e">
        <f t="shared" si="51"/>
        <v>#DIV/0!</v>
      </c>
      <c r="BT20" s="1055"/>
      <c r="BU20" s="3341"/>
      <c r="BV20" s="3341"/>
      <c r="BW20" s="3349">
        <f t="shared" si="36"/>
        <v>0</v>
      </c>
      <c r="BX20" s="4428" t="e">
        <f t="shared" si="52"/>
        <v>#DIV/0!</v>
      </c>
      <c r="BY20" s="1055"/>
      <c r="BZ20" s="3341"/>
      <c r="CA20" s="3341"/>
      <c r="CB20" s="3349">
        <f t="shared" si="37"/>
        <v>0</v>
      </c>
      <c r="CC20" s="4428" t="e">
        <f t="shared" si="53"/>
        <v>#DIV/0!</v>
      </c>
      <c r="CD20" s="1055"/>
      <c r="CE20" s="3341"/>
      <c r="CF20" s="3341"/>
      <c r="CG20" s="3349">
        <f t="shared" si="38"/>
        <v>0</v>
      </c>
      <c r="CH20" s="4428" t="e">
        <f t="shared" si="54"/>
        <v>#DIV/0!</v>
      </c>
      <c r="CI20" s="1055"/>
      <c r="CJ20" s="3341">
        <f t="shared" si="39"/>
        <v>0</v>
      </c>
      <c r="CK20" s="3341">
        <f t="shared" si="39"/>
        <v>0</v>
      </c>
      <c r="CL20" s="3349">
        <f t="shared" si="55"/>
        <v>0</v>
      </c>
      <c r="CM20" s="4428">
        <f t="shared" si="40"/>
        <v>0</v>
      </c>
      <c r="CN20" s="1434"/>
      <c r="CP20" s="4615"/>
      <c r="CQ20" s="2012">
        <f t="shared" si="41"/>
        <v>0</v>
      </c>
      <c r="CR20" s="4614">
        <f t="shared" si="56"/>
        <v>0</v>
      </c>
      <c r="CT20" s="2624"/>
    </row>
    <row r="21" spans="1:100" s="1396" customFormat="1" ht="13.8" outlineLevel="2">
      <c r="A21" s="1571"/>
      <c r="B21" s="4430" t="s">
        <v>58</v>
      </c>
      <c r="C21" s="3341"/>
      <c r="D21" s="3341"/>
      <c r="E21" s="3349">
        <f t="shared" si="19"/>
        <v>0</v>
      </c>
      <c r="F21" s="4428" t="e">
        <f t="shared" si="16"/>
        <v>#DIV/0!</v>
      </c>
      <c r="G21" s="1615"/>
      <c r="H21" s="3341"/>
      <c r="I21" s="3341"/>
      <c r="J21" s="3349">
        <f t="shared" si="20"/>
        <v>0</v>
      </c>
      <c r="K21" s="4428" t="e">
        <f t="shared" si="42"/>
        <v>#DIV/0!</v>
      </c>
      <c r="L21" s="1615"/>
      <c r="M21" s="3341"/>
      <c r="N21" s="3341"/>
      <c r="O21" s="3349">
        <f t="shared" si="21"/>
        <v>0</v>
      </c>
      <c r="P21" s="4428" t="e">
        <f t="shared" si="22"/>
        <v>#DIV/0!</v>
      </c>
      <c r="Q21" s="1615"/>
      <c r="R21" s="3342">
        <f t="shared" si="23"/>
        <v>0</v>
      </c>
      <c r="S21" s="3342">
        <f t="shared" si="23"/>
        <v>0</v>
      </c>
      <c r="T21" s="2012">
        <f t="shared" si="24"/>
        <v>0</v>
      </c>
      <c r="U21" s="1615"/>
      <c r="V21" s="1615"/>
      <c r="W21" s="3342">
        <f t="shared" si="25"/>
        <v>0</v>
      </c>
      <c r="X21" s="3342">
        <f t="shared" si="25"/>
        <v>0</v>
      </c>
      <c r="Y21" s="2012">
        <f t="shared" si="26"/>
        <v>0</v>
      </c>
      <c r="Z21" s="1615"/>
      <c r="AA21" s="1615"/>
      <c r="AB21" s="3341"/>
      <c r="AC21" s="3341"/>
      <c r="AD21" s="3349">
        <f t="shared" si="27"/>
        <v>0</v>
      </c>
      <c r="AE21" s="4428" t="e">
        <f t="shared" si="43"/>
        <v>#DIV/0!</v>
      </c>
      <c r="AF21" s="1615"/>
      <c r="AG21" s="3341"/>
      <c r="AH21" s="3341"/>
      <c r="AI21" s="3349">
        <f t="shared" si="28"/>
        <v>0</v>
      </c>
      <c r="AJ21" s="4428" t="e">
        <f t="shared" si="44"/>
        <v>#DIV/0!</v>
      </c>
      <c r="AK21" s="1615"/>
      <c r="AL21" s="3341"/>
      <c r="AM21" s="3341"/>
      <c r="AN21" s="3349">
        <f t="shared" si="29"/>
        <v>0</v>
      </c>
      <c r="AO21" s="4428" t="e">
        <f t="shared" si="45"/>
        <v>#DIV/0!</v>
      </c>
      <c r="AP21" s="1615"/>
      <c r="AQ21" s="3341"/>
      <c r="AR21" s="3341"/>
      <c r="AS21" s="3349">
        <f t="shared" si="30"/>
        <v>0</v>
      </c>
      <c r="AT21" s="4428" t="e">
        <f t="shared" si="46"/>
        <v>#DIV/0!</v>
      </c>
      <c r="AU21" s="1615"/>
      <c r="AV21" s="3341"/>
      <c r="AW21" s="3341"/>
      <c r="AX21" s="3349">
        <f t="shared" si="31"/>
        <v>0</v>
      </c>
      <c r="AY21" s="4428">
        <f t="shared" si="47"/>
        <v>0</v>
      </c>
      <c r="AZ21" s="1615"/>
      <c r="BA21" s="3341"/>
      <c r="BB21" s="3341"/>
      <c r="BC21" s="3349">
        <f t="shared" si="32"/>
        <v>0</v>
      </c>
      <c r="BD21" s="4428" t="e">
        <f t="shared" si="48"/>
        <v>#DIV/0!</v>
      </c>
      <c r="BE21" s="1615"/>
      <c r="BF21" s="3341"/>
      <c r="BG21" s="3341"/>
      <c r="BH21" s="3349">
        <f t="shared" si="33"/>
        <v>0</v>
      </c>
      <c r="BI21" s="4428" t="e">
        <f t="shared" si="49"/>
        <v>#DIV/0!</v>
      </c>
      <c r="BJ21" s="1615"/>
      <c r="BK21" s="3341"/>
      <c r="BL21" s="3341"/>
      <c r="BM21" s="3349">
        <f t="shared" si="34"/>
        <v>0</v>
      </c>
      <c r="BN21" s="4428" t="e">
        <f t="shared" si="50"/>
        <v>#DIV/0!</v>
      </c>
      <c r="BO21" s="1615"/>
      <c r="BP21" s="3341"/>
      <c r="BQ21" s="3341"/>
      <c r="BR21" s="3349">
        <f t="shared" si="35"/>
        <v>0</v>
      </c>
      <c r="BS21" s="4428" t="e">
        <f t="shared" si="51"/>
        <v>#DIV/0!</v>
      </c>
      <c r="BT21" s="1615"/>
      <c r="BU21" s="3341"/>
      <c r="BV21" s="3341"/>
      <c r="BW21" s="3349">
        <f t="shared" si="36"/>
        <v>0</v>
      </c>
      <c r="BX21" s="4428" t="e">
        <f t="shared" si="52"/>
        <v>#DIV/0!</v>
      </c>
      <c r="BY21" s="1615"/>
      <c r="BZ21" s="3341"/>
      <c r="CA21" s="3341"/>
      <c r="CB21" s="3349">
        <f t="shared" si="37"/>
        <v>0</v>
      </c>
      <c r="CC21" s="4428" t="e">
        <f t="shared" si="53"/>
        <v>#DIV/0!</v>
      </c>
      <c r="CD21" s="1615"/>
      <c r="CE21" s="3341"/>
      <c r="CF21" s="3341"/>
      <c r="CG21" s="3349">
        <f t="shared" si="38"/>
        <v>0</v>
      </c>
      <c r="CH21" s="4428" t="e">
        <f t="shared" si="54"/>
        <v>#DIV/0!</v>
      </c>
      <c r="CI21" s="1615"/>
      <c r="CJ21" s="3341">
        <f t="shared" si="39"/>
        <v>0</v>
      </c>
      <c r="CK21" s="3341">
        <f t="shared" si="39"/>
        <v>0</v>
      </c>
      <c r="CL21" s="3349">
        <f t="shared" si="55"/>
        <v>0</v>
      </c>
      <c r="CM21" s="4428">
        <f t="shared" si="40"/>
        <v>0</v>
      </c>
      <c r="CN21" s="1434"/>
      <c r="CP21" s="4615"/>
      <c r="CQ21" s="2012">
        <f t="shared" si="41"/>
        <v>0</v>
      </c>
      <c r="CR21" s="4614">
        <f t="shared" si="56"/>
        <v>0</v>
      </c>
      <c r="CT21" s="2624"/>
    </row>
    <row r="22" spans="1:100" s="1396" customFormat="1" ht="13.8" outlineLevel="2">
      <c r="A22" s="1571"/>
      <c r="B22" s="4430" t="s">
        <v>621</v>
      </c>
      <c r="C22" s="3341"/>
      <c r="D22" s="3341"/>
      <c r="E22" s="3349">
        <f t="shared" si="19"/>
        <v>0</v>
      </c>
      <c r="F22" s="4428" t="e">
        <f t="shared" si="16"/>
        <v>#DIV/0!</v>
      </c>
      <c r="G22" s="3342"/>
      <c r="H22" s="3341"/>
      <c r="I22" s="3341"/>
      <c r="J22" s="3349">
        <f t="shared" si="20"/>
        <v>0</v>
      </c>
      <c r="K22" s="4428" t="e">
        <f t="shared" si="42"/>
        <v>#DIV/0!</v>
      </c>
      <c r="L22" s="3342"/>
      <c r="M22" s="3341"/>
      <c r="N22" s="3341"/>
      <c r="O22" s="3349">
        <f t="shared" si="21"/>
        <v>0</v>
      </c>
      <c r="P22" s="4428" t="e">
        <f t="shared" si="22"/>
        <v>#DIV/0!</v>
      </c>
      <c r="Q22" s="3342"/>
      <c r="R22" s="3342">
        <f t="shared" si="23"/>
        <v>0</v>
      </c>
      <c r="S22" s="3342">
        <f t="shared" si="23"/>
        <v>0</v>
      </c>
      <c r="T22" s="2012">
        <f t="shared" si="24"/>
        <v>0</v>
      </c>
      <c r="U22" s="3342"/>
      <c r="V22" s="3342"/>
      <c r="W22" s="3342">
        <f t="shared" si="25"/>
        <v>0</v>
      </c>
      <c r="X22" s="3342">
        <f t="shared" si="25"/>
        <v>0</v>
      </c>
      <c r="Y22" s="2012">
        <f t="shared" si="26"/>
        <v>0</v>
      </c>
      <c r="Z22" s="3342"/>
      <c r="AA22" s="3342"/>
      <c r="AB22" s="3341"/>
      <c r="AC22" s="3341"/>
      <c r="AD22" s="3349">
        <f t="shared" si="27"/>
        <v>0</v>
      </c>
      <c r="AE22" s="4428" t="e">
        <f t="shared" si="43"/>
        <v>#DIV/0!</v>
      </c>
      <c r="AF22" s="3342"/>
      <c r="AG22" s="3341"/>
      <c r="AH22" s="3341"/>
      <c r="AI22" s="3349">
        <f t="shared" si="28"/>
        <v>0</v>
      </c>
      <c r="AJ22" s="4428" t="e">
        <f t="shared" si="44"/>
        <v>#DIV/0!</v>
      </c>
      <c r="AK22" s="3342"/>
      <c r="AL22" s="3341"/>
      <c r="AM22" s="3341"/>
      <c r="AN22" s="3349">
        <f t="shared" si="29"/>
        <v>0</v>
      </c>
      <c r="AO22" s="4428" t="e">
        <f t="shared" si="45"/>
        <v>#DIV/0!</v>
      </c>
      <c r="AP22" s="3342"/>
      <c r="AQ22" s="3341"/>
      <c r="AR22" s="3341"/>
      <c r="AS22" s="3349">
        <f t="shared" si="30"/>
        <v>0</v>
      </c>
      <c r="AT22" s="4428" t="e">
        <f t="shared" si="46"/>
        <v>#DIV/0!</v>
      </c>
      <c r="AU22" s="3342"/>
      <c r="AV22" s="3341"/>
      <c r="AW22" s="3341"/>
      <c r="AX22" s="3349">
        <f t="shared" si="31"/>
        <v>0</v>
      </c>
      <c r="AY22" s="4428">
        <f t="shared" si="47"/>
        <v>0</v>
      </c>
      <c r="AZ22" s="3342"/>
      <c r="BA22" s="3341"/>
      <c r="BB22" s="3341"/>
      <c r="BC22" s="3349">
        <f t="shared" si="32"/>
        <v>0</v>
      </c>
      <c r="BD22" s="4428" t="e">
        <f t="shared" si="48"/>
        <v>#DIV/0!</v>
      </c>
      <c r="BE22" s="3342"/>
      <c r="BF22" s="3341"/>
      <c r="BG22" s="3341"/>
      <c r="BH22" s="3349">
        <f t="shared" si="33"/>
        <v>0</v>
      </c>
      <c r="BI22" s="4428" t="e">
        <f t="shared" si="49"/>
        <v>#DIV/0!</v>
      </c>
      <c r="BJ22" s="3342"/>
      <c r="BK22" s="3341"/>
      <c r="BL22" s="3341"/>
      <c r="BM22" s="3349">
        <f t="shared" si="34"/>
        <v>0</v>
      </c>
      <c r="BN22" s="4428" t="e">
        <f t="shared" si="50"/>
        <v>#DIV/0!</v>
      </c>
      <c r="BO22" s="3342"/>
      <c r="BP22" s="3341"/>
      <c r="BQ22" s="3341"/>
      <c r="BR22" s="3349">
        <f t="shared" si="35"/>
        <v>0</v>
      </c>
      <c r="BS22" s="4428" t="e">
        <f t="shared" si="51"/>
        <v>#DIV/0!</v>
      </c>
      <c r="BT22" s="3342"/>
      <c r="BU22" s="3341"/>
      <c r="BV22" s="3341"/>
      <c r="BW22" s="3349">
        <f t="shared" si="36"/>
        <v>0</v>
      </c>
      <c r="BX22" s="4428" t="e">
        <f t="shared" si="52"/>
        <v>#DIV/0!</v>
      </c>
      <c r="BY22" s="3342"/>
      <c r="BZ22" s="3341"/>
      <c r="CA22" s="3341"/>
      <c r="CB22" s="3349">
        <f t="shared" si="37"/>
        <v>0</v>
      </c>
      <c r="CC22" s="4428" t="e">
        <f t="shared" si="53"/>
        <v>#DIV/0!</v>
      </c>
      <c r="CD22" s="3342"/>
      <c r="CE22" s="3341"/>
      <c r="CF22" s="3341"/>
      <c r="CG22" s="3349">
        <f t="shared" si="38"/>
        <v>0</v>
      </c>
      <c r="CH22" s="4428" t="e">
        <f t="shared" si="54"/>
        <v>#DIV/0!</v>
      </c>
      <c r="CI22" s="3342"/>
      <c r="CJ22" s="3341">
        <f t="shared" si="39"/>
        <v>0</v>
      </c>
      <c r="CK22" s="3341">
        <f t="shared" si="39"/>
        <v>0</v>
      </c>
      <c r="CL22" s="3349">
        <f t="shared" si="55"/>
        <v>0</v>
      </c>
      <c r="CM22" s="4428">
        <f t="shared" si="40"/>
        <v>0</v>
      </c>
      <c r="CN22" s="1434"/>
      <c r="CP22" s="4615"/>
      <c r="CQ22" s="2012">
        <f t="shared" si="41"/>
        <v>0</v>
      </c>
      <c r="CR22" s="4614">
        <f t="shared" si="56"/>
        <v>0</v>
      </c>
      <c r="CT22" s="3443">
        <f>CQ22</f>
        <v>0</v>
      </c>
    </row>
    <row r="23" spans="1:100" s="1396" customFormat="1" ht="13.8" outlineLevel="2">
      <c r="A23" s="1571"/>
      <c r="B23" s="4430" t="s">
        <v>630</v>
      </c>
      <c r="C23" s="3341"/>
      <c r="D23" s="3341"/>
      <c r="E23" s="3349">
        <f t="shared" si="19"/>
        <v>0</v>
      </c>
      <c r="F23" s="4428" t="e">
        <f t="shared" si="16"/>
        <v>#DIV/0!</v>
      </c>
      <c r="G23" s="1055"/>
      <c r="H23" s="3341"/>
      <c r="I23" s="3341"/>
      <c r="J23" s="3349">
        <f t="shared" si="20"/>
        <v>0</v>
      </c>
      <c r="K23" s="4428" t="e">
        <f t="shared" si="42"/>
        <v>#DIV/0!</v>
      </c>
      <c r="L23" s="1055"/>
      <c r="M23" s="3341"/>
      <c r="N23" s="3341"/>
      <c r="O23" s="3349">
        <f t="shared" si="21"/>
        <v>0</v>
      </c>
      <c r="P23" s="4428" t="e">
        <f t="shared" si="22"/>
        <v>#DIV/0!</v>
      </c>
      <c r="Q23" s="1055"/>
      <c r="R23" s="3342">
        <f t="shared" si="23"/>
        <v>0</v>
      </c>
      <c r="S23" s="3342">
        <f t="shared" si="23"/>
        <v>0</v>
      </c>
      <c r="T23" s="2012">
        <f t="shared" si="24"/>
        <v>0</v>
      </c>
      <c r="U23" s="1055"/>
      <c r="V23" s="1055"/>
      <c r="W23" s="3342">
        <f t="shared" si="25"/>
        <v>0</v>
      </c>
      <c r="X23" s="3342">
        <f t="shared" si="25"/>
        <v>0</v>
      </c>
      <c r="Y23" s="2012">
        <f t="shared" si="26"/>
        <v>0</v>
      </c>
      <c r="Z23" s="1055"/>
      <c r="AA23" s="1055"/>
      <c r="AB23" s="3341"/>
      <c r="AC23" s="3341"/>
      <c r="AD23" s="3349">
        <f t="shared" si="27"/>
        <v>0</v>
      </c>
      <c r="AE23" s="4428" t="e">
        <f t="shared" si="43"/>
        <v>#DIV/0!</v>
      </c>
      <c r="AF23" s="1055"/>
      <c r="AG23" s="3341"/>
      <c r="AH23" s="3341"/>
      <c r="AI23" s="3349">
        <f t="shared" si="28"/>
        <v>0</v>
      </c>
      <c r="AJ23" s="4428" t="e">
        <f t="shared" si="44"/>
        <v>#DIV/0!</v>
      </c>
      <c r="AK23" s="1055"/>
      <c r="AL23" s="3341"/>
      <c r="AM23" s="3341"/>
      <c r="AN23" s="3349">
        <f t="shared" si="29"/>
        <v>0</v>
      </c>
      <c r="AO23" s="4428" t="e">
        <f t="shared" si="45"/>
        <v>#DIV/0!</v>
      </c>
      <c r="AP23" s="1055"/>
      <c r="AQ23" s="3341"/>
      <c r="AR23" s="3341"/>
      <c r="AS23" s="3349">
        <f t="shared" si="30"/>
        <v>0</v>
      </c>
      <c r="AT23" s="4428" t="e">
        <f t="shared" si="46"/>
        <v>#DIV/0!</v>
      </c>
      <c r="AU23" s="1055"/>
      <c r="AV23" s="3341"/>
      <c r="AW23" s="3341"/>
      <c r="AX23" s="3349">
        <f t="shared" si="31"/>
        <v>0</v>
      </c>
      <c r="AY23" s="4428">
        <f t="shared" si="47"/>
        <v>0</v>
      </c>
      <c r="AZ23" s="1055"/>
      <c r="BA23" s="3341"/>
      <c r="BB23" s="3341"/>
      <c r="BC23" s="3349">
        <f t="shared" si="32"/>
        <v>0</v>
      </c>
      <c r="BD23" s="4428" t="e">
        <f t="shared" si="48"/>
        <v>#DIV/0!</v>
      </c>
      <c r="BE23" s="1055"/>
      <c r="BF23" s="3341"/>
      <c r="BG23" s="3341"/>
      <c r="BH23" s="3349">
        <f t="shared" si="33"/>
        <v>0</v>
      </c>
      <c r="BI23" s="4428" t="e">
        <f t="shared" si="49"/>
        <v>#DIV/0!</v>
      </c>
      <c r="BJ23" s="1055"/>
      <c r="BK23" s="3341"/>
      <c r="BL23" s="3341"/>
      <c r="BM23" s="3349">
        <f t="shared" si="34"/>
        <v>0</v>
      </c>
      <c r="BN23" s="4428" t="e">
        <f t="shared" si="50"/>
        <v>#DIV/0!</v>
      </c>
      <c r="BO23" s="1055"/>
      <c r="BP23" s="3341"/>
      <c r="BQ23" s="3341"/>
      <c r="BR23" s="3349">
        <f t="shared" si="35"/>
        <v>0</v>
      </c>
      <c r="BS23" s="4428" t="e">
        <f t="shared" si="51"/>
        <v>#DIV/0!</v>
      </c>
      <c r="BT23" s="1055"/>
      <c r="BU23" s="3341"/>
      <c r="BV23" s="3341"/>
      <c r="BW23" s="3349">
        <f t="shared" si="36"/>
        <v>0</v>
      </c>
      <c r="BX23" s="4428" t="e">
        <f t="shared" si="52"/>
        <v>#DIV/0!</v>
      </c>
      <c r="BY23" s="1055"/>
      <c r="BZ23" s="3341"/>
      <c r="CA23" s="3341"/>
      <c r="CB23" s="3349">
        <f t="shared" si="37"/>
        <v>0</v>
      </c>
      <c r="CC23" s="4428" t="e">
        <f t="shared" si="53"/>
        <v>#DIV/0!</v>
      </c>
      <c r="CD23" s="1055"/>
      <c r="CE23" s="3341"/>
      <c r="CF23" s="3341"/>
      <c r="CG23" s="3349">
        <f t="shared" si="38"/>
        <v>0</v>
      </c>
      <c r="CH23" s="4428" t="e">
        <f t="shared" si="54"/>
        <v>#DIV/0!</v>
      </c>
      <c r="CI23" s="1055"/>
      <c r="CJ23" s="3341">
        <f t="shared" si="39"/>
        <v>0</v>
      </c>
      <c r="CK23" s="3341">
        <f t="shared" si="39"/>
        <v>0</v>
      </c>
      <c r="CL23" s="3349">
        <f t="shared" si="55"/>
        <v>0</v>
      </c>
      <c r="CM23" s="4428">
        <f t="shared" si="40"/>
        <v>0</v>
      </c>
      <c r="CN23" s="1434"/>
      <c r="CP23" s="4615"/>
      <c r="CQ23" s="2012">
        <f t="shared" si="41"/>
        <v>0</v>
      </c>
      <c r="CR23" s="4614">
        <f t="shared" si="56"/>
        <v>0</v>
      </c>
      <c r="CT23" s="2624"/>
    </row>
    <row r="24" spans="1:100" s="1396" customFormat="1" ht="13.8" outlineLevel="2">
      <c r="A24" s="1571"/>
      <c r="B24" s="4430" t="s">
        <v>23</v>
      </c>
      <c r="C24" s="3341"/>
      <c r="D24" s="3341"/>
      <c r="E24" s="3349">
        <f t="shared" si="19"/>
        <v>0</v>
      </c>
      <c r="F24" s="4428" t="e">
        <f t="shared" si="16"/>
        <v>#DIV/0!</v>
      </c>
      <c r="G24" s="3342"/>
      <c r="H24" s="3341"/>
      <c r="I24" s="3341"/>
      <c r="J24" s="3349">
        <f t="shared" si="20"/>
        <v>0</v>
      </c>
      <c r="K24" s="4428" t="e">
        <f t="shared" si="42"/>
        <v>#DIV/0!</v>
      </c>
      <c r="L24" s="3342"/>
      <c r="M24" s="3341"/>
      <c r="N24" s="3341"/>
      <c r="O24" s="3349">
        <f t="shared" si="21"/>
        <v>0</v>
      </c>
      <c r="P24" s="4428" t="e">
        <f t="shared" si="22"/>
        <v>#DIV/0!</v>
      </c>
      <c r="Q24" s="3342"/>
      <c r="R24" s="3342">
        <f t="shared" si="23"/>
        <v>0</v>
      </c>
      <c r="S24" s="3342">
        <f t="shared" si="23"/>
        <v>0</v>
      </c>
      <c r="T24" s="2012">
        <f t="shared" si="24"/>
        <v>0</v>
      </c>
      <c r="U24" s="3342"/>
      <c r="V24" s="3342"/>
      <c r="W24" s="3342">
        <f t="shared" si="25"/>
        <v>0</v>
      </c>
      <c r="X24" s="3342">
        <f t="shared" si="25"/>
        <v>0</v>
      </c>
      <c r="Y24" s="2012">
        <f t="shared" si="26"/>
        <v>0</v>
      </c>
      <c r="Z24" s="3342"/>
      <c r="AA24" s="3342"/>
      <c r="AB24" s="3341"/>
      <c r="AC24" s="3341"/>
      <c r="AD24" s="3349">
        <f t="shared" si="27"/>
        <v>0</v>
      </c>
      <c r="AE24" s="4428" t="e">
        <f t="shared" si="43"/>
        <v>#DIV/0!</v>
      </c>
      <c r="AF24" s="3342"/>
      <c r="AG24" s="3341"/>
      <c r="AH24" s="3341"/>
      <c r="AI24" s="3349">
        <f t="shared" si="28"/>
        <v>0</v>
      </c>
      <c r="AJ24" s="4428" t="e">
        <f t="shared" si="44"/>
        <v>#DIV/0!</v>
      </c>
      <c r="AK24" s="3342"/>
      <c r="AL24" s="3341"/>
      <c r="AM24" s="3341"/>
      <c r="AN24" s="3349">
        <f t="shared" si="29"/>
        <v>0</v>
      </c>
      <c r="AO24" s="4428" t="e">
        <f t="shared" si="45"/>
        <v>#DIV/0!</v>
      </c>
      <c r="AP24" s="3342"/>
      <c r="AQ24" s="3341"/>
      <c r="AR24" s="3341"/>
      <c r="AS24" s="3349">
        <f t="shared" si="30"/>
        <v>0</v>
      </c>
      <c r="AT24" s="4428" t="e">
        <f t="shared" si="46"/>
        <v>#DIV/0!</v>
      </c>
      <c r="AU24" s="3342"/>
      <c r="AV24" s="3341"/>
      <c r="AW24" s="3341"/>
      <c r="AX24" s="3349">
        <f t="shared" si="31"/>
        <v>0</v>
      </c>
      <c r="AY24" s="4428">
        <f t="shared" si="47"/>
        <v>0</v>
      </c>
      <c r="AZ24" s="3342"/>
      <c r="BA24" s="3341"/>
      <c r="BB24" s="3341"/>
      <c r="BC24" s="3349">
        <f t="shared" si="32"/>
        <v>0</v>
      </c>
      <c r="BD24" s="4428" t="e">
        <f t="shared" si="48"/>
        <v>#DIV/0!</v>
      </c>
      <c r="BE24" s="3342"/>
      <c r="BF24" s="3341"/>
      <c r="BG24" s="3341"/>
      <c r="BH24" s="3349">
        <f t="shared" si="33"/>
        <v>0</v>
      </c>
      <c r="BI24" s="4428" t="e">
        <f t="shared" si="49"/>
        <v>#DIV/0!</v>
      </c>
      <c r="BJ24" s="3342"/>
      <c r="BK24" s="3341"/>
      <c r="BL24" s="3341"/>
      <c r="BM24" s="3349">
        <f t="shared" si="34"/>
        <v>0</v>
      </c>
      <c r="BN24" s="4428" t="e">
        <f t="shared" si="50"/>
        <v>#DIV/0!</v>
      </c>
      <c r="BO24" s="3342"/>
      <c r="BP24" s="3341"/>
      <c r="BQ24" s="3341"/>
      <c r="BR24" s="3349">
        <f t="shared" si="35"/>
        <v>0</v>
      </c>
      <c r="BS24" s="4428" t="e">
        <f t="shared" si="51"/>
        <v>#DIV/0!</v>
      </c>
      <c r="BT24" s="3342"/>
      <c r="BU24" s="3341"/>
      <c r="BV24" s="3341"/>
      <c r="BW24" s="3349">
        <f t="shared" si="36"/>
        <v>0</v>
      </c>
      <c r="BX24" s="4428" t="e">
        <f t="shared" si="52"/>
        <v>#DIV/0!</v>
      </c>
      <c r="BY24" s="3342"/>
      <c r="BZ24" s="3341"/>
      <c r="CA24" s="3341"/>
      <c r="CB24" s="3349">
        <f t="shared" si="37"/>
        <v>0</v>
      </c>
      <c r="CC24" s="4428" t="e">
        <f t="shared" si="53"/>
        <v>#DIV/0!</v>
      </c>
      <c r="CD24" s="3342"/>
      <c r="CE24" s="3341"/>
      <c r="CF24" s="3341"/>
      <c r="CG24" s="3349">
        <f t="shared" si="38"/>
        <v>0</v>
      </c>
      <c r="CH24" s="4428" t="e">
        <f t="shared" si="54"/>
        <v>#DIV/0!</v>
      </c>
      <c r="CI24" s="3342"/>
      <c r="CJ24" s="3341">
        <f t="shared" si="39"/>
        <v>0</v>
      </c>
      <c r="CK24" s="3341">
        <f t="shared" si="39"/>
        <v>0</v>
      </c>
      <c r="CL24" s="3349">
        <f t="shared" si="55"/>
        <v>0</v>
      </c>
      <c r="CM24" s="4428">
        <f t="shared" si="40"/>
        <v>0</v>
      </c>
      <c r="CN24" s="1434"/>
      <c r="CP24" s="4615">
        <v>15000</v>
      </c>
      <c r="CQ24" s="2012">
        <f t="shared" si="41"/>
        <v>0</v>
      </c>
      <c r="CR24" s="4614">
        <f t="shared" si="56"/>
        <v>15000</v>
      </c>
      <c r="CT24" s="2624"/>
    </row>
    <row r="25" spans="1:100" s="1396" customFormat="1" ht="13.8" outlineLevel="2">
      <c r="A25" s="1571"/>
      <c r="B25" s="4430" t="s">
        <v>24</v>
      </c>
      <c r="C25" s="3341"/>
      <c r="D25" s="3341"/>
      <c r="E25" s="3349">
        <f t="shared" si="19"/>
        <v>0</v>
      </c>
      <c r="F25" s="4428" t="e">
        <f t="shared" si="16"/>
        <v>#DIV/0!</v>
      </c>
      <c r="G25" s="3342"/>
      <c r="H25" s="3341"/>
      <c r="I25" s="3341"/>
      <c r="J25" s="3349">
        <f t="shared" si="20"/>
        <v>0</v>
      </c>
      <c r="K25" s="4428" t="e">
        <f t="shared" si="42"/>
        <v>#DIV/0!</v>
      </c>
      <c r="L25" s="3342"/>
      <c r="M25" s="3341"/>
      <c r="N25" s="3341"/>
      <c r="O25" s="3349">
        <f t="shared" si="21"/>
        <v>0</v>
      </c>
      <c r="P25" s="4428" t="e">
        <f t="shared" si="22"/>
        <v>#DIV/0!</v>
      </c>
      <c r="Q25" s="3342"/>
      <c r="R25" s="3342">
        <f t="shared" si="23"/>
        <v>0</v>
      </c>
      <c r="S25" s="3342">
        <f t="shared" si="23"/>
        <v>0</v>
      </c>
      <c r="T25" s="2012">
        <f t="shared" si="24"/>
        <v>0</v>
      </c>
      <c r="U25" s="3342"/>
      <c r="V25" s="3342"/>
      <c r="W25" s="3342">
        <f t="shared" si="25"/>
        <v>0</v>
      </c>
      <c r="X25" s="3342">
        <f t="shared" si="25"/>
        <v>0</v>
      </c>
      <c r="Y25" s="2012">
        <f t="shared" si="26"/>
        <v>0</v>
      </c>
      <c r="Z25" s="3342"/>
      <c r="AA25" s="3342"/>
      <c r="AB25" s="3341"/>
      <c r="AC25" s="3341"/>
      <c r="AD25" s="3349">
        <f t="shared" si="27"/>
        <v>0</v>
      </c>
      <c r="AE25" s="4428" t="e">
        <f t="shared" si="43"/>
        <v>#DIV/0!</v>
      </c>
      <c r="AF25" s="3342"/>
      <c r="AG25" s="3341"/>
      <c r="AH25" s="3341"/>
      <c r="AI25" s="3349">
        <f t="shared" si="28"/>
        <v>0</v>
      </c>
      <c r="AJ25" s="4428" t="e">
        <f t="shared" si="44"/>
        <v>#DIV/0!</v>
      </c>
      <c r="AK25" s="3342"/>
      <c r="AL25" s="3341"/>
      <c r="AM25" s="3341"/>
      <c r="AN25" s="3349">
        <f t="shared" si="29"/>
        <v>0</v>
      </c>
      <c r="AO25" s="4428" t="e">
        <f t="shared" si="45"/>
        <v>#DIV/0!</v>
      </c>
      <c r="AP25" s="3342"/>
      <c r="AQ25" s="3341"/>
      <c r="AR25" s="3341"/>
      <c r="AS25" s="3349">
        <f t="shared" si="30"/>
        <v>0</v>
      </c>
      <c r="AT25" s="4428" t="e">
        <f t="shared" si="46"/>
        <v>#DIV/0!</v>
      </c>
      <c r="AU25" s="3342"/>
      <c r="AV25" s="3341"/>
      <c r="AW25" s="3341"/>
      <c r="AX25" s="3349">
        <f t="shared" si="31"/>
        <v>0</v>
      </c>
      <c r="AY25" s="4428">
        <f t="shared" si="47"/>
        <v>0</v>
      </c>
      <c r="AZ25" s="3342"/>
      <c r="BA25" s="3341"/>
      <c r="BB25" s="3341"/>
      <c r="BC25" s="3349">
        <f t="shared" si="32"/>
        <v>0</v>
      </c>
      <c r="BD25" s="4428" t="e">
        <f t="shared" si="48"/>
        <v>#DIV/0!</v>
      </c>
      <c r="BE25" s="3342"/>
      <c r="BF25" s="3341"/>
      <c r="BG25" s="3341"/>
      <c r="BH25" s="3349">
        <f t="shared" si="33"/>
        <v>0</v>
      </c>
      <c r="BI25" s="4428" t="e">
        <f t="shared" si="49"/>
        <v>#DIV/0!</v>
      </c>
      <c r="BJ25" s="3342"/>
      <c r="BK25" s="3341"/>
      <c r="BL25" s="3341"/>
      <c r="BM25" s="3349">
        <f t="shared" si="34"/>
        <v>0</v>
      </c>
      <c r="BN25" s="4428" t="e">
        <f t="shared" si="50"/>
        <v>#DIV/0!</v>
      </c>
      <c r="BO25" s="3342"/>
      <c r="BP25" s="3341"/>
      <c r="BQ25" s="3341"/>
      <c r="BR25" s="3349">
        <f t="shared" si="35"/>
        <v>0</v>
      </c>
      <c r="BS25" s="4428" t="e">
        <f t="shared" si="51"/>
        <v>#DIV/0!</v>
      </c>
      <c r="BT25" s="3342"/>
      <c r="BU25" s="3341"/>
      <c r="BV25" s="3341"/>
      <c r="BW25" s="3349">
        <f t="shared" si="36"/>
        <v>0</v>
      </c>
      <c r="BX25" s="4428" t="e">
        <f t="shared" si="52"/>
        <v>#DIV/0!</v>
      </c>
      <c r="BY25" s="3342"/>
      <c r="BZ25" s="3341"/>
      <c r="CA25" s="3341"/>
      <c r="CB25" s="3349">
        <f t="shared" si="37"/>
        <v>0</v>
      </c>
      <c r="CC25" s="4428" t="e">
        <f t="shared" si="53"/>
        <v>#DIV/0!</v>
      </c>
      <c r="CD25" s="3342"/>
      <c r="CE25" s="3341"/>
      <c r="CF25" s="3341"/>
      <c r="CG25" s="3349">
        <f t="shared" si="38"/>
        <v>0</v>
      </c>
      <c r="CH25" s="4428" t="e">
        <f t="shared" si="54"/>
        <v>#DIV/0!</v>
      </c>
      <c r="CI25" s="3342"/>
      <c r="CJ25" s="3341">
        <f t="shared" si="39"/>
        <v>0</v>
      </c>
      <c r="CK25" s="3341">
        <f t="shared" si="39"/>
        <v>0</v>
      </c>
      <c r="CL25" s="3349">
        <f t="shared" si="55"/>
        <v>0</v>
      </c>
      <c r="CM25" s="4428">
        <f t="shared" si="40"/>
        <v>0</v>
      </c>
      <c r="CN25" s="1434"/>
      <c r="CP25" s="4615">
        <v>1896.32</v>
      </c>
      <c r="CQ25" s="2012">
        <f t="shared" si="41"/>
        <v>0</v>
      </c>
      <c r="CR25" s="4614">
        <f t="shared" si="56"/>
        <v>1896.32</v>
      </c>
      <c r="CS25" s="3305"/>
      <c r="CT25" s="4616">
        <f>CR25/CP25</f>
        <v>1</v>
      </c>
    </row>
    <row r="26" spans="1:100" s="1396" customFormat="1" ht="27.6" outlineLevel="2">
      <c r="A26" s="1571"/>
      <c r="B26" s="4430" t="s">
        <v>45</v>
      </c>
      <c r="C26" s="3341"/>
      <c r="D26" s="3341"/>
      <c r="E26" s="3349">
        <f t="shared" si="19"/>
        <v>0</v>
      </c>
      <c r="F26" s="4428" t="e">
        <f t="shared" si="16"/>
        <v>#DIV/0!</v>
      </c>
      <c r="G26" s="3342"/>
      <c r="H26" s="3341"/>
      <c r="I26" s="3341"/>
      <c r="J26" s="3349">
        <f t="shared" si="20"/>
        <v>0</v>
      </c>
      <c r="K26" s="4428" t="e">
        <f t="shared" si="42"/>
        <v>#DIV/0!</v>
      </c>
      <c r="L26" s="3342"/>
      <c r="M26" s="3341"/>
      <c r="N26" s="3341"/>
      <c r="O26" s="3349">
        <f t="shared" si="21"/>
        <v>0</v>
      </c>
      <c r="P26" s="4428" t="e">
        <f t="shared" si="22"/>
        <v>#DIV/0!</v>
      </c>
      <c r="Q26" s="3342"/>
      <c r="R26" s="3342">
        <f t="shared" si="23"/>
        <v>0</v>
      </c>
      <c r="S26" s="3342">
        <f t="shared" si="23"/>
        <v>0</v>
      </c>
      <c r="T26" s="2012">
        <f t="shared" si="24"/>
        <v>0</v>
      </c>
      <c r="U26" s="3342"/>
      <c r="V26" s="3342"/>
      <c r="W26" s="3342">
        <f t="shared" si="25"/>
        <v>387.43</v>
      </c>
      <c r="X26" s="3342">
        <f t="shared" si="25"/>
        <v>0</v>
      </c>
      <c r="Y26" s="2012">
        <f t="shared" si="26"/>
        <v>387.43</v>
      </c>
      <c r="Z26" s="3342"/>
      <c r="AA26" s="3342"/>
      <c r="AB26" s="3341"/>
      <c r="AC26" s="3341"/>
      <c r="AD26" s="3349">
        <f t="shared" si="27"/>
        <v>0</v>
      </c>
      <c r="AE26" s="4428" t="e">
        <f t="shared" si="43"/>
        <v>#DIV/0!</v>
      </c>
      <c r="AF26" s="3342"/>
      <c r="AG26" s="3341"/>
      <c r="AH26" s="3341"/>
      <c r="AI26" s="3349">
        <f t="shared" si="28"/>
        <v>0</v>
      </c>
      <c r="AJ26" s="4428" t="e">
        <f t="shared" si="44"/>
        <v>#DIV/0!</v>
      </c>
      <c r="AK26" s="3342"/>
      <c r="AL26" s="3341"/>
      <c r="AM26" s="3341"/>
      <c r="AN26" s="3349">
        <f t="shared" si="29"/>
        <v>0</v>
      </c>
      <c r="AO26" s="4428" t="e">
        <f t="shared" si="45"/>
        <v>#DIV/0!</v>
      </c>
      <c r="AP26" s="3342"/>
      <c r="AQ26" s="3341"/>
      <c r="AR26" s="3341"/>
      <c r="AS26" s="3349">
        <f t="shared" si="30"/>
        <v>0</v>
      </c>
      <c r="AT26" s="4428" t="e">
        <f t="shared" si="46"/>
        <v>#DIV/0!</v>
      </c>
      <c r="AU26" s="3342"/>
      <c r="AV26" s="3341">
        <v>387.43</v>
      </c>
      <c r="AW26" s="3341"/>
      <c r="AX26" s="3349">
        <f t="shared" si="31"/>
        <v>387.43</v>
      </c>
      <c r="AY26" s="4428">
        <f t="shared" si="47"/>
        <v>4.3155174474810529E-2</v>
      </c>
      <c r="AZ26" s="3342" t="s">
        <v>2122</v>
      </c>
      <c r="BA26" s="3341"/>
      <c r="BB26" s="3341"/>
      <c r="BC26" s="3349">
        <f t="shared" si="32"/>
        <v>0</v>
      </c>
      <c r="BD26" s="4428" t="e">
        <f t="shared" si="48"/>
        <v>#DIV/0!</v>
      </c>
      <c r="BE26" s="3342"/>
      <c r="BF26" s="3341"/>
      <c r="BG26" s="3341"/>
      <c r="BH26" s="3349">
        <f t="shared" si="33"/>
        <v>0</v>
      </c>
      <c r="BI26" s="4428" t="e">
        <f t="shared" si="49"/>
        <v>#DIV/0!</v>
      </c>
      <c r="BJ26" s="3342"/>
      <c r="BK26" s="3341"/>
      <c r="BL26" s="3341"/>
      <c r="BM26" s="3349">
        <f t="shared" si="34"/>
        <v>0</v>
      </c>
      <c r="BN26" s="4428" t="e">
        <f t="shared" si="50"/>
        <v>#DIV/0!</v>
      </c>
      <c r="BO26" s="3342"/>
      <c r="BP26" s="3341"/>
      <c r="BQ26" s="3341"/>
      <c r="BR26" s="3349">
        <f t="shared" si="35"/>
        <v>0</v>
      </c>
      <c r="BS26" s="4428" t="e">
        <f t="shared" si="51"/>
        <v>#DIV/0!</v>
      </c>
      <c r="BT26" s="3342"/>
      <c r="BU26" s="3341"/>
      <c r="BV26" s="3341"/>
      <c r="BW26" s="3349">
        <f t="shared" si="36"/>
        <v>0</v>
      </c>
      <c r="BX26" s="4428" t="e">
        <f t="shared" si="52"/>
        <v>#DIV/0!</v>
      </c>
      <c r="BY26" s="3342"/>
      <c r="BZ26" s="3341"/>
      <c r="CA26" s="3341"/>
      <c r="CB26" s="3349">
        <f t="shared" si="37"/>
        <v>0</v>
      </c>
      <c r="CC26" s="4428" t="e">
        <f t="shared" si="53"/>
        <v>#DIV/0!</v>
      </c>
      <c r="CD26" s="3342"/>
      <c r="CE26" s="3341"/>
      <c r="CF26" s="3341"/>
      <c r="CG26" s="3349">
        <f t="shared" si="38"/>
        <v>0</v>
      </c>
      <c r="CH26" s="4428" t="e">
        <f t="shared" si="54"/>
        <v>#DIV/0!</v>
      </c>
      <c r="CI26" s="3342"/>
      <c r="CJ26" s="3341">
        <f t="shared" si="39"/>
        <v>387.43</v>
      </c>
      <c r="CK26" s="3341">
        <f t="shared" si="39"/>
        <v>0</v>
      </c>
      <c r="CL26" s="3349">
        <f t="shared" si="55"/>
        <v>387.43</v>
      </c>
      <c r="CM26" s="4428">
        <f t="shared" si="40"/>
        <v>4.3155174474810529E-2</v>
      </c>
      <c r="CN26" s="1434"/>
      <c r="CP26" s="4615">
        <v>21329</v>
      </c>
      <c r="CQ26" s="2012">
        <f t="shared" si="41"/>
        <v>387.43</v>
      </c>
      <c r="CR26" s="4614">
        <f t="shared" si="56"/>
        <v>20941.57</v>
      </c>
      <c r="CS26" s="3305"/>
      <c r="CT26" s="4616">
        <f>CR26/CP26</f>
        <v>0.98183552909184679</v>
      </c>
      <c r="CU26" s="4671">
        <v>20500</v>
      </c>
    </row>
    <row r="27" spans="1:100" s="1396" customFormat="1" ht="13.8" outlineLevel="2">
      <c r="A27" s="1571"/>
      <c r="B27" s="4430" t="s">
        <v>25</v>
      </c>
      <c r="C27" s="3341"/>
      <c r="D27" s="3341"/>
      <c r="E27" s="3349">
        <f t="shared" si="19"/>
        <v>0</v>
      </c>
      <c r="F27" s="4428" t="e">
        <f t="shared" si="16"/>
        <v>#DIV/0!</v>
      </c>
      <c r="G27" s="3342"/>
      <c r="H27" s="3341"/>
      <c r="I27" s="3341"/>
      <c r="J27" s="3349">
        <f t="shared" si="20"/>
        <v>0</v>
      </c>
      <c r="K27" s="4428" t="e">
        <f t="shared" si="42"/>
        <v>#DIV/0!</v>
      </c>
      <c r="L27" s="3342"/>
      <c r="M27" s="3341"/>
      <c r="N27" s="3341"/>
      <c r="O27" s="3349">
        <f t="shared" si="21"/>
        <v>0</v>
      </c>
      <c r="P27" s="4428" t="e">
        <f t="shared" si="22"/>
        <v>#DIV/0!</v>
      </c>
      <c r="Q27" s="3342"/>
      <c r="R27" s="3342">
        <f t="shared" si="23"/>
        <v>0</v>
      </c>
      <c r="S27" s="3342">
        <f t="shared" si="23"/>
        <v>0</v>
      </c>
      <c r="T27" s="2012">
        <f t="shared" si="24"/>
        <v>0</v>
      </c>
      <c r="U27" s="3342"/>
      <c r="V27" s="3342"/>
      <c r="W27" s="3342">
        <f t="shared" si="25"/>
        <v>0</v>
      </c>
      <c r="X27" s="3342">
        <f t="shared" si="25"/>
        <v>0</v>
      </c>
      <c r="Y27" s="2012">
        <f t="shared" si="26"/>
        <v>0</v>
      </c>
      <c r="Z27" s="3342"/>
      <c r="AA27" s="3342"/>
      <c r="AB27" s="3341"/>
      <c r="AC27" s="3341"/>
      <c r="AD27" s="3349">
        <f t="shared" si="27"/>
        <v>0</v>
      </c>
      <c r="AE27" s="4428" t="e">
        <f t="shared" si="43"/>
        <v>#DIV/0!</v>
      </c>
      <c r="AF27" s="3342"/>
      <c r="AG27" s="3341"/>
      <c r="AH27" s="3341"/>
      <c r="AI27" s="3349">
        <f t="shared" si="28"/>
        <v>0</v>
      </c>
      <c r="AJ27" s="4428" t="e">
        <f t="shared" si="44"/>
        <v>#DIV/0!</v>
      </c>
      <c r="AK27" s="3342"/>
      <c r="AL27" s="3341"/>
      <c r="AM27" s="3341"/>
      <c r="AN27" s="3349">
        <f t="shared" si="29"/>
        <v>0</v>
      </c>
      <c r="AO27" s="4428" t="e">
        <f t="shared" si="45"/>
        <v>#DIV/0!</v>
      </c>
      <c r="AP27" s="3342"/>
      <c r="AQ27" s="3341"/>
      <c r="AR27" s="3341"/>
      <c r="AS27" s="3349">
        <f t="shared" si="30"/>
        <v>0</v>
      </c>
      <c r="AT27" s="4428" t="e">
        <f t="shared" si="46"/>
        <v>#DIV/0!</v>
      </c>
      <c r="AU27" s="3342"/>
      <c r="AV27" s="3341"/>
      <c r="AW27" s="3341"/>
      <c r="AX27" s="3349">
        <f t="shared" si="31"/>
        <v>0</v>
      </c>
      <c r="AY27" s="4428">
        <f t="shared" si="47"/>
        <v>0</v>
      </c>
      <c r="AZ27" s="3342"/>
      <c r="BA27" s="3341"/>
      <c r="BB27" s="3341"/>
      <c r="BC27" s="3349">
        <f t="shared" si="32"/>
        <v>0</v>
      </c>
      <c r="BD27" s="4428" t="e">
        <f t="shared" si="48"/>
        <v>#DIV/0!</v>
      </c>
      <c r="BE27" s="3342"/>
      <c r="BF27" s="3341"/>
      <c r="BG27" s="3341"/>
      <c r="BH27" s="3349">
        <f t="shared" si="33"/>
        <v>0</v>
      </c>
      <c r="BI27" s="4428" t="e">
        <f t="shared" si="49"/>
        <v>#DIV/0!</v>
      </c>
      <c r="BJ27" s="3342"/>
      <c r="BK27" s="3341"/>
      <c r="BL27" s="3341"/>
      <c r="BM27" s="3349">
        <f t="shared" si="34"/>
        <v>0</v>
      </c>
      <c r="BN27" s="4428" t="e">
        <f t="shared" si="50"/>
        <v>#DIV/0!</v>
      </c>
      <c r="BO27" s="3342"/>
      <c r="BP27" s="3341"/>
      <c r="BQ27" s="3341"/>
      <c r="BR27" s="3349">
        <f t="shared" si="35"/>
        <v>0</v>
      </c>
      <c r="BS27" s="4428" t="e">
        <f t="shared" si="51"/>
        <v>#DIV/0!</v>
      </c>
      <c r="BT27" s="3342"/>
      <c r="BU27" s="3341"/>
      <c r="BV27" s="3341"/>
      <c r="BW27" s="3349">
        <f t="shared" si="36"/>
        <v>0</v>
      </c>
      <c r="BX27" s="4428" t="e">
        <f t="shared" si="52"/>
        <v>#DIV/0!</v>
      </c>
      <c r="BY27" s="3342"/>
      <c r="BZ27" s="3341"/>
      <c r="CA27" s="3341"/>
      <c r="CB27" s="3349">
        <f t="shared" si="37"/>
        <v>0</v>
      </c>
      <c r="CC27" s="4428" t="e">
        <f t="shared" si="53"/>
        <v>#DIV/0!</v>
      </c>
      <c r="CD27" s="3342"/>
      <c r="CE27" s="3341"/>
      <c r="CF27" s="3341"/>
      <c r="CG27" s="3349">
        <f t="shared" si="38"/>
        <v>0</v>
      </c>
      <c r="CH27" s="4428" t="e">
        <f t="shared" si="54"/>
        <v>#DIV/0!</v>
      </c>
      <c r="CI27" s="3342"/>
      <c r="CJ27" s="3341">
        <f t="shared" si="39"/>
        <v>0</v>
      </c>
      <c r="CK27" s="3341">
        <f t="shared" si="39"/>
        <v>0</v>
      </c>
      <c r="CL27" s="3349">
        <f t="shared" si="55"/>
        <v>0</v>
      </c>
      <c r="CM27" s="4428">
        <f t="shared" si="40"/>
        <v>0</v>
      </c>
      <c r="CN27" s="1434"/>
      <c r="CP27" s="4615"/>
      <c r="CQ27" s="2012">
        <f t="shared" si="41"/>
        <v>0</v>
      </c>
      <c r="CR27" s="4614">
        <f t="shared" si="56"/>
        <v>0</v>
      </c>
      <c r="CT27" s="3443"/>
    </row>
    <row r="28" spans="1:100" s="1396" customFormat="1" ht="13.8" outlineLevel="2">
      <c r="A28" s="1571"/>
      <c r="B28" s="4430" t="s">
        <v>52</v>
      </c>
      <c r="C28" s="3341"/>
      <c r="D28" s="3341"/>
      <c r="E28" s="3349">
        <f t="shared" si="19"/>
        <v>0</v>
      </c>
      <c r="F28" s="4428" t="e">
        <f t="shared" si="16"/>
        <v>#DIV/0!</v>
      </c>
      <c r="G28" s="3342"/>
      <c r="H28" s="3341"/>
      <c r="I28" s="3341"/>
      <c r="J28" s="3349">
        <f t="shared" si="20"/>
        <v>0</v>
      </c>
      <c r="K28" s="4428" t="e">
        <f t="shared" si="42"/>
        <v>#DIV/0!</v>
      </c>
      <c r="L28" s="3342"/>
      <c r="M28" s="3341"/>
      <c r="N28" s="3341"/>
      <c r="O28" s="3349">
        <f t="shared" si="21"/>
        <v>0</v>
      </c>
      <c r="P28" s="4428" t="e">
        <f t="shared" si="22"/>
        <v>#DIV/0!</v>
      </c>
      <c r="Q28" s="3409"/>
      <c r="R28" s="3342">
        <f t="shared" si="23"/>
        <v>0</v>
      </c>
      <c r="S28" s="3342">
        <f t="shared" si="23"/>
        <v>0</v>
      </c>
      <c r="T28" s="2012">
        <f t="shared" si="24"/>
        <v>0</v>
      </c>
      <c r="U28" s="3409"/>
      <c r="V28" s="3409"/>
      <c r="W28" s="3342">
        <f t="shared" si="25"/>
        <v>0</v>
      </c>
      <c r="X28" s="3342">
        <f t="shared" si="25"/>
        <v>0</v>
      </c>
      <c r="Y28" s="2012">
        <f t="shared" si="26"/>
        <v>0</v>
      </c>
      <c r="Z28" s="3409"/>
      <c r="AA28" s="3409"/>
      <c r="AB28" s="3341"/>
      <c r="AC28" s="3341"/>
      <c r="AD28" s="3349">
        <f t="shared" si="27"/>
        <v>0</v>
      </c>
      <c r="AE28" s="4428" t="e">
        <f t="shared" si="43"/>
        <v>#DIV/0!</v>
      </c>
      <c r="AF28" s="3409"/>
      <c r="AG28" s="3341"/>
      <c r="AH28" s="3341"/>
      <c r="AI28" s="3349">
        <f t="shared" si="28"/>
        <v>0</v>
      </c>
      <c r="AJ28" s="4428" t="e">
        <f t="shared" si="44"/>
        <v>#DIV/0!</v>
      </c>
      <c r="AK28" s="3409"/>
      <c r="AL28" s="3341"/>
      <c r="AM28" s="3341"/>
      <c r="AN28" s="3349">
        <f t="shared" si="29"/>
        <v>0</v>
      </c>
      <c r="AO28" s="4428" t="e">
        <f t="shared" si="45"/>
        <v>#DIV/0!</v>
      </c>
      <c r="AP28" s="3409"/>
      <c r="AQ28" s="3341"/>
      <c r="AR28" s="3341"/>
      <c r="AS28" s="3349">
        <f t="shared" si="30"/>
        <v>0</v>
      </c>
      <c r="AT28" s="4428" t="e">
        <f t="shared" si="46"/>
        <v>#DIV/0!</v>
      </c>
      <c r="AU28" s="3409"/>
      <c r="AV28" s="3341"/>
      <c r="AW28" s="3341"/>
      <c r="AX28" s="3349">
        <f t="shared" si="31"/>
        <v>0</v>
      </c>
      <c r="AY28" s="4428">
        <f t="shared" si="47"/>
        <v>0</v>
      </c>
      <c r="AZ28" s="3409"/>
      <c r="BA28" s="3341"/>
      <c r="BB28" s="3341"/>
      <c r="BC28" s="3349">
        <f t="shared" si="32"/>
        <v>0</v>
      </c>
      <c r="BD28" s="4428" t="e">
        <f t="shared" si="48"/>
        <v>#DIV/0!</v>
      </c>
      <c r="BE28" s="3409"/>
      <c r="BF28" s="3341"/>
      <c r="BG28" s="3341"/>
      <c r="BH28" s="3349">
        <f t="shared" si="33"/>
        <v>0</v>
      </c>
      <c r="BI28" s="4428" t="e">
        <f t="shared" si="49"/>
        <v>#DIV/0!</v>
      </c>
      <c r="BJ28" s="3409"/>
      <c r="BK28" s="3341"/>
      <c r="BL28" s="3341"/>
      <c r="BM28" s="3349">
        <f t="shared" si="34"/>
        <v>0</v>
      </c>
      <c r="BN28" s="4428" t="e">
        <f t="shared" si="50"/>
        <v>#DIV/0!</v>
      </c>
      <c r="BO28" s="3409"/>
      <c r="BP28" s="3341"/>
      <c r="BQ28" s="3341"/>
      <c r="BR28" s="3349">
        <f t="shared" si="35"/>
        <v>0</v>
      </c>
      <c r="BS28" s="4428" t="e">
        <f t="shared" si="51"/>
        <v>#DIV/0!</v>
      </c>
      <c r="BT28" s="3409"/>
      <c r="BU28" s="3341"/>
      <c r="BV28" s="3341"/>
      <c r="BW28" s="3349">
        <f t="shared" si="36"/>
        <v>0</v>
      </c>
      <c r="BX28" s="4428" t="e">
        <f t="shared" si="52"/>
        <v>#DIV/0!</v>
      </c>
      <c r="BY28" s="3409"/>
      <c r="BZ28" s="3341"/>
      <c r="CA28" s="3341"/>
      <c r="CB28" s="3349">
        <f t="shared" si="37"/>
        <v>0</v>
      </c>
      <c r="CC28" s="4428" t="e">
        <f t="shared" si="53"/>
        <v>#DIV/0!</v>
      </c>
      <c r="CD28" s="3409"/>
      <c r="CE28" s="3341"/>
      <c r="CF28" s="3341"/>
      <c r="CG28" s="3349">
        <f t="shared" si="38"/>
        <v>0</v>
      </c>
      <c r="CH28" s="4428" t="e">
        <f t="shared" si="54"/>
        <v>#DIV/0!</v>
      </c>
      <c r="CI28" s="3409"/>
      <c r="CJ28" s="3341">
        <f t="shared" si="39"/>
        <v>0</v>
      </c>
      <c r="CK28" s="3341">
        <f t="shared" si="39"/>
        <v>0</v>
      </c>
      <c r="CL28" s="3349">
        <f t="shared" si="55"/>
        <v>0</v>
      </c>
      <c r="CM28" s="4428">
        <f t="shared" si="40"/>
        <v>0</v>
      </c>
      <c r="CN28" s="1434"/>
      <c r="CP28" s="4615"/>
      <c r="CQ28" s="2012">
        <f t="shared" si="41"/>
        <v>0</v>
      </c>
      <c r="CR28" s="4614">
        <f t="shared" si="56"/>
        <v>0</v>
      </c>
      <c r="CT28" s="3443"/>
    </row>
    <row r="29" spans="1:100" s="1396" customFormat="1" ht="13.8" outlineLevel="2">
      <c r="A29" s="1571"/>
      <c r="B29" s="4430" t="s">
        <v>31</v>
      </c>
      <c r="C29" s="3341"/>
      <c r="D29" s="3341"/>
      <c r="E29" s="3349">
        <f t="shared" si="19"/>
        <v>0</v>
      </c>
      <c r="F29" s="4428" t="e">
        <f t="shared" si="16"/>
        <v>#DIV/0!</v>
      </c>
      <c r="G29" s="3342"/>
      <c r="H29" s="3341"/>
      <c r="I29" s="3341"/>
      <c r="J29" s="3349">
        <f t="shared" si="20"/>
        <v>0</v>
      </c>
      <c r="K29" s="4428" t="e">
        <f t="shared" si="42"/>
        <v>#DIV/0!</v>
      </c>
      <c r="L29" s="3342"/>
      <c r="M29" s="3341"/>
      <c r="N29" s="3341"/>
      <c r="O29" s="3349">
        <f t="shared" si="21"/>
        <v>0</v>
      </c>
      <c r="P29" s="4428" t="e">
        <f t="shared" si="22"/>
        <v>#DIV/0!</v>
      </c>
      <c r="Q29" s="3342"/>
      <c r="R29" s="3342">
        <f t="shared" si="23"/>
        <v>0</v>
      </c>
      <c r="S29" s="3342">
        <f t="shared" si="23"/>
        <v>0</v>
      </c>
      <c r="T29" s="2012">
        <f t="shared" si="24"/>
        <v>0</v>
      </c>
      <c r="U29" s="3342"/>
      <c r="V29" s="3342"/>
      <c r="W29" s="3342">
        <f t="shared" si="25"/>
        <v>0</v>
      </c>
      <c r="X29" s="3342">
        <f t="shared" si="25"/>
        <v>0</v>
      </c>
      <c r="Y29" s="2012">
        <f t="shared" si="26"/>
        <v>0</v>
      </c>
      <c r="Z29" s="3342"/>
      <c r="AA29" s="3342"/>
      <c r="AB29" s="3341"/>
      <c r="AC29" s="3341"/>
      <c r="AD29" s="3349">
        <f t="shared" si="27"/>
        <v>0</v>
      </c>
      <c r="AE29" s="4428" t="e">
        <f t="shared" si="43"/>
        <v>#DIV/0!</v>
      </c>
      <c r="AF29" s="3342"/>
      <c r="AG29" s="3341"/>
      <c r="AH29" s="3341"/>
      <c r="AI29" s="3349">
        <f t="shared" si="28"/>
        <v>0</v>
      </c>
      <c r="AJ29" s="4428" t="e">
        <f t="shared" si="44"/>
        <v>#DIV/0!</v>
      </c>
      <c r="AK29" s="3342"/>
      <c r="AL29" s="3341"/>
      <c r="AM29" s="3341"/>
      <c r="AN29" s="3349">
        <f t="shared" si="29"/>
        <v>0</v>
      </c>
      <c r="AO29" s="4428" t="e">
        <f t="shared" si="45"/>
        <v>#DIV/0!</v>
      </c>
      <c r="AP29" s="3342"/>
      <c r="AQ29" s="3341"/>
      <c r="AR29" s="3341"/>
      <c r="AS29" s="3349">
        <f t="shared" si="30"/>
        <v>0</v>
      </c>
      <c r="AT29" s="4428" t="e">
        <f t="shared" si="46"/>
        <v>#DIV/0!</v>
      </c>
      <c r="AU29" s="3342"/>
      <c r="AV29" s="3341"/>
      <c r="AW29" s="3341"/>
      <c r="AX29" s="3349">
        <f t="shared" si="31"/>
        <v>0</v>
      </c>
      <c r="AY29" s="4428">
        <f t="shared" si="47"/>
        <v>0</v>
      </c>
      <c r="AZ29" s="3342"/>
      <c r="BA29" s="3341"/>
      <c r="BB29" s="3341"/>
      <c r="BC29" s="3349">
        <f t="shared" si="32"/>
        <v>0</v>
      </c>
      <c r="BD29" s="4428" t="e">
        <f t="shared" si="48"/>
        <v>#DIV/0!</v>
      </c>
      <c r="BE29" s="3342"/>
      <c r="BF29" s="3341"/>
      <c r="BG29" s="3341"/>
      <c r="BH29" s="3349">
        <f t="shared" si="33"/>
        <v>0</v>
      </c>
      <c r="BI29" s="4428" t="e">
        <f t="shared" si="49"/>
        <v>#DIV/0!</v>
      </c>
      <c r="BJ29" s="3342"/>
      <c r="BK29" s="3341"/>
      <c r="BL29" s="3341"/>
      <c r="BM29" s="3349">
        <f t="shared" si="34"/>
        <v>0</v>
      </c>
      <c r="BN29" s="4428" t="e">
        <f t="shared" si="50"/>
        <v>#DIV/0!</v>
      </c>
      <c r="BO29" s="3342"/>
      <c r="BP29" s="3341"/>
      <c r="BQ29" s="3341"/>
      <c r="BR29" s="3349">
        <f t="shared" si="35"/>
        <v>0</v>
      </c>
      <c r="BS29" s="4428" t="e">
        <f t="shared" si="51"/>
        <v>#DIV/0!</v>
      </c>
      <c r="BT29" s="3342"/>
      <c r="BU29" s="3341"/>
      <c r="BV29" s="3341"/>
      <c r="BW29" s="3349">
        <f t="shared" si="36"/>
        <v>0</v>
      </c>
      <c r="BX29" s="4428" t="e">
        <f t="shared" si="52"/>
        <v>#DIV/0!</v>
      </c>
      <c r="BY29" s="3342"/>
      <c r="BZ29" s="3341"/>
      <c r="CA29" s="3341"/>
      <c r="CB29" s="3349">
        <f t="shared" si="37"/>
        <v>0</v>
      </c>
      <c r="CC29" s="4428" t="e">
        <f t="shared" si="53"/>
        <v>#DIV/0!</v>
      </c>
      <c r="CD29" s="3342"/>
      <c r="CE29" s="3341"/>
      <c r="CF29" s="3341"/>
      <c r="CG29" s="3349">
        <f t="shared" si="38"/>
        <v>0</v>
      </c>
      <c r="CH29" s="4428" t="e">
        <f t="shared" si="54"/>
        <v>#DIV/0!</v>
      </c>
      <c r="CI29" s="3342"/>
      <c r="CJ29" s="3341">
        <f t="shared" si="39"/>
        <v>0</v>
      </c>
      <c r="CK29" s="3341">
        <f t="shared" si="39"/>
        <v>0</v>
      </c>
      <c r="CL29" s="3349">
        <f t="shared" si="55"/>
        <v>0</v>
      </c>
      <c r="CM29" s="4428">
        <f t="shared" si="40"/>
        <v>0</v>
      </c>
      <c r="CN29" s="4432"/>
      <c r="CP29" s="4615"/>
      <c r="CQ29" s="2012">
        <f t="shared" si="41"/>
        <v>0</v>
      </c>
      <c r="CR29" s="4614">
        <f t="shared" si="56"/>
        <v>0</v>
      </c>
      <c r="CT29" s="2624"/>
    </row>
    <row r="30" spans="1:100" s="1396" customFormat="1" ht="13.8" outlineLevel="2">
      <c r="A30" s="1571"/>
      <c r="B30" s="4430" t="s">
        <v>62</v>
      </c>
      <c r="C30" s="3341"/>
      <c r="D30" s="3341"/>
      <c r="E30" s="3349">
        <f t="shared" si="19"/>
        <v>0</v>
      </c>
      <c r="F30" s="4428" t="e">
        <f t="shared" si="16"/>
        <v>#DIV/0!</v>
      </c>
      <c r="G30" s="3343"/>
      <c r="H30" s="3341"/>
      <c r="I30" s="3341"/>
      <c r="J30" s="3349">
        <f t="shared" si="20"/>
        <v>0</v>
      </c>
      <c r="K30" s="4428" t="e">
        <f t="shared" si="42"/>
        <v>#DIV/0!</v>
      </c>
      <c r="L30" s="3343"/>
      <c r="M30" s="3341"/>
      <c r="N30" s="3341"/>
      <c r="O30" s="3349">
        <f t="shared" si="21"/>
        <v>0</v>
      </c>
      <c r="P30" s="4428" t="e">
        <f t="shared" si="22"/>
        <v>#DIV/0!</v>
      </c>
      <c r="Q30" s="3342"/>
      <c r="R30" s="3342">
        <f t="shared" si="23"/>
        <v>0</v>
      </c>
      <c r="S30" s="3342">
        <f t="shared" si="23"/>
        <v>0</v>
      </c>
      <c r="T30" s="2012">
        <f t="shared" si="24"/>
        <v>0</v>
      </c>
      <c r="U30" s="3342"/>
      <c r="V30" s="3342"/>
      <c r="W30" s="3342">
        <f t="shared" si="25"/>
        <v>0</v>
      </c>
      <c r="X30" s="3342">
        <f t="shared" si="25"/>
        <v>0</v>
      </c>
      <c r="Y30" s="2012">
        <f t="shared" si="26"/>
        <v>0</v>
      </c>
      <c r="Z30" s="3342"/>
      <c r="AA30" s="3342"/>
      <c r="AB30" s="3341"/>
      <c r="AC30" s="3341"/>
      <c r="AD30" s="3349">
        <f t="shared" si="27"/>
        <v>0</v>
      </c>
      <c r="AE30" s="4428" t="e">
        <f t="shared" si="43"/>
        <v>#DIV/0!</v>
      </c>
      <c r="AF30" s="3342"/>
      <c r="AG30" s="3341"/>
      <c r="AH30" s="3341"/>
      <c r="AI30" s="3349">
        <f t="shared" si="28"/>
        <v>0</v>
      </c>
      <c r="AJ30" s="4428" t="e">
        <f t="shared" si="44"/>
        <v>#DIV/0!</v>
      </c>
      <c r="AK30" s="3342"/>
      <c r="AL30" s="3341"/>
      <c r="AM30" s="3341"/>
      <c r="AN30" s="3349">
        <f t="shared" si="29"/>
        <v>0</v>
      </c>
      <c r="AO30" s="4428" t="e">
        <f t="shared" si="45"/>
        <v>#DIV/0!</v>
      </c>
      <c r="AP30" s="3342"/>
      <c r="AQ30" s="3341"/>
      <c r="AR30" s="3341"/>
      <c r="AS30" s="3349">
        <f t="shared" si="30"/>
        <v>0</v>
      </c>
      <c r="AT30" s="4428" t="e">
        <f t="shared" si="46"/>
        <v>#DIV/0!</v>
      </c>
      <c r="AU30" s="3342"/>
      <c r="AV30" s="3341"/>
      <c r="AW30" s="3341"/>
      <c r="AX30" s="3349">
        <f t="shared" si="31"/>
        <v>0</v>
      </c>
      <c r="AY30" s="4428">
        <f t="shared" si="47"/>
        <v>0</v>
      </c>
      <c r="AZ30" s="3342"/>
      <c r="BA30" s="3341"/>
      <c r="BB30" s="3341"/>
      <c r="BC30" s="3349">
        <f t="shared" si="32"/>
        <v>0</v>
      </c>
      <c r="BD30" s="4428" t="e">
        <f t="shared" si="48"/>
        <v>#DIV/0!</v>
      </c>
      <c r="BE30" s="3342"/>
      <c r="BF30" s="3341"/>
      <c r="BG30" s="3341"/>
      <c r="BH30" s="3349">
        <f t="shared" si="33"/>
        <v>0</v>
      </c>
      <c r="BI30" s="4428" t="e">
        <f t="shared" si="49"/>
        <v>#DIV/0!</v>
      </c>
      <c r="BJ30" s="3342"/>
      <c r="BK30" s="3341"/>
      <c r="BL30" s="3341"/>
      <c r="BM30" s="3349">
        <f t="shared" si="34"/>
        <v>0</v>
      </c>
      <c r="BN30" s="4428" t="e">
        <f t="shared" si="50"/>
        <v>#DIV/0!</v>
      </c>
      <c r="BO30" s="3342"/>
      <c r="BP30" s="3341"/>
      <c r="BQ30" s="3341"/>
      <c r="BR30" s="3349">
        <f t="shared" si="35"/>
        <v>0</v>
      </c>
      <c r="BS30" s="4428" t="e">
        <f t="shared" si="51"/>
        <v>#DIV/0!</v>
      </c>
      <c r="BT30" s="3342"/>
      <c r="BU30" s="3341"/>
      <c r="BV30" s="3341"/>
      <c r="BW30" s="3349">
        <f t="shared" si="36"/>
        <v>0</v>
      </c>
      <c r="BX30" s="4428" t="e">
        <f t="shared" si="52"/>
        <v>#DIV/0!</v>
      </c>
      <c r="BY30" s="3342"/>
      <c r="BZ30" s="3341"/>
      <c r="CA30" s="3341"/>
      <c r="CB30" s="3349">
        <f t="shared" si="37"/>
        <v>0</v>
      </c>
      <c r="CC30" s="4428" t="e">
        <f t="shared" si="53"/>
        <v>#DIV/0!</v>
      </c>
      <c r="CD30" s="3342"/>
      <c r="CE30" s="3341"/>
      <c r="CF30" s="3341"/>
      <c r="CG30" s="3349">
        <f t="shared" si="38"/>
        <v>0</v>
      </c>
      <c r="CH30" s="4428" t="e">
        <f t="shared" si="54"/>
        <v>#DIV/0!</v>
      </c>
      <c r="CI30" s="3342"/>
      <c r="CJ30" s="3341">
        <f t="shared" si="39"/>
        <v>0</v>
      </c>
      <c r="CK30" s="3341">
        <f t="shared" si="39"/>
        <v>0</v>
      </c>
      <c r="CL30" s="3349">
        <f t="shared" si="55"/>
        <v>0</v>
      </c>
      <c r="CM30" s="4428">
        <f t="shared" si="40"/>
        <v>0</v>
      </c>
      <c r="CN30" s="4432"/>
      <c r="CP30" s="4615"/>
      <c r="CQ30" s="2012">
        <f t="shared" si="41"/>
        <v>0</v>
      </c>
      <c r="CR30" s="4614">
        <f t="shared" si="56"/>
        <v>0</v>
      </c>
      <c r="CT30" s="3443"/>
    </row>
    <row r="31" spans="1:100" s="1396" customFormat="1" ht="13.8" outlineLevel="2">
      <c r="A31" s="1571"/>
      <c r="B31" s="4430" t="s">
        <v>34</v>
      </c>
      <c r="C31" s="3341"/>
      <c r="D31" s="3341"/>
      <c r="E31" s="3349">
        <f t="shared" si="19"/>
        <v>0</v>
      </c>
      <c r="F31" s="4428" t="e">
        <f t="shared" si="16"/>
        <v>#DIV/0!</v>
      </c>
      <c r="G31" s="3343"/>
      <c r="H31" s="3341"/>
      <c r="I31" s="3341"/>
      <c r="J31" s="3349">
        <f t="shared" si="20"/>
        <v>0</v>
      </c>
      <c r="K31" s="4428" t="e">
        <f t="shared" si="42"/>
        <v>#DIV/0!</v>
      </c>
      <c r="L31" s="3343"/>
      <c r="M31" s="3341"/>
      <c r="N31" s="3341"/>
      <c r="O31" s="3349">
        <f t="shared" si="21"/>
        <v>0</v>
      </c>
      <c r="P31" s="4428" t="e">
        <f t="shared" si="22"/>
        <v>#DIV/0!</v>
      </c>
      <c r="Q31" s="3342"/>
      <c r="R31" s="3342">
        <f t="shared" si="23"/>
        <v>0</v>
      </c>
      <c r="S31" s="3342">
        <f t="shared" si="23"/>
        <v>0</v>
      </c>
      <c r="T31" s="2012">
        <f t="shared" si="24"/>
        <v>0</v>
      </c>
      <c r="U31" s="3342"/>
      <c r="V31" s="3342"/>
      <c r="W31" s="3342">
        <f t="shared" si="25"/>
        <v>0</v>
      </c>
      <c r="X31" s="3342">
        <f t="shared" si="25"/>
        <v>0</v>
      </c>
      <c r="Y31" s="2012">
        <f t="shared" si="26"/>
        <v>0</v>
      </c>
      <c r="Z31" s="3342"/>
      <c r="AA31" s="3342"/>
      <c r="AB31" s="3341"/>
      <c r="AC31" s="3341"/>
      <c r="AD31" s="3349">
        <f t="shared" si="27"/>
        <v>0</v>
      </c>
      <c r="AE31" s="4428" t="e">
        <f t="shared" si="43"/>
        <v>#DIV/0!</v>
      </c>
      <c r="AF31" s="3342"/>
      <c r="AG31" s="3341"/>
      <c r="AH31" s="3341"/>
      <c r="AI31" s="3349">
        <f t="shared" si="28"/>
        <v>0</v>
      </c>
      <c r="AJ31" s="4428" t="e">
        <f t="shared" si="44"/>
        <v>#DIV/0!</v>
      </c>
      <c r="AK31" s="3342"/>
      <c r="AL31" s="3341"/>
      <c r="AM31" s="3341"/>
      <c r="AN31" s="3349">
        <f t="shared" si="29"/>
        <v>0</v>
      </c>
      <c r="AO31" s="4428" t="e">
        <f t="shared" si="45"/>
        <v>#DIV/0!</v>
      </c>
      <c r="AP31" s="3342"/>
      <c r="AQ31" s="3341"/>
      <c r="AR31" s="3341"/>
      <c r="AS31" s="3349">
        <f t="shared" si="30"/>
        <v>0</v>
      </c>
      <c r="AT31" s="4428" t="e">
        <f t="shared" si="46"/>
        <v>#DIV/0!</v>
      </c>
      <c r="AU31" s="3342"/>
      <c r="AV31" s="3341"/>
      <c r="AW31" s="3341"/>
      <c r="AX31" s="3349">
        <f t="shared" si="31"/>
        <v>0</v>
      </c>
      <c r="AY31" s="4428">
        <f t="shared" si="47"/>
        <v>0</v>
      </c>
      <c r="AZ31" s="3342"/>
      <c r="BA31" s="3341"/>
      <c r="BB31" s="3341"/>
      <c r="BC31" s="3349">
        <f t="shared" si="32"/>
        <v>0</v>
      </c>
      <c r="BD31" s="4428" t="e">
        <f t="shared" si="48"/>
        <v>#DIV/0!</v>
      </c>
      <c r="BE31" s="3342"/>
      <c r="BF31" s="3341"/>
      <c r="BG31" s="3341"/>
      <c r="BH31" s="3349">
        <f t="shared" si="33"/>
        <v>0</v>
      </c>
      <c r="BI31" s="4428" t="e">
        <f t="shared" si="49"/>
        <v>#DIV/0!</v>
      </c>
      <c r="BJ31" s="3342"/>
      <c r="BK31" s="3341"/>
      <c r="BL31" s="3341"/>
      <c r="BM31" s="3349">
        <f t="shared" si="34"/>
        <v>0</v>
      </c>
      <c r="BN31" s="4428" t="e">
        <f t="shared" si="50"/>
        <v>#DIV/0!</v>
      </c>
      <c r="BO31" s="3342"/>
      <c r="BP31" s="3341"/>
      <c r="BQ31" s="3341"/>
      <c r="BR31" s="3349">
        <f t="shared" si="35"/>
        <v>0</v>
      </c>
      <c r="BS31" s="4428" t="e">
        <f t="shared" si="51"/>
        <v>#DIV/0!</v>
      </c>
      <c r="BT31" s="3342"/>
      <c r="BU31" s="3341"/>
      <c r="BV31" s="3341"/>
      <c r="BW31" s="3349">
        <f t="shared" si="36"/>
        <v>0</v>
      </c>
      <c r="BX31" s="4428" t="e">
        <f t="shared" si="52"/>
        <v>#DIV/0!</v>
      </c>
      <c r="BY31" s="3342"/>
      <c r="BZ31" s="3341"/>
      <c r="CA31" s="3341"/>
      <c r="CB31" s="3349">
        <f t="shared" si="37"/>
        <v>0</v>
      </c>
      <c r="CC31" s="4428" t="e">
        <f t="shared" si="53"/>
        <v>#DIV/0!</v>
      </c>
      <c r="CD31" s="3342"/>
      <c r="CE31" s="3341"/>
      <c r="CF31" s="3341"/>
      <c r="CG31" s="3349">
        <f t="shared" si="38"/>
        <v>0</v>
      </c>
      <c r="CH31" s="4428" t="e">
        <f t="shared" si="54"/>
        <v>#DIV/0!</v>
      </c>
      <c r="CI31" s="3342"/>
      <c r="CJ31" s="3341">
        <f t="shared" si="39"/>
        <v>0</v>
      </c>
      <c r="CK31" s="3341">
        <f t="shared" si="39"/>
        <v>0</v>
      </c>
      <c r="CL31" s="3349">
        <f t="shared" si="55"/>
        <v>0</v>
      </c>
      <c r="CM31" s="4428">
        <f t="shared" si="40"/>
        <v>0</v>
      </c>
      <c r="CN31" s="4432"/>
      <c r="CP31" s="4615"/>
      <c r="CQ31" s="2012">
        <f t="shared" si="41"/>
        <v>0</v>
      </c>
      <c r="CR31" s="4614">
        <f t="shared" si="56"/>
        <v>0</v>
      </c>
      <c r="CT31" s="3443"/>
      <c r="CV31" s="933"/>
    </row>
    <row r="32" spans="1:100" s="1396" customFormat="1" ht="13.8" outlineLevel="2">
      <c r="A32" s="1571"/>
      <c r="B32" s="4433" t="s">
        <v>2</v>
      </c>
      <c r="C32" s="3341"/>
      <c r="D32" s="3341"/>
      <c r="E32" s="3349">
        <f t="shared" si="19"/>
        <v>0</v>
      </c>
      <c r="F32" s="4428" t="e">
        <f t="shared" si="16"/>
        <v>#DIV/0!</v>
      </c>
      <c r="G32" s="4434"/>
      <c r="H32" s="3341"/>
      <c r="I32" s="3341"/>
      <c r="J32" s="3349">
        <f t="shared" si="20"/>
        <v>0</v>
      </c>
      <c r="K32" s="4428" t="e">
        <f t="shared" si="42"/>
        <v>#DIV/0!</v>
      </c>
      <c r="L32" s="4434"/>
      <c r="M32" s="3341"/>
      <c r="N32" s="3341"/>
      <c r="O32" s="3349">
        <f t="shared" si="21"/>
        <v>0</v>
      </c>
      <c r="P32" s="4428" t="e">
        <f t="shared" si="22"/>
        <v>#DIV/0!</v>
      </c>
      <c r="Q32" s="4434"/>
      <c r="R32" s="3342">
        <f t="shared" si="23"/>
        <v>0</v>
      </c>
      <c r="S32" s="3342">
        <f t="shared" si="23"/>
        <v>0</v>
      </c>
      <c r="T32" s="2012">
        <f t="shared" si="24"/>
        <v>0</v>
      </c>
      <c r="U32" s="2048"/>
      <c r="V32" s="2048"/>
      <c r="W32" s="3342">
        <f t="shared" si="25"/>
        <v>0</v>
      </c>
      <c r="X32" s="3342">
        <f t="shared" si="25"/>
        <v>0</v>
      </c>
      <c r="Y32" s="2012">
        <f t="shared" si="26"/>
        <v>0</v>
      </c>
      <c r="Z32" s="2048"/>
      <c r="AA32" s="2048"/>
      <c r="AB32" s="3341"/>
      <c r="AC32" s="3341"/>
      <c r="AD32" s="3349">
        <f t="shared" si="27"/>
        <v>0</v>
      </c>
      <c r="AE32" s="4428" t="e">
        <f t="shared" si="43"/>
        <v>#DIV/0!</v>
      </c>
      <c r="AF32" s="4434"/>
      <c r="AG32" s="3341"/>
      <c r="AH32" s="3341"/>
      <c r="AI32" s="3349">
        <f t="shared" si="28"/>
        <v>0</v>
      </c>
      <c r="AJ32" s="4428" t="e">
        <f t="shared" si="44"/>
        <v>#DIV/0!</v>
      </c>
      <c r="AK32" s="4434"/>
      <c r="AL32" s="3341"/>
      <c r="AM32" s="3341"/>
      <c r="AN32" s="3349">
        <f t="shared" si="29"/>
        <v>0</v>
      </c>
      <c r="AO32" s="4428" t="e">
        <f t="shared" si="45"/>
        <v>#DIV/0!</v>
      </c>
      <c r="AP32" s="4434"/>
      <c r="AQ32" s="3341"/>
      <c r="AR32" s="3341"/>
      <c r="AS32" s="3349">
        <f t="shared" si="30"/>
        <v>0</v>
      </c>
      <c r="AT32" s="4428" t="e">
        <f t="shared" si="46"/>
        <v>#DIV/0!</v>
      </c>
      <c r="AU32" s="4434"/>
      <c r="AV32" s="3341"/>
      <c r="AW32" s="3341"/>
      <c r="AX32" s="3349">
        <f t="shared" si="31"/>
        <v>0</v>
      </c>
      <c r="AY32" s="4428">
        <f t="shared" si="47"/>
        <v>0</v>
      </c>
      <c r="AZ32" s="4434"/>
      <c r="BA32" s="3341"/>
      <c r="BB32" s="3341"/>
      <c r="BC32" s="3349">
        <f t="shared" si="32"/>
        <v>0</v>
      </c>
      <c r="BD32" s="4428" t="e">
        <f t="shared" si="48"/>
        <v>#DIV/0!</v>
      </c>
      <c r="BE32" s="4434"/>
      <c r="BF32" s="3341"/>
      <c r="BG32" s="3341"/>
      <c r="BH32" s="3349">
        <f t="shared" si="33"/>
        <v>0</v>
      </c>
      <c r="BI32" s="4428" t="e">
        <f t="shared" si="49"/>
        <v>#DIV/0!</v>
      </c>
      <c r="BJ32" s="4434"/>
      <c r="BK32" s="3341"/>
      <c r="BL32" s="3341"/>
      <c r="BM32" s="3349">
        <f t="shared" si="34"/>
        <v>0</v>
      </c>
      <c r="BN32" s="4428" t="e">
        <f t="shared" si="50"/>
        <v>#DIV/0!</v>
      </c>
      <c r="BO32" s="4434"/>
      <c r="BP32" s="3341"/>
      <c r="BQ32" s="3341"/>
      <c r="BR32" s="3349">
        <f t="shared" si="35"/>
        <v>0</v>
      </c>
      <c r="BS32" s="4428" t="e">
        <f t="shared" si="51"/>
        <v>#DIV/0!</v>
      </c>
      <c r="BT32" s="4434"/>
      <c r="BU32" s="3341"/>
      <c r="BV32" s="3341"/>
      <c r="BW32" s="3349">
        <f t="shared" si="36"/>
        <v>0</v>
      </c>
      <c r="BX32" s="4428" t="e">
        <f t="shared" si="52"/>
        <v>#DIV/0!</v>
      </c>
      <c r="BY32" s="4434"/>
      <c r="BZ32" s="3341"/>
      <c r="CA32" s="3341"/>
      <c r="CB32" s="3349">
        <f t="shared" si="37"/>
        <v>0</v>
      </c>
      <c r="CC32" s="4428" t="e">
        <f t="shared" si="53"/>
        <v>#DIV/0!</v>
      </c>
      <c r="CD32" s="4434"/>
      <c r="CE32" s="3341"/>
      <c r="CF32" s="3341"/>
      <c r="CG32" s="3349">
        <f t="shared" si="38"/>
        <v>0</v>
      </c>
      <c r="CH32" s="4428" t="e">
        <f t="shared" si="54"/>
        <v>#DIV/0!</v>
      </c>
      <c r="CI32" s="4434"/>
      <c r="CJ32" s="4622">
        <f t="shared" si="39"/>
        <v>0</v>
      </c>
      <c r="CK32" s="4623">
        <f t="shared" si="39"/>
        <v>0</v>
      </c>
      <c r="CL32" s="3349">
        <f t="shared" si="55"/>
        <v>0</v>
      </c>
      <c r="CM32" s="4428">
        <f t="shared" si="40"/>
        <v>0</v>
      </c>
      <c r="CN32" s="4432"/>
      <c r="CP32" s="4615"/>
      <c r="CQ32" s="2012">
        <f t="shared" si="41"/>
        <v>0</v>
      </c>
      <c r="CR32" s="4614">
        <f t="shared" si="56"/>
        <v>0</v>
      </c>
      <c r="CT32" s="2624"/>
    </row>
    <row r="33" spans="1:98" s="1396" customFormat="1" ht="14.4" outlineLevel="2" thickBot="1">
      <c r="A33" s="1571"/>
      <c r="B33" s="4435" t="s">
        <v>75</v>
      </c>
      <c r="C33" s="4624"/>
      <c r="D33" s="4624"/>
      <c r="E33" s="4625">
        <f t="shared" ref="E33" si="57">C33+D33*1</f>
        <v>0</v>
      </c>
      <c r="F33" s="4437" t="e">
        <f t="shared" si="16"/>
        <v>#DIV/0!</v>
      </c>
      <c r="G33" s="4438"/>
      <c r="H33" s="4624"/>
      <c r="I33" s="4624"/>
      <c r="J33" s="4625">
        <f>H33+I33*1</f>
        <v>0</v>
      </c>
      <c r="K33" s="4437" t="e">
        <f t="shared" si="42"/>
        <v>#DIV/0!</v>
      </c>
      <c r="L33" s="4438"/>
      <c r="M33" s="4624"/>
      <c r="N33" s="4624"/>
      <c r="O33" s="4625">
        <f t="shared" ref="O33" si="58">M33+N33*1</f>
        <v>0</v>
      </c>
      <c r="P33" s="4428" t="e">
        <f t="shared" si="22"/>
        <v>#DIV/0!</v>
      </c>
      <c r="Q33" s="4438"/>
      <c r="R33" s="4626">
        <f t="shared" si="23"/>
        <v>0</v>
      </c>
      <c r="S33" s="4627">
        <f t="shared" si="23"/>
        <v>0</v>
      </c>
      <c r="T33" s="4628">
        <f t="shared" si="24"/>
        <v>0</v>
      </c>
      <c r="U33" s="4438"/>
      <c r="V33" s="4438"/>
      <c r="W33" s="4627">
        <f t="shared" si="25"/>
        <v>0</v>
      </c>
      <c r="X33" s="4627">
        <f t="shared" si="25"/>
        <v>0</v>
      </c>
      <c r="Y33" s="4628">
        <f t="shared" si="26"/>
        <v>0</v>
      </c>
      <c r="Z33" s="4438"/>
      <c r="AA33" s="4438"/>
      <c r="AB33" s="4624"/>
      <c r="AC33" s="4624"/>
      <c r="AD33" s="4625">
        <f t="shared" ref="AD33" si="59">AB33+AC33*1</f>
        <v>0</v>
      </c>
      <c r="AE33" s="4437" t="e">
        <f t="shared" si="43"/>
        <v>#DIV/0!</v>
      </c>
      <c r="AF33" s="4438"/>
      <c r="AG33" s="4624"/>
      <c r="AH33" s="4624"/>
      <c r="AI33" s="4625">
        <f t="shared" ref="AI33" si="60">AG33+AH33*1</f>
        <v>0</v>
      </c>
      <c r="AJ33" s="4437" t="e">
        <f t="shared" si="44"/>
        <v>#DIV/0!</v>
      </c>
      <c r="AK33" s="4438"/>
      <c r="AL33" s="4624"/>
      <c r="AM33" s="4624"/>
      <c r="AN33" s="4625">
        <f t="shared" ref="AN33" si="61">AL33+AM33*1</f>
        <v>0</v>
      </c>
      <c r="AO33" s="4437" t="e">
        <f t="shared" si="45"/>
        <v>#DIV/0!</v>
      </c>
      <c r="AP33" s="4438"/>
      <c r="AQ33" s="4624"/>
      <c r="AR33" s="4624"/>
      <c r="AS33" s="4625">
        <f t="shared" ref="AS33" si="62">AQ33+AR33*1</f>
        <v>0</v>
      </c>
      <c r="AT33" s="4437" t="e">
        <f t="shared" si="46"/>
        <v>#DIV/0!</v>
      </c>
      <c r="AU33" s="4438"/>
      <c r="AV33" s="4624"/>
      <c r="AW33" s="4624"/>
      <c r="AX33" s="4625">
        <f t="shared" ref="AX33" si="63">AV33+AW33*1</f>
        <v>0</v>
      </c>
      <c r="AY33" s="4437">
        <f t="shared" si="47"/>
        <v>0</v>
      </c>
      <c r="AZ33" s="4438"/>
      <c r="BA33" s="4624"/>
      <c r="BB33" s="4624"/>
      <c r="BC33" s="4625">
        <f t="shared" ref="BC33" si="64">BA33+BB33*1</f>
        <v>0</v>
      </c>
      <c r="BD33" s="4437" t="e">
        <f t="shared" si="48"/>
        <v>#DIV/0!</v>
      </c>
      <c r="BE33" s="4438"/>
      <c r="BF33" s="4624"/>
      <c r="BG33" s="4624"/>
      <c r="BH33" s="4625">
        <f t="shared" ref="BH33" si="65">BF33+BG33*1</f>
        <v>0</v>
      </c>
      <c r="BI33" s="4437" t="e">
        <f t="shared" si="49"/>
        <v>#DIV/0!</v>
      </c>
      <c r="BJ33" s="4438"/>
      <c r="BK33" s="4624"/>
      <c r="BL33" s="4624"/>
      <c r="BM33" s="4625">
        <f t="shared" ref="BM33" si="66">BK33+BL33*1</f>
        <v>0</v>
      </c>
      <c r="BN33" s="4437" t="e">
        <f t="shared" si="50"/>
        <v>#DIV/0!</v>
      </c>
      <c r="BO33" s="4438"/>
      <c r="BP33" s="4624"/>
      <c r="BQ33" s="4624"/>
      <c r="BR33" s="4625">
        <f t="shared" ref="BR33" si="67">BP33+BQ33*1</f>
        <v>0</v>
      </c>
      <c r="BS33" s="4437" t="e">
        <f t="shared" si="51"/>
        <v>#DIV/0!</v>
      </c>
      <c r="BT33" s="4438"/>
      <c r="BU33" s="4624"/>
      <c r="BV33" s="4624"/>
      <c r="BW33" s="4625">
        <f t="shared" ref="BW33" si="68">BU33+BV33*1</f>
        <v>0</v>
      </c>
      <c r="BX33" s="4437" t="e">
        <f t="shared" si="52"/>
        <v>#DIV/0!</v>
      </c>
      <c r="BY33" s="4438"/>
      <c r="BZ33" s="4624"/>
      <c r="CA33" s="4624"/>
      <c r="CB33" s="4625">
        <f t="shared" ref="CB33" si="69">BZ33+CA33*1</f>
        <v>0</v>
      </c>
      <c r="CC33" s="4437" t="e">
        <f t="shared" si="53"/>
        <v>#DIV/0!</v>
      </c>
      <c r="CD33" s="4438"/>
      <c r="CE33" s="4624"/>
      <c r="CF33" s="4624"/>
      <c r="CG33" s="4625">
        <f t="shared" ref="CG33" si="70">CE33+CF33*1</f>
        <v>0</v>
      </c>
      <c r="CH33" s="4437" t="e">
        <f t="shared" si="54"/>
        <v>#DIV/0!</v>
      </c>
      <c r="CI33" s="4438"/>
      <c r="CJ33" s="4629">
        <f t="shared" si="39"/>
        <v>0</v>
      </c>
      <c r="CK33" s="4624">
        <f t="shared" si="39"/>
        <v>0</v>
      </c>
      <c r="CL33" s="4625">
        <f t="shared" si="55"/>
        <v>0</v>
      </c>
      <c r="CM33" s="4488">
        <f t="shared" si="40"/>
        <v>0</v>
      </c>
      <c r="CN33" s="4490"/>
      <c r="CP33" s="4615"/>
      <c r="CQ33" s="4615"/>
      <c r="CR33" s="4614">
        <f t="shared" si="56"/>
        <v>0</v>
      </c>
      <c r="CT33" s="2624"/>
    </row>
    <row r="34" spans="1:98"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1"/>
      <c r="AC34" s="3341"/>
      <c r="AD34" s="3368"/>
      <c r="AE34" s="3368"/>
      <c r="AF34" s="3448"/>
      <c r="AG34" s="3341"/>
      <c r="AH34" s="3341"/>
      <c r="AI34" s="3368"/>
      <c r="AJ34" s="3368"/>
      <c r="AK34" s="3448"/>
      <c r="AL34" s="3341"/>
      <c r="AM34" s="3341"/>
      <c r="AN34" s="3368"/>
      <c r="AO34" s="3368"/>
      <c r="AP34" s="3448"/>
      <c r="AQ34" s="3341"/>
      <c r="AR34" s="3341"/>
      <c r="AS34" s="3368"/>
      <c r="AT34" s="3368"/>
      <c r="AU34" s="3448"/>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3449"/>
      <c r="CQ34" s="3449"/>
      <c r="CR34" s="3450"/>
      <c r="CT34" s="2624"/>
    </row>
    <row r="35" spans="1:98" s="1396" customFormat="1" ht="13.8" outlineLevel="1">
      <c r="A35" s="1571"/>
      <c r="B35" s="4440" t="s">
        <v>80</v>
      </c>
      <c r="C35" s="4441">
        <f>C36</f>
        <v>0</v>
      </c>
      <c r="D35" s="4441">
        <f>D36</f>
        <v>0</v>
      </c>
      <c r="E35" s="4442">
        <f>E36</f>
        <v>0</v>
      </c>
      <c r="F35" s="4442"/>
      <c r="G35" s="4443"/>
      <c r="H35" s="4441">
        <f>H36</f>
        <v>0</v>
      </c>
      <c r="I35" s="4441">
        <f>I36</f>
        <v>0</v>
      </c>
      <c r="J35" s="4442">
        <f>J36</f>
        <v>0</v>
      </c>
      <c r="K35" s="4442"/>
      <c r="L35" s="4443"/>
      <c r="M35" s="4441">
        <f>M36</f>
        <v>0</v>
      </c>
      <c r="N35" s="4441">
        <f>N36</f>
        <v>0</v>
      </c>
      <c r="O35" s="4442">
        <f>O36</f>
        <v>0</v>
      </c>
      <c r="P35" s="4442"/>
      <c r="Q35" s="4443"/>
      <c r="R35" s="4441">
        <f>R36</f>
        <v>0</v>
      </c>
      <c r="S35" s="4441">
        <f>S36</f>
        <v>0</v>
      </c>
      <c r="T35" s="4442">
        <f>T36</f>
        <v>0</v>
      </c>
      <c r="U35" s="4444"/>
      <c r="V35" s="4444"/>
      <c r="W35" s="4441">
        <f>W36</f>
        <v>0</v>
      </c>
      <c r="X35" s="4441">
        <f>X36</f>
        <v>0</v>
      </c>
      <c r="Y35" s="4442">
        <f>Y36</f>
        <v>0</v>
      </c>
      <c r="Z35" s="4444"/>
      <c r="AA35" s="4444"/>
      <c r="AB35" s="4441">
        <f>AB36</f>
        <v>0</v>
      </c>
      <c r="AC35" s="4441">
        <f>AC36</f>
        <v>0</v>
      </c>
      <c r="AD35" s="4442">
        <f>AD36</f>
        <v>0</v>
      </c>
      <c r="AE35" s="4442"/>
      <c r="AF35" s="4443"/>
      <c r="AG35" s="4441">
        <f>AG36</f>
        <v>0</v>
      </c>
      <c r="AH35" s="4441">
        <f>AH36</f>
        <v>0</v>
      </c>
      <c r="AI35" s="4442">
        <f>AI36</f>
        <v>0</v>
      </c>
      <c r="AJ35" s="4442"/>
      <c r="AK35" s="4443"/>
      <c r="AL35" s="4441">
        <f>AL36</f>
        <v>0</v>
      </c>
      <c r="AM35" s="4441">
        <f>AM36</f>
        <v>0</v>
      </c>
      <c r="AN35" s="4442">
        <f>AN36</f>
        <v>0</v>
      </c>
      <c r="AO35" s="4442"/>
      <c r="AP35" s="4443"/>
      <c r="AQ35" s="4441">
        <f>AQ36</f>
        <v>0</v>
      </c>
      <c r="AR35" s="4441">
        <f>AR36</f>
        <v>0</v>
      </c>
      <c r="AS35" s="4442">
        <f>AS36</f>
        <v>0</v>
      </c>
      <c r="AT35" s="4442"/>
      <c r="AU35" s="4443"/>
      <c r="AV35" s="4441">
        <f>AV36</f>
        <v>0</v>
      </c>
      <c r="AW35" s="4441">
        <f>AW36</f>
        <v>0</v>
      </c>
      <c r="AX35" s="4442">
        <f>AX36</f>
        <v>0</v>
      </c>
      <c r="AY35" s="4442"/>
      <c r="AZ35" s="4443"/>
      <c r="BA35" s="4441">
        <f>BA36</f>
        <v>0</v>
      </c>
      <c r="BB35" s="4441">
        <f>BB36</f>
        <v>0</v>
      </c>
      <c r="BC35" s="4442">
        <f>BC36</f>
        <v>0</v>
      </c>
      <c r="BD35" s="4442"/>
      <c r="BE35" s="4443"/>
      <c r="BF35" s="4441">
        <f>BF36</f>
        <v>0</v>
      </c>
      <c r="BG35" s="4441">
        <f>BG36</f>
        <v>0</v>
      </c>
      <c r="BH35" s="4442">
        <f>BH36</f>
        <v>0</v>
      </c>
      <c r="BI35" s="4442"/>
      <c r="BJ35" s="4443"/>
      <c r="BK35" s="4441">
        <f>BK36</f>
        <v>0</v>
      </c>
      <c r="BL35" s="4441">
        <f>BL36</f>
        <v>0</v>
      </c>
      <c r="BM35" s="4442">
        <f>BM36</f>
        <v>0</v>
      </c>
      <c r="BN35" s="4442"/>
      <c r="BO35" s="4443"/>
      <c r="BP35" s="4441">
        <f>BP36</f>
        <v>0</v>
      </c>
      <c r="BQ35" s="4441">
        <f>BQ36</f>
        <v>0</v>
      </c>
      <c r="BR35" s="4442">
        <f>BR36</f>
        <v>0</v>
      </c>
      <c r="BS35" s="4442"/>
      <c r="BT35" s="4443"/>
      <c r="BU35" s="4441">
        <f>BU36</f>
        <v>0</v>
      </c>
      <c r="BV35" s="4441">
        <f>BV36</f>
        <v>0</v>
      </c>
      <c r="BW35" s="4442">
        <f>BW36</f>
        <v>0</v>
      </c>
      <c r="BX35" s="4442"/>
      <c r="BY35" s="4443"/>
      <c r="BZ35" s="4441">
        <f>BZ36</f>
        <v>0</v>
      </c>
      <c r="CA35" s="4441">
        <f>CA36</f>
        <v>0</v>
      </c>
      <c r="CB35" s="4442">
        <f>CB36</f>
        <v>0</v>
      </c>
      <c r="CC35" s="4442"/>
      <c r="CD35" s="4443"/>
      <c r="CE35" s="4441">
        <f>CE36</f>
        <v>0</v>
      </c>
      <c r="CF35" s="4441">
        <f>CF36</f>
        <v>0</v>
      </c>
      <c r="CG35" s="4442">
        <f>CG36</f>
        <v>0</v>
      </c>
      <c r="CH35" s="4442"/>
      <c r="CI35" s="4443"/>
      <c r="CJ35" s="4441">
        <f>CJ36</f>
        <v>0</v>
      </c>
      <c r="CK35" s="4441">
        <f>CK36</f>
        <v>0</v>
      </c>
      <c r="CL35" s="4442">
        <f>CL36</f>
        <v>0</v>
      </c>
      <c r="CM35" s="4442"/>
      <c r="CN35" s="4442"/>
      <c r="CP35" s="4442">
        <f>CP36</f>
        <v>0</v>
      </c>
      <c r="CQ35" s="4442">
        <f>CQ36</f>
        <v>0</v>
      </c>
      <c r="CR35" s="4669">
        <f>CR36</f>
        <v>0</v>
      </c>
      <c r="CT35" s="2624"/>
    </row>
    <row r="36" spans="1:98" s="1396" customFormat="1" ht="13.8" outlineLevel="3">
      <c r="A36" s="1571"/>
      <c r="B36" s="4632" t="s">
        <v>81</v>
      </c>
      <c r="C36" s="3341"/>
      <c r="D36" s="3341"/>
      <c r="E36" s="2012">
        <f>C36+D36*1</f>
        <v>0</v>
      </c>
      <c r="F36" s="4428" t="e">
        <f>E36/$E$89</f>
        <v>#DIV/0!</v>
      </c>
      <c r="G36" s="4633"/>
      <c r="H36" s="3341"/>
      <c r="I36" s="3341"/>
      <c r="J36" s="2012">
        <f>H36+I36*1</f>
        <v>0</v>
      </c>
      <c r="K36" s="4428" t="e">
        <f t="shared" ref="K36" si="71">J36/J$89</f>
        <v>#DIV/0!</v>
      </c>
      <c r="L36" s="4633"/>
      <c r="M36" s="3341"/>
      <c r="N36" s="3341"/>
      <c r="O36" s="3349">
        <f t="shared" ref="O36" si="72">M36+N36</f>
        <v>0</v>
      </c>
      <c r="P36" s="4428" t="e">
        <f t="shared" ref="P36" si="73">O36/O$89</f>
        <v>#DIV/0!</v>
      </c>
      <c r="Q36" s="4633"/>
      <c r="R36" s="3342">
        <f t="shared" ref="R36:S36" si="74">M36+H36+C36</f>
        <v>0</v>
      </c>
      <c r="S36" s="3342">
        <f t="shared" si="74"/>
        <v>0</v>
      </c>
      <c r="T36" s="2012">
        <f t="shared" ref="T36" si="75">R36+S36</f>
        <v>0</v>
      </c>
      <c r="U36" s="3455"/>
      <c r="V36" s="3455"/>
      <c r="W36" s="3342">
        <f t="shared" ref="W36:X36" si="76">AB36+AG36+AL36+AV36+BA36+BF36+BK36+BP36+BU36+BZ36+CE36+AQ36</f>
        <v>0</v>
      </c>
      <c r="X36" s="3342">
        <f t="shared" si="76"/>
        <v>0</v>
      </c>
      <c r="Y36" s="2012">
        <f t="shared" ref="Y36" si="77">W36+X36</f>
        <v>0</v>
      </c>
      <c r="Z36" s="3455"/>
      <c r="AA36" s="3455"/>
      <c r="AB36" s="3341"/>
      <c r="AC36" s="3341"/>
      <c r="AD36" s="3349">
        <f t="shared" ref="AD36" si="78">AB36+AC36</f>
        <v>0</v>
      </c>
      <c r="AE36" s="4428" t="e">
        <f>AD36/AD$89</f>
        <v>#DIV/0!</v>
      </c>
      <c r="AF36" s="4633"/>
      <c r="AG36" s="3341"/>
      <c r="AH36" s="3341"/>
      <c r="AI36" s="3349">
        <f t="shared" ref="AI36" si="79">AG36+AH36</f>
        <v>0</v>
      </c>
      <c r="AJ36" s="4428" t="e">
        <f>AI36/AI$89</f>
        <v>#DIV/0!</v>
      </c>
      <c r="AK36" s="4633"/>
      <c r="AL36" s="3341"/>
      <c r="AM36" s="3341"/>
      <c r="AN36" s="3349">
        <f t="shared" ref="AN36" si="80">AL36+AM36</f>
        <v>0</v>
      </c>
      <c r="AO36" s="4428" t="e">
        <f>AN36/AN$89</f>
        <v>#DIV/0!</v>
      </c>
      <c r="AP36" s="4633"/>
      <c r="AQ36" s="3341"/>
      <c r="AR36" s="3341"/>
      <c r="AS36" s="3349">
        <f t="shared" ref="AS36" si="81">AQ36+AR36</f>
        <v>0</v>
      </c>
      <c r="AT36" s="4428" t="e">
        <f>AS36/AS$89</f>
        <v>#DIV/0!</v>
      </c>
      <c r="AU36" s="4633"/>
      <c r="AV36" s="3341"/>
      <c r="AW36" s="3341"/>
      <c r="AX36" s="3349">
        <f t="shared" ref="AX36" si="82">AV36+AW36</f>
        <v>0</v>
      </c>
      <c r="AY36" s="4428">
        <f>AX36/AX$89</f>
        <v>0</v>
      </c>
      <c r="AZ36" s="4633"/>
      <c r="BA36" s="3341"/>
      <c r="BB36" s="3341"/>
      <c r="BC36" s="3349">
        <f t="shared" ref="BC36" si="83">BA36+BB36</f>
        <v>0</v>
      </c>
      <c r="BD36" s="4428" t="e">
        <f>BC36/BC$89</f>
        <v>#DIV/0!</v>
      </c>
      <c r="BE36" s="4633"/>
      <c r="BF36" s="3341"/>
      <c r="BG36" s="3341"/>
      <c r="BH36" s="3349">
        <f t="shared" ref="BH36" si="84">BF36+BG36</f>
        <v>0</v>
      </c>
      <c r="BI36" s="4428" t="e">
        <f>BH36/BH$89</f>
        <v>#DIV/0!</v>
      </c>
      <c r="BJ36" s="4633"/>
      <c r="BK36" s="3341"/>
      <c r="BL36" s="3341"/>
      <c r="BM36" s="3349">
        <f t="shared" ref="BM36" si="85">BK36+BL36</f>
        <v>0</v>
      </c>
      <c r="BN36" s="4428" t="e">
        <f>BM36/BM$89</f>
        <v>#DIV/0!</v>
      </c>
      <c r="BO36" s="4633"/>
      <c r="BP36" s="3341"/>
      <c r="BQ36" s="3341"/>
      <c r="BR36" s="3349">
        <f t="shared" ref="BR36" si="86">BP36+BQ36</f>
        <v>0</v>
      </c>
      <c r="BS36" s="4428" t="e">
        <f>BR36/BR$89</f>
        <v>#DIV/0!</v>
      </c>
      <c r="BT36" s="4633"/>
      <c r="BU36" s="3341"/>
      <c r="BV36" s="3341"/>
      <c r="BW36" s="3349">
        <f t="shared" ref="BW36" si="87">BU36+BV36</f>
        <v>0</v>
      </c>
      <c r="BX36" s="4428" t="e">
        <f>BW36/BW$89</f>
        <v>#DIV/0!</v>
      </c>
      <c r="BY36" s="4633"/>
      <c r="BZ36" s="3341"/>
      <c r="CA36" s="3341"/>
      <c r="CB36" s="3349">
        <f t="shared" ref="CB36" si="88">BZ36+CA36</f>
        <v>0</v>
      </c>
      <c r="CC36" s="4428" t="e">
        <f>CB36/CB$89</f>
        <v>#DIV/0!</v>
      </c>
      <c r="CD36" s="4633"/>
      <c r="CE36" s="3341"/>
      <c r="CF36" s="3341"/>
      <c r="CG36" s="3349">
        <f t="shared" ref="CG36" si="89">CE36+CF36</f>
        <v>0</v>
      </c>
      <c r="CH36" s="4428" t="e">
        <f>CG36/CG$89</f>
        <v>#DIV/0!</v>
      </c>
      <c r="CI36" s="4633"/>
      <c r="CJ36" s="3341">
        <f t="shared" ref="CJ36:CK36" si="90">C36+H36+M36+W36</f>
        <v>0</v>
      </c>
      <c r="CK36" s="3341">
        <f t="shared" si="90"/>
        <v>0</v>
      </c>
      <c r="CL36" s="2012">
        <f>CJ36+CK36*1</f>
        <v>0</v>
      </c>
      <c r="CM36" s="4428">
        <f>CL36/$CL$89</f>
        <v>0</v>
      </c>
      <c r="CN36" s="4611"/>
      <c r="CP36" s="2012"/>
      <c r="CQ36" s="2012">
        <f t="shared" ref="CQ36" si="91">CL36</f>
        <v>0</v>
      </c>
      <c r="CR36" s="4614">
        <f t="shared" ref="CR36" si="92">CP36-CQ36</f>
        <v>0</v>
      </c>
      <c r="CT36" s="3443"/>
    </row>
    <row r="37" spans="1:98" s="1396" customFormat="1" ht="14.4" outlineLevel="1" thickBot="1">
      <c r="A37" s="1398"/>
      <c r="B37" s="4446"/>
      <c r="C37" s="3341"/>
      <c r="D37" s="3341"/>
      <c r="E37" s="4609"/>
      <c r="F37" s="4609"/>
      <c r="G37" s="4634"/>
      <c r="H37" s="3341"/>
      <c r="I37" s="3341"/>
      <c r="J37" s="4609"/>
      <c r="K37" s="4609"/>
      <c r="L37" s="4634"/>
      <c r="M37" s="3341"/>
      <c r="N37" s="3341"/>
      <c r="O37" s="4609"/>
      <c r="P37" s="4609"/>
      <c r="Q37" s="4634"/>
      <c r="R37" s="3456"/>
      <c r="S37" s="3456"/>
      <c r="T37" s="3456"/>
      <c r="U37" s="3456"/>
      <c r="V37" s="3456"/>
      <c r="W37" s="3342">
        <f t="shared" ref="W37:X37" si="93">AB37+AG37+AL37+AV37+BA37+BF37+BK37+BP37+BU37+BZ37+CE37</f>
        <v>0</v>
      </c>
      <c r="X37" s="3342">
        <f t="shared" si="93"/>
        <v>0</v>
      </c>
      <c r="Y37" s="3456"/>
      <c r="Z37" s="3456"/>
      <c r="AA37" s="3456"/>
      <c r="AB37" s="3341"/>
      <c r="AC37" s="3341"/>
      <c r="AD37" s="4609"/>
      <c r="AE37" s="4609"/>
      <c r="AF37" s="4634"/>
      <c r="AG37" s="3341"/>
      <c r="AH37" s="3341"/>
      <c r="AI37" s="4609"/>
      <c r="AJ37" s="4609"/>
      <c r="AK37" s="4634"/>
      <c r="AL37" s="3341"/>
      <c r="AM37" s="3341"/>
      <c r="AN37" s="4609"/>
      <c r="AO37" s="4609"/>
      <c r="AP37" s="4634"/>
      <c r="AQ37" s="3341"/>
      <c r="AR37" s="3341"/>
      <c r="AS37" s="4609"/>
      <c r="AT37" s="4609"/>
      <c r="AU37" s="4634"/>
      <c r="AV37" s="3341"/>
      <c r="AW37" s="3341"/>
      <c r="AX37" s="4609"/>
      <c r="AY37" s="4609"/>
      <c r="AZ37" s="4634"/>
      <c r="BA37" s="3341"/>
      <c r="BB37" s="3341"/>
      <c r="BC37" s="4609"/>
      <c r="BD37" s="4609"/>
      <c r="BE37" s="4634"/>
      <c r="BF37" s="3341"/>
      <c r="BG37" s="3341"/>
      <c r="BH37" s="4609"/>
      <c r="BI37" s="4609"/>
      <c r="BJ37" s="4634"/>
      <c r="BK37" s="3341"/>
      <c r="BL37" s="3341"/>
      <c r="BM37" s="4609"/>
      <c r="BN37" s="4609"/>
      <c r="BO37" s="4634"/>
      <c r="BP37" s="3341"/>
      <c r="BQ37" s="3341"/>
      <c r="BR37" s="4609"/>
      <c r="BS37" s="4609"/>
      <c r="BT37" s="4634"/>
      <c r="BU37" s="3341"/>
      <c r="BV37" s="3341"/>
      <c r="BW37" s="4609"/>
      <c r="BX37" s="4609"/>
      <c r="BY37" s="4634"/>
      <c r="BZ37" s="3341"/>
      <c r="CA37" s="3341"/>
      <c r="CB37" s="4609"/>
      <c r="CC37" s="4609"/>
      <c r="CD37" s="4634"/>
      <c r="CE37" s="3341"/>
      <c r="CF37" s="3341"/>
      <c r="CG37" s="4609"/>
      <c r="CH37" s="4609"/>
      <c r="CI37" s="4634"/>
      <c r="CJ37" s="3341"/>
      <c r="CK37" s="3341"/>
      <c r="CL37" s="4609"/>
      <c r="CM37" s="4609"/>
      <c r="CN37" s="4609"/>
      <c r="CP37" s="4645"/>
      <c r="CQ37" s="4645"/>
      <c r="CR37" s="4670"/>
      <c r="CT37" s="2624"/>
    </row>
    <row r="38" spans="1:98"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0</v>
      </c>
      <c r="O38" s="3749">
        <f>(O5)-(O8)</f>
        <v>0</v>
      </c>
      <c r="P38" s="3749"/>
      <c r="Q38" s="3750"/>
      <c r="R38" s="3749">
        <f>(R5)-(R8)</f>
        <v>0</v>
      </c>
      <c r="S38" s="3749">
        <f>(S5)-(S8)</f>
        <v>0</v>
      </c>
      <c r="T38" s="3749">
        <f>(T5)-(T8)</f>
        <v>0</v>
      </c>
      <c r="U38" s="3750"/>
      <c r="V38" s="3750"/>
      <c r="W38" s="3749">
        <f>(W5)-(W8)</f>
        <v>-2931.6</v>
      </c>
      <c r="X38" s="3749">
        <f>(X5)-(X8)</f>
        <v>-5260</v>
      </c>
      <c r="Y38" s="3749">
        <f>(Y5)-(Y8)</f>
        <v>-8191.6</v>
      </c>
      <c r="Z38" s="3750"/>
      <c r="AA38" s="3750"/>
      <c r="AB38" s="3749">
        <f>(AB5)-(AB8)</f>
        <v>0</v>
      </c>
      <c r="AC38" s="3749">
        <f>(AC5)-(AC8)</f>
        <v>0</v>
      </c>
      <c r="AD38" s="3749">
        <f>(AD5)-(AD8)</f>
        <v>0</v>
      </c>
      <c r="AE38" s="3749"/>
      <c r="AF38" s="3750"/>
      <c r="AG38" s="3749">
        <f>(AG5)-(AG8)</f>
        <v>0</v>
      </c>
      <c r="AH38" s="3749">
        <f>(AH5)-(AH8)</f>
        <v>0</v>
      </c>
      <c r="AI38" s="3749">
        <f>(AI5)-(AI8)</f>
        <v>0</v>
      </c>
      <c r="AJ38" s="3749"/>
      <c r="AK38" s="3750"/>
      <c r="AL38" s="3749">
        <f>(AL5)-(AL8)</f>
        <v>0</v>
      </c>
      <c r="AM38" s="3749">
        <f>(AM5)-(AM8)</f>
        <v>0</v>
      </c>
      <c r="AN38" s="3749">
        <f>(AN5)-(AN8)</f>
        <v>0</v>
      </c>
      <c r="AO38" s="3749"/>
      <c r="AP38" s="3750"/>
      <c r="AQ38" s="3749">
        <f>(AQ5)-(AQ8)</f>
        <v>0</v>
      </c>
      <c r="AR38" s="3749">
        <f>(AR5)-(AR8)</f>
        <v>0</v>
      </c>
      <c r="AS38" s="3749">
        <f>(AS5)-(AS8)</f>
        <v>0</v>
      </c>
      <c r="AT38" s="3749"/>
      <c r="AU38" s="3750"/>
      <c r="AV38" s="3749">
        <f>(AV5)-(AV8)</f>
        <v>-2931.6</v>
      </c>
      <c r="AW38" s="3749">
        <f>(AW5)-(AW8)</f>
        <v>-5260</v>
      </c>
      <c r="AX38" s="3749">
        <f>(AX5)-(AX8)</f>
        <v>-8191.6</v>
      </c>
      <c r="AY38" s="3749"/>
      <c r="AZ38" s="3750"/>
      <c r="BA38" s="3749">
        <f>(BA5)-(BA8)</f>
        <v>0</v>
      </c>
      <c r="BB38" s="3749">
        <f>(BB5)-(BB8)</f>
        <v>0</v>
      </c>
      <c r="BC38" s="3749">
        <f>(BC5)-(BC8)</f>
        <v>0</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-2931.6</v>
      </c>
      <c r="CK38" s="3751">
        <f>(CK5)-(CK8)</f>
        <v>-5260</v>
      </c>
      <c r="CL38" s="3751">
        <f>(CL5)-(CL8)</f>
        <v>-8191.6</v>
      </c>
      <c r="CM38" s="3749"/>
      <c r="CN38" s="3749"/>
      <c r="CP38" s="3749">
        <f>(CP5)-(CP8)</f>
        <v>16254.679999999993</v>
      </c>
      <c r="CQ38" s="3760">
        <f>(CQ5)-(CQ8)</f>
        <v>-8191.6</v>
      </c>
      <c r="CR38" s="3749">
        <f>(CR5)-(CR8)</f>
        <v>24446.28</v>
      </c>
      <c r="CT38" s="3761"/>
    </row>
    <row r="39" spans="1:98"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2003">
        <f>IFERROR(AB38/(AB5),0)</f>
        <v>0</v>
      </c>
      <c r="AC39" s="2003">
        <f>IFERROR(AC38/(AC5),0)</f>
        <v>0</v>
      </c>
      <c r="AD39" s="2004">
        <f>IFERROR(AD38/(AD5),0)</f>
        <v>0</v>
      </c>
      <c r="AE39" s="2004"/>
      <c r="AF39" s="1056"/>
      <c r="AG39" s="2003">
        <f>IFERROR(AG38/(AG5),0)</f>
        <v>0</v>
      </c>
      <c r="AH39" s="2003">
        <f>IFERROR(AH38/(AH5),0)</f>
        <v>0</v>
      </c>
      <c r="AI39" s="2004">
        <f>IFERROR(AI38/(AI5),0)</f>
        <v>0</v>
      </c>
      <c r="AJ39" s="2004"/>
      <c r="AK39" s="1056"/>
      <c r="AL39" s="2003">
        <f>IFERROR(AL38/(AL5),0)</f>
        <v>0</v>
      </c>
      <c r="AM39" s="2003">
        <f>IFERROR(AM38/(AM5),0)</f>
        <v>0</v>
      </c>
      <c r="AN39" s="2004">
        <f>IFERROR(AN38/(AN5),0)</f>
        <v>0</v>
      </c>
      <c r="AO39" s="2004"/>
      <c r="AP39" s="1056"/>
      <c r="AQ39" s="2003">
        <f>IFERROR(AQ38/(AQ5),0)</f>
        <v>0</v>
      </c>
      <c r="AR39" s="2003">
        <f>IFERROR(AR38/(AR5),0)</f>
        <v>0</v>
      </c>
      <c r="AS39" s="2004">
        <f>IFERROR(AS38/(AS5),0)</f>
        <v>0</v>
      </c>
      <c r="AT39" s="2004"/>
      <c r="AU39" s="1056"/>
      <c r="AV39" s="2003">
        <f>IFERROR(AV38/(AV5),0)</f>
        <v>0</v>
      </c>
      <c r="AW39" s="2003">
        <f>IFERROR(AW38/(AW5),0)</f>
        <v>0</v>
      </c>
      <c r="AX39" s="2004">
        <f>IFERROR(AX38/(AX5),0)</f>
        <v>0</v>
      </c>
      <c r="AY39" s="2004"/>
      <c r="AZ39" s="1056"/>
      <c r="BA39" s="2003">
        <f>IFERROR(BA38/(BA5),0)</f>
        <v>0</v>
      </c>
      <c r="BB39" s="2003">
        <f>IFERROR(BB38/(BB5),0)</f>
        <v>0</v>
      </c>
      <c r="BC39" s="2004">
        <f>IFERROR(BC38/(BC5),0)</f>
        <v>0</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v>
      </c>
      <c r="CK39" s="2003">
        <f>IFERROR(CK38/(CK5),0)</f>
        <v>0</v>
      </c>
      <c r="CL39" s="2004">
        <f>IFERROR(CL38/(CL5),0)</f>
        <v>0</v>
      </c>
      <c r="CM39" s="2004"/>
      <c r="CN39" s="2004"/>
      <c r="CP39" s="2004">
        <f>CP38/(CP5)</f>
        <v>0.19055896834701047</v>
      </c>
      <c r="CQ39" s="2004">
        <f>IFERROR(CQ38/(CQ5),0)</f>
        <v>0</v>
      </c>
      <c r="CR39" s="2004">
        <f>CR38/(CR5)</f>
        <v>0.28659179366940207</v>
      </c>
    </row>
    <row r="40" spans="1:98" ht="14.4" outlineLevel="1" thickBot="1">
      <c r="A40" s="1567"/>
      <c r="B40" s="4637"/>
      <c r="C40" s="4610"/>
      <c r="D40" s="4610"/>
      <c r="E40" s="4610"/>
      <c r="F40" s="4610"/>
      <c r="G40" s="4638"/>
      <c r="H40" s="4610"/>
      <c r="I40" s="4610"/>
      <c r="J40" s="4610"/>
      <c r="K40" s="4610"/>
      <c r="L40" s="4638"/>
      <c r="M40" s="4610"/>
      <c r="N40" s="4610"/>
      <c r="O40" s="4610"/>
      <c r="P40" s="4610"/>
      <c r="Q40" s="4638"/>
      <c r="R40" s="4638"/>
      <c r="S40" s="4638"/>
      <c r="T40" s="4638"/>
      <c r="U40" s="4638"/>
      <c r="V40" s="4638"/>
      <c r="W40" s="4638"/>
      <c r="X40" s="4638"/>
      <c r="Y40" s="4638"/>
      <c r="Z40" s="4638"/>
      <c r="AA40" s="4638"/>
      <c r="AB40" s="4610"/>
      <c r="AC40" s="4610"/>
      <c r="AD40" s="4610"/>
      <c r="AE40" s="4610"/>
      <c r="AF40" s="4638"/>
      <c r="AG40" s="4610"/>
      <c r="AH40" s="4610"/>
      <c r="AI40" s="4610"/>
      <c r="AJ40" s="4610"/>
      <c r="AK40" s="4638"/>
      <c r="AL40" s="4610"/>
      <c r="AM40" s="4610"/>
      <c r="AN40" s="4610"/>
      <c r="AO40" s="4610"/>
      <c r="AP40" s="4638"/>
      <c r="AQ40" s="4610"/>
      <c r="AR40" s="4610"/>
      <c r="AS40" s="4610"/>
      <c r="AT40" s="4610"/>
      <c r="AU40" s="4638"/>
      <c r="AV40" s="4610"/>
      <c r="AW40" s="4610"/>
      <c r="AX40" s="4610"/>
      <c r="AY40" s="4610"/>
      <c r="AZ40" s="4638"/>
      <c r="BA40" s="4610"/>
      <c r="BB40" s="4610"/>
      <c r="BC40" s="4610"/>
      <c r="BD40" s="4610"/>
      <c r="BE40" s="4638"/>
      <c r="BF40" s="4610"/>
      <c r="BG40" s="4610"/>
      <c r="BH40" s="4610"/>
      <c r="BI40" s="4610"/>
      <c r="BJ40" s="4638"/>
      <c r="BK40" s="4610"/>
      <c r="BL40" s="4610"/>
      <c r="BM40" s="4610"/>
      <c r="BN40" s="4610"/>
      <c r="BO40" s="4638"/>
      <c r="BP40" s="4610"/>
      <c r="BQ40" s="4610"/>
      <c r="BR40" s="4610"/>
      <c r="BS40" s="4610"/>
      <c r="BT40" s="4638"/>
      <c r="BU40" s="4610"/>
      <c r="BV40" s="4610"/>
      <c r="BW40" s="4610"/>
      <c r="BX40" s="4610"/>
      <c r="BY40" s="4638"/>
      <c r="BZ40" s="4610"/>
      <c r="CA40" s="4610"/>
      <c r="CB40" s="4610"/>
      <c r="CC40" s="4610"/>
      <c r="CD40" s="4638"/>
      <c r="CE40" s="4610"/>
      <c r="CF40" s="4610"/>
      <c r="CG40" s="4610"/>
      <c r="CH40" s="4610"/>
      <c r="CI40" s="4638"/>
      <c r="CJ40" s="4610"/>
      <c r="CK40" s="4610"/>
      <c r="CL40" s="4610"/>
      <c r="CM40" s="4610"/>
      <c r="CN40" s="4610"/>
      <c r="CP40" s="4639"/>
      <c r="CQ40" s="4639"/>
      <c r="CR40" s="4639"/>
    </row>
    <row r="41" spans="1:98" ht="13.8" outlineLevel="1">
      <c r="A41" s="1405"/>
      <c r="B41" s="1415" t="s">
        <v>26</v>
      </c>
      <c r="C41" s="2013">
        <f>SUM(C42:C48)</f>
        <v>0</v>
      </c>
      <c r="D41" s="2013">
        <f>SUM(D42:D48)</f>
        <v>0</v>
      </c>
      <c r="E41" s="2014">
        <f>SUM(E42:E48)</f>
        <v>0</v>
      </c>
      <c r="F41" s="4449" t="e">
        <f>E41/$E$89</f>
        <v>#DIV/0!</v>
      </c>
      <c r="G41" s="1057"/>
      <c r="H41" s="2013">
        <f>SUM(H42:H48)</f>
        <v>0</v>
      </c>
      <c r="I41" s="2013">
        <f>SUM(I42:I48)</f>
        <v>0</v>
      </c>
      <c r="J41" s="2014">
        <f>SUM(J42:J48)</f>
        <v>0</v>
      </c>
      <c r="K41" s="4449" t="e">
        <f>J41/$E$89</f>
        <v>#DIV/0!</v>
      </c>
      <c r="L41" s="1057"/>
      <c r="M41" s="2013">
        <f>SUM(M42:M48)</f>
        <v>0</v>
      </c>
      <c r="N41" s="2013">
        <f>SUM(N42:N48)</f>
        <v>0</v>
      </c>
      <c r="O41" s="2014">
        <f>SUM(O42:O48)</f>
        <v>0</v>
      </c>
      <c r="P41" s="4449" t="e">
        <f>O41/$E$89</f>
        <v>#DIV/0!</v>
      </c>
      <c r="Q41" s="1057"/>
      <c r="R41" s="2013">
        <f>SUM(R42:R48)</f>
        <v>0</v>
      </c>
      <c r="S41" s="2013">
        <f>SUM(S42:S48)</f>
        <v>0</v>
      </c>
      <c r="T41" s="2014">
        <f>SUM(T42:T48)</f>
        <v>0</v>
      </c>
      <c r="U41" s="4449"/>
      <c r="V41" s="3460"/>
      <c r="W41" s="2013">
        <f>SUM(W42:W48)</f>
        <v>0</v>
      </c>
      <c r="X41" s="2013">
        <f>SUM(X42:X48)</f>
        <v>0</v>
      </c>
      <c r="Y41" s="2014">
        <f>SUM(Y42:Y48)</f>
        <v>0</v>
      </c>
      <c r="Z41" s="4449"/>
      <c r="AA41" s="3460"/>
      <c r="AB41" s="2013">
        <f>SUM(AB42:AB48)</f>
        <v>0</v>
      </c>
      <c r="AC41" s="2013">
        <f>SUM(AC42:AC48)</f>
        <v>0</v>
      </c>
      <c r="AD41" s="2014">
        <f>SUM(AD42:AD48)</f>
        <v>0</v>
      </c>
      <c r="AE41" s="4449"/>
      <c r="AF41" s="1057"/>
      <c r="AG41" s="2013">
        <f>SUM(AG42:AG48)</f>
        <v>0</v>
      </c>
      <c r="AH41" s="2013">
        <f>SUM(AH42:AH48)</f>
        <v>0</v>
      </c>
      <c r="AI41" s="2014">
        <f>SUM(AI42:AI48)</f>
        <v>0</v>
      </c>
      <c r="AJ41" s="4449"/>
      <c r="AK41" s="1057"/>
      <c r="AL41" s="2013">
        <f>SUM(AL42:AL48)</f>
        <v>0</v>
      </c>
      <c r="AM41" s="2013">
        <f>SUM(AM42:AM48)</f>
        <v>0</v>
      </c>
      <c r="AN41" s="2014">
        <f>SUM(AN42:AN48)</f>
        <v>0</v>
      </c>
      <c r="AO41" s="4449"/>
      <c r="AP41" s="1057"/>
      <c r="AQ41" s="2013">
        <f>SUM(AQ42:AQ48)</f>
        <v>0</v>
      </c>
      <c r="AR41" s="2013">
        <f>SUM(AR42:AR48)</f>
        <v>0</v>
      </c>
      <c r="AS41" s="2014">
        <f>SUM(AS42:AS48)</f>
        <v>0</v>
      </c>
      <c r="AT41" s="4449"/>
      <c r="AU41" s="1057"/>
      <c r="AV41" s="2013">
        <f>SUM(AV42:AV48)</f>
        <v>0</v>
      </c>
      <c r="AW41" s="2013">
        <f>SUM(AW42:AW48)</f>
        <v>0</v>
      </c>
      <c r="AX41" s="2014">
        <f>SUM(AX42:AX48)</f>
        <v>0</v>
      </c>
      <c r="AY41" s="4449"/>
      <c r="AZ41" s="1057"/>
      <c r="BA41" s="2013">
        <f>SUM(BA42:BA48)</f>
        <v>0</v>
      </c>
      <c r="BB41" s="2013">
        <f>SUM(BB42:BB48)</f>
        <v>0</v>
      </c>
      <c r="BC41" s="2014">
        <f>SUM(BC42:BC48)</f>
        <v>0</v>
      </c>
      <c r="BD41" s="4449"/>
      <c r="BE41" s="1057"/>
      <c r="BF41" s="2013">
        <f>SUM(BF42:BF48)</f>
        <v>0</v>
      </c>
      <c r="BG41" s="2013">
        <f>SUM(BG42:BG48)</f>
        <v>0</v>
      </c>
      <c r="BH41" s="2014">
        <f>SUM(BH42:BH48)</f>
        <v>0</v>
      </c>
      <c r="BI41" s="4449"/>
      <c r="BJ41" s="1057"/>
      <c r="BK41" s="2013">
        <f>SUM(BK42:BK48)</f>
        <v>0</v>
      </c>
      <c r="BL41" s="2013">
        <f>SUM(BL42:BL48)</f>
        <v>0</v>
      </c>
      <c r="BM41" s="2014">
        <f>SUM(BM42:BM48)</f>
        <v>0</v>
      </c>
      <c r="BN41" s="4449"/>
      <c r="BO41" s="1057"/>
      <c r="BP41" s="2013">
        <f>SUM(BP42:BP48)</f>
        <v>0</v>
      </c>
      <c r="BQ41" s="2013">
        <f>SUM(BQ42:BQ48)</f>
        <v>0</v>
      </c>
      <c r="BR41" s="2014">
        <f>SUM(BR42:BR48)</f>
        <v>0</v>
      </c>
      <c r="BS41" s="4449"/>
      <c r="BT41" s="1057"/>
      <c r="BU41" s="2013">
        <f>SUM(BU42:BU48)</f>
        <v>0</v>
      </c>
      <c r="BV41" s="2013">
        <f>SUM(BV42:BV48)</f>
        <v>0</v>
      </c>
      <c r="BW41" s="2014">
        <f>SUM(BW42:BW48)</f>
        <v>0</v>
      </c>
      <c r="BX41" s="4449"/>
      <c r="BY41" s="1057"/>
      <c r="BZ41" s="2013">
        <f>SUM(BZ42:BZ48)</f>
        <v>0</v>
      </c>
      <c r="CA41" s="2013">
        <f>SUM(CA42:CA48)</f>
        <v>0</v>
      </c>
      <c r="CB41" s="2014">
        <f>SUM(CB42:CB48)</f>
        <v>0</v>
      </c>
      <c r="CC41" s="4449"/>
      <c r="CD41" s="1057"/>
      <c r="CE41" s="2013">
        <f>SUM(CE42:CE48)</f>
        <v>0</v>
      </c>
      <c r="CF41" s="2013">
        <f>SUM(CF42:CF48)</f>
        <v>0</v>
      </c>
      <c r="CG41" s="2014">
        <f>SUM(CG42:CG48)</f>
        <v>0</v>
      </c>
      <c r="CH41" s="4449"/>
      <c r="CI41" s="1057"/>
      <c r="CJ41" s="2013">
        <f>SUM(CJ42:CJ48)</f>
        <v>0</v>
      </c>
      <c r="CK41" s="2013">
        <f>SUM(CK42:CK48)</f>
        <v>0</v>
      </c>
      <c r="CL41" s="2014">
        <f>SUM(CL42:CL48)</f>
        <v>0</v>
      </c>
      <c r="CM41" s="4449">
        <f t="shared" ref="CM41:CM49" si="94">CL41/$CL$89</f>
        <v>0</v>
      </c>
      <c r="CN41" s="2006"/>
      <c r="CP41" s="2014">
        <f>SUM(CP42:CP48)</f>
        <v>0</v>
      </c>
      <c r="CQ41" s="2014">
        <f>SUM(CQ42:CQ48)</f>
        <v>0</v>
      </c>
      <c r="CR41" s="2014"/>
    </row>
    <row r="42" spans="1:98" ht="13.8" outlineLevel="2">
      <c r="A42" s="4833"/>
      <c r="B42" s="4640" t="s">
        <v>7</v>
      </c>
      <c r="C42" s="3341"/>
      <c r="D42" s="3341"/>
      <c r="E42" s="3349">
        <f t="shared" ref="E42:E48" si="95">C42+D42</f>
        <v>0</v>
      </c>
      <c r="F42" s="4428" t="e">
        <f t="shared" ref="F42:F48" si="96">E42/$E$89</f>
        <v>#DIV/0!</v>
      </c>
      <c r="G42" s="4429"/>
      <c r="H42" s="3341"/>
      <c r="I42" s="3341"/>
      <c r="J42" s="3349">
        <f t="shared" ref="J42:J48" si="97">H42+I42</f>
        <v>0</v>
      </c>
      <c r="K42" s="4428" t="e">
        <f t="shared" ref="K42:K48" si="98">J42/J$89</f>
        <v>#DIV/0!</v>
      </c>
      <c r="L42" s="4429"/>
      <c r="M42" s="3341"/>
      <c r="N42" s="3341"/>
      <c r="O42" s="3349">
        <f t="shared" ref="O42:O48" si="99">M42+N42</f>
        <v>0</v>
      </c>
      <c r="P42" s="4428" t="e">
        <f t="shared" ref="P42:P48" si="100">O42/O$89</f>
        <v>#DIV/0!</v>
      </c>
      <c r="Q42" s="4429"/>
      <c r="R42" s="3342">
        <f t="shared" ref="R42:S48" si="101">M42+H42+C42</f>
        <v>0</v>
      </c>
      <c r="S42" s="3342">
        <f t="shared" si="101"/>
        <v>0</v>
      </c>
      <c r="T42" s="2012">
        <f t="shared" ref="T42:T48" si="102">R42+S42</f>
        <v>0</v>
      </c>
      <c r="U42" s="3462"/>
      <c r="V42" s="3462"/>
      <c r="W42" s="3342">
        <f t="shared" ref="W42:X48" si="103">AB42+AG42+AL42+AV42+BA42+BF42+BK42+BP42+BU42+BZ42+CE42+AQ42</f>
        <v>0</v>
      </c>
      <c r="X42" s="3342">
        <f t="shared" si="103"/>
        <v>0</v>
      </c>
      <c r="Y42" s="2012">
        <f t="shared" ref="Y42:Y48" si="104">W42+X42</f>
        <v>0</v>
      </c>
      <c r="Z42" s="3462"/>
      <c r="AA42" s="3462"/>
      <c r="AB42" s="3341"/>
      <c r="AC42" s="3341"/>
      <c r="AD42" s="3349">
        <f t="shared" ref="AD42:AD48" si="105">AB42+AC42</f>
        <v>0</v>
      </c>
      <c r="AE42" s="4428" t="e">
        <f t="shared" ref="AE42:AE49" si="106">AD42/AD$89</f>
        <v>#DIV/0!</v>
      </c>
      <c r="AF42" s="4429"/>
      <c r="AG42" s="3341"/>
      <c r="AH42" s="3341"/>
      <c r="AI42" s="3349">
        <f t="shared" ref="AI42:AI48" si="107">AG42+AH42</f>
        <v>0</v>
      </c>
      <c r="AJ42" s="4428" t="e">
        <f t="shared" ref="AJ42:AJ49" si="108">AI42/AI$89</f>
        <v>#DIV/0!</v>
      </c>
      <c r="AK42" s="4429"/>
      <c r="AL42" s="3341"/>
      <c r="AM42" s="3341"/>
      <c r="AN42" s="3349">
        <f t="shared" ref="AN42:AN48" si="109">AL42+AM42</f>
        <v>0</v>
      </c>
      <c r="AO42" s="4428" t="e">
        <f t="shared" ref="AO42:AO49" si="110">AN42/AN$89</f>
        <v>#DIV/0!</v>
      </c>
      <c r="AP42" s="4429"/>
      <c r="AQ42" s="3341"/>
      <c r="AR42" s="3341"/>
      <c r="AS42" s="3349">
        <f t="shared" ref="AS42:AS48" si="111">AQ42+AR42</f>
        <v>0</v>
      </c>
      <c r="AT42" s="4428" t="e">
        <f t="shared" ref="AT42:AT49" si="112">AS42/AS$89</f>
        <v>#DIV/0!</v>
      </c>
      <c r="AU42" s="4429"/>
      <c r="AV42" s="3341"/>
      <c r="AW42" s="3341"/>
      <c r="AX42" s="3349">
        <f t="shared" ref="AX42:AX48" si="113">AV42+AW42</f>
        <v>0</v>
      </c>
      <c r="AY42" s="4428">
        <f t="shared" ref="AY42:AY49" si="114">AX42/AX$89</f>
        <v>0</v>
      </c>
      <c r="AZ42" s="4429"/>
      <c r="BA42" s="3341"/>
      <c r="BB42" s="3341"/>
      <c r="BC42" s="3349">
        <f t="shared" ref="BC42:BC48" si="115">BA42+BB42</f>
        <v>0</v>
      </c>
      <c r="BD42" s="4428" t="e">
        <f t="shared" ref="BD42:BD49" si="116">BC42/BC$89</f>
        <v>#DIV/0!</v>
      </c>
      <c r="BE42" s="4429"/>
      <c r="BF42" s="3341"/>
      <c r="BG42" s="3341"/>
      <c r="BH42" s="3349">
        <f t="shared" ref="BH42:BH48" si="117">BF42+BG42</f>
        <v>0</v>
      </c>
      <c r="BI42" s="4428" t="e">
        <f t="shared" ref="BI42:BI49" si="118">BH42/BH$89</f>
        <v>#DIV/0!</v>
      </c>
      <c r="BJ42" s="4429"/>
      <c r="BK42" s="3341"/>
      <c r="BL42" s="3341"/>
      <c r="BM42" s="3349">
        <f t="shared" ref="BM42:BM48" si="119">BK42+BL42</f>
        <v>0</v>
      </c>
      <c r="BN42" s="4428" t="e">
        <f t="shared" ref="BN42:BN49" si="120">BM42/BM$89</f>
        <v>#DIV/0!</v>
      </c>
      <c r="BO42" s="4429"/>
      <c r="BP42" s="3341"/>
      <c r="BQ42" s="3341"/>
      <c r="BR42" s="3349">
        <f t="shared" ref="BR42:BR48" si="121">BP42+BQ42</f>
        <v>0</v>
      </c>
      <c r="BS42" s="4428" t="e">
        <f t="shared" ref="BS42:BS49" si="122">BR42/BR$89</f>
        <v>#DIV/0!</v>
      </c>
      <c r="BT42" s="4429"/>
      <c r="BU42" s="3341"/>
      <c r="BV42" s="3341"/>
      <c r="BW42" s="3349">
        <f t="shared" ref="BW42:BW48" si="123">BU42+BV42</f>
        <v>0</v>
      </c>
      <c r="BX42" s="4428" t="e">
        <f t="shared" ref="BX42:BX49" si="124">BW42/BW$89</f>
        <v>#DIV/0!</v>
      </c>
      <c r="BY42" s="4429"/>
      <c r="BZ42" s="3341"/>
      <c r="CA42" s="3341"/>
      <c r="CB42" s="3349">
        <f t="shared" ref="CB42:CB48" si="125">BZ42+CA42</f>
        <v>0</v>
      </c>
      <c r="CC42" s="4428" t="e">
        <f t="shared" ref="CC42:CC49" si="126">CB42/CB$89</f>
        <v>#DIV/0!</v>
      </c>
      <c r="CD42" s="4429"/>
      <c r="CE42" s="3341"/>
      <c r="CF42" s="3341"/>
      <c r="CG42" s="3349">
        <f t="shared" ref="CG42:CG48" si="127">CE42+CF42</f>
        <v>0</v>
      </c>
      <c r="CH42" s="4428" t="e">
        <f t="shared" ref="CH42:CH49" si="128">CG42/CG$89</f>
        <v>#DIV/0!</v>
      </c>
      <c r="CI42" s="4429"/>
      <c r="CJ42" s="3341">
        <f t="shared" ref="CJ42:CK48" si="129">C42+H42+M42+W42</f>
        <v>0</v>
      </c>
      <c r="CK42" s="3341">
        <f t="shared" si="129"/>
        <v>0</v>
      </c>
      <c r="CL42" s="2012">
        <f t="shared" ref="CL42:CL48" si="130">CJ42+CK42*1</f>
        <v>0</v>
      </c>
      <c r="CM42" s="4428">
        <f t="shared" si="94"/>
        <v>0</v>
      </c>
      <c r="CN42" s="4432"/>
      <c r="CP42" s="2012">
        <f t="shared" ref="CP42:CQ48" si="131">CN42+CO42*1</f>
        <v>0</v>
      </c>
      <c r="CQ42" s="2012">
        <f t="shared" si="131"/>
        <v>0</v>
      </c>
      <c r="CR42" s="4614"/>
    </row>
    <row r="43" spans="1:98" ht="13.8" outlineLevel="2">
      <c r="A43" s="4833"/>
      <c r="B43" s="4640" t="s">
        <v>27</v>
      </c>
      <c r="C43" s="3341"/>
      <c r="D43" s="3341"/>
      <c r="E43" s="3349">
        <f t="shared" si="95"/>
        <v>0</v>
      </c>
      <c r="F43" s="4428" t="e">
        <f t="shared" si="96"/>
        <v>#DIV/0!</v>
      </c>
      <c r="G43" s="4429"/>
      <c r="H43" s="3341"/>
      <c r="I43" s="3341"/>
      <c r="J43" s="3349">
        <f t="shared" si="97"/>
        <v>0</v>
      </c>
      <c r="K43" s="4428" t="e">
        <f t="shared" si="98"/>
        <v>#DIV/0!</v>
      </c>
      <c r="L43" s="4429"/>
      <c r="M43" s="3341"/>
      <c r="N43" s="3341"/>
      <c r="O43" s="3349">
        <f t="shared" si="99"/>
        <v>0</v>
      </c>
      <c r="P43" s="4428" t="e">
        <f t="shared" si="100"/>
        <v>#DIV/0!</v>
      </c>
      <c r="Q43" s="4429"/>
      <c r="R43" s="3342">
        <f t="shared" si="101"/>
        <v>0</v>
      </c>
      <c r="S43" s="3342">
        <f t="shared" si="101"/>
        <v>0</v>
      </c>
      <c r="T43" s="2012">
        <f t="shared" si="102"/>
        <v>0</v>
      </c>
      <c r="U43" s="3462"/>
      <c r="V43" s="3462"/>
      <c r="W43" s="3342">
        <f t="shared" si="103"/>
        <v>0</v>
      </c>
      <c r="X43" s="3342">
        <f t="shared" si="103"/>
        <v>0</v>
      </c>
      <c r="Y43" s="2012">
        <f t="shared" si="104"/>
        <v>0</v>
      </c>
      <c r="Z43" s="3462"/>
      <c r="AA43" s="3462"/>
      <c r="AB43" s="3341"/>
      <c r="AC43" s="3341"/>
      <c r="AD43" s="3349">
        <f t="shared" si="105"/>
        <v>0</v>
      </c>
      <c r="AE43" s="4428" t="e">
        <f t="shared" si="106"/>
        <v>#DIV/0!</v>
      </c>
      <c r="AF43" s="4429"/>
      <c r="AG43" s="3341"/>
      <c r="AH43" s="3341"/>
      <c r="AI43" s="3349">
        <f t="shared" si="107"/>
        <v>0</v>
      </c>
      <c r="AJ43" s="4428" t="e">
        <f t="shared" si="108"/>
        <v>#DIV/0!</v>
      </c>
      <c r="AK43" s="4429"/>
      <c r="AL43" s="3341"/>
      <c r="AM43" s="3341"/>
      <c r="AN43" s="3349">
        <f t="shared" si="109"/>
        <v>0</v>
      </c>
      <c r="AO43" s="4428" t="e">
        <f t="shared" si="110"/>
        <v>#DIV/0!</v>
      </c>
      <c r="AP43" s="4429"/>
      <c r="AQ43" s="3341"/>
      <c r="AR43" s="3341"/>
      <c r="AS43" s="3349">
        <f t="shared" si="111"/>
        <v>0</v>
      </c>
      <c r="AT43" s="4428" t="e">
        <f t="shared" si="112"/>
        <v>#DIV/0!</v>
      </c>
      <c r="AU43" s="4429"/>
      <c r="AV43" s="3341"/>
      <c r="AW43" s="3341"/>
      <c r="AX43" s="3349">
        <f t="shared" si="113"/>
        <v>0</v>
      </c>
      <c r="AY43" s="4428">
        <f t="shared" si="114"/>
        <v>0</v>
      </c>
      <c r="AZ43" s="4429"/>
      <c r="BA43" s="3341"/>
      <c r="BB43" s="3341"/>
      <c r="BC43" s="3349">
        <f t="shared" si="115"/>
        <v>0</v>
      </c>
      <c r="BD43" s="4428" t="e">
        <f t="shared" si="116"/>
        <v>#DIV/0!</v>
      </c>
      <c r="BE43" s="4429"/>
      <c r="BF43" s="3341"/>
      <c r="BG43" s="3341"/>
      <c r="BH43" s="3349">
        <f t="shared" si="117"/>
        <v>0</v>
      </c>
      <c r="BI43" s="4428" t="e">
        <f t="shared" si="118"/>
        <v>#DIV/0!</v>
      </c>
      <c r="BJ43" s="4429"/>
      <c r="BK43" s="3341"/>
      <c r="BL43" s="3341"/>
      <c r="BM43" s="3349">
        <f t="shared" si="119"/>
        <v>0</v>
      </c>
      <c r="BN43" s="4428" t="e">
        <f t="shared" si="120"/>
        <v>#DIV/0!</v>
      </c>
      <c r="BO43" s="4429"/>
      <c r="BP43" s="3341"/>
      <c r="BQ43" s="3341"/>
      <c r="BR43" s="3349">
        <f t="shared" si="121"/>
        <v>0</v>
      </c>
      <c r="BS43" s="4428" t="e">
        <f t="shared" si="122"/>
        <v>#DIV/0!</v>
      </c>
      <c r="BT43" s="4429"/>
      <c r="BU43" s="3341"/>
      <c r="BV43" s="3341"/>
      <c r="BW43" s="3349">
        <f t="shared" si="123"/>
        <v>0</v>
      </c>
      <c r="BX43" s="4428" t="e">
        <f t="shared" si="124"/>
        <v>#DIV/0!</v>
      </c>
      <c r="BY43" s="4429"/>
      <c r="BZ43" s="3341"/>
      <c r="CA43" s="3341"/>
      <c r="CB43" s="3349">
        <f t="shared" si="125"/>
        <v>0</v>
      </c>
      <c r="CC43" s="4428" t="e">
        <f t="shared" si="126"/>
        <v>#DIV/0!</v>
      </c>
      <c r="CD43" s="4429"/>
      <c r="CE43" s="3341"/>
      <c r="CF43" s="3341"/>
      <c r="CG43" s="3349">
        <f t="shared" si="127"/>
        <v>0</v>
      </c>
      <c r="CH43" s="4428" t="e">
        <f t="shared" si="128"/>
        <v>#DIV/0!</v>
      </c>
      <c r="CI43" s="4429"/>
      <c r="CJ43" s="3341">
        <f t="shared" si="129"/>
        <v>0</v>
      </c>
      <c r="CK43" s="3341">
        <f t="shared" si="129"/>
        <v>0</v>
      </c>
      <c r="CL43" s="2012">
        <f t="shared" si="130"/>
        <v>0</v>
      </c>
      <c r="CM43" s="4428">
        <f t="shared" si="94"/>
        <v>0</v>
      </c>
      <c r="CN43" s="4432"/>
      <c r="CP43" s="2012">
        <f t="shared" si="131"/>
        <v>0</v>
      </c>
      <c r="CQ43" s="2012">
        <f t="shared" si="131"/>
        <v>0</v>
      </c>
      <c r="CR43" s="4614"/>
    </row>
    <row r="44" spans="1:98" ht="13.8" outlineLevel="2">
      <c r="A44" s="4833"/>
      <c r="B44" s="4632" t="s">
        <v>28</v>
      </c>
      <c r="C44" s="3341"/>
      <c r="D44" s="3341"/>
      <c r="E44" s="3349">
        <f t="shared" si="95"/>
        <v>0</v>
      </c>
      <c r="F44" s="4428" t="e">
        <f t="shared" si="96"/>
        <v>#DIV/0!</v>
      </c>
      <c r="G44" s="4429"/>
      <c r="H44" s="3341"/>
      <c r="I44" s="3341"/>
      <c r="J44" s="3349">
        <f t="shared" si="97"/>
        <v>0</v>
      </c>
      <c r="K44" s="4428" t="e">
        <f t="shared" si="98"/>
        <v>#DIV/0!</v>
      </c>
      <c r="L44" s="4429"/>
      <c r="M44" s="3341"/>
      <c r="N44" s="3341"/>
      <c r="O44" s="3349">
        <f t="shared" si="99"/>
        <v>0</v>
      </c>
      <c r="P44" s="4428" t="e">
        <f t="shared" si="100"/>
        <v>#DIV/0!</v>
      </c>
      <c r="Q44" s="4429"/>
      <c r="R44" s="3342">
        <f t="shared" si="101"/>
        <v>0</v>
      </c>
      <c r="S44" s="3342">
        <f t="shared" si="101"/>
        <v>0</v>
      </c>
      <c r="T44" s="2012">
        <f t="shared" si="102"/>
        <v>0</v>
      </c>
      <c r="U44" s="3462"/>
      <c r="V44" s="3462"/>
      <c r="W44" s="3342">
        <f t="shared" si="103"/>
        <v>0</v>
      </c>
      <c r="X44" s="3342">
        <f t="shared" si="103"/>
        <v>0</v>
      </c>
      <c r="Y44" s="2012">
        <f t="shared" si="104"/>
        <v>0</v>
      </c>
      <c r="Z44" s="3462"/>
      <c r="AA44" s="3462"/>
      <c r="AB44" s="3341"/>
      <c r="AC44" s="3341"/>
      <c r="AD44" s="3349">
        <f t="shared" si="105"/>
        <v>0</v>
      </c>
      <c r="AE44" s="4428" t="e">
        <f t="shared" si="106"/>
        <v>#DIV/0!</v>
      </c>
      <c r="AF44" s="4429"/>
      <c r="AG44" s="3341"/>
      <c r="AH44" s="3341"/>
      <c r="AI44" s="3349">
        <f t="shared" si="107"/>
        <v>0</v>
      </c>
      <c r="AJ44" s="4428" t="e">
        <f t="shared" si="108"/>
        <v>#DIV/0!</v>
      </c>
      <c r="AK44" s="4429"/>
      <c r="AL44" s="3341"/>
      <c r="AM44" s="3341"/>
      <c r="AN44" s="3349">
        <f t="shared" si="109"/>
        <v>0</v>
      </c>
      <c r="AO44" s="4428" t="e">
        <f t="shared" si="110"/>
        <v>#DIV/0!</v>
      </c>
      <c r="AP44" s="4429"/>
      <c r="AQ44" s="3341"/>
      <c r="AR44" s="3341"/>
      <c r="AS44" s="3349">
        <f t="shared" si="111"/>
        <v>0</v>
      </c>
      <c r="AT44" s="4428" t="e">
        <f t="shared" si="112"/>
        <v>#DIV/0!</v>
      </c>
      <c r="AU44" s="4429"/>
      <c r="AV44" s="3341"/>
      <c r="AW44" s="3341"/>
      <c r="AX44" s="3349">
        <f t="shared" si="113"/>
        <v>0</v>
      </c>
      <c r="AY44" s="4428">
        <f t="shared" si="114"/>
        <v>0</v>
      </c>
      <c r="AZ44" s="4429"/>
      <c r="BA44" s="3341"/>
      <c r="BB44" s="3341"/>
      <c r="BC44" s="3349">
        <f t="shared" si="115"/>
        <v>0</v>
      </c>
      <c r="BD44" s="4428" t="e">
        <f t="shared" si="116"/>
        <v>#DIV/0!</v>
      </c>
      <c r="BE44" s="4429"/>
      <c r="BF44" s="3341"/>
      <c r="BG44" s="3341"/>
      <c r="BH44" s="3349">
        <f t="shared" si="117"/>
        <v>0</v>
      </c>
      <c r="BI44" s="4428" t="e">
        <f t="shared" si="118"/>
        <v>#DIV/0!</v>
      </c>
      <c r="BJ44" s="4429"/>
      <c r="BK44" s="3341"/>
      <c r="BL44" s="3341"/>
      <c r="BM44" s="3349">
        <f t="shared" si="119"/>
        <v>0</v>
      </c>
      <c r="BN44" s="4428" t="e">
        <f t="shared" si="120"/>
        <v>#DIV/0!</v>
      </c>
      <c r="BO44" s="4429"/>
      <c r="BP44" s="3341"/>
      <c r="BQ44" s="3341"/>
      <c r="BR44" s="3349">
        <f t="shared" si="121"/>
        <v>0</v>
      </c>
      <c r="BS44" s="4428" t="e">
        <f t="shared" si="122"/>
        <v>#DIV/0!</v>
      </c>
      <c r="BT44" s="4429"/>
      <c r="BU44" s="3341"/>
      <c r="BV44" s="3341"/>
      <c r="BW44" s="3349">
        <f t="shared" si="123"/>
        <v>0</v>
      </c>
      <c r="BX44" s="4428" t="e">
        <f t="shared" si="124"/>
        <v>#DIV/0!</v>
      </c>
      <c r="BY44" s="4429"/>
      <c r="BZ44" s="3341"/>
      <c r="CA44" s="3341"/>
      <c r="CB44" s="3349">
        <f t="shared" si="125"/>
        <v>0</v>
      </c>
      <c r="CC44" s="4428" t="e">
        <f t="shared" si="126"/>
        <v>#DIV/0!</v>
      </c>
      <c r="CD44" s="4429"/>
      <c r="CE44" s="3341"/>
      <c r="CF44" s="3341"/>
      <c r="CG44" s="3349">
        <f t="shared" si="127"/>
        <v>0</v>
      </c>
      <c r="CH44" s="4428" t="e">
        <f t="shared" si="128"/>
        <v>#DIV/0!</v>
      </c>
      <c r="CI44" s="4429"/>
      <c r="CJ44" s="3341">
        <f t="shared" si="129"/>
        <v>0</v>
      </c>
      <c r="CK44" s="3341">
        <f t="shared" si="129"/>
        <v>0</v>
      </c>
      <c r="CL44" s="2012">
        <f t="shared" si="130"/>
        <v>0</v>
      </c>
      <c r="CM44" s="4428">
        <f t="shared" si="94"/>
        <v>0</v>
      </c>
      <c r="CN44" s="4432"/>
      <c r="CP44" s="2012">
        <f t="shared" si="131"/>
        <v>0</v>
      </c>
      <c r="CQ44" s="2012">
        <f t="shared" si="131"/>
        <v>0</v>
      </c>
      <c r="CR44" s="4614"/>
    </row>
    <row r="45" spans="1:98" ht="13.8" outlineLevel="2">
      <c r="A45" s="4833"/>
      <c r="B45" s="4640" t="s">
        <v>8</v>
      </c>
      <c r="C45" s="3341"/>
      <c r="D45" s="3341"/>
      <c r="E45" s="3349">
        <f t="shared" si="95"/>
        <v>0</v>
      </c>
      <c r="F45" s="4428" t="e">
        <f t="shared" si="96"/>
        <v>#DIV/0!</v>
      </c>
      <c r="G45" s="4429"/>
      <c r="H45" s="3341"/>
      <c r="I45" s="3341"/>
      <c r="J45" s="3349">
        <f t="shared" si="97"/>
        <v>0</v>
      </c>
      <c r="K45" s="4428" t="e">
        <f t="shared" si="98"/>
        <v>#DIV/0!</v>
      </c>
      <c r="L45" s="4429"/>
      <c r="M45" s="3341"/>
      <c r="N45" s="3341"/>
      <c r="O45" s="3349">
        <f t="shared" si="99"/>
        <v>0</v>
      </c>
      <c r="P45" s="4428" t="e">
        <f t="shared" si="100"/>
        <v>#DIV/0!</v>
      </c>
      <c r="Q45" s="4429"/>
      <c r="R45" s="3342">
        <f t="shared" si="101"/>
        <v>0</v>
      </c>
      <c r="S45" s="3342">
        <f t="shared" si="101"/>
        <v>0</v>
      </c>
      <c r="T45" s="2012">
        <f t="shared" si="102"/>
        <v>0</v>
      </c>
      <c r="U45" s="3462"/>
      <c r="V45" s="3462"/>
      <c r="W45" s="3342">
        <f t="shared" si="103"/>
        <v>0</v>
      </c>
      <c r="X45" s="3342">
        <f t="shared" si="103"/>
        <v>0</v>
      </c>
      <c r="Y45" s="2012">
        <f t="shared" si="104"/>
        <v>0</v>
      </c>
      <c r="Z45" s="3462"/>
      <c r="AA45" s="3462"/>
      <c r="AB45" s="3341"/>
      <c r="AC45" s="3341"/>
      <c r="AD45" s="3349">
        <f t="shared" si="105"/>
        <v>0</v>
      </c>
      <c r="AE45" s="4428" t="e">
        <f t="shared" si="106"/>
        <v>#DIV/0!</v>
      </c>
      <c r="AF45" s="4429"/>
      <c r="AG45" s="3341"/>
      <c r="AH45" s="3341"/>
      <c r="AI45" s="3349">
        <f t="shared" si="107"/>
        <v>0</v>
      </c>
      <c r="AJ45" s="4428" t="e">
        <f t="shared" si="108"/>
        <v>#DIV/0!</v>
      </c>
      <c r="AK45" s="4429"/>
      <c r="AL45" s="3341"/>
      <c r="AM45" s="3341"/>
      <c r="AN45" s="3349">
        <f t="shared" si="109"/>
        <v>0</v>
      </c>
      <c r="AO45" s="4428" t="e">
        <f t="shared" si="110"/>
        <v>#DIV/0!</v>
      </c>
      <c r="AP45" s="4429"/>
      <c r="AQ45" s="3341"/>
      <c r="AR45" s="3341"/>
      <c r="AS45" s="3349">
        <f t="shared" si="111"/>
        <v>0</v>
      </c>
      <c r="AT45" s="4428" t="e">
        <f t="shared" si="112"/>
        <v>#DIV/0!</v>
      </c>
      <c r="AU45" s="4429"/>
      <c r="AV45" s="3341"/>
      <c r="AW45" s="3341"/>
      <c r="AX45" s="3349">
        <f t="shared" si="113"/>
        <v>0</v>
      </c>
      <c r="AY45" s="4428">
        <f t="shared" si="114"/>
        <v>0</v>
      </c>
      <c r="AZ45" s="4429"/>
      <c r="BA45" s="3341"/>
      <c r="BB45" s="3341"/>
      <c r="BC45" s="3349">
        <f t="shared" si="115"/>
        <v>0</v>
      </c>
      <c r="BD45" s="4428" t="e">
        <f t="shared" si="116"/>
        <v>#DIV/0!</v>
      </c>
      <c r="BE45" s="4429"/>
      <c r="BF45" s="3341"/>
      <c r="BG45" s="3341"/>
      <c r="BH45" s="3349">
        <f t="shared" si="117"/>
        <v>0</v>
      </c>
      <c r="BI45" s="4428" t="e">
        <f t="shared" si="118"/>
        <v>#DIV/0!</v>
      </c>
      <c r="BJ45" s="4429"/>
      <c r="BK45" s="3341"/>
      <c r="BL45" s="3341"/>
      <c r="BM45" s="3349">
        <f t="shared" si="119"/>
        <v>0</v>
      </c>
      <c r="BN45" s="4428" t="e">
        <f t="shared" si="120"/>
        <v>#DIV/0!</v>
      </c>
      <c r="BO45" s="4429"/>
      <c r="BP45" s="3341"/>
      <c r="BQ45" s="3341"/>
      <c r="BR45" s="3349">
        <f t="shared" si="121"/>
        <v>0</v>
      </c>
      <c r="BS45" s="4428" t="e">
        <f t="shared" si="122"/>
        <v>#DIV/0!</v>
      </c>
      <c r="BT45" s="4429"/>
      <c r="BU45" s="3341"/>
      <c r="BV45" s="3341"/>
      <c r="BW45" s="3349">
        <f t="shared" si="123"/>
        <v>0</v>
      </c>
      <c r="BX45" s="4428" t="e">
        <f t="shared" si="124"/>
        <v>#DIV/0!</v>
      </c>
      <c r="BY45" s="4429"/>
      <c r="BZ45" s="3341"/>
      <c r="CA45" s="3341"/>
      <c r="CB45" s="3349">
        <f t="shared" si="125"/>
        <v>0</v>
      </c>
      <c r="CC45" s="4428" t="e">
        <f t="shared" si="126"/>
        <v>#DIV/0!</v>
      </c>
      <c r="CD45" s="4429"/>
      <c r="CE45" s="3341"/>
      <c r="CF45" s="3341"/>
      <c r="CG45" s="3349">
        <f t="shared" si="127"/>
        <v>0</v>
      </c>
      <c r="CH45" s="4428" t="e">
        <f t="shared" si="128"/>
        <v>#DIV/0!</v>
      </c>
      <c r="CI45" s="4429"/>
      <c r="CJ45" s="3341">
        <f t="shared" si="129"/>
        <v>0</v>
      </c>
      <c r="CK45" s="3341">
        <f t="shared" si="129"/>
        <v>0</v>
      </c>
      <c r="CL45" s="2012">
        <f t="shared" si="130"/>
        <v>0</v>
      </c>
      <c r="CM45" s="4428">
        <f t="shared" si="94"/>
        <v>0</v>
      </c>
      <c r="CN45" s="4432"/>
      <c r="CP45" s="2012">
        <f t="shared" si="131"/>
        <v>0</v>
      </c>
      <c r="CQ45" s="2012">
        <f t="shared" si="131"/>
        <v>0</v>
      </c>
      <c r="CR45" s="4614"/>
    </row>
    <row r="46" spans="1:98" ht="13.8" outlineLevel="2">
      <c r="A46" s="4833"/>
      <c r="B46" s="4640" t="s">
        <v>29</v>
      </c>
      <c r="C46" s="3341"/>
      <c r="D46" s="3341"/>
      <c r="E46" s="3349">
        <f t="shared" si="95"/>
        <v>0</v>
      </c>
      <c r="F46" s="4428" t="e">
        <f t="shared" si="96"/>
        <v>#DIV/0!</v>
      </c>
      <c r="G46" s="4429"/>
      <c r="H46" s="3341"/>
      <c r="I46" s="3341"/>
      <c r="J46" s="3349">
        <f t="shared" si="97"/>
        <v>0</v>
      </c>
      <c r="K46" s="4428" t="e">
        <f t="shared" si="98"/>
        <v>#DIV/0!</v>
      </c>
      <c r="L46" s="4429"/>
      <c r="M46" s="3341"/>
      <c r="N46" s="3341"/>
      <c r="O46" s="3349">
        <f t="shared" si="99"/>
        <v>0</v>
      </c>
      <c r="P46" s="4428" t="e">
        <f t="shared" si="100"/>
        <v>#DIV/0!</v>
      </c>
      <c r="Q46" s="4429"/>
      <c r="R46" s="3342">
        <f t="shared" si="101"/>
        <v>0</v>
      </c>
      <c r="S46" s="3342">
        <f t="shared" si="101"/>
        <v>0</v>
      </c>
      <c r="T46" s="2012">
        <f t="shared" si="102"/>
        <v>0</v>
      </c>
      <c r="U46" s="3462"/>
      <c r="V46" s="3462"/>
      <c r="W46" s="3342">
        <f t="shared" si="103"/>
        <v>0</v>
      </c>
      <c r="X46" s="3342">
        <f t="shared" si="103"/>
        <v>0</v>
      </c>
      <c r="Y46" s="2012">
        <f t="shared" si="104"/>
        <v>0</v>
      </c>
      <c r="Z46" s="3462"/>
      <c r="AA46" s="3462"/>
      <c r="AB46" s="3341"/>
      <c r="AC46" s="3341"/>
      <c r="AD46" s="3349">
        <f t="shared" si="105"/>
        <v>0</v>
      </c>
      <c r="AE46" s="4428" t="e">
        <f t="shared" si="106"/>
        <v>#DIV/0!</v>
      </c>
      <c r="AF46" s="4429"/>
      <c r="AG46" s="3341"/>
      <c r="AH46" s="3341"/>
      <c r="AI46" s="3349">
        <f t="shared" si="107"/>
        <v>0</v>
      </c>
      <c r="AJ46" s="4428" t="e">
        <f t="shared" si="108"/>
        <v>#DIV/0!</v>
      </c>
      <c r="AK46" s="4429"/>
      <c r="AL46" s="3341"/>
      <c r="AM46" s="3341"/>
      <c r="AN46" s="3349">
        <f t="shared" si="109"/>
        <v>0</v>
      </c>
      <c r="AO46" s="4428" t="e">
        <f t="shared" si="110"/>
        <v>#DIV/0!</v>
      </c>
      <c r="AP46" s="4429"/>
      <c r="AQ46" s="3341"/>
      <c r="AR46" s="3341"/>
      <c r="AS46" s="3349">
        <f t="shared" si="111"/>
        <v>0</v>
      </c>
      <c r="AT46" s="4428" t="e">
        <f t="shared" si="112"/>
        <v>#DIV/0!</v>
      </c>
      <c r="AU46" s="4429"/>
      <c r="AV46" s="3341"/>
      <c r="AW46" s="3341"/>
      <c r="AX46" s="3349">
        <f t="shared" si="113"/>
        <v>0</v>
      </c>
      <c r="AY46" s="4428">
        <f t="shared" si="114"/>
        <v>0</v>
      </c>
      <c r="AZ46" s="4429"/>
      <c r="BA46" s="3341"/>
      <c r="BB46" s="3341"/>
      <c r="BC46" s="3349">
        <f t="shared" si="115"/>
        <v>0</v>
      </c>
      <c r="BD46" s="4428" t="e">
        <f t="shared" si="116"/>
        <v>#DIV/0!</v>
      </c>
      <c r="BE46" s="4429"/>
      <c r="BF46" s="3341"/>
      <c r="BG46" s="3341"/>
      <c r="BH46" s="3349">
        <f t="shared" si="117"/>
        <v>0</v>
      </c>
      <c r="BI46" s="4428" t="e">
        <f t="shared" si="118"/>
        <v>#DIV/0!</v>
      </c>
      <c r="BJ46" s="4429"/>
      <c r="BK46" s="3341"/>
      <c r="BL46" s="3341"/>
      <c r="BM46" s="3349">
        <f t="shared" si="119"/>
        <v>0</v>
      </c>
      <c r="BN46" s="4428" t="e">
        <f t="shared" si="120"/>
        <v>#DIV/0!</v>
      </c>
      <c r="BO46" s="4429"/>
      <c r="BP46" s="3341"/>
      <c r="BQ46" s="3341"/>
      <c r="BR46" s="3349">
        <f t="shared" si="121"/>
        <v>0</v>
      </c>
      <c r="BS46" s="4428" t="e">
        <f t="shared" si="122"/>
        <v>#DIV/0!</v>
      </c>
      <c r="BT46" s="4429"/>
      <c r="BU46" s="3341"/>
      <c r="BV46" s="3341"/>
      <c r="BW46" s="3349">
        <f t="shared" si="123"/>
        <v>0</v>
      </c>
      <c r="BX46" s="4428" t="e">
        <f t="shared" si="124"/>
        <v>#DIV/0!</v>
      </c>
      <c r="BY46" s="4429"/>
      <c r="BZ46" s="3341"/>
      <c r="CA46" s="3341"/>
      <c r="CB46" s="3349">
        <f t="shared" si="125"/>
        <v>0</v>
      </c>
      <c r="CC46" s="4428" t="e">
        <f t="shared" si="126"/>
        <v>#DIV/0!</v>
      </c>
      <c r="CD46" s="4429"/>
      <c r="CE46" s="3341"/>
      <c r="CF46" s="3341"/>
      <c r="CG46" s="3349">
        <f t="shared" si="127"/>
        <v>0</v>
      </c>
      <c r="CH46" s="4428" t="e">
        <f t="shared" si="128"/>
        <v>#DIV/0!</v>
      </c>
      <c r="CI46" s="4429"/>
      <c r="CJ46" s="3341">
        <f t="shared" si="129"/>
        <v>0</v>
      </c>
      <c r="CK46" s="3341">
        <f t="shared" si="129"/>
        <v>0</v>
      </c>
      <c r="CL46" s="2012">
        <f t="shared" si="130"/>
        <v>0</v>
      </c>
      <c r="CM46" s="4428">
        <f t="shared" si="94"/>
        <v>0</v>
      </c>
      <c r="CN46" s="4432"/>
      <c r="CP46" s="2012">
        <f t="shared" si="131"/>
        <v>0</v>
      </c>
      <c r="CQ46" s="2012">
        <f t="shared" si="131"/>
        <v>0</v>
      </c>
      <c r="CR46" s="4614"/>
    </row>
    <row r="47" spans="1:98" ht="13.8" outlineLevel="2">
      <c r="A47" s="4833"/>
      <c r="B47" s="4640" t="s">
        <v>30</v>
      </c>
      <c r="C47" s="3341"/>
      <c r="D47" s="3341"/>
      <c r="E47" s="3349">
        <f t="shared" si="95"/>
        <v>0</v>
      </c>
      <c r="F47" s="4428" t="e">
        <f t="shared" si="96"/>
        <v>#DIV/0!</v>
      </c>
      <c r="G47" s="4429"/>
      <c r="H47" s="3341"/>
      <c r="I47" s="3341"/>
      <c r="J47" s="3349">
        <f t="shared" si="97"/>
        <v>0</v>
      </c>
      <c r="K47" s="4428" t="e">
        <f t="shared" si="98"/>
        <v>#DIV/0!</v>
      </c>
      <c r="L47" s="4429"/>
      <c r="M47" s="3341"/>
      <c r="N47" s="3341"/>
      <c r="O47" s="3349">
        <f t="shared" si="99"/>
        <v>0</v>
      </c>
      <c r="P47" s="4428" t="e">
        <f t="shared" si="100"/>
        <v>#DIV/0!</v>
      </c>
      <c r="Q47" s="4429"/>
      <c r="R47" s="3342">
        <f t="shared" si="101"/>
        <v>0</v>
      </c>
      <c r="S47" s="3342">
        <f t="shared" si="101"/>
        <v>0</v>
      </c>
      <c r="T47" s="2012">
        <f t="shared" si="102"/>
        <v>0</v>
      </c>
      <c r="U47" s="3462"/>
      <c r="V47" s="3462"/>
      <c r="W47" s="3342">
        <f t="shared" si="103"/>
        <v>0</v>
      </c>
      <c r="X47" s="3342">
        <f t="shared" si="103"/>
        <v>0</v>
      </c>
      <c r="Y47" s="2012">
        <f t="shared" si="104"/>
        <v>0</v>
      </c>
      <c r="Z47" s="3462"/>
      <c r="AA47" s="3462"/>
      <c r="AB47" s="3341"/>
      <c r="AC47" s="3341"/>
      <c r="AD47" s="3349">
        <f t="shared" si="105"/>
        <v>0</v>
      </c>
      <c r="AE47" s="4428" t="e">
        <f t="shared" si="106"/>
        <v>#DIV/0!</v>
      </c>
      <c r="AF47" s="4429"/>
      <c r="AG47" s="3341"/>
      <c r="AH47" s="3341"/>
      <c r="AI47" s="3349">
        <f t="shared" si="107"/>
        <v>0</v>
      </c>
      <c r="AJ47" s="4428" t="e">
        <f t="shared" si="108"/>
        <v>#DIV/0!</v>
      </c>
      <c r="AK47" s="4429"/>
      <c r="AL47" s="3341"/>
      <c r="AM47" s="3341"/>
      <c r="AN47" s="3349">
        <f t="shared" si="109"/>
        <v>0</v>
      </c>
      <c r="AO47" s="4428" t="e">
        <f t="shared" si="110"/>
        <v>#DIV/0!</v>
      </c>
      <c r="AP47" s="4429"/>
      <c r="AQ47" s="3341"/>
      <c r="AR47" s="3341"/>
      <c r="AS47" s="3349">
        <f t="shared" si="111"/>
        <v>0</v>
      </c>
      <c r="AT47" s="4428" t="e">
        <f t="shared" si="112"/>
        <v>#DIV/0!</v>
      </c>
      <c r="AU47" s="4429"/>
      <c r="AV47" s="3341"/>
      <c r="AW47" s="3341"/>
      <c r="AX47" s="3349">
        <f t="shared" si="113"/>
        <v>0</v>
      </c>
      <c r="AY47" s="4428">
        <f t="shared" si="114"/>
        <v>0</v>
      </c>
      <c r="AZ47" s="4429"/>
      <c r="BA47" s="3341"/>
      <c r="BB47" s="3341"/>
      <c r="BC47" s="3349">
        <f t="shared" si="115"/>
        <v>0</v>
      </c>
      <c r="BD47" s="4428" t="e">
        <f t="shared" si="116"/>
        <v>#DIV/0!</v>
      </c>
      <c r="BE47" s="4429"/>
      <c r="BF47" s="3341"/>
      <c r="BG47" s="3341"/>
      <c r="BH47" s="3349">
        <f t="shared" si="117"/>
        <v>0</v>
      </c>
      <c r="BI47" s="4428" t="e">
        <f t="shared" si="118"/>
        <v>#DIV/0!</v>
      </c>
      <c r="BJ47" s="4429"/>
      <c r="BK47" s="3341"/>
      <c r="BL47" s="3341"/>
      <c r="BM47" s="3349">
        <f t="shared" si="119"/>
        <v>0</v>
      </c>
      <c r="BN47" s="4428" t="e">
        <f t="shared" si="120"/>
        <v>#DIV/0!</v>
      </c>
      <c r="BO47" s="4429"/>
      <c r="BP47" s="3341"/>
      <c r="BQ47" s="3341"/>
      <c r="BR47" s="3349">
        <f t="shared" si="121"/>
        <v>0</v>
      </c>
      <c r="BS47" s="4428" t="e">
        <f t="shared" si="122"/>
        <v>#DIV/0!</v>
      </c>
      <c r="BT47" s="4429"/>
      <c r="BU47" s="3341"/>
      <c r="BV47" s="3341"/>
      <c r="BW47" s="3349">
        <f t="shared" si="123"/>
        <v>0</v>
      </c>
      <c r="BX47" s="4428" t="e">
        <f t="shared" si="124"/>
        <v>#DIV/0!</v>
      </c>
      <c r="BY47" s="4429"/>
      <c r="BZ47" s="3341"/>
      <c r="CA47" s="3341"/>
      <c r="CB47" s="3349">
        <f t="shared" si="125"/>
        <v>0</v>
      </c>
      <c r="CC47" s="4428" t="e">
        <f t="shared" si="126"/>
        <v>#DIV/0!</v>
      </c>
      <c r="CD47" s="4429"/>
      <c r="CE47" s="3341"/>
      <c r="CF47" s="3341"/>
      <c r="CG47" s="3349">
        <f t="shared" si="127"/>
        <v>0</v>
      </c>
      <c r="CH47" s="4428" t="e">
        <f t="shared" si="128"/>
        <v>#DIV/0!</v>
      </c>
      <c r="CI47" s="4429"/>
      <c r="CJ47" s="3341">
        <f t="shared" si="129"/>
        <v>0</v>
      </c>
      <c r="CK47" s="3341">
        <f t="shared" si="129"/>
        <v>0</v>
      </c>
      <c r="CL47" s="2012">
        <f t="shared" si="130"/>
        <v>0</v>
      </c>
      <c r="CM47" s="4428">
        <f t="shared" si="94"/>
        <v>0</v>
      </c>
      <c r="CN47" s="4432"/>
      <c r="CP47" s="2012">
        <f t="shared" si="131"/>
        <v>0</v>
      </c>
      <c r="CQ47" s="2012">
        <f t="shared" si="131"/>
        <v>0</v>
      </c>
      <c r="CR47" s="4614"/>
    </row>
    <row r="48" spans="1:98" ht="13.8" outlineLevel="2">
      <c r="A48" s="4833"/>
      <c r="B48" s="4640" t="s">
        <v>15</v>
      </c>
      <c r="C48" s="3341"/>
      <c r="D48" s="3341"/>
      <c r="E48" s="3349">
        <f t="shared" si="95"/>
        <v>0</v>
      </c>
      <c r="F48" s="4428" t="e">
        <f t="shared" si="96"/>
        <v>#DIV/0!</v>
      </c>
      <c r="G48" s="4429"/>
      <c r="H48" s="3341"/>
      <c r="I48" s="3341"/>
      <c r="J48" s="3349">
        <f t="shared" si="97"/>
        <v>0</v>
      </c>
      <c r="K48" s="4428" t="e">
        <f t="shared" si="98"/>
        <v>#DIV/0!</v>
      </c>
      <c r="L48" s="4429"/>
      <c r="M48" s="3341"/>
      <c r="N48" s="3341"/>
      <c r="O48" s="3349">
        <f t="shared" si="99"/>
        <v>0</v>
      </c>
      <c r="P48" s="4428" t="e">
        <f t="shared" si="100"/>
        <v>#DIV/0!</v>
      </c>
      <c r="Q48" s="4429"/>
      <c r="R48" s="3342">
        <f t="shared" si="101"/>
        <v>0</v>
      </c>
      <c r="S48" s="3342">
        <f t="shared" si="101"/>
        <v>0</v>
      </c>
      <c r="T48" s="2012">
        <f t="shared" si="102"/>
        <v>0</v>
      </c>
      <c r="U48" s="4641"/>
      <c r="V48" s="4429"/>
      <c r="W48" s="4642">
        <f t="shared" si="103"/>
        <v>0</v>
      </c>
      <c r="X48" s="4642">
        <f t="shared" si="103"/>
        <v>0</v>
      </c>
      <c r="Y48" s="4453">
        <f t="shared" si="104"/>
        <v>0</v>
      </c>
      <c r="Z48" s="4429"/>
      <c r="AA48" s="4429"/>
      <c r="AB48" s="4623"/>
      <c r="AC48" s="4623"/>
      <c r="AD48" s="4643">
        <f t="shared" si="105"/>
        <v>0</v>
      </c>
      <c r="AE48" s="4428" t="e">
        <f t="shared" si="106"/>
        <v>#DIV/0!</v>
      </c>
      <c r="AF48" s="4429"/>
      <c r="AG48" s="4623"/>
      <c r="AH48" s="3341"/>
      <c r="AI48" s="3349">
        <f t="shared" si="107"/>
        <v>0</v>
      </c>
      <c r="AJ48" s="4428" t="e">
        <f t="shared" si="108"/>
        <v>#DIV/0!</v>
      </c>
      <c r="AK48" s="4429"/>
      <c r="AL48" s="3341"/>
      <c r="AM48" s="3341"/>
      <c r="AN48" s="3349">
        <f t="shared" si="109"/>
        <v>0</v>
      </c>
      <c r="AO48" s="4428" t="e">
        <f t="shared" si="110"/>
        <v>#DIV/0!</v>
      </c>
      <c r="AP48" s="4429"/>
      <c r="AQ48" s="3341"/>
      <c r="AR48" s="3341"/>
      <c r="AS48" s="3349">
        <f t="shared" si="111"/>
        <v>0</v>
      </c>
      <c r="AT48" s="4428" t="e">
        <f t="shared" si="112"/>
        <v>#DIV/0!</v>
      </c>
      <c r="AU48" s="4429"/>
      <c r="AV48" s="3341"/>
      <c r="AW48" s="3341"/>
      <c r="AX48" s="3349">
        <f t="shared" si="113"/>
        <v>0</v>
      </c>
      <c r="AY48" s="4428">
        <f t="shared" si="114"/>
        <v>0</v>
      </c>
      <c r="AZ48" s="4429"/>
      <c r="BA48" s="3341"/>
      <c r="BB48" s="3341"/>
      <c r="BC48" s="3349">
        <f t="shared" si="115"/>
        <v>0</v>
      </c>
      <c r="BD48" s="4428" t="e">
        <f t="shared" si="116"/>
        <v>#DIV/0!</v>
      </c>
      <c r="BE48" s="4429"/>
      <c r="BF48" s="3341"/>
      <c r="BG48" s="3341"/>
      <c r="BH48" s="3349">
        <f t="shared" si="117"/>
        <v>0</v>
      </c>
      <c r="BI48" s="4428" t="e">
        <f t="shared" si="118"/>
        <v>#DIV/0!</v>
      </c>
      <c r="BJ48" s="4429"/>
      <c r="BK48" s="3341"/>
      <c r="BL48" s="3341"/>
      <c r="BM48" s="3349">
        <f t="shared" si="119"/>
        <v>0</v>
      </c>
      <c r="BN48" s="4428" t="e">
        <f t="shared" si="120"/>
        <v>#DIV/0!</v>
      </c>
      <c r="BO48" s="4429"/>
      <c r="BP48" s="3341"/>
      <c r="BQ48" s="3341"/>
      <c r="BR48" s="3349">
        <f t="shared" si="121"/>
        <v>0</v>
      </c>
      <c r="BS48" s="4428" t="e">
        <f t="shared" si="122"/>
        <v>#DIV/0!</v>
      </c>
      <c r="BT48" s="4429"/>
      <c r="BU48" s="3341"/>
      <c r="BV48" s="3341"/>
      <c r="BW48" s="3349">
        <f t="shared" si="123"/>
        <v>0</v>
      </c>
      <c r="BX48" s="4428" t="e">
        <f t="shared" si="124"/>
        <v>#DIV/0!</v>
      </c>
      <c r="BY48" s="4429"/>
      <c r="BZ48" s="3341"/>
      <c r="CA48" s="3341"/>
      <c r="CB48" s="3349">
        <f t="shared" si="125"/>
        <v>0</v>
      </c>
      <c r="CC48" s="4428" t="e">
        <f t="shared" si="126"/>
        <v>#DIV/0!</v>
      </c>
      <c r="CD48" s="4429"/>
      <c r="CE48" s="3341"/>
      <c r="CF48" s="3341"/>
      <c r="CG48" s="3349">
        <f t="shared" si="127"/>
        <v>0</v>
      </c>
      <c r="CH48" s="4428" t="e">
        <f t="shared" si="128"/>
        <v>#DIV/0!</v>
      </c>
      <c r="CI48" s="4429"/>
      <c r="CJ48" s="3341">
        <f t="shared" si="129"/>
        <v>0</v>
      </c>
      <c r="CK48" s="3341">
        <f t="shared" si="129"/>
        <v>0</v>
      </c>
      <c r="CL48" s="2012">
        <f t="shared" si="130"/>
        <v>0</v>
      </c>
      <c r="CM48" s="4428">
        <f t="shared" si="94"/>
        <v>0</v>
      </c>
      <c r="CN48" s="4432"/>
      <c r="CP48" s="2012">
        <f t="shared" si="131"/>
        <v>0</v>
      </c>
      <c r="CQ48" s="2012">
        <f t="shared" si="131"/>
        <v>0</v>
      </c>
      <c r="CR48" s="4614"/>
    </row>
    <row r="49" spans="1:98" s="1396" customFormat="1" ht="14.4" outlineLevel="2" thickBot="1">
      <c r="A49" s="1405"/>
      <c r="B49" s="4644"/>
      <c r="C49" s="3341"/>
      <c r="D49" s="3341"/>
      <c r="E49" s="4609"/>
      <c r="F49" s="4437"/>
      <c r="G49" s="4634"/>
      <c r="H49" s="3341"/>
      <c r="I49" s="3341"/>
      <c r="J49" s="4609"/>
      <c r="K49" s="4437"/>
      <c r="L49" s="4634"/>
      <c r="M49" s="3341"/>
      <c r="N49" s="3341"/>
      <c r="O49" s="4609"/>
      <c r="P49" s="4437"/>
      <c r="Q49" s="4634"/>
      <c r="R49" s="3456"/>
      <c r="S49" s="3456"/>
      <c r="T49" s="3456"/>
      <c r="U49" s="3733"/>
      <c r="V49" s="3734"/>
      <c r="W49" s="3734"/>
      <c r="X49" s="3734"/>
      <c r="Y49" s="3734"/>
      <c r="Z49" s="3734"/>
      <c r="AA49" s="3734"/>
      <c r="AB49" s="3375"/>
      <c r="AC49" s="3375"/>
      <c r="AD49" s="4609"/>
      <c r="AE49" s="4437" t="e">
        <f t="shared" si="106"/>
        <v>#DIV/0!</v>
      </c>
      <c r="AF49" s="4634"/>
      <c r="AG49" s="3375"/>
      <c r="AH49" s="3341"/>
      <c r="AI49" s="4609"/>
      <c r="AJ49" s="4437" t="e">
        <f t="shared" si="108"/>
        <v>#DIV/0!</v>
      </c>
      <c r="AK49" s="4634"/>
      <c r="AL49" s="3341"/>
      <c r="AM49" s="3341"/>
      <c r="AN49" s="4609"/>
      <c r="AO49" s="4437" t="e">
        <f t="shared" si="110"/>
        <v>#DIV/0!</v>
      </c>
      <c r="AP49" s="4634"/>
      <c r="AQ49" s="3341"/>
      <c r="AR49" s="3341"/>
      <c r="AS49" s="4609"/>
      <c r="AT49" s="4437" t="e">
        <f t="shared" si="112"/>
        <v>#DIV/0!</v>
      </c>
      <c r="AU49" s="4634"/>
      <c r="AV49" s="3341"/>
      <c r="AW49" s="3341"/>
      <c r="AX49" s="4609"/>
      <c r="AY49" s="4437">
        <f t="shared" si="114"/>
        <v>0</v>
      </c>
      <c r="AZ49" s="4634"/>
      <c r="BA49" s="3341"/>
      <c r="BB49" s="3341"/>
      <c r="BC49" s="4609"/>
      <c r="BD49" s="4437" t="e">
        <f t="shared" si="116"/>
        <v>#DIV/0!</v>
      </c>
      <c r="BE49" s="4634"/>
      <c r="BF49" s="3341"/>
      <c r="BG49" s="3341"/>
      <c r="BH49" s="4609"/>
      <c r="BI49" s="4437" t="e">
        <f t="shared" si="118"/>
        <v>#DIV/0!</v>
      </c>
      <c r="BJ49" s="4634"/>
      <c r="BK49" s="3341"/>
      <c r="BL49" s="3341"/>
      <c r="BM49" s="4609"/>
      <c r="BN49" s="4437" t="e">
        <f t="shared" si="120"/>
        <v>#DIV/0!</v>
      </c>
      <c r="BO49" s="4634"/>
      <c r="BP49" s="3341"/>
      <c r="BQ49" s="3341"/>
      <c r="BR49" s="4609"/>
      <c r="BS49" s="4437" t="e">
        <f t="shared" si="122"/>
        <v>#DIV/0!</v>
      </c>
      <c r="BT49" s="4634"/>
      <c r="BU49" s="3341"/>
      <c r="BV49" s="3341"/>
      <c r="BW49" s="4609"/>
      <c r="BX49" s="4437" t="e">
        <f t="shared" si="124"/>
        <v>#DIV/0!</v>
      </c>
      <c r="BY49" s="4634"/>
      <c r="BZ49" s="3341"/>
      <c r="CA49" s="3341"/>
      <c r="CB49" s="4609"/>
      <c r="CC49" s="4437" t="e">
        <f t="shared" si="126"/>
        <v>#DIV/0!</v>
      </c>
      <c r="CD49" s="4634"/>
      <c r="CE49" s="3341"/>
      <c r="CF49" s="3341"/>
      <c r="CG49" s="4609"/>
      <c r="CH49" s="4437" t="e">
        <f t="shared" si="128"/>
        <v>#DIV/0!</v>
      </c>
      <c r="CI49" s="4634"/>
      <c r="CJ49" s="3341"/>
      <c r="CK49" s="3341"/>
      <c r="CL49" s="4609"/>
      <c r="CM49" s="4428">
        <f t="shared" si="94"/>
        <v>0</v>
      </c>
      <c r="CN49" s="4609"/>
      <c r="CP49" s="4645"/>
      <c r="CQ49" s="4645"/>
      <c r="CR49" s="4614"/>
      <c r="CT49" s="2624"/>
    </row>
    <row r="50" spans="1:98" s="1396" customFormat="1" ht="13.8" outlineLevel="1">
      <c r="A50" s="1565"/>
      <c r="B50" s="1410" t="s">
        <v>59</v>
      </c>
      <c r="C50" s="2015">
        <f>C52+C51</f>
        <v>0</v>
      </c>
      <c r="D50" s="2015">
        <f>D52+D51</f>
        <v>0</v>
      </c>
      <c r="E50" s="2014">
        <f>SUM(E51:E52)</f>
        <v>0</v>
      </c>
      <c r="F50" s="4449" t="e">
        <f>E50/$E$89</f>
        <v>#DIV/0!</v>
      </c>
      <c r="G50" s="1057"/>
      <c r="H50" s="2015">
        <f>H52+H51</f>
        <v>0</v>
      </c>
      <c r="I50" s="2015">
        <f>I52+I51</f>
        <v>0</v>
      </c>
      <c r="J50" s="2014">
        <f>SUM(J51:J52)</f>
        <v>0</v>
      </c>
      <c r="K50" s="4449" t="e">
        <f>J50/$E$89</f>
        <v>#DIV/0!</v>
      </c>
      <c r="L50" s="1057"/>
      <c r="M50" s="2015">
        <f>M52+M51</f>
        <v>0</v>
      </c>
      <c r="N50" s="2015">
        <f>N52+N51</f>
        <v>0</v>
      </c>
      <c r="O50" s="2014">
        <f>SUM(O51:O52)</f>
        <v>0</v>
      </c>
      <c r="P50" s="4449" t="e">
        <f>O50/$E$89</f>
        <v>#DIV/0!</v>
      </c>
      <c r="Q50" s="1057"/>
      <c r="R50" s="2015">
        <f>R52+R51</f>
        <v>0</v>
      </c>
      <c r="S50" s="2015">
        <f>S52+S51</f>
        <v>0</v>
      </c>
      <c r="T50" s="2015">
        <f>SUM(T51:T52)</f>
        <v>0</v>
      </c>
      <c r="U50" s="1535"/>
      <c r="V50" s="3460"/>
      <c r="W50" s="2013">
        <f>W52+W51</f>
        <v>0</v>
      </c>
      <c r="X50" s="2013">
        <f>X52+X51</f>
        <v>0</v>
      </c>
      <c r="Y50" s="2013">
        <f>SUM(Y51:Y52)</f>
        <v>0</v>
      </c>
      <c r="Z50" s="1535"/>
      <c r="AA50" s="3460"/>
      <c r="AB50" s="2013">
        <f>AB52+AB51</f>
        <v>0</v>
      </c>
      <c r="AC50" s="2013">
        <f>AC52+AC51</f>
        <v>0</v>
      </c>
      <c r="AD50" s="2013">
        <f>SUM(AD51:AD52)</f>
        <v>0</v>
      </c>
      <c r="AE50" s="1535"/>
      <c r="AF50" s="3735"/>
      <c r="AG50" s="2013">
        <f>AG52+AG51</f>
        <v>0</v>
      </c>
      <c r="AH50" s="2015">
        <f>AH52+AH51</f>
        <v>0</v>
      </c>
      <c r="AI50" s="2015">
        <f>SUM(AI51:AI52)</f>
        <v>0</v>
      </c>
      <c r="AJ50" s="1535"/>
      <c r="AK50" s="1057"/>
      <c r="AL50" s="2015">
        <f>AL52+AL51</f>
        <v>0</v>
      </c>
      <c r="AM50" s="2015">
        <f>AM52+AM51</f>
        <v>0</v>
      </c>
      <c r="AN50" s="2015">
        <f>SUM(AN51:AN52)</f>
        <v>0</v>
      </c>
      <c r="AO50" s="1535"/>
      <c r="AP50" s="1057"/>
      <c r="AQ50" s="2015">
        <f>AQ52+AQ51</f>
        <v>0</v>
      </c>
      <c r="AR50" s="2015">
        <f>AR52+AR51</f>
        <v>0</v>
      </c>
      <c r="AS50" s="2015">
        <f>SUM(AS51:AS52)</f>
        <v>0</v>
      </c>
      <c r="AT50" s="1535"/>
      <c r="AU50" s="1057"/>
      <c r="AV50" s="2015">
        <f>AV52+AV51</f>
        <v>0</v>
      </c>
      <c r="AW50" s="2015">
        <f>AW52+AW51</f>
        <v>0</v>
      </c>
      <c r="AX50" s="2015">
        <f>SUM(AX51:AX52)</f>
        <v>0</v>
      </c>
      <c r="AY50" s="1535"/>
      <c r="AZ50" s="1057"/>
      <c r="BA50" s="2015">
        <f>BA52+BA51</f>
        <v>0</v>
      </c>
      <c r="BB50" s="2015">
        <f>BB52+BB51</f>
        <v>0</v>
      </c>
      <c r="BC50" s="2015">
        <f>SUM(BC51:BC52)</f>
        <v>0</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0</v>
      </c>
      <c r="CK50" s="2015">
        <f>CK52+CK51</f>
        <v>0</v>
      </c>
      <c r="CL50" s="2015">
        <f>SUM(CL51:CL52)</f>
        <v>0</v>
      </c>
      <c r="CM50" s="2006"/>
      <c r="CN50" s="2006"/>
      <c r="CP50" s="2015">
        <f>SUM(CP51:CP52)</f>
        <v>0</v>
      </c>
      <c r="CQ50" s="2015">
        <f>SUM(CQ51:CQ52)</f>
        <v>0</v>
      </c>
      <c r="CR50" s="2015"/>
      <c r="CT50" s="2624"/>
    </row>
    <row r="51" spans="1:98" s="1396" customFormat="1" ht="13.8" outlineLevel="1">
      <c r="A51" s="1566"/>
      <c r="B51" s="4640" t="s">
        <v>60</v>
      </c>
      <c r="C51" s="3341"/>
      <c r="D51" s="3341"/>
      <c r="E51" s="3349">
        <f t="shared" ref="E51:E52" si="132">C51+D51</f>
        <v>0</v>
      </c>
      <c r="F51" s="4428" t="e">
        <f t="shared" ref="F51:F71" si="133">E51/$E$89</f>
        <v>#DIV/0!</v>
      </c>
      <c r="G51" s="4633"/>
      <c r="H51" s="3341"/>
      <c r="I51" s="3341"/>
      <c r="J51" s="3349">
        <f>H51+I51</f>
        <v>0</v>
      </c>
      <c r="K51" s="4428" t="e">
        <f t="shared" ref="K51:K52" si="134">J51/J$89</f>
        <v>#DIV/0!</v>
      </c>
      <c r="L51" s="4633"/>
      <c r="M51" s="3341"/>
      <c r="N51" s="3341"/>
      <c r="O51" s="3349">
        <f t="shared" ref="O51:O52" si="135">M51+N51</f>
        <v>0</v>
      </c>
      <c r="P51" s="4428" t="e">
        <f t="shared" ref="P51:P53" si="136">O51/O$89</f>
        <v>#DIV/0!</v>
      </c>
      <c r="Q51" s="4633"/>
      <c r="R51" s="3342">
        <f t="shared" ref="R51:S52" si="137">M51+H51+C51</f>
        <v>0</v>
      </c>
      <c r="S51" s="3342">
        <f t="shared" si="137"/>
        <v>0</v>
      </c>
      <c r="T51" s="2012">
        <f t="shared" ref="T51:T52" si="138">R51+S51</f>
        <v>0</v>
      </c>
      <c r="U51" s="3455"/>
      <c r="V51" s="3455"/>
      <c r="W51" s="3342">
        <f t="shared" ref="W51:X52" si="139">AB51+AG51+AL51+AV51+BA51+BF51+BK51+BP51+BU51+BZ51+CE51+AQ51</f>
        <v>0</v>
      </c>
      <c r="X51" s="3342">
        <f t="shared" si="139"/>
        <v>0</v>
      </c>
      <c r="Y51" s="2012">
        <f t="shared" ref="Y51:Y52" si="140">W51+X51</f>
        <v>0</v>
      </c>
      <c r="Z51" s="3455"/>
      <c r="AA51" s="3455"/>
      <c r="AB51" s="3341"/>
      <c r="AC51" s="3341"/>
      <c r="AD51" s="3349">
        <f t="shared" ref="AD51:AD52" si="141">AB51+AC51</f>
        <v>0</v>
      </c>
      <c r="AE51" s="4428" t="e">
        <f t="shared" ref="AE51:AE53" si="142">AD51/AD$89</f>
        <v>#DIV/0!</v>
      </c>
      <c r="AF51" s="4633"/>
      <c r="AG51" s="3341"/>
      <c r="AH51" s="3341"/>
      <c r="AI51" s="3349">
        <f t="shared" ref="AI51:AI52" si="143">AG51+AH51</f>
        <v>0</v>
      </c>
      <c r="AJ51" s="4428" t="e">
        <f t="shared" ref="AJ51:AJ53" si="144">AI51/AI$89</f>
        <v>#DIV/0!</v>
      </c>
      <c r="AK51" s="4633"/>
      <c r="AL51" s="3341"/>
      <c r="AM51" s="3341"/>
      <c r="AN51" s="3349">
        <f t="shared" ref="AN51:AN52" si="145">AL51+AM51</f>
        <v>0</v>
      </c>
      <c r="AO51" s="4428" t="e">
        <f t="shared" ref="AO51:AO53" si="146">AN51/AN$89</f>
        <v>#DIV/0!</v>
      </c>
      <c r="AP51" s="4633"/>
      <c r="AQ51" s="3341"/>
      <c r="AR51" s="3341"/>
      <c r="AS51" s="3349">
        <f t="shared" ref="AS51:AS52" si="147">AQ51+AR51</f>
        <v>0</v>
      </c>
      <c r="AT51" s="4428" t="e">
        <f t="shared" ref="AT51:AT53" si="148">AS51/AS$89</f>
        <v>#DIV/0!</v>
      </c>
      <c r="AU51" s="4633"/>
      <c r="AV51" s="3341"/>
      <c r="AW51" s="3341"/>
      <c r="AX51" s="3349">
        <f t="shared" ref="AX51:AX52" si="149">AV51+AW51</f>
        <v>0</v>
      </c>
      <c r="AY51" s="4428">
        <f t="shared" ref="AY51:AY53" si="150">AX51/AX$89</f>
        <v>0</v>
      </c>
      <c r="AZ51" s="4633"/>
      <c r="BA51" s="3341"/>
      <c r="BB51" s="3341"/>
      <c r="BC51" s="3349">
        <f t="shared" ref="BC51:BC52" si="151">BA51+BB51</f>
        <v>0</v>
      </c>
      <c r="BD51" s="4428" t="e">
        <f t="shared" ref="BD51:BD53" si="152">BC51/BC$89</f>
        <v>#DIV/0!</v>
      </c>
      <c r="BE51" s="4633"/>
      <c r="BF51" s="3341"/>
      <c r="BG51" s="3341"/>
      <c r="BH51" s="3349">
        <f t="shared" ref="BH51:BH52" si="153">BF51+BG51</f>
        <v>0</v>
      </c>
      <c r="BI51" s="4428" t="e">
        <f t="shared" ref="BI51:BI53" si="154">BH51/BH$89</f>
        <v>#DIV/0!</v>
      </c>
      <c r="BJ51" s="4633"/>
      <c r="BK51" s="3341"/>
      <c r="BL51" s="3341"/>
      <c r="BM51" s="3349">
        <f t="shared" ref="BM51:BM52" si="155">BK51+BL51</f>
        <v>0</v>
      </c>
      <c r="BN51" s="4428" t="e">
        <f t="shared" ref="BN51:BN53" si="156">BM51/BM$89</f>
        <v>#DIV/0!</v>
      </c>
      <c r="BO51" s="4633"/>
      <c r="BP51" s="3341"/>
      <c r="BQ51" s="3341"/>
      <c r="BR51" s="3349">
        <f t="shared" ref="BR51:BR52" si="157">BP51+BQ51</f>
        <v>0</v>
      </c>
      <c r="BS51" s="4428" t="e">
        <f t="shared" ref="BS51:BS53" si="158">BR51/BR$89</f>
        <v>#DIV/0!</v>
      </c>
      <c r="BT51" s="4633"/>
      <c r="BU51" s="3341"/>
      <c r="BV51" s="3341"/>
      <c r="BW51" s="3349">
        <f t="shared" ref="BW51:BW52" si="159">BU51+BV51</f>
        <v>0</v>
      </c>
      <c r="BX51" s="4428" t="e">
        <f t="shared" ref="BX51:BX53" si="160">BW51/BW$89</f>
        <v>#DIV/0!</v>
      </c>
      <c r="BY51" s="4633"/>
      <c r="BZ51" s="3341"/>
      <c r="CA51" s="3341"/>
      <c r="CB51" s="3349">
        <f t="shared" ref="CB51:CB52" si="161">BZ51+CA51</f>
        <v>0</v>
      </c>
      <c r="CC51" s="4428" t="e">
        <f t="shared" ref="CC51:CC53" si="162">CB51/CB$89</f>
        <v>#DIV/0!</v>
      </c>
      <c r="CD51" s="4633"/>
      <c r="CE51" s="3341"/>
      <c r="CF51" s="3341"/>
      <c r="CG51" s="3349">
        <f t="shared" ref="CG51:CG52" si="163">CE51+CF51</f>
        <v>0</v>
      </c>
      <c r="CH51" s="4428" t="e">
        <f t="shared" ref="CH51:CH53" si="164">CG51/CG$89</f>
        <v>#DIV/0!</v>
      </c>
      <c r="CI51" s="4633"/>
      <c r="CJ51" s="3341">
        <f t="shared" ref="CJ51:CK53" si="165">C51+H51+M51+W51</f>
        <v>0</v>
      </c>
      <c r="CK51" s="3341">
        <f t="shared" si="165"/>
        <v>0</v>
      </c>
      <c r="CL51" s="2012">
        <f>CJ51+CK51*1</f>
        <v>0</v>
      </c>
      <c r="CM51" s="4428">
        <f>CL51/$CL$89</f>
        <v>0</v>
      </c>
      <c r="CN51" s="4611"/>
      <c r="CP51" s="2012">
        <f>CN51+CO51*1</f>
        <v>0</v>
      </c>
      <c r="CQ51" s="2012">
        <f>CO51+CP51*1</f>
        <v>0</v>
      </c>
      <c r="CR51" s="4614"/>
      <c r="CT51" s="2624"/>
    </row>
    <row r="52" spans="1:98" ht="13.8" outlineLevel="2">
      <c r="A52" s="1566"/>
      <c r="B52" s="4640" t="s">
        <v>61</v>
      </c>
      <c r="C52" s="3341"/>
      <c r="D52" s="3341"/>
      <c r="E52" s="3349">
        <f t="shared" si="132"/>
        <v>0</v>
      </c>
      <c r="F52" s="4428" t="e">
        <f t="shared" si="133"/>
        <v>#DIV/0!</v>
      </c>
      <c r="G52" s="4633"/>
      <c r="H52" s="3341"/>
      <c r="I52" s="3341"/>
      <c r="J52" s="3349">
        <f>H52+I52</f>
        <v>0</v>
      </c>
      <c r="K52" s="4428" t="e">
        <f t="shared" si="134"/>
        <v>#DIV/0!</v>
      </c>
      <c r="L52" s="4633"/>
      <c r="M52" s="3341"/>
      <c r="N52" s="3341"/>
      <c r="O52" s="3349">
        <f t="shared" si="135"/>
        <v>0</v>
      </c>
      <c r="P52" s="4428" t="e">
        <f t="shared" si="136"/>
        <v>#DIV/0!</v>
      </c>
      <c r="Q52" s="4633"/>
      <c r="R52" s="3342">
        <f t="shared" si="137"/>
        <v>0</v>
      </c>
      <c r="S52" s="3342">
        <f t="shared" si="137"/>
        <v>0</v>
      </c>
      <c r="T52" s="2012">
        <f t="shared" si="138"/>
        <v>0</v>
      </c>
      <c r="U52" s="3455"/>
      <c r="V52" s="3455"/>
      <c r="W52" s="3342">
        <f t="shared" si="139"/>
        <v>0</v>
      </c>
      <c r="X52" s="3342">
        <f t="shared" si="139"/>
        <v>0</v>
      </c>
      <c r="Y52" s="2012">
        <f t="shared" si="140"/>
        <v>0</v>
      </c>
      <c r="Z52" s="3455"/>
      <c r="AA52" s="3455"/>
      <c r="AB52" s="3341"/>
      <c r="AC52" s="3341"/>
      <c r="AD52" s="3349">
        <f t="shared" si="141"/>
        <v>0</v>
      </c>
      <c r="AE52" s="4428" t="e">
        <f t="shared" si="142"/>
        <v>#DIV/0!</v>
      </c>
      <c r="AF52" s="4633"/>
      <c r="AG52" s="3341"/>
      <c r="AH52" s="3341"/>
      <c r="AI52" s="3349">
        <f t="shared" si="143"/>
        <v>0</v>
      </c>
      <c r="AJ52" s="4428" t="e">
        <f t="shared" si="144"/>
        <v>#DIV/0!</v>
      </c>
      <c r="AK52" s="4633"/>
      <c r="AL52" s="3341"/>
      <c r="AM52" s="3341"/>
      <c r="AN52" s="3349">
        <f t="shared" si="145"/>
        <v>0</v>
      </c>
      <c r="AO52" s="4428" t="e">
        <f t="shared" si="146"/>
        <v>#DIV/0!</v>
      </c>
      <c r="AP52" s="4633"/>
      <c r="AQ52" s="3341"/>
      <c r="AR52" s="3341"/>
      <c r="AS52" s="3349">
        <f t="shared" si="147"/>
        <v>0</v>
      </c>
      <c r="AT52" s="4428" t="e">
        <f t="shared" si="148"/>
        <v>#DIV/0!</v>
      </c>
      <c r="AU52" s="4633"/>
      <c r="AV52" s="3341"/>
      <c r="AW52" s="3341"/>
      <c r="AX52" s="3349">
        <f t="shared" si="149"/>
        <v>0</v>
      </c>
      <c r="AY52" s="4428">
        <f t="shared" si="150"/>
        <v>0</v>
      </c>
      <c r="AZ52" s="4633"/>
      <c r="BA52" s="3341"/>
      <c r="BB52" s="3341"/>
      <c r="BC52" s="3349">
        <f t="shared" si="151"/>
        <v>0</v>
      </c>
      <c r="BD52" s="4428" t="e">
        <f t="shared" si="152"/>
        <v>#DIV/0!</v>
      </c>
      <c r="BE52" s="4633"/>
      <c r="BF52" s="3341"/>
      <c r="BG52" s="3341"/>
      <c r="BH52" s="3349">
        <f t="shared" si="153"/>
        <v>0</v>
      </c>
      <c r="BI52" s="4428" t="e">
        <f t="shared" si="154"/>
        <v>#DIV/0!</v>
      </c>
      <c r="BJ52" s="4633"/>
      <c r="BK52" s="3341"/>
      <c r="BL52" s="3341"/>
      <c r="BM52" s="3349">
        <f t="shared" si="155"/>
        <v>0</v>
      </c>
      <c r="BN52" s="4428" t="e">
        <f t="shared" si="156"/>
        <v>#DIV/0!</v>
      </c>
      <c r="BO52" s="4633"/>
      <c r="BP52" s="3341"/>
      <c r="BQ52" s="3341"/>
      <c r="BR52" s="3349">
        <f t="shared" si="157"/>
        <v>0</v>
      </c>
      <c r="BS52" s="4428" t="e">
        <f t="shared" si="158"/>
        <v>#DIV/0!</v>
      </c>
      <c r="BT52" s="4633"/>
      <c r="BU52" s="3341"/>
      <c r="BV52" s="3341"/>
      <c r="BW52" s="3349">
        <f t="shared" si="159"/>
        <v>0</v>
      </c>
      <c r="BX52" s="4428" t="e">
        <f t="shared" si="160"/>
        <v>#DIV/0!</v>
      </c>
      <c r="BY52" s="4633"/>
      <c r="BZ52" s="3341"/>
      <c r="CA52" s="3341"/>
      <c r="CB52" s="3349">
        <f t="shared" si="161"/>
        <v>0</v>
      </c>
      <c r="CC52" s="4428" t="e">
        <f t="shared" si="162"/>
        <v>#DIV/0!</v>
      </c>
      <c r="CD52" s="4633"/>
      <c r="CE52" s="3341"/>
      <c r="CF52" s="3341"/>
      <c r="CG52" s="3349">
        <f t="shared" si="163"/>
        <v>0</v>
      </c>
      <c r="CH52" s="4428" t="e">
        <f t="shared" si="164"/>
        <v>#DIV/0!</v>
      </c>
      <c r="CI52" s="4633"/>
      <c r="CJ52" s="3341">
        <f t="shared" si="165"/>
        <v>0</v>
      </c>
      <c r="CK52" s="3341">
        <f t="shared" si="165"/>
        <v>0</v>
      </c>
      <c r="CL52" s="2012">
        <f>CJ52+CK52*1</f>
        <v>0</v>
      </c>
      <c r="CM52" s="4428">
        <f>CL52/$CL$89</f>
        <v>0</v>
      </c>
      <c r="CN52" s="4611"/>
      <c r="CP52" s="2012">
        <f>CN52+CO52*1</f>
        <v>0</v>
      </c>
      <c r="CQ52" s="2012">
        <f>CO52+CP52*1</f>
        <v>0</v>
      </c>
      <c r="CR52" s="4614"/>
    </row>
    <row r="53" spans="1:98" ht="14.4" outlineLevel="1" thickBot="1">
      <c r="A53" s="1413"/>
      <c r="B53" s="4450"/>
      <c r="C53" s="3341"/>
      <c r="D53" s="3341"/>
      <c r="E53" s="4451"/>
      <c r="F53" s="4428" t="e">
        <f t="shared" si="133"/>
        <v>#DIV/0!</v>
      </c>
      <c r="G53" s="4452"/>
      <c r="H53" s="3341"/>
      <c r="I53" s="3341"/>
      <c r="J53" s="4451"/>
      <c r="K53" s="4428" t="e">
        <f t="shared" ref="K53:K54" si="166">J53/$E$89</f>
        <v>#DIV/0!</v>
      </c>
      <c r="L53" s="4452"/>
      <c r="M53" s="3341"/>
      <c r="N53" s="3341"/>
      <c r="O53" s="4451"/>
      <c r="P53" s="4428" t="e">
        <f t="shared" si="136"/>
        <v>#DIV/0!</v>
      </c>
      <c r="Q53" s="4452"/>
      <c r="R53" s="4646"/>
      <c r="S53" s="4452"/>
      <c r="T53" s="4452"/>
      <c r="U53" s="4452"/>
      <c r="V53" s="4452"/>
      <c r="W53" s="4452"/>
      <c r="X53" s="4452"/>
      <c r="Y53" s="4452"/>
      <c r="Z53" s="4452"/>
      <c r="AA53" s="4452"/>
      <c r="AB53" s="4624"/>
      <c r="AC53" s="4624"/>
      <c r="AD53" s="4451"/>
      <c r="AE53" s="4437" t="e">
        <f t="shared" si="142"/>
        <v>#DIV/0!</v>
      </c>
      <c r="AF53" s="4452"/>
      <c r="AG53" s="4624"/>
      <c r="AH53" s="4624"/>
      <c r="AI53" s="4451"/>
      <c r="AJ53" s="4437" t="e">
        <f t="shared" si="144"/>
        <v>#DIV/0!</v>
      </c>
      <c r="AK53" s="4452"/>
      <c r="AL53" s="4624"/>
      <c r="AM53" s="4624"/>
      <c r="AN53" s="4451"/>
      <c r="AO53" s="4437" t="e">
        <f t="shared" si="146"/>
        <v>#DIV/0!</v>
      </c>
      <c r="AP53" s="4452"/>
      <c r="AQ53" s="4624"/>
      <c r="AR53" s="4624"/>
      <c r="AS53" s="4451"/>
      <c r="AT53" s="4437" t="e">
        <f t="shared" si="148"/>
        <v>#DIV/0!</v>
      </c>
      <c r="AU53" s="4452"/>
      <c r="AV53" s="4624"/>
      <c r="AW53" s="4624"/>
      <c r="AX53" s="4451"/>
      <c r="AY53" s="4437">
        <f t="shared" si="150"/>
        <v>0</v>
      </c>
      <c r="AZ53" s="4452"/>
      <c r="BA53" s="4624"/>
      <c r="BB53" s="4624"/>
      <c r="BC53" s="4451"/>
      <c r="BD53" s="4437" t="e">
        <f t="shared" si="152"/>
        <v>#DIV/0!</v>
      </c>
      <c r="BE53" s="4452"/>
      <c r="BF53" s="4624"/>
      <c r="BG53" s="4624"/>
      <c r="BH53" s="4451"/>
      <c r="BI53" s="4437" t="e">
        <f t="shared" si="154"/>
        <v>#DIV/0!</v>
      </c>
      <c r="BJ53" s="4452"/>
      <c r="BK53" s="4624"/>
      <c r="BL53" s="4624"/>
      <c r="BM53" s="4451"/>
      <c r="BN53" s="4437" t="e">
        <f t="shared" si="156"/>
        <v>#DIV/0!</v>
      </c>
      <c r="BO53" s="4452"/>
      <c r="BP53" s="4624"/>
      <c r="BQ53" s="4624"/>
      <c r="BR53" s="4451"/>
      <c r="BS53" s="4437" t="e">
        <f t="shared" si="158"/>
        <v>#DIV/0!</v>
      </c>
      <c r="BT53" s="4452"/>
      <c r="BU53" s="4624"/>
      <c r="BV53" s="4624"/>
      <c r="BW53" s="4451"/>
      <c r="BX53" s="4437" t="e">
        <f t="shared" si="160"/>
        <v>#DIV/0!</v>
      </c>
      <c r="BY53" s="4452"/>
      <c r="BZ53" s="4624"/>
      <c r="CA53" s="4624"/>
      <c r="CB53" s="4451"/>
      <c r="CC53" s="4437" t="e">
        <f t="shared" si="162"/>
        <v>#DIV/0!</v>
      </c>
      <c r="CD53" s="4452"/>
      <c r="CE53" s="4624"/>
      <c r="CF53" s="4624"/>
      <c r="CG53" s="4451"/>
      <c r="CH53" s="4437" t="e">
        <f t="shared" si="164"/>
        <v>#DIV/0!</v>
      </c>
      <c r="CI53" s="4452"/>
      <c r="CJ53" s="4624">
        <f t="shared" si="165"/>
        <v>0</v>
      </c>
      <c r="CK53" s="4624">
        <f t="shared" si="165"/>
        <v>0</v>
      </c>
      <c r="CL53" s="4451"/>
      <c r="CM53" s="4451"/>
      <c r="CN53" s="4451"/>
      <c r="CP53" s="4647"/>
      <c r="CQ53" s="4647"/>
      <c r="CR53" s="4614"/>
    </row>
    <row r="54" spans="1:98" ht="13.8" outlineLevel="1">
      <c r="A54" s="1570"/>
      <c r="B54" s="1410" t="s">
        <v>1</v>
      </c>
      <c r="C54" s="2015">
        <f>SUM(C55:C72)</f>
        <v>0</v>
      </c>
      <c r="D54" s="2015">
        <f>SUM(D55:D72)</f>
        <v>0</v>
      </c>
      <c r="E54" s="2014">
        <f>SUM(E55:E72)</f>
        <v>0</v>
      </c>
      <c r="F54" s="4449" t="e">
        <f t="shared" si="133"/>
        <v>#DIV/0!</v>
      </c>
      <c r="G54" s="1057"/>
      <c r="H54" s="2015">
        <f>SUM(H55:H72)</f>
        <v>0</v>
      </c>
      <c r="I54" s="2015">
        <f>SUM(I55:I72)</f>
        <v>0</v>
      </c>
      <c r="J54" s="2014">
        <f>SUM(J55:J72)</f>
        <v>0</v>
      </c>
      <c r="K54" s="4449" t="e">
        <f t="shared" si="166"/>
        <v>#DIV/0!</v>
      </c>
      <c r="L54" s="1057"/>
      <c r="M54" s="2015">
        <f>SUM(M55:M72)</f>
        <v>0</v>
      </c>
      <c r="N54" s="2015">
        <f>SUM(N55:N72)</f>
        <v>0</v>
      </c>
      <c r="O54" s="2014">
        <f>SUM(O55:O72)</f>
        <v>0</v>
      </c>
      <c r="P54" s="4449" t="e">
        <f t="shared" ref="P54" si="167">O54/$E$89</f>
        <v>#DIV/0!</v>
      </c>
      <c r="Q54" s="1057"/>
      <c r="R54" s="2013">
        <f>SUM(R55:R72)</f>
        <v>0</v>
      </c>
      <c r="S54" s="2013">
        <f>SUM(S55:S72)</f>
        <v>0</v>
      </c>
      <c r="T54" s="2013">
        <f>SUM(T55:T72)</f>
        <v>0</v>
      </c>
      <c r="U54" s="1535"/>
      <c r="V54" s="3460"/>
      <c r="W54" s="2013">
        <f>SUM(W55:W72)</f>
        <v>0</v>
      </c>
      <c r="X54" s="2013">
        <f>SUM(X55:X72)</f>
        <v>0</v>
      </c>
      <c r="Y54" s="2013">
        <f>SUM(Y55:Y72)</f>
        <v>0</v>
      </c>
      <c r="Z54" s="1535"/>
      <c r="AA54" s="3460"/>
      <c r="AB54" s="2013">
        <f>SUM(AB55:AB72)</f>
        <v>0</v>
      </c>
      <c r="AC54" s="2013">
        <f>SUM(AC55:AC72)</f>
        <v>0</v>
      </c>
      <c r="AD54" s="2013">
        <f>SUM(AD55:AD72)</f>
        <v>0</v>
      </c>
      <c r="AE54" s="1535"/>
      <c r="AF54" s="3735"/>
      <c r="AG54" s="2013">
        <f>SUM(AG55:AG72)</f>
        <v>0</v>
      </c>
      <c r="AH54" s="2013">
        <f>SUM(AH55:AH72)</f>
        <v>0</v>
      </c>
      <c r="AI54" s="2013">
        <f>SUM(AI55:AI72)</f>
        <v>0</v>
      </c>
      <c r="AJ54" s="1535"/>
      <c r="AK54" s="3735"/>
      <c r="AL54" s="2013">
        <f>SUM(AL55:AL72)</f>
        <v>0</v>
      </c>
      <c r="AM54" s="2013">
        <f>SUM(AM55:AM72)</f>
        <v>0</v>
      </c>
      <c r="AN54" s="2013">
        <f>SUM(AN55:AN72)</f>
        <v>0</v>
      </c>
      <c r="AO54" s="1535"/>
      <c r="AP54" s="3735"/>
      <c r="AQ54" s="2013">
        <f>SUM(AQ55:AQ72)</f>
        <v>0</v>
      </c>
      <c r="AR54" s="2013">
        <f>SUM(AR55:AR72)</f>
        <v>0</v>
      </c>
      <c r="AS54" s="2013">
        <f>SUM(AS55:AS72)</f>
        <v>0</v>
      </c>
      <c r="AT54" s="1535"/>
      <c r="AU54" s="3735"/>
      <c r="AV54" s="2013">
        <f>SUM(AV55:AV72)</f>
        <v>0</v>
      </c>
      <c r="AW54" s="2013">
        <f>SUM(AW55:AW72)</f>
        <v>0</v>
      </c>
      <c r="AX54" s="2013">
        <f>SUM(AX55:AX72)</f>
        <v>0</v>
      </c>
      <c r="AY54" s="1535"/>
      <c r="AZ54" s="3735"/>
      <c r="BA54" s="2013">
        <f>SUM(BA55:BA72)</f>
        <v>0</v>
      </c>
      <c r="BB54" s="2013">
        <f>SUM(BB55:BB72)</f>
        <v>0</v>
      </c>
      <c r="BC54" s="2013">
        <f>SUM(BC55:BC72)</f>
        <v>0</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0</v>
      </c>
      <c r="CK54" s="2013">
        <f>SUM(CK55:CK72)</f>
        <v>0</v>
      </c>
      <c r="CL54" s="2013">
        <f>SUM(CL55:CL72)</f>
        <v>0</v>
      </c>
      <c r="CM54" s="1535">
        <f t="shared" ref="CM54:CM71" si="168">CL54/$CL$89</f>
        <v>0</v>
      </c>
      <c r="CN54" s="1061"/>
      <c r="CP54" s="2015">
        <f>SUM(CP55:CP72)</f>
        <v>0</v>
      </c>
      <c r="CQ54" s="2015">
        <f>SUM(CQ55:CQ72)</f>
        <v>0</v>
      </c>
      <c r="CR54" s="2015"/>
    </row>
    <row r="55" spans="1:98" ht="13.8" outlineLevel="2">
      <c r="A55" s="1571"/>
      <c r="B55" s="4632" t="s">
        <v>77</v>
      </c>
      <c r="C55" s="3349"/>
      <c r="D55" s="3349"/>
      <c r="E55" s="3349">
        <f t="shared" ref="E55:E71" si="169">C55+D55</f>
        <v>0</v>
      </c>
      <c r="F55" s="4428" t="e">
        <f t="shared" si="133"/>
        <v>#DIV/0!</v>
      </c>
      <c r="G55" s="4429"/>
      <c r="H55" s="3349"/>
      <c r="I55" s="3349"/>
      <c r="J55" s="3349">
        <f t="shared" ref="J55:J71" si="170">H55+I55</f>
        <v>0</v>
      </c>
      <c r="K55" s="4428" t="e">
        <f t="shared" ref="K55:K72" si="171">J55/J$89</f>
        <v>#DIV/0!</v>
      </c>
      <c r="L55" s="4429"/>
      <c r="M55" s="3349"/>
      <c r="N55" s="3349"/>
      <c r="O55" s="3349">
        <f t="shared" ref="O55:O71" si="172">M55+N55</f>
        <v>0</v>
      </c>
      <c r="P55" s="4428" t="e">
        <f t="shared" ref="P55:P72" si="173">O55/O$89</f>
        <v>#DIV/0!</v>
      </c>
      <c r="Q55" s="4429"/>
      <c r="R55" s="3342">
        <f t="shared" ref="R55:S71" si="174">M55+H55+C55</f>
        <v>0</v>
      </c>
      <c r="S55" s="3342">
        <f t="shared" si="174"/>
        <v>0</v>
      </c>
      <c r="T55" s="2012">
        <f t="shared" ref="T55:T71" si="175">R55+S55</f>
        <v>0</v>
      </c>
      <c r="U55" s="3462"/>
      <c r="V55" s="3462"/>
      <c r="W55" s="3342">
        <f t="shared" ref="W55:X71" si="176">AB55+AG55+AL55+AV55+BA55+BF55+BK55+BP55+BU55+BZ55+CE55+AQ55</f>
        <v>0</v>
      </c>
      <c r="X55" s="3342">
        <f t="shared" si="176"/>
        <v>0</v>
      </c>
      <c r="Y55" s="2012">
        <f t="shared" ref="Y55:Y71" si="177">W55+X55</f>
        <v>0</v>
      </c>
      <c r="Z55" s="3462"/>
      <c r="AA55" s="3462"/>
      <c r="AB55" s="3349"/>
      <c r="AC55" s="3349"/>
      <c r="AD55" s="3349">
        <f t="shared" ref="AD55:AD71" si="178">AB55+AC55</f>
        <v>0</v>
      </c>
      <c r="AE55" s="4428" t="e">
        <f t="shared" ref="AE55:AE71" si="179">AD55/AD$89</f>
        <v>#DIV/0!</v>
      </c>
      <c r="AF55" s="4429"/>
      <c r="AG55" s="3349"/>
      <c r="AH55" s="3349"/>
      <c r="AI55" s="3349">
        <f t="shared" ref="AI55:AI71" si="180">AG55+AH55</f>
        <v>0</v>
      </c>
      <c r="AJ55" s="4428" t="e">
        <f t="shared" ref="AJ55:AJ71" si="181">AI55/AI$89</f>
        <v>#DIV/0!</v>
      </c>
      <c r="AK55" s="4429"/>
      <c r="AL55" s="3349"/>
      <c r="AM55" s="3349"/>
      <c r="AN55" s="3349">
        <f t="shared" ref="AN55:AN71" si="182">AL55+AM55</f>
        <v>0</v>
      </c>
      <c r="AO55" s="4428" t="e">
        <f t="shared" ref="AO55:AO71" si="183">AN55/AN$89</f>
        <v>#DIV/0!</v>
      </c>
      <c r="AP55" s="4429"/>
      <c r="AQ55" s="3349"/>
      <c r="AR55" s="3349"/>
      <c r="AS55" s="3349">
        <f t="shared" ref="AS55:AS71" si="184">AQ55+AR55</f>
        <v>0</v>
      </c>
      <c r="AT55" s="4428" t="e">
        <f t="shared" ref="AT55:AT71" si="185">AS55/AS$89</f>
        <v>#DIV/0!</v>
      </c>
      <c r="AU55" s="4429"/>
      <c r="AV55" s="3349"/>
      <c r="AW55" s="3349"/>
      <c r="AX55" s="3349">
        <f t="shared" ref="AX55:AX71" si="186">AV55+AW55</f>
        <v>0</v>
      </c>
      <c r="AY55" s="4428">
        <f t="shared" ref="AY55:AY71" si="187">AX55/AX$89</f>
        <v>0</v>
      </c>
      <c r="AZ55" s="4429"/>
      <c r="BA55" s="3349"/>
      <c r="BB55" s="3349"/>
      <c r="BC55" s="3349">
        <f t="shared" ref="BC55:BC71" si="188">BA55+BB55</f>
        <v>0</v>
      </c>
      <c r="BD55" s="4428" t="e">
        <f t="shared" ref="BD55:BD71" si="189">BC55/BC$89</f>
        <v>#DIV/0!</v>
      </c>
      <c r="BE55" s="4429"/>
      <c r="BF55" s="3349"/>
      <c r="BG55" s="3349"/>
      <c r="BH55" s="3349">
        <f t="shared" ref="BH55:BH71" si="190">BF55+BG55</f>
        <v>0</v>
      </c>
      <c r="BI55" s="4428" t="e">
        <f t="shared" ref="BI55:BI71" si="191">BH55/BH$89</f>
        <v>#DIV/0!</v>
      </c>
      <c r="BJ55" s="4429"/>
      <c r="BK55" s="3349"/>
      <c r="BL55" s="3349"/>
      <c r="BM55" s="3349">
        <f t="shared" ref="BM55:BM71" si="192">BK55+BL55</f>
        <v>0</v>
      </c>
      <c r="BN55" s="4428" t="e">
        <f t="shared" ref="BN55:BN71" si="193">BM55/BM$89</f>
        <v>#DIV/0!</v>
      </c>
      <c r="BO55" s="4429"/>
      <c r="BP55" s="3349"/>
      <c r="BQ55" s="3349"/>
      <c r="BR55" s="3349">
        <f t="shared" ref="BR55:BR71" si="194">BP55+BQ55</f>
        <v>0</v>
      </c>
      <c r="BS55" s="4428" t="e">
        <f t="shared" ref="BS55:BS71" si="195">BR55/BR$89</f>
        <v>#DIV/0!</v>
      </c>
      <c r="BT55" s="4429"/>
      <c r="BU55" s="3349"/>
      <c r="BV55" s="3349"/>
      <c r="BW55" s="3349">
        <f t="shared" ref="BW55:BW71" si="196">BU55+BV55</f>
        <v>0</v>
      </c>
      <c r="BX55" s="4428" t="e">
        <f t="shared" ref="BX55:BX71" si="197">BW55/BW$89</f>
        <v>#DIV/0!</v>
      </c>
      <c r="BY55" s="4429"/>
      <c r="BZ55" s="3349"/>
      <c r="CA55" s="3349"/>
      <c r="CB55" s="3349">
        <f t="shared" ref="CB55:CB71" si="198">BZ55+CA55</f>
        <v>0</v>
      </c>
      <c r="CC55" s="4428" t="e">
        <f t="shared" ref="CC55:CC71" si="199">CB55/CB$89</f>
        <v>#DIV/0!</v>
      </c>
      <c r="CD55" s="4429"/>
      <c r="CE55" s="3349"/>
      <c r="CF55" s="3349"/>
      <c r="CG55" s="3349">
        <f t="shared" ref="CG55:CG71" si="200">CE55+CF55</f>
        <v>0</v>
      </c>
      <c r="CH55" s="4428" t="e">
        <f t="shared" ref="CH55:CH71" si="201">CG55/CG$89</f>
        <v>#DIV/0!</v>
      </c>
      <c r="CI55" s="4429"/>
      <c r="CJ55" s="3341">
        <f t="shared" ref="CJ55:CK71" si="202">C55+H55+M55+W55</f>
        <v>0</v>
      </c>
      <c r="CK55" s="3341">
        <f t="shared" si="202"/>
        <v>0</v>
      </c>
      <c r="CL55" s="2012">
        <f t="shared" ref="CL55:CL71" si="203">CJ55+CK55*1</f>
        <v>0</v>
      </c>
      <c r="CM55" s="4428">
        <f t="shared" si="168"/>
        <v>0</v>
      </c>
      <c r="CN55" s="4432"/>
      <c r="CP55" s="2012">
        <f t="shared" ref="CP55:CQ71" si="204">CN55+CO55*1</f>
        <v>0</v>
      </c>
      <c r="CQ55" s="2012">
        <f t="shared" si="204"/>
        <v>0</v>
      </c>
      <c r="CR55" s="4614"/>
    </row>
    <row r="56" spans="1:98" ht="13.8" outlineLevel="2">
      <c r="A56" s="1571"/>
      <c r="B56" s="4632" t="s">
        <v>76</v>
      </c>
      <c r="C56" s="3349"/>
      <c r="D56" s="3349"/>
      <c r="E56" s="3349">
        <f t="shared" si="169"/>
        <v>0</v>
      </c>
      <c r="F56" s="4428" t="e">
        <f t="shared" si="133"/>
        <v>#DIV/0!</v>
      </c>
      <c r="G56" s="4429"/>
      <c r="H56" s="3349"/>
      <c r="I56" s="3349"/>
      <c r="J56" s="3349">
        <f t="shared" si="170"/>
        <v>0</v>
      </c>
      <c r="K56" s="4428" t="e">
        <f t="shared" si="171"/>
        <v>#DIV/0!</v>
      </c>
      <c r="L56" s="4429"/>
      <c r="M56" s="3349"/>
      <c r="N56" s="3349"/>
      <c r="O56" s="3349">
        <f t="shared" si="172"/>
        <v>0</v>
      </c>
      <c r="P56" s="4428" t="e">
        <f t="shared" si="173"/>
        <v>#DIV/0!</v>
      </c>
      <c r="Q56" s="4429"/>
      <c r="R56" s="3342">
        <f t="shared" si="174"/>
        <v>0</v>
      </c>
      <c r="S56" s="3342">
        <f t="shared" si="174"/>
        <v>0</v>
      </c>
      <c r="T56" s="2012">
        <f t="shared" si="175"/>
        <v>0</v>
      </c>
      <c r="U56" s="3462"/>
      <c r="V56" s="3462"/>
      <c r="W56" s="3342">
        <f t="shared" si="176"/>
        <v>0</v>
      </c>
      <c r="X56" s="3342">
        <f t="shared" si="176"/>
        <v>0</v>
      </c>
      <c r="Y56" s="2012">
        <f t="shared" si="177"/>
        <v>0</v>
      </c>
      <c r="Z56" s="3462"/>
      <c r="AA56" s="3462"/>
      <c r="AB56" s="3349"/>
      <c r="AC56" s="3349"/>
      <c r="AD56" s="3349">
        <f t="shared" si="178"/>
        <v>0</v>
      </c>
      <c r="AE56" s="4428" t="e">
        <f t="shared" si="179"/>
        <v>#DIV/0!</v>
      </c>
      <c r="AF56" s="4429"/>
      <c r="AG56" s="3349"/>
      <c r="AH56" s="3349"/>
      <c r="AI56" s="3349">
        <f t="shared" si="180"/>
        <v>0</v>
      </c>
      <c r="AJ56" s="4428" t="e">
        <f t="shared" si="181"/>
        <v>#DIV/0!</v>
      </c>
      <c r="AK56" s="4429"/>
      <c r="AL56" s="3349"/>
      <c r="AM56" s="3349"/>
      <c r="AN56" s="3349">
        <f t="shared" si="182"/>
        <v>0</v>
      </c>
      <c r="AO56" s="4428" t="e">
        <f t="shared" si="183"/>
        <v>#DIV/0!</v>
      </c>
      <c r="AP56" s="4429"/>
      <c r="AQ56" s="3349"/>
      <c r="AR56" s="3349"/>
      <c r="AS56" s="3349">
        <f t="shared" si="184"/>
        <v>0</v>
      </c>
      <c r="AT56" s="4428" t="e">
        <f t="shared" si="185"/>
        <v>#DIV/0!</v>
      </c>
      <c r="AU56" s="4429"/>
      <c r="AV56" s="3349"/>
      <c r="AW56" s="3349"/>
      <c r="AX56" s="3349">
        <f t="shared" si="186"/>
        <v>0</v>
      </c>
      <c r="AY56" s="4428">
        <f t="shared" si="187"/>
        <v>0</v>
      </c>
      <c r="AZ56" s="4429"/>
      <c r="BA56" s="3349"/>
      <c r="BB56" s="3349"/>
      <c r="BC56" s="3349">
        <f t="shared" si="188"/>
        <v>0</v>
      </c>
      <c r="BD56" s="4428" t="e">
        <f t="shared" si="189"/>
        <v>#DIV/0!</v>
      </c>
      <c r="BE56" s="4429"/>
      <c r="BF56" s="3349"/>
      <c r="BG56" s="3349"/>
      <c r="BH56" s="3349">
        <f t="shared" si="190"/>
        <v>0</v>
      </c>
      <c r="BI56" s="4428" t="e">
        <f t="shared" si="191"/>
        <v>#DIV/0!</v>
      </c>
      <c r="BJ56" s="4429"/>
      <c r="BK56" s="3349"/>
      <c r="BL56" s="3349"/>
      <c r="BM56" s="3349">
        <f t="shared" si="192"/>
        <v>0</v>
      </c>
      <c r="BN56" s="4428" t="e">
        <f t="shared" si="193"/>
        <v>#DIV/0!</v>
      </c>
      <c r="BO56" s="4429"/>
      <c r="BP56" s="3349"/>
      <c r="BQ56" s="3349"/>
      <c r="BR56" s="3349">
        <f t="shared" si="194"/>
        <v>0</v>
      </c>
      <c r="BS56" s="4428" t="e">
        <f t="shared" si="195"/>
        <v>#DIV/0!</v>
      </c>
      <c r="BT56" s="4429"/>
      <c r="BU56" s="3349"/>
      <c r="BV56" s="3349"/>
      <c r="BW56" s="3349">
        <f t="shared" si="196"/>
        <v>0</v>
      </c>
      <c r="BX56" s="4428" t="e">
        <f t="shared" si="197"/>
        <v>#DIV/0!</v>
      </c>
      <c r="BY56" s="4429"/>
      <c r="BZ56" s="3349"/>
      <c r="CA56" s="3349"/>
      <c r="CB56" s="3349">
        <f t="shared" si="198"/>
        <v>0</v>
      </c>
      <c r="CC56" s="4428" t="e">
        <f t="shared" si="199"/>
        <v>#DIV/0!</v>
      </c>
      <c r="CD56" s="4429"/>
      <c r="CE56" s="3349"/>
      <c r="CF56" s="3349"/>
      <c r="CG56" s="3349">
        <f t="shared" si="200"/>
        <v>0</v>
      </c>
      <c r="CH56" s="4428" t="e">
        <f t="shared" si="201"/>
        <v>#DIV/0!</v>
      </c>
      <c r="CI56" s="4429"/>
      <c r="CJ56" s="3341">
        <f t="shared" si="202"/>
        <v>0</v>
      </c>
      <c r="CK56" s="3341">
        <f t="shared" si="202"/>
        <v>0</v>
      </c>
      <c r="CL56" s="2012">
        <f t="shared" si="203"/>
        <v>0</v>
      </c>
      <c r="CM56" s="4428">
        <f t="shared" si="168"/>
        <v>0</v>
      </c>
      <c r="CN56" s="4432"/>
      <c r="CP56" s="2012">
        <f t="shared" si="204"/>
        <v>0</v>
      </c>
      <c r="CQ56" s="2012">
        <f t="shared" si="204"/>
        <v>0</v>
      </c>
      <c r="CR56" s="4614"/>
    </row>
    <row r="57" spans="1:98" ht="13.8" outlineLevel="2">
      <c r="A57" s="1571"/>
      <c r="B57" s="4632" t="s">
        <v>68</v>
      </c>
      <c r="C57" s="3349"/>
      <c r="D57" s="3349"/>
      <c r="E57" s="3349">
        <f t="shared" si="169"/>
        <v>0</v>
      </c>
      <c r="F57" s="4428" t="e">
        <f t="shared" si="133"/>
        <v>#DIV/0!</v>
      </c>
      <c r="G57" s="4429"/>
      <c r="H57" s="3349"/>
      <c r="I57" s="3349"/>
      <c r="J57" s="3349">
        <f t="shared" si="170"/>
        <v>0</v>
      </c>
      <c r="K57" s="4428" t="e">
        <f t="shared" si="171"/>
        <v>#DIV/0!</v>
      </c>
      <c r="L57" s="4429"/>
      <c r="M57" s="3349"/>
      <c r="N57" s="3349"/>
      <c r="O57" s="3349">
        <f t="shared" si="172"/>
        <v>0</v>
      </c>
      <c r="P57" s="4428" t="e">
        <f t="shared" si="173"/>
        <v>#DIV/0!</v>
      </c>
      <c r="Q57" s="4429"/>
      <c r="R57" s="3342">
        <f t="shared" si="174"/>
        <v>0</v>
      </c>
      <c r="S57" s="3342">
        <f t="shared" si="174"/>
        <v>0</v>
      </c>
      <c r="T57" s="2012">
        <f t="shared" si="175"/>
        <v>0</v>
      </c>
      <c r="U57" s="3462"/>
      <c r="V57" s="3462"/>
      <c r="W57" s="3342">
        <f t="shared" si="176"/>
        <v>0</v>
      </c>
      <c r="X57" s="3342">
        <f t="shared" si="176"/>
        <v>0</v>
      </c>
      <c r="Y57" s="2012">
        <f t="shared" si="177"/>
        <v>0</v>
      </c>
      <c r="Z57" s="3462"/>
      <c r="AA57" s="3462"/>
      <c r="AB57" s="3349"/>
      <c r="AC57" s="3349"/>
      <c r="AD57" s="3349">
        <f t="shared" si="178"/>
        <v>0</v>
      </c>
      <c r="AE57" s="4428" t="e">
        <f t="shared" si="179"/>
        <v>#DIV/0!</v>
      </c>
      <c r="AF57" s="4429"/>
      <c r="AG57" s="3349"/>
      <c r="AH57" s="3349"/>
      <c r="AI57" s="3349">
        <f t="shared" si="180"/>
        <v>0</v>
      </c>
      <c r="AJ57" s="4428" t="e">
        <f t="shared" si="181"/>
        <v>#DIV/0!</v>
      </c>
      <c r="AK57" s="4429"/>
      <c r="AL57" s="3349"/>
      <c r="AM57" s="3349"/>
      <c r="AN57" s="3349">
        <f t="shared" si="182"/>
        <v>0</v>
      </c>
      <c r="AO57" s="4428" t="e">
        <f t="shared" si="183"/>
        <v>#DIV/0!</v>
      </c>
      <c r="AP57" s="4429"/>
      <c r="AQ57" s="3349"/>
      <c r="AR57" s="3349"/>
      <c r="AS57" s="3349">
        <f t="shared" si="184"/>
        <v>0</v>
      </c>
      <c r="AT57" s="4428" t="e">
        <f t="shared" si="185"/>
        <v>#DIV/0!</v>
      </c>
      <c r="AU57" s="4429"/>
      <c r="AV57" s="3349"/>
      <c r="AW57" s="3349"/>
      <c r="AX57" s="3349">
        <f t="shared" si="186"/>
        <v>0</v>
      </c>
      <c r="AY57" s="4428">
        <f t="shared" si="187"/>
        <v>0</v>
      </c>
      <c r="AZ57" s="4429"/>
      <c r="BA57" s="3349"/>
      <c r="BB57" s="3349"/>
      <c r="BC57" s="3349">
        <f t="shared" si="188"/>
        <v>0</v>
      </c>
      <c r="BD57" s="4428" t="e">
        <f t="shared" si="189"/>
        <v>#DIV/0!</v>
      </c>
      <c r="BE57" s="4429"/>
      <c r="BF57" s="3349"/>
      <c r="BG57" s="3349"/>
      <c r="BH57" s="3349">
        <f t="shared" si="190"/>
        <v>0</v>
      </c>
      <c r="BI57" s="4428" t="e">
        <f t="shared" si="191"/>
        <v>#DIV/0!</v>
      </c>
      <c r="BJ57" s="4429"/>
      <c r="BK57" s="3349"/>
      <c r="BL57" s="3349"/>
      <c r="BM57" s="3349">
        <f t="shared" si="192"/>
        <v>0</v>
      </c>
      <c r="BN57" s="4428" t="e">
        <f t="shared" si="193"/>
        <v>#DIV/0!</v>
      </c>
      <c r="BO57" s="4429"/>
      <c r="BP57" s="3349"/>
      <c r="BQ57" s="3349"/>
      <c r="BR57" s="3349">
        <f t="shared" si="194"/>
        <v>0</v>
      </c>
      <c r="BS57" s="4428" t="e">
        <f t="shared" si="195"/>
        <v>#DIV/0!</v>
      </c>
      <c r="BT57" s="4429"/>
      <c r="BU57" s="3349"/>
      <c r="BV57" s="3349"/>
      <c r="BW57" s="3349">
        <f t="shared" si="196"/>
        <v>0</v>
      </c>
      <c r="BX57" s="4428" t="e">
        <f t="shared" si="197"/>
        <v>#DIV/0!</v>
      </c>
      <c r="BY57" s="4429"/>
      <c r="BZ57" s="3349"/>
      <c r="CA57" s="3349"/>
      <c r="CB57" s="3349">
        <f t="shared" si="198"/>
        <v>0</v>
      </c>
      <c r="CC57" s="4428" t="e">
        <f t="shared" si="199"/>
        <v>#DIV/0!</v>
      </c>
      <c r="CD57" s="4429"/>
      <c r="CE57" s="3349"/>
      <c r="CF57" s="3349"/>
      <c r="CG57" s="3349">
        <f t="shared" si="200"/>
        <v>0</v>
      </c>
      <c r="CH57" s="4428" t="e">
        <f t="shared" si="201"/>
        <v>#DIV/0!</v>
      </c>
      <c r="CI57" s="4429"/>
      <c r="CJ57" s="3341">
        <f t="shared" si="202"/>
        <v>0</v>
      </c>
      <c r="CK57" s="3341">
        <f t="shared" si="202"/>
        <v>0</v>
      </c>
      <c r="CL57" s="2012">
        <f t="shared" si="203"/>
        <v>0</v>
      </c>
      <c r="CM57" s="4428">
        <f t="shared" si="168"/>
        <v>0</v>
      </c>
      <c r="CN57" s="4432"/>
      <c r="CP57" s="2012">
        <f t="shared" si="204"/>
        <v>0</v>
      </c>
      <c r="CQ57" s="2012">
        <f t="shared" si="204"/>
        <v>0</v>
      </c>
      <c r="CR57" s="4614"/>
    </row>
    <row r="58" spans="1:98" ht="13.8" outlineLevel="2">
      <c r="A58" s="1571"/>
      <c r="B58" s="4632" t="s">
        <v>67</v>
      </c>
      <c r="C58" s="3349"/>
      <c r="D58" s="3349"/>
      <c r="E58" s="3349">
        <f t="shared" si="169"/>
        <v>0</v>
      </c>
      <c r="F58" s="4428" t="e">
        <f t="shared" si="133"/>
        <v>#DIV/0!</v>
      </c>
      <c r="G58" s="4429"/>
      <c r="H58" s="3349"/>
      <c r="I58" s="3349"/>
      <c r="J58" s="3349">
        <f t="shared" si="170"/>
        <v>0</v>
      </c>
      <c r="K58" s="4428" t="e">
        <f t="shared" si="171"/>
        <v>#DIV/0!</v>
      </c>
      <c r="L58" s="4429"/>
      <c r="M58" s="3349"/>
      <c r="N58" s="3349"/>
      <c r="O58" s="3349">
        <f t="shared" si="172"/>
        <v>0</v>
      </c>
      <c r="P58" s="4428" t="e">
        <f t="shared" si="173"/>
        <v>#DIV/0!</v>
      </c>
      <c r="Q58" s="4429"/>
      <c r="R58" s="3342">
        <f t="shared" si="174"/>
        <v>0</v>
      </c>
      <c r="S58" s="3342">
        <f t="shared" si="174"/>
        <v>0</v>
      </c>
      <c r="T58" s="2012">
        <f t="shared" si="175"/>
        <v>0</v>
      </c>
      <c r="U58" s="3462"/>
      <c r="V58" s="3462"/>
      <c r="W58" s="3342">
        <f t="shared" si="176"/>
        <v>0</v>
      </c>
      <c r="X58" s="3342">
        <f t="shared" si="176"/>
        <v>0</v>
      </c>
      <c r="Y58" s="2012">
        <f t="shared" si="177"/>
        <v>0</v>
      </c>
      <c r="Z58" s="3462"/>
      <c r="AA58" s="3462"/>
      <c r="AB58" s="3349"/>
      <c r="AC58" s="3349"/>
      <c r="AD58" s="3349">
        <f t="shared" si="178"/>
        <v>0</v>
      </c>
      <c r="AE58" s="4428" t="e">
        <f t="shared" si="179"/>
        <v>#DIV/0!</v>
      </c>
      <c r="AF58" s="4429"/>
      <c r="AG58" s="3349"/>
      <c r="AH58" s="3349"/>
      <c r="AI58" s="3349">
        <f t="shared" si="180"/>
        <v>0</v>
      </c>
      <c r="AJ58" s="4428" t="e">
        <f t="shared" si="181"/>
        <v>#DIV/0!</v>
      </c>
      <c r="AK58" s="4429"/>
      <c r="AL58" s="3349"/>
      <c r="AM58" s="3349"/>
      <c r="AN58" s="3349">
        <f t="shared" si="182"/>
        <v>0</v>
      </c>
      <c r="AO58" s="4428" t="e">
        <f t="shared" si="183"/>
        <v>#DIV/0!</v>
      </c>
      <c r="AP58" s="4429"/>
      <c r="AQ58" s="3349"/>
      <c r="AR58" s="3349"/>
      <c r="AS58" s="3349">
        <f t="shared" si="184"/>
        <v>0</v>
      </c>
      <c r="AT58" s="4428" t="e">
        <f t="shared" si="185"/>
        <v>#DIV/0!</v>
      </c>
      <c r="AU58" s="4429"/>
      <c r="AV58" s="3349"/>
      <c r="AW58" s="3349"/>
      <c r="AX58" s="3349">
        <f t="shared" si="186"/>
        <v>0</v>
      </c>
      <c r="AY58" s="4428">
        <f t="shared" si="187"/>
        <v>0</v>
      </c>
      <c r="AZ58" s="4429"/>
      <c r="BA58" s="3349"/>
      <c r="BB58" s="3349"/>
      <c r="BC58" s="3349">
        <f t="shared" si="188"/>
        <v>0</v>
      </c>
      <c r="BD58" s="4428" t="e">
        <f t="shared" si="189"/>
        <v>#DIV/0!</v>
      </c>
      <c r="BE58" s="4429"/>
      <c r="BF58" s="3349"/>
      <c r="BG58" s="3349"/>
      <c r="BH58" s="3349">
        <f t="shared" si="190"/>
        <v>0</v>
      </c>
      <c r="BI58" s="4428" t="e">
        <f t="shared" si="191"/>
        <v>#DIV/0!</v>
      </c>
      <c r="BJ58" s="4429"/>
      <c r="BK58" s="3349"/>
      <c r="BL58" s="3349"/>
      <c r="BM58" s="3349">
        <f t="shared" si="192"/>
        <v>0</v>
      </c>
      <c r="BN58" s="4428" t="e">
        <f t="shared" si="193"/>
        <v>#DIV/0!</v>
      </c>
      <c r="BO58" s="4429"/>
      <c r="BP58" s="3349"/>
      <c r="BQ58" s="3349"/>
      <c r="BR58" s="3349">
        <f t="shared" si="194"/>
        <v>0</v>
      </c>
      <c r="BS58" s="4428" t="e">
        <f t="shared" si="195"/>
        <v>#DIV/0!</v>
      </c>
      <c r="BT58" s="4429"/>
      <c r="BU58" s="3349"/>
      <c r="BV58" s="3349"/>
      <c r="BW58" s="3349">
        <f t="shared" si="196"/>
        <v>0</v>
      </c>
      <c r="BX58" s="4428" t="e">
        <f t="shared" si="197"/>
        <v>#DIV/0!</v>
      </c>
      <c r="BY58" s="4429"/>
      <c r="BZ58" s="3349"/>
      <c r="CA58" s="3349"/>
      <c r="CB58" s="3349">
        <f t="shared" si="198"/>
        <v>0</v>
      </c>
      <c r="CC58" s="4428" t="e">
        <f t="shared" si="199"/>
        <v>#DIV/0!</v>
      </c>
      <c r="CD58" s="4429"/>
      <c r="CE58" s="3349"/>
      <c r="CF58" s="3349"/>
      <c r="CG58" s="3349">
        <f t="shared" si="200"/>
        <v>0</v>
      </c>
      <c r="CH58" s="4428" t="e">
        <f t="shared" si="201"/>
        <v>#DIV/0!</v>
      </c>
      <c r="CI58" s="4429"/>
      <c r="CJ58" s="3341">
        <f t="shared" si="202"/>
        <v>0</v>
      </c>
      <c r="CK58" s="3341">
        <f t="shared" si="202"/>
        <v>0</v>
      </c>
      <c r="CL58" s="2012">
        <f t="shared" si="203"/>
        <v>0</v>
      </c>
      <c r="CM58" s="4428">
        <f t="shared" si="168"/>
        <v>0</v>
      </c>
      <c r="CN58" s="4432"/>
      <c r="CP58" s="2012">
        <f t="shared" si="204"/>
        <v>0</v>
      </c>
      <c r="CQ58" s="2012">
        <f t="shared" si="204"/>
        <v>0</v>
      </c>
      <c r="CR58" s="4614"/>
    </row>
    <row r="59" spans="1:98" ht="13.8" outlineLevel="2">
      <c r="A59" s="1571"/>
      <c r="B59" s="4632" t="s">
        <v>66</v>
      </c>
      <c r="C59" s="3349"/>
      <c r="D59" s="3349"/>
      <c r="E59" s="3349">
        <f t="shared" si="169"/>
        <v>0</v>
      </c>
      <c r="F59" s="4428" t="e">
        <f t="shared" si="133"/>
        <v>#DIV/0!</v>
      </c>
      <c r="G59" s="4429"/>
      <c r="H59" s="3349"/>
      <c r="I59" s="3349"/>
      <c r="J59" s="3349">
        <f t="shared" si="170"/>
        <v>0</v>
      </c>
      <c r="K59" s="4428" t="e">
        <f t="shared" si="171"/>
        <v>#DIV/0!</v>
      </c>
      <c r="L59" s="4429"/>
      <c r="M59" s="3349"/>
      <c r="N59" s="3349"/>
      <c r="O59" s="3349">
        <f t="shared" si="172"/>
        <v>0</v>
      </c>
      <c r="P59" s="4428" t="e">
        <f t="shared" si="173"/>
        <v>#DIV/0!</v>
      </c>
      <c r="Q59" s="4429"/>
      <c r="R59" s="3342">
        <f t="shared" si="174"/>
        <v>0</v>
      </c>
      <c r="S59" s="3342">
        <f t="shared" si="174"/>
        <v>0</v>
      </c>
      <c r="T59" s="2012">
        <f t="shared" si="175"/>
        <v>0</v>
      </c>
      <c r="U59" s="3462"/>
      <c r="V59" s="3462"/>
      <c r="W59" s="3342">
        <f t="shared" si="176"/>
        <v>0</v>
      </c>
      <c r="X59" s="3342">
        <f t="shared" si="176"/>
        <v>0</v>
      </c>
      <c r="Y59" s="2012">
        <f t="shared" si="177"/>
        <v>0</v>
      </c>
      <c r="Z59" s="3462"/>
      <c r="AA59" s="3462"/>
      <c r="AB59" s="3349"/>
      <c r="AC59" s="3349"/>
      <c r="AD59" s="3349">
        <f t="shared" si="178"/>
        <v>0</v>
      </c>
      <c r="AE59" s="4428" t="e">
        <f t="shared" si="179"/>
        <v>#DIV/0!</v>
      </c>
      <c r="AF59" s="4429"/>
      <c r="AG59" s="3349"/>
      <c r="AH59" s="3349"/>
      <c r="AI59" s="3349">
        <f t="shared" si="180"/>
        <v>0</v>
      </c>
      <c r="AJ59" s="4428" t="e">
        <f t="shared" si="181"/>
        <v>#DIV/0!</v>
      </c>
      <c r="AK59" s="4429"/>
      <c r="AL59" s="3349"/>
      <c r="AM59" s="3349"/>
      <c r="AN59" s="3349">
        <f t="shared" si="182"/>
        <v>0</v>
      </c>
      <c r="AO59" s="4428" t="e">
        <f t="shared" si="183"/>
        <v>#DIV/0!</v>
      </c>
      <c r="AP59" s="4429"/>
      <c r="AQ59" s="3349"/>
      <c r="AR59" s="3349"/>
      <c r="AS59" s="3349">
        <f t="shared" si="184"/>
        <v>0</v>
      </c>
      <c r="AT59" s="4428" t="e">
        <f t="shared" si="185"/>
        <v>#DIV/0!</v>
      </c>
      <c r="AU59" s="4429"/>
      <c r="AV59" s="3349"/>
      <c r="AW59" s="3349"/>
      <c r="AX59" s="3349">
        <f t="shared" si="186"/>
        <v>0</v>
      </c>
      <c r="AY59" s="4428">
        <f t="shared" si="187"/>
        <v>0</v>
      </c>
      <c r="AZ59" s="4429"/>
      <c r="BA59" s="3349"/>
      <c r="BB59" s="3349"/>
      <c r="BC59" s="3349">
        <f t="shared" si="188"/>
        <v>0</v>
      </c>
      <c r="BD59" s="4428" t="e">
        <f t="shared" si="189"/>
        <v>#DIV/0!</v>
      </c>
      <c r="BE59" s="4429"/>
      <c r="BF59" s="3349"/>
      <c r="BG59" s="3349"/>
      <c r="BH59" s="3349">
        <f t="shared" si="190"/>
        <v>0</v>
      </c>
      <c r="BI59" s="4428" t="e">
        <f t="shared" si="191"/>
        <v>#DIV/0!</v>
      </c>
      <c r="BJ59" s="4429"/>
      <c r="BK59" s="3349"/>
      <c r="BL59" s="3349"/>
      <c r="BM59" s="3349">
        <f t="shared" si="192"/>
        <v>0</v>
      </c>
      <c r="BN59" s="4428" t="e">
        <f t="shared" si="193"/>
        <v>#DIV/0!</v>
      </c>
      <c r="BO59" s="4429"/>
      <c r="BP59" s="3349"/>
      <c r="BQ59" s="3349"/>
      <c r="BR59" s="3349">
        <f t="shared" si="194"/>
        <v>0</v>
      </c>
      <c r="BS59" s="4428" t="e">
        <f t="shared" si="195"/>
        <v>#DIV/0!</v>
      </c>
      <c r="BT59" s="4429"/>
      <c r="BU59" s="3349"/>
      <c r="BV59" s="3349"/>
      <c r="BW59" s="3349">
        <f t="shared" si="196"/>
        <v>0</v>
      </c>
      <c r="BX59" s="4428" t="e">
        <f t="shared" si="197"/>
        <v>#DIV/0!</v>
      </c>
      <c r="BY59" s="4429"/>
      <c r="BZ59" s="3349"/>
      <c r="CA59" s="3349"/>
      <c r="CB59" s="3349">
        <f t="shared" si="198"/>
        <v>0</v>
      </c>
      <c r="CC59" s="4428" t="e">
        <f t="shared" si="199"/>
        <v>#DIV/0!</v>
      </c>
      <c r="CD59" s="4429"/>
      <c r="CE59" s="3349"/>
      <c r="CF59" s="3349"/>
      <c r="CG59" s="3349">
        <f t="shared" si="200"/>
        <v>0</v>
      </c>
      <c r="CH59" s="4428" t="e">
        <f t="shared" si="201"/>
        <v>#DIV/0!</v>
      </c>
      <c r="CI59" s="4429"/>
      <c r="CJ59" s="3341">
        <f t="shared" si="202"/>
        <v>0</v>
      </c>
      <c r="CK59" s="3341">
        <f t="shared" si="202"/>
        <v>0</v>
      </c>
      <c r="CL59" s="2012">
        <f t="shared" si="203"/>
        <v>0</v>
      </c>
      <c r="CM59" s="4428">
        <f t="shared" si="168"/>
        <v>0</v>
      </c>
      <c r="CN59" s="4432"/>
      <c r="CP59" s="2012">
        <f t="shared" si="204"/>
        <v>0</v>
      </c>
      <c r="CQ59" s="2012">
        <f t="shared" si="204"/>
        <v>0</v>
      </c>
      <c r="CR59" s="4614"/>
    </row>
    <row r="60" spans="1:98" ht="13.8" outlineLevel="2">
      <c r="A60" s="1571"/>
      <c r="B60" s="4632" t="s">
        <v>65</v>
      </c>
      <c r="C60" s="3349"/>
      <c r="D60" s="3349"/>
      <c r="E60" s="3349">
        <f t="shared" si="169"/>
        <v>0</v>
      </c>
      <c r="F60" s="4428" t="e">
        <f t="shared" si="133"/>
        <v>#DIV/0!</v>
      </c>
      <c r="G60" s="4429"/>
      <c r="H60" s="3349"/>
      <c r="I60" s="3349"/>
      <c r="J60" s="3349">
        <f t="shared" si="170"/>
        <v>0</v>
      </c>
      <c r="K60" s="4428" t="e">
        <f t="shared" si="171"/>
        <v>#DIV/0!</v>
      </c>
      <c r="L60" s="4429"/>
      <c r="M60" s="3349"/>
      <c r="N60" s="3349"/>
      <c r="O60" s="3349">
        <f t="shared" si="172"/>
        <v>0</v>
      </c>
      <c r="P60" s="4428" t="e">
        <f t="shared" si="173"/>
        <v>#DIV/0!</v>
      </c>
      <c r="Q60" s="4429"/>
      <c r="R60" s="3342">
        <f t="shared" si="174"/>
        <v>0</v>
      </c>
      <c r="S60" s="3342">
        <f t="shared" si="174"/>
        <v>0</v>
      </c>
      <c r="T60" s="2012">
        <f t="shared" si="175"/>
        <v>0</v>
      </c>
      <c r="U60" s="3462"/>
      <c r="V60" s="3462"/>
      <c r="W60" s="3342">
        <f t="shared" si="176"/>
        <v>0</v>
      </c>
      <c r="X60" s="3342">
        <f t="shared" si="176"/>
        <v>0</v>
      </c>
      <c r="Y60" s="2012">
        <f t="shared" si="177"/>
        <v>0</v>
      </c>
      <c r="Z60" s="3462"/>
      <c r="AA60" s="3462"/>
      <c r="AB60" s="3349"/>
      <c r="AC60" s="3349"/>
      <c r="AD60" s="3349">
        <f t="shared" si="178"/>
        <v>0</v>
      </c>
      <c r="AE60" s="4428" t="e">
        <f t="shared" si="179"/>
        <v>#DIV/0!</v>
      </c>
      <c r="AF60" s="4429"/>
      <c r="AG60" s="3349"/>
      <c r="AH60" s="3349"/>
      <c r="AI60" s="3349">
        <f t="shared" si="180"/>
        <v>0</v>
      </c>
      <c r="AJ60" s="4428" t="e">
        <f t="shared" si="181"/>
        <v>#DIV/0!</v>
      </c>
      <c r="AK60" s="4429"/>
      <c r="AL60" s="3349"/>
      <c r="AM60" s="3349"/>
      <c r="AN60" s="3349">
        <f t="shared" si="182"/>
        <v>0</v>
      </c>
      <c r="AO60" s="4428" t="e">
        <f t="shared" si="183"/>
        <v>#DIV/0!</v>
      </c>
      <c r="AP60" s="4429"/>
      <c r="AQ60" s="3349"/>
      <c r="AR60" s="3349"/>
      <c r="AS60" s="3349">
        <f t="shared" si="184"/>
        <v>0</v>
      </c>
      <c r="AT60" s="4428" t="e">
        <f t="shared" si="185"/>
        <v>#DIV/0!</v>
      </c>
      <c r="AU60" s="4429"/>
      <c r="AV60" s="3349"/>
      <c r="AW60" s="3349"/>
      <c r="AX60" s="3349">
        <f t="shared" si="186"/>
        <v>0</v>
      </c>
      <c r="AY60" s="4428">
        <f t="shared" si="187"/>
        <v>0</v>
      </c>
      <c r="AZ60" s="4429"/>
      <c r="BA60" s="3349"/>
      <c r="BB60" s="3349"/>
      <c r="BC60" s="3349">
        <f t="shared" si="188"/>
        <v>0</v>
      </c>
      <c r="BD60" s="4428" t="e">
        <f t="shared" si="189"/>
        <v>#DIV/0!</v>
      </c>
      <c r="BE60" s="4429"/>
      <c r="BF60" s="3349"/>
      <c r="BG60" s="3349"/>
      <c r="BH60" s="3349">
        <f t="shared" si="190"/>
        <v>0</v>
      </c>
      <c r="BI60" s="4428" t="e">
        <f t="shared" si="191"/>
        <v>#DIV/0!</v>
      </c>
      <c r="BJ60" s="4429"/>
      <c r="BK60" s="3349"/>
      <c r="BL60" s="3349"/>
      <c r="BM60" s="3349">
        <f t="shared" si="192"/>
        <v>0</v>
      </c>
      <c r="BN60" s="4428" t="e">
        <f t="shared" si="193"/>
        <v>#DIV/0!</v>
      </c>
      <c r="BO60" s="4429"/>
      <c r="BP60" s="3349"/>
      <c r="BQ60" s="3349"/>
      <c r="BR60" s="3349">
        <f t="shared" si="194"/>
        <v>0</v>
      </c>
      <c r="BS60" s="4428" t="e">
        <f t="shared" si="195"/>
        <v>#DIV/0!</v>
      </c>
      <c r="BT60" s="4429"/>
      <c r="BU60" s="3349"/>
      <c r="BV60" s="3349"/>
      <c r="BW60" s="3349">
        <f t="shared" si="196"/>
        <v>0</v>
      </c>
      <c r="BX60" s="4428" t="e">
        <f t="shared" si="197"/>
        <v>#DIV/0!</v>
      </c>
      <c r="BY60" s="4429"/>
      <c r="BZ60" s="3349"/>
      <c r="CA60" s="3349"/>
      <c r="CB60" s="3349">
        <f t="shared" si="198"/>
        <v>0</v>
      </c>
      <c r="CC60" s="4428" t="e">
        <f t="shared" si="199"/>
        <v>#DIV/0!</v>
      </c>
      <c r="CD60" s="4429"/>
      <c r="CE60" s="3349"/>
      <c r="CF60" s="3349"/>
      <c r="CG60" s="3349">
        <f t="shared" si="200"/>
        <v>0</v>
      </c>
      <c r="CH60" s="4428" t="e">
        <f t="shared" si="201"/>
        <v>#DIV/0!</v>
      </c>
      <c r="CI60" s="4429"/>
      <c r="CJ60" s="3341">
        <f t="shared" si="202"/>
        <v>0</v>
      </c>
      <c r="CK60" s="3341">
        <f t="shared" si="202"/>
        <v>0</v>
      </c>
      <c r="CL60" s="2012">
        <f t="shared" si="203"/>
        <v>0</v>
      </c>
      <c r="CM60" s="4428">
        <f t="shared" si="168"/>
        <v>0</v>
      </c>
      <c r="CN60" s="4432"/>
      <c r="CP60" s="2012">
        <f t="shared" si="204"/>
        <v>0</v>
      </c>
      <c r="CQ60" s="2012">
        <f t="shared" si="204"/>
        <v>0</v>
      </c>
      <c r="CR60" s="4614"/>
    </row>
    <row r="61" spans="1:98" ht="13.8" outlineLevel="2">
      <c r="A61" s="1571"/>
      <c r="B61" s="4632" t="s">
        <v>32</v>
      </c>
      <c r="C61" s="3349"/>
      <c r="D61" s="3349"/>
      <c r="E61" s="3349">
        <f t="shared" si="169"/>
        <v>0</v>
      </c>
      <c r="F61" s="4428" t="e">
        <f t="shared" si="133"/>
        <v>#DIV/0!</v>
      </c>
      <c r="G61" s="4429"/>
      <c r="H61" s="3349"/>
      <c r="I61" s="3349"/>
      <c r="J61" s="3349">
        <f t="shared" si="170"/>
        <v>0</v>
      </c>
      <c r="K61" s="4428" t="e">
        <f t="shared" si="171"/>
        <v>#DIV/0!</v>
      </c>
      <c r="L61" s="4429"/>
      <c r="M61" s="3349"/>
      <c r="N61" s="3349"/>
      <c r="O61" s="3349">
        <f t="shared" si="172"/>
        <v>0</v>
      </c>
      <c r="P61" s="4428" t="e">
        <f t="shared" si="173"/>
        <v>#DIV/0!</v>
      </c>
      <c r="Q61" s="4429"/>
      <c r="R61" s="3342">
        <f t="shared" si="174"/>
        <v>0</v>
      </c>
      <c r="S61" s="3342">
        <f t="shared" si="174"/>
        <v>0</v>
      </c>
      <c r="T61" s="2012">
        <f t="shared" si="175"/>
        <v>0</v>
      </c>
      <c r="U61" s="3462"/>
      <c r="V61" s="3462"/>
      <c r="W61" s="3342">
        <f t="shared" si="176"/>
        <v>0</v>
      </c>
      <c r="X61" s="3342">
        <f t="shared" si="176"/>
        <v>0</v>
      </c>
      <c r="Y61" s="2012">
        <f t="shared" si="177"/>
        <v>0</v>
      </c>
      <c r="Z61" s="3462"/>
      <c r="AA61" s="3462"/>
      <c r="AB61" s="3349"/>
      <c r="AC61" s="3349"/>
      <c r="AD61" s="3349">
        <f t="shared" si="178"/>
        <v>0</v>
      </c>
      <c r="AE61" s="4428" t="e">
        <f t="shared" si="179"/>
        <v>#DIV/0!</v>
      </c>
      <c r="AF61" s="4429"/>
      <c r="AG61" s="3349"/>
      <c r="AH61" s="3349"/>
      <c r="AI61" s="3349">
        <f t="shared" si="180"/>
        <v>0</v>
      </c>
      <c r="AJ61" s="4428" t="e">
        <f t="shared" si="181"/>
        <v>#DIV/0!</v>
      </c>
      <c r="AK61" s="4429"/>
      <c r="AL61" s="3349"/>
      <c r="AM61" s="3349"/>
      <c r="AN61" s="3349">
        <f t="shared" si="182"/>
        <v>0</v>
      </c>
      <c r="AO61" s="4428" t="e">
        <f t="shared" si="183"/>
        <v>#DIV/0!</v>
      </c>
      <c r="AP61" s="4429"/>
      <c r="AQ61" s="3349"/>
      <c r="AR61" s="3349"/>
      <c r="AS61" s="3349">
        <f t="shared" si="184"/>
        <v>0</v>
      </c>
      <c r="AT61" s="4428" t="e">
        <f t="shared" si="185"/>
        <v>#DIV/0!</v>
      </c>
      <c r="AU61" s="4429"/>
      <c r="AV61" s="3349"/>
      <c r="AW61" s="3349"/>
      <c r="AX61" s="3349">
        <f t="shared" si="186"/>
        <v>0</v>
      </c>
      <c r="AY61" s="4428">
        <f t="shared" si="187"/>
        <v>0</v>
      </c>
      <c r="AZ61" s="4429"/>
      <c r="BA61" s="3349"/>
      <c r="BB61" s="3349"/>
      <c r="BC61" s="3349">
        <f t="shared" si="188"/>
        <v>0</v>
      </c>
      <c r="BD61" s="4428" t="e">
        <f t="shared" si="189"/>
        <v>#DIV/0!</v>
      </c>
      <c r="BE61" s="4429"/>
      <c r="BF61" s="3349"/>
      <c r="BG61" s="3349"/>
      <c r="BH61" s="3349">
        <f t="shared" si="190"/>
        <v>0</v>
      </c>
      <c r="BI61" s="4428" t="e">
        <f t="shared" si="191"/>
        <v>#DIV/0!</v>
      </c>
      <c r="BJ61" s="4429"/>
      <c r="BK61" s="3349"/>
      <c r="BL61" s="3349"/>
      <c r="BM61" s="3349">
        <f t="shared" si="192"/>
        <v>0</v>
      </c>
      <c r="BN61" s="4428" t="e">
        <f t="shared" si="193"/>
        <v>#DIV/0!</v>
      </c>
      <c r="BO61" s="4429"/>
      <c r="BP61" s="3349"/>
      <c r="BQ61" s="3349"/>
      <c r="BR61" s="3349">
        <f t="shared" si="194"/>
        <v>0</v>
      </c>
      <c r="BS61" s="4428" t="e">
        <f t="shared" si="195"/>
        <v>#DIV/0!</v>
      </c>
      <c r="BT61" s="4429"/>
      <c r="BU61" s="3349"/>
      <c r="BV61" s="3349"/>
      <c r="BW61" s="3349">
        <f t="shared" si="196"/>
        <v>0</v>
      </c>
      <c r="BX61" s="4428" t="e">
        <f t="shared" si="197"/>
        <v>#DIV/0!</v>
      </c>
      <c r="BY61" s="4429"/>
      <c r="BZ61" s="3349"/>
      <c r="CA61" s="3349"/>
      <c r="CB61" s="3349">
        <f t="shared" si="198"/>
        <v>0</v>
      </c>
      <c r="CC61" s="4428" t="e">
        <f t="shared" si="199"/>
        <v>#DIV/0!</v>
      </c>
      <c r="CD61" s="4429"/>
      <c r="CE61" s="3349"/>
      <c r="CF61" s="3349"/>
      <c r="CG61" s="3349">
        <f t="shared" si="200"/>
        <v>0</v>
      </c>
      <c r="CH61" s="4428" t="e">
        <f t="shared" si="201"/>
        <v>#DIV/0!</v>
      </c>
      <c r="CI61" s="4429"/>
      <c r="CJ61" s="3341">
        <f t="shared" si="202"/>
        <v>0</v>
      </c>
      <c r="CK61" s="3341">
        <f t="shared" si="202"/>
        <v>0</v>
      </c>
      <c r="CL61" s="2012">
        <f t="shared" si="203"/>
        <v>0</v>
      </c>
      <c r="CM61" s="4428">
        <f t="shared" si="168"/>
        <v>0</v>
      </c>
      <c r="CN61" s="4432"/>
      <c r="CP61" s="2012">
        <f t="shared" si="204"/>
        <v>0</v>
      </c>
      <c r="CQ61" s="2012">
        <f t="shared" si="204"/>
        <v>0</v>
      </c>
      <c r="CR61" s="4614"/>
    </row>
    <row r="62" spans="1:98" ht="13.8" outlineLevel="2">
      <c r="A62" s="1571"/>
      <c r="B62" s="4632" t="s">
        <v>33</v>
      </c>
      <c r="C62" s="3349"/>
      <c r="D62" s="3349"/>
      <c r="E62" s="3349">
        <f t="shared" si="169"/>
        <v>0</v>
      </c>
      <c r="F62" s="4428" t="e">
        <f t="shared" si="133"/>
        <v>#DIV/0!</v>
      </c>
      <c r="G62" s="4429"/>
      <c r="H62" s="3349"/>
      <c r="I62" s="3349"/>
      <c r="J62" s="3349">
        <f t="shared" si="170"/>
        <v>0</v>
      </c>
      <c r="K62" s="4428" t="e">
        <f t="shared" si="171"/>
        <v>#DIV/0!</v>
      </c>
      <c r="L62" s="4429"/>
      <c r="M62" s="3349"/>
      <c r="N62" s="3349"/>
      <c r="O62" s="3349">
        <f t="shared" si="172"/>
        <v>0</v>
      </c>
      <c r="P62" s="4428" t="e">
        <f t="shared" si="173"/>
        <v>#DIV/0!</v>
      </c>
      <c r="Q62" s="4429"/>
      <c r="R62" s="3342">
        <f t="shared" si="174"/>
        <v>0</v>
      </c>
      <c r="S62" s="3342">
        <f t="shared" si="174"/>
        <v>0</v>
      </c>
      <c r="T62" s="2012">
        <f t="shared" si="175"/>
        <v>0</v>
      </c>
      <c r="U62" s="3462"/>
      <c r="V62" s="3462"/>
      <c r="W62" s="3342">
        <f t="shared" si="176"/>
        <v>0</v>
      </c>
      <c r="X62" s="3342">
        <f t="shared" si="176"/>
        <v>0</v>
      </c>
      <c r="Y62" s="2012">
        <f t="shared" si="177"/>
        <v>0</v>
      </c>
      <c r="Z62" s="3462"/>
      <c r="AA62" s="3462"/>
      <c r="AB62" s="3349"/>
      <c r="AC62" s="3349"/>
      <c r="AD62" s="3349">
        <f t="shared" si="178"/>
        <v>0</v>
      </c>
      <c r="AE62" s="4428" t="e">
        <f t="shared" si="179"/>
        <v>#DIV/0!</v>
      </c>
      <c r="AF62" s="4429"/>
      <c r="AG62" s="3349"/>
      <c r="AH62" s="3349"/>
      <c r="AI62" s="3349">
        <f t="shared" si="180"/>
        <v>0</v>
      </c>
      <c r="AJ62" s="4428" t="e">
        <f t="shared" si="181"/>
        <v>#DIV/0!</v>
      </c>
      <c r="AK62" s="4429"/>
      <c r="AL62" s="3349"/>
      <c r="AM62" s="3349"/>
      <c r="AN62" s="3349">
        <f t="shared" si="182"/>
        <v>0</v>
      </c>
      <c r="AO62" s="4428" t="e">
        <f t="shared" si="183"/>
        <v>#DIV/0!</v>
      </c>
      <c r="AP62" s="4429"/>
      <c r="AQ62" s="3349"/>
      <c r="AR62" s="3349"/>
      <c r="AS62" s="3349">
        <f t="shared" si="184"/>
        <v>0</v>
      </c>
      <c r="AT62" s="4428" t="e">
        <f t="shared" si="185"/>
        <v>#DIV/0!</v>
      </c>
      <c r="AU62" s="4429"/>
      <c r="AV62" s="3349"/>
      <c r="AW62" s="3349"/>
      <c r="AX62" s="3349">
        <f t="shared" si="186"/>
        <v>0</v>
      </c>
      <c r="AY62" s="4428">
        <f t="shared" si="187"/>
        <v>0</v>
      </c>
      <c r="AZ62" s="4429"/>
      <c r="BA62" s="3349"/>
      <c r="BB62" s="3349"/>
      <c r="BC62" s="3349">
        <f t="shared" si="188"/>
        <v>0</v>
      </c>
      <c r="BD62" s="4428" t="e">
        <f t="shared" si="189"/>
        <v>#DIV/0!</v>
      </c>
      <c r="BE62" s="4429"/>
      <c r="BF62" s="3349"/>
      <c r="BG62" s="3349"/>
      <c r="BH62" s="3349">
        <f t="shared" si="190"/>
        <v>0</v>
      </c>
      <c r="BI62" s="4428" t="e">
        <f t="shared" si="191"/>
        <v>#DIV/0!</v>
      </c>
      <c r="BJ62" s="4429"/>
      <c r="BK62" s="3349"/>
      <c r="BL62" s="3349"/>
      <c r="BM62" s="3349">
        <f t="shared" si="192"/>
        <v>0</v>
      </c>
      <c r="BN62" s="4428" t="e">
        <f t="shared" si="193"/>
        <v>#DIV/0!</v>
      </c>
      <c r="BO62" s="4429"/>
      <c r="BP62" s="3349"/>
      <c r="BQ62" s="3349"/>
      <c r="BR62" s="3349">
        <f t="shared" si="194"/>
        <v>0</v>
      </c>
      <c r="BS62" s="4428" t="e">
        <f t="shared" si="195"/>
        <v>#DIV/0!</v>
      </c>
      <c r="BT62" s="4429"/>
      <c r="BU62" s="3349"/>
      <c r="BV62" s="3349"/>
      <c r="BW62" s="3349">
        <f t="shared" si="196"/>
        <v>0</v>
      </c>
      <c r="BX62" s="4428" t="e">
        <f t="shared" si="197"/>
        <v>#DIV/0!</v>
      </c>
      <c r="BY62" s="4429"/>
      <c r="BZ62" s="3349"/>
      <c r="CA62" s="3349"/>
      <c r="CB62" s="3349">
        <f t="shared" si="198"/>
        <v>0</v>
      </c>
      <c r="CC62" s="4428" t="e">
        <f t="shared" si="199"/>
        <v>#DIV/0!</v>
      </c>
      <c r="CD62" s="4429"/>
      <c r="CE62" s="3349"/>
      <c r="CF62" s="3349"/>
      <c r="CG62" s="3349">
        <f t="shared" si="200"/>
        <v>0</v>
      </c>
      <c r="CH62" s="4428" t="e">
        <f t="shared" si="201"/>
        <v>#DIV/0!</v>
      </c>
      <c r="CI62" s="4429"/>
      <c r="CJ62" s="3341">
        <f t="shared" si="202"/>
        <v>0</v>
      </c>
      <c r="CK62" s="3341">
        <f t="shared" si="202"/>
        <v>0</v>
      </c>
      <c r="CL62" s="2012">
        <f t="shared" si="203"/>
        <v>0</v>
      </c>
      <c r="CM62" s="4428">
        <f t="shared" si="168"/>
        <v>0</v>
      </c>
      <c r="CN62" s="4432"/>
      <c r="CP62" s="2012">
        <f t="shared" si="204"/>
        <v>0</v>
      </c>
      <c r="CQ62" s="2012">
        <f t="shared" si="204"/>
        <v>0</v>
      </c>
      <c r="CR62" s="4614"/>
    </row>
    <row r="63" spans="1:98" ht="13.8" outlineLevel="2">
      <c r="A63" s="1571"/>
      <c r="B63" s="4632" t="s">
        <v>35</v>
      </c>
      <c r="C63" s="3349"/>
      <c r="D63" s="3349"/>
      <c r="E63" s="3349">
        <f t="shared" si="169"/>
        <v>0</v>
      </c>
      <c r="F63" s="4428" t="e">
        <f t="shared" si="133"/>
        <v>#DIV/0!</v>
      </c>
      <c r="G63" s="4429"/>
      <c r="H63" s="3349"/>
      <c r="I63" s="3349"/>
      <c r="J63" s="3349">
        <f t="shared" si="170"/>
        <v>0</v>
      </c>
      <c r="K63" s="4428" t="e">
        <f t="shared" si="171"/>
        <v>#DIV/0!</v>
      </c>
      <c r="L63" s="4429"/>
      <c r="M63" s="3349"/>
      <c r="N63" s="3349"/>
      <c r="O63" s="3349">
        <f t="shared" si="172"/>
        <v>0</v>
      </c>
      <c r="P63" s="4428" t="e">
        <f t="shared" si="173"/>
        <v>#DIV/0!</v>
      </c>
      <c r="Q63" s="4429"/>
      <c r="R63" s="3342">
        <f t="shared" si="174"/>
        <v>0</v>
      </c>
      <c r="S63" s="3342">
        <f t="shared" si="174"/>
        <v>0</v>
      </c>
      <c r="T63" s="2012">
        <f t="shared" si="175"/>
        <v>0</v>
      </c>
      <c r="U63" s="3462"/>
      <c r="V63" s="3462"/>
      <c r="W63" s="3342">
        <f t="shared" si="176"/>
        <v>0</v>
      </c>
      <c r="X63" s="3342">
        <f t="shared" si="176"/>
        <v>0</v>
      </c>
      <c r="Y63" s="2012">
        <f t="shared" si="177"/>
        <v>0</v>
      </c>
      <c r="Z63" s="3462"/>
      <c r="AA63" s="3462"/>
      <c r="AB63" s="3349"/>
      <c r="AC63" s="3349"/>
      <c r="AD63" s="3349">
        <f t="shared" si="178"/>
        <v>0</v>
      </c>
      <c r="AE63" s="4428" t="e">
        <f t="shared" si="179"/>
        <v>#DIV/0!</v>
      </c>
      <c r="AF63" s="4429"/>
      <c r="AG63" s="3349"/>
      <c r="AH63" s="3349"/>
      <c r="AI63" s="3349">
        <f t="shared" si="180"/>
        <v>0</v>
      </c>
      <c r="AJ63" s="4428" t="e">
        <f t="shared" si="181"/>
        <v>#DIV/0!</v>
      </c>
      <c r="AK63" s="4429"/>
      <c r="AL63" s="3349"/>
      <c r="AM63" s="3349"/>
      <c r="AN63" s="3349">
        <f t="shared" si="182"/>
        <v>0</v>
      </c>
      <c r="AO63" s="4428" t="e">
        <f t="shared" si="183"/>
        <v>#DIV/0!</v>
      </c>
      <c r="AP63" s="4429"/>
      <c r="AQ63" s="3349"/>
      <c r="AR63" s="3349"/>
      <c r="AS63" s="3349">
        <f t="shared" si="184"/>
        <v>0</v>
      </c>
      <c r="AT63" s="4428" t="e">
        <f t="shared" si="185"/>
        <v>#DIV/0!</v>
      </c>
      <c r="AU63" s="4429"/>
      <c r="AV63" s="3349"/>
      <c r="AW63" s="3349"/>
      <c r="AX63" s="3349">
        <f t="shared" si="186"/>
        <v>0</v>
      </c>
      <c r="AY63" s="4428">
        <f t="shared" si="187"/>
        <v>0</v>
      </c>
      <c r="AZ63" s="4429"/>
      <c r="BA63" s="3349"/>
      <c r="BB63" s="3349"/>
      <c r="BC63" s="3349">
        <f t="shared" si="188"/>
        <v>0</v>
      </c>
      <c r="BD63" s="4428" t="e">
        <f t="shared" si="189"/>
        <v>#DIV/0!</v>
      </c>
      <c r="BE63" s="4429"/>
      <c r="BF63" s="3349"/>
      <c r="BG63" s="3349"/>
      <c r="BH63" s="3349">
        <f t="shared" si="190"/>
        <v>0</v>
      </c>
      <c r="BI63" s="4428" t="e">
        <f t="shared" si="191"/>
        <v>#DIV/0!</v>
      </c>
      <c r="BJ63" s="4429"/>
      <c r="BK63" s="3349"/>
      <c r="BL63" s="3349"/>
      <c r="BM63" s="3349">
        <f t="shared" si="192"/>
        <v>0</v>
      </c>
      <c r="BN63" s="4428" t="e">
        <f t="shared" si="193"/>
        <v>#DIV/0!</v>
      </c>
      <c r="BO63" s="4429"/>
      <c r="BP63" s="3349"/>
      <c r="BQ63" s="3349"/>
      <c r="BR63" s="3349">
        <f t="shared" si="194"/>
        <v>0</v>
      </c>
      <c r="BS63" s="4428" t="e">
        <f t="shared" si="195"/>
        <v>#DIV/0!</v>
      </c>
      <c r="BT63" s="4429"/>
      <c r="BU63" s="3349"/>
      <c r="BV63" s="3349"/>
      <c r="BW63" s="3349">
        <f t="shared" si="196"/>
        <v>0</v>
      </c>
      <c r="BX63" s="4428" t="e">
        <f t="shared" si="197"/>
        <v>#DIV/0!</v>
      </c>
      <c r="BY63" s="4429"/>
      <c r="BZ63" s="3349"/>
      <c r="CA63" s="3349"/>
      <c r="CB63" s="3349">
        <f t="shared" si="198"/>
        <v>0</v>
      </c>
      <c r="CC63" s="4428" t="e">
        <f t="shared" si="199"/>
        <v>#DIV/0!</v>
      </c>
      <c r="CD63" s="4429"/>
      <c r="CE63" s="3349"/>
      <c r="CF63" s="3349"/>
      <c r="CG63" s="3349">
        <f t="shared" si="200"/>
        <v>0</v>
      </c>
      <c r="CH63" s="4428" t="e">
        <f t="shared" si="201"/>
        <v>#DIV/0!</v>
      </c>
      <c r="CI63" s="4429"/>
      <c r="CJ63" s="3341">
        <f t="shared" si="202"/>
        <v>0</v>
      </c>
      <c r="CK63" s="3341">
        <f t="shared" si="202"/>
        <v>0</v>
      </c>
      <c r="CL63" s="2012">
        <f t="shared" si="203"/>
        <v>0</v>
      </c>
      <c r="CM63" s="4428">
        <f t="shared" si="168"/>
        <v>0</v>
      </c>
      <c r="CN63" s="4432"/>
      <c r="CP63" s="2012">
        <f t="shared" si="204"/>
        <v>0</v>
      </c>
      <c r="CQ63" s="2012">
        <f t="shared" si="204"/>
        <v>0</v>
      </c>
      <c r="CR63" s="4614"/>
    </row>
    <row r="64" spans="1:98" ht="13.8" outlineLevel="2">
      <c r="A64" s="1571"/>
      <c r="B64" s="4632" t="s">
        <v>63</v>
      </c>
      <c r="C64" s="3349"/>
      <c r="D64" s="3349"/>
      <c r="E64" s="3349">
        <f t="shared" si="169"/>
        <v>0</v>
      </c>
      <c r="F64" s="4428" t="e">
        <f t="shared" si="133"/>
        <v>#DIV/0!</v>
      </c>
      <c r="G64" s="4429"/>
      <c r="H64" s="3349"/>
      <c r="I64" s="3349"/>
      <c r="J64" s="3349">
        <f t="shared" si="170"/>
        <v>0</v>
      </c>
      <c r="K64" s="4428" t="e">
        <f t="shared" si="171"/>
        <v>#DIV/0!</v>
      </c>
      <c r="L64" s="4429"/>
      <c r="M64" s="3349"/>
      <c r="N64" s="3349"/>
      <c r="O64" s="3349">
        <f t="shared" si="172"/>
        <v>0</v>
      </c>
      <c r="P64" s="4428" t="e">
        <f t="shared" si="173"/>
        <v>#DIV/0!</v>
      </c>
      <c r="Q64" s="4429"/>
      <c r="R64" s="3342">
        <f t="shared" si="174"/>
        <v>0</v>
      </c>
      <c r="S64" s="3342">
        <f t="shared" si="174"/>
        <v>0</v>
      </c>
      <c r="T64" s="2012">
        <f t="shared" si="175"/>
        <v>0</v>
      </c>
      <c r="U64" s="3462"/>
      <c r="V64" s="3462"/>
      <c r="W64" s="3342">
        <f t="shared" si="176"/>
        <v>0</v>
      </c>
      <c r="X64" s="3342">
        <f t="shared" si="176"/>
        <v>0</v>
      </c>
      <c r="Y64" s="2012">
        <f t="shared" si="177"/>
        <v>0</v>
      </c>
      <c r="Z64" s="3462"/>
      <c r="AA64" s="3462"/>
      <c r="AB64" s="3349"/>
      <c r="AC64" s="3349"/>
      <c r="AD64" s="3349">
        <f t="shared" si="178"/>
        <v>0</v>
      </c>
      <c r="AE64" s="4428" t="e">
        <f t="shared" si="179"/>
        <v>#DIV/0!</v>
      </c>
      <c r="AF64" s="4429"/>
      <c r="AG64" s="3349"/>
      <c r="AH64" s="3349"/>
      <c r="AI64" s="3349">
        <f t="shared" si="180"/>
        <v>0</v>
      </c>
      <c r="AJ64" s="4428" t="e">
        <f t="shared" si="181"/>
        <v>#DIV/0!</v>
      </c>
      <c r="AK64" s="4429"/>
      <c r="AL64" s="3349"/>
      <c r="AM64" s="3349"/>
      <c r="AN64" s="3349">
        <f t="shared" si="182"/>
        <v>0</v>
      </c>
      <c r="AO64" s="4428" t="e">
        <f t="shared" si="183"/>
        <v>#DIV/0!</v>
      </c>
      <c r="AP64" s="4429"/>
      <c r="AQ64" s="3349"/>
      <c r="AR64" s="3349"/>
      <c r="AS64" s="3349">
        <f t="shared" si="184"/>
        <v>0</v>
      </c>
      <c r="AT64" s="4428" t="e">
        <f t="shared" si="185"/>
        <v>#DIV/0!</v>
      </c>
      <c r="AU64" s="4429"/>
      <c r="AV64" s="3349"/>
      <c r="AW64" s="3349"/>
      <c r="AX64" s="3349">
        <f t="shared" si="186"/>
        <v>0</v>
      </c>
      <c r="AY64" s="4428">
        <f t="shared" si="187"/>
        <v>0</v>
      </c>
      <c r="AZ64" s="4429"/>
      <c r="BA64" s="3349"/>
      <c r="BB64" s="3349"/>
      <c r="BC64" s="3349">
        <f t="shared" si="188"/>
        <v>0</v>
      </c>
      <c r="BD64" s="4428" t="e">
        <f t="shared" si="189"/>
        <v>#DIV/0!</v>
      </c>
      <c r="BE64" s="4429"/>
      <c r="BF64" s="3349"/>
      <c r="BG64" s="3349"/>
      <c r="BH64" s="3349">
        <f t="shared" si="190"/>
        <v>0</v>
      </c>
      <c r="BI64" s="4428" t="e">
        <f t="shared" si="191"/>
        <v>#DIV/0!</v>
      </c>
      <c r="BJ64" s="4429"/>
      <c r="BK64" s="3349"/>
      <c r="BL64" s="3349"/>
      <c r="BM64" s="3349">
        <f t="shared" si="192"/>
        <v>0</v>
      </c>
      <c r="BN64" s="4428" t="e">
        <f t="shared" si="193"/>
        <v>#DIV/0!</v>
      </c>
      <c r="BO64" s="4429"/>
      <c r="BP64" s="3349"/>
      <c r="BQ64" s="3349"/>
      <c r="BR64" s="3349">
        <f t="shared" si="194"/>
        <v>0</v>
      </c>
      <c r="BS64" s="4428" t="e">
        <f t="shared" si="195"/>
        <v>#DIV/0!</v>
      </c>
      <c r="BT64" s="4429"/>
      <c r="BU64" s="3349"/>
      <c r="BV64" s="3349"/>
      <c r="BW64" s="3349">
        <f t="shared" si="196"/>
        <v>0</v>
      </c>
      <c r="BX64" s="4428" t="e">
        <f t="shared" si="197"/>
        <v>#DIV/0!</v>
      </c>
      <c r="BY64" s="4429"/>
      <c r="BZ64" s="3349"/>
      <c r="CA64" s="3349"/>
      <c r="CB64" s="3349">
        <f t="shared" si="198"/>
        <v>0</v>
      </c>
      <c r="CC64" s="4428" t="e">
        <f t="shared" si="199"/>
        <v>#DIV/0!</v>
      </c>
      <c r="CD64" s="4429"/>
      <c r="CE64" s="3349"/>
      <c r="CF64" s="3349"/>
      <c r="CG64" s="3349">
        <f t="shared" si="200"/>
        <v>0</v>
      </c>
      <c r="CH64" s="4428" t="e">
        <f t="shared" si="201"/>
        <v>#DIV/0!</v>
      </c>
      <c r="CI64" s="4429"/>
      <c r="CJ64" s="3341">
        <f t="shared" si="202"/>
        <v>0</v>
      </c>
      <c r="CK64" s="3341">
        <f t="shared" si="202"/>
        <v>0</v>
      </c>
      <c r="CL64" s="2012">
        <f t="shared" si="203"/>
        <v>0</v>
      </c>
      <c r="CM64" s="4428">
        <f t="shared" si="168"/>
        <v>0</v>
      </c>
      <c r="CN64" s="4432"/>
      <c r="CP64" s="2012">
        <f t="shared" si="204"/>
        <v>0</v>
      </c>
      <c r="CQ64" s="2012">
        <f t="shared" si="204"/>
        <v>0</v>
      </c>
      <c r="CR64" s="4614"/>
    </row>
    <row r="65" spans="1:98" ht="13.8" outlineLevel="2">
      <c r="A65" s="1571"/>
      <c r="B65" s="4632" t="s">
        <v>36</v>
      </c>
      <c r="C65" s="3341"/>
      <c r="D65" s="3341"/>
      <c r="E65" s="3349">
        <f t="shared" si="169"/>
        <v>0</v>
      </c>
      <c r="F65" s="4428" t="e">
        <f t="shared" si="133"/>
        <v>#DIV/0!</v>
      </c>
      <c r="G65" s="4429"/>
      <c r="H65" s="3341"/>
      <c r="I65" s="3341"/>
      <c r="J65" s="3349">
        <f t="shared" si="170"/>
        <v>0</v>
      </c>
      <c r="K65" s="4428" t="e">
        <f t="shared" si="171"/>
        <v>#DIV/0!</v>
      </c>
      <c r="L65" s="4429"/>
      <c r="M65" s="3341"/>
      <c r="N65" s="3341"/>
      <c r="O65" s="3349">
        <f t="shared" si="172"/>
        <v>0</v>
      </c>
      <c r="P65" s="4428" t="e">
        <f t="shared" si="173"/>
        <v>#DIV/0!</v>
      </c>
      <c r="Q65" s="4429"/>
      <c r="R65" s="3342">
        <f t="shared" si="174"/>
        <v>0</v>
      </c>
      <c r="S65" s="3342">
        <f t="shared" si="174"/>
        <v>0</v>
      </c>
      <c r="T65" s="2012">
        <f t="shared" si="175"/>
        <v>0</v>
      </c>
      <c r="U65" s="3462"/>
      <c r="V65" s="3462"/>
      <c r="W65" s="3342">
        <f t="shared" si="176"/>
        <v>0</v>
      </c>
      <c r="X65" s="3342">
        <f t="shared" si="176"/>
        <v>0</v>
      </c>
      <c r="Y65" s="2012">
        <f t="shared" si="177"/>
        <v>0</v>
      </c>
      <c r="Z65" s="3462"/>
      <c r="AA65" s="3462"/>
      <c r="AB65" s="3341"/>
      <c r="AC65" s="3341"/>
      <c r="AD65" s="3349">
        <f t="shared" si="178"/>
        <v>0</v>
      </c>
      <c r="AE65" s="4428" t="e">
        <f t="shared" si="179"/>
        <v>#DIV/0!</v>
      </c>
      <c r="AF65" s="4429"/>
      <c r="AG65" s="3341"/>
      <c r="AH65" s="3341"/>
      <c r="AI65" s="3349">
        <f t="shared" si="180"/>
        <v>0</v>
      </c>
      <c r="AJ65" s="4428" t="e">
        <f t="shared" si="181"/>
        <v>#DIV/0!</v>
      </c>
      <c r="AK65" s="4429"/>
      <c r="AL65" s="3341"/>
      <c r="AM65" s="3341"/>
      <c r="AN65" s="3349">
        <f t="shared" si="182"/>
        <v>0</v>
      </c>
      <c r="AO65" s="4428" t="e">
        <f t="shared" si="183"/>
        <v>#DIV/0!</v>
      </c>
      <c r="AP65" s="4429"/>
      <c r="AQ65" s="3341"/>
      <c r="AR65" s="3341"/>
      <c r="AS65" s="3349">
        <f t="shared" si="184"/>
        <v>0</v>
      </c>
      <c r="AT65" s="4428" t="e">
        <f t="shared" si="185"/>
        <v>#DIV/0!</v>
      </c>
      <c r="AU65" s="4429"/>
      <c r="AV65" s="3341"/>
      <c r="AW65" s="3341"/>
      <c r="AX65" s="3349">
        <f t="shared" si="186"/>
        <v>0</v>
      </c>
      <c r="AY65" s="4428">
        <f t="shared" si="187"/>
        <v>0</v>
      </c>
      <c r="AZ65" s="4429"/>
      <c r="BA65" s="3341"/>
      <c r="BB65" s="3341"/>
      <c r="BC65" s="3349">
        <f t="shared" si="188"/>
        <v>0</v>
      </c>
      <c r="BD65" s="4428" t="e">
        <f t="shared" si="189"/>
        <v>#DIV/0!</v>
      </c>
      <c r="BE65" s="4429"/>
      <c r="BF65" s="3341"/>
      <c r="BG65" s="3341"/>
      <c r="BH65" s="3349">
        <f t="shared" si="190"/>
        <v>0</v>
      </c>
      <c r="BI65" s="4428" t="e">
        <f t="shared" si="191"/>
        <v>#DIV/0!</v>
      </c>
      <c r="BJ65" s="4429"/>
      <c r="BK65" s="3341"/>
      <c r="BL65" s="3341"/>
      <c r="BM65" s="3349">
        <f t="shared" si="192"/>
        <v>0</v>
      </c>
      <c r="BN65" s="4428" t="e">
        <f t="shared" si="193"/>
        <v>#DIV/0!</v>
      </c>
      <c r="BO65" s="4429"/>
      <c r="BP65" s="3341"/>
      <c r="BQ65" s="3341"/>
      <c r="BR65" s="3349">
        <f t="shared" si="194"/>
        <v>0</v>
      </c>
      <c r="BS65" s="4428" t="e">
        <f t="shared" si="195"/>
        <v>#DIV/0!</v>
      </c>
      <c r="BT65" s="4429"/>
      <c r="BU65" s="3341"/>
      <c r="BV65" s="3341"/>
      <c r="BW65" s="3349">
        <f t="shared" si="196"/>
        <v>0</v>
      </c>
      <c r="BX65" s="4428" t="e">
        <f t="shared" si="197"/>
        <v>#DIV/0!</v>
      </c>
      <c r="BY65" s="4429"/>
      <c r="BZ65" s="3341"/>
      <c r="CA65" s="3341"/>
      <c r="CB65" s="3349">
        <f t="shared" si="198"/>
        <v>0</v>
      </c>
      <c r="CC65" s="4428" t="e">
        <f t="shared" si="199"/>
        <v>#DIV/0!</v>
      </c>
      <c r="CD65" s="4429"/>
      <c r="CE65" s="3341"/>
      <c r="CF65" s="3341"/>
      <c r="CG65" s="3349">
        <f t="shared" si="200"/>
        <v>0</v>
      </c>
      <c r="CH65" s="4428" t="e">
        <f t="shared" si="201"/>
        <v>#DIV/0!</v>
      </c>
      <c r="CI65" s="4429"/>
      <c r="CJ65" s="3341">
        <f t="shared" si="202"/>
        <v>0</v>
      </c>
      <c r="CK65" s="3341">
        <f t="shared" si="202"/>
        <v>0</v>
      </c>
      <c r="CL65" s="2012">
        <f t="shared" si="203"/>
        <v>0</v>
      </c>
      <c r="CM65" s="4428">
        <f t="shared" si="168"/>
        <v>0</v>
      </c>
      <c r="CN65" s="4432"/>
      <c r="CP65" s="2012">
        <f t="shared" si="204"/>
        <v>0</v>
      </c>
      <c r="CQ65" s="2012">
        <f t="shared" si="204"/>
        <v>0</v>
      </c>
      <c r="CR65" s="4614"/>
    </row>
    <row r="66" spans="1:98" s="1396" customFormat="1" ht="13.8" outlineLevel="2">
      <c r="A66" s="1571"/>
      <c r="B66" s="4632" t="s">
        <v>37</v>
      </c>
      <c r="C66" s="3341"/>
      <c r="D66" s="3341"/>
      <c r="E66" s="3349">
        <f t="shared" si="169"/>
        <v>0</v>
      </c>
      <c r="F66" s="4428" t="e">
        <f t="shared" si="133"/>
        <v>#DIV/0!</v>
      </c>
      <c r="G66" s="4429"/>
      <c r="H66" s="3341"/>
      <c r="I66" s="3341"/>
      <c r="J66" s="3349">
        <f t="shared" si="170"/>
        <v>0</v>
      </c>
      <c r="K66" s="4428" t="e">
        <f t="shared" si="171"/>
        <v>#DIV/0!</v>
      </c>
      <c r="L66" s="4429"/>
      <c r="M66" s="3341"/>
      <c r="N66" s="3341"/>
      <c r="O66" s="3349">
        <f t="shared" si="172"/>
        <v>0</v>
      </c>
      <c r="P66" s="4428" t="e">
        <f t="shared" si="173"/>
        <v>#DIV/0!</v>
      </c>
      <c r="Q66" s="4429"/>
      <c r="R66" s="3342">
        <f t="shared" si="174"/>
        <v>0</v>
      </c>
      <c r="S66" s="3342">
        <f t="shared" si="174"/>
        <v>0</v>
      </c>
      <c r="T66" s="2012">
        <f t="shared" si="175"/>
        <v>0</v>
      </c>
      <c r="U66" s="3462"/>
      <c r="V66" s="3462"/>
      <c r="W66" s="3342">
        <f t="shared" si="176"/>
        <v>0</v>
      </c>
      <c r="X66" s="3342">
        <f t="shared" si="176"/>
        <v>0</v>
      </c>
      <c r="Y66" s="2012">
        <f t="shared" si="177"/>
        <v>0</v>
      </c>
      <c r="Z66" s="3462"/>
      <c r="AA66" s="3462"/>
      <c r="AB66" s="3341"/>
      <c r="AC66" s="3341"/>
      <c r="AD66" s="3349">
        <f t="shared" si="178"/>
        <v>0</v>
      </c>
      <c r="AE66" s="4428" t="e">
        <f t="shared" si="179"/>
        <v>#DIV/0!</v>
      </c>
      <c r="AF66" s="4429"/>
      <c r="AG66" s="3341"/>
      <c r="AH66" s="3341"/>
      <c r="AI66" s="3349">
        <f t="shared" si="180"/>
        <v>0</v>
      </c>
      <c r="AJ66" s="4428" t="e">
        <f t="shared" si="181"/>
        <v>#DIV/0!</v>
      </c>
      <c r="AK66" s="4429"/>
      <c r="AL66" s="3341"/>
      <c r="AM66" s="3341"/>
      <c r="AN66" s="3349">
        <f t="shared" si="182"/>
        <v>0</v>
      </c>
      <c r="AO66" s="4428" t="e">
        <f t="shared" si="183"/>
        <v>#DIV/0!</v>
      </c>
      <c r="AP66" s="4429"/>
      <c r="AQ66" s="3341"/>
      <c r="AR66" s="3341"/>
      <c r="AS66" s="3349">
        <f t="shared" si="184"/>
        <v>0</v>
      </c>
      <c r="AT66" s="4428" t="e">
        <f t="shared" si="185"/>
        <v>#DIV/0!</v>
      </c>
      <c r="AU66" s="4429"/>
      <c r="AV66" s="3341"/>
      <c r="AW66" s="3341"/>
      <c r="AX66" s="3349">
        <f t="shared" si="186"/>
        <v>0</v>
      </c>
      <c r="AY66" s="4428">
        <f t="shared" si="187"/>
        <v>0</v>
      </c>
      <c r="AZ66" s="4429"/>
      <c r="BA66" s="3341"/>
      <c r="BB66" s="3341"/>
      <c r="BC66" s="3349">
        <f t="shared" si="188"/>
        <v>0</v>
      </c>
      <c r="BD66" s="4428" t="e">
        <f t="shared" si="189"/>
        <v>#DIV/0!</v>
      </c>
      <c r="BE66" s="4429"/>
      <c r="BF66" s="3341"/>
      <c r="BG66" s="3341"/>
      <c r="BH66" s="3349">
        <f t="shared" si="190"/>
        <v>0</v>
      </c>
      <c r="BI66" s="4428" t="e">
        <f t="shared" si="191"/>
        <v>#DIV/0!</v>
      </c>
      <c r="BJ66" s="4429"/>
      <c r="BK66" s="3341"/>
      <c r="BL66" s="3341"/>
      <c r="BM66" s="3349">
        <f t="shared" si="192"/>
        <v>0</v>
      </c>
      <c r="BN66" s="4428" t="e">
        <f t="shared" si="193"/>
        <v>#DIV/0!</v>
      </c>
      <c r="BO66" s="4429"/>
      <c r="BP66" s="3341"/>
      <c r="BQ66" s="3341"/>
      <c r="BR66" s="3349">
        <f t="shared" si="194"/>
        <v>0</v>
      </c>
      <c r="BS66" s="4428" t="e">
        <f t="shared" si="195"/>
        <v>#DIV/0!</v>
      </c>
      <c r="BT66" s="4429"/>
      <c r="BU66" s="3341"/>
      <c r="BV66" s="3341"/>
      <c r="BW66" s="3349">
        <f t="shared" si="196"/>
        <v>0</v>
      </c>
      <c r="BX66" s="4428" t="e">
        <f t="shared" si="197"/>
        <v>#DIV/0!</v>
      </c>
      <c r="BY66" s="4429"/>
      <c r="BZ66" s="3341"/>
      <c r="CA66" s="3341"/>
      <c r="CB66" s="3349">
        <f t="shared" si="198"/>
        <v>0</v>
      </c>
      <c r="CC66" s="4428" t="e">
        <f t="shared" si="199"/>
        <v>#DIV/0!</v>
      </c>
      <c r="CD66" s="4429"/>
      <c r="CE66" s="3341"/>
      <c r="CF66" s="3341"/>
      <c r="CG66" s="3349">
        <f t="shared" si="200"/>
        <v>0</v>
      </c>
      <c r="CH66" s="4428" t="e">
        <f t="shared" si="201"/>
        <v>#DIV/0!</v>
      </c>
      <c r="CI66" s="4429"/>
      <c r="CJ66" s="3341">
        <f t="shared" si="202"/>
        <v>0</v>
      </c>
      <c r="CK66" s="3341">
        <f t="shared" si="202"/>
        <v>0</v>
      </c>
      <c r="CL66" s="2012">
        <f t="shared" si="203"/>
        <v>0</v>
      </c>
      <c r="CM66" s="4428">
        <f t="shared" si="168"/>
        <v>0</v>
      </c>
      <c r="CN66" s="4432"/>
      <c r="CP66" s="2012">
        <f t="shared" si="204"/>
        <v>0</v>
      </c>
      <c r="CQ66" s="2012">
        <f t="shared" si="204"/>
        <v>0</v>
      </c>
      <c r="CR66" s="4614"/>
      <c r="CT66" s="2624"/>
    </row>
    <row r="67" spans="1:98" s="1396" customFormat="1" ht="13.8" outlineLevel="2">
      <c r="A67" s="1571"/>
      <c r="B67" s="4632" t="s">
        <v>3</v>
      </c>
      <c r="C67" s="3341"/>
      <c r="D67" s="3341"/>
      <c r="E67" s="3349">
        <f t="shared" si="169"/>
        <v>0</v>
      </c>
      <c r="F67" s="4428" t="e">
        <f t="shared" si="133"/>
        <v>#DIV/0!</v>
      </c>
      <c r="G67" s="4429"/>
      <c r="H67" s="3341"/>
      <c r="I67" s="3341"/>
      <c r="J67" s="3349">
        <f t="shared" si="170"/>
        <v>0</v>
      </c>
      <c r="K67" s="4428" t="e">
        <f t="shared" si="171"/>
        <v>#DIV/0!</v>
      </c>
      <c r="L67" s="4429"/>
      <c r="M67" s="3341"/>
      <c r="N67" s="3341"/>
      <c r="O67" s="3349">
        <f t="shared" si="172"/>
        <v>0</v>
      </c>
      <c r="P67" s="4428" t="e">
        <f t="shared" si="173"/>
        <v>#DIV/0!</v>
      </c>
      <c r="Q67" s="4429"/>
      <c r="R67" s="3342">
        <f t="shared" si="174"/>
        <v>0</v>
      </c>
      <c r="S67" s="3342">
        <f t="shared" si="174"/>
        <v>0</v>
      </c>
      <c r="T67" s="2012">
        <f t="shared" si="175"/>
        <v>0</v>
      </c>
      <c r="U67" s="3462"/>
      <c r="V67" s="3462"/>
      <c r="W67" s="3342">
        <f t="shared" si="176"/>
        <v>0</v>
      </c>
      <c r="X67" s="3342">
        <f t="shared" si="176"/>
        <v>0</v>
      </c>
      <c r="Y67" s="2012">
        <f t="shared" si="177"/>
        <v>0</v>
      </c>
      <c r="Z67" s="3462"/>
      <c r="AA67" s="3462"/>
      <c r="AB67" s="3341"/>
      <c r="AC67" s="3341"/>
      <c r="AD67" s="3349">
        <f t="shared" si="178"/>
        <v>0</v>
      </c>
      <c r="AE67" s="4428" t="e">
        <f t="shared" si="179"/>
        <v>#DIV/0!</v>
      </c>
      <c r="AF67" s="4429"/>
      <c r="AG67" s="3341"/>
      <c r="AH67" s="3341"/>
      <c r="AI67" s="3349">
        <f t="shared" si="180"/>
        <v>0</v>
      </c>
      <c r="AJ67" s="4428" t="e">
        <f t="shared" si="181"/>
        <v>#DIV/0!</v>
      </c>
      <c r="AK67" s="4429"/>
      <c r="AL67" s="3341"/>
      <c r="AM67" s="3341"/>
      <c r="AN67" s="3349">
        <f t="shared" si="182"/>
        <v>0</v>
      </c>
      <c r="AO67" s="4428" t="e">
        <f t="shared" si="183"/>
        <v>#DIV/0!</v>
      </c>
      <c r="AP67" s="4429"/>
      <c r="AQ67" s="3341"/>
      <c r="AR67" s="3341"/>
      <c r="AS67" s="3349">
        <f t="shared" si="184"/>
        <v>0</v>
      </c>
      <c r="AT67" s="4428" t="e">
        <f t="shared" si="185"/>
        <v>#DIV/0!</v>
      </c>
      <c r="AU67" s="4429"/>
      <c r="AV67" s="3341"/>
      <c r="AW67" s="3341"/>
      <c r="AX67" s="3349">
        <f t="shared" si="186"/>
        <v>0</v>
      </c>
      <c r="AY67" s="4428">
        <f t="shared" si="187"/>
        <v>0</v>
      </c>
      <c r="AZ67" s="4429"/>
      <c r="BA67" s="3341"/>
      <c r="BB67" s="3341"/>
      <c r="BC67" s="3349">
        <f t="shared" si="188"/>
        <v>0</v>
      </c>
      <c r="BD67" s="4428" t="e">
        <f t="shared" si="189"/>
        <v>#DIV/0!</v>
      </c>
      <c r="BE67" s="4429"/>
      <c r="BF67" s="3341"/>
      <c r="BG67" s="3341"/>
      <c r="BH67" s="3349">
        <f t="shared" si="190"/>
        <v>0</v>
      </c>
      <c r="BI67" s="4428" t="e">
        <f t="shared" si="191"/>
        <v>#DIV/0!</v>
      </c>
      <c r="BJ67" s="4429"/>
      <c r="BK67" s="3341"/>
      <c r="BL67" s="3341"/>
      <c r="BM67" s="3349">
        <f t="shared" si="192"/>
        <v>0</v>
      </c>
      <c r="BN67" s="4428" t="e">
        <f t="shared" si="193"/>
        <v>#DIV/0!</v>
      </c>
      <c r="BO67" s="4429"/>
      <c r="BP67" s="3341"/>
      <c r="BQ67" s="3341"/>
      <c r="BR67" s="3349">
        <f t="shared" si="194"/>
        <v>0</v>
      </c>
      <c r="BS67" s="4428" t="e">
        <f t="shared" si="195"/>
        <v>#DIV/0!</v>
      </c>
      <c r="BT67" s="4429"/>
      <c r="BU67" s="3341"/>
      <c r="BV67" s="3341"/>
      <c r="BW67" s="3349">
        <f t="shared" si="196"/>
        <v>0</v>
      </c>
      <c r="BX67" s="4428" t="e">
        <f t="shared" si="197"/>
        <v>#DIV/0!</v>
      </c>
      <c r="BY67" s="4429"/>
      <c r="BZ67" s="3341"/>
      <c r="CA67" s="3341"/>
      <c r="CB67" s="3349">
        <f t="shared" si="198"/>
        <v>0</v>
      </c>
      <c r="CC67" s="4428" t="e">
        <f t="shared" si="199"/>
        <v>#DIV/0!</v>
      </c>
      <c r="CD67" s="4429"/>
      <c r="CE67" s="3341"/>
      <c r="CF67" s="3341"/>
      <c r="CG67" s="3349">
        <f t="shared" si="200"/>
        <v>0</v>
      </c>
      <c r="CH67" s="4428" t="e">
        <f t="shared" si="201"/>
        <v>#DIV/0!</v>
      </c>
      <c r="CI67" s="4429"/>
      <c r="CJ67" s="3341">
        <f t="shared" si="202"/>
        <v>0</v>
      </c>
      <c r="CK67" s="3341">
        <f t="shared" si="202"/>
        <v>0</v>
      </c>
      <c r="CL67" s="2012">
        <f t="shared" si="203"/>
        <v>0</v>
      </c>
      <c r="CM67" s="4428">
        <f t="shared" si="168"/>
        <v>0</v>
      </c>
      <c r="CN67" s="4432"/>
      <c r="CP67" s="2012">
        <f t="shared" si="204"/>
        <v>0</v>
      </c>
      <c r="CQ67" s="2012">
        <f t="shared" si="204"/>
        <v>0</v>
      </c>
      <c r="CR67" s="4614"/>
      <c r="CT67" s="2624"/>
    </row>
    <row r="68" spans="1:98" s="1396" customFormat="1" ht="13.8" outlineLevel="2">
      <c r="A68" s="1571"/>
      <c r="B68" s="4632" t="s">
        <v>5</v>
      </c>
      <c r="C68" s="3341"/>
      <c r="D68" s="3341"/>
      <c r="E68" s="3349">
        <f t="shared" si="169"/>
        <v>0</v>
      </c>
      <c r="F68" s="4428" t="e">
        <f t="shared" si="133"/>
        <v>#DIV/0!</v>
      </c>
      <c r="G68" s="3341"/>
      <c r="H68" s="3341"/>
      <c r="I68" s="3341"/>
      <c r="J68" s="3349">
        <f t="shared" si="170"/>
        <v>0</v>
      </c>
      <c r="K68" s="4428" t="e">
        <f t="shared" si="171"/>
        <v>#DIV/0!</v>
      </c>
      <c r="L68" s="3341"/>
      <c r="M68" s="3341"/>
      <c r="N68" s="3341"/>
      <c r="O68" s="3349">
        <f t="shared" si="172"/>
        <v>0</v>
      </c>
      <c r="P68" s="4428" t="e">
        <f t="shared" si="173"/>
        <v>#DIV/0!</v>
      </c>
      <c r="Q68" s="3341"/>
      <c r="R68" s="3342">
        <f t="shared" si="174"/>
        <v>0</v>
      </c>
      <c r="S68" s="3342">
        <f t="shared" si="174"/>
        <v>0</v>
      </c>
      <c r="T68" s="2012">
        <f t="shared" si="175"/>
        <v>0</v>
      </c>
      <c r="U68" s="3341"/>
      <c r="V68" s="3341"/>
      <c r="W68" s="3342">
        <f t="shared" si="176"/>
        <v>0</v>
      </c>
      <c r="X68" s="3342">
        <f t="shared" si="176"/>
        <v>0</v>
      </c>
      <c r="Y68" s="2012">
        <f t="shared" si="177"/>
        <v>0</v>
      </c>
      <c r="Z68" s="3341"/>
      <c r="AA68" s="3341"/>
      <c r="AB68" s="3341"/>
      <c r="AC68" s="3341"/>
      <c r="AD68" s="3349">
        <f t="shared" si="178"/>
        <v>0</v>
      </c>
      <c r="AE68" s="4428" t="e">
        <f t="shared" si="179"/>
        <v>#DIV/0!</v>
      </c>
      <c r="AF68" s="3341"/>
      <c r="AG68" s="3341"/>
      <c r="AH68" s="3341"/>
      <c r="AI68" s="3349">
        <f t="shared" si="180"/>
        <v>0</v>
      </c>
      <c r="AJ68" s="4428" t="e">
        <f t="shared" si="181"/>
        <v>#DIV/0!</v>
      </c>
      <c r="AK68" s="3341"/>
      <c r="AL68" s="3341"/>
      <c r="AM68" s="3341"/>
      <c r="AN68" s="3349">
        <f t="shared" si="182"/>
        <v>0</v>
      </c>
      <c r="AO68" s="4428" t="e">
        <f t="shared" si="183"/>
        <v>#DIV/0!</v>
      </c>
      <c r="AP68" s="3341"/>
      <c r="AQ68" s="3341"/>
      <c r="AR68" s="3341"/>
      <c r="AS68" s="3349">
        <f t="shared" si="184"/>
        <v>0</v>
      </c>
      <c r="AT68" s="4428" t="e">
        <f t="shared" si="185"/>
        <v>#DIV/0!</v>
      </c>
      <c r="AU68" s="3341"/>
      <c r="AV68" s="3341"/>
      <c r="AW68" s="3341"/>
      <c r="AX68" s="3349">
        <f t="shared" si="186"/>
        <v>0</v>
      </c>
      <c r="AY68" s="4428">
        <f t="shared" si="187"/>
        <v>0</v>
      </c>
      <c r="AZ68" s="3341"/>
      <c r="BA68" s="3341"/>
      <c r="BB68" s="3341"/>
      <c r="BC68" s="3349">
        <f t="shared" si="188"/>
        <v>0</v>
      </c>
      <c r="BD68" s="4428" t="e">
        <f t="shared" si="189"/>
        <v>#DIV/0!</v>
      </c>
      <c r="BE68" s="3341"/>
      <c r="BF68" s="3341"/>
      <c r="BG68" s="3341"/>
      <c r="BH68" s="3349">
        <f t="shared" si="190"/>
        <v>0</v>
      </c>
      <c r="BI68" s="4428" t="e">
        <f t="shared" si="191"/>
        <v>#DIV/0!</v>
      </c>
      <c r="BJ68" s="3341"/>
      <c r="BK68" s="3341"/>
      <c r="BL68" s="3341"/>
      <c r="BM68" s="3349">
        <f t="shared" si="192"/>
        <v>0</v>
      </c>
      <c r="BN68" s="4428" t="e">
        <f t="shared" si="193"/>
        <v>#DIV/0!</v>
      </c>
      <c r="BO68" s="3341"/>
      <c r="BP68" s="3341"/>
      <c r="BQ68" s="3341"/>
      <c r="BR68" s="3349">
        <f t="shared" si="194"/>
        <v>0</v>
      </c>
      <c r="BS68" s="4428" t="e">
        <f t="shared" si="195"/>
        <v>#DIV/0!</v>
      </c>
      <c r="BT68" s="3341"/>
      <c r="BU68" s="3341"/>
      <c r="BV68" s="3341"/>
      <c r="BW68" s="3349">
        <f t="shared" si="196"/>
        <v>0</v>
      </c>
      <c r="BX68" s="4428" t="e">
        <f t="shared" si="197"/>
        <v>#DIV/0!</v>
      </c>
      <c r="BY68" s="3341"/>
      <c r="BZ68" s="3341"/>
      <c r="CA68" s="3341"/>
      <c r="CB68" s="3349">
        <f t="shared" si="198"/>
        <v>0</v>
      </c>
      <c r="CC68" s="4428" t="e">
        <f t="shared" si="199"/>
        <v>#DIV/0!</v>
      </c>
      <c r="CD68" s="3341"/>
      <c r="CE68" s="3341"/>
      <c r="CF68" s="3341"/>
      <c r="CG68" s="3349">
        <f t="shared" si="200"/>
        <v>0</v>
      </c>
      <c r="CH68" s="4428" t="e">
        <f t="shared" si="201"/>
        <v>#DIV/0!</v>
      </c>
      <c r="CI68" s="3341"/>
      <c r="CJ68" s="3341">
        <f t="shared" si="202"/>
        <v>0</v>
      </c>
      <c r="CK68" s="3341">
        <f t="shared" si="202"/>
        <v>0</v>
      </c>
      <c r="CL68" s="2012">
        <f t="shared" si="203"/>
        <v>0</v>
      </c>
      <c r="CM68" s="4428">
        <f t="shared" si="168"/>
        <v>0</v>
      </c>
      <c r="CN68" s="4432"/>
      <c r="CP68" s="2012">
        <f t="shared" si="204"/>
        <v>0</v>
      </c>
      <c r="CQ68" s="2012">
        <f t="shared" si="204"/>
        <v>0</v>
      </c>
      <c r="CR68" s="4614"/>
      <c r="CT68" s="2624"/>
    </row>
    <row r="69" spans="1:98" s="1396" customFormat="1" ht="13.8" outlineLevel="2">
      <c r="A69" s="1571"/>
      <c r="B69" s="4632" t="s">
        <v>42</v>
      </c>
      <c r="C69" s="3341"/>
      <c r="D69" s="3341"/>
      <c r="E69" s="3349">
        <f t="shared" si="169"/>
        <v>0</v>
      </c>
      <c r="F69" s="4428" t="e">
        <f t="shared" si="133"/>
        <v>#DIV/0!</v>
      </c>
      <c r="G69" s="4429"/>
      <c r="H69" s="3341"/>
      <c r="I69" s="3341"/>
      <c r="J69" s="3349">
        <f t="shared" si="170"/>
        <v>0</v>
      </c>
      <c r="K69" s="4428" t="e">
        <f t="shared" si="171"/>
        <v>#DIV/0!</v>
      </c>
      <c r="L69" s="4429"/>
      <c r="M69" s="3341"/>
      <c r="N69" s="3341"/>
      <c r="O69" s="3349">
        <f t="shared" si="172"/>
        <v>0</v>
      </c>
      <c r="P69" s="4428" t="e">
        <f t="shared" si="173"/>
        <v>#DIV/0!</v>
      </c>
      <c r="Q69" s="4429"/>
      <c r="R69" s="3342">
        <f t="shared" si="174"/>
        <v>0</v>
      </c>
      <c r="S69" s="3342">
        <f t="shared" si="174"/>
        <v>0</v>
      </c>
      <c r="T69" s="2012">
        <f t="shared" si="175"/>
        <v>0</v>
      </c>
      <c r="U69" s="3462"/>
      <c r="V69" s="3462"/>
      <c r="W69" s="3342">
        <f t="shared" si="176"/>
        <v>0</v>
      </c>
      <c r="X69" s="3342">
        <f t="shared" si="176"/>
        <v>0</v>
      </c>
      <c r="Y69" s="2012">
        <f t="shared" si="177"/>
        <v>0</v>
      </c>
      <c r="Z69" s="3462"/>
      <c r="AA69" s="3462"/>
      <c r="AB69" s="3341"/>
      <c r="AC69" s="3341"/>
      <c r="AD69" s="3349">
        <f t="shared" si="178"/>
        <v>0</v>
      </c>
      <c r="AE69" s="4428" t="e">
        <f t="shared" si="179"/>
        <v>#DIV/0!</v>
      </c>
      <c r="AF69" s="4429"/>
      <c r="AG69" s="3341"/>
      <c r="AH69" s="3341"/>
      <c r="AI69" s="3349">
        <f t="shared" si="180"/>
        <v>0</v>
      </c>
      <c r="AJ69" s="4428" t="e">
        <f t="shared" si="181"/>
        <v>#DIV/0!</v>
      </c>
      <c r="AK69" s="4429"/>
      <c r="AL69" s="3341"/>
      <c r="AM69" s="3341"/>
      <c r="AN69" s="3349">
        <f t="shared" si="182"/>
        <v>0</v>
      </c>
      <c r="AO69" s="4428" t="e">
        <f t="shared" si="183"/>
        <v>#DIV/0!</v>
      </c>
      <c r="AP69" s="4429"/>
      <c r="AQ69" s="3341"/>
      <c r="AR69" s="3341"/>
      <c r="AS69" s="3349">
        <f t="shared" si="184"/>
        <v>0</v>
      </c>
      <c r="AT69" s="4428" t="e">
        <f t="shared" si="185"/>
        <v>#DIV/0!</v>
      </c>
      <c r="AU69" s="4429"/>
      <c r="AV69" s="3341"/>
      <c r="AW69" s="3341"/>
      <c r="AX69" s="3349">
        <f t="shared" si="186"/>
        <v>0</v>
      </c>
      <c r="AY69" s="4428">
        <f t="shared" si="187"/>
        <v>0</v>
      </c>
      <c r="AZ69" s="4429"/>
      <c r="BA69" s="3341"/>
      <c r="BB69" s="3341"/>
      <c r="BC69" s="3349">
        <f t="shared" si="188"/>
        <v>0</v>
      </c>
      <c r="BD69" s="4428" t="e">
        <f t="shared" si="189"/>
        <v>#DIV/0!</v>
      </c>
      <c r="BE69" s="4429"/>
      <c r="BF69" s="3341"/>
      <c r="BG69" s="3341"/>
      <c r="BH69" s="3349">
        <f t="shared" si="190"/>
        <v>0</v>
      </c>
      <c r="BI69" s="4428" t="e">
        <f t="shared" si="191"/>
        <v>#DIV/0!</v>
      </c>
      <c r="BJ69" s="4429"/>
      <c r="BK69" s="3341"/>
      <c r="BL69" s="3341"/>
      <c r="BM69" s="3349">
        <f t="shared" si="192"/>
        <v>0</v>
      </c>
      <c r="BN69" s="4428" t="e">
        <f t="shared" si="193"/>
        <v>#DIV/0!</v>
      </c>
      <c r="BO69" s="4429"/>
      <c r="BP69" s="3341"/>
      <c r="BQ69" s="3341"/>
      <c r="BR69" s="3349">
        <f t="shared" si="194"/>
        <v>0</v>
      </c>
      <c r="BS69" s="4428" t="e">
        <f t="shared" si="195"/>
        <v>#DIV/0!</v>
      </c>
      <c r="BT69" s="4429"/>
      <c r="BU69" s="3341"/>
      <c r="BV69" s="3341"/>
      <c r="BW69" s="3349">
        <f t="shared" si="196"/>
        <v>0</v>
      </c>
      <c r="BX69" s="4428" t="e">
        <f t="shared" si="197"/>
        <v>#DIV/0!</v>
      </c>
      <c r="BY69" s="4429"/>
      <c r="BZ69" s="3341"/>
      <c r="CA69" s="3341"/>
      <c r="CB69" s="3349">
        <f t="shared" si="198"/>
        <v>0</v>
      </c>
      <c r="CC69" s="4428" t="e">
        <f t="shared" si="199"/>
        <v>#DIV/0!</v>
      </c>
      <c r="CD69" s="4429"/>
      <c r="CE69" s="3341"/>
      <c r="CF69" s="3341"/>
      <c r="CG69" s="3349">
        <f t="shared" si="200"/>
        <v>0</v>
      </c>
      <c r="CH69" s="4428" t="e">
        <f t="shared" si="201"/>
        <v>#DIV/0!</v>
      </c>
      <c r="CI69" s="4429"/>
      <c r="CJ69" s="3341">
        <f t="shared" si="202"/>
        <v>0</v>
      </c>
      <c r="CK69" s="3341">
        <f t="shared" si="202"/>
        <v>0</v>
      </c>
      <c r="CL69" s="2012">
        <f t="shared" si="203"/>
        <v>0</v>
      </c>
      <c r="CM69" s="4428">
        <f t="shared" si="168"/>
        <v>0</v>
      </c>
      <c r="CN69" s="4432"/>
      <c r="CP69" s="2012">
        <f t="shared" si="204"/>
        <v>0</v>
      </c>
      <c r="CQ69" s="2012">
        <f t="shared" si="204"/>
        <v>0</v>
      </c>
      <c r="CR69" s="4614"/>
      <c r="CT69" s="2624"/>
    </row>
    <row r="70" spans="1:98" s="1396" customFormat="1" ht="13.8" outlineLevel="2">
      <c r="A70" s="1571"/>
      <c r="B70" s="4632" t="s">
        <v>6</v>
      </c>
      <c r="C70" s="3341"/>
      <c r="D70" s="3341"/>
      <c r="E70" s="3349">
        <f t="shared" si="169"/>
        <v>0</v>
      </c>
      <c r="F70" s="4428" t="e">
        <f t="shared" si="133"/>
        <v>#DIV/0!</v>
      </c>
      <c r="G70" s="4429"/>
      <c r="H70" s="3341"/>
      <c r="I70" s="3341"/>
      <c r="J70" s="3349">
        <f t="shared" si="170"/>
        <v>0</v>
      </c>
      <c r="K70" s="4428" t="e">
        <f t="shared" si="171"/>
        <v>#DIV/0!</v>
      </c>
      <c r="L70" s="4429"/>
      <c r="M70" s="3341"/>
      <c r="N70" s="3341"/>
      <c r="O70" s="3349">
        <f t="shared" si="172"/>
        <v>0</v>
      </c>
      <c r="P70" s="4428" t="e">
        <f t="shared" si="173"/>
        <v>#DIV/0!</v>
      </c>
      <c r="Q70" s="4429"/>
      <c r="R70" s="3342">
        <f t="shared" si="174"/>
        <v>0</v>
      </c>
      <c r="S70" s="3342">
        <f t="shared" si="174"/>
        <v>0</v>
      </c>
      <c r="T70" s="2012">
        <f t="shared" si="175"/>
        <v>0</v>
      </c>
      <c r="U70" s="3462"/>
      <c r="V70" s="3462"/>
      <c r="W70" s="3342">
        <f t="shared" si="176"/>
        <v>0</v>
      </c>
      <c r="X70" s="3342">
        <f t="shared" si="176"/>
        <v>0</v>
      </c>
      <c r="Y70" s="2012">
        <f t="shared" si="177"/>
        <v>0</v>
      </c>
      <c r="Z70" s="3462"/>
      <c r="AA70" s="3462"/>
      <c r="AB70" s="3341"/>
      <c r="AC70" s="3341"/>
      <c r="AD70" s="3349">
        <f t="shared" si="178"/>
        <v>0</v>
      </c>
      <c r="AE70" s="4428" t="e">
        <f t="shared" si="179"/>
        <v>#DIV/0!</v>
      </c>
      <c r="AF70" s="4429"/>
      <c r="AG70" s="3341"/>
      <c r="AH70" s="3341"/>
      <c r="AI70" s="3349">
        <f t="shared" si="180"/>
        <v>0</v>
      </c>
      <c r="AJ70" s="4428" t="e">
        <f t="shared" si="181"/>
        <v>#DIV/0!</v>
      </c>
      <c r="AK70" s="4429"/>
      <c r="AL70" s="3341"/>
      <c r="AM70" s="3341"/>
      <c r="AN70" s="3349">
        <f t="shared" si="182"/>
        <v>0</v>
      </c>
      <c r="AO70" s="4428" t="e">
        <f t="shared" si="183"/>
        <v>#DIV/0!</v>
      </c>
      <c r="AP70" s="4429"/>
      <c r="AQ70" s="3341"/>
      <c r="AR70" s="3341"/>
      <c r="AS70" s="3349">
        <f t="shared" si="184"/>
        <v>0</v>
      </c>
      <c r="AT70" s="4428" t="e">
        <f t="shared" si="185"/>
        <v>#DIV/0!</v>
      </c>
      <c r="AU70" s="4429"/>
      <c r="AV70" s="3341"/>
      <c r="AW70" s="3341"/>
      <c r="AX70" s="3349">
        <f t="shared" si="186"/>
        <v>0</v>
      </c>
      <c r="AY70" s="4428">
        <f t="shared" si="187"/>
        <v>0</v>
      </c>
      <c r="AZ70" s="4429"/>
      <c r="BA70" s="3341"/>
      <c r="BB70" s="3341"/>
      <c r="BC70" s="3349">
        <f t="shared" si="188"/>
        <v>0</v>
      </c>
      <c r="BD70" s="4428" t="e">
        <f t="shared" si="189"/>
        <v>#DIV/0!</v>
      </c>
      <c r="BE70" s="4429"/>
      <c r="BF70" s="3341"/>
      <c r="BG70" s="3341"/>
      <c r="BH70" s="3349">
        <f t="shared" si="190"/>
        <v>0</v>
      </c>
      <c r="BI70" s="4428" t="e">
        <f t="shared" si="191"/>
        <v>#DIV/0!</v>
      </c>
      <c r="BJ70" s="4429"/>
      <c r="BK70" s="3341"/>
      <c r="BL70" s="3341"/>
      <c r="BM70" s="3349">
        <f t="shared" si="192"/>
        <v>0</v>
      </c>
      <c r="BN70" s="4428" t="e">
        <f t="shared" si="193"/>
        <v>#DIV/0!</v>
      </c>
      <c r="BO70" s="4429"/>
      <c r="BP70" s="3341"/>
      <c r="BQ70" s="3341"/>
      <c r="BR70" s="3349">
        <f t="shared" si="194"/>
        <v>0</v>
      </c>
      <c r="BS70" s="4428" t="e">
        <f t="shared" si="195"/>
        <v>#DIV/0!</v>
      </c>
      <c r="BT70" s="4429"/>
      <c r="BU70" s="3341"/>
      <c r="BV70" s="3341"/>
      <c r="BW70" s="3349">
        <f t="shared" si="196"/>
        <v>0</v>
      </c>
      <c r="BX70" s="4428" t="e">
        <f t="shared" si="197"/>
        <v>#DIV/0!</v>
      </c>
      <c r="BY70" s="4429"/>
      <c r="BZ70" s="3341"/>
      <c r="CA70" s="3341"/>
      <c r="CB70" s="3349">
        <f t="shared" si="198"/>
        <v>0</v>
      </c>
      <c r="CC70" s="4428" t="e">
        <f t="shared" si="199"/>
        <v>#DIV/0!</v>
      </c>
      <c r="CD70" s="4429"/>
      <c r="CE70" s="3341"/>
      <c r="CF70" s="3341"/>
      <c r="CG70" s="3349">
        <f t="shared" si="200"/>
        <v>0</v>
      </c>
      <c r="CH70" s="4428" t="e">
        <f t="shared" si="201"/>
        <v>#DIV/0!</v>
      </c>
      <c r="CI70" s="4429"/>
      <c r="CJ70" s="3341">
        <f t="shared" si="202"/>
        <v>0</v>
      </c>
      <c r="CK70" s="3341">
        <f t="shared" si="202"/>
        <v>0</v>
      </c>
      <c r="CL70" s="2012">
        <f t="shared" si="203"/>
        <v>0</v>
      </c>
      <c r="CM70" s="4428">
        <f t="shared" si="168"/>
        <v>0</v>
      </c>
      <c r="CN70" s="4432"/>
      <c r="CP70" s="2012">
        <f t="shared" si="204"/>
        <v>0</v>
      </c>
      <c r="CQ70" s="2012">
        <f t="shared" si="204"/>
        <v>0</v>
      </c>
      <c r="CR70" s="4614"/>
      <c r="CT70" s="2624"/>
    </row>
    <row r="71" spans="1:98" s="1396" customFormat="1" ht="13.8" outlineLevel="2">
      <c r="A71" s="1571"/>
      <c r="B71" s="4632" t="s">
        <v>78</v>
      </c>
      <c r="C71" s="3341"/>
      <c r="D71" s="3341"/>
      <c r="E71" s="3349">
        <f t="shared" si="169"/>
        <v>0</v>
      </c>
      <c r="F71" s="4428" t="e">
        <f t="shared" si="133"/>
        <v>#DIV/0!</v>
      </c>
      <c r="G71" s="4429"/>
      <c r="H71" s="3341"/>
      <c r="I71" s="3341"/>
      <c r="J71" s="3349">
        <f t="shared" si="170"/>
        <v>0</v>
      </c>
      <c r="K71" s="4428" t="e">
        <f t="shared" si="171"/>
        <v>#DIV/0!</v>
      </c>
      <c r="L71" s="4429"/>
      <c r="M71" s="3341"/>
      <c r="N71" s="3341"/>
      <c r="O71" s="3349">
        <f t="shared" si="172"/>
        <v>0</v>
      </c>
      <c r="P71" s="4428" t="e">
        <f t="shared" si="173"/>
        <v>#DIV/0!</v>
      </c>
      <c r="Q71" s="4429"/>
      <c r="R71" s="3342">
        <f t="shared" si="174"/>
        <v>0</v>
      </c>
      <c r="S71" s="3342">
        <f t="shared" si="174"/>
        <v>0</v>
      </c>
      <c r="T71" s="2012">
        <f t="shared" si="175"/>
        <v>0</v>
      </c>
      <c r="U71" s="3462"/>
      <c r="V71" s="3462"/>
      <c r="W71" s="3342">
        <f t="shared" si="176"/>
        <v>0</v>
      </c>
      <c r="X71" s="3342">
        <f t="shared" si="176"/>
        <v>0</v>
      </c>
      <c r="Y71" s="2012">
        <f t="shared" si="177"/>
        <v>0</v>
      </c>
      <c r="Z71" s="3462"/>
      <c r="AA71" s="3462"/>
      <c r="AB71" s="3341"/>
      <c r="AC71" s="3341"/>
      <c r="AD71" s="3349">
        <f t="shared" si="178"/>
        <v>0</v>
      </c>
      <c r="AE71" s="4428" t="e">
        <f t="shared" si="179"/>
        <v>#DIV/0!</v>
      </c>
      <c r="AF71" s="4429"/>
      <c r="AG71" s="3341"/>
      <c r="AH71" s="3341"/>
      <c r="AI71" s="3349">
        <f t="shared" si="180"/>
        <v>0</v>
      </c>
      <c r="AJ71" s="4428" t="e">
        <f t="shared" si="181"/>
        <v>#DIV/0!</v>
      </c>
      <c r="AK71" s="4429"/>
      <c r="AL71" s="3341"/>
      <c r="AM71" s="3341"/>
      <c r="AN71" s="3349">
        <f t="shared" si="182"/>
        <v>0</v>
      </c>
      <c r="AO71" s="4428" t="e">
        <f t="shared" si="183"/>
        <v>#DIV/0!</v>
      </c>
      <c r="AP71" s="4429"/>
      <c r="AQ71" s="3341"/>
      <c r="AR71" s="3341"/>
      <c r="AS71" s="3349">
        <f t="shared" si="184"/>
        <v>0</v>
      </c>
      <c r="AT71" s="4428" t="e">
        <f t="shared" si="185"/>
        <v>#DIV/0!</v>
      </c>
      <c r="AU71" s="4429"/>
      <c r="AV71" s="3341"/>
      <c r="AW71" s="3341"/>
      <c r="AX71" s="3349">
        <f t="shared" si="186"/>
        <v>0</v>
      </c>
      <c r="AY71" s="4428">
        <f t="shared" si="187"/>
        <v>0</v>
      </c>
      <c r="AZ71" s="4429"/>
      <c r="BA71" s="3341"/>
      <c r="BB71" s="3341"/>
      <c r="BC71" s="3349">
        <f t="shared" si="188"/>
        <v>0</v>
      </c>
      <c r="BD71" s="4428" t="e">
        <f t="shared" si="189"/>
        <v>#DIV/0!</v>
      </c>
      <c r="BE71" s="4429"/>
      <c r="BF71" s="3341"/>
      <c r="BG71" s="3341"/>
      <c r="BH71" s="3349">
        <f t="shared" si="190"/>
        <v>0</v>
      </c>
      <c r="BI71" s="4428" t="e">
        <f t="shared" si="191"/>
        <v>#DIV/0!</v>
      </c>
      <c r="BJ71" s="4429"/>
      <c r="BK71" s="3341"/>
      <c r="BL71" s="3341"/>
      <c r="BM71" s="3349">
        <f t="shared" si="192"/>
        <v>0</v>
      </c>
      <c r="BN71" s="4428" t="e">
        <f t="shared" si="193"/>
        <v>#DIV/0!</v>
      </c>
      <c r="BO71" s="4429"/>
      <c r="BP71" s="3341"/>
      <c r="BQ71" s="3341"/>
      <c r="BR71" s="3349">
        <f t="shared" si="194"/>
        <v>0</v>
      </c>
      <c r="BS71" s="4428" t="e">
        <f t="shared" si="195"/>
        <v>#DIV/0!</v>
      </c>
      <c r="BT71" s="4429"/>
      <c r="BU71" s="3341"/>
      <c r="BV71" s="3341"/>
      <c r="BW71" s="3349">
        <f t="shared" si="196"/>
        <v>0</v>
      </c>
      <c r="BX71" s="4428" t="e">
        <f t="shared" si="197"/>
        <v>#DIV/0!</v>
      </c>
      <c r="BY71" s="4429"/>
      <c r="BZ71" s="3341"/>
      <c r="CA71" s="3341"/>
      <c r="CB71" s="3349">
        <f t="shared" si="198"/>
        <v>0</v>
      </c>
      <c r="CC71" s="4428" t="e">
        <f t="shared" si="199"/>
        <v>#DIV/0!</v>
      </c>
      <c r="CD71" s="4429"/>
      <c r="CE71" s="3341"/>
      <c r="CF71" s="3341"/>
      <c r="CG71" s="3349">
        <f t="shared" si="200"/>
        <v>0</v>
      </c>
      <c r="CH71" s="4428" t="e">
        <f t="shared" si="201"/>
        <v>#DIV/0!</v>
      </c>
      <c r="CI71" s="4429"/>
      <c r="CJ71" s="3341">
        <f t="shared" si="202"/>
        <v>0</v>
      </c>
      <c r="CK71" s="3341">
        <f t="shared" si="202"/>
        <v>0</v>
      </c>
      <c r="CL71" s="2012">
        <f t="shared" si="203"/>
        <v>0</v>
      </c>
      <c r="CM71" s="4428">
        <f t="shared" si="168"/>
        <v>0</v>
      </c>
      <c r="CN71" s="4432"/>
      <c r="CP71" s="2012">
        <f t="shared" si="204"/>
        <v>0</v>
      </c>
      <c r="CQ71" s="2012">
        <f t="shared" si="204"/>
        <v>0</v>
      </c>
      <c r="CR71" s="4614"/>
      <c r="CT71" s="2624"/>
    </row>
    <row r="72" spans="1:98" s="1396" customFormat="1" ht="13.8" outlineLevel="2">
      <c r="A72" s="1571"/>
      <c r="B72" s="4463"/>
      <c r="C72" s="4623"/>
      <c r="D72" s="4623"/>
      <c r="E72" s="4453"/>
      <c r="F72" s="4428"/>
      <c r="G72" s="4429"/>
      <c r="H72" s="4623"/>
      <c r="I72" s="4623"/>
      <c r="J72" s="4453"/>
      <c r="K72" s="4428" t="e">
        <f t="shared" si="171"/>
        <v>#DIV/0!</v>
      </c>
      <c r="L72" s="4429"/>
      <c r="M72" s="4623"/>
      <c r="N72" s="4623"/>
      <c r="O72" s="4453"/>
      <c r="P72" s="4428" t="e">
        <f t="shared" si="173"/>
        <v>#DIV/0!</v>
      </c>
      <c r="Q72" s="4429"/>
      <c r="R72" s="4429"/>
      <c r="S72" s="4429"/>
      <c r="T72" s="4429"/>
      <c r="U72" s="4429"/>
      <c r="V72" s="4429"/>
      <c r="W72" s="4429"/>
      <c r="X72" s="4429"/>
      <c r="Y72" s="4429"/>
      <c r="Z72" s="4429"/>
      <c r="AA72" s="4429"/>
      <c r="AB72" s="4623"/>
      <c r="AC72" s="4623"/>
      <c r="AD72" s="4453"/>
      <c r="AE72" s="4428"/>
      <c r="AF72" s="4429"/>
      <c r="AG72" s="4623"/>
      <c r="AH72" s="4623"/>
      <c r="AI72" s="4453"/>
      <c r="AJ72" s="4428"/>
      <c r="AK72" s="4429"/>
      <c r="AL72" s="4623"/>
      <c r="AM72" s="4623"/>
      <c r="AN72" s="4453"/>
      <c r="AO72" s="4428"/>
      <c r="AP72" s="4429"/>
      <c r="AQ72" s="4623"/>
      <c r="AR72" s="4623"/>
      <c r="AS72" s="4453"/>
      <c r="AT72" s="4428"/>
      <c r="AU72" s="4429"/>
      <c r="AV72" s="4623"/>
      <c r="AW72" s="4623"/>
      <c r="AX72" s="4453"/>
      <c r="AY72" s="4428"/>
      <c r="AZ72" s="4429"/>
      <c r="BA72" s="4623"/>
      <c r="BB72" s="4623"/>
      <c r="BC72" s="4453"/>
      <c r="BD72" s="4428"/>
      <c r="BE72" s="4429"/>
      <c r="BF72" s="4623"/>
      <c r="BG72" s="4623"/>
      <c r="BH72" s="4453"/>
      <c r="BI72" s="4428"/>
      <c r="BJ72" s="4429"/>
      <c r="BK72" s="4623"/>
      <c r="BL72" s="4623"/>
      <c r="BM72" s="4453"/>
      <c r="BN72" s="4428"/>
      <c r="BO72" s="4429"/>
      <c r="BP72" s="4623"/>
      <c r="BQ72" s="4623"/>
      <c r="BR72" s="4453"/>
      <c r="BS72" s="4428"/>
      <c r="BT72" s="4429"/>
      <c r="BU72" s="4623"/>
      <c r="BV72" s="4623"/>
      <c r="BW72" s="4453"/>
      <c r="BX72" s="4428"/>
      <c r="BY72" s="4429"/>
      <c r="BZ72" s="4623"/>
      <c r="CA72" s="4623"/>
      <c r="CB72" s="4453"/>
      <c r="CC72" s="4428"/>
      <c r="CD72" s="4429"/>
      <c r="CE72" s="4623"/>
      <c r="CF72" s="4623"/>
      <c r="CG72" s="4453"/>
      <c r="CH72" s="4428"/>
      <c r="CI72" s="4429"/>
      <c r="CJ72" s="4623"/>
      <c r="CK72" s="4623"/>
      <c r="CL72" s="4453"/>
      <c r="CM72" s="4428">
        <f>CL72/$CL$89</f>
        <v>0</v>
      </c>
      <c r="CN72" s="4432"/>
      <c r="CP72" s="2030"/>
      <c r="CQ72" s="2030"/>
      <c r="CR72" s="4613"/>
      <c r="CT72" s="2624"/>
    </row>
    <row r="73" spans="1:98"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Y74</f>
        <v>0</v>
      </c>
      <c r="Z73" s="3738"/>
      <c r="AA73" s="3742"/>
      <c r="AB73" s="555">
        <f>AB74</f>
        <v>0</v>
      </c>
      <c r="AC73" s="3738">
        <f>AC74</f>
        <v>0</v>
      </c>
      <c r="AD73" s="3739">
        <f>AD74</f>
        <v>0</v>
      </c>
      <c r="AE73" s="3738"/>
      <c r="AF73" s="3741"/>
      <c r="AG73" s="555">
        <f>AG74</f>
        <v>0</v>
      </c>
      <c r="AH73" s="3738">
        <f>AH74</f>
        <v>0</v>
      </c>
      <c r="AI73" s="3739">
        <f>AI74</f>
        <v>0</v>
      </c>
      <c r="AJ73" s="3738"/>
      <c r="AK73" s="3741"/>
      <c r="AL73" s="555">
        <f>AL74</f>
        <v>0</v>
      </c>
      <c r="AM73" s="3738">
        <f>AM74</f>
        <v>0</v>
      </c>
      <c r="AN73" s="3739">
        <f>AN74</f>
        <v>0</v>
      </c>
      <c r="AO73" s="3738"/>
      <c r="AP73" s="3741"/>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4648">
        <f>CP74</f>
        <v>2559</v>
      </c>
      <c r="CQ73" s="4648">
        <f>CQ74</f>
        <v>0</v>
      </c>
      <c r="CR73" s="4648"/>
      <c r="CT73" s="2624"/>
    </row>
    <row r="74" spans="1:98" s="1396" customFormat="1" ht="14.4" outlineLevel="1" thickBot="1">
      <c r="A74" s="1413"/>
      <c r="B74" s="1051" t="s">
        <v>64</v>
      </c>
      <c r="C74" s="3341"/>
      <c r="D74" s="3341"/>
      <c r="E74" s="3386">
        <f>C74+D74*1</f>
        <v>0</v>
      </c>
      <c r="F74" s="3386"/>
      <c r="G74" s="3468"/>
      <c r="H74" s="3341"/>
      <c r="I74" s="3341"/>
      <c r="J74" s="3386">
        <f>H74+I74*1</f>
        <v>0</v>
      </c>
      <c r="K74" s="4428" t="e">
        <f t="shared" ref="K74" si="205">J74/J$89</f>
        <v>#DIV/0!</v>
      </c>
      <c r="L74" s="3468"/>
      <c r="M74" s="3341"/>
      <c r="N74" s="3341"/>
      <c r="O74" s="3386">
        <f>M74+N74*1</f>
        <v>0</v>
      </c>
      <c r="P74" s="4428" t="e">
        <f t="shared" ref="P74" si="206">O74/O$89</f>
        <v>#DIV/0!</v>
      </c>
      <c r="Q74" s="3468"/>
      <c r="R74" s="3469"/>
      <c r="S74" s="3469"/>
      <c r="T74" s="3469"/>
      <c r="U74" s="3469"/>
      <c r="V74" s="3469"/>
      <c r="W74" s="3342">
        <f t="shared" ref="W74:X74" si="207">AB74+AG74+AL74+AV74+BA74+BF74+BK74+BP74+BU74+BZ74+CE74+AQ74</f>
        <v>0</v>
      </c>
      <c r="X74" s="3342">
        <f t="shared" si="207"/>
        <v>0</v>
      </c>
      <c r="Y74" s="3469"/>
      <c r="Z74" s="3469"/>
      <c r="AA74" s="3469"/>
      <c r="AB74" s="3341"/>
      <c r="AC74" s="3341"/>
      <c r="AD74" s="3386">
        <f>AB74+AC74*1</f>
        <v>0</v>
      </c>
      <c r="AE74" s="3386"/>
      <c r="AF74" s="3468"/>
      <c r="AG74" s="3341"/>
      <c r="AH74" s="3341"/>
      <c r="AI74" s="3386">
        <f>AG74+AH74*1</f>
        <v>0</v>
      </c>
      <c r="AJ74" s="3386"/>
      <c r="AK74" s="3468"/>
      <c r="AL74" s="3341"/>
      <c r="AM74" s="3341"/>
      <c r="AN74" s="3386">
        <f>AL74+AM74*1</f>
        <v>0</v>
      </c>
      <c r="AO74" s="3386"/>
      <c r="AP74" s="3468"/>
      <c r="AQ74" s="3341"/>
      <c r="AR74" s="3341"/>
      <c r="AS74" s="3386">
        <f>AQ74+AR74*1</f>
        <v>0</v>
      </c>
      <c r="AT74" s="3386"/>
      <c r="AU74" s="3468"/>
      <c r="AV74" s="3341"/>
      <c r="AW74" s="3341"/>
      <c r="AX74" s="3386">
        <f>AV74+AW74*1</f>
        <v>0</v>
      </c>
      <c r="AY74" s="3386"/>
      <c r="AZ74" s="3468"/>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C74+H74+M74</f>
        <v>0</v>
      </c>
      <c r="CK74" s="3341">
        <f>D74+I74+N74</f>
        <v>0</v>
      </c>
      <c r="CL74" s="3386">
        <f>CJ74+CK74*1</f>
        <v>0</v>
      </c>
      <c r="CM74" s="3386"/>
      <c r="CN74" s="3386"/>
      <c r="CP74" s="2012">
        <v>2559</v>
      </c>
      <c r="CQ74" s="2012">
        <f t="shared" ref="CQ74" si="208">CL74</f>
        <v>0</v>
      </c>
      <c r="CR74" s="4649"/>
      <c r="CT74" s="2624"/>
    </row>
    <row r="75" spans="1:98"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0</v>
      </c>
      <c r="O75" s="1508">
        <f>O38-O41-O50-O54</f>
        <v>0</v>
      </c>
      <c r="P75" s="1953"/>
      <c r="Q75" s="1058"/>
      <c r="R75" s="1450">
        <f>R38-R41-R50-R54</f>
        <v>0</v>
      </c>
      <c r="S75" s="1450">
        <f>S38-S41-S50-S54</f>
        <v>0</v>
      </c>
      <c r="T75" s="1508">
        <f>T38-T41-T50-T54</f>
        <v>0</v>
      </c>
      <c r="U75" s="3470"/>
      <c r="V75" s="3470"/>
      <c r="W75" s="1450">
        <f>W38-W41-W50-W54</f>
        <v>-2931.6</v>
      </c>
      <c r="X75" s="1450">
        <f>X38-X41-X50-X54</f>
        <v>-5260</v>
      </c>
      <c r="Y75" s="1508">
        <f>Y38-Y41-Y50-Y54</f>
        <v>-8191.6</v>
      </c>
      <c r="Z75" s="3470"/>
      <c r="AA75" s="3470"/>
      <c r="AB75" s="1450">
        <f>AB38-AB41-AB50-AB54</f>
        <v>0</v>
      </c>
      <c r="AC75" s="1450">
        <f>AC38-AC41-AC50-AC54</f>
        <v>0</v>
      </c>
      <c r="AD75" s="1508">
        <f>AD38-AD41-AD50-AD54</f>
        <v>0</v>
      </c>
      <c r="AE75" s="1953"/>
      <c r="AF75" s="1058"/>
      <c r="AG75" s="1450">
        <f>AG38-AG41-AG50-AG54</f>
        <v>0</v>
      </c>
      <c r="AH75" s="1450">
        <f>AH38-AH41-AH50-AH54</f>
        <v>0</v>
      </c>
      <c r="AI75" s="1508">
        <f>AI38-AI41-AI50-AI54</f>
        <v>0</v>
      </c>
      <c r="AJ75" s="1953"/>
      <c r="AK75" s="1058"/>
      <c r="AL75" s="1450">
        <f>AL38-AL41-AL50-AL54</f>
        <v>0</v>
      </c>
      <c r="AM75" s="1450">
        <f>AM38-AM41-AM50-AM54</f>
        <v>0</v>
      </c>
      <c r="AN75" s="1508">
        <f>AN38-AN41-AN50-AN54</f>
        <v>0</v>
      </c>
      <c r="AO75" s="1953"/>
      <c r="AP75" s="1058"/>
      <c r="AQ75" s="1450">
        <f>AQ38-AQ41-AQ50-AQ54</f>
        <v>0</v>
      </c>
      <c r="AR75" s="1450">
        <f>AR38-AR41-AR50-AR54</f>
        <v>0</v>
      </c>
      <c r="AS75" s="1508">
        <f>AS38-AS41-AS50-AS54</f>
        <v>0</v>
      </c>
      <c r="AT75" s="1953"/>
      <c r="AU75" s="1058"/>
      <c r="AV75" s="1450">
        <f>AV38-AV41-AV50-AV54</f>
        <v>-2931.6</v>
      </c>
      <c r="AW75" s="1450">
        <f>AW38-AW41-AW50-AW54</f>
        <v>-5260</v>
      </c>
      <c r="AX75" s="1508">
        <f>AX38-AX41-AX50-AX54</f>
        <v>-8191.6</v>
      </c>
      <c r="AY75" s="1953"/>
      <c r="AZ75" s="1058"/>
      <c r="BA75" s="1450">
        <f>BA38-BA41-BA50-BA54</f>
        <v>0</v>
      </c>
      <c r="BB75" s="1450">
        <f>BB38-BB41-BB50-BB54</f>
        <v>0</v>
      </c>
      <c r="BC75" s="1508">
        <f>BC38-BC41-BC50-BC54</f>
        <v>0</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-2931.6</v>
      </c>
      <c r="CK75" s="1450">
        <f>CK38-CK41-CK50-CK54</f>
        <v>-5260</v>
      </c>
      <c r="CL75" s="1508">
        <f>CL38-CL41-CL50-CL54</f>
        <v>-8191.6</v>
      </c>
      <c r="CM75" s="1953"/>
      <c r="CN75" s="1953"/>
      <c r="CP75" s="3471">
        <f>CP38-CP41-CP50-CP54</f>
        <v>16254.679999999993</v>
      </c>
      <c r="CQ75" s="3471">
        <f>CQ38-CQ41-CQ50-CQ54</f>
        <v>-8191.6</v>
      </c>
      <c r="CR75" s="3471">
        <f>CR38-CR41-CR50-CR54</f>
        <v>24446.28</v>
      </c>
      <c r="CT75" s="2624"/>
    </row>
    <row r="76" spans="1:98"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2003">
        <f>IFERROR(AB75/AB5,0)</f>
        <v>0</v>
      </c>
      <c r="AC76" s="2003">
        <f>IFERROR(AC75/AC5,0)</f>
        <v>0</v>
      </c>
      <c r="AD76" s="2004">
        <f>IFERROR(AD75/AD5,0)</f>
        <v>0</v>
      </c>
      <c r="AE76" s="2004"/>
      <c r="AF76" s="1056"/>
      <c r="AG76" s="2003">
        <f>IFERROR(AG75/AG5,0)</f>
        <v>0</v>
      </c>
      <c r="AH76" s="2003">
        <f>IFERROR(AH75/AH5,0)</f>
        <v>0</v>
      </c>
      <c r="AI76" s="2004">
        <f>IFERROR(AI75/AI5,0)</f>
        <v>0</v>
      </c>
      <c r="AJ76" s="2004"/>
      <c r="AK76" s="1056"/>
      <c r="AL76" s="2003">
        <f>IFERROR(AL75/AL5,0)</f>
        <v>0</v>
      </c>
      <c r="AM76" s="2003">
        <f>IFERROR(AM75/AM5,0)</f>
        <v>0</v>
      </c>
      <c r="AN76" s="2004">
        <f>IFERROR(AN75/AN5,0)</f>
        <v>0</v>
      </c>
      <c r="AO76" s="2004"/>
      <c r="AP76" s="1056"/>
      <c r="AQ76" s="2003">
        <f>IFERROR(AQ75/AQ5,0)</f>
        <v>0</v>
      </c>
      <c r="AR76" s="2003">
        <f>IFERROR(AR75/AR5,0)</f>
        <v>0</v>
      </c>
      <c r="AS76" s="2004">
        <f>IFERROR(AS75/AS5,0)</f>
        <v>0</v>
      </c>
      <c r="AT76" s="2004"/>
      <c r="AU76" s="1056"/>
      <c r="AV76" s="2003">
        <f>IFERROR(AV75/AV5,0)</f>
        <v>0</v>
      </c>
      <c r="AW76" s="2003">
        <f>IFERROR(AW75/AW5,0)</f>
        <v>0</v>
      </c>
      <c r="AX76" s="2004">
        <f>IFERROR(AX75/AX5,0)</f>
        <v>0</v>
      </c>
      <c r="AY76" s="2004"/>
      <c r="AZ76" s="1056"/>
      <c r="BA76" s="2003">
        <f>IFERROR(BA75/BA5,0)</f>
        <v>0</v>
      </c>
      <c r="BB76" s="2003">
        <f>IFERROR(BB75/BB5,0)</f>
        <v>0</v>
      </c>
      <c r="BC76" s="2004">
        <f>IFERROR(BC75/BC5,0)</f>
        <v>0</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v>
      </c>
      <c r="CK76" s="2003">
        <f>IFERROR(CK75/CK5,0)</f>
        <v>0</v>
      </c>
      <c r="CL76" s="2004">
        <f>IFERROR(CL75/CL5,0)</f>
        <v>0</v>
      </c>
      <c r="CM76" s="2004"/>
      <c r="CN76" s="2004"/>
      <c r="CP76" s="2004">
        <f>CP75/CP5</f>
        <v>0.19055896834701047</v>
      </c>
      <c r="CQ76" s="2004">
        <f>IFERROR(CQ75/CQ5,0)</f>
        <v>0</v>
      </c>
      <c r="CR76" s="2004">
        <f>CR75/CR5</f>
        <v>0.28659179366940207</v>
      </c>
      <c r="CT76" s="2624"/>
    </row>
    <row r="77" spans="1:98" s="1396" customFormat="1" ht="14.4" outlineLevel="1" thickBot="1">
      <c r="A77" s="1566"/>
      <c r="B77" s="4456" t="s">
        <v>9</v>
      </c>
      <c r="C77" s="4457">
        <f>C78-C79</f>
        <v>0</v>
      </c>
      <c r="D77" s="4457">
        <f>D78-D79</f>
        <v>0</v>
      </c>
      <c r="E77" s="4458">
        <f>E78-E79</f>
        <v>0</v>
      </c>
      <c r="F77" s="4459"/>
      <c r="G77" s="4460"/>
      <c r="H77" s="4457">
        <f>H78-H79</f>
        <v>0</v>
      </c>
      <c r="I77" s="4457">
        <f>I78-I79</f>
        <v>0</v>
      </c>
      <c r="J77" s="4458">
        <f>J78-J79</f>
        <v>0</v>
      </c>
      <c r="K77" s="4459"/>
      <c r="L77" s="4460"/>
      <c r="M77" s="4457">
        <f>M78-M79</f>
        <v>0</v>
      </c>
      <c r="N77" s="4457">
        <f>N78-N79</f>
        <v>0</v>
      </c>
      <c r="O77" s="4458">
        <f>O78-O79</f>
        <v>0</v>
      </c>
      <c r="P77" s="4459"/>
      <c r="Q77" s="4460"/>
      <c r="R77" s="4457">
        <f>R78-R79</f>
        <v>0</v>
      </c>
      <c r="S77" s="4457">
        <f>S78-S79</f>
        <v>0</v>
      </c>
      <c r="T77" s="4458">
        <f>T78-T79</f>
        <v>0</v>
      </c>
      <c r="U77" s="4461"/>
      <c r="V77" s="4461"/>
      <c r="W77" s="4457">
        <f>W78-W79</f>
        <v>-786.00244779316142</v>
      </c>
      <c r="X77" s="4457">
        <f>X78-X79</f>
        <v>0</v>
      </c>
      <c r="Y77" s="4458">
        <f>Y78-Y79</f>
        <v>-786.00244779316142</v>
      </c>
      <c r="Z77" s="4461"/>
      <c r="AA77" s="4461"/>
      <c r="AB77" s="4457">
        <f>AB78-AB79</f>
        <v>0</v>
      </c>
      <c r="AC77" s="4457">
        <f>AC78-AC79</f>
        <v>0</v>
      </c>
      <c r="AD77" s="4458">
        <f>AD78-AD79</f>
        <v>0</v>
      </c>
      <c r="AE77" s="4459"/>
      <c r="AF77" s="4460"/>
      <c r="AG77" s="4457">
        <f>AG78-AG79</f>
        <v>0</v>
      </c>
      <c r="AH77" s="4457">
        <f>AH78-AH79</f>
        <v>0</v>
      </c>
      <c r="AI77" s="4458">
        <f>AI78-AI79</f>
        <v>0</v>
      </c>
      <c r="AJ77" s="4459"/>
      <c r="AK77" s="4460"/>
      <c r="AL77" s="4457">
        <f>AL78-AL79</f>
        <v>0</v>
      </c>
      <c r="AM77" s="4457">
        <f>AM78-AM79</f>
        <v>0</v>
      </c>
      <c r="AN77" s="4458">
        <f>AN78-AN79</f>
        <v>0</v>
      </c>
      <c r="AO77" s="4459"/>
      <c r="AP77" s="4460"/>
      <c r="AQ77" s="4457">
        <f>AQ78-AQ79</f>
        <v>0</v>
      </c>
      <c r="AR77" s="4457">
        <f>AR78-AR79</f>
        <v>0</v>
      </c>
      <c r="AS77" s="4458">
        <f>AS78-AS79</f>
        <v>0</v>
      </c>
      <c r="AT77" s="4459"/>
      <c r="AU77" s="4460"/>
      <c r="AV77" s="4457">
        <f>AV78-AV79</f>
        <v>-786.00244779316142</v>
      </c>
      <c r="AW77" s="4457">
        <f>AW78-AW79</f>
        <v>0</v>
      </c>
      <c r="AX77" s="4458">
        <f>AX78-AX79</f>
        <v>-786.00244779316142</v>
      </c>
      <c r="AY77" s="4459"/>
      <c r="AZ77" s="4460"/>
      <c r="BA77" s="4457">
        <f>BA78-BA79</f>
        <v>0</v>
      </c>
      <c r="BB77" s="4457">
        <f>BB78-BB79</f>
        <v>0</v>
      </c>
      <c r="BC77" s="4458">
        <f>BC78-BC79</f>
        <v>0</v>
      </c>
      <c r="BD77" s="4459"/>
      <c r="BE77" s="4460"/>
      <c r="BF77" s="4457">
        <f>BF78-BF79</f>
        <v>0</v>
      </c>
      <c r="BG77" s="4457">
        <f>BG78-BG79</f>
        <v>0</v>
      </c>
      <c r="BH77" s="4458">
        <f>BH78-BH79</f>
        <v>0</v>
      </c>
      <c r="BI77" s="4459"/>
      <c r="BJ77" s="4460"/>
      <c r="BK77" s="4457">
        <f>BK78-BK79</f>
        <v>0</v>
      </c>
      <c r="BL77" s="4457">
        <f>BL78-BL79</f>
        <v>0</v>
      </c>
      <c r="BM77" s="4458">
        <f>BM78-BM79</f>
        <v>0</v>
      </c>
      <c r="BN77" s="4459"/>
      <c r="BO77" s="4460"/>
      <c r="BP77" s="4457">
        <f>BP78-BP79</f>
        <v>0</v>
      </c>
      <c r="BQ77" s="4457">
        <f>BQ78-BQ79</f>
        <v>0</v>
      </c>
      <c r="BR77" s="4458">
        <f>BR78-BR79</f>
        <v>0</v>
      </c>
      <c r="BS77" s="4459"/>
      <c r="BT77" s="4460"/>
      <c r="BU77" s="4457">
        <f>BU78-BU79</f>
        <v>0</v>
      </c>
      <c r="BV77" s="4457">
        <f>BV78-BV79</f>
        <v>0</v>
      </c>
      <c r="BW77" s="4458">
        <f>BW78-BW79</f>
        <v>0</v>
      </c>
      <c r="BX77" s="4459"/>
      <c r="BY77" s="4460"/>
      <c r="BZ77" s="4457">
        <f>BZ78-BZ79</f>
        <v>0</v>
      </c>
      <c r="CA77" s="4457">
        <f>CA78-CA79</f>
        <v>0</v>
      </c>
      <c r="CB77" s="4458">
        <f>CB78-CB79</f>
        <v>0</v>
      </c>
      <c r="CC77" s="4459"/>
      <c r="CD77" s="4460"/>
      <c r="CE77" s="4457">
        <f>CE78-CE79</f>
        <v>0</v>
      </c>
      <c r="CF77" s="4457">
        <f>CF78-CF79</f>
        <v>0</v>
      </c>
      <c r="CG77" s="4458">
        <f>CG78-CG79</f>
        <v>0</v>
      </c>
      <c r="CH77" s="4459"/>
      <c r="CI77" s="4460"/>
      <c r="CJ77" s="4457">
        <f>CJ78-CJ79</f>
        <v>-786.00244779316142</v>
      </c>
      <c r="CK77" s="4457">
        <f>CK78-CK79</f>
        <v>0</v>
      </c>
      <c r="CL77" s="4458">
        <f>CL78-CL79</f>
        <v>-786.00244779316142</v>
      </c>
      <c r="CM77" s="4459"/>
      <c r="CN77" s="4459"/>
      <c r="CP77" s="4458">
        <f>CP78-CP79</f>
        <v>0</v>
      </c>
      <c r="CQ77" s="4458">
        <f>CQ78-CQ79</f>
        <v>-786.00244779316142</v>
      </c>
      <c r="CR77" s="4458"/>
      <c r="CT77" s="2624"/>
    </row>
    <row r="78" spans="1:98" s="1396" customFormat="1" ht="13.8" outlineLevel="2">
      <c r="A78" s="1405"/>
      <c r="B78" s="1400" t="s">
        <v>43</v>
      </c>
      <c r="C78" s="3341"/>
      <c r="D78" s="3341"/>
      <c r="E78" s="3391">
        <f>C78+D78*1.15</f>
        <v>0</v>
      </c>
      <c r="F78" s="3391"/>
      <c r="G78" s="3473"/>
      <c r="H78" s="3341"/>
      <c r="I78" s="3341"/>
      <c r="J78" s="3391">
        <f>H78+I78*1.15</f>
        <v>0</v>
      </c>
      <c r="K78" s="4428" t="e">
        <f t="shared" ref="K78:K79" si="209">J78/J$89</f>
        <v>#DIV/0!</v>
      </c>
      <c r="L78" s="3473"/>
      <c r="M78" s="3341"/>
      <c r="N78" s="3341"/>
      <c r="O78" s="3391">
        <f>M78+N78*1.15</f>
        <v>0</v>
      </c>
      <c r="P78" s="4428" t="e">
        <f t="shared" ref="P78:P79" si="210">O78/O$89</f>
        <v>#DIV/0!</v>
      </c>
      <c r="Q78" s="3473"/>
      <c r="R78" s="3342">
        <f t="shared" ref="R78:S79" si="211">M78+H78+C78</f>
        <v>0</v>
      </c>
      <c r="S78" s="3342">
        <f t="shared" si="211"/>
        <v>0</v>
      </c>
      <c r="T78" s="2012">
        <f t="shared" ref="T78:T79" si="212">R78+S78</f>
        <v>0</v>
      </c>
      <c r="U78" s="3474"/>
      <c r="V78" s="3474"/>
      <c r="W78" s="3342">
        <f t="shared" ref="W78:X79" si="213">AB78+AG78+AL78+AV78+BA78+BF78+BK78+BP78+BU78+BZ78+CE78+AQ78</f>
        <v>0</v>
      </c>
      <c r="X78" s="3342">
        <f t="shared" si="213"/>
        <v>0</v>
      </c>
      <c r="Y78" s="2012">
        <f t="shared" ref="Y78:Y79" si="214">W78+X78</f>
        <v>0</v>
      </c>
      <c r="Z78" s="3474"/>
      <c r="AA78" s="3474"/>
      <c r="AB78" s="3341"/>
      <c r="AC78" s="3341"/>
      <c r="AD78" s="3391">
        <f>AB78+AC78*1.15</f>
        <v>0</v>
      </c>
      <c r="AE78" s="3391"/>
      <c r="AF78" s="3473"/>
      <c r="AG78" s="3341"/>
      <c r="AH78" s="3341"/>
      <c r="AI78" s="3391">
        <f>AG78+AH78*1.15</f>
        <v>0</v>
      </c>
      <c r="AJ78" s="3391"/>
      <c r="AK78" s="3473"/>
      <c r="AL78" s="3341"/>
      <c r="AM78" s="3341"/>
      <c r="AN78" s="3391">
        <f>AL78+AM78*1.15</f>
        <v>0</v>
      </c>
      <c r="AO78" s="3391"/>
      <c r="AP78" s="3473"/>
      <c r="AQ78" s="3341"/>
      <c r="AR78" s="3341"/>
      <c r="AS78" s="3391">
        <f>AQ78+AR78*1.15</f>
        <v>0</v>
      </c>
      <c r="AT78" s="3391"/>
      <c r="AU78" s="3473"/>
      <c r="AV78" s="3341"/>
      <c r="AW78" s="3341"/>
      <c r="AX78" s="3391">
        <f>AV78+AW78*1.15</f>
        <v>0</v>
      </c>
      <c r="AY78" s="3391"/>
      <c r="AZ78" s="3473"/>
      <c r="BA78" s="3341"/>
      <c r="BB78" s="3341"/>
      <c r="BC78" s="3391">
        <f>BA78+BB78*1.15</f>
        <v>0</v>
      </c>
      <c r="BD78" s="3391"/>
      <c r="BE78" s="3473"/>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15">C78+H78+M78+W78</f>
        <v>0</v>
      </c>
      <c r="CK78" s="3341">
        <f t="shared" si="215"/>
        <v>0</v>
      </c>
      <c r="CL78" s="3391">
        <f>CJ78+CK78*1.15</f>
        <v>0</v>
      </c>
      <c r="CM78" s="3391"/>
      <c r="CN78" s="3391"/>
      <c r="CP78" s="3475">
        <f>CN78+CO78*1.15</f>
        <v>0</v>
      </c>
      <c r="CQ78" s="3475">
        <f>CO78+CP78*1.15</f>
        <v>0</v>
      </c>
      <c r="CR78" s="4614"/>
      <c r="CT78" s="2624"/>
    </row>
    <row r="79" spans="1:98" s="1396" customFormat="1" ht="13.8" outlineLevel="2">
      <c r="A79" s="1405"/>
      <c r="B79" s="4462" t="s">
        <v>79</v>
      </c>
      <c r="C79" s="3341">
        <f>(D8+D41+D50+D54)/(1-'расчет 2024'!$M$21)*'расчет 2024'!$M$21</f>
        <v>0</v>
      </c>
      <c r="D79" s="3341"/>
      <c r="E79" s="2012">
        <f>C79+D79</f>
        <v>0</v>
      </c>
      <c r="F79" s="4611"/>
      <c r="G79" s="4633"/>
      <c r="H79" s="3341">
        <f>(I8+I41+I50+I54)/(1-'расчет 2024'!$M$23)*'расчет 2024'!$M$23</f>
        <v>0</v>
      </c>
      <c r="I79" s="3341"/>
      <c r="J79" s="2012">
        <f>H79+I79</f>
        <v>0</v>
      </c>
      <c r="K79" s="4428" t="e">
        <f t="shared" si="209"/>
        <v>#DIV/0!</v>
      </c>
      <c r="L79" s="4633"/>
      <c r="M79" s="3341">
        <f>(N8+N41+N50+N54)/(1-'расчет 2024'!$M$23)*'расчет 2024'!$M$23</f>
        <v>0</v>
      </c>
      <c r="N79" s="3341"/>
      <c r="O79" s="2012">
        <f>M79+N79</f>
        <v>0</v>
      </c>
      <c r="P79" s="4428" t="e">
        <f t="shared" si="210"/>
        <v>#DIV/0!</v>
      </c>
      <c r="Q79" s="4633"/>
      <c r="R79" s="3342">
        <f t="shared" si="211"/>
        <v>0</v>
      </c>
      <c r="S79" s="3342">
        <f t="shared" si="211"/>
        <v>0</v>
      </c>
      <c r="T79" s="2012">
        <f t="shared" si="212"/>
        <v>0</v>
      </c>
      <c r="U79" s="3455"/>
      <c r="V79" s="3455"/>
      <c r="W79" s="3342">
        <f t="shared" si="213"/>
        <v>786.00244779316142</v>
      </c>
      <c r="X79" s="3342">
        <f t="shared" si="213"/>
        <v>0</v>
      </c>
      <c r="Y79" s="2012">
        <f t="shared" si="214"/>
        <v>786.00244779316142</v>
      </c>
      <c r="Z79" s="3455"/>
      <c r="AA79" s="3455"/>
      <c r="AB79" s="3341">
        <f>(AC8+AC41+AC50+AC54)/(1-'расчет 2024'!$M$23)*'расчет 2024'!$M$23</f>
        <v>0</v>
      </c>
      <c r="AC79" s="3341"/>
      <c r="AD79" s="2012">
        <f>AB79+AC79</f>
        <v>0</v>
      </c>
      <c r="AE79" s="4611"/>
      <c r="AF79" s="4633"/>
      <c r="AG79" s="3341">
        <f>(AH8+AH41+AH50+AH54)/(1-'расчет 2024'!$M$23)*'расчет 2024'!$M$23</f>
        <v>0</v>
      </c>
      <c r="AH79" s="3341"/>
      <c r="AI79" s="2012">
        <f>AG79+AH79</f>
        <v>0</v>
      </c>
      <c r="AJ79" s="4611"/>
      <c r="AK79" s="4633"/>
      <c r="AL79" s="3341">
        <f>(AM8+AM41+AM50+AM54)/(1-'расчет 2024'!$M$23)*'расчет 2024'!$M$23</f>
        <v>0</v>
      </c>
      <c r="AM79" s="3341"/>
      <c r="AN79" s="2012">
        <f>AL79+AM79</f>
        <v>0</v>
      </c>
      <c r="AO79" s="4611"/>
      <c r="AP79" s="4633"/>
      <c r="AQ79" s="3341">
        <f>(AR8+AR41+AR50+AR54)/(1-'расчет 2024'!$M$23)*'расчет 2024'!$M$23</f>
        <v>0</v>
      </c>
      <c r="AR79" s="3341"/>
      <c r="AS79" s="2012">
        <f>AQ79+AR79</f>
        <v>0</v>
      </c>
      <c r="AT79" s="4611"/>
      <c r="AU79" s="4633"/>
      <c r="AV79" s="3341">
        <f>(AW8+AW41+AW50+AW54)/(1-'расчет 2024'!$M$28)*'расчет 2024'!$M$28</f>
        <v>786.00244779316142</v>
      </c>
      <c r="AW79" s="3341"/>
      <c r="AX79" s="2012">
        <f>AV79+AW79</f>
        <v>786.00244779316142</v>
      </c>
      <c r="AY79" s="4611"/>
      <c r="AZ79" s="4633"/>
      <c r="BA79" s="3341">
        <f>(BB8+BB41+BB50+BB54)/(1-'расчет 2024'!$M$28)*'расчет 2024'!$M$28</f>
        <v>0</v>
      </c>
      <c r="BB79" s="3341"/>
      <c r="BC79" s="2012">
        <f>BA79+BB79</f>
        <v>0</v>
      </c>
      <c r="BD79" s="4611"/>
      <c r="BE79" s="4633"/>
      <c r="BF79" s="3341">
        <f>(BG8+BG41+BG50+BG54)/(1-'расчет 2024'!$M$23)*'расчет 2024'!$M$23</f>
        <v>0</v>
      </c>
      <c r="BG79" s="3341"/>
      <c r="BH79" s="2012">
        <f>BF79+BG79</f>
        <v>0</v>
      </c>
      <c r="BI79" s="4611"/>
      <c r="BJ79" s="4633"/>
      <c r="BK79" s="3341"/>
      <c r="BL79" s="3341"/>
      <c r="BM79" s="2012">
        <f>BK79+BL79</f>
        <v>0</v>
      </c>
      <c r="BN79" s="4611"/>
      <c r="BO79" s="4633"/>
      <c r="BP79" s="3341">
        <f>(BQ8+BQ41+BQ50+BQ54)/(1-'расчет 2024'!$M$23)*'расчет 2024'!$M$23</f>
        <v>0</v>
      </c>
      <c r="BQ79" s="3341"/>
      <c r="BR79" s="2012">
        <f>BP79+BQ79</f>
        <v>0</v>
      </c>
      <c r="BS79" s="4611"/>
      <c r="BT79" s="4633"/>
      <c r="BU79" s="3341">
        <f>(BV8+BV41+BV50+BV54)/(1-'расчет 2024'!$M$23)*'расчет 2024'!$M$23</f>
        <v>0</v>
      </c>
      <c r="BV79" s="3341"/>
      <c r="BW79" s="2012">
        <f>BU79+BV79</f>
        <v>0</v>
      </c>
      <c r="BX79" s="4611"/>
      <c r="BY79" s="4633"/>
      <c r="BZ79" s="3341">
        <f>(CA8+CA41+CA50+CA54)/(1-'расчет 2024'!$M$23)*'расчет 2024'!$M$23</f>
        <v>0</v>
      </c>
      <c r="CA79" s="3341"/>
      <c r="CB79" s="2012">
        <f>BZ79+CA79</f>
        <v>0</v>
      </c>
      <c r="CC79" s="4611"/>
      <c r="CD79" s="4633"/>
      <c r="CE79" s="3341">
        <f>(CF8+CF41+CF50+CF54)/(1-'расчет 2024'!$M$23)*'расчет 2024'!$M$23</f>
        <v>0</v>
      </c>
      <c r="CF79" s="3341"/>
      <c r="CG79" s="2012">
        <f>CE79+CF79</f>
        <v>0</v>
      </c>
      <c r="CH79" s="4611"/>
      <c r="CI79" s="4633"/>
      <c r="CJ79" s="3341">
        <f t="shared" si="215"/>
        <v>786.00244779316142</v>
      </c>
      <c r="CK79" s="3341">
        <f t="shared" si="215"/>
        <v>0</v>
      </c>
      <c r="CL79" s="2012">
        <f t="shared" ref="CL79" si="216">CJ79+CK79*1</f>
        <v>786.00244779316142</v>
      </c>
      <c r="CM79" s="4611"/>
      <c r="CN79" s="4611"/>
      <c r="CP79" s="2012">
        <f t="shared" ref="CP79" si="217">CN79+CO79*1</f>
        <v>0</v>
      </c>
      <c r="CQ79" s="2012">
        <f t="shared" ref="CQ79" si="218">CL79</f>
        <v>786.00244779316142</v>
      </c>
      <c r="CR79" s="4614">
        <f t="shared" ref="CR79" si="219">CP79-CQ79</f>
        <v>-786.00244779316142</v>
      </c>
      <c r="CT79" s="2624"/>
    </row>
    <row r="80" spans="1:98" ht="13.8" outlineLevel="2">
      <c r="A80" s="1397"/>
      <c r="B80" s="4463"/>
      <c r="C80" s="3341"/>
      <c r="D80" s="3341"/>
      <c r="E80" s="4612"/>
      <c r="F80" s="4612"/>
      <c r="G80" s="4650"/>
      <c r="H80" s="3341"/>
      <c r="I80" s="3341"/>
      <c r="J80" s="4612"/>
      <c r="K80" s="4612"/>
      <c r="L80" s="4650"/>
      <c r="M80" s="3341"/>
      <c r="N80" s="3341"/>
      <c r="O80" s="4612"/>
      <c r="P80" s="4612"/>
      <c r="Q80" s="4650"/>
      <c r="R80" s="3448"/>
      <c r="S80" s="3448"/>
      <c r="T80" s="3448"/>
      <c r="U80" s="3448"/>
      <c r="V80" s="3448"/>
      <c r="W80" s="3448"/>
      <c r="X80" s="3448"/>
      <c r="Y80" s="3448"/>
      <c r="Z80" s="3448"/>
      <c r="AA80" s="3448"/>
      <c r="AB80" s="3341"/>
      <c r="AC80" s="3341"/>
      <c r="AD80" s="4612"/>
      <c r="AE80" s="4612"/>
      <c r="AF80" s="4650"/>
      <c r="AG80" s="3341"/>
      <c r="AH80" s="3341"/>
      <c r="AI80" s="4612"/>
      <c r="AJ80" s="4612"/>
      <c r="AK80" s="4650"/>
      <c r="AL80" s="3341"/>
      <c r="AM80" s="3341"/>
      <c r="AN80" s="4612"/>
      <c r="AO80" s="4612"/>
      <c r="AP80" s="4650"/>
      <c r="AQ80" s="3341"/>
      <c r="AR80" s="3341"/>
      <c r="AS80" s="4612"/>
      <c r="AT80" s="4612"/>
      <c r="AU80" s="4650"/>
      <c r="AV80" s="3341"/>
      <c r="AW80" s="3341"/>
      <c r="AX80" s="4612"/>
      <c r="AY80" s="4612"/>
      <c r="AZ80" s="4650"/>
      <c r="BA80" s="3341"/>
      <c r="BB80" s="3341"/>
      <c r="BC80" s="4612"/>
      <c r="BD80" s="4612"/>
      <c r="BE80" s="4650"/>
      <c r="BF80" s="3341"/>
      <c r="BG80" s="3341"/>
      <c r="BH80" s="4612"/>
      <c r="BI80" s="4612"/>
      <c r="BJ80" s="4650"/>
      <c r="BK80" s="3341"/>
      <c r="BL80" s="3341"/>
      <c r="BM80" s="4612"/>
      <c r="BN80" s="4612"/>
      <c r="BO80" s="4650"/>
      <c r="BP80" s="3341"/>
      <c r="BQ80" s="3341"/>
      <c r="BR80" s="4612"/>
      <c r="BS80" s="4612"/>
      <c r="BT80" s="4650"/>
      <c r="BU80" s="3341"/>
      <c r="BV80" s="3341"/>
      <c r="BW80" s="4612"/>
      <c r="BX80" s="4612"/>
      <c r="BY80" s="4650"/>
      <c r="BZ80" s="3341"/>
      <c r="CA80" s="3341"/>
      <c r="CB80" s="4612"/>
      <c r="CC80" s="4612"/>
      <c r="CD80" s="4650"/>
      <c r="CE80" s="3341"/>
      <c r="CF80" s="3341"/>
      <c r="CG80" s="4612"/>
      <c r="CH80" s="4612"/>
      <c r="CI80" s="4650"/>
      <c r="CJ80" s="3341">
        <f>C80+H80+M80</f>
        <v>0</v>
      </c>
      <c r="CK80" s="3341">
        <f>D80+I80+N80</f>
        <v>0</v>
      </c>
      <c r="CL80" s="4612"/>
      <c r="CM80" s="4612"/>
      <c r="CN80" s="4612"/>
      <c r="CP80" s="4651"/>
      <c r="CQ80" s="4651"/>
      <c r="CR80" s="4614"/>
    </row>
    <row r="81" spans="1:101" s="1396" customFormat="1" ht="14.4" outlineLevel="1" thickBot="1">
      <c r="A81" s="1419"/>
      <c r="B81" s="4456" t="s">
        <v>12</v>
      </c>
      <c r="C81" s="4457">
        <f>(C75+C78)-C79</f>
        <v>0</v>
      </c>
      <c r="D81" s="4457">
        <f>(D75+D78)-D79</f>
        <v>0</v>
      </c>
      <c r="E81" s="4458">
        <f>(E75+E78)-E79</f>
        <v>0</v>
      </c>
      <c r="F81" s="4459"/>
      <c r="G81" s="4460"/>
      <c r="H81" s="4457">
        <f>(H75+H78)-H79</f>
        <v>0</v>
      </c>
      <c r="I81" s="4457">
        <f>(I75+I78)-I79</f>
        <v>0</v>
      </c>
      <c r="J81" s="4458">
        <f>(J75+J78)-J79</f>
        <v>0</v>
      </c>
      <c r="K81" s="4459"/>
      <c r="L81" s="4460"/>
      <c r="M81" s="4457">
        <f>(M75+M78)-M79</f>
        <v>0</v>
      </c>
      <c r="N81" s="4457">
        <f>(N75+N78)-N79</f>
        <v>0</v>
      </c>
      <c r="O81" s="4458">
        <f>(O75+O78)-O79</f>
        <v>0</v>
      </c>
      <c r="P81" s="4459"/>
      <c r="Q81" s="4460"/>
      <c r="R81" s="4457">
        <f>(R75+R78)-R79</f>
        <v>0</v>
      </c>
      <c r="S81" s="4457">
        <f>(S75+S78)-S79</f>
        <v>0</v>
      </c>
      <c r="T81" s="4458">
        <f>(T75+T78)-T79</f>
        <v>0</v>
      </c>
      <c r="U81" s="4461"/>
      <c r="V81" s="4461"/>
      <c r="W81" s="4457">
        <f>(W75+W78)-W79</f>
        <v>-3717.6024477931614</v>
      </c>
      <c r="X81" s="4457">
        <f>(X75+X78)-X79</f>
        <v>-5260</v>
      </c>
      <c r="Y81" s="4458">
        <f>(Y75+Y78)-Y79</f>
        <v>-8977.6024477931624</v>
      </c>
      <c r="Z81" s="4461"/>
      <c r="AA81" s="4461"/>
      <c r="AB81" s="4457">
        <f>(AB75+AB78)-AB79</f>
        <v>0</v>
      </c>
      <c r="AC81" s="4457">
        <f>(AC75+AC78)-AC79</f>
        <v>0</v>
      </c>
      <c r="AD81" s="4458">
        <f>(AD75+AD78)-AD79</f>
        <v>0</v>
      </c>
      <c r="AE81" s="4459"/>
      <c r="AF81" s="4460"/>
      <c r="AG81" s="4457">
        <f>(AG75+AG78)-AG79</f>
        <v>0</v>
      </c>
      <c r="AH81" s="4457">
        <f>(AH75+AH78)-AH79</f>
        <v>0</v>
      </c>
      <c r="AI81" s="4458">
        <f>(AI75+AI78)-AI79</f>
        <v>0</v>
      </c>
      <c r="AJ81" s="4459"/>
      <c r="AK81" s="4460"/>
      <c r="AL81" s="4457">
        <f>(AL75+AL78)-AL79</f>
        <v>0</v>
      </c>
      <c r="AM81" s="4457">
        <f>(AM75+AM78)-AM79</f>
        <v>0</v>
      </c>
      <c r="AN81" s="4458">
        <f>(AN75+AN78)-AN79</f>
        <v>0</v>
      </c>
      <c r="AO81" s="4459"/>
      <c r="AP81" s="4460"/>
      <c r="AQ81" s="4457">
        <f>(AQ75+AQ78)-AQ79</f>
        <v>0</v>
      </c>
      <c r="AR81" s="4457">
        <f>(AR75+AR78)-AR79</f>
        <v>0</v>
      </c>
      <c r="AS81" s="4458">
        <f>(AS75+AS78)-AS79</f>
        <v>0</v>
      </c>
      <c r="AT81" s="4459"/>
      <c r="AU81" s="4460"/>
      <c r="AV81" s="4457">
        <f>(AV75+AV78)-AV79</f>
        <v>-3717.6024477931614</v>
      </c>
      <c r="AW81" s="4457">
        <f>(AW75+AW78)-AW79</f>
        <v>-5260</v>
      </c>
      <c r="AX81" s="4458">
        <f>(AX75+AX78)-AX79</f>
        <v>-8977.6024477931624</v>
      </c>
      <c r="AY81" s="4459"/>
      <c r="AZ81" s="4460"/>
      <c r="BA81" s="4457">
        <f>(BA75+BA78)-BA79</f>
        <v>0</v>
      </c>
      <c r="BB81" s="4457">
        <f>(BB75+BB78)-BB79</f>
        <v>0</v>
      </c>
      <c r="BC81" s="4458">
        <f>(BC75+BC78)-BC79</f>
        <v>0</v>
      </c>
      <c r="BD81" s="4459"/>
      <c r="BE81" s="4460"/>
      <c r="BF81" s="4457">
        <f>(BF75+BF78)-BF79</f>
        <v>0</v>
      </c>
      <c r="BG81" s="4457">
        <f>(BG75+BG78)-BG79</f>
        <v>0</v>
      </c>
      <c r="BH81" s="4458">
        <f>(BH75+BH78)-BH79</f>
        <v>0</v>
      </c>
      <c r="BI81" s="4459"/>
      <c r="BJ81" s="4460"/>
      <c r="BK81" s="4457">
        <f>(BK75+BK78)-BK79</f>
        <v>0</v>
      </c>
      <c r="BL81" s="4457">
        <f>(BL75+BL78)-BL79</f>
        <v>0</v>
      </c>
      <c r="BM81" s="4458">
        <f>(BM75+BM78)-BM79</f>
        <v>0</v>
      </c>
      <c r="BN81" s="4459"/>
      <c r="BO81" s="4460"/>
      <c r="BP81" s="4457">
        <f>(BP75+BP78)-BP79</f>
        <v>0</v>
      </c>
      <c r="BQ81" s="4457">
        <f>(BQ75+BQ78)-BQ79</f>
        <v>0</v>
      </c>
      <c r="BR81" s="4458">
        <f>(BR75+BR78)-BR79</f>
        <v>0</v>
      </c>
      <c r="BS81" s="4459"/>
      <c r="BT81" s="4460"/>
      <c r="BU81" s="4457">
        <f>(BU75+BU78)-BU79</f>
        <v>0</v>
      </c>
      <c r="BV81" s="4457">
        <f>(BV75+BV78)-BV79</f>
        <v>0</v>
      </c>
      <c r="BW81" s="4458">
        <f>(BW75+BW78)-BW79</f>
        <v>0</v>
      </c>
      <c r="BX81" s="4459"/>
      <c r="BY81" s="4460"/>
      <c r="BZ81" s="4457">
        <f>(BZ75+BZ78)-BZ79</f>
        <v>0</v>
      </c>
      <c r="CA81" s="4457">
        <f>(CA75+CA78)-CA79</f>
        <v>0</v>
      </c>
      <c r="CB81" s="4458">
        <f>(CB75+CB78)-CB79</f>
        <v>0</v>
      </c>
      <c r="CC81" s="4459"/>
      <c r="CD81" s="4460"/>
      <c r="CE81" s="4457">
        <f>(CE75+CE78)-CE79</f>
        <v>0</v>
      </c>
      <c r="CF81" s="4457">
        <f>(CF75+CF78)-CF79</f>
        <v>0</v>
      </c>
      <c r="CG81" s="4458">
        <f>(CG75+CG78)-CG79</f>
        <v>0</v>
      </c>
      <c r="CH81" s="4459"/>
      <c r="CI81" s="4460"/>
      <c r="CJ81" s="4457">
        <f>(CJ75+CJ78)-CJ79</f>
        <v>-3717.6024477931614</v>
      </c>
      <c r="CK81" s="4457">
        <f>(CK75+CK78)-CK79</f>
        <v>-5260</v>
      </c>
      <c r="CL81" s="4458">
        <f>(CL75+CL78)-CL79</f>
        <v>-8977.6024477931624</v>
      </c>
      <c r="CM81" s="4459"/>
      <c r="CN81" s="4459"/>
      <c r="CP81" s="4458">
        <f>(CP75+CP78)-CP79</f>
        <v>16254.679999999993</v>
      </c>
      <c r="CQ81" s="4652">
        <f>(CQ75+CQ78)-CQ79</f>
        <v>-8977.6024477931624</v>
      </c>
      <c r="CR81" s="4458">
        <f>(CR75+CR78)-CR79</f>
        <v>25232.282447793161</v>
      </c>
      <c r="CT81" s="2624"/>
    </row>
    <row r="82" spans="1:101" s="1396" customFormat="1" ht="13.8" outlineLevel="2">
      <c r="A82" s="1565"/>
      <c r="B82" s="1400" t="s">
        <v>38</v>
      </c>
      <c r="C82" s="3341"/>
      <c r="D82" s="3341"/>
      <c r="E82" s="3390">
        <f>C82+D82</f>
        <v>0</v>
      </c>
      <c r="F82" s="3381"/>
      <c r="G82" s="3455"/>
      <c r="H82" s="3341"/>
      <c r="I82" s="3341"/>
      <c r="J82" s="3390">
        <f>H82+I82</f>
        <v>0</v>
      </c>
      <c r="K82" s="4428" t="e">
        <f t="shared" ref="K82" si="220">J82/J$89</f>
        <v>#DIV/0!</v>
      </c>
      <c r="L82" s="3455"/>
      <c r="M82" s="3341"/>
      <c r="N82" s="3341"/>
      <c r="O82" s="3390">
        <f>M82+N82</f>
        <v>0</v>
      </c>
      <c r="P82" s="4428" t="e">
        <f t="shared" ref="P82" si="221">O82/O$89</f>
        <v>#DIV/0!</v>
      </c>
      <c r="Q82" s="3455"/>
      <c r="R82" s="3342">
        <f t="shared" ref="R82:S82" si="222">M82+H82+C82</f>
        <v>0</v>
      </c>
      <c r="S82" s="3342">
        <f t="shared" si="222"/>
        <v>0</v>
      </c>
      <c r="T82" s="2012">
        <f t="shared" ref="T82" si="223">R82+S82</f>
        <v>0</v>
      </c>
      <c r="U82" s="3455"/>
      <c r="V82" s="3455"/>
      <c r="W82" s="3342">
        <f t="shared" ref="W82:X82" si="224">AB82+AG82+AL82+AV82+BA82+BF82+BK82+BP82+BU82+BZ82+CE82+AQ82</f>
        <v>0</v>
      </c>
      <c r="X82" s="3342">
        <f t="shared" si="224"/>
        <v>0</v>
      </c>
      <c r="Y82" s="2012">
        <f t="shared" ref="Y82" si="225">W82+X82</f>
        <v>0</v>
      </c>
      <c r="Z82" s="3455"/>
      <c r="AA82" s="3455"/>
      <c r="AB82" s="3341"/>
      <c r="AC82" s="3341"/>
      <c r="AD82" s="3390">
        <f>AB82+AC82</f>
        <v>0</v>
      </c>
      <c r="AE82" s="3381"/>
      <c r="AF82" s="3455"/>
      <c r="AG82" s="3341"/>
      <c r="AH82" s="3341"/>
      <c r="AI82" s="3390">
        <f>AG82+AH82</f>
        <v>0</v>
      </c>
      <c r="AJ82" s="3381"/>
      <c r="AK82" s="3455"/>
      <c r="AL82" s="3341"/>
      <c r="AM82" s="3341"/>
      <c r="AN82" s="3390">
        <f>AL82+AM82</f>
        <v>0</v>
      </c>
      <c r="AO82" s="3381"/>
      <c r="AP82" s="3455"/>
      <c r="AQ82" s="3341"/>
      <c r="AR82" s="3341"/>
      <c r="AS82" s="3390">
        <f>AQ82+AR82</f>
        <v>0</v>
      </c>
      <c r="AT82" s="3381"/>
      <c r="AU82" s="3455"/>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381"/>
      <c r="CP82" s="3415">
        <f>CN82+CO82</f>
        <v>0</v>
      </c>
      <c r="CQ82" s="3415">
        <f>CO82+CP82</f>
        <v>0</v>
      </c>
      <c r="CR82" s="3415"/>
      <c r="CT82" s="2624"/>
    </row>
    <row r="83" spans="1:101" s="1396" customFormat="1" ht="13.8" outlineLevel="1">
      <c r="A83" s="1405"/>
      <c r="B83" s="4466" t="s">
        <v>13</v>
      </c>
      <c r="C83" s="4467">
        <f>(C81+C7)-C36</f>
        <v>0</v>
      </c>
      <c r="D83" s="4467">
        <f>(D81+D7)-D36</f>
        <v>0</v>
      </c>
      <c r="E83" s="4468">
        <f>(E81+E7)-E36</f>
        <v>0</v>
      </c>
      <c r="F83" s="4469"/>
      <c r="G83" s="4470"/>
      <c r="H83" s="4467">
        <f>(H81+H7)-H36</f>
        <v>0</v>
      </c>
      <c r="I83" s="4467">
        <f>(I81+I7)-I36</f>
        <v>0</v>
      </c>
      <c r="J83" s="4468">
        <f>(J81+J7)-J36</f>
        <v>0</v>
      </c>
      <c r="K83" s="4469"/>
      <c r="L83" s="4470"/>
      <c r="M83" s="4467">
        <f>(M81+M7)-M36</f>
        <v>0</v>
      </c>
      <c r="N83" s="4467">
        <f>(N81+N7)-N36</f>
        <v>0</v>
      </c>
      <c r="O83" s="4468">
        <f>(O81+O7)-O36</f>
        <v>0</v>
      </c>
      <c r="P83" s="4469"/>
      <c r="Q83" s="4470"/>
      <c r="R83" s="4467">
        <f>(R81+R7)-R36</f>
        <v>0</v>
      </c>
      <c r="S83" s="4467">
        <f>(S81+S7)-S36</f>
        <v>0</v>
      </c>
      <c r="T83" s="4468">
        <f>(T81+T7)-T36</f>
        <v>0</v>
      </c>
      <c r="U83" s="4471"/>
      <c r="V83" s="4471"/>
      <c r="W83" s="4467">
        <f>(W81+W7)-W36</f>
        <v>-3717.6024477931614</v>
      </c>
      <c r="X83" s="4467">
        <f>(X81+X7)-X36</f>
        <v>-5260</v>
      </c>
      <c r="Y83" s="4468">
        <f>(Y81+Y7)-Y36</f>
        <v>-8977.6024477931624</v>
      </c>
      <c r="Z83" s="4471"/>
      <c r="AA83" s="4471"/>
      <c r="AB83" s="4467">
        <f>(AB81+AB7)-AB36</f>
        <v>0</v>
      </c>
      <c r="AC83" s="4467">
        <f>(AC81+AC7)-AC36</f>
        <v>0</v>
      </c>
      <c r="AD83" s="4468">
        <f>(AD81+AD7)-AD36</f>
        <v>0</v>
      </c>
      <c r="AE83" s="4469"/>
      <c r="AF83" s="4470"/>
      <c r="AG83" s="4467">
        <f>(AG81+AG7)-AG36</f>
        <v>0</v>
      </c>
      <c r="AH83" s="4467">
        <f>(AH81+AH7)-AH36</f>
        <v>0</v>
      </c>
      <c r="AI83" s="4468">
        <f>(AI81+AI7)-AI36</f>
        <v>0</v>
      </c>
      <c r="AJ83" s="4469"/>
      <c r="AK83" s="4470"/>
      <c r="AL83" s="4467">
        <f>(AL81+AL7)-AL36</f>
        <v>0</v>
      </c>
      <c r="AM83" s="4467">
        <f>(AM81+AM7)-AM36</f>
        <v>0</v>
      </c>
      <c r="AN83" s="4468">
        <f>(AN81+AN7)-AN36</f>
        <v>0</v>
      </c>
      <c r="AO83" s="4469"/>
      <c r="AP83" s="4470"/>
      <c r="AQ83" s="4467">
        <f>(AQ81+AQ7)-AQ36</f>
        <v>0</v>
      </c>
      <c r="AR83" s="4467">
        <f>(AR81+AR7)-AR36</f>
        <v>0</v>
      </c>
      <c r="AS83" s="4468">
        <f>(AS81+AS7)-AS36</f>
        <v>0</v>
      </c>
      <c r="AT83" s="4469"/>
      <c r="AU83" s="4470"/>
      <c r="AV83" s="4467">
        <f>(AV81+AV7)-AV36</f>
        <v>-3717.6024477931614</v>
      </c>
      <c r="AW83" s="4467">
        <f>(AW81+AW7)-AW36</f>
        <v>-5260</v>
      </c>
      <c r="AX83" s="4468">
        <f>(AX81+AX7)-AX36</f>
        <v>-8977.6024477931624</v>
      </c>
      <c r="AY83" s="4469"/>
      <c r="AZ83" s="4470"/>
      <c r="BA83" s="4467">
        <f>(BA81+BA7)-BA36</f>
        <v>0</v>
      </c>
      <c r="BB83" s="4467">
        <f>(BB81+BB7)-BB36</f>
        <v>0</v>
      </c>
      <c r="BC83" s="4468">
        <f>(BC81+BC7)-BC36</f>
        <v>0</v>
      </c>
      <c r="BD83" s="4469"/>
      <c r="BE83" s="4470"/>
      <c r="BF83" s="4467">
        <f>(BF81+BF7)-BF36</f>
        <v>0</v>
      </c>
      <c r="BG83" s="4467">
        <f>(BG81+BG7)-BG36</f>
        <v>0</v>
      </c>
      <c r="BH83" s="4468">
        <f>(BH81+BH7)-BH36</f>
        <v>0</v>
      </c>
      <c r="BI83" s="4469"/>
      <c r="BJ83" s="4470"/>
      <c r="BK83" s="4467">
        <f>(BK81+BK7)-BK36</f>
        <v>0</v>
      </c>
      <c r="BL83" s="4467">
        <f>(BL81+BL7)-BL36</f>
        <v>0</v>
      </c>
      <c r="BM83" s="4468">
        <f>(BM81+BM7)-BM36</f>
        <v>0</v>
      </c>
      <c r="BN83" s="4469"/>
      <c r="BO83" s="4470"/>
      <c r="BP83" s="4467">
        <f>(BP81+BP7)-BP36</f>
        <v>0</v>
      </c>
      <c r="BQ83" s="4467">
        <f>(BQ81+BQ7)-BQ36</f>
        <v>0</v>
      </c>
      <c r="BR83" s="4468">
        <f>(BR81+BR7)-BR36</f>
        <v>0</v>
      </c>
      <c r="BS83" s="4469"/>
      <c r="BT83" s="4470"/>
      <c r="BU83" s="4467">
        <f>(BU81+BU7)-BU36</f>
        <v>0</v>
      </c>
      <c r="BV83" s="4467">
        <f>(BV81+BV7)-BV36</f>
        <v>0</v>
      </c>
      <c r="BW83" s="4468">
        <f>(BW81+BW7)-BW36</f>
        <v>0</v>
      </c>
      <c r="BX83" s="4469"/>
      <c r="BY83" s="4470"/>
      <c r="BZ83" s="4467">
        <f>(BZ81+BZ7)-BZ36</f>
        <v>0</v>
      </c>
      <c r="CA83" s="4467">
        <f>(CA81+CA7)-CA36</f>
        <v>0</v>
      </c>
      <c r="CB83" s="4468">
        <f>(CB81+CB7)-CB36</f>
        <v>0</v>
      </c>
      <c r="CC83" s="4469"/>
      <c r="CD83" s="4470"/>
      <c r="CE83" s="4467">
        <f>(CE81+CE7)-CE36</f>
        <v>0</v>
      </c>
      <c r="CF83" s="4467">
        <f>(CF81+CF7)-CF36</f>
        <v>0</v>
      </c>
      <c r="CG83" s="4468">
        <f>(CG81+CG7)-CG36</f>
        <v>0</v>
      </c>
      <c r="CH83" s="4469"/>
      <c r="CI83" s="4470"/>
      <c r="CJ83" s="4467">
        <f>(CJ81+CJ7)-CJ36</f>
        <v>-3717.6024477931614</v>
      </c>
      <c r="CK83" s="4467">
        <f>(CK81+CK7)-CK36</f>
        <v>-5260</v>
      </c>
      <c r="CL83" s="4468">
        <f>(CL81+CL7)-CL36</f>
        <v>-8977.6024477931624</v>
      </c>
      <c r="CM83" s="4469"/>
      <c r="CN83" s="4469"/>
      <c r="CP83" s="3481">
        <f>(CP81+CP7)-CP36</f>
        <v>16254.679999999993</v>
      </c>
      <c r="CQ83" s="3481">
        <f>(CQ81+CQ7)-CQ36</f>
        <v>-8977.6024477931624</v>
      </c>
      <c r="CR83" s="3481">
        <f>(CR81+CR7)-CR36</f>
        <v>25232.282447793161</v>
      </c>
      <c r="CT83" s="2624"/>
    </row>
    <row r="84" spans="1:101" s="1396" customFormat="1" ht="14.4" outlineLevel="1" thickBot="1">
      <c r="A84" s="1405"/>
      <c r="B84" s="4653" t="s">
        <v>14</v>
      </c>
      <c r="C84" s="4472">
        <f>C83-C73-C82</f>
        <v>0</v>
      </c>
      <c r="D84" s="4472">
        <f>D83-D73-D82</f>
        <v>0</v>
      </c>
      <c r="E84" s="4472">
        <f>E83-E73-E82</f>
        <v>0</v>
      </c>
      <c r="F84" s="4594"/>
      <c r="G84" s="4654"/>
      <c r="H84" s="4472">
        <f>H83-H73-H82</f>
        <v>0</v>
      </c>
      <c r="I84" s="4472">
        <f>I83-I73-I82</f>
        <v>0</v>
      </c>
      <c r="J84" s="4472">
        <f>J83-J73-J82</f>
        <v>0</v>
      </c>
      <c r="K84" s="4594"/>
      <c r="L84" s="4654"/>
      <c r="M84" s="4472">
        <f>M83-M73-M82</f>
        <v>0</v>
      </c>
      <c r="N84" s="4472">
        <f>N83-N73-N82</f>
        <v>0</v>
      </c>
      <c r="O84" s="4472">
        <f>O83-O73-O82</f>
        <v>0</v>
      </c>
      <c r="P84" s="4594"/>
      <c r="Q84" s="4654"/>
      <c r="R84" s="4472">
        <f>R83-R73-R82</f>
        <v>0</v>
      </c>
      <c r="S84" s="4472">
        <f>S83-S73-S82</f>
        <v>0</v>
      </c>
      <c r="T84" s="4472">
        <f>T83-T73-T82</f>
        <v>0</v>
      </c>
      <c r="U84" s="4654"/>
      <c r="V84" s="4654"/>
      <c r="W84" s="4626">
        <f t="shared" ref="W84:X84" si="226">AB84+AG84+AL84+AV84+BA84+BF84+BK84+BP84+BU84+BZ84+CE84</f>
        <v>-3717.6024477931614</v>
      </c>
      <c r="X84" s="4627">
        <f t="shared" si="226"/>
        <v>-5260</v>
      </c>
      <c r="Y84" s="4472">
        <f>Y83-Y73-Y82</f>
        <v>-8977.6024477931624</v>
      </c>
      <c r="Z84" s="4654"/>
      <c r="AA84" s="4654"/>
      <c r="AB84" s="4472">
        <f>AB83-AB73-AB82</f>
        <v>0</v>
      </c>
      <c r="AC84" s="4472">
        <f>AC83-AC73-AC82</f>
        <v>0</v>
      </c>
      <c r="AD84" s="4472">
        <f>AD83-AD73-AD82</f>
        <v>0</v>
      </c>
      <c r="AE84" s="4594"/>
      <c r="AF84" s="4654"/>
      <c r="AG84" s="4472">
        <f>AG83-AG73-AG82</f>
        <v>0</v>
      </c>
      <c r="AH84" s="4472">
        <f>AH83-AH73-AH82</f>
        <v>0</v>
      </c>
      <c r="AI84" s="4472">
        <f>AI83-AI73-AI82</f>
        <v>0</v>
      </c>
      <c r="AJ84" s="4594"/>
      <c r="AK84" s="4654"/>
      <c r="AL84" s="4472">
        <f>AL83-AL73-AL82</f>
        <v>0</v>
      </c>
      <c r="AM84" s="4472">
        <f>AM83-AM73-AM82</f>
        <v>0</v>
      </c>
      <c r="AN84" s="4472">
        <f>AN83-AN73-AN82</f>
        <v>0</v>
      </c>
      <c r="AO84" s="4594"/>
      <c r="AP84" s="4654"/>
      <c r="AQ84" s="4472">
        <f>AQ83-AQ73-AQ82</f>
        <v>0</v>
      </c>
      <c r="AR84" s="4472">
        <f>AR83-AR73-AR82</f>
        <v>0</v>
      </c>
      <c r="AS84" s="4472">
        <f>AS83-AS73-AS82</f>
        <v>0</v>
      </c>
      <c r="AT84" s="4594"/>
      <c r="AU84" s="4654"/>
      <c r="AV84" s="4472">
        <f>AV83-AV73-AV82</f>
        <v>-3717.6024477931614</v>
      </c>
      <c r="AW84" s="4472">
        <f>AW83-AW73-AW82</f>
        <v>-5260</v>
      </c>
      <c r="AX84" s="4472">
        <f>AX83-AX73-AX82</f>
        <v>-8977.6024477931624</v>
      </c>
      <c r="AY84" s="4594"/>
      <c r="AZ84" s="4654"/>
      <c r="BA84" s="4472">
        <f>BA83-BA73-BA82</f>
        <v>0</v>
      </c>
      <c r="BB84" s="4472">
        <f>BB83-BB73-BB82</f>
        <v>0</v>
      </c>
      <c r="BC84" s="4472">
        <f>BC83-BC73-BC82</f>
        <v>0</v>
      </c>
      <c r="BD84" s="4594"/>
      <c r="BE84" s="4654"/>
      <c r="BF84" s="4472">
        <f>BF83-BF73-BF82</f>
        <v>0</v>
      </c>
      <c r="BG84" s="4472">
        <f>BG83-BG73-BG82</f>
        <v>0</v>
      </c>
      <c r="BH84" s="4472">
        <f>BH83-BH73-BH82</f>
        <v>0</v>
      </c>
      <c r="BI84" s="4594"/>
      <c r="BJ84" s="4654"/>
      <c r="BK84" s="4472">
        <f>BK83-BK73-BK82</f>
        <v>0</v>
      </c>
      <c r="BL84" s="4472">
        <f>BL83-BL73-BL82</f>
        <v>0</v>
      </c>
      <c r="BM84" s="4472">
        <f>BM83-BM73-BM82</f>
        <v>0</v>
      </c>
      <c r="BN84" s="4594"/>
      <c r="BO84" s="4654"/>
      <c r="BP84" s="4472">
        <f>BP83-BP73-BP82</f>
        <v>0</v>
      </c>
      <c r="BQ84" s="4472">
        <f>BQ83-BQ73-BQ82</f>
        <v>0</v>
      </c>
      <c r="BR84" s="4472">
        <f>BR83-BR73-BR82</f>
        <v>0</v>
      </c>
      <c r="BS84" s="4594"/>
      <c r="BT84" s="4654"/>
      <c r="BU84" s="4472">
        <f>BU83-BU73-BU82</f>
        <v>0</v>
      </c>
      <c r="BV84" s="4472">
        <f>BV83-BV73-BV82</f>
        <v>0</v>
      </c>
      <c r="BW84" s="4472">
        <f>BW83-BW73-BW82</f>
        <v>0</v>
      </c>
      <c r="BX84" s="4594"/>
      <c r="BY84" s="4654"/>
      <c r="BZ84" s="4472">
        <f>BZ83-BZ73-BZ82</f>
        <v>0</v>
      </c>
      <c r="CA84" s="4472">
        <f>CA83-CA73-CA82</f>
        <v>0</v>
      </c>
      <c r="CB84" s="4472">
        <f>CB83-CB73-CB82</f>
        <v>0</v>
      </c>
      <c r="CC84" s="4594"/>
      <c r="CD84" s="4654"/>
      <c r="CE84" s="4472">
        <f>CE83-CE73-CE82</f>
        <v>0</v>
      </c>
      <c r="CF84" s="4472">
        <f>CF83-CF73-CF82</f>
        <v>0</v>
      </c>
      <c r="CG84" s="4472">
        <f>CG83-CG73-CG82</f>
        <v>0</v>
      </c>
      <c r="CH84" s="4594"/>
      <c r="CI84" s="4654"/>
      <c r="CJ84" s="4624">
        <f t="shared" ref="CJ84:CK84" si="227">C84+H84+M84+W84</f>
        <v>-3717.6024477931614</v>
      </c>
      <c r="CK84" s="4624">
        <f t="shared" si="227"/>
        <v>-5260</v>
      </c>
      <c r="CL84" s="4472">
        <f>CL83-CL73-CL82</f>
        <v>-8977.6024477931624</v>
      </c>
      <c r="CM84" s="4594"/>
      <c r="CN84" s="4594"/>
      <c r="CP84" s="3309">
        <f>CP83-CP73-CP82</f>
        <v>13695.679999999993</v>
      </c>
      <c r="CQ84" s="3484">
        <f>CQ83-CQ73-CQ82</f>
        <v>-8977.6024477931624</v>
      </c>
      <c r="CR84" s="3309">
        <f>CR83-CR73-CR82</f>
        <v>25232.282447793161</v>
      </c>
      <c r="CT84" s="2624"/>
    </row>
    <row r="85" spans="1:101" s="1396" customFormat="1" ht="13.8" outlineLevel="3">
      <c r="A85" s="1565"/>
      <c r="B85" s="1403" t="s">
        <v>44</v>
      </c>
      <c r="C85" s="3341"/>
      <c r="D85" s="3341"/>
      <c r="E85" s="2012">
        <f>C85+D85*1.15</f>
        <v>0</v>
      </c>
      <c r="F85" s="3381"/>
      <c r="G85" s="3455"/>
      <c r="H85" s="3341"/>
      <c r="I85" s="3341"/>
      <c r="J85" s="2012">
        <f>H85+I85*1.15</f>
        <v>0</v>
      </c>
      <c r="K85" s="4428" t="e">
        <f t="shared" ref="K85" si="228">J85/J$89</f>
        <v>#DIV/0!</v>
      </c>
      <c r="L85" s="3455"/>
      <c r="M85" s="3341"/>
      <c r="N85" s="3341"/>
      <c r="O85" s="2012">
        <f>M85+N85*1.15</f>
        <v>0</v>
      </c>
      <c r="P85" s="4428" t="e">
        <f t="shared" ref="P85" si="229">O85/O$89</f>
        <v>#DIV/0!</v>
      </c>
      <c r="Q85" s="3455"/>
      <c r="R85" s="3342">
        <f t="shared" ref="R85:S85" si="230">M85+H85+C85</f>
        <v>0</v>
      </c>
      <c r="S85" s="3342">
        <f t="shared" si="230"/>
        <v>0</v>
      </c>
      <c r="T85" s="2012">
        <f t="shared" ref="T85" si="231">R85+S85</f>
        <v>0</v>
      </c>
      <c r="U85" s="3455"/>
      <c r="V85" s="3455"/>
      <c r="W85" s="3342">
        <f t="shared" ref="W85:X85" si="232">AB85+AG85+AL85+AV85+BA85+BF85+BK85+BP85+BU85+BZ85+CE85+AQ85</f>
        <v>0</v>
      </c>
      <c r="X85" s="3342">
        <f t="shared" si="232"/>
        <v>0</v>
      </c>
      <c r="Y85" s="2012">
        <f t="shared" ref="Y85" si="233">W85+X85</f>
        <v>0</v>
      </c>
      <c r="Z85" s="3455"/>
      <c r="AA85" s="3455"/>
      <c r="AB85" s="3341"/>
      <c r="AC85" s="3341"/>
      <c r="AD85" s="2012">
        <f>AB85+AC85*1.15</f>
        <v>0</v>
      </c>
      <c r="AE85" s="3381"/>
      <c r="AF85" s="3455"/>
      <c r="AG85" s="3341"/>
      <c r="AH85" s="3341"/>
      <c r="AI85" s="2012">
        <f>AG85+AH85*1.15</f>
        <v>0</v>
      </c>
      <c r="AJ85" s="3381"/>
      <c r="AK85" s="3455"/>
      <c r="AL85" s="3341"/>
      <c r="AM85" s="3341"/>
      <c r="AN85" s="2012">
        <f>AL85+AM85*1.15</f>
        <v>0</v>
      </c>
      <c r="AO85" s="3381"/>
      <c r="AP85" s="3455"/>
      <c r="AQ85" s="3341"/>
      <c r="AR85" s="3341"/>
      <c r="AS85" s="2012">
        <f>AQ85+AR85*1.15</f>
        <v>0</v>
      </c>
      <c r="AT85" s="3381"/>
      <c r="AU85" s="3455"/>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2124">
        <f>CN85+CO85*1.15</f>
        <v>0</v>
      </c>
      <c r="CQ85" s="2124">
        <f>CO85+CP85*1.15</f>
        <v>0</v>
      </c>
      <c r="CR85" s="2124"/>
      <c r="CT85" s="2624"/>
    </row>
    <row r="86" spans="1:101" s="1396" customFormat="1" ht="27.6">
      <c r="A86" s="1405"/>
      <c r="B86" s="4473" t="s">
        <v>50</v>
      </c>
      <c r="C86" s="4474">
        <f>C84-C85</f>
        <v>0</v>
      </c>
      <c r="D86" s="4474">
        <f>D84-D85</f>
        <v>0</v>
      </c>
      <c r="E86" s="4474">
        <f>E84-E85</f>
        <v>0</v>
      </c>
      <c r="F86" s="4475"/>
      <c r="G86" s="4476"/>
      <c r="H86" s="4474">
        <f>H84-H85</f>
        <v>0</v>
      </c>
      <c r="I86" s="4474">
        <f>I84-I85</f>
        <v>0</v>
      </c>
      <c r="J86" s="4474">
        <f>J84-J85</f>
        <v>0</v>
      </c>
      <c r="K86" s="4475"/>
      <c r="L86" s="4476"/>
      <c r="M86" s="4474">
        <f>M84-M85</f>
        <v>0</v>
      </c>
      <c r="N86" s="4474">
        <f>N84-N85</f>
        <v>0</v>
      </c>
      <c r="O86" s="4474">
        <f>O84-O85</f>
        <v>0</v>
      </c>
      <c r="P86" s="4475"/>
      <c r="Q86" s="4476"/>
      <c r="R86" s="4474">
        <f>R84-R85</f>
        <v>0</v>
      </c>
      <c r="S86" s="4474">
        <f>S84-S85</f>
        <v>0</v>
      </c>
      <c r="T86" s="4474">
        <f>T84-T85</f>
        <v>0</v>
      </c>
      <c r="U86" s="4476"/>
      <c r="V86" s="4476"/>
      <c r="W86" s="4474">
        <f>W84-W85</f>
        <v>-3717.6024477931614</v>
      </c>
      <c r="X86" s="4474">
        <f>X84-X85</f>
        <v>-5260</v>
      </c>
      <c r="Y86" s="4474">
        <f>Y84-Y85</f>
        <v>-8977.6024477931624</v>
      </c>
      <c r="Z86" s="4476"/>
      <c r="AA86" s="4476"/>
      <c r="AB86" s="4474">
        <f>AB84-AB85</f>
        <v>0</v>
      </c>
      <c r="AC86" s="4474">
        <f>AC84-AC85</f>
        <v>0</v>
      </c>
      <c r="AD86" s="4474">
        <f>AD84-AD85</f>
        <v>0</v>
      </c>
      <c r="AE86" s="4475"/>
      <c r="AF86" s="4476"/>
      <c r="AG86" s="4474">
        <f>AG84-AG85</f>
        <v>0</v>
      </c>
      <c r="AH86" s="4474">
        <f>AH84-AH85</f>
        <v>0</v>
      </c>
      <c r="AI86" s="4474">
        <f>AI84-AI85</f>
        <v>0</v>
      </c>
      <c r="AJ86" s="4475"/>
      <c r="AK86" s="4476"/>
      <c r="AL86" s="4474">
        <f>AL84-AL85</f>
        <v>0</v>
      </c>
      <c r="AM86" s="4474">
        <f>AM84-AM85</f>
        <v>0</v>
      </c>
      <c r="AN86" s="4474">
        <f>AN84-AN85</f>
        <v>0</v>
      </c>
      <c r="AO86" s="4475"/>
      <c r="AP86" s="4476"/>
      <c r="AQ86" s="4474">
        <f>AQ84-AQ85</f>
        <v>0</v>
      </c>
      <c r="AR86" s="4474">
        <f>AR84-AR85</f>
        <v>0</v>
      </c>
      <c r="AS86" s="4474">
        <f>AS84-AS85</f>
        <v>0</v>
      </c>
      <c r="AT86" s="4475"/>
      <c r="AU86" s="4476"/>
      <c r="AV86" s="4474">
        <f>AV84-AV85</f>
        <v>-3717.6024477931614</v>
      </c>
      <c r="AW86" s="4474">
        <f>AW84-AW85</f>
        <v>-5260</v>
      </c>
      <c r="AX86" s="4474">
        <f>AX84-AX85</f>
        <v>-8977.6024477931624</v>
      </c>
      <c r="AY86" s="4475"/>
      <c r="AZ86" s="4476"/>
      <c r="BA86" s="4474">
        <f>BA84-BA85</f>
        <v>0</v>
      </c>
      <c r="BB86" s="4474">
        <f>BB84-BB85</f>
        <v>0</v>
      </c>
      <c r="BC86" s="4474">
        <f>BC84-BC85</f>
        <v>0</v>
      </c>
      <c r="BD86" s="4475"/>
      <c r="BE86" s="4476"/>
      <c r="BF86" s="4474">
        <f>BF84-BF85</f>
        <v>0</v>
      </c>
      <c r="BG86" s="4474">
        <f>BG84-BG85</f>
        <v>0</v>
      </c>
      <c r="BH86" s="4474">
        <f>BH84-BH85</f>
        <v>0</v>
      </c>
      <c r="BI86" s="4475"/>
      <c r="BJ86" s="4476"/>
      <c r="BK86" s="4474">
        <f>BK84-BK85</f>
        <v>0</v>
      </c>
      <c r="BL86" s="4474">
        <f>BL84-BL85</f>
        <v>0</v>
      </c>
      <c r="BM86" s="4474">
        <f>BM84-BM85</f>
        <v>0</v>
      </c>
      <c r="BN86" s="4475"/>
      <c r="BO86" s="4476"/>
      <c r="BP86" s="4474">
        <f>BP84-BP85</f>
        <v>0</v>
      </c>
      <c r="BQ86" s="4474">
        <f>BQ84-BQ85</f>
        <v>0</v>
      </c>
      <c r="BR86" s="4474">
        <f>BR84-BR85</f>
        <v>0</v>
      </c>
      <c r="BS86" s="4475"/>
      <c r="BT86" s="4476"/>
      <c r="BU86" s="4474">
        <f>BU84-BU85</f>
        <v>0</v>
      </c>
      <c r="BV86" s="4474">
        <f>BV84-BV85</f>
        <v>0</v>
      </c>
      <c r="BW86" s="4474">
        <f>BW84-BW85</f>
        <v>0</v>
      </c>
      <c r="BX86" s="4475"/>
      <c r="BY86" s="4476"/>
      <c r="BZ86" s="4474">
        <f>BZ84-BZ85</f>
        <v>0</v>
      </c>
      <c r="CA86" s="4474">
        <f>CA84-CA85</f>
        <v>0</v>
      </c>
      <c r="CB86" s="4474">
        <f>CB84-CB85</f>
        <v>0</v>
      </c>
      <c r="CC86" s="4475"/>
      <c r="CD86" s="4476"/>
      <c r="CE86" s="4474">
        <f>CE84-CE85</f>
        <v>0</v>
      </c>
      <c r="CF86" s="4474">
        <f>CF84-CF85</f>
        <v>0</v>
      </c>
      <c r="CG86" s="4474">
        <f>CG84-CG85</f>
        <v>0</v>
      </c>
      <c r="CH86" s="4475"/>
      <c r="CI86" s="4476"/>
      <c r="CJ86" s="4474">
        <f>CJ84-CJ85</f>
        <v>-3717.6024477931614</v>
      </c>
      <c r="CK86" s="4474">
        <f>CK84-CK85</f>
        <v>-5260</v>
      </c>
      <c r="CL86" s="3481">
        <f>CL84-CL85</f>
        <v>-8977.6024477931624</v>
      </c>
      <c r="CM86" s="4475"/>
      <c r="CN86" s="4475"/>
      <c r="CP86" s="3481">
        <f>CP84-CP85</f>
        <v>13695.679999999993</v>
      </c>
      <c r="CQ86" s="3481">
        <f>CQ84-CQ85</f>
        <v>-8977.6024477931624</v>
      </c>
      <c r="CR86" s="3481">
        <f>CQ86-CP86</f>
        <v>-22673.282447793157</v>
      </c>
      <c r="CT86" s="4616">
        <f>CR86/CP86</f>
        <v>-1.6555061484930407</v>
      </c>
      <c r="CW86" s="933"/>
    </row>
    <row r="87" spans="1:101" s="1396" customFormat="1" ht="14.4" thickBot="1">
      <c r="A87" s="1567"/>
      <c r="B87" s="4655" t="s">
        <v>51</v>
      </c>
      <c r="C87" s="4477">
        <f>IFERROR(C86/C5,0)</f>
        <v>0</v>
      </c>
      <c r="D87" s="4478">
        <f>IFERROR(D86/D5,0)</f>
        <v>0</v>
      </c>
      <c r="E87" s="4479">
        <f>IFERROR(E86/E5,0)</f>
        <v>0</v>
      </c>
      <c r="F87" s="4480"/>
      <c r="G87" s="4481"/>
      <c r="H87" s="4477">
        <f>IFERROR(H86/H5,0)</f>
        <v>0</v>
      </c>
      <c r="I87" s="4478">
        <f>IFERROR(I86/I5,0)</f>
        <v>0</v>
      </c>
      <c r="J87" s="4479">
        <f>IFERROR(J86/J5,0)</f>
        <v>0</v>
      </c>
      <c r="K87" s="4480"/>
      <c r="L87" s="4481"/>
      <c r="M87" s="4477">
        <f>IFERROR(M86/M5,0)</f>
        <v>0</v>
      </c>
      <c r="N87" s="4478">
        <f>IFERROR(N86/N5,0)</f>
        <v>0</v>
      </c>
      <c r="O87" s="4479">
        <f>IFERROR(O86/O5,0)</f>
        <v>0</v>
      </c>
      <c r="P87" s="4480"/>
      <c r="Q87" s="4481"/>
      <c r="R87" s="4482"/>
      <c r="S87" s="4482"/>
      <c r="T87" s="4482"/>
      <c r="U87" s="4482"/>
      <c r="V87" s="4482"/>
      <c r="W87" s="4482"/>
      <c r="X87" s="4482"/>
      <c r="Y87" s="4482"/>
      <c r="Z87" s="4482"/>
      <c r="AA87" s="4482"/>
      <c r="AB87" s="4477">
        <f>IFERROR(AB86/AB5,0)</f>
        <v>0</v>
      </c>
      <c r="AC87" s="4478">
        <f>IFERROR(AC86/AC5,0)</f>
        <v>0</v>
      </c>
      <c r="AD87" s="4479">
        <f>IFERROR(AD86/AD5,0)</f>
        <v>0</v>
      </c>
      <c r="AE87" s="4480"/>
      <c r="AF87" s="4481"/>
      <c r="AG87" s="4477">
        <f>IFERROR(AG86/AG5,0)</f>
        <v>0</v>
      </c>
      <c r="AH87" s="4478">
        <f>IFERROR(AH86/AH5,0)</f>
        <v>0</v>
      </c>
      <c r="AI87" s="4479">
        <f>IFERROR(AI86/AI5,0)</f>
        <v>0</v>
      </c>
      <c r="AJ87" s="4480"/>
      <c r="AK87" s="4481"/>
      <c r="AL87" s="4477">
        <f>IFERROR(AL86/AL5,0)</f>
        <v>0</v>
      </c>
      <c r="AM87" s="4478">
        <f>IFERROR(AM86/AM5,0)</f>
        <v>0</v>
      </c>
      <c r="AN87" s="4479">
        <f>IFERROR(AN86/AN5,0)</f>
        <v>0</v>
      </c>
      <c r="AO87" s="4480"/>
      <c r="AP87" s="4481"/>
      <c r="AQ87" s="4477">
        <f>IFERROR(AQ86/AQ5,0)</f>
        <v>0</v>
      </c>
      <c r="AR87" s="4478">
        <f>IFERROR(AR86/AR5,0)</f>
        <v>0</v>
      </c>
      <c r="AS87" s="4479">
        <f>IFERROR(AS86/AS5,0)</f>
        <v>0</v>
      </c>
      <c r="AT87" s="4480"/>
      <c r="AU87" s="4481"/>
      <c r="AV87" s="4477">
        <f>IFERROR(AV86/AV5,0)</f>
        <v>0</v>
      </c>
      <c r="AW87" s="4478">
        <f>IFERROR(AW86/AW5,0)</f>
        <v>0</v>
      </c>
      <c r="AX87" s="4479">
        <f>IFERROR(AX86/AX5,0)</f>
        <v>0</v>
      </c>
      <c r="AY87" s="4480"/>
      <c r="AZ87" s="4481"/>
      <c r="BA87" s="4477">
        <f>IFERROR(BA86/BA5,0)</f>
        <v>0</v>
      </c>
      <c r="BB87" s="4478">
        <f>IFERROR(BB86/BB5,0)</f>
        <v>0</v>
      </c>
      <c r="BC87" s="4479">
        <f>IFERROR(BC86/BC5,0)</f>
        <v>0</v>
      </c>
      <c r="BD87" s="4480"/>
      <c r="BE87" s="4481"/>
      <c r="BF87" s="4477">
        <f>IFERROR(BF86/BF5,0)</f>
        <v>0</v>
      </c>
      <c r="BG87" s="4478">
        <f>IFERROR(BG86/BG5,0)</f>
        <v>0</v>
      </c>
      <c r="BH87" s="4479">
        <f>IFERROR(BH86/BH5,0)</f>
        <v>0</v>
      </c>
      <c r="BI87" s="4480"/>
      <c r="BJ87" s="4481"/>
      <c r="BK87" s="4477">
        <f>IFERROR(BK86/BK5,0)</f>
        <v>0</v>
      </c>
      <c r="BL87" s="4478">
        <f>IFERROR(BL86/BL5,0)</f>
        <v>0</v>
      </c>
      <c r="BM87" s="4479">
        <f>IFERROR(BM86/BM5,0)</f>
        <v>0</v>
      </c>
      <c r="BN87" s="4480"/>
      <c r="BO87" s="4481"/>
      <c r="BP87" s="4477">
        <f>IFERROR(BP86/BP5,0)</f>
        <v>0</v>
      </c>
      <c r="BQ87" s="4478">
        <f>IFERROR(BQ86/BQ5,0)</f>
        <v>0</v>
      </c>
      <c r="BR87" s="4479">
        <f>IFERROR(BR86/BR5,0)</f>
        <v>0</v>
      </c>
      <c r="BS87" s="4480"/>
      <c r="BT87" s="4481"/>
      <c r="BU87" s="4477">
        <f>IFERROR(BU86/BU5,0)</f>
        <v>0</v>
      </c>
      <c r="BV87" s="4478">
        <f>IFERROR(BV86/BV5,0)</f>
        <v>0</v>
      </c>
      <c r="BW87" s="4479">
        <f>IFERROR(BW86/BW5,0)</f>
        <v>0</v>
      </c>
      <c r="BX87" s="4480"/>
      <c r="BY87" s="4481"/>
      <c r="BZ87" s="4477">
        <f>IFERROR(BZ86/BZ5,0)</f>
        <v>0</v>
      </c>
      <c r="CA87" s="4478">
        <f>IFERROR(CA86/CA5,0)</f>
        <v>0</v>
      </c>
      <c r="CB87" s="4479">
        <f>IFERROR(CB86/CB5,0)</f>
        <v>0</v>
      </c>
      <c r="CC87" s="4480"/>
      <c r="CD87" s="4481"/>
      <c r="CE87" s="4477">
        <f>IFERROR(CE86/CE5,0)</f>
        <v>0</v>
      </c>
      <c r="CF87" s="4478">
        <f>IFERROR(CF86/CF5,0)</f>
        <v>0</v>
      </c>
      <c r="CG87" s="4479">
        <f>IFERROR(CG86/CG5,0)</f>
        <v>0</v>
      </c>
      <c r="CH87" s="4480"/>
      <c r="CI87" s="4481"/>
      <c r="CJ87" s="4477">
        <f>IFERROR(CJ86/CJ5,0)</f>
        <v>0</v>
      </c>
      <c r="CK87" s="4478">
        <f>IFERROR(CK86/CK5,0)</f>
        <v>0</v>
      </c>
      <c r="CL87" s="4479">
        <f>IFERROR(CL86/CL5,0)</f>
        <v>0</v>
      </c>
      <c r="CM87" s="4480"/>
      <c r="CN87" s="4480"/>
      <c r="CP87" s="4479">
        <f>CP86/CP5</f>
        <v>0.16055896834701047</v>
      </c>
      <c r="CQ87" s="4656">
        <f>IFERROR(CQ86/CQ5,0)</f>
        <v>0</v>
      </c>
      <c r="CR87" s="4479">
        <f>CR86/CR5</f>
        <v>-0.26580635929417534</v>
      </c>
      <c r="CT87" s="2624"/>
    </row>
    <row r="88" spans="1:101"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1611"/>
      <c r="AG88" s="1954"/>
      <c r="AH88" s="1954"/>
      <c r="AI88" s="1954"/>
      <c r="AJ88" s="1954"/>
      <c r="AK88" s="1611"/>
      <c r="AL88" s="1954"/>
      <c r="AM88" s="1954"/>
      <c r="AN88" s="1954"/>
      <c r="AO88" s="1954"/>
      <c r="AP88" s="1611"/>
      <c r="AQ88" s="1954"/>
      <c r="AR88" s="1954"/>
      <c r="AS88" s="1954"/>
      <c r="AT88" s="1954"/>
      <c r="AU88" s="1611"/>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1954"/>
      <c r="CQ88" s="1954"/>
      <c r="CR88" s="1954"/>
    </row>
    <row r="89" spans="1:101">
      <c r="B89" s="1562" t="s">
        <v>56</v>
      </c>
      <c r="E89" s="1960">
        <f>E8+E36+E41+E50+E54+E73+E79+E82+E85</f>
        <v>0</v>
      </c>
      <c r="G89" s="1963"/>
      <c r="J89" s="1960">
        <f>J8+J36+J41+J50+J54+J73+J79+J82+J85</f>
        <v>0</v>
      </c>
      <c r="L89" s="1963"/>
      <c r="O89" s="1960">
        <f>O8+O36+O41+O50+O54+O73+O79+O82+O85</f>
        <v>0</v>
      </c>
      <c r="Q89" s="1963"/>
      <c r="R89" s="1963"/>
      <c r="S89" s="1963"/>
      <c r="T89" s="1960">
        <f>T8+T36+T41+T50+T54+T73+T79+T82+T85</f>
        <v>0</v>
      </c>
      <c r="U89" s="1963"/>
      <c r="V89" s="1963"/>
      <c r="W89" s="1963"/>
      <c r="X89" s="1963"/>
      <c r="Y89" s="1960">
        <f>Y8+Y36+Y41+Y50+Y54+Y73+Y79+Y82+Y85</f>
        <v>8977.6024477931624</v>
      </c>
      <c r="Z89" s="1963"/>
      <c r="AA89" s="1963"/>
      <c r="AD89" s="1960">
        <f>AD8+AD36+AD41+AD50+AD54+AD73+AD79+AD82+AD85</f>
        <v>0</v>
      </c>
      <c r="AF89" s="1963"/>
      <c r="AI89" s="1960">
        <f>AI8+AI36+AI41+AI50+AI54+AI73+AI79+AI82+AI85</f>
        <v>0</v>
      </c>
      <c r="AK89" s="1963"/>
      <c r="AN89" s="1960">
        <f>AN8+AN36+AN41+AN50+AN54+AN73+AN79+AN82+AN85</f>
        <v>0</v>
      </c>
      <c r="AP89" s="1963"/>
      <c r="AS89" s="1960">
        <f>AS8+AS36+AS41+AS50+AS54+AS73+AS79+AS82+AS85</f>
        <v>0</v>
      </c>
      <c r="AU89" s="1963"/>
      <c r="AX89" s="1960">
        <f>AX8+AX36+AX41+AX50+AX54+AX73+AX79+AX82+AX85</f>
        <v>8977.6024477931624</v>
      </c>
      <c r="AZ89" s="1963"/>
      <c r="BC89" s="1960">
        <f>BC8+BC36+BC41+BC50+BC54+BC73+BC79+BC82+BC85</f>
        <v>0</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8977.6024477931624</v>
      </c>
    </row>
    <row r="90" spans="1:101">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1963"/>
      <c r="AC90" s="1963"/>
      <c r="AD90" s="1963"/>
      <c r="AE90" s="1963"/>
      <c r="AF90" s="1963"/>
      <c r="AG90" s="1963"/>
      <c r="AH90" s="1963"/>
      <c r="AI90" s="1963"/>
      <c r="AJ90" s="1963"/>
      <c r="AK90" s="1963"/>
      <c r="AL90" s="1963"/>
      <c r="AM90" s="1963"/>
      <c r="AN90" s="1963"/>
      <c r="AO90" s="1963"/>
      <c r="AP90" s="1963"/>
      <c r="AQ90" s="1963"/>
      <c r="AR90" s="1963"/>
      <c r="AS90" s="1963"/>
      <c r="AT90" s="1963"/>
      <c r="AU90" s="1963"/>
      <c r="AV90" s="1963"/>
      <c r="AW90" s="1963"/>
      <c r="AX90" s="1963"/>
      <c r="AY90" s="1963"/>
      <c r="AZ90" s="1963"/>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t="b">
        <f>J89+O89+E89+Y89=CL89</f>
        <v>1</v>
      </c>
    </row>
    <row r="91" spans="1:101"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963"/>
      <c r="AG91" s="1963"/>
      <c r="AH91" s="1963"/>
      <c r="AI91" s="1963"/>
      <c r="AJ91" s="1963"/>
      <c r="AK91" s="1963"/>
      <c r="AL91" s="1963"/>
      <c r="AM91" s="1963"/>
      <c r="AN91" s="1963"/>
      <c r="AO91" s="1963"/>
      <c r="AP91" s="1963"/>
      <c r="AQ91" s="1963"/>
      <c r="AR91" s="1963"/>
      <c r="AS91" s="1963"/>
      <c r="AT91" s="1963"/>
      <c r="AU91" s="1963"/>
      <c r="AV91" s="1963"/>
      <c r="AW91" s="1963"/>
      <c r="AX91" s="1963"/>
      <c r="AY91" s="1963"/>
      <c r="AZ91" s="196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c r="CP91" s="1952"/>
      <c r="CQ91" s="1952"/>
      <c r="CR91" s="1952"/>
      <c r="CT91" s="2624"/>
    </row>
    <row r="92" spans="1:101">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P92" s="1963"/>
      <c r="AQ92" s="1963"/>
      <c r="AR92" s="1963"/>
      <c r="AS92" s="1963"/>
      <c r="AT92" s="1963"/>
      <c r="AU92" s="1963"/>
      <c r="AV92" s="1963"/>
      <c r="AW92" s="1963"/>
      <c r="AX92" s="1963"/>
      <c r="AY92" s="1963"/>
      <c r="AZ92" s="196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1" s="1396" customFormat="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963"/>
      <c r="AG93" s="1963"/>
      <c r="AH93" s="1963"/>
      <c r="AI93" s="1963"/>
      <c r="AJ93" s="1963"/>
      <c r="AK93" s="1963"/>
      <c r="AL93" s="1963"/>
      <c r="AM93" s="1963"/>
      <c r="AN93" s="1963"/>
      <c r="AO93" s="1963"/>
      <c r="AP93" s="1963"/>
      <c r="AQ93" s="1963"/>
      <c r="AR93" s="1963"/>
      <c r="AS93" s="1963"/>
      <c r="AT93" s="1963"/>
      <c r="AU93" s="1963"/>
      <c r="AV93" s="1963"/>
      <c r="AW93" s="1963"/>
      <c r="AX93" s="1963"/>
      <c r="AY93" s="1963"/>
      <c r="AZ93" s="1963"/>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52"/>
      <c r="CK93" s="1952"/>
      <c r="CL93" s="687"/>
      <c r="CM93" s="1952"/>
      <c r="CN93" s="1952"/>
      <c r="CP93" s="1952"/>
      <c r="CQ93" s="1952"/>
      <c r="CR93" s="1952"/>
      <c r="CT93" s="2624"/>
    </row>
    <row r="94" spans="1:101" s="1396" customForma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963"/>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52"/>
      <c r="CK94" s="1952"/>
      <c r="CL94" s="1952"/>
      <c r="CM94" s="1952"/>
      <c r="CN94" s="1952"/>
      <c r="CP94" s="1952"/>
      <c r="CQ94" s="1952"/>
      <c r="CR94" s="1952"/>
      <c r="CT94" s="2624"/>
    </row>
    <row r="95" spans="1:101" s="1396" customFormat="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963"/>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52"/>
      <c r="CK95" s="1952"/>
      <c r="CL95" s="1952"/>
      <c r="CM95" s="1952"/>
      <c r="CN95" s="1952"/>
      <c r="CP95" s="1952"/>
      <c r="CQ95" s="1952"/>
      <c r="CR95" s="1952"/>
      <c r="CT95" s="2624"/>
    </row>
    <row r="96" spans="1:101" s="1396" customFormat="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963"/>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52"/>
      <c r="CK96" s="1952"/>
      <c r="CL96" s="1952"/>
      <c r="CM96" s="1952"/>
      <c r="CN96" s="1952"/>
      <c r="CP96" s="1952"/>
      <c r="CQ96" s="1952"/>
      <c r="CR96" s="1952"/>
      <c r="CT96" s="2624"/>
    </row>
    <row r="97" spans="1:98">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1963"/>
      <c r="AH97" s="1963"/>
      <c r="AI97" s="1963"/>
      <c r="AJ97" s="1963"/>
      <c r="AK97" s="1963"/>
      <c r="AL97" s="1963"/>
      <c r="AM97" s="1963"/>
      <c r="AN97" s="1963"/>
      <c r="AO97" s="1963"/>
      <c r="AP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98"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952"/>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1952"/>
      <c r="CQ98" s="1952"/>
      <c r="CR98" s="1952"/>
      <c r="CT98" s="2624"/>
    </row>
  </sheetData>
  <mergeCells count="24">
    <mergeCell ref="A42:A48"/>
    <mergeCell ref="BF2:BJ3"/>
    <mergeCell ref="BK2:BO3"/>
    <mergeCell ref="BP2:BT3"/>
    <mergeCell ref="BU2:BY3"/>
    <mergeCell ref="AB2:AF3"/>
    <mergeCell ref="AG2:AK3"/>
    <mergeCell ref="AL2:AP3"/>
    <mergeCell ref="AQ2:AU3"/>
    <mergeCell ref="AV2:AZ3"/>
    <mergeCell ref="BA2:BE3"/>
    <mergeCell ref="A2:B2"/>
    <mergeCell ref="C2:G3"/>
    <mergeCell ref="H2:L3"/>
    <mergeCell ref="M2:Q3"/>
    <mergeCell ref="R2:V3"/>
    <mergeCell ref="CJ2:CN3"/>
    <mergeCell ref="CP2:CR3"/>
    <mergeCell ref="A3:B3"/>
    <mergeCell ref="CP9:CP11"/>
    <mergeCell ref="CR9:CR11"/>
    <mergeCell ref="BZ2:CD3"/>
    <mergeCell ref="CE2:CI3"/>
    <mergeCell ref="W2:AA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BA6" activePane="bottomRight" state="frozen"/>
      <selection activeCell="CT9" sqref="CT9"/>
      <selection pane="topRight" activeCell="CT9" sqref="CT9"/>
      <selection pane="bottomLeft" activeCell="CT9" sqref="CT9"/>
      <selection pane="bottomRight" sqref="A1:XFD1048576"/>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customWidth="1" collapsed="1"/>
    <col min="19" max="27" width="13.44140625" style="1952" customWidth="1"/>
    <col min="28" max="31" width="12.88671875" style="1952" hidden="1" customWidth="1" outlineLevel="1"/>
    <col min="32" max="32" width="29.33203125" style="1952" hidden="1" customWidth="1" outlineLevel="1"/>
    <col min="33" max="36" width="12.88671875" style="1952" hidden="1" customWidth="1" outlineLevel="1"/>
    <col min="37" max="37" width="26.109375" style="1952" hidden="1" customWidth="1" outlineLevel="1"/>
    <col min="38" max="41" width="12.88671875" style="1952" hidden="1" customWidth="1" outlineLevel="1"/>
    <col min="42" max="42" width="26.109375" style="1952" hidden="1" customWidth="1" outlineLevel="1"/>
    <col min="43" max="43" width="12.88671875" style="1952" hidden="1" customWidth="1" outlineLevel="1" collapsed="1"/>
    <col min="44" max="46" width="12.88671875" style="1952" hidden="1" customWidth="1" outlineLevel="1"/>
    <col min="47" max="47" width="26.109375" style="1952" hidden="1" customWidth="1" outlineLevel="1"/>
    <col min="48" max="48" width="12.88671875" style="1952" customWidth="1" collapsed="1"/>
    <col min="49" max="51" width="12.88671875" style="1952" customWidth="1"/>
    <col min="52" max="52" width="26.109375" style="1952" customWidth="1"/>
    <col min="53" max="56" width="12.88671875" style="1952" customWidth="1"/>
    <col min="57" max="57" width="26.109375" style="1952" customWidth="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14.33203125" style="1952" customWidth="1"/>
    <col min="93" max="93" width="2.88671875" style="1395"/>
    <col min="94" max="95" width="12.88671875" style="1952" customWidth="1"/>
    <col min="96" max="96" width="14.5546875" style="1952" customWidth="1"/>
    <col min="97" max="97" width="2.88671875" style="1395" customWidth="1" outlineLevel="1"/>
    <col min="98" max="98" width="11.6640625" style="1522" customWidth="1" outlineLevel="1"/>
    <col min="99" max="99" width="8.33203125" style="1395" customWidth="1" outlineLevel="1"/>
    <col min="100" max="100" width="8.44140625" style="1395" customWidth="1" outlineLevel="1"/>
    <col min="101" max="101" width="7.6640625" style="1395" bestFit="1" customWidth="1"/>
    <col min="102" max="16384" width="2.88671875" style="1395"/>
  </cols>
  <sheetData>
    <row r="1" spans="1:99" ht="13.8" thickBot="1"/>
    <row r="2" spans="1:99" ht="13.8">
      <c r="A2" s="4834" t="s">
        <v>2093</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2146</v>
      </c>
      <c r="CK2" s="4875"/>
      <c r="CL2" s="4875"/>
      <c r="CM2" s="4875"/>
      <c r="CN2" s="4876"/>
      <c r="CP2" s="5168" t="s">
        <v>2094</v>
      </c>
      <c r="CQ2" s="5169"/>
      <c r="CR2" s="5170"/>
    </row>
    <row r="3" spans="1:99"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71"/>
      <c r="CQ3" s="5172"/>
      <c r="CR3" s="5173"/>
    </row>
    <row r="4" spans="1:99"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1474" t="s">
        <v>1850</v>
      </c>
      <c r="CQ4" s="1474" t="s">
        <v>2148</v>
      </c>
      <c r="CR4" s="1474" t="s">
        <v>1826</v>
      </c>
    </row>
    <row r="5" spans="1:99"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0</v>
      </c>
      <c r="X5" s="1466">
        <f>X6</f>
        <v>0</v>
      </c>
      <c r="Y5" s="1466">
        <f>Y6+Y7</f>
        <v>0</v>
      </c>
      <c r="Z5" s="1466"/>
      <c r="AA5" s="1466"/>
      <c r="AB5" s="1466">
        <f>AB6</f>
        <v>0</v>
      </c>
      <c r="AC5" s="1466">
        <f>AC6</f>
        <v>0</v>
      </c>
      <c r="AD5" s="1466">
        <f>AD6+AD7</f>
        <v>0</v>
      </c>
      <c r="AE5" s="1466"/>
      <c r="AF5" s="1466"/>
      <c r="AG5" s="1466">
        <f>AG6</f>
        <v>0</v>
      </c>
      <c r="AH5" s="1466">
        <f>AH6</f>
        <v>0</v>
      </c>
      <c r="AI5" s="1466">
        <f>AI6+AI7</f>
        <v>0</v>
      </c>
      <c r="AJ5" s="1466"/>
      <c r="AK5" s="1466"/>
      <c r="AL5" s="1466">
        <f>AL6</f>
        <v>0</v>
      </c>
      <c r="AM5" s="1466">
        <f>AM6</f>
        <v>0</v>
      </c>
      <c r="AN5" s="1466">
        <f>AN6+AN7</f>
        <v>0</v>
      </c>
      <c r="AO5" s="1466"/>
      <c r="AP5" s="1466"/>
      <c r="AQ5" s="1466">
        <f>AQ6</f>
        <v>0</v>
      </c>
      <c r="AR5" s="1466">
        <f>AR6</f>
        <v>0</v>
      </c>
      <c r="AS5" s="1466">
        <f>AS6+AS7</f>
        <v>0</v>
      </c>
      <c r="AT5" s="1466"/>
      <c r="AU5" s="1466"/>
      <c r="AV5" s="1466">
        <f>AV6</f>
        <v>0</v>
      </c>
      <c r="AW5" s="1466">
        <f>AW6</f>
        <v>0</v>
      </c>
      <c r="AX5" s="1466">
        <f>AX6+AX7</f>
        <v>0</v>
      </c>
      <c r="AY5" s="1466"/>
      <c r="AZ5" s="1466"/>
      <c r="BA5" s="1466">
        <f>BA6</f>
        <v>0</v>
      </c>
      <c r="BB5" s="1466">
        <f>BB6</f>
        <v>0</v>
      </c>
      <c r="BC5" s="1466">
        <f>BC6+BC7</f>
        <v>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0</v>
      </c>
      <c r="CK5" s="1466">
        <f>CK6</f>
        <v>0</v>
      </c>
      <c r="CL5" s="1466">
        <f>CL6</f>
        <v>0</v>
      </c>
      <c r="CM5" s="1466"/>
      <c r="CN5" s="1466"/>
      <c r="CP5" s="1955">
        <f>CP6</f>
        <v>0</v>
      </c>
      <c r="CQ5" s="1955">
        <f>CQ6</f>
        <v>0</v>
      </c>
      <c r="CR5" s="3440">
        <f>CR6</f>
        <v>0</v>
      </c>
      <c r="CT5" s="2624"/>
    </row>
    <row r="6" spans="1:99" s="1396" customFormat="1" ht="13.8"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0</v>
      </c>
      <c r="X6" s="3342">
        <f>AC6+AH6+AM6+AW6+BB6+BG6+BL6+BQ6+BV6+CA6+CF6+AR6</f>
        <v>0</v>
      </c>
      <c r="Y6" s="2012">
        <f t="shared" ref="Y6:Y7" si="3">W6+X6</f>
        <v>0</v>
      </c>
      <c r="Z6" s="3342"/>
      <c r="AA6" s="3342"/>
      <c r="AB6" s="3341"/>
      <c r="AC6" s="3341"/>
      <c r="AD6" s="2012">
        <f t="shared" ref="AD6:AD7" si="4">AB6+AC6</f>
        <v>0</v>
      </c>
      <c r="AE6" s="3341"/>
      <c r="AF6" s="3342"/>
      <c r="AG6" s="3341"/>
      <c r="AH6" s="3341"/>
      <c r="AI6" s="2012">
        <f t="shared" ref="AI6:AI7" si="5">AG6+AH6</f>
        <v>0</v>
      </c>
      <c r="AJ6" s="3341"/>
      <c r="AK6" s="3342"/>
      <c r="AL6" s="3341"/>
      <c r="AM6" s="3341"/>
      <c r="AN6" s="2012">
        <f t="shared" ref="AN6:AN7" si="6">AL6+AM6</f>
        <v>0</v>
      </c>
      <c r="AO6" s="3341"/>
      <c r="AP6" s="3342"/>
      <c r="AQ6" s="3341"/>
      <c r="AR6" s="3341"/>
      <c r="AS6" s="2012">
        <f t="shared" ref="AS6:AS7" si="7">AQ6+AR6</f>
        <v>0</v>
      </c>
      <c r="AT6" s="3341"/>
      <c r="AU6" s="3342"/>
      <c r="AV6" s="3341"/>
      <c r="AW6" s="3341"/>
      <c r="AX6" s="2012">
        <f t="shared" ref="AX6:AX7" si="8">AV6+AW6</f>
        <v>0</v>
      </c>
      <c r="AY6" s="3341"/>
      <c r="AZ6" s="3342"/>
      <c r="BA6" s="3341"/>
      <c r="BB6" s="3341"/>
      <c r="BC6" s="2012">
        <f t="shared" ref="BC6:BC7" si="9">BA6+BB6</f>
        <v>0</v>
      </c>
      <c r="BD6" s="3341"/>
      <c r="BE6" s="3342"/>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f>
        <v>0</v>
      </c>
      <c r="CK6" s="3341">
        <f>D6+I6+N6+X6</f>
        <v>0</v>
      </c>
      <c r="CL6" s="2012">
        <f>CJ6+CK6</f>
        <v>0</v>
      </c>
      <c r="CM6" s="3341"/>
      <c r="CN6" s="3341"/>
      <c r="CP6" s="2012"/>
      <c r="CQ6" s="2012"/>
      <c r="CR6" s="4614">
        <f>CP6-CQ6</f>
        <v>0</v>
      </c>
      <c r="CS6" s="3305"/>
      <c r="CT6" s="2624"/>
      <c r="CU6" s="3778" t="s">
        <v>2156</v>
      </c>
    </row>
    <row r="7" spans="1:99" s="1396" customFormat="1" ht="14.4" outlineLevel="1" collapsed="1" thickBot="1">
      <c r="A7" s="1571"/>
      <c r="B7" s="4426" t="s">
        <v>41</v>
      </c>
      <c r="C7" s="3341"/>
      <c r="D7" s="3341"/>
      <c r="E7" s="2012">
        <f t="shared" si="0"/>
        <v>0</v>
      </c>
      <c r="F7" s="4608"/>
      <c r="G7" s="4608"/>
      <c r="H7" s="3341"/>
      <c r="I7" s="3341"/>
      <c r="J7" s="2012">
        <f>H7+I7</f>
        <v>0</v>
      </c>
      <c r="K7" s="4608"/>
      <c r="L7" s="4608"/>
      <c r="M7" s="3341"/>
      <c r="N7" s="3341"/>
      <c r="O7" s="2012">
        <f t="shared" si="1"/>
        <v>0</v>
      </c>
      <c r="P7" s="4608"/>
      <c r="Q7" s="4608"/>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1"/>
      <c r="AC7" s="3341"/>
      <c r="AD7" s="2012">
        <f t="shared" si="4"/>
        <v>0</v>
      </c>
      <c r="AE7" s="4608"/>
      <c r="AF7" s="4608"/>
      <c r="AG7" s="3341"/>
      <c r="AH7" s="3341"/>
      <c r="AI7" s="2012">
        <f t="shared" si="5"/>
        <v>0</v>
      </c>
      <c r="AJ7" s="4608"/>
      <c r="AK7" s="4608"/>
      <c r="AL7" s="3341"/>
      <c r="AM7" s="3341"/>
      <c r="AN7" s="2012">
        <f t="shared" si="6"/>
        <v>0</v>
      </c>
      <c r="AO7" s="4608"/>
      <c r="AP7" s="4608"/>
      <c r="AQ7" s="3341"/>
      <c r="AR7" s="3341"/>
      <c r="AS7" s="2012">
        <f t="shared" si="7"/>
        <v>0</v>
      </c>
      <c r="AT7" s="4608"/>
      <c r="AU7" s="4608"/>
      <c r="AV7" s="3341"/>
      <c r="AW7" s="3341"/>
      <c r="AX7" s="2012">
        <f t="shared" si="8"/>
        <v>0</v>
      </c>
      <c r="AY7" s="4608"/>
      <c r="AZ7" s="4608"/>
      <c r="BA7" s="3341"/>
      <c r="BB7" s="3341"/>
      <c r="BC7" s="2012">
        <f t="shared" si="9"/>
        <v>0</v>
      </c>
      <c r="BD7" s="4608"/>
      <c r="BE7" s="4608"/>
      <c r="BF7" s="3341"/>
      <c r="BG7" s="3341"/>
      <c r="BH7" s="2012">
        <f t="shared" si="10"/>
        <v>0</v>
      </c>
      <c r="BI7" s="4608"/>
      <c r="BJ7" s="4608"/>
      <c r="BK7" s="3341"/>
      <c r="BL7" s="3341"/>
      <c r="BM7" s="2012">
        <f t="shared" si="11"/>
        <v>0</v>
      </c>
      <c r="BN7" s="4608"/>
      <c r="BO7" s="4608"/>
      <c r="BP7" s="3341"/>
      <c r="BQ7" s="3341"/>
      <c r="BR7" s="2012">
        <f t="shared" si="12"/>
        <v>0</v>
      </c>
      <c r="BS7" s="4608"/>
      <c r="BT7" s="4608"/>
      <c r="BU7" s="3341"/>
      <c r="BV7" s="3341"/>
      <c r="BW7" s="2012">
        <f t="shared" si="13"/>
        <v>0</v>
      </c>
      <c r="BX7" s="4608"/>
      <c r="BY7" s="4608"/>
      <c r="BZ7" s="3341"/>
      <c r="CA7" s="3341"/>
      <c r="CB7" s="2012">
        <f t="shared" si="14"/>
        <v>0</v>
      </c>
      <c r="CC7" s="4608"/>
      <c r="CD7" s="4608"/>
      <c r="CE7" s="3341"/>
      <c r="CF7" s="3341"/>
      <c r="CG7" s="2012">
        <f t="shared" si="15"/>
        <v>0</v>
      </c>
      <c r="CH7" s="4608"/>
      <c r="CI7" s="4608"/>
      <c r="CJ7" s="3341">
        <f>C7+H7+M7+W7</f>
        <v>0</v>
      </c>
      <c r="CK7" s="3341">
        <f>D7+I7+N7+X7</f>
        <v>0</v>
      </c>
      <c r="CL7" s="2012">
        <f>CJ7+CK7</f>
        <v>0</v>
      </c>
      <c r="CM7" s="4608"/>
      <c r="CN7" s="4608"/>
      <c r="CP7" s="2012"/>
      <c r="CQ7" s="2012"/>
      <c r="CR7" s="3442"/>
      <c r="CT7" s="2624"/>
    </row>
    <row r="8" spans="1:99" s="1396" customFormat="1" ht="14.4" outlineLevel="1" thickBot="1">
      <c r="A8" s="1571"/>
      <c r="B8" s="1463" t="s">
        <v>16</v>
      </c>
      <c r="C8" s="1957">
        <f>SUM(C9:C33)</f>
        <v>0</v>
      </c>
      <c r="D8" s="1957">
        <f>SUM(D9:D33)</f>
        <v>0</v>
      </c>
      <c r="E8" s="1484">
        <f>SUM(E9:E33)</f>
        <v>0</v>
      </c>
      <c r="F8" s="1528" t="e">
        <f t="shared" ref="F8:F33" si="16">E8/$E$89</f>
        <v>#DIV/0!</v>
      </c>
      <c r="G8" s="1466"/>
      <c r="H8" s="1957">
        <f>SUM(H9:H33)</f>
        <v>0</v>
      </c>
      <c r="I8" s="1957">
        <f>SUM(I9:I33)</f>
        <v>0</v>
      </c>
      <c r="J8" s="1484">
        <f>SUM(J9:J33)</f>
        <v>0</v>
      </c>
      <c r="K8" s="1528" t="e">
        <f t="shared" ref="K8" si="17">J8/$E$89</f>
        <v>#DIV/0!</v>
      </c>
      <c r="L8" s="1466"/>
      <c r="M8" s="1957">
        <f>SUM(M9:M33)</f>
        <v>0</v>
      </c>
      <c r="N8" s="1957">
        <f>SUM(N9:N33)</f>
        <v>0</v>
      </c>
      <c r="O8" s="1484">
        <f>SUM(O9:O33)</f>
        <v>0</v>
      </c>
      <c r="P8" s="1528" t="e">
        <f t="shared" ref="P8" si="18">O8/$E$89</f>
        <v>#DIV/0!</v>
      </c>
      <c r="Q8" s="1466"/>
      <c r="R8" s="1957">
        <f>SUM(R9:R33)</f>
        <v>0</v>
      </c>
      <c r="S8" s="1957">
        <f>SUM(S9:S33)</f>
        <v>0</v>
      </c>
      <c r="T8" s="1484">
        <f>SUM(T9:T33)</f>
        <v>0</v>
      </c>
      <c r="U8" s="1528"/>
      <c r="V8" s="1466"/>
      <c r="W8" s="1957">
        <f>SUM(W9:W33)</f>
        <v>8435.67</v>
      </c>
      <c r="X8" s="1957">
        <f>SUM(X9:X33)</f>
        <v>8415.99</v>
      </c>
      <c r="Y8" s="1484">
        <f>SUM(Y9:Y33)</f>
        <v>16851.66</v>
      </c>
      <c r="Z8" s="1528"/>
      <c r="AA8" s="1466"/>
      <c r="AB8" s="1957">
        <f>SUM(AB9:AB33)</f>
        <v>0</v>
      </c>
      <c r="AC8" s="1957">
        <f>SUM(AC9:AC33)</f>
        <v>0</v>
      </c>
      <c r="AD8" s="1484">
        <f>SUM(AD9:AD33)</f>
        <v>0</v>
      </c>
      <c r="AE8" s="1528"/>
      <c r="AF8" s="1466"/>
      <c r="AG8" s="1957">
        <f>SUM(AG9:AG33)</f>
        <v>0</v>
      </c>
      <c r="AH8" s="1957">
        <f>SUM(AH9:AH33)</f>
        <v>0</v>
      </c>
      <c r="AI8" s="1484">
        <f>SUM(AI9:AI33)</f>
        <v>0</v>
      </c>
      <c r="AJ8" s="1528"/>
      <c r="AK8" s="1466"/>
      <c r="AL8" s="1957">
        <f>SUM(AL9:AL33)</f>
        <v>0</v>
      </c>
      <c r="AM8" s="1957">
        <f>SUM(AM9:AM33)</f>
        <v>0</v>
      </c>
      <c r="AN8" s="1484">
        <f>SUM(AN9:AN33)</f>
        <v>0</v>
      </c>
      <c r="AO8" s="1528"/>
      <c r="AP8" s="1466"/>
      <c r="AQ8" s="1957">
        <f>SUM(AQ9:AQ33)</f>
        <v>0</v>
      </c>
      <c r="AR8" s="1957">
        <f>SUM(AR9:AR33)</f>
        <v>0</v>
      </c>
      <c r="AS8" s="1484">
        <f>SUM(AS9:AS33)</f>
        <v>0</v>
      </c>
      <c r="AT8" s="1528"/>
      <c r="AU8" s="1466"/>
      <c r="AV8" s="1957">
        <f>SUM(AV9:AV33)</f>
        <v>1957.93</v>
      </c>
      <c r="AW8" s="1957">
        <f>SUM(AW9:AW33)</f>
        <v>2525</v>
      </c>
      <c r="AX8" s="1484">
        <f>SUM(AX9:AX33)</f>
        <v>4482.93</v>
      </c>
      <c r="AY8" s="1528"/>
      <c r="AZ8" s="1466"/>
      <c r="BA8" s="1957">
        <f>SUM(BA9:BA33)</f>
        <v>6477.7400000000007</v>
      </c>
      <c r="BB8" s="1957">
        <f>SUM(BB9:BB33)</f>
        <v>5890.99</v>
      </c>
      <c r="BC8" s="1484">
        <f>SUM(BC9:BC33)</f>
        <v>12368.73</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8435.67</v>
      </c>
      <c r="CK8" s="1957">
        <f>SUM(CK9:CK33)</f>
        <v>8415.99</v>
      </c>
      <c r="CL8" s="1484">
        <f>SUM(CL9:CL33)</f>
        <v>16851.66</v>
      </c>
      <c r="CM8" s="1528"/>
      <c r="CN8" s="1466"/>
      <c r="CP8" s="1484">
        <f>SUM(CP9:CP33)</f>
        <v>31947.97</v>
      </c>
      <c r="CQ8" s="1484">
        <f>SUM(CQ9:CQ33)</f>
        <v>16851.66</v>
      </c>
      <c r="CR8" s="3440">
        <f>SUM(CR9:CR33)</f>
        <v>15096.310000000001</v>
      </c>
      <c r="CT8" s="2624"/>
    </row>
    <row r="9" spans="1:99" s="1396" customFormat="1" ht="13.8" outlineLevel="2">
      <c r="A9" s="1571"/>
      <c r="B9" s="1424" t="s">
        <v>74</v>
      </c>
      <c r="C9" s="3341"/>
      <c r="D9" s="3341"/>
      <c r="E9" s="3349">
        <f t="shared" ref="E9:E32" si="19">C9+D9</f>
        <v>0</v>
      </c>
      <c r="F9" s="4428" t="e">
        <f t="shared" si="16"/>
        <v>#DIV/0!</v>
      </c>
      <c r="G9" s="2047"/>
      <c r="H9" s="3341"/>
      <c r="I9" s="3341"/>
      <c r="J9" s="3349">
        <f t="shared" ref="J9:J32" si="20">H9+I9</f>
        <v>0</v>
      </c>
      <c r="K9" s="4428" t="e">
        <f>J9/J$89</f>
        <v>#DIV/0!</v>
      </c>
      <c r="L9" s="2047"/>
      <c r="M9" s="3341"/>
      <c r="N9" s="3341"/>
      <c r="O9" s="3349">
        <f t="shared" ref="O9:O32" si="21">M9+N9</f>
        <v>0</v>
      </c>
      <c r="P9" s="4428" t="e">
        <f t="shared" ref="P9:P33" si="22">O9/O$89</f>
        <v>#DIV/0!</v>
      </c>
      <c r="Q9" s="2047"/>
      <c r="R9" s="3342">
        <f t="shared" ref="R9:S33" si="23">M9+H9+C9</f>
        <v>0</v>
      </c>
      <c r="S9" s="3342">
        <f t="shared" si="23"/>
        <v>0</v>
      </c>
      <c r="T9" s="2012">
        <f t="shared" ref="T9:T33" si="24">R9+S9</f>
        <v>0</v>
      </c>
      <c r="U9" s="2047"/>
      <c r="V9" s="2047"/>
      <c r="W9" s="3342">
        <f t="shared" ref="W9:X33" si="25">AB9+AG9+AL9+AV9+BA9+BF9+BK9+BP9+BU9+BZ9+CE9+AQ9</f>
        <v>7340.7400000000007</v>
      </c>
      <c r="X9" s="3342">
        <f t="shared" si="25"/>
        <v>8415.99</v>
      </c>
      <c r="Y9" s="2012">
        <f t="shared" ref="Y9:Y33" si="26">W9+X9</f>
        <v>15756.73</v>
      </c>
      <c r="Z9" s="2047"/>
      <c r="AA9" s="2047"/>
      <c r="AB9" s="3341"/>
      <c r="AC9" s="3341"/>
      <c r="AD9" s="3349">
        <f t="shared" ref="AD9:AD32" si="27">AB9+AC9</f>
        <v>0</v>
      </c>
      <c r="AE9" s="4428" t="e">
        <f>AD9/AD$89</f>
        <v>#DIV/0!</v>
      </c>
      <c r="AF9" s="2047"/>
      <c r="AG9" s="3341"/>
      <c r="AH9" s="3341"/>
      <c r="AI9" s="3349">
        <f t="shared" ref="AI9:AI32" si="28">AG9+AH9</f>
        <v>0</v>
      </c>
      <c r="AJ9" s="4428" t="e">
        <f>AI9/AI$89</f>
        <v>#DIV/0!</v>
      </c>
      <c r="AK9" s="2047"/>
      <c r="AL9" s="3341"/>
      <c r="AM9" s="3341"/>
      <c r="AN9" s="3349">
        <f t="shared" ref="AN9:AN32" si="29">AL9+AM9</f>
        <v>0</v>
      </c>
      <c r="AO9" s="4428" t="e">
        <f>AN9/AN$89</f>
        <v>#DIV/0!</v>
      </c>
      <c r="AP9" s="2047"/>
      <c r="AQ9" s="3341"/>
      <c r="AR9" s="3341"/>
      <c r="AS9" s="3349">
        <f t="shared" ref="AS9:AS32" si="30">AQ9+AR9</f>
        <v>0</v>
      </c>
      <c r="AT9" s="4428" t="e">
        <f>AS9/AS$89</f>
        <v>#DIV/0!</v>
      </c>
      <c r="AU9" s="2047"/>
      <c r="AV9" s="3341">
        <v>863</v>
      </c>
      <c r="AW9" s="3341">
        <v>2525</v>
      </c>
      <c r="AX9" s="3349">
        <f t="shared" ref="AX9:AX32" si="31">AV9+AW9</f>
        <v>3388</v>
      </c>
      <c r="AY9" s="4428">
        <f>AX9/AX$89</f>
        <v>0.69708476544722453</v>
      </c>
      <c r="AZ9" s="2047"/>
      <c r="BA9" s="3341">
        <v>6477.7400000000007</v>
      </c>
      <c r="BB9" s="3341">
        <v>5890.99</v>
      </c>
      <c r="BC9" s="3349">
        <f t="shared" ref="BC9:BC32" si="32">BA9+BB9</f>
        <v>12368.73</v>
      </c>
      <c r="BD9" s="4428">
        <f>BC9/BC$89</f>
        <v>0.93355800876129136</v>
      </c>
      <c r="BE9" s="2047"/>
      <c r="BF9" s="3341"/>
      <c r="BG9" s="3341"/>
      <c r="BH9" s="3349">
        <f t="shared" ref="BH9:BH32" si="33">BF9+BG9</f>
        <v>0</v>
      </c>
      <c r="BI9" s="4428" t="e">
        <f>BH9/BH$89</f>
        <v>#DIV/0!</v>
      </c>
      <c r="BJ9" s="2047"/>
      <c r="BK9" s="3341"/>
      <c r="BL9" s="3341"/>
      <c r="BM9" s="3349">
        <f t="shared" ref="BM9:BM32" si="34">BK9+BL9</f>
        <v>0</v>
      </c>
      <c r="BN9" s="4428" t="e">
        <f>BM9/BM$89</f>
        <v>#DIV/0!</v>
      </c>
      <c r="BO9" s="2047"/>
      <c r="BP9" s="3341"/>
      <c r="BQ9" s="3341"/>
      <c r="BR9" s="3349">
        <f t="shared" ref="BR9:BR32" si="35">BP9+BQ9</f>
        <v>0</v>
      </c>
      <c r="BS9" s="4428" t="e">
        <f>BR9/BR$89</f>
        <v>#DIV/0!</v>
      </c>
      <c r="BT9" s="2047"/>
      <c r="BU9" s="3341"/>
      <c r="BV9" s="3341"/>
      <c r="BW9" s="3349">
        <f t="shared" ref="BW9:BW32" si="36">BU9+BV9</f>
        <v>0</v>
      </c>
      <c r="BX9" s="4428" t="e">
        <f>BW9/BW$89</f>
        <v>#DIV/0!</v>
      </c>
      <c r="BY9" s="2047"/>
      <c r="BZ9" s="3341"/>
      <c r="CA9" s="3341"/>
      <c r="CB9" s="3349">
        <f t="shared" ref="CB9:CB32" si="37">BZ9+CA9</f>
        <v>0</v>
      </c>
      <c r="CC9" s="4428" t="e">
        <f>CB9/CB$89</f>
        <v>#DIV/0!</v>
      </c>
      <c r="CD9" s="2047"/>
      <c r="CE9" s="3341"/>
      <c r="CF9" s="3341"/>
      <c r="CG9" s="3349">
        <f t="shared" ref="CG9:CG32" si="38">CE9+CF9</f>
        <v>0</v>
      </c>
      <c r="CH9" s="4428" t="e">
        <f>CG9/CG$89</f>
        <v>#DIV/0!</v>
      </c>
      <c r="CI9" s="2047"/>
      <c r="CJ9" s="3341">
        <f t="shared" ref="CJ9:CK33" si="39">C9+H9+M9+W9</f>
        <v>7340.7400000000007</v>
      </c>
      <c r="CK9" s="3341">
        <f t="shared" si="39"/>
        <v>8415.99</v>
      </c>
      <c r="CL9" s="3349">
        <f>CJ9+CK9*1</f>
        <v>15756.73</v>
      </c>
      <c r="CM9" s="4428">
        <f t="shared" ref="CM9:CM33" si="40">CL9/$CL$89</f>
        <v>0.8700923114743726</v>
      </c>
      <c r="CN9" s="1434"/>
      <c r="CP9" s="5177">
        <v>6560</v>
      </c>
      <c r="CQ9" s="2012">
        <f t="shared" ref="CQ9:CQ32" si="41">CL9</f>
        <v>15756.73</v>
      </c>
      <c r="CR9" s="5174">
        <f>CP9-SUM(CQ9:CQ11)</f>
        <v>-9554.880000000001</v>
      </c>
      <c r="CS9" s="3307"/>
      <c r="CT9" s="4616">
        <f>CR9/CP9</f>
        <v>-1.4565365853658538</v>
      </c>
    </row>
    <row r="10" spans="1:99" s="1396" customFormat="1" ht="13.8" outlineLevel="2">
      <c r="A10" s="1571"/>
      <c r="B10" s="1424" t="s">
        <v>72</v>
      </c>
      <c r="C10" s="3341"/>
      <c r="D10" s="3341"/>
      <c r="E10" s="3349">
        <f t="shared" si="19"/>
        <v>0</v>
      </c>
      <c r="F10" s="4428" t="e">
        <f t="shared" si="16"/>
        <v>#DIV/0!</v>
      </c>
      <c r="G10" s="2047"/>
      <c r="H10" s="3341"/>
      <c r="I10" s="3341"/>
      <c r="J10" s="3349">
        <f t="shared" si="20"/>
        <v>0</v>
      </c>
      <c r="K10" s="4428" t="e">
        <f t="shared" ref="K10:K33" si="42">J10/J$89</f>
        <v>#DIV/0!</v>
      </c>
      <c r="L10" s="2047"/>
      <c r="M10" s="3341"/>
      <c r="N10" s="3341"/>
      <c r="O10" s="3349">
        <f t="shared" si="21"/>
        <v>0</v>
      </c>
      <c r="P10" s="4428" t="e">
        <f t="shared" si="22"/>
        <v>#DIV/0!</v>
      </c>
      <c r="Q10" s="2047"/>
      <c r="R10" s="3342">
        <f t="shared" si="23"/>
        <v>0</v>
      </c>
      <c r="S10" s="3342">
        <f t="shared" si="23"/>
        <v>0</v>
      </c>
      <c r="T10" s="2012">
        <f t="shared" si="24"/>
        <v>0</v>
      </c>
      <c r="U10" s="2047"/>
      <c r="V10" s="2047"/>
      <c r="W10" s="3342">
        <f t="shared" si="25"/>
        <v>168.29</v>
      </c>
      <c r="X10" s="3342">
        <f t="shared" si="25"/>
        <v>0</v>
      </c>
      <c r="Y10" s="2012">
        <f t="shared" si="26"/>
        <v>168.29</v>
      </c>
      <c r="Z10" s="2047"/>
      <c r="AA10" s="2047"/>
      <c r="AB10" s="3341"/>
      <c r="AC10" s="3341"/>
      <c r="AD10" s="3349">
        <f t="shared" si="27"/>
        <v>0</v>
      </c>
      <c r="AE10" s="4428" t="e">
        <f t="shared" ref="AE10:AE33" si="43">AD10/AD$89</f>
        <v>#DIV/0!</v>
      </c>
      <c r="AF10" s="2047"/>
      <c r="AG10" s="3341"/>
      <c r="AH10" s="3341"/>
      <c r="AI10" s="3349">
        <f t="shared" si="28"/>
        <v>0</v>
      </c>
      <c r="AJ10" s="4428" t="e">
        <f t="shared" ref="AJ10:AJ33" si="44">AI10/AI$89</f>
        <v>#DIV/0!</v>
      </c>
      <c r="AK10" s="2047"/>
      <c r="AL10" s="3341"/>
      <c r="AM10" s="3341"/>
      <c r="AN10" s="3349">
        <f t="shared" si="29"/>
        <v>0</v>
      </c>
      <c r="AO10" s="4428" t="e">
        <f t="shared" ref="AO10:AO33" si="45">AN10/AN$89</f>
        <v>#DIV/0!</v>
      </c>
      <c r="AP10" s="2047"/>
      <c r="AQ10" s="3341"/>
      <c r="AR10" s="3341"/>
      <c r="AS10" s="3349">
        <f t="shared" si="30"/>
        <v>0</v>
      </c>
      <c r="AT10" s="4428" t="e">
        <f t="shared" ref="AT10:AT33" si="46">AS10/AS$89</f>
        <v>#DIV/0!</v>
      </c>
      <c r="AU10" s="2047"/>
      <c r="AV10" s="3341">
        <v>168.29</v>
      </c>
      <c r="AW10" s="3341"/>
      <c r="AX10" s="3349">
        <f t="shared" si="31"/>
        <v>168.29</v>
      </c>
      <c r="AY10" s="4428">
        <f t="shared" ref="AY10:AY33" si="47">AX10/AX$89</f>
        <v>3.4625854538699354E-2</v>
      </c>
      <c r="AZ10" s="2047"/>
      <c r="BA10" s="3341"/>
      <c r="BB10" s="3341"/>
      <c r="BC10" s="3349">
        <f t="shared" si="32"/>
        <v>0</v>
      </c>
      <c r="BD10" s="4428">
        <f t="shared" ref="BD10:BD33" si="48">BC10/BC$89</f>
        <v>0</v>
      </c>
      <c r="BE10" s="2047"/>
      <c r="BF10" s="3341"/>
      <c r="BG10" s="3341"/>
      <c r="BH10" s="3349">
        <f t="shared" si="33"/>
        <v>0</v>
      </c>
      <c r="BI10" s="4428" t="e">
        <f t="shared" ref="BI10:BI33" si="49">BH10/BH$89</f>
        <v>#DIV/0!</v>
      </c>
      <c r="BJ10" s="2047"/>
      <c r="BK10" s="3341"/>
      <c r="BL10" s="3341"/>
      <c r="BM10" s="3349">
        <f t="shared" si="34"/>
        <v>0</v>
      </c>
      <c r="BN10" s="4428" t="e">
        <f t="shared" ref="BN10:BN33" si="50">BM10/BM$89</f>
        <v>#DIV/0!</v>
      </c>
      <c r="BO10" s="2047"/>
      <c r="BP10" s="3341"/>
      <c r="BQ10" s="3341"/>
      <c r="BR10" s="3349">
        <f t="shared" si="35"/>
        <v>0</v>
      </c>
      <c r="BS10" s="4428" t="e">
        <f t="shared" ref="BS10:BS33" si="51">BR10/BR$89</f>
        <v>#DIV/0!</v>
      </c>
      <c r="BT10" s="2047"/>
      <c r="BU10" s="3341"/>
      <c r="BV10" s="3341"/>
      <c r="BW10" s="3349">
        <f t="shared" si="36"/>
        <v>0</v>
      </c>
      <c r="BX10" s="4428" t="e">
        <f t="shared" ref="BX10:BX33" si="52">BW10/BW$89</f>
        <v>#DIV/0!</v>
      </c>
      <c r="BY10" s="2047"/>
      <c r="BZ10" s="3341"/>
      <c r="CA10" s="3341"/>
      <c r="CB10" s="3349">
        <f t="shared" si="37"/>
        <v>0</v>
      </c>
      <c r="CC10" s="4428" t="e">
        <f t="shared" ref="CC10:CC33" si="53">CB10/CB$89</f>
        <v>#DIV/0!</v>
      </c>
      <c r="CD10" s="2047"/>
      <c r="CE10" s="3341"/>
      <c r="CF10" s="3341"/>
      <c r="CG10" s="3349">
        <f t="shared" si="38"/>
        <v>0</v>
      </c>
      <c r="CH10" s="4428" t="e">
        <f t="shared" ref="CH10:CH33" si="54">CG10/CG$89</f>
        <v>#DIV/0!</v>
      </c>
      <c r="CI10" s="2047"/>
      <c r="CJ10" s="3341">
        <f t="shared" si="39"/>
        <v>168.29</v>
      </c>
      <c r="CK10" s="3341">
        <f t="shared" si="39"/>
        <v>0</v>
      </c>
      <c r="CL10" s="3349">
        <f t="shared" ref="CL10:CL33" si="55">CJ10+CK10*1</f>
        <v>168.29</v>
      </c>
      <c r="CM10" s="4428">
        <f t="shared" si="40"/>
        <v>9.2930344746671514E-3</v>
      </c>
      <c r="CN10" s="1434"/>
      <c r="CP10" s="5178"/>
      <c r="CQ10" s="2012">
        <f t="shared" si="41"/>
        <v>168.29</v>
      </c>
      <c r="CR10" s="5175"/>
      <c r="CT10" s="2624"/>
    </row>
    <row r="11" spans="1:99" s="1396" customFormat="1" ht="13.8" outlineLevel="2">
      <c r="A11" s="1571"/>
      <c r="B11" s="1424" t="s">
        <v>69</v>
      </c>
      <c r="C11" s="3341"/>
      <c r="D11" s="3341"/>
      <c r="E11" s="3349">
        <f t="shared" si="19"/>
        <v>0</v>
      </c>
      <c r="F11" s="4428" t="e">
        <f t="shared" si="16"/>
        <v>#DIV/0!</v>
      </c>
      <c r="G11" s="1055"/>
      <c r="H11" s="3341"/>
      <c r="I11" s="3341"/>
      <c r="J11" s="3349">
        <f t="shared" si="20"/>
        <v>0</v>
      </c>
      <c r="K11" s="4428" t="e">
        <f t="shared" si="42"/>
        <v>#DIV/0!</v>
      </c>
      <c r="L11" s="1055"/>
      <c r="M11" s="3341"/>
      <c r="N11" s="3341"/>
      <c r="O11" s="3349">
        <f t="shared" si="21"/>
        <v>0</v>
      </c>
      <c r="P11" s="4428" t="e">
        <f t="shared" si="22"/>
        <v>#DIV/0!</v>
      </c>
      <c r="Q11" s="1055"/>
      <c r="R11" s="3342">
        <f t="shared" si="23"/>
        <v>0</v>
      </c>
      <c r="S11" s="3342">
        <f t="shared" si="23"/>
        <v>0</v>
      </c>
      <c r="T11" s="2012">
        <f t="shared" si="24"/>
        <v>0</v>
      </c>
      <c r="U11" s="1055"/>
      <c r="V11" s="1055"/>
      <c r="W11" s="3342">
        <f t="shared" si="25"/>
        <v>189.86</v>
      </c>
      <c r="X11" s="3342">
        <f t="shared" si="25"/>
        <v>0</v>
      </c>
      <c r="Y11" s="2012">
        <f t="shared" si="26"/>
        <v>189.86</v>
      </c>
      <c r="Z11" s="1055"/>
      <c r="AA11" s="1055"/>
      <c r="AB11" s="3341"/>
      <c r="AC11" s="3341"/>
      <c r="AD11" s="3349">
        <f t="shared" si="27"/>
        <v>0</v>
      </c>
      <c r="AE11" s="4428" t="e">
        <f t="shared" si="43"/>
        <v>#DIV/0!</v>
      </c>
      <c r="AF11" s="1055"/>
      <c r="AG11" s="3341"/>
      <c r="AH11" s="3341"/>
      <c r="AI11" s="3349">
        <f t="shared" si="28"/>
        <v>0</v>
      </c>
      <c r="AJ11" s="4428" t="e">
        <f t="shared" si="44"/>
        <v>#DIV/0!</v>
      </c>
      <c r="AK11" s="1055"/>
      <c r="AL11" s="3341"/>
      <c r="AM11" s="3341"/>
      <c r="AN11" s="3349">
        <f t="shared" si="29"/>
        <v>0</v>
      </c>
      <c r="AO11" s="4428" t="e">
        <f t="shared" si="45"/>
        <v>#DIV/0!</v>
      </c>
      <c r="AP11" s="1055"/>
      <c r="AQ11" s="3341"/>
      <c r="AR11" s="3341"/>
      <c r="AS11" s="3349">
        <f t="shared" si="30"/>
        <v>0</v>
      </c>
      <c r="AT11" s="4428" t="e">
        <f t="shared" si="46"/>
        <v>#DIV/0!</v>
      </c>
      <c r="AU11" s="1055"/>
      <c r="AV11" s="3341">
        <v>189.86</v>
      </c>
      <c r="AW11" s="3341"/>
      <c r="AX11" s="3349">
        <f t="shared" si="31"/>
        <v>189.86</v>
      </c>
      <c r="AY11" s="4428">
        <f t="shared" si="47"/>
        <v>3.9063906011750311E-2</v>
      </c>
      <c r="AZ11" s="1055"/>
      <c r="BA11" s="3341"/>
      <c r="BB11" s="3341"/>
      <c r="BC11" s="3349">
        <f t="shared" si="32"/>
        <v>0</v>
      </c>
      <c r="BD11" s="4428">
        <f t="shared" si="48"/>
        <v>0</v>
      </c>
      <c r="BE11" s="1055"/>
      <c r="BF11" s="3341"/>
      <c r="BG11" s="3341"/>
      <c r="BH11" s="3349">
        <f t="shared" si="33"/>
        <v>0</v>
      </c>
      <c r="BI11" s="4428" t="e">
        <f t="shared" si="49"/>
        <v>#DIV/0!</v>
      </c>
      <c r="BJ11" s="1055"/>
      <c r="BK11" s="3341"/>
      <c r="BL11" s="3341"/>
      <c r="BM11" s="3349">
        <f t="shared" si="34"/>
        <v>0</v>
      </c>
      <c r="BN11" s="4428" t="e">
        <f t="shared" si="50"/>
        <v>#DIV/0!</v>
      </c>
      <c r="BO11" s="1055"/>
      <c r="BP11" s="3341"/>
      <c r="BQ11" s="3341"/>
      <c r="BR11" s="3349">
        <f t="shared" si="35"/>
        <v>0</v>
      </c>
      <c r="BS11" s="4428" t="e">
        <f t="shared" si="51"/>
        <v>#DIV/0!</v>
      </c>
      <c r="BT11" s="1055"/>
      <c r="BU11" s="3341"/>
      <c r="BV11" s="3341"/>
      <c r="BW11" s="3349">
        <f t="shared" si="36"/>
        <v>0</v>
      </c>
      <c r="BX11" s="4428" t="e">
        <f t="shared" si="52"/>
        <v>#DIV/0!</v>
      </c>
      <c r="BY11" s="1055"/>
      <c r="BZ11" s="3341"/>
      <c r="CA11" s="3341"/>
      <c r="CB11" s="3349">
        <f t="shared" si="37"/>
        <v>0</v>
      </c>
      <c r="CC11" s="4428" t="e">
        <f t="shared" si="53"/>
        <v>#DIV/0!</v>
      </c>
      <c r="CD11" s="1055"/>
      <c r="CE11" s="3341"/>
      <c r="CF11" s="3341"/>
      <c r="CG11" s="3349">
        <f t="shared" si="38"/>
        <v>0</v>
      </c>
      <c r="CH11" s="4428" t="e">
        <f t="shared" si="54"/>
        <v>#DIV/0!</v>
      </c>
      <c r="CI11" s="1055"/>
      <c r="CJ11" s="3341">
        <f t="shared" si="39"/>
        <v>189.86</v>
      </c>
      <c r="CK11" s="3341">
        <f t="shared" si="39"/>
        <v>0</v>
      </c>
      <c r="CL11" s="3349">
        <f t="shared" si="55"/>
        <v>189.86</v>
      </c>
      <c r="CM11" s="4428">
        <f t="shared" si="40"/>
        <v>1.048413765143684E-2</v>
      </c>
      <c r="CN11" s="1434"/>
      <c r="CP11" s="5179"/>
      <c r="CQ11" s="2012">
        <f t="shared" si="41"/>
        <v>189.86</v>
      </c>
      <c r="CR11" s="5176"/>
      <c r="CT11" s="2624"/>
    </row>
    <row r="12" spans="1:99" s="1396" customFormat="1" ht="13.8" outlineLevel="2">
      <c r="A12" s="1571"/>
      <c r="B12" s="1424" t="s">
        <v>73</v>
      </c>
      <c r="C12" s="3341"/>
      <c r="D12" s="3341"/>
      <c r="E12" s="3349">
        <f t="shared" si="19"/>
        <v>0</v>
      </c>
      <c r="F12" s="4428" t="e">
        <f t="shared" si="16"/>
        <v>#DIV/0!</v>
      </c>
      <c r="G12" s="1055"/>
      <c r="H12" s="3341"/>
      <c r="I12" s="3341"/>
      <c r="J12" s="3349">
        <f t="shared" si="20"/>
        <v>0</v>
      </c>
      <c r="K12" s="4428" t="e">
        <f t="shared" si="42"/>
        <v>#DIV/0!</v>
      </c>
      <c r="L12" s="1055"/>
      <c r="M12" s="3341"/>
      <c r="N12" s="3341"/>
      <c r="O12" s="3349">
        <f t="shared" si="21"/>
        <v>0</v>
      </c>
      <c r="P12" s="4428" t="e">
        <f t="shared" si="22"/>
        <v>#DIV/0!</v>
      </c>
      <c r="Q12" s="1055"/>
      <c r="R12" s="3342">
        <f t="shared" si="23"/>
        <v>0</v>
      </c>
      <c r="S12" s="3342">
        <f t="shared" si="23"/>
        <v>0</v>
      </c>
      <c r="T12" s="2012">
        <f t="shared" si="24"/>
        <v>0</v>
      </c>
      <c r="U12" s="1055"/>
      <c r="V12" s="1055"/>
      <c r="W12" s="3342">
        <f t="shared" si="25"/>
        <v>0</v>
      </c>
      <c r="X12" s="3342">
        <f t="shared" si="25"/>
        <v>0</v>
      </c>
      <c r="Y12" s="2012">
        <f t="shared" si="26"/>
        <v>0</v>
      </c>
      <c r="Z12" s="1055"/>
      <c r="AA12" s="1055"/>
      <c r="AB12" s="3341"/>
      <c r="AC12" s="3341"/>
      <c r="AD12" s="3349">
        <f t="shared" si="27"/>
        <v>0</v>
      </c>
      <c r="AE12" s="4428" t="e">
        <f t="shared" si="43"/>
        <v>#DIV/0!</v>
      </c>
      <c r="AF12" s="1055"/>
      <c r="AG12" s="3341"/>
      <c r="AH12" s="3341"/>
      <c r="AI12" s="3349">
        <f t="shared" si="28"/>
        <v>0</v>
      </c>
      <c r="AJ12" s="4428" t="e">
        <f t="shared" si="44"/>
        <v>#DIV/0!</v>
      </c>
      <c r="AK12" s="1055"/>
      <c r="AL12" s="3341"/>
      <c r="AM12" s="3341"/>
      <c r="AN12" s="3349">
        <f t="shared" si="29"/>
        <v>0</v>
      </c>
      <c r="AO12" s="4428" t="e">
        <f t="shared" si="45"/>
        <v>#DIV/0!</v>
      </c>
      <c r="AP12" s="1055"/>
      <c r="AQ12" s="3341"/>
      <c r="AR12" s="3341"/>
      <c r="AS12" s="3349">
        <f t="shared" si="30"/>
        <v>0</v>
      </c>
      <c r="AT12" s="4428" t="e">
        <f t="shared" si="46"/>
        <v>#DIV/0!</v>
      </c>
      <c r="AU12" s="1055"/>
      <c r="AV12" s="3341"/>
      <c r="AW12" s="3341"/>
      <c r="AX12" s="3349">
        <f t="shared" si="31"/>
        <v>0</v>
      </c>
      <c r="AY12" s="4428">
        <f t="shared" si="47"/>
        <v>0</v>
      </c>
      <c r="AZ12" s="1055"/>
      <c r="BA12" s="3341"/>
      <c r="BB12" s="3341"/>
      <c r="BC12" s="3349">
        <f t="shared" si="32"/>
        <v>0</v>
      </c>
      <c r="BD12" s="4428">
        <f t="shared" si="48"/>
        <v>0</v>
      </c>
      <c r="BE12" s="1055"/>
      <c r="BF12" s="3341"/>
      <c r="BG12" s="3341"/>
      <c r="BH12" s="3349">
        <f t="shared" si="33"/>
        <v>0</v>
      </c>
      <c r="BI12" s="4428" t="e">
        <f t="shared" si="49"/>
        <v>#DIV/0!</v>
      </c>
      <c r="BJ12" s="1055"/>
      <c r="BK12" s="3341"/>
      <c r="BL12" s="3341"/>
      <c r="BM12" s="3349">
        <f t="shared" si="34"/>
        <v>0</v>
      </c>
      <c r="BN12" s="4428" t="e">
        <f t="shared" si="50"/>
        <v>#DIV/0!</v>
      </c>
      <c r="BO12" s="1055"/>
      <c r="BP12" s="3341"/>
      <c r="BQ12" s="3341"/>
      <c r="BR12" s="3349">
        <f t="shared" si="35"/>
        <v>0</v>
      </c>
      <c r="BS12" s="4428" t="e">
        <f t="shared" si="51"/>
        <v>#DIV/0!</v>
      </c>
      <c r="BT12" s="1055"/>
      <c r="BU12" s="3341"/>
      <c r="BV12" s="3341"/>
      <c r="BW12" s="3349">
        <f t="shared" si="36"/>
        <v>0</v>
      </c>
      <c r="BX12" s="4428" t="e">
        <f t="shared" si="52"/>
        <v>#DIV/0!</v>
      </c>
      <c r="BY12" s="1055"/>
      <c r="BZ12" s="3341"/>
      <c r="CA12" s="3341"/>
      <c r="CB12" s="3349">
        <f t="shared" si="37"/>
        <v>0</v>
      </c>
      <c r="CC12" s="4428" t="e">
        <f t="shared" si="53"/>
        <v>#DIV/0!</v>
      </c>
      <c r="CD12" s="1055"/>
      <c r="CE12" s="3341"/>
      <c r="CF12" s="3341"/>
      <c r="CG12" s="3349">
        <f t="shared" si="38"/>
        <v>0</v>
      </c>
      <c r="CH12" s="4428" t="e">
        <f t="shared" si="54"/>
        <v>#DIV/0!</v>
      </c>
      <c r="CI12" s="1055"/>
      <c r="CJ12" s="3341">
        <f t="shared" si="39"/>
        <v>0</v>
      </c>
      <c r="CK12" s="3341">
        <f t="shared" si="39"/>
        <v>0</v>
      </c>
      <c r="CL12" s="3349">
        <f t="shared" si="55"/>
        <v>0</v>
      </c>
      <c r="CM12" s="4428">
        <f t="shared" si="40"/>
        <v>0</v>
      </c>
      <c r="CN12" s="1434"/>
      <c r="CP12" s="4615"/>
      <c r="CQ12" s="2012">
        <f t="shared" si="41"/>
        <v>0</v>
      </c>
      <c r="CR12" s="4614">
        <f t="shared" ref="CR12:CR33" si="56">CP12-CQ12</f>
        <v>0</v>
      </c>
      <c r="CT12" s="2624"/>
    </row>
    <row r="13" spans="1:99" s="1396" customFormat="1" ht="13.8" outlineLevel="2">
      <c r="A13" s="1571"/>
      <c r="B13" s="1424" t="s">
        <v>71</v>
      </c>
      <c r="C13" s="3341"/>
      <c r="D13" s="3341"/>
      <c r="E13" s="3349">
        <f t="shared" si="19"/>
        <v>0</v>
      </c>
      <c r="F13" s="4428" t="e">
        <f t="shared" si="16"/>
        <v>#DIV/0!</v>
      </c>
      <c r="G13" s="1055"/>
      <c r="H13" s="3341"/>
      <c r="I13" s="3341"/>
      <c r="J13" s="3349">
        <f t="shared" si="20"/>
        <v>0</v>
      </c>
      <c r="K13" s="4428" t="e">
        <f t="shared" si="42"/>
        <v>#DIV/0!</v>
      </c>
      <c r="L13" s="1055"/>
      <c r="M13" s="3341"/>
      <c r="N13" s="3341"/>
      <c r="O13" s="3349">
        <f t="shared" si="21"/>
        <v>0</v>
      </c>
      <c r="P13" s="4428" t="e">
        <f t="shared" si="22"/>
        <v>#DIV/0!</v>
      </c>
      <c r="Q13" s="1055"/>
      <c r="R13" s="3342">
        <f t="shared" si="23"/>
        <v>0</v>
      </c>
      <c r="S13" s="3342">
        <f t="shared" si="23"/>
        <v>0</v>
      </c>
      <c r="T13" s="2012">
        <f t="shared" si="24"/>
        <v>0</v>
      </c>
      <c r="U13" s="1055"/>
      <c r="V13" s="1055"/>
      <c r="W13" s="3342">
        <f t="shared" si="25"/>
        <v>0</v>
      </c>
      <c r="X13" s="3342">
        <f t="shared" si="25"/>
        <v>0</v>
      </c>
      <c r="Y13" s="2012">
        <f t="shared" si="26"/>
        <v>0</v>
      </c>
      <c r="Z13" s="1055"/>
      <c r="AA13" s="1055"/>
      <c r="AB13" s="3341"/>
      <c r="AC13" s="3341"/>
      <c r="AD13" s="3349">
        <f t="shared" si="27"/>
        <v>0</v>
      </c>
      <c r="AE13" s="4428" t="e">
        <f t="shared" si="43"/>
        <v>#DIV/0!</v>
      </c>
      <c r="AF13" s="1055"/>
      <c r="AG13" s="3341"/>
      <c r="AH13" s="3341"/>
      <c r="AI13" s="3349">
        <f t="shared" si="28"/>
        <v>0</v>
      </c>
      <c r="AJ13" s="4428" t="e">
        <f t="shared" si="44"/>
        <v>#DIV/0!</v>
      </c>
      <c r="AK13" s="1055"/>
      <c r="AL13" s="3341"/>
      <c r="AM13" s="3341"/>
      <c r="AN13" s="3349">
        <f t="shared" si="29"/>
        <v>0</v>
      </c>
      <c r="AO13" s="4428" t="e">
        <f t="shared" si="45"/>
        <v>#DIV/0!</v>
      </c>
      <c r="AP13" s="1055"/>
      <c r="AQ13" s="3341"/>
      <c r="AR13" s="3341"/>
      <c r="AS13" s="3349">
        <f t="shared" si="30"/>
        <v>0</v>
      </c>
      <c r="AT13" s="4428" t="e">
        <f t="shared" si="46"/>
        <v>#DIV/0!</v>
      </c>
      <c r="AU13" s="1055"/>
      <c r="AV13" s="3341"/>
      <c r="AW13" s="3341"/>
      <c r="AX13" s="3349">
        <f t="shared" si="31"/>
        <v>0</v>
      </c>
      <c r="AY13" s="4428">
        <f t="shared" si="47"/>
        <v>0</v>
      </c>
      <c r="AZ13" s="1055"/>
      <c r="BA13" s="3341"/>
      <c r="BB13" s="3341"/>
      <c r="BC13" s="3349">
        <f t="shared" si="32"/>
        <v>0</v>
      </c>
      <c r="BD13" s="4428">
        <f t="shared" si="48"/>
        <v>0</v>
      </c>
      <c r="BE13" s="1055"/>
      <c r="BF13" s="3341"/>
      <c r="BG13" s="3341"/>
      <c r="BH13" s="3349">
        <f t="shared" si="33"/>
        <v>0</v>
      </c>
      <c r="BI13" s="4428" t="e">
        <f t="shared" si="49"/>
        <v>#DIV/0!</v>
      </c>
      <c r="BJ13" s="1055"/>
      <c r="BK13" s="3341"/>
      <c r="BL13" s="3341"/>
      <c r="BM13" s="3349">
        <f t="shared" si="34"/>
        <v>0</v>
      </c>
      <c r="BN13" s="4428" t="e">
        <f t="shared" si="50"/>
        <v>#DIV/0!</v>
      </c>
      <c r="BO13" s="1055"/>
      <c r="BP13" s="3341"/>
      <c r="BQ13" s="3341"/>
      <c r="BR13" s="3349">
        <f t="shared" si="35"/>
        <v>0</v>
      </c>
      <c r="BS13" s="4428" t="e">
        <f t="shared" si="51"/>
        <v>#DIV/0!</v>
      </c>
      <c r="BT13" s="1055"/>
      <c r="BU13" s="3341"/>
      <c r="BV13" s="3341"/>
      <c r="BW13" s="3349">
        <f t="shared" si="36"/>
        <v>0</v>
      </c>
      <c r="BX13" s="4428" t="e">
        <f t="shared" si="52"/>
        <v>#DIV/0!</v>
      </c>
      <c r="BY13" s="1055"/>
      <c r="BZ13" s="3341"/>
      <c r="CA13" s="3341"/>
      <c r="CB13" s="3349">
        <f t="shared" si="37"/>
        <v>0</v>
      </c>
      <c r="CC13" s="4428" t="e">
        <f t="shared" si="53"/>
        <v>#DIV/0!</v>
      </c>
      <c r="CD13" s="1055"/>
      <c r="CE13" s="3341"/>
      <c r="CF13" s="3341"/>
      <c r="CG13" s="3349">
        <f t="shared" si="38"/>
        <v>0</v>
      </c>
      <c r="CH13" s="4428" t="e">
        <f t="shared" si="54"/>
        <v>#DIV/0!</v>
      </c>
      <c r="CI13" s="1055"/>
      <c r="CJ13" s="3341">
        <f t="shared" si="39"/>
        <v>0</v>
      </c>
      <c r="CK13" s="3341">
        <f t="shared" si="39"/>
        <v>0</v>
      </c>
      <c r="CL13" s="3349">
        <f t="shared" si="55"/>
        <v>0</v>
      </c>
      <c r="CM13" s="4428">
        <f t="shared" si="40"/>
        <v>0</v>
      </c>
      <c r="CN13" s="1434"/>
      <c r="CP13" s="4615"/>
      <c r="CQ13" s="2012">
        <f t="shared" si="41"/>
        <v>0</v>
      </c>
      <c r="CR13" s="4614">
        <f t="shared" si="56"/>
        <v>0</v>
      </c>
      <c r="CT13" s="2624"/>
    </row>
    <row r="14" spans="1:99" s="1396" customFormat="1" ht="13.8" outlineLevel="2">
      <c r="A14" s="1571"/>
      <c r="B14" s="1424" t="s">
        <v>70</v>
      </c>
      <c r="C14" s="3341"/>
      <c r="D14" s="3341"/>
      <c r="E14" s="3349">
        <f t="shared" si="19"/>
        <v>0</v>
      </c>
      <c r="F14" s="4428" t="e">
        <f t="shared" si="16"/>
        <v>#DIV/0!</v>
      </c>
      <c r="G14" s="1055"/>
      <c r="H14" s="3341"/>
      <c r="I14" s="3341"/>
      <c r="J14" s="3349">
        <f t="shared" si="20"/>
        <v>0</v>
      </c>
      <c r="K14" s="4428" t="e">
        <f t="shared" si="42"/>
        <v>#DIV/0!</v>
      </c>
      <c r="L14" s="1055"/>
      <c r="M14" s="3341"/>
      <c r="N14" s="3341"/>
      <c r="O14" s="3349">
        <f t="shared" si="21"/>
        <v>0</v>
      </c>
      <c r="P14" s="4428" t="e">
        <f t="shared" si="22"/>
        <v>#DIV/0!</v>
      </c>
      <c r="Q14" s="1055"/>
      <c r="R14" s="3342">
        <f t="shared" si="23"/>
        <v>0</v>
      </c>
      <c r="S14" s="3342">
        <f t="shared" si="23"/>
        <v>0</v>
      </c>
      <c r="T14" s="2012">
        <f t="shared" si="24"/>
        <v>0</v>
      </c>
      <c r="U14" s="1055"/>
      <c r="V14" s="1055"/>
      <c r="W14" s="3342">
        <f t="shared" si="25"/>
        <v>0</v>
      </c>
      <c r="X14" s="3342">
        <f t="shared" si="25"/>
        <v>0</v>
      </c>
      <c r="Y14" s="2012">
        <f t="shared" si="26"/>
        <v>0</v>
      </c>
      <c r="Z14" s="1055"/>
      <c r="AA14" s="1055"/>
      <c r="AB14" s="3341"/>
      <c r="AC14" s="3341"/>
      <c r="AD14" s="3349">
        <f t="shared" si="27"/>
        <v>0</v>
      </c>
      <c r="AE14" s="4428" t="e">
        <f t="shared" si="43"/>
        <v>#DIV/0!</v>
      </c>
      <c r="AF14" s="1055"/>
      <c r="AG14" s="3341"/>
      <c r="AH14" s="3341"/>
      <c r="AI14" s="3349">
        <f t="shared" si="28"/>
        <v>0</v>
      </c>
      <c r="AJ14" s="4428" t="e">
        <f t="shared" si="44"/>
        <v>#DIV/0!</v>
      </c>
      <c r="AK14" s="1055"/>
      <c r="AL14" s="3341"/>
      <c r="AM14" s="3341"/>
      <c r="AN14" s="3349">
        <f t="shared" si="29"/>
        <v>0</v>
      </c>
      <c r="AO14" s="4428" t="e">
        <f t="shared" si="45"/>
        <v>#DIV/0!</v>
      </c>
      <c r="AP14" s="1055"/>
      <c r="AQ14" s="3341"/>
      <c r="AR14" s="3341"/>
      <c r="AS14" s="3349">
        <f t="shared" si="30"/>
        <v>0</v>
      </c>
      <c r="AT14" s="4428" t="e">
        <f t="shared" si="46"/>
        <v>#DIV/0!</v>
      </c>
      <c r="AU14" s="1055"/>
      <c r="AV14" s="3341"/>
      <c r="AW14" s="3341"/>
      <c r="AX14" s="3349">
        <f t="shared" si="31"/>
        <v>0</v>
      </c>
      <c r="AY14" s="4428">
        <f t="shared" si="47"/>
        <v>0</v>
      </c>
      <c r="AZ14" s="1055"/>
      <c r="BA14" s="3341"/>
      <c r="BB14" s="3341"/>
      <c r="BC14" s="3349">
        <f t="shared" si="32"/>
        <v>0</v>
      </c>
      <c r="BD14" s="4428">
        <f t="shared" si="48"/>
        <v>0</v>
      </c>
      <c r="BE14" s="1055"/>
      <c r="BF14" s="3341"/>
      <c r="BG14" s="3341"/>
      <c r="BH14" s="3349">
        <f t="shared" si="33"/>
        <v>0</v>
      </c>
      <c r="BI14" s="4428" t="e">
        <f t="shared" si="49"/>
        <v>#DIV/0!</v>
      </c>
      <c r="BJ14" s="1055"/>
      <c r="BK14" s="3341"/>
      <c r="BL14" s="3341"/>
      <c r="BM14" s="3349">
        <f t="shared" si="34"/>
        <v>0</v>
      </c>
      <c r="BN14" s="4428" t="e">
        <f t="shared" si="50"/>
        <v>#DIV/0!</v>
      </c>
      <c r="BO14" s="1055"/>
      <c r="BP14" s="3341"/>
      <c r="BQ14" s="3341"/>
      <c r="BR14" s="3349">
        <f t="shared" si="35"/>
        <v>0</v>
      </c>
      <c r="BS14" s="4428" t="e">
        <f t="shared" si="51"/>
        <v>#DIV/0!</v>
      </c>
      <c r="BT14" s="1055"/>
      <c r="BU14" s="3341"/>
      <c r="BV14" s="3341"/>
      <c r="BW14" s="3349">
        <f t="shared" si="36"/>
        <v>0</v>
      </c>
      <c r="BX14" s="4428" t="e">
        <f t="shared" si="52"/>
        <v>#DIV/0!</v>
      </c>
      <c r="BY14" s="1055"/>
      <c r="BZ14" s="3341"/>
      <c r="CA14" s="3341"/>
      <c r="CB14" s="3349">
        <f t="shared" si="37"/>
        <v>0</v>
      </c>
      <c r="CC14" s="4428" t="e">
        <f t="shared" si="53"/>
        <v>#DIV/0!</v>
      </c>
      <c r="CD14" s="1055"/>
      <c r="CE14" s="3341"/>
      <c r="CF14" s="3341"/>
      <c r="CG14" s="3349">
        <f t="shared" si="38"/>
        <v>0</v>
      </c>
      <c r="CH14" s="4428" t="e">
        <f t="shared" si="54"/>
        <v>#DIV/0!</v>
      </c>
      <c r="CI14" s="1055"/>
      <c r="CJ14" s="3341">
        <f t="shared" si="39"/>
        <v>0</v>
      </c>
      <c r="CK14" s="3341">
        <f t="shared" si="39"/>
        <v>0</v>
      </c>
      <c r="CL14" s="3349">
        <f t="shared" si="55"/>
        <v>0</v>
      </c>
      <c r="CM14" s="4428">
        <f t="shared" si="40"/>
        <v>0</v>
      </c>
      <c r="CN14" s="1434"/>
      <c r="CP14" s="4615"/>
      <c r="CQ14" s="2012">
        <f t="shared" si="41"/>
        <v>0</v>
      </c>
      <c r="CR14" s="4614">
        <f t="shared" si="56"/>
        <v>0</v>
      </c>
      <c r="CT14" s="2624"/>
    </row>
    <row r="15" spans="1:99" s="1396" customFormat="1" ht="13.8" outlineLevel="2">
      <c r="A15" s="1571"/>
      <c r="B15" s="4430" t="s">
        <v>20</v>
      </c>
      <c r="C15" s="3341"/>
      <c r="D15" s="3341"/>
      <c r="E15" s="3349">
        <f t="shared" si="19"/>
        <v>0</v>
      </c>
      <c r="F15" s="4428" t="e">
        <f t="shared" si="16"/>
        <v>#DIV/0!</v>
      </c>
      <c r="G15" s="1055"/>
      <c r="H15" s="3341"/>
      <c r="I15" s="3341"/>
      <c r="J15" s="3349">
        <f t="shared" si="20"/>
        <v>0</v>
      </c>
      <c r="K15" s="4428" t="e">
        <f t="shared" si="42"/>
        <v>#DIV/0!</v>
      </c>
      <c r="L15" s="1055"/>
      <c r="M15" s="3341"/>
      <c r="N15" s="3341"/>
      <c r="O15" s="3349">
        <f t="shared" si="21"/>
        <v>0</v>
      </c>
      <c r="P15" s="4428" t="e">
        <f t="shared" si="22"/>
        <v>#DIV/0!</v>
      </c>
      <c r="Q15" s="1055"/>
      <c r="R15" s="3342">
        <f t="shared" si="23"/>
        <v>0</v>
      </c>
      <c r="S15" s="3342">
        <f t="shared" si="23"/>
        <v>0</v>
      </c>
      <c r="T15" s="2012">
        <f t="shared" si="24"/>
        <v>0</v>
      </c>
      <c r="U15" s="1055"/>
      <c r="V15" s="1055"/>
      <c r="W15" s="3342">
        <f t="shared" si="25"/>
        <v>0</v>
      </c>
      <c r="X15" s="3342">
        <f t="shared" si="25"/>
        <v>0</v>
      </c>
      <c r="Y15" s="2012">
        <f t="shared" si="26"/>
        <v>0</v>
      </c>
      <c r="Z15" s="1055"/>
      <c r="AA15" s="1055"/>
      <c r="AB15" s="3341"/>
      <c r="AC15" s="3341"/>
      <c r="AD15" s="3349">
        <f t="shared" si="27"/>
        <v>0</v>
      </c>
      <c r="AE15" s="4428" t="e">
        <f t="shared" si="43"/>
        <v>#DIV/0!</v>
      </c>
      <c r="AF15" s="1055"/>
      <c r="AG15" s="3341"/>
      <c r="AH15" s="3341"/>
      <c r="AI15" s="3349">
        <f t="shared" si="28"/>
        <v>0</v>
      </c>
      <c r="AJ15" s="4428" t="e">
        <f t="shared" si="44"/>
        <v>#DIV/0!</v>
      </c>
      <c r="AK15" s="1055"/>
      <c r="AL15" s="3341"/>
      <c r="AM15" s="3341"/>
      <c r="AN15" s="3349">
        <f t="shared" si="29"/>
        <v>0</v>
      </c>
      <c r="AO15" s="4428" t="e">
        <f t="shared" si="45"/>
        <v>#DIV/0!</v>
      </c>
      <c r="AP15" s="1055"/>
      <c r="AQ15" s="3341"/>
      <c r="AR15" s="3341"/>
      <c r="AS15" s="3349">
        <f t="shared" si="30"/>
        <v>0</v>
      </c>
      <c r="AT15" s="4428" t="e">
        <f t="shared" si="46"/>
        <v>#DIV/0!</v>
      </c>
      <c r="AU15" s="1055"/>
      <c r="AV15" s="3341"/>
      <c r="AW15" s="3341"/>
      <c r="AX15" s="3349">
        <f t="shared" si="31"/>
        <v>0</v>
      </c>
      <c r="AY15" s="4428">
        <f t="shared" si="47"/>
        <v>0</v>
      </c>
      <c r="AZ15" s="1055"/>
      <c r="BA15" s="3341"/>
      <c r="BB15" s="3341"/>
      <c r="BC15" s="3349">
        <f t="shared" si="32"/>
        <v>0</v>
      </c>
      <c r="BD15" s="4428">
        <f t="shared" si="48"/>
        <v>0</v>
      </c>
      <c r="BE15" s="1055"/>
      <c r="BF15" s="3341"/>
      <c r="BG15" s="3341"/>
      <c r="BH15" s="3349">
        <f t="shared" si="33"/>
        <v>0</v>
      </c>
      <c r="BI15" s="4428" t="e">
        <f t="shared" si="49"/>
        <v>#DIV/0!</v>
      </c>
      <c r="BJ15" s="1055"/>
      <c r="BK15" s="3341"/>
      <c r="BL15" s="3341"/>
      <c r="BM15" s="3349">
        <f t="shared" si="34"/>
        <v>0</v>
      </c>
      <c r="BN15" s="4428" t="e">
        <f t="shared" si="50"/>
        <v>#DIV/0!</v>
      </c>
      <c r="BO15" s="1055"/>
      <c r="BP15" s="3341"/>
      <c r="BQ15" s="3341"/>
      <c r="BR15" s="3349">
        <f t="shared" si="35"/>
        <v>0</v>
      </c>
      <c r="BS15" s="4428" t="e">
        <f t="shared" si="51"/>
        <v>#DIV/0!</v>
      </c>
      <c r="BT15" s="1055"/>
      <c r="BU15" s="3341"/>
      <c r="BV15" s="3341"/>
      <c r="BW15" s="3349">
        <f t="shared" si="36"/>
        <v>0</v>
      </c>
      <c r="BX15" s="4428" t="e">
        <f t="shared" si="52"/>
        <v>#DIV/0!</v>
      </c>
      <c r="BY15" s="1055"/>
      <c r="BZ15" s="3341"/>
      <c r="CA15" s="3341"/>
      <c r="CB15" s="3349">
        <f t="shared" si="37"/>
        <v>0</v>
      </c>
      <c r="CC15" s="4428" t="e">
        <f t="shared" si="53"/>
        <v>#DIV/0!</v>
      </c>
      <c r="CD15" s="1055"/>
      <c r="CE15" s="3341"/>
      <c r="CF15" s="3341"/>
      <c r="CG15" s="3349">
        <f t="shared" si="38"/>
        <v>0</v>
      </c>
      <c r="CH15" s="4428" t="e">
        <f t="shared" si="54"/>
        <v>#DIV/0!</v>
      </c>
      <c r="CI15" s="1055"/>
      <c r="CJ15" s="3341">
        <f t="shared" si="39"/>
        <v>0</v>
      </c>
      <c r="CK15" s="3341">
        <f t="shared" si="39"/>
        <v>0</v>
      </c>
      <c r="CL15" s="3349">
        <f t="shared" si="55"/>
        <v>0</v>
      </c>
      <c r="CM15" s="4428">
        <f t="shared" si="40"/>
        <v>0</v>
      </c>
      <c r="CN15" s="1434"/>
      <c r="CP15" s="4615"/>
      <c r="CQ15" s="2012">
        <f t="shared" si="41"/>
        <v>0</v>
      </c>
      <c r="CR15" s="4614">
        <f t="shared" si="56"/>
        <v>0</v>
      </c>
      <c r="CT15" s="2624"/>
    </row>
    <row r="16" spans="1:99" s="1396" customFormat="1" ht="13.8" outlineLevel="2">
      <c r="A16" s="1571"/>
      <c r="B16" s="4430" t="s">
        <v>21</v>
      </c>
      <c r="C16" s="3341"/>
      <c r="D16" s="3341"/>
      <c r="E16" s="3349">
        <f t="shared" si="19"/>
        <v>0</v>
      </c>
      <c r="F16" s="4428" t="e">
        <f t="shared" si="16"/>
        <v>#DIV/0!</v>
      </c>
      <c r="G16" s="1055"/>
      <c r="H16" s="3341"/>
      <c r="I16" s="3341"/>
      <c r="J16" s="3349">
        <f t="shared" si="20"/>
        <v>0</v>
      </c>
      <c r="K16" s="4428" t="e">
        <f t="shared" si="42"/>
        <v>#DIV/0!</v>
      </c>
      <c r="L16" s="1055"/>
      <c r="M16" s="3341"/>
      <c r="N16" s="3341"/>
      <c r="O16" s="3349">
        <f t="shared" si="21"/>
        <v>0</v>
      </c>
      <c r="P16" s="4428" t="e">
        <f t="shared" si="22"/>
        <v>#DIV/0!</v>
      </c>
      <c r="Q16" s="1055"/>
      <c r="R16" s="3342">
        <f t="shared" si="23"/>
        <v>0</v>
      </c>
      <c r="S16" s="3342">
        <f t="shared" si="23"/>
        <v>0</v>
      </c>
      <c r="T16" s="2012">
        <f t="shared" si="24"/>
        <v>0</v>
      </c>
      <c r="U16" s="1055"/>
      <c r="V16" s="1055"/>
      <c r="W16" s="3342">
        <f t="shared" si="25"/>
        <v>0</v>
      </c>
      <c r="X16" s="3342">
        <f t="shared" si="25"/>
        <v>0</v>
      </c>
      <c r="Y16" s="2012">
        <f t="shared" si="26"/>
        <v>0</v>
      </c>
      <c r="Z16" s="1055"/>
      <c r="AA16" s="1055"/>
      <c r="AB16" s="3341"/>
      <c r="AC16" s="3341"/>
      <c r="AD16" s="3349">
        <f t="shared" si="27"/>
        <v>0</v>
      </c>
      <c r="AE16" s="4428" t="e">
        <f t="shared" si="43"/>
        <v>#DIV/0!</v>
      </c>
      <c r="AF16" s="1055"/>
      <c r="AG16" s="3341"/>
      <c r="AH16" s="3341"/>
      <c r="AI16" s="3349">
        <f t="shared" si="28"/>
        <v>0</v>
      </c>
      <c r="AJ16" s="4428" t="e">
        <f t="shared" si="44"/>
        <v>#DIV/0!</v>
      </c>
      <c r="AK16" s="1055"/>
      <c r="AL16" s="3341"/>
      <c r="AM16" s="3341"/>
      <c r="AN16" s="3349">
        <f t="shared" si="29"/>
        <v>0</v>
      </c>
      <c r="AO16" s="4428" t="e">
        <f t="shared" si="45"/>
        <v>#DIV/0!</v>
      </c>
      <c r="AP16" s="1055"/>
      <c r="AQ16" s="3341"/>
      <c r="AR16" s="3341"/>
      <c r="AS16" s="3349">
        <f t="shared" si="30"/>
        <v>0</v>
      </c>
      <c r="AT16" s="4428" t="e">
        <f t="shared" si="46"/>
        <v>#DIV/0!</v>
      </c>
      <c r="AU16" s="1055"/>
      <c r="AV16" s="3341"/>
      <c r="AW16" s="3341"/>
      <c r="AX16" s="3349">
        <f t="shared" si="31"/>
        <v>0</v>
      </c>
      <c r="AY16" s="4428">
        <f t="shared" si="47"/>
        <v>0</v>
      </c>
      <c r="AZ16" s="1055"/>
      <c r="BA16" s="3341"/>
      <c r="BB16" s="3341"/>
      <c r="BC16" s="3349">
        <f t="shared" si="32"/>
        <v>0</v>
      </c>
      <c r="BD16" s="4428">
        <f t="shared" si="48"/>
        <v>0</v>
      </c>
      <c r="BE16" s="1055"/>
      <c r="BF16" s="3341"/>
      <c r="BG16" s="3341"/>
      <c r="BH16" s="3349">
        <f t="shared" si="33"/>
        <v>0</v>
      </c>
      <c r="BI16" s="4428" t="e">
        <f t="shared" si="49"/>
        <v>#DIV/0!</v>
      </c>
      <c r="BJ16" s="1055"/>
      <c r="BK16" s="3341"/>
      <c r="BL16" s="3341"/>
      <c r="BM16" s="3349">
        <f t="shared" si="34"/>
        <v>0</v>
      </c>
      <c r="BN16" s="4428" t="e">
        <f t="shared" si="50"/>
        <v>#DIV/0!</v>
      </c>
      <c r="BO16" s="1055"/>
      <c r="BP16" s="3341"/>
      <c r="BQ16" s="3341"/>
      <c r="BR16" s="3349">
        <f t="shared" si="35"/>
        <v>0</v>
      </c>
      <c r="BS16" s="4428" t="e">
        <f t="shared" si="51"/>
        <v>#DIV/0!</v>
      </c>
      <c r="BT16" s="1055"/>
      <c r="BU16" s="3341"/>
      <c r="BV16" s="3341"/>
      <c r="BW16" s="3349">
        <f t="shared" si="36"/>
        <v>0</v>
      </c>
      <c r="BX16" s="4428" t="e">
        <f t="shared" si="52"/>
        <v>#DIV/0!</v>
      </c>
      <c r="BY16" s="1055"/>
      <c r="BZ16" s="3341"/>
      <c r="CA16" s="3341"/>
      <c r="CB16" s="3349">
        <f t="shared" si="37"/>
        <v>0</v>
      </c>
      <c r="CC16" s="4428" t="e">
        <f t="shared" si="53"/>
        <v>#DIV/0!</v>
      </c>
      <c r="CD16" s="1055"/>
      <c r="CE16" s="3341"/>
      <c r="CF16" s="3341"/>
      <c r="CG16" s="3349">
        <f t="shared" si="38"/>
        <v>0</v>
      </c>
      <c r="CH16" s="4428" t="e">
        <f t="shared" si="54"/>
        <v>#DIV/0!</v>
      </c>
      <c r="CI16" s="1055"/>
      <c r="CJ16" s="3341">
        <f t="shared" si="39"/>
        <v>0</v>
      </c>
      <c r="CK16" s="3341">
        <f t="shared" si="39"/>
        <v>0</v>
      </c>
      <c r="CL16" s="3349">
        <f>CJ16+CK16*1</f>
        <v>0</v>
      </c>
      <c r="CM16" s="4428">
        <f t="shared" si="40"/>
        <v>0</v>
      </c>
      <c r="CN16" s="1434"/>
      <c r="CP16" s="4615"/>
      <c r="CQ16" s="2012">
        <f t="shared" si="41"/>
        <v>0</v>
      </c>
      <c r="CR16" s="4614">
        <f t="shared" si="56"/>
        <v>0</v>
      </c>
      <c r="CT16" s="2624"/>
    </row>
    <row r="17" spans="1:100" s="1396" customFormat="1" ht="13.8" outlineLevel="2">
      <c r="A17" s="1571"/>
      <c r="B17" s="4430" t="s">
        <v>22</v>
      </c>
      <c r="C17" s="3341"/>
      <c r="D17" s="3341"/>
      <c r="E17" s="3349">
        <f t="shared" si="19"/>
        <v>0</v>
      </c>
      <c r="F17" s="4428" t="e">
        <f t="shared" si="16"/>
        <v>#DIV/0!</v>
      </c>
      <c r="G17" s="2047"/>
      <c r="H17" s="3341"/>
      <c r="I17" s="3341"/>
      <c r="J17" s="3349">
        <f t="shared" si="20"/>
        <v>0</v>
      </c>
      <c r="K17" s="4428" t="e">
        <f t="shared" si="42"/>
        <v>#DIV/0!</v>
      </c>
      <c r="L17" s="2047"/>
      <c r="M17" s="3341"/>
      <c r="N17" s="3341"/>
      <c r="O17" s="3349">
        <f t="shared" si="21"/>
        <v>0</v>
      </c>
      <c r="P17" s="4428" t="e">
        <f t="shared" si="22"/>
        <v>#DIV/0!</v>
      </c>
      <c r="Q17" s="2047"/>
      <c r="R17" s="3342">
        <f t="shared" si="23"/>
        <v>0</v>
      </c>
      <c r="S17" s="3342">
        <f t="shared" si="23"/>
        <v>0</v>
      </c>
      <c r="T17" s="2012">
        <f t="shared" si="24"/>
        <v>0</v>
      </c>
      <c r="U17" s="2047"/>
      <c r="V17" s="2047"/>
      <c r="W17" s="3342">
        <f t="shared" si="25"/>
        <v>0</v>
      </c>
      <c r="X17" s="3342">
        <f t="shared" si="25"/>
        <v>0</v>
      </c>
      <c r="Y17" s="2012">
        <f t="shared" si="26"/>
        <v>0</v>
      </c>
      <c r="Z17" s="2047"/>
      <c r="AA17" s="2047"/>
      <c r="AB17" s="3341"/>
      <c r="AC17" s="3341"/>
      <c r="AD17" s="3349">
        <f t="shared" si="27"/>
        <v>0</v>
      </c>
      <c r="AE17" s="4428" t="e">
        <f t="shared" si="43"/>
        <v>#DIV/0!</v>
      </c>
      <c r="AF17" s="2047"/>
      <c r="AG17" s="3341"/>
      <c r="AH17" s="3341"/>
      <c r="AI17" s="3349">
        <f t="shared" si="28"/>
        <v>0</v>
      </c>
      <c r="AJ17" s="4428" t="e">
        <f t="shared" si="44"/>
        <v>#DIV/0!</v>
      </c>
      <c r="AK17" s="2047"/>
      <c r="AL17" s="3341"/>
      <c r="AM17" s="3341"/>
      <c r="AN17" s="3349">
        <f t="shared" si="29"/>
        <v>0</v>
      </c>
      <c r="AO17" s="4428" t="e">
        <f t="shared" si="45"/>
        <v>#DIV/0!</v>
      </c>
      <c r="AP17" s="2047"/>
      <c r="AQ17" s="3341"/>
      <c r="AR17" s="3341"/>
      <c r="AS17" s="3349">
        <f t="shared" si="30"/>
        <v>0</v>
      </c>
      <c r="AT17" s="4428" t="e">
        <f t="shared" si="46"/>
        <v>#DIV/0!</v>
      </c>
      <c r="AU17" s="2047"/>
      <c r="AV17" s="3341"/>
      <c r="AW17" s="3341"/>
      <c r="AX17" s="3349">
        <f t="shared" si="31"/>
        <v>0</v>
      </c>
      <c r="AY17" s="4428">
        <f t="shared" si="47"/>
        <v>0</v>
      </c>
      <c r="AZ17" s="2047"/>
      <c r="BA17" s="3341"/>
      <c r="BB17" s="3341"/>
      <c r="BC17" s="3349">
        <f t="shared" si="32"/>
        <v>0</v>
      </c>
      <c r="BD17" s="4428">
        <f t="shared" si="48"/>
        <v>0</v>
      </c>
      <c r="BE17" s="2047"/>
      <c r="BF17" s="3341"/>
      <c r="BG17" s="3341"/>
      <c r="BH17" s="3349">
        <f t="shared" si="33"/>
        <v>0</v>
      </c>
      <c r="BI17" s="4428" t="e">
        <f t="shared" si="49"/>
        <v>#DIV/0!</v>
      </c>
      <c r="BJ17" s="2047"/>
      <c r="BK17" s="3341"/>
      <c r="BL17" s="3341"/>
      <c r="BM17" s="3349">
        <f t="shared" si="34"/>
        <v>0</v>
      </c>
      <c r="BN17" s="4428" t="e">
        <f t="shared" si="50"/>
        <v>#DIV/0!</v>
      </c>
      <c r="BO17" s="2047"/>
      <c r="BP17" s="3341"/>
      <c r="BQ17" s="3341"/>
      <c r="BR17" s="3349">
        <f t="shared" si="35"/>
        <v>0</v>
      </c>
      <c r="BS17" s="4428" t="e">
        <f t="shared" si="51"/>
        <v>#DIV/0!</v>
      </c>
      <c r="BT17" s="2047"/>
      <c r="BU17" s="3341"/>
      <c r="BV17" s="3341"/>
      <c r="BW17" s="3349">
        <f t="shared" si="36"/>
        <v>0</v>
      </c>
      <c r="BX17" s="4428" t="e">
        <f t="shared" si="52"/>
        <v>#DIV/0!</v>
      </c>
      <c r="BY17" s="2047"/>
      <c r="BZ17" s="3341"/>
      <c r="CA17" s="3341"/>
      <c r="CB17" s="3349">
        <f t="shared" si="37"/>
        <v>0</v>
      </c>
      <c r="CC17" s="4428" t="e">
        <f t="shared" si="53"/>
        <v>#DIV/0!</v>
      </c>
      <c r="CD17" s="2047"/>
      <c r="CE17" s="3341"/>
      <c r="CF17" s="3341"/>
      <c r="CG17" s="3349">
        <f t="shared" si="38"/>
        <v>0</v>
      </c>
      <c r="CH17" s="4428" t="e">
        <f t="shared" si="54"/>
        <v>#DIV/0!</v>
      </c>
      <c r="CI17" s="2047"/>
      <c r="CJ17" s="3341">
        <f t="shared" si="39"/>
        <v>0</v>
      </c>
      <c r="CK17" s="3341">
        <f t="shared" si="39"/>
        <v>0</v>
      </c>
      <c r="CL17" s="3349">
        <f t="shared" si="55"/>
        <v>0</v>
      </c>
      <c r="CM17" s="4428">
        <f t="shared" si="40"/>
        <v>0</v>
      </c>
      <c r="CN17" s="1434"/>
      <c r="CP17" s="4615"/>
      <c r="CQ17" s="2012">
        <f t="shared" si="41"/>
        <v>0</v>
      </c>
      <c r="CR17" s="4614">
        <f t="shared" si="56"/>
        <v>0</v>
      </c>
      <c r="CT17" s="3443"/>
    </row>
    <row r="18" spans="1:100" s="1396" customFormat="1" ht="13.8" outlineLevel="2">
      <c r="A18" s="1571"/>
      <c r="B18" s="4430" t="s">
        <v>0</v>
      </c>
      <c r="C18" s="3341"/>
      <c r="D18" s="3341"/>
      <c r="E18" s="3349">
        <f t="shared" si="19"/>
        <v>0</v>
      </c>
      <c r="F18" s="4428" t="e">
        <f t="shared" si="16"/>
        <v>#DIV/0!</v>
      </c>
      <c r="G18" s="1055"/>
      <c r="H18" s="3341"/>
      <c r="I18" s="3341"/>
      <c r="J18" s="3349">
        <f t="shared" si="20"/>
        <v>0</v>
      </c>
      <c r="K18" s="4428" t="e">
        <f t="shared" si="42"/>
        <v>#DIV/0!</v>
      </c>
      <c r="L18" s="1055"/>
      <c r="M18" s="3341"/>
      <c r="N18" s="3341"/>
      <c r="O18" s="3349">
        <f t="shared" si="21"/>
        <v>0</v>
      </c>
      <c r="P18" s="4428" t="e">
        <f t="shared" si="22"/>
        <v>#DIV/0!</v>
      </c>
      <c r="Q18" s="1055"/>
      <c r="R18" s="3342">
        <f t="shared" si="23"/>
        <v>0</v>
      </c>
      <c r="S18" s="3342">
        <f t="shared" si="23"/>
        <v>0</v>
      </c>
      <c r="T18" s="2012">
        <f t="shared" si="24"/>
        <v>0</v>
      </c>
      <c r="U18" s="1055"/>
      <c r="V18" s="1055"/>
      <c r="W18" s="3342">
        <f t="shared" si="25"/>
        <v>0</v>
      </c>
      <c r="X18" s="3342">
        <f t="shared" si="25"/>
        <v>0</v>
      </c>
      <c r="Y18" s="2012">
        <f t="shared" si="26"/>
        <v>0</v>
      </c>
      <c r="Z18" s="1055"/>
      <c r="AA18" s="1055"/>
      <c r="AB18" s="3341"/>
      <c r="AC18" s="3341"/>
      <c r="AD18" s="3349">
        <f t="shared" si="27"/>
        <v>0</v>
      </c>
      <c r="AE18" s="4428" t="e">
        <f t="shared" si="43"/>
        <v>#DIV/0!</v>
      </c>
      <c r="AF18" s="1055"/>
      <c r="AG18" s="3341"/>
      <c r="AH18" s="3341"/>
      <c r="AI18" s="3349">
        <f t="shared" si="28"/>
        <v>0</v>
      </c>
      <c r="AJ18" s="4428" t="e">
        <f t="shared" si="44"/>
        <v>#DIV/0!</v>
      </c>
      <c r="AK18" s="1055"/>
      <c r="AL18" s="3341"/>
      <c r="AM18" s="3341"/>
      <c r="AN18" s="3349">
        <f t="shared" si="29"/>
        <v>0</v>
      </c>
      <c r="AO18" s="4428" t="e">
        <f t="shared" si="45"/>
        <v>#DIV/0!</v>
      </c>
      <c r="AP18" s="1055"/>
      <c r="AQ18" s="3341"/>
      <c r="AR18" s="3341"/>
      <c r="AS18" s="3349">
        <f t="shared" si="30"/>
        <v>0</v>
      </c>
      <c r="AT18" s="4428" t="e">
        <f t="shared" si="46"/>
        <v>#DIV/0!</v>
      </c>
      <c r="AU18" s="1055"/>
      <c r="AV18" s="3341"/>
      <c r="AW18" s="3341"/>
      <c r="AX18" s="3349">
        <f t="shared" si="31"/>
        <v>0</v>
      </c>
      <c r="AY18" s="4428">
        <f t="shared" si="47"/>
        <v>0</v>
      </c>
      <c r="AZ18" s="1055"/>
      <c r="BA18" s="3341"/>
      <c r="BB18" s="3341"/>
      <c r="BC18" s="3349">
        <f t="shared" si="32"/>
        <v>0</v>
      </c>
      <c r="BD18" s="4428">
        <f t="shared" si="48"/>
        <v>0</v>
      </c>
      <c r="BE18" s="1055"/>
      <c r="BF18" s="3341"/>
      <c r="BG18" s="3341"/>
      <c r="BH18" s="3349">
        <f t="shared" si="33"/>
        <v>0</v>
      </c>
      <c r="BI18" s="4428" t="e">
        <f t="shared" si="49"/>
        <v>#DIV/0!</v>
      </c>
      <c r="BJ18" s="1055"/>
      <c r="BK18" s="3341"/>
      <c r="BL18" s="3341"/>
      <c r="BM18" s="3349">
        <f t="shared" si="34"/>
        <v>0</v>
      </c>
      <c r="BN18" s="4428" t="e">
        <f t="shared" si="50"/>
        <v>#DIV/0!</v>
      </c>
      <c r="BO18" s="1055"/>
      <c r="BP18" s="3341"/>
      <c r="BQ18" s="3341"/>
      <c r="BR18" s="3349">
        <f t="shared" si="35"/>
        <v>0</v>
      </c>
      <c r="BS18" s="4428" t="e">
        <f t="shared" si="51"/>
        <v>#DIV/0!</v>
      </c>
      <c r="BT18" s="1055"/>
      <c r="BU18" s="3341"/>
      <c r="BV18" s="3341"/>
      <c r="BW18" s="3349">
        <f t="shared" si="36"/>
        <v>0</v>
      </c>
      <c r="BX18" s="4428" t="e">
        <f t="shared" si="52"/>
        <v>#DIV/0!</v>
      </c>
      <c r="BY18" s="1055"/>
      <c r="BZ18" s="3341"/>
      <c r="CA18" s="3341"/>
      <c r="CB18" s="3349">
        <f t="shared" si="37"/>
        <v>0</v>
      </c>
      <c r="CC18" s="4428" t="e">
        <f t="shared" si="53"/>
        <v>#DIV/0!</v>
      </c>
      <c r="CD18" s="1055"/>
      <c r="CE18" s="3341"/>
      <c r="CF18" s="3341"/>
      <c r="CG18" s="3349">
        <f t="shared" si="38"/>
        <v>0</v>
      </c>
      <c r="CH18" s="4428" t="e">
        <f t="shared" si="54"/>
        <v>#DIV/0!</v>
      </c>
      <c r="CI18" s="1055"/>
      <c r="CJ18" s="3341">
        <f t="shared" si="39"/>
        <v>0</v>
      </c>
      <c r="CK18" s="3341">
        <f t="shared" si="39"/>
        <v>0</v>
      </c>
      <c r="CL18" s="3349">
        <f t="shared" si="55"/>
        <v>0</v>
      </c>
      <c r="CM18" s="4428">
        <f t="shared" si="40"/>
        <v>0</v>
      </c>
      <c r="CN18" s="1434"/>
      <c r="CP18" s="4615"/>
      <c r="CQ18" s="2012">
        <f t="shared" si="41"/>
        <v>0</v>
      </c>
      <c r="CR18" s="4614">
        <f t="shared" si="56"/>
        <v>0</v>
      </c>
      <c r="CT18" s="2624"/>
    </row>
    <row r="19" spans="1:100" s="1396" customFormat="1" ht="13.8" outlineLevel="2">
      <c r="A19" s="1571"/>
      <c r="B19" s="4430" t="s">
        <v>53</v>
      </c>
      <c r="C19" s="3341"/>
      <c r="D19" s="3341"/>
      <c r="E19" s="3349">
        <f t="shared" si="19"/>
        <v>0</v>
      </c>
      <c r="F19" s="4428" t="e">
        <f t="shared" si="16"/>
        <v>#DIV/0!</v>
      </c>
      <c r="G19" s="1055"/>
      <c r="H19" s="3341"/>
      <c r="I19" s="3341"/>
      <c r="J19" s="3349">
        <f t="shared" si="20"/>
        <v>0</v>
      </c>
      <c r="K19" s="4428" t="e">
        <f t="shared" si="42"/>
        <v>#DIV/0!</v>
      </c>
      <c r="L19" s="1055"/>
      <c r="M19" s="3341"/>
      <c r="N19" s="3341"/>
      <c r="O19" s="3349">
        <f t="shared" si="21"/>
        <v>0</v>
      </c>
      <c r="P19" s="4428" t="e">
        <f t="shared" si="22"/>
        <v>#DIV/0!</v>
      </c>
      <c r="Q19" s="1055"/>
      <c r="R19" s="3342">
        <f t="shared" si="23"/>
        <v>0</v>
      </c>
      <c r="S19" s="3342">
        <f t="shared" si="23"/>
        <v>0</v>
      </c>
      <c r="T19" s="2012">
        <f t="shared" si="24"/>
        <v>0</v>
      </c>
      <c r="U19" s="1055"/>
      <c r="V19" s="1055"/>
      <c r="W19" s="3342">
        <f t="shared" si="25"/>
        <v>0</v>
      </c>
      <c r="X19" s="3342">
        <f t="shared" si="25"/>
        <v>0</v>
      </c>
      <c r="Y19" s="2012">
        <f t="shared" si="26"/>
        <v>0</v>
      </c>
      <c r="Z19" s="1055"/>
      <c r="AA19" s="1055"/>
      <c r="AB19" s="3341"/>
      <c r="AC19" s="3341"/>
      <c r="AD19" s="3349">
        <f t="shared" si="27"/>
        <v>0</v>
      </c>
      <c r="AE19" s="4428" t="e">
        <f t="shared" si="43"/>
        <v>#DIV/0!</v>
      </c>
      <c r="AF19" s="1055"/>
      <c r="AG19" s="3341"/>
      <c r="AH19" s="3341"/>
      <c r="AI19" s="3349">
        <f t="shared" si="28"/>
        <v>0</v>
      </c>
      <c r="AJ19" s="4428" t="e">
        <f t="shared" si="44"/>
        <v>#DIV/0!</v>
      </c>
      <c r="AK19" s="1055"/>
      <c r="AL19" s="3341"/>
      <c r="AM19" s="3341"/>
      <c r="AN19" s="3349">
        <f t="shared" si="29"/>
        <v>0</v>
      </c>
      <c r="AO19" s="4428" t="e">
        <f t="shared" si="45"/>
        <v>#DIV/0!</v>
      </c>
      <c r="AP19" s="1055"/>
      <c r="AQ19" s="3341"/>
      <c r="AR19" s="3341"/>
      <c r="AS19" s="3349">
        <f t="shared" si="30"/>
        <v>0</v>
      </c>
      <c r="AT19" s="4428" t="e">
        <f t="shared" si="46"/>
        <v>#DIV/0!</v>
      </c>
      <c r="AU19" s="1055"/>
      <c r="AV19" s="3341"/>
      <c r="AW19" s="3341"/>
      <c r="AX19" s="3349">
        <f t="shared" si="31"/>
        <v>0</v>
      </c>
      <c r="AY19" s="4428">
        <f t="shared" si="47"/>
        <v>0</v>
      </c>
      <c r="AZ19" s="1055"/>
      <c r="BA19" s="3341"/>
      <c r="BB19" s="3341"/>
      <c r="BC19" s="3349">
        <f t="shared" si="32"/>
        <v>0</v>
      </c>
      <c r="BD19" s="4428">
        <f t="shared" si="48"/>
        <v>0</v>
      </c>
      <c r="BE19" s="1055"/>
      <c r="BF19" s="3341"/>
      <c r="BG19" s="3341"/>
      <c r="BH19" s="3349">
        <f t="shared" si="33"/>
        <v>0</v>
      </c>
      <c r="BI19" s="4428" t="e">
        <f t="shared" si="49"/>
        <v>#DIV/0!</v>
      </c>
      <c r="BJ19" s="1055"/>
      <c r="BK19" s="3341"/>
      <c r="BL19" s="3341"/>
      <c r="BM19" s="3349">
        <f t="shared" si="34"/>
        <v>0</v>
      </c>
      <c r="BN19" s="4428" t="e">
        <f t="shared" si="50"/>
        <v>#DIV/0!</v>
      </c>
      <c r="BO19" s="1055"/>
      <c r="BP19" s="3341"/>
      <c r="BQ19" s="3341"/>
      <c r="BR19" s="3349">
        <f t="shared" si="35"/>
        <v>0</v>
      </c>
      <c r="BS19" s="4428" t="e">
        <f t="shared" si="51"/>
        <v>#DIV/0!</v>
      </c>
      <c r="BT19" s="1055"/>
      <c r="BU19" s="3341"/>
      <c r="BV19" s="3341"/>
      <c r="BW19" s="3349">
        <f t="shared" si="36"/>
        <v>0</v>
      </c>
      <c r="BX19" s="4428" t="e">
        <f t="shared" si="52"/>
        <v>#DIV/0!</v>
      </c>
      <c r="BY19" s="1055"/>
      <c r="BZ19" s="3341"/>
      <c r="CA19" s="3341"/>
      <c r="CB19" s="3349">
        <f t="shared" si="37"/>
        <v>0</v>
      </c>
      <c r="CC19" s="4428" t="e">
        <f t="shared" si="53"/>
        <v>#DIV/0!</v>
      </c>
      <c r="CD19" s="1055"/>
      <c r="CE19" s="3341"/>
      <c r="CF19" s="3341"/>
      <c r="CG19" s="3349">
        <f t="shared" si="38"/>
        <v>0</v>
      </c>
      <c r="CH19" s="4428" t="e">
        <f t="shared" si="54"/>
        <v>#DIV/0!</v>
      </c>
      <c r="CI19" s="1055"/>
      <c r="CJ19" s="3341">
        <f t="shared" si="39"/>
        <v>0</v>
      </c>
      <c r="CK19" s="3341">
        <f t="shared" si="39"/>
        <v>0</v>
      </c>
      <c r="CL19" s="3349">
        <f t="shared" si="55"/>
        <v>0</v>
      </c>
      <c r="CM19" s="4428">
        <f t="shared" si="40"/>
        <v>0</v>
      </c>
      <c r="CN19" s="1434"/>
      <c r="CP19" s="4615"/>
      <c r="CQ19" s="2012">
        <f t="shared" si="41"/>
        <v>0</v>
      </c>
      <c r="CR19" s="4614">
        <f t="shared" si="56"/>
        <v>0</v>
      </c>
      <c r="CT19" s="2624"/>
    </row>
    <row r="20" spans="1:100" s="1396" customFormat="1" ht="13.8" outlineLevel="2">
      <c r="A20" s="1571"/>
      <c r="B20" s="4430" t="s">
        <v>57</v>
      </c>
      <c r="C20" s="3341"/>
      <c r="D20" s="3341"/>
      <c r="E20" s="3349">
        <f t="shared" si="19"/>
        <v>0</v>
      </c>
      <c r="F20" s="4428" t="e">
        <f t="shared" si="16"/>
        <v>#DIV/0!</v>
      </c>
      <c r="G20" s="1055"/>
      <c r="H20" s="3341"/>
      <c r="I20" s="3341"/>
      <c r="J20" s="3349">
        <f t="shared" si="20"/>
        <v>0</v>
      </c>
      <c r="K20" s="4428" t="e">
        <f t="shared" si="42"/>
        <v>#DIV/0!</v>
      </c>
      <c r="L20" s="1055"/>
      <c r="M20" s="3341"/>
      <c r="N20" s="3341"/>
      <c r="O20" s="3349">
        <f t="shared" si="21"/>
        <v>0</v>
      </c>
      <c r="P20" s="4428" t="e">
        <f t="shared" si="22"/>
        <v>#DIV/0!</v>
      </c>
      <c r="Q20" s="1055"/>
      <c r="R20" s="3342">
        <f t="shared" si="23"/>
        <v>0</v>
      </c>
      <c r="S20" s="3342">
        <f t="shared" si="23"/>
        <v>0</v>
      </c>
      <c r="T20" s="2012">
        <f t="shared" si="24"/>
        <v>0</v>
      </c>
      <c r="U20" s="1055"/>
      <c r="V20" s="1055"/>
      <c r="W20" s="3342">
        <f t="shared" si="25"/>
        <v>0</v>
      </c>
      <c r="X20" s="3342">
        <f t="shared" si="25"/>
        <v>0</v>
      </c>
      <c r="Y20" s="2012">
        <f t="shared" si="26"/>
        <v>0</v>
      </c>
      <c r="Z20" s="1055"/>
      <c r="AA20" s="1055"/>
      <c r="AB20" s="3341"/>
      <c r="AC20" s="3341"/>
      <c r="AD20" s="3349">
        <f t="shared" si="27"/>
        <v>0</v>
      </c>
      <c r="AE20" s="4428" t="e">
        <f t="shared" si="43"/>
        <v>#DIV/0!</v>
      </c>
      <c r="AF20" s="1055"/>
      <c r="AG20" s="3341"/>
      <c r="AH20" s="3341"/>
      <c r="AI20" s="3349">
        <f t="shared" si="28"/>
        <v>0</v>
      </c>
      <c r="AJ20" s="4428" t="e">
        <f t="shared" si="44"/>
        <v>#DIV/0!</v>
      </c>
      <c r="AK20" s="1055"/>
      <c r="AL20" s="3341"/>
      <c r="AM20" s="3341"/>
      <c r="AN20" s="3349">
        <f t="shared" si="29"/>
        <v>0</v>
      </c>
      <c r="AO20" s="4428" t="e">
        <f t="shared" si="45"/>
        <v>#DIV/0!</v>
      </c>
      <c r="AP20" s="1055"/>
      <c r="AQ20" s="3341"/>
      <c r="AR20" s="3341"/>
      <c r="AS20" s="3349">
        <f t="shared" si="30"/>
        <v>0</v>
      </c>
      <c r="AT20" s="4428" t="e">
        <f t="shared" si="46"/>
        <v>#DIV/0!</v>
      </c>
      <c r="AU20" s="1055"/>
      <c r="AV20" s="3341"/>
      <c r="AW20" s="3341"/>
      <c r="AX20" s="3349">
        <f t="shared" si="31"/>
        <v>0</v>
      </c>
      <c r="AY20" s="4428">
        <f t="shared" si="47"/>
        <v>0</v>
      </c>
      <c r="AZ20" s="1055"/>
      <c r="BA20" s="3341"/>
      <c r="BB20" s="3341"/>
      <c r="BC20" s="3349">
        <f t="shared" si="32"/>
        <v>0</v>
      </c>
      <c r="BD20" s="4428">
        <f t="shared" si="48"/>
        <v>0</v>
      </c>
      <c r="BE20" s="1055"/>
      <c r="BF20" s="3341"/>
      <c r="BG20" s="3341"/>
      <c r="BH20" s="3349">
        <f t="shared" si="33"/>
        <v>0</v>
      </c>
      <c r="BI20" s="4428" t="e">
        <f t="shared" si="49"/>
        <v>#DIV/0!</v>
      </c>
      <c r="BJ20" s="1055"/>
      <c r="BK20" s="3341"/>
      <c r="BL20" s="3341"/>
      <c r="BM20" s="3349">
        <f t="shared" si="34"/>
        <v>0</v>
      </c>
      <c r="BN20" s="4428" t="e">
        <f t="shared" si="50"/>
        <v>#DIV/0!</v>
      </c>
      <c r="BO20" s="1055"/>
      <c r="BP20" s="3341"/>
      <c r="BQ20" s="3341"/>
      <c r="BR20" s="3349">
        <f t="shared" si="35"/>
        <v>0</v>
      </c>
      <c r="BS20" s="4428" t="e">
        <f t="shared" si="51"/>
        <v>#DIV/0!</v>
      </c>
      <c r="BT20" s="1055"/>
      <c r="BU20" s="3341"/>
      <c r="BV20" s="3341"/>
      <c r="BW20" s="3349">
        <f t="shared" si="36"/>
        <v>0</v>
      </c>
      <c r="BX20" s="4428" t="e">
        <f t="shared" si="52"/>
        <v>#DIV/0!</v>
      </c>
      <c r="BY20" s="1055"/>
      <c r="BZ20" s="3341"/>
      <c r="CA20" s="3341"/>
      <c r="CB20" s="3349">
        <f t="shared" si="37"/>
        <v>0</v>
      </c>
      <c r="CC20" s="4428" t="e">
        <f t="shared" si="53"/>
        <v>#DIV/0!</v>
      </c>
      <c r="CD20" s="1055"/>
      <c r="CE20" s="3341"/>
      <c r="CF20" s="3341"/>
      <c r="CG20" s="3349">
        <f t="shared" si="38"/>
        <v>0</v>
      </c>
      <c r="CH20" s="4428" t="e">
        <f t="shared" si="54"/>
        <v>#DIV/0!</v>
      </c>
      <c r="CI20" s="1055"/>
      <c r="CJ20" s="3341">
        <f t="shared" si="39"/>
        <v>0</v>
      </c>
      <c r="CK20" s="3341">
        <f t="shared" si="39"/>
        <v>0</v>
      </c>
      <c r="CL20" s="3349">
        <f t="shared" si="55"/>
        <v>0</v>
      </c>
      <c r="CM20" s="4428">
        <f t="shared" si="40"/>
        <v>0</v>
      </c>
      <c r="CN20" s="1434"/>
      <c r="CP20" s="4615"/>
      <c r="CQ20" s="2012">
        <f t="shared" si="41"/>
        <v>0</v>
      </c>
      <c r="CR20" s="4614">
        <f t="shared" si="56"/>
        <v>0</v>
      </c>
      <c r="CT20" s="2624"/>
    </row>
    <row r="21" spans="1:100" s="1396" customFormat="1" ht="13.8" outlineLevel="2">
      <c r="A21" s="1571"/>
      <c r="B21" s="4430" t="s">
        <v>58</v>
      </c>
      <c r="C21" s="3341"/>
      <c r="D21" s="3341"/>
      <c r="E21" s="3349">
        <f t="shared" si="19"/>
        <v>0</v>
      </c>
      <c r="F21" s="4428" t="e">
        <f t="shared" si="16"/>
        <v>#DIV/0!</v>
      </c>
      <c r="G21" s="1615"/>
      <c r="H21" s="3341"/>
      <c r="I21" s="3341"/>
      <c r="J21" s="3349">
        <f t="shared" si="20"/>
        <v>0</v>
      </c>
      <c r="K21" s="4428" t="e">
        <f t="shared" si="42"/>
        <v>#DIV/0!</v>
      </c>
      <c r="L21" s="1615"/>
      <c r="M21" s="3341"/>
      <c r="N21" s="3341"/>
      <c r="O21" s="3349">
        <f t="shared" si="21"/>
        <v>0</v>
      </c>
      <c r="P21" s="4428" t="e">
        <f t="shared" si="22"/>
        <v>#DIV/0!</v>
      </c>
      <c r="Q21" s="1615"/>
      <c r="R21" s="3342">
        <f t="shared" si="23"/>
        <v>0</v>
      </c>
      <c r="S21" s="3342">
        <f t="shared" si="23"/>
        <v>0</v>
      </c>
      <c r="T21" s="2012">
        <f t="shared" si="24"/>
        <v>0</v>
      </c>
      <c r="U21" s="1615"/>
      <c r="V21" s="1615"/>
      <c r="W21" s="3342">
        <f t="shared" si="25"/>
        <v>0</v>
      </c>
      <c r="X21" s="3342">
        <f t="shared" si="25"/>
        <v>0</v>
      </c>
      <c r="Y21" s="2012">
        <f t="shared" si="26"/>
        <v>0</v>
      </c>
      <c r="Z21" s="1615"/>
      <c r="AA21" s="1615"/>
      <c r="AB21" s="3341"/>
      <c r="AC21" s="3341"/>
      <c r="AD21" s="3349">
        <f t="shared" si="27"/>
        <v>0</v>
      </c>
      <c r="AE21" s="4428" t="e">
        <f t="shared" si="43"/>
        <v>#DIV/0!</v>
      </c>
      <c r="AF21" s="1615"/>
      <c r="AG21" s="3341"/>
      <c r="AH21" s="3341"/>
      <c r="AI21" s="3349">
        <f t="shared" si="28"/>
        <v>0</v>
      </c>
      <c r="AJ21" s="4428" t="e">
        <f t="shared" si="44"/>
        <v>#DIV/0!</v>
      </c>
      <c r="AK21" s="1615"/>
      <c r="AL21" s="3341"/>
      <c r="AM21" s="3341"/>
      <c r="AN21" s="3349">
        <f t="shared" si="29"/>
        <v>0</v>
      </c>
      <c r="AO21" s="4428" t="e">
        <f t="shared" si="45"/>
        <v>#DIV/0!</v>
      </c>
      <c r="AP21" s="1615"/>
      <c r="AQ21" s="3341"/>
      <c r="AR21" s="3341"/>
      <c r="AS21" s="3349">
        <f t="shared" si="30"/>
        <v>0</v>
      </c>
      <c r="AT21" s="4428" t="e">
        <f t="shared" si="46"/>
        <v>#DIV/0!</v>
      </c>
      <c r="AU21" s="1615"/>
      <c r="AV21" s="3341"/>
      <c r="AW21" s="3341"/>
      <c r="AX21" s="3349">
        <f t="shared" si="31"/>
        <v>0</v>
      </c>
      <c r="AY21" s="4428">
        <f t="shared" si="47"/>
        <v>0</v>
      </c>
      <c r="AZ21" s="1615"/>
      <c r="BA21" s="3341"/>
      <c r="BB21" s="3341"/>
      <c r="BC21" s="3349">
        <f t="shared" si="32"/>
        <v>0</v>
      </c>
      <c r="BD21" s="4428">
        <f t="shared" si="48"/>
        <v>0</v>
      </c>
      <c r="BE21" s="1615"/>
      <c r="BF21" s="3341"/>
      <c r="BG21" s="3341"/>
      <c r="BH21" s="3349">
        <f t="shared" si="33"/>
        <v>0</v>
      </c>
      <c r="BI21" s="4428" t="e">
        <f t="shared" si="49"/>
        <v>#DIV/0!</v>
      </c>
      <c r="BJ21" s="1615"/>
      <c r="BK21" s="3341"/>
      <c r="BL21" s="3341"/>
      <c r="BM21" s="3349">
        <f t="shared" si="34"/>
        <v>0</v>
      </c>
      <c r="BN21" s="4428" t="e">
        <f t="shared" si="50"/>
        <v>#DIV/0!</v>
      </c>
      <c r="BO21" s="1615"/>
      <c r="BP21" s="3341"/>
      <c r="BQ21" s="3341"/>
      <c r="BR21" s="3349">
        <f t="shared" si="35"/>
        <v>0</v>
      </c>
      <c r="BS21" s="4428" t="e">
        <f t="shared" si="51"/>
        <v>#DIV/0!</v>
      </c>
      <c r="BT21" s="1615"/>
      <c r="BU21" s="3341"/>
      <c r="BV21" s="3341"/>
      <c r="BW21" s="3349">
        <f t="shared" si="36"/>
        <v>0</v>
      </c>
      <c r="BX21" s="4428" t="e">
        <f t="shared" si="52"/>
        <v>#DIV/0!</v>
      </c>
      <c r="BY21" s="1615"/>
      <c r="BZ21" s="3341"/>
      <c r="CA21" s="3341"/>
      <c r="CB21" s="3349">
        <f t="shared" si="37"/>
        <v>0</v>
      </c>
      <c r="CC21" s="4428" t="e">
        <f t="shared" si="53"/>
        <v>#DIV/0!</v>
      </c>
      <c r="CD21" s="1615"/>
      <c r="CE21" s="3341"/>
      <c r="CF21" s="3341"/>
      <c r="CG21" s="3349">
        <f t="shared" si="38"/>
        <v>0</v>
      </c>
      <c r="CH21" s="4428" t="e">
        <f t="shared" si="54"/>
        <v>#DIV/0!</v>
      </c>
      <c r="CI21" s="1615"/>
      <c r="CJ21" s="3341">
        <f t="shared" si="39"/>
        <v>0</v>
      </c>
      <c r="CK21" s="3341">
        <f t="shared" si="39"/>
        <v>0</v>
      </c>
      <c r="CL21" s="3349">
        <f t="shared" si="55"/>
        <v>0</v>
      </c>
      <c r="CM21" s="4428">
        <f t="shared" si="40"/>
        <v>0</v>
      </c>
      <c r="CN21" s="1434"/>
      <c r="CP21" s="4615"/>
      <c r="CQ21" s="2012">
        <f t="shared" si="41"/>
        <v>0</v>
      </c>
      <c r="CR21" s="4614">
        <f t="shared" si="56"/>
        <v>0</v>
      </c>
      <c r="CT21" s="2624"/>
    </row>
    <row r="22" spans="1:100" s="1396" customFormat="1" ht="13.8" outlineLevel="2">
      <c r="A22" s="1571"/>
      <c r="B22" s="4430" t="s">
        <v>621</v>
      </c>
      <c r="C22" s="3341"/>
      <c r="D22" s="3341"/>
      <c r="E22" s="3349">
        <f t="shared" si="19"/>
        <v>0</v>
      </c>
      <c r="F22" s="4428" t="e">
        <f t="shared" si="16"/>
        <v>#DIV/0!</v>
      </c>
      <c r="G22" s="3342"/>
      <c r="H22" s="3341"/>
      <c r="I22" s="3341"/>
      <c r="J22" s="3349">
        <f t="shared" si="20"/>
        <v>0</v>
      </c>
      <c r="K22" s="4428" t="e">
        <f t="shared" si="42"/>
        <v>#DIV/0!</v>
      </c>
      <c r="L22" s="3342"/>
      <c r="M22" s="3341"/>
      <c r="N22" s="3341"/>
      <c r="O22" s="3349">
        <f t="shared" si="21"/>
        <v>0</v>
      </c>
      <c r="P22" s="4428" t="e">
        <f t="shared" si="22"/>
        <v>#DIV/0!</v>
      </c>
      <c r="Q22" s="3342"/>
      <c r="R22" s="3342">
        <f t="shared" si="23"/>
        <v>0</v>
      </c>
      <c r="S22" s="3342">
        <f t="shared" si="23"/>
        <v>0</v>
      </c>
      <c r="T22" s="2012">
        <f t="shared" si="24"/>
        <v>0</v>
      </c>
      <c r="U22" s="3342"/>
      <c r="V22" s="3342"/>
      <c r="W22" s="3342">
        <f t="shared" si="25"/>
        <v>0</v>
      </c>
      <c r="X22" s="3342">
        <f t="shared" si="25"/>
        <v>0</v>
      </c>
      <c r="Y22" s="2012">
        <f t="shared" si="26"/>
        <v>0</v>
      </c>
      <c r="Z22" s="3342"/>
      <c r="AA22" s="3342"/>
      <c r="AB22" s="3341"/>
      <c r="AC22" s="3341"/>
      <c r="AD22" s="3349">
        <f t="shared" si="27"/>
        <v>0</v>
      </c>
      <c r="AE22" s="4428" t="e">
        <f t="shared" si="43"/>
        <v>#DIV/0!</v>
      </c>
      <c r="AF22" s="3342"/>
      <c r="AG22" s="3341"/>
      <c r="AH22" s="3341"/>
      <c r="AI22" s="3349">
        <f t="shared" si="28"/>
        <v>0</v>
      </c>
      <c r="AJ22" s="4428" t="e">
        <f t="shared" si="44"/>
        <v>#DIV/0!</v>
      </c>
      <c r="AK22" s="3342"/>
      <c r="AL22" s="3341"/>
      <c r="AM22" s="3341"/>
      <c r="AN22" s="3349">
        <f t="shared" si="29"/>
        <v>0</v>
      </c>
      <c r="AO22" s="4428" t="e">
        <f t="shared" si="45"/>
        <v>#DIV/0!</v>
      </c>
      <c r="AP22" s="3342"/>
      <c r="AQ22" s="3341"/>
      <c r="AR22" s="3341"/>
      <c r="AS22" s="3349">
        <f t="shared" si="30"/>
        <v>0</v>
      </c>
      <c r="AT22" s="4428" t="e">
        <f t="shared" si="46"/>
        <v>#DIV/0!</v>
      </c>
      <c r="AU22" s="3342"/>
      <c r="AV22" s="3341"/>
      <c r="AW22" s="3341"/>
      <c r="AX22" s="3349">
        <f t="shared" si="31"/>
        <v>0</v>
      </c>
      <c r="AY22" s="4428">
        <f t="shared" si="47"/>
        <v>0</v>
      </c>
      <c r="AZ22" s="3342"/>
      <c r="BA22" s="3341"/>
      <c r="BB22" s="3341"/>
      <c r="BC22" s="3349">
        <f t="shared" si="32"/>
        <v>0</v>
      </c>
      <c r="BD22" s="4428">
        <f t="shared" si="48"/>
        <v>0</v>
      </c>
      <c r="BE22" s="3342"/>
      <c r="BF22" s="3341"/>
      <c r="BG22" s="3341"/>
      <c r="BH22" s="3349">
        <f t="shared" si="33"/>
        <v>0</v>
      </c>
      <c r="BI22" s="4428" t="e">
        <f t="shared" si="49"/>
        <v>#DIV/0!</v>
      </c>
      <c r="BJ22" s="3342"/>
      <c r="BK22" s="3341"/>
      <c r="BL22" s="3341"/>
      <c r="BM22" s="3349">
        <f t="shared" si="34"/>
        <v>0</v>
      </c>
      <c r="BN22" s="4428" t="e">
        <f t="shared" si="50"/>
        <v>#DIV/0!</v>
      </c>
      <c r="BO22" s="3342"/>
      <c r="BP22" s="3341"/>
      <c r="BQ22" s="3341"/>
      <c r="BR22" s="3349">
        <f t="shared" si="35"/>
        <v>0</v>
      </c>
      <c r="BS22" s="4428" t="e">
        <f t="shared" si="51"/>
        <v>#DIV/0!</v>
      </c>
      <c r="BT22" s="3342"/>
      <c r="BU22" s="3341"/>
      <c r="BV22" s="3341"/>
      <c r="BW22" s="3349">
        <f t="shared" si="36"/>
        <v>0</v>
      </c>
      <c r="BX22" s="4428" t="e">
        <f t="shared" si="52"/>
        <v>#DIV/0!</v>
      </c>
      <c r="BY22" s="3342"/>
      <c r="BZ22" s="3341"/>
      <c r="CA22" s="3341"/>
      <c r="CB22" s="3349">
        <f t="shared" si="37"/>
        <v>0</v>
      </c>
      <c r="CC22" s="4428" t="e">
        <f t="shared" si="53"/>
        <v>#DIV/0!</v>
      </c>
      <c r="CD22" s="3342"/>
      <c r="CE22" s="3341"/>
      <c r="CF22" s="3341"/>
      <c r="CG22" s="3349">
        <f t="shared" si="38"/>
        <v>0</v>
      </c>
      <c r="CH22" s="4428" t="e">
        <f t="shared" si="54"/>
        <v>#DIV/0!</v>
      </c>
      <c r="CI22" s="3342"/>
      <c r="CJ22" s="3341">
        <f t="shared" si="39"/>
        <v>0</v>
      </c>
      <c r="CK22" s="3341">
        <f t="shared" si="39"/>
        <v>0</v>
      </c>
      <c r="CL22" s="3349">
        <f t="shared" si="55"/>
        <v>0</v>
      </c>
      <c r="CM22" s="4428">
        <f t="shared" si="40"/>
        <v>0</v>
      </c>
      <c r="CN22" s="1434"/>
      <c r="CP22" s="4615"/>
      <c r="CQ22" s="2012">
        <f t="shared" si="41"/>
        <v>0</v>
      </c>
      <c r="CR22" s="4614">
        <f t="shared" si="56"/>
        <v>0</v>
      </c>
      <c r="CT22" s="3443">
        <f>CQ22</f>
        <v>0</v>
      </c>
    </row>
    <row r="23" spans="1:100" s="1396" customFormat="1" ht="13.8" outlineLevel="2">
      <c r="A23" s="1571"/>
      <c r="B23" s="4430" t="s">
        <v>630</v>
      </c>
      <c r="C23" s="3341"/>
      <c r="D23" s="3341"/>
      <c r="E23" s="3349">
        <f t="shared" si="19"/>
        <v>0</v>
      </c>
      <c r="F23" s="4428" t="e">
        <f t="shared" si="16"/>
        <v>#DIV/0!</v>
      </c>
      <c r="G23" s="1055"/>
      <c r="H23" s="3341"/>
      <c r="I23" s="3341"/>
      <c r="J23" s="3349">
        <f t="shared" si="20"/>
        <v>0</v>
      </c>
      <c r="K23" s="4428" t="e">
        <f t="shared" si="42"/>
        <v>#DIV/0!</v>
      </c>
      <c r="L23" s="1055"/>
      <c r="M23" s="3341"/>
      <c r="N23" s="3341"/>
      <c r="O23" s="3349">
        <f t="shared" si="21"/>
        <v>0</v>
      </c>
      <c r="P23" s="4428" t="e">
        <f t="shared" si="22"/>
        <v>#DIV/0!</v>
      </c>
      <c r="Q23" s="1055"/>
      <c r="R23" s="3342">
        <f t="shared" si="23"/>
        <v>0</v>
      </c>
      <c r="S23" s="3342">
        <f t="shared" si="23"/>
        <v>0</v>
      </c>
      <c r="T23" s="2012">
        <f t="shared" si="24"/>
        <v>0</v>
      </c>
      <c r="U23" s="1055"/>
      <c r="V23" s="1055"/>
      <c r="W23" s="3342">
        <f t="shared" si="25"/>
        <v>0</v>
      </c>
      <c r="X23" s="3342">
        <f t="shared" si="25"/>
        <v>0</v>
      </c>
      <c r="Y23" s="2012">
        <f t="shared" si="26"/>
        <v>0</v>
      </c>
      <c r="Z23" s="1055"/>
      <c r="AA23" s="1055"/>
      <c r="AB23" s="3341"/>
      <c r="AC23" s="3341"/>
      <c r="AD23" s="3349">
        <f t="shared" si="27"/>
        <v>0</v>
      </c>
      <c r="AE23" s="4428" t="e">
        <f t="shared" si="43"/>
        <v>#DIV/0!</v>
      </c>
      <c r="AF23" s="1055"/>
      <c r="AG23" s="3341"/>
      <c r="AH23" s="3341"/>
      <c r="AI23" s="3349">
        <f t="shared" si="28"/>
        <v>0</v>
      </c>
      <c r="AJ23" s="4428" t="e">
        <f t="shared" si="44"/>
        <v>#DIV/0!</v>
      </c>
      <c r="AK23" s="1055"/>
      <c r="AL23" s="3341"/>
      <c r="AM23" s="3341"/>
      <c r="AN23" s="3349">
        <f t="shared" si="29"/>
        <v>0</v>
      </c>
      <c r="AO23" s="4428" t="e">
        <f t="shared" si="45"/>
        <v>#DIV/0!</v>
      </c>
      <c r="AP23" s="1055"/>
      <c r="AQ23" s="3341"/>
      <c r="AR23" s="3341"/>
      <c r="AS23" s="3349">
        <f t="shared" si="30"/>
        <v>0</v>
      </c>
      <c r="AT23" s="4428" t="e">
        <f t="shared" si="46"/>
        <v>#DIV/0!</v>
      </c>
      <c r="AU23" s="1055"/>
      <c r="AV23" s="3341"/>
      <c r="AW23" s="3341"/>
      <c r="AX23" s="3349">
        <f t="shared" si="31"/>
        <v>0</v>
      </c>
      <c r="AY23" s="4428">
        <f t="shared" si="47"/>
        <v>0</v>
      </c>
      <c r="AZ23" s="1055"/>
      <c r="BA23" s="3341"/>
      <c r="BB23" s="3341"/>
      <c r="BC23" s="3349">
        <f t="shared" si="32"/>
        <v>0</v>
      </c>
      <c r="BD23" s="4428">
        <f t="shared" si="48"/>
        <v>0</v>
      </c>
      <c r="BE23" s="1055"/>
      <c r="BF23" s="3341"/>
      <c r="BG23" s="3341"/>
      <c r="BH23" s="3349">
        <f t="shared" si="33"/>
        <v>0</v>
      </c>
      <c r="BI23" s="4428" t="e">
        <f t="shared" si="49"/>
        <v>#DIV/0!</v>
      </c>
      <c r="BJ23" s="1055"/>
      <c r="BK23" s="3341"/>
      <c r="BL23" s="3341"/>
      <c r="BM23" s="3349">
        <f t="shared" si="34"/>
        <v>0</v>
      </c>
      <c r="BN23" s="4428" t="e">
        <f t="shared" si="50"/>
        <v>#DIV/0!</v>
      </c>
      <c r="BO23" s="1055"/>
      <c r="BP23" s="3341"/>
      <c r="BQ23" s="3341"/>
      <c r="BR23" s="3349">
        <f t="shared" si="35"/>
        <v>0</v>
      </c>
      <c r="BS23" s="4428" t="e">
        <f t="shared" si="51"/>
        <v>#DIV/0!</v>
      </c>
      <c r="BT23" s="1055"/>
      <c r="BU23" s="3341"/>
      <c r="BV23" s="3341"/>
      <c r="BW23" s="3349">
        <f t="shared" si="36"/>
        <v>0</v>
      </c>
      <c r="BX23" s="4428" t="e">
        <f t="shared" si="52"/>
        <v>#DIV/0!</v>
      </c>
      <c r="BY23" s="1055"/>
      <c r="BZ23" s="3341"/>
      <c r="CA23" s="3341"/>
      <c r="CB23" s="3349">
        <f t="shared" si="37"/>
        <v>0</v>
      </c>
      <c r="CC23" s="4428" t="e">
        <f t="shared" si="53"/>
        <v>#DIV/0!</v>
      </c>
      <c r="CD23" s="1055"/>
      <c r="CE23" s="3341"/>
      <c r="CF23" s="3341"/>
      <c r="CG23" s="3349">
        <f t="shared" si="38"/>
        <v>0</v>
      </c>
      <c r="CH23" s="4428" t="e">
        <f t="shared" si="54"/>
        <v>#DIV/0!</v>
      </c>
      <c r="CI23" s="1055"/>
      <c r="CJ23" s="3341">
        <f t="shared" si="39"/>
        <v>0</v>
      </c>
      <c r="CK23" s="3341">
        <f t="shared" si="39"/>
        <v>0</v>
      </c>
      <c r="CL23" s="3349">
        <f t="shared" si="55"/>
        <v>0</v>
      </c>
      <c r="CM23" s="4428">
        <f t="shared" si="40"/>
        <v>0</v>
      </c>
      <c r="CN23" s="1434"/>
      <c r="CP23" s="4615"/>
      <c r="CQ23" s="2012">
        <f t="shared" si="41"/>
        <v>0</v>
      </c>
      <c r="CR23" s="4614">
        <f t="shared" si="56"/>
        <v>0</v>
      </c>
      <c r="CT23" s="2624"/>
    </row>
    <row r="24" spans="1:100" s="1396" customFormat="1" ht="13.8" outlineLevel="2">
      <c r="A24" s="1571"/>
      <c r="B24" s="4430" t="s">
        <v>23</v>
      </c>
      <c r="C24" s="3341"/>
      <c r="D24" s="3341"/>
      <c r="E24" s="3349">
        <f t="shared" si="19"/>
        <v>0</v>
      </c>
      <c r="F24" s="4428" t="e">
        <f t="shared" si="16"/>
        <v>#DIV/0!</v>
      </c>
      <c r="G24" s="3342"/>
      <c r="H24" s="3341"/>
      <c r="I24" s="3341"/>
      <c r="J24" s="3349">
        <f t="shared" si="20"/>
        <v>0</v>
      </c>
      <c r="K24" s="4428" t="e">
        <f t="shared" si="42"/>
        <v>#DIV/0!</v>
      </c>
      <c r="L24" s="3342"/>
      <c r="M24" s="3341"/>
      <c r="N24" s="3341"/>
      <c r="O24" s="3349">
        <f t="shared" si="21"/>
        <v>0</v>
      </c>
      <c r="P24" s="4428" t="e">
        <f t="shared" si="22"/>
        <v>#DIV/0!</v>
      </c>
      <c r="Q24" s="3342"/>
      <c r="R24" s="3342">
        <f t="shared" si="23"/>
        <v>0</v>
      </c>
      <c r="S24" s="3342">
        <f t="shared" si="23"/>
        <v>0</v>
      </c>
      <c r="T24" s="2012">
        <f t="shared" si="24"/>
        <v>0</v>
      </c>
      <c r="U24" s="3342"/>
      <c r="V24" s="3342"/>
      <c r="W24" s="3342">
        <f t="shared" si="25"/>
        <v>0</v>
      </c>
      <c r="X24" s="3342">
        <f t="shared" si="25"/>
        <v>0</v>
      </c>
      <c r="Y24" s="2012">
        <f t="shared" si="26"/>
        <v>0</v>
      </c>
      <c r="Z24" s="3342"/>
      <c r="AA24" s="3342"/>
      <c r="AB24" s="3341"/>
      <c r="AC24" s="3341"/>
      <c r="AD24" s="3349">
        <f t="shared" si="27"/>
        <v>0</v>
      </c>
      <c r="AE24" s="4428" t="e">
        <f t="shared" si="43"/>
        <v>#DIV/0!</v>
      </c>
      <c r="AF24" s="3342"/>
      <c r="AG24" s="3341"/>
      <c r="AH24" s="3341"/>
      <c r="AI24" s="3349">
        <f t="shared" si="28"/>
        <v>0</v>
      </c>
      <c r="AJ24" s="4428" t="e">
        <f t="shared" si="44"/>
        <v>#DIV/0!</v>
      </c>
      <c r="AK24" s="3342"/>
      <c r="AL24" s="3341"/>
      <c r="AM24" s="3341"/>
      <c r="AN24" s="3349">
        <f t="shared" si="29"/>
        <v>0</v>
      </c>
      <c r="AO24" s="4428" t="e">
        <f t="shared" si="45"/>
        <v>#DIV/0!</v>
      </c>
      <c r="AP24" s="3342"/>
      <c r="AQ24" s="3341"/>
      <c r="AR24" s="3341"/>
      <c r="AS24" s="3349">
        <f t="shared" si="30"/>
        <v>0</v>
      </c>
      <c r="AT24" s="4428" t="e">
        <f t="shared" si="46"/>
        <v>#DIV/0!</v>
      </c>
      <c r="AU24" s="3342"/>
      <c r="AV24" s="3341"/>
      <c r="AW24" s="3341"/>
      <c r="AX24" s="3349">
        <f t="shared" si="31"/>
        <v>0</v>
      </c>
      <c r="AY24" s="4428">
        <f t="shared" si="47"/>
        <v>0</v>
      </c>
      <c r="AZ24" s="3342"/>
      <c r="BA24" s="3341"/>
      <c r="BB24" s="3341"/>
      <c r="BC24" s="3349">
        <f t="shared" si="32"/>
        <v>0</v>
      </c>
      <c r="BD24" s="4428">
        <f t="shared" si="48"/>
        <v>0</v>
      </c>
      <c r="BE24" s="3342"/>
      <c r="BF24" s="3341"/>
      <c r="BG24" s="3341"/>
      <c r="BH24" s="3349">
        <f t="shared" si="33"/>
        <v>0</v>
      </c>
      <c r="BI24" s="4428" t="e">
        <f t="shared" si="49"/>
        <v>#DIV/0!</v>
      </c>
      <c r="BJ24" s="3342"/>
      <c r="BK24" s="3341"/>
      <c r="BL24" s="3341"/>
      <c r="BM24" s="3349">
        <f t="shared" si="34"/>
        <v>0</v>
      </c>
      <c r="BN24" s="4428" t="e">
        <f t="shared" si="50"/>
        <v>#DIV/0!</v>
      </c>
      <c r="BO24" s="3342"/>
      <c r="BP24" s="3341"/>
      <c r="BQ24" s="3341"/>
      <c r="BR24" s="3349">
        <f t="shared" si="35"/>
        <v>0</v>
      </c>
      <c r="BS24" s="4428" t="e">
        <f t="shared" si="51"/>
        <v>#DIV/0!</v>
      </c>
      <c r="BT24" s="3342"/>
      <c r="BU24" s="3341"/>
      <c r="BV24" s="3341"/>
      <c r="BW24" s="3349">
        <f t="shared" si="36"/>
        <v>0</v>
      </c>
      <c r="BX24" s="4428" t="e">
        <f t="shared" si="52"/>
        <v>#DIV/0!</v>
      </c>
      <c r="BY24" s="3342"/>
      <c r="BZ24" s="3341"/>
      <c r="CA24" s="3341"/>
      <c r="CB24" s="3349">
        <f t="shared" si="37"/>
        <v>0</v>
      </c>
      <c r="CC24" s="4428" t="e">
        <f t="shared" si="53"/>
        <v>#DIV/0!</v>
      </c>
      <c r="CD24" s="3342"/>
      <c r="CE24" s="3341"/>
      <c r="CF24" s="3341"/>
      <c r="CG24" s="3349">
        <f t="shared" si="38"/>
        <v>0</v>
      </c>
      <c r="CH24" s="4428" t="e">
        <f t="shared" si="54"/>
        <v>#DIV/0!</v>
      </c>
      <c r="CI24" s="3342"/>
      <c r="CJ24" s="3341">
        <f t="shared" si="39"/>
        <v>0</v>
      </c>
      <c r="CK24" s="3341">
        <f t="shared" si="39"/>
        <v>0</v>
      </c>
      <c r="CL24" s="3349">
        <f t="shared" si="55"/>
        <v>0</v>
      </c>
      <c r="CM24" s="4428">
        <f t="shared" si="40"/>
        <v>0</v>
      </c>
      <c r="CN24" s="1434"/>
      <c r="CP24" s="4615"/>
      <c r="CQ24" s="2012">
        <f t="shared" si="41"/>
        <v>0</v>
      </c>
      <c r="CR24" s="4614">
        <f t="shared" si="56"/>
        <v>0</v>
      </c>
      <c r="CT24" s="2624"/>
    </row>
    <row r="25" spans="1:100" s="1396" customFormat="1" ht="13.8" outlineLevel="2">
      <c r="A25" s="1571"/>
      <c r="B25" s="4430" t="s">
        <v>24</v>
      </c>
      <c r="C25" s="3341"/>
      <c r="D25" s="3341"/>
      <c r="E25" s="3349">
        <f t="shared" si="19"/>
        <v>0</v>
      </c>
      <c r="F25" s="4428" t="e">
        <f t="shared" si="16"/>
        <v>#DIV/0!</v>
      </c>
      <c r="G25" s="3342"/>
      <c r="H25" s="3341"/>
      <c r="I25" s="3341"/>
      <c r="J25" s="3349">
        <f t="shared" si="20"/>
        <v>0</v>
      </c>
      <c r="K25" s="4428" t="e">
        <f t="shared" si="42"/>
        <v>#DIV/0!</v>
      </c>
      <c r="L25" s="3342"/>
      <c r="M25" s="3341"/>
      <c r="N25" s="3341"/>
      <c r="O25" s="3349">
        <f t="shared" si="21"/>
        <v>0</v>
      </c>
      <c r="P25" s="4428" t="e">
        <f t="shared" si="22"/>
        <v>#DIV/0!</v>
      </c>
      <c r="Q25" s="3342"/>
      <c r="R25" s="3342">
        <f t="shared" si="23"/>
        <v>0</v>
      </c>
      <c r="S25" s="3342">
        <f t="shared" si="23"/>
        <v>0</v>
      </c>
      <c r="T25" s="2012">
        <f t="shared" si="24"/>
        <v>0</v>
      </c>
      <c r="U25" s="3342"/>
      <c r="V25" s="3342"/>
      <c r="W25" s="3342">
        <f t="shared" si="25"/>
        <v>0</v>
      </c>
      <c r="X25" s="3342">
        <f t="shared" si="25"/>
        <v>0</v>
      </c>
      <c r="Y25" s="2012">
        <f t="shared" si="26"/>
        <v>0</v>
      </c>
      <c r="Z25" s="3342"/>
      <c r="AA25" s="3342"/>
      <c r="AB25" s="3341"/>
      <c r="AC25" s="3341"/>
      <c r="AD25" s="3349">
        <f t="shared" si="27"/>
        <v>0</v>
      </c>
      <c r="AE25" s="4428" t="e">
        <f t="shared" si="43"/>
        <v>#DIV/0!</v>
      </c>
      <c r="AF25" s="3342"/>
      <c r="AG25" s="3341"/>
      <c r="AH25" s="3341"/>
      <c r="AI25" s="3349">
        <f t="shared" si="28"/>
        <v>0</v>
      </c>
      <c r="AJ25" s="4428" t="e">
        <f t="shared" si="44"/>
        <v>#DIV/0!</v>
      </c>
      <c r="AK25" s="3342"/>
      <c r="AL25" s="3341"/>
      <c r="AM25" s="3341"/>
      <c r="AN25" s="3349">
        <f t="shared" si="29"/>
        <v>0</v>
      </c>
      <c r="AO25" s="4428" t="e">
        <f t="shared" si="45"/>
        <v>#DIV/0!</v>
      </c>
      <c r="AP25" s="3342"/>
      <c r="AQ25" s="3341"/>
      <c r="AR25" s="3341"/>
      <c r="AS25" s="3349">
        <f t="shared" si="30"/>
        <v>0</v>
      </c>
      <c r="AT25" s="4428" t="e">
        <f t="shared" si="46"/>
        <v>#DIV/0!</v>
      </c>
      <c r="AU25" s="3342"/>
      <c r="AV25" s="3341"/>
      <c r="AW25" s="3341"/>
      <c r="AX25" s="3349">
        <f t="shared" si="31"/>
        <v>0</v>
      </c>
      <c r="AY25" s="4428">
        <f t="shared" si="47"/>
        <v>0</v>
      </c>
      <c r="AZ25" s="3342"/>
      <c r="BA25" s="3341"/>
      <c r="BB25" s="3341"/>
      <c r="BC25" s="3349">
        <f t="shared" si="32"/>
        <v>0</v>
      </c>
      <c r="BD25" s="4428">
        <f t="shared" si="48"/>
        <v>0</v>
      </c>
      <c r="BE25" s="3342"/>
      <c r="BF25" s="3341"/>
      <c r="BG25" s="3341"/>
      <c r="BH25" s="3349">
        <f t="shared" si="33"/>
        <v>0</v>
      </c>
      <c r="BI25" s="4428" t="e">
        <f t="shared" si="49"/>
        <v>#DIV/0!</v>
      </c>
      <c r="BJ25" s="3342"/>
      <c r="BK25" s="3341"/>
      <c r="BL25" s="3341"/>
      <c r="BM25" s="3349">
        <f t="shared" si="34"/>
        <v>0</v>
      </c>
      <c r="BN25" s="4428" t="e">
        <f t="shared" si="50"/>
        <v>#DIV/0!</v>
      </c>
      <c r="BO25" s="3342"/>
      <c r="BP25" s="3341"/>
      <c r="BQ25" s="3341"/>
      <c r="BR25" s="3349">
        <f t="shared" si="35"/>
        <v>0</v>
      </c>
      <c r="BS25" s="4428" t="e">
        <f t="shared" si="51"/>
        <v>#DIV/0!</v>
      </c>
      <c r="BT25" s="3342"/>
      <c r="BU25" s="3341"/>
      <c r="BV25" s="3341"/>
      <c r="BW25" s="3349">
        <f t="shared" si="36"/>
        <v>0</v>
      </c>
      <c r="BX25" s="4428" t="e">
        <f t="shared" si="52"/>
        <v>#DIV/0!</v>
      </c>
      <c r="BY25" s="3342"/>
      <c r="BZ25" s="3341"/>
      <c r="CA25" s="3341"/>
      <c r="CB25" s="3349">
        <f t="shared" si="37"/>
        <v>0</v>
      </c>
      <c r="CC25" s="4428" t="e">
        <f t="shared" si="53"/>
        <v>#DIV/0!</v>
      </c>
      <c r="CD25" s="3342"/>
      <c r="CE25" s="3341"/>
      <c r="CF25" s="3341"/>
      <c r="CG25" s="3349">
        <f t="shared" si="38"/>
        <v>0</v>
      </c>
      <c r="CH25" s="4428" t="e">
        <f t="shared" si="54"/>
        <v>#DIV/0!</v>
      </c>
      <c r="CI25" s="3342"/>
      <c r="CJ25" s="3341">
        <f t="shared" si="39"/>
        <v>0</v>
      </c>
      <c r="CK25" s="3341">
        <f t="shared" si="39"/>
        <v>0</v>
      </c>
      <c r="CL25" s="3349">
        <f t="shared" si="55"/>
        <v>0</v>
      </c>
      <c r="CM25" s="4428">
        <f t="shared" si="40"/>
        <v>0</v>
      </c>
      <c r="CN25" s="1434"/>
      <c r="CP25" s="4615"/>
      <c r="CQ25" s="2012"/>
      <c r="CR25" s="4614">
        <f t="shared" si="56"/>
        <v>0</v>
      </c>
      <c r="CT25" s="2624"/>
    </row>
    <row r="26" spans="1:100" s="1396" customFormat="1" ht="27.6" outlineLevel="2">
      <c r="A26" s="1571"/>
      <c r="B26" s="4430" t="s">
        <v>45</v>
      </c>
      <c r="C26" s="3341"/>
      <c r="D26" s="3341"/>
      <c r="E26" s="3349">
        <f t="shared" si="19"/>
        <v>0</v>
      </c>
      <c r="F26" s="4428" t="e">
        <f t="shared" si="16"/>
        <v>#DIV/0!</v>
      </c>
      <c r="G26" s="3342"/>
      <c r="H26" s="3341"/>
      <c r="I26" s="3341"/>
      <c r="J26" s="3349">
        <f t="shared" si="20"/>
        <v>0</v>
      </c>
      <c r="K26" s="4428" t="e">
        <f t="shared" si="42"/>
        <v>#DIV/0!</v>
      </c>
      <c r="L26" s="3342"/>
      <c r="M26" s="3341"/>
      <c r="N26" s="3341"/>
      <c r="O26" s="3349">
        <f t="shared" si="21"/>
        <v>0</v>
      </c>
      <c r="P26" s="4428" t="e">
        <f t="shared" si="22"/>
        <v>#DIV/0!</v>
      </c>
      <c r="Q26" s="3342"/>
      <c r="R26" s="3342">
        <f t="shared" si="23"/>
        <v>0</v>
      </c>
      <c r="S26" s="3342">
        <f t="shared" si="23"/>
        <v>0</v>
      </c>
      <c r="T26" s="2012">
        <f t="shared" si="24"/>
        <v>0</v>
      </c>
      <c r="U26" s="3342"/>
      <c r="V26" s="3342"/>
      <c r="W26" s="3342">
        <f t="shared" si="25"/>
        <v>736.78</v>
      </c>
      <c r="X26" s="3342">
        <f t="shared" si="25"/>
        <v>0</v>
      </c>
      <c r="Y26" s="2012">
        <f t="shared" si="26"/>
        <v>736.78</v>
      </c>
      <c r="Z26" s="3342"/>
      <c r="AA26" s="3342"/>
      <c r="AB26" s="3341"/>
      <c r="AC26" s="3341"/>
      <c r="AD26" s="3349">
        <f t="shared" si="27"/>
        <v>0</v>
      </c>
      <c r="AE26" s="4428" t="e">
        <f t="shared" si="43"/>
        <v>#DIV/0!</v>
      </c>
      <c r="AF26" s="3342"/>
      <c r="AG26" s="3341"/>
      <c r="AH26" s="3341"/>
      <c r="AI26" s="3349">
        <f t="shared" si="28"/>
        <v>0</v>
      </c>
      <c r="AJ26" s="4428" t="e">
        <f t="shared" si="44"/>
        <v>#DIV/0!</v>
      </c>
      <c r="AK26" s="3342"/>
      <c r="AL26" s="3341"/>
      <c r="AM26" s="3341"/>
      <c r="AN26" s="3349">
        <f t="shared" si="29"/>
        <v>0</v>
      </c>
      <c r="AO26" s="4428" t="e">
        <f t="shared" si="45"/>
        <v>#DIV/0!</v>
      </c>
      <c r="AP26" s="3342"/>
      <c r="AQ26" s="3341"/>
      <c r="AR26" s="3341"/>
      <c r="AS26" s="3349">
        <f t="shared" si="30"/>
        <v>0</v>
      </c>
      <c r="AT26" s="4428" t="e">
        <f t="shared" si="46"/>
        <v>#DIV/0!</v>
      </c>
      <c r="AU26" s="3342"/>
      <c r="AV26" s="3341">
        <v>736.78</v>
      </c>
      <c r="AW26" s="3341"/>
      <c r="AX26" s="3349">
        <f t="shared" si="31"/>
        <v>736.78</v>
      </c>
      <c r="AY26" s="4428">
        <f t="shared" si="47"/>
        <v>0.15159330386251654</v>
      </c>
      <c r="AZ26" s="3342" t="s">
        <v>2122</v>
      </c>
      <c r="BA26" s="3341"/>
      <c r="BB26" s="3341"/>
      <c r="BC26" s="3349">
        <f t="shared" si="32"/>
        <v>0</v>
      </c>
      <c r="BD26" s="4428">
        <f t="shared" si="48"/>
        <v>0</v>
      </c>
      <c r="BE26" s="1055"/>
      <c r="BF26" s="3341"/>
      <c r="BG26" s="3341"/>
      <c r="BH26" s="3349">
        <f t="shared" si="33"/>
        <v>0</v>
      </c>
      <c r="BI26" s="4428" t="e">
        <f t="shared" si="49"/>
        <v>#DIV/0!</v>
      </c>
      <c r="BJ26" s="3342"/>
      <c r="BK26" s="3341"/>
      <c r="BL26" s="3341"/>
      <c r="BM26" s="3349">
        <f t="shared" si="34"/>
        <v>0</v>
      </c>
      <c r="BN26" s="4428" t="e">
        <f t="shared" si="50"/>
        <v>#DIV/0!</v>
      </c>
      <c r="BO26" s="3342"/>
      <c r="BP26" s="3341"/>
      <c r="BQ26" s="3341"/>
      <c r="BR26" s="3349">
        <f t="shared" si="35"/>
        <v>0</v>
      </c>
      <c r="BS26" s="4428" t="e">
        <f t="shared" si="51"/>
        <v>#DIV/0!</v>
      </c>
      <c r="BT26" s="3342"/>
      <c r="BU26" s="3341"/>
      <c r="BV26" s="3341"/>
      <c r="BW26" s="3349">
        <f t="shared" si="36"/>
        <v>0</v>
      </c>
      <c r="BX26" s="4428" t="e">
        <f t="shared" si="52"/>
        <v>#DIV/0!</v>
      </c>
      <c r="BY26" s="3342"/>
      <c r="BZ26" s="3341"/>
      <c r="CA26" s="3341"/>
      <c r="CB26" s="3349">
        <f t="shared" si="37"/>
        <v>0</v>
      </c>
      <c r="CC26" s="4428" t="e">
        <f t="shared" si="53"/>
        <v>#DIV/0!</v>
      </c>
      <c r="CD26" s="3342"/>
      <c r="CE26" s="3341"/>
      <c r="CF26" s="3341"/>
      <c r="CG26" s="3349">
        <f t="shared" si="38"/>
        <v>0</v>
      </c>
      <c r="CH26" s="4428" t="e">
        <f t="shared" si="54"/>
        <v>#DIV/0!</v>
      </c>
      <c r="CI26" s="3342"/>
      <c r="CJ26" s="3341">
        <f t="shared" si="39"/>
        <v>736.78</v>
      </c>
      <c r="CK26" s="3341">
        <f t="shared" si="39"/>
        <v>0</v>
      </c>
      <c r="CL26" s="3349">
        <f t="shared" si="55"/>
        <v>736.78</v>
      </c>
      <c r="CM26" s="4428">
        <f t="shared" si="40"/>
        <v>4.0685257235993012E-2</v>
      </c>
      <c r="CN26" s="1434"/>
      <c r="CP26" s="4615">
        <v>22387.97</v>
      </c>
      <c r="CQ26" s="2012">
        <f>CL26</f>
        <v>736.78</v>
      </c>
      <c r="CR26" s="4614">
        <f t="shared" si="56"/>
        <v>21651.190000000002</v>
      </c>
      <c r="CS26" s="3305"/>
      <c r="CT26" s="4616">
        <f>CR26/CP26</f>
        <v>0.96709036147538174</v>
      </c>
      <c r="CU26" s="4668">
        <v>21311</v>
      </c>
    </row>
    <row r="27" spans="1:100" s="1396" customFormat="1" ht="13.8" outlineLevel="2">
      <c r="A27" s="1571"/>
      <c r="B27" s="4430" t="s">
        <v>25</v>
      </c>
      <c r="C27" s="3341"/>
      <c r="D27" s="3341"/>
      <c r="E27" s="3349">
        <f t="shared" si="19"/>
        <v>0</v>
      </c>
      <c r="F27" s="4428" t="e">
        <f t="shared" si="16"/>
        <v>#DIV/0!</v>
      </c>
      <c r="G27" s="3342"/>
      <c r="H27" s="3341"/>
      <c r="I27" s="3341"/>
      <c r="J27" s="3349">
        <f t="shared" si="20"/>
        <v>0</v>
      </c>
      <c r="K27" s="4428" t="e">
        <f t="shared" si="42"/>
        <v>#DIV/0!</v>
      </c>
      <c r="L27" s="3342"/>
      <c r="M27" s="3341"/>
      <c r="N27" s="3341"/>
      <c r="O27" s="3349">
        <f t="shared" si="21"/>
        <v>0</v>
      </c>
      <c r="P27" s="4428" t="e">
        <f t="shared" si="22"/>
        <v>#DIV/0!</v>
      </c>
      <c r="Q27" s="3342"/>
      <c r="R27" s="3342">
        <f t="shared" si="23"/>
        <v>0</v>
      </c>
      <c r="S27" s="3342">
        <f t="shared" si="23"/>
        <v>0</v>
      </c>
      <c r="T27" s="2012">
        <f t="shared" si="24"/>
        <v>0</v>
      </c>
      <c r="U27" s="3342"/>
      <c r="V27" s="3342"/>
      <c r="W27" s="3342">
        <f t="shared" si="25"/>
        <v>0</v>
      </c>
      <c r="X27" s="3342">
        <f t="shared" si="25"/>
        <v>0</v>
      </c>
      <c r="Y27" s="2012">
        <f t="shared" si="26"/>
        <v>0</v>
      </c>
      <c r="Z27" s="3342"/>
      <c r="AA27" s="3342"/>
      <c r="AB27" s="3341"/>
      <c r="AC27" s="3341"/>
      <c r="AD27" s="3349">
        <f t="shared" si="27"/>
        <v>0</v>
      </c>
      <c r="AE27" s="4428" t="e">
        <f t="shared" si="43"/>
        <v>#DIV/0!</v>
      </c>
      <c r="AF27" s="3342"/>
      <c r="AG27" s="3341"/>
      <c r="AH27" s="3341"/>
      <c r="AI27" s="3349">
        <f t="shared" si="28"/>
        <v>0</v>
      </c>
      <c r="AJ27" s="4428" t="e">
        <f t="shared" si="44"/>
        <v>#DIV/0!</v>
      </c>
      <c r="AK27" s="3342"/>
      <c r="AL27" s="3341"/>
      <c r="AM27" s="3341"/>
      <c r="AN27" s="3349">
        <f t="shared" si="29"/>
        <v>0</v>
      </c>
      <c r="AO27" s="4428" t="e">
        <f t="shared" si="45"/>
        <v>#DIV/0!</v>
      </c>
      <c r="AP27" s="3342"/>
      <c r="AQ27" s="3341"/>
      <c r="AR27" s="3341"/>
      <c r="AS27" s="3349">
        <f t="shared" si="30"/>
        <v>0</v>
      </c>
      <c r="AT27" s="4428" t="e">
        <f t="shared" si="46"/>
        <v>#DIV/0!</v>
      </c>
      <c r="AU27" s="3342"/>
      <c r="AV27" s="3341"/>
      <c r="AW27" s="3341"/>
      <c r="AX27" s="3349">
        <f t="shared" si="31"/>
        <v>0</v>
      </c>
      <c r="AY27" s="4428">
        <f t="shared" si="47"/>
        <v>0</v>
      </c>
      <c r="AZ27" s="3342"/>
      <c r="BA27" s="3341"/>
      <c r="BB27" s="3341"/>
      <c r="BC27" s="3349">
        <f t="shared" si="32"/>
        <v>0</v>
      </c>
      <c r="BD27" s="4428">
        <f t="shared" si="48"/>
        <v>0</v>
      </c>
      <c r="BE27" s="3342"/>
      <c r="BF27" s="3341"/>
      <c r="BG27" s="3341"/>
      <c r="BH27" s="3349">
        <f t="shared" si="33"/>
        <v>0</v>
      </c>
      <c r="BI27" s="4428" t="e">
        <f t="shared" si="49"/>
        <v>#DIV/0!</v>
      </c>
      <c r="BJ27" s="3342"/>
      <c r="BK27" s="3341"/>
      <c r="BL27" s="3341"/>
      <c r="BM27" s="3349">
        <f t="shared" si="34"/>
        <v>0</v>
      </c>
      <c r="BN27" s="4428" t="e">
        <f t="shared" si="50"/>
        <v>#DIV/0!</v>
      </c>
      <c r="BO27" s="3342"/>
      <c r="BP27" s="3341"/>
      <c r="BQ27" s="3341"/>
      <c r="BR27" s="3349">
        <f t="shared" si="35"/>
        <v>0</v>
      </c>
      <c r="BS27" s="4428" t="e">
        <f t="shared" si="51"/>
        <v>#DIV/0!</v>
      </c>
      <c r="BT27" s="3342"/>
      <c r="BU27" s="3341"/>
      <c r="BV27" s="3341"/>
      <c r="BW27" s="3349">
        <f t="shared" si="36"/>
        <v>0</v>
      </c>
      <c r="BX27" s="4428" t="e">
        <f t="shared" si="52"/>
        <v>#DIV/0!</v>
      </c>
      <c r="BY27" s="3342"/>
      <c r="BZ27" s="3341"/>
      <c r="CA27" s="3341"/>
      <c r="CB27" s="3349">
        <f t="shared" si="37"/>
        <v>0</v>
      </c>
      <c r="CC27" s="4428" t="e">
        <f t="shared" si="53"/>
        <v>#DIV/0!</v>
      </c>
      <c r="CD27" s="3342"/>
      <c r="CE27" s="3341"/>
      <c r="CF27" s="3341"/>
      <c r="CG27" s="3349">
        <f t="shared" si="38"/>
        <v>0</v>
      </c>
      <c r="CH27" s="4428" t="e">
        <f t="shared" si="54"/>
        <v>#DIV/0!</v>
      </c>
      <c r="CI27" s="3342"/>
      <c r="CJ27" s="3341">
        <f t="shared" si="39"/>
        <v>0</v>
      </c>
      <c r="CK27" s="3341">
        <f t="shared" si="39"/>
        <v>0</v>
      </c>
      <c r="CL27" s="3349">
        <f t="shared" si="55"/>
        <v>0</v>
      </c>
      <c r="CM27" s="4428">
        <f t="shared" si="40"/>
        <v>0</v>
      </c>
      <c r="CN27" s="1434"/>
      <c r="CP27" s="4615"/>
      <c r="CQ27" s="2012">
        <f t="shared" si="41"/>
        <v>0</v>
      </c>
      <c r="CR27" s="4614">
        <f t="shared" si="56"/>
        <v>0</v>
      </c>
      <c r="CT27" s="3443"/>
    </row>
    <row r="28" spans="1:100" s="1396" customFormat="1" ht="13.8" outlineLevel="2">
      <c r="A28" s="1571"/>
      <c r="B28" s="4430" t="s">
        <v>52</v>
      </c>
      <c r="C28" s="3341"/>
      <c r="D28" s="3341"/>
      <c r="E28" s="3349">
        <f t="shared" si="19"/>
        <v>0</v>
      </c>
      <c r="F28" s="4428" t="e">
        <f t="shared" si="16"/>
        <v>#DIV/0!</v>
      </c>
      <c r="G28" s="3342"/>
      <c r="H28" s="3341"/>
      <c r="I28" s="3341"/>
      <c r="J28" s="3349">
        <f t="shared" si="20"/>
        <v>0</v>
      </c>
      <c r="K28" s="4428" t="e">
        <f t="shared" si="42"/>
        <v>#DIV/0!</v>
      </c>
      <c r="L28" s="3342"/>
      <c r="M28" s="3341"/>
      <c r="N28" s="3341"/>
      <c r="O28" s="3349">
        <f t="shared" si="21"/>
        <v>0</v>
      </c>
      <c r="P28" s="4428" t="e">
        <f t="shared" si="22"/>
        <v>#DIV/0!</v>
      </c>
      <c r="Q28" s="3409"/>
      <c r="R28" s="3342">
        <f t="shared" si="23"/>
        <v>0</v>
      </c>
      <c r="S28" s="3342">
        <f t="shared" si="23"/>
        <v>0</v>
      </c>
      <c r="T28" s="2012">
        <f t="shared" si="24"/>
        <v>0</v>
      </c>
      <c r="U28" s="3409"/>
      <c r="V28" s="3409"/>
      <c r="W28" s="3342">
        <f t="shared" si="25"/>
        <v>0</v>
      </c>
      <c r="X28" s="3342">
        <f t="shared" si="25"/>
        <v>0</v>
      </c>
      <c r="Y28" s="2012">
        <f t="shared" si="26"/>
        <v>0</v>
      </c>
      <c r="Z28" s="3409"/>
      <c r="AA28" s="3409"/>
      <c r="AB28" s="3341"/>
      <c r="AC28" s="3341"/>
      <c r="AD28" s="3349">
        <f t="shared" si="27"/>
        <v>0</v>
      </c>
      <c r="AE28" s="4428" t="e">
        <f t="shared" si="43"/>
        <v>#DIV/0!</v>
      </c>
      <c r="AF28" s="3409"/>
      <c r="AG28" s="3341"/>
      <c r="AH28" s="3341"/>
      <c r="AI28" s="3349">
        <f t="shared" si="28"/>
        <v>0</v>
      </c>
      <c r="AJ28" s="4428" t="e">
        <f t="shared" si="44"/>
        <v>#DIV/0!</v>
      </c>
      <c r="AK28" s="3409"/>
      <c r="AL28" s="3341"/>
      <c r="AM28" s="3341"/>
      <c r="AN28" s="3349">
        <f t="shared" si="29"/>
        <v>0</v>
      </c>
      <c r="AO28" s="4428" t="e">
        <f t="shared" si="45"/>
        <v>#DIV/0!</v>
      </c>
      <c r="AP28" s="3409"/>
      <c r="AQ28" s="3341"/>
      <c r="AR28" s="3341"/>
      <c r="AS28" s="3349">
        <f t="shared" si="30"/>
        <v>0</v>
      </c>
      <c r="AT28" s="4428" t="e">
        <f t="shared" si="46"/>
        <v>#DIV/0!</v>
      </c>
      <c r="AU28" s="3409"/>
      <c r="AV28" s="3341"/>
      <c r="AW28" s="3341"/>
      <c r="AX28" s="3349">
        <f t="shared" si="31"/>
        <v>0</v>
      </c>
      <c r="AY28" s="4428">
        <f t="shared" si="47"/>
        <v>0</v>
      </c>
      <c r="AZ28" s="3409"/>
      <c r="BA28" s="3341"/>
      <c r="BB28" s="3341"/>
      <c r="BC28" s="3349">
        <f t="shared" si="32"/>
        <v>0</v>
      </c>
      <c r="BD28" s="4428">
        <f t="shared" si="48"/>
        <v>0</v>
      </c>
      <c r="BE28" s="3409"/>
      <c r="BF28" s="3341"/>
      <c r="BG28" s="3341"/>
      <c r="BH28" s="3349">
        <f t="shared" si="33"/>
        <v>0</v>
      </c>
      <c r="BI28" s="4428" t="e">
        <f t="shared" si="49"/>
        <v>#DIV/0!</v>
      </c>
      <c r="BJ28" s="3409"/>
      <c r="BK28" s="3341"/>
      <c r="BL28" s="3341"/>
      <c r="BM28" s="3349">
        <f t="shared" si="34"/>
        <v>0</v>
      </c>
      <c r="BN28" s="4428" t="e">
        <f t="shared" si="50"/>
        <v>#DIV/0!</v>
      </c>
      <c r="BO28" s="3409"/>
      <c r="BP28" s="3341"/>
      <c r="BQ28" s="3341"/>
      <c r="BR28" s="3349">
        <f t="shared" si="35"/>
        <v>0</v>
      </c>
      <c r="BS28" s="4428" t="e">
        <f t="shared" si="51"/>
        <v>#DIV/0!</v>
      </c>
      <c r="BT28" s="3409"/>
      <c r="BU28" s="3341"/>
      <c r="BV28" s="3341"/>
      <c r="BW28" s="3349">
        <f t="shared" si="36"/>
        <v>0</v>
      </c>
      <c r="BX28" s="4428" t="e">
        <f t="shared" si="52"/>
        <v>#DIV/0!</v>
      </c>
      <c r="BY28" s="3409"/>
      <c r="BZ28" s="3341"/>
      <c r="CA28" s="3341"/>
      <c r="CB28" s="3349">
        <f t="shared" si="37"/>
        <v>0</v>
      </c>
      <c r="CC28" s="4428" t="e">
        <f t="shared" si="53"/>
        <v>#DIV/0!</v>
      </c>
      <c r="CD28" s="3409"/>
      <c r="CE28" s="3341"/>
      <c r="CF28" s="3341"/>
      <c r="CG28" s="3349">
        <f t="shared" si="38"/>
        <v>0</v>
      </c>
      <c r="CH28" s="4428" t="e">
        <f t="shared" si="54"/>
        <v>#DIV/0!</v>
      </c>
      <c r="CI28" s="3409"/>
      <c r="CJ28" s="3341">
        <f t="shared" si="39"/>
        <v>0</v>
      </c>
      <c r="CK28" s="3341">
        <f t="shared" si="39"/>
        <v>0</v>
      </c>
      <c r="CL28" s="3349">
        <f t="shared" si="55"/>
        <v>0</v>
      </c>
      <c r="CM28" s="4428">
        <f t="shared" si="40"/>
        <v>0</v>
      </c>
      <c r="CN28" s="1434"/>
      <c r="CP28" s="4615"/>
      <c r="CQ28" s="2012">
        <f t="shared" si="41"/>
        <v>0</v>
      </c>
      <c r="CR28" s="4614">
        <f t="shared" si="56"/>
        <v>0</v>
      </c>
      <c r="CT28" s="3443"/>
    </row>
    <row r="29" spans="1:100" s="1396" customFormat="1" ht="13.8" outlineLevel="2">
      <c r="A29" s="1571"/>
      <c r="B29" s="4430" t="s">
        <v>31</v>
      </c>
      <c r="C29" s="3341"/>
      <c r="D29" s="3341"/>
      <c r="E29" s="3349">
        <f t="shared" si="19"/>
        <v>0</v>
      </c>
      <c r="F29" s="4428" t="e">
        <f t="shared" si="16"/>
        <v>#DIV/0!</v>
      </c>
      <c r="G29" s="3342"/>
      <c r="H29" s="3341"/>
      <c r="I29" s="3341"/>
      <c r="J29" s="3349">
        <f t="shared" si="20"/>
        <v>0</v>
      </c>
      <c r="K29" s="4428" t="e">
        <f t="shared" si="42"/>
        <v>#DIV/0!</v>
      </c>
      <c r="L29" s="3342"/>
      <c r="M29" s="3341"/>
      <c r="N29" s="3341"/>
      <c r="O29" s="3349">
        <f t="shared" si="21"/>
        <v>0</v>
      </c>
      <c r="P29" s="4428" t="e">
        <f t="shared" si="22"/>
        <v>#DIV/0!</v>
      </c>
      <c r="Q29" s="3342"/>
      <c r="R29" s="3342">
        <f t="shared" si="23"/>
        <v>0</v>
      </c>
      <c r="S29" s="3342">
        <f t="shared" si="23"/>
        <v>0</v>
      </c>
      <c r="T29" s="2012">
        <f t="shared" si="24"/>
        <v>0</v>
      </c>
      <c r="U29" s="3342"/>
      <c r="V29" s="3342"/>
      <c r="W29" s="3342">
        <f t="shared" si="25"/>
        <v>0</v>
      </c>
      <c r="X29" s="3342">
        <f t="shared" si="25"/>
        <v>0</v>
      </c>
      <c r="Y29" s="2012">
        <f t="shared" si="26"/>
        <v>0</v>
      </c>
      <c r="Z29" s="3342"/>
      <c r="AA29" s="3342"/>
      <c r="AB29" s="3341"/>
      <c r="AC29" s="3341"/>
      <c r="AD29" s="3349">
        <f t="shared" si="27"/>
        <v>0</v>
      </c>
      <c r="AE29" s="4428" t="e">
        <f t="shared" si="43"/>
        <v>#DIV/0!</v>
      </c>
      <c r="AF29" s="3342"/>
      <c r="AG29" s="3341"/>
      <c r="AH29" s="3341"/>
      <c r="AI29" s="3349">
        <f t="shared" si="28"/>
        <v>0</v>
      </c>
      <c r="AJ29" s="4428" t="e">
        <f t="shared" si="44"/>
        <v>#DIV/0!</v>
      </c>
      <c r="AK29" s="3342"/>
      <c r="AL29" s="3341"/>
      <c r="AM29" s="3341"/>
      <c r="AN29" s="3349">
        <f t="shared" si="29"/>
        <v>0</v>
      </c>
      <c r="AO29" s="4428" t="e">
        <f t="shared" si="45"/>
        <v>#DIV/0!</v>
      </c>
      <c r="AP29" s="3342"/>
      <c r="AQ29" s="3341"/>
      <c r="AR29" s="3341"/>
      <c r="AS29" s="3349">
        <f t="shared" si="30"/>
        <v>0</v>
      </c>
      <c r="AT29" s="4428" t="e">
        <f t="shared" si="46"/>
        <v>#DIV/0!</v>
      </c>
      <c r="AU29" s="3342"/>
      <c r="AV29" s="3341"/>
      <c r="AW29" s="3341"/>
      <c r="AX29" s="3349">
        <f t="shared" si="31"/>
        <v>0</v>
      </c>
      <c r="AY29" s="4428">
        <f t="shared" si="47"/>
        <v>0</v>
      </c>
      <c r="AZ29" s="3342"/>
      <c r="BA29" s="3341"/>
      <c r="BB29" s="3341"/>
      <c r="BC29" s="3349">
        <f t="shared" si="32"/>
        <v>0</v>
      </c>
      <c r="BD29" s="4428">
        <f t="shared" si="48"/>
        <v>0</v>
      </c>
      <c r="BE29" s="3342"/>
      <c r="BF29" s="3341"/>
      <c r="BG29" s="3341"/>
      <c r="BH29" s="3349">
        <f t="shared" si="33"/>
        <v>0</v>
      </c>
      <c r="BI29" s="4428" t="e">
        <f t="shared" si="49"/>
        <v>#DIV/0!</v>
      </c>
      <c r="BJ29" s="3342"/>
      <c r="BK29" s="3341"/>
      <c r="BL29" s="3341"/>
      <c r="BM29" s="3349">
        <f t="shared" si="34"/>
        <v>0</v>
      </c>
      <c r="BN29" s="4428" t="e">
        <f t="shared" si="50"/>
        <v>#DIV/0!</v>
      </c>
      <c r="BO29" s="3342"/>
      <c r="BP29" s="3341"/>
      <c r="BQ29" s="3341"/>
      <c r="BR29" s="3349">
        <f t="shared" si="35"/>
        <v>0</v>
      </c>
      <c r="BS29" s="4428" t="e">
        <f t="shared" si="51"/>
        <v>#DIV/0!</v>
      </c>
      <c r="BT29" s="3342"/>
      <c r="BU29" s="3341"/>
      <c r="BV29" s="3341"/>
      <c r="BW29" s="3349">
        <f t="shared" si="36"/>
        <v>0</v>
      </c>
      <c r="BX29" s="4428" t="e">
        <f t="shared" si="52"/>
        <v>#DIV/0!</v>
      </c>
      <c r="BY29" s="3342"/>
      <c r="BZ29" s="3341"/>
      <c r="CA29" s="3341"/>
      <c r="CB29" s="3349">
        <f t="shared" si="37"/>
        <v>0</v>
      </c>
      <c r="CC29" s="4428" t="e">
        <f t="shared" si="53"/>
        <v>#DIV/0!</v>
      </c>
      <c r="CD29" s="3342"/>
      <c r="CE29" s="3341"/>
      <c r="CF29" s="3341"/>
      <c r="CG29" s="3349">
        <f t="shared" si="38"/>
        <v>0</v>
      </c>
      <c r="CH29" s="4428" t="e">
        <f t="shared" si="54"/>
        <v>#DIV/0!</v>
      </c>
      <c r="CI29" s="3342"/>
      <c r="CJ29" s="3341">
        <f t="shared" si="39"/>
        <v>0</v>
      </c>
      <c r="CK29" s="3341">
        <f t="shared" si="39"/>
        <v>0</v>
      </c>
      <c r="CL29" s="3349">
        <f t="shared" si="55"/>
        <v>0</v>
      </c>
      <c r="CM29" s="4428">
        <f t="shared" si="40"/>
        <v>0</v>
      </c>
      <c r="CN29" s="4432"/>
      <c r="CP29" s="4615"/>
      <c r="CQ29" s="2012">
        <f t="shared" si="41"/>
        <v>0</v>
      </c>
      <c r="CR29" s="4614">
        <f t="shared" si="56"/>
        <v>0</v>
      </c>
      <c r="CT29" s="2624"/>
    </row>
    <row r="30" spans="1:100" s="1396" customFormat="1" ht="13.8" outlineLevel="2">
      <c r="A30" s="1571"/>
      <c r="B30" s="4430" t="s">
        <v>62</v>
      </c>
      <c r="C30" s="3341"/>
      <c r="D30" s="3341"/>
      <c r="E30" s="3349">
        <f t="shared" si="19"/>
        <v>0</v>
      </c>
      <c r="F30" s="4428" t="e">
        <f t="shared" si="16"/>
        <v>#DIV/0!</v>
      </c>
      <c r="G30" s="3343"/>
      <c r="H30" s="3341"/>
      <c r="I30" s="3341"/>
      <c r="J30" s="3349">
        <f t="shared" si="20"/>
        <v>0</v>
      </c>
      <c r="K30" s="4428" t="e">
        <f t="shared" si="42"/>
        <v>#DIV/0!</v>
      </c>
      <c r="L30" s="3343"/>
      <c r="M30" s="3341"/>
      <c r="N30" s="3341"/>
      <c r="O30" s="3349">
        <f t="shared" si="21"/>
        <v>0</v>
      </c>
      <c r="P30" s="4428" t="e">
        <f t="shared" si="22"/>
        <v>#DIV/0!</v>
      </c>
      <c r="Q30" s="3342"/>
      <c r="R30" s="3342">
        <f t="shared" si="23"/>
        <v>0</v>
      </c>
      <c r="S30" s="3342">
        <f t="shared" si="23"/>
        <v>0</v>
      </c>
      <c r="T30" s="2012">
        <f t="shared" si="24"/>
        <v>0</v>
      </c>
      <c r="U30" s="3342"/>
      <c r="V30" s="3342"/>
      <c r="W30" s="3342">
        <f t="shared" si="25"/>
        <v>0</v>
      </c>
      <c r="X30" s="3342">
        <f t="shared" si="25"/>
        <v>0</v>
      </c>
      <c r="Y30" s="2012">
        <f t="shared" si="26"/>
        <v>0</v>
      </c>
      <c r="Z30" s="3342"/>
      <c r="AA30" s="3342"/>
      <c r="AB30" s="3341"/>
      <c r="AC30" s="3341"/>
      <c r="AD30" s="3349">
        <f t="shared" si="27"/>
        <v>0</v>
      </c>
      <c r="AE30" s="4428" t="e">
        <f t="shared" si="43"/>
        <v>#DIV/0!</v>
      </c>
      <c r="AF30" s="3342"/>
      <c r="AG30" s="3341"/>
      <c r="AH30" s="3341"/>
      <c r="AI30" s="3349">
        <f t="shared" si="28"/>
        <v>0</v>
      </c>
      <c r="AJ30" s="4428" t="e">
        <f t="shared" si="44"/>
        <v>#DIV/0!</v>
      </c>
      <c r="AK30" s="3342"/>
      <c r="AL30" s="3341"/>
      <c r="AM30" s="3341"/>
      <c r="AN30" s="3349">
        <f t="shared" si="29"/>
        <v>0</v>
      </c>
      <c r="AO30" s="4428" t="e">
        <f t="shared" si="45"/>
        <v>#DIV/0!</v>
      </c>
      <c r="AP30" s="3342"/>
      <c r="AQ30" s="3341"/>
      <c r="AR30" s="3341"/>
      <c r="AS30" s="3349">
        <f t="shared" si="30"/>
        <v>0</v>
      </c>
      <c r="AT30" s="4428" t="e">
        <f t="shared" si="46"/>
        <v>#DIV/0!</v>
      </c>
      <c r="AU30" s="3342"/>
      <c r="AV30" s="3341"/>
      <c r="AW30" s="3341"/>
      <c r="AX30" s="3349">
        <f t="shared" si="31"/>
        <v>0</v>
      </c>
      <c r="AY30" s="4428">
        <f t="shared" si="47"/>
        <v>0</v>
      </c>
      <c r="AZ30" s="3342"/>
      <c r="BA30" s="3341"/>
      <c r="BB30" s="3341"/>
      <c r="BC30" s="3349">
        <f t="shared" si="32"/>
        <v>0</v>
      </c>
      <c r="BD30" s="4428">
        <f t="shared" si="48"/>
        <v>0</v>
      </c>
      <c r="BE30" s="3342"/>
      <c r="BF30" s="3341"/>
      <c r="BG30" s="3341"/>
      <c r="BH30" s="3349">
        <f t="shared" si="33"/>
        <v>0</v>
      </c>
      <c r="BI30" s="4428" t="e">
        <f t="shared" si="49"/>
        <v>#DIV/0!</v>
      </c>
      <c r="BJ30" s="3342"/>
      <c r="BK30" s="3341"/>
      <c r="BL30" s="3341"/>
      <c r="BM30" s="3349">
        <f t="shared" si="34"/>
        <v>0</v>
      </c>
      <c r="BN30" s="4428" t="e">
        <f t="shared" si="50"/>
        <v>#DIV/0!</v>
      </c>
      <c r="BO30" s="3342"/>
      <c r="BP30" s="3341"/>
      <c r="BQ30" s="3341"/>
      <c r="BR30" s="3349">
        <f t="shared" si="35"/>
        <v>0</v>
      </c>
      <c r="BS30" s="4428" t="e">
        <f t="shared" si="51"/>
        <v>#DIV/0!</v>
      </c>
      <c r="BT30" s="3342"/>
      <c r="BU30" s="3341"/>
      <c r="BV30" s="3341"/>
      <c r="BW30" s="3349">
        <f t="shared" si="36"/>
        <v>0</v>
      </c>
      <c r="BX30" s="4428" t="e">
        <f t="shared" si="52"/>
        <v>#DIV/0!</v>
      </c>
      <c r="BY30" s="3342"/>
      <c r="BZ30" s="3341"/>
      <c r="CA30" s="3341"/>
      <c r="CB30" s="3349">
        <f t="shared" si="37"/>
        <v>0</v>
      </c>
      <c r="CC30" s="4428" t="e">
        <f t="shared" si="53"/>
        <v>#DIV/0!</v>
      </c>
      <c r="CD30" s="3342"/>
      <c r="CE30" s="3341"/>
      <c r="CF30" s="3341"/>
      <c r="CG30" s="3349">
        <f t="shared" si="38"/>
        <v>0</v>
      </c>
      <c r="CH30" s="4428" t="e">
        <f t="shared" si="54"/>
        <v>#DIV/0!</v>
      </c>
      <c r="CI30" s="3342"/>
      <c r="CJ30" s="3341">
        <f t="shared" si="39"/>
        <v>0</v>
      </c>
      <c r="CK30" s="3341">
        <f t="shared" si="39"/>
        <v>0</v>
      </c>
      <c r="CL30" s="3349">
        <f t="shared" si="55"/>
        <v>0</v>
      </c>
      <c r="CM30" s="4428">
        <f t="shared" si="40"/>
        <v>0</v>
      </c>
      <c r="CN30" s="4432"/>
      <c r="CP30" s="4615"/>
      <c r="CQ30" s="2012">
        <f t="shared" si="41"/>
        <v>0</v>
      </c>
      <c r="CR30" s="4614">
        <f t="shared" si="56"/>
        <v>0</v>
      </c>
      <c r="CT30" s="3443"/>
    </row>
    <row r="31" spans="1:100" s="1396" customFormat="1" ht="13.8" outlineLevel="2">
      <c r="A31" s="1571"/>
      <c r="B31" s="4430" t="s">
        <v>34</v>
      </c>
      <c r="C31" s="3341"/>
      <c r="D31" s="3341"/>
      <c r="E31" s="3349">
        <f t="shared" si="19"/>
        <v>0</v>
      </c>
      <c r="F31" s="4428" t="e">
        <f t="shared" si="16"/>
        <v>#DIV/0!</v>
      </c>
      <c r="G31" s="3343"/>
      <c r="H31" s="3341"/>
      <c r="I31" s="3341"/>
      <c r="J31" s="3349">
        <f t="shared" si="20"/>
        <v>0</v>
      </c>
      <c r="K31" s="4428" t="e">
        <f t="shared" si="42"/>
        <v>#DIV/0!</v>
      </c>
      <c r="L31" s="3343"/>
      <c r="M31" s="3341"/>
      <c r="N31" s="3341"/>
      <c r="O31" s="3349">
        <f t="shared" si="21"/>
        <v>0</v>
      </c>
      <c r="P31" s="4428" t="e">
        <f t="shared" si="22"/>
        <v>#DIV/0!</v>
      </c>
      <c r="Q31" s="3342"/>
      <c r="R31" s="3342">
        <f t="shared" si="23"/>
        <v>0</v>
      </c>
      <c r="S31" s="3342">
        <f t="shared" si="23"/>
        <v>0</v>
      </c>
      <c r="T31" s="2012">
        <f t="shared" si="24"/>
        <v>0</v>
      </c>
      <c r="U31" s="3342"/>
      <c r="V31" s="3342"/>
      <c r="W31" s="3342">
        <f t="shared" si="25"/>
        <v>0</v>
      </c>
      <c r="X31" s="3342">
        <f t="shared" si="25"/>
        <v>0</v>
      </c>
      <c r="Y31" s="2012">
        <f t="shared" si="26"/>
        <v>0</v>
      </c>
      <c r="Z31" s="3342"/>
      <c r="AA31" s="3342"/>
      <c r="AB31" s="3341"/>
      <c r="AC31" s="3341"/>
      <c r="AD31" s="3349">
        <f t="shared" si="27"/>
        <v>0</v>
      </c>
      <c r="AE31" s="4428" t="e">
        <f t="shared" si="43"/>
        <v>#DIV/0!</v>
      </c>
      <c r="AF31" s="3342"/>
      <c r="AG31" s="3341"/>
      <c r="AH31" s="3341"/>
      <c r="AI31" s="3349">
        <f t="shared" si="28"/>
        <v>0</v>
      </c>
      <c r="AJ31" s="4428" t="e">
        <f t="shared" si="44"/>
        <v>#DIV/0!</v>
      </c>
      <c r="AK31" s="3342"/>
      <c r="AL31" s="3341"/>
      <c r="AM31" s="3341"/>
      <c r="AN31" s="3349">
        <f t="shared" si="29"/>
        <v>0</v>
      </c>
      <c r="AO31" s="4428" t="e">
        <f t="shared" si="45"/>
        <v>#DIV/0!</v>
      </c>
      <c r="AP31" s="3342"/>
      <c r="AQ31" s="3341"/>
      <c r="AR31" s="3341"/>
      <c r="AS31" s="3349">
        <f t="shared" si="30"/>
        <v>0</v>
      </c>
      <c r="AT31" s="4428" t="e">
        <f t="shared" si="46"/>
        <v>#DIV/0!</v>
      </c>
      <c r="AU31" s="3342"/>
      <c r="AV31" s="3341"/>
      <c r="AW31" s="3341"/>
      <c r="AX31" s="3349">
        <f t="shared" si="31"/>
        <v>0</v>
      </c>
      <c r="AY31" s="4428">
        <f t="shared" si="47"/>
        <v>0</v>
      </c>
      <c r="AZ31" s="3342"/>
      <c r="BA31" s="3341"/>
      <c r="BB31" s="3341"/>
      <c r="BC31" s="3349">
        <f t="shared" si="32"/>
        <v>0</v>
      </c>
      <c r="BD31" s="4428">
        <f t="shared" si="48"/>
        <v>0</v>
      </c>
      <c r="BE31" s="3342"/>
      <c r="BF31" s="3341"/>
      <c r="BG31" s="3341"/>
      <c r="BH31" s="3349">
        <f t="shared" si="33"/>
        <v>0</v>
      </c>
      <c r="BI31" s="4428" t="e">
        <f t="shared" si="49"/>
        <v>#DIV/0!</v>
      </c>
      <c r="BJ31" s="3342"/>
      <c r="BK31" s="3341"/>
      <c r="BL31" s="3341"/>
      <c r="BM31" s="3349">
        <f t="shared" si="34"/>
        <v>0</v>
      </c>
      <c r="BN31" s="4428" t="e">
        <f t="shared" si="50"/>
        <v>#DIV/0!</v>
      </c>
      <c r="BO31" s="3342"/>
      <c r="BP31" s="3341"/>
      <c r="BQ31" s="3341"/>
      <c r="BR31" s="3349">
        <f t="shared" si="35"/>
        <v>0</v>
      </c>
      <c r="BS31" s="4428" t="e">
        <f t="shared" si="51"/>
        <v>#DIV/0!</v>
      </c>
      <c r="BT31" s="3342"/>
      <c r="BU31" s="3341"/>
      <c r="BV31" s="3341"/>
      <c r="BW31" s="3349">
        <f t="shared" si="36"/>
        <v>0</v>
      </c>
      <c r="BX31" s="4428" t="e">
        <f t="shared" si="52"/>
        <v>#DIV/0!</v>
      </c>
      <c r="BY31" s="3342"/>
      <c r="BZ31" s="3341"/>
      <c r="CA31" s="3341"/>
      <c r="CB31" s="3349">
        <f t="shared" si="37"/>
        <v>0</v>
      </c>
      <c r="CC31" s="4428" t="e">
        <f t="shared" si="53"/>
        <v>#DIV/0!</v>
      </c>
      <c r="CD31" s="3342"/>
      <c r="CE31" s="3341"/>
      <c r="CF31" s="3341"/>
      <c r="CG31" s="3349">
        <f t="shared" si="38"/>
        <v>0</v>
      </c>
      <c r="CH31" s="4428" t="e">
        <f t="shared" si="54"/>
        <v>#DIV/0!</v>
      </c>
      <c r="CI31" s="3342"/>
      <c r="CJ31" s="3341">
        <f t="shared" si="39"/>
        <v>0</v>
      </c>
      <c r="CK31" s="3341">
        <f t="shared" si="39"/>
        <v>0</v>
      </c>
      <c r="CL31" s="3349">
        <f t="shared" si="55"/>
        <v>0</v>
      </c>
      <c r="CM31" s="4428">
        <f t="shared" si="40"/>
        <v>0</v>
      </c>
      <c r="CN31" s="4432"/>
      <c r="CP31" s="4615">
        <v>3000</v>
      </c>
      <c r="CQ31" s="2012">
        <f t="shared" si="41"/>
        <v>0</v>
      </c>
      <c r="CR31" s="4614">
        <f t="shared" si="56"/>
        <v>3000</v>
      </c>
      <c r="CS31" s="3307"/>
      <c r="CT31" s="4616">
        <f>CR31/CP31</f>
        <v>1</v>
      </c>
      <c r="CV31" s="933"/>
    </row>
    <row r="32" spans="1:100" s="1396" customFormat="1" ht="13.8" outlineLevel="2">
      <c r="A32" s="1571"/>
      <c r="B32" s="4433" t="s">
        <v>2</v>
      </c>
      <c r="C32" s="3341"/>
      <c r="D32" s="3341"/>
      <c r="E32" s="3349">
        <f t="shared" si="19"/>
        <v>0</v>
      </c>
      <c r="F32" s="4428" t="e">
        <f t="shared" si="16"/>
        <v>#DIV/0!</v>
      </c>
      <c r="G32" s="4434"/>
      <c r="H32" s="3341"/>
      <c r="I32" s="3341"/>
      <c r="J32" s="3349">
        <f t="shared" si="20"/>
        <v>0</v>
      </c>
      <c r="K32" s="4428" t="e">
        <f t="shared" si="42"/>
        <v>#DIV/0!</v>
      </c>
      <c r="L32" s="4434"/>
      <c r="M32" s="3341"/>
      <c r="N32" s="3341"/>
      <c r="O32" s="3349">
        <f t="shared" si="21"/>
        <v>0</v>
      </c>
      <c r="P32" s="4428" t="e">
        <f t="shared" si="22"/>
        <v>#DIV/0!</v>
      </c>
      <c r="Q32" s="4434"/>
      <c r="R32" s="3342">
        <f t="shared" si="23"/>
        <v>0</v>
      </c>
      <c r="S32" s="3342">
        <f t="shared" si="23"/>
        <v>0</v>
      </c>
      <c r="T32" s="2012">
        <f t="shared" si="24"/>
        <v>0</v>
      </c>
      <c r="U32" s="2048"/>
      <c r="V32" s="2048"/>
      <c r="W32" s="3342">
        <f t="shared" si="25"/>
        <v>0</v>
      </c>
      <c r="X32" s="3342">
        <f t="shared" si="25"/>
        <v>0</v>
      </c>
      <c r="Y32" s="2012">
        <f t="shared" si="26"/>
        <v>0</v>
      </c>
      <c r="Z32" s="2048"/>
      <c r="AA32" s="2048"/>
      <c r="AB32" s="3341"/>
      <c r="AC32" s="3341"/>
      <c r="AD32" s="3349">
        <f t="shared" si="27"/>
        <v>0</v>
      </c>
      <c r="AE32" s="4428" t="e">
        <f t="shared" si="43"/>
        <v>#DIV/0!</v>
      </c>
      <c r="AF32" s="4434"/>
      <c r="AG32" s="3341"/>
      <c r="AH32" s="3341"/>
      <c r="AI32" s="3349">
        <f t="shared" si="28"/>
        <v>0</v>
      </c>
      <c r="AJ32" s="4428" t="e">
        <f t="shared" si="44"/>
        <v>#DIV/0!</v>
      </c>
      <c r="AK32" s="4434"/>
      <c r="AL32" s="3341"/>
      <c r="AM32" s="3341"/>
      <c r="AN32" s="3349">
        <f t="shared" si="29"/>
        <v>0</v>
      </c>
      <c r="AO32" s="4428" t="e">
        <f t="shared" si="45"/>
        <v>#DIV/0!</v>
      </c>
      <c r="AP32" s="4434"/>
      <c r="AQ32" s="3341"/>
      <c r="AR32" s="3341"/>
      <c r="AS32" s="3349">
        <f t="shared" si="30"/>
        <v>0</v>
      </c>
      <c r="AT32" s="4428" t="e">
        <f t="shared" si="46"/>
        <v>#DIV/0!</v>
      </c>
      <c r="AU32" s="4434"/>
      <c r="AV32" s="3341"/>
      <c r="AW32" s="3341"/>
      <c r="AX32" s="3349">
        <f t="shared" si="31"/>
        <v>0</v>
      </c>
      <c r="AY32" s="4428">
        <f t="shared" si="47"/>
        <v>0</v>
      </c>
      <c r="AZ32" s="4434"/>
      <c r="BA32" s="3341"/>
      <c r="BB32" s="3341"/>
      <c r="BC32" s="3349">
        <f t="shared" si="32"/>
        <v>0</v>
      </c>
      <c r="BD32" s="4428">
        <f t="shared" si="48"/>
        <v>0</v>
      </c>
      <c r="BE32" s="4434"/>
      <c r="BF32" s="3341"/>
      <c r="BG32" s="3341"/>
      <c r="BH32" s="3349">
        <f t="shared" si="33"/>
        <v>0</v>
      </c>
      <c r="BI32" s="4428" t="e">
        <f t="shared" si="49"/>
        <v>#DIV/0!</v>
      </c>
      <c r="BJ32" s="4434"/>
      <c r="BK32" s="3341"/>
      <c r="BL32" s="3341"/>
      <c r="BM32" s="3349">
        <f t="shared" si="34"/>
        <v>0</v>
      </c>
      <c r="BN32" s="4428" t="e">
        <f t="shared" si="50"/>
        <v>#DIV/0!</v>
      </c>
      <c r="BO32" s="4434"/>
      <c r="BP32" s="3341"/>
      <c r="BQ32" s="3341"/>
      <c r="BR32" s="3349">
        <f t="shared" si="35"/>
        <v>0</v>
      </c>
      <c r="BS32" s="4428" t="e">
        <f t="shared" si="51"/>
        <v>#DIV/0!</v>
      </c>
      <c r="BT32" s="4434"/>
      <c r="BU32" s="3341"/>
      <c r="BV32" s="3341"/>
      <c r="BW32" s="3349">
        <f t="shared" si="36"/>
        <v>0</v>
      </c>
      <c r="BX32" s="4428" t="e">
        <f t="shared" si="52"/>
        <v>#DIV/0!</v>
      </c>
      <c r="BY32" s="4434"/>
      <c r="BZ32" s="3341"/>
      <c r="CA32" s="3341"/>
      <c r="CB32" s="3349">
        <f t="shared" si="37"/>
        <v>0</v>
      </c>
      <c r="CC32" s="4428" t="e">
        <f t="shared" si="53"/>
        <v>#DIV/0!</v>
      </c>
      <c r="CD32" s="4434"/>
      <c r="CE32" s="3341"/>
      <c r="CF32" s="3341"/>
      <c r="CG32" s="3349">
        <f t="shared" si="38"/>
        <v>0</v>
      </c>
      <c r="CH32" s="4428" t="e">
        <f t="shared" si="54"/>
        <v>#DIV/0!</v>
      </c>
      <c r="CI32" s="4434"/>
      <c r="CJ32" s="4622">
        <f t="shared" si="39"/>
        <v>0</v>
      </c>
      <c r="CK32" s="4623">
        <f t="shared" si="39"/>
        <v>0</v>
      </c>
      <c r="CL32" s="3349">
        <f t="shared" si="55"/>
        <v>0</v>
      </c>
      <c r="CM32" s="4428">
        <f t="shared" si="40"/>
        <v>0</v>
      </c>
      <c r="CN32" s="4432"/>
      <c r="CP32" s="4615"/>
      <c r="CQ32" s="2012">
        <f t="shared" si="41"/>
        <v>0</v>
      </c>
      <c r="CR32" s="4614">
        <f t="shared" si="56"/>
        <v>0</v>
      </c>
      <c r="CT32" s="2624"/>
    </row>
    <row r="33" spans="1:98" s="1396" customFormat="1" ht="14.4" outlineLevel="2" thickBot="1">
      <c r="A33" s="1571"/>
      <c r="B33" s="4435" t="s">
        <v>75</v>
      </c>
      <c r="C33" s="4624"/>
      <c r="D33" s="4624"/>
      <c r="E33" s="4625">
        <f t="shared" ref="E33" si="57">C33+D33*1</f>
        <v>0</v>
      </c>
      <c r="F33" s="4437" t="e">
        <f t="shared" si="16"/>
        <v>#DIV/0!</v>
      </c>
      <c r="G33" s="4438"/>
      <c r="H33" s="4624"/>
      <c r="I33" s="4624"/>
      <c r="J33" s="4625">
        <f>H33+I33*1</f>
        <v>0</v>
      </c>
      <c r="K33" s="4437" t="e">
        <f t="shared" si="42"/>
        <v>#DIV/0!</v>
      </c>
      <c r="L33" s="4438"/>
      <c r="M33" s="4624"/>
      <c r="N33" s="4624"/>
      <c r="O33" s="4625">
        <f t="shared" ref="O33" si="58">M33+N33*1</f>
        <v>0</v>
      </c>
      <c r="P33" s="4428" t="e">
        <f t="shared" si="22"/>
        <v>#DIV/0!</v>
      </c>
      <c r="Q33" s="4438"/>
      <c r="R33" s="4626">
        <f t="shared" si="23"/>
        <v>0</v>
      </c>
      <c r="S33" s="4627">
        <f t="shared" si="23"/>
        <v>0</v>
      </c>
      <c r="T33" s="4628">
        <f t="shared" si="24"/>
        <v>0</v>
      </c>
      <c r="U33" s="4438"/>
      <c r="V33" s="4438"/>
      <c r="W33" s="4627">
        <f t="shared" si="25"/>
        <v>0</v>
      </c>
      <c r="X33" s="4627">
        <f t="shared" si="25"/>
        <v>0</v>
      </c>
      <c r="Y33" s="4628">
        <f t="shared" si="26"/>
        <v>0</v>
      </c>
      <c r="Z33" s="4438"/>
      <c r="AA33" s="4438"/>
      <c r="AB33" s="4624"/>
      <c r="AC33" s="4624"/>
      <c r="AD33" s="4625">
        <f t="shared" ref="AD33" si="59">AB33+AC33*1</f>
        <v>0</v>
      </c>
      <c r="AE33" s="4437" t="e">
        <f t="shared" si="43"/>
        <v>#DIV/0!</v>
      </c>
      <c r="AF33" s="4438"/>
      <c r="AG33" s="4624"/>
      <c r="AH33" s="4624"/>
      <c r="AI33" s="4625">
        <f t="shared" ref="AI33" si="60">AG33+AH33*1</f>
        <v>0</v>
      </c>
      <c r="AJ33" s="4437" t="e">
        <f t="shared" si="44"/>
        <v>#DIV/0!</v>
      </c>
      <c r="AK33" s="4438"/>
      <c r="AL33" s="4624"/>
      <c r="AM33" s="4624"/>
      <c r="AN33" s="4625">
        <f t="shared" ref="AN33" si="61">AL33+AM33*1</f>
        <v>0</v>
      </c>
      <c r="AO33" s="4437" t="e">
        <f t="shared" si="45"/>
        <v>#DIV/0!</v>
      </c>
      <c r="AP33" s="4438"/>
      <c r="AQ33" s="4624"/>
      <c r="AR33" s="4624"/>
      <c r="AS33" s="4625">
        <f t="shared" ref="AS33" si="62">AQ33+AR33*1</f>
        <v>0</v>
      </c>
      <c r="AT33" s="4437" t="e">
        <f t="shared" si="46"/>
        <v>#DIV/0!</v>
      </c>
      <c r="AU33" s="4438"/>
      <c r="AV33" s="4624"/>
      <c r="AW33" s="4624"/>
      <c r="AX33" s="4625">
        <f t="shared" ref="AX33" si="63">AV33+AW33*1</f>
        <v>0</v>
      </c>
      <c r="AY33" s="4437">
        <f t="shared" si="47"/>
        <v>0</v>
      </c>
      <c r="AZ33" s="4438"/>
      <c r="BA33" s="4624"/>
      <c r="BB33" s="4624"/>
      <c r="BC33" s="4625">
        <f t="shared" ref="BC33" si="64">BA33+BB33*1</f>
        <v>0</v>
      </c>
      <c r="BD33" s="4437">
        <f t="shared" si="48"/>
        <v>0</v>
      </c>
      <c r="BE33" s="4438"/>
      <c r="BF33" s="4624"/>
      <c r="BG33" s="4624"/>
      <c r="BH33" s="4625">
        <f t="shared" ref="BH33" si="65">BF33+BG33*1</f>
        <v>0</v>
      </c>
      <c r="BI33" s="4437" t="e">
        <f t="shared" si="49"/>
        <v>#DIV/0!</v>
      </c>
      <c r="BJ33" s="4438"/>
      <c r="BK33" s="4624"/>
      <c r="BL33" s="4624"/>
      <c r="BM33" s="4625">
        <f t="shared" ref="BM33" si="66">BK33+BL33*1</f>
        <v>0</v>
      </c>
      <c r="BN33" s="4437" t="e">
        <f t="shared" si="50"/>
        <v>#DIV/0!</v>
      </c>
      <c r="BO33" s="4438"/>
      <c r="BP33" s="4624"/>
      <c r="BQ33" s="4624"/>
      <c r="BR33" s="4625">
        <f t="shared" ref="BR33" si="67">BP33+BQ33*1</f>
        <v>0</v>
      </c>
      <c r="BS33" s="4437" t="e">
        <f t="shared" si="51"/>
        <v>#DIV/0!</v>
      </c>
      <c r="BT33" s="4438"/>
      <c r="BU33" s="4624"/>
      <c r="BV33" s="4624"/>
      <c r="BW33" s="4625">
        <f t="shared" ref="BW33" si="68">BU33+BV33*1</f>
        <v>0</v>
      </c>
      <c r="BX33" s="4437" t="e">
        <f t="shared" si="52"/>
        <v>#DIV/0!</v>
      </c>
      <c r="BY33" s="4438"/>
      <c r="BZ33" s="4624"/>
      <c r="CA33" s="4624"/>
      <c r="CB33" s="4625">
        <f t="shared" ref="CB33" si="69">BZ33+CA33*1</f>
        <v>0</v>
      </c>
      <c r="CC33" s="4437" t="e">
        <f t="shared" si="53"/>
        <v>#DIV/0!</v>
      </c>
      <c r="CD33" s="4438"/>
      <c r="CE33" s="4624"/>
      <c r="CF33" s="4624"/>
      <c r="CG33" s="4625">
        <f t="shared" ref="CG33" si="70">CE33+CF33*1</f>
        <v>0</v>
      </c>
      <c r="CH33" s="4437" t="e">
        <f t="shared" si="54"/>
        <v>#DIV/0!</v>
      </c>
      <c r="CI33" s="4438"/>
      <c r="CJ33" s="4629">
        <f t="shared" si="39"/>
        <v>0</v>
      </c>
      <c r="CK33" s="4624">
        <f t="shared" si="39"/>
        <v>0</v>
      </c>
      <c r="CL33" s="4625">
        <f t="shared" si="55"/>
        <v>0</v>
      </c>
      <c r="CM33" s="4488">
        <f t="shared" si="40"/>
        <v>0</v>
      </c>
      <c r="CN33" s="4490"/>
      <c r="CP33" s="4615"/>
      <c r="CQ33" s="4615"/>
      <c r="CR33" s="4614">
        <f t="shared" si="56"/>
        <v>0</v>
      </c>
      <c r="CT33" s="2624"/>
    </row>
    <row r="34" spans="1:98"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1"/>
      <c r="AC34" s="3341"/>
      <c r="AD34" s="3368"/>
      <c r="AE34" s="3368"/>
      <c r="AF34" s="3448"/>
      <c r="AG34" s="3341"/>
      <c r="AH34" s="3341"/>
      <c r="AI34" s="3368"/>
      <c r="AJ34" s="3368"/>
      <c r="AK34" s="3448"/>
      <c r="AL34" s="3341"/>
      <c r="AM34" s="3341"/>
      <c r="AN34" s="3368"/>
      <c r="AO34" s="3368"/>
      <c r="AP34" s="3448"/>
      <c r="AQ34" s="3341"/>
      <c r="AR34" s="3341"/>
      <c r="AS34" s="3368"/>
      <c r="AT34" s="3368"/>
      <c r="AU34" s="3448"/>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3449"/>
      <c r="CQ34" s="3449"/>
      <c r="CR34" s="3450"/>
      <c r="CT34" s="2624"/>
    </row>
    <row r="35" spans="1:98" s="1396" customFormat="1" ht="13.8" outlineLevel="1">
      <c r="A35" s="1571"/>
      <c r="B35" s="4440" t="s">
        <v>80</v>
      </c>
      <c r="C35" s="4441">
        <f>C36</f>
        <v>0</v>
      </c>
      <c r="D35" s="4441">
        <f>D36</f>
        <v>0</v>
      </c>
      <c r="E35" s="4442">
        <f>E36</f>
        <v>0</v>
      </c>
      <c r="F35" s="4442"/>
      <c r="G35" s="4443"/>
      <c r="H35" s="4441">
        <f>H36</f>
        <v>0</v>
      </c>
      <c r="I35" s="4441">
        <f>I36</f>
        <v>0</v>
      </c>
      <c r="J35" s="4442">
        <f>J36</f>
        <v>0</v>
      </c>
      <c r="K35" s="4442"/>
      <c r="L35" s="4443"/>
      <c r="M35" s="4441">
        <f>M36</f>
        <v>0</v>
      </c>
      <c r="N35" s="4441">
        <f>N36</f>
        <v>0</v>
      </c>
      <c r="O35" s="4442">
        <f>O36</f>
        <v>0</v>
      </c>
      <c r="P35" s="4442"/>
      <c r="Q35" s="4443"/>
      <c r="R35" s="4441">
        <f>R36</f>
        <v>0</v>
      </c>
      <c r="S35" s="4441">
        <f>S36</f>
        <v>0</v>
      </c>
      <c r="T35" s="4442">
        <f>T36</f>
        <v>0</v>
      </c>
      <c r="U35" s="4444"/>
      <c r="V35" s="4444"/>
      <c r="W35" s="4441">
        <f>W36</f>
        <v>0</v>
      </c>
      <c r="X35" s="4441">
        <f>X36</f>
        <v>0</v>
      </c>
      <c r="Y35" s="4442">
        <f>Y36</f>
        <v>0</v>
      </c>
      <c r="Z35" s="4444"/>
      <c r="AA35" s="4444"/>
      <c r="AB35" s="4441">
        <f>AB36</f>
        <v>0</v>
      </c>
      <c r="AC35" s="4441">
        <f>AC36</f>
        <v>0</v>
      </c>
      <c r="AD35" s="4442">
        <f>AD36</f>
        <v>0</v>
      </c>
      <c r="AE35" s="4442"/>
      <c r="AF35" s="4443"/>
      <c r="AG35" s="4441">
        <f>AG36</f>
        <v>0</v>
      </c>
      <c r="AH35" s="4441">
        <f>AH36</f>
        <v>0</v>
      </c>
      <c r="AI35" s="4442">
        <f>AI36</f>
        <v>0</v>
      </c>
      <c r="AJ35" s="4442"/>
      <c r="AK35" s="4443"/>
      <c r="AL35" s="4441">
        <f>AL36</f>
        <v>0</v>
      </c>
      <c r="AM35" s="4441">
        <f>AM36</f>
        <v>0</v>
      </c>
      <c r="AN35" s="4442">
        <f>AN36</f>
        <v>0</v>
      </c>
      <c r="AO35" s="4442"/>
      <c r="AP35" s="4443"/>
      <c r="AQ35" s="4441">
        <f>AQ36</f>
        <v>0</v>
      </c>
      <c r="AR35" s="4441">
        <f>AR36</f>
        <v>0</v>
      </c>
      <c r="AS35" s="4442">
        <f>AS36</f>
        <v>0</v>
      </c>
      <c r="AT35" s="4442"/>
      <c r="AU35" s="4443"/>
      <c r="AV35" s="4441">
        <f>AV36</f>
        <v>0</v>
      </c>
      <c r="AW35" s="4441">
        <f>AW36</f>
        <v>0</v>
      </c>
      <c r="AX35" s="4442">
        <f>AX36</f>
        <v>0</v>
      </c>
      <c r="AY35" s="4442"/>
      <c r="AZ35" s="4443"/>
      <c r="BA35" s="4441">
        <f>BA36</f>
        <v>0</v>
      </c>
      <c r="BB35" s="4441">
        <f>BB36</f>
        <v>0</v>
      </c>
      <c r="BC35" s="4442">
        <f>BC36</f>
        <v>0</v>
      </c>
      <c r="BD35" s="4442"/>
      <c r="BE35" s="4443"/>
      <c r="BF35" s="4441">
        <f>BF36</f>
        <v>0</v>
      </c>
      <c r="BG35" s="4441">
        <f>BG36</f>
        <v>0</v>
      </c>
      <c r="BH35" s="4442">
        <f>BH36</f>
        <v>0</v>
      </c>
      <c r="BI35" s="4442"/>
      <c r="BJ35" s="4443"/>
      <c r="BK35" s="4441">
        <f>BK36</f>
        <v>0</v>
      </c>
      <c r="BL35" s="4441">
        <f>BL36</f>
        <v>0</v>
      </c>
      <c r="BM35" s="4442">
        <f>BM36</f>
        <v>0</v>
      </c>
      <c r="BN35" s="4442"/>
      <c r="BO35" s="4443"/>
      <c r="BP35" s="4441">
        <f>BP36</f>
        <v>0</v>
      </c>
      <c r="BQ35" s="4441">
        <f>BQ36</f>
        <v>0</v>
      </c>
      <c r="BR35" s="4442">
        <f>BR36</f>
        <v>0</v>
      </c>
      <c r="BS35" s="4442"/>
      <c r="BT35" s="4443"/>
      <c r="BU35" s="4441">
        <f>BU36</f>
        <v>0</v>
      </c>
      <c r="BV35" s="4441">
        <f>BV36</f>
        <v>0</v>
      </c>
      <c r="BW35" s="4442">
        <f>BW36</f>
        <v>0</v>
      </c>
      <c r="BX35" s="4442"/>
      <c r="BY35" s="4443"/>
      <c r="BZ35" s="4441">
        <f>BZ36</f>
        <v>0</v>
      </c>
      <c r="CA35" s="4441">
        <f>CA36</f>
        <v>0</v>
      </c>
      <c r="CB35" s="4442">
        <f>CB36</f>
        <v>0</v>
      </c>
      <c r="CC35" s="4442"/>
      <c r="CD35" s="4443"/>
      <c r="CE35" s="4441">
        <f>CE36</f>
        <v>0</v>
      </c>
      <c r="CF35" s="4441">
        <f>CF36</f>
        <v>0</v>
      </c>
      <c r="CG35" s="4442">
        <f>CG36</f>
        <v>0</v>
      </c>
      <c r="CH35" s="4442"/>
      <c r="CI35" s="4443"/>
      <c r="CJ35" s="4441">
        <f>CJ36</f>
        <v>0</v>
      </c>
      <c r="CK35" s="4441">
        <f>CK36</f>
        <v>0</v>
      </c>
      <c r="CL35" s="4442">
        <f>CL36</f>
        <v>0</v>
      </c>
      <c r="CM35" s="4442"/>
      <c r="CN35" s="4442"/>
      <c r="CP35" s="4442">
        <f>CP36</f>
        <v>0</v>
      </c>
      <c r="CQ35" s="4442">
        <f>CQ36</f>
        <v>0</v>
      </c>
      <c r="CR35" s="4669">
        <f>CR36</f>
        <v>0</v>
      </c>
      <c r="CT35" s="2624"/>
    </row>
    <row r="36" spans="1:98" s="1396" customFormat="1" ht="13.8" outlineLevel="3">
      <c r="A36" s="1571"/>
      <c r="B36" s="4632" t="s">
        <v>81</v>
      </c>
      <c r="C36" s="3341"/>
      <c r="D36" s="3341"/>
      <c r="E36" s="2012">
        <f>C36+D36*1</f>
        <v>0</v>
      </c>
      <c r="F36" s="4428" t="e">
        <f>E36/$E$89</f>
        <v>#DIV/0!</v>
      </c>
      <c r="G36" s="4633"/>
      <c r="H36" s="3341"/>
      <c r="I36" s="3341"/>
      <c r="J36" s="2012">
        <f>H36+I36*1</f>
        <v>0</v>
      </c>
      <c r="K36" s="4428" t="e">
        <f t="shared" ref="K36" si="71">J36/J$89</f>
        <v>#DIV/0!</v>
      </c>
      <c r="L36" s="4633"/>
      <c r="M36" s="3341"/>
      <c r="N36" s="3341"/>
      <c r="O36" s="3349">
        <f t="shared" ref="O36" si="72">M36+N36</f>
        <v>0</v>
      </c>
      <c r="P36" s="4428" t="e">
        <f t="shared" ref="P36" si="73">O36/O$89</f>
        <v>#DIV/0!</v>
      </c>
      <c r="Q36" s="4633"/>
      <c r="R36" s="3342">
        <f t="shared" ref="R36:S36" si="74">M36+H36+C36</f>
        <v>0</v>
      </c>
      <c r="S36" s="3342">
        <f t="shared" si="74"/>
        <v>0</v>
      </c>
      <c r="T36" s="2012">
        <f t="shared" ref="T36" si="75">R36+S36</f>
        <v>0</v>
      </c>
      <c r="U36" s="3455"/>
      <c r="V36" s="3455"/>
      <c r="W36" s="3342">
        <f t="shared" ref="W36:X36" si="76">AB36+AG36+AL36+AV36+BA36+BF36+BK36+BP36+BU36+BZ36+CE36+AQ36</f>
        <v>0</v>
      </c>
      <c r="X36" s="3342">
        <f t="shared" si="76"/>
        <v>0</v>
      </c>
      <c r="Y36" s="2012">
        <f t="shared" ref="Y36" si="77">W36+X36</f>
        <v>0</v>
      </c>
      <c r="Z36" s="3455"/>
      <c r="AA36" s="3455"/>
      <c r="AB36" s="3341"/>
      <c r="AC36" s="3341"/>
      <c r="AD36" s="3349">
        <f t="shared" ref="AD36" si="78">AB36+AC36</f>
        <v>0</v>
      </c>
      <c r="AE36" s="4428" t="e">
        <f>AD36/AD$89</f>
        <v>#DIV/0!</v>
      </c>
      <c r="AF36" s="4633"/>
      <c r="AG36" s="3341"/>
      <c r="AH36" s="3341"/>
      <c r="AI36" s="3349">
        <f t="shared" ref="AI36" si="79">AG36+AH36</f>
        <v>0</v>
      </c>
      <c r="AJ36" s="4428" t="e">
        <f>AI36/AI$89</f>
        <v>#DIV/0!</v>
      </c>
      <c r="AK36" s="4633"/>
      <c r="AL36" s="3341"/>
      <c r="AM36" s="3341"/>
      <c r="AN36" s="3349">
        <f t="shared" ref="AN36" si="80">AL36+AM36</f>
        <v>0</v>
      </c>
      <c r="AO36" s="4428" t="e">
        <f>AN36/AN$89</f>
        <v>#DIV/0!</v>
      </c>
      <c r="AP36" s="4633"/>
      <c r="AQ36" s="3341"/>
      <c r="AR36" s="3341"/>
      <c r="AS36" s="3349">
        <f t="shared" ref="AS36" si="81">AQ36+AR36</f>
        <v>0</v>
      </c>
      <c r="AT36" s="4428" t="e">
        <f>AS36/AS$89</f>
        <v>#DIV/0!</v>
      </c>
      <c r="AU36" s="4633"/>
      <c r="AV36" s="3341"/>
      <c r="AW36" s="3341"/>
      <c r="AX36" s="3349">
        <f t="shared" ref="AX36" si="82">AV36+AW36</f>
        <v>0</v>
      </c>
      <c r="AY36" s="4428">
        <f>AX36/AX$89</f>
        <v>0</v>
      </c>
      <c r="AZ36" s="4633"/>
      <c r="BA36" s="3341"/>
      <c r="BB36" s="3341"/>
      <c r="BC36" s="3349">
        <f t="shared" ref="BC36" si="83">BA36+BB36</f>
        <v>0</v>
      </c>
      <c r="BD36" s="4428">
        <f>BC36/BC$89</f>
        <v>0</v>
      </c>
      <c r="BE36" s="4633"/>
      <c r="BF36" s="3341"/>
      <c r="BG36" s="3341"/>
      <c r="BH36" s="3349">
        <f t="shared" ref="BH36" si="84">BF36+BG36</f>
        <v>0</v>
      </c>
      <c r="BI36" s="4428" t="e">
        <f>BH36/BH$89</f>
        <v>#DIV/0!</v>
      </c>
      <c r="BJ36" s="4633"/>
      <c r="BK36" s="3341"/>
      <c r="BL36" s="3341"/>
      <c r="BM36" s="3349">
        <f t="shared" ref="BM36" si="85">BK36+BL36</f>
        <v>0</v>
      </c>
      <c r="BN36" s="4428" t="e">
        <f>BM36/BM$89</f>
        <v>#DIV/0!</v>
      </c>
      <c r="BO36" s="4633"/>
      <c r="BP36" s="3341"/>
      <c r="BQ36" s="3341"/>
      <c r="BR36" s="3349">
        <f t="shared" ref="BR36" si="86">BP36+BQ36</f>
        <v>0</v>
      </c>
      <c r="BS36" s="4428" t="e">
        <f>BR36/BR$89</f>
        <v>#DIV/0!</v>
      </c>
      <c r="BT36" s="4633"/>
      <c r="BU36" s="3341"/>
      <c r="BV36" s="3341"/>
      <c r="BW36" s="3349">
        <f t="shared" ref="BW36" si="87">BU36+BV36</f>
        <v>0</v>
      </c>
      <c r="BX36" s="4428" t="e">
        <f>BW36/BW$89</f>
        <v>#DIV/0!</v>
      </c>
      <c r="BY36" s="4633"/>
      <c r="BZ36" s="3341"/>
      <c r="CA36" s="3341"/>
      <c r="CB36" s="3349">
        <f t="shared" ref="CB36" si="88">BZ36+CA36</f>
        <v>0</v>
      </c>
      <c r="CC36" s="4428" t="e">
        <f>CB36/CB$89</f>
        <v>#DIV/0!</v>
      </c>
      <c r="CD36" s="4633"/>
      <c r="CE36" s="3341"/>
      <c r="CF36" s="3341"/>
      <c r="CG36" s="3349">
        <f t="shared" ref="CG36" si="89">CE36+CF36</f>
        <v>0</v>
      </c>
      <c r="CH36" s="4428" t="e">
        <f>CG36/CG$89</f>
        <v>#DIV/0!</v>
      </c>
      <c r="CI36" s="4633"/>
      <c r="CJ36" s="3341">
        <f t="shared" ref="CJ36:CK36" si="90">C36+H36+M36+W36</f>
        <v>0</v>
      </c>
      <c r="CK36" s="3341">
        <f t="shared" si="90"/>
        <v>0</v>
      </c>
      <c r="CL36" s="2012">
        <f>CJ36+CK36*1</f>
        <v>0</v>
      </c>
      <c r="CM36" s="4428">
        <f>CL36/$CL$89</f>
        <v>0</v>
      </c>
      <c r="CN36" s="4611"/>
      <c r="CP36" s="2012"/>
      <c r="CQ36" s="2012">
        <f t="shared" ref="CQ36" si="91">CL36</f>
        <v>0</v>
      </c>
      <c r="CR36" s="4614">
        <f t="shared" ref="CR36" si="92">CP36-CQ36</f>
        <v>0</v>
      </c>
      <c r="CT36" s="3443"/>
    </row>
    <row r="37" spans="1:98" s="1396" customFormat="1" ht="14.4" outlineLevel="1" thickBot="1">
      <c r="A37" s="1398"/>
      <c r="B37" s="4446"/>
      <c r="C37" s="3341"/>
      <c r="D37" s="3341"/>
      <c r="E37" s="4609"/>
      <c r="F37" s="4609"/>
      <c r="G37" s="4634"/>
      <c r="H37" s="3341"/>
      <c r="I37" s="3341"/>
      <c r="J37" s="4609"/>
      <c r="K37" s="4609"/>
      <c r="L37" s="4634"/>
      <c r="M37" s="3341"/>
      <c r="N37" s="3341"/>
      <c r="O37" s="4609"/>
      <c r="P37" s="4609"/>
      <c r="Q37" s="4634"/>
      <c r="R37" s="3456"/>
      <c r="S37" s="3456"/>
      <c r="T37" s="3456"/>
      <c r="U37" s="3456"/>
      <c r="V37" s="3456"/>
      <c r="W37" s="3342">
        <f t="shared" ref="W37:X37" si="93">AB37+AG37+AL37+AV37+BA37+BF37+BK37+BP37+BU37+BZ37+CE37</f>
        <v>0</v>
      </c>
      <c r="X37" s="3342">
        <f t="shared" si="93"/>
        <v>0</v>
      </c>
      <c r="Y37" s="3456"/>
      <c r="Z37" s="3456"/>
      <c r="AA37" s="3456"/>
      <c r="AB37" s="3341"/>
      <c r="AC37" s="3341"/>
      <c r="AD37" s="4609"/>
      <c r="AE37" s="4609"/>
      <c r="AF37" s="4634"/>
      <c r="AG37" s="3341"/>
      <c r="AH37" s="3341"/>
      <c r="AI37" s="4609"/>
      <c r="AJ37" s="4609"/>
      <c r="AK37" s="4634"/>
      <c r="AL37" s="3341"/>
      <c r="AM37" s="3341"/>
      <c r="AN37" s="4609"/>
      <c r="AO37" s="4609"/>
      <c r="AP37" s="4634"/>
      <c r="AQ37" s="3341"/>
      <c r="AR37" s="3341"/>
      <c r="AS37" s="4609"/>
      <c r="AT37" s="4609"/>
      <c r="AU37" s="4634"/>
      <c r="AV37" s="3341"/>
      <c r="AW37" s="3341"/>
      <c r="AX37" s="4609"/>
      <c r="AY37" s="4609"/>
      <c r="AZ37" s="4634"/>
      <c r="BA37" s="3341"/>
      <c r="BB37" s="3341"/>
      <c r="BC37" s="4609"/>
      <c r="BD37" s="4609"/>
      <c r="BE37" s="4634"/>
      <c r="BF37" s="3341"/>
      <c r="BG37" s="3341"/>
      <c r="BH37" s="4609"/>
      <c r="BI37" s="4609"/>
      <c r="BJ37" s="4634"/>
      <c r="BK37" s="3341"/>
      <c r="BL37" s="3341"/>
      <c r="BM37" s="4609"/>
      <c r="BN37" s="4609"/>
      <c r="BO37" s="4634"/>
      <c r="BP37" s="3341"/>
      <c r="BQ37" s="3341"/>
      <c r="BR37" s="4609"/>
      <c r="BS37" s="4609"/>
      <c r="BT37" s="4634"/>
      <c r="BU37" s="3341"/>
      <c r="BV37" s="3341"/>
      <c r="BW37" s="4609"/>
      <c r="BX37" s="4609"/>
      <c r="BY37" s="4634"/>
      <c r="BZ37" s="3341"/>
      <c r="CA37" s="3341"/>
      <c r="CB37" s="4609"/>
      <c r="CC37" s="4609"/>
      <c r="CD37" s="4634"/>
      <c r="CE37" s="3341"/>
      <c r="CF37" s="3341"/>
      <c r="CG37" s="4609"/>
      <c r="CH37" s="4609"/>
      <c r="CI37" s="4634"/>
      <c r="CJ37" s="3341"/>
      <c r="CK37" s="3341"/>
      <c r="CL37" s="4609"/>
      <c r="CM37" s="4609"/>
      <c r="CN37" s="4609"/>
      <c r="CP37" s="4645"/>
      <c r="CQ37" s="4645"/>
      <c r="CR37" s="4670"/>
      <c r="CT37" s="2624"/>
    </row>
    <row r="38" spans="1:98"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0</v>
      </c>
      <c r="O38" s="3749">
        <f>(O5)-(O8)</f>
        <v>0</v>
      </c>
      <c r="P38" s="3749"/>
      <c r="Q38" s="3750"/>
      <c r="R38" s="3749">
        <f>(R5)-(R8)</f>
        <v>0</v>
      </c>
      <c r="S38" s="3749">
        <f>(S5)-(S8)</f>
        <v>0</v>
      </c>
      <c r="T38" s="3749">
        <f>(T5)-(T8)</f>
        <v>0</v>
      </c>
      <c r="U38" s="3750"/>
      <c r="V38" s="3750"/>
      <c r="W38" s="3749">
        <f>(W5)-(W8)</f>
        <v>-8435.67</v>
      </c>
      <c r="X38" s="3749">
        <f>(X5)-(X8)</f>
        <v>-8415.99</v>
      </c>
      <c r="Y38" s="3749">
        <f>(Y5)-(Y8)</f>
        <v>-16851.66</v>
      </c>
      <c r="Z38" s="3750"/>
      <c r="AA38" s="3750"/>
      <c r="AB38" s="3749">
        <f>(AB5)-(AB8)</f>
        <v>0</v>
      </c>
      <c r="AC38" s="3749">
        <f>(AC5)-(AC8)</f>
        <v>0</v>
      </c>
      <c r="AD38" s="3749">
        <f>(AD5)-(AD8)</f>
        <v>0</v>
      </c>
      <c r="AE38" s="3749"/>
      <c r="AF38" s="3750"/>
      <c r="AG38" s="3749">
        <f>(AG5)-(AG8)</f>
        <v>0</v>
      </c>
      <c r="AH38" s="3749">
        <f>(AH5)-(AH8)</f>
        <v>0</v>
      </c>
      <c r="AI38" s="3749">
        <f>(AI5)-(AI8)</f>
        <v>0</v>
      </c>
      <c r="AJ38" s="3749"/>
      <c r="AK38" s="3750"/>
      <c r="AL38" s="3749">
        <f>(AL5)-(AL8)</f>
        <v>0</v>
      </c>
      <c r="AM38" s="3749">
        <f>(AM5)-(AM8)</f>
        <v>0</v>
      </c>
      <c r="AN38" s="3749">
        <f>(AN5)-(AN8)</f>
        <v>0</v>
      </c>
      <c r="AO38" s="3749"/>
      <c r="AP38" s="3750"/>
      <c r="AQ38" s="3749">
        <f>(AQ5)-(AQ8)</f>
        <v>0</v>
      </c>
      <c r="AR38" s="3749">
        <f>(AR5)-(AR8)</f>
        <v>0</v>
      </c>
      <c r="AS38" s="3749">
        <f>(AS5)-(AS8)</f>
        <v>0</v>
      </c>
      <c r="AT38" s="3749"/>
      <c r="AU38" s="3750"/>
      <c r="AV38" s="3749">
        <f>(AV5)-(AV8)</f>
        <v>-1957.93</v>
      </c>
      <c r="AW38" s="3749">
        <f>(AW5)-(AW8)</f>
        <v>-2525</v>
      </c>
      <c r="AX38" s="3749">
        <f>(AX5)-(AX8)</f>
        <v>-4482.93</v>
      </c>
      <c r="AY38" s="3749"/>
      <c r="AZ38" s="3750"/>
      <c r="BA38" s="3749">
        <f>(BA5)-(BA8)</f>
        <v>-6477.7400000000007</v>
      </c>
      <c r="BB38" s="3749">
        <f>(BB5)-(BB8)</f>
        <v>-5890.99</v>
      </c>
      <c r="BC38" s="3749">
        <f>(BC5)-(BC8)</f>
        <v>-12368.73</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-8435.67</v>
      </c>
      <c r="CK38" s="3751">
        <f>(CK5)-(CK8)</f>
        <v>-8415.99</v>
      </c>
      <c r="CL38" s="3751">
        <f>(CL5)-(CL8)</f>
        <v>-16851.66</v>
      </c>
      <c r="CM38" s="3749"/>
      <c r="CN38" s="3749"/>
      <c r="CP38" s="3749">
        <f>(CP5)-(CP8)</f>
        <v>-31947.97</v>
      </c>
      <c r="CQ38" s="3760">
        <f>(CQ5)-(CQ8)</f>
        <v>-16851.66</v>
      </c>
      <c r="CR38" s="3749">
        <f>(CR5)-(CR8)</f>
        <v>-15096.310000000001</v>
      </c>
      <c r="CT38" s="3761"/>
    </row>
    <row r="39" spans="1:98"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2003">
        <f>IFERROR(AB38/(AB5),0)</f>
        <v>0</v>
      </c>
      <c r="AC39" s="2003">
        <f>IFERROR(AC38/(AC5),0)</f>
        <v>0</v>
      </c>
      <c r="AD39" s="2004">
        <f>IFERROR(AD38/(AD5),0)</f>
        <v>0</v>
      </c>
      <c r="AE39" s="2004"/>
      <c r="AF39" s="1056"/>
      <c r="AG39" s="2003">
        <f>IFERROR(AG38/(AG5),0)</f>
        <v>0</v>
      </c>
      <c r="AH39" s="2003">
        <f>IFERROR(AH38/(AH5),0)</f>
        <v>0</v>
      </c>
      <c r="AI39" s="2004">
        <f>IFERROR(AI38/(AI5),0)</f>
        <v>0</v>
      </c>
      <c r="AJ39" s="2004"/>
      <c r="AK39" s="1056"/>
      <c r="AL39" s="2003">
        <f>IFERROR(AL38/(AL5),0)</f>
        <v>0</v>
      </c>
      <c r="AM39" s="2003">
        <f>IFERROR(AM38/(AM5),0)</f>
        <v>0</v>
      </c>
      <c r="AN39" s="2004">
        <f>IFERROR(AN38/(AN5),0)</f>
        <v>0</v>
      </c>
      <c r="AO39" s="2004"/>
      <c r="AP39" s="1056"/>
      <c r="AQ39" s="2003">
        <f>IFERROR(AQ38/(AQ5),0)</f>
        <v>0</v>
      </c>
      <c r="AR39" s="2003">
        <f>IFERROR(AR38/(AR5),0)</f>
        <v>0</v>
      </c>
      <c r="AS39" s="2004">
        <f>IFERROR(AS38/(AS5),0)</f>
        <v>0</v>
      </c>
      <c r="AT39" s="2004"/>
      <c r="AU39" s="1056"/>
      <c r="AV39" s="2003">
        <f>IFERROR(AV38/(AV5),0)</f>
        <v>0</v>
      </c>
      <c r="AW39" s="2003">
        <f>IFERROR(AW38/(AW5),0)</f>
        <v>0</v>
      </c>
      <c r="AX39" s="2004">
        <f>IFERROR(AX38/(AX5),0)</f>
        <v>0</v>
      </c>
      <c r="AY39" s="2004"/>
      <c r="AZ39" s="1056"/>
      <c r="BA39" s="2003">
        <f>IFERROR(BA38/(BA5),0)</f>
        <v>0</v>
      </c>
      <c r="BB39" s="2003">
        <f>IFERROR(BB38/(BB5),0)</f>
        <v>0</v>
      </c>
      <c r="BC39" s="2004">
        <f>IFERROR(BC38/(BC5),0)</f>
        <v>0</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v>
      </c>
      <c r="CK39" s="2003">
        <f>IFERROR(CK38/(CK5),0)</f>
        <v>0</v>
      </c>
      <c r="CL39" s="2004">
        <f>IFERROR(CL38/(CL5),0)</f>
        <v>0</v>
      </c>
      <c r="CM39" s="2004"/>
      <c r="CN39" s="2004"/>
      <c r="CP39" s="2004"/>
      <c r="CQ39" s="2004"/>
      <c r="CR39" s="2004"/>
    </row>
    <row r="40" spans="1:98" ht="14.4" outlineLevel="1" thickBot="1">
      <c r="A40" s="1567"/>
      <c r="B40" s="4637"/>
      <c r="C40" s="4610"/>
      <c r="D40" s="4610"/>
      <c r="E40" s="4610"/>
      <c r="F40" s="4610"/>
      <c r="G40" s="4638"/>
      <c r="H40" s="4610"/>
      <c r="I40" s="4610"/>
      <c r="J40" s="4610"/>
      <c r="K40" s="4610"/>
      <c r="L40" s="4638"/>
      <c r="M40" s="4610"/>
      <c r="N40" s="4610"/>
      <c r="O40" s="4610"/>
      <c r="P40" s="4610"/>
      <c r="Q40" s="4638"/>
      <c r="R40" s="4638"/>
      <c r="S40" s="4638"/>
      <c r="T40" s="4638"/>
      <c r="U40" s="4638"/>
      <c r="V40" s="4638"/>
      <c r="W40" s="4638"/>
      <c r="X40" s="4638"/>
      <c r="Y40" s="4638"/>
      <c r="Z40" s="4638"/>
      <c r="AA40" s="4638"/>
      <c r="AB40" s="4610"/>
      <c r="AC40" s="4610"/>
      <c r="AD40" s="4610"/>
      <c r="AE40" s="4610"/>
      <c r="AF40" s="4638"/>
      <c r="AG40" s="4610"/>
      <c r="AH40" s="4610"/>
      <c r="AI40" s="4610"/>
      <c r="AJ40" s="4610"/>
      <c r="AK40" s="4638"/>
      <c r="AL40" s="4610"/>
      <c r="AM40" s="4610"/>
      <c r="AN40" s="4610"/>
      <c r="AO40" s="4610"/>
      <c r="AP40" s="4638"/>
      <c r="AQ40" s="4610"/>
      <c r="AR40" s="4610"/>
      <c r="AS40" s="4610"/>
      <c r="AT40" s="4610"/>
      <c r="AU40" s="4638"/>
      <c r="AV40" s="4610"/>
      <c r="AW40" s="4610"/>
      <c r="AX40" s="4610"/>
      <c r="AY40" s="4610"/>
      <c r="AZ40" s="4638"/>
      <c r="BA40" s="4610"/>
      <c r="BB40" s="4610"/>
      <c r="BC40" s="4610"/>
      <c r="BD40" s="4610"/>
      <c r="BE40" s="4638"/>
      <c r="BF40" s="4610"/>
      <c r="BG40" s="4610"/>
      <c r="BH40" s="4610"/>
      <c r="BI40" s="4610"/>
      <c r="BJ40" s="4638"/>
      <c r="BK40" s="4610"/>
      <c r="BL40" s="4610"/>
      <c r="BM40" s="4610"/>
      <c r="BN40" s="4610"/>
      <c r="BO40" s="4638"/>
      <c r="BP40" s="4610"/>
      <c r="BQ40" s="4610"/>
      <c r="BR40" s="4610"/>
      <c r="BS40" s="4610"/>
      <c r="BT40" s="4638"/>
      <c r="BU40" s="4610"/>
      <c r="BV40" s="4610"/>
      <c r="BW40" s="4610"/>
      <c r="BX40" s="4610"/>
      <c r="BY40" s="4638"/>
      <c r="BZ40" s="4610"/>
      <c r="CA40" s="4610"/>
      <c r="CB40" s="4610"/>
      <c r="CC40" s="4610"/>
      <c r="CD40" s="4638"/>
      <c r="CE40" s="4610"/>
      <c r="CF40" s="4610"/>
      <c r="CG40" s="4610"/>
      <c r="CH40" s="4610"/>
      <c r="CI40" s="4638"/>
      <c r="CJ40" s="4610"/>
      <c r="CK40" s="4610"/>
      <c r="CL40" s="4610"/>
      <c r="CM40" s="4610"/>
      <c r="CN40" s="4610"/>
      <c r="CP40" s="4639"/>
      <c r="CQ40" s="4639"/>
      <c r="CR40" s="4639"/>
    </row>
    <row r="41" spans="1:98" ht="13.8" outlineLevel="1">
      <c r="A41" s="1405"/>
      <c r="B41" s="1415" t="s">
        <v>26</v>
      </c>
      <c r="C41" s="2013">
        <f>SUM(C42:C48)</f>
        <v>0</v>
      </c>
      <c r="D41" s="2013">
        <f>SUM(D42:D48)</f>
        <v>0</v>
      </c>
      <c r="E41" s="2014">
        <f>SUM(E42:E48)</f>
        <v>0</v>
      </c>
      <c r="F41" s="4449" t="e">
        <f>E41/$E$89</f>
        <v>#DIV/0!</v>
      </c>
      <c r="G41" s="1057"/>
      <c r="H41" s="2013">
        <f>SUM(H42:H48)</f>
        <v>0</v>
      </c>
      <c r="I41" s="2013">
        <f>SUM(I42:I48)</f>
        <v>0</v>
      </c>
      <c r="J41" s="2014">
        <f>SUM(J42:J48)</f>
        <v>0</v>
      </c>
      <c r="K41" s="4449" t="e">
        <f>J41/$E$89</f>
        <v>#DIV/0!</v>
      </c>
      <c r="L41" s="1057"/>
      <c r="M41" s="2013">
        <f>SUM(M42:M48)</f>
        <v>0</v>
      </c>
      <c r="N41" s="2013">
        <f>SUM(N42:N48)</f>
        <v>0</v>
      </c>
      <c r="O41" s="2014">
        <f>SUM(O42:O48)</f>
        <v>0</v>
      </c>
      <c r="P41" s="4449" t="e">
        <f>O41/$E$89</f>
        <v>#DIV/0!</v>
      </c>
      <c r="Q41" s="1057"/>
      <c r="R41" s="2013">
        <f>SUM(R42:R48)</f>
        <v>0</v>
      </c>
      <c r="S41" s="2013">
        <f>SUM(S42:S48)</f>
        <v>0</v>
      </c>
      <c r="T41" s="2014">
        <f>SUM(T42:T48)</f>
        <v>0</v>
      </c>
      <c r="U41" s="4449"/>
      <c r="V41" s="3460"/>
      <c r="W41" s="2013">
        <f>SUM(W42:W48)</f>
        <v>0</v>
      </c>
      <c r="X41" s="2013">
        <f>SUM(X42:X48)</f>
        <v>0</v>
      </c>
      <c r="Y41" s="2014">
        <f>SUM(Y42:Y48)</f>
        <v>0</v>
      </c>
      <c r="Z41" s="4449"/>
      <c r="AA41" s="3460"/>
      <c r="AB41" s="2013">
        <f>SUM(AB42:AB48)</f>
        <v>0</v>
      </c>
      <c r="AC41" s="2013">
        <f>SUM(AC42:AC48)</f>
        <v>0</v>
      </c>
      <c r="AD41" s="2014">
        <f>SUM(AD42:AD48)</f>
        <v>0</v>
      </c>
      <c r="AE41" s="4449"/>
      <c r="AF41" s="1057"/>
      <c r="AG41" s="2013">
        <f>SUM(AG42:AG48)</f>
        <v>0</v>
      </c>
      <c r="AH41" s="2013">
        <f>SUM(AH42:AH48)</f>
        <v>0</v>
      </c>
      <c r="AI41" s="2014">
        <f>SUM(AI42:AI48)</f>
        <v>0</v>
      </c>
      <c r="AJ41" s="4449"/>
      <c r="AK41" s="1057"/>
      <c r="AL41" s="2013">
        <f>SUM(AL42:AL48)</f>
        <v>0</v>
      </c>
      <c r="AM41" s="2013">
        <f>SUM(AM42:AM48)</f>
        <v>0</v>
      </c>
      <c r="AN41" s="2014">
        <f>SUM(AN42:AN48)</f>
        <v>0</v>
      </c>
      <c r="AO41" s="4449"/>
      <c r="AP41" s="1057"/>
      <c r="AQ41" s="2013">
        <f>SUM(AQ42:AQ48)</f>
        <v>0</v>
      </c>
      <c r="AR41" s="2013">
        <f>SUM(AR42:AR48)</f>
        <v>0</v>
      </c>
      <c r="AS41" s="2014">
        <f>SUM(AS42:AS48)</f>
        <v>0</v>
      </c>
      <c r="AT41" s="4449"/>
      <c r="AU41" s="1057"/>
      <c r="AV41" s="2013">
        <f>SUM(AV42:AV48)</f>
        <v>0</v>
      </c>
      <c r="AW41" s="2013">
        <f>SUM(AW42:AW48)</f>
        <v>0</v>
      </c>
      <c r="AX41" s="2014">
        <f>SUM(AX42:AX48)</f>
        <v>0</v>
      </c>
      <c r="AY41" s="4449"/>
      <c r="AZ41" s="1057"/>
      <c r="BA41" s="2013">
        <f>SUM(BA42:BA48)</f>
        <v>0</v>
      </c>
      <c r="BB41" s="2013">
        <f>SUM(BB42:BB48)</f>
        <v>0</v>
      </c>
      <c r="BC41" s="2014">
        <f>SUM(BC42:BC48)</f>
        <v>0</v>
      </c>
      <c r="BD41" s="4449"/>
      <c r="BE41" s="1057"/>
      <c r="BF41" s="2013">
        <f>SUM(BF42:BF48)</f>
        <v>0</v>
      </c>
      <c r="BG41" s="2013">
        <f>SUM(BG42:BG48)</f>
        <v>0</v>
      </c>
      <c r="BH41" s="2014">
        <f>SUM(BH42:BH48)</f>
        <v>0</v>
      </c>
      <c r="BI41" s="4449"/>
      <c r="BJ41" s="1057"/>
      <c r="BK41" s="2013">
        <f>SUM(BK42:BK48)</f>
        <v>0</v>
      </c>
      <c r="BL41" s="2013">
        <f>SUM(BL42:BL48)</f>
        <v>0</v>
      </c>
      <c r="BM41" s="2014">
        <f>SUM(BM42:BM48)</f>
        <v>0</v>
      </c>
      <c r="BN41" s="4449"/>
      <c r="BO41" s="1057"/>
      <c r="BP41" s="2013">
        <f>SUM(BP42:BP48)</f>
        <v>0</v>
      </c>
      <c r="BQ41" s="2013">
        <f>SUM(BQ42:BQ48)</f>
        <v>0</v>
      </c>
      <c r="BR41" s="2014">
        <f>SUM(BR42:BR48)</f>
        <v>0</v>
      </c>
      <c r="BS41" s="4449"/>
      <c r="BT41" s="1057"/>
      <c r="BU41" s="2013">
        <f>SUM(BU42:BU48)</f>
        <v>0</v>
      </c>
      <c r="BV41" s="2013">
        <f>SUM(BV42:BV48)</f>
        <v>0</v>
      </c>
      <c r="BW41" s="2014">
        <f>SUM(BW42:BW48)</f>
        <v>0</v>
      </c>
      <c r="BX41" s="4449"/>
      <c r="BY41" s="1057"/>
      <c r="BZ41" s="2013">
        <f>SUM(BZ42:BZ48)</f>
        <v>0</v>
      </c>
      <c r="CA41" s="2013">
        <f>SUM(CA42:CA48)</f>
        <v>0</v>
      </c>
      <c r="CB41" s="2014">
        <f>SUM(CB42:CB48)</f>
        <v>0</v>
      </c>
      <c r="CC41" s="4449"/>
      <c r="CD41" s="1057"/>
      <c r="CE41" s="2013">
        <f>SUM(CE42:CE48)</f>
        <v>0</v>
      </c>
      <c r="CF41" s="2013">
        <f>SUM(CF42:CF48)</f>
        <v>0</v>
      </c>
      <c r="CG41" s="2014">
        <f>SUM(CG42:CG48)</f>
        <v>0</v>
      </c>
      <c r="CH41" s="4449"/>
      <c r="CI41" s="1057"/>
      <c r="CJ41" s="2013">
        <f>SUM(CJ42:CJ48)</f>
        <v>0</v>
      </c>
      <c r="CK41" s="2013">
        <f>SUM(CK42:CK48)</f>
        <v>0</v>
      </c>
      <c r="CL41" s="2014">
        <f>SUM(CL42:CL48)</f>
        <v>0</v>
      </c>
      <c r="CM41" s="4449">
        <f t="shared" ref="CM41:CM49" si="94">CL41/$CL$89</f>
        <v>0</v>
      </c>
      <c r="CN41" s="2006"/>
      <c r="CP41" s="2014">
        <f>SUM(CP42:CP48)</f>
        <v>0</v>
      </c>
      <c r="CQ41" s="2014">
        <f>SUM(CQ42:CQ48)</f>
        <v>0</v>
      </c>
      <c r="CR41" s="2014"/>
    </row>
    <row r="42" spans="1:98" ht="13.8" outlineLevel="2">
      <c r="A42" s="4833"/>
      <c r="B42" s="4640" t="s">
        <v>7</v>
      </c>
      <c r="C42" s="3341"/>
      <c r="D42" s="3341"/>
      <c r="E42" s="3349">
        <f t="shared" ref="E42:E48" si="95">C42+D42</f>
        <v>0</v>
      </c>
      <c r="F42" s="4428" t="e">
        <f t="shared" ref="F42:F48" si="96">E42/$E$89</f>
        <v>#DIV/0!</v>
      </c>
      <c r="G42" s="4429"/>
      <c r="H42" s="3341"/>
      <c r="I42" s="3341"/>
      <c r="J42" s="3349">
        <f t="shared" ref="J42:J48" si="97">H42+I42</f>
        <v>0</v>
      </c>
      <c r="K42" s="4428" t="e">
        <f t="shared" ref="K42:K48" si="98">J42/J$89</f>
        <v>#DIV/0!</v>
      </c>
      <c r="L42" s="4429"/>
      <c r="M42" s="3341"/>
      <c r="N42" s="3341"/>
      <c r="O42" s="3349">
        <f t="shared" ref="O42:O48" si="99">M42+N42</f>
        <v>0</v>
      </c>
      <c r="P42" s="4428" t="e">
        <f t="shared" ref="P42:P48" si="100">O42/O$89</f>
        <v>#DIV/0!</v>
      </c>
      <c r="Q42" s="4429"/>
      <c r="R42" s="3342">
        <f t="shared" ref="R42:S48" si="101">M42+H42+C42</f>
        <v>0</v>
      </c>
      <c r="S42" s="3342">
        <f t="shared" si="101"/>
        <v>0</v>
      </c>
      <c r="T42" s="2012">
        <f t="shared" ref="T42:T48" si="102">R42+S42</f>
        <v>0</v>
      </c>
      <c r="U42" s="3462"/>
      <c r="V42" s="3462"/>
      <c r="W42" s="3342">
        <f t="shared" ref="W42:X48" si="103">AB42+AG42+AL42+AV42+BA42+BF42+BK42+BP42+BU42+BZ42+CE42+AQ42</f>
        <v>0</v>
      </c>
      <c r="X42" s="3342">
        <f t="shared" si="103"/>
        <v>0</v>
      </c>
      <c r="Y42" s="2012">
        <f t="shared" ref="Y42:Y48" si="104">W42+X42</f>
        <v>0</v>
      </c>
      <c r="Z42" s="3462"/>
      <c r="AA42" s="3462"/>
      <c r="AB42" s="3341"/>
      <c r="AC42" s="3341"/>
      <c r="AD42" s="3349">
        <f t="shared" ref="AD42:AD48" si="105">AB42+AC42</f>
        <v>0</v>
      </c>
      <c r="AE42" s="4428" t="e">
        <f t="shared" ref="AE42:AE49" si="106">AD42/AD$89</f>
        <v>#DIV/0!</v>
      </c>
      <c r="AF42" s="4429"/>
      <c r="AG42" s="3341"/>
      <c r="AH42" s="3341"/>
      <c r="AI42" s="3349">
        <f t="shared" ref="AI42:AI48" si="107">AG42+AH42</f>
        <v>0</v>
      </c>
      <c r="AJ42" s="4428" t="e">
        <f t="shared" ref="AJ42:AJ49" si="108">AI42/AI$89</f>
        <v>#DIV/0!</v>
      </c>
      <c r="AK42" s="4429"/>
      <c r="AL42" s="3341"/>
      <c r="AM42" s="3341"/>
      <c r="AN42" s="3349">
        <f t="shared" ref="AN42:AN48" si="109">AL42+AM42</f>
        <v>0</v>
      </c>
      <c r="AO42" s="4428" t="e">
        <f t="shared" ref="AO42:AO49" si="110">AN42/AN$89</f>
        <v>#DIV/0!</v>
      </c>
      <c r="AP42" s="4429"/>
      <c r="AQ42" s="3341"/>
      <c r="AR42" s="3341"/>
      <c r="AS42" s="3349">
        <f t="shared" ref="AS42:AS48" si="111">AQ42+AR42</f>
        <v>0</v>
      </c>
      <c r="AT42" s="4428" t="e">
        <f t="shared" ref="AT42:AT49" si="112">AS42/AS$89</f>
        <v>#DIV/0!</v>
      </c>
      <c r="AU42" s="4429"/>
      <c r="AV42" s="3341"/>
      <c r="AW42" s="3341"/>
      <c r="AX42" s="3349">
        <f t="shared" ref="AX42:AX48" si="113">AV42+AW42</f>
        <v>0</v>
      </c>
      <c r="AY42" s="4428">
        <f t="shared" ref="AY42:AY49" si="114">AX42/AX$89</f>
        <v>0</v>
      </c>
      <c r="AZ42" s="4429"/>
      <c r="BA42" s="3341"/>
      <c r="BB42" s="3341"/>
      <c r="BC42" s="3349">
        <f t="shared" ref="BC42:BC48" si="115">BA42+BB42</f>
        <v>0</v>
      </c>
      <c r="BD42" s="4428">
        <f t="shared" ref="BD42:BD49" si="116">BC42/BC$89</f>
        <v>0</v>
      </c>
      <c r="BE42" s="4429"/>
      <c r="BF42" s="3341"/>
      <c r="BG42" s="3341"/>
      <c r="BH42" s="3349">
        <f t="shared" ref="BH42:BH48" si="117">BF42+BG42</f>
        <v>0</v>
      </c>
      <c r="BI42" s="4428" t="e">
        <f t="shared" ref="BI42:BI49" si="118">BH42/BH$89</f>
        <v>#DIV/0!</v>
      </c>
      <c r="BJ42" s="4429"/>
      <c r="BK42" s="3341"/>
      <c r="BL42" s="3341"/>
      <c r="BM42" s="3349">
        <f t="shared" ref="BM42:BM48" si="119">BK42+BL42</f>
        <v>0</v>
      </c>
      <c r="BN42" s="4428" t="e">
        <f t="shared" ref="BN42:BN49" si="120">BM42/BM$89</f>
        <v>#DIV/0!</v>
      </c>
      <c r="BO42" s="4429"/>
      <c r="BP42" s="3341"/>
      <c r="BQ42" s="3341"/>
      <c r="BR42" s="3349">
        <f t="shared" ref="BR42:BR48" si="121">BP42+BQ42</f>
        <v>0</v>
      </c>
      <c r="BS42" s="4428" t="e">
        <f t="shared" ref="BS42:BS49" si="122">BR42/BR$89</f>
        <v>#DIV/0!</v>
      </c>
      <c r="BT42" s="4429"/>
      <c r="BU42" s="3341"/>
      <c r="BV42" s="3341"/>
      <c r="BW42" s="3349">
        <f t="shared" ref="BW42:BW48" si="123">BU42+BV42</f>
        <v>0</v>
      </c>
      <c r="BX42" s="4428" t="e">
        <f t="shared" ref="BX42:BX49" si="124">BW42/BW$89</f>
        <v>#DIV/0!</v>
      </c>
      <c r="BY42" s="4429"/>
      <c r="BZ42" s="3341"/>
      <c r="CA42" s="3341"/>
      <c r="CB42" s="3349">
        <f t="shared" ref="CB42:CB48" si="125">BZ42+CA42</f>
        <v>0</v>
      </c>
      <c r="CC42" s="4428" t="e">
        <f t="shared" ref="CC42:CC49" si="126">CB42/CB$89</f>
        <v>#DIV/0!</v>
      </c>
      <c r="CD42" s="4429"/>
      <c r="CE42" s="3341"/>
      <c r="CF42" s="3341"/>
      <c r="CG42" s="3349">
        <f t="shared" ref="CG42:CG48" si="127">CE42+CF42</f>
        <v>0</v>
      </c>
      <c r="CH42" s="4428" t="e">
        <f t="shared" ref="CH42:CH49" si="128">CG42/CG$89</f>
        <v>#DIV/0!</v>
      </c>
      <c r="CI42" s="4429"/>
      <c r="CJ42" s="3341">
        <f t="shared" ref="CJ42:CK48" si="129">C42+H42+M42+W42</f>
        <v>0</v>
      </c>
      <c r="CK42" s="3341">
        <f t="shared" si="129"/>
        <v>0</v>
      </c>
      <c r="CL42" s="2012">
        <f t="shared" ref="CL42:CL48" si="130">CJ42+CK42*1</f>
        <v>0</v>
      </c>
      <c r="CM42" s="4428">
        <f t="shared" si="94"/>
        <v>0</v>
      </c>
      <c r="CN42" s="4432"/>
      <c r="CP42" s="2012">
        <f t="shared" ref="CP42:CQ48" si="131">CN42+CO42*1</f>
        <v>0</v>
      </c>
      <c r="CQ42" s="2012">
        <f t="shared" si="131"/>
        <v>0</v>
      </c>
      <c r="CR42" s="4614"/>
    </row>
    <row r="43" spans="1:98" ht="13.8" outlineLevel="2">
      <c r="A43" s="4833"/>
      <c r="B43" s="4640" t="s">
        <v>27</v>
      </c>
      <c r="C43" s="3341"/>
      <c r="D43" s="3341"/>
      <c r="E43" s="3349">
        <f t="shared" si="95"/>
        <v>0</v>
      </c>
      <c r="F43" s="4428" t="e">
        <f t="shared" si="96"/>
        <v>#DIV/0!</v>
      </c>
      <c r="G43" s="4429"/>
      <c r="H43" s="3341"/>
      <c r="I43" s="3341"/>
      <c r="J43" s="3349">
        <f t="shared" si="97"/>
        <v>0</v>
      </c>
      <c r="K43" s="4428" t="e">
        <f t="shared" si="98"/>
        <v>#DIV/0!</v>
      </c>
      <c r="L43" s="4429"/>
      <c r="M43" s="3341"/>
      <c r="N43" s="3341"/>
      <c r="O43" s="3349">
        <f t="shared" si="99"/>
        <v>0</v>
      </c>
      <c r="P43" s="4428" t="e">
        <f t="shared" si="100"/>
        <v>#DIV/0!</v>
      </c>
      <c r="Q43" s="4429"/>
      <c r="R43" s="3342">
        <f t="shared" si="101"/>
        <v>0</v>
      </c>
      <c r="S43" s="3342">
        <f t="shared" si="101"/>
        <v>0</v>
      </c>
      <c r="T43" s="2012">
        <f t="shared" si="102"/>
        <v>0</v>
      </c>
      <c r="U43" s="3462"/>
      <c r="V43" s="3462"/>
      <c r="W43" s="3342">
        <f t="shared" si="103"/>
        <v>0</v>
      </c>
      <c r="X43" s="3342">
        <f t="shared" si="103"/>
        <v>0</v>
      </c>
      <c r="Y43" s="2012">
        <f t="shared" si="104"/>
        <v>0</v>
      </c>
      <c r="Z43" s="3462"/>
      <c r="AA43" s="3462"/>
      <c r="AB43" s="3341"/>
      <c r="AC43" s="3341"/>
      <c r="AD43" s="3349">
        <f t="shared" si="105"/>
        <v>0</v>
      </c>
      <c r="AE43" s="4428" t="e">
        <f t="shared" si="106"/>
        <v>#DIV/0!</v>
      </c>
      <c r="AF43" s="4429"/>
      <c r="AG43" s="3341"/>
      <c r="AH43" s="3341"/>
      <c r="AI43" s="3349">
        <f t="shared" si="107"/>
        <v>0</v>
      </c>
      <c r="AJ43" s="4428" t="e">
        <f t="shared" si="108"/>
        <v>#DIV/0!</v>
      </c>
      <c r="AK43" s="4429"/>
      <c r="AL43" s="3341"/>
      <c r="AM43" s="3341"/>
      <c r="AN43" s="3349">
        <f t="shared" si="109"/>
        <v>0</v>
      </c>
      <c r="AO43" s="4428" t="e">
        <f t="shared" si="110"/>
        <v>#DIV/0!</v>
      </c>
      <c r="AP43" s="4429"/>
      <c r="AQ43" s="3341"/>
      <c r="AR43" s="3341"/>
      <c r="AS43" s="3349">
        <f t="shared" si="111"/>
        <v>0</v>
      </c>
      <c r="AT43" s="4428" t="e">
        <f t="shared" si="112"/>
        <v>#DIV/0!</v>
      </c>
      <c r="AU43" s="4429"/>
      <c r="AV43" s="3341"/>
      <c r="AW43" s="3341"/>
      <c r="AX43" s="3349">
        <f t="shared" si="113"/>
        <v>0</v>
      </c>
      <c r="AY43" s="4428">
        <f t="shared" si="114"/>
        <v>0</v>
      </c>
      <c r="AZ43" s="4429"/>
      <c r="BA43" s="3341"/>
      <c r="BB43" s="3341"/>
      <c r="BC43" s="3349">
        <f t="shared" si="115"/>
        <v>0</v>
      </c>
      <c r="BD43" s="4428">
        <f t="shared" si="116"/>
        <v>0</v>
      </c>
      <c r="BE43" s="4429"/>
      <c r="BF43" s="3341"/>
      <c r="BG43" s="3341"/>
      <c r="BH43" s="3349">
        <f t="shared" si="117"/>
        <v>0</v>
      </c>
      <c r="BI43" s="4428" t="e">
        <f t="shared" si="118"/>
        <v>#DIV/0!</v>
      </c>
      <c r="BJ43" s="4429"/>
      <c r="BK43" s="3341"/>
      <c r="BL43" s="3341"/>
      <c r="BM43" s="3349">
        <f t="shared" si="119"/>
        <v>0</v>
      </c>
      <c r="BN43" s="4428" t="e">
        <f t="shared" si="120"/>
        <v>#DIV/0!</v>
      </c>
      <c r="BO43" s="4429"/>
      <c r="BP43" s="3341"/>
      <c r="BQ43" s="3341"/>
      <c r="BR43" s="3349">
        <f t="shared" si="121"/>
        <v>0</v>
      </c>
      <c r="BS43" s="4428" t="e">
        <f t="shared" si="122"/>
        <v>#DIV/0!</v>
      </c>
      <c r="BT43" s="4429"/>
      <c r="BU43" s="3341"/>
      <c r="BV43" s="3341"/>
      <c r="BW43" s="3349">
        <f t="shared" si="123"/>
        <v>0</v>
      </c>
      <c r="BX43" s="4428" t="e">
        <f t="shared" si="124"/>
        <v>#DIV/0!</v>
      </c>
      <c r="BY43" s="4429"/>
      <c r="BZ43" s="3341"/>
      <c r="CA43" s="3341"/>
      <c r="CB43" s="3349">
        <f t="shared" si="125"/>
        <v>0</v>
      </c>
      <c r="CC43" s="4428" t="e">
        <f t="shared" si="126"/>
        <v>#DIV/0!</v>
      </c>
      <c r="CD43" s="4429"/>
      <c r="CE43" s="3341"/>
      <c r="CF43" s="3341"/>
      <c r="CG43" s="3349">
        <f t="shared" si="127"/>
        <v>0</v>
      </c>
      <c r="CH43" s="4428" t="e">
        <f t="shared" si="128"/>
        <v>#DIV/0!</v>
      </c>
      <c r="CI43" s="4429"/>
      <c r="CJ43" s="3341">
        <f t="shared" si="129"/>
        <v>0</v>
      </c>
      <c r="CK43" s="3341">
        <f t="shared" si="129"/>
        <v>0</v>
      </c>
      <c r="CL43" s="2012">
        <f t="shared" si="130"/>
        <v>0</v>
      </c>
      <c r="CM43" s="4428">
        <f t="shared" si="94"/>
        <v>0</v>
      </c>
      <c r="CN43" s="4432"/>
      <c r="CP43" s="2012">
        <f t="shared" si="131"/>
        <v>0</v>
      </c>
      <c r="CQ43" s="2012">
        <f t="shared" si="131"/>
        <v>0</v>
      </c>
      <c r="CR43" s="4614"/>
    </row>
    <row r="44" spans="1:98" ht="13.8" outlineLevel="2">
      <c r="A44" s="4833"/>
      <c r="B44" s="4632" t="s">
        <v>28</v>
      </c>
      <c r="C44" s="3341"/>
      <c r="D44" s="3341"/>
      <c r="E44" s="3349">
        <f t="shared" si="95"/>
        <v>0</v>
      </c>
      <c r="F44" s="4428" t="e">
        <f t="shared" si="96"/>
        <v>#DIV/0!</v>
      </c>
      <c r="G44" s="4429"/>
      <c r="H44" s="3341"/>
      <c r="I44" s="3341"/>
      <c r="J44" s="3349">
        <f t="shared" si="97"/>
        <v>0</v>
      </c>
      <c r="K44" s="4428" t="e">
        <f t="shared" si="98"/>
        <v>#DIV/0!</v>
      </c>
      <c r="L44" s="4429"/>
      <c r="M44" s="3341"/>
      <c r="N44" s="3341"/>
      <c r="O44" s="3349">
        <f t="shared" si="99"/>
        <v>0</v>
      </c>
      <c r="P44" s="4428" t="e">
        <f t="shared" si="100"/>
        <v>#DIV/0!</v>
      </c>
      <c r="Q44" s="4429"/>
      <c r="R44" s="3342">
        <f t="shared" si="101"/>
        <v>0</v>
      </c>
      <c r="S44" s="3342">
        <f t="shared" si="101"/>
        <v>0</v>
      </c>
      <c r="T44" s="2012">
        <f t="shared" si="102"/>
        <v>0</v>
      </c>
      <c r="U44" s="3462"/>
      <c r="V44" s="3462"/>
      <c r="W44" s="3342">
        <f t="shared" si="103"/>
        <v>0</v>
      </c>
      <c r="X44" s="3342">
        <f t="shared" si="103"/>
        <v>0</v>
      </c>
      <c r="Y44" s="2012">
        <f t="shared" si="104"/>
        <v>0</v>
      </c>
      <c r="Z44" s="3462"/>
      <c r="AA44" s="3462"/>
      <c r="AB44" s="3341"/>
      <c r="AC44" s="3341"/>
      <c r="AD44" s="3349">
        <f t="shared" si="105"/>
        <v>0</v>
      </c>
      <c r="AE44" s="4428" t="e">
        <f t="shared" si="106"/>
        <v>#DIV/0!</v>
      </c>
      <c r="AF44" s="4429"/>
      <c r="AG44" s="3341"/>
      <c r="AH44" s="3341"/>
      <c r="AI44" s="3349">
        <f t="shared" si="107"/>
        <v>0</v>
      </c>
      <c r="AJ44" s="4428" t="e">
        <f t="shared" si="108"/>
        <v>#DIV/0!</v>
      </c>
      <c r="AK44" s="4429"/>
      <c r="AL44" s="3341"/>
      <c r="AM44" s="3341"/>
      <c r="AN44" s="3349">
        <f t="shared" si="109"/>
        <v>0</v>
      </c>
      <c r="AO44" s="4428" t="e">
        <f t="shared" si="110"/>
        <v>#DIV/0!</v>
      </c>
      <c r="AP44" s="4429"/>
      <c r="AQ44" s="3341"/>
      <c r="AR44" s="3341"/>
      <c r="AS44" s="3349">
        <f t="shared" si="111"/>
        <v>0</v>
      </c>
      <c r="AT44" s="4428" t="e">
        <f t="shared" si="112"/>
        <v>#DIV/0!</v>
      </c>
      <c r="AU44" s="4429"/>
      <c r="AV44" s="3341"/>
      <c r="AW44" s="3341"/>
      <c r="AX44" s="3349">
        <f t="shared" si="113"/>
        <v>0</v>
      </c>
      <c r="AY44" s="4428">
        <f t="shared" si="114"/>
        <v>0</v>
      </c>
      <c r="AZ44" s="4429"/>
      <c r="BA44" s="3341"/>
      <c r="BB44" s="3341"/>
      <c r="BC44" s="3349">
        <f t="shared" si="115"/>
        <v>0</v>
      </c>
      <c r="BD44" s="4428">
        <f t="shared" si="116"/>
        <v>0</v>
      </c>
      <c r="BE44" s="4429"/>
      <c r="BF44" s="3341"/>
      <c r="BG44" s="3341"/>
      <c r="BH44" s="3349">
        <f t="shared" si="117"/>
        <v>0</v>
      </c>
      <c r="BI44" s="4428" t="e">
        <f t="shared" si="118"/>
        <v>#DIV/0!</v>
      </c>
      <c r="BJ44" s="4429"/>
      <c r="BK44" s="3341"/>
      <c r="BL44" s="3341"/>
      <c r="BM44" s="3349">
        <f t="shared" si="119"/>
        <v>0</v>
      </c>
      <c r="BN44" s="4428" t="e">
        <f t="shared" si="120"/>
        <v>#DIV/0!</v>
      </c>
      <c r="BO44" s="4429"/>
      <c r="BP44" s="3341"/>
      <c r="BQ44" s="3341"/>
      <c r="BR44" s="3349">
        <f t="shared" si="121"/>
        <v>0</v>
      </c>
      <c r="BS44" s="4428" t="e">
        <f t="shared" si="122"/>
        <v>#DIV/0!</v>
      </c>
      <c r="BT44" s="4429"/>
      <c r="BU44" s="3341"/>
      <c r="BV44" s="3341"/>
      <c r="BW44" s="3349">
        <f t="shared" si="123"/>
        <v>0</v>
      </c>
      <c r="BX44" s="4428" t="e">
        <f t="shared" si="124"/>
        <v>#DIV/0!</v>
      </c>
      <c r="BY44" s="4429"/>
      <c r="BZ44" s="3341"/>
      <c r="CA44" s="3341"/>
      <c r="CB44" s="3349">
        <f t="shared" si="125"/>
        <v>0</v>
      </c>
      <c r="CC44" s="4428" t="e">
        <f t="shared" si="126"/>
        <v>#DIV/0!</v>
      </c>
      <c r="CD44" s="4429"/>
      <c r="CE44" s="3341"/>
      <c r="CF44" s="3341"/>
      <c r="CG44" s="3349">
        <f t="shared" si="127"/>
        <v>0</v>
      </c>
      <c r="CH44" s="4428" t="e">
        <f t="shared" si="128"/>
        <v>#DIV/0!</v>
      </c>
      <c r="CI44" s="4429"/>
      <c r="CJ44" s="3341">
        <f t="shared" si="129"/>
        <v>0</v>
      </c>
      <c r="CK44" s="3341">
        <f t="shared" si="129"/>
        <v>0</v>
      </c>
      <c r="CL44" s="2012">
        <f t="shared" si="130"/>
        <v>0</v>
      </c>
      <c r="CM44" s="4428">
        <f t="shared" si="94"/>
        <v>0</v>
      </c>
      <c r="CN44" s="4432"/>
      <c r="CP44" s="2012">
        <f t="shared" si="131"/>
        <v>0</v>
      </c>
      <c r="CQ44" s="2012">
        <f t="shared" si="131"/>
        <v>0</v>
      </c>
      <c r="CR44" s="4614"/>
    </row>
    <row r="45" spans="1:98" ht="13.8" outlineLevel="2">
      <c r="A45" s="4833"/>
      <c r="B45" s="4640" t="s">
        <v>8</v>
      </c>
      <c r="C45" s="3341"/>
      <c r="D45" s="3341"/>
      <c r="E45" s="3349">
        <f t="shared" si="95"/>
        <v>0</v>
      </c>
      <c r="F45" s="4428" t="e">
        <f t="shared" si="96"/>
        <v>#DIV/0!</v>
      </c>
      <c r="G45" s="4429"/>
      <c r="H45" s="3341"/>
      <c r="I45" s="3341"/>
      <c r="J45" s="3349">
        <f t="shared" si="97"/>
        <v>0</v>
      </c>
      <c r="K45" s="4428" t="e">
        <f t="shared" si="98"/>
        <v>#DIV/0!</v>
      </c>
      <c r="L45" s="4429"/>
      <c r="M45" s="3341"/>
      <c r="N45" s="3341"/>
      <c r="O45" s="3349">
        <f t="shared" si="99"/>
        <v>0</v>
      </c>
      <c r="P45" s="4428" t="e">
        <f t="shared" si="100"/>
        <v>#DIV/0!</v>
      </c>
      <c r="Q45" s="4429"/>
      <c r="R45" s="3342">
        <f t="shared" si="101"/>
        <v>0</v>
      </c>
      <c r="S45" s="3342">
        <f t="shared" si="101"/>
        <v>0</v>
      </c>
      <c r="T45" s="2012">
        <f t="shared" si="102"/>
        <v>0</v>
      </c>
      <c r="U45" s="3462"/>
      <c r="V45" s="3462"/>
      <c r="W45" s="3342">
        <f t="shared" si="103"/>
        <v>0</v>
      </c>
      <c r="X45" s="3342">
        <f t="shared" si="103"/>
        <v>0</v>
      </c>
      <c r="Y45" s="2012">
        <f t="shared" si="104"/>
        <v>0</v>
      </c>
      <c r="Z45" s="3462"/>
      <c r="AA45" s="3462"/>
      <c r="AB45" s="3341"/>
      <c r="AC45" s="3341"/>
      <c r="AD45" s="3349">
        <f t="shared" si="105"/>
        <v>0</v>
      </c>
      <c r="AE45" s="4428" t="e">
        <f t="shared" si="106"/>
        <v>#DIV/0!</v>
      </c>
      <c r="AF45" s="4429"/>
      <c r="AG45" s="3341"/>
      <c r="AH45" s="3341"/>
      <c r="AI45" s="3349">
        <f t="shared" si="107"/>
        <v>0</v>
      </c>
      <c r="AJ45" s="4428" t="e">
        <f t="shared" si="108"/>
        <v>#DIV/0!</v>
      </c>
      <c r="AK45" s="4429"/>
      <c r="AL45" s="3341"/>
      <c r="AM45" s="3341"/>
      <c r="AN45" s="3349">
        <f t="shared" si="109"/>
        <v>0</v>
      </c>
      <c r="AO45" s="4428" t="e">
        <f t="shared" si="110"/>
        <v>#DIV/0!</v>
      </c>
      <c r="AP45" s="4429"/>
      <c r="AQ45" s="3341"/>
      <c r="AR45" s="3341"/>
      <c r="AS45" s="3349">
        <f t="shared" si="111"/>
        <v>0</v>
      </c>
      <c r="AT45" s="4428" t="e">
        <f t="shared" si="112"/>
        <v>#DIV/0!</v>
      </c>
      <c r="AU45" s="4429"/>
      <c r="AV45" s="3341"/>
      <c r="AW45" s="3341"/>
      <c r="AX45" s="3349">
        <f t="shared" si="113"/>
        <v>0</v>
      </c>
      <c r="AY45" s="4428">
        <f t="shared" si="114"/>
        <v>0</v>
      </c>
      <c r="AZ45" s="4429"/>
      <c r="BA45" s="3341"/>
      <c r="BB45" s="3341"/>
      <c r="BC45" s="3349">
        <f t="shared" si="115"/>
        <v>0</v>
      </c>
      <c r="BD45" s="4428">
        <f t="shared" si="116"/>
        <v>0</v>
      </c>
      <c r="BE45" s="4429"/>
      <c r="BF45" s="3341"/>
      <c r="BG45" s="3341"/>
      <c r="BH45" s="3349">
        <f t="shared" si="117"/>
        <v>0</v>
      </c>
      <c r="BI45" s="4428" t="e">
        <f t="shared" si="118"/>
        <v>#DIV/0!</v>
      </c>
      <c r="BJ45" s="4429"/>
      <c r="BK45" s="3341"/>
      <c r="BL45" s="3341"/>
      <c r="BM45" s="3349">
        <f t="shared" si="119"/>
        <v>0</v>
      </c>
      <c r="BN45" s="4428" t="e">
        <f t="shared" si="120"/>
        <v>#DIV/0!</v>
      </c>
      <c r="BO45" s="4429"/>
      <c r="BP45" s="3341"/>
      <c r="BQ45" s="3341"/>
      <c r="BR45" s="3349">
        <f t="shared" si="121"/>
        <v>0</v>
      </c>
      <c r="BS45" s="4428" t="e">
        <f t="shared" si="122"/>
        <v>#DIV/0!</v>
      </c>
      <c r="BT45" s="4429"/>
      <c r="BU45" s="3341"/>
      <c r="BV45" s="3341"/>
      <c r="BW45" s="3349">
        <f t="shared" si="123"/>
        <v>0</v>
      </c>
      <c r="BX45" s="4428" t="e">
        <f t="shared" si="124"/>
        <v>#DIV/0!</v>
      </c>
      <c r="BY45" s="4429"/>
      <c r="BZ45" s="3341"/>
      <c r="CA45" s="3341"/>
      <c r="CB45" s="3349">
        <f t="shared" si="125"/>
        <v>0</v>
      </c>
      <c r="CC45" s="4428" t="e">
        <f t="shared" si="126"/>
        <v>#DIV/0!</v>
      </c>
      <c r="CD45" s="4429"/>
      <c r="CE45" s="3341"/>
      <c r="CF45" s="3341"/>
      <c r="CG45" s="3349">
        <f t="shared" si="127"/>
        <v>0</v>
      </c>
      <c r="CH45" s="4428" t="e">
        <f t="shared" si="128"/>
        <v>#DIV/0!</v>
      </c>
      <c r="CI45" s="4429"/>
      <c r="CJ45" s="3341">
        <f t="shared" si="129"/>
        <v>0</v>
      </c>
      <c r="CK45" s="3341">
        <f t="shared" si="129"/>
        <v>0</v>
      </c>
      <c r="CL45" s="2012">
        <f t="shared" si="130"/>
        <v>0</v>
      </c>
      <c r="CM45" s="4428">
        <f t="shared" si="94"/>
        <v>0</v>
      </c>
      <c r="CN45" s="4432"/>
      <c r="CP45" s="2012">
        <f t="shared" si="131"/>
        <v>0</v>
      </c>
      <c r="CQ45" s="2012">
        <f t="shared" si="131"/>
        <v>0</v>
      </c>
      <c r="CR45" s="4614"/>
    </row>
    <row r="46" spans="1:98" ht="13.8" outlineLevel="2">
      <c r="A46" s="4833"/>
      <c r="B46" s="4640" t="s">
        <v>29</v>
      </c>
      <c r="C46" s="3341"/>
      <c r="D46" s="3341"/>
      <c r="E46" s="3349">
        <f t="shared" si="95"/>
        <v>0</v>
      </c>
      <c r="F46" s="4428" t="e">
        <f t="shared" si="96"/>
        <v>#DIV/0!</v>
      </c>
      <c r="G46" s="4429"/>
      <c r="H46" s="3341"/>
      <c r="I46" s="3341"/>
      <c r="J46" s="3349">
        <f t="shared" si="97"/>
        <v>0</v>
      </c>
      <c r="K46" s="4428" t="e">
        <f t="shared" si="98"/>
        <v>#DIV/0!</v>
      </c>
      <c r="L46" s="4429"/>
      <c r="M46" s="3341"/>
      <c r="N46" s="3341"/>
      <c r="O46" s="3349">
        <f t="shared" si="99"/>
        <v>0</v>
      </c>
      <c r="P46" s="4428" t="e">
        <f t="shared" si="100"/>
        <v>#DIV/0!</v>
      </c>
      <c r="Q46" s="4429"/>
      <c r="R46" s="3342">
        <f t="shared" si="101"/>
        <v>0</v>
      </c>
      <c r="S46" s="3342">
        <f t="shared" si="101"/>
        <v>0</v>
      </c>
      <c r="T46" s="2012">
        <f t="shared" si="102"/>
        <v>0</v>
      </c>
      <c r="U46" s="3462"/>
      <c r="V46" s="3462"/>
      <c r="W46" s="3342">
        <f t="shared" si="103"/>
        <v>0</v>
      </c>
      <c r="X46" s="3342">
        <f t="shared" si="103"/>
        <v>0</v>
      </c>
      <c r="Y46" s="2012">
        <f t="shared" si="104"/>
        <v>0</v>
      </c>
      <c r="Z46" s="3462"/>
      <c r="AA46" s="3462"/>
      <c r="AB46" s="3341"/>
      <c r="AC46" s="3341"/>
      <c r="AD46" s="3349">
        <f t="shared" si="105"/>
        <v>0</v>
      </c>
      <c r="AE46" s="4428" t="e">
        <f t="shared" si="106"/>
        <v>#DIV/0!</v>
      </c>
      <c r="AF46" s="4429"/>
      <c r="AG46" s="3341"/>
      <c r="AH46" s="3341"/>
      <c r="AI46" s="3349">
        <f t="shared" si="107"/>
        <v>0</v>
      </c>
      <c r="AJ46" s="4428" t="e">
        <f t="shared" si="108"/>
        <v>#DIV/0!</v>
      </c>
      <c r="AK46" s="4429"/>
      <c r="AL46" s="3341"/>
      <c r="AM46" s="3341"/>
      <c r="AN46" s="3349">
        <f t="shared" si="109"/>
        <v>0</v>
      </c>
      <c r="AO46" s="4428" t="e">
        <f t="shared" si="110"/>
        <v>#DIV/0!</v>
      </c>
      <c r="AP46" s="4429"/>
      <c r="AQ46" s="3341"/>
      <c r="AR46" s="3341"/>
      <c r="AS46" s="3349">
        <f t="shared" si="111"/>
        <v>0</v>
      </c>
      <c r="AT46" s="4428" t="e">
        <f t="shared" si="112"/>
        <v>#DIV/0!</v>
      </c>
      <c r="AU46" s="4429"/>
      <c r="AV46" s="3341"/>
      <c r="AW46" s="3341"/>
      <c r="AX46" s="3349">
        <f t="shared" si="113"/>
        <v>0</v>
      </c>
      <c r="AY46" s="4428">
        <f t="shared" si="114"/>
        <v>0</v>
      </c>
      <c r="AZ46" s="4429"/>
      <c r="BA46" s="3341"/>
      <c r="BB46" s="3341"/>
      <c r="BC46" s="3349">
        <f t="shared" si="115"/>
        <v>0</v>
      </c>
      <c r="BD46" s="4428">
        <f t="shared" si="116"/>
        <v>0</v>
      </c>
      <c r="BE46" s="4429"/>
      <c r="BF46" s="3341"/>
      <c r="BG46" s="3341"/>
      <c r="BH46" s="3349">
        <f t="shared" si="117"/>
        <v>0</v>
      </c>
      <c r="BI46" s="4428" t="e">
        <f t="shared" si="118"/>
        <v>#DIV/0!</v>
      </c>
      <c r="BJ46" s="4429"/>
      <c r="BK46" s="3341"/>
      <c r="BL46" s="3341"/>
      <c r="BM46" s="3349">
        <f t="shared" si="119"/>
        <v>0</v>
      </c>
      <c r="BN46" s="4428" t="e">
        <f t="shared" si="120"/>
        <v>#DIV/0!</v>
      </c>
      <c r="BO46" s="4429"/>
      <c r="BP46" s="3341"/>
      <c r="BQ46" s="3341"/>
      <c r="BR46" s="3349">
        <f t="shared" si="121"/>
        <v>0</v>
      </c>
      <c r="BS46" s="4428" t="e">
        <f t="shared" si="122"/>
        <v>#DIV/0!</v>
      </c>
      <c r="BT46" s="4429"/>
      <c r="BU46" s="3341"/>
      <c r="BV46" s="3341"/>
      <c r="BW46" s="3349">
        <f t="shared" si="123"/>
        <v>0</v>
      </c>
      <c r="BX46" s="4428" t="e">
        <f t="shared" si="124"/>
        <v>#DIV/0!</v>
      </c>
      <c r="BY46" s="4429"/>
      <c r="BZ46" s="3341"/>
      <c r="CA46" s="3341"/>
      <c r="CB46" s="3349">
        <f t="shared" si="125"/>
        <v>0</v>
      </c>
      <c r="CC46" s="4428" t="e">
        <f t="shared" si="126"/>
        <v>#DIV/0!</v>
      </c>
      <c r="CD46" s="4429"/>
      <c r="CE46" s="3341"/>
      <c r="CF46" s="3341"/>
      <c r="CG46" s="3349">
        <f t="shared" si="127"/>
        <v>0</v>
      </c>
      <c r="CH46" s="4428" t="e">
        <f t="shared" si="128"/>
        <v>#DIV/0!</v>
      </c>
      <c r="CI46" s="4429"/>
      <c r="CJ46" s="3341">
        <f t="shared" si="129"/>
        <v>0</v>
      </c>
      <c r="CK46" s="3341">
        <f t="shared" si="129"/>
        <v>0</v>
      </c>
      <c r="CL46" s="2012">
        <f t="shared" si="130"/>
        <v>0</v>
      </c>
      <c r="CM46" s="4428">
        <f t="shared" si="94"/>
        <v>0</v>
      </c>
      <c r="CN46" s="4432"/>
      <c r="CP46" s="2012">
        <f t="shared" si="131"/>
        <v>0</v>
      </c>
      <c r="CQ46" s="2012">
        <f t="shared" si="131"/>
        <v>0</v>
      </c>
      <c r="CR46" s="4614"/>
    </row>
    <row r="47" spans="1:98" ht="13.8" outlineLevel="2">
      <c r="A47" s="4833"/>
      <c r="B47" s="4640" t="s">
        <v>30</v>
      </c>
      <c r="C47" s="3341"/>
      <c r="D47" s="3341"/>
      <c r="E47" s="3349">
        <f t="shared" si="95"/>
        <v>0</v>
      </c>
      <c r="F47" s="4428" t="e">
        <f t="shared" si="96"/>
        <v>#DIV/0!</v>
      </c>
      <c r="G47" s="4429"/>
      <c r="H47" s="3341"/>
      <c r="I47" s="3341"/>
      <c r="J47" s="3349">
        <f t="shared" si="97"/>
        <v>0</v>
      </c>
      <c r="K47" s="4428" t="e">
        <f t="shared" si="98"/>
        <v>#DIV/0!</v>
      </c>
      <c r="L47" s="4429"/>
      <c r="M47" s="3341"/>
      <c r="N47" s="3341"/>
      <c r="O47" s="3349">
        <f t="shared" si="99"/>
        <v>0</v>
      </c>
      <c r="P47" s="4428" t="e">
        <f t="shared" si="100"/>
        <v>#DIV/0!</v>
      </c>
      <c r="Q47" s="4429"/>
      <c r="R47" s="3342">
        <f t="shared" si="101"/>
        <v>0</v>
      </c>
      <c r="S47" s="3342">
        <f t="shared" si="101"/>
        <v>0</v>
      </c>
      <c r="T47" s="2012">
        <f t="shared" si="102"/>
        <v>0</v>
      </c>
      <c r="U47" s="3462"/>
      <c r="V47" s="3462"/>
      <c r="W47" s="3342">
        <f t="shared" si="103"/>
        <v>0</v>
      </c>
      <c r="X47" s="3342">
        <f t="shared" si="103"/>
        <v>0</v>
      </c>
      <c r="Y47" s="2012">
        <f t="shared" si="104"/>
        <v>0</v>
      </c>
      <c r="Z47" s="3462"/>
      <c r="AA47" s="3462"/>
      <c r="AB47" s="3341"/>
      <c r="AC47" s="3341"/>
      <c r="AD47" s="3349">
        <f t="shared" si="105"/>
        <v>0</v>
      </c>
      <c r="AE47" s="4428" t="e">
        <f t="shared" si="106"/>
        <v>#DIV/0!</v>
      </c>
      <c r="AF47" s="4429"/>
      <c r="AG47" s="3341"/>
      <c r="AH47" s="3341"/>
      <c r="AI47" s="3349">
        <f t="shared" si="107"/>
        <v>0</v>
      </c>
      <c r="AJ47" s="4428" t="e">
        <f t="shared" si="108"/>
        <v>#DIV/0!</v>
      </c>
      <c r="AK47" s="4429"/>
      <c r="AL47" s="3341"/>
      <c r="AM47" s="3341"/>
      <c r="AN47" s="3349">
        <f t="shared" si="109"/>
        <v>0</v>
      </c>
      <c r="AO47" s="4428" t="e">
        <f t="shared" si="110"/>
        <v>#DIV/0!</v>
      </c>
      <c r="AP47" s="4429"/>
      <c r="AQ47" s="3341"/>
      <c r="AR47" s="3341"/>
      <c r="AS47" s="3349">
        <f t="shared" si="111"/>
        <v>0</v>
      </c>
      <c r="AT47" s="4428" t="e">
        <f t="shared" si="112"/>
        <v>#DIV/0!</v>
      </c>
      <c r="AU47" s="4429"/>
      <c r="AV47" s="3341"/>
      <c r="AW47" s="3341"/>
      <c r="AX47" s="3349">
        <f t="shared" si="113"/>
        <v>0</v>
      </c>
      <c r="AY47" s="4428">
        <f t="shared" si="114"/>
        <v>0</v>
      </c>
      <c r="AZ47" s="4429"/>
      <c r="BA47" s="3341"/>
      <c r="BB47" s="3341"/>
      <c r="BC47" s="3349">
        <f t="shared" si="115"/>
        <v>0</v>
      </c>
      <c r="BD47" s="4428">
        <f t="shared" si="116"/>
        <v>0</v>
      </c>
      <c r="BE47" s="4429"/>
      <c r="BF47" s="3341"/>
      <c r="BG47" s="3341"/>
      <c r="BH47" s="3349">
        <f t="shared" si="117"/>
        <v>0</v>
      </c>
      <c r="BI47" s="4428" t="e">
        <f t="shared" si="118"/>
        <v>#DIV/0!</v>
      </c>
      <c r="BJ47" s="4429"/>
      <c r="BK47" s="3341"/>
      <c r="BL47" s="3341"/>
      <c r="BM47" s="3349">
        <f t="shared" si="119"/>
        <v>0</v>
      </c>
      <c r="BN47" s="4428" t="e">
        <f t="shared" si="120"/>
        <v>#DIV/0!</v>
      </c>
      <c r="BO47" s="4429"/>
      <c r="BP47" s="3341"/>
      <c r="BQ47" s="3341"/>
      <c r="BR47" s="3349">
        <f t="shared" si="121"/>
        <v>0</v>
      </c>
      <c r="BS47" s="4428" t="e">
        <f t="shared" si="122"/>
        <v>#DIV/0!</v>
      </c>
      <c r="BT47" s="4429"/>
      <c r="BU47" s="3341"/>
      <c r="BV47" s="3341"/>
      <c r="BW47" s="3349">
        <f t="shared" si="123"/>
        <v>0</v>
      </c>
      <c r="BX47" s="4428" t="e">
        <f t="shared" si="124"/>
        <v>#DIV/0!</v>
      </c>
      <c r="BY47" s="4429"/>
      <c r="BZ47" s="3341"/>
      <c r="CA47" s="3341"/>
      <c r="CB47" s="3349">
        <f t="shared" si="125"/>
        <v>0</v>
      </c>
      <c r="CC47" s="4428" t="e">
        <f t="shared" si="126"/>
        <v>#DIV/0!</v>
      </c>
      <c r="CD47" s="4429"/>
      <c r="CE47" s="3341"/>
      <c r="CF47" s="3341"/>
      <c r="CG47" s="3349">
        <f t="shared" si="127"/>
        <v>0</v>
      </c>
      <c r="CH47" s="4428" t="e">
        <f t="shared" si="128"/>
        <v>#DIV/0!</v>
      </c>
      <c r="CI47" s="4429"/>
      <c r="CJ47" s="3341">
        <f t="shared" si="129"/>
        <v>0</v>
      </c>
      <c r="CK47" s="3341">
        <f t="shared" si="129"/>
        <v>0</v>
      </c>
      <c r="CL47" s="2012">
        <f t="shared" si="130"/>
        <v>0</v>
      </c>
      <c r="CM47" s="4428">
        <f t="shared" si="94"/>
        <v>0</v>
      </c>
      <c r="CN47" s="4432"/>
      <c r="CP47" s="2012">
        <f t="shared" si="131"/>
        <v>0</v>
      </c>
      <c r="CQ47" s="2012">
        <f t="shared" si="131"/>
        <v>0</v>
      </c>
      <c r="CR47" s="4614"/>
    </row>
    <row r="48" spans="1:98" ht="13.8" outlineLevel="2">
      <c r="A48" s="4833"/>
      <c r="B48" s="4640" t="s">
        <v>15</v>
      </c>
      <c r="C48" s="3341"/>
      <c r="D48" s="3341"/>
      <c r="E48" s="3349">
        <f t="shared" si="95"/>
        <v>0</v>
      </c>
      <c r="F48" s="4428" t="e">
        <f t="shared" si="96"/>
        <v>#DIV/0!</v>
      </c>
      <c r="G48" s="4429"/>
      <c r="H48" s="3341"/>
      <c r="I48" s="3341"/>
      <c r="J48" s="3349">
        <f t="shared" si="97"/>
        <v>0</v>
      </c>
      <c r="K48" s="4428" t="e">
        <f t="shared" si="98"/>
        <v>#DIV/0!</v>
      </c>
      <c r="L48" s="4429"/>
      <c r="M48" s="3341"/>
      <c r="N48" s="3341"/>
      <c r="O48" s="3349">
        <f t="shared" si="99"/>
        <v>0</v>
      </c>
      <c r="P48" s="4428" t="e">
        <f t="shared" si="100"/>
        <v>#DIV/0!</v>
      </c>
      <c r="Q48" s="4429"/>
      <c r="R48" s="3342">
        <f t="shared" si="101"/>
        <v>0</v>
      </c>
      <c r="S48" s="3342">
        <f t="shared" si="101"/>
        <v>0</v>
      </c>
      <c r="T48" s="2012">
        <f t="shared" si="102"/>
        <v>0</v>
      </c>
      <c r="U48" s="4641"/>
      <c r="V48" s="4429"/>
      <c r="W48" s="4642">
        <f t="shared" si="103"/>
        <v>0</v>
      </c>
      <c r="X48" s="4642">
        <f t="shared" si="103"/>
        <v>0</v>
      </c>
      <c r="Y48" s="4453">
        <f t="shared" si="104"/>
        <v>0</v>
      </c>
      <c r="Z48" s="4429"/>
      <c r="AA48" s="4429"/>
      <c r="AB48" s="4623"/>
      <c r="AC48" s="4623"/>
      <c r="AD48" s="4643">
        <f t="shared" si="105"/>
        <v>0</v>
      </c>
      <c r="AE48" s="4428" t="e">
        <f t="shared" si="106"/>
        <v>#DIV/0!</v>
      </c>
      <c r="AF48" s="4429"/>
      <c r="AG48" s="4623"/>
      <c r="AH48" s="3341"/>
      <c r="AI48" s="3349">
        <f t="shared" si="107"/>
        <v>0</v>
      </c>
      <c r="AJ48" s="4428" t="e">
        <f t="shared" si="108"/>
        <v>#DIV/0!</v>
      </c>
      <c r="AK48" s="4429"/>
      <c r="AL48" s="3341"/>
      <c r="AM48" s="3341"/>
      <c r="AN48" s="3349">
        <f t="shared" si="109"/>
        <v>0</v>
      </c>
      <c r="AO48" s="4428" t="e">
        <f t="shared" si="110"/>
        <v>#DIV/0!</v>
      </c>
      <c r="AP48" s="4429"/>
      <c r="AQ48" s="3341"/>
      <c r="AR48" s="3341"/>
      <c r="AS48" s="3349">
        <f t="shared" si="111"/>
        <v>0</v>
      </c>
      <c r="AT48" s="4428" t="e">
        <f t="shared" si="112"/>
        <v>#DIV/0!</v>
      </c>
      <c r="AU48" s="4429"/>
      <c r="AV48" s="3341"/>
      <c r="AW48" s="3341"/>
      <c r="AX48" s="3349">
        <f t="shared" si="113"/>
        <v>0</v>
      </c>
      <c r="AY48" s="4428">
        <f t="shared" si="114"/>
        <v>0</v>
      </c>
      <c r="AZ48" s="4429"/>
      <c r="BA48" s="3341"/>
      <c r="BB48" s="3341"/>
      <c r="BC48" s="3349">
        <f t="shared" si="115"/>
        <v>0</v>
      </c>
      <c r="BD48" s="4428">
        <f t="shared" si="116"/>
        <v>0</v>
      </c>
      <c r="BE48" s="4429"/>
      <c r="BF48" s="3341"/>
      <c r="BG48" s="3341"/>
      <c r="BH48" s="3349">
        <f t="shared" si="117"/>
        <v>0</v>
      </c>
      <c r="BI48" s="4428" t="e">
        <f t="shared" si="118"/>
        <v>#DIV/0!</v>
      </c>
      <c r="BJ48" s="4429"/>
      <c r="BK48" s="3341"/>
      <c r="BL48" s="3341"/>
      <c r="BM48" s="3349">
        <f t="shared" si="119"/>
        <v>0</v>
      </c>
      <c r="BN48" s="4428" t="e">
        <f t="shared" si="120"/>
        <v>#DIV/0!</v>
      </c>
      <c r="BO48" s="4429"/>
      <c r="BP48" s="3341"/>
      <c r="BQ48" s="3341"/>
      <c r="BR48" s="3349">
        <f t="shared" si="121"/>
        <v>0</v>
      </c>
      <c r="BS48" s="4428" t="e">
        <f t="shared" si="122"/>
        <v>#DIV/0!</v>
      </c>
      <c r="BT48" s="4429"/>
      <c r="BU48" s="3341"/>
      <c r="BV48" s="3341"/>
      <c r="BW48" s="3349">
        <f t="shared" si="123"/>
        <v>0</v>
      </c>
      <c r="BX48" s="4428" t="e">
        <f t="shared" si="124"/>
        <v>#DIV/0!</v>
      </c>
      <c r="BY48" s="4429"/>
      <c r="BZ48" s="3341"/>
      <c r="CA48" s="3341"/>
      <c r="CB48" s="3349">
        <f t="shared" si="125"/>
        <v>0</v>
      </c>
      <c r="CC48" s="4428" t="e">
        <f t="shared" si="126"/>
        <v>#DIV/0!</v>
      </c>
      <c r="CD48" s="4429"/>
      <c r="CE48" s="3341"/>
      <c r="CF48" s="3341"/>
      <c r="CG48" s="3349">
        <f t="shared" si="127"/>
        <v>0</v>
      </c>
      <c r="CH48" s="4428" t="e">
        <f t="shared" si="128"/>
        <v>#DIV/0!</v>
      </c>
      <c r="CI48" s="4429"/>
      <c r="CJ48" s="3341">
        <f t="shared" si="129"/>
        <v>0</v>
      </c>
      <c r="CK48" s="3341">
        <f t="shared" si="129"/>
        <v>0</v>
      </c>
      <c r="CL48" s="2012">
        <f t="shared" si="130"/>
        <v>0</v>
      </c>
      <c r="CM48" s="4428">
        <f t="shared" si="94"/>
        <v>0</v>
      </c>
      <c r="CN48" s="4432"/>
      <c r="CP48" s="2012">
        <f t="shared" si="131"/>
        <v>0</v>
      </c>
      <c r="CQ48" s="2012">
        <f t="shared" si="131"/>
        <v>0</v>
      </c>
      <c r="CR48" s="4614"/>
    </row>
    <row r="49" spans="1:98" s="1396" customFormat="1" ht="14.4" outlineLevel="2" thickBot="1">
      <c r="A49" s="1405"/>
      <c r="B49" s="4644"/>
      <c r="C49" s="3341"/>
      <c r="D49" s="3341"/>
      <c r="E49" s="4609"/>
      <c r="F49" s="4437"/>
      <c r="G49" s="4634"/>
      <c r="H49" s="3341"/>
      <c r="I49" s="3341"/>
      <c r="J49" s="4609"/>
      <c r="K49" s="4437"/>
      <c r="L49" s="4634"/>
      <c r="M49" s="3341"/>
      <c r="N49" s="3341"/>
      <c r="O49" s="4609"/>
      <c r="P49" s="4437"/>
      <c r="Q49" s="4634"/>
      <c r="R49" s="3456"/>
      <c r="S49" s="3456"/>
      <c r="T49" s="3456"/>
      <c r="U49" s="3733"/>
      <c r="V49" s="3734"/>
      <c r="W49" s="3734"/>
      <c r="X49" s="3734"/>
      <c r="Y49" s="3734"/>
      <c r="Z49" s="3734"/>
      <c r="AA49" s="3734"/>
      <c r="AB49" s="3375"/>
      <c r="AC49" s="3375"/>
      <c r="AD49" s="4609"/>
      <c r="AE49" s="4437" t="e">
        <f t="shared" si="106"/>
        <v>#DIV/0!</v>
      </c>
      <c r="AF49" s="4634"/>
      <c r="AG49" s="3375"/>
      <c r="AH49" s="3341"/>
      <c r="AI49" s="4609"/>
      <c r="AJ49" s="4437" t="e">
        <f t="shared" si="108"/>
        <v>#DIV/0!</v>
      </c>
      <c r="AK49" s="4634"/>
      <c r="AL49" s="3341"/>
      <c r="AM49" s="3341"/>
      <c r="AN49" s="4609"/>
      <c r="AO49" s="4437" t="e">
        <f t="shared" si="110"/>
        <v>#DIV/0!</v>
      </c>
      <c r="AP49" s="4634"/>
      <c r="AQ49" s="3341"/>
      <c r="AR49" s="3341"/>
      <c r="AS49" s="4609"/>
      <c r="AT49" s="4437" t="e">
        <f t="shared" si="112"/>
        <v>#DIV/0!</v>
      </c>
      <c r="AU49" s="4634"/>
      <c r="AV49" s="3341"/>
      <c r="AW49" s="3341"/>
      <c r="AX49" s="4609"/>
      <c r="AY49" s="4437">
        <f t="shared" si="114"/>
        <v>0</v>
      </c>
      <c r="AZ49" s="4634"/>
      <c r="BA49" s="3341"/>
      <c r="BB49" s="3341"/>
      <c r="BC49" s="4609"/>
      <c r="BD49" s="4437">
        <f t="shared" si="116"/>
        <v>0</v>
      </c>
      <c r="BE49" s="4634"/>
      <c r="BF49" s="3341"/>
      <c r="BG49" s="3341"/>
      <c r="BH49" s="4609"/>
      <c r="BI49" s="4437" t="e">
        <f t="shared" si="118"/>
        <v>#DIV/0!</v>
      </c>
      <c r="BJ49" s="4634"/>
      <c r="BK49" s="3341"/>
      <c r="BL49" s="3341"/>
      <c r="BM49" s="4609"/>
      <c r="BN49" s="4437" t="e">
        <f t="shared" si="120"/>
        <v>#DIV/0!</v>
      </c>
      <c r="BO49" s="4634"/>
      <c r="BP49" s="3341"/>
      <c r="BQ49" s="3341"/>
      <c r="BR49" s="4609"/>
      <c r="BS49" s="4437" t="e">
        <f t="shared" si="122"/>
        <v>#DIV/0!</v>
      </c>
      <c r="BT49" s="4634"/>
      <c r="BU49" s="3341"/>
      <c r="BV49" s="3341"/>
      <c r="BW49" s="4609"/>
      <c r="BX49" s="4437" t="e">
        <f t="shared" si="124"/>
        <v>#DIV/0!</v>
      </c>
      <c r="BY49" s="4634"/>
      <c r="BZ49" s="3341"/>
      <c r="CA49" s="3341"/>
      <c r="CB49" s="4609"/>
      <c r="CC49" s="4437" t="e">
        <f t="shared" si="126"/>
        <v>#DIV/0!</v>
      </c>
      <c r="CD49" s="4634"/>
      <c r="CE49" s="3341"/>
      <c r="CF49" s="3341"/>
      <c r="CG49" s="4609"/>
      <c r="CH49" s="4437" t="e">
        <f t="shared" si="128"/>
        <v>#DIV/0!</v>
      </c>
      <c r="CI49" s="4634"/>
      <c r="CJ49" s="3341"/>
      <c r="CK49" s="3341"/>
      <c r="CL49" s="4609"/>
      <c r="CM49" s="4428">
        <f t="shared" si="94"/>
        <v>0</v>
      </c>
      <c r="CN49" s="4609"/>
      <c r="CP49" s="4645"/>
      <c r="CQ49" s="4645"/>
      <c r="CR49" s="4614"/>
      <c r="CT49" s="2624"/>
    </row>
    <row r="50" spans="1:98" s="1396" customFormat="1" ht="13.8" outlineLevel="1">
      <c r="A50" s="1565"/>
      <c r="B50" s="1410" t="s">
        <v>59</v>
      </c>
      <c r="C50" s="2015">
        <f>C52+C51</f>
        <v>0</v>
      </c>
      <c r="D50" s="2015">
        <f>D52+D51</f>
        <v>0</v>
      </c>
      <c r="E50" s="2014">
        <f>SUM(E51:E52)</f>
        <v>0</v>
      </c>
      <c r="F50" s="4449" t="e">
        <f>E50/$E$89</f>
        <v>#DIV/0!</v>
      </c>
      <c r="G50" s="1057"/>
      <c r="H50" s="2015">
        <f>H52+H51</f>
        <v>0</v>
      </c>
      <c r="I50" s="2015">
        <f>I52+I51</f>
        <v>0</v>
      </c>
      <c r="J50" s="2014">
        <f>SUM(J51:J52)</f>
        <v>0</v>
      </c>
      <c r="K50" s="4449" t="e">
        <f>J50/$E$89</f>
        <v>#DIV/0!</v>
      </c>
      <c r="L50" s="1057"/>
      <c r="M50" s="2015">
        <f>M52+M51</f>
        <v>0</v>
      </c>
      <c r="N50" s="2015">
        <f>N52+N51</f>
        <v>0</v>
      </c>
      <c r="O50" s="2014">
        <f>SUM(O51:O52)</f>
        <v>0</v>
      </c>
      <c r="P50" s="4449" t="e">
        <f>O50/$E$89</f>
        <v>#DIV/0!</v>
      </c>
      <c r="Q50" s="1057"/>
      <c r="R50" s="2015">
        <f>R52+R51</f>
        <v>0</v>
      </c>
      <c r="S50" s="2015">
        <f>S52+S51</f>
        <v>0</v>
      </c>
      <c r="T50" s="2015">
        <f>SUM(T51:T52)</f>
        <v>0</v>
      </c>
      <c r="U50" s="1535"/>
      <c r="V50" s="3460"/>
      <c r="W50" s="2013">
        <f>W52+W51</f>
        <v>0</v>
      </c>
      <c r="X50" s="2013">
        <f>X52+X51</f>
        <v>0</v>
      </c>
      <c r="Y50" s="2013">
        <f>SUM(Y51:Y52)</f>
        <v>0</v>
      </c>
      <c r="Z50" s="1535"/>
      <c r="AA50" s="3460"/>
      <c r="AB50" s="2013">
        <f>AB52+AB51</f>
        <v>0</v>
      </c>
      <c r="AC50" s="2013">
        <f>AC52+AC51</f>
        <v>0</v>
      </c>
      <c r="AD50" s="2013">
        <f>SUM(AD51:AD52)</f>
        <v>0</v>
      </c>
      <c r="AE50" s="1535"/>
      <c r="AF50" s="3735"/>
      <c r="AG50" s="2013">
        <f>AG52+AG51</f>
        <v>0</v>
      </c>
      <c r="AH50" s="2015">
        <f>AH52+AH51</f>
        <v>0</v>
      </c>
      <c r="AI50" s="2015">
        <f>SUM(AI51:AI52)</f>
        <v>0</v>
      </c>
      <c r="AJ50" s="1535"/>
      <c r="AK50" s="1057"/>
      <c r="AL50" s="2015">
        <f>AL52+AL51</f>
        <v>0</v>
      </c>
      <c r="AM50" s="2015">
        <f>AM52+AM51</f>
        <v>0</v>
      </c>
      <c r="AN50" s="2015">
        <f>SUM(AN51:AN52)</f>
        <v>0</v>
      </c>
      <c r="AO50" s="1535"/>
      <c r="AP50" s="1057"/>
      <c r="AQ50" s="2015">
        <f>AQ52+AQ51</f>
        <v>0</v>
      </c>
      <c r="AR50" s="2015">
        <f>AR52+AR51</f>
        <v>0</v>
      </c>
      <c r="AS50" s="2015">
        <f>SUM(AS51:AS52)</f>
        <v>0</v>
      </c>
      <c r="AT50" s="1535"/>
      <c r="AU50" s="1057"/>
      <c r="AV50" s="2015">
        <f>AV52+AV51</f>
        <v>0</v>
      </c>
      <c r="AW50" s="2015">
        <f>AW52+AW51</f>
        <v>0</v>
      </c>
      <c r="AX50" s="2015">
        <f>SUM(AX51:AX52)</f>
        <v>0</v>
      </c>
      <c r="AY50" s="1535"/>
      <c r="AZ50" s="1057"/>
      <c r="BA50" s="2015">
        <f>BA52+BA51</f>
        <v>0</v>
      </c>
      <c r="BB50" s="2015">
        <f>BB52+BB51</f>
        <v>0</v>
      </c>
      <c r="BC50" s="2015">
        <f>SUM(BC51:BC52)</f>
        <v>0</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0</v>
      </c>
      <c r="CK50" s="2015">
        <f>CK52+CK51</f>
        <v>0</v>
      </c>
      <c r="CL50" s="2015">
        <f>SUM(CL51:CL52)</f>
        <v>0</v>
      </c>
      <c r="CM50" s="2006"/>
      <c r="CN50" s="2006"/>
      <c r="CP50" s="2015">
        <f>SUM(CP51:CP52)</f>
        <v>0</v>
      </c>
      <c r="CQ50" s="2015">
        <f>SUM(CQ51:CQ52)</f>
        <v>0</v>
      </c>
      <c r="CR50" s="2015"/>
      <c r="CT50" s="2624"/>
    </row>
    <row r="51" spans="1:98" s="1396" customFormat="1" ht="13.8" outlineLevel="1">
      <c r="A51" s="1566"/>
      <c r="B51" s="4640" t="s">
        <v>60</v>
      </c>
      <c r="C51" s="3341"/>
      <c r="D51" s="3341"/>
      <c r="E51" s="3349">
        <f t="shared" ref="E51:E52" si="132">C51+D51</f>
        <v>0</v>
      </c>
      <c r="F51" s="4428" t="e">
        <f t="shared" ref="F51:F71" si="133">E51/$E$89</f>
        <v>#DIV/0!</v>
      </c>
      <c r="G51" s="4633"/>
      <c r="H51" s="3341"/>
      <c r="I51" s="3341"/>
      <c r="J51" s="3349">
        <f>H51+I51</f>
        <v>0</v>
      </c>
      <c r="K51" s="4428" t="e">
        <f t="shared" ref="K51:K52" si="134">J51/J$89</f>
        <v>#DIV/0!</v>
      </c>
      <c r="L51" s="4633"/>
      <c r="M51" s="3341"/>
      <c r="N51" s="3341"/>
      <c r="O51" s="3349">
        <f t="shared" ref="O51:O52" si="135">M51+N51</f>
        <v>0</v>
      </c>
      <c r="P51" s="4428" t="e">
        <f t="shared" ref="P51:P53" si="136">O51/O$89</f>
        <v>#DIV/0!</v>
      </c>
      <c r="Q51" s="4633"/>
      <c r="R51" s="3342">
        <f t="shared" ref="R51:S52" si="137">M51+H51+C51</f>
        <v>0</v>
      </c>
      <c r="S51" s="3342">
        <f t="shared" si="137"/>
        <v>0</v>
      </c>
      <c r="T51" s="2012">
        <f t="shared" ref="T51:T52" si="138">R51+S51</f>
        <v>0</v>
      </c>
      <c r="U51" s="3455"/>
      <c r="V51" s="3455"/>
      <c r="W51" s="3342">
        <f t="shared" ref="W51:X52" si="139">AB51+AG51+AL51+AV51+BA51+BF51+BK51+BP51+BU51+BZ51+CE51+AQ51</f>
        <v>0</v>
      </c>
      <c r="X51" s="3342">
        <f t="shared" si="139"/>
        <v>0</v>
      </c>
      <c r="Y51" s="2012">
        <f t="shared" ref="Y51:Y52" si="140">W51+X51</f>
        <v>0</v>
      </c>
      <c r="Z51" s="3455"/>
      <c r="AA51" s="3455"/>
      <c r="AB51" s="3341"/>
      <c r="AC51" s="3341"/>
      <c r="AD51" s="3349">
        <f t="shared" ref="AD51:AD52" si="141">AB51+AC51</f>
        <v>0</v>
      </c>
      <c r="AE51" s="4428" t="e">
        <f t="shared" ref="AE51:AE53" si="142">AD51/AD$89</f>
        <v>#DIV/0!</v>
      </c>
      <c r="AF51" s="4633"/>
      <c r="AG51" s="3341"/>
      <c r="AH51" s="3341"/>
      <c r="AI51" s="3349">
        <f t="shared" ref="AI51:AI52" si="143">AG51+AH51</f>
        <v>0</v>
      </c>
      <c r="AJ51" s="4428" t="e">
        <f t="shared" ref="AJ51:AJ53" si="144">AI51/AI$89</f>
        <v>#DIV/0!</v>
      </c>
      <c r="AK51" s="4633"/>
      <c r="AL51" s="3341"/>
      <c r="AM51" s="3341"/>
      <c r="AN51" s="3349">
        <f t="shared" ref="AN51:AN52" si="145">AL51+AM51</f>
        <v>0</v>
      </c>
      <c r="AO51" s="4428" t="e">
        <f t="shared" ref="AO51:AO53" si="146">AN51/AN$89</f>
        <v>#DIV/0!</v>
      </c>
      <c r="AP51" s="4633"/>
      <c r="AQ51" s="3341"/>
      <c r="AR51" s="3341"/>
      <c r="AS51" s="3349">
        <f t="shared" ref="AS51:AS52" si="147">AQ51+AR51</f>
        <v>0</v>
      </c>
      <c r="AT51" s="4428" t="e">
        <f t="shared" ref="AT51:AT53" si="148">AS51/AS$89</f>
        <v>#DIV/0!</v>
      </c>
      <c r="AU51" s="4633"/>
      <c r="AV51" s="3341"/>
      <c r="AW51" s="3341"/>
      <c r="AX51" s="3349">
        <f t="shared" ref="AX51:AX52" si="149">AV51+AW51</f>
        <v>0</v>
      </c>
      <c r="AY51" s="4428">
        <f t="shared" ref="AY51:AY53" si="150">AX51/AX$89</f>
        <v>0</v>
      </c>
      <c r="AZ51" s="4633"/>
      <c r="BA51" s="3341"/>
      <c r="BB51" s="3341"/>
      <c r="BC51" s="3349">
        <f t="shared" ref="BC51:BC52" si="151">BA51+BB51</f>
        <v>0</v>
      </c>
      <c r="BD51" s="4428">
        <f t="shared" ref="BD51:BD53" si="152">BC51/BC$89</f>
        <v>0</v>
      </c>
      <c r="BE51" s="4633"/>
      <c r="BF51" s="3341"/>
      <c r="BG51" s="3341"/>
      <c r="BH51" s="3349">
        <f t="shared" ref="BH51:BH52" si="153">BF51+BG51</f>
        <v>0</v>
      </c>
      <c r="BI51" s="4428" t="e">
        <f t="shared" ref="BI51:BI53" si="154">BH51/BH$89</f>
        <v>#DIV/0!</v>
      </c>
      <c r="BJ51" s="4633"/>
      <c r="BK51" s="3341"/>
      <c r="BL51" s="3341"/>
      <c r="BM51" s="3349">
        <f t="shared" ref="BM51:BM52" si="155">BK51+BL51</f>
        <v>0</v>
      </c>
      <c r="BN51" s="4428" t="e">
        <f t="shared" ref="BN51:BN53" si="156">BM51/BM$89</f>
        <v>#DIV/0!</v>
      </c>
      <c r="BO51" s="4633"/>
      <c r="BP51" s="3341"/>
      <c r="BQ51" s="3341"/>
      <c r="BR51" s="3349">
        <f t="shared" ref="BR51:BR52" si="157">BP51+BQ51</f>
        <v>0</v>
      </c>
      <c r="BS51" s="4428" t="e">
        <f t="shared" ref="BS51:BS53" si="158">BR51/BR$89</f>
        <v>#DIV/0!</v>
      </c>
      <c r="BT51" s="4633"/>
      <c r="BU51" s="3341"/>
      <c r="BV51" s="3341"/>
      <c r="BW51" s="3349">
        <f t="shared" ref="BW51:BW52" si="159">BU51+BV51</f>
        <v>0</v>
      </c>
      <c r="BX51" s="4428" t="e">
        <f t="shared" ref="BX51:BX53" si="160">BW51/BW$89</f>
        <v>#DIV/0!</v>
      </c>
      <c r="BY51" s="4633"/>
      <c r="BZ51" s="3341"/>
      <c r="CA51" s="3341"/>
      <c r="CB51" s="3349">
        <f t="shared" ref="CB51:CB52" si="161">BZ51+CA51</f>
        <v>0</v>
      </c>
      <c r="CC51" s="4428" t="e">
        <f t="shared" ref="CC51:CC53" si="162">CB51/CB$89</f>
        <v>#DIV/0!</v>
      </c>
      <c r="CD51" s="4633"/>
      <c r="CE51" s="3341"/>
      <c r="CF51" s="3341"/>
      <c r="CG51" s="3349">
        <f t="shared" ref="CG51:CG52" si="163">CE51+CF51</f>
        <v>0</v>
      </c>
      <c r="CH51" s="4428" t="e">
        <f t="shared" ref="CH51:CH53" si="164">CG51/CG$89</f>
        <v>#DIV/0!</v>
      </c>
      <c r="CI51" s="4633"/>
      <c r="CJ51" s="3341">
        <f t="shared" ref="CJ51:CK53" si="165">C51+H51+M51+W51</f>
        <v>0</v>
      </c>
      <c r="CK51" s="3341">
        <f t="shared" si="165"/>
        <v>0</v>
      </c>
      <c r="CL51" s="2012">
        <f>CJ51+CK51*1</f>
        <v>0</v>
      </c>
      <c r="CM51" s="4428">
        <f>CL51/$CL$89</f>
        <v>0</v>
      </c>
      <c r="CN51" s="4611"/>
      <c r="CP51" s="2012">
        <f>CN51+CO51*1</f>
        <v>0</v>
      </c>
      <c r="CQ51" s="2012">
        <f>CO51+CP51*1</f>
        <v>0</v>
      </c>
      <c r="CR51" s="4614"/>
      <c r="CT51" s="2624"/>
    </row>
    <row r="52" spans="1:98" ht="13.8" outlineLevel="2">
      <c r="A52" s="1566"/>
      <c r="B52" s="4640" t="s">
        <v>61</v>
      </c>
      <c r="C52" s="3341"/>
      <c r="D52" s="3341"/>
      <c r="E52" s="3349">
        <f t="shared" si="132"/>
        <v>0</v>
      </c>
      <c r="F52" s="4428" t="e">
        <f t="shared" si="133"/>
        <v>#DIV/0!</v>
      </c>
      <c r="G52" s="4633"/>
      <c r="H52" s="3341"/>
      <c r="I52" s="3341"/>
      <c r="J52" s="3349">
        <f>H52+I52</f>
        <v>0</v>
      </c>
      <c r="K52" s="4428" t="e">
        <f t="shared" si="134"/>
        <v>#DIV/0!</v>
      </c>
      <c r="L52" s="4633"/>
      <c r="M52" s="3341"/>
      <c r="N52" s="3341"/>
      <c r="O52" s="3349">
        <f t="shared" si="135"/>
        <v>0</v>
      </c>
      <c r="P52" s="4428" t="e">
        <f t="shared" si="136"/>
        <v>#DIV/0!</v>
      </c>
      <c r="Q52" s="4633"/>
      <c r="R52" s="3342">
        <f t="shared" si="137"/>
        <v>0</v>
      </c>
      <c r="S52" s="3342">
        <f t="shared" si="137"/>
        <v>0</v>
      </c>
      <c r="T52" s="2012">
        <f t="shared" si="138"/>
        <v>0</v>
      </c>
      <c r="U52" s="3455"/>
      <c r="V52" s="3455"/>
      <c r="W52" s="3342">
        <f t="shared" si="139"/>
        <v>0</v>
      </c>
      <c r="X52" s="3342">
        <f t="shared" si="139"/>
        <v>0</v>
      </c>
      <c r="Y52" s="2012">
        <f t="shared" si="140"/>
        <v>0</v>
      </c>
      <c r="Z52" s="3455"/>
      <c r="AA52" s="3455"/>
      <c r="AB52" s="3341"/>
      <c r="AC52" s="3341"/>
      <c r="AD52" s="3349">
        <f t="shared" si="141"/>
        <v>0</v>
      </c>
      <c r="AE52" s="4428" t="e">
        <f t="shared" si="142"/>
        <v>#DIV/0!</v>
      </c>
      <c r="AF52" s="4633"/>
      <c r="AG52" s="3341"/>
      <c r="AH52" s="3341"/>
      <c r="AI52" s="3349">
        <f t="shared" si="143"/>
        <v>0</v>
      </c>
      <c r="AJ52" s="4428" t="e">
        <f t="shared" si="144"/>
        <v>#DIV/0!</v>
      </c>
      <c r="AK52" s="4633"/>
      <c r="AL52" s="3341"/>
      <c r="AM52" s="3341"/>
      <c r="AN52" s="3349">
        <f t="shared" si="145"/>
        <v>0</v>
      </c>
      <c r="AO52" s="4428" t="e">
        <f t="shared" si="146"/>
        <v>#DIV/0!</v>
      </c>
      <c r="AP52" s="4633"/>
      <c r="AQ52" s="3341"/>
      <c r="AR52" s="3341"/>
      <c r="AS52" s="3349">
        <f t="shared" si="147"/>
        <v>0</v>
      </c>
      <c r="AT52" s="4428" t="e">
        <f t="shared" si="148"/>
        <v>#DIV/0!</v>
      </c>
      <c r="AU52" s="4633"/>
      <c r="AV52" s="3341"/>
      <c r="AW52" s="3341"/>
      <c r="AX52" s="3349">
        <f t="shared" si="149"/>
        <v>0</v>
      </c>
      <c r="AY52" s="4428">
        <f t="shared" si="150"/>
        <v>0</v>
      </c>
      <c r="AZ52" s="4633"/>
      <c r="BA52" s="3341"/>
      <c r="BB52" s="3341"/>
      <c r="BC52" s="3349">
        <f t="shared" si="151"/>
        <v>0</v>
      </c>
      <c r="BD52" s="4428">
        <f t="shared" si="152"/>
        <v>0</v>
      </c>
      <c r="BE52" s="4633"/>
      <c r="BF52" s="3341"/>
      <c r="BG52" s="3341"/>
      <c r="BH52" s="3349">
        <f t="shared" si="153"/>
        <v>0</v>
      </c>
      <c r="BI52" s="4428" t="e">
        <f t="shared" si="154"/>
        <v>#DIV/0!</v>
      </c>
      <c r="BJ52" s="4633"/>
      <c r="BK52" s="3341"/>
      <c r="BL52" s="3341"/>
      <c r="BM52" s="3349">
        <f t="shared" si="155"/>
        <v>0</v>
      </c>
      <c r="BN52" s="4428" t="e">
        <f t="shared" si="156"/>
        <v>#DIV/0!</v>
      </c>
      <c r="BO52" s="4633"/>
      <c r="BP52" s="3341"/>
      <c r="BQ52" s="3341"/>
      <c r="BR52" s="3349">
        <f t="shared" si="157"/>
        <v>0</v>
      </c>
      <c r="BS52" s="4428" t="e">
        <f t="shared" si="158"/>
        <v>#DIV/0!</v>
      </c>
      <c r="BT52" s="4633"/>
      <c r="BU52" s="3341"/>
      <c r="BV52" s="3341"/>
      <c r="BW52" s="3349">
        <f t="shared" si="159"/>
        <v>0</v>
      </c>
      <c r="BX52" s="4428" t="e">
        <f t="shared" si="160"/>
        <v>#DIV/0!</v>
      </c>
      <c r="BY52" s="4633"/>
      <c r="BZ52" s="3341"/>
      <c r="CA52" s="3341"/>
      <c r="CB52" s="3349">
        <f t="shared" si="161"/>
        <v>0</v>
      </c>
      <c r="CC52" s="4428" t="e">
        <f t="shared" si="162"/>
        <v>#DIV/0!</v>
      </c>
      <c r="CD52" s="4633"/>
      <c r="CE52" s="3341"/>
      <c r="CF52" s="3341"/>
      <c r="CG52" s="3349">
        <f t="shared" si="163"/>
        <v>0</v>
      </c>
      <c r="CH52" s="4428" t="e">
        <f t="shared" si="164"/>
        <v>#DIV/0!</v>
      </c>
      <c r="CI52" s="4633"/>
      <c r="CJ52" s="3341">
        <f t="shared" si="165"/>
        <v>0</v>
      </c>
      <c r="CK52" s="3341">
        <f t="shared" si="165"/>
        <v>0</v>
      </c>
      <c r="CL52" s="2012">
        <f>CJ52+CK52*1</f>
        <v>0</v>
      </c>
      <c r="CM52" s="4428">
        <f>CL52/$CL$89</f>
        <v>0</v>
      </c>
      <c r="CN52" s="4611"/>
      <c r="CP52" s="2012">
        <f>CN52+CO52*1</f>
        <v>0</v>
      </c>
      <c r="CQ52" s="2012">
        <f>CO52+CP52*1</f>
        <v>0</v>
      </c>
      <c r="CR52" s="4614"/>
    </row>
    <row r="53" spans="1:98" ht="14.4" outlineLevel="1" thickBot="1">
      <c r="A53" s="1413"/>
      <c r="B53" s="4450"/>
      <c r="C53" s="3341"/>
      <c r="D53" s="3341"/>
      <c r="E53" s="4451"/>
      <c r="F53" s="4428" t="e">
        <f t="shared" si="133"/>
        <v>#DIV/0!</v>
      </c>
      <c r="G53" s="4452"/>
      <c r="H53" s="3341"/>
      <c r="I53" s="3341"/>
      <c r="J53" s="4451"/>
      <c r="K53" s="4428" t="e">
        <f t="shared" ref="K53:K54" si="166">J53/$E$89</f>
        <v>#DIV/0!</v>
      </c>
      <c r="L53" s="4452"/>
      <c r="M53" s="3341"/>
      <c r="N53" s="3341"/>
      <c r="O53" s="4451"/>
      <c r="P53" s="4428" t="e">
        <f t="shared" si="136"/>
        <v>#DIV/0!</v>
      </c>
      <c r="Q53" s="4452"/>
      <c r="R53" s="4646"/>
      <c r="S53" s="4452"/>
      <c r="T53" s="4452"/>
      <c r="U53" s="4452"/>
      <c r="V53" s="4452"/>
      <c r="W53" s="4452"/>
      <c r="X53" s="4452"/>
      <c r="Y53" s="4452"/>
      <c r="Z53" s="4452"/>
      <c r="AA53" s="4452"/>
      <c r="AB53" s="4624"/>
      <c r="AC53" s="4624"/>
      <c r="AD53" s="4451"/>
      <c r="AE53" s="4437" t="e">
        <f t="shared" si="142"/>
        <v>#DIV/0!</v>
      </c>
      <c r="AF53" s="4452"/>
      <c r="AG53" s="4624"/>
      <c r="AH53" s="4624"/>
      <c r="AI53" s="4451"/>
      <c r="AJ53" s="4437" t="e">
        <f t="shared" si="144"/>
        <v>#DIV/0!</v>
      </c>
      <c r="AK53" s="4452"/>
      <c r="AL53" s="4624"/>
      <c r="AM53" s="4624"/>
      <c r="AN53" s="4451"/>
      <c r="AO53" s="4437" t="e">
        <f t="shared" si="146"/>
        <v>#DIV/0!</v>
      </c>
      <c r="AP53" s="4452"/>
      <c r="AQ53" s="4624"/>
      <c r="AR53" s="4624"/>
      <c r="AS53" s="4451"/>
      <c r="AT53" s="4437" t="e">
        <f t="shared" si="148"/>
        <v>#DIV/0!</v>
      </c>
      <c r="AU53" s="4452"/>
      <c r="AV53" s="4624"/>
      <c r="AW53" s="4624"/>
      <c r="AX53" s="4451"/>
      <c r="AY53" s="4437">
        <f t="shared" si="150"/>
        <v>0</v>
      </c>
      <c r="AZ53" s="4452"/>
      <c r="BA53" s="4624"/>
      <c r="BB53" s="4624"/>
      <c r="BC53" s="4451"/>
      <c r="BD53" s="4437">
        <f t="shared" si="152"/>
        <v>0</v>
      </c>
      <c r="BE53" s="4452"/>
      <c r="BF53" s="4624"/>
      <c r="BG53" s="4624"/>
      <c r="BH53" s="4451"/>
      <c r="BI53" s="4437" t="e">
        <f t="shared" si="154"/>
        <v>#DIV/0!</v>
      </c>
      <c r="BJ53" s="4452"/>
      <c r="BK53" s="4624"/>
      <c r="BL53" s="4624"/>
      <c r="BM53" s="4451"/>
      <c r="BN53" s="4437" t="e">
        <f t="shared" si="156"/>
        <v>#DIV/0!</v>
      </c>
      <c r="BO53" s="4452"/>
      <c r="BP53" s="4624"/>
      <c r="BQ53" s="4624"/>
      <c r="BR53" s="4451"/>
      <c r="BS53" s="4437" t="e">
        <f t="shared" si="158"/>
        <v>#DIV/0!</v>
      </c>
      <c r="BT53" s="4452"/>
      <c r="BU53" s="4624"/>
      <c r="BV53" s="4624"/>
      <c r="BW53" s="4451"/>
      <c r="BX53" s="4437" t="e">
        <f t="shared" si="160"/>
        <v>#DIV/0!</v>
      </c>
      <c r="BY53" s="4452"/>
      <c r="BZ53" s="4624"/>
      <c r="CA53" s="4624"/>
      <c r="CB53" s="4451"/>
      <c r="CC53" s="4437" t="e">
        <f t="shared" si="162"/>
        <v>#DIV/0!</v>
      </c>
      <c r="CD53" s="4452"/>
      <c r="CE53" s="4624"/>
      <c r="CF53" s="4624"/>
      <c r="CG53" s="4451"/>
      <c r="CH53" s="4437" t="e">
        <f t="shared" si="164"/>
        <v>#DIV/0!</v>
      </c>
      <c r="CI53" s="4452"/>
      <c r="CJ53" s="4624">
        <f t="shared" si="165"/>
        <v>0</v>
      </c>
      <c r="CK53" s="4624">
        <f t="shared" si="165"/>
        <v>0</v>
      </c>
      <c r="CL53" s="4451"/>
      <c r="CM53" s="4451"/>
      <c r="CN53" s="4451"/>
      <c r="CP53" s="4647"/>
      <c r="CQ53" s="4647"/>
      <c r="CR53" s="4614"/>
    </row>
    <row r="54" spans="1:98" ht="13.8" outlineLevel="1">
      <c r="A54" s="1570"/>
      <c r="B54" s="1410" t="s">
        <v>1</v>
      </c>
      <c r="C54" s="2015">
        <f>SUM(C55:C72)</f>
        <v>0</v>
      </c>
      <c r="D54" s="2015">
        <f>SUM(D55:D72)</f>
        <v>0</v>
      </c>
      <c r="E54" s="2014">
        <f>SUM(E55:E72)</f>
        <v>0</v>
      </c>
      <c r="F54" s="4449" t="e">
        <f t="shared" si="133"/>
        <v>#DIV/0!</v>
      </c>
      <c r="G54" s="1057"/>
      <c r="H54" s="2015">
        <f>SUM(H55:H72)</f>
        <v>0</v>
      </c>
      <c r="I54" s="2015">
        <f>SUM(I55:I72)</f>
        <v>0</v>
      </c>
      <c r="J54" s="2014">
        <f>SUM(J55:J72)</f>
        <v>0</v>
      </c>
      <c r="K54" s="4449" t="e">
        <f t="shared" si="166"/>
        <v>#DIV/0!</v>
      </c>
      <c r="L54" s="1057"/>
      <c r="M54" s="2015">
        <f>SUM(M55:M72)</f>
        <v>0</v>
      </c>
      <c r="N54" s="2015">
        <f>SUM(N55:N72)</f>
        <v>0</v>
      </c>
      <c r="O54" s="2014">
        <f>SUM(O55:O72)</f>
        <v>0</v>
      </c>
      <c r="P54" s="4449" t="e">
        <f t="shared" ref="P54" si="167">O54/$E$89</f>
        <v>#DIV/0!</v>
      </c>
      <c r="Q54" s="1057"/>
      <c r="R54" s="2013">
        <f>SUM(R55:R72)</f>
        <v>0</v>
      </c>
      <c r="S54" s="2013">
        <f>SUM(S55:S72)</f>
        <v>0</v>
      </c>
      <c r="T54" s="2013">
        <f>SUM(T55:T72)</f>
        <v>0</v>
      </c>
      <c r="U54" s="1535"/>
      <c r="V54" s="3460"/>
      <c r="W54" s="2013">
        <f>SUM(W55:W72)</f>
        <v>0</v>
      </c>
      <c r="X54" s="2013">
        <f>SUM(X55:X72)</f>
        <v>0</v>
      </c>
      <c r="Y54" s="2013">
        <f>SUM(Y55:Y72)</f>
        <v>0</v>
      </c>
      <c r="Z54" s="1535"/>
      <c r="AA54" s="3460"/>
      <c r="AB54" s="2013">
        <f>SUM(AB55:AB72)</f>
        <v>0</v>
      </c>
      <c r="AC54" s="2013">
        <f>SUM(AC55:AC72)</f>
        <v>0</v>
      </c>
      <c r="AD54" s="2013">
        <f>SUM(AD55:AD72)</f>
        <v>0</v>
      </c>
      <c r="AE54" s="1535"/>
      <c r="AF54" s="3735"/>
      <c r="AG54" s="2013">
        <f>SUM(AG55:AG72)</f>
        <v>0</v>
      </c>
      <c r="AH54" s="2013">
        <f>SUM(AH55:AH72)</f>
        <v>0</v>
      </c>
      <c r="AI54" s="2013">
        <f>SUM(AI55:AI72)</f>
        <v>0</v>
      </c>
      <c r="AJ54" s="1535"/>
      <c r="AK54" s="3735"/>
      <c r="AL54" s="2013">
        <f>SUM(AL55:AL72)</f>
        <v>0</v>
      </c>
      <c r="AM54" s="2013">
        <f>SUM(AM55:AM72)</f>
        <v>0</v>
      </c>
      <c r="AN54" s="2013">
        <f>SUM(AN55:AN72)</f>
        <v>0</v>
      </c>
      <c r="AO54" s="1535"/>
      <c r="AP54" s="3735"/>
      <c r="AQ54" s="2013">
        <f>SUM(AQ55:AQ72)</f>
        <v>0</v>
      </c>
      <c r="AR54" s="2013">
        <f>SUM(AR55:AR72)</f>
        <v>0</v>
      </c>
      <c r="AS54" s="2013">
        <f>SUM(AS55:AS72)</f>
        <v>0</v>
      </c>
      <c r="AT54" s="1535"/>
      <c r="AU54" s="3735"/>
      <c r="AV54" s="2013">
        <f>SUM(AV55:AV72)</f>
        <v>0</v>
      </c>
      <c r="AW54" s="2013">
        <f>SUM(AW55:AW72)</f>
        <v>0</v>
      </c>
      <c r="AX54" s="2013">
        <f>SUM(AX55:AX72)</f>
        <v>0</v>
      </c>
      <c r="AY54" s="1535"/>
      <c r="AZ54" s="3735"/>
      <c r="BA54" s="2013">
        <f>SUM(BA55:BA72)</f>
        <v>0</v>
      </c>
      <c r="BB54" s="2013">
        <f>SUM(BB55:BB72)</f>
        <v>0</v>
      </c>
      <c r="BC54" s="2013">
        <f>SUM(BC55:BC72)</f>
        <v>0</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0</v>
      </c>
      <c r="CK54" s="2013">
        <f>SUM(CK55:CK72)</f>
        <v>0</v>
      </c>
      <c r="CL54" s="2013">
        <f>SUM(CL55:CL72)</f>
        <v>0</v>
      </c>
      <c r="CM54" s="1535">
        <f t="shared" ref="CM54:CM71" si="168">CL54/$CL$89</f>
        <v>0</v>
      </c>
      <c r="CN54" s="1061"/>
      <c r="CP54" s="2015">
        <f>SUM(CP55:CP72)</f>
        <v>0</v>
      </c>
      <c r="CQ54" s="2015">
        <f>SUM(CQ55:CQ72)</f>
        <v>0</v>
      </c>
      <c r="CR54" s="2015"/>
    </row>
    <row r="55" spans="1:98" ht="13.8" outlineLevel="2">
      <c r="A55" s="1571"/>
      <c r="B55" s="4632" t="s">
        <v>77</v>
      </c>
      <c r="C55" s="3349"/>
      <c r="D55" s="3349"/>
      <c r="E55" s="3349">
        <f t="shared" ref="E55:E71" si="169">C55+D55</f>
        <v>0</v>
      </c>
      <c r="F55" s="4428" t="e">
        <f t="shared" si="133"/>
        <v>#DIV/0!</v>
      </c>
      <c r="G55" s="4429"/>
      <c r="H55" s="3349"/>
      <c r="I55" s="3349"/>
      <c r="J55" s="3349">
        <f t="shared" ref="J55:J71" si="170">H55+I55</f>
        <v>0</v>
      </c>
      <c r="K55" s="4428" t="e">
        <f t="shared" ref="K55:K72" si="171">J55/J$89</f>
        <v>#DIV/0!</v>
      </c>
      <c r="L55" s="4429"/>
      <c r="M55" s="3349"/>
      <c r="N55" s="3349"/>
      <c r="O55" s="3349">
        <f t="shared" ref="O55:O71" si="172">M55+N55</f>
        <v>0</v>
      </c>
      <c r="P55" s="4428" t="e">
        <f t="shared" ref="P55:P72" si="173">O55/O$89</f>
        <v>#DIV/0!</v>
      </c>
      <c r="Q55" s="4429"/>
      <c r="R55" s="3342">
        <f t="shared" ref="R55:S71" si="174">M55+H55+C55</f>
        <v>0</v>
      </c>
      <c r="S55" s="3342">
        <f t="shared" si="174"/>
        <v>0</v>
      </c>
      <c r="T55" s="2012">
        <f t="shared" ref="T55:T71" si="175">R55+S55</f>
        <v>0</v>
      </c>
      <c r="U55" s="3462"/>
      <c r="V55" s="3462"/>
      <c r="W55" s="3342">
        <f t="shared" ref="W55:X71" si="176">AB55+AG55+AL55+AV55+BA55+BF55+BK55+BP55+BU55+BZ55+CE55+AQ55</f>
        <v>0</v>
      </c>
      <c r="X55" s="3342">
        <f t="shared" si="176"/>
        <v>0</v>
      </c>
      <c r="Y55" s="2012">
        <f t="shared" ref="Y55:Y71" si="177">W55+X55</f>
        <v>0</v>
      </c>
      <c r="Z55" s="3462"/>
      <c r="AA55" s="3462"/>
      <c r="AB55" s="3349"/>
      <c r="AC55" s="3349"/>
      <c r="AD55" s="3349">
        <f t="shared" ref="AD55:AD71" si="178">AB55+AC55</f>
        <v>0</v>
      </c>
      <c r="AE55" s="4428" t="e">
        <f t="shared" ref="AE55:AE71" si="179">AD55/AD$89</f>
        <v>#DIV/0!</v>
      </c>
      <c r="AF55" s="4429"/>
      <c r="AG55" s="3349"/>
      <c r="AH55" s="3349"/>
      <c r="AI55" s="3349">
        <f t="shared" ref="AI55:AI71" si="180">AG55+AH55</f>
        <v>0</v>
      </c>
      <c r="AJ55" s="4428" t="e">
        <f t="shared" ref="AJ55:AJ71" si="181">AI55/AI$89</f>
        <v>#DIV/0!</v>
      </c>
      <c r="AK55" s="4429"/>
      <c r="AL55" s="3349"/>
      <c r="AM55" s="3349"/>
      <c r="AN55" s="3349">
        <f t="shared" ref="AN55:AN71" si="182">AL55+AM55</f>
        <v>0</v>
      </c>
      <c r="AO55" s="4428" t="e">
        <f t="shared" ref="AO55:AO71" si="183">AN55/AN$89</f>
        <v>#DIV/0!</v>
      </c>
      <c r="AP55" s="4429"/>
      <c r="AQ55" s="3349"/>
      <c r="AR55" s="3349"/>
      <c r="AS55" s="3349">
        <f t="shared" ref="AS55:AS71" si="184">AQ55+AR55</f>
        <v>0</v>
      </c>
      <c r="AT55" s="4428" t="e">
        <f t="shared" ref="AT55:AT71" si="185">AS55/AS$89</f>
        <v>#DIV/0!</v>
      </c>
      <c r="AU55" s="4429"/>
      <c r="AV55" s="3349"/>
      <c r="AW55" s="3349"/>
      <c r="AX55" s="3349">
        <f t="shared" ref="AX55:AX71" si="186">AV55+AW55</f>
        <v>0</v>
      </c>
      <c r="AY55" s="4428">
        <f t="shared" ref="AY55:AY71" si="187">AX55/AX$89</f>
        <v>0</v>
      </c>
      <c r="AZ55" s="4429"/>
      <c r="BA55" s="3349"/>
      <c r="BB55" s="3349"/>
      <c r="BC55" s="3349">
        <f t="shared" ref="BC55:BC71" si="188">BA55+BB55</f>
        <v>0</v>
      </c>
      <c r="BD55" s="4428">
        <f t="shared" ref="BD55:BD71" si="189">BC55/BC$89</f>
        <v>0</v>
      </c>
      <c r="BE55" s="4429"/>
      <c r="BF55" s="3349"/>
      <c r="BG55" s="3349"/>
      <c r="BH55" s="3349">
        <f t="shared" ref="BH55:BH71" si="190">BF55+BG55</f>
        <v>0</v>
      </c>
      <c r="BI55" s="4428" t="e">
        <f t="shared" ref="BI55:BI71" si="191">BH55/BH$89</f>
        <v>#DIV/0!</v>
      </c>
      <c r="BJ55" s="4429"/>
      <c r="BK55" s="3349"/>
      <c r="BL55" s="3349"/>
      <c r="BM55" s="3349">
        <f t="shared" ref="BM55:BM71" si="192">BK55+BL55</f>
        <v>0</v>
      </c>
      <c r="BN55" s="4428" t="e">
        <f t="shared" ref="BN55:BN71" si="193">BM55/BM$89</f>
        <v>#DIV/0!</v>
      </c>
      <c r="BO55" s="4429"/>
      <c r="BP55" s="3349"/>
      <c r="BQ55" s="3349"/>
      <c r="BR55" s="3349">
        <f t="shared" ref="BR55:BR71" si="194">BP55+BQ55</f>
        <v>0</v>
      </c>
      <c r="BS55" s="4428" t="e">
        <f t="shared" ref="BS55:BS71" si="195">BR55/BR$89</f>
        <v>#DIV/0!</v>
      </c>
      <c r="BT55" s="4429"/>
      <c r="BU55" s="3349"/>
      <c r="BV55" s="3349"/>
      <c r="BW55" s="3349">
        <f t="shared" ref="BW55:BW71" si="196">BU55+BV55</f>
        <v>0</v>
      </c>
      <c r="BX55" s="4428" t="e">
        <f t="shared" ref="BX55:BX71" si="197">BW55/BW$89</f>
        <v>#DIV/0!</v>
      </c>
      <c r="BY55" s="4429"/>
      <c r="BZ55" s="3349"/>
      <c r="CA55" s="3349"/>
      <c r="CB55" s="3349">
        <f t="shared" ref="CB55:CB71" si="198">BZ55+CA55</f>
        <v>0</v>
      </c>
      <c r="CC55" s="4428" t="e">
        <f t="shared" ref="CC55:CC71" si="199">CB55/CB$89</f>
        <v>#DIV/0!</v>
      </c>
      <c r="CD55" s="4429"/>
      <c r="CE55" s="3349"/>
      <c r="CF55" s="3349"/>
      <c r="CG55" s="3349">
        <f t="shared" ref="CG55:CG71" si="200">CE55+CF55</f>
        <v>0</v>
      </c>
      <c r="CH55" s="4428" t="e">
        <f t="shared" ref="CH55:CH71" si="201">CG55/CG$89</f>
        <v>#DIV/0!</v>
      </c>
      <c r="CI55" s="4429"/>
      <c r="CJ55" s="3341">
        <f t="shared" ref="CJ55:CK71" si="202">C55+H55+M55+W55</f>
        <v>0</v>
      </c>
      <c r="CK55" s="3341">
        <f t="shared" si="202"/>
        <v>0</v>
      </c>
      <c r="CL55" s="2012">
        <f t="shared" ref="CL55:CL71" si="203">CJ55+CK55*1</f>
        <v>0</v>
      </c>
      <c r="CM55" s="4428">
        <f t="shared" si="168"/>
        <v>0</v>
      </c>
      <c r="CN55" s="4432"/>
      <c r="CP55" s="2012">
        <f t="shared" ref="CP55:CQ71" si="204">CN55+CO55*1</f>
        <v>0</v>
      </c>
      <c r="CQ55" s="2012">
        <f t="shared" si="204"/>
        <v>0</v>
      </c>
      <c r="CR55" s="4614"/>
    </row>
    <row r="56" spans="1:98" ht="13.8" outlineLevel="2">
      <c r="A56" s="1571"/>
      <c r="B56" s="4632" t="s">
        <v>76</v>
      </c>
      <c r="C56" s="3349"/>
      <c r="D56" s="3349"/>
      <c r="E56" s="3349">
        <f t="shared" si="169"/>
        <v>0</v>
      </c>
      <c r="F56" s="4428" t="e">
        <f t="shared" si="133"/>
        <v>#DIV/0!</v>
      </c>
      <c r="G56" s="4429"/>
      <c r="H56" s="3349"/>
      <c r="I56" s="3349"/>
      <c r="J56" s="3349">
        <f t="shared" si="170"/>
        <v>0</v>
      </c>
      <c r="K56" s="4428" t="e">
        <f t="shared" si="171"/>
        <v>#DIV/0!</v>
      </c>
      <c r="L56" s="4429"/>
      <c r="M56" s="3349"/>
      <c r="N56" s="3349"/>
      <c r="O56" s="3349">
        <f t="shared" si="172"/>
        <v>0</v>
      </c>
      <c r="P56" s="4428" t="e">
        <f t="shared" si="173"/>
        <v>#DIV/0!</v>
      </c>
      <c r="Q56" s="4429"/>
      <c r="R56" s="3342">
        <f t="shared" si="174"/>
        <v>0</v>
      </c>
      <c r="S56" s="3342">
        <f t="shared" si="174"/>
        <v>0</v>
      </c>
      <c r="T56" s="2012">
        <f t="shared" si="175"/>
        <v>0</v>
      </c>
      <c r="U56" s="3462"/>
      <c r="V56" s="3462"/>
      <c r="W56" s="3342">
        <f t="shared" si="176"/>
        <v>0</v>
      </c>
      <c r="X56" s="3342">
        <f t="shared" si="176"/>
        <v>0</v>
      </c>
      <c r="Y56" s="2012">
        <f t="shared" si="177"/>
        <v>0</v>
      </c>
      <c r="Z56" s="3462"/>
      <c r="AA56" s="3462"/>
      <c r="AB56" s="3349"/>
      <c r="AC56" s="3349"/>
      <c r="AD56" s="3349">
        <f t="shared" si="178"/>
        <v>0</v>
      </c>
      <c r="AE56" s="4428" t="e">
        <f t="shared" si="179"/>
        <v>#DIV/0!</v>
      </c>
      <c r="AF56" s="4429"/>
      <c r="AG56" s="3349"/>
      <c r="AH56" s="3349"/>
      <c r="AI56" s="3349">
        <f t="shared" si="180"/>
        <v>0</v>
      </c>
      <c r="AJ56" s="4428" t="e">
        <f t="shared" si="181"/>
        <v>#DIV/0!</v>
      </c>
      <c r="AK56" s="4429"/>
      <c r="AL56" s="3349"/>
      <c r="AM56" s="3349"/>
      <c r="AN56" s="3349">
        <f t="shared" si="182"/>
        <v>0</v>
      </c>
      <c r="AO56" s="4428" t="e">
        <f t="shared" si="183"/>
        <v>#DIV/0!</v>
      </c>
      <c r="AP56" s="4429"/>
      <c r="AQ56" s="3349"/>
      <c r="AR56" s="3349"/>
      <c r="AS56" s="3349">
        <f t="shared" si="184"/>
        <v>0</v>
      </c>
      <c r="AT56" s="4428" t="e">
        <f t="shared" si="185"/>
        <v>#DIV/0!</v>
      </c>
      <c r="AU56" s="4429"/>
      <c r="AV56" s="3349"/>
      <c r="AW56" s="3349"/>
      <c r="AX56" s="3349">
        <f t="shared" si="186"/>
        <v>0</v>
      </c>
      <c r="AY56" s="4428">
        <f t="shared" si="187"/>
        <v>0</v>
      </c>
      <c r="AZ56" s="4429"/>
      <c r="BA56" s="3349"/>
      <c r="BB56" s="3349"/>
      <c r="BC56" s="3349">
        <f t="shared" si="188"/>
        <v>0</v>
      </c>
      <c r="BD56" s="4428">
        <f t="shared" si="189"/>
        <v>0</v>
      </c>
      <c r="BE56" s="4429"/>
      <c r="BF56" s="3349"/>
      <c r="BG56" s="3349"/>
      <c r="BH56" s="3349">
        <f t="shared" si="190"/>
        <v>0</v>
      </c>
      <c r="BI56" s="4428" t="e">
        <f t="shared" si="191"/>
        <v>#DIV/0!</v>
      </c>
      <c r="BJ56" s="4429"/>
      <c r="BK56" s="3349"/>
      <c r="BL56" s="3349"/>
      <c r="BM56" s="3349">
        <f t="shared" si="192"/>
        <v>0</v>
      </c>
      <c r="BN56" s="4428" t="e">
        <f t="shared" si="193"/>
        <v>#DIV/0!</v>
      </c>
      <c r="BO56" s="4429"/>
      <c r="BP56" s="3349"/>
      <c r="BQ56" s="3349"/>
      <c r="BR56" s="3349">
        <f t="shared" si="194"/>
        <v>0</v>
      </c>
      <c r="BS56" s="4428" t="e">
        <f t="shared" si="195"/>
        <v>#DIV/0!</v>
      </c>
      <c r="BT56" s="4429"/>
      <c r="BU56" s="3349"/>
      <c r="BV56" s="3349"/>
      <c r="BW56" s="3349">
        <f t="shared" si="196"/>
        <v>0</v>
      </c>
      <c r="BX56" s="4428" t="e">
        <f t="shared" si="197"/>
        <v>#DIV/0!</v>
      </c>
      <c r="BY56" s="4429"/>
      <c r="BZ56" s="3349"/>
      <c r="CA56" s="3349"/>
      <c r="CB56" s="3349">
        <f t="shared" si="198"/>
        <v>0</v>
      </c>
      <c r="CC56" s="4428" t="e">
        <f t="shared" si="199"/>
        <v>#DIV/0!</v>
      </c>
      <c r="CD56" s="4429"/>
      <c r="CE56" s="3349"/>
      <c r="CF56" s="3349"/>
      <c r="CG56" s="3349">
        <f t="shared" si="200"/>
        <v>0</v>
      </c>
      <c r="CH56" s="4428" t="e">
        <f t="shared" si="201"/>
        <v>#DIV/0!</v>
      </c>
      <c r="CI56" s="4429"/>
      <c r="CJ56" s="3341">
        <f t="shared" si="202"/>
        <v>0</v>
      </c>
      <c r="CK56" s="3341">
        <f t="shared" si="202"/>
        <v>0</v>
      </c>
      <c r="CL56" s="2012">
        <f t="shared" si="203"/>
        <v>0</v>
      </c>
      <c r="CM56" s="4428">
        <f t="shared" si="168"/>
        <v>0</v>
      </c>
      <c r="CN56" s="4432"/>
      <c r="CP56" s="2012">
        <f t="shared" si="204"/>
        <v>0</v>
      </c>
      <c r="CQ56" s="2012">
        <f t="shared" si="204"/>
        <v>0</v>
      </c>
      <c r="CR56" s="4614"/>
    </row>
    <row r="57" spans="1:98" ht="13.8" outlineLevel="2">
      <c r="A57" s="1571"/>
      <c r="B57" s="4632" t="s">
        <v>68</v>
      </c>
      <c r="C57" s="3349"/>
      <c r="D57" s="3349"/>
      <c r="E57" s="3349">
        <f t="shared" si="169"/>
        <v>0</v>
      </c>
      <c r="F57" s="4428" t="e">
        <f t="shared" si="133"/>
        <v>#DIV/0!</v>
      </c>
      <c r="G57" s="4429"/>
      <c r="H57" s="3349"/>
      <c r="I57" s="3349"/>
      <c r="J57" s="3349">
        <f t="shared" si="170"/>
        <v>0</v>
      </c>
      <c r="K57" s="4428" t="e">
        <f t="shared" si="171"/>
        <v>#DIV/0!</v>
      </c>
      <c r="L57" s="4429"/>
      <c r="M57" s="3349"/>
      <c r="N57" s="3349"/>
      <c r="O57" s="3349">
        <f t="shared" si="172"/>
        <v>0</v>
      </c>
      <c r="P57" s="4428" t="e">
        <f t="shared" si="173"/>
        <v>#DIV/0!</v>
      </c>
      <c r="Q57" s="4429"/>
      <c r="R57" s="3342">
        <f t="shared" si="174"/>
        <v>0</v>
      </c>
      <c r="S57" s="3342">
        <f t="shared" si="174"/>
        <v>0</v>
      </c>
      <c r="T57" s="2012">
        <f t="shared" si="175"/>
        <v>0</v>
      </c>
      <c r="U57" s="3462"/>
      <c r="V57" s="3462"/>
      <c r="W57" s="3342">
        <f t="shared" si="176"/>
        <v>0</v>
      </c>
      <c r="X57" s="3342">
        <f t="shared" si="176"/>
        <v>0</v>
      </c>
      <c r="Y57" s="2012">
        <f t="shared" si="177"/>
        <v>0</v>
      </c>
      <c r="Z57" s="3462"/>
      <c r="AA57" s="3462"/>
      <c r="AB57" s="3349"/>
      <c r="AC57" s="3349"/>
      <c r="AD57" s="3349">
        <f t="shared" si="178"/>
        <v>0</v>
      </c>
      <c r="AE57" s="4428" t="e">
        <f t="shared" si="179"/>
        <v>#DIV/0!</v>
      </c>
      <c r="AF57" s="4429"/>
      <c r="AG57" s="3349"/>
      <c r="AH57" s="3349"/>
      <c r="AI57" s="3349">
        <f t="shared" si="180"/>
        <v>0</v>
      </c>
      <c r="AJ57" s="4428" t="e">
        <f t="shared" si="181"/>
        <v>#DIV/0!</v>
      </c>
      <c r="AK57" s="4429"/>
      <c r="AL57" s="3349"/>
      <c r="AM57" s="3349"/>
      <c r="AN57" s="3349">
        <f t="shared" si="182"/>
        <v>0</v>
      </c>
      <c r="AO57" s="4428" t="e">
        <f t="shared" si="183"/>
        <v>#DIV/0!</v>
      </c>
      <c r="AP57" s="4429"/>
      <c r="AQ57" s="3349"/>
      <c r="AR57" s="3349"/>
      <c r="AS57" s="3349">
        <f t="shared" si="184"/>
        <v>0</v>
      </c>
      <c r="AT57" s="4428" t="e">
        <f t="shared" si="185"/>
        <v>#DIV/0!</v>
      </c>
      <c r="AU57" s="4429"/>
      <c r="AV57" s="3349"/>
      <c r="AW57" s="3349"/>
      <c r="AX57" s="3349">
        <f t="shared" si="186"/>
        <v>0</v>
      </c>
      <c r="AY57" s="4428">
        <f t="shared" si="187"/>
        <v>0</v>
      </c>
      <c r="AZ57" s="4429"/>
      <c r="BA57" s="3349"/>
      <c r="BB57" s="3349"/>
      <c r="BC57" s="3349">
        <f t="shared" si="188"/>
        <v>0</v>
      </c>
      <c r="BD57" s="4428">
        <f t="shared" si="189"/>
        <v>0</v>
      </c>
      <c r="BE57" s="4429"/>
      <c r="BF57" s="3349"/>
      <c r="BG57" s="3349"/>
      <c r="BH57" s="3349">
        <f t="shared" si="190"/>
        <v>0</v>
      </c>
      <c r="BI57" s="4428" t="e">
        <f t="shared" si="191"/>
        <v>#DIV/0!</v>
      </c>
      <c r="BJ57" s="4429"/>
      <c r="BK57" s="3349"/>
      <c r="BL57" s="3349"/>
      <c r="BM57" s="3349">
        <f t="shared" si="192"/>
        <v>0</v>
      </c>
      <c r="BN57" s="4428" t="e">
        <f t="shared" si="193"/>
        <v>#DIV/0!</v>
      </c>
      <c r="BO57" s="4429"/>
      <c r="BP57" s="3349"/>
      <c r="BQ57" s="3349"/>
      <c r="BR57" s="3349">
        <f t="shared" si="194"/>
        <v>0</v>
      </c>
      <c r="BS57" s="4428" t="e">
        <f t="shared" si="195"/>
        <v>#DIV/0!</v>
      </c>
      <c r="BT57" s="4429"/>
      <c r="BU57" s="3349"/>
      <c r="BV57" s="3349"/>
      <c r="BW57" s="3349">
        <f t="shared" si="196"/>
        <v>0</v>
      </c>
      <c r="BX57" s="4428" t="e">
        <f t="shared" si="197"/>
        <v>#DIV/0!</v>
      </c>
      <c r="BY57" s="4429"/>
      <c r="BZ57" s="3349"/>
      <c r="CA57" s="3349"/>
      <c r="CB57" s="3349">
        <f t="shared" si="198"/>
        <v>0</v>
      </c>
      <c r="CC57" s="4428" t="e">
        <f t="shared" si="199"/>
        <v>#DIV/0!</v>
      </c>
      <c r="CD57" s="4429"/>
      <c r="CE57" s="3349"/>
      <c r="CF57" s="3349"/>
      <c r="CG57" s="3349">
        <f t="shared" si="200"/>
        <v>0</v>
      </c>
      <c r="CH57" s="4428" t="e">
        <f t="shared" si="201"/>
        <v>#DIV/0!</v>
      </c>
      <c r="CI57" s="4429"/>
      <c r="CJ57" s="3341">
        <f t="shared" si="202"/>
        <v>0</v>
      </c>
      <c r="CK57" s="3341">
        <f t="shared" si="202"/>
        <v>0</v>
      </c>
      <c r="CL57" s="2012">
        <f t="shared" si="203"/>
        <v>0</v>
      </c>
      <c r="CM57" s="4428">
        <f t="shared" si="168"/>
        <v>0</v>
      </c>
      <c r="CN57" s="4432"/>
      <c r="CP57" s="2012">
        <f t="shared" si="204"/>
        <v>0</v>
      </c>
      <c r="CQ57" s="2012">
        <f t="shared" si="204"/>
        <v>0</v>
      </c>
      <c r="CR57" s="4614"/>
    </row>
    <row r="58" spans="1:98" ht="13.8" outlineLevel="2">
      <c r="A58" s="1571"/>
      <c r="B58" s="4632" t="s">
        <v>67</v>
      </c>
      <c r="C58" s="3349"/>
      <c r="D58" s="3349"/>
      <c r="E58" s="3349">
        <f t="shared" si="169"/>
        <v>0</v>
      </c>
      <c r="F58" s="4428" t="e">
        <f t="shared" si="133"/>
        <v>#DIV/0!</v>
      </c>
      <c r="G58" s="4429"/>
      <c r="H58" s="3349"/>
      <c r="I58" s="3349"/>
      <c r="J58" s="3349">
        <f t="shared" si="170"/>
        <v>0</v>
      </c>
      <c r="K58" s="4428" t="e">
        <f t="shared" si="171"/>
        <v>#DIV/0!</v>
      </c>
      <c r="L58" s="4429"/>
      <c r="M58" s="3349"/>
      <c r="N58" s="3349"/>
      <c r="O58" s="3349">
        <f t="shared" si="172"/>
        <v>0</v>
      </c>
      <c r="P58" s="4428" t="e">
        <f t="shared" si="173"/>
        <v>#DIV/0!</v>
      </c>
      <c r="Q58" s="4429"/>
      <c r="R58" s="3342">
        <f t="shared" si="174"/>
        <v>0</v>
      </c>
      <c r="S58" s="3342">
        <f t="shared" si="174"/>
        <v>0</v>
      </c>
      <c r="T58" s="2012">
        <f t="shared" si="175"/>
        <v>0</v>
      </c>
      <c r="U58" s="3462"/>
      <c r="V58" s="3462"/>
      <c r="W58" s="3342">
        <f t="shared" si="176"/>
        <v>0</v>
      </c>
      <c r="X58" s="3342">
        <f t="shared" si="176"/>
        <v>0</v>
      </c>
      <c r="Y58" s="2012">
        <f t="shared" si="177"/>
        <v>0</v>
      </c>
      <c r="Z58" s="3462"/>
      <c r="AA58" s="3462"/>
      <c r="AB58" s="3349"/>
      <c r="AC58" s="3349"/>
      <c r="AD58" s="3349">
        <f t="shared" si="178"/>
        <v>0</v>
      </c>
      <c r="AE58" s="4428" t="e">
        <f t="shared" si="179"/>
        <v>#DIV/0!</v>
      </c>
      <c r="AF58" s="4429"/>
      <c r="AG58" s="3349"/>
      <c r="AH58" s="3349"/>
      <c r="AI58" s="3349">
        <f t="shared" si="180"/>
        <v>0</v>
      </c>
      <c r="AJ58" s="4428" t="e">
        <f t="shared" si="181"/>
        <v>#DIV/0!</v>
      </c>
      <c r="AK58" s="4429"/>
      <c r="AL58" s="3349"/>
      <c r="AM58" s="3349"/>
      <c r="AN58" s="3349">
        <f t="shared" si="182"/>
        <v>0</v>
      </c>
      <c r="AO58" s="4428" t="e">
        <f t="shared" si="183"/>
        <v>#DIV/0!</v>
      </c>
      <c r="AP58" s="4429"/>
      <c r="AQ58" s="3349"/>
      <c r="AR58" s="3349"/>
      <c r="AS58" s="3349">
        <f t="shared" si="184"/>
        <v>0</v>
      </c>
      <c r="AT58" s="4428" t="e">
        <f t="shared" si="185"/>
        <v>#DIV/0!</v>
      </c>
      <c r="AU58" s="4429"/>
      <c r="AV58" s="3349"/>
      <c r="AW58" s="3349"/>
      <c r="AX58" s="3349">
        <f t="shared" si="186"/>
        <v>0</v>
      </c>
      <c r="AY58" s="4428">
        <f t="shared" si="187"/>
        <v>0</v>
      </c>
      <c r="AZ58" s="4429"/>
      <c r="BA58" s="3349"/>
      <c r="BB58" s="3349"/>
      <c r="BC58" s="3349">
        <f t="shared" si="188"/>
        <v>0</v>
      </c>
      <c r="BD58" s="4428">
        <f t="shared" si="189"/>
        <v>0</v>
      </c>
      <c r="BE58" s="4429"/>
      <c r="BF58" s="3349"/>
      <c r="BG58" s="3349"/>
      <c r="BH58" s="3349">
        <f t="shared" si="190"/>
        <v>0</v>
      </c>
      <c r="BI58" s="4428" t="e">
        <f t="shared" si="191"/>
        <v>#DIV/0!</v>
      </c>
      <c r="BJ58" s="4429"/>
      <c r="BK58" s="3349"/>
      <c r="BL58" s="3349"/>
      <c r="BM58" s="3349">
        <f t="shared" si="192"/>
        <v>0</v>
      </c>
      <c r="BN58" s="4428" t="e">
        <f t="shared" si="193"/>
        <v>#DIV/0!</v>
      </c>
      <c r="BO58" s="4429"/>
      <c r="BP58" s="3349"/>
      <c r="BQ58" s="3349"/>
      <c r="BR58" s="3349">
        <f t="shared" si="194"/>
        <v>0</v>
      </c>
      <c r="BS58" s="4428" t="e">
        <f t="shared" si="195"/>
        <v>#DIV/0!</v>
      </c>
      <c r="BT58" s="4429"/>
      <c r="BU58" s="3349"/>
      <c r="BV58" s="3349"/>
      <c r="BW58" s="3349">
        <f t="shared" si="196"/>
        <v>0</v>
      </c>
      <c r="BX58" s="4428" t="e">
        <f t="shared" si="197"/>
        <v>#DIV/0!</v>
      </c>
      <c r="BY58" s="4429"/>
      <c r="BZ58" s="3349"/>
      <c r="CA58" s="3349"/>
      <c r="CB58" s="3349">
        <f t="shared" si="198"/>
        <v>0</v>
      </c>
      <c r="CC58" s="4428" t="e">
        <f t="shared" si="199"/>
        <v>#DIV/0!</v>
      </c>
      <c r="CD58" s="4429"/>
      <c r="CE58" s="3349"/>
      <c r="CF58" s="3349"/>
      <c r="CG58" s="3349">
        <f t="shared" si="200"/>
        <v>0</v>
      </c>
      <c r="CH58" s="4428" t="e">
        <f t="shared" si="201"/>
        <v>#DIV/0!</v>
      </c>
      <c r="CI58" s="4429"/>
      <c r="CJ58" s="3341">
        <f t="shared" si="202"/>
        <v>0</v>
      </c>
      <c r="CK58" s="3341">
        <f t="shared" si="202"/>
        <v>0</v>
      </c>
      <c r="CL58" s="2012">
        <f t="shared" si="203"/>
        <v>0</v>
      </c>
      <c r="CM58" s="4428">
        <f t="shared" si="168"/>
        <v>0</v>
      </c>
      <c r="CN58" s="4432"/>
      <c r="CP58" s="2012">
        <f t="shared" si="204"/>
        <v>0</v>
      </c>
      <c r="CQ58" s="2012">
        <f t="shared" si="204"/>
        <v>0</v>
      </c>
      <c r="CR58" s="4614"/>
    </row>
    <row r="59" spans="1:98" ht="13.8" outlineLevel="2">
      <c r="A59" s="1571"/>
      <c r="B59" s="4632" t="s">
        <v>66</v>
      </c>
      <c r="C59" s="3349"/>
      <c r="D59" s="3349"/>
      <c r="E59" s="3349">
        <f t="shared" si="169"/>
        <v>0</v>
      </c>
      <c r="F59" s="4428" t="e">
        <f t="shared" si="133"/>
        <v>#DIV/0!</v>
      </c>
      <c r="G59" s="4429"/>
      <c r="H59" s="3349"/>
      <c r="I59" s="3349"/>
      <c r="J59" s="3349">
        <f t="shared" si="170"/>
        <v>0</v>
      </c>
      <c r="K59" s="4428" t="e">
        <f t="shared" si="171"/>
        <v>#DIV/0!</v>
      </c>
      <c r="L59" s="4429"/>
      <c r="M59" s="3349"/>
      <c r="N59" s="3349"/>
      <c r="O59" s="3349">
        <f t="shared" si="172"/>
        <v>0</v>
      </c>
      <c r="P59" s="4428" t="e">
        <f t="shared" si="173"/>
        <v>#DIV/0!</v>
      </c>
      <c r="Q59" s="4429"/>
      <c r="R59" s="3342">
        <f t="shared" si="174"/>
        <v>0</v>
      </c>
      <c r="S59" s="3342">
        <f t="shared" si="174"/>
        <v>0</v>
      </c>
      <c r="T59" s="2012">
        <f t="shared" si="175"/>
        <v>0</v>
      </c>
      <c r="U59" s="3462"/>
      <c r="V59" s="3462"/>
      <c r="W59" s="3342">
        <f t="shared" si="176"/>
        <v>0</v>
      </c>
      <c r="X59" s="3342">
        <f t="shared" si="176"/>
        <v>0</v>
      </c>
      <c r="Y59" s="2012">
        <f t="shared" si="177"/>
        <v>0</v>
      </c>
      <c r="Z59" s="3462"/>
      <c r="AA59" s="3462"/>
      <c r="AB59" s="3349"/>
      <c r="AC59" s="3349"/>
      <c r="AD59" s="3349">
        <f t="shared" si="178"/>
        <v>0</v>
      </c>
      <c r="AE59" s="4428" t="e">
        <f t="shared" si="179"/>
        <v>#DIV/0!</v>
      </c>
      <c r="AF59" s="4429"/>
      <c r="AG59" s="3349"/>
      <c r="AH59" s="3349"/>
      <c r="AI59" s="3349">
        <f t="shared" si="180"/>
        <v>0</v>
      </c>
      <c r="AJ59" s="4428" t="e">
        <f t="shared" si="181"/>
        <v>#DIV/0!</v>
      </c>
      <c r="AK59" s="4429"/>
      <c r="AL59" s="3349"/>
      <c r="AM59" s="3349"/>
      <c r="AN59" s="3349">
        <f t="shared" si="182"/>
        <v>0</v>
      </c>
      <c r="AO59" s="4428" t="e">
        <f t="shared" si="183"/>
        <v>#DIV/0!</v>
      </c>
      <c r="AP59" s="4429"/>
      <c r="AQ59" s="3349"/>
      <c r="AR59" s="3349"/>
      <c r="AS59" s="3349">
        <f t="shared" si="184"/>
        <v>0</v>
      </c>
      <c r="AT59" s="4428" t="e">
        <f t="shared" si="185"/>
        <v>#DIV/0!</v>
      </c>
      <c r="AU59" s="4429"/>
      <c r="AV59" s="3349"/>
      <c r="AW59" s="3349"/>
      <c r="AX59" s="3349">
        <f t="shared" si="186"/>
        <v>0</v>
      </c>
      <c r="AY59" s="4428">
        <f t="shared" si="187"/>
        <v>0</v>
      </c>
      <c r="AZ59" s="4429"/>
      <c r="BA59" s="3349"/>
      <c r="BB59" s="3349"/>
      <c r="BC59" s="3349">
        <f t="shared" si="188"/>
        <v>0</v>
      </c>
      <c r="BD59" s="4428">
        <f t="shared" si="189"/>
        <v>0</v>
      </c>
      <c r="BE59" s="4429"/>
      <c r="BF59" s="3349"/>
      <c r="BG59" s="3349"/>
      <c r="BH59" s="3349">
        <f t="shared" si="190"/>
        <v>0</v>
      </c>
      <c r="BI59" s="4428" t="e">
        <f t="shared" si="191"/>
        <v>#DIV/0!</v>
      </c>
      <c r="BJ59" s="4429"/>
      <c r="BK59" s="3349"/>
      <c r="BL59" s="3349"/>
      <c r="BM59" s="3349">
        <f t="shared" si="192"/>
        <v>0</v>
      </c>
      <c r="BN59" s="4428" t="e">
        <f t="shared" si="193"/>
        <v>#DIV/0!</v>
      </c>
      <c r="BO59" s="4429"/>
      <c r="BP59" s="3349"/>
      <c r="BQ59" s="3349"/>
      <c r="BR59" s="3349">
        <f t="shared" si="194"/>
        <v>0</v>
      </c>
      <c r="BS59" s="4428" t="e">
        <f t="shared" si="195"/>
        <v>#DIV/0!</v>
      </c>
      <c r="BT59" s="4429"/>
      <c r="BU59" s="3349"/>
      <c r="BV59" s="3349"/>
      <c r="BW59" s="3349">
        <f t="shared" si="196"/>
        <v>0</v>
      </c>
      <c r="BX59" s="4428" t="e">
        <f t="shared" si="197"/>
        <v>#DIV/0!</v>
      </c>
      <c r="BY59" s="4429"/>
      <c r="BZ59" s="3349"/>
      <c r="CA59" s="3349"/>
      <c r="CB59" s="3349">
        <f t="shared" si="198"/>
        <v>0</v>
      </c>
      <c r="CC59" s="4428" t="e">
        <f t="shared" si="199"/>
        <v>#DIV/0!</v>
      </c>
      <c r="CD59" s="4429"/>
      <c r="CE59" s="3349"/>
      <c r="CF59" s="3349"/>
      <c r="CG59" s="3349">
        <f t="shared" si="200"/>
        <v>0</v>
      </c>
      <c r="CH59" s="4428" t="e">
        <f t="shared" si="201"/>
        <v>#DIV/0!</v>
      </c>
      <c r="CI59" s="4429"/>
      <c r="CJ59" s="3341">
        <f t="shared" si="202"/>
        <v>0</v>
      </c>
      <c r="CK59" s="3341">
        <f t="shared" si="202"/>
        <v>0</v>
      </c>
      <c r="CL59" s="2012">
        <f t="shared" si="203"/>
        <v>0</v>
      </c>
      <c r="CM59" s="4428">
        <f t="shared" si="168"/>
        <v>0</v>
      </c>
      <c r="CN59" s="4432"/>
      <c r="CP59" s="2012">
        <f t="shared" si="204"/>
        <v>0</v>
      </c>
      <c r="CQ59" s="2012">
        <f t="shared" si="204"/>
        <v>0</v>
      </c>
      <c r="CR59" s="4614"/>
    </row>
    <row r="60" spans="1:98" ht="13.8" outlineLevel="2">
      <c r="A60" s="1571"/>
      <c r="B60" s="4632" t="s">
        <v>65</v>
      </c>
      <c r="C60" s="3349"/>
      <c r="D60" s="3349"/>
      <c r="E60" s="3349">
        <f t="shared" si="169"/>
        <v>0</v>
      </c>
      <c r="F60" s="4428" t="e">
        <f t="shared" si="133"/>
        <v>#DIV/0!</v>
      </c>
      <c r="G60" s="4429"/>
      <c r="H60" s="3349"/>
      <c r="I60" s="3349"/>
      <c r="J60" s="3349">
        <f t="shared" si="170"/>
        <v>0</v>
      </c>
      <c r="K60" s="4428" t="e">
        <f t="shared" si="171"/>
        <v>#DIV/0!</v>
      </c>
      <c r="L60" s="4429"/>
      <c r="M60" s="3349"/>
      <c r="N60" s="3349"/>
      <c r="O60" s="3349">
        <f t="shared" si="172"/>
        <v>0</v>
      </c>
      <c r="P60" s="4428" t="e">
        <f t="shared" si="173"/>
        <v>#DIV/0!</v>
      </c>
      <c r="Q60" s="4429"/>
      <c r="R60" s="3342">
        <f t="shared" si="174"/>
        <v>0</v>
      </c>
      <c r="S60" s="3342">
        <f t="shared" si="174"/>
        <v>0</v>
      </c>
      <c r="T60" s="2012">
        <f t="shared" si="175"/>
        <v>0</v>
      </c>
      <c r="U60" s="3462"/>
      <c r="V60" s="3462"/>
      <c r="W60" s="3342">
        <f t="shared" si="176"/>
        <v>0</v>
      </c>
      <c r="X60" s="3342">
        <f t="shared" si="176"/>
        <v>0</v>
      </c>
      <c r="Y60" s="2012">
        <f t="shared" si="177"/>
        <v>0</v>
      </c>
      <c r="Z60" s="3462"/>
      <c r="AA60" s="3462"/>
      <c r="AB60" s="3349"/>
      <c r="AC60" s="3349"/>
      <c r="AD60" s="3349">
        <f t="shared" si="178"/>
        <v>0</v>
      </c>
      <c r="AE60" s="4428" t="e">
        <f t="shared" si="179"/>
        <v>#DIV/0!</v>
      </c>
      <c r="AF60" s="4429"/>
      <c r="AG60" s="3349"/>
      <c r="AH60" s="3349"/>
      <c r="AI60" s="3349">
        <f t="shared" si="180"/>
        <v>0</v>
      </c>
      <c r="AJ60" s="4428" t="e">
        <f t="shared" si="181"/>
        <v>#DIV/0!</v>
      </c>
      <c r="AK60" s="4429"/>
      <c r="AL60" s="3349"/>
      <c r="AM60" s="3349"/>
      <c r="AN60" s="3349">
        <f t="shared" si="182"/>
        <v>0</v>
      </c>
      <c r="AO60" s="4428" t="e">
        <f t="shared" si="183"/>
        <v>#DIV/0!</v>
      </c>
      <c r="AP60" s="4429"/>
      <c r="AQ60" s="3349"/>
      <c r="AR60" s="3349"/>
      <c r="AS60" s="3349">
        <f t="shared" si="184"/>
        <v>0</v>
      </c>
      <c r="AT60" s="4428" t="e">
        <f t="shared" si="185"/>
        <v>#DIV/0!</v>
      </c>
      <c r="AU60" s="4429"/>
      <c r="AV60" s="3349"/>
      <c r="AW60" s="3349"/>
      <c r="AX60" s="3349">
        <f t="shared" si="186"/>
        <v>0</v>
      </c>
      <c r="AY60" s="4428">
        <f t="shared" si="187"/>
        <v>0</v>
      </c>
      <c r="AZ60" s="4429"/>
      <c r="BA60" s="3349"/>
      <c r="BB60" s="3349"/>
      <c r="BC60" s="3349">
        <f t="shared" si="188"/>
        <v>0</v>
      </c>
      <c r="BD60" s="4428">
        <f t="shared" si="189"/>
        <v>0</v>
      </c>
      <c r="BE60" s="4429"/>
      <c r="BF60" s="3349"/>
      <c r="BG60" s="3349"/>
      <c r="BH60" s="3349">
        <f t="shared" si="190"/>
        <v>0</v>
      </c>
      <c r="BI60" s="4428" t="e">
        <f t="shared" si="191"/>
        <v>#DIV/0!</v>
      </c>
      <c r="BJ60" s="4429"/>
      <c r="BK60" s="3349"/>
      <c r="BL60" s="3349"/>
      <c r="BM60" s="3349">
        <f t="shared" si="192"/>
        <v>0</v>
      </c>
      <c r="BN60" s="4428" t="e">
        <f t="shared" si="193"/>
        <v>#DIV/0!</v>
      </c>
      <c r="BO60" s="4429"/>
      <c r="BP60" s="3349"/>
      <c r="BQ60" s="3349"/>
      <c r="BR60" s="3349">
        <f t="shared" si="194"/>
        <v>0</v>
      </c>
      <c r="BS60" s="4428" t="e">
        <f t="shared" si="195"/>
        <v>#DIV/0!</v>
      </c>
      <c r="BT60" s="4429"/>
      <c r="BU60" s="3349"/>
      <c r="BV60" s="3349"/>
      <c r="BW60" s="3349">
        <f t="shared" si="196"/>
        <v>0</v>
      </c>
      <c r="BX60" s="4428" t="e">
        <f t="shared" si="197"/>
        <v>#DIV/0!</v>
      </c>
      <c r="BY60" s="4429"/>
      <c r="BZ60" s="3349"/>
      <c r="CA60" s="3349"/>
      <c r="CB60" s="3349">
        <f t="shared" si="198"/>
        <v>0</v>
      </c>
      <c r="CC60" s="4428" t="e">
        <f t="shared" si="199"/>
        <v>#DIV/0!</v>
      </c>
      <c r="CD60" s="4429"/>
      <c r="CE60" s="3349"/>
      <c r="CF60" s="3349"/>
      <c r="CG60" s="3349">
        <f t="shared" si="200"/>
        <v>0</v>
      </c>
      <c r="CH60" s="4428" t="e">
        <f t="shared" si="201"/>
        <v>#DIV/0!</v>
      </c>
      <c r="CI60" s="4429"/>
      <c r="CJ60" s="3341">
        <f t="shared" si="202"/>
        <v>0</v>
      </c>
      <c r="CK60" s="3341">
        <f t="shared" si="202"/>
        <v>0</v>
      </c>
      <c r="CL60" s="2012">
        <f t="shared" si="203"/>
        <v>0</v>
      </c>
      <c r="CM60" s="4428">
        <f t="shared" si="168"/>
        <v>0</v>
      </c>
      <c r="CN60" s="4432"/>
      <c r="CP60" s="2012">
        <f t="shared" si="204"/>
        <v>0</v>
      </c>
      <c r="CQ60" s="2012">
        <f t="shared" si="204"/>
        <v>0</v>
      </c>
      <c r="CR60" s="4614"/>
    </row>
    <row r="61" spans="1:98" ht="13.8" outlineLevel="2">
      <c r="A61" s="1571"/>
      <c r="B61" s="4632" t="s">
        <v>32</v>
      </c>
      <c r="C61" s="3349"/>
      <c r="D61" s="3349"/>
      <c r="E61" s="3349">
        <f t="shared" si="169"/>
        <v>0</v>
      </c>
      <c r="F61" s="4428" t="e">
        <f t="shared" si="133"/>
        <v>#DIV/0!</v>
      </c>
      <c r="G61" s="4429"/>
      <c r="H61" s="3349"/>
      <c r="I61" s="3349"/>
      <c r="J61" s="3349">
        <f t="shared" si="170"/>
        <v>0</v>
      </c>
      <c r="K61" s="4428" t="e">
        <f t="shared" si="171"/>
        <v>#DIV/0!</v>
      </c>
      <c r="L61" s="4429"/>
      <c r="M61" s="3349"/>
      <c r="N61" s="3349"/>
      <c r="O61" s="3349">
        <f t="shared" si="172"/>
        <v>0</v>
      </c>
      <c r="P61" s="4428" t="e">
        <f t="shared" si="173"/>
        <v>#DIV/0!</v>
      </c>
      <c r="Q61" s="4429"/>
      <c r="R61" s="3342">
        <f t="shared" si="174"/>
        <v>0</v>
      </c>
      <c r="S61" s="3342">
        <f t="shared" si="174"/>
        <v>0</v>
      </c>
      <c r="T61" s="2012">
        <f t="shared" si="175"/>
        <v>0</v>
      </c>
      <c r="U61" s="3462"/>
      <c r="V61" s="3462"/>
      <c r="W61" s="3342">
        <f t="shared" si="176"/>
        <v>0</v>
      </c>
      <c r="X61" s="3342">
        <f t="shared" si="176"/>
        <v>0</v>
      </c>
      <c r="Y61" s="2012">
        <f t="shared" si="177"/>
        <v>0</v>
      </c>
      <c r="Z61" s="3462"/>
      <c r="AA61" s="3462"/>
      <c r="AB61" s="3349"/>
      <c r="AC61" s="3349"/>
      <c r="AD61" s="3349">
        <f t="shared" si="178"/>
        <v>0</v>
      </c>
      <c r="AE61" s="4428" t="e">
        <f t="shared" si="179"/>
        <v>#DIV/0!</v>
      </c>
      <c r="AF61" s="4429"/>
      <c r="AG61" s="3349"/>
      <c r="AH61" s="3349"/>
      <c r="AI61" s="3349">
        <f t="shared" si="180"/>
        <v>0</v>
      </c>
      <c r="AJ61" s="4428" t="e">
        <f t="shared" si="181"/>
        <v>#DIV/0!</v>
      </c>
      <c r="AK61" s="4429"/>
      <c r="AL61" s="3349"/>
      <c r="AM61" s="3349"/>
      <c r="AN61" s="3349">
        <f t="shared" si="182"/>
        <v>0</v>
      </c>
      <c r="AO61" s="4428" t="e">
        <f t="shared" si="183"/>
        <v>#DIV/0!</v>
      </c>
      <c r="AP61" s="4429"/>
      <c r="AQ61" s="3349"/>
      <c r="AR61" s="3349"/>
      <c r="AS61" s="3349">
        <f t="shared" si="184"/>
        <v>0</v>
      </c>
      <c r="AT61" s="4428" t="e">
        <f t="shared" si="185"/>
        <v>#DIV/0!</v>
      </c>
      <c r="AU61" s="4429"/>
      <c r="AV61" s="3349"/>
      <c r="AW61" s="3349"/>
      <c r="AX61" s="3349">
        <f t="shared" si="186"/>
        <v>0</v>
      </c>
      <c r="AY61" s="4428">
        <f t="shared" si="187"/>
        <v>0</v>
      </c>
      <c r="AZ61" s="4429"/>
      <c r="BA61" s="3349"/>
      <c r="BB61" s="3349"/>
      <c r="BC61" s="3349">
        <f t="shared" si="188"/>
        <v>0</v>
      </c>
      <c r="BD61" s="4428">
        <f t="shared" si="189"/>
        <v>0</v>
      </c>
      <c r="BE61" s="4429"/>
      <c r="BF61" s="3349"/>
      <c r="BG61" s="3349"/>
      <c r="BH61" s="3349">
        <f t="shared" si="190"/>
        <v>0</v>
      </c>
      <c r="BI61" s="4428" t="e">
        <f t="shared" si="191"/>
        <v>#DIV/0!</v>
      </c>
      <c r="BJ61" s="4429"/>
      <c r="BK61" s="3349"/>
      <c r="BL61" s="3349"/>
      <c r="BM61" s="3349">
        <f t="shared" si="192"/>
        <v>0</v>
      </c>
      <c r="BN61" s="4428" t="e">
        <f t="shared" si="193"/>
        <v>#DIV/0!</v>
      </c>
      <c r="BO61" s="4429"/>
      <c r="BP61" s="3349"/>
      <c r="BQ61" s="3349"/>
      <c r="BR61" s="3349">
        <f t="shared" si="194"/>
        <v>0</v>
      </c>
      <c r="BS61" s="4428" t="e">
        <f t="shared" si="195"/>
        <v>#DIV/0!</v>
      </c>
      <c r="BT61" s="4429"/>
      <c r="BU61" s="3349"/>
      <c r="BV61" s="3349"/>
      <c r="BW61" s="3349">
        <f t="shared" si="196"/>
        <v>0</v>
      </c>
      <c r="BX61" s="4428" t="e">
        <f t="shared" si="197"/>
        <v>#DIV/0!</v>
      </c>
      <c r="BY61" s="4429"/>
      <c r="BZ61" s="3349"/>
      <c r="CA61" s="3349"/>
      <c r="CB61" s="3349">
        <f t="shared" si="198"/>
        <v>0</v>
      </c>
      <c r="CC61" s="4428" t="e">
        <f t="shared" si="199"/>
        <v>#DIV/0!</v>
      </c>
      <c r="CD61" s="4429"/>
      <c r="CE61" s="3349"/>
      <c r="CF61" s="3349"/>
      <c r="CG61" s="3349">
        <f t="shared" si="200"/>
        <v>0</v>
      </c>
      <c r="CH61" s="4428" t="e">
        <f t="shared" si="201"/>
        <v>#DIV/0!</v>
      </c>
      <c r="CI61" s="4429"/>
      <c r="CJ61" s="3341">
        <f t="shared" si="202"/>
        <v>0</v>
      </c>
      <c r="CK61" s="3341">
        <f t="shared" si="202"/>
        <v>0</v>
      </c>
      <c r="CL61" s="2012">
        <f t="shared" si="203"/>
        <v>0</v>
      </c>
      <c r="CM61" s="4428">
        <f t="shared" si="168"/>
        <v>0</v>
      </c>
      <c r="CN61" s="4432"/>
      <c r="CP61" s="2012">
        <f t="shared" si="204"/>
        <v>0</v>
      </c>
      <c r="CQ61" s="2012">
        <f t="shared" si="204"/>
        <v>0</v>
      </c>
      <c r="CR61" s="4614"/>
    </row>
    <row r="62" spans="1:98" ht="13.8" outlineLevel="2">
      <c r="A62" s="1571"/>
      <c r="B62" s="4632" t="s">
        <v>33</v>
      </c>
      <c r="C62" s="3349"/>
      <c r="D62" s="3349"/>
      <c r="E62" s="3349">
        <f t="shared" si="169"/>
        <v>0</v>
      </c>
      <c r="F62" s="4428" t="e">
        <f t="shared" si="133"/>
        <v>#DIV/0!</v>
      </c>
      <c r="G62" s="4429"/>
      <c r="H62" s="3349"/>
      <c r="I62" s="3349"/>
      <c r="J62" s="3349">
        <f t="shared" si="170"/>
        <v>0</v>
      </c>
      <c r="K62" s="4428" t="e">
        <f t="shared" si="171"/>
        <v>#DIV/0!</v>
      </c>
      <c r="L62" s="4429"/>
      <c r="M62" s="3349"/>
      <c r="N62" s="3349"/>
      <c r="O62" s="3349">
        <f t="shared" si="172"/>
        <v>0</v>
      </c>
      <c r="P62" s="4428" t="e">
        <f t="shared" si="173"/>
        <v>#DIV/0!</v>
      </c>
      <c r="Q62" s="4429"/>
      <c r="R62" s="3342">
        <f t="shared" si="174"/>
        <v>0</v>
      </c>
      <c r="S62" s="3342">
        <f t="shared" si="174"/>
        <v>0</v>
      </c>
      <c r="T62" s="2012">
        <f t="shared" si="175"/>
        <v>0</v>
      </c>
      <c r="U62" s="3462"/>
      <c r="V62" s="3462"/>
      <c r="W62" s="3342">
        <f t="shared" si="176"/>
        <v>0</v>
      </c>
      <c r="X62" s="3342">
        <f t="shared" si="176"/>
        <v>0</v>
      </c>
      <c r="Y62" s="2012">
        <f t="shared" si="177"/>
        <v>0</v>
      </c>
      <c r="Z62" s="3462"/>
      <c r="AA62" s="3462"/>
      <c r="AB62" s="3349"/>
      <c r="AC62" s="3349"/>
      <c r="AD62" s="3349">
        <f t="shared" si="178"/>
        <v>0</v>
      </c>
      <c r="AE62" s="4428" t="e">
        <f t="shared" si="179"/>
        <v>#DIV/0!</v>
      </c>
      <c r="AF62" s="4429"/>
      <c r="AG62" s="3349"/>
      <c r="AH62" s="3349"/>
      <c r="AI62" s="3349">
        <f t="shared" si="180"/>
        <v>0</v>
      </c>
      <c r="AJ62" s="4428" t="e">
        <f t="shared" si="181"/>
        <v>#DIV/0!</v>
      </c>
      <c r="AK62" s="4429"/>
      <c r="AL62" s="3349"/>
      <c r="AM62" s="3349"/>
      <c r="AN62" s="3349">
        <f t="shared" si="182"/>
        <v>0</v>
      </c>
      <c r="AO62" s="4428" t="e">
        <f t="shared" si="183"/>
        <v>#DIV/0!</v>
      </c>
      <c r="AP62" s="4429"/>
      <c r="AQ62" s="3349"/>
      <c r="AR62" s="3349"/>
      <c r="AS62" s="3349">
        <f t="shared" si="184"/>
        <v>0</v>
      </c>
      <c r="AT62" s="4428" t="e">
        <f t="shared" si="185"/>
        <v>#DIV/0!</v>
      </c>
      <c r="AU62" s="4429"/>
      <c r="AV62" s="3349"/>
      <c r="AW62" s="3349"/>
      <c r="AX62" s="3349">
        <f t="shared" si="186"/>
        <v>0</v>
      </c>
      <c r="AY62" s="4428">
        <f t="shared" si="187"/>
        <v>0</v>
      </c>
      <c r="AZ62" s="4429"/>
      <c r="BA62" s="3349"/>
      <c r="BB62" s="3349"/>
      <c r="BC62" s="3349">
        <f t="shared" si="188"/>
        <v>0</v>
      </c>
      <c r="BD62" s="4428">
        <f t="shared" si="189"/>
        <v>0</v>
      </c>
      <c r="BE62" s="4429"/>
      <c r="BF62" s="3349"/>
      <c r="BG62" s="3349"/>
      <c r="BH62" s="3349">
        <f t="shared" si="190"/>
        <v>0</v>
      </c>
      <c r="BI62" s="4428" t="e">
        <f t="shared" si="191"/>
        <v>#DIV/0!</v>
      </c>
      <c r="BJ62" s="4429"/>
      <c r="BK62" s="3349"/>
      <c r="BL62" s="3349"/>
      <c r="BM62" s="3349">
        <f t="shared" si="192"/>
        <v>0</v>
      </c>
      <c r="BN62" s="4428" t="e">
        <f t="shared" si="193"/>
        <v>#DIV/0!</v>
      </c>
      <c r="BO62" s="4429"/>
      <c r="BP62" s="3349"/>
      <c r="BQ62" s="3349"/>
      <c r="BR62" s="3349">
        <f t="shared" si="194"/>
        <v>0</v>
      </c>
      <c r="BS62" s="4428" t="e">
        <f t="shared" si="195"/>
        <v>#DIV/0!</v>
      </c>
      <c r="BT62" s="4429"/>
      <c r="BU62" s="3349"/>
      <c r="BV62" s="3349"/>
      <c r="BW62" s="3349">
        <f t="shared" si="196"/>
        <v>0</v>
      </c>
      <c r="BX62" s="4428" t="e">
        <f t="shared" si="197"/>
        <v>#DIV/0!</v>
      </c>
      <c r="BY62" s="4429"/>
      <c r="BZ62" s="3349"/>
      <c r="CA62" s="3349"/>
      <c r="CB62" s="3349">
        <f t="shared" si="198"/>
        <v>0</v>
      </c>
      <c r="CC62" s="4428" t="e">
        <f t="shared" si="199"/>
        <v>#DIV/0!</v>
      </c>
      <c r="CD62" s="4429"/>
      <c r="CE62" s="3349"/>
      <c r="CF62" s="3349"/>
      <c r="CG62" s="3349">
        <f t="shared" si="200"/>
        <v>0</v>
      </c>
      <c r="CH62" s="4428" t="e">
        <f t="shared" si="201"/>
        <v>#DIV/0!</v>
      </c>
      <c r="CI62" s="4429"/>
      <c r="CJ62" s="3341">
        <f t="shared" si="202"/>
        <v>0</v>
      </c>
      <c r="CK62" s="3341">
        <f t="shared" si="202"/>
        <v>0</v>
      </c>
      <c r="CL62" s="2012">
        <f t="shared" si="203"/>
        <v>0</v>
      </c>
      <c r="CM62" s="4428">
        <f t="shared" si="168"/>
        <v>0</v>
      </c>
      <c r="CN62" s="4432"/>
      <c r="CP62" s="2012">
        <f t="shared" si="204"/>
        <v>0</v>
      </c>
      <c r="CQ62" s="2012">
        <f t="shared" si="204"/>
        <v>0</v>
      </c>
      <c r="CR62" s="4614"/>
    </row>
    <row r="63" spans="1:98" ht="13.8" outlineLevel="2">
      <c r="A63" s="1571"/>
      <c r="B63" s="4632" t="s">
        <v>35</v>
      </c>
      <c r="C63" s="3349"/>
      <c r="D63" s="3349"/>
      <c r="E63" s="3349">
        <f t="shared" si="169"/>
        <v>0</v>
      </c>
      <c r="F63" s="4428" t="e">
        <f t="shared" si="133"/>
        <v>#DIV/0!</v>
      </c>
      <c r="G63" s="4429"/>
      <c r="H63" s="3349"/>
      <c r="I63" s="3349"/>
      <c r="J63" s="3349">
        <f t="shared" si="170"/>
        <v>0</v>
      </c>
      <c r="K63" s="4428" t="e">
        <f t="shared" si="171"/>
        <v>#DIV/0!</v>
      </c>
      <c r="L63" s="4429"/>
      <c r="M63" s="3349"/>
      <c r="N63" s="3349"/>
      <c r="O63" s="3349">
        <f t="shared" si="172"/>
        <v>0</v>
      </c>
      <c r="P63" s="4428" t="e">
        <f t="shared" si="173"/>
        <v>#DIV/0!</v>
      </c>
      <c r="Q63" s="4429"/>
      <c r="R63" s="3342">
        <f t="shared" si="174"/>
        <v>0</v>
      </c>
      <c r="S63" s="3342">
        <f t="shared" si="174"/>
        <v>0</v>
      </c>
      <c r="T63" s="2012">
        <f t="shared" si="175"/>
        <v>0</v>
      </c>
      <c r="U63" s="3462"/>
      <c r="V63" s="3462"/>
      <c r="W63" s="3342">
        <f t="shared" si="176"/>
        <v>0</v>
      </c>
      <c r="X63" s="3342">
        <f t="shared" si="176"/>
        <v>0</v>
      </c>
      <c r="Y63" s="2012">
        <f t="shared" si="177"/>
        <v>0</v>
      </c>
      <c r="Z63" s="3462"/>
      <c r="AA63" s="3462"/>
      <c r="AB63" s="3349"/>
      <c r="AC63" s="3349"/>
      <c r="AD63" s="3349">
        <f t="shared" si="178"/>
        <v>0</v>
      </c>
      <c r="AE63" s="4428" t="e">
        <f t="shared" si="179"/>
        <v>#DIV/0!</v>
      </c>
      <c r="AF63" s="4429"/>
      <c r="AG63" s="3349"/>
      <c r="AH63" s="3349"/>
      <c r="AI63" s="3349">
        <f t="shared" si="180"/>
        <v>0</v>
      </c>
      <c r="AJ63" s="4428" t="e">
        <f t="shared" si="181"/>
        <v>#DIV/0!</v>
      </c>
      <c r="AK63" s="4429"/>
      <c r="AL63" s="3349"/>
      <c r="AM63" s="3349"/>
      <c r="AN63" s="3349">
        <f t="shared" si="182"/>
        <v>0</v>
      </c>
      <c r="AO63" s="4428" t="e">
        <f t="shared" si="183"/>
        <v>#DIV/0!</v>
      </c>
      <c r="AP63" s="4429"/>
      <c r="AQ63" s="3349"/>
      <c r="AR63" s="3349"/>
      <c r="AS63" s="3349">
        <f t="shared" si="184"/>
        <v>0</v>
      </c>
      <c r="AT63" s="4428" t="e">
        <f t="shared" si="185"/>
        <v>#DIV/0!</v>
      </c>
      <c r="AU63" s="4429"/>
      <c r="AV63" s="3349"/>
      <c r="AW63" s="3349"/>
      <c r="AX63" s="3349">
        <f t="shared" si="186"/>
        <v>0</v>
      </c>
      <c r="AY63" s="4428">
        <f t="shared" si="187"/>
        <v>0</v>
      </c>
      <c r="AZ63" s="4429"/>
      <c r="BA63" s="3349"/>
      <c r="BB63" s="3349"/>
      <c r="BC63" s="3349">
        <f t="shared" si="188"/>
        <v>0</v>
      </c>
      <c r="BD63" s="4428">
        <f t="shared" si="189"/>
        <v>0</v>
      </c>
      <c r="BE63" s="4429"/>
      <c r="BF63" s="3349"/>
      <c r="BG63" s="3349"/>
      <c r="BH63" s="3349">
        <f t="shared" si="190"/>
        <v>0</v>
      </c>
      <c r="BI63" s="4428" t="e">
        <f t="shared" si="191"/>
        <v>#DIV/0!</v>
      </c>
      <c r="BJ63" s="4429"/>
      <c r="BK63" s="3349"/>
      <c r="BL63" s="3349"/>
      <c r="BM63" s="3349">
        <f t="shared" si="192"/>
        <v>0</v>
      </c>
      <c r="BN63" s="4428" t="e">
        <f t="shared" si="193"/>
        <v>#DIV/0!</v>
      </c>
      <c r="BO63" s="4429"/>
      <c r="BP63" s="3349"/>
      <c r="BQ63" s="3349"/>
      <c r="BR63" s="3349">
        <f t="shared" si="194"/>
        <v>0</v>
      </c>
      <c r="BS63" s="4428" t="e">
        <f t="shared" si="195"/>
        <v>#DIV/0!</v>
      </c>
      <c r="BT63" s="4429"/>
      <c r="BU63" s="3349"/>
      <c r="BV63" s="3349"/>
      <c r="BW63" s="3349">
        <f t="shared" si="196"/>
        <v>0</v>
      </c>
      <c r="BX63" s="4428" t="e">
        <f t="shared" si="197"/>
        <v>#DIV/0!</v>
      </c>
      <c r="BY63" s="4429"/>
      <c r="BZ63" s="3349"/>
      <c r="CA63" s="3349"/>
      <c r="CB63" s="3349">
        <f t="shared" si="198"/>
        <v>0</v>
      </c>
      <c r="CC63" s="4428" t="e">
        <f t="shared" si="199"/>
        <v>#DIV/0!</v>
      </c>
      <c r="CD63" s="4429"/>
      <c r="CE63" s="3349"/>
      <c r="CF63" s="3349"/>
      <c r="CG63" s="3349">
        <f t="shared" si="200"/>
        <v>0</v>
      </c>
      <c r="CH63" s="4428" t="e">
        <f t="shared" si="201"/>
        <v>#DIV/0!</v>
      </c>
      <c r="CI63" s="4429"/>
      <c r="CJ63" s="3341">
        <f t="shared" si="202"/>
        <v>0</v>
      </c>
      <c r="CK63" s="3341">
        <f t="shared" si="202"/>
        <v>0</v>
      </c>
      <c r="CL63" s="2012">
        <f t="shared" si="203"/>
        <v>0</v>
      </c>
      <c r="CM63" s="4428">
        <f t="shared" si="168"/>
        <v>0</v>
      </c>
      <c r="CN63" s="4432"/>
      <c r="CP63" s="2012">
        <f t="shared" si="204"/>
        <v>0</v>
      </c>
      <c r="CQ63" s="2012">
        <f t="shared" si="204"/>
        <v>0</v>
      </c>
      <c r="CR63" s="4614"/>
    </row>
    <row r="64" spans="1:98" ht="13.8" outlineLevel="2">
      <c r="A64" s="1571"/>
      <c r="B64" s="4632" t="s">
        <v>63</v>
      </c>
      <c r="C64" s="3349"/>
      <c r="D64" s="3349"/>
      <c r="E64" s="3349">
        <f t="shared" si="169"/>
        <v>0</v>
      </c>
      <c r="F64" s="4428" t="e">
        <f t="shared" si="133"/>
        <v>#DIV/0!</v>
      </c>
      <c r="G64" s="4429"/>
      <c r="H64" s="3349"/>
      <c r="I64" s="3349"/>
      <c r="J64" s="3349">
        <f t="shared" si="170"/>
        <v>0</v>
      </c>
      <c r="K64" s="4428" t="e">
        <f t="shared" si="171"/>
        <v>#DIV/0!</v>
      </c>
      <c r="L64" s="4429"/>
      <c r="M64" s="3349"/>
      <c r="N64" s="3349"/>
      <c r="O64" s="3349">
        <f t="shared" si="172"/>
        <v>0</v>
      </c>
      <c r="P64" s="4428" t="e">
        <f t="shared" si="173"/>
        <v>#DIV/0!</v>
      </c>
      <c r="Q64" s="4429"/>
      <c r="R64" s="3342">
        <f t="shared" si="174"/>
        <v>0</v>
      </c>
      <c r="S64" s="3342">
        <f t="shared" si="174"/>
        <v>0</v>
      </c>
      <c r="T64" s="2012">
        <f t="shared" si="175"/>
        <v>0</v>
      </c>
      <c r="U64" s="3462"/>
      <c r="V64" s="3462"/>
      <c r="W64" s="3342">
        <f t="shared" si="176"/>
        <v>0</v>
      </c>
      <c r="X64" s="3342">
        <f t="shared" si="176"/>
        <v>0</v>
      </c>
      <c r="Y64" s="2012">
        <f t="shared" si="177"/>
        <v>0</v>
      </c>
      <c r="Z64" s="3462"/>
      <c r="AA64" s="3462"/>
      <c r="AB64" s="3349"/>
      <c r="AC64" s="3349"/>
      <c r="AD64" s="3349">
        <f t="shared" si="178"/>
        <v>0</v>
      </c>
      <c r="AE64" s="4428" t="e">
        <f t="shared" si="179"/>
        <v>#DIV/0!</v>
      </c>
      <c r="AF64" s="4429"/>
      <c r="AG64" s="3349"/>
      <c r="AH64" s="3349"/>
      <c r="AI64" s="3349">
        <f t="shared" si="180"/>
        <v>0</v>
      </c>
      <c r="AJ64" s="4428" t="e">
        <f t="shared" si="181"/>
        <v>#DIV/0!</v>
      </c>
      <c r="AK64" s="4429"/>
      <c r="AL64" s="3349"/>
      <c r="AM64" s="3349"/>
      <c r="AN64" s="3349">
        <f t="shared" si="182"/>
        <v>0</v>
      </c>
      <c r="AO64" s="4428" t="e">
        <f t="shared" si="183"/>
        <v>#DIV/0!</v>
      </c>
      <c r="AP64" s="4429"/>
      <c r="AQ64" s="3349"/>
      <c r="AR64" s="3349"/>
      <c r="AS64" s="3349">
        <f t="shared" si="184"/>
        <v>0</v>
      </c>
      <c r="AT64" s="4428" t="e">
        <f t="shared" si="185"/>
        <v>#DIV/0!</v>
      </c>
      <c r="AU64" s="4429"/>
      <c r="AV64" s="3349"/>
      <c r="AW64" s="3349"/>
      <c r="AX64" s="3349">
        <f t="shared" si="186"/>
        <v>0</v>
      </c>
      <c r="AY64" s="4428">
        <f t="shared" si="187"/>
        <v>0</v>
      </c>
      <c r="AZ64" s="4429"/>
      <c r="BA64" s="3349"/>
      <c r="BB64" s="3349"/>
      <c r="BC64" s="3349">
        <f t="shared" si="188"/>
        <v>0</v>
      </c>
      <c r="BD64" s="4428">
        <f t="shared" si="189"/>
        <v>0</v>
      </c>
      <c r="BE64" s="4429"/>
      <c r="BF64" s="3349"/>
      <c r="BG64" s="3349"/>
      <c r="BH64" s="3349">
        <f t="shared" si="190"/>
        <v>0</v>
      </c>
      <c r="BI64" s="4428" t="e">
        <f t="shared" si="191"/>
        <v>#DIV/0!</v>
      </c>
      <c r="BJ64" s="4429"/>
      <c r="BK64" s="3349"/>
      <c r="BL64" s="3349"/>
      <c r="BM64" s="3349">
        <f t="shared" si="192"/>
        <v>0</v>
      </c>
      <c r="BN64" s="4428" t="e">
        <f t="shared" si="193"/>
        <v>#DIV/0!</v>
      </c>
      <c r="BO64" s="4429"/>
      <c r="BP64" s="3349"/>
      <c r="BQ64" s="3349"/>
      <c r="BR64" s="3349">
        <f t="shared" si="194"/>
        <v>0</v>
      </c>
      <c r="BS64" s="4428" t="e">
        <f t="shared" si="195"/>
        <v>#DIV/0!</v>
      </c>
      <c r="BT64" s="4429"/>
      <c r="BU64" s="3349"/>
      <c r="BV64" s="3349"/>
      <c r="BW64" s="3349">
        <f t="shared" si="196"/>
        <v>0</v>
      </c>
      <c r="BX64" s="4428" t="e">
        <f t="shared" si="197"/>
        <v>#DIV/0!</v>
      </c>
      <c r="BY64" s="4429"/>
      <c r="BZ64" s="3349"/>
      <c r="CA64" s="3349"/>
      <c r="CB64" s="3349">
        <f t="shared" si="198"/>
        <v>0</v>
      </c>
      <c r="CC64" s="4428" t="e">
        <f t="shared" si="199"/>
        <v>#DIV/0!</v>
      </c>
      <c r="CD64" s="4429"/>
      <c r="CE64" s="3349"/>
      <c r="CF64" s="3349"/>
      <c r="CG64" s="3349">
        <f t="shared" si="200"/>
        <v>0</v>
      </c>
      <c r="CH64" s="4428" t="e">
        <f t="shared" si="201"/>
        <v>#DIV/0!</v>
      </c>
      <c r="CI64" s="4429"/>
      <c r="CJ64" s="3341">
        <f t="shared" si="202"/>
        <v>0</v>
      </c>
      <c r="CK64" s="3341">
        <f t="shared" si="202"/>
        <v>0</v>
      </c>
      <c r="CL64" s="2012">
        <f t="shared" si="203"/>
        <v>0</v>
      </c>
      <c r="CM64" s="4428">
        <f t="shared" si="168"/>
        <v>0</v>
      </c>
      <c r="CN64" s="4432"/>
      <c r="CP64" s="2012">
        <f t="shared" si="204"/>
        <v>0</v>
      </c>
      <c r="CQ64" s="2012">
        <f t="shared" si="204"/>
        <v>0</v>
      </c>
      <c r="CR64" s="4614"/>
    </row>
    <row r="65" spans="1:98" ht="13.8" outlineLevel="2">
      <c r="A65" s="1571"/>
      <c r="B65" s="4632" t="s">
        <v>36</v>
      </c>
      <c r="C65" s="3341"/>
      <c r="D65" s="3341"/>
      <c r="E65" s="3349">
        <f t="shared" si="169"/>
        <v>0</v>
      </c>
      <c r="F65" s="4428" t="e">
        <f t="shared" si="133"/>
        <v>#DIV/0!</v>
      </c>
      <c r="G65" s="4429"/>
      <c r="H65" s="3341"/>
      <c r="I65" s="3341"/>
      <c r="J65" s="3349">
        <f t="shared" si="170"/>
        <v>0</v>
      </c>
      <c r="K65" s="4428" t="e">
        <f t="shared" si="171"/>
        <v>#DIV/0!</v>
      </c>
      <c r="L65" s="4429"/>
      <c r="M65" s="3341"/>
      <c r="N65" s="3341"/>
      <c r="O65" s="3349">
        <f t="shared" si="172"/>
        <v>0</v>
      </c>
      <c r="P65" s="4428" t="e">
        <f t="shared" si="173"/>
        <v>#DIV/0!</v>
      </c>
      <c r="Q65" s="4429"/>
      <c r="R65" s="3342">
        <f t="shared" si="174"/>
        <v>0</v>
      </c>
      <c r="S65" s="3342">
        <f t="shared" si="174"/>
        <v>0</v>
      </c>
      <c r="T65" s="2012">
        <f t="shared" si="175"/>
        <v>0</v>
      </c>
      <c r="U65" s="3462"/>
      <c r="V65" s="3462"/>
      <c r="W65" s="3342">
        <f t="shared" si="176"/>
        <v>0</v>
      </c>
      <c r="X65" s="3342">
        <f t="shared" si="176"/>
        <v>0</v>
      </c>
      <c r="Y65" s="2012">
        <f t="shared" si="177"/>
        <v>0</v>
      </c>
      <c r="Z65" s="3462"/>
      <c r="AA65" s="3462"/>
      <c r="AB65" s="3341"/>
      <c r="AC65" s="3341"/>
      <c r="AD65" s="3349">
        <f t="shared" si="178"/>
        <v>0</v>
      </c>
      <c r="AE65" s="4428" t="e">
        <f t="shared" si="179"/>
        <v>#DIV/0!</v>
      </c>
      <c r="AF65" s="4429"/>
      <c r="AG65" s="3341"/>
      <c r="AH65" s="3341"/>
      <c r="AI65" s="3349">
        <f t="shared" si="180"/>
        <v>0</v>
      </c>
      <c r="AJ65" s="4428" t="e">
        <f t="shared" si="181"/>
        <v>#DIV/0!</v>
      </c>
      <c r="AK65" s="4429"/>
      <c r="AL65" s="3341"/>
      <c r="AM65" s="3341"/>
      <c r="AN65" s="3349">
        <f t="shared" si="182"/>
        <v>0</v>
      </c>
      <c r="AO65" s="4428" t="e">
        <f t="shared" si="183"/>
        <v>#DIV/0!</v>
      </c>
      <c r="AP65" s="4429"/>
      <c r="AQ65" s="3341"/>
      <c r="AR65" s="3341"/>
      <c r="AS65" s="3349">
        <f t="shared" si="184"/>
        <v>0</v>
      </c>
      <c r="AT65" s="4428" t="e">
        <f t="shared" si="185"/>
        <v>#DIV/0!</v>
      </c>
      <c r="AU65" s="4429"/>
      <c r="AV65" s="3341"/>
      <c r="AW65" s="3341"/>
      <c r="AX65" s="3349">
        <f t="shared" si="186"/>
        <v>0</v>
      </c>
      <c r="AY65" s="4428">
        <f t="shared" si="187"/>
        <v>0</v>
      </c>
      <c r="AZ65" s="4429"/>
      <c r="BA65" s="3341"/>
      <c r="BB65" s="3341"/>
      <c r="BC65" s="3349">
        <f t="shared" si="188"/>
        <v>0</v>
      </c>
      <c r="BD65" s="4428">
        <f t="shared" si="189"/>
        <v>0</v>
      </c>
      <c r="BE65" s="4429"/>
      <c r="BF65" s="3341"/>
      <c r="BG65" s="3341"/>
      <c r="BH65" s="3349">
        <f t="shared" si="190"/>
        <v>0</v>
      </c>
      <c r="BI65" s="4428" t="e">
        <f t="shared" si="191"/>
        <v>#DIV/0!</v>
      </c>
      <c r="BJ65" s="4429"/>
      <c r="BK65" s="3341"/>
      <c r="BL65" s="3341"/>
      <c r="BM65" s="3349">
        <f t="shared" si="192"/>
        <v>0</v>
      </c>
      <c r="BN65" s="4428" t="e">
        <f t="shared" si="193"/>
        <v>#DIV/0!</v>
      </c>
      <c r="BO65" s="4429"/>
      <c r="BP65" s="3341"/>
      <c r="BQ65" s="3341"/>
      <c r="BR65" s="3349">
        <f t="shared" si="194"/>
        <v>0</v>
      </c>
      <c r="BS65" s="4428" t="e">
        <f t="shared" si="195"/>
        <v>#DIV/0!</v>
      </c>
      <c r="BT65" s="4429"/>
      <c r="BU65" s="3341"/>
      <c r="BV65" s="3341"/>
      <c r="BW65" s="3349">
        <f t="shared" si="196"/>
        <v>0</v>
      </c>
      <c r="BX65" s="4428" t="e">
        <f t="shared" si="197"/>
        <v>#DIV/0!</v>
      </c>
      <c r="BY65" s="4429"/>
      <c r="BZ65" s="3341"/>
      <c r="CA65" s="3341"/>
      <c r="CB65" s="3349">
        <f t="shared" si="198"/>
        <v>0</v>
      </c>
      <c r="CC65" s="4428" t="e">
        <f t="shared" si="199"/>
        <v>#DIV/0!</v>
      </c>
      <c r="CD65" s="4429"/>
      <c r="CE65" s="3341"/>
      <c r="CF65" s="3341"/>
      <c r="CG65" s="3349">
        <f t="shared" si="200"/>
        <v>0</v>
      </c>
      <c r="CH65" s="4428" t="e">
        <f t="shared" si="201"/>
        <v>#DIV/0!</v>
      </c>
      <c r="CI65" s="4429"/>
      <c r="CJ65" s="3341">
        <f t="shared" si="202"/>
        <v>0</v>
      </c>
      <c r="CK65" s="3341">
        <f t="shared" si="202"/>
        <v>0</v>
      </c>
      <c r="CL65" s="2012">
        <f t="shared" si="203"/>
        <v>0</v>
      </c>
      <c r="CM65" s="4428">
        <f t="shared" si="168"/>
        <v>0</v>
      </c>
      <c r="CN65" s="4432"/>
      <c r="CP65" s="2012">
        <f t="shared" si="204"/>
        <v>0</v>
      </c>
      <c r="CQ65" s="2012">
        <f t="shared" si="204"/>
        <v>0</v>
      </c>
      <c r="CR65" s="4614"/>
    </row>
    <row r="66" spans="1:98" s="1396" customFormat="1" ht="13.8" outlineLevel="2">
      <c r="A66" s="1571"/>
      <c r="B66" s="4632" t="s">
        <v>37</v>
      </c>
      <c r="C66" s="3341"/>
      <c r="D66" s="3341"/>
      <c r="E66" s="3349">
        <f t="shared" si="169"/>
        <v>0</v>
      </c>
      <c r="F66" s="4428" t="e">
        <f t="shared" si="133"/>
        <v>#DIV/0!</v>
      </c>
      <c r="G66" s="4429"/>
      <c r="H66" s="3341"/>
      <c r="I66" s="3341"/>
      <c r="J66" s="3349">
        <f t="shared" si="170"/>
        <v>0</v>
      </c>
      <c r="K66" s="4428" t="e">
        <f t="shared" si="171"/>
        <v>#DIV/0!</v>
      </c>
      <c r="L66" s="4429"/>
      <c r="M66" s="3341"/>
      <c r="N66" s="3341"/>
      <c r="O66" s="3349">
        <f t="shared" si="172"/>
        <v>0</v>
      </c>
      <c r="P66" s="4428" t="e">
        <f t="shared" si="173"/>
        <v>#DIV/0!</v>
      </c>
      <c r="Q66" s="4429"/>
      <c r="R66" s="3342">
        <f t="shared" si="174"/>
        <v>0</v>
      </c>
      <c r="S66" s="3342">
        <f t="shared" si="174"/>
        <v>0</v>
      </c>
      <c r="T66" s="2012">
        <f t="shared" si="175"/>
        <v>0</v>
      </c>
      <c r="U66" s="3462"/>
      <c r="V66" s="3462"/>
      <c r="W66" s="3342">
        <f t="shared" si="176"/>
        <v>0</v>
      </c>
      <c r="X66" s="3342">
        <f t="shared" si="176"/>
        <v>0</v>
      </c>
      <c r="Y66" s="2012">
        <f t="shared" si="177"/>
        <v>0</v>
      </c>
      <c r="Z66" s="3462"/>
      <c r="AA66" s="3462"/>
      <c r="AB66" s="3341"/>
      <c r="AC66" s="3341"/>
      <c r="AD66" s="3349">
        <f t="shared" si="178"/>
        <v>0</v>
      </c>
      <c r="AE66" s="4428" t="e">
        <f t="shared" si="179"/>
        <v>#DIV/0!</v>
      </c>
      <c r="AF66" s="4429"/>
      <c r="AG66" s="3341"/>
      <c r="AH66" s="3341"/>
      <c r="AI66" s="3349">
        <f t="shared" si="180"/>
        <v>0</v>
      </c>
      <c r="AJ66" s="4428" t="e">
        <f t="shared" si="181"/>
        <v>#DIV/0!</v>
      </c>
      <c r="AK66" s="4429"/>
      <c r="AL66" s="3341"/>
      <c r="AM66" s="3341"/>
      <c r="AN66" s="3349">
        <f t="shared" si="182"/>
        <v>0</v>
      </c>
      <c r="AO66" s="4428" t="e">
        <f t="shared" si="183"/>
        <v>#DIV/0!</v>
      </c>
      <c r="AP66" s="4429"/>
      <c r="AQ66" s="3341"/>
      <c r="AR66" s="3341"/>
      <c r="AS66" s="3349">
        <f t="shared" si="184"/>
        <v>0</v>
      </c>
      <c r="AT66" s="4428" t="e">
        <f t="shared" si="185"/>
        <v>#DIV/0!</v>
      </c>
      <c r="AU66" s="4429"/>
      <c r="AV66" s="3341"/>
      <c r="AW66" s="3341"/>
      <c r="AX66" s="3349">
        <f t="shared" si="186"/>
        <v>0</v>
      </c>
      <c r="AY66" s="4428">
        <f t="shared" si="187"/>
        <v>0</v>
      </c>
      <c r="AZ66" s="4429"/>
      <c r="BA66" s="3341"/>
      <c r="BB66" s="3341"/>
      <c r="BC66" s="3349">
        <f t="shared" si="188"/>
        <v>0</v>
      </c>
      <c r="BD66" s="4428">
        <f t="shared" si="189"/>
        <v>0</v>
      </c>
      <c r="BE66" s="4429"/>
      <c r="BF66" s="3341"/>
      <c r="BG66" s="3341"/>
      <c r="BH66" s="3349">
        <f t="shared" si="190"/>
        <v>0</v>
      </c>
      <c r="BI66" s="4428" t="e">
        <f t="shared" si="191"/>
        <v>#DIV/0!</v>
      </c>
      <c r="BJ66" s="4429"/>
      <c r="BK66" s="3341"/>
      <c r="BL66" s="3341"/>
      <c r="BM66" s="3349">
        <f t="shared" si="192"/>
        <v>0</v>
      </c>
      <c r="BN66" s="4428" t="e">
        <f t="shared" si="193"/>
        <v>#DIV/0!</v>
      </c>
      <c r="BO66" s="4429"/>
      <c r="BP66" s="3341"/>
      <c r="BQ66" s="3341"/>
      <c r="BR66" s="3349">
        <f t="shared" si="194"/>
        <v>0</v>
      </c>
      <c r="BS66" s="4428" t="e">
        <f t="shared" si="195"/>
        <v>#DIV/0!</v>
      </c>
      <c r="BT66" s="4429"/>
      <c r="BU66" s="3341"/>
      <c r="BV66" s="3341"/>
      <c r="BW66" s="3349">
        <f t="shared" si="196"/>
        <v>0</v>
      </c>
      <c r="BX66" s="4428" t="e">
        <f t="shared" si="197"/>
        <v>#DIV/0!</v>
      </c>
      <c r="BY66" s="4429"/>
      <c r="BZ66" s="3341"/>
      <c r="CA66" s="3341"/>
      <c r="CB66" s="3349">
        <f t="shared" si="198"/>
        <v>0</v>
      </c>
      <c r="CC66" s="4428" t="e">
        <f t="shared" si="199"/>
        <v>#DIV/0!</v>
      </c>
      <c r="CD66" s="4429"/>
      <c r="CE66" s="3341"/>
      <c r="CF66" s="3341"/>
      <c r="CG66" s="3349">
        <f t="shared" si="200"/>
        <v>0</v>
      </c>
      <c r="CH66" s="4428" t="e">
        <f t="shared" si="201"/>
        <v>#DIV/0!</v>
      </c>
      <c r="CI66" s="4429"/>
      <c r="CJ66" s="3341">
        <f t="shared" si="202"/>
        <v>0</v>
      </c>
      <c r="CK66" s="3341">
        <f t="shared" si="202"/>
        <v>0</v>
      </c>
      <c r="CL66" s="2012">
        <f t="shared" si="203"/>
        <v>0</v>
      </c>
      <c r="CM66" s="4428">
        <f t="shared" si="168"/>
        <v>0</v>
      </c>
      <c r="CN66" s="4432"/>
      <c r="CP66" s="2012">
        <f t="shared" si="204"/>
        <v>0</v>
      </c>
      <c r="CQ66" s="2012">
        <f t="shared" si="204"/>
        <v>0</v>
      </c>
      <c r="CR66" s="4614"/>
      <c r="CT66" s="2624"/>
    </row>
    <row r="67" spans="1:98" s="1396" customFormat="1" ht="13.8" outlineLevel="2">
      <c r="A67" s="1571"/>
      <c r="B67" s="4632" t="s">
        <v>3</v>
      </c>
      <c r="C67" s="3341"/>
      <c r="D67" s="3341"/>
      <c r="E67" s="3349">
        <f t="shared" si="169"/>
        <v>0</v>
      </c>
      <c r="F67" s="4428" t="e">
        <f t="shared" si="133"/>
        <v>#DIV/0!</v>
      </c>
      <c r="G67" s="4429"/>
      <c r="H67" s="3341"/>
      <c r="I67" s="3341"/>
      <c r="J67" s="3349">
        <f t="shared" si="170"/>
        <v>0</v>
      </c>
      <c r="K67" s="4428" t="e">
        <f t="shared" si="171"/>
        <v>#DIV/0!</v>
      </c>
      <c r="L67" s="4429"/>
      <c r="M67" s="3341"/>
      <c r="N67" s="3341"/>
      <c r="O67" s="3349">
        <f t="shared" si="172"/>
        <v>0</v>
      </c>
      <c r="P67" s="4428" t="e">
        <f t="shared" si="173"/>
        <v>#DIV/0!</v>
      </c>
      <c r="Q67" s="4429"/>
      <c r="R67" s="3342">
        <f t="shared" si="174"/>
        <v>0</v>
      </c>
      <c r="S67" s="3342">
        <f t="shared" si="174"/>
        <v>0</v>
      </c>
      <c r="T67" s="2012">
        <f t="shared" si="175"/>
        <v>0</v>
      </c>
      <c r="U67" s="3462"/>
      <c r="V67" s="3462"/>
      <c r="W67" s="3342">
        <f t="shared" si="176"/>
        <v>0</v>
      </c>
      <c r="X67" s="3342">
        <f t="shared" si="176"/>
        <v>0</v>
      </c>
      <c r="Y67" s="2012">
        <f t="shared" si="177"/>
        <v>0</v>
      </c>
      <c r="Z67" s="3462"/>
      <c r="AA67" s="3462"/>
      <c r="AB67" s="3341"/>
      <c r="AC67" s="3341"/>
      <c r="AD67" s="3349">
        <f t="shared" si="178"/>
        <v>0</v>
      </c>
      <c r="AE67" s="4428" t="e">
        <f t="shared" si="179"/>
        <v>#DIV/0!</v>
      </c>
      <c r="AF67" s="4429"/>
      <c r="AG67" s="3341"/>
      <c r="AH67" s="3341"/>
      <c r="AI67" s="3349">
        <f t="shared" si="180"/>
        <v>0</v>
      </c>
      <c r="AJ67" s="4428" t="e">
        <f t="shared" si="181"/>
        <v>#DIV/0!</v>
      </c>
      <c r="AK67" s="4429"/>
      <c r="AL67" s="3341"/>
      <c r="AM67" s="3341"/>
      <c r="AN67" s="3349">
        <f t="shared" si="182"/>
        <v>0</v>
      </c>
      <c r="AO67" s="4428" t="e">
        <f t="shared" si="183"/>
        <v>#DIV/0!</v>
      </c>
      <c r="AP67" s="4429"/>
      <c r="AQ67" s="3341"/>
      <c r="AR67" s="3341"/>
      <c r="AS67" s="3349">
        <f t="shared" si="184"/>
        <v>0</v>
      </c>
      <c r="AT67" s="4428" t="e">
        <f t="shared" si="185"/>
        <v>#DIV/0!</v>
      </c>
      <c r="AU67" s="4429"/>
      <c r="AV67" s="3341"/>
      <c r="AW67" s="3341"/>
      <c r="AX67" s="3349">
        <f t="shared" si="186"/>
        <v>0</v>
      </c>
      <c r="AY67" s="4428">
        <f t="shared" si="187"/>
        <v>0</v>
      </c>
      <c r="AZ67" s="4429"/>
      <c r="BA67" s="3341"/>
      <c r="BB67" s="3341"/>
      <c r="BC67" s="3349">
        <f t="shared" si="188"/>
        <v>0</v>
      </c>
      <c r="BD67" s="4428">
        <f t="shared" si="189"/>
        <v>0</v>
      </c>
      <c r="BE67" s="4429"/>
      <c r="BF67" s="3341"/>
      <c r="BG67" s="3341"/>
      <c r="BH67" s="3349">
        <f t="shared" si="190"/>
        <v>0</v>
      </c>
      <c r="BI67" s="4428" t="e">
        <f t="shared" si="191"/>
        <v>#DIV/0!</v>
      </c>
      <c r="BJ67" s="4429"/>
      <c r="BK67" s="3341"/>
      <c r="BL67" s="3341"/>
      <c r="BM67" s="3349">
        <f t="shared" si="192"/>
        <v>0</v>
      </c>
      <c r="BN67" s="4428" t="e">
        <f t="shared" si="193"/>
        <v>#DIV/0!</v>
      </c>
      <c r="BO67" s="4429"/>
      <c r="BP67" s="3341"/>
      <c r="BQ67" s="3341"/>
      <c r="BR67" s="3349">
        <f t="shared" si="194"/>
        <v>0</v>
      </c>
      <c r="BS67" s="4428" t="e">
        <f t="shared" si="195"/>
        <v>#DIV/0!</v>
      </c>
      <c r="BT67" s="4429"/>
      <c r="BU67" s="3341"/>
      <c r="BV67" s="3341"/>
      <c r="BW67" s="3349">
        <f t="shared" si="196"/>
        <v>0</v>
      </c>
      <c r="BX67" s="4428" t="e">
        <f t="shared" si="197"/>
        <v>#DIV/0!</v>
      </c>
      <c r="BY67" s="4429"/>
      <c r="BZ67" s="3341"/>
      <c r="CA67" s="3341"/>
      <c r="CB67" s="3349">
        <f t="shared" si="198"/>
        <v>0</v>
      </c>
      <c r="CC67" s="4428" t="e">
        <f t="shared" si="199"/>
        <v>#DIV/0!</v>
      </c>
      <c r="CD67" s="4429"/>
      <c r="CE67" s="3341"/>
      <c r="CF67" s="3341"/>
      <c r="CG67" s="3349">
        <f t="shared" si="200"/>
        <v>0</v>
      </c>
      <c r="CH67" s="4428" t="e">
        <f t="shared" si="201"/>
        <v>#DIV/0!</v>
      </c>
      <c r="CI67" s="4429"/>
      <c r="CJ67" s="3341">
        <f t="shared" si="202"/>
        <v>0</v>
      </c>
      <c r="CK67" s="3341">
        <f t="shared" si="202"/>
        <v>0</v>
      </c>
      <c r="CL67" s="2012">
        <f t="shared" si="203"/>
        <v>0</v>
      </c>
      <c r="CM67" s="4428">
        <f t="shared" si="168"/>
        <v>0</v>
      </c>
      <c r="CN67" s="4432"/>
      <c r="CP67" s="2012">
        <f t="shared" si="204"/>
        <v>0</v>
      </c>
      <c r="CQ67" s="2012">
        <f t="shared" si="204"/>
        <v>0</v>
      </c>
      <c r="CR67" s="4614"/>
      <c r="CT67" s="2624"/>
    </row>
    <row r="68" spans="1:98" s="1396" customFormat="1" ht="13.8" outlineLevel="2">
      <c r="A68" s="1571"/>
      <c r="B68" s="4632" t="s">
        <v>5</v>
      </c>
      <c r="C68" s="3341"/>
      <c r="D68" s="3341"/>
      <c r="E68" s="3349">
        <f t="shared" si="169"/>
        <v>0</v>
      </c>
      <c r="F68" s="4428" t="e">
        <f t="shared" si="133"/>
        <v>#DIV/0!</v>
      </c>
      <c r="G68" s="3341"/>
      <c r="H68" s="3341"/>
      <c r="I68" s="3341"/>
      <c r="J68" s="3349">
        <f t="shared" si="170"/>
        <v>0</v>
      </c>
      <c r="K68" s="4428" t="e">
        <f t="shared" si="171"/>
        <v>#DIV/0!</v>
      </c>
      <c r="L68" s="3341"/>
      <c r="M68" s="3341"/>
      <c r="N68" s="3341"/>
      <c r="O68" s="3349">
        <f t="shared" si="172"/>
        <v>0</v>
      </c>
      <c r="P68" s="4428" t="e">
        <f t="shared" si="173"/>
        <v>#DIV/0!</v>
      </c>
      <c r="Q68" s="3341"/>
      <c r="R68" s="3342">
        <f t="shared" si="174"/>
        <v>0</v>
      </c>
      <c r="S68" s="3342">
        <f t="shared" si="174"/>
        <v>0</v>
      </c>
      <c r="T68" s="2012">
        <f t="shared" si="175"/>
        <v>0</v>
      </c>
      <c r="U68" s="3341"/>
      <c r="V68" s="3341"/>
      <c r="W68" s="3342">
        <f t="shared" si="176"/>
        <v>0</v>
      </c>
      <c r="X68" s="3342">
        <f t="shared" si="176"/>
        <v>0</v>
      </c>
      <c r="Y68" s="2012">
        <f t="shared" si="177"/>
        <v>0</v>
      </c>
      <c r="Z68" s="3341"/>
      <c r="AA68" s="3341"/>
      <c r="AB68" s="3341"/>
      <c r="AC68" s="3341"/>
      <c r="AD68" s="3349">
        <f t="shared" si="178"/>
        <v>0</v>
      </c>
      <c r="AE68" s="4428" t="e">
        <f t="shared" si="179"/>
        <v>#DIV/0!</v>
      </c>
      <c r="AF68" s="3341"/>
      <c r="AG68" s="3341"/>
      <c r="AH68" s="3341"/>
      <c r="AI68" s="3349">
        <f t="shared" si="180"/>
        <v>0</v>
      </c>
      <c r="AJ68" s="4428" t="e">
        <f t="shared" si="181"/>
        <v>#DIV/0!</v>
      </c>
      <c r="AK68" s="3341"/>
      <c r="AL68" s="3341"/>
      <c r="AM68" s="3341"/>
      <c r="AN68" s="3349">
        <f t="shared" si="182"/>
        <v>0</v>
      </c>
      <c r="AO68" s="4428" t="e">
        <f t="shared" si="183"/>
        <v>#DIV/0!</v>
      </c>
      <c r="AP68" s="3341"/>
      <c r="AQ68" s="3341"/>
      <c r="AR68" s="3341"/>
      <c r="AS68" s="3349">
        <f t="shared" si="184"/>
        <v>0</v>
      </c>
      <c r="AT68" s="4428" t="e">
        <f t="shared" si="185"/>
        <v>#DIV/0!</v>
      </c>
      <c r="AU68" s="3341"/>
      <c r="AV68" s="3341"/>
      <c r="AW68" s="3341"/>
      <c r="AX68" s="3349">
        <f t="shared" si="186"/>
        <v>0</v>
      </c>
      <c r="AY68" s="4428">
        <f t="shared" si="187"/>
        <v>0</v>
      </c>
      <c r="AZ68" s="3341"/>
      <c r="BA68" s="3341"/>
      <c r="BB68" s="3341"/>
      <c r="BC68" s="3349">
        <f t="shared" si="188"/>
        <v>0</v>
      </c>
      <c r="BD68" s="4428">
        <f t="shared" si="189"/>
        <v>0</v>
      </c>
      <c r="BE68" s="3341"/>
      <c r="BF68" s="3341"/>
      <c r="BG68" s="3341"/>
      <c r="BH68" s="3349">
        <f t="shared" si="190"/>
        <v>0</v>
      </c>
      <c r="BI68" s="4428" t="e">
        <f t="shared" si="191"/>
        <v>#DIV/0!</v>
      </c>
      <c r="BJ68" s="3341"/>
      <c r="BK68" s="3341"/>
      <c r="BL68" s="3341"/>
      <c r="BM68" s="3349">
        <f t="shared" si="192"/>
        <v>0</v>
      </c>
      <c r="BN68" s="4428" t="e">
        <f t="shared" si="193"/>
        <v>#DIV/0!</v>
      </c>
      <c r="BO68" s="3341"/>
      <c r="BP68" s="3341"/>
      <c r="BQ68" s="3341"/>
      <c r="BR68" s="3349">
        <f t="shared" si="194"/>
        <v>0</v>
      </c>
      <c r="BS68" s="4428" t="e">
        <f t="shared" si="195"/>
        <v>#DIV/0!</v>
      </c>
      <c r="BT68" s="3341"/>
      <c r="BU68" s="3341"/>
      <c r="BV68" s="3341"/>
      <c r="BW68" s="3349">
        <f t="shared" si="196"/>
        <v>0</v>
      </c>
      <c r="BX68" s="4428" t="e">
        <f t="shared" si="197"/>
        <v>#DIV/0!</v>
      </c>
      <c r="BY68" s="3341"/>
      <c r="BZ68" s="3341"/>
      <c r="CA68" s="3341"/>
      <c r="CB68" s="3349">
        <f t="shared" si="198"/>
        <v>0</v>
      </c>
      <c r="CC68" s="4428" t="e">
        <f t="shared" si="199"/>
        <v>#DIV/0!</v>
      </c>
      <c r="CD68" s="3341"/>
      <c r="CE68" s="3341"/>
      <c r="CF68" s="3341"/>
      <c r="CG68" s="3349">
        <f t="shared" si="200"/>
        <v>0</v>
      </c>
      <c r="CH68" s="4428" t="e">
        <f t="shared" si="201"/>
        <v>#DIV/0!</v>
      </c>
      <c r="CI68" s="3341"/>
      <c r="CJ68" s="3341">
        <f t="shared" si="202"/>
        <v>0</v>
      </c>
      <c r="CK68" s="3341">
        <f t="shared" si="202"/>
        <v>0</v>
      </c>
      <c r="CL68" s="2012">
        <f t="shared" si="203"/>
        <v>0</v>
      </c>
      <c r="CM68" s="4428">
        <f t="shared" si="168"/>
        <v>0</v>
      </c>
      <c r="CN68" s="4432"/>
      <c r="CP68" s="2012">
        <f t="shared" si="204"/>
        <v>0</v>
      </c>
      <c r="CQ68" s="2012">
        <f t="shared" si="204"/>
        <v>0</v>
      </c>
      <c r="CR68" s="4614"/>
      <c r="CT68" s="2624"/>
    </row>
    <row r="69" spans="1:98" s="1396" customFormat="1" ht="13.8" outlineLevel="2">
      <c r="A69" s="1571"/>
      <c r="B69" s="4632" t="s">
        <v>42</v>
      </c>
      <c r="C69" s="3341"/>
      <c r="D69" s="3341"/>
      <c r="E69" s="3349">
        <f t="shared" si="169"/>
        <v>0</v>
      </c>
      <c r="F69" s="4428" t="e">
        <f t="shared" si="133"/>
        <v>#DIV/0!</v>
      </c>
      <c r="G69" s="4429"/>
      <c r="H69" s="3341"/>
      <c r="I69" s="3341"/>
      <c r="J69" s="3349">
        <f t="shared" si="170"/>
        <v>0</v>
      </c>
      <c r="K69" s="4428" t="e">
        <f t="shared" si="171"/>
        <v>#DIV/0!</v>
      </c>
      <c r="L69" s="4429"/>
      <c r="M69" s="3341"/>
      <c r="N69" s="3341"/>
      <c r="O69" s="3349">
        <f t="shared" si="172"/>
        <v>0</v>
      </c>
      <c r="P69" s="4428" t="e">
        <f t="shared" si="173"/>
        <v>#DIV/0!</v>
      </c>
      <c r="Q69" s="4429"/>
      <c r="R69" s="3342">
        <f t="shared" si="174"/>
        <v>0</v>
      </c>
      <c r="S69" s="3342">
        <f t="shared" si="174"/>
        <v>0</v>
      </c>
      <c r="T69" s="2012">
        <f t="shared" si="175"/>
        <v>0</v>
      </c>
      <c r="U69" s="3462"/>
      <c r="V69" s="3462"/>
      <c r="W69" s="3342">
        <f t="shared" si="176"/>
        <v>0</v>
      </c>
      <c r="X69" s="3342">
        <f t="shared" si="176"/>
        <v>0</v>
      </c>
      <c r="Y69" s="2012">
        <f t="shared" si="177"/>
        <v>0</v>
      </c>
      <c r="Z69" s="3462"/>
      <c r="AA69" s="3462"/>
      <c r="AB69" s="3341"/>
      <c r="AC69" s="3341"/>
      <c r="AD69" s="3349">
        <f t="shared" si="178"/>
        <v>0</v>
      </c>
      <c r="AE69" s="4428" t="e">
        <f t="shared" si="179"/>
        <v>#DIV/0!</v>
      </c>
      <c r="AF69" s="4429"/>
      <c r="AG69" s="3341"/>
      <c r="AH69" s="3341"/>
      <c r="AI69" s="3349">
        <f t="shared" si="180"/>
        <v>0</v>
      </c>
      <c r="AJ69" s="4428" t="e">
        <f t="shared" si="181"/>
        <v>#DIV/0!</v>
      </c>
      <c r="AK69" s="4429"/>
      <c r="AL69" s="3341"/>
      <c r="AM69" s="3341"/>
      <c r="AN69" s="3349">
        <f t="shared" si="182"/>
        <v>0</v>
      </c>
      <c r="AO69" s="4428" t="e">
        <f t="shared" si="183"/>
        <v>#DIV/0!</v>
      </c>
      <c r="AP69" s="4429"/>
      <c r="AQ69" s="3341"/>
      <c r="AR69" s="3341"/>
      <c r="AS69" s="3349">
        <f t="shared" si="184"/>
        <v>0</v>
      </c>
      <c r="AT69" s="4428" t="e">
        <f t="shared" si="185"/>
        <v>#DIV/0!</v>
      </c>
      <c r="AU69" s="4429"/>
      <c r="AV69" s="3341"/>
      <c r="AW69" s="3341"/>
      <c r="AX69" s="3349">
        <f t="shared" si="186"/>
        <v>0</v>
      </c>
      <c r="AY69" s="4428">
        <f t="shared" si="187"/>
        <v>0</v>
      </c>
      <c r="AZ69" s="4429"/>
      <c r="BA69" s="3341"/>
      <c r="BB69" s="3341"/>
      <c r="BC69" s="3349">
        <f t="shared" si="188"/>
        <v>0</v>
      </c>
      <c r="BD69" s="4428">
        <f t="shared" si="189"/>
        <v>0</v>
      </c>
      <c r="BE69" s="4429"/>
      <c r="BF69" s="3341"/>
      <c r="BG69" s="3341"/>
      <c r="BH69" s="3349">
        <f t="shared" si="190"/>
        <v>0</v>
      </c>
      <c r="BI69" s="4428" t="e">
        <f t="shared" si="191"/>
        <v>#DIV/0!</v>
      </c>
      <c r="BJ69" s="4429"/>
      <c r="BK69" s="3341"/>
      <c r="BL69" s="3341"/>
      <c r="BM69" s="3349">
        <f t="shared" si="192"/>
        <v>0</v>
      </c>
      <c r="BN69" s="4428" t="e">
        <f t="shared" si="193"/>
        <v>#DIV/0!</v>
      </c>
      <c r="BO69" s="4429"/>
      <c r="BP69" s="3341"/>
      <c r="BQ69" s="3341"/>
      <c r="BR69" s="3349">
        <f t="shared" si="194"/>
        <v>0</v>
      </c>
      <c r="BS69" s="4428" t="e">
        <f t="shared" si="195"/>
        <v>#DIV/0!</v>
      </c>
      <c r="BT69" s="4429"/>
      <c r="BU69" s="3341"/>
      <c r="BV69" s="3341"/>
      <c r="BW69" s="3349">
        <f t="shared" si="196"/>
        <v>0</v>
      </c>
      <c r="BX69" s="4428" t="e">
        <f t="shared" si="197"/>
        <v>#DIV/0!</v>
      </c>
      <c r="BY69" s="4429"/>
      <c r="BZ69" s="3341"/>
      <c r="CA69" s="3341"/>
      <c r="CB69" s="3349">
        <f t="shared" si="198"/>
        <v>0</v>
      </c>
      <c r="CC69" s="4428" t="e">
        <f t="shared" si="199"/>
        <v>#DIV/0!</v>
      </c>
      <c r="CD69" s="4429"/>
      <c r="CE69" s="3341"/>
      <c r="CF69" s="3341"/>
      <c r="CG69" s="3349">
        <f t="shared" si="200"/>
        <v>0</v>
      </c>
      <c r="CH69" s="4428" t="e">
        <f t="shared" si="201"/>
        <v>#DIV/0!</v>
      </c>
      <c r="CI69" s="4429"/>
      <c r="CJ69" s="3341">
        <f t="shared" si="202"/>
        <v>0</v>
      </c>
      <c r="CK69" s="3341">
        <f t="shared" si="202"/>
        <v>0</v>
      </c>
      <c r="CL69" s="2012">
        <f t="shared" si="203"/>
        <v>0</v>
      </c>
      <c r="CM69" s="4428">
        <f t="shared" si="168"/>
        <v>0</v>
      </c>
      <c r="CN69" s="4432"/>
      <c r="CP69" s="2012">
        <f t="shared" si="204"/>
        <v>0</v>
      </c>
      <c r="CQ69" s="2012">
        <f t="shared" si="204"/>
        <v>0</v>
      </c>
      <c r="CR69" s="4614"/>
      <c r="CT69" s="2624"/>
    </row>
    <row r="70" spans="1:98" s="1396" customFormat="1" ht="13.8" outlineLevel="2">
      <c r="A70" s="1571"/>
      <c r="B70" s="4632" t="s">
        <v>6</v>
      </c>
      <c r="C70" s="3341"/>
      <c r="D70" s="3341"/>
      <c r="E70" s="3349">
        <f t="shared" si="169"/>
        <v>0</v>
      </c>
      <c r="F70" s="4428" t="e">
        <f t="shared" si="133"/>
        <v>#DIV/0!</v>
      </c>
      <c r="G70" s="4429"/>
      <c r="H70" s="3341"/>
      <c r="I70" s="3341"/>
      <c r="J70" s="3349">
        <f t="shared" si="170"/>
        <v>0</v>
      </c>
      <c r="K70" s="4428" t="e">
        <f t="shared" si="171"/>
        <v>#DIV/0!</v>
      </c>
      <c r="L70" s="4429"/>
      <c r="M70" s="3341"/>
      <c r="N70" s="3341"/>
      <c r="O70" s="3349">
        <f t="shared" si="172"/>
        <v>0</v>
      </c>
      <c r="P70" s="4428" t="e">
        <f t="shared" si="173"/>
        <v>#DIV/0!</v>
      </c>
      <c r="Q70" s="4429"/>
      <c r="R70" s="3342">
        <f t="shared" si="174"/>
        <v>0</v>
      </c>
      <c r="S70" s="3342">
        <f t="shared" si="174"/>
        <v>0</v>
      </c>
      <c r="T70" s="2012">
        <f t="shared" si="175"/>
        <v>0</v>
      </c>
      <c r="U70" s="3462"/>
      <c r="V70" s="3462"/>
      <c r="W70" s="3342">
        <f t="shared" si="176"/>
        <v>0</v>
      </c>
      <c r="X70" s="3342">
        <f t="shared" si="176"/>
        <v>0</v>
      </c>
      <c r="Y70" s="2012">
        <f t="shared" si="177"/>
        <v>0</v>
      </c>
      <c r="Z70" s="3462"/>
      <c r="AA70" s="3462"/>
      <c r="AB70" s="3341"/>
      <c r="AC70" s="3341"/>
      <c r="AD70" s="3349">
        <f t="shared" si="178"/>
        <v>0</v>
      </c>
      <c r="AE70" s="4428" t="e">
        <f t="shared" si="179"/>
        <v>#DIV/0!</v>
      </c>
      <c r="AF70" s="4429"/>
      <c r="AG70" s="3341"/>
      <c r="AH70" s="3341"/>
      <c r="AI70" s="3349">
        <f t="shared" si="180"/>
        <v>0</v>
      </c>
      <c r="AJ70" s="4428" t="e">
        <f t="shared" si="181"/>
        <v>#DIV/0!</v>
      </c>
      <c r="AK70" s="4429"/>
      <c r="AL70" s="3341"/>
      <c r="AM70" s="3341"/>
      <c r="AN70" s="3349">
        <f t="shared" si="182"/>
        <v>0</v>
      </c>
      <c r="AO70" s="4428" t="e">
        <f t="shared" si="183"/>
        <v>#DIV/0!</v>
      </c>
      <c r="AP70" s="4429"/>
      <c r="AQ70" s="3341"/>
      <c r="AR70" s="3341"/>
      <c r="AS70" s="3349">
        <f t="shared" si="184"/>
        <v>0</v>
      </c>
      <c r="AT70" s="4428" t="e">
        <f t="shared" si="185"/>
        <v>#DIV/0!</v>
      </c>
      <c r="AU70" s="4429"/>
      <c r="AV70" s="3341"/>
      <c r="AW70" s="3341"/>
      <c r="AX70" s="3349">
        <f t="shared" si="186"/>
        <v>0</v>
      </c>
      <c r="AY70" s="4428">
        <f t="shared" si="187"/>
        <v>0</v>
      </c>
      <c r="AZ70" s="4429"/>
      <c r="BA70" s="3341"/>
      <c r="BB70" s="3341"/>
      <c r="BC70" s="3349">
        <f t="shared" si="188"/>
        <v>0</v>
      </c>
      <c r="BD70" s="4428">
        <f t="shared" si="189"/>
        <v>0</v>
      </c>
      <c r="BE70" s="4429"/>
      <c r="BF70" s="3341"/>
      <c r="BG70" s="3341"/>
      <c r="BH70" s="3349">
        <f t="shared" si="190"/>
        <v>0</v>
      </c>
      <c r="BI70" s="4428" t="e">
        <f t="shared" si="191"/>
        <v>#DIV/0!</v>
      </c>
      <c r="BJ70" s="4429"/>
      <c r="BK70" s="3341"/>
      <c r="BL70" s="3341"/>
      <c r="BM70" s="3349">
        <f t="shared" si="192"/>
        <v>0</v>
      </c>
      <c r="BN70" s="4428" t="e">
        <f t="shared" si="193"/>
        <v>#DIV/0!</v>
      </c>
      <c r="BO70" s="4429"/>
      <c r="BP70" s="3341"/>
      <c r="BQ70" s="3341"/>
      <c r="BR70" s="3349">
        <f t="shared" si="194"/>
        <v>0</v>
      </c>
      <c r="BS70" s="4428" t="e">
        <f t="shared" si="195"/>
        <v>#DIV/0!</v>
      </c>
      <c r="BT70" s="4429"/>
      <c r="BU70" s="3341"/>
      <c r="BV70" s="3341"/>
      <c r="BW70" s="3349">
        <f t="shared" si="196"/>
        <v>0</v>
      </c>
      <c r="BX70" s="4428" t="e">
        <f t="shared" si="197"/>
        <v>#DIV/0!</v>
      </c>
      <c r="BY70" s="4429"/>
      <c r="BZ70" s="3341"/>
      <c r="CA70" s="3341"/>
      <c r="CB70" s="3349">
        <f t="shared" si="198"/>
        <v>0</v>
      </c>
      <c r="CC70" s="4428" t="e">
        <f t="shared" si="199"/>
        <v>#DIV/0!</v>
      </c>
      <c r="CD70" s="4429"/>
      <c r="CE70" s="3341"/>
      <c r="CF70" s="3341"/>
      <c r="CG70" s="3349">
        <f t="shared" si="200"/>
        <v>0</v>
      </c>
      <c r="CH70" s="4428" t="e">
        <f t="shared" si="201"/>
        <v>#DIV/0!</v>
      </c>
      <c r="CI70" s="4429"/>
      <c r="CJ70" s="3341">
        <f t="shared" si="202"/>
        <v>0</v>
      </c>
      <c r="CK70" s="3341">
        <f t="shared" si="202"/>
        <v>0</v>
      </c>
      <c r="CL70" s="2012">
        <f t="shared" si="203"/>
        <v>0</v>
      </c>
      <c r="CM70" s="4428">
        <f t="shared" si="168"/>
        <v>0</v>
      </c>
      <c r="CN70" s="4432"/>
      <c r="CP70" s="2012">
        <f t="shared" si="204"/>
        <v>0</v>
      </c>
      <c r="CQ70" s="2012">
        <f t="shared" si="204"/>
        <v>0</v>
      </c>
      <c r="CR70" s="4614"/>
      <c r="CT70" s="2624"/>
    </row>
    <row r="71" spans="1:98" s="1396" customFormat="1" ht="13.8" outlineLevel="2">
      <c r="A71" s="1571"/>
      <c r="B71" s="4632" t="s">
        <v>78</v>
      </c>
      <c r="C71" s="3341"/>
      <c r="D71" s="3341"/>
      <c r="E71" s="3349">
        <f t="shared" si="169"/>
        <v>0</v>
      </c>
      <c r="F71" s="4428" t="e">
        <f t="shared" si="133"/>
        <v>#DIV/0!</v>
      </c>
      <c r="G71" s="4429"/>
      <c r="H71" s="3341"/>
      <c r="I71" s="3341"/>
      <c r="J71" s="3349">
        <f t="shared" si="170"/>
        <v>0</v>
      </c>
      <c r="K71" s="4428" t="e">
        <f t="shared" si="171"/>
        <v>#DIV/0!</v>
      </c>
      <c r="L71" s="4429"/>
      <c r="M71" s="3341"/>
      <c r="N71" s="3341"/>
      <c r="O71" s="3349">
        <f t="shared" si="172"/>
        <v>0</v>
      </c>
      <c r="P71" s="4428" t="e">
        <f t="shared" si="173"/>
        <v>#DIV/0!</v>
      </c>
      <c r="Q71" s="4429"/>
      <c r="R71" s="3342">
        <f t="shared" si="174"/>
        <v>0</v>
      </c>
      <c r="S71" s="3342">
        <f t="shared" si="174"/>
        <v>0</v>
      </c>
      <c r="T71" s="2012">
        <f t="shared" si="175"/>
        <v>0</v>
      </c>
      <c r="U71" s="3462"/>
      <c r="V71" s="3462"/>
      <c r="W71" s="3342">
        <f t="shared" si="176"/>
        <v>0</v>
      </c>
      <c r="X71" s="3342">
        <f t="shared" si="176"/>
        <v>0</v>
      </c>
      <c r="Y71" s="2012">
        <f t="shared" si="177"/>
        <v>0</v>
      </c>
      <c r="Z71" s="3462"/>
      <c r="AA71" s="3462"/>
      <c r="AB71" s="3341"/>
      <c r="AC71" s="3341"/>
      <c r="AD71" s="3349">
        <f t="shared" si="178"/>
        <v>0</v>
      </c>
      <c r="AE71" s="4428" t="e">
        <f t="shared" si="179"/>
        <v>#DIV/0!</v>
      </c>
      <c r="AF71" s="4429"/>
      <c r="AG71" s="3341"/>
      <c r="AH71" s="3341"/>
      <c r="AI71" s="3349">
        <f t="shared" si="180"/>
        <v>0</v>
      </c>
      <c r="AJ71" s="4428" t="e">
        <f t="shared" si="181"/>
        <v>#DIV/0!</v>
      </c>
      <c r="AK71" s="4429"/>
      <c r="AL71" s="3341"/>
      <c r="AM71" s="3341"/>
      <c r="AN71" s="3349">
        <f t="shared" si="182"/>
        <v>0</v>
      </c>
      <c r="AO71" s="4428" t="e">
        <f t="shared" si="183"/>
        <v>#DIV/0!</v>
      </c>
      <c r="AP71" s="4429"/>
      <c r="AQ71" s="3341"/>
      <c r="AR71" s="3341"/>
      <c r="AS71" s="3349">
        <f t="shared" si="184"/>
        <v>0</v>
      </c>
      <c r="AT71" s="4428" t="e">
        <f t="shared" si="185"/>
        <v>#DIV/0!</v>
      </c>
      <c r="AU71" s="4429"/>
      <c r="AV71" s="3341"/>
      <c r="AW71" s="3341"/>
      <c r="AX71" s="3349">
        <f t="shared" si="186"/>
        <v>0</v>
      </c>
      <c r="AY71" s="4428">
        <f t="shared" si="187"/>
        <v>0</v>
      </c>
      <c r="AZ71" s="4429"/>
      <c r="BA71" s="3341"/>
      <c r="BB71" s="3341"/>
      <c r="BC71" s="3349">
        <f t="shared" si="188"/>
        <v>0</v>
      </c>
      <c r="BD71" s="4428">
        <f t="shared" si="189"/>
        <v>0</v>
      </c>
      <c r="BE71" s="4429"/>
      <c r="BF71" s="3341"/>
      <c r="BG71" s="3341"/>
      <c r="BH71" s="3349">
        <f t="shared" si="190"/>
        <v>0</v>
      </c>
      <c r="BI71" s="4428" t="e">
        <f t="shared" si="191"/>
        <v>#DIV/0!</v>
      </c>
      <c r="BJ71" s="4429"/>
      <c r="BK71" s="3341"/>
      <c r="BL71" s="3341"/>
      <c r="BM71" s="3349">
        <f t="shared" si="192"/>
        <v>0</v>
      </c>
      <c r="BN71" s="4428" t="e">
        <f t="shared" si="193"/>
        <v>#DIV/0!</v>
      </c>
      <c r="BO71" s="4429"/>
      <c r="BP71" s="3341"/>
      <c r="BQ71" s="3341"/>
      <c r="BR71" s="3349">
        <f t="shared" si="194"/>
        <v>0</v>
      </c>
      <c r="BS71" s="4428" t="e">
        <f t="shared" si="195"/>
        <v>#DIV/0!</v>
      </c>
      <c r="BT71" s="4429"/>
      <c r="BU71" s="3341"/>
      <c r="BV71" s="3341"/>
      <c r="BW71" s="3349">
        <f t="shared" si="196"/>
        <v>0</v>
      </c>
      <c r="BX71" s="4428" t="e">
        <f t="shared" si="197"/>
        <v>#DIV/0!</v>
      </c>
      <c r="BY71" s="4429"/>
      <c r="BZ71" s="3341"/>
      <c r="CA71" s="3341"/>
      <c r="CB71" s="3349">
        <f t="shared" si="198"/>
        <v>0</v>
      </c>
      <c r="CC71" s="4428" t="e">
        <f t="shared" si="199"/>
        <v>#DIV/0!</v>
      </c>
      <c r="CD71" s="4429"/>
      <c r="CE71" s="3341"/>
      <c r="CF71" s="3341"/>
      <c r="CG71" s="3349">
        <f t="shared" si="200"/>
        <v>0</v>
      </c>
      <c r="CH71" s="4428" t="e">
        <f t="shared" si="201"/>
        <v>#DIV/0!</v>
      </c>
      <c r="CI71" s="4429"/>
      <c r="CJ71" s="3341">
        <f t="shared" si="202"/>
        <v>0</v>
      </c>
      <c r="CK71" s="3341">
        <f t="shared" si="202"/>
        <v>0</v>
      </c>
      <c r="CL71" s="2012">
        <f t="shared" si="203"/>
        <v>0</v>
      </c>
      <c r="CM71" s="4428">
        <f t="shared" si="168"/>
        <v>0</v>
      </c>
      <c r="CN71" s="4432"/>
      <c r="CP71" s="2012">
        <f t="shared" si="204"/>
        <v>0</v>
      </c>
      <c r="CQ71" s="2012">
        <f t="shared" si="204"/>
        <v>0</v>
      </c>
      <c r="CR71" s="4614"/>
      <c r="CT71" s="2624"/>
    </row>
    <row r="72" spans="1:98" s="1396" customFormat="1" ht="13.8" outlineLevel="2">
      <c r="A72" s="1571"/>
      <c r="B72" s="4463"/>
      <c r="C72" s="4623"/>
      <c r="D72" s="4623"/>
      <c r="E72" s="4453"/>
      <c r="F72" s="4428"/>
      <c r="G72" s="4429"/>
      <c r="H72" s="4623"/>
      <c r="I72" s="4623"/>
      <c r="J72" s="4453"/>
      <c r="K72" s="4428" t="e">
        <f t="shared" si="171"/>
        <v>#DIV/0!</v>
      </c>
      <c r="L72" s="4429"/>
      <c r="M72" s="4623"/>
      <c r="N72" s="4623"/>
      <c r="O72" s="4453"/>
      <c r="P72" s="4428" t="e">
        <f t="shared" si="173"/>
        <v>#DIV/0!</v>
      </c>
      <c r="Q72" s="4429"/>
      <c r="R72" s="4429"/>
      <c r="S72" s="4429"/>
      <c r="T72" s="4429"/>
      <c r="U72" s="4429"/>
      <c r="V72" s="4429"/>
      <c r="W72" s="4429"/>
      <c r="X72" s="4429"/>
      <c r="Y72" s="4429"/>
      <c r="Z72" s="4429"/>
      <c r="AA72" s="4429"/>
      <c r="AB72" s="4623"/>
      <c r="AC72" s="4623"/>
      <c r="AD72" s="4453"/>
      <c r="AE72" s="4428"/>
      <c r="AF72" s="4429"/>
      <c r="AG72" s="4623"/>
      <c r="AH72" s="4623"/>
      <c r="AI72" s="4453"/>
      <c r="AJ72" s="4428"/>
      <c r="AK72" s="4429"/>
      <c r="AL72" s="4623"/>
      <c r="AM72" s="4623"/>
      <c r="AN72" s="4453"/>
      <c r="AO72" s="4428"/>
      <c r="AP72" s="4429"/>
      <c r="AQ72" s="4623"/>
      <c r="AR72" s="4623"/>
      <c r="AS72" s="4453"/>
      <c r="AT72" s="4428"/>
      <c r="AU72" s="4429"/>
      <c r="AV72" s="4623"/>
      <c r="AW72" s="4623"/>
      <c r="AX72" s="4453"/>
      <c r="AY72" s="4428"/>
      <c r="AZ72" s="4429"/>
      <c r="BA72" s="4623"/>
      <c r="BB72" s="4623"/>
      <c r="BC72" s="4453"/>
      <c r="BD72" s="4428"/>
      <c r="BE72" s="4429"/>
      <c r="BF72" s="4623"/>
      <c r="BG72" s="4623"/>
      <c r="BH72" s="4453"/>
      <c r="BI72" s="4428"/>
      <c r="BJ72" s="4429"/>
      <c r="BK72" s="4623"/>
      <c r="BL72" s="4623"/>
      <c r="BM72" s="4453"/>
      <c r="BN72" s="4428"/>
      <c r="BO72" s="4429"/>
      <c r="BP72" s="4623"/>
      <c r="BQ72" s="4623"/>
      <c r="BR72" s="4453"/>
      <c r="BS72" s="4428"/>
      <c r="BT72" s="4429"/>
      <c r="BU72" s="4623"/>
      <c r="BV72" s="4623"/>
      <c r="BW72" s="4453"/>
      <c r="BX72" s="4428"/>
      <c r="BY72" s="4429"/>
      <c r="BZ72" s="4623"/>
      <c r="CA72" s="4623"/>
      <c r="CB72" s="4453"/>
      <c r="CC72" s="4428"/>
      <c r="CD72" s="4429"/>
      <c r="CE72" s="4623"/>
      <c r="CF72" s="4623"/>
      <c r="CG72" s="4453"/>
      <c r="CH72" s="4428"/>
      <c r="CI72" s="4429"/>
      <c r="CJ72" s="4623"/>
      <c r="CK72" s="4623"/>
      <c r="CL72" s="4453"/>
      <c r="CM72" s="4428">
        <f>CL72/$CL$89</f>
        <v>0</v>
      </c>
      <c r="CN72" s="4432"/>
      <c r="CP72" s="2030"/>
      <c r="CQ72" s="2030"/>
      <c r="CR72" s="4613"/>
      <c r="CT72" s="2624"/>
    </row>
    <row r="73" spans="1:98"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Y74</f>
        <v>0</v>
      </c>
      <c r="Z73" s="3738"/>
      <c r="AA73" s="3742"/>
      <c r="AB73" s="555">
        <f>AB74</f>
        <v>0</v>
      </c>
      <c r="AC73" s="3738">
        <f>AC74</f>
        <v>0</v>
      </c>
      <c r="AD73" s="3739">
        <f>AD74</f>
        <v>0</v>
      </c>
      <c r="AE73" s="3738"/>
      <c r="AF73" s="3741"/>
      <c r="AG73" s="555">
        <f>AG74</f>
        <v>0</v>
      </c>
      <c r="AH73" s="3738">
        <f>AH74</f>
        <v>0</v>
      </c>
      <c r="AI73" s="3739">
        <f>AI74</f>
        <v>0</v>
      </c>
      <c r="AJ73" s="3738"/>
      <c r="AK73" s="3741"/>
      <c r="AL73" s="555">
        <f>AL74</f>
        <v>0</v>
      </c>
      <c r="AM73" s="3738">
        <f>AM74</f>
        <v>0</v>
      </c>
      <c r="AN73" s="3739">
        <f>AN74</f>
        <v>0</v>
      </c>
      <c r="AO73" s="3738"/>
      <c r="AP73" s="3741"/>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4648">
        <f>CP74</f>
        <v>0</v>
      </c>
      <c r="CQ73" s="4648">
        <f>CQ74</f>
        <v>0</v>
      </c>
      <c r="CR73" s="4648"/>
      <c r="CT73" s="2624"/>
    </row>
    <row r="74" spans="1:98" s="1396" customFormat="1" ht="14.4" outlineLevel="1" thickBot="1">
      <c r="A74" s="1413"/>
      <c r="B74" s="1051" t="s">
        <v>64</v>
      </c>
      <c r="C74" s="3341"/>
      <c r="D74" s="3341"/>
      <c r="E74" s="3386">
        <f>C74+D74*1</f>
        <v>0</v>
      </c>
      <c r="F74" s="3386"/>
      <c r="G74" s="3468"/>
      <c r="H74" s="3341"/>
      <c r="I74" s="3341"/>
      <c r="J74" s="3386">
        <f>H74+I74*1</f>
        <v>0</v>
      </c>
      <c r="K74" s="4428" t="e">
        <f t="shared" ref="K74" si="205">J74/J$89</f>
        <v>#DIV/0!</v>
      </c>
      <c r="L74" s="3468"/>
      <c r="M74" s="3341"/>
      <c r="N74" s="3341"/>
      <c r="O74" s="3386">
        <f>M74+N74*1</f>
        <v>0</v>
      </c>
      <c r="P74" s="4428" t="e">
        <f t="shared" ref="P74" si="206">O74/O$89</f>
        <v>#DIV/0!</v>
      </c>
      <c r="Q74" s="3468"/>
      <c r="R74" s="3469"/>
      <c r="S74" s="3469"/>
      <c r="T74" s="3469"/>
      <c r="U74" s="3469"/>
      <c r="V74" s="3469"/>
      <c r="W74" s="3342">
        <f t="shared" ref="W74:X74" si="207">AB74+AG74+AL74+AV74+BA74+BF74+BK74+BP74+BU74+BZ74+CE74+AQ74</f>
        <v>0</v>
      </c>
      <c r="X74" s="3342">
        <f t="shared" si="207"/>
        <v>0</v>
      </c>
      <c r="Y74" s="3469"/>
      <c r="Z74" s="3469"/>
      <c r="AA74" s="3469"/>
      <c r="AB74" s="3341"/>
      <c r="AC74" s="3341"/>
      <c r="AD74" s="3386">
        <f>AB74+AC74*1</f>
        <v>0</v>
      </c>
      <c r="AE74" s="3386"/>
      <c r="AF74" s="3468"/>
      <c r="AG74" s="3341"/>
      <c r="AH74" s="3341"/>
      <c r="AI74" s="3386">
        <f>AG74+AH74*1</f>
        <v>0</v>
      </c>
      <c r="AJ74" s="3386"/>
      <c r="AK74" s="3468"/>
      <c r="AL74" s="3341"/>
      <c r="AM74" s="3341"/>
      <c r="AN74" s="3386">
        <f>AL74+AM74*1</f>
        <v>0</v>
      </c>
      <c r="AO74" s="3386"/>
      <c r="AP74" s="3468"/>
      <c r="AQ74" s="3341"/>
      <c r="AR74" s="3341"/>
      <c r="AS74" s="3386">
        <f>AQ74+AR74*1</f>
        <v>0</v>
      </c>
      <c r="AT74" s="3386"/>
      <c r="AU74" s="3468"/>
      <c r="AV74" s="3341"/>
      <c r="AW74" s="3341"/>
      <c r="AX74" s="3386">
        <f>AV74+AW74*1</f>
        <v>0</v>
      </c>
      <c r="AY74" s="3386"/>
      <c r="AZ74" s="3468"/>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C74+H74+M74</f>
        <v>0</v>
      </c>
      <c r="CK74" s="3341">
        <f>D74+I74+N74</f>
        <v>0</v>
      </c>
      <c r="CL74" s="3386">
        <f>CJ74+CK74*1</f>
        <v>0</v>
      </c>
      <c r="CM74" s="3386"/>
      <c r="CN74" s="3386"/>
      <c r="CP74" s="4649">
        <f>CN74+CO74*1</f>
        <v>0</v>
      </c>
      <c r="CQ74" s="4649">
        <f>CO74+CP74*1</f>
        <v>0</v>
      </c>
      <c r="CR74" s="4649"/>
      <c r="CT74" s="2624"/>
    </row>
    <row r="75" spans="1:98"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0</v>
      </c>
      <c r="O75" s="1508">
        <f>O38-O41-O50-O54</f>
        <v>0</v>
      </c>
      <c r="P75" s="1953"/>
      <c r="Q75" s="1058"/>
      <c r="R75" s="1450">
        <f>R38-R41-R50-R54</f>
        <v>0</v>
      </c>
      <c r="S75" s="1450">
        <f>S38-S41-S50-S54</f>
        <v>0</v>
      </c>
      <c r="T75" s="1508">
        <f>T38-T41-T50-T54</f>
        <v>0</v>
      </c>
      <c r="U75" s="3470"/>
      <c r="V75" s="3470"/>
      <c r="W75" s="1450">
        <f>W38-W41-W50-W54</f>
        <v>-8435.67</v>
      </c>
      <c r="X75" s="1450">
        <f>X38-X41-X50-X54</f>
        <v>-8415.99</v>
      </c>
      <c r="Y75" s="1508">
        <f>Y38-Y41-Y50-Y54</f>
        <v>-16851.66</v>
      </c>
      <c r="Z75" s="3470"/>
      <c r="AA75" s="3470"/>
      <c r="AB75" s="1450">
        <f>AB38-AB41-AB50-AB54</f>
        <v>0</v>
      </c>
      <c r="AC75" s="1450">
        <f>AC38-AC41-AC50-AC54</f>
        <v>0</v>
      </c>
      <c r="AD75" s="1508">
        <f>AD38-AD41-AD50-AD54</f>
        <v>0</v>
      </c>
      <c r="AE75" s="1953"/>
      <c r="AF75" s="1058"/>
      <c r="AG75" s="1450">
        <f>AG38-AG41-AG50-AG54</f>
        <v>0</v>
      </c>
      <c r="AH75" s="1450">
        <f>AH38-AH41-AH50-AH54</f>
        <v>0</v>
      </c>
      <c r="AI75" s="1508">
        <f>AI38-AI41-AI50-AI54</f>
        <v>0</v>
      </c>
      <c r="AJ75" s="1953"/>
      <c r="AK75" s="1058"/>
      <c r="AL75" s="1450">
        <f>AL38-AL41-AL50-AL54</f>
        <v>0</v>
      </c>
      <c r="AM75" s="1450">
        <f>AM38-AM41-AM50-AM54</f>
        <v>0</v>
      </c>
      <c r="AN75" s="1508">
        <f>AN38-AN41-AN50-AN54</f>
        <v>0</v>
      </c>
      <c r="AO75" s="1953"/>
      <c r="AP75" s="1058"/>
      <c r="AQ75" s="1450">
        <f>AQ38-AQ41-AQ50-AQ54</f>
        <v>0</v>
      </c>
      <c r="AR75" s="1450">
        <f>AR38-AR41-AR50-AR54</f>
        <v>0</v>
      </c>
      <c r="AS75" s="1508">
        <f>AS38-AS41-AS50-AS54</f>
        <v>0</v>
      </c>
      <c r="AT75" s="1953"/>
      <c r="AU75" s="1058"/>
      <c r="AV75" s="1450">
        <f>AV38-AV41-AV50-AV54</f>
        <v>-1957.93</v>
      </c>
      <c r="AW75" s="1450">
        <f>AW38-AW41-AW50-AW54</f>
        <v>-2525</v>
      </c>
      <c r="AX75" s="1508">
        <f>AX38-AX41-AX50-AX54</f>
        <v>-4482.93</v>
      </c>
      <c r="AY75" s="1953"/>
      <c r="AZ75" s="1058"/>
      <c r="BA75" s="1450">
        <f>BA38-BA41-BA50-BA54</f>
        <v>-6477.7400000000007</v>
      </c>
      <c r="BB75" s="1450">
        <f>BB38-BB41-BB50-BB54</f>
        <v>-5890.99</v>
      </c>
      <c r="BC75" s="1508">
        <f>BC38-BC41-BC50-BC54</f>
        <v>-12368.73</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-8435.67</v>
      </c>
      <c r="CK75" s="1450">
        <f>CK38-CK41-CK50-CK54</f>
        <v>-8415.99</v>
      </c>
      <c r="CL75" s="1508">
        <f>CL38-CL41-CL50-CL54</f>
        <v>-16851.66</v>
      </c>
      <c r="CM75" s="1953"/>
      <c r="CN75" s="1953"/>
      <c r="CP75" s="3471">
        <f>CP38-CP41-CP50-CP54</f>
        <v>-31947.97</v>
      </c>
      <c r="CQ75" s="3471">
        <f>CQ38-CQ41-CQ50-CQ54</f>
        <v>-16851.66</v>
      </c>
      <c r="CR75" s="3471">
        <f>CR38-CR41-CR50-CR54</f>
        <v>-15096.310000000001</v>
      </c>
      <c r="CT75" s="2624"/>
    </row>
    <row r="76" spans="1:98"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2003">
        <f>IFERROR(AB75/AB5,0)</f>
        <v>0</v>
      </c>
      <c r="AC76" s="2003">
        <f>IFERROR(AC75/AC5,0)</f>
        <v>0</v>
      </c>
      <c r="AD76" s="2004">
        <f>IFERROR(AD75/AD5,0)</f>
        <v>0</v>
      </c>
      <c r="AE76" s="2004"/>
      <c r="AF76" s="1056"/>
      <c r="AG76" s="2003">
        <f>IFERROR(AG75/AG5,0)</f>
        <v>0</v>
      </c>
      <c r="AH76" s="2003">
        <f>IFERROR(AH75/AH5,0)</f>
        <v>0</v>
      </c>
      <c r="AI76" s="2004">
        <f>IFERROR(AI75/AI5,0)</f>
        <v>0</v>
      </c>
      <c r="AJ76" s="2004"/>
      <c r="AK76" s="1056"/>
      <c r="AL76" s="2003">
        <f>IFERROR(AL75/AL5,0)</f>
        <v>0</v>
      </c>
      <c r="AM76" s="2003">
        <f>IFERROR(AM75/AM5,0)</f>
        <v>0</v>
      </c>
      <c r="AN76" s="2004">
        <f>IFERROR(AN75/AN5,0)</f>
        <v>0</v>
      </c>
      <c r="AO76" s="2004"/>
      <c r="AP76" s="1056"/>
      <c r="AQ76" s="2003">
        <f>IFERROR(AQ75/AQ5,0)</f>
        <v>0</v>
      </c>
      <c r="AR76" s="2003">
        <f>IFERROR(AR75/AR5,0)</f>
        <v>0</v>
      </c>
      <c r="AS76" s="2004">
        <f>IFERROR(AS75/AS5,0)</f>
        <v>0</v>
      </c>
      <c r="AT76" s="2004"/>
      <c r="AU76" s="1056"/>
      <c r="AV76" s="2003">
        <f>IFERROR(AV75/AV5,0)</f>
        <v>0</v>
      </c>
      <c r="AW76" s="2003">
        <f>IFERROR(AW75/AW5,0)</f>
        <v>0</v>
      </c>
      <c r="AX76" s="2004">
        <f>IFERROR(AX75/AX5,0)</f>
        <v>0</v>
      </c>
      <c r="AY76" s="2004"/>
      <c r="AZ76" s="1056"/>
      <c r="BA76" s="2003">
        <f>IFERROR(BA75/BA5,0)</f>
        <v>0</v>
      </c>
      <c r="BB76" s="2003">
        <f>IFERROR(BB75/BB5,0)</f>
        <v>0</v>
      </c>
      <c r="BC76" s="2004">
        <f>IFERROR(BC75/BC5,0)</f>
        <v>0</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v>
      </c>
      <c r="CK76" s="2003">
        <f>IFERROR(CK75/CK5,0)</f>
        <v>0</v>
      </c>
      <c r="CL76" s="2004">
        <f>IFERROR(CL75/CL5,0)</f>
        <v>0</v>
      </c>
      <c r="CM76" s="2004"/>
      <c r="CN76" s="2004"/>
      <c r="CP76" s="2004" t="e">
        <f>CP75/CP5</f>
        <v>#DIV/0!</v>
      </c>
      <c r="CQ76" s="2004">
        <f>IFERROR(CQ75/CQ5,0)</f>
        <v>0</v>
      </c>
      <c r="CR76" s="2004" t="e">
        <f>CR75/CR5</f>
        <v>#DIV/0!</v>
      </c>
      <c r="CT76" s="2624"/>
    </row>
    <row r="77" spans="1:98" s="1396" customFormat="1" ht="14.4" outlineLevel="1" thickBot="1">
      <c r="A77" s="1566"/>
      <c r="B77" s="4456" t="s">
        <v>9</v>
      </c>
      <c r="C77" s="4457">
        <f>C78-C79</f>
        <v>0</v>
      </c>
      <c r="D77" s="4457">
        <f>D78-D79</f>
        <v>0</v>
      </c>
      <c r="E77" s="4458">
        <f>E78-E79</f>
        <v>0</v>
      </c>
      <c r="F77" s="4459"/>
      <c r="G77" s="4460"/>
      <c r="H77" s="4457">
        <f>H78-H79</f>
        <v>0</v>
      </c>
      <c r="I77" s="4457">
        <f>I78-I79</f>
        <v>0</v>
      </c>
      <c r="J77" s="4458">
        <f>J78-J79</f>
        <v>0</v>
      </c>
      <c r="K77" s="4459"/>
      <c r="L77" s="4460"/>
      <c r="M77" s="4457">
        <f>M78-M79</f>
        <v>0</v>
      </c>
      <c r="N77" s="4457">
        <f>N78-N79</f>
        <v>0</v>
      </c>
      <c r="O77" s="4458">
        <f>O78-O79</f>
        <v>0</v>
      </c>
      <c r="P77" s="4459"/>
      <c r="Q77" s="4460"/>
      <c r="R77" s="4457">
        <f>R78-R79</f>
        <v>0</v>
      </c>
      <c r="S77" s="4457">
        <f>S78-S79</f>
        <v>0</v>
      </c>
      <c r="T77" s="4458">
        <f>T78-T79</f>
        <v>0</v>
      </c>
      <c r="U77" s="4461"/>
      <c r="V77" s="4461"/>
      <c r="W77" s="4457">
        <f>W78-W79</f>
        <v>-1257.6024221678267</v>
      </c>
      <c r="X77" s="4457">
        <f>X78-X79</f>
        <v>0</v>
      </c>
      <c r="Y77" s="4458">
        <f>Y78-Y79</f>
        <v>-1257.6024221678267</v>
      </c>
      <c r="Z77" s="4461"/>
      <c r="AA77" s="4461"/>
      <c r="AB77" s="4457">
        <f>AB78-AB79</f>
        <v>0</v>
      </c>
      <c r="AC77" s="4457">
        <f>AC78-AC79</f>
        <v>0</v>
      </c>
      <c r="AD77" s="4458">
        <f>AD78-AD79</f>
        <v>0</v>
      </c>
      <c r="AE77" s="4459"/>
      <c r="AF77" s="4460"/>
      <c r="AG77" s="4457">
        <f>AG78-AG79</f>
        <v>0</v>
      </c>
      <c r="AH77" s="4457">
        <f>AH78-AH79</f>
        <v>0</v>
      </c>
      <c r="AI77" s="4458">
        <f>AI78-AI79</f>
        <v>0</v>
      </c>
      <c r="AJ77" s="4459"/>
      <c r="AK77" s="4460"/>
      <c r="AL77" s="4457">
        <f>AL78-AL79</f>
        <v>0</v>
      </c>
      <c r="AM77" s="4457">
        <f>AM78-AM79</f>
        <v>0</v>
      </c>
      <c r="AN77" s="4458">
        <f>AN78-AN79</f>
        <v>0</v>
      </c>
      <c r="AO77" s="4459"/>
      <c r="AP77" s="4460"/>
      <c r="AQ77" s="4457">
        <f>AQ78-AQ79</f>
        <v>0</v>
      </c>
      <c r="AR77" s="4457">
        <f>AR78-AR79</f>
        <v>0</v>
      </c>
      <c r="AS77" s="4458">
        <f>AS78-AS79</f>
        <v>0</v>
      </c>
      <c r="AT77" s="4459"/>
      <c r="AU77" s="4460"/>
      <c r="AV77" s="4457">
        <f>AV78-AV79</f>
        <v>-377.31106096534842</v>
      </c>
      <c r="AW77" s="4457">
        <f>AW78-AW79</f>
        <v>0</v>
      </c>
      <c r="AX77" s="4458">
        <f>AX78-AX79</f>
        <v>-377.31106096534842</v>
      </c>
      <c r="AY77" s="4459"/>
      <c r="AZ77" s="4460"/>
      <c r="BA77" s="4457">
        <f>BA78-BA79</f>
        <v>-880.29136120247836</v>
      </c>
      <c r="BB77" s="4457">
        <f>BB78-BB79</f>
        <v>0</v>
      </c>
      <c r="BC77" s="4458">
        <f>BC78-BC79</f>
        <v>-880.29136120247836</v>
      </c>
      <c r="BD77" s="4459"/>
      <c r="BE77" s="4460"/>
      <c r="BF77" s="4457">
        <f>BF78-BF79</f>
        <v>0</v>
      </c>
      <c r="BG77" s="4457">
        <f>BG78-BG79</f>
        <v>0</v>
      </c>
      <c r="BH77" s="4458">
        <f>BH78-BH79</f>
        <v>0</v>
      </c>
      <c r="BI77" s="4459"/>
      <c r="BJ77" s="4460"/>
      <c r="BK77" s="4457">
        <f>BK78-BK79</f>
        <v>0</v>
      </c>
      <c r="BL77" s="4457">
        <f>BL78-BL79</f>
        <v>0</v>
      </c>
      <c r="BM77" s="4458">
        <f>BM78-BM79</f>
        <v>0</v>
      </c>
      <c r="BN77" s="4459"/>
      <c r="BO77" s="4460"/>
      <c r="BP77" s="4457">
        <f>BP78-BP79</f>
        <v>0</v>
      </c>
      <c r="BQ77" s="4457">
        <f>BQ78-BQ79</f>
        <v>0</v>
      </c>
      <c r="BR77" s="4458">
        <f>BR78-BR79</f>
        <v>0</v>
      </c>
      <c r="BS77" s="4459"/>
      <c r="BT77" s="4460"/>
      <c r="BU77" s="4457">
        <f>BU78-BU79</f>
        <v>0</v>
      </c>
      <c r="BV77" s="4457">
        <f>BV78-BV79</f>
        <v>0</v>
      </c>
      <c r="BW77" s="4458">
        <f>BW78-BW79</f>
        <v>0</v>
      </c>
      <c r="BX77" s="4459"/>
      <c r="BY77" s="4460"/>
      <c r="BZ77" s="4457">
        <f>BZ78-BZ79</f>
        <v>0</v>
      </c>
      <c r="CA77" s="4457">
        <f>CA78-CA79</f>
        <v>0</v>
      </c>
      <c r="CB77" s="4458">
        <f>CB78-CB79</f>
        <v>0</v>
      </c>
      <c r="CC77" s="4459"/>
      <c r="CD77" s="4460"/>
      <c r="CE77" s="4457">
        <f>CE78-CE79</f>
        <v>0</v>
      </c>
      <c r="CF77" s="4457">
        <f>CF78-CF79</f>
        <v>0</v>
      </c>
      <c r="CG77" s="4458">
        <f>CG78-CG79</f>
        <v>0</v>
      </c>
      <c r="CH77" s="4459"/>
      <c r="CI77" s="4460"/>
      <c r="CJ77" s="4457">
        <f>CJ78-CJ79</f>
        <v>-1257.6024221678267</v>
      </c>
      <c r="CK77" s="4457">
        <f>CK78-CK79</f>
        <v>0</v>
      </c>
      <c r="CL77" s="4458">
        <f>CL78-CL79</f>
        <v>-1257.6024221678267</v>
      </c>
      <c r="CM77" s="4459"/>
      <c r="CN77" s="4459"/>
      <c r="CP77" s="4458">
        <f>CP78-CP79</f>
        <v>0</v>
      </c>
      <c r="CQ77" s="4458">
        <f>CQ78-CQ79</f>
        <v>-1257.6024221678267</v>
      </c>
      <c r="CR77" s="4458"/>
      <c r="CT77" s="2624"/>
    </row>
    <row r="78" spans="1:98" s="1396" customFormat="1" ht="13.8" outlineLevel="2">
      <c r="A78" s="1405"/>
      <c r="B78" s="1400" t="s">
        <v>43</v>
      </c>
      <c r="C78" s="3341"/>
      <c r="D78" s="3341"/>
      <c r="E78" s="3391">
        <f>C78+D78*1.15</f>
        <v>0</v>
      </c>
      <c r="F78" s="3391"/>
      <c r="G78" s="3473"/>
      <c r="H78" s="3341"/>
      <c r="I78" s="3341"/>
      <c r="J78" s="3391">
        <f>H78+I78*1.15</f>
        <v>0</v>
      </c>
      <c r="K78" s="4428" t="e">
        <f t="shared" ref="K78:K79" si="208">J78/J$89</f>
        <v>#DIV/0!</v>
      </c>
      <c r="L78" s="3473"/>
      <c r="M78" s="3341"/>
      <c r="N78" s="3341"/>
      <c r="O78" s="3391">
        <f>M78+N78*1.15</f>
        <v>0</v>
      </c>
      <c r="P78" s="4428" t="e">
        <f t="shared" ref="P78:P79" si="209">O78/O$89</f>
        <v>#DIV/0!</v>
      </c>
      <c r="Q78" s="3473"/>
      <c r="R78" s="3342">
        <f t="shared" ref="R78:S79" si="210">M78+H78+C78</f>
        <v>0</v>
      </c>
      <c r="S78" s="3342">
        <f t="shared" si="210"/>
        <v>0</v>
      </c>
      <c r="T78" s="2012">
        <f t="shared" ref="T78:T79" si="211">R78+S78</f>
        <v>0</v>
      </c>
      <c r="U78" s="3474"/>
      <c r="V78" s="3474"/>
      <c r="W78" s="3342">
        <f t="shared" ref="W78:X79" si="212">AB78+AG78+AL78+AV78+BA78+BF78+BK78+BP78+BU78+BZ78+CE78+AQ78</f>
        <v>0</v>
      </c>
      <c r="X78" s="3342">
        <f t="shared" si="212"/>
        <v>0</v>
      </c>
      <c r="Y78" s="2012">
        <f t="shared" ref="Y78:Y79" si="213">W78+X78</f>
        <v>0</v>
      </c>
      <c r="Z78" s="3474"/>
      <c r="AA78" s="3474"/>
      <c r="AB78" s="3341"/>
      <c r="AC78" s="3341"/>
      <c r="AD78" s="3391">
        <f>AB78+AC78*1.15</f>
        <v>0</v>
      </c>
      <c r="AE78" s="3391"/>
      <c r="AF78" s="3473"/>
      <c r="AG78" s="3341"/>
      <c r="AH78" s="3341"/>
      <c r="AI78" s="3391">
        <f>AG78+AH78*1.15</f>
        <v>0</v>
      </c>
      <c r="AJ78" s="3391"/>
      <c r="AK78" s="3473"/>
      <c r="AL78" s="3341"/>
      <c r="AM78" s="3341"/>
      <c r="AN78" s="3391">
        <f>AL78+AM78*1.15</f>
        <v>0</v>
      </c>
      <c r="AO78" s="3391"/>
      <c r="AP78" s="3473"/>
      <c r="AQ78" s="3341"/>
      <c r="AR78" s="3341"/>
      <c r="AS78" s="3391">
        <f>AQ78+AR78*1.15</f>
        <v>0</v>
      </c>
      <c r="AT78" s="3391"/>
      <c r="AU78" s="3473"/>
      <c r="AV78" s="3341"/>
      <c r="AW78" s="3341"/>
      <c r="AX78" s="3391">
        <f>AV78+AW78*1.15</f>
        <v>0</v>
      </c>
      <c r="AY78" s="3391"/>
      <c r="AZ78" s="3473"/>
      <c r="BA78" s="3341"/>
      <c r="BB78" s="3341"/>
      <c r="BC78" s="3391">
        <f>BA78+BB78*1.15</f>
        <v>0</v>
      </c>
      <c r="BD78" s="3391"/>
      <c r="BE78" s="3473"/>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14">C78+H78+M78+W78</f>
        <v>0</v>
      </c>
      <c r="CK78" s="3341">
        <f t="shared" si="214"/>
        <v>0</v>
      </c>
      <c r="CL78" s="3391">
        <f>CJ78+CK78*1.15</f>
        <v>0</v>
      </c>
      <c r="CM78" s="3391"/>
      <c r="CN78" s="3391"/>
      <c r="CP78" s="3475">
        <f>CN78+CO78*1.15</f>
        <v>0</v>
      </c>
      <c r="CQ78" s="3475">
        <f>CO78+CP78*1.15</f>
        <v>0</v>
      </c>
      <c r="CR78" s="4614"/>
      <c r="CT78" s="2624"/>
    </row>
    <row r="79" spans="1:98" s="1396" customFormat="1" ht="13.8" outlineLevel="2">
      <c r="A79" s="1405"/>
      <c r="B79" s="4462" t="s">
        <v>79</v>
      </c>
      <c r="C79" s="3341">
        <f>(D8+D41+D50+D54)/(1-'расчет 2024'!$M$21)*'расчет 2024'!$M$21</f>
        <v>0</v>
      </c>
      <c r="D79" s="3341"/>
      <c r="E79" s="2012">
        <f>C79+D79</f>
        <v>0</v>
      </c>
      <c r="F79" s="4611"/>
      <c r="G79" s="4633"/>
      <c r="H79" s="3341">
        <f>(I8+I41+I50+I54)/(1-'расчет 2024'!$M$23)*'расчет 2024'!$M$23</f>
        <v>0</v>
      </c>
      <c r="I79" s="3341"/>
      <c r="J79" s="2012">
        <f>H79+I79</f>
        <v>0</v>
      </c>
      <c r="K79" s="4428" t="e">
        <f t="shared" si="208"/>
        <v>#DIV/0!</v>
      </c>
      <c r="L79" s="4633"/>
      <c r="M79" s="3341">
        <f>(N8+N41+N50+N54)/(1-'расчет 2024'!$M$23)*'расчет 2024'!$M$23</f>
        <v>0</v>
      </c>
      <c r="N79" s="3341"/>
      <c r="O79" s="2012">
        <f>M79+N79</f>
        <v>0</v>
      </c>
      <c r="P79" s="4428" t="e">
        <f t="shared" si="209"/>
        <v>#DIV/0!</v>
      </c>
      <c r="Q79" s="4633"/>
      <c r="R79" s="3342">
        <f t="shared" si="210"/>
        <v>0</v>
      </c>
      <c r="S79" s="3342">
        <f t="shared" si="210"/>
        <v>0</v>
      </c>
      <c r="T79" s="2012">
        <f t="shared" si="211"/>
        <v>0</v>
      </c>
      <c r="U79" s="3455"/>
      <c r="V79" s="3455"/>
      <c r="W79" s="3342">
        <f t="shared" si="212"/>
        <v>1257.6024221678267</v>
      </c>
      <c r="X79" s="3342">
        <f t="shared" si="212"/>
        <v>0</v>
      </c>
      <c r="Y79" s="2012">
        <f t="shared" si="213"/>
        <v>1257.6024221678267</v>
      </c>
      <c r="Z79" s="3455"/>
      <c r="AA79" s="3455"/>
      <c r="AB79" s="3341">
        <f>(AC8+AC41+AC50+AC54)/(1-'расчет 2024'!$M$23)*'расчет 2024'!$M$23</f>
        <v>0</v>
      </c>
      <c r="AC79" s="3341"/>
      <c r="AD79" s="2012">
        <f>AB79+AC79</f>
        <v>0</v>
      </c>
      <c r="AE79" s="4611"/>
      <c r="AF79" s="4633"/>
      <c r="AG79" s="3341">
        <f>(AH8+AH41+AH50+AH54)/(1-'расчет 2024'!$M$23)*'расчет 2024'!$M$23</f>
        <v>0</v>
      </c>
      <c r="AH79" s="3341"/>
      <c r="AI79" s="2012">
        <f>AG79+AH79</f>
        <v>0</v>
      </c>
      <c r="AJ79" s="4611"/>
      <c r="AK79" s="4633"/>
      <c r="AL79" s="3341">
        <f>(AM8+AM41+AM50+AM54)/(1-'расчет 2024'!$M$23)*'расчет 2024'!$M$23</f>
        <v>0</v>
      </c>
      <c r="AM79" s="3341"/>
      <c r="AN79" s="2012">
        <f>AL79+AM79</f>
        <v>0</v>
      </c>
      <c r="AO79" s="4611"/>
      <c r="AP79" s="4633"/>
      <c r="AQ79" s="3341">
        <f>(AR8+AR41+AR50+AR54)/(1-'расчет 2024'!$M$23)*'расчет 2024'!$M$23</f>
        <v>0</v>
      </c>
      <c r="AR79" s="3341"/>
      <c r="AS79" s="2012">
        <f>AQ79+AR79</f>
        <v>0</v>
      </c>
      <c r="AT79" s="4611"/>
      <c r="AU79" s="4633"/>
      <c r="AV79" s="3341">
        <f>(AW8+AW41+AW50+AW54)/(1-'расчет 2024'!$M$28)*'расчет 2024'!$M$28</f>
        <v>377.31106096534842</v>
      </c>
      <c r="AW79" s="3341"/>
      <c r="AX79" s="2012">
        <f>AV79+AW79</f>
        <v>377.31106096534842</v>
      </c>
      <c r="AY79" s="4611"/>
      <c r="AZ79" s="4633"/>
      <c r="BA79" s="3341">
        <f>(BB8+BB41+BB50+BB54)/(1-'расчет 2024'!$M$28)*'расчет 2024'!$M$28</f>
        <v>880.29136120247836</v>
      </c>
      <c r="BB79" s="3341"/>
      <c r="BC79" s="2012">
        <f>BA79+BB79</f>
        <v>880.29136120247836</v>
      </c>
      <c r="BD79" s="4611"/>
      <c r="BE79" s="4633"/>
      <c r="BF79" s="3341">
        <f>(BG8+BG41+BG50+BG54)/(1-'расчет 2024'!$M$23)*'расчет 2024'!$M$23</f>
        <v>0</v>
      </c>
      <c r="BG79" s="3341"/>
      <c r="BH79" s="2012">
        <f>BF79+BG79</f>
        <v>0</v>
      </c>
      <c r="BI79" s="4611"/>
      <c r="BJ79" s="4633"/>
      <c r="BK79" s="3341"/>
      <c r="BL79" s="3341"/>
      <c r="BM79" s="2012">
        <f>BK79+BL79</f>
        <v>0</v>
      </c>
      <c r="BN79" s="4611"/>
      <c r="BO79" s="4633"/>
      <c r="BP79" s="3341">
        <f>(BQ8+BQ41+BQ50+BQ54)/(1-'расчет 2024'!$M$23)*'расчет 2024'!$M$23</f>
        <v>0</v>
      </c>
      <c r="BQ79" s="3341"/>
      <c r="BR79" s="2012">
        <f>BP79+BQ79</f>
        <v>0</v>
      </c>
      <c r="BS79" s="4611"/>
      <c r="BT79" s="4633"/>
      <c r="BU79" s="3341">
        <f>(BV8+BV41+BV50+BV54)/(1-'расчет 2024'!$M$23)*'расчет 2024'!$M$23</f>
        <v>0</v>
      </c>
      <c r="BV79" s="3341"/>
      <c r="BW79" s="2012">
        <f>BU79+BV79</f>
        <v>0</v>
      </c>
      <c r="BX79" s="4611"/>
      <c r="BY79" s="4633"/>
      <c r="BZ79" s="3341">
        <f>(CA8+CA41+CA50+CA54)/(1-'расчет 2024'!$M$23)*'расчет 2024'!$M$23</f>
        <v>0</v>
      </c>
      <c r="CA79" s="3341"/>
      <c r="CB79" s="2012">
        <f>BZ79+CA79</f>
        <v>0</v>
      </c>
      <c r="CC79" s="4611"/>
      <c r="CD79" s="4633"/>
      <c r="CE79" s="3341">
        <f>(CF8+CF41+CF50+CF54)/(1-'расчет 2024'!$M$23)*'расчет 2024'!$M$23</f>
        <v>0</v>
      </c>
      <c r="CF79" s="3341"/>
      <c r="CG79" s="2012">
        <f>CE79+CF79</f>
        <v>0</v>
      </c>
      <c r="CH79" s="4611"/>
      <c r="CI79" s="4633"/>
      <c r="CJ79" s="3341">
        <f t="shared" si="214"/>
        <v>1257.6024221678267</v>
      </c>
      <c r="CK79" s="3341">
        <f t="shared" si="214"/>
        <v>0</v>
      </c>
      <c r="CL79" s="2012">
        <f t="shared" ref="CL79" si="215">CJ79+CK79*1</f>
        <v>1257.6024221678267</v>
      </c>
      <c r="CM79" s="4611"/>
      <c r="CN79" s="4611"/>
      <c r="CP79" s="2012">
        <f t="shared" ref="CP79" si="216">CN79+CO79*1</f>
        <v>0</v>
      </c>
      <c r="CQ79" s="2012">
        <f>CJ79</f>
        <v>1257.6024221678267</v>
      </c>
      <c r="CR79" s="4614">
        <f t="shared" ref="CR79" si="217">CP79-CQ79</f>
        <v>-1257.6024221678267</v>
      </c>
      <c r="CT79" s="2624"/>
    </row>
    <row r="80" spans="1:98" ht="13.8" outlineLevel="2">
      <c r="A80" s="1397"/>
      <c r="B80" s="4463"/>
      <c r="C80" s="3341"/>
      <c r="D80" s="3341"/>
      <c r="E80" s="4612"/>
      <c r="F80" s="4612"/>
      <c r="G80" s="4650"/>
      <c r="H80" s="3341"/>
      <c r="I80" s="3341"/>
      <c r="J80" s="4612"/>
      <c r="K80" s="4612"/>
      <c r="L80" s="4650"/>
      <c r="M80" s="3341"/>
      <c r="N80" s="3341"/>
      <c r="O80" s="4612"/>
      <c r="P80" s="4612"/>
      <c r="Q80" s="4650"/>
      <c r="R80" s="3448"/>
      <c r="S80" s="3448"/>
      <c r="T80" s="3448"/>
      <c r="U80" s="3448"/>
      <c r="V80" s="3448"/>
      <c r="W80" s="3448"/>
      <c r="X80" s="3448"/>
      <c r="Y80" s="3448"/>
      <c r="Z80" s="3448"/>
      <c r="AA80" s="3448"/>
      <c r="AB80" s="3341"/>
      <c r="AC80" s="3341"/>
      <c r="AD80" s="4612"/>
      <c r="AE80" s="4612"/>
      <c r="AF80" s="4650"/>
      <c r="AG80" s="3341"/>
      <c r="AH80" s="3341"/>
      <c r="AI80" s="4612"/>
      <c r="AJ80" s="4612"/>
      <c r="AK80" s="4650"/>
      <c r="AL80" s="3341"/>
      <c r="AM80" s="3341"/>
      <c r="AN80" s="4612"/>
      <c r="AO80" s="4612"/>
      <c r="AP80" s="4650"/>
      <c r="AQ80" s="3341"/>
      <c r="AR80" s="3341"/>
      <c r="AS80" s="4612"/>
      <c r="AT80" s="4612"/>
      <c r="AU80" s="4650"/>
      <c r="AV80" s="3341"/>
      <c r="AW80" s="3341"/>
      <c r="AX80" s="4612"/>
      <c r="AY80" s="4612"/>
      <c r="AZ80" s="4650"/>
      <c r="BA80" s="3341"/>
      <c r="BB80" s="3341"/>
      <c r="BC80" s="4612"/>
      <c r="BD80" s="4612"/>
      <c r="BE80" s="4650"/>
      <c r="BF80" s="3341"/>
      <c r="BG80" s="3341"/>
      <c r="BH80" s="4612"/>
      <c r="BI80" s="4612"/>
      <c r="BJ80" s="4650"/>
      <c r="BK80" s="3341"/>
      <c r="BL80" s="3341"/>
      <c r="BM80" s="4612"/>
      <c r="BN80" s="4612"/>
      <c r="BO80" s="4650"/>
      <c r="BP80" s="3341"/>
      <c r="BQ80" s="3341"/>
      <c r="BR80" s="4612"/>
      <c r="BS80" s="4612"/>
      <c r="BT80" s="4650"/>
      <c r="BU80" s="3341"/>
      <c r="BV80" s="3341"/>
      <c r="BW80" s="4612"/>
      <c r="BX80" s="4612"/>
      <c r="BY80" s="4650"/>
      <c r="BZ80" s="3341"/>
      <c r="CA80" s="3341"/>
      <c r="CB80" s="4612"/>
      <c r="CC80" s="4612"/>
      <c r="CD80" s="4650"/>
      <c r="CE80" s="3341"/>
      <c r="CF80" s="3341"/>
      <c r="CG80" s="4612"/>
      <c r="CH80" s="4612"/>
      <c r="CI80" s="4650"/>
      <c r="CJ80" s="3341">
        <f>C80+H80+M80</f>
        <v>0</v>
      </c>
      <c r="CK80" s="3341">
        <f>D80+I80+N80</f>
        <v>0</v>
      </c>
      <c r="CL80" s="4612"/>
      <c r="CM80" s="4612"/>
      <c r="CN80" s="4612"/>
      <c r="CP80" s="4651"/>
      <c r="CQ80" s="4651"/>
      <c r="CR80" s="4614"/>
    </row>
    <row r="81" spans="1:101" s="1396" customFormat="1" ht="14.4" outlineLevel="1" thickBot="1">
      <c r="A81" s="1419"/>
      <c r="B81" s="4456" t="s">
        <v>12</v>
      </c>
      <c r="C81" s="4457">
        <f>(C75+C78)-C79</f>
        <v>0</v>
      </c>
      <c r="D81" s="4457">
        <f>(D75+D78)-D79</f>
        <v>0</v>
      </c>
      <c r="E81" s="4458">
        <f>(E75+E78)-E79</f>
        <v>0</v>
      </c>
      <c r="F81" s="4459"/>
      <c r="G81" s="4460"/>
      <c r="H81" s="4457">
        <f>(H75+H78)-H79</f>
        <v>0</v>
      </c>
      <c r="I81" s="4457">
        <f>(I75+I78)-I79</f>
        <v>0</v>
      </c>
      <c r="J81" s="4458">
        <f>(J75+J78)-J79</f>
        <v>0</v>
      </c>
      <c r="K81" s="4459"/>
      <c r="L81" s="4460"/>
      <c r="M81" s="4457">
        <f>(M75+M78)-M79</f>
        <v>0</v>
      </c>
      <c r="N81" s="4457">
        <f>(N75+N78)-N79</f>
        <v>0</v>
      </c>
      <c r="O81" s="4458">
        <f>(O75+O78)-O79</f>
        <v>0</v>
      </c>
      <c r="P81" s="4459"/>
      <c r="Q81" s="4460"/>
      <c r="R81" s="4457">
        <f>(R75+R78)-R79</f>
        <v>0</v>
      </c>
      <c r="S81" s="4457">
        <f>(S75+S78)-S79</f>
        <v>0</v>
      </c>
      <c r="T81" s="4458">
        <f>(T75+T78)-T79</f>
        <v>0</v>
      </c>
      <c r="U81" s="4461"/>
      <c r="V81" s="4461"/>
      <c r="W81" s="4457">
        <f>(W75+W78)-W79</f>
        <v>-9693.2724221678272</v>
      </c>
      <c r="X81" s="4457">
        <f>(X75+X78)-X79</f>
        <v>-8415.99</v>
      </c>
      <c r="Y81" s="4458">
        <f>(Y75+Y78)-Y79</f>
        <v>-18109.262422167827</v>
      </c>
      <c r="Z81" s="4461"/>
      <c r="AA81" s="4461"/>
      <c r="AB81" s="4457">
        <f>(AB75+AB78)-AB79</f>
        <v>0</v>
      </c>
      <c r="AC81" s="4457">
        <f>(AC75+AC78)-AC79</f>
        <v>0</v>
      </c>
      <c r="AD81" s="4458">
        <f>(AD75+AD78)-AD79</f>
        <v>0</v>
      </c>
      <c r="AE81" s="4459"/>
      <c r="AF81" s="4460"/>
      <c r="AG81" s="4457">
        <f>(AG75+AG78)-AG79</f>
        <v>0</v>
      </c>
      <c r="AH81" s="4457">
        <f>(AH75+AH78)-AH79</f>
        <v>0</v>
      </c>
      <c r="AI81" s="4458">
        <f>(AI75+AI78)-AI79</f>
        <v>0</v>
      </c>
      <c r="AJ81" s="4459"/>
      <c r="AK81" s="4460"/>
      <c r="AL81" s="4457">
        <f>(AL75+AL78)-AL79</f>
        <v>0</v>
      </c>
      <c r="AM81" s="4457">
        <f>(AM75+AM78)-AM79</f>
        <v>0</v>
      </c>
      <c r="AN81" s="4458">
        <f>(AN75+AN78)-AN79</f>
        <v>0</v>
      </c>
      <c r="AO81" s="4459"/>
      <c r="AP81" s="4460"/>
      <c r="AQ81" s="4457">
        <f>(AQ75+AQ78)-AQ79</f>
        <v>0</v>
      </c>
      <c r="AR81" s="4457">
        <f>(AR75+AR78)-AR79</f>
        <v>0</v>
      </c>
      <c r="AS81" s="4458">
        <f>(AS75+AS78)-AS79</f>
        <v>0</v>
      </c>
      <c r="AT81" s="4459"/>
      <c r="AU81" s="4460"/>
      <c r="AV81" s="4457">
        <f>(AV75+AV78)-AV79</f>
        <v>-2335.2410609653484</v>
      </c>
      <c r="AW81" s="4457">
        <f>(AW75+AW78)-AW79</f>
        <v>-2525</v>
      </c>
      <c r="AX81" s="4458">
        <f>(AX75+AX78)-AX79</f>
        <v>-4860.2410609653489</v>
      </c>
      <c r="AY81" s="4459"/>
      <c r="AZ81" s="4460"/>
      <c r="BA81" s="4457">
        <f>(BA75+BA78)-BA79</f>
        <v>-7358.0313612024793</v>
      </c>
      <c r="BB81" s="4457">
        <f>(BB75+BB78)-BB79</f>
        <v>-5890.99</v>
      </c>
      <c r="BC81" s="4458">
        <f>(BC75+BC78)-BC79</f>
        <v>-13249.021361202478</v>
      </c>
      <c r="BD81" s="4459"/>
      <c r="BE81" s="4460"/>
      <c r="BF81" s="4457">
        <f>(BF75+BF78)-BF79</f>
        <v>0</v>
      </c>
      <c r="BG81" s="4457">
        <f>(BG75+BG78)-BG79</f>
        <v>0</v>
      </c>
      <c r="BH81" s="4458">
        <f>(BH75+BH78)-BH79</f>
        <v>0</v>
      </c>
      <c r="BI81" s="4459"/>
      <c r="BJ81" s="4460"/>
      <c r="BK81" s="4457">
        <f>(BK75+BK78)-BK79</f>
        <v>0</v>
      </c>
      <c r="BL81" s="4457">
        <f>(BL75+BL78)-BL79</f>
        <v>0</v>
      </c>
      <c r="BM81" s="4458">
        <f>(BM75+BM78)-BM79</f>
        <v>0</v>
      </c>
      <c r="BN81" s="4459"/>
      <c r="BO81" s="4460"/>
      <c r="BP81" s="4457">
        <f>(BP75+BP78)-BP79</f>
        <v>0</v>
      </c>
      <c r="BQ81" s="4457">
        <f>(BQ75+BQ78)-BQ79</f>
        <v>0</v>
      </c>
      <c r="BR81" s="4458">
        <f>(BR75+BR78)-BR79</f>
        <v>0</v>
      </c>
      <c r="BS81" s="4459"/>
      <c r="BT81" s="4460"/>
      <c r="BU81" s="4457">
        <f>(BU75+BU78)-BU79</f>
        <v>0</v>
      </c>
      <c r="BV81" s="4457">
        <f>(BV75+BV78)-BV79</f>
        <v>0</v>
      </c>
      <c r="BW81" s="4458">
        <f>(BW75+BW78)-BW79</f>
        <v>0</v>
      </c>
      <c r="BX81" s="4459"/>
      <c r="BY81" s="4460"/>
      <c r="BZ81" s="4457">
        <f>(BZ75+BZ78)-BZ79</f>
        <v>0</v>
      </c>
      <c r="CA81" s="4457">
        <f>(CA75+CA78)-CA79</f>
        <v>0</v>
      </c>
      <c r="CB81" s="4458">
        <f>(CB75+CB78)-CB79</f>
        <v>0</v>
      </c>
      <c r="CC81" s="4459"/>
      <c r="CD81" s="4460"/>
      <c r="CE81" s="4457">
        <f>(CE75+CE78)-CE79</f>
        <v>0</v>
      </c>
      <c r="CF81" s="4457">
        <f>(CF75+CF78)-CF79</f>
        <v>0</v>
      </c>
      <c r="CG81" s="4458">
        <f>(CG75+CG78)-CG79</f>
        <v>0</v>
      </c>
      <c r="CH81" s="4459"/>
      <c r="CI81" s="4460"/>
      <c r="CJ81" s="4457">
        <f>(CJ75+CJ78)-CJ79</f>
        <v>-9693.2724221678272</v>
      </c>
      <c r="CK81" s="4457">
        <f>(CK75+CK78)-CK79</f>
        <v>-8415.99</v>
      </c>
      <c r="CL81" s="4458">
        <f>(CL75+CL78)-CL79</f>
        <v>-18109.262422167827</v>
      </c>
      <c r="CM81" s="4459"/>
      <c r="CN81" s="4459"/>
      <c r="CP81" s="4458">
        <f>(CP75+CP78)-CP79</f>
        <v>-31947.97</v>
      </c>
      <c r="CQ81" s="4652">
        <f>(CQ75+CQ78)-CQ79</f>
        <v>-18109.262422167827</v>
      </c>
      <c r="CR81" s="4458">
        <f>(CR75+CR78)-CR79</f>
        <v>-13838.707577832174</v>
      </c>
      <c r="CT81" s="2624"/>
    </row>
    <row r="82" spans="1:101" s="1396" customFormat="1" ht="13.8" outlineLevel="2">
      <c r="A82" s="1565"/>
      <c r="B82" s="1400" t="s">
        <v>38</v>
      </c>
      <c r="C82" s="3341"/>
      <c r="D82" s="3341"/>
      <c r="E82" s="3390">
        <f>C82+D82</f>
        <v>0</v>
      </c>
      <c r="F82" s="3381"/>
      <c r="G82" s="3455"/>
      <c r="H82" s="3341"/>
      <c r="I82" s="3341"/>
      <c r="J82" s="3390">
        <f>H82+I82</f>
        <v>0</v>
      </c>
      <c r="K82" s="4428" t="e">
        <f t="shared" ref="K82" si="218">J82/J$89</f>
        <v>#DIV/0!</v>
      </c>
      <c r="L82" s="3455"/>
      <c r="M82" s="3341"/>
      <c r="N82" s="3341"/>
      <c r="O82" s="3390">
        <f>M82+N82</f>
        <v>0</v>
      </c>
      <c r="P82" s="4428" t="e">
        <f t="shared" ref="P82" si="219">O82/O$89</f>
        <v>#DIV/0!</v>
      </c>
      <c r="Q82" s="3455"/>
      <c r="R82" s="3342">
        <f t="shared" ref="R82:S82" si="220">M82+H82+C82</f>
        <v>0</v>
      </c>
      <c r="S82" s="3342">
        <f t="shared" si="220"/>
        <v>0</v>
      </c>
      <c r="T82" s="2012">
        <f t="shared" ref="T82" si="221">R82+S82</f>
        <v>0</v>
      </c>
      <c r="U82" s="3455"/>
      <c r="V82" s="3455"/>
      <c r="W82" s="3342">
        <f t="shared" ref="W82:X82" si="222">AB82+AG82+AL82+AV82+BA82+BF82+BK82+BP82+BU82+BZ82+CE82+AQ82</f>
        <v>0</v>
      </c>
      <c r="X82" s="3342">
        <f t="shared" si="222"/>
        <v>0</v>
      </c>
      <c r="Y82" s="2012">
        <f t="shared" ref="Y82" si="223">W82+X82</f>
        <v>0</v>
      </c>
      <c r="Z82" s="3455"/>
      <c r="AA82" s="3455"/>
      <c r="AB82" s="3341"/>
      <c r="AC82" s="3341"/>
      <c r="AD82" s="3390">
        <f>AB82+AC82</f>
        <v>0</v>
      </c>
      <c r="AE82" s="3381"/>
      <c r="AF82" s="3455"/>
      <c r="AG82" s="3341"/>
      <c r="AH82" s="3341"/>
      <c r="AI82" s="3390">
        <f>AG82+AH82</f>
        <v>0</v>
      </c>
      <c r="AJ82" s="3381"/>
      <c r="AK82" s="3455"/>
      <c r="AL82" s="3341"/>
      <c r="AM82" s="3341"/>
      <c r="AN82" s="3390">
        <f>AL82+AM82</f>
        <v>0</v>
      </c>
      <c r="AO82" s="3381"/>
      <c r="AP82" s="3455"/>
      <c r="AQ82" s="3341"/>
      <c r="AR82" s="3341"/>
      <c r="AS82" s="3390">
        <f>AQ82+AR82</f>
        <v>0</v>
      </c>
      <c r="AT82" s="3381"/>
      <c r="AU82" s="3455"/>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381"/>
      <c r="CP82" s="3415">
        <f>CN82+CO82</f>
        <v>0</v>
      </c>
      <c r="CQ82" s="3415">
        <f>CO82+CP82</f>
        <v>0</v>
      </c>
      <c r="CR82" s="3415"/>
      <c r="CT82" s="2624"/>
    </row>
    <row r="83" spans="1:101" s="1396" customFormat="1" ht="13.8" outlineLevel="1">
      <c r="A83" s="1405"/>
      <c r="B83" s="4466" t="s">
        <v>13</v>
      </c>
      <c r="C83" s="4467">
        <f>(C81+C7)-C36</f>
        <v>0</v>
      </c>
      <c r="D83" s="4467">
        <f>(D81+D7)-D36</f>
        <v>0</v>
      </c>
      <c r="E83" s="4468">
        <f>(E81+E7)-E36</f>
        <v>0</v>
      </c>
      <c r="F83" s="4469"/>
      <c r="G83" s="4470"/>
      <c r="H83" s="4467">
        <f>(H81+H7)-H36</f>
        <v>0</v>
      </c>
      <c r="I83" s="4467">
        <f>(I81+I7)-I36</f>
        <v>0</v>
      </c>
      <c r="J83" s="4468">
        <f>(J81+J7)-J36</f>
        <v>0</v>
      </c>
      <c r="K83" s="4469"/>
      <c r="L83" s="4470"/>
      <c r="M83" s="4467">
        <f>(M81+M7)-M36</f>
        <v>0</v>
      </c>
      <c r="N83" s="4467">
        <f>(N81+N7)-N36</f>
        <v>0</v>
      </c>
      <c r="O83" s="4468">
        <f>(O81+O7)-O36</f>
        <v>0</v>
      </c>
      <c r="P83" s="4469"/>
      <c r="Q83" s="4470"/>
      <c r="R83" s="4467">
        <f>(R81+R7)-R36</f>
        <v>0</v>
      </c>
      <c r="S83" s="4467">
        <f>(S81+S7)-S36</f>
        <v>0</v>
      </c>
      <c r="T83" s="4468">
        <f>(T81+T7)-T36</f>
        <v>0</v>
      </c>
      <c r="U83" s="4471"/>
      <c r="V83" s="4471"/>
      <c r="W83" s="4467">
        <f>(W81+W7)-W36</f>
        <v>-9693.2724221678272</v>
      </c>
      <c r="X83" s="4467">
        <f>(X81+X7)-X36</f>
        <v>-8415.99</v>
      </c>
      <c r="Y83" s="4468">
        <f>(Y81+Y7)-Y36</f>
        <v>-18109.262422167827</v>
      </c>
      <c r="Z83" s="4471"/>
      <c r="AA83" s="4471"/>
      <c r="AB83" s="4467">
        <f>(AB81+AB7)-AB36</f>
        <v>0</v>
      </c>
      <c r="AC83" s="4467">
        <f>(AC81+AC7)-AC36</f>
        <v>0</v>
      </c>
      <c r="AD83" s="4468">
        <f>(AD81+AD7)-AD36</f>
        <v>0</v>
      </c>
      <c r="AE83" s="4469"/>
      <c r="AF83" s="4470"/>
      <c r="AG83" s="4467">
        <f>(AG81+AG7)-AG36</f>
        <v>0</v>
      </c>
      <c r="AH83" s="4467">
        <f>(AH81+AH7)-AH36</f>
        <v>0</v>
      </c>
      <c r="AI83" s="4468">
        <f>(AI81+AI7)-AI36</f>
        <v>0</v>
      </c>
      <c r="AJ83" s="4469"/>
      <c r="AK83" s="4470"/>
      <c r="AL83" s="4467">
        <f>(AL81+AL7)-AL36</f>
        <v>0</v>
      </c>
      <c r="AM83" s="4467">
        <f>(AM81+AM7)-AM36</f>
        <v>0</v>
      </c>
      <c r="AN83" s="4468">
        <f>(AN81+AN7)-AN36</f>
        <v>0</v>
      </c>
      <c r="AO83" s="4469"/>
      <c r="AP83" s="4470"/>
      <c r="AQ83" s="4467">
        <f>(AQ81+AQ7)-AQ36</f>
        <v>0</v>
      </c>
      <c r="AR83" s="4467">
        <f>(AR81+AR7)-AR36</f>
        <v>0</v>
      </c>
      <c r="AS83" s="4468">
        <f>(AS81+AS7)-AS36</f>
        <v>0</v>
      </c>
      <c r="AT83" s="4469"/>
      <c r="AU83" s="4470"/>
      <c r="AV83" s="4467">
        <f>(AV81+AV7)-AV36</f>
        <v>-2335.2410609653484</v>
      </c>
      <c r="AW83" s="4467">
        <f>(AW81+AW7)-AW36</f>
        <v>-2525</v>
      </c>
      <c r="AX83" s="4468">
        <f>(AX81+AX7)-AX36</f>
        <v>-4860.2410609653489</v>
      </c>
      <c r="AY83" s="4469"/>
      <c r="AZ83" s="4470"/>
      <c r="BA83" s="4467">
        <f>(BA81+BA7)-BA36</f>
        <v>-7358.0313612024793</v>
      </c>
      <c r="BB83" s="4467">
        <f>(BB81+BB7)-BB36</f>
        <v>-5890.99</v>
      </c>
      <c r="BC83" s="4468">
        <f>(BC81+BC7)-BC36</f>
        <v>-13249.021361202478</v>
      </c>
      <c r="BD83" s="4469"/>
      <c r="BE83" s="4470"/>
      <c r="BF83" s="4467">
        <f>(BF81+BF7)-BF36</f>
        <v>0</v>
      </c>
      <c r="BG83" s="4467">
        <f>(BG81+BG7)-BG36</f>
        <v>0</v>
      </c>
      <c r="BH83" s="4468">
        <f>(BH81+BH7)-BH36</f>
        <v>0</v>
      </c>
      <c r="BI83" s="4469"/>
      <c r="BJ83" s="4470"/>
      <c r="BK83" s="4467">
        <f>(BK81+BK7)-BK36</f>
        <v>0</v>
      </c>
      <c r="BL83" s="4467">
        <f>(BL81+BL7)-BL36</f>
        <v>0</v>
      </c>
      <c r="BM83" s="4468">
        <f>(BM81+BM7)-BM36</f>
        <v>0</v>
      </c>
      <c r="BN83" s="4469"/>
      <c r="BO83" s="4470"/>
      <c r="BP83" s="4467">
        <f>(BP81+BP7)-BP36</f>
        <v>0</v>
      </c>
      <c r="BQ83" s="4467">
        <f>(BQ81+BQ7)-BQ36</f>
        <v>0</v>
      </c>
      <c r="BR83" s="4468">
        <f>(BR81+BR7)-BR36</f>
        <v>0</v>
      </c>
      <c r="BS83" s="4469"/>
      <c r="BT83" s="4470"/>
      <c r="BU83" s="4467">
        <f>(BU81+BU7)-BU36</f>
        <v>0</v>
      </c>
      <c r="BV83" s="4467">
        <f>(BV81+BV7)-BV36</f>
        <v>0</v>
      </c>
      <c r="BW83" s="4468">
        <f>(BW81+BW7)-BW36</f>
        <v>0</v>
      </c>
      <c r="BX83" s="4469"/>
      <c r="BY83" s="4470"/>
      <c r="BZ83" s="4467">
        <f>(BZ81+BZ7)-BZ36</f>
        <v>0</v>
      </c>
      <c r="CA83" s="4467">
        <f>(CA81+CA7)-CA36</f>
        <v>0</v>
      </c>
      <c r="CB83" s="4468">
        <f>(CB81+CB7)-CB36</f>
        <v>0</v>
      </c>
      <c r="CC83" s="4469"/>
      <c r="CD83" s="4470"/>
      <c r="CE83" s="4467">
        <f>(CE81+CE7)-CE36</f>
        <v>0</v>
      </c>
      <c r="CF83" s="4467">
        <f>(CF81+CF7)-CF36</f>
        <v>0</v>
      </c>
      <c r="CG83" s="4468">
        <f>(CG81+CG7)-CG36</f>
        <v>0</v>
      </c>
      <c r="CH83" s="4469"/>
      <c r="CI83" s="4470"/>
      <c r="CJ83" s="4467">
        <f>(CJ81+CJ7)-CJ36</f>
        <v>-9693.2724221678272</v>
      </c>
      <c r="CK83" s="4467">
        <f>(CK81+CK7)-CK36</f>
        <v>-8415.99</v>
      </c>
      <c r="CL83" s="4468">
        <f>(CL81+CL7)-CL36</f>
        <v>-18109.262422167827</v>
      </c>
      <c r="CM83" s="4469"/>
      <c r="CN83" s="4469"/>
      <c r="CP83" s="3481">
        <f>(CP81+CP7)-CP36</f>
        <v>-31947.97</v>
      </c>
      <c r="CQ83" s="3481">
        <f>(CQ81+CQ7)-CQ36</f>
        <v>-18109.262422167827</v>
      </c>
      <c r="CR83" s="3481">
        <f>(CR81+CR7)-CR36</f>
        <v>-13838.707577832174</v>
      </c>
      <c r="CT83" s="2624"/>
    </row>
    <row r="84" spans="1:101" s="1396" customFormat="1" ht="14.4" outlineLevel="1" thickBot="1">
      <c r="A84" s="1405"/>
      <c r="B84" s="4653" t="s">
        <v>14</v>
      </c>
      <c r="C84" s="4472">
        <f>C83-C73-C82</f>
        <v>0</v>
      </c>
      <c r="D84" s="4472">
        <f>D83-D73-D82</f>
        <v>0</v>
      </c>
      <c r="E84" s="4472">
        <f>E83-E73-E82</f>
        <v>0</v>
      </c>
      <c r="F84" s="4594"/>
      <c r="G84" s="4654"/>
      <c r="H84" s="4472">
        <f>H83-H73-H82</f>
        <v>0</v>
      </c>
      <c r="I84" s="4472">
        <f>I83-I73-I82</f>
        <v>0</v>
      </c>
      <c r="J84" s="4472">
        <f>J83-J73-J82</f>
        <v>0</v>
      </c>
      <c r="K84" s="4594"/>
      <c r="L84" s="4654"/>
      <c r="M84" s="4472">
        <f>M83-M73-M82</f>
        <v>0</v>
      </c>
      <c r="N84" s="4472">
        <f>N83-N73-N82</f>
        <v>0</v>
      </c>
      <c r="O84" s="4472">
        <f>O83-O73-O82</f>
        <v>0</v>
      </c>
      <c r="P84" s="4594"/>
      <c r="Q84" s="4654"/>
      <c r="R84" s="4472">
        <f>R83-R73-R82</f>
        <v>0</v>
      </c>
      <c r="S84" s="4472">
        <f>S83-S73-S82</f>
        <v>0</v>
      </c>
      <c r="T84" s="4472">
        <f>T83-T73-T82</f>
        <v>0</v>
      </c>
      <c r="U84" s="4654"/>
      <c r="V84" s="4654"/>
      <c r="W84" s="4626">
        <f t="shared" ref="W84:X84" si="224">AB84+AG84+AL84+AV84+BA84+BF84+BK84+BP84+BU84+BZ84+CE84</f>
        <v>-9693.2724221678272</v>
      </c>
      <c r="X84" s="4627">
        <f t="shared" si="224"/>
        <v>-8415.99</v>
      </c>
      <c r="Y84" s="4472">
        <f>Y83-Y73-Y82</f>
        <v>-18109.262422167827</v>
      </c>
      <c r="Z84" s="4654"/>
      <c r="AA84" s="4654"/>
      <c r="AB84" s="4472">
        <f>AB83-AB73-AB82</f>
        <v>0</v>
      </c>
      <c r="AC84" s="4472">
        <f>AC83-AC73-AC82</f>
        <v>0</v>
      </c>
      <c r="AD84" s="4472">
        <f>AD83-AD73-AD82</f>
        <v>0</v>
      </c>
      <c r="AE84" s="4594"/>
      <c r="AF84" s="4654"/>
      <c r="AG84" s="4472">
        <f>AG83-AG73-AG82</f>
        <v>0</v>
      </c>
      <c r="AH84" s="4472">
        <f>AH83-AH73-AH82</f>
        <v>0</v>
      </c>
      <c r="AI84" s="4472">
        <f>AI83-AI73-AI82</f>
        <v>0</v>
      </c>
      <c r="AJ84" s="4594"/>
      <c r="AK84" s="4654"/>
      <c r="AL84" s="4472">
        <f>AL83-AL73-AL82</f>
        <v>0</v>
      </c>
      <c r="AM84" s="4472">
        <f>AM83-AM73-AM82</f>
        <v>0</v>
      </c>
      <c r="AN84" s="4472">
        <f>AN83-AN73-AN82</f>
        <v>0</v>
      </c>
      <c r="AO84" s="4594"/>
      <c r="AP84" s="4654"/>
      <c r="AQ84" s="4472">
        <f>AQ83-AQ73-AQ82</f>
        <v>0</v>
      </c>
      <c r="AR84" s="4472">
        <f>AR83-AR73-AR82</f>
        <v>0</v>
      </c>
      <c r="AS84" s="4472">
        <f>AS83-AS73-AS82</f>
        <v>0</v>
      </c>
      <c r="AT84" s="4594"/>
      <c r="AU84" s="4654"/>
      <c r="AV84" s="4472">
        <f>AV83-AV73-AV82</f>
        <v>-2335.2410609653484</v>
      </c>
      <c r="AW84" s="4472">
        <f>AW83-AW73-AW82</f>
        <v>-2525</v>
      </c>
      <c r="AX84" s="4472">
        <f>AX83-AX73-AX82</f>
        <v>-4860.2410609653489</v>
      </c>
      <c r="AY84" s="4594"/>
      <c r="AZ84" s="4654"/>
      <c r="BA84" s="4472">
        <f>BA83-BA73-BA82</f>
        <v>-7358.0313612024793</v>
      </c>
      <c r="BB84" s="4472">
        <f>BB83-BB73-BB82</f>
        <v>-5890.99</v>
      </c>
      <c r="BC84" s="4472">
        <f>BC83-BC73-BC82</f>
        <v>-13249.021361202478</v>
      </c>
      <c r="BD84" s="4594"/>
      <c r="BE84" s="4654"/>
      <c r="BF84" s="4472">
        <f>BF83-BF73-BF82</f>
        <v>0</v>
      </c>
      <c r="BG84" s="4472">
        <f>BG83-BG73-BG82</f>
        <v>0</v>
      </c>
      <c r="BH84" s="4472">
        <f>BH83-BH73-BH82</f>
        <v>0</v>
      </c>
      <c r="BI84" s="4594"/>
      <c r="BJ84" s="4654"/>
      <c r="BK84" s="4472">
        <f>BK83-BK73-BK82</f>
        <v>0</v>
      </c>
      <c r="BL84" s="4472">
        <f>BL83-BL73-BL82</f>
        <v>0</v>
      </c>
      <c r="BM84" s="4472">
        <f>BM83-BM73-BM82</f>
        <v>0</v>
      </c>
      <c r="BN84" s="4594"/>
      <c r="BO84" s="4654"/>
      <c r="BP84" s="4472">
        <f>BP83-BP73-BP82</f>
        <v>0</v>
      </c>
      <c r="BQ84" s="4472">
        <f>BQ83-BQ73-BQ82</f>
        <v>0</v>
      </c>
      <c r="BR84" s="4472">
        <f>BR83-BR73-BR82</f>
        <v>0</v>
      </c>
      <c r="BS84" s="4594"/>
      <c r="BT84" s="4654"/>
      <c r="BU84" s="4472">
        <f>BU83-BU73-BU82</f>
        <v>0</v>
      </c>
      <c r="BV84" s="4472">
        <f>BV83-BV73-BV82</f>
        <v>0</v>
      </c>
      <c r="BW84" s="4472">
        <f>BW83-BW73-BW82</f>
        <v>0</v>
      </c>
      <c r="BX84" s="4594"/>
      <c r="BY84" s="4654"/>
      <c r="BZ84" s="4472">
        <f>BZ83-BZ73-BZ82</f>
        <v>0</v>
      </c>
      <c r="CA84" s="4472">
        <f>CA83-CA73-CA82</f>
        <v>0</v>
      </c>
      <c r="CB84" s="4472">
        <f>CB83-CB73-CB82</f>
        <v>0</v>
      </c>
      <c r="CC84" s="4594"/>
      <c r="CD84" s="4654"/>
      <c r="CE84" s="4472">
        <f>CE83-CE73-CE82</f>
        <v>0</v>
      </c>
      <c r="CF84" s="4472">
        <f>CF83-CF73-CF82</f>
        <v>0</v>
      </c>
      <c r="CG84" s="4472">
        <f>CG83-CG73-CG82</f>
        <v>0</v>
      </c>
      <c r="CH84" s="4594"/>
      <c r="CI84" s="4654"/>
      <c r="CJ84" s="4624">
        <f t="shared" ref="CJ84:CK84" si="225">C84+H84+M84+W84</f>
        <v>-9693.2724221678272</v>
      </c>
      <c r="CK84" s="4624">
        <f t="shared" si="225"/>
        <v>-8415.99</v>
      </c>
      <c r="CL84" s="4472">
        <f>CL83-CL73-CL82</f>
        <v>-18109.262422167827</v>
      </c>
      <c r="CM84" s="4594"/>
      <c r="CN84" s="4594"/>
      <c r="CP84" s="3309">
        <f>CP83-CP73-CP82</f>
        <v>-31947.97</v>
      </c>
      <c r="CQ84" s="3484">
        <f>CQ83-CQ73-CQ82</f>
        <v>-18109.262422167827</v>
      </c>
      <c r="CR84" s="3309">
        <f>CR83-CR73-CR82</f>
        <v>-13838.707577832174</v>
      </c>
      <c r="CT84" s="2624"/>
    </row>
    <row r="85" spans="1:101" s="1396" customFormat="1" ht="13.8" outlineLevel="3">
      <c r="A85" s="1565"/>
      <c r="B85" s="1403" t="s">
        <v>44</v>
      </c>
      <c r="C85" s="3341"/>
      <c r="D85" s="3341"/>
      <c r="E85" s="2012">
        <f>C85+D85*1.15</f>
        <v>0</v>
      </c>
      <c r="F85" s="3381"/>
      <c r="G85" s="3455"/>
      <c r="H85" s="3341"/>
      <c r="I85" s="3341"/>
      <c r="J85" s="2012">
        <f>H85+I85*1.15</f>
        <v>0</v>
      </c>
      <c r="K85" s="4428" t="e">
        <f t="shared" ref="K85" si="226">J85/J$89</f>
        <v>#DIV/0!</v>
      </c>
      <c r="L85" s="3455"/>
      <c r="M85" s="3341"/>
      <c r="N85" s="3341"/>
      <c r="O85" s="2012">
        <f>M85+N85*1.15</f>
        <v>0</v>
      </c>
      <c r="P85" s="4428" t="e">
        <f t="shared" ref="P85" si="227">O85/O$89</f>
        <v>#DIV/0!</v>
      </c>
      <c r="Q85" s="3455"/>
      <c r="R85" s="3342">
        <f t="shared" ref="R85:S85" si="228">M85+H85+C85</f>
        <v>0</v>
      </c>
      <c r="S85" s="3342">
        <f t="shared" si="228"/>
        <v>0</v>
      </c>
      <c r="T85" s="2012">
        <f t="shared" ref="T85" si="229">R85+S85</f>
        <v>0</v>
      </c>
      <c r="U85" s="3455"/>
      <c r="V85" s="3455"/>
      <c r="W85" s="3342">
        <f t="shared" ref="W85:X85" si="230">AB85+AG85+AL85+AV85+BA85+BF85+BK85+BP85+BU85+BZ85+CE85+AQ85</f>
        <v>0</v>
      </c>
      <c r="X85" s="3342">
        <f t="shared" si="230"/>
        <v>0</v>
      </c>
      <c r="Y85" s="2012">
        <f t="shared" ref="Y85" si="231">W85+X85</f>
        <v>0</v>
      </c>
      <c r="Z85" s="3455"/>
      <c r="AA85" s="3455"/>
      <c r="AB85" s="3341"/>
      <c r="AC85" s="3341"/>
      <c r="AD85" s="2012">
        <f>AB85+AC85*1.15</f>
        <v>0</v>
      </c>
      <c r="AE85" s="3381"/>
      <c r="AF85" s="3455"/>
      <c r="AG85" s="3341"/>
      <c r="AH85" s="3341"/>
      <c r="AI85" s="2012">
        <f>AG85+AH85*1.15</f>
        <v>0</v>
      </c>
      <c r="AJ85" s="3381"/>
      <c r="AK85" s="3455"/>
      <c r="AL85" s="3341"/>
      <c r="AM85" s="3341"/>
      <c r="AN85" s="2012">
        <f>AL85+AM85*1.15</f>
        <v>0</v>
      </c>
      <c r="AO85" s="3381"/>
      <c r="AP85" s="3455"/>
      <c r="AQ85" s="3341"/>
      <c r="AR85" s="3341"/>
      <c r="AS85" s="2012">
        <f>AQ85+AR85*1.15</f>
        <v>0</v>
      </c>
      <c r="AT85" s="3381"/>
      <c r="AU85" s="3455"/>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2124">
        <f>CN85+CO85*1.15</f>
        <v>0</v>
      </c>
      <c r="CQ85" s="2124">
        <f>CO85+CP85*1.15</f>
        <v>0</v>
      </c>
      <c r="CR85" s="2124"/>
      <c r="CT85" s="2624"/>
    </row>
    <row r="86" spans="1:101" s="1396" customFormat="1" ht="27.6">
      <c r="A86" s="1405"/>
      <c r="B86" s="4473" t="s">
        <v>50</v>
      </c>
      <c r="C86" s="4474">
        <f>C84-C85</f>
        <v>0</v>
      </c>
      <c r="D86" s="4474">
        <f>D84-D85</f>
        <v>0</v>
      </c>
      <c r="E86" s="4474">
        <f>E84-E85</f>
        <v>0</v>
      </c>
      <c r="F86" s="4475"/>
      <c r="G86" s="4476"/>
      <c r="H86" s="4474">
        <f>H84-H85</f>
        <v>0</v>
      </c>
      <c r="I86" s="4474">
        <f>I84-I85</f>
        <v>0</v>
      </c>
      <c r="J86" s="4474">
        <f>J84-J85</f>
        <v>0</v>
      </c>
      <c r="K86" s="4475"/>
      <c r="L86" s="4476"/>
      <c r="M86" s="4474">
        <f>M84-M85</f>
        <v>0</v>
      </c>
      <c r="N86" s="4474">
        <f>N84-N85</f>
        <v>0</v>
      </c>
      <c r="O86" s="4474">
        <f>O84-O85</f>
        <v>0</v>
      </c>
      <c r="P86" s="4475"/>
      <c r="Q86" s="4476"/>
      <c r="R86" s="4474">
        <f>R84-R85</f>
        <v>0</v>
      </c>
      <c r="S86" s="4474">
        <f>S84-S85</f>
        <v>0</v>
      </c>
      <c r="T86" s="4474">
        <f>T84-T85</f>
        <v>0</v>
      </c>
      <c r="U86" s="4476"/>
      <c r="V86" s="4476"/>
      <c r="W86" s="4474">
        <f>W84-W85</f>
        <v>-9693.2724221678272</v>
      </c>
      <c r="X86" s="4474">
        <f>X84-X85</f>
        <v>-8415.99</v>
      </c>
      <c r="Y86" s="4474">
        <f>Y84-Y85</f>
        <v>-18109.262422167827</v>
      </c>
      <c r="Z86" s="4476"/>
      <c r="AA86" s="4476"/>
      <c r="AB86" s="4474">
        <f>AB84-AB85</f>
        <v>0</v>
      </c>
      <c r="AC86" s="4474">
        <f>AC84-AC85</f>
        <v>0</v>
      </c>
      <c r="AD86" s="4474">
        <f>AD84-AD85</f>
        <v>0</v>
      </c>
      <c r="AE86" s="4475"/>
      <c r="AF86" s="4476"/>
      <c r="AG86" s="4474">
        <f>AG84-AG85</f>
        <v>0</v>
      </c>
      <c r="AH86" s="4474">
        <f>AH84-AH85</f>
        <v>0</v>
      </c>
      <c r="AI86" s="4474">
        <f>AI84-AI85</f>
        <v>0</v>
      </c>
      <c r="AJ86" s="4475"/>
      <c r="AK86" s="4476"/>
      <c r="AL86" s="4474">
        <f>AL84-AL85</f>
        <v>0</v>
      </c>
      <c r="AM86" s="4474">
        <f>AM84-AM85</f>
        <v>0</v>
      </c>
      <c r="AN86" s="4474">
        <f>AN84-AN85</f>
        <v>0</v>
      </c>
      <c r="AO86" s="4475"/>
      <c r="AP86" s="4476"/>
      <c r="AQ86" s="4474">
        <f>AQ84-AQ85</f>
        <v>0</v>
      </c>
      <c r="AR86" s="4474">
        <f>AR84-AR85</f>
        <v>0</v>
      </c>
      <c r="AS86" s="4474">
        <f>AS84-AS85</f>
        <v>0</v>
      </c>
      <c r="AT86" s="4475"/>
      <c r="AU86" s="4476"/>
      <c r="AV86" s="4474">
        <f>AV84-AV85</f>
        <v>-2335.2410609653484</v>
      </c>
      <c r="AW86" s="4474">
        <f>AW84-AW85</f>
        <v>-2525</v>
      </c>
      <c r="AX86" s="4474">
        <f>AX84-AX85</f>
        <v>-4860.2410609653489</v>
      </c>
      <c r="AY86" s="4475"/>
      <c r="AZ86" s="4476"/>
      <c r="BA86" s="4474">
        <f>BA84-BA85</f>
        <v>-7358.0313612024793</v>
      </c>
      <c r="BB86" s="4474">
        <f>BB84-BB85</f>
        <v>-5890.99</v>
      </c>
      <c r="BC86" s="3481">
        <f>BC84-BC85</f>
        <v>-13249.021361202478</v>
      </c>
      <c r="BD86" s="4475"/>
      <c r="BE86" s="4476"/>
      <c r="BF86" s="4474">
        <f>BF84-BF85</f>
        <v>0</v>
      </c>
      <c r="BG86" s="4474">
        <f>BG84-BG85</f>
        <v>0</v>
      </c>
      <c r="BH86" s="4474">
        <f>BH84-BH85</f>
        <v>0</v>
      </c>
      <c r="BI86" s="4475"/>
      <c r="BJ86" s="4476"/>
      <c r="BK86" s="4474">
        <f>BK84-BK85</f>
        <v>0</v>
      </c>
      <c r="BL86" s="4474">
        <f>BL84-BL85</f>
        <v>0</v>
      </c>
      <c r="BM86" s="4474">
        <f>BM84-BM85</f>
        <v>0</v>
      </c>
      <c r="BN86" s="4475"/>
      <c r="BO86" s="4476"/>
      <c r="BP86" s="4474">
        <f>BP84-BP85</f>
        <v>0</v>
      </c>
      <c r="BQ86" s="4474">
        <f>BQ84-BQ85</f>
        <v>0</v>
      </c>
      <c r="BR86" s="4474">
        <f>BR84-BR85</f>
        <v>0</v>
      </c>
      <c r="BS86" s="4475"/>
      <c r="BT86" s="4476"/>
      <c r="BU86" s="4474">
        <f>BU84-BU85</f>
        <v>0</v>
      </c>
      <c r="BV86" s="4474">
        <f>BV84-BV85</f>
        <v>0</v>
      </c>
      <c r="BW86" s="4474">
        <f>BW84-BW85</f>
        <v>0</v>
      </c>
      <c r="BX86" s="4475"/>
      <c r="BY86" s="4476"/>
      <c r="BZ86" s="4474">
        <f>BZ84-BZ85</f>
        <v>0</v>
      </c>
      <c r="CA86" s="4474">
        <f>CA84-CA85</f>
        <v>0</v>
      </c>
      <c r="CB86" s="4474">
        <f>CB84-CB85</f>
        <v>0</v>
      </c>
      <c r="CC86" s="4475"/>
      <c r="CD86" s="4476"/>
      <c r="CE86" s="4474">
        <f>CE84-CE85</f>
        <v>0</v>
      </c>
      <c r="CF86" s="4474">
        <f>CF84-CF85</f>
        <v>0</v>
      </c>
      <c r="CG86" s="4474">
        <f>CG84-CG85</f>
        <v>0</v>
      </c>
      <c r="CH86" s="4475"/>
      <c r="CI86" s="4476"/>
      <c r="CJ86" s="4474">
        <f>CJ84-CJ85</f>
        <v>-9693.2724221678272</v>
      </c>
      <c r="CK86" s="4474">
        <f>CK84-CK85</f>
        <v>-8415.99</v>
      </c>
      <c r="CL86" s="3481">
        <f>CL84-CL85</f>
        <v>-18109.262422167827</v>
      </c>
      <c r="CM86" s="4475"/>
      <c r="CN86" s="4475"/>
      <c r="CP86" s="3481">
        <f>CP84-CP85</f>
        <v>-31947.97</v>
      </c>
      <c r="CQ86" s="3481">
        <f>CQ84-CQ85</f>
        <v>-18109.262422167827</v>
      </c>
      <c r="CR86" s="3481">
        <f>CQ86-CP86</f>
        <v>13838.707577832174</v>
      </c>
      <c r="CT86" s="4616">
        <f>-CR86/CP86</f>
        <v>0.43316390925095316</v>
      </c>
      <c r="CW86" s="933"/>
    </row>
    <row r="87" spans="1:101" s="1396" customFormat="1" ht="14.4" thickBot="1">
      <c r="A87" s="1567"/>
      <c r="B87" s="4655" t="s">
        <v>51</v>
      </c>
      <c r="C87" s="4477">
        <f>IFERROR(C86/C5,0)</f>
        <v>0</v>
      </c>
      <c r="D87" s="4478">
        <f>IFERROR(D86/D5,0)</f>
        <v>0</v>
      </c>
      <c r="E87" s="4479">
        <f>IFERROR(E86/E5,0)</f>
        <v>0</v>
      </c>
      <c r="F87" s="4480"/>
      <c r="G87" s="4481"/>
      <c r="H87" s="4477">
        <f>IFERROR(H86/H5,0)</f>
        <v>0</v>
      </c>
      <c r="I87" s="4478">
        <f>IFERROR(I86/I5,0)</f>
        <v>0</v>
      </c>
      <c r="J87" s="4479">
        <f>IFERROR(J86/J5,0)</f>
        <v>0</v>
      </c>
      <c r="K87" s="4480"/>
      <c r="L87" s="4481"/>
      <c r="M87" s="4477">
        <f>IFERROR(M86/M5,0)</f>
        <v>0</v>
      </c>
      <c r="N87" s="4478">
        <f>IFERROR(N86/N5,0)</f>
        <v>0</v>
      </c>
      <c r="O87" s="4479">
        <f>IFERROR(O86/O5,0)</f>
        <v>0</v>
      </c>
      <c r="P87" s="4480"/>
      <c r="Q87" s="4481"/>
      <c r="R87" s="4482"/>
      <c r="S87" s="4482"/>
      <c r="T87" s="4482"/>
      <c r="U87" s="4482"/>
      <c r="V87" s="4482"/>
      <c r="W87" s="4482"/>
      <c r="X87" s="4482"/>
      <c r="Y87" s="4482"/>
      <c r="Z87" s="4482"/>
      <c r="AA87" s="4482"/>
      <c r="AB87" s="4477">
        <f>IFERROR(AB86/AB5,0)</f>
        <v>0</v>
      </c>
      <c r="AC87" s="4478">
        <f>IFERROR(AC86/AC5,0)</f>
        <v>0</v>
      </c>
      <c r="AD87" s="4479">
        <f>IFERROR(AD86/AD5,0)</f>
        <v>0</v>
      </c>
      <c r="AE87" s="4480"/>
      <c r="AF87" s="4481"/>
      <c r="AG87" s="4477">
        <f>IFERROR(AG86/AG5,0)</f>
        <v>0</v>
      </c>
      <c r="AH87" s="4478">
        <f>IFERROR(AH86/AH5,0)</f>
        <v>0</v>
      </c>
      <c r="AI87" s="4479">
        <f>IFERROR(AI86/AI5,0)</f>
        <v>0</v>
      </c>
      <c r="AJ87" s="4480"/>
      <c r="AK87" s="4481"/>
      <c r="AL87" s="4477">
        <f>IFERROR(AL86/AL5,0)</f>
        <v>0</v>
      </c>
      <c r="AM87" s="4478">
        <f>IFERROR(AM86/AM5,0)</f>
        <v>0</v>
      </c>
      <c r="AN87" s="4479">
        <f>IFERROR(AN86/AN5,0)</f>
        <v>0</v>
      </c>
      <c r="AO87" s="4480"/>
      <c r="AP87" s="4481"/>
      <c r="AQ87" s="4477">
        <f>IFERROR(AQ86/AQ5,0)</f>
        <v>0</v>
      </c>
      <c r="AR87" s="4478">
        <f>IFERROR(AR86/AR5,0)</f>
        <v>0</v>
      </c>
      <c r="AS87" s="4479">
        <f>IFERROR(AS86/AS5,0)</f>
        <v>0</v>
      </c>
      <c r="AT87" s="4480"/>
      <c r="AU87" s="4481"/>
      <c r="AV87" s="4477">
        <f>IFERROR(AV86/AV5,0)</f>
        <v>0</v>
      </c>
      <c r="AW87" s="4478">
        <f>IFERROR(AW86/AW5,0)</f>
        <v>0</v>
      </c>
      <c r="AX87" s="4479">
        <f>IFERROR(AX86/AX5,0)</f>
        <v>0</v>
      </c>
      <c r="AY87" s="4480"/>
      <c r="AZ87" s="4481"/>
      <c r="BA87" s="4477">
        <f>IFERROR(BA86/BA5,0)</f>
        <v>0</v>
      </c>
      <c r="BB87" s="4478">
        <f>IFERROR(BB86/BB5,0)</f>
        <v>0</v>
      </c>
      <c r="BC87" s="4479">
        <f>IFERROR(BC86/BC5,0)</f>
        <v>0</v>
      </c>
      <c r="BD87" s="4480"/>
      <c r="BE87" s="4481"/>
      <c r="BF87" s="4477">
        <f>IFERROR(BF86/BF5,0)</f>
        <v>0</v>
      </c>
      <c r="BG87" s="4478">
        <f>IFERROR(BG86/BG5,0)</f>
        <v>0</v>
      </c>
      <c r="BH87" s="4479">
        <f>IFERROR(BH86/BH5,0)</f>
        <v>0</v>
      </c>
      <c r="BI87" s="4480"/>
      <c r="BJ87" s="4481"/>
      <c r="BK87" s="4477">
        <f>IFERROR(BK86/BK5,0)</f>
        <v>0</v>
      </c>
      <c r="BL87" s="4478">
        <f>IFERROR(BL86/BL5,0)</f>
        <v>0</v>
      </c>
      <c r="BM87" s="4479">
        <f>IFERROR(BM86/BM5,0)</f>
        <v>0</v>
      </c>
      <c r="BN87" s="4480"/>
      <c r="BO87" s="4481"/>
      <c r="BP87" s="4477">
        <f>IFERROR(BP86/BP5,0)</f>
        <v>0</v>
      </c>
      <c r="BQ87" s="4478">
        <f>IFERROR(BQ86/BQ5,0)</f>
        <v>0</v>
      </c>
      <c r="BR87" s="4479">
        <f>IFERROR(BR86/BR5,0)</f>
        <v>0</v>
      </c>
      <c r="BS87" s="4480"/>
      <c r="BT87" s="4481"/>
      <c r="BU87" s="4477">
        <f>IFERROR(BU86/BU5,0)</f>
        <v>0</v>
      </c>
      <c r="BV87" s="4478">
        <f>IFERROR(BV86/BV5,0)</f>
        <v>0</v>
      </c>
      <c r="BW87" s="4479">
        <f>IFERROR(BW86/BW5,0)</f>
        <v>0</v>
      </c>
      <c r="BX87" s="4480"/>
      <c r="BY87" s="4481"/>
      <c r="BZ87" s="4477">
        <f>IFERROR(BZ86/BZ5,0)</f>
        <v>0</v>
      </c>
      <c r="CA87" s="4478">
        <f>IFERROR(CA86/CA5,0)</f>
        <v>0</v>
      </c>
      <c r="CB87" s="4479">
        <f>IFERROR(CB86/CB5,0)</f>
        <v>0</v>
      </c>
      <c r="CC87" s="4480"/>
      <c r="CD87" s="4481"/>
      <c r="CE87" s="4477">
        <f>IFERROR(CE86/CE5,0)</f>
        <v>0</v>
      </c>
      <c r="CF87" s="4478">
        <f>IFERROR(CF86/CF5,0)</f>
        <v>0</v>
      </c>
      <c r="CG87" s="4479">
        <f>IFERROR(CG86/CG5,0)</f>
        <v>0</v>
      </c>
      <c r="CH87" s="4480"/>
      <c r="CI87" s="4481"/>
      <c r="CJ87" s="4477">
        <f>IFERROR(CJ86/CJ5,0)</f>
        <v>0</v>
      </c>
      <c r="CK87" s="4478">
        <f>IFERROR(CK86/CK5,0)</f>
        <v>0</v>
      </c>
      <c r="CL87" s="4479">
        <f>IFERROR(CL86/CL5,0)</f>
        <v>0</v>
      </c>
      <c r="CM87" s="4480"/>
      <c r="CN87" s="4480"/>
      <c r="CP87" s="4479" t="e">
        <f>CP86/CP5</f>
        <v>#DIV/0!</v>
      </c>
      <c r="CQ87" s="4656">
        <f>IFERROR(CQ86/CQ5,0)</f>
        <v>0</v>
      </c>
      <c r="CR87" s="4479" t="e">
        <f>CR86/CR5</f>
        <v>#DIV/0!</v>
      </c>
      <c r="CT87" s="2624"/>
    </row>
    <row r="88" spans="1:101"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1611"/>
      <c r="AG88" s="1954"/>
      <c r="AH88" s="1954"/>
      <c r="AI88" s="1954"/>
      <c r="AJ88" s="1954"/>
      <c r="AK88" s="1611"/>
      <c r="AL88" s="1954"/>
      <c r="AM88" s="1954"/>
      <c r="AN88" s="1954"/>
      <c r="AO88" s="1954"/>
      <c r="AP88" s="1611"/>
      <c r="AQ88" s="1954"/>
      <c r="AR88" s="1954"/>
      <c r="AS88" s="1954"/>
      <c r="AT88" s="1954"/>
      <c r="AU88" s="1611"/>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1954"/>
      <c r="CQ88" s="1954"/>
      <c r="CR88" s="1954"/>
    </row>
    <row r="89" spans="1:101">
      <c r="B89" s="1562" t="s">
        <v>56</v>
      </c>
      <c r="E89" s="1960">
        <f>E8+E36+E41+E50+E54+E73+E79+E82+E85</f>
        <v>0</v>
      </c>
      <c r="G89" s="1963"/>
      <c r="J89" s="1960">
        <f>J8+J36+J41+J50+J54+J73+J79+J82+J85</f>
        <v>0</v>
      </c>
      <c r="L89" s="1963"/>
      <c r="O89" s="1960">
        <f>O8+O36+O41+O50+O54+O73+O79+O82+O85</f>
        <v>0</v>
      </c>
      <c r="Q89" s="1963"/>
      <c r="R89" s="1963"/>
      <c r="S89" s="1963"/>
      <c r="T89" s="1960">
        <f>T8+T36+T41+T50+T54+T73+T79+T82+T85</f>
        <v>0</v>
      </c>
      <c r="U89" s="1963"/>
      <c r="V89" s="1963"/>
      <c r="W89" s="1963"/>
      <c r="X89" s="1963"/>
      <c r="Y89" s="1960">
        <f>Y8+Y36+Y41+Y50+Y54+Y73+Y79+Y82+Y85</f>
        <v>18109.262422167827</v>
      </c>
      <c r="Z89" s="1963"/>
      <c r="AA89" s="1963"/>
      <c r="AD89" s="1960">
        <f>AD8+AD36+AD41+AD50+AD54+AD73+AD79+AD82+AD85</f>
        <v>0</v>
      </c>
      <c r="AF89" s="1963"/>
      <c r="AI89" s="1960">
        <f>AI8+AI36+AI41+AI50+AI54+AI73+AI79+AI82+AI85</f>
        <v>0</v>
      </c>
      <c r="AK89" s="1963"/>
      <c r="AN89" s="1960">
        <f>AN8+AN36+AN41+AN50+AN54+AN73+AN79+AN82+AN85</f>
        <v>0</v>
      </c>
      <c r="AP89" s="1963"/>
      <c r="AS89" s="1960">
        <f>AS8+AS36+AS41+AS50+AS54+AS73+AS79+AS82+AS85</f>
        <v>0</v>
      </c>
      <c r="AU89" s="1963"/>
      <c r="AX89" s="1960">
        <f>AX8+AX36+AX41+AX50+AX54+AX73+AX79+AX82+AX85</f>
        <v>4860.2410609653489</v>
      </c>
      <c r="AZ89" s="1963"/>
      <c r="BC89" s="1960">
        <f>BC8+BC36+BC41+BC50+BC54+BC73+BC79+BC82+BC85</f>
        <v>13249.021361202478</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18109.262422167827</v>
      </c>
    </row>
    <row r="90" spans="1:101">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1963"/>
      <c r="AC90" s="1963"/>
      <c r="AD90" s="1963"/>
      <c r="AE90" s="1963"/>
      <c r="AF90" s="1963"/>
      <c r="AG90" s="1963"/>
      <c r="AH90" s="1963"/>
      <c r="AI90" s="1963"/>
      <c r="AJ90" s="1963"/>
      <c r="AK90" s="1963"/>
      <c r="AL90" s="1963"/>
      <c r="AM90" s="1963"/>
      <c r="AN90" s="1963"/>
      <c r="AO90" s="1963"/>
      <c r="AP90" s="1963"/>
      <c r="AQ90" s="1963"/>
      <c r="AR90" s="1963"/>
      <c r="AS90" s="1963"/>
      <c r="AT90" s="1963"/>
      <c r="AU90" s="1963"/>
      <c r="AV90" s="1963"/>
      <c r="AW90" s="1963"/>
      <c r="AX90" s="1963"/>
      <c r="AY90" s="1963"/>
      <c r="AZ90" s="1963"/>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t="b">
        <f>J89+O89+E89+Y89=CL89</f>
        <v>1</v>
      </c>
    </row>
    <row r="91" spans="1:101"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963"/>
      <c r="AG91" s="1963"/>
      <c r="AH91" s="1963"/>
      <c r="AI91" s="1963"/>
      <c r="AJ91" s="1963"/>
      <c r="AK91" s="1963"/>
      <c r="AL91" s="1963"/>
      <c r="AM91" s="1963"/>
      <c r="AN91" s="1963"/>
      <c r="AO91" s="1963"/>
      <c r="AP91" s="1963"/>
      <c r="AQ91" s="1963"/>
      <c r="AR91" s="1963"/>
      <c r="AS91" s="1963"/>
      <c r="AT91" s="1963"/>
      <c r="AU91" s="1963"/>
      <c r="AV91" s="1963"/>
      <c r="AW91" s="1963"/>
      <c r="AX91" s="1963"/>
      <c r="AY91" s="1963"/>
      <c r="AZ91" s="196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c r="CP91" s="1952"/>
      <c r="CQ91" s="1952"/>
      <c r="CR91" s="1952"/>
      <c r="CT91" s="2624"/>
    </row>
    <row r="92" spans="1:101">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P92" s="1963"/>
      <c r="AQ92" s="1963"/>
      <c r="AR92" s="1963"/>
      <c r="AS92" s="1963"/>
      <c r="AT92" s="1963"/>
      <c r="AU92" s="1963"/>
      <c r="AV92" s="1963"/>
      <c r="AW92" s="1963"/>
      <c r="AX92" s="1963"/>
      <c r="AY92" s="1963"/>
      <c r="AZ92" s="196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1" s="1396" customFormat="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963"/>
      <c r="AG93" s="1963"/>
      <c r="AH93" s="1963"/>
      <c r="AI93" s="1963"/>
      <c r="AJ93" s="1963"/>
      <c r="AK93" s="1963"/>
      <c r="AL93" s="1963"/>
      <c r="AM93" s="1963"/>
      <c r="AN93" s="1963"/>
      <c r="AO93" s="1963"/>
      <c r="AP93" s="1963"/>
      <c r="AQ93" s="1963"/>
      <c r="AR93" s="1963"/>
      <c r="AS93" s="1963"/>
      <c r="AT93" s="1963"/>
      <c r="AU93" s="1963"/>
      <c r="AV93" s="1963"/>
      <c r="AW93" s="1963"/>
      <c r="AX93" s="1963"/>
      <c r="AY93" s="1963"/>
      <c r="AZ93" s="1963"/>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52"/>
      <c r="CK93" s="1952"/>
      <c r="CL93" s="687"/>
      <c r="CM93" s="1952"/>
      <c r="CN93" s="1952"/>
      <c r="CP93" s="1952"/>
      <c r="CQ93" s="1952"/>
      <c r="CR93" s="1952"/>
      <c r="CT93" s="2624"/>
    </row>
    <row r="94" spans="1:101" s="1396" customForma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963"/>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52"/>
      <c r="CK94" s="1952"/>
      <c r="CL94" s="1952"/>
      <c r="CM94" s="1952"/>
      <c r="CN94" s="1952"/>
      <c r="CP94" s="1952"/>
      <c r="CQ94" s="1952"/>
      <c r="CR94" s="1952"/>
      <c r="CT94" s="2624"/>
    </row>
    <row r="95" spans="1:101" s="1396" customFormat="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963"/>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52"/>
      <c r="CK95" s="1952"/>
      <c r="CL95" s="1952"/>
      <c r="CM95" s="1952"/>
      <c r="CN95" s="1952"/>
      <c r="CP95" s="1952"/>
      <c r="CQ95" s="1952"/>
      <c r="CR95" s="1952"/>
      <c r="CT95" s="2624"/>
    </row>
    <row r="96" spans="1:101" s="1396" customFormat="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963"/>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52"/>
      <c r="CK96" s="1952"/>
      <c r="CL96" s="1952"/>
      <c r="CM96" s="1952"/>
      <c r="CN96" s="1952"/>
      <c r="CP96" s="1952"/>
      <c r="CQ96" s="1952"/>
      <c r="CR96" s="1952"/>
      <c r="CT96" s="2624"/>
    </row>
    <row r="97" spans="1:98">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1963"/>
      <c r="AH97" s="1963"/>
      <c r="AI97" s="1963"/>
      <c r="AJ97" s="1963"/>
      <c r="AK97" s="1963"/>
      <c r="AL97" s="1963"/>
      <c r="AM97" s="1963"/>
      <c r="AN97" s="1963"/>
      <c r="AO97" s="1963"/>
      <c r="AP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98"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952"/>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1952"/>
      <c r="CQ98" s="1952"/>
      <c r="CR98" s="1952"/>
      <c r="CT98" s="2624"/>
    </row>
  </sheetData>
  <mergeCells count="24">
    <mergeCell ref="A42:A48"/>
    <mergeCell ref="BF2:BJ3"/>
    <mergeCell ref="BK2:BO3"/>
    <mergeCell ref="BP2:BT3"/>
    <mergeCell ref="BU2:BY3"/>
    <mergeCell ref="AB2:AF3"/>
    <mergeCell ref="AG2:AK3"/>
    <mergeCell ref="AL2:AP3"/>
    <mergeCell ref="AQ2:AU3"/>
    <mergeCell ref="AV2:AZ3"/>
    <mergeCell ref="BA2:BE3"/>
    <mergeCell ref="A2:B2"/>
    <mergeCell ref="C2:G3"/>
    <mergeCell ref="H2:L3"/>
    <mergeCell ref="M2:Q3"/>
    <mergeCell ref="R2:V3"/>
    <mergeCell ref="CJ2:CN3"/>
    <mergeCell ref="CP2:CR3"/>
    <mergeCell ref="A3:B3"/>
    <mergeCell ref="CP9:CP11"/>
    <mergeCell ref="CR9:CR11"/>
    <mergeCell ref="BZ2:CD3"/>
    <mergeCell ref="CE2:CI3"/>
    <mergeCell ref="W2:AA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98"/>
  <sheetViews>
    <sheetView showZeros="0" zoomScale="85" zoomScaleNormal="85" workbookViewId="0">
      <pane xSplit="2" ySplit="5" topLeftCell="BA60" activePane="bottomRight" state="frozen"/>
      <selection activeCell="Y90" sqref="Y90"/>
      <selection pane="topRight" activeCell="Y90" sqref="Y90"/>
      <selection pane="bottomLeft" activeCell="Y90" sqref="Y90"/>
      <selection pane="bottomRight" sqref="A1:XFD1048576"/>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hidden="1" customWidth="1" outlineLevel="1" collapsed="1"/>
    <col min="19" max="22" width="13.44140625" style="1952" hidden="1" customWidth="1" outlineLevel="1"/>
    <col min="23" max="23" width="13.44140625" style="1952" customWidth="1" collapsed="1"/>
    <col min="24" max="27" width="13.44140625" style="1952" customWidth="1"/>
    <col min="28" max="31" width="12.88671875" style="1952" hidden="1" customWidth="1" outlineLevel="1"/>
    <col min="32" max="32" width="29.33203125" style="1952" hidden="1" customWidth="1" outlineLevel="1"/>
    <col min="33" max="33" width="12.88671875" style="1952" hidden="1" customWidth="1" outlineLevel="1" collapsed="1"/>
    <col min="34" max="36" width="12.88671875" style="1952" hidden="1" customWidth="1" outlineLevel="1"/>
    <col min="37" max="37" width="26.109375" style="1952" hidden="1" customWidth="1" outlineLevel="1"/>
    <col min="38" max="41" width="12.88671875" style="1952" hidden="1" customWidth="1" outlineLevel="1"/>
    <col min="42" max="42" width="26.109375" style="1952" hidden="1" customWidth="1" outlineLevel="1"/>
    <col min="43" max="43" width="12.88671875" style="1952" hidden="1" customWidth="1" outlineLevel="1" collapsed="1"/>
    <col min="44" max="46" width="12.88671875" style="1952" hidden="1" customWidth="1" outlineLevel="1"/>
    <col min="47" max="47" width="29.77734375" style="1952" hidden="1" customWidth="1" outlineLevel="1"/>
    <col min="48" max="48" width="12.88671875" style="1952" hidden="1" customWidth="1" outlineLevel="1" collapsed="1"/>
    <col min="49" max="51" width="12.88671875" style="1952" hidden="1" customWidth="1" outlineLevel="1"/>
    <col min="52" max="52" width="29.44140625" style="1952" hidden="1" customWidth="1" outlineLevel="1"/>
    <col min="53" max="53" width="12.88671875" style="1952" customWidth="1" collapsed="1"/>
    <col min="54" max="56" width="12.88671875" style="1952" customWidth="1"/>
    <col min="57" max="57" width="27.44140625" style="1952" customWidth="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14.33203125" style="1952" customWidth="1"/>
    <col min="93" max="93" width="2.88671875" style="1395"/>
    <col min="94" max="95" width="12.88671875" style="3762" customWidth="1"/>
    <col min="96" max="96" width="14.5546875" style="3762" customWidth="1"/>
    <col min="97" max="97" width="2.88671875" style="1395" customWidth="1" outlineLevel="1"/>
    <col min="98" max="98" width="11.6640625" style="1522" customWidth="1" outlineLevel="1"/>
    <col min="99" max="99" width="8.33203125" style="1395" customWidth="1" outlineLevel="1"/>
    <col min="100" max="100" width="8.44140625" style="1395" customWidth="1" outlineLevel="1"/>
    <col min="101" max="101" width="7.6640625" style="1395" bestFit="1" customWidth="1"/>
    <col min="102" max="16384" width="2.88671875" style="1395"/>
  </cols>
  <sheetData>
    <row r="1" spans="1:98" ht="13.8" thickBot="1"/>
    <row r="2" spans="1:98" ht="13.8">
      <c r="A2" s="4834" t="s">
        <v>1865</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2153</v>
      </c>
      <c r="CK2" s="4875"/>
      <c r="CL2" s="4875"/>
      <c r="CM2" s="4875"/>
      <c r="CN2" s="4876"/>
      <c r="CP2" s="5191" t="s">
        <v>1866</v>
      </c>
      <c r="CQ2" s="5192"/>
      <c r="CR2" s="5193"/>
    </row>
    <row r="3" spans="1:98"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94"/>
      <c r="CQ3" s="5195"/>
      <c r="CR3" s="5196"/>
    </row>
    <row r="4" spans="1:98"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3763" t="s">
        <v>1850</v>
      </c>
      <c r="CQ4" s="3763" t="s">
        <v>2148</v>
      </c>
      <c r="CR4" s="3763" t="s">
        <v>1826</v>
      </c>
      <c r="CT4" s="4657">
        <v>17</v>
      </c>
    </row>
    <row r="5" spans="1:98"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0</v>
      </c>
      <c r="X5" s="1466">
        <f>X6</f>
        <v>0</v>
      </c>
      <c r="Y5" s="1466">
        <f>Y6+Y7</f>
        <v>0</v>
      </c>
      <c r="Z5" s="1466"/>
      <c r="AA5" s="1466"/>
      <c r="AB5" s="1466">
        <f>AB6</f>
        <v>0</v>
      </c>
      <c r="AC5" s="1466">
        <f>AC6</f>
        <v>0</v>
      </c>
      <c r="AD5" s="1466">
        <f>AD6+AD7</f>
        <v>0</v>
      </c>
      <c r="AE5" s="1466"/>
      <c r="AF5" s="1466"/>
      <c r="AG5" s="1466">
        <f>AG6</f>
        <v>0</v>
      </c>
      <c r="AH5" s="1466">
        <f>AH6</f>
        <v>0</v>
      </c>
      <c r="AI5" s="1466">
        <f>AI6+AI7</f>
        <v>0</v>
      </c>
      <c r="AJ5" s="1466"/>
      <c r="AK5" s="1466"/>
      <c r="AL5" s="1466">
        <f>AL6</f>
        <v>0</v>
      </c>
      <c r="AM5" s="1466">
        <f>AM6</f>
        <v>0</v>
      </c>
      <c r="AN5" s="1466">
        <f>AN6+AN7</f>
        <v>0</v>
      </c>
      <c r="AO5" s="1466"/>
      <c r="AP5" s="1466"/>
      <c r="AQ5" s="1466">
        <f>AQ6</f>
        <v>0</v>
      </c>
      <c r="AR5" s="1466">
        <f>AR6</f>
        <v>0</v>
      </c>
      <c r="AS5" s="1466">
        <f>AS6+AS7</f>
        <v>0</v>
      </c>
      <c r="AT5" s="1466"/>
      <c r="AU5" s="1466"/>
      <c r="AV5" s="1466">
        <f>AV6</f>
        <v>0</v>
      </c>
      <c r="AW5" s="1466">
        <f>AW6</f>
        <v>0</v>
      </c>
      <c r="AX5" s="1466">
        <f>AX6+AX7</f>
        <v>0</v>
      </c>
      <c r="AY5" s="1466"/>
      <c r="AZ5" s="1466"/>
      <c r="BA5" s="1466">
        <f>BA6</f>
        <v>0</v>
      </c>
      <c r="BB5" s="1466">
        <f>BB6</f>
        <v>0</v>
      </c>
      <c r="BC5" s="1466">
        <f>BC6+BC7</f>
        <v>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0</v>
      </c>
      <c r="CK5" s="1466">
        <f>CK6</f>
        <v>0</v>
      </c>
      <c r="CL5" s="1466">
        <f>CL6</f>
        <v>0</v>
      </c>
      <c r="CM5" s="1466"/>
      <c r="CN5" s="1466"/>
      <c r="CP5" s="3764">
        <f>CP6</f>
        <v>16354002.380000001</v>
      </c>
      <c r="CQ5" s="3764">
        <f>CQ6</f>
        <v>0</v>
      </c>
      <c r="CR5" s="3764">
        <f>CR6</f>
        <v>16354002.380000001</v>
      </c>
      <c r="CT5" s="2624"/>
    </row>
    <row r="6" spans="1:98" s="1396" customFormat="1" ht="13.8"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0</v>
      </c>
      <c r="X6" s="3342">
        <f>AC6+AH6+AM6+AW6+BB6+BG6+BL6+BQ6+BV6+CA6+CF6+AR6</f>
        <v>0</v>
      </c>
      <c r="Y6" s="2012">
        <f t="shared" ref="Y6:Y7" si="3">W6+X6</f>
        <v>0</v>
      </c>
      <c r="Z6" s="3342"/>
      <c r="AA6" s="3342"/>
      <c r="AB6" s="3341"/>
      <c r="AC6" s="3341"/>
      <c r="AD6" s="2012">
        <f t="shared" ref="AD6:AD7" si="4">AB6+AC6</f>
        <v>0</v>
      </c>
      <c r="AE6" s="3341"/>
      <c r="AF6" s="3342"/>
      <c r="AG6" s="3341"/>
      <c r="AH6" s="3341"/>
      <c r="AI6" s="2012">
        <f t="shared" ref="AI6:AI7" si="5">AG6+AH6</f>
        <v>0</v>
      </c>
      <c r="AJ6" s="3341"/>
      <c r="AK6" s="3342"/>
      <c r="AL6" s="3341"/>
      <c r="AM6" s="3341"/>
      <c r="AN6" s="2012">
        <f t="shared" ref="AN6:AN7" si="6">AL6+AM6</f>
        <v>0</v>
      </c>
      <c r="AO6" s="3341"/>
      <c r="AP6" s="3342"/>
      <c r="AQ6" s="3341"/>
      <c r="AR6" s="3341"/>
      <c r="AS6" s="2012">
        <f t="shared" ref="AS6:AS7" si="7">AQ6+AR6</f>
        <v>0</v>
      </c>
      <c r="AT6" s="3341"/>
      <c r="AU6" s="3342"/>
      <c r="AV6" s="3341"/>
      <c r="AW6" s="3341"/>
      <c r="AX6" s="2012">
        <f t="shared" ref="AX6:AX7" si="8">AV6+AW6</f>
        <v>0</v>
      </c>
      <c r="AY6" s="3341"/>
      <c r="AZ6" s="3342"/>
      <c r="BA6" s="3341"/>
      <c r="BB6" s="3341"/>
      <c r="BC6" s="2012">
        <f t="shared" ref="BC6:BC7" si="9">BA6+BB6</f>
        <v>0</v>
      </c>
      <c r="BD6" s="3341"/>
      <c r="BE6" s="3342"/>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f>
        <v>0</v>
      </c>
      <c r="CK6" s="3341">
        <f>D6+I6+N6+X6</f>
        <v>0</v>
      </c>
      <c r="CL6" s="2012">
        <f>CJ6+CK6</f>
        <v>0</v>
      </c>
      <c r="CM6" s="3341"/>
      <c r="CN6" s="3341"/>
      <c r="CP6" s="3765">
        <f>962000.14*CT4</f>
        <v>16354002.380000001</v>
      </c>
      <c r="CQ6" s="3765"/>
      <c r="CR6" s="4618">
        <f>CP6-CQ6</f>
        <v>16354002.380000001</v>
      </c>
      <c r="CS6" s="3305"/>
      <c r="CT6" s="2624"/>
    </row>
    <row r="7" spans="1:98" s="1396" customFormat="1" ht="14.4" outlineLevel="1" collapsed="1" thickBot="1">
      <c r="A7" s="1571"/>
      <c r="B7" s="4426" t="s">
        <v>41</v>
      </c>
      <c r="C7" s="3341"/>
      <c r="D7" s="3341"/>
      <c r="E7" s="2012">
        <f t="shared" si="0"/>
        <v>0</v>
      </c>
      <c r="F7" s="4608"/>
      <c r="G7" s="4608"/>
      <c r="H7" s="3341"/>
      <c r="I7" s="3341"/>
      <c r="J7" s="2012">
        <f>H7+I7</f>
        <v>0</v>
      </c>
      <c r="K7" s="4608"/>
      <c r="L7" s="4608"/>
      <c r="M7" s="3341"/>
      <c r="N7" s="3341"/>
      <c r="O7" s="2012">
        <f t="shared" si="1"/>
        <v>0</v>
      </c>
      <c r="P7" s="4608"/>
      <c r="Q7" s="4608"/>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1"/>
      <c r="AC7" s="3341"/>
      <c r="AD7" s="2012">
        <f t="shared" si="4"/>
        <v>0</v>
      </c>
      <c r="AE7" s="4608"/>
      <c r="AF7" s="4608"/>
      <c r="AG7" s="3341"/>
      <c r="AH7" s="3341"/>
      <c r="AI7" s="2012">
        <f t="shared" si="5"/>
        <v>0</v>
      </c>
      <c r="AJ7" s="4608"/>
      <c r="AK7" s="4608"/>
      <c r="AL7" s="3341"/>
      <c r="AM7" s="3341"/>
      <c r="AN7" s="2012">
        <f t="shared" si="6"/>
        <v>0</v>
      </c>
      <c r="AO7" s="4608"/>
      <c r="AP7" s="4608"/>
      <c r="AQ7" s="3341"/>
      <c r="AR7" s="3341"/>
      <c r="AS7" s="2012">
        <f t="shared" si="7"/>
        <v>0</v>
      </c>
      <c r="AT7" s="4608"/>
      <c r="AU7" s="4608"/>
      <c r="AV7" s="3341"/>
      <c r="AW7" s="3341"/>
      <c r="AX7" s="2012">
        <f t="shared" si="8"/>
        <v>0</v>
      </c>
      <c r="AY7" s="4608"/>
      <c r="AZ7" s="4608"/>
      <c r="BA7" s="3341"/>
      <c r="BB7" s="3341"/>
      <c r="BC7" s="2012">
        <f t="shared" si="9"/>
        <v>0</v>
      </c>
      <c r="BD7" s="4608"/>
      <c r="BE7" s="4608"/>
      <c r="BF7" s="3341"/>
      <c r="BG7" s="3341"/>
      <c r="BH7" s="2012">
        <f t="shared" si="10"/>
        <v>0</v>
      </c>
      <c r="BI7" s="4608"/>
      <c r="BJ7" s="4608"/>
      <c r="BK7" s="3341"/>
      <c r="BL7" s="3341"/>
      <c r="BM7" s="2012">
        <f t="shared" si="11"/>
        <v>0</v>
      </c>
      <c r="BN7" s="4608"/>
      <c r="BO7" s="4608"/>
      <c r="BP7" s="3341"/>
      <c r="BQ7" s="3341"/>
      <c r="BR7" s="2012">
        <f t="shared" si="12"/>
        <v>0</v>
      </c>
      <c r="BS7" s="4608"/>
      <c r="BT7" s="4608"/>
      <c r="BU7" s="3341"/>
      <c r="BV7" s="3341"/>
      <c r="BW7" s="2012">
        <f t="shared" si="13"/>
        <v>0</v>
      </c>
      <c r="BX7" s="4608"/>
      <c r="BY7" s="4608"/>
      <c r="BZ7" s="3341"/>
      <c r="CA7" s="3341"/>
      <c r="CB7" s="2012">
        <f t="shared" si="14"/>
        <v>0</v>
      </c>
      <c r="CC7" s="4608"/>
      <c r="CD7" s="4608"/>
      <c r="CE7" s="3341"/>
      <c r="CF7" s="3341"/>
      <c r="CG7" s="2012">
        <f t="shared" si="15"/>
        <v>0</v>
      </c>
      <c r="CH7" s="4608"/>
      <c r="CI7" s="4608"/>
      <c r="CJ7" s="3341">
        <f>C7+H7+M7+W7</f>
        <v>0</v>
      </c>
      <c r="CK7" s="3341">
        <f>D7+I7+N7+X7</f>
        <v>0</v>
      </c>
      <c r="CL7" s="2012">
        <f>CJ7+CK7</f>
        <v>0</v>
      </c>
      <c r="CM7" s="4608"/>
      <c r="CN7" s="4608"/>
      <c r="CP7" s="3765"/>
      <c r="CQ7" s="3765"/>
      <c r="CR7" s="3765"/>
      <c r="CT7" s="2624"/>
    </row>
    <row r="8" spans="1:98" s="1396" customFormat="1" ht="14.4" outlineLevel="1" thickBot="1">
      <c r="A8" s="1571"/>
      <c r="B8" s="1463" t="s">
        <v>16</v>
      </c>
      <c r="C8" s="1957">
        <f>SUM(C9:C33)</f>
        <v>0</v>
      </c>
      <c r="D8" s="1957">
        <f>SUM(D9:D33)</f>
        <v>0</v>
      </c>
      <c r="E8" s="1484">
        <f>SUM(E9:E33)</f>
        <v>0</v>
      </c>
      <c r="F8" s="1528" t="e">
        <f t="shared" ref="F8:F33" si="16">E8/$E$89</f>
        <v>#DIV/0!</v>
      </c>
      <c r="G8" s="1466"/>
      <c r="H8" s="1957">
        <f>SUM(H9:H33)</f>
        <v>0</v>
      </c>
      <c r="I8" s="1957">
        <f>SUM(I9:I33)</f>
        <v>0</v>
      </c>
      <c r="J8" s="1484">
        <f>SUM(J9:J33)</f>
        <v>0</v>
      </c>
      <c r="K8" s="1528" t="e">
        <f t="shared" ref="K8" si="17">J8/$E$89</f>
        <v>#DIV/0!</v>
      </c>
      <c r="L8" s="1466"/>
      <c r="M8" s="1957">
        <f>SUM(M9:M33)</f>
        <v>0</v>
      </c>
      <c r="N8" s="1957">
        <f>SUM(N9:N33)</f>
        <v>0</v>
      </c>
      <c r="O8" s="1484">
        <f>SUM(O9:O33)</f>
        <v>0</v>
      </c>
      <c r="P8" s="1528" t="e">
        <f t="shared" ref="P8" si="18">O8/$E$89</f>
        <v>#DIV/0!</v>
      </c>
      <c r="Q8" s="1466"/>
      <c r="R8" s="1957">
        <f>SUM(R9:R33)</f>
        <v>0</v>
      </c>
      <c r="S8" s="1957">
        <f>SUM(S9:S33)</f>
        <v>0</v>
      </c>
      <c r="T8" s="1484">
        <f>SUM(T9:T33)</f>
        <v>0</v>
      </c>
      <c r="U8" s="1528"/>
      <c r="V8" s="1466"/>
      <c r="W8" s="1957">
        <f>SUM(W9:W33)</f>
        <v>70286.11832506166</v>
      </c>
      <c r="X8" s="1957">
        <f>SUM(X9:X33)</f>
        <v>106419.81249541424</v>
      </c>
      <c r="Y8" s="1484">
        <f>SUM(Y9:Y33)</f>
        <v>176705.93082047591</v>
      </c>
      <c r="Z8" s="1528"/>
      <c r="AA8" s="1466"/>
      <c r="AB8" s="1957">
        <f>SUM(AB9:AB33)</f>
        <v>15931.49</v>
      </c>
      <c r="AC8" s="1957">
        <f>SUM(AC9:AC33)</f>
        <v>20016</v>
      </c>
      <c r="AD8" s="1484">
        <f>SUM(AD9:AD33)</f>
        <v>35947.490000000005</v>
      </c>
      <c r="AE8" s="1528"/>
      <c r="AF8" s="1466"/>
      <c r="AG8" s="1957">
        <f>SUM(AG9:AG33)</f>
        <v>39445.560000000005</v>
      </c>
      <c r="AH8" s="1957">
        <f>SUM(AH9:AH33)</f>
        <v>59529.279999999999</v>
      </c>
      <c r="AI8" s="1484">
        <f>SUM(AI9:AI33)</f>
        <v>98974.84</v>
      </c>
      <c r="AJ8" s="1528"/>
      <c r="AK8" s="1466"/>
      <c r="AL8" s="1957">
        <f>SUM(AL9:AL33)</f>
        <v>9021.58</v>
      </c>
      <c r="AM8" s="1957">
        <f>SUM(AM9:AM33)</f>
        <v>12255.98</v>
      </c>
      <c r="AN8" s="1484">
        <f>SUM(AN9:AN33)</f>
        <v>21277.56</v>
      </c>
      <c r="AO8" s="1528"/>
      <c r="AP8" s="1466"/>
      <c r="AQ8" s="1957">
        <f>SUM(AQ9:AQ33)</f>
        <v>2193.2378481012702</v>
      </c>
      <c r="AR8" s="1957">
        <f>SUM(AR9:AR33)</f>
        <v>3551.7468354430398</v>
      </c>
      <c r="AS8" s="1484">
        <f>SUM(AS9:AS33)</f>
        <v>5744.9846835443095</v>
      </c>
      <c r="AT8" s="1528"/>
      <c r="AU8" s="1466"/>
      <c r="AV8" s="1957">
        <f>SUM(AV9:AV33)</f>
        <v>950</v>
      </c>
      <c r="AW8" s="1957">
        <f>SUM(AW9:AW33)</f>
        <v>0</v>
      </c>
      <c r="AX8" s="1484">
        <f>SUM(AX9:AX33)</f>
        <v>950</v>
      </c>
      <c r="AY8" s="1528"/>
      <c r="AZ8" s="1466"/>
      <c r="BA8" s="1957">
        <f>SUM(BA9:BA33)</f>
        <v>2744.2504769603897</v>
      </c>
      <c r="BB8" s="1957">
        <f>SUM(BB9:BB33)</f>
        <v>11066.8056599712</v>
      </c>
      <c r="BC8" s="1484">
        <f>SUM(BC9:BC33)</f>
        <v>13811.056136931589</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70286.11832506166</v>
      </c>
      <c r="CK8" s="1957">
        <f>SUM(CK9:CK33)</f>
        <v>106419.81249541424</v>
      </c>
      <c r="CL8" s="1484">
        <f>SUM(CL9:CL33)</f>
        <v>176705.93082047591</v>
      </c>
      <c r="CM8" s="1528"/>
      <c r="CN8" s="1466"/>
      <c r="CP8" s="3764">
        <f>SUM(CP9:CP33)</f>
        <v>13606086.850000001</v>
      </c>
      <c r="CQ8" s="3764">
        <f>SUM(CQ9:CQ33)</f>
        <v>176705.93082047591</v>
      </c>
      <c r="CR8" s="3764">
        <f>SUM(CR9:CR33)</f>
        <v>13429380.919179525</v>
      </c>
      <c r="CT8" s="2624"/>
    </row>
    <row r="9" spans="1:98" s="1396" customFormat="1" ht="24" outlineLevel="2">
      <c r="A9" s="1571"/>
      <c r="B9" s="1424" t="s">
        <v>74</v>
      </c>
      <c r="C9" s="3341"/>
      <c r="D9" s="3341"/>
      <c r="E9" s="3349">
        <f t="shared" ref="E9:E32" si="19">C9+D9</f>
        <v>0</v>
      </c>
      <c r="F9" s="4428" t="e">
        <f t="shared" si="16"/>
        <v>#DIV/0!</v>
      </c>
      <c r="G9" s="2047"/>
      <c r="H9" s="3341"/>
      <c r="I9" s="3341"/>
      <c r="J9" s="3349">
        <f t="shared" ref="J9:J32" si="20">H9+I9</f>
        <v>0</v>
      </c>
      <c r="K9" s="4428" t="e">
        <f>J9/J$89</f>
        <v>#DIV/0!</v>
      </c>
      <c r="L9" s="2047"/>
      <c r="M9" s="3341"/>
      <c r="N9" s="3341"/>
      <c r="O9" s="3349">
        <f t="shared" ref="O9:O32" si="21">M9+N9</f>
        <v>0</v>
      </c>
      <c r="P9" s="4428" t="e">
        <f t="shared" ref="P9:P33" si="22">O9/O$89</f>
        <v>#DIV/0!</v>
      </c>
      <c r="Q9" s="2047"/>
      <c r="R9" s="3342">
        <f t="shared" ref="R9:S33" si="23">M9+H9+C9</f>
        <v>0</v>
      </c>
      <c r="S9" s="3342">
        <f t="shared" si="23"/>
        <v>0</v>
      </c>
      <c r="T9" s="2012">
        <f t="shared" ref="T9:T33" si="24">R9+S9</f>
        <v>0</v>
      </c>
      <c r="U9" s="2047"/>
      <c r="V9" s="2047"/>
      <c r="W9" s="3342">
        <f t="shared" ref="W9:X33" si="25">AB9+AG9+AL9+AV9+BA9+BF9+BK9+BP9+BU9+BZ9+CE9+AQ9</f>
        <v>49177.788325061658</v>
      </c>
      <c r="X9" s="3342">
        <f t="shared" si="25"/>
        <v>106419.81249541424</v>
      </c>
      <c r="Y9" s="2012">
        <f t="shared" ref="Y9:Y33" si="26">W9+X9</f>
        <v>155597.6008204759</v>
      </c>
      <c r="Z9" s="2047"/>
      <c r="AA9" s="2047"/>
      <c r="AB9" s="3341">
        <v>11259</v>
      </c>
      <c r="AC9" s="3341">
        <v>20016</v>
      </c>
      <c r="AD9" s="3349">
        <f t="shared" ref="AD9:AD32" si="27">AB9+AC9</f>
        <v>31275</v>
      </c>
      <c r="AE9" s="4428">
        <f>AD9/AD$89</f>
        <v>0.79771136028808898</v>
      </c>
      <c r="AF9" s="2047" t="s">
        <v>1882</v>
      </c>
      <c r="AG9" s="3341">
        <v>27607.48</v>
      </c>
      <c r="AH9" s="3341">
        <v>59529.279999999999</v>
      </c>
      <c r="AI9" s="3349">
        <f t="shared" ref="AI9:AI32" si="28">AG9+AH9</f>
        <v>87136.76</v>
      </c>
      <c r="AJ9" s="4428">
        <f>AI9/AI$89</f>
        <v>0.80779406197872805</v>
      </c>
      <c r="AK9" s="2047" t="s">
        <v>1926</v>
      </c>
      <c r="AL9" s="3341">
        <v>6375.67</v>
      </c>
      <c r="AM9" s="3341">
        <v>12255.98</v>
      </c>
      <c r="AN9" s="3349">
        <f t="shared" ref="AN9:AN32" si="29">AL9+AM9</f>
        <v>18631.650000000001</v>
      </c>
      <c r="AO9" s="4428">
        <f>AN9/AN$89</f>
        <v>0.80625384786793408</v>
      </c>
      <c r="AP9" s="2047" t="s">
        <v>1926</v>
      </c>
      <c r="AQ9" s="3341">
        <v>1549.9878481012699</v>
      </c>
      <c r="AR9" s="3341">
        <v>3551.7468354430398</v>
      </c>
      <c r="AS9" s="3349">
        <f t="shared" ref="AS9:AS32" si="30">AQ9+AR9</f>
        <v>5101.7346835443095</v>
      </c>
      <c r="AT9" s="4428">
        <f>AS9/AS$89</f>
        <v>0.81293405240720984</v>
      </c>
      <c r="AU9" s="2047" t="s">
        <v>1926</v>
      </c>
      <c r="AV9" s="3341"/>
      <c r="AW9" s="3341"/>
      <c r="AX9" s="3349">
        <f t="shared" ref="AX9:AX32" si="31">AV9+AW9</f>
        <v>0</v>
      </c>
      <c r="AY9" s="4428">
        <f>AX9/AX$89</f>
        <v>0</v>
      </c>
      <c r="AZ9" s="2047"/>
      <c r="BA9" s="3341">
        <v>2385.6504769603898</v>
      </c>
      <c r="BB9" s="3341">
        <v>11066.8056599712</v>
      </c>
      <c r="BC9" s="3349">
        <f t="shared" ref="BC9:BC32" si="32">BA9+BB9</f>
        <v>13452.456136931589</v>
      </c>
      <c r="BD9" s="4428">
        <f>BC9/BC$89</f>
        <v>0.77835131471448826</v>
      </c>
      <c r="BE9" s="2047"/>
      <c r="BF9" s="3341"/>
      <c r="BG9" s="3341"/>
      <c r="BH9" s="3349">
        <f t="shared" ref="BH9:BH32" si="33">BF9+BG9</f>
        <v>0</v>
      </c>
      <c r="BI9" s="4428" t="e">
        <f>BH9/BH$89</f>
        <v>#DIV/0!</v>
      </c>
      <c r="BJ9" s="2047"/>
      <c r="BK9" s="3341"/>
      <c r="BL9" s="3341"/>
      <c r="BM9" s="3349">
        <f t="shared" ref="BM9:BM32" si="34">BK9+BL9</f>
        <v>0</v>
      </c>
      <c r="BN9" s="4428" t="e">
        <f>BM9/BM$89</f>
        <v>#DIV/0!</v>
      </c>
      <c r="BO9" s="2047"/>
      <c r="BP9" s="3341"/>
      <c r="BQ9" s="3341"/>
      <c r="BR9" s="3349">
        <f t="shared" ref="BR9:BR32" si="35">BP9+BQ9</f>
        <v>0</v>
      </c>
      <c r="BS9" s="4428" t="e">
        <f>BR9/BR$89</f>
        <v>#DIV/0!</v>
      </c>
      <c r="BT9" s="2047"/>
      <c r="BU9" s="3341"/>
      <c r="BV9" s="3341"/>
      <c r="BW9" s="3349">
        <f t="shared" ref="BW9:BW32" si="36">BU9+BV9</f>
        <v>0</v>
      </c>
      <c r="BX9" s="4428" t="e">
        <f>BW9/BW$89</f>
        <v>#DIV/0!</v>
      </c>
      <c r="BY9" s="2047"/>
      <c r="BZ9" s="3341"/>
      <c r="CA9" s="3341"/>
      <c r="CB9" s="3349">
        <f t="shared" ref="CB9:CB32" si="37">BZ9+CA9</f>
        <v>0</v>
      </c>
      <c r="CC9" s="4428" t="e">
        <f>CB9/CB$89</f>
        <v>#DIV/0!</v>
      </c>
      <c r="CD9" s="2047"/>
      <c r="CE9" s="3341"/>
      <c r="CF9" s="3341"/>
      <c r="CG9" s="3349">
        <f t="shared" ref="CG9:CG32" si="38">CE9+CF9</f>
        <v>0</v>
      </c>
      <c r="CH9" s="4428" t="e">
        <f>CG9/CG$89</f>
        <v>#DIV/0!</v>
      </c>
      <c r="CI9" s="2047"/>
      <c r="CJ9" s="3341">
        <f t="shared" ref="CJ9:CK33" si="39">C9+H9+M9+W9</f>
        <v>49177.788325061658</v>
      </c>
      <c r="CK9" s="3341">
        <f t="shared" si="39"/>
        <v>106419.81249541424</v>
      </c>
      <c r="CL9" s="3349">
        <f>CJ9+CK9*1</f>
        <v>155597.6008204759</v>
      </c>
      <c r="CM9" s="4428">
        <f t="shared" ref="CM9:CM33" si="40">CL9/$CL$89</f>
        <v>0.79919128019111751</v>
      </c>
      <c r="CN9" s="1434"/>
      <c r="CP9" s="5185">
        <f>(114548.05+20422.2+34168)*CT4</f>
        <v>2875350.25</v>
      </c>
      <c r="CQ9" s="3765">
        <f t="shared" ref="CQ9:CQ32" si="41">CL9</f>
        <v>155597.6008204759</v>
      </c>
      <c r="CR9" s="5188">
        <f>CP9-SUM(CQ9:CQ11)</f>
        <v>2700333.8991795243</v>
      </c>
      <c r="CS9" s="3307"/>
      <c r="CT9" s="3443"/>
    </row>
    <row r="10" spans="1:98" s="1396" customFormat="1" ht="13.8" outlineLevel="2">
      <c r="A10" s="1571"/>
      <c r="B10" s="1424" t="s">
        <v>72</v>
      </c>
      <c r="C10" s="3341"/>
      <c r="D10" s="3341"/>
      <c r="E10" s="3349">
        <f t="shared" si="19"/>
        <v>0</v>
      </c>
      <c r="F10" s="4428" t="e">
        <f t="shared" si="16"/>
        <v>#DIV/0!</v>
      </c>
      <c r="G10" s="2047"/>
      <c r="H10" s="3341"/>
      <c r="I10" s="3341"/>
      <c r="J10" s="3349">
        <f t="shared" si="20"/>
        <v>0</v>
      </c>
      <c r="K10" s="4428" t="e">
        <f t="shared" ref="K10:K33" si="42">J10/J$89</f>
        <v>#DIV/0!</v>
      </c>
      <c r="L10" s="2047"/>
      <c r="M10" s="3341"/>
      <c r="N10" s="3341"/>
      <c r="O10" s="3349">
        <f t="shared" si="21"/>
        <v>0</v>
      </c>
      <c r="P10" s="4428" t="e">
        <f t="shared" si="22"/>
        <v>#DIV/0!</v>
      </c>
      <c r="Q10" s="2047"/>
      <c r="R10" s="3342">
        <f t="shared" si="23"/>
        <v>0</v>
      </c>
      <c r="S10" s="3342">
        <f t="shared" si="23"/>
        <v>0</v>
      </c>
      <c r="T10" s="2012">
        <f t="shared" si="24"/>
        <v>0</v>
      </c>
      <c r="U10" s="2047"/>
      <c r="V10" s="2047"/>
      <c r="W10" s="3342">
        <f t="shared" si="25"/>
        <v>9124.48</v>
      </c>
      <c r="X10" s="3342">
        <f t="shared" si="25"/>
        <v>0</v>
      </c>
      <c r="Y10" s="2012">
        <f t="shared" si="26"/>
        <v>9124.48</v>
      </c>
      <c r="Z10" s="2047"/>
      <c r="AA10" s="2047"/>
      <c r="AB10" s="3341">
        <v>2195.5100000000002</v>
      </c>
      <c r="AC10" s="3341"/>
      <c r="AD10" s="3349">
        <f t="shared" si="27"/>
        <v>2195.5100000000002</v>
      </c>
      <c r="AE10" s="4428">
        <f t="shared" ref="AE10:AE33" si="43">AD10/AD$89</f>
        <v>5.5999465024016058E-2</v>
      </c>
      <c r="AF10" s="2047"/>
      <c r="AG10" s="3341">
        <v>5383.46</v>
      </c>
      <c r="AH10" s="3341"/>
      <c r="AI10" s="3349">
        <f t="shared" si="28"/>
        <v>5383.46</v>
      </c>
      <c r="AJ10" s="4428">
        <f t="shared" ref="AJ10:AJ33" si="44">AI10/AI$89</f>
        <v>4.9906916677875141E-2</v>
      </c>
      <c r="AK10" s="2047"/>
      <c r="AL10" s="3341">
        <v>1243.26</v>
      </c>
      <c r="AM10" s="3341"/>
      <c r="AN10" s="3349">
        <f t="shared" si="29"/>
        <v>1243.26</v>
      </c>
      <c r="AO10" s="4428">
        <f t="shared" ref="AO10:AO33" si="45">AN10/AN$89</f>
        <v>5.380002087309968E-2</v>
      </c>
      <c r="AP10" s="2047"/>
      <c r="AQ10" s="3341">
        <v>302.25</v>
      </c>
      <c r="AR10" s="3341"/>
      <c r="AS10" s="3349">
        <f t="shared" si="30"/>
        <v>302.25</v>
      </c>
      <c r="AT10" s="4428">
        <f t="shared" ref="AT10:AT33" si="46">AS10/AS$89</f>
        <v>4.8161916011159253E-2</v>
      </c>
      <c r="AU10" s="2047"/>
      <c r="AV10" s="3341"/>
      <c r="AW10" s="3341"/>
      <c r="AX10" s="3349">
        <f t="shared" si="31"/>
        <v>0</v>
      </c>
      <c r="AY10" s="4428">
        <f t="shared" ref="AY10:AY33" si="47">AX10/AX$89</f>
        <v>0</v>
      </c>
      <c r="AZ10" s="2047"/>
      <c r="BA10" s="3341"/>
      <c r="BB10" s="3341"/>
      <c r="BC10" s="3349">
        <f t="shared" si="32"/>
        <v>0</v>
      </c>
      <c r="BD10" s="4428">
        <f t="shared" ref="BD10:BD33" si="48">BC10/BC$89</f>
        <v>0</v>
      </c>
      <c r="BE10" s="2047"/>
      <c r="BF10" s="3341"/>
      <c r="BG10" s="3341"/>
      <c r="BH10" s="3349">
        <f t="shared" si="33"/>
        <v>0</v>
      </c>
      <c r="BI10" s="4428" t="e">
        <f t="shared" ref="BI10:BI33" si="49">BH10/BH$89</f>
        <v>#DIV/0!</v>
      </c>
      <c r="BJ10" s="2047"/>
      <c r="BK10" s="3341"/>
      <c r="BL10" s="3341"/>
      <c r="BM10" s="3349">
        <f t="shared" si="34"/>
        <v>0</v>
      </c>
      <c r="BN10" s="4428" t="e">
        <f t="shared" ref="BN10:BN33" si="50">BM10/BM$89</f>
        <v>#DIV/0!</v>
      </c>
      <c r="BO10" s="2047"/>
      <c r="BP10" s="3341"/>
      <c r="BQ10" s="3341"/>
      <c r="BR10" s="3349">
        <f t="shared" si="35"/>
        <v>0</v>
      </c>
      <c r="BS10" s="4428" t="e">
        <f t="shared" ref="BS10:BS33" si="51">BR10/BR$89</f>
        <v>#DIV/0!</v>
      </c>
      <c r="BT10" s="2047"/>
      <c r="BU10" s="3341"/>
      <c r="BV10" s="3341"/>
      <c r="BW10" s="3349">
        <f t="shared" si="36"/>
        <v>0</v>
      </c>
      <c r="BX10" s="4428" t="e">
        <f t="shared" ref="BX10:BX33" si="52">BW10/BW$89</f>
        <v>#DIV/0!</v>
      </c>
      <c r="BY10" s="2047"/>
      <c r="BZ10" s="3341"/>
      <c r="CA10" s="3341"/>
      <c r="CB10" s="3349">
        <f t="shared" si="37"/>
        <v>0</v>
      </c>
      <c r="CC10" s="4428" t="e">
        <f t="shared" ref="CC10:CC33" si="53">CB10/CB$89</f>
        <v>#DIV/0!</v>
      </c>
      <c r="CD10" s="2047"/>
      <c r="CE10" s="3341"/>
      <c r="CF10" s="3341"/>
      <c r="CG10" s="3349">
        <f t="shared" si="38"/>
        <v>0</v>
      </c>
      <c r="CH10" s="4428" t="e">
        <f t="shared" ref="CH10:CH33" si="54">CG10/CG$89</f>
        <v>#DIV/0!</v>
      </c>
      <c r="CI10" s="2047"/>
      <c r="CJ10" s="3341">
        <f t="shared" si="39"/>
        <v>9124.48</v>
      </c>
      <c r="CK10" s="3341">
        <f t="shared" si="39"/>
        <v>0</v>
      </c>
      <c r="CL10" s="3349">
        <f t="shared" ref="CL10:CL33" si="55">CJ10+CK10*1</f>
        <v>9124.48</v>
      </c>
      <c r="CM10" s="4428">
        <f t="shared" si="40"/>
        <v>4.6865792363288347E-2</v>
      </c>
      <c r="CN10" s="1434"/>
      <c r="CP10" s="5186"/>
      <c r="CQ10" s="3765">
        <f t="shared" si="41"/>
        <v>9124.48</v>
      </c>
      <c r="CR10" s="5189"/>
      <c r="CT10" s="2624"/>
    </row>
    <row r="11" spans="1:98" s="1396" customFormat="1" ht="13.8" outlineLevel="2">
      <c r="A11" s="1571"/>
      <c r="B11" s="1424" t="s">
        <v>69</v>
      </c>
      <c r="C11" s="3341"/>
      <c r="D11" s="3341"/>
      <c r="E11" s="3349">
        <f t="shared" si="19"/>
        <v>0</v>
      </c>
      <c r="F11" s="4428" t="e">
        <f t="shared" si="16"/>
        <v>#DIV/0!</v>
      </c>
      <c r="G11" s="1055"/>
      <c r="H11" s="3341"/>
      <c r="I11" s="3341"/>
      <c r="J11" s="3349">
        <f t="shared" si="20"/>
        <v>0</v>
      </c>
      <c r="K11" s="4428" t="e">
        <f t="shared" si="42"/>
        <v>#DIV/0!</v>
      </c>
      <c r="L11" s="1055"/>
      <c r="M11" s="3341"/>
      <c r="N11" s="3341"/>
      <c r="O11" s="3349">
        <f t="shared" si="21"/>
        <v>0</v>
      </c>
      <c r="P11" s="4428" t="e">
        <f t="shared" si="22"/>
        <v>#DIV/0!</v>
      </c>
      <c r="Q11" s="1055"/>
      <c r="R11" s="3342">
        <f t="shared" si="23"/>
        <v>0</v>
      </c>
      <c r="S11" s="3342">
        <f t="shared" si="23"/>
        <v>0</v>
      </c>
      <c r="T11" s="2012">
        <f t="shared" si="24"/>
        <v>0</v>
      </c>
      <c r="U11" s="1055"/>
      <c r="V11" s="1055"/>
      <c r="W11" s="3342">
        <f t="shared" si="25"/>
        <v>10294.27</v>
      </c>
      <c r="X11" s="3342">
        <f t="shared" si="25"/>
        <v>0</v>
      </c>
      <c r="Y11" s="2012">
        <f t="shared" si="26"/>
        <v>10294.27</v>
      </c>
      <c r="Z11" s="1055"/>
      <c r="AA11" s="1055"/>
      <c r="AB11" s="3341">
        <v>2476.98</v>
      </c>
      <c r="AC11" s="3341"/>
      <c r="AD11" s="3349">
        <f t="shared" si="27"/>
        <v>2476.98</v>
      </c>
      <c r="AE11" s="4428">
        <f t="shared" si="43"/>
        <v>6.317873973481665E-2</v>
      </c>
      <c r="AF11" s="1055"/>
      <c r="AG11" s="3341">
        <v>6073.64</v>
      </c>
      <c r="AH11" s="3341"/>
      <c r="AI11" s="3349">
        <f t="shared" si="28"/>
        <v>6073.64</v>
      </c>
      <c r="AJ11" s="4428">
        <f t="shared" si="44"/>
        <v>5.6305172772048009E-2</v>
      </c>
      <c r="AK11" s="1055"/>
      <c r="AL11" s="3341">
        <v>1402.65</v>
      </c>
      <c r="AM11" s="3341"/>
      <c r="AN11" s="3349">
        <f t="shared" si="29"/>
        <v>1402.65</v>
      </c>
      <c r="AO11" s="4428">
        <f t="shared" si="45"/>
        <v>6.0697359585004967E-2</v>
      </c>
      <c r="AP11" s="1055"/>
      <c r="AQ11" s="3341">
        <v>341</v>
      </c>
      <c r="AR11" s="3341"/>
      <c r="AS11" s="3349">
        <f t="shared" si="30"/>
        <v>341</v>
      </c>
      <c r="AT11" s="4428">
        <f t="shared" si="46"/>
        <v>5.4336520627974547E-2</v>
      </c>
      <c r="AU11" s="1055"/>
      <c r="AV11" s="3341"/>
      <c r="AW11" s="3341"/>
      <c r="AX11" s="3349">
        <f t="shared" si="31"/>
        <v>0</v>
      </c>
      <c r="AY11" s="4428">
        <f t="shared" si="47"/>
        <v>0</v>
      </c>
      <c r="AZ11" s="1055"/>
      <c r="BA11" s="3341"/>
      <c r="BB11" s="3341"/>
      <c r="BC11" s="3349">
        <f t="shared" si="32"/>
        <v>0</v>
      </c>
      <c r="BD11" s="4428">
        <f t="shared" si="48"/>
        <v>0</v>
      </c>
      <c r="BE11" s="1055"/>
      <c r="BF11" s="3341"/>
      <c r="BG11" s="3341"/>
      <c r="BH11" s="3349">
        <f t="shared" si="33"/>
        <v>0</v>
      </c>
      <c r="BI11" s="4428" t="e">
        <f t="shared" si="49"/>
        <v>#DIV/0!</v>
      </c>
      <c r="BJ11" s="1055"/>
      <c r="BK11" s="3341"/>
      <c r="BL11" s="3341"/>
      <c r="BM11" s="3349">
        <f t="shared" si="34"/>
        <v>0</v>
      </c>
      <c r="BN11" s="4428" t="e">
        <f t="shared" si="50"/>
        <v>#DIV/0!</v>
      </c>
      <c r="BO11" s="1055"/>
      <c r="BP11" s="3341"/>
      <c r="BQ11" s="3341"/>
      <c r="BR11" s="3349">
        <f t="shared" si="35"/>
        <v>0</v>
      </c>
      <c r="BS11" s="4428" t="e">
        <f t="shared" si="51"/>
        <v>#DIV/0!</v>
      </c>
      <c r="BT11" s="1055"/>
      <c r="BU11" s="3341"/>
      <c r="BV11" s="3341"/>
      <c r="BW11" s="3349">
        <f t="shared" si="36"/>
        <v>0</v>
      </c>
      <c r="BX11" s="4428" t="e">
        <f t="shared" si="52"/>
        <v>#DIV/0!</v>
      </c>
      <c r="BY11" s="1055"/>
      <c r="BZ11" s="3341"/>
      <c r="CA11" s="3341"/>
      <c r="CB11" s="3349">
        <f t="shared" si="37"/>
        <v>0</v>
      </c>
      <c r="CC11" s="4428" t="e">
        <f t="shared" si="53"/>
        <v>#DIV/0!</v>
      </c>
      <c r="CD11" s="1055"/>
      <c r="CE11" s="3341"/>
      <c r="CF11" s="3341"/>
      <c r="CG11" s="3349">
        <f t="shared" si="38"/>
        <v>0</v>
      </c>
      <c r="CH11" s="4428" t="e">
        <f t="shared" si="54"/>
        <v>#DIV/0!</v>
      </c>
      <c r="CI11" s="1055"/>
      <c r="CJ11" s="3341">
        <f t="shared" si="39"/>
        <v>10294.27</v>
      </c>
      <c r="CK11" s="3341">
        <f t="shared" si="39"/>
        <v>0</v>
      </c>
      <c r="CL11" s="3349">
        <f t="shared" si="55"/>
        <v>10294.27</v>
      </c>
      <c r="CM11" s="4428">
        <f t="shared" si="40"/>
        <v>5.2874149579113371E-2</v>
      </c>
      <c r="CN11" s="1434"/>
      <c r="CP11" s="5187"/>
      <c r="CQ11" s="3765">
        <f t="shared" si="41"/>
        <v>10294.27</v>
      </c>
      <c r="CR11" s="5190"/>
      <c r="CT11" s="2624"/>
    </row>
    <row r="12" spans="1:98" s="1396" customFormat="1" ht="13.8" outlineLevel="2">
      <c r="A12" s="1571"/>
      <c r="B12" s="1424" t="s">
        <v>73</v>
      </c>
      <c r="C12" s="3341"/>
      <c r="D12" s="3341"/>
      <c r="E12" s="3349">
        <f t="shared" si="19"/>
        <v>0</v>
      </c>
      <c r="F12" s="4428" t="e">
        <f t="shared" si="16"/>
        <v>#DIV/0!</v>
      </c>
      <c r="G12" s="1055"/>
      <c r="H12" s="3341"/>
      <c r="I12" s="3341"/>
      <c r="J12" s="3349">
        <f t="shared" si="20"/>
        <v>0</v>
      </c>
      <c r="K12" s="4428" t="e">
        <f t="shared" si="42"/>
        <v>#DIV/0!</v>
      </c>
      <c r="L12" s="1055"/>
      <c r="M12" s="3341"/>
      <c r="N12" s="3341"/>
      <c r="O12" s="3349">
        <f t="shared" si="21"/>
        <v>0</v>
      </c>
      <c r="P12" s="4428" t="e">
        <f t="shared" si="22"/>
        <v>#DIV/0!</v>
      </c>
      <c r="Q12" s="1055"/>
      <c r="R12" s="3342">
        <f t="shared" si="23"/>
        <v>0</v>
      </c>
      <c r="S12" s="3342">
        <f t="shared" si="23"/>
        <v>0</v>
      </c>
      <c r="T12" s="2012">
        <f t="shared" si="24"/>
        <v>0</v>
      </c>
      <c r="U12" s="1055"/>
      <c r="V12" s="1055"/>
      <c r="W12" s="3342">
        <f t="shared" si="25"/>
        <v>0</v>
      </c>
      <c r="X12" s="3342">
        <f t="shared" si="25"/>
        <v>0</v>
      </c>
      <c r="Y12" s="2012">
        <f t="shared" si="26"/>
        <v>0</v>
      </c>
      <c r="Z12" s="1055"/>
      <c r="AA12" s="1055"/>
      <c r="AB12" s="3341"/>
      <c r="AC12" s="3341"/>
      <c r="AD12" s="3349">
        <f t="shared" si="27"/>
        <v>0</v>
      </c>
      <c r="AE12" s="4428">
        <f t="shared" si="43"/>
        <v>0</v>
      </c>
      <c r="AF12" s="1055"/>
      <c r="AG12" s="3341"/>
      <c r="AH12" s="3341"/>
      <c r="AI12" s="3349">
        <f t="shared" si="28"/>
        <v>0</v>
      </c>
      <c r="AJ12" s="4428">
        <f t="shared" si="44"/>
        <v>0</v>
      </c>
      <c r="AK12" s="1055"/>
      <c r="AL12" s="3341"/>
      <c r="AM12" s="3341"/>
      <c r="AN12" s="3349">
        <f t="shared" si="29"/>
        <v>0</v>
      </c>
      <c r="AO12" s="4428">
        <f t="shared" si="45"/>
        <v>0</v>
      </c>
      <c r="AP12" s="1055"/>
      <c r="AQ12" s="3341"/>
      <c r="AR12" s="3341"/>
      <c r="AS12" s="3349">
        <f t="shared" si="30"/>
        <v>0</v>
      </c>
      <c r="AT12" s="4428">
        <f t="shared" si="46"/>
        <v>0</v>
      </c>
      <c r="AU12" s="1055"/>
      <c r="AV12" s="3341"/>
      <c r="AW12" s="3341"/>
      <c r="AX12" s="3349">
        <f t="shared" si="31"/>
        <v>0</v>
      </c>
      <c r="AY12" s="4428">
        <f t="shared" si="47"/>
        <v>0</v>
      </c>
      <c r="AZ12" s="1055"/>
      <c r="BA12" s="3341"/>
      <c r="BB12" s="3341"/>
      <c r="BC12" s="3349">
        <f t="shared" si="32"/>
        <v>0</v>
      </c>
      <c r="BD12" s="4428">
        <f t="shared" si="48"/>
        <v>0</v>
      </c>
      <c r="BE12" s="1055"/>
      <c r="BF12" s="3341"/>
      <c r="BG12" s="3341"/>
      <c r="BH12" s="3349">
        <f t="shared" si="33"/>
        <v>0</v>
      </c>
      <c r="BI12" s="4428" t="e">
        <f t="shared" si="49"/>
        <v>#DIV/0!</v>
      </c>
      <c r="BJ12" s="1055"/>
      <c r="BK12" s="3341"/>
      <c r="BL12" s="3341"/>
      <c r="BM12" s="3349">
        <f t="shared" si="34"/>
        <v>0</v>
      </c>
      <c r="BN12" s="4428" t="e">
        <f t="shared" si="50"/>
        <v>#DIV/0!</v>
      </c>
      <c r="BO12" s="1055"/>
      <c r="BP12" s="3341"/>
      <c r="BQ12" s="3341"/>
      <c r="BR12" s="3349">
        <f t="shared" si="35"/>
        <v>0</v>
      </c>
      <c r="BS12" s="4428" t="e">
        <f t="shared" si="51"/>
        <v>#DIV/0!</v>
      </c>
      <c r="BT12" s="1055"/>
      <c r="BU12" s="3341"/>
      <c r="BV12" s="3341"/>
      <c r="BW12" s="3349">
        <f t="shared" si="36"/>
        <v>0</v>
      </c>
      <c r="BX12" s="4428" t="e">
        <f t="shared" si="52"/>
        <v>#DIV/0!</v>
      </c>
      <c r="BY12" s="1055"/>
      <c r="BZ12" s="3341"/>
      <c r="CA12" s="3341"/>
      <c r="CB12" s="3349">
        <f t="shared" si="37"/>
        <v>0</v>
      </c>
      <c r="CC12" s="4428" t="e">
        <f t="shared" si="53"/>
        <v>#DIV/0!</v>
      </c>
      <c r="CD12" s="1055"/>
      <c r="CE12" s="3341"/>
      <c r="CF12" s="3341"/>
      <c r="CG12" s="3349">
        <f t="shared" si="38"/>
        <v>0</v>
      </c>
      <c r="CH12" s="4428" t="e">
        <f t="shared" si="54"/>
        <v>#DIV/0!</v>
      </c>
      <c r="CI12" s="1055"/>
      <c r="CJ12" s="3341">
        <f t="shared" si="39"/>
        <v>0</v>
      </c>
      <c r="CK12" s="3341">
        <f t="shared" si="39"/>
        <v>0</v>
      </c>
      <c r="CL12" s="3349">
        <f t="shared" si="55"/>
        <v>0</v>
      </c>
      <c r="CM12" s="4428">
        <f t="shared" si="40"/>
        <v>0</v>
      </c>
      <c r="CN12" s="1434"/>
      <c r="CP12" s="4618"/>
      <c r="CQ12" s="3765">
        <f t="shared" si="41"/>
        <v>0</v>
      </c>
      <c r="CR12" s="4618">
        <f t="shared" ref="CR12:CR33" si="56">CP12-CQ12</f>
        <v>0</v>
      </c>
      <c r="CT12" s="2624"/>
    </row>
    <row r="13" spans="1:98" s="1396" customFormat="1" ht="13.8" outlineLevel="2">
      <c r="A13" s="1571"/>
      <c r="B13" s="1424" t="s">
        <v>71</v>
      </c>
      <c r="C13" s="3341"/>
      <c r="D13" s="3341"/>
      <c r="E13" s="3349">
        <f t="shared" si="19"/>
        <v>0</v>
      </c>
      <c r="F13" s="4428" t="e">
        <f t="shared" si="16"/>
        <v>#DIV/0!</v>
      </c>
      <c r="G13" s="1055"/>
      <c r="H13" s="3341"/>
      <c r="I13" s="3341"/>
      <c r="J13" s="3349">
        <f t="shared" si="20"/>
        <v>0</v>
      </c>
      <c r="K13" s="4428" t="e">
        <f t="shared" si="42"/>
        <v>#DIV/0!</v>
      </c>
      <c r="L13" s="1055"/>
      <c r="M13" s="3341"/>
      <c r="N13" s="3341"/>
      <c r="O13" s="3349">
        <f t="shared" si="21"/>
        <v>0</v>
      </c>
      <c r="P13" s="4428" t="e">
        <f t="shared" si="22"/>
        <v>#DIV/0!</v>
      </c>
      <c r="Q13" s="1055"/>
      <c r="R13" s="3342">
        <f t="shared" si="23"/>
        <v>0</v>
      </c>
      <c r="S13" s="3342">
        <f t="shared" si="23"/>
        <v>0</v>
      </c>
      <c r="T13" s="2012">
        <f t="shared" si="24"/>
        <v>0</v>
      </c>
      <c r="U13" s="1055"/>
      <c r="V13" s="1055"/>
      <c r="W13" s="3342">
        <f t="shared" si="25"/>
        <v>0</v>
      </c>
      <c r="X13" s="3342">
        <f t="shared" si="25"/>
        <v>0</v>
      </c>
      <c r="Y13" s="2012">
        <f t="shared" si="26"/>
        <v>0</v>
      </c>
      <c r="Z13" s="1055"/>
      <c r="AA13" s="1055"/>
      <c r="AB13" s="3341"/>
      <c r="AC13" s="3341"/>
      <c r="AD13" s="3349">
        <f t="shared" si="27"/>
        <v>0</v>
      </c>
      <c r="AE13" s="4428">
        <f t="shared" si="43"/>
        <v>0</v>
      </c>
      <c r="AF13" s="1055"/>
      <c r="AG13" s="3341"/>
      <c r="AH13" s="3341"/>
      <c r="AI13" s="3349">
        <f t="shared" si="28"/>
        <v>0</v>
      </c>
      <c r="AJ13" s="4428">
        <f t="shared" si="44"/>
        <v>0</v>
      </c>
      <c r="AK13" s="1055"/>
      <c r="AL13" s="3341"/>
      <c r="AM13" s="3341"/>
      <c r="AN13" s="3349">
        <f t="shared" si="29"/>
        <v>0</v>
      </c>
      <c r="AO13" s="4428">
        <f t="shared" si="45"/>
        <v>0</v>
      </c>
      <c r="AP13" s="1055"/>
      <c r="AQ13" s="3341"/>
      <c r="AR13" s="3341"/>
      <c r="AS13" s="3349">
        <f t="shared" si="30"/>
        <v>0</v>
      </c>
      <c r="AT13" s="4428">
        <f t="shared" si="46"/>
        <v>0</v>
      </c>
      <c r="AU13" s="1055"/>
      <c r="AV13" s="3341"/>
      <c r="AW13" s="3341"/>
      <c r="AX13" s="3349">
        <f t="shared" si="31"/>
        <v>0</v>
      </c>
      <c r="AY13" s="4428">
        <f t="shared" si="47"/>
        <v>0</v>
      </c>
      <c r="AZ13" s="1055"/>
      <c r="BA13" s="3341"/>
      <c r="BB13" s="3341"/>
      <c r="BC13" s="3349">
        <f t="shared" si="32"/>
        <v>0</v>
      </c>
      <c r="BD13" s="4428">
        <f t="shared" si="48"/>
        <v>0</v>
      </c>
      <c r="BE13" s="1055"/>
      <c r="BF13" s="3341"/>
      <c r="BG13" s="3341"/>
      <c r="BH13" s="3349">
        <f t="shared" si="33"/>
        <v>0</v>
      </c>
      <c r="BI13" s="4428" t="e">
        <f t="shared" si="49"/>
        <v>#DIV/0!</v>
      </c>
      <c r="BJ13" s="1055"/>
      <c r="BK13" s="3341"/>
      <c r="BL13" s="3341"/>
      <c r="BM13" s="3349">
        <f t="shared" si="34"/>
        <v>0</v>
      </c>
      <c r="BN13" s="4428" t="e">
        <f t="shared" si="50"/>
        <v>#DIV/0!</v>
      </c>
      <c r="BO13" s="1055"/>
      <c r="BP13" s="3341"/>
      <c r="BQ13" s="3341"/>
      <c r="BR13" s="3349">
        <f t="shared" si="35"/>
        <v>0</v>
      </c>
      <c r="BS13" s="4428" t="e">
        <f t="shared" si="51"/>
        <v>#DIV/0!</v>
      </c>
      <c r="BT13" s="1055"/>
      <c r="BU13" s="3341"/>
      <c r="BV13" s="3341"/>
      <c r="BW13" s="3349">
        <f t="shared" si="36"/>
        <v>0</v>
      </c>
      <c r="BX13" s="4428" t="e">
        <f t="shared" si="52"/>
        <v>#DIV/0!</v>
      </c>
      <c r="BY13" s="1055"/>
      <c r="BZ13" s="3341"/>
      <c r="CA13" s="3341"/>
      <c r="CB13" s="3349">
        <f t="shared" si="37"/>
        <v>0</v>
      </c>
      <c r="CC13" s="4428" t="e">
        <f t="shared" si="53"/>
        <v>#DIV/0!</v>
      </c>
      <c r="CD13" s="1055"/>
      <c r="CE13" s="3341"/>
      <c r="CF13" s="3341"/>
      <c r="CG13" s="3349">
        <f t="shared" si="38"/>
        <v>0</v>
      </c>
      <c r="CH13" s="4428" t="e">
        <f t="shared" si="54"/>
        <v>#DIV/0!</v>
      </c>
      <c r="CI13" s="1055"/>
      <c r="CJ13" s="3341">
        <f t="shared" si="39"/>
        <v>0</v>
      </c>
      <c r="CK13" s="3341">
        <f t="shared" si="39"/>
        <v>0</v>
      </c>
      <c r="CL13" s="3349">
        <f t="shared" si="55"/>
        <v>0</v>
      </c>
      <c r="CM13" s="4428">
        <f t="shared" si="40"/>
        <v>0</v>
      </c>
      <c r="CN13" s="1434"/>
      <c r="CP13" s="4618"/>
      <c r="CQ13" s="3765">
        <f t="shared" si="41"/>
        <v>0</v>
      </c>
      <c r="CR13" s="4618">
        <f t="shared" si="56"/>
        <v>0</v>
      </c>
      <c r="CT13" s="2624"/>
    </row>
    <row r="14" spans="1:98" s="1396" customFormat="1" ht="13.8" outlineLevel="2">
      <c r="A14" s="1571"/>
      <c r="B14" s="1424" t="s">
        <v>70</v>
      </c>
      <c r="C14" s="3341"/>
      <c r="D14" s="3341"/>
      <c r="E14" s="3349">
        <f t="shared" si="19"/>
        <v>0</v>
      </c>
      <c r="F14" s="4428" t="e">
        <f t="shared" si="16"/>
        <v>#DIV/0!</v>
      </c>
      <c r="G14" s="1055"/>
      <c r="H14" s="3341"/>
      <c r="I14" s="3341"/>
      <c r="J14" s="3349">
        <f t="shared" si="20"/>
        <v>0</v>
      </c>
      <c r="K14" s="4428" t="e">
        <f t="shared" si="42"/>
        <v>#DIV/0!</v>
      </c>
      <c r="L14" s="1055"/>
      <c r="M14" s="3341"/>
      <c r="N14" s="3341"/>
      <c r="O14" s="3349">
        <f t="shared" si="21"/>
        <v>0</v>
      </c>
      <c r="P14" s="4428" t="e">
        <f t="shared" si="22"/>
        <v>#DIV/0!</v>
      </c>
      <c r="Q14" s="1055"/>
      <c r="R14" s="3342">
        <f t="shared" si="23"/>
        <v>0</v>
      </c>
      <c r="S14" s="3342">
        <f t="shared" si="23"/>
        <v>0</v>
      </c>
      <c r="T14" s="2012">
        <f t="shared" si="24"/>
        <v>0</v>
      </c>
      <c r="U14" s="1055"/>
      <c r="V14" s="1055"/>
      <c r="W14" s="3342">
        <f t="shared" si="25"/>
        <v>0</v>
      </c>
      <c r="X14" s="3342">
        <f t="shared" si="25"/>
        <v>0</v>
      </c>
      <c r="Y14" s="2012">
        <f t="shared" si="26"/>
        <v>0</v>
      </c>
      <c r="Z14" s="1055"/>
      <c r="AA14" s="1055"/>
      <c r="AB14" s="3341"/>
      <c r="AC14" s="3341"/>
      <c r="AD14" s="3349">
        <f t="shared" si="27"/>
        <v>0</v>
      </c>
      <c r="AE14" s="4428">
        <f t="shared" si="43"/>
        <v>0</v>
      </c>
      <c r="AF14" s="1055"/>
      <c r="AG14" s="3341"/>
      <c r="AH14" s="3341"/>
      <c r="AI14" s="3349">
        <f t="shared" si="28"/>
        <v>0</v>
      </c>
      <c r="AJ14" s="4428">
        <f t="shared" si="44"/>
        <v>0</v>
      </c>
      <c r="AK14" s="1055"/>
      <c r="AL14" s="3341"/>
      <c r="AM14" s="3341"/>
      <c r="AN14" s="3349">
        <f t="shared" si="29"/>
        <v>0</v>
      </c>
      <c r="AO14" s="4428">
        <f t="shared" si="45"/>
        <v>0</v>
      </c>
      <c r="AP14" s="1055"/>
      <c r="AQ14" s="3341"/>
      <c r="AR14" s="3341"/>
      <c r="AS14" s="3349">
        <f t="shared" si="30"/>
        <v>0</v>
      </c>
      <c r="AT14" s="4428">
        <f t="shared" si="46"/>
        <v>0</v>
      </c>
      <c r="AU14" s="1055"/>
      <c r="AV14" s="3341"/>
      <c r="AW14" s="3341"/>
      <c r="AX14" s="3349">
        <f t="shared" si="31"/>
        <v>0</v>
      </c>
      <c r="AY14" s="4428">
        <f t="shared" si="47"/>
        <v>0</v>
      </c>
      <c r="AZ14" s="1055"/>
      <c r="BA14" s="3341"/>
      <c r="BB14" s="3341"/>
      <c r="BC14" s="3349">
        <f t="shared" si="32"/>
        <v>0</v>
      </c>
      <c r="BD14" s="4428">
        <f t="shared" si="48"/>
        <v>0</v>
      </c>
      <c r="BE14" s="1055"/>
      <c r="BF14" s="3341"/>
      <c r="BG14" s="3341"/>
      <c r="BH14" s="3349">
        <f t="shared" si="33"/>
        <v>0</v>
      </c>
      <c r="BI14" s="4428" t="e">
        <f t="shared" si="49"/>
        <v>#DIV/0!</v>
      </c>
      <c r="BJ14" s="1055"/>
      <c r="BK14" s="3341"/>
      <c r="BL14" s="3341"/>
      <c r="BM14" s="3349">
        <f t="shared" si="34"/>
        <v>0</v>
      </c>
      <c r="BN14" s="4428" t="e">
        <f t="shared" si="50"/>
        <v>#DIV/0!</v>
      </c>
      <c r="BO14" s="1055"/>
      <c r="BP14" s="3341"/>
      <c r="BQ14" s="3341"/>
      <c r="BR14" s="3349">
        <f t="shared" si="35"/>
        <v>0</v>
      </c>
      <c r="BS14" s="4428" t="e">
        <f t="shared" si="51"/>
        <v>#DIV/0!</v>
      </c>
      <c r="BT14" s="1055"/>
      <c r="BU14" s="3341"/>
      <c r="BV14" s="3341"/>
      <c r="BW14" s="3349">
        <f t="shared" si="36"/>
        <v>0</v>
      </c>
      <c r="BX14" s="4428" t="e">
        <f t="shared" si="52"/>
        <v>#DIV/0!</v>
      </c>
      <c r="BY14" s="1055"/>
      <c r="BZ14" s="3341"/>
      <c r="CA14" s="3341"/>
      <c r="CB14" s="3349">
        <f t="shared" si="37"/>
        <v>0</v>
      </c>
      <c r="CC14" s="4428" t="e">
        <f t="shared" si="53"/>
        <v>#DIV/0!</v>
      </c>
      <c r="CD14" s="1055"/>
      <c r="CE14" s="3341"/>
      <c r="CF14" s="3341"/>
      <c r="CG14" s="3349">
        <f t="shared" si="38"/>
        <v>0</v>
      </c>
      <c r="CH14" s="4428" t="e">
        <f t="shared" si="54"/>
        <v>#DIV/0!</v>
      </c>
      <c r="CI14" s="1055"/>
      <c r="CJ14" s="3341">
        <f t="shared" si="39"/>
        <v>0</v>
      </c>
      <c r="CK14" s="3341">
        <f t="shared" si="39"/>
        <v>0</v>
      </c>
      <c r="CL14" s="3349">
        <f t="shared" si="55"/>
        <v>0</v>
      </c>
      <c r="CM14" s="4428">
        <f t="shared" si="40"/>
        <v>0</v>
      </c>
      <c r="CN14" s="1434"/>
      <c r="CP14" s="4618"/>
      <c r="CQ14" s="3765">
        <f t="shared" si="41"/>
        <v>0</v>
      </c>
      <c r="CR14" s="4618">
        <f t="shared" si="56"/>
        <v>0</v>
      </c>
      <c r="CT14" s="2624"/>
    </row>
    <row r="15" spans="1:98" s="1396" customFormat="1" ht="13.8" outlineLevel="2">
      <c r="A15" s="1571"/>
      <c r="B15" s="4430" t="s">
        <v>20</v>
      </c>
      <c r="C15" s="3341"/>
      <c r="D15" s="3341"/>
      <c r="E15" s="3349">
        <f t="shared" si="19"/>
        <v>0</v>
      </c>
      <c r="F15" s="4428" t="e">
        <f t="shared" si="16"/>
        <v>#DIV/0!</v>
      </c>
      <c r="G15" s="1055"/>
      <c r="H15" s="3341"/>
      <c r="I15" s="3341"/>
      <c r="J15" s="3349">
        <f t="shared" si="20"/>
        <v>0</v>
      </c>
      <c r="K15" s="4428" t="e">
        <f t="shared" si="42"/>
        <v>#DIV/0!</v>
      </c>
      <c r="L15" s="1055"/>
      <c r="M15" s="3341"/>
      <c r="N15" s="3341"/>
      <c r="O15" s="3349">
        <f t="shared" si="21"/>
        <v>0</v>
      </c>
      <c r="P15" s="4428" t="e">
        <f t="shared" si="22"/>
        <v>#DIV/0!</v>
      </c>
      <c r="Q15" s="1055"/>
      <c r="R15" s="3342">
        <f t="shared" si="23"/>
        <v>0</v>
      </c>
      <c r="S15" s="3342">
        <f t="shared" si="23"/>
        <v>0</v>
      </c>
      <c r="T15" s="2012">
        <f t="shared" si="24"/>
        <v>0</v>
      </c>
      <c r="U15" s="1055"/>
      <c r="V15" s="1055"/>
      <c r="W15" s="3342">
        <f t="shared" si="25"/>
        <v>0</v>
      </c>
      <c r="X15" s="3342">
        <f t="shared" si="25"/>
        <v>0</v>
      </c>
      <c r="Y15" s="2012">
        <f t="shared" si="26"/>
        <v>0</v>
      </c>
      <c r="Z15" s="1055"/>
      <c r="AA15" s="1055"/>
      <c r="AB15" s="3341"/>
      <c r="AC15" s="3341"/>
      <c r="AD15" s="3349">
        <f t="shared" si="27"/>
        <v>0</v>
      </c>
      <c r="AE15" s="4428">
        <f t="shared" si="43"/>
        <v>0</v>
      </c>
      <c r="AF15" s="1055"/>
      <c r="AG15" s="3341"/>
      <c r="AH15" s="3341"/>
      <c r="AI15" s="3349">
        <f t="shared" si="28"/>
        <v>0</v>
      </c>
      <c r="AJ15" s="4428">
        <f t="shared" si="44"/>
        <v>0</v>
      </c>
      <c r="AK15" s="1055"/>
      <c r="AL15" s="3341"/>
      <c r="AM15" s="3341"/>
      <c r="AN15" s="3349">
        <f t="shared" si="29"/>
        <v>0</v>
      </c>
      <c r="AO15" s="4428">
        <f t="shared" si="45"/>
        <v>0</v>
      </c>
      <c r="AP15" s="1055"/>
      <c r="AQ15" s="3341"/>
      <c r="AR15" s="3341"/>
      <c r="AS15" s="3349">
        <f t="shared" si="30"/>
        <v>0</v>
      </c>
      <c r="AT15" s="4428">
        <f t="shared" si="46"/>
        <v>0</v>
      </c>
      <c r="AU15" s="1055"/>
      <c r="AV15" s="3341"/>
      <c r="AW15" s="3341"/>
      <c r="AX15" s="3349">
        <f t="shared" si="31"/>
        <v>0</v>
      </c>
      <c r="AY15" s="4428">
        <f t="shared" si="47"/>
        <v>0</v>
      </c>
      <c r="AZ15" s="1055"/>
      <c r="BA15" s="3341"/>
      <c r="BB15" s="3341"/>
      <c r="BC15" s="3349">
        <f t="shared" si="32"/>
        <v>0</v>
      </c>
      <c r="BD15" s="4428">
        <f t="shared" si="48"/>
        <v>0</v>
      </c>
      <c r="BE15" s="1055"/>
      <c r="BF15" s="3341"/>
      <c r="BG15" s="3341"/>
      <c r="BH15" s="3349">
        <f t="shared" si="33"/>
        <v>0</v>
      </c>
      <c r="BI15" s="4428" t="e">
        <f t="shared" si="49"/>
        <v>#DIV/0!</v>
      </c>
      <c r="BJ15" s="1055"/>
      <c r="BK15" s="3341"/>
      <c r="BL15" s="3341"/>
      <c r="BM15" s="3349">
        <f t="shared" si="34"/>
        <v>0</v>
      </c>
      <c r="BN15" s="4428" t="e">
        <f t="shared" si="50"/>
        <v>#DIV/0!</v>
      </c>
      <c r="BO15" s="1055"/>
      <c r="BP15" s="3341"/>
      <c r="BQ15" s="3341"/>
      <c r="BR15" s="3349">
        <f t="shared" si="35"/>
        <v>0</v>
      </c>
      <c r="BS15" s="4428" t="e">
        <f t="shared" si="51"/>
        <v>#DIV/0!</v>
      </c>
      <c r="BT15" s="1055"/>
      <c r="BU15" s="3341"/>
      <c r="BV15" s="3341"/>
      <c r="BW15" s="3349">
        <f t="shared" si="36"/>
        <v>0</v>
      </c>
      <c r="BX15" s="4428" t="e">
        <f t="shared" si="52"/>
        <v>#DIV/0!</v>
      </c>
      <c r="BY15" s="1055"/>
      <c r="BZ15" s="3341"/>
      <c r="CA15" s="3341"/>
      <c r="CB15" s="3349">
        <f t="shared" si="37"/>
        <v>0</v>
      </c>
      <c r="CC15" s="4428" t="e">
        <f t="shared" si="53"/>
        <v>#DIV/0!</v>
      </c>
      <c r="CD15" s="1055"/>
      <c r="CE15" s="3341"/>
      <c r="CF15" s="3341"/>
      <c r="CG15" s="3349">
        <f t="shared" si="38"/>
        <v>0</v>
      </c>
      <c r="CH15" s="4428" t="e">
        <f t="shared" si="54"/>
        <v>#DIV/0!</v>
      </c>
      <c r="CI15" s="1055"/>
      <c r="CJ15" s="3341">
        <f t="shared" si="39"/>
        <v>0</v>
      </c>
      <c r="CK15" s="3341">
        <f t="shared" si="39"/>
        <v>0</v>
      </c>
      <c r="CL15" s="3349">
        <f t="shared" si="55"/>
        <v>0</v>
      </c>
      <c r="CM15" s="4428">
        <f t="shared" si="40"/>
        <v>0</v>
      </c>
      <c r="CN15" s="1434"/>
      <c r="CP15" s="4618"/>
      <c r="CQ15" s="3765">
        <f t="shared" si="41"/>
        <v>0</v>
      </c>
      <c r="CR15" s="4618">
        <f t="shared" si="56"/>
        <v>0</v>
      </c>
      <c r="CT15" s="2624"/>
    </row>
    <row r="16" spans="1:98" s="1396" customFormat="1" ht="13.8" outlineLevel="2">
      <c r="A16" s="1571"/>
      <c r="B16" s="4430" t="s">
        <v>21</v>
      </c>
      <c r="C16" s="3341"/>
      <c r="D16" s="3341"/>
      <c r="E16" s="3349">
        <f t="shared" si="19"/>
        <v>0</v>
      </c>
      <c r="F16" s="4428" t="e">
        <f t="shared" si="16"/>
        <v>#DIV/0!</v>
      </c>
      <c r="G16" s="1055"/>
      <c r="H16" s="3341"/>
      <c r="I16" s="3341"/>
      <c r="J16" s="3349">
        <f t="shared" si="20"/>
        <v>0</v>
      </c>
      <c r="K16" s="4428" t="e">
        <f t="shared" si="42"/>
        <v>#DIV/0!</v>
      </c>
      <c r="L16" s="1055"/>
      <c r="M16" s="3341"/>
      <c r="N16" s="3341"/>
      <c r="O16" s="3349">
        <f t="shared" si="21"/>
        <v>0</v>
      </c>
      <c r="P16" s="4428" t="e">
        <f t="shared" si="22"/>
        <v>#DIV/0!</v>
      </c>
      <c r="Q16" s="1055"/>
      <c r="R16" s="3342">
        <f t="shared" si="23"/>
        <v>0</v>
      </c>
      <c r="S16" s="3342">
        <f t="shared" si="23"/>
        <v>0</v>
      </c>
      <c r="T16" s="2012">
        <f t="shared" si="24"/>
        <v>0</v>
      </c>
      <c r="U16" s="1055"/>
      <c r="V16" s="1055"/>
      <c r="W16" s="3342">
        <f t="shared" si="25"/>
        <v>0</v>
      </c>
      <c r="X16" s="3342">
        <f t="shared" si="25"/>
        <v>0</v>
      </c>
      <c r="Y16" s="2012">
        <f t="shared" si="26"/>
        <v>0</v>
      </c>
      <c r="Z16" s="1055"/>
      <c r="AA16" s="1055"/>
      <c r="AB16" s="3341"/>
      <c r="AC16" s="3341"/>
      <c r="AD16" s="3349">
        <f t="shared" si="27"/>
        <v>0</v>
      </c>
      <c r="AE16" s="4428">
        <f t="shared" si="43"/>
        <v>0</v>
      </c>
      <c r="AF16" s="1055"/>
      <c r="AG16" s="3341"/>
      <c r="AH16" s="3341"/>
      <c r="AI16" s="3349">
        <f t="shared" si="28"/>
        <v>0</v>
      </c>
      <c r="AJ16" s="4428">
        <f t="shared" si="44"/>
        <v>0</v>
      </c>
      <c r="AK16" s="1055"/>
      <c r="AL16" s="3341"/>
      <c r="AM16" s="3341"/>
      <c r="AN16" s="3349">
        <f t="shared" si="29"/>
        <v>0</v>
      </c>
      <c r="AO16" s="4428">
        <f t="shared" si="45"/>
        <v>0</v>
      </c>
      <c r="AP16" s="1055"/>
      <c r="AQ16" s="3341"/>
      <c r="AR16" s="3341"/>
      <c r="AS16" s="3349">
        <f t="shared" si="30"/>
        <v>0</v>
      </c>
      <c r="AT16" s="4428">
        <f t="shared" si="46"/>
        <v>0</v>
      </c>
      <c r="AU16" s="1055"/>
      <c r="AV16" s="3341"/>
      <c r="AW16" s="3341"/>
      <c r="AX16" s="3349">
        <f t="shared" si="31"/>
        <v>0</v>
      </c>
      <c r="AY16" s="4428">
        <f t="shared" si="47"/>
        <v>0</v>
      </c>
      <c r="AZ16" s="1055"/>
      <c r="BA16" s="3341"/>
      <c r="BB16" s="3341"/>
      <c r="BC16" s="3349">
        <f t="shared" si="32"/>
        <v>0</v>
      </c>
      <c r="BD16" s="4428">
        <f t="shared" si="48"/>
        <v>0</v>
      </c>
      <c r="BE16" s="1055"/>
      <c r="BF16" s="3341"/>
      <c r="BG16" s="3341"/>
      <c r="BH16" s="3349">
        <f t="shared" si="33"/>
        <v>0</v>
      </c>
      <c r="BI16" s="4428" t="e">
        <f t="shared" si="49"/>
        <v>#DIV/0!</v>
      </c>
      <c r="BJ16" s="1055"/>
      <c r="BK16" s="3341"/>
      <c r="BL16" s="3341"/>
      <c r="BM16" s="3349">
        <f t="shared" si="34"/>
        <v>0</v>
      </c>
      <c r="BN16" s="4428" t="e">
        <f t="shared" si="50"/>
        <v>#DIV/0!</v>
      </c>
      <c r="BO16" s="1055"/>
      <c r="BP16" s="3341"/>
      <c r="BQ16" s="3341"/>
      <c r="BR16" s="3349">
        <f t="shared" si="35"/>
        <v>0</v>
      </c>
      <c r="BS16" s="4428" t="e">
        <f t="shared" si="51"/>
        <v>#DIV/0!</v>
      </c>
      <c r="BT16" s="1055"/>
      <c r="BU16" s="3341"/>
      <c r="BV16" s="3341"/>
      <c r="BW16" s="3349">
        <f t="shared" si="36"/>
        <v>0</v>
      </c>
      <c r="BX16" s="4428" t="e">
        <f t="shared" si="52"/>
        <v>#DIV/0!</v>
      </c>
      <c r="BY16" s="1055"/>
      <c r="BZ16" s="3341"/>
      <c r="CA16" s="3341"/>
      <c r="CB16" s="3349">
        <f t="shared" si="37"/>
        <v>0</v>
      </c>
      <c r="CC16" s="4428" t="e">
        <f t="shared" si="53"/>
        <v>#DIV/0!</v>
      </c>
      <c r="CD16" s="1055"/>
      <c r="CE16" s="3341"/>
      <c r="CF16" s="3341"/>
      <c r="CG16" s="3349">
        <f t="shared" si="38"/>
        <v>0</v>
      </c>
      <c r="CH16" s="4428" t="e">
        <f t="shared" si="54"/>
        <v>#DIV/0!</v>
      </c>
      <c r="CI16" s="1055"/>
      <c r="CJ16" s="3341">
        <f t="shared" si="39"/>
        <v>0</v>
      </c>
      <c r="CK16" s="3341">
        <f t="shared" si="39"/>
        <v>0</v>
      </c>
      <c r="CL16" s="3349">
        <f>CJ16+CK16*1</f>
        <v>0</v>
      </c>
      <c r="CM16" s="4428">
        <f t="shared" si="40"/>
        <v>0</v>
      </c>
      <c r="CN16" s="1434"/>
      <c r="CP16" s="4618"/>
      <c r="CQ16" s="3765">
        <f t="shared" si="41"/>
        <v>0</v>
      </c>
      <c r="CR16" s="4618">
        <f t="shared" si="56"/>
        <v>0</v>
      </c>
      <c r="CT16" s="2624"/>
    </row>
    <row r="17" spans="1:100" s="1396" customFormat="1" ht="13.8" outlineLevel="2">
      <c r="A17" s="1571"/>
      <c r="B17" s="4430" t="s">
        <v>22</v>
      </c>
      <c r="C17" s="3341"/>
      <c r="D17" s="3341"/>
      <c r="E17" s="3349">
        <f t="shared" si="19"/>
        <v>0</v>
      </c>
      <c r="F17" s="4428" t="e">
        <f t="shared" si="16"/>
        <v>#DIV/0!</v>
      </c>
      <c r="G17" s="2047"/>
      <c r="H17" s="3341"/>
      <c r="I17" s="3341"/>
      <c r="J17" s="3349">
        <f t="shared" si="20"/>
        <v>0</v>
      </c>
      <c r="K17" s="4428" t="e">
        <f t="shared" si="42"/>
        <v>#DIV/0!</v>
      </c>
      <c r="L17" s="2047"/>
      <c r="M17" s="3341"/>
      <c r="N17" s="3341"/>
      <c r="O17" s="3349">
        <f t="shared" si="21"/>
        <v>0</v>
      </c>
      <c r="P17" s="4428" t="e">
        <f t="shared" si="22"/>
        <v>#DIV/0!</v>
      </c>
      <c r="Q17" s="2047"/>
      <c r="R17" s="3342">
        <f t="shared" si="23"/>
        <v>0</v>
      </c>
      <c r="S17" s="3342">
        <f t="shared" si="23"/>
        <v>0</v>
      </c>
      <c r="T17" s="2012">
        <f t="shared" si="24"/>
        <v>0</v>
      </c>
      <c r="U17" s="2047"/>
      <c r="V17" s="2047"/>
      <c r="W17" s="3342">
        <f t="shared" si="25"/>
        <v>0</v>
      </c>
      <c r="X17" s="3342">
        <f t="shared" si="25"/>
        <v>0</v>
      </c>
      <c r="Y17" s="2012">
        <f t="shared" si="26"/>
        <v>0</v>
      </c>
      <c r="Z17" s="2047"/>
      <c r="AA17" s="2047"/>
      <c r="AB17" s="3341"/>
      <c r="AC17" s="3341"/>
      <c r="AD17" s="3349">
        <f t="shared" si="27"/>
        <v>0</v>
      </c>
      <c r="AE17" s="4428">
        <f t="shared" si="43"/>
        <v>0</v>
      </c>
      <c r="AF17" s="2047"/>
      <c r="AG17" s="3341"/>
      <c r="AH17" s="3341"/>
      <c r="AI17" s="3349">
        <f t="shared" si="28"/>
        <v>0</v>
      </c>
      <c r="AJ17" s="4428">
        <f t="shared" si="44"/>
        <v>0</v>
      </c>
      <c r="AK17" s="2047"/>
      <c r="AL17" s="3341"/>
      <c r="AM17" s="3341"/>
      <c r="AN17" s="3349">
        <f t="shared" si="29"/>
        <v>0</v>
      </c>
      <c r="AO17" s="4428">
        <f t="shared" si="45"/>
        <v>0</v>
      </c>
      <c r="AP17" s="2047"/>
      <c r="AQ17" s="3341"/>
      <c r="AR17" s="3341"/>
      <c r="AS17" s="3349">
        <f t="shared" si="30"/>
        <v>0</v>
      </c>
      <c r="AT17" s="4428">
        <f t="shared" si="46"/>
        <v>0</v>
      </c>
      <c r="AU17" s="2047"/>
      <c r="AV17" s="3341"/>
      <c r="AW17" s="3341"/>
      <c r="AX17" s="3349">
        <f t="shared" si="31"/>
        <v>0</v>
      </c>
      <c r="AY17" s="4428">
        <f t="shared" si="47"/>
        <v>0</v>
      </c>
      <c r="AZ17" s="2047"/>
      <c r="BA17" s="3341"/>
      <c r="BB17" s="3341"/>
      <c r="BC17" s="3349">
        <f t="shared" si="32"/>
        <v>0</v>
      </c>
      <c r="BD17" s="4428">
        <f t="shared" si="48"/>
        <v>0</v>
      </c>
      <c r="BE17" s="2047"/>
      <c r="BF17" s="3341"/>
      <c r="BG17" s="3341"/>
      <c r="BH17" s="3349">
        <f t="shared" si="33"/>
        <v>0</v>
      </c>
      <c r="BI17" s="4428" t="e">
        <f t="shared" si="49"/>
        <v>#DIV/0!</v>
      </c>
      <c r="BJ17" s="2047"/>
      <c r="BK17" s="3341"/>
      <c r="BL17" s="3341"/>
      <c r="BM17" s="3349">
        <f t="shared" si="34"/>
        <v>0</v>
      </c>
      <c r="BN17" s="4428" t="e">
        <f t="shared" si="50"/>
        <v>#DIV/0!</v>
      </c>
      <c r="BO17" s="2047"/>
      <c r="BP17" s="3341"/>
      <c r="BQ17" s="3341"/>
      <c r="BR17" s="3349">
        <f t="shared" si="35"/>
        <v>0</v>
      </c>
      <c r="BS17" s="4428" t="e">
        <f t="shared" si="51"/>
        <v>#DIV/0!</v>
      </c>
      <c r="BT17" s="2047"/>
      <c r="BU17" s="3341"/>
      <c r="BV17" s="3341"/>
      <c r="BW17" s="3349">
        <f t="shared" si="36"/>
        <v>0</v>
      </c>
      <c r="BX17" s="4428" t="e">
        <f t="shared" si="52"/>
        <v>#DIV/0!</v>
      </c>
      <c r="BY17" s="2047"/>
      <c r="BZ17" s="3341"/>
      <c r="CA17" s="3341"/>
      <c r="CB17" s="3349">
        <f t="shared" si="37"/>
        <v>0</v>
      </c>
      <c r="CC17" s="4428" t="e">
        <f t="shared" si="53"/>
        <v>#DIV/0!</v>
      </c>
      <c r="CD17" s="2047"/>
      <c r="CE17" s="3341"/>
      <c r="CF17" s="3341"/>
      <c r="CG17" s="3349">
        <f t="shared" si="38"/>
        <v>0</v>
      </c>
      <c r="CH17" s="4428" t="e">
        <f t="shared" si="54"/>
        <v>#DIV/0!</v>
      </c>
      <c r="CI17" s="2047"/>
      <c r="CJ17" s="3341">
        <f t="shared" si="39"/>
        <v>0</v>
      </c>
      <c r="CK17" s="3341">
        <f t="shared" si="39"/>
        <v>0</v>
      </c>
      <c r="CL17" s="3349">
        <f t="shared" si="55"/>
        <v>0</v>
      </c>
      <c r="CM17" s="4428">
        <f t="shared" si="40"/>
        <v>0</v>
      </c>
      <c r="CN17" s="1434"/>
      <c r="CP17" s="4618"/>
      <c r="CQ17" s="3765">
        <f t="shared" si="41"/>
        <v>0</v>
      </c>
      <c r="CR17" s="4618">
        <f t="shared" si="56"/>
        <v>0</v>
      </c>
      <c r="CS17" s="3307"/>
      <c r="CT17" s="3443"/>
    </row>
    <row r="18" spans="1:100" s="1396" customFormat="1" ht="13.8" outlineLevel="2">
      <c r="A18" s="1571"/>
      <c r="B18" s="4430" t="s">
        <v>0</v>
      </c>
      <c r="C18" s="3341"/>
      <c r="D18" s="3341"/>
      <c r="E18" s="3349">
        <f t="shared" si="19"/>
        <v>0</v>
      </c>
      <c r="F18" s="4428" t="e">
        <f t="shared" si="16"/>
        <v>#DIV/0!</v>
      </c>
      <c r="G18" s="1055"/>
      <c r="H18" s="3341"/>
      <c r="I18" s="3341"/>
      <c r="J18" s="3349">
        <f t="shared" si="20"/>
        <v>0</v>
      </c>
      <c r="K18" s="4428" t="e">
        <f t="shared" si="42"/>
        <v>#DIV/0!</v>
      </c>
      <c r="L18" s="1055"/>
      <c r="M18" s="3341"/>
      <c r="N18" s="3341"/>
      <c r="O18" s="3349">
        <f t="shared" si="21"/>
        <v>0</v>
      </c>
      <c r="P18" s="4428" t="e">
        <f t="shared" si="22"/>
        <v>#DIV/0!</v>
      </c>
      <c r="Q18" s="1055"/>
      <c r="R18" s="3342">
        <f t="shared" si="23"/>
        <v>0</v>
      </c>
      <c r="S18" s="3342">
        <f t="shared" si="23"/>
        <v>0</v>
      </c>
      <c r="T18" s="2012">
        <f t="shared" si="24"/>
        <v>0</v>
      </c>
      <c r="U18" s="1055"/>
      <c r="V18" s="1055"/>
      <c r="W18" s="3342">
        <f t="shared" si="25"/>
        <v>0</v>
      </c>
      <c r="X18" s="3342">
        <f t="shared" si="25"/>
        <v>0</v>
      </c>
      <c r="Y18" s="2012">
        <f t="shared" si="26"/>
        <v>0</v>
      </c>
      <c r="Z18" s="1055"/>
      <c r="AA18" s="1055"/>
      <c r="AB18" s="3341"/>
      <c r="AC18" s="3341"/>
      <c r="AD18" s="3349">
        <f t="shared" si="27"/>
        <v>0</v>
      </c>
      <c r="AE18" s="4428">
        <f t="shared" si="43"/>
        <v>0</v>
      </c>
      <c r="AF18" s="1055"/>
      <c r="AG18" s="3341"/>
      <c r="AH18" s="3341"/>
      <c r="AI18" s="3349">
        <f t="shared" si="28"/>
        <v>0</v>
      </c>
      <c r="AJ18" s="4428">
        <f t="shared" si="44"/>
        <v>0</v>
      </c>
      <c r="AK18" s="1055"/>
      <c r="AL18" s="3341"/>
      <c r="AM18" s="3341"/>
      <c r="AN18" s="3349">
        <f t="shared" si="29"/>
        <v>0</v>
      </c>
      <c r="AO18" s="4428">
        <f t="shared" si="45"/>
        <v>0</v>
      </c>
      <c r="AP18" s="1055"/>
      <c r="AQ18" s="3341"/>
      <c r="AR18" s="3341"/>
      <c r="AS18" s="3349">
        <f t="shared" si="30"/>
        <v>0</v>
      </c>
      <c r="AT18" s="4428">
        <f t="shared" si="46"/>
        <v>0</v>
      </c>
      <c r="AU18" s="1055"/>
      <c r="AV18" s="3341"/>
      <c r="AW18" s="3341"/>
      <c r="AX18" s="3349">
        <f t="shared" si="31"/>
        <v>0</v>
      </c>
      <c r="AY18" s="4428">
        <f t="shared" si="47"/>
        <v>0</v>
      </c>
      <c r="AZ18" s="1055"/>
      <c r="BA18" s="3341"/>
      <c r="BB18" s="3341"/>
      <c r="BC18" s="3349">
        <f t="shared" si="32"/>
        <v>0</v>
      </c>
      <c r="BD18" s="4428">
        <f t="shared" si="48"/>
        <v>0</v>
      </c>
      <c r="BE18" s="1055"/>
      <c r="BF18" s="3341"/>
      <c r="BG18" s="3341"/>
      <c r="BH18" s="3349">
        <f t="shared" si="33"/>
        <v>0</v>
      </c>
      <c r="BI18" s="4428" t="e">
        <f t="shared" si="49"/>
        <v>#DIV/0!</v>
      </c>
      <c r="BJ18" s="1055"/>
      <c r="BK18" s="3341"/>
      <c r="BL18" s="3341"/>
      <c r="BM18" s="3349">
        <f t="shared" si="34"/>
        <v>0</v>
      </c>
      <c r="BN18" s="4428" t="e">
        <f t="shared" si="50"/>
        <v>#DIV/0!</v>
      </c>
      <c r="BO18" s="1055"/>
      <c r="BP18" s="3341"/>
      <c r="BQ18" s="3341"/>
      <c r="BR18" s="3349">
        <f t="shared" si="35"/>
        <v>0</v>
      </c>
      <c r="BS18" s="4428" t="e">
        <f t="shared" si="51"/>
        <v>#DIV/0!</v>
      </c>
      <c r="BT18" s="1055"/>
      <c r="BU18" s="3341"/>
      <c r="BV18" s="3341"/>
      <c r="BW18" s="3349">
        <f t="shared" si="36"/>
        <v>0</v>
      </c>
      <c r="BX18" s="4428" t="e">
        <f t="shared" si="52"/>
        <v>#DIV/0!</v>
      </c>
      <c r="BY18" s="1055"/>
      <c r="BZ18" s="3341"/>
      <c r="CA18" s="3341"/>
      <c r="CB18" s="3349">
        <f t="shared" si="37"/>
        <v>0</v>
      </c>
      <c r="CC18" s="4428" t="e">
        <f t="shared" si="53"/>
        <v>#DIV/0!</v>
      </c>
      <c r="CD18" s="1055"/>
      <c r="CE18" s="3341"/>
      <c r="CF18" s="3341"/>
      <c r="CG18" s="3349">
        <f t="shared" si="38"/>
        <v>0</v>
      </c>
      <c r="CH18" s="4428" t="e">
        <f t="shared" si="54"/>
        <v>#DIV/0!</v>
      </c>
      <c r="CI18" s="1055"/>
      <c r="CJ18" s="3341">
        <f t="shared" si="39"/>
        <v>0</v>
      </c>
      <c r="CK18" s="3341">
        <f t="shared" si="39"/>
        <v>0</v>
      </c>
      <c r="CL18" s="3349">
        <f t="shared" si="55"/>
        <v>0</v>
      </c>
      <c r="CM18" s="4428">
        <f t="shared" si="40"/>
        <v>0</v>
      </c>
      <c r="CN18" s="1434"/>
      <c r="CP18" s="4618"/>
      <c r="CQ18" s="3765">
        <f t="shared" si="41"/>
        <v>0</v>
      </c>
      <c r="CR18" s="4618">
        <f t="shared" si="56"/>
        <v>0</v>
      </c>
      <c r="CT18" s="2624"/>
    </row>
    <row r="19" spans="1:100" s="1396" customFormat="1" ht="13.8" outlineLevel="2">
      <c r="A19" s="1571"/>
      <c r="B19" s="4430" t="s">
        <v>53</v>
      </c>
      <c r="C19" s="3341"/>
      <c r="D19" s="3341"/>
      <c r="E19" s="3349">
        <f t="shared" si="19"/>
        <v>0</v>
      </c>
      <c r="F19" s="4428" t="e">
        <f t="shared" si="16"/>
        <v>#DIV/0!</v>
      </c>
      <c r="G19" s="1055"/>
      <c r="H19" s="3341"/>
      <c r="I19" s="3341"/>
      <c r="J19" s="3349">
        <f t="shared" si="20"/>
        <v>0</v>
      </c>
      <c r="K19" s="4428" t="e">
        <f t="shared" si="42"/>
        <v>#DIV/0!</v>
      </c>
      <c r="L19" s="1055"/>
      <c r="M19" s="3341"/>
      <c r="N19" s="3341"/>
      <c r="O19" s="3349">
        <f t="shared" si="21"/>
        <v>0</v>
      </c>
      <c r="P19" s="4428" t="e">
        <f t="shared" si="22"/>
        <v>#DIV/0!</v>
      </c>
      <c r="Q19" s="1055"/>
      <c r="R19" s="3342">
        <f t="shared" si="23"/>
        <v>0</v>
      </c>
      <c r="S19" s="3342">
        <f t="shared" si="23"/>
        <v>0</v>
      </c>
      <c r="T19" s="2012">
        <f t="shared" si="24"/>
        <v>0</v>
      </c>
      <c r="U19" s="1055"/>
      <c r="V19" s="1055"/>
      <c r="W19" s="3342">
        <f t="shared" si="25"/>
        <v>0</v>
      </c>
      <c r="X19" s="3342">
        <f t="shared" si="25"/>
        <v>0</v>
      </c>
      <c r="Y19" s="2012">
        <f t="shared" si="26"/>
        <v>0</v>
      </c>
      <c r="Z19" s="1055"/>
      <c r="AA19" s="1055"/>
      <c r="AB19" s="3341"/>
      <c r="AC19" s="3341"/>
      <c r="AD19" s="3349">
        <f t="shared" si="27"/>
        <v>0</v>
      </c>
      <c r="AE19" s="4428">
        <f t="shared" si="43"/>
        <v>0</v>
      </c>
      <c r="AF19" s="1055"/>
      <c r="AG19" s="3341"/>
      <c r="AH19" s="3341"/>
      <c r="AI19" s="3349">
        <f t="shared" si="28"/>
        <v>0</v>
      </c>
      <c r="AJ19" s="4428">
        <f t="shared" si="44"/>
        <v>0</v>
      </c>
      <c r="AK19" s="1055"/>
      <c r="AL19" s="3341"/>
      <c r="AM19" s="3341"/>
      <c r="AN19" s="3349">
        <f t="shared" si="29"/>
        <v>0</v>
      </c>
      <c r="AO19" s="4428">
        <f t="shared" si="45"/>
        <v>0</v>
      </c>
      <c r="AP19" s="1055"/>
      <c r="AQ19" s="3341"/>
      <c r="AR19" s="3341"/>
      <c r="AS19" s="3349">
        <f t="shared" si="30"/>
        <v>0</v>
      </c>
      <c r="AT19" s="4428">
        <f t="shared" si="46"/>
        <v>0</v>
      </c>
      <c r="AU19" s="1055"/>
      <c r="AV19" s="3341"/>
      <c r="AW19" s="3341"/>
      <c r="AX19" s="3349">
        <f t="shared" si="31"/>
        <v>0</v>
      </c>
      <c r="AY19" s="4428">
        <f t="shared" si="47"/>
        <v>0</v>
      </c>
      <c r="AZ19" s="1055"/>
      <c r="BA19" s="3341"/>
      <c r="BB19" s="3341"/>
      <c r="BC19" s="3349">
        <f t="shared" si="32"/>
        <v>0</v>
      </c>
      <c r="BD19" s="4428">
        <f t="shared" si="48"/>
        <v>0</v>
      </c>
      <c r="BE19" s="1055"/>
      <c r="BF19" s="3341"/>
      <c r="BG19" s="3341"/>
      <c r="BH19" s="3349">
        <f t="shared" si="33"/>
        <v>0</v>
      </c>
      <c r="BI19" s="4428" t="e">
        <f t="shared" si="49"/>
        <v>#DIV/0!</v>
      </c>
      <c r="BJ19" s="1055"/>
      <c r="BK19" s="3341"/>
      <c r="BL19" s="3341"/>
      <c r="BM19" s="3349">
        <f t="shared" si="34"/>
        <v>0</v>
      </c>
      <c r="BN19" s="4428" t="e">
        <f t="shared" si="50"/>
        <v>#DIV/0!</v>
      </c>
      <c r="BO19" s="1055"/>
      <c r="BP19" s="3341"/>
      <c r="BQ19" s="3341"/>
      <c r="BR19" s="3349">
        <f t="shared" si="35"/>
        <v>0</v>
      </c>
      <c r="BS19" s="4428" t="e">
        <f t="shared" si="51"/>
        <v>#DIV/0!</v>
      </c>
      <c r="BT19" s="1055"/>
      <c r="BU19" s="3341"/>
      <c r="BV19" s="3341"/>
      <c r="BW19" s="3349">
        <f t="shared" si="36"/>
        <v>0</v>
      </c>
      <c r="BX19" s="4428" t="e">
        <f t="shared" si="52"/>
        <v>#DIV/0!</v>
      </c>
      <c r="BY19" s="1055"/>
      <c r="BZ19" s="3341"/>
      <c r="CA19" s="3341"/>
      <c r="CB19" s="3349">
        <f t="shared" si="37"/>
        <v>0</v>
      </c>
      <c r="CC19" s="4428" t="e">
        <f t="shared" si="53"/>
        <v>#DIV/0!</v>
      </c>
      <c r="CD19" s="1055"/>
      <c r="CE19" s="3341"/>
      <c r="CF19" s="3341"/>
      <c r="CG19" s="3349">
        <f t="shared" si="38"/>
        <v>0</v>
      </c>
      <c r="CH19" s="4428" t="e">
        <f t="shared" si="54"/>
        <v>#DIV/0!</v>
      </c>
      <c r="CI19" s="1055"/>
      <c r="CJ19" s="3341">
        <f t="shared" si="39"/>
        <v>0</v>
      </c>
      <c r="CK19" s="3341">
        <f t="shared" si="39"/>
        <v>0</v>
      </c>
      <c r="CL19" s="3349">
        <f t="shared" si="55"/>
        <v>0</v>
      </c>
      <c r="CM19" s="4428">
        <f t="shared" si="40"/>
        <v>0</v>
      </c>
      <c r="CN19" s="1434"/>
      <c r="CP19" s="4618"/>
      <c r="CQ19" s="3765">
        <f t="shared" si="41"/>
        <v>0</v>
      </c>
      <c r="CR19" s="4618">
        <f t="shared" si="56"/>
        <v>0</v>
      </c>
      <c r="CT19" s="2624"/>
    </row>
    <row r="20" spans="1:100" s="1396" customFormat="1" ht="13.8" outlineLevel="2">
      <c r="A20" s="1571"/>
      <c r="B20" s="4430" t="s">
        <v>57</v>
      </c>
      <c r="C20" s="3341"/>
      <c r="D20" s="3341"/>
      <c r="E20" s="3349">
        <f t="shared" si="19"/>
        <v>0</v>
      </c>
      <c r="F20" s="4428" t="e">
        <f t="shared" si="16"/>
        <v>#DIV/0!</v>
      </c>
      <c r="G20" s="1055"/>
      <c r="H20" s="3341"/>
      <c r="I20" s="3341"/>
      <c r="J20" s="3349">
        <f t="shared" si="20"/>
        <v>0</v>
      </c>
      <c r="K20" s="4428" t="e">
        <f t="shared" si="42"/>
        <v>#DIV/0!</v>
      </c>
      <c r="L20" s="1055"/>
      <c r="M20" s="3341"/>
      <c r="N20" s="3341"/>
      <c r="O20" s="3349">
        <f t="shared" si="21"/>
        <v>0</v>
      </c>
      <c r="P20" s="4428" t="e">
        <f t="shared" si="22"/>
        <v>#DIV/0!</v>
      </c>
      <c r="Q20" s="1055"/>
      <c r="R20" s="3342">
        <f t="shared" si="23"/>
        <v>0</v>
      </c>
      <c r="S20" s="3342">
        <f t="shared" si="23"/>
        <v>0</v>
      </c>
      <c r="T20" s="2012">
        <f t="shared" si="24"/>
        <v>0</v>
      </c>
      <c r="U20" s="1055"/>
      <c r="V20" s="1055"/>
      <c r="W20" s="3342">
        <f t="shared" si="25"/>
        <v>0</v>
      </c>
      <c r="X20" s="3342">
        <f t="shared" si="25"/>
        <v>0</v>
      </c>
      <c r="Y20" s="2012">
        <f t="shared" si="26"/>
        <v>0</v>
      </c>
      <c r="Z20" s="1055"/>
      <c r="AA20" s="1055"/>
      <c r="AB20" s="3341"/>
      <c r="AC20" s="3341"/>
      <c r="AD20" s="3349">
        <f t="shared" si="27"/>
        <v>0</v>
      </c>
      <c r="AE20" s="4428">
        <f t="shared" si="43"/>
        <v>0</v>
      </c>
      <c r="AF20" s="1055"/>
      <c r="AG20" s="3341"/>
      <c r="AH20" s="3341"/>
      <c r="AI20" s="3349">
        <f t="shared" si="28"/>
        <v>0</v>
      </c>
      <c r="AJ20" s="4428">
        <f t="shared" si="44"/>
        <v>0</v>
      </c>
      <c r="AK20" s="1055"/>
      <c r="AL20" s="3341"/>
      <c r="AM20" s="3341"/>
      <c r="AN20" s="3349">
        <f t="shared" si="29"/>
        <v>0</v>
      </c>
      <c r="AO20" s="4428">
        <f t="shared" si="45"/>
        <v>0</v>
      </c>
      <c r="AP20" s="1055"/>
      <c r="AQ20" s="3341"/>
      <c r="AR20" s="3341"/>
      <c r="AS20" s="3349">
        <f t="shared" si="30"/>
        <v>0</v>
      </c>
      <c r="AT20" s="4428">
        <f t="shared" si="46"/>
        <v>0</v>
      </c>
      <c r="AU20" s="1055"/>
      <c r="AV20" s="3341"/>
      <c r="AW20" s="3341"/>
      <c r="AX20" s="3349">
        <f t="shared" si="31"/>
        <v>0</v>
      </c>
      <c r="AY20" s="4428">
        <f t="shared" si="47"/>
        <v>0</v>
      </c>
      <c r="AZ20" s="1055"/>
      <c r="BA20" s="3341"/>
      <c r="BB20" s="3341"/>
      <c r="BC20" s="3349">
        <f t="shared" si="32"/>
        <v>0</v>
      </c>
      <c r="BD20" s="4428">
        <f t="shared" si="48"/>
        <v>0</v>
      </c>
      <c r="BE20" s="1055"/>
      <c r="BF20" s="3341"/>
      <c r="BG20" s="3341"/>
      <c r="BH20" s="3349">
        <f t="shared" si="33"/>
        <v>0</v>
      </c>
      <c r="BI20" s="4428" t="e">
        <f t="shared" si="49"/>
        <v>#DIV/0!</v>
      </c>
      <c r="BJ20" s="1055"/>
      <c r="BK20" s="3341"/>
      <c r="BL20" s="3341"/>
      <c r="BM20" s="3349">
        <f t="shared" si="34"/>
        <v>0</v>
      </c>
      <c r="BN20" s="4428" t="e">
        <f t="shared" si="50"/>
        <v>#DIV/0!</v>
      </c>
      <c r="BO20" s="1055"/>
      <c r="BP20" s="3341"/>
      <c r="BQ20" s="3341"/>
      <c r="BR20" s="3349">
        <f t="shared" si="35"/>
        <v>0</v>
      </c>
      <c r="BS20" s="4428" t="e">
        <f t="shared" si="51"/>
        <v>#DIV/0!</v>
      </c>
      <c r="BT20" s="1055"/>
      <c r="BU20" s="3341"/>
      <c r="BV20" s="3341"/>
      <c r="BW20" s="3349">
        <f t="shared" si="36"/>
        <v>0</v>
      </c>
      <c r="BX20" s="4428" t="e">
        <f t="shared" si="52"/>
        <v>#DIV/0!</v>
      </c>
      <c r="BY20" s="1055"/>
      <c r="BZ20" s="3341"/>
      <c r="CA20" s="3341"/>
      <c r="CB20" s="3349">
        <f t="shared" si="37"/>
        <v>0</v>
      </c>
      <c r="CC20" s="4428" t="e">
        <f t="shared" si="53"/>
        <v>#DIV/0!</v>
      </c>
      <c r="CD20" s="1055"/>
      <c r="CE20" s="3341"/>
      <c r="CF20" s="3341"/>
      <c r="CG20" s="3349">
        <f t="shared" si="38"/>
        <v>0</v>
      </c>
      <c r="CH20" s="4428" t="e">
        <f t="shared" si="54"/>
        <v>#DIV/0!</v>
      </c>
      <c r="CI20" s="1055"/>
      <c r="CJ20" s="3341">
        <f t="shared" si="39"/>
        <v>0</v>
      </c>
      <c r="CK20" s="3341">
        <f t="shared" si="39"/>
        <v>0</v>
      </c>
      <c r="CL20" s="3349">
        <f t="shared" si="55"/>
        <v>0</v>
      </c>
      <c r="CM20" s="4428">
        <f t="shared" si="40"/>
        <v>0</v>
      </c>
      <c r="CN20" s="1434"/>
      <c r="CP20" s="4618"/>
      <c r="CQ20" s="3765">
        <f t="shared" si="41"/>
        <v>0</v>
      </c>
      <c r="CR20" s="4618">
        <f t="shared" si="56"/>
        <v>0</v>
      </c>
      <c r="CT20" s="2624"/>
    </row>
    <row r="21" spans="1:100" s="1396" customFormat="1" ht="13.8" outlineLevel="2">
      <c r="A21" s="1571"/>
      <c r="B21" s="4430" t="s">
        <v>58</v>
      </c>
      <c r="C21" s="3341"/>
      <c r="D21" s="3341"/>
      <c r="E21" s="3349">
        <f t="shared" si="19"/>
        <v>0</v>
      </c>
      <c r="F21" s="4428" t="e">
        <f t="shared" si="16"/>
        <v>#DIV/0!</v>
      </c>
      <c r="G21" s="1615"/>
      <c r="H21" s="3341"/>
      <c r="I21" s="3341"/>
      <c r="J21" s="3349">
        <f t="shared" si="20"/>
        <v>0</v>
      </c>
      <c r="K21" s="4428" t="e">
        <f t="shared" si="42"/>
        <v>#DIV/0!</v>
      </c>
      <c r="L21" s="1615"/>
      <c r="M21" s="3341"/>
      <c r="N21" s="3341"/>
      <c r="O21" s="3349">
        <f t="shared" si="21"/>
        <v>0</v>
      </c>
      <c r="P21" s="4428" t="e">
        <f t="shared" si="22"/>
        <v>#DIV/0!</v>
      </c>
      <c r="Q21" s="1615"/>
      <c r="R21" s="3342">
        <f t="shared" si="23"/>
        <v>0</v>
      </c>
      <c r="S21" s="3342">
        <f t="shared" si="23"/>
        <v>0</v>
      </c>
      <c r="T21" s="2012">
        <f t="shared" si="24"/>
        <v>0</v>
      </c>
      <c r="U21" s="1615"/>
      <c r="V21" s="1615"/>
      <c r="W21" s="3342">
        <f t="shared" si="25"/>
        <v>0</v>
      </c>
      <c r="X21" s="3342">
        <f t="shared" si="25"/>
        <v>0</v>
      </c>
      <c r="Y21" s="2012">
        <f t="shared" si="26"/>
        <v>0</v>
      </c>
      <c r="Z21" s="1615"/>
      <c r="AA21" s="1615"/>
      <c r="AB21" s="3341"/>
      <c r="AC21" s="3341"/>
      <c r="AD21" s="3349">
        <f t="shared" si="27"/>
        <v>0</v>
      </c>
      <c r="AE21" s="4428">
        <f t="shared" si="43"/>
        <v>0</v>
      </c>
      <c r="AF21" s="1615"/>
      <c r="AG21" s="3341"/>
      <c r="AH21" s="3341"/>
      <c r="AI21" s="3349">
        <f t="shared" si="28"/>
        <v>0</v>
      </c>
      <c r="AJ21" s="4428">
        <f t="shared" si="44"/>
        <v>0</v>
      </c>
      <c r="AK21" s="1615"/>
      <c r="AL21" s="3341"/>
      <c r="AM21" s="3341"/>
      <c r="AN21" s="3349">
        <f t="shared" si="29"/>
        <v>0</v>
      </c>
      <c r="AO21" s="4428">
        <f t="shared" si="45"/>
        <v>0</v>
      </c>
      <c r="AP21" s="1615"/>
      <c r="AQ21" s="3341"/>
      <c r="AR21" s="3341"/>
      <c r="AS21" s="3349">
        <f t="shared" si="30"/>
        <v>0</v>
      </c>
      <c r="AT21" s="4428">
        <f t="shared" si="46"/>
        <v>0</v>
      </c>
      <c r="AU21" s="1615"/>
      <c r="AV21" s="3341"/>
      <c r="AW21" s="3341"/>
      <c r="AX21" s="3349">
        <f t="shared" si="31"/>
        <v>0</v>
      </c>
      <c r="AY21" s="4428">
        <f t="shared" si="47"/>
        <v>0</v>
      </c>
      <c r="AZ21" s="1615"/>
      <c r="BA21" s="3341"/>
      <c r="BB21" s="3341"/>
      <c r="BC21" s="3349">
        <f t="shared" si="32"/>
        <v>0</v>
      </c>
      <c r="BD21" s="4428">
        <f t="shared" si="48"/>
        <v>0</v>
      </c>
      <c r="BE21" s="1615"/>
      <c r="BF21" s="3341"/>
      <c r="BG21" s="3341"/>
      <c r="BH21" s="3349">
        <f t="shared" si="33"/>
        <v>0</v>
      </c>
      <c r="BI21" s="4428" t="e">
        <f t="shared" si="49"/>
        <v>#DIV/0!</v>
      </c>
      <c r="BJ21" s="1615"/>
      <c r="BK21" s="3341"/>
      <c r="BL21" s="3341"/>
      <c r="BM21" s="3349">
        <f t="shared" si="34"/>
        <v>0</v>
      </c>
      <c r="BN21" s="4428" t="e">
        <f t="shared" si="50"/>
        <v>#DIV/0!</v>
      </c>
      <c r="BO21" s="1615"/>
      <c r="BP21" s="3341"/>
      <c r="BQ21" s="3341"/>
      <c r="BR21" s="3349">
        <f t="shared" si="35"/>
        <v>0</v>
      </c>
      <c r="BS21" s="4428" t="e">
        <f t="shared" si="51"/>
        <v>#DIV/0!</v>
      </c>
      <c r="BT21" s="1615"/>
      <c r="BU21" s="3341"/>
      <c r="BV21" s="3341"/>
      <c r="BW21" s="3349">
        <f t="shared" si="36"/>
        <v>0</v>
      </c>
      <c r="BX21" s="4428" t="e">
        <f t="shared" si="52"/>
        <v>#DIV/0!</v>
      </c>
      <c r="BY21" s="1615"/>
      <c r="BZ21" s="3341"/>
      <c r="CA21" s="3341"/>
      <c r="CB21" s="3349">
        <f t="shared" si="37"/>
        <v>0</v>
      </c>
      <c r="CC21" s="4428" t="e">
        <f t="shared" si="53"/>
        <v>#DIV/0!</v>
      </c>
      <c r="CD21" s="1615"/>
      <c r="CE21" s="3341"/>
      <c r="CF21" s="3341"/>
      <c r="CG21" s="3349">
        <f t="shared" si="38"/>
        <v>0</v>
      </c>
      <c r="CH21" s="4428" t="e">
        <f t="shared" si="54"/>
        <v>#DIV/0!</v>
      </c>
      <c r="CI21" s="1615"/>
      <c r="CJ21" s="3341">
        <f t="shared" si="39"/>
        <v>0</v>
      </c>
      <c r="CK21" s="3341">
        <f t="shared" si="39"/>
        <v>0</v>
      </c>
      <c r="CL21" s="3349">
        <f t="shared" si="55"/>
        <v>0</v>
      </c>
      <c r="CM21" s="4428">
        <f t="shared" si="40"/>
        <v>0</v>
      </c>
      <c r="CN21" s="1434"/>
      <c r="CP21" s="4618"/>
      <c r="CQ21" s="3765">
        <f t="shared" si="41"/>
        <v>0</v>
      </c>
      <c r="CR21" s="4618">
        <f t="shared" si="56"/>
        <v>0</v>
      </c>
      <c r="CT21" s="2624"/>
    </row>
    <row r="22" spans="1:100" s="1396" customFormat="1" ht="13.8" outlineLevel="2">
      <c r="A22" s="1571"/>
      <c r="B22" s="4430" t="s">
        <v>621</v>
      </c>
      <c r="C22" s="3341"/>
      <c r="D22" s="3341"/>
      <c r="E22" s="3349">
        <f t="shared" si="19"/>
        <v>0</v>
      </c>
      <c r="F22" s="4428" t="e">
        <f t="shared" si="16"/>
        <v>#DIV/0!</v>
      </c>
      <c r="G22" s="3342"/>
      <c r="H22" s="3341"/>
      <c r="I22" s="3341"/>
      <c r="J22" s="3349">
        <f t="shared" si="20"/>
        <v>0</v>
      </c>
      <c r="K22" s="4428" t="e">
        <f t="shared" si="42"/>
        <v>#DIV/0!</v>
      </c>
      <c r="L22" s="3342"/>
      <c r="M22" s="3341"/>
      <c r="N22" s="3341"/>
      <c r="O22" s="3349">
        <f t="shared" si="21"/>
        <v>0</v>
      </c>
      <c r="P22" s="4428" t="e">
        <f t="shared" si="22"/>
        <v>#DIV/0!</v>
      </c>
      <c r="Q22" s="3342"/>
      <c r="R22" s="3342">
        <f t="shared" si="23"/>
        <v>0</v>
      </c>
      <c r="S22" s="3342">
        <f t="shared" si="23"/>
        <v>0</v>
      </c>
      <c r="T22" s="2012">
        <f t="shared" si="24"/>
        <v>0</v>
      </c>
      <c r="U22" s="3342"/>
      <c r="V22" s="3342"/>
      <c r="W22" s="3342">
        <f t="shared" si="25"/>
        <v>0</v>
      </c>
      <c r="X22" s="3342">
        <f t="shared" si="25"/>
        <v>0</v>
      </c>
      <c r="Y22" s="2012">
        <f t="shared" si="26"/>
        <v>0</v>
      </c>
      <c r="Z22" s="3342"/>
      <c r="AA22" s="3342"/>
      <c r="AB22" s="3341"/>
      <c r="AC22" s="3341"/>
      <c r="AD22" s="3349">
        <f t="shared" si="27"/>
        <v>0</v>
      </c>
      <c r="AE22" s="4428">
        <f t="shared" si="43"/>
        <v>0</v>
      </c>
      <c r="AF22" s="3342"/>
      <c r="AG22" s="3341"/>
      <c r="AH22" s="3341"/>
      <c r="AI22" s="3349">
        <f t="shared" si="28"/>
        <v>0</v>
      </c>
      <c r="AJ22" s="4428">
        <f t="shared" si="44"/>
        <v>0</v>
      </c>
      <c r="AK22" s="3342"/>
      <c r="AL22" s="3341"/>
      <c r="AM22" s="3341"/>
      <c r="AN22" s="3349">
        <f t="shared" si="29"/>
        <v>0</v>
      </c>
      <c r="AO22" s="4428">
        <f t="shared" si="45"/>
        <v>0</v>
      </c>
      <c r="AP22" s="3342"/>
      <c r="AQ22" s="3341"/>
      <c r="AR22" s="3341"/>
      <c r="AS22" s="3349">
        <f t="shared" si="30"/>
        <v>0</v>
      </c>
      <c r="AT22" s="4428">
        <f t="shared" si="46"/>
        <v>0</v>
      </c>
      <c r="AU22" s="3342"/>
      <c r="AV22" s="3341"/>
      <c r="AW22" s="3341"/>
      <c r="AX22" s="3349">
        <f t="shared" si="31"/>
        <v>0</v>
      </c>
      <c r="AY22" s="4428">
        <f t="shared" si="47"/>
        <v>0</v>
      </c>
      <c r="AZ22" s="3342"/>
      <c r="BA22" s="3341"/>
      <c r="BB22" s="3341"/>
      <c r="BC22" s="3349">
        <f t="shared" si="32"/>
        <v>0</v>
      </c>
      <c r="BD22" s="4428">
        <f t="shared" si="48"/>
        <v>0</v>
      </c>
      <c r="BE22" s="3342"/>
      <c r="BF22" s="3341"/>
      <c r="BG22" s="3341"/>
      <c r="BH22" s="3349">
        <f t="shared" si="33"/>
        <v>0</v>
      </c>
      <c r="BI22" s="4428" t="e">
        <f t="shared" si="49"/>
        <v>#DIV/0!</v>
      </c>
      <c r="BJ22" s="3342"/>
      <c r="BK22" s="3341"/>
      <c r="BL22" s="3341"/>
      <c r="BM22" s="3349">
        <f t="shared" si="34"/>
        <v>0</v>
      </c>
      <c r="BN22" s="4428" t="e">
        <f t="shared" si="50"/>
        <v>#DIV/0!</v>
      </c>
      <c r="BO22" s="3342"/>
      <c r="BP22" s="3341"/>
      <c r="BQ22" s="3341"/>
      <c r="BR22" s="3349">
        <f t="shared" si="35"/>
        <v>0</v>
      </c>
      <c r="BS22" s="4428" t="e">
        <f t="shared" si="51"/>
        <v>#DIV/0!</v>
      </c>
      <c r="BT22" s="3342"/>
      <c r="BU22" s="3341"/>
      <c r="BV22" s="3341"/>
      <c r="BW22" s="3349">
        <f t="shared" si="36"/>
        <v>0</v>
      </c>
      <c r="BX22" s="4428" t="e">
        <f t="shared" si="52"/>
        <v>#DIV/0!</v>
      </c>
      <c r="BY22" s="3342"/>
      <c r="BZ22" s="3341"/>
      <c r="CA22" s="3341"/>
      <c r="CB22" s="3349">
        <f t="shared" si="37"/>
        <v>0</v>
      </c>
      <c r="CC22" s="4428" t="e">
        <f t="shared" si="53"/>
        <v>#DIV/0!</v>
      </c>
      <c r="CD22" s="3342"/>
      <c r="CE22" s="3341"/>
      <c r="CF22" s="3341"/>
      <c r="CG22" s="3349">
        <f t="shared" si="38"/>
        <v>0</v>
      </c>
      <c r="CH22" s="4428" t="e">
        <f t="shared" si="54"/>
        <v>#DIV/0!</v>
      </c>
      <c r="CI22" s="3342"/>
      <c r="CJ22" s="3341">
        <f t="shared" si="39"/>
        <v>0</v>
      </c>
      <c r="CK22" s="3341">
        <f t="shared" si="39"/>
        <v>0</v>
      </c>
      <c r="CL22" s="3349">
        <f t="shared" si="55"/>
        <v>0</v>
      </c>
      <c r="CM22" s="4428">
        <f t="shared" si="40"/>
        <v>0</v>
      </c>
      <c r="CN22" s="1434"/>
      <c r="CP22" s="4618"/>
      <c r="CQ22" s="3765">
        <f t="shared" si="41"/>
        <v>0</v>
      </c>
      <c r="CR22" s="4618">
        <f t="shared" si="56"/>
        <v>0</v>
      </c>
      <c r="CT22" s="3443">
        <f>CQ22</f>
        <v>0</v>
      </c>
    </row>
    <row r="23" spans="1:100" s="1396" customFormat="1" ht="13.8" outlineLevel="2">
      <c r="A23" s="1571"/>
      <c r="B23" s="4430" t="s">
        <v>630</v>
      </c>
      <c r="C23" s="3341"/>
      <c r="D23" s="3341"/>
      <c r="E23" s="3349">
        <f t="shared" si="19"/>
        <v>0</v>
      </c>
      <c r="F23" s="4428" t="e">
        <f t="shared" si="16"/>
        <v>#DIV/0!</v>
      </c>
      <c r="G23" s="1055"/>
      <c r="H23" s="3341"/>
      <c r="I23" s="3341"/>
      <c r="J23" s="3349">
        <f t="shared" si="20"/>
        <v>0</v>
      </c>
      <c r="K23" s="4428" t="e">
        <f t="shared" si="42"/>
        <v>#DIV/0!</v>
      </c>
      <c r="L23" s="1055"/>
      <c r="M23" s="3341"/>
      <c r="N23" s="3341"/>
      <c r="O23" s="3349">
        <f t="shared" si="21"/>
        <v>0</v>
      </c>
      <c r="P23" s="4428" t="e">
        <f t="shared" si="22"/>
        <v>#DIV/0!</v>
      </c>
      <c r="Q23" s="1055"/>
      <c r="R23" s="3342">
        <f t="shared" si="23"/>
        <v>0</v>
      </c>
      <c r="S23" s="3342">
        <f t="shared" si="23"/>
        <v>0</v>
      </c>
      <c r="T23" s="2012">
        <f t="shared" si="24"/>
        <v>0</v>
      </c>
      <c r="U23" s="1055"/>
      <c r="V23" s="1055"/>
      <c r="W23" s="3342">
        <f t="shared" si="25"/>
        <v>0</v>
      </c>
      <c r="X23" s="3342">
        <f t="shared" si="25"/>
        <v>0</v>
      </c>
      <c r="Y23" s="2012">
        <f t="shared" si="26"/>
        <v>0</v>
      </c>
      <c r="Z23" s="1055"/>
      <c r="AA23" s="1055"/>
      <c r="AB23" s="3341"/>
      <c r="AC23" s="3341"/>
      <c r="AD23" s="3349">
        <f t="shared" si="27"/>
        <v>0</v>
      </c>
      <c r="AE23" s="4428">
        <f t="shared" si="43"/>
        <v>0</v>
      </c>
      <c r="AF23" s="1055"/>
      <c r="AG23" s="3341"/>
      <c r="AH23" s="3341"/>
      <c r="AI23" s="3349">
        <f t="shared" si="28"/>
        <v>0</v>
      </c>
      <c r="AJ23" s="4428">
        <f t="shared" si="44"/>
        <v>0</v>
      </c>
      <c r="AK23" s="1055"/>
      <c r="AL23" s="3341"/>
      <c r="AM23" s="3341"/>
      <c r="AN23" s="3349">
        <f t="shared" si="29"/>
        <v>0</v>
      </c>
      <c r="AO23" s="4428">
        <f t="shared" si="45"/>
        <v>0</v>
      </c>
      <c r="AP23" s="1055"/>
      <c r="AQ23" s="3341"/>
      <c r="AR23" s="3341"/>
      <c r="AS23" s="3349">
        <f t="shared" si="30"/>
        <v>0</v>
      </c>
      <c r="AT23" s="4428">
        <f t="shared" si="46"/>
        <v>0</v>
      </c>
      <c r="AU23" s="1055"/>
      <c r="AV23" s="3341"/>
      <c r="AW23" s="3341"/>
      <c r="AX23" s="3349">
        <f t="shared" si="31"/>
        <v>0</v>
      </c>
      <c r="AY23" s="4428">
        <f t="shared" si="47"/>
        <v>0</v>
      </c>
      <c r="AZ23" s="1055"/>
      <c r="BA23" s="3341"/>
      <c r="BB23" s="3341"/>
      <c r="BC23" s="3349">
        <f t="shared" si="32"/>
        <v>0</v>
      </c>
      <c r="BD23" s="4428">
        <f t="shared" si="48"/>
        <v>0</v>
      </c>
      <c r="BE23" s="1055"/>
      <c r="BF23" s="3341"/>
      <c r="BG23" s="3341"/>
      <c r="BH23" s="3349">
        <f t="shared" si="33"/>
        <v>0</v>
      </c>
      <c r="BI23" s="4428" t="e">
        <f t="shared" si="49"/>
        <v>#DIV/0!</v>
      </c>
      <c r="BJ23" s="1055"/>
      <c r="BK23" s="3341"/>
      <c r="BL23" s="3341"/>
      <c r="BM23" s="3349">
        <f t="shared" si="34"/>
        <v>0</v>
      </c>
      <c r="BN23" s="4428" t="e">
        <f t="shared" si="50"/>
        <v>#DIV/0!</v>
      </c>
      <c r="BO23" s="1055"/>
      <c r="BP23" s="3341"/>
      <c r="BQ23" s="3341"/>
      <c r="BR23" s="3349">
        <f t="shared" si="35"/>
        <v>0</v>
      </c>
      <c r="BS23" s="4428" t="e">
        <f t="shared" si="51"/>
        <v>#DIV/0!</v>
      </c>
      <c r="BT23" s="1055"/>
      <c r="BU23" s="3341"/>
      <c r="BV23" s="3341"/>
      <c r="BW23" s="3349">
        <f t="shared" si="36"/>
        <v>0</v>
      </c>
      <c r="BX23" s="4428" t="e">
        <f t="shared" si="52"/>
        <v>#DIV/0!</v>
      </c>
      <c r="BY23" s="1055"/>
      <c r="BZ23" s="3341"/>
      <c r="CA23" s="3341"/>
      <c r="CB23" s="3349">
        <f t="shared" si="37"/>
        <v>0</v>
      </c>
      <c r="CC23" s="4428" t="e">
        <f t="shared" si="53"/>
        <v>#DIV/0!</v>
      </c>
      <c r="CD23" s="1055"/>
      <c r="CE23" s="3341"/>
      <c r="CF23" s="3341"/>
      <c r="CG23" s="3349">
        <f t="shared" si="38"/>
        <v>0</v>
      </c>
      <c r="CH23" s="4428" t="e">
        <f t="shared" si="54"/>
        <v>#DIV/0!</v>
      </c>
      <c r="CI23" s="1055"/>
      <c r="CJ23" s="3341">
        <f t="shared" si="39"/>
        <v>0</v>
      </c>
      <c r="CK23" s="3341">
        <f t="shared" si="39"/>
        <v>0</v>
      </c>
      <c r="CL23" s="3349">
        <f t="shared" si="55"/>
        <v>0</v>
      </c>
      <c r="CM23" s="4428">
        <f t="shared" si="40"/>
        <v>0</v>
      </c>
      <c r="CN23" s="1434"/>
      <c r="CP23" s="4618"/>
      <c r="CQ23" s="3765">
        <f t="shared" si="41"/>
        <v>0</v>
      </c>
      <c r="CR23" s="4618">
        <f t="shared" si="56"/>
        <v>0</v>
      </c>
      <c r="CT23" s="2624"/>
    </row>
    <row r="24" spans="1:100" s="1396" customFormat="1" ht="13.8" outlineLevel="2">
      <c r="A24" s="1571"/>
      <c r="B24" s="4430" t="s">
        <v>23</v>
      </c>
      <c r="C24" s="3341"/>
      <c r="D24" s="3341"/>
      <c r="E24" s="3349">
        <f t="shared" si="19"/>
        <v>0</v>
      </c>
      <c r="F24" s="4428" t="e">
        <f t="shared" si="16"/>
        <v>#DIV/0!</v>
      </c>
      <c r="G24" s="3342"/>
      <c r="H24" s="3341"/>
      <c r="I24" s="3341"/>
      <c r="J24" s="3349">
        <f t="shared" si="20"/>
        <v>0</v>
      </c>
      <c r="K24" s="4428" t="e">
        <f t="shared" si="42"/>
        <v>#DIV/0!</v>
      </c>
      <c r="L24" s="3342"/>
      <c r="M24" s="3341"/>
      <c r="N24" s="3341"/>
      <c r="O24" s="3349">
        <f t="shared" si="21"/>
        <v>0</v>
      </c>
      <c r="P24" s="4428" t="e">
        <f t="shared" si="22"/>
        <v>#DIV/0!</v>
      </c>
      <c r="Q24" s="3342"/>
      <c r="R24" s="3342">
        <f t="shared" si="23"/>
        <v>0</v>
      </c>
      <c r="S24" s="3342">
        <f t="shared" si="23"/>
        <v>0</v>
      </c>
      <c r="T24" s="2012">
        <f t="shared" si="24"/>
        <v>0</v>
      </c>
      <c r="U24" s="3342"/>
      <c r="V24" s="3342"/>
      <c r="W24" s="3342">
        <f t="shared" si="25"/>
        <v>0</v>
      </c>
      <c r="X24" s="3342">
        <f t="shared" si="25"/>
        <v>0</v>
      </c>
      <c r="Y24" s="2012">
        <f t="shared" si="26"/>
        <v>0</v>
      </c>
      <c r="Z24" s="3342"/>
      <c r="AA24" s="3342"/>
      <c r="AB24" s="3341"/>
      <c r="AC24" s="3341"/>
      <c r="AD24" s="3349">
        <f t="shared" si="27"/>
        <v>0</v>
      </c>
      <c r="AE24" s="4428">
        <f t="shared" si="43"/>
        <v>0</v>
      </c>
      <c r="AF24" s="3342"/>
      <c r="AG24" s="3341"/>
      <c r="AH24" s="3341"/>
      <c r="AI24" s="3349">
        <f t="shared" si="28"/>
        <v>0</v>
      </c>
      <c r="AJ24" s="4428">
        <f t="shared" si="44"/>
        <v>0</v>
      </c>
      <c r="AK24" s="3342"/>
      <c r="AL24" s="3341"/>
      <c r="AM24" s="3341"/>
      <c r="AN24" s="3349">
        <f t="shared" si="29"/>
        <v>0</v>
      </c>
      <c r="AO24" s="4428">
        <f t="shared" si="45"/>
        <v>0</v>
      </c>
      <c r="AP24" s="3342"/>
      <c r="AQ24" s="3341"/>
      <c r="AR24" s="3341"/>
      <c r="AS24" s="3349">
        <f t="shared" si="30"/>
        <v>0</v>
      </c>
      <c r="AT24" s="4428">
        <f t="shared" si="46"/>
        <v>0</v>
      </c>
      <c r="AU24" s="3342"/>
      <c r="AV24" s="3341"/>
      <c r="AW24" s="3341"/>
      <c r="AX24" s="3349">
        <f t="shared" si="31"/>
        <v>0</v>
      </c>
      <c r="AY24" s="4428">
        <f t="shared" si="47"/>
        <v>0</v>
      </c>
      <c r="AZ24" s="3342"/>
      <c r="BA24" s="3341"/>
      <c r="BB24" s="3341"/>
      <c r="BC24" s="3349">
        <f t="shared" si="32"/>
        <v>0</v>
      </c>
      <c r="BD24" s="4428">
        <f t="shared" si="48"/>
        <v>0</v>
      </c>
      <c r="BE24" s="3342"/>
      <c r="BF24" s="3341"/>
      <c r="BG24" s="3341"/>
      <c r="BH24" s="3349">
        <f t="shared" si="33"/>
        <v>0</v>
      </c>
      <c r="BI24" s="4428" t="e">
        <f t="shared" si="49"/>
        <v>#DIV/0!</v>
      </c>
      <c r="BJ24" s="3342"/>
      <c r="BK24" s="3341"/>
      <c r="BL24" s="3341"/>
      <c r="BM24" s="3349">
        <f t="shared" si="34"/>
        <v>0</v>
      </c>
      <c r="BN24" s="4428" t="e">
        <f t="shared" si="50"/>
        <v>#DIV/0!</v>
      </c>
      <c r="BO24" s="3342"/>
      <c r="BP24" s="3341"/>
      <c r="BQ24" s="3341"/>
      <c r="BR24" s="3349">
        <f t="shared" si="35"/>
        <v>0</v>
      </c>
      <c r="BS24" s="4428" t="e">
        <f t="shared" si="51"/>
        <v>#DIV/0!</v>
      </c>
      <c r="BT24" s="3342"/>
      <c r="BU24" s="3341"/>
      <c r="BV24" s="3341"/>
      <c r="BW24" s="3349">
        <f t="shared" si="36"/>
        <v>0</v>
      </c>
      <c r="BX24" s="4428" t="e">
        <f t="shared" si="52"/>
        <v>#DIV/0!</v>
      </c>
      <c r="BY24" s="3342"/>
      <c r="BZ24" s="3341"/>
      <c r="CA24" s="3341"/>
      <c r="CB24" s="3349">
        <f t="shared" si="37"/>
        <v>0</v>
      </c>
      <c r="CC24" s="4428" t="e">
        <f t="shared" si="53"/>
        <v>#DIV/0!</v>
      </c>
      <c r="CD24" s="3342"/>
      <c r="CE24" s="3341"/>
      <c r="CF24" s="3341"/>
      <c r="CG24" s="3349">
        <f t="shared" si="38"/>
        <v>0</v>
      </c>
      <c r="CH24" s="4428" t="e">
        <f t="shared" si="54"/>
        <v>#DIV/0!</v>
      </c>
      <c r="CI24" s="3342"/>
      <c r="CJ24" s="3341">
        <f t="shared" si="39"/>
        <v>0</v>
      </c>
      <c r="CK24" s="3341">
        <f t="shared" si="39"/>
        <v>0</v>
      </c>
      <c r="CL24" s="3349">
        <f t="shared" si="55"/>
        <v>0</v>
      </c>
      <c r="CM24" s="4428">
        <f t="shared" si="40"/>
        <v>0</v>
      </c>
      <c r="CN24" s="1434"/>
      <c r="CP24" s="4618"/>
      <c r="CQ24" s="3765">
        <f t="shared" si="41"/>
        <v>0</v>
      </c>
      <c r="CR24" s="4618">
        <f t="shared" si="56"/>
        <v>0</v>
      </c>
      <c r="CT24" s="2624"/>
    </row>
    <row r="25" spans="1:100" s="1396" customFormat="1" ht="27.6" outlineLevel="2">
      <c r="A25" s="1571"/>
      <c r="B25" s="4430" t="s">
        <v>24</v>
      </c>
      <c r="C25" s="3341"/>
      <c r="D25" s="3341"/>
      <c r="E25" s="3349">
        <f t="shared" si="19"/>
        <v>0</v>
      </c>
      <c r="F25" s="4428" t="e">
        <f t="shared" si="16"/>
        <v>#DIV/0!</v>
      </c>
      <c r="G25" s="3342"/>
      <c r="H25" s="3341"/>
      <c r="I25" s="3341"/>
      <c r="J25" s="3349">
        <f t="shared" si="20"/>
        <v>0</v>
      </c>
      <c r="K25" s="4428" t="e">
        <f t="shared" si="42"/>
        <v>#DIV/0!</v>
      </c>
      <c r="L25" s="3342"/>
      <c r="M25" s="3341"/>
      <c r="N25" s="3341"/>
      <c r="O25" s="3349">
        <f t="shared" si="21"/>
        <v>0</v>
      </c>
      <c r="P25" s="4428" t="e">
        <f t="shared" si="22"/>
        <v>#DIV/0!</v>
      </c>
      <c r="Q25" s="3342"/>
      <c r="R25" s="3342">
        <f t="shared" si="23"/>
        <v>0</v>
      </c>
      <c r="S25" s="3342">
        <f t="shared" si="23"/>
        <v>0</v>
      </c>
      <c r="T25" s="2012">
        <f t="shared" si="24"/>
        <v>0</v>
      </c>
      <c r="U25" s="3342"/>
      <c r="V25" s="3342"/>
      <c r="W25" s="3342">
        <f t="shared" si="25"/>
        <v>380.98</v>
      </c>
      <c r="X25" s="3342">
        <f t="shared" si="25"/>
        <v>0</v>
      </c>
      <c r="Y25" s="2012">
        <f t="shared" si="26"/>
        <v>380.98</v>
      </c>
      <c r="Z25" s="3342"/>
      <c r="AA25" s="3342"/>
      <c r="AB25" s="3341"/>
      <c r="AC25" s="3341"/>
      <c r="AD25" s="3349">
        <f t="shared" si="27"/>
        <v>0</v>
      </c>
      <c r="AE25" s="4428">
        <f t="shared" si="43"/>
        <v>0</v>
      </c>
      <c r="AF25" s="3342"/>
      <c r="AG25" s="3341">
        <v>380.98</v>
      </c>
      <c r="AH25" s="3341"/>
      <c r="AI25" s="3349">
        <f t="shared" si="28"/>
        <v>380.98</v>
      </c>
      <c r="AJ25" s="4428">
        <f t="shared" si="44"/>
        <v>3.5318432970500146E-3</v>
      </c>
      <c r="AK25" s="3342" t="s">
        <v>1947</v>
      </c>
      <c r="AL25" s="3341"/>
      <c r="AM25" s="3341"/>
      <c r="AN25" s="3349">
        <f t="shared" si="29"/>
        <v>0</v>
      </c>
      <c r="AO25" s="4428">
        <f t="shared" si="45"/>
        <v>0</v>
      </c>
      <c r="AP25" s="3342"/>
      <c r="AQ25" s="3341"/>
      <c r="AR25" s="3341"/>
      <c r="AS25" s="3349">
        <f t="shared" si="30"/>
        <v>0</v>
      </c>
      <c r="AT25" s="4428">
        <f t="shared" si="46"/>
        <v>0</v>
      </c>
      <c r="AU25" s="3342"/>
      <c r="AV25" s="3341"/>
      <c r="AW25" s="3341"/>
      <c r="AX25" s="3349">
        <f t="shared" si="31"/>
        <v>0</v>
      </c>
      <c r="AY25" s="4428">
        <f t="shared" si="47"/>
        <v>0</v>
      </c>
      <c r="AZ25" s="3342"/>
      <c r="BA25" s="3341"/>
      <c r="BB25" s="3341"/>
      <c r="BC25" s="3349">
        <f t="shared" si="32"/>
        <v>0</v>
      </c>
      <c r="BD25" s="4428">
        <f t="shared" si="48"/>
        <v>0</v>
      </c>
      <c r="BE25" s="3342"/>
      <c r="BF25" s="3341"/>
      <c r="BG25" s="3341"/>
      <c r="BH25" s="3349">
        <f t="shared" si="33"/>
        <v>0</v>
      </c>
      <c r="BI25" s="4428" t="e">
        <f t="shared" si="49"/>
        <v>#DIV/0!</v>
      </c>
      <c r="BJ25" s="3342"/>
      <c r="BK25" s="3341"/>
      <c r="BL25" s="3341"/>
      <c r="BM25" s="3349">
        <f t="shared" si="34"/>
        <v>0</v>
      </c>
      <c r="BN25" s="4428" t="e">
        <f t="shared" si="50"/>
        <v>#DIV/0!</v>
      </c>
      <c r="BO25" s="3342"/>
      <c r="BP25" s="3341"/>
      <c r="BQ25" s="3341"/>
      <c r="BR25" s="3349">
        <f t="shared" si="35"/>
        <v>0</v>
      </c>
      <c r="BS25" s="4428" t="e">
        <f t="shared" si="51"/>
        <v>#DIV/0!</v>
      </c>
      <c r="BT25" s="3342"/>
      <c r="BU25" s="3341"/>
      <c r="BV25" s="3341"/>
      <c r="BW25" s="3349">
        <f t="shared" si="36"/>
        <v>0</v>
      </c>
      <c r="BX25" s="4428" t="e">
        <f t="shared" si="52"/>
        <v>#DIV/0!</v>
      </c>
      <c r="BY25" s="3342"/>
      <c r="BZ25" s="3341"/>
      <c r="CA25" s="3341"/>
      <c r="CB25" s="3349">
        <f t="shared" si="37"/>
        <v>0</v>
      </c>
      <c r="CC25" s="4428" t="e">
        <f t="shared" si="53"/>
        <v>#DIV/0!</v>
      </c>
      <c r="CD25" s="3342"/>
      <c r="CE25" s="3341"/>
      <c r="CF25" s="3341"/>
      <c r="CG25" s="3349">
        <f t="shared" si="38"/>
        <v>0</v>
      </c>
      <c r="CH25" s="4428" t="e">
        <f t="shared" si="54"/>
        <v>#DIV/0!</v>
      </c>
      <c r="CI25" s="3342"/>
      <c r="CJ25" s="3341">
        <f t="shared" si="39"/>
        <v>380.98</v>
      </c>
      <c r="CK25" s="3341">
        <f t="shared" si="39"/>
        <v>0</v>
      </c>
      <c r="CL25" s="3349">
        <f t="shared" si="55"/>
        <v>380.98</v>
      </c>
      <c r="CM25" s="4428">
        <f t="shared" si="40"/>
        <v>1.9568161226245877E-3</v>
      </c>
      <c r="CN25" s="1434"/>
      <c r="CP25" s="4618">
        <f>8523.456*CT4</f>
        <v>144898.75200000001</v>
      </c>
      <c r="CQ25" s="3765">
        <f>CL25</f>
        <v>380.98</v>
      </c>
      <c r="CR25" s="4618">
        <f t="shared" si="56"/>
        <v>144517.772</v>
      </c>
      <c r="CS25" s="3305"/>
      <c r="CT25" s="2624">
        <v>20320.8</v>
      </c>
      <c r="CU25" s="4832" t="s">
        <v>2175</v>
      </c>
    </row>
    <row r="26" spans="1:100" s="1396" customFormat="1" ht="27.6" outlineLevel="2">
      <c r="A26" s="1571"/>
      <c r="B26" s="4430" t="s">
        <v>45</v>
      </c>
      <c r="C26" s="3341"/>
      <c r="D26" s="3341"/>
      <c r="E26" s="3349">
        <f t="shared" si="19"/>
        <v>0</v>
      </c>
      <c r="F26" s="4428" t="e">
        <f t="shared" si="16"/>
        <v>#DIV/0!</v>
      </c>
      <c r="G26" s="3342"/>
      <c r="H26" s="3341"/>
      <c r="I26" s="3341"/>
      <c r="J26" s="3349">
        <f t="shared" si="20"/>
        <v>0</v>
      </c>
      <c r="K26" s="4428" t="e">
        <f t="shared" si="42"/>
        <v>#DIV/0!</v>
      </c>
      <c r="L26" s="3342"/>
      <c r="M26" s="3341"/>
      <c r="N26" s="3341"/>
      <c r="O26" s="3349">
        <f t="shared" si="21"/>
        <v>0</v>
      </c>
      <c r="P26" s="4428" t="e">
        <f t="shared" si="22"/>
        <v>#DIV/0!</v>
      </c>
      <c r="Q26" s="3342"/>
      <c r="R26" s="3342">
        <f t="shared" si="23"/>
        <v>0</v>
      </c>
      <c r="S26" s="3342">
        <f t="shared" si="23"/>
        <v>0</v>
      </c>
      <c r="T26" s="2012">
        <f t="shared" si="24"/>
        <v>0</v>
      </c>
      <c r="U26" s="3342"/>
      <c r="V26" s="3342"/>
      <c r="W26" s="3342">
        <f t="shared" si="25"/>
        <v>358.6</v>
      </c>
      <c r="X26" s="3342">
        <f t="shared" si="25"/>
        <v>0</v>
      </c>
      <c r="Y26" s="2012">
        <f t="shared" si="26"/>
        <v>358.6</v>
      </c>
      <c r="Z26" s="3342"/>
      <c r="AA26" s="3342"/>
      <c r="AB26" s="3341"/>
      <c r="AC26" s="3341"/>
      <c r="AD26" s="3349">
        <f t="shared" si="27"/>
        <v>0</v>
      </c>
      <c r="AE26" s="4428">
        <f t="shared" si="43"/>
        <v>0</v>
      </c>
      <c r="AF26" s="3342"/>
      <c r="AG26" s="3341"/>
      <c r="AH26" s="3341"/>
      <c r="AI26" s="3349">
        <f t="shared" si="28"/>
        <v>0</v>
      </c>
      <c r="AJ26" s="4428">
        <f t="shared" si="44"/>
        <v>0</v>
      </c>
      <c r="AK26" s="3342"/>
      <c r="AL26" s="3341"/>
      <c r="AM26" s="3341"/>
      <c r="AN26" s="3349">
        <f t="shared" si="29"/>
        <v>0</v>
      </c>
      <c r="AO26" s="4428">
        <f t="shared" si="45"/>
        <v>0</v>
      </c>
      <c r="AP26" s="3342"/>
      <c r="AQ26" s="3341"/>
      <c r="AR26" s="3341"/>
      <c r="AS26" s="3349">
        <f t="shared" si="30"/>
        <v>0</v>
      </c>
      <c r="AT26" s="4428">
        <f t="shared" si="46"/>
        <v>0</v>
      </c>
      <c r="AU26" s="3342"/>
      <c r="AV26" s="3341"/>
      <c r="AW26" s="3341"/>
      <c r="AX26" s="3349">
        <f t="shared" si="31"/>
        <v>0</v>
      </c>
      <c r="AY26" s="4428">
        <f t="shared" si="47"/>
        <v>0</v>
      </c>
      <c r="AZ26" s="3342"/>
      <c r="BA26" s="3341">
        <v>358.6</v>
      </c>
      <c r="BB26" s="3341"/>
      <c r="BC26" s="3349">
        <f t="shared" si="32"/>
        <v>358.6</v>
      </c>
      <c r="BD26" s="4428">
        <f t="shared" si="48"/>
        <v>2.0748388146781954E-2</v>
      </c>
      <c r="BE26" s="3342" t="s">
        <v>2154</v>
      </c>
      <c r="BF26" s="3341"/>
      <c r="BG26" s="3341"/>
      <c r="BH26" s="3349">
        <f t="shared" si="33"/>
        <v>0</v>
      </c>
      <c r="BI26" s="4428" t="e">
        <f t="shared" si="49"/>
        <v>#DIV/0!</v>
      </c>
      <c r="BJ26" s="3342"/>
      <c r="BK26" s="3341"/>
      <c r="BL26" s="3341"/>
      <c r="BM26" s="3349">
        <f t="shared" si="34"/>
        <v>0</v>
      </c>
      <c r="BN26" s="4428" t="e">
        <f t="shared" si="50"/>
        <v>#DIV/0!</v>
      </c>
      <c r="BO26" s="3342"/>
      <c r="BP26" s="3341"/>
      <c r="BQ26" s="3341"/>
      <c r="BR26" s="3349">
        <f t="shared" si="35"/>
        <v>0</v>
      </c>
      <c r="BS26" s="4428" t="e">
        <f t="shared" si="51"/>
        <v>#DIV/0!</v>
      </c>
      <c r="BT26" s="3342"/>
      <c r="BU26" s="3341"/>
      <c r="BV26" s="3341"/>
      <c r="BW26" s="3349">
        <f t="shared" si="36"/>
        <v>0</v>
      </c>
      <c r="BX26" s="4428" t="e">
        <f t="shared" si="52"/>
        <v>#DIV/0!</v>
      </c>
      <c r="BY26" s="3342"/>
      <c r="BZ26" s="3341"/>
      <c r="CA26" s="3341"/>
      <c r="CB26" s="3349">
        <f t="shared" si="37"/>
        <v>0</v>
      </c>
      <c r="CC26" s="4428" t="e">
        <f t="shared" si="53"/>
        <v>#DIV/0!</v>
      </c>
      <c r="CD26" s="3342"/>
      <c r="CE26" s="3341"/>
      <c r="CF26" s="3341"/>
      <c r="CG26" s="3349">
        <f t="shared" si="38"/>
        <v>0</v>
      </c>
      <c r="CH26" s="4428" t="e">
        <f t="shared" si="54"/>
        <v>#DIV/0!</v>
      </c>
      <c r="CI26" s="3342"/>
      <c r="CJ26" s="3341">
        <f t="shared" si="39"/>
        <v>358.6</v>
      </c>
      <c r="CK26" s="3341">
        <f t="shared" si="39"/>
        <v>0</v>
      </c>
      <c r="CL26" s="3349">
        <f t="shared" si="55"/>
        <v>358.6</v>
      </c>
      <c r="CM26" s="4428">
        <f t="shared" si="40"/>
        <v>1.8418664013154945E-3</v>
      </c>
      <c r="CN26" s="1434"/>
      <c r="CP26" s="4618">
        <f>(391828.382+168947.962)*CT4</f>
        <v>9533197.8480000012</v>
      </c>
      <c r="CQ26" s="3765">
        <f>CL26</f>
        <v>358.6</v>
      </c>
      <c r="CR26" s="4618">
        <f t="shared" si="56"/>
        <v>9532839.2480000015</v>
      </c>
      <c r="CS26" s="3305"/>
      <c r="CT26" s="2624">
        <v>357164.3</v>
      </c>
      <c r="CU26" s="4832" t="s">
        <v>2175</v>
      </c>
    </row>
    <row r="27" spans="1:100" s="1396" customFormat="1" ht="13.8" outlineLevel="2">
      <c r="A27" s="1571"/>
      <c r="B27" s="4430" t="s">
        <v>25</v>
      </c>
      <c r="C27" s="3341"/>
      <c r="D27" s="3341"/>
      <c r="E27" s="3349">
        <f t="shared" si="19"/>
        <v>0</v>
      </c>
      <c r="F27" s="4428" t="e">
        <f t="shared" si="16"/>
        <v>#DIV/0!</v>
      </c>
      <c r="G27" s="3342"/>
      <c r="H27" s="3341"/>
      <c r="I27" s="3341"/>
      <c r="J27" s="3349">
        <f t="shared" si="20"/>
        <v>0</v>
      </c>
      <c r="K27" s="4428" t="e">
        <f t="shared" si="42"/>
        <v>#DIV/0!</v>
      </c>
      <c r="L27" s="3342"/>
      <c r="M27" s="3341"/>
      <c r="N27" s="3341"/>
      <c r="O27" s="3349">
        <f t="shared" si="21"/>
        <v>0</v>
      </c>
      <c r="P27" s="4428" t="e">
        <f t="shared" si="22"/>
        <v>#DIV/0!</v>
      </c>
      <c r="Q27" s="3342"/>
      <c r="R27" s="3342">
        <f t="shared" si="23"/>
        <v>0</v>
      </c>
      <c r="S27" s="3342">
        <f t="shared" si="23"/>
        <v>0</v>
      </c>
      <c r="T27" s="2012">
        <f t="shared" si="24"/>
        <v>0</v>
      </c>
      <c r="U27" s="3342"/>
      <c r="V27" s="3342"/>
      <c r="W27" s="3342">
        <f t="shared" si="25"/>
        <v>0</v>
      </c>
      <c r="X27" s="3342">
        <f t="shared" si="25"/>
        <v>0</v>
      </c>
      <c r="Y27" s="2012">
        <f t="shared" si="26"/>
        <v>0</v>
      </c>
      <c r="Z27" s="3342"/>
      <c r="AA27" s="3342"/>
      <c r="AB27" s="3341"/>
      <c r="AC27" s="3341"/>
      <c r="AD27" s="3349">
        <f t="shared" si="27"/>
        <v>0</v>
      </c>
      <c r="AE27" s="4428">
        <f t="shared" si="43"/>
        <v>0</v>
      </c>
      <c r="AF27" s="3342"/>
      <c r="AG27" s="3341"/>
      <c r="AH27" s="3341"/>
      <c r="AI27" s="3349">
        <f t="shared" si="28"/>
        <v>0</v>
      </c>
      <c r="AJ27" s="4428">
        <f t="shared" si="44"/>
        <v>0</v>
      </c>
      <c r="AK27" s="3342"/>
      <c r="AL27" s="3341"/>
      <c r="AM27" s="3341"/>
      <c r="AN27" s="3349">
        <f t="shared" si="29"/>
        <v>0</v>
      </c>
      <c r="AO27" s="4428">
        <f t="shared" si="45"/>
        <v>0</v>
      </c>
      <c r="AP27" s="3342"/>
      <c r="AQ27" s="3341"/>
      <c r="AR27" s="3341"/>
      <c r="AS27" s="3349">
        <f t="shared" si="30"/>
        <v>0</v>
      </c>
      <c r="AT27" s="4428">
        <f t="shared" si="46"/>
        <v>0</v>
      </c>
      <c r="AU27" s="3342"/>
      <c r="AV27" s="3341"/>
      <c r="AW27" s="3341"/>
      <c r="AX27" s="3349">
        <f t="shared" si="31"/>
        <v>0</v>
      </c>
      <c r="AY27" s="4428">
        <f t="shared" si="47"/>
        <v>0</v>
      </c>
      <c r="AZ27" s="3342"/>
      <c r="BA27" s="3341"/>
      <c r="BB27" s="3341"/>
      <c r="BC27" s="3349">
        <f t="shared" si="32"/>
        <v>0</v>
      </c>
      <c r="BD27" s="4428">
        <f t="shared" si="48"/>
        <v>0</v>
      </c>
      <c r="BE27" s="3342"/>
      <c r="BF27" s="3341"/>
      <c r="BG27" s="3341"/>
      <c r="BH27" s="3349">
        <f t="shared" si="33"/>
        <v>0</v>
      </c>
      <c r="BI27" s="4428" t="e">
        <f t="shared" si="49"/>
        <v>#DIV/0!</v>
      </c>
      <c r="BJ27" s="3342"/>
      <c r="BK27" s="3341"/>
      <c r="BL27" s="3341"/>
      <c r="BM27" s="3349">
        <f t="shared" si="34"/>
        <v>0</v>
      </c>
      <c r="BN27" s="4428" t="e">
        <f t="shared" si="50"/>
        <v>#DIV/0!</v>
      </c>
      <c r="BO27" s="3342"/>
      <c r="BP27" s="3341"/>
      <c r="BQ27" s="3341"/>
      <c r="BR27" s="3349">
        <f t="shared" si="35"/>
        <v>0</v>
      </c>
      <c r="BS27" s="4428" t="e">
        <f t="shared" si="51"/>
        <v>#DIV/0!</v>
      </c>
      <c r="BT27" s="3342"/>
      <c r="BU27" s="3341"/>
      <c r="BV27" s="3341"/>
      <c r="BW27" s="3349">
        <f t="shared" si="36"/>
        <v>0</v>
      </c>
      <c r="BX27" s="4428" t="e">
        <f t="shared" si="52"/>
        <v>#DIV/0!</v>
      </c>
      <c r="BY27" s="3342"/>
      <c r="BZ27" s="3341"/>
      <c r="CA27" s="3341"/>
      <c r="CB27" s="3349">
        <f t="shared" si="37"/>
        <v>0</v>
      </c>
      <c r="CC27" s="4428" t="e">
        <f t="shared" si="53"/>
        <v>#DIV/0!</v>
      </c>
      <c r="CD27" s="3342"/>
      <c r="CE27" s="3341"/>
      <c r="CF27" s="3341"/>
      <c r="CG27" s="3349">
        <f t="shared" si="38"/>
        <v>0</v>
      </c>
      <c r="CH27" s="4428" t="e">
        <f t="shared" si="54"/>
        <v>#DIV/0!</v>
      </c>
      <c r="CI27" s="3342"/>
      <c r="CJ27" s="3341">
        <f t="shared" si="39"/>
        <v>0</v>
      </c>
      <c r="CK27" s="3341">
        <f t="shared" si="39"/>
        <v>0</v>
      </c>
      <c r="CL27" s="3349">
        <f t="shared" si="55"/>
        <v>0</v>
      </c>
      <c r="CM27" s="4428">
        <f t="shared" si="40"/>
        <v>0</v>
      </c>
      <c r="CN27" s="1434"/>
      <c r="CP27" s="4618"/>
      <c r="CQ27" s="3765">
        <f t="shared" si="41"/>
        <v>0</v>
      </c>
      <c r="CR27" s="4618">
        <f t="shared" si="56"/>
        <v>0</v>
      </c>
      <c r="CT27" s="3443"/>
    </row>
    <row r="28" spans="1:100" s="1396" customFormat="1" ht="13.8" outlineLevel="2">
      <c r="A28" s="1571"/>
      <c r="B28" s="4430" t="s">
        <v>52</v>
      </c>
      <c r="C28" s="3341"/>
      <c r="D28" s="3341"/>
      <c r="E28" s="3349">
        <f t="shared" si="19"/>
        <v>0</v>
      </c>
      <c r="F28" s="4428" t="e">
        <f t="shared" si="16"/>
        <v>#DIV/0!</v>
      </c>
      <c r="G28" s="3342"/>
      <c r="H28" s="3341"/>
      <c r="I28" s="3341"/>
      <c r="J28" s="3349">
        <f t="shared" si="20"/>
        <v>0</v>
      </c>
      <c r="K28" s="4428" t="e">
        <f t="shared" si="42"/>
        <v>#DIV/0!</v>
      </c>
      <c r="L28" s="3342"/>
      <c r="M28" s="3341"/>
      <c r="N28" s="3341"/>
      <c r="O28" s="3349">
        <f t="shared" si="21"/>
        <v>0</v>
      </c>
      <c r="P28" s="4428" t="e">
        <f t="shared" si="22"/>
        <v>#DIV/0!</v>
      </c>
      <c r="Q28" s="3409"/>
      <c r="R28" s="3342">
        <f t="shared" si="23"/>
        <v>0</v>
      </c>
      <c r="S28" s="3342">
        <f t="shared" si="23"/>
        <v>0</v>
      </c>
      <c r="T28" s="2012">
        <f t="shared" si="24"/>
        <v>0</v>
      </c>
      <c r="U28" s="3409"/>
      <c r="V28" s="3409"/>
      <c r="W28" s="3342">
        <f t="shared" si="25"/>
        <v>0</v>
      </c>
      <c r="X28" s="3342">
        <f t="shared" si="25"/>
        <v>0</v>
      </c>
      <c r="Y28" s="2012">
        <f t="shared" si="26"/>
        <v>0</v>
      </c>
      <c r="Z28" s="3409"/>
      <c r="AA28" s="3409"/>
      <c r="AB28" s="3341"/>
      <c r="AC28" s="3341"/>
      <c r="AD28" s="3349">
        <f t="shared" si="27"/>
        <v>0</v>
      </c>
      <c r="AE28" s="4428">
        <f t="shared" si="43"/>
        <v>0</v>
      </c>
      <c r="AF28" s="3409"/>
      <c r="AG28" s="3341"/>
      <c r="AH28" s="3341"/>
      <c r="AI28" s="3349">
        <f t="shared" si="28"/>
        <v>0</v>
      </c>
      <c r="AJ28" s="4428">
        <f t="shared" si="44"/>
        <v>0</v>
      </c>
      <c r="AK28" s="3409"/>
      <c r="AL28" s="3341"/>
      <c r="AM28" s="3341"/>
      <c r="AN28" s="3349">
        <f t="shared" si="29"/>
        <v>0</v>
      </c>
      <c r="AO28" s="4428">
        <f t="shared" si="45"/>
        <v>0</v>
      </c>
      <c r="AP28" s="3409"/>
      <c r="AQ28" s="3341"/>
      <c r="AR28" s="3341"/>
      <c r="AS28" s="3349">
        <f t="shared" si="30"/>
        <v>0</v>
      </c>
      <c r="AT28" s="4428">
        <f t="shared" si="46"/>
        <v>0</v>
      </c>
      <c r="AU28" s="3409"/>
      <c r="AV28" s="3341"/>
      <c r="AW28" s="3341"/>
      <c r="AX28" s="3349">
        <f t="shared" si="31"/>
        <v>0</v>
      </c>
      <c r="AY28" s="4428">
        <f t="shared" si="47"/>
        <v>0</v>
      </c>
      <c r="AZ28" s="3409"/>
      <c r="BA28" s="3341"/>
      <c r="BB28" s="3341"/>
      <c r="BC28" s="3349">
        <f t="shared" si="32"/>
        <v>0</v>
      </c>
      <c r="BD28" s="4428">
        <f t="shared" si="48"/>
        <v>0</v>
      </c>
      <c r="BE28" s="3409"/>
      <c r="BF28" s="3341"/>
      <c r="BG28" s="3341"/>
      <c r="BH28" s="3349">
        <f t="shared" si="33"/>
        <v>0</v>
      </c>
      <c r="BI28" s="4428" t="e">
        <f t="shared" si="49"/>
        <v>#DIV/0!</v>
      </c>
      <c r="BJ28" s="3409"/>
      <c r="BK28" s="3341"/>
      <c r="BL28" s="3341"/>
      <c r="BM28" s="3349">
        <f t="shared" si="34"/>
        <v>0</v>
      </c>
      <c r="BN28" s="4428" t="e">
        <f t="shared" si="50"/>
        <v>#DIV/0!</v>
      </c>
      <c r="BO28" s="3409"/>
      <c r="BP28" s="3341"/>
      <c r="BQ28" s="3341"/>
      <c r="BR28" s="3349">
        <f t="shared" si="35"/>
        <v>0</v>
      </c>
      <c r="BS28" s="4428" t="e">
        <f t="shared" si="51"/>
        <v>#DIV/0!</v>
      </c>
      <c r="BT28" s="3409"/>
      <c r="BU28" s="3341"/>
      <c r="BV28" s="3341"/>
      <c r="BW28" s="3349">
        <f t="shared" si="36"/>
        <v>0</v>
      </c>
      <c r="BX28" s="4428" t="e">
        <f t="shared" si="52"/>
        <v>#DIV/0!</v>
      </c>
      <c r="BY28" s="3409"/>
      <c r="BZ28" s="3341"/>
      <c r="CA28" s="3341"/>
      <c r="CB28" s="3349">
        <f t="shared" si="37"/>
        <v>0</v>
      </c>
      <c r="CC28" s="4428" t="e">
        <f t="shared" si="53"/>
        <v>#DIV/0!</v>
      </c>
      <c r="CD28" s="3409"/>
      <c r="CE28" s="3341"/>
      <c r="CF28" s="3341"/>
      <c r="CG28" s="3349">
        <f t="shared" si="38"/>
        <v>0</v>
      </c>
      <c r="CH28" s="4428" t="e">
        <f t="shared" si="54"/>
        <v>#DIV/0!</v>
      </c>
      <c r="CI28" s="3409"/>
      <c r="CJ28" s="3341">
        <f t="shared" si="39"/>
        <v>0</v>
      </c>
      <c r="CK28" s="3341">
        <f t="shared" si="39"/>
        <v>0</v>
      </c>
      <c r="CL28" s="3349">
        <f t="shared" si="55"/>
        <v>0</v>
      </c>
      <c r="CM28" s="4428">
        <f t="shared" si="40"/>
        <v>0</v>
      </c>
      <c r="CN28" s="1434"/>
      <c r="CP28" s="4618">
        <f>50000*CT4</f>
        <v>850000</v>
      </c>
      <c r="CQ28" s="3765">
        <f t="shared" si="41"/>
        <v>0</v>
      </c>
      <c r="CR28" s="4618">
        <f t="shared" si="56"/>
        <v>850000</v>
      </c>
      <c r="CS28" s="3307"/>
      <c r="CT28" s="3443"/>
    </row>
    <row r="29" spans="1:100" s="1396" customFormat="1" ht="13.8" outlineLevel="2">
      <c r="A29" s="1571"/>
      <c r="B29" s="4430" t="s">
        <v>31</v>
      </c>
      <c r="C29" s="3341"/>
      <c r="D29" s="3341"/>
      <c r="E29" s="3349">
        <f t="shared" si="19"/>
        <v>0</v>
      </c>
      <c r="F29" s="4428" t="e">
        <f t="shared" si="16"/>
        <v>#DIV/0!</v>
      </c>
      <c r="G29" s="3342"/>
      <c r="H29" s="3341"/>
      <c r="I29" s="3341"/>
      <c r="J29" s="3349">
        <f t="shared" si="20"/>
        <v>0</v>
      </c>
      <c r="K29" s="4428" t="e">
        <f t="shared" si="42"/>
        <v>#DIV/0!</v>
      </c>
      <c r="L29" s="3342"/>
      <c r="M29" s="3341"/>
      <c r="N29" s="3341"/>
      <c r="O29" s="3349">
        <f t="shared" si="21"/>
        <v>0</v>
      </c>
      <c r="P29" s="4428" t="e">
        <f t="shared" si="22"/>
        <v>#DIV/0!</v>
      </c>
      <c r="Q29" s="3342"/>
      <c r="R29" s="3342">
        <f t="shared" si="23"/>
        <v>0</v>
      </c>
      <c r="S29" s="3342">
        <f t="shared" si="23"/>
        <v>0</v>
      </c>
      <c r="T29" s="2012">
        <f t="shared" si="24"/>
        <v>0</v>
      </c>
      <c r="U29" s="3342"/>
      <c r="V29" s="3342"/>
      <c r="W29" s="3342">
        <f t="shared" si="25"/>
        <v>0</v>
      </c>
      <c r="X29" s="3342">
        <f t="shared" si="25"/>
        <v>0</v>
      </c>
      <c r="Y29" s="2012">
        <f t="shared" si="26"/>
        <v>0</v>
      </c>
      <c r="Z29" s="3342"/>
      <c r="AA29" s="3342"/>
      <c r="AB29" s="3341"/>
      <c r="AC29" s="3341"/>
      <c r="AD29" s="3349">
        <f t="shared" si="27"/>
        <v>0</v>
      </c>
      <c r="AE29" s="4428">
        <f t="shared" si="43"/>
        <v>0</v>
      </c>
      <c r="AF29" s="3342"/>
      <c r="AG29" s="3341"/>
      <c r="AH29" s="3341"/>
      <c r="AI29" s="3349">
        <f t="shared" si="28"/>
        <v>0</v>
      </c>
      <c r="AJ29" s="4428">
        <f t="shared" si="44"/>
        <v>0</v>
      </c>
      <c r="AK29" s="3342"/>
      <c r="AL29" s="3341"/>
      <c r="AM29" s="3341"/>
      <c r="AN29" s="3349">
        <f t="shared" si="29"/>
        <v>0</v>
      </c>
      <c r="AO29" s="4428">
        <f t="shared" si="45"/>
        <v>0</v>
      </c>
      <c r="AP29" s="3342"/>
      <c r="AQ29" s="3341"/>
      <c r="AR29" s="3341"/>
      <c r="AS29" s="3349">
        <f t="shared" si="30"/>
        <v>0</v>
      </c>
      <c r="AT29" s="4428">
        <f t="shared" si="46"/>
        <v>0</v>
      </c>
      <c r="AU29" s="3342"/>
      <c r="AV29" s="3341"/>
      <c r="AW29" s="3341"/>
      <c r="AX29" s="3349">
        <f t="shared" si="31"/>
        <v>0</v>
      </c>
      <c r="AY29" s="4428">
        <f t="shared" si="47"/>
        <v>0</v>
      </c>
      <c r="AZ29" s="3342"/>
      <c r="BA29" s="3341"/>
      <c r="BB29" s="3341"/>
      <c r="BC29" s="3349">
        <f t="shared" si="32"/>
        <v>0</v>
      </c>
      <c r="BD29" s="4428">
        <f t="shared" si="48"/>
        <v>0</v>
      </c>
      <c r="BE29" s="3342"/>
      <c r="BF29" s="3341"/>
      <c r="BG29" s="3341"/>
      <c r="BH29" s="3349">
        <f t="shared" si="33"/>
        <v>0</v>
      </c>
      <c r="BI29" s="4428" t="e">
        <f t="shared" si="49"/>
        <v>#DIV/0!</v>
      </c>
      <c r="BJ29" s="3342"/>
      <c r="BK29" s="3341"/>
      <c r="BL29" s="3341"/>
      <c r="BM29" s="3349">
        <f t="shared" si="34"/>
        <v>0</v>
      </c>
      <c r="BN29" s="4428" t="e">
        <f t="shared" si="50"/>
        <v>#DIV/0!</v>
      </c>
      <c r="BO29" s="3342"/>
      <c r="BP29" s="3341"/>
      <c r="BQ29" s="3341"/>
      <c r="BR29" s="3349">
        <f t="shared" si="35"/>
        <v>0</v>
      </c>
      <c r="BS29" s="4428" t="e">
        <f t="shared" si="51"/>
        <v>#DIV/0!</v>
      </c>
      <c r="BT29" s="3342"/>
      <c r="BU29" s="3341"/>
      <c r="BV29" s="3341"/>
      <c r="BW29" s="3349">
        <f t="shared" si="36"/>
        <v>0</v>
      </c>
      <c r="BX29" s="4428" t="e">
        <f t="shared" si="52"/>
        <v>#DIV/0!</v>
      </c>
      <c r="BY29" s="3342"/>
      <c r="BZ29" s="3341"/>
      <c r="CA29" s="3341"/>
      <c r="CB29" s="3349">
        <f t="shared" si="37"/>
        <v>0</v>
      </c>
      <c r="CC29" s="4428" t="e">
        <f t="shared" si="53"/>
        <v>#DIV/0!</v>
      </c>
      <c r="CD29" s="3342"/>
      <c r="CE29" s="3341"/>
      <c r="CF29" s="3341"/>
      <c r="CG29" s="3349">
        <f t="shared" si="38"/>
        <v>0</v>
      </c>
      <c r="CH29" s="4428" t="e">
        <f t="shared" si="54"/>
        <v>#DIV/0!</v>
      </c>
      <c r="CI29" s="3342"/>
      <c r="CJ29" s="3341">
        <f t="shared" si="39"/>
        <v>0</v>
      </c>
      <c r="CK29" s="3341">
        <f t="shared" si="39"/>
        <v>0</v>
      </c>
      <c r="CL29" s="3349">
        <f t="shared" si="55"/>
        <v>0</v>
      </c>
      <c r="CM29" s="4428">
        <f t="shared" si="40"/>
        <v>0</v>
      </c>
      <c r="CN29" s="4432"/>
      <c r="CP29" s="4618"/>
      <c r="CQ29" s="3765">
        <f t="shared" si="41"/>
        <v>0</v>
      </c>
      <c r="CR29" s="4618">
        <f t="shared" si="56"/>
        <v>0</v>
      </c>
      <c r="CT29" s="2624"/>
    </row>
    <row r="30" spans="1:100" s="1396" customFormat="1" ht="13.8" outlineLevel="2">
      <c r="A30" s="1571"/>
      <c r="B30" s="4430" t="s">
        <v>62</v>
      </c>
      <c r="C30" s="3341"/>
      <c r="D30" s="3341"/>
      <c r="E30" s="3349">
        <f t="shared" si="19"/>
        <v>0</v>
      </c>
      <c r="F30" s="4428" t="e">
        <f t="shared" si="16"/>
        <v>#DIV/0!</v>
      </c>
      <c r="G30" s="3343"/>
      <c r="H30" s="3341"/>
      <c r="I30" s="3341"/>
      <c r="J30" s="3349">
        <f t="shared" si="20"/>
        <v>0</v>
      </c>
      <c r="K30" s="4428" t="e">
        <f t="shared" si="42"/>
        <v>#DIV/0!</v>
      </c>
      <c r="L30" s="3343"/>
      <c r="M30" s="3341"/>
      <c r="N30" s="3341"/>
      <c r="O30" s="3349">
        <f t="shared" si="21"/>
        <v>0</v>
      </c>
      <c r="P30" s="4428" t="e">
        <f t="shared" si="22"/>
        <v>#DIV/0!</v>
      </c>
      <c r="Q30" s="3342"/>
      <c r="R30" s="3342">
        <f t="shared" si="23"/>
        <v>0</v>
      </c>
      <c r="S30" s="3342">
        <f t="shared" si="23"/>
        <v>0</v>
      </c>
      <c r="T30" s="2012">
        <f t="shared" si="24"/>
        <v>0</v>
      </c>
      <c r="U30" s="3342"/>
      <c r="V30" s="3342"/>
      <c r="W30" s="3342">
        <f t="shared" si="25"/>
        <v>0</v>
      </c>
      <c r="X30" s="3342">
        <f t="shared" si="25"/>
        <v>0</v>
      </c>
      <c r="Y30" s="2012">
        <f t="shared" si="26"/>
        <v>0</v>
      </c>
      <c r="Z30" s="3342"/>
      <c r="AA30" s="3342"/>
      <c r="AB30" s="3341"/>
      <c r="AC30" s="3341"/>
      <c r="AD30" s="3349">
        <f t="shared" si="27"/>
        <v>0</v>
      </c>
      <c r="AE30" s="4428">
        <f t="shared" si="43"/>
        <v>0</v>
      </c>
      <c r="AF30" s="3342"/>
      <c r="AG30" s="3341"/>
      <c r="AH30" s="3341"/>
      <c r="AI30" s="3349">
        <f t="shared" si="28"/>
        <v>0</v>
      </c>
      <c r="AJ30" s="4428">
        <f t="shared" si="44"/>
        <v>0</v>
      </c>
      <c r="AK30" s="3342"/>
      <c r="AL30" s="3341"/>
      <c r="AM30" s="3341"/>
      <c r="AN30" s="3349">
        <f t="shared" si="29"/>
        <v>0</v>
      </c>
      <c r="AO30" s="4428">
        <f t="shared" si="45"/>
        <v>0</v>
      </c>
      <c r="AP30" s="3342"/>
      <c r="AQ30" s="3341"/>
      <c r="AR30" s="3341"/>
      <c r="AS30" s="3349">
        <f t="shared" si="30"/>
        <v>0</v>
      </c>
      <c r="AT30" s="4428">
        <f t="shared" si="46"/>
        <v>0</v>
      </c>
      <c r="AU30" s="3342"/>
      <c r="AV30" s="3341"/>
      <c r="AW30" s="3341"/>
      <c r="AX30" s="3349">
        <f t="shared" si="31"/>
        <v>0</v>
      </c>
      <c r="AY30" s="4428">
        <f t="shared" si="47"/>
        <v>0</v>
      </c>
      <c r="AZ30" s="3342"/>
      <c r="BA30" s="3341"/>
      <c r="BB30" s="3341"/>
      <c r="BC30" s="3349">
        <f t="shared" si="32"/>
        <v>0</v>
      </c>
      <c r="BD30" s="4428">
        <f t="shared" si="48"/>
        <v>0</v>
      </c>
      <c r="BE30" s="3342"/>
      <c r="BF30" s="3341"/>
      <c r="BG30" s="3341"/>
      <c r="BH30" s="3349">
        <f t="shared" si="33"/>
        <v>0</v>
      </c>
      <c r="BI30" s="4428" t="e">
        <f t="shared" si="49"/>
        <v>#DIV/0!</v>
      </c>
      <c r="BJ30" s="3342"/>
      <c r="BK30" s="3341"/>
      <c r="BL30" s="3341"/>
      <c r="BM30" s="3349">
        <f t="shared" si="34"/>
        <v>0</v>
      </c>
      <c r="BN30" s="4428" t="e">
        <f t="shared" si="50"/>
        <v>#DIV/0!</v>
      </c>
      <c r="BO30" s="3342"/>
      <c r="BP30" s="3341"/>
      <c r="BQ30" s="3341"/>
      <c r="BR30" s="3349">
        <f t="shared" si="35"/>
        <v>0</v>
      </c>
      <c r="BS30" s="4428" t="e">
        <f t="shared" si="51"/>
        <v>#DIV/0!</v>
      </c>
      <c r="BT30" s="3342"/>
      <c r="BU30" s="3341"/>
      <c r="BV30" s="3341"/>
      <c r="BW30" s="3349">
        <f t="shared" si="36"/>
        <v>0</v>
      </c>
      <c r="BX30" s="4428" t="e">
        <f t="shared" si="52"/>
        <v>#DIV/0!</v>
      </c>
      <c r="BY30" s="3342"/>
      <c r="BZ30" s="3341"/>
      <c r="CA30" s="3341"/>
      <c r="CB30" s="3349">
        <f t="shared" si="37"/>
        <v>0</v>
      </c>
      <c r="CC30" s="4428" t="e">
        <f t="shared" si="53"/>
        <v>#DIV/0!</v>
      </c>
      <c r="CD30" s="3342"/>
      <c r="CE30" s="3341"/>
      <c r="CF30" s="3341"/>
      <c r="CG30" s="3349">
        <f t="shared" si="38"/>
        <v>0</v>
      </c>
      <c r="CH30" s="4428" t="e">
        <f t="shared" si="54"/>
        <v>#DIV/0!</v>
      </c>
      <c r="CI30" s="3342"/>
      <c r="CJ30" s="3341">
        <f t="shared" si="39"/>
        <v>0</v>
      </c>
      <c r="CK30" s="3341">
        <f t="shared" si="39"/>
        <v>0</v>
      </c>
      <c r="CL30" s="3349">
        <f t="shared" si="55"/>
        <v>0</v>
      </c>
      <c r="CM30" s="4428">
        <f t="shared" si="40"/>
        <v>0</v>
      </c>
      <c r="CN30" s="4432"/>
      <c r="CP30" s="4618">
        <f>920*CT4</f>
        <v>15640</v>
      </c>
      <c r="CQ30" s="3765">
        <f t="shared" si="41"/>
        <v>0</v>
      </c>
      <c r="CR30" s="4618">
        <f t="shared" si="56"/>
        <v>15640</v>
      </c>
      <c r="CS30" s="3307"/>
      <c r="CT30" s="3443"/>
      <c r="CU30" s="3778" t="s">
        <v>1450</v>
      </c>
    </row>
    <row r="31" spans="1:100" s="1396" customFormat="1" ht="27.6" outlineLevel="2">
      <c r="A31" s="1571"/>
      <c r="B31" s="4430" t="s">
        <v>34</v>
      </c>
      <c r="C31" s="3341"/>
      <c r="D31" s="3341"/>
      <c r="E31" s="3349">
        <f t="shared" si="19"/>
        <v>0</v>
      </c>
      <c r="F31" s="4428" t="e">
        <f t="shared" si="16"/>
        <v>#DIV/0!</v>
      </c>
      <c r="G31" s="3343"/>
      <c r="H31" s="3341"/>
      <c r="I31" s="3341"/>
      <c r="J31" s="3349">
        <f t="shared" si="20"/>
        <v>0</v>
      </c>
      <c r="K31" s="4428" t="e">
        <f t="shared" si="42"/>
        <v>#DIV/0!</v>
      </c>
      <c r="L31" s="3343"/>
      <c r="M31" s="3341"/>
      <c r="N31" s="3341"/>
      <c r="O31" s="3349">
        <f t="shared" si="21"/>
        <v>0</v>
      </c>
      <c r="P31" s="4428" t="e">
        <f t="shared" si="22"/>
        <v>#DIV/0!</v>
      </c>
      <c r="Q31" s="3342"/>
      <c r="R31" s="3342">
        <f t="shared" si="23"/>
        <v>0</v>
      </c>
      <c r="S31" s="3342">
        <f t="shared" si="23"/>
        <v>0</v>
      </c>
      <c r="T31" s="2012">
        <f t="shared" si="24"/>
        <v>0</v>
      </c>
      <c r="U31" s="3342"/>
      <c r="V31" s="3342"/>
      <c r="W31" s="3342">
        <f t="shared" si="25"/>
        <v>950</v>
      </c>
      <c r="X31" s="3342">
        <f t="shared" si="25"/>
        <v>0</v>
      </c>
      <c r="Y31" s="2012">
        <f t="shared" si="26"/>
        <v>950</v>
      </c>
      <c r="Z31" s="3342"/>
      <c r="AA31" s="3342"/>
      <c r="AB31" s="3341"/>
      <c r="AC31" s="3341"/>
      <c r="AD31" s="3349">
        <f t="shared" si="27"/>
        <v>0</v>
      </c>
      <c r="AE31" s="4428">
        <f t="shared" si="43"/>
        <v>0</v>
      </c>
      <c r="AF31" s="3342"/>
      <c r="AG31" s="3341"/>
      <c r="AH31" s="3341"/>
      <c r="AI31" s="3349">
        <f t="shared" si="28"/>
        <v>0</v>
      </c>
      <c r="AJ31" s="4428">
        <f t="shared" si="44"/>
        <v>0</v>
      </c>
      <c r="AK31" s="3342"/>
      <c r="AL31" s="3341"/>
      <c r="AM31" s="3341"/>
      <c r="AN31" s="3349">
        <f t="shared" si="29"/>
        <v>0</v>
      </c>
      <c r="AO31" s="4428">
        <f t="shared" si="45"/>
        <v>0</v>
      </c>
      <c r="AP31" s="3342"/>
      <c r="AQ31" s="3341"/>
      <c r="AR31" s="3341"/>
      <c r="AS31" s="3349">
        <f t="shared" si="30"/>
        <v>0</v>
      </c>
      <c r="AT31" s="4428">
        <f t="shared" si="46"/>
        <v>0</v>
      </c>
      <c r="AU31" s="3342"/>
      <c r="AV31" s="3341">
        <v>950</v>
      </c>
      <c r="AW31" s="3341"/>
      <c r="AX31" s="3349">
        <f t="shared" si="31"/>
        <v>950</v>
      </c>
      <c r="AY31" s="4428">
        <f t="shared" si="47"/>
        <v>1</v>
      </c>
      <c r="AZ31" s="3342" t="s">
        <v>2104</v>
      </c>
      <c r="BA31" s="3341"/>
      <c r="BB31" s="3341"/>
      <c r="BC31" s="3349">
        <f t="shared" si="32"/>
        <v>0</v>
      </c>
      <c r="BD31" s="4428">
        <f t="shared" si="48"/>
        <v>0</v>
      </c>
      <c r="BE31" s="3342"/>
      <c r="BF31" s="3341"/>
      <c r="BG31" s="3341"/>
      <c r="BH31" s="3349">
        <f t="shared" si="33"/>
        <v>0</v>
      </c>
      <c r="BI31" s="4428" t="e">
        <f t="shared" si="49"/>
        <v>#DIV/0!</v>
      </c>
      <c r="BJ31" s="3342"/>
      <c r="BK31" s="3341"/>
      <c r="BL31" s="3341"/>
      <c r="BM31" s="3349">
        <f t="shared" si="34"/>
        <v>0</v>
      </c>
      <c r="BN31" s="4428" t="e">
        <f t="shared" si="50"/>
        <v>#DIV/0!</v>
      </c>
      <c r="BO31" s="3342"/>
      <c r="BP31" s="3341"/>
      <c r="BQ31" s="3341"/>
      <c r="BR31" s="3349">
        <f t="shared" si="35"/>
        <v>0</v>
      </c>
      <c r="BS31" s="4428" t="e">
        <f t="shared" si="51"/>
        <v>#DIV/0!</v>
      </c>
      <c r="BT31" s="3342"/>
      <c r="BU31" s="3341"/>
      <c r="BV31" s="3341"/>
      <c r="BW31" s="3349">
        <f t="shared" si="36"/>
        <v>0</v>
      </c>
      <c r="BX31" s="4428" t="e">
        <f t="shared" si="52"/>
        <v>#DIV/0!</v>
      </c>
      <c r="BY31" s="3342"/>
      <c r="BZ31" s="3341"/>
      <c r="CA31" s="3341"/>
      <c r="CB31" s="3349">
        <f t="shared" si="37"/>
        <v>0</v>
      </c>
      <c r="CC31" s="4428" t="e">
        <f t="shared" si="53"/>
        <v>#DIV/0!</v>
      </c>
      <c r="CD31" s="3342"/>
      <c r="CE31" s="3341"/>
      <c r="CF31" s="3341"/>
      <c r="CG31" s="3349">
        <f t="shared" si="38"/>
        <v>0</v>
      </c>
      <c r="CH31" s="4428" t="e">
        <f t="shared" si="54"/>
        <v>#DIV/0!</v>
      </c>
      <c r="CI31" s="3342"/>
      <c r="CJ31" s="3341">
        <f t="shared" si="39"/>
        <v>950</v>
      </c>
      <c r="CK31" s="3341">
        <f t="shared" si="39"/>
        <v>0</v>
      </c>
      <c r="CL31" s="3349">
        <f t="shared" si="55"/>
        <v>950</v>
      </c>
      <c r="CM31" s="4428">
        <f t="shared" si="40"/>
        <v>4.8794564452027877E-3</v>
      </c>
      <c r="CN31" s="4432"/>
      <c r="CP31" s="4618">
        <f>(3000+8000)*CT4</f>
        <v>187000</v>
      </c>
      <c r="CQ31" s="3765">
        <f t="shared" si="41"/>
        <v>950</v>
      </c>
      <c r="CR31" s="4618">
        <f t="shared" si="56"/>
        <v>186050</v>
      </c>
      <c r="CS31" s="3307"/>
      <c r="CT31" s="3443"/>
      <c r="CV31" s="933"/>
    </row>
    <row r="32" spans="1:100" s="1396" customFormat="1" ht="13.8" outlineLevel="2">
      <c r="A32" s="1571"/>
      <c r="B32" s="4433" t="s">
        <v>2</v>
      </c>
      <c r="C32" s="3341"/>
      <c r="D32" s="3341"/>
      <c r="E32" s="3349">
        <f t="shared" si="19"/>
        <v>0</v>
      </c>
      <c r="F32" s="4428" t="e">
        <f t="shared" si="16"/>
        <v>#DIV/0!</v>
      </c>
      <c r="G32" s="4434"/>
      <c r="H32" s="3341"/>
      <c r="I32" s="3341"/>
      <c r="J32" s="3349">
        <f t="shared" si="20"/>
        <v>0</v>
      </c>
      <c r="K32" s="4428" t="e">
        <f t="shared" si="42"/>
        <v>#DIV/0!</v>
      </c>
      <c r="L32" s="4434"/>
      <c r="M32" s="3341"/>
      <c r="N32" s="3341"/>
      <c r="O32" s="3349">
        <f t="shared" si="21"/>
        <v>0</v>
      </c>
      <c r="P32" s="4428" t="e">
        <f t="shared" si="22"/>
        <v>#DIV/0!</v>
      </c>
      <c r="Q32" s="4434"/>
      <c r="R32" s="3342">
        <f t="shared" si="23"/>
        <v>0</v>
      </c>
      <c r="S32" s="3342">
        <f t="shared" si="23"/>
        <v>0</v>
      </c>
      <c r="T32" s="2012">
        <f t="shared" si="24"/>
        <v>0</v>
      </c>
      <c r="U32" s="2048"/>
      <c r="V32" s="2048"/>
      <c r="W32" s="3342">
        <f t="shared" si="25"/>
        <v>0</v>
      </c>
      <c r="X32" s="3342">
        <f t="shared" si="25"/>
        <v>0</v>
      </c>
      <c r="Y32" s="2012">
        <f t="shared" si="26"/>
        <v>0</v>
      </c>
      <c r="Z32" s="2048"/>
      <c r="AA32" s="2048"/>
      <c r="AB32" s="3341"/>
      <c r="AC32" s="3341"/>
      <c r="AD32" s="3349">
        <f t="shared" si="27"/>
        <v>0</v>
      </c>
      <c r="AE32" s="4428">
        <f t="shared" si="43"/>
        <v>0</v>
      </c>
      <c r="AF32" s="4434"/>
      <c r="AG32" s="3341"/>
      <c r="AH32" s="3341"/>
      <c r="AI32" s="3349">
        <f t="shared" si="28"/>
        <v>0</v>
      </c>
      <c r="AJ32" s="4428">
        <f t="shared" si="44"/>
        <v>0</v>
      </c>
      <c r="AK32" s="4434"/>
      <c r="AL32" s="3341"/>
      <c r="AM32" s="3341"/>
      <c r="AN32" s="3349">
        <f t="shared" si="29"/>
        <v>0</v>
      </c>
      <c r="AO32" s="4428">
        <f t="shared" si="45"/>
        <v>0</v>
      </c>
      <c r="AP32" s="4434"/>
      <c r="AQ32" s="3341"/>
      <c r="AR32" s="3341"/>
      <c r="AS32" s="3349">
        <f t="shared" si="30"/>
        <v>0</v>
      </c>
      <c r="AT32" s="4428">
        <f t="shared" si="46"/>
        <v>0</v>
      </c>
      <c r="AU32" s="4434"/>
      <c r="AV32" s="3341"/>
      <c r="AW32" s="3341"/>
      <c r="AX32" s="3349">
        <f t="shared" si="31"/>
        <v>0</v>
      </c>
      <c r="AY32" s="4428">
        <f t="shared" si="47"/>
        <v>0</v>
      </c>
      <c r="AZ32" s="4434"/>
      <c r="BA32" s="3341"/>
      <c r="BB32" s="3341"/>
      <c r="BC32" s="3349">
        <f t="shared" si="32"/>
        <v>0</v>
      </c>
      <c r="BD32" s="4428">
        <f t="shared" si="48"/>
        <v>0</v>
      </c>
      <c r="BE32" s="4434"/>
      <c r="BF32" s="3341"/>
      <c r="BG32" s="3341"/>
      <c r="BH32" s="3349">
        <f t="shared" si="33"/>
        <v>0</v>
      </c>
      <c r="BI32" s="4428" t="e">
        <f t="shared" si="49"/>
        <v>#DIV/0!</v>
      </c>
      <c r="BJ32" s="4434"/>
      <c r="BK32" s="3341"/>
      <c r="BL32" s="3341"/>
      <c r="BM32" s="3349">
        <f t="shared" si="34"/>
        <v>0</v>
      </c>
      <c r="BN32" s="4428" t="e">
        <f t="shared" si="50"/>
        <v>#DIV/0!</v>
      </c>
      <c r="BO32" s="4434"/>
      <c r="BP32" s="3341"/>
      <c r="BQ32" s="3341"/>
      <c r="BR32" s="3349">
        <f t="shared" si="35"/>
        <v>0</v>
      </c>
      <c r="BS32" s="4428" t="e">
        <f t="shared" si="51"/>
        <v>#DIV/0!</v>
      </c>
      <c r="BT32" s="4434"/>
      <c r="BU32" s="3341"/>
      <c r="BV32" s="3341"/>
      <c r="BW32" s="3349">
        <f t="shared" si="36"/>
        <v>0</v>
      </c>
      <c r="BX32" s="4428" t="e">
        <f t="shared" si="52"/>
        <v>#DIV/0!</v>
      </c>
      <c r="BY32" s="4434"/>
      <c r="BZ32" s="3341"/>
      <c r="CA32" s="3341"/>
      <c r="CB32" s="3349">
        <f t="shared" si="37"/>
        <v>0</v>
      </c>
      <c r="CC32" s="4428" t="e">
        <f t="shared" si="53"/>
        <v>#DIV/0!</v>
      </c>
      <c r="CD32" s="4434"/>
      <c r="CE32" s="3341"/>
      <c r="CF32" s="3341"/>
      <c r="CG32" s="3349">
        <f t="shared" si="38"/>
        <v>0</v>
      </c>
      <c r="CH32" s="4428" t="e">
        <f t="shared" si="54"/>
        <v>#DIV/0!</v>
      </c>
      <c r="CI32" s="4434"/>
      <c r="CJ32" s="4622">
        <f t="shared" si="39"/>
        <v>0</v>
      </c>
      <c r="CK32" s="4623">
        <f t="shared" si="39"/>
        <v>0</v>
      </c>
      <c r="CL32" s="3349">
        <f t="shared" si="55"/>
        <v>0</v>
      </c>
      <c r="CM32" s="4428">
        <f t="shared" si="40"/>
        <v>0</v>
      </c>
      <c r="CN32" s="4432"/>
      <c r="CP32" s="4618"/>
      <c r="CQ32" s="3765">
        <f t="shared" si="41"/>
        <v>0</v>
      </c>
      <c r="CR32" s="4618">
        <f t="shared" si="56"/>
        <v>0</v>
      </c>
      <c r="CT32" s="2624"/>
    </row>
    <row r="33" spans="1:98" s="1396" customFormat="1" ht="14.4" outlineLevel="2" thickBot="1">
      <c r="A33" s="1571"/>
      <c r="B33" s="4435" t="s">
        <v>75</v>
      </c>
      <c r="C33" s="4624"/>
      <c r="D33" s="4624"/>
      <c r="E33" s="4625">
        <f t="shared" ref="E33" si="57">C33+D33*1</f>
        <v>0</v>
      </c>
      <c r="F33" s="4437" t="e">
        <f t="shared" si="16"/>
        <v>#DIV/0!</v>
      </c>
      <c r="G33" s="4438"/>
      <c r="H33" s="4624"/>
      <c r="I33" s="4624"/>
      <c r="J33" s="4625">
        <f>H33+I33*1</f>
        <v>0</v>
      </c>
      <c r="K33" s="4437" t="e">
        <f t="shared" si="42"/>
        <v>#DIV/0!</v>
      </c>
      <c r="L33" s="4438"/>
      <c r="M33" s="4624"/>
      <c r="N33" s="4624"/>
      <c r="O33" s="4625">
        <f t="shared" ref="O33" si="58">M33+N33*1</f>
        <v>0</v>
      </c>
      <c r="P33" s="4428" t="e">
        <f t="shared" si="22"/>
        <v>#DIV/0!</v>
      </c>
      <c r="Q33" s="4438"/>
      <c r="R33" s="4626">
        <f t="shared" si="23"/>
        <v>0</v>
      </c>
      <c r="S33" s="4627">
        <f t="shared" si="23"/>
        <v>0</v>
      </c>
      <c r="T33" s="4628">
        <f t="shared" si="24"/>
        <v>0</v>
      </c>
      <c r="U33" s="4438"/>
      <c r="V33" s="4438"/>
      <c r="W33" s="4627">
        <f t="shared" si="25"/>
        <v>0</v>
      </c>
      <c r="X33" s="4627">
        <f t="shared" si="25"/>
        <v>0</v>
      </c>
      <c r="Y33" s="4628">
        <f t="shared" si="26"/>
        <v>0</v>
      </c>
      <c r="Z33" s="4438"/>
      <c r="AA33" s="4438"/>
      <c r="AB33" s="4624"/>
      <c r="AC33" s="4624"/>
      <c r="AD33" s="4625">
        <f t="shared" ref="AD33" si="59">AB33+AC33*1</f>
        <v>0</v>
      </c>
      <c r="AE33" s="4437">
        <f t="shared" si="43"/>
        <v>0</v>
      </c>
      <c r="AF33" s="4438"/>
      <c r="AG33" s="4624"/>
      <c r="AH33" s="4624"/>
      <c r="AI33" s="4625">
        <f t="shared" ref="AI33" si="60">AG33+AH33*1</f>
        <v>0</v>
      </c>
      <c r="AJ33" s="4437">
        <f t="shared" si="44"/>
        <v>0</v>
      </c>
      <c r="AK33" s="4438"/>
      <c r="AL33" s="4624"/>
      <c r="AM33" s="4624"/>
      <c r="AN33" s="4625">
        <f t="shared" ref="AN33" si="61">AL33+AM33*1</f>
        <v>0</v>
      </c>
      <c r="AO33" s="4437">
        <f t="shared" si="45"/>
        <v>0</v>
      </c>
      <c r="AP33" s="4438"/>
      <c r="AQ33" s="4624"/>
      <c r="AR33" s="4624"/>
      <c r="AS33" s="4625">
        <f t="shared" ref="AS33" si="62">AQ33+AR33*1</f>
        <v>0</v>
      </c>
      <c r="AT33" s="4437">
        <f t="shared" si="46"/>
        <v>0</v>
      </c>
      <c r="AU33" s="4438"/>
      <c r="AV33" s="4624"/>
      <c r="AW33" s="4624"/>
      <c r="AX33" s="4625">
        <f t="shared" ref="AX33" si="63">AV33+AW33*1</f>
        <v>0</v>
      </c>
      <c r="AY33" s="4437">
        <f t="shared" si="47"/>
        <v>0</v>
      </c>
      <c r="AZ33" s="4438"/>
      <c r="BA33" s="4624"/>
      <c r="BB33" s="4624"/>
      <c r="BC33" s="4625">
        <f t="shared" ref="BC33" si="64">BA33+BB33*1</f>
        <v>0</v>
      </c>
      <c r="BD33" s="4437">
        <f t="shared" si="48"/>
        <v>0</v>
      </c>
      <c r="BE33" s="4438"/>
      <c r="BF33" s="4624"/>
      <c r="BG33" s="4624"/>
      <c r="BH33" s="4625">
        <f t="shared" ref="BH33" si="65">BF33+BG33*1</f>
        <v>0</v>
      </c>
      <c r="BI33" s="4437" t="e">
        <f t="shared" si="49"/>
        <v>#DIV/0!</v>
      </c>
      <c r="BJ33" s="4438"/>
      <c r="BK33" s="4624"/>
      <c r="BL33" s="4624"/>
      <c r="BM33" s="4625">
        <f t="shared" ref="BM33" si="66">BK33+BL33*1</f>
        <v>0</v>
      </c>
      <c r="BN33" s="4437" t="e">
        <f t="shared" si="50"/>
        <v>#DIV/0!</v>
      </c>
      <c r="BO33" s="4438"/>
      <c r="BP33" s="4624"/>
      <c r="BQ33" s="4624"/>
      <c r="BR33" s="4625">
        <f t="shared" ref="BR33" si="67">BP33+BQ33*1</f>
        <v>0</v>
      </c>
      <c r="BS33" s="4437" t="e">
        <f t="shared" si="51"/>
        <v>#DIV/0!</v>
      </c>
      <c r="BT33" s="4438"/>
      <c r="BU33" s="4624"/>
      <c r="BV33" s="4624"/>
      <c r="BW33" s="4625">
        <f t="shared" ref="BW33" si="68">BU33+BV33*1</f>
        <v>0</v>
      </c>
      <c r="BX33" s="4437" t="e">
        <f t="shared" si="52"/>
        <v>#DIV/0!</v>
      </c>
      <c r="BY33" s="4438"/>
      <c r="BZ33" s="4624"/>
      <c r="CA33" s="4624"/>
      <c r="CB33" s="4625">
        <f t="shared" ref="CB33" si="69">BZ33+CA33*1</f>
        <v>0</v>
      </c>
      <c r="CC33" s="4437" t="e">
        <f t="shared" si="53"/>
        <v>#DIV/0!</v>
      </c>
      <c r="CD33" s="4438"/>
      <c r="CE33" s="4624"/>
      <c r="CF33" s="4624"/>
      <c r="CG33" s="4625">
        <f t="shared" ref="CG33" si="70">CE33+CF33*1</f>
        <v>0</v>
      </c>
      <c r="CH33" s="4437" t="e">
        <f t="shared" si="54"/>
        <v>#DIV/0!</v>
      </c>
      <c r="CI33" s="4438"/>
      <c r="CJ33" s="4629">
        <f t="shared" si="39"/>
        <v>0</v>
      </c>
      <c r="CK33" s="4624">
        <f t="shared" si="39"/>
        <v>0</v>
      </c>
      <c r="CL33" s="4625">
        <f t="shared" si="55"/>
        <v>0</v>
      </c>
      <c r="CM33" s="4488">
        <f t="shared" si="40"/>
        <v>0</v>
      </c>
      <c r="CN33" s="4490"/>
      <c r="CP33" s="4618"/>
      <c r="CQ33" s="4618"/>
      <c r="CR33" s="4618">
        <f t="shared" si="56"/>
        <v>0</v>
      </c>
      <c r="CT33" s="2624"/>
    </row>
    <row r="34" spans="1:98"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1"/>
      <c r="AC34" s="3341"/>
      <c r="AD34" s="3368"/>
      <c r="AE34" s="3368"/>
      <c r="AF34" s="3448"/>
      <c r="AG34" s="3341"/>
      <c r="AH34" s="3341"/>
      <c r="AI34" s="3368"/>
      <c r="AJ34" s="3368"/>
      <c r="AK34" s="3448"/>
      <c r="AL34" s="3341"/>
      <c r="AM34" s="3341"/>
      <c r="AN34" s="3368"/>
      <c r="AO34" s="3368"/>
      <c r="AP34" s="3448"/>
      <c r="AQ34" s="3341"/>
      <c r="AR34" s="3341"/>
      <c r="AS34" s="3368"/>
      <c r="AT34" s="3368"/>
      <c r="AU34" s="3448"/>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3766"/>
      <c r="CQ34" s="3766"/>
      <c r="CR34" s="3766"/>
      <c r="CT34" s="2624"/>
    </row>
    <row r="35" spans="1:98" s="1396" customFormat="1" ht="13.8" outlineLevel="1">
      <c r="A35" s="1571"/>
      <c r="B35" s="4440" t="s">
        <v>80</v>
      </c>
      <c r="C35" s="4441">
        <f>C36</f>
        <v>0</v>
      </c>
      <c r="D35" s="4441">
        <f>D36</f>
        <v>0</v>
      </c>
      <c r="E35" s="4442">
        <f>E36</f>
        <v>0</v>
      </c>
      <c r="F35" s="4442"/>
      <c r="G35" s="4443"/>
      <c r="H35" s="4441">
        <f>H36</f>
        <v>0</v>
      </c>
      <c r="I35" s="4441">
        <f>I36</f>
        <v>0</v>
      </c>
      <c r="J35" s="4442">
        <f>J36</f>
        <v>0</v>
      </c>
      <c r="K35" s="4442"/>
      <c r="L35" s="4443"/>
      <c r="M35" s="4441">
        <f>M36</f>
        <v>0</v>
      </c>
      <c r="N35" s="4441">
        <f>N36</f>
        <v>0</v>
      </c>
      <c r="O35" s="4442">
        <f>O36</f>
        <v>0</v>
      </c>
      <c r="P35" s="4442"/>
      <c r="Q35" s="4443"/>
      <c r="R35" s="4441">
        <f>R36</f>
        <v>0</v>
      </c>
      <c r="S35" s="4441">
        <f>S36</f>
        <v>0</v>
      </c>
      <c r="T35" s="4442">
        <f>T36</f>
        <v>0</v>
      </c>
      <c r="U35" s="4444"/>
      <c r="V35" s="4444"/>
      <c r="W35" s="4441">
        <f>W36</f>
        <v>0</v>
      </c>
      <c r="X35" s="4441">
        <f>X36</f>
        <v>0</v>
      </c>
      <c r="Y35" s="4442">
        <f>Y36</f>
        <v>0</v>
      </c>
      <c r="Z35" s="4444"/>
      <c r="AA35" s="4444"/>
      <c r="AB35" s="4441">
        <f>AB36</f>
        <v>0</v>
      </c>
      <c r="AC35" s="4441">
        <f>AC36</f>
        <v>0</v>
      </c>
      <c r="AD35" s="4442">
        <f>AD36</f>
        <v>0</v>
      </c>
      <c r="AE35" s="4442"/>
      <c r="AF35" s="4443"/>
      <c r="AG35" s="4441">
        <f>AG36</f>
        <v>0</v>
      </c>
      <c r="AH35" s="4441">
        <f>AH36</f>
        <v>0</v>
      </c>
      <c r="AI35" s="4442">
        <f>AI36</f>
        <v>0</v>
      </c>
      <c r="AJ35" s="4442"/>
      <c r="AK35" s="4443"/>
      <c r="AL35" s="4441">
        <f>AL36</f>
        <v>0</v>
      </c>
      <c r="AM35" s="4441">
        <f>AM36</f>
        <v>0</v>
      </c>
      <c r="AN35" s="4442">
        <f>AN36</f>
        <v>0</v>
      </c>
      <c r="AO35" s="4442"/>
      <c r="AP35" s="4443"/>
      <c r="AQ35" s="4441">
        <f>AQ36</f>
        <v>0</v>
      </c>
      <c r="AR35" s="4441">
        <f>AR36</f>
        <v>0</v>
      </c>
      <c r="AS35" s="4442">
        <f>AS36</f>
        <v>0</v>
      </c>
      <c r="AT35" s="4442"/>
      <c r="AU35" s="4443"/>
      <c r="AV35" s="4441">
        <f>AV36</f>
        <v>0</v>
      </c>
      <c r="AW35" s="4441">
        <f>AW36</f>
        <v>0</v>
      </c>
      <c r="AX35" s="4442">
        <f>AX36</f>
        <v>0</v>
      </c>
      <c r="AY35" s="4442"/>
      <c r="AZ35" s="4443"/>
      <c r="BA35" s="4441">
        <f>BA36</f>
        <v>0</v>
      </c>
      <c r="BB35" s="4441">
        <f>BB36</f>
        <v>0</v>
      </c>
      <c r="BC35" s="4442">
        <f>BC36</f>
        <v>0</v>
      </c>
      <c r="BD35" s="4442"/>
      <c r="BE35" s="4443"/>
      <c r="BF35" s="4441">
        <f>BF36</f>
        <v>0</v>
      </c>
      <c r="BG35" s="4441">
        <f>BG36</f>
        <v>0</v>
      </c>
      <c r="BH35" s="4442">
        <f>BH36</f>
        <v>0</v>
      </c>
      <c r="BI35" s="4442"/>
      <c r="BJ35" s="4443"/>
      <c r="BK35" s="4441">
        <f>BK36</f>
        <v>0</v>
      </c>
      <c r="BL35" s="4441">
        <f>BL36</f>
        <v>0</v>
      </c>
      <c r="BM35" s="4442">
        <f>BM36</f>
        <v>0</v>
      </c>
      <c r="BN35" s="4442"/>
      <c r="BO35" s="4443"/>
      <c r="BP35" s="4441">
        <f>BP36</f>
        <v>0</v>
      </c>
      <c r="BQ35" s="4441">
        <f>BQ36</f>
        <v>0</v>
      </c>
      <c r="BR35" s="4442">
        <f>BR36</f>
        <v>0</v>
      </c>
      <c r="BS35" s="4442"/>
      <c r="BT35" s="4443"/>
      <c r="BU35" s="4441">
        <f>BU36</f>
        <v>0</v>
      </c>
      <c r="BV35" s="4441">
        <f>BV36</f>
        <v>0</v>
      </c>
      <c r="BW35" s="4442">
        <f>BW36</f>
        <v>0</v>
      </c>
      <c r="BX35" s="4442"/>
      <c r="BY35" s="4443"/>
      <c r="BZ35" s="4441">
        <f>BZ36</f>
        <v>0</v>
      </c>
      <c r="CA35" s="4441">
        <f>CA36</f>
        <v>0</v>
      </c>
      <c r="CB35" s="4442">
        <f>CB36</f>
        <v>0</v>
      </c>
      <c r="CC35" s="4442"/>
      <c r="CD35" s="4443"/>
      <c r="CE35" s="4441">
        <f>CE36</f>
        <v>0</v>
      </c>
      <c r="CF35" s="4441">
        <f>CF36</f>
        <v>0</v>
      </c>
      <c r="CG35" s="4442">
        <f>CG36</f>
        <v>0</v>
      </c>
      <c r="CH35" s="4442"/>
      <c r="CI35" s="4443"/>
      <c r="CJ35" s="4441">
        <f>CJ36</f>
        <v>0</v>
      </c>
      <c r="CK35" s="4441">
        <f>CK36</f>
        <v>0</v>
      </c>
      <c r="CL35" s="4442">
        <f>CL36</f>
        <v>0</v>
      </c>
      <c r="CM35" s="4442"/>
      <c r="CN35" s="4442"/>
      <c r="CP35" s="4658">
        <f>CP36</f>
        <v>0</v>
      </c>
      <c r="CQ35" s="4658">
        <f>CQ36</f>
        <v>0</v>
      </c>
      <c r="CR35" s="4658">
        <f>CR36</f>
        <v>0</v>
      </c>
      <c r="CT35" s="2624"/>
    </row>
    <row r="36" spans="1:98" s="1396" customFormat="1" ht="13.8" outlineLevel="3">
      <c r="A36" s="1571"/>
      <c r="B36" s="4632" t="s">
        <v>81</v>
      </c>
      <c r="C36" s="3341"/>
      <c r="D36" s="3341"/>
      <c r="E36" s="2012">
        <f>C36+D36*1</f>
        <v>0</v>
      </c>
      <c r="F36" s="4428" t="e">
        <f>E36/$E$89</f>
        <v>#DIV/0!</v>
      </c>
      <c r="G36" s="4633"/>
      <c r="H36" s="3341"/>
      <c r="I36" s="3341"/>
      <c r="J36" s="2012">
        <f>H36+I36*1</f>
        <v>0</v>
      </c>
      <c r="K36" s="4428" t="e">
        <f t="shared" ref="K36" si="71">J36/J$89</f>
        <v>#DIV/0!</v>
      </c>
      <c r="L36" s="4633"/>
      <c r="M36" s="3341"/>
      <c r="N36" s="3341"/>
      <c r="O36" s="3349">
        <f t="shared" ref="O36" si="72">M36+N36</f>
        <v>0</v>
      </c>
      <c r="P36" s="4428" t="e">
        <f t="shared" ref="P36" si="73">O36/O$89</f>
        <v>#DIV/0!</v>
      </c>
      <c r="Q36" s="4633"/>
      <c r="R36" s="3342">
        <f t="shared" ref="R36:S36" si="74">M36+H36+C36</f>
        <v>0</v>
      </c>
      <c r="S36" s="3342">
        <f t="shared" si="74"/>
        <v>0</v>
      </c>
      <c r="T36" s="2012">
        <f t="shared" ref="T36" si="75">R36+S36</f>
        <v>0</v>
      </c>
      <c r="U36" s="3455"/>
      <c r="V36" s="3455"/>
      <c r="W36" s="3342">
        <f t="shared" ref="W36:X36" si="76">AB36+AG36+AL36+AV36+BA36+BF36+BK36+BP36+BU36+BZ36+CE36+AQ36</f>
        <v>0</v>
      </c>
      <c r="X36" s="3342">
        <f t="shared" si="76"/>
        <v>0</v>
      </c>
      <c r="Y36" s="2012">
        <f t="shared" ref="Y36" si="77">W36+X36</f>
        <v>0</v>
      </c>
      <c r="Z36" s="3455"/>
      <c r="AA36" s="3455"/>
      <c r="AB36" s="3341"/>
      <c r="AC36" s="3341"/>
      <c r="AD36" s="3349">
        <f t="shared" ref="AD36" si="78">AB36+AC36</f>
        <v>0</v>
      </c>
      <c r="AE36" s="4428">
        <f>AD36/AD$89</f>
        <v>0</v>
      </c>
      <c r="AF36" s="4633"/>
      <c r="AG36" s="3341"/>
      <c r="AH36" s="3341"/>
      <c r="AI36" s="3349">
        <f t="shared" ref="AI36" si="79">AG36+AH36</f>
        <v>0</v>
      </c>
      <c r="AJ36" s="4428">
        <f>AI36/AI$89</f>
        <v>0</v>
      </c>
      <c r="AK36" s="4633"/>
      <c r="AL36" s="3341"/>
      <c r="AM36" s="3341"/>
      <c r="AN36" s="3349">
        <f t="shared" ref="AN36" si="80">AL36+AM36</f>
        <v>0</v>
      </c>
      <c r="AO36" s="4428">
        <f>AN36/AN$89</f>
        <v>0</v>
      </c>
      <c r="AP36" s="4633"/>
      <c r="AQ36" s="3341"/>
      <c r="AR36" s="3341"/>
      <c r="AS36" s="3349">
        <f t="shared" ref="AS36" si="81">AQ36+AR36</f>
        <v>0</v>
      </c>
      <c r="AT36" s="4428">
        <f>AS36/AS$89</f>
        <v>0</v>
      </c>
      <c r="AU36" s="4633"/>
      <c r="AV36" s="3341"/>
      <c r="AW36" s="3341"/>
      <c r="AX36" s="3349">
        <f t="shared" ref="AX36" si="82">AV36+AW36</f>
        <v>0</v>
      </c>
      <c r="AY36" s="4428">
        <f>AX36/AX$89</f>
        <v>0</v>
      </c>
      <c r="AZ36" s="4633"/>
      <c r="BA36" s="3341"/>
      <c r="BB36" s="3341"/>
      <c r="BC36" s="3349">
        <f t="shared" ref="BC36" si="83">BA36+BB36</f>
        <v>0</v>
      </c>
      <c r="BD36" s="4428">
        <f>BC36/BC$89</f>
        <v>0</v>
      </c>
      <c r="BE36" s="4633"/>
      <c r="BF36" s="3341"/>
      <c r="BG36" s="3341"/>
      <c r="BH36" s="3349">
        <f t="shared" ref="BH36" si="84">BF36+BG36</f>
        <v>0</v>
      </c>
      <c r="BI36" s="4428" t="e">
        <f>BH36/BH$89</f>
        <v>#DIV/0!</v>
      </c>
      <c r="BJ36" s="4633"/>
      <c r="BK36" s="3341"/>
      <c r="BL36" s="3341"/>
      <c r="BM36" s="3349">
        <f t="shared" ref="BM36" si="85">BK36+BL36</f>
        <v>0</v>
      </c>
      <c r="BN36" s="4428" t="e">
        <f>BM36/BM$89</f>
        <v>#DIV/0!</v>
      </c>
      <c r="BO36" s="4633"/>
      <c r="BP36" s="3341"/>
      <c r="BQ36" s="3341"/>
      <c r="BR36" s="3349">
        <f t="shared" ref="BR36" si="86">BP36+BQ36</f>
        <v>0</v>
      </c>
      <c r="BS36" s="4428" t="e">
        <f>BR36/BR$89</f>
        <v>#DIV/0!</v>
      </c>
      <c r="BT36" s="4633"/>
      <c r="BU36" s="3341"/>
      <c r="BV36" s="3341"/>
      <c r="BW36" s="3349">
        <f t="shared" ref="BW36" si="87">BU36+BV36</f>
        <v>0</v>
      </c>
      <c r="BX36" s="4428" t="e">
        <f>BW36/BW$89</f>
        <v>#DIV/0!</v>
      </c>
      <c r="BY36" s="4633"/>
      <c r="BZ36" s="3341"/>
      <c r="CA36" s="3341"/>
      <c r="CB36" s="3349">
        <f t="shared" ref="CB36" si="88">BZ36+CA36</f>
        <v>0</v>
      </c>
      <c r="CC36" s="4428" t="e">
        <f>CB36/CB$89</f>
        <v>#DIV/0!</v>
      </c>
      <c r="CD36" s="4633"/>
      <c r="CE36" s="3341"/>
      <c r="CF36" s="3341"/>
      <c r="CG36" s="3349">
        <f t="shared" ref="CG36" si="89">CE36+CF36</f>
        <v>0</v>
      </c>
      <c r="CH36" s="4428" t="e">
        <f>CG36/CG$89</f>
        <v>#DIV/0!</v>
      </c>
      <c r="CI36" s="4633"/>
      <c r="CJ36" s="3341">
        <f t="shared" ref="CJ36:CK36" si="90">C36+H36+M36+W36</f>
        <v>0</v>
      </c>
      <c r="CK36" s="3341">
        <f t="shared" si="90"/>
        <v>0</v>
      </c>
      <c r="CL36" s="2012">
        <f>CJ36+CK36*1</f>
        <v>0</v>
      </c>
      <c r="CM36" s="4428">
        <f>CL36/$CL$89</f>
        <v>0</v>
      </c>
      <c r="CN36" s="4611"/>
      <c r="CP36" s="3765"/>
      <c r="CQ36" s="3765">
        <f t="shared" ref="CQ36" si="91">CL36</f>
        <v>0</v>
      </c>
      <c r="CR36" s="4618">
        <f t="shared" ref="CR36" si="92">CP36-CQ36</f>
        <v>0</v>
      </c>
      <c r="CT36" s="3443"/>
    </row>
    <row r="37" spans="1:98" s="1396" customFormat="1" ht="14.4" outlineLevel="1" thickBot="1">
      <c r="A37" s="1398"/>
      <c r="B37" s="4446"/>
      <c r="C37" s="3341"/>
      <c r="D37" s="3341"/>
      <c r="E37" s="4609"/>
      <c r="F37" s="4609"/>
      <c r="G37" s="4634"/>
      <c r="H37" s="3341"/>
      <c r="I37" s="3341"/>
      <c r="J37" s="4609"/>
      <c r="K37" s="4609"/>
      <c r="L37" s="4634"/>
      <c r="M37" s="3341"/>
      <c r="N37" s="3341"/>
      <c r="O37" s="4609"/>
      <c r="P37" s="4609"/>
      <c r="Q37" s="4634"/>
      <c r="R37" s="3456"/>
      <c r="S37" s="3456"/>
      <c r="T37" s="3456"/>
      <c r="U37" s="3456"/>
      <c r="V37" s="3456"/>
      <c r="W37" s="3342">
        <f t="shared" ref="W37:X37" si="93">AB37+AG37+AL37+AV37+BA37+BF37+BK37+BP37+BU37+BZ37+CE37</f>
        <v>0</v>
      </c>
      <c r="X37" s="3342">
        <f t="shared" si="93"/>
        <v>0</v>
      </c>
      <c r="Y37" s="3456"/>
      <c r="Z37" s="3456"/>
      <c r="AA37" s="3456"/>
      <c r="AB37" s="3341"/>
      <c r="AC37" s="3341"/>
      <c r="AD37" s="4609"/>
      <c r="AE37" s="4609"/>
      <c r="AF37" s="4634"/>
      <c r="AG37" s="3341"/>
      <c r="AH37" s="3341"/>
      <c r="AI37" s="4609"/>
      <c r="AJ37" s="4609"/>
      <c r="AK37" s="4634"/>
      <c r="AL37" s="3341"/>
      <c r="AM37" s="3341"/>
      <c r="AN37" s="4609"/>
      <c r="AO37" s="4609"/>
      <c r="AP37" s="4634"/>
      <c r="AQ37" s="3341"/>
      <c r="AR37" s="3341"/>
      <c r="AS37" s="4609"/>
      <c r="AT37" s="4609"/>
      <c r="AU37" s="4634"/>
      <c r="AV37" s="3341"/>
      <c r="AW37" s="3341"/>
      <c r="AX37" s="4609"/>
      <c r="AY37" s="4609"/>
      <c r="AZ37" s="4634"/>
      <c r="BA37" s="3341"/>
      <c r="BB37" s="3341"/>
      <c r="BC37" s="4609"/>
      <c r="BD37" s="4609"/>
      <c r="BE37" s="4634"/>
      <c r="BF37" s="3341"/>
      <c r="BG37" s="3341"/>
      <c r="BH37" s="4609"/>
      <c r="BI37" s="4609"/>
      <c r="BJ37" s="4634"/>
      <c r="BK37" s="3341"/>
      <c r="BL37" s="3341"/>
      <c r="BM37" s="4609"/>
      <c r="BN37" s="4609"/>
      <c r="BO37" s="4634"/>
      <c r="BP37" s="3341"/>
      <c r="BQ37" s="3341"/>
      <c r="BR37" s="4609"/>
      <c r="BS37" s="4609"/>
      <c r="BT37" s="4634"/>
      <c r="BU37" s="3341"/>
      <c r="BV37" s="3341"/>
      <c r="BW37" s="4609"/>
      <c r="BX37" s="4609"/>
      <c r="BY37" s="4634"/>
      <c r="BZ37" s="3341"/>
      <c r="CA37" s="3341"/>
      <c r="CB37" s="4609"/>
      <c r="CC37" s="4609"/>
      <c r="CD37" s="4634"/>
      <c r="CE37" s="3341"/>
      <c r="CF37" s="3341"/>
      <c r="CG37" s="4609"/>
      <c r="CH37" s="4609"/>
      <c r="CI37" s="4634"/>
      <c r="CJ37" s="3341"/>
      <c r="CK37" s="3341"/>
      <c r="CL37" s="4609"/>
      <c r="CM37" s="4609"/>
      <c r="CN37" s="4609"/>
      <c r="CP37" s="4659"/>
      <c r="CQ37" s="4659"/>
      <c r="CR37" s="4659"/>
      <c r="CT37" s="2624"/>
    </row>
    <row r="38" spans="1:98"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0</v>
      </c>
      <c r="O38" s="3749">
        <f>(O5)-(O8)</f>
        <v>0</v>
      </c>
      <c r="P38" s="3749"/>
      <c r="Q38" s="3750"/>
      <c r="R38" s="3749">
        <f>(R5)-(R8)</f>
        <v>0</v>
      </c>
      <c r="S38" s="3749">
        <f>(S5)-(S8)</f>
        <v>0</v>
      </c>
      <c r="T38" s="3749">
        <f>(T5)-(T8)</f>
        <v>0</v>
      </c>
      <c r="U38" s="3750"/>
      <c r="V38" s="3750"/>
      <c r="W38" s="3749">
        <f>(W5)-(W8)</f>
        <v>-70286.11832506166</v>
      </c>
      <c r="X38" s="3749">
        <f>(X5)-(X8)</f>
        <v>-106419.81249541424</v>
      </c>
      <c r="Y38" s="3749">
        <f>(Y5)-(Y8)</f>
        <v>-176705.93082047591</v>
      </c>
      <c r="Z38" s="3750"/>
      <c r="AA38" s="3750"/>
      <c r="AB38" s="3749">
        <f>(AB5)-(AB8)</f>
        <v>-15931.49</v>
      </c>
      <c r="AC38" s="3749">
        <f>(AC5)-(AC8)</f>
        <v>-20016</v>
      </c>
      <c r="AD38" s="3749">
        <f>(AD5)-(AD8)</f>
        <v>-35947.490000000005</v>
      </c>
      <c r="AE38" s="3749"/>
      <c r="AF38" s="3750"/>
      <c r="AG38" s="3749">
        <f>(AG5)-(AG8)</f>
        <v>-39445.560000000005</v>
      </c>
      <c r="AH38" s="3749">
        <f>(AH5)-(AH8)</f>
        <v>-59529.279999999999</v>
      </c>
      <c r="AI38" s="3749">
        <f>(AI5)-(AI8)</f>
        <v>-98974.84</v>
      </c>
      <c r="AJ38" s="3749"/>
      <c r="AK38" s="3750"/>
      <c r="AL38" s="3749">
        <f>(AL5)-(AL8)</f>
        <v>-9021.58</v>
      </c>
      <c r="AM38" s="3749">
        <f>(AM5)-(AM8)</f>
        <v>-12255.98</v>
      </c>
      <c r="AN38" s="3749">
        <f>(AN5)-(AN8)</f>
        <v>-21277.56</v>
      </c>
      <c r="AO38" s="3749"/>
      <c r="AP38" s="3750"/>
      <c r="AQ38" s="3749">
        <f>(AQ5)-(AQ8)</f>
        <v>-2193.2378481012702</v>
      </c>
      <c r="AR38" s="3749">
        <f>(AR5)-(AR8)</f>
        <v>-3551.7468354430398</v>
      </c>
      <c r="AS38" s="3749">
        <f>(AS5)-(AS8)</f>
        <v>-5744.9846835443095</v>
      </c>
      <c r="AT38" s="3749"/>
      <c r="AU38" s="3750"/>
      <c r="AV38" s="3749">
        <f>(AV5)-(AV8)</f>
        <v>-950</v>
      </c>
      <c r="AW38" s="3749">
        <f>(AW5)-(AW8)</f>
        <v>0</v>
      </c>
      <c r="AX38" s="3749">
        <f>(AX5)-(AX8)</f>
        <v>-950</v>
      </c>
      <c r="AY38" s="3749"/>
      <c r="AZ38" s="3750"/>
      <c r="BA38" s="3749">
        <f>(BA5)-(BA8)</f>
        <v>-2744.2504769603897</v>
      </c>
      <c r="BB38" s="3749">
        <f>(BB5)-(BB8)</f>
        <v>-11066.8056599712</v>
      </c>
      <c r="BC38" s="3749">
        <f>(BC5)-(BC8)</f>
        <v>-13811.056136931589</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-70286.11832506166</v>
      </c>
      <c r="CK38" s="3751">
        <f>(CK5)-(CK8)</f>
        <v>-106419.81249541424</v>
      </c>
      <c r="CL38" s="3751">
        <f>(CL5)-(CL8)</f>
        <v>-176705.93082047591</v>
      </c>
      <c r="CM38" s="3749"/>
      <c r="CN38" s="3749"/>
      <c r="CP38" s="3767">
        <f>(CP5)-(CP8)</f>
        <v>2747915.5299999993</v>
      </c>
      <c r="CQ38" s="3767">
        <f>(CQ5)-(CQ8)</f>
        <v>-176705.93082047591</v>
      </c>
      <c r="CR38" s="3767">
        <f>(CR5)-(CR8)</f>
        <v>2924621.4608204756</v>
      </c>
      <c r="CT38" s="3761"/>
    </row>
    <row r="39" spans="1:98"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2003">
        <f>IFERROR(AB38/(AB5),0)</f>
        <v>0</v>
      </c>
      <c r="AC39" s="2003">
        <f>IFERROR(AC38/(AC5),0)</f>
        <v>0</v>
      </c>
      <c r="AD39" s="2004">
        <f>IFERROR(AD38/(AD5),0)</f>
        <v>0</v>
      </c>
      <c r="AE39" s="2004"/>
      <c r="AF39" s="1056"/>
      <c r="AG39" s="2003">
        <f>IFERROR(AG38/(AG5),0)</f>
        <v>0</v>
      </c>
      <c r="AH39" s="2003">
        <f>IFERROR(AH38/(AH5),0)</f>
        <v>0</v>
      </c>
      <c r="AI39" s="2004">
        <f>IFERROR(AI38/(AI5),0)</f>
        <v>0</v>
      </c>
      <c r="AJ39" s="2004"/>
      <c r="AK39" s="1056"/>
      <c r="AL39" s="2003">
        <f>IFERROR(AL38/(AL5),0)</f>
        <v>0</v>
      </c>
      <c r="AM39" s="2003">
        <f>IFERROR(AM38/(AM5),0)</f>
        <v>0</v>
      </c>
      <c r="AN39" s="2004">
        <f>IFERROR(AN38/(AN5),0)</f>
        <v>0</v>
      </c>
      <c r="AO39" s="2004"/>
      <c r="AP39" s="1056"/>
      <c r="AQ39" s="2003">
        <f>IFERROR(AQ38/(AQ5),0)</f>
        <v>0</v>
      </c>
      <c r="AR39" s="2003">
        <f>IFERROR(AR38/(AR5),0)</f>
        <v>0</v>
      </c>
      <c r="AS39" s="2004">
        <f>IFERROR(AS38/(AS5),0)</f>
        <v>0</v>
      </c>
      <c r="AT39" s="2004"/>
      <c r="AU39" s="1056"/>
      <c r="AV39" s="2003">
        <f>IFERROR(AV38/(AV5),0)</f>
        <v>0</v>
      </c>
      <c r="AW39" s="2003">
        <f>IFERROR(AW38/(AW5),0)</f>
        <v>0</v>
      </c>
      <c r="AX39" s="2004">
        <f>IFERROR(AX38/(AX5),0)</f>
        <v>0</v>
      </c>
      <c r="AY39" s="2004"/>
      <c r="AZ39" s="1056"/>
      <c r="BA39" s="2003">
        <f>IFERROR(BA38/(BA5),0)</f>
        <v>0</v>
      </c>
      <c r="BB39" s="2003">
        <f>IFERROR(BB38/(BB5),0)</f>
        <v>0</v>
      </c>
      <c r="BC39" s="2004">
        <f>IFERROR(BC38/(BC5),0)</f>
        <v>0</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v>
      </c>
      <c r="CK39" s="2003">
        <f>IFERROR(CK38/(CK5),0)</f>
        <v>0</v>
      </c>
      <c r="CL39" s="2004">
        <f>IFERROR(CL38/(CL5),0)</f>
        <v>0</v>
      </c>
      <c r="CM39" s="2004"/>
      <c r="CN39" s="2004"/>
      <c r="CP39" s="3768">
        <f>CP38/(CP5)</f>
        <v>0.16802709612911279</v>
      </c>
      <c r="CQ39" s="3768">
        <f>IFERROR(CQ38/(CQ5),0)</f>
        <v>0</v>
      </c>
      <c r="CR39" s="3768">
        <f>CR38/(CR5)</f>
        <v>0.17883215330805616</v>
      </c>
    </row>
    <row r="40" spans="1:98" ht="14.4" outlineLevel="1" thickBot="1">
      <c r="A40" s="1567"/>
      <c r="B40" s="4637"/>
      <c r="C40" s="4610"/>
      <c r="D40" s="4610"/>
      <c r="E40" s="4610"/>
      <c r="F40" s="4610"/>
      <c r="G40" s="4638"/>
      <c r="H40" s="4610"/>
      <c r="I40" s="4610"/>
      <c r="J40" s="4610"/>
      <c r="K40" s="4610"/>
      <c r="L40" s="4638"/>
      <c r="M40" s="4610"/>
      <c r="N40" s="4610"/>
      <c r="O40" s="4610"/>
      <c r="P40" s="4610"/>
      <c r="Q40" s="4638"/>
      <c r="R40" s="4638"/>
      <c r="S40" s="4638"/>
      <c r="T40" s="4638"/>
      <c r="U40" s="4638"/>
      <c r="V40" s="4638"/>
      <c r="W40" s="4638"/>
      <c r="X40" s="4638"/>
      <c r="Y40" s="4638"/>
      <c r="Z40" s="4638"/>
      <c r="AA40" s="4638"/>
      <c r="AB40" s="4610"/>
      <c r="AC40" s="4610"/>
      <c r="AD40" s="4610"/>
      <c r="AE40" s="4610"/>
      <c r="AF40" s="4638"/>
      <c r="AG40" s="4610"/>
      <c r="AH40" s="4610"/>
      <c r="AI40" s="4610"/>
      <c r="AJ40" s="4610"/>
      <c r="AK40" s="4638"/>
      <c r="AL40" s="4610"/>
      <c r="AM40" s="4610"/>
      <c r="AN40" s="4610"/>
      <c r="AO40" s="4610"/>
      <c r="AP40" s="4638"/>
      <c r="AQ40" s="4610"/>
      <c r="AR40" s="4610"/>
      <c r="AS40" s="4610"/>
      <c r="AT40" s="4610"/>
      <c r="AU40" s="4638"/>
      <c r="AV40" s="4610"/>
      <c r="AW40" s="4610"/>
      <c r="AX40" s="4610"/>
      <c r="AY40" s="4610"/>
      <c r="AZ40" s="4638"/>
      <c r="BA40" s="4610"/>
      <c r="BB40" s="4610"/>
      <c r="BC40" s="4610"/>
      <c r="BD40" s="4610"/>
      <c r="BE40" s="4638"/>
      <c r="BF40" s="4610"/>
      <c r="BG40" s="4610"/>
      <c r="BH40" s="4610"/>
      <c r="BI40" s="4610"/>
      <c r="BJ40" s="4638"/>
      <c r="BK40" s="4610"/>
      <c r="BL40" s="4610"/>
      <c r="BM40" s="4610"/>
      <c r="BN40" s="4610"/>
      <c r="BO40" s="4638"/>
      <c r="BP40" s="4610"/>
      <c r="BQ40" s="4610"/>
      <c r="BR40" s="4610"/>
      <c r="BS40" s="4610"/>
      <c r="BT40" s="4638"/>
      <c r="BU40" s="4610"/>
      <c r="BV40" s="4610"/>
      <c r="BW40" s="4610"/>
      <c r="BX40" s="4610"/>
      <c r="BY40" s="4638"/>
      <c r="BZ40" s="4610"/>
      <c r="CA40" s="4610"/>
      <c r="CB40" s="4610"/>
      <c r="CC40" s="4610"/>
      <c r="CD40" s="4638"/>
      <c r="CE40" s="4610"/>
      <c r="CF40" s="4610"/>
      <c r="CG40" s="4610"/>
      <c r="CH40" s="4610"/>
      <c r="CI40" s="4638"/>
      <c r="CJ40" s="4610"/>
      <c r="CK40" s="4610"/>
      <c r="CL40" s="4610"/>
      <c r="CM40" s="4610"/>
      <c r="CN40" s="4610"/>
      <c r="CP40" s="4660"/>
      <c r="CQ40" s="4660"/>
      <c r="CR40" s="4660"/>
    </row>
    <row r="41" spans="1:98" ht="13.8" outlineLevel="1">
      <c r="A41" s="1405"/>
      <c r="B41" s="1415" t="s">
        <v>26</v>
      </c>
      <c r="C41" s="2013">
        <f>SUM(C42:C48)</f>
        <v>0</v>
      </c>
      <c r="D41" s="2013">
        <f>SUM(D42:D48)</f>
        <v>0</v>
      </c>
      <c r="E41" s="2014">
        <f>SUM(E42:E48)</f>
        <v>0</v>
      </c>
      <c r="F41" s="4449" t="e">
        <f>E41/$E$89</f>
        <v>#DIV/0!</v>
      </c>
      <c r="G41" s="1057"/>
      <c r="H41" s="2013">
        <f>SUM(H42:H48)</f>
        <v>0</v>
      </c>
      <c r="I41" s="2013">
        <f>SUM(I42:I48)</f>
        <v>0</v>
      </c>
      <c r="J41" s="2014">
        <f>SUM(J42:J48)</f>
        <v>0</v>
      </c>
      <c r="K41" s="4449" t="e">
        <f>J41/$E$89</f>
        <v>#DIV/0!</v>
      </c>
      <c r="L41" s="1057"/>
      <c r="M41" s="2013">
        <f>SUM(M42:M48)</f>
        <v>0</v>
      </c>
      <c r="N41" s="2013">
        <f>SUM(N42:N48)</f>
        <v>0</v>
      </c>
      <c r="O41" s="2014">
        <f>SUM(O42:O48)</f>
        <v>0</v>
      </c>
      <c r="P41" s="4449" t="e">
        <f>O41/$E$89</f>
        <v>#DIV/0!</v>
      </c>
      <c r="Q41" s="1057"/>
      <c r="R41" s="2013">
        <f>SUM(R42:R48)</f>
        <v>0</v>
      </c>
      <c r="S41" s="2013">
        <f>SUM(S42:S48)</f>
        <v>0</v>
      </c>
      <c r="T41" s="2014">
        <f>SUM(T42:T48)</f>
        <v>0</v>
      </c>
      <c r="U41" s="4449"/>
      <c r="V41" s="3460"/>
      <c r="W41" s="2013">
        <f>SUM(W42:W48)</f>
        <v>0</v>
      </c>
      <c r="X41" s="2013">
        <f>SUM(X42:X48)</f>
        <v>0</v>
      </c>
      <c r="Y41" s="2014">
        <f>SUM(Y42:Y48)</f>
        <v>0</v>
      </c>
      <c r="Z41" s="4449"/>
      <c r="AA41" s="3460"/>
      <c r="AB41" s="2013">
        <f>SUM(AB42:AB48)</f>
        <v>0</v>
      </c>
      <c r="AC41" s="2013">
        <f>SUM(AC42:AC48)</f>
        <v>0</v>
      </c>
      <c r="AD41" s="2014">
        <f>SUM(AD42:AD48)</f>
        <v>0</v>
      </c>
      <c r="AE41" s="4449"/>
      <c r="AF41" s="1057"/>
      <c r="AG41" s="2013">
        <f>SUM(AG42:AG48)</f>
        <v>0</v>
      </c>
      <c r="AH41" s="2013">
        <f>SUM(AH42:AH48)</f>
        <v>0</v>
      </c>
      <c r="AI41" s="2014">
        <f>SUM(AI42:AI48)</f>
        <v>0</v>
      </c>
      <c r="AJ41" s="4449"/>
      <c r="AK41" s="1057"/>
      <c r="AL41" s="2013">
        <f>SUM(AL42:AL48)</f>
        <v>0</v>
      </c>
      <c r="AM41" s="2013">
        <f>SUM(AM42:AM48)</f>
        <v>0</v>
      </c>
      <c r="AN41" s="2014">
        <f>SUM(AN42:AN48)</f>
        <v>0</v>
      </c>
      <c r="AO41" s="4449"/>
      <c r="AP41" s="1057"/>
      <c r="AQ41" s="2013">
        <f>SUM(AQ42:AQ48)</f>
        <v>0</v>
      </c>
      <c r="AR41" s="2013">
        <f>SUM(AR42:AR48)</f>
        <v>0</v>
      </c>
      <c r="AS41" s="2014">
        <f>SUM(AS42:AS48)</f>
        <v>0</v>
      </c>
      <c r="AT41" s="4449"/>
      <c r="AU41" s="1057"/>
      <c r="AV41" s="2013">
        <f>SUM(AV42:AV48)</f>
        <v>0</v>
      </c>
      <c r="AW41" s="2013">
        <f>SUM(AW42:AW48)</f>
        <v>0</v>
      </c>
      <c r="AX41" s="2014">
        <f>SUM(AX42:AX48)</f>
        <v>0</v>
      </c>
      <c r="AY41" s="4449"/>
      <c r="AZ41" s="1057"/>
      <c r="BA41" s="2013">
        <f>SUM(BA42:BA48)</f>
        <v>0</v>
      </c>
      <c r="BB41" s="2013">
        <f>SUM(BB42:BB48)</f>
        <v>0</v>
      </c>
      <c r="BC41" s="2014">
        <f>SUM(BC42:BC48)</f>
        <v>0</v>
      </c>
      <c r="BD41" s="4449"/>
      <c r="BE41" s="1057"/>
      <c r="BF41" s="2013">
        <f>SUM(BF42:BF48)</f>
        <v>0</v>
      </c>
      <c r="BG41" s="2013">
        <f>SUM(BG42:BG48)</f>
        <v>0</v>
      </c>
      <c r="BH41" s="2014">
        <f>SUM(BH42:BH48)</f>
        <v>0</v>
      </c>
      <c r="BI41" s="4449"/>
      <c r="BJ41" s="1057"/>
      <c r="BK41" s="2013">
        <f>SUM(BK42:BK48)</f>
        <v>0</v>
      </c>
      <c r="BL41" s="2013">
        <f>SUM(BL42:BL48)</f>
        <v>0</v>
      </c>
      <c r="BM41" s="2014">
        <f>SUM(BM42:BM48)</f>
        <v>0</v>
      </c>
      <c r="BN41" s="4449"/>
      <c r="BO41" s="1057"/>
      <c r="BP41" s="2013">
        <f>SUM(BP42:BP48)</f>
        <v>0</v>
      </c>
      <c r="BQ41" s="2013">
        <f>SUM(BQ42:BQ48)</f>
        <v>0</v>
      </c>
      <c r="BR41" s="2014">
        <f>SUM(BR42:BR48)</f>
        <v>0</v>
      </c>
      <c r="BS41" s="4449"/>
      <c r="BT41" s="1057"/>
      <c r="BU41" s="2013">
        <f>SUM(BU42:BU48)</f>
        <v>0</v>
      </c>
      <c r="BV41" s="2013">
        <f>SUM(BV42:BV48)</f>
        <v>0</v>
      </c>
      <c r="BW41" s="2014">
        <f>SUM(BW42:BW48)</f>
        <v>0</v>
      </c>
      <c r="BX41" s="4449"/>
      <c r="BY41" s="1057"/>
      <c r="BZ41" s="2013">
        <f>SUM(BZ42:BZ48)</f>
        <v>0</v>
      </c>
      <c r="CA41" s="2013">
        <f>SUM(CA42:CA48)</f>
        <v>0</v>
      </c>
      <c r="CB41" s="2014">
        <f>SUM(CB42:CB48)</f>
        <v>0</v>
      </c>
      <c r="CC41" s="4449"/>
      <c r="CD41" s="1057"/>
      <c r="CE41" s="2013">
        <f>SUM(CE42:CE48)</f>
        <v>0</v>
      </c>
      <c r="CF41" s="2013">
        <f>SUM(CF42:CF48)</f>
        <v>0</v>
      </c>
      <c r="CG41" s="2014">
        <f>SUM(CG42:CG48)</f>
        <v>0</v>
      </c>
      <c r="CH41" s="4449"/>
      <c r="CI41" s="1057"/>
      <c r="CJ41" s="2013">
        <f>SUM(CJ42:CJ48)</f>
        <v>0</v>
      </c>
      <c r="CK41" s="2013">
        <f>SUM(CK42:CK48)</f>
        <v>0</v>
      </c>
      <c r="CL41" s="2014">
        <f>SUM(CL42:CL48)</f>
        <v>0</v>
      </c>
      <c r="CM41" s="4449">
        <f t="shared" ref="CM41:CM49" si="94">CL41/$CL$89</f>
        <v>0</v>
      </c>
      <c r="CN41" s="2006"/>
      <c r="CP41" s="3769">
        <f>SUM(CP42:CP48)</f>
        <v>0</v>
      </c>
      <c r="CQ41" s="3769">
        <f>SUM(CQ42:CQ48)</f>
        <v>0</v>
      </c>
      <c r="CR41" s="3769"/>
    </row>
    <row r="42" spans="1:98" ht="13.8" outlineLevel="2">
      <c r="A42" s="4833"/>
      <c r="B42" s="4640" t="s">
        <v>7</v>
      </c>
      <c r="C42" s="3341"/>
      <c r="D42" s="3341"/>
      <c r="E42" s="3349">
        <f t="shared" ref="E42:E48" si="95">C42+D42</f>
        <v>0</v>
      </c>
      <c r="F42" s="4428" t="e">
        <f t="shared" ref="F42:F48" si="96">E42/$E$89</f>
        <v>#DIV/0!</v>
      </c>
      <c r="G42" s="4429"/>
      <c r="H42" s="3341"/>
      <c r="I42" s="3341"/>
      <c r="J42" s="3349">
        <f t="shared" ref="J42:J48" si="97">H42+I42</f>
        <v>0</v>
      </c>
      <c r="K42" s="4428" t="e">
        <f t="shared" ref="K42:K48" si="98">J42/J$89</f>
        <v>#DIV/0!</v>
      </c>
      <c r="L42" s="4429"/>
      <c r="M42" s="3341"/>
      <c r="N42" s="3341"/>
      <c r="O42" s="3349">
        <f t="shared" ref="O42:O48" si="99">M42+N42</f>
        <v>0</v>
      </c>
      <c r="P42" s="4428" t="e">
        <f t="shared" ref="P42:P48" si="100">O42/O$89</f>
        <v>#DIV/0!</v>
      </c>
      <c r="Q42" s="4429"/>
      <c r="R42" s="3342">
        <f t="shared" ref="R42:S48" si="101">M42+H42+C42</f>
        <v>0</v>
      </c>
      <c r="S42" s="3342">
        <f t="shared" si="101"/>
        <v>0</v>
      </c>
      <c r="T42" s="2012">
        <f t="shared" ref="T42:T48" si="102">R42+S42</f>
        <v>0</v>
      </c>
      <c r="U42" s="3462"/>
      <c r="V42" s="3462"/>
      <c r="W42" s="3342">
        <f t="shared" ref="W42:X48" si="103">AB42+AG42+AL42+AV42+BA42+BF42+BK42+BP42+BU42+BZ42+CE42+AQ42</f>
        <v>0</v>
      </c>
      <c r="X42" s="3342">
        <f t="shared" si="103"/>
        <v>0</v>
      </c>
      <c r="Y42" s="2012">
        <f t="shared" ref="Y42:Y48" si="104">W42+X42</f>
        <v>0</v>
      </c>
      <c r="Z42" s="3462"/>
      <c r="AA42" s="3462"/>
      <c r="AB42" s="3341"/>
      <c r="AC42" s="3341"/>
      <c r="AD42" s="3349">
        <f t="shared" ref="AD42:AD48" si="105">AB42+AC42</f>
        <v>0</v>
      </c>
      <c r="AE42" s="4428">
        <f t="shared" ref="AE42:AE49" si="106">AD42/AD$89</f>
        <v>0</v>
      </c>
      <c r="AF42" s="4429"/>
      <c r="AG42" s="3341"/>
      <c r="AH42" s="3341"/>
      <c r="AI42" s="3349">
        <f t="shared" ref="AI42:AI48" si="107">AG42+AH42</f>
        <v>0</v>
      </c>
      <c r="AJ42" s="4428">
        <f t="shared" ref="AJ42:AJ49" si="108">AI42/AI$89</f>
        <v>0</v>
      </c>
      <c r="AK42" s="4429"/>
      <c r="AL42" s="3341"/>
      <c r="AM42" s="3341"/>
      <c r="AN42" s="3349">
        <f t="shared" ref="AN42:AN48" si="109">AL42+AM42</f>
        <v>0</v>
      </c>
      <c r="AO42" s="4428">
        <f t="shared" ref="AO42:AO49" si="110">AN42/AN$89</f>
        <v>0</v>
      </c>
      <c r="AP42" s="4429"/>
      <c r="AQ42" s="3341"/>
      <c r="AR42" s="3341"/>
      <c r="AS42" s="3349">
        <f t="shared" ref="AS42:AS48" si="111">AQ42+AR42</f>
        <v>0</v>
      </c>
      <c r="AT42" s="4428">
        <f t="shared" ref="AT42:AT49" si="112">AS42/AS$89</f>
        <v>0</v>
      </c>
      <c r="AU42" s="4429"/>
      <c r="AV42" s="3341"/>
      <c r="AW42" s="3341"/>
      <c r="AX42" s="3349">
        <f t="shared" ref="AX42:AX48" si="113">AV42+AW42</f>
        <v>0</v>
      </c>
      <c r="AY42" s="4428">
        <f t="shared" ref="AY42:AY49" si="114">AX42/AX$89</f>
        <v>0</v>
      </c>
      <c r="AZ42" s="4429"/>
      <c r="BA42" s="3341"/>
      <c r="BB42" s="3341"/>
      <c r="BC42" s="3349">
        <f t="shared" ref="BC42:BC48" si="115">BA42+BB42</f>
        <v>0</v>
      </c>
      <c r="BD42" s="4428">
        <f t="shared" ref="BD42:BD49" si="116">BC42/BC$89</f>
        <v>0</v>
      </c>
      <c r="BE42" s="4429"/>
      <c r="BF42" s="3341"/>
      <c r="BG42" s="3341"/>
      <c r="BH42" s="3349">
        <f t="shared" ref="BH42:BH48" si="117">BF42+BG42</f>
        <v>0</v>
      </c>
      <c r="BI42" s="4428" t="e">
        <f t="shared" ref="BI42:BI49" si="118">BH42/BH$89</f>
        <v>#DIV/0!</v>
      </c>
      <c r="BJ42" s="4429"/>
      <c r="BK42" s="3341"/>
      <c r="BL42" s="3341"/>
      <c r="BM42" s="3349">
        <f t="shared" ref="BM42:BM48" si="119">BK42+BL42</f>
        <v>0</v>
      </c>
      <c r="BN42" s="4428" t="e">
        <f t="shared" ref="BN42:BN49" si="120">BM42/BM$89</f>
        <v>#DIV/0!</v>
      </c>
      <c r="BO42" s="4429"/>
      <c r="BP42" s="3341"/>
      <c r="BQ42" s="3341"/>
      <c r="BR42" s="3349">
        <f t="shared" ref="BR42:BR48" si="121">BP42+BQ42</f>
        <v>0</v>
      </c>
      <c r="BS42" s="4428" t="e">
        <f t="shared" ref="BS42:BS49" si="122">BR42/BR$89</f>
        <v>#DIV/0!</v>
      </c>
      <c r="BT42" s="4429"/>
      <c r="BU42" s="3341"/>
      <c r="BV42" s="3341"/>
      <c r="BW42" s="3349">
        <f t="shared" ref="BW42:BW48" si="123">BU42+BV42</f>
        <v>0</v>
      </c>
      <c r="BX42" s="4428" t="e">
        <f t="shared" ref="BX42:BX49" si="124">BW42/BW$89</f>
        <v>#DIV/0!</v>
      </c>
      <c r="BY42" s="4429"/>
      <c r="BZ42" s="3341"/>
      <c r="CA42" s="3341"/>
      <c r="CB42" s="3349">
        <f t="shared" ref="CB42:CB48" si="125">BZ42+CA42</f>
        <v>0</v>
      </c>
      <c r="CC42" s="4428" t="e">
        <f t="shared" ref="CC42:CC49" si="126">CB42/CB$89</f>
        <v>#DIV/0!</v>
      </c>
      <c r="CD42" s="4429"/>
      <c r="CE42" s="3341"/>
      <c r="CF42" s="3341"/>
      <c r="CG42" s="3349">
        <f t="shared" ref="CG42:CG48" si="127">CE42+CF42</f>
        <v>0</v>
      </c>
      <c r="CH42" s="4428" t="e">
        <f t="shared" ref="CH42:CH49" si="128">CG42/CG$89</f>
        <v>#DIV/0!</v>
      </c>
      <c r="CI42" s="4429"/>
      <c r="CJ42" s="3341">
        <f t="shared" ref="CJ42:CK48" si="129">C42+H42+M42+W42</f>
        <v>0</v>
      </c>
      <c r="CK42" s="3341">
        <f t="shared" si="129"/>
        <v>0</v>
      </c>
      <c r="CL42" s="2012">
        <f t="shared" ref="CL42:CL48" si="130">CJ42+CK42*1</f>
        <v>0</v>
      </c>
      <c r="CM42" s="4428">
        <f t="shared" si="94"/>
        <v>0</v>
      </c>
      <c r="CN42" s="4432"/>
      <c r="CP42" s="3765">
        <f t="shared" ref="CP42:CQ48" si="131">CN42+CO42*1</f>
        <v>0</v>
      </c>
      <c r="CQ42" s="3765">
        <f t="shared" si="131"/>
        <v>0</v>
      </c>
      <c r="CR42" s="4618"/>
    </row>
    <row r="43" spans="1:98" ht="13.8" outlineLevel="2">
      <c r="A43" s="4833"/>
      <c r="B43" s="4640" t="s">
        <v>27</v>
      </c>
      <c r="C43" s="3341"/>
      <c r="D43" s="3341"/>
      <c r="E43" s="3349">
        <f t="shared" si="95"/>
        <v>0</v>
      </c>
      <c r="F43" s="4428" t="e">
        <f t="shared" si="96"/>
        <v>#DIV/0!</v>
      </c>
      <c r="G43" s="4429"/>
      <c r="H43" s="3341"/>
      <c r="I43" s="3341"/>
      <c r="J43" s="3349">
        <f t="shared" si="97"/>
        <v>0</v>
      </c>
      <c r="K43" s="4428" t="e">
        <f t="shared" si="98"/>
        <v>#DIV/0!</v>
      </c>
      <c r="L43" s="4429"/>
      <c r="M43" s="3341"/>
      <c r="N43" s="3341"/>
      <c r="O43" s="3349">
        <f t="shared" si="99"/>
        <v>0</v>
      </c>
      <c r="P43" s="4428" t="e">
        <f t="shared" si="100"/>
        <v>#DIV/0!</v>
      </c>
      <c r="Q43" s="4429"/>
      <c r="R43" s="3342">
        <f t="shared" si="101"/>
        <v>0</v>
      </c>
      <c r="S43" s="3342">
        <f t="shared" si="101"/>
        <v>0</v>
      </c>
      <c r="T43" s="2012">
        <f t="shared" si="102"/>
        <v>0</v>
      </c>
      <c r="U43" s="3462"/>
      <c r="V43" s="3462"/>
      <c r="W43" s="3342">
        <f t="shared" si="103"/>
        <v>0</v>
      </c>
      <c r="X43" s="3342">
        <f t="shared" si="103"/>
        <v>0</v>
      </c>
      <c r="Y43" s="2012">
        <f t="shared" si="104"/>
        <v>0</v>
      </c>
      <c r="Z43" s="3462"/>
      <c r="AA43" s="3462"/>
      <c r="AB43" s="3341"/>
      <c r="AC43" s="3341"/>
      <c r="AD43" s="3349">
        <f t="shared" si="105"/>
        <v>0</v>
      </c>
      <c r="AE43" s="4428">
        <f t="shared" si="106"/>
        <v>0</v>
      </c>
      <c r="AF43" s="4429"/>
      <c r="AG43" s="3341"/>
      <c r="AH43" s="3341"/>
      <c r="AI43" s="3349">
        <f t="shared" si="107"/>
        <v>0</v>
      </c>
      <c r="AJ43" s="4428">
        <f t="shared" si="108"/>
        <v>0</v>
      </c>
      <c r="AK43" s="4429"/>
      <c r="AL43" s="3341"/>
      <c r="AM43" s="3341"/>
      <c r="AN43" s="3349">
        <f t="shared" si="109"/>
        <v>0</v>
      </c>
      <c r="AO43" s="4428">
        <f t="shared" si="110"/>
        <v>0</v>
      </c>
      <c r="AP43" s="4429"/>
      <c r="AQ43" s="3341"/>
      <c r="AR43" s="3341"/>
      <c r="AS43" s="3349">
        <f t="shared" si="111"/>
        <v>0</v>
      </c>
      <c r="AT43" s="4428">
        <f t="shared" si="112"/>
        <v>0</v>
      </c>
      <c r="AU43" s="4429"/>
      <c r="AV43" s="3341"/>
      <c r="AW43" s="3341"/>
      <c r="AX43" s="3349">
        <f t="shared" si="113"/>
        <v>0</v>
      </c>
      <c r="AY43" s="4428">
        <f t="shared" si="114"/>
        <v>0</v>
      </c>
      <c r="AZ43" s="4429"/>
      <c r="BA43" s="3341"/>
      <c r="BB43" s="3341"/>
      <c r="BC43" s="3349">
        <f t="shared" si="115"/>
        <v>0</v>
      </c>
      <c r="BD43" s="4428">
        <f t="shared" si="116"/>
        <v>0</v>
      </c>
      <c r="BE43" s="4429"/>
      <c r="BF43" s="3341"/>
      <c r="BG43" s="3341"/>
      <c r="BH43" s="3349">
        <f t="shared" si="117"/>
        <v>0</v>
      </c>
      <c r="BI43" s="4428" t="e">
        <f t="shared" si="118"/>
        <v>#DIV/0!</v>
      </c>
      <c r="BJ43" s="4429"/>
      <c r="BK43" s="3341"/>
      <c r="BL43" s="3341"/>
      <c r="BM43" s="3349">
        <f t="shared" si="119"/>
        <v>0</v>
      </c>
      <c r="BN43" s="4428" t="e">
        <f t="shared" si="120"/>
        <v>#DIV/0!</v>
      </c>
      <c r="BO43" s="4429"/>
      <c r="BP43" s="3341"/>
      <c r="BQ43" s="3341"/>
      <c r="BR43" s="3349">
        <f t="shared" si="121"/>
        <v>0</v>
      </c>
      <c r="BS43" s="4428" t="e">
        <f t="shared" si="122"/>
        <v>#DIV/0!</v>
      </c>
      <c r="BT43" s="4429"/>
      <c r="BU43" s="3341"/>
      <c r="BV43" s="3341"/>
      <c r="BW43" s="3349">
        <f t="shared" si="123"/>
        <v>0</v>
      </c>
      <c r="BX43" s="4428" t="e">
        <f t="shared" si="124"/>
        <v>#DIV/0!</v>
      </c>
      <c r="BY43" s="4429"/>
      <c r="BZ43" s="3341"/>
      <c r="CA43" s="3341"/>
      <c r="CB43" s="3349">
        <f t="shared" si="125"/>
        <v>0</v>
      </c>
      <c r="CC43" s="4428" t="e">
        <f t="shared" si="126"/>
        <v>#DIV/0!</v>
      </c>
      <c r="CD43" s="4429"/>
      <c r="CE43" s="3341"/>
      <c r="CF43" s="3341"/>
      <c r="CG43" s="3349">
        <f t="shared" si="127"/>
        <v>0</v>
      </c>
      <c r="CH43" s="4428" t="e">
        <f t="shared" si="128"/>
        <v>#DIV/0!</v>
      </c>
      <c r="CI43" s="4429"/>
      <c r="CJ43" s="3341">
        <f t="shared" si="129"/>
        <v>0</v>
      </c>
      <c r="CK43" s="3341">
        <f t="shared" si="129"/>
        <v>0</v>
      </c>
      <c r="CL43" s="2012">
        <f t="shared" si="130"/>
        <v>0</v>
      </c>
      <c r="CM43" s="4428">
        <f t="shared" si="94"/>
        <v>0</v>
      </c>
      <c r="CN43" s="4432"/>
      <c r="CP43" s="3765">
        <f t="shared" si="131"/>
        <v>0</v>
      </c>
      <c r="CQ43" s="3765">
        <f t="shared" si="131"/>
        <v>0</v>
      </c>
      <c r="CR43" s="4618"/>
    </row>
    <row r="44" spans="1:98" ht="13.8" outlineLevel="2">
      <c r="A44" s="4833"/>
      <c r="B44" s="4632" t="s">
        <v>28</v>
      </c>
      <c r="C44" s="3341"/>
      <c r="D44" s="3341"/>
      <c r="E44" s="3349">
        <f t="shared" si="95"/>
        <v>0</v>
      </c>
      <c r="F44" s="4428" t="e">
        <f t="shared" si="96"/>
        <v>#DIV/0!</v>
      </c>
      <c r="G44" s="4429"/>
      <c r="H44" s="3341"/>
      <c r="I44" s="3341"/>
      <c r="J44" s="3349">
        <f t="shared" si="97"/>
        <v>0</v>
      </c>
      <c r="K44" s="4428" t="e">
        <f t="shared" si="98"/>
        <v>#DIV/0!</v>
      </c>
      <c r="L44" s="4429"/>
      <c r="M44" s="3341"/>
      <c r="N44" s="3341"/>
      <c r="O44" s="3349">
        <f t="shared" si="99"/>
        <v>0</v>
      </c>
      <c r="P44" s="4428" t="e">
        <f t="shared" si="100"/>
        <v>#DIV/0!</v>
      </c>
      <c r="Q44" s="4429"/>
      <c r="R44" s="3342">
        <f t="shared" si="101"/>
        <v>0</v>
      </c>
      <c r="S44" s="3342">
        <f t="shared" si="101"/>
        <v>0</v>
      </c>
      <c r="T44" s="2012">
        <f t="shared" si="102"/>
        <v>0</v>
      </c>
      <c r="U44" s="3462"/>
      <c r="V44" s="3462"/>
      <c r="W44" s="3342">
        <f t="shared" si="103"/>
        <v>0</v>
      </c>
      <c r="X44" s="3342">
        <f t="shared" si="103"/>
        <v>0</v>
      </c>
      <c r="Y44" s="2012">
        <f t="shared" si="104"/>
        <v>0</v>
      </c>
      <c r="Z44" s="3462"/>
      <c r="AA44" s="3462"/>
      <c r="AB44" s="3341"/>
      <c r="AC44" s="3341"/>
      <c r="AD44" s="3349">
        <f t="shared" si="105"/>
        <v>0</v>
      </c>
      <c r="AE44" s="4428">
        <f t="shared" si="106"/>
        <v>0</v>
      </c>
      <c r="AF44" s="4429"/>
      <c r="AG44" s="3341"/>
      <c r="AH44" s="3341"/>
      <c r="AI44" s="3349">
        <f t="shared" si="107"/>
        <v>0</v>
      </c>
      <c r="AJ44" s="4428">
        <f t="shared" si="108"/>
        <v>0</v>
      </c>
      <c r="AK44" s="4429"/>
      <c r="AL44" s="3341"/>
      <c r="AM44" s="3341"/>
      <c r="AN44" s="3349">
        <f t="shared" si="109"/>
        <v>0</v>
      </c>
      <c r="AO44" s="4428">
        <f t="shared" si="110"/>
        <v>0</v>
      </c>
      <c r="AP44" s="4429"/>
      <c r="AQ44" s="3341"/>
      <c r="AR44" s="3341"/>
      <c r="AS44" s="3349">
        <f t="shared" si="111"/>
        <v>0</v>
      </c>
      <c r="AT44" s="4428">
        <f t="shared" si="112"/>
        <v>0</v>
      </c>
      <c r="AU44" s="4429"/>
      <c r="AV44" s="3341"/>
      <c r="AW44" s="3341"/>
      <c r="AX44" s="3349">
        <f t="shared" si="113"/>
        <v>0</v>
      </c>
      <c r="AY44" s="4428">
        <f t="shared" si="114"/>
        <v>0</v>
      </c>
      <c r="AZ44" s="4429"/>
      <c r="BA44" s="3341"/>
      <c r="BB44" s="3341"/>
      <c r="BC44" s="3349">
        <f t="shared" si="115"/>
        <v>0</v>
      </c>
      <c r="BD44" s="4428">
        <f t="shared" si="116"/>
        <v>0</v>
      </c>
      <c r="BE44" s="4429"/>
      <c r="BF44" s="3341"/>
      <c r="BG44" s="3341"/>
      <c r="BH44" s="3349">
        <f t="shared" si="117"/>
        <v>0</v>
      </c>
      <c r="BI44" s="4428" t="e">
        <f t="shared" si="118"/>
        <v>#DIV/0!</v>
      </c>
      <c r="BJ44" s="4429"/>
      <c r="BK44" s="3341"/>
      <c r="BL44" s="3341"/>
      <c r="BM44" s="3349">
        <f t="shared" si="119"/>
        <v>0</v>
      </c>
      <c r="BN44" s="4428" t="e">
        <f t="shared" si="120"/>
        <v>#DIV/0!</v>
      </c>
      <c r="BO44" s="4429"/>
      <c r="BP44" s="3341"/>
      <c r="BQ44" s="3341"/>
      <c r="BR44" s="3349">
        <f t="shared" si="121"/>
        <v>0</v>
      </c>
      <c r="BS44" s="4428" t="e">
        <f t="shared" si="122"/>
        <v>#DIV/0!</v>
      </c>
      <c r="BT44" s="4429"/>
      <c r="BU44" s="3341"/>
      <c r="BV44" s="3341"/>
      <c r="BW44" s="3349">
        <f t="shared" si="123"/>
        <v>0</v>
      </c>
      <c r="BX44" s="4428" t="e">
        <f t="shared" si="124"/>
        <v>#DIV/0!</v>
      </c>
      <c r="BY44" s="4429"/>
      <c r="BZ44" s="3341"/>
      <c r="CA44" s="3341"/>
      <c r="CB44" s="3349">
        <f t="shared" si="125"/>
        <v>0</v>
      </c>
      <c r="CC44" s="4428" t="e">
        <f t="shared" si="126"/>
        <v>#DIV/0!</v>
      </c>
      <c r="CD44" s="4429"/>
      <c r="CE44" s="3341"/>
      <c r="CF44" s="3341"/>
      <c r="CG44" s="3349">
        <f t="shared" si="127"/>
        <v>0</v>
      </c>
      <c r="CH44" s="4428" t="e">
        <f t="shared" si="128"/>
        <v>#DIV/0!</v>
      </c>
      <c r="CI44" s="4429"/>
      <c r="CJ44" s="3341">
        <f t="shared" si="129"/>
        <v>0</v>
      </c>
      <c r="CK44" s="3341">
        <f t="shared" si="129"/>
        <v>0</v>
      </c>
      <c r="CL44" s="2012">
        <f t="shared" si="130"/>
        <v>0</v>
      </c>
      <c r="CM44" s="4428">
        <f t="shared" si="94"/>
        <v>0</v>
      </c>
      <c r="CN44" s="4432"/>
      <c r="CP44" s="3765">
        <f t="shared" si="131"/>
        <v>0</v>
      </c>
      <c r="CQ44" s="3765">
        <f t="shared" si="131"/>
        <v>0</v>
      </c>
      <c r="CR44" s="4618"/>
    </row>
    <row r="45" spans="1:98" ht="13.8" outlineLevel="2">
      <c r="A45" s="4833"/>
      <c r="B45" s="4640" t="s">
        <v>8</v>
      </c>
      <c r="C45" s="3341"/>
      <c r="D45" s="3341"/>
      <c r="E45" s="3349">
        <f t="shared" si="95"/>
        <v>0</v>
      </c>
      <c r="F45" s="4428" t="e">
        <f t="shared" si="96"/>
        <v>#DIV/0!</v>
      </c>
      <c r="G45" s="4429"/>
      <c r="H45" s="3341"/>
      <c r="I45" s="3341"/>
      <c r="J45" s="3349">
        <f t="shared" si="97"/>
        <v>0</v>
      </c>
      <c r="K45" s="4428" t="e">
        <f t="shared" si="98"/>
        <v>#DIV/0!</v>
      </c>
      <c r="L45" s="4429"/>
      <c r="M45" s="3341"/>
      <c r="N45" s="3341"/>
      <c r="O45" s="3349">
        <f t="shared" si="99"/>
        <v>0</v>
      </c>
      <c r="P45" s="4428" t="e">
        <f t="shared" si="100"/>
        <v>#DIV/0!</v>
      </c>
      <c r="Q45" s="4429"/>
      <c r="R45" s="3342">
        <f t="shared" si="101"/>
        <v>0</v>
      </c>
      <c r="S45" s="3342">
        <f t="shared" si="101"/>
        <v>0</v>
      </c>
      <c r="T45" s="2012">
        <f t="shared" si="102"/>
        <v>0</v>
      </c>
      <c r="U45" s="3462"/>
      <c r="V45" s="3462"/>
      <c r="W45" s="3342">
        <f t="shared" si="103"/>
        <v>0</v>
      </c>
      <c r="X45" s="3342">
        <f t="shared" si="103"/>
        <v>0</v>
      </c>
      <c r="Y45" s="2012">
        <f t="shared" si="104"/>
        <v>0</v>
      </c>
      <c r="Z45" s="3462"/>
      <c r="AA45" s="3462"/>
      <c r="AB45" s="3341"/>
      <c r="AC45" s="3341"/>
      <c r="AD45" s="3349">
        <f t="shared" si="105"/>
        <v>0</v>
      </c>
      <c r="AE45" s="4428">
        <f t="shared" si="106"/>
        <v>0</v>
      </c>
      <c r="AF45" s="4429"/>
      <c r="AG45" s="3341"/>
      <c r="AH45" s="3341"/>
      <c r="AI45" s="3349">
        <f t="shared" si="107"/>
        <v>0</v>
      </c>
      <c r="AJ45" s="4428">
        <f t="shared" si="108"/>
        <v>0</v>
      </c>
      <c r="AK45" s="4429"/>
      <c r="AL45" s="3341"/>
      <c r="AM45" s="3341"/>
      <c r="AN45" s="3349">
        <f t="shared" si="109"/>
        <v>0</v>
      </c>
      <c r="AO45" s="4428">
        <f t="shared" si="110"/>
        <v>0</v>
      </c>
      <c r="AP45" s="4429"/>
      <c r="AQ45" s="3341"/>
      <c r="AR45" s="3341"/>
      <c r="AS45" s="3349">
        <f t="shared" si="111"/>
        <v>0</v>
      </c>
      <c r="AT45" s="4428">
        <f t="shared" si="112"/>
        <v>0</v>
      </c>
      <c r="AU45" s="4429"/>
      <c r="AV45" s="3341"/>
      <c r="AW45" s="3341"/>
      <c r="AX45" s="3349">
        <f t="shared" si="113"/>
        <v>0</v>
      </c>
      <c r="AY45" s="4428">
        <f t="shared" si="114"/>
        <v>0</v>
      </c>
      <c r="AZ45" s="4429"/>
      <c r="BA45" s="3341"/>
      <c r="BB45" s="3341"/>
      <c r="BC45" s="3349">
        <f t="shared" si="115"/>
        <v>0</v>
      </c>
      <c r="BD45" s="4428">
        <f t="shared" si="116"/>
        <v>0</v>
      </c>
      <c r="BE45" s="4429"/>
      <c r="BF45" s="3341"/>
      <c r="BG45" s="3341"/>
      <c r="BH45" s="3349">
        <f t="shared" si="117"/>
        <v>0</v>
      </c>
      <c r="BI45" s="4428" t="e">
        <f t="shared" si="118"/>
        <v>#DIV/0!</v>
      </c>
      <c r="BJ45" s="4429"/>
      <c r="BK45" s="3341"/>
      <c r="BL45" s="3341"/>
      <c r="BM45" s="3349">
        <f t="shared" si="119"/>
        <v>0</v>
      </c>
      <c r="BN45" s="4428" t="e">
        <f t="shared" si="120"/>
        <v>#DIV/0!</v>
      </c>
      <c r="BO45" s="4429"/>
      <c r="BP45" s="3341"/>
      <c r="BQ45" s="3341"/>
      <c r="BR45" s="3349">
        <f t="shared" si="121"/>
        <v>0</v>
      </c>
      <c r="BS45" s="4428" t="e">
        <f t="shared" si="122"/>
        <v>#DIV/0!</v>
      </c>
      <c r="BT45" s="4429"/>
      <c r="BU45" s="3341"/>
      <c r="BV45" s="3341"/>
      <c r="BW45" s="3349">
        <f t="shared" si="123"/>
        <v>0</v>
      </c>
      <c r="BX45" s="4428" t="e">
        <f t="shared" si="124"/>
        <v>#DIV/0!</v>
      </c>
      <c r="BY45" s="4429"/>
      <c r="BZ45" s="3341"/>
      <c r="CA45" s="3341"/>
      <c r="CB45" s="3349">
        <f t="shared" si="125"/>
        <v>0</v>
      </c>
      <c r="CC45" s="4428" t="e">
        <f t="shared" si="126"/>
        <v>#DIV/0!</v>
      </c>
      <c r="CD45" s="4429"/>
      <c r="CE45" s="3341"/>
      <c r="CF45" s="3341"/>
      <c r="CG45" s="3349">
        <f t="shared" si="127"/>
        <v>0</v>
      </c>
      <c r="CH45" s="4428" t="e">
        <f t="shared" si="128"/>
        <v>#DIV/0!</v>
      </c>
      <c r="CI45" s="4429"/>
      <c r="CJ45" s="3341">
        <f t="shared" si="129"/>
        <v>0</v>
      </c>
      <c r="CK45" s="3341">
        <f t="shared" si="129"/>
        <v>0</v>
      </c>
      <c r="CL45" s="2012">
        <f t="shared" si="130"/>
        <v>0</v>
      </c>
      <c r="CM45" s="4428">
        <f t="shared" si="94"/>
        <v>0</v>
      </c>
      <c r="CN45" s="4432"/>
      <c r="CP45" s="3765">
        <f t="shared" si="131"/>
        <v>0</v>
      </c>
      <c r="CQ45" s="3765">
        <f t="shared" si="131"/>
        <v>0</v>
      </c>
      <c r="CR45" s="4618"/>
    </row>
    <row r="46" spans="1:98" ht="13.8" outlineLevel="2">
      <c r="A46" s="4833"/>
      <c r="B46" s="4640" t="s">
        <v>29</v>
      </c>
      <c r="C46" s="3341"/>
      <c r="D46" s="3341"/>
      <c r="E46" s="3349">
        <f t="shared" si="95"/>
        <v>0</v>
      </c>
      <c r="F46" s="4428" t="e">
        <f t="shared" si="96"/>
        <v>#DIV/0!</v>
      </c>
      <c r="G46" s="4429"/>
      <c r="H46" s="3341"/>
      <c r="I46" s="3341"/>
      <c r="J46" s="3349">
        <f t="shared" si="97"/>
        <v>0</v>
      </c>
      <c r="K46" s="4428" t="e">
        <f t="shared" si="98"/>
        <v>#DIV/0!</v>
      </c>
      <c r="L46" s="4429"/>
      <c r="M46" s="3341"/>
      <c r="N46" s="3341"/>
      <c r="O46" s="3349">
        <f t="shared" si="99"/>
        <v>0</v>
      </c>
      <c r="P46" s="4428" t="e">
        <f t="shared" si="100"/>
        <v>#DIV/0!</v>
      </c>
      <c r="Q46" s="4429"/>
      <c r="R46" s="3342">
        <f t="shared" si="101"/>
        <v>0</v>
      </c>
      <c r="S46" s="3342">
        <f t="shared" si="101"/>
        <v>0</v>
      </c>
      <c r="T46" s="2012">
        <f t="shared" si="102"/>
        <v>0</v>
      </c>
      <c r="U46" s="3462"/>
      <c r="V46" s="3462"/>
      <c r="W46" s="3342">
        <f t="shared" si="103"/>
        <v>0</v>
      </c>
      <c r="X46" s="3342">
        <f t="shared" si="103"/>
        <v>0</v>
      </c>
      <c r="Y46" s="2012">
        <f t="shared" si="104"/>
        <v>0</v>
      </c>
      <c r="Z46" s="3462"/>
      <c r="AA46" s="3462"/>
      <c r="AB46" s="3341"/>
      <c r="AC46" s="3341"/>
      <c r="AD46" s="3349">
        <f t="shared" si="105"/>
        <v>0</v>
      </c>
      <c r="AE46" s="4428">
        <f t="shared" si="106"/>
        <v>0</v>
      </c>
      <c r="AF46" s="4429"/>
      <c r="AG46" s="3341"/>
      <c r="AH46" s="3341"/>
      <c r="AI46" s="3349">
        <f t="shared" si="107"/>
        <v>0</v>
      </c>
      <c r="AJ46" s="4428">
        <f t="shared" si="108"/>
        <v>0</v>
      </c>
      <c r="AK46" s="4429"/>
      <c r="AL46" s="3341"/>
      <c r="AM46" s="3341"/>
      <c r="AN46" s="3349">
        <f t="shared" si="109"/>
        <v>0</v>
      </c>
      <c r="AO46" s="4428">
        <f t="shared" si="110"/>
        <v>0</v>
      </c>
      <c r="AP46" s="4429"/>
      <c r="AQ46" s="3341"/>
      <c r="AR46" s="3341"/>
      <c r="AS46" s="3349">
        <f t="shared" si="111"/>
        <v>0</v>
      </c>
      <c r="AT46" s="4428">
        <f t="shared" si="112"/>
        <v>0</v>
      </c>
      <c r="AU46" s="4429"/>
      <c r="AV46" s="3341"/>
      <c r="AW46" s="3341"/>
      <c r="AX46" s="3349">
        <f t="shared" si="113"/>
        <v>0</v>
      </c>
      <c r="AY46" s="4428">
        <f t="shared" si="114"/>
        <v>0</v>
      </c>
      <c r="AZ46" s="4429"/>
      <c r="BA46" s="3341"/>
      <c r="BB46" s="3341"/>
      <c r="BC46" s="3349">
        <f t="shared" si="115"/>
        <v>0</v>
      </c>
      <c r="BD46" s="4428">
        <f t="shared" si="116"/>
        <v>0</v>
      </c>
      <c r="BE46" s="4429"/>
      <c r="BF46" s="3341"/>
      <c r="BG46" s="3341"/>
      <c r="BH46" s="3349">
        <f t="shared" si="117"/>
        <v>0</v>
      </c>
      <c r="BI46" s="4428" t="e">
        <f t="shared" si="118"/>
        <v>#DIV/0!</v>
      </c>
      <c r="BJ46" s="4429"/>
      <c r="BK46" s="3341"/>
      <c r="BL46" s="3341"/>
      <c r="BM46" s="3349">
        <f t="shared" si="119"/>
        <v>0</v>
      </c>
      <c r="BN46" s="4428" t="e">
        <f t="shared" si="120"/>
        <v>#DIV/0!</v>
      </c>
      <c r="BO46" s="4429"/>
      <c r="BP46" s="3341"/>
      <c r="BQ46" s="3341"/>
      <c r="BR46" s="3349">
        <f t="shared" si="121"/>
        <v>0</v>
      </c>
      <c r="BS46" s="4428" t="e">
        <f t="shared" si="122"/>
        <v>#DIV/0!</v>
      </c>
      <c r="BT46" s="4429"/>
      <c r="BU46" s="3341"/>
      <c r="BV46" s="3341"/>
      <c r="BW46" s="3349">
        <f t="shared" si="123"/>
        <v>0</v>
      </c>
      <c r="BX46" s="4428" t="e">
        <f t="shared" si="124"/>
        <v>#DIV/0!</v>
      </c>
      <c r="BY46" s="4429"/>
      <c r="BZ46" s="3341"/>
      <c r="CA46" s="3341"/>
      <c r="CB46" s="3349">
        <f t="shared" si="125"/>
        <v>0</v>
      </c>
      <c r="CC46" s="4428" t="e">
        <f t="shared" si="126"/>
        <v>#DIV/0!</v>
      </c>
      <c r="CD46" s="4429"/>
      <c r="CE46" s="3341"/>
      <c r="CF46" s="3341"/>
      <c r="CG46" s="3349">
        <f t="shared" si="127"/>
        <v>0</v>
      </c>
      <c r="CH46" s="4428" t="e">
        <f t="shared" si="128"/>
        <v>#DIV/0!</v>
      </c>
      <c r="CI46" s="4429"/>
      <c r="CJ46" s="3341">
        <f t="shared" si="129"/>
        <v>0</v>
      </c>
      <c r="CK46" s="3341">
        <f t="shared" si="129"/>
        <v>0</v>
      </c>
      <c r="CL46" s="2012">
        <f t="shared" si="130"/>
        <v>0</v>
      </c>
      <c r="CM46" s="4428">
        <f t="shared" si="94"/>
        <v>0</v>
      </c>
      <c r="CN46" s="4432"/>
      <c r="CP46" s="3765">
        <f t="shared" si="131"/>
        <v>0</v>
      </c>
      <c r="CQ46" s="3765">
        <f t="shared" si="131"/>
        <v>0</v>
      </c>
      <c r="CR46" s="4618"/>
    </row>
    <row r="47" spans="1:98" ht="13.8" outlineLevel="2">
      <c r="A47" s="4833"/>
      <c r="B47" s="4640" t="s">
        <v>30</v>
      </c>
      <c r="C47" s="3341"/>
      <c r="D47" s="3341"/>
      <c r="E47" s="3349">
        <f t="shared" si="95"/>
        <v>0</v>
      </c>
      <c r="F47" s="4428" t="e">
        <f t="shared" si="96"/>
        <v>#DIV/0!</v>
      </c>
      <c r="G47" s="4429"/>
      <c r="H47" s="3341"/>
      <c r="I47" s="3341"/>
      <c r="J47" s="3349">
        <f t="shared" si="97"/>
        <v>0</v>
      </c>
      <c r="K47" s="4428" t="e">
        <f t="shared" si="98"/>
        <v>#DIV/0!</v>
      </c>
      <c r="L47" s="4429"/>
      <c r="M47" s="3341"/>
      <c r="N47" s="3341"/>
      <c r="O47" s="3349">
        <f t="shared" si="99"/>
        <v>0</v>
      </c>
      <c r="P47" s="4428" t="e">
        <f t="shared" si="100"/>
        <v>#DIV/0!</v>
      </c>
      <c r="Q47" s="4429"/>
      <c r="R47" s="3342">
        <f t="shared" si="101"/>
        <v>0</v>
      </c>
      <c r="S47" s="3342">
        <f t="shared" si="101"/>
        <v>0</v>
      </c>
      <c r="T47" s="2012">
        <f t="shared" si="102"/>
        <v>0</v>
      </c>
      <c r="U47" s="3462"/>
      <c r="V47" s="3462"/>
      <c r="W47" s="3342">
        <f t="shared" si="103"/>
        <v>0</v>
      </c>
      <c r="X47" s="3342">
        <f t="shared" si="103"/>
        <v>0</v>
      </c>
      <c r="Y47" s="2012">
        <f t="shared" si="104"/>
        <v>0</v>
      </c>
      <c r="Z47" s="3462"/>
      <c r="AA47" s="3462"/>
      <c r="AB47" s="3341"/>
      <c r="AC47" s="3341"/>
      <c r="AD47" s="3349">
        <f t="shared" si="105"/>
        <v>0</v>
      </c>
      <c r="AE47" s="4428">
        <f t="shared" si="106"/>
        <v>0</v>
      </c>
      <c r="AF47" s="4429"/>
      <c r="AG47" s="3341"/>
      <c r="AH47" s="3341"/>
      <c r="AI47" s="3349">
        <f t="shared" si="107"/>
        <v>0</v>
      </c>
      <c r="AJ47" s="4428">
        <f t="shared" si="108"/>
        <v>0</v>
      </c>
      <c r="AK47" s="4429"/>
      <c r="AL47" s="3341"/>
      <c r="AM47" s="3341"/>
      <c r="AN47" s="3349">
        <f t="shared" si="109"/>
        <v>0</v>
      </c>
      <c r="AO47" s="4428">
        <f t="shared" si="110"/>
        <v>0</v>
      </c>
      <c r="AP47" s="4429"/>
      <c r="AQ47" s="3341"/>
      <c r="AR47" s="3341"/>
      <c r="AS47" s="3349">
        <f t="shared" si="111"/>
        <v>0</v>
      </c>
      <c r="AT47" s="4428">
        <f t="shared" si="112"/>
        <v>0</v>
      </c>
      <c r="AU47" s="4429"/>
      <c r="AV47" s="3341"/>
      <c r="AW47" s="3341"/>
      <c r="AX47" s="3349">
        <f t="shared" si="113"/>
        <v>0</v>
      </c>
      <c r="AY47" s="4428">
        <f t="shared" si="114"/>
        <v>0</v>
      </c>
      <c r="AZ47" s="4429"/>
      <c r="BA47" s="3341"/>
      <c r="BB47" s="3341"/>
      <c r="BC47" s="3349">
        <f t="shared" si="115"/>
        <v>0</v>
      </c>
      <c r="BD47" s="4428">
        <f t="shared" si="116"/>
        <v>0</v>
      </c>
      <c r="BE47" s="4429"/>
      <c r="BF47" s="3341"/>
      <c r="BG47" s="3341"/>
      <c r="BH47" s="3349">
        <f t="shared" si="117"/>
        <v>0</v>
      </c>
      <c r="BI47" s="4428" t="e">
        <f t="shared" si="118"/>
        <v>#DIV/0!</v>
      </c>
      <c r="BJ47" s="4429"/>
      <c r="BK47" s="3341"/>
      <c r="BL47" s="3341"/>
      <c r="BM47" s="3349">
        <f t="shared" si="119"/>
        <v>0</v>
      </c>
      <c r="BN47" s="4428" t="e">
        <f t="shared" si="120"/>
        <v>#DIV/0!</v>
      </c>
      <c r="BO47" s="4429"/>
      <c r="BP47" s="3341"/>
      <c r="BQ47" s="3341"/>
      <c r="BR47" s="3349">
        <f t="shared" si="121"/>
        <v>0</v>
      </c>
      <c r="BS47" s="4428" t="e">
        <f t="shared" si="122"/>
        <v>#DIV/0!</v>
      </c>
      <c r="BT47" s="4429"/>
      <c r="BU47" s="3341"/>
      <c r="BV47" s="3341"/>
      <c r="BW47" s="3349">
        <f t="shared" si="123"/>
        <v>0</v>
      </c>
      <c r="BX47" s="4428" t="e">
        <f t="shared" si="124"/>
        <v>#DIV/0!</v>
      </c>
      <c r="BY47" s="4429"/>
      <c r="BZ47" s="3341"/>
      <c r="CA47" s="3341"/>
      <c r="CB47" s="3349">
        <f t="shared" si="125"/>
        <v>0</v>
      </c>
      <c r="CC47" s="4428" t="e">
        <f t="shared" si="126"/>
        <v>#DIV/0!</v>
      </c>
      <c r="CD47" s="4429"/>
      <c r="CE47" s="3341"/>
      <c r="CF47" s="3341"/>
      <c r="CG47" s="3349">
        <f t="shared" si="127"/>
        <v>0</v>
      </c>
      <c r="CH47" s="4428" t="e">
        <f t="shared" si="128"/>
        <v>#DIV/0!</v>
      </c>
      <c r="CI47" s="4429"/>
      <c r="CJ47" s="3341">
        <f t="shared" si="129"/>
        <v>0</v>
      </c>
      <c r="CK47" s="3341">
        <f t="shared" si="129"/>
        <v>0</v>
      </c>
      <c r="CL47" s="2012">
        <f t="shared" si="130"/>
        <v>0</v>
      </c>
      <c r="CM47" s="4428">
        <f t="shared" si="94"/>
        <v>0</v>
      </c>
      <c r="CN47" s="4432"/>
      <c r="CP47" s="3765">
        <f t="shared" si="131"/>
        <v>0</v>
      </c>
      <c r="CQ47" s="3765">
        <f t="shared" si="131"/>
        <v>0</v>
      </c>
      <c r="CR47" s="4618"/>
    </row>
    <row r="48" spans="1:98" ht="13.8" outlineLevel="2">
      <c r="A48" s="4833"/>
      <c r="B48" s="4640" t="s">
        <v>15</v>
      </c>
      <c r="C48" s="3341"/>
      <c r="D48" s="3341"/>
      <c r="E48" s="3349">
        <f t="shared" si="95"/>
        <v>0</v>
      </c>
      <c r="F48" s="4428" t="e">
        <f t="shared" si="96"/>
        <v>#DIV/0!</v>
      </c>
      <c r="G48" s="4429"/>
      <c r="H48" s="3341"/>
      <c r="I48" s="3341"/>
      <c r="J48" s="3349">
        <f t="shared" si="97"/>
        <v>0</v>
      </c>
      <c r="K48" s="4428" t="e">
        <f t="shared" si="98"/>
        <v>#DIV/0!</v>
      </c>
      <c r="L48" s="4429"/>
      <c r="M48" s="3341"/>
      <c r="N48" s="3341"/>
      <c r="O48" s="3349">
        <f t="shared" si="99"/>
        <v>0</v>
      </c>
      <c r="P48" s="4428" t="e">
        <f t="shared" si="100"/>
        <v>#DIV/0!</v>
      </c>
      <c r="Q48" s="4429"/>
      <c r="R48" s="3342">
        <f t="shared" si="101"/>
        <v>0</v>
      </c>
      <c r="S48" s="3342">
        <f t="shared" si="101"/>
        <v>0</v>
      </c>
      <c r="T48" s="2012">
        <f t="shared" si="102"/>
        <v>0</v>
      </c>
      <c r="U48" s="4641"/>
      <c r="V48" s="4429"/>
      <c r="W48" s="4642">
        <f t="shared" si="103"/>
        <v>0</v>
      </c>
      <c r="X48" s="4642">
        <f t="shared" si="103"/>
        <v>0</v>
      </c>
      <c r="Y48" s="4453">
        <f t="shared" si="104"/>
        <v>0</v>
      </c>
      <c r="Z48" s="4429"/>
      <c r="AA48" s="4429"/>
      <c r="AB48" s="4623"/>
      <c r="AC48" s="4623"/>
      <c r="AD48" s="4643">
        <f t="shared" si="105"/>
        <v>0</v>
      </c>
      <c r="AE48" s="4428">
        <f t="shared" si="106"/>
        <v>0</v>
      </c>
      <c r="AF48" s="4429"/>
      <c r="AG48" s="4623"/>
      <c r="AH48" s="3341"/>
      <c r="AI48" s="3349">
        <f t="shared" si="107"/>
        <v>0</v>
      </c>
      <c r="AJ48" s="4428">
        <f t="shared" si="108"/>
        <v>0</v>
      </c>
      <c r="AK48" s="4429"/>
      <c r="AL48" s="3341"/>
      <c r="AM48" s="3341"/>
      <c r="AN48" s="3349">
        <f t="shared" si="109"/>
        <v>0</v>
      </c>
      <c r="AO48" s="4428">
        <f t="shared" si="110"/>
        <v>0</v>
      </c>
      <c r="AP48" s="4429"/>
      <c r="AQ48" s="3341"/>
      <c r="AR48" s="3341"/>
      <c r="AS48" s="3349">
        <f t="shared" si="111"/>
        <v>0</v>
      </c>
      <c r="AT48" s="4428">
        <f t="shared" si="112"/>
        <v>0</v>
      </c>
      <c r="AU48" s="4429"/>
      <c r="AV48" s="3341"/>
      <c r="AW48" s="3341"/>
      <c r="AX48" s="3349">
        <f t="shared" si="113"/>
        <v>0</v>
      </c>
      <c r="AY48" s="4428">
        <f t="shared" si="114"/>
        <v>0</v>
      </c>
      <c r="AZ48" s="4429"/>
      <c r="BA48" s="3341"/>
      <c r="BB48" s="3341"/>
      <c r="BC48" s="3349">
        <f t="shared" si="115"/>
        <v>0</v>
      </c>
      <c r="BD48" s="4428">
        <f t="shared" si="116"/>
        <v>0</v>
      </c>
      <c r="BE48" s="4429"/>
      <c r="BF48" s="3341"/>
      <c r="BG48" s="3341"/>
      <c r="BH48" s="3349">
        <f t="shared" si="117"/>
        <v>0</v>
      </c>
      <c r="BI48" s="4428" t="e">
        <f t="shared" si="118"/>
        <v>#DIV/0!</v>
      </c>
      <c r="BJ48" s="4429"/>
      <c r="BK48" s="3341"/>
      <c r="BL48" s="3341"/>
      <c r="BM48" s="3349">
        <f t="shared" si="119"/>
        <v>0</v>
      </c>
      <c r="BN48" s="4428" t="e">
        <f t="shared" si="120"/>
        <v>#DIV/0!</v>
      </c>
      <c r="BO48" s="4429"/>
      <c r="BP48" s="3341"/>
      <c r="BQ48" s="3341"/>
      <c r="BR48" s="3349">
        <f t="shared" si="121"/>
        <v>0</v>
      </c>
      <c r="BS48" s="4428" t="e">
        <f t="shared" si="122"/>
        <v>#DIV/0!</v>
      </c>
      <c r="BT48" s="4429"/>
      <c r="BU48" s="3341"/>
      <c r="BV48" s="3341"/>
      <c r="BW48" s="3349">
        <f t="shared" si="123"/>
        <v>0</v>
      </c>
      <c r="BX48" s="4428" t="e">
        <f t="shared" si="124"/>
        <v>#DIV/0!</v>
      </c>
      <c r="BY48" s="4429"/>
      <c r="BZ48" s="3341"/>
      <c r="CA48" s="3341"/>
      <c r="CB48" s="3349">
        <f t="shared" si="125"/>
        <v>0</v>
      </c>
      <c r="CC48" s="4428" t="e">
        <f t="shared" si="126"/>
        <v>#DIV/0!</v>
      </c>
      <c r="CD48" s="4429"/>
      <c r="CE48" s="3341"/>
      <c r="CF48" s="3341"/>
      <c r="CG48" s="3349">
        <f t="shared" si="127"/>
        <v>0</v>
      </c>
      <c r="CH48" s="4428" t="e">
        <f t="shared" si="128"/>
        <v>#DIV/0!</v>
      </c>
      <c r="CI48" s="4429"/>
      <c r="CJ48" s="3341">
        <f t="shared" si="129"/>
        <v>0</v>
      </c>
      <c r="CK48" s="3341">
        <f t="shared" si="129"/>
        <v>0</v>
      </c>
      <c r="CL48" s="2012">
        <f t="shared" si="130"/>
        <v>0</v>
      </c>
      <c r="CM48" s="4428">
        <f t="shared" si="94"/>
        <v>0</v>
      </c>
      <c r="CN48" s="4432"/>
      <c r="CP48" s="3765">
        <f t="shared" si="131"/>
        <v>0</v>
      </c>
      <c r="CQ48" s="3765">
        <f t="shared" si="131"/>
        <v>0</v>
      </c>
      <c r="CR48" s="4618"/>
    </row>
    <row r="49" spans="1:98" s="1396" customFormat="1" ht="14.4" outlineLevel="2" thickBot="1">
      <c r="A49" s="1405"/>
      <c r="B49" s="4644"/>
      <c r="C49" s="3341"/>
      <c r="D49" s="3341"/>
      <c r="E49" s="4609"/>
      <c r="F49" s="4437"/>
      <c r="G49" s="4634"/>
      <c r="H49" s="3341"/>
      <c r="I49" s="3341"/>
      <c r="J49" s="4609"/>
      <c r="K49" s="4437"/>
      <c r="L49" s="4634"/>
      <c r="M49" s="3341"/>
      <c r="N49" s="3341"/>
      <c r="O49" s="4609"/>
      <c r="P49" s="4437"/>
      <c r="Q49" s="4634"/>
      <c r="R49" s="3456"/>
      <c r="S49" s="3456"/>
      <c r="T49" s="3456"/>
      <c r="U49" s="3733"/>
      <c r="V49" s="3734"/>
      <c r="W49" s="3734"/>
      <c r="X49" s="3734"/>
      <c r="Y49" s="3734"/>
      <c r="Z49" s="3734"/>
      <c r="AA49" s="3734"/>
      <c r="AB49" s="3375"/>
      <c r="AC49" s="3375"/>
      <c r="AD49" s="4609"/>
      <c r="AE49" s="4437">
        <f t="shared" si="106"/>
        <v>0</v>
      </c>
      <c r="AF49" s="4634"/>
      <c r="AG49" s="3375"/>
      <c r="AH49" s="3341"/>
      <c r="AI49" s="4609"/>
      <c r="AJ49" s="4437">
        <f t="shared" si="108"/>
        <v>0</v>
      </c>
      <c r="AK49" s="4634"/>
      <c r="AL49" s="3341"/>
      <c r="AM49" s="3341"/>
      <c r="AN49" s="4609"/>
      <c r="AO49" s="4437">
        <f t="shared" si="110"/>
        <v>0</v>
      </c>
      <c r="AP49" s="4634"/>
      <c r="AQ49" s="3341"/>
      <c r="AR49" s="3341"/>
      <c r="AS49" s="4609"/>
      <c r="AT49" s="4437">
        <f t="shared" si="112"/>
        <v>0</v>
      </c>
      <c r="AU49" s="4634"/>
      <c r="AV49" s="3341"/>
      <c r="AW49" s="3341"/>
      <c r="AX49" s="4609"/>
      <c r="AY49" s="4437">
        <f t="shared" si="114"/>
        <v>0</v>
      </c>
      <c r="AZ49" s="4634"/>
      <c r="BA49" s="3341"/>
      <c r="BB49" s="3341"/>
      <c r="BC49" s="4609"/>
      <c r="BD49" s="4437">
        <f t="shared" si="116"/>
        <v>0</v>
      </c>
      <c r="BE49" s="4634"/>
      <c r="BF49" s="3341"/>
      <c r="BG49" s="3341"/>
      <c r="BH49" s="4609"/>
      <c r="BI49" s="4437" t="e">
        <f t="shared" si="118"/>
        <v>#DIV/0!</v>
      </c>
      <c r="BJ49" s="4634"/>
      <c r="BK49" s="3341"/>
      <c r="BL49" s="3341"/>
      <c r="BM49" s="4609"/>
      <c r="BN49" s="4437" t="e">
        <f t="shared" si="120"/>
        <v>#DIV/0!</v>
      </c>
      <c r="BO49" s="4634"/>
      <c r="BP49" s="3341"/>
      <c r="BQ49" s="3341"/>
      <c r="BR49" s="4609"/>
      <c r="BS49" s="4437" t="e">
        <f t="shared" si="122"/>
        <v>#DIV/0!</v>
      </c>
      <c r="BT49" s="4634"/>
      <c r="BU49" s="3341"/>
      <c r="BV49" s="3341"/>
      <c r="BW49" s="4609"/>
      <c r="BX49" s="4437" t="e">
        <f t="shared" si="124"/>
        <v>#DIV/0!</v>
      </c>
      <c r="BY49" s="4634"/>
      <c r="BZ49" s="3341"/>
      <c r="CA49" s="3341"/>
      <c r="CB49" s="4609"/>
      <c r="CC49" s="4437" t="e">
        <f t="shared" si="126"/>
        <v>#DIV/0!</v>
      </c>
      <c r="CD49" s="4634"/>
      <c r="CE49" s="3341"/>
      <c r="CF49" s="3341"/>
      <c r="CG49" s="4609"/>
      <c r="CH49" s="4437" t="e">
        <f t="shared" si="128"/>
        <v>#DIV/0!</v>
      </c>
      <c r="CI49" s="4634"/>
      <c r="CJ49" s="3341"/>
      <c r="CK49" s="3341"/>
      <c r="CL49" s="4609"/>
      <c r="CM49" s="4428">
        <f t="shared" si="94"/>
        <v>0</v>
      </c>
      <c r="CN49" s="4609"/>
      <c r="CP49" s="4659"/>
      <c r="CQ49" s="4659"/>
      <c r="CR49" s="4618"/>
      <c r="CT49" s="2624"/>
    </row>
    <row r="50" spans="1:98" s="1396" customFormat="1" ht="13.8" outlineLevel="1">
      <c r="A50" s="1565"/>
      <c r="B50" s="1410" t="s">
        <v>59</v>
      </c>
      <c r="C50" s="2015">
        <f>C52+C51</f>
        <v>0</v>
      </c>
      <c r="D50" s="2015">
        <f>D52+D51</f>
        <v>0</v>
      </c>
      <c r="E50" s="2014">
        <f>SUM(E51:E52)</f>
        <v>0</v>
      </c>
      <c r="F50" s="4449" t="e">
        <f>E50/$E$89</f>
        <v>#DIV/0!</v>
      </c>
      <c r="G50" s="1057"/>
      <c r="H50" s="2015">
        <f>H52+H51</f>
        <v>0</v>
      </c>
      <c r="I50" s="2015">
        <f>I52+I51</f>
        <v>0</v>
      </c>
      <c r="J50" s="2014">
        <f>SUM(J51:J52)</f>
        <v>0</v>
      </c>
      <c r="K50" s="4449" t="e">
        <f>J50/$E$89</f>
        <v>#DIV/0!</v>
      </c>
      <c r="L50" s="1057"/>
      <c r="M50" s="2015">
        <f>M52+M51</f>
        <v>0</v>
      </c>
      <c r="N50" s="2015">
        <f>N52+N51</f>
        <v>0</v>
      </c>
      <c r="O50" s="2014">
        <f>SUM(O51:O52)</f>
        <v>0</v>
      </c>
      <c r="P50" s="4449" t="e">
        <f>O50/$E$89</f>
        <v>#DIV/0!</v>
      </c>
      <c r="Q50" s="1057"/>
      <c r="R50" s="2015">
        <f>R52+R51</f>
        <v>0</v>
      </c>
      <c r="S50" s="2015">
        <f>S52+S51</f>
        <v>0</v>
      </c>
      <c r="T50" s="2015">
        <f>SUM(T51:T52)</f>
        <v>0</v>
      </c>
      <c r="U50" s="1535"/>
      <c r="V50" s="3460"/>
      <c r="W50" s="2013">
        <f>W52+W51</f>
        <v>0</v>
      </c>
      <c r="X50" s="2013">
        <f>X52+X51</f>
        <v>0</v>
      </c>
      <c r="Y50" s="2013">
        <f>SUM(Y51:Y52)</f>
        <v>0</v>
      </c>
      <c r="Z50" s="1535"/>
      <c r="AA50" s="3460"/>
      <c r="AB50" s="2013">
        <f>AB52+AB51</f>
        <v>0</v>
      </c>
      <c r="AC50" s="2013">
        <f>AC52+AC51</f>
        <v>0</v>
      </c>
      <c r="AD50" s="2013">
        <f>SUM(AD51:AD52)</f>
        <v>0</v>
      </c>
      <c r="AE50" s="1535"/>
      <c r="AF50" s="3735"/>
      <c r="AG50" s="2013">
        <f>AG52+AG51</f>
        <v>0</v>
      </c>
      <c r="AH50" s="2015">
        <f>AH52+AH51</f>
        <v>0</v>
      </c>
      <c r="AI50" s="2015">
        <f>SUM(AI51:AI52)</f>
        <v>0</v>
      </c>
      <c r="AJ50" s="1535"/>
      <c r="AK50" s="1057"/>
      <c r="AL50" s="2015">
        <f>AL52+AL51</f>
        <v>0</v>
      </c>
      <c r="AM50" s="2015">
        <f>AM52+AM51</f>
        <v>0</v>
      </c>
      <c r="AN50" s="2015">
        <f>SUM(AN51:AN52)</f>
        <v>0</v>
      </c>
      <c r="AO50" s="1535"/>
      <c r="AP50" s="1057"/>
      <c r="AQ50" s="2015">
        <f>AQ52+AQ51</f>
        <v>0</v>
      </c>
      <c r="AR50" s="2015">
        <f>AR52+AR51</f>
        <v>0</v>
      </c>
      <c r="AS50" s="2015">
        <f>SUM(AS51:AS52)</f>
        <v>0</v>
      </c>
      <c r="AT50" s="1535"/>
      <c r="AU50" s="1057"/>
      <c r="AV50" s="2015">
        <f>AV52+AV51</f>
        <v>0</v>
      </c>
      <c r="AW50" s="2015">
        <f>AW52+AW51</f>
        <v>0</v>
      </c>
      <c r="AX50" s="2015">
        <f>SUM(AX51:AX52)</f>
        <v>0</v>
      </c>
      <c r="AY50" s="1535"/>
      <c r="AZ50" s="1057"/>
      <c r="BA50" s="2015">
        <f>BA52+BA51</f>
        <v>0</v>
      </c>
      <c r="BB50" s="2015">
        <f>BB52+BB51</f>
        <v>0</v>
      </c>
      <c r="BC50" s="2015">
        <f>SUM(BC51:BC52)</f>
        <v>0</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0</v>
      </c>
      <c r="CK50" s="2015">
        <f>CK52+CK51</f>
        <v>0</v>
      </c>
      <c r="CL50" s="2015">
        <f>SUM(CL51:CL52)</f>
        <v>0</v>
      </c>
      <c r="CM50" s="2006"/>
      <c r="CN50" s="2006"/>
      <c r="CP50" s="3770">
        <f>SUM(CP51:CP52)</f>
        <v>0</v>
      </c>
      <c r="CQ50" s="3770">
        <f>SUM(CQ51:CQ52)</f>
        <v>0</v>
      </c>
      <c r="CR50" s="3770"/>
      <c r="CT50" s="2624"/>
    </row>
    <row r="51" spans="1:98" s="1396" customFormat="1" ht="13.8" outlineLevel="1">
      <c r="A51" s="1566"/>
      <c r="B51" s="4640" t="s">
        <v>60</v>
      </c>
      <c r="C51" s="3341"/>
      <c r="D51" s="3341"/>
      <c r="E51" s="3349">
        <f t="shared" ref="E51:E52" si="132">C51+D51</f>
        <v>0</v>
      </c>
      <c r="F51" s="4428" t="e">
        <f t="shared" ref="F51:F71" si="133">E51/$E$89</f>
        <v>#DIV/0!</v>
      </c>
      <c r="G51" s="4633"/>
      <c r="H51" s="3341"/>
      <c r="I51" s="3341"/>
      <c r="J51" s="3349">
        <f>H51+I51</f>
        <v>0</v>
      </c>
      <c r="K51" s="4428" t="e">
        <f t="shared" ref="K51:K52" si="134">J51/J$89</f>
        <v>#DIV/0!</v>
      </c>
      <c r="L51" s="4633"/>
      <c r="M51" s="3341"/>
      <c r="N51" s="3341"/>
      <c r="O51" s="3349">
        <f t="shared" ref="O51:O52" si="135">M51+N51</f>
        <v>0</v>
      </c>
      <c r="P51" s="4428" t="e">
        <f t="shared" ref="P51:P53" si="136">O51/O$89</f>
        <v>#DIV/0!</v>
      </c>
      <c r="Q51" s="4633"/>
      <c r="R51" s="3342">
        <f t="shared" ref="R51:S52" si="137">M51+H51+C51</f>
        <v>0</v>
      </c>
      <c r="S51" s="3342">
        <f t="shared" si="137"/>
        <v>0</v>
      </c>
      <c r="T51" s="2012">
        <f t="shared" ref="T51:T52" si="138">R51+S51</f>
        <v>0</v>
      </c>
      <c r="U51" s="3455"/>
      <c r="V51" s="3455"/>
      <c r="W51" s="3342">
        <f t="shared" ref="W51:X52" si="139">AB51+AG51+AL51+AV51+BA51+BF51+BK51+BP51+BU51+BZ51+CE51+AQ51</f>
        <v>0</v>
      </c>
      <c r="X51" s="3342">
        <f t="shared" si="139"/>
        <v>0</v>
      </c>
      <c r="Y51" s="2012">
        <f t="shared" ref="Y51:Y52" si="140">W51+X51</f>
        <v>0</v>
      </c>
      <c r="Z51" s="3455"/>
      <c r="AA51" s="3455"/>
      <c r="AB51" s="3341"/>
      <c r="AC51" s="3341"/>
      <c r="AD51" s="3349">
        <f t="shared" ref="AD51:AD52" si="141">AB51+AC51</f>
        <v>0</v>
      </c>
      <c r="AE51" s="4428">
        <f t="shared" ref="AE51:AE53" si="142">AD51/AD$89</f>
        <v>0</v>
      </c>
      <c r="AF51" s="4633"/>
      <c r="AG51" s="3341"/>
      <c r="AH51" s="3341"/>
      <c r="AI51" s="3349">
        <f t="shared" ref="AI51:AI52" si="143">AG51+AH51</f>
        <v>0</v>
      </c>
      <c r="AJ51" s="4428">
        <f t="shared" ref="AJ51:AJ53" si="144">AI51/AI$89</f>
        <v>0</v>
      </c>
      <c r="AK51" s="4633"/>
      <c r="AL51" s="3341"/>
      <c r="AM51" s="3341"/>
      <c r="AN51" s="3349">
        <f t="shared" ref="AN51:AN52" si="145">AL51+AM51</f>
        <v>0</v>
      </c>
      <c r="AO51" s="4428">
        <f t="shared" ref="AO51:AO53" si="146">AN51/AN$89</f>
        <v>0</v>
      </c>
      <c r="AP51" s="4633"/>
      <c r="AQ51" s="3341"/>
      <c r="AR51" s="3341"/>
      <c r="AS51" s="3349">
        <f t="shared" ref="AS51:AS52" si="147">AQ51+AR51</f>
        <v>0</v>
      </c>
      <c r="AT51" s="4428">
        <f t="shared" ref="AT51:AT53" si="148">AS51/AS$89</f>
        <v>0</v>
      </c>
      <c r="AU51" s="4633"/>
      <c r="AV51" s="3341"/>
      <c r="AW51" s="3341"/>
      <c r="AX51" s="3349">
        <f t="shared" ref="AX51:AX52" si="149">AV51+AW51</f>
        <v>0</v>
      </c>
      <c r="AY51" s="4428">
        <f t="shared" ref="AY51:AY53" si="150">AX51/AX$89</f>
        <v>0</v>
      </c>
      <c r="AZ51" s="4633"/>
      <c r="BA51" s="3341"/>
      <c r="BB51" s="3341"/>
      <c r="BC51" s="3349">
        <f t="shared" ref="BC51:BC52" si="151">BA51+BB51</f>
        <v>0</v>
      </c>
      <c r="BD51" s="4428">
        <f t="shared" ref="BD51:BD53" si="152">BC51/BC$89</f>
        <v>0</v>
      </c>
      <c r="BE51" s="4633"/>
      <c r="BF51" s="3341"/>
      <c r="BG51" s="3341"/>
      <c r="BH51" s="3349">
        <f t="shared" ref="BH51:BH52" si="153">BF51+BG51</f>
        <v>0</v>
      </c>
      <c r="BI51" s="4428" t="e">
        <f t="shared" ref="BI51:BI53" si="154">BH51/BH$89</f>
        <v>#DIV/0!</v>
      </c>
      <c r="BJ51" s="4633"/>
      <c r="BK51" s="3341"/>
      <c r="BL51" s="3341"/>
      <c r="BM51" s="3349">
        <f t="shared" ref="BM51:BM52" si="155">BK51+BL51</f>
        <v>0</v>
      </c>
      <c r="BN51" s="4428" t="e">
        <f t="shared" ref="BN51:BN53" si="156">BM51/BM$89</f>
        <v>#DIV/0!</v>
      </c>
      <c r="BO51" s="4633"/>
      <c r="BP51" s="3341"/>
      <c r="BQ51" s="3341"/>
      <c r="BR51" s="3349">
        <f t="shared" ref="BR51:BR52" si="157">BP51+BQ51</f>
        <v>0</v>
      </c>
      <c r="BS51" s="4428" t="e">
        <f t="shared" ref="BS51:BS53" si="158">BR51/BR$89</f>
        <v>#DIV/0!</v>
      </c>
      <c r="BT51" s="4633"/>
      <c r="BU51" s="3341"/>
      <c r="BV51" s="3341"/>
      <c r="BW51" s="3349">
        <f t="shared" ref="BW51:BW52" si="159">BU51+BV51</f>
        <v>0</v>
      </c>
      <c r="BX51" s="4428" t="e">
        <f t="shared" ref="BX51:BX53" si="160">BW51/BW$89</f>
        <v>#DIV/0!</v>
      </c>
      <c r="BY51" s="4633"/>
      <c r="BZ51" s="3341"/>
      <c r="CA51" s="3341"/>
      <c r="CB51" s="3349">
        <f t="shared" ref="CB51:CB52" si="161">BZ51+CA51</f>
        <v>0</v>
      </c>
      <c r="CC51" s="4428" t="e">
        <f t="shared" ref="CC51:CC53" si="162">CB51/CB$89</f>
        <v>#DIV/0!</v>
      </c>
      <c r="CD51" s="4633"/>
      <c r="CE51" s="3341"/>
      <c r="CF51" s="3341"/>
      <c r="CG51" s="3349">
        <f t="shared" ref="CG51:CG52" si="163">CE51+CF51</f>
        <v>0</v>
      </c>
      <c r="CH51" s="4428" t="e">
        <f t="shared" ref="CH51:CH53" si="164">CG51/CG$89</f>
        <v>#DIV/0!</v>
      </c>
      <c r="CI51" s="4633"/>
      <c r="CJ51" s="3341">
        <f t="shared" ref="CJ51:CK53" si="165">C51+H51+M51+W51</f>
        <v>0</v>
      </c>
      <c r="CK51" s="3341">
        <f t="shared" si="165"/>
        <v>0</v>
      </c>
      <c r="CL51" s="2012">
        <f>CJ51+CK51*1</f>
        <v>0</v>
      </c>
      <c r="CM51" s="4428">
        <f>CL51/$CL$89</f>
        <v>0</v>
      </c>
      <c r="CN51" s="4611"/>
      <c r="CP51" s="3765">
        <f>CN51+CO51*1</f>
        <v>0</v>
      </c>
      <c r="CQ51" s="3765">
        <f>CO51+CP51*1</f>
        <v>0</v>
      </c>
      <c r="CR51" s="4618"/>
      <c r="CT51" s="2624"/>
    </row>
    <row r="52" spans="1:98" ht="13.8" outlineLevel="2">
      <c r="A52" s="1566"/>
      <c r="B52" s="4640" t="s">
        <v>61</v>
      </c>
      <c r="C52" s="3341"/>
      <c r="D52" s="3341"/>
      <c r="E52" s="3349">
        <f t="shared" si="132"/>
        <v>0</v>
      </c>
      <c r="F52" s="4428" t="e">
        <f t="shared" si="133"/>
        <v>#DIV/0!</v>
      </c>
      <c r="G52" s="4633"/>
      <c r="H52" s="3341"/>
      <c r="I52" s="3341"/>
      <c r="J52" s="3349">
        <f>H52+I52</f>
        <v>0</v>
      </c>
      <c r="K52" s="4428" t="e">
        <f t="shared" si="134"/>
        <v>#DIV/0!</v>
      </c>
      <c r="L52" s="4633"/>
      <c r="M52" s="3341"/>
      <c r="N52" s="3341"/>
      <c r="O52" s="3349">
        <f t="shared" si="135"/>
        <v>0</v>
      </c>
      <c r="P52" s="4428" t="e">
        <f t="shared" si="136"/>
        <v>#DIV/0!</v>
      </c>
      <c r="Q52" s="4633"/>
      <c r="R52" s="3342">
        <f t="shared" si="137"/>
        <v>0</v>
      </c>
      <c r="S52" s="3342">
        <f t="shared" si="137"/>
        <v>0</v>
      </c>
      <c r="T52" s="2012">
        <f t="shared" si="138"/>
        <v>0</v>
      </c>
      <c r="U52" s="3455"/>
      <c r="V52" s="3455"/>
      <c r="W52" s="3342">
        <f t="shared" si="139"/>
        <v>0</v>
      </c>
      <c r="X52" s="3342">
        <f t="shared" si="139"/>
        <v>0</v>
      </c>
      <c r="Y52" s="2012">
        <f t="shared" si="140"/>
        <v>0</v>
      </c>
      <c r="Z52" s="3455"/>
      <c r="AA52" s="3455"/>
      <c r="AB52" s="3341"/>
      <c r="AC52" s="3341"/>
      <c r="AD52" s="3349">
        <f t="shared" si="141"/>
        <v>0</v>
      </c>
      <c r="AE52" s="4428">
        <f t="shared" si="142"/>
        <v>0</v>
      </c>
      <c r="AF52" s="4633"/>
      <c r="AG52" s="3341"/>
      <c r="AH52" s="3341"/>
      <c r="AI52" s="3349">
        <f t="shared" si="143"/>
        <v>0</v>
      </c>
      <c r="AJ52" s="4428">
        <f t="shared" si="144"/>
        <v>0</v>
      </c>
      <c r="AK52" s="4633"/>
      <c r="AL52" s="3341"/>
      <c r="AM52" s="3341"/>
      <c r="AN52" s="3349">
        <f t="shared" si="145"/>
        <v>0</v>
      </c>
      <c r="AO52" s="4428">
        <f t="shared" si="146"/>
        <v>0</v>
      </c>
      <c r="AP52" s="4633"/>
      <c r="AQ52" s="3341"/>
      <c r="AR52" s="3341"/>
      <c r="AS52" s="3349">
        <f t="shared" si="147"/>
        <v>0</v>
      </c>
      <c r="AT52" s="4428">
        <f t="shared" si="148"/>
        <v>0</v>
      </c>
      <c r="AU52" s="4633"/>
      <c r="AV52" s="3341"/>
      <c r="AW52" s="3341"/>
      <c r="AX52" s="3349">
        <f t="shared" si="149"/>
        <v>0</v>
      </c>
      <c r="AY52" s="4428">
        <f t="shared" si="150"/>
        <v>0</v>
      </c>
      <c r="AZ52" s="4633"/>
      <c r="BA52" s="3341"/>
      <c r="BB52" s="3341"/>
      <c r="BC52" s="3349">
        <f t="shared" si="151"/>
        <v>0</v>
      </c>
      <c r="BD52" s="4428">
        <f t="shared" si="152"/>
        <v>0</v>
      </c>
      <c r="BE52" s="4633"/>
      <c r="BF52" s="3341"/>
      <c r="BG52" s="3341"/>
      <c r="BH52" s="3349">
        <f t="shared" si="153"/>
        <v>0</v>
      </c>
      <c r="BI52" s="4428" t="e">
        <f t="shared" si="154"/>
        <v>#DIV/0!</v>
      </c>
      <c r="BJ52" s="4633"/>
      <c r="BK52" s="3341"/>
      <c r="BL52" s="3341"/>
      <c r="BM52" s="3349">
        <f t="shared" si="155"/>
        <v>0</v>
      </c>
      <c r="BN52" s="4428" t="e">
        <f t="shared" si="156"/>
        <v>#DIV/0!</v>
      </c>
      <c r="BO52" s="4633"/>
      <c r="BP52" s="3341"/>
      <c r="BQ52" s="3341"/>
      <c r="BR52" s="3349">
        <f t="shared" si="157"/>
        <v>0</v>
      </c>
      <c r="BS52" s="4428" t="e">
        <f t="shared" si="158"/>
        <v>#DIV/0!</v>
      </c>
      <c r="BT52" s="4633"/>
      <c r="BU52" s="3341"/>
      <c r="BV52" s="3341"/>
      <c r="BW52" s="3349">
        <f t="shared" si="159"/>
        <v>0</v>
      </c>
      <c r="BX52" s="4428" t="e">
        <f t="shared" si="160"/>
        <v>#DIV/0!</v>
      </c>
      <c r="BY52" s="4633"/>
      <c r="BZ52" s="3341"/>
      <c r="CA52" s="3341"/>
      <c r="CB52" s="3349">
        <f t="shared" si="161"/>
        <v>0</v>
      </c>
      <c r="CC52" s="4428" t="e">
        <f t="shared" si="162"/>
        <v>#DIV/0!</v>
      </c>
      <c r="CD52" s="4633"/>
      <c r="CE52" s="3341"/>
      <c r="CF52" s="3341"/>
      <c r="CG52" s="3349">
        <f t="shared" si="163"/>
        <v>0</v>
      </c>
      <c r="CH52" s="4428" t="e">
        <f t="shared" si="164"/>
        <v>#DIV/0!</v>
      </c>
      <c r="CI52" s="4633"/>
      <c r="CJ52" s="3341">
        <f t="shared" si="165"/>
        <v>0</v>
      </c>
      <c r="CK52" s="3341">
        <f t="shared" si="165"/>
        <v>0</v>
      </c>
      <c r="CL52" s="2012">
        <f>CJ52+CK52*1</f>
        <v>0</v>
      </c>
      <c r="CM52" s="4428">
        <f>CL52/$CL$89</f>
        <v>0</v>
      </c>
      <c r="CN52" s="4611"/>
      <c r="CP52" s="3765">
        <f>CN52+CO52*1</f>
        <v>0</v>
      </c>
      <c r="CQ52" s="3765">
        <f>CO52+CP52*1</f>
        <v>0</v>
      </c>
      <c r="CR52" s="4618"/>
    </row>
    <row r="53" spans="1:98" ht="14.4" outlineLevel="1" thickBot="1">
      <c r="A53" s="1413"/>
      <c r="B53" s="4450"/>
      <c r="C53" s="3341"/>
      <c r="D53" s="3341"/>
      <c r="E53" s="4451"/>
      <c r="F53" s="4428" t="e">
        <f t="shared" si="133"/>
        <v>#DIV/0!</v>
      </c>
      <c r="G53" s="4452"/>
      <c r="H53" s="3341"/>
      <c r="I53" s="3341"/>
      <c r="J53" s="4451"/>
      <c r="K53" s="4428" t="e">
        <f t="shared" ref="K53:K54" si="166">J53/$E$89</f>
        <v>#DIV/0!</v>
      </c>
      <c r="L53" s="4452"/>
      <c r="M53" s="3341"/>
      <c r="N53" s="3341"/>
      <c r="O53" s="4451"/>
      <c r="P53" s="4428" t="e">
        <f t="shared" si="136"/>
        <v>#DIV/0!</v>
      </c>
      <c r="Q53" s="4452"/>
      <c r="R53" s="4646"/>
      <c r="S53" s="4452"/>
      <c r="T53" s="4452"/>
      <c r="U53" s="4452"/>
      <c r="V53" s="4452"/>
      <c r="W53" s="4452"/>
      <c r="X53" s="4452"/>
      <c r="Y53" s="4452"/>
      <c r="Z53" s="4452"/>
      <c r="AA53" s="4452"/>
      <c r="AB53" s="4624"/>
      <c r="AC53" s="4624"/>
      <c r="AD53" s="4451"/>
      <c r="AE53" s="4437">
        <f t="shared" si="142"/>
        <v>0</v>
      </c>
      <c r="AF53" s="4452"/>
      <c r="AG53" s="4624"/>
      <c r="AH53" s="4624"/>
      <c r="AI53" s="4451"/>
      <c r="AJ53" s="4437">
        <f t="shared" si="144"/>
        <v>0</v>
      </c>
      <c r="AK53" s="4452"/>
      <c r="AL53" s="4624"/>
      <c r="AM53" s="4624"/>
      <c r="AN53" s="4451"/>
      <c r="AO53" s="4437">
        <f t="shared" si="146"/>
        <v>0</v>
      </c>
      <c r="AP53" s="4452"/>
      <c r="AQ53" s="4624"/>
      <c r="AR53" s="4624"/>
      <c r="AS53" s="4451"/>
      <c r="AT53" s="4437">
        <f t="shared" si="148"/>
        <v>0</v>
      </c>
      <c r="AU53" s="4452"/>
      <c r="AV53" s="4624"/>
      <c r="AW53" s="4624"/>
      <c r="AX53" s="4451"/>
      <c r="AY53" s="4437">
        <f t="shared" si="150"/>
        <v>0</v>
      </c>
      <c r="AZ53" s="4452"/>
      <c r="BA53" s="4624"/>
      <c r="BB53" s="4624"/>
      <c r="BC53" s="4451"/>
      <c r="BD53" s="4437">
        <f t="shared" si="152"/>
        <v>0</v>
      </c>
      <c r="BE53" s="4452"/>
      <c r="BF53" s="4624"/>
      <c r="BG53" s="4624"/>
      <c r="BH53" s="4451"/>
      <c r="BI53" s="4437" t="e">
        <f t="shared" si="154"/>
        <v>#DIV/0!</v>
      </c>
      <c r="BJ53" s="4452"/>
      <c r="BK53" s="4624"/>
      <c r="BL53" s="4624"/>
      <c r="BM53" s="4451"/>
      <c r="BN53" s="4437" t="e">
        <f t="shared" si="156"/>
        <v>#DIV/0!</v>
      </c>
      <c r="BO53" s="4452"/>
      <c r="BP53" s="4624"/>
      <c r="BQ53" s="4624"/>
      <c r="BR53" s="4451"/>
      <c r="BS53" s="4437" t="e">
        <f t="shared" si="158"/>
        <v>#DIV/0!</v>
      </c>
      <c r="BT53" s="4452"/>
      <c r="BU53" s="4624"/>
      <c r="BV53" s="4624"/>
      <c r="BW53" s="4451"/>
      <c r="BX53" s="4437" t="e">
        <f t="shared" si="160"/>
        <v>#DIV/0!</v>
      </c>
      <c r="BY53" s="4452"/>
      <c r="BZ53" s="4624"/>
      <c r="CA53" s="4624"/>
      <c r="CB53" s="4451"/>
      <c r="CC53" s="4437" t="e">
        <f t="shared" si="162"/>
        <v>#DIV/0!</v>
      </c>
      <c r="CD53" s="4452"/>
      <c r="CE53" s="4624"/>
      <c r="CF53" s="4624"/>
      <c r="CG53" s="4451"/>
      <c r="CH53" s="4437" t="e">
        <f t="shared" si="164"/>
        <v>#DIV/0!</v>
      </c>
      <c r="CI53" s="4452"/>
      <c r="CJ53" s="4624">
        <f t="shared" si="165"/>
        <v>0</v>
      </c>
      <c r="CK53" s="4624">
        <f t="shared" si="165"/>
        <v>0</v>
      </c>
      <c r="CL53" s="4451"/>
      <c r="CM53" s="4451"/>
      <c r="CN53" s="4451"/>
      <c r="CP53" s="4661"/>
      <c r="CQ53" s="4661"/>
      <c r="CR53" s="4618"/>
    </row>
    <row r="54" spans="1:98" ht="13.8" outlineLevel="1">
      <c r="A54" s="1570"/>
      <c r="B54" s="1410" t="s">
        <v>1</v>
      </c>
      <c r="C54" s="2015">
        <f>SUM(C55:C72)</f>
        <v>0</v>
      </c>
      <c r="D54" s="2015">
        <f>SUM(D55:D72)</f>
        <v>0</v>
      </c>
      <c r="E54" s="2014">
        <f>SUM(E55:E72)</f>
        <v>0</v>
      </c>
      <c r="F54" s="4449" t="e">
        <f t="shared" si="133"/>
        <v>#DIV/0!</v>
      </c>
      <c r="G54" s="1057"/>
      <c r="H54" s="2015">
        <f>SUM(H55:H72)</f>
        <v>0</v>
      </c>
      <c r="I54" s="2015">
        <f>SUM(I55:I72)</f>
        <v>0</v>
      </c>
      <c r="J54" s="2014">
        <f>SUM(J55:J72)</f>
        <v>0</v>
      </c>
      <c r="K54" s="4449" t="e">
        <f t="shared" si="166"/>
        <v>#DIV/0!</v>
      </c>
      <c r="L54" s="1057"/>
      <c r="M54" s="2015">
        <f>SUM(M55:M72)</f>
        <v>0</v>
      </c>
      <c r="N54" s="2015">
        <f>SUM(N55:N72)</f>
        <v>0</v>
      </c>
      <c r="O54" s="2014">
        <f>SUM(O55:O72)</f>
        <v>0</v>
      </c>
      <c r="P54" s="4449" t="e">
        <f t="shared" ref="P54" si="167">O54/$E$89</f>
        <v>#DIV/0!</v>
      </c>
      <c r="Q54" s="1057"/>
      <c r="R54" s="2013">
        <f>SUM(R55:R72)</f>
        <v>0</v>
      </c>
      <c r="S54" s="2013">
        <f>SUM(S55:S72)</f>
        <v>0</v>
      </c>
      <c r="T54" s="2013">
        <f>SUM(T55:T72)</f>
        <v>0</v>
      </c>
      <c r="U54" s="1535"/>
      <c r="V54" s="3460"/>
      <c r="W54" s="2013">
        <f>SUM(W55:W72)</f>
        <v>1818.5</v>
      </c>
      <c r="X54" s="2013">
        <f>SUM(X55:X72)</f>
        <v>0</v>
      </c>
      <c r="Y54" s="2013">
        <f>SUM(Y55:Y72)</f>
        <v>1818.5</v>
      </c>
      <c r="Z54" s="1535"/>
      <c r="AA54" s="3460"/>
      <c r="AB54" s="2013">
        <f>SUM(AB55:AB72)</f>
        <v>0</v>
      </c>
      <c r="AC54" s="2013">
        <f>SUM(AC55:AC72)</f>
        <v>0</v>
      </c>
      <c r="AD54" s="2013">
        <f>SUM(AD55:AD72)</f>
        <v>0</v>
      </c>
      <c r="AE54" s="1535"/>
      <c r="AF54" s="3735"/>
      <c r="AG54" s="2013">
        <f>SUM(AG55:AG72)</f>
        <v>0</v>
      </c>
      <c r="AH54" s="2013">
        <f>SUM(AH55:AH72)</f>
        <v>0</v>
      </c>
      <c r="AI54" s="2013">
        <f>SUM(AI55:AI72)</f>
        <v>0</v>
      </c>
      <c r="AJ54" s="1535"/>
      <c r="AK54" s="3735"/>
      <c r="AL54" s="2013">
        <f>SUM(AL55:AL72)</f>
        <v>0</v>
      </c>
      <c r="AM54" s="2013">
        <f>SUM(AM55:AM72)</f>
        <v>0</v>
      </c>
      <c r="AN54" s="2013">
        <f>SUM(AN55:AN72)</f>
        <v>0</v>
      </c>
      <c r="AO54" s="1535"/>
      <c r="AP54" s="3735"/>
      <c r="AQ54" s="2013">
        <f>SUM(AQ55:AQ72)</f>
        <v>0</v>
      </c>
      <c r="AR54" s="2013">
        <f>SUM(AR55:AR72)</f>
        <v>0</v>
      </c>
      <c r="AS54" s="2013">
        <f>SUM(AS55:AS72)</f>
        <v>0</v>
      </c>
      <c r="AT54" s="1535"/>
      <c r="AU54" s="3735"/>
      <c r="AV54" s="2013">
        <f>SUM(AV55:AV72)</f>
        <v>0</v>
      </c>
      <c r="AW54" s="2013">
        <f>SUM(AW55:AW72)</f>
        <v>0</v>
      </c>
      <c r="AX54" s="2013">
        <f>SUM(AX55:AX72)</f>
        <v>0</v>
      </c>
      <c r="AY54" s="1535"/>
      <c r="AZ54" s="3735"/>
      <c r="BA54" s="2013">
        <f>SUM(BA55:BA72)</f>
        <v>1818.5</v>
      </c>
      <c r="BB54" s="2013">
        <f>SUM(BB55:BB72)</f>
        <v>0</v>
      </c>
      <c r="BC54" s="2013">
        <f>SUM(BC55:BC72)</f>
        <v>1818.5</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1818.5</v>
      </c>
      <c r="CK54" s="2013">
        <f>SUM(CK55:CK72)</f>
        <v>0</v>
      </c>
      <c r="CL54" s="2013">
        <f>SUM(CL55:CL72)</f>
        <v>1818.5</v>
      </c>
      <c r="CM54" s="1535">
        <f t="shared" ref="CM54:CM71" si="168">CL54/$CL$89</f>
        <v>9.3403068901065991E-3</v>
      </c>
      <c r="CN54" s="1061"/>
      <c r="CP54" s="3770">
        <f>SUM(CP55:CP72)</f>
        <v>0</v>
      </c>
      <c r="CQ54" s="3770">
        <f>SUM(CQ55:CQ72)</f>
        <v>1818.5</v>
      </c>
      <c r="CR54" s="3770"/>
    </row>
    <row r="55" spans="1:98" ht="13.8" outlineLevel="2">
      <c r="A55" s="1571"/>
      <c r="B55" s="4632" t="s">
        <v>77</v>
      </c>
      <c r="C55" s="3349"/>
      <c r="D55" s="3349"/>
      <c r="E55" s="3349">
        <f t="shared" ref="E55:E71" si="169">C55+D55</f>
        <v>0</v>
      </c>
      <c r="F55" s="4428" t="e">
        <f t="shared" si="133"/>
        <v>#DIV/0!</v>
      </c>
      <c r="G55" s="4429"/>
      <c r="H55" s="3349"/>
      <c r="I55" s="3349"/>
      <c r="J55" s="3349">
        <f t="shared" ref="J55:J71" si="170">H55+I55</f>
        <v>0</v>
      </c>
      <c r="K55" s="4428" t="e">
        <f t="shared" ref="K55:K72" si="171">J55/J$89</f>
        <v>#DIV/0!</v>
      </c>
      <c r="L55" s="4429"/>
      <c r="M55" s="3349"/>
      <c r="N55" s="3349"/>
      <c r="O55" s="3349">
        <f t="shared" ref="O55:O71" si="172">M55+N55</f>
        <v>0</v>
      </c>
      <c r="P55" s="4428" t="e">
        <f t="shared" ref="P55:P72" si="173">O55/O$89</f>
        <v>#DIV/0!</v>
      </c>
      <c r="Q55" s="4429"/>
      <c r="R55" s="3342">
        <f t="shared" ref="R55:S71" si="174">M55+H55+C55</f>
        <v>0</v>
      </c>
      <c r="S55" s="3342">
        <f t="shared" si="174"/>
        <v>0</v>
      </c>
      <c r="T55" s="2012">
        <f t="shared" ref="T55:T71" si="175">R55+S55</f>
        <v>0</v>
      </c>
      <c r="U55" s="3462"/>
      <c r="V55" s="3462"/>
      <c r="W55" s="3342">
        <f t="shared" ref="W55:X71" si="176">AB55+AG55+AL55+AV55+BA55+BF55+BK55+BP55+BU55+BZ55+CE55+AQ55</f>
        <v>0</v>
      </c>
      <c r="X55" s="3342">
        <f t="shared" si="176"/>
        <v>0</v>
      </c>
      <c r="Y55" s="2012">
        <f t="shared" ref="Y55:Y71" si="177">W55+X55</f>
        <v>0</v>
      </c>
      <c r="Z55" s="3462"/>
      <c r="AA55" s="3462"/>
      <c r="AB55" s="3349"/>
      <c r="AC55" s="3349"/>
      <c r="AD55" s="3349">
        <f t="shared" ref="AD55:AD71" si="178">AB55+AC55</f>
        <v>0</v>
      </c>
      <c r="AE55" s="4428">
        <f t="shared" ref="AE55:AE71" si="179">AD55/AD$89</f>
        <v>0</v>
      </c>
      <c r="AF55" s="4429"/>
      <c r="AG55" s="3349"/>
      <c r="AH55" s="3349"/>
      <c r="AI55" s="3349">
        <f t="shared" ref="AI55:AI71" si="180">AG55+AH55</f>
        <v>0</v>
      </c>
      <c r="AJ55" s="4428">
        <f t="shared" ref="AJ55:AJ71" si="181">AI55/AI$89</f>
        <v>0</v>
      </c>
      <c r="AK55" s="4429"/>
      <c r="AL55" s="3349"/>
      <c r="AM55" s="3349"/>
      <c r="AN55" s="3349">
        <f t="shared" ref="AN55:AN71" si="182">AL55+AM55</f>
        <v>0</v>
      </c>
      <c r="AO55" s="4428">
        <f t="shared" ref="AO55:AO71" si="183">AN55/AN$89</f>
        <v>0</v>
      </c>
      <c r="AP55" s="4429"/>
      <c r="AQ55" s="3349"/>
      <c r="AR55" s="3349"/>
      <c r="AS55" s="3349">
        <f t="shared" ref="AS55:AS71" si="184">AQ55+AR55</f>
        <v>0</v>
      </c>
      <c r="AT55" s="4428">
        <f t="shared" ref="AT55:AT71" si="185">AS55/AS$89</f>
        <v>0</v>
      </c>
      <c r="AU55" s="4429"/>
      <c r="AV55" s="3349"/>
      <c r="AW55" s="3349"/>
      <c r="AX55" s="3349">
        <f t="shared" ref="AX55:AX71" si="186">AV55+AW55</f>
        <v>0</v>
      </c>
      <c r="AY55" s="4428">
        <f t="shared" ref="AY55:AY71" si="187">AX55/AX$89</f>
        <v>0</v>
      </c>
      <c r="AZ55" s="4429"/>
      <c r="BA55" s="3349"/>
      <c r="BB55" s="3349"/>
      <c r="BC55" s="3349">
        <f t="shared" ref="BC55:BC71" si="188">BA55+BB55</f>
        <v>0</v>
      </c>
      <c r="BD55" s="4428">
        <f t="shared" ref="BD55:BD71" si="189">BC55/BC$89</f>
        <v>0</v>
      </c>
      <c r="BE55" s="4429"/>
      <c r="BF55" s="3349"/>
      <c r="BG55" s="3349"/>
      <c r="BH55" s="3349">
        <f t="shared" ref="BH55:BH71" si="190">BF55+BG55</f>
        <v>0</v>
      </c>
      <c r="BI55" s="4428" t="e">
        <f t="shared" ref="BI55:BI71" si="191">BH55/BH$89</f>
        <v>#DIV/0!</v>
      </c>
      <c r="BJ55" s="4429"/>
      <c r="BK55" s="3349"/>
      <c r="BL55" s="3349"/>
      <c r="BM55" s="3349">
        <f t="shared" ref="BM55:BM71" si="192">BK55+BL55</f>
        <v>0</v>
      </c>
      <c r="BN55" s="4428" t="e">
        <f t="shared" ref="BN55:BN71" si="193">BM55/BM$89</f>
        <v>#DIV/0!</v>
      </c>
      <c r="BO55" s="4429"/>
      <c r="BP55" s="3349"/>
      <c r="BQ55" s="3349"/>
      <c r="BR55" s="3349">
        <f t="shared" ref="BR55:BR71" si="194">BP55+BQ55</f>
        <v>0</v>
      </c>
      <c r="BS55" s="4428" t="e">
        <f t="shared" ref="BS55:BS71" si="195">BR55/BR$89</f>
        <v>#DIV/0!</v>
      </c>
      <c r="BT55" s="4429"/>
      <c r="BU55" s="3349"/>
      <c r="BV55" s="3349"/>
      <c r="BW55" s="3349">
        <f t="shared" ref="BW55:BW71" si="196">BU55+BV55</f>
        <v>0</v>
      </c>
      <c r="BX55" s="4428" t="e">
        <f t="shared" ref="BX55:BX71" si="197">BW55/BW$89</f>
        <v>#DIV/0!</v>
      </c>
      <c r="BY55" s="4429"/>
      <c r="BZ55" s="3349"/>
      <c r="CA55" s="3349"/>
      <c r="CB55" s="3349">
        <f t="shared" ref="CB55:CB71" si="198">BZ55+CA55</f>
        <v>0</v>
      </c>
      <c r="CC55" s="4428" t="e">
        <f t="shared" ref="CC55:CC71" si="199">CB55/CB$89</f>
        <v>#DIV/0!</v>
      </c>
      <c r="CD55" s="4429"/>
      <c r="CE55" s="3349"/>
      <c r="CF55" s="3349"/>
      <c r="CG55" s="3349">
        <f t="shared" ref="CG55:CG71" si="200">CE55+CF55</f>
        <v>0</v>
      </c>
      <c r="CH55" s="4428" t="e">
        <f t="shared" ref="CH55:CH71" si="201">CG55/CG$89</f>
        <v>#DIV/0!</v>
      </c>
      <c r="CI55" s="4429"/>
      <c r="CJ55" s="3341">
        <f t="shared" ref="CJ55:CK71" si="202">C55+H55+M55+W55</f>
        <v>0</v>
      </c>
      <c r="CK55" s="3341">
        <f t="shared" si="202"/>
        <v>0</v>
      </c>
      <c r="CL55" s="2012">
        <f t="shared" ref="CL55:CL71" si="203">CJ55+CK55*1</f>
        <v>0</v>
      </c>
      <c r="CM55" s="4428">
        <f t="shared" si="168"/>
        <v>0</v>
      </c>
      <c r="CN55" s="4432"/>
      <c r="CP55" s="3765">
        <f t="shared" ref="CP55:CQ71" si="204">CN55+CO55*1</f>
        <v>0</v>
      </c>
      <c r="CQ55" s="3765">
        <f t="shared" si="204"/>
        <v>0</v>
      </c>
      <c r="CR55" s="4618"/>
    </row>
    <row r="56" spans="1:98" ht="13.8" outlineLevel="2">
      <c r="A56" s="1571"/>
      <c r="B56" s="4632" t="s">
        <v>76</v>
      </c>
      <c r="C56" s="3349"/>
      <c r="D56" s="3349"/>
      <c r="E56" s="3349">
        <f t="shared" si="169"/>
        <v>0</v>
      </c>
      <c r="F56" s="4428" t="e">
        <f t="shared" si="133"/>
        <v>#DIV/0!</v>
      </c>
      <c r="G56" s="4429"/>
      <c r="H56" s="3349"/>
      <c r="I56" s="3349"/>
      <c r="J56" s="3349">
        <f t="shared" si="170"/>
        <v>0</v>
      </c>
      <c r="K56" s="4428" t="e">
        <f t="shared" si="171"/>
        <v>#DIV/0!</v>
      </c>
      <c r="L56" s="4429"/>
      <c r="M56" s="3349"/>
      <c r="N56" s="3349"/>
      <c r="O56" s="3349">
        <f t="shared" si="172"/>
        <v>0</v>
      </c>
      <c r="P56" s="4428" t="e">
        <f t="shared" si="173"/>
        <v>#DIV/0!</v>
      </c>
      <c r="Q56" s="4429"/>
      <c r="R56" s="3342">
        <f t="shared" si="174"/>
        <v>0</v>
      </c>
      <c r="S56" s="3342">
        <f t="shared" si="174"/>
        <v>0</v>
      </c>
      <c r="T56" s="2012">
        <f t="shared" si="175"/>
        <v>0</v>
      </c>
      <c r="U56" s="3462"/>
      <c r="V56" s="3462"/>
      <c r="W56" s="3342">
        <f t="shared" si="176"/>
        <v>0</v>
      </c>
      <c r="X56" s="3342">
        <f t="shared" si="176"/>
        <v>0</v>
      </c>
      <c r="Y56" s="2012">
        <f t="shared" si="177"/>
        <v>0</v>
      </c>
      <c r="Z56" s="3462"/>
      <c r="AA56" s="3462"/>
      <c r="AB56" s="3349"/>
      <c r="AC56" s="3349"/>
      <c r="AD56" s="3349">
        <f t="shared" si="178"/>
        <v>0</v>
      </c>
      <c r="AE56" s="4428">
        <f t="shared" si="179"/>
        <v>0</v>
      </c>
      <c r="AF56" s="4429"/>
      <c r="AG56" s="3349"/>
      <c r="AH56" s="3349"/>
      <c r="AI56" s="3349">
        <f t="shared" si="180"/>
        <v>0</v>
      </c>
      <c r="AJ56" s="4428">
        <f t="shared" si="181"/>
        <v>0</v>
      </c>
      <c r="AK56" s="4429"/>
      <c r="AL56" s="3349"/>
      <c r="AM56" s="3349"/>
      <c r="AN56" s="3349">
        <f t="shared" si="182"/>
        <v>0</v>
      </c>
      <c r="AO56" s="4428">
        <f t="shared" si="183"/>
        <v>0</v>
      </c>
      <c r="AP56" s="4429"/>
      <c r="AQ56" s="3349"/>
      <c r="AR56" s="3349"/>
      <c r="AS56" s="3349">
        <f t="shared" si="184"/>
        <v>0</v>
      </c>
      <c r="AT56" s="4428">
        <f t="shared" si="185"/>
        <v>0</v>
      </c>
      <c r="AU56" s="4429"/>
      <c r="AV56" s="3349"/>
      <c r="AW56" s="3349"/>
      <c r="AX56" s="3349">
        <f t="shared" si="186"/>
        <v>0</v>
      </c>
      <c r="AY56" s="4428">
        <f t="shared" si="187"/>
        <v>0</v>
      </c>
      <c r="AZ56" s="4429"/>
      <c r="BA56" s="3349"/>
      <c r="BB56" s="3349"/>
      <c r="BC56" s="3349">
        <f t="shared" si="188"/>
        <v>0</v>
      </c>
      <c r="BD56" s="4428">
        <f t="shared" si="189"/>
        <v>0</v>
      </c>
      <c r="BE56" s="4429"/>
      <c r="BF56" s="3349"/>
      <c r="BG56" s="3349"/>
      <c r="BH56" s="3349">
        <f t="shared" si="190"/>
        <v>0</v>
      </c>
      <c r="BI56" s="4428" t="e">
        <f t="shared" si="191"/>
        <v>#DIV/0!</v>
      </c>
      <c r="BJ56" s="4429"/>
      <c r="BK56" s="3349"/>
      <c r="BL56" s="3349"/>
      <c r="BM56" s="3349">
        <f t="shared" si="192"/>
        <v>0</v>
      </c>
      <c r="BN56" s="4428" t="e">
        <f t="shared" si="193"/>
        <v>#DIV/0!</v>
      </c>
      <c r="BO56" s="4429"/>
      <c r="BP56" s="3349"/>
      <c r="BQ56" s="3349"/>
      <c r="BR56" s="3349">
        <f t="shared" si="194"/>
        <v>0</v>
      </c>
      <c r="BS56" s="4428" t="e">
        <f t="shared" si="195"/>
        <v>#DIV/0!</v>
      </c>
      <c r="BT56" s="4429"/>
      <c r="BU56" s="3349"/>
      <c r="BV56" s="3349"/>
      <c r="BW56" s="3349">
        <f t="shared" si="196"/>
        <v>0</v>
      </c>
      <c r="BX56" s="4428" t="e">
        <f t="shared" si="197"/>
        <v>#DIV/0!</v>
      </c>
      <c r="BY56" s="4429"/>
      <c r="BZ56" s="3349"/>
      <c r="CA56" s="3349"/>
      <c r="CB56" s="3349">
        <f t="shared" si="198"/>
        <v>0</v>
      </c>
      <c r="CC56" s="4428" t="e">
        <f t="shared" si="199"/>
        <v>#DIV/0!</v>
      </c>
      <c r="CD56" s="4429"/>
      <c r="CE56" s="3349"/>
      <c r="CF56" s="3349"/>
      <c r="CG56" s="3349">
        <f t="shared" si="200"/>
        <v>0</v>
      </c>
      <c r="CH56" s="4428" t="e">
        <f t="shared" si="201"/>
        <v>#DIV/0!</v>
      </c>
      <c r="CI56" s="4429"/>
      <c r="CJ56" s="3341">
        <f t="shared" si="202"/>
        <v>0</v>
      </c>
      <c r="CK56" s="3341">
        <f t="shared" si="202"/>
        <v>0</v>
      </c>
      <c r="CL56" s="2012">
        <f t="shared" si="203"/>
        <v>0</v>
      </c>
      <c r="CM56" s="4428">
        <f t="shared" si="168"/>
        <v>0</v>
      </c>
      <c r="CN56" s="4432"/>
      <c r="CP56" s="3765">
        <f t="shared" si="204"/>
        <v>0</v>
      </c>
      <c r="CQ56" s="3765">
        <f t="shared" si="204"/>
        <v>0</v>
      </c>
      <c r="CR56" s="4618"/>
    </row>
    <row r="57" spans="1:98" ht="13.8" outlineLevel="2">
      <c r="A57" s="1571"/>
      <c r="B57" s="4632" t="s">
        <v>68</v>
      </c>
      <c r="C57" s="3349"/>
      <c r="D57" s="3349"/>
      <c r="E57" s="3349">
        <f t="shared" si="169"/>
        <v>0</v>
      </c>
      <c r="F57" s="4428" t="e">
        <f t="shared" si="133"/>
        <v>#DIV/0!</v>
      </c>
      <c r="G57" s="4429"/>
      <c r="H57" s="3349"/>
      <c r="I57" s="3349"/>
      <c r="J57" s="3349">
        <f t="shared" si="170"/>
        <v>0</v>
      </c>
      <c r="K57" s="4428" t="e">
        <f t="shared" si="171"/>
        <v>#DIV/0!</v>
      </c>
      <c r="L57" s="4429"/>
      <c r="M57" s="3349"/>
      <c r="N57" s="3349"/>
      <c r="O57" s="3349">
        <f t="shared" si="172"/>
        <v>0</v>
      </c>
      <c r="P57" s="4428" t="e">
        <f t="shared" si="173"/>
        <v>#DIV/0!</v>
      </c>
      <c r="Q57" s="4429"/>
      <c r="R57" s="3342">
        <f t="shared" si="174"/>
        <v>0</v>
      </c>
      <c r="S57" s="3342">
        <f t="shared" si="174"/>
        <v>0</v>
      </c>
      <c r="T57" s="2012">
        <f t="shared" si="175"/>
        <v>0</v>
      </c>
      <c r="U57" s="3462"/>
      <c r="V57" s="3462"/>
      <c r="W57" s="3342">
        <f t="shared" si="176"/>
        <v>0</v>
      </c>
      <c r="X57" s="3342">
        <f t="shared" si="176"/>
        <v>0</v>
      </c>
      <c r="Y57" s="2012">
        <f t="shared" si="177"/>
        <v>0</v>
      </c>
      <c r="Z57" s="3462"/>
      <c r="AA57" s="3462"/>
      <c r="AB57" s="3349"/>
      <c r="AC57" s="3349"/>
      <c r="AD57" s="3349">
        <f t="shared" si="178"/>
        <v>0</v>
      </c>
      <c r="AE57" s="4428">
        <f t="shared" si="179"/>
        <v>0</v>
      </c>
      <c r="AF57" s="4429"/>
      <c r="AG57" s="3349"/>
      <c r="AH57" s="3349"/>
      <c r="AI57" s="3349">
        <f t="shared" si="180"/>
        <v>0</v>
      </c>
      <c r="AJ57" s="4428">
        <f t="shared" si="181"/>
        <v>0</v>
      </c>
      <c r="AK57" s="4429"/>
      <c r="AL57" s="3349"/>
      <c r="AM57" s="3349"/>
      <c r="AN57" s="3349">
        <f t="shared" si="182"/>
        <v>0</v>
      </c>
      <c r="AO57" s="4428">
        <f t="shared" si="183"/>
        <v>0</v>
      </c>
      <c r="AP57" s="4429"/>
      <c r="AQ57" s="3349"/>
      <c r="AR57" s="3349"/>
      <c r="AS57" s="3349">
        <f t="shared" si="184"/>
        <v>0</v>
      </c>
      <c r="AT57" s="4428">
        <f t="shared" si="185"/>
        <v>0</v>
      </c>
      <c r="AU57" s="4429"/>
      <c r="AV57" s="3349"/>
      <c r="AW57" s="3349"/>
      <c r="AX57" s="3349">
        <f t="shared" si="186"/>
        <v>0</v>
      </c>
      <c r="AY57" s="4428">
        <f t="shared" si="187"/>
        <v>0</v>
      </c>
      <c r="AZ57" s="4429"/>
      <c r="BA57" s="3349"/>
      <c r="BB57" s="3349"/>
      <c r="BC57" s="3349">
        <f t="shared" si="188"/>
        <v>0</v>
      </c>
      <c r="BD57" s="4428">
        <f t="shared" si="189"/>
        <v>0</v>
      </c>
      <c r="BE57" s="4429"/>
      <c r="BF57" s="3349"/>
      <c r="BG57" s="3349"/>
      <c r="BH57" s="3349">
        <f t="shared" si="190"/>
        <v>0</v>
      </c>
      <c r="BI57" s="4428" t="e">
        <f t="shared" si="191"/>
        <v>#DIV/0!</v>
      </c>
      <c r="BJ57" s="4429"/>
      <c r="BK57" s="3349"/>
      <c r="BL57" s="3349"/>
      <c r="BM57" s="3349">
        <f t="shared" si="192"/>
        <v>0</v>
      </c>
      <c r="BN57" s="4428" t="e">
        <f t="shared" si="193"/>
        <v>#DIV/0!</v>
      </c>
      <c r="BO57" s="4429"/>
      <c r="BP57" s="3349"/>
      <c r="BQ57" s="3349"/>
      <c r="BR57" s="3349">
        <f t="shared" si="194"/>
        <v>0</v>
      </c>
      <c r="BS57" s="4428" t="e">
        <f t="shared" si="195"/>
        <v>#DIV/0!</v>
      </c>
      <c r="BT57" s="4429"/>
      <c r="BU57" s="3349"/>
      <c r="BV57" s="3349"/>
      <c r="BW57" s="3349">
        <f t="shared" si="196"/>
        <v>0</v>
      </c>
      <c r="BX57" s="4428" t="e">
        <f t="shared" si="197"/>
        <v>#DIV/0!</v>
      </c>
      <c r="BY57" s="4429"/>
      <c r="BZ57" s="3349"/>
      <c r="CA57" s="3349"/>
      <c r="CB57" s="3349">
        <f t="shared" si="198"/>
        <v>0</v>
      </c>
      <c r="CC57" s="4428" t="e">
        <f t="shared" si="199"/>
        <v>#DIV/0!</v>
      </c>
      <c r="CD57" s="4429"/>
      <c r="CE57" s="3349"/>
      <c r="CF57" s="3349"/>
      <c r="CG57" s="3349">
        <f t="shared" si="200"/>
        <v>0</v>
      </c>
      <c r="CH57" s="4428" t="e">
        <f t="shared" si="201"/>
        <v>#DIV/0!</v>
      </c>
      <c r="CI57" s="4429"/>
      <c r="CJ57" s="3341">
        <f t="shared" si="202"/>
        <v>0</v>
      </c>
      <c r="CK57" s="3341">
        <f t="shared" si="202"/>
        <v>0</v>
      </c>
      <c r="CL57" s="2012">
        <f t="shared" si="203"/>
        <v>0</v>
      </c>
      <c r="CM57" s="4428">
        <f t="shared" si="168"/>
        <v>0</v>
      </c>
      <c r="CN57" s="4432"/>
      <c r="CP57" s="3765">
        <f t="shared" si="204"/>
        <v>0</v>
      </c>
      <c r="CQ57" s="3765">
        <f t="shared" si="204"/>
        <v>0</v>
      </c>
      <c r="CR57" s="4618"/>
    </row>
    <row r="58" spans="1:98" ht="13.8" outlineLevel="2">
      <c r="A58" s="1571"/>
      <c r="B58" s="4632" t="s">
        <v>67</v>
      </c>
      <c r="C58" s="3349"/>
      <c r="D58" s="3349"/>
      <c r="E58" s="3349">
        <f t="shared" si="169"/>
        <v>0</v>
      </c>
      <c r="F58" s="4428" t="e">
        <f t="shared" si="133"/>
        <v>#DIV/0!</v>
      </c>
      <c r="G58" s="4429"/>
      <c r="H58" s="3349"/>
      <c r="I58" s="3349"/>
      <c r="J58" s="3349">
        <f t="shared" si="170"/>
        <v>0</v>
      </c>
      <c r="K58" s="4428" t="e">
        <f t="shared" si="171"/>
        <v>#DIV/0!</v>
      </c>
      <c r="L58" s="4429"/>
      <c r="M58" s="3349"/>
      <c r="N58" s="3349"/>
      <c r="O58" s="3349">
        <f t="shared" si="172"/>
        <v>0</v>
      </c>
      <c r="P58" s="4428" t="e">
        <f t="shared" si="173"/>
        <v>#DIV/0!</v>
      </c>
      <c r="Q58" s="4429"/>
      <c r="R58" s="3342">
        <f t="shared" si="174"/>
        <v>0</v>
      </c>
      <c r="S58" s="3342">
        <f t="shared" si="174"/>
        <v>0</v>
      </c>
      <c r="T58" s="2012">
        <f t="shared" si="175"/>
        <v>0</v>
      </c>
      <c r="U58" s="3462"/>
      <c r="V58" s="3462"/>
      <c r="W58" s="3342">
        <f t="shared" si="176"/>
        <v>0</v>
      </c>
      <c r="X58" s="3342">
        <f t="shared" si="176"/>
        <v>0</v>
      </c>
      <c r="Y58" s="2012">
        <f t="shared" si="177"/>
        <v>0</v>
      </c>
      <c r="Z58" s="3462"/>
      <c r="AA58" s="3462"/>
      <c r="AB58" s="3349"/>
      <c r="AC58" s="3349"/>
      <c r="AD58" s="3349">
        <f t="shared" si="178"/>
        <v>0</v>
      </c>
      <c r="AE58" s="4428">
        <f t="shared" si="179"/>
        <v>0</v>
      </c>
      <c r="AF58" s="4429"/>
      <c r="AG58" s="3349"/>
      <c r="AH58" s="3349"/>
      <c r="AI58" s="3349">
        <f t="shared" si="180"/>
        <v>0</v>
      </c>
      <c r="AJ58" s="4428">
        <f t="shared" si="181"/>
        <v>0</v>
      </c>
      <c r="AK58" s="4429"/>
      <c r="AL58" s="3349"/>
      <c r="AM58" s="3349"/>
      <c r="AN58" s="3349">
        <f t="shared" si="182"/>
        <v>0</v>
      </c>
      <c r="AO58" s="4428">
        <f t="shared" si="183"/>
        <v>0</v>
      </c>
      <c r="AP58" s="4429"/>
      <c r="AQ58" s="3349"/>
      <c r="AR58" s="3349"/>
      <c r="AS58" s="3349">
        <f t="shared" si="184"/>
        <v>0</v>
      </c>
      <c r="AT58" s="4428">
        <f t="shared" si="185"/>
        <v>0</v>
      </c>
      <c r="AU58" s="4429"/>
      <c r="AV58" s="3349"/>
      <c r="AW58" s="3349"/>
      <c r="AX58" s="3349">
        <f t="shared" si="186"/>
        <v>0</v>
      </c>
      <c r="AY58" s="4428">
        <f t="shared" si="187"/>
        <v>0</v>
      </c>
      <c r="AZ58" s="4429"/>
      <c r="BA58" s="3349"/>
      <c r="BB58" s="3349"/>
      <c r="BC58" s="3349">
        <f t="shared" si="188"/>
        <v>0</v>
      </c>
      <c r="BD58" s="4428">
        <f t="shared" si="189"/>
        <v>0</v>
      </c>
      <c r="BE58" s="4429"/>
      <c r="BF58" s="3349"/>
      <c r="BG58" s="3349"/>
      <c r="BH58" s="3349">
        <f t="shared" si="190"/>
        <v>0</v>
      </c>
      <c r="BI58" s="4428" t="e">
        <f t="shared" si="191"/>
        <v>#DIV/0!</v>
      </c>
      <c r="BJ58" s="4429"/>
      <c r="BK58" s="3349"/>
      <c r="BL58" s="3349"/>
      <c r="BM58" s="3349">
        <f t="shared" si="192"/>
        <v>0</v>
      </c>
      <c r="BN58" s="4428" t="e">
        <f t="shared" si="193"/>
        <v>#DIV/0!</v>
      </c>
      <c r="BO58" s="4429"/>
      <c r="BP58" s="3349"/>
      <c r="BQ58" s="3349"/>
      <c r="BR58" s="3349">
        <f t="shared" si="194"/>
        <v>0</v>
      </c>
      <c r="BS58" s="4428" t="e">
        <f t="shared" si="195"/>
        <v>#DIV/0!</v>
      </c>
      <c r="BT58" s="4429"/>
      <c r="BU58" s="3349"/>
      <c r="BV58" s="3349"/>
      <c r="BW58" s="3349">
        <f t="shared" si="196"/>
        <v>0</v>
      </c>
      <c r="BX58" s="4428" t="e">
        <f t="shared" si="197"/>
        <v>#DIV/0!</v>
      </c>
      <c r="BY58" s="4429"/>
      <c r="BZ58" s="3349"/>
      <c r="CA58" s="3349"/>
      <c r="CB58" s="3349">
        <f t="shared" si="198"/>
        <v>0</v>
      </c>
      <c r="CC58" s="4428" t="e">
        <f t="shared" si="199"/>
        <v>#DIV/0!</v>
      </c>
      <c r="CD58" s="4429"/>
      <c r="CE58" s="3349"/>
      <c r="CF58" s="3349"/>
      <c r="CG58" s="3349">
        <f t="shared" si="200"/>
        <v>0</v>
      </c>
      <c r="CH58" s="4428" t="e">
        <f t="shared" si="201"/>
        <v>#DIV/0!</v>
      </c>
      <c r="CI58" s="4429"/>
      <c r="CJ58" s="3341">
        <f t="shared" si="202"/>
        <v>0</v>
      </c>
      <c r="CK58" s="3341">
        <f t="shared" si="202"/>
        <v>0</v>
      </c>
      <c r="CL58" s="2012">
        <f t="shared" si="203"/>
        <v>0</v>
      </c>
      <c r="CM58" s="4428">
        <f t="shared" si="168"/>
        <v>0</v>
      </c>
      <c r="CN58" s="4432"/>
      <c r="CP58" s="3765">
        <f t="shared" si="204"/>
        <v>0</v>
      </c>
      <c r="CQ58" s="3765">
        <f t="shared" si="204"/>
        <v>0</v>
      </c>
      <c r="CR58" s="4618"/>
    </row>
    <row r="59" spans="1:98" ht="13.8" outlineLevel="2">
      <c r="A59" s="1571"/>
      <c r="B59" s="4632" t="s">
        <v>66</v>
      </c>
      <c r="C59" s="3349"/>
      <c r="D59" s="3349"/>
      <c r="E59" s="3349">
        <f t="shared" si="169"/>
        <v>0</v>
      </c>
      <c r="F59" s="4428" t="e">
        <f t="shared" si="133"/>
        <v>#DIV/0!</v>
      </c>
      <c r="G59" s="4429"/>
      <c r="H59" s="3349"/>
      <c r="I59" s="3349"/>
      <c r="J59" s="3349">
        <f t="shared" si="170"/>
        <v>0</v>
      </c>
      <c r="K59" s="4428" t="e">
        <f t="shared" si="171"/>
        <v>#DIV/0!</v>
      </c>
      <c r="L59" s="4429"/>
      <c r="M59" s="3349"/>
      <c r="N59" s="3349"/>
      <c r="O59" s="3349">
        <f t="shared" si="172"/>
        <v>0</v>
      </c>
      <c r="P59" s="4428" t="e">
        <f t="shared" si="173"/>
        <v>#DIV/0!</v>
      </c>
      <c r="Q59" s="4429"/>
      <c r="R59" s="3342">
        <f t="shared" si="174"/>
        <v>0</v>
      </c>
      <c r="S59" s="3342">
        <f t="shared" si="174"/>
        <v>0</v>
      </c>
      <c r="T59" s="2012">
        <f t="shared" si="175"/>
        <v>0</v>
      </c>
      <c r="U59" s="3462"/>
      <c r="V59" s="3462"/>
      <c r="W59" s="3342">
        <f t="shared" si="176"/>
        <v>0</v>
      </c>
      <c r="X59" s="3342">
        <f t="shared" si="176"/>
        <v>0</v>
      </c>
      <c r="Y59" s="2012">
        <f t="shared" si="177"/>
        <v>0</v>
      </c>
      <c r="Z59" s="3462"/>
      <c r="AA59" s="3462"/>
      <c r="AB59" s="3349"/>
      <c r="AC59" s="3349"/>
      <c r="AD59" s="3349">
        <f t="shared" si="178"/>
        <v>0</v>
      </c>
      <c r="AE59" s="4428">
        <f t="shared" si="179"/>
        <v>0</v>
      </c>
      <c r="AF59" s="4429"/>
      <c r="AG59" s="3349"/>
      <c r="AH59" s="3349"/>
      <c r="AI59" s="3349">
        <f t="shared" si="180"/>
        <v>0</v>
      </c>
      <c r="AJ59" s="4428">
        <f t="shared" si="181"/>
        <v>0</v>
      </c>
      <c r="AK59" s="4429"/>
      <c r="AL59" s="3349"/>
      <c r="AM59" s="3349"/>
      <c r="AN59" s="3349">
        <f t="shared" si="182"/>
        <v>0</v>
      </c>
      <c r="AO59" s="4428">
        <f t="shared" si="183"/>
        <v>0</v>
      </c>
      <c r="AP59" s="4429"/>
      <c r="AQ59" s="3349"/>
      <c r="AR59" s="3349"/>
      <c r="AS59" s="3349">
        <f t="shared" si="184"/>
        <v>0</v>
      </c>
      <c r="AT59" s="4428">
        <f t="shared" si="185"/>
        <v>0</v>
      </c>
      <c r="AU59" s="4429"/>
      <c r="AV59" s="3349"/>
      <c r="AW59" s="3349"/>
      <c r="AX59" s="3349">
        <f t="shared" si="186"/>
        <v>0</v>
      </c>
      <c r="AY59" s="4428">
        <f t="shared" si="187"/>
        <v>0</v>
      </c>
      <c r="AZ59" s="4429"/>
      <c r="BA59" s="3349"/>
      <c r="BB59" s="3349"/>
      <c r="BC59" s="3349">
        <f t="shared" si="188"/>
        <v>0</v>
      </c>
      <c r="BD59" s="4428">
        <f t="shared" si="189"/>
        <v>0</v>
      </c>
      <c r="BE59" s="4429"/>
      <c r="BF59" s="3349"/>
      <c r="BG59" s="3349"/>
      <c r="BH59" s="3349">
        <f t="shared" si="190"/>
        <v>0</v>
      </c>
      <c r="BI59" s="4428" t="e">
        <f t="shared" si="191"/>
        <v>#DIV/0!</v>
      </c>
      <c r="BJ59" s="4429"/>
      <c r="BK59" s="3349"/>
      <c r="BL59" s="3349"/>
      <c r="BM59" s="3349">
        <f t="shared" si="192"/>
        <v>0</v>
      </c>
      <c r="BN59" s="4428" t="e">
        <f t="shared" si="193"/>
        <v>#DIV/0!</v>
      </c>
      <c r="BO59" s="4429"/>
      <c r="BP59" s="3349"/>
      <c r="BQ59" s="3349"/>
      <c r="BR59" s="3349">
        <f t="shared" si="194"/>
        <v>0</v>
      </c>
      <c r="BS59" s="4428" t="e">
        <f t="shared" si="195"/>
        <v>#DIV/0!</v>
      </c>
      <c r="BT59" s="4429"/>
      <c r="BU59" s="3349"/>
      <c r="BV59" s="3349"/>
      <c r="BW59" s="3349">
        <f t="shared" si="196"/>
        <v>0</v>
      </c>
      <c r="BX59" s="4428" t="e">
        <f t="shared" si="197"/>
        <v>#DIV/0!</v>
      </c>
      <c r="BY59" s="4429"/>
      <c r="BZ59" s="3349"/>
      <c r="CA59" s="3349"/>
      <c r="CB59" s="3349">
        <f t="shared" si="198"/>
        <v>0</v>
      </c>
      <c r="CC59" s="4428" t="e">
        <f t="shared" si="199"/>
        <v>#DIV/0!</v>
      </c>
      <c r="CD59" s="4429"/>
      <c r="CE59" s="3349"/>
      <c r="CF59" s="3349"/>
      <c r="CG59" s="3349">
        <f t="shared" si="200"/>
        <v>0</v>
      </c>
      <c r="CH59" s="4428" t="e">
        <f t="shared" si="201"/>
        <v>#DIV/0!</v>
      </c>
      <c r="CI59" s="4429"/>
      <c r="CJ59" s="3341">
        <f t="shared" si="202"/>
        <v>0</v>
      </c>
      <c r="CK59" s="3341">
        <f t="shared" si="202"/>
        <v>0</v>
      </c>
      <c r="CL59" s="2012">
        <f t="shared" si="203"/>
        <v>0</v>
      </c>
      <c r="CM59" s="4428">
        <f t="shared" si="168"/>
        <v>0</v>
      </c>
      <c r="CN59" s="4432"/>
      <c r="CP59" s="3765">
        <f t="shared" si="204"/>
        <v>0</v>
      </c>
      <c r="CQ59" s="3765">
        <f t="shared" si="204"/>
        <v>0</v>
      </c>
      <c r="CR59" s="4618"/>
    </row>
    <row r="60" spans="1:98" ht="13.8" outlineLevel="2">
      <c r="A60" s="1571"/>
      <c r="B60" s="4632" t="s">
        <v>65</v>
      </c>
      <c r="C60" s="3349"/>
      <c r="D60" s="3349"/>
      <c r="E60" s="3349">
        <f t="shared" si="169"/>
        <v>0</v>
      </c>
      <c r="F60" s="4428" t="e">
        <f t="shared" si="133"/>
        <v>#DIV/0!</v>
      </c>
      <c r="G60" s="4429"/>
      <c r="H60" s="3349"/>
      <c r="I60" s="3349"/>
      <c r="J60" s="3349">
        <f t="shared" si="170"/>
        <v>0</v>
      </c>
      <c r="K60" s="4428" t="e">
        <f t="shared" si="171"/>
        <v>#DIV/0!</v>
      </c>
      <c r="L60" s="4429"/>
      <c r="M60" s="3349"/>
      <c r="N60" s="3349"/>
      <c r="O60" s="3349">
        <f t="shared" si="172"/>
        <v>0</v>
      </c>
      <c r="P60" s="4428" t="e">
        <f t="shared" si="173"/>
        <v>#DIV/0!</v>
      </c>
      <c r="Q60" s="4429"/>
      <c r="R60" s="3342">
        <f t="shared" si="174"/>
        <v>0</v>
      </c>
      <c r="S60" s="3342">
        <f t="shared" si="174"/>
        <v>0</v>
      </c>
      <c r="T60" s="2012">
        <f t="shared" si="175"/>
        <v>0</v>
      </c>
      <c r="U60" s="3462"/>
      <c r="V60" s="3462"/>
      <c r="W60" s="3342">
        <f t="shared" si="176"/>
        <v>0</v>
      </c>
      <c r="X60" s="3342">
        <f t="shared" si="176"/>
        <v>0</v>
      </c>
      <c r="Y60" s="2012">
        <f t="shared" si="177"/>
        <v>0</v>
      </c>
      <c r="Z60" s="3462"/>
      <c r="AA60" s="3462"/>
      <c r="AB60" s="3349"/>
      <c r="AC60" s="3349"/>
      <c r="AD60" s="3349">
        <f t="shared" si="178"/>
        <v>0</v>
      </c>
      <c r="AE60" s="4428">
        <f t="shared" si="179"/>
        <v>0</v>
      </c>
      <c r="AF60" s="4429"/>
      <c r="AG60" s="3349"/>
      <c r="AH60" s="3349"/>
      <c r="AI60" s="3349">
        <f t="shared" si="180"/>
        <v>0</v>
      </c>
      <c r="AJ60" s="4428">
        <f t="shared" si="181"/>
        <v>0</v>
      </c>
      <c r="AK60" s="4429"/>
      <c r="AL60" s="3349"/>
      <c r="AM60" s="3349"/>
      <c r="AN60" s="3349">
        <f t="shared" si="182"/>
        <v>0</v>
      </c>
      <c r="AO60" s="4428">
        <f t="shared" si="183"/>
        <v>0</v>
      </c>
      <c r="AP60" s="4429"/>
      <c r="AQ60" s="3349"/>
      <c r="AR60" s="3349"/>
      <c r="AS60" s="3349">
        <f t="shared" si="184"/>
        <v>0</v>
      </c>
      <c r="AT60" s="4428">
        <f t="shared" si="185"/>
        <v>0</v>
      </c>
      <c r="AU60" s="4429"/>
      <c r="AV60" s="3349"/>
      <c r="AW60" s="3349"/>
      <c r="AX60" s="3349">
        <f t="shared" si="186"/>
        <v>0</v>
      </c>
      <c r="AY60" s="4428">
        <f t="shared" si="187"/>
        <v>0</v>
      </c>
      <c r="AZ60" s="4429"/>
      <c r="BA60" s="3349"/>
      <c r="BB60" s="3349"/>
      <c r="BC60" s="3349">
        <f t="shared" si="188"/>
        <v>0</v>
      </c>
      <c r="BD60" s="4428">
        <f t="shared" si="189"/>
        <v>0</v>
      </c>
      <c r="BE60" s="4429"/>
      <c r="BF60" s="3349"/>
      <c r="BG60" s="3349"/>
      <c r="BH60" s="3349">
        <f t="shared" si="190"/>
        <v>0</v>
      </c>
      <c r="BI60" s="4428" t="e">
        <f t="shared" si="191"/>
        <v>#DIV/0!</v>
      </c>
      <c r="BJ60" s="4429"/>
      <c r="BK60" s="3349"/>
      <c r="BL60" s="3349"/>
      <c r="BM60" s="3349">
        <f t="shared" si="192"/>
        <v>0</v>
      </c>
      <c r="BN60" s="4428" t="e">
        <f t="shared" si="193"/>
        <v>#DIV/0!</v>
      </c>
      <c r="BO60" s="4429"/>
      <c r="BP60" s="3349"/>
      <c r="BQ60" s="3349"/>
      <c r="BR60" s="3349">
        <f t="shared" si="194"/>
        <v>0</v>
      </c>
      <c r="BS60" s="4428" t="e">
        <f t="shared" si="195"/>
        <v>#DIV/0!</v>
      </c>
      <c r="BT60" s="4429"/>
      <c r="BU60" s="3349"/>
      <c r="BV60" s="3349"/>
      <c r="BW60" s="3349">
        <f t="shared" si="196"/>
        <v>0</v>
      </c>
      <c r="BX60" s="4428" t="e">
        <f t="shared" si="197"/>
        <v>#DIV/0!</v>
      </c>
      <c r="BY60" s="4429"/>
      <c r="BZ60" s="3349"/>
      <c r="CA60" s="3349"/>
      <c r="CB60" s="3349">
        <f t="shared" si="198"/>
        <v>0</v>
      </c>
      <c r="CC60" s="4428" t="e">
        <f t="shared" si="199"/>
        <v>#DIV/0!</v>
      </c>
      <c r="CD60" s="4429"/>
      <c r="CE60" s="3349"/>
      <c r="CF60" s="3349"/>
      <c r="CG60" s="3349">
        <f t="shared" si="200"/>
        <v>0</v>
      </c>
      <c r="CH60" s="4428" t="e">
        <f t="shared" si="201"/>
        <v>#DIV/0!</v>
      </c>
      <c r="CI60" s="4429"/>
      <c r="CJ60" s="3341">
        <f t="shared" si="202"/>
        <v>0</v>
      </c>
      <c r="CK60" s="3341">
        <f t="shared" si="202"/>
        <v>0</v>
      </c>
      <c r="CL60" s="2012">
        <f t="shared" si="203"/>
        <v>0</v>
      </c>
      <c r="CM60" s="4428">
        <f t="shared" si="168"/>
        <v>0</v>
      </c>
      <c r="CN60" s="4432"/>
      <c r="CP60" s="3765">
        <f t="shared" si="204"/>
        <v>0</v>
      </c>
      <c r="CQ60" s="3765">
        <f t="shared" si="204"/>
        <v>0</v>
      </c>
      <c r="CR60" s="4618"/>
    </row>
    <row r="61" spans="1:98" ht="13.8" outlineLevel="2">
      <c r="A61" s="1571"/>
      <c r="B61" s="4632" t="s">
        <v>32</v>
      </c>
      <c r="C61" s="3349"/>
      <c r="D61" s="3349"/>
      <c r="E61" s="3349">
        <f t="shared" si="169"/>
        <v>0</v>
      </c>
      <c r="F61" s="4428" t="e">
        <f t="shared" si="133"/>
        <v>#DIV/0!</v>
      </c>
      <c r="G61" s="4429"/>
      <c r="H61" s="3349"/>
      <c r="I61" s="3349"/>
      <c r="J61" s="3349">
        <f t="shared" si="170"/>
        <v>0</v>
      </c>
      <c r="K61" s="4428" t="e">
        <f t="shared" si="171"/>
        <v>#DIV/0!</v>
      </c>
      <c r="L61" s="4429"/>
      <c r="M61" s="3349"/>
      <c r="N61" s="3349"/>
      <c r="O61" s="3349">
        <f t="shared" si="172"/>
        <v>0</v>
      </c>
      <c r="P61" s="4428" t="e">
        <f t="shared" si="173"/>
        <v>#DIV/0!</v>
      </c>
      <c r="Q61" s="4429"/>
      <c r="R61" s="3342">
        <f t="shared" si="174"/>
        <v>0</v>
      </c>
      <c r="S61" s="3342">
        <f t="shared" si="174"/>
        <v>0</v>
      </c>
      <c r="T61" s="2012">
        <f t="shared" si="175"/>
        <v>0</v>
      </c>
      <c r="U61" s="3462"/>
      <c r="V61" s="3462"/>
      <c r="W61" s="3342">
        <f t="shared" si="176"/>
        <v>0</v>
      </c>
      <c r="X61" s="3342">
        <f t="shared" si="176"/>
        <v>0</v>
      </c>
      <c r="Y61" s="2012">
        <f t="shared" si="177"/>
        <v>0</v>
      </c>
      <c r="Z61" s="3462"/>
      <c r="AA61" s="3462"/>
      <c r="AB61" s="3349"/>
      <c r="AC61" s="3349"/>
      <c r="AD61" s="3349">
        <f t="shared" si="178"/>
        <v>0</v>
      </c>
      <c r="AE61" s="4428">
        <f t="shared" si="179"/>
        <v>0</v>
      </c>
      <c r="AF61" s="4429"/>
      <c r="AG61" s="3349"/>
      <c r="AH61" s="3349"/>
      <c r="AI61" s="3349">
        <f t="shared" si="180"/>
        <v>0</v>
      </c>
      <c r="AJ61" s="4428">
        <f t="shared" si="181"/>
        <v>0</v>
      </c>
      <c r="AK61" s="4429"/>
      <c r="AL61" s="3349"/>
      <c r="AM61" s="3349"/>
      <c r="AN61" s="3349">
        <f t="shared" si="182"/>
        <v>0</v>
      </c>
      <c r="AO61" s="4428">
        <f t="shared" si="183"/>
        <v>0</v>
      </c>
      <c r="AP61" s="4429"/>
      <c r="AQ61" s="3349"/>
      <c r="AR61" s="3349"/>
      <c r="AS61" s="3349">
        <f t="shared" si="184"/>
        <v>0</v>
      </c>
      <c r="AT61" s="4428">
        <f t="shared" si="185"/>
        <v>0</v>
      </c>
      <c r="AU61" s="4429"/>
      <c r="AV61" s="3349"/>
      <c r="AW61" s="3349"/>
      <c r="AX61" s="3349">
        <f t="shared" si="186"/>
        <v>0</v>
      </c>
      <c r="AY61" s="4428">
        <f t="shared" si="187"/>
        <v>0</v>
      </c>
      <c r="AZ61" s="4429"/>
      <c r="BA61" s="3349"/>
      <c r="BB61" s="3349"/>
      <c r="BC61" s="3349">
        <f t="shared" si="188"/>
        <v>0</v>
      </c>
      <c r="BD61" s="4428">
        <f t="shared" si="189"/>
        <v>0</v>
      </c>
      <c r="BE61" s="4429"/>
      <c r="BF61" s="3349"/>
      <c r="BG61" s="3349"/>
      <c r="BH61" s="3349">
        <f t="shared" si="190"/>
        <v>0</v>
      </c>
      <c r="BI61" s="4428" t="e">
        <f t="shared" si="191"/>
        <v>#DIV/0!</v>
      </c>
      <c r="BJ61" s="4429"/>
      <c r="BK61" s="3349"/>
      <c r="BL61" s="3349"/>
      <c r="BM61" s="3349">
        <f t="shared" si="192"/>
        <v>0</v>
      </c>
      <c r="BN61" s="4428" t="e">
        <f t="shared" si="193"/>
        <v>#DIV/0!</v>
      </c>
      <c r="BO61" s="4429"/>
      <c r="BP61" s="3349"/>
      <c r="BQ61" s="3349"/>
      <c r="BR61" s="3349">
        <f t="shared" si="194"/>
        <v>0</v>
      </c>
      <c r="BS61" s="4428" t="e">
        <f t="shared" si="195"/>
        <v>#DIV/0!</v>
      </c>
      <c r="BT61" s="4429"/>
      <c r="BU61" s="3349"/>
      <c r="BV61" s="3349"/>
      <c r="BW61" s="3349">
        <f t="shared" si="196"/>
        <v>0</v>
      </c>
      <c r="BX61" s="4428" t="e">
        <f t="shared" si="197"/>
        <v>#DIV/0!</v>
      </c>
      <c r="BY61" s="4429"/>
      <c r="BZ61" s="3349"/>
      <c r="CA61" s="3349"/>
      <c r="CB61" s="3349">
        <f t="shared" si="198"/>
        <v>0</v>
      </c>
      <c r="CC61" s="4428" t="e">
        <f t="shared" si="199"/>
        <v>#DIV/0!</v>
      </c>
      <c r="CD61" s="4429"/>
      <c r="CE61" s="3349"/>
      <c r="CF61" s="3349"/>
      <c r="CG61" s="3349">
        <f t="shared" si="200"/>
        <v>0</v>
      </c>
      <c r="CH61" s="4428" t="e">
        <f t="shared" si="201"/>
        <v>#DIV/0!</v>
      </c>
      <c r="CI61" s="4429"/>
      <c r="CJ61" s="3341">
        <f t="shared" si="202"/>
        <v>0</v>
      </c>
      <c r="CK61" s="3341">
        <f t="shared" si="202"/>
        <v>0</v>
      </c>
      <c r="CL61" s="2012">
        <f t="shared" si="203"/>
        <v>0</v>
      </c>
      <c r="CM61" s="4428">
        <f t="shared" si="168"/>
        <v>0</v>
      </c>
      <c r="CN61" s="4432"/>
      <c r="CP61" s="3765">
        <f t="shared" si="204"/>
        <v>0</v>
      </c>
      <c r="CQ61" s="3765">
        <f t="shared" si="204"/>
        <v>0</v>
      </c>
      <c r="CR61" s="4618"/>
    </row>
    <row r="62" spans="1:98" ht="13.8" outlineLevel="2">
      <c r="A62" s="1571"/>
      <c r="B62" s="4632" t="s">
        <v>33</v>
      </c>
      <c r="C62" s="3349"/>
      <c r="D62" s="3349"/>
      <c r="E62" s="3349">
        <f t="shared" si="169"/>
        <v>0</v>
      </c>
      <c r="F62" s="4428" t="e">
        <f t="shared" si="133"/>
        <v>#DIV/0!</v>
      </c>
      <c r="G62" s="4429"/>
      <c r="H62" s="3349"/>
      <c r="I62" s="3349"/>
      <c r="J62" s="3349">
        <f t="shared" si="170"/>
        <v>0</v>
      </c>
      <c r="K62" s="4428" t="e">
        <f t="shared" si="171"/>
        <v>#DIV/0!</v>
      </c>
      <c r="L62" s="4429"/>
      <c r="M62" s="3349"/>
      <c r="N62" s="3349"/>
      <c r="O62" s="3349">
        <f t="shared" si="172"/>
        <v>0</v>
      </c>
      <c r="P62" s="4428" t="e">
        <f t="shared" si="173"/>
        <v>#DIV/0!</v>
      </c>
      <c r="Q62" s="4429"/>
      <c r="R62" s="3342">
        <f t="shared" si="174"/>
        <v>0</v>
      </c>
      <c r="S62" s="3342">
        <f t="shared" si="174"/>
        <v>0</v>
      </c>
      <c r="T62" s="2012">
        <f t="shared" si="175"/>
        <v>0</v>
      </c>
      <c r="U62" s="3462"/>
      <c r="V62" s="3462"/>
      <c r="W62" s="3342">
        <f t="shared" si="176"/>
        <v>0</v>
      </c>
      <c r="X62" s="3342">
        <f t="shared" si="176"/>
        <v>0</v>
      </c>
      <c r="Y62" s="2012">
        <f t="shared" si="177"/>
        <v>0</v>
      </c>
      <c r="Z62" s="3462"/>
      <c r="AA62" s="3462"/>
      <c r="AB62" s="3349"/>
      <c r="AC62" s="3349"/>
      <c r="AD62" s="3349">
        <f t="shared" si="178"/>
        <v>0</v>
      </c>
      <c r="AE62" s="4428">
        <f t="shared" si="179"/>
        <v>0</v>
      </c>
      <c r="AF62" s="4429"/>
      <c r="AG62" s="3349"/>
      <c r="AH62" s="3349"/>
      <c r="AI62" s="3349">
        <f t="shared" si="180"/>
        <v>0</v>
      </c>
      <c r="AJ62" s="4428">
        <f t="shared" si="181"/>
        <v>0</v>
      </c>
      <c r="AK62" s="4429"/>
      <c r="AL62" s="3349"/>
      <c r="AM62" s="3349"/>
      <c r="AN62" s="3349">
        <f t="shared" si="182"/>
        <v>0</v>
      </c>
      <c r="AO62" s="4428">
        <f t="shared" si="183"/>
        <v>0</v>
      </c>
      <c r="AP62" s="4429"/>
      <c r="AQ62" s="3349"/>
      <c r="AR62" s="3349"/>
      <c r="AS62" s="3349">
        <f t="shared" si="184"/>
        <v>0</v>
      </c>
      <c r="AT62" s="4428">
        <f t="shared" si="185"/>
        <v>0</v>
      </c>
      <c r="AU62" s="4429"/>
      <c r="AV62" s="3349"/>
      <c r="AW62" s="3349"/>
      <c r="AX62" s="3349">
        <f t="shared" si="186"/>
        <v>0</v>
      </c>
      <c r="AY62" s="4428">
        <f t="shared" si="187"/>
        <v>0</v>
      </c>
      <c r="AZ62" s="4429"/>
      <c r="BA62" s="3349"/>
      <c r="BB62" s="3349"/>
      <c r="BC62" s="3349">
        <f t="shared" si="188"/>
        <v>0</v>
      </c>
      <c r="BD62" s="4428">
        <f t="shared" si="189"/>
        <v>0</v>
      </c>
      <c r="BE62" s="4429"/>
      <c r="BF62" s="3349"/>
      <c r="BG62" s="3349"/>
      <c r="BH62" s="3349">
        <f t="shared" si="190"/>
        <v>0</v>
      </c>
      <c r="BI62" s="4428" t="e">
        <f t="shared" si="191"/>
        <v>#DIV/0!</v>
      </c>
      <c r="BJ62" s="4429"/>
      <c r="BK62" s="3349"/>
      <c r="BL62" s="3349"/>
      <c r="BM62" s="3349">
        <f t="shared" si="192"/>
        <v>0</v>
      </c>
      <c r="BN62" s="4428" t="e">
        <f t="shared" si="193"/>
        <v>#DIV/0!</v>
      </c>
      <c r="BO62" s="4429"/>
      <c r="BP62" s="3349"/>
      <c r="BQ62" s="3349"/>
      <c r="BR62" s="3349">
        <f t="shared" si="194"/>
        <v>0</v>
      </c>
      <c r="BS62" s="4428" t="e">
        <f t="shared" si="195"/>
        <v>#DIV/0!</v>
      </c>
      <c r="BT62" s="4429"/>
      <c r="BU62" s="3349"/>
      <c r="BV62" s="3349"/>
      <c r="BW62" s="3349">
        <f t="shared" si="196"/>
        <v>0</v>
      </c>
      <c r="BX62" s="4428" t="e">
        <f t="shared" si="197"/>
        <v>#DIV/0!</v>
      </c>
      <c r="BY62" s="4429"/>
      <c r="BZ62" s="3349"/>
      <c r="CA62" s="3349"/>
      <c r="CB62" s="3349">
        <f t="shared" si="198"/>
        <v>0</v>
      </c>
      <c r="CC62" s="4428" t="e">
        <f t="shared" si="199"/>
        <v>#DIV/0!</v>
      </c>
      <c r="CD62" s="4429"/>
      <c r="CE62" s="3349"/>
      <c r="CF62" s="3349"/>
      <c r="CG62" s="3349">
        <f t="shared" si="200"/>
        <v>0</v>
      </c>
      <c r="CH62" s="4428" t="e">
        <f t="shared" si="201"/>
        <v>#DIV/0!</v>
      </c>
      <c r="CI62" s="4429"/>
      <c r="CJ62" s="3341">
        <f t="shared" si="202"/>
        <v>0</v>
      </c>
      <c r="CK62" s="3341">
        <f t="shared" si="202"/>
        <v>0</v>
      </c>
      <c r="CL62" s="2012">
        <f t="shared" si="203"/>
        <v>0</v>
      </c>
      <c r="CM62" s="4428">
        <f t="shared" si="168"/>
        <v>0</v>
      </c>
      <c r="CN62" s="4432"/>
      <c r="CP62" s="3765">
        <f t="shared" si="204"/>
        <v>0</v>
      </c>
      <c r="CQ62" s="3765">
        <f t="shared" si="204"/>
        <v>0</v>
      </c>
      <c r="CR62" s="4618"/>
    </row>
    <row r="63" spans="1:98" ht="13.8" outlineLevel="2">
      <c r="A63" s="1571"/>
      <c r="B63" s="4632" t="s">
        <v>35</v>
      </c>
      <c r="C63" s="3349"/>
      <c r="D63" s="3349"/>
      <c r="E63" s="3349">
        <f t="shared" si="169"/>
        <v>0</v>
      </c>
      <c r="F63" s="4428" t="e">
        <f t="shared" si="133"/>
        <v>#DIV/0!</v>
      </c>
      <c r="G63" s="4429"/>
      <c r="H63" s="3349"/>
      <c r="I63" s="3349"/>
      <c r="J63" s="3349">
        <f t="shared" si="170"/>
        <v>0</v>
      </c>
      <c r="K63" s="4428" t="e">
        <f t="shared" si="171"/>
        <v>#DIV/0!</v>
      </c>
      <c r="L63" s="4429"/>
      <c r="M63" s="3349"/>
      <c r="N63" s="3349"/>
      <c r="O63" s="3349">
        <f t="shared" si="172"/>
        <v>0</v>
      </c>
      <c r="P63" s="4428" t="e">
        <f t="shared" si="173"/>
        <v>#DIV/0!</v>
      </c>
      <c r="Q63" s="4429"/>
      <c r="R63" s="3342">
        <f t="shared" si="174"/>
        <v>0</v>
      </c>
      <c r="S63" s="3342">
        <f t="shared" si="174"/>
        <v>0</v>
      </c>
      <c r="T63" s="2012">
        <f t="shared" si="175"/>
        <v>0</v>
      </c>
      <c r="U63" s="3462"/>
      <c r="V63" s="3462"/>
      <c r="W63" s="3342">
        <f t="shared" si="176"/>
        <v>0</v>
      </c>
      <c r="X63" s="3342">
        <f t="shared" si="176"/>
        <v>0</v>
      </c>
      <c r="Y63" s="2012">
        <f t="shared" si="177"/>
        <v>0</v>
      </c>
      <c r="Z63" s="3462"/>
      <c r="AA63" s="3462"/>
      <c r="AB63" s="3349"/>
      <c r="AC63" s="3349"/>
      <c r="AD63" s="3349">
        <f t="shared" si="178"/>
        <v>0</v>
      </c>
      <c r="AE63" s="4428">
        <f t="shared" si="179"/>
        <v>0</v>
      </c>
      <c r="AF63" s="4429"/>
      <c r="AG63" s="3349"/>
      <c r="AH63" s="3349"/>
      <c r="AI63" s="3349">
        <f t="shared" si="180"/>
        <v>0</v>
      </c>
      <c r="AJ63" s="4428">
        <f t="shared" si="181"/>
        <v>0</v>
      </c>
      <c r="AK63" s="4429"/>
      <c r="AL63" s="3349"/>
      <c r="AM63" s="3349"/>
      <c r="AN63" s="3349">
        <f t="shared" si="182"/>
        <v>0</v>
      </c>
      <c r="AO63" s="4428">
        <f t="shared" si="183"/>
        <v>0</v>
      </c>
      <c r="AP63" s="4429"/>
      <c r="AQ63" s="3349"/>
      <c r="AR63" s="3349"/>
      <c r="AS63" s="3349">
        <f t="shared" si="184"/>
        <v>0</v>
      </c>
      <c r="AT63" s="4428">
        <f t="shared" si="185"/>
        <v>0</v>
      </c>
      <c r="AU63" s="4429"/>
      <c r="AV63" s="3349"/>
      <c r="AW63" s="3349"/>
      <c r="AX63" s="3349">
        <f t="shared" si="186"/>
        <v>0</v>
      </c>
      <c r="AY63" s="4428">
        <f t="shared" si="187"/>
        <v>0</v>
      </c>
      <c r="AZ63" s="4429"/>
      <c r="BA63" s="3349"/>
      <c r="BB63" s="3349"/>
      <c r="BC63" s="3349">
        <f t="shared" si="188"/>
        <v>0</v>
      </c>
      <c r="BD63" s="4428">
        <f t="shared" si="189"/>
        <v>0</v>
      </c>
      <c r="BE63" s="4429"/>
      <c r="BF63" s="3349"/>
      <c r="BG63" s="3349"/>
      <c r="BH63" s="3349">
        <f t="shared" si="190"/>
        <v>0</v>
      </c>
      <c r="BI63" s="4428" t="e">
        <f t="shared" si="191"/>
        <v>#DIV/0!</v>
      </c>
      <c r="BJ63" s="4429"/>
      <c r="BK63" s="3349"/>
      <c r="BL63" s="3349"/>
      <c r="BM63" s="3349">
        <f t="shared" si="192"/>
        <v>0</v>
      </c>
      <c r="BN63" s="4428" t="e">
        <f t="shared" si="193"/>
        <v>#DIV/0!</v>
      </c>
      <c r="BO63" s="4429"/>
      <c r="BP63" s="3349"/>
      <c r="BQ63" s="3349"/>
      <c r="BR63" s="3349">
        <f t="shared" si="194"/>
        <v>0</v>
      </c>
      <c r="BS63" s="4428" t="e">
        <f t="shared" si="195"/>
        <v>#DIV/0!</v>
      </c>
      <c r="BT63" s="4429"/>
      <c r="BU63" s="3349"/>
      <c r="BV63" s="3349"/>
      <c r="BW63" s="3349">
        <f t="shared" si="196"/>
        <v>0</v>
      </c>
      <c r="BX63" s="4428" t="e">
        <f t="shared" si="197"/>
        <v>#DIV/0!</v>
      </c>
      <c r="BY63" s="4429"/>
      <c r="BZ63" s="3349"/>
      <c r="CA63" s="3349"/>
      <c r="CB63" s="3349">
        <f t="shared" si="198"/>
        <v>0</v>
      </c>
      <c r="CC63" s="4428" t="e">
        <f t="shared" si="199"/>
        <v>#DIV/0!</v>
      </c>
      <c r="CD63" s="4429"/>
      <c r="CE63" s="3349"/>
      <c r="CF63" s="3349"/>
      <c r="CG63" s="3349">
        <f t="shared" si="200"/>
        <v>0</v>
      </c>
      <c r="CH63" s="4428" t="e">
        <f t="shared" si="201"/>
        <v>#DIV/0!</v>
      </c>
      <c r="CI63" s="4429"/>
      <c r="CJ63" s="3341">
        <f t="shared" si="202"/>
        <v>0</v>
      </c>
      <c r="CK63" s="3341">
        <f t="shared" si="202"/>
        <v>0</v>
      </c>
      <c r="CL63" s="2012">
        <f t="shared" si="203"/>
        <v>0</v>
      </c>
      <c r="CM63" s="4428">
        <f t="shared" si="168"/>
        <v>0</v>
      </c>
      <c r="CN63" s="4432"/>
      <c r="CP63" s="3765">
        <f t="shared" si="204"/>
        <v>0</v>
      </c>
      <c r="CQ63" s="3765">
        <f t="shared" si="204"/>
        <v>0</v>
      </c>
      <c r="CR63" s="4618"/>
    </row>
    <row r="64" spans="1:98" ht="13.8" outlineLevel="2">
      <c r="A64" s="1571"/>
      <c r="B64" s="4632" t="s">
        <v>63</v>
      </c>
      <c r="C64" s="3349"/>
      <c r="D64" s="3349"/>
      <c r="E64" s="3349">
        <f t="shared" si="169"/>
        <v>0</v>
      </c>
      <c r="F64" s="4428" t="e">
        <f t="shared" si="133"/>
        <v>#DIV/0!</v>
      </c>
      <c r="G64" s="4429"/>
      <c r="H64" s="3349"/>
      <c r="I64" s="3349"/>
      <c r="J64" s="3349">
        <f t="shared" si="170"/>
        <v>0</v>
      </c>
      <c r="K64" s="4428" t="e">
        <f t="shared" si="171"/>
        <v>#DIV/0!</v>
      </c>
      <c r="L64" s="4429"/>
      <c r="M64" s="3349"/>
      <c r="N64" s="3349"/>
      <c r="O64" s="3349">
        <f t="shared" si="172"/>
        <v>0</v>
      </c>
      <c r="P64" s="4428" t="e">
        <f t="shared" si="173"/>
        <v>#DIV/0!</v>
      </c>
      <c r="Q64" s="4429"/>
      <c r="R64" s="3342">
        <f t="shared" si="174"/>
        <v>0</v>
      </c>
      <c r="S64" s="3342">
        <f t="shared" si="174"/>
        <v>0</v>
      </c>
      <c r="T64" s="2012">
        <f t="shared" si="175"/>
        <v>0</v>
      </c>
      <c r="U64" s="3462"/>
      <c r="V64" s="3462"/>
      <c r="W64" s="3342">
        <f t="shared" si="176"/>
        <v>0</v>
      </c>
      <c r="X64" s="3342">
        <f t="shared" si="176"/>
        <v>0</v>
      </c>
      <c r="Y64" s="2012">
        <f t="shared" si="177"/>
        <v>0</v>
      </c>
      <c r="Z64" s="3462"/>
      <c r="AA64" s="3462"/>
      <c r="AB64" s="3349"/>
      <c r="AC64" s="3349"/>
      <c r="AD64" s="3349">
        <f t="shared" si="178"/>
        <v>0</v>
      </c>
      <c r="AE64" s="4428">
        <f t="shared" si="179"/>
        <v>0</v>
      </c>
      <c r="AF64" s="4429"/>
      <c r="AG64" s="3349"/>
      <c r="AH64" s="3349"/>
      <c r="AI64" s="3349">
        <f t="shared" si="180"/>
        <v>0</v>
      </c>
      <c r="AJ64" s="4428">
        <f t="shared" si="181"/>
        <v>0</v>
      </c>
      <c r="AK64" s="4429"/>
      <c r="AL64" s="3349"/>
      <c r="AM64" s="3349"/>
      <c r="AN64" s="3349">
        <f t="shared" si="182"/>
        <v>0</v>
      </c>
      <c r="AO64" s="4428">
        <f t="shared" si="183"/>
        <v>0</v>
      </c>
      <c r="AP64" s="4429"/>
      <c r="AQ64" s="3349"/>
      <c r="AR64" s="3349"/>
      <c r="AS64" s="3349">
        <f t="shared" si="184"/>
        <v>0</v>
      </c>
      <c r="AT64" s="4428">
        <f t="shared" si="185"/>
        <v>0</v>
      </c>
      <c r="AU64" s="4429"/>
      <c r="AV64" s="3349"/>
      <c r="AW64" s="3349"/>
      <c r="AX64" s="3349">
        <f t="shared" si="186"/>
        <v>0</v>
      </c>
      <c r="AY64" s="4428">
        <f t="shared" si="187"/>
        <v>0</v>
      </c>
      <c r="AZ64" s="4429"/>
      <c r="BA64" s="3349"/>
      <c r="BB64" s="3349"/>
      <c r="BC64" s="3349">
        <f t="shared" si="188"/>
        <v>0</v>
      </c>
      <c r="BD64" s="4428">
        <f t="shared" si="189"/>
        <v>0</v>
      </c>
      <c r="BE64" s="4429"/>
      <c r="BF64" s="3349"/>
      <c r="BG64" s="3349"/>
      <c r="BH64" s="3349">
        <f t="shared" si="190"/>
        <v>0</v>
      </c>
      <c r="BI64" s="4428" t="e">
        <f t="shared" si="191"/>
        <v>#DIV/0!</v>
      </c>
      <c r="BJ64" s="4429"/>
      <c r="BK64" s="3349"/>
      <c r="BL64" s="3349"/>
      <c r="BM64" s="3349">
        <f t="shared" si="192"/>
        <v>0</v>
      </c>
      <c r="BN64" s="4428" t="e">
        <f t="shared" si="193"/>
        <v>#DIV/0!</v>
      </c>
      <c r="BO64" s="4429"/>
      <c r="BP64" s="3349"/>
      <c r="BQ64" s="3349"/>
      <c r="BR64" s="3349">
        <f t="shared" si="194"/>
        <v>0</v>
      </c>
      <c r="BS64" s="4428" t="e">
        <f t="shared" si="195"/>
        <v>#DIV/0!</v>
      </c>
      <c r="BT64" s="4429"/>
      <c r="BU64" s="3349"/>
      <c r="BV64" s="3349"/>
      <c r="BW64" s="3349">
        <f t="shared" si="196"/>
        <v>0</v>
      </c>
      <c r="BX64" s="4428" t="e">
        <f t="shared" si="197"/>
        <v>#DIV/0!</v>
      </c>
      <c r="BY64" s="4429"/>
      <c r="BZ64" s="3349"/>
      <c r="CA64" s="3349"/>
      <c r="CB64" s="3349">
        <f t="shared" si="198"/>
        <v>0</v>
      </c>
      <c r="CC64" s="4428" t="e">
        <f t="shared" si="199"/>
        <v>#DIV/0!</v>
      </c>
      <c r="CD64" s="4429"/>
      <c r="CE64" s="3349"/>
      <c r="CF64" s="3349"/>
      <c r="CG64" s="3349">
        <f t="shared" si="200"/>
        <v>0</v>
      </c>
      <c r="CH64" s="4428" t="e">
        <f t="shared" si="201"/>
        <v>#DIV/0!</v>
      </c>
      <c r="CI64" s="4429"/>
      <c r="CJ64" s="3341">
        <f t="shared" si="202"/>
        <v>0</v>
      </c>
      <c r="CK64" s="3341">
        <f t="shared" si="202"/>
        <v>0</v>
      </c>
      <c r="CL64" s="2012">
        <f t="shared" si="203"/>
        <v>0</v>
      </c>
      <c r="CM64" s="4428">
        <f t="shared" si="168"/>
        <v>0</v>
      </c>
      <c r="CN64" s="4432"/>
      <c r="CP64" s="3765">
        <f t="shared" si="204"/>
        <v>0</v>
      </c>
      <c r="CQ64" s="3765">
        <f t="shared" si="204"/>
        <v>0</v>
      </c>
      <c r="CR64" s="4618"/>
    </row>
    <row r="65" spans="1:98" ht="55.2" outlineLevel="2">
      <c r="A65" s="1571"/>
      <c r="B65" s="4632" t="s">
        <v>36</v>
      </c>
      <c r="C65" s="3341"/>
      <c r="D65" s="3341"/>
      <c r="E65" s="3349">
        <f t="shared" si="169"/>
        <v>0</v>
      </c>
      <c r="F65" s="4428" t="e">
        <f t="shared" si="133"/>
        <v>#DIV/0!</v>
      </c>
      <c r="G65" s="4429"/>
      <c r="H65" s="3341"/>
      <c r="I65" s="3341"/>
      <c r="J65" s="3349">
        <f t="shared" si="170"/>
        <v>0</v>
      </c>
      <c r="K65" s="4428" t="e">
        <f t="shared" si="171"/>
        <v>#DIV/0!</v>
      </c>
      <c r="L65" s="4429"/>
      <c r="M65" s="3341"/>
      <c r="N65" s="3341"/>
      <c r="O65" s="3349">
        <f t="shared" si="172"/>
        <v>0</v>
      </c>
      <c r="P65" s="4428" t="e">
        <f t="shared" si="173"/>
        <v>#DIV/0!</v>
      </c>
      <c r="Q65" s="4429"/>
      <c r="R65" s="3342">
        <f t="shared" si="174"/>
        <v>0</v>
      </c>
      <c r="S65" s="3342">
        <f t="shared" si="174"/>
        <v>0</v>
      </c>
      <c r="T65" s="2012">
        <f t="shared" si="175"/>
        <v>0</v>
      </c>
      <c r="U65" s="3462"/>
      <c r="V65" s="3462"/>
      <c r="W65" s="3342">
        <f t="shared" si="176"/>
        <v>1818.5</v>
      </c>
      <c r="X65" s="3342">
        <f t="shared" si="176"/>
        <v>0</v>
      </c>
      <c r="Y65" s="2012">
        <f t="shared" si="177"/>
        <v>1818.5</v>
      </c>
      <c r="Z65" s="3462"/>
      <c r="AA65" s="3462"/>
      <c r="AB65" s="3341"/>
      <c r="AC65" s="3341"/>
      <c r="AD65" s="3349">
        <f t="shared" si="178"/>
        <v>0</v>
      </c>
      <c r="AE65" s="4428">
        <f t="shared" si="179"/>
        <v>0</v>
      </c>
      <c r="AF65" s="4429"/>
      <c r="AG65" s="3341"/>
      <c r="AH65" s="3341"/>
      <c r="AI65" s="3349">
        <f t="shared" si="180"/>
        <v>0</v>
      </c>
      <c r="AJ65" s="4428">
        <f t="shared" si="181"/>
        <v>0</v>
      </c>
      <c r="AK65" s="4429"/>
      <c r="AL65" s="3341"/>
      <c r="AM65" s="3341"/>
      <c r="AN65" s="3349">
        <f t="shared" si="182"/>
        <v>0</v>
      </c>
      <c r="AO65" s="4428">
        <f t="shared" si="183"/>
        <v>0</v>
      </c>
      <c r="AP65" s="4429"/>
      <c r="AQ65" s="3341"/>
      <c r="AR65" s="3341"/>
      <c r="AS65" s="3349">
        <f t="shared" si="184"/>
        <v>0</v>
      </c>
      <c r="AT65" s="4428">
        <f t="shared" si="185"/>
        <v>0</v>
      </c>
      <c r="AU65" s="4429"/>
      <c r="AV65" s="3341"/>
      <c r="AW65" s="3341"/>
      <c r="AX65" s="3349">
        <f t="shared" si="186"/>
        <v>0</v>
      </c>
      <c r="AY65" s="4428">
        <f t="shared" si="187"/>
        <v>0</v>
      </c>
      <c r="AZ65" s="4429"/>
      <c r="BA65" s="3341">
        <f>1418.5+400</f>
        <v>1818.5</v>
      </c>
      <c r="BB65" s="3341"/>
      <c r="BC65" s="3349">
        <f t="shared" si="188"/>
        <v>1818.5</v>
      </c>
      <c r="BD65" s="4428">
        <f t="shared" si="189"/>
        <v>0.10521735595349409</v>
      </c>
      <c r="BE65" s="3342" t="s">
        <v>2155</v>
      </c>
      <c r="BF65" s="3341"/>
      <c r="BG65" s="3341"/>
      <c r="BH65" s="3349">
        <f t="shared" si="190"/>
        <v>0</v>
      </c>
      <c r="BI65" s="4428" t="e">
        <f t="shared" si="191"/>
        <v>#DIV/0!</v>
      </c>
      <c r="BJ65" s="4429"/>
      <c r="BK65" s="3341"/>
      <c r="BL65" s="3341"/>
      <c r="BM65" s="3349">
        <f t="shared" si="192"/>
        <v>0</v>
      </c>
      <c r="BN65" s="4428" t="e">
        <f t="shared" si="193"/>
        <v>#DIV/0!</v>
      </c>
      <c r="BO65" s="4429"/>
      <c r="BP65" s="3341"/>
      <c r="BQ65" s="3341"/>
      <c r="BR65" s="3349">
        <f t="shared" si="194"/>
        <v>0</v>
      </c>
      <c r="BS65" s="4428" t="e">
        <f t="shared" si="195"/>
        <v>#DIV/0!</v>
      </c>
      <c r="BT65" s="4429"/>
      <c r="BU65" s="3341"/>
      <c r="BV65" s="3341"/>
      <c r="BW65" s="3349">
        <f t="shared" si="196"/>
        <v>0</v>
      </c>
      <c r="BX65" s="4428" t="e">
        <f t="shared" si="197"/>
        <v>#DIV/0!</v>
      </c>
      <c r="BY65" s="4429"/>
      <c r="BZ65" s="3341"/>
      <c r="CA65" s="3341"/>
      <c r="CB65" s="3349">
        <f t="shared" si="198"/>
        <v>0</v>
      </c>
      <c r="CC65" s="4428" t="e">
        <f t="shared" si="199"/>
        <v>#DIV/0!</v>
      </c>
      <c r="CD65" s="4429"/>
      <c r="CE65" s="3341"/>
      <c r="CF65" s="3341"/>
      <c r="CG65" s="3349">
        <f t="shared" si="200"/>
        <v>0</v>
      </c>
      <c r="CH65" s="4428" t="e">
        <f t="shared" si="201"/>
        <v>#DIV/0!</v>
      </c>
      <c r="CI65" s="4429"/>
      <c r="CJ65" s="3341">
        <f t="shared" si="202"/>
        <v>1818.5</v>
      </c>
      <c r="CK65" s="3341">
        <f t="shared" si="202"/>
        <v>0</v>
      </c>
      <c r="CL65" s="2012">
        <f t="shared" si="203"/>
        <v>1818.5</v>
      </c>
      <c r="CM65" s="4428">
        <f t="shared" si="168"/>
        <v>9.3403068901065991E-3</v>
      </c>
      <c r="CN65" s="4432"/>
      <c r="CP65" s="3765">
        <f t="shared" si="204"/>
        <v>0</v>
      </c>
      <c r="CQ65" s="3765">
        <f>CL65</f>
        <v>1818.5</v>
      </c>
      <c r="CR65" s="4618"/>
    </row>
    <row r="66" spans="1:98" s="1396" customFormat="1" ht="13.8" outlineLevel="2">
      <c r="A66" s="1571"/>
      <c r="B66" s="4632" t="s">
        <v>37</v>
      </c>
      <c r="C66" s="3341"/>
      <c r="D66" s="3341"/>
      <c r="E66" s="3349">
        <f t="shared" si="169"/>
        <v>0</v>
      </c>
      <c r="F66" s="4428" t="e">
        <f t="shared" si="133"/>
        <v>#DIV/0!</v>
      </c>
      <c r="G66" s="4429"/>
      <c r="H66" s="3341"/>
      <c r="I66" s="3341"/>
      <c r="J66" s="3349">
        <f t="shared" si="170"/>
        <v>0</v>
      </c>
      <c r="K66" s="4428" t="e">
        <f t="shared" si="171"/>
        <v>#DIV/0!</v>
      </c>
      <c r="L66" s="4429"/>
      <c r="M66" s="3341"/>
      <c r="N66" s="3341"/>
      <c r="O66" s="3349">
        <f t="shared" si="172"/>
        <v>0</v>
      </c>
      <c r="P66" s="4428" t="e">
        <f t="shared" si="173"/>
        <v>#DIV/0!</v>
      </c>
      <c r="Q66" s="4429"/>
      <c r="R66" s="3342">
        <f t="shared" si="174"/>
        <v>0</v>
      </c>
      <c r="S66" s="3342">
        <f t="shared" si="174"/>
        <v>0</v>
      </c>
      <c r="T66" s="2012">
        <f t="shared" si="175"/>
        <v>0</v>
      </c>
      <c r="U66" s="3462"/>
      <c r="V66" s="3462"/>
      <c r="W66" s="3342">
        <f t="shared" si="176"/>
        <v>0</v>
      </c>
      <c r="X66" s="3342">
        <f t="shared" si="176"/>
        <v>0</v>
      </c>
      <c r="Y66" s="2012">
        <f t="shared" si="177"/>
        <v>0</v>
      </c>
      <c r="Z66" s="3462"/>
      <c r="AA66" s="3462"/>
      <c r="AB66" s="3341"/>
      <c r="AC66" s="3341"/>
      <c r="AD66" s="3349">
        <f t="shared" si="178"/>
        <v>0</v>
      </c>
      <c r="AE66" s="4428">
        <f t="shared" si="179"/>
        <v>0</v>
      </c>
      <c r="AF66" s="4429"/>
      <c r="AG66" s="3341"/>
      <c r="AH66" s="3341"/>
      <c r="AI66" s="3349">
        <f t="shared" si="180"/>
        <v>0</v>
      </c>
      <c r="AJ66" s="4428">
        <f t="shared" si="181"/>
        <v>0</v>
      </c>
      <c r="AK66" s="4429"/>
      <c r="AL66" s="3341"/>
      <c r="AM66" s="3341"/>
      <c r="AN66" s="3349">
        <f t="shared" si="182"/>
        <v>0</v>
      </c>
      <c r="AO66" s="4428">
        <f t="shared" si="183"/>
        <v>0</v>
      </c>
      <c r="AP66" s="4429"/>
      <c r="AQ66" s="3341"/>
      <c r="AR66" s="3341"/>
      <c r="AS66" s="3349">
        <f t="shared" si="184"/>
        <v>0</v>
      </c>
      <c r="AT66" s="4428">
        <f t="shared" si="185"/>
        <v>0</v>
      </c>
      <c r="AU66" s="4429"/>
      <c r="AV66" s="3341"/>
      <c r="AW66" s="3341"/>
      <c r="AX66" s="3349">
        <f t="shared" si="186"/>
        <v>0</v>
      </c>
      <c r="AY66" s="4428">
        <f t="shared" si="187"/>
        <v>0</v>
      </c>
      <c r="AZ66" s="4429"/>
      <c r="BA66" s="3341"/>
      <c r="BB66" s="3341"/>
      <c r="BC66" s="3349">
        <f t="shared" si="188"/>
        <v>0</v>
      </c>
      <c r="BD66" s="4428">
        <f t="shared" si="189"/>
        <v>0</v>
      </c>
      <c r="BE66" s="4429"/>
      <c r="BF66" s="3341"/>
      <c r="BG66" s="3341"/>
      <c r="BH66" s="3349">
        <f t="shared" si="190"/>
        <v>0</v>
      </c>
      <c r="BI66" s="4428" t="e">
        <f t="shared" si="191"/>
        <v>#DIV/0!</v>
      </c>
      <c r="BJ66" s="4429"/>
      <c r="BK66" s="3341"/>
      <c r="BL66" s="3341"/>
      <c r="BM66" s="3349">
        <f t="shared" si="192"/>
        <v>0</v>
      </c>
      <c r="BN66" s="4428" t="e">
        <f t="shared" si="193"/>
        <v>#DIV/0!</v>
      </c>
      <c r="BO66" s="4429"/>
      <c r="BP66" s="3341"/>
      <c r="BQ66" s="3341"/>
      <c r="BR66" s="3349">
        <f t="shared" si="194"/>
        <v>0</v>
      </c>
      <c r="BS66" s="4428" t="e">
        <f t="shared" si="195"/>
        <v>#DIV/0!</v>
      </c>
      <c r="BT66" s="4429"/>
      <c r="BU66" s="3341"/>
      <c r="BV66" s="3341"/>
      <c r="BW66" s="3349">
        <f t="shared" si="196"/>
        <v>0</v>
      </c>
      <c r="BX66" s="4428" t="e">
        <f t="shared" si="197"/>
        <v>#DIV/0!</v>
      </c>
      <c r="BY66" s="4429"/>
      <c r="BZ66" s="3341"/>
      <c r="CA66" s="3341"/>
      <c r="CB66" s="3349">
        <f t="shared" si="198"/>
        <v>0</v>
      </c>
      <c r="CC66" s="4428" t="e">
        <f t="shared" si="199"/>
        <v>#DIV/0!</v>
      </c>
      <c r="CD66" s="4429"/>
      <c r="CE66" s="3341"/>
      <c r="CF66" s="3341"/>
      <c r="CG66" s="3349">
        <f t="shared" si="200"/>
        <v>0</v>
      </c>
      <c r="CH66" s="4428" t="e">
        <f t="shared" si="201"/>
        <v>#DIV/0!</v>
      </c>
      <c r="CI66" s="4429"/>
      <c r="CJ66" s="3341">
        <f t="shared" si="202"/>
        <v>0</v>
      </c>
      <c r="CK66" s="3341">
        <f t="shared" si="202"/>
        <v>0</v>
      </c>
      <c r="CL66" s="2012">
        <f t="shared" si="203"/>
        <v>0</v>
      </c>
      <c r="CM66" s="4428">
        <f t="shared" si="168"/>
        <v>0</v>
      </c>
      <c r="CN66" s="4432"/>
      <c r="CP66" s="3765">
        <f t="shared" si="204"/>
        <v>0</v>
      </c>
      <c r="CQ66" s="3765">
        <f t="shared" si="204"/>
        <v>0</v>
      </c>
      <c r="CR66" s="4618"/>
      <c r="CT66" s="2624"/>
    </row>
    <row r="67" spans="1:98" s="1396" customFormat="1" ht="13.8" outlineLevel="2">
      <c r="A67" s="1571"/>
      <c r="B67" s="4632" t="s">
        <v>3</v>
      </c>
      <c r="C67" s="3341"/>
      <c r="D67" s="3341"/>
      <c r="E67" s="3349">
        <f t="shared" si="169"/>
        <v>0</v>
      </c>
      <c r="F67" s="4428" t="e">
        <f t="shared" si="133"/>
        <v>#DIV/0!</v>
      </c>
      <c r="G67" s="4429"/>
      <c r="H67" s="3341"/>
      <c r="I67" s="3341"/>
      <c r="J67" s="3349">
        <f t="shared" si="170"/>
        <v>0</v>
      </c>
      <c r="K67" s="4428" t="e">
        <f t="shared" si="171"/>
        <v>#DIV/0!</v>
      </c>
      <c r="L67" s="4429"/>
      <c r="M67" s="3341"/>
      <c r="N67" s="3341"/>
      <c r="O67" s="3349">
        <f t="shared" si="172"/>
        <v>0</v>
      </c>
      <c r="P67" s="4428" t="e">
        <f t="shared" si="173"/>
        <v>#DIV/0!</v>
      </c>
      <c r="Q67" s="4429"/>
      <c r="R67" s="3342">
        <f t="shared" si="174"/>
        <v>0</v>
      </c>
      <c r="S67" s="3342">
        <f t="shared" si="174"/>
        <v>0</v>
      </c>
      <c r="T67" s="2012">
        <f t="shared" si="175"/>
        <v>0</v>
      </c>
      <c r="U67" s="3462"/>
      <c r="V67" s="3462"/>
      <c r="W67" s="3342">
        <f t="shared" si="176"/>
        <v>0</v>
      </c>
      <c r="X67" s="3342">
        <f t="shared" si="176"/>
        <v>0</v>
      </c>
      <c r="Y67" s="2012">
        <f t="shared" si="177"/>
        <v>0</v>
      </c>
      <c r="Z67" s="3462"/>
      <c r="AA67" s="3462"/>
      <c r="AB67" s="3341"/>
      <c r="AC67" s="3341"/>
      <c r="AD67" s="3349">
        <f t="shared" si="178"/>
        <v>0</v>
      </c>
      <c r="AE67" s="4428">
        <f t="shared" si="179"/>
        <v>0</v>
      </c>
      <c r="AF67" s="4429"/>
      <c r="AG67" s="3341"/>
      <c r="AH67" s="3341"/>
      <c r="AI67" s="3349">
        <f t="shared" si="180"/>
        <v>0</v>
      </c>
      <c r="AJ67" s="4428">
        <f t="shared" si="181"/>
        <v>0</v>
      </c>
      <c r="AK67" s="4429"/>
      <c r="AL67" s="3341"/>
      <c r="AM67" s="3341"/>
      <c r="AN67" s="3349">
        <f t="shared" si="182"/>
        <v>0</v>
      </c>
      <c r="AO67" s="4428">
        <f t="shared" si="183"/>
        <v>0</v>
      </c>
      <c r="AP67" s="4429"/>
      <c r="AQ67" s="3341"/>
      <c r="AR67" s="3341"/>
      <c r="AS67" s="3349">
        <f t="shared" si="184"/>
        <v>0</v>
      </c>
      <c r="AT67" s="4428">
        <f t="shared" si="185"/>
        <v>0</v>
      </c>
      <c r="AU67" s="4429"/>
      <c r="AV67" s="3341"/>
      <c r="AW67" s="3341"/>
      <c r="AX67" s="3349">
        <f t="shared" si="186"/>
        <v>0</v>
      </c>
      <c r="AY67" s="4428">
        <f t="shared" si="187"/>
        <v>0</v>
      </c>
      <c r="AZ67" s="4429"/>
      <c r="BA67" s="3341"/>
      <c r="BB67" s="3341"/>
      <c r="BC67" s="3349">
        <f t="shared" si="188"/>
        <v>0</v>
      </c>
      <c r="BD67" s="4428">
        <f t="shared" si="189"/>
        <v>0</v>
      </c>
      <c r="BE67" s="4429"/>
      <c r="BF67" s="3341"/>
      <c r="BG67" s="3341"/>
      <c r="BH67" s="3349">
        <f t="shared" si="190"/>
        <v>0</v>
      </c>
      <c r="BI67" s="4428" t="e">
        <f t="shared" si="191"/>
        <v>#DIV/0!</v>
      </c>
      <c r="BJ67" s="4429"/>
      <c r="BK67" s="3341"/>
      <c r="BL67" s="3341"/>
      <c r="BM67" s="3349">
        <f t="shared" si="192"/>
        <v>0</v>
      </c>
      <c r="BN67" s="4428" t="e">
        <f t="shared" si="193"/>
        <v>#DIV/0!</v>
      </c>
      <c r="BO67" s="4429"/>
      <c r="BP67" s="3341"/>
      <c r="BQ67" s="3341"/>
      <c r="BR67" s="3349">
        <f t="shared" si="194"/>
        <v>0</v>
      </c>
      <c r="BS67" s="4428" t="e">
        <f t="shared" si="195"/>
        <v>#DIV/0!</v>
      </c>
      <c r="BT67" s="4429"/>
      <c r="BU67" s="3341"/>
      <c r="BV67" s="3341"/>
      <c r="BW67" s="3349">
        <f t="shared" si="196"/>
        <v>0</v>
      </c>
      <c r="BX67" s="4428" t="e">
        <f t="shared" si="197"/>
        <v>#DIV/0!</v>
      </c>
      <c r="BY67" s="4429"/>
      <c r="BZ67" s="3341"/>
      <c r="CA67" s="3341"/>
      <c r="CB67" s="3349">
        <f t="shared" si="198"/>
        <v>0</v>
      </c>
      <c r="CC67" s="4428" t="e">
        <f t="shared" si="199"/>
        <v>#DIV/0!</v>
      </c>
      <c r="CD67" s="4429"/>
      <c r="CE67" s="3341"/>
      <c r="CF67" s="3341"/>
      <c r="CG67" s="3349">
        <f t="shared" si="200"/>
        <v>0</v>
      </c>
      <c r="CH67" s="4428" t="e">
        <f t="shared" si="201"/>
        <v>#DIV/0!</v>
      </c>
      <c r="CI67" s="4429"/>
      <c r="CJ67" s="3341">
        <f t="shared" si="202"/>
        <v>0</v>
      </c>
      <c r="CK67" s="3341">
        <f t="shared" si="202"/>
        <v>0</v>
      </c>
      <c r="CL67" s="2012">
        <f t="shared" si="203"/>
        <v>0</v>
      </c>
      <c r="CM67" s="4428">
        <f t="shared" si="168"/>
        <v>0</v>
      </c>
      <c r="CN67" s="4432"/>
      <c r="CP67" s="3765">
        <f t="shared" si="204"/>
        <v>0</v>
      </c>
      <c r="CQ67" s="3765">
        <f t="shared" si="204"/>
        <v>0</v>
      </c>
      <c r="CR67" s="4618"/>
      <c r="CT67" s="2624"/>
    </row>
    <row r="68" spans="1:98" s="1396" customFormat="1" ht="13.8" outlineLevel="2">
      <c r="A68" s="1571"/>
      <c r="B68" s="4632" t="s">
        <v>5</v>
      </c>
      <c r="C68" s="3341"/>
      <c r="D68" s="3341"/>
      <c r="E68" s="3349">
        <f t="shared" si="169"/>
        <v>0</v>
      </c>
      <c r="F68" s="4428" t="e">
        <f t="shared" si="133"/>
        <v>#DIV/0!</v>
      </c>
      <c r="G68" s="3341"/>
      <c r="H68" s="3341"/>
      <c r="I68" s="3341"/>
      <c r="J68" s="3349">
        <f t="shared" si="170"/>
        <v>0</v>
      </c>
      <c r="K68" s="4428" t="e">
        <f t="shared" si="171"/>
        <v>#DIV/0!</v>
      </c>
      <c r="L68" s="3341"/>
      <c r="M68" s="3341"/>
      <c r="N68" s="3341"/>
      <c r="O68" s="3349">
        <f t="shared" si="172"/>
        <v>0</v>
      </c>
      <c r="P68" s="4428" t="e">
        <f t="shared" si="173"/>
        <v>#DIV/0!</v>
      </c>
      <c r="Q68" s="3341"/>
      <c r="R68" s="3342">
        <f t="shared" si="174"/>
        <v>0</v>
      </c>
      <c r="S68" s="3342">
        <f t="shared" si="174"/>
        <v>0</v>
      </c>
      <c r="T68" s="2012">
        <f t="shared" si="175"/>
        <v>0</v>
      </c>
      <c r="U68" s="3341"/>
      <c r="V68" s="3341"/>
      <c r="W68" s="3342">
        <f t="shared" si="176"/>
        <v>0</v>
      </c>
      <c r="X68" s="3342">
        <f t="shared" si="176"/>
        <v>0</v>
      </c>
      <c r="Y68" s="2012">
        <f t="shared" si="177"/>
        <v>0</v>
      </c>
      <c r="Z68" s="3341"/>
      <c r="AA68" s="3341"/>
      <c r="AB68" s="3341"/>
      <c r="AC68" s="3341"/>
      <c r="AD68" s="3349">
        <f t="shared" si="178"/>
        <v>0</v>
      </c>
      <c r="AE68" s="4428">
        <f t="shared" si="179"/>
        <v>0</v>
      </c>
      <c r="AF68" s="3341"/>
      <c r="AG68" s="3341"/>
      <c r="AH68" s="3341"/>
      <c r="AI68" s="3349">
        <f t="shared" si="180"/>
        <v>0</v>
      </c>
      <c r="AJ68" s="4428">
        <f t="shared" si="181"/>
        <v>0</v>
      </c>
      <c r="AK68" s="3341"/>
      <c r="AL68" s="3341"/>
      <c r="AM68" s="3341"/>
      <c r="AN68" s="3349">
        <f t="shared" si="182"/>
        <v>0</v>
      </c>
      <c r="AO68" s="4428">
        <f t="shared" si="183"/>
        <v>0</v>
      </c>
      <c r="AP68" s="3341"/>
      <c r="AQ68" s="3341"/>
      <c r="AR68" s="3341"/>
      <c r="AS68" s="3349">
        <f t="shared" si="184"/>
        <v>0</v>
      </c>
      <c r="AT68" s="4428">
        <f t="shared" si="185"/>
        <v>0</v>
      </c>
      <c r="AU68" s="3341"/>
      <c r="AV68" s="3341"/>
      <c r="AW68" s="3341"/>
      <c r="AX68" s="3349">
        <f t="shared" si="186"/>
        <v>0</v>
      </c>
      <c r="AY68" s="4428">
        <f t="shared" si="187"/>
        <v>0</v>
      </c>
      <c r="AZ68" s="3341"/>
      <c r="BA68" s="3341"/>
      <c r="BB68" s="3341"/>
      <c r="BC68" s="3349">
        <f t="shared" si="188"/>
        <v>0</v>
      </c>
      <c r="BD68" s="4428">
        <f t="shared" si="189"/>
        <v>0</v>
      </c>
      <c r="BE68" s="3341"/>
      <c r="BF68" s="3341"/>
      <c r="BG68" s="3341"/>
      <c r="BH68" s="3349">
        <f t="shared" si="190"/>
        <v>0</v>
      </c>
      <c r="BI68" s="4428" t="e">
        <f t="shared" si="191"/>
        <v>#DIV/0!</v>
      </c>
      <c r="BJ68" s="3341"/>
      <c r="BK68" s="3341"/>
      <c r="BL68" s="3341"/>
      <c r="BM68" s="3349">
        <f t="shared" si="192"/>
        <v>0</v>
      </c>
      <c r="BN68" s="4428" t="e">
        <f t="shared" si="193"/>
        <v>#DIV/0!</v>
      </c>
      <c r="BO68" s="3341"/>
      <c r="BP68" s="3341"/>
      <c r="BQ68" s="3341"/>
      <c r="BR68" s="3349">
        <f t="shared" si="194"/>
        <v>0</v>
      </c>
      <c r="BS68" s="4428" t="e">
        <f t="shared" si="195"/>
        <v>#DIV/0!</v>
      </c>
      <c r="BT68" s="3341"/>
      <c r="BU68" s="3341"/>
      <c r="BV68" s="3341"/>
      <c r="BW68" s="3349">
        <f t="shared" si="196"/>
        <v>0</v>
      </c>
      <c r="BX68" s="4428" t="e">
        <f t="shared" si="197"/>
        <v>#DIV/0!</v>
      </c>
      <c r="BY68" s="3341"/>
      <c r="BZ68" s="3341"/>
      <c r="CA68" s="3341"/>
      <c r="CB68" s="3349">
        <f t="shared" si="198"/>
        <v>0</v>
      </c>
      <c r="CC68" s="4428" t="e">
        <f t="shared" si="199"/>
        <v>#DIV/0!</v>
      </c>
      <c r="CD68" s="3341"/>
      <c r="CE68" s="3341"/>
      <c r="CF68" s="3341"/>
      <c r="CG68" s="3349">
        <f t="shared" si="200"/>
        <v>0</v>
      </c>
      <c r="CH68" s="4428" t="e">
        <f t="shared" si="201"/>
        <v>#DIV/0!</v>
      </c>
      <c r="CI68" s="3341"/>
      <c r="CJ68" s="3341">
        <f t="shared" si="202"/>
        <v>0</v>
      </c>
      <c r="CK68" s="3341">
        <f t="shared" si="202"/>
        <v>0</v>
      </c>
      <c r="CL68" s="2012">
        <f t="shared" si="203"/>
        <v>0</v>
      </c>
      <c r="CM68" s="4428">
        <f t="shared" si="168"/>
        <v>0</v>
      </c>
      <c r="CN68" s="4432"/>
      <c r="CP68" s="3765">
        <f t="shared" si="204"/>
        <v>0</v>
      </c>
      <c r="CQ68" s="3765">
        <f t="shared" si="204"/>
        <v>0</v>
      </c>
      <c r="CR68" s="4618"/>
      <c r="CT68" s="2624"/>
    </row>
    <row r="69" spans="1:98" s="1396" customFormat="1" ht="13.8" outlineLevel="2">
      <c r="A69" s="1571"/>
      <c r="B69" s="4632" t="s">
        <v>42</v>
      </c>
      <c r="C69" s="3341"/>
      <c r="D69" s="3341"/>
      <c r="E69" s="3349">
        <f t="shared" si="169"/>
        <v>0</v>
      </c>
      <c r="F69" s="4428" t="e">
        <f t="shared" si="133"/>
        <v>#DIV/0!</v>
      </c>
      <c r="G69" s="4429"/>
      <c r="H69" s="3341"/>
      <c r="I69" s="3341"/>
      <c r="J69" s="3349">
        <f t="shared" si="170"/>
        <v>0</v>
      </c>
      <c r="K69" s="4428" t="e">
        <f t="shared" si="171"/>
        <v>#DIV/0!</v>
      </c>
      <c r="L69" s="4429"/>
      <c r="M69" s="3341"/>
      <c r="N69" s="3341"/>
      <c r="O69" s="3349">
        <f t="shared" si="172"/>
        <v>0</v>
      </c>
      <c r="P69" s="4428" t="e">
        <f t="shared" si="173"/>
        <v>#DIV/0!</v>
      </c>
      <c r="Q69" s="4429"/>
      <c r="R69" s="3342">
        <f t="shared" si="174"/>
        <v>0</v>
      </c>
      <c r="S69" s="3342">
        <f t="shared" si="174"/>
        <v>0</v>
      </c>
      <c r="T69" s="2012">
        <f t="shared" si="175"/>
        <v>0</v>
      </c>
      <c r="U69" s="3462"/>
      <c r="V69" s="3462"/>
      <c r="W69" s="3342">
        <f t="shared" si="176"/>
        <v>0</v>
      </c>
      <c r="X69" s="3342">
        <f t="shared" si="176"/>
        <v>0</v>
      </c>
      <c r="Y69" s="2012">
        <f t="shared" si="177"/>
        <v>0</v>
      </c>
      <c r="Z69" s="3462"/>
      <c r="AA69" s="3462"/>
      <c r="AB69" s="3341"/>
      <c r="AC69" s="3341"/>
      <c r="AD69" s="3349">
        <f t="shared" si="178"/>
        <v>0</v>
      </c>
      <c r="AE69" s="4428">
        <f t="shared" si="179"/>
        <v>0</v>
      </c>
      <c r="AF69" s="4429"/>
      <c r="AG69" s="3341"/>
      <c r="AH69" s="3341"/>
      <c r="AI69" s="3349">
        <f t="shared" si="180"/>
        <v>0</v>
      </c>
      <c r="AJ69" s="4428">
        <f t="shared" si="181"/>
        <v>0</v>
      </c>
      <c r="AK69" s="4429"/>
      <c r="AL69" s="3341"/>
      <c r="AM69" s="3341"/>
      <c r="AN69" s="3349">
        <f t="shared" si="182"/>
        <v>0</v>
      </c>
      <c r="AO69" s="4428">
        <f t="shared" si="183"/>
        <v>0</v>
      </c>
      <c r="AP69" s="4429"/>
      <c r="AQ69" s="3341"/>
      <c r="AR69" s="3341"/>
      <c r="AS69" s="3349">
        <f t="shared" si="184"/>
        <v>0</v>
      </c>
      <c r="AT69" s="4428">
        <f t="shared" si="185"/>
        <v>0</v>
      </c>
      <c r="AU69" s="4429"/>
      <c r="AV69" s="3341"/>
      <c r="AW69" s="3341"/>
      <c r="AX69" s="3349">
        <f t="shared" si="186"/>
        <v>0</v>
      </c>
      <c r="AY69" s="4428">
        <f t="shared" si="187"/>
        <v>0</v>
      </c>
      <c r="AZ69" s="4429"/>
      <c r="BA69" s="3341"/>
      <c r="BB69" s="3341"/>
      <c r="BC69" s="3349">
        <f t="shared" si="188"/>
        <v>0</v>
      </c>
      <c r="BD69" s="4428">
        <f t="shared" si="189"/>
        <v>0</v>
      </c>
      <c r="BE69" s="4429"/>
      <c r="BF69" s="3341"/>
      <c r="BG69" s="3341"/>
      <c r="BH69" s="3349">
        <f t="shared" si="190"/>
        <v>0</v>
      </c>
      <c r="BI69" s="4428" t="e">
        <f t="shared" si="191"/>
        <v>#DIV/0!</v>
      </c>
      <c r="BJ69" s="4429"/>
      <c r="BK69" s="3341"/>
      <c r="BL69" s="3341"/>
      <c r="BM69" s="3349">
        <f t="shared" si="192"/>
        <v>0</v>
      </c>
      <c r="BN69" s="4428" t="e">
        <f t="shared" si="193"/>
        <v>#DIV/0!</v>
      </c>
      <c r="BO69" s="4429"/>
      <c r="BP69" s="3341"/>
      <c r="BQ69" s="3341"/>
      <c r="BR69" s="3349">
        <f t="shared" si="194"/>
        <v>0</v>
      </c>
      <c r="BS69" s="4428" t="e">
        <f t="shared" si="195"/>
        <v>#DIV/0!</v>
      </c>
      <c r="BT69" s="4429"/>
      <c r="BU69" s="3341"/>
      <c r="BV69" s="3341"/>
      <c r="BW69" s="3349">
        <f t="shared" si="196"/>
        <v>0</v>
      </c>
      <c r="BX69" s="4428" t="e">
        <f t="shared" si="197"/>
        <v>#DIV/0!</v>
      </c>
      <c r="BY69" s="4429"/>
      <c r="BZ69" s="3341"/>
      <c r="CA69" s="3341"/>
      <c r="CB69" s="3349">
        <f t="shared" si="198"/>
        <v>0</v>
      </c>
      <c r="CC69" s="4428" t="e">
        <f t="shared" si="199"/>
        <v>#DIV/0!</v>
      </c>
      <c r="CD69" s="4429"/>
      <c r="CE69" s="3341"/>
      <c r="CF69" s="3341"/>
      <c r="CG69" s="3349">
        <f t="shared" si="200"/>
        <v>0</v>
      </c>
      <c r="CH69" s="4428" t="e">
        <f t="shared" si="201"/>
        <v>#DIV/0!</v>
      </c>
      <c r="CI69" s="4429"/>
      <c r="CJ69" s="3341">
        <f t="shared" si="202"/>
        <v>0</v>
      </c>
      <c r="CK69" s="3341">
        <f t="shared" si="202"/>
        <v>0</v>
      </c>
      <c r="CL69" s="2012">
        <f t="shared" si="203"/>
        <v>0</v>
      </c>
      <c r="CM69" s="4428">
        <f t="shared" si="168"/>
        <v>0</v>
      </c>
      <c r="CN69" s="4432"/>
      <c r="CP69" s="3765">
        <f t="shared" si="204"/>
        <v>0</v>
      </c>
      <c r="CQ69" s="3765">
        <f t="shared" si="204"/>
        <v>0</v>
      </c>
      <c r="CR69" s="4618"/>
      <c r="CT69" s="2624"/>
    </row>
    <row r="70" spans="1:98" s="1396" customFormat="1" ht="13.8" outlineLevel="2">
      <c r="A70" s="1571"/>
      <c r="B70" s="4632" t="s">
        <v>6</v>
      </c>
      <c r="C70" s="3341"/>
      <c r="D70" s="3341"/>
      <c r="E70" s="3349">
        <f t="shared" si="169"/>
        <v>0</v>
      </c>
      <c r="F70" s="4428" t="e">
        <f t="shared" si="133"/>
        <v>#DIV/0!</v>
      </c>
      <c r="G70" s="4429"/>
      <c r="H70" s="3341"/>
      <c r="I70" s="3341"/>
      <c r="J70" s="3349">
        <f t="shared" si="170"/>
        <v>0</v>
      </c>
      <c r="K70" s="4428" t="e">
        <f t="shared" si="171"/>
        <v>#DIV/0!</v>
      </c>
      <c r="L70" s="4429"/>
      <c r="M70" s="3341"/>
      <c r="N70" s="3341"/>
      <c r="O70" s="3349">
        <f t="shared" si="172"/>
        <v>0</v>
      </c>
      <c r="P70" s="4428" t="e">
        <f t="shared" si="173"/>
        <v>#DIV/0!</v>
      </c>
      <c r="Q70" s="4429"/>
      <c r="R70" s="3342">
        <f t="shared" si="174"/>
        <v>0</v>
      </c>
      <c r="S70" s="3342">
        <f t="shared" si="174"/>
        <v>0</v>
      </c>
      <c r="T70" s="2012">
        <f t="shared" si="175"/>
        <v>0</v>
      </c>
      <c r="U70" s="3462"/>
      <c r="V70" s="3462"/>
      <c r="W70" s="3342">
        <f t="shared" si="176"/>
        <v>0</v>
      </c>
      <c r="X70" s="3342">
        <f t="shared" si="176"/>
        <v>0</v>
      </c>
      <c r="Y70" s="2012">
        <f t="shared" si="177"/>
        <v>0</v>
      </c>
      <c r="Z70" s="3462"/>
      <c r="AA70" s="3462"/>
      <c r="AB70" s="3341"/>
      <c r="AC70" s="3341"/>
      <c r="AD70" s="3349">
        <f t="shared" si="178"/>
        <v>0</v>
      </c>
      <c r="AE70" s="4428">
        <f t="shared" si="179"/>
        <v>0</v>
      </c>
      <c r="AF70" s="4429"/>
      <c r="AG70" s="3341"/>
      <c r="AH70" s="3341"/>
      <c r="AI70" s="3349">
        <f t="shared" si="180"/>
        <v>0</v>
      </c>
      <c r="AJ70" s="4428">
        <f t="shared" si="181"/>
        <v>0</v>
      </c>
      <c r="AK70" s="4429"/>
      <c r="AL70" s="3341"/>
      <c r="AM70" s="3341"/>
      <c r="AN70" s="3349">
        <f t="shared" si="182"/>
        <v>0</v>
      </c>
      <c r="AO70" s="4428">
        <f t="shared" si="183"/>
        <v>0</v>
      </c>
      <c r="AP70" s="4429"/>
      <c r="AQ70" s="3341"/>
      <c r="AR70" s="3341"/>
      <c r="AS70" s="3349">
        <f t="shared" si="184"/>
        <v>0</v>
      </c>
      <c r="AT70" s="4428">
        <f t="shared" si="185"/>
        <v>0</v>
      </c>
      <c r="AU70" s="4429"/>
      <c r="AV70" s="3341"/>
      <c r="AW70" s="3341"/>
      <c r="AX70" s="3349">
        <f t="shared" si="186"/>
        <v>0</v>
      </c>
      <c r="AY70" s="4428">
        <f t="shared" si="187"/>
        <v>0</v>
      </c>
      <c r="AZ70" s="4429"/>
      <c r="BA70" s="3341"/>
      <c r="BB70" s="3341"/>
      <c r="BC70" s="3349">
        <f t="shared" si="188"/>
        <v>0</v>
      </c>
      <c r="BD70" s="4428">
        <f t="shared" si="189"/>
        <v>0</v>
      </c>
      <c r="BE70" s="4429"/>
      <c r="BF70" s="3341"/>
      <c r="BG70" s="3341"/>
      <c r="BH70" s="3349">
        <f t="shared" si="190"/>
        <v>0</v>
      </c>
      <c r="BI70" s="4428" t="e">
        <f t="shared" si="191"/>
        <v>#DIV/0!</v>
      </c>
      <c r="BJ70" s="4429"/>
      <c r="BK70" s="3341"/>
      <c r="BL70" s="3341"/>
      <c r="BM70" s="3349">
        <f t="shared" si="192"/>
        <v>0</v>
      </c>
      <c r="BN70" s="4428" t="e">
        <f t="shared" si="193"/>
        <v>#DIV/0!</v>
      </c>
      <c r="BO70" s="4429"/>
      <c r="BP70" s="3341"/>
      <c r="BQ70" s="3341"/>
      <c r="BR70" s="3349">
        <f t="shared" si="194"/>
        <v>0</v>
      </c>
      <c r="BS70" s="4428" t="e">
        <f t="shared" si="195"/>
        <v>#DIV/0!</v>
      </c>
      <c r="BT70" s="4429"/>
      <c r="BU70" s="3341"/>
      <c r="BV70" s="3341"/>
      <c r="BW70" s="3349">
        <f t="shared" si="196"/>
        <v>0</v>
      </c>
      <c r="BX70" s="4428" t="e">
        <f t="shared" si="197"/>
        <v>#DIV/0!</v>
      </c>
      <c r="BY70" s="4429"/>
      <c r="BZ70" s="3341"/>
      <c r="CA70" s="3341"/>
      <c r="CB70" s="3349">
        <f t="shared" si="198"/>
        <v>0</v>
      </c>
      <c r="CC70" s="4428" t="e">
        <f t="shared" si="199"/>
        <v>#DIV/0!</v>
      </c>
      <c r="CD70" s="4429"/>
      <c r="CE70" s="3341"/>
      <c r="CF70" s="3341"/>
      <c r="CG70" s="3349">
        <f t="shared" si="200"/>
        <v>0</v>
      </c>
      <c r="CH70" s="4428" t="e">
        <f t="shared" si="201"/>
        <v>#DIV/0!</v>
      </c>
      <c r="CI70" s="4429"/>
      <c r="CJ70" s="3341">
        <f t="shared" si="202"/>
        <v>0</v>
      </c>
      <c r="CK70" s="3341">
        <f t="shared" si="202"/>
        <v>0</v>
      </c>
      <c r="CL70" s="2012">
        <f t="shared" si="203"/>
        <v>0</v>
      </c>
      <c r="CM70" s="4428">
        <f t="shared" si="168"/>
        <v>0</v>
      </c>
      <c r="CN70" s="4432"/>
      <c r="CP70" s="3765">
        <f t="shared" si="204"/>
        <v>0</v>
      </c>
      <c r="CQ70" s="3765">
        <f t="shared" si="204"/>
        <v>0</v>
      </c>
      <c r="CR70" s="4618"/>
      <c r="CT70" s="2624"/>
    </row>
    <row r="71" spans="1:98" s="1396" customFormat="1" ht="13.8" outlineLevel="2">
      <c r="A71" s="1571"/>
      <c r="B71" s="4632" t="s">
        <v>78</v>
      </c>
      <c r="C71" s="3341"/>
      <c r="D71" s="3341"/>
      <c r="E71" s="3349">
        <f t="shared" si="169"/>
        <v>0</v>
      </c>
      <c r="F71" s="4428" t="e">
        <f t="shared" si="133"/>
        <v>#DIV/0!</v>
      </c>
      <c r="G71" s="4429"/>
      <c r="H71" s="3341"/>
      <c r="I71" s="3341"/>
      <c r="J71" s="3349">
        <f t="shared" si="170"/>
        <v>0</v>
      </c>
      <c r="K71" s="4428" t="e">
        <f t="shared" si="171"/>
        <v>#DIV/0!</v>
      </c>
      <c r="L71" s="4429"/>
      <c r="M71" s="3341"/>
      <c r="N71" s="3341"/>
      <c r="O71" s="3349">
        <f t="shared" si="172"/>
        <v>0</v>
      </c>
      <c r="P71" s="4428" t="e">
        <f t="shared" si="173"/>
        <v>#DIV/0!</v>
      </c>
      <c r="Q71" s="4429"/>
      <c r="R71" s="3342">
        <f t="shared" si="174"/>
        <v>0</v>
      </c>
      <c r="S71" s="3342">
        <f t="shared" si="174"/>
        <v>0</v>
      </c>
      <c r="T71" s="2012">
        <f t="shared" si="175"/>
        <v>0</v>
      </c>
      <c r="U71" s="3462"/>
      <c r="V71" s="3462"/>
      <c r="W71" s="3342">
        <f t="shared" si="176"/>
        <v>0</v>
      </c>
      <c r="X71" s="3342">
        <f t="shared" si="176"/>
        <v>0</v>
      </c>
      <c r="Y71" s="2012">
        <f t="shared" si="177"/>
        <v>0</v>
      </c>
      <c r="Z71" s="3462"/>
      <c r="AA71" s="3462"/>
      <c r="AB71" s="3341"/>
      <c r="AC71" s="3341"/>
      <c r="AD71" s="3349">
        <f t="shared" si="178"/>
        <v>0</v>
      </c>
      <c r="AE71" s="4428">
        <f t="shared" si="179"/>
        <v>0</v>
      </c>
      <c r="AF71" s="4429"/>
      <c r="AG71" s="3341"/>
      <c r="AH71" s="3341"/>
      <c r="AI71" s="3349">
        <f t="shared" si="180"/>
        <v>0</v>
      </c>
      <c r="AJ71" s="4428">
        <f t="shared" si="181"/>
        <v>0</v>
      </c>
      <c r="AK71" s="4429"/>
      <c r="AL71" s="3341"/>
      <c r="AM71" s="3341"/>
      <c r="AN71" s="3349">
        <f t="shared" si="182"/>
        <v>0</v>
      </c>
      <c r="AO71" s="4428">
        <f t="shared" si="183"/>
        <v>0</v>
      </c>
      <c r="AP71" s="4429"/>
      <c r="AQ71" s="3341"/>
      <c r="AR71" s="3341"/>
      <c r="AS71" s="3349">
        <f t="shared" si="184"/>
        <v>0</v>
      </c>
      <c r="AT71" s="4428">
        <f t="shared" si="185"/>
        <v>0</v>
      </c>
      <c r="AU71" s="4429"/>
      <c r="AV71" s="3341"/>
      <c r="AW71" s="3341"/>
      <c r="AX71" s="3349">
        <f t="shared" si="186"/>
        <v>0</v>
      </c>
      <c r="AY71" s="4428">
        <f t="shared" si="187"/>
        <v>0</v>
      </c>
      <c r="AZ71" s="4429"/>
      <c r="BA71" s="3341"/>
      <c r="BB71" s="3341"/>
      <c r="BC71" s="3349">
        <f t="shared" si="188"/>
        <v>0</v>
      </c>
      <c r="BD71" s="4428">
        <f t="shared" si="189"/>
        <v>0</v>
      </c>
      <c r="BE71" s="4429"/>
      <c r="BF71" s="3341"/>
      <c r="BG71" s="3341"/>
      <c r="BH71" s="3349">
        <f t="shared" si="190"/>
        <v>0</v>
      </c>
      <c r="BI71" s="4428" t="e">
        <f t="shared" si="191"/>
        <v>#DIV/0!</v>
      </c>
      <c r="BJ71" s="4429"/>
      <c r="BK71" s="3341"/>
      <c r="BL71" s="3341"/>
      <c r="BM71" s="3349">
        <f t="shared" si="192"/>
        <v>0</v>
      </c>
      <c r="BN71" s="4428" t="e">
        <f t="shared" si="193"/>
        <v>#DIV/0!</v>
      </c>
      <c r="BO71" s="4429"/>
      <c r="BP71" s="3341"/>
      <c r="BQ71" s="3341"/>
      <c r="BR71" s="3349">
        <f t="shared" si="194"/>
        <v>0</v>
      </c>
      <c r="BS71" s="4428" t="e">
        <f t="shared" si="195"/>
        <v>#DIV/0!</v>
      </c>
      <c r="BT71" s="4429"/>
      <c r="BU71" s="3341"/>
      <c r="BV71" s="3341"/>
      <c r="BW71" s="3349">
        <f t="shared" si="196"/>
        <v>0</v>
      </c>
      <c r="BX71" s="4428" t="e">
        <f t="shared" si="197"/>
        <v>#DIV/0!</v>
      </c>
      <c r="BY71" s="4429"/>
      <c r="BZ71" s="3341"/>
      <c r="CA71" s="3341"/>
      <c r="CB71" s="3349">
        <f t="shared" si="198"/>
        <v>0</v>
      </c>
      <c r="CC71" s="4428" t="e">
        <f t="shared" si="199"/>
        <v>#DIV/0!</v>
      </c>
      <c r="CD71" s="4429"/>
      <c r="CE71" s="3341"/>
      <c r="CF71" s="3341"/>
      <c r="CG71" s="3349">
        <f t="shared" si="200"/>
        <v>0</v>
      </c>
      <c r="CH71" s="4428" t="e">
        <f t="shared" si="201"/>
        <v>#DIV/0!</v>
      </c>
      <c r="CI71" s="4429"/>
      <c r="CJ71" s="3341">
        <f t="shared" si="202"/>
        <v>0</v>
      </c>
      <c r="CK71" s="3341">
        <f t="shared" si="202"/>
        <v>0</v>
      </c>
      <c r="CL71" s="2012">
        <f t="shared" si="203"/>
        <v>0</v>
      </c>
      <c r="CM71" s="4428">
        <f t="shared" si="168"/>
        <v>0</v>
      </c>
      <c r="CN71" s="4432"/>
      <c r="CP71" s="3765">
        <f t="shared" si="204"/>
        <v>0</v>
      </c>
      <c r="CQ71" s="3765">
        <f t="shared" si="204"/>
        <v>0</v>
      </c>
      <c r="CR71" s="4618"/>
      <c r="CT71" s="2624"/>
    </row>
    <row r="72" spans="1:98" s="1396" customFormat="1" ht="13.8" outlineLevel="2">
      <c r="A72" s="1571"/>
      <c r="B72" s="4463"/>
      <c r="C72" s="4623"/>
      <c r="D72" s="4623"/>
      <c r="E72" s="4453"/>
      <c r="F72" s="4428"/>
      <c r="G72" s="4429"/>
      <c r="H72" s="4623"/>
      <c r="I72" s="4623"/>
      <c r="J72" s="4453"/>
      <c r="K72" s="4428" t="e">
        <f t="shared" si="171"/>
        <v>#DIV/0!</v>
      </c>
      <c r="L72" s="4429"/>
      <c r="M72" s="4623"/>
      <c r="N72" s="4623"/>
      <c r="O72" s="4453"/>
      <c r="P72" s="4428" t="e">
        <f t="shared" si="173"/>
        <v>#DIV/0!</v>
      </c>
      <c r="Q72" s="4429"/>
      <c r="R72" s="4429"/>
      <c r="S72" s="4429"/>
      <c r="T72" s="4429"/>
      <c r="U72" s="4429"/>
      <c r="V72" s="4429"/>
      <c r="W72" s="4429"/>
      <c r="X72" s="4429"/>
      <c r="Y72" s="4429"/>
      <c r="Z72" s="4429"/>
      <c r="AA72" s="4429"/>
      <c r="AB72" s="4623"/>
      <c r="AC72" s="4623"/>
      <c r="AD72" s="4453"/>
      <c r="AE72" s="4428"/>
      <c r="AF72" s="4429"/>
      <c r="AG72" s="4623"/>
      <c r="AH72" s="4623"/>
      <c r="AI72" s="4453"/>
      <c r="AJ72" s="4428"/>
      <c r="AK72" s="4429"/>
      <c r="AL72" s="4623"/>
      <c r="AM72" s="4623"/>
      <c r="AN72" s="4453"/>
      <c r="AO72" s="4428"/>
      <c r="AP72" s="4429"/>
      <c r="AQ72" s="4623"/>
      <c r="AR72" s="4623"/>
      <c r="AS72" s="4453"/>
      <c r="AT72" s="4428"/>
      <c r="AU72" s="4429"/>
      <c r="AV72" s="4623"/>
      <c r="AW72" s="4623"/>
      <c r="AX72" s="4453"/>
      <c r="AY72" s="4428"/>
      <c r="AZ72" s="4429"/>
      <c r="BA72" s="4623"/>
      <c r="BB72" s="4623"/>
      <c r="BC72" s="4453"/>
      <c r="BD72" s="4428"/>
      <c r="BE72" s="4429"/>
      <c r="BF72" s="4623"/>
      <c r="BG72" s="4623"/>
      <c r="BH72" s="4453"/>
      <c r="BI72" s="4428"/>
      <c r="BJ72" s="4429"/>
      <c r="BK72" s="4623"/>
      <c r="BL72" s="4623"/>
      <c r="BM72" s="4453"/>
      <c r="BN72" s="4428"/>
      <c r="BO72" s="4429"/>
      <c r="BP72" s="4623"/>
      <c r="BQ72" s="4623"/>
      <c r="BR72" s="4453"/>
      <c r="BS72" s="4428"/>
      <c r="BT72" s="4429"/>
      <c r="BU72" s="4623"/>
      <c r="BV72" s="4623"/>
      <c r="BW72" s="4453"/>
      <c r="BX72" s="4428"/>
      <c r="BY72" s="4429"/>
      <c r="BZ72" s="4623"/>
      <c r="CA72" s="4623"/>
      <c r="CB72" s="4453"/>
      <c r="CC72" s="4428"/>
      <c r="CD72" s="4429"/>
      <c r="CE72" s="4623"/>
      <c r="CF72" s="4623"/>
      <c r="CG72" s="4453"/>
      <c r="CH72" s="4428"/>
      <c r="CI72" s="4429"/>
      <c r="CJ72" s="4623"/>
      <c r="CK72" s="4623"/>
      <c r="CL72" s="4453"/>
      <c r="CM72" s="4428">
        <f>CL72/$CL$89</f>
        <v>0</v>
      </c>
      <c r="CN72" s="4432"/>
      <c r="CP72" s="3771"/>
      <c r="CQ72" s="3771"/>
      <c r="CR72" s="4617"/>
      <c r="CT72" s="2624"/>
    </row>
    <row r="73" spans="1:98"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Y74</f>
        <v>0</v>
      </c>
      <c r="Z73" s="3738"/>
      <c r="AA73" s="3742"/>
      <c r="AB73" s="555">
        <f>AB74</f>
        <v>0</v>
      </c>
      <c r="AC73" s="3738">
        <f>AC74</f>
        <v>0</v>
      </c>
      <c r="AD73" s="3739">
        <f>AD74</f>
        <v>0</v>
      </c>
      <c r="AE73" s="3738"/>
      <c r="AF73" s="3741"/>
      <c r="AG73" s="555">
        <f>AG74</f>
        <v>0</v>
      </c>
      <c r="AH73" s="3738">
        <f>AH74</f>
        <v>0</v>
      </c>
      <c r="AI73" s="3739">
        <f>AI74</f>
        <v>0</v>
      </c>
      <c r="AJ73" s="3738"/>
      <c r="AK73" s="3741"/>
      <c r="AL73" s="555">
        <f>AL74</f>
        <v>0</v>
      </c>
      <c r="AM73" s="3738">
        <f>AM74</f>
        <v>0</v>
      </c>
      <c r="AN73" s="3739">
        <f>AN74</f>
        <v>0</v>
      </c>
      <c r="AO73" s="3738"/>
      <c r="AP73" s="3741"/>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4662">
        <f>CP74</f>
        <v>0</v>
      </c>
      <c r="CQ73" s="4662">
        <f>CQ74</f>
        <v>0</v>
      </c>
      <c r="CR73" s="4662"/>
      <c r="CT73" s="2624"/>
    </row>
    <row r="74" spans="1:98" s="1396" customFormat="1" ht="14.4" outlineLevel="1" thickBot="1">
      <c r="A74" s="1413"/>
      <c r="B74" s="1051" t="s">
        <v>64</v>
      </c>
      <c r="C74" s="3341"/>
      <c r="D74" s="3341"/>
      <c r="E74" s="3386">
        <f>C74+D74*1</f>
        <v>0</v>
      </c>
      <c r="F74" s="3386"/>
      <c r="G74" s="3468"/>
      <c r="H74" s="3341"/>
      <c r="I74" s="3341"/>
      <c r="J74" s="3386">
        <f>H74+I74*1</f>
        <v>0</v>
      </c>
      <c r="K74" s="4428" t="e">
        <f t="shared" ref="K74" si="205">J74/J$89</f>
        <v>#DIV/0!</v>
      </c>
      <c r="L74" s="3468"/>
      <c r="M74" s="3341"/>
      <c r="N74" s="3341"/>
      <c r="O74" s="3386">
        <f>M74+N74*1</f>
        <v>0</v>
      </c>
      <c r="P74" s="4428" t="e">
        <f t="shared" ref="P74" si="206">O74/O$89</f>
        <v>#DIV/0!</v>
      </c>
      <c r="Q74" s="3468"/>
      <c r="R74" s="3469"/>
      <c r="S74" s="3469"/>
      <c r="T74" s="3469"/>
      <c r="U74" s="3469"/>
      <c r="V74" s="3469"/>
      <c r="W74" s="3342">
        <f t="shared" ref="W74:X74" si="207">AB74+AG74+AL74+AV74+BA74+BF74+BK74+BP74+BU74+BZ74+CE74+AQ74</f>
        <v>0</v>
      </c>
      <c r="X74" s="3342">
        <f t="shared" si="207"/>
        <v>0</v>
      </c>
      <c r="Y74" s="3469"/>
      <c r="Z74" s="3469"/>
      <c r="AA74" s="3469"/>
      <c r="AB74" s="3341"/>
      <c r="AC74" s="3341"/>
      <c r="AD74" s="3386">
        <f>AB74+AC74*1</f>
        <v>0</v>
      </c>
      <c r="AE74" s="3386"/>
      <c r="AF74" s="3468"/>
      <c r="AG74" s="3341"/>
      <c r="AH74" s="3341"/>
      <c r="AI74" s="3386">
        <f>AG74+AH74*1</f>
        <v>0</v>
      </c>
      <c r="AJ74" s="3386"/>
      <c r="AK74" s="3468"/>
      <c r="AL74" s="3341"/>
      <c r="AM74" s="3341"/>
      <c r="AN74" s="3386">
        <f>AL74+AM74*1</f>
        <v>0</v>
      </c>
      <c r="AO74" s="3386"/>
      <c r="AP74" s="3468"/>
      <c r="AQ74" s="3341"/>
      <c r="AR74" s="3341"/>
      <c r="AS74" s="3386">
        <f>AQ74+AR74*1</f>
        <v>0</v>
      </c>
      <c r="AT74" s="3386"/>
      <c r="AU74" s="3468"/>
      <c r="AV74" s="3341"/>
      <c r="AW74" s="3341"/>
      <c r="AX74" s="3386">
        <f>AV74+AW74*1</f>
        <v>0</v>
      </c>
      <c r="AY74" s="3386"/>
      <c r="AZ74" s="3468"/>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C74+H74+M74</f>
        <v>0</v>
      </c>
      <c r="CK74" s="3341">
        <f>D74+I74+N74</f>
        <v>0</v>
      </c>
      <c r="CL74" s="3386">
        <f>CJ74+CK74*1</f>
        <v>0</v>
      </c>
      <c r="CM74" s="3386"/>
      <c r="CN74" s="3386"/>
      <c r="CP74" s="4663">
        <f>CN74+CO74*1</f>
        <v>0</v>
      </c>
      <c r="CQ74" s="4663">
        <f>CO74+CP74*1</f>
        <v>0</v>
      </c>
      <c r="CR74" s="4663"/>
      <c r="CT74" s="2624"/>
    </row>
    <row r="75" spans="1:98"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0</v>
      </c>
      <c r="O75" s="1508">
        <f>O38-O41-O50-O54</f>
        <v>0</v>
      </c>
      <c r="P75" s="1953"/>
      <c r="Q75" s="1058"/>
      <c r="R75" s="1450">
        <f>R38-R41-R50-R54</f>
        <v>0</v>
      </c>
      <c r="S75" s="1450">
        <f>S38-S41-S50-S54</f>
        <v>0</v>
      </c>
      <c r="T75" s="1508">
        <f>T38-T41-T50-T54</f>
        <v>0</v>
      </c>
      <c r="U75" s="3470"/>
      <c r="V75" s="3470"/>
      <c r="W75" s="1450">
        <f>W38-W41-W50-W54</f>
        <v>-72104.61832506166</v>
      </c>
      <c r="X75" s="1450">
        <f>X38-X41-X50-X54</f>
        <v>-106419.81249541424</v>
      </c>
      <c r="Y75" s="1508">
        <f>Y38-Y41-Y50-Y54</f>
        <v>-178524.43082047591</v>
      </c>
      <c r="Z75" s="3470"/>
      <c r="AA75" s="3470"/>
      <c r="AB75" s="1450">
        <f>AB38-AB41-AB50-AB54</f>
        <v>-15931.49</v>
      </c>
      <c r="AC75" s="1450">
        <f>AC38-AC41-AC50-AC54</f>
        <v>-20016</v>
      </c>
      <c r="AD75" s="1508">
        <f>AD38-AD41-AD50-AD54</f>
        <v>-35947.490000000005</v>
      </c>
      <c r="AE75" s="1953"/>
      <c r="AF75" s="1058"/>
      <c r="AG75" s="1450">
        <f>AG38-AG41-AG50-AG54</f>
        <v>-39445.560000000005</v>
      </c>
      <c r="AH75" s="1450">
        <f>AH38-AH41-AH50-AH54</f>
        <v>-59529.279999999999</v>
      </c>
      <c r="AI75" s="1508">
        <f>AI38-AI41-AI50-AI54</f>
        <v>-98974.84</v>
      </c>
      <c r="AJ75" s="1953"/>
      <c r="AK75" s="1058"/>
      <c r="AL75" s="1450">
        <f>AL38-AL41-AL50-AL54</f>
        <v>-9021.58</v>
      </c>
      <c r="AM75" s="1450">
        <f>AM38-AM41-AM50-AM54</f>
        <v>-12255.98</v>
      </c>
      <c r="AN75" s="1508">
        <f>AN38-AN41-AN50-AN54</f>
        <v>-21277.56</v>
      </c>
      <c r="AO75" s="1953"/>
      <c r="AP75" s="1058"/>
      <c r="AQ75" s="1450">
        <f>AQ38-AQ41-AQ50-AQ54</f>
        <v>-2193.2378481012702</v>
      </c>
      <c r="AR75" s="1450">
        <f>AR38-AR41-AR50-AR54</f>
        <v>-3551.7468354430398</v>
      </c>
      <c r="AS75" s="1508">
        <f>AS38-AS41-AS50-AS54</f>
        <v>-5744.9846835443095</v>
      </c>
      <c r="AT75" s="1953"/>
      <c r="AU75" s="1058"/>
      <c r="AV75" s="1450">
        <f>AV38-AV41-AV50-AV54</f>
        <v>-950</v>
      </c>
      <c r="AW75" s="1450">
        <f>AW38-AW41-AW50-AW54</f>
        <v>0</v>
      </c>
      <c r="AX75" s="1508">
        <f>AX38-AX41-AX50-AX54</f>
        <v>-950</v>
      </c>
      <c r="AY75" s="1953"/>
      <c r="AZ75" s="1058"/>
      <c r="BA75" s="1450">
        <f>BA38-BA41-BA50-BA54</f>
        <v>-4562.7504769603893</v>
      </c>
      <c r="BB75" s="1450">
        <f>BB38-BB41-BB50-BB54</f>
        <v>-11066.8056599712</v>
      </c>
      <c r="BC75" s="1508">
        <f>BC38-BC41-BC50-BC54</f>
        <v>-15629.556136931589</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-72104.61832506166</v>
      </c>
      <c r="CK75" s="1450">
        <f>CK38-CK41-CK50-CK54</f>
        <v>-106419.81249541424</v>
      </c>
      <c r="CL75" s="1508">
        <f>CL38-CL41-CL50-CL54</f>
        <v>-178524.43082047591</v>
      </c>
      <c r="CM75" s="1953"/>
      <c r="CN75" s="1953"/>
      <c r="CP75" s="3772">
        <f>CP38-CP41-CP50-CP54</f>
        <v>2747915.5299999993</v>
      </c>
      <c r="CQ75" s="3772">
        <f>CQ38-CQ41-CQ50-CQ54</f>
        <v>-178524.43082047591</v>
      </c>
      <c r="CR75" s="3772">
        <f>CR38-CR41-CR50-CR54</f>
        <v>2924621.4608204756</v>
      </c>
      <c r="CT75" s="2624"/>
    </row>
    <row r="76" spans="1:98"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2003">
        <f>IFERROR(AB75/AB5,0)</f>
        <v>0</v>
      </c>
      <c r="AC76" s="2003">
        <f>IFERROR(AC75/AC5,0)</f>
        <v>0</v>
      </c>
      <c r="AD76" s="2004">
        <f>IFERROR(AD75/AD5,0)</f>
        <v>0</v>
      </c>
      <c r="AE76" s="2004"/>
      <c r="AF76" s="1056"/>
      <c r="AG76" s="2003">
        <f>IFERROR(AG75/AG5,0)</f>
        <v>0</v>
      </c>
      <c r="AH76" s="2003">
        <f>IFERROR(AH75/AH5,0)</f>
        <v>0</v>
      </c>
      <c r="AI76" s="2004">
        <f>IFERROR(AI75/AI5,0)</f>
        <v>0</v>
      </c>
      <c r="AJ76" s="2004"/>
      <c r="AK76" s="1056"/>
      <c r="AL76" s="2003">
        <f>IFERROR(AL75/AL5,0)</f>
        <v>0</v>
      </c>
      <c r="AM76" s="2003">
        <f>IFERROR(AM75/AM5,0)</f>
        <v>0</v>
      </c>
      <c r="AN76" s="2004">
        <f>IFERROR(AN75/AN5,0)</f>
        <v>0</v>
      </c>
      <c r="AO76" s="2004"/>
      <c r="AP76" s="1056"/>
      <c r="AQ76" s="2003">
        <f>IFERROR(AQ75/AQ5,0)</f>
        <v>0</v>
      </c>
      <c r="AR76" s="2003">
        <f>IFERROR(AR75/AR5,0)</f>
        <v>0</v>
      </c>
      <c r="AS76" s="2004">
        <f>IFERROR(AS75/AS5,0)</f>
        <v>0</v>
      </c>
      <c r="AT76" s="2004"/>
      <c r="AU76" s="1056"/>
      <c r="AV76" s="2003">
        <f>IFERROR(AV75/AV5,0)</f>
        <v>0</v>
      </c>
      <c r="AW76" s="2003">
        <f>IFERROR(AW75/AW5,0)</f>
        <v>0</v>
      </c>
      <c r="AX76" s="2004">
        <f>IFERROR(AX75/AX5,0)</f>
        <v>0</v>
      </c>
      <c r="AY76" s="2004"/>
      <c r="AZ76" s="1056"/>
      <c r="BA76" s="2003">
        <f>IFERROR(BA75/BA5,0)</f>
        <v>0</v>
      </c>
      <c r="BB76" s="2003">
        <f>IFERROR(BB75/BB5,0)</f>
        <v>0</v>
      </c>
      <c r="BC76" s="2004">
        <f>IFERROR(BC75/BC5,0)</f>
        <v>0</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v>
      </c>
      <c r="CK76" s="2003">
        <f>IFERROR(CK75/CK5,0)</f>
        <v>0</v>
      </c>
      <c r="CL76" s="2004">
        <f>IFERROR(CL75/CL5,0)</f>
        <v>0</v>
      </c>
      <c r="CM76" s="2004"/>
      <c r="CN76" s="2004"/>
      <c r="CP76" s="3768">
        <f>CP75/CP5</f>
        <v>0.16802709612911279</v>
      </c>
      <c r="CQ76" s="3768">
        <f>IFERROR(CQ75/CQ5,0)</f>
        <v>0</v>
      </c>
      <c r="CR76" s="3768">
        <f>CR75/CR5</f>
        <v>0.17883215330805616</v>
      </c>
      <c r="CT76" s="2624"/>
    </row>
    <row r="77" spans="1:98" s="1396" customFormat="1" ht="14.4" outlineLevel="1" thickBot="1">
      <c r="A77" s="1566"/>
      <c r="B77" s="4456" t="s">
        <v>9</v>
      </c>
      <c r="C77" s="4457">
        <f>C78-C79</f>
        <v>0</v>
      </c>
      <c r="D77" s="4457">
        <f>D78-D79</f>
        <v>0</v>
      </c>
      <c r="E77" s="4458">
        <f>E78-E79</f>
        <v>0</v>
      </c>
      <c r="F77" s="4459"/>
      <c r="G77" s="4460"/>
      <c r="H77" s="4457">
        <f>H78-H79</f>
        <v>0</v>
      </c>
      <c r="I77" s="4457">
        <f>I78-I79</f>
        <v>0</v>
      </c>
      <c r="J77" s="4458">
        <f>J78-J79</f>
        <v>0</v>
      </c>
      <c r="K77" s="4459"/>
      <c r="L77" s="4460"/>
      <c r="M77" s="4457">
        <f>M78-M79</f>
        <v>0</v>
      </c>
      <c r="N77" s="4457">
        <f>N78-N79</f>
        <v>0</v>
      </c>
      <c r="O77" s="4458">
        <f>O78-O79</f>
        <v>0</v>
      </c>
      <c r="P77" s="4459"/>
      <c r="Q77" s="4460"/>
      <c r="R77" s="4457">
        <f>R78-R79</f>
        <v>0</v>
      </c>
      <c r="S77" s="4457">
        <f>S78-S79</f>
        <v>0</v>
      </c>
      <c r="T77" s="4458">
        <f>T78-T79</f>
        <v>0</v>
      </c>
      <c r="U77" s="4461"/>
      <c r="V77" s="4461"/>
      <c r="W77" s="4457">
        <f>W78-W79</f>
        <v>-16169.386138170692</v>
      </c>
      <c r="X77" s="4457">
        <f>X78-X79</f>
        <v>0</v>
      </c>
      <c r="Y77" s="4458">
        <f>Y78-Y79</f>
        <v>-16169.386138170692</v>
      </c>
      <c r="Z77" s="4461"/>
      <c r="AA77" s="4461"/>
      <c r="AB77" s="4457">
        <f>AB78-AB79</f>
        <v>-3258.4202539359721</v>
      </c>
      <c r="AC77" s="4457">
        <f>AC78-AC79</f>
        <v>0</v>
      </c>
      <c r="AD77" s="4458">
        <f>AD78-AD79</f>
        <v>-3258.4202539359721</v>
      </c>
      <c r="AE77" s="4459"/>
      <c r="AF77" s="4460"/>
      <c r="AG77" s="4457">
        <f>AG78-AG79</f>
        <v>-8895.1779926484905</v>
      </c>
      <c r="AH77" s="4457">
        <f>AH78-AH79</f>
        <v>0</v>
      </c>
      <c r="AI77" s="4458">
        <f>AI78-AI79</f>
        <v>-8895.1779926484905</v>
      </c>
      <c r="AJ77" s="4459"/>
      <c r="AK77" s="4460"/>
      <c r="AL77" s="4457">
        <f>AL78-AL79</f>
        <v>-1831.3529673857984</v>
      </c>
      <c r="AM77" s="4457">
        <f>AM78-AM79</f>
        <v>0</v>
      </c>
      <c r="AN77" s="4458">
        <f>AN78-AN79</f>
        <v>-1831.3529673857984</v>
      </c>
      <c r="AO77" s="4459"/>
      <c r="AP77" s="4460"/>
      <c r="AQ77" s="4457">
        <f>AQ78-AQ79</f>
        <v>-530.72079150298259</v>
      </c>
      <c r="AR77" s="4457">
        <f>AR78-AR79</f>
        <v>0</v>
      </c>
      <c r="AS77" s="4458">
        <f>AS78-AS79</f>
        <v>-530.72079150298259</v>
      </c>
      <c r="AT77" s="4459"/>
      <c r="AU77" s="4460"/>
      <c r="AV77" s="4457">
        <f>AV78-AV79</f>
        <v>0</v>
      </c>
      <c r="AW77" s="4457">
        <f>AW78-AW79</f>
        <v>0</v>
      </c>
      <c r="AX77" s="4458">
        <f>AX78-AX79</f>
        <v>0</v>
      </c>
      <c r="AY77" s="4459"/>
      <c r="AZ77" s="4460"/>
      <c r="BA77" s="4457">
        <f>BA78-BA79</f>
        <v>-1653.7141326974481</v>
      </c>
      <c r="BB77" s="4457">
        <f>BB78-BB79</f>
        <v>0</v>
      </c>
      <c r="BC77" s="4458">
        <f>BC78-BC79</f>
        <v>-1653.7141326974481</v>
      </c>
      <c r="BD77" s="4459"/>
      <c r="BE77" s="4460"/>
      <c r="BF77" s="4457">
        <f>BF78-BF79</f>
        <v>0</v>
      </c>
      <c r="BG77" s="4457">
        <f>BG78-BG79</f>
        <v>0</v>
      </c>
      <c r="BH77" s="4458">
        <f>BH78-BH79</f>
        <v>0</v>
      </c>
      <c r="BI77" s="4459"/>
      <c r="BJ77" s="4460"/>
      <c r="BK77" s="4457">
        <f>BK78-BK79</f>
        <v>0</v>
      </c>
      <c r="BL77" s="4457">
        <f>BL78-BL79</f>
        <v>0</v>
      </c>
      <c r="BM77" s="4458">
        <f>BM78-BM79</f>
        <v>0</v>
      </c>
      <c r="BN77" s="4459"/>
      <c r="BO77" s="4460"/>
      <c r="BP77" s="4457">
        <f>BP78-BP79</f>
        <v>0</v>
      </c>
      <c r="BQ77" s="4457">
        <f>BQ78-BQ79</f>
        <v>0</v>
      </c>
      <c r="BR77" s="4458">
        <f>BR78-BR79</f>
        <v>0</v>
      </c>
      <c r="BS77" s="4459"/>
      <c r="BT77" s="4460"/>
      <c r="BU77" s="4457">
        <f>BU78-BU79</f>
        <v>0</v>
      </c>
      <c r="BV77" s="4457">
        <f>BV78-BV79</f>
        <v>0</v>
      </c>
      <c r="BW77" s="4458">
        <f>BW78-BW79</f>
        <v>0</v>
      </c>
      <c r="BX77" s="4459"/>
      <c r="BY77" s="4460"/>
      <c r="BZ77" s="4457">
        <f>BZ78-BZ79</f>
        <v>0</v>
      </c>
      <c r="CA77" s="4457">
        <f>CA78-CA79</f>
        <v>0</v>
      </c>
      <c r="CB77" s="4458">
        <f>CB78-CB79</f>
        <v>0</v>
      </c>
      <c r="CC77" s="4459"/>
      <c r="CD77" s="4460"/>
      <c r="CE77" s="4457">
        <f>CE78-CE79</f>
        <v>0</v>
      </c>
      <c r="CF77" s="4457">
        <f>CF78-CF79</f>
        <v>0</v>
      </c>
      <c r="CG77" s="4458">
        <f>CG78-CG79</f>
        <v>0</v>
      </c>
      <c r="CH77" s="4459"/>
      <c r="CI77" s="4460"/>
      <c r="CJ77" s="4457">
        <f>CJ78-CJ79</f>
        <v>-16169.386138170692</v>
      </c>
      <c r="CK77" s="4457">
        <f>CK78-CK79</f>
        <v>0</v>
      </c>
      <c r="CL77" s="4458">
        <f>CL78-CL79</f>
        <v>-16169.386138170692</v>
      </c>
      <c r="CM77" s="4459"/>
      <c r="CN77" s="4459"/>
      <c r="CP77" s="4664">
        <f>CP78-CP79</f>
        <v>0</v>
      </c>
      <c r="CQ77" s="4664">
        <f>CQ78-CQ79</f>
        <v>-16169.386138170692</v>
      </c>
      <c r="CR77" s="4664"/>
      <c r="CT77" s="2624"/>
    </row>
    <row r="78" spans="1:98" s="1396" customFormat="1" ht="13.8" outlineLevel="2">
      <c r="A78" s="1405"/>
      <c r="B78" s="1400" t="s">
        <v>43</v>
      </c>
      <c r="C78" s="3341"/>
      <c r="D78" s="3341"/>
      <c r="E78" s="3391">
        <f>C78+D78*1.15</f>
        <v>0</v>
      </c>
      <c r="F78" s="3391"/>
      <c r="G78" s="3473"/>
      <c r="H78" s="3341"/>
      <c r="I78" s="3341"/>
      <c r="J78" s="3391">
        <f>H78+I78*1.15</f>
        <v>0</v>
      </c>
      <c r="K78" s="4428" t="e">
        <f t="shared" ref="K78:K79" si="208">J78/J$89</f>
        <v>#DIV/0!</v>
      </c>
      <c r="L78" s="3473"/>
      <c r="M78" s="3341"/>
      <c r="N78" s="3341"/>
      <c r="O78" s="3391">
        <f>M78+N78*1.15</f>
        <v>0</v>
      </c>
      <c r="P78" s="4428" t="e">
        <f t="shared" ref="P78:P79" si="209">O78/O$89</f>
        <v>#DIV/0!</v>
      </c>
      <c r="Q78" s="3473"/>
      <c r="R78" s="3342">
        <f t="shared" ref="R78:S79" si="210">M78+H78+C78</f>
        <v>0</v>
      </c>
      <c r="S78" s="3342">
        <f t="shared" si="210"/>
        <v>0</v>
      </c>
      <c r="T78" s="2012">
        <f t="shared" ref="T78:T79" si="211">R78+S78</f>
        <v>0</v>
      </c>
      <c r="U78" s="3474"/>
      <c r="V78" s="3474"/>
      <c r="W78" s="3342">
        <f t="shared" ref="W78:X79" si="212">AB78+AG78+AL78+AV78+BA78+BF78+BK78+BP78+BU78+BZ78+CE78+AQ78</f>
        <v>0</v>
      </c>
      <c r="X78" s="3342">
        <f t="shared" si="212"/>
        <v>0</v>
      </c>
      <c r="Y78" s="2012">
        <f t="shared" ref="Y78:Y79" si="213">W78+X78</f>
        <v>0</v>
      </c>
      <c r="Z78" s="3474"/>
      <c r="AA78" s="3474"/>
      <c r="AB78" s="3341"/>
      <c r="AC78" s="3341"/>
      <c r="AD78" s="3391">
        <f>AB78+AC78*1.15</f>
        <v>0</v>
      </c>
      <c r="AE78" s="3391"/>
      <c r="AF78" s="3473"/>
      <c r="AG78" s="3341"/>
      <c r="AH78" s="3341"/>
      <c r="AI78" s="3391">
        <f>AG78+AH78*1.15</f>
        <v>0</v>
      </c>
      <c r="AJ78" s="3391"/>
      <c r="AK78" s="3473"/>
      <c r="AL78" s="3341"/>
      <c r="AM78" s="3341"/>
      <c r="AN78" s="3391">
        <f>AL78+AM78*1.15</f>
        <v>0</v>
      </c>
      <c r="AO78" s="3391"/>
      <c r="AP78" s="3473"/>
      <c r="AQ78" s="3341"/>
      <c r="AR78" s="3341"/>
      <c r="AS78" s="3391">
        <f>AQ78+AR78*1.15</f>
        <v>0</v>
      </c>
      <c r="AT78" s="3391"/>
      <c r="AU78" s="3473"/>
      <c r="AV78" s="3341"/>
      <c r="AW78" s="3341"/>
      <c r="AX78" s="3391">
        <f>AV78+AW78*1.15</f>
        <v>0</v>
      </c>
      <c r="AY78" s="3391"/>
      <c r="AZ78" s="3473"/>
      <c r="BA78" s="3341"/>
      <c r="BB78" s="3341"/>
      <c r="BC78" s="3391">
        <f>BA78+BB78*1.15</f>
        <v>0</v>
      </c>
      <c r="BD78" s="3391"/>
      <c r="BE78" s="3473"/>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14">C78+H78+M78+W78</f>
        <v>0</v>
      </c>
      <c r="CK78" s="3341">
        <f t="shared" si="214"/>
        <v>0</v>
      </c>
      <c r="CL78" s="3391">
        <f>CJ78+CK78*1.15</f>
        <v>0</v>
      </c>
      <c r="CM78" s="3391"/>
      <c r="CN78" s="3391"/>
      <c r="CP78" s="3773">
        <f>CN78+CO78*1.15</f>
        <v>0</v>
      </c>
      <c r="CQ78" s="3773">
        <f>CO78+CP78*1.15</f>
        <v>0</v>
      </c>
      <c r="CR78" s="4618"/>
      <c r="CT78" s="2624"/>
    </row>
    <row r="79" spans="1:98" s="1396" customFormat="1" ht="13.8" outlineLevel="2">
      <c r="A79" s="1405"/>
      <c r="B79" s="4462" t="s">
        <v>79</v>
      </c>
      <c r="C79" s="3341">
        <v>0</v>
      </c>
      <c r="D79" s="3341"/>
      <c r="E79" s="2012">
        <f>C79+D79</f>
        <v>0</v>
      </c>
      <c r="F79" s="4611"/>
      <c r="G79" s="4633"/>
      <c r="H79" s="3341">
        <v>0</v>
      </c>
      <c r="I79" s="3341"/>
      <c r="J79" s="2012">
        <f>H79+I79</f>
        <v>0</v>
      </c>
      <c r="K79" s="4428" t="e">
        <f t="shared" si="208"/>
        <v>#DIV/0!</v>
      </c>
      <c r="L79" s="4633"/>
      <c r="M79" s="3341">
        <v>0</v>
      </c>
      <c r="N79" s="3341"/>
      <c r="O79" s="2012">
        <f>M79+N79</f>
        <v>0</v>
      </c>
      <c r="P79" s="4428" t="e">
        <f t="shared" si="209"/>
        <v>#DIV/0!</v>
      </c>
      <c r="Q79" s="4633"/>
      <c r="R79" s="3342">
        <f t="shared" si="210"/>
        <v>0</v>
      </c>
      <c r="S79" s="3342">
        <f t="shared" si="210"/>
        <v>0</v>
      </c>
      <c r="T79" s="2012">
        <f t="shared" si="211"/>
        <v>0</v>
      </c>
      <c r="U79" s="3455"/>
      <c r="V79" s="3455"/>
      <c r="W79" s="3342">
        <f t="shared" si="212"/>
        <v>16169.386138170692</v>
      </c>
      <c r="X79" s="3342">
        <f t="shared" si="212"/>
        <v>0</v>
      </c>
      <c r="Y79" s="2012">
        <f t="shared" si="213"/>
        <v>16169.386138170692</v>
      </c>
      <c r="Z79" s="3455"/>
      <c r="AA79" s="3455"/>
      <c r="AB79" s="3341">
        <f>(AC8+AC41+AC50+AC54)/(1-'расчет 2024'!$M$24)*'расчет 2024'!$M$24</f>
        <v>3258.4202539359721</v>
      </c>
      <c r="AC79" s="3341"/>
      <c r="AD79" s="2012">
        <f>AB79+AC79</f>
        <v>3258.4202539359721</v>
      </c>
      <c r="AE79" s="4611"/>
      <c r="AF79" s="4633"/>
      <c r="AG79" s="3341">
        <f>(AH8+AH41+AH50+AH54)/(1-'расчет 2024'!$M$25)*'расчет 2024'!$M$25</f>
        <v>8895.1779926484905</v>
      </c>
      <c r="AH79" s="3341"/>
      <c r="AI79" s="2012">
        <f>AG79+AH79</f>
        <v>8895.1779926484905</v>
      </c>
      <c r="AJ79" s="4611"/>
      <c r="AK79" s="4633"/>
      <c r="AL79" s="3341">
        <f>(AM8+AM41+AM50+AM54)/(1-'расчет 2024'!$M$25)*'расчет 2024'!$M$25</f>
        <v>1831.3529673857984</v>
      </c>
      <c r="AM79" s="3341"/>
      <c r="AN79" s="2012">
        <f>AL79+AM79</f>
        <v>1831.3529673857984</v>
      </c>
      <c r="AO79" s="4611"/>
      <c r="AP79" s="4633"/>
      <c r="AQ79" s="3341">
        <f>(AR8+AR41+AR50+AR54)/(1-'расчет 2024'!$M$27)*'расчет 2024'!$M$27</f>
        <v>530.72079150298259</v>
      </c>
      <c r="AR79" s="3341"/>
      <c r="AS79" s="2012">
        <f>AQ79+AR79</f>
        <v>530.72079150298259</v>
      </c>
      <c r="AT79" s="4611"/>
      <c r="AU79" s="4633"/>
      <c r="AV79" s="3341">
        <f>(AW8+AW41+AW50+AW54)/(1-'расчет 2024'!$M$28)*'расчет 2024'!$M$28</f>
        <v>0</v>
      </c>
      <c r="AW79" s="3341"/>
      <c r="AX79" s="2012">
        <f>AV79+AW79</f>
        <v>0</v>
      </c>
      <c r="AY79" s="4611"/>
      <c r="AZ79" s="4633"/>
      <c r="BA79" s="3341">
        <f>(BB8+BB41+BB50+BB54)/(1-'расчет 2024'!$M$28)*'расчет 2024'!$M$28</f>
        <v>1653.7141326974481</v>
      </c>
      <c r="BB79" s="3341"/>
      <c r="BC79" s="2012">
        <f>BA79+BB79</f>
        <v>1653.7141326974481</v>
      </c>
      <c r="BD79" s="4611"/>
      <c r="BE79" s="4633"/>
      <c r="BF79" s="3341">
        <v>0</v>
      </c>
      <c r="BG79" s="3341"/>
      <c r="BH79" s="2012">
        <f>BF79+BG79</f>
        <v>0</v>
      </c>
      <c r="BI79" s="4611"/>
      <c r="BJ79" s="4633"/>
      <c r="BK79" s="3341"/>
      <c r="BL79" s="3341"/>
      <c r="BM79" s="2012">
        <f>BK79+BL79</f>
        <v>0</v>
      </c>
      <c r="BN79" s="4611"/>
      <c r="BO79" s="4633"/>
      <c r="BP79" s="3341">
        <v>0</v>
      </c>
      <c r="BQ79" s="3341"/>
      <c r="BR79" s="2012">
        <f>BP79+BQ79</f>
        <v>0</v>
      </c>
      <c r="BS79" s="4611"/>
      <c r="BT79" s="4633"/>
      <c r="BU79" s="3341">
        <v>0</v>
      </c>
      <c r="BV79" s="3341"/>
      <c r="BW79" s="2012">
        <f>BU79+BV79</f>
        <v>0</v>
      </c>
      <c r="BX79" s="4611"/>
      <c r="BY79" s="4633"/>
      <c r="BZ79" s="3341">
        <v>0</v>
      </c>
      <c r="CA79" s="3341"/>
      <c r="CB79" s="2012">
        <f>BZ79+CA79</f>
        <v>0</v>
      </c>
      <c r="CC79" s="4611"/>
      <c r="CD79" s="4633"/>
      <c r="CE79" s="3341">
        <v>0</v>
      </c>
      <c r="CF79" s="3341"/>
      <c r="CG79" s="2012">
        <f>CE79+CF79</f>
        <v>0</v>
      </c>
      <c r="CH79" s="4611"/>
      <c r="CI79" s="4633"/>
      <c r="CJ79" s="3341">
        <f t="shared" si="214"/>
        <v>16169.386138170692</v>
      </c>
      <c r="CK79" s="3341">
        <f t="shared" si="214"/>
        <v>0</v>
      </c>
      <c r="CL79" s="2012">
        <f t="shared" ref="CL79" si="215">CJ79+CK79*1</f>
        <v>16169.386138170692</v>
      </c>
      <c r="CM79" s="4611"/>
      <c r="CN79" s="4611"/>
      <c r="CP79" s="3765">
        <f t="shared" ref="CP79" si="216">CN79+CO79*1</f>
        <v>0</v>
      </c>
      <c r="CQ79" s="3765">
        <f>CJ79</f>
        <v>16169.386138170692</v>
      </c>
      <c r="CR79" s="4618">
        <f t="shared" ref="CR79" si="217">CP79-CQ79</f>
        <v>-16169.386138170692</v>
      </c>
      <c r="CT79" s="2624"/>
    </row>
    <row r="80" spans="1:98" ht="13.8" outlineLevel="2">
      <c r="A80" s="1397"/>
      <c r="B80" s="4463"/>
      <c r="C80" s="3341"/>
      <c r="D80" s="3341"/>
      <c r="E80" s="4612"/>
      <c r="F80" s="4612"/>
      <c r="G80" s="4650"/>
      <c r="H80" s="3341"/>
      <c r="I80" s="3341"/>
      <c r="J80" s="4612"/>
      <c r="K80" s="4612"/>
      <c r="L80" s="4650"/>
      <c r="M80" s="3341"/>
      <c r="N80" s="3341"/>
      <c r="O80" s="4612"/>
      <c r="P80" s="4612"/>
      <c r="Q80" s="4650"/>
      <c r="R80" s="3448"/>
      <c r="S80" s="3448"/>
      <c r="T80" s="3448"/>
      <c r="U80" s="3448"/>
      <c r="V80" s="3448"/>
      <c r="W80" s="3448"/>
      <c r="X80" s="3448"/>
      <c r="Y80" s="3448"/>
      <c r="Z80" s="3448"/>
      <c r="AA80" s="3448"/>
      <c r="AB80" s="3341"/>
      <c r="AC80" s="3341"/>
      <c r="AD80" s="4612"/>
      <c r="AE80" s="4612"/>
      <c r="AF80" s="4650"/>
      <c r="AG80" s="3341"/>
      <c r="AH80" s="3341"/>
      <c r="AI80" s="4612"/>
      <c r="AJ80" s="4612"/>
      <c r="AK80" s="4650"/>
      <c r="AL80" s="3341"/>
      <c r="AM80" s="3341"/>
      <c r="AN80" s="4612"/>
      <c r="AO80" s="4612"/>
      <c r="AP80" s="4650"/>
      <c r="AQ80" s="3341"/>
      <c r="AR80" s="3341"/>
      <c r="AS80" s="4612"/>
      <c r="AT80" s="4612"/>
      <c r="AU80" s="4650"/>
      <c r="AV80" s="3341"/>
      <c r="AW80" s="3341"/>
      <c r="AX80" s="4612"/>
      <c r="AY80" s="4612"/>
      <c r="AZ80" s="4650"/>
      <c r="BA80" s="3341"/>
      <c r="BB80" s="3341"/>
      <c r="BC80" s="4612"/>
      <c r="BD80" s="4612"/>
      <c r="BE80" s="4650"/>
      <c r="BF80" s="3341"/>
      <c r="BG80" s="3341"/>
      <c r="BH80" s="4612"/>
      <c r="BI80" s="4612"/>
      <c r="BJ80" s="4650"/>
      <c r="BK80" s="3341"/>
      <c r="BL80" s="3341"/>
      <c r="BM80" s="4612"/>
      <c r="BN80" s="4612"/>
      <c r="BO80" s="4650"/>
      <c r="BP80" s="3341"/>
      <c r="BQ80" s="3341"/>
      <c r="BR80" s="4612"/>
      <c r="BS80" s="4612"/>
      <c r="BT80" s="4650"/>
      <c r="BU80" s="3341"/>
      <c r="BV80" s="3341"/>
      <c r="BW80" s="4612"/>
      <c r="BX80" s="4612"/>
      <c r="BY80" s="4650"/>
      <c r="BZ80" s="3341"/>
      <c r="CA80" s="3341"/>
      <c r="CB80" s="4612"/>
      <c r="CC80" s="4612"/>
      <c r="CD80" s="4650"/>
      <c r="CE80" s="3341"/>
      <c r="CF80" s="3341"/>
      <c r="CG80" s="4612"/>
      <c r="CH80" s="4612"/>
      <c r="CI80" s="4650"/>
      <c r="CJ80" s="3341">
        <f>C80+H80+M80</f>
        <v>0</v>
      </c>
      <c r="CK80" s="3341">
        <f>D80+I80+N80</f>
        <v>0</v>
      </c>
      <c r="CL80" s="4612"/>
      <c r="CM80" s="4612"/>
      <c r="CN80" s="4612"/>
      <c r="CP80" s="4665"/>
      <c r="CQ80" s="4665"/>
      <c r="CR80" s="4618"/>
    </row>
    <row r="81" spans="1:101" s="1396" customFormat="1" ht="14.4" outlineLevel="1" thickBot="1">
      <c r="A81" s="1419"/>
      <c r="B81" s="4456" t="s">
        <v>12</v>
      </c>
      <c r="C81" s="4457">
        <f>(C75+C78)-C79</f>
        <v>0</v>
      </c>
      <c r="D81" s="4457">
        <f>(D75+D78)-D79</f>
        <v>0</v>
      </c>
      <c r="E81" s="4458">
        <f>(E75+E78)-E79</f>
        <v>0</v>
      </c>
      <c r="F81" s="4459"/>
      <c r="G81" s="4460"/>
      <c r="H81" s="4457">
        <f>(H75+H78)-H79</f>
        <v>0</v>
      </c>
      <c r="I81" s="4457">
        <f>(I75+I78)-I79</f>
        <v>0</v>
      </c>
      <c r="J81" s="4458">
        <f>(J75+J78)-J79</f>
        <v>0</v>
      </c>
      <c r="K81" s="4459"/>
      <c r="L81" s="4460"/>
      <c r="M81" s="4457">
        <f>(M75+M78)-M79</f>
        <v>0</v>
      </c>
      <c r="N81" s="4457">
        <f>(N75+N78)-N79</f>
        <v>0</v>
      </c>
      <c r="O81" s="4458">
        <f>(O75+O78)-O79</f>
        <v>0</v>
      </c>
      <c r="P81" s="4459"/>
      <c r="Q81" s="4460"/>
      <c r="R81" s="4457">
        <f>(R75+R78)-R79</f>
        <v>0</v>
      </c>
      <c r="S81" s="4457">
        <f>(S75+S78)-S79</f>
        <v>0</v>
      </c>
      <c r="T81" s="4458">
        <f>(T75+T78)-T79</f>
        <v>0</v>
      </c>
      <c r="U81" s="4461"/>
      <c r="V81" s="4461"/>
      <c r="W81" s="4457">
        <f>(W75+W78)-W79</f>
        <v>-88274.004463232355</v>
      </c>
      <c r="X81" s="4457">
        <f>(X75+X78)-X79</f>
        <v>-106419.81249541424</v>
      </c>
      <c r="Y81" s="4458">
        <f>(Y75+Y78)-Y79</f>
        <v>-194693.81695864661</v>
      </c>
      <c r="Z81" s="4461"/>
      <c r="AA81" s="4461"/>
      <c r="AB81" s="4457">
        <f>(AB75+AB78)-AB79</f>
        <v>-19189.910253935974</v>
      </c>
      <c r="AC81" s="4457">
        <f>(AC75+AC78)-AC79</f>
        <v>-20016</v>
      </c>
      <c r="AD81" s="4458">
        <f>(AD75+AD78)-AD79</f>
        <v>-39205.910253935974</v>
      </c>
      <c r="AE81" s="4459"/>
      <c r="AF81" s="4460"/>
      <c r="AG81" s="4457">
        <f>(AG75+AG78)-AG79</f>
        <v>-48340.737992648494</v>
      </c>
      <c r="AH81" s="4457">
        <f>(AH75+AH78)-AH79</f>
        <v>-59529.279999999999</v>
      </c>
      <c r="AI81" s="4458">
        <f>(AI75+AI78)-AI79</f>
        <v>-107870.01799264849</v>
      </c>
      <c r="AJ81" s="4459"/>
      <c r="AK81" s="4460"/>
      <c r="AL81" s="4457">
        <f>(AL75+AL78)-AL79</f>
        <v>-10852.932967385797</v>
      </c>
      <c r="AM81" s="4457">
        <f>(AM75+AM78)-AM79</f>
        <v>-12255.98</v>
      </c>
      <c r="AN81" s="4458">
        <f>(AN75+AN78)-AN79</f>
        <v>-23108.912967385801</v>
      </c>
      <c r="AO81" s="4459"/>
      <c r="AP81" s="4460"/>
      <c r="AQ81" s="4457">
        <f>(AQ75+AQ78)-AQ79</f>
        <v>-2723.9586396042528</v>
      </c>
      <c r="AR81" s="4457">
        <f>(AR75+AR78)-AR79</f>
        <v>-3551.7468354430398</v>
      </c>
      <c r="AS81" s="4458">
        <f>(AS75+AS78)-AS79</f>
        <v>-6275.7054750472926</v>
      </c>
      <c r="AT81" s="4459"/>
      <c r="AU81" s="4460"/>
      <c r="AV81" s="4457">
        <f>(AV75+AV78)-AV79</f>
        <v>-950</v>
      </c>
      <c r="AW81" s="4457">
        <f>(AW75+AW78)-AW79</f>
        <v>0</v>
      </c>
      <c r="AX81" s="4458">
        <f>(AX75+AX78)-AX79</f>
        <v>-950</v>
      </c>
      <c r="AY81" s="4459"/>
      <c r="AZ81" s="4460"/>
      <c r="BA81" s="4457">
        <f>(BA75+BA78)-BA79</f>
        <v>-6216.4646096578372</v>
      </c>
      <c r="BB81" s="4457">
        <f>(BB75+BB78)-BB79</f>
        <v>-11066.8056599712</v>
      </c>
      <c r="BC81" s="4458">
        <f>(BC75+BC78)-BC79</f>
        <v>-17283.270269629036</v>
      </c>
      <c r="BD81" s="4459"/>
      <c r="BE81" s="4460"/>
      <c r="BF81" s="4457">
        <f>(BF75+BF78)-BF79</f>
        <v>0</v>
      </c>
      <c r="BG81" s="4457">
        <f>(BG75+BG78)-BG79</f>
        <v>0</v>
      </c>
      <c r="BH81" s="4458">
        <f>(BH75+BH78)-BH79</f>
        <v>0</v>
      </c>
      <c r="BI81" s="4459"/>
      <c r="BJ81" s="4460"/>
      <c r="BK81" s="4457">
        <f>(BK75+BK78)-BK79</f>
        <v>0</v>
      </c>
      <c r="BL81" s="4457">
        <f>(BL75+BL78)-BL79</f>
        <v>0</v>
      </c>
      <c r="BM81" s="4458">
        <f>(BM75+BM78)-BM79</f>
        <v>0</v>
      </c>
      <c r="BN81" s="4459"/>
      <c r="BO81" s="4460"/>
      <c r="BP81" s="4457">
        <f>(BP75+BP78)-BP79</f>
        <v>0</v>
      </c>
      <c r="BQ81" s="4457">
        <f>(BQ75+BQ78)-BQ79</f>
        <v>0</v>
      </c>
      <c r="BR81" s="4458">
        <f>(BR75+BR78)-BR79</f>
        <v>0</v>
      </c>
      <c r="BS81" s="4459"/>
      <c r="BT81" s="4460"/>
      <c r="BU81" s="4457">
        <f>(BU75+BU78)-BU79</f>
        <v>0</v>
      </c>
      <c r="BV81" s="4457">
        <f>(BV75+BV78)-BV79</f>
        <v>0</v>
      </c>
      <c r="BW81" s="4458">
        <f>(BW75+BW78)-BW79</f>
        <v>0</v>
      </c>
      <c r="BX81" s="4459"/>
      <c r="BY81" s="4460"/>
      <c r="BZ81" s="4457">
        <f>(BZ75+BZ78)-BZ79</f>
        <v>0</v>
      </c>
      <c r="CA81" s="4457">
        <f>(CA75+CA78)-CA79</f>
        <v>0</v>
      </c>
      <c r="CB81" s="4458">
        <f>(CB75+CB78)-CB79</f>
        <v>0</v>
      </c>
      <c r="CC81" s="4459"/>
      <c r="CD81" s="4460"/>
      <c r="CE81" s="4457">
        <f>(CE75+CE78)-CE79</f>
        <v>0</v>
      </c>
      <c r="CF81" s="4457">
        <f>(CF75+CF78)-CF79</f>
        <v>0</v>
      </c>
      <c r="CG81" s="4458">
        <f>(CG75+CG78)-CG79</f>
        <v>0</v>
      </c>
      <c r="CH81" s="4459"/>
      <c r="CI81" s="4460"/>
      <c r="CJ81" s="4457">
        <f>(CJ75+CJ78)-CJ79</f>
        <v>-88274.004463232355</v>
      </c>
      <c r="CK81" s="4457">
        <f>(CK75+CK78)-CK79</f>
        <v>-106419.81249541424</v>
      </c>
      <c r="CL81" s="4458">
        <f>(CL75+CL78)-CL79</f>
        <v>-194693.81695864661</v>
      </c>
      <c r="CM81" s="4459"/>
      <c r="CN81" s="4459"/>
      <c r="CP81" s="4664">
        <f>(CP75+CP78)-CP79</f>
        <v>2747915.5299999993</v>
      </c>
      <c r="CQ81" s="4664">
        <f>(CQ75+CQ78)-CQ79</f>
        <v>-194693.81695864661</v>
      </c>
      <c r="CR81" s="4664">
        <f>(CR75+CR78)-CR79</f>
        <v>2940790.8469586461</v>
      </c>
      <c r="CT81" s="2624"/>
    </row>
    <row r="82" spans="1:101" s="1396" customFormat="1" ht="13.8" outlineLevel="2">
      <c r="A82" s="1565"/>
      <c r="B82" s="1400" t="s">
        <v>38</v>
      </c>
      <c r="C82" s="3341"/>
      <c r="D82" s="3341"/>
      <c r="E82" s="3390">
        <f>C82+D82</f>
        <v>0</v>
      </c>
      <c r="F82" s="3381"/>
      <c r="G82" s="3455"/>
      <c r="H82" s="3341"/>
      <c r="I82" s="3341"/>
      <c r="J82" s="3390">
        <f>H82+I82</f>
        <v>0</v>
      </c>
      <c r="K82" s="4428" t="e">
        <f t="shared" ref="K82" si="218">J82/J$89</f>
        <v>#DIV/0!</v>
      </c>
      <c r="L82" s="3455"/>
      <c r="M82" s="3341"/>
      <c r="N82" s="3341"/>
      <c r="O82" s="3390">
        <f>M82+N82</f>
        <v>0</v>
      </c>
      <c r="P82" s="4428" t="e">
        <f t="shared" ref="P82" si="219">O82/O$89</f>
        <v>#DIV/0!</v>
      </c>
      <c r="Q82" s="3455"/>
      <c r="R82" s="3342">
        <f t="shared" ref="R82:S82" si="220">M82+H82+C82</f>
        <v>0</v>
      </c>
      <c r="S82" s="3342">
        <f t="shared" si="220"/>
        <v>0</v>
      </c>
      <c r="T82" s="2012">
        <f t="shared" ref="T82" si="221">R82+S82</f>
        <v>0</v>
      </c>
      <c r="U82" s="3455"/>
      <c r="V82" s="3455"/>
      <c r="W82" s="3342">
        <f t="shared" ref="W82:X82" si="222">AB82+AG82+AL82+AV82+BA82+BF82+BK82+BP82+BU82+BZ82+CE82+AQ82</f>
        <v>0</v>
      </c>
      <c r="X82" s="3342">
        <f t="shared" si="222"/>
        <v>0</v>
      </c>
      <c r="Y82" s="2012">
        <f t="shared" ref="Y82" si="223">W82+X82</f>
        <v>0</v>
      </c>
      <c r="Z82" s="3455"/>
      <c r="AA82" s="3455"/>
      <c r="AB82" s="3341"/>
      <c r="AC82" s="3341"/>
      <c r="AD82" s="3390">
        <f>AB82+AC82</f>
        <v>0</v>
      </c>
      <c r="AE82" s="3381"/>
      <c r="AF82" s="3455"/>
      <c r="AG82" s="3341"/>
      <c r="AH82" s="3341"/>
      <c r="AI82" s="3390">
        <f>AG82+AH82</f>
        <v>0</v>
      </c>
      <c r="AJ82" s="3381"/>
      <c r="AK82" s="3455"/>
      <c r="AL82" s="3341"/>
      <c r="AM82" s="3341"/>
      <c r="AN82" s="3390">
        <f>AL82+AM82</f>
        <v>0</v>
      </c>
      <c r="AO82" s="3381"/>
      <c r="AP82" s="3455"/>
      <c r="AQ82" s="3341"/>
      <c r="AR82" s="3341"/>
      <c r="AS82" s="3390">
        <f>AQ82+AR82</f>
        <v>0</v>
      </c>
      <c r="AT82" s="3381"/>
      <c r="AU82" s="3455"/>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381"/>
      <c r="CP82" s="3773">
        <f>CN82+CO82</f>
        <v>0</v>
      </c>
      <c r="CQ82" s="3773">
        <f>CO82+CP82</f>
        <v>0</v>
      </c>
      <c r="CR82" s="3773"/>
      <c r="CT82" s="2624"/>
    </row>
    <row r="83" spans="1:101" s="1396" customFormat="1" ht="13.8" outlineLevel="1">
      <c r="A83" s="1405"/>
      <c r="B83" s="4466" t="s">
        <v>13</v>
      </c>
      <c r="C83" s="4467">
        <f>(C81+C7)-C36</f>
        <v>0</v>
      </c>
      <c r="D83" s="4467">
        <f>(D81+D7)-D36</f>
        <v>0</v>
      </c>
      <c r="E83" s="4468">
        <f>(E81+E7)-E36</f>
        <v>0</v>
      </c>
      <c r="F83" s="4469"/>
      <c r="G83" s="4470"/>
      <c r="H83" s="4467">
        <f>(H81+H7)-H36</f>
        <v>0</v>
      </c>
      <c r="I83" s="4467">
        <f>(I81+I7)-I36</f>
        <v>0</v>
      </c>
      <c r="J83" s="4468">
        <f>(J81+J7)-J36</f>
        <v>0</v>
      </c>
      <c r="K83" s="4469"/>
      <c r="L83" s="4470"/>
      <c r="M83" s="4467">
        <f>(M81+M7)-M36</f>
        <v>0</v>
      </c>
      <c r="N83" s="4467">
        <f>(N81+N7)-N36</f>
        <v>0</v>
      </c>
      <c r="O83" s="4468">
        <f>(O81+O7)-O36</f>
        <v>0</v>
      </c>
      <c r="P83" s="4469"/>
      <c r="Q83" s="4470"/>
      <c r="R83" s="4467">
        <f>(R81+R7)-R36</f>
        <v>0</v>
      </c>
      <c r="S83" s="4467">
        <f>(S81+S7)-S36</f>
        <v>0</v>
      </c>
      <c r="T83" s="4468">
        <f>(T81+T7)-T36</f>
        <v>0</v>
      </c>
      <c r="U83" s="4471"/>
      <c r="V83" s="4471"/>
      <c r="W83" s="4467">
        <f>(W81+W7)-W36</f>
        <v>-88274.004463232355</v>
      </c>
      <c r="X83" s="4467">
        <f>(X81+X7)-X36</f>
        <v>-106419.81249541424</v>
      </c>
      <c r="Y83" s="4468">
        <f>(Y81+Y7)-Y36</f>
        <v>-194693.81695864661</v>
      </c>
      <c r="Z83" s="4471"/>
      <c r="AA83" s="4471"/>
      <c r="AB83" s="4467">
        <f>(AB81+AB7)-AB36</f>
        <v>-19189.910253935974</v>
      </c>
      <c r="AC83" s="4467">
        <f>(AC81+AC7)-AC36</f>
        <v>-20016</v>
      </c>
      <c r="AD83" s="4468">
        <f>(AD81+AD7)-AD36</f>
        <v>-39205.910253935974</v>
      </c>
      <c r="AE83" s="4469"/>
      <c r="AF83" s="4470"/>
      <c r="AG83" s="4467">
        <f>(AG81+AG7)-AG36</f>
        <v>-48340.737992648494</v>
      </c>
      <c r="AH83" s="4467">
        <f>(AH81+AH7)-AH36</f>
        <v>-59529.279999999999</v>
      </c>
      <c r="AI83" s="4468">
        <f>(AI81+AI7)-AI36</f>
        <v>-107870.01799264849</v>
      </c>
      <c r="AJ83" s="4469"/>
      <c r="AK83" s="4470"/>
      <c r="AL83" s="4467">
        <f>(AL81+AL7)-AL36</f>
        <v>-10852.932967385797</v>
      </c>
      <c r="AM83" s="4467">
        <f>(AM81+AM7)-AM36</f>
        <v>-12255.98</v>
      </c>
      <c r="AN83" s="4468">
        <f>(AN81+AN7)-AN36</f>
        <v>-23108.912967385801</v>
      </c>
      <c r="AO83" s="4469"/>
      <c r="AP83" s="4470"/>
      <c r="AQ83" s="4467">
        <f>(AQ81+AQ7)-AQ36</f>
        <v>-2723.9586396042528</v>
      </c>
      <c r="AR83" s="4467">
        <f>(AR81+AR7)-AR36</f>
        <v>-3551.7468354430398</v>
      </c>
      <c r="AS83" s="4468">
        <f>(AS81+AS7)-AS36</f>
        <v>-6275.7054750472926</v>
      </c>
      <c r="AT83" s="4469"/>
      <c r="AU83" s="4470"/>
      <c r="AV83" s="4467">
        <f>(AV81+AV7)-AV36</f>
        <v>-950</v>
      </c>
      <c r="AW83" s="4467">
        <f>(AW81+AW7)-AW36</f>
        <v>0</v>
      </c>
      <c r="AX83" s="4468">
        <f>(AX81+AX7)-AX36</f>
        <v>-950</v>
      </c>
      <c r="AY83" s="4469"/>
      <c r="AZ83" s="4470"/>
      <c r="BA83" s="4467">
        <f>(BA81+BA7)-BA36</f>
        <v>-6216.4646096578372</v>
      </c>
      <c r="BB83" s="4467">
        <f>(BB81+BB7)-BB36</f>
        <v>-11066.8056599712</v>
      </c>
      <c r="BC83" s="4468">
        <f>(BC81+BC7)-BC36</f>
        <v>-17283.270269629036</v>
      </c>
      <c r="BD83" s="4469"/>
      <c r="BE83" s="4470"/>
      <c r="BF83" s="4467">
        <f>(BF81+BF7)-BF36</f>
        <v>0</v>
      </c>
      <c r="BG83" s="4467">
        <f>(BG81+BG7)-BG36</f>
        <v>0</v>
      </c>
      <c r="BH83" s="4468">
        <f>(BH81+BH7)-BH36</f>
        <v>0</v>
      </c>
      <c r="BI83" s="4469"/>
      <c r="BJ83" s="4470"/>
      <c r="BK83" s="4467">
        <f>(BK81+BK7)-BK36</f>
        <v>0</v>
      </c>
      <c r="BL83" s="4467">
        <f>(BL81+BL7)-BL36</f>
        <v>0</v>
      </c>
      <c r="BM83" s="4468">
        <f>(BM81+BM7)-BM36</f>
        <v>0</v>
      </c>
      <c r="BN83" s="4469"/>
      <c r="BO83" s="4470"/>
      <c r="BP83" s="4467">
        <f>(BP81+BP7)-BP36</f>
        <v>0</v>
      </c>
      <c r="BQ83" s="4467">
        <f>(BQ81+BQ7)-BQ36</f>
        <v>0</v>
      </c>
      <c r="BR83" s="4468">
        <f>(BR81+BR7)-BR36</f>
        <v>0</v>
      </c>
      <c r="BS83" s="4469"/>
      <c r="BT83" s="4470"/>
      <c r="BU83" s="4467">
        <f>(BU81+BU7)-BU36</f>
        <v>0</v>
      </c>
      <c r="BV83" s="4467">
        <f>(BV81+BV7)-BV36</f>
        <v>0</v>
      </c>
      <c r="BW83" s="4468">
        <f>(BW81+BW7)-BW36</f>
        <v>0</v>
      </c>
      <c r="BX83" s="4469"/>
      <c r="BY83" s="4470"/>
      <c r="BZ83" s="4467">
        <f>(BZ81+BZ7)-BZ36</f>
        <v>0</v>
      </c>
      <c r="CA83" s="4467">
        <f>(CA81+CA7)-CA36</f>
        <v>0</v>
      </c>
      <c r="CB83" s="4468">
        <f>(CB81+CB7)-CB36</f>
        <v>0</v>
      </c>
      <c r="CC83" s="4469"/>
      <c r="CD83" s="4470"/>
      <c r="CE83" s="4467">
        <f>(CE81+CE7)-CE36</f>
        <v>0</v>
      </c>
      <c r="CF83" s="4467">
        <f>(CF81+CF7)-CF36</f>
        <v>0</v>
      </c>
      <c r="CG83" s="4468">
        <f>(CG81+CG7)-CG36</f>
        <v>0</v>
      </c>
      <c r="CH83" s="4469"/>
      <c r="CI83" s="4470"/>
      <c r="CJ83" s="4467">
        <f>(CJ81+CJ7)-CJ36</f>
        <v>-88274.004463232355</v>
      </c>
      <c r="CK83" s="4467">
        <f>(CK81+CK7)-CK36</f>
        <v>-106419.81249541424</v>
      </c>
      <c r="CL83" s="4468">
        <f>(CL81+CL7)-CL36</f>
        <v>-194693.81695864661</v>
      </c>
      <c r="CM83" s="4469"/>
      <c r="CN83" s="4469"/>
      <c r="CP83" s="3774">
        <f>(CP81+CP7)-CP36</f>
        <v>2747915.5299999993</v>
      </c>
      <c r="CQ83" s="3774">
        <f>(CQ81+CQ7)-CQ36</f>
        <v>-194693.81695864661</v>
      </c>
      <c r="CR83" s="3774">
        <f>(CR81+CR7)-CR36</f>
        <v>2940790.8469586461</v>
      </c>
      <c r="CT83" s="2624"/>
    </row>
    <row r="84" spans="1:101" s="1396" customFormat="1" ht="14.4" outlineLevel="1" thickBot="1">
      <c r="A84" s="1405"/>
      <c r="B84" s="4653" t="s">
        <v>14</v>
      </c>
      <c r="C84" s="4472">
        <f>C83-C73-C82</f>
        <v>0</v>
      </c>
      <c r="D84" s="4472">
        <f>D83-D73-D82</f>
        <v>0</v>
      </c>
      <c r="E84" s="4472">
        <f>E83-E73-E82</f>
        <v>0</v>
      </c>
      <c r="F84" s="4594"/>
      <c r="G84" s="4654"/>
      <c r="H84" s="4472">
        <f>H83-H73-H82</f>
        <v>0</v>
      </c>
      <c r="I84" s="4472">
        <f>I83-I73-I82</f>
        <v>0</v>
      </c>
      <c r="J84" s="4472">
        <f>J83-J73-J82</f>
        <v>0</v>
      </c>
      <c r="K84" s="4594"/>
      <c r="L84" s="4654"/>
      <c r="M84" s="4472">
        <f>M83-M73-M82</f>
        <v>0</v>
      </c>
      <c r="N84" s="4472">
        <f>N83-N73-N82</f>
        <v>0</v>
      </c>
      <c r="O84" s="4472">
        <f>O83-O73-O82</f>
        <v>0</v>
      </c>
      <c r="P84" s="4594"/>
      <c r="Q84" s="4654"/>
      <c r="R84" s="4472">
        <f>R83-R73-R82</f>
        <v>0</v>
      </c>
      <c r="S84" s="4472">
        <f>S83-S73-S82</f>
        <v>0</v>
      </c>
      <c r="T84" s="4472">
        <f>T83-T73-T82</f>
        <v>0</v>
      </c>
      <c r="U84" s="4654"/>
      <c r="V84" s="4654"/>
      <c r="W84" s="4626">
        <f t="shared" ref="W84:X84" si="224">AB84+AG84+AL84+AV84+BA84+BF84+BK84+BP84+BU84+BZ84+CE84</f>
        <v>-85550.045823628097</v>
      </c>
      <c r="X84" s="4627">
        <f t="shared" si="224"/>
        <v>-102868.06565997119</v>
      </c>
      <c r="Y84" s="4472">
        <f>Y83-Y73-Y82</f>
        <v>-194693.81695864661</v>
      </c>
      <c r="Z84" s="4654"/>
      <c r="AA84" s="4654"/>
      <c r="AB84" s="4472">
        <f>AB83-AB73-AB82</f>
        <v>-19189.910253935974</v>
      </c>
      <c r="AC84" s="4472">
        <f>AC83-AC73-AC82</f>
        <v>-20016</v>
      </c>
      <c r="AD84" s="4472">
        <f>AD83-AD73-AD82</f>
        <v>-39205.910253935974</v>
      </c>
      <c r="AE84" s="4594"/>
      <c r="AF84" s="4654"/>
      <c r="AG84" s="4472">
        <f>AG83-AG73-AG82</f>
        <v>-48340.737992648494</v>
      </c>
      <c r="AH84" s="4472">
        <f>AH83-AH73-AH82</f>
        <v>-59529.279999999999</v>
      </c>
      <c r="AI84" s="4472">
        <f>AI83-AI73-AI82</f>
        <v>-107870.01799264849</v>
      </c>
      <c r="AJ84" s="4594"/>
      <c r="AK84" s="4654"/>
      <c r="AL84" s="4472">
        <f>AL83-AL73-AL82</f>
        <v>-10852.932967385797</v>
      </c>
      <c r="AM84" s="4472">
        <f>AM83-AM73-AM82</f>
        <v>-12255.98</v>
      </c>
      <c r="AN84" s="4472">
        <f>AN83-AN73-AN82</f>
        <v>-23108.912967385801</v>
      </c>
      <c r="AO84" s="4594"/>
      <c r="AP84" s="4654"/>
      <c r="AQ84" s="4472">
        <f>AQ83-AQ73-AQ82</f>
        <v>-2723.9586396042528</v>
      </c>
      <c r="AR84" s="4472">
        <f>AR83-AR73-AR82</f>
        <v>-3551.7468354430398</v>
      </c>
      <c r="AS84" s="4472">
        <f>AS83-AS73-AS82</f>
        <v>-6275.7054750472926</v>
      </c>
      <c r="AT84" s="4594"/>
      <c r="AU84" s="4654"/>
      <c r="AV84" s="4472">
        <f>AV83-AV73-AV82</f>
        <v>-950</v>
      </c>
      <c r="AW84" s="4472">
        <f>AW83-AW73-AW82</f>
        <v>0</v>
      </c>
      <c r="AX84" s="4472">
        <f>AX83-AX73-AX82</f>
        <v>-950</v>
      </c>
      <c r="AY84" s="4594"/>
      <c r="AZ84" s="4654"/>
      <c r="BA84" s="4472">
        <f>BA83-BA73-BA82</f>
        <v>-6216.4646096578372</v>
      </c>
      <c r="BB84" s="4472">
        <f>BB83-BB73-BB82</f>
        <v>-11066.8056599712</v>
      </c>
      <c r="BC84" s="4472">
        <f>BC83-BC73-BC82</f>
        <v>-17283.270269629036</v>
      </c>
      <c r="BD84" s="4594"/>
      <c r="BE84" s="4654"/>
      <c r="BF84" s="4472">
        <f>BF83-BF73-BF82</f>
        <v>0</v>
      </c>
      <c r="BG84" s="4472">
        <f>BG83-BG73-BG82</f>
        <v>0</v>
      </c>
      <c r="BH84" s="4472">
        <f>BH83-BH73-BH82</f>
        <v>0</v>
      </c>
      <c r="BI84" s="4594"/>
      <c r="BJ84" s="4654"/>
      <c r="BK84" s="4472">
        <f>BK83-BK73-BK82</f>
        <v>0</v>
      </c>
      <c r="BL84" s="4472">
        <f>BL83-BL73-BL82</f>
        <v>0</v>
      </c>
      <c r="BM84" s="4472">
        <f>BM83-BM73-BM82</f>
        <v>0</v>
      </c>
      <c r="BN84" s="4594"/>
      <c r="BO84" s="4654"/>
      <c r="BP84" s="4472">
        <f>BP83-BP73-BP82</f>
        <v>0</v>
      </c>
      <c r="BQ84" s="4472">
        <f>BQ83-BQ73-BQ82</f>
        <v>0</v>
      </c>
      <c r="BR84" s="4472">
        <f>BR83-BR73-BR82</f>
        <v>0</v>
      </c>
      <c r="BS84" s="4594"/>
      <c r="BT84" s="4654"/>
      <c r="BU84" s="4472">
        <f>BU83-BU73-BU82</f>
        <v>0</v>
      </c>
      <c r="BV84" s="4472">
        <f>BV83-BV73-BV82</f>
        <v>0</v>
      </c>
      <c r="BW84" s="4472">
        <f>BW83-BW73-BW82</f>
        <v>0</v>
      </c>
      <c r="BX84" s="4594"/>
      <c r="BY84" s="4654"/>
      <c r="BZ84" s="4472">
        <f>BZ83-BZ73-BZ82</f>
        <v>0</v>
      </c>
      <c r="CA84" s="4472">
        <f>CA83-CA73-CA82</f>
        <v>0</v>
      </c>
      <c r="CB84" s="4472">
        <f>CB83-CB73-CB82</f>
        <v>0</v>
      </c>
      <c r="CC84" s="4594"/>
      <c r="CD84" s="4654"/>
      <c r="CE84" s="4472">
        <f>CE83-CE73-CE82</f>
        <v>0</v>
      </c>
      <c r="CF84" s="4472">
        <f>CF83-CF73-CF82</f>
        <v>0</v>
      </c>
      <c r="CG84" s="4472">
        <f>CG83-CG73-CG82</f>
        <v>0</v>
      </c>
      <c r="CH84" s="4594"/>
      <c r="CI84" s="4654"/>
      <c r="CJ84" s="4624">
        <f t="shared" ref="CJ84:CK84" si="225">C84+H84+M84+W84</f>
        <v>-85550.045823628097</v>
      </c>
      <c r="CK84" s="4624">
        <f t="shared" si="225"/>
        <v>-102868.06565997119</v>
      </c>
      <c r="CL84" s="4472">
        <f>CL83-CL73-CL82</f>
        <v>-194693.81695864661</v>
      </c>
      <c r="CM84" s="4594"/>
      <c r="CN84" s="4594"/>
      <c r="CP84" s="3775">
        <f>CP83-CP73-CP82</f>
        <v>2747915.5299999993</v>
      </c>
      <c r="CQ84" s="3775">
        <f>CQ83-CQ73-CQ82</f>
        <v>-194693.81695864661</v>
      </c>
      <c r="CR84" s="3775">
        <f>CR83-CR73-CR82</f>
        <v>2940790.8469586461</v>
      </c>
      <c r="CT84" s="2624"/>
    </row>
    <row r="85" spans="1:101" s="1396" customFormat="1" ht="13.8" outlineLevel="3">
      <c r="A85" s="1565"/>
      <c r="B85" s="1403" t="s">
        <v>44</v>
      </c>
      <c r="C85" s="3341"/>
      <c r="D85" s="3341"/>
      <c r="E85" s="2012">
        <f>C85+D85*1.15</f>
        <v>0</v>
      </c>
      <c r="F85" s="3381"/>
      <c r="G85" s="3455"/>
      <c r="H85" s="3341"/>
      <c r="I85" s="3341"/>
      <c r="J85" s="2012">
        <f>H85+I85*1.15</f>
        <v>0</v>
      </c>
      <c r="K85" s="4428" t="e">
        <f t="shared" ref="K85" si="226">J85/J$89</f>
        <v>#DIV/0!</v>
      </c>
      <c r="L85" s="3455"/>
      <c r="M85" s="3341"/>
      <c r="N85" s="3341"/>
      <c r="O85" s="2012">
        <f>M85+N85*1.15</f>
        <v>0</v>
      </c>
      <c r="P85" s="4428" t="e">
        <f t="shared" ref="P85" si="227">O85/O$89</f>
        <v>#DIV/0!</v>
      </c>
      <c r="Q85" s="3455"/>
      <c r="R85" s="3342">
        <f t="shared" ref="R85:S85" si="228">M85+H85+C85</f>
        <v>0</v>
      </c>
      <c r="S85" s="3342">
        <f t="shared" si="228"/>
        <v>0</v>
      </c>
      <c r="T85" s="2012">
        <f t="shared" ref="T85" si="229">R85+S85</f>
        <v>0</v>
      </c>
      <c r="U85" s="3455"/>
      <c r="V85" s="3455"/>
      <c r="W85" s="3342">
        <f t="shared" ref="W85:X85" si="230">AB85+AG85+AL85+AV85+BA85+BF85+BK85+BP85+BU85+BZ85+CE85+AQ85</f>
        <v>0</v>
      </c>
      <c r="X85" s="3342">
        <f t="shared" si="230"/>
        <v>0</v>
      </c>
      <c r="Y85" s="2012">
        <f t="shared" ref="Y85" si="231">W85+X85</f>
        <v>0</v>
      </c>
      <c r="Z85" s="3455"/>
      <c r="AA85" s="3455"/>
      <c r="AB85" s="3341"/>
      <c r="AC85" s="3341"/>
      <c r="AD85" s="2012">
        <f>AB85+AC85*1.15</f>
        <v>0</v>
      </c>
      <c r="AE85" s="3381"/>
      <c r="AF85" s="3455"/>
      <c r="AG85" s="3341"/>
      <c r="AH85" s="3341"/>
      <c r="AI85" s="2012">
        <f>AG85+AH85*1.15</f>
        <v>0</v>
      </c>
      <c r="AJ85" s="3381"/>
      <c r="AK85" s="3455"/>
      <c r="AL85" s="3341"/>
      <c r="AM85" s="3341"/>
      <c r="AN85" s="2012">
        <f>AL85+AM85*1.15</f>
        <v>0</v>
      </c>
      <c r="AO85" s="3381"/>
      <c r="AP85" s="3455"/>
      <c r="AQ85" s="3341"/>
      <c r="AR85" s="3341"/>
      <c r="AS85" s="2012">
        <f>AQ85+AR85*1.15</f>
        <v>0</v>
      </c>
      <c r="AT85" s="3381"/>
      <c r="AU85" s="3455"/>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3776">
        <f>CN85+CO85*1.15</f>
        <v>0</v>
      </c>
      <c r="CQ85" s="3776">
        <f>CO85+CP85*1.15</f>
        <v>0</v>
      </c>
      <c r="CR85" s="3776"/>
      <c r="CT85" s="2624"/>
    </row>
    <row r="86" spans="1:101" s="1396" customFormat="1" ht="27.6">
      <c r="A86" s="1405"/>
      <c r="B86" s="4473" t="s">
        <v>50</v>
      </c>
      <c r="C86" s="4474">
        <f>C84-C85</f>
        <v>0</v>
      </c>
      <c r="D86" s="4474">
        <f>D84-D85</f>
        <v>0</v>
      </c>
      <c r="E86" s="4474">
        <f>E84-E85</f>
        <v>0</v>
      </c>
      <c r="F86" s="4475"/>
      <c r="G86" s="4476"/>
      <c r="H86" s="4474">
        <f>H84-H85</f>
        <v>0</v>
      </c>
      <c r="I86" s="4474">
        <f>I84-I85</f>
        <v>0</v>
      </c>
      <c r="J86" s="4474">
        <f>J84-J85</f>
        <v>0</v>
      </c>
      <c r="K86" s="4475"/>
      <c r="L86" s="4476"/>
      <c r="M86" s="4474">
        <f>M84-M85</f>
        <v>0</v>
      </c>
      <c r="N86" s="4474">
        <f>N84-N85</f>
        <v>0</v>
      </c>
      <c r="O86" s="4474">
        <f>O84-O85</f>
        <v>0</v>
      </c>
      <c r="P86" s="4475"/>
      <c r="Q86" s="4476"/>
      <c r="R86" s="4474">
        <f>R84-R85</f>
        <v>0</v>
      </c>
      <c r="S86" s="4474">
        <f>S84-S85</f>
        <v>0</v>
      </c>
      <c r="T86" s="4474">
        <f>T84-T85</f>
        <v>0</v>
      </c>
      <c r="U86" s="4476"/>
      <c r="V86" s="4476"/>
      <c r="W86" s="4474">
        <f>W84-W85</f>
        <v>-85550.045823628097</v>
      </c>
      <c r="X86" s="4474">
        <f>X84-X85</f>
        <v>-102868.06565997119</v>
      </c>
      <c r="Y86" s="4474">
        <f>Y84-Y85</f>
        <v>-194693.81695864661</v>
      </c>
      <c r="Z86" s="4476"/>
      <c r="AA86" s="4476"/>
      <c r="AB86" s="4474">
        <f>AB84-AB85</f>
        <v>-19189.910253935974</v>
      </c>
      <c r="AC86" s="4474">
        <f>AC84-AC85</f>
        <v>-20016</v>
      </c>
      <c r="AD86" s="4474">
        <f>AD84-AD85</f>
        <v>-39205.910253935974</v>
      </c>
      <c r="AE86" s="4475"/>
      <c r="AF86" s="4476"/>
      <c r="AG86" s="4474">
        <f>AG84-AG85</f>
        <v>-48340.737992648494</v>
      </c>
      <c r="AH86" s="4474">
        <f>AH84-AH85</f>
        <v>-59529.279999999999</v>
      </c>
      <c r="AI86" s="4474">
        <f>AI84-AI85</f>
        <v>-107870.01799264849</v>
      </c>
      <c r="AJ86" s="4475"/>
      <c r="AK86" s="4476"/>
      <c r="AL86" s="4474">
        <f>AL84-AL85</f>
        <v>-10852.932967385797</v>
      </c>
      <c r="AM86" s="4474">
        <f>AM84-AM85</f>
        <v>-12255.98</v>
      </c>
      <c r="AN86" s="4474">
        <f>AN84-AN85</f>
        <v>-23108.912967385801</v>
      </c>
      <c r="AO86" s="4475"/>
      <c r="AP86" s="4476"/>
      <c r="AQ86" s="4474">
        <f>AQ84-AQ85</f>
        <v>-2723.9586396042528</v>
      </c>
      <c r="AR86" s="4474">
        <f>AR84-AR85</f>
        <v>-3551.7468354430398</v>
      </c>
      <c r="AS86" s="4474">
        <f>AS84-AS85</f>
        <v>-6275.7054750472926</v>
      </c>
      <c r="AT86" s="4475"/>
      <c r="AU86" s="4476"/>
      <c r="AV86" s="4474">
        <f>AV84-AV85</f>
        <v>-950</v>
      </c>
      <c r="AW86" s="4474">
        <f>AW84-AW85</f>
        <v>0</v>
      </c>
      <c r="AX86" s="4474">
        <f>AX84-AX85</f>
        <v>-950</v>
      </c>
      <c r="AY86" s="4475"/>
      <c r="AZ86" s="4476"/>
      <c r="BA86" s="4474">
        <f>BA84-BA85</f>
        <v>-6216.4646096578372</v>
      </c>
      <c r="BB86" s="4059">
        <f>BB84-BB85</f>
        <v>-11066.8056599712</v>
      </c>
      <c r="BC86" s="4059">
        <f>BC84-BC85</f>
        <v>-17283.270269629036</v>
      </c>
      <c r="BD86" s="4475"/>
      <c r="BE86" s="4476"/>
      <c r="BF86" s="4474">
        <f>BF84-BF85</f>
        <v>0</v>
      </c>
      <c r="BG86" s="4474">
        <f>BG84-BG85</f>
        <v>0</v>
      </c>
      <c r="BH86" s="4474">
        <f>BH84-BH85</f>
        <v>0</v>
      </c>
      <c r="BI86" s="4475"/>
      <c r="BJ86" s="4476"/>
      <c r="BK86" s="4474">
        <f>BK84-BK85</f>
        <v>0</v>
      </c>
      <c r="BL86" s="4474">
        <f>BL84-BL85</f>
        <v>0</v>
      </c>
      <c r="BM86" s="4474">
        <f>BM84-BM85</f>
        <v>0</v>
      </c>
      <c r="BN86" s="4475"/>
      <c r="BO86" s="4476"/>
      <c r="BP86" s="4474">
        <f>BP84-BP85</f>
        <v>0</v>
      </c>
      <c r="BQ86" s="4474">
        <f>BQ84-BQ85</f>
        <v>0</v>
      </c>
      <c r="BR86" s="4474">
        <f>BR84-BR85</f>
        <v>0</v>
      </c>
      <c r="BS86" s="4475"/>
      <c r="BT86" s="4476"/>
      <c r="BU86" s="4474">
        <f>BU84-BU85</f>
        <v>0</v>
      </c>
      <c r="BV86" s="4474">
        <f>BV84-BV85</f>
        <v>0</v>
      </c>
      <c r="BW86" s="4474">
        <f>BW84-BW85</f>
        <v>0</v>
      </c>
      <c r="BX86" s="4475"/>
      <c r="BY86" s="4476"/>
      <c r="BZ86" s="4474">
        <f>BZ84-BZ85</f>
        <v>0</v>
      </c>
      <c r="CA86" s="4474">
        <f>CA84-CA85</f>
        <v>0</v>
      </c>
      <c r="CB86" s="4474">
        <f>CB84-CB85</f>
        <v>0</v>
      </c>
      <c r="CC86" s="4475"/>
      <c r="CD86" s="4476"/>
      <c r="CE86" s="4474">
        <f>CE84-CE85</f>
        <v>0</v>
      </c>
      <c r="CF86" s="4474">
        <f>CF84-CF85</f>
        <v>0</v>
      </c>
      <c r="CG86" s="4474">
        <f>CG84-CG85</f>
        <v>0</v>
      </c>
      <c r="CH86" s="4475"/>
      <c r="CI86" s="4476"/>
      <c r="CJ86" s="4474">
        <f>CJ84-CJ85</f>
        <v>-85550.045823628097</v>
      </c>
      <c r="CK86" s="4474">
        <f>CK84-CK85</f>
        <v>-102868.06565997119</v>
      </c>
      <c r="CL86" s="4474">
        <f>CL84-CL85</f>
        <v>-194693.81695864661</v>
      </c>
      <c r="CM86" s="4475"/>
      <c r="CN86" s="4475"/>
      <c r="CP86" s="3774">
        <f>CP84-CP85</f>
        <v>2747915.5299999993</v>
      </c>
      <c r="CQ86" s="4666">
        <f>CQ84-CQ85</f>
        <v>-194693.81695864661</v>
      </c>
      <c r="CR86" s="3774">
        <f>CR84-CR85</f>
        <v>2940790.8469586461</v>
      </c>
      <c r="CT86" s="2624"/>
      <c r="CW86" s="933"/>
    </row>
    <row r="87" spans="1:101" s="1396" customFormat="1" ht="14.4" thickBot="1">
      <c r="A87" s="1567"/>
      <c r="B87" s="4655" t="s">
        <v>51</v>
      </c>
      <c r="C87" s="4477">
        <f>IFERROR(C86/C5,0)</f>
        <v>0</v>
      </c>
      <c r="D87" s="4478">
        <f>IFERROR(D86/D5,0)</f>
        <v>0</v>
      </c>
      <c r="E87" s="4479">
        <f>IFERROR(E86/E5,0)</f>
        <v>0</v>
      </c>
      <c r="F87" s="4480"/>
      <c r="G87" s="4481"/>
      <c r="H87" s="4477">
        <f>IFERROR(H86/H5,0)</f>
        <v>0</v>
      </c>
      <c r="I87" s="4478">
        <f>IFERROR(I86/I5,0)</f>
        <v>0</v>
      </c>
      <c r="J87" s="4479">
        <f>IFERROR(J86/J5,0)</f>
        <v>0</v>
      </c>
      <c r="K87" s="4480"/>
      <c r="L87" s="4481"/>
      <c r="M87" s="4477">
        <f>IFERROR(M86/M5,0)</f>
        <v>0</v>
      </c>
      <c r="N87" s="4478">
        <f>IFERROR(N86/N5,0)</f>
        <v>0</v>
      </c>
      <c r="O87" s="4479">
        <f>IFERROR(O86/O5,0)</f>
        <v>0</v>
      </c>
      <c r="P87" s="4480"/>
      <c r="Q87" s="4481"/>
      <c r="R87" s="4482"/>
      <c r="S87" s="4482"/>
      <c r="T87" s="4482"/>
      <c r="U87" s="4482"/>
      <c r="V87" s="4482"/>
      <c r="W87" s="4482"/>
      <c r="X87" s="4482"/>
      <c r="Y87" s="4482"/>
      <c r="Z87" s="4482"/>
      <c r="AA87" s="4482"/>
      <c r="AB87" s="4477">
        <f>IFERROR(AB86/AB5,0)</f>
        <v>0</v>
      </c>
      <c r="AC87" s="4478">
        <f>IFERROR(AC86/AC5,0)</f>
        <v>0</v>
      </c>
      <c r="AD87" s="4479">
        <f>IFERROR(AD86/AD5,0)</f>
        <v>0</v>
      </c>
      <c r="AE87" s="4480"/>
      <c r="AF87" s="4481"/>
      <c r="AG87" s="4477">
        <f>IFERROR(AG86/AG5,0)</f>
        <v>0</v>
      </c>
      <c r="AH87" s="4478">
        <f>IFERROR(AH86/AH5,0)</f>
        <v>0</v>
      </c>
      <c r="AI87" s="4479">
        <f>IFERROR(AI86/AI5,0)</f>
        <v>0</v>
      </c>
      <c r="AJ87" s="4480"/>
      <c r="AK87" s="4481"/>
      <c r="AL87" s="4477">
        <f>IFERROR(AL86/AL5,0)</f>
        <v>0</v>
      </c>
      <c r="AM87" s="4478">
        <f>IFERROR(AM86/AM5,0)</f>
        <v>0</v>
      </c>
      <c r="AN87" s="4479">
        <f>IFERROR(AN86/AN5,0)</f>
        <v>0</v>
      </c>
      <c r="AO87" s="4480"/>
      <c r="AP87" s="4481"/>
      <c r="AQ87" s="4477">
        <f>IFERROR(AQ86/AQ5,0)</f>
        <v>0</v>
      </c>
      <c r="AR87" s="4478">
        <f>IFERROR(AR86/AR5,0)</f>
        <v>0</v>
      </c>
      <c r="AS87" s="4479">
        <f>IFERROR(AS86/AS5,0)</f>
        <v>0</v>
      </c>
      <c r="AT87" s="4480"/>
      <c r="AU87" s="4481"/>
      <c r="AV87" s="4477">
        <f>IFERROR(AV86/AV5,0)</f>
        <v>0</v>
      </c>
      <c r="AW87" s="4478">
        <f>IFERROR(AW86/AW5,0)</f>
        <v>0</v>
      </c>
      <c r="AX87" s="4479">
        <f>IFERROR(AX86/AX5,0)</f>
        <v>0</v>
      </c>
      <c r="AY87" s="4480"/>
      <c r="AZ87" s="4481"/>
      <c r="BA87" s="4477">
        <f>IFERROR(BA86/BA5,0)</f>
        <v>0</v>
      </c>
      <c r="BB87" s="4478">
        <f>IFERROR(BB86/BB5,0)</f>
        <v>0</v>
      </c>
      <c r="BC87" s="4479">
        <f>IFERROR(BC86/BC5,0)</f>
        <v>0</v>
      </c>
      <c r="BD87" s="4480"/>
      <c r="BE87" s="4481"/>
      <c r="BF87" s="4477">
        <f>IFERROR(BF86/BF5,0)</f>
        <v>0</v>
      </c>
      <c r="BG87" s="4478">
        <f>IFERROR(BG86/BG5,0)</f>
        <v>0</v>
      </c>
      <c r="BH87" s="4479">
        <f>IFERROR(BH86/BH5,0)</f>
        <v>0</v>
      </c>
      <c r="BI87" s="4480"/>
      <c r="BJ87" s="4481"/>
      <c r="BK87" s="4477">
        <f>IFERROR(BK86/BK5,0)</f>
        <v>0</v>
      </c>
      <c r="BL87" s="4478">
        <f>IFERROR(BL86/BL5,0)</f>
        <v>0</v>
      </c>
      <c r="BM87" s="4479">
        <f>IFERROR(BM86/BM5,0)</f>
        <v>0</v>
      </c>
      <c r="BN87" s="4480"/>
      <c r="BO87" s="4481"/>
      <c r="BP87" s="4477">
        <f>IFERROR(BP86/BP5,0)</f>
        <v>0</v>
      </c>
      <c r="BQ87" s="4478">
        <f>IFERROR(BQ86/BQ5,0)</f>
        <v>0</v>
      </c>
      <c r="BR87" s="4479">
        <f>IFERROR(BR86/BR5,0)</f>
        <v>0</v>
      </c>
      <c r="BS87" s="4480"/>
      <c r="BT87" s="4481"/>
      <c r="BU87" s="4477">
        <f>IFERROR(BU86/BU5,0)</f>
        <v>0</v>
      </c>
      <c r="BV87" s="4478">
        <f>IFERROR(BV86/BV5,0)</f>
        <v>0</v>
      </c>
      <c r="BW87" s="4479">
        <f>IFERROR(BW86/BW5,0)</f>
        <v>0</v>
      </c>
      <c r="BX87" s="4480"/>
      <c r="BY87" s="4481"/>
      <c r="BZ87" s="4477">
        <f>IFERROR(BZ86/BZ5,0)</f>
        <v>0</v>
      </c>
      <c r="CA87" s="4478">
        <f>IFERROR(CA86/CA5,0)</f>
        <v>0</v>
      </c>
      <c r="CB87" s="4479">
        <f>IFERROR(CB86/CB5,0)</f>
        <v>0</v>
      </c>
      <c r="CC87" s="4480"/>
      <c r="CD87" s="4481"/>
      <c r="CE87" s="4477">
        <f>IFERROR(CE86/CE5,0)</f>
        <v>0</v>
      </c>
      <c r="CF87" s="4478">
        <f>IFERROR(CF86/CF5,0)</f>
        <v>0</v>
      </c>
      <c r="CG87" s="4479">
        <f>IFERROR(CG86/CG5,0)</f>
        <v>0</v>
      </c>
      <c r="CH87" s="4480"/>
      <c r="CI87" s="4481"/>
      <c r="CJ87" s="4477">
        <f>IFERROR(CJ86/CJ5,0)</f>
        <v>0</v>
      </c>
      <c r="CK87" s="4478">
        <f>IFERROR(CK86/CK5,0)</f>
        <v>0</v>
      </c>
      <c r="CL87" s="4479">
        <f>IFERROR(CL86/CL5,0)</f>
        <v>0</v>
      </c>
      <c r="CM87" s="4480"/>
      <c r="CN87" s="4480"/>
      <c r="CP87" s="4667">
        <f>CP86/CP5</f>
        <v>0.16802709612911279</v>
      </c>
      <c r="CQ87" s="4667">
        <f>IFERROR(CQ86/CQ5,0)</f>
        <v>0</v>
      </c>
      <c r="CR87" s="4667">
        <f>CR86/CR5</f>
        <v>0.17982086455821134</v>
      </c>
      <c r="CT87" s="2624"/>
    </row>
    <row r="88" spans="1:101"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1611"/>
      <c r="AG88" s="1954"/>
      <c r="AH88" s="1954"/>
      <c r="AI88" s="1954"/>
      <c r="AJ88" s="1954"/>
      <c r="AK88" s="1611"/>
      <c r="AL88" s="1954"/>
      <c r="AM88" s="1954"/>
      <c r="AN88" s="1954"/>
      <c r="AO88" s="1954"/>
      <c r="AP88" s="1611"/>
      <c r="AQ88" s="1954"/>
      <c r="AR88" s="1954"/>
      <c r="AS88" s="1954"/>
      <c r="AT88" s="1954"/>
      <c r="AU88" s="1611"/>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3777"/>
      <c r="CQ88" s="3777"/>
      <c r="CR88" s="3777"/>
    </row>
    <row r="89" spans="1:101">
      <c r="B89" s="1562" t="s">
        <v>56</v>
      </c>
      <c r="E89" s="1960">
        <f>E8+E36+E41+E50+E54+E73+E79+E82+E85</f>
        <v>0</v>
      </c>
      <c r="G89" s="1963"/>
      <c r="J89" s="1960">
        <f>J8+J36+J41+J50+J54+J73+J79+J82+J85</f>
        <v>0</v>
      </c>
      <c r="L89" s="1963"/>
      <c r="O89" s="1960">
        <f>O8+O36+O41+O50+O54+O73+O79+O82+O85</f>
        <v>0</v>
      </c>
      <c r="Q89" s="1963"/>
      <c r="R89" s="1963"/>
      <c r="S89" s="1963"/>
      <c r="T89" s="1960">
        <f>T8+T36+T41+T50+T54+T73+T79+T82+T85</f>
        <v>0</v>
      </c>
      <c r="U89" s="1963"/>
      <c r="V89" s="1963"/>
      <c r="W89" s="1963"/>
      <c r="X89" s="1963"/>
      <c r="Y89" s="1960">
        <f>Y8+Y36+Y41+Y50+Y54+Y73+Y79+Y82+Y85</f>
        <v>194693.81695864661</v>
      </c>
      <c r="Z89" s="1963"/>
      <c r="AA89" s="1963"/>
      <c r="AD89" s="1960">
        <f>AD8+AD36+AD41+AD50+AD54+AD73+AD79+AD82+AD85</f>
        <v>39205.910253935974</v>
      </c>
      <c r="AF89" s="1963"/>
      <c r="AI89" s="1960">
        <f>AI8+AI36+AI41+AI50+AI54+AI73+AI79+AI82+AI85</f>
        <v>107870.01799264849</v>
      </c>
      <c r="AK89" s="1963"/>
      <c r="AN89" s="1960">
        <f>AN8+AN36+AN41+AN50+AN54+AN73+AN79+AN82+AN85</f>
        <v>23108.912967385801</v>
      </c>
      <c r="AP89" s="1963"/>
      <c r="AS89" s="1960">
        <f>AS8+AS36+AS41+AS50+AS54+AS73+AS79+AS82+AS85</f>
        <v>6275.7054750472926</v>
      </c>
      <c r="AU89" s="1963"/>
      <c r="AX89" s="1960">
        <f>AX8+AX36+AX41+AX50+AX54+AX73+AX79+AX82+AX85</f>
        <v>950</v>
      </c>
      <c r="AZ89" s="1963"/>
      <c r="BC89" s="1960">
        <f>BC8+BC36+BC41+BC50+BC54+BC73+BC79+BC82+BC85</f>
        <v>17283.270269629036</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194693.81695864661</v>
      </c>
    </row>
    <row r="90" spans="1:101">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1963"/>
      <c r="AC90" s="1963"/>
      <c r="AD90" s="1963"/>
      <c r="AE90" s="1963"/>
      <c r="AF90" s="1963"/>
      <c r="AG90" s="1963"/>
      <c r="AH90" s="1963"/>
      <c r="AI90" s="1963"/>
      <c r="AJ90" s="1963"/>
      <c r="AK90" s="1963"/>
      <c r="AL90" s="1963"/>
      <c r="AM90" s="1963"/>
      <c r="AN90" s="1963"/>
      <c r="AO90" s="1963"/>
      <c r="AP90" s="1963"/>
      <c r="AQ90" s="1963"/>
      <c r="AR90" s="1963"/>
      <c r="AS90" s="1963"/>
      <c r="AT90" s="1963"/>
      <c r="AU90" s="1963"/>
      <c r="AV90" s="1963"/>
      <c r="AW90" s="1963"/>
      <c r="AX90" s="1963"/>
      <c r="AY90" s="1963"/>
      <c r="AZ90" s="1963"/>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t="b">
        <f>J89+O89+E89+Y89=CL89</f>
        <v>1</v>
      </c>
    </row>
    <row r="91" spans="1:101"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963"/>
      <c r="AG91" s="1963"/>
      <c r="AH91" s="1963"/>
      <c r="AI91" s="1963"/>
      <c r="AJ91" s="1963"/>
      <c r="AK91" s="1963"/>
      <c r="AL91" s="1963"/>
      <c r="AM91" s="1963"/>
      <c r="AN91" s="1963"/>
      <c r="AO91" s="1963"/>
      <c r="AP91" s="1963"/>
      <c r="AQ91" s="1963"/>
      <c r="AR91" s="1963"/>
      <c r="AS91" s="1963"/>
      <c r="AT91" s="1963"/>
      <c r="AU91" s="1963"/>
      <c r="AV91" s="1963"/>
      <c r="AW91" s="1963"/>
      <c r="AX91" s="1963"/>
      <c r="AY91" s="1963"/>
      <c r="AZ91" s="1963"/>
      <c r="BA91" s="1963"/>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c r="CP91" s="3762"/>
      <c r="CQ91" s="3762"/>
      <c r="CR91" s="3762"/>
      <c r="CT91" s="2624"/>
    </row>
    <row r="92" spans="1:101">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P92" s="1963"/>
      <c r="AQ92" s="1963"/>
      <c r="AR92" s="1963"/>
      <c r="AS92" s="1963"/>
      <c r="AT92" s="1963"/>
      <c r="AU92" s="1963"/>
      <c r="AV92" s="1963"/>
      <c r="AW92" s="1963"/>
      <c r="AX92" s="1963"/>
      <c r="AY92" s="1963"/>
      <c r="AZ92" s="1963"/>
      <c r="BA92" s="1963"/>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1" s="1396" customFormat="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963"/>
      <c r="AG93" s="1963"/>
      <c r="AH93" s="1963"/>
      <c r="AI93" s="1963"/>
      <c r="AJ93" s="1963"/>
      <c r="AK93" s="1963"/>
      <c r="AL93" s="1963"/>
      <c r="AM93" s="1963"/>
      <c r="AN93" s="1963"/>
      <c r="AO93" s="1963"/>
      <c r="AP93" s="1963"/>
      <c r="AQ93" s="1963"/>
      <c r="AR93" s="1963"/>
      <c r="AS93" s="1963"/>
      <c r="AT93" s="1963"/>
      <c r="AU93" s="1963"/>
      <c r="AV93" s="1963"/>
      <c r="AW93" s="1963"/>
      <c r="AX93" s="1963"/>
      <c r="AY93" s="1963"/>
      <c r="AZ93" s="1963"/>
      <c r="BA93" s="1963"/>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52"/>
      <c r="CK93" s="1952"/>
      <c r="CL93" s="687"/>
      <c r="CM93" s="1952"/>
      <c r="CN93" s="1952"/>
      <c r="CP93" s="3762"/>
      <c r="CQ93" s="3762"/>
      <c r="CR93" s="3762"/>
      <c r="CT93" s="2624"/>
    </row>
    <row r="94" spans="1:101" s="1396" customForma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963"/>
      <c r="AQ94" s="1963"/>
      <c r="AR94" s="1963"/>
      <c r="AS94" s="1963"/>
      <c r="AT94" s="1963"/>
      <c r="AU94" s="1963"/>
      <c r="AV94" s="1963"/>
      <c r="AW94" s="1963"/>
      <c r="AX94" s="1963"/>
      <c r="AY94" s="1963"/>
      <c r="AZ94" s="1963"/>
      <c r="BA94" s="1963"/>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52"/>
      <c r="CK94" s="1952"/>
      <c r="CL94" s="1952"/>
      <c r="CM94" s="1952"/>
      <c r="CN94" s="1952"/>
      <c r="CP94" s="3762"/>
      <c r="CQ94" s="3762"/>
      <c r="CR94" s="3762"/>
      <c r="CT94" s="2624"/>
    </row>
    <row r="95" spans="1:101" s="1396" customFormat="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963"/>
      <c r="AQ95" s="1963"/>
      <c r="AR95" s="1963"/>
      <c r="AS95" s="1963"/>
      <c r="AT95" s="1963"/>
      <c r="AU95" s="1963"/>
      <c r="AV95" s="1963"/>
      <c r="AW95" s="1963"/>
      <c r="AX95" s="1963"/>
      <c r="AY95" s="1963"/>
      <c r="AZ95" s="1963"/>
      <c r="BA95" s="196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52"/>
      <c r="CK95" s="1952"/>
      <c r="CL95" s="1952"/>
      <c r="CM95" s="1952"/>
      <c r="CN95" s="1952"/>
      <c r="CP95" s="3762"/>
      <c r="CQ95" s="3762"/>
      <c r="CR95" s="3762"/>
      <c r="CT95" s="2624"/>
    </row>
    <row r="96" spans="1:101" s="1396" customFormat="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963"/>
      <c r="AQ96" s="1963"/>
      <c r="AR96" s="1963"/>
      <c r="AS96" s="1963"/>
      <c r="AT96" s="1963"/>
      <c r="AU96" s="1963"/>
      <c r="AV96" s="1963"/>
      <c r="AW96" s="1963"/>
      <c r="AX96" s="1963"/>
      <c r="AY96" s="1963"/>
      <c r="AZ96" s="1963"/>
      <c r="BA96" s="196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52"/>
      <c r="CK96" s="1952"/>
      <c r="CL96" s="1952"/>
      <c r="CM96" s="1952"/>
      <c r="CN96" s="1952"/>
      <c r="CP96" s="3762"/>
      <c r="CQ96" s="3762"/>
      <c r="CR96" s="3762"/>
      <c r="CT96" s="2624"/>
    </row>
    <row r="97" spans="1:98">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1963"/>
      <c r="AH97" s="1963"/>
      <c r="AI97" s="1963"/>
      <c r="AJ97" s="1963"/>
      <c r="AK97" s="1963"/>
      <c r="AL97" s="1963"/>
      <c r="AM97" s="1963"/>
      <c r="AN97" s="1963"/>
      <c r="AO97" s="1963"/>
      <c r="AP97" s="1963"/>
      <c r="AQ97" s="1963"/>
      <c r="AR97" s="1963"/>
      <c r="AS97" s="1963"/>
      <c r="AT97" s="1963"/>
      <c r="AU97" s="1963"/>
      <c r="AV97" s="1963"/>
      <c r="AW97" s="1963"/>
      <c r="AX97" s="1963"/>
      <c r="AY97" s="1963"/>
      <c r="AZ97" s="1963"/>
      <c r="BA97" s="196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98"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952"/>
      <c r="AQ98" s="1952"/>
      <c r="AR98" s="1952"/>
      <c r="AS98" s="1952"/>
      <c r="AT98" s="1952"/>
      <c r="AU98" s="1952"/>
      <c r="AV98" s="1952"/>
      <c r="AW98" s="1952"/>
      <c r="AX98" s="1952"/>
      <c r="AY98" s="1952"/>
      <c r="AZ98" s="1952"/>
      <c r="BA98" s="1952"/>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3762"/>
      <c r="CQ98" s="3762"/>
      <c r="CR98" s="3762"/>
      <c r="CT98" s="2624"/>
    </row>
  </sheetData>
  <mergeCells count="24">
    <mergeCell ref="CP9:CP11"/>
    <mergeCell ref="CR9:CR11"/>
    <mergeCell ref="CJ2:CN3"/>
    <mergeCell ref="CP2:CR3"/>
    <mergeCell ref="A3:B3"/>
    <mergeCell ref="BZ2:CD3"/>
    <mergeCell ref="CE2:CI3"/>
    <mergeCell ref="R2:V3"/>
    <mergeCell ref="A42:A48"/>
    <mergeCell ref="BF2:BJ3"/>
    <mergeCell ref="BK2:BO3"/>
    <mergeCell ref="BP2:BT3"/>
    <mergeCell ref="BU2:BY3"/>
    <mergeCell ref="AB2:AF3"/>
    <mergeCell ref="AG2:AK3"/>
    <mergeCell ref="AL2:AP3"/>
    <mergeCell ref="AQ2:AU3"/>
    <mergeCell ref="AV2:AZ3"/>
    <mergeCell ref="BA2:BE3"/>
    <mergeCell ref="W2:AA3"/>
    <mergeCell ref="A2:B2"/>
    <mergeCell ref="C2:G3"/>
    <mergeCell ref="H2:L3"/>
    <mergeCell ref="M2:Q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CW100"/>
  <sheetViews>
    <sheetView showZeros="0" zoomScale="85" zoomScaleNormal="85" workbookViewId="0">
      <pane xSplit="2" ySplit="5" topLeftCell="BA75" activePane="bottomRight" state="frozen"/>
      <selection activeCell="CT9" sqref="CT9"/>
      <selection pane="topRight" activeCell="CT9" sqref="CT9"/>
      <selection pane="bottomLeft" activeCell="CT9" sqref="CT9"/>
      <selection pane="bottomRight" sqref="A1:XFD1048576"/>
    </sheetView>
  </sheetViews>
  <sheetFormatPr defaultColWidth="2.88671875" defaultRowHeight="13.2" outlineLevelRow="3" outlineLevelCol="1"/>
  <cols>
    <col min="1" max="1" width="2.33203125" style="1402" customWidth="1"/>
    <col min="2" max="2" width="53.109375" style="1402" customWidth="1"/>
    <col min="3" max="3" width="12.88671875" style="1952" hidden="1" customWidth="1" outlineLevel="1" collapsed="1"/>
    <col min="4" max="6" width="12.88671875" style="1952" hidden="1" customWidth="1" outlineLevel="1"/>
    <col min="7" max="7" width="26.109375" style="1952" hidden="1" customWidth="1" outlineLevel="1"/>
    <col min="8" max="8" width="12.88671875" style="1952" hidden="1" customWidth="1" outlineLevel="1" collapsed="1"/>
    <col min="9" max="11" width="12.88671875" style="1952" hidden="1" customWidth="1" outlineLevel="1"/>
    <col min="12" max="12" width="26.109375" style="1952" hidden="1" customWidth="1" outlineLevel="1"/>
    <col min="13" max="16" width="12.88671875" style="1952" hidden="1" customWidth="1" outlineLevel="1"/>
    <col min="17" max="17" width="26.109375" style="1952" hidden="1" customWidth="1" outlineLevel="1"/>
    <col min="18" max="18" width="13.44140625" style="1952" hidden="1" customWidth="1" outlineLevel="1" collapsed="1"/>
    <col min="19" max="22" width="13.44140625" style="1952" hidden="1" customWidth="1" outlineLevel="1"/>
    <col min="23" max="23" width="13.44140625" style="1952" customWidth="1" collapsed="1"/>
    <col min="24" max="27" width="13.44140625" style="1952" customWidth="1"/>
    <col min="28" max="31" width="12.88671875" style="1952" hidden="1" customWidth="1" outlineLevel="1"/>
    <col min="32" max="32" width="29.33203125" style="1952" hidden="1" customWidth="1" outlineLevel="1"/>
    <col min="33" max="36" width="12.88671875" style="1952" hidden="1" customWidth="1" outlineLevel="1"/>
    <col min="37" max="37" width="26.109375" style="1952" hidden="1" customWidth="1" outlineLevel="1"/>
    <col min="38" max="41" width="12.88671875" style="1952" hidden="1" customWidth="1" outlineLevel="1"/>
    <col min="42" max="42" width="26.109375" style="1952" hidden="1" customWidth="1" outlineLevel="1"/>
    <col min="43" max="43" width="12.88671875" style="1952" hidden="1" customWidth="1" outlineLevel="1" collapsed="1"/>
    <col min="44" max="46" width="12.88671875" style="1952" hidden="1" customWidth="1" outlineLevel="1"/>
    <col min="47" max="47" width="26.109375" style="1952" hidden="1" customWidth="1" outlineLevel="1"/>
    <col min="48" max="48" width="12.88671875" style="1952" hidden="1" customWidth="1" outlineLevel="1" collapsed="1"/>
    <col min="49" max="51" width="12.88671875" style="1952" hidden="1" customWidth="1" outlineLevel="1"/>
    <col min="52" max="52" width="26.109375" style="1952" hidden="1" customWidth="1" outlineLevel="1"/>
    <col min="53" max="53" width="12.88671875" style="1952" customWidth="1" collapsed="1"/>
    <col min="54" max="56" width="12.88671875" style="1952" customWidth="1"/>
    <col min="57" max="57" width="31.33203125" style="1952" customWidth="1"/>
    <col min="58" max="61" width="12.88671875" style="1952" hidden="1" customWidth="1" outlineLevel="1"/>
    <col min="62" max="62" width="26.109375" style="1952" hidden="1" customWidth="1" outlineLevel="1"/>
    <col min="63" max="66" width="12.88671875" style="1952" hidden="1" customWidth="1" outlineLevel="1"/>
    <col min="67" max="67" width="26.109375" style="1952" hidden="1" customWidth="1" outlineLevel="1"/>
    <col min="68" max="71" width="12.88671875" style="1952" hidden="1" customWidth="1" outlineLevel="1"/>
    <col min="72" max="72" width="26.109375" style="1952" hidden="1" customWidth="1" outlineLevel="1"/>
    <col min="73" max="76" width="12.88671875" style="1952" hidden="1" customWidth="1" outlineLevel="1"/>
    <col min="77" max="77" width="26.109375" style="1952" hidden="1" customWidth="1" outlineLevel="1"/>
    <col min="78" max="81" width="12.88671875" style="1952" hidden="1" customWidth="1" outlineLevel="1"/>
    <col min="82" max="82" width="26.109375" style="1952" hidden="1" customWidth="1" outlineLevel="1"/>
    <col min="83" max="86" width="12.88671875" style="1952" hidden="1" customWidth="1" outlineLevel="1"/>
    <col min="87" max="87" width="26.109375" style="1952" hidden="1" customWidth="1" outlineLevel="1"/>
    <col min="88" max="88" width="13.44140625" style="1952" customWidth="1" collapsed="1"/>
    <col min="89" max="91" width="13.44140625" style="1952" customWidth="1"/>
    <col min="92" max="92" width="14.33203125" style="1952" customWidth="1"/>
    <col min="93" max="93" width="2.88671875" style="1395"/>
    <col min="94" max="95" width="14.44140625" style="1952" customWidth="1"/>
    <col min="96" max="96" width="16" style="1952" customWidth="1"/>
    <col min="97" max="97" width="2.88671875" style="1395" customWidth="1" outlineLevel="1"/>
    <col min="98" max="98" width="16.6640625" style="1522" customWidth="1" outlineLevel="1"/>
    <col min="99" max="99" width="8.33203125" style="1395" customWidth="1" outlineLevel="1"/>
    <col min="100" max="100" width="8.44140625" style="1395" customWidth="1" outlineLevel="1"/>
    <col min="101" max="101" width="7.6640625" style="1395" bestFit="1" customWidth="1"/>
    <col min="102" max="16384" width="2.88671875" style="1395"/>
  </cols>
  <sheetData>
    <row r="1" spans="1:99" ht="13.8" thickBot="1"/>
    <row r="2" spans="1:99" ht="13.8">
      <c r="A2" s="4834" t="s">
        <v>2092</v>
      </c>
      <c r="B2" s="4835"/>
      <c r="C2" s="5054">
        <v>45200</v>
      </c>
      <c r="D2" s="5055"/>
      <c r="E2" s="5055"/>
      <c r="F2" s="5055"/>
      <c r="G2" s="5056"/>
      <c r="H2" s="5101">
        <v>45231</v>
      </c>
      <c r="I2" s="5102"/>
      <c r="J2" s="5102"/>
      <c r="K2" s="5102"/>
      <c r="L2" s="5103"/>
      <c r="M2" s="5107">
        <v>45261</v>
      </c>
      <c r="N2" s="5108"/>
      <c r="O2" s="5108"/>
      <c r="P2" s="5108"/>
      <c r="Q2" s="5109"/>
      <c r="R2" s="5126">
        <v>2023</v>
      </c>
      <c r="S2" s="5127"/>
      <c r="T2" s="5127"/>
      <c r="U2" s="5127"/>
      <c r="V2" s="5128"/>
      <c r="W2" s="5132">
        <v>2024</v>
      </c>
      <c r="X2" s="5133"/>
      <c r="Y2" s="5133"/>
      <c r="Z2" s="5133"/>
      <c r="AA2" s="5134"/>
      <c r="AB2" s="5150">
        <v>45292</v>
      </c>
      <c r="AC2" s="5151"/>
      <c r="AD2" s="5151"/>
      <c r="AE2" s="5151"/>
      <c r="AF2" s="5152"/>
      <c r="AG2" s="5156">
        <v>45323</v>
      </c>
      <c r="AH2" s="5157"/>
      <c r="AI2" s="5157"/>
      <c r="AJ2" s="5157"/>
      <c r="AK2" s="5158"/>
      <c r="AL2" s="5018">
        <v>45352</v>
      </c>
      <c r="AM2" s="5019"/>
      <c r="AN2" s="5019"/>
      <c r="AO2" s="5019"/>
      <c r="AP2" s="5020"/>
      <c r="AQ2" s="5054">
        <v>45383</v>
      </c>
      <c r="AR2" s="5055"/>
      <c r="AS2" s="5055"/>
      <c r="AT2" s="5055"/>
      <c r="AU2" s="5056"/>
      <c r="AV2" s="5024">
        <v>45413</v>
      </c>
      <c r="AW2" s="5025"/>
      <c r="AX2" s="5025"/>
      <c r="AY2" s="5025"/>
      <c r="AZ2" s="5026"/>
      <c r="BA2" s="5162">
        <v>45444</v>
      </c>
      <c r="BB2" s="5163"/>
      <c r="BC2" s="5163"/>
      <c r="BD2" s="5163"/>
      <c r="BE2" s="5164"/>
      <c r="BF2" s="5048">
        <v>45474</v>
      </c>
      <c r="BG2" s="5049"/>
      <c r="BH2" s="5049"/>
      <c r="BI2" s="5049"/>
      <c r="BJ2" s="5050"/>
      <c r="BK2" s="5138">
        <v>45505</v>
      </c>
      <c r="BL2" s="5139"/>
      <c r="BM2" s="5139"/>
      <c r="BN2" s="5139"/>
      <c r="BO2" s="5140"/>
      <c r="BP2" s="5024">
        <v>45536</v>
      </c>
      <c r="BQ2" s="5025"/>
      <c r="BR2" s="5025"/>
      <c r="BS2" s="5025"/>
      <c r="BT2" s="5026"/>
      <c r="BU2" s="5144">
        <v>45566</v>
      </c>
      <c r="BV2" s="5145"/>
      <c r="BW2" s="5145"/>
      <c r="BX2" s="5145"/>
      <c r="BY2" s="5146"/>
      <c r="BZ2" s="5030">
        <v>45597</v>
      </c>
      <c r="CA2" s="5031"/>
      <c r="CB2" s="5031"/>
      <c r="CC2" s="5031"/>
      <c r="CD2" s="5032"/>
      <c r="CE2" s="5024">
        <v>45627</v>
      </c>
      <c r="CF2" s="5025"/>
      <c r="CG2" s="5025"/>
      <c r="CH2" s="5025"/>
      <c r="CI2" s="5026"/>
      <c r="CJ2" s="4874" t="s">
        <v>2180</v>
      </c>
      <c r="CK2" s="4875"/>
      <c r="CL2" s="4875"/>
      <c r="CM2" s="4875"/>
      <c r="CN2" s="4876"/>
      <c r="CP2" s="5168" t="s">
        <v>2147</v>
      </c>
      <c r="CQ2" s="5169"/>
      <c r="CR2" s="5170"/>
    </row>
    <row r="3" spans="1:99" ht="14.4" thickBot="1">
      <c r="A3" s="4853" t="s">
        <v>54</v>
      </c>
      <c r="B3" s="4854"/>
      <c r="C3" s="5057"/>
      <c r="D3" s="5058"/>
      <c r="E3" s="5058"/>
      <c r="F3" s="5058"/>
      <c r="G3" s="5059"/>
      <c r="H3" s="5104"/>
      <c r="I3" s="5105"/>
      <c r="J3" s="5105"/>
      <c r="K3" s="5105"/>
      <c r="L3" s="5106"/>
      <c r="M3" s="5110"/>
      <c r="N3" s="5111"/>
      <c r="O3" s="5111"/>
      <c r="P3" s="5111"/>
      <c r="Q3" s="5112"/>
      <c r="R3" s="5129"/>
      <c r="S3" s="5130"/>
      <c r="T3" s="5130"/>
      <c r="U3" s="5130"/>
      <c r="V3" s="5131"/>
      <c r="W3" s="5135"/>
      <c r="X3" s="5136"/>
      <c r="Y3" s="5136"/>
      <c r="Z3" s="5136"/>
      <c r="AA3" s="5137"/>
      <c r="AB3" s="5153"/>
      <c r="AC3" s="5154"/>
      <c r="AD3" s="5154"/>
      <c r="AE3" s="5154"/>
      <c r="AF3" s="5155"/>
      <c r="AG3" s="5159"/>
      <c r="AH3" s="5160"/>
      <c r="AI3" s="5160"/>
      <c r="AJ3" s="5160"/>
      <c r="AK3" s="5161"/>
      <c r="AL3" s="5021"/>
      <c r="AM3" s="5022"/>
      <c r="AN3" s="5022"/>
      <c r="AO3" s="5022"/>
      <c r="AP3" s="5023"/>
      <c r="AQ3" s="5057"/>
      <c r="AR3" s="5058"/>
      <c r="AS3" s="5058"/>
      <c r="AT3" s="5058"/>
      <c r="AU3" s="5059"/>
      <c r="AV3" s="5027"/>
      <c r="AW3" s="5028"/>
      <c r="AX3" s="5028"/>
      <c r="AY3" s="5028"/>
      <c r="AZ3" s="5029"/>
      <c r="BA3" s="5165"/>
      <c r="BB3" s="5166"/>
      <c r="BC3" s="5166"/>
      <c r="BD3" s="5166"/>
      <c r="BE3" s="5167"/>
      <c r="BF3" s="5051"/>
      <c r="BG3" s="5052"/>
      <c r="BH3" s="5052"/>
      <c r="BI3" s="5052"/>
      <c r="BJ3" s="5053"/>
      <c r="BK3" s="5141"/>
      <c r="BL3" s="5142"/>
      <c r="BM3" s="5142"/>
      <c r="BN3" s="5142"/>
      <c r="BO3" s="5143"/>
      <c r="BP3" s="5027"/>
      <c r="BQ3" s="5028"/>
      <c r="BR3" s="5028"/>
      <c r="BS3" s="5028"/>
      <c r="BT3" s="5029"/>
      <c r="BU3" s="5147"/>
      <c r="BV3" s="5148"/>
      <c r="BW3" s="5148"/>
      <c r="BX3" s="5148"/>
      <c r="BY3" s="5149"/>
      <c r="BZ3" s="5033"/>
      <c r="CA3" s="5034"/>
      <c r="CB3" s="5034"/>
      <c r="CC3" s="5034"/>
      <c r="CD3" s="5035"/>
      <c r="CE3" s="5027"/>
      <c r="CF3" s="5028"/>
      <c r="CG3" s="5028"/>
      <c r="CH3" s="5028"/>
      <c r="CI3" s="5029"/>
      <c r="CJ3" s="4877"/>
      <c r="CK3" s="4878"/>
      <c r="CL3" s="4878"/>
      <c r="CM3" s="4878"/>
      <c r="CN3" s="4879"/>
      <c r="CP3" s="5171"/>
      <c r="CQ3" s="5172"/>
      <c r="CR3" s="5173"/>
    </row>
    <row r="4" spans="1:99" ht="27" thickBot="1">
      <c r="A4" s="1471"/>
      <c r="B4" s="1472" t="s">
        <v>11</v>
      </c>
      <c r="C4" s="1956" t="s">
        <v>55</v>
      </c>
      <c r="D4" s="1956" t="s">
        <v>18</v>
      </c>
      <c r="E4" s="1474" t="s">
        <v>39</v>
      </c>
      <c r="F4" s="1962" t="s">
        <v>40</v>
      </c>
      <c r="G4" s="1474" t="s">
        <v>19</v>
      </c>
      <c r="H4" s="1956" t="s">
        <v>55</v>
      </c>
      <c r="I4" s="1956" t="s">
        <v>18</v>
      </c>
      <c r="J4" s="1474" t="s">
        <v>39</v>
      </c>
      <c r="K4" s="1962" t="s">
        <v>40</v>
      </c>
      <c r="L4" s="1474" t="s">
        <v>19</v>
      </c>
      <c r="M4" s="1956" t="s">
        <v>55</v>
      </c>
      <c r="N4" s="1956" t="s">
        <v>18</v>
      </c>
      <c r="O4" s="1474" t="s">
        <v>39</v>
      </c>
      <c r="P4" s="1962" t="s">
        <v>40</v>
      </c>
      <c r="Q4" s="1474" t="s">
        <v>19</v>
      </c>
      <c r="R4" s="1956" t="s">
        <v>55</v>
      </c>
      <c r="S4" s="1956" t="s">
        <v>18</v>
      </c>
      <c r="T4" s="1474" t="s">
        <v>39</v>
      </c>
      <c r="U4" s="1962" t="s">
        <v>40</v>
      </c>
      <c r="V4" s="1474" t="s">
        <v>19</v>
      </c>
      <c r="W4" s="1956" t="s">
        <v>55</v>
      </c>
      <c r="X4" s="1956" t="s">
        <v>18</v>
      </c>
      <c r="Y4" s="1474" t="s">
        <v>39</v>
      </c>
      <c r="Z4" s="1962" t="s">
        <v>40</v>
      </c>
      <c r="AA4" s="1474" t="s">
        <v>19</v>
      </c>
      <c r="AB4" s="1956" t="s">
        <v>55</v>
      </c>
      <c r="AC4" s="1956" t="s">
        <v>18</v>
      </c>
      <c r="AD4" s="1474" t="s">
        <v>39</v>
      </c>
      <c r="AE4" s="1962" t="s">
        <v>40</v>
      </c>
      <c r="AF4" s="1474" t="s">
        <v>19</v>
      </c>
      <c r="AG4" s="1956" t="s">
        <v>55</v>
      </c>
      <c r="AH4" s="1956" t="s">
        <v>18</v>
      </c>
      <c r="AI4" s="1474" t="s">
        <v>39</v>
      </c>
      <c r="AJ4" s="1962" t="s">
        <v>40</v>
      </c>
      <c r="AK4" s="1474" t="s">
        <v>19</v>
      </c>
      <c r="AL4" s="1956" t="s">
        <v>55</v>
      </c>
      <c r="AM4" s="1956" t="s">
        <v>18</v>
      </c>
      <c r="AN4" s="1474" t="s">
        <v>39</v>
      </c>
      <c r="AO4" s="1962" t="s">
        <v>40</v>
      </c>
      <c r="AP4" s="1474" t="s">
        <v>19</v>
      </c>
      <c r="AQ4" s="1956" t="s">
        <v>55</v>
      </c>
      <c r="AR4" s="1956" t="s">
        <v>18</v>
      </c>
      <c r="AS4" s="1474" t="s">
        <v>39</v>
      </c>
      <c r="AT4" s="1962" t="s">
        <v>40</v>
      </c>
      <c r="AU4" s="1474" t="s">
        <v>19</v>
      </c>
      <c r="AV4" s="1956" t="s">
        <v>55</v>
      </c>
      <c r="AW4" s="1956" t="s">
        <v>18</v>
      </c>
      <c r="AX4" s="1474" t="s">
        <v>39</v>
      </c>
      <c r="AY4" s="1962" t="s">
        <v>40</v>
      </c>
      <c r="AZ4" s="1474" t="s">
        <v>19</v>
      </c>
      <c r="BA4" s="1956" t="s">
        <v>55</v>
      </c>
      <c r="BB4" s="1956" t="s">
        <v>18</v>
      </c>
      <c r="BC4" s="1474" t="s">
        <v>39</v>
      </c>
      <c r="BD4" s="1962" t="s">
        <v>40</v>
      </c>
      <c r="BE4" s="1474" t="s">
        <v>19</v>
      </c>
      <c r="BF4" s="1956" t="s">
        <v>55</v>
      </c>
      <c r="BG4" s="1956" t="s">
        <v>18</v>
      </c>
      <c r="BH4" s="1474" t="s">
        <v>39</v>
      </c>
      <c r="BI4" s="1962" t="s">
        <v>40</v>
      </c>
      <c r="BJ4" s="1474" t="s">
        <v>19</v>
      </c>
      <c r="BK4" s="1956" t="s">
        <v>55</v>
      </c>
      <c r="BL4" s="1956" t="s">
        <v>18</v>
      </c>
      <c r="BM4" s="1474" t="s">
        <v>39</v>
      </c>
      <c r="BN4" s="1962" t="s">
        <v>40</v>
      </c>
      <c r="BO4" s="1474" t="s">
        <v>19</v>
      </c>
      <c r="BP4" s="1956" t="s">
        <v>55</v>
      </c>
      <c r="BQ4" s="1956" t="s">
        <v>18</v>
      </c>
      <c r="BR4" s="1474" t="s">
        <v>39</v>
      </c>
      <c r="BS4" s="1962" t="s">
        <v>40</v>
      </c>
      <c r="BT4" s="1474" t="s">
        <v>19</v>
      </c>
      <c r="BU4" s="1956" t="s">
        <v>55</v>
      </c>
      <c r="BV4" s="1956" t="s">
        <v>18</v>
      </c>
      <c r="BW4" s="1474" t="s">
        <v>39</v>
      </c>
      <c r="BX4" s="1962" t="s">
        <v>40</v>
      </c>
      <c r="BY4" s="1474" t="s">
        <v>19</v>
      </c>
      <c r="BZ4" s="1956" t="s">
        <v>55</v>
      </c>
      <c r="CA4" s="1956" t="s">
        <v>18</v>
      </c>
      <c r="CB4" s="1474" t="s">
        <v>39</v>
      </c>
      <c r="CC4" s="1962" t="s">
        <v>40</v>
      </c>
      <c r="CD4" s="1474" t="s">
        <v>19</v>
      </c>
      <c r="CE4" s="1956" t="s">
        <v>55</v>
      </c>
      <c r="CF4" s="1956" t="s">
        <v>18</v>
      </c>
      <c r="CG4" s="1474" t="s">
        <v>39</v>
      </c>
      <c r="CH4" s="1962" t="s">
        <v>40</v>
      </c>
      <c r="CI4" s="1474" t="s">
        <v>19</v>
      </c>
      <c r="CJ4" s="1956" t="s">
        <v>55</v>
      </c>
      <c r="CK4" s="1956" t="s">
        <v>18</v>
      </c>
      <c r="CL4" s="1474" t="s">
        <v>39</v>
      </c>
      <c r="CM4" s="1962" t="s">
        <v>40</v>
      </c>
      <c r="CN4" s="1474" t="s">
        <v>19</v>
      </c>
      <c r="CP4" s="1474" t="s">
        <v>1850</v>
      </c>
      <c r="CQ4" s="1474" t="s">
        <v>2148</v>
      </c>
      <c r="CR4" s="1474" t="s">
        <v>1826</v>
      </c>
      <c r="CT4" s="4619">
        <v>7</v>
      </c>
    </row>
    <row r="5" spans="1:99" s="1396" customFormat="1" ht="14.4" thickBot="1">
      <c r="A5" s="1462"/>
      <c r="B5" s="1463" t="s">
        <v>10</v>
      </c>
      <c r="C5" s="1466">
        <f>C6</f>
        <v>0</v>
      </c>
      <c r="D5" s="1466">
        <f>D6</f>
        <v>0</v>
      </c>
      <c r="E5" s="1466">
        <f>E6+E7</f>
        <v>0</v>
      </c>
      <c r="F5" s="1466"/>
      <c r="G5" s="1466"/>
      <c r="H5" s="1466">
        <f>H6</f>
        <v>0</v>
      </c>
      <c r="I5" s="1466">
        <f>I6</f>
        <v>0</v>
      </c>
      <c r="J5" s="1466">
        <f>J6+J7</f>
        <v>0</v>
      </c>
      <c r="K5" s="1466"/>
      <c r="L5" s="1466"/>
      <c r="M5" s="1466">
        <f>M6</f>
        <v>0</v>
      </c>
      <c r="N5" s="1466">
        <f>N6</f>
        <v>0</v>
      </c>
      <c r="O5" s="1466">
        <f>O6+O7</f>
        <v>0</v>
      </c>
      <c r="P5" s="1466"/>
      <c r="Q5" s="1466"/>
      <c r="R5" s="1466">
        <f>R6</f>
        <v>0</v>
      </c>
      <c r="S5" s="1466">
        <f>S6</f>
        <v>0</v>
      </c>
      <c r="T5" s="1466">
        <f>T6+T7</f>
        <v>0</v>
      </c>
      <c r="U5" s="1466"/>
      <c r="V5" s="1466"/>
      <c r="W5" s="1466">
        <f>W6</f>
        <v>0</v>
      </c>
      <c r="X5" s="1466">
        <f>X6</f>
        <v>0</v>
      </c>
      <c r="Y5" s="1466">
        <f>Y6+Y7</f>
        <v>0</v>
      </c>
      <c r="Z5" s="1466"/>
      <c r="AA5" s="1466"/>
      <c r="AB5" s="1466">
        <f>AB6</f>
        <v>0</v>
      </c>
      <c r="AC5" s="1466">
        <f>AC6</f>
        <v>0</v>
      </c>
      <c r="AD5" s="1466">
        <f>AD6+AD7</f>
        <v>0</v>
      </c>
      <c r="AE5" s="1466"/>
      <c r="AF5" s="1466"/>
      <c r="AG5" s="1466">
        <f>AG6</f>
        <v>0</v>
      </c>
      <c r="AH5" s="1466">
        <f>AH6</f>
        <v>0</v>
      </c>
      <c r="AI5" s="1466">
        <f>AI6+AI7</f>
        <v>0</v>
      </c>
      <c r="AJ5" s="1466"/>
      <c r="AK5" s="1466"/>
      <c r="AL5" s="1466">
        <f>AL6</f>
        <v>0</v>
      </c>
      <c r="AM5" s="1466">
        <f>AM6</f>
        <v>0</v>
      </c>
      <c r="AN5" s="1466">
        <f>AN6+AN7</f>
        <v>0</v>
      </c>
      <c r="AO5" s="1466"/>
      <c r="AP5" s="1466"/>
      <c r="AQ5" s="1466">
        <f>AQ6</f>
        <v>0</v>
      </c>
      <c r="AR5" s="1466">
        <f>AR6</f>
        <v>0</v>
      </c>
      <c r="AS5" s="1466">
        <f>AS6+AS7</f>
        <v>0</v>
      </c>
      <c r="AT5" s="1466"/>
      <c r="AU5" s="1466"/>
      <c r="AV5" s="1466">
        <f>AV6</f>
        <v>0</v>
      </c>
      <c r="AW5" s="1466">
        <f>AW6</f>
        <v>0</v>
      </c>
      <c r="AX5" s="1466">
        <f>AX6+AX7</f>
        <v>0</v>
      </c>
      <c r="AY5" s="1466"/>
      <c r="AZ5" s="1466"/>
      <c r="BA5" s="1466">
        <f>BA6</f>
        <v>0</v>
      </c>
      <c r="BB5" s="1466">
        <f>BB6</f>
        <v>0</v>
      </c>
      <c r="BC5" s="1466">
        <f>BC6+BC7</f>
        <v>0</v>
      </c>
      <c r="BD5" s="1466"/>
      <c r="BE5" s="1466"/>
      <c r="BF5" s="1466">
        <f>BF6</f>
        <v>0</v>
      </c>
      <c r="BG5" s="1466">
        <f>BG6</f>
        <v>0</v>
      </c>
      <c r="BH5" s="1466">
        <f>BH6+BH7</f>
        <v>0</v>
      </c>
      <c r="BI5" s="1466"/>
      <c r="BJ5" s="1466"/>
      <c r="BK5" s="1466">
        <f>BK6</f>
        <v>0</v>
      </c>
      <c r="BL5" s="1466">
        <f>BL6</f>
        <v>0</v>
      </c>
      <c r="BM5" s="1466">
        <f>BM6+BM7</f>
        <v>0</v>
      </c>
      <c r="BN5" s="1466"/>
      <c r="BO5" s="1466"/>
      <c r="BP5" s="1466">
        <f>BP6</f>
        <v>0</v>
      </c>
      <c r="BQ5" s="1466">
        <f>BQ6</f>
        <v>0</v>
      </c>
      <c r="BR5" s="1466">
        <f>BR6+BR7</f>
        <v>0</v>
      </c>
      <c r="BS5" s="1466"/>
      <c r="BT5" s="1466"/>
      <c r="BU5" s="1466">
        <f>BU6</f>
        <v>0</v>
      </c>
      <c r="BV5" s="1466">
        <f>BV6</f>
        <v>0</v>
      </c>
      <c r="BW5" s="1466">
        <f>BW6+BW7</f>
        <v>0</v>
      </c>
      <c r="BX5" s="1466"/>
      <c r="BY5" s="1466"/>
      <c r="BZ5" s="1466">
        <f>BZ6</f>
        <v>0</v>
      </c>
      <c r="CA5" s="1466">
        <f>CA6</f>
        <v>0</v>
      </c>
      <c r="CB5" s="1466">
        <f>CB6+CB7</f>
        <v>0</v>
      </c>
      <c r="CC5" s="1466"/>
      <c r="CD5" s="1466"/>
      <c r="CE5" s="1466">
        <f>CE6</f>
        <v>0</v>
      </c>
      <c r="CF5" s="1466">
        <f>CF6</f>
        <v>0</v>
      </c>
      <c r="CG5" s="1466">
        <f>CG6+CG7</f>
        <v>0</v>
      </c>
      <c r="CH5" s="1466"/>
      <c r="CI5" s="1466"/>
      <c r="CJ5" s="1466">
        <f>CJ6</f>
        <v>0</v>
      </c>
      <c r="CK5" s="1466">
        <f>CK6</f>
        <v>0</v>
      </c>
      <c r="CL5" s="1466">
        <f>CL6</f>
        <v>0</v>
      </c>
      <c r="CM5" s="1466"/>
      <c r="CN5" s="1466"/>
      <c r="CP5" s="1484">
        <f>CP6</f>
        <v>26813298.68</v>
      </c>
      <c r="CQ5" s="1484">
        <f>CQ6</f>
        <v>0</v>
      </c>
      <c r="CR5" s="1484">
        <f>CR6</f>
        <v>26813298.68</v>
      </c>
      <c r="CT5" s="2624"/>
    </row>
    <row r="6" spans="1:99" s="1396" customFormat="1" ht="13.8" outlineLevel="1">
      <c r="A6" s="1571"/>
      <c r="B6" s="1403" t="s">
        <v>17</v>
      </c>
      <c r="C6" s="3341"/>
      <c r="D6" s="3341"/>
      <c r="E6" s="2012">
        <f t="shared" ref="E6:E7" si="0">C6+D6</f>
        <v>0</v>
      </c>
      <c r="F6" s="3341"/>
      <c r="G6" s="3342"/>
      <c r="H6" s="3341"/>
      <c r="I6" s="3341"/>
      <c r="J6" s="2012">
        <f>H6+I6</f>
        <v>0</v>
      </c>
      <c r="K6" s="3341"/>
      <c r="L6" s="3342"/>
      <c r="M6" s="3341"/>
      <c r="N6" s="3341"/>
      <c r="O6" s="2012">
        <f t="shared" ref="O6:O7" si="1">M6+N6</f>
        <v>0</v>
      </c>
      <c r="P6" s="3341"/>
      <c r="Q6" s="3342"/>
      <c r="R6" s="3342">
        <f>M6+H6+C6</f>
        <v>0</v>
      </c>
      <c r="S6" s="3342">
        <f>N6+I6+D6</f>
        <v>0</v>
      </c>
      <c r="T6" s="2012">
        <f t="shared" ref="T6:T7" si="2">R6+S6</f>
        <v>0</v>
      </c>
      <c r="U6" s="3342"/>
      <c r="V6" s="3342"/>
      <c r="W6" s="3342">
        <f>AB6+AG6+AL6+AV6+BA6+BF6+BK6+BP6+BU6+BZ6+CE6+AQ6</f>
        <v>0</v>
      </c>
      <c r="X6" s="3342">
        <f>AC6+AH6+AM6+AW6+BB6+BG6+BL6+BQ6+BV6+CA6+CF6+AR6</f>
        <v>0</v>
      </c>
      <c r="Y6" s="2012">
        <f t="shared" ref="Y6:Y7" si="3">W6+X6</f>
        <v>0</v>
      </c>
      <c r="Z6" s="3342"/>
      <c r="AA6" s="3342"/>
      <c r="AB6" s="3341"/>
      <c r="AC6" s="3341"/>
      <c r="AD6" s="2012">
        <f t="shared" ref="AD6:AD7" si="4">AB6+AC6</f>
        <v>0</v>
      </c>
      <c r="AE6" s="3341"/>
      <c r="AF6" s="3342"/>
      <c r="AG6" s="3341"/>
      <c r="AH6" s="3341"/>
      <c r="AI6" s="2012">
        <f t="shared" ref="AI6:AI7" si="5">AG6+AH6</f>
        <v>0</v>
      </c>
      <c r="AJ6" s="3341"/>
      <c r="AK6" s="3342"/>
      <c r="AL6" s="3341"/>
      <c r="AM6" s="3341"/>
      <c r="AN6" s="2012">
        <f t="shared" ref="AN6:AN7" si="6">AL6+AM6</f>
        <v>0</v>
      </c>
      <c r="AO6" s="3341"/>
      <c r="AP6" s="3342"/>
      <c r="AQ6" s="3341"/>
      <c r="AR6" s="3341"/>
      <c r="AS6" s="2012">
        <f t="shared" ref="AS6:AS7" si="7">AQ6+AR6</f>
        <v>0</v>
      </c>
      <c r="AT6" s="3341"/>
      <c r="AU6" s="3342"/>
      <c r="AV6" s="3341"/>
      <c r="AW6" s="3341"/>
      <c r="AX6" s="2012">
        <f t="shared" ref="AX6:AX7" si="8">AV6+AW6</f>
        <v>0</v>
      </c>
      <c r="AY6" s="3341"/>
      <c r="AZ6" s="3342"/>
      <c r="BA6" s="3341"/>
      <c r="BB6" s="3341"/>
      <c r="BC6" s="2012">
        <f t="shared" ref="BC6:BC7" si="9">BA6+BB6</f>
        <v>0</v>
      </c>
      <c r="BD6" s="3341"/>
      <c r="BE6" s="3342"/>
      <c r="BF6" s="3341"/>
      <c r="BG6" s="3341"/>
      <c r="BH6" s="2012">
        <f t="shared" ref="BH6:BH7" si="10">BF6+BG6</f>
        <v>0</v>
      </c>
      <c r="BI6" s="3341"/>
      <c r="BJ6" s="3342"/>
      <c r="BK6" s="3341"/>
      <c r="BL6" s="3341"/>
      <c r="BM6" s="2012">
        <f t="shared" ref="BM6:BM7" si="11">BK6+BL6</f>
        <v>0</v>
      </c>
      <c r="BN6" s="3341"/>
      <c r="BO6" s="3342"/>
      <c r="BP6" s="3341"/>
      <c r="BQ6" s="3341"/>
      <c r="BR6" s="2012">
        <f t="shared" ref="BR6:BR7" si="12">BP6+BQ6</f>
        <v>0</v>
      </c>
      <c r="BS6" s="3341"/>
      <c r="BT6" s="3342"/>
      <c r="BU6" s="3341"/>
      <c r="BV6" s="3341"/>
      <c r="BW6" s="2012">
        <f t="shared" ref="BW6:BW7" si="13">BU6+BV6</f>
        <v>0</v>
      </c>
      <c r="BX6" s="3341"/>
      <c r="BY6" s="3342"/>
      <c r="BZ6" s="3341"/>
      <c r="CA6" s="3341"/>
      <c r="CB6" s="2012">
        <f t="shared" ref="CB6:CB7" si="14">BZ6+CA6</f>
        <v>0</v>
      </c>
      <c r="CC6" s="3341"/>
      <c r="CD6" s="3342"/>
      <c r="CE6" s="3341"/>
      <c r="CF6" s="3341"/>
      <c r="CG6" s="2012">
        <f t="shared" ref="CG6:CG7" si="15">CE6+CF6</f>
        <v>0</v>
      </c>
      <c r="CH6" s="3341"/>
      <c r="CI6" s="3342"/>
      <c r="CJ6" s="3341">
        <f>C6+H6+M6+W6</f>
        <v>0</v>
      </c>
      <c r="CK6" s="3341">
        <f>D6+I6+N6+X6</f>
        <v>0</v>
      </c>
      <c r="CL6" s="2012">
        <f>CJ6+CK6</f>
        <v>0</v>
      </c>
      <c r="CM6" s="3341"/>
      <c r="CN6" s="3341"/>
      <c r="CP6" s="2012">
        <f>3830471.24*CT4</f>
        <v>26813298.68</v>
      </c>
      <c r="CQ6" s="2012"/>
      <c r="CR6" s="4615">
        <f>CP6-CQ6</f>
        <v>26813298.68</v>
      </c>
      <c r="CS6" s="3305"/>
    </row>
    <row r="7" spans="1:99" s="1396" customFormat="1" ht="14.4" outlineLevel="1" collapsed="1" thickBot="1">
      <c r="A7" s="1571"/>
      <c r="B7" s="4426" t="s">
        <v>41</v>
      </c>
      <c r="C7" s="3341"/>
      <c r="D7" s="3341"/>
      <c r="E7" s="2012">
        <f t="shared" si="0"/>
        <v>0</v>
      </c>
      <c r="F7" s="4608"/>
      <c r="G7" s="4608"/>
      <c r="H7" s="3341"/>
      <c r="I7" s="3341"/>
      <c r="J7" s="2012">
        <f>H7+I7</f>
        <v>0</v>
      </c>
      <c r="K7" s="4608"/>
      <c r="L7" s="4608"/>
      <c r="M7" s="3341"/>
      <c r="N7" s="3341"/>
      <c r="O7" s="2012">
        <f t="shared" si="1"/>
        <v>0</v>
      </c>
      <c r="P7" s="4608"/>
      <c r="Q7" s="4608"/>
      <c r="R7" s="3342">
        <f>M7+H7+C7</f>
        <v>0</v>
      </c>
      <c r="S7" s="3342">
        <f>N7+I7+D7</f>
        <v>0</v>
      </c>
      <c r="T7" s="2012">
        <f t="shared" si="2"/>
        <v>0</v>
      </c>
      <c r="U7" s="3345"/>
      <c r="V7" s="3345"/>
      <c r="W7" s="3342">
        <f>AB7+AG7+AL7+AV7+BA7+BF7+BK7+BP7+BU7+BZ7+CE7+AQ7</f>
        <v>0</v>
      </c>
      <c r="X7" s="3342">
        <f>AC7+AH7+AM7+AW7+BB7+BG7+BL7+BQ7+BV7+CA7+CF7+AR7</f>
        <v>0</v>
      </c>
      <c r="Y7" s="2012">
        <f t="shared" si="3"/>
        <v>0</v>
      </c>
      <c r="Z7" s="3345"/>
      <c r="AA7" s="3345"/>
      <c r="AB7" s="3341"/>
      <c r="AC7" s="3341"/>
      <c r="AD7" s="2012">
        <f t="shared" si="4"/>
        <v>0</v>
      </c>
      <c r="AE7" s="4608"/>
      <c r="AF7" s="4608"/>
      <c r="AG7" s="3341"/>
      <c r="AH7" s="3341"/>
      <c r="AI7" s="2012">
        <f t="shared" si="5"/>
        <v>0</v>
      </c>
      <c r="AJ7" s="4608"/>
      <c r="AK7" s="4608"/>
      <c r="AL7" s="3341"/>
      <c r="AM7" s="3341"/>
      <c r="AN7" s="2012">
        <f t="shared" si="6"/>
        <v>0</v>
      </c>
      <c r="AO7" s="4608"/>
      <c r="AP7" s="4608"/>
      <c r="AQ7" s="3341"/>
      <c r="AR7" s="3341"/>
      <c r="AS7" s="2012">
        <f t="shared" si="7"/>
        <v>0</v>
      </c>
      <c r="AT7" s="4608"/>
      <c r="AU7" s="4608"/>
      <c r="AV7" s="3341"/>
      <c r="AW7" s="3341"/>
      <c r="AX7" s="2012">
        <f t="shared" si="8"/>
        <v>0</v>
      </c>
      <c r="AY7" s="4608"/>
      <c r="AZ7" s="4608"/>
      <c r="BA7" s="3341"/>
      <c r="BB7" s="3341"/>
      <c r="BC7" s="2012">
        <f t="shared" si="9"/>
        <v>0</v>
      </c>
      <c r="BD7" s="4608"/>
      <c r="BE7" s="4608"/>
      <c r="BF7" s="3341"/>
      <c r="BG7" s="3341"/>
      <c r="BH7" s="2012">
        <f t="shared" si="10"/>
        <v>0</v>
      </c>
      <c r="BI7" s="4608"/>
      <c r="BJ7" s="4608"/>
      <c r="BK7" s="3341"/>
      <c r="BL7" s="3341"/>
      <c r="BM7" s="2012">
        <f t="shared" si="11"/>
        <v>0</v>
      </c>
      <c r="BN7" s="4608"/>
      <c r="BO7" s="4608"/>
      <c r="BP7" s="3341"/>
      <c r="BQ7" s="3341"/>
      <c r="BR7" s="2012">
        <f t="shared" si="12"/>
        <v>0</v>
      </c>
      <c r="BS7" s="4608"/>
      <c r="BT7" s="4608"/>
      <c r="BU7" s="3341"/>
      <c r="BV7" s="3341"/>
      <c r="BW7" s="2012">
        <f t="shared" si="13"/>
        <v>0</v>
      </c>
      <c r="BX7" s="4608"/>
      <c r="BY7" s="4608"/>
      <c r="BZ7" s="3341"/>
      <c r="CA7" s="3341"/>
      <c r="CB7" s="2012">
        <f t="shared" si="14"/>
        <v>0</v>
      </c>
      <c r="CC7" s="4608"/>
      <c r="CD7" s="4608"/>
      <c r="CE7" s="3341"/>
      <c r="CF7" s="3341"/>
      <c r="CG7" s="2012">
        <f t="shared" si="15"/>
        <v>0</v>
      </c>
      <c r="CH7" s="4608"/>
      <c r="CI7" s="4608"/>
      <c r="CJ7" s="3341">
        <f>C7+H7+M7+W7</f>
        <v>0</v>
      </c>
      <c r="CK7" s="3341">
        <f>D7+I7+N7+X7</f>
        <v>0</v>
      </c>
      <c r="CL7" s="2012">
        <f>CJ7+CK7</f>
        <v>0</v>
      </c>
      <c r="CM7" s="4608"/>
      <c r="CN7" s="4608"/>
      <c r="CP7" s="2012"/>
      <c r="CQ7" s="2012"/>
      <c r="CR7" s="2012"/>
      <c r="CT7" s="2624"/>
    </row>
    <row r="8" spans="1:99" s="1396" customFormat="1" ht="14.4" outlineLevel="1" thickBot="1">
      <c r="A8" s="1571"/>
      <c r="B8" s="1463" t="s">
        <v>16</v>
      </c>
      <c r="C8" s="1957">
        <f>SUM(C9:C33)</f>
        <v>0</v>
      </c>
      <c r="D8" s="1957">
        <f>SUM(D9:D33)</f>
        <v>0</v>
      </c>
      <c r="E8" s="1484">
        <f>SUM(E9:E33)</f>
        <v>0</v>
      </c>
      <c r="F8" s="1528" t="e">
        <f t="shared" ref="F8:F33" si="16">E8/$E$89</f>
        <v>#DIV/0!</v>
      </c>
      <c r="G8" s="1466"/>
      <c r="H8" s="1957">
        <f>SUM(H9:H33)</f>
        <v>0</v>
      </c>
      <c r="I8" s="1957">
        <f>SUM(I9:I33)</f>
        <v>0</v>
      </c>
      <c r="J8" s="1484">
        <f>SUM(J9:J33)</f>
        <v>0</v>
      </c>
      <c r="K8" s="1528" t="e">
        <f t="shared" ref="K8" si="17">J8/$E$89</f>
        <v>#DIV/0!</v>
      </c>
      <c r="L8" s="1466"/>
      <c r="M8" s="1957">
        <f>SUM(M9:M33)</f>
        <v>0</v>
      </c>
      <c r="N8" s="1957">
        <f>SUM(N9:N33)</f>
        <v>0</v>
      </c>
      <c r="O8" s="1484">
        <f>SUM(O9:O33)</f>
        <v>0</v>
      </c>
      <c r="P8" s="1528" t="e">
        <f t="shared" ref="P8" si="18">O8/$E$89</f>
        <v>#DIV/0!</v>
      </c>
      <c r="Q8" s="1466"/>
      <c r="R8" s="1957">
        <f>SUM(R9:R33)</f>
        <v>0</v>
      </c>
      <c r="S8" s="1957">
        <f>SUM(S9:S33)</f>
        <v>0</v>
      </c>
      <c r="T8" s="1484">
        <f>SUM(T9:T33)</f>
        <v>0</v>
      </c>
      <c r="U8" s="1528"/>
      <c r="V8" s="1466"/>
      <c r="W8" s="1957">
        <f>SUM(W9:W33)</f>
        <v>104096.490864996</v>
      </c>
      <c r="X8" s="1957">
        <f>SUM(X9:X33)</f>
        <v>382960.15775058302</v>
      </c>
      <c r="Y8" s="1484">
        <f>SUM(Y9:Y33)</f>
        <v>487056.648615579</v>
      </c>
      <c r="Z8" s="1528"/>
      <c r="AA8" s="1466"/>
      <c r="AB8" s="1957">
        <f>SUM(AB9:AB33)</f>
        <v>0</v>
      </c>
      <c r="AC8" s="1957">
        <f>SUM(AC9:AC33)</f>
        <v>0</v>
      </c>
      <c r="AD8" s="1484">
        <f>SUM(AD9:AD33)</f>
        <v>0</v>
      </c>
      <c r="AE8" s="1528"/>
      <c r="AF8" s="1466"/>
      <c r="AG8" s="1957">
        <f>SUM(AG9:AG33)</f>
        <v>0</v>
      </c>
      <c r="AH8" s="1957">
        <f>SUM(AH9:AH33)</f>
        <v>0</v>
      </c>
      <c r="AI8" s="1484">
        <f>SUM(AI9:AI33)</f>
        <v>0</v>
      </c>
      <c r="AJ8" s="1528"/>
      <c r="AK8" s="1466"/>
      <c r="AL8" s="1957">
        <f>SUM(AL9:AL33)</f>
        <v>0</v>
      </c>
      <c r="AM8" s="1957">
        <f>SUM(AM9:AM33)</f>
        <v>0</v>
      </c>
      <c r="AN8" s="1484">
        <f>SUM(AN9:AN33)</f>
        <v>0</v>
      </c>
      <c r="AO8" s="1528"/>
      <c r="AP8" s="1466"/>
      <c r="AQ8" s="1957">
        <f>SUM(AQ9:AQ33)</f>
        <v>0</v>
      </c>
      <c r="AR8" s="1957">
        <f>SUM(AR9:AR33)</f>
        <v>0</v>
      </c>
      <c r="AS8" s="1484">
        <f>SUM(AS9:AS33)</f>
        <v>0</v>
      </c>
      <c r="AT8" s="1528"/>
      <c r="AU8" s="1466"/>
      <c r="AV8" s="1957">
        <f>SUM(AV9:AV33)</f>
        <v>0</v>
      </c>
      <c r="AW8" s="1957">
        <f>SUM(AW9:AW33)</f>
        <v>0</v>
      </c>
      <c r="AX8" s="1484">
        <f>SUM(AX9:AX33)</f>
        <v>0</v>
      </c>
      <c r="AY8" s="1528"/>
      <c r="AZ8" s="1466"/>
      <c r="BA8" s="1957">
        <f>SUM(BA9:BA33)</f>
        <v>104096.490864996</v>
      </c>
      <c r="BB8" s="1957">
        <f>SUM(BB9:BB33)</f>
        <v>382960.15775058302</v>
      </c>
      <c r="BC8" s="1484">
        <f>SUM(BC9:BC33)</f>
        <v>487056.648615579</v>
      </c>
      <c r="BD8" s="1528"/>
      <c r="BE8" s="1466"/>
      <c r="BF8" s="1957">
        <f>SUM(BF9:BF33)</f>
        <v>0</v>
      </c>
      <c r="BG8" s="1957">
        <f>SUM(BG9:BG33)</f>
        <v>0</v>
      </c>
      <c r="BH8" s="1484">
        <f>SUM(BH9:BH33)</f>
        <v>0</v>
      </c>
      <c r="BI8" s="1528"/>
      <c r="BJ8" s="1466"/>
      <c r="BK8" s="1957">
        <f>SUM(BK9:BK33)</f>
        <v>0</v>
      </c>
      <c r="BL8" s="1957">
        <f>SUM(BL9:BL33)</f>
        <v>0</v>
      </c>
      <c r="BM8" s="1484">
        <f>SUM(BM9:BM33)</f>
        <v>0</v>
      </c>
      <c r="BN8" s="1528"/>
      <c r="BO8" s="1466"/>
      <c r="BP8" s="1957">
        <f>SUM(BP9:BP33)</f>
        <v>0</v>
      </c>
      <c r="BQ8" s="1957">
        <f>SUM(BQ9:BQ33)</f>
        <v>0</v>
      </c>
      <c r="BR8" s="1484">
        <f>SUM(BR9:BR33)</f>
        <v>0</v>
      </c>
      <c r="BS8" s="1528"/>
      <c r="BT8" s="1466"/>
      <c r="BU8" s="1957">
        <f>SUM(BU9:BU33)</f>
        <v>0</v>
      </c>
      <c r="BV8" s="1957">
        <f>SUM(BV9:BV33)</f>
        <v>0</v>
      </c>
      <c r="BW8" s="1484">
        <f>SUM(BW9:BW33)</f>
        <v>0</v>
      </c>
      <c r="BX8" s="1528"/>
      <c r="BY8" s="1466"/>
      <c r="BZ8" s="1957">
        <f>SUM(BZ9:BZ33)</f>
        <v>0</v>
      </c>
      <c r="CA8" s="1957">
        <f>SUM(CA9:CA33)</f>
        <v>0</v>
      </c>
      <c r="CB8" s="1484">
        <f>SUM(CB9:CB33)</f>
        <v>0</v>
      </c>
      <c r="CC8" s="1528"/>
      <c r="CD8" s="1466"/>
      <c r="CE8" s="1957">
        <f>SUM(CE9:CE33)</f>
        <v>0</v>
      </c>
      <c r="CF8" s="1957">
        <f>SUM(CF9:CF33)</f>
        <v>0</v>
      </c>
      <c r="CG8" s="1484">
        <f>SUM(CG9:CG33)</f>
        <v>0</v>
      </c>
      <c r="CH8" s="1528"/>
      <c r="CI8" s="1466"/>
      <c r="CJ8" s="1957">
        <f>SUM(CJ9:CJ33)</f>
        <v>104096.490864996</v>
      </c>
      <c r="CK8" s="1957">
        <f>SUM(CK9:CK33)</f>
        <v>382960.15775058302</v>
      </c>
      <c r="CL8" s="1484">
        <f>SUM(CL9:CL33)</f>
        <v>487056.648615579</v>
      </c>
      <c r="CM8" s="1528"/>
      <c r="CN8" s="1466"/>
      <c r="CP8" s="1484">
        <f>SUM(CP9:CP33)</f>
        <v>19810245.339600001</v>
      </c>
      <c r="CQ8" s="1484">
        <f>SUM(CQ9:CQ33)</f>
        <v>473776.92861557903</v>
      </c>
      <c r="CR8" s="1484">
        <f>SUM(CR9:CR33)</f>
        <v>19336468.410984419</v>
      </c>
      <c r="CT8" s="2624"/>
      <c r="CU8" s="4620"/>
    </row>
    <row r="9" spans="1:99" s="1396" customFormat="1" ht="13.8" outlineLevel="2">
      <c r="A9" s="1571"/>
      <c r="B9" s="1424" t="s">
        <v>74</v>
      </c>
      <c r="C9" s="3341"/>
      <c r="D9" s="3341"/>
      <c r="E9" s="3349">
        <f t="shared" ref="E9:E32" si="19">C9+D9</f>
        <v>0</v>
      </c>
      <c r="F9" s="4428" t="e">
        <f t="shared" si="16"/>
        <v>#DIV/0!</v>
      </c>
      <c r="G9" s="2047"/>
      <c r="H9" s="3341"/>
      <c r="I9" s="3341"/>
      <c r="J9" s="3349">
        <f t="shared" ref="J9:J32" si="20">H9+I9</f>
        <v>0</v>
      </c>
      <c r="K9" s="4428" t="e">
        <f>J9/J$89</f>
        <v>#DIV/0!</v>
      </c>
      <c r="L9" s="2047"/>
      <c r="M9" s="3341"/>
      <c r="N9" s="3341"/>
      <c r="O9" s="3349">
        <f t="shared" ref="O9:O32" si="21">M9+N9</f>
        <v>0</v>
      </c>
      <c r="P9" s="4428" t="e">
        <f t="shared" ref="P9:P33" si="22">O9/O$89</f>
        <v>#DIV/0!</v>
      </c>
      <c r="Q9" s="2047"/>
      <c r="R9" s="3342">
        <f t="shared" ref="R9:S33" si="23">M9+H9+C9</f>
        <v>0</v>
      </c>
      <c r="S9" s="3342">
        <f t="shared" si="23"/>
        <v>0</v>
      </c>
      <c r="T9" s="2012">
        <f t="shared" ref="T9:T33" si="24">R9+S9</f>
        <v>0</v>
      </c>
      <c r="U9" s="2047"/>
      <c r="V9" s="2047"/>
      <c r="W9" s="3342">
        <f t="shared" ref="W9:X33" si="25">AB9+AG9+AL9+AV9+BA9+BF9+BK9+BP9+BU9+BZ9+CE9+AQ9</f>
        <v>90816.770864995997</v>
      </c>
      <c r="X9" s="3342">
        <f t="shared" si="25"/>
        <v>322960.15775058302</v>
      </c>
      <c r="Y9" s="2012">
        <f t="shared" ref="Y9:Y33" si="26">W9+X9</f>
        <v>413776.92861557903</v>
      </c>
      <c r="Z9" s="2047"/>
      <c r="AA9" s="2047"/>
      <c r="AB9" s="3341"/>
      <c r="AC9" s="3341"/>
      <c r="AD9" s="3349">
        <f t="shared" ref="AD9:AD32" si="27">AB9+AC9</f>
        <v>0</v>
      </c>
      <c r="AE9" s="4428" t="e">
        <f>AD9/AD$89</f>
        <v>#DIV/0!</v>
      </c>
      <c r="AF9" s="2047"/>
      <c r="AG9" s="3341"/>
      <c r="AH9" s="3341"/>
      <c r="AI9" s="3349">
        <f t="shared" ref="AI9:AI32" si="28">AG9+AH9</f>
        <v>0</v>
      </c>
      <c r="AJ9" s="4428" t="e">
        <f>AI9/AI$89</f>
        <v>#DIV/0!</v>
      </c>
      <c r="AK9" s="2047"/>
      <c r="AL9" s="3341"/>
      <c r="AM9" s="3341"/>
      <c r="AN9" s="3349">
        <f t="shared" ref="AN9:AN32" si="29">AL9+AM9</f>
        <v>0</v>
      </c>
      <c r="AO9" s="4428" t="e">
        <f>AN9/AN$89</f>
        <v>#DIV/0!</v>
      </c>
      <c r="AP9" s="2047"/>
      <c r="AQ9" s="3341"/>
      <c r="AR9" s="3341"/>
      <c r="AS9" s="3349">
        <f t="shared" ref="AS9:AS32" si="30">AQ9+AR9</f>
        <v>0</v>
      </c>
      <c r="AT9" s="4428" t="e">
        <f>AS9/AS$89</f>
        <v>#DIV/0!</v>
      </c>
      <c r="AU9" s="2047"/>
      <c r="AV9" s="3341"/>
      <c r="AW9" s="3341"/>
      <c r="AX9" s="3349">
        <f t="shared" ref="AX9:AX32" si="31">AV9+AW9</f>
        <v>0</v>
      </c>
      <c r="AY9" s="4428" t="e">
        <f>AX9/AX$89</f>
        <v>#DIV/0!</v>
      </c>
      <c r="AZ9" s="2047"/>
      <c r="BA9" s="3349">
        <v>90816.770864995997</v>
      </c>
      <c r="BB9" s="3349">
        <v>322960.15775058302</v>
      </c>
      <c r="BC9" s="3349">
        <f t="shared" ref="BC9:BC32" si="32">BA9+BB9</f>
        <v>413776.92861557903</v>
      </c>
      <c r="BD9" s="4428">
        <f>BC9/BC$89</f>
        <v>0.76022466310352288</v>
      </c>
      <c r="BE9" s="2047" t="s">
        <v>2149</v>
      </c>
      <c r="BF9" s="3341"/>
      <c r="BG9" s="3341"/>
      <c r="BH9" s="3349">
        <f t="shared" ref="BH9:BH32" si="33">BF9+BG9</f>
        <v>0</v>
      </c>
      <c r="BI9" s="4428" t="e">
        <f>BH9/BH$89</f>
        <v>#DIV/0!</v>
      </c>
      <c r="BJ9" s="2047"/>
      <c r="BK9" s="3341"/>
      <c r="BL9" s="3341"/>
      <c r="BM9" s="3349">
        <f t="shared" ref="BM9:BM32" si="34">BK9+BL9</f>
        <v>0</v>
      </c>
      <c r="BN9" s="4428" t="e">
        <f>BM9/BM$89</f>
        <v>#DIV/0!</v>
      </c>
      <c r="BO9" s="2047"/>
      <c r="BP9" s="3341"/>
      <c r="BQ9" s="3341"/>
      <c r="BR9" s="3349">
        <f t="shared" ref="BR9:BR32" si="35">BP9+BQ9</f>
        <v>0</v>
      </c>
      <c r="BS9" s="4428" t="e">
        <f>BR9/BR$89</f>
        <v>#DIV/0!</v>
      </c>
      <c r="BT9" s="2047"/>
      <c r="BU9" s="3341"/>
      <c r="BV9" s="3341"/>
      <c r="BW9" s="3349">
        <f t="shared" ref="BW9:BW32" si="36">BU9+BV9</f>
        <v>0</v>
      </c>
      <c r="BX9" s="4428" t="e">
        <f>BW9/BW$89</f>
        <v>#DIV/0!</v>
      </c>
      <c r="BY9" s="2047"/>
      <c r="BZ9" s="3341"/>
      <c r="CA9" s="3341"/>
      <c r="CB9" s="3349">
        <f t="shared" ref="CB9:CB32" si="37">BZ9+CA9</f>
        <v>0</v>
      </c>
      <c r="CC9" s="4428" t="e">
        <f>CB9/CB$89</f>
        <v>#DIV/0!</v>
      </c>
      <c r="CD9" s="2047"/>
      <c r="CE9" s="3341"/>
      <c r="CF9" s="3341"/>
      <c r="CG9" s="3349">
        <f t="shared" ref="CG9:CG32" si="38">CE9+CF9</f>
        <v>0</v>
      </c>
      <c r="CH9" s="4428" t="e">
        <f>CG9/CG$89</f>
        <v>#DIV/0!</v>
      </c>
      <c r="CI9" s="2047"/>
      <c r="CJ9" s="3341">
        <f t="shared" ref="CJ9:CK33" si="39">C9+H9+M9+W9</f>
        <v>90816.770864995997</v>
      </c>
      <c r="CK9" s="3341">
        <f t="shared" si="39"/>
        <v>322960.15775058302</v>
      </c>
      <c r="CL9" s="3349">
        <f>CJ9+CK9*1</f>
        <v>413776.92861557903</v>
      </c>
      <c r="CM9" s="4428">
        <f t="shared" ref="CM9:CM33" si="40">CL9/$CL$89</f>
        <v>0.76022466310352288</v>
      </c>
      <c r="CN9" s="1434"/>
      <c r="CP9" s="5177">
        <f>(441145.92+30000+184000-51024.48)*CT4</f>
        <v>4228850.08</v>
      </c>
      <c r="CQ9" s="2012">
        <f t="shared" ref="CQ9:CQ32" si="41">CL9</f>
        <v>413776.92861557903</v>
      </c>
      <c r="CR9" s="5177">
        <f>CP9-SUM(CQ9:CQ11)</f>
        <v>3815073.1513844212</v>
      </c>
      <c r="CS9" s="3307"/>
      <c r="CT9" s="3443"/>
      <c r="CU9" s="4621"/>
    </row>
    <row r="10" spans="1:99" s="1396" customFormat="1" ht="13.8" outlineLevel="2">
      <c r="A10" s="1571"/>
      <c r="B10" s="1424" t="s">
        <v>72</v>
      </c>
      <c r="C10" s="3341"/>
      <c r="D10" s="3341"/>
      <c r="E10" s="3349">
        <f t="shared" si="19"/>
        <v>0</v>
      </c>
      <c r="F10" s="4428" t="e">
        <f t="shared" si="16"/>
        <v>#DIV/0!</v>
      </c>
      <c r="G10" s="2047"/>
      <c r="H10" s="3341"/>
      <c r="I10" s="3341"/>
      <c r="J10" s="3349">
        <f t="shared" si="20"/>
        <v>0</v>
      </c>
      <c r="K10" s="4428" t="e">
        <f t="shared" ref="K10:K33" si="42">J10/J$89</f>
        <v>#DIV/0!</v>
      </c>
      <c r="L10" s="2047"/>
      <c r="M10" s="3341"/>
      <c r="N10" s="3341"/>
      <c r="O10" s="3349">
        <f t="shared" si="21"/>
        <v>0</v>
      </c>
      <c r="P10" s="4428" t="e">
        <f t="shared" si="22"/>
        <v>#DIV/0!</v>
      </c>
      <c r="Q10" s="2047"/>
      <c r="R10" s="3342">
        <f t="shared" si="23"/>
        <v>0</v>
      </c>
      <c r="S10" s="3342">
        <f t="shared" si="23"/>
        <v>0</v>
      </c>
      <c r="T10" s="2012">
        <f t="shared" si="24"/>
        <v>0</v>
      </c>
      <c r="U10" s="2047"/>
      <c r="V10" s="2047"/>
      <c r="W10" s="3342">
        <f t="shared" si="25"/>
        <v>0</v>
      </c>
      <c r="X10" s="3342">
        <f t="shared" si="25"/>
        <v>0</v>
      </c>
      <c r="Y10" s="2012">
        <f t="shared" si="26"/>
        <v>0</v>
      </c>
      <c r="Z10" s="2047"/>
      <c r="AA10" s="2047"/>
      <c r="AB10" s="3341"/>
      <c r="AC10" s="3341"/>
      <c r="AD10" s="3349">
        <f t="shared" si="27"/>
        <v>0</v>
      </c>
      <c r="AE10" s="4428" t="e">
        <f t="shared" ref="AE10:AE33" si="43">AD10/AD$89</f>
        <v>#DIV/0!</v>
      </c>
      <c r="AF10" s="2047"/>
      <c r="AG10" s="3341"/>
      <c r="AH10" s="3341"/>
      <c r="AI10" s="3349">
        <f t="shared" si="28"/>
        <v>0</v>
      </c>
      <c r="AJ10" s="4428" t="e">
        <f t="shared" ref="AJ10:AJ33" si="44">AI10/AI$89</f>
        <v>#DIV/0!</v>
      </c>
      <c r="AK10" s="2047"/>
      <c r="AL10" s="3341"/>
      <c r="AM10" s="3341"/>
      <c r="AN10" s="3349">
        <f t="shared" si="29"/>
        <v>0</v>
      </c>
      <c r="AO10" s="4428" t="e">
        <f t="shared" ref="AO10:AO33" si="45">AN10/AN$89</f>
        <v>#DIV/0!</v>
      </c>
      <c r="AP10" s="2047"/>
      <c r="AQ10" s="3341"/>
      <c r="AR10" s="3341"/>
      <c r="AS10" s="3349">
        <f t="shared" si="30"/>
        <v>0</v>
      </c>
      <c r="AT10" s="4428" t="e">
        <f t="shared" ref="AT10:AT33" si="46">AS10/AS$89</f>
        <v>#DIV/0!</v>
      </c>
      <c r="AU10" s="2047"/>
      <c r="AV10" s="3341"/>
      <c r="AW10" s="3341"/>
      <c r="AX10" s="3349">
        <f t="shared" si="31"/>
        <v>0</v>
      </c>
      <c r="AY10" s="4428" t="e">
        <f t="shared" ref="AY10:AY33" si="47">AX10/AX$89</f>
        <v>#DIV/0!</v>
      </c>
      <c r="AZ10" s="2047"/>
      <c r="BA10" s="3349"/>
      <c r="BB10" s="3349"/>
      <c r="BC10" s="3349">
        <f t="shared" si="32"/>
        <v>0</v>
      </c>
      <c r="BD10" s="4428">
        <f t="shared" ref="BD10:BD33" si="48">BC10/BC$89</f>
        <v>0</v>
      </c>
      <c r="BE10" s="2047"/>
      <c r="BF10" s="3341"/>
      <c r="BG10" s="3341"/>
      <c r="BH10" s="3349">
        <f t="shared" si="33"/>
        <v>0</v>
      </c>
      <c r="BI10" s="4428" t="e">
        <f t="shared" ref="BI10:BI33" si="49">BH10/BH$89</f>
        <v>#DIV/0!</v>
      </c>
      <c r="BJ10" s="2047"/>
      <c r="BK10" s="3341"/>
      <c r="BL10" s="3341"/>
      <c r="BM10" s="3349">
        <f t="shared" si="34"/>
        <v>0</v>
      </c>
      <c r="BN10" s="4428" t="e">
        <f t="shared" ref="BN10:BN33" si="50">BM10/BM$89</f>
        <v>#DIV/0!</v>
      </c>
      <c r="BO10" s="2047"/>
      <c r="BP10" s="3341"/>
      <c r="BQ10" s="3341"/>
      <c r="BR10" s="3349">
        <f t="shared" si="35"/>
        <v>0</v>
      </c>
      <c r="BS10" s="4428" t="e">
        <f t="shared" ref="BS10:BS33" si="51">BR10/BR$89</f>
        <v>#DIV/0!</v>
      </c>
      <c r="BT10" s="2047"/>
      <c r="BU10" s="3341"/>
      <c r="BV10" s="3341"/>
      <c r="BW10" s="3349">
        <f t="shared" si="36"/>
        <v>0</v>
      </c>
      <c r="BX10" s="4428" t="e">
        <f t="shared" ref="BX10:BX33" si="52">BW10/BW$89</f>
        <v>#DIV/0!</v>
      </c>
      <c r="BY10" s="2047"/>
      <c r="BZ10" s="3341"/>
      <c r="CA10" s="3341"/>
      <c r="CB10" s="3349">
        <f t="shared" si="37"/>
        <v>0</v>
      </c>
      <c r="CC10" s="4428" t="e">
        <f t="shared" ref="CC10:CC33" si="53">CB10/CB$89</f>
        <v>#DIV/0!</v>
      </c>
      <c r="CD10" s="2047"/>
      <c r="CE10" s="3341"/>
      <c r="CF10" s="3341"/>
      <c r="CG10" s="3349">
        <f t="shared" si="38"/>
        <v>0</v>
      </c>
      <c r="CH10" s="4428" t="e">
        <f t="shared" ref="CH10:CH33" si="54">CG10/CG$89</f>
        <v>#DIV/0!</v>
      </c>
      <c r="CI10" s="2047"/>
      <c r="CJ10" s="3341">
        <f t="shared" si="39"/>
        <v>0</v>
      </c>
      <c r="CK10" s="3341">
        <f t="shared" si="39"/>
        <v>0</v>
      </c>
      <c r="CL10" s="3349">
        <f t="shared" ref="CL10:CL33" si="55">CJ10+CK10*1</f>
        <v>0</v>
      </c>
      <c r="CM10" s="4428">
        <f t="shared" si="40"/>
        <v>0</v>
      </c>
      <c r="CN10" s="1434"/>
      <c r="CP10" s="5178"/>
      <c r="CQ10" s="2012">
        <f t="shared" si="41"/>
        <v>0</v>
      </c>
      <c r="CR10" s="5178"/>
      <c r="CT10" s="2624"/>
    </row>
    <row r="11" spans="1:99" s="1396" customFormat="1" ht="13.8" outlineLevel="2">
      <c r="A11" s="1571"/>
      <c r="B11" s="1424" t="s">
        <v>69</v>
      </c>
      <c r="C11" s="3341"/>
      <c r="D11" s="3341"/>
      <c r="E11" s="3349">
        <f t="shared" si="19"/>
        <v>0</v>
      </c>
      <c r="F11" s="4428" t="e">
        <f t="shared" si="16"/>
        <v>#DIV/0!</v>
      </c>
      <c r="G11" s="1055"/>
      <c r="H11" s="3341"/>
      <c r="I11" s="3341"/>
      <c r="J11" s="3349">
        <f t="shared" si="20"/>
        <v>0</v>
      </c>
      <c r="K11" s="4428" t="e">
        <f t="shared" si="42"/>
        <v>#DIV/0!</v>
      </c>
      <c r="L11" s="1055"/>
      <c r="M11" s="3341"/>
      <c r="N11" s="3341"/>
      <c r="O11" s="3349">
        <f t="shared" si="21"/>
        <v>0</v>
      </c>
      <c r="P11" s="4428" t="e">
        <f t="shared" si="22"/>
        <v>#DIV/0!</v>
      </c>
      <c r="Q11" s="1055"/>
      <c r="R11" s="3342">
        <f t="shared" si="23"/>
        <v>0</v>
      </c>
      <c r="S11" s="3342">
        <f t="shared" si="23"/>
        <v>0</v>
      </c>
      <c r="T11" s="2012">
        <f t="shared" si="24"/>
        <v>0</v>
      </c>
      <c r="U11" s="1055"/>
      <c r="V11" s="1055"/>
      <c r="W11" s="3342">
        <f t="shared" si="25"/>
        <v>0</v>
      </c>
      <c r="X11" s="3342">
        <f t="shared" si="25"/>
        <v>0</v>
      </c>
      <c r="Y11" s="2012">
        <f t="shared" si="26"/>
        <v>0</v>
      </c>
      <c r="Z11" s="1055"/>
      <c r="AA11" s="1055"/>
      <c r="AB11" s="3341"/>
      <c r="AC11" s="3341"/>
      <c r="AD11" s="3349">
        <f t="shared" si="27"/>
        <v>0</v>
      </c>
      <c r="AE11" s="4428" t="e">
        <f t="shared" si="43"/>
        <v>#DIV/0!</v>
      </c>
      <c r="AF11" s="1055"/>
      <c r="AG11" s="3341"/>
      <c r="AH11" s="3341"/>
      <c r="AI11" s="3349">
        <f t="shared" si="28"/>
        <v>0</v>
      </c>
      <c r="AJ11" s="4428" t="e">
        <f t="shared" si="44"/>
        <v>#DIV/0!</v>
      </c>
      <c r="AK11" s="1055"/>
      <c r="AL11" s="3341"/>
      <c r="AM11" s="3341"/>
      <c r="AN11" s="3349">
        <f t="shared" si="29"/>
        <v>0</v>
      </c>
      <c r="AO11" s="4428" t="e">
        <f t="shared" si="45"/>
        <v>#DIV/0!</v>
      </c>
      <c r="AP11" s="1055"/>
      <c r="AQ11" s="3341"/>
      <c r="AR11" s="3341"/>
      <c r="AS11" s="3349">
        <f t="shared" si="30"/>
        <v>0</v>
      </c>
      <c r="AT11" s="4428" t="e">
        <f t="shared" si="46"/>
        <v>#DIV/0!</v>
      </c>
      <c r="AU11" s="1055"/>
      <c r="AV11" s="3341"/>
      <c r="AW11" s="3341"/>
      <c r="AX11" s="3349">
        <f t="shared" si="31"/>
        <v>0</v>
      </c>
      <c r="AY11" s="4428" t="e">
        <f t="shared" si="47"/>
        <v>#DIV/0!</v>
      </c>
      <c r="AZ11" s="1055"/>
      <c r="BA11" s="3349"/>
      <c r="BB11" s="3349"/>
      <c r="BC11" s="3349">
        <f t="shared" si="32"/>
        <v>0</v>
      </c>
      <c r="BD11" s="4428">
        <f t="shared" si="48"/>
        <v>0</v>
      </c>
      <c r="BE11" s="1055"/>
      <c r="BF11" s="3341"/>
      <c r="BG11" s="3341"/>
      <c r="BH11" s="3349">
        <f t="shared" si="33"/>
        <v>0</v>
      </c>
      <c r="BI11" s="4428" t="e">
        <f t="shared" si="49"/>
        <v>#DIV/0!</v>
      </c>
      <c r="BJ11" s="1055"/>
      <c r="BK11" s="3341"/>
      <c r="BL11" s="3341"/>
      <c r="BM11" s="3349">
        <f t="shared" si="34"/>
        <v>0</v>
      </c>
      <c r="BN11" s="4428" t="e">
        <f t="shared" si="50"/>
        <v>#DIV/0!</v>
      </c>
      <c r="BO11" s="1055"/>
      <c r="BP11" s="3341"/>
      <c r="BQ11" s="3341"/>
      <c r="BR11" s="3349">
        <f t="shared" si="35"/>
        <v>0</v>
      </c>
      <c r="BS11" s="4428" t="e">
        <f t="shared" si="51"/>
        <v>#DIV/0!</v>
      </c>
      <c r="BT11" s="1055"/>
      <c r="BU11" s="3341"/>
      <c r="BV11" s="3341"/>
      <c r="BW11" s="3349">
        <f t="shared" si="36"/>
        <v>0</v>
      </c>
      <c r="BX11" s="4428" t="e">
        <f t="shared" si="52"/>
        <v>#DIV/0!</v>
      </c>
      <c r="BY11" s="1055"/>
      <c r="BZ11" s="3341"/>
      <c r="CA11" s="3341"/>
      <c r="CB11" s="3349">
        <f t="shared" si="37"/>
        <v>0</v>
      </c>
      <c r="CC11" s="4428" t="e">
        <f t="shared" si="53"/>
        <v>#DIV/0!</v>
      </c>
      <c r="CD11" s="1055"/>
      <c r="CE11" s="3341"/>
      <c r="CF11" s="3341"/>
      <c r="CG11" s="3349">
        <f t="shared" si="38"/>
        <v>0</v>
      </c>
      <c r="CH11" s="4428" t="e">
        <f t="shared" si="54"/>
        <v>#DIV/0!</v>
      </c>
      <c r="CI11" s="1055"/>
      <c r="CJ11" s="3341">
        <f t="shared" si="39"/>
        <v>0</v>
      </c>
      <c r="CK11" s="3341">
        <f t="shared" si="39"/>
        <v>0</v>
      </c>
      <c r="CL11" s="3349">
        <f t="shared" si="55"/>
        <v>0</v>
      </c>
      <c r="CM11" s="4428">
        <f t="shared" si="40"/>
        <v>0</v>
      </c>
      <c r="CN11" s="1434"/>
      <c r="CP11" s="5179"/>
      <c r="CQ11" s="2012">
        <f t="shared" si="41"/>
        <v>0</v>
      </c>
      <c r="CR11" s="5179"/>
      <c r="CT11" s="2624"/>
    </row>
    <row r="12" spans="1:99" s="1396" customFormat="1" ht="13.8" outlineLevel="2">
      <c r="A12" s="1571"/>
      <c r="B12" s="1424" t="s">
        <v>73</v>
      </c>
      <c r="C12" s="3341"/>
      <c r="D12" s="3341"/>
      <c r="E12" s="3349">
        <f t="shared" si="19"/>
        <v>0</v>
      </c>
      <c r="F12" s="4428" t="e">
        <f t="shared" si="16"/>
        <v>#DIV/0!</v>
      </c>
      <c r="G12" s="1055"/>
      <c r="H12" s="3341"/>
      <c r="I12" s="3341"/>
      <c r="J12" s="3349">
        <f t="shared" si="20"/>
        <v>0</v>
      </c>
      <c r="K12" s="4428" t="e">
        <f t="shared" si="42"/>
        <v>#DIV/0!</v>
      </c>
      <c r="L12" s="1055"/>
      <c r="M12" s="3341"/>
      <c r="N12" s="3341"/>
      <c r="O12" s="3349">
        <f t="shared" si="21"/>
        <v>0</v>
      </c>
      <c r="P12" s="4428" t="e">
        <f t="shared" si="22"/>
        <v>#DIV/0!</v>
      </c>
      <c r="Q12" s="1055"/>
      <c r="R12" s="3342">
        <f t="shared" si="23"/>
        <v>0</v>
      </c>
      <c r="S12" s="3342">
        <f t="shared" si="23"/>
        <v>0</v>
      </c>
      <c r="T12" s="2012">
        <f t="shared" si="24"/>
        <v>0</v>
      </c>
      <c r="U12" s="1055"/>
      <c r="V12" s="1055"/>
      <c r="W12" s="3342">
        <f t="shared" si="25"/>
        <v>0</v>
      </c>
      <c r="X12" s="3342">
        <f t="shared" si="25"/>
        <v>0</v>
      </c>
      <c r="Y12" s="2012">
        <f t="shared" si="26"/>
        <v>0</v>
      </c>
      <c r="Z12" s="1055"/>
      <c r="AA12" s="1055"/>
      <c r="AB12" s="3341"/>
      <c r="AC12" s="3341"/>
      <c r="AD12" s="3349">
        <f t="shared" si="27"/>
        <v>0</v>
      </c>
      <c r="AE12" s="4428" t="e">
        <f t="shared" si="43"/>
        <v>#DIV/0!</v>
      </c>
      <c r="AF12" s="1055"/>
      <c r="AG12" s="3341"/>
      <c r="AH12" s="3341"/>
      <c r="AI12" s="3349">
        <f t="shared" si="28"/>
        <v>0</v>
      </c>
      <c r="AJ12" s="4428" t="e">
        <f t="shared" si="44"/>
        <v>#DIV/0!</v>
      </c>
      <c r="AK12" s="1055"/>
      <c r="AL12" s="3341"/>
      <c r="AM12" s="3341"/>
      <c r="AN12" s="3349">
        <f t="shared" si="29"/>
        <v>0</v>
      </c>
      <c r="AO12" s="4428" t="e">
        <f t="shared" si="45"/>
        <v>#DIV/0!</v>
      </c>
      <c r="AP12" s="1055"/>
      <c r="AQ12" s="3341"/>
      <c r="AR12" s="3341"/>
      <c r="AS12" s="3349">
        <f t="shared" si="30"/>
        <v>0</v>
      </c>
      <c r="AT12" s="4428" t="e">
        <f t="shared" si="46"/>
        <v>#DIV/0!</v>
      </c>
      <c r="AU12" s="1055"/>
      <c r="AV12" s="3341"/>
      <c r="AW12" s="3341"/>
      <c r="AX12" s="3349">
        <f t="shared" si="31"/>
        <v>0</v>
      </c>
      <c r="AY12" s="4428" t="e">
        <f t="shared" si="47"/>
        <v>#DIV/0!</v>
      </c>
      <c r="AZ12" s="1055"/>
      <c r="BA12" s="3349"/>
      <c r="BB12" s="3349"/>
      <c r="BC12" s="3349">
        <f t="shared" si="32"/>
        <v>0</v>
      </c>
      <c r="BD12" s="4428">
        <f t="shared" si="48"/>
        <v>0</v>
      </c>
      <c r="BE12" s="1055"/>
      <c r="BF12" s="3341"/>
      <c r="BG12" s="3341"/>
      <c r="BH12" s="3349">
        <f t="shared" si="33"/>
        <v>0</v>
      </c>
      <c r="BI12" s="4428" t="e">
        <f t="shared" si="49"/>
        <v>#DIV/0!</v>
      </c>
      <c r="BJ12" s="1055"/>
      <c r="BK12" s="3341"/>
      <c r="BL12" s="3341"/>
      <c r="BM12" s="3349">
        <f t="shared" si="34"/>
        <v>0</v>
      </c>
      <c r="BN12" s="4428" t="e">
        <f t="shared" si="50"/>
        <v>#DIV/0!</v>
      </c>
      <c r="BO12" s="1055"/>
      <c r="BP12" s="3341"/>
      <c r="BQ12" s="3341"/>
      <c r="BR12" s="3349">
        <f t="shared" si="35"/>
        <v>0</v>
      </c>
      <c r="BS12" s="4428" t="e">
        <f t="shared" si="51"/>
        <v>#DIV/0!</v>
      </c>
      <c r="BT12" s="1055"/>
      <c r="BU12" s="3341"/>
      <c r="BV12" s="3341"/>
      <c r="BW12" s="3349">
        <f t="shared" si="36"/>
        <v>0</v>
      </c>
      <c r="BX12" s="4428" t="e">
        <f t="shared" si="52"/>
        <v>#DIV/0!</v>
      </c>
      <c r="BY12" s="1055"/>
      <c r="BZ12" s="3341"/>
      <c r="CA12" s="3341"/>
      <c r="CB12" s="3349">
        <f t="shared" si="37"/>
        <v>0</v>
      </c>
      <c r="CC12" s="4428" t="e">
        <f t="shared" si="53"/>
        <v>#DIV/0!</v>
      </c>
      <c r="CD12" s="1055"/>
      <c r="CE12" s="3341"/>
      <c r="CF12" s="3341"/>
      <c r="CG12" s="3349">
        <f t="shared" si="38"/>
        <v>0</v>
      </c>
      <c r="CH12" s="4428" t="e">
        <f t="shared" si="54"/>
        <v>#DIV/0!</v>
      </c>
      <c r="CI12" s="1055"/>
      <c r="CJ12" s="3341">
        <f t="shared" si="39"/>
        <v>0</v>
      </c>
      <c r="CK12" s="3341">
        <f t="shared" si="39"/>
        <v>0</v>
      </c>
      <c r="CL12" s="3349">
        <f t="shared" si="55"/>
        <v>0</v>
      </c>
      <c r="CM12" s="4428">
        <f t="shared" si="40"/>
        <v>0</v>
      </c>
      <c r="CN12" s="1434"/>
      <c r="CP12" s="4615"/>
      <c r="CQ12" s="2012">
        <f t="shared" si="41"/>
        <v>0</v>
      </c>
      <c r="CR12" s="4615">
        <f t="shared" ref="CR12:CR33" si="56">CP12-CQ12</f>
        <v>0</v>
      </c>
      <c r="CT12" s="2624"/>
    </row>
    <row r="13" spans="1:99" s="1396" customFormat="1" ht="13.8" outlineLevel="2">
      <c r="A13" s="1571"/>
      <c r="B13" s="1424" t="s">
        <v>71</v>
      </c>
      <c r="C13" s="3341"/>
      <c r="D13" s="3341"/>
      <c r="E13" s="3349">
        <f t="shared" si="19"/>
        <v>0</v>
      </c>
      <c r="F13" s="4428" t="e">
        <f t="shared" si="16"/>
        <v>#DIV/0!</v>
      </c>
      <c r="G13" s="1055"/>
      <c r="H13" s="3341"/>
      <c r="I13" s="3341"/>
      <c r="J13" s="3349">
        <f t="shared" si="20"/>
        <v>0</v>
      </c>
      <c r="K13" s="4428" t="e">
        <f t="shared" si="42"/>
        <v>#DIV/0!</v>
      </c>
      <c r="L13" s="1055"/>
      <c r="M13" s="3341"/>
      <c r="N13" s="3341"/>
      <c r="O13" s="3349">
        <f t="shared" si="21"/>
        <v>0</v>
      </c>
      <c r="P13" s="4428" t="e">
        <f t="shared" si="22"/>
        <v>#DIV/0!</v>
      </c>
      <c r="Q13" s="1055"/>
      <c r="R13" s="3342">
        <f t="shared" si="23"/>
        <v>0</v>
      </c>
      <c r="S13" s="3342">
        <f t="shared" si="23"/>
        <v>0</v>
      </c>
      <c r="T13" s="2012">
        <f t="shared" si="24"/>
        <v>0</v>
      </c>
      <c r="U13" s="1055"/>
      <c r="V13" s="1055"/>
      <c r="W13" s="3342">
        <f t="shared" si="25"/>
        <v>0</v>
      </c>
      <c r="X13" s="3342">
        <f t="shared" si="25"/>
        <v>0</v>
      </c>
      <c r="Y13" s="2012">
        <f t="shared" si="26"/>
        <v>0</v>
      </c>
      <c r="Z13" s="1055"/>
      <c r="AA13" s="1055"/>
      <c r="AB13" s="3341"/>
      <c r="AC13" s="3341"/>
      <c r="AD13" s="3349">
        <f t="shared" si="27"/>
        <v>0</v>
      </c>
      <c r="AE13" s="4428" t="e">
        <f t="shared" si="43"/>
        <v>#DIV/0!</v>
      </c>
      <c r="AF13" s="1055"/>
      <c r="AG13" s="3341"/>
      <c r="AH13" s="3341"/>
      <c r="AI13" s="3349">
        <f t="shared" si="28"/>
        <v>0</v>
      </c>
      <c r="AJ13" s="4428" t="e">
        <f t="shared" si="44"/>
        <v>#DIV/0!</v>
      </c>
      <c r="AK13" s="1055"/>
      <c r="AL13" s="3341"/>
      <c r="AM13" s="3341"/>
      <c r="AN13" s="3349">
        <f t="shared" si="29"/>
        <v>0</v>
      </c>
      <c r="AO13" s="4428" t="e">
        <f t="shared" si="45"/>
        <v>#DIV/0!</v>
      </c>
      <c r="AP13" s="1055"/>
      <c r="AQ13" s="3341"/>
      <c r="AR13" s="3341"/>
      <c r="AS13" s="3349">
        <f t="shared" si="30"/>
        <v>0</v>
      </c>
      <c r="AT13" s="4428" t="e">
        <f t="shared" si="46"/>
        <v>#DIV/0!</v>
      </c>
      <c r="AU13" s="1055"/>
      <c r="AV13" s="3341"/>
      <c r="AW13" s="3341"/>
      <c r="AX13" s="3349">
        <f t="shared" si="31"/>
        <v>0</v>
      </c>
      <c r="AY13" s="4428" t="e">
        <f t="shared" si="47"/>
        <v>#DIV/0!</v>
      </c>
      <c r="AZ13" s="1055"/>
      <c r="BA13" s="3349"/>
      <c r="BB13" s="3349"/>
      <c r="BC13" s="3349">
        <f t="shared" si="32"/>
        <v>0</v>
      </c>
      <c r="BD13" s="4428">
        <f t="shared" si="48"/>
        <v>0</v>
      </c>
      <c r="BE13" s="1055"/>
      <c r="BF13" s="3341"/>
      <c r="BG13" s="3341"/>
      <c r="BH13" s="3349">
        <f t="shared" si="33"/>
        <v>0</v>
      </c>
      <c r="BI13" s="4428" t="e">
        <f t="shared" si="49"/>
        <v>#DIV/0!</v>
      </c>
      <c r="BJ13" s="1055"/>
      <c r="BK13" s="3341"/>
      <c r="BL13" s="3341"/>
      <c r="BM13" s="3349">
        <f t="shared" si="34"/>
        <v>0</v>
      </c>
      <c r="BN13" s="4428" t="e">
        <f t="shared" si="50"/>
        <v>#DIV/0!</v>
      </c>
      <c r="BO13" s="1055"/>
      <c r="BP13" s="3341"/>
      <c r="BQ13" s="3341"/>
      <c r="BR13" s="3349">
        <f t="shared" si="35"/>
        <v>0</v>
      </c>
      <c r="BS13" s="4428" t="e">
        <f t="shared" si="51"/>
        <v>#DIV/0!</v>
      </c>
      <c r="BT13" s="1055"/>
      <c r="BU13" s="3341"/>
      <c r="BV13" s="3341"/>
      <c r="BW13" s="3349">
        <f t="shared" si="36"/>
        <v>0</v>
      </c>
      <c r="BX13" s="4428" t="e">
        <f t="shared" si="52"/>
        <v>#DIV/0!</v>
      </c>
      <c r="BY13" s="1055"/>
      <c r="BZ13" s="3341"/>
      <c r="CA13" s="3341"/>
      <c r="CB13" s="3349">
        <f t="shared" si="37"/>
        <v>0</v>
      </c>
      <c r="CC13" s="4428" t="e">
        <f t="shared" si="53"/>
        <v>#DIV/0!</v>
      </c>
      <c r="CD13" s="1055"/>
      <c r="CE13" s="3341"/>
      <c r="CF13" s="3341"/>
      <c r="CG13" s="3349">
        <f t="shared" si="38"/>
        <v>0</v>
      </c>
      <c r="CH13" s="4428" t="e">
        <f t="shared" si="54"/>
        <v>#DIV/0!</v>
      </c>
      <c r="CI13" s="1055"/>
      <c r="CJ13" s="3341">
        <f t="shared" si="39"/>
        <v>0</v>
      </c>
      <c r="CK13" s="3341">
        <f t="shared" si="39"/>
        <v>0</v>
      </c>
      <c r="CL13" s="3349">
        <f t="shared" si="55"/>
        <v>0</v>
      </c>
      <c r="CM13" s="4428">
        <f t="shared" si="40"/>
        <v>0</v>
      </c>
      <c r="CN13" s="1434"/>
      <c r="CP13" s="4615"/>
      <c r="CQ13" s="2012">
        <f t="shared" si="41"/>
        <v>0</v>
      </c>
      <c r="CR13" s="4615">
        <f t="shared" si="56"/>
        <v>0</v>
      </c>
      <c r="CT13" s="2624"/>
    </row>
    <row r="14" spans="1:99" s="1396" customFormat="1" ht="13.8" outlineLevel="2">
      <c r="A14" s="1571"/>
      <c r="B14" s="1424" t="s">
        <v>70</v>
      </c>
      <c r="C14" s="3341"/>
      <c r="D14" s="3341"/>
      <c r="E14" s="3349">
        <f t="shared" si="19"/>
        <v>0</v>
      </c>
      <c r="F14" s="4428" t="e">
        <f t="shared" si="16"/>
        <v>#DIV/0!</v>
      </c>
      <c r="G14" s="1055"/>
      <c r="H14" s="3341"/>
      <c r="I14" s="3341"/>
      <c r="J14" s="3349">
        <f t="shared" si="20"/>
        <v>0</v>
      </c>
      <c r="K14" s="4428" t="e">
        <f t="shared" si="42"/>
        <v>#DIV/0!</v>
      </c>
      <c r="L14" s="1055"/>
      <c r="M14" s="3341"/>
      <c r="N14" s="3341"/>
      <c r="O14" s="3349">
        <f t="shared" si="21"/>
        <v>0</v>
      </c>
      <c r="P14" s="4428" t="e">
        <f t="shared" si="22"/>
        <v>#DIV/0!</v>
      </c>
      <c r="Q14" s="1055"/>
      <c r="R14" s="3342">
        <f t="shared" si="23"/>
        <v>0</v>
      </c>
      <c r="S14" s="3342">
        <f t="shared" si="23"/>
        <v>0</v>
      </c>
      <c r="T14" s="2012">
        <f t="shared" si="24"/>
        <v>0</v>
      </c>
      <c r="U14" s="1055"/>
      <c r="V14" s="1055"/>
      <c r="W14" s="3342">
        <f t="shared" si="25"/>
        <v>0</v>
      </c>
      <c r="X14" s="3342">
        <f t="shared" si="25"/>
        <v>0</v>
      </c>
      <c r="Y14" s="2012">
        <f t="shared" si="26"/>
        <v>0</v>
      </c>
      <c r="Z14" s="1055"/>
      <c r="AA14" s="1055"/>
      <c r="AB14" s="3341"/>
      <c r="AC14" s="3341"/>
      <c r="AD14" s="3349">
        <f t="shared" si="27"/>
        <v>0</v>
      </c>
      <c r="AE14" s="4428" t="e">
        <f t="shared" si="43"/>
        <v>#DIV/0!</v>
      </c>
      <c r="AF14" s="1055"/>
      <c r="AG14" s="3341"/>
      <c r="AH14" s="3341"/>
      <c r="AI14" s="3349">
        <f t="shared" si="28"/>
        <v>0</v>
      </c>
      <c r="AJ14" s="4428" t="e">
        <f t="shared" si="44"/>
        <v>#DIV/0!</v>
      </c>
      <c r="AK14" s="1055"/>
      <c r="AL14" s="3341"/>
      <c r="AM14" s="3341"/>
      <c r="AN14" s="3349">
        <f t="shared" si="29"/>
        <v>0</v>
      </c>
      <c r="AO14" s="4428" t="e">
        <f t="shared" si="45"/>
        <v>#DIV/0!</v>
      </c>
      <c r="AP14" s="1055"/>
      <c r="AQ14" s="3341"/>
      <c r="AR14" s="3341"/>
      <c r="AS14" s="3349">
        <f t="shared" si="30"/>
        <v>0</v>
      </c>
      <c r="AT14" s="4428" t="e">
        <f t="shared" si="46"/>
        <v>#DIV/0!</v>
      </c>
      <c r="AU14" s="1055"/>
      <c r="AV14" s="3341"/>
      <c r="AW14" s="3341"/>
      <c r="AX14" s="3349">
        <f t="shared" si="31"/>
        <v>0</v>
      </c>
      <c r="AY14" s="4428" t="e">
        <f t="shared" si="47"/>
        <v>#DIV/0!</v>
      </c>
      <c r="AZ14" s="1055"/>
      <c r="BA14" s="3349"/>
      <c r="BB14" s="3349"/>
      <c r="BC14" s="3349">
        <f t="shared" si="32"/>
        <v>0</v>
      </c>
      <c r="BD14" s="4428">
        <f t="shared" si="48"/>
        <v>0</v>
      </c>
      <c r="BE14" s="1055"/>
      <c r="BF14" s="3341"/>
      <c r="BG14" s="3341"/>
      <c r="BH14" s="3349">
        <f t="shared" si="33"/>
        <v>0</v>
      </c>
      <c r="BI14" s="4428" t="e">
        <f t="shared" si="49"/>
        <v>#DIV/0!</v>
      </c>
      <c r="BJ14" s="1055"/>
      <c r="BK14" s="3341"/>
      <c r="BL14" s="3341"/>
      <c r="BM14" s="3349">
        <f t="shared" si="34"/>
        <v>0</v>
      </c>
      <c r="BN14" s="4428" t="e">
        <f t="shared" si="50"/>
        <v>#DIV/0!</v>
      </c>
      <c r="BO14" s="1055"/>
      <c r="BP14" s="3341"/>
      <c r="BQ14" s="3341"/>
      <c r="BR14" s="3349">
        <f t="shared" si="35"/>
        <v>0</v>
      </c>
      <c r="BS14" s="4428" t="e">
        <f t="shared" si="51"/>
        <v>#DIV/0!</v>
      </c>
      <c r="BT14" s="1055"/>
      <c r="BU14" s="3341"/>
      <c r="BV14" s="3341"/>
      <c r="BW14" s="3349">
        <f t="shared" si="36"/>
        <v>0</v>
      </c>
      <c r="BX14" s="4428" t="e">
        <f t="shared" si="52"/>
        <v>#DIV/0!</v>
      </c>
      <c r="BY14" s="1055"/>
      <c r="BZ14" s="3341"/>
      <c r="CA14" s="3341"/>
      <c r="CB14" s="3349">
        <f t="shared" si="37"/>
        <v>0</v>
      </c>
      <c r="CC14" s="4428" t="e">
        <f t="shared" si="53"/>
        <v>#DIV/0!</v>
      </c>
      <c r="CD14" s="1055"/>
      <c r="CE14" s="3341"/>
      <c r="CF14" s="3341"/>
      <c r="CG14" s="3349">
        <f t="shared" si="38"/>
        <v>0</v>
      </c>
      <c r="CH14" s="4428" t="e">
        <f t="shared" si="54"/>
        <v>#DIV/0!</v>
      </c>
      <c r="CI14" s="1055"/>
      <c r="CJ14" s="3341">
        <f t="shared" si="39"/>
        <v>0</v>
      </c>
      <c r="CK14" s="3341">
        <f t="shared" si="39"/>
        <v>0</v>
      </c>
      <c r="CL14" s="3349">
        <f t="shared" si="55"/>
        <v>0</v>
      </c>
      <c r="CM14" s="4428">
        <f t="shared" si="40"/>
        <v>0</v>
      </c>
      <c r="CN14" s="1434"/>
      <c r="CP14" s="4615"/>
      <c r="CQ14" s="2012">
        <f t="shared" si="41"/>
        <v>0</v>
      </c>
      <c r="CR14" s="4615">
        <f t="shared" si="56"/>
        <v>0</v>
      </c>
      <c r="CT14" s="2624"/>
    </row>
    <row r="15" spans="1:99" s="1396" customFormat="1" ht="13.8" outlineLevel="2">
      <c r="A15" s="1571"/>
      <c r="B15" s="4430" t="s">
        <v>20</v>
      </c>
      <c r="C15" s="3341"/>
      <c r="D15" s="3341"/>
      <c r="E15" s="3349">
        <f t="shared" si="19"/>
        <v>0</v>
      </c>
      <c r="F15" s="4428" t="e">
        <f t="shared" si="16"/>
        <v>#DIV/0!</v>
      </c>
      <c r="G15" s="1055"/>
      <c r="H15" s="3341"/>
      <c r="I15" s="3341"/>
      <c r="J15" s="3349">
        <f t="shared" si="20"/>
        <v>0</v>
      </c>
      <c r="K15" s="4428" t="e">
        <f t="shared" si="42"/>
        <v>#DIV/0!</v>
      </c>
      <c r="L15" s="1055"/>
      <c r="M15" s="3341"/>
      <c r="N15" s="3341"/>
      <c r="O15" s="3349">
        <f t="shared" si="21"/>
        <v>0</v>
      </c>
      <c r="P15" s="4428" t="e">
        <f t="shared" si="22"/>
        <v>#DIV/0!</v>
      </c>
      <c r="Q15" s="1055"/>
      <c r="R15" s="3342">
        <f t="shared" si="23"/>
        <v>0</v>
      </c>
      <c r="S15" s="3342">
        <f t="shared" si="23"/>
        <v>0</v>
      </c>
      <c r="T15" s="2012">
        <f t="shared" si="24"/>
        <v>0</v>
      </c>
      <c r="U15" s="1055"/>
      <c r="V15" s="1055"/>
      <c r="W15" s="3342">
        <f t="shared" si="25"/>
        <v>0</v>
      </c>
      <c r="X15" s="3342">
        <f t="shared" si="25"/>
        <v>0</v>
      </c>
      <c r="Y15" s="2012">
        <f t="shared" si="26"/>
        <v>0</v>
      </c>
      <c r="Z15" s="1055"/>
      <c r="AA15" s="1055"/>
      <c r="AB15" s="3341"/>
      <c r="AC15" s="3341"/>
      <c r="AD15" s="3349">
        <f t="shared" si="27"/>
        <v>0</v>
      </c>
      <c r="AE15" s="4428" t="e">
        <f t="shared" si="43"/>
        <v>#DIV/0!</v>
      </c>
      <c r="AF15" s="1055"/>
      <c r="AG15" s="3341"/>
      <c r="AH15" s="3341"/>
      <c r="AI15" s="3349">
        <f t="shared" si="28"/>
        <v>0</v>
      </c>
      <c r="AJ15" s="4428" t="e">
        <f t="shared" si="44"/>
        <v>#DIV/0!</v>
      </c>
      <c r="AK15" s="1055"/>
      <c r="AL15" s="3341"/>
      <c r="AM15" s="3341"/>
      <c r="AN15" s="3349">
        <f t="shared" si="29"/>
        <v>0</v>
      </c>
      <c r="AO15" s="4428" t="e">
        <f t="shared" si="45"/>
        <v>#DIV/0!</v>
      </c>
      <c r="AP15" s="1055"/>
      <c r="AQ15" s="3341"/>
      <c r="AR15" s="3341"/>
      <c r="AS15" s="3349">
        <f t="shared" si="30"/>
        <v>0</v>
      </c>
      <c r="AT15" s="4428" t="e">
        <f t="shared" si="46"/>
        <v>#DIV/0!</v>
      </c>
      <c r="AU15" s="1055"/>
      <c r="AV15" s="3341"/>
      <c r="AW15" s="3341"/>
      <c r="AX15" s="3349">
        <f t="shared" si="31"/>
        <v>0</v>
      </c>
      <c r="AY15" s="4428" t="e">
        <f t="shared" si="47"/>
        <v>#DIV/0!</v>
      </c>
      <c r="AZ15" s="1055"/>
      <c r="BA15" s="3349"/>
      <c r="BB15" s="3349"/>
      <c r="BC15" s="3349">
        <f t="shared" si="32"/>
        <v>0</v>
      </c>
      <c r="BD15" s="4428">
        <f t="shared" si="48"/>
        <v>0</v>
      </c>
      <c r="BE15" s="1055"/>
      <c r="BF15" s="3341"/>
      <c r="BG15" s="3341"/>
      <c r="BH15" s="3349">
        <f t="shared" si="33"/>
        <v>0</v>
      </c>
      <c r="BI15" s="4428" t="e">
        <f t="shared" si="49"/>
        <v>#DIV/0!</v>
      </c>
      <c r="BJ15" s="1055"/>
      <c r="BK15" s="3341"/>
      <c r="BL15" s="3341"/>
      <c r="BM15" s="3349">
        <f t="shared" si="34"/>
        <v>0</v>
      </c>
      <c r="BN15" s="4428" t="e">
        <f t="shared" si="50"/>
        <v>#DIV/0!</v>
      </c>
      <c r="BO15" s="1055"/>
      <c r="BP15" s="3341"/>
      <c r="BQ15" s="3341"/>
      <c r="BR15" s="3349">
        <f t="shared" si="35"/>
        <v>0</v>
      </c>
      <c r="BS15" s="4428" t="e">
        <f t="shared" si="51"/>
        <v>#DIV/0!</v>
      </c>
      <c r="BT15" s="1055"/>
      <c r="BU15" s="3341"/>
      <c r="BV15" s="3341"/>
      <c r="BW15" s="3349">
        <f t="shared" si="36"/>
        <v>0</v>
      </c>
      <c r="BX15" s="4428" t="e">
        <f t="shared" si="52"/>
        <v>#DIV/0!</v>
      </c>
      <c r="BY15" s="1055"/>
      <c r="BZ15" s="3341"/>
      <c r="CA15" s="3341"/>
      <c r="CB15" s="3349">
        <f t="shared" si="37"/>
        <v>0</v>
      </c>
      <c r="CC15" s="4428" t="e">
        <f t="shared" si="53"/>
        <v>#DIV/0!</v>
      </c>
      <c r="CD15" s="1055"/>
      <c r="CE15" s="3341"/>
      <c r="CF15" s="3341"/>
      <c r="CG15" s="3349">
        <f t="shared" si="38"/>
        <v>0</v>
      </c>
      <c r="CH15" s="4428" t="e">
        <f t="shared" si="54"/>
        <v>#DIV/0!</v>
      </c>
      <c r="CI15" s="1055"/>
      <c r="CJ15" s="3341">
        <f t="shared" si="39"/>
        <v>0</v>
      </c>
      <c r="CK15" s="3341">
        <f t="shared" si="39"/>
        <v>0</v>
      </c>
      <c r="CL15" s="3349">
        <f t="shared" si="55"/>
        <v>0</v>
      </c>
      <c r="CM15" s="4428">
        <f t="shared" si="40"/>
        <v>0</v>
      </c>
      <c r="CN15" s="1434"/>
      <c r="CP15" s="4615"/>
      <c r="CQ15" s="2012">
        <f t="shared" si="41"/>
        <v>0</v>
      </c>
      <c r="CR15" s="4615">
        <f t="shared" si="56"/>
        <v>0</v>
      </c>
      <c r="CT15" s="2624"/>
    </row>
    <row r="16" spans="1:99" s="1396" customFormat="1" ht="13.8" outlineLevel="2">
      <c r="A16" s="1571"/>
      <c r="B16" s="4430" t="s">
        <v>21</v>
      </c>
      <c r="C16" s="3341"/>
      <c r="D16" s="3341"/>
      <c r="E16" s="3349">
        <f t="shared" si="19"/>
        <v>0</v>
      </c>
      <c r="F16" s="4428" t="e">
        <f t="shared" si="16"/>
        <v>#DIV/0!</v>
      </c>
      <c r="G16" s="1055"/>
      <c r="H16" s="3341"/>
      <c r="I16" s="3341"/>
      <c r="J16" s="3349">
        <f t="shared" si="20"/>
        <v>0</v>
      </c>
      <c r="K16" s="4428" t="e">
        <f t="shared" si="42"/>
        <v>#DIV/0!</v>
      </c>
      <c r="L16" s="1055"/>
      <c r="M16" s="3341"/>
      <c r="N16" s="3341"/>
      <c r="O16" s="3349">
        <f t="shared" si="21"/>
        <v>0</v>
      </c>
      <c r="P16" s="4428" t="e">
        <f t="shared" si="22"/>
        <v>#DIV/0!</v>
      </c>
      <c r="Q16" s="1055"/>
      <c r="R16" s="3342">
        <f t="shared" si="23"/>
        <v>0</v>
      </c>
      <c r="S16" s="3342">
        <f t="shared" si="23"/>
        <v>0</v>
      </c>
      <c r="T16" s="2012">
        <f t="shared" si="24"/>
        <v>0</v>
      </c>
      <c r="U16" s="1055"/>
      <c r="V16" s="1055"/>
      <c r="W16" s="3342">
        <f t="shared" si="25"/>
        <v>0</v>
      </c>
      <c r="X16" s="3342">
        <f t="shared" si="25"/>
        <v>0</v>
      </c>
      <c r="Y16" s="2012">
        <f t="shared" si="26"/>
        <v>0</v>
      </c>
      <c r="Z16" s="1055"/>
      <c r="AA16" s="1055"/>
      <c r="AB16" s="3341"/>
      <c r="AC16" s="3341"/>
      <c r="AD16" s="3349">
        <f t="shared" si="27"/>
        <v>0</v>
      </c>
      <c r="AE16" s="4428" t="e">
        <f t="shared" si="43"/>
        <v>#DIV/0!</v>
      </c>
      <c r="AF16" s="1055"/>
      <c r="AG16" s="3341"/>
      <c r="AH16" s="3341"/>
      <c r="AI16" s="3349">
        <f t="shared" si="28"/>
        <v>0</v>
      </c>
      <c r="AJ16" s="4428" t="e">
        <f t="shared" si="44"/>
        <v>#DIV/0!</v>
      </c>
      <c r="AK16" s="1055"/>
      <c r="AL16" s="3341"/>
      <c r="AM16" s="3341"/>
      <c r="AN16" s="3349">
        <f t="shared" si="29"/>
        <v>0</v>
      </c>
      <c r="AO16" s="4428" t="e">
        <f t="shared" si="45"/>
        <v>#DIV/0!</v>
      </c>
      <c r="AP16" s="1055"/>
      <c r="AQ16" s="3341"/>
      <c r="AR16" s="3341"/>
      <c r="AS16" s="3349">
        <f t="shared" si="30"/>
        <v>0</v>
      </c>
      <c r="AT16" s="4428" t="e">
        <f t="shared" si="46"/>
        <v>#DIV/0!</v>
      </c>
      <c r="AU16" s="1055"/>
      <c r="AV16" s="3341"/>
      <c r="AW16" s="3341"/>
      <c r="AX16" s="3349">
        <f t="shared" si="31"/>
        <v>0</v>
      </c>
      <c r="AY16" s="4428" t="e">
        <f t="shared" si="47"/>
        <v>#DIV/0!</v>
      </c>
      <c r="AZ16" s="1055"/>
      <c r="BA16" s="3349"/>
      <c r="BB16" s="3349"/>
      <c r="BC16" s="3349">
        <f t="shared" si="32"/>
        <v>0</v>
      </c>
      <c r="BD16" s="4428">
        <f t="shared" si="48"/>
        <v>0</v>
      </c>
      <c r="BE16" s="1055"/>
      <c r="BF16" s="3341"/>
      <c r="BG16" s="3341"/>
      <c r="BH16" s="3349">
        <f t="shared" si="33"/>
        <v>0</v>
      </c>
      <c r="BI16" s="4428" t="e">
        <f t="shared" si="49"/>
        <v>#DIV/0!</v>
      </c>
      <c r="BJ16" s="1055"/>
      <c r="BK16" s="3341"/>
      <c r="BL16" s="3341"/>
      <c r="BM16" s="3349">
        <f t="shared" si="34"/>
        <v>0</v>
      </c>
      <c r="BN16" s="4428" t="e">
        <f t="shared" si="50"/>
        <v>#DIV/0!</v>
      </c>
      <c r="BO16" s="1055"/>
      <c r="BP16" s="3341"/>
      <c r="BQ16" s="3341"/>
      <c r="BR16" s="3349">
        <f t="shared" si="35"/>
        <v>0</v>
      </c>
      <c r="BS16" s="4428" t="e">
        <f t="shared" si="51"/>
        <v>#DIV/0!</v>
      </c>
      <c r="BT16" s="1055"/>
      <c r="BU16" s="3341"/>
      <c r="BV16" s="3341"/>
      <c r="BW16" s="3349">
        <f t="shared" si="36"/>
        <v>0</v>
      </c>
      <c r="BX16" s="4428" t="e">
        <f t="shared" si="52"/>
        <v>#DIV/0!</v>
      </c>
      <c r="BY16" s="1055"/>
      <c r="BZ16" s="3341"/>
      <c r="CA16" s="3341"/>
      <c r="CB16" s="3349">
        <f t="shared" si="37"/>
        <v>0</v>
      </c>
      <c r="CC16" s="4428" t="e">
        <f t="shared" si="53"/>
        <v>#DIV/0!</v>
      </c>
      <c r="CD16" s="1055"/>
      <c r="CE16" s="3341"/>
      <c r="CF16" s="3341"/>
      <c r="CG16" s="3349">
        <f t="shared" si="38"/>
        <v>0</v>
      </c>
      <c r="CH16" s="4428" t="e">
        <f t="shared" si="54"/>
        <v>#DIV/0!</v>
      </c>
      <c r="CI16" s="1055"/>
      <c r="CJ16" s="3341">
        <f t="shared" si="39"/>
        <v>0</v>
      </c>
      <c r="CK16" s="3341">
        <f t="shared" si="39"/>
        <v>0</v>
      </c>
      <c r="CL16" s="3349">
        <f>CJ16+CK16*1</f>
        <v>0</v>
      </c>
      <c r="CM16" s="4428">
        <f t="shared" si="40"/>
        <v>0</v>
      </c>
      <c r="CN16" s="1434"/>
      <c r="CP16" s="4615"/>
      <c r="CQ16" s="2012">
        <f t="shared" si="41"/>
        <v>0</v>
      </c>
      <c r="CR16" s="4615">
        <f t="shared" si="56"/>
        <v>0</v>
      </c>
      <c r="CT16" s="2624"/>
    </row>
    <row r="17" spans="1:100" s="1396" customFormat="1" ht="13.8" outlineLevel="2">
      <c r="A17" s="1571"/>
      <c r="B17" s="4430" t="s">
        <v>22</v>
      </c>
      <c r="C17" s="3341"/>
      <c r="D17" s="3341"/>
      <c r="E17" s="3349">
        <f t="shared" si="19"/>
        <v>0</v>
      </c>
      <c r="F17" s="4428" t="e">
        <f t="shared" si="16"/>
        <v>#DIV/0!</v>
      </c>
      <c r="G17" s="2047"/>
      <c r="H17" s="3341"/>
      <c r="I17" s="3341"/>
      <c r="J17" s="3349">
        <f t="shared" si="20"/>
        <v>0</v>
      </c>
      <c r="K17" s="4428" t="e">
        <f t="shared" si="42"/>
        <v>#DIV/0!</v>
      </c>
      <c r="L17" s="2047"/>
      <c r="M17" s="3341"/>
      <c r="N17" s="3341"/>
      <c r="O17" s="3349">
        <f t="shared" si="21"/>
        <v>0</v>
      </c>
      <c r="P17" s="4428" t="e">
        <f t="shared" si="22"/>
        <v>#DIV/0!</v>
      </c>
      <c r="Q17" s="2047"/>
      <c r="R17" s="3342">
        <f t="shared" si="23"/>
        <v>0</v>
      </c>
      <c r="S17" s="3342">
        <f t="shared" si="23"/>
        <v>0</v>
      </c>
      <c r="T17" s="2012">
        <f t="shared" si="24"/>
        <v>0</v>
      </c>
      <c r="U17" s="2047"/>
      <c r="V17" s="2047"/>
      <c r="W17" s="3342">
        <f t="shared" si="25"/>
        <v>0</v>
      </c>
      <c r="X17" s="3342">
        <f t="shared" si="25"/>
        <v>0</v>
      </c>
      <c r="Y17" s="2012">
        <f t="shared" si="26"/>
        <v>0</v>
      </c>
      <c r="Z17" s="2047"/>
      <c r="AA17" s="2047"/>
      <c r="AB17" s="3341"/>
      <c r="AC17" s="3341"/>
      <c r="AD17" s="3349">
        <f t="shared" si="27"/>
        <v>0</v>
      </c>
      <c r="AE17" s="4428" t="e">
        <f t="shared" si="43"/>
        <v>#DIV/0!</v>
      </c>
      <c r="AF17" s="2047"/>
      <c r="AG17" s="3341"/>
      <c r="AH17" s="3341"/>
      <c r="AI17" s="3349">
        <f t="shared" si="28"/>
        <v>0</v>
      </c>
      <c r="AJ17" s="4428" t="e">
        <f t="shared" si="44"/>
        <v>#DIV/0!</v>
      </c>
      <c r="AK17" s="2047"/>
      <c r="AL17" s="3341"/>
      <c r="AM17" s="3341"/>
      <c r="AN17" s="3349">
        <f t="shared" si="29"/>
        <v>0</v>
      </c>
      <c r="AO17" s="4428" t="e">
        <f t="shared" si="45"/>
        <v>#DIV/0!</v>
      </c>
      <c r="AP17" s="2047"/>
      <c r="AQ17" s="3341"/>
      <c r="AR17" s="3341"/>
      <c r="AS17" s="3349">
        <f t="shared" si="30"/>
        <v>0</v>
      </c>
      <c r="AT17" s="4428" t="e">
        <f t="shared" si="46"/>
        <v>#DIV/0!</v>
      </c>
      <c r="AU17" s="2047"/>
      <c r="AV17" s="3341"/>
      <c r="AW17" s="3341"/>
      <c r="AX17" s="3349">
        <f t="shared" si="31"/>
        <v>0</v>
      </c>
      <c r="AY17" s="4428" t="e">
        <f t="shared" si="47"/>
        <v>#DIV/0!</v>
      </c>
      <c r="AZ17" s="2047"/>
      <c r="BA17" s="3349"/>
      <c r="BB17" s="3349"/>
      <c r="BC17" s="3349">
        <f t="shared" si="32"/>
        <v>0</v>
      </c>
      <c r="BD17" s="4428">
        <f t="shared" si="48"/>
        <v>0</v>
      </c>
      <c r="BE17" s="2047"/>
      <c r="BF17" s="3341"/>
      <c r="BG17" s="3341"/>
      <c r="BH17" s="3349">
        <f t="shared" si="33"/>
        <v>0</v>
      </c>
      <c r="BI17" s="4428" t="e">
        <f t="shared" si="49"/>
        <v>#DIV/0!</v>
      </c>
      <c r="BJ17" s="2047"/>
      <c r="BK17" s="3341"/>
      <c r="BL17" s="3341"/>
      <c r="BM17" s="3349">
        <f t="shared" si="34"/>
        <v>0</v>
      </c>
      <c r="BN17" s="4428" t="e">
        <f t="shared" si="50"/>
        <v>#DIV/0!</v>
      </c>
      <c r="BO17" s="2047"/>
      <c r="BP17" s="3341"/>
      <c r="BQ17" s="3341"/>
      <c r="BR17" s="3349">
        <f t="shared" si="35"/>
        <v>0</v>
      </c>
      <c r="BS17" s="4428" t="e">
        <f t="shared" si="51"/>
        <v>#DIV/0!</v>
      </c>
      <c r="BT17" s="2047"/>
      <c r="BU17" s="3341"/>
      <c r="BV17" s="3341"/>
      <c r="BW17" s="3349">
        <f t="shared" si="36"/>
        <v>0</v>
      </c>
      <c r="BX17" s="4428" t="e">
        <f t="shared" si="52"/>
        <v>#DIV/0!</v>
      </c>
      <c r="BY17" s="2047"/>
      <c r="BZ17" s="3341"/>
      <c r="CA17" s="3341"/>
      <c r="CB17" s="3349">
        <f t="shared" si="37"/>
        <v>0</v>
      </c>
      <c r="CC17" s="4428" t="e">
        <f t="shared" si="53"/>
        <v>#DIV/0!</v>
      </c>
      <c r="CD17" s="2047"/>
      <c r="CE17" s="3341"/>
      <c r="CF17" s="3341"/>
      <c r="CG17" s="3349">
        <f t="shared" si="38"/>
        <v>0</v>
      </c>
      <c r="CH17" s="4428" t="e">
        <f t="shared" si="54"/>
        <v>#DIV/0!</v>
      </c>
      <c r="CI17" s="2047"/>
      <c r="CJ17" s="3341">
        <f t="shared" si="39"/>
        <v>0</v>
      </c>
      <c r="CK17" s="3341">
        <f t="shared" si="39"/>
        <v>0</v>
      </c>
      <c r="CL17" s="3349">
        <f t="shared" si="55"/>
        <v>0</v>
      </c>
      <c r="CM17" s="4428">
        <f t="shared" si="40"/>
        <v>0</v>
      </c>
      <c r="CN17" s="1434"/>
      <c r="CP17" s="4615"/>
      <c r="CQ17" s="2012">
        <f t="shared" si="41"/>
        <v>0</v>
      </c>
      <c r="CR17" s="4615">
        <f t="shared" si="56"/>
        <v>0</v>
      </c>
      <c r="CT17" s="3443"/>
    </row>
    <row r="18" spans="1:100" s="1396" customFormat="1" ht="13.8" outlineLevel="2">
      <c r="A18" s="1571"/>
      <c r="B18" s="4430" t="s">
        <v>0</v>
      </c>
      <c r="C18" s="3341"/>
      <c r="D18" s="3341"/>
      <c r="E18" s="3349">
        <f t="shared" si="19"/>
        <v>0</v>
      </c>
      <c r="F18" s="4428" t="e">
        <f t="shared" si="16"/>
        <v>#DIV/0!</v>
      </c>
      <c r="G18" s="1055"/>
      <c r="H18" s="3341"/>
      <c r="I18" s="3341"/>
      <c r="J18" s="3349">
        <f t="shared" si="20"/>
        <v>0</v>
      </c>
      <c r="K18" s="4428" t="e">
        <f t="shared" si="42"/>
        <v>#DIV/0!</v>
      </c>
      <c r="L18" s="1055"/>
      <c r="M18" s="3341"/>
      <c r="N18" s="3341"/>
      <c r="O18" s="3349">
        <f t="shared" si="21"/>
        <v>0</v>
      </c>
      <c r="P18" s="4428" t="e">
        <f t="shared" si="22"/>
        <v>#DIV/0!</v>
      </c>
      <c r="Q18" s="1055"/>
      <c r="R18" s="3342">
        <f t="shared" si="23"/>
        <v>0</v>
      </c>
      <c r="S18" s="3342">
        <f t="shared" si="23"/>
        <v>0</v>
      </c>
      <c r="T18" s="2012">
        <f t="shared" si="24"/>
        <v>0</v>
      </c>
      <c r="U18" s="1055"/>
      <c r="V18" s="1055"/>
      <c r="W18" s="3342">
        <f t="shared" si="25"/>
        <v>0</v>
      </c>
      <c r="X18" s="3342">
        <f t="shared" si="25"/>
        <v>60000</v>
      </c>
      <c r="Y18" s="2012">
        <f t="shared" si="26"/>
        <v>60000</v>
      </c>
      <c r="Z18" s="1055"/>
      <c r="AA18" s="1055"/>
      <c r="AB18" s="3341"/>
      <c r="AC18" s="3341"/>
      <c r="AD18" s="3349">
        <f t="shared" si="27"/>
        <v>0</v>
      </c>
      <c r="AE18" s="4428" t="e">
        <f t="shared" si="43"/>
        <v>#DIV/0!</v>
      </c>
      <c r="AF18" s="1055"/>
      <c r="AG18" s="3341"/>
      <c r="AH18" s="3341"/>
      <c r="AI18" s="3349">
        <f t="shared" si="28"/>
        <v>0</v>
      </c>
      <c r="AJ18" s="4428" t="e">
        <f t="shared" si="44"/>
        <v>#DIV/0!</v>
      </c>
      <c r="AK18" s="1055"/>
      <c r="AL18" s="3341"/>
      <c r="AM18" s="3341"/>
      <c r="AN18" s="3349">
        <f t="shared" si="29"/>
        <v>0</v>
      </c>
      <c r="AO18" s="4428" t="e">
        <f t="shared" si="45"/>
        <v>#DIV/0!</v>
      </c>
      <c r="AP18" s="1055"/>
      <c r="AQ18" s="3341"/>
      <c r="AR18" s="3341"/>
      <c r="AS18" s="3349">
        <f t="shared" si="30"/>
        <v>0</v>
      </c>
      <c r="AT18" s="4428" t="e">
        <f t="shared" si="46"/>
        <v>#DIV/0!</v>
      </c>
      <c r="AU18" s="1055"/>
      <c r="AV18" s="3341"/>
      <c r="AW18" s="3341"/>
      <c r="AX18" s="3349">
        <f t="shared" si="31"/>
        <v>0</v>
      </c>
      <c r="AY18" s="4428" t="e">
        <f t="shared" si="47"/>
        <v>#DIV/0!</v>
      </c>
      <c r="AZ18" s="1055"/>
      <c r="BA18" s="3349"/>
      <c r="BB18" s="3349">
        <v>60000</v>
      </c>
      <c r="BC18" s="3349">
        <f t="shared" si="32"/>
        <v>60000</v>
      </c>
      <c r="BD18" s="4428">
        <f t="shared" si="48"/>
        <v>0.11023688521935147</v>
      </c>
      <c r="BE18" s="2047" t="s">
        <v>2150</v>
      </c>
      <c r="BF18" s="3341"/>
      <c r="BG18" s="3341"/>
      <c r="BH18" s="3349">
        <f t="shared" si="33"/>
        <v>0</v>
      </c>
      <c r="BI18" s="4428" t="e">
        <f t="shared" si="49"/>
        <v>#DIV/0!</v>
      </c>
      <c r="BJ18" s="1055"/>
      <c r="BK18" s="3341"/>
      <c r="BL18" s="3341"/>
      <c r="BM18" s="3349">
        <f t="shared" si="34"/>
        <v>0</v>
      </c>
      <c r="BN18" s="4428" t="e">
        <f t="shared" si="50"/>
        <v>#DIV/0!</v>
      </c>
      <c r="BO18" s="1055"/>
      <c r="BP18" s="3341"/>
      <c r="BQ18" s="3341"/>
      <c r="BR18" s="3349">
        <f t="shared" si="35"/>
        <v>0</v>
      </c>
      <c r="BS18" s="4428" t="e">
        <f t="shared" si="51"/>
        <v>#DIV/0!</v>
      </c>
      <c r="BT18" s="1055"/>
      <c r="BU18" s="3341"/>
      <c r="BV18" s="3341"/>
      <c r="BW18" s="3349">
        <f t="shared" si="36"/>
        <v>0</v>
      </c>
      <c r="BX18" s="4428" t="e">
        <f t="shared" si="52"/>
        <v>#DIV/0!</v>
      </c>
      <c r="BY18" s="1055"/>
      <c r="BZ18" s="3341"/>
      <c r="CA18" s="3341"/>
      <c r="CB18" s="3349">
        <f t="shared" si="37"/>
        <v>0</v>
      </c>
      <c r="CC18" s="4428" t="e">
        <f t="shared" si="53"/>
        <v>#DIV/0!</v>
      </c>
      <c r="CD18" s="1055"/>
      <c r="CE18" s="3341"/>
      <c r="CF18" s="3341"/>
      <c r="CG18" s="3349">
        <f t="shared" si="38"/>
        <v>0</v>
      </c>
      <c r="CH18" s="4428" t="e">
        <f t="shared" si="54"/>
        <v>#DIV/0!</v>
      </c>
      <c r="CI18" s="1055"/>
      <c r="CJ18" s="3341">
        <f t="shared" si="39"/>
        <v>0</v>
      </c>
      <c r="CK18" s="3341">
        <f t="shared" si="39"/>
        <v>60000</v>
      </c>
      <c r="CL18" s="3349">
        <f t="shared" si="55"/>
        <v>60000</v>
      </c>
      <c r="CM18" s="4428">
        <f t="shared" si="40"/>
        <v>0.11023688521935147</v>
      </c>
      <c r="CN18" s="1434"/>
      <c r="CP18" s="4615">
        <f>9857.14*CT4-9000</f>
        <v>59999.979999999996</v>
      </c>
      <c r="CQ18" s="2012">
        <f t="shared" si="41"/>
        <v>60000</v>
      </c>
      <c r="CR18" s="4615">
        <f t="shared" si="56"/>
        <v>-2.0000000004074536E-2</v>
      </c>
      <c r="CS18" s="3307"/>
      <c r="CT18" s="2624"/>
    </row>
    <row r="19" spans="1:100" s="1396" customFormat="1" ht="13.8" outlineLevel="2">
      <c r="A19" s="1571"/>
      <c r="B19" s="4430" t="s">
        <v>53</v>
      </c>
      <c r="C19" s="3341"/>
      <c r="D19" s="3341"/>
      <c r="E19" s="3349">
        <f t="shared" si="19"/>
        <v>0</v>
      </c>
      <c r="F19" s="4428" t="e">
        <f t="shared" si="16"/>
        <v>#DIV/0!</v>
      </c>
      <c r="G19" s="1055"/>
      <c r="H19" s="3341"/>
      <c r="I19" s="3341"/>
      <c r="J19" s="3349">
        <f t="shared" si="20"/>
        <v>0</v>
      </c>
      <c r="K19" s="4428" t="e">
        <f t="shared" si="42"/>
        <v>#DIV/0!</v>
      </c>
      <c r="L19" s="1055"/>
      <c r="M19" s="3341"/>
      <c r="N19" s="3341"/>
      <c r="O19" s="3349">
        <f t="shared" si="21"/>
        <v>0</v>
      </c>
      <c r="P19" s="4428" t="e">
        <f t="shared" si="22"/>
        <v>#DIV/0!</v>
      </c>
      <c r="Q19" s="1055"/>
      <c r="R19" s="3342">
        <f t="shared" si="23"/>
        <v>0</v>
      </c>
      <c r="S19" s="3342">
        <f t="shared" si="23"/>
        <v>0</v>
      </c>
      <c r="T19" s="2012">
        <f t="shared" si="24"/>
        <v>0</v>
      </c>
      <c r="U19" s="1055"/>
      <c r="V19" s="1055"/>
      <c r="W19" s="3342">
        <f t="shared" si="25"/>
        <v>0</v>
      </c>
      <c r="X19" s="3342">
        <f t="shared" si="25"/>
        <v>0</v>
      </c>
      <c r="Y19" s="2012">
        <f t="shared" si="26"/>
        <v>0</v>
      </c>
      <c r="Z19" s="1055"/>
      <c r="AA19" s="1055"/>
      <c r="AB19" s="3341"/>
      <c r="AC19" s="3341"/>
      <c r="AD19" s="3349">
        <f t="shared" si="27"/>
        <v>0</v>
      </c>
      <c r="AE19" s="4428" t="e">
        <f t="shared" si="43"/>
        <v>#DIV/0!</v>
      </c>
      <c r="AF19" s="1055"/>
      <c r="AG19" s="3341"/>
      <c r="AH19" s="3341"/>
      <c r="AI19" s="3349">
        <f t="shared" si="28"/>
        <v>0</v>
      </c>
      <c r="AJ19" s="4428" t="e">
        <f t="shared" si="44"/>
        <v>#DIV/0!</v>
      </c>
      <c r="AK19" s="1055"/>
      <c r="AL19" s="3341"/>
      <c r="AM19" s="3341"/>
      <c r="AN19" s="3349">
        <f t="shared" si="29"/>
        <v>0</v>
      </c>
      <c r="AO19" s="4428" t="e">
        <f t="shared" si="45"/>
        <v>#DIV/0!</v>
      </c>
      <c r="AP19" s="1055"/>
      <c r="AQ19" s="3341"/>
      <c r="AR19" s="3341"/>
      <c r="AS19" s="3349">
        <f t="shared" si="30"/>
        <v>0</v>
      </c>
      <c r="AT19" s="4428" t="e">
        <f t="shared" si="46"/>
        <v>#DIV/0!</v>
      </c>
      <c r="AU19" s="1055"/>
      <c r="AV19" s="3341"/>
      <c r="AW19" s="3341"/>
      <c r="AX19" s="3349">
        <f t="shared" si="31"/>
        <v>0</v>
      </c>
      <c r="AY19" s="4428" t="e">
        <f t="shared" si="47"/>
        <v>#DIV/0!</v>
      </c>
      <c r="AZ19" s="1055"/>
      <c r="BA19" s="3349"/>
      <c r="BB19" s="3349"/>
      <c r="BC19" s="3349">
        <f t="shared" si="32"/>
        <v>0</v>
      </c>
      <c r="BD19" s="4428">
        <f t="shared" si="48"/>
        <v>0</v>
      </c>
      <c r="BE19" s="1055"/>
      <c r="BF19" s="3341"/>
      <c r="BG19" s="3341"/>
      <c r="BH19" s="3349">
        <f t="shared" si="33"/>
        <v>0</v>
      </c>
      <c r="BI19" s="4428" t="e">
        <f t="shared" si="49"/>
        <v>#DIV/0!</v>
      </c>
      <c r="BJ19" s="1055"/>
      <c r="BK19" s="3341"/>
      <c r="BL19" s="3341"/>
      <c r="BM19" s="3349">
        <f t="shared" si="34"/>
        <v>0</v>
      </c>
      <c r="BN19" s="4428" t="e">
        <f t="shared" si="50"/>
        <v>#DIV/0!</v>
      </c>
      <c r="BO19" s="1055"/>
      <c r="BP19" s="3341"/>
      <c r="BQ19" s="3341"/>
      <c r="BR19" s="3349">
        <f t="shared" si="35"/>
        <v>0</v>
      </c>
      <c r="BS19" s="4428" t="e">
        <f t="shared" si="51"/>
        <v>#DIV/0!</v>
      </c>
      <c r="BT19" s="1055"/>
      <c r="BU19" s="3341"/>
      <c r="BV19" s="3341"/>
      <c r="BW19" s="3349">
        <f t="shared" si="36"/>
        <v>0</v>
      </c>
      <c r="BX19" s="4428" t="e">
        <f t="shared" si="52"/>
        <v>#DIV/0!</v>
      </c>
      <c r="BY19" s="1055"/>
      <c r="BZ19" s="3341"/>
      <c r="CA19" s="3341"/>
      <c r="CB19" s="3349">
        <f t="shared" si="37"/>
        <v>0</v>
      </c>
      <c r="CC19" s="4428" t="e">
        <f t="shared" si="53"/>
        <v>#DIV/0!</v>
      </c>
      <c r="CD19" s="1055"/>
      <c r="CE19" s="3341"/>
      <c r="CF19" s="3341"/>
      <c r="CG19" s="3349">
        <f t="shared" si="38"/>
        <v>0</v>
      </c>
      <c r="CH19" s="4428" t="e">
        <f t="shared" si="54"/>
        <v>#DIV/0!</v>
      </c>
      <c r="CI19" s="1055"/>
      <c r="CJ19" s="3341">
        <f t="shared" si="39"/>
        <v>0</v>
      </c>
      <c r="CK19" s="3341">
        <f t="shared" si="39"/>
        <v>0</v>
      </c>
      <c r="CL19" s="3349">
        <f t="shared" si="55"/>
        <v>0</v>
      </c>
      <c r="CM19" s="4428">
        <f t="shared" si="40"/>
        <v>0</v>
      </c>
      <c r="CN19" s="1434"/>
      <c r="CP19" s="4615"/>
      <c r="CQ19" s="2012">
        <f t="shared" si="41"/>
        <v>0</v>
      </c>
      <c r="CR19" s="4615">
        <f t="shared" si="56"/>
        <v>0</v>
      </c>
      <c r="CT19" s="2624"/>
    </row>
    <row r="20" spans="1:100" s="1396" customFormat="1" ht="13.8" outlineLevel="2">
      <c r="A20" s="1571"/>
      <c r="B20" s="4430" t="s">
        <v>57</v>
      </c>
      <c r="C20" s="3341"/>
      <c r="D20" s="3341"/>
      <c r="E20" s="3349">
        <f t="shared" si="19"/>
        <v>0</v>
      </c>
      <c r="F20" s="4428" t="e">
        <f t="shared" si="16"/>
        <v>#DIV/0!</v>
      </c>
      <c r="G20" s="1055"/>
      <c r="H20" s="3341"/>
      <c r="I20" s="3341"/>
      <c r="J20" s="3349">
        <f t="shared" si="20"/>
        <v>0</v>
      </c>
      <c r="K20" s="4428" t="e">
        <f t="shared" si="42"/>
        <v>#DIV/0!</v>
      </c>
      <c r="L20" s="1055"/>
      <c r="M20" s="3341"/>
      <c r="N20" s="3341"/>
      <c r="O20" s="3349">
        <f t="shared" si="21"/>
        <v>0</v>
      </c>
      <c r="P20" s="4428" t="e">
        <f t="shared" si="22"/>
        <v>#DIV/0!</v>
      </c>
      <c r="Q20" s="1055"/>
      <c r="R20" s="3342">
        <f t="shared" si="23"/>
        <v>0</v>
      </c>
      <c r="S20" s="3342">
        <f t="shared" si="23"/>
        <v>0</v>
      </c>
      <c r="T20" s="2012">
        <f t="shared" si="24"/>
        <v>0</v>
      </c>
      <c r="U20" s="1055"/>
      <c r="V20" s="1055"/>
      <c r="W20" s="3342">
        <f t="shared" si="25"/>
        <v>0</v>
      </c>
      <c r="X20" s="3342">
        <f t="shared" si="25"/>
        <v>0</v>
      </c>
      <c r="Y20" s="2012">
        <f t="shared" si="26"/>
        <v>0</v>
      </c>
      <c r="Z20" s="1055"/>
      <c r="AA20" s="1055"/>
      <c r="AB20" s="3341"/>
      <c r="AC20" s="3341"/>
      <c r="AD20" s="3349">
        <f t="shared" si="27"/>
        <v>0</v>
      </c>
      <c r="AE20" s="4428" t="e">
        <f t="shared" si="43"/>
        <v>#DIV/0!</v>
      </c>
      <c r="AF20" s="1055"/>
      <c r="AG20" s="3341"/>
      <c r="AH20" s="3341"/>
      <c r="AI20" s="3349">
        <f t="shared" si="28"/>
        <v>0</v>
      </c>
      <c r="AJ20" s="4428" t="e">
        <f t="shared" si="44"/>
        <v>#DIV/0!</v>
      </c>
      <c r="AK20" s="1055"/>
      <c r="AL20" s="3341"/>
      <c r="AM20" s="3341"/>
      <c r="AN20" s="3349">
        <f t="shared" si="29"/>
        <v>0</v>
      </c>
      <c r="AO20" s="4428" t="e">
        <f t="shared" si="45"/>
        <v>#DIV/0!</v>
      </c>
      <c r="AP20" s="1055"/>
      <c r="AQ20" s="3341"/>
      <c r="AR20" s="3341"/>
      <c r="AS20" s="3349">
        <f t="shared" si="30"/>
        <v>0</v>
      </c>
      <c r="AT20" s="4428" t="e">
        <f t="shared" si="46"/>
        <v>#DIV/0!</v>
      </c>
      <c r="AU20" s="1055"/>
      <c r="AV20" s="3341"/>
      <c r="AW20" s="3341"/>
      <c r="AX20" s="3349">
        <f t="shared" si="31"/>
        <v>0</v>
      </c>
      <c r="AY20" s="4428" t="e">
        <f t="shared" si="47"/>
        <v>#DIV/0!</v>
      </c>
      <c r="AZ20" s="1055"/>
      <c r="BA20" s="3349"/>
      <c r="BB20" s="3349"/>
      <c r="BC20" s="3349">
        <f t="shared" si="32"/>
        <v>0</v>
      </c>
      <c r="BD20" s="4428">
        <f t="shared" si="48"/>
        <v>0</v>
      </c>
      <c r="BE20" s="1055"/>
      <c r="BF20" s="3341"/>
      <c r="BG20" s="3341"/>
      <c r="BH20" s="3349">
        <f t="shared" si="33"/>
        <v>0</v>
      </c>
      <c r="BI20" s="4428" t="e">
        <f t="shared" si="49"/>
        <v>#DIV/0!</v>
      </c>
      <c r="BJ20" s="1055"/>
      <c r="BK20" s="3341"/>
      <c r="BL20" s="3341"/>
      <c r="BM20" s="3349">
        <f t="shared" si="34"/>
        <v>0</v>
      </c>
      <c r="BN20" s="4428" t="e">
        <f t="shared" si="50"/>
        <v>#DIV/0!</v>
      </c>
      <c r="BO20" s="1055"/>
      <c r="BP20" s="3341"/>
      <c r="BQ20" s="3341"/>
      <c r="BR20" s="3349">
        <f t="shared" si="35"/>
        <v>0</v>
      </c>
      <c r="BS20" s="4428" t="e">
        <f t="shared" si="51"/>
        <v>#DIV/0!</v>
      </c>
      <c r="BT20" s="1055"/>
      <c r="BU20" s="3341"/>
      <c r="BV20" s="3341"/>
      <c r="BW20" s="3349">
        <f t="shared" si="36"/>
        <v>0</v>
      </c>
      <c r="BX20" s="4428" t="e">
        <f t="shared" si="52"/>
        <v>#DIV/0!</v>
      </c>
      <c r="BY20" s="1055"/>
      <c r="BZ20" s="3341"/>
      <c r="CA20" s="3341"/>
      <c r="CB20" s="3349">
        <f t="shared" si="37"/>
        <v>0</v>
      </c>
      <c r="CC20" s="4428" t="e">
        <f t="shared" si="53"/>
        <v>#DIV/0!</v>
      </c>
      <c r="CD20" s="1055"/>
      <c r="CE20" s="3341"/>
      <c r="CF20" s="3341"/>
      <c r="CG20" s="3349">
        <f t="shared" si="38"/>
        <v>0</v>
      </c>
      <c r="CH20" s="4428" t="e">
        <f t="shared" si="54"/>
        <v>#DIV/0!</v>
      </c>
      <c r="CI20" s="1055"/>
      <c r="CJ20" s="3341">
        <f t="shared" si="39"/>
        <v>0</v>
      </c>
      <c r="CK20" s="3341">
        <f t="shared" si="39"/>
        <v>0</v>
      </c>
      <c r="CL20" s="3349">
        <f t="shared" si="55"/>
        <v>0</v>
      </c>
      <c r="CM20" s="4428">
        <f t="shared" si="40"/>
        <v>0</v>
      </c>
      <c r="CN20" s="1434"/>
      <c r="CP20" s="4615"/>
      <c r="CQ20" s="2012">
        <f t="shared" si="41"/>
        <v>0</v>
      </c>
      <c r="CR20" s="4615">
        <f t="shared" si="56"/>
        <v>0</v>
      </c>
      <c r="CT20" s="2624"/>
    </row>
    <row r="21" spans="1:100" s="1396" customFormat="1" ht="13.8" outlineLevel="2">
      <c r="A21" s="1571"/>
      <c r="B21" s="4430" t="s">
        <v>58</v>
      </c>
      <c r="C21" s="3341"/>
      <c r="D21" s="3341"/>
      <c r="E21" s="3349">
        <f t="shared" si="19"/>
        <v>0</v>
      </c>
      <c r="F21" s="4428" t="e">
        <f t="shared" si="16"/>
        <v>#DIV/0!</v>
      </c>
      <c r="G21" s="1615"/>
      <c r="H21" s="3341"/>
      <c r="I21" s="3341"/>
      <c r="J21" s="3349">
        <f t="shared" si="20"/>
        <v>0</v>
      </c>
      <c r="K21" s="4428" t="e">
        <f t="shared" si="42"/>
        <v>#DIV/0!</v>
      </c>
      <c r="L21" s="1615"/>
      <c r="M21" s="3341"/>
      <c r="N21" s="3341"/>
      <c r="O21" s="3349">
        <f t="shared" si="21"/>
        <v>0</v>
      </c>
      <c r="P21" s="4428" t="e">
        <f t="shared" si="22"/>
        <v>#DIV/0!</v>
      </c>
      <c r="Q21" s="1615"/>
      <c r="R21" s="3342">
        <f t="shared" si="23"/>
        <v>0</v>
      </c>
      <c r="S21" s="3342">
        <f t="shared" si="23"/>
        <v>0</v>
      </c>
      <c r="T21" s="2012">
        <f t="shared" si="24"/>
        <v>0</v>
      </c>
      <c r="U21" s="1615"/>
      <c r="V21" s="1615"/>
      <c r="W21" s="3342">
        <f t="shared" si="25"/>
        <v>0</v>
      </c>
      <c r="X21" s="3342">
        <f t="shared" si="25"/>
        <v>0</v>
      </c>
      <c r="Y21" s="2012">
        <f t="shared" si="26"/>
        <v>0</v>
      </c>
      <c r="Z21" s="1615"/>
      <c r="AA21" s="1615"/>
      <c r="AB21" s="3341"/>
      <c r="AC21" s="3341"/>
      <c r="AD21" s="3349">
        <f t="shared" si="27"/>
        <v>0</v>
      </c>
      <c r="AE21" s="4428" t="e">
        <f t="shared" si="43"/>
        <v>#DIV/0!</v>
      </c>
      <c r="AF21" s="1615"/>
      <c r="AG21" s="3341"/>
      <c r="AH21" s="3341"/>
      <c r="AI21" s="3349">
        <f t="shared" si="28"/>
        <v>0</v>
      </c>
      <c r="AJ21" s="4428" t="e">
        <f t="shared" si="44"/>
        <v>#DIV/0!</v>
      </c>
      <c r="AK21" s="1615"/>
      <c r="AL21" s="3341"/>
      <c r="AM21" s="3341"/>
      <c r="AN21" s="3349">
        <f t="shared" si="29"/>
        <v>0</v>
      </c>
      <c r="AO21" s="4428" t="e">
        <f t="shared" si="45"/>
        <v>#DIV/0!</v>
      </c>
      <c r="AP21" s="1615"/>
      <c r="AQ21" s="3341"/>
      <c r="AR21" s="3341"/>
      <c r="AS21" s="3349">
        <f t="shared" si="30"/>
        <v>0</v>
      </c>
      <c r="AT21" s="4428" t="e">
        <f t="shared" si="46"/>
        <v>#DIV/0!</v>
      </c>
      <c r="AU21" s="1615"/>
      <c r="AV21" s="3341"/>
      <c r="AW21" s="3341"/>
      <c r="AX21" s="3349">
        <f t="shared" si="31"/>
        <v>0</v>
      </c>
      <c r="AY21" s="4428" t="e">
        <f t="shared" si="47"/>
        <v>#DIV/0!</v>
      </c>
      <c r="AZ21" s="1615"/>
      <c r="BA21" s="3349"/>
      <c r="BB21" s="3349"/>
      <c r="BC21" s="3349">
        <f t="shared" si="32"/>
        <v>0</v>
      </c>
      <c r="BD21" s="4428">
        <f t="shared" si="48"/>
        <v>0</v>
      </c>
      <c r="BE21" s="1615"/>
      <c r="BF21" s="3341"/>
      <c r="BG21" s="3341"/>
      <c r="BH21" s="3349">
        <f t="shared" si="33"/>
        <v>0</v>
      </c>
      <c r="BI21" s="4428" t="e">
        <f t="shared" si="49"/>
        <v>#DIV/0!</v>
      </c>
      <c r="BJ21" s="1615"/>
      <c r="BK21" s="3341"/>
      <c r="BL21" s="3341"/>
      <c r="BM21" s="3349">
        <f t="shared" si="34"/>
        <v>0</v>
      </c>
      <c r="BN21" s="4428" t="e">
        <f t="shared" si="50"/>
        <v>#DIV/0!</v>
      </c>
      <c r="BO21" s="1615"/>
      <c r="BP21" s="3341"/>
      <c r="BQ21" s="3341"/>
      <c r="BR21" s="3349">
        <f t="shared" si="35"/>
        <v>0</v>
      </c>
      <c r="BS21" s="4428" t="e">
        <f t="shared" si="51"/>
        <v>#DIV/0!</v>
      </c>
      <c r="BT21" s="1615"/>
      <c r="BU21" s="3341"/>
      <c r="BV21" s="3341"/>
      <c r="BW21" s="3349">
        <f t="shared" si="36"/>
        <v>0</v>
      </c>
      <c r="BX21" s="4428" t="e">
        <f t="shared" si="52"/>
        <v>#DIV/0!</v>
      </c>
      <c r="BY21" s="1615"/>
      <c r="BZ21" s="3341"/>
      <c r="CA21" s="3341"/>
      <c r="CB21" s="3349">
        <f t="shared" si="37"/>
        <v>0</v>
      </c>
      <c r="CC21" s="4428" t="e">
        <f t="shared" si="53"/>
        <v>#DIV/0!</v>
      </c>
      <c r="CD21" s="1615"/>
      <c r="CE21" s="3341"/>
      <c r="CF21" s="3341"/>
      <c r="CG21" s="3349">
        <f t="shared" si="38"/>
        <v>0</v>
      </c>
      <c r="CH21" s="4428" t="e">
        <f t="shared" si="54"/>
        <v>#DIV/0!</v>
      </c>
      <c r="CI21" s="1615"/>
      <c r="CJ21" s="3341">
        <f t="shared" si="39"/>
        <v>0</v>
      </c>
      <c r="CK21" s="3341">
        <f t="shared" si="39"/>
        <v>0</v>
      </c>
      <c r="CL21" s="3349">
        <f t="shared" si="55"/>
        <v>0</v>
      </c>
      <c r="CM21" s="4428">
        <f t="shared" si="40"/>
        <v>0</v>
      </c>
      <c r="CN21" s="1434"/>
      <c r="CP21" s="4615"/>
      <c r="CQ21" s="2012">
        <f t="shared" si="41"/>
        <v>0</v>
      </c>
      <c r="CR21" s="4615">
        <f t="shared" si="56"/>
        <v>0</v>
      </c>
      <c r="CT21" s="2624"/>
    </row>
    <row r="22" spans="1:100" s="1396" customFormat="1" ht="13.8" outlineLevel="2">
      <c r="A22" s="1571"/>
      <c r="B22" s="4430" t="s">
        <v>621</v>
      </c>
      <c r="C22" s="3341"/>
      <c r="D22" s="3341"/>
      <c r="E22" s="3349">
        <f t="shared" si="19"/>
        <v>0</v>
      </c>
      <c r="F22" s="4428" t="e">
        <f t="shared" si="16"/>
        <v>#DIV/0!</v>
      </c>
      <c r="G22" s="3342"/>
      <c r="H22" s="3341"/>
      <c r="I22" s="3341"/>
      <c r="J22" s="3349">
        <f t="shared" si="20"/>
        <v>0</v>
      </c>
      <c r="K22" s="4428" t="e">
        <f t="shared" si="42"/>
        <v>#DIV/0!</v>
      </c>
      <c r="L22" s="3342"/>
      <c r="M22" s="3341"/>
      <c r="N22" s="3341"/>
      <c r="O22" s="3349">
        <f t="shared" si="21"/>
        <v>0</v>
      </c>
      <c r="P22" s="4428" t="e">
        <f t="shared" si="22"/>
        <v>#DIV/0!</v>
      </c>
      <c r="Q22" s="3342"/>
      <c r="R22" s="3342">
        <f t="shared" si="23"/>
        <v>0</v>
      </c>
      <c r="S22" s="3342">
        <f t="shared" si="23"/>
        <v>0</v>
      </c>
      <c r="T22" s="2012">
        <f t="shared" si="24"/>
        <v>0</v>
      </c>
      <c r="U22" s="3342"/>
      <c r="V22" s="3342"/>
      <c r="W22" s="3342">
        <f t="shared" si="25"/>
        <v>0</v>
      </c>
      <c r="X22" s="3342">
        <f t="shared" si="25"/>
        <v>0</v>
      </c>
      <c r="Y22" s="2012">
        <f t="shared" si="26"/>
        <v>0</v>
      </c>
      <c r="Z22" s="3342"/>
      <c r="AA22" s="3342"/>
      <c r="AB22" s="3341"/>
      <c r="AC22" s="3341"/>
      <c r="AD22" s="3349">
        <f t="shared" si="27"/>
        <v>0</v>
      </c>
      <c r="AE22" s="4428" t="e">
        <f t="shared" si="43"/>
        <v>#DIV/0!</v>
      </c>
      <c r="AF22" s="3342"/>
      <c r="AG22" s="3341"/>
      <c r="AH22" s="3341"/>
      <c r="AI22" s="3349">
        <f t="shared" si="28"/>
        <v>0</v>
      </c>
      <c r="AJ22" s="4428" t="e">
        <f t="shared" si="44"/>
        <v>#DIV/0!</v>
      </c>
      <c r="AK22" s="3342"/>
      <c r="AL22" s="3341"/>
      <c r="AM22" s="3341"/>
      <c r="AN22" s="3349">
        <f t="shared" si="29"/>
        <v>0</v>
      </c>
      <c r="AO22" s="4428" t="e">
        <f t="shared" si="45"/>
        <v>#DIV/0!</v>
      </c>
      <c r="AP22" s="3342"/>
      <c r="AQ22" s="3341"/>
      <c r="AR22" s="3341"/>
      <c r="AS22" s="3349">
        <f t="shared" si="30"/>
        <v>0</v>
      </c>
      <c r="AT22" s="4428" t="e">
        <f t="shared" si="46"/>
        <v>#DIV/0!</v>
      </c>
      <c r="AU22" s="3342"/>
      <c r="AV22" s="3341"/>
      <c r="AW22" s="3341"/>
      <c r="AX22" s="3349">
        <f t="shared" si="31"/>
        <v>0</v>
      </c>
      <c r="AY22" s="4428" t="e">
        <f t="shared" si="47"/>
        <v>#DIV/0!</v>
      </c>
      <c r="AZ22" s="3342"/>
      <c r="BA22" s="3349"/>
      <c r="BB22" s="3349"/>
      <c r="BC22" s="3349">
        <f t="shared" si="32"/>
        <v>0</v>
      </c>
      <c r="BD22" s="4428">
        <f t="shared" si="48"/>
        <v>0</v>
      </c>
      <c r="BE22" s="3342"/>
      <c r="BF22" s="3341"/>
      <c r="BG22" s="3341"/>
      <c r="BH22" s="3349">
        <f t="shared" si="33"/>
        <v>0</v>
      </c>
      <c r="BI22" s="4428" t="e">
        <f t="shared" si="49"/>
        <v>#DIV/0!</v>
      </c>
      <c r="BJ22" s="3342"/>
      <c r="BK22" s="3341"/>
      <c r="BL22" s="3341"/>
      <c r="BM22" s="3349">
        <f t="shared" si="34"/>
        <v>0</v>
      </c>
      <c r="BN22" s="4428" t="e">
        <f t="shared" si="50"/>
        <v>#DIV/0!</v>
      </c>
      <c r="BO22" s="3342"/>
      <c r="BP22" s="3341"/>
      <c r="BQ22" s="3341"/>
      <c r="BR22" s="3349">
        <f t="shared" si="35"/>
        <v>0</v>
      </c>
      <c r="BS22" s="4428" t="e">
        <f t="shared" si="51"/>
        <v>#DIV/0!</v>
      </c>
      <c r="BT22" s="3342"/>
      <c r="BU22" s="3341"/>
      <c r="BV22" s="3341"/>
      <c r="BW22" s="3349">
        <f t="shared" si="36"/>
        <v>0</v>
      </c>
      <c r="BX22" s="4428" t="e">
        <f t="shared" si="52"/>
        <v>#DIV/0!</v>
      </c>
      <c r="BY22" s="3342"/>
      <c r="BZ22" s="3341"/>
      <c r="CA22" s="3341"/>
      <c r="CB22" s="3349">
        <f t="shared" si="37"/>
        <v>0</v>
      </c>
      <c r="CC22" s="4428" t="e">
        <f t="shared" si="53"/>
        <v>#DIV/0!</v>
      </c>
      <c r="CD22" s="3342"/>
      <c r="CE22" s="3341"/>
      <c r="CF22" s="3341"/>
      <c r="CG22" s="3349">
        <f t="shared" si="38"/>
        <v>0</v>
      </c>
      <c r="CH22" s="4428" t="e">
        <f t="shared" si="54"/>
        <v>#DIV/0!</v>
      </c>
      <c r="CI22" s="3342"/>
      <c r="CJ22" s="3341">
        <f t="shared" si="39"/>
        <v>0</v>
      </c>
      <c r="CK22" s="3341">
        <f t="shared" si="39"/>
        <v>0</v>
      </c>
      <c r="CL22" s="3349">
        <f t="shared" si="55"/>
        <v>0</v>
      </c>
      <c r="CM22" s="4428">
        <f t="shared" si="40"/>
        <v>0</v>
      </c>
      <c r="CN22" s="1434"/>
      <c r="CP22" s="4615">
        <f>115000*CT4</f>
        <v>805000</v>
      </c>
      <c r="CQ22" s="2012">
        <f t="shared" si="41"/>
        <v>0</v>
      </c>
      <c r="CR22" s="4615">
        <f t="shared" si="56"/>
        <v>805000</v>
      </c>
      <c r="CT22" s="3443">
        <f>CQ22</f>
        <v>0</v>
      </c>
    </row>
    <row r="23" spans="1:100" s="1396" customFormat="1" ht="13.8" outlineLevel="2">
      <c r="A23" s="1571"/>
      <c r="B23" s="4430" t="s">
        <v>630</v>
      </c>
      <c r="C23" s="3341"/>
      <c r="D23" s="3341"/>
      <c r="E23" s="3349">
        <f t="shared" si="19"/>
        <v>0</v>
      </c>
      <c r="F23" s="4428" t="e">
        <f t="shared" si="16"/>
        <v>#DIV/0!</v>
      </c>
      <c r="G23" s="1055"/>
      <c r="H23" s="3341"/>
      <c r="I23" s="3341"/>
      <c r="J23" s="3349">
        <f t="shared" si="20"/>
        <v>0</v>
      </c>
      <c r="K23" s="4428" t="e">
        <f t="shared" si="42"/>
        <v>#DIV/0!</v>
      </c>
      <c r="L23" s="1055"/>
      <c r="M23" s="3341"/>
      <c r="N23" s="3341"/>
      <c r="O23" s="3349">
        <f t="shared" si="21"/>
        <v>0</v>
      </c>
      <c r="P23" s="4428" t="e">
        <f t="shared" si="22"/>
        <v>#DIV/0!</v>
      </c>
      <c r="Q23" s="1055"/>
      <c r="R23" s="3342">
        <f t="shared" si="23"/>
        <v>0</v>
      </c>
      <c r="S23" s="3342">
        <f t="shared" si="23"/>
        <v>0</v>
      </c>
      <c r="T23" s="2012">
        <f t="shared" si="24"/>
        <v>0</v>
      </c>
      <c r="U23" s="1055"/>
      <c r="V23" s="1055"/>
      <c r="W23" s="3342">
        <f t="shared" si="25"/>
        <v>0</v>
      </c>
      <c r="X23" s="3342">
        <f t="shared" si="25"/>
        <v>0</v>
      </c>
      <c r="Y23" s="2012">
        <f t="shared" si="26"/>
        <v>0</v>
      </c>
      <c r="Z23" s="1055"/>
      <c r="AA23" s="1055"/>
      <c r="AB23" s="3341"/>
      <c r="AC23" s="3341"/>
      <c r="AD23" s="3349">
        <f t="shared" si="27"/>
        <v>0</v>
      </c>
      <c r="AE23" s="4428" t="e">
        <f t="shared" si="43"/>
        <v>#DIV/0!</v>
      </c>
      <c r="AF23" s="1055"/>
      <c r="AG23" s="3341"/>
      <c r="AH23" s="3341"/>
      <c r="AI23" s="3349">
        <f t="shared" si="28"/>
        <v>0</v>
      </c>
      <c r="AJ23" s="4428" t="e">
        <f t="shared" si="44"/>
        <v>#DIV/0!</v>
      </c>
      <c r="AK23" s="1055"/>
      <c r="AL23" s="3341"/>
      <c r="AM23" s="3341"/>
      <c r="AN23" s="3349">
        <f t="shared" si="29"/>
        <v>0</v>
      </c>
      <c r="AO23" s="4428" t="e">
        <f t="shared" si="45"/>
        <v>#DIV/0!</v>
      </c>
      <c r="AP23" s="1055"/>
      <c r="AQ23" s="3341"/>
      <c r="AR23" s="3341"/>
      <c r="AS23" s="3349">
        <f t="shared" si="30"/>
        <v>0</v>
      </c>
      <c r="AT23" s="4428" t="e">
        <f t="shared" si="46"/>
        <v>#DIV/0!</v>
      </c>
      <c r="AU23" s="1055"/>
      <c r="AV23" s="3341"/>
      <c r="AW23" s="3341"/>
      <c r="AX23" s="3349">
        <f t="shared" si="31"/>
        <v>0</v>
      </c>
      <c r="AY23" s="4428" t="e">
        <f t="shared" si="47"/>
        <v>#DIV/0!</v>
      </c>
      <c r="AZ23" s="1055"/>
      <c r="BA23" s="3349"/>
      <c r="BB23" s="3349"/>
      <c r="BC23" s="3349">
        <f t="shared" si="32"/>
        <v>0</v>
      </c>
      <c r="BD23" s="4428">
        <f t="shared" si="48"/>
        <v>0</v>
      </c>
      <c r="BE23" s="1055"/>
      <c r="BF23" s="3341"/>
      <c r="BG23" s="3341"/>
      <c r="BH23" s="3349">
        <f t="shared" si="33"/>
        <v>0</v>
      </c>
      <c r="BI23" s="4428" t="e">
        <f t="shared" si="49"/>
        <v>#DIV/0!</v>
      </c>
      <c r="BJ23" s="1055"/>
      <c r="BK23" s="3341"/>
      <c r="BL23" s="3341"/>
      <c r="BM23" s="3349">
        <f t="shared" si="34"/>
        <v>0</v>
      </c>
      <c r="BN23" s="4428" t="e">
        <f t="shared" si="50"/>
        <v>#DIV/0!</v>
      </c>
      <c r="BO23" s="1055"/>
      <c r="BP23" s="3341"/>
      <c r="BQ23" s="3341"/>
      <c r="BR23" s="3349">
        <f t="shared" si="35"/>
        <v>0</v>
      </c>
      <c r="BS23" s="4428" t="e">
        <f t="shared" si="51"/>
        <v>#DIV/0!</v>
      </c>
      <c r="BT23" s="1055"/>
      <c r="BU23" s="3341"/>
      <c r="BV23" s="3341"/>
      <c r="BW23" s="3349">
        <f t="shared" si="36"/>
        <v>0</v>
      </c>
      <c r="BX23" s="4428" t="e">
        <f t="shared" si="52"/>
        <v>#DIV/0!</v>
      </c>
      <c r="BY23" s="1055"/>
      <c r="BZ23" s="3341"/>
      <c r="CA23" s="3341"/>
      <c r="CB23" s="3349">
        <f t="shared" si="37"/>
        <v>0</v>
      </c>
      <c r="CC23" s="4428" t="e">
        <f t="shared" si="53"/>
        <v>#DIV/0!</v>
      </c>
      <c r="CD23" s="1055"/>
      <c r="CE23" s="3341"/>
      <c r="CF23" s="3341"/>
      <c r="CG23" s="3349">
        <f t="shared" si="38"/>
        <v>0</v>
      </c>
      <c r="CH23" s="4428" t="e">
        <f t="shared" si="54"/>
        <v>#DIV/0!</v>
      </c>
      <c r="CI23" s="1055"/>
      <c r="CJ23" s="3341">
        <f t="shared" si="39"/>
        <v>0</v>
      </c>
      <c r="CK23" s="3341">
        <f t="shared" si="39"/>
        <v>0</v>
      </c>
      <c r="CL23" s="3349">
        <f t="shared" si="55"/>
        <v>0</v>
      </c>
      <c r="CM23" s="4428">
        <f t="shared" si="40"/>
        <v>0</v>
      </c>
      <c r="CN23" s="1434"/>
      <c r="CP23" s="4615"/>
      <c r="CQ23" s="2012">
        <f t="shared" si="41"/>
        <v>0</v>
      </c>
      <c r="CR23" s="4615">
        <f t="shared" si="56"/>
        <v>0</v>
      </c>
      <c r="CT23" s="2624"/>
    </row>
    <row r="24" spans="1:100" s="1396" customFormat="1" ht="13.8" outlineLevel="2">
      <c r="A24" s="1571"/>
      <c r="B24" s="4430" t="s">
        <v>23</v>
      </c>
      <c r="C24" s="3341"/>
      <c r="D24" s="3341"/>
      <c r="E24" s="3349">
        <f t="shared" si="19"/>
        <v>0</v>
      </c>
      <c r="F24" s="4428" t="e">
        <f t="shared" si="16"/>
        <v>#DIV/0!</v>
      </c>
      <c r="G24" s="3342"/>
      <c r="H24" s="3341"/>
      <c r="I24" s="3341"/>
      <c r="J24" s="3349">
        <f t="shared" si="20"/>
        <v>0</v>
      </c>
      <c r="K24" s="4428" t="e">
        <f t="shared" si="42"/>
        <v>#DIV/0!</v>
      </c>
      <c r="L24" s="3342"/>
      <c r="M24" s="3341"/>
      <c r="N24" s="3341"/>
      <c r="O24" s="3349">
        <f t="shared" si="21"/>
        <v>0</v>
      </c>
      <c r="P24" s="4428" t="e">
        <f t="shared" si="22"/>
        <v>#DIV/0!</v>
      </c>
      <c r="Q24" s="3342"/>
      <c r="R24" s="3342">
        <f t="shared" si="23"/>
        <v>0</v>
      </c>
      <c r="S24" s="3342">
        <f t="shared" si="23"/>
        <v>0</v>
      </c>
      <c r="T24" s="2012">
        <f t="shared" si="24"/>
        <v>0</v>
      </c>
      <c r="U24" s="3342"/>
      <c r="V24" s="3342"/>
      <c r="W24" s="3342">
        <f t="shared" si="25"/>
        <v>0</v>
      </c>
      <c r="X24" s="3342">
        <f t="shared" si="25"/>
        <v>0</v>
      </c>
      <c r="Y24" s="2012">
        <f t="shared" si="26"/>
        <v>0</v>
      </c>
      <c r="Z24" s="3342"/>
      <c r="AA24" s="3342"/>
      <c r="AB24" s="3341"/>
      <c r="AC24" s="3341"/>
      <c r="AD24" s="3349">
        <f t="shared" si="27"/>
        <v>0</v>
      </c>
      <c r="AE24" s="4428" t="e">
        <f t="shared" si="43"/>
        <v>#DIV/0!</v>
      </c>
      <c r="AF24" s="3342"/>
      <c r="AG24" s="3341"/>
      <c r="AH24" s="3341"/>
      <c r="AI24" s="3349">
        <f t="shared" si="28"/>
        <v>0</v>
      </c>
      <c r="AJ24" s="4428" t="e">
        <f t="shared" si="44"/>
        <v>#DIV/0!</v>
      </c>
      <c r="AK24" s="3342"/>
      <c r="AL24" s="3341"/>
      <c r="AM24" s="3341"/>
      <c r="AN24" s="3349">
        <f t="shared" si="29"/>
        <v>0</v>
      </c>
      <c r="AO24" s="4428" t="e">
        <f t="shared" si="45"/>
        <v>#DIV/0!</v>
      </c>
      <c r="AP24" s="3342"/>
      <c r="AQ24" s="3341"/>
      <c r="AR24" s="3341"/>
      <c r="AS24" s="3349">
        <f t="shared" si="30"/>
        <v>0</v>
      </c>
      <c r="AT24" s="4428" t="e">
        <f t="shared" si="46"/>
        <v>#DIV/0!</v>
      </c>
      <c r="AU24" s="3342"/>
      <c r="AV24" s="3341"/>
      <c r="AW24" s="3341"/>
      <c r="AX24" s="3349">
        <f t="shared" si="31"/>
        <v>0</v>
      </c>
      <c r="AY24" s="4428" t="e">
        <f t="shared" si="47"/>
        <v>#DIV/0!</v>
      </c>
      <c r="AZ24" s="3342"/>
      <c r="BA24" s="3349"/>
      <c r="BB24" s="3349"/>
      <c r="BC24" s="3349">
        <f t="shared" si="32"/>
        <v>0</v>
      </c>
      <c r="BD24" s="4428">
        <f t="shared" si="48"/>
        <v>0</v>
      </c>
      <c r="BE24" s="2047"/>
      <c r="BF24" s="3341"/>
      <c r="BG24" s="3341"/>
      <c r="BH24" s="3349">
        <f t="shared" si="33"/>
        <v>0</v>
      </c>
      <c r="BI24" s="4428" t="e">
        <f t="shared" si="49"/>
        <v>#DIV/0!</v>
      </c>
      <c r="BJ24" s="3342"/>
      <c r="BK24" s="3341"/>
      <c r="BL24" s="3341"/>
      <c r="BM24" s="3349">
        <f t="shared" si="34"/>
        <v>0</v>
      </c>
      <c r="BN24" s="4428" t="e">
        <f t="shared" si="50"/>
        <v>#DIV/0!</v>
      </c>
      <c r="BO24" s="3342"/>
      <c r="BP24" s="3341"/>
      <c r="BQ24" s="3341"/>
      <c r="BR24" s="3349">
        <f t="shared" si="35"/>
        <v>0</v>
      </c>
      <c r="BS24" s="4428" t="e">
        <f t="shared" si="51"/>
        <v>#DIV/0!</v>
      </c>
      <c r="BT24" s="3342"/>
      <c r="BU24" s="3341"/>
      <c r="BV24" s="3341"/>
      <c r="BW24" s="3349">
        <f t="shared" si="36"/>
        <v>0</v>
      </c>
      <c r="BX24" s="4428" t="e">
        <f t="shared" si="52"/>
        <v>#DIV/0!</v>
      </c>
      <c r="BY24" s="3342"/>
      <c r="BZ24" s="3341"/>
      <c r="CA24" s="3341"/>
      <c r="CB24" s="3349">
        <f t="shared" si="37"/>
        <v>0</v>
      </c>
      <c r="CC24" s="4428" t="e">
        <f t="shared" si="53"/>
        <v>#DIV/0!</v>
      </c>
      <c r="CD24" s="3342"/>
      <c r="CE24" s="3341"/>
      <c r="CF24" s="3341"/>
      <c r="CG24" s="3349">
        <f t="shared" si="38"/>
        <v>0</v>
      </c>
      <c r="CH24" s="4428" t="e">
        <f t="shared" si="54"/>
        <v>#DIV/0!</v>
      </c>
      <c r="CI24" s="3342"/>
      <c r="CJ24" s="3341">
        <f t="shared" si="39"/>
        <v>0</v>
      </c>
      <c r="CK24" s="3341">
        <f t="shared" si="39"/>
        <v>0</v>
      </c>
      <c r="CL24" s="3349">
        <f t="shared" si="55"/>
        <v>0</v>
      </c>
      <c r="CM24" s="4428">
        <f t="shared" si="40"/>
        <v>0</v>
      </c>
      <c r="CN24" s="1434"/>
      <c r="CP24" s="4615">
        <f>200000*CT4</f>
        <v>1400000</v>
      </c>
      <c r="CQ24" s="2012">
        <f t="shared" si="41"/>
        <v>0</v>
      </c>
      <c r="CR24" s="4615">
        <f t="shared" si="56"/>
        <v>1400000</v>
      </c>
      <c r="CS24" s="3307"/>
      <c r="CT24" s="2624"/>
    </row>
    <row r="25" spans="1:100" s="1396" customFormat="1" ht="13.8" outlineLevel="2">
      <c r="A25" s="1571"/>
      <c r="B25" s="4430" t="s">
        <v>24</v>
      </c>
      <c r="C25" s="3341"/>
      <c r="D25" s="3341"/>
      <c r="E25" s="3349">
        <f t="shared" si="19"/>
        <v>0</v>
      </c>
      <c r="F25" s="4428" t="e">
        <f t="shared" si="16"/>
        <v>#DIV/0!</v>
      </c>
      <c r="G25" s="3342"/>
      <c r="H25" s="3341"/>
      <c r="I25" s="3341"/>
      <c r="J25" s="3349">
        <f t="shared" si="20"/>
        <v>0</v>
      </c>
      <c r="K25" s="4428" t="e">
        <f t="shared" si="42"/>
        <v>#DIV/0!</v>
      </c>
      <c r="L25" s="3342"/>
      <c r="M25" s="3341"/>
      <c r="N25" s="3341"/>
      <c r="O25" s="3349">
        <f t="shared" si="21"/>
        <v>0</v>
      </c>
      <c r="P25" s="4428" t="e">
        <f t="shared" si="22"/>
        <v>#DIV/0!</v>
      </c>
      <c r="Q25" s="3342"/>
      <c r="R25" s="3342">
        <f t="shared" si="23"/>
        <v>0</v>
      </c>
      <c r="S25" s="3342">
        <f t="shared" si="23"/>
        <v>0</v>
      </c>
      <c r="T25" s="2012">
        <f t="shared" si="24"/>
        <v>0</v>
      </c>
      <c r="U25" s="3342"/>
      <c r="V25" s="3342"/>
      <c r="W25" s="3342">
        <f t="shared" si="25"/>
        <v>0</v>
      </c>
      <c r="X25" s="3342">
        <f t="shared" si="25"/>
        <v>0</v>
      </c>
      <c r="Y25" s="2012">
        <f t="shared" si="26"/>
        <v>0</v>
      </c>
      <c r="Z25" s="3342"/>
      <c r="AA25" s="3342"/>
      <c r="AB25" s="3341"/>
      <c r="AC25" s="3341"/>
      <c r="AD25" s="3349">
        <f t="shared" si="27"/>
        <v>0</v>
      </c>
      <c r="AE25" s="4428" t="e">
        <f t="shared" si="43"/>
        <v>#DIV/0!</v>
      </c>
      <c r="AF25" s="3342"/>
      <c r="AG25" s="3341"/>
      <c r="AH25" s="3341"/>
      <c r="AI25" s="3349">
        <f t="shared" si="28"/>
        <v>0</v>
      </c>
      <c r="AJ25" s="4428" t="e">
        <f t="shared" si="44"/>
        <v>#DIV/0!</v>
      </c>
      <c r="AK25" s="3342"/>
      <c r="AL25" s="3341"/>
      <c r="AM25" s="3341"/>
      <c r="AN25" s="3349">
        <f t="shared" si="29"/>
        <v>0</v>
      </c>
      <c r="AO25" s="4428" t="e">
        <f t="shared" si="45"/>
        <v>#DIV/0!</v>
      </c>
      <c r="AP25" s="3342"/>
      <c r="AQ25" s="3341"/>
      <c r="AR25" s="3341"/>
      <c r="AS25" s="3349">
        <f t="shared" si="30"/>
        <v>0</v>
      </c>
      <c r="AT25" s="4428" t="e">
        <f t="shared" si="46"/>
        <v>#DIV/0!</v>
      </c>
      <c r="AU25" s="3342"/>
      <c r="AV25" s="3341"/>
      <c r="AW25" s="3341"/>
      <c r="AX25" s="3349">
        <f t="shared" si="31"/>
        <v>0</v>
      </c>
      <c r="AY25" s="4428" t="e">
        <f t="shared" si="47"/>
        <v>#DIV/0!</v>
      </c>
      <c r="AZ25" s="3342"/>
      <c r="BA25" s="3349"/>
      <c r="BB25" s="3349"/>
      <c r="BC25" s="3349">
        <f t="shared" si="32"/>
        <v>0</v>
      </c>
      <c r="BD25" s="4428">
        <f t="shared" si="48"/>
        <v>0</v>
      </c>
      <c r="BE25" s="2047"/>
      <c r="BF25" s="3341"/>
      <c r="BG25" s="3341"/>
      <c r="BH25" s="3349">
        <f t="shared" si="33"/>
        <v>0</v>
      </c>
      <c r="BI25" s="4428" t="e">
        <f t="shared" si="49"/>
        <v>#DIV/0!</v>
      </c>
      <c r="BJ25" s="3342"/>
      <c r="BK25" s="3341"/>
      <c r="BL25" s="3341"/>
      <c r="BM25" s="3349">
        <f t="shared" si="34"/>
        <v>0</v>
      </c>
      <c r="BN25" s="4428" t="e">
        <f t="shared" si="50"/>
        <v>#DIV/0!</v>
      </c>
      <c r="BO25" s="3342"/>
      <c r="BP25" s="3341"/>
      <c r="BQ25" s="3341"/>
      <c r="BR25" s="3349">
        <f t="shared" si="35"/>
        <v>0</v>
      </c>
      <c r="BS25" s="4428" t="e">
        <f t="shared" si="51"/>
        <v>#DIV/0!</v>
      </c>
      <c r="BT25" s="3342"/>
      <c r="BU25" s="3341"/>
      <c r="BV25" s="3341"/>
      <c r="BW25" s="3349">
        <f t="shared" si="36"/>
        <v>0</v>
      </c>
      <c r="BX25" s="4428" t="e">
        <f t="shared" si="52"/>
        <v>#DIV/0!</v>
      </c>
      <c r="BY25" s="3342"/>
      <c r="BZ25" s="3341"/>
      <c r="CA25" s="3341"/>
      <c r="CB25" s="3349">
        <f t="shared" si="37"/>
        <v>0</v>
      </c>
      <c r="CC25" s="4428" t="e">
        <f t="shared" si="53"/>
        <v>#DIV/0!</v>
      </c>
      <c r="CD25" s="3342"/>
      <c r="CE25" s="3341"/>
      <c r="CF25" s="3341"/>
      <c r="CG25" s="3349">
        <f t="shared" si="38"/>
        <v>0</v>
      </c>
      <c r="CH25" s="4428" t="e">
        <f t="shared" si="54"/>
        <v>#DIV/0!</v>
      </c>
      <c r="CI25" s="3342"/>
      <c r="CJ25" s="3341">
        <f t="shared" si="39"/>
        <v>0</v>
      </c>
      <c r="CK25" s="3341">
        <f t="shared" si="39"/>
        <v>0</v>
      </c>
      <c r="CL25" s="3349">
        <f t="shared" si="55"/>
        <v>0</v>
      </c>
      <c r="CM25" s="4428">
        <f t="shared" si="40"/>
        <v>0</v>
      </c>
      <c r="CN25" s="1434"/>
      <c r="CP25" s="4615">
        <f>23959*CT4</f>
        <v>167713</v>
      </c>
      <c r="CQ25" s="2012"/>
      <c r="CR25" s="4615">
        <f t="shared" si="56"/>
        <v>167713</v>
      </c>
      <c r="CS25" s="3305"/>
      <c r="CT25" s="2624"/>
    </row>
    <row r="26" spans="1:100" s="1396" customFormat="1" ht="24" outlineLevel="2">
      <c r="A26" s="1571"/>
      <c r="B26" s="4430" t="s">
        <v>45</v>
      </c>
      <c r="C26" s="3341"/>
      <c r="D26" s="3341"/>
      <c r="E26" s="3349">
        <f t="shared" si="19"/>
        <v>0</v>
      </c>
      <c r="F26" s="4428" t="e">
        <f t="shared" si="16"/>
        <v>#DIV/0!</v>
      </c>
      <c r="G26" s="3342"/>
      <c r="H26" s="3341"/>
      <c r="I26" s="3341"/>
      <c r="J26" s="3349">
        <f t="shared" si="20"/>
        <v>0</v>
      </c>
      <c r="K26" s="4428" t="e">
        <f t="shared" si="42"/>
        <v>#DIV/0!</v>
      </c>
      <c r="L26" s="3342"/>
      <c r="M26" s="3341"/>
      <c r="N26" s="3341"/>
      <c r="O26" s="3349">
        <f t="shared" si="21"/>
        <v>0</v>
      </c>
      <c r="P26" s="4428" t="e">
        <f t="shared" si="22"/>
        <v>#DIV/0!</v>
      </c>
      <c r="Q26" s="3342"/>
      <c r="R26" s="3342">
        <f t="shared" si="23"/>
        <v>0</v>
      </c>
      <c r="S26" s="3342">
        <f t="shared" si="23"/>
        <v>0</v>
      </c>
      <c r="T26" s="2012">
        <f t="shared" si="24"/>
        <v>0</v>
      </c>
      <c r="U26" s="3342"/>
      <c r="V26" s="3342"/>
      <c r="W26" s="3342">
        <f t="shared" si="25"/>
        <v>13279.72</v>
      </c>
      <c r="X26" s="3342">
        <f t="shared" si="25"/>
        <v>0</v>
      </c>
      <c r="Y26" s="2012">
        <f t="shared" si="26"/>
        <v>13279.72</v>
      </c>
      <c r="Z26" s="3342"/>
      <c r="AA26" s="3342"/>
      <c r="AB26" s="3341"/>
      <c r="AC26" s="3341"/>
      <c r="AD26" s="3349">
        <f t="shared" si="27"/>
        <v>0</v>
      </c>
      <c r="AE26" s="4428" t="e">
        <f t="shared" si="43"/>
        <v>#DIV/0!</v>
      </c>
      <c r="AF26" s="3342"/>
      <c r="AG26" s="3341"/>
      <c r="AH26" s="3341"/>
      <c r="AI26" s="3349">
        <f t="shared" si="28"/>
        <v>0</v>
      </c>
      <c r="AJ26" s="4428" t="e">
        <f t="shared" si="44"/>
        <v>#DIV/0!</v>
      </c>
      <c r="AK26" s="3342"/>
      <c r="AL26" s="3341"/>
      <c r="AM26" s="3341"/>
      <c r="AN26" s="3349">
        <f t="shared" si="29"/>
        <v>0</v>
      </c>
      <c r="AO26" s="4428" t="e">
        <f t="shared" si="45"/>
        <v>#DIV/0!</v>
      </c>
      <c r="AP26" s="3342"/>
      <c r="AQ26" s="3341"/>
      <c r="AR26" s="3341"/>
      <c r="AS26" s="3349">
        <f t="shared" si="30"/>
        <v>0</v>
      </c>
      <c r="AT26" s="4428" t="e">
        <f t="shared" si="46"/>
        <v>#DIV/0!</v>
      </c>
      <c r="AU26" s="3342"/>
      <c r="AV26" s="3341"/>
      <c r="AW26" s="3341"/>
      <c r="AX26" s="3349">
        <f t="shared" si="31"/>
        <v>0</v>
      </c>
      <c r="AY26" s="4428" t="e">
        <f t="shared" si="47"/>
        <v>#DIV/0!</v>
      </c>
      <c r="AZ26" s="3342"/>
      <c r="BA26" s="3349">
        <v>13279.72</v>
      </c>
      <c r="BB26" s="3349"/>
      <c r="BC26" s="3349">
        <f t="shared" si="32"/>
        <v>13279.72</v>
      </c>
      <c r="BD26" s="4428">
        <f t="shared" si="48"/>
        <v>2.4398582823085435E-2</v>
      </c>
      <c r="BE26" s="2047" t="s">
        <v>2151</v>
      </c>
      <c r="BF26" s="3341"/>
      <c r="BG26" s="3341"/>
      <c r="BH26" s="3349">
        <f t="shared" si="33"/>
        <v>0</v>
      </c>
      <c r="BI26" s="4428" t="e">
        <f t="shared" si="49"/>
        <v>#DIV/0!</v>
      </c>
      <c r="BJ26" s="3342"/>
      <c r="BK26" s="3341"/>
      <c r="BL26" s="3341"/>
      <c r="BM26" s="3349">
        <f t="shared" si="34"/>
        <v>0</v>
      </c>
      <c r="BN26" s="4428" t="e">
        <f t="shared" si="50"/>
        <v>#DIV/0!</v>
      </c>
      <c r="BO26" s="3342"/>
      <c r="BP26" s="3341"/>
      <c r="BQ26" s="3341"/>
      <c r="BR26" s="3349">
        <f t="shared" si="35"/>
        <v>0</v>
      </c>
      <c r="BS26" s="4428" t="e">
        <f t="shared" si="51"/>
        <v>#DIV/0!</v>
      </c>
      <c r="BT26" s="3342"/>
      <c r="BU26" s="3341"/>
      <c r="BV26" s="3341"/>
      <c r="BW26" s="3349">
        <f t="shared" si="36"/>
        <v>0</v>
      </c>
      <c r="BX26" s="4428" t="e">
        <f t="shared" si="52"/>
        <v>#DIV/0!</v>
      </c>
      <c r="BY26" s="3342"/>
      <c r="BZ26" s="3341"/>
      <c r="CA26" s="3341"/>
      <c r="CB26" s="3349">
        <f t="shared" si="37"/>
        <v>0</v>
      </c>
      <c r="CC26" s="4428" t="e">
        <f t="shared" si="53"/>
        <v>#DIV/0!</v>
      </c>
      <c r="CD26" s="3342"/>
      <c r="CE26" s="3341"/>
      <c r="CF26" s="3341"/>
      <c r="CG26" s="3349">
        <f t="shared" si="38"/>
        <v>0</v>
      </c>
      <c r="CH26" s="4428" t="e">
        <f t="shared" si="54"/>
        <v>#DIV/0!</v>
      </c>
      <c r="CI26" s="3342"/>
      <c r="CJ26" s="3341">
        <f t="shared" si="39"/>
        <v>13279.72</v>
      </c>
      <c r="CK26" s="3341">
        <f t="shared" si="39"/>
        <v>0</v>
      </c>
      <c r="CL26" s="3349">
        <f t="shared" si="55"/>
        <v>13279.72</v>
      </c>
      <c r="CM26" s="4428">
        <f t="shared" si="40"/>
        <v>2.4398582823085435E-2</v>
      </c>
      <c r="CN26" s="1434"/>
      <c r="CP26" s="4615">
        <f>1837383.1828*CT4</f>
        <v>12861682.2796</v>
      </c>
      <c r="CQ26" s="2012"/>
      <c r="CR26" s="4615">
        <f t="shared" si="56"/>
        <v>12861682.2796</v>
      </c>
      <c r="CS26" s="3305"/>
      <c r="CT26" s="2624"/>
    </row>
    <row r="27" spans="1:100" s="1396" customFormat="1" ht="13.8" outlineLevel="2">
      <c r="A27" s="1571"/>
      <c r="B27" s="4430" t="s">
        <v>25</v>
      </c>
      <c r="C27" s="3341"/>
      <c r="D27" s="3341"/>
      <c r="E27" s="3349">
        <f t="shared" si="19"/>
        <v>0</v>
      </c>
      <c r="F27" s="4428" t="e">
        <f t="shared" si="16"/>
        <v>#DIV/0!</v>
      </c>
      <c r="G27" s="3342"/>
      <c r="H27" s="3341"/>
      <c r="I27" s="3341"/>
      <c r="J27" s="3349">
        <f t="shared" si="20"/>
        <v>0</v>
      </c>
      <c r="K27" s="4428" t="e">
        <f t="shared" si="42"/>
        <v>#DIV/0!</v>
      </c>
      <c r="L27" s="3342"/>
      <c r="M27" s="3341"/>
      <c r="N27" s="3341"/>
      <c r="O27" s="3349">
        <f t="shared" si="21"/>
        <v>0</v>
      </c>
      <c r="P27" s="4428" t="e">
        <f t="shared" si="22"/>
        <v>#DIV/0!</v>
      </c>
      <c r="Q27" s="3342"/>
      <c r="R27" s="3342">
        <f t="shared" si="23"/>
        <v>0</v>
      </c>
      <c r="S27" s="3342">
        <f t="shared" si="23"/>
        <v>0</v>
      </c>
      <c r="T27" s="2012">
        <f t="shared" si="24"/>
        <v>0</v>
      </c>
      <c r="U27" s="3342"/>
      <c r="V27" s="3342"/>
      <c r="W27" s="3342">
        <f t="shared" si="25"/>
        <v>0</v>
      </c>
      <c r="X27" s="3342">
        <f t="shared" si="25"/>
        <v>0</v>
      </c>
      <c r="Y27" s="2012">
        <f t="shared" si="26"/>
        <v>0</v>
      </c>
      <c r="Z27" s="3342"/>
      <c r="AA27" s="3342"/>
      <c r="AB27" s="3341"/>
      <c r="AC27" s="3341"/>
      <c r="AD27" s="3349">
        <f t="shared" si="27"/>
        <v>0</v>
      </c>
      <c r="AE27" s="4428" t="e">
        <f t="shared" si="43"/>
        <v>#DIV/0!</v>
      </c>
      <c r="AF27" s="3342"/>
      <c r="AG27" s="3341"/>
      <c r="AH27" s="3341"/>
      <c r="AI27" s="3349">
        <f t="shared" si="28"/>
        <v>0</v>
      </c>
      <c r="AJ27" s="4428" t="e">
        <f t="shared" si="44"/>
        <v>#DIV/0!</v>
      </c>
      <c r="AK27" s="3342"/>
      <c r="AL27" s="3341"/>
      <c r="AM27" s="3341"/>
      <c r="AN27" s="3349">
        <f t="shared" si="29"/>
        <v>0</v>
      </c>
      <c r="AO27" s="4428" t="e">
        <f t="shared" si="45"/>
        <v>#DIV/0!</v>
      </c>
      <c r="AP27" s="3342"/>
      <c r="AQ27" s="3341"/>
      <c r="AR27" s="3341"/>
      <c r="AS27" s="3349">
        <f t="shared" si="30"/>
        <v>0</v>
      </c>
      <c r="AT27" s="4428" t="e">
        <f t="shared" si="46"/>
        <v>#DIV/0!</v>
      </c>
      <c r="AU27" s="3342"/>
      <c r="AV27" s="3341"/>
      <c r="AW27" s="3341"/>
      <c r="AX27" s="3349">
        <f t="shared" si="31"/>
        <v>0</v>
      </c>
      <c r="AY27" s="4428" t="e">
        <f t="shared" si="47"/>
        <v>#DIV/0!</v>
      </c>
      <c r="AZ27" s="3342"/>
      <c r="BA27" s="3349"/>
      <c r="BB27" s="3349"/>
      <c r="BC27" s="3349">
        <f t="shared" si="32"/>
        <v>0</v>
      </c>
      <c r="BD27" s="4428">
        <f t="shared" si="48"/>
        <v>0</v>
      </c>
      <c r="BE27" s="2047"/>
      <c r="BF27" s="3341"/>
      <c r="BG27" s="3341"/>
      <c r="BH27" s="3349">
        <f t="shared" si="33"/>
        <v>0</v>
      </c>
      <c r="BI27" s="4428" t="e">
        <f t="shared" si="49"/>
        <v>#DIV/0!</v>
      </c>
      <c r="BJ27" s="3342"/>
      <c r="BK27" s="3341"/>
      <c r="BL27" s="3341"/>
      <c r="BM27" s="3349">
        <f t="shared" si="34"/>
        <v>0</v>
      </c>
      <c r="BN27" s="4428" t="e">
        <f t="shared" si="50"/>
        <v>#DIV/0!</v>
      </c>
      <c r="BO27" s="3342"/>
      <c r="BP27" s="3341"/>
      <c r="BQ27" s="3341"/>
      <c r="BR27" s="3349">
        <f t="shared" si="35"/>
        <v>0</v>
      </c>
      <c r="BS27" s="4428" t="e">
        <f t="shared" si="51"/>
        <v>#DIV/0!</v>
      </c>
      <c r="BT27" s="3342"/>
      <c r="BU27" s="3341"/>
      <c r="BV27" s="3341"/>
      <c r="BW27" s="3349">
        <f t="shared" si="36"/>
        <v>0</v>
      </c>
      <c r="BX27" s="4428" t="e">
        <f t="shared" si="52"/>
        <v>#DIV/0!</v>
      </c>
      <c r="BY27" s="3342"/>
      <c r="BZ27" s="3341"/>
      <c r="CA27" s="3341"/>
      <c r="CB27" s="3349">
        <f t="shared" si="37"/>
        <v>0</v>
      </c>
      <c r="CC27" s="4428" t="e">
        <f t="shared" si="53"/>
        <v>#DIV/0!</v>
      </c>
      <c r="CD27" s="3342"/>
      <c r="CE27" s="3341"/>
      <c r="CF27" s="3341"/>
      <c r="CG27" s="3349">
        <f t="shared" si="38"/>
        <v>0</v>
      </c>
      <c r="CH27" s="4428" t="e">
        <f t="shared" si="54"/>
        <v>#DIV/0!</v>
      </c>
      <c r="CI27" s="3342"/>
      <c r="CJ27" s="3341">
        <f t="shared" si="39"/>
        <v>0</v>
      </c>
      <c r="CK27" s="3341">
        <f t="shared" si="39"/>
        <v>0</v>
      </c>
      <c r="CL27" s="3349">
        <f t="shared" si="55"/>
        <v>0</v>
      </c>
      <c r="CM27" s="4428">
        <f t="shared" si="40"/>
        <v>0</v>
      </c>
      <c r="CN27" s="1434"/>
      <c r="CP27" s="4615"/>
      <c r="CQ27" s="2012">
        <f t="shared" si="41"/>
        <v>0</v>
      </c>
      <c r="CR27" s="4615">
        <f t="shared" si="56"/>
        <v>0</v>
      </c>
      <c r="CT27" s="3443"/>
    </row>
    <row r="28" spans="1:100" s="1396" customFormat="1" ht="13.8" outlineLevel="2">
      <c r="A28" s="1571"/>
      <c r="B28" s="4430" t="s">
        <v>52</v>
      </c>
      <c r="C28" s="3341"/>
      <c r="D28" s="3341"/>
      <c r="E28" s="3349">
        <f t="shared" si="19"/>
        <v>0</v>
      </c>
      <c r="F28" s="4428" t="e">
        <f t="shared" si="16"/>
        <v>#DIV/0!</v>
      </c>
      <c r="G28" s="3342"/>
      <c r="H28" s="3341"/>
      <c r="I28" s="3341"/>
      <c r="J28" s="3349">
        <f t="shared" si="20"/>
        <v>0</v>
      </c>
      <c r="K28" s="4428" t="e">
        <f t="shared" si="42"/>
        <v>#DIV/0!</v>
      </c>
      <c r="L28" s="3342"/>
      <c r="M28" s="3341"/>
      <c r="N28" s="3341"/>
      <c r="O28" s="3349">
        <f t="shared" si="21"/>
        <v>0</v>
      </c>
      <c r="P28" s="4428" t="e">
        <f t="shared" si="22"/>
        <v>#DIV/0!</v>
      </c>
      <c r="Q28" s="3409"/>
      <c r="R28" s="3342">
        <f t="shared" si="23"/>
        <v>0</v>
      </c>
      <c r="S28" s="3342">
        <f t="shared" si="23"/>
        <v>0</v>
      </c>
      <c r="T28" s="2012">
        <f t="shared" si="24"/>
        <v>0</v>
      </c>
      <c r="U28" s="3409"/>
      <c r="V28" s="3409"/>
      <c r="W28" s="3342">
        <f t="shared" si="25"/>
        <v>0</v>
      </c>
      <c r="X28" s="3342">
        <f t="shared" si="25"/>
        <v>0</v>
      </c>
      <c r="Y28" s="2012">
        <f t="shared" si="26"/>
        <v>0</v>
      </c>
      <c r="Z28" s="3409"/>
      <c r="AA28" s="3409"/>
      <c r="AB28" s="3341"/>
      <c r="AC28" s="3341"/>
      <c r="AD28" s="3349">
        <f t="shared" si="27"/>
        <v>0</v>
      </c>
      <c r="AE28" s="4428" t="e">
        <f t="shared" si="43"/>
        <v>#DIV/0!</v>
      </c>
      <c r="AF28" s="3409"/>
      <c r="AG28" s="3341"/>
      <c r="AH28" s="3341"/>
      <c r="AI28" s="3349">
        <f t="shared" si="28"/>
        <v>0</v>
      </c>
      <c r="AJ28" s="4428" t="e">
        <f t="shared" si="44"/>
        <v>#DIV/0!</v>
      </c>
      <c r="AK28" s="3409"/>
      <c r="AL28" s="3341"/>
      <c r="AM28" s="3341"/>
      <c r="AN28" s="3349">
        <f t="shared" si="29"/>
        <v>0</v>
      </c>
      <c r="AO28" s="4428" t="e">
        <f t="shared" si="45"/>
        <v>#DIV/0!</v>
      </c>
      <c r="AP28" s="3409"/>
      <c r="AQ28" s="3341"/>
      <c r="AR28" s="3341"/>
      <c r="AS28" s="3349">
        <f t="shared" si="30"/>
        <v>0</v>
      </c>
      <c r="AT28" s="4428" t="e">
        <f t="shared" si="46"/>
        <v>#DIV/0!</v>
      </c>
      <c r="AU28" s="3409"/>
      <c r="AV28" s="3341"/>
      <c r="AW28" s="3341"/>
      <c r="AX28" s="3349">
        <f t="shared" si="31"/>
        <v>0</v>
      </c>
      <c r="AY28" s="4428" t="e">
        <f t="shared" si="47"/>
        <v>#DIV/0!</v>
      </c>
      <c r="AZ28" s="3409"/>
      <c r="BA28" s="3341"/>
      <c r="BB28" s="3341"/>
      <c r="BC28" s="3349">
        <f t="shared" si="32"/>
        <v>0</v>
      </c>
      <c r="BD28" s="4428">
        <f t="shared" si="48"/>
        <v>0</v>
      </c>
      <c r="BE28" s="2047"/>
      <c r="BF28" s="3341"/>
      <c r="BG28" s="3341"/>
      <c r="BH28" s="3349">
        <f t="shared" si="33"/>
        <v>0</v>
      </c>
      <c r="BI28" s="4428" t="e">
        <f t="shared" si="49"/>
        <v>#DIV/0!</v>
      </c>
      <c r="BJ28" s="3409"/>
      <c r="BK28" s="3341"/>
      <c r="BL28" s="3341"/>
      <c r="BM28" s="3349">
        <f t="shared" si="34"/>
        <v>0</v>
      </c>
      <c r="BN28" s="4428" t="e">
        <f t="shared" si="50"/>
        <v>#DIV/0!</v>
      </c>
      <c r="BO28" s="3409"/>
      <c r="BP28" s="3341"/>
      <c r="BQ28" s="3341"/>
      <c r="BR28" s="3349">
        <f t="shared" si="35"/>
        <v>0</v>
      </c>
      <c r="BS28" s="4428" t="e">
        <f t="shared" si="51"/>
        <v>#DIV/0!</v>
      </c>
      <c r="BT28" s="3409"/>
      <c r="BU28" s="3341"/>
      <c r="BV28" s="3341"/>
      <c r="BW28" s="3349">
        <f t="shared" si="36"/>
        <v>0</v>
      </c>
      <c r="BX28" s="4428" t="e">
        <f t="shared" si="52"/>
        <v>#DIV/0!</v>
      </c>
      <c r="BY28" s="3409"/>
      <c r="BZ28" s="3341"/>
      <c r="CA28" s="3341"/>
      <c r="CB28" s="3349">
        <f t="shared" si="37"/>
        <v>0</v>
      </c>
      <c r="CC28" s="4428" t="e">
        <f t="shared" si="53"/>
        <v>#DIV/0!</v>
      </c>
      <c r="CD28" s="3409"/>
      <c r="CE28" s="3341"/>
      <c r="CF28" s="3341"/>
      <c r="CG28" s="3349">
        <f t="shared" si="38"/>
        <v>0</v>
      </c>
      <c r="CH28" s="4428" t="e">
        <f t="shared" si="54"/>
        <v>#DIV/0!</v>
      </c>
      <c r="CI28" s="3409"/>
      <c r="CJ28" s="3341">
        <f t="shared" si="39"/>
        <v>0</v>
      </c>
      <c r="CK28" s="3341">
        <f t="shared" si="39"/>
        <v>0</v>
      </c>
      <c r="CL28" s="3349">
        <f t="shared" si="55"/>
        <v>0</v>
      </c>
      <c r="CM28" s="4428">
        <f t="shared" si="40"/>
        <v>0</v>
      </c>
      <c r="CN28" s="1434"/>
      <c r="CP28" s="4615"/>
      <c r="CQ28" s="2012">
        <f t="shared" si="41"/>
        <v>0</v>
      </c>
      <c r="CR28" s="4615">
        <f t="shared" si="56"/>
        <v>0</v>
      </c>
      <c r="CT28" s="3443"/>
    </row>
    <row r="29" spans="1:100" s="1396" customFormat="1" ht="13.8" outlineLevel="2">
      <c r="A29" s="1571"/>
      <c r="B29" s="4430" t="s">
        <v>31</v>
      </c>
      <c r="C29" s="3341"/>
      <c r="D29" s="3341"/>
      <c r="E29" s="3349">
        <f t="shared" si="19"/>
        <v>0</v>
      </c>
      <c r="F29" s="4428" t="e">
        <f t="shared" si="16"/>
        <v>#DIV/0!</v>
      </c>
      <c r="G29" s="3342"/>
      <c r="H29" s="3341"/>
      <c r="I29" s="3341"/>
      <c r="J29" s="3349">
        <f t="shared" si="20"/>
        <v>0</v>
      </c>
      <c r="K29" s="4428" t="e">
        <f t="shared" si="42"/>
        <v>#DIV/0!</v>
      </c>
      <c r="L29" s="3342"/>
      <c r="M29" s="3341"/>
      <c r="N29" s="3341"/>
      <c r="O29" s="3349">
        <f t="shared" si="21"/>
        <v>0</v>
      </c>
      <c r="P29" s="4428" t="e">
        <f t="shared" si="22"/>
        <v>#DIV/0!</v>
      </c>
      <c r="Q29" s="3342"/>
      <c r="R29" s="3342">
        <f t="shared" si="23"/>
        <v>0</v>
      </c>
      <c r="S29" s="3342">
        <f t="shared" si="23"/>
        <v>0</v>
      </c>
      <c r="T29" s="2012">
        <f t="shared" si="24"/>
        <v>0</v>
      </c>
      <c r="U29" s="3342"/>
      <c r="V29" s="3342"/>
      <c r="W29" s="3342">
        <f t="shared" si="25"/>
        <v>0</v>
      </c>
      <c r="X29" s="3342">
        <f t="shared" si="25"/>
        <v>0</v>
      </c>
      <c r="Y29" s="2012">
        <f t="shared" si="26"/>
        <v>0</v>
      </c>
      <c r="Z29" s="3342"/>
      <c r="AA29" s="3342"/>
      <c r="AB29" s="3341"/>
      <c r="AC29" s="3341"/>
      <c r="AD29" s="3349">
        <f t="shared" si="27"/>
        <v>0</v>
      </c>
      <c r="AE29" s="4428" t="e">
        <f t="shared" si="43"/>
        <v>#DIV/0!</v>
      </c>
      <c r="AF29" s="3342"/>
      <c r="AG29" s="3341"/>
      <c r="AH29" s="3341"/>
      <c r="AI29" s="3349">
        <f t="shared" si="28"/>
        <v>0</v>
      </c>
      <c r="AJ29" s="4428" t="e">
        <f t="shared" si="44"/>
        <v>#DIV/0!</v>
      </c>
      <c r="AK29" s="3342"/>
      <c r="AL29" s="3341"/>
      <c r="AM29" s="3341"/>
      <c r="AN29" s="3349">
        <f t="shared" si="29"/>
        <v>0</v>
      </c>
      <c r="AO29" s="4428" t="e">
        <f t="shared" si="45"/>
        <v>#DIV/0!</v>
      </c>
      <c r="AP29" s="3342"/>
      <c r="AQ29" s="3341"/>
      <c r="AR29" s="3341"/>
      <c r="AS29" s="3349">
        <f t="shared" si="30"/>
        <v>0</v>
      </c>
      <c r="AT29" s="4428" t="e">
        <f t="shared" si="46"/>
        <v>#DIV/0!</v>
      </c>
      <c r="AU29" s="3342"/>
      <c r="AV29" s="3341"/>
      <c r="AW29" s="3341"/>
      <c r="AX29" s="3349">
        <f t="shared" si="31"/>
        <v>0</v>
      </c>
      <c r="AY29" s="4428" t="e">
        <f t="shared" si="47"/>
        <v>#DIV/0!</v>
      </c>
      <c r="AZ29" s="3342"/>
      <c r="BA29" s="3341"/>
      <c r="BB29" s="3341"/>
      <c r="BC29" s="3349">
        <f t="shared" si="32"/>
        <v>0</v>
      </c>
      <c r="BD29" s="4428">
        <f t="shared" si="48"/>
        <v>0</v>
      </c>
      <c r="BE29" s="2047"/>
      <c r="BF29" s="3341"/>
      <c r="BG29" s="3341"/>
      <c r="BH29" s="3349">
        <f t="shared" si="33"/>
        <v>0</v>
      </c>
      <c r="BI29" s="4428" t="e">
        <f t="shared" si="49"/>
        <v>#DIV/0!</v>
      </c>
      <c r="BJ29" s="3342"/>
      <c r="BK29" s="3341"/>
      <c r="BL29" s="3341"/>
      <c r="BM29" s="3349">
        <f t="shared" si="34"/>
        <v>0</v>
      </c>
      <c r="BN29" s="4428" t="e">
        <f t="shared" si="50"/>
        <v>#DIV/0!</v>
      </c>
      <c r="BO29" s="3342"/>
      <c r="BP29" s="3341"/>
      <c r="BQ29" s="3341"/>
      <c r="BR29" s="3349">
        <f t="shared" si="35"/>
        <v>0</v>
      </c>
      <c r="BS29" s="4428" t="e">
        <f t="shared" si="51"/>
        <v>#DIV/0!</v>
      </c>
      <c r="BT29" s="3342"/>
      <c r="BU29" s="3341"/>
      <c r="BV29" s="3341"/>
      <c r="BW29" s="3349">
        <f t="shared" si="36"/>
        <v>0</v>
      </c>
      <c r="BX29" s="4428" t="e">
        <f t="shared" si="52"/>
        <v>#DIV/0!</v>
      </c>
      <c r="BY29" s="3342"/>
      <c r="BZ29" s="3341"/>
      <c r="CA29" s="3341"/>
      <c r="CB29" s="3349">
        <f t="shared" si="37"/>
        <v>0</v>
      </c>
      <c r="CC29" s="4428" t="e">
        <f t="shared" si="53"/>
        <v>#DIV/0!</v>
      </c>
      <c r="CD29" s="3342"/>
      <c r="CE29" s="3341"/>
      <c r="CF29" s="3341"/>
      <c r="CG29" s="3349">
        <f t="shared" si="38"/>
        <v>0</v>
      </c>
      <c r="CH29" s="4428" t="e">
        <f t="shared" si="54"/>
        <v>#DIV/0!</v>
      </c>
      <c r="CI29" s="3342"/>
      <c r="CJ29" s="3341">
        <f t="shared" si="39"/>
        <v>0</v>
      </c>
      <c r="CK29" s="3341">
        <f t="shared" si="39"/>
        <v>0</v>
      </c>
      <c r="CL29" s="3349">
        <f t="shared" si="55"/>
        <v>0</v>
      </c>
      <c r="CM29" s="4428">
        <f t="shared" si="40"/>
        <v>0</v>
      </c>
      <c r="CN29" s="4432"/>
      <c r="CP29" s="4615"/>
      <c r="CQ29" s="2012">
        <f t="shared" si="41"/>
        <v>0</v>
      </c>
      <c r="CR29" s="4615">
        <f t="shared" si="56"/>
        <v>0</v>
      </c>
      <c r="CT29" s="2624"/>
    </row>
    <row r="30" spans="1:100" s="1396" customFormat="1" ht="13.8" outlineLevel="2">
      <c r="A30" s="1571"/>
      <c r="B30" s="4430" t="s">
        <v>62</v>
      </c>
      <c r="C30" s="3341"/>
      <c r="D30" s="3341"/>
      <c r="E30" s="3349">
        <f t="shared" si="19"/>
        <v>0</v>
      </c>
      <c r="F30" s="4428" t="e">
        <f t="shared" si="16"/>
        <v>#DIV/0!</v>
      </c>
      <c r="G30" s="3343"/>
      <c r="H30" s="3341"/>
      <c r="I30" s="3341"/>
      <c r="J30" s="3349">
        <f t="shared" si="20"/>
        <v>0</v>
      </c>
      <c r="K30" s="4428" t="e">
        <f t="shared" si="42"/>
        <v>#DIV/0!</v>
      </c>
      <c r="L30" s="3343"/>
      <c r="M30" s="3341"/>
      <c r="N30" s="3341"/>
      <c r="O30" s="3349">
        <f t="shared" si="21"/>
        <v>0</v>
      </c>
      <c r="P30" s="4428" t="e">
        <f t="shared" si="22"/>
        <v>#DIV/0!</v>
      </c>
      <c r="Q30" s="3342"/>
      <c r="R30" s="3342">
        <f t="shared" si="23"/>
        <v>0</v>
      </c>
      <c r="S30" s="3342">
        <f t="shared" si="23"/>
        <v>0</v>
      </c>
      <c r="T30" s="2012">
        <f t="shared" si="24"/>
        <v>0</v>
      </c>
      <c r="U30" s="3342"/>
      <c r="V30" s="3342"/>
      <c r="W30" s="3342">
        <f t="shared" si="25"/>
        <v>0</v>
      </c>
      <c r="X30" s="3342">
        <f t="shared" si="25"/>
        <v>0</v>
      </c>
      <c r="Y30" s="2012">
        <f t="shared" si="26"/>
        <v>0</v>
      </c>
      <c r="Z30" s="3342"/>
      <c r="AA30" s="3342"/>
      <c r="AB30" s="3341"/>
      <c r="AC30" s="3341"/>
      <c r="AD30" s="3349">
        <f t="shared" si="27"/>
        <v>0</v>
      </c>
      <c r="AE30" s="4428" t="e">
        <f t="shared" si="43"/>
        <v>#DIV/0!</v>
      </c>
      <c r="AF30" s="3342"/>
      <c r="AG30" s="3341"/>
      <c r="AH30" s="3341"/>
      <c r="AI30" s="3349">
        <f t="shared" si="28"/>
        <v>0</v>
      </c>
      <c r="AJ30" s="4428" t="e">
        <f t="shared" si="44"/>
        <v>#DIV/0!</v>
      </c>
      <c r="AK30" s="3342"/>
      <c r="AL30" s="3341"/>
      <c r="AM30" s="3341"/>
      <c r="AN30" s="3349">
        <f t="shared" si="29"/>
        <v>0</v>
      </c>
      <c r="AO30" s="4428" t="e">
        <f t="shared" si="45"/>
        <v>#DIV/0!</v>
      </c>
      <c r="AP30" s="3342"/>
      <c r="AQ30" s="3341"/>
      <c r="AR30" s="3341"/>
      <c r="AS30" s="3349">
        <f t="shared" si="30"/>
        <v>0</v>
      </c>
      <c r="AT30" s="4428" t="e">
        <f t="shared" si="46"/>
        <v>#DIV/0!</v>
      </c>
      <c r="AU30" s="3342"/>
      <c r="AV30" s="3341"/>
      <c r="AW30" s="3341"/>
      <c r="AX30" s="3349">
        <f t="shared" si="31"/>
        <v>0</v>
      </c>
      <c r="AY30" s="4428" t="e">
        <f t="shared" si="47"/>
        <v>#DIV/0!</v>
      </c>
      <c r="AZ30" s="3342"/>
      <c r="BA30" s="3341"/>
      <c r="BB30" s="3341"/>
      <c r="BC30" s="3349">
        <f t="shared" si="32"/>
        <v>0</v>
      </c>
      <c r="BD30" s="4428">
        <f t="shared" si="48"/>
        <v>0</v>
      </c>
      <c r="BE30" s="2047"/>
      <c r="BF30" s="3341"/>
      <c r="BG30" s="3341"/>
      <c r="BH30" s="3349">
        <f t="shared" si="33"/>
        <v>0</v>
      </c>
      <c r="BI30" s="4428" t="e">
        <f t="shared" si="49"/>
        <v>#DIV/0!</v>
      </c>
      <c r="BJ30" s="3342"/>
      <c r="BK30" s="3341"/>
      <c r="BL30" s="3341"/>
      <c r="BM30" s="3349">
        <f t="shared" si="34"/>
        <v>0</v>
      </c>
      <c r="BN30" s="4428" t="e">
        <f t="shared" si="50"/>
        <v>#DIV/0!</v>
      </c>
      <c r="BO30" s="3342"/>
      <c r="BP30" s="3341"/>
      <c r="BQ30" s="3341"/>
      <c r="BR30" s="3349">
        <f t="shared" si="35"/>
        <v>0</v>
      </c>
      <c r="BS30" s="4428" t="e">
        <f t="shared" si="51"/>
        <v>#DIV/0!</v>
      </c>
      <c r="BT30" s="3342"/>
      <c r="BU30" s="3341"/>
      <c r="BV30" s="3341"/>
      <c r="BW30" s="3349">
        <f t="shared" si="36"/>
        <v>0</v>
      </c>
      <c r="BX30" s="4428" t="e">
        <f t="shared" si="52"/>
        <v>#DIV/0!</v>
      </c>
      <c r="BY30" s="3342"/>
      <c r="BZ30" s="3341"/>
      <c r="CA30" s="3341"/>
      <c r="CB30" s="3349">
        <f t="shared" si="37"/>
        <v>0</v>
      </c>
      <c r="CC30" s="4428" t="e">
        <f t="shared" si="53"/>
        <v>#DIV/0!</v>
      </c>
      <c r="CD30" s="3342"/>
      <c r="CE30" s="3341"/>
      <c r="CF30" s="3341"/>
      <c r="CG30" s="3349">
        <f t="shared" si="38"/>
        <v>0</v>
      </c>
      <c r="CH30" s="4428" t="e">
        <f t="shared" si="54"/>
        <v>#DIV/0!</v>
      </c>
      <c r="CI30" s="3342"/>
      <c r="CJ30" s="3341">
        <f t="shared" si="39"/>
        <v>0</v>
      </c>
      <c r="CK30" s="3341"/>
      <c r="CL30" s="3349">
        <f t="shared" si="55"/>
        <v>0</v>
      </c>
      <c r="CM30" s="4428">
        <f t="shared" si="40"/>
        <v>0</v>
      </c>
      <c r="CN30" s="4432"/>
      <c r="CP30" s="4615">
        <f>21000*CT4</f>
        <v>147000</v>
      </c>
      <c r="CQ30" s="2012">
        <f t="shared" si="41"/>
        <v>0</v>
      </c>
      <c r="CR30" s="4615">
        <f t="shared" si="56"/>
        <v>147000</v>
      </c>
      <c r="CS30" s="3307"/>
      <c r="CT30" s="3443"/>
    </row>
    <row r="31" spans="1:100" s="1396" customFormat="1" ht="13.8" outlineLevel="2">
      <c r="A31" s="1571"/>
      <c r="B31" s="4430" t="s">
        <v>34</v>
      </c>
      <c r="C31" s="3341"/>
      <c r="D31" s="3341"/>
      <c r="E31" s="3349">
        <f t="shared" si="19"/>
        <v>0</v>
      </c>
      <c r="F31" s="4428" t="e">
        <f t="shared" si="16"/>
        <v>#DIV/0!</v>
      </c>
      <c r="G31" s="3343"/>
      <c r="H31" s="3341"/>
      <c r="I31" s="3341"/>
      <c r="J31" s="3349">
        <f t="shared" si="20"/>
        <v>0</v>
      </c>
      <c r="K31" s="4428" t="e">
        <f t="shared" si="42"/>
        <v>#DIV/0!</v>
      </c>
      <c r="L31" s="3343"/>
      <c r="M31" s="3341"/>
      <c r="N31" s="3341"/>
      <c r="O31" s="3349">
        <f t="shared" si="21"/>
        <v>0</v>
      </c>
      <c r="P31" s="4428" t="e">
        <f t="shared" si="22"/>
        <v>#DIV/0!</v>
      </c>
      <c r="Q31" s="3342"/>
      <c r="R31" s="3342">
        <f t="shared" si="23"/>
        <v>0</v>
      </c>
      <c r="S31" s="3342">
        <f t="shared" si="23"/>
        <v>0</v>
      </c>
      <c r="T31" s="2012">
        <f t="shared" si="24"/>
        <v>0</v>
      </c>
      <c r="U31" s="3342"/>
      <c r="V31" s="3342"/>
      <c r="W31" s="3342">
        <f t="shared" si="25"/>
        <v>0</v>
      </c>
      <c r="X31" s="3342">
        <f t="shared" si="25"/>
        <v>0</v>
      </c>
      <c r="Y31" s="2012">
        <f t="shared" si="26"/>
        <v>0</v>
      </c>
      <c r="Z31" s="3342"/>
      <c r="AA31" s="3342"/>
      <c r="AB31" s="3341"/>
      <c r="AC31" s="3341"/>
      <c r="AD31" s="3349">
        <f t="shared" si="27"/>
        <v>0</v>
      </c>
      <c r="AE31" s="4428" t="e">
        <f t="shared" si="43"/>
        <v>#DIV/0!</v>
      </c>
      <c r="AF31" s="3342"/>
      <c r="AG31" s="3341"/>
      <c r="AH31" s="3341"/>
      <c r="AI31" s="3349">
        <f t="shared" si="28"/>
        <v>0</v>
      </c>
      <c r="AJ31" s="4428" t="e">
        <f t="shared" si="44"/>
        <v>#DIV/0!</v>
      </c>
      <c r="AK31" s="3342"/>
      <c r="AL31" s="3341"/>
      <c r="AM31" s="3341"/>
      <c r="AN31" s="3349">
        <f t="shared" si="29"/>
        <v>0</v>
      </c>
      <c r="AO31" s="4428" t="e">
        <f t="shared" si="45"/>
        <v>#DIV/0!</v>
      </c>
      <c r="AP31" s="3342"/>
      <c r="AQ31" s="3341"/>
      <c r="AR31" s="3341"/>
      <c r="AS31" s="3349">
        <f t="shared" si="30"/>
        <v>0</v>
      </c>
      <c r="AT31" s="4428" t="e">
        <f t="shared" si="46"/>
        <v>#DIV/0!</v>
      </c>
      <c r="AU31" s="3342"/>
      <c r="AV31" s="3341"/>
      <c r="AW31" s="3341"/>
      <c r="AX31" s="3349">
        <f t="shared" si="31"/>
        <v>0</v>
      </c>
      <c r="AY31" s="4428" t="e">
        <f t="shared" si="47"/>
        <v>#DIV/0!</v>
      </c>
      <c r="AZ31" s="3342"/>
      <c r="BA31" s="3341"/>
      <c r="BB31" s="3341"/>
      <c r="BC31" s="3349">
        <f t="shared" si="32"/>
        <v>0</v>
      </c>
      <c r="BD31" s="4428">
        <f t="shared" si="48"/>
        <v>0</v>
      </c>
      <c r="BE31" s="3342"/>
      <c r="BF31" s="3341"/>
      <c r="BG31" s="3341"/>
      <c r="BH31" s="3349">
        <f t="shared" si="33"/>
        <v>0</v>
      </c>
      <c r="BI31" s="4428" t="e">
        <f t="shared" si="49"/>
        <v>#DIV/0!</v>
      </c>
      <c r="BJ31" s="3342"/>
      <c r="BK31" s="3341"/>
      <c r="BL31" s="3341"/>
      <c r="BM31" s="3349">
        <f t="shared" si="34"/>
        <v>0</v>
      </c>
      <c r="BN31" s="4428" t="e">
        <f t="shared" si="50"/>
        <v>#DIV/0!</v>
      </c>
      <c r="BO31" s="3342"/>
      <c r="BP31" s="3341"/>
      <c r="BQ31" s="3341"/>
      <c r="BR31" s="3349">
        <f t="shared" si="35"/>
        <v>0</v>
      </c>
      <c r="BS31" s="4428" t="e">
        <f t="shared" si="51"/>
        <v>#DIV/0!</v>
      </c>
      <c r="BT31" s="3342"/>
      <c r="BU31" s="3341"/>
      <c r="BV31" s="3341"/>
      <c r="BW31" s="3349">
        <f t="shared" si="36"/>
        <v>0</v>
      </c>
      <c r="BX31" s="4428" t="e">
        <f t="shared" si="52"/>
        <v>#DIV/0!</v>
      </c>
      <c r="BY31" s="3342"/>
      <c r="BZ31" s="3341"/>
      <c r="CA31" s="3341"/>
      <c r="CB31" s="3349">
        <f t="shared" si="37"/>
        <v>0</v>
      </c>
      <c r="CC31" s="4428" t="e">
        <f t="shared" si="53"/>
        <v>#DIV/0!</v>
      </c>
      <c r="CD31" s="3342"/>
      <c r="CE31" s="3341"/>
      <c r="CF31" s="3341"/>
      <c r="CG31" s="3349">
        <f t="shared" si="38"/>
        <v>0</v>
      </c>
      <c r="CH31" s="4428" t="e">
        <f t="shared" si="54"/>
        <v>#DIV/0!</v>
      </c>
      <c r="CI31" s="3342"/>
      <c r="CJ31" s="3341">
        <f t="shared" si="39"/>
        <v>0</v>
      </c>
      <c r="CK31" s="3341">
        <f t="shared" si="39"/>
        <v>0</v>
      </c>
      <c r="CL31" s="3349">
        <f t="shared" si="55"/>
        <v>0</v>
      </c>
      <c r="CM31" s="4428">
        <f t="shared" si="40"/>
        <v>0</v>
      </c>
      <c r="CN31" s="4432"/>
      <c r="CP31" s="4615">
        <f>20000*CT4</f>
        <v>140000</v>
      </c>
      <c r="CQ31" s="2012">
        <f t="shared" si="41"/>
        <v>0</v>
      </c>
      <c r="CR31" s="4615">
        <f t="shared" si="56"/>
        <v>140000</v>
      </c>
      <c r="CS31" s="3307"/>
      <c r="CT31" s="3443"/>
      <c r="CV31" s="933"/>
    </row>
    <row r="32" spans="1:100" s="1396" customFormat="1" ht="13.8" outlineLevel="2">
      <c r="A32" s="1571"/>
      <c r="B32" s="4433" t="s">
        <v>2</v>
      </c>
      <c r="C32" s="3341"/>
      <c r="D32" s="3341"/>
      <c r="E32" s="3349">
        <f t="shared" si="19"/>
        <v>0</v>
      </c>
      <c r="F32" s="4428" t="e">
        <f t="shared" si="16"/>
        <v>#DIV/0!</v>
      </c>
      <c r="G32" s="4434"/>
      <c r="H32" s="3341"/>
      <c r="I32" s="3341"/>
      <c r="J32" s="3349">
        <f t="shared" si="20"/>
        <v>0</v>
      </c>
      <c r="K32" s="4428" t="e">
        <f t="shared" si="42"/>
        <v>#DIV/0!</v>
      </c>
      <c r="L32" s="4434"/>
      <c r="M32" s="3341"/>
      <c r="N32" s="3341"/>
      <c r="O32" s="3349">
        <f t="shared" si="21"/>
        <v>0</v>
      </c>
      <c r="P32" s="4428" t="e">
        <f t="shared" si="22"/>
        <v>#DIV/0!</v>
      </c>
      <c r="Q32" s="4434"/>
      <c r="R32" s="3342">
        <f t="shared" si="23"/>
        <v>0</v>
      </c>
      <c r="S32" s="3342">
        <f t="shared" si="23"/>
        <v>0</v>
      </c>
      <c r="T32" s="2012">
        <f t="shared" si="24"/>
        <v>0</v>
      </c>
      <c r="U32" s="2048"/>
      <c r="V32" s="2048"/>
      <c r="W32" s="3342">
        <f t="shared" si="25"/>
        <v>0</v>
      </c>
      <c r="X32" s="3342">
        <f t="shared" si="25"/>
        <v>0</v>
      </c>
      <c r="Y32" s="2012">
        <f t="shared" si="26"/>
        <v>0</v>
      </c>
      <c r="Z32" s="2048"/>
      <c r="AA32" s="2048"/>
      <c r="AB32" s="3341"/>
      <c r="AC32" s="3341"/>
      <c r="AD32" s="3349">
        <f t="shared" si="27"/>
        <v>0</v>
      </c>
      <c r="AE32" s="4428" t="e">
        <f t="shared" si="43"/>
        <v>#DIV/0!</v>
      </c>
      <c r="AF32" s="4434"/>
      <c r="AG32" s="3341"/>
      <c r="AH32" s="3341"/>
      <c r="AI32" s="3349">
        <f t="shared" si="28"/>
        <v>0</v>
      </c>
      <c r="AJ32" s="4428" t="e">
        <f t="shared" si="44"/>
        <v>#DIV/0!</v>
      </c>
      <c r="AK32" s="4434"/>
      <c r="AL32" s="3341"/>
      <c r="AM32" s="3341"/>
      <c r="AN32" s="3349">
        <f t="shared" si="29"/>
        <v>0</v>
      </c>
      <c r="AO32" s="4428" t="e">
        <f t="shared" si="45"/>
        <v>#DIV/0!</v>
      </c>
      <c r="AP32" s="4434"/>
      <c r="AQ32" s="3341"/>
      <c r="AR32" s="3341"/>
      <c r="AS32" s="3349">
        <f t="shared" si="30"/>
        <v>0</v>
      </c>
      <c r="AT32" s="4428" t="e">
        <f t="shared" si="46"/>
        <v>#DIV/0!</v>
      </c>
      <c r="AU32" s="4434"/>
      <c r="AV32" s="3341"/>
      <c r="AW32" s="3341"/>
      <c r="AX32" s="3349">
        <f t="shared" si="31"/>
        <v>0</v>
      </c>
      <c r="AY32" s="4428" t="e">
        <f t="shared" si="47"/>
        <v>#DIV/0!</v>
      </c>
      <c r="AZ32" s="4434"/>
      <c r="BA32" s="3341"/>
      <c r="BB32" s="3341"/>
      <c r="BC32" s="3349">
        <f t="shared" si="32"/>
        <v>0</v>
      </c>
      <c r="BD32" s="4428">
        <f t="shared" si="48"/>
        <v>0</v>
      </c>
      <c r="BE32" s="4434"/>
      <c r="BF32" s="3341"/>
      <c r="BG32" s="3341"/>
      <c r="BH32" s="3349">
        <f t="shared" si="33"/>
        <v>0</v>
      </c>
      <c r="BI32" s="4428" t="e">
        <f t="shared" si="49"/>
        <v>#DIV/0!</v>
      </c>
      <c r="BJ32" s="4434"/>
      <c r="BK32" s="3341"/>
      <c r="BL32" s="3341"/>
      <c r="BM32" s="3349">
        <f t="shared" si="34"/>
        <v>0</v>
      </c>
      <c r="BN32" s="4428" t="e">
        <f t="shared" si="50"/>
        <v>#DIV/0!</v>
      </c>
      <c r="BO32" s="4434"/>
      <c r="BP32" s="3341"/>
      <c r="BQ32" s="3341"/>
      <c r="BR32" s="3349">
        <f t="shared" si="35"/>
        <v>0</v>
      </c>
      <c r="BS32" s="4428" t="e">
        <f t="shared" si="51"/>
        <v>#DIV/0!</v>
      </c>
      <c r="BT32" s="4434"/>
      <c r="BU32" s="3341"/>
      <c r="BV32" s="3341"/>
      <c r="BW32" s="3349">
        <f t="shared" si="36"/>
        <v>0</v>
      </c>
      <c r="BX32" s="4428" t="e">
        <f t="shared" si="52"/>
        <v>#DIV/0!</v>
      </c>
      <c r="BY32" s="4434"/>
      <c r="BZ32" s="3341"/>
      <c r="CA32" s="3341"/>
      <c r="CB32" s="3349">
        <f t="shared" si="37"/>
        <v>0</v>
      </c>
      <c r="CC32" s="4428" t="e">
        <f t="shared" si="53"/>
        <v>#DIV/0!</v>
      </c>
      <c r="CD32" s="4434"/>
      <c r="CE32" s="3341"/>
      <c r="CF32" s="3341"/>
      <c r="CG32" s="3349">
        <f t="shared" si="38"/>
        <v>0</v>
      </c>
      <c r="CH32" s="4428" t="e">
        <f t="shared" si="54"/>
        <v>#DIV/0!</v>
      </c>
      <c r="CI32" s="4434"/>
      <c r="CJ32" s="4622">
        <f t="shared" si="39"/>
        <v>0</v>
      </c>
      <c r="CK32" s="4623">
        <f t="shared" si="39"/>
        <v>0</v>
      </c>
      <c r="CL32" s="3349">
        <f t="shared" si="55"/>
        <v>0</v>
      </c>
      <c r="CM32" s="4428">
        <f t="shared" si="40"/>
        <v>0</v>
      </c>
      <c r="CN32" s="4432"/>
      <c r="CP32" s="4615"/>
      <c r="CQ32" s="2012">
        <f t="shared" si="41"/>
        <v>0</v>
      </c>
      <c r="CR32" s="4615">
        <f t="shared" si="56"/>
        <v>0</v>
      </c>
      <c r="CT32" s="2624"/>
    </row>
    <row r="33" spans="1:98" s="1396" customFormat="1" ht="14.4" outlineLevel="2" thickBot="1">
      <c r="A33" s="1571"/>
      <c r="B33" s="4435" t="s">
        <v>75</v>
      </c>
      <c r="C33" s="4624"/>
      <c r="D33" s="4624"/>
      <c r="E33" s="4625">
        <f t="shared" ref="E33" si="57">C33+D33*1</f>
        <v>0</v>
      </c>
      <c r="F33" s="4437" t="e">
        <f t="shared" si="16"/>
        <v>#DIV/0!</v>
      </c>
      <c r="G33" s="4438"/>
      <c r="H33" s="4624"/>
      <c r="I33" s="4624"/>
      <c r="J33" s="4625">
        <f>H33+I33*1</f>
        <v>0</v>
      </c>
      <c r="K33" s="4437" t="e">
        <f t="shared" si="42"/>
        <v>#DIV/0!</v>
      </c>
      <c r="L33" s="4438"/>
      <c r="M33" s="4624"/>
      <c r="N33" s="4624"/>
      <c r="O33" s="4625">
        <f t="shared" ref="O33" si="58">M33+N33*1</f>
        <v>0</v>
      </c>
      <c r="P33" s="4428" t="e">
        <f t="shared" si="22"/>
        <v>#DIV/0!</v>
      </c>
      <c r="Q33" s="4438"/>
      <c r="R33" s="4626">
        <f t="shared" si="23"/>
        <v>0</v>
      </c>
      <c r="S33" s="4627">
        <f t="shared" si="23"/>
        <v>0</v>
      </c>
      <c r="T33" s="4628">
        <f t="shared" si="24"/>
        <v>0</v>
      </c>
      <c r="U33" s="4438"/>
      <c r="V33" s="4438"/>
      <c r="W33" s="4627">
        <f t="shared" si="25"/>
        <v>0</v>
      </c>
      <c r="X33" s="4627">
        <f t="shared" si="25"/>
        <v>0</v>
      </c>
      <c r="Y33" s="4628">
        <f t="shared" si="26"/>
        <v>0</v>
      </c>
      <c r="Z33" s="4438"/>
      <c r="AA33" s="4438"/>
      <c r="AB33" s="4624"/>
      <c r="AC33" s="4624"/>
      <c r="AD33" s="4625">
        <f t="shared" ref="AD33" si="59">AB33+AC33*1</f>
        <v>0</v>
      </c>
      <c r="AE33" s="4437" t="e">
        <f t="shared" si="43"/>
        <v>#DIV/0!</v>
      </c>
      <c r="AF33" s="4438"/>
      <c r="AG33" s="4624"/>
      <c r="AH33" s="4624"/>
      <c r="AI33" s="4625">
        <f t="shared" ref="AI33" si="60">AG33+AH33*1</f>
        <v>0</v>
      </c>
      <c r="AJ33" s="4437" t="e">
        <f t="shared" si="44"/>
        <v>#DIV/0!</v>
      </c>
      <c r="AK33" s="4438"/>
      <c r="AL33" s="4624"/>
      <c r="AM33" s="4624"/>
      <c r="AN33" s="4625">
        <f t="shared" ref="AN33" si="61">AL33+AM33*1</f>
        <v>0</v>
      </c>
      <c r="AO33" s="4437" t="e">
        <f t="shared" si="45"/>
        <v>#DIV/0!</v>
      </c>
      <c r="AP33" s="4438"/>
      <c r="AQ33" s="4624"/>
      <c r="AR33" s="4624"/>
      <c r="AS33" s="4625">
        <f t="shared" ref="AS33" si="62">AQ33+AR33*1</f>
        <v>0</v>
      </c>
      <c r="AT33" s="4437" t="e">
        <f t="shared" si="46"/>
        <v>#DIV/0!</v>
      </c>
      <c r="AU33" s="4438"/>
      <c r="AV33" s="4624"/>
      <c r="AW33" s="4624"/>
      <c r="AX33" s="4625">
        <f t="shared" ref="AX33" si="63">AV33+AW33*1</f>
        <v>0</v>
      </c>
      <c r="AY33" s="4437" t="e">
        <f t="shared" si="47"/>
        <v>#DIV/0!</v>
      </c>
      <c r="AZ33" s="4438"/>
      <c r="BA33" s="4624"/>
      <c r="BB33" s="4624"/>
      <c r="BC33" s="4625">
        <f t="shared" ref="BC33" si="64">BA33+BB33*1</f>
        <v>0</v>
      </c>
      <c r="BD33" s="4437">
        <f t="shared" si="48"/>
        <v>0</v>
      </c>
      <c r="BE33" s="4438"/>
      <c r="BF33" s="4624"/>
      <c r="BG33" s="4624"/>
      <c r="BH33" s="4625">
        <f t="shared" ref="BH33" si="65">BF33+BG33*1</f>
        <v>0</v>
      </c>
      <c r="BI33" s="4437" t="e">
        <f t="shared" si="49"/>
        <v>#DIV/0!</v>
      </c>
      <c r="BJ33" s="4438"/>
      <c r="BK33" s="4624"/>
      <c r="BL33" s="4624"/>
      <c r="BM33" s="4625">
        <f t="shared" ref="BM33" si="66">BK33+BL33*1</f>
        <v>0</v>
      </c>
      <c r="BN33" s="4437" t="e">
        <f t="shared" si="50"/>
        <v>#DIV/0!</v>
      </c>
      <c r="BO33" s="4438"/>
      <c r="BP33" s="4624"/>
      <c r="BQ33" s="4624"/>
      <c r="BR33" s="4625">
        <f t="shared" ref="BR33" si="67">BP33+BQ33*1</f>
        <v>0</v>
      </c>
      <c r="BS33" s="4437" t="e">
        <f t="shared" si="51"/>
        <v>#DIV/0!</v>
      </c>
      <c r="BT33" s="4438"/>
      <c r="BU33" s="4624"/>
      <c r="BV33" s="4624"/>
      <c r="BW33" s="4625">
        <f t="shared" ref="BW33" si="68">BU33+BV33*1</f>
        <v>0</v>
      </c>
      <c r="BX33" s="4437" t="e">
        <f t="shared" si="52"/>
        <v>#DIV/0!</v>
      </c>
      <c r="BY33" s="4438"/>
      <c r="BZ33" s="4624"/>
      <c r="CA33" s="4624"/>
      <c r="CB33" s="4625">
        <f t="shared" ref="CB33" si="69">BZ33+CA33*1</f>
        <v>0</v>
      </c>
      <c r="CC33" s="4437" t="e">
        <f t="shared" si="53"/>
        <v>#DIV/0!</v>
      </c>
      <c r="CD33" s="4438"/>
      <c r="CE33" s="4624"/>
      <c r="CF33" s="4624"/>
      <c r="CG33" s="4625">
        <f t="shared" ref="CG33" si="70">CE33+CF33*1</f>
        <v>0</v>
      </c>
      <c r="CH33" s="4437" t="e">
        <f t="shared" si="54"/>
        <v>#DIV/0!</v>
      </c>
      <c r="CI33" s="4438"/>
      <c r="CJ33" s="4629">
        <f t="shared" si="39"/>
        <v>0</v>
      </c>
      <c r="CK33" s="4624">
        <f t="shared" si="39"/>
        <v>0</v>
      </c>
      <c r="CL33" s="4625">
        <f t="shared" si="55"/>
        <v>0</v>
      </c>
      <c r="CM33" s="4488">
        <f t="shared" si="40"/>
        <v>0</v>
      </c>
      <c r="CN33" s="4490"/>
      <c r="CP33" s="4615"/>
      <c r="CQ33" s="4615"/>
      <c r="CR33" s="4615">
        <f t="shared" si="56"/>
        <v>0</v>
      </c>
      <c r="CT33" s="2624"/>
    </row>
    <row r="34" spans="1:98" s="1396" customFormat="1" ht="13.8" outlineLevel="2">
      <c r="A34" s="1571"/>
      <c r="B34" s="1616"/>
      <c r="C34" s="3341"/>
      <c r="D34" s="3341"/>
      <c r="E34" s="3368"/>
      <c r="F34" s="3368"/>
      <c r="G34" s="3448"/>
      <c r="H34" s="3341"/>
      <c r="I34" s="3341"/>
      <c r="J34" s="3368"/>
      <c r="K34" s="3368"/>
      <c r="L34" s="3448"/>
      <c r="M34" s="3341"/>
      <c r="N34" s="3341"/>
      <c r="O34" s="3368"/>
      <c r="P34" s="3368"/>
      <c r="Q34" s="3448"/>
      <c r="R34" s="3448"/>
      <c r="S34" s="3448"/>
      <c r="T34" s="3448"/>
      <c r="U34" s="3448"/>
      <c r="V34" s="3448"/>
      <c r="W34" s="3448"/>
      <c r="X34" s="3448"/>
      <c r="Y34" s="3448"/>
      <c r="Z34" s="3448"/>
      <c r="AA34" s="3448"/>
      <c r="AB34" s="3341"/>
      <c r="AC34" s="3341"/>
      <c r="AD34" s="3368"/>
      <c r="AE34" s="3368"/>
      <c r="AF34" s="3448"/>
      <c r="AG34" s="3341"/>
      <c r="AH34" s="3341"/>
      <c r="AI34" s="3368"/>
      <c r="AJ34" s="3368"/>
      <c r="AK34" s="3448"/>
      <c r="AL34" s="3341"/>
      <c r="AM34" s="3341"/>
      <c r="AN34" s="3368"/>
      <c r="AO34" s="3368"/>
      <c r="AP34" s="3448"/>
      <c r="AQ34" s="3341"/>
      <c r="AR34" s="3341"/>
      <c r="AS34" s="3368"/>
      <c r="AT34" s="3368"/>
      <c r="AU34" s="3448"/>
      <c r="AV34" s="3341"/>
      <c r="AW34" s="3341"/>
      <c r="AX34" s="3368"/>
      <c r="AY34" s="3368"/>
      <c r="AZ34" s="3448"/>
      <c r="BA34" s="3341"/>
      <c r="BB34" s="3341"/>
      <c r="BC34" s="3368"/>
      <c r="BD34" s="3368"/>
      <c r="BE34" s="3448"/>
      <c r="BF34" s="3341"/>
      <c r="BG34" s="3341"/>
      <c r="BH34" s="3368"/>
      <c r="BI34" s="3368"/>
      <c r="BJ34" s="3448"/>
      <c r="BK34" s="3341"/>
      <c r="BL34" s="3341"/>
      <c r="BM34" s="3368"/>
      <c r="BN34" s="3368"/>
      <c r="BO34" s="3448"/>
      <c r="BP34" s="3341"/>
      <c r="BQ34" s="3341"/>
      <c r="BR34" s="3368"/>
      <c r="BS34" s="3368"/>
      <c r="BT34" s="3448"/>
      <c r="BU34" s="3341"/>
      <c r="BV34" s="3341"/>
      <c r="BW34" s="3368"/>
      <c r="BX34" s="3368"/>
      <c r="BY34" s="3448"/>
      <c r="BZ34" s="3341"/>
      <c r="CA34" s="3341"/>
      <c r="CB34" s="3368"/>
      <c r="CC34" s="3368"/>
      <c r="CD34" s="3448"/>
      <c r="CE34" s="3341"/>
      <c r="CF34" s="3341"/>
      <c r="CG34" s="3368"/>
      <c r="CH34" s="3368"/>
      <c r="CI34" s="3448"/>
      <c r="CJ34" s="3341"/>
      <c r="CK34" s="3341"/>
      <c r="CL34" s="3368"/>
      <c r="CM34" s="3368"/>
      <c r="CN34" s="3368"/>
      <c r="CP34" s="4630"/>
      <c r="CQ34" s="4630"/>
      <c r="CR34" s="4630"/>
      <c r="CT34" s="2624"/>
    </row>
    <row r="35" spans="1:98" s="1396" customFormat="1" ht="13.8" outlineLevel="1">
      <c r="A35" s="1571"/>
      <c r="B35" s="4440" t="s">
        <v>80</v>
      </c>
      <c r="C35" s="4441">
        <f>C36</f>
        <v>0</v>
      </c>
      <c r="D35" s="4441">
        <f>D36</f>
        <v>0</v>
      </c>
      <c r="E35" s="4442">
        <f>E36</f>
        <v>0</v>
      </c>
      <c r="F35" s="4442"/>
      <c r="G35" s="4443"/>
      <c r="H35" s="4441">
        <f>H36</f>
        <v>0</v>
      </c>
      <c r="I35" s="4441">
        <f>I36</f>
        <v>0</v>
      </c>
      <c r="J35" s="4442">
        <f>J36</f>
        <v>0</v>
      </c>
      <c r="K35" s="4442"/>
      <c r="L35" s="4443"/>
      <c r="M35" s="4441">
        <f>M36</f>
        <v>0</v>
      </c>
      <c r="N35" s="4441">
        <f>N36</f>
        <v>0</v>
      </c>
      <c r="O35" s="4442">
        <f>O36</f>
        <v>0</v>
      </c>
      <c r="P35" s="4442"/>
      <c r="Q35" s="4443"/>
      <c r="R35" s="4441">
        <f>R36</f>
        <v>0</v>
      </c>
      <c r="S35" s="4441">
        <f>S36</f>
        <v>0</v>
      </c>
      <c r="T35" s="4442">
        <f>T36</f>
        <v>0</v>
      </c>
      <c r="U35" s="4444"/>
      <c r="V35" s="4444"/>
      <c r="W35" s="4441">
        <f>W36</f>
        <v>0</v>
      </c>
      <c r="X35" s="4441">
        <f>X36</f>
        <v>0</v>
      </c>
      <c r="Y35" s="4442">
        <f>Y36</f>
        <v>0</v>
      </c>
      <c r="Z35" s="4444"/>
      <c r="AA35" s="4444"/>
      <c r="AB35" s="4441">
        <f>AB36</f>
        <v>0</v>
      </c>
      <c r="AC35" s="4441">
        <f>AC36</f>
        <v>0</v>
      </c>
      <c r="AD35" s="4442">
        <f>AD36</f>
        <v>0</v>
      </c>
      <c r="AE35" s="4442"/>
      <c r="AF35" s="4443"/>
      <c r="AG35" s="4441">
        <f>AG36</f>
        <v>0</v>
      </c>
      <c r="AH35" s="4441">
        <f>AH36</f>
        <v>0</v>
      </c>
      <c r="AI35" s="4442">
        <f>AI36</f>
        <v>0</v>
      </c>
      <c r="AJ35" s="4442"/>
      <c r="AK35" s="4443"/>
      <c r="AL35" s="4441">
        <f>AL36</f>
        <v>0</v>
      </c>
      <c r="AM35" s="4441">
        <f>AM36</f>
        <v>0</v>
      </c>
      <c r="AN35" s="4442">
        <f>AN36</f>
        <v>0</v>
      </c>
      <c r="AO35" s="4442"/>
      <c r="AP35" s="4443"/>
      <c r="AQ35" s="4441">
        <f>AQ36</f>
        <v>0</v>
      </c>
      <c r="AR35" s="4441">
        <f>AR36</f>
        <v>0</v>
      </c>
      <c r="AS35" s="4442">
        <f>AS36</f>
        <v>0</v>
      </c>
      <c r="AT35" s="4442"/>
      <c r="AU35" s="4443"/>
      <c r="AV35" s="4441">
        <f>AV36</f>
        <v>0</v>
      </c>
      <c r="AW35" s="4441">
        <f>AW36</f>
        <v>0</v>
      </c>
      <c r="AX35" s="4442">
        <f>AX36</f>
        <v>0</v>
      </c>
      <c r="AY35" s="4442"/>
      <c r="AZ35" s="4443"/>
      <c r="BA35" s="4441">
        <f>BA36</f>
        <v>0</v>
      </c>
      <c r="BB35" s="4441">
        <f>BB36</f>
        <v>0</v>
      </c>
      <c r="BC35" s="4442">
        <f>BC36</f>
        <v>0</v>
      </c>
      <c r="BD35" s="4442"/>
      <c r="BE35" s="4443"/>
      <c r="BF35" s="4441">
        <f>BF36</f>
        <v>0</v>
      </c>
      <c r="BG35" s="4441">
        <f>BG36</f>
        <v>0</v>
      </c>
      <c r="BH35" s="4442">
        <f>BH36</f>
        <v>0</v>
      </c>
      <c r="BI35" s="4442"/>
      <c r="BJ35" s="4443"/>
      <c r="BK35" s="4441">
        <f>BK36</f>
        <v>0</v>
      </c>
      <c r="BL35" s="4441">
        <f>BL36</f>
        <v>0</v>
      </c>
      <c r="BM35" s="4442">
        <f>BM36</f>
        <v>0</v>
      </c>
      <c r="BN35" s="4442"/>
      <c r="BO35" s="4443"/>
      <c r="BP35" s="4441">
        <f>BP36</f>
        <v>0</v>
      </c>
      <c r="BQ35" s="4441">
        <f>BQ36</f>
        <v>0</v>
      </c>
      <c r="BR35" s="4442">
        <f>BR36</f>
        <v>0</v>
      </c>
      <c r="BS35" s="4442"/>
      <c r="BT35" s="4443"/>
      <c r="BU35" s="4441">
        <f>BU36</f>
        <v>0</v>
      </c>
      <c r="BV35" s="4441">
        <f>BV36</f>
        <v>0</v>
      </c>
      <c r="BW35" s="4442">
        <f>BW36</f>
        <v>0</v>
      </c>
      <c r="BX35" s="4442"/>
      <c r="BY35" s="4443"/>
      <c r="BZ35" s="4441">
        <f>BZ36</f>
        <v>0</v>
      </c>
      <c r="CA35" s="4441">
        <f>CA36</f>
        <v>0</v>
      </c>
      <c r="CB35" s="4442">
        <f>CB36</f>
        <v>0</v>
      </c>
      <c r="CC35" s="4442"/>
      <c r="CD35" s="4443"/>
      <c r="CE35" s="4441">
        <f>CE36</f>
        <v>0</v>
      </c>
      <c r="CF35" s="4441">
        <f>CF36</f>
        <v>0</v>
      </c>
      <c r="CG35" s="4442">
        <f>CG36</f>
        <v>0</v>
      </c>
      <c r="CH35" s="4442"/>
      <c r="CI35" s="4443"/>
      <c r="CJ35" s="4441">
        <f>CJ36</f>
        <v>0</v>
      </c>
      <c r="CK35" s="4441">
        <f>CK36</f>
        <v>0</v>
      </c>
      <c r="CL35" s="4442">
        <f>CL36</f>
        <v>0</v>
      </c>
      <c r="CM35" s="4442"/>
      <c r="CN35" s="4442"/>
      <c r="CP35" s="4631">
        <f>CP36</f>
        <v>0</v>
      </c>
      <c r="CQ35" s="4631">
        <f>CQ36</f>
        <v>0</v>
      </c>
      <c r="CR35" s="4631">
        <f>CR36</f>
        <v>0</v>
      </c>
      <c r="CT35" s="2624"/>
    </row>
    <row r="36" spans="1:98" s="1396" customFormat="1" ht="13.8" outlineLevel="3">
      <c r="A36" s="1571"/>
      <c r="B36" s="4632" t="s">
        <v>81</v>
      </c>
      <c r="C36" s="3341"/>
      <c r="D36" s="3341"/>
      <c r="E36" s="2012">
        <f>C36+D36*1</f>
        <v>0</v>
      </c>
      <c r="F36" s="4428" t="e">
        <f>E36/$E$89</f>
        <v>#DIV/0!</v>
      </c>
      <c r="G36" s="4633"/>
      <c r="H36" s="3341"/>
      <c r="I36" s="3341"/>
      <c r="J36" s="2012">
        <f>H36+I36*1</f>
        <v>0</v>
      </c>
      <c r="K36" s="4428" t="e">
        <f t="shared" ref="K36" si="71">J36/J$89</f>
        <v>#DIV/0!</v>
      </c>
      <c r="L36" s="4633"/>
      <c r="M36" s="3341"/>
      <c r="N36" s="3341"/>
      <c r="O36" s="3349">
        <f t="shared" ref="O36" si="72">M36+N36</f>
        <v>0</v>
      </c>
      <c r="P36" s="4428" t="e">
        <f t="shared" ref="P36" si="73">O36/O$89</f>
        <v>#DIV/0!</v>
      </c>
      <c r="Q36" s="4633"/>
      <c r="R36" s="3342">
        <f t="shared" ref="R36:S36" si="74">M36+H36+C36</f>
        <v>0</v>
      </c>
      <c r="S36" s="3342">
        <f t="shared" si="74"/>
        <v>0</v>
      </c>
      <c r="T36" s="2012">
        <f t="shared" ref="T36" si="75">R36+S36</f>
        <v>0</v>
      </c>
      <c r="U36" s="3455"/>
      <c r="V36" s="3455"/>
      <c r="W36" s="3342">
        <f t="shared" ref="W36:X36" si="76">AB36+AG36+AL36+AV36+BA36+BF36+BK36+BP36+BU36+BZ36+CE36+AQ36</f>
        <v>0</v>
      </c>
      <c r="X36" s="3342">
        <f t="shared" si="76"/>
        <v>0</v>
      </c>
      <c r="Y36" s="2012">
        <f t="shared" ref="Y36" si="77">W36+X36</f>
        <v>0</v>
      </c>
      <c r="Z36" s="3455"/>
      <c r="AA36" s="3455"/>
      <c r="AB36" s="3341"/>
      <c r="AC36" s="3341"/>
      <c r="AD36" s="3349">
        <f t="shared" ref="AD36" si="78">AB36+AC36</f>
        <v>0</v>
      </c>
      <c r="AE36" s="4428" t="e">
        <f>AD36/AD$89</f>
        <v>#DIV/0!</v>
      </c>
      <c r="AF36" s="4633"/>
      <c r="AG36" s="3341"/>
      <c r="AH36" s="3341"/>
      <c r="AI36" s="3349">
        <f t="shared" ref="AI36" si="79">AG36+AH36</f>
        <v>0</v>
      </c>
      <c r="AJ36" s="4428" t="e">
        <f>AI36/AI$89</f>
        <v>#DIV/0!</v>
      </c>
      <c r="AK36" s="4633"/>
      <c r="AL36" s="3341"/>
      <c r="AM36" s="3341"/>
      <c r="AN36" s="3349">
        <f t="shared" ref="AN36" si="80">AL36+AM36</f>
        <v>0</v>
      </c>
      <c r="AO36" s="4428" t="e">
        <f>AN36/AN$89</f>
        <v>#DIV/0!</v>
      </c>
      <c r="AP36" s="4633"/>
      <c r="AQ36" s="3341"/>
      <c r="AR36" s="3341"/>
      <c r="AS36" s="3349">
        <f t="shared" ref="AS36" si="81">AQ36+AR36</f>
        <v>0</v>
      </c>
      <c r="AT36" s="4428" t="e">
        <f>AS36/AS$89</f>
        <v>#DIV/0!</v>
      </c>
      <c r="AU36" s="4633"/>
      <c r="AV36" s="3341"/>
      <c r="AW36" s="3341"/>
      <c r="AX36" s="3349">
        <f t="shared" ref="AX36" si="82">AV36+AW36</f>
        <v>0</v>
      </c>
      <c r="AY36" s="4428" t="e">
        <f>AX36/AX$89</f>
        <v>#DIV/0!</v>
      </c>
      <c r="AZ36" s="4633"/>
      <c r="BA36" s="3341"/>
      <c r="BB36" s="3341"/>
      <c r="BC36" s="3349">
        <f t="shared" ref="BC36" si="83">BA36+BB36</f>
        <v>0</v>
      </c>
      <c r="BD36" s="4428">
        <f>BC36/BC$89</f>
        <v>0</v>
      </c>
      <c r="BE36" s="4633"/>
      <c r="BF36" s="3341"/>
      <c r="BG36" s="3341"/>
      <c r="BH36" s="3349">
        <f t="shared" ref="BH36" si="84">BF36+BG36</f>
        <v>0</v>
      </c>
      <c r="BI36" s="4428" t="e">
        <f>BH36/BH$89</f>
        <v>#DIV/0!</v>
      </c>
      <c r="BJ36" s="4633"/>
      <c r="BK36" s="3341"/>
      <c r="BL36" s="3341"/>
      <c r="BM36" s="3349">
        <f t="shared" ref="BM36" si="85">BK36+BL36</f>
        <v>0</v>
      </c>
      <c r="BN36" s="4428" t="e">
        <f>BM36/BM$89</f>
        <v>#DIV/0!</v>
      </c>
      <c r="BO36" s="4633"/>
      <c r="BP36" s="3341"/>
      <c r="BQ36" s="3341"/>
      <c r="BR36" s="3349">
        <f t="shared" ref="BR36" si="86">BP36+BQ36</f>
        <v>0</v>
      </c>
      <c r="BS36" s="4428" t="e">
        <f>BR36/BR$89</f>
        <v>#DIV/0!</v>
      </c>
      <c r="BT36" s="4633"/>
      <c r="BU36" s="3341"/>
      <c r="BV36" s="3341"/>
      <c r="BW36" s="3349">
        <f t="shared" ref="BW36" si="87">BU36+BV36</f>
        <v>0</v>
      </c>
      <c r="BX36" s="4428" t="e">
        <f>BW36/BW$89</f>
        <v>#DIV/0!</v>
      </c>
      <c r="BY36" s="4633"/>
      <c r="BZ36" s="3341"/>
      <c r="CA36" s="3341"/>
      <c r="CB36" s="3349">
        <f t="shared" ref="CB36" si="88">BZ36+CA36</f>
        <v>0</v>
      </c>
      <c r="CC36" s="4428" t="e">
        <f>CB36/CB$89</f>
        <v>#DIV/0!</v>
      </c>
      <c r="CD36" s="4633"/>
      <c r="CE36" s="3341"/>
      <c r="CF36" s="3341"/>
      <c r="CG36" s="3349">
        <f t="shared" ref="CG36" si="89">CE36+CF36</f>
        <v>0</v>
      </c>
      <c r="CH36" s="4428" t="e">
        <f>CG36/CG$89</f>
        <v>#DIV/0!</v>
      </c>
      <c r="CI36" s="4633"/>
      <c r="CJ36" s="3341">
        <f t="shared" ref="CJ36:CK36" si="90">C36+H36+M36+W36</f>
        <v>0</v>
      </c>
      <c r="CK36" s="3341">
        <f t="shared" si="90"/>
        <v>0</v>
      </c>
      <c r="CL36" s="2012">
        <f>CJ36+CK36*1</f>
        <v>0</v>
      </c>
      <c r="CM36" s="4428">
        <f>CL36/$CL$89</f>
        <v>0</v>
      </c>
      <c r="CN36" s="4611"/>
      <c r="CP36" s="2012"/>
      <c r="CQ36" s="2012">
        <f t="shared" ref="CQ36" si="91">CL36</f>
        <v>0</v>
      </c>
      <c r="CR36" s="4615">
        <f t="shared" ref="CR36" si="92">CP36-CQ36</f>
        <v>0</v>
      </c>
      <c r="CT36" s="3443"/>
    </row>
    <row r="37" spans="1:98" s="1396" customFormat="1" ht="14.4" outlineLevel="1" thickBot="1">
      <c r="A37" s="1398"/>
      <c r="B37" s="4446"/>
      <c r="C37" s="3341"/>
      <c r="D37" s="3341"/>
      <c r="E37" s="4609"/>
      <c r="F37" s="4609"/>
      <c r="G37" s="4634"/>
      <c r="H37" s="3341"/>
      <c r="I37" s="3341"/>
      <c r="J37" s="4609"/>
      <c r="K37" s="4609"/>
      <c r="L37" s="4634"/>
      <c r="M37" s="3341"/>
      <c r="N37" s="3341"/>
      <c r="O37" s="4609"/>
      <c r="P37" s="4609"/>
      <c r="Q37" s="4634"/>
      <c r="R37" s="3456"/>
      <c r="S37" s="3456"/>
      <c r="T37" s="3456"/>
      <c r="U37" s="3456"/>
      <c r="V37" s="3456"/>
      <c r="W37" s="3342">
        <f t="shared" ref="W37:X37" si="93">AB37+AG37+AL37+AV37+BA37+BF37+BK37+BP37+BU37+BZ37+CE37</f>
        <v>0</v>
      </c>
      <c r="X37" s="3342">
        <f t="shared" si="93"/>
        <v>0</v>
      </c>
      <c r="Y37" s="3456"/>
      <c r="Z37" s="3456"/>
      <c r="AA37" s="3456"/>
      <c r="AB37" s="3341"/>
      <c r="AC37" s="3341"/>
      <c r="AD37" s="4609"/>
      <c r="AE37" s="4609"/>
      <c r="AF37" s="4634"/>
      <c r="AG37" s="3341"/>
      <c r="AH37" s="3341"/>
      <c r="AI37" s="4609"/>
      <c r="AJ37" s="4609"/>
      <c r="AK37" s="4634"/>
      <c r="AL37" s="3341"/>
      <c r="AM37" s="3341"/>
      <c r="AN37" s="4609"/>
      <c r="AO37" s="4609"/>
      <c r="AP37" s="4634"/>
      <c r="AQ37" s="3341"/>
      <c r="AR37" s="3341"/>
      <c r="AS37" s="4609"/>
      <c r="AT37" s="4609"/>
      <c r="AU37" s="4634"/>
      <c r="AV37" s="3341"/>
      <c r="AW37" s="3341"/>
      <c r="AX37" s="4609"/>
      <c r="AY37" s="4609"/>
      <c r="AZ37" s="4634"/>
      <c r="BA37" s="3341"/>
      <c r="BB37" s="3341"/>
      <c r="BC37" s="4609"/>
      <c r="BD37" s="4609"/>
      <c r="BE37" s="4634"/>
      <c r="BF37" s="3341"/>
      <c r="BG37" s="3341"/>
      <c r="BH37" s="4609"/>
      <c r="BI37" s="4609"/>
      <c r="BJ37" s="4634"/>
      <c r="BK37" s="3341"/>
      <c r="BL37" s="3341"/>
      <c r="BM37" s="4609"/>
      <c r="BN37" s="4609"/>
      <c r="BO37" s="4634"/>
      <c r="BP37" s="3341"/>
      <c r="BQ37" s="3341"/>
      <c r="BR37" s="4609"/>
      <c r="BS37" s="4609"/>
      <c r="BT37" s="4634"/>
      <c r="BU37" s="3341"/>
      <c r="BV37" s="3341"/>
      <c r="BW37" s="4609"/>
      <c r="BX37" s="4609"/>
      <c r="BY37" s="4634"/>
      <c r="BZ37" s="3341"/>
      <c r="CA37" s="3341"/>
      <c r="CB37" s="4609"/>
      <c r="CC37" s="4609"/>
      <c r="CD37" s="4634"/>
      <c r="CE37" s="3341"/>
      <c r="CF37" s="3341"/>
      <c r="CG37" s="4609"/>
      <c r="CH37" s="4609"/>
      <c r="CI37" s="4634"/>
      <c r="CJ37" s="3341"/>
      <c r="CK37" s="3341"/>
      <c r="CL37" s="4609"/>
      <c r="CM37" s="4609"/>
      <c r="CN37" s="4609"/>
      <c r="CP37" s="4635"/>
      <c r="CQ37" s="4635"/>
      <c r="CR37" s="4635"/>
      <c r="CT37" s="2624"/>
    </row>
    <row r="38" spans="1:98" s="3752" customFormat="1" ht="14.4" thickBot="1">
      <c r="A38" s="3747"/>
      <c r="B38" s="3748" t="s">
        <v>46</v>
      </c>
      <c r="C38" s="3749">
        <f>(C5)-(C8)</f>
        <v>0</v>
      </c>
      <c r="D38" s="3749">
        <f>(D5)-(D8)</f>
        <v>0</v>
      </c>
      <c r="E38" s="3749">
        <f>(E5)-(E8)</f>
        <v>0</v>
      </c>
      <c r="F38" s="3749"/>
      <c r="G38" s="3750"/>
      <c r="H38" s="3749">
        <f>(H5)-(H8)</f>
        <v>0</v>
      </c>
      <c r="I38" s="3749">
        <f>(I5)-(I8)</f>
        <v>0</v>
      </c>
      <c r="J38" s="3749">
        <f>(J5)-(J8)</f>
        <v>0</v>
      </c>
      <c r="K38" s="3749"/>
      <c r="L38" s="3750"/>
      <c r="M38" s="3749">
        <f>(M5)-(M8)</f>
        <v>0</v>
      </c>
      <c r="N38" s="3749">
        <f>(N5)-(N8)</f>
        <v>0</v>
      </c>
      <c r="O38" s="3749">
        <f>(O5)-(O8)</f>
        <v>0</v>
      </c>
      <c r="P38" s="3749"/>
      <c r="Q38" s="3750"/>
      <c r="R38" s="3749">
        <f>(R5)-(R8)</f>
        <v>0</v>
      </c>
      <c r="S38" s="3749">
        <f>(S5)-(S8)</f>
        <v>0</v>
      </c>
      <c r="T38" s="3749">
        <f>(T5)-(T8)</f>
        <v>0</v>
      </c>
      <c r="U38" s="3750"/>
      <c r="V38" s="3750"/>
      <c r="W38" s="3749">
        <f>(W5)-(W8)</f>
        <v>-104096.490864996</v>
      </c>
      <c r="X38" s="3749">
        <f>(X5)-(X8)</f>
        <v>-382960.15775058302</v>
      </c>
      <c r="Y38" s="3749">
        <f>(Y5)-(Y8)</f>
        <v>-487056.648615579</v>
      </c>
      <c r="Z38" s="3750"/>
      <c r="AA38" s="3750"/>
      <c r="AB38" s="3749">
        <f>(AB5)-(AB8)</f>
        <v>0</v>
      </c>
      <c r="AC38" s="3749">
        <f>(AC5)-(AC8)</f>
        <v>0</v>
      </c>
      <c r="AD38" s="3749">
        <f>(AD5)-(AD8)</f>
        <v>0</v>
      </c>
      <c r="AE38" s="3749"/>
      <c r="AF38" s="3750"/>
      <c r="AG38" s="3749">
        <f>(AG5)-(AG8)</f>
        <v>0</v>
      </c>
      <c r="AH38" s="3749">
        <f>(AH5)-(AH8)</f>
        <v>0</v>
      </c>
      <c r="AI38" s="3749">
        <f>(AI5)-(AI8)</f>
        <v>0</v>
      </c>
      <c r="AJ38" s="3749"/>
      <c r="AK38" s="3750"/>
      <c r="AL38" s="3749">
        <f>(AL5)-(AL8)</f>
        <v>0</v>
      </c>
      <c r="AM38" s="3749">
        <f>(AM5)-(AM8)</f>
        <v>0</v>
      </c>
      <c r="AN38" s="3749">
        <f>(AN5)-(AN8)</f>
        <v>0</v>
      </c>
      <c r="AO38" s="3749"/>
      <c r="AP38" s="3750"/>
      <c r="AQ38" s="3749">
        <f>(AQ5)-(AQ8)</f>
        <v>0</v>
      </c>
      <c r="AR38" s="3749">
        <f>(AR5)-(AR8)</f>
        <v>0</v>
      </c>
      <c r="AS38" s="3749">
        <f>(AS5)-(AS8)</f>
        <v>0</v>
      </c>
      <c r="AT38" s="3749"/>
      <c r="AU38" s="3750"/>
      <c r="AV38" s="3749">
        <f>(AV5)-(AV8)</f>
        <v>0</v>
      </c>
      <c r="AW38" s="3749">
        <f>(AW5)-(AW8)</f>
        <v>0</v>
      </c>
      <c r="AX38" s="3749">
        <f>(AX5)-(AX8)</f>
        <v>0</v>
      </c>
      <c r="AY38" s="3749"/>
      <c r="AZ38" s="3750"/>
      <c r="BA38" s="3749">
        <f>(BA5)-(BA8)</f>
        <v>-104096.490864996</v>
      </c>
      <c r="BB38" s="3749">
        <f>(BB5)-(BB8)</f>
        <v>-382960.15775058302</v>
      </c>
      <c r="BC38" s="3749">
        <f>(BC5)-(BC8)</f>
        <v>-487056.648615579</v>
      </c>
      <c r="BD38" s="3749"/>
      <c r="BE38" s="3750"/>
      <c r="BF38" s="3749">
        <f>(BF5)-(BF8)</f>
        <v>0</v>
      </c>
      <c r="BG38" s="3749">
        <f>(BG5)-(BG8)</f>
        <v>0</v>
      </c>
      <c r="BH38" s="3749">
        <f>(BH5)-(BH8)</f>
        <v>0</v>
      </c>
      <c r="BI38" s="3749"/>
      <c r="BJ38" s="3750"/>
      <c r="BK38" s="3749">
        <f>(BK5)-(BK8)</f>
        <v>0</v>
      </c>
      <c r="BL38" s="3749">
        <f>(BL5)-(BL8)</f>
        <v>0</v>
      </c>
      <c r="BM38" s="3749">
        <f>(BM5)-(BM8)</f>
        <v>0</v>
      </c>
      <c r="BN38" s="3749"/>
      <c r="BO38" s="3750"/>
      <c r="BP38" s="3749">
        <f>(BP5)-(BP8)</f>
        <v>0</v>
      </c>
      <c r="BQ38" s="3749">
        <f>(BQ5)-(BQ8)</f>
        <v>0</v>
      </c>
      <c r="BR38" s="3749">
        <f>(BR5)-(BR8)</f>
        <v>0</v>
      </c>
      <c r="BS38" s="3749"/>
      <c r="BT38" s="3750"/>
      <c r="BU38" s="3749">
        <f>(BU5)-(BU8)</f>
        <v>0</v>
      </c>
      <c r="BV38" s="3749">
        <f>(BV5)-(BV8)</f>
        <v>0</v>
      </c>
      <c r="BW38" s="3749">
        <f>(BW5)-(BW8)</f>
        <v>0</v>
      </c>
      <c r="BX38" s="3749"/>
      <c r="BY38" s="3750"/>
      <c r="BZ38" s="3749">
        <f>(BZ5)-(BZ8)</f>
        <v>0</v>
      </c>
      <c r="CA38" s="3749">
        <f>(CA5)-(CA8)</f>
        <v>0</v>
      </c>
      <c r="CB38" s="3749">
        <f>(CB5)-(CB8)</f>
        <v>0</v>
      </c>
      <c r="CC38" s="3749"/>
      <c r="CD38" s="3750"/>
      <c r="CE38" s="3749">
        <f>(CE5)-(CE8)</f>
        <v>0</v>
      </c>
      <c r="CF38" s="3749">
        <f>(CF5)-(CF8)</f>
        <v>0</v>
      </c>
      <c r="CG38" s="3749">
        <f>(CG5)-(CG8)</f>
        <v>0</v>
      </c>
      <c r="CH38" s="3749"/>
      <c r="CI38" s="3750"/>
      <c r="CJ38" s="3751">
        <f>(CJ5)-(CJ8)</f>
        <v>-104096.490864996</v>
      </c>
      <c r="CK38" s="3751">
        <f>(CK5)-(CK8)</f>
        <v>-382960.15775058302</v>
      </c>
      <c r="CL38" s="3751">
        <f>(CL5)-(CL8)</f>
        <v>-487056.648615579</v>
      </c>
      <c r="CM38" s="3749"/>
      <c r="CN38" s="3749"/>
      <c r="CP38" s="3751">
        <f>(CP5)-(CP8)</f>
        <v>7003053.3403999992</v>
      </c>
      <c r="CQ38" s="4636">
        <f>(CQ5)-(CQ8)</f>
        <v>-473776.92861557903</v>
      </c>
      <c r="CR38" s="3751">
        <f>(CR5)-(CR8)</f>
        <v>7476830.2690155804</v>
      </c>
      <c r="CT38" s="3761"/>
    </row>
    <row r="39" spans="1:98" ht="13.8">
      <c r="A39" s="1565"/>
      <c r="B39" s="1408" t="s">
        <v>47</v>
      </c>
      <c r="C39" s="2003">
        <f>IFERROR(C38/(C5),0)</f>
        <v>0</v>
      </c>
      <c r="D39" s="2003">
        <f>IFERROR(D38/(D5),0)</f>
        <v>0</v>
      </c>
      <c r="E39" s="2004">
        <f>IFERROR(E38/(E5),0)</f>
        <v>0</v>
      </c>
      <c r="F39" s="2004"/>
      <c r="G39" s="1056"/>
      <c r="H39" s="2003">
        <f>IFERROR(H38/(H5),0)</f>
        <v>0</v>
      </c>
      <c r="I39" s="2003">
        <f>IFERROR(I38/(I5),0)</f>
        <v>0</v>
      </c>
      <c r="J39" s="2004">
        <f>IFERROR(J38/(J5),0)</f>
        <v>0</v>
      </c>
      <c r="K39" s="2004"/>
      <c r="L39" s="1056"/>
      <c r="M39" s="2003">
        <f>IFERROR(M38/(M5),0)</f>
        <v>0</v>
      </c>
      <c r="N39" s="2003">
        <f>IFERROR(N38/(N5),0)</f>
        <v>0</v>
      </c>
      <c r="O39" s="2004">
        <f>IFERROR(O38/(O5),0)</f>
        <v>0</v>
      </c>
      <c r="P39" s="2004"/>
      <c r="Q39" s="1056"/>
      <c r="R39" s="3459"/>
      <c r="S39" s="3459"/>
      <c r="T39" s="3459"/>
      <c r="U39" s="3459"/>
      <c r="V39" s="3459"/>
      <c r="W39" s="3459"/>
      <c r="X39" s="3459"/>
      <c r="Y39" s="3459"/>
      <c r="Z39" s="3459"/>
      <c r="AA39" s="3459"/>
      <c r="AB39" s="2003">
        <f>IFERROR(AB38/(AB5),0)</f>
        <v>0</v>
      </c>
      <c r="AC39" s="2003">
        <f>IFERROR(AC38/(AC5),0)</f>
        <v>0</v>
      </c>
      <c r="AD39" s="2004">
        <f>IFERROR(AD38/(AD5),0)</f>
        <v>0</v>
      </c>
      <c r="AE39" s="2004"/>
      <c r="AF39" s="1056"/>
      <c r="AG39" s="2003">
        <f>IFERROR(AG38/(AG5),0)</f>
        <v>0</v>
      </c>
      <c r="AH39" s="2003">
        <f>IFERROR(AH38/(AH5),0)</f>
        <v>0</v>
      </c>
      <c r="AI39" s="2004">
        <f>IFERROR(AI38/(AI5),0)</f>
        <v>0</v>
      </c>
      <c r="AJ39" s="2004"/>
      <c r="AK39" s="1056"/>
      <c r="AL39" s="2003">
        <f>IFERROR(AL38/(AL5),0)</f>
        <v>0</v>
      </c>
      <c r="AM39" s="2003">
        <f>IFERROR(AM38/(AM5),0)</f>
        <v>0</v>
      </c>
      <c r="AN39" s="2004">
        <f>IFERROR(AN38/(AN5),0)</f>
        <v>0</v>
      </c>
      <c r="AO39" s="2004"/>
      <c r="AP39" s="1056"/>
      <c r="AQ39" s="2003">
        <f>IFERROR(AQ38/(AQ5),0)</f>
        <v>0</v>
      </c>
      <c r="AR39" s="2003">
        <f>IFERROR(AR38/(AR5),0)</f>
        <v>0</v>
      </c>
      <c r="AS39" s="2004">
        <f>IFERROR(AS38/(AS5),0)</f>
        <v>0</v>
      </c>
      <c r="AT39" s="2004"/>
      <c r="AU39" s="1056"/>
      <c r="AV39" s="2003">
        <f>IFERROR(AV38/(AV5),0)</f>
        <v>0</v>
      </c>
      <c r="AW39" s="2003">
        <f>IFERROR(AW38/(AW5),0)</f>
        <v>0</v>
      </c>
      <c r="AX39" s="2004">
        <f>IFERROR(AX38/(AX5),0)</f>
        <v>0</v>
      </c>
      <c r="AY39" s="2004"/>
      <c r="AZ39" s="1056"/>
      <c r="BA39" s="2003">
        <f>IFERROR(BA38/(BA5),0)</f>
        <v>0</v>
      </c>
      <c r="BB39" s="2003">
        <f>IFERROR(BB38/(BB5),0)</f>
        <v>0</v>
      </c>
      <c r="BC39" s="2004">
        <f>IFERROR(BC38/(BC5),0)</f>
        <v>0</v>
      </c>
      <c r="BD39" s="2004"/>
      <c r="BE39" s="1056"/>
      <c r="BF39" s="2003">
        <f>IFERROR(BF38/(BF5),0)</f>
        <v>0</v>
      </c>
      <c r="BG39" s="2003">
        <f>IFERROR(BG38/(BG5),0)</f>
        <v>0</v>
      </c>
      <c r="BH39" s="2004">
        <f>IFERROR(BH38/(BH5),0)</f>
        <v>0</v>
      </c>
      <c r="BI39" s="2004"/>
      <c r="BJ39" s="1056"/>
      <c r="BK39" s="2003">
        <f>IFERROR(BK38/(BK5),0)</f>
        <v>0</v>
      </c>
      <c r="BL39" s="2003">
        <f>IFERROR(BL38/(BL5),0)</f>
        <v>0</v>
      </c>
      <c r="BM39" s="2004">
        <f>IFERROR(BM38/(BM5),0)</f>
        <v>0</v>
      </c>
      <c r="BN39" s="2004"/>
      <c r="BO39" s="1056"/>
      <c r="BP39" s="2003">
        <f>IFERROR(BP38/(BP5),0)</f>
        <v>0</v>
      </c>
      <c r="BQ39" s="2003">
        <f>IFERROR(BQ38/(BQ5),0)</f>
        <v>0</v>
      </c>
      <c r="BR39" s="2004">
        <f>IFERROR(BR38/(BR5),0)</f>
        <v>0</v>
      </c>
      <c r="BS39" s="2004"/>
      <c r="BT39" s="1056"/>
      <c r="BU39" s="2003">
        <f>IFERROR(BU38/(BU5),0)</f>
        <v>0</v>
      </c>
      <c r="BV39" s="2003">
        <f>IFERROR(BV38/(BV5),0)</f>
        <v>0</v>
      </c>
      <c r="BW39" s="2004">
        <f>IFERROR(BW38/(BW5),0)</f>
        <v>0</v>
      </c>
      <c r="BX39" s="2004"/>
      <c r="BY39" s="1056"/>
      <c r="BZ39" s="2003">
        <f>IFERROR(BZ38/(BZ5),0)</f>
        <v>0</v>
      </c>
      <c r="CA39" s="2003">
        <f>IFERROR(CA38/(CA5),0)</f>
        <v>0</v>
      </c>
      <c r="CB39" s="2004">
        <f>IFERROR(CB38/(CB5),0)</f>
        <v>0</v>
      </c>
      <c r="CC39" s="2004"/>
      <c r="CD39" s="1056"/>
      <c r="CE39" s="2003">
        <f>IFERROR(CE38/(CE5),0)</f>
        <v>0</v>
      </c>
      <c r="CF39" s="2003">
        <f>IFERROR(CF38/(CF5),0)</f>
        <v>0</v>
      </c>
      <c r="CG39" s="2004">
        <f>IFERROR(CG38/(CG5),0)</f>
        <v>0</v>
      </c>
      <c r="CH39" s="2004"/>
      <c r="CI39" s="1056"/>
      <c r="CJ39" s="2003">
        <f>IFERROR(CJ38/(CJ5),0)</f>
        <v>0</v>
      </c>
      <c r="CK39" s="2003">
        <f>IFERROR(CK38/(CK5),0)</f>
        <v>0</v>
      </c>
      <c r="CL39" s="2004">
        <f>IFERROR(CL38/(CL5),0)</f>
        <v>0</v>
      </c>
      <c r="CM39" s="2004"/>
      <c r="CN39" s="2004"/>
      <c r="CP39" s="2004">
        <f>CP38/(CP5)</f>
        <v>0.26117835869346306</v>
      </c>
      <c r="CQ39" s="2004">
        <f>IFERROR(CQ38/(CQ5),0)</f>
        <v>0</v>
      </c>
      <c r="CR39" s="2004">
        <f>CR38/(CR5)</f>
        <v>0.27884783436185484</v>
      </c>
    </row>
    <row r="40" spans="1:98" ht="14.4" outlineLevel="1" thickBot="1">
      <c r="A40" s="1567"/>
      <c r="B40" s="4637"/>
      <c r="C40" s="4610"/>
      <c r="D40" s="4610"/>
      <c r="E40" s="4610"/>
      <c r="F40" s="4610"/>
      <c r="G40" s="4638"/>
      <c r="H40" s="4610"/>
      <c r="I40" s="4610"/>
      <c r="J40" s="4610"/>
      <c r="K40" s="4610"/>
      <c r="L40" s="4638"/>
      <c r="M40" s="4610"/>
      <c r="N40" s="4610"/>
      <c r="O40" s="4610"/>
      <c r="P40" s="4610"/>
      <c r="Q40" s="4638"/>
      <c r="R40" s="4638"/>
      <c r="S40" s="4638"/>
      <c r="T40" s="4638"/>
      <c r="U40" s="4638"/>
      <c r="V40" s="4638"/>
      <c r="W40" s="4638"/>
      <c r="X40" s="4638"/>
      <c r="Y40" s="4638"/>
      <c r="Z40" s="4638"/>
      <c r="AA40" s="4638"/>
      <c r="AB40" s="4610"/>
      <c r="AC40" s="4610"/>
      <c r="AD40" s="4610"/>
      <c r="AE40" s="4610"/>
      <c r="AF40" s="4638"/>
      <c r="AG40" s="4610"/>
      <c r="AH40" s="4610"/>
      <c r="AI40" s="4610"/>
      <c r="AJ40" s="4610"/>
      <c r="AK40" s="4638"/>
      <c r="AL40" s="4610"/>
      <c r="AM40" s="4610"/>
      <c r="AN40" s="4610"/>
      <c r="AO40" s="4610"/>
      <c r="AP40" s="4638"/>
      <c r="AQ40" s="4610"/>
      <c r="AR40" s="4610"/>
      <c r="AS40" s="4610"/>
      <c r="AT40" s="4610"/>
      <c r="AU40" s="4638"/>
      <c r="AV40" s="4610"/>
      <c r="AW40" s="4610"/>
      <c r="AX40" s="4610"/>
      <c r="AY40" s="4610"/>
      <c r="AZ40" s="4638"/>
      <c r="BA40" s="4610"/>
      <c r="BB40" s="4610"/>
      <c r="BC40" s="4610"/>
      <c r="BD40" s="4610"/>
      <c r="BE40" s="4638"/>
      <c r="BF40" s="4610"/>
      <c r="BG40" s="4610"/>
      <c r="BH40" s="4610"/>
      <c r="BI40" s="4610"/>
      <c r="BJ40" s="4638"/>
      <c r="BK40" s="4610"/>
      <c r="BL40" s="4610"/>
      <c r="BM40" s="4610"/>
      <c r="BN40" s="4610"/>
      <c r="BO40" s="4638"/>
      <c r="BP40" s="4610"/>
      <c r="BQ40" s="4610"/>
      <c r="BR40" s="4610"/>
      <c r="BS40" s="4610"/>
      <c r="BT40" s="4638"/>
      <c r="BU40" s="4610"/>
      <c r="BV40" s="4610"/>
      <c r="BW40" s="4610"/>
      <c r="BX40" s="4610"/>
      <c r="BY40" s="4638"/>
      <c r="BZ40" s="4610"/>
      <c r="CA40" s="4610"/>
      <c r="CB40" s="4610"/>
      <c r="CC40" s="4610"/>
      <c r="CD40" s="4638"/>
      <c r="CE40" s="4610"/>
      <c r="CF40" s="4610"/>
      <c r="CG40" s="4610"/>
      <c r="CH40" s="4610"/>
      <c r="CI40" s="4638"/>
      <c r="CJ40" s="4610"/>
      <c r="CK40" s="4610"/>
      <c r="CL40" s="4610"/>
      <c r="CM40" s="4610"/>
      <c r="CN40" s="4610"/>
      <c r="CP40" s="4639"/>
      <c r="CQ40" s="4639"/>
      <c r="CR40" s="4639"/>
    </row>
    <row r="41" spans="1:98" ht="13.8" outlineLevel="1">
      <c r="A41" s="1405"/>
      <c r="B41" s="1415" t="s">
        <v>26</v>
      </c>
      <c r="C41" s="2013">
        <f>SUM(C42:C48)</f>
        <v>0</v>
      </c>
      <c r="D41" s="2013">
        <f>SUM(D42:D48)</f>
        <v>0</v>
      </c>
      <c r="E41" s="2014">
        <f>SUM(E42:E48)</f>
        <v>0</v>
      </c>
      <c r="F41" s="4449" t="e">
        <f>E41/$E$89</f>
        <v>#DIV/0!</v>
      </c>
      <c r="G41" s="1057"/>
      <c r="H41" s="2013">
        <f>SUM(H42:H48)</f>
        <v>0</v>
      </c>
      <c r="I41" s="2013">
        <f>SUM(I42:I48)</f>
        <v>0</v>
      </c>
      <c r="J41" s="2014">
        <f>SUM(J42:J48)</f>
        <v>0</v>
      </c>
      <c r="K41" s="4449" t="e">
        <f>J41/$E$89</f>
        <v>#DIV/0!</v>
      </c>
      <c r="L41" s="1057"/>
      <c r="M41" s="2013">
        <f>SUM(M42:M48)</f>
        <v>0</v>
      </c>
      <c r="N41" s="2013">
        <f>SUM(N42:N48)</f>
        <v>0</v>
      </c>
      <c r="O41" s="2014">
        <f>SUM(O42:O48)</f>
        <v>0</v>
      </c>
      <c r="P41" s="4449" t="e">
        <f>O41/$E$89</f>
        <v>#DIV/0!</v>
      </c>
      <c r="Q41" s="1057"/>
      <c r="R41" s="2013">
        <f>SUM(R42:R48)</f>
        <v>0</v>
      </c>
      <c r="S41" s="2013">
        <f>SUM(S42:S48)</f>
        <v>0</v>
      </c>
      <c r="T41" s="2014">
        <f>SUM(T42:T48)</f>
        <v>0</v>
      </c>
      <c r="U41" s="4449"/>
      <c r="V41" s="3460"/>
      <c r="W41" s="2013">
        <f>SUM(W42:W48)</f>
        <v>0</v>
      </c>
      <c r="X41" s="2013">
        <f>SUM(X42:X48)</f>
        <v>0</v>
      </c>
      <c r="Y41" s="2014">
        <f>SUM(Y42:Y48)</f>
        <v>0</v>
      </c>
      <c r="Z41" s="4449"/>
      <c r="AA41" s="3460"/>
      <c r="AB41" s="2013">
        <f>SUM(AB42:AB48)</f>
        <v>0</v>
      </c>
      <c r="AC41" s="2013">
        <f>SUM(AC42:AC48)</f>
        <v>0</v>
      </c>
      <c r="AD41" s="2014">
        <f>SUM(AD42:AD48)</f>
        <v>0</v>
      </c>
      <c r="AE41" s="4449"/>
      <c r="AF41" s="1057"/>
      <c r="AG41" s="2013">
        <f>SUM(AG42:AG48)</f>
        <v>0</v>
      </c>
      <c r="AH41" s="2013">
        <f>SUM(AH42:AH48)</f>
        <v>0</v>
      </c>
      <c r="AI41" s="2014">
        <f>SUM(AI42:AI48)</f>
        <v>0</v>
      </c>
      <c r="AJ41" s="4449"/>
      <c r="AK41" s="1057"/>
      <c r="AL41" s="2013">
        <f>SUM(AL42:AL48)</f>
        <v>0</v>
      </c>
      <c r="AM41" s="2013">
        <f>SUM(AM42:AM48)</f>
        <v>0</v>
      </c>
      <c r="AN41" s="2014">
        <f>SUM(AN42:AN48)</f>
        <v>0</v>
      </c>
      <c r="AO41" s="4449"/>
      <c r="AP41" s="1057"/>
      <c r="AQ41" s="2013">
        <f>SUM(AQ42:AQ48)</f>
        <v>0</v>
      </c>
      <c r="AR41" s="2013">
        <f>SUM(AR42:AR48)</f>
        <v>0</v>
      </c>
      <c r="AS41" s="2014">
        <f>SUM(AS42:AS48)</f>
        <v>0</v>
      </c>
      <c r="AT41" s="4449"/>
      <c r="AU41" s="1057"/>
      <c r="AV41" s="2013">
        <f>SUM(AV42:AV48)</f>
        <v>0</v>
      </c>
      <c r="AW41" s="2013">
        <f>SUM(AW42:AW48)</f>
        <v>0</v>
      </c>
      <c r="AX41" s="2014">
        <f>SUM(AX42:AX48)</f>
        <v>0</v>
      </c>
      <c r="AY41" s="4449"/>
      <c r="AZ41" s="1057"/>
      <c r="BA41" s="2013">
        <f>SUM(BA42:BA48)</f>
        <v>0</v>
      </c>
      <c r="BB41" s="2013">
        <f>SUM(BB42:BB48)</f>
        <v>0</v>
      </c>
      <c r="BC41" s="2014">
        <f>SUM(BC42:BC48)</f>
        <v>0</v>
      </c>
      <c r="BD41" s="4449"/>
      <c r="BE41" s="1057"/>
      <c r="BF41" s="2013">
        <f>SUM(BF42:BF48)</f>
        <v>0</v>
      </c>
      <c r="BG41" s="2013">
        <f>SUM(BG42:BG48)</f>
        <v>0</v>
      </c>
      <c r="BH41" s="2014">
        <f>SUM(BH42:BH48)</f>
        <v>0</v>
      </c>
      <c r="BI41" s="4449"/>
      <c r="BJ41" s="1057"/>
      <c r="BK41" s="2013">
        <f>SUM(BK42:BK48)</f>
        <v>0</v>
      </c>
      <c r="BL41" s="2013">
        <f>SUM(BL42:BL48)</f>
        <v>0</v>
      </c>
      <c r="BM41" s="2014">
        <f>SUM(BM42:BM48)</f>
        <v>0</v>
      </c>
      <c r="BN41" s="4449"/>
      <c r="BO41" s="1057"/>
      <c r="BP41" s="2013">
        <f>SUM(BP42:BP48)</f>
        <v>0</v>
      </c>
      <c r="BQ41" s="2013">
        <f>SUM(BQ42:BQ48)</f>
        <v>0</v>
      </c>
      <c r="BR41" s="2014">
        <f>SUM(BR42:BR48)</f>
        <v>0</v>
      </c>
      <c r="BS41" s="4449"/>
      <c r="BT41" s="1057"/>
      <c r="BU41" s="2013">
        <f>SUM(BU42:BU48)</f>
        <v>0</v>
      </c>
      <c r="BV41" s="2013">
        <f>SUM(BV42:BV48)</f>
        <v>0</v>
      </c>
      <c r="BW41" s="2014">
        <f>SUM(BW42:BW48)</f>
        <v>0</v>
      </c>
      <c r="BX41" s="4449"/>
      <c r="BY41" s="1057"/>
      <c r="BZ41" s="2013">
        <f>SUM(BZ42:BZ48)</f>
        <v>0</v>
      </c>
      <c r="CA41" s="2013">
        <f>SUM(CA42:CA48)</f>
        <v>0</v>
      </c>
      <c r="CB41" s="2014">
        <f>SUM(CB42:CB48)</f>
        <v>0</v>
      </c>
      <c r="CC41" s="4449"/>
      <c r="CD41" s="1057"/>
      <c r="CE41" s="2013">
        <f>SUM(CE42:CE48)</f>
        <v>0</v>
      </c>
      <c r="CF41" s="2013">
        <f>SUM(CF42:CF48)</f>
        <v>0</v>
      </c>
      <c r="CG41" s="2014">
        <f>SUM(CG42:CG48)</f>
        <v>0</v>
      </c>
      <c r="CH41" s="4449"/>
      <c r="CI41" s="1057"/>
      <c r="CJ41" s="2013">
        <f>SUM(CJ42:CJ48)</f>
        <v>0</v>
      </c>
      <c r="CK41" s="2013">
        <f>SUM(CK42:CK48)</f>
        <v>0</v>
      </c>
      <c r="CL41" s="2014">
        <f>SUM(CL42:CL48)</f>
        <v>0</v>
      </c>
      <c r="CM41" s="4449">
        <f t="shared" ref="CM41:CM49" si="94">CL41/$CL$89</f>
        <v>0</v>
      </c>
      <c r="CN41" s="2006"/>
      <c r="CP41" s="2014">
        <f>SUM(CP42:CP48)</f>
        <v>0</v>
      </c>
      <c r="CQ41" s="2014">
        <f>SUM(CQ42:CQ48)</f>
        <v>0</v>
      </c>
      <c r="CR41" s="2014"/>
    </row>
    <row r="42" spans="1:98" ht="13.8" outlineLevel="2">
      <c r="A42" s="4833"/>
      <c r="B42" s="4640" t="s">
        <v>7</v>
      </c>
      <c r="C42" s="3341"/>
      <c r="D42" s="3341"/>
      <c r="E42" s="3349">
        <f t="shared" ref="E42:E48" si="95">C42+D42</f>
        <v>0</v>
      </c>
      <c r="F42" s="4428" t="e">
        <f t="shared" ref="F42:F48" si="96">E42/$E$89</f>
        <v>#DIV/0!</v>
      </c>
      <c r="G42" s="4429"/>
      <c r="H42" s="3341"/>
      <c r="I42" s="3341"/>
      <c r="J42" s="3349">
        <f t="shared" ref="J42:J48" si="97">H42+I42</f>
        <v>0</v>
      </c>
      <c r="K42" s="4428" t="e">
        <f t="shared" ref="K42:K48" si="98">J42/J$89</f>
        <v>#DIV/0!</v>
      </c>
      <c r="L42" s="4429"/>
      <c r="M42" s="3341"/>
      <c r="N42" s="3341"/>
      <c r="O42" s="3349">
        <f t="shared" ref="O42:O48" si="99">M42+N42</f>
        <v>0</v>
      </c>
      <c r="P42" s="4428" t="e">
        <f t="shared" ref="P42:P48" si="100">O42/O$89</f>
        <v>#DIV/0!</v>
      </c>
      <c r="Q42" s="4429"/>
      <c r="R42" s="3342">
        <f t="shared" ref="R42:S48" si="101">M42+H42+C42</f>
        <v>0</v>
      </c>
      <c r="S42" s="3342">
        <f t="shared" si="101"/>
        <v>0</v>
      </c>
      <c r="T42" s="2012">
        <f t="shared" ref="T42:T48" si="102">R42+S42</f>
        <v>0</v>
      </c>
      <c r="U42" s="3462"/>
      <c r="V42" s="3462"/>
      <c r="W42" s="3342">
        <f t="shared" ref="W42:X48" si="103">AB42+AG42+AL42+AV42+BA42+BF42+BK42+BP42+BU42+BZ42+CE42+AQ42</f>
        <v>0</v>
      </c>
      <c r="X42" s="3342">
        <f t="shared" si="103"/>
        <v>0</v>
      </c>
      <c r="Y42" s="2012">
        <f t="shared" ref="Y42:Y48" si="104">W42+X42</f>
        <v>0</v>
      </c>
      <c r="Z42" s="3462"/>
      <c r="AA42" s="3462"/>
      <c r="AB42" s="3341"/>
      <c r="AC42" s="3341"/>
      <c r="AD42" s="3349">
        <f t="shared" ref="AD42:AD48" si="105">AB42+AC42</f>
        <v>0</v>
      </c>
      <c r="AE42" s="4428" t="e">
        <f t="shared" ref="AE42:AE49" si="106">AD42/AD$89</f>
        <v>#DIV/0!</v>
      </c>
      <c r="AF42" s="4429"/>
      <c r="AG42" s="3341"/>
      <c r="AH42" s="3341"/>
      <c r="AI42" s="3349">
        <f t="shared" ref="AI42:AI48" si="107">AG42+AH42</f>
        <v>0</v>
      </c>
      <c r="AJ42" s="4428" t="e">
        <f t="shared" ref="AJ42:AJ49" si="108">AI42/AI$89</f>
        <v>#DIV/0!</v>
      </c>
      <c r="AK42" s="4429"/>
      <c r="AL42" s="3341"/>
      <c r="AM42" s="3341"/>
      <c r="AN42" s="3349">
        <f t="shared" ref="AN42:AN48" si="109">AL42+AM42</f>
        <v>0</v>
      </c>
      <c r="AO42" s="4428" t="e">
        <f t="shared" ref="AO42:AO49" si="110">AN42/AN$89</f>
        <v>#DIV/0!</v>
      </c>
      <c r="AP42" s="4429"/>
      <c r="AQ42" s="3341"/>
      <c r="AR42" s="3341"/>
      <c r="AS42" s="3349">
        <f t="shared" ref="AS42:AS48" si="111">AQ42+AR42</f>
        <v>0</v>
      </c>
      <c r="AT42" s="4428" t="e">
        <f t="shared" ref="AT42:AT49" si="112">AS42/AS$89</f>
        <v>#DIV/0!</v>
      </c>
      <c r="AU42" s="4429"/>
      <c r="AV42" s="3341"/>
      <c r="AW42" s="3341"/>
      <c r="AX42" s="3349">
        <f t="shared" ref="AX42:AX48" si="113">AV42+AW42</f>
        <v>0</v>
      </c>
      <c r="AY42" s="4428" t="e">
        <f t="shared" ref="AY42:AY49" si="114">AX42/AX$89</f>
        <v>#DIV/0!</v>
      </c>
      <c r="AZ42" s="4429"/>
      <c r="BA42" s="3341"/>
      <c r="BB42" s="3341"/>
      <c r="BC42" s="3349">
        <f t="shared" ref="BC42:BC48" si="115">BA42+BB42</f>
        <v>0</v>
      </c>
      <c r="BD42" s="4428">
        <f t="shared" ref="BD42:BD49" si="116">BC42/BC$89</f>
        <v>0</v>
      </c>
      <c r="BE42" s="4429"/>
      <c r="BF42" s="3341"/>
      <c r="BG42" s="3341"/>
      <c r="BH42" s="3349">
        <f t="shared" ref="BH42:BH48" si="117">BF42+BG42</f>
        <v>0</v>
      </c>
      <c r="BI42" s="4428" t="e">
        <f t="shared" ref="BI42:BI49" si="118">BH42/BH$89</f>
        <v>#DIV/0!</v>
      </c>
      <c r="BJ42" s="4429"/>
      <c r="BK42" s="3341"/>
      <c r="BL42" s="3341"/>
      <c r="BM42" s="3349">
        <f t="shared" ref="BM42:BM48" si="119">BK42+BL42</f>
        <v>0</v>
      </c>
      <c r="BN42" s="4428" t="e">
        <f t="shared" ref="BN42:BN49" si="120">BM42/BM$89</f>
        <v>#DIV/0!</v>
      </c>
      <c r="BO42" s="4429"/>
      <c r="BP42" s="3341"/>
      <c r="BQ42" s="3341"/>
      <c r="BR42" s="3349">
        <f t="shared" ref="BR42:BR48" si="121">BP42+BQ42</f>
        <v>0</v>
      </c>
      <c r="BS42" s="4428" t="e">
        <f t="shared" ref="BS42:BS49" si="122">BR42/BR$89</f>
        <v>#DIV/0!</v>
      </c>
      <c r="BT42" s="4429"/>
      <c r="BU42" s="3341"/>
      <c r="BV42" s="3341"/>
      <c r="BW42" s="3349">
        <f t="shared" ref="BW42:BW48" si="123">BU42+BV42</f>
        <v>0</v>
      </c>
      <c r="BX42" s="4428" t="e">
        <f t="shared" ref="BX42:BX49" si="124">BW42/BW$89</f>
        <v>#DIV/0!</v>
      </c>
      <c r="BY42" s="4429"/>
      <c r="BZ42" s="3341"/>
      <c r="CA42" s="3341"/>
      <c r="CB42" s="3349">
        <f t="shared" ref="CB42:CB48" si="125">BZ42+CA42</f>
        <v>0</v>
      </c>
      <c r="CC42" s="4428" t="e">
        <f t="shared" ref="CC42:CC49" si="126">CB42/CB$89</f>
        <v>#DIV/0!</v>
      </c>
      <c r="CD42" s="4429"/>
      <c r="CE42" s="3341"/>
      <c r="CF42" s="3341"/>
      <c r="CG42" s="3349">
        <f t="shared" ref="CG42:CG48" si="127">CE42+CF42</f>
        <v>0</v>
      </c>
      <c r="CH42" s="4428" t="e">
        <f t="shared" ref="CH42:CH49" si="128">CG42/CG$89</f>
        <v>#DIV/0!</v>
      </c>
      <c r="CI42" s="4429"/>
      <c r="CJ42" s="3341">
        <f t="shared" ref="CJ42:CK48" si="129">C42+H42+M42+W42</f>
        <v>0</v>
      </c>
      <c r="CK42" s="3341">
        <f t="shared" si="129"/>
        <v>0</v>
      </c>
      <c r="CL42" s="2012">
        <f t="shared" ref="CL42:CL48" si="130">CJ42+CK42*1</f>
        <v>0</v>
      </c>
      <c r="CM42" s="4428">
        <f t="shared" si="94"/>
        <v>0</v>
      </c>
      <c r="CN42" s="4432"/>
      <c r="CP42" s="2012">
        <f t="shared" ref="CP42:CQ48" si="131">CN42+CO42*1</f>
        <v>0</v>
      </c>
      <c r="CQ42" s="2012">
        <f t="shared" si="131"/>
        <v>0</v>
      </c>
      <c r="CR42" s="4614"/>
    </row>
    <row r="43" spans="1:98" ht="13.8" outlineLevel="2">
      <c r="A43" s="4833"/>
      <c r="B43" s="4640" t="s">
        <v>27</v>
      </c>
      <c r="C43" s="3341"/>
      <c r="D43" s="3341"/>
      <c r="E43" s="3349">
        <f t="shared" si="95"/>
        <v>0</v>
      </c>
      <c r="F43" s="4428" t="e">
        <f t="shared" si="96"/>
        <v>#DIV/0!</v>
      </c>
      <c r="G43" s="4429"/>
      <c r="H43" s="3341"/>
      <c r="I43" s="3341"/>
      <c r="J43" s="3349">
        <f t="shared" si="97"/>
        <v>0</v>
      </c>
      <c r="K43" s="4428" t="e">
        <f t="shared" si="98"/>
        <v>#DIV/0!</v>
      </c>
      <c r="L43" s="4429"/>
      <c r="M43" s="3341"/>
      <c r="N43" s="3341"/>
      <c r="O43" s="3349">
        <f t="shared" si="99"/>
        <v>0</v>
      </c>
      <c r="P43" s="4428" t="e">
        <f t="shared" si="100"/>
        <v>#DIV/0!</v>
      </c>
      <c r="Q43" s="4429"/>
      <c r="R43" s="3342">
        <f t="shared" si="101"/>
        <v>0</v>
      </c>
      <c r="S43" s="3342">
        <f t="shared" si="101"/>
        <v>0</v>
      </c>
      <c r="T43" s="2012">
        <f t="shared" si="102"/>
        <v>0</v>
      </c>
      <c r="U43" s="3462"/>
      <c r="V43" s="3462"/>
      <c r="W43" s="3342">
        <f t="shared" si="103"/>
        <v>0</v>
      </c>
      <c r="X43" s="3342">
        <f t="shared" si="103"/>
        <v>0</v>
      </c>
      <c r="Y43" s="2012">
        <f t="shared" si="104"/>
        <v>0</v>
      </c>
      <c r="Z43" s="3462"/>
      <c r="AA43" s="3462"/>
      <c r="AB43" s="3341"/>
      <c r="AC43" s="3341"/>
      <c r="AD43" s="3349">
        <f t="shared" si="105"/>
        <v>0</v>
      </c>
      <c r="AE43" s="4428" t="e">
        <f t="shared" si="106"/>
        <v>#DIV/0!</v>
      </c>
      <c r="AF43" s="4429"/>
      <c r="AG43" s="3341"/>
      <c r="AH43" s="3341"/>
      <c r="AI43" s="3349">
        <f t="shared" si="107"/>
        <v>0</v>
      </c>
      <c r="AJ43" s="4428" t="e">
        <f t="shared" si="108"/>
        <v>#DIV/0!</v>
      </c>
      <c r="AK43" s="4429"/>
      <c r="AL43" s="3341"/>
      <c r="AM43" s="3341"/>
      <c r="AN43" s="3349">
        <f t="shared" si="109"/>
        <v>0</v>
      </c>
      <c r="AO43" s="4428" t="e">
        <f t="shared" si="110"/>
        <v>#DIV/0!</v>
      </c>
      <c r="AP43" s="4429"/>
      <c r="AQ43" s="3341"/>
      <c r="AR43" s="3341"/>
      <c r="AS43" s="3349">
        <f t="shared" si="111"/>
        <v>0</v>
      </c>
      <c r="AT43" s="4428" t="e">
        <f t="shared" si="112"/>
        <v>#DIV/0!</v>
      </c>
      <c r="AU43" s="4429"/>
      <c r="AV43" s="3341"/>
      <c r="AW43" s="3341"/>
      <c r="AX43" s="3349">
        <f t="shared" si="113"/>
        <v>0</v>
      </c>
      <c r="AY43" s="4428" t="e">
        <f t="shared" si="114"/>
        <v>#DIV/0!</v>
      </c>
      <c r="AZ43" s="4429"/>
      <c r="BA43" s="3341"/>
      <c r="BB43" s="3341"/>
      <c r="BC43" s="3349">
        <f t="shared" si="115"/>
        <v>0</v>
      </c>
      <c r="BD43" s="4428">
        <f t="shared" si="116"/>
        <v>0</v>
      </c>
      <c r="BE43" s="4429"/>
      <c r="BF43" s="3341"/>
      <c r="BG43" s="3341"/>
      <c r="BH43" s="3349">
        <f t="shared" si="117"/>
        <v>0</v>
      </c>
      <c r="BI43" s="4428" t="e">
        <f t="shared" si="118"/>
        <v>#DIV/0!</v>
      </c>
      <c r="BJ43" s="4429"/>
      <c r="BK43" s="3341"/>
      <c r="BL43" s="3341"/>
      <c r="BM43" s="3349">
        <f t="shared" si="119"/>
        <v>0</v>
      </c>
      <c r="BN43" s="4428" t="e">
        <f t="shared" si="120"/>
        <v>#DIV/0!</v>
      </c>
      <c r="BO43" s="4429"/>
      <c r="BP43" s="3341"/>
      <c r="BQ43" s="3341"/>
      <c r="BR43" s="3349">
        <f t="shared" si="121"/>
        <v>0</v>
      </c>
      <c r="BS43" s="4428" t="e">
        <f t="shared" si="122"/>
        <v>#DIV/0!</v>
      </c>
      <c r="BT43" s="4429"/>
      <c r="BU43" s="3341"/>
      <c r="BV43" s="3341"/>
      <c r="BW43" s="3349">
        <f t="shared" si="123"/>
        <v>0</v>
      </c>
      <c r="BX43" s="4428" t="e">
        <f t="shared" si="124"/>
        <v>#DIV/0!</v>
      </c>
      <c r="BY43" s="4429"/>
      <c r="BZ43" s="3341"/>
      <c r="CA43" s="3341"/>
      <c r="CB43" s="3349">
        <f t="shared" si="125"/>
        <v>0</v>
      </c>
      <c r="CC43" s="4428" t="e">
        <f t="shared" si="126"/>
        <v>#DIV/0!</v>
      </c>
      <c r="CD43" s="4429"/>
      <c r="CE43" s="3341"/>
      <c r="CF43" s="3341"/>
      <c r="CG43" s="3349">
        <f t="shared" si="127"/>
        <v>0</v>
      </c>
      <c r="CH43" s="4428" t="e">
        <f t="shared" si="128"/>
        <v>#DIV/0!</v>
      </c>
      <c r="CI43" s="4429"/>
      <c r="CJ43" s="3341">
        <f t="shared" si="129"/>
        <v>0</v>
      </c>
      <c r="CK43" s="3341">
        <f t="shared" si="129"/>
        <v>0</v>
      </c>
      <c r="CL43" s="2012">
        <f t="shared" si="130"/>
        <v>0</v>
      </c>
      <c r="CM43" s="4428">
        <f t="shared" si="94"/>
        <v>0</v>
      </c>
      <c r="CN43" s="4432"/>
      <c r="CP43" s="2012">
        <f t="shared" si="131"/>
        <v>0</v>
      </c>
      <c r="CQ43" s="2012">
        <f t="shared" si="131"/>
        <v>0</v>
      </c>
      <c r="CR43" s="4614"/>
    </row>
    <row r="44" spans="1:98" ht="13.8" outlineLevel="2">
      <c r="A44" s="4833"/>
      <c r="B44" s="4632" t="s">
        <v>28</v>
      </c>
      <c r="C44" s="3341"/>
      <c r="D44" s="3341"/>
      <c r="E44" s="3349">
        <f t="shared" si="95"/>
        <v>0</v>
      </c>
      <c r="F44" s="4428" t="e">
        <f t="shared" si="96"/>
        <v>#DIV/0!</v>
      </c>
      <c r="G44" s="4429"/>
      <c r="H44" s="3341"/>
      <c r="I44" s="3341"/>
      <c r="J44" s="3349">
        <f t="shared" si="97"/>
        <v>0</v>
      </c>
      <c r="K44" s="4428" t="e">
        <f t="shared" si="98"/>
        <v>#DIV/0!</v>
      </c>
      <c r="L44" s="4429"/>
      <c r="M44" s="3341"/>
      <c r="N44" s="3341"/>
      <c r="O44" s="3349">
        <f t="shared" si="99"/>
        <v>0</v>
      </c>
      <c r="P44" s="4428" t="e">
        <f t="shared" si="100"/>
        <v>#DIV/0!</v>
      </c>
      <c r="Q44" s="4429"/>
      <c r="R44" s="3342">
        <f t="shared" si="101"/>
        <v>0</v>
      </c>
      <c r="S44" s="3342">
        <f t="shared" si="101"/>
        <v>0</v>
      </c>
      <c r="T44" s="2012">
        <f t="shared" si="102"/>
        <v>0</v>
      </c>
      <c r="U44" s="3462"/>
      <c r="V44" s="3462"/>
      <c r="W44" s="3342">
        <f t="shared" si="103"/>
        <v>0</v>
      </c>
      <c r="X44" s="3342">
        <f t="shared" si="103"/>
        <v>0</v>
      </c>
      <c r="Y44" s="2012">
        <f t="shared" si="104"/>
        <v>0</v>
      </c>
      <c r="Z44" s="3462"/>
      <c r="AA44" s="3462"/>
      <c r="AB44" s="3341"/>
      <c r="AC44" s="3341"/>
      <c r="AD44" s="3349">
        <f t="shared" si="105"/>
        <v>0</v>
      </c>
      <c r="AE44" s="4428" t="e">
        <f t="shared" si="106"/>
        <v>#DIV/0!</v>
      </c>
      <c r="AF44" s="4429"/>
      <c r="AG44" s="3341"/>
      <c r="AH44" s="3341"/>
      <c r="AI44" s="3349">
        <f t="shared" si="107"/>
        <v>0</v>
      </c>
      <c r="AJ44" s="4428" t="e">
        <f t="shared" si="108"/>
        <v>#DIV/0!</v>
      </c>
      <c r="AK44" s="4429"/>
      <c r="AL44" s="3341"/>
      <c r="AM44" s="3341"/>
      <c r="AN44" s="3349">
        <f t="shared" si="109"/>
        <v>0</v>
      </c>
      <c r="AO44" s="4428" t="e">
        <f t="shared" si="110"/>
        <v>#DIV/0!</v>
      </c>
      <c r="AP44" s="4429"/>
      <c r="AQ44" s="3341"/>
      <c r="AR44" s="3341"/>
      <c r="AS44" s="3349">
        <f t="shared" si="111"/>
        <v>0</v>
      </c>
      <c r="AT44" s="4428" t="e">
        <f t="shared" si="112"/>
        <v>#DIV/0!</v>
      </c>
      <c r="AU44" s="4429"/>
      <c r="AV44" s="3341"/>
      <c r="AW44" s="3341"/>
      <c r="AX44" s="3349">
        <f t="shared" si="113"/>
        <v>0</v>
      </c>
      <c r="AY44" s="4428" t="e">
        <f t="shared" si="114"/>
        <v>#DIV/0!</v>
      </c>
      <c r="AZ44" s="4429"/>
      <c r="BA44" s="3341"/>
      <c r="BB44" s="3341"/>
      <c r="BC44" s="3349">
        <f t="shared" si="115"/>
        <v>0</v>
      </c>
      <c r="BD44" s="4428">
        <f t="shared" si="116"/>
        <v>0</v>
      </c>
      <c r="BE44" s="4429"/>
      <c r="BF44" s="3341"/>
      <c r="BG44" s="3341"/>
      <c r="BH44" s="3349">
        <f t="shared" si="117"/>
        <v>0</v>
      </c>
      <c r="BI44" s="4428" t="e">
        <f t="shared" si="118"/>
        <v>#DIV/0!</v>
      </c>
      <c r="BJ44" s="4429"/>
      <c r="BK44" s="3341"/>
      <c r="BL44" s="3341"/>
      <c r="BM44" s="3349">
        <f t="shared" si="119"/>
        <v>0</v>
      </c>
      <c r="BN44" s="4428" t="e">
        <f t="shared" si="120"/>
        <v>#DIV/0!</v>
      </c>
      <c r="BO44" s="4429"/>
      <c r="BP44" s="3341"/>
      <c r="BQ44" s="3341"/>
      <c r="BR44" s="3349">
        <f t="shared" si="121"/>
        <v>0</v>
      </c>
      <c r="BS44" s="4428" t="e">
        <f t="shared" si="122"/>
        <v>#DIV/0!</v>
      </c>
      <c r="BT44" s="4429"/>
      <c r="BU44" s="3341"/>
      <c r="BV44" s="3341"/>
      <c r="BW44" s="3349">
        <f t="shared" si="123"/>
        <v>0</v>
      </c>
      <c r="BX44" s="4428" t="e">
        <f t="shared" si="124"/>
        <v>#DIV/0!</v>
      </c>
      <c r="BY44" s="4429"/>
      <c r="BZ44" s="3341"/>
      <c r="CA44" s="3341"/>
      <c r="CB44" s="3349">
        <f t="shared" si="125"/>
        <v>0</v>
      </c>
      <c r="CC44" s="4428" t="e">
        <f t="shared" si="126"/>
        <v>#DIV/0!</v>
      </c>
      <c r="CD44" s="4429"/>
      <c r="CE44" s="3341"/>
      <c r="CF44" s="3341"/>
      <c r="CG44" s="3349">
        <f t="shared" si="127"/>
        <v>0</v>
      </c>
      <c r="CH44" s="4428" t="e">
        <f t="shared" si="128"/>
        <v>#DIV/0!</v>
      </c>
      <c r="CI44" s="4429"/>
      <c r="CJ44" s="3341">
        <f t="shared" si="129"/>
        <v>0</v>
      </c>
      <c r="CK44" s="3341">
        <f t="shared" si="129"/>
        <v>0</v>
      </c>
      <c r="CL44" s="2012">
        <f t="shared" si="130"/>
        <v>0</v>
      </c>
      <c r="CM44" s="4428">
        <f t="shared" si="94"/>
        <v>0</v>
      </c>
      <c r="CN44" s="4432"/>
      <c r="CP44" s="2012">
        <f t="shared" si="131"/>
        <v>0</v>
      </c>
      <c r="CQ44" s="2012">
        <f t="shared" si="131"/>
        <v>0</v>
      </c>
      <c r="CR44" s="4614"/>
    </row>
    <row r="45" spans="1:98" ht="13.8" outlineLevel="2">
      <c r="A45" s="4833"/>
      <c r="B45" s="4640" t="s">
        <v>8</v>
      </c>
      <c r="C45" s="3341"/>
      <c r="D45" s="3341"/>
      <c r="E45" s="3349">
        <f t="shared" si="95"/>
        <v>0</v>
      </c>
      <c r="F45" s="4428" t="e">
        <f t="shared" si="96"/>
        <v>#DIV/0!</v>
      </c>
      <c r="G45" s="4429"/>
      <c r="H45" s="3341"/>
      <c r="I45" s="3341"/>
      <c r="J45" s="3349">
        <f t="shared" si="97"/>
        <v>0</v>
      </c>
      <c r="K45" s="4428" t="e">
        <f t="shared" si="98"/>
        <v>#DIV/0!</v>
      </c>
      <c r="L45" s="4429"/>
      <c r="M45" s="3341"/>
      <c r="N45" s="3341"/>
      <c r="O45" s="3349">
        <f t="shared" si="99"/>
        <v>0</v>
      </c>
      <c r="P45" s="4428" t="e">
        <f t="shared" si="100"/>
        <v>#DIV/0!</v>
      </c>
      <c r="Q45" s="4429"/>
      <c r="R45" s="3342">
        <f t="shared" si="101"/>
        <v>0</v>
      </c>
      <c r="S45" s="3342">
        <f t="shared" si="101"/>
        <v>0</v>
      </c>
      <c r="T45" s="2012">
        <f t="shared" si="102"/>
        <v>0</v>
      </c>
      <c r="U45" s="3462"/>
      <c r="V45" s="3462"/>
      <c r="W45" s="3342">
        <f t="shared" si="103"/>
        <v>0</v>
      </c>
      <c r="X45" s="3342">
        <f t="shared" si="103"/>
        <v>0</v>
      </c>
      <c r="Y45" s="2012">
        <f t="shared" si="104"/>
        <v>0</v>
      </c>
      <c r="Z45" s="3462"/>
      <c r="AA45" s="3462"/>
      <c r="AB45" s="3341"/>
      <c r="AC45" s="3341"/>
      <c r="AD45" s="3349">
        <f t="shared" si="105"/>
        <v>0</v>
      </c>
      <c r="AE45" s="4428" t="e">
        <f t="shared" si="106"/>
        <v>#DIV/0!</v>
      </c>
      <c r="AF45" s="4429"/>
      <c r="AG45" s="3341"/>
      <c r="AH45" s="3341"/>
      <c r="AI45" s="3349">
        <f t="shared" si="107"/>
        <v>0</v>
      </c>
      <c r="AJ45" s="4428" t="e">
        <f t="shared" si="108"/>
        <v>#DIV/0!</v>
      </c>
      <c r="AK45" s="4429"/>
      <c r="AL45" s="3341"/>
      <c r="AM45" s="3341"/>
      <c r="AN45" s="3349">
        <f t="shared" si="109"/>
        <v>0</v>
      </c>
      <c r="AO45" s="4428" t="e">
        <f t="shared" si="110"/>
        <v>#DIV/0!</v>
      </c>
      <c r="AP45" s="4429"/>
      <c r="AQ45" s="3341"/>
      <c r="AR45" s="3341"/>
      <c r="AS45" s="3349">
        <f t="shared" si="111"/>
        <v>0</v>
      </c>
      <c r="AT45" s="4428" t="e">
        <f t="shared" si="112"/>
        <v>#DIV/0!</v>
      </c>
      <c r="AU45" s="4429"/>
      <c r="AV45" s="3341"/>
      <c r="AW45" s="3341"/>
      <c r="AX45" s="3349">
        <f t="shared" si="113"/>
        <v>0</v>
      </c>
      <c r="AY45" s="4428" t="e">
        <f t="shared" si="114"/>
        <v>#DIV/0!</v>
      </c>
      <c r="AZ45" s="4429"/>
      <c r="BA45" s="3341"/>
      <c r="BB45" s="3341"/>
      <c r="BC45" s="3349">
        <f t="shared" si="115"/>
        <v>0</v>
      </c>
      <c r="BD45" s="4428">
        <f t="shared" si="116"/>
        <v>0</v>
      </c>
      <c r="BE45" s="4429"/>
      <c r="BF45" s="3341"/>
      <c r="BG45" s="3341"/>
      <c r="BH45" s="3349">
        <f t="shared" si="117"/>
        <v>0</v>
      </c>
      <c r="BI45" s="4428" t="e">
        <f t="shared" si="118"/>
        <v>#DIV/0!</v>
      </c>
      <c r="BJ45" s="4429"/>
      <c r="BK45" s="3341"/>
      <c r="BL45" s="3341"/>
      <c r="BM45" s="3349">
        <f t="shared" si="119"/>
        <v>0</v>
      </c>
      <c r="BN45" s="4428" t="e">
        <f t="shared" si="120"/>
        <v>#DIV/0!</v>
      </c>
      <c r="BO45" s="4429"/>
      <c r="BP45" s="3341"/>
      <c r="BQ45" s="3341"/>
      <c r="BR45" s="3349">
        <f t="shared" si="121"/>
        <v>0</v>
      </c>
      <c r="BS45" s="4428" t="e">
        <f t="shared" si="122"/>
        <v>#DIV/0!</v>
      </c>
      <c r="BT45" s="4429"/>
      <c r="BU45" s="3341"/>
      <c r="BV45" s="3341"/>
      <c r="BW45" s="3349">
        <f t="shared" si="123"/>
        <v>0</v>
      </c>
      <c r="BX45" s="4428" t="e">
        <f t="shared" si="124"/>
        <v>#DIV/0!</v>
      </c>
      <c r="BY45" s="4429"/>
      <c r="BZ45" s="3341"/>
      <c r="CA45" s="3341"/>
      <c r="CB45" s="3349">
        <f t="shared" si="125"/>
        <v>0</v>
      </c>
      <c r="CC45" s="4428" t="e">
        <f t="shared" si="126"/>
        <v>#DIV/0!</v>
      </c>
      <c r="CD45" s="4429"/>
      <c r="CE45" s="3341"/>
      <c r="CF45" s="3341"/>
      <c r="CG45" s="3349">
        <f t="shared" si="127"/>
        <v>0</v>
      </c>
      <c r="CH45" s="4428" t="e">
        <f t="shared" si="128"/>
        <v>#DIV/0!</v>
      </c>
      <c r="CI45" s="4429"/>
      <c r="CJ45" s="3341">
        <f t="shared" si="129"/>
        <v>0</v>
      </c>
      <c r="CK45" s="3341">
        <f t="shared" si="129"/>
        <v>0</v>
      </c>
      <c r="CL45" s="2012">
        <f t="shared" si="130"/>
        <v>0</v>
      </c>
      <c r="CM45" s="4428">
        <f t="shared" si="94"/>
        <v>0</v>
      </c>
      <c r="CN45" s="4432"/>
      <c r="CP45" s="2012">
        <f t="shared" si="131"/>
        <v>0</v>
      </c>
      <c r="CQ45" s="2012">
        <f t="shared" si="131"/>
        <v>0</v>
      </c>
      <c r="CR45" s="4614"/>
    </row>
    <row r="46" spans="1:98" ht="13.8" outlineLevel="2">
      <c r="A46" s="4833"/>
      <c r="B46" s="4640" t="s">
        <v>29</v>
      </c>
      <c r="C46" s="3341"/>
      <c r="D46" s="3341"/>
      <c r="E46" s="3349">
        <f t="shared" si="95"/>
        <v>0</v>
      </c>
      <c r="F46" s="4428" t="e">
        <f t="shared" si="96"/>
        <v>#DIV/0!</v>
      </c>
      <c r="G46" s="4429"/>
      <c r="H46" s="3341"/>
      <c r="I46" s="3341"/>
      <c r="J46" s="3349">
        <f t="shared" si="97"/>
        <v>0</v>
      </c>
      <c r="K46" s="4428" t="e">
        <f t="shared" si="98"/>
        <v>#DIV/0!</v>
      </c>
      <c r="L46" s="4429"/>
      <c r="M46" s="3341"/>
      <c r="N46" s="3341"/>
      <c r="O46" s="3349">
        <f t="shared" si="99"/>
        <v>0</v>
      </c>
      <c r="P46" s="4428" t="e">
        <f t="shared" si="100"/>
        <v>#DIV/0!</v>
      </c>
      <c r="Q46" s="4429"/>
      <c r="R46" s="3342">
        <f t="shared" si="101"/>
        <v>0</v>
      </c>
      <c r="S46" s="3342">
        <f t="shared" si="101"/>
        <v>0</v>
      </c>
      <c r="T46" s="2012">
        <f t="shared" si="102"/>
        <v>0</v>
      </c>
      <c r="U46" s="3462"/>
      <c r="V46" s="3462"/>
      <c r="W46" s="3342">
        <f t="shared" si="103"/>
        <v>0</v>
      </c>
      <c r="X46" s="3342">
        <f t="shared" si="103"/>
        <v>0</v>
      </c>
      <c r="Y46" s="2012">
        <f t="shared" si="104"/>
        <v>0</v>
      </c>
      <c r="Z46" s="3462"/>
      <c r="AA46" s="3462"/>
      <c r="AB46" s="3341"/>
      <c r="AC46" s="3341"/>
      <c r="AD46" s="3349">
        <f t="shared" si="105"/>
        <v>0</v>
      </c>
      <c r="AE46" s="4428" t="e">
        <f t="shared" si="106"/>
        <v>#DIV/0!</v>
      </c>
      <c r="AF46" s="4429"/>
      <c r="AG46" s="3341"/>
      <c r="AH46" s="3341"/>
      <c r="AI46" s="3349">
        <f t="shared" si="107"/>
        <v>0</v>
      </c>
      <c r="AJ46" s="4428" t="e">
        <f t="shared" si="108"/>
        <v>#DIV/0!</v>
      </c>
      <c r="AK46" s="4429"/>
      <c r="AL46" s="3341"/>
      <c r="AM46" s="3341"/>
      <c r="AN46" s="3349">
        <f t="shared" si="109"/>
        <v>0</v>
      </c>
      <c r="AO46" s="4428" t="e">
        <f t="shared" si="110"/>
        <v>#DIV/0!</v>
      </c>
      <c r="AP46" s="4429"/>
      <c r="AQ46" s="3341"/>
      <c r="AR46" s="3341"/>
      <c r="AS46" s="3349">
        <f t="shared" si="111"/>
        <v>0</v>
      </c>
      <c r="AT46" s="4428" t="e">
        <f t="shared" si="112"/>
        <v>#DIV/0!</v>
      </c>
      <c r="AU46" s="4429"/>
      <c r="AV46" s="3341"/>
      <c r="AW46" s="3341"/>
      <c r="AX46" s="3349">
        <f t="shared" si="113"/>
        <v>0</v>
      </c>
      <c r="AY46" s="4428" t="e">
        <f t="shared" si="114"/>
        <v>#DIV/0!</v>
      </c>
      <c r="AZ46" s="4429"/>
      <c r="BA46" s="3341"/>
      <c r="BB46" s="3341"/>
      <c r="BC46" s="3349">
        <f t="shared" si="115"/>
        <v>0</v>
      </c>
      <c r="BD46" s="4428">
        <f t="shared" si="116"/>
        <v>0</v>
      </c>
      <c r="BE46" s="4429"/>
      <c r="BF46" s="3341"/>
      <c r="BG46" s="3341"/>
      <c r="BH46" s="3349">
        <f t="shared" si="117"/>
        <v>0</v>
      </c>
      <c r="BI46" s="4428" t="e">
        <f t="shared" si="118"/>
        <v>#DIV/0!</v>
      </c>
      <c r="BJ46" s="4429"/>
      <c r="BK46" s="3341"/>
      <c r="BL46" s="3341"/>
      <c r="BM46" s="3349">
        <f t="shared" si="119"/>
        <v>0</v>
      </c>
      <c r="BN46" s="4428" t="e">
        <f t="shared" si="120"/>
        <v>#DIV/0!</v>
      </c>
      <c r="BO46" s="4429"/>
      <c r="BP46" s="3341"/>
      <c r="BQ46" s="3341"/>
      <c r="BR46" s="3349">
        <f t="shared" si="121"/>
        <v>0</v>
      </c>
      <c r="BS46" s="4428" t="e">
        <f t="shared" si="122"/>
        <v>#DIV/0!</v>
      </c>
      <c r="BT46" s="4429"/>
      <c r="BU46" s="3341"/>
      <c r="BV46" s="3341"/>
      <c r="BW46" s="3349">
        <f t="shared" si="123"/>
        <v>0</v>
      </c>
      <c r="BX46" s="4428" t="e">
        <f t="shared" si="124"/>
        <v>#DIV/0!</v>
      </c>
      <c r="BY46" s="4429"/>
      <c r="BZ46" s="3341"/>
      <c r="CA46" s="3341"/>
      <c r="CB46" s="3349">
        <f t="shared" si="125"/>
        <v>0</v>
      </c>
      <c r="CC46" s="4428" t="e">
        <f t="shared" si="126"/>
        <v>#DIV/0!</v>
      </c>
      <c r="CD46" s="4429"/>
      <c r="CE46" s="3341"/>
      <c r="CF46" s="3341"/>
      <c r="CG46" s="3349">
        <f t="shared" si="127"/>
        <v>0</v>
      </c>
      <c r="CH46" s="4428" t="e">
        <f t="shared" si="128"/>
        <v>#DIV/0!</v>
      </c>
      <c r="CI46" s="4429"/>
      <c r="CJ46" s="3341">
        <f t="shared" si="129"/>
        <v>0</v>
      </c>
      <c r="CK46" s="3341">
        <f t="shared" si="129"/>
        <v>0</v>
      </c>
      <c r="CL46" s="2012">
        <f t="shared" si="130"/>
        <v>0</v>
      </c>
      <c r="CM46" s="4428">
        <f t="shared" si="94"/>
        <v>0</v>
      </c>
      <c r="CN46" s="4432"/>
      <c r="CP46" s="2012">
        <f t="shared" si="131"/>
        <v>0</v>
      </c>
      <c r="CQ46" s="2012">
        <f t="shared" si="131"/>
        <v>0</v>
      </c>
      <c r="CR46" s="4614"/>
    </row>
    <row r="47" spans="1:98" ht="13.8" outlineLevel="2">
      <c r="A47" s="4833"/>
      <c r="B47" s="4640" t="s">
        <v>30</v>
      </c>
      <c r="C47" s="3341"/>
      <c r="D47" s="3341"/>
      <c r="E47" s="3349">
        <f t="shared" si="95"/>
        <v>0</v>
      </c>
      <c r="F47" s="4428" t="e">
        <f t="shared" si="96"/>
        <v>#DIV/0!</v>
      </c>
      <c r="G47" s="4429"/>
      <c r="H47" s="3341"/>
      <c r="I47" s="3341"/>
      <c r="J47" s="3349">
        <f t="shared" si="97"/>
        <v>0</v>
      </c>
      <c r="K47" s="4428" t="e">
        <f t="shared" si="98"/>
        <v>#DIV/0!</v>
      </c>
      <c r="L47" s="4429"/>
      <c r="M47" s="3341"/>
      <c r="N47" s="3341"/>
      <c r="O47" s="3349">
        <f t="shared" si="99"/>
        <v>0</v>
      </c>
      <c r="P47" s="4428" t="e">
        <f t="shared" si="100"/>
        <v>#DIV/0!</v>
      </c>
      <c r="Q47" s="4429"/>
      <c r="R47" s="3342">
        <f t="shared" si="101"/>
        <v>0</v>
      </c>
      <c r="S47" s="3342">
        <f t="shared" si="101"/>
        <v>0</v>
      </c>
      <c r="T47" s="2012">
        <f t="shared" si="102"/>
        <v>0</v>
      </c>
      <c r="U47" s="3462"/>
      <c r="V47" s="3462"/>
      <c r="W47" s="3342">
        <f t="shared" si="103"/>
        <v>0</v>
      </c>
      <c r="X47" s="3342">
        <f t="shared" si="103"/>
        <v>0</v>
      </c>
      <c r="Y47" s="2012">
        <f t="shared" si="104"/>
        <v>0</v>
      </c>
      <c r="Z47" s="3462"/>
      <c r="AA47" s="3462"/>
      <c r="AB47" s="3341"/>
      <c r="AC47" s="3341"/>
      <c r="AD47" s="3349">
        <f t="shared" si="105"/>
        <v>0</v>
      </c>
      <c r="AE47" s="4428" t="e">
        <f t="shared" si="106"/>
        <v>#DIV/0!</v>
      </c>
      <c r="AF47" s="4429"/>
      <c r="AG47" s="3341"/>
      <c r="AH47" s="3341"/>
      <c r="AI47" s="3349">
        <f t="shared" si="107"/>
        <v>0</v>
      </c>
      <c r="AJ47" s="4428" t="e">
        <f t="shared" si="108"/>
        <v>#DIV/0!</v>
      </c>
      <c r="AK47" s="4429"/>
      <c r="AL47" s="3341"/>
      <c r="AM47" s="3341"/>
      <c r="AN47" s="3349">
        <f t="shared" si="109"/>
        <v>0</v>
      </c>
      <c r="AO47" s="4428" t="e">
        <f t="shared" si="110"/>
        <v>#DIV/0!</v>
      </c>
      <c r="AP47" s="4429"/>
      <c r="AQ47" s="3341"/>
      <c r="AR47" s="3341"/>
      <c r="AS47" s="3349">
        <f t="shared" si="111"/>
        <v>0</v>
      </c>
      <c r="AT47" s="4428" t="e">
        <f t="shared" si="112"/>
        <v>#DIV/0!</v>
      </c>
      <c r="AU47" s="4429"/>
      <c r="AV47" s="3341"/>
      <c r="AW47" s="3341"/>
      <c r="AX47" s="3349">
        <f t="shared" si="113"/>
        <v>0</v>
      </c>
      <c r="AY47" s="4428" t="e">
        <f t="shared" si="114"/>
        <v>#DIV/0!</v>
      </c>
      <c r="AZ47" s="4429"/>
      <c r="BA47" s="3341"/>
      <c r="BB47" s="3341"/>
      <c r="BC47" s="3349">
        <f t="shared" si="115"/>
        <v>0</v>
      </c>
      <c r="BD47" s="4428">
        <f t="shared" si="116"/>
        <v>0</v>
      </c>
      <c r="BE47" s="4429"/>
      <c r="BF47" s="3341"/>
      <c r="BG47" s="3341"/>
      <c r="BH47" s="3349">
        <f t="shared" si="117"/>
        <v>0</v>
      </c>
      <c r="BI47" s="4428" t="e">
        <f t="shared" si="118"/>
        <v>#DIV/0!</v>
      </c>
      <c r="BJ47" s="4429"/>
      <c r="BK47" s="3341"/>
      <c r="BL47" s="3341"/>
      <c r="BM47" s="3349">
        <f t="shared" si="119"/>
        <v>0</v>
      </c>
      <c r="BN47" s="4428" t="e">
        <f t="shared" si="120"/>
        <v>#DIV/0!</v>
      </c>
      <c r="BO47" s="4429"/>
      <c r="BP47" s="3341"/>
      <c r="BQ47" s="3341"/>
      <c r="BR47" s="3349">
        <f t="shared" si="121"/>
        <v>0</v>
      </c>
      <c r="BS47" s="4428" t="e">
        <f t="shared" si="122"/>
        <v>#DIV/0!</v>
      </c>
      <c r="BT47" s="4429"/>
      <c r="BU47" s="3341"/>
      <c r="BV47" s="3341"/>
      <c r="BW47" s="3349">
        <f t="shared" si="123"/>
        <v>0</v>
      </c>
      <c r="BX47" s="4428" t="e">
        <f t="shared" si="124"/>
        <v>#DIV/0!</v>
      </c>
      <c r="BY47" s="4429"/>
      <c r="BZ47" s="3341"/>
      <c r="CA47" s="3341"/>
      <c r="CB47" s="3349">
        <f t="shared" si="125"/>
        <v>0</v>
      </c>
      <c r="CC47" s="4428" t="e">
        <f t="shared" si="126"/>
        <v>#DIV/0!</v>
      </c>
      <c r="CD47" s="4429"/>
      <c r="CE47" s="3341"/>
      <c r="CF47" s="3341"/>
      <c r="CG47" s="3349">
        <f t="shared" si="127"/>
        <v>0</v>
      </c>
      <c r="CH47" s="4428" t="e">
        <f t="shared" si="128"/>
        <v>#DIV/0!</v>
      </c>
      <c r="CI47" s="4429"/>
      <c r="CJ47" s="3341">
        <f t="shared" si="129"/>
        <v>0</v>
      </c>
      <c r="CK47" s="3341">
        <f t="shared" si="129"/>
        <v>0</v>
      </c>
      <c r="CL47" s="2012">
        <f t="shared" si="130"/>
        <v>0</v>
      </c>
      <c r="CM47" s="4428">
        <f t="shared" si="94"/>
        <v>0</v>
      </c>
      <c r="CN47" s="4432"/>
      <c r="CP47" s="2012">
        <f t="shared" si="131"/>
        <v>0</v>
      </c>
      <c r="CQ47" s="2012">
        <f t="shared" si="131"/>
        <v>0</v>
      </c>
      <c r="CR47" s="4614"/>
    </row>
    <row r="48" spans="1:98" ht="13.8" outlineLevel="2">
      <c r="A48" s="4833"/>
      <c r="B48" s="4640" t="s">
        <v>15</v>
      </c>
      <c r="C48" s="3341"/>
      <c r="D48" s="3341"/>
      <c r="E48" s="3349">
        <f t="shared" si="95"/>
        <v>0</v>
      </c>
      <c r="F48" s="4428" t="e">
        <f t="shared" si="96"/>
        <v>#DIV/0!</v>
      </c>
      <c r="G48" s="4429"/>
      <c r="H48" s="3341"/>
      <c r="I48" s="3341"/>
      <c r="J48" s="3349">
        <f t="shared" si="97"/>
        <v>0</v>
      </c>
      <c r="K48" s="4428" t="e">
        <f t="shared" si="98"/>
        <v>#DIV/0!</v>
      </c>
      <c r="L48" s="4429"/>
      <c r="M48" s="3341"/>
      <c r="N48" s="3341"/>
      <c r="O48" s="3349">
        <f t="shared" si="99"/>
        <v>0</v>
      </c>
      <c r="P48" s="4428" t="e">
        <f t="shared" si="100"/>
        <v>#DIV/0!</v>
      </c>
      <c r="Q48" s="4429"/>
      <c r="R48" s="3342">
        <f t="shared" si="101"/>
        <v>0</v>
      </c>
      <c r="S48" s="3342">
        <f t="shared" si="101"/>
        <v>0</v>
      </c>
      <c r="T48" s="2012">
        <f t="shared" si="102"/>
        <v>0</v>
      </c>
      <c r="U48" s="4641"/>
      <c r="V48" s="4429"/>
      <c r="W48" s="4642">
        <f t="shared" si="103"/>
        <v>0</v>
      </c>
      <c r="X48" s="4642">
        <f t="shared" si="103"/>
        <v>0</v>
      </c>
      <c r="Y48" s="4453">
        <f t="shared" si="104"/>
        <v>0</v>
      </c>
      <c r="Z48" s="4429"/>
      <c r="AA48" s="4429"/>
      <c r="AB48" s="4623"/>
      <c r="AC48" s="4623"/>
      <c r="AD48" s="4643">
        <f t="shared" si="105"/>
        <v>0</v>
      </c>
      <c r="AE48" s="4428" t="e">
        <f t="shared" si="106"/>
        <v>#DIV/0!</v>
      </c>
      <c r="AF48" s="4429"/>
      <c r="AG48" s="4623"/>
      <c r="AH48" s="3341"/>
      <c r="AI48" s="3349">
        <f t="shared" si="107"/>
        <v>0</v>
      </c>
      <c r="AJ48" s="4428" t="e">
        <f t="shared" si="108"/>
        <v>#DIV/0!</v>
      </c>
      <c r="AK48" s="4429"/>
      <c r="AL48" s="3341"/>
      <c r="AM48" s="3341"/>
      <c r="AN48" s="3349">
        <f t="shared" si="109"/>
        <v>0</v>
      </c>
      <c r="AO48" s="4428" t="e">
        <f t="shared" si="110"/>
        <v>#DIV/0!</v>
      </c>
      <c r="AP48" s="4429"/>
      <c r="AQ48" s="3341"/>
      <c r="AR48" s="3341"/>
      <c r="AS48" s="3349">
        <f t="shared" si="111"/>
        <v>0</v>
      </c>
      <c r="AT48" s="4428" t="e">
        <f t="shared" si="112"/>
        <v>#DIV/0!</v>
      </c>
      <c r="AU48" s="4429"/>
      <c r="AV48" s="3341"/>
      <c r="AW48" s="3341"/>
      <c r="AX48" s="3349">
        <f t="shared" si="113"/>
        <v>0</v>
      </c>
      <c r="AY48" s="4428" t="e">
        <f t="shared" si="114"/>
        <v>#DIV/0!</v>
      </c>
      <c r="AZ48" s="4429"/>
      <c r="BA48" s="3341"/>
      <c r="BB48" s="3341"/>
      <c r="BC48" s="3349">
        <f t="shared" si="115"/>
        <v>0</v>
      </c>
      <c r="BD48" s="4428">
        <f t="shared" si="116"/>
        <v>0</v>
      </c>
      <c r="BE48" s="4429"/>
      <c r="BF48" s="3341"/>
      <c r="BG48" s="3341"/>
      <c r="BH48" s="3349">
        <f t="shared" si="117"/>
        <v>0</v>
      </c>
      <c r="BI48" s="4428" t="e">
        <f t="shared" si="118"/>
        <v>#DIV/0!</v>
      </c>
      <c r="BJ48" s="4429"/>
      <c r="BK48" s="3341"/>
      <c r="BL48" s="3341"/>
      <c r="BM48" s="3349">
        <f t="shared" si="119"/>
        <v>0</v>
      </c>
      <c r="BN48" s="4428" t="e">
        <f t="shared" si="120"/>
        <v>#DIV/0!</v>
      </c>
      <c r="BO48" s="4429"/>
      <c r="BP48" s="3341"/>
      <c r="BQ48" s="3341"/>
      <c r="BR48" s="3349">
        <f t="shared" si="121"/>
        <v>0</v>
      </c>
      <c r="BS48" s="4428" t="e">
        <f t="shared" si="122"/>
        <v>#DIV/0!</v>
      </c>
      <c r="BT48" s="4429"/>
      <c r="BU48" s="3341"/>
      <c r="BV48" s="3341"/>
      <c r="BW48" s="3349">
        <f t="shared" si="123"/>
        <v>0</v>
      </c>
      <c r="BX48" s="4428" t="e">
        <f t="shared" si="124"/>
        <v>#DIV/0!</v>
      </c>
      <c r="BY48" s="4429"/>
      <c r="BZ48" s="3341"/>
      <c r="CA48" s="3341"/>
      <c r="CB48" s="3349">
        <f t="shared" si="125"/>
        <v>0</v>
      </c>
      <c r="CC48" s="4428" t="e">
        <f t="shared" si="126"/>
        <v>#DIV/0!</v>
      </c>
      <c r="CD48" s="4429"/>
      <c r="CE48" s="3341"/>
      <c r="CF48" s="3341"/>
      <c r="CG48" s="3349">
        <f t="shared" si="127"/>
        <v>0</v>
      </c>
      <c r="CH48" s="4428" t="e">
        <f t="shared" si="128"/>
        <v>#DIV/0!</v>
      </c>
      <c r="CI48" s="4429"/>
      <c r="CJ48" s="3341">
        <f t="shared" si="129"/>
        <v>0</v>
      </c>
      <c r="CK48" s="3341">
        <f t="shared" si="129"/>
        <v>0</v>
      </c>
      <c r="CL48" s="2012">
        <f t="shared" si="130"/>
        <v>0</v>
      </c>
      <c r="CM48" s="4428">
        <f t="shared" si="94"/>
        <v>0</v>
      </c>
      <c r="CN48" s="4432"/>
      <c r="CP48" s="2012">
        <f t="shared" si="131"/>
        <v>0</v>
      </c>
      <c r="CQ48" s="2012">
        <f t="shared" si="131"/>
        <v>0</v>
      </c>
      <c r="CR48" s="4614"/>
    </row>
    <row r="49" spans="1:98" s="1396" customFormat="1" ht="14.4" outlineLevel="2" thickBot="1">
      <c r="A49" s="1405"/>
      <c r="B49" s="4644"/>
      <c r="C49" s="3341"/>
      <c r="D49" s="3341"/>
      <c r="E49" s="4609"/>
      <c r="F49" s="4437"/>
      <c r="G49" s="4634"/>
      <c r="H49" s="3341"/>
      <c r="I49" s="3341"/>
      <c r="J49" s="4609"/>
      <c r="K49" s="4437"/>
      <c r="L49" s="4634"/>
      <c r="M49" s="3341"/>
      <c r="N49" s="3341"/>
      <c r="O49" s="4609"/>
      <c r="P49" s="4437"/>
      <c r="Q49" s="4634"/>
      <c r="R49" s="3456"/>
      <c r="S49" s="3456"/>
      <c r="T49" s="3456"/>
      <c r="U49" s="3733"/>
      <c r="V49" s="3734"/>
      <c r="W49" s="3734"/>
      <c r="X49" s="3734"/>
      <c r="Y49" s="3734"/>
      <c r="Z49" s="3734"/>
      <c r="AA49" s="3734"/>
      <c r="AB49" s="3375"/>
      <c r="AC49" s="3375"/>
      <c r="AD49" s="4609"/>
      <c r="AE49" s="4437" t="e">
        <f t="shared" si="106"/>
        <v>#DIV/0!</v>
      </c>
      <c r="AF49" s="4634"/>
      <c r="AG49" s="3375"/>
      <c r="AH49" s="3341"/>
      <c r="AI49" s="4609"/>
      <c r="AJ49" s="4437" t="e">
        <f t="shared" si="108"/>
        <v>#DIV/0!</v>
      </c>
      <c r="AK49" s="4634"/>
      <c r="AL49" s="3341"/>
      <c r="AM49" s="3341"/>
      <c r="AN49" s="4609"/>
      <c r="AO49" s="4437" t="e">
        <f t="shared" si="110"/>
        <v>#DIV/0!</v>
      </c>
      <c r="AP49" s="4634"/>
      <c r="AQ49" s="3341"/>
      <c r="AR49" s="3341"/>
      <c r="AS49" s="4609"/>
      <c r="AT49" s="4437" t="e">
        <f t="shared" si="112"/>
        <v>#DIV/0!</v>
      </c>
      <c r="AU49" s="4634"/>
      <c r="AV49" s="3341"/>
      <c r="AW49" s="3341"/>
      <c r="AX49" s="4609"/>
      <c r="AY49" s="4437" t="e">
        <f t="shared" si="114"/>
        <v>#DIV/0!</v>
      </c>
      <c r="AZ49" s="4634"/>
      <c r="BA49" s="3341"/>
      <c r="BB49" s="3341"/>
      <c r="BC49" s="4609"/>
      <c r="BD49" s="4437">
        <f t="shared" si="116"/>
        <v>0</v>
      </c>
      <c r="BE49" s="4634"/>
      <c r="BF49" s="3341"/>
      <c r="BG49" s="3341"/>
      <c r="BH49" s="4609"/>
      <c r="BI49" s="4437" t="e">
        <f t="shared" si="118"/>
        <v>#DIV/0!</v>
      </c>
      <c r="BJ49" s="4634"/>
      <c r="BK49" s="3341"/>
      <c r="BL49" s="3341"/>
      <c r="BM49" s="4609"/>
      <c r="BN49" s="4437" t="e">
        <f t="shared" si="120"/>
        <v>#DIV/0!</v>
      </c>
      <c r="BO49" s="4634"/>
      <c r="BP49" s="3341"/>
      <c r="BQ49" s="3341"/>
      <c r="BR49" s="4609"/>
      <c r="BS49" s="4437" t="e">
        <f t="shared" si="122"/>
        <v>#DIV/0!</v>
      </c>
      <c r="BT49" s="4634"/>
      <c r="BU49" s="3341"/>
      <c r="BV49" s="3341"/>
      <c r="BW49" s="4609"/>
      <c r="BX49" s="4437" t="e">
        <f t="shared" si="124"/>
        <v>#DIV/0!</v>
      </c>
      <c r="BY49" s="4634"/>
      <c r="BZ49" s="3341"/>
      <c r="CA49" s="3341"/>
      <c r="CB49" s="4609"/>
      <c r="CC49" s="4437" t="e">
        <f t="shared" si="126"/>
        <v>#DIV/0!</v>
      </c>
      <c r="CD49" s="4634"/>
      <c r="CE49" s="3341"/>
      <c r="CF49" s="3341"/>
      <c r="CG49" s="4609"/>
      <c r="CH49" s="4437" t="e">
        <f t="shared" si="128"/>
        <v>#DIV/0!</v>
      </c>
      <c r="CI49" s="4634"/>
      <c r="CJ49" s="3341"/>
      <c r="CK49" s="3341"/>
      <c r="CL49" s="4609"/>
      <c r="CM49" s="4428">
        <f t="shared" si="94"/>
        <v>0</v>
      </c>
      <c r="CN49" s="4609"/>
      <c r="CP49" s="4645"/>
      <c r="CQ49" s="4645"/>
      <c r="CR49" s="4614"/>
      <c r="CT49" s="2624"/>
    </row>
    <row r="50" spans="1:98" s="1396" customFormat="1" ht="13.8" outlineLevel="1">
      <c r="A50" s="1565"/>
      <c r="B50" s="1410" t="s">
        <v>59</v>
      </c>
      <c r="C50" s="2015">
        <f>C52+C51</f>
        <v>0</v>
      </c>
      <c r="D50" s="2015">
        <f>D52+D51</f>
        <v>0</v>
      </c>
      <c r="E50" s="2014">
        <f>SUM(E51:E52)</f>
        <v>0</v>
      </c>
      <c r="F50" s="4449" t="e">
        <f>E50/$E$89</f>
        <v>#DIV/0!</v>
      </c>
      <c r="G50" s="1057"/>
      <c r="H50" s="2015">
        <f>H52+H51</f>
        <v>0</v>
      </c>
      <c r="I50" s="2015">
        <f>I52+I51</f>
        <v>0</v>
      </c>
      <c r="J50" s="2014">
        <f>SUM(J51:J52)</f>
        <v>0</v>
      </c>
      <c r="K50" s="4449" t="e">
        <f>J50/$E$89</f>
        <v>#DIV/0!</v>
      </c>
      <c r="L50" s="1057"/>
      <c r="M50" s="2015">
        <f>M52+M51</f>
        <v>0</v>
      </c>
      <c r="N50" s="2015">
        <f>N52+N51</f>
        <v>0</v>
      </c>
      <c r="O50" s="2014">
        <f>SUM(O51:O52)</f>
        <v>0</v>
      </c>
      <c r="P50" s="4449" t="e">
        <f>O50/$E$89</f>
        <v>#DIV/0!</v>
      </c>
      <c r="Q50" s="1057"/>
      <c r="R50" s="2015">
        <f>R52+R51</f>
        <v>0</v>
      </c>
      <c r="S50" s="2015">
        <f>S52+S51</f>
        <v>0</v>
      </c>
      <c r="T50" s="2015">
        <f>SUM(T51:T52)</f>
        <v>0</v>
      </c>
      <c r="U50" s="1535"/>
      <c r="V50" s="3460"/>
      <c r="W50" s="2013">
        <f>W52+W51</f>
        <v>0</v>
      </c>
      <c r="X50" s="2013">
        <f>X52+X51</f>
        <v>0</v>
      </c>
      <c r="Y50" s="2013">
        <f>SUM(Y51:Y52)</f>
        <v>0</v>
      </c>
      <c r="Z50" s="1535"/>
      <c r="AA50" s="3460"/>
      <c r="AB50" s="2013">
        <f>AB52+AB51</f>
        <v>0</v>
      </c>
      <c r="AC50" s="2013">
        <f>AC52+AC51</f>
        <v>0</v>
      </c>
      <c r="AD50" s="2013">
        <f>SUM(AD51:AD52)</f>
        <v>0</v>
      </c>
      <c r="AE50" s="1535"/>
      <c r="AF50" s="3735"/>
      <c r="AG50" s="2013">
        <f>AG52+AG51</f>
        <v>0</v>
      </c>
      <c r="AH50" s="2015">
        <f>AH52+AH51</f>
        <v>0</v>
      </c>
      <c r="AI50" s="2015">
        <f>SUM(AI51:AI52)</f>
        <v>0</v>
      </c>
      <c r="AJ50" s="1535"/>
      <c r="AK50" s="1057"/>
      <c r="AL50" s="2015">
        <f>AL52+AL51</f>
        <v>0</v>
      </c>
      <c r="AM50" s="2015">
        <f>AM52+AM51</f>
        <v>0</v>
      </c>
      <c r="AN50" s="2015">
        <f>SUM(AN51:AN52)</f>
        <v>0</v>
      </c>
      <c r="AO50" s="1535"/>
      <c r="AP50" s="1057"/>
      <c r="AQ50" s="2015">
        <f>AQ52+AQ51</f>
        <v>0</v>
      </c>
      <c r="AR50" s="2015">
        <f>AR52+AR51</f>
        <v>0</v>
      </c>
      <c r="AS50" s="2015">
        <f>SUM(AS51:AS52)</f>
        <v>0</v>
      </c>
      <c r="AT50" s="1535"/>
      <c r="AU50" s="1057"/>
      <c r="AV50" s="2015">
        <f>AV52+AV51</f>
        <v>0</v>
      </c>
      <c r="AW50" s="2015">
        <f>AW52+AW51</f>
        <v>0</v>
      </c>
      <c r="AX50" s="2015">
        <f>SUM(AX51:AX52)</f>
        <v>0</v>
      </c>
      <c r="AY50" s="1535"/>
      <c r="AZ50" s="1057"/>
      <c r="BA50" s="2015">
        <f>BA52+BA51</f>
        <v>0</v>
      </c>
      <c r="BB50" s="2015">
        <f>BB52+BB51</f>
        <v>0</v>
      </c>
      <c r="BC50" s="2015">
        <f>SUM(BC51:BC52)</f>
        <v>0</v>
      </c>
      <c r="BD50" s="1535"/>
      <c r="BE50" s="1057"/>
      <c r="BF50" s="2015">
        <f>BF52+BF51</f>
        <v>0</v>
      </c>
      <c r="BG50" s="2015">
        <f>BG52+BG51</f>
        <v>0</v>
      </c>
      <c r="BH50" s="2015">
        <f>SUM(BH51:BH52)</f>
        <v>0</v>
      </c>
      <c r="BI50" s="1535"/>
      <c r="BJ50" s="1057"/>
      <c r="BK50" s="2015">
        <f>BK52+BK51</f>
        <v>0</v>
      </c>
      <c r="BL50" s="2015">
        <f>BL52+BL51</f>
        <v>0</v>
      </c>
      <c r="BM50" s="2015">
        <f>SUM(BM51:BM52)</f>
        <v>0</v>
      </c>
      <c r="BN50" s="1535"/>
      <c r="BO50" s="1057"/>
      <c r="BP50" s="2015">
        <f>BP52+BP51</f>
        <v>0</v>
      </c>
      <c r="BQ50" s="2015">
        <f>BQ52+BQ51</f>
        <v>0</v>
      </c>
      <c r="BR50" s="2015">
        <f>SUM(BR51:BR52)</f>
        <v>0</v>
      </c>
      <c r="BS50" s="1535"/>
      <c r="BT50" s="1057"/>
      <c r="BU50" s="2015">
        <f>BU52+BU51</f>
        <v>0</v>
      </c>
      <c r="BV50" s="2015">
        <f>BV52+BV51</f>
        <v>0</v>
      </c>
      <c r="BW50" s="2015">
        <f>SUM(BW51:BW52)</f>
        <v>0</v>
      </c>
      <c r="BX50" s="1535"/>
      <c r="BY50" s="1057"/>
      <c r="BZ50" s="2015">
        <f>BZ52+BZ51</f>
        <v>0</v>
      </c>
      <c r="CA50" s="2015">
        <f>CA52+CA51</f>
        <v>0</v>
      </c>
      <c r="CB50" s="2015">
        <f>SUM(CB51:CB52)</f>
        <v>0</v>
      </c>
      <c r="CC50" s="1535"/>
      <c r="CD50" s="1057"/>
      <c r="CE50" s="2015">
        <f>CE52+CE51</f>
        <v>0</v>
      </c>
      <c r="CF50" s="2015">
        <f>CF52+CF51</f>
        <v>0</v>
      </c>
      <c r="CG50" s="2015">
        <f>SUM(CG51:CG52)</f>
        <v>0</v>
      </c>
      <c r="CH50" s="1535"/>
      <c r="CI50" s="1057"/>
      <c r="CJ50" s="2015">
        <f>CJ52+CJ51</f>
        <v>0</v>
      </c>
      <c r="CK50" s="2015">
        <f>CK52+CK51</f>
        <v>0</v>
      </c>
      <c r="CL50" s="2015">
        <f>SUM(CL51:CL52)</f>
        <v>0</v>
      </c>
      <c r="CM50" s="2006"/>
      <c r="CN50" s="2006"/>
      <c r="CP50" s="2015">
        <f>SUM(CP51:CP52)</f>
        <v>0</v>
      </c>
      <c r="CQ50" s="2015">
        <f>SUM(CQ51:CQ52)</f>
        <v>0</v>
      </c>
      <c r="CR50" s="2015"/>
      <c r="CT50" s="2624"/>
    </row>
    <row r="51" spans="1:98" s="1396" customFormat="1" ht="13.8" outlineLevel="1">
      <c r="A51" s="1566"/>
      <c r="B51" s="4640" t="s">
        <v>60</v>
      </c>
      <c r="C51" s="3341"/>
      <c r="D51" s="3341"/>
      <c r="E51" s="3349">
        <f t="shared" ref="E51:E52" si="132">C51+D51</f>
        <v>0</v>
      </c>
      <c r="F51" s="4428" t="e">
        <f t="shared" ref="F51:F71" si="133">E51/$E$89</f>
        <v>#DIV/0!</v>
      </c>
      <c r="G51" s="4633"/>
      <c r="H51" s="3341"/>
      <c r="I51" s="3341"/>
      <c r="J51" s="3349">
        <f>H51+I51</f>
        <v>0</v>
      </c>
      <c r="K51" s="4428" t="e">
        <f t="shared" ref="K51:K52" si="134">J51/J$89</f>
        <v>#DIV/0!</v>
      </c>
      <c r="L51" s="4633"/>
      <c r="M51" s="3341"/>
      <c r="N51" s="3341"/>
      <c r="O51" s="3349">
        <f t="shared" ref="O51:O52" si="135">M51+N51</f>
        <v>0</v>
      </c>
      <c r="P51" s="4428" t="e">
        <f t="shared" ref="P51:P53" si="136">O51/O$89</f>
        <v>#DIV/0!</v>
      </c>
      <c r="Q51" s="4633"/>
      <c r="R51" s="3342">
        <f t="shared" ref="R51:S52" si="137">M51+H51+C51</f>
        <v>0</v>
      </c>
      <c r="S51" s="3342">
        <f t="shared" si="137"/>
        <v>0</v>
      </c>
      <c r="T51" s="2012">
        <f t="shared" ref="T51:T52" si="138">R51+S51</f>
        <v>0</v>
      </c>
      <c r="U51" s="3455"/>
      <c r="V51" s="3455"/>
      <c r="W51" s="3342">
        <f t="shared" ref="W51:X52" si="139">AB51+AG51+AL51+AV51+BA51+BF51+BK51+BP51+BU51+BZ51+CE51+AQ51</f>
        <v>0</v>
      </c>
      <c r="X51" s="3342">
        <f t="shared" si="139"/>
        <v>0</v>
      </c>
      <c r="Y51" s="2012">
        <f t="shared" ref="Y51:Y52" si="140">W51+X51</f>
        <v>0</v>
      </c>
      <c r="Z51" s="3455"/>
      <c r="AA51" s="3455"/>
      <c r="AB51" s="3341"/>
      <c r="AC51" s="3341"/>
      <c r="AD51" s="3349">
        <f t="shared" ref="AD51:AD52" si="141">AB51+AC51</f>
        <v>0</v>
      </c>
      <c r="AE51" s="4428" t="e">
        <f t="shared" ref="AE51:AE53" si="142">AD51/AD$89</f>
        <v>#DIV/0!</v>
      </c>
      <c r="AF51" s="4633"/>
      <c r="AG51" s="3341"/>
      <c r="AH51" s="3341"/>
      <c r="AI51" s="3349">
        <f t="shared" ref="AI51:AI52" si="143">AG51+AH51</f>
        <v>0</v>
      </c>
      <c r="AJ51" s="4428" t="e">
        <f t="shared" ref="AJ51:AJ53" si="144">AI51/AI$89</f>
        <v>#DIV/0!</v>
      </c>
      <c r="AK51" s="4633"/>
      <c r="AL51" s="3341"/>
      <c r="AM51" s="3341"/>
      <c r="AN51" s="3349">
        <f t="shared" ref="AN51:AN52" si="145">AL51+AM51</f>
        <v>0</v>
      </c>
      <c r="AO51" s="4428" t="e">
        <f t="shared" ref="AO51:AO53" si="146">AN51/AN$89</f>
        <v>#DIV/0!</v>
      </c>
      <c r="AP51" s="4633"/>
      <c r="AQ51" s="3341"/>
      <c r="AR51" s="3341"/>
      <c r="AS51" s="3349">
        <f t="shared" ref="AS51:AS52" si="147">AQ51+AR51</f>
        <v>0</v>
      </c>
      <c r="AT51" s="4428" t="e">
        <f t="shared" ref="AT51:AT53" si="148">AS51/AS$89</f>
        <v>#DIV/0!</v>
      </c>
      <c r="AU51" s="4633"/>
      <c r="AV51" s="3341"/>
      <c r="AW51" s="3341"/>
      <c r="AX51" s="3349">
        <f t="shared" ref="AX51:AX52" si="149">AV51+AW51</f>
        <v>0</v>
      </c>
      <c r="AY51" s="4428" t="e">
        <f t="shared" ref="AY51:AY53" si="150">AX51/AX$89</f>
        <v>#DIV/0!</v>
      </c>
      <c r="AZ51" s="4633"/>
      <c r="BA51" s="3341"/>
      <c r="BB51" s="3341"/>
      <c r="BC51" s="3349">
        <f t="shared" ref="BC51:BC52" si="151">BA51+BB51</f>
        <v>0</v>
      </c>
      <c r="BD51" s="4428">
        <f t="shared" ref="BD51:BD53" si="152">BC51/BC$89</f>
        <v>0</v>
      </c>
      <c r="BE51" s="4633"/>
      <c r="BF51" s="3341"/>
      <c r="BG51" s="3341"/>
      <c r="BH51" s="3349">
        <f t="shared" ref="BH51:BH52" si="153">BF51+BG51</f>
        <v>0</v>
      </c>
      <c r="BI51" s="4428" t="e">
        <f t="shared" ref="BI51:BI53" si="154">BH51/BH$89</f>
        <v>#DIV/0!</v>
      </c>
      <c r="BJ51" s="4633"/>
      <c r="BK51" s="3341"/>
      <c r="BL51" s="3341"/>
      <c r="BM51" s="3349">
        <f t="shared" ref="BM51:BM52" si="155">BK51+BL51</f>
        <v>0</v>
      </c>
      <c r="BN51" s="4428" t="e">
        <f t="shared" ref="BN51:BN53" si="156">BM51/BM$89</f>
        <v>#DIV/0!</v>
      </c>
      <c r="BO51" s="4633"/>
      <c r="BP51" s="3341"/>
      <c r="BQ51" s="3341"/>
      <c r="BR51" s="3349">
        <f t="shared" ref="BR51:BR52" si="157">BP51+BQ51</f>
        <v>0</v>
      </c>
      <c r="BS51" s="4428" t="e">
        <f t="shared" ref="BS51:BS53" si="158">BR51/BR$89</f>
        <v>#DIV/0!</v>
      </c>
      <c r="BT51" s="4633"/>
      <c r="BU51" s="3341"/>
      <c r="BV51" s="3341"/>
      <c r="BW51" s="3349">
        <f t="shared" ref="BW51:BW52" si="159">BU51+BV51</f>
        <v>0</v>
      </c>
      <c r="BX51" s="4428" t="e">
        <f t="shared" ref="BX51:BX53" si="160">BW51/BW$89</f>
        <v>#DIV/0!</v>
      </c>
      <c r="BY51" s="4633"/>
      <c r="BZ51" s="3341"/>
      <c r="CA51" s="3341"/>
      <c r="CB51" s="3349">
        <f t="shared" ref="CB51:CB52" si="161">BZ51+CA51</f>
        <v>0</v>
      </c>
      <c r="CC51" s="4428" t="e">
        <f t="shared" ref="CC51:CC53" si="162">CB51/CB$89</f>
        <v>#DIV/0!</v>
      </c>
      <c r="CD51" s="4633"/>
      <c r="CE51" s="3341"/>
      <c r="CF51" s="3341"/>
      <c r="CG51" s="3349">
        <f t="shared" ref="CG51:CG52" si="163">CE51+CF51</f>
        <v>0</v>
      </c>
      <c r="CH51" s="4428" t="e">
        <f t="shared" ref="CH51:CH53" si="164">CG51/CG$89</f>
        <v>#DIV/0!</v>
      </c>
      <c r="CI51" s="4633"/>
      <c r="CJ51" s="3341">
        <f t="shared" ref="CJ51:CK53" si="165">C51+H51+M51+W51</f>
        <v>0</v>
      </c>
      <c r="CK51" s="3341">
        <f t="shared" si="165"/>
        <v>0</v>
      </c>
      <c r="CL51" s="2012">
        <f>CJ51+CK51*1</f>
        <v>0</v>
      </c>
      <c r="CM51" s="4428">
        <f>CL51/$CL$89</f>
        <v>0</v>
      </c>
      <c r="CN51" s="4611"/>
      <c r="CP51" s="2012">
        <f>CN51+CO51*1</f>
        <v>0</v>
      </c>
      <c r="CQ51" s="2012">
        <f>CO51+CP51*1</f>
        <v>0</v>
      </c>
      <c r="CR51" s="4614"/>
      <c r="CT51" s="2624"/>
    </row>
    <row r="52" spans="1:98" ht="13.8" outlineLevel="2">
      <c r="A52" s="1566"/>
      <c r="B52" s="4640" t="s">
        <v>61</v>
      </c>
      <c r="C52" s="3341"/>
      <c r="D52" s="3341"/>
      <c r="E52" s="3349">
        <f t="shared" si="132"/>
        <v>0</v>
      </c>
      <c r="F52" s="4428" t="e">
        <f t="shared" si="133"/>
        <v>#DIV/0!</v>
      </c>
      <c r="G52" s="4633"/>
      <c r="H52" s="3341"/>
      <c r="I52" s="3341"/>
      <c r="J52" s="3349">
        <f>H52+I52</f>
        <v>0</v>
      </c>
      <c r="K52" s="4428" t="e">
        <f t="shared" si="134"/>
        <v>#DIV/0!</v>
      </c>
      <c r="L52" s="4633"/>
      <c r="M52" s="3341"/>
      <c r="N52" s="3341"/>
      <c r="O52" s="3349">
        <f t="shared" si="135"/>
        <v>0</v>
      </c>
      <c r="P52" s="4428" t="e">
        <f t="shared" si="136"/>
        <v>#DIV/0!</v>
      </c>
      <c r="Q52" s="4633"/>
      <c r="R52" s="3342">
        <f t="shared" si="137"/>
        <v>0</v>
      </c>
      <c r="S52" s="3342">
        <f t="shared" si="137"/>
        <v>0</v>
      </c>
      <c r="T52" s="2012">
        <f t="shared" si="138"/>
        <v>0</v>
      </c>
      <c r="U52" s="3455"/>
      <c r="V52" s="3455"/>
      <c r="W52" s="3342">
        <f t="shared" si="139"/>
        <v>0</v>
      </c>
      <c r="X52" s="3342">
        <f t="shared" si="139"/>
        <v>0</v>
      </c>
      <c r="Y52" s="2012">
        <f t="shared" si="140"/>
        <v>0</v>
      </c>
      <c r="Z52" s="3455"/>
      <c r="AA52" s="3455"/>
      <c r="AB52" s="3341"/>
      <c r="AC52" s="3341"/>
      <c r="AD52" s="3349">
        <f t="shared" si="141"/>
        <v>0</v>
      </c>
      <c r="AE52" s="4428" t="e">
        <f t="shared" si="142"/>
        <v>#DIV/0!</v>
      </c>
      <c r="AF52" s="4633"/>
      <c r="AG52" s="3341"/>
      <c r="AH52" s="3341"/>
      <c r="AI52" s="3349">
        <f t="shared" si="143"/>
        <v>0</v>
      </c>
      <c r="AJ52" s="4428" t="e">
        <f t="shared" si="144"/>
        <v>#DIV/0!</v>
      </c>
      <c r="AK52" s="4633"/>
      <c r="AL52" s="3341"/>
      <c r="AM52" s="3341"/>
      <c r="AN52" s="3349">
        <f t="shared" si="145"/>
        <v>0</v>
      </c>
      <c r="AO52" s="4428" t="e">
        <f t="shared" si="146"/>
        <v>#DIV/0!</v>
      </c>
      <c r="AP52" s="4633"/>
      <c r="AQ52" s="3341"/>
      <c r="AR52" s="3341"/>
      <c r="AS52" s="3349">
        <f t="shared" si="147"/>
        <v>0</v>
      </c>
      <c r="AT52" s="4428" t="e">
        <f t="shared" si="148"/>
        <v>#DIV/0!</v>
      </c>
      <c r="AU52" s="4633"/>
      <c r="AV52" s="3341"/>
      <c r="AW52" s="3341"/>
      <c r="AX52" s="3349">
        <f t="shared" si="149"/>
        <v>0</v>
      </c>
      <c r="AY52" s="4428" t="e">
        <f t="shared" si="150"/>
        <v>#DIV/0!</v>
      </c>
      <c r="AZ52" s="4633"/>
      <c r="BA52" s="3341"/>
      <c r="BB52" s="3341"/>
      <c r="BC52" s="3349">
        <f t="shared" si="151"/>
        <v>0</v>
      </c>
      <c r="BD52" s="4428">
        <f t="shared" si="152"/>
        <v>0</v>
      </c>
      <c r="BE52" s="4633"/>
      <c r="BF52" s="3341"/>
      <c r="BG52" s="3341"/>
      <c r="BH52" s="3349">
        <f t="shared" si="153"/>
        <v>0</v>
      </c>
      <c r="BI52" s="4428" t="e">
        <f t="shared" si="154"/>
        <v>#DIV/0!</v>
      </c>
      <c r="BJ52" s="4633"/>
      <c r="BK52" s="3341"/>
      <c r="BL52" s="3341"/>
      <c r="BM52" s="3349">
        <f t="shared" si="155"/>
        <v>0</v>
      </c>
      <c r="BN52" s="4428" t="e">
        <f t="shared" si="156"/>
        <v>#DIV/0!</v>
      </c>
      <c r="BO52" s="4633"/>
      <c r="BP52" s="3341"/>
      <c r="BQ52" s="3341"/>
      <c r="BR52" s="3349">
        <f t="shared" si="157"/>
        <v>0</v>
      </c>
      <c r="BS52" s="4428" t="e">
        <f t="shared" si="158"/>
        <v>#DIV/0!</v>
      </c>
      <c r="BT52" s="4633"/>
      <c r="BU52" s="3341"/>
      <c r="BV52" s="3341"/>
      <c r="BW52" s="3349">
        <f t="shared" si="159"/>
        <v>0</v>
      </c>
      <c r="BX52" s="4428" t="e">
        <f t="shared" si="160"/>
        <v>#DIV/0!</v>
      </c>
      <c r="BY52" s="4633"/>
      <c r="BZ52" s="3341"/>
      <c r="CA52" s="3341"/>
      <c r="CB52" s="3349">
        <f t="shared" si="161"/>
        <v>0</v>
      </c>
      <c r="CC52" s="4428" t="e">
        <f t="shared" si="162"/>
        <v>#DIV/0!</v>
      </c>
      <c r="CD52" s="4633"/>
      <c r="CE52" s="3341"/>
      <c r="CF52" s="3341"/>
      <c r="CG52" s="3349">
        <f t="shared" si="163"/>
        <v>0</v>
      </c>
      <c r="CH52" s="4428" t="e">
        <f t="shared" si="164"/>
        <v>#DIV/0!</v>
      </c>
      <c r="CI52" s="4633"/>
      <c r="CJ52" s="3341">
        <f t="shared" si="165"/>
        <v>0</v>
      </c>
      <c r="CK52" s="3341">
        <f t="shared" si="165"/>
        <v>0</v>
      </c>
      <c r="CL52" s="2012">
        <f>CJ52+CK52*1</f>
        <v>0</v>
      </c>
      <c r="CM52" s="4428">
        <f>CL52/$CL$89</f>
        <v>0</v>
      </c>
      <c r="CN52" s="4611"/>
      <c r="CP52" s="2012">
        <f>CN52+CO52*1</f>
        <v>0</v>
      </c>
      <c r="CQ52" s="2012">
        <f>CO52+CP52*1</f>
        <v>0</v>
      </c>
      <c r="CR52" s="4614"/>
    </row>
    <row r="53" spans="1:98" ht="14.4" outlineLevel="1" thickBot="1">
      <c r="A53" s="1413"/>
      <c r="B53" s="4450"/>
      <c r="C53" s="3341"/>
      <c r="D53" s="3341"/>
      <c r="E53" s="4451"/>
      <c r="F53" s="4428" t="e">
        <f t="shared" si="133"/>
        <v>#DIV/0!</v>
      </c>
      <c r="G53" s="4452"/>
      <c r="H53" s="3341"/>
      <c r="I53" s="3341"/>
      <c r="J53" s="4451"/>
      <c r="K53" s="4428" t="e">
        <f t="shared" ref="K53:K54" si="166">J53/$E$89</f>
        <v>#DIV/0!</v>
      </c>
      <c r="L53" s="4452"/>
      <c r="M53" s="3341"/>
      <c r="N53" s="3341"/>
      <c r="O53" s="4451"/>
      <c r="P53" s="4428" t="e">
        <f t="shared" si="136"/>
        <v>#DIV/0!</v>
      </c>
      <c r="Q53" s="4452"/>
      <c r="R53" s="4646"/>
      <c r="S53" s="4452"/>
      <c r="T53" s="4452"/>
      <c r="U53" s="4452"/>
      <c r="V53" s="4452"/>
      <c r="W53" s="4452"/>
      <c r="X53" s="4452"/>
      <c r="Y53" s="4452"/>
      <c r="Z53" s="4452"/>
      <c r="AA53" s="4452"/>
      <c r="AB53" s="4624"/>
      <c r="AC53" s="4624"/>
      <c r="AD53" s="4451"/>
      <c r="AE53" s="4437" t="e">
        <f t="shared" si="142"/>
        <v>#DIV/0!</v>
      </c>
      <c r="AF53" s="4452"/>
      <c r="AG53" s="4624"/>
      <c r="AH53" s="4624"/>
      <c r="AI53" s="4451"/>
      <c r="AJ53" s="4437" t="e">
        <f t="shared" si="144"/>
        <v>#DIV/0!</v>
      </c>
      <c r="AK53" s="4452"/>
      <c r="AL53" s="4624"/>
      <c r="AM53" s="4624"/>
      <c r="AN53" s="4451"/>
      <c r="AO53" s="4437" t="e">
        <f t="shared" si="146"/>
        <v>#DIV/0!</v>
      </c>
      <c r="AP53" s="4452"/>
      <c r="AQ53" s="4624"/>
      <c r="AR53" s="4624"/>
      <c r="AS53" s="4451"/>
      <c r="AT53" s="4437" t="e">
        <f t="shared" si="148"/>
        <v>#DIV/0!</v>
      </c>
      <c r="AU53" s="4452"/>
      <c r="AV53" s="4624"/>
      <c r="AW53" s="4624"/>
      <c r="AX53" s="4451"/>
      <c r="AY53" s="4437" t="e">
        <f t="shared" si="150"/>
        <v>#DIV/0!</v>
      </c>
      <c r="AZ53" s="4452"/>
      <c r="BA53" s="4624"/>
      <c r="BB53" s="4624"/>
      <c r="BC53" s="4451"/>
      <c r="BD53" s="4437">
        <f t="shared" si="152"/>
        <v>0</v>
      </c>
      <c r="BE53" s="4452"/>
      <c r="BF53" s="4624"/>
      <c r="BG53" s="4624"/>
      <c r="BH53" s="4451"/>
      <c r="BI53" s="4437" t="e">
        <f t="shared" si="154"/>
        <v>#DIV/0!</v>
      </c>
      <c r="BJ53" s="4452"/>
      <c r="BK53" s="4624"/>
      <c r="BL53" s="4624"/>
      <c r="BM53" s="4451"/>
      <c r="BN53" s="4437" t="e">
        <f t="shared" si="156"/>
        <v>#DIV/0!</v>
      </c>
      <c r="BO53" s="4452"/>
      <c r="BP53" s="4624"/>
      <c r="BQ53" s="4624"/>
      <c r="BR53" s="4451"/>
      <c r="BS53" s="4437" t="e">
        <f t="shared" si="158"/>
        <v>#DIV/0!</v>
      </c>
      <c r="BT53" s="4452"/>
      <c r="BU53" s="4624"/>
      <c r="BV53" s="4624"/>
      <c r="BW53" s="4451"/>
      <c r="BX53" s="4437" t="e">
        <f t="shared" si="160"/>
        <v>#DIV/0!</v>
      </c>
      <c r="BY53" s="4452"/>
      <c r="BZ53" s="4624"/>
      <c r="CA53" s="4624"/>
      <c r="CB53" s="4451"/>
      <c r="CC53" s="4437" t="e">
        <f t="shared" si="162"/>
        <v>#DIV/0!</v>
      </c>
      <c r="CD53" s="4452"/>
      <c r="CE53" s="4624"/>
      <c r="CF53" s="4624"/>
      <c r="CG53" s="4451"/>
      <c r="CH53" s="4437" t="e">
        <f t="shared" si="164"/>
        <v>#DIV/0!</v>
      </c>
      <c r="CI53" s="4452"/>
      <c r="CJ53" s="4624">
        <f t="shared" si="165"/>
        <v>0</v>
      </c>
      <c r="CK53" s="4624">
        <f t="shared" si="165"/>
        <v>0</v>
      </c>
      <c r="CL53" s="4451"/>
      <c r="CM53" s="4451"/>
      <c r="CN53" s="4451"/>
      <c r="CP53" s="4647"/>
      <c r="CQ53" s="4647"/>
      <c r="CR53" s="4614"/>
    </row>
    <row r="54" spans="1:98" ht="13.8" outlineLevel="1">
      <c r="A54" s="1570"/>
      <c r="B54" s="1410" t="s">
        <v>1</v>
      </c>
      <c r="C54" s="2015">
        <f>SUM(C55:C72)</f>
        <v>0</v>
      </c>
      <c r="D54" s="2015">
        <f>SUM(D55:D72)</f>
        <v>0</v>
      </c>
      <c r="E54" s="2014">
        <f>SUM(E55:E72)</f>
        <v>0</v>
      </c>
      <c r="F54" s="4449" t="e">
        <f t="shared" si="133"/>
        <v>#DIV/0!</v>
      </c>
      <c r="G54" s="1057"/>
      <c r="H54" s="2015">
        <f>SUM(H55:H72)</f>
        <v>0</v>
      </c>
      <c r="I54" s="2015">
        <f>SUM(I55:I72)</f>
        <v>0</v>
      </c>
      <c r="J54" s="2014">
        <f>SUM(J55:J72)</f>
        <v>0</v>
      </c>
      <c r="K54" s="4449" t="e">
        <f t="shared" si="166"/>
        <v>#DIV/0!</v>
      </c>
      <c r="L54" s="1057"/>
      <c r="M54" s="2015">
        <f>SUM(M55:M72)</f>
        <v>0</v>
      </c>
      <c r="N54" s="2015">
        <f>SUM(N55:N72)</f>
        <v>0</v>
      </c>
      <c r="O54" s="2014">
        <f>SUM(O55:O72)</f>
        <v>0</v>
      </c>
      <c r="P54" s="4449" t="e">
        <f t="shared" ref="P54" si="167">O54/$E$89</f>
        <v>#DIV/0!</v>
      </c>
      <c r="Q54" s="1057"/>
      <c r="R54" s="2013">
        <f>SUM(R55:R72)</f>
        <v>0</v>
      </c>
      <c r="S54" s="2013">
        <f>SUM(S55:S72)</f>
        <v>0</v>
      </c>
      <c r="T54" s="2013">
        <f>SUM(T55:T72)</f>
        <v>0</v>
      </c>
      <c r="U54" s="1535"/>
      <c r="V54" s="3460"/>
      <c r="W54" s="2013">
        <f>SUM(W55:W72)</f>
        <v>0</v>
      </c>
      <c r="X54" s="2013">
        <f>SUM(X55:X72)</f>
        <v>0</v>
      </c>
      <c r="Y54" s="2013">
        <f>SUM(Y55:Y72)</f>
        <v>0</v>
      </c>
      <c r="Z54" s="1535"/>
      <c r="AA54" s="3460"/>
      <c r="AB54" s="2013">
        <f>SUM(AB55:AB72)</f>
        <v>0</v>
      </c>
      <c r="AC54" s="2013">
        <f>SUM(AC55:AC72)</f>
        <v>0</v>
      </c>
      <c r="AD54" s="2013">
        <f>SUM(AD55:AD72)</f>
        <v>0</v>
      </c>
      <c r="AE54" s="1535"/>
      <c r="AF54" s="3735"/>
      <c r="AG54" s="2013">
        <f>SUM(AG55:AG72)</f>
        <v>0</v>
      </c>
      <c r="AH54" s="2013">
        <f>SUM(AH55:AH72)</f>
        <v>0</v>
      </c>
      <c r="AI54" s="2013">
        <f>SUM(AI55:AI72)</f>
        <v>0</v>
      </c>
      <c r="AJ54" s="1535"/>
      <c r="AK54" s="3735"/>
      <c r="AL54" s="2013">
        <f>SUM(AL55:AL72)</f>
        <v>0</v>
      </c>
      <c r="AM54" s="2013">
        <f>SUM(AM55:AM72)</f>
        <v>0</v>
      </c>
      <c r="AN54" s="2013">
        <f>SUM(AN55:AN72)</f>
        <v>0</v>
      </c>
      <c r="AO54" s="1535"/>
      <c r="AP54" s="3735"/>
      <c r="AQ54" s="2013">
        <f>SUM(AQ55:AQ72)</f>
        <v>0</v>
      </c>
      <c r="AR54" s="2013">
        <f>SUM(AR55:AR72)</f>
        <v>0</v>
      </c>
      <c r="AS54" s="2013">
        <f>SUM(AS55:AS72)</f>
        <v>0</v>
      </c>
      <c r="AT54" s="1535"/>
      <c r="AU54" s="3735"/>
      <c r="AV54" s="2013">
        <f>SUM(AV55:AV72)</f>
        <v>0</v>
      </c>
      <c r="AW54" s="2013">
        <f>SUM(AW55:AW72)</f>
        <v>0</v>
      </c>
      <c r="AX54" s="2013">
        <f>SUM(AX55:AX72)</f>
        <v>0</v>
      </c>
      <c r="AY54" s="1535"/>
      <c r="AZ54" s="3735"/>
      <c r="BA54" s="2013">
        <f>SUM(BA55:BA72)</f>
        <v>0</v>
      </c>
      <c r="BB54" s="2013">
        <f>SUM(BB55:BB72)</f>
        <v>0</v>
      </c>
      <c r="BC54" s="2013">
        <f>SUM(BC55:BC72)</f>
        <v>0</v>
      </c>
      <c r="BD54" s="1535"/>
      <c r="BE54" s="3735"/>
      <c r="BF54" s="2013">
        <f>SUM(BF55:BF72)</f>
        <v>0</v>
      </c>
      <c r="BG54" s="2013">
        <f>SUM(BG55:BG72)</f>
        <v>0</v>
      </c>
      <c r="BH54" s="2013">
        <f>SUM(BH55:BH72)</f>
        <v>0</v>
      </c>
      <c r="BI54" s="1535"/>
      <c r="BJ54" s="3735"/>
      <c r="BK54" s="2013">
        <f>SUM(BK55:BK72)</f>
        <v>0</v>
      </c>
      <c r="BL54" s="2013">
        <f>SUM(BL55:BL72)</f>
        <v>0</v>
      </c>
      <c r="BM54" s="2013">
        <f>SUM(BM55:BM72)</f>
        <v>0</v>
      </c>
      <c r="BN54" s="1535"/>
      <c r="BO54" s="3735"/>
      <c r="BP54" s="2013">
        <f>SUM(BP55:BP72)</f>
        <v>0</v>
      </c>
      <c r="BQ54" s="2013">
        <f>SUM(BQ55:BQ72)</f>
        <v>0</v>
      </c>
      <c r="BR54" s="2013">
        <f>SUM(BR55:BR72)</f>
        <v>0</v>
      </c>
      <c r="BS54" s="1535"/>
      <c r="BT54" s="3735"/>
      <c r="BU54" s="2013">
        <f>SUM(BU55:BU72)</f>
        <v>0</v>
      </c>
      <c r="BV54" s="2013">
        <f>SUM(BV55:BV72)</f>
        <v>0</v>
      </c>
      <c r="BW54" s="2013">
        <f>SUM(BW55:BW72)</f>
        <v>0</v>
      </c>
      <c r="BX54" s="1535"/>
      <c r="BY54" s="3735"/>
      <c r="BZ54" s="2013">
        <f>SUM(BZ55:BZ72)</f>
        <v>0</v>
      </c>
      <c r="CA54" s="2013">
        <f>SUM(CA55:CA72)</f>
        <v>0</v>
      </c>
      <c r="CB54" s="2013">
        <f>SUM(CB55:CB72)</f>
        <v>0</v>
      </c>
      <c r="CC54" s="1535"/>
      <c r="CD54" s="3735"/>
      <c r="CE54" s="2013">
        <f>SUM(CE55:CE72)</f>
        <v>0</v>
      </c>
      <c r="CF54" s="2013">
        <f>SUM(CF55:CF72)</f>
        <v>0</v>
      </c>
      <c r="CG54" s="2013">
        <f>SUM(CG55:CG72)</f>
        <v>0</v>
      </c>
      <c r="CH54" s="1535"/>
      <c r="CI54" s="3735"/>
      <c r="CJ54" s="2013">
        <f>SUM(CJ55:CJ72)</f>
        <v>0</v>
      </c>
      <c r="CK54" s="2013">
        <f>SUM(CK55:CK72)</f>
        <v>0</v>
      </c>
      <c r="CL54" s="2013">
        <f>SUM(CL55:CL72)</f>
        <v>0</v>
      </c>
      <c r="CM54" s="1535">
        <f t="shared" ref="CM54:CM71" si="168">CL54/$CL$89</f>
        <v>0</v>
      </c>
      <c r="CN54" s="1061"/>
      <c r="CP54" s="2015">
        <f>SUM(CP55:CP72)</f>
        <v>0</v>
      </c>
      <c r="CQ54" s="2015">
        <f>SUM(CQ55:CQ72)</f>
        <v>0</v>
      </c>
      <c r="CR54" s="2015"/>
    </row>
    <row r="55" spans="1:98" ht="13.8" outlineLevel="2">
      <c r="A55" s="1571"/>
      <c r="B55" s="4632" t="s">
        <v>77</v>
      </c>
      <c r="C55" s="3349"/>
      <c r="D55" s="3349"/>
      <c r="E55" s="3349">
        <f t="shared" ref="E55:E71" si="169">C55+D55</f>
        <v>0</v>
      </c>
      <c r="F55" s="4428" t="e">
        <f t="shared" si="133"/>
        <v>#DIV/0!</v>
      </c>
      <c r="G55" s="4429"/>
      <c r="H55" s="3349"/>
      <c r="I55" s="3349"/>
      <c r="J55" s="3349">
        <f t="shared" ref="J55:J71" si="170">H55+I55</f>
        <v>0</v>
      </c>
      <c r="K55" s="4428" t="e">
        <f t="shared" ref="K55:K72" si="171">J55/J$89</f>
        <v>#DIV/0!</v>
      </c>
      <c r="L55" s="4429"/>
      <c r="M55" s="3349"/>
      <c r="N55" s="3349"/>
      <c r="O55" s="3349">
        <f t="shared" ref="O55:O71" si="172">M55+N55</f>
        <v>0</v>
      </c>
      <c r="P55" s="4428" t="e">
        <f t="shared" ref="P55:P72" si="173">O55/O$89</f>
        <v>#DIV/0!</v>
      </c>
      <c r="Q55" s="4429"/>
      <c r="R55" s="3342">
        <f t="shared" ref="R55:S71" si="174">M55+H55+C55</f>
        <v>0</v>
      </c>
      <c r="S55" s="3342">
        <f t="shared" si="174"/>
        <v>0</v>
      </c>
      <c r="T55" s="2012">
        <f t="shared" ref="T55:T71" si="175">R55+S55</f>
        <v>0</v>
      </c>
      <c r="U55" s="3462"/>
      <c r="V55" s="3462"/>
      <c r="W55" s="3342">
        <f t="shared" ref="W55:X71" si="176">AB55+AG55+AL55+AV55+BA55+BF55+BK55+BP55+BU55+BZ55+CE55+AQ55</f>
        <v>0</v>
      </c>
      <c r="X55" s="3342">
        <f t="shared" si="176"/>
        <v>0</v>
      </c>
      <c r="Y55" s="2012">
        <f t="shared" ref="Y55:Y71" si="177">W55+X55</f>
        <v>0</v>
      </c>
      <c r="Z55" s="3462"/>
      <c r="AA55" s="3462"/>
      <c r="AB55" s="3349"/>
      <c r="AC55" s="3349"/>
      <c r="AD55" s="3349">
        <f t="shared" ref="AD55:AD71" si="178">AB55+AC55</f>
        <v>0</v>
      </c>
      <c r="AE55" s="4428" t="e">
        <f t="shared" ref="AE55:AE71" si="179">AD55/AD$89</f>
        <v>#DIV/0!</v>
      </c>
      <c r="AF55" s="4429"/>
      <c r="AG55" s="3349"/>
      <c r="AH55" s="3349"/>
      <c r="AI55" s="3349">
        <f t="shared" ref="AI55:AI71" si="180">AG55+AH55</f>
        <v>0</v>
      </c>
      <c r="AJ55" s="4428" t="e">
        <f t="shared" ref="AJ55:AJ71" si="181">AI55/AI$89</f>
        <v>#DIV/0!</v>
      </c>
      <c r="AK55" s="4429"/>
      <c r="AL55" s="3349"/>
      <c r="AM55" s="3349"/>
      <c r="AN55" s="3349">
        <f t="shared" ref="AN55:AN71" si="182">AL55+AM55</f>
        <v>0</v>
      </c>
      <c r="AO55" s="4428" t="e">
        <f t="shared" ref="AO55:AO71" si="183">AN55/AN$89</f>
        <v>#DIV/0!</v>
      </c>
      <c r="AP55" s="4429"/>
      <c r="AQ55" s="3349"/>
      <c r="AR55" s="3349"/>
      <c r="AS55" s="3349">
        <f t="shared" ref="AS55:AS71" si="184">AQ55+AR55</f>
        <v>0</v>
      </c>
      <c r="AT55" s="4428" t="e">
        <f t="shared" ref="AT55:AT71" si="185">AS55/AS$89</f>
        <v>#DIV/0!</v>
      </c>
      <c r="AU55" s="4429"/>
      <c r="AV55" s="3349"/>
      <c r="AW55" s="3349"/>
      <c r="AX55" s="3349">
        <f t="shared" ref="AX55:AX71" si="186">AV55+AW55</f>
        <v>0</v>
      </c>
      <c r="AY55" s="4428" t="e">
        <f t="shared" ref="AY55:AY71" si="187">AX55/AX$89</f>
        <v>#DIV/0!</v>
      </c>
      <c r="AZ55" s="4429"/>
      <c r="BA55" s="3349"/>
      <c r="BB55" s="3349"/>
      <c r="BC55" s="3349">
        <f t="shared" ref="BC55:BC71" si="188">BA55+BB55</f>
        <v>0</v>
      </c>
      <c r="BD55" s="4428">
        <f t="shared" ref="BD55:BD71" si="189">BC55/BC$89</f>
        <v>0</v>
      </c>
      <c r="BE55" s="4429"/>
      <c r="BF55" s="3349"/>
      <c r="BG55" s="3349"/>
      <c r="BH55" s="3349">
        <f t="shared" ref="BH55:BH71" si="190">BF55+BG55</f>
        <v>0</v>
      </c>
      <c r="BI55" s="4428" t="e">
        <f t="shared" ref="BI55:BI71" si="191">BH55/BH$89</f>
        <v>#DIV/0!</v>
      </c>
      <c r="BJ55" s="4429"/>
      <c r="BK55" s="3349"/>
      <c r="BL55" s="3349"/>
      <c r="BM55" s="3349">
        <f t="shared" ref="BM55:BM71" si="192">BK55+BL55</f>
        <v>0</v>
      </c>
      <c r="BN55" s="4428" t="e">
        <f t="shared" ref="BN55:BN71" si="193">BM55/BM$89</f>
        <v>#DIV/0!</v>
      </c>
      <c r="BO55" s="4429"/>
      <c r="BP55" s="3349"/>
      <c r="BQ55" s="3349"/>
      <c r="BR55" s="3349">
        <f t="shared" ref="BR55:BR71" si="194">BP55+BQ55</f>
        <v>0</v>
      </c>
      <c r="BS55" s="4428" t="e">
        <f t="shared" ref="BS55:BS71" si="195">BR55/BR$89</f>
        <v>#DIV/0!</v>
      </c>
      <c r="BT55" s="4429"/>
      <c r="BU55" s="3349"/>
      <c r="BV55" s="3349"/>
      <c r="BW55" s="3349">
        <f t="shared" ref="BW55:BW71" si="196">BU55+BV55</f>
        <v>0</v>
      </c>
      <c r="BX55" s="4428" t="e">
        <f t="shared" ref="BX55:BX71" si="197">BW55/BW$89</f>
        <v>#DIV/0!</v>
      </c>
      <c r="BY55" s="4429"/>
      <c r="BZ55" s="3349"/>
      <c r="CA55" s="3349"/>
      <c r="CB55" s="3349">
        <f t="shared" ref="CB55:CB71" si="198">BZ55+CA55</f>
        <v>0</v>
      </c>
      <c r="CC55" s="4428" t="e">
        <f t="shared" ref="CC55:CC71" si="199">CB55/CB$89</f>
        <v>#DIV/0!</v>
      </c>
      <c r="CD55" s="4429"/>
      <c r="CE55" s="3349"/>
      <c r="CF55" s="3349"/>
      <c r="CG55" s="3349">
        <f t="shared" ref="CG55:CG71" si="200">CE55+CF55</f>
        <v>0</v>
      </c>
      <c r="CH55" s="4428" t="e">
        <f t="shared" ref="CH55:CH71" si="201">CG55/CG$89</f>
        <v>#DIV/0!</v>
      </c>
      <c r="CI55" s="4429"/>
      <c r="CJ55" s="3341">
        <f t="shared" ref="CJ55:CK71" si="202">C55+H55+M55+W55</f>
        <v>0</v>
      </c>
      <c r="CK55" s="3341">
        <f t="shared" si="202"/>
        <v>0</v>
      </c>
      <c r="CL55" s="2012">
        <f t="shared" ref="CL55:CL71" si="203">CJ55+CK55*1</f>
        <v>0</v>
      </c>
      <c r="CM55" s="4428">
        <f t="shared" si="168"/>
        <v>0</v>
      </c>
      <c r="CN55" s="4432"/>
      <c r="CP55" s="2012">
        <f t="shared" ref="CP55:CQ71" si="204">CN55+CO55*1</f>
        <v>0</v>
      </c>
      <c r="CQ55" s="2012">
        <f t="shared" si="204"/>
        <v>0</v>
      </c>
      <c r="CR55" s="4614"/>
    </row>
    <row r="56" spans="1:98" ht="13.8" outlineLevel="2">
      <c r="A56" s="1571"/>
      <c r="B56" s="4632" t="s">
        <v>76</v>
      </c>
      <c r="C56" s="3349"/>
      <c r="D56" s="3349"/>
      <c r="E56" s="3349">
        <f t="shared" si="169"/>
        <v>0</v>
      </c>
      <c r="F56" s="4428" t="e">
        <f t="shared" si="133"/>
        <v>#DIV/0!</v>
      </c>
      <c r="G56" s="4429"/>
      <c r="H56" s="3349"/>
      <c r="I56" s="3349"/>
      <c r="J56" s="3349">
        <f t="shared" si="170"/>
        <v>0</v>
      </c>
      <c r="K56" s="4428" t="e">
        <f t="shared" si="171"/>
        <v>#DIV/0!</v>
      </c>
      <c r="L56" s="4429"/>
      <c r="M56" s="3349"/>
      <c r="N56" s="3349"/>
      <c r="O56" s="3349">
        <f t="shared" si="172"/>
        <v>0</v>
      </c>
      <c r="P56" s="4428" t="e">
        <f t="shared" si="173"/>
        <v>#DIV/0!</v>
      </c>
      <c r="Q56" s="4429"/>
      <c r="R56" s="3342">
        <f t="shared" si="174"/>
        <v>0</v>
      </c>
      <c r="S56" s="3342">
        <f t="shared" si="174"/>
        <v>0</v>
      </c>
      <c r="T56" s="2012">
        <f t="shared" si="175"/>
        <v>0</v>
      </c>
      <c r="U56" s="3462"/>
      <c r="V56" s="3462"/>
      <c r="W56" s="3342">
        <f t="shared" si="176"/>
        <v>0</v>
      </c>
      <c r="X56" s="3342">
        <f t="shared" si="176"/>
        <v>0</v>
      </c>
      <c r="Y56" s="2012">
        <f t="shared" si="177"/>
        <v>0</v>
      </c>
      <c r="Z56" s="3462"/>
      <c r="AA56" s="3462"/>
      <c r="AB56" s="3349"/>
      <c r="AC56" s="3349"/>
      <c r="AD56" s="3349">
        <f t="shared" si="178"/>
        <v>0</v>
      </c>
      <c r="AE56" s="4428" t="e">
        <f t="shared" si="179"/>
        <v>#DIV/0!</v>
      </c>
      <c r="AF56" s="4429"/>
      <c r="AG56" s="3349"/>
      <c r="AH56" s="3349"/>
      <c r="AI56" s="3349">
        <f t="shared" si="180"/>
        <v>0</v>
      </c>
      <c r="AJ56" s="4428" t="e">
        <f t="shared" si="181"/>
        <v>#DIV/0!</v>
      </c>
      <c r="AK56" s="4429"/>
      <c r="AL56" s="3349"/>
      <c r="AM56" s="3349"/>
      <c r="AN56" s="3349">
        <f t="shared" si="182"/>
        <v>0</v>
      </c>
      <c r="AO56" s="4428" t="e">
        <f t="shared" si="183"/>
        <v>#DIV/0!</v>
      </c>
      <c r="AP56" s="4429"/>
      <c r="AQ56" s="3349"/>
      <c r="AR56" s="3349"/>
      <c r="AS56" s="3349">
        <f t="shared" si="184"/>
        <v>0</v>
      </c>
      <c r="AT56" s="4428" t="e">
        <f t="shared" si="185"/>
        <v>#DIV/0!</v>
      </c>
      <c r="AU56" s="4429"/>
      <c r="AV56" s="3349"/>
      <c r="AW56" s="3349"/>
      <c r="AX56" s="3349">
        <f t="shared" si="186"/>
        <v>0</v>
      </c>
      <c r="AY56" s="4428" t="e">
        <f t="shared" si="187"/>
        <v>#DIV/0!</v>
      </c>
      <c r="AZ56" s="4429"/>
      <c r="BA56" s="3349"/>
      <c r="BB56" s="3349"/>
      <c r="BC56" s="3349">
        <f t="shared" si="188"/>
        <v>0</v>
      </c>
      <c r="BD56" s="4428">
        <f t="shared" si="189"/>
        <v>0</v>
      </c>
      <c r="BE56" s="4429"/>
      <c r="BF56" s="3349"/>
      <c r="BG56" s="3349"/>
      <c r="BH56" s="3349">
        <f t="shared" si="190"/>
        <v>0</v>
      </c>
      <c r="BI56" s="4428" t="e">
        <f t="shared" si="191"/>
        <v>#DIV/0!</v>
      </c>
      <c r="BJ56" s="4429"/>
      <c r="BK56" s="3349"/>
      <c r="BL56" s="3349"/>
      <c r="BM56" s="3349">
        <f t="shared" si="192"/>
        <v>0</v>
      </c>
      <c r="BN56" s="4428" t="e">
        <f t="shared" si="193"/>
        <v>#DIV/0!</v>
      </c>
      <c r="BO56" s="4429"/>
      <c r="BP56" s="3349"/>
      <c r="BQ56" s="3349"/>
      <c r="BR56" s="3349">
        <f t="shared" si="194"/>
        <v>0</v>
      </c>
      <c r="BS56" s="4428" t="e">
        <f t="shared" si="195"/>
        <v>#DIV/0!</v>
      </c>
      <c r="BT56" s="4429"/>
      <c r="BU56" s="3349"/>
      <c r="BV56" s="3349"/>
      <c r="BW56" s="3349">
        <f t="shared" si="196"/>
        <v>0</v>
      </c>
      <c r="BX56" s="4428" t="e">
        <f t="shared" si="197"/>
        <v>#DIV/0!</v>
      </c>
      <c r="BY56" s="4429"/>
      <c r="BZ56" s="3349"/>
      <c r="CA56" s="3349"/>
      <c r="CB56" s="3349">
        <f t="shared" si="198"/>
        <v>0</v>
      </c>
      <c r="CC56" s="4428" t="e">
        <f t="shared" si="199"/>
        <v>#DIV/0!</v>
      </c>
      <c r="CD56" s="4429"/>
      <c r="CE56" s="3349"/>
      <c r="CF56" s="3349"/>
      <c r="CG56" s="3349">
        <f t="shared" si="200"/>
        <v>0</v>
      </c>
      <c r="CH56" s="4428" t="e">
        <f t="shared" si="201"/>
        <v>#DIV/0!</v>
      </c>
      <c r="CI56" s="4429"/>
      <c r="CJ56" s="3341">
        <f t="shared" si="202"/>
        <v>0</v>
      </c>
      <c r="CK56" s="3341">
        <f t="shared" si="202"/>
        <v>0</v>
      </c>
      <c r="CL56" s="2012">
        <f t="shared" si="203"/>
        <v>0</v>
      </c>
      <c r="CM56" s="4428">
        <f t="shared" si="168"/>
        <v>0</v>
      </c>
      <c r="CN56" s="4432"/>
      <c r="CP56" s="2012">
        <f t="shared" si="204"/>
        <v>0</v>
      </c>
      <c r="CQ56" s="2012">
        <f t="shared" si="204"/>
        <v>0</v>
      </c>
      <c r="CR56" s="4614"/>
    </row>
    <row r="57" spans="1:98" ht="13.8" outlineLevel="2">
      <c r="A57" s="1571"/>
      <c r="B57" s="4632" t="s">
        <v>68</v>
      </c>
      <c r="C57" s="3349"/>
      <c r="D57" s="3349"/>
      <c r="E57" s="3349">
        <f t="shared" si="169"/>
        <v>0</v>
      </c>
      <c r="F57" s="4428" t="e">
        <f t="shared" si="133"/>
        <v>#DIV/0!</v>
      </c>
      <c r="G57" s="4429"/>
      <c r="H57" s="3349"/>
      <c r="I57" s="3349"/>
      <c r="J57" s="3349">
        <f t="shared" si="170"/>
        <v>0</v>
      </c>
      <c r="K57" s="4428" t="e">
        <f t="shared" si="171"/>
        <v>#DIV/0!</v>
      </c>
      <c r="L57" s="4429"/>
      <c r="M57" s="3349"/>
      <c r="N57" s="3349"/>
      <c r="O57" s="3349">
        <f t="shared" si="172"/>
        <v>0</v>
      </c>
      <c r="P57" s="4428" t="e">
        <f t="shared" si="173"/>
        <v>#DIV/0!</v>
      </c>
      <c r="Q57" s="4429"/>
      <c r="R57" s="3342">
        <f t="shared" si="174"/>
        <v>0</v>
      </c>
      <c r="S57" s="3342">
        <f t="shared" si="174"/>
        <v>0</v>
      </c>
      <c r="T57" s="2012">
        <f t="shared" si="175"/>
        <v>0</v>
      </c>
      <c r="U57" s="3462"/>
      <c r="V57" s="3462"/>
      <c r="W57" s="3342">
        <f t="shared" si="176"/>
        <v>0</v>
      </c>
      <c r="X57" s="3342">
        <f t="shared" si="176"/>
        <v>0</v>
      </c>
      <c r="Y57" s="2012">
        <f t="shared" si="177"/>
        <v>0</v>
      </c>
      <c r="Z57" s="3462"/>
      <c r="AA57" s="3462"/>
      <c r="AB57" s="3349"/>
      <c r="AC57" s="3349"/>
      <c r="AD57" s="3349">
        <f t="shared" si="178"/>
        <v>0</v>
      </c>
      <c r="AE57" s="4428" t="e">
        <f t="shared" si="179"/>
        <v>#DIV/0!</v>
      </c>
      <c r="AF57" s="4429"/>
      <c r="AG57" s="3349"/>
      <c r="AH57" s="3349"/>
      <c r="AI57" s="3349">
        <f t="shared" si="180"/>
        <v>0</v>
      </c>
      <c r="AJ57" s="4428" t="e">
        <f t="shared" si="181"/>
        <v>#DIV/0!</v>
      </c>
      <c r="AK57" s="4429"/>
      <c r="AL57" s="3349"/>
      <c r="AM57" s="3349"/>
      <c r="AN57" s="3349">
        <f t="shared" si="182"/>
        <v>0</v>
      </c>
      <c r="AO57" s="4428" t="e">
        <f t="shared" si="183"/>
        <v>#DIV/0!</v>
      </c>
      <c r="AP57" s="4429"/>
      <c r="AQ57" s="3349"/>
      <c r="AR57" s="3349"/>
      <c r="AS57" s="3349">
        <f t="shared" si="184"/>
        <v>0</v>
      </c>
      <c r="AT57" s="4428" t="e">
        <f t="shared" si="185"/>
        <v>#DIV/0!</v>
      </c>
      <c r="AU57" s="4429"/>
      <c r="AV57" s="3349"/>
      <c r="AW57" s="3349"/>
      <c r="AX57" s="3349">
        <f t="shared" si="186"/>
        <v>0</v>
      </c>
      <c r="AY57" s="4428" t="e">
        <f t="shared" si="187"/>
        <v>#DIV/0!</v>
      </c>
      <c r="AZ57" s="4429"/>
      <c r="BA57" s="3349"/>
      <c r="BB57" s="3349"/>
      <c r="BC57" s="3349">
        <f t="shared" si="188"/>
        <v>0</v>
      </c>
      <c r="BD57" s="4428">
        <f t="shared" si="189"/>
        <v>0</v>
      </c>
      <c r="BE57" s="4429"/>
      <c r="BF57" s="3349"/>
      <c r="BG57" s="3349"/>
      <c r="BH57" s="3349">
        <f t="shared" si="190"/>
        <v>0</v>
      </c>
      <c r="BI57" s="4428" t="e">
        <f t="shared" si="191"/>
        <v>#DIV/0!</v>
      </c>
      <c r="BJ57" s="4429"/>
      <c r="BK57" s="3349"/>
      <c r="BL57" s="3349"/>
      <c r="BM57" s="3349">
        <f t="shared" si="192"/>
        <v>0</v>
      </c>
      <c r="BN57" s="4428" t="e">
        <f t="shared" si="193"/>
        <v>#DIV/0!</v>
      </c>
      <c r="BO57" s="4429"/>
      <c r="BP57" s="3349"/>
      <c r="BQ57" s="3349"/>
      <c r="BR57" s="3349">
        <f t="shared" si="194"/>
        <v>0</v>
      </c>
      <c r="BS57" s="4428" t="e">
        <f t="shared" si="195"/>
        <v>#DIV/0!</v>
      </c>
      <c r="BT57" s="4429"/>
      <c r="BU57" s="3349"/>
      <c r="BV57" s="3349"/>
      <c r="BW57" s="3349">
        <f t="shared" si="196"/>
        <v>0</v>
      </c>
      <c r="BX57" s="4428" t="e">
        <f t="shared" si="197"/>
        <v>#DIV/0!</v>
      </c>
      <c r="BY57" s="4429"/>
      <c r="BZ57" s="3349"/>
      <c r="CA57" s="3349"/>
      <c r="CB57" s="3349">
        <f t="shared" si="198"/>
        <v>0</v>
      </c>
      <c r="CC57" s="4428" t="e">
        <f t="shared" si="199"/>
        <v>#DIV/0!</v>
      </c>
      <c r="CD57" s="4429"/>
      <c r="CE57" s="3349"/>
      <c r="CF57" s="3349"/>
      <c r="CG57" s="3349">
        <f t="shared" si="200"/>
        <v>0</v>
      </c>
      <c r="CH57" s="4428" t="e">
        <f t="shared" si="201"/>
        <v>#DIV/0!</v>
      </c>
      <c r="CI57" s="4429"/>
      <c r="CJ57" s="3341">
        <f t="shared" si="202"/>
        <v>0</v>
      </c>
      <c r="CK57" s="3341">
        <f t="shared" si="202"/>
        <v>0</v>
      </c>
      <c r="CL57" s="2012">
        <f t="shared" si="203"/>
        <v>0</v>
      </c>
      <c r="CM57" s="4428">
        <f t="shared" si="168"/>
        <v>0</v>
      </c>
      <c r="CN57" s="4432"/>
      <c r="CP57" s="2012">
        <f t="shared" si="204"/>
        <v>0</v>
      </c>
      <c r="CQ57" s="2012">
        <f t="shared" si="204"/>
        <v>0</v>
      </c>
      <c r="CR57" s="4614"/>
    </row>
    <row r="58" spans="1:98" ht="13.8" outlineLevel="2">
      <c r="A58" s="1571"/>
      <c r="B58" s="4632" t="s">
        <v>67</v>
      </c>
      <c r="C58" s="3349"/>
      <c r="D58" s="3349"/>
      <c r="E58" s="3349">
        <f t="shared" si="169"/>
        <v>0</v>
      </c>
      <c r="F58" s="4428" t="e">
        <f t="shared" si="133"/>
        <v>#DIV/0!</v>
      </c>
      <c r="G58" s="4429"/>
      <c r="H58" s="3349"/>
      <c r="I58" s="3349"/>
      <c r="J58" s="3349">
        <f t="shared" si="170"/>
        <v>0</v>
      </c>
      <c r="K58" s="4428" t="e">
        <f t="shared" si="171"/>
        <v>#DIV/0!</v>
      </c>
      <c r="L58" s="4429"/>
      <c r="M58" s="3349"/>
      <c r="N58" s="3349"/>
      <c r="O58" s="3349">
        <f t="shared" si="172"/>
        <v>0</v>
      </c>
      <c r="P58" s="4428" t="e">
        <f t="shared" si="173"/>
        <v>#DIV/0!</v>
      </c>
      <c r="Q58" s="4429"/>
      <c r="R58" s="3342">
        <f t="shared" si="174"/>
        <v>0</v>
      </c>
      <c r="S58" s="3342">
        <f t="shared" si="174"/>
        <v>0</v>
      </c>
      <c r="T58" s="2012">
        <f t="shared" si="175"/>
        <v>0</v>
      </c>
      <c r="U58" s="3462"/>
      <c r="V58" s="3462"/>
      <c r="W58" s="3342">
        <f t="shared" si="176"/>
        <v>0</v>
      </c>
      <c r="X58" s="3342">
        <f t="shared" si="176"/>
        <v>0</v>
      </c>
      <c r="Y58" s="2012">
        <f t="shared" si="177"/>
        <v>0</v>
      </c>
      <c r="Z58" s="3462"/>
      <c r="AA58" s="3462"/>
      <c r="AB58" s="3349"/>
      <c r="AC58" s="3349"/>
      <c r="AD58" s="3349">
        <f t="shared" si="178"/>
        <v>0</v>
      </c>
      <c r="AE58" s="4428" t="e">
        <f t="shared" si="179"/>
        <v>#DIV/0!</v>
      </c>
      <c r="AF58" s="4429"/>
      <c r="AG58" s="3349"/>
      <c r="AH58" s="3349"/>
      <c r="AI58" s="3349">
        <f t="shared" si="180"/>
        <v>0</v>
      </c>
      <c r="AJ58" s="4428" t="e">
        <f t="shared" si="181"/>
        <v>#DIV/0!</v>
      </c>
      <c r="AK58" s="4429"/>
      <c r="AL58" s="3349"/>
      <c r="AM58" s="3349"/>
      <c r="AN58" s="3349">
        <f t="shared" si="182"/>
        <v>0</v>
      </c>
      <c r="AO58" s="4428" t="e">
        <f t="shared" si="183"/>
        <v>#DIV/0!</v>
      </c>
      <c r="AP58" s="4429"/>
      <c r="AQ58" s="3349"/>
      <c r="AR58" s="3349"/>
      <c r="AS58" s="3349">
        <f t="shared" si="184"/>
        <v>0</v>
      </c>
      <c r="AT58" s="4428" t="e">
        <f t="shared" si="185"/>
        <v>#DIV/0!</v>
      </c>
      <c r="AU58" s="4429"/>
      <c r="AV58" s="3349"/>
      <c r="AW58" s="3349"/>
      <c r="AX58" s="3349">
        <f t="shared" si="186"/>
        <v>0</v>
      </c>
      <c r="AY58" s="4428" t="e">
        <f t="shared" si="187"/>
        <v>#DIV/0!</v>
      </c>
      <c r="AZ58" s="4429"/>
      <c r="BA58" s="3349"/>
      <c r="BB58" s="3349"/>
      <c r="BC58" s="3349">
        <f t="shared" si="188"/>
        <v>0</v>
      </c>
      <c r="BD58" s="4428">
        <f t="shared" si="189"/>
        <v>0</v>
      </c>
      <c r="BE58" s="4429"/>
      <c r="BF58" s="3349"/>
      <c r="BG58" s="3349"/>
      <c r="BH58" s="3349">
        <f t="shared" si="190"/>
        <v>0</v>
      </c>
      <c r="BI58" s="4428" t="e">
        <f t="shared" si="191"/>
        <v>#DIV/0!</v>
      </c>
      <c r="BJ58" s="4429"/>
      <c r="BK58" s="3349"/>
      <c r="BL58" s="3349"/>
      <c r="BM58" s="3349">
        <f t="shared" si="192"/>
        <v>0</v>
      </c>
      <c r="BN58" s="4428" t="e">
        <f t="shared" si="193"/>
        <v>#DIV/0!</v>
      </c>
      <c r="BO58" s="4429"/>
      <c r="BP58" s="3349"/>
      <c r="BQ58" s="3349"/>
      <c r="BR58" s="3349">
        <f t="shared" si="194"/>
        <v>0</v>
      </c>
      <c r="BS58" s="4428" t="e">
        <f t="shared" si="195"/>
        <v>#DIV/0!</v>
      </c>
      <c r="BT58" s="4429"/>
      <c r="BU58" s="3349"/>
      <c r="BV58" s="3349"/>
      <c r="BW58" s="3349">
        <f t="shared" si="196"/>
        <v>0</v>
      </c>
      <c r="BX58" s="4428" t="e">
        <f t="shared" si="197"/>
        <v>#DIV/0!</v>
      </c>
      <c r="BY58" s="4429"/>
      <c r="BZ58" s="3349"/>
      <c r="CA58" s="3349"/>
      <c r="CB58" s="3349">
        <f t="shared" si="198"/>
        <v>0</v>
      </c>
      <c r="CC58" s="4428" t="e">
        <f t="shared" si="199"/>
        <v>#DIV/0!</v>
      </c>
      <c r="CD58" s="4429"/>
      <c r="CE58" s="3349"/>
      <c r="CF58" s="3349"/>
      <c r="CG58" s="3349">
        <f t="shared" si="200"/>
        <v>0</v>
      </c>
      <c r="CH58" s="4428" t="e">
        <f t="shared" si="201"/>
        <v>#DIV/0!</v>
      </c>
      <c r="CI58" s="4429"/>
      <c r="CJ58" s="3341">
        <f t="shared" si="202"/>
        <v>0</v>
      </c>
      <c r="CK58" s="3341">
        <f t="shared" si="202"/>
        <v>0</v>
      </c>
      <c r="CL58" s="2012">
        <f t="shared" si="203"/>
        <v>0</v>
      </c>
      <c r="CM58" s="4428">
        <f t="shared" si="168"/>
        <v>0</v>
      </c>
      <c r="CN58" s="4432"/>
      <c r="CP58" s="2012">
        <f t="shared" si="204"/>
        <v>0</v>
      </c>
      <c r="CQ58" s="2012">
        <f t="shared" si="204"/>
        <v>0</v>
      </c>
      <c r="CR58" s="4614"/>
    </row>
    <row r="59" spans="1:98" ht="13.8" outlineLevel="2">
      <c r="A59" s="1571"/>
      <c r="B59" s="4632" t="s">
        <v>66</v>
      </c>
      <c r="C59" s="3349"/>
      <c r="D59" s="3349"/>
      <c r="E59" s="3349">
        <f t="shared" si="169"/>
        <v>0</v>
      </c>
      <c r="F59" s="4428" t="e">
        <f t="shared" si="133"/>
        <v>#DIV/0!</v>
      </c>
      <c r="G59" s="4429"/>
      <c r="H59" s="3349"/>
      <c r="I59" s="3349"/>
      <c r="J59" s="3349">
        <f t="shared" si="170"/>
        <v>0</v>
      </c>
      <c r="K59" s="4428" t="e">
        <f t="shared" si="171"/>
        <v>#DIV/0!</v>
      </c>
      <c r="L59" s="4429"/>
      <c r="M59" s="3349"/>
      <c r="N59" s="3349"/>
      <c r="O59" s="3349">
        <f t="shared" si="172"/>
        <v>0</v>
      </c>
      <c r="P59" s="4428" t="e">
        <f t="shared" si="173"/>
        <v>#DIV/0!</v>
      </c>
      <c r="Q59" s="4429"/>
      <c r="R59" s="3342">
        <f t="shared" si="174"/>
        <v>0</v>
      </c>
      <c r="S59" s="3342">
        <f t="shared" si="174"/>
        <v>0</v>
      </c>
      <c r="T59" s="2012">
        <f t="shared" si="175"/>
        <v>0</v>
      </c>
      <c r="U59" s="3462"/>
      <c r="V59" s="3462"/>
      <c r="W59" s="3342">
        <f t="shared" si="176"/>
        <v>0</v>
      </c>
      <c r="X59" s="3342">
        <f t="shared" si="176"/>
        <v>0</v>
      </c>
      <c r="Y59" s="2012">
        <f t="shared" si="177"/>
        <v>0</v>
      </c>
      <c r="Z59" s="3462"/>
      <c r="AA59" s="3462"/>
      <c r="AB59" s="3349"/>
      <c r="AC59" s="3349"/>
      <c r="AD59" s="3349">
        <f t="shared" si="178"/>
        <v>0</v>
      </c>
      <c r="AE59" s="4428" t="e">
        <f t="shared" si="179"/>
        <v>#DIV/0!</v>
      </c>
      <c r="AF59" s="4429"/>
      <c r="AG59" s="3349"/>
      <c r="AH59" s="3349"/>
      <c r="AI59" s="3349">
        <f t="shared" si="180"/>
        <v>0</v>
      </c>
      <c r="AJ59" s="4428" t="e">
        <f t="shared" si="181"/>
        <v>#DIV/0!</v>
      </c>
      <c r="AK59" s="4429"/>
      <c r="AL59" s="3349"/>
      <c r="AM59" s="3349"/>
      <c r="AN59" s="3349">
        <f t="shared" si="182"/>
        <v>0</v>
      </c>
      <c r="AO59" s="4428" t="e">
        <f t="shared" si="183"/>
        <v>#DIV/0!</v>
      </c>
      <c r="AP59" s="4429"/>
      <c r="AQ59" s="3349"/>
      <c r="AR59" s="3349"/>
      <c r="AS59" s="3349">
        <f t="shared" si="184"/>
        <v>0</v>
      </c>
      <c r="AT59" s="4428" t="e">
        <f t="shared" si="185"/>
        <v>#DIV/0!</v>
      </c>
      <c r="AU59" s="4429"/>
      <c r="AV59" s="3349"/>
      <c r="AW59" s="3349"/>
      <c r="AX59" s="3349">
        <f t="shared" si="186"/>
        <v>0</v>
      </c>
      <c r="AY59" s="4428" t="e">
        <f t="shared" si="187"/>
        <v>#DIV/0!</v>
      </c>
      <c r="AZ59" s="4429"/>
      <c r="BA59" s="3349"/>
      <c r="BB59" s="3349"/>
      <c r="BC59" s="3349">
        <f t="shared" si="188"/>
        <v>0</v>
      </c>
      <c r="BD59" s="4428">
        <f t="shared" si="189"/>
        <v>0</v>
      </c>
      <c r="BE59" s="4429"/>
      <c r="BF59" s="3349"/>
      <c r="BG59" s="3349"/>
      <c r="BH59" s="3349">
        <f t="shared" si="190"/>
        <v>0</v>
      </c>
      <c r="BI59" s="4428" t="e">
        <f t="shared" si="191"/>
        <v>#DIV/0!</v>
      </c>
      <c r="BJ59" s="4429"/>
      <c r="BK59" s="3349"/>
      <c r="BL59" s="3349"/>
      <c r="BM59" s="3349">
        <f t="shared" si="192"/>
        <v>0</v>
      </c>
      <c r="BN59" s="4428" t="e">
        <f t="shared" si="193"/>
        <v>#DIV/0!</v>
      </c>
      <c r="BO59" s="4429"/>
      <c r="BP59" s="3349"/>
      <c r="BQ59" s="3349"/>
      <c r="BR59" s="3349">
        <f t="shared" si="194"/>
        <v>0</v>
      </c>
      <c r="BS59" s="4428" t="e">
        <f t="shared" si="195"/>
        <v>#DIV/0!</v>
      </c>
      <c r="BT59" s="4429"/>
      <c r="BU59" s="3349"/>
      <c r="BV59" s="3349"/>
      <c r="BW59" s="3349">
        <f t="shared" si="196"/>
        <v>0</v>
      </c>
      <c r="BX59" s="4428" t="e">
        <f t="shared" si="197"/>
        <v>#DIV/0!</v>
      </c>
      <c r="BY59" s="4429"/>
      <c r="BZ59" s="3349"/>
      <c r="CA59" s="3349"/>
      <c r="CB59" s="3349">
        <f t="shared" si="198"/>
        <v>0</v>
      </c>
      <c r="CC59" s="4428" t="e">
        <f t="shared" si="199"/>
        <v>#DIV/0!</v>
      </c>
      <c r="CD59" s="4429"/>
      <c r="CE59" s="3349"/>
      <c r="CF59" s="3349"/>
      <c r="CG59" s="3349">
        <f t="shared" si="200"/>
        <v>0</v>
      </c>
      <c r="CH59" s="4428" t="e">
        <f t="shared" si="201"/>
        <v>#DIV/0!</v>
      </c>
      <c r="CI59" s="4429"/>
      <c r="CJ59" s="3341">
        <f t="shared" si="202"/>
        <v>0</v>
      </c>
      <c r="CK59" s="3341">
        <f t="shared" si="202"/>
        <v>0</v>
      </c>
      <c r="CL59" s="2012">
        <f t="shared" si="203"/>
        <v>0</v>
      </c>
      <c r="CM59" s="4428">
        <f t="shared" si="168"/>
        <v>0</v>
      </c>
      <c r="CN59" s="4432"/>
      <c r="CP59" s="2012">
        <f t="shared" si="204"/>
        <v>0</v>
      </c>
      <c r="CQ59" s="2012">
        <f t="shared" si="204"/>
        <v>0</v>
      </c>
      <c r="CR59" s="4614"/>
    </row>
    <row r="60" spans="1:98" ht="13.8" outlineLevel="2">
      <c r="A60" s="1571"/>
      <c r="B60" s="4632" t="s">
        <v>65</v>
      </c>
      <c r="C60" s="3349"/>
      <c r="D60" s="3349"/>
      <c r="E60" s="3349">
        <f t="shared" si="169"/>
        <v>0</v>
      </c>
      <c r="F60" s="4428" t="e">
        <f t="shared" si="133"/>
        <v>#DIV/0!</v>
      </c>
      <c r="G60" s="4429"/>
      <c r="H60" s="3349"/>
      <c r="I60" s="3349"/>
      <c r="J60" s="3349">
        <f t="shared" si="170"/>
        <v>0</v>
      </c>
      <c r="K60" s="4428" t="e">
        <f t="shared" si="171"/>
        <v>#DIV/0!</v>
      </c>
      <c r="L60" s="4429"/>
      <c r="M60" s="3349"/>
      <c r="N60" s="3349"/>
      <c r="O60" s="3349">
        <f t="shared" si="172"/>
        <v>0</v>
      </c>
      <c r="P60" s="4428" t="e">
        <f t="shared" si="173"/>
        <v>#DIV/0!</v>
      </c>
      <c r="Q60" s="4429"/>
      <c r="R60" s="3342">
        <f t="shared" si="174"/>
        <v>0</v>
      </c>
      <c r="S60" s="3342">
        <f t="shared" si="174"/>
        <v>0</v>
      </c>
      <c r="T60" s="2012">
        <f t="shared" si="175"/>
        <v>0</v>
      </c>
      <c r="U60" s="3462"/>
      <c r="V60" s="3462"/>
      <c r="W60" s="3342">
        <f t="shared" si="176"/>
        <v>0</v>
      </c>
      <c r="X60" s="3342">
        <f t="shared" si="176"/>
        <v>0</v>
      </c>
      <c r="Y60" s="2012">
        <f t="shared" si="177"/>
        <v>0</v>
      </c>
      <c r="Z60" s="3462"/>
      <c r="AA60" s="3462"/>
      <c r="AB60" s="3349"/>
      <c r="AC60" s="3349"/>
      <c r="AD60" s="3349">
        <f t="shared" si="178"/>
        <v>0</v>
      </c>
      <c r="AE60" s="4428" t="e">
        <f t="shared" si="179"/>
        <v>#DIV/0!</v>
      </c>
      <c r="AF60" s="4429"/>
      <c r="AG60" s="3349"/>
      <c r="AH60" s="3349"/>
      <c r="AI60" s="3349">
        <f t="shared" si="180"/>
        <v>0</v>
      </c>
      <c r="AJ60" s="4428" t="e">
        <f t="shared" si="181"/>
        <v>#DIV/0!</v>
      </c>
      <c r="AK60" s="4429"/>
      <c r="AL60" s="3349"/>
      <c r="AM60" s="3349"/>
      <c r="AN60" s="3349">
        <f t="shared" si="182"/>
        <v>0</v>
      </c>
      <c r="AO60" s="4428" t="e">
        <f t="shared" si="183"/>
        <v>#DIV/0!</v>
      </c>
      <c r="AP60" s="4429"/>
      <c r="AQ60" s="3349"/>
      <c r="AR60" s="3349"/>
      <c r="AS60" s="3349">
        <f t="shared" si="184"/>
        <v>0</v>
      </c>
      <c r="AT60" s="4428" t="e">
        <f t="shared" si="185"/>
        <v>#DIV/0!</v>
      </c>
      <c r="AU60" s="4429"/>
      <c r="AV60" s="3349"/>
      <c r="AW60" s="3349"/>
      <c r="AX60" s="3349">
        <f t="shared" si="186"/>
        <v>0</v>
      </c>
      <c r="AY60" s="4428" t="e">
        <f t="shared" si="187"/>
        <v>#DIV/0!</v>
      </c>
      <c r="AZ60" s="4429"/>
      <c r="BA60" s="3349"/>
      <c r="BB60" s="3349"/>
      <c r="BC60" s="3349">
        <f t="shared" si="188"/>
        <v>0</v>
      </c>
      <c r="BD60" s="4428">
        <f t="shared" si="189"/>
        <v>0</v>
      </c>
      <c r="BE60" s="4429"/>
      <c r="BF60" s="3349"/>
      <c r="BG60" s="3349"/>
      <c r="BH60" s="3349">
        <f t="shared" si="190"/>
        <v>0</v>
      </c>
      <c r="BI60" s="4428" t="e">
        <f t="shared" si="191"/>
        <v>#DIV/0!</v>
      </c>
      <c r="BJ60" s="4429"/>
      <c r="BK60" s="3349"/>
      <c r="BL60" s="3349"/>
      <c r="BM60" s="3349">
        <f t="shared" si="192"/>
        <v>0</v>
      </c>
      <c r="BN60" s="4428" t="e">
        <f t="shared" si="193"/>
        <v>#DIV/0!</v>
      </c>
      <c r="BO60" s="4429"/>
      <c r="BP60" s="3349"/>
      <c r="BQ60" s="3349"/>
      <c r="BR60" s="3349">
        <f t="shared" si="194"/>
        <v>0</v>
      </c>
      <c r="BS60" s="4428" t="e">
        <f t="shared" si="195"/>
        <v>#DIV/0!</v>
      </c>
      <c r="BT60" s="4429"/>
      <c r="BU60" s="3349"/>
      <c r="BV60" s="3349"/>
      <c r="BW60" s="3349">
        <f t="shared" si="196"/>
        <v>0</v>
      </c>
      <c r="BX60" s="4428" t="e">
        <f t="shared" si="197"/>
        <v>#DIV/0!</v>
      </c>
      <c r="BY60" s="4429"/>
      <c r="BZ60" s="3349"/>
      <c r="CA60" s="3349"/>
      <c r="CB60" s="3349">
        <f t="shared" si="198"/>
        <v>0</v>
      </c>
      <c r="CC60" s="4428" t="e">
        <f t="shared" si="199"/>
        <v>#DIV/0!</v>
      </c>
      <c r="CD60" s="4429"/>
      <c r="CE60" s="3349"/>
      <c r="CF60" s="3349"/>
      <c r="CG60" s="3349">
        <f t="shared" si="200"/>
        <v>0</v>
      </c>
      <c r="CH60" s="4428" t="e">
        <f t="shared" si="201"/>
        <v>#DIV/0!</v>
      </c>
      <c r="CI60" s="4429"/>
      <c r="CJ60" s="3341">
        <f t="shared" si="202"/>
        <v>0</v>
      </c>
      <c r="CK60" s="3341">
        <f t="shared" si="202"/>
        <v>0</v>
      </c>
      <c r="CL60" s="2012">
        <f t="shared" si="203"/>
        <v>0</v>
      </c>
      <c r="CM60" s="4428">
        <f t="shared" si="168"/>
        <v>0</v>
      </c>
      <c r="CN60" s="4432"/>
      <c r="CP60" s="2012">
        <f t="shared" si="204"/>
        <v>0</v>
      </c>
      <c r="CQ60" s="2012">
        <f t="shared" si="204"/>
        <v>0</v>
      </c>
      <c r="CR60" s="4614"/>
    </row>
    <row r="61" spans="1:98" ht="13.8" outlineLevel="2">
      <c r="A61" s="1571"/>
      <c r="B61" s="4632" t="s">
        <v>32</v>
      </c>
      <c r="C61" s="3349"/>
      <c r="D61" s="3349"/>
      <c r="E61" s="3349">
        <f t="shared" si="169"/>
        <v>0</v>
      </c>
      <c r="F61" s="4428" t="e">
        <f t="shared" si="133"/>
        <v>#DIV/0!</v>
      </c>
      <c r="G61" s="4429"/>
      <c r="H61" s="3349"/>
      <c r="I61" s="3349"/>
      <c r="J61" s="3349">
        <f t="shared" si="170"/>
        <v>0</v>
      </c>
      <c r="K61" s="4428" t="e">
        <f t="shared" si="171"/>
        <v>#DIV/0!</v>
      </c>
      <c r="L61" s="4429"/>
      <c r="M61" s="3349"/>
      <c r="N61" s="3349"/>
      <c r="O61" s="3349">
        <f t="shared" si="172"/>
        <v>0</v>
      </c>
      <c r="P61" s="4428" t="e">
        <f t="shared" si="173"/>
        <v>#DIV/0!</v>
      </c>
      <c r="Q61" s="4429"/>
      <c r="R61" s="3342">
        <f t="shared" si="174"/>
        <v>0</v>
      </c>
      <c r="S61" s="3342">
        <f t="shared" si="174"/>
        <v>0</v>
      </c>
      <c r="T61" s="2012">
        <f t="shared" si="175"/>
        <v>0</v>
      </c>
      <c r="U61" s="3462"/>
      <c r="V61" s="3462"/>
      <c r="W61" s="3342">
        <f t="shared" si="176"/>
        <v>0</v>
      </c>
      <c r="X61" s="3342">
        <f t="shared" si="176"/>
        <v>0</v>
      </c>
      <c r="Y61" s="2012">
        <f t="shared" si="177"/>
        <v>0</v>
      </c>
      <c r="Z61" s="3462"/>
      <c r="AA61" s="3462"/>
      <c r="AB61" s="3349"/>
      <c r="AC61" s="3349"/>
      <c r="AD61" s="3349">
        <f t="shared" si="178"/>
        <v>0</v>
      </c>
      <c r="AE61" s="4428" t="e">
        <f t="shared" si="179"/>
        <v>#DIV/0!</v>
      </c>
      <c r="AF61" s="4429"/>
      <c r="AG61" s="3349"/>
      <c r="AH61" s="3349"/>
      <c r="AI61" s="3349">
        <f t="shared" si="180"/>
        <v>0</v>
      </c>
      <c r="AJ61" s="4428" t="e">
        <f t="shared" si="181"/>
        <v>#DIV/0!</v>
      </c>
      <c r="AK61" s="4429"/>
      <c r="AL61" s="3349"/>
      <c r="AM61" s="3349"/>
      <c r="AN61" s="3349">
        <f t="shared" si="182"/>
        <v>0</v>
      </c>
      <c r="AO61" s="4428" t="e">
        <f t="shared" si="183"/>
        <v>#DIV/0!</v>
      </c>
      <c r="AP61" s="4429"/>
      <c r="AQ61" s="3349"/>
      <c r="AR61" s="3349"/>
      <c r="AS61" s="3349">
        <f t="shared" si="184"/>
        <v>0</v>
      </c>
      <c r="AT61" s="4428" t="e">
        <f t="shared" si="185"/>
        <v>#DIV/0!</v>
      </c>
      <c r="AU61" s="4429"/>
      <c r="AV61" s="3349"/>
      <c r="AW61" s="3349"/>
      <c r="AX61" s="3349">
        <f t="shared" si="186"/>
        <v>0</v>
      </c>
      <c r="AY61" s="4428" t="e">
        <f t="shared" si="187"/>
        <v>#DIV/0!</v>
      </c>
      <c r="AZ61" s="4429"/>
      <c r="BA61" s="3349"/>
      <c r="BB61" s="3349"/>
      <c r="BC61" s="3349">
        <f t="shared" si="188"/>
        <v>0</v>
      </c>
      <c r="BD61" s="4428">
        <f t="shared" si="189"/>
        <v>0</v>
      </c>
      <c r="BE61" s="4429"/>
      <c r="BF61" s="3349"/>
      <c r="BG61" s="3349"/>
      <c r="BH61" s="3349">
        <f t="shared" si="190"/>
        <v>0</v>
      </c>
      <c r="BI61" s="4428" t="e">
        <f t="shared" si="191"/>
        <v>#DIV/0!</v>
      </c>
      <c r="BJ61" s="4429"/>
      <c r="BK61" s="3349"/>
      <c r="BL61" s="3349"/>
      <c r="BM61" s="3349">
        <f t="shared" si="192"/>
        <v>0</v>
      </c>
      <c r="BN61" s="4428" t="e">
        <f t="shared" si="193"/>
        <v>#DIV/0!</v>
      </c>
      <c r="BO61" s="4429"/>
      <c r="BP61" s="3349"/>
      <c r="BQ61" s="3349"/>
      <c r="BR61" s="3349">
        <f t="shared" si="194"/>
        <v>0</v>
      </c>
      <c r="BS61" s="4428" t="e">
        <f t="shared" si="195"/>
        <v>#DIV/0!</v>
      </c>
      <c r="BT61" s="4429"/>
      <c r="BU61" s="3349"/>
      <c r="BV61" s="3349"/>
      <c r="BW61" s="3349">
        <f t="shared" si="196"/>
        <v>0</v>
      </c>
      <c r="BX61" s="4428" t="e">
        <f t="shared" si="197"/>
        <v>#DIV/0!</v>
      </c>
      <c r="BY61" s="4429"/>
      <c r="BZ61" s="3349"/>
      <c r="CA61" s="3349"/>
      <c r="CB61" s="3349">
        <f t="shared" si="198"/>
        <v>0</v>
      </c>
      <c r="CC61" s="4428" t="e">
        <f t="shared" si="199"/>
        <v>#DIV/0!</v>
      </c>
      <c r="CD61" s="4429"/>
      <c r="CE61" s="3349"/>
      <c r="CF61" s="3349"/>
      <c r="CG61" s="3349">
        <f t="shared" si="200"/>
        <v>0</v>
      </c>
      <c r="CH61" s="4428" t="e">
        <f t="shared" si="201"/>
        <v>#DIV/0!</v>
      </c>
      <c r="CI61" s="4429"/>
      <c r="CJ61" s="3341">
        <f t="shared" si="202"/>
        <v>0</v>
      </c>
      <c r="CK61" s="3341">
        <f t="shared" si="202"/>
        <v>0</v>
      </c>
      <c r="CL61" s="2012">
        <f t="shared" si="203"/>
        <v>0</v>
      </c>
      <c r="CM61" s="4428">
        <f t="shared" si="168"/>
        <v>0</v>
      </c>
      <c r="CN61" s="4432"/>
      <c r="CP61" s="2012">
        <f t="shared" si="204"/>
        <v>0</v>
      </c>
      <c r="CQ61" s="2012">
        <f t="shared" si="204"/>
        <v>0</v>
      </c>
      <c r="CR61" s="4614"/>
    </row>
    <row r="62" spans="1:98" ht="13.8" outlineLevel="2">
      <c r="A62" s="1571"/>
      <c r="B62" s="4632" t="s">
        <v>33</v>
      </c>
      <c r="C62" s="3349"/>
      <c r="D62" s="3349"/>
      <c r="E62" s="3349">
        <f t="shared" si="169"/>
        <v>0</v>
      </c>
      <c r="F62" s="4428" t="e">
        <f t="shared" si="133"/>
        <v>#DIV/0!</v>
      </c>
      <c r="G62" s="4429"/>
      <c r="H62" s="3349"/>
      <c r="I62" s="3349"/>
      <c r="J62" s="3349">
        <f t="shared" si="170"/>
        <v>0</v>
      </c>
      <c r="K62" s="4428" t="e">
        <f t="shared" si="171"/>
        <v>#DIV/0!</v>
      </c>
      <c r="L62" s="4429"/>
      <c r="M62" s="3349"/>
      <c r="N62" s="3349"/>
      <c r="O62" s="3349">
        <f t="shared" si="172"/>
        <v>0</v>
      </c>
      <c r="P62" s="4428" t="e">
        <f t="shared" si="173"/>
        <v>#DIV/0!</v>
      </c>
      <c r="Q62" s="4429"/>
      <c r="R62" s="3342">
        <f t="shared" si="174"/>
        <v>0</v>
      </c>
      <c r="S62" s="3342">
        <f t="shared" si="174"/>
        <v>0</v>
      </c>
      <c r="T62" s="2012">
        <f t="shared" si="175"/>
        <v>0</v>
      </c>
      <c r="U62" s="3462"/>
      <c r="V62" s="3462"/>
      <c r="W62" s="3342">
        <f t="shared" si="176"/>
        <v>0</v>
      </c>
      <c r="X62" s="3342">
        <f t="shared" si="176"/>
        <v>0</v>
      </c>
      <c r="Y62" s="2012">
        <f t="shared" si="177"/>
        <v>0</v>
      </c>
      <c r="Z62" s="3462"/>
      <c r="AA62" s="3462"/>
      <c r="AB62" s="3349"/>
      <c r="AC62" s="3349"/>
      <c r="AD62" s="3349">
        <f t="shared" si="178"/>
        <v>0</v>
      </c>
      <c r="AE62" s="4428" t="e">
        <f t="shared" si="179"/>
        <v>#DIV/0!</v>
      </c>
      <c r="AF62" s="4429"/>
      <c r="AG62" s="3349"/>
      <c r="AH62" s="3349"/>
      <c r="AI62" s="3349">
        <f t="shared" si="180"/>
        <v>0</v>
      </c>
      <c r="AJ62" s="4428" t="e">
        <f t="shared" si="181"/>
        <v>#DIV/0!</v>
      </c>
      <c r="AK62" s="4429"/>
      <c r="AL62" s="3349"/>
      <c r="AM62" s="3349"/>
      <c r="AN62" s="3349">
        <f t="shared" si="182"/>
        <v>0</v>
      </c>
      <c r="AO62" s="4428" t="e">
        <f t="shared" si="183"/>
        <v>#DIV/0!</v>
      </c>
      <c r="AP62" s="4429"/>
      <c r="AQ62" s="3349"/>
      <c r="AR62" s="3349"/>
      <c r="AS62" s="3349">
        <f t="shared" si="184"/>
        <v>0</v>
      </c>
      <c r="AT62" s="4428" t="e">
        <f t="shared" si="185"/>
        <v>#DIV/0!</v>
      </c>
      <c r="AU62" s="4429"/>
      <c r="AV62" s="3349"/>
      <c r="AW62" s="3349"/>
      <c r="AX62" s="3349">
        <f t="shared" si="186"/>
        <v>0</v>
      </c>
      <c r="AY62" s="4428" t="e">
        <f t="shared" si="187"/>
        <v>#DIV/0!</v>
      </c>
      <c r="AZ62" s="4429"/>
      <c r="BA62" s="3349"/>
      <c r="BB62" s="3349"/>
      <c r="BC62" s="3349">
        <f t="shared" si="188"/>
        <v>0</v>
      </c>
      <c r="BD62" s="4428">
        <f t="shared" si="189"/>
        <v>0</v>
      </c>
      <c r="BE62" s="4429"/>
      <c r="BF62" s="3349"/>
      <c r="BG62" s="3349"/>
      <c r="BH62" s="3349">
        <f t="shared" si="190"/>
        <v>0</v>
      </c>
      <c r="BI62" s="4428" t="e">
        <f t="shared" si="191"/>
        <v>#DIV/0!</v>
      </c>
      <c r="BJ62" s="4429"/>
      <c r="BK62" s="3349"/>
      <c r="BL62" s="3349"/>
      <c r="BM62" s="3349">
        <f t="shared" si="192"/>
        <v>0</v>
      </c>
      <c r="BN62" s="4428" t="e">
        <f t="shared" si="193"/>
        <v>#DIV/0!</v>
      </c>
      <c r="BO62" s="4429"/>
      <c r="BP62" s="3349"/>
      <c r="BQ62" s="3349"/>
      <c r="BR62" s="3349">
        <f t="shared" si="194"/>
        <v>0</v>
      </c>
      <c r="BS62" s="4428" t="e">
        <f t="shared" si="195"/>
        <v>#DIV/0!</v>
      </c>
      <c r="BT62" s="4429"/>
      <c r="BU62" s="3349"/>
      <c r="BV62" s="3349"/>
      <c r="BW62" s="3349">
        <f t="shared" si="196"/>
        <v>0</v>
      </c>
      <c r="BX62" s="4428" t="e">
        <f t="shared" si="197"/>
        <v>#DIV/0!</v>
      </c>
      <c r="BY62" s="4429"/>
      <c r="BZ62" s="3349"/>
      <c r="CA62" s="3349"/>
      <c r="CB62" s="3349">
        <f t="shared" si="198"/>
        <v>0</v>
      </c>
      <c r="CC62" s="4428" t="e">
        <f t="shared" si="199"/>
        <v>#DIV/0!</v>
      </c>
      <c r="CD62" s="4429"/>
      <c r="CE62" s="3349"/>
      <c r="CF62" s="3349"/>
      <c r="CG62" s="3349">
        <f t="shared" si="200"/>
        <v>0</v>
      </c>
      <c r="CH62" s="4428" t="e">
        <f t="shared" si="201"/>
        <v>#DIV/0!</v>
      </c>
      <c r="CI62" s="4429"/>
      <c r="CJ62" s="3341">
        <f t="shared" si="202"/>
        <v>0</v>
      </c>
      <c r="CK62" s="3341">
        <f t="shared" si="202"/>
        <v>0</v>
      </c>
      <c r="CL62" s="2012">
        <f t="shared" si="203"/>
        <v>0</v>
      </c>
      <c r="CM62" s="4428">
        <f t="shared" si="168"/>
        <v>0</v>
      </c>
      <c r="CN62" s="4432"/>
      <c r="CP62" s="2012">
        <f t="shared" si="204"/>
        <v>0</v>
      </c>
      <c r="CQ62" s="2012">
        <f t="shared" si="204"/>
        <v>0</v>
      </c>
      <c r="CR62" s="4614"/>
    </row>
    <row r="63" spans="1:98" ht="13.8" outlineLevel="2">
      <c r="A63" s="1571"/>
      <c r="B63" s="4632" t="s">
        <v>35</v>
      </c>
      <c r="C63" s="3349"/>
      <c r="D63" s="3349"/>
      <c r="E63" s="3349">
        <f t="shared" si="169"/>
        <v>0</v>
      </c>
      <c r="F63" s="4428" t="e">
        <f t="shared" si="133"/>
        <v>#DIV/0!</v>
      </c>
      <c r="G63" s="4429"/>
      <c r="H63" s="3349"/>
      <c r="I63" s="3349"/>
      <c r="J63" s="3349">
        <f t="shared" si="170"/>
        <v>0</v>
      </c>
      <c r="K63" s="4428" t="e">
        <f t="shared" si="171"/>
        <v>#DIV/0!</v>
      </c>
      <c r="L63" s="4429"/>
      <c r="M63" s="3349"/>
      <c r="N63" s="3349"/>
      <c r="O63" s="3349">
        <f t="shared" si="172"/>
        <v>0</v>
      </c>
      <c r="P63" s="4428" t="e">
        <f t="shared" si="173"/>
        <v>#DIV/0!</v>
      </c>
      <c r="Q63" s="4429"/>
      <c r="R63" s="3342">
        <f t="shared" si="174"/>
        <v>0</v>
      </c>
      <c r="S63" s="3342">
        <f t="shared" si="174"/>
        <v>0</v>
      </c>
      <c r="T63" s="2012">
        <f t="shared" si="175"/>
        <v>0</v>
      </c>
      <c r="U63" s="3462"/>
      <c r="V63" s="3462"/>
      <c r="W63" s="3342">
        <f t="shared" si="176"/>
        <v>0</v>
      </c>
      <c r="X63" s="3342">
        <f t="shared" si="176"/>
        <v>0</v>
      </c>
      <c r="Y63" s="2012">
        <f t="shared" si="177"/>
        <v>0</v>
      </c>
      <c r="Z63" s="3462"/>
      <c r="AA63" s="3462"/>
      <c r="AB63" s="3349"/>
      <c r="AC63" s="3349"/>
      <c r="AD63" s="3349">
        <f t="shared" si="178"/>
        <v>0</v>
      </c>
      <c r="AE63" s="4428" t="e">
        <f t="shared" si="179"/>
        <v>#DIV/0!</v>
      </c>
      <c r="AF63" s="4429"/>
      <c r="AG63" s="3349"/>
      <c r="AH63" s="3349"/>
      <c r="AI63" s="3349">
        <f t="shared" si="180"/>
        <v>0</v>
      </c>
      <c r="AJ63" s="4428" t="e">
        <f t="shared" si="181"/>
        <v>#DIV/0!</v>
      </c>
      <c r="AK63" s="4429"/>
      <c r="AL63" s="3349"/>
      <c r="AM63" s="3349"/>
      <c r="AN63" s="3349">
        <f t="shared" si="182"/>
        <v>0</v>
      </c>
      <c r="AO63" s="4428" t="e">
        <f t="shared" si="183"/>
        <v>#DIV/0!</v>
      </c>
      <c r="AP63" s="4429"/>
      <c r="AQ63" s="3349"/>
      <c r="AR63" s="3349"/>
      <c r="AS63" s="3349">
        <f t="shared" si="184"/>
        <v>0</v>
      </c>
      <c r="AT63" s="4428" t="e">
        <f t="shared" si="185"/>
        <v>#DIV/0!</v>
      </c>
      <c r="AU63" s="4429"/>
      <c r="AV63" s="3349"/>
      <c r="AW63" s="3349"/>
      <c r="AX63" s="3349">
        <f t="shared" si="186"/>
        <v>0</v>
      </c>
      <c r="AY63" s="4428" t="e">
        <f t="shared" si="187"/>
        <v>#DIV/0!</v>
      </c>
      <c r="AZ63" s="4429"/>
      <c r="BA63" s="3349"/>
      <c r="BB63" s="3349"/>
      <c r="BC63" s="3349">
        <f t="shared" si="188"/>
        <v>0</v>
      </c>
      <c r="BD63" s="4428">
        <f t="shared" si="189"/>
        <v>0</v>
      </c>
      <c r="BE63" s="4429"/>
      <c r="BF63" s="3349"/>
      <c r="BG63" s="3349"/>
      <c r="BH63" s="3349">
        <f t="shared" si="190"/>
        <v>0</v>
      </c>
      <c r="BI63" s="4428" t="e">
        <f t="shared" si="191"/>
        <v>#DIV/0!</v>
      </c>
      <c r="BJ63" s="4429"/>
      <c r="BK63" s="3349"/>
      <c r="BL63" s="3349"/>
      <c r="BM63" s="3349">
        <f t="shared" si="192"/>
        <v>0</v>
      </c>
      <c r="BN63" s="4428" t="e">
        <f t="shared" si="193"/>
        <v>#DIV/0!</v>
      </c>
      <c r="BO63" s="4429"/>
      <c r="BP63" s="3349"/>
      <c r="BQ63" s="3349"/>
      <c r="BR63" s="3349">
        <f t="shared" si="194"/>
        <v>0</v>
      </c>
      <c r="BS63" s="4428" t="e">
        <f t="shared" si="195"/>
        <v>#DIV/0!</v>
      </c>
      <c r="BT63" s="4429"/>
      <c r="BU63" s="3349"/>
      <c r="BV63" s="3349"/>
      <c r="BW63" s="3349">
        <f t="shared" si="196"/>
        <v>0</v>
      </c>
      <c r="BX63" s="4428" t="e">
        <f t="shared" si="197"/>
        <v>#DIV/0!</v>
      </c>
      <c r="BY63" s="4429"/>
      <c r="BZ63" s="3349"/>
      <c r="CA63" s="3349"/>
      <c r="CB63" s="3349">
        <f t="shared" si="198"/>
        <v>0</v>
      </c>
      <c r="CC63" s="4428" t="e">
        <f t="shared" si="199"/>
        <v>#DIV/0!</v>
      </c>
      <c r="CD63" s="4429"/>
      <c r="CE63" s="3349"/>
      <c r="CF63" s="3349"/>
      <c r="CG63" s="3349">
        <f t="shared" si="200"/>
        <v>0</v>
      </c>
      <c r="CH63" s="4428" t="e">
        <f t="shared" si="201"/>
        <v>#DIV/0!</v>
      </c>
      <c r="CI63" s="4429"/>
      <c r="CJ63" s="3341">
        <f t="shared" si="202"/>
        <v>0</v>
      </c>
      <c r="CK63" s="3341">
        <f t="shared" si="202"/>
        <v>0</v>
      </c>
      <c r="CL63" s="2012">
        <f t="shared" si="203"/>
        <v>0</v>
      </c>
      <c r="CM63" s="4428">
        <f t="shared" si="168"/>
        <v>0</v>
      </c>
      <c r="CN63" s="4432"/>
      <c r="CP63" s="2012">
        <f t="shared" si="204"/>
        <v>0</v>
      </c>
      <c r="CQ63" s="2012">
        <f t="shared" si="204"/>
        <v>0</v>
      </c>
      <c r="CR63" s="4614"/>
    </row>
    <row r="64" spans="1:98" ht="13.8" outlineLevel="2">
      <c r="A64" s="1571"/>
      <c r="B64" s="4632" t="s">
        <v>63</v>
      </c>
      <c r="C64" s="3349"/>
      <c r="D64" s="3349"/>
      <c r="E64" s="3349">
        <f t="shared" si="169"/>
        <v>0</v>
      </c>
      <c r="F64" s="4428" t="e">
        <f t="shared" si="133"/>
        <v>#DIV/0!</v>
      </c>
      <c r="G64" s="4429"/>
      <c r="H64" s="3349"/>
      <c r="I64" s="3349"/>
      <c r="J64" s="3349">
        <f t="shared" si="170"/>
        <v>0</v>
      </c>
      <c r="K64" s="4428" t="e">
        <f t="shared" si="171"/>
        <v>#DIV/0!</v>
      </c>
      <c r="L64" s="4429"/>
      <c r="M64" s="3349"/>
      <c r="N64" s="3349"/>
      <c r="O64" s="3349">
        <f t="shared" si="172"/>
        <v>0</v>
      </c>
      <c r="P64" s="4428" t="e">
        <f t="shared" si="173"/>
        <v>#DIV/0!</v>
      </c>
      <c r="Q64" s="4429"/>
      <c r="R64" s="3342">
        <f t="shared" si="174"/>
        <v>0</v>
      </c>
      <c r="S64" s="3342">
        <f t="shared" si="174"/>
        <v>0</v>
      </c>
      <c r="T64" s="2012">
        <f t="shared" si="175"/>
        <v>0</v>
      </c>
      <c r="U64" s="3462"/>
      <c r="V64" s="3462"/>
      <c r="W64" s="3342">
        <f t="shared" si="176"/>
        <v>0</v>
      </c>
      <c r="X64" s="3342">
        <f t="shared" si="176"/>
        <v>0</v>
      </c>
      <c r="Y64" s="2012">
        <f t="shared" si="177"/>
        <v>0</v>
      </c>
      <c r="Z64" s="3462"/>
      <c r="AA64" s="3462"/>
      <c r="AB64" s="3349"/>
      <c r="AC64" s="3349"/>
      <c r="AD64" s="3349">
        <f t="shared" si="178"/>
        <v>0</v>
      </c>
      <c r="AE64" s="4428" t="e">
        <f t="shared" si="179"/>
        <v>#DIV/0!</v>
      </c>
      <c r="AF64" s="4429"/>
      <c r="AG64" s="3349"/>
      <c r="AH64" s="3349"/>
      <c r="AI64" s="3349">
        <f t="shared" si="180"/>
        <v>0</v>
      </c>
      <c r="AJ64" s="4428" t="e">
        <f t="shared" si="181"/>
        <v>#DIV/0!</v>
      </c>
      <c r="AK64" s="4429"/>
      <c r="AL64" s="3349"/>
      <c r="AM64" s="3349"/>
      <c r="AN64" s="3349">
        <f t="shared" si="182"/>
        <v>0</v>
      </c>
      <c r="AO64" s="4428" t="e">
        <f t="shared" si="183"/>
        <v>#DIV/0!</v>
      </c>
      <c r="AP64" s="4429"/>
      <c r="AQ64" s="3349"/>
      <c r="AR64" s="3349"/>
      <c r="AS64" s="3349">
        <f t="shared" si="184"/>
        <v>0</v>
      </c>
      <c r="AT64" s="4428" t="e">
        <f t="shared" si="185"/>
        <v>#DIV/0!</v>
      </c>
      <c r="AU64" s="4429"/>
      <c r="AV64" s="3349"/>
      <c r="AW64" s="3349"/>
      <c r="AX64" s="3349">
        <f t="shared" si="186"/>
        <v>0</v>
      </c>
      <c r="AY64" s="4428" t="e">
        <f t="shared" si="187"/>
        <v>#DIV/0!</v>
      </c>
      <c r="AZ64" s="4429"/>
      <c r="BA64" s="3349"/>
      <c r="BB64" s="3349"/>
      <c r="BC64" s="3349">
        <f t="shared" si="188"/>
        <v>0</v>
      </c>
      <c r="BD64" s="4428">
        <f t="shared" si="189"/>
        <v>0</v>
      </c>
      <c r="BE64" s="4429"/>
      <c r="BF64" s="3349"/>
      <c r="BG64" s="3349"/>
      <c r="BH64" s="3349">
        <f t="shared" si="190"/>
        <v>0</v>
      </c>
      <c r="BI64" s="4428" t="e">
        <f t="shared" si="191"/>
        <v>#DIV/0!</v>
      </c>
      <c r="BJ64" s="4429"/>
      <c r="BK64" s="3349"/>
      <c r="BL64" s="3349"/>
      <c r="BM64" s="3349">
        <f t="shared" si="192"/>
        <v>0</v>
      </c>
      <c r="BN64" s="4428" t="e">
        <f t="shared" si="193"/>
        <v>#DIV/0!</v>
      </c>
      <c r="BO64" s="4429"/>
      <c r="BP64" s="3349"/>
      <c r="BQ64" s="3349"/>
      <c r="BR64" s="3349">
        <f t="shared" si="194"/>
        <v>0</v>
      </c>
      <c r="BS64" s="4428" t="e">
        <f t="shared" si="195"/>
        <v>#DIV/0!</v>
      </c>
      <c r="BT64" s="4429"/>
      <c r="BU64" s="3349"/>
      <c r="BV64" s="3349"/>
      <c r="BW64" s="3349">
        <f t="shared" si="196"/>
        <v>0</v>
      </c>
      <c r="BX64" s="4428" t="e">
        <f t="shared" si="197"/>
        <v>#DIV/0!</v>
      </c>
      <c r="BY64" s="4429"/>
      <c r="BZ64" s="3349"/>
      <c r="CA64" s="3349"/>
      <c r="CB64" s="3349">
        <f t="shared" si="198"/>
        <v>0</v>
      </c>
      <c r="CC64" s="4428" t="e">
        <f t="shared" si="199"/>
        <v>#DIV/0!</v>
      </c>
      <c r="CD64" s="4429"/>
      <c r="CE64" s="3349"/>
      <c r="CF64" s="3349"/>
      <c r="CG64" s="3349">
        <f t="shared" si="200"/>
        <v>0</v>
      </c>
      <c r="CH64" s="4428" t="e">
        <f t="shared" si="201"/>
        <v>#DIV/0!</v>
      </c>
      <c r="CI64" s="4429"/>
      <c r="CJ64" s="3341">
        <f t="shared" si="202"/>
        <v>0</v>
      </c>
      <c r="CK64" s="3341">
        <f t="shared" si="202"/>
        <v>0</v>
      </c>
      <c r="CL64" s="2012">
        <f t="shared" si="203"/>
        <v>0</v>
      </c>
      <c r="CM64" s="4428">
        <f t="shared" si="168"/>
        <v>0</v>
      </c>
      <c r="CN64" s="4432"/>
      <c r="CP64" s="2012">
        <f t="shared" si="204"/>
        <v>0</v>
      </c>
      <c r="CQ64" s="2012">
        <f t="shared" si="204"/>
        <v>0</v>
      </c>
      <c r="CR64" s="4614"/>
    </row>
    <row r="65" spans="1:98" ht="13.8" outlineLevel="2">
      <c r="A65" s="1571"/>
      <c r="B65" s="4632" t="s">
        <v>36</v>
      </c>
      <c r="C65" s="3341"/>
      <c r="D65" s="3341"/>
      <c r="E65" s="3349">
        <f t="shared" si="169"/>
        <v>0</v>
      </c>
      <c r="F65" s="4428" t="e">
        <f t="shared" si="133"/>
        <v>#DIV/0!</v>
      </c>
      <c r="G65" s="4429"/>
      <c r="H65" s="3341"/>
      <c r="I65" s="3341"/>
      <c r="J65" s="3349">
        <f t="shared" si="170"/>
        <v>0</v>
      </c>
      <c r="K65" s="4428" t="e">
        <f t="shared" si="171"/>
        <v>#DIV/0!</v>
      </c>
      <c r="L65" s="4429"/>
      <c r="M65" s="3341"/>
      <c r="N65" s="3341"/>
      <c r="O65" s="3349">
        <f t="shared" si="172"/>
        <v>0</v>
      </c>
      <c r="P65" s="4428" t="e">
        <f t="shared" si="173"/>
        <v>#DIV/0!</v>
      </c>
      <c r="Q65" s="4429"/>
      <c r="R65" s="3342">
        <f t="shared" si="174"/>
        <v>0</v>
      </c>
      <c r="S65" s="3342">
        <f t="shared" si="174"/>
        <v>0</v>
      </c>
      <c r="T65" s="2012">
        <f t="shared" si="175"/>
        <v>0</v>
      </c>
      <c r="U65" s="3462"/>
      <c r="V65" s="3462"/>
      <c r="W65" s="3342">
        <f t="shared" si="176"/>
        <v>0</v>
      </c>
      <c r="X65" s="3342">
        <f t="shared" si="176"/>
        <v>0</v>
      </c>
      <c r="Y65" s="2012">
        <f t="shared" si="177"/>
        <v>0</v>
      </c>
      <c r="Z65" s="3462"/>
      <c r="AA65" s="3462"/>
      <c r="AB65" s="3341"/>
      <c r="AC65" s="3341"/>
      <c r="AD65" s="3349">
        <f t="shared" si="178"/>
        <v>0</v>
      </c>
      <c r="AE65" s="4428" t="e">
        <f t="shared" si="179"/>
        <v>#DIV/0!</v>
      </c>
      <c r="AF65" s="4429"/>
      <c r="AG65" s="3341"/>
      <c r="AH65" s="3341"/>
      <c r="AI65" s="3349">
        <f t="shared" si="180"/>
        <v>0</v>
      </c>
      <c r="AJ65" s="4428" t="e">
        <f t="shared" si="181"/>
        <v>#DIV/0!</v>
      </c>
      <c r="AK65" s="4429"/>
      <c r="AL65" s="3341"/>
      <c r="AM65" s="3341"/>
      <c r="AN65" s="3349">
        <f t="shared" si="182"/>
        <v>0</v>
      </c>
      <c r="AO65" s="4428" t="e">
        <f t="shared" si="183"/>
        <v>#DIV/0!</v>
      </c>
      <c r="AP65" s="4429"/>
      <c r="AQ65" s="3341"/>
      <c r="AR65" s="3341"/>
      <c r="AS65" s="3349">
        <f t="shared" si="184"/>
        <v>0</v>
      </c>
      <c r="AT65" s="4428" t="e">
        <f t="shared" si="185"/>
        <v>#DIV/0!</v>
      </c>
      <c r="AU65" s="4429"/>
      <c r="AV65" s="3341"/>
      <c r="AW65" s="3341"/>
      <c r="AX65" s="3349">
        <f t="shared" si="186"/>
        <v>0</v>
      </c>
      <c r="AY65" s="4428" t="e">
        <f t="shared" si="187"/>
        <v>#DIV/0!</v>
      </c>
      <c r="AZ65" s="4429"/>
      <c r="BA65" s="3341"/>
      <c r="BB65" s="3341"/>
      <c r="BC65" s="3349">
        <f t="shared" si="188"/>
        <v>0</v>
      </c>
      <c r="BD65" s="4428">
        <f t="shared" si="189"/>
        <v>0</v>
      </c>
      <c r="BE65" s="4429"/>
      <c r="BF65" s="3341"/>
      <c r="BG65" s="3341"/>
      <c r="BH65" s="3349">
        <f t="shared" si="190"/>
        <v>0</v>
      </c>
      <c r="BI65" s="4428" t="e">
        <f t="shared" si="191"/>
        <v>#DIV/0!</v>
      </c>
      <c r="BJ65" s="4429"/>
      <c r="BK65" s="3341"/>
      <c r="BL65" s="3341"/>
      <c r="BM65" s="3349">
        <f t="shared" si="192"/>
        <v>0</v>
      </c>
      <c r="BN65" s="4428" t="e">
        <f t="shared" si="193"/>
        <v>#DIV/0!</v>
      </c>
      <c r="BO65" s="4429"/>
      <c r="BP65" s="3341"/>
      <c r="BQ65" s="3341"/>
      <c r="BR65" s="3349">
        <f t="shared" si="194"/>
        <v>0</v>
      </c>
      <c r="BS65" s="4428" t="e">
        <f t="shared" si="195"/>
        <v>#DIV/0!</v>
      </c>
      <c r="BT65" s="4429"/>
      <c r="BU65" s="3341"/>
      <c r="BV65" s="3341"/>
      <c r="BW65" s="3349">
        <f t="shared" si="196"/>
        <v>0</v>
      </c>
      <c r="BX65" s="4428" t="e">
        <f t="shared" si="197"/>
        <v>#DIV/0!</v>
      </c>
      <c r="BY65" s="4429"/>
      <c r="BZ65" s="3341"/>
      <c r="CA65" s="3341"/>
      <c r="CB65" s="3349">
        <f t="shared" si="198"/>
        <v>0</v>
      </c>
      <c r="CC65" s="4428" t="e">
        <f t="shared" si="199"/>
        <v>#DIV/0!</v>
      </c>
      <c r="CD65" s="4429"/>
      <c r="CE65" s="3341"/>
      <c r="CF65" s="3341"/>
      <c r="CG65" s="3349">
        <f t="shared" si="200"/>
        <v>0</v>
      </c>
      <c r="CH65" s="4428" t="e">
        <f t="shared" si="201"/>
        <v>#DIV/0!</v>
      </c>
      <c r="CI65" s="4429"/>
      <c r="CJ65" s="3341">
        <f t="shared" si="202"/>
        <v>0</v>
      </c>
      <c r="CK65" s="3341">
        <f t="shared" si="202"/>
        <v>0</v>
      </c>
      <c r="CL65" s="2012">
        <f t="shared" si="203"/>
        <v>0</v>
      </c>
      <c r="CM65" s="4428">
        <f t="shared" si="168"/>
        <v>0</v>
      </c>
      <c r="CN65" s="4432"/>
      <c r="CP65" s="2012">
        <f t="shared" si="204"/>
        <v>0</v>
      </c>
      <c r="CQ65" s="2012">
        <f t="shared" si="204"/>
        <v>0</v>
      </c>
      <c r="CR65" s="4614"/>
    </row>
    <row r="66" spans="1:98" s="1396" customFormat="1" ht="13.8" outlineLevel="2">
      <c r="A66" s="1571"/>
      <c r="B66" s="4632" t="s">
        <v>37</v>
      </c>
      <c r="C66" s="3341"/>
      <c r="D66" s="3341"/>
      <c r="E66" s="3349">
        <f t="shared" si="169"/>
        <v>0</v>
      </c>
      <c r="F66" s="4428" t="e">
        <f t="shared" si="133"/>
        <v>#DIV/0!</v>
      </c>
      <c r="G66" s="4429"/>
      <c r="H66" s="3341"/>
      <c r="I66" s="3341"/>
      <c r="J66" s="3349">
        <f t="shared" si="170"/>
        <v>0</v>
      </c>
      <c r="K66" s="4428" t="e">
        <f t="shared" si="171"/>
        <v>#DIV/0!</v>
      </c>
      <c r="L66" s="4429"/>
      <c r="M66" s="3341"/>
      <c r="N66" s="3341"/>
      <c r="O66" s="3349">
        <f t="shared" si="172"/>
        <v>0</v>
      </c>
      <c r="P66" s="4428" t="e">
        <f t="shared" si="173"/>
        <v>#DIV/0!</v>
      </c>
      <c r="Q66" s="4429"/>
      <c r="R66" s="3342">
        <f t="shared" si="174"/>
        <v>0</v>
      </c>
      <c r="S66" s="3342">
        <f t="shared" si="174"/>
        <v>0</v>
      </c>
      <c r="T66" s="2012">
        <f t="shared" si="175"/>
        <v>0</v>
      </c>
      <c r="U66" s="3462"/>
      <c r="V66" s="3462"/>
      <c r="W66" s="3342">
        <f t="shared" si="176"/>
        <v>0</v>
      </c>
      <c r="X66" s="3342">
        <f t="shared" si="176"/>
        <v>0</v>
      </c>
      <c r="Y66" s="2012">
        <f t="shared" si="177"/>
        <v>0</v>
      </c>
      <c r="Z66" s="3462"/>
      <c r="AA66" s="3462"/>
      <c r="AB66" s="3341"/>
      <c r="AC66" s="3341"/>
      <c r="AD66" s="3349">
        <f t="shared" si="178"/>
        <v>0</v>
      </c>
      <c r="AE66" s="4428" t="e">
        <f t="shared" si="179"/>
        <v>#DIV/0!</v>
      </c>
      <c r="AF66" s="4429"/>
      <c r="AG66" s="3341"/>
      <c r="AH66" s="3341"/>
      <c r="AI66" s="3349">
        <f t="shared" si="180"/>
        <v>0</v>
      </c>
      <c r="AJ66" s="4428" t="e">
        <f t="shared" si="181"/>
        <v>#DIV/0!</v>
      </c>
      <c r="AK66" s="4429"/>
      <c r="AL66" s="3341"/>
      <c r="AM66" s="3341"/>
      <c r="AN66" s="3349">
        <f t="shared" si="182"/>
        <v>0</v>
      </c>
      <c r="AO66" s="4428" t="e">
        <f t="shared" si="183"/>
        <v>#DIV/0!</v>
      </c>
      <c r="AP66" s="4429"/>
      <c r="AQ66" s="3341"/>
      <c r="AR66" s="3341"/>
      <c r="AS66" s="3349">
        <f t="shared" si="184"/>
        <v>0</v>
      </c>
      <c r="AT66" s="4428" t="e">
        <f t="shared" si="185"/>
        <v>#DIV/0!</v>
      </c>
      <c r="AU66" s="4429"/>
      <c r="AV66" s="3341"/>
      <c r="AW66" s="3341"/>
      <c r="AX66" s="3349">
        <f t="shared" si="186"/>
        <v>0</v>
      </c>
      <c r="AY66" s="4428" t="e">
        <f t="shared" si="187"/>
        <v>#DIV/0!</v>
      </c>
      <c r="AZ66" s="4429"/>
      <c r="BA66" s="3341"/>
      <c r="BB66" s="3341"/>
      <c r="BC66" s="3349">
        <f t="shared" si="188"/>
        <v>0</v>
      </c>
      <c r="BD66" s="4428">
        <f t="shared" si="189"/>
        <v>0</v>
      </c>
      <c r="BE66" s="4429"/>
      <c r="BF66" s="3341"/>
      <c r="BG66" s="3341"/>
      <c r="BH66" s="3349">
        <f t="shared" si="190"/>
        <v>0</v>
      </c>
      <c r="BI66" s="4428" t="e">
        <f t="shared" si="191"/>
        <v>#DIV/0!</v>
      </c>
      <c r="BJ66" s="4429"/>
      <c r="BK66" s="3341"/>
      <c r="BL66" s="3341"/>
      <c r="BM66" s="3349">
        <f t="shared" si="192"/>
        <v>0</v>
      </c>
      <c r="BN66" s="4428" t="e">
        <f t="shared" si="193"/>
        <v>#DIV/0!</v>
      </c>
      <c r="BO66" s="4429"/>
      <c r="BP66" s="3341"/>
      <c r="BQ66" s="3341"/>
      <c r="BR66" s="3349">
        <f t="shared" si="194"/>
        <v>0</v>
      </c>
      <c r="BS66" s="4428" t="e">
        <f t="shared" si="195"/>
        <v>#DIV/0!</v>
      </c>
      <c r="BT66" s="4429"/>
      <c r="BU66" s="3341"/>
      <c r="BV66" s="3341"/>
      <c r="BW66" s="3349">
        <f t="shared" si="196"/>
        <v>0</v>
      </c>
      <c r="BX66" s="4428" t="e">
        <f t="shared" si="197"/>
        <v>#DIV/0!</v>
      </c>
      <c r="BY66" s="4429"/>
      <c r="BZ66" s="3341"/>
      <c r="CA66" s="3341"/>
      <c r="CB66" s="3349">
        <f t="shared" si="198"/>
        <v>0</v>
      </c>
      <c r="CC66" s="4428" t="e">
        <f t="shared" si="199"/>
        <v>#DIV/0!</v>
      </c>
      <c r="CD66" s="4429"/>
      <c r="CE66" s="3341"/>
      <c r="CF66" s="3341"/>
      <c r="CG66" s="3349">
        <f t="shared" si="200"/>
        <v>0</v>
      </c>
      <c r="CH66" s="4428" t="e">
        <f t="shared" si="201"/>
        <v>#DIV/0!</v>
      </c>
      <c r="CI66" s="4429"/>
      <c r="CJ66" s="3341">
        <f t="shared" si="202"/>
        <v>0</v>
      </c>
      <c r="CK66" s="3341">
        <f t="shared" si="202"/>
        <v>0</v>
      </c>
      <c r="CL66" s="2012">
        <f t="shared" si="203"/>
        <v>0</v>
      </c>
      <c r="CM66" s="4428">
        <f t="shared" si="168"/>
        <v>0</v>
      </c>
      <c r="CN66" s="4432"/>
      <c r="CP66" s="2012">
        <f t="shared" si="204"/>
        <v>0</v>
      </c>
      <c r="CQ66" s="2012">
        <f>CL66</f>
        <v>0</v>
      </c>
      <c r="CR66" s="4614"/>
      <c r="CT66" s="2624"/>
    </row>
    <row r="67" spans="1:98" s="1396" customFormat="1" ht="13.8" outlineLevel="2">
      <c r="A67" s="1571"/>
      <c r="B67" s="4632" t="s">
        <v>3</v>
      </c>
      <c r="C67" s="3341"/>
      <c r="D67" s="3341"/>
      <c r="E67" s="3349">
        <f t="shared" si="169"/>
        <v>0</v>
      </c>
      <c r="F67" s="4428" t="e">
        <f t="shared" si="133"/>
        <v>#DIV/0!</v>
      </c>
      <c r="G67" s="4429"/>
      <c r="H67" s="3341"/>
      <c r="I67" s="3341"/>
      <c r="J67" s="3349">
        <f t="shared" si="170"/>
        <v>0</v>
      </c>
      <c r="K67" s="4428" t="e">
        <f t="shared" si="171"/>
        <v>#DIV/0!</v>
      </c>
      <c r="L67" s="4429"/>
      <c r="M67" s="3341"/>
      <c r="N67" s="3341"/>
      <c r="O67" s="3349">
        <f t="shared" si="172"/>
        <v>0</v>
      </c>
      <c r="P67" s="4428" t="e">
        <f t="shared" si="173"/>
        <v>#DIV/0!</v>
      </c>
      <c r="Q67" s="4429"/>
      <c r="R67" s="3342">
        <f t="shared" si="174"/>
        <v>0</v>
      </c>
      <c r="S67" s="3342">
        <f t="shared" si="174"/>
        <v>0</v>
      </c>
      <c r="T67" s="2012">
        <f t="shared" si="175"/>
        <v>0</v>
      </c>
      <c r="U67" s="3462"/>
      <c r="V67" s="3462"/>
      <c r="W67" s="3342">
        <f t="shared" si="176"/>
        <v>0</v>
      </c>
      <c r="X67" s="3342">
        <f t="shared" si="176"/>
        <v>0</v>
      </c>
      <c r="Y67" s="2012">
        <f t="shared" si="177"/>
        <v>0</v>
      </c>
      <c r="Z67" s="3462"/>
      <c r="AA67" s="3462"/>
      <c r="AB67" s="3341"/>
      <c r="AC67" s="3341"/>
      <c r="AD67" s="3349">
        <f t="shared" si="178"/>
        <v>0</v>
      </c>
      <c r="AE67" s="4428" t="e">
        <f t="shared" si="179"/>
        <v>#DIV/0!</v>
      </c>
      <c r="AF67" s="4429"/>
      <c r="AG67" s="3341"/>
      <c r="AH67" s="3341"/>
      <c r="AI67" s="3349">
        <f t="shared" si="180"/>
        <v>0</v>
      </c>
      <c r="AJ67" s="4428" t="e">
        <f t="shared" si="181"/>
        <v>#DIV/0!</v>
      </c>
      <c r="AK67" s="4429"/>
      <c r="AL67" s="3341"/>
      <c r="AM67" s="3341"/>
      <c r="AN67" s="3349">
        <f t="shared" si="182"/>
        <v>0</v>
      </c>
      <c r="AO67" s="4428" t="e">
        <f t="shared" si="183"/>
        <v>#DIV/0!</v>
      </c>
      <c r="AP67" s="4429"/>
      <c r="AQ67" s="3341"/>
      <c r="AR67" s="3341"/>
      <c r="AS67" s="3349">
        <f t="shared" si="184"/>
        <v>0</v>
      </c>
      <c r="AT67" s="4428" t="e">
        <f t="shared" si="185"/>
        <v>#DIV/0!</v>
      </c>
      <c r="AU67" s="4429"/>
      <c r="AV67" s="3341"/>
      <c r="AW67" s="3341"/>
      <c r="AX67" s="3349">
        <f t="shared" si="186"/>
        <v>0</v>
      </c>
      <c r="AY67" s="4428" t="e">
        <f t="shared" si="187"/>
        <v>#DIV/0!</v>
      </c>
      <c r="AZ67" s="4429"/>
      <c r="BA67" s="3341"/>
      <c r="BB67" s="3341"/>
      <c r="BC67" s="3349">
        <f t="shared" si="188"/>
        <v>0</v>
      </c>
      <c r="BD67" s="4428">
        <f t="shared" si="189"/>
        <v>0</v>
      </c>
      <c r="BE67" s="4429"/>
      <c r="BF67" s="3341"/>
      <c r="BG67" s="3341"/>
      <c r="BH67" s="3349">
        <f t="shared" si="190"/>
        <v>0</v>
      </c>
      <c r="BI67" s="4428" t="e">
        <f t="shared" si="191"/>
        <v>#DIV/0!</v>
      </c>
      <c r="BJ67" s="4429"/>
      <c r="BK67" s="3341"/>
      <c r="BL67" s="3341"/>
      <c r="BM67" s="3349">
        <f t="shared" si="192"/>
        <v>0</v>
      </c>
      <c r="BN67" s="4428" t="e">
        <f t="shared" si="193"/>
        <v>#DIV/0!</v>
      </c>
      <c r="BO67" s="4429"/>
      <c r="BP67" s="3341"/>
      <c r="BQ67" s="3341"/>
      <c r="BR67" s="3349">
        <f t="shared" si="194"/>
        <v>0</v>
      </c>
      <c r="BS67" s="4428" t="e">
        <f t="shared" si="195"/>
        <v>#DIV/0!</v>
      </c>
      <c r="BT67" s="4429"/>
      <c r="BU67" s="3341"/>
      <c r="BV67" s="3341"/>
      <c r="BW67" s="3349">
        <f t="shared" si="196"/>
        <v>0</v>
      </c>
      <c r="BX67" s="4428" t="e">
        <f t="shared" si="197"/>
        <v>#DIV/0!</v>
      </c>
      <c r="BY67" s="4429"/>
      <c r="BZ67" s="3341"/>
      <c r="CA67" s="3341"/>
      <c r="CB67" s="3349">
        <f t="shared" si="198"/>
        <v>0</v>
      </c>
      <c r="CC67" s="4428" t="e">
        <f t="shared" si="199"/>
        <v>#DIV/0!</v>
      </c>
      <c r="CD67" s="4429"/>
      <c r="CE67" s="3341"/>
      <c r="CF67" s="3341"/>
      <c r="CG67" s="3349">
        <f t="shared" si="200"/>
        <v>0</v>
      </c>
      <c r="CH67" s="4428" t="e">
        <f t="shared" si="201"/>
        <v>#DIV/0!</v>
      </c>
      <c r="CI67" s="4429"/>
      <c r="CJ67" s="3341">
        <f t="shared" si="202"/>
        <v>0</v>
      </c>
      <c r="CK67" s="3341">
        <f t="shared" si="202"/>
        <v>0</v>
      </c>
      <c r="CL67" s="2012">
        <f t="shared" si="203"/>
        <v>0</v>
      </c>
      <c r="CM67" s="4428">
        <f t="shared" si="168"/>
        <v>0</v>
      </c>
      <c r="CN67" s="4432"/>
      <c r="CP67" s="2012">
        <f t="shared" si="204"/>
        <v>0</v>
      </c>
      <c r="CQ67" s="2012">
        <f t="shared" si="204"/>
        <v>0</v>
      </c>
      <c r="CR67" s="4614"/>
      <c r="CT67" s="2624"/>
    </row>
    <row r="68" spans="1:98" s="1396" customFormat="1" ht="13.8" outlineLevel="2">
      <c r="A68" s="1571"/>
      <c r="B68" s="4632" t="s">
        <v>5</v>
      </c>
      <c r="C68" s="3341"/>
      <c r="D68" s="3341"/>
      <c r="E68" s="3349">
        <f t="shared" si="169"/>
        <v>0</v>
      </c>
      <c r="F68" s="4428" t="e">
        <f t="shared" si="133"/>
        <v>#DIV/0!</v>
      </c>
      <c r="G68" s="3341"/>
      <c r="H68" s="3341"/>
      <c r="I68" s="3341"/>
      <c r="J68" s="3349">
        <f t="shared" si="170"/>
        <v>0</v>
      </c>
      <c r="K68" s="4428" t="e">
        <f t="shared" si="171"/>
        <v>#DIV/0!</v>
      </c>
      <c r="L68" s="3341"/>
      <c r="M68" s="3341"/>
      <c r="N68" s="3341"/>
      <c r="O68" s="3349">
        <f t="shared" si="172"/>
        <v>0</v>
      </c>
      <c r="P68" s="4428" t="e">
        <f t="shared" si="173"/>
        <v>#DIV/0!</v>
      </c>
      <c r="Q68" s="3341"/>
      <c r="R68" s="3342">
        <f t="shared" si="174"/>
        <v>0</v>
      </c>
      <c r="S68" s="3342">
        <f t="shared" si="174"/>
        <v>0</v>
      </c>
      <c r="T68" s="2012">
        <f t="shared" si="175"/>
        <v>0</v>
      </c>
      <c r="U68" s="3341"/>
      <c r="V68" s="3341"/>
      <c r="W68" s="3342">
        <f t="shared" si="176"/>
        <v>0</v>
      </c>
      <c r="X68" s="3342">
        <f t="shared" si="176"/>
        <v>0</v>
      </c>
      <c r="Y68" s="2012">
        <f t="shared" si="177"/>
        <v>0</v>
      </c>
      <c r="Z68" s="3341"/>
      <c r="AA68" s="3341"/>
      <c r="AB68" s="3341"/>
      <c r="AC68" s="3341"/>
      <c r="AD68" s="3349">
        <f t="shared" si="178"/>
        <v>0</v>
      </c>
      <c r="AE68" s="4428" t="e">
        <f t="shared" si="179"/>
        <v>#DIV/0!</v>
      </c>
      <c r="AF68" s="3341"/>
      <c r="AG68" s="3341"/>
      <c r="AH68" s="3341"/>
      <c r="AI68" s="3349">
        <f t="shared" si="180"/>
        <v>0</v>
      </c>
      <c r="AJ68" s="4428" t="e">
        <f t="shared" si="181"/>
        <v>#DIV/0!</v>
      </c>
      <c r="AK68" s="3341"/>
      <c r="AL68" s="3341"/>
      <c r="AM68" s="3341"/>
      <c r="AN68" s="3349">
        <f t="shared" si="182"/>
        <v>0</v>
      </c>
      <c r="AO68" s="4428" t="e">
        <f t="shared" si="183"/>
        <v>#DIV/0!</v>
      </c>
      <c r="AP68" s="3341"/>
      <c r="AQ68" s="3341"/>
      <c r="AR68" s="3341"/>
      <c r="AS68" s="3349">
        <f t="shared" si="184"/>
        <v>0</v>
      </c>
      <c r="AT68" s="4428" t="e">
        <f t="shared" si="185"/>
        <v>#DIV/0!</v>
      </c>
      <c r="AU68" s="3341"/>
      <c r="AV68" s="3341"/>
      <c r="AW68" s="3341"/>
      <c r="AX68" s="3349">
        <f t="shared" si="186"/>
        <v>0</v>
      </c>
      <c r="AY68" s="4428" t="e">
        <f t="shared" si="187"/>
        <v>#DIV/0!</v>
      </c>
      <c r="AZ68" s="3341"/>
      <c r="BA68" s="3341"/>
      <c r="BB68" s="3341"/>
      <c r="BC68" s="3349">
        <f t="shared" si="188"/>
        <v>0</v>
      </c>
      <c r="BD68" s="4428">
        <f t="shared" si="189"/>
        <v>0</v>
      </c>
      <c r="BE68" s="3341"/>
      <c r="BF68" s="3341"/>
      <c r="BG68" s="3341"/>
      <c r="BH68" s="3349">
        <f t="shared" si="190"/>
        <v>0</v>
      </c>
      <c r="BI68" s="4428" t="e">
        <f t="shared" si="191"/>
        <v>#DIV/0!</v>
      </c>
      <c r="BJ68" s="3341"/>
      <c r="BK68" s="3341"/>
      <c r="BL68" s="3341"/>
      <c r="BM68" s="3349">
        <f t="shared" si="192"/>
        <v>0</v>
      </c>
      <c r="BN68" s="4428" t="e">
        <f t="shared" si="193"/>
        <v>#DIV/0!</v>
      </c>
      <c r="BO68" s="3341"/>
      <c r="BP68" s="3341"/>
      <c r="BQ68" s="3341"/>
      <c r="BR68" s="3349">
        <f t="shared" si="194"/>
        <v>0</v>
      </c>
      <c r="BS68" s="4428" t="e">
        <f t="shared" si="195"/>
        <v>#DIV/0!</v>
      </c>
      <c r="BT68" s="3341"/>
      <c r="BU68" s="3341"/>
      <c r="BV68" s="3341"/>
      <c r="BW68" s="3349">
        <f t="shared" si="196"/>
        <v>0</v>
      </c>
      <c r="BX68" s="4428" t="e">
        <f t="shared" si="197"/>
        <v>#DIV/0!</v>
      </c>
      <c r="BY68" s="3341"/>
      <c r="BZ68" s="3341"/>
      <c r="CA68" s="3341"/>
      <c r="CB68" s="3349">
        <f t="shared" si="198"/>
        <v>0</v>
      </c>
      <c r="CC68" s="4428" t="e">
        <f t="shared" si="199"/>
        <v>#DIV/0!</v>
      </c>
      <c r="CD68" s="3341"/>
      <c r="CE68" s="3341"/>
      <c r="CF68" s="3341"/>
      <c r="CG68" s="3349">
        <f t="shared" si="200"/>
        <v>0</v>
      </c>
      <c r="CH68" s="4428" t="e">
        <f t="shared" si="201"/>
        <v>#DIV/0!</v>
      </c>
      <c r="CI68" s="3341"/>
      <c r="CJ68" s="3341">
        <f t="shared" si="202"/>
        <v>0</v>
      </c>
      <c r="CK68" s="3341">
        <f t="shared" si="202"/>
        <v>0</v>
      </c>
      <c r="CL68" s="2012">
        <f t="shared" si="203"/>
        <v>0</v>
      </c>
      <c r="CM68" s="4428">
        <f t="shared" si="168"/>
        <v>0</v>
      </c>
      <c r="CN68" s="4432"/>
      <c r="CP68" s="2012">
        <f t="shared" si="204"/>
        <v>0</v>
      </c>
      <c r="CQ68" s="2012">
        <f t="shared" si="204"/>
        <v>0</v>
      </c>
      <c r="CR68" s="4614"/>
      <c r="CT68" s="2624"/>
    </row>
    <row r="69" spans="1:98" s="1396" customFormat="1" ht="13.8" outlineLevel="2">
      <c r="A69" s="1571"/>
      <c r="B69" s="4632" t="s">
        <v>42</v>
      </c>
      <c r="C69" s="3341"/>
      <c r="D69" s="3341"/>
      <c r="E69" s="3349">
        <f t="shared" si="169"/>
        <v>0</v>
      </c>
      <c r="F69" s="4428" t="e">
        <f t="shared" si="133"/>
        <v>#DIV/0!</v>
      </c>
      <c r="G69" s="4429"/>
      <c r="H69" s="3341"/>
      <c r="I69" s="3341"/>
      <c r="J69" s="3349">
        <f t="shared" si="170"/>
        <v>0</v>
      </c>
      <c r="K69" s="4428" t="e">
        <f t="shared" si="171"/>
        <v>#DIV/0!</v>
      </c>
      <c r="L69" s="4429"/>
      <c r="M69" s="3341"/>
      <c r="N69" s="3341"/>
      <c r="O69" s="3349">
        <f t="shared" si="172"/>
        <v>0</v>
      </c>
      <c r="P69" s="4428" t="e">
        <f t="shared" si="173"/>
        <v>#DIV/0!</v>
      </c>
      <c r="Q69" s="4429"/>
      <c r="R69" s="3342">
        <f t="shared" si="174"/>
        <v>0</v>
      </c>
      <c r="S69" s="3342">
        <f t="shared" si="174"/>
        <v>0</v>
      </c>
      <c r="T69" s="2012">
        <f t="shared" si="175"/>
        <v>0</v>
      </c>
      <c r="U69" s="3462"/>
      <c r="V69" s="3462"/>
      <c r="W69" s="3342">
        <f t="shared" si="176"/>
        <v>0</v>
      </c>
      <c r="X69" s="3342">
        <f t="shared" si="176"/>
        <v>0</v>
      </c>
      <c r="Y69" s="2012">
        <f t="shared" si="177"/>
        <v>0</v>
      </c>
      <c r="Z69" s="3462"/>
      <c r="AA69" s="3462"/>
      <c r="AB69" s="3341"/>
      <c r="AC69" s="3341"/>
      <c r="AD69" s="3349">
        <f t="shared" si="178"/>
        <v>0</v>
      </c>
      <c r="AE69" s="4428" t="e">
        <f t="shared" si="179"/>
        <v>#DIV/0!</v>
      </c>
      <c r="AF69" s="4429"/>
      <c r="AG69" s="3341"/>
      <c r="AH69" s="3341"/>
      <c r="AI69" s="3349">
        <f t="shared" si="180"/>
        <v>0</v>
      </c>
      <c r="AJ69" s="4428" t="e">
        <f t="shared" si="181"/>
        <v>#DIV/0!</v>
      </c>
      <c r="AK69" s="4429"/>
      <c r="AL69" s="3341"/>
      <c r="AM69" s="3341"/>
      <c r="AN69" s="3349">
        <f t="shared" si="182"/>
        <v>0</v>
      </c>
      <c r="AO69" s="4428" t="e">
        <f t="shared" si="183"/>
        <v>#DIV/0!</v>
      </c>
      <c r="AP69" s="4429"/>
      <c r="AQ69" s="3341"/>
      <c r="AR69" s="3341"/>
      <c r="AS69" s="3349">
        <f t="shared" si="184"/>
        <v>0</v>
      </c>
      <c r="AT69" s="4428" t="e">
        <f t="shared" si="185"/>
        <v>#DIV/0!</v>
      </c>
      <c r="AU69" s="4429"/>
      <c r="AV69" s="3341"/>
      <c r="AW69" s="3341"/>
      <c r="AX69" s="3349">
        <f t="shared" si="186"/>
        <v>0</v>
      </c>
      <c r="AY69" s="4428" t="e">
        <f t="shared" si="187"/>
        <v>#DIV/0!</v>
      </c>
      <c r="AZ69" s="4429"/>
      <c r="BA69" s="3341"/>
      <c r="BB69" s="3341"/>
      <c r="BC69" s="3349">
        <f t="shared" si="188"/>
        <v>0</v>
      </c>
      <c r="BD69" s="4428">
        <f t="shared" si="189"/>
        <v>0</v>
      </c>
      <c r="BE69" s="4429"/>
      <c r="BF69" s="3341"/>
      <c r="BG69" s="3341"/>
      <c r="BH69" s="3349">
        <f t="shared" si="190"/>
        <v>0</v>
      </c>
      <c r="BI69" s="4428" t="e">
        <f t="shared" si="191"/>
        <v>#DIV/0!</v>
      </c>
      <c r="BJ69" s="4429"/>
      <c r="BK69" s="3341"/>
      <c r="BL69" s="3341"/>
      <c r="BM69" s="3349">
        <f t="shared" si="192"/>
        <v>0</v>
      </c>
      <c r="BN69" s="4428" t="e">
        <f t="shared" si="193"/>
        <v>#DIV/0!</v>
      </c>
      <c r="BO69" s="4429"/>
      <c r="BP69" s="3341"/>
      <c r="BQ69" s="3341"/>
      <c r="BR69" s="3349">
        <f t="shared" si="194"/>
        <v>0</v>
      </c>
      <c r="BS69" s="4428" t="e">
        <f t="shared" si="195"/>
        <v>#DIV/0!</v>
      </c>
      <c r="BT69" s="4429"/>
      <c r="BU69" s="3341"/>
      <c r="BV69" s="3341"/>
      <c r="BW69" s="3349">
        <f t="shared" si="196"/>
        <v>0</v>
      </c>
      <c r="BX69" s="4428" t="e">
        <f t="shared" si="197"/>
        <v>#DIV/0!</v>
      </c>
      <c r="BY69" s="4429"/>
      <c r="BZ69" s="3341"/>
      <c r="CA69" s="3341"/>
      <c r="CB69" s="3349">
        <f t="shared" si="198"/>
        <v>0</v>
      </c>
      <c r="CC69" s="4428" t="e">
        <f t="shared" si="199"/>
        <v>#DIV/0!</v>
      </c>
      <c r="CD69" s="4429"/>
      <c r="CE69" s="3341"/>
      <c r="CF69" s="3341"/>
      <c r="CG69" s="3349">
        <f t="shared" si="200"/>
        <v>0</v>
      </c>
      <c r="CH69" s="4428" t="e">
        <f t="shared" si="201"/>
        <v>#DIV/0!</v>
      </c>
      <c r="CI69" s="4429"/>
      <c r="CJ69" s="3341">
        <f t="shared" si="202"/>
        <v>0</v>
      </c>
      <c r="CK69" s="3341">
        <f t="shared" si="202"/>
        <v>0</v>
      </c>
      <c r="CL69" s="2012">
        <f t="shared" si="203"/>
        <v>0</v>
      </c>
      <c r="CM69" s="4428">
        <f t="shared" si="168"/>
        <v>0</v>
      </c>
      <c r="CN69" s="4432"/>
      <c r="CP69" s="2012">
        <f t="shared" si="204"/>
        <v>0</v>
      </c>
      <c r="CQ69" s="2012">
        <f t="shared" si="204"/>
        <v>0</v>
      </c>
      <c r="CR69" s="4614"/>
      <c r="CT69" s="2624"/>
    </row>
    <row r="70" spans="1:98" s="1396" customFormat="1" ht="13.8" outlineLevel="2">
      <c r="A70" s="1571"/>
      <c r="B70" s="4632" t="s">
        <v>6</v>
      </c>
      <c r="C70" s="3341"/>
      <c r="D70" s="3341"/>
      <c r="E70" s="3349">
        <f t="shared" si="169"/>
        <v>0</v>
      </c>
      <c r="F70" s="4428" t="e">
        <f t="shared" si="133"/>
        <v>#DIV/0!</v>
      </c>
      <c r="G70" s="4429"/>
      <c r="H70" s="3341"/>
      <c r="I70" s="3341"/>
      <c r="J70" s="3349">
        <f t="shared" si="170"/>
        <v>0</v>
      </c>
      <c r="K70" s="4428" t="e">
        <f t="shared" si="171"/>
        <v>#DIV/0!</v>
      </c>
      <c r="L70" s="4429"/>
      <c r="M70" s="3341"/>
      <c r="N70" s="3341"/>
      <c r="O70" s="3349">
        <f t="shared" si="172"/>
        <v>0</v>
      </c>
      <c r="P70" s="4428" t="e">
        <f t="shared" si="173"/>
        <v>#DIV/0!</v>
      </c>
      <c r="Q70" s="4429"/>
      <c r="R70" s="3342">
        <f t="shared" si="174"/>
        <v>0</v>
      </c>
      <c r="S70" s="3342">
        <f t="shared" si="174"/>
        <v>0</v>
      </c>
      <c r="T70" s="2012">
        <f t="shared" si="175"/>
        <v>0</v>
      </c>
      <c r="U70" s="3462"/>
      <c r="V70" s="3462"/>
      <c r="W70" s="3342">
        <f t="shared" si="176"/>
        <v>0</v>
      </c>
      <c r="X70" s="3342">
        <f t="shared" si="176"/>
        <v>0</v>
      </c>
      <c r="Y70" s="2012">
        <f t="shared" si="177"/>
        <v>0</v>
      </c>
      <c r="Z70" s="3462"/>
      <c r="AA70" s="3462"/>
      <c r="AB70" s="3341"/>
      <c r="AC70" s="3341"/>
      <c r="AD70" s="3349">
        <f t="shared" si="178"/>
        <v>0</v>
      </c>
      <c r="AE70" s="4428" t="e">
        <f t="shared" si="179"/>
        <v>#DIV/0!</v>
      </c>
      <c r="AF70" s="4429"/>
      <c r="AG70" s="3341"/>
      <c r="AH70" s="3341"/>
      <c r="AI70" s="3349">
        <f t="shared" si="180"/>
        <v>0</v>
      </c>
      <c r="AJ70" s="4428" t="e">
        <f t="shared" si="181"/>
        <v>#DIV/0!</v>
      </c>
      <c r="AK70" s="4429"/>
      <c r="AL70" s="3341"/>
      <c r="AM70" s="3341"/>
      <c r="AN70" s="3349">
        <f t="shared" si="182"/>
        <v>0</v>
      </c>
      <c r="AO70" s="4428" t="e">
        <f t="shared" si="183"/>
        <v>#DIV/0!</v>
      </c>
      <c r="AP70" s="4429"/>
      <c r="AQ70" s="3341"/>
      <c r="AR70" s="3341"/>
      <c r="AS70" s="3349">
        <f t="shared" si="184"/>
        <v>0</v>
      </c>
      <c r="AT70" s="4428" t="e">
        <f t="shared" si="185"/>
        <v>#DIV/0!</v>
      </c>
      <c r="AU70" s="4429"/>
      <c r="AV70" s="3341"/>
      <c r="AW70" s="3341"/>
      <c r="AX70" s="3349">
        <f t="shared" si="186"/>
        <v>0</v>
      </c>
      <c r="AY70" s="4428" t="e">
        <f t="shared" si="187"/>
        <v>#DIV/0!</v>
      </c>
      <c r="AZ70" s="4429"/>
      <c r="BA70" s="3341"/>
      <c r="BB70" s="3341"/>
      <c r="BC70" s="3349">
        <f t="shared" si="188"/>
        <v>0</v>
      </c>
      <c r="BD70" s="4428">
        <f t="shared" si="189"/>
        <v>0</v>
      </c>
      <c r="BE70" s="4429"/>
      <c r="BF70" s="3341"/>
      <c r="BG70" s="3341"/>
      <c r="BH70" s="3349">
        <f t="shared" si="190"/>
        <v>0</v>
      </c>
      <c r="BI70" s="4428" t="e">
        <f t="shared" si="191"/>
        <v>#DIV/0!</v>
      </c>
      <c r="BJ70" s="4429"/>
      <c r="BK70" s="3341"/>
      <c r="BL70" s="3341"/>
      <c r="BM70" s="3349">
        <f t="shared" si="192"/>
        <v>0</v>
      </c>
      <c r="BN70" s="4428" t="e">
        <f t="shared" si="193"/>
        <v>#DIV/0!</v>
      </c>
      <c r="BO70" s="4429"/>
      <c r="BP70" s="3341"/>
      <c r="BQ70" s="3341"/>
      <c r="BR70" s="3349">
        <f t="shared" si="194"/>
        <v>0</v>
      </c>
      <c r="BS70" s="4428" t="e">
        <f t="shared" si="195"/>
        <v>#DIV/0!</v>
      </c>
      <c r="BT70" s="4429"/>
      <c r="BU70" s="3341"/>
      <c r="BV70" s="3341"/>
      <c r="BW70" s="3349">
        <f t="shared" si="196"/>
        <v>0</v>
      </c>
      <c r="BX70" s="4428" t="e">
        <f t="shared" si="197"/>
        <v>#DIV/0!</v>
      </c>
      <c r="BY70" s="4429"/>
      <c r="BZ70" s="3341"/>
      <c r="CA70" s="3341"/>
      <c r="CB70" s="3349">
        <f t="shared" si="198"/>
        <v>0</v>
      </c>
      <c r="CC70" s="4428" t="e">
        <f t="shared" si="199"/>
        <v>#DIV/0!</v>
      </c>
      <c r="CD70" s="4429"/>
      <c r="CE70" s="3341"/>
      <c r="CF70" s="3341"/>
      <c r="CG70" s="3349">
        <f t="shared" si="200"/>
        <v>0</v>
      </c>
      <c r="CH70" s="4428" t="e">
        <f t="shared" si="201"/>
        <v>#DIV/0!</v>
      </c>
      <c r="CI70" s="4429"/>
      <c r="CJ70" s="3341">
        <f t="shared" si="202"/>
        <v>0</v>
      </c>
      <c r="CK70" s="3341">
        <f t="shared" si="202"/>
        <v>0</v>
      </c>
      <c r="CL70" s="2012">
        <f t="shared" si="203"/>
        <v>0</v>
      </c>
      <c r="CM70" s="4428">
        <f t="shared" si="168"/>
        <v>0</v>
      </c>
      <c r="CN70" s="4432"/>
      <c r="CP70" s="2012">
        <f t="shared" si="204"/>
        <v>0</v>
      </c>
      <c r="CQ70" s="2012">
        <f t="shared" si="204"/>
        <v>0</v>
      </c>
      <c r="CR70" s="4614"/>
      <c r="CT70" s="2624"/>
    </row>
    <row r="71" spans="1:98" s="1396" customFormat="1" ht="13.8" outlineLevel="2">
      <c r="A71" s="1571"/>
      <c r="B71" s="4632" t="s">
        <v>78</v>
      </c>
      <c r="C71" s="3341"/>
      <c r="D71" s="3341"/>
      <c r="E71" s="3349">
        <f t="shared" si="169"/>
        <v>0</v>
      </c>
      <c r="F71" s="4428" t="e">
        <f t="shared" si="133"/>
        <v>#DIV/0!</v>
      </c>
      <c r="G71" s="4429"/>
      <c r="H71" s="3341"/>
      <c r="I71" s="3341"/>
      <c r="J71" s="3349">
        <f t="shared" si="170"/>
        <v>0</v>
      </c>
      <c r="K71" s="4428" t="e">
        <f t="shared" si="171"/>
        <v>#DIV/0!</v>
      </c>
      <c r="L71" s="4429"/>
      <c r="M71" s="3341"/>
      <c r="N71" s="3341"/>
      <c r="O71" s="3349">
        <f t="shared" si="172"/>
        <v>0</v>
      </c>
      <c r="P71" s="4428" t="e">
        <f t="shared" si="173"/>
        <v>#DIV/0!</v>
      </c>
      <c r="Q71" s="4429"/>
      <c r="R71" s="3342">
        <f t="shared" si="174"/>
        <v>0</v>
      </c>
      <c r="S71" s="3342">
        <f t="shared" si="174"/>
        <v>0</v>
      </c>
      <c r="T71" s="2012">
        <f t="shared" si="175"/>
        <v>0</v>
      </c>
      <c r="U71" s="3462"/>
      <c r="V71" s="3462"/>
      <c r="W71" s="3342">
        <f t="shared" si="176"/>
        <v>0</v>
      </c>
      <c r="X71" s="3342">
        <f t="shared" si="176"/>
        <v>0</v>
      </c>
      <c r="Y71" s="2012">
        <f t="shared" si="177"/>
        <v>0</v>
      </c>
      <c r="Z71" s="3462"/>
      <c r="AA71" s="3462"/>
      <c r="AB71" s="3341"/>
      <c r="AC71" s="3341"/>
      <c r="AD71" s="3349">
        <f t="shared" si="178"/>
        <v>0</v>
      </c>
      <c r="AE71" s="4428" t="e">
        <f t="shared" si="179"/>
        <v>#DIV/0!</v>
      </c>
      <c r="AF71" s="4429"/>
      <c r="AG71" s="3341"/>
      <c r="AH71" s="3341"/>
      <c r="AI71" s="3349">
        <f t="shared" si="180"/>
        <v>0</v>
      </c>
      <c r="AJ71" s="4428" t="e">
        <f t="shared" si="181"/>
        <v>#DIV/0!</v>
      </c>
      <c r="AK71" s="4429"/>
      <c r="AL71" s="3341"/>
      <c r="AM71" s="3341"/>
      <c r="AN71" s="3349">
        <f t="shared" si="182"/>
        <v>0</v>
      </c>
      <c r="AO71" s="4428" t="e">
        <f t="shared" si="183"/>
        <v>#DIV/0!</v>
      </c>
      <c r="AP71" s="4429"/>
      <c r="AQ71" s="3341"/>
      <c r="AR71" s="3341"/>
      <c r="AS71" s="3349">
        <f t="shared" si="184"/>
        <v>0</v>
      </c>
      <c r="AT71" s="4428" t="e">
        <f t="shared" si="185"/>
        <v>#DIV/0!</v>
      </c>
      <c r="AU71" s="4429"/>
      <c r="AV71" s="3341"/>
      <c r="AW71" s="3341"/>
      <c r="AX71" s="3349">
        <f t="shared" si="186"/>
        <v>0</v>
      </c>
      <c r="AY71" s="4428" t="e">
        <f t="shared" si="187"/>
        <v>#DIV/0!</v>
      </c>
      <c r="AZ71" s="4429"/>
      <c r="BA71" s="3341"/>
      <c r="BB71" s="3341"/>
      <c r="BC71" s="3349">
        <f t="shared" si="188"/>
        <v>0</v>
      </c>
      <c r="BD71" s="4428">
        <f t="shared" si="189"/>
        <v>0</v>
      </c>
      <c r="BE71" s="4429"/>
      <c r="BF71" s="3341"/>
      <c r="BG71" s="3341"/>
      <c r="BH71" s="3349">
        <f t="shared" si="190"/>
        <v>0</v>
      </c>
      <c r="BI71" s="4428" t="e">
        <f t="shared" si="191"/>
        <v>#DIV/0!</v>
      </c>
      <c r="BJ71" s="4429"/>
      <c r="BK71" s="3341"/>
      <c r="BL71" s="3341"/>
      <c r="BM71" s="3349">
        <f t="shared" si="192"/>
        <v>0</v>
      </c>
      <c r="BN71" s="4428" t="e">
        <f t="shared" si="193"/>
        <v>#DIV/0!</v>
      </c>
      <c r="BO71" s="4429"/>
      <c r="BP71" s="3341"/>
      <c r="BQ71" s="3341"/>
      <c r="BR71" s="3349">
        <f t="shared" si="194"/>
        <v>0</v>
      </c>
      <c r="BS71" s="4428" t="e">
        <f t="shared" si="195"/>
        <v>#DIV/0!</v>
      </c>
      <c r="BT71" s="4429"/>
      <c r="BU71" s="3341"/>
      <c r="BV71" s="3341"/>
      <c r="BW71" s="3349">
        <f t="shared" si="196"/>
        <v>0</v>
      </c>
      <c r="BX71" s="4428" t="e">
        <f t="shared" si="197"/>
        <v>#DIV/0!</v>
      </c>
      <c r="BY71" s="4429"/>
      <c r="BZ71" s="3341"/>
      <c r="CA71" s="3341"/>
      <c r="CB71" s="3349">
        <f t="shared" si="198"/>
        <v>0</v>
      </c>
      <c r="CC71" s="4428" t="e">
        <f t="shared" si="199"/>
        <v>#DIV/0!</v>
      </c>
      <c r="CD71" s="4429"/>
      <c r="CE71" s="3341"/>
      <c r="CF71" s="3341"/>
      <c r="CG71" s="3349">
        <f t="shared" si="200"/>
        <v>0</v>
      </c>
      <c r="CH71" s="4428" t="e">
        <f t="shared" si="201"/>
        <v>#DIV/0!</v>
      </c>
      <c r="CI71" s="4429"/>
      <c r="CJ71" s="3341">
        <f t="shared" si="202"/>
        <v>0</v>
      </c>
      <c r="CK71" s="3341">
        <f t="shared" si="202"/>
        <v>0</v>
      </c>
      <c r="CL71" s="2012">
        <f t="shared" si="203"/>
        <v>0</v>
      </c>
      <c r="CM71" s="4428">
        <f t="shared" si="168"/>
        <v>0</v>
      </c>
      <c r="CN71" s="4432"/>
      <c r="CP71" s="2012">
        <f t="shared" si="204"/>
        <v>0</v>
      </c>
      <c r="CQ71" s="2012">
        <f t="shared" si="204"/>
        <v>0</v>
      </c>
      <c r="CR71" s="4614"/>
      <c r="CT71" s="2624"/>
    </row>
    <row r="72" spans="1:98" s="1396" customFormat="1" ht="13.8" outlineLevel="2">
      <c r="A72" s="1571"/>
      <c r="B72" s="4463"/>
      <c r="C72" s="4623"/>
      <c r="D72" s="4623"/>
      <c r="E72" s="4453"/>
      <c r="F72" s="4428"/>
      <c r="G72" s="4429"/>
      <c r="H72" s="4623"/>
      <c r="I72" s="4623"/>
      <c r="J72" s="4453"/>
      <c r="K72" s="4428" t="e">
        <f t="shared" si="171"/>
        <v>#DIV/0!</v>
      </c>
      <c r="L72" s="4429"/>
      <c r="M72" s="4623"/>
      <c r="N72" s="4623"/>
      <c r="O72" s="4453"/>
      <c r="P72" s="4428" t="e">
        <f t="shared" si="173"/>
        <v>#DIV/0!</v>
      </c>
      <c r="Q72" s="4429"/>
      <c r="R72" s="4429"/>
      <c r="S72" s="4429"/>
      <c r="T72" s="4429"/>
      <c r="U72" s="4429"/>
      <c r="V72" s="4429"/>
      <c r="W72" s="4429"/>
      <c r="X72" s="4429"/>
      <c r="Y72" s="4429"/>
      <c r="Z72" s="4429"/>
      <c r="AA72" s="4429"/>
      <c r="AB72" s="4623"/>
      <c r="AC72" s="4623"/>
      <c r="AD72" s="4453"/>
      <c r="AE72" s="4428"/>
      <c r="AF72" s="4429"/>
      <c r="AG72" s="4623"/>
      <c r="AH72" s="4623"/>
      <c r="AI72" s="4453"/>
      <c r="AJ72" s="4428"/>
      <c r="AK72" s="4429"/>
      <c r="AL72" s="4623"/>
      <c r="AM72" s="4623"/>
      <c r="AN72" s="4453"/>
      <c r="AO72" s="4428"/>
      <c r="AP72" s="4429"/>
      <c r="AQ72" s="4623"/>
      <c r="AR72" s="4623"/>
      <c r="AS72" s="4453"/>
      <c r="AT72" s="4428"/>
      <c r="AU72" s="4429"/>
      <c r="AV72" s="4623"/>
      <c r="AW72" s="4623"/>
      <c r="AX72" s="4453"/>
      <c r="AY72" s="4428"/>
      <c r="AZ72" s="4429"/>
      <c r="BA72" s="4623"/>
      <c r="BB72" s="4623"/>
      <c r="BC72" s="4453"/>
      <c r="BD72" s="4428"/>
      <c r="BE72" s="4429"/>
      <c r="BF72" s="4623"/>
      <c r="BG72" s="4623"/>
      <c r="BH72" s="4453"/>
      <c r="BI72" s="4428"/>
      <c r="BJ72" s="4429"/>
      <c r="BK72" s="4623"/>
      <c r="BL72" s="4623"/>
      <c r="BM72" s="4453"/>
      <c r="BN72" s="4428"/>
      <c r="BO72" s="4429"/>
      <c r="BP72" s="4623"/>
      <c r="BQ72" s="4623"/>
      <c r="BR72" s="4453"/>
      <c r="BS72" s="4428"/>
      <c r="BT72" s="4429"/>
      <c r="BU72" s="4623"/>
      <c r="BV72" s="4623"/>
      <c r="BW72" s="4453"/>
      <c r="BX72" s="4428"/>
      <c r="BY72" s="4429"/>
      <c r="BZ72" s="4623"/>
      <c r="CA72" s="4623"/>
      <c r="CB72" s="4453"/>
      <c r="CC72" s="4428"/>
      <c r="CD72" s="4429"/>
      <c r="CE72" s="4623"/>
      <c r="CF72" s="4623"/>
      <c r="CG72" s="4453"/>
      <c r="CH72" s="4428"/>
      <c r="CI72" s="4429"/>
      <c r="CJ72" s="4623"/>
      <c r="CK72" s="4623"/>
      <c r="CL72" s="4453"/>
      <c r="CM72" s="4428">
        <f>CL72/$CL$89</f>
        <v>0</v>
      </c>
      <c r="CN72" s="4432"/>
      <c r="CP72" s="2030"/>
      <c r="CQ72" s="2030"/>
      <c r="CR72" s="4613"/>
      <c r="CT72" s="2624"/>
    </row>
    <row r="73" spans="1:98" s="1396" customFormat="1" ht="14.4" outlineLevel="1" thickBot="1">
      <c r="A73" s="1571"/>
      <c r="B73" s="3737" t="s">
        <v>4</v>
      </c>
      <c r="C73" s="555">
        <f>C74</f>
        <v>0</v>
      </c>
      <c r="D73" s="3738">
        <f>D74</f>
        <v>0</v>
      </c>
      <c r="E73" s="3739">
        <f>E74</f>
        <v>0</v>
      </c>
      <c r="F73" s="3738"/>
      <c r="G73" s="3741"/>
      <c r="H73" s="555">
        <f>H74</f>
        <v>0</v>
      </c>
      <c r="I73" s="3738">
        <f>I74</f>
        <v>0</v>
      </c>
      <c r="J73" s="3739">
        <f>J74</f>
        <v>0</v>
      </c>
      <c r="K73" s="3738"/>
      <c r="L73" s="3741"/>
      <c r="M73" s="555">
        <f>M74</f>
        <v>0</v>
      </c>
      <c r="N73" s="3738">
        <f>N74</f>
        <v>0</v>
      </c>
      <c r="O73" s="3739">
        <f>O74</f>
        <v>0</v>
      </c>
      <c r="P73" s="3738"/>
      <c r="Q73" s="3741"/>
      <c r="R73" s="555">
        <f>R74</f>
        <v>0</v>
      </c>
      <c r="S73" s="3738">
        <f>S74</f>
        <v>0</v>
      </c>
      <c r="T73" s="3739">
        <f>T74</f>
        <v>0</v>
      </c>
      <c r="U73" s="3738"/>
      <c r="V73" s="3742"/>
      <c r="W73" s="555">
        <f>W74</f>
        <v>0</v>
      </c>
      <c r="X73" s="3738">
        <f>X74</f>
        <v>0</v>
      </c>
      <c r="Y73" s="3739">
        <f>Y74</f>
        <v>0</v>
      </c>
      <c r="Z73" s="3738"/>
      <c r="AA73" s="3742"/>
      <c r="AB73" s="555">
        <f>AB74</f>
        <v>0</v>
      </c>
      <c r="AC73" s="3738">
        <f>AC74</f>
        <v>0</v>
      </c>
      <c r="AD73" s="3739">
        <f>AD74</f>
        <v>0</v>
      </c>
      <c r="AE73" s="3738"/>
      <c r="AF73" s="3741"/>
      <c r="AG73" s="555">
        <f>AG74</f>
        <v>0</v>
      </c>
      <c r="AH73" s="3738">
        <f>AH74</f>
        <v>0</v>
      </c>
      <c r="AI73" s="3739">
        <f>AI74</f>
        <v>0</v>
      </c>
      <c r="AJ73" s="3738"/>
      <c r="AK73" s="3741"/>
      <c r="AL73" s="555">
        <f>AL74</f>
        <v>0</v>
      </c>
      <c r="AM73" s="3738">
        <f>AM74</f>
        <v>0</v>
      </c>
      <c r="AN73" s="3739">
        <f>AN74</f>
        <v>0</v>
      </c>
      <c r="AO73" s="3738"/>
      <c r="AP73" s="3741"/>
      <c r="AQ73" s="555">
        <f>AQ74</f>
        <v>0</v>
      </c>
      <c r="AR73" s="3738">
        <f>AR74</f>
        <v>0</v>
      </c>
      <c r="AS73" s="3739">
        <f>AS74</f>
        <v>0</v>
      </c>
      <c r="AT73" s="3738"/>
      <c r="AU73" s="3741"/>
      <c r="AV73" s="555">
        <f>AV74</f>
        <v>0</v>
      </c>
      <c r="AW73" s="3738">
        <f>AW74</f>
        <v>0</v>
      </c>
      <c r="AX73" s="3739">
        <f>AX74</f>
        <v>0</v>
      </c>
      <c r="AY73" s="3738"/>
      <c r="AZ73" s="3741"/>
      <c r="BA73" s="555">
        <f>BA74</f>
        <v>0</v>
      </c>
      <c r="BB73" s="3738">
        <f>BB74</f>
        <v>0</v>
      </c>
      <c r="BC73" s="3739">
        <f>BC74</f>
        <v>0</v>
      </c>
      <c r="BD73" s="3738"/>
      <c r="BE73" s="3741"/>
      <c r="BF73" s="555">
        <f>BF74</f>
        <v>0</v>
      </c>
      <c r="BG73" s="3738">
        <f>BG74</f>
        <v>0</v>
      </c>
      <c r="BH73" s="3739">
        <f>BH74</f>
        <v>0</v>
      </c>
      <c r="BI73" s="3738"/>
      <c r="BJ73" s="3741"/>
      <c r="BK73" s="555">
        <f>BK74</f>
        <v>0</v>
      </c>
      <c r="BL73" s="3738">
        <f>BL74</f>
        <v>0</v>
      </c>
      <c r="BM73" s="3739">
        <f>BM74</f>
        <v>0</v>
      </c>
      <c r="BN73" s="3738"/>
      <c r="BO73" s="3741"/>
      <c r="BP73" s="555">
        <f>BP74</f>
        <v>0</v>
      </c>
      <c r="BQ73" s="3738">
        <f>BQ74</f>
        <v>0</v>
      </c>
      <c r="BR73" s="3739">
        <f>BR74</f>
        <v>0</v>
      </c>
      <c r="BS73" s="3738"/>
      <c r="BT73" s="3741"/>
      <c r="BU73" s="555">
        <f>BU74</f>
        <v>0</v>
      </c>
      <c r="BV73" s="3738">
        <f>BV74</f>
        <v>0</v>
      </c>
      <c r="BW73" s="3739">
        <f>BW74</f>
        <v>0</v>
      </c>
      <c r="BX73" s="3738"/>
      <c r="BY73" s="3741"/>
      <c r="BZ73" s="555">
        <f>BZ74</f>
        <v>0</v>
      </c>
      <c r="CA73" s="3738">
        <f>CA74</f>
        <v>0</v>
      </c>
      <c r="CB73" s="3739">
        <f>CB74</f>
        <v>0</v>
      </c>
      <c r="CC73" s="3738"/>
      <c r="CD73" s="3741"/>
      <c r="CE73" s="555">
        <f>CE74</f>
        <v>0</v>
      </c>
      <c r="CF73" s="3738">
        <f>CF74</f>
        <v>0</v>
      </c>
      <c r="CG73" s="3739">
        <f>CG74</f>
        <v>0</v>
      </c>
      <c r="CH73" s="3738"/>
      <c r="CI73" s="3741"/>
      <c r="CJ73" s="555">
        <f>CJ74</f>
        <v>0</v>
      </c>
      <c r="CK73" s="3743">
        <f>CK74</f>
        <v>0</v>
      </c>
      <c r="CL73" s="3739">
        <f>CL74</f>
        <v>0</v>
      </c>
      <c r="CM73" s="3738"/>
      <c r="CN73" s="3738"/>
      <c r="CP73" s="4648">
        <f>CP74</f>
        <v>0</v>
      </c>
      <c r="CQ73" s="4648">
        <f>CQ74</f>
        <v>0</v>
      </c>
      <c r="CR73" s="4648"/>
      <c r="CT73" s="2624"/>
    </row>
    <row r="74" spans="1:98" s="1396" customFormat="1" ht="14.4" outlineLevel="1" thickBot="1">
      <c r="A74" s="1413"/>
      <c r="B74" s="1051" t="s">
        <v>64</v>
      </c>
      <c r="C74" s="3341"/>
      <c r="D74" s="3341"/>
      <c r="E74" s="3386">
        <f>C74+D74*1</f>
        <v>0</v>
      </c>
      <c r="F74" s="3386"/>
      <c r="G74" s="3468"/>
      <c r="H74" s="3341"/>
      <c r="I74" s="3341"/>
      <c r="J74" s="3386">
        <f>H74+I74*1</f>
        <v>0</v>
      </c>
      <c r="K74" s="4428" t="e">
        <f t="shared" ref="K74" si="205">J74/J$89</f>
        <v>#DIV/0!</v>
      </c>
      <c r="L74" s="3468"/>
      <c r="M74" s="3341"/>
      <c r="N74" s="3341"/>
      <c r="O74" s="3386">
        <f>M74+N74*1</f>
        <v>0</v>
      </c>
      <c r="P74" s="4428" t="e">
        <f t="shared" ref="P74" si="206">O74/O$89</f>
        <v>#DIV/0!</v>
      </c>
      <c r="Q74" s="3468"/>
      <c r="R74" s="3469"/>
      <c r="S74" s="3469"/>
      <c r="T74" s="3469"/>
      <c r="U74" s="3469"/>
      <c r="V74" s="3469"/>
      <c r="W74" s="3342">
        <f t="shared" ref="W74:X74" si="207">AB74+AG74+AL74+AV74+BA74+BF74+BK74+BP74+BU74+BZ74+CE74+AQ74</f>
        <v>0</v>
      </c>
      <c r="X74" s="3342">
        <f t="shared" si="207"/>
        <v>0</v>
      </c>
      <c r="Y74" s="3469"/>
      <c r="Z74" s="3469"/>
      <c r="AA74" s="3469"/>
      <c r="AB74" s="3341"/>
      <c r="AC74" s="3341"/>
      <c r="AD74" s="3386">
        <f>AB74+AC74*1</f>
        <v>0</v>
      </c>
      <c r="AE74" s="3386"/>
      <c r="AF74" s="3468"/>
      <c r="AG74" s="3341"/>
      <c r="AH74" s="3341"/>
      <c r="AI74" s="3386">
        <f>AG74+AH74*1</f>
        <v>0</v>
      </c>
      <c r="AJ74" s="3386"/>
      <c r="AK74" s="3468"/>
      <c r="AL74" s="3341"/>
      <c r="AM74" s="3341"/>
      <c r="AN74" s="3386">
        <f>AL74+AM74*1</f>
        <v>0</v>
      </c>
      <c r="AO74" s="3386"/>
      <c r="AP74" s="3468"/>
      <c r="AQ74" s="3341"/>
      <c r="AR74" s="3341"/>
      <c r="AS74" s="3386">
        <f>AQ74+AR74*1</f>
        <v>0</v>
      </c>
      <c r="AT74" s="3386"/>
      <c r="AU74" s="3468"/>
      <c r="AV74" s="3341"/>
      <c r="AW74" s="3341"/>
      <c r="AX74" s="3386">
        <f>AV74+AW74*1</f>
        <v>0</v>
      </c>
      <c r="AY74" s="3386"/>
      <c r="AZ74" s="3468"/>
      <c r="BA74" s="3341"/>
      <c r="BB74" s="3341"/>
      <c r="BC74" s="3386">
        <f>BA74+BB74*1</f>
        <v>0</v>
      </c>
      <c r="BD74" s="3386"/>
      <c r="BE74" s="3468"/>
      <c r="BF74" s="3341"/>
      <c r="BG74" s="3341"/>
      <c r="BH74" s="3386">
        <f>BF74+BG74*1</f>
        <v>0</v>
      </c>
      <c r="BI74" s="3386"/>
      <c r="BJ74" s="3468"/>
      <c r="BK74" s="3341"/>
      <c r="BL74" s="3341"/>
      <c r="BM74" s="3386">
        <f>BK74+BL74*1</f>
        <v>0</v>
      </c>
      <c r="BN74" s="3386"/>
      <c r="BO74" s="3468"/>
      <c r="BP74" s="3341"/>
      <c r="BQ74" s="3341"/>
      <c r="BR74" s="3386">
        <f>BP74+BQ74*1</f>
        <v>0</v>
      </c>
      <c r="BS74" s="3386"/>
      <c r="BT74" s="3468"/>
      <c r="BU74" s="3341"/>
      <c r="BV74" s="3341"/>
      <c r="BW74" s="3386">
        <f>BU74+BV74*1</f>
        <v>0</v>
      </c>
      <c r="BX74" s="3386"/>
      <c r="BY74" s="3468"/>
      <c r="BZ74" s="3341"/>
      <c r="CA74" s="3341"/>
      <c r="CB74" s="3386">
        <f>BZ74+CA74*1</f>
        <v>0</v>
      </c>
      <c r="CC74" s="3386"/>
      <c r="CD74" s="3468"/>
      <c r="CE74" s="3341"/>
      <c r="CF74" s="3341"/>
      <c r="CG74" s="3386">
        <f>CE74+CF74*1</f>
        <v>0</v>
      </c>
      <c r="CH74" s="3386"/>
      <c r="CI74" s="3468"/>
      <c r="CJ74" s="3341">
        <f>C74+H74+M74</f>
        <v>0</v>
      </c>
      <c r="CK74" s="3341">
        <f>D74+I74+N74</f>
        <v>0</v>
      </c>
      <c r="CL74" s="3386">
        <f>CJ74+CK74*1</f>
        <v>0</v>
      </c>
      <c r="CM74" s="3386"/>
      <c r="CN74" s="3386"/>
      <c r="CP74" s="4649">
        <f>CN74+CO74*1</f>
        <v>0</v>
      </c>
      <c r="CQ74" s="4649">
        <f>CO74+CP74*1</f>
        <v>0</v>
      </c>
      <c r="CR74" s="4649"/>
      <c r="CT74" s="2624"/>
    </row>
    <row r="75" spans="1:98" s="1396" customFormat="1" ht="14.4" thickBot="1">
      <c r="A75" s="1399"/>
      <c r="B75" s="1416" t="s">
        <v>48</v>
      </c>
      <c r="C75" s="1450">
        <f>C38-C41-C50-C54</f>
        <v>0</v>
      </c>
      <c r="D75" s="1450">
        <f>D38-D41-D50-D54</f>
        <v>0</v>
      </c>
      <c r="E75" s="1508">
        <f>E38-E41-E50-E54</f>
        <v>0</v>
      </c>
      <c r="F75" s="1953"/>
      <c r="G75" s="1058"/>
      <c r="H75" s="1450">
        <f>H38-H41-H50-H54</f>
        <v>0</v>
      </c>
      <c r="I75" s="1450">
        <f>I38-I41-I50-I54</f>
        <v>0</v>
      </c>
      <c r="J75" s="1508">
        <f>J38-J41-J50-J54</f>
        <v>0</v>
      </c>
      <c r="K75" s="1953"/>
      <c r="L75" s="1058"/>
      <c r="M75" s="1450">
        <f>M38-M41-M50-M54</f>
        <v>0</v>
      </c>
      <c r="N75" s="1450">
        <f>N38-N41-N50-N54</f>
        <v>0</v>
      </c>
      <c r="O75" s="1508">
        <f>O38-O41-O50-O54</f>
        <v>0</v>
      </c>
      <c r="P75" s="1953"/>
      <c r="Q75" s="1058"/>
      <c r="R75" s="1450">
        <f>R38-R41-R50-R54</f>
        <v>0</v>
      </c>
      <c r="S75" s="1450">
        <f>S38-S41-S50-S54</f>
        <v>0</v>
      </c>
      <c r="T75" s="1508">
        <f>T38-T41-T50-T54</f>
        <v>0</v>
      </c>
      <c r="U75" s="3470"/>
      <c r="V75" s="3470"/>
      <c r="W75" s="1450">
        <f>W38-W41-W50-W54</f>
        <v>-104096.490864996</v>
      </c>
      <c r="X75" s="1450">
        <f>X38-X41-X50-X54</f>
        <v>-382960.15775058302</v>
      </c>
      <c r="Y75" s="1508">
        <f>Y38-Y41-Y50-Y54</f>
        <v>-487056.648615579</v>
      </c>
      <c r="Z75" s="3470"/>
      <c r="AA75" s="3470"/>
      <c r="AB75" s="1450">
        <f>AB38-AB41-AB50-AB54</f>
        <v>0</v>
      </c>
      <c r="AC75" s="1450">
        <f>AC38-AC41-AC50-AC54</f>
        <v>0</v>
      </c>
      <c r="AD75" s="1508">
        <f>AD38-AD41-AD50-AD54</f>
        <v>0</v>
      </c>
      <c r="AE75" s="1953"/>
      <c r="AF75" s="1058"/>
      <c r="AG75" s="1450">
        <f>AG38-AG41-AG50-AG54</f>
        <v>0</v>
      </c>
      <c r="AH75" s="1450">
        <f>AH38-AH41-AH50-AH54</f>
        <v>0</v>
      </c>
      <c r="AI75" s="1508">
        <f>AI38-AI41-AI50-AI54</f>
        <v>0</v>
      </c>
      <c r="AJ75" s="1953"/>
      <c r="AK75" s="1058"/>
      <c r="AL75" s="1450">
        <f>AL38-AL41-AL50-AL54</f>
        <v>0</v>
      </c>
      <c r="AM75" s="1450">
        <f>AM38-AM41-AM50-AM54</f>
        <v>0</v>
      </c>
      <c r="AN75" s="1508">
        <f>AN38-AN41-AN50-AN54</f>
        <v>0</v>
      </c>
      <c r="AO75" s="1953"/>
      <c r="AP75" s="1058"/>
      <c r="AQ75" s="1450">
        <f>AQ38-AQ41-AQ50-AQ54</f>
        <v>0</v>
      </c>
      <c r="AR75" s="1450">
        <f>AR38-AR41-AR50-AR54</f>
        <v>0</v>
      </c>
      <c r="AS75" s="1508">
        <f>AS38-AS41-AS50-AS54</f>
        <v>0</v>
      </c>
      <c r="AT75" s="1953"/>
      <c r="AU75" s="1058"/>
      <c r="AV75" s="1450">
        <f>AV38-AV41-AV50-AV54</f>
        <v>0</v>
      </c>
      <c r="AW75" s="1450">
        <f>AW38-AW41-AW50-AW54</f>
        <v>0</v>
      </c>
      <c r="AX75" s="1508">
        <f>AX38-AX41-AX50-AX54</f>
        <v>0</v>
      </c>
      <c r="AY75" s="1953"/>
      <c r="AZ75" s="1058"/>
      <c r="BA75" s="1450">
        <f>BA38-BA41-BA50-BA54</f>
        <v>-104096.490864996</v>
      </c>
      <c r="BB75" s="1450">
        <f>BB38-BB41-BB50-BB54</f>
        <v>-382960.15775058302</v>
      </c>
      <c r="BC75" s="1508">
        <f>BC38-BC41-BC50-BC54</f>
        <v>-487056.648615579</v>
      </c>
      <c r="BD75" s="1953"/>
      <c r="BE75" s="1058"/>
      <c r="BF75" s="1450">
        <f>BF38-BF41-BF50-BF54</f>
        <v>0</v>
      </c>
      <c r="BG75" s="1450">
        <f>BG38-BG41-BG50-BG54</f>
        <v>0</v>
      </c>
      <c r="BH75" s="1508">
        <f>BH38-BH41-BH50-BH54</f>
        <v>0</v>
      </c>
      <c r="BI75" s="1953"/>
      <c r="BJ75" s="1058"/>
      <c r="BK75" s="1450">
        <f>BK38-BK41-BK50-BK54</f>
        <v>0</v>
      </c>
      <c r="BL75" s="1450">
        <f>BL38-BL41-BL50-BL54</f>
        <v>0</v>
      </c>
      <c r="BM75" s="1508">
        <f>BM38-BM41-BM50-BM54</f>
        <v>0</v>
      </c>
      <c r="BN75" s="1953"/>
      <c r="BO75" s="1058"/>
      <c r="BP75" s="1450">
        <f>BP38-BP41-BP50-BP54</f>
        <v>0</v>
      </c>
      <c r="BQ75" s="1450">
        <f>BQ38-BQ41-BQ50-BQ54</f>
        <v>0</v>
      </c>
      <c r="BR75" s="1508">
        <f>BR38-BR41-BR50-BR54</f>
        <v>0</v>
      </c>
      <c r="BS75" s="1953"/>
      <c r="BT75" s="1058"/>
      <c r="BU75" s="1450">
        <f>BU38-BU41-BU50-BU54</f>
        <v>0</v>
      </c>
      <c r="BV75" s="1450">
        <f>BV38-BV41-BV50-BV54</f>
        <v>0</v>
      </c>
      <c r="BW75" s="1508">
        <f>BW38-BW41-BW50-BW54</f>
        <v>0</v>
      </c>
      <c r="BX75" s="1953"/>
      <c r="BY75" s="1058"/>
      <c r="BZ75" s="1450">
        <f>BZ38-BZ41-BZ50-BZ54</f>
        <v>0</v>
      </c>
      <c r="CA75" s="1450">
        <f>CA38-CA41-CA50-CA54</f>
        <v>0</v>
      </c>
      <c r="CB75" s="1508">
        <f>CB38-CB41-CB50-CB54</f>
        <v>0</v>
      </c>
      <c r="CC75" s="1953"/>
      <c r="CD75" s="1058"/>
      <c r="CE75" s="1450">
        <f>CE38-CE41-CE50-CE54</f>
        <v>0</v>
      </c>
      <c r="CF75" s="1450">
        <f>CF38-CF41-CF50-CF54</f>
        <v>0</v>
      </c>
      <c r="CG75" s="1508">
        <f>CG38-CG41-CG50-CG54</f>
        <v>0</v>
      </c>
      <c r="CH75" s="1953"/>
      <c r="CI75" s="1058"/>
      <c r="CJ75" s="1450">
        <f>CJ38-CJ41-CJ50-CJ54</f>
        <v>-104096.490864996</v>
      </c>
      <c r="CK75" s="1450">
        <f>CK38-CK41-CK50-CK54</f>
        <v>-382960.15775058302</v>
      </c>
      <c r="CL75" s="1508">
        <f>CL38-CL41-CL50-CL54</f>
        <v>-487056.648615579</v>
      </c>
      <c r="CM75" s="1953"/>
      <c r="CN75" s="1953"/>
      <c r="CP75" s="3471">
        <f>CP38-CP41-CP50-CP54</f>
        <v>7003053.3403999992</v>
      </c>
      <c r="CQ75" s="3471">
        <f>CQ38-CQ41-CQ50-CQ54</f>
        <v>-473776.92861557903</v>
      </c>
      <c r="CR75" s="3471">
        <f>CR38-CR41-CR50-CR54</f>
        <v>7476830.2690155804</v>
      </c>
      <c r="CT75" s="2624"/>
    </row>
    <row r="76" spans="1:98" s="1396" customFormat="1" ht="13.8">
      <c r="A76" s="1566"/>
      <c r="B76" s="1429" t="s">
        <v>49</v>
      </c>
      <c r="C76" s="2003">
        <f>IFERROR(C75/C5,0)</f>
        <v>0</v>
      </c>
      <c r="D76" s="2003">
        <f>IFERROR(D75/D5,0)</f>
        <v>0</v>
      </c>
      <c r="E76" s="2004">
        <f>IFERROR(E75/E5,0)</f>
        <v>0</v>
      </c>
      <c r="F76" s="2004"/>
      <c r="G76" s="1056"/>
      <c r="H76" s="2003">
        <f>IFERROR(H75/H5,0)</f>
        <v>0</v>
      </c>
      <c r="I76" s="2003">
        <f>IFERROR(I75/I5,0)</f>
        <v>0</v>
      </c>
      <c r="J76" s="2004">
        <f>IFERROR(J75/J5,0)</f>
        <v>0</v>
      </c>
      <c r="K76" s="2004"/>
      <c r="L76" s="1056"/>
      <c r="M76" s="2003">
        <f>IFERROR(M75/M5,0)</f>
        <v>0</v>
      </c>
      <c r="N76" s="2003">
        <f>IFERROR(N75/N5,0)</f>
        <v>0</v>
      </c>
      <c r="O76" s="2004">
        <f>IFERROR(O75/O5,0)</f>
        <v>0</v>
      </c>
      <c r="P76" s="2004"/>
      <c r="Q76" s="1056"/>
      <c r="R76" s="3459"/>
      <c r="S76" s="3459"/>
      <c r="T76" s="3459"/>
      <c r="U76" s="3459"/>
      <c r="V76" s="3459"/>
      <c r="W76" s="3459"/>
      <c r="X76" s="3459"/>
      <c r="Y76" s="3459"/>
      <c r="Z76" s="3459"/>
      <c r="AA76" s="3459"/>
      <c r="AB76" s="2003">
        <f>IFERROR(AB75/AB5,0)</f>
        <v>0</v>
      </c>
      <c r="AC76" s="2003">
        <f>IFERROR(AC75/AC5,0)</f>
        <v>0</v>
      </c>
      <c r="AD76" s="2004">
        <f>IFERROR(AD75/AD5,0)</f>
        <v>0</v>
      </c>
      <c r="AE76" s="2004"/>
      <c r="AF76" s="1056"/>
      <c r="AG76" s="2003">
        <f>IFERROR(AG75/AG5,0)</f>
        <v>0</v>
      </c>
      <c r="AH76" s="2003">
        <f>IFERROR(AH75/AH5,0)</f>
        <v>0</v>
      </c>
      <c r="AI76" s="2004">
        <f>IFERROR(AI75/AI5,0)</f>
        <v>0</v>
      </c>
      <c r="AJ76" s="2004"/>
      <c r="AK76" s="1056"/>
      <c r="AL76" s="2003">
        <f>IFERROR(AL75/AL5,0)</f>
        <v>0</v>
      </c>
      <c r="AM76" s="2003">
        <f>IFERROR(AM75/AM5,0)</f>
        <v>0</v>
      </c>
      <c r="AN76" s="2004">
        <f>IFERROR(AN75/AN5,0)</f>
        <v>0</v>
      </c>
      <c r="AO76" s="2004"/>
      <c r="AP76" s="1056"/>
      <c r="AQ76" s="2003">
        <f>IFERROR(AQ75/AQ5,0)</f>
        <v>0</v>
      </c>
      <c r="AR76" s="2003">
        <f>IFERROR(AR75/AR5,0)</f>
        <v>0</v>
      </c>
      <c r="AS76" s="2004">
        <f>IFERROR(AS75/AS5,0)</f>
        <v>0</v>
      </c>
      <c r="AT76" s="2004"/>
      <c r="AU76" s="1056"/>
      <c r="AV76" s="2003">
        <f>IFERROR(AV75/AV5,0)</f>
        <v>0</v>
      </c>
      <c r="AW76" s="2003">
        <f>IFERROR(AW75/AW5,0)</f>
        <v>0</v>
      </c>
      <c r="AX76" s="2004">
        <f>IFERROR(AX75/AX5,0)</f>
        <v>0</v>
      </c>
      <c r="AY76" s="2004"/>
      <c r="AZ76" s="1056"/>
      <c r="BA76" s="2003">
        <f>IFERROR(BA75/BA5,0)</f>
        <v>0</v>
      </c>
      <c r="BB76" s="2003">
        <f>IFERROR(BB75/BB5,0)</f>
        <v>0</v>
      </c>
      <c r="BC76" s="2004">
        <f>IFERROR(BC75/BC5,0)</f>
        <v>0</v>
      </c>
      <c r="BD76" s="2004"/>
      <c r="BE76" s="1056"/>
      <c r="BF76" s="2003">
        <f>IFERROR(BF75/BF5,0)</f>
        <v>0</v>
      </c>
      <c r="BG76" s="2003">
        <f>IFERROR(BG75/BG5,0)</f>
        <v>0</v>
      </c>
      <c r="BH76" s="2004">
        <f>IFERROR(BH75/BH5,0)</f>
        <v>0</v>
      </c>
      <c r="BI76" s="2004"/>
      <c r="BJ76" s="1056"/>
      <c r="BK76" s="2003">
        <f>IFERROR(BK75/BK5,0)</f>
        <v>0</v>
      </c>
      <c r="BL76" s="2003">
        <f>IFERROR(BL75/BL5,0)</f>
        <v>0</v>
      </c>
      <c r="BM76" s="2004">
        <f>IFERROR(BM75/BM5,0)</f>
        <v>0</v>
      </c>
      <c r="BN76" s="2004"/>
      <c r="BO76" s="1056"/>
      <c r="BP76" s="2003">
        <f>IFERROR(BP75/BP5,0)</f>
        <v>0</v>
      </c>
      <c r="BQ76" s="2003">
        <f>IFERROR(BQ75/BQ5,0)</f>
        <v>0</v>
      </c>
      <c r="BR76" s="2004">
        <f>IFERROR(BR75/BR5,0)</f>
        <v>0</v>
      </c>
      <c r="BS76" s="2004"/>
      <c r="BT76" s="1056"/>
      <c r="BU76" s="2003">
        <f>IFERROR(BU75/BU5,0)</f>
        <v>0</v>
      </c>
      <c r="BV76" s="2003">
        <f>IFERROR(BV75/BV5,0)</f>
        <v>0</v>
      </c>
      <c r="BW76" s="2004">
        <f>IFERROR(BW75/BW5,0)</f>
        <v>0</v>
      </c>
      <c r="BX76" s="2004"/>
      <c r="BY76" s="1056"/>
      <c r="BZ76" s="2003">
        <f>IFERROR(BZ75/BZ5,0)</f>
        <v>0</v>
      </c>
      <c r="CA76" s="2003">
        <f>IFERROR(CA75/CA5,0)</f>
        <v>0</v>
      </c>
      <c r="CB76" s="2004">
        <f>IFERROR(CB75/CB5,0)</f>
        <v>0</v>
      </c>
      <c r="CC76" s="2004"/>
      <c r="CD76" s="1056"/>
      <c r="CE76" s="2003">
        <f>IFERROR(CE75/CE5,0)</f>
        <v>0</v>
      </c>
      <c r="CF76" s="2003">
        <f>IFERROR(CF75/CF5,0)</f>
        <v>0</v>
      </c>
      <c r="CG76" s="2004">
        <f>IFERROR(CG75/CG5,0)</f>
        <v>0</v>
      </c>
      <c r="CH76" s="2004"/>
      <c r="CI76" s="1056"/>
      <c r="CJ76" s="2003">
        <f>IFERROR(CJ75/CJ5,0)</f>
        <v>0</v>
      </c>
      <c r="CK76" s="2003">
        <f>IFERROR(CK75/CK5,0)</f>
        <v>0</v>
      </c>
      <c r="CL76" s="2004">
        <f>IFERROR(CL75/CL5,0)</f>
        <v>0</v>
      </c>
      <c r="CM76" s="2004"/>
      <c r="CN76" s="2004"/>
      <c r="CP76" s="2004">
        <f>CP75/CP5</f>
        <v>0.26117835869346306</v>
      </c>
      <c r="CQ76" s="2004">
        <f>IFERROR(CQ75/CQ5,0)</f>
        <v>0</v>
      </c>
      <c r="CR76" s="2004">
        <f>CR75/CR5</f>
        <v>0.27884783436185484</v>
      </c>
      <c r="CT76" s="2624"/>
    </row>
    <row r="77" spans="1:98" s="1396" customFormat="1" ht="14.4" outlineLevel="1" thickBot="1">
      <c r="A77" s="1566"/>
      <c r="B77" s="4456" t="s">
        <v>9</v>
      </c>
      <c r="C77" s="4457">
        <f>C78-C79</f>
        <v>0</v>
      </c>
      <c r="D77" s="4457">
        <f>D78-D79</f>
        <v>0</v>
      </c>
      <c r="E77" s="4458">
        <f>E78-E79</f>
        <v>0</v>
      </c>
      <c r="F77" s="4459"/>
      <c r="G77" s="4460"/>
      <c r="H77" s="4457">
        <f>H78-H79</f>
        <v>0</v>
      </c>
      <c r="I77" s="4457">
        <f>I78-I79</f>
        <v>0</v>
      </c>
      <c r="J77" s="4458">
        <f>J78-J79</f>
        <v>0</v>
      </c>
      <c r="K77" s="4459"/>
      <c r="L77" s="4460"/>
      <c r="M77" s="4457">
        <f>M78-M79</f>
        <v>0</v>
      </c>
      <c r="N77" s="4457">
        <f>N78-N79</f>
        <v>0</v>
      </c>
      <c r="O77" s="4458">
        <f>O78-O79</f>
        <v>0</v>
      </c>
      <c r="P77" s="4459"/>
      <c r="Q77" s="4460"/>
      <c r="R77" s="4457">
        <f>R78-R79</f>
        <v>0</v>
      </c>
      <c r="S77" s="4457">
        <f>S78-S79</f>
        <v>0</v>
      </c>
      <c r="T77" s="4458">
        <f>T78-T79</f>
        <v>0</v>
      </c>
      <c r="U77" s="4461"/>
      <c r="V77" s="4461"/>
      <c r="W77" s="4457">
        <f>W78-W79</f>
        <v>-57225.78353597215</v>
      </c>
      <c r="X77" s="4457">
        <f>X78-X79</f>
        <v>0</v>
      </c>
      <c r="Y77" s="4458">
        <f>Y78-Y79</f>
        <v>-57225.78353597215</v>
      </c>
      <c r="Z77" s="4461"/>
      <c r="AA77" s="4461"/>
      <c r="AB77" s="4457">
        <f>AB78-AB79</f>
        <v>0</v>
      </c>
      <c r="AC77" s="4457">
        <f>AC78-AC79</f>
        <v>0</v>
      </c>
      <c r="AD77" s="4458">
        <f>AD78-AD79</f>
        <v>0</v>
      </c>
      <c r="AE77" s="4459"/>
      <c r="AF77" s="4460"/>
      <c r="AG77" s="4457">
        <f>AG78-AG79</f>
        <v>0</v>
      </c>
      <c r="AH77" s="4457">
        <f>AH78-AH79</f>
        <v>0</v>
      </c>
      <c r="AI77" s="4458">
        <f>AI78-AI79</f>
        <v>0</v>
      </c>
      <c r="AJ77" s="4459"/>
      <c r="AK77" s="4460"/>
      <c r="AL77" s="4457">
        <f>AL78-AL79</f>
        <v>0</v>
      </c>
      <c r="AM77" s="4457">
        <f>AM78-AM79</f>
        <v>0</v>
      </c>
      <c r="AN77" s="4458">
        <f>AN78-AN79</f>
        <v>0</v>
      </c>
      <c r="AO77" s="4459"/>
      <c r="AP77" s="4460"/>
      <c r="AQ77" s="4457">
        <f>AQ78-AQ79</f>
        <v>0</v>
      </c>
      <c r="AR77" s="4457">
        <f>AR78-AR79</f>
        <v>0</v>
      </c>
      <c r="AS77" s="4458">
        <f>AS78-AS79</f>
        <v>0</v>
      </c>
      <c r="AT77" s="4459"/>
      <c r="AU77" s="4460"/>
      <c r="AV77" s="4457">
        <f>AV78-AV79</f>
        <v>0</v>
      </c>
      <c r="AW77" s="4457">
        <f>AW78-AW79</f>
        <v>0</v>
      </c>
      <c r="AX77" s="4458">
        <f>AX78-AX79</f>
        <v>0</v>
      </c>
      <c r="AY77" s="4459"/>
      <c r="AZ77" s="4460"/>
      <c r="BA77" s="4457">
        <f>BA78-BA79</f>
        <v>-57225.78353597215</v>
      </c>
      <c r="BB77" s="4457">
        <f>BB78-BB79</f>
        <v>0</v>
      </c>
      <c r="BC77" s="4458">
        <f>BC78-BC79</f>
        <v>-57225.78353597215</v>
      </c>
      <c r="BD77" s="4459"/>
      <c r="BE77" s="4460"/>
      <c r="BF77" s="4457">
        <f>BF78-BF79</f>
        <v>0</v>
      </c>
      <c r="BG77" s="4457">
        <f>BG78-BG79</f>
        <v>0</v>
      </c>
      <c r="BH77" s="4458">
        <f>BH78-BH79</f>
        <v>0</v>
      </c>
      <c r="BI77" s="4459"/>
      <c r="BJ77" s="4460"/>
      <c r="BK77" s="4457">
        <f>BK78-BK79</f>
        <v>0</v>
      </c>
      <c r="BL77" s="4457">
        <f>BL78-BL79</f>
        <v>0</v>
      </c>
      <c r="BM77" s="4458">
        <f>BM78-BM79</f>
        <v>0</v>
      </c>
      <c r="BN77" s="4459"/>
      <c r="BO77" s="4460"/>
      <c r="BP77" s="4457">
        <f>BP78-BP79</f>
        <v>0</v>
      </c>
      <c r="BQ77" s="4457">
        <f>BQ78-BQ79</f>
        <v>0</v>
      </c>
      <c r="BR77" s="4458">
        <f>BR78-BR79</f>
        <v>0</v>
      </c>
      <c r="BS77" s="4459"/>
      <c r="BT77" s="4460"/>
      <c r="BU77" s="4457">
        <f>BU78-BU79</f>
        <v>0</v>
      </c>
      <c r="BV77" s="4457">
        <f>BV78-BV79</f>
        <v>0</v>
      </c>
      <c r="BW77" s="4458">
        <f>BW78-BW79</f>
        <v>0</v>
      </c>
      <c r="BX77" s="4459"/>
      <c r="BY77" s="4460"/>
      <c r="BZ77" s="4457">
        <f>BZ78-BZ79</f>
        <v>0</v>
      </c>
      <c r="CA77" s="4457">
        <f>CA78-CA79</f>
        <v>0</v>
      </c>
      <c r="CB77" s="4458">
        <f>CB78-CB79</f>
        <v>0</v>
      </c>
      <c r="CC77" s="4459"/>
      <c r="CD77" s="4460"/>
      <c r="CE77" s="4457">
        <f>CE78-CE79</f>
        <v>0</v>
      </c>
      <c r="CF77" s="4457">
        <f>CF78-CF79</f>
        <v>0</v>
      </c>
      <c r="CG77" s="4458">
        <f>CG78-CG79</f>
        <v>0</v>
      </c>
      <c r="CH77" s="4459"/>
      <c r="CI77" s="4460"/>
      <c r="CJ77" s="4457">
        <f>CJ78-CJ79</f>
        <v>-57225.78353597215</v>
      </c>
      <c r="CK77" s="4457">
        <f>CK78-CK79</f>
        <v>0</v>
      </c>
      <c r="CL77" s="4458">
        <f>CL78-CL79</f>
        <v>-57225.78353597215</v>
      </c>
      <c r="CM77" s="4459"/>
      <c r="CN77" s="4459"/>
      <c r="CP77" s="4458">
        <f>CP78-CP79</f>
        <v>-366171.36000000004</v>
      </c>
      <c r="CQ77" s="4458">
        <f>CQ78-CQ79</f>
        <v>-57225.78353597215</v>
      </c>
      <c r="CR77" s="4458"/>
      <c r="CT77" s="2624"/>
    </row>
    <row r="78" spans="1:98" s="1396" customFormat="1" ht="13.8" outlineLevel="2">
      <c r="A78" s="1405"/>
      <c r="B78" s="1400" t="s">
        <v>43</v>
      </c>
      <c r="C78" s="3341"/>
      <c r="D78" s="3341"/>
      <c r="E78" s="3391">
        <f>C78+D78*1.15</f>
        <v>0</v>
      </c>
      <c r="F78" s="3391"/>
      <c r="G78" s="3473"/>
      <c r="H78" s="3341"/>
      <c r="I78" s="3341"/>
      <c r="J78" s="3391">
        <f>H78+I78*1.15</f>
        <v>0</v>
      </c>
      <c r="K78" s="4428" t="e">
        <f t="shared" ref="K78:K79" si="208">J78/J$89</f>
        <v>#DIV/0!</v>
      </c>
      <c r="L78" s="3473"/>
      <c r="M78" s="3341"/>
      <c r="N78" s="3341"/>
      <c r="O78" s="3391">
        <f>M78+N78*1.15</f>
        <v>0</v>
      </c>
      <c r="P78" s="4428" t="e">
        <f t="shared" ref="P78:P79" si="209">O78/O$89</f>
        <v>#DIV/0!</v>
      </c>
      <c r="Q78" s="3473"/>
      <c r="R78" s="3342">
        <f t="shared" ref="R78:S79" si="210">M78+H78+C78</f>
        <v>0</v>
      </c>
      <c r="S78" s="3342">
        <f t="shared" si="210"/>
        <v>0</v>
      </c>
      <c r="T78" s="2012">
        <f t="shared" ref="T78:T79" si="211">R78+S78</f>
        <v>0</v>
      </c>
      <c r="U78" s="3474"/>
      <c r="V78" s="3474"/>
      <c r="W78" s="3342">
        <f t="shared" ref="W78:X79" si="212">AB78+AG78+AL78+AV78+BA78+BF78+BK78+BP78+BU78+BZ78+CE78+AQ78</f>
        <v>0</v>
      </c>
      <c r="X78" s="3342">
        <f t="shared" si="212"/>
        <v>0</v>
      </c>
      <c r="Y78" s="2012">
        <f t="shared" ref="Y78:Y79" si="213">W78+X78</f>
        <v>0</v>
      </c>
      <c r="Z78" s="3474"/>
      <c r="AA78" s="3474"/>
      <c r="AB78" s="3341"/>
      <c r="AC78" s="3341"/>
      <c r="AD78" s="3391">
        <f>AB78+AC78*1.15</f>
        <v>0</v>
      </c>
      <c r="AE78" s="3391"/>
      <c r="AF78" s="3473"/>
      <c r="AG78" s="3341"/>
      <c r="AH78" s="3341"/>
      <c r="AI78" s="3391">
        <f>AG78+AH78*1.15</f>
        <v>0</v>
      </c>
      <c r="AJ78" s="3391"/>
      <c r="AK78" s="3473"/>
      <c r="AL78" s="3341"/>
      <c r="AM78" s="3341"/>
      <c r="AN78" s="3391">
        <f>AL78+AM78*1.15</f>
        <v>0</v>
      </c>
      <c r="AO78" s="3391"/>
      <c r="AP78" s="3473"/>
      <c r="AQ78" s="3341"/>
      <c r="AR78" s="3341"/>
      <c r="AS78" s="3391">
        <f>AQ78+AR78*1.15</f>
        <v>0</v>
      </c>
      <c r="AT78" s="3391"/>
      <c r="AU78" s="3473"/>
      <c r="AV78" s="3341"/>
      <c r="AW78" s="3341"/>
      <c r="AX78" s="3391">
        <f>AV78+AW78*1.15</f>
        <v>0</v>
      </c>
      <c r="AY78" s="3391"/>
      <c r="AZ78" s="3473"/>
      <c r="BA78" s="3341"/>
      <c r="BB78" s="3341"/>
      <c r="BC78" s="3391">
        <f>BA78+BB78*1.15</f>
        <v>0</v>
      </c>
      <c r="BD78" s="3391"/>
      <c r="BE78" s="3473"/>
      <c r="BF78" s="3341"/>
      <c r="BG78" s="3341"/>
      <c r="BH78" s="3391">
        <f>BF78+BG78*1.15</f>
        <v>0</v>
      </c>
      <c r="BI78" s="3391"/>
      <c r="BJ78" s="3473"/>
      <c r="BK78" s="3341"/>
      <c r="BL78" s="3341"/>
      <c r="BM78" s="3391">
        <f>BK78+BL78*1.15</f>
        <v>0</v>
      </c>
      <c r="BN78" s="3391"/>
      <c r="BO78" s="3473"/>
      <c r="BP78" s="3341"/>
      <c r="BQ78" s="3341"/>
      <c r="BR78" s="3391">
        <f>BP78+BQ78*1.15</f>
        <v>0</v>
      </c>
      <c r="BS78" s="3391"/>
      <c r="BT78" s="3473"/>
      <c r="BU78" s="3341"/>
      <c r="BV78" s="3341"/>
      <c r="BW78" s="3391">
        <f>BU78+BV78*1.15</f>
        <v>0</v>
      </c>
      <c r="BX78" s="3391"/>
      <c r="BY78" s="3473"/>
      <c r="BZ78" s="3341"/>
      <c r="CA78" s="3341"/>
      <c r="CB78" s="3391">
        <f>BZ78+CA78*1.15</f>
        <v>0</v>
      </c>
      <c r="CC78" s="3391"/>
      <c r="CD78" s="3473"/>
      <c r="CE78" s="3341"/>
      <c r="CF78" s="3341"/>
      <c r="CG78" s="3391">
        <f>CE78+CF78*1.15</f>
        <v>0</v>
      </c>
      <c r="CH78" s="3391"/>
      <c r="CI78" s="3473"/>
      <c r="CJ78" s="3341">
        <f t="shared" ref="CJ78:CK79" si="214">C78+H78+M78+W78</f>
        <v>0</v>
      </c>
      <c r="CK78" s="3341">
        <f t="shared" si="214"/>
        <v>0</v>
      </c>
      <c r="CL78" s="3391">
        <f>CJ78+CK78*1.15</f>
        <v>0</v>
      </c>
      <c r="CM78" s="3391"/>
      <c r="CN78" s="3391"/>
      <c r="CP78" s="3475">
        <f>CN78+CO78*1.15</f>
        <v>0</v>
      </c>
      <c r="CQ78" s="3475">
        <f>CO78+CP78*1.15</f>
        <v>0</v>
      </c>
      <c r="CR78" s="4614"/>
      <c r="CT78" s="2624"/>
    </row>
    <row r="79" spans="1:98" s="1396" customFormat="1" ht="13.8" outlineLevel="2">
      <c r="A79" s="1405"/>
      <c r="B79" s="4462" t="s">
        <v>79</v>
      </c>
      <c r="C79" s="3341">
        <f>(D8+D41+D50+D54)/(1-'расчет 2024'!$M$21)*'расчет 2024'!$M$21</f>
        <v>0</v>
      </c>
      <c r="D79" s="3341"/>
      <c r="E79" s="2012">
        <f>C79+D79</f>
        <v>0</v>
      </c>
      <c r="F79" s="4611"/>
      <c r="G79" s="4633"/>
      <c r="H79" s="3341">
        <f>(I8+I41+I50+I54)/(1-'расчет 2024'!$M$23)*'расчет 2024'!$M$23</f>
        <v>0</v>
      </c>
      <c r="I79" s="3341"/>
      <c r="J79" s="2012">
        <f>H79+I79</f>
        <v>0</v>
      </c>
      <c r="K79" s="4428" t="e">
        <f t="shared" si="208"/>
        <v>#DIV/0!</v>
      </c>
      <c r="L79" s="4633"/>
      <c r="M79" s="3341">
        <f>(N8+N41+N50+N54)/(1-'расчет 2024'!$M$23)*'расчет 2024'!$M$23</f>
        <v>0</v>
      </c>
      <c r="N79" s="3341"/>
      <c r="O79" s="2012">
        <f>M79+N79</f>
        <v>0</v>
      </c>
      <c r="P79" s="4428" t="e">
        <f t="shared" si="209"/>
        <v>#DIV/0!</v>
      </c>
      <c r="Q79" s="4633"/>
      <c r="R79" s="3342">
        <f t="shared" si="210"/>
        <v>0</v>
      </c>
      <c r="S79" s="3342">
        <f t="shared" si="210"/>
        <v>0</v>
      </c>
      <c r="T79" s="2012">
        <f t="shared" si="211"/>
        <v>0</v>
      </c>
      <c r="U79" s="3455"/>
      <c r="V79" s="3455"/>
      <c r="W79" s="3342">
        <f t="shared" si="212"/>
        <v>57225.78353597215</v>
      </c>
      <c r="X79" s="3342">
        <f t="shared" si="212"/>
        <v>0</v>
      </c>
      <c r="Y79" s="2012">
        <f t="shared" si="213"/>
        <v>57225.78353597215</v>
      </c>
      <c r="Z79" s="3455"/>
      <c r="AA79" s="3455"/>
      <c r="AB79" s="3341">
        <f>(AC8+AC41+AC50+AC54)/(1-'расчет 2024'!$M$23)*'расчет 2024'!$M$23</f>
        <v>0</v>
      </c>
      <c r="AC79" s="3341"/>
      <c r="AD79" s="2012">
        <f>AB79+AC79</f>
        <v>0</v>
      </c>
      <c r="AE79" s="4611"/>
      <c r="AF79" s="4633"/>
      <c r="AG79" s="3341">
        <f>(AH8+AH41+AH50+AH54)/(1-'расчет 2024'!$M$23)*'расчет 2024'!$M$23</f>
        <v>0</v>
      </c>
      <c r="AH79" s="3341"/>
      <c r="AI79" s="2012">
        <f>AG79+AH79</f>
        <v>0</v>
      </c>
      <c r="AJ79" s="4611"/>
      <c r="AK79" s="4633"/>
      <c r="AL79" s="3341">
        <f>(AM8+AM41+AM50+AM54)/(1-'расчет 2024'!$M$23)*'расчет 2024'!$M$23</f>
        <v>0</v>
      </c>
      <c r="AM79" s="3341"/>
      <c r="AN79" s="2012">
        <f>AL79+AM79</f>
        <v>0</v>
      </c>
      <c r="AO79" s="4611"/>
      <c r="AP79" s="4633"/>
      <c r="AQ79" s="3341">
        <f>(AR8+AR41+AR50+AR54)/(1-'расчет 2024'!$M$23)*'расчет 2024'!$M$23</f>
        <v>0</v>
      </c>
      <c r="AR79" s="3341"/>
      <c r="AS79" s="2012">
        <f>AQ79+AR79</f>
        <v>0</v>
      </c>
      <c r="AT79" s="4611"/>
      <c r="AU79" s="4633"/>
      <c r="AV79" s="3341">
        <f>(AW8+AW41+AW50+AW54)/(1-'расчет 2024'!$M$28)*'расчет 2024'!$M$28</f>
        <v>0</v>
      </c>
      <c r="AW79" s="3341"/>
      <c r="AX79" s="2012">
        <f>AV79+AW79</f>
        <v>0</v>
      </c>
      <c r="AY79" s="4611"/>
      <c r="AZ79" s="4633"/>
      <c r="BA79" s="3341">
        <f>(BB8+BB41+BB50+BB54)/(1-'расчет 2024'!$M$28)*'расчет 2024'!$M$28</f>
        <v>57225.78353597215</v>
      </c>
      <c r="BB79" s="3341"/>
      <c r="BC79" s="2012">
        <f>BA79+BB79</f>
        <v>57225.78353597215</v>
      </c>
      <c r="BD79" s="4611"/>
      <c r="BE79" s="4633"/>
      <c r="BF79" s="3341">
        <f>(BG8+BG41+BG50+BG54)/(1-'расчет 2024'!$M$23)*'расчет 2024'!$M$23</f>
        <v>0</v>
      </c>
      <c r="BG79" s="3341"/>
      <c r="BH79" s="2012">
        <f>BF79+BG79</f>
        <v>0</v>
      </c>
      <c r="BI79" s="4611"/>
      <c r="BJ79" s="4633"/>
      <c r="BK79" s="3341"/>
      <c r="BL79" s="3341"/>
      <c r="BM79" s="2012">
        <f>BK79+BL79</f>
        <v>0</v>
      </c>
      <c r="BN79" s="4611"/>
      <c r="BO79" s="4633"/>
      <c r="BP79" s="3341">
        <f>(BQ8+BQ41+BQ50+BQ54)/(1-'расчет 2024'!$M$23)*'расчет 2024'!$M$23</f>
        <v>0</v>
      </c>
      <c r="BQ79" s="3341"/>
      <c r="BR79" s="2012">
        <f>BP79+BQ79</f>
        <v>0</v>
      </c>
      <c r="BS79" s="4611"/>
      <c r="BT79" s="4633"/>
      <c r="BU79" s="3341">
        <f>(BV8+BV41+BV50+BV54)/(1-'расчет 2024'!$M$23)*'расчет 2024'!$M$23</f>
        <v>0</v>
      </c>
      <c r="BV79" s="3341"/>
      <c r="BW79" s="2012">
        <f>BU79+BV79</f>
        <v>0</v>
      </c>
      <c r="BX79" s="4611"/>
      <c r="BY79" s="4633"/>
      <c r="BZ79" s="3341">
        <f>(CA8+CA41+CA50+CA54)/(1-'расчет 2024'!$M$23)*'расчет 2024'!$M$23</f>
        <v>0</v>
      </c>
      <c r="CA79" s="3341"/>
      <c r="CB79" s="2012">
        <f>BZ79+CA79</f>
        <v>0</v>
      </c>
      <c r="CC79" s="4611"/>
      <c r="CD79" s="4633"/>
      <c r="CE79" s="3341">
        <f>(CF8+CF41+CF50+CF54)/(1-'расчет 2024'!$M$23)*'расчет 2024'!$M$23</f>
        <v>0</v>
      </c>
      <c r="CF79" s="3341"/>
      <c r="CG79" s="2012">
        <f>CE79+CF79</f>
        <v>0</v>
      </c>
      <c r="CH79" s="4611"/>
      <c r="CI79" s="4633"/>
      <c r="CJ79" s="3341">
        <f t="shared" si="214"/>
        <v>57225.78353597215</v>
      </c>
      <c r="CK79" s="3341">
        <f t="shared" si="214"/>
        <v>0</v>
      </c>
      <c r="CL79" s="2012">
        <f t="shared" ref="CL79" si="215">CJ79+CK79*1</f>
        <v>57225.78353597215</v>
      </c>
      <c r="CM79" s="4611"/>
      <c r="CN79" s="4611"/>
      <c r="CP79" s="2012">
        <f>9000+(51024.48)*CT4</f>
        <v>366171.36000000004</v>
      </c>
      <c r="CQ79" s="2012">
        <f>CL79</f>
        <v>57225.78353597215</v>
      </c>
      <c r="CR79" s="4614">
        <f t="shared" ref="CR79" si="216">CP79-CQ79</f>
        <v>308945.57646402786</v>
      </c>
      <c r="CT79" s="2624"/>
    </row>
    <row r="80" spans="1:98" ht="13.8" outlineLevel="2">
      <c r="A80" s="1397"/>
      <c r="B80" s="4463"/>
      <c r="C80" s="3341"/>
      <c r="D80" s="3341"/>
      <c r="E80" s="4612"/>
      <c r="F80" s="4612"/>
      <c r="G80" s="4650"/>
      <c r="H80" s="3341"/>
      <c r="I80" s="3341"/>
      <c r="J80" s="4612"/>
      <c r="K80" s="4612"/>
      <c r="L80" s="4650"/>
      <c r="M80" s="3341"/>
      <c r="N80" s="3341"/>
      <c r="O80" s="4612"/>
      <c r="P80" s="4612"/>
      <c r="Q80" s="4650"/>
      <c r="R80" s="3448"/>
      <c r="S80" s="3448"/>
      <c r="T80" s="3448"/>
      <c r="U80" s="3448"/>
      <c r="V80" s="3448"/>
      <c r="W80" s="3448"/>
      <c r="X80" s="3448"/>
      <c r="Y80" s="3448"/>
      <c r="Z80" s="3448"/>
      <c r="AA80" s="3448"/>
      <c r="AB80" s="3341"/>
      <c r="AC80" s="3341"/>
      <c r="AD80" s="4612"/>
      <c r="AE80" s="4612"/>
      <c r="AF80" s="4650"/>
      <c r="AG80" s="3341"/>
      <c r="AH80" s="3341"/>
      <c r="AI80" s="4612"/>
      <c r="AJ80" s="4612"/>
      <c r="AK80" s="4650"/>
      <c r="AL80" s="3341"/>
      <c r="AM80" s="3341"/>
      <c r="AN80" s="4612"/>
      <c r="AO80" s="4612"/>
      <c r="AP80" s="4650"/>
      <c r="AQ80" s="3341"/>
      <c r="AR80" s="3341"/>
      <c r="AS80" s="4612"/>
      <c r="AT80" s="4612"/>
      <c r="AU80" s="4650"/>
      <c r="AV80" s="3341"/>
      <c r="AW80" s="3341"/>
      <c r="AX80" s="4612"/>
      <c r="AY80" s="4612"/>
      <c r="AZ80" s="4650"/>
      <c r="BA80" s="3341"/>
      <c r="BB80" s="3341"/>
      <c r="BC80" s="4612"/>
      <c r="BD80" s="4612"/>
      <c r="BE80" s="4650"/>
      <c r="BF80" s="3341"/>
      <c r="BG80" s="3341"/>
      <c r="BH80" s="4612"/>
      <c r="BI80" s="4612"/>
      <c r="BJ80" s="4650"/>
      <c r="BK80" s="3341"/>
      <c r="BL80" s="3341"/>
      <c r="BM80" s="4612"/>
      <c r="BN80" s="4612"/>
      <c r="BO80" s="4650"/>
      <c r="BP80" s="3341"/>
      <c r="BQ80" s="3341"/>
      <c r="BR80" s="4612"/>
      <c r="BS80" s="4612"/>
      <c r="BT80" s="4650"/>
      <c r="BU80" s="3341"/>
      <c r="BV80" s="3341"/>
      <c r="BW80" s="4612"/>
      <c r="BX80" s="4612"/>
      <c r="BY80" s="4650"/>
      <c r="BZ80" s="3341"/>
      <c r="CA80" s="3341"/>
      <c r="CB80" s="4612"/>
      <c r="CC80" s="4612"/>
      <c r="CD80" s="4650"/>
      <c r="CE80" s="3341"/>
      <c r="CF80" s="3341"/>
      <c r="CG80" s="4612"/>
      <c r="CH80" s="4612"/>
      <c r="CI80" s="4650"/>
      <c r="CJ80" s="3341">
        <f>C80+H80+M80</f>
        <v>0</v>
      </c>
      <c r="CK80" s="3341">
        <f>D80+I80+N80</f>
        <v>0</v>
      </c>
      <c r="CL80" s="4612"/>
      <c r="CM80" s="4612"/>
      <c r="CN80" s="4612"/>
      <c r="CP80" s="4651"/>
      <c r="CQ80" s="4651"/>
      <c r="CR80" s="4614"/>
    </row>
    <row r="81" spans="1:101" s="1396" customFormat="1" ht="14.4" outlineLevel="1" thickBot="1">
      <c r="A81" s="1419"/>
      <c r="B81" s="4456" t="s">
        <v>12</v>
      </c>
      <c r="C81" s="4457">
        <f>(C75+C78)-C79</f>
        <v>0</v>
      </c>
      <c r="D81" s="4457">
        <f>(D75+D78)-D79</f>
        <v>0</v>
      </c>
      <c r="E81" s="4458">
        <f>(E75+E78)-E79</f>
        <v>0</v>
      </c>
      <c r="F81" s="4459"/>
      <c r="G81" s="4460"/>
      <c r="H81" s="4457">
        <f>(H75+H78)-H79</f>
        <v>0</v>
      </c>
      <c r="I81" s="4457">
        <f>(I75+I78)-I79</f>
        <v>0</v>
      </c>
      <c r="J81" s="4458">
        <f>(J75+J78)-J79</f>
        <v>0</v>
      </c>
      <c r="K81" s="4459"/>
      <c r="L81" s="4460"/>
      <c r="M81" s="4457">
        <f>(M75+M78)-M79</f>
        <v>0</v>
      </c>
      <c r="N81" s="4457">
        <f>(N75+N78)-N79</f>
        <v>0</v>
      </c>
      <c r="O81" s="4458">
        <f>(O75+O78)-O79</f>
        <v>0</v>
      </c>
      <c r="P81" s="4459"/>
      <c r="Q81" s="4460"/>
      <c r="R81" s="4457">
        <f>(R75+R78)-R79</f>
        <v>0</v>
      </c>
      <c r="S81" s="4457">
        <f>(S75+S78)-S79</f>
        <v>0</v>
      </c>
      <c r="T81" s="4458">
        <f>(T75+T78)-T79</f>
        <v>0</v>
      </c>
      <c r="U81" s="4461"/>
      <c r="V81" s="4461"/>
      <c r="W81" s="4457">
        <f>(W75+W78)-W79</f>
        <v>-161322.27440096816</v>
      </c>
      <c r="X81" s="4457">
        <f>(X75+X78)-X79</f>
        <v>-382960.15775058302</v>
      </c>
      <c r="Y81" s="4458">
        <f>(Y75+Y78)-Y79</f>
        <v>-544282.43215155113</v>
      </c>
      <c r="Z81" s="4461"/>
      <c r="AA81" s="4461"/>
      <c r="AB81" s="4457">
        <f>(AB75+AB78)-AB79</f>
        <v>0</v>
      </c>
      <c r="AC81" s="4457">
        <f>(AC75+AC78)-AC79</f>
        <v>0</v>
      </c>
      <c r="AD81" s="4458">
        <f>(AD75+AD78)-AD79</f>
        <v>0</v>
      </c>
      <c r="AE81" s="4459"/>
      <c r="AF81" s="4460"/>
      <c r="AG81" s="4457">
        <f>(AG75+AG78)-AG79</f>
        <v>0</v>
      </c>
      <c r="AH81" s="4457">
        <f>(AH75+AH78)-AH79</f>
        <v>0</v>
      </c>
      <c r="AI81" s="4458">
        <f>(AI75+AI78)-AI79</f>
        <v>0</v>
      </c>
      <c r="AJ81" s="4459"/>
      <c r="AK81" s="4460"/>
      <c r="AL81" s="4457">
        <f>(AL75+AL78)-AL79</f>
        <v>0</v>
      </c>
      <c r="AM81" s="4457">
        <f>(AM75+AM78)-AM79</f>
        <v>0</v>
      </c>
      <c r="AN81" s="4458">
        <f>(AN75+AN78)-AN79</f>
        <v>0</v>
      </c>
      <c r="AO81" s="4459"/>
      <c r="AP81" s="4460"/>
      <c r="AQ81" s="4457">
        <f>(AQ75+AQ78)-AQ79</f>
        <v>0</v>
      </c>
      <c r="AR81" s="4457">
        <f>(AR75+AR78)-AR79</f>
        <v>0</v>
      </c>
      <c r="AS81" s="4458">
        <f>(AS75+AS78)-AS79</f>
        <v>0</v>
      </c>
      <c r="AT81" s="4459"/>
      <c r="AU81" s="4460"/>
      <c r="AV81" s="4457">
        <f>(AV75+AV78)-AV79</f>
        <v>0</v>
      </c>
      <c r="AW81" s="4457">
        <f>(AW75+AW78)-AW79</f>
        <v>0</v>
      </c>
      <c r="AX81" s="4458">
        <f>(AX75+AX78)-AX79</f>
        <v>0</v>
      </c>
      <c r="AY81" s="4459"/>
      <c r="AZ81" s="4460"/>
      <c r="BA81" s="4457">
        <f>(BA75+BA78)-BA79</f>
        <v>-161322.27440096816</v>
      </c>
      <c r="BB81" s="4457">
        <f>(BB75+BB78)-BB79</f>
        <v>-382960.15775058302</v>
      </c>
      <c r="BC81" s="4458">
        <f>(BC75+BC78)-BC79</f>
        <v>-544282.43215155113</v>
      </c>
      <c r="BD81" s="4459"/>
      <c r="BE81" s="4460"/>
      <c r="BF81" s="4457">
        <f>(BF75+BF78)-BF79</f>
        <v>0</v>
      </c>
      <c r="BG81" s="4457">
        <f>(BG75+BG78)-BG79</f>
        <v>0</v>
      </c>
      <c r="BH81" s="4458">
        <f>(BH75+BH78)-BH79</f>
        <v>0</v>
      </c>
      <c r="BI81" s="4459"/>
      <c r="BJ81" s="4460"/>
      <c r="BK81" s="4457">
        <f>(BK75+BK78)-BK79</f>
        <v>0</v>
      </c>
      <c r="BL81" s="4457">
        <f>(BL75+BL78)-BL79</f>
        <v>0</v>
      </c>
      <c r="BM81" s="4458">
        <f>(BM75+BM78)-BM79</f>
        <v>0</v>
      </c>
      <c r="BN81" s="4459"/>
      <c r="BO81" s="4460"/>
      <c r="BP81" s="4457">
        <f>(BP75+BP78)-BP79</f>
        <v>0</v>
      </c>
      <c r="BQ81" s="4457">
        <f>(BQ75+BQ78)-BQ79</f>
        <v>0</v>
      </c>
      <c r="BR81" s="4458">
        <f>(BR75+BR78)-BR79</f>
        <v>0</v>
      </c>
      <c r="BS81" s="4459"/>
      <c r="BT81" s="4460"/>
      <c r="BU81" s="4457">
        <f>(BU75+BU78)-BU79</f>
        <v>0</v>
      </c>
      <c r="BV81" s="4457">
        <f>(BV75+BV78)-BV79</f>
        <v>0</v>
      </c>
      <c r="BW81" s="4458">
        <f>(BW75+BW78)-BW79</f>
        <v>0</v>
      </c>
      <c r="BX81" s="4459"/>
      <c r="BY81" s="4460"/>
      <c r="BZ81" s="4457">
        <f>(BZ75+BZ78)-BZ79</f>
        <v>0</v>
      </c>
      <c r="CA81" s="4457">
        <f>(CA75+CA78)-CA79</f>
        <v>0</v>
      </c>
      <c r="CB81" s="4458">
        <f>(CB75+CB78)-CB79</f>
        <v>0</v>
      </c>
      <c r="CC81" s="4459"/>
      <c r="CD81" s="4460"/>
      <c r="CE81" s="4457">
        <f>(CE75+CE78)-CE79</f>
        <v>0</v>
      </c>
      <c r="CF81" s="4457">
        <f>(CF75+CF78)-CF79</f>
        <v>0</v>
      </c>
      <c r="CG81" s="4458">
        <f>(CG75+CG78)-CG79</f>
        <v>0</v>
      </c>
      <c r="CH81" s="4459"/>
      <c r="CI81" s="4460"/>
      <c r="CJ81" s="4457">
        <f>(CJ75+CJ78)-CJ79</f>
        <v>-161322.27440096816</v>
      </c>
      <c r="CK81" s="4457">
        <f>(CK75+CK78)-CK79</f>
        <v>-382960.15775058302</v>
      </c>
      <c r="CL81" s="4458">
        <f>(CL75+CL78)-CL79</f>
        <v>-544282.43215155113</v>
      </c>
      <c r="CM81" s="4459"/>
      <c r="CN81" s="4459"/>
      <c r="CP81" s="4458">
        <f>(CP75+CP78)-CP79</f>
        <v>6636881.9803999988</v>
      </c>
      <c r="CQ81" s="4652">
        <f>(CQ75+CQ78)-CQ79</f>
        <v>-531002.71215155115</v>
      </c>
      <c r="CR81" s="4458">
        <f>(CR75+CR78)-CR79</f>
        <v>7167884.6925515523</v>
      </c>
      <c r="CT81" s="2624"/>
    </row>
    <row r="82" spans="1:101" s="1396" customFormat="1" ht="13.8" outlineLevel="2">
      <c r="A82" s="1565"/>
      <c r="B82" s="1400" t="s">
        <v>38</v>
      </c>
      <c r="C82" s="3341"/>
      <c r="D82" s="3341"/>
      <c r="E82" s="3390">
        <f>C82+D82</f>
        <v>0</v>
      </c>
      <c r="F82" s="3381"/>
      <c r="G82" s="3455"/>
      <c r="H82" s="3341"/>
      <c r="I82" s="3341"/>
      <c r="J82" s="3390">
        <f>H82+I82</f>
        <v>0</v>
      </c>
      <c r="K82" s="4428" t="e">
        <f t="shared" ref="K82" si="217">J82/J$89</f>
        <v>#DIV/0!</v>
      </c>
      <c r="L82" s="3455"/>
      <c r="M82" s="3341"/>
      <c r="N82" s="3341"/>
      <c r="O82" s="3390">
        <f>M82+N82</f>
        <v>0</v>
      </c>
      <c r="P82" s="4428" t="e">
        <f t="shared" ref="P82" si="218">O82/O$89</f>
        <v>#DIV/0!</v>
      </c>
      <c r="Q82" s="3455"/>
      <c r="R82" s="3342">
        <f t="shared" ref="R82:S82" si="219">M82+H82+C82</f>
        <v>0</v>
      </c>
      <c r="S82" s="3342">
        <f t="shared" si="219"/>
        <v>0</v>
      </c>
      <c r="T82" s="2012">
        <f t="shared" ref="T82" si="220">R82+S82</f>
        <v>0</v>
      </c>
      <c r="U82" s="3455"/>
      <c r="V82" s="3455"/>
      <c r="W82" s="3342">
        <f t="shared" ref="W82:X82" si="221">AB82+AG82+AL82+AV82+BA82+BF82+BK82+BP82+BU82+BZ82+CE82+AQ82</f>
        <v>0</v>
      </c>
      <c r="X82" s="3342">
        <f t="shared" si="221"/>
        <v>0</v>
      </c>
      <c r="Y82" s="2012">
        <f t="shared" ref="Y82" si="222">W82+X82</f>
        <v>0</v>
      </c>
      <c r="Z82" s="3455"/>
      <c r="AA82" s="3455"/>
      <c r="AB82" s="3341"/>
      <c r="AC82" s="3341"/>
      <c r="AD82" s="3390">
        <f>AB82+AC82</f>
        <v>0</v>
      </c>
      <c r="AE82" s="3381"/>
      <c r="AF82" s="3455"/>
      <c r="AG82" s="3341"/>
      <c r="AH82" s="3341"/>
      <c r="AI82" s="3390">
        <f>AG82+AH82</f>
        <v>0</v>
      </c>
      <c r="AJ82" s="3381"/>
      <c r="AK82" s="3455"/>
      <c r="AL82" s="3341"/>
      <c r="AM82" s="3341"/>
      <c r="AN82" s="3390">
        <f>AL82+AM82</f>
        <v>0</v>
      </c>
      <c r="AO82" s="3381"/>
      <c r="AP82" s="3455"/>
      <c r="AQ82" s="3341"/>
      <c r="AR82" s="3341"/>
      <c r="AS82" s="3390">
        <f>AQ82+AR82</f>
        <v>0</v>
      </c>
      <c r="AT82" s="3381"/>
      <c r="AU82" s="3455"/>
      <c r="AV82" s="3341"/>
      <c r="AW82" s="3341"/>
      <c r="AX82" s="3390">
        <f>AV82+AW82</f>
        <v>0</v>
      </c>
      <c r="AY82" s="3381"/>
      <c r="AZ82" s="3455"/>
      <c r="BA82" s="3341"/>
      <c r="BB82" s="3341"/>
      <c r="BC82" s="3390">
        <f>BA82+BB82</f>
        <v>0</v>
      </c>
      <c r="BD82" s="3381"/>
      <c r="BE82" s="3455"/>
      <c r="BF82" s="3341"/>
      <c r="BG82" s="3341"/>
      <c r="BH82" s="3390">
        <f>BF82+BG82</f>
        <v>0</v>
      </c>
      <c r="BI82" s="3381"/>
      <c r="BJ82" s="3455"/>
      <c r="BK82" s="3341"/>
      <c r="BL82" s="3341"/>
      <c r="BM82" s="3390">
        <f>BK82+BL82</f>
        <v>0</v>
      </c>
      <c r="BN82" s="3381"/>
      <c r="BO82" s="3455"/>
      <c r="BP82" s="3341"/>
      <c r="BQ82" s="3341"/>
      <c r="BR82" s="3390">
        <f>BP82+BQ82</f>
        <v>0</v>
      </c>
      <c r="BS82" s="3381"/>
      <c r="BT82" s="3455"/>
      <c r="BU82" s="3341"/>
      <c r="BV82" s="3341"/>
      <c r="BW82" s="3390">
        <f>BU82+BV82</f>
        <v>0</v>
      </c>
      <c r="BX82" s="3381"/>
      <c r="BY82" s="3455"/>
      <c r="BZ82" s="3341"/>
      <c r="CA82" s="3341"/>
      <c r="CB82" s="3390">
        <f>BZ82+CA82</f>
        <v>0</v>
      </c>
      <c r="CC82" s="3381"/>
      <c r="CD82" s="3455"/>
      <c r="CE82" s="3341"/>
      <c r="CF82" s="3341"/>
      <c r="CG82" s="3390">
        <f>CE82+CF82</f>
        <v>0</v>
      </c>
      <c r="CH82" s="3381"/>
      <c r="CI82" s="3455"/>
      <c r="CJ82" s="3341"/>
      <c r="CK82" s="3341"/>
      <c r="CL82" s="3390">
        <f>CJ82+CK82</f>
        <v>0</v>
      </c>
      <c r="CM82" s="3381"/>
      <c r="CN82" s="3381"/>
      <c r="CP82" s="3415">
        <f>CN82+CO82</f>
        <v>0</v>
      </c>
      <c r="CQ82" s="3415">
        <f>CO82+CP82</f>
        <v>0</v>
      </c>
      <c r="CR82" s="3415"/>
      <c r="CT82" s="2624"/>
    </row>
    <row r="83" spans="1:101" s="1396" customFormat="1" ht="13.8" outlineLevel="1">
      <c r="A83" s="1405"/>
      <c r="B83" s="4466" t="s">
        <v>13</v>
      </c>
      <c r="C83" s="4467">
        <f>(C81+C7)-C36</f>
        <v>0</v>
      </c>
      <c r="D83" s="4467">
        <f>(D81+D7)-D36</f>
        <v>0</v>
      </c>
      <c r="E83" s="4468">
        <f>(E81+E7)-E36</f>
        <v>0</v>
      </c>
      <c r="F83" s="4469"/>
      <c r="G83" s="4470"/>
      <c r="H83" s="4467">
        <f>(H81+H7)-H36</f>
        <v>0</v>
      </c>
      <c r="I83" s="4467">
        <f>(I81+I7)-I36</f>
        <v>0</v>
      </c>
      <c r="J83" s="4468">
        <f>(J81+J7)-J36</f>
        <v>0</v>
      </c>
      <c r="K83" s="4469"/>
      <c r="L83" s="4470"/>
      <c r="M83" s="4467">
        <f>(M81+M7)-M36</f>
        <v>0</v>
      </c>
      <c r="N83" s="4467">
        <f>(N81+N7)-N36</f>
        <v>0</v>
      </c>
      <c r="O83" s="4468">
        <f>(O81+O7)-O36</f>
        <v>0</v>
      </c>
      <c r="P83" s="4469"/>
      <c r="Q83" s="4470"/>
      <c r="R83" s="4467">
        <f>(R81+R7)-R36</f>
        <v>0</v>
      </c>
      <c r="S83" s="4467">
        <f>(S81+S7)-S36</f>
        <v>0</v>
      </c>
      <c r="T83" s="4468">
        <f>(T81+T7)-T36</f>
        <v>0</v>
      </c>
      <c r="U83" s="4471"/>
      <c r="V83" s="4471"/>
      <c r="W83" s="4467">
        <f>(W81+W7)-W36</f>
        <v>-161322.27440096816</v>
      </c>
      <c r="X83" s="4467">
        <f>(X81+X7)-X36</f>
        <v>-382960.15775058302</v>
      </c>
      <c r="Y83" s="4468">
        <f>(Y81+Y7)-Y36</f>
        <v>-544282.43215155113</v>
      </c>
      <c r="Z83" s="4471"/>
      <c r="AA83" s="4471"/>
      <c r="AB83" s="4467">
        <f>(AB81+AB7)-AB36</f>
        <v>0</v>
      </c>
      <c r="AC83" s="4467">
        <f>(AC81+AC7)-AC36</f>
        <v>0</v>
      </c>
      <c r="AD83" s="4468">
        <f>(AD81+AD7)-AD36</f>
        <v>0</v>
      </c>
      <c r="AE83" s="4469"/>
      <c r="AF83" s="4470"/>
      <c r="AG83" s="4467">
        <f>(AG81+AG7)-AG36</f>
        <v>0</v>
      </c>
      <c r="AH83" s="4467">
        <f>(AH81+AH7)-AH36</f>
        <v>0</v>
      </c>
      <c r="AI83" s="4468">
        <f>(AI81+AI7)-AI36</f>
        <v>0</v>
      </c>
      <c r="AJ83" s="4469"/>
      <c r="AK83" s="4470"/>
      <c r="AL83" s="4467">
        <f>(AL81+AL7)-AL36</f>
        <v>0</v>
      </c>
      <c r="AM83" s="4467">
        <f>(AM81+AM7)-AM36</f>
        <v>0</v>
      </c>
      <c r="AN83" s="4468">
        <f>(AN81+AN7)-AN36</f>
        <v>0</v>
      </c>
      <c r="AO83" s="4469"/>
      <c r="AP83" s="4470"/>
      <c r="AQ83" s="4467">
        <f>(AQ81+AQ7)-AQ36</f>
        <v>0</v>
      </c>
      <c r="AR83" s="4467">
        <f>(AR81+AR7)-AR36</f>
        <v>0</v>
      </c>
      <c r="AS83" s="4468">
        <f>(AS81+AS7)-AS36</f>
        <v>0</v>
      </c>
      <c r="AT83" s="4469"/>
      <c r="AU83" s="4470"/>
      <c r="AV83" s="4467">
        <f>(AV81+AV7)-AV36</f>
        <v>0</v>
      </c>
      <c r="AW83" s="4467">
        <f>(AW81+AW7)-AW36</f>
        <v>0</v>
      </c>
      <c r="AX83" s="4468">
        <f>(AX81+AX7)-AX36</f>
        <v>0</v>
      </c>
      <c r="AY83" s="4469"/>
      <c r="AZ83" s="4470"/>
      <c r="BA83" s="4467">
        <f>(BA81+BA7)-BA36</f>
        <v>-161322.27440096816</v>
      </c>
      <c r="BB83" s="4467">
        <f>(BB81+BB7)-BB36</f>
        <v>-382960.15775058302</v>
      </c>
      <c r="BC83" s="4468">
        <f>(BC81+BC7)-BC36</f>
        <v>-544282.43215155113</v>
      </c>
      <c r="BD83" s="4469"/>
      <c r="BE83" s="4470"/>
      <c r="BF83" s="4467">
        <f>(BF81+BF7)-BF36</f>
        <v>0</v>
      </c>
      <c r="BG83" s="4467">
        <f>(BG81+BG7)-BG36</f>
        <v>0</v>
      </c>
      <c r="BH83" s="4468">
        <f>(BH81+BH7)-BH36</f>
        <v>0</v>
      </c>
      <c r="BI83" s="4469"/>
      <c r="BJ83" s="4470"/>
      <c r="BK83" s="4467">
        <f>(BK81+BK7)-BK36</f>
        <v>0</v>
      </c>
      <c r="BL83" s="4467">
        <f>(BL81+BL7)-BL36</f>
        <v>0</v>
      </c>
      <c r="BM83" s="4468">
        <f>(BM81+BM7)-BM36</f>
        <v>0</v>
      </c>
      <c r="BN83" s="4469"/>
      <c r="BO83" s="4470"/>
      <c r="BP83" s="4467">
        <f>(BP81+BP7)-BP36</f>
        <v>0</v>
      </c>
      <c r="BQ83" s="4467">
        <f>(BQ81+BQ7)-BQ36</f>
        <v>0</v>
      </c>
      <c r="BR83" s="4468">
        <f>(BR81+BR7)-BR36</f>
        <v>0</v>
      </c>
      <c r="BS83" s="4469"/>
      <c r="BT83" s="4470"/>
      <c r="BU83" s="4467">
        <f>(BU81+BU7)-BU36</f>
        <v>0</v>
      </c>
      <c r="BV83" s="4467">
        <f>(BV81+BV7)-BV36</f>
        <v>0</v>
      </c>
      <c r="BW83" s="4468">
        <f>(BW81+BW7)-BW36</f>
        <v>0</v>
      </c>
      <c r="BX83" s="4469"/>
      <c r="BY83" s="4470"/>
      <c r="BZ83" s="4467">
        <f>(BZ81+BZ7)-BZ36</f>
        <v>0</v>
      </c>
      <c r="CA83" s="4467">
        <f>(CA81+CA7)-CA36</f>
        <v>0</v>
      </c>
      <c r="CB83" s="4468">
        <f>(CB81+CB7)-CB36</f>
        <v>0</v>
      </c>
      <c r="CC83" s="4469"/>
      <c r="CD83" s="4470"/>
      <c r="CE83" s="4467">
        <f>(CE81+CE7)-CE36</f>
        <v>0</v>
      </c>
      <c r="CF83" s="4467">
        <f>(CF81+CF7)-CF36</f>
        <v>0</v>
      </c>
      <c r="CG83" s="4468">
        <f>(CG81+CG7)-CG36</f>
        <v>0</v>
      </c>
      <c r="CH83" s="4469"/>
      <c r="CI83" s="4470"/>
      <c r="CJ83" s="4467">
        <f>(CJ81+CJ7)-CJ36</f>
        <v>-161322.27440096816</v>
      </c>
      <c r="CK83" s="4467">
        <f>(CK81+CK7)-CK36</f>
        <v>-382960.15775058302</v>
      </c>
      <c r="CL83" s="4468">
        <f>(CL81+CL7)-CL36</f>
        <v>-544282.43215155113</v>
      </c>
      <c r="CM83" s="4469"/>
      <c r="CN83" s="4469"/>
      <c r="CP83" s="3481">
        <f>(CP81+CP7)-CP36</f>
        <v>6636881.9803999988</v>
      </c>
      <c r="CQ83" s="3481">
        <f>(CQ81+CQ7)-CQ36</f>
        <v>-531002.71215155115</v>
      </c>
      <c r="CR83" s="3481">
        <f>(CR81+CR7)-CR36</f>
        <v>7167884.6925515523</v>
      </c>
      <c r="CT83" s="2624"/>
    </row>
    <row r="84" spans="1:101" s="1396" customFormat="1" ht="14.4" outlineLevel="1" thickBot="1">
      <c r="A84" s="1405"/>
      <c r="B84" s="4653" t="s">
        <v>14</v>
      </c>
      <c r="C84" s="4472">
        <f>C83-C73-C82</f>
        <v>0</v>
      </c>
      <c r="D84" s="4472">
        <f>D83-D73-D82</f>
        <v>0</v>
      </c>
      <c r="E84" s="4472">
        <f>E83-E73-E82</f>
        <v>0</v>
      </c>
      <c r="F84" s="4594"/>
      <c r="G84" s="4654"/>
      <c r="H84" s="4472">
        <f>H83-H73-H82</f>
        <v>0</v>
      </c>
      <c r="I84" s="4472">
        <f>I83-I73-I82</f>
        <v>0</v>
      </c>
      <c r="J84" s="4472">
        <f>J83-J73-J82</f>
        <v>0</v>
      </c>
      <c r="K84" s="4594"/>
      <c r="L84" s="4654"/>
      <c r="M84" s="4472">
        <f>M83-M73-M82</f>
        <v>0</v>
      </c>
      <c r="N84" s="4472">
        <f>N83-N73-N82</f>
        <v>0</v>
      </c>
      <c r="O84" s="4472">
        <f>O83-O73-O82</f>
        <v>0</v>
      </c>
      <c r="P84" s="4594"/>
      <c r="Q84" s="4654"/>
      <c r="R84" s="4472">
        <f>R83-R73-R82</f>
        <v>0</v>
      </c>
      <c r="S84" s="4472">
        <f>S83-S73-S82</f>
        <v>0</v>
      </c>
      <c r="T84" s="4472">
        <f>T83-T73-T82</f>
        <v>0</v>
      </c>
      <c r="U84" s="4654"/>
      <c r="V84" s="4654"/>
      <c r="W84" s="4626">
        <f t="shared" ref="W84:X84" si="223">AB84+AG84+AL84+AV84+BA84+BF84+BK84+BP84+BU84+BZ84+CE84</f>
        <v>-161322.27440096816</v>
      </c>
      <c r="X84" s="4627">
        <f t="shared" si="223"/>
        <v>-382960.15775058302</v>
      </c>
      <c r="Y84" s="4472">
        <f>Y83-Y73-Y82</f>
        <v>-544282.43215155113</v>
      </c>
      <c r="Z84" s="4654"/>
      <c r="AA84" s="4654"/>
      <c r="AB84" s="4472">
        <f>AB83-AB73-AB82</f>
        <v>0</v>
      </c>
      <c r="AC84" s="4472">
        <f>AC83-AC73-AC82</f>
        <v>0</v>
      </c>
      <c r="AD84" s="4472">
        <f>AD83-AD73-AD82</f>
        <v>0</v>
      </c>
      <c r="AE84" s="4594"/>
      <c r="AF84" s="4654"/>
      <c r="AG84" s="4472">
        <f>AG83-AG73-AG82</f>
        <v>0</v>
      </c>
      <c r="AH84" s="4472">
        <f>AH83-AH73-AH82</f>
        <v>0</v>
      </c>
      <c r="AI84" s="4472">
        <f>AI83-AI73-AI82</f>
        <v>0</v>
      </c>
      <c r="AJ84" s="4594"/>
      <c r="AK84" s="4654"/>
      <c r="AL84" s="4472">
        <f>AL83-AL73-AL82</f>
        <v>0</v>
      </c>
      <c r="AM84" s="4472">
        <f>AM83-AM73-AM82</f>
        <v>0</v>
      </c>
      <c r="AN84" s="4472">
        <f>AN83-AN73-AN82</f>
        <v>0</v>
      </c>
      <c r="AO84" s="4594"/>
      <c r="AP84" s="4654"/>
      <c r="AQ84" s="4472">
        <f>AQ83-AQ73-AQ82</f>
        <v>0</v>
      </c>
      <c r="AR84" s="4472">
        <f>AR83-AR73-AR82</f>
        <v>0</v>
      </c>
      <c r="AS84" s="4472">
        <f>AS83-AS73-AS82</f>
        <v>0</v>
      </c>
      <c r="AT84" s="4594"/>
      <c r="AU84" s="4654"/>
      <c r="AV84" s="4472">
        <f>AV83-AV73-AV82</f>
        <v>0</v>
      </c>
      <c r="AW84" s="4472">
        <f>AW83-AW73-AW82</f>
        <v>0</v>
      </c>
      <c r="AX84" s="4472">
        <f>AX83-AX73-AX82</f>
        <v>0</v>
      </c>
      <c r="AY84" s="4594"/>
      <c r="AZ84" s="4654"/>
      <c r="BA84" s="4472">
        <f>BA83-BA73-BA82</f>
        <v>-161322.27440096816</v>
      </c>
      <c r="BB84" s="4472">
        <f>BB83-BB73-BB82</f>
        <v>-382960.15775058302</v>
      </c>
      <c r="BC84" s="4472">
        <f>BC83-BC73-BC82</f>
        <v>-544282.43215155113</v>
      </c>
      <c r="BD84" s="4594"/>
      <c r="BE84" s="4654"/>
      <c r="BF84" s="4472">
        <f>BF83-BF73-BF82</f>
        <v>0</v>
      </c>
      <c r="BG84" s="4472">
        <f>BG83-BG73-BG82</f>
        <v>0</v>
      </c>
      <c r="BH84" s="4472">
        <f>BH83-BH73-BH82</f>
        <v>0</v>
      </c>
      <c r="BI84" s="4594"/>
      <c r="BJ84" s="4654"/>
      <c r="BK84" s="4472">
        <f>BK83-BK73-BK82</f>
        <v>0</v>
      </c>
      <c r="BL84" s="4472">
        <f>BL83-BL73-BL82</f>
        <v>0</v>
      </c>
      <c r="BM84" s="4472">
        <f>BM83-BM73-BM82</f>
        <v>0</v>
      </c>
      <c r="BN84" s="4594"/>
      <c r="BO84" s="4654"/>
      <c r="BP84" s="4472">
        <f>BP83-BP73-BP82</f>
        <v>0</v>
      </c>
      <c r="BQ84" s="4472">
        <f>BQ83-BQ73-BQ82</f>
        <v>0</v>
      </c>
      <c r="BR84" s="4472">
        <f>BR83-BR73-BR82</f>
        <v>0</v>
      </c>
      <c r="BS84" s="4594"/>
      <c r="BT84" s="4654"/>
      <c r="BU84" s="4472">
        <f>BU83-BU73-BU82</f>
        <v>0</v>
      </c>
      <c r="BV84" s="4472">
        <f>BV83-BV73-BV82</f>
        <v>0</v>
      </c>
      <c r="BW84" s="4472">
        <f>BW83-BW73-BW82</f>
        <v>0</v>
      </c>
      <c r="BX84" s="4594"/>
      <c r="BY84" s="4654"/>
      <c r="BZ84" s="4472">
        <f>BZ83-BZ73-BZ82</f>
        <v>0</v>
      </c>
      <c r="CA84" s="4472">
        <f>CA83-CA73-CA82</f>
        <v>0</v>
      </c>
      <c r="CB84" s="4472">
        <f>CB83-CB73-CB82</f>
        <v>0</v>
      </c>
      <c r="CC84" s="4594"/>
      <c r="CD84" s="4654"/>
      <c r="CE84" s="4472">
        <f>CE83-CE73-CE82</f>
        <v>0</v>
      </c>
      <c r="CF84" s="4472">
        <f>CF83-CF73-CF82</f>
        <v>0</v>
      </c>
      <c r="CG84" s="4472">
        <f>CG83-CG73-CG82</f>
        <v>0</v>
      </c>
      <c r="CH84" s="4594"/>
      <c r="CI84" s="4654"/>
      <c r="CJ84" s="4624">
        <f t="shared" ref="CJ84:CK84" si="224">C84+H84+M84+W84</f>
        <v>-161322.27440096816</v>
      </c>
      <c r="CK84" s="4624">
        <f t="shared" si="224"/>
        <v>-382960.15775058302</v>
      </c>
      <c r="CL84" s="4472">
        <f>CL83-CL73-CL82</f>
        <v>-544282.43215155113</v>
      </c>
      <c r="CM84" s="4594"/>
      <c r="CN84" s="4594"/>
      <c r="CP84" s="3309">
        <f>CP83-CP73-CP82</f>
        <v>6636881.9803999988</v>
      </c>
      <c r="CQ84" s="3484">
        <f>CQ83-CQ73-CQ82</f>
        <v>-531002.71215155115</v>
      </c>
      <c r="CR84" s="3309">
        <f>CR83-CR73-CR82</f>
        <v>7167884.6925515523</v>
      </c>
      <c r="CT84" s="2624"/>
    </row>
    <row r="85" spans="1:101" s="1396" customFormat="1" ht="13.8" outlineLevel="3">
      <c r="A85" s="1565"/>
      <c r="B85" s="1403" t="s">
        <v>44</v>
      </c>
      <c r="C85" s="3341"/>
      <c r="D85" s="3341"/>
      <c r="E85" s="2012">
        <f>C85+D85*1.15</f>
        <v>0</v>
      </c>
      <c r="F85" s="3381"/>
      <c r="G85" s="3455"/>
      <c r="H85" s="3341"/>
      <c r="I85" s="3341"/>
      <c r="J85" s="2012">
        <f>H85+I85*1.15</f>
        <v>0</v>
      </c>
      <c r="K85" s="4428" t="e">
        <f t="shared" ref="K85" si="225">J85/J$89</f>
        <v>#DIV/0!</v>
      </c>
      <c r="L85" s="3455"/>
      <c r="M85" s="3341"/>
      <c r="N85" s="3341"/>
      <c r="O85" s="2012">
        <f>M85+N85*1.15</f>
        <v>0</v>
      </c>
      <c r="P85" s="4428" t="e">
        <f t="shared" ref="P85" si="226">O85/O$89</f>
        <v>#DIV/0!</v>
      </c>
      <c r="Q85" s="3455"/>
      <c r="R85" s="3342">
        <f t="shared" ref="R85:S85" si="227">M85+H85+C85</f>
        <v>0</v>
      </c>
      <c r="S85" s="3342">
        <f t="shared" si="227"/>
        <v>0</v>
      </c>
      <c r="T85" s="2012">
        <f t="shared" ref="T85" si="228">R85+S85</f>
        <v>0</v>
      </c>
      <c r="U85" s="3455"/>
      <c r="V85" s="3455"/>
      <c r="W85" s="3342">
        <f t="shared" ref="W85:X85" si="229">AB85+AG85+AL85+AV85+BA85+BF85+BK85+BP85+BU85+BZ85+CE85+AQ85</f>
        <v>0</v>
      </c>
      <c r="X85" s="3342">
        <f t="shared" si="229"/>
        <v>0</v>
      </c>
      <c r="Y85" s="2012">
        <f t="shared" ref="Y85" si="230">W85+X85</f>
        <v>0</v>
      </c>
      <c r="Z85" s="3455"/>
      <c r="AA85" s="3455"/>
      <c r="AB85" s="3341"/>
      <c r="AC85" s="3341"/>
      <c r="AD85" s="2012">
        <f>AB85+AC85*1.15</f>
        <v>0</v>
      </c>
      <c r="AE85" s="3381"/>
      <c r="AF85" s="3455"/>
      <c r="AG85" s="3341"/>
      <c r="AH85" s="3341"/>
      <c r="AI85" s="2012">
        <f>AG85+AH85*1.15</f>
        <v>0</v>
      </c>
      <c r="AJ85" s="3381"/>
      <c r="AK85" s="3455"/>
      <c r="AL85" s="3341"/>
      <c r="AM85" s="3341"/>
      <c r="AN85" s="2012">
        <f>AL85+AM85*1.15</f>
        <v>0</v>
      </c>
      <c r="AO85" s="3381"/>
      <c r="AP85" s="3455"/>
      <c r="AQ85" s="3341"/>
      <c r="AR85" s="3341"/>
      <c r="AS85" s="2012">
        <f>AQ85+AR85*1.15</f>
        <v>0</v>
      </c>
      <c r="AT85" s="3381"/>
      <c r="AU85" s="3455"/>
      <c r="AV85" s="3341"/>
      <c r="AW85" s="3341"/>
      <c r="AX85" s="2012">
        <f>AV85+AW85*1.15</f>
        <v>0</v>
      </c>
      <c r="AY85" s="3381"/>
      <c r="AZ85" s="3455"/>
      <c r="BA85" s="3341"/>
      <c r="BB85" s="3341"/>
      <c r="BC85" s="2012">
        <f>BA85+BB85*1.15</f>
        <v>0</v>
      </c>
      <c r="BD85" s="3381"/>
      <c r="BE85" s="3455"/>
      <c r="BF85" s="3341"/>
      <c r="BG85" s="3341"/>
      <c r="BH85" s="2012">
        <f>BF85+BG85*1.15</f>
        <v>0</v>
      </c>
      <c r="BI85" s="3381"/>
      <c r="BJ85" s="3455"/>
      <c r="BK85" s="3341"/>
      <c r="BL85" s="3341"/>
      <c r="BM85" s="2012">
        <f>BK85+BL85*1.15</f>
        <v>0</v>
      </c>
      <c r="BN85" s="3381"/>
      <c r="BO85" s="3455"/>
      <c r="BP85" s="3341"/>
      <c r="BQ85" s="3341"/>
      <c r="BR85" s="2012">
        <f>BP85+BQ85*1.15</f>
        <v>0</v>
      </c>
      <c r="BS85" s="3381"/>
      <c r="BT85" s="3455"/>
      <c r="BU85" s="3341"/>
      <c r="BV85" s="3341"/>
      <c r="BW85" s="2012">
        <f>BU85+BV85*1.15</f>
        <v>0</v>
      </c>
      <c r="BX85" s="3381"/>
      <c r="BY85" s="3455"/>
      <c r="BZ85" s="3341"/>
      <c r="CA85" s="3341"/>
      <c r="CB85" s="2012">
        <f>BZ85+CA85*1.15</f>
        <v>0</v>
      </c>
      <c r="CC85" s="3381"/>
      <c r="CD85" s="3455"/>
      <c r="CE85" s="3341"/>
      <c r="CF85" s="3341"/>
      <c r="CG85" s="2012">
        <f>CE85+CF85*1.15</f>
        <v>0</v>
      </c>
      <c r="CH85" s="3381"/>
      <c r="CI85" s="3455"/>
      <c r="CJ85" s="3341">
        <f>C85+H85+M85</f>
        <v>0</v>
      </c>
      <c r="CK85" s="3341">
        <f>D85+I85+N85</f>
        <v>0</v>
      </c>
      <c r="CL85" s="2012">
        <f>CJ85+CK85*1.15</f>
        <v>0</v>
      </c>
      <c r="CM85" s="3381"/>
      <c r="CN85" s="3381"/>
      <c r="CP85" s="2124">
        <f>CN85+CO85*1.15</f>
        <v>0</v>
      </c>
      <c r="CQ85" s="2124">
        <f>CO85+CP85*1.15</f>
        <v>0</v>
      </c>
      <c r="CR85" s="2124"/>
      <c r="CT85" s="2624"/>
    </row>
    <row r="86" spans="1:101" s="1396" customFormat="1" ht="27.6">
      <c r="A86" s="1405"/>
      <c r="B86" s="4473" t="s">
        <v>50</v>
      </c>
      <c r="C86" s="4474">
        <f>C84-C85</f>
        <v>0</v>
      </c>
      <c r="D86" s="4474">
        <f>D84-D85</f>
        <v>0</v>
      </c>
      <c r="E86" s="4474">
        <f>E84-E85</f>
        <v>0</v>
      </c>
      <c r="F86" s="4475"/>
      <c r="G86" s="4476"/>
      <c r="H86" s="4474">
        <f>H84-H85</f>
        <v>0</v>
      </c>
      <c r="I86" s="4474">
        <f>I84-I85</f>
        <v>0</v>
      </c>
      <c r="J86" s="4474">
        <f>J84-J85</f>
        <v>0</v>
      </c>
      <c r="K86" s="4475"/>
      <c r="L86" s="4476"/>
      <c r="M86" s="4474">
        <f>M84-M85</f>
        <v>0</v>
      </c>
      <c r="N86" s="4474">
        <f>N84-N85</f>
        <v>0</v>
      </c>
      <c r="O86" s="4474">
        <f>O84-O85</f>
        <v>0</v>
      </c>
      <c r="P86" s="4475"/>
      <c r="Q86" s="4476"/>
      <c r="R86" s="4474">
        <f>R84-R85</f>
        <v>0</v>
      </c>
      <c r="S86" s="4474">
        <f>S84-S85</f>
        <v>0</v>
      </c>
      <c r="T86" s="4474">
        <f>T84-T85</f>
        <v>0</v>
      </c>
      <c r="U86" s="4476"/>
      <c r="V86" s="4476"/>
      <c r="W86" s="4474">
        <f>W84-W85</f>
        <v>-161322.27440096816</v>
      </c>
      <c r="X86" s="4474">
        <f>X84-X85</f>
        <v>-382960.15775058302</v>
      </c>
      <c r="Y86" s="4474">
        <f>Y84-Y85</f>
        <v>-544282.43215155113</v>
      </c>
      <c r="Z86" s="4476"/>
      <c r="AA86" s="4476"/>
      <c r="AB86" s="4474">
        <f>AB84-AB85</f>
        <v>0</v>
      </c>
      <c r="AC86" s="4474">
        <f>AC84-AC85</f>
        <v>0</v>
      </c>
      <c r="AD86" s="4474">
        <f>AD84-AD85</f>
        <v>0</v>
      </c>
      <c r="AE86" s="4475"/>
      <c r="AF86" s="4476"/>
      <c r="AG86" s="4474">
        <f>AG84-AG85</f>
        <v>0</v>
      </c>
      <c r="AH86" s="4474">
        <f>AH84-AH85</f>
        <v>0</v>
      </c>
      <c r="AI86" s="4474">
        <f>AI84-AI85</f>
        <v>0</v>
      </c>
      <c r="AJ86" s="4475"/>
      <c r="AK86" s="4476"/>
      <c r="AL86" s="4474">
        <f>AL84-AL85</f>
        <v>0</v>
      </c>
      <c r="AM86" s="4474">
        <f>AM84-AM85</f>
        <v>0</v>
      </c>
      <c r="AN86" s="4474">
        <f>AN84-AN85</f>
        <v>0</v>
      </c>
      <c r="AO86" s="4475"/>
      <c r="AP86" s="4476"/>
      <c r="AQ86" s="4474">
        <f>AQ84-AQ85</f>
        <v>0</v>
      </c>
      <c r="AR86" s="4474">
        <f>AR84-AR85</f>
        <v>0</v>
      </c>
      <c r="AS86" s="4474">
        <f>AS84-AS85</f>
        <v>0</v>
      </c>
      <c r="AT86" s="4475"/>
      <c r="AU86" s="4476"/>
      <c r="AV86" s="4474">
        <f>AV84-AV85</f>
        <v>0</v>
      </c>
      <c r="AW86" s="4474">
        <f>AW84-AW85</f>
        <v>0</v>
      </c>
      <c r="AX86" s="4474">
        <f>AX84-AX85</f>
        <v>0</v>
      </c>
      <c r="AY86" s="4475"/>
      <c r="AZ86" s="4476"/>
      <c r="BA86" s="4474">
        <f>BA84-BA85</f>
        <v>-161322.27440096816</v>
      </c>
      <c r="BB86" s="4474">
        <f>BB84-BB85</f>
        <v>-382960.15775058302</v>
      </c>
      <c r="BC86" s="3481">
        <f>BC84-BC85</f>
        <v>-544282.43215155113</v>
      </c>
      <c r="BD86" s="4475"/>
      <c r="BE86" s="4476"/>
      <c r="BF86" s="4474">
        <f>BF84-BF85</f>
        <v>0</v>
      </c>
      <c r="BG86" s="4474">
        <f>BG84-BG85</f>
        <v>0</v>
      </c>
      <c r="BH86" s="4474">
        <f>BH84-BH85</f>
        <v>0</v>
      </c>
      <c r="BI86" s="4475"/>
      <c r="BJ86" s="4476"/>
      <c r="BK86" s="4474">
        <f>BK84-BK85</f>
        <v>0</v>
      </c>
      <c r="BL86" s="4474">
        <f>BL84-BL85</f>
        <v>0</v>
      </c>
      <c r="BM86" s="4474">
        <f>BM84-BM85</f>
        <v>0</v>
      </c>
      <c r="BN86" s="4475"/>
      <c r="BO86" s="4476"/>
      <c r="BP86" s="4474">
        <f>BP84-BP85</f>
        <v>0</v>
      </c>
      <c r="BQ86" s="4474">
        <f>BQ84-BQ85</f>
        <v>0</v>
      </c>
      <c r="BR86" s="4474">
        <f>BR84-BR85</f>
        <v>0</v>
      </c>
      <c r="BS86" s="4475"/>
      <c r="BT86" s="4476"/>
      <c r="BU86" s="4474">
        <f>BU84-BU85</f>
        <v>0</v>
      </c>
      <c r="BV86" s="4474">
        <f>BV84-BV85</f>
        <v>0</v>
      </c>
      <c r="BW86" s="4474">
        <f>BW84-BW85</f>
        <v>0</v>
      </c>
      <c r="BX86" s="4475"/>
      <c r="BY86" s="4476"/>
      <c r="BZ86" s="4474">
        <f>BZ84-BZ85</f>
        <v>0</v>
      </c>
      <c r="CA86" s="4474">
        <f>CA84-CA85</f>
        <v>0</v>
      </c>
      <c r="CB86" s="4474">
        <f>CB84-CB85</f>
        <v>0</v>
      </c>
      <c r="CC86" s="4475"/>
      <c r="CD86" s="4476"/>
      <c r="CE86" s="4474">
        <f>CE84-CE85</f>
        <v>0</v>
      </c>
      <c r="CF86" s="4474">
        <f>CF84-CF85</f>
        <v>0</v>
      </c>
      <c r="CG86" s="4474">
        <f>CG84-CG85</f>
        <v>0</v>
      </c>
      <c r="CH86" s="4475"/>
      <c r="CI86" s="4476"/>
      <c r="CJ86" s="4474">
        <f>CJ84-CJ85</f>
        <v>-161322.27440096816</v>
      </c>
      <c r="CK86" s="4474">
        <f>CK84-CK85</f>
        <v>-382960.15775058302</v>
      </c>
      <c r="CL86" s="3481">
        <f>CL84-CL85</f>
        <v>-544282.43215155113</v>
      </c>
      <c r="CM86" s="4475"/>
      <c r="CN86" s="4475"/>
      <c r="CP86" s="3481">
        <f>CP84-CP85</f>
        <v>6636881.9803999988</v>
      </c>
      <c r="CQ86" s="3481">
        <f>CQ84-CQ85</f>
        <v>-531002.71215155115</v>
      </c>
      <c r="CR86" s="3481">
        <f>CR84-CR85</f>
        <v>7167884.6925515523</v>
      </c>
      <c r="CT86" s="2624">
        <f>CT6-SUM(CT8:CT37)</f>
        <v>0</v>
      </c>
      <c r="CW86" s="933"/>
    </row>
    <row r="87" spans="1:101" s="1396" customFormat="1" ht="14.4" thickBot="1">
      <c r="A87" s="1567"/>
      <c r="B87" s="4655" t="s">
        <v>51</v>
      </c>
      <c r="C87" s="4477">
        <f>IFERROR(C86/C5,0)</f>
        <v>0</v>
      </c>
      <c r="D87" s="4478">
        <f>IFERROR(D86/D5,0)</f>
        <v>0</v>
      </c>
      <c r="E87" s="4479">
        <f>IFERROR(E86/E5,0)</f>
        <v>0</v>
      </c>
      <c r="F87" s="4480"/>
      <c r="G87" s="4481"/>
      <c r="H87" s="4477">
        <f>IFERROR(H86/H5,0)</f>
        <v>0</v>
      </c>
      <c r="I87" s="4478">
        <f>IFERROR(I86/I5,0)</f>
        <v>0</v>
      </c>
      <c r="J87" s="4479">
        <f>IFERROR(J86/J5,0)</f>
        <v>0</v>
      </c>
      <c r="K87" s="4480"/>
      <c r="L87" s="4481"/>
      <c r="M87" s="4477">
        <f>IFERROR(M86/M5,0)</f>
        <v>0</v>
      </c>
      <c r="N87" s="4478">
        <f>IFERROR(N86/N5,0)</f>
        <v>0</v>
      </c>
      <c r="O87" s="4479">
        <f>IFERROR(O86/O5,0)</f>
        <v>0</v>
      </c>
      <c r="P87" s="4480"/>
      <c r="Q87" s="4481"/>
      <c r="R87" s="4482"/>
      <c r="S87" s="4482"/>
      <c r="T87" s="4482"/>
      <c r="U87" s="4482"/>
      <c r="V87" s="4482"/>
      <c r="W87" s="4482"/>
      <c r="X87" s="4482"/>
      <c r="Y87" s="4482"/>
      <c r="Z87" s="4482"/>
      <c r="AA87" s="4482"/>
      <c r="AB87" s="4477">
        <f>IFERROR(AB86/AB5,0)</f>
        <v>0</v>
      </c>
      <c r="AC87" s="4478">
        <f>IFERROR(AC86/AC5,0)</f>
        <v>0</v>
      </c>
      <c r="AD87" s="4479">
        <f>IFERROR(AD86/AD5,0)</f>
        <v>0</v>
      </c>
      <c r="AE87" s="4480"/>
      <c r="AF87" s="4481"/>
      <c r="AG87" s="4477">
        <f>IFERROR(AG86/AG5,0)</f>
        <v>0</v>
      </c>
      <c r="AH87" s="4478">
        <f>IFERROR(AH86/AH5,0)</f>
        <v>0</v>
      </c>
      <c r="AI87" s="4479">
        <f>IFERROR(AI86/AI5,0)</f>
        <v>0</v>
      </c>
      <c r="AJ87" s="4480"/>
      <c r="AK87" s="4481"/>
      <c r="AL87" s="4477">
        <f>IFERROR(AL86/AL5,0)</f>
        <v>0</v>
      </c>
      <c r="AM87" s="4478">
        <f>IFERROR(AM86/AM5,0)</f>
        <v>0</v>
      </c>
      <c r="AN87" s="4479">
        <f>IFERROR(AN86/AN5,0)</f>
        <v>0</v>
      </c>
      <c r="AO87" s="4480"/>
      <c r="AP87" s="4481"/>
      <c r="AQ87" s="4477">
        <f>IFERROR(AQ86/AQ5,0)</f>
        <v>0</v>
      </c>
      <c r="AR87" s="4478">
        <f>IFERROR(AR86/AR5,0)</f>
        <v>0</v>
      </c>
      <c r="AS87" s="4479">
        <f>IFERROR(AS86/AS5,0)</f>
        <v>0</v>
      </c>
      <c r="AT87" s="4480"/>
      <c r="AU87" s="4481"/>
      <c r="AV87" s="4477">
        <f>IFERROR(AV86/AV5,0)</f>
        <v>0</v>
      </c>
      <c r="AW87" s="4478">
        <f>IFERROR(AW86/AW5,0)</f>
        <v>0</v>
      </c>
      <c r="AX87" s="4479">
        <f>IFERROR(AX86/AX5,0)</f>
        <v>0</v>
      </c>
      <c r="AY87" s="4480"/>
      <c r="AZ87" s="4481"/>
      <c r="BA87" s="4477">
        <f>IFERROR(BA86/BA5,0)</f>
        <v>0</v>
      </c>
      <c r="BB87" s="4478">
        <f>IFERROR(BB86/BB5,0)</f>
        <v>0</v>
      </c>
      <c r="BC87" s="4479">
        <f>IFERROR(BC86/BC5,0)</f>
        <v>0</v>
      </c>
      <c r="BD87" s="4480"/>
      <c r="BE87" s="4481"/>
      <c r="BF87" s="4477">
        <f>IFERROR(BF86/BF5,0)</f>
        <v>0</v>
      </c>
      <c r="BG87" s="4478">
        <f>IFERROR(BG86/BG5,0)</f>
        <v>0</v>
      </c>
      <c r="BH87" s="4479">
        <f>IFERROR(BH86/BH5,0)</f>
        <v>0</v>
      </c>
      <c r="BI87" s="4480"/>
      <c r="BJ87" s="4481"/>
      <c r="BK87" s="4477">
        <f>IFERROR(BK86/BK5,0)</f>
        <v>0</v>
      </c>
      <c r="BL87" s="4478">
        <f>IFERROR(BL86/BL5,0)</f>
        <v>0</v>
      </c>
      <c r="BM87" s="4479">
        <f>IFERROR(BM86/BM5,0)</f>
        <v>0</v>
      </c>
      <c r="BN87" s="4480"/>
      <c r="BO87" s="4481"/>
      <c r="BP87" s="4477">
        <f>IFERROR(BP86/BP5,0)</f>
        <v>0</v>
      </c>
      <c r="BQ87" s="4478">
        <f>IFERROR(BQ86/BQ5,0)</f>
        <v>0</v>
      </c>
      <c r="BR87" s="4479">
        <f>IFERROR(BR86/BR5,0)</f>
        <v>0</v>
      </c>
      <c r="BS87" s="4480"/>
      <c r="BT87" s="4481"/>
      <c r="BU87" s="4477">
        <f>IFERROR(BU86/BU5,0)</f>
        <v>0</v>
      </c>
      <c r="BV87" s="4478">
        <f>IFERROR(BV86/BV5,0)</f>
        <v>0</v>
      </c>
      <c r="BW87" s="4479">
        <f>IFERROR(BW86/BW5,0)</f>
        <v>0</v>
      </c>
      <c r="BX87" s="4480"/>
      <c r="BY87" s="4481"/>
      <c r="BZ87" s="4477">
        <f>IFERROR(BZ86/BZ5,0)</f>
        <v>0</v>
      </c>
      <c r="CA87" s="4478">
        <f>IFERROR(CA86/CA5,0)</f>
        <v>0</v>
      </c>
      <c r="CB87" s="4479">
        <f>IFERROR(CB86/CB5,0)</f>
        <v>0</v>
      </c>
      <c r="CC87" s="4480"/>
      <c r="CD87" s="4481"/>
      <c r="CE87" s="4477">
        <f>IFERROR(CE86/CE5,0)</f>
        <v>0</v>
      </c>
      <c r="CF87" s="4478">
        <f>IFERROR(CF86/CF5,0)</f>
        <v>0</v>
      </c>
      <c r="CG87" s="4479">
        <f>IFERROR(CG86/CG5,0)</f>
        <v>0</v>
      </c>
      <c r="CH87" s="4480"/>
      <c r="CI87" s="4481"/>
      <c r="CJ87" s="4477">
        <f>IFERROR(CJ86/CJ5,0)</f>
        <v>0</v>
      </c>
      <c r="CK87" s="4478">
        <f>IFERROR(CK86/CK5,0)</f>
        <v>0</v>
      </c>
      <c r="CL87" s="4479">
        <f>IFERROR(CL86/CL5,0)</f>
        <v>0</v>
      </c>
      <c r="CM87" s="4480"/>
      <c r="CN87" s="4480"/>
      <c r="CP87" s="4479">
        <f>CP86/CP5</f>
        <v>0.24752202478356158</v>
      </c>
      <c r="CQ87" s="4656">
        <f>IFERROR(CQ86/CQ5,0)</f>
        <v>0</v>
      </c>
      <c r="CR87" s="4479">
        <f>CR86/CR5</f>
        <v>0.26732573183537717</v>
      </c>
      <c r="CT87" s="2624"/>
    </row>
    <row r="88" spans="1:101" ht="13.8">
      <c r="A88" s="1423"/>
      <c r="B88" s="1423"/>
      <c r="C88" s="1954"/>
      <c r="D88" s="1954"/>
      <c r="E88" s="1954"/>
      <c r="F88" s="1954"/>
      <c r="G88" s="1611"/>
      <c r="H88" s="1954"/>
      <c r="I88" s="1954"/>
      <c r="J88" s="1954"/>
      <c r="K88" s="1954"/>
      <c r="L88" s="1611"/>
      <c r="M88" s="1954"/>
      <c r="N88" s="1954"/>
      <c r="O88" s="1954"/>
      <c r="P88" s="1954"/>
      <c r="Q88" s="1611"/>
      <c r="R88" s="1611"/>
      <c r="S88" s="1611"/>
      <c r="T88" s="1611"/>
      <c r="U88" s="1611"/>
      <c r="V88" s="1611"/>
      <c r="W88" s="1611"/>
      <c r="X88" s="1611"/>
      <c r="Y88" s="1611"/>
      <c r="Z88" s="1611"/>
      <c r="AA88" s="1611"/>
      <c r="AB88" s="1954"/>
      <c r="AC88" s="1954"/>
      <c r="AD88" s="1954"/>
      <c r="AE88" s="1954"/>
      <c r="AF88" s="1611"/>
      <c r="AG88" s="1954"/>
      <c r="AH88" s="1954"/>
      <c r="AI88" s="1954"/>
      <c r="AJ88" s="1954"/>
      <c r="AK88" s="1611"/>
      <c r="AL88" s="1954"/>
      <c r="AM88" s="1954"/>
      <c r="AN88" s="1954"/>
      <c r="AO88" s="1954"/>
      <c r="AP88" s="1611"/>
      <c r="AQ88" s="1954"/>
      <c r="AR88" s="1954"/>
      <c r="AS88" s="1954"/>
      <c r="AT88" s="1954"/>
      <c r="AU88" s="1611"/>
      <c r="AV88" s="1954"/>
      <c r="AW88" s="1954"/>
      <c r="AX88" s="1954"/>
      <c r="AY88" s="1954"/>
      <c r="AZ88" s="1611"/>
      <c r="BA88" s="1954"/>
      <c r="BB88" s="1954"/>
      <c r="BC88" s="1954"/>
      <c r="BD88" s="1954"/>
      <c r="BE88" s="1611"/>
      <c r="BF88" s="1954"/>
      <c r="BG88" s="1954"/>
      <c r="BH88" s="1954"/>
      <c r="BI88" s="1954"/>
      <c r="BJ88" s="1611"/>
      <c r="BK88" s="1954"/>
      <c r="BL88" s="1954"/>
      <c r="BM88" s="1954"/>
      <c r="BN88" s="1954"/>
      <c r="BO88" s="1611"/>
      <c r="BP88" s="1954"/>
      <c r="BQ88" s="1954"/>
      <c r="BR88" s="1954"/>
      <c r="BS88" s="1954"/>
      <c r="BT88" s="1611"/>
      <c r="BU88" s="1954"/>
      <c r="BV88" s="1954"/>
      <c r="BW88" s="1954"/>
      <c r="BX88" s="1954"/>
      <c r="BY88" s="1611"/>
      <c r="BZ88" s="1954"/>
      <c r="CA88" s="1954"/>
      <c r="CB88" s="1954"/>
      <c r="CC88" s="1954"/>
      <c r="CD88" s="1611"/>
      <c r="CE88" s="1954"/>
      <c r="CF88" s="1954"/>
      <c r="CG88" s="1954"/>
      <c r="CH88" s="1954"/>
      <c r="CI88" s="1611"/>
      <c r="CJ88" s="1954"/>
      <c r="CK88" s="1954"/>
      <c r="CL88" s="1954"/>
      <c r="CM88" s="1954"/>
      <c r="CN88" s="1954"/>
      <c r="CP88" s="1954"/>
      <c r="CQ88" s="1954"/>
      <c r="CR88" s="1954"/>
    </row>
    <row r="89" spans="1:101">
      <c r="B89" s="1562" t="s">
        <v>56</v>
      </c>
      <c r="E89" s="1960">
        <f>E8+E36+E41+E50+E54+E73+E79+E82+E85</f>
        <v>0</v>
      </c>
      <c r="G89" s="1963"/>
      <c r="J89" s="1960">
        <f>J8+J36+J41+J50+J54+J73+J79+J82+J85</f>
        <v>0</v>
      </c>
      <c r="L89" s="1963"/>
      <c r="O89" s="1960">
        <f>O8+O36+O41+O50+O54+O73+O79+O82+O85</f>
        <v>0</v>
      </c>
      <c r="Q89" s="1963"/>
      <c r="R89" s="1963"/>
      <c r="S89" s="1963"/>
      <c r="T89" s="1960">
        <f>T8+T36+T41+T50+T54+T73+T79+T82+T85</f>
        <v>0</v>
      </c>
      <c r="U89" s="1963"/>
      <c r="V89" s="1963"/>
      <c r="W89" s="1963"/>
      <c r="X89" s="1963"/>
      <c r="Y89" s="1960">
        <f>Y8+Y36+Y41+Y50+Y54+Y73+Y79+Y82+Y85</f>
        <v>544282.43215155113</v>
      </c>
      <c r="Z89" s="1963"/>
      <c r="AA89" s="1963"/>
      <c r="AD89" s="1960">
        <f>AD8+AD36+AD41+AD50+AD54+AD73+AD79+AD82+AD85</f>
        <v>0</v>
      </c>
      <c r="AF89" s="1963"/>
      <c r="AI89" s="1960">
        <f>AI8+AI36+AI41+AI50+AI54+AI73+AI79+AI82+AI85</f>
        <v>0</v>
      </c>
      <c r="AK89" s="1963"/>
      <c r="AN89" s="1960">
        <f>AN8+AN36+AN41+AN50+AN54+AN73+AN79+AN82+AN85</f>
        <v>0</v>
      </c>
      <c r="AP89" s="1963"/>
      <c r="AS89" s="1960">
        <f>AS8+AS36+AS41+AS50+AS54+AS73+AS79+AS82+AS85</f>
        <v>0</v>
      </c>
      <c r="AU89" s="1963"/>
      <c r="AX89" s="1960">
        <f>AX8+AX36+AX41+AX50+AX54+AX73+AX79+AX82+AX85</f>
        <v>0</v>
      </c>
      <c r="AZ89" s="1963"/>
      <c r="BC89" s="1960">
        <f>BC8+BC36+BC41+BC50+BC54+BC73+BC79+BC82+BC85</f>
        <v>544282.43215155113</v>
      </c>
      <c r="BE89" s="1963"/>
      <c r="BH89" s="1960">
        <f>BH8+BH36+BH41+BH50+BH54+BH73+BH79+BH82+BH85</f>
        <v>0</v>
      </c>
      <c r="BJ89" s="1963"/>
      <c r="BM89" s="1960">
        <f>BM8+BM36+BM41+BM50+BM54+BM73+BM79+BM82+BM85</f>
        <v>0</v>
      </c>
      <c r="BO89" s="1963"/>
      <c r="BR89" s="1960">
        <f>BR8+BR36+BR41+BR50+BR54+BR73+BR79+BR82+BR85</f>
        <v>0</v>
      </c>
      <c r="BT89" s="1963"/>
      <c r="BW89" s="1960">
        <f>BW8+BW36+BW41+BW50+BW54+BW73+BW79+BW82+BW85</f>
        <v>0</v>
      </c>
      <c r="BY89" s="1963"/>
      <c r="CB89" s="1960">
        <f>CB8+CB36+CB41+CB50+CB54+CB73+CB79+CB82+CB85</f>
        <v>0</v>
      </c>
      <c r="CD89" s="1963"/>
      <c r="CG89" s="1960">
        <f>CG8+CG36+CG41+CG50+CG54+CG73+CG79+CG82+CG85</f>
        <v>0</v>
      </c>
      <c r="CI89" s="1963"/>
      <c r="CL89" s="1960">
        <f>CL8+CL36+CL41+CL50+CL54+CL73+CL79+CL82+CL85</f>
        <v>544282.43215155113</v>
      </c>
    </row>
    <row r="90" spans="1:101">
      <c r="C90" s="1963"/>
      <c r="D90" s="1963"/>
      <c r="E90" s="1963"/>
      <c r="F90" s="1963"/>
      <c r="G90" s="1963"/>
      <c r="H90" s="1963"/>
      <c r="I90" s="1963"/>
      <c r="J90" s="1963"/>
      <c r="K90" s="1963"/>
      <c r="L90" s="1963"/>
      <c r="M90" s="1963"/>
      <c r="N90" s="1963"/>
      <c r="O90" s="1963"/>
      <c r="P90" s="1963"/>
      <c r="Q90" s="1963"/>
      <c r="R90" s="1963"/>
      <c r="S90" s="1963"/>
      <c r="T90" s="1606" t="b">
        <f>O89+J89+E89=T89</f>
        <v>1</v>
      </c>
      <c r="U90" s="1963"/>
      <c r="V90" s="1963"/>
      <c r="W90" s="1963"/>
      <c r="X90" s="1963"/>
      <c r="Y90" s="1606"/>
      <c r="Z90" s="1963"/>
      <c r="AA90" s="1963"/>
      <c r="AB90" s="1963"/>
      <c r="AC90" s="1963"/>
      <c r="AD90" s="1963"/>
      <c r="AE90" s="1963"/>
      <c r="AF90" s="1963"/>
      <c r="AG90" s="1963"/>
      <c r="AH90" s="1963"/>
      <c r="AI90" s="1963"/>
      <c r="AJ90" s="1963"/>
      <c r="AK90" s="1963"/>
      <c r="AL90" s="1963"/>
      <c r="AM90" s="1963"/>
      <c r="AN90" s="1963"/>
      <c r="AO90" s="1963"/>
      <c r="AP90" s="1963"/>
      <c r="AQ90" s="1963"/>
      <c r="AR90" s="1963"/>
      <c r="AS90" s="1963"/>
      <c r="AT90" s="1963"/>
      <c r="AU90" s="1963"/>
      <c r="AV90" s="1963"/>
      <c r="AW90" s="1963"/>
      <c r="AX90" s="1963"/>
      <c r="AY90" s="1963"/>
      <c r="AZ90" s="1963"/>
      <c r="BA90" s="1963"/>
      <c r="BB90" s="1963"/>
      <c r="BC90" s="1963"/>
      <c r="BD90" s="1963"/>
      <c r="BE90" s="1963"/>
      <c r="BF90" s="1963"/>
      <c r="BG90" s="1963"/>
      <c r="BH90" s="1963"/>
      <c r="BI90" s="1963"/>
      <c r="BJ90" s="1963"/>
      <c r="BK90" s="1963"/>
      <c r="BL90" s="1963"/>
      <c r="BM90" s="1963"/>
      <c r="BN90" s="1963"/>
      <c r="BO90" s="1963"/>
      <c r="BP90" s="1963"/>
      <c r="BQ90" s="1963"/>
      <c r="BR90" s="1963"/>
      <c r="BS90" s="1963"/>
      <c r="BT90" s="1963"/>
      <c r="BU90" s="1963"/>
      <c r="BV90" s="1963"/>
      <c r="BW90" s="1963"/>
      <c r="BX90" s="1963"/>
      <c r="BY90" s="1963"/>
      <c r="BZ90" s="1963"/>
      <c r="CA90" s="1963"/>
      <c r="CB90" s="1963"/>
      <c r="CC90" s="1963"/>
      <c r="CD90" s="1963"/>
      <c r="CE90" s="1963"/>
      <c r="CF90" s="1963"/>
      <c r="CG90" s="1963"/>
      <c r="CH90" s="1963"/>
      <c r="CI90" s="1963"/>
      <c r="CL90" s="1592" t="b">
        <f>J89+O89+E89+Y89=CL89</f>
        <v>1</v>
      </c>
    </row>
    <row r="91" spans="1:101" s="1396" customFormat="1">
      <c r="A91" s="1402"/>
      <c r="B91" s="1402"/>
      <c r="C91" s="1963"/>
      <c r="D91" s="1963"/>
      <c r="E91" s="1963"/>
      <c r="F91" s="1963"/>
      <c r="G91" s="1963"/>
      <c r="H91" s="1963"/>
      <c r="I91" s="1963"/>
      <c r="J91" s="1963"/>
      <c r="K91" s="1963"/>
      <c r="L91" s="1963"/>
      <c r="M91" s="1963"/>
      <c r="N91" s="1963"/>
      <c r="O91" s="1963"/>
      <c r="P91" s="1963"/>
      <c r="Q91" s="1963"/>
      <c r="R91" s="1963"/>
      <c r="S91" s="1963"/>
      <c r="T91" s="1963"/>
      <c r="U91" s="1963"/>
      <c r="V91" s="1963"/>
      <c r="W91" s="1963"/>
      <c r="X91" s="1963"/>
      <c r="Y91" s="1963"/>
      <c r="Z91" s="1963"/>
      <c r="AA91" s="1963"/>
      <c r="AB91" s="1963"/>
      <c r="AC91" s="1963"/>
      <c r="AD91" s="1963"/>
      <c r="AE91" s="1963"/>
      <c r="AF91" s="1963"/>
      <c r="AG91" s="1963"/>
      <c r="AH91" s="1963"/>
      <c r="AI91" s="1963"/>
      <c r="AJ91" s="1963"/>
      <c r="AK91" s="1963"/>
      <c r="AL91" s="1963"/>
      <c r="AM91" s="1963"/>
      <c r="AN91" s="1963"/>
      <c r="AO91" s="1963"/>
      <c r="AP91" s="1963"/>
      <c r="AQ91" s="1963"/>
      <c r="AR91" s="1963"/>
      <c r="AS91" s="1963"/>
      <c r="AT91" s="1963"/>
      <c r="AU91" s="1963"/>
      <c r="AV91" s="1963"/>
      <c r="AW91" s="1963"/>
      <c r="AX91" s="1963"/>
      <c r="AY91" s="1963"/>
      <c r="AZ91" s="1963"/>
      <c r="BA91" s="4203" t="s">
        <v>2172</v>
      </c>
      <c r="BB91" s="1963"/>
      <c r="BC91" s="1963"/>
      <c r="BD91" s="1963"/>
      <c r="BE91" s="1963"/>
      <c r="BF91" s="1963"/>
      <c r="BG91" s="1963"/>
      <c r="BH91" s="1963"/>
      <c r="BI91" s="1963"/>
      <c r="BJ91" s="1963"/>
      <c r="BK91" s="1963"/>
      <c r="BL91" s="1963"/>
      <c r="BM91" s="1963"/>
      <c r="BN91" s="1963"/>
      <c r="BO91" s="1963"/>
      <c r="BP91" s="1963"/>
      <c r="BQ91" s="1963"/>
      <c r="BR91" s="1963"/>
      <c r="BS91" s="1963"/>
      <c r="BT91" s="1963"/>
      <c r="BU91" s="1963"/>
      <c r="BV91" s="1963"/>
      <c r="BW91" s="1963"/>
      <c r="BX91" s="1963"/>
      <c r="BY91" s="1963"/>
      <c r="BZ91" s="1963"/>
      <c r="CA91" s="1963"/>
      <c r="CB91" s="1963"/>
      <c r="CC91" s="1963"/>
      <c r="CD91" s="1963"/>
      <c r="CE91" s="1963"/>
      <c r="CF91" s="1963"/>
      <c r="CG91" s="1963"/>
      <c r="CH91" s="1963"/>
      <c r="CI91" s="1963"/>
      <c r="CJ91" s="1952"/>
      <c r="CK91" s="1952"/>
      <c r="CL91" s="1952"/>
      <c r="CM91" s="1952"/>
      <c r="CN91" s="1952"/>
      <c r="CP91" s="1952"/>
      <c r="CQ91" s="1952"/>
      <c r="CR91" s="1952"/>
      <c r="CT91" s="2624"/>
    </row>
    <row r="92" spans="1:101">
      <c r="C92" s="1963"/>
      <c r="D92" s="1963"/>
      <c r="E92" s="1963"/>
      <c r="F92" s="1963"/>
      <c r="G92" s="1963"/>
      <c r="H92" s="1963"/>
      <c r="I92" s="1963"/>
      <c r="J92" s="1963"/>
      <c r="K92" s="1963"/>
      <c r="L92" s="1963"/>
      <c r="M92" s="1963"/>
      <c r="N92" s="1963"/>
      <c r="O92" s="1963"/>
      <c r="P92" s="1963"/>
      <c r="Q92" s="1963"/>
      <c r="R92" s="1963"/>
      <c r="S92" s="1963"/>
      <c r="T92" s="1963"/>
      <c r="U92" s="1963"/>
      <c r="V92" s="1963"/>
      <c r="W92" s="1963"/>
      <c r="X92" s="1963"/>
      <c r="Y92" s="1963"/>
      <c r="Z92" s="1963"/>
      <c r="AA92" s="1963"/>
      <c r="AB92" s="1963"/>
      <c r="AC92" s="1963"/>
      <c r="AD92" s="1963"/>
      <c r="AE92" s="1963"/>
      <c r="AF92" s="1963"/>
      <c r="AG92" s="1963"/>
      <c r="AH92" s="1963"/>
      <c r="AI92" s="1963"/>
      <c r="AJ92" s="1963"/>
      <c r="AK92" s="1963"/>
      <c r="AL92" s="1963"/>
      <c r="AM92" s="1963"/>
      <c r="AN92" s="1963"/>
      <c r="AO92" s="1963"/>
      <c r="AP92" s="1963"/>
      <c r="AQ92" s="1963"/>
      <c r="AR92" s="1963"/>
      <c r="AS92" s="1963"/>
      <c r="AT92" s="1963"/>
      <c r="AU92" s="1963"/>
      <c r="AV92" s="1963"/>
      <c r="AW92" s="1963"/>
      <c r="AX92" s="1963"/>
      <c r="AY92" s="1963"/>
      <c r="AZ92" s="1963"/>
      <c r="BA92" s="4203" t="s">
        <v>2173</v>
      </c>
      <c r="BB92" s="1963"/>
      <c r="BC92" s="1963"/>
      <c r="BD92" s="1963"/>
      <c r="BE92" s="1963"/>
      <c r="BF92" s="1963"/>
      <c r="BG92" s="1963"/>
      <c r="BH92" s="1963"/>
      <c r="BI92" s="1963"/>
      <c r="BJ92" s="1963"/>
      <c r="BK92" s="1963"/>
      <c r="BL92" s="1963"/>
      <c r="BM92" s="1963"/>
      <c r="BN92" s="1963"/>
      <c r="BO92" s="1963"/>
      <c r="BP92" s="1963"/>
      <c r="BQ92" s="1963"/>
      <c r="BR92" s="1963"/>
      <c r="BS92" s="1963"/>
      <c r="BT92" s="1963"/>
      <c r="BU92" s="1963"/>
      <c r="BV92" s="1963"/>
      <c r="BW92" s="1963"/>
      <c r="BX92" s="1963"/>
      <c r="BY92" s="1963"/>
      <c r="BZ92" s="1963"/>
      <c r="CA92" s="1963"/>
      <c r="CB92" s="1963"/>
      <c r="CC92" s="1963"/>
      <c r="CD92" s="1963"/>
      <c r="CE92" s="1963"/>
      <c r="CF92" s="1963"/>
      <c r="CG92" s="1963"/>
      <c r="CH92" s="1963"/>
      <c r="CI92" s="1963"/>
    </row>
    <row r="93" spans="1:101" s="1396" customFormat="1">
      <c r="A93" s="1402"/>
      <c r="B93" s="1655"/>
      <c r="C93" s="1963"/>
      <c r="D93" s="1963"/>
      <c r="E93" s="1963"/>
      <c r="F93" s="1963"/>
      <c r="G93" s="1963"/>
      <c r="H93" s="1963"/>
      <c r="I93" s="1963"/>
      <c r="J93" s="1963"/>
      <c r="K93" s="1963"/>
      <c r="L93" s="1963"/>
      <c r="M93" s="1963"/>
      <c r="N93" s="1963"/>
      <c r="O93" s="1963"/>
      <c r="P93" s="1963"/>
      <c r="Q93" s="1963"/>
      <c r="R93" s="1963"/>
      <c r="S93" s="1963"/>
      <c r="T93" s="1963"/>
      <c r="U93" s="1963"/>
      <c r="V93" s="1963"/>
      <c r="W93" s="1963"/>
      <c r="X93" s="1963"/>
      <c r="Y93" s="1963"/>
      <c r="Z93" s="1963"/>
      <c r="AA93" s="1963"/>
      <c r="AB93" s="1963"/>
      <c r="AC93" s="1963"/>
      <c r="AD93" s="1963"/>
      <c r="AE93" s="1963"/>
      <c r="AF93" s="1963"/>
      <c r="AG93" s="1963"/>
      <c r="AH93" s="1963"/>
      <c r="AI93" s="1963"/>
      <c r="AJ93" s="1963"/>
      <c r="AK93" s="1963"/>
      <c r="AL93" s="1963"/>
      <c r="AM93" s="1963"/>
      <c r="AN93" s="1963"/>
      <c r="AO93" s="1963"/>
      <c r="AP93" s="1963"/>
      <c r="AQ93" s="1963"/>
      <c r="AR93" s="1963"/>
      <c r="AS93" s="1963"/>
      <c r="AT93" s="1963"/>
      <c r="AU93" s="1963"/>
      <c r="AV93" s="1963"/>
      <c r="AW93" s="1963"/>
      <c r="AX93" s="1963"/>
      <c r="AY93" s="1963"/>
      <c r="AZ93" s="1963"/>
      <c r="BA93" s="4203" t="s">
        <v>2174</v>
      </c>
      <c r="BB93" s="1963"/>
      <c r="BC93" s="1963"/>
      <c r="BD93" s="1963"/>
      <c r="BE93" s="1963"/>
      <c r="BF93" s="1963"/>
      <c r="BG93" s="1963"/>
      <c r="BH93" s="1963"/>
      <c r="BI93" s="1963"/>
      <c r="BJ93" s="1963"/>
      <c r="BK93" s="1963"/>
      <c r="BL93" s="1963"/>
      <c r="BM93" s="1963"/>
      <c r="BN93" s="1963"/>
      <c r="BO93" s="1963"/>
      <c r="BP93" s="1963"/>
      <c r="BQ93" s="1963"/>
      <c r="BR93" s="1963"/>
      <c r="BS93" s="1963"/>
      <c r="BT93" s="1963"/>
      <c r="BU93" s="1963"/>
      <c r="BV93" s="1963"/>
      <c r="BW93" s="1963"/>
      <c r="BX93" s="1963"/>
      <c r="BY93" s="1963"/>
      <c r="BZ93" s="1963"/>
      <c r="CA93" s="1963"/>
      <c r="CB93" s="1963"/>
      <c r="CC93" s="1963"/>
      <c r="CD93" s="1963"/>
      <c r="CE93" s="1963"/>
      <c r="CF93" s="1963"/>
      <c r="CG93" s="1963"/>
      <c r="CH93" s="1963"/>
      <c r="CI93" s="1963"/>
      <c r="CJ93" s="1952"/>
      <c r="CK93" s="1952"/>
      <c r="CL93" s="687"/>
      <c r="CM93" s="1952"/>
      <c r="CN93" s="1952"/>
      <c r="CP93" s="1952"/>
      <c r="CQ93" s="1952"/>
      <c r="CR93" s="1952"/>
      <c r="CT93" s="2624"/>
    </row>
    <row r="94" spans="1:101" s="1396" customFormat="1">
      <c r="A94" s="1402"/>
      <c r="B94" s="1655"/>
      <c r="C94" s="1963"/>
      <c r="D94" s="1963"/>
      <c r="E94" s="1963"/>
      <c r="F94" s="1963"/>
      <c r="G94" s="1963"/>
      <c r="H94" s="1963"/>
      <c r="I94" s="1963"/>
      <c r="J94" s="1963"/>
      <c r="K94" s="1963"/>
      <c r="L94" s="1963"/>
      <c r="M94" s="1963"/>
      <c r="N94" s="1963"/>
      <c r="O94" s="1963"/>
      <c r="P94" s="1963"/>
      <c r="Q94" s="1963"/>
      <c r="R94" s="1963"/>
      <c r="S94" s="1963"/>
      <c r="T94" s="1963"/>
      <c r="U94" s="1963"/>
      <c r="V94" s="1963"/>
      <c r="W94" s="1963"/>
      <c r="X94" s="1963"/>
      <c r="Y94" s="1963"/>
      <c r="Z94" s="1963"/>
      <c r="AA94" s="1963"/>
      <c r="AB94" s="1963"/>
      <c r="AC94" s="1963"/>
      <c r="AD94" s="1963"/>
      <c r="AE94" s="1963"/>
      <c r="AF94" s="1963"/>
      <c r="AG94" s="1963"/>
      <c r="AH94" s="1963"/>
      <c r="AI94" s="1963"/>
      <c r="AJ94" s="1963"/>
      <c r="AK94" s="1963"/>
      <c r="AL94" s="1963"/>
      <c r="AM94" s="1963"/>
      <c r="AN94" s="1963"/>
      <c r="AO94" s="1963"/>
      <c r="AP94" s="1963"/>
      <c r="AQ94" s="1963"/>
      <c r="AR94" s="1963"/>
      <c r="AS94" s="1963"/>
      <c r="AT94" s="1963"/>
      <c r="AU94" s="1963"/>
      <c r="AV94" s="1963"/>
      <c r="AW94" s="1963"/>
      <c r="AX94" s="1963"/>
      <c r="AY94" s="1963"/>
      <c r="AZ94" s="1963"/>
      <c r="BA94" s="4203" t="s">
        <v>2181</v>
      </c>
      <c r="BB94" s="1963"/>
      <c r="BC94" s="1963"/>
      <c r="BD94" s="1963"/>
      <c r="BE94" s="1963"/>
      <c r="BF94" s="1963"/>
      <c r="BG94" s="1963"/>
      <c r="BH94" s="1963"/>
      <c r="BI94" s="1963"/>
      <c r="BJ94" s="1963"/>
      <c r="BK94" s="1963"/>
      <c r="BL94" s="1963"/>
      <c r="BM94" s="1963"/>
      <c r="BN94" s="1963"/>
      <c r="BO94" s="1963"/>
      <c r="BP94" s="1963"/>
      <c r="BQ94" s="1963"/>
      <c r="BR94" s="1963"/>
      <c r="BS94" s="1963"/>
      <c r="BT94" s="1963"/>
      <c r="BU94" s="1963"/>
      <c r="BV94" s="1963"/>
      <c r="BW94" s="1963"/>
      <c r="BX94" s="1963"/>
      <c r="BY94" s="1963"/>
      <c r="BZ94" s="1963"/>
      <c r="CA94" s="1963"/>
      <c r="CB94" s="1963"/>
      <c r="CC94" s="1963"/>
      <c r="CD94" s="1963"/>
      <c r="CE94" s="1963"/>
      <c r="CF94" s="1963"/>
      <c r="CG94" s="1963"/>
      <c r="CH94" s="1963"/>
      <c r="CI94" s="1963"/>
      <c r="CJ94" s="1952"/>
      <c r="CK94" s="1952"/>
      <c r="CL94" s="1952"/>
      <c r="CM94" s="1952"/>
      <c r="CN94" s="1952"/>
      <c r="CP94" s="1952"/>
      <c r="CQ94" s="1952"/>
      <c r="CR94" s="1952"/>
      <c r="CT94" s="2624"/>
    </row>
    <row r="95" spans="1:101" s="1396" customFormat="1">
      <c r="A95" s="1402"/>
      <c r="B95" s="1655"/>
      <c r="C95" s="1963"/>
      <c r="D95" s="1963"/>
      <c r="E95" s="1963"/>
      <c r="F95" s="1963"/>
      <c r="G95" s="1963"/>
      <c r="H95" s="1963"/>
      <c r="I95" s="1963"/>
      <c r="J95" s="1963"/>
      <c r="K95" s="1963"/>
      <c r="L95" s="1963"/>
      <c r="M95" s="1963"/>
      <c r="N95" s="1963"/>
      <c r="O95" s="1963"/>
      <c r="P95" s="1963"/>
      <c r="Q95" s="1963"/>
      <c r="R95" s="1963"/>
      <c r="S95" s="1963"/>
      <c r="T95" s="1963"/>
      <c r="U95" s="1963"/>
      <c r="V95" s="1963"/>
      <c r="W95" s="1963"/>
      <c r="X95" s="1963"/>
      <c r="Y95" s="1963"/>
      <c r="Z95" s="1963"/>
      <c r="AA95" s="1963"/>
      <c r="AB95" s="1963"/>
      <c r="AC95" s="1963"/>
      <c r="AD95" s="1963"/>
      <c r="AE95" s="1963"/>
      <c r="AF95" s="1963"/>
      <c r="AG95" s="1963"/>
      <c r="AH95" s="1963"/>
      <c r="AI95" s="1963"/>
      <c r="AJ95" s="1963"/>
      <c r="AK95" s="1963"/>
      <c r="AL95" s="1963"/>
      <c r="AM95" s="1963"/>
      <c r="AN95" s="1963"/>
      <c r="AO95" s="1963"/>
      <c r="AP95" s="1963"/>
      <c r="AQ95" s="1963"/>
      <c r="AR95" s="1963"/>
      <c r="AS95" s="1963"/>
      <c r="AT95" s="1963"/>
      <c r="AU95" s="1963"/>
      <c r="AV95" s="1963"/>
      <c r="AW95" s="1963"/>
      <c r="AX95" s="1963"/>
      <c r="AY95" s="1963"/>
      <c r="AZ95" s="1963"/>
      <c r="BA95" s="4203"/>
      <c r="BB95" s="1963"/>
      <c r="BC95" s="1963"/>
      <c r="BD95" s="1963"/>
      <c r="BE95" s="1963"/>
      <c r="BF95" s="1963"/>
      <c r="BG95" s="1963"/>
      <c r="BH95" s="1963"/>
      <c r="BI95" s="1963"/>
      <c r="BJ95" s="1963"/>
      <c r="BK95" s="1963"/>
      <c r="BL95" s="1963"/>
      <c r="BM95" s="1963"/>
      <c r="BN95" s="1963"/>
      <c r="BO95" s="1963"/>
      <c r="BP95" s="1963"/>
      <c r="BQ95" s="1963"/>
      <c r="BR95" s="1963"/>
      <c r="BS95" s="1963"/>
      <c r="BT95" s="1963"/>
      <c r="BU95" s="1963"/>
      <c r="BV95" s="1963"/>
      <c r="BW95" s="1963"/>
      <c r="BX95" s="1963"/>
      <c r="BY95" s="1963"/>
      <c r="BZ95" s="1963"/>
      <c r="CA95" s="1963"/>
      <c r="CB95" s="1963"/>
      <c r="CC95" s="1963"/>
      <c r="CD95" s="1963"/>
      <c r="CE95" s="1963"/>
      <c r="CF95" s="1963"/>
      <c r="CG95" s="1963"/>
      <c r="CH95" s="1963"/>
      <c r="CI95" s="1963"/>
      <c r="CJ95" s="1952"/>
      <c r="CK95" s="1952"/>
      <c r="CL95" s="1952"/>
      <c r="CM95" s="1952"/>
      <c r="CN95" s="1952"/>
      <c r="CP95" s="1952"/>
      <c r="CQ95" s="1952"/>
      <c r="CR95" s="1952"/>
      <c r="CT95" s="2624"/>
    </row>
    <row r="96" spans="1:101" s="1396" customFormat="1">
      <c r="A96" s="1402"/>
      <c r="B96" s="1655"/>
      <c r="C96" s="1963"/>
      <c r="D96" s="1963"/>
      <c r="E96" s="1963"/>
      <c r="F96" s="1963"/>
      <c r="G96" s="1963"/>
      <c r="H96" s="1963"/>
      <c r="I96" s="1963"/>
      <c r="J96" s="1963"/>
      <c r="K96" s="1963"/>
      <c r="L96" s="1963"/>
      <c r="M96" s="1963"/>
      <c r="N96" s="1963"/>
      <c r="O96" s="1963"/>
      <c r="P96" s="1963"/>
      <c r="Q96" s="1963"/>
      <c r="R96" s="1963"/>
      <c r="S96" s="1963"/>
      <c r="T96" s="1963"/>
      <c r="U96" s="1963"/>
      <c r="V96" s="1963"/>
      <c r="W96" s="1963"/>
      <c r="X96" s="1963"/>
      <c r="Y96" s="1963"/>
      <c r="Z96" s="1963"/>
      <c r="AA96" s="1963"/>
      <c r="AB96" s="1963"/>
      <c r="AC96" s="1963"/>
      <c r="AD96" s="1963"/>
      <c r="AE96" s="1963"/>
      <c r="AF96" s="1963"/>
      <c r="AG96" s="1963"/>
      <c r="AH96" s="1963"/>
      <c r="AI96" s="1963"/>
      <c r="AJ96" s="1963"/>
      <c r="AK96" s="1963"/>
      <c r="AL96" s="1963"/>
      <c r="AM96" s="1963"/>
      <c r="AN96" s="1963"/>
      <c r="AO96" s="1963"/>
      <c r="AP96" s="1963"/>
      <c r="AQ96" s="1963"/>
      <c r="AR96" s="1963"/>
      <c r="AS96" s="1963"/>
      <c r="AT96" s="1963"/>
      <c r="AU96" s="1963"/>
      <c r="AV96" s="1963"/>
      <c r="AW96" s="1963"/>
      <c r="AX96" s="1963"/>
      <c r="AY96" s="1963"/>
      <c r="AZ96" s="1963"/>
      <c r="BA96" s="4203"/>
      <c r="BB96" s="1963"/>
      <c r="BC96" s="1963"/>
      <c r="BD96" s="1963"/>
      <c r="BE96" s="1963"/>
      <c r="BF96" s="1963"/>
      <c r="BG96" s="1963"/>
      <c r="BH96" s="1963"/>
      <c r="BI96" s="1963"/>
      <c r="BJ96" s="1963"/>
      <c r="BK96" s="1963"/>
      <c r="BL96" s="1963"/>
      <c r="BM96" s="1963"/>
      <c r="BN96" s="1963"/>
      <c r="BO96" s="1963"/>
      <c r="BP96" s="1963"/>
      <c r="BQ96" s="1963"/>
      <c r="BR96" s="1963"/>
      <c r="BS96" s="1963"/>
      <c r="BT96" s="1963"/>
      <c r="BU96" s="1963"/>
      <c r="BV96" s="1963"/>
      <c r="BW96" s="1963"/>
      <c r="BX96" s="1963"/>
      <c r="BY96" s="1963"/>
      <c r="BZ96" s="1963"/>
      <c r="CA96" s="1963"/>
      <c r="CB96" s="1963"/>
      <c r="CC96" s="1963"/>
      <c r="CD96" s="1963"/>
      <c r="CE96" s="1963"/>
      <c r="CF96" s="1963"/>
      <c r="CG96" s="1963"/>
      <c r="CH96" s="1963"/>
      <c r="CI96" s="1963"/>
      <c r="CJ96" s="1952"/>
      <c r="CK96" s="1952"/>
      <c r="CL96" s="1952"/>
      <c r="CM96" s="1952"/>
      <c r="CN96" s="1952"/>
      <c r="CP96" s="1952"/>
      <c r="CQ96" s="1952"/>
      <c r="CR96" s="1952"/>
      <c r="CT96" s="2624"/>
    </row>
    <row r="97" spans="1:98">
      <c r="C97" s="1963"/>
      <c r="D97" s="1963"/>
      <c r="E97" s="1963"/>
      <c r="F97" s="1963"/>
      <c r="G97" s="1963"/>
      <c r="H97" s="1963"/>
      <c r="I97" s="1963"/>
      <c r="J97" s="1963"/>
      <c r="K97" s="1963"/>
      <c r="L97" s="1963"/>
      <c r="M97" s="1963"/>
      <c r="N97" s="1963"/>
      <c r="O97" s="1963"/>
      <c r="P97" s="1963"/>
      <c r="Q97" s="1963"/>
      <c r="R97" s="1963"/>
      <c r="S97" s="1963"/>
      <c r="T97" s="1963"/>
      <c r="U97" s="1963"/>
      <c r="V97" s="1963"/>
      <c r="W97" s="1963"/>
      <c r="X97" s="1963"/>
      <c r="Y97" s="1963"/>
      <c r="Z97" s="1963"/>
      <c r="AA97" s="1963"/>
      <c r="AB97" s="1963"/>
      <c r="AC97" s="1963"/>
      <c r="AD97" s="1963"/>
      <c r="AE97" s="1963"/>
      <c r="AF97" s="1963"/>
      <c r="AG97" s="1963"/>
      <c r="AH97" s="1963"/>
      <c r="AI97" s="1963"/>
      <c r="AJ97" s="1963"/>
      <c r="AK97" s="1963"/>
      <c r="AL97" s="1963"/>
      <c r="AM97" s="1963"/>
      <c r="AN97" s="1963"/>
      <c r="AO97" s="1963"/>
      <c r="AP97" s="1963"/>
      <c r="AQ97" s="1963"/>
      <c r="AR97" s="1963"/>
      <c r="AS97" s="1963"/>
      <c r="AT97" s="1963"/>
      <c r="AU97" s="1963"/>
      <c r="AV97" s="1963"/>
      <c r="AW97" s="1963"/>
      <c r="AX97" s="1963"/>
      <c r="AY97" s="1963"/>
      <c r="AZ97" s="1963"/>
      <c r="BA97" s="4203"/>
      <c r="BB97" s="1963"/>
      <c r="BC97" s="1963"/>
      <c r="BD97" s="1963"/>
      <c r="BE97" s="1963"/>
      <c r="BF97" s="1963"/>
      <c r="BG97" s="1963"/>
      <c r="BH97" s="1963"/>
      <c r="BI97" s="1963"/>
      <c r="BJ97" s="1963"/>
      <c r="BK97" s="1963"/>
      <c r="BL97" s="1963"/>
      <c r="BM97" s="1963"/>
      <c r="BN97" s="1963"/>
      <c r="BO97" s="1963"/>
      <c r="BP97" s="1963"/>
      <c r="BQ97" s="1963"/>
      <c r="BR97" s="1963"/>
      <c r="BS97" s="1963"/>
      <c r="BT97" s="1963"/>
      <c r="BU97" s="1963"/>
      <c r="BV97" s="1963"/>
      <c r="BW97" s="1963"/>
      <c r="BX97" s="1963"/>
      <c r="BY97" s="1963"/>
      <c r="BZ97" s="1963"/>
      <c r="CA97" s="1963"/>
      <c r="CB97" s="1963"/>
      <c r="CC97" s="1963"/>
      <c r="CD97" s="1963"/>
      <c r="CE97" s="1963"/>
      <c r="CF97" s="1963"/>
      <c r="CG97" s="1963"/>
      <c r="CH97" s="1963"/>
      <c r="CI97" s="1963"/>
    </row>
    <row r="98" spans="1:98" s="1396" customFormat="1">
      <c r="A98" s="1402"/>
      <c r="B98" s="1402"/>
      <c r="C98" s="1952"/>
      <c r="D98" s="1952"/>
      <c r="E98" s="1952"/>
      <c r="F98" s="1952"/>
      <c r="G98" s="1952"/>
      <c r="H98" s="1952"/>
      <c r="I98" s="1952"/>
      <c r="J98" s="1952"/>
      <c r="K98" s="1952"/>
      <c r="L98" s="1952"/>
      <c r="M98" s="1952"/>
      <c r="N98" s="1952"/>
      <c r="O98" s="1952"/>
      <c r="P98" s="1952"/>
      <c r="Q98" s="1952"/>
      <c r="R98" s="1952"/>
      <c r="S98" s="1952"/>
      <c r="T98" s="1952"/>
      <c r="U98" s="1952"/>
      <c r="V98" s="1952"/>
      <c r="W98" s="1952"/>
      <c r="X98" s="1952"/>
      <c r="Y98" s="1952"/>
      <c r="Z98" s="1952"/>
      <c r="AA98" s="1952"/>
      <c r="AB98" s="1952"/>
      <c r="AC98" s="1952"/>
      <c r="AD98" s="1952"/>
      <c r="AE98" s="1952"/>
      <c r="AF98" s="1952"/>
      <c r="AG98" s="1952"/>
      <c r="AH98" s="1952"/>
      <c r="AI98" s="1952"/>
      <c r="AJ98" s="1952"/>
      <c r="AK98" s="1952"/>
      <c r="AL98" s="1952"/>
      <c r="AM98" s="1952"/>
      <c r="AN98" s="1952"/>
      <c r="AO98" s="1952"/>
      <c r="AP98" s="1952"/>
      <c r="AQ98" s="1952"/>
      <c r="AR98" s="1952"/>
      <c r="AS98" s="1952"/>
      <c r="AT98" s="1952"/>
      <c r="AU98" s="1952"/>
      <c r="AV98" s="1952"/>
      <c r="AW98" s="1952"/>
      <c r="AX98" s="1952"/>
      <c r="AY98" s="1952"/>
      <c r="AZ98" s="1952"/>
      <c r="BA98" s="4203"/>
      <c r="BB98" s="1952"/>
      <c r="BC98" s="1952"/>
      <c r="BD98" s="1952"/>
      <c r="BE98" s="1952"/>
      <c r="BF98" s="1952"/>
      <c r="BG98" s="1952"/>
      <c r="BH98" s="1952"/>
      <c r="BI98" s="1952"/>
      <c r="BJ98" s="1952"/>
      <c r="BK98" s="1952"/>
      <c r="BL98" s="1952"/>
      <c r="BM98" s="1952"/>
      <c r="BN98" s="1952"/>
      <c r="BO98" s="1952"/>
      <c r="BP98" s="1952"/>
      <c r="BQ98" s="1952"/>
      <c r="BR98" s="1952"/>
      <c r="BS98" s="1952"/>
      <c r="BT98" s="1952"/>
      <c r="BU98" s="1952"/>
      <c r="BV98" s="1952"/>
      <c r="BW98" s="1952"/>
      <c r="BX98" s="1952"/>
      <c r="BY98" s="1952"/>
      <c r="BZ98" s="1952"/>
      <c r="CA98" s="1952"/>
      <c r="CB98" s="1952"/>
      <c r="CC98" s="1952"/>
      <c r="CD98" s="1952"/>
      <c r="CE98" s="1952"/>
      <c r="CF98" s="1952"/>
      <c r="CG98" s="1952"/>
      <c r="CH98" s="1952"/>
      <c r="CI98" s="1952"/>
      <c r="CJ98" s="1952"/>
      <c r="CK98" s="1952"/>
      <c r="CL98" s="1952"/>
      <c r="CM98" s="1952"/>
      <c r="CN98" s="1952"/>
      <c r="CP98" s="1952"/>
      <c r="CQ98" s="1952"/>
      <c r="CR98" s="1952"/>
      <c r="CT98" s="2624"/>
    </row>
    <row r="99" spans="1:98">
      <c r="BA99" s="4203"/>
    </row>
    <row r="100" spans="1:98">
      <c r="BA100" s="4203"/>
    </row>
  </sheetData>
  <mergeCells count="24">
    <mergeCell ref="A42:A48"/>
    <mergeCell ref="BF2:BJ3"/>
    <mergeCell ref="BK2:BO3"/>
    <mergeCell ref="BP2:BT3"/>
    <mergeCell ref="BU2:BY3"/>
    <mergeCell ref="AB2:AF3"/>
    <mergeCell ref="AG2:AK3"/>
    <mergeCell ref="AL2:AP3"/>
    <mergeCell ref="AQ2:AU3"/>
    <mergeCell ref="AV2:AZ3"/>
    <mergeCell ref="BA2:BE3"/>
    <mergeCell ref="A2:B2"/>
    <mergeCell ref="C2:G3"/>
    <mergeCell ref="H2:L3"/>
    <mergeCell ref="M2:Q3"/>
    <mergeCell ref="R2:V3"/>
    <mergeCell ref="CJ2:CN3"/>
    <mergeCell ref="CP2:CR3"/>
    <mergeCell ref="A3:B3"/>
    <mergeCell ref="CP9:CP11"/>
    <mergeCell ref="CR9:CR11"/>
    <mergeCell ref="BZ2:CD3"/>
    <mergeCell ref="CE2:CI3"/>
    <mergeCell ref="W2:AA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79998168889431442"/>
    <pageSetUpPr fitToPage="1"/>
  </sheetPr>
  <dimension ref="A1:AA99"/>
  <sheetViews>
    <sheetView showZeros="0" zoomScale="70" zoomScaleNormal="70" workbookViewId="0">
      <pane xSplit="6" ySplit="5" topLeftCell="G21" activePane="bottomRight" state="frozen"/>
      <selection activeCell="N21" sqref="N21:N23"/>
      <selection pane="topRight" activeCell="N21" sqref="N21:N23"/>
      <selection pane="bottomLeft" activeCell="N21" sqref="N21:N23"/>
      <selection pane="bottomRight" activeCell="N21" sqref="N21:N23"/>
    </sheetView>
  </sheetViews>
  <sheetFormatPr defaultColWidth="7.44140625" defaultRowHeight="13.2" outlineLevelRow="3" outlineLevelCol="1"/>
  <cols>
    <col min="1" max="1" width="5.5546875" style="8" customWidth="1"/>
    <col min="2" max="2" width="55" style="8" customWidth="1"/>
    <col min="3" max="3" width="15" style="77" hidden="1" customWidth="1"/>
    <col min="4" max="4" width="15.5546875" style="77" hidden="1" customWidth="1"/>
    <col min="5" max="5" width="16.33203125" style="38" hidden="1" customWidth="1"/>
    <col min="6" max="6" width="9.5546875" style="38" hidden="1" customWidth="1"/>
    <col min="7" max="9" width="16.33203125" style="38" customWidth="1" outlineLevel="1"/>
    <col min="10" max="10" width="9" style="38" customWidth="1" outlineLevel="1"/>
    <col min="11" max="14" width="16.33203125" style="38" customWidth="1" outlineLevel="1"/>
    <col min="15" max="15" width="9" style="38" customWidth="1" outlineLevel="1"/>
    <col min="16" max="16" width="16.33203125" style="38" customWidth="1" outlineLevel="1"/>
    <col min="17" max="19" width="16.33203125" style="38" customWidth="1"/>
    <col min="20" max="20" width="9" style="38" customWidth="1"/>
    <col min="21" max="21" width="16.33203125" style="38" customWidth="1"/>
    <col min="22" max="22" width="14.5546875" style="1" hidden="1" customWidth="1"/>
    <col min="23" max="23" width="13.33203125" style="1" hidden="1" customWidth="1"/>
    <col min="24" max="24" width="14.5546875" style="1" hidden="1" customWidth="1"/>
    <col min="25" max="25" width="0" style="1" hidden="1" customWidth="1"/>
    <col min="26" max="27" width="13.33203125" style="1" bestFit="1" customWidth="1"/>
    <col min="28" max="16384" width="7.44140625" style="1"/>
  </cols>
  <sheetData>
    <row r="1" spans="1:27" ht="13.8" thickBot="1">
      <c r="C1" s="38"/>
      <c r="D1" s="38"/>
    </row>
    <row r="2" spans="1:27" ht="22.2" customHeight="1">
      <c r="A2" s="4834" t="s">
        <v>117</v>
      </c>
      <c r="B2" s="4835"/>
      <c r="C2" s="4835"/>
      <c r="D2" s="4835"/>
      <c r="E2" s="4835"/>
      <c r="F2" s="4836"/>
      <c r="G2" s="4841" t="s">
        <v>465</v>
      </c>
      <c r="H2" s="4842"/>
      <c r="I2" s="4842"/>
      <c r="J2" s="4842"/>
      <c r="K2" s="4843"/>
      <c r="L2" s="4837" t="s">
        <v>466</v>
      </c>
      <c r="M2" s="4838"/>
      <c r="N2" s="4838"/>
      <c r="O2" s="4838"/>
      <c r="P2" s="378"/>
      <c r="Q2" s="4988" t="s">
        <v>469</v>
      </c>
      <c r="R2" s="4989"/>
      <c r="S2" s="4989"/>
      <c r="T2" s="4989"/>
      <c r="U2" s="384"/>
      <c r="V2" s="4837"/>
      <c r="W2" s="4838"/>
      <c r="X2" s="4838"/>
      <c r="Y2" s="4838"/>
    </row>
    <row r="3" spans="1:27" ht="14.4" customHeight="1" thickBot="1">
      <c r="A3" s="4853" t="s">
        <v>54</v>
      </c>
      <c r="B3" s="4854"/>
      <c r="C3" s="4854"/>
      <c r="D3" s="4854"/>
      <c r="E3" s="4854"/>
      <c r="F3" s="4855"/>
      <c r="G3" s="4844"/>
      <c r="H3" s="4845"/>
      <c r="I3" s="4845"/>
      <c r="J3" s="4845"/>
      <c r="K3" s="4846"/>
      <c r="L3" s="4839"/>
      <c r="M3" s="4840"/>
      <c r="N3" s="4840"/>
      <c r="O3" s="4840"/>
      <c r="P3" s="379"/>
      <c r="Q3" s="4990"/>
      <c r="R3" s="4991"/>
      <c r="S3" s="4991"/>
      <c r="T3" s="4991"/>
      <c r="U3" s="385"/>
      <c r="V3" s="4839"/>
      <c r="W3" s="4840"/>
      <c r="X3" s="4840"/>
      <c r="Y3" s="4840"/>
    </row>
    <row r="4" spans="1:27"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632" t="s">
        <v>55</v>
      </c>
      <c r="W4" s="632" t="s">
        <v>18</v>
      </c>
      <c r="X4" s="653" t="s">
        <v>39</v>
      </c>
      <c r="Y4" s="654" t="s">
        <v>40</v>
      </c>
    </row>
    <row r="5" spans="1:27" s="88" customFormat="1" ht="14.4" thickBot="1">
      <c r="A5" s="83"/>
      <c r="B5" s="84" t="s">
        <v>10</v>
      </c>
      <c r="C5" s="85">
        <f>C6</f>
        <v>6557236</v>
      </c>
      <c r="D5" s="85">
        <f>D6</f>
        <v>0</v>
      </c>
      <c r="E5" s="86">
        <f>E6</f>
        <v>6557236</v>
      </c>
      <c r="F5" s="87"/>
      <c r="G5" s="87">
        <f>G6</f>
        <v>6468572.1200000001</v>
      </c>
      <c r="H5" s="87">
        <f>H6</f>
        <v>0</v>
      </c>
      <c r="I5" s="87">
        <f>I6</f>
        <v>6468572.1200000001</v>
      </c>
      <c r="J5" s="87"/>
      <c r="K5" s="87"/>
      <c r="L5" s="87">
        <f>L6</f>
        <v>42925.879999999888</v>
      </c>
      <c r="M5" s="87">
        <f>M6</f>
        <v>0</v>
      </c>
      <c r="N5" s="87">
        <f>N6</f>
        <v>42925.879999999888</v>
      </c>
      <c r="O5" s="87"/>
      <c r="P5" s="87"/>
      <c r="Q5" s="87">
        <f>Q6</f>
        <v>6511498</v>
      </c>
      <c r="R5" s="87">
        <f>R6</f>
        <v>0</v>
      </c>
      <c r="S5" s="87">
        <f>S6</f>
        <v>6511498</v>
      </c>
      <c r="T5" s="87"/>
      <c r="U5" s="87"/>
      <c r="V5" s="620">
        <f>V6</f>
        <v>6511498</v>
      </c>
      <c r="W5" s="620">
        <f>W6</f>
        <v>0</v>
      </c>
      <c r="X5" s="620">
        <f>X6</f>
        <v>6511498</v>
      </c>
      <c r="Y5" s="620"/>
    </row>
    <row r="6" spans="1:27" s="2" customFormat="1" ht="13.8" outlineLevel="1">
      <c r="A6" s="238"/>
      <c r="B6" s="9" t="s">
        <v>17</v>
      </c>
      <c r="C6" s="104">
        <v>6557236</v>
      </c>
      <c r="D6" s="105"/>
      <c r="E6" s="106">
        <f>C6+D6</f>
        <v>6557236</v>
      </c>
      <c r="F6" s="39"/>
      <c r="G6" s="39">
        <v>6468572.1200000001</v>
      </c>
      <c r="H6" s="39">
        <v>0</v>
      </c>
      <c r="I6" s="106">
        <f>G6+H6</f>
        <v>6468572.1200000001</v>
      </c>
      <c r="J6" s="39"/>
      <c r="K6" s="39"/>
      <c r="L6" s="39">
        <v>42925.879999999888</v>
      </c>
      <c r="M6" s="39"/>
      <c r="N6" s="106">
        <f>L6+M6</f>
        <v>42925.879999999888</v>
      </c>
      <c r="O6" s="39"/>
      <c r="P6" s="39"/>
      <c r="Q6" s="39">
        <f>G6+L6</f>
        <v>6511498</v>
      </c>
      <c r="R6" s="39">
        <f>H6+M6</f>
        <v>0</v>
      </c>
      <c r="S6" s="106">
        <f>Q6+R6</f>
        <v>6511498</v>
      </c>
      <c r="T6" s="39"/>
      <c r="U6" s="39"/>
      <c r="V6" s="834">
        <v>6511498</v>
      </c>
      <c r="W6" s="452"/>
      <c r="X6" s="446">
        <f>V6+W6</f>
        <v>6511498</v>
      </c>
      <c r="Y6" s="452"/>
      <c r="Z6" s="842">
        <f>V6-Q6</f>
        <v>0</v>
      </c>
    </row>
    <row r="7" spans="1:27" s="2" customFormat="1" ht="15" customHeight="1" outlineLevel="1" collapsed="1" thickBot="1">
      <c r="A7" s="238"/>
      <c r="B7" s="10" t="s">
        <v>41</v>
      </c>
      <c r="C7" s="107"/>
      <c r="D7" s="108"/>
      <c r="E7" s="106">
        <f>C7+D7</f>
        <v>0</v>
      </c>
      <c r="F7" s="40"/>
      <c r="G7" s="39">
        <v>0</v>
      </c>
      <c r="H7" s="39">
        <v>0</v>
      </c>
      <c r="I7" s="106">
        <f>G7+H7</f>
        <v>0</v>
      </c>
      <c r="J7" s="40"/>
      <c r="K7" s="40"/>
      <c r="L7" s="39"/>
      <c r="M7" s="39"/>
      <c r="N7" s="106">
        <f>L7+M7</f>
        <v>0</v>
      </c>
      <c r="O7" s="40"/>
      <c r="P7" s="40"/>
      <c r="Q7" s="39">
        <f>G7+L7</f>
        <v>0</v>
      </c>
      <c r="R7" s="39">
        <f>H7+M7</f>
        <v>0</v>
      </c>
      <c r="S7" s="106">
        <f>Q7+R7</f>
        <v>0</v>
      </c>
      <c r="T7" s="40"/>
      <c r="U7" s="40"/>
      <c r="V7" s="452"/>
      <c r="W7" s="452"/>
      <c r="X7" s="446">
        <f>V7+W7</f>
        <v>0</v>
      </c>
      <c r="Y7" s="612"/>
      <c r="Z7" s="842">
        <f t="shared" ref="Z7:Z33" si="0">V7-Q7</f>
        <v>0</v>
      </c>
    </row>
    <row r="8" spans="1:27" s="88" customFormat="1" ht="15" customHeight="1" outlineLevel="1" thickBot="1">
      <c r="A8" s="238"/>
      <c r="B8" s="84" t="s">
        <v>16</v>
      </c>
      <c r="C8" s="109">
        <f>SUM(C9:C33)</f>
        <v>2516204</v>
      </c>
      <c r="D8" s="109">
        <f>SUM(D9:D33)</f>
        <v>868654</v>
      </c>
      <c r="E8" s="110">
        <f>SUM(E9:E33)</f>
        <v>3384858</v>
      </c>
      <c r="F8" s="164">
        <f t="shared" ref="F8:F21" si="1">E8/$E$89</f>
        <v>0.86242221631679561</v>
      </c>
      <c r="G8" s="109">
        <f>SUM(G9:G33)</f>
        <v>2316774.3339999998</v>
      </c>
      <c r="H8" s="109">
        <f>SUM(H9:H33)</f>
        <v>615606</v>
      </c>
      <c r="I8" s="110">
        <f>SUM(I9:I33)</f>
        <v>2932380.3339999998</v>
      </c>
      <c r="J8" s="164">
        <f t="shared" ref="J8:J21" si="2">I8/$I$89</f>
        <v>0.85497080587066177</v>
      </c>
      <c r="K8" s="87"/>
      <c r="L8" s="109">
        <f>SUM(L9:L33)</f>
        <v>-34661.476000000002</v>
      </c>
      <c r="M8" s="109">
        <f>SUM(M9:M33)</f>
        <v>-50660.34</v>
      </c>
      <c r="N8" s="110">
        <f>SUM(N9:N33)</f>
        <v>-85321.816000000021</v>
      </c>
      <c r="O8" s="164">
        <f t="shared" ref="O8:O21" si="3">N8/$N$89</f>
        <v>-0.71718551771984307</v>
      </c>
      <c r="P8" s="87"/>
      <c r="Q8" s="109">
        <f>SUM(Q9:Q33)</f>
        <v>2282112.858</v>
      </c>
      <c r="R8" s="109">
        <f>SUM(R9:R33)</f>
        <v>564945.66</v>
      </c>
      <c r="S8" s="110">
        <f>SUM(S9:S33)</f>
        <v>2847058.5180000002</v>
      </c>
      <c r="T8" s="164">
        <f t="shared" ref="T8:T21" si="4">S8/$S$89</f>
        <v>0.76040909847538962</v>
      </c>
      <c r="U8" s="87"/>
      <c r="V8" s="618">
        <f>SUM(V9:V33)</f>
        <v>2282112.858</v>
      </c>
      <c r="W8" s="618">
        <f>SUM(W9:W33)</f>
        <v>564945.66</v>
      </c>
      <c r="X8" s="619">
        <f>SUM(X9:X33)</f>
        <v>2847058.5180000002</v>
      </c>
      <c r="Y8" s="577" t="e">
        <f>X8/$F$93</f>
        <v>#DIV/0!</v>
      </c>
      <c r="Z8" s="842">
        <f t="shared" si="0"/>
        <v>0</v>
      </c>
    </row>
    <row r="9" spans="1:27" s="2" customFormat="1" ht="14.4" customHeight="1" outlineLevel="2">
      <c r="A9" s="238"/>
      <c r="B9" s="31" t="s">
        <v>74</v>
      </c>
      <c r="C9" s="111">
        <v>5917</v>
      </c>
      <c r="D9" s="112"/>
      <c r="E9" s="106">
        <f t="shared" ref="E9:E33" si="5">C9+D9</f>
        <v>5917</v>
      </c>
      <c r="F9" s="177">
        <f t="shared" si="1"/>
        <v>1.5075823724204913E-3</v>
      </c>
      <c r="G9" s="210"/>
      <c r="H9" s="210"/>
      <c r="I9" s="210"/>
      <c r="J9" s="178">
        <f t="shared" si="2"/>
        <v>0</v>
      </c>
      <c r="K9" s="42"/>
      <c r="L9" s="39"/>
      <c r="M9" s="39"/>
      <c r="N9" s="210">
        <f>L9+M9*1</f>
        <v>0</v>
      </c>
      <c r="O9" s="178">
        <f t="shared" si="3"/>
        <v>0</v>
      </c>
      <c r="P9" s="42"/>
      <c r="Q9" s="39">
        <f t="shared" ref="Q9:Q33" si="6">G9+L9</f>
        <v>0</v>
      </c>
      <c r="R9" s="39">
        <f t="shared" ref="R9:R33" si="7">H9+M9</f>
        <v>0</v>
      </c>
      <c r="S9" s="210">
        <f>Q9+R9*1</f>
        <v>0</v>
      </c>
      <c r="T9" s="178">
        <f t="shared" si="4"/>
        <v>0</v>
      </c>
      <c r="U9" s="42"/>
      <c r="V9" s="488"/>
      <c r="W9" s="488"/>
      <c r="X9" s="489">
        <f>V9+W9*1</f>
        <v>0</v>
      </c>
      <c r="Y9" s="485" t="e">
        <f>X9/$F$93</f>
        <v>#DIV/0!</v>
      </c>
      <c r="Z9" s="842">
        <f t="shared" si="0"/>
        <v>0</v>
      </c>
      <c r="AA9" s="842">
        <f>W9-R9</f>
        <v>0</v>
      </c>
    </row>
    <row r="10" spans="1:27" s="2" customFormat="1" ht="14.4" customHeight="1" outlineLevel="2">
      <c r="A10" s="238"/>
      <c r="B10" s="31" t="s">
        <v>72</v>
      </c>
      <c r="C10" s="111">
        <v>1433</v>
      </c>
      <c r="D10" s="112"/>
      <c r="E10" s="106">
        <f t="shared" si="5"/>
        <v>1433</v>
      </c>
      <c r="F10" s="177">
        <f t="shared" si="1"/>
        <v>3.6511163421980129E-4</v>
      </c>
      <c r="G10" s="210"/>
      <c r="H10" s="210"/>
      <c r="I10" s="210"/>
      <c r="J10" s="178">
        <f t="shared" si="2"/>
        <v>0</v>
      </c>
      <c r="K10" s="42"/>
      <c r="L10" s="39"/>
      <c r="M10" s="39"/>
      <c r="N10" s="210">
        <f t="shared" ref="N10:N33" si="8">L10+M10*1</f>
        <v>0</v>
      </c>
      <c r="O10" s="178">
        <f t="shared" si="3"/>
        <v>0</v>
      </c>
      <c r="P10" s="42"/>
      <c r="Q10" s="39">
        <f t="shared" si="6"/>
        <v>0</v>
      </c>
      <c r="R10" s="39">
        <f t="shared" si="7"/>
        <v>0</v>
      </c>
      <c r="S10" s="210">
        <f t="shared" ref="S10:S33" si="9">Q10+R10*1</f>
        <v>0</v>
      </c>
      <c r="T10" s="178">
        <f t="shared" si="4"/>
        <v>0</v>
      </c>
      <c r="U10" s="42"/>
      <c r="V10" s="452"/>
      <c r="W10" s="452"/>
      <c r="X10" s="453">
        <f t="shared" ref="X10:X33" si="10">V10+W10*1</f>
        <v>0</v>
      </c>
      <c r="Y10" s="450" t="e">
        <f t="shared" ref="Y10:Y33" si="11">X10/$F$93</f>
        <v>#DIV/0!</v>
      </c>
      <c r="Z10" s="842">
        <f t="shared" si="0"/>
        <v>0</v>
      </c>
      <c r="AA10" s="842">
        <f t="shared" ref="AA10:AA33" si="12">W10-R10</f>
        <v>0</v>
      </c>
    </row>
    <row r="11" spans="1:27" s="2" customFormat="1" ht="14.4" customHeight="1" outlineLevel="2">
      <c r="A11" s="238"/>
      <c r="B11" s="31" t="s">
        <v>69</v>
      </c>
      <c r="C11" s="111">
        <v>1518</v>
      </c>
      <c r="D11" s="112"/>
      <c r="E11" s="106">
        <f t="shared" si="5"/>
        <v>1518</v>
      </c>
      <c r="F11" s="177">
        <f t="shared" si="1"/>
        <v>3.8676863973877065E-4</v>
      </c>
      <c r="G11" s="210"/>
      <c r="H11" s="210"/>
      <c r="I11" s="210"/>
      <c r="J11" s="178">
        <f t="shared" si="2"/>
        <v>0</v>
      </c>
      <c r="K11" s="42"/>
      <c r="L11" s="39"/>
      <c r="M11" s="39"/>
      <c r="N11" s="210">
        <f t="shared" si="8"/>
        <v>0</v>
      </c>
      <c r="O11" s="178">
        <f t="shared" si="3"/>
        <v>0</v>
      </c>
      <c r="P11" s="42"/>
      <c r="Q11" s="39">
        <f t="shared" si="6"/>
        <v>0</v>
      </c>
      <c r="R11" s="39">
        <f t="shared" si="7"/>
        <v>0</v>
      </c>
      <c r="S11" s="210">
        <f t="shared" si="9"/>
        <v>0</v>
      </c>
      <c r="T11" s="178">
        <f t="shared" si="4"/>
        <v>0</v>
      </c>
      <c r="U11" s="42"/>
      <c r="V11" s="452"/>
      <c r="W11" s="452"/>
      <c r="X11" s="453">
        <f t="shared" si="10"/>
        <v>0</v>
      </c>
      <c r="Y11" s="450" t="e">
        <f t="shared" si="11"/>
        <v>#DIV/0!</v>
      </c>
      <c r="Z11" s="842">
        <f t="shared" si="0"/>
        <v>0</v>
      </c>
      <c r="AA11" s="842">
        <f t="shared" si="12"/>
        <v>0</v>
      </c>
    </row>
    <row r="12" spans="1:27" s="2" customFormat="1" ht="39" customHeight="1" outlineLevel="2">
      <c r="A12" s="238"/>
      <c r="B12" s="31" t="s">
        <v>73</v>
      </c>
      <c r="C12" s="111">
        <v>22460</v>
      </c>
      <c r="D12" s="112">
        <v>77541</v>
      </c>
      <c r="E12" s="106">
        <f t="shared" si="5"/>
        <v>100001</v>
      </c>
      <c r="F12" s="177">
        <f t="shared" si="1"/>
        <v>2.5479084810617132E-2</v>
      </c>
      <c r="G12" s="39">
        <v>53757.96</v>
      </c>
      <c r="H12" s="39">
        <v>56508</v>
      </c>
      <c r="I12" s="210">
        <f t="shared" ref="I12:I33" si="13">G12+H12*1</f>
        <v>110265.95999999999</v>
      </c>
      <c r="J12" s="178">
        <f t="shared" si="2"/>
        <v>3.2149368752826368E-2</v>
      </c>
      <c r="K12" s="42"/>
      <c r="L12" s="39"/>
      <c r="M12" s="39">
        <v>2650</v>
      </c>
      <c r="N12" s="210">
        <f t="shared" si="8"/>
        <v>2650</v>
      </c>
      <c r="O12" s="178">
        <f t="shared" si="3"/>
        <v>2.2274978558327729E-2</v>
      </c>
      <c r="P12" s="42"/>
      <c r="Q12" s="39">
        <f t="shared" si="6"/>
        <v>53757.96</v>
      </c>
      <c r="R12" s="39">
        <f t="shared" si="7"/>
        <v>59158</v>
      </c>
      <c r="S12" s="210">
        <f t="shared" si="9"/>
        <v>112915.95999999999</v>
      </c>
      <c r="T12" s="178">
        <f t="shared" si="4"/>
        <v>3.0158257304595083E-2</v>
      </c>
      <c r="U12" s="42"/>
      <c r="V12" s="452">
        <v>53757.96</v>
      </c>
      <c r="W12" s="452">
        <v>59158</v>
      </c>
      <c r="X12" s="453">
        <f t="shared" si="10"/>
        <v>112915.95999999999</v>
      </c>
      <c r="Y12" s="450" t="e">
        <f t="shared" si="11"/>
        <v>#DIV/0!</v>
      </c>
      <c r="Z12" s="842">
        <f t="shared" si="0"/>
        <v>0</v>
      </c>
      <c r="AA12" s="842">
        <f t="shared" si="12"/>
        <v>0</v>
      </c>
    </row>
    <row r="13" spans="1:27" s="2" customFormat="1" ht="14.4" customHeight="1" outlineLevel="2">
      <c r="A13" s="238"/>
      <c r="B13" s="31" t="s">
        <v>71</v>
      </c>
      <c r="C13" s="111">
        <v>9360</v>
      </c>
      <c r="D13" s="112"/>
      <c r="E13" s="106">
        <f t="shared" si="5"/>
        <v>9360</v>
      </c>
      <c r="F13" s="177">
        <f t="shared" si="1"/>
        <v>2.3848184900888626E-3</v>
      </c>
      <c r="G13" s="39">
        <v>13664.04</v>
      </c>
      <c r="H13" s="39">
        <v>0</v>
      </c>
      <c r="I13" s="210">
        <f t="shared" si="13"/>
        <v>13664.04</v>
      </c>
      <c r="J13" s="178">
        <f t="shared" si="2"/>
        <v>3.9839154405708682E-3</v>
      </c>
      <c r="K13" s="42"/>
      <c r="L13" s="39"/>
      <c r="M13" s="39"/>
      <c r="N13" s="210">
        <f t="shared" si="8"/>
        <v>0</v>
      </c>
      <c r="O13" s="178">
        <f t="shared" si="3"/>
        <v>0</v>
      </c>
      <c r="P13" s="42"/>
      <c r="Q13" s="39">
        <f t="shared" si="6"/>
        <v>13664.04</v>
      </c>
      <c r="R13" s="39">
        <f t="shared" si="7"/>
        <v>0</v>
      </c>
      <c r="S13" s="210">
        <f t="shared" si="9"/>
        <v>13664.04</v>
      </c>
      <c r="T13" s="178">
        <f t="shared" si="4"/>
        <v>3.6494719979379307E-3</v>
      </c>
      <c r="U13" s="42"/>
      <c r="V13" s="452">
        <v>13664.04</v>
      </c>
      <c r="W13" s="452"/>
      <c r="X13" s="453">
        <f t="shared" si="10"/>
        <v>13664.04</v>
      </c>
      <c r="Y13" s="450" t="e">
        <f t="shared" si="11"/>
        <v>#DIV/0!</v>
      </c>
      <c r="Z13" s="842">
        <f t="shared" si="0"/>
        <v>0</v>
      </c>
      <c r="AA13" s="842">
        <f t="shared" si="12"/>
        <v>0</v>
      </c>
    </row>
    <row r="14" spans="1:27" s="2" customFormat="1" ht="14.4" customHeight="1" outlineLevel="2">
      <c r="A14" s="238"/>
      <c r="B14" s="31" t="s">
        <v>70</v>
      </c>
      <c r="C14" s="111">
        <v>10560</v>
      </c>
      <c r="D14" s="112"/>
      <c r="E14" s="106">
        <f t="shared" si="5"/>
        <v>10560</v>
      </c>
      <c r="F14" s="177">
        <f t="shared" si="1"/>
        <v>2.6905644503566655E-3</v>
      </c>
      <c r="G14" s="39">
        <v>15415.84</v>
      </c>
      <c r="H14" s="39">
        <v>0</v>
      </c>
      <c r="I14" s="210">
        <f t="shared" si="13"/>
        <v>15415.84</v>
      </c>
      <c r="J14" s="178">
        <f t="shared" si="2"/>
        <v>4.494673830387646E-3</v>
      </c>
      <c r="K14" s="42"/>
      <c r="L14" s="39"/>
      <c r="M14" s="39"/>
      <c r="N14" s="210">
        <f t="shared" si="8"/>
        <v>0</v>
      </c>
      <c r="O14" s="178">
        <f t="shared" si="3"/>
        <v>0</v>
      </c>
      <c r="P14" s="42"/>
      <c r="Q14" s="39">
        <f t="shared" si="6"/>
        <v>15415.84</v>
      </c>
      <c r="R14" s="39">
        <f t="shared" si="7"/>
        <v>0</v>
      </c>
      <c r="S14" s="210">
        <f t="shared" si="9"/>
        <v>15415.84</v>
      </c>
      <c r="T14" s="178">
        <f t="shared" si="4"/>
        <v>4.1173530233145879E-3</v>
      </c>
      <c r="U14" s="42"/>
      <c r="V14" s="452">
        <v>15415.84</v>
      </c>
      <c r="W14" s="452"/>
      <c r="X14" s="453">
        <f t="shared" si="10"/>
        <v>15415.84</v>
      </c>
      <c r="Y14" s="450" t="e">
        <f t="shared" si="11"/>
        <v>#DIV/0!</v>
      </c>
      <c r="Z14" s="842">
        <f t="shared" si="0"/>
        <v>0</v>
      </c>
      <c r="AA14" s="842">
        <f t="shared" si="12"/>
        <v>0</v>
      </c>
    </row>
    <row r="15" spans="1:27" s="2" customFormat="1" ht="14.4" customHeight="1" outlineLevel="2">
      <c r="A15" s="238"/>
      <c r="B15" s="7" t="s">
        <v>20</v>
      </c>
      <c r="C15" s="111"/>
      <c r="D15" s="113"/>
      <c r="E15" s="106">
        <f t="shared" si="5"/>
        <v>0</v>
      </c>
      <c r="F15" s="177">
        <f t="shared" si="1"/>
        <v>0</v>
      </c>
      <c r="G15" s="39">
        <v>0</v>
      </c>
      <c r="H15" s="39">
        <v>33600</v>
      </c>
      <c r="I15" s="210">
        <f t="shared" si="13"/>
        <v>33600</v>
      </c>
      <c r="J15" s="178">
        <f t="shared" si="2"/>
        <v>9.796484700219054E-3</v>
      </c>
      <c r="K15" s="42"/>
      <c r="L15" s="39"/>
      <c r="M15" s="39"/>
      <c r="N15" s="210">
        <f t="shared" si="8"/>
        <v>0</v>
      </c>
      <c r="O15" s="178">
        <f t="shared" si="3"/>
        <v>0</v>
      </c>
      <c r="P15" s="42"/>
      <c r="Q15" s="39">
        <f t="shared" si="6"/>
        <v>0</v>
      </c>
      <c r="R15" s="39">
        <f t="shared" si="7"/>
        <v>33600</v>
      </c>
      <c r="S15" s="210">
        <f t="shared" si="9"/>
        <v>33600</v>
      </c>
      <c r="T15" s="178">
        <f t="shared" si="4"/>
        <v>8.9740851995979559E-3</v>
      </c>
      <c r="U15" s="42"/>
      <c r="V15" s="452"/>
      <c r="W15" s="452">
        <v>33600</v>
      </c>
      <c r="X15" s="453">
        <f t="shared" si="10"/>
        <v>33600</v>
      </c>
      <c r="Y15" s="450" t="e">
        <f t="shared" si="11"/>
        <v>#DIV/0!</v>
      </c>
      <c r="Z15" s="842">
        <f t="shared" si="0"/>
        <v>0</v>
      </c>
      <c r="AA15" s="842">
        <f t="shared" si="12"/>
        <v>0</v>
      </c>
    </row>
    <row r="16" spans="1:27" s="2" customFormat="1" ht="14.4" customHeight="1" outlineLevel="2">
      <c r="A16" s="292"/>
      <c r="B16" s="7" t="s">
        <v>21</v>
      </c>
      <c r="C16" s="111"/>
      <c r="D16" s="113">
        <v>66483</v>
      </c>
      <c r="E16" s="106">
        <f t="shared" si="5"/>
        <v>66483</v>
      </c>
      <c r="F16" s="177">
        <f t="shared" si="1"/>
        <v>1.693909056373695E-2</v>
      </c>
      <c r="G16" s="39">
        <v>0</v>
      </c>
      <c r="H16" s="39">
        <v>2500</v>
      </c>
      <c r="I16" s="210">
        <f t="shared" si="13"/>
        <v>2500</v>
      </c>
      <c r="J16" s="178">
        <f t="shared" si="2"/>
        <v>7.2890511162344146E-4</v>
      </c>
      <c r="K16" s="42"/>
      <c r="L16" s="39"/>
      <c r="M16" s="39"/>
      <c r="N16" s="210">
        <f t="shared" si="8"/>
        <v>0</v>
      </c>
      <c r="O16" s="178">
        <f t="shared" si="3"/>
        <v>0</v>
      </c>
      <c r="P16" s="42"/>
      <c r="Q16" s="39">
        <f t="shared" si="6"/>
        <v>0</v>
      </c>
      <c r="R16" s="39">
        <f t="shared" si="7"/>
        <v>2500</v>
      </c>
      <c r="S16" s="210">
        <f t="shared" si="9"/>
        <v>2500</v>
      </c>
      <c r="T16" s="178">
        <f t="shared" si="4"/>
        <v>6.6771467258913361E-4</v>
      </c>
      <c r="U16" s="42"/>
      <c r="V16" s="452"/>
      <c r="W16" s="452">
        <v>2500</v>
      </c>
      <c r="X16" s="453">
        <f t="shared" si="10"/>
        <v>2500</v>
      </c>
      <c r="Y16" s="450" t="e">
        <f t="shared" si="11"/>
        <v>#DIV/0!</v>
      </c>
      <c r="Z16" s="842">
        <f t="shared" si="0"/>
        <v>0</v>
      </c>
      <c r="AA16" s="842">
        <f t="shared" si="12"/>
        <v>0</v>
      </c>
    </row>
    <row r="17" spans="1:27" s="2" customFormat="1" ht="14.4" customHeight="1" outlineLevel="2">
      <c r="A17" s="238"/>
      <c r="B17" s="7" t="s">
        <v>22</v>
      </c>
      <c r="C17" s="111"/>
      <c r="D17" s="113"/>
      <c r="E17" s="106">
        <f t="shared" si="5"/>
        <v>0</v>
      </c>
      <c r="F17" s="177">
        <f t="shared" si="1"/>
        <v>0</v>
      </c>
      <c r="G17" s="39">
        <v>0</v>
      </c>
      <c r="H17" s="39">
        <v>0</v>
      </c>
      <c r="I17" s="210">
        <f t="shared" si="13"/>
        <v>0</v>
      </c>
      <c r="J17" s="178">
        <f t="shared" si="2"/>
        <v>0</v>
      </c>
      <c r="K17" s="42"/>
      <c r="L17" s="39"/>
      <c r="M17" s="39"/>
      <c r="N17" s="210">
        <f t="shared" si="8"/>
        <v>0</v>
      </c>
      <c r="O17" s="178">
        <f t="shared" si="3"/>
        <v>0</v>
      </c>
      <c r="P17" s="42"/>
      <c r="Q17" s="39">
        <f t="shared" si="6"/>
        <v>0</v>
      </c>
      <c r="R17" s="39">
        <f t="shared" si="7"/>
        <v>0</v>
      </c>
      <c r="S17" s="210">
        <f t="shared" si="9"/>
        <v>0</v>
      </c>
      <c r="T17" s="178">
        <f t="shared" si="4"/>
        <v>0</v>
      </c>
      <c r="U17" s="42"/>
      <c r="V17" s="452"/>
      <c r="W17" s="452"/>
      <c r="X17" s="453">
        <f t="shared" si="10"/>
        <v>0</v>
      </c>
      <c r="Y17" s="450" t="e">
        <f t="shared" si="11"/>
        <v>#DIV/0!</v>
      </c>
      <c r="Z17" s="842">
        <f t="shared" si="0"/>
        <v>0</v>
      </c>
      <c r="AA17" s="842">
        <f t="shared" si="12"/>
        <v>0</v>
      </c>
    </row>
    <row r="18" spans="1:27" s="2" customFormat="1" ht="79.2" customHeight="1" outlineLevel="2">
      <c r="A18" s="238"/>
      <c r="B18" s="7" t="s">
        <v>0</v>
      </c>
      <c r="C18" s="111">
        <v>1692280</v>
      </c>
      <c r="D18" s="113">
        <v>9000</v>
      </c>
      <c r="E18" s="106">
        <f t="shared" si="5"/>
        <v>1701280</v>
      </c>
      <c r="F18" s="177">
        <f t="shared" si="1"/>
        <v>0.43346623940367307</v>
      </c>
      <c r="G18" s="39">
        <v>1871601.156</v>
      </c>
      <c r="H18" s="39">
        <v>52700</v>
      </c>
      <c r="I18" s="210">
        <f t="shared" si="13"/>
        <v>1924301.156</v>
      </c>
      <c r="J18" s="178">
        <f t="shared" si="2"/>
        <v>0.56105317956451894</v>
      </c>
      <c r="K18" s="42"/>
      <c r="L18" s="39">
        <v>-119999.652</v>
      </c>
      <c r="M18" s="39">
        <v>-50000</v>
      </c>
      <c r="N18" s="210">
        <f t="shared" si="8"/>
        <v>-169999.652</v>
      </c>
      <c r="O18" s="178">
        <f t="shared" si="3"/>
        <v>-1.4289579634804435</v>
      </c>
      <c r="P18" s="42"/>
      <c r="Q18" s="39">
        <f t="shared" si="6"/>
        <v>1751601.504</v>
      </c>
      <c r="R18" s="39">
        <f t="shared" si="7"/>
        <v>2700</v>
      </c>
      <c r="S18" s="210">
        <f t="shared" si="9"/>
        <v>1754301.504</v>
      </c>
      <c r="T18" s="178">
        <f t="shared" si="4"/>
        <v>0.46854914174639389</v>
      </c>
      <c r="U18" s="42"/>
      <c r="V18" s="835">
        <f>18000+50000+90220+4860+7500+86366+29970+(2237.92*1.2)+987000+135000+340000</f>
        <v>1751601.504</v>
      </c>
      <c r="W18" s="452">
        <f>2700</f>
        <v>2700</v>
      </c>
      <c r="X18" s="453">
        <f t="shared" si="10"/>
        <v>1754301.504</v>
      </c>
      <c r="Y18" s="450" t="e">
        <f t="shared" si="11"/>
        <v>#DIV/0!</v>
      </c>
      <c r="Z18" s="842">
        <f>V18-Q18</f>
        <v>0</v>
      </c>
      <c r="AA18" s="842">
        <f t="shared" si="12"/>
        <v>0</v>
      </c>
    </row>
    <row r="19" spans="1:27" s="2" customFormat="1" ht="34.200000000000003" customHeight="1" outlineLevel="2">
      <c r="A19" s="238"/>
      <c r="B19" s="7" t="s">
        <v>53</v>
      </c>
      <c r="C19" s="114"/>
      <c r="D19" s="113"/>
      <c r="E19" s="106">
        <f t="shared" si="5"/>
        <v>0</v>
      </c>
      <c r="F19" s="177">
        <f t="shared" si="1"/>
        <v>0</v>
      </c>
      <c r="G19" s="39">
        <v>0</v>
      </c>
      <c r="H19" s="39">
        <v>600</v>
      </c>
      <c r="I19" s="210">
        <f t="shared" si="13"/>
        <v>600</v>
      </c>
      <c r="J19" s="178">
        <f t="shared" si="2"/>
        <v>1.7493722678962596E-4</v>
      </c>
      <c r="K19" s="42"/>
      <c r="L19" s="39"/>
      <c r="M19" s="39"/>
      <c r="N19" s="210">
        <f t="shared" si="8"/>
        <v>0</v>
      </c>
      <c r="O19" s="178">
        <f t="shared" si="3"/>
        <v>0</v>
      </c>
      <c r="P19" s="42"/>
      <c r="Q19" s="39">
        <f t="shared" si="6"/>
        <v>0</v>
      </c>
      <c r="R19" s="39">
        <f t="shared" si="7"/>
        <v>600</v>
      </c>
      <c r="S19" s="210">
        <f t="shared" si="9"/>
        <v>600</v>
      </c>
      <c r="T19" s="178">
        <f t="shared" si="4"/>
        <v>1.6025152142139207E-4</v>
      </c>
      <c r="U19" s="42"/>
      <c r="V19" s="452"/>
      <c r="W19" s="452">
        <v>600</v>
      </c>
      <c r="X19" s="453">
        <f t="shared" si="10"/>
        <v>600</v>
      </c>
      <c r="Y19" s="450" t="e">
        <f t="shared" si="11"/>
        <v>#DIV/0!</v>
      </c>
      <c r="Z19" s="842">
        <f t="shared" si="0"/>
        <v>0</v>
      </c>
      <c r="AA19" s="842">
        <f t="shared" si="12"/>
        <v>0</v>
      </c>
    </row>
    <row r="20" spans="1:27" s="2" customFormat="1" ht="14.4" customHeight="1" outlineLevel="2">
      <c r="A20" s="238"/>
      <c r="B20" s="7" t="s">
        <v>57</v>
      </c>
      <c r="C20" s="114"/>
      <c r="D20" s="113"/>
      <c r="E20" s="106">
        <f t="shared" si="5"/>
        <v>0</v>
      </c>
      <c r="F20" s="177">
        <f t="shared" si="1"/>
        <v>0</v>
      </c>
      <c r="G20" s="39">
        <v>0</v>
      </c>
      <c r="H20" s="39">
        <v>0</v>
      </c>
      <c r="I20" s="210">
        <f t="shared" si="13"/>
        <v>0</v>
      </c>
      <c r="J20" s="178">
        <f t="shared" si="2"/>
        <v>0</v>
      </c>
      <c r="K20" s="42"/>
      <c r="L20" s="39"/>
      <c r="M20" s="39"/>
      <c r="N20" s="210">
        <f t="shared" si="8"/>
        <v>0</v>
      </c>
      <c r="O20" s="178">
        <f t="shared" si="3"/>
        <v>0</v>
      </c>
      <c r="P20" s="42"/>
      <c r="Q20" s="39">
        <f t="shared" si="6"/>
        <v>0</v>
      </c>
      <c r="R20" s="39">
        <f t="shared" si="7"/>
        <v>0</v>
      </c>
      <c r="S20" s="210">
        <f t="shared" si="9"/>
        <v>0</v>
      </c>
      <c r="T20" s="178">
        <f t="shared" si="4"/>
        <v>0</v>
      </c>
      <c r="U20" s="42"/>
      <c r="V20" s="452"/>
      <c r="W20" s="452"/>
      <c r="X20" s="453">
        <f t="shared" si="10"/>
        <v>0</v>
      </c>
      <c r="Y20" s="450" t="e">
        <f t="shared" si="11"/>
        <v>#DIV/0!</v>
      </c>
      <c r="Z20" s="842">
        <f t="shared" si="0"/>
        <v>0</v>
      </c>
      <c r="AA20" s="842">
        <f t="shared" si="12"/>
        <v>0</v>
      </c>
    </row>
    <row r="21" spans="1:27" s="2" customFormat="1" ht="55.2" customHeight="1" outlineLevel="2">
      <c r="A21" s="238"/>
      <c r="B21" s="7" t="s">
        <v>58</v>
      </c>
      <c r="C21" s="114">
        <v>392241</v>
      </c>
      <c r="D21" s="113"/>
      <c r="E21" s="106">
        <f t="shared" si="5"/>
        <v>392241</v>
      </c>
      <c r="F21" s="177">
        <f t="shared" si="1"/>
        <v>9.9938417667836066E-2</v>
      </c>
      <c r="G21" s="39">
        <v>109071.87</v>
      </c>
      <c r="H21" s="39">
        <v>28150</v>
      </c>
      <c r="I21" s="210">
        <f t="shared" si="13"/>
        <v>137221.87</v>
      </c>
      <c r="J21" s="178">
        <f t="shared" si="2"/>
        <v>4.0008688987810952E-2</v>
      </c>
      <c r="K21" s="42"/>
      <c r="L21" s="39">
        <v>-36421.199999999997</v>
      </c>
      <c r="M21" s="39"/>
      <c r="N21" s="210">
        <f t="shared" si="8"/>
        <v>-36421.199999999997</v>
      </c>
      <c r="O21" s="178">
        <f t="shared" si="3"/>
        <v>-0.3061439430447418</v>
      </c>
      <c r="P21" s="42"/>
      <c r="Q21" s="39">
        <f t="shared" si="6"/>
        <v>72650.67</v>
      </c>
      <c r="R21" s="39">
        <f t="shared" si="7"/>
        <v>28150</v>
      </c>
      <c r="S21" s="210">
        <f t="shared" si="9"/>
        <v>100800.67</v>
      </c>
      <c r="T21" s="178">
        <f t="shared" si="4"/>
        <v>2.6922434546326122E-2</v>
      </c>
      <c r="U21" s="42"/>
      <c r="V21" s="452">
        <f>23988.65+36325+12337.02</f>
        <v>72650.67</v>
      </c>
      <c r="W21" s="452"/>
      <c r="X21" s="453">
        <f t="shared" si="10"/>
        <v>72650.67</v>
      </c>
      <c r="Y21" s="450" t="e">
        <f t="shared" si="11"/>
        <v>#DIV/0!</v>
      </c>
      <c r="Z21" s="842">
        <f t="shared" si="0"/>
        <v>0</v>
      </c>
      <c r="AA21" s="842">
        <f t="shared" si="12"/>
        <v>-28150</v>
      </c>
    </row>
    <row r="22" spans="1:27" s="2" customFormat="1" ht="13.8" outlineLevel="2">
      <c r="A22" s="238"/>
      <c r="B22" s="7" t="s">
        <v>621</v>
      </c>
      <c r="C22" s="114"/>
      <c r="D22" s="445"/>
      <c r="E22" s="446"/>
      <c r="F22" s="447"/>
      <c r="G22" s="452"/>
      <c r="H22" s="452"/>
      <c r="I22" s="453"/>
      <c r="J22" s="450"/>
      <c r="K22" s="456"/>
      <c r="L22" s="452">
        <v>267000</v>
      </c>
      <c r="M22" s="452"/>
      <c r="N22" s="210">
        <f t="shared" si="8"/>
        <v>267000</v>
      </c>
      <c r="O22" s="450"/>
      <c r="P22" s="456"/>
      <c r="Q22" s="39">
        <f>G22+L22</f>
        <v>267000</v>
      </c>
      <c r="R22" s="39">
        <f>H22+M22</f>
        <v>0</v>
      </c>
      <c r="S22" s="210">
        <f>Q22+R22*1</f>
        <v>267000</v>
      </c>
      <c r="T22" s="178">
        <f>S22/$S$89</f>
        <v>7.131192703251947E-2</v>
      </c>
      <c r="U22" s="456"/>
      <c r="V22" s="452">
        <f>120000+147000</f>
        <v>267000</v>
      </c>
      <c r="W22" s="452">
        <v>28150</v>
      </c>
      <c r="X22" s="453">
        <f t="shared" si="10"/>
        <v>295150</v>
      </c>
      <c r="Y22" s="450" t="e">
        <f t="shared" si="11"/>
        <v>#DIV/0!</v>
      </c>
      <c r="Z22" s="842">
        <f t="shared" si="0"/>
        <v>0</v>
      </c>
      <c r="AA22" s="842">
        <f t="shared" si="12"/>
        <v>28150</v>
      </c>
    </row>
    <row r="23" spans="1:27" s="2" customFormat="1" ht="13.8" outlineLevel="2">
      <c r="A23" s="238"/>
      <c r="B23" s="471" t="s">
        <v>630</v>
      </c>
      <c r="C23" s="114"/>
      <c r="D23" s="445"/>
      <c r="E23" s="446"/>
      <c r="F23" s="447"/>
      <c r="G23" s="452"/>
      <c r="H23" s="452"/>
      <c r="I23" s="453"/>
      <c r="J23" s="450"/>
      <c r="K23" s="456"/>
      <c r="L23" s="452"/>
      <c r="M23" s="452"/>
      <c r="N23" s="210">
        <f t="shared" si="8"/>
        <v>0</v>
      </c>
      <c r="O23" s="450"/>
      <c r="P23" s="456"/>
      <c r="Q23" s="39">
        <f>G23+L23</f>
        <v>0</v>
      </c>
      <c r="R23" s="39">
        <f>H23+M23</f>
        <v>0</v>
      </c>
      <c r="S23" s="210">
        <f>Q23+R23*1</f>
        <v>0</v>
      </c>
      <c r="T23" s="178">
        <f>S23/$S$89</f>
        <v>0</v>
      </c>
      <c r="U23" s="456"/>
      <c r="V23" s="452"/>
      <c r="W23" s="452"/>
      <c r="X23" s="453">
        <f t="shared" si="10"/>
        <v>0</v>
      </c>
      <c r="Y23" s="450" t="e">
        <f t="shared" si="11"/>
        <v>#DIV/0!</v>
      </c>
      <c r="Z23" s="842">
        <f t="shared" si="0"/>
        <v>0</v>
      </c>
      <c r="AA23" s="842">
        <f t="shared" si="12"/>
        <v>0</v>
      </c>
    </row>
    <row r="24" spans="1:27" s="2" customFormat="1" ht="87" customHeight="1" outlineLevel="2">
      <c r="A24" s="238"/>
      <c r="B24" s="7" t="s">
        <v>23</v>
      </c>
      <c r="C24" s="114"/>
      <c r="D24" s="113"/>
      <c r="E24" s="106">
        <f t="shared" si="5"/>
        <v>0</v>
      </c>
      <c r="F24" s="177">
        <f t="shared" ref="F24:F33" si="14">E24/$E$89</f>
        <v>0</v>
      </c>
      <c r="G24" s="39">
        <v>210399.99599999998</v>
      </c>
      <c r="H24" s="39">
        <v>800</v>
      </c>
      <c r="I24" s="210">
        <f t="shared" si="13"/>
        <v>211199.99599999998</v>
      </c>
      <c r="J24" s="178">
        <f t="shared" ref="J24:J33" si="15">I24/$I$89</f>
        <v>6.1577902663700154E-2</v>
      </c>
      <c r="K24" s="42"/>
      <c r="L24" s="39">
        <v>-210399.99599999998</v>
      </c>
      <c r="M24" s="39">
        <v>-800</v>
      </c>
      <c r="N24" s="210">
        <f t="shared" si="8"/>
        <v>-211199.99599999998</v>
      </c>
      <c r="O24" s="178">
        <f t="shared" ref="O24:O33" si="16">N24/$N$89</f>
        <v>-1.7752737292146799</v>
      </c>
      <c r="P24" s="42"/>
      <c r="Q24" s="39">
        <f t="shared" si="6"/>
        <v>0</v>
      </c>
      <c r="R24" s="39">
        <f t="shared" si="7"/>
        <v>0</v>
      </c>
      <c r="S24" s="210">
        <f t="shared" si="9"/>
        <v>0</v>
      </c>
      <c r="T24" s="178">
        <f t="shared" ref="T24:T33" si="17">S24/$S$89</f>
        <v>0</v>
      </c>
      <c r="U24" s="42"/>
      <c r="V24" s="452"/>
      <c r="W24" s="452"/>
      <c r="X24" s="453">
        <f t="shared" si="10"/>
        <v>0</v>
      </c>
      <c r="Y24" s="450" t="e">
        <f t="shared" si="11"/>
        <v>#DIV/0!</v>
      </c>
      <c r="Z24" s="842">
        <f t="shared" si="0"/>
        <v>0</v>
      </c>
      <c r="AA24" s="842">
        <f t="shared" si="12"/>
        <v>0</v>
      </c>
    </row>
    <row r="25" spans="1:27" s="2" customFormat="1" ht="39" customHeight="1" outlineLevel="2">
      <c r="A25" s="238"/>
      <c r="B25" s="7" t="s">
        <v>24</v>
      </c>
      <c r="C25" s="114">
        <v>37556</v>
      </c>
      <c r="D25" s="113"/>
      <c r="E25" s="106">
        <f t="shared" si="5"/>
        <v>37556</v>
      </c>
      <c r="F25" s="177">
        <f t="shared" si="14"/>
        <v>9.5688294031813382E-3</v>
      </c>
      <c r="G25" s="39">
        <v>8553.6720000000005</v>
      </c>
      <c r="H25" s="39">
        <v>855</v>
      </c>
      <c r="I25" s="210">
        <f t="shared" si="13"/>
        <v>9408.6720000000005</v>
      </c>
      <c r="J25" s="178">
        <f t="shared" si="15"/>
        <v>2.7432116457553396E-3</v>
      </c>
      <c r="K25" s="42"/>
      <c r="L25" s="39">
        <v>2550.9359999999997</v>
      </c>
      <c r="M25" s="39">
        <v>0.46000000000003638</v>
      </c>
      <c r="N25" s="210">
        <f t="shared" si="8"/>
        <v>2551.3959999999997</v>
      </c>
      <c r="O25" s="178">
        <f t="shared" si="16"/>
        <v>2.1446147620303065E-2</v>
      </c>
      <c r="P25" s="42"/>
      <c r="Q25" s="39">
        <f t="shared" si="6"/>
        <v>11104.608</v>
      </c>
      <c r="R25" s="39">
        <f t="shared" si="7"/>
        <v>855.46</v>
      </c>
      <c r="S25" s="210">
        <f t="shared" si="9"/>
        <v>11960.067999999999</v>
      </c>
      <c r="T25" s="178">
        <f t="shared" si="17"/>
        <v>3.1943651555055097E-3</v>
      </c>
      <c r="U25" s="42"/>
      <c r="V25" s="452">
        <f>7128.06*1.2+(1466.48+659.3)*1.2</f>
        <v>11104.608</v>
      </c>
      <c r="W25" s="452">
        <v>855.46</v>
      </c>
      <c r="X25" s="453">
        <f t="shared" si="10"/>
        <v>11960.067999999999</v>
      </c>
      <c r="Y25" s="450" t="e">
        <f t="shared" si="11"/>
        <v>#DIV/0!</v>
      </c>
      <c r="Z25" s="842">
        <f t="shared" si="0"/>
        <v>0</v>
      </c>
      <c r="AA25" s="842">
        <f t="shared" si="12"/>
        <v>0</v>
      </c>
    </row>
    <row r="26" spans="1:27" s="2" customFormat="1" ht="14.4" customHeight="1" outlineLevel="2">
      <c r="A26" s="238"/>
      <c r="B26" s="7" t="s">
        <v>45</v>
      </c>
      <c r="C26" s="114">
        <v>81925</v>
      </c>
      <c r="D26" s="113"/>
      <c r="E26" s="106">
        <f t="shared" si="5"/>
        <v>81925</v>
      </c>
      <c r="F26" s="177">
        <f t="shared" si="14"/>
        <v>2.0873531495783127E-2</v>
      </c>
      <c r="G26" s="39">
        <v>26012.807999999997</v>
      </c>
      <c r="H26" s="39">
        <v>2878</v>
      </c>
      <c r="I26" s="210">
        <f t="shared" si="13"/>
        <v>28890.807999999997</v>
      </c>
      <c r="J26" s="178">
        <f t="shared" si="15"/>
        <v>8.4234630520525662E-3</v>
      </c>
      <c r="K26" s="42"/>
      <c r="L26" s="39">
        <v>-791.15999999999622</v>
      </c>
      <c r="M26" s="39">
        <v>0</v>
      </c>
      <c r="N26" s="210">
        <f t="shared" si="8"/>
        <v>-791.15999999999622</v>
      </c>
      <c r="O26" s="178">
        <f t="shared" si="16"/>
        <v>-6.6502158627194264E-3</v>
      </c>
      <c r="P26" s="42"/>
      <c r="Q26" s="39">
        <f t="shared" si="6"/>
        <v>25221.648000000001</v>
      </c>
      <c r="R26" s="39">
        <f t="shared" si="7"/>
        <v>2878</v>
      </c>
      <c r="S26" s="210">
        <f t="shared" si="9"/>
        <v>28099.648000000001</v>
      </c>
      <c r="T26" s="178">
        <f t="shared" si="17"/>
        <v>7.5050189056759618E-3</v>
      </c>
      <c r="U26" s="42"/>
      <c r="V26" s="452">
        <f>(9312.26+11705.78)*1.2</f>
        <v>25221.648000000001</v>
      </c>
      <c r="W26" s="452">
        <v>2878</v>
      </c>
      <c r="X26" s="453">
        <f t="shared" si="10"/>
        <v>28099.648000000001</v>
      </c>
      <c r="Y26" s="450" t="e">
        <f t="shared" si="11"/>
        <v>#DIV/0!</v>
      </c>
      <c r="Z26" s="842">
        <f t="shared" si="0"/>
        <v>0</v>
      </c>
      <c r="AA26" s="842">
        <f t="shared" si="12"/>
        <v>0</v>
      </c>
    </row>
    <row r="27" spans="1:27" s="2" customFormat="1" ht="14.4" customHeight="1" outlineLevel="2">
      <c r="A27" s="238"/>
      <c r="B27" s="7" t="s">
        <v>25</v>
      </c>
      <c r="C27" s="114"/>
      <c r="D27" s="113">
        <v>2000</v>
      </c>
      <c r="E27" s="106">
        <f t="shared" si="5"/>
        <v>2000</v>
      </c>
      <c r="F27" s="177">
        <f t="shared" si="14"/>
        <v>5.0957660044633813E-4</v>
      </c>
      <c r="G27" s="39">
        <v>7037.5919999999996</v>
      </c>
      <c r="H27" s="39">
        <v>0</v>
      </c>
      <c r="I27" s="210">
        <f t="shared" si="13"/>
        <v>7037.5919999999996</v>
      </c>
      <c r="J27" s="178">
        <f t="shared" si="15"/>
        <v>2.0518947129280953E-3</v>
      </c>
      <c r="K27" s="42"/>
      <c r="L27" s="39"/>
      <c r="M27" s="39"/>
      <c r="N27" s="210">
        <f t="shared" si="8"/>
        <v>0</v>
      </c>
      <c r="O27" s="178">
        <f t="shared" si="16"/>
        <v>0</v>
      </c>
      <c r="P27" s="42"/>
      <c r="Q27" s="39">
        <f t="shared" si="6"/>
        <v>7037.5919999999996</v>
      </c>
      <c r="R27" s="39">
        <f t="shared" si="7"/>
        <v>0</v>
      </c>
      <c r="S27" s="210">
        <f t="shared" si="9"/>
        <v>7037.5919999999996</v>
      </c>
      <c r="T27" s="178">
        <f t="shared" si="17"/>
        <v>1.8796413752383623E-3</v>
      </c>
      <c r="U27" s="42"/>
      <c r="V27" s="452">
        <f>(5864.66*1.2)</f>
        <v>7037.5919999999996</v>
      </c>
      <c r="W27" s="452"/>
      <c r="X27" s="453">
        <f t="shared" si="10"/>
        <v>7037.5919999999996</v>
      </c>
      <c r="Y27" s="450" t="e">
        <f t="shared" si="11"/>
        <v>#DIV/0!</v>
      </c>
      <c r="Z27" s="842">
        <f t="shared" si="0"/>
        <v>0</v>
      </c>
      <c r="AA27" s="842">
        <f t="shared" si="12"/>
        <v>0</v>
      </c>
    </row>
    <row r="28" spans="1:27" s="2" customFormat="1" ht="51" customHeight="1" outlineLevel="2">
      <c r="A28" s="238"/>
      <c r="B28" s="7" t="s">
        <v>52</v>
      </c>
      <c r="C28" s="114">
        <v>116394</v>
      </c>
      <c r="D28" s="113"/>
      <c r="E28" s="106">
        <f t="shared" si="5"/>
        <v>116394</v>
      </c>
      <c r="F28" s="177">
        <f t="shared" si="14"/>
        <v>2.965582941617554E-2</v>
      </c>
      <c r="G28" s="39">
        <v>0</v>
      </c>
      <c r="H28" s="39">
        <v>2390</v>
      </c>
      <c r="I28" s="210">
        <f t="shared" si="13"/>
        <v>2390</v>
      </c>
      <c r="J28" s="178">
        <f t="shared" si="15"/>
        <v>6.9683328671201004E-4</v>
      </c>
      <c r="K28" s="42"/>
      <c r="L28" s="39"/>
      <c r="M28" s="39">
        <v>90</v>
      </c>
      <c r="N28" s="210">
        <f t="shared" si="8"/>
        <v>90</v>
      </c>
      <c r="O28" s="178">
        <f t="shared" si="16"/>
        <v>7.5650870575452657E-4</v>
      </c>
      <c r="P28" s="42"/>
      <c r="Q28" s="39">
        <f t="shared" si="6"/>
        <v>0</v>
      </c>
      <c r="R28" s="39">
        <f t="shared" si="7"/>
        <v>2480</v>
      </c>
      <c r="S28" s="210">
        <f t="shared" si="9"/>
        <v>2480</v>
      </c>
      <c r="T28" s="178">
        <f t="shared" si="17"/>
        <v>6.6237295520842055E-4</v>
      </c>
      <c r="U28" s="42"/>
      <c r="V28" s="452"/>
      <c r="W28" s="452">
        <v>2480</v>
      </c>
      <c r="X28" s="453">
        <f t="shared" si="10"/>
        <v>2480</v>
      </c>
      <c r="Y28" s="450" t="e">
        <f t="shared" si="11"/>
        <v>#DIV/0!</v>
      </c>
      <c r="Z28" s="842">
        <f t="shared" si="0"/>
        <v>0</v>
      </c>
      <c r="AA28" s="842">
        <f t="shared" si="12"/>
        <v>0</v>
      </c>
    </row>
    <row r="29" spans="1:27" s="2" customFormat="1" ht="61.2" customHeight="1" outlineLevel="2">
      <c r="A29" s="238"/>
      <c r="B29" s="7" t="s">
        <v>31</v>
      </c>
      <c r="C29" s="114">
        <v>23520</v>
      </c>
      <c r="D29" s="113"/>
      <c r="E29" s="106">
        <f t="shared" si="5"/>
        <v>23520</v>
      </c>
      <c r="F29" s="178">
        <f t="shared" si="14"/>
        <v>5.9926208212489366E-3</v>
      </c>
      <c r="G29" s="39">
        <v>0</v>
      </c>
      <c r="H29" s="39">
        <v>0</v>
      </c>
      <c r="I29" s="210">
        <f t="shared" si="13"/>
        <v>0</v>
      </c>
      <c r="J29" s="178">
        <f t="shared" si="15"/>
        <v>0</v>
      </c>
      <c r="K29" s="79"/>
      <c r="L29" s="39"/>
      <c r="M29" s="39"/>
      <c r="N29" s="210">
        <f t="shared" si="8"/>
        <v>0</v>
      </c>
      <c r="O29" s="178">
        <f t="shared" si="16"/>
        <v>0</v>
      </c>
      <c r="P29" s="79"/>
      <c r="Q29" s="39">
        <f t="shared" si="6"/>
        <v>0</v>
      </c>
      <c r="R29" s="39">
        <f t="shared" si="7"/>
        <v>0</v>
      </c>
      <c r="S29" s="210">
        <f t="shared" si="9"/>
        <v>0</v>
      </c>
      <c r="T29" s="178">
        <f t="shared" si="17"/>
        <v>0</v>
      </c>
      <c r="U29" s="79"/>
      <c r="V29" s="452"/>
      <c r="W29" s="452"/>
      <c r="X29" s="453">
        <f t="shared" si="10"/>
        <v>0</v>
      </c>
      <c r="Y29" s="450" t="e">
        <f t="shared" si="11"/>
        <v>#DIV/0!</v>
      </c>
      <c r="Z29" s="842">
        <f t="shared" si="0"/>
        <v>0</v>
      </c>
      <c r="AA29" s="842">
        <f t="shared" si="12"/>
        <v>0</v>
      </c>
    </row>
    <row r="30" spans="1:27" s="2" customFormat="1" ht="79.95" customHeight="1" outlineLevel="2">
      <c r="A30" s="238"/>
      <c r="B30" s="7" t="s">
        <v>62</v>
      </c>
      <c r="C30" s="114"/>
      <c r="D30" s="113">
        <v>37380</v>
      </c>
      <c r="E30" s="106">
        <f t="shared" si="5"/>
        <v>37380</v>
      </c>
      <c r="F30" s="178">
        <f t="shared" si="14"/>
        <v>9.5239866623420596E-3</v>
      </c>
      <c r="G30" s="39">
        <v>0</v>
      </c>
      <c r="H30" s="39">
        <v>900</v>
      </c>
      <c r="I30" s="210">
        <f t="shared" si="13"/>
        <v>900</v>
      </c>
      <c r="J30" s="178">
        <f t="shared" si="15"/>
        <v>2.6240584018443895E-4</v>
      </c>
      <c r="K30" s="79"/>
      <c r="L30" s="39">
        <v>0</v>
      </c>
      <c r="M30" s="39">
        <v>47850</v>
      </c>
      <c r="N30" s="210">
        <f t="shared" si="8"/>
        <v>47850</v>
      </c>
      <c r="O30" s="178">
        <f t="shared" si="16"/>
        <v>0.40221046189282328</v>
      </c>
      <c r="P30" s="79"/>
      <c r="Q30" s="39">
        <f t="shared" si="6"/>
        <v>0</v>
      </c>
      <c r="R30" s="39">
        <f t="shared" si="7"/>
        <v>48750</v>
      </c>
      <c r="S30" s="210">
        <f t="shared" si="9"/>
        <v>48750</v>
      </c>
      <c r="T30" s="178">
        <f t="shared" si="17"/>
        <v>1.3020436115488107E-2</v>
      </c>
      <c r="U30" s="79"/>
      <c r="V30" s="452"/>
      <c r="W30" s="452">
        <f>3000+45750</f>
        <v>48750</v>
      </c>
      <c r="X30" s="453">
        <f t="shared" si="10"/>
        <v>48750</v>
      </c>
      <c r="Y30" s="450" t="e">
        <f t="shared" si="11"/>
        <v>#DIV/0!</v>
      </c>
      <c r="Z30" s="842">
        <f t="shared" si="0"/>
        <v>0</v>
      </c>
      <c r="AA30" s="842">
        <f t="shared" si="12"/>
        <v>0</v>
      </c>
    </row>
    <row r="31" spans="1:27" s="2" customFormat="1" ht="26.4" customHeight="1" outlineLevel="2">
      <c r="A31" s="238"/>
      <c r="B31" s="7" t="s">
        <v>34</v>
      </c>
      <c r="C31" s="114">
        <f>19840+101200</f>
        <v>121040</v>
      </c>
      <c r="D31" s="113">
        <v>6250</v>
      </c>
      <c r="E31" s="106">
        <f t="shared" si="5"/>
        <v>127290</v>
      </c>
      <c r="F31" s="178">
        <f t="shared" si="14"/>
        <v>3.2432002735407188E-2</v>
      </c>
      <c r="G31" s="39">
        <v>1259.4000000000001</v>
      </c>
      <c r="H31" s="39">
        <v>1650</v>
      </c>
      <c r="I31" s="210">
        <f t="shared" si="13"/>
        <v>2909.4</v>
      </c>
      <c r="J31" s="178">
        <f t="shared" si="15"/>
        <v>8.4827061270289627E-4</v>
      </c>
      <c r="K31" s="79"/>
      <c r="L31" s="39">
        <v>63399.595999999983</v>
      </c>
      <c r="M31" s="39">
        <v>549.19999999999982</v>
      </c>
      <c r="N31" s="210">
        <f t="shared" si="8"/>
        <v>63948.79599999998</v>
      </c>
      <c r="O31" s="178">
        <f t="shared" si="16"/>
        <v>0.53753134329466923</v>
      </c>
      <c r="P31" s="79"/>
      <c r="Q31" s="39">
        <f t="shared" si="6"/>
        <v>64658.995999999985</v>
      </c>
      <c r="R31" s="39">
        <f t="shared" si="7"/>
        <v>2199.1999999999998</v>
      </c>
      <c r="S31" s="210">
        <f t="shared" si="9"/>
        <v>66858.195999999982</v>
      </c>
      <c r="T31" s="178">
        <f t="shared" si="17"/>
        <v>1.7856879380816044E-2</v>
      </c>
      <c r="U31" s="79"/>
      <c r="V31" s="452">
        <f>175333.33*1.2+1259-147000</f>
        <v>64658.995999999985</v>
      </c>
      <c r="W31" s="452">
        <f>200+350+1649.2</f>
        <v>2199.1999999999998</v>
      </c>
      <c r="X31" s="453">
        <f t="shared" si="10"/>
        <v>66858.195999999982</v>
      </c>
      <c r="Y31" s="450" t="e">
        <f t="shared" si="11"/>
        <v>#DIV/0!</v>
      </c>
      <c r="Z31" s="842">
        <f t="shared" si="0"/>
        <v>0</v>
      </c>
      <c r="AA31" s="842">
        <f t="shared" si="12"/>
        <v>0</v>
      </c>
    </row>
    <row r="32" spans="1:27" s="2" customFormat="1" ht="14.4" customHeight="1" outlineLevel="2">
      <c r="A32" s="238"/>
      <c r="B32" s="32" t="s">
        <v>2</v>
      </c>
      <c r="C32" s="115"/>
      <c r="D32" s="116">
        <v>220000</v>
      </c>
      <c r="E32" s="106">
        <f t="shared" si="5"/>
        <v>220000</v>
      </c>
      <c r="F32" s="178">
        <f t="shared" si="14"/>
        <v>5.6053426049097195E-2</v>
      </c>
      <c r="G32" s="39">
        <v>0</v>
      </c>
      <c r="H32" s="39">
        <v>37180</v>
      </c>
      <c r="I32" s="210">
        <f t="shared" si="13"/>
        <v>37180</v>
      </c>
      <c r="J32" s="178">
        <f t="shared" si="15"/>
        <v>1.0840276820063822E-2</v>
      </c>
      <c r="K32" s="79"/>
      <c r="L32" s="39">
        <v>0</v>
      </c>
      <c r="M32" s="39">
        <v>76000</v>
      </c>
      <c r="N32" s="210">
        <f t="shared" si="8"/>
        <v>76000</v>
      </c>
      <c r="O32" s="178">
        <f t="shared" si="16"/>
        <v>0.63882957374826688</v>
      </c>
      <c r="P32" s="79"/>
      <c r="Q32" s="39">
        <f t="shared" si="6"/>
        <v>0</v>
      </c>
      <c r="R32" s="39">
        <f t="shared" si="7"/>
        <v>113180</v>
      </c>
      <c r="S32" s="210">
        <f t="shared" si="9"/>
        <v>113180</v>
      </c>
      <c r="T32" s="178">
        <f t="shared" si="17"/>
        <v>3.0228778657455258E-2</v>
      </c>
      <c r="U32" s="79"/>
      <c r="V32" s="452"/>
      <c r="W32" s="452">
        <f>7180+50000+56000</f>
        <v>113180</v>
      </c>
      <c r="X32" s="453">
        <f t="shared" si="10"/>
        <v>113180</v>
      </c>
      <c r="Y32" s="450" t="e">
        <f t="shared" si="11"/>
        <v>#DIV/0!</v>
      </c>
      <c r="Z32" s="842">
        <f t="shared" si="0"/>
        <v>0</v>
      </c>
      <c r="AA32" s="842">
        <f t="shared" si="12"/>
        <v>0</v>
      </c>
    </row>
    <row r="33" spans="1:27" s="2" customFormat="1" ht="15" customHeight="1" outlineLevel="2" thickBot="1">
      <c r="A33" s="238"/>
      <c r="B33" s="32" t="s">
        <v>75</v>
      </c>
      <c r="C33" s="115"/>
      <c r="D33" s="116">
        <v>450000</v>
      </c>
      <c r="E33" s="106">
        <f t="shared" si="5"/>
        <v>450000</v>
      </c>
      <c r="F33" s="178">
        <f t="shared" si="14"/>
        <v>0.11465473510042608</v>
      </c>
      <c r="G33" s="39">
        <v>0</v>
      </c>
      <c r="H33" s="39">
        <v>394895</v>
      </c>
      <c r="I33" s="210">
        <f t="shared" si="13"/>
        <v>394895</v>
      </c>
      <c r="J33" s="178">
        <f t="shared" si="15"/>
        <v>0.11513639362181557</v>
      </c>
      <c r="K33" s="79"/>
      <c r="L33" s="39">
        <v>0</v>
      </c>
      <c r="M33" s="39">
        <v>-127000</v>
      </c>
      <c r="N33" s="210">
        <f t="shared" si="8"/>
        <v>-127000</v>
      </c>
      <c r="O33" s="178">
        <f t="shared" si="16"/>
        <v>-1.0675178403424985</v>
      </c>
      <c r="P33" s="79"/>
      <c r="Q33" s="39">
        <f t="shared" si="6"/>
        <v>0</v>
      </c>
      <c r="R33" s="39">
        <f t="shared" si="7"/>
        <v>267895</v>
      </c>
      <c r="S33" s="210">
        <f t="shared" si="9"/>
        <v>267895</v>
      </c>
      <c r="T33" s="178">
        <f t="shared" si="17"/>
        <v>7.155096888530639E-2</v>
      </c>
      <c r="U33" s="79"/>
      <c r="V33" s="512"/>
      <c r="W33" s="512">
        <v>267895</v>
      </c>
      <c r="X33" s="513">
        <f t="shared" si="10"/>
        <v>267895</v>
      </c>
      <c r="Y33" s="508" t="e">
        <f t="shared" si="11"/>
        <v>#DIV/0!</v>
      </c>
      <c r="Z33" s="842">
        <f t="shared" si="0"/>
        <v>0</v>
      </c>
      <c r="AA33" s="842">
        <f t="shared" si="12"/>
        <v>0</v>
      </c>
    </row>
    <row r="34" spans="1:27" s="2" customFormat="1" ht="13.8" outlineLevel="2">
      <c r="A34" s="238"/>
      <c r="B34" s="12"/>
      <c r="C34" s="46"/>
      <c r="D34" s="47"/>
      <c r="E34" s="48"/>
      <c r="F34" s="179"/>
      <c r="G34" s="48"/>
      <c r="H34" s="48"/>
      <c r="I34" s="48"/>
      <c r="J34" s="48"/>
      <c r="K34" s="48"/>
      <c r="L34" s="39"/>
      <c r="M34" s="39"/>
      <c r="N34" s="48"/>
      <c r="O34" s="48"/>
      <c r="P34" s="48"/>
      <c r="Q34" s="39"/>
      <c r="R34" s="39"/>
      <c r="S34" s="48"/>
      <c r="T34" s="48"/>
      <c r="U34" s="48"/>
      <c r="V34" s="452"/>
      <c r="W34" s="452"/>
      <c r="X34" s="476"/>
      <c r="Y34" s="476"/>
    </row>
    <row r="35" spans="1:27" s="88" customFormat="1" ht="13.8" outlineLevel="1">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91"/>
      <c r="P35" s="91"/>
      <c r="Q35" s="90">
        <f>Q36</f>
        <v>0</v>
      </c>
      <c r="R35" s="90">
        <f>R36</f>
        <v>0</v>
      </c>
      <c r="S35" s="91">
        <f>S36</f>
        <v>0</v>
      </c>
      <c r="T35" s="91"/>
      <c r="U35" s="91"/>
      <c r="V35" s="536">
        <f>V36</f>
        <v>0</v>
      </c>
      <c r="W35" s="536">
        <f>W36</f>
        <v>0</v>
      </c>
      <c r="X35" s="658">
        <f>X36</f>
        <v>0</v>
      </c>
      <c r="Y35" s="658"/>
    </row>
    <row r="36" spans="1:27" s="226" customFormat="1" ht="13.2" customHeight="1" outlineLevel="3">
      <c r="A36" s="238"/>
      <c r="B36" s="19" t="s">
        <v>81</v>
      </c>
      <c r="C36" s="43"/>
      <c r="D36" s="49"/>
      <c r="E36" s="44">
        <f>C36+D36</f>
        <v>0</v>
      </c>
      <c r="F36" s="180">
        <f>E36/$E$89</f>
        <v>0</v>
      </c>
      <c r="G36" s="210"/>
      <c r="H36" s="210"/>
      <c r="I36" s="106"/>
      <c r="J36" s="178">
        <f>I36/$I$89</f>
        <v>0</v>
      </c>
      <c r="K36" s="45"/>
      <c r="L36" s="39"/>
      <c r="M36" s="39"/>
      <c r="N36" s="106">
        <f>L36+M36*1</f>
        <v>0</v>
      </c>
      <c r="O36" s="178">
        <f>N36/$N$89</f>
        <v>0</v>
      </c>
      <c r="P36" s="45"/>
      <c r="Q36" s="39">
        <f>G36+L36</f>
        <v>0</v>
      </c>
      <c r="R36" s="39">
        <f>H36+M36</f>
        <v>0</v>
      </c>
      <c r="S36" s="106">
        <f>Q36+R36*1</f>
        <v>0</v>
      </c>
      <c r="T36" s="178">
        <f>S36/$S$89</f>
        <v>0</v>
      </c>
      <c r="U36" s="45"/>
      <c r="V36" s="452"/>
      <c r="W36" s="452"/>
      <c r="X36" s="446">
        <f>V36+W36*1</f>
        <v>0</v>
      </c>
      <c r="Y36" s="450" t="e">
        <f>X36/$F$93</f>
        <v>#DIV/0!</v>
      </c>
    </row>
    <row r="37" spans="1:27" s="2" customFormat="1" ht="14.4" outlineLevel="1" thickBot="1">
      <c r="A37" s="4"/>
      <c r="B37" s="14"/>
      <c r="C37" s="50"/>
      <c r="D37" s="51"/>
      <c r="E37" s="52"/>
      <c r="F37" s="181"/>
      <c r="G37" s="52"/>
      <c r="H37" s="52"/>
      <c r="I37" s="52"/>
      <c r="J37" s="52"/>
      <c r="K37" s="52"/>
      <c r="L37" s="39"/>
      <c r="M37" s="39"/>
      <c r="N37" s="52"/>
      <c r="O37" s="52"/>
      <c r="P37" s="52"/>
      <c r="Q37" s="39"/>
      <c r="R37" s="39"/>
      <c r="S37" s="52"/>
      <c r="T37" s="52"/>
      <c r="U37" s="52"/>
      <c r="V37" s="452"/>
      <c r="W37" s="452"/>
      <c r="X37" s="606"/>
      <c r="Y37" s="606"/>
    </row>
    <row r="38" spans="1:27" ht="14.4" thickBot="1">
      <c r="A38" s="33"/>
      <c r="B38" s="34" t="s">
        <v>46</v>
      </c>
      <c r="C38" s="53">
        <f>(C5)-(C8)</f>
        <v>4041032</v>
      </c>
      <c r="D38" s="53">
        <f>(D5)-(D8)</f>
        <v>-868654</v>
      </c>
      <c r="E38" s="53">
        <f>(E5)-(E8)</f>
        <v>3172378</v>
      </c>
      <c r="F38" s="166"/>
      <c r="G38" s="53">
        <f>(G5)-(G8)</f>
        <v>4151797.7860000003</v>
      </c>
      <c r="H38" s="53">
        <f>(H5)-(H8)</f>
        <v>-615606</v>
      </c>
      <c r="I38" s="53">
        <f>(I5)-(I8)</f>
        <v>3536191.7860000003</v>
      </c>
      <c r="J38" s="53"/>
      <c r="K38" s="53"/>
      <c r="L38" s="53">
        <f>(L5)-(L8)</f>
        <v>77587.355999999883</v>
      </c>
      <c r="M38" s="53">
        <f>(M5)-(M8)</f>
        <v>50660.34</v>
      </c>
      <c r="N38" s="53">
        <f>(N5)-(N8)</f>
        <v>128247.69599999991</v>
      </c>
      <c r="O38" s="53"/>
      <c r="P38" s="53"/>
      <c r="Q38" s="53">
        <f>(Q5)-(Q8)</f>
        <v>4229385.142</v>
      </c>
      <c r="R38" s="53">
        <f>(R5)-(R8)</f>
        <v>-564945.66</v>
      </c>
      <c r="S38" s="53">
        <f>(S5)-(S8)</f>
        <v>3664439.4819999998</v>
      </c>
      <c r="T38" s="53"/>
      <c r="U38" s="53"/>
      <c r="V38" s="648">
        <f>(V5)-(V8)</f>
        <v>4229385.142</v>
      </c>
      <c r="W38" s="648">
        <f>(W5)-(W8)</f>
        <v>-564945.66</v>
      </c>
      <c r="X38" s="648">
        <f>(X5)-(X8)</f>
        <v>3664439.4819999998</v>
      </c>
      <c r="Y38" s="648"/>
    </row>
    <row r="39" spans="1:27" ht="13.8">
      <c r="A39" s="293"/>
      <c r="B39" s="15" t="s">
        <v>47</v>
      </c>
      <c r="C39" s="157">
        <f>C38/(C5)</f>
        <v>0.61627063598137999</v>
      </c>
      <c r="D39" s="157" t="e">
        <f>D38/(D5)</f>
        <v>#DIV/0!</v>
      </c>
      <c r="E39" s="158">
        <f>E38/(E5)</f>
        <v>0.48379805149608768</v>
      </c>
      <c r="F39" s="167"/>
      <c r="G39" s="54">
        <f>G38/(G5)</f>
        <v>0.64184146191447278</v>
      </c>
      <c r="H39" s="54" t="e">
        <f>H38/(H5)</f>
        <v>#DIV/0!</v>
      </c>
      <c r="I39" s="55">
        <f>I38/(I5)</f>
        <v>0.54667270000229973</v>
      </c>
      <c r="J39" s="55"/>
      <c r="K39" s="55"/>
      <c r="L39" s="54">
        <f>L38/(L5)</f>
        <v>1.8074726947939119</v>
      </c>
      <c r="M39" s="54" t="e">
        <f>M38/(M5)</f>
        <v>#DIV/0!</v>
      </c>
      <c r="N39" s="55">
        <f>N38/(N5)</f>
        <v>2.9876544406311587</v>
      </c>
      <c r="O39" s="55"/>
      <c r="P39" s="55"/>
      <c r="Q39" s="54">
        <f>Q38/(Q5)</f>
        <v>0.64952567627295588</v>
      </c>
      <c r="R39" s="54" t="e">
        <f>R38/(R5)</f>
        <v>#DIV/0!</v>
      </c>
      <c r="S39" s="55">
        <f>S38/(S5)</f>
        <v>0.56276443331473036</v>
      </c>
      <c r="T39" s="55"/>
      <c r="U39" s="55"/>
      <c r="V39" s="639">
        <f>V38/(V5)</f>
        <v>0.64952567627295588</v>
      </c>
      <c r="W39" s="639" t="e">
        <f>W38/(W5)</f>
        <v>#DIV/0!</v>
      </c>
      <c r="X39" s="660">
        <f>X38/(X5)</f>
        <v>0.56276443331473036</v>
      </c>
      <c r="Y39" s="660"/>
    </row>
    <row r="40" spans="1:27" ht="14.4" outlineLevel="1" thickBot="1">
      <c r="A40" s="295"/>
      <c r="B40" s="16"/>
      <c r="C40" s="56"/>
      <c r="D40" s="57"/>
      <c r="E40" s="58"/>
      <c r="F40" s="168"/>
      <c r="G40" s="58"/>
      <c r="H40" s="58"/>
      <c r="I40" s="58"/>
      <c r="J40" s="58"/>
      <c r="K40" s="58"/>
      <c r="L40" s="58"/>
      <c r="M40" s="58"/>
      <c r="N40" s="58"/>
      <c r="O40" s="58"/>
      <c r="P40" s="58"/>
      <c r="Q40" s="58"/>
      <c r="R40" s="58"/>
      <c r="S40" s="58"/>
      <c r="T40" s="58"/>
      <c r="U40" s="58"/>
      <c r="V40" s="649"/>
      <c r="W40" s="649"/>
      <c r="X40" s="649"/>
      <c r="Y40" s="649"/>
    </row>
    <row r="41" spans="1:27" ht="13.8" outlineLevel="1">
      <c r="A41" s="11"/>
      <c r="B41" s="22" t="s">
        <v>26</v>
      </c>
      <c r="C41" s="117">
        <f>SUM(C42:C48)</f>
        <v>0</v>
      </c>
      <c r="D41" s="117">
        <f>SUM(D42:D48)</f>
        <v>5600</v>
      </c>
      <c r="E41" s="118">
        <f>SUM(E42:E48)</f>
        <v>5600</v>
      </c>
      <c r="F41" s="169">
        <f t="shared" ref="F41:F48" si="18">E41/$E$89</f>
        <v>1.4268144812497469E-3</v>
      </c>
      <c r="G41" s="117">
        <f>SUM(G42:G48)</f>
        <v>496</v>
      </c>
      <c r="H41" s="117">
        <f>SUM(H42:H48)</f>
        <v>2561</v>
      </c>
      <c r="I41" s="118">
        <f>SUM(I42:I48)</f>
        <v>3057</v>
      </c>
      <c r="J41" s="169">
        <f t="shared" ref="J41:J49" si="19">I41/$I$89</f>
        <v>8.9130517049314424E-4</v>
      </c>
      <c r="K41" s="60"/>
      <c r="L41" s="117">
        <f>SUM(L42:L48)</f>
        <v>-0.5</v>
      </c>
      <c r="M41" s="117">
        <f>SUM(M42:M48)</f>
        <v>-400</v>
      </c>
      <c r="N41" s="118">
        <f>SUM(N42:N48)</f>
        <v>-400.5</v>
      </c>
      <c r="O41" s="169">
        <f t="shared" ref="O41:O49" si="20">N41/$N$89</f>
        <v>-3.3664637406076434E-3</v>
      </c>
      <c r="P41" s="60"/>
      <c r="Q41" s="117">
        <f>SUM(Q42:Q48)</f>
        <v>495.5</v>
      </c>
      <c r="R41" s="117">
        <f>SUM(R42:R48)</f>
        <v>2161</v>
      </c>
      <c r="S41" s="118">
        <f>SUM(S42:S48)</f>
        <v>2656.5</v>
      </c>
      <c r="T41" s="169">
        <f t="shared" ref="T41:T49" si="21">S41/$S$89</f>
        <v>7.0951361109321341E-4</v>
      </c>
      <c r="U41" s="60"/>
      <c r="V41" s="547">
        <f>SUM(V42:V48)</f>
        <v>495.5</v>
      </c>
      <c r="W41" s="547">
        <f>SUM(W42:W48)</f>
        <v>2161</v>
      </c>
      <c r="X41" s="663">
        <f>SUM(X42:X48)</f>
        <v>2656.5</v>
      </c>
      <c r="Y41" s="664" t="e">
        <f t="shared" ref="Y41:Y52" si="22">X41/$F$93</f>
        <v>#DIV/0!</v>
      </c>
    </row>
    <row r="42" spans="1:27" ht="43.2" customHeight="1" outlineLevel="2">
      <c r="A42" s="4833"/>
      <c r="B42" s="18" t="s">
        <v>7</v>
      </c>
      <c r="C42" s="113"/>
      <c r="D42" s="119"/>
      <c r="E42" s="120">
        <f t="shared" ref="E42:E48" si="23">C42+D42</f>
        <v>0</v>
      </c>
      <c r="F42" s="178">
        <f t="shared" si="18"/>
        <v>0</v>
      </c>
      <c r="G42" s="210">
        <v>0</v>
      </c>
      <c r="H42" s="210">
        <v>0</v>
      </c>
      <c r="I42" s="106">
        <f t="shared" ref="I42:I48" si="24">G42+H42*1</f>
        <v>0</v>
      </c>
      <c r="J42" s="178">
        <f t="shared" si="19"/>
        <v>0</v>
      </c>
      <c r="K42" s="79"/>
      <c r="L42" s="39"/>
      <c r="M42" s="39"/>
      <c r="N42" s="106">
        <f t="shared" ref="N42:N48" si="25">L42+M42*1</f>
        <v>0</v>
      </c>
      <c r="O42" s="178">
        <f t="shared" si="20"/>
        <v>0</v>
      </c>
      <c r="P42" s="79"/>
      <c r="Q42" s="39">
        <f t="shared" ref="Q42:Q48" si="26">G42+L42</f>
        <v>0</v>
      </c>
      <c r="R42" s="39">
        <f t="shared" ref="R42:R48" si="27">H42+M42</f>
        <v>0</v>
      </c>
      <c r="S42" s="106">
        <f t="shared" ref="S42:S48" si="28">Q42+R42*1</f>
        <v>0</v>
      </c>
      <c r="T42" s="178">
        <f t="shared" si="21"/>
        <v>0</v>
      </c>
      <c r="U42" s="79"/>
      <c r="V42" s="452"/>
      <c r="W42" s="452"/>
      <c r="X42" s="446">
        <f t="shared" ref="X42:X48" si="29">V42+W42*1</f>
        <v>0</v>
      </c>
      <c r="Y42" s="450" t="e">
        <f t="shared" si="22"/>
        <v>#DIV/0!</v>
      </c>
      <c r="Z42" s="842">
        <f t="shared" ref="Z42:Z49" si="30">V42-Q42</f>
        <v>0</v>
      </c>
      <c r="AA42" s="842">
        <f t="shared" ref="AA42:AA49" si="31">W42-R42</f>
        <v>0</v>
      </c>
    </row>
    <row r="43" spans="1:27" ht="13.8" outlineLevel="2">
      <c r="A43" s="4833"/>
      <c r="B43" s="18" t="s">
        <v>27</v>
      </c>
      <c r="C43" s="113"/>
      <c r="D43" s="119"/>
      <c r="E43" s="120">
        <f t="shared" si="23"/>
        <v>0</v>
      </c>
      <c r="F43" s="178">
        <f t="shared" si="18"/>
        <v>0</v>
      </c>
      <c r="G43" s="210">
        <v>0</v>
      </c>
      <c r="H43" s="210">
        <v>760</v>
      </c>
      <c r="I43" s="106">
        <f t="shared" si="24"/>
        <v>760</v>
      </c>
      <c r="J43" s="178">
        <f t="shared" si="19"/>
        <v>2.215871539335262E-4</v>
      </c>
      <c r="K43" s="79"/>
      <c r="L43" s="39"/>
      <c r="M43" s="39"/>
      <c r="N43" s="106">
        <f t="shared" si="25"/>
        <v>0</v>
      </c>
      <c r="O43" s="178">
        <f t="shared" si="20"/>
        <v>0</v>
      </c>
      <c r="P43" s="79"/>
      <c r="Q43" s="39">
        <f t="shared" si="26"/>
        <v>0</v>
      </c>
      <c r="R43" s="39">
        <f t="shared" si="27"/>
        <v>760</v>
      </c>
      <c r="S43" s="106">
        <f t="shared" si="28"/>
        <v>760</v>
      </c>
      <c r="T43" s="178">
        <f t="shared" si="21"/>
        <v>2.0298526046709663E-4</v>
      </c>
      <c r="U43" s="79"/>
      <c r="V43" s="452"/>
      <c r="W43" s="452">
        <v>760</v>
      </c>
      <c r="X43" s="446">
        <f t="shared" si="29"/>
        <v>760</v>
      </c>
      <c r="Y43" s="450" t="e">
        <f t="shared" si="22"/>
        <v>#DIV/0!</v>
      </c>
      <c r="Z43" s="842">
        <f t="shared" si="30"/>
        <v>0</v>
      </c>
      <c r="AA43" s="842">
        <f t="shared" si="31"/>
        <v>0</v>
      </c>
    </row>
    <row r="44" spans="1:27" ht="67.2" customHeight="1" outlineLevel="2">
      <c r="A44" s="4833"/>
      <c r="B44" s="19" t="s">
        <v>28</v>
      </c>
      <c r="C44" s="113"/>
      <c r="D44" s="119">
        <v>600</v>
      </c>
      <c r="E44" s="120">
        <f t="shared" si="23"/>
        <v>600</v>
      </c>
      <c r="F44" s="178">
        <f t="shared" si="18"/>
        <v>1.5287298013390145E-4</v>
      </c>
      <c r="G44" s="210">
        <v>0</v>
      </c>
      <c r="H44" s="210">
        <v>690</v>
      </c>
      <c r="I44" s="106">
        <f t="shared" si="24"/>
        <v>690</v>
      </c>
      <c r="J44" s="178">
        <f t="shared" si="19"/>
        <v>2.0117781080806986E-4</v>
      </c>
      <c r="K44" s="79"/>
      <c r="L44" s="39"/>
      <c r="M44" s="39"/>
      <c r="N44" s="106">
        <f t="shared" si="25"/>
        <v>0</v>
      </c>
      <c r="O44" s="178">
        <f t="shared" si="20"/>
        <v>0</v>
      </c>
      <c r="P44" s="79"/>
      <c r="Q44" s="39">
        <f t="shared" si="26"/>
        <v>0</v>
      </c>
      <c r="R44" s="39">
        <f t="shared" si="27"/>
        <v>690</v>
      </c>
      <c r="S44" s="106">
        <f t="shared" si="28"/>
        <v>690</v>
      </c>
      <c r="T44" s="178">
        <f t="shared" si="21"/>
        <v>1.8428924963460088E-4</v>
      </c>
      <c r="U44" s="79"/>
      <c r="V44" s="452"/>
      <c r="W44" s="452">
        <v>690</v>
      </c>
      <c r="X44" s="446">
        <f t="shared" si="29"/>
        <v>690</v>
      </c>
      <c r="Y44" s="450" t="e">
        <f t="shared" si="22"/>
        <v>#DIV/0!</v>
      </c>
      <c r="Z44" s="842">
        <f t="shared" si="30"/>
        <v>0</v>
      </c>
      <c r="AA44" s="842">
        <f t="shared" si="31"/>
        <v>0</v>
      </c>
    </row>
    <row r="45" spans="1:27" ht="13.8" outlineLevel="2">
      <c r="A45" s="4833"/>
      <c r="B45" s="18" t="s">
        <v>8</v>
      </c>
      <c r="C45" s="113"/>
      <c r="D45" s="119">
        <v>1200</v>
      </c>
      <c r="E45" s="120">
        <f t="shared" si="23"/>
        <v>1200</v>
      </c>
      <c r="F45" s="178">
        <f t="shared" si="18"/>
        <v>3.0574596026780289E-4</v>
      </c>
      <c r="G45" s="39">
        <v>0</v>
      </c>
      <c r="H45" s="39">
        <v>0</v>
      </c>
      <c r="I45" s="106">
        <f t="shared" si="24"/>
        <v>0</v>
      </c>
      <c r="J45" s="178">
        <f t="shared" si="19"/>
        <v>0</v>
      </c>
      <c r="K45" s="79"/>
      <c r="L45" s="39"/>
      <c r="M45" s="39"/>
      <c r="N45" s="106">
        <f t="shared" si="25"/>
        <v>0</v>
      </c>
      <c r="O45" s="178">
        <f t="shared" si="20"/>
        <v>0</v>
      </c>
      <c r="P45" s="79"/>
      <c r="Q45" s="39">
        <f t="shared" si="26"/>
        <v>0</v>
      </c>
      <c r="R45" s="39">
        <f t="shared" si="27"/>
        <v>0</v>
      </c>
      <c r="S45" s="106">
        <f t="shared" si="28"/>
        <v>0</v>
      </c>
      <c r="T45" s="178">
        <f t="shared" si="21"/>
        <v>0</v>
      </c>
      <c r="U45" s="79"/>
      <c r="V45" s="452"/>
      <c r="W45" s="452"/>
      <c r="X45" s="446">
        <f t="shared" si="29"/>
        <v>0</v>
      </c>
      <c r="Y45" s="450" t="e">
        <f t="shared" si="22"/>
        <v>#DIV/0!</v>
      </c>
      <c r="Z45" s="842">
        <f t="shared" si="30"/>
        <v>0</v>
      </c>
      <c r="AA45" s="842">
        <f t="shared" si="31"/>
        <v>0</v>
      </c>
    </row>
    <row r="46" spans="1:27" ht="13.8" outlineLevel="2">
      <c r="A46" s="4833"/>
      <c r="B46" s="18" t="s">
        <v>29</v>
      </c>
      <c r="C46" s="113"/>
      <c r="D46" s="119"/>
      <c r="E46" s="120">
        <f t="shared" si="23"/>
        <v>0</v>
      </c>
      <c r="F46" s="178">
        <f t="shared" si="18"/>
        <v>0</v>
      </c>
      <c r="G46" s="39">
        <v>0</v>
      </c>
      <c r="H46" s="39">
        <v>0</v>
      </c>
      <c r="I46" s="106">
        <f t="shared" si="24"/>
        <v>0</v>
      </c>
      <c r="J46" s="178">
        <f t="shared" si="19"/>
        <v>0</v>
      </c>
      <c r="K46" s="79"/>
      <c r="L46" s="39"/>
      <c r="M46" s="39"/>
      <c r="N46" s="106">
        <f t="shared" si="25"/>
        <v>0</v>
      </c>
      <c r="O46" s="178">
        <f t="shared" si="20"/>
        <v>0</v>
      </c>
      <c r="P46" s="79"/>
      <c r="Q46" s="39">
        <f t="shared" si="26"/>
        <v>0</v>
      </c>
      <c r="R46" s="39">
        <f t="shared" si="27"/>
        <v>0</v>
      </c>
      <c r="S46" s="106">
        <f t="shared" si="28"/>
        <v>0</v>
      </c>
      <c r="T46" s="178">
        <f t="shared" si="21"/>
        <v>0</v>
      </c>
      <c r="U46" s="79"/>
      <c r="V46" s="452"/>
      <c r="W46" s="452"/>
      <c r="X46" s="446">
        <f t="shared" si="29"/>
        <v>0</v>
      </c>
      <c r="Y46" s="450" t="e">
        <f t="shared" si="22"/>
        <v>#DIV/0!</v>
      </c>
      <c r="Z46" s="842">
        <f t="shared" si="30"/>
        <v>0</v>
      </c>
      <c r="AA46" s="842">
        <f t="shared" si="31"/>
        <v>0</v>
      </c>
    </row>
    <row r="47" spans="1:27" ht="13.8" outlineLevel="2">
      <c r="A47" s="4833"/>
      <c r="B47" s="18" t="s">
        <v>30</v>
      </c>
      <c r="C47" s="113"/>
      <c r="D47" s="119">
        <v>2000</v>
      </c>
      <c r="E47" s="120">
        <f t="shared" si="23"/>
        <v>2000</v>
      </c>
      <c r="F47" s="178">
        <f t="shared" si="18"/>
        <v>5.0957660044633813E-4</v>
      </c>
      <c r="G47" s="39">
        <v>496</v>
      </c>
      <c r="H47" s="39">
        <v>296</v>
      </c>
      <c r="I47" s="106">
        <f t="shared" si="24"/>
        <v>792</v>
      </c>
      <c r="J47" s="178">
        <f t="shared" si="19"/>
        <v>2.3091713936230625E-4</v>
      </c>
      <c r="K47" s="79"/>
      <c r="L47" s="39">
        <v>-0.5</v>
      </c>
      <c r="M47" s="39">
        <v>-150</v>
      </c>
      <c r="N47" s="106">
        <f t="shared" si="25"/>
        <v>-150.5</v>
      </c>
      <c r="O47" s="178">
        <f t="shared" si="20"/>
        <v>-1.2650506690672916E-3</v>
      </c>
      <c r="P47" s="79"/>
      <c r="Q47" s="39">
        <f t="shared" si="26"/>
        <v>495.5</v>
      </c>
      <c r="R47" s="39">
        <f t="shared" si="27"/>
        <v>146</v>
      </c>
      <c r="S47" s="106">
        <f t="shared" si="28"/>
        <v>641.5</v>
      </c>
      <c r="T47" s="178">
        <f t="shared" si="21"/>
        <v>1.7133558498637171E-4</v>
      </c>
      <c r="U47" s="79"/>
      <c r="V47" s="452">
        <v>495.5</v>
      </c>
      <c r="W47" s="452">
        <v>146</v>
      </c>
      <c r="X47" s="446">
        <f t="shared" si="29"/>
        <v>641.5</v>
      </c>
      <c r="Y47" s="450" t="e">
        <f t="shared" si="22"/>
        <v>#DIV/0!</v>
      </c>
      <c r="Z47" s="842">
        <f t="shared" si="30"/>
        <v>0</v>
      </c>
      <c r="AA47" s="842">
        <f t="shared" si="31"/>
        <v>0</v>
      </c>
    </row>
    <row r="48" spans="1:27" ht="13.8" outlineLevel="2">
      <c r="A48" s="4833"/>
      <c r="B48" s="18" t="s">
        <v>15</v>
      </c>
      <c r="C48" s="113"/>
      <c r="D48" s="119">
        <v>1800</v>
      </c>
      <c r="E48" s="120">
        <f t="shared" si="23"/>
        <v>1800</v>
      </c>
      <c r="F48" s="178">
        <f t="shared" si="18"/>
        <v>4.5861894040170431E-4</v>
      </c>
      <c r="G48" s="39">
        <v>0</v>
      </c>
      <c r="H48" s="39">
        <v>815</v>
      </c>
      <c r="I48" s="106">
        <f t="shared" si="24"/>
        <v>815</v>
      </c>
      <c r="J48" s="178">
        <f t="shared" si="19"/>
        <v>2.3762306638924191E-4</v>
      </c>
      <c r="K48" s="79"/>
      <c r="L48" s="39">
        <v>0</v>
      </c>
      <c r="M48" s="39">
        <v>-250</v>
      </c>
      <c r="N48" s="106">
        <f t="shared" si="25"/>
        <v>-250</v>
      </c>
      <c r="O48" s="178">
        <f t="shared" si="20"/>
        <v>-2.1014130715403517E-3</v>
      </c>
      <c r="P48" s="79"/>
      <c r="Q48" s="39">
        <f t="shared" si="26"/>
        <v>0</v>
      </c>
      <c r="R48" s="39">
        <f t="shared" si="27"/>
        <v>565</v>
      </c>
      <c r="S48" s="106">
        <f t="shared" si="28"/>
        <v>565</v>
      </c>
      <c r="T48" s="178">
        <f t="shared" si="21"/>
        <v>1.5090351600514421E-4</v>
      </c>
      <c r="U48" s="79"/>
      <c r="V48" s="452"/>
      <c r="W48" s="452">
        <v>565</v>
      </c>
      <c r="X48" s="446">
        <f t="shared" si="29"/>
        <v>565</v>
      </c>
      <c r="Y48" s="450" t="e">
        <f t="shared" si="22"/>
        <v>#DIV/0!</v>
      </c>
      <c r="Z48" s="842">
        <f t="shared" si="30"/>
        <v>0</v>
      </c>
      <c r="AA48" s="842">
        <f t="shared" si="31"/>
        <v>0</v>
      </c>
    </row>
    <row r="49" spans="1:27" s="2" customFormat="1" ht="14.4" outlineLevel="2" thickBot="1">
      <c r="A49" s="11"/>
      <c r="B49" s="35"/>
      <c r="C49" s="116"/>
      <c r="D49" s="121"/>
      <c r="E49" s="122"/>
      <c r="F49" s="182"/>
      <c r="G49" s="210">
        <v>0</v>
      </c>
      <c r="H49" s="210">
        <v>0</v>
      </c>
      <c r="I49" s="52"/>
      <c r="J49" s="178">
        <f t="shared" si="19"/>
        <v>0</v>
      </c>
      <c r="K49" s="52"/>
      <c r="L49" s="39"/>
      <c r="M49" s="39"/>
      <c r="N49" s="52"/>
      <c r="O49" s="178">
        <f t="shared" si="20"/>
        <v>0</v>
      </c>
      <c r="P49" s="52"/>
      <c r="Q49" s="39"/>
      <c r="R49" s="39"/>
      <c r="S49" s="52"/>
      <c r="T49" s="178">
        <f t="shared" si="21"/>
        <v>0</v>
      </c>
      <c r="U49" s="52"/>
      <c r="V49" s="452"/>
      <c r="W49" s="452"/>
      <c r="X49" s="606"/>
      <c r="Y49" s="450" t="e">
        <f t="shared" si="22"/>
        <v>#DIV/0!</v>
      </c>
      <c r="Z49" s="842">
        <f t="shared" si="30"/>
        <v>0</v>
      </c>
      <c r="AA49" s="842">
        <f t="shared" si="31"/>
        <v>0</v>
      </c>
    </row>
    <row r="50" spans="1:27" s="2" customFormat="1" ht="14.4" outlineLevel="1" thickBot="1">
      <c r="A50" s="293"/>
      <c r="B50" s="17" t="s">
        <v>59</v>
      </c>
      <c r="C50" s="123">
        <f>SUM(C51:C52)</f>
        <v>0</v>
      </c>
      <c r="D50" s="123">
        <f>SUM(D51:D52)</f>
        <v>0</v>
      </c>
      <c r="E50" s="123">
        <f>SUM(E51:E52)</f>
        <v>0</v>
      </c>
      <c r="F50" s="170">
        <f>E50/$E$89</f>
        <v>0</v>
      </c>
      <c r="G50" s="123">
        <f>G52+G51</f>
        <v>9410.2999999999993</v>
      </c>
      <c r="H50" s="123">
        <f>H52+H51</f>
        <v>40</v>
      </c>
      <c r="I50" s="123">
        <f>SUM(I51:I52)</f>
        <v>9450.2999999999993</v>
      </c>
      <c r="J50" s="60"/>
      <c r="K50" s="60"/>
      <c r="L50" s="123">
        <f>L52+L51</f>
        <v>-0.2999999999992724</v>
      </c>
      <c r="M50" s="123">
        <f>M52+M51</f>
        <v>-40</v>
      </c>
      <c r="N50" s="123">
        <f>SUM(N51:N52)</f>
        <v>-40.299999999999272</v>
      </c>
      <c r="O50" s="60"/>
      <c r="P50" s="60"/>
      <c r="Q50" s="123">
        <f>Q52+Q51</f>
        <v>9410</v>
      </c>
      <c r="R50" s="123">
        <f>R52+R51</f>
        <v>0</v>
      </c>
      <c r="S50" s="123">
        <f>SUM(S51:S52)</f>
        <v>9410</v>
      </c>
      <c r="T50" s="60"/>
      <c r="U50" s="60"/>
      <c r="V50" s="836">
        <f>V52+V51</f>
        <v>9410</v>
      </c>
      <c r="W50" s="836">
        <f>W52+W51</f>
        <v>0</v>
      </c>
      <c r="X50" s="836">
        <f>SUM(X51:X52)</f>
        <v>9410</v>
      </c>
      <c r="Y50" s="837" t="e">
        <v>#DIV/0!</v>
      </c>
    </row>
    <row r="51" spans="1:27" s="226" customFormat="1" ht="13.8" outlineLevel="1">
      <c r="A51" s="234"/>
      <c r="B51" s="18" t="s">
        <v>60</v>
      </c>
      <c r="C51" s="113"/>
      <c r="D51" s="119"/>
      <c r="E51" s="119">
        <f>C51+D51</f>
        <v>0</v>
      </c>
      <c r="F51" s="180">
        <f>E51/$E$89</f>
        <v>0</v>
      </c>
      <c r="G51" s="39">
        <v>0</v>
      </c>
      <c r="H51" s="39">
        <v>0</v>
      </c>
      <c r="I51" s="106">
        <f>G51+H51*1</f>
        <v>0</v>
      </c>
      <c r="J51" s="178">
        <f>I51/$I$89</f>
        <v>0</v>
      </c>
      <c r="K51" s="45"/>
      <c r="L51" s="39">
        <v>0</v>
      </c>
      <c r="M51" s="39">
        <v>0</v>
      </c>
      <c r="N51" s="106">
        <f>L51+M51*1</f>
        <v>0</v>
      </c>
      <c r="O51" s="178">
        <f>N51/$N$89</f>
        <v>0</v>
      </c>
      <c r="P51" s="45"/>
      <c r="Q51" s="39">
        <f>G51+L51</f>
        <v>0</v>
      </c>
      <c r="R51" s="39">
        <f>H51+M51</f>
        <v>0</v>
      </c>
      <c r="S51" s="106">
        <f>Q51+R51*1</f>
        <v>0</v>
      </c>
      <c r="T51" s="178">
        <f>S51/$S$89</f>
        <v>0</v>
      </c>
      <c r="U51" s="45"/>
      <c r="V51" s="452"/>
      <c r="W51" s="452"/>
      <c r="X51" s="446">
        <f>V51+W51*1</f>
        <v>0</v>
      </c>
      <c r="Y51" s="447" t="e">
        <f t="shared" si="22"/>
        <v>#DIV/0!</v>
      </c>
      <c r="Z51" s="842">
        <f>V51-Q51</f>
        <v>0</v>
      </c>
      <c r="AA51" s="842">
        <f>W51-R51</f>
        <v>0</v>
      </c>
    </row>
    <row r="52" spans="1:27" s="235" customFormat="1" ht="13.8" outlineLevel="2">
      <c r="A52" s="234"/>
      <c r="B52" s="18" t="s">
        <v>61</v>
      </c>
      <c r="C52" s="113"/>
      <c r="D52" s="119"/>
      <c r="E52" s="119">
        <f>C52+D52</f>
        <v>0</v>
      </c>
      <c r="F52" s="180">
        <f>E52/$E$89</f>
        <v>0</v>
      </c>
      <c r="G52" s="39">
        <v>9410.2999999999993</v>
      </c>
      <c r="H52" s="39">
        <v>40</v>
      </c>
      <c r="I52" s="106">
        <f>G52+H52*1</f>
        <v>9450.2999999999993</v>
      </c>
      <c r="J52" s="178">
        <f>I52/$I$89</f>
        <v>2.7553487905500034E-3</v>
      </c>
      <c r="K52" s="45"/>
      <c r="L52" s="39">
        <v>-0.2999999999992724</v>
      </c>
      <c r="M52" s="39">
        <v>-40</v>
      </c>
      <c r="N52" s="106">
        <f>L52+M52*1</f>
        <v>-40.299999999999272</v>
      </c>
      <c r="O52" s="178">
        <f>N52/$N$89</f>
        <v>-3.3874778713229855E-4</v>
      </c>
      <c r="P52" s="45"/>
      <c r="Q52" s="39">
        <f>G52+L52</f>
        <v>9410</v>
      </c>
      <c r="R52" s="39">
        <f>H52+M52</f>
        <v>0</v>
      </c>
      <c r="S52" s="106">
        <f>Q52+R52*1</f>
        <v>9410</v>
      </c>
      <c r="T52" s="178">
        <f>S52/$S$89</f>
        <v>2.513278027625499E-3</v>
      </c>
      <c r="U52" s="45"/>
      <c r="V52" s="452">
        <v>9410</v>
      </c>
      <c r="W52" s="452"/>
      <c r="X52" s="446">
        <f>V52+W52*1</f>
        <v>9410</v>
      </c>
      <c r="Y52" s="450" t="e">
        <f t="shared" si="22"/>
        <v>#DIV/0!</v>
      </c>
      <c r="Z52" s="842">
        <f>V52-Q52</f>
        <v>0</v>
      </c>
      <c r="AA52" s="842">
        <f>W52-R52</f>
        <v>0</v>
      </c>
    </row>
    <row r="53" spans="1:27" ht="14.4" outlineLevel="1" thickBot="1">
      <c r="A53" s="20"/>
      <c r="B53" s="21"/>
      <c r="C53" s="124"/>
      <c r="D53" s="125"/>
      <c r="E53" s="126"/>
      <c r="F53" s="183"/>
      <c r="G53" s="210">
        <v>0</v>
      </c>
      <c r="H53" s="210">
        <v>0</v>
      </c>
      <c r="I53" s="61"/>
      <c r="J53" s="61"/>
      <c r="K53" s="61"/>
      <c r="L53" s="39"/>
      <c r="M53" s="39"/>
      <c r="N53" s="61"/>
      <c r="O53" s="61"/>
      <c r="P53" s="61"/>
      <c r="Q53" s="39"/>
      <c r="R53" s="39"/>
      <c r="S53" s="61"/>
      <c r="T53" s="61"/>
      <c r="U53" s="61"/>
      <c r="V53" s="452"/>
      <c r="W53" s="452"/>
      <c r="X53" s="668"/>
      <c r="Y53" s="668"/>
    </row>
    <row r="54" spans="1:27" ht="14.4" outlineLevel="1" thickBot="1">
      <c r="A54" s="236"/>
      <c r="B54" s="17" t="s">
        <v>1</v>
      </c>
      <c r="C54" s="123">
        <f>SUM(C55:C71)</f>
        <v>86683</v>
      </c>
      <c r="D54" s="123">
        <f>SUM(D55:D71)</f>
        <v>104201</v>
      </c>
      <c r="E54" s="127">
        <f>SUM(E55:E71)</f>
        <v>190884</v>
      </c>
      <c r="F54" s="170">
        <f>E54/$E$89</f>
        <v>4.8635009899799408E-2</v>
      </c>
      <c r="G54" s="123">
        <f>SUM(G55:G71)</f>
        <v>139708.89655</v>
      </c>
      <c r="H54" s="123">
        <f>SUM(H55:H71)</f>
        <v>141595.72</v>
      </c>
      <c r="I54" s="127">
        <f>SUM(I55:I71)</f>
        <v>281304.61655000004</v>
      </c>
      <c r="J54" s="169">
        <f t="shared" ref="J54:J72" si="32">I54/$I$89</f>
        <v>8.2017749170626875E-2</v>
      </c>
      <c r="K54" s="60"/>
      <c r="L54" s="123">
        <f>SUM(L55:L72)</f>
        <v>18626.911276086958</v>
      </c>
      <c r="M54" s="123">
        <f>SUM(M55:M72)</f>
        <v>-48775.62999999999</v>
      </c>
      <c r="N54" s="123">
        <f>SUM(N55:N72)</f>
        <v>-30148.718723913036</v>
      </c>
      <c r="O54" s="169">
        <f t="shared" ref="O54:O72" si="33">N54/$N$89</f>
        <v>-0.25341964646649684</v>
      </c>
      <c r="P54" s="60"/>
      <c r="Q54" s="123">
        <f>SUM(Q55:Q72)</f>
        <v>158335.80782608694</v>
      </c>
      <c r="R54" s="123">
        <f>SUM(R55:R72)</f>
        <v>92820.09</v>
      </c>
      <c r="S54" s="123">
        <f>SUM(S55:S72)</f>
        <v>251155.89782608693</v>
      </c>
      <c r="T54" s="169">
        <f t="shared" ref="T54:T72" si="34">S54/$S$89</f>
        <v>6.7080191234310221E-2</v>
      </c>
      <c r="U54" s="60"/>
      <c r="V54" s="836">
        <f>SUM(V55:V72)</f>
        <v>158335.80782608694</v>
      </c>
      <c r="W54" s="836">
        <f>SUM(W55:W72)</f>
        <v>92820.09</v>
      </c>
      <c r="X54" s="836">
        <f>SUM(X55:X72)</f>
        <v>251155.89782608693</v>
      </c>
      <c r="Y54" s="838" t="e">
        <f t="shared" ref="Y54:Y71" si="35">X54/$F$93</f>
        <v>#DIV/0!</v>
      </c>
    </row>
    <row r="55" spans="1:27" ht="13.95" customHeight="1" outlineLevel="2">
      <c r="A55" s="237"/>
      <c r="B55" s="19" t="s">
        <v>77</v>
      </c>
      <c r="C55" s="113">
        <v>38640</v>
      </c>
      <c r="D55" s="119">
        <v>21360</v>
      </c>
      <c r="E55" s="120">
        <f t="shared" ref="E55:E71" si="36">C55+D55</f>
        <v>60000</v>
      </c>
      <c r="F55" s="178">
        <f>E55/$E$89</f>
        <v>1.5287298013390144E-2</v>
      </c>
      <c r="G55" s="210">
        <v>38180</v>
      </c>
      <c r="H55" s="210">
        <v>21820</v>
      </c>
      <c r="I55" s="106">
        <f t="shared" ref="I55:I64" si="37">G55+H55*1</f>
        <v>60000</v>
      </c>
      <c r="J55" s="178">
        <f t="shared" si="32"/>
        <v>1.7493722678962594E-2</v>
      </c>
      <c r="K55" s="79"/>
      <c r="L55" s="210">
        <v>-4830</v>
      </c>
      <c r="M55" s="210">
        <v>-5340</v>
      </c>
      <c r="N55" s="106">
        <f t="shared" ref="N55:N71" si="38">L55+M55*1</f>
        <v>-10170</v>
      </c>
      <c r="O55" s="178">
        <f t="shared" si="33"/>
        <v>-8.5485483750261507E-2</v>
      </c>
      <c r="P55" s="79"/>
      <c r="Q55" s="39">
        <f t="shared" ref="Q55:Q71" si="39">G55+L55</f>
        <v>33350</v>
      </c>
      <c r="R55" s="39">
        <f t="shared" ref="R55:R71" si="40">H55+M55</f>
        <v>16480</v>
      </c>
      <c r="S55" s="106">
        <f t="shared" ref="S55:S71" si="41">Q55+R55*1</f>
        <v>49830</v>
      </c>
      <c r="T55" s="178">
        <f t="shared" si="34"/>
        <v>1.3308888854046613E-2</v>
      </c>
      <c r="U55" s="79"/>
      <c r="V55" s="452">
        <f>9200+9660+4830+9660</f>
        <v>33350</v>
      </c>
      <c r="W55" s="452">
        <v>16480</v>
      </c>
      <c r="X55" s="446">
        <f t="shared" ref="X55:X71" si="42">V55+W55*1</f>
        <v>49830</v>
      </c>
      <c r="Y55" s="447" t="e">
        <f t="shared" si="35"/>
        <v>#DIV/0!</v>
      </c>
      <c r="Z55" s="842">
        <f t="shared" ref="Z55:Z72" si="43">V55-Q55</f>
        <v>0</v>
      </c>
      <c r="AA55" s="842">
        <f t="shared" ref="AA55:AA72" si="44">W55-R55</f>
        <v>0</v>
      </c>
    </row>
    <row r="56" spans="1:27" ht="13.95" customHeight="1" outlineLevel="2">
      <c r="A56" s="237"/>
      <c r="B56" s="19" t="s">
        <v>76</v>
      </c>
      <c r="C56" s="113">
        <v>10560</v>
      </c>
      <c r="D56" s="119"/>
      <c r="E56" s="120">
        <f t="shared" si="36"/>
        <v>10560</v>
      </c>
      <c r="F56" s="178">
        <f t="shared" ref="F56:F72" si="45">E56/$E$89</f>
        <v>2.6905644503566655E-3</v>
      </c>
      <c r="G56" s="210">
        <v>9548.5711499999998</v>
      </c>
      <c r="H56" s="210">
        <v>0</v>
      </c>
      <c r="I56" s="106">
        <f t="shared" si="37"/>
        <v>9548.5711499999998</v>
      </c>
      <c r="J56" s="178">
        <f t="shared" si="32"/>
        <v>2.7840009279740492E-3</v>
      </c>
      <c r="K56" s="79"/>
      <c r="L56" s="210">
        <v>-1211.0711499999998</v>
      </c>
      <c r="M56" s="210">
        <v>0</v>
      </c>
      <c r="N56" s="106">
        <f t="shared" si="38"/>
        <v>-1211.0711499999998</v>
      </c>
      <c r="O56" s="178">
        <f t="shared" si="33"/>
        <v>-1.0179842980701622E-2</v>
      </c>
      <c r="P56" s="79"/>
      <c r="Q56" s="39">
        <f t="shared" si="39"/>
        <v>8337.5</v>
      </c>
      <c r="R56" s="39">
        <f t="shared" si="40"/>
        <v>0</v>
      </c>
      <c r="S56" s="106">
        <f t="shared" si="41"/>
        <v>8337.5</v>
      </c>
      <c r="T56" s="178">
        <f t="shared" si="34"/>
        <v>2.2268284330847609E-3</v>
      </c>
      <c r="U56" s="79"/>
      <c r="V56" s="452">
        <f>V55/0.88*0.22</f>
        <v>8337.5</v>
      </c>
      <c r="W56" s="452"/>
      <c r="X56" s="446">
        <f t="shared" si="42"/>
        <v>8337.5</v>
      </c>
      <c r="Y56" s="450" t="e">
        <f t="shared" si="35"/>
        <v>#DIV/0!</v>
      </c>
      <c r="Z56" s="842">
        <f t="shared" si="43"/>
        <v>0</v>
      </c>
      <c r="AA56" s="842">
        <f t="shared" si="44"/>
        <v>0</v>
      </c>
    </row>
    <row r="57" spans="1:27" ht="13.95" customHeight="1" outlineLevel="2">
      <c r="A57" s="237"/>
      <c r="B57" s="19" t="s">
        <v>68</v>
      </c>
      <c r="C57" s="113">
        <v>9360</v>
      </c>
      <c r="D57" s="119"/>
      <c r="E57" s="120">
        <f t="shared" si="36"/>
        <v>9360</v>
      </c>
      <c r="F57" s="178">
        <f t="shared" si="45"/>
        <v>2.3848184900888626E-3</v>
      </c>
      <c r="G57" s="210">
        <v>10134.285400000001</v>
      </c>
      <c r="H57" s="210">
        <v>0</v>
      </c>
      <c r="I57" s="106">
        <f t="shared" si="37"/>
        <v>10134.285400000001</v>
      </c>
      <c r="J57" s="178">
        <f t="shared" si="32"/>
        <v>2.9547729722843256E-3</v>
      </c>
      <c r="K57" s="79"/>
      <c r="L57" s="210">
        <v>-2055.7139714285722</v>
      </c>
      <c r="M57" s="210">
        <v>0</v>
      </c>
      <c r="N57" s="106">
        <f t="shared" si="38"/>
        <v>-2055.7139714285722</v>
      </c>
      <c r="O57" s="178">
        <f t="shared" si="33"/>
        <v>-1.7279616843632523E-2</v>
      </c>
      <c r="P57" s="79"/>
      <c r="Q57" s="39">
        <f t="shared" si="39"/>
        <v>8078.5714285714284</v>
      </c>
      <c r="R57" s="39">
        <f t="shared" si="40"/>
        <v>0</v>
      </c>
      <c r="S57" s="106">
        <f t="shared" si="41"/>
        <v>8078.5714285714284</v>
      </c>
      <c r="T57" s="178">
        <f t="shared" si="34"/>
        <v>2.1576722705666006E-3</v>
      </c>
      <c r="U57" s="79"/>
      <c r="V57" s="452">
        <f>V55/0.805*0.195</f>
        <v>8078.5714285714284</v>
      </c>
      <c r="W57" s="452"/>
      <c r="X57" s="446">
        <f t="shared" si="42"/>
        <v>8078.5714285714284</v>
      </c>
      <c r="Y57" s="450" t="e">
        <f t="shared" si="35"/>
        <v>#DIV/0!</v>
      </c>
      <c r="Z57" s="842">
        <f t="shared" si="43"/>
        <v>0</v>
      </c>
      <c r="AA57" s="842">
        <f t="shared" si="44"/>
        <v>0</v>
      </c>
    </row>
    <row r="58" spans="1:27" ht="14.4" customHeight="1" outlineLevel="2">
      <c r="A58" s="237"/>
      <c r="B58" s="19" t="s">
        <v>67</v>
      </c>
      <c r="C58" s="113">
        <v>19159</v>
      </c>
      <c r="D58" s="119">
        <v>79841</v>
      </c>
      <c r="E58" s="120">
        <f t="shared" si="36"/>
        <v>99000</v>
      </c>
      <c r="F58" s="178">
        <f t="shared" si="45"/>
        <v>2.5224041722093738E-2</v>
      </c>
      <c r="G58" s="210">
        <v>34897.360000000001</v>
      </c>
      <c r="H58" s="210">
        <v>75855.679999999993</v>
      </c>
      <c r="I58" s="106">
        <f t="shared" si="37"/>
        <v>110753.04</v>
      </c>
      <c r="J58" s="178">
        <f t="shared" si="32"/>
        <v>3.229138279353419E-2</v>
      </c>
      <c r="K58" s="79"/>
      <c r="L58" s="210">
        <v>15717.64</v>
      </c>
      <c r="M58" s="210">
        <v>-36.179999999993015</v>
      </c>
      <c r="N58" s="106">
        <f t="shared" si="38"/>
        <v>15681.460000000006</v>
      </c>
      <c r="O58" s="178">
        <f t="shared" si="33"/>
        <v>0.13181290009934871</v>
      </c>
      <c r="P58" s="79"/>
      <c r="Q58" s="39">
        <f t="shared" si="39"/>
        <v>50615</v>
      </c>
      <c r="R58" s="39">
        <f t="shared" si="40"/>
        <v>75819.5</v>
      </c>
      <c r="S58" s="106">
        <f t="shared" si="41"/>
        <v>126434.5</v>
      </c>
      <c r="T58" s="178">
        <f t="shared" si="34"/>
        <v>3.3768868308588329E-2</v>
      </c>
      <c r="U58" s="79"/>
      <c r="V58" s="453">
        <v>50615</v>
      </c>
      <c r="W58" s="453">
        <v>75819.5</v>
      </c>
      <c r="X58" s="446">
        <f t="shared" si="42"/>
        <v>126434.5</v>
      </c>
      <c r="Y58" s="450" t="e">
        <f t="shared" si="35"/>
        <v>#DIV/0!</v>
      </c>
      <c r="Z58" s="842">
        <f t="shared" si="43"/>
        <v>0</v>
      </c>
      <c r="AA58" s="842">
        <f t="shared" si="44"/>
        <v>0</v>
      </c>
    </row>
    <row r="59" spans="1:27" ht="14.4" customHeight="1" outlineLevel="2">
      <c r="A59" s="237"/>
      <c r="B59" s="19" t="s">
        <v>66</v>
      </c>
      <c r="C59" s="113">
        <v>4212</v>
      </c>
      <c r="D59" s="119">
        <v>0</v>
      </c>
      <c r="E59" s="120">
        <f t="shared" si="36"/>
        <v>4212</v>
      </c>
      <c r="F59" s="178">
        <f t="shared" si="45"/>
        <v>1.0731683205399882E-3</v>
      </c>
      <c r="G59" s="210">
        <v>8453.64</v>
      </c>
      <c r="H59" s="210">
        <v>0</v>
      </c>
      <c r="I59" s="106">
        <f t="shared" si="37"/>
        <v>8453.64</v>
      </c>
      <c r="J59" s="178">
        <f t="shared" si="32"/>
        <v>2.4647605631297558E-3</v>
      </c>
      <c r="K59" s="79"/>
      <c r="L59" s="210">
        <v>3807.1363975155291</v>
      </c>
      <c r="M59" s="210">
        <v>0</v>
      </c>
      <c r="N59" s="106">
        <f t="shared" si="38"/>
        <v>3807.1363975155291</v>
      </c>
      <c r="O59" s="178">
        <f t="shared" si="33"/>
        <v>3.2001464763504711E-2</v>
      </c>
      <c r="P59" s="79"/>
      <c r="Q59" s="39">
        <f t="shared" si="39"/>
        <v>12260.776397515529</v>
      </c>
      <c r="R59" s="39">
        <f t="shared" si="40"/>
        <v>0</v>
      </c>
      <c r="S59" s="106">
        <f t="shared" si="41"/>
        <v>12260.776397515529</v>
      </c>
      <c r="T59" s="178">
        <f t="shared" si="34"/>
        <v>3.2746801191822633E-3</v>
      </c>
      <c r="U59" s="79"/>
      <c r="V59" s="452">
        <f>V58/0.805*0.195</f>
        <v>12260.776397515529</v>
      </c>
      <c r="W59" s="453"/>
      <c r="X59" s="446">
        <f t="shared" si="42"/>
        <v>12260.776397515529</v>
      </c>
      <c r="Y59" s="450" t="e">
        <f t="shared" si="35"/>
        <v>#DIV/0!</v>
      </c>
      <c r="Z59" s="842">
        <f t="shared" si="43"/>
        <v>0</v>
      </c>
      <c r="AA59" s="842">
        <f t="shared" si="44"/>
        <v>0</v>
      </c>
    </row>
    <row r="60" spans="1:27" ht="14.4" customHeight="1" outlineLevel="2">
      <c r="A60" s="237"/>
      <c r="B60" s="19" t="s">
        <v>65</v>
      </c>
      <c r="C60" s="113">
        <v>4752</v>
      </c>
      <c r="D60" s="119">
        <v>0</v>
      </c>
      <c r="E60" s="120">
        <f t="shared" si="36"/>
        <v>4752</v>
      </c>
      <c r="F60" s="178">
        <f t="shared" si="45"/>
        <v>1.2107540026604995E-3</v>
      </c>
      <c r="G60" s="210">
        <v>9537.44</v>
      </c>
      <c r="H60" s="210">
        <v>0</v>
      </c>
      <c r="I60" s="106">
        <f t="shared" si="37"/>
        <v>9537.44</v>
      </c>
      <c r="J60" s="178">
        <f t="shared" si="32"/>
        <v>2.7807555071207505E-3</v>
      </c>
      <c r="K60" s="79"/>
      <c r="L60" s="210">
        <v>3116.3099999999995</v>
      </c>
      <c r="M60" s="210">
        <v>0</v>
      </c>
      <c r="N60" s="106">
        <f t="shared" si="38"/>
        <v>3116.3099999999995</v>
      </c>
      <c r="O60" s="178">
        <f t="shared" si="33"/>
        <v>2.6194618275887649E-2</v>
      </c>
      <c r="P60" s="79"/>
      <c r="Q60" s="39">
        <f t="shared" si="39"/>
        <v>12653.75</v>
      </c>
      <c r="R60" s="39">
        <f t="shared" si="40"/>
        <v>0</v>
      </c>
      <c r="S60" s="106">
        <f t="shared" si="41"/>
        <v>12653.75</v>
      </c>
      <c r="T60" s="178">
        <f t="shared" si="34"/>
        <v>3.3796378153098999E-3</v>
      </c>
      <c r="U60" s="79"/>
      <c r="V60" s="452">
        <f>V58/0.88*0.22</f>
        <v>12653.75</v>
      </c>
      <c r="W60" s="453"/>
      <c r="X60" s="446">
        <f t="shared" si="42"/>
        <v>12653.75</v>
      </c>
      <c r="Y60" s="450" t="e">
        <f t="shared" si="35"/>
        <v>#DIV/0!</v>
      </c>
      <c r="Z60" s="842">
        <f t="shared" si="43"/>
        <v>0</v>
      </c>
      <c r="AA60" s="842">
        <f t="shared" si="44"/>
        <v>0</v>
      </c>
    </row>
    <row r="61" spans="1:27" ht="13.95" customHeight="1" outlineLevel="2">
      <c r="A61" s="237"/>
      <c r="B61" s="19" t="s">
        <v>32</v>
      </c>
      <c r="C61" s="113"/>
      <c r="D61" s="119"/>
      <c r="E61" s="120">
        <f t="shared" si="36"/>
        <v>0</v>
      </c>
      <c r="F61" s="178">
        <f t="shared" si="45"/>
        <v>0</v>
      </c>
      <c r="G61" s="210"/>
      <c r="H61" s="210"/>
      <c r="I61" s="106">
        <f t="shared" si="37"/>
        <v>0</v>
      </c>
      <c r="J61" s="178">
        <f t="shared" si="32"/>
        <v>0</v>
      </c>
      <c r="K61" s="79"/>
      <c r="L61" s="210"/>
      <c r="M61" s="210"/>
      <c r="N61" s="106">
        <f t="shared" si="38"/>
        <v>0</v>
      </c>
      <c r="O61" s="178">
        <f t="shared" si="33"/>
        <v>0</v>
      </c>
      <c r="P61" s="79"/>
      <c r="Q61" s="39">
        <f t="shared" si="39"/>
        <v>0</v>
      </c>
      <c r="R61" s="39">
        <f t="shared" si="40"/>
        <v>0</v>
      </c>
      <c r="S61" s="106">
        <f t="shared" si="41"/>
        <v>0</v>
      </c>
      <c r="T61" s="178">
        <f t="shared" si="34"/>
        <v>0</v>
      </c>
      <c r="U61" s="79"/>
      <c r="V61" s="453"/>
      <c r="W61" s="453"/>
      <c r="X61" s="446">
        <f t="shared" si="42"/>
        <v>0</v>
      </c>
      <c r="Y61" s="450" t="e">
        <f t="shared" si="35"/>
        <v>#DIV/0!</v>
      </c>
      <c r="Z61" s="842">
        <f t="shared" si="43"/>
        <v>0</v>
      </c>
      <c r="AA61" s="842">
        <f t="shared" si="44"/>
        <v>0</v>
      </c>
    </row>
    <row r="62" spans="1:27" ht="30.6" customHeight="1" outlineLevel="2">
      <c r="A62" s="237"/>
      <c r="B62" s="19" t="s">
        <v>33</v>
      </c>
      <c r="C62" s="113"/>
      <c r="D62" s="119"/>
      <c r="E62" s="120">
        <f t="shared" si="36"/>
        <v>0</v>
      </c>
      <c r="F62" s="178">
        <f t="shared" si="45"/>
        <v>0</v>
      </c>
      <c r="G62" s="210"/>
      <c r="H62" s="210"/>
      <c r="I62" s="106">
        <f t="shared" si="37"/>
        <v>0</v>
      </c>
      <c r="J62" s="178">
        <f t="shared" si="32"/>
        <v>0</v>
      </c>
      <c r="K62" s="79"/>
      <c r="L62" s="210"/>
      <c r="M62" s="210"/>
      <c r="N62" s="106">
        <f t="shared" si="38"/>
        <v>0</v>
      </c>
      <c r="O62" s="178">
        <f t="shared" si="33"/>
        <v>0</v>
      </c>
      <c r="P62" s="79"/>
      <c r="Q62" s="39">
        <f t="shared" si="39"/>
        <v>0</v>
      </c>
      <c r="R62" s="39">
        <f t="shared" si="40"/>
        <v>0</v>
      </c>
      <c r="S62" s="106">
        <f t="shared" si="41"/>
        <v>0</v>
      </c>
      <c r="T62" s="178">
        <f t="shared" si="34"/>
        <v>0</v>
      </c>
      <c r="U62" s="79"/>
      <c r="V62" s="453"/>
      <c r="W62" s="453"/>
      <c r="X62" s="446">
        <f t="shared" si="42"/>
        <v>0</v>
      </c>
      <c r="Y62" s="450" t="e">
        <f t="shared" si="35"/>
        <v>#DIV/0!</v>
      </c>
      <c r="Z62" s="842">
        <f t="shared" si="43"/>
        <v>0</v>
      </c>
      <c r="AA62" s="842">
        <f t="shared" si="44"/>
        <v>0</v>
      </c>
    </row>
    <row r="63" spans="1:27" ht="57.6" customHeight="1" outlineLevel="2">
      <c r="A63" s="237"/>
      <c r="B63" s="19" t="s">
        <v>35</v>
      </c>
      <c r="C63" s="113"/>
      <c r="D63" s="119"/>
      <c r="E63" s="120">
        <f t="shared" si="36"/>
        <v>0</v>
      </c>
      <c r="F63" s="178">
        <f t="shared" si="45"/>
        <v>0</v>
      </c>
      <c r="G63" s="210">
        <v>15318.259999999998</v>
      </c>
      <c r="H63" s="210">
        <v>2799.21</v>
      </c>
      <c r="I63" s="106">
        <f t="shared" si="37"/>
        <v>18117.469999999998</v>
      </c>
      <c r="J63" s="178">
        <f t="shared" si="32"/>
        <v>5.2823665970737404E-3</v>
      </c>
      <c r="K63" s="79"/>
      <c r="L63" s="210">
        <v>2798.9500000000007</v>
      </c>
      <c r="M63" s="210">
        <v>-2799.21</v>
      </c>
      <c r="N63" s="106">
        <f t="shared" si="38"/>
        <v>-0.25999999999930878</v>
      </c>
      <c r="O63" s="178">
        <f t="shared" si="33"/>
        <v>-2.1854695943961557E-6</v>
      </c>
      <c r="P63" s="79"/>
      <c r="Q63" s="39">
        <f t="shared" si="39"/>
        <v>18117.21</v>
      </c>
      <c r="R63" s="39">
        <f t="shared" si="40"/>
        <v>0</v>
      </c>
      <c r="S63" s="106">
        <f t="shared" si="41"/>
        <v>18117.21</v>
      </c>
      <c r="T63" s="178">
        <f t="shared" si="34"/>
        <v>4.8388507773514311E-3</v>
      </c>
      <c r="U63" s="79"/>
      <c r="V63" s="452">
        <f>2799.21+15318</f>
        <v>18117.21</v>
      </c>
      <c r="W63" s="453"/>
      <c r="X63" s="446">
        <f t="shared" si="42"/>
        <v>18117.21</v>
      </c>
      <c r="Y63" s="450" t="e">
        <f t="shared" si="35"/>
        <v>#DIV/0!</v>
      </c>
      <c r="Z63" s="842">
        <f t="shared" si="43"/>
        <v>0</v>
      </c>
      <c r="AA63" s="842">
        <f t="shared" si="44"/>
        <v>0</v>
      </c>
    </row>
    <row r="64" spans="1:27" ht="31.2" customHeight="1" outlineLevel="2">
      <c r="A64" s="237"/>
      <c r="B64" s="19" t="s">
        <v>63</v>
      </c>
      <c r="C64" s="113"/>
      <c r="D64" s="119"/>
      <c r="E64" s="120">
        <f t="shared" si="36"/>
        <v>0</v>
      </c>
      <c r="F64" s="178">
        <f t="shared" si="45"/>
        <v>0</v>
      </c>
      <c r="G64" s="210"/>
      <c r="H64" s="210"/>
      <c r="I64" s="106">
        <f t="shared" si="37"/>
        <v>0</v>
      </c>
      <c r="J64" s="178">
        <f t="shared" si="32"/>
        <v>0</v>
      </c>
      <c r="K64" s="79"/>
      <c r="L64" s="210"/>
      <c r="M64" s="210"/>
      <c r="N64" s="106">
        <f t="shared" si="38"/>
        <v>0</v>
      </c>
      <c r="O64" s="178">
        <f t="shared" si="33"/>
        <v>0</v>
      </c>
      <c r="P64" s="79"/>
      <c r="Q64" s="39">
        <f t="shared" si="39"/>
        <v>0</v>
      </c>
      <c r="R64" s="39">
        <f t="shared" si="40"/>
        <v>0</v>
      </c>
      <c r="S64" s="106">
        <f t="shared" si="41"/>
        <v>0</v>
      </c>
      <c r="T64" s="178">
        <f t="shared" si="34"/>
        <v>0</v>
      </c>
      <c r="U64" s="79"/>
      <c r="V64" s="453"/>
      <c r="W64" s="453"/>
      <c r="X64" s="446">
        <f t="shared" si="42"/>
        <v>0</v>
      </c>
      <c r="Y64" s="450" t="e">
        <f t="shared" si="35"/>
        <v>#DIV/0!</v>
      </c>
      <c r="Z64" s="842">
        <f t="shared" si="43"/>
        <v>0</v>
      </c>
      <c r="AA64" s="842">
        <f t="shared" si="44"/>
        <v>0</v>
      </c>
    </row>
    <row r="65" spans="1:27" ht="93" customHeight="1" outlineLevel="2">
      <c r="A65" s="237"/>
      <c r="B65" s="19" t="s">
        <v>36</v>
      </c>
      <c r="C65" s="113"/>
      <c r="D65" s="119"/>
      <c r="E65" s="120">
        <f t="shared" si="36"/>
        <v>0</v>
      </c>
      <c r="F65" s="178">
        <f t="shared" si="45"/>
        <v>0</v>
      </c>
      <c r="G65" s="39">
        <v>13639.34</v>
      </c>
      <c r="H65" s="39">
        <v>40600</v>
      </c>
      <c r="I65" s="106">
        <f t="shared" ref="I65:I71" si="46">G65+H65*1</f>
        <v>54239.34</v>
      </c>
      <c r="J65" s="178">
        <f t="shared" si="32"/>
        <v>1.5814132870832717E-2</v>
      </c>
      <c r="K65" s="79"/>
      <c r="L65" s="39">
        <v>1283.6599999999999</v>
      </c>
      <c r="M65" s="39">
        <v>-40600</v>
      </c>
      <c r="N65" s="106">
        <f t="shared" si="38"/>
        <v>-39316.339999999997</v>
      </c>
      <c r="O65" s="178">
        <f>N65/$N$89</f>
        <v>-0.3304794832044991</v>
      </c>
      <c r="P65" s="79"/>
      <c r="Q65" s="39">
        <f t="shared" si="39"/>
        <v>14923</v>
      </c>
      <c r="R65" s="39">
        <f t="shared" si="40"/>
        <v>0</v>
      </c>
      <c r="S65" s="106">
        <f t="shared" si="41"/>
        <v>14923</v>
      </c>
      <c r="T65" s="178">
        <f t="shared" si="34"/>
        <v>3.9857224236190562E-3</v>
      </c>
      <c r="U65" s="79"/>
      <c r="V65" s="452">
        <f>1200+11440+2283</f>
        <v>14923</v>
      </c>
      <c r="W65" s="452"/>
      <c r="X65" s="446">
        <f t="shared" si="42"/>
        <v>14923</v>
      </c>
      <c r="Y65" s="450" t="e">
        <f t="shared" si="35"/>
        <v>#DIV/0!</v>
      </c>
      <c r="Z65" s="842">
        <f t="shared" si="43"/>
        <v>0</v>
      </c>
      <c r="AA65" s="842">
        <f t="shared" si="44"/>
        <v>0</v>
      </c>
    </row>
    <row r="66" spans="1:27" s="2" customFormat="1" ht="13.95" customHeight="1" outlineLevel="2">
      <c r="A66" s="237"/>
      <c r="B66" s="19" t="s">
        <v>37</v>
      </c>
      <c r="C66" s="113"/>
      <c r="D66" s="119"/>
      <c r="E66" s="120">
        <f t="shared" si="36"/>
        <v>0</v>
      </c>
      <c r="F66" s="178">
        <f t="shared" si="45"/>
        <v>0</v>
      </c>
      <c r="G66" s="39">
        <v>0</v>
      </c>
      <c r="H66" s="39">
        <v>0</v>
      </c>
      <c r="I66" s="106">
        <f t="shared" si="46"/>
        <v>0</v>
      </c>
      <c r="J66" s="178">
        <f t="shared" si="32"/>
        <v>0</v>
      </c>
      <c r="K66" s="79"/>
      <c r="L66" s="39"/>
      <c r="M66" s="39"/>
      <c r="N66" s="106">
        <f t="shared" si="38"/>
        <v>0</v>
      </c>
      <c r="O66" s="178">
        <f t="shared" si="33"/>
        <v>0</v>
      </c>
      <c r="P66" s="79"/>
      <c r="Q66" s="39">
        <f t="shared" si="39"/>
        <v>0</v>
      </c>
      <c r="R66" s="39">
        <f t="shared" si="40"/>
        <v>0</v>
      </c>
      <c r="S66" s="106">
        <f t="shared" si="41"/>
        <v>0</v>
      </c>
      <c r="T66" s="178">
        <f t="shared" si="34"/>
        <v>0</v>
      </c>
      <c r="U66" s="79"/>
      <c r="V66" s="452"/>
      <c r="W66" s="452"/>
      <c r="X66" s="446">
        <f t="shared" si="42"/>
        <v>0</v>
      </c>
      <c r="Y66" s="450" t="e">
        <f t="shared" si="35"/>
        <v>#DIV/0!</v>
      </c>
      <c r="Z66" s="842">
        <f t="shared" si="43"/>
        <v>0</v>
      </c>
      <c r="AA66" s="842">
        <f t="shared" si="44"/>
        <v>0</v>
      </c>
    </row>
    <row r="67" spans="1:27" s="2" customFormat="1" ht="102" customHeight="1" outlineLevel="2">
      <c r="A67" s="237"/>
      <c r="B67" s="19" t="s">
        <v>3</v>
      </c>
      <c r="C67" s="113"/>
      <c r="D67" s="119"/>
      <c r="E67" s="120">
        <f t="shared" si="36"/>
        <v>0</v>
      </c>
      <c r="F67" s="178">
        <f t="shared" si="45"/>
        <v>0</v>
      </c>
      <c r="G67" s="39">
        <v>0</v>
      </c>
      <c r="H67" s="39">
        <v>0</v>
      </c>
      <c r="I67" s="106">
        <f t="shared" si="46"/>
        <v>0</v>
      </c>
      <c r="J67" s="178">
        <f t="shared" si="32"/>
        <v>0</v>
      </c>
      <c r="K67" s="79"/>
      <c r="L67" s="39"/>
      <c r="M67" s="39"/>
      <c r="N67" s="106">
        <f t="shared" si="38"/>
        <v>0</v>
      </c>
      <c r="O67" s="178">
        <f t="shared" si="33"/>
        <v>0</v>
      </c>
      <c r="P67" s="79"/>
      <c r="Q67" s="39">
        <f t="shared" si="39"/>
        <v>0</v>
      </c>
      <c r="R67" s="39">
        <f t="shared" si="40"/>
        <v>0</v>
      </c>
      <c r="S67" s="106">
        <f t="shared" si="41"/>
        <v>0</v>
      </c>
      <c r="T67" s="178">
        <f t="shared" si="34"/>
        <v>0</v>
      </c>
      <c r="U67" s="79"/>
      <c r="V67" s="452"/>
      <c r="W67" s="452"/>
      <c r="X67" s="446">
        <f t="shared" si="42"/>
        <v>0</v>
      </c>
      <c r="Y67" s="450" t="e">
        <f t="shared" si="35"/>
        <v>#DIV/0!</v>
      </c>
      <c r="Z67" s="842">
        <f t="shared" si="43"/>
        <v>0</v>
      </c>
      <c r="AA67" s="842">
        <f t="shared" si="44"/>
        <v>0</v>
      </c>
    </row>
    <row r="68" spans="1:27" s="2" customFormat="1" ht="13.95" customHeight="1" outlineLevel="2">
      <c r="A68" s="237"/>
      <c r="B68" s="19" t="s">
        <v>5</v>
      </c>
      <c r="C68" s="129"/>
      <c r="D68" s="119">
        <v>3000</v>
      </c>
      <c r="E68" s="120">
        <f t="shared" si="36"/>
        <v>3000</v>
      </c>
      <c r="F68" s="178">
        <f t="shared" si="45"/>
        <v>7.643649006695072E-4</v>
      </c>
      <c r="G68" s="39">
        <v>0</v>
      </c>
      <c r="H68" s="39">
        <v>520.83000000000004</v>
      </c>
      <c r="I68" s="106">
        <f t="shared" si="46"/>
        <v>520.83000000000004</v>
      </c>
      <c r="J68" s="178">
        <f t="shared" si="32"/>
        <v>1.5185425971473481E-4</v>
      </c>
      <c r="K68" s="79"/>
      <c r="L68" s="39"/>
      <c r="M68" s="39">
        <v>-0.24000000000000909</v>
      </c>
      <c r="N68" s="106">
        <f t="shared" si="38"/>
        <v>-0.24000000000000909</v>
      </c>
      <c r="O68" s="178">
        <f t="shared" si="33"/>
        <v>-2.0173565486788142E-6</v>
      </c>
      <c r="P68" s="79"/>
      <c r="Q68" s="39">
        <f t="shared" si="39"/>
        <v>0</v>
      </c>
      <c r="R68" s="39">
        <f t="shared" si="40"/>
        <v>520.59</v>
      </c>
      <c r="S68" s="106">
        <f t="shared" si="41"/>
        <v>520.59</v>
      </c>
      <c r="T68" s="178">
        <f t="shared" si="34"/>
        <v>1.3904223256127083E-4</v>
      </c>
      <c r="U68" s="79"/>
      <c r="V68" s="452"/>
      <c r="W68" s="452">
        <v>520.59</v>
      </c>
      <c r="X68" s="446">
        <f t="shared" si="42"/>
        <v>520.59</v>
      </c>
      <c r="Y68" s="450" t="e">
        <f t="shared" si="35"/>
        <v>#DIV/0!</v>
      </c>
      <c r="Z68" s="842">
        <f t="shared" si="43"/>
        <v>0</v>
      </c>
      <c r="AA68" s="842">
        <f t="shared" si="44"/>
        <v>0</v>
      </c>
    </row>
    <row r="69" spans="1:27" s="2" customFormat="1" ht="13.8" outlineLevel="2">
      <c r="A69" s="237"/>
      <c r="B69" s="19" t="s">
        <v>42</v>
      </c>
      <c r="C69" s="129"/>
      <c r="D69" s="128"/>
      <c r="E69" s="120">
        <f t="shared" si="36"/>
        <v>0</v>
      </c>
      <c r="F69" s="178">
        <f t="shared" si="45"/>
        <v>0</v>
      </c>
      <c r="G69" s="39">
        <v>0</v>
      </c>
      <c r="H69" s="39">
        <v>0</v>
      </c>
      <c r="I69" s="106">
        <f t="shared" si="46"/>
        <v>0</v>
      </c>
      <c r="J69" s="178">
        <f t="shared" si="32"/>
        <v>0</v>
      </c>
      <c r="K69" s="79"/>
      <c r="L69" s="39"/>
      <c r="M69" s="39"/>
      <c r="N69" s="106">
        <f t="shared" si="38"/>
        <v>0</v>
      </c>
      <c r="O69" s="178">
        <f t="shared" si="33"/>
        <v>0</v>
      </c>
      <c r="P69" s="79"/>
      <c r="Q69" s="39">
        <f t="shared" si="39"/>
        <v>0</v>
      </c>
      <c r="R69" s="39">
        <f t="shared" si="40"/>
        <v>0</v>
      </c>
      <c r="S69" s="106">
        <f t="shared" si="41"/>
        <v>0</v>
      </c>
      <c r="T69" s="178">
        <f t="shared" si="34"/>
        <v>0</v>
      </c>
      <c r="U69" s="79"/>
      <c r="V69" s="452"/>
      <c r="W69" s="452"/>
      <c r="X69" s="446">
        <f t="shared" si="42"/>
        <v>0</v>
      </c>
      <c r="Y69" s="450" t="e">
        <f t="shared" si="35"/>
        <v>#DIV/0!</v>
      </c>
      <c r="Z69" s="842">
        <f t="shared" si="43"/>
        <v>0</v>
      </c>
      <c r="AA69" s="842">
        <f t="shared" si="44"/>
        <v>0</v>
      </c>
    </row>
    <row r="70" spans="1:27" s="2" customFormat="1" ht="21.6" customHeight="1" outlineLevel="2">
      <c r="A70" s="237"/>
      <c r="B70" s="19" t="s">
        <v>6</v>
      </c>
      <c r="C70" s="129"/>
      <c r="D70" s="128"/>
      <c r="E70" s="120">
        <f t="shared" si="36"/>
        <v>0</v>
      </c>
      <c r="F70" s="178">
        <f t="shared" si="45"/>
        <v>0</v>
      </c>
      <c r="G70" s="39">
        <v>0</v>
      </c>
      <c r="H70" s="39">
        <v>0</v>
      </c>
      <c r="I70" s="106">
        <f t="shared" si="46"/>
        <v>0</v>
      </c>
      <c r="J70" s="178">
        <f t="shared" si="32"/>
        <v>0</v>
      </c>
      <c r="K70" s="79"/>
      <c r="L70" s="39"/>
      <c r="M70" s="39"/>
      <c r="N70" s="106">
        <f t="shared" si="38"/>
        <v>0</v>
      </c>
      <c r="O70" s="178">
        <f t="shared" si="33"/>
        <v>0</v>
      </c>
      <c r="P70" s="79"/>
      <c r="Q70" s="39">
        <f t="shared" si="39"/>
        <v>0</v>
      </c>
      <c r="R70" s="39">
        <f t="shared" si="40"/>
        <v>0</v>
      </c>
      <c r="S70" s="106">
        <f t="shared" si="41"/>
        <v>0</v>
      </c>
      <c r="T70" s="178">
        <f t="shared" si="34"/>
        <v>0</v>
      </c>
      <c r="U70" s="79"/>
      <c r="V70" s="452"/>
      <c r="W70" s="452"/>
      <c r="X70" s="446">
        <f t="shared" si="42"/>
        <v>0</v>
      </c>
      <c r="Y70" s="450" t="e">
        <f t="shared" si="35"/>
        <v>#DIV/0!</v>
      </c>
      <c r="Z70" s="842">
        <f t="shared" si="43"/>
        <v>0</v>
      </c>
      <c r="AA70" s="842">
        <f t="shared" si="44"/>
        <v>0</v>
      </c>
    </row>
    <row r="71" spans="1:27" s="2" customFormat="1" ht="13.95" customHeight="1" outlineLevel="2">
      <c r="A71" s="237"/>
      <c r="B71" s="19" t="s">
        <v>78</v>
      </c>
      <c r="C71" s="129"/>
      <c r="D71" s="128"/>
      <c r="E71" s="120">
        <f t="shared" si="36"/>
        <v>0</v>
      </c>
      <c r="F71" s="184">
        <f t="shared" si="45"/>
        <v>0</v>
      </c>
      <c r="G71" s="39">
        <v>0</v>
      </c>
      <c r="H71" s="39">
        <v>0</v>
      </c>
      <c r="I71" s="106">
        <f t="shared" si="46"/>
        <v>0</v>
      </c>
      <c r="J71" s="178">
        <f t="shared" si="32"/>
        <v>0</v>
      </c>
      <c r="K71" s="79"/>
      <c r="L71" s="39"/>
      <c r="M71" s="39"/>
      <c r="N71" s="106">
        <f t="shared" si="38"/>
        <v>0</v>
      </c>
      <c r="O71" s="178">
        <f t="shared" si="33"/>
        <v>0</v>
      </c>
      <c r="P71" s="79"/>
      <c r="Q71" s="39">
        <f t="shared" si="39"/>
        <v>0</v>
      </c>
      <c r="R71" s="39">
        <f t="shared" si="40"/>
        <v>0</v>
      </c>
      <c r="S71" s="106">
        <f t="shared" si="41"/>
        <v>0</v>
      </c>
      <c r="T71" s="178">
        <f t="shared" si="34"/>
        <v>0</v>
      </c>
      <c r="U71" s="79"/>
      <c r="V71" s="452"/>
      <c r="W71" s="452"/>
      <c r="X71" s="446">
        <f t="shared" si="42"/>
        <v>0</v>
      </c>
      <c r="Y71" s="450" t="e">
        <f t="shared" si="35"/>
        <v>#DIV/0!</v>
      </c>
      <c r="Z71" s="842">
        <f t="shared" si="43"/>
        <v>0</v>
      </c>
      <c r="AA71" s="842">
        <f t="shared" si="44"/>
        <v>0</v>
      </c>
    </row>
    <row r="72" spans="1:27" s="2" customFormat="1" ht="14.4" outlineLevel="2" thickBot="1">
      <c r="A72" s="237"/>
      <c r="B72" s="19"/>
      <c r="C72" s="130"/>
      <c r="D72" s="131"/>
      <c r="E72" s="159"/>
      <c r="F72" s="184">
        <f t="shared" si="45"/>
        <v>0</v>
      </c>
      <c r="G72" s="39"/>
      <c r="H72" s="39"/>
      <c r="I72" s="106"/>
      <c r="J72" s="178">
        <f t="shared" si="32"/>
        <v>0</v>
      </c>
      <c r="K72" s="79"/>
      <c r="L72" s="39"/>
      <c r="M72" s="39"/>
      <c r="N72" s="106"/>
      <c r="O72" s="178">
        <f t="shared" si="33"/>
        <v>0</v>
      </c>
      <c r="P72" s="79"/>
      <c r="Q72" s="39"/>
      <c r="R72" s="39"/>
      <c r="S72" s="106"/>
      <c r="T72" s="178">
        <f t="shared" si="34"/>
        <v>0</v>
      </c>
      <c r="U72" s="79"/>
      <c r="V72" s="535"/>
      <c r="W72" s="535"/>
      <c r="X72" s="622"/>
      <c r="Y72" s="583"/>
      <c r="Z72" s="842">
        <f t="shared" si="43"/>
        <v>0</v>
      </c>
      <c r="AA72" s="842">
        <f t="shared" si="44"/>
        <v>0</v>
      </c>
    </row>
    <row r="73" spans="1:27" s="2" customFormat="1" ht="14.4" outlineLevel="1" thickBot="1">
      <c r="A73" s="237"/>
      <c r="B73" s="13" t="s">
        <v>4</v>
      </c>
      <c r="C73" s="132">
        <f>C74</f>
        <v>196717</v>
      </c>
      <c r="D73" s="133">
        <f>D74</f>
        <v>0</v>
      </c>
      <c r="E73" s="132">
        <f>E74</f>
        <v>196717</v>
      </c>
      <c r="F73" s="171">
        <f>E73/$E$89</f>
        <v>5.0121190055001152E-2</v>
      </c>
      <c r="G73" s="139">
        <f>G74</f>
        <v>0</v>
      </c>
      <c r="H73" s="139">
        <f>H74</f>
        <v>0</v>
      </c>
      <c r="I73" s="60">
        <f>I74</f>
        <v>0</v>
      </c>
      <c r="J73" s="63"/>
      <c r="K73" s="63"/>
      <c r="L73" s="139">
        <f>L74</f>
        <v>0</v>
      </c>
      <c r="M73" s="63">
        <f>M74</f>
        <v>0</v>
      </c>
      <c r="N73" s="60">
        <f>N74</f>
        <v>0</v>
      </c>
      <c r="O73" s="63"/>
      <c r="P73" s="63"/>
      <c r="Q73" s="139">
        <v>195344.94</v>
      </c>
      <c r="R73" s="63">
        <v>0</v>
      </c>
      <c r="S73" s="60">
        <v>195344.94</v>
      </c>
      <c r="T73" s="63"/>
      <c r="U73" s="63"/>
      <c r="V73" s="836">
        <f>V74</f>
        <v>195344.94</v>
      </c>
      <c r="W73" s="839">
        <f>W74</f>
        <v>0</v>
      </c>
      <c r="X73" s="837">
        <f>X74</f>
        <v>195344.94</v>
      </c>
      <c r="Y73" s="840"/>
    </row>
    <row r="74" spans="1:27" s="226" customFormat="1" ht="16.95" customHeight="1" outlineLevel="1" thickBot="1">
      <c r="A74" s="320"/>
      <c r="B74" s="225" t="s">
        <v>64</v>
      </c>
      <c r="C74" s="113">
        <v>196717</v>
      </c>
      <c r="D74" s="135"/>
      <c r="E74" s="136">
        <f>C74+D74</f>
        <v>196717</v>
      </c>
      <c r="F74" s="185"/>
      <c r="G74" s="39"/>
      <c r="H74" s="39"/>
      <c r="I74" s="64">
        <f>G74+H74*1</f>
        <v>0</v>
      </c>
      <c r="J74" s="64"/>
      <c r="K74" s="64"/>
      <c r="L74" s="39"/>
      <c r="M74" s="39"/>
      <c r="N74" s="64">
        <f>L74+M74*1</f>
        <v>0</v>
      </c>
      <c r="O74" s="64"/>
      <c r="P74" s="64"/>
      <c r="Q74" s="39"/>
      <c r="R74" s="39">
        <f>H74+M74</f>
        <v>0</v>
      </c>
      <c r="S74" s="841">
        <f>Q74+R74*1</f>
        <v>0</v>
      </c>
      <c r="T74" s="64"/>
      <c r="U74" s="64"/>
      <c r="V74" s="452">
        <f>V6*3%</f>
        <v>195344.94</v>
      </c>
      <c r="W74" s="452"/>
      <c r="X74" s="841">
        <f>V74+W74*1</f>
        <v>195344.94</v>
      </c>
      <c r="Y74" s="608"/>
    </row>
    <row r="75" spans="1:27" s="2" customFormat="1" ht="14.4" thickBot="1">
      <c r="A75" s="5"/>
      <c r="B75" s="23" t="s">
        <v>48</v>
      </c>
      <c r="C75" s="137">
        <f>C38-C41-C50-C54</f>
        <v>3954349</v>
      </c>
      <c r="D75" s="137">
        <f>D38-D41-D50-D54</f>
        <v>-978455</v>
      </c>
      <c r="E75" s="138">
        <f>E38-E41-E50-E54</f>
        <v>2975894</v>
      </c>
      <c r="F75" s="172"/>
      <c r="G75" s="65">
        <f>G38-G41-G50-G54</f>
        <v>4002182.5894500003</v>
      </c>
      <c r="H75" s="65">
        <f>H38-H41-H50-H54</f>
        <v>-759802.72</v>
      </c>
      <c r="I75" s="66">
        <f>I38-I41-I50-I54</f>
        <v>3242379.8694500006</v>
      </c>
      <c r="J75" s="66"/>
      <c r="K75" s="66"/>
      <c r="L75" s="65">
        <f>L38-L41-L50-L54</f>
        <v>58961.244723912925</v>
      </c>
      <c r="M75" s="65">
        <f>M38-M41-M50-M54</f>
        <v>99875.969999999987</v>
      </c>
      <c r="N75" s="138">
        <f>N38-N41-N50-N54</f>
        <v>158837.21472391294</v>
      </c>
      <c r="O75" s="66"/>
      <c r="P75" s="66"/>
      <c r="Q75" s="65">
        <f>Q38-Q41-Q50-Q54</f>
        <v>4061143.8341739131</v>
      </c>
      <c r="R75" s="65">
        <f>R38-R41-R50-R54</f>
        <v>-659926.75</v>
      </c>
      <c r="S75" s="138">
        <f>S38-S41-S50-S54</f>
        <v>3401217.0841739131</v>
      </c>
      <c r="T75" s="66"/>
      <c r="U75" s="66"/>
      <c r="V75" s="646">
        <f>V38-V41-V50-V54</f>
        <v>4061143.8341739131</v>
      </c>
      <c r="W75" s="646">
        <f>W38-W41-W50-W54</f>
        <v>-659926.75</v>
      </c>
      <c r="X75" s="670">
        <f>X38-X41-X50-X54</f>
        <v>3401217.0841739131</v>
      </c>
      <c r="Y75" s="671"/>
    </row>
    <row r="76" spans="1:27" s="2" customFormat="1" ht="13.8">
      <c r="A76" s="294"/>
      <c r="B76" s="36" t="s">
        <v>49</v>
      </c>
      <c r="C76" s="157">
        <f>C75/C5</f>
        <v>0.6030511941311858</v>
      </c>
      <c r="D76" s="157" t="e">
        <f>D75/D5</f>
        <v>#DIV/0!</v>
      </c>
      <c r="E76" s="158">
        <f>E75/E5</f>
        <v>0.4538335969606706</v>
      </c>
      <c r="F76" s="167"/>
      <c r="G76" s="54">
        <f>G75/G5</f>
        <v>0.61871190661626263</v>
      </c>
      <c r="H76" s="54" t="e">
        <f>H75/H5</f>
        <v>#DIV/0!</v>
      </c>
      <c r="I76" s="55">
        <f>I75/I5</f>
        <v>0.50125125132716319</v>
      </c>
      <c r="J76" s="55"/>
      <c r="K76" s="55"/>
      <c r="L76" s="54">
        <f>L75/L5</f>
        <v>1.3735593708017886</v>
      </c>
      <c r="M76" s="54" t="e">
        <f>M75/M5</f>
        <v>#DIV/0!</v>
      </c>
      <c r="N76" s="55">
        <f>N75/N5</f>
        <v>3.7002669420851326</v>
      </c>
      <c r="O76" s="55"/>
      <c r="P76" s="55"/>
      <c r="Q76" s="54">
        <f>Q75/Q5</f>
        <v>0.62368810282578802</v>
      </c>
      <c r="R76" s="54" t="e">
        <f>R75/R5</f>
        <v>#DIV/0!</v>
      </c>
      <c r="S76" s="55">
        <f>S75/S5</f>
        <v>0.52234018718487096</v>
      </c>
      <c r="T76" s="55"/>
      <c r="U76" s="55"/>
      <c r="V76" s="639">
        <f>V75/V5</f>
        <v>0.62368810282578802</v>
      </c>
      <c r="W76" s="639" t="e">
        <f>W75/W5</f>
        <v>#DIV/0!</v>
      </c>
      <c r="X76" s="660">
        <f>X75/X5</f>
        <v>0.52234018718487096</v>
      </c>
      <c r="Y76" s="660"/>
    </row>
    <row r="77" spans="1:27" s="2" customFormat="1" ht="14.4" outlineLevel="1" thickBot="1">
      <c r="A77" s="294"/>
      <c r="B77" s="27" t="s">
        <v>9</v>
      </c>
      <c r="C77" s="139">
        <f>C78-C79</f>
        <v>-146768</v>
      </c>
      <c r="D77" s="139">
        <f>D78-D79</f>
        <v>0</v>
      </c>
      <c r="E77" s="140">
        <f>E78-E79</f>
        <v>-146768</v>
      </c>
      <c r="F77" s="173"/>
      <c r="G77" s="139">
        <f>G78-G79</f>
        <v>0</v>
      </c>
      <c r="H77" s="139">
        <f>H78-H79</f>
        <v>-100000</v>
      </c>
      <c r="I77" s="140">
        <f>I78-I79</f>
        <v>-203609.46181818179</v>
      </c>
      <c r="J77" s="67"/>
      <c r="K77" s="67"/>
      <c r="L77" s="139">
        <f>L78-L79</f>
        <v>-142357.89705882352</v>
      </c>
      <c r="M77" s="139">
        <f>M78-M79</f>
        <v>-107445</v>
      </c>
      <c r="N77" s="140">
        <f>N78-N79</f>
        <v>-234878.90154158213</v>
      </c>
      <c r="O77" s="67"/>
      <c r="P77" s="67"/>
      <c r="Q77" s="139">
        <f>Q78-Q79</f>
        <v>-142357.89705882352</v>
      </c>
      <c r="R77" s="139">
        <f>R78-R79</f>
        <v>-207445</v>
      </c>
      <c r="S77" s="140">
        <f>S78-S79</f>
        <v>-438488.36335976393</v>
      </c>
      <c r="T77" s="67"/>
      <c r="U77" s="67"/>
      <c r="V77" s="587">
        <f>V78-V79</f>
        <v>-142357.89705882352</v>
      </c>
      <c r="W77" s="587">
        <f>W78-W79</f>
        <v>-199168</v>
      </c>
      <c r="X77" s="674">
        <f>X78-X79</f>
        <v>-341525.8970588235</v>
      </c>
      <c r="Y77" s="675"/>
    </row>
    <row r="78" spans="1:27" s="2" customFormat="1" ht="13.8" outlineLevel="2">
      <c r="A78" s="11"/>
      <c r="B78" s="6" t="s">
        <v>43</v>
      </c>
      <c r="C78" s="141"/>
      <c r="D78" s="142"/>
      <c r="E78" s="119">
        <f>C78+D78*1.15</f>
        <v>0</v>
      </c>
      <c r="F78" s="186"/>
      <c r="G78" s="39"/>
      <c r="H78" s="39"/>
      <c r="I78" s="68">
        <f>G78+H78*1.15</f>
        <v>0</v>
      </c>
      <c r="J78" s="68"/>
      <c r="K78" s="68"/>
      <c r="L78" s="39"/>
      <c r="M78" s="39"/>
      <c r="N78" s="68">
        <f>L78+M78*1.15</f>
        <v>0</v>
      </c>
      <c r="O78" s="68"/>
      <c r="P78" s="68"/>
      <c r="Q78" s="39">
        <f>G78+L78</f>
        <v>0</v>
      </c>
      <c r="R78" s="39">
        <f>H78+M78</f>
        <v>0</v>
      </c>
      <c r="S78" s="68">
        <f>Q78+R78*1.15</f>
        <v>0</v>
      </c>
      <c r="T78" s="68"/>
      <c r="U78" s="68"/>
      <c r="V78" s="452"/>
      <c r="W78" s="452"/>
      <c r="X78" s="676">
        <f>V78+W78*1.15</f>
        <v>0</v>
      </c>
      <c r="Y78" s="676"/>
      <c r="Z78" s="842">
        <f t="shared" ref="Z78:AA80" si="47">V78-Q78</f>
        <v>0</v>
      </c>
      <c r="AA78" s="842">
        <f t="shared" si="47"/>
        <v>0</v>
      </c>
    </row>
    <row r="79" spans="1:27" s="2" customFormat="1" ht="13.8" outlineLevel="2">
      <c r="A79" s="11"/>
      <c r="B79" s="24" t="s">
        <v>79</v>
      </c>
      <c r="C79" s="113">
        <v>146768</v>
      </c>
      <c r="D79" s="119"/>
      <c r="E79" s="120">
        <f>C79+D79</f>
        <v>146768</v>
      </c>
      <c r="F79" s="180">
        <f>E79/$E$89</f>
        <v>3.7394769247154076E-2</v>
      </c>
      <c r="G79" s="39"/>
      <c r="H79" s="39">
        <v>100000</v>
      </c>
      <c r="I79" s="106">
        <f>(H8+H41+H50+H54)/0.88*0.12+H79</f>
        <v>203609.46181818179</v>
      </c>
      <c r="J79" s="45"/>
      <c r="K79" s="45"/>
      <c r="L79" s="39">
        <v>142357.89705882352</v>
      </c>
      <c r="M79" s="39">
        <f>99168+8277</f>
        <v>107445</v>
      </c>
      <c r="N79" s="106">
        <f>(M8+M41+M50+M54)/(1-'расчет 2024'!E4)*'расчет 2024'!E4+L79+M79</f>
        <v>234878.90154158213</v>
      </c>
      <c r="O79" s="45"/>
      <c r="P79" s="45"/>
      <c r="Q79" s="39">
        <f>G79+L79</f>
        <v>142357.89705882352</v>
      </c>
      <c r="R79" s="39">
        <f>H79+M79</f>
        <v>207445</v>
      </c>
      <c r="S79" s="39">
        <f>N79+I79</f>
        <v>438488.36335976393</v>
      </c>
      <c r="T79" s="45"/>
      <c r="U79" s="45"/>
      <c r="V79" s="452">
        <v>142357.89705882352</v>
      </c>
      <c r="W79" s="452">
        <v>199168</v>
      </c>
      <c r="X79" s="446">
        <v>341525.8970588235</v>
      </c>
      <c r="Y79" s="693"/>
      <c r="Z79" s="842">
        <f t="shared" si="47"/>
        <v>0</v>
      </c>
      <c r="AA79" s="842">
        <f t="shared" si="47"/>
        <v>-8277</v>
      </c>
    </row>
    <row r="80" spans="1:27" ht="13.8" outlineLevel="2">
      <c r="A80" s="3"/>
      <c r="B80" s="25"/>
      <c r="C80" s="143"/>
      <c r="D80" s="144"/>
      <c r="E80" s="145"/>
      <c r="F80" s="187"/>
      <c r="G80" s="210"/>
      <c r="H80" s="210"/>
      <c r="I80" s="69"/>
      <c r="J80" s="69"/>
      <c r="K80" s="69"/>
      <c r="L80" s="39"/>
      <c r="M80" s="39"/>
      <c r="N80" s="69"/>
      <c r="O80" s="69"/>
      <c r="P80" s="69"/>
      <c r="Q80" s="39"/>
      <c r="R80" s="39"/>
      <c r="S80" s="69"/>
      <c r="T80" s="69"/>
      <c r="U80" s="69"/>
      <c r="V80" s="452"/>
      <c r="W80" s="452"/>
      <c r="X80" s="678"/>
      <c r="Y80" s="678"/>
      <c r="Z80" s="842">
        <f t="shared" si="47"/>
        <v>0</v>
      </c>
      <c r="AA80" s="842">
        <f t="shared" si="47"/>
        <v>0</v>
      </c>
    </row>
    <row r="81" spans="1:25" s="2" customFormat="1" ht="14.4" outlineLevel="1" thickBot="1">
      <c r="A81" s="26"/>
      <c r="B81" s="27" t="s">
        <v>12</v>
      </c>
      <c r="C81" s="139">
        <f>(C75+C78)-C79</f>
        <v>3807581</v>
      </c>
      <c r="D81" s="139">
        <f>(D75+D78)-D79</f>
        <v>-978455</v>
      </c>
      <c r="E81" s="140">
        <f>(E75+E78)-E79</f>
        <v>2829126</v>
      </c>
      <c r="F81" s="173"/>
      <c r="G81" s="139">
        <f>(G75+G78)-G79</f>
        <v>4002182.5894500003</v>
      </c>
      <c r="H81" s="139">
        <f>(H75+H78)-H79</f>
        <v>-859802.72</v>
      </c>
      <c r="I81" s="140">
        <f>(I75+I78)-I79</f>
        <v>3038770.4076318187</v>
      </c>
      <c r="J81" s="67"/>
      <c r="K81" s="67"/>
      <c r="L81" s="139">
        <f>(L75+L78)-L79</f>
        <v>-83396.652334910599</v>
      </c>
      <c r="M81" s="139">
        <f>(M75+M78)-M79</f>
        <v>-7569.0300000000134</v>
      </c>
      <c r="N81" s="140">
        <f>(N75+N78)-N79</f>
        <v>-76041.686817669193</v>
      </c>
      <c r="O81" s="67"/>
      <c r="P81" s="67"/>
      <c r="Q81" s="139">
        <f>(Q75+Q78)-Q79</f>
        <v>3918785.9371150895</v>
      </c>
      <c r="R81" s="139">
        <f>(R75+R78)-R79</f>
        <v>-867371.75</v>
      </c>
      <c r="S81" s="140">
        <f>(S75+S78)-S79</f>
        <v>2962728.7208141494</v>
      </c>
      <c r="T81" s="67"/>
      <c r="U81" s="67"/>
      <c r="V81" s="587">
        <f>(V75+V78)-V79</f>
        <v>3918785.9371150895</v>
      </c>
      <c r="W81" s="587">
        <f>(W75+W78)-W79</f>
        <v>-859094.75</v>
      </c>
      <c r="X81" s="674">
        <f>(X75+X78)-X79</f>
        <v>3059691.1871150895</v>
      </c>
      <c r="Y81" s="675"/>
    </row>
    <row r="82" spans="1:25" s="2" customFormat="1" ht="13.8" outlineLevel="2">
      <c r="A82" s="293"/>
      <c r="B82" s="6" t="s">
        <v>38</v>
      </c>
      <c r="C82" s="141"/>
      <c r="D82" s="142"/>
      <c r="E82" s="146">
        <f>C82+D82</f>
        <v>0</v>
      </c>
      <c r="F82" s="180">
        <f>E82/$E$89</f>
        <v>0</v>
      </c>
      <c r="G82" s="141"/>
      <c r="H82" s="142"/>
      <c r="I82" s="146">
        <f>G82+H82</f>
        <v>0</v>
      </c>
      <c r="J82" s="101"/>
      <c r="K82" s="101"/>
      <c r="L82" s="39"/>
      <c r="M82" s="39"/>
      <c r="N82" s="146">
        <f>L82+M82</f>
        <v>0</v>
      </c>
      <c r="O82" s="101"/>
      <c r="P82" s="101"/>
      <c r="Q82" s="39">
        <f>G82+L82</f>
        <v>0</v>
      </c>
      <c r="R82" s="39">
        <f>H82+M82</f>
        <v>0</v>
      </c>
      <c r="S82" s="146">
        <f>Q82+R82</f>
        <v>0</v>
      </c>
      <c r="T82" s="101"/>
      <c r="U82" s="101"/>
      <c r="V82" s="452"/>
      <c r="W82" s="452"/>
      <c r="X82" s="565">
        <f>V82+W82</f>
        <v>0</v>
      </c>
      <c r="Y82" s="642"/>
    </row>
    <row r="83" spans="1:25" s="2" customFormat="1" ht="13.8" outlineLevel="1">
      <c r="A83" s="11"/>
      <c r="B83" s="28" t="s">
        <v>13</v>
      </c>
      <c r="C83" s="147">
        <f>(C81+C7)-C36</f>
        <v>3807581</v>
      </c>
      <c r="D83" s="147">
        <f>(D81+D7)-D36</f>
        <v>-978455</v>
      </c>
      <c r="E83" s="147">
        <f>(E81+E7)-E36</f>
        <v>2829126</v>
      </c>
      <c r="F83" s="174"/>
      <c r="G83" s="147">
        <f>(G81+G7)-G36</f>
        <v>4002182.5894500003</v>
      </c>
      <c r="H83" s="147">
        <f>(H81+H7)-H36</f>
        <v>-859802.72</v>
      </c>
      <c r="I83" s="148">
        <f>(I81+I7)-I36</f>
        <v>3038770.4076318187</v>
      </c>
      <c r="J83" s="70"/>
      <c r="K83" s="70"/>
      <c r="L83" s="147">
        <f>(L81+L7)-L36</f>
        <v>-83396.652334910599</v>
      </c>
      <c r="M83" s="147">
        <f>(M81+M7)-M36</f>
        <v>-7569.0300000000134</v>
      </c>
      <c r="N83" s="148">
        <f>(N81+N7)-N36</f>
        <v>-76041.686817669193</v>
      </c>
      <c r="O83" s="70"/>
      <c r="P83" s="70"/>
      <c r="Q83" s="147">
        <f>(Q81+Q7)-Q36</f>
        <v>3918785.9371150895</v>
      </c>
      <c r="R83" s="147">
        <f>(R81+R7)-R36</f>
        <v>-867371.75</v>
      </c>
      <c r="S83" s="148">
        <f>(S81+S7)-S36</f>
        <v>2962728.7208141494</v>
      </c>
      <c r="T83" s="70"/>
      <c r="U83" s="70"/>
      <c r="V83" s="679">
        <f>(V81+V7)-V36</f>
        <v>3918785.9371150895</v>
      </c>
      <c r="W83" s="679">
        <f>(W81+W7)-W36</f>
        <v>-859094.75</v>
      </c>
      <c r="X83" s="680">
        <f>(X81+X7)-X36</f>
        <v>3059691.1871150895</v>
      </c>
      <c r="Y83" s="681"/>
    </row>
    <row r="84" spans="1:25" s="2" customFormat="1" ht="14.4" outlineLevel="1" thickBot="1">
      <c r="A84" s="11"/>
      <c r="B84" s="211" t="s">
        <v>14</v>
      </c>
      <c r="C84" s="212">
        <f>C83-C73-C82</f>
        <v>3610864</v>
      </c>
      <c r="D84" s="212">
        <f>D83-D73-D82</f>
        <v>-978455</v>
      </c>
      <c r="E84" s="212">
        <f>E83-E73-E82</f>
        <v>2632409</v>
      </c>
      <c r="F84" s="214"/>
      <c r="G84" s="212">
        <f>G83-G73-G82</f>
        <v>4002182.5894500003</v>
      </c>
      <c r="H84" s="212">
        <f>H83-H73-H82</f>
        <v>-859802.72</v>
      </c>
      <c r="I84" s="213">
        <f>I83-I73-I82</f>
        <v>3038770.4076318187</v>
      </c>
      <c r="J84" s="82"/>
      <c r="K84" s="82"/>
      <c r="L84" s="213">
        <f>L83-L73-L82</f>
        <v>-83396.652334910599</v>
      </c>
      <c r="M84" s="213">
        <f>M83-M73-M82</f>
        <v>-7569.0300000000134</v>
      </c>
      <c r="N84" s="213">
        <f>N83-N73-N82</f>
        <v>-76041.686817669193</v>
      </c>
      <c r="O84" s="82"/>
      <c r="P84" s="82"/>
      <c r="Q84" s="213">
        <f>Q83-Q73-Q82</f>
        <v>3723440.9971150896</v>
      </c>
      <c r="R84" s="213">
        <f>R83-R73-R82</f>
        <v>-867371.75</v>
      </c>
      <c r="S84" s="213">
        <f>S83-S73-S82</f>
        <v>2767383.7808141494</v>
      </c>
      <c r="T84" s="82"/>
      <c r="U84" s="82"/>
      <c r="V84" s="562">
        <f>V83-V73-V82</f>
        <v>3723440.9971150896</v>
      </c>
      <c r="W84" s="562">
        <f>W83-W73-W82</f>
        <v>-859094.75</v>
      </c>
      <c r="X84" s="562">
        <f>X83-X73-X82</f>
        <v>2864346.2471150896</v>
      </c>
      <c r="Y84" s="537"/>
    </row>
    <row r="85" spans="1:25" s="2" customFormat="1" ht="13.8" outlineLevel="3">
      <c r="A85" s="293"/>
      <c r="B85" s="216" t="s">
        <v>44</v>
      </c>
      <c r="C85" s="141"/>
      <c r="D85" s="142"/>
      <c r="E85" s="146">
        <f>C85+D85</f>
        <v>0</v>
      </c>
      <c r="F85" s="217">
        <f>E85/$E$89</f>
        <v>0</v>
      </c>
      <c r="G85" s="102"/>
      <c r="H85" s="102"/>
      <c r="I85" s="219">
        <f>G85+H85*1.15</f>
        <v>0</v>
      </c>
      <c r="J85" s="102"/>
      <c r="K85" s="102"/>
      <c r="L85" s="39"/>
      <c r="M85" s="39"/>
      <c r="N85" s="219">
        <f>L85+M85*1.15</f>
        <v>0</v>
      </c>
      <c r="O85" s="102"/>
      <c r="P85" s="102"/>
      <c r="Q85" s="39">
        <f>G85+L85</f>
        <v>0</v>
      </c>
      <c r="R85" s="39">
        <f>H85+M85</f>
        <v>0</v>
      </c>
      <c r="S85" s="219">
        <f>Q85+R85*1.15</f>
        <v>0</v>
      </c>
      <c r="T85" s="102"/>
      <c r="U85" s="102"/>
      <c r="V85" s="452"/>
      <c r="W85" s="452"/>
      <c r="X85" s="484">
        <f>V85+W85*1.15</f>
        <v>0</v>
      </c>
      <c r="Y85" s="566"/>
    </row>
    <row r="86" spans="1:25" s="2" customFormat="1" ht="27.6">
      <c r="A86" s="11"/>
      <c r="B86" s="37" t="s">
        <v>50</v>
      </c>
      <c r="C86" s="149">
        <f>C84-C85</f>
        <v>3610864</v>
      </c>
      <c r="D86" s="149">
        <f>D84-D85</f>
        <v>-978455</v>
      </c>
      <c r="E86" s="150">
        <f>E84-E85</f>
        <v>2632409</v>
      </c>
      <c r="F86" s="175"/>
      <c r="G86" s="149">
        <f>G84-G85</f>
        <v>4002182.5894500003</v>
      </c>
      <c r="H86" s="149">
        <f>H84-H85</f>
        <v>-859802.72</v>
      </c>
      <c r="I86" s="150">
        <f>I84-I85</f>
        <v>3038770.4076318187</v>
      </c>
      <c r="J86" s="73"/>
      <c r="K86" s="73"/>
      <c r="L86" s="150">
        <f>L84-L85</f>
        <v>-83396.652334910599</v>
      </c>
      <c r="M86" s="150">
        <f>M84-M85</f>
        <v>-7569.0300000000134</v>
      </c>
      <c r="N86" s="150">
        <f>N84-N85</f>
        <v>-76041.686817669193</v>
      </c>
      <c r="O86" s="73"/>
      <c r="P86" s="73"/>
      <c r="Q86" s="150">
        <f>Q84-Q85</f>
        <v>3723440.9971150896</v>
      </c>
      <c r="R86" s="150">
        <f>R84-R85</f>
        <v>-867371.75</v>
      </c>
      <c r="S86" s="150">
        <f>S84-S85</f>
        <v>2767383.7808141494</v>
      </c>
      <c r="T86" s="73"/>
      <c r="U86" s="73"/>
      <c r="V86" s="569">
        <f>V84-V85</f>
        <v>3723440.9971150896</v>
      </c>
      <c r="W86" s="569">
        <f>W84-W85</f>
        <v>-859094.75</v>
      </c>
      <c r="X86" s="569">
        <f>X84-X85</f>
        <v>2864346.2471150896</v>
      </c>
      <c r="Y86" s="538"/>
    </row>
    <row r="87" spans="1:25" s="2" customFormat="1" ht="14.4" thickBot="1">
      <c r="A87" s="295"/>
      <c r="B87" s="29" t="s">
        <v>51</v>
      </c>
      <c r="C87" s="155">
        <f>C86/C5</f>
        <v>0.550668604881691</v>
      </c>
      <c r="D87" s="151" t="e">
        <f>D86/D5</f>
        <v>#DIV/0!</v>
      </c>
      <c r="E87" s="156">
        <f>E86/E5</f>
        <v>0.40145100771117587</v>
      </c>
      <c r="F87" s="176"/>
      <c r="G87" s="155">
        <f>G86/G5</f>
        <v>0.61871190661626263</v>
      </c>
      <c r="H87" s="151" t="e">
        <f>H86/H5</f>
        <v>#DIV/0!</v>
      </c>
      <c r="I87" s="156">
        <f>I86/I5</f>
        <v>0.46977452693714711</v>
      </c>
      <c r="J87" s="75"/>
      <c r="K87" s="75"/>
      <c r="L87" s="155">
        <f>L86/L5</f>
        <v>-1.9428058862138835</v>
      </c>
      <c r="M87" s="151" t="e">
        <f>M86/M5</f>
        <v>#DIV/0!</v>
      </c>
      <c r="N87" s="156">
        <f>N86/N5</f>
        <v>-1.771464832349841</v>
      </c>
      <c r="O87" s="75"/>
      <c r="P87" s="75"/>
      <c r="Q87" s="155">
        <f>Q86/Q5</f>
        <v>0.57182556104833171</v>
      </c>
      <c r="R87" s="151" t="e">
        <f>R86/R5</f>
        <v>#DIV/0!</v>
      </c>
      <c r="S87" s="156">
        <f>S86/S5</f>
        <v>0.42499955936623945</v>
      </c>
      <c r="T87" s="75"/>
      <c r="U87" s="75"/>
      <c r="V87" s="573">
        <f>V86/V5</f>
        <v>0.57182556104833171</v>
      </c>
      <c r="W87" s="574" t="e">
        <f>W86/W5</f>
        <v>#DIV/0!</v>
      </c>
      <c r="X87" s="575">
        <f>X86/X5</f>
        <v>0.43989052090856662</v>
      </c>
      <c r="Y87" s="576"/>
    </row>
    <row r="88" spans="1:25"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row>
    <row r="89" spans="1:25" ht="13.8">
      <c r="B89" s="221" t="s">
        <v>56</v>
      </c>
      <c r="C89" s="153"/>
      <c r="D89" s="153"/>
      <c r="E89" s="154">
        <f>E8+E36+E41+E50+E54+E73+E79+E82+E85</f>
        <v>3924827</v>
      </c>
      <c r="F89" s="189"/>
      <c r="I89" s="154">
        <f>I8+I36+I41+I50+I54+I73+I79+I82+I85</f>
        <v>3429801.7123681814</v>
      </c>
      <c r="N89" s="154">
        <f>N8+N36+N41+N50+N54+N73+N79+N82+N85</f>
        <v>118967.56681766908</v>
      </c>
      <c r="S89" s="154">
        <f>S8+S36+S41+S50+S54+S73+S79+S82+S85</f>
        <v>3744114.2191858506</v>
      </c>
      <c r="V89" s="76"/>
      <c r="W89" s="76"/>
      <c r="X89" s="76"/>
      <c r="Y89" s="76"/>
    </row>
    <row r="90" spans="1:25" ht="13.8">
      <c r="C90" s="153"/>
      <c r="D90" s="153"/>
      <c r="E90" s="153"/>
      <c r="V90" s="76"/>
      <c r="W90" s="76"/>
      <c r="X90" s="76"/>
      <c r="Y90" s="76"/>
    </row>
    <row r="91" spans="1:25" s="2" customFormat="1" ht="13.8">
      <c r="A91" s="8"/>
      <c r="B91" s="8"/>
      <c r="C91" s="153"/>
      <c r="D91" s="153"/>
      <c r="E91" s="153"/>
      <c r="F91" s="38"/>
      <c r="G91" s="38"/>
      <c r="H91" s="38"/>
      <c r="I91" s="38"/>
      <c r="J91" s="38"/>
      <c r="K91" s="38"/>
      <c r="L91" s="38"/>
      <c r="M91" s="38"/>
      <c r="N91" s="38"/>
      <c r="O91" s="38"/>
      <c r="P91" s="38"/>
      <c r="Q91" s="38"/>
      <c r="R91" s="38"/>
      <c r="S91" s="38"/>
      <c r="T91" s="38"/>
      <c r="U91" s="38"/>
      <c r="V91" s="76"/>
      <c r="W91" s="76"/>
      <c r="X91" s="76"/>
      <c r="Y91" s="76"/>
    </row>
    <row r="92" spans="1:25">
      <c r="C92" s="38"/>
      <c r="D92" s="38"/>
    </row>
    <row r="93" spans="1:25" s="2" customFormat="1">
      <c r="A93" s="8"/>
      <c r="B93" s="8"/>
      <c r="C93" s="38"/>
      <c r="D93" s="38"/>
      <c r="E93" s="38"/>
      <c r="F93" s="38"/>
      <c r="G93" s="38"/>
      <c r="H93" s="38"/>
      <c r="I93" s="38"/>
      <c r="J93" s="38"/>
      <c r="K93" s="38"/>
      <c r="L93" s="38"/>
      <c r="M93" s="38"/>
      <c r="N93" s="38"/>
      <c r="O93" s="38"/>
      <c r="P93" s="38"/>
      <c r="Q93" s="38"/>
      <c r="R93" s="38"/>
      <c r="S93" s="38"/>
      <c r="T93" s="38"/>
      <c r="U93" s="38"/>
    </row>
    <row r="94" spans="1:25" s="2" customFormat="1">
      <c r="A94" s="8"/>
      <c r="B94" s="8"/>
      <c r="C94" s="38"/>
      <c r="D94" s="38"/>
      <c r="E94" s="38"/>
      <c r="F94" s="38"/>
      <c r="G94" s="38"/>
      <c r="H94" s="38"/>
      <c r="I94" s="38"/>
      <c r="J94" s="38"/>
      <c r="K94" s="38"/>
      <c r="L94" s="38"/>
      <c r="M94" s="38"/>
      <c r="N94" s="38"/>
      <c r="O94" s="38"/>
      <c r="P94" s="38"/>
      <c r="Q94" s="38"/>
      <c r="R94" s="38"/>
      <c r="S94" s="38"/>
      <c r="T94" s="38"/>
      <c r="U94" s="38"/>
    </row>
    <row r="95" spans="1:25" s="2" customFormat="1">
      <c r="A95" s="8"/>
      <c r="B95" s="8"/>
      <c r="C95" s="38"/>
      <c r="D95" s="38"/>
      <c r="E95" s="38"/>
      <c r="F95" s="38"/>
      <c r="G95" s="38"/>
      <c r="H95" s="38"/>
      <c r="I95" s="38"/>
      <c r="J95" s="38"/>
      <c r="K95" s="38"/>
      <c r="L95" s="38"/>
      <c r="M95" s="38"/>
      <c r="N95" s="38"/>
      <c r="O95" s="38"/>
      <c r="P95" s="38"/>
      <c r="Q95" s="38"/>
      <c r="R95" s="38"/>
      <c r="S95" s="38"/>
      <c r="T95" s="38"/>
      <c r="U95" s="38"/>
    </row>
    <row r="96" spans="1:25" s="2" customFormat="1">
      <c r="A96" s="8"/>
      <c r="B96" s="8"/>
      <c r="C96" s="38"/>
      <c r="D96" s="38"/>
      <c r="E96" s="38"/>
      <c r="F96" s="38"/>
      <c r="G96" s="38"/>
      <c r="H96" s="38"/>
      <c r="I96" s="38"/>
      <c r="J96" s="38"/>
      <c r="K96" s="38"/>
      <c r="L96" s="38"/>
      <c r="M96" s="38"/>
      <c r="N96" s="38"/>
      <c r="O96" s="38"/>
      <c r="P96" s="38"/>
      <c r="Q96" s="38"/>
      <c r="R96" s="38"/>
      <c r="S96" s="38"/>
      <c r="T96" s="38"/>
      <c r="U96" s="38"/>
    </row>
    <row r="97" spans="1:21">
      <c r="C97" s="38"/>
      <c r="D97" s="38"/>
    </row>
    <row r="98" spans="1:21" s="2" customFormat="1">
      <c r="A98" s="8"/>
      <c r="B98" s="8"/>
      <c r="C98" s="38"/>
      <c r="D98" s="38"/>
      <c r="E98" s="38"/>
      <c r="F98" s="38"/>
      <c r="G98" s="38"/>
      <c r="H98" s="38"/>
      <c r="I98" s="38"/>
      <c r="J98" s="38"/>
      <c r="K98" s="38"/>
      <c r="L98" s="38"/>
      <c r="M98" s="38"/>
      <c r="N98" s="38"/>
      <c r="O98" s="38"/>
      <c r="P98" s="38"/>
      <c r="Q98" s="38"/>
      <c r="R98" s="38"/>
      <c r="S98" s="38"/>
      <c r="T98" s="38"/>
      <c r="U98" s="38"/>
    </row>
    <row r="99" spans="1:21">
      <c r="C99" s="38"/>
      <c r="D99" s="38"/>
    </row>
  </sheetData>
  <mergeCells count="7">
    <mergeCell ref="V2:Y3"/>
    <mergeCell ref="Q2:T3"/>
    <mergeCell ref="A42:A48"/>
    <mergeCell ref="A2:F2"/>
    <mergeCell ref="G2:K3"/>
    <mergeCell ref="A3:F3"/>
    <mergeCell ref="L2:O3"/>
  </mergeCells>
  <pageMargins left="0.39370078740157483" right="0.19685039370078741" top="0.19685039370078741" bottom="0.19685039370078741" header="0.11811023622047245" footer="0.11811023622047245"/>
  <pageSetup paperSize="9" scale="10" orientation="portrait" horizontalDpi="4294967295" verticalDpi="4294967295" r:id="rId1"/>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79998168889431442"/>
  </sheetPr>
  <dimension ref="A1:BU108"/>
  <sheetViews>
    <sheetView topLeftCell="B1" zoomScale="70" zoomScaleNormal="70" workbookViewId="0">
      <pane xSplit="10" ySplit="5" topLeftCell="BE69" activePane="bottomRight" state="frozen"/>
      <selection activeCell="B73" sqref="B73"/>
      <selection pane="topRight" activeCell="B73" sqref="B73"/>
      <selection pane="bottomLeft" activeCell="B73" sqref="B73"/>
      <selection pane="bottomRight" activeCell="BF85" sqref="BF85"/>
    </sheetView>
  </sheetViews>
  <sheetFormatPr defaultColWidth="7.44140625" defaultRowHeight="13.2" outlineLevelCol="1"/>
  <cols>
    <col min="1" max="1" width="5.5546875" style="8" customWidth="1"/>
    <col min="2" max="2" width="51.5546875" style="8" customWidth="1"/>
    <col min="3" max="3" width="17.5546875" style="77" hidden="1" customWidth="1"/>
    <col min="4" max="4" width="15.44140625" style="77" hidden="1" customWidth="1"/>
    <col min="5" max="5" width="15.33203125" style="38" hidden="1" customWidth="1"/>
    <col min="6" max="6" width="9.5546875" style="38" hidden="1" customWidth="1"/>
    <col min="7" max="9" width="16.33203125" style="38" hidden="1" customWidth="1" outlineLevel="1"/>
    <col min="10" max="10" width="9" style="38" hidden="1" customWidth="1" outlineLevel="1"/>
    <col min="11" max="11" width="39" style="38" hidden="1" customWidth="1" outlineLevel="1"/>
    <col min="12" max="12" width="19.6640625" style="38" hidden="1" customWidth="1" outlineLevel="1"/>
    <col min="13" max="13" width="20.109375" style="38" hidden="1" customWidth="1" outlineLevel="1"/>
    <col min="14" max="14" width="24.44140625" style="38" hidden="1" customWidth="1" outlineLevel="1"/>
    <col min="15" max="15" width="9.6640625" style="38" hidden="1" customWidth="1" outlineLevel="1"/>
    <col min="16" max="16" width="39" style="38" hidden="1" customWidth="1" outlineLevel="1"/>
    <col min="17" max="17" width="19.44140625" style="38" hidden="1" customWidth="1" outlineLevel="1"/>
    <col min="18" max="18" width="18" style="38" hidden="1" customWidth="1" outlineLevel="1"/>
    <col min="19" max="19" width="24.44140625" style="38" hidden="1" customWidth="1" outlineLevel="1"/>
    <col min="20" max="20" width="16.6640625" style="38" hidden="1" customWidth="1" outlineLevel="1"/>
    <col min="21" max="21" width="48.33203125" style="38" hidden="1" customWidth="1" outlineLevel="1"/>
    <col min="22" max="22" width="19.44140625" style="38" hidden="1" customWidth="1" outlineLevel="1"/>
    <col min="23" max="23" width="18" style="38" hidden="1" customWidth="1" outlineLevel="1"/>
    <col min="24" max="24" width="24.44140625" style="38" hidden="1" customWidth="1" outlineLevel="1"/>
    <col min="25" max="25" width="16.6640625" style="38" hidden="1" customWidth="1" outlineLevel="1"/>
    <col min="26" max="26" width="48.33203125" style="38" hidden="1" customWidth="1" outlineLevel="1"/>
    <col min="27" max="27" width="17.88671875" style="38" hidden="1" customWidth="1" outlineLevel="1"/>
    <col min="28" max="28" width="20.6640625" style="38" hidden="1" customWidth="1" outlineLevel="1"/>
    <col min="29" max="29" width="14.88671875" style="38" hidden="1" customWidth="1" outlineLevel="1"/>
    <col min="30" max="30" width="16.109375" style="38" hidden="1" customWidth="1" outlineLevel="1"/>
    <col min="31" max="31" width="48.33203125" style="38" hidden="1" customWidth="1" outlineLevel="1"/>
    <col min="32" max="32" width="18.88671875" style="38" hidden="1" customWidth="1" outlineLevel="1"/>
    <col min="33" max="34" width="23.109375" style="38" hidden="1" customWidth="1" outlineLevel="1"/>
    <col min="35" max="35" width="10.109375" style="38" hidden="1" customWidth="1" outlineLevel="1"/>
    <col min="36" max="36" width="34.33203125" style="38" hidden="1" customWidth="1" outlineLevel="1"/>
    <col min="37" max="37" width="19.6640625" style="38" hidden="1" customWidth="1" outlineLevel="1"/>
    <col min="38" max="38" width="20.109375" style="38" hidden="1" customWidth="1" outlineLevel="1"/>
    <col min="39" max="39" width="19.6640625" style="38" hidden="1" customWidth="1" outlineLevel="1"/>
    <col min="40" max="40" width="13" style="38" hidden="1" customWidth="1" outlineLevel="1"/>
    <col min="41" max="41" width="34.33203125" style="38" hidden="1" customWidth="1" outlineLevel="1"/>
    <col min="42" max="43" width="16.44140625" style="38" hidden="1" customWidth="1" outlineLevel="1"/>
    <col min="44" max="44" width="16.109375" style="38" hidden="1" customWidth="1" outlineLevel="1"/>
    <col min="45" max="45" width="8.6640625" style="38" hidden="1" customWidth="1" outlineLevel="1"/>
    <col min="46" max="46" width="34.33203125" style="38" hidden="1" customWidth="1" outlineLevel="1"/>
    <col min="47" max="48" width="16.33203125" style="38" hidden="1" customWidth="1" outlineLevel="1"/>
    <col min="49" max="49" width="16.109375" style="38" hidden="1" customWidth="1" outlineLevel="1"/>
    <col min="50" max="50" width="24.33203125" style="38" hidden="1" customWidth="1" outlineLevel="1"/>
    <col min="51" max="51" width="34.33203125" style="38" hidden="1" customWidth="1" outlineLevel="1"/>
    <col min="52" max="52" width="22.109375" style="38" customWidth="1" collapsed="1"/>
    <col min="53" max="53" width="20.44140625" style="38" customWidth="1"/>
    <col min="54" max="54" width="15.33203125" style="38" customWidth="1"/>
    <col min="55" max="55" width="12.44140625" style="38" customWidth="1"/>
    <col min="56" max="56" width="34.33203125" style="38" customWidth="1"/>
    <col min="57" max="57" width="26.88671875" style="38" customWidth="1"/>
    <col min="58" max="58" width="27.109375" style="38" customWidth="1"/>
    <col min="59" max="59" width="25" style="38" customWidth="1"/>
    <col min="60" max="61" width="34.33203125" style="38" customWidth="1"/>
    <col min="62" max="64" width="16.33203125" style="38" customWidth="1"/>
    <col min="65" max="65" width="13.33203125" style="38" customWidth="1"/>
    <col min="66" max="66" width="16.33203125" style="38" customWidth="1"/>
    <col min="67" max="67" width="15.33203125" style="1" bestFit="1" customWidth="1"/>
    <col min="68" max="68" width="15.33203125" style="928" bestFit="1" customWidth="1"/>
    <col min="69" max="69" width="15.6640625" style="928" bestFit="1" customWidth="1"/>
    <col min="70" max="70" width="7.44140625" style="1"/>
    <col min="71" max="71" width="16.6640625" style="1" bestFit="1" customWidth="1"/>
    <col min="72" max="72" width="14.5546875" style="1" customWidth="1"/>
    <col min="73" max="73" width="12" style="1" bestFit="1" customWidth="1"/>
    <col min="74" max="16384" width="7.44140625" style="1"/>
  </cols>
  <sheetData>
    <row r="1" spans="1:72" ht="13.8" thickBot="1">
      <c r="C1" s="38"/>
      <c r="D1" s="38"/>
    </row>
    <row r="2" spans="1:72" ht="14.4" customHeight="1">
      <c r="A2" s="4834" t="s">
        <v>909</v>
      </c>
      <c r="B2" s="4835"/>
      <c r="C2" s="4835"/>
      <c r="D2" s="4835"/>
      <c r="E2" s="4835"/>
      <c r="F2" s="4836"/>
      <c r="G2" s="4837" t="s">
        <v>466</v>
      </c>
      <c r="H2" s="4838"/>
      <c r="I2" s="4838"/>
      <c r="J2" s="4838"/>
      <c r="K2" s="386"/>
      <c r="L2" s="4837" t="s">
        <v>545</v>
      </c>
      <c r="M2" s="4838"/>
      <c r="N2" s="4838"/>
      <c r="O2" s="4838"/>
      <c r="P2" s="419"/>
      <c r="Q2" s="4837" t="s">
        <v>624</v>
      </c>
      <c r="R2" s="4838"/>
      <c r="S2" s="4838"/>
      <c r="T2" s="4838"/>
      <c r="U2" s="468"/>
      <c r="V2" s="4892" t="s">
        <v>714</v>
      </c>
      <c r="W2" s="4893"/>
      <c r="X2" s="4893"/>
      <c r="Y2" s="4893"/>
      <c r="Z2" s="533"/>
      <c r="AA2" s="4892" t="s">
        <v>770</v>
      </c>
      <c r="AB2" s="4893"/>
      <c r="AC2" s="4893"/>
      <c r="AD2" s="4893"/>
      <c r="AE2" s="627"/>
      <c r="AF2" s="4922" t="s">
        <v>820</v>
      </c>
      <c r="AG2" s="4923"/>
      <c r="AH2" s="4923"/>
      <c r="AI2" s="4923"/>
      <c r="AJ2" s="691"/>
      <c r="AK2" s="4955" t="s">
        <v>836</v>
      </c>
      <c r="AL2" s="4956"/>
      <c r="AM2" s="4956"/>
      <c r="AN2" s="4956"/>
      <c r="AO2" s="757"/>
      <c r="AP2" s="4934" t="s">
        <v>883</v>
      </c>
      <c r="AQ2" s="4935"/>
      <c r="AR2" s="4935"/>
      <c r="AS2" s="4935"/>
      <c r="AT2" s="845"/>
      <c r="AU2" s="4898" t="s">
        <v>910</v>
      </c>
      <c r="AV2" s="4899"/>
      <c r="AW2" s="4899"/>
      <c r="AX2" s="4899"/>
      <c r="AY2" s="4900"/>
      <c r="AZ2" s="4910" t="s">
        <v>942</v>
      </c>
      <c r="BA2" s="4911"/>
      <c r="BB2" s="4911"/>
      <c r="BC2" s="4911"/>
      <c r="BD2" s="4912"/>
      <c r="BE2" s="4910" t="s">
        <v>948</v>
      </c>
      <c r="BF2" s="4911"/>
      <c r="BG2" s="4911"/>
      <c r="BH2" s="4911"/>
      <c r="BI2" s="4912"/>
      <c r="BJ2" s="4988" t="s">
        <v>469</v>
      </c>
      <c r="BK2" s="4989"/>
      <c r="BL2" s="4989"/>
      <c r="BM2" s="4989"/>
      <c r="BN2" s="384"/>
      <c r="BP2" s="842"/>
      <c r="BQ2" s="842"/>
    </row>
    <row r="3" spans="1:72" ht="15" customHeight="1" thickBot="1">
      <c r="A3" s="4853" t="s">
        <v>54</v>
      </c>
      <c r="B3" s="4854"/>
      <c r="C3" s="4854"/>
      <c r="D3" s="4854"/>
      <c r="E3" s="4854"/>
      <c r="F3" s="4855"/>
      <c r="G3" s="4839"/>
      <c r="H3" s="4840"/>
      <c r="I3" s="4840"/>
      <c r="J3" s="4840"/>
      <c r="K3" s="387"/>
      <c r="L3" s="4839"/>
      <c r="M3" s="4840"/>
      <c r="N3" s="4840"/>
      <c r="O3" s="4840"/>
      <c r="P3" s="420"/>
      <c r="Q3" s="4839"/>
      <c r="R3" s="4840"/>
      <c r="S3" s="4840"/>
      <c r="T3" s="4840"/>
      <c r="U3" s="469"/>
      <c r="V3" s="4895"/>
      <c r="W3" s="4896"/>
      <c r="X3" s="4896"/>
      <c r="Y3" s="4896"/>
      <c r="Z3" s="534"/>
      <c r="AA3" s="4895"/>
      <c r="AB3" s="4896"/>
      <c r="AC3" s="4896"/>
      <c r="AD3" s="4896"/>
      <c r="AE3" s="628"/>
      <c r="AF3" s="4925"/>
      <c r="AG3" s="4926"/>
      <c r="AH3" s="4926"/>
      <c r="AI3" s="4926"/>
      <c r="AJ3" s="692"/>
      <c r="AK3" s="4958"/>
      <c r="AL3" s="4959"/>
      <c r="AM3" s="4959"/>
      <c r="AN3" s="4959"/>
      <c r="AO3" s="758"/>
      <c r="AP3" s="4937"/>
      <c r="AQ3" s="4938"/>
      <c r="AR3" s="4938"/>
      <c r="AS3" s="4938"/>
      <c r="AT3" s="846"/>
      <c r="AU3" s="4901"/>
      <c r="AV3" s="4902"/>
      <c r="AW3" s="4902"/>
      <c r="AX3" s="4902"/>
      <c r="AY3" s="4903"/>
      <c r="AZ3" s="4913"/>
      <c r="BA3" s="4914"/>
      <c r="BB3" s="4914"/>
      <c r="BC3" s="4914"/>
      <c r="BD3" s="4915"/>
      <c r="BE3" s="4913"/>
      <c r="BF3" s="4914"/>
      <c r="BG3" s="4914"/>
      <c r="BH3" s="4914"/>
      <c r="BI3" s="4915"/>
      <c r="BJ3" s="4990"/>
      <c r="BK3" s="4991"/>
      <c r="BL3" s="4991"/>
      <c r="BM3" s="4991"/>
      <c r="BN3" s="385"/>
      <c r="BP3" s="842"/>
      <c r="BQ3" s="842"/>
    </row>
    <row r="4" spans="1:72"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94" t="s">
        <v>55</v>
      </c>
      <c r="BA4" s="94" t="s">
        <v>18</v>
      </c>
      <c r="BB4" s="95" t="s">
        <v>39</v>
      </c>
      <c r="BC4" s="209" t="s">
        <v>40</v>
      </c>
      <c r="BD4" s="95" t="s">
        <v>19</v>
      </c>
      <c r="BE4" s="94" t="s">
        <v>55</v>
      </c>
      <c r="BF4" s="94" t="s">
        <v>18</v>
      </c>
      <c r="BG4" s="95" t="s">
        <v>39</v>
      </c>
      <c r="BH4" s="209" t="s">
        <v>40</v>
      </c>
      <c r="BI4" s="95" t="s">
        <v>19</v>
      </c>
      <c r="BJ4" s="94" t="s">
        <v>55</v>
      </c>
      <c r="BK4" s="94" t="s">
        <v>18</v>
      </c>
      <c r="BL4" s="95" t="s">
        <v>39</v>
      </c>
      <c r="BM4" s="209" t="s">
        <v>40</v>
      </c>
      <c r="BN4" s="95" t="s">
        <v>19</v>
      </c>
      <c r="BP4" s="842"/>
      <c r="BQ4" s="842"/>
    </row>
    <row r="5" spans="1:72" s="88" customFormat="1" ht="14.4" thickBot="1">
      <c r="A5" s="83"/>
      <c r="B5" s="84" t="s">
        <v>10</v>
      </c>
      <c r="C5" s="85">
        <f>C6</f>
        <v>25891706</v>
      </c>
      <c r="D5" s="85">
        <f>D6</f>
        <v>0</v>
      </c>
      <c r="E5" s="86">
        <f>E6</f>
        <v>25891706</v>
      </c>
      <c r="F5" s="87"/>
      <c r="G5" s="87">
        <f>G6</f>
        <v>0</v>
      </c>
      <c r="H5" s="87">
        <f>H6</f>
        <v>0</v>
      </c>
      <c r="I5" s="87">
        <f>I6</f>
        <v>0</v>
      </c>
      <c r="J5" s="87"/>
      <c r="K5" s="87"/>
      <c r="L5" s="87">
        <f>L6</f>
        <v>407132.86</v>
      </c>
      <c r="M5" s="87">
        <f>M6</f>
        <v>0</v>
      </c>
      <c r="N5" s="87">
        <f>N6</f>
        <v>407132.86</v>
      </c>
      <c r="O5" s="87"/>
      <c r="P5" s="87"/>
      <c r="Q5" s="87">
        <f>Q6</f>
        <v>7030040.9800000004</v>
      </c>
      <c r="R5" s="87">
        <f>R6</f>
        <v>0</v>
      </c>
      <c r="S5" s="87">
        <f>S6</f>
        <v>7030040.9800000004</v>
      </c>
      <c r="T5" s="87"/>
      <c r="U5" s="87"/>
      <c r="V5" s="87">
        <f>V6</f>
        <v>5664246.25</v>
      </c>
      <c r="W5" s="87">
        <f>W6</f>
        <v>0</v>
      </c>
      <c r="X5" s="87">
        <f>X6</f>
        <v>5664246.25</v>
      </c>
      <c r="Y5" s="87"/>
      <c r="Z5" s="87"/>
      <c r="AA5" s="87">
        <f>AA6</f>
        <v>5627916.1600000001</v>
      </c>
      <c r="AB5" s="87">
        <f>AB6</f>
        <v>0</v>
      </c>
      <c r="AC5" s="87">
        <f>AC6</f>
        <v>5627916.1600000001</v>
      </c>
      <c r="AD5" s="87"/>
      <c r="AE5" s="87"/>
      <c r="AF5" s="87">
        <f>AF6</f>
        <v>4378264.33</v>
      </c>
      <c r="AG5" s="87">
        <f>AG6</f>
        <v>0</v>
      </c>
      <c r="AH5" s="87">
        <f>AH6</f>
        <v>4378264.33</v>
      </c>
      <c r="AI5" s="87"/>
      <c r="AJ5" s="87"/>
      <c r="AK5" s="87">
        <f>AK6+AK7</f>
        <v>1484806.02</v>
      </c>
      <c r="AL5" s="87">
        <f>AL6+AL7</f>
        <v>0</v>
      </c>
      <c r="AM5" s="87">
        <f>AM6+AM7</f>
        <v>1484806.02</v>
      </c>
      <c r="AN5" s="87"/>
      <c r="AO5" s="87"/>
      <c r="AP5" s="87">
        <f>AP6+AP7</f>
        <v>0</v>
      </c>
      <c r="AQ5" s="87">
        <f>AQ6+AQ7</f>
        <v>0</v>
      </c>
      <c r="AR5" s="87">
        <f>AR6+AR7</f>
        <v>0</v>
      </c>
      <c r="AS5" s="87"/>
      <c r="AT5" s="87"/>
      <c r="AU5" s="87">
        <f>AU6+AU7</f>
        <v>1745437.87</v>
      </c>
      <c r="AV5" s="87">
        <f>AV6+AV7</f>
        <v>0</v>
      </c>
      <c r="AW5" s="87">
        <f>AW6+AW7</f>
        <v>1745437.87</v>
      </c>
      <c r="AX5" s="87"/>
      <c r="AY5" s="87"/>
      <c r="AZ5" s="87">
        <f>AZ6+AZ7</f>
        <v>0</v>
      </c>
      <c r="BA5" s="87">
        <f>BA6+BA7</f>
        <v>0</v>
      </c>
      <c r="BB5" s="87">
        <f>BB6+BB7</f>
        <v>0</v>
      </c>
      <c r="BC5" s="87"/>
      <c r="BD5" s="87"/>
      <c r="BE5" s="87">
        <f>BE6+BE7</f>
        <v>0</v>
      </c>
      <c r="BF5" s="87">
        <f>BF6+BF7</f>
        <v>0</v>
      </c>
      <c r="BG5" s="87">
        <f>BG6+BG7</f>
        <v>0</v>
      </c>
      <c r="BH5" s="87"/>
      <c r="BI5" s="87"/>
      <c r="BJ5" s="87">
        <f>BJ6+BJ7</f>
        <v>26337844.469999999</v>
      </c>
      <c r="BK5" s="87">
        <f>BK6+BK7</f>
        <v>0</v>
      </c>
      <c r="BL5" s="87">
        <f>BL6+BL7</f>
        <v>26337844.469999999</v>
      </c>
      <c r="BM5" s="87"/>
      <c r="BN5" s="87"/>
      <c r="BO5" s="1"/>
      <c r="BP5" s="842"/>
      <c r="BQ5" s="842"/>
      <c r="BR5" s="1"/>
      <c r="BS5" s="1"/>
      <c r="BT5" s="1"/>
    </row>
    <row r="6" spans="1:72" s="2" customFormat="1" ht="13.8">
      <c r="A6" s="330">
        <f>'PL_Сватово очередь 2'!I6</f>
        <v>0</v>
      </c>
      <c r="B6" s="9" t="s">
        <v>17</v>
      </c>
      <c r="C6" s="104">
        <v>25891706</v>
      </c>
      <c r="D6" s="105"/>
      <c r="E6" s="106">
        <f>C6+D6</f>
        <v>25891706</v>
      </c>
      <c r="F6" s="39"/>
      <c r="G6" s="39"/>
      <c r="H6" s="39"/>
      <c r="I6" s="106">
        <f>G6+H6</f>
        <v>0</v>
      </c>
      <c r="J6" s="39"/>
      <c r="K6" s="39"/>
      <c r="L6" s="39">
        <v>407132.86</v>
      </c>
      <c r="M6" s="39"/>
      <c r="N6" s="106">
        <f>L6+M6</f>
        <v>407132.86</v>
      </c>
      <c r="O6" s="39"/>
      <c r="P6" s="39"/>
      <c r="Q6" s="39">
        <v>7030040.9800000004</v>
      </c>
      <c r="R6" s="39"/>
      <c r="S6" s="106">
        <f>Q6+R6</f>
        <v>7030040.9800000004</v>
      </c>
      <c r="T6" s="39"/>
      <c r="U6" s="39"/>
      <c r="V6" s="39">
        <v>5664246.25</v>
      </c>
      <c r="W6" s="39"/>
      <c r="X6" s="106">
        <f>V6+W6</f>
        <v>5664246.25</v>
      </c>
      <c r="Y6" s="39"/>
      <c r="Z6" s="39"/>
      <c r="AA6" s="39">
        <v>5627916.1600000001</v>
      </c>
      <c r="AB6" s="39"/>
      <c r="AC6" s="106">
        <f>AA6+AB6</f>
        <v>5627916.1600000001</v>
      </c>
      <c r="AD6" s="39"/>
      <c r="AE6" s="39"/>
      <c r="AF6" s="39">
        <v>4378264.33</v>
      </c>
      <c r="AG6" s="39"/>
      <c r="AH6" s="106">
        <f>AF6+AG6</f>
        <v>4378264.33</v>
      </c>
      <c r="AI6" s="39"/>
      <c r="AJ6" s="39"/>
      <c r="AK6" s="39">
        <f>1484806.02</f>
        <v>1484806.02</v>
      </c>
      <c r="AL6" s="39"/>
      <c r="AM6" s="106">
        <f>AK6+AL6</f>
        <v>1484806.02</v>
      </c>
      <c r="AN6" s="39"/>
      <c r="AO6" s="39"/>
      <c r="AP6" s="39"/>
      <c r="AQ6" s="39"/>
      <c r="AR6" s="106">
        <f>AP6+AQ6</f>
        <v>0</v>
      </c>
      <c r="AS6" s="39"/>
      <c r="AT6" s="39"/>
      <c r="AU6" s="39">
        <v>1745437.87</v>
      </c>
      <c r="AV6" s="39"/>
      <c r="AW6" s="106">
        <f>AU6+AV6</f>
        <v>1745437.87</v>
      </c>
      <c r="AX6" s="39"/>
      <c r="AY6" s="39"/>
      <c r="AZ6" s="39"/>
      <c r="BA6" s="39"/>
      <c r="BB6" s="106">
        <f>AZ6+BA6</f>
        <v>0</v>
      </c>
      <c r="BC6" s="39"/>
      <c r="BD6" s="39"/>
      <c r="BE6" s="39"/>
      <c r="BF6" s="39"/>
      <c r="BG6" s="106">
        <f>BE6+BF6</f>
        <v>0</v>
      </c>
      <c r="BH6" s="39"/>
      <c r="BI6" s="39"/>
      <c r="BJ6" s="39">
        <f>G6+L6+Q6+V6+AA6+AF6+AK6+AP6+AU6+AZ6+BE6</f>
        <v>26337844.469999999</v>
      </c>
      <c r="BK6" s="39">
        <f>H6+M6+R6+W6+AB6+AG6+AL6+AQ6+AV6+BA6+BF6</f>
        <v>0</v>
      </c>
      <c r="BL6" s="106">
        <f>BJ6+BK6</f>
        <v>26337844.469999999</v>
      </c>
      <c r="BM6" s="39"/>
      <c r="BN6" s="39"/>
      <c r="BO6" s="1"/>
      <c r="BP6" s="842"/>
      <c r="BQ6" s="842"/>
      <c r="BR6" s="1"/>
      <c r="BS6" s="1"/>
      <c r="BT6" s="1"/>
    </row>
    <row r="7" spans="1:72" s="2" customFormat="1" ht="14.4" thickBot="1">
      <c r="A7" s="238"/>
      <c r="B7" s="10" t="s">
        <v>41</v>
      </c>
      <c r="C7" s="107"/>
      <c r="D7" s="108"/>
      <c r="E7" s="106">
        <f>C7+D7</f>
        <v>0</v>
      </c>
      <c r="F7" s="40"/>
      <c r="G7" s="39"/>
      <c r="H7" s="39"/>
      <c r="I7" s="106">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40"/>
      <c r="AF7" s="39"/>
      <c r="AG7" s="39"/>
      <c r="AH7" s="106">
        <f>AF7+AG7</f>
        <v>0</v>
      </c>
      <c r="AI7" s="40"/>
      <c r="AJ7" s="40"/>
      <c r="AK7" s="39"/>
      <c r="AL7" s="39"/>
      <c r="AM7" s="106">
        <f>AK7+AL7</f>
        <v>0</v>
      </c>
      <c r="AN7" s="40"/>
      <c r="AO7" s="40"/>
      <c r="AP7" s="39"/>
      <c r="AQ7" s="39"/>
      <c r="AR7" s="106">
        <f>AP7+AQ7</f>
        <v>0</v>
      </c>
      <c r="AS7" s="40"/>
      <c r="AT7" s="40"/>
      <c r="AU7" s="39"/>
      <c r="AV7" s="39"/>
      <c r="AW7" s="106">
        <f>AU7+AV7</f>
        <v>0</v>
      </c>
      <c r="AX7" s="40"/>
      <c r="AY7" s="40"/>
      <c r="AZ7" s="39"/>
      <c r="BA7" s="39"/>
      <c r="BB7" s="106">
        <f>AZ7+BA7</f>
        <v>0</v>
      </c>
      <c r="BC7" s="40"/>
      <c r="BD7" s="40"/>
      <c r="BE7" s="39"/>
      <c r="BF7" s="39"/>
      <c r="BG7" s="106">
        <f>BE7+BF7</f>
        <v>0</v>
      </c>
      <c r="BH7" s="40"/>
      <c r="BI7" s="40"/>
      <c r="BJ7" s="39">
        <f>G7+L7+Q7+V7+AA7+AF7+AK7+AP7+AU7+AZ7+BE7</f>
        <v>0</v>
      </c>
      <c r="BK7" s="39">
        <f>H7+M7+R7+W7+AB7+AG7+AL7+AQ7+AV7+BA7+BF7</f>
        <v>0</v>
      </c>
      <c r="BL7" s="106">
        <f>BJ7+BK7</f>
        <v>0</v>
      </c>
      <c r="BM7" s="40"/>
      <c r="BN7" s="40"/>
      <c r="BO7" s="1"/>
      <c r="BP7" s="842"/>
      <c r="BQ7" s="842"/>
      <c r="BR7" s="1"/>
      <c r="BS7" s="1"/>
      <c r="BT7" s="1"/>
    </row>
    <row r="8" spans="1:72" s="88" customFormat="1" ht="14.4" thickBot="1">
      <c r="A8" s="238"/>
      <c r="B8" s="84" t="s">
        <v>16</v>
      </c>
      <c r="C8" s="109">
        <f>SUM(C9:C33)</f>
        <v>16280268.758000001</v>
      </c>
      <c r="D8" s="109">
        <f>SUM(D9:D33)</f>
        <v>2695486.47</v>
      </c>
      <c r="E8" s="110">
        <f>SUM(E9:E33)</f>
        <v>18326655.188000001</v>
      </c>
      <c r="F8" s="164">
        <f t="shared" ref="F8:F21" si="0">E8/$E$89</f>
        <v>0.92764706809139108</v>
      </c>
      <c r="G8" s="109">
        <f>SUM(G9:G33)</f>
        <v>190767.84000000003</v>
      </c>
      <c r="H8" s="109">
        <f>SUM(H9:H33)</f>
        <v>81871.08</v>
      </c>
      <c r="I8" s="110">
        <f>SUM(I9:I33)</f>
        <v>272638.92000000004</v>
      </c>
      <c r="J8" s="164">
        <f t="shared" ref="J8:J21" si="1">I8/$I$89</f>
        <v>0.87088103969772401</v>
      </c>
      <c r="K8" s="87"/>
      <c r="L8" s="109">
        <f>SUM(L9:L33)</f>
        <v>1058778.8700000001</v>
      </c>
      <c r="M8" s="109">
        <f>SUM(M9:M33)</f>
        <v>112768</v>
      </c>
      <c r="N8" s="110">
        <f>SUM(N9:N33)</f>
        <v>1171546.8699999999</v>
      </c>
      <c r="O8" s="164">
        <f t="shared" ref="O8:O22" si="2">N8/$N$89</f>
        <v>0.95864784989775687</v>
      </c>
      <c r="P8" s="87"/>
      <c r="Q8" s="109">
        <f>SUM(Q9:Q33)</f>
        <v>6295388.9959999993</v>
      </c>
      <c r="R8" s="109">
        <f>SUM(R9:R33)</f>
        <v>596188.4</v>
      </c>
      <c r="S8" s="110">
        <f>SUM(S9:S33)</f>
        <v>6891577.3959999997</v>
      </c>
      <c r="T8" s="164">
        <f>S8/$S$89</f>
        <v>0.97890945354675796</v>
      </c>
      <c r="U8" s="87"/>
      <c r="V8" s="109">
        <f>SUM(V9:V33)</f>
        <v>1909210.8560000001</v>
      </c>
      <c r="W8" s="109">
        <f>SUM(W9:W33)</f>
        <v>454627.08</v>
      </c>
      <c r="X8" s="110">
        <f>SUM(X9:X33)</f>
        <v>2363837.9359999998</v>
      </c>
      <c r="Y8" s="164">
        <f>X8/$X$89</f>
        <v>0.9607032628270995</v>
      </c>
      <c r="Z8" s="87"/>
      <c r="AA8" s="109">
        <f>SUM(AA9:AA33)</f>
        <v>1716226.2879999999</v>
      </c>
      <c r="AB8" s="109">
        <f>SUM(AB9:AB33)</f>
        <v>930676.36</v>
      </c>
      <c r="AC8" s="110">
        <f>SUM(AC9:AC33)</f>
        <v>2646902.648</v>
      </c>
      <c r="AD8" s="164">
        <f>AC8/$AC$89</f>
        <v>0.928018060958678</v>
      </c>
      <c r="AE8" s="87"/>
      <c r="AF8" s="109">
        <f>SUM(AF9:AF33)</f>
        <v>3946070.622</v>
      </c>
      <c r="AG8" s="109">
        <f>SUM(AG9:AG33)</f>
        <v>589244.41</v>
      </c>
      <c r="AH8" s="110">
        <f>SUM(AH9:AH33)</f>
        <v>4535315.0319999997</v>
      </c>
      <c r="AI8" s="164" t="e">
        <f t="shared" ref="AI8:AI33" si="3">AH8/$AH$89</f>
        <v>#DIV/0!</v>
      </c>
      <c r="AJ8" s="87"/>
      <c r="AK8" s="109">
        <f>SUM(AK9:AK33)</f>
        <v>668591.36199999996</v>
      </c>
      <c r="AL8" s="109">
        <f>SUM(AL9:AL33)</f>
        <v>201280.15</v>
      </c>
      <c r="AM8" s="110">
        <f>SUM(AM9:AM33)</f>
        <v>869871.51199999999</v>
      </c>
      <c r="AN8" s="164" t="e">
        <f>AM8/$AM$89</f>
        <v>#DIV/0!</v>
      </c>
      <c r="AO8" s="87"/>
      <c r="AP8" s="109">
        <f>SUM(AP9:AP33)</f>
        <v>175471.21</v>
      </c>
      <c r="AQ8" s="109">
        <f>SUM(AQ9:AQ33)</f>
        <v>70159.965750000003</v>
      </c>
      <c r="AR8" s="110">
        <f>SUM(AR9:AR33)</f>
        <v>245631.17574999997</v>
      </c>
      <c r="AS8" s="164">
        <f>AR8/$AR$89</f>
        <v>0.94791294890440758</v>
      </c>
      <c r="AT8" s="87"/>
      <c r="AU8" s="109">
        <f>SUM(AU9:AU33)</f>
        <v>707131.95599999989</v>
      </c>
      <c r="AV8" s="109">
        <f>SUM(AV9:AV33)</f>
        <v>204596.8</v>
      </c>
      <c r="AW8" s="110">
        <f>SUM(AW9:AW33)</f>
        <v>911728.75599999994</v>
      </c>
      <c r="AX8" s="164" t="e">
        <f>AW8/$AW$89</f>
        <v>#DIV/0!</v>
      </c>
      <c r="AY8" s="87"/>
      <c r="AZ8" s="109">
        <f>SUM(AZ9:AZ33)</f>
        <v>59383.500000000073</v>
      </c>
      <c r="BA8" s="109">
        <f>SUM(BA9:BA33)</f>
        <v>265187.08424999961</v>
      </c>
      <c r="BB8" s="110">
        <f>SUM(BB9:BB33)</f>
        <v>324570.58424999967</v>
      </c>
      <c r="BC8" s="164" t="e">
        <f>BB8/$AW$89</f>
        <v>#DIV/0!</v>
      </c>
      <c r="BD8" s="87"/>
      <c r="BE8" s="109">
        <f>SUM(BE9:BE33)</f>
        <v>0</v>
      </c>
      <c r="BF8" s="109">
        <f>SUM(BF9:BF33)</f>
        <v>28000</v>
      </c>
      <c r="BG8" s="110">
        <f>SUM(BG9:BG33)</f>
        <v>28000</v>
      </c>
      <c r="BH8" s="164">
        <f t="shared" ref="BH8:BH33" si="4">BG8/$BG$89</f>
        <v>7.4388024665703864E-2</v>
      </c>
      <c r="BI8" s="87"/>
      <c r="BJ8" s="109">
        <f>SUM(BJ9:BJ33)</f>
        <v>16727021.5</v>
      </c>
      <c r="BK8" s="109">
        <f>SUM(BK9:BK33)</f>
        <v>3534599.33</v>
      </c>
      <c r="BL8" s="110">
        <f>SUM(BL9:BL33)</f>
        <v>20261620.829999998</v>
      </c>
      <c r="BM8" s="164" t="e">
        <f t="shared" ref="BM8:BM23" si="5">BL8/$BL$89</f>
        <v>#DIV/0!</v>
      </c>
      <c r="BN8" s="87"/>
      <c r="BO8" s="1"/>
      <c r="BP8" s="842"/>
      <c r="BQ8" s="842"/>
      <c r="BR8" s="1"/>
      <c r="BS8" s="1"/>
      <c r="BT8" s="1"/>
    </row>
    <row r="9" spans="1:72" s="2" customFormat="1" ht="27.6">
      <c r="A9" s="238"/>
      <c r="B9" s="481" t="s">
        <v>74</v>
      </c>
      <c r="C9" s="482">
        <v>356212.5</v>
      </c>
      <c r="D9" s="483"/>
      <c r="E9" s="484">
        <f t="shared" ref="E9:E33" si="6">C9+D9</f>
        <v>356212.5</v>
      </c>
      <c r="F9" s="485">
        <f t="shared" si="0"/>
        <v>1.8030539553058819E-2</v>
      </c>
      <c r="G9" s="488"/>
      <c r="H9" s="488"/>
      <c r="I9" s="489">
        <f>G9+H9*1</f>
        <v>0</v>
      </c>
      <c r="J9" s="485">
        <f t="shared" si="1"/>
        <v>0</v>
      </c>
      <c r="K9" s="490"/>
      <c r="L9" s="488">
        <v>26565</v>
      </c>
      <c r="M9" s="488"/>
      <c r="N9" s="489">
        <f>L9+M9*1</f>
        <v>26565</v>
      </c>
      <c r="O9" s="485">
        <f t="shared" si="2"/>
        <v>2.1737482967739835E-2</v>
      </c>
      <c r="P9" s="491" t="s">
        <v>569</v>
      </c>
      <c r="Q9" s="488">
        <v>36418.199999999997</v>
      </c>
      <c r="R9" s="488"/>
      <c r="S9" s="489">
        <f>Q9+R9*1</f>
        <v>36418.199999999997</v>
      </c>
      <c r="T9" s="485">
        <f>S9/$S$89</f>
        <v>5.1729986057834215E-3</v>
      </c>
      <c r="U9" s="862" t="s">
        <v>713</v>
      </c>
      <c r="V9" s="488">
        <v>43981.98</v>
      </c>
      <c r="W9" s="488"/>
      <c r="X9" s="489">
        <f>V9+W9*1</f>
        <v>43981.98</v>
      </c>
      <c r="Y9" s="485">
        <f>X9/$X$89</f>
        <v>1.7875012092874815E-2</v>
      </c>
      <c r="Z9" s="862" t="s">
        <v>722</v>
      </c>
      <c r="AA9" s="488">
        <v>72556</v>
      </c>
      <c r="AB9" s="488"/>
      <c r="AC9" s="489">
        <f>AA9+AB9*1</f>
        <v>72556</v>
      </c>
      <c r="AD9" s="485">
        <f>AC9/$AC$89</f>
        <v>2.5438517159592125E-2</v>
      </c>
      <c r="AE9" s="862" t="s">
        <v>787</v>
      </c>
      <c r="AF9" s="488">
        <v>71416.45</v>
      </c>
      <c r="AG9" s="488"/>
      <c r="AH9" s="489">
        <f>AF9+AG9*1</f>
        <v>71416.45</v>
      </c>
      <c r="AI9" s="485" t="e">
        <f>AH9/$AH$89</f>
        <v>#DIV/0!</v>
      </c>
      <c r="AJ9" s="862" t="s">
        <v>846</v>
      </c>
      <c r="AK9" s="488">
        <v>32767.200000000001</v>
      </c>
      <c r="AL9" s="488"/>
      <c r="AM9" s="489">
        <f>AK9+AL9*1</f>
        <v>32767.200000000001</v>
      </c>
      <c r="AN9" s="485" t="e">
        <f t="shared" ref="AN9:AN33" si="7">AM9/$AM$89</f>
        <v>#DIV/0!</v>
      </c>
      <c r="AO9" s="862" t="s">
        <v>869</v>
      </c>
      <c r="AP9" s="488">
        <v>7088.6</v>
      </c>
      <c r="AQ9" s="488"/>
      <c r="AR9" s="489">
        <f>AP9+AQ9*1</f>
        <v>7088.6</v>
      </c>
      <c r="AS9" s="485">
        <f t="shared" ref="AS9:AS72" si="8">AR9/$AR$89</f>
        <v>2.7355549266444387E-2</v>
      </c>
      <c r="AT9" s="862" t="s">
        <v>893</v>
      </c>
      <c r="AU9" s="488"/>
      <c r="AV9" s="488"/>
      <c r="AW9" s="489">
        <f>AU9+AV9*1</f>
        <v>0</v>
      </c>
      <c r="AX9" s="485" t="e">
        <f t="shared" ref="AX9:AX33" si="9">AW9/$AW$89</f>
        <v>#DIV/0!</v>
      </c>
      <c r="AY9" s="862"/>
      <c r="AZ9" s="39">
        <v>39099.570000000007</v>
      </c>
      <c r="BA9" s="39"/>
      <c r="BB9" s="489">
        <f>AZ9+BA9*1</f>
        <v>39099.570000000007</v>
      </c>
      <c r="BC9" s="485" t="e">
        <f t="shared" ref="BC9:BC33" si="10">BB9/$AW$89</f>
        <v>#DIV/0!</v>
      </c>
      <c r="BD9" s="862"/>
      <c r="BE9" s="39"/>
      <c r="BF9" s="39"/>
      <c r="BG9" s="489">
        <f>BE9+BF9*1</f>
        <v>0</v>
      </c>
      <c r="BH9" s="485">
        <f t="shared" si="4"/>
        <v>0</v>
      </c>
      <c r="BI9" s="862"/>
      <c r="BJ9" s="39">
        <f t="shared" ref="BJ9:BJ33" si="11">G9+L9+Q9+V9+AA9+AF9+AK9+AP9+AU9+AZ9+BE9</f>
        <v>329893</v>
      </c>
      <c r="BK9" s="39">
        <f t="shared" ref="BK9:BK33" si="12">H9+M9+R9+W9+AB9+AG9+AL9+AQ9+AV9+BA9+BF9</f>
        <v>0</v>
      </c>
      <c r="BL9" s="210">
        <f>BJ9+BK9*1</f>
        <v>329893</v>
      </c>
      <c r="BM9" s="178" t="e">
        <f t="shared" si="5"/>
        <v>#DIV/0!</v>
      </c>
      <c r="BN9" s="42"/>
      <c r="BO9" s="1"/>
      <c r="BP9" s="842"/>
      <c r="BQ9" s="842"/>
      <c r="BR9" s="1"/>
      <c r="BS9" s="1"/>
      <c r="BT9" s="1"/>
    </row>
    <row r="10" spans="1:72" s="2" customFormat="1" ht="13.8">
      <c r="A10" s="238"/>
      <c r="B10" s="492" t="s">
        <v>72</v>
      </c>
      <c r="C10" s="111">
        <v>86287.5</v>
      </c>
      <c r="D10" s="493"/>
      <c r="E10" s="446">
        <f t="shared" si="6"/>
        <v>86287.5</v>
      </c>
      <c r="F10" s="447">
        <f t="shared" si="0"/>
        <v>4.3676462271384714E-3</v>
      </c>
      <c r="G10" s="452"/>
      <c r="H10" s="452"/>
      <c r="I10" s="453">
        <f t="shared" ref="I10:I33" si="13">G10+H10*1</f>
        <v>0</v>
      </c>
      <c r="J10" s="450">
        <f t="shared" si="1"/>
        <v>0</v>
      </c>
      <c r="K10" s="456"/>
      <c r="L10" s="452">
        <v>6435</v>
      </c>
      <c r="M10" s="452"/>
      <c r="N10" s="453">
        <f t="shared" ref="N10:N33" si="14">L10+M10*1</f>
        <v>6435</v>
      </c>
      <c r="O10" s="450">
        <f t="shared" si="2"/>
        <v>5.2656014642351147E-3</v>
      </c>
      <c r="P10" s="460"/>
      <c r="Q10" s="452">
        <v>8821.7999999999993</v>
      </c>
      <c r="R10" s="452"/>
      <c r="S10" s="453">
        <f t="shared" ref="S10:S24" si="15">Q10+R10*1</f>
        <v>8821.7999999999993</v>
      </c>
      <c r="T10" s="450">
        <f>S10/$S$89</f>
        <v>1.2530866187922573E-3</v>
      </c>
      <c r="U10" s="714"/>
      <c r="V10" s="452">
        <v>15102.85</v>
      </c>
      <c r="W10" s="452"/>
      <c r="X10" s="453">
        <f t="shared" ref="X10:X30" si="16">V10+W10*1</f>
        <v>15102.85</v>
      </c>
      <c r="Y10" s="450">
        <f t="shared" ref="Y10:Y33" si="17">X10/$X$89</f>
        <v>6.1380507741323692E-3</v>
      </c>
      <c r="Z10" s="714"/>
      <c r="AA10" s="452">
        <v>17576</v>
      </c>
      <c r="AB10" s="452"/>
      <c r="AC10" s="592">
        <f t="shared" ref="AC10:AC30" si="18">AA10+AB10*1</f>
        <v>17576</v>
      </c>
      <c r="AD10" s="541">
        <f t="shared" ref="AD10:AD33" si="19">AC10/$AC$89</f>
        <v>6.1622385136582943E-3</v>
      </c>
      <c r="AE10" s="714"/>
      <c r="AF10" s="452">
        <v>18135.05</v>
      </c>
      <c r="AG10" s="452"/>
      <c r="AH10" s="592">
        <f t="shared" ref="AH10:AH30" si="20">AF10+AG10*1</f>
        <v>18135.05</v>
      </c>
      <c r="AI10" s="450" t="e">
        <f t="shared" si="3"/>
        <v>#DIV/0!</v>
      </c>
      <c r="AJ10" s="714"/>
      <c r="AK10" s="452">
        <v>9742.34</v>
      </c>
      <c r="AL10" s="452"/>
      <c r="AM10" s="592">
        <f t="shared" ref="AM10:AM30" si="21">AK10+AL10*1</f>
        <v>9742.34</v>
      </c>
      <c r="AN10" s="450" t="e">
        <f t="shared" si="7"/>
        <v>#DIV/0!</v>
      </c>
      <c r="AO10" s="714"/>
      <c r="AP10" s="452">
        <v>1717.11</v>
      </c>
      <c r="AQ10" s="452"/>
      <c r="AR10" s="592">
        <f t="shared" ref="AR10:AR30" si="22">AP10+AQ10*1</f>
        <v>1717.11</v>
      </c>
      <c r="AS10" s="450">
        <f t="shared" si="8"/>
        <v>6.626482972787901E-3</v>
      </c>
      <c r="AT10" s="714"/>
      <c r="AU10" s="452"/>
      <c r="AV10" s="452"/>
      <c r="AW10" s="592">
        <f t="shared" ref="AW10:AW30" si="23">AU10+AV10*1</f>
        <v>0</v>
      </c>
      <c r="AX10" s="450" t="e">
        <f t="shared" si="9"/>
        <v>#DIV/0!</v>
      </c>
      <c r="AY10" s="714"/>
      <c r="AZ10" s="39">
        <v>-4449.1499999999942</v>
      </c>
      <c r="BA10" s="39">
        <v>0</v>
      </c>
      <c r="BB10" s="592">
        <f t="shared" ref="BB10:BB30" si="24">AZ10+BA10*1</f>
        <v>-4449.1499999999942</v>
      </c>
      <c r="BC10" s="450" t="e">
        <f t="shared" si="10"/>
        <v>#DIV/0!</v>
      </c>
      <c r="BD10" s="714"/>
      <c r="BE10" s="39"/>
      <c r="BF10" s="39"/>
      <c r="BG10" s="592">
        <f t="shared" ref="BG10:BG30" si="25">BE10+BF10*1</f>
        <v>0</v>
      </c>
      <c r="BH10" s="450">
        <f t="shared" si="4"/>
        <v>0</v>
      </c>
      <c r="BI10" s="714"/>
      <c r="BJ10" s="39">
        <f t="shared" si="11"/>
        <v>73081</v>
      </c>
      <c r="BK10" s="39">
        <f t="shared" si="12"/>
        <v>0</v>
      </c>
      <c r="BL10" s="210">
        <f t="shared" ref="BL10:BL33" si="26">BJ10+BK10*1</f>
        <v>73081</v>
      </c>
      <c r="BM10" s="178" t="e">
        <f t="shared" si="5"/>
        <v>#DIV/0!</v>
      </c>
      <c r="BN10" s="42"/>
      <c r="BO10" s="1"/>
      <c r="BP10" s="842"/>
      <c r="BQ10" s="842"/>
      <c r="BR10" s="1"/>
      <c r="BS10" s="1"/>
      <c r="BT10" s="1"/>
    </row>
    <row r="11" spans="1:72" s="2" customFormat="1" ht="13.8">
      <c r="A11" s="238"/>
      <c r="B11" s="492" t="s">
        <v>69</v>
      </c>
      <c r="C11" s="111">
        <v>97350</v>
      </c>
      <c r="D11" s="493"/>
      <c r="E11" s="446">
        <f t="shared" si="6"/>
        <v>97350</v>
      </c>
      <c r="F11" s="447">
        <f t="shared" si="0"/>
        <v>4.927600871643404E-3</v>
      </c>
      <c r="G11" s="452"/>
      <c r="H11" s="452"/>
      <c r="I11" s="453">
        <f t="shared" si="13"/>
        <v>0</v>
      </c>
      <c r="J11" s="450">
        <f t="shared" si="1"/>
        <v>0</v>
      </c>
      <c r="K11" s="456"/>
      <c r="L11" s="452">
        <v>7260</v>
      </c>
      <c r="M11" s="452"/>
      <c r="N11" s="453">
        <f t="shared" si="14"/>
        <v>7260</v>
      </c>
      <c r="O11" s="450">
        <f t="shared" si="2"/>
        <v>5.9406785750344884E-3</v>
      </c>
      <c r="P11" s="460"/>
      <c r="Q11" s="452">
        <v>9952.7999999999993</v>
      </c>
      <c r="R11" s="452"/>
      <c r="S11" s="453">
        <f t="shared" si="15"/>
        <v>9952.7999999999993</v>
      </c>
      <c r="T11" s="450">
        <f t="shared" ref="T11:T33" si="27">S11/$S$89</f>
        <v>1.4137387494066493E-3</v>
      </c>
      <c r="U11" s="714"/>
      <c r="V11" s="452">
        <f>17039.11</f>
        <v>17039.11</v>
      </c>
      <c r="W11" s="452"/>
      <c r="X11" s="453">
        <f t="shared" si="16"/>
        <v>17039.11</v>
      </c>
      <c r="Y11" s="450">
        <f t="shared" si="17"/>
        <v>6.9249792142560239E-3</v>
      </c>
      <c r="Z11" s="714"/>
      <c r="AA11" s="452">
        <v>19829</v>
      </c>
      <c r="AB11" s="452"/>
      <c r="AC11" s="453">
        <f t="shared" si="18"/>
        <v>19829</v>
      </c>
      <c r="AD11" s="541">
        <f t="shared" si="19"/>
        <v>6.9521522239036366E-3</v>
      </c>
      <c r="AE11" s="714"/>
      <c r="AF11" s="452">
        <v>20460.09</v>
      </c>
      <c r="AG11" s="452"/>
      <c r="AH11" s="453">
        <f t="shared" si="20"/>
        <v>20460.09</v>
      </c>
      <c r="AI11" s="450" t="e">
        <f t="shared" si="3"/>
        <v>#DIV/0!</v>
      </c>
      <c r="AJ11" s="714"/>
      <c r="AK11" s="452">
        <v>10991.35</v>
      </c>
      <c r="AL11" s="452"/>
      <c r="AM11" s="453">
        <f t="shared" si="21"/>
        <v>10991.35</v>
      </c>
      <c r="AN11" s="450" t="e">
        <f t="shared" si="7"/>
        <v>#DIV/0!</v>
      </c>
      <c r="AO11" s="714"/>
      <c r="AP11" s="452">
        <v>1937.26</v>
      </c>
      <c r="AQ11" s="452"/>
      <c r="AR11" s="453">
        <f t="shared" si="22"/>
        <v>1937.26</v>
      </c>
      <c r="AS11" s="450">
        <f t="shared" si="8"/>
        <v>7.4760617571751897E-3</v>
      </c>
      <c r="AT11" s="714"/>
      <c r="AU11" s="452"/>
      <c r="AV11" s="452"/>
      <c r="AW11" s="453">
        <f t="shared" si="23"/>
        <v>0</v>
      </c>
      <c r="AX11" s="450" t="e">
        <f t="shared" si="9"/>
        <v>#DIV/0!</v>
      </c>
      <c r="AY11" s="714"/>
      <c r="AZ11" s="39">
        <v>-5019.6100000000006</v>
      </c>
      <c r="BA11" s="39">
        <v>0</v>
      </c>
      <c r="BB11" s="453">
        <f t="shared" si="24"/>
        <v>-5019.6100000000006</v>
      </c>
      <c r="BC11" s="450" t="e">
        <f t="shared" si="10"/>
        <v>#DIV/0!</v>
      </c>
      <c r="BD11" s="714"/>
      <c r="BE11" s="39"/>
      <c r="BF11" s="39"/>
      <c r="BG11" s="453">
        <f t="shared" si="25"/>
        <v>0</v>
      </c>
      <c r="BH11" s="450">
        <f t="shared" si="4"/>
        <v>0</v>
      </c>
      <c r="BI11" s="714"/>
      <c r="BJ11" s="39">
        <f t="shared" si="11"/>
        <v>82450</v>
      </c>
      <c r="BK11" s="39">
        <f t="shared" si="12"/>
        <v>0</v>
      </c>
      <c r="BL11" s="210">
        <f t="shared" si="26"/>
        <v>82450</v>
      </c>
      <c r="BM11" s="178" t="e">
        <f t="shared" si="5"/>
        <v>#DIV/0!</v>
      </c>
      <c r="BN11" s="42"/>
      <c r="BO11" s="1"/>
      <c r="BP11" s="842"/>
      <c r="BQ11" s="842"/>
      <c r="BR11" s="1"/>
      <c r="BS11" s="1"/>
      <c r="BT11" s="1"/>
    </row>
    <row r="12" spans="1:72" s="2" customFormat="1" ht="41.4">
      <c r="A12" s="238"/>
      <c r="B12" s="492" t="s">
        <v>73</v>
      </c>
      <c r="C12" s="111">
        <v>120750</v>
      </c>
      <c r="D12" s="493">
        <v>181750</v>
      </c>
      <c r="E12" s="446">
        <f t="shared" si="6"/>
        <v>302500</v>
      </c>
      <c r="F12" s="447">
        <f t="shared" si="0"/>
        <v>1.5311754120925832E-2</v>
      </c>
      <c r="G12" s="452">
        <v>9821</v>
      </c>
      <c r="H12" s="452">
        <v>15179</v>
      </c>
      <c r="I12" s="453">
        <f t="shared" si="13"/>
        <v>25000</v>
      </c>
      <c r="J12" s="450">
        <f t="shared" si="1"/>
        <v>7.9856632326899976E-2</v>
      </c>
      <c r="K12" s="456" t="s">
        <v>473</v>
      </c>
      <c r="L12" s="452">
        <f>8211+9821</f>
        <v>18032</v>
      </c>
      <c r="M12" s="452">
        <f>11789+15179</f>
        <v>26968</v>
      </c>
      <c r="N12" s="453">
        <f t="shared" si="14"/>
        <v>45000</v>
      </c>
      <c r="O12" s="450">
        <f t="shared" si="2"/>
        <v>3.6822387861784024E-2</v>
      </c>
      <c r="P12" s="455" t="s">
        <v>623</v>
      </c>
      <c r="Q12" s="452">
        <f>9821*2+8211</f>
        <v>27853</v>
      </c>
      <c r="R12" s="452">
        <f>13123+17343.5+12789</f>
        <v>43255.5</v>
      </c>
      <c r="S12" s="453">
        <f t="shared" si="15"/>
        <v>71108.5</v>
      </c>
      <c r="T12" s="450">
        <f t="shared" si="27"/>
        <v>1.0100558823866925E-2</v>
      </c>
      <c r="U12" s="714" t="s">
        <v>638</v>
      </c>
      <c r="V12" s="452">
        <v>19711.54</v>
      </c>
      <c r="W12" s="452">
        <f>34322.77</f>
        <v>34322.769999999997</v>
      </c>
      <c r="X12" s="453">
        <f t="shared" si="16"/>
        <v>54034.31</v>
      </c>
      <c r="Y12" s="450">
        <f t="shared" si="17"/>
        <v>2.1960447089470425E-2</v>
      </c>
      <c r="Z12" s="714" t="s">
        <v>721</v>
      </c>
      <c r="AA12" s="452">
        <v>19642</v>
      </c>
      <c r="AB12" s="452">
        <v>33358</v>
      </c>
      <c r="AC12" s="453">
        <f t="shared" si="18"/>
        <v>53000</v>
      </c>
      <c r="AD12" s="541">
        <f t="shared" si="19"/>
        <v>1.858208017887401E-2</v>
      </c>
      <c r="AE12" s="714" t="s">
        <v>784</v>
      </c>
      <c r="AF12" s="452">
        <v>15383.55</v>
      </c>
      <c r="AG12" s="452">
        <f>18018+3000</f>
        <v>21018</v>
      </c>
      <c r="AH12" s="453">
        <f t="shared" si="20"/>
        <v>36401.550000000003</v>
      </c>
      <c r="AI12" s="450" t="e">
        <f t="shared" si="3"/>
        <v>#DIV/0!</v>
      </c>
      <c r="AJ12" s="714" t="s">
        <v>838</v>
      </c>
      <c r="AK12" s="452">
        <v>9982</v>
      </c>
      <c r="AL12" s="452">
        <f>18018</f>
        <v>18018</v>
      </c>
      <c r="AM12" s="453">
        <f t="shared" si="21"/>
        <v>28000</v>
      </c>
      <c r="AN12" s="450" t="e">
        <f t="shared" si="7"/>
        <v>#DIV/0!</v>
      </c>
      <c r="AO12" s="714" t="s">
        <v>868</v>
      </c>
      <c r="AP12" s="452">
        <v>9225.99</v>
      </c>
      <c r="AQ12" s="452">
        <v>18697.515749999999</v>
      </c>
      <c r="AR12" s="453">
        <f t="shared" si="22"/>
        <v>27923.505749999997</v>
      </c>
      <c r="AS12" s="450">
        <f t="shared" si="8"/>
        <v>0.10775933713793527</v>
      </c>
      <c r="AT12" s="714" t="s">
        <v>868</v>
      </c>
      <c r="AU12" s="452"/>
      <c r="AV12" s="452"/>
      <c r="AW12" s="453">
        <f t="shared" si="23"/>
        <v>0</v>
      </c>
      <c r="AX12" s="450" t="e">
        <f t="shared" si="9"/>
        <v>#DIV/0!</v>
      </c>
      <c r="AY12" s="714"/>
      <c r="AZ12" s="39">
        <v>6406.9199999999837</v>
      </c>
      <c r="BA12" s="39">
        <v>13900.214250000019</v>
      </c>
      <c r="BB12" s="453">
        <f t="shared" si="24"/>
        <v>20307.134250000003</v>
      </c>
      <c r="BC12" s="450" t="e">
        <f t="shared" si="10"/>
        <v>#DIV/0!</v>
      </c>
      <c r="BD12" s="714"/>
      <c r="BE12" s="39"/>
      <c r="BF12" s="39"/>
      <c r="BG12" s="453">
        <f t="shared" si="25"/>
        <v>0</v>
      </c>
      <c r="BH12" s="450">
        <f>BG12/$BG$89</f>
        <v>0</v>
      </c>
      <c r="BI12" s="714"/>
      <c r="BJ12" s="39">
        <f t="shared" si="11"/>
        <v>136058</v>
      </c>
      <c r="BK12" s="39">
        <f t="shared" si="12"/>
        <v>224717</v>
      </c>
      <c r="BL12" s="210">
        <f t="shared" si="26"/>
        <v>360775</v>
      </c>
      <c r="BM12" s="178" t="e">
        <f t="shared" si="5"/>
        <v>#DIV/0!</v>
      </c>
      <c r="BN12" s="42"/>
      <c r="BO12" s="1"/>
      <c r="BP12" s="842"/>
      <c r="BQ12" s="842"/>
      <c r="BR12" s="1"/>
      <c r="BS12" s="1"/>
      <c r="BT12" s="1"/>
    </row>
    <row r="13" spans="1:72" s="2" customFormat="1" ht="13.8">
      <c r="A13" s="238"/>
      <c r="B13" s="492" t="s">
        <v>71</v>
      </c>
      <c r="C13" s="111">
        <v>29250</v>
      </c>
      <c r="D13" s="493"/>
      <c r="E13" s="446">
        <f t="shared" si="6"/>
        <v>29250</v>
      </c>
      <c r="F13" s="447">
        <f t="shared" si="0"/>
        <v>1.4805580430977871E-3</v>
      </c>
      <c r="G13" s="452">
        <v>2379</v>
      </c>
      <c r="H13" s="452"/>
      <c r="I13" s="453">
        <f t="shared" si="13"/>
        <v>2379</v>
      </c>
      <c r="J13" s="450">
        <f t="shared" si="1"/>
        <v>7.5991571322278012E-3</v>
      </c>
      <c r="K13" s="456"/>
      <c r="L13" s="452">
        <f>1989+2379+2379</f>
        <v>6747</v>
      </c>
      <c r="M13" s="452"/>
      <c r="N13" s="453">
        <f t="shared" si="14"/>
        <v>6747</v>
      </c>
      <c r="O13" s="450">
        <f t="shared" si="2"/>
        <v>5.5209033534101507E-3</v>
      </c>
      <c r="P13" s="465"/>
      <c r="Q13" s="452">
        <f>2379*2+2244</f>
        <v>7002</v>
      </c>
      <c r="R13" s="452"/>
      <c r="S13" s="453">
        <f t="shared" si="15"/>
        <v>7002</v>
      </c>
      <c r="T13" s="450">
        <f t="shared" si="27"/>
        <v>9.9459435770289347E-4</v>
      </c>
      <c r="U13" s="714"/>
      <c r="V13" s="452">
        <v>4774.84</v>
      </c>
      <c r="W13" s="452"/>
      <c r="X13" s="453">
        <f t="shared" si="16"/>
        <v>4774.84</v>
      </c>
      <c r="Y13" s="450">
        <f t="shared" si="17"/>
        <v>1.9405748159028397E-3</v>
      </c>
      <c r="Z13" s="714"/>
      <c r="AA13" s="452">
        <v>4758</v>
      </c>
      <c r="AB13" s="452"/>
      <c r="AC13" s="453">
        <f t="shared" si="18"/>
        <v>4758</v>
      </c>
      <c r="AD13" s="541">
        <f t="shared" si="19"/>
        <v>1.6681799526619347E-3</v>
      </c>
      <c r="AE13" s="714"/>
      <c r="AF13" s="452">
        <v>4002.79</v>
      </c>
      <c r="AG13" s="452"/>
      <c r="AH13" s="453">
        <f t="shared" si="20"/>
        <v>4002.79</v>
      </c>
      <c r="AI13" s="450" t="e">
        <f t="shared" si="3"/>
        <v>#DIV/0!</v>
      </c>
      <c r="AJ13" s="714"/>
      <c r="AK13" s="452">
        <v>2418</v>
      </c>
      <c r="AL13" s="452"/>
      <c r="AM13" s="453">
        <f t="shared" si="21"/>
        <v>2418</v>
      </c>
      <c r="AN13" s="450" t="e">
        <f t="shared" si="7"/>
        <v>#DIV/0!</v>
      </c>
      <c r="AO13" s="714"/>
      <c r="AP13" s="452">
        <v>2234.86</v>
      </c>
      <c r="AQ13" s="452"/>
      <c r="AR13" s="453">
        <f t="shared" si="22"/>
        <v>2234.86</v>
      </c>
      <c r="AS13" s="450">
        <f t="shared" si="8"/>
        <v>8.6245271045913008E-3</v>
      </c>
      <c r="AT13" s="714"/>
      <c r="AU13" s="452"/>
      <c r="AV13" s="452"/>
      <c r="AW13" s="453">
        <f t="shared" si="23"/>
        <v>0</v>
      </c>
      <c r="AX13" s="450" t="e">
        <f t="shared" si="9"/>
        <v>#DIV/0!</v>
      </c>
      <c r="AY13" s="714"/>
      <c r="AZ13" s="39">
        <v>5649.510000000002</v>
      </c>
      <c r="BA13" s="39">
        <v>0</v>
      </c>
      <c r="BB13" s="453">
        <f t="shared" si="24"/>
        <v>5649.510000000002</v>
      </c>
      <c r="BC13" s="450" t="e">
        <f t="shared" si="10"/>
        <v>#DIV/0!</v>
      </c>
      <c r="BD13" s="714"/>
      <c r="BE13" s="39"/>
      <c r="BF13" s="39"/>
      <c r="BG13" s="453">
        <f t="shared" si="25"/>
        <v>0</v>
      </c>
      <c r="BH13" s="450">
        <f t="shared" si="4"/>
        <v>0</v>
      </c>
      <c r="BI13" s="714"/>
      <c r="BJ13" s="39">
        <f t="shared" si="11"/>
        <v>39966</v>
      </c>
      <c r="BK13" s="39">
        <f t="shared" si="12"/>
        <v>0</v>
      </c>
      <c r="BL13" s="210">
        <f t="shared" si="26"/>
        <v>39966</v>
      </c>
      <c r="BM13" s="178" t="e">
        <f t="shared" si="5"/>
        <v>#DIV/0!</v>
      </c>
      <c r="BN13" s="42"/>
      <c r="BO13" s="1"/>
      <c r="BP13" s="842"/>
      <c r="BQ13" s="842"/>
      <c r="BR13" s="1"/>
      <c r="BS13" s="1"/>
      <c r="BT13" s="1"/>
    </row>
    <row r="14" spans="1:72" s="2" customFormat="1" ht="13.8">
      <c r="A14" s="238"/>
      <c r="B14" s="492" t="s">
        <v>70</v>
      </c>
      <c r="C14" s="111">
        <v>33000</v>
      </c>
      <c r="D14" s="493"/>
      <c r="E14" s="446">
        <f t="shared" si="6"/>
        <v>33000</v>
      </c>
      <c r="F14" s="447">
        <f t="shared" si="0"/>
        <v>1.6703731768282725E-3</v>
      </c>
      <c r="G14" s="452">
        <v>2684</v>
      </c>
      <c r="H14" s="452"/>
      <c r="I14" s="453">
        <f t="shared" si="13"/>
        <v>2684</v>
      </c>
      <c r="J14" s="450">
        <f t="shared" si="1"/>
        <v>8.5734080466159813E-3</v>
      </c>
      <c r="K14" s="456"/>
      <c r="L14" s="452">
        <f>2244+2684+2684</f>
        <v>7612</v>
      </c>
      <c r="M14" s="452"/>
      <c r="N14" s="453">
        <f t="shared" si="14"/>
        <v>7612</v>
      </c>
      <c r="O14" s="450">
        <f t="shared" si="2"/>
        <v>6.2287114756422214E-3</v>
      </c>
      <c r="P14" s="465"/>
      <c r="Q14" s="452">
        <f>2684*2+2244</f>
        <v>7612</v>
      </c>
      <c r="R14" s="452"/>
      <c r="S14" s="453">
        <f t="shared" si="15"/>
        <v>7612</v>
      </c>
      <c r="T14" s="450">
        <f t="shared" si="27"/>
        <v>1.0812413954347938E-3</v>
      </c>
      <c r="U14" s="714"/>
      <c r="V14" s="452">
        <v>5387</v>
      </c>
      <c r="W14" s="452"/>
      <c r="X14" s="453">
        <f t="shared" si="16"/>
        <v>5387</v>
      </c>
      <c r="Y14" s="450">
        <f t="shared" si="17"/>
        <v>2.1893668758049688E-3</v>
      </c>
      <c r="Z14" s="714"/>
      <c r="AA14" s="452">
        <v>5368</v>
      </c>
      <c r="AB14" s="452"/>
      <c r="AC14" s="453">
        <f t="shared" si="18"/>
        <v>5368</v>
      </c>
      <c r="AD14" s="541">
        <f t="shared" si="19"/>
        <v>1.8820491773621829E-3</v>
      </c>
      <c r="AE14" s="714"/>
      <c r="AF14" s="452">
        <v>4515.97</v>
      </c>
      <c r="AG14" s="452"/>
      <c r="AH14" s="453">
        <f t="shared" si="20"/>
        <v>4515.97</v>
      </c>
      <c r="AI14" s="450" t="e">
        <f t="shared" si="3"/>
        <v>#DIV/0!</v>
      </c>
      <c r="AJ14" s="714"/>
      <c r="AK14" s="452">
        <v>2728</v>
      </c>
      <c r="AL14" s="452"/>
      <c r="AM14" s="453">
        <f t="shared" si="21"/>
        <v>2728</v>
      </c>
      <c r="AN14" s="450" t="e">
        <f t="shared" si="7"/>
        <v>#DIV/0!</v>
      </c>
      <c r="AO14" s="714"/>
      <c r="AP14" s="452">
        <v>2521.39</v>
      </c>
      <c r="AQ14" s="452"/>
      <c r="AR14" s="453">
        <f t="shared" si="22"/>
        <v>2521.39</v>
      </c>
      <c r="AS14" s="450">
        <f t="shared" si="8"/>
        <v>9.7302723196287279E-3</v>
      </c>
      <c r="AT14" s="714"/>
      <c r="AU14" s="452"/>
      <c r="AV14" s="452"/>
      <c r="AW14" s="453">
        <f t="shared" si="23"/>
        <v>0</v>
      </c>
      <c r="AX14" s="450" t="e">
        <f t="shared" si="9"/>
        <v>#DIV/0!</v>
      </c>
      <c r="AY14" s="714"/>
      <c r="AZ14" s="39">
        <v>5961.6399999999994</v>
      </c>
      <c r="BA14" s="39">
        <v>0</v>
      </c>
      <c r="BB14" s="453">
        <f t="shared" si="24"/>
        <v>5961.6399999999994</v>
      </c>
      <c r="BC14" s="450" t="e">
        <f t="shared" si="10"/>
        <v>#DIV/0!</v>
      </c>
      <c r="BD14" s="714"/>
      <c r="BE14" s="39"/>
      <c r="BF14" s="39"/>
      <c r="BG14" s="453">
        <f t="shared" si="25"/>
        <v>0</v>
      </c>
      <c r="BH14" s="450">
        <f t="shared" si="4"/>
        <v>0</v>
      </c>
      <c r="BI14" s="714"/>
      <c r="BJ14" s="39">
        <f t="shared" si="11"/>
        <v>44390</v>
      </c>
      <c r="BK14" s="39">
        <f t="shared" si="12"/>
        <v>0</v>
      </c>
      <c r="BL14" s="210">
        <f t="shared" si="26"/>
        <v>44390</v>
      </c>
      <c r="BM14" s="178" t="e">
        <f t="shared" si="5"/>
        <v>#DIV/0!</v>
      </c>
      <c r="BN14" s="42"/>
      <c r="BO14" s="1"/>
      <c r="BP14" s="842"/>
      <c r="BQ14" s="842"/>
      <c r="BR14" s="1"/>
      <c r="BS14" s="1"/>
      <c r="BT14" s="1"/>
    </row>
    <row r="15" spans="1:72" s="2" customFormat="1" ht="13.8">
      <c r="A15" s="238"/>
      <c r="B15" s="471" t="s">
        <v>20</v>
      </c>
      <c r="C15" s="111"/>
      <c r="D15" s="445"/>
      <c r="E15" s="446">
        <f t="shared" si="6"/>
        <v>0</v>
      </c>
      <c r="F15" s="447">
        <f t="shared" si="0"/>
        <v>0</v>
      </c>
      <c r="G15" s="452"/>
      <c r="H15" s="452"/>
      <c r="I15" s="453">
        <f t="shared" si="13"/>
        <v>0</v>
      </c>
      <c r="J15" s="450">
        <f t="shared" si="1"/>
        <v>0</v>
      </c>
      <c r="K15" s="456"/>
      <c r="L15" s="452"/>
      <c r="M15" s="452"/>
      <c r="N15" s="453">
        <f t="shared" si="14"/>
        <v>0</v>
      </c>
      <c r="O15" s="450">
        <f t="shared" si="2"/>
        <v>0</v>
      </c>
      <c r="P15" s="465"/>
      <c r="Q15" s="452"/>
      <c r="R15" s="452"/>
      <c r="S15" s="453">
        <f t="shared" si="15"/>
        <v>0</v>
      </c>
      <c r="T15" s="450">
        <f t="shared" si="27"/>
        <v>0</v>
      </c>
      <c r="U15" s="714"/>
      <c r="V15" s="452"/>
      <c r="W15" s="452"/>
      <c r="X15" s="453">
        <f t="shared" si="16"/>
        <v>0</v>
      </c>
      <c r="Y15" s="450">
        <f t="shared" si="17"/>
        <v>0</v>
      </c>
      <c r="Z15" s="714"/>
      <c r="AA15" s="452"/>
      <c r="AB15" s="452"/>
      <c r="AC15" s="453">
        <f t="shared" si="18"/>
        <v>0</v>
      </c>
      <c r="AD15" s="541">
        <f t="shared" si="19"/>
        <v>0</v>
      </c>
      <c r="AE15" s="714"/>
      <c r="AF15" s="452"/>
      <c r="AG15" s="452"/>
      <c r="AH15" s="453">
        <f t="shared" si="20"/>
        <v>0</v>
      </c>
      <c r="AI15" s="450" t="e">
        <f t="shared" si="3"/>
        <v>#DIV/0!</v>
      </c>
      <c r="AJ15" s="714"/>
      <c r="AK15" s="452"/>
      <c r="AL15" s="452">
        <v>6000</v>
      </c>
      <c r="AM15" s="453">
        <f t="shared" si="21"/>
        <v>6000</v>
      </c>
      <c r="AN15" s="450" t="e">
        <f t="shared" si="7"/>
        <v>#DIV/0!</v>
      </c>
      <c r="AO15" s="714"/>
      <c r="AP15" s="452"/>
      <c r="AQ15" s="452">
        <v>16000</v>
      </c>
      <c r="AR15" s="453">
        <f t="shared" si="22"/>
        <v>16000</v>
      </c>
      <c r="AS15" s="450">
        <f t="shared" si="8"/>
        <v>6.1745448785812451E-2</v>
      </c>
      <c r="AT15" s="714"/>
      <c r="AU15" s="452"/>
      <c r="AV15" s="452">
        <v>4000</v>
      </c>
      <c r="AW15" s="453">
        <f t="shared" si="23"/>
        <v>4000</v>
      </c>
      <c r="AX15" s="450" t="e">
        <f t="shared" si="9"/>
        <v>#DIV/0!</v>
      </c>
      <c r="AY15" s="714"/>
      <c r="AZ15" s="39">
        <v>0</v>
      </c>
      <c r="BA15" s="39">
        <v>600</v>
      </c>
      <c r="BB15" s="453">
        <f t="shared" si="24"/>
        <v>600</v>
      </c>
      <c r="BC15" s="450" t="e">
        <f t="shared" si="10"/>
        <v>#DIV/0!</v>
      </c>
      <c r="BD15" s="714"/>
      <c r="BE15" s="39"/>
      <c r="BF15" s="39"/>
      <c r="BG15" s="453">
        <f t="shared" si="25"/>
        <v>0</v>
      </c>
      <c r="BH15" s="450">
        <f t="shared" si="4"/>
        <v>0</v>
      </c>
      <c r="BI15" s="714"/>
      <c r="BJ15" s="39">
        <f t="shared" si="11"/>
        <v>0</v>
      </c>
      <c r="BK15" s="39">
        <f t="shared" si="12"/>
        <v>26600</v>
      </c>
      <c r="BL15" s="210">
        <f t="shared" si="26"/>
        <v>26600</v>
      </c>
      <c r="BM15" s="178" t="e">
        <f t="shared" si="5"/>
        <v>#DIV/0!</v>
      </c>
      <c r="BN15" s="42"/>
      <c r="BO15" s="1"/>
      <c r="BP15" s="842"/>
      <c r="BQ15" s="842"/>
      <c r="BR15" s="1"/>
      <c r="BS15" s="1"/>
      <c r="BT15" s="1"/>
    </row>
    <row r="16" spans="1:72" s="2" customFormat="1" ht="69">
      <c r="A16" s="292"/>
      <c r="B16" s="471" t="s">
        <v>21</v>
      </c>
      <c r="C16" s="111"/>
      <c r="D16" s="445">
        <v>2153676.4700000002</v>
      </c>
      <c r="E16" s="446">
        <f t="shared" si="6"/>
        <v>2153676.4700000002</v>
      </c>
      <c r="F16" s="447">
        <f t="shared" si="0"/>
        <v>0.10901343657740001</v>
      </c>
      <c r="G16" s="452"/>
      <c r="H16" s="452"/>
      <c r="I16" s="453">
        <f t="shared" si="13"/>
        <v>0</v>
      </c>
      <c r="J16" s="450">
        <f t="shared" si="1"/>
        <v>0</v>
      </c>
      <c r="K16" s="456"/>
      <c r="L16" s="452"/>
      <c r="M16" s="452">
        <v>46800</v>
      </c>
      <c r="N16" s="453">
        <f t="shared" si="14"/>
        <v>46800</v>
      </c>
      <c r="O16" s="450">
        <f t="shared" si="2"/>
        <v>3.829528337625538E-2</v>
      </c>
      <c r="P16" s="455" t="s">
        <v>560</v>
      </c>
      <c r="Q16" s="452"/>
      <c r="R16" s="452">
        <f>87099+99499+171217.5+19800+23100+27070</f>
        <v>427785.5</v>
      </c>
      <c r="S16" s="453">
        <f t="shared" si="15"/>
        <v>427785.5</v>
      </c>
      <c r="T16" s="450">
        <f t="shared" si="27"/>
        <v>6.0764502228950468E-2</v>
      </c>
      <c r="U16" s="714" t="s">
        <v>685</v>
      </c>
      <c r="V16" s="452"/>
      <c r="W16" s="452">
        <f>264785</f>
        <v>264785</v>
      </c>
      <c r="X16" s="453">
        <f t="shared" si="16"/>
        <v>264785</v>
      </c>
      <c r="Y16" s="450">
        <f t="shared" si="17"/>
        <v>0.10761305145907159</v>
      </c>
      <c r="Z16" s="714" t="s">
        <v>771</v>
      </c>
      <c r="AA16" s="452"/>
      <c r="AB16" s="452">
        <f>717869.58+86000</f>
        <v>803869.58</v>
      </c>
      <c r="AC16" s="453">
        <f t="shared" si="18"/>
        <v>803869.58</v>
      </c>
      <c r="AD16" s="541">
        <f t="shared" si="19"/>
        <v>0.28184092431920332</v>
      </c>
      <c r="AE16" s="714" t="s">
        <v>854</v>
      </c>
      <c r="AF16" s="452"/>
      <c r="AG16" s="452">
        <f>28418+34520+59100+35241.41+48004+164592+54765+60960</f>
        <v>485600.41000000003</v>
      </c>
      <c r="AH16" s="453">
        <f t="shared" si="20"/>
        <v>485600.41000000003</v>
      </c>
      <c r="AI16" s="450" t="e">
        <f t="shared" si="3"/>
        <v>#DIV/0!</v>
      </c>
      <c r="AJ16" s="714" t="s">
        <v>855</v>
      </c>
      <c r="AK16" s="452"/>
      <c r="AL16" s="452">
        <f>115621.25</f>
        <v>115621.25</v>
      </c>
      <c r="AM16" s="453">
        <f t="shared" si="21"/>
        <v>115621.25</v>
      </c>
      <c r="AN16" s="450" t="e">
        <f t="shared" si="7"/>
        <v>#DIV/0!</v>
      </c>
      <c r="AO16" s="714" t="s">
        <v>874</v>
      </c>
      <c r="AP16" s="452"/>
      <c r="AQ16" s="452"/>
      <c r="AR16" s="453">
        <f t="shared" si="22"/>
        <v>0</v>
      </c>
      <c r="AS16" s="450">
        <f t="shared" si="8"/>
        <v>0</v>
      </c>
      <c r="AT16" s="714"/>
      <c r="AU16" s="452"/>
      <c r="AV16" s="452">
        <f>16920+54000+4000+111000</f>
        <v>185920</v>
      </c>
      <c r="AW16" s="453">
        <f t="shared" si="23"/>
        <v>185920</v>
      </c>
      <c r="AX16" s="450" t="e">
        <f t="shared" si="9"/>
        <v>#DIV/0!</v>
      </c>
      <c r="AY16" s="714" t="s">
        <v>920</v>
      </c>
      <c r="AZ16" s="39">
        <v>0</v>
      </c>
      <c r="BA16" s="39">
        <v>251814.30999999959</v>
      </c>
      <c r="BB16" s="453">
        <f t="shared" si="24"/>
        <v>251814.30999999959</v>
      </c>
      <c r="BC16" s="450" t="e">
        <f t="shared" si="10"/>
        <v>#DIV/0!</v>
      </c>
      <c r="BD16" s="714"/>
      <c r="BE16" s="39"/>
      <c r="BF16" s="39"/>
      <c r="BG16" s="453">
        <f t="shared" si="25"/>
        <v>0</v>
      </c>
      <c r="BH16" s="450">
        <f t="shared" si="4"/>
        <v>0</v>
      </c>
      <c r="BI16" s="714"/>
      <c r="BJ16" s="39">
        <f t="shared" si="11"/>
        <v>0</v>
      </c>
      <c r="BK16" s="39">
        <f t="shared" si="12"/>
        <v>2582196.0499999998</v>
      </c>
      <c r="BL16" s="210">
        <f t="shared" si="26"/>
        <v>2582196.0499999998</v>
      </c>
      <c r="BM16" s="178" t="e">
        <f t="shared" si="5"/>
        <v>#DIV/0!</v>
      </c>
      <c r="BN16" s="42"/>
      <c r="BO16" s="1"/>
      <c r="BP16" s="842"/>
      <c r="BQ16" s="842"/>
      <c r="BR16" s="1"/>
      <c r="BS16" s="1"/>
      <c r="BT16" s="1"/>
    </row>
    <row r="17" spans="1:72" s="2" customFormat="1" ht="27.6">
      <c r="A17" s="238"/>
      <c r="B17" s="471" t="s">
        <v>22</v>
      </c>
      <c r="C17" s="111"/>
      <c r="D17" s="445">
        <v>2000</v>
      </c>
      <c r="E17" s="446">
        <f t="shared" si="6"/>
        <v>2000</v>
      </c>
      <c r="F17" s="447">
        <f t="shared" si="0"/>
        <v>1.0123473798959227E-4</v>
      </c>
      <c r="G17" s="452"/>
      <c r="H17" s="452"/>
      <c r="I17" s="453">
        <f t="shared" si="13"/>
        <v>0</v>
      </c>
      <c r="J17" s="450">
        <f t="shared" si="1"/>
        <v>0</v>
      </c>
      <c r="K17" s="456"/>
      <c r="L17" s="452"/>
      <c r="M17" s="452">
        <v>1000</v>
      </c>
      <c r="N17" s="453">
        <f t="shared" si="14"/>
        <v>1000</v>
      </c>
      <c r="O17" s="450">
        <f t="shared" si="2"/>
        <v>8.1827528581742272E-4</v>
      </c>
      <c r="P17" s="455" t="s">
        <v>568</v>
      </c>
      <c r="Q17" s="452"/>
      <c r="R17" s="452">
        <v>1500</v>
      </c>
      <c r="S17" s="453">
        <f t="shared" si="15"/>
        <v>1500</v>
      </c>
      <c r="T17" s="450">
        <f t="shared" si="27"/>
        <v>2.1306648622598405E-4</v>
      </c>
      <c r="U17" s="714" t="s">
        <v>698</v>
      </c>
      <c r="V17" s="452"/>
      <c r="W17" s="452"/>
      <c r="X17" s="453">
        <f t="shared" si="16"/>
        <v>0</v>
      </c>
      <c r="Y17" s="450">
        <f t="shared" si="17"/>
        <v>0</v>
      </c>
      <c r="Z17" s="714"/>
      <c r="AA17" s="452"/>
      <c r="AB17" s="452"/>
      <c r="AC17" s="453">
        <f t="shared" si="18"/>
        <v>0</v>
      </c>
      <c r="AD17" s="541">
        <f t="shared" si="19"/>
        <v>0</v>
      </c>
      <c r="AE17" s="714"/>
      <c r="AF17" s="452"/>
      <c r="AG17" s="452"/>
      <c r="AH17" s="453">
        <f t="shared" si="20"/>
        <v>0</v>
      </c>
      <c r="AI17" s="450" t="e">
        <f t="shared" si="3"/>
        <v>#DIV/0!</v>
      </c>
      <c r="AJ17" s="714"/>
      <c r="AK17" s="452"/>
      <c r="AL17" s="452"/>
      <c r="AM17" s="453">
        <f t="shared" si="21"/>
        <v>0</v>
      </c>
      <c r="AN17" s="450" t="e">
        <f t="shared" si="7"/>
        <v>#DIV/0!</v>
      </c>
      <c r="AO17" s="714"/>
      <c r="AP17" s="452"/>
      <c r="AQ17" s="452"/>
      <c r="AR17" s="453">
        <f t="shared" si="22"/>
        <v>0</v>
      </c>
      <c r="AS17" s="450">
        <f t="shared" si="8"/>
        <v>0</v>
      </c>
      <c r="AT17" s="714"/>
      <c r="AU17" s="452"/>
      <c r="AV17" s="452"/>
      <c r="AW17" s="453">
        <f t="shared" si="23"/>
        <v>0</v>
      </c>
      <c r="AX17" s="450" t="e">
        <f t="shared" si="9"/>
        <v>#DIV/0!</v>
      </c>
      <c r="AY17" s="714"/>
      <c r="AZ17" s="39">
        <v>0</v>
      </c>
      <c r="BA17" s="39">
        <v>0</v>
      </c>
      <c r="BB17" s="453">
        <f t="shared" si="24"/>
        <v>0</v>
      </c>
      <c r="BC17" s="450" t="e">
        <f t="shared" si="10"/>
        <v>#DIV/0!</v>
      </c>
      <c r="BD17" s="714"/>
      <c r="BE17" s="39"/>
      <c r="BF17" s="39">
        <v>28000</v>
      </c>
      <c r="BG17" s="453">
        <f t="shared" si="25"/>
        <v>28000</v>
      </c>
      <c r="BH17" s="450">
        <f t="shared" si="4"/>
        <v>7.4388024665703864E-2</v>
      </c>
      <c r="BI17" s="714" t="s">
        <v>958</v>
      </c>
      <c r="BJ17" s="39">
        <f t="shared" si="11"/>
        <v>0</v>
      </c>
      <c r="BK17" s="39">
        <f t="shared" si="12"/>
        <v>30500</v>
      </c>
      <c r="BL17" s="210">
        <f t="shared" si="26"/>
        <v>30500</v>
      </c>
      <c r="BM17" s="178" t="e">
        <f t="shared" si="5"/>
        <v>#DIV/0!</v>
      </c>
      <c r="BN17" s="42"/>
      <c r="BO17" s="1"/>
      <c r="BP17" s="842"/>
      <c r="BQ17" s="842"/>
      <c r="BR17" s="1"/>
      <c r="BS17" s="1"/>
      <c r="BT17" s="1"/>
    </row>
    <row r="18" spans="1:72" s="2" customFormat="1" ht="124.2">
      <c r="A18" s="238"/>
      <c r="B18" s="471" t="s">
        <v>0</v>
      </c>
      <c r="C18" s="111">
        <v>2258079.648</v>
      </c>
      <c r="D18" s="445"/>
      <c r="E18" s="446">
        <f t="shared" si="6"/>
        <v>2258079.648</v>
      </c>
      <c r="F18" s="447">
        <f t="shared" si="0"/>
        <v>0.11429805076245537</v>
      </c>
      <c r="G18" s="452"/>
      <c r="H18" s="452">
        <v>23815.08</v>
      </c>
      <c r="I18" s="453">
        <f t="shared" si="13"/>
        <v>23815.08</v>
      </c>
      <c r="J18" s="450">
        <f t="shared" si="1"/>
        <v>7.6071683495828366E-2</v>
      </c>
      <c r="K18" s="454" t="s">
        <v>509</v>
      </c>
      <c r="L18" s="452">
        <f>436520+13000</f>
        <v>449520</v>
      </c>
      <c r="M18" s="452">
        <f>350+1700</f>
        <v>2050</v>
      </c>
      <c r="N18" s="453">
        <f t="shared" si="14"/>
        <v>451570</v>
      </c>
      <c r="O18" s="450">
        <f t="shared" si="2"/>
        <v>0.36950857081657357</v>
      </c>
      <c r="P18" s="455" t="s">
        <v>601</v>
      </c>
      <c r="Q18" s="452">
        <f>3600+68.315*14000</f>
        <v>960010</v>
      </c>
      <c r="R18" s="452">
        <v>29675</v>
      </c>
      <c r="S18" s="453">
        <f t="shared" si="15"/>
        <v>989685</v>
      </c>
      <c r="T18" s="450">
        <f t="shared" si="27"/>
        <v>0.14057913694704202</v>
      </c>
      <c r="U18" s="714" t="s">
        <v>694</v>
      </c>
      <c r="V18" s="452">
        <f>644910+(5333.34*1.2)</f>
        <v>651310.00800000003</v>
      </c>
      <c r="W18" s="452">
        <f>54100</f>
        <v>54100</v>
      </c>
      <c r="X18" s="453">
        <f t="shared" si="16"/>
        <v>705410.00800000003</v>
      </c>
      <c r="Y18" s="450">
        <f t="shared" si="17"/>
        <v>0.28669042238286951</v>
      </c>
      <c r="Z18" s="714" t="s">
        <v>766</v>
      </c>
      <c r="AA18" s="452">
        <v>169750</v>
      </c>
      <c r="AB18" s="452"/>
      <c r="AC18" s="453">
        <f t="shared" si="18"/>
        <v>169750</v>
      </c>
      <c r="AD18" s="541">
        <f t="shared" si="19"/>
        <v>5.9515247365355912E-2</v>
      </c>
      <c r="AE18" s="714" t="s">
        <v>811</v>
      </c>
      <c r="AF18" s="452">
        <f>11000+31666.67*1.2+12950*1.2</f>
        <v>64540.003999999994</v>
      </c>
      <c r="AG18" s="452"/>
      <c r="AH18" s="453">
        <f t="shared" si="20"/>
        <v>64540.003999999994</v>
      </c>
      <c r="AI18" s="450" t="e">
        <f t="shared" si="3"/>
        <v>#DIV/0!</v>
      </c>
      <c r="AJ18" s="714" t="s">
        <v>845</v>
      </c>
      <c r="AK18" s="452"/>
      <c r="AL18" s="452"/>
      <c r="AM18" s="453">
        <f t="shared" si="21"/>
        <v>0</v>
      </c>
      <c r="AN18" s="450" t="e">
        <f t="shared" si="7"/>
        <v>#DIV/0!</v>
      </c>
      <c r="AO18" s="714"/>
      <c r="AP18" s="452"/>
      <c r="AQ18" s="452">
        <v>1000</v>
      </c>
      <c r="AR18" s="453">
        <f t="shared" si="22"/>
        <v>1000</v>
      </c>
      <c r="AS18" s="450">
        <f t="shared" si="8"/>
        <v>3.8590905491132782E-3</v>
      </c>
      <c r="AT18" s="714" t="s">
        <v>898</v>
      </c>
      <c r="AU18" s="452"/>
      <c r="AV18" s="452">
        <v>7000</v>
      </c>
      <c r="AW18" s="453">
        <f t="shared" si="23"/>
        <v>7000</v>
      </c>
      <c r="AX18" s="450" t="e">
        <f t="shared" si="9"/>
        <v>#DIV/0!</v>
      </c>
      <c r="AY18" s="714" t="s">
        <v>919</v>
      </c>
      <c r="AZ18" s="39">
        <v>-136524.00799999991</v>
      </c>
      <c r="BA18" s="39">
        <v>-8.000000000174623E-2</v>
      </c>
      <c r="BB18" s="453">
        <f t="shared" si="24"/>
        <v>-136524.08799999993</v>
      </c>
      <c r="BC18" s="450" t="e">
        <f t="shared" si="10"/>
        <v>#DIV/0!</v>
      </c>
      <c r="BD18" s="714"/>
      <c r="BE18" s="39"/>
      <c r="BF18" s="39"/>
      <c r="BG18" s="453">
        <f t="shared" si="25"/>
        <v>0</v>
      </c>
      <c r="BH18" s="450">
        <f t="shared" si="4"/>
        <v>0</v>
      </c>
      <c r="BI18" s="714"/>
      <c r="BJ18" s="39">
        <f t="shared" si="11"/>
        <v>2158606.0040000002</v>
      </c>
      <c r="BK18" s="39">
        <f t="shared" si="12"/>
        <v>117640</v>
      </c>
      <c r="BL18" s="210">
        <f t="shared" si="26"/>
        <v>2276246.0040000002</v>
      </c>
      <c r="BM18" s="178" t="e">
        <f t="shared" si="5"/>
        <v>#DIV/0!</v>
      </c>
      <c r="BN18" s="42"/>
      <c r="BO18" s="1"/>
      <c r="BP18" s="842"/>
      <c r="BQ18" s="842"/>
      <c r="BR18" s="1"/>
      <c r="BS18" s="1"/>
      <c r="BT18" s="1"/>
    </row>
    <row r="19" spans="1:72" s="2" customFormat="1" ht="27.6">
      <c r="A19" s="238"/>
      <c r="B19" s="471" t="s">
        <v>53</v>
      </c>
      <c r="C19" s="114"/>
      <c r="D19" s="445"/>
      <c r="E19" s="446">
        <f t="shared" si="6"/>
        <v>0</v>
      </c>
      <c r="F19" s="447">
        <f t="shared" si="0"/>
        <v>0</v>
      </c>
      <c r="G19" s="452">
        <v>702</v>
      </c>
      <c r="H19" s="452"/>
      <c r="I19" s="453">
        <f t="shared" si="13"/>
        <v>702</v>
      </c>
      <c r="J19" s="450">
        <f t="shared" si="1"/>
        <v>2.2423742357393513E-3</v>
      </c>
      <c r="K19" s="454" t="s">
        <v>531</v>
      </c>
      <c r="L19" s="452">
        <f>702+1512</f>
        <v>2214</v>
      </c>
      <c r="M19" s="452">
        <v>350</v>
      </c>
      <c r="N19" s="453">
        <f t="shared" si="14"/>
        <v>2564</v>
      </c>
      <c r="O19" s="450">
        <f t="shared" si="2"/>
        <v>2.0980578328358718E-3</v>
      </c>
      <c r="P19" s="458" t="s">
        <v>574</v>
      </c>
      <c r="Q19" s="452"/>
      <c r="R19" s="452"/>
      <c r="S19" s="453">
        <f t="shared" si="15"/>
        <v>0</v>
      </c>
      <c r="T19" s="450">
        <f t="shared" si="27"/>
        <v>0</v>
      </c>
      <c r="U19" s="714"/>
      <c r="V19" s="452"/>
      <c r="W19" s="452"/>
      <c r="X19" s="453">
        <f t="shared" si="16"/>
        <v>0</v>
      </c>
      <c r="Y19" s="450">
        <f>X19/$X$89</f>
        <v>0</v>
      </c>
      <c r="Z19" s="714"/>
      <c r="AA19" s="452"/>
      <c r="AB19" s="452"/>
      <c r="AC19" s="453">
        <f t="shared" si="18"/>
        <v>0</v>
      </c>
      <c r="AD19" s="541">
        <f t="shared" si="19"/>
        <v>0</v>
      </c>
      <c r="AE19" s="714"/>
      <c r="AF19" s="452"/>
      <c r="AG19" s="452"/>
      <c r="AH19" s="453">
        <f t="shared" si="20"/>
        <v>0</v>
      </c>
      <c r="AI19" s="450" t="e">
        <f t="shared" si="3"/>
        <v>#DIV/0!</v>
      </c>
      <c r="AJ19" s="714"/>
      <c r="AK19" s="452"/>
      <c r="AL19" s="452"/>
      <c r="AM19" s="453">
        <f t="shared" si="21"/>
        <v>0</v>
      </c>
      <c r="AN19" s="450" t="e">
        <f t="shared" si="7"/>
        <v>#DIV/0!</v>
      </c>
      <c r="AO19" s="714"/>
      <c r="AP19" s="452"/>
      <c r="AQ19" s="452"/>
      <c r="AR19" s="453">
        <f t="shared" si="22"/>
        <v>0</v>
      </c>
      <c r="AS19" s="450">
        <f t="shared" si="8"/>
        <v>0</v>
      </c>
      <c r="AT19" s="714"/>
      <c r="AU19" s="452"/>
      <c r="AV19" s="452"/>
      <c r="AW19" s="453">
        <f t="shared" si="23"/>
        <v>0</v>
      </c>
      <c r="AX19" s="450" t="e">
        <f t="shared" si="9"/>
        <v>#DIV/0!</v>
      </c>
      <c r="AY19" s="714"/>
      <c r="AZ19" s="39">
        <v>-2916</v>
      </c>
      <c r="BA19" s="39">
        <v>-350</v>
      </c>
      <c r="BB19" s="453">
        <f t="shared" si="24"/>
        <v>-3266</v>
      </c>
      <c r="BC19" s="450" t="e">
        <f t="shared" si="10"/>
        <v>#DIV/0!</v>
      </c>
      <c r="BD19" s="714"/>
      <c r="BE19" s="39"/>
      <c r="BF19" s="39"/>
      <c r="BG19" s="453">
        <f t="shared" si="25"/>
        <v>0</v>
      </c>
      <c r="BH19" s="450">
        <f t="shared" si="4"/>
        <v>0</v>
      </c>
      <c r="BI19" s="714"/>
      <c r="BJ19" s="39">
        <f t="shared" si="11"/>
        <v>0</v>
      </c>
      <c r="BK19" s="39">
        <f t="shared" si="12"/>
        <v>0</v>
      </c>
      <c r="BL19" s="210">
        <f t="shared" si="26"/>
        <v>0</v>
      </c>
      <c r="BM19" s="178" t="e">
        <f t="shared" si="5"/>
        <v>#DIV/0!</v>
      </c>
      <c r="BN19" s="42"/>
      <c r="BO19" s="1"/>
      <c r="BP19" s="842"/>
      <c r="BQ19" s="842"/>
      <c r="BR19" s="1"/>
      <c r="BS19" s="1"/>
      <c r="BT19" s="1"/>
    </row>
    <row r="20" spans="1:72" s="2" customFormat="1" ht="13.8">
      <c r="A20" s="238"/>
      <c r="B20" s="471" t="s">
        <v>57</v>
      </c>
      <c r="C20" s="114">
        <v>14625</v>
      </c>
      <c r="D20" s="445"/>
      <c r="E20" s="446">
        <f t="shared" si="6"/>
        <v>14625</v>
      </c>
      <c r="F20" s="447">
        <f t="shared" si="0"/>
        <v>7.4027902154889357E-4</v>
      </c>
      <c r="G20" s="452"/>
      <c r="H20" s="452"/>
      <c r="I20" s="453">
        <f t="shared" si="13"/>
        <v>0</v>
      </c>
      <c r="J20" s="450">
        <f t="shared" si="1"/>
        <v>0</v>
      </c>
      <c r="K20" s="456"/>
      <c r="L20" s="452">
        <f>18961.44</f>
        <v>18961.439999999999</v>
      </c>
      <c r="M20" s="452"/>
      <c r="N20" s="453">
        <f t="shared" si="14"/>
        <v>18961.439999999999</v>
      </c>
      <c r="O20" s="450">
        <f t="shared" si="2"/>
        <v>1.551567773550991E-2</v>
      </c>
      <c r="P20" s="460" t="s">
        <v>570</v>
      </c>
      <c r="Q20" s="452">
        <f>47403.6*1.2</f>
        <v>56884.32</v>
      </c>
      <c r="R20" s="452"/>
      <c r="S20" s="453">
        <f t="shared" si="15"/>
        <v>56884.32</v>
      </c>
      <c r="T20" s="450">
        <f t="shared" si="27"/>
        <v>8.0800947891696458E-3</v>
      </c>
      <c r="U20" s="714" t="s">
        <v>686</v>
      </c>
      <c r="V20" s="452"/>
      <c r="W20" s="452"/>
      <c r="X20" s="453">
        <f t="shared" si="16"/>
        <v>0</v>
      </c>
      <c r="Y20" s="450">
        <f t="shared" si="17"/>
        <v>0</v>
      </c>
      <c r="Z20" s="714"/>
      <c r="AA20" s="452"/>
      <c r="AB20" s="452"/>
      <c r="AC20" s="453">
        <f t="shared" si="18"/>
        <v>0</v>
      </c>
      <c r="AD20" s="541">
        <f t="shared" si="19"/>
        <v>0</v>
      </c>
      <c r="AE20" s="714"/>
      <c r="AF20" s="452"/>
      <c r="AG20" s="452"/>
      <c r="AH20" s="453">
        <f t="shared" si="20"/>
        <v>0</v>
      </c>
      <c r="AI20" s="450" t="e">
        <f t="shared" si="3"/>
        <v>#DIV/0!</v>
      </c>
      <c r="AJ20" s="714"/>
      <c r="AK20" s="452"/>
      <c r="AL20" s="452"/>
      <c r="AM20" s="453">
        <f t="shared" si="21"/>
        <v>0</v>
      </c>
      <c r="AN20" s="450" t="e">
        <f t="shared" si="7"/>
        <v>#DIV/0!</v>
      </c>
      <c r="AO20" s="714"/>
      <c r="AP20" s="452"/>
      <c r="AQ20" s="452"/>
      <c r="AR20" s="453">
        <f t="shared" si="22"/>
        <v>0</v>
      </c>
      <c r="AS20" s="450">
        <f t="shared" si="8"/>
        <v>0</v>
      </c>
      <c r="AT20" s="714"/>
      <c r="AU20" s="452"/>
      <c r="AV20" s="452"/>
      <c r="AW20" s="453">
        <f t="shared" si="23"/>
        <v>0</v>
      </c>
      <c r="AX20" s="450" t="e">
        <f t="shared" si="9"/>
        <v>#DIV/0!</v>
      </c>
      <c r="AY20" s="714"/>
      <c r="AZ20" s="39">
        <v>0</v>
      </c>
      <c r="BA20" s="39">
        <v>0</v>
      </c>
      <c r="BB20" s="453">
        <f t="shared" si="24"/>
        <v>0</v>
      </c>
      <c r="BC20" s="450" t="e">
        <f t="shared" si="10"/>
        <v>#DIV/0!</v>
      </c>
      <c r="BD20" s="714"/>
      <c r="BE20" s="39"/>
      <c r="BF20" s="39"/>
      <c r="BG20" s="453">
        <f t="shared" si="25"/>
        <v>0</v>
      </c>
      <c r="BH20" s="450">
        <f t="shared" si="4"/>
        <v>0</v>
      </c>
      <c r="BI20" s="714"/>
      <c r="BJ20" s="39">
        <f t="shared" si="11"/>
        <v>75845.759999999995</v>
      </c>
      <c r="BK20" s="39">
        <f t="shared" si="12"/>
        <v>0</v>
      </c>
      <c r="BL20" s="210">
        <f t="shared" si="26"/>
        <v>75845.759999999995</v>
      </c>
      <c r="BM20" s="178" t="e">
        <f t="shared" si="5"/>
        <v>#DIV/0!</v>
      </c>
      <c r="BN20" s="42"/>
      <c r="BO20" s="1"/>
      <c r="BP20" s="842"/>
      <c r="BQ20" s="842"/>
      <c r="BR20" s="1"/>
      <c r="BS20" s="1"/>
      <c r="BT20" s="1"/>
    </row>
    <row r="21" spans="1:72" s="2" customFormat="1" ht="96.6">
      <c r="A21" s="238"/>
      <c r="B21" s="471" t="s">
        <v>58</v>
      </c>
      <c r="C21" s="114">
        <v>1089002.7</v>
      </c>
      <c r="D21" s="445"/>
      <c r="E21" s="446">
        <f t="shared" si="6"/>
        <v>1089002.7</v>
      </c>
      <c r="F21" s="447">
        <f t="shared" si="0"/>
        <v>5.5122451502229275E-2</v>
      </c>
      <c r="G21" s="452">
        <f>27*518.54+104937.5</f>
        <v>118938.08</v>
      </c>
      <c r="H21" s="452">
        <f>2600</f>
        <v>2600</v>
      </c>
      <c r="I21" s="453">
        <f t="shared" si="13"/>
        <v>121538.08</v>
      </c>
      <c r="J21" s="450">
        <f t="shared" si="1"/>
        <v>0.38822487073109424</v>
      </c>
      <c r="K21" s="454" t="s">
        <v>540</v>
      </c>
      <c r="L21" s="452">
        <f>228650+124125+36000+27243</f>
        <v>416018</v>
      </c>
      <c r="M21" s="452"/>
      <c r="N21" s="453">
        <f t="shared" si="14"/>
        <v>416018</v>
      </c>
      <c r="O21" s="450">
        <f t="shared" si="2"/>
        <v>0.34041724785519256</v>
      </c>
      <c r="P21" s="462" t="s">
        <v>602</v>
      </c>
      <c r="Q21" s="452">
        <v>49606</v>
      </c>
      <c r="R21" s="452"/>
      <c r="S21" s="453">
        <f t="shared" si="15"/>
        <v>49606</v>
      </c>
      <c r="T21" s="450">
        <f t="shared" si="27"/>
        <v>7.046250743817443E-3</v>
      </c>
      <c r="U21" s="714" t="s">
        <v>695</v>
      </c>
      <c r="V21" s="452">
        <v>83464.399999999994</v>
      </c>
      <c r="W21" s="452"/>
      <c r="X21" s="453">
        <f t="shared" si="16"/>
        <v>83464.399999999994</v>
      </c>
      <c r="Y21" s="450">
        <f t="shared" si="17"/>
        <v>3.3921327764792321E-2</v>
      </c>
      <c r="Z21" s="714" t="s">
        <v>765</v>
      </c>
      <c r="AA21" s="452"/>
      <c r="AB21" s="452"/>
      <c r="AC21" s="453">
        <f t="shared" si="18"/>
        <v>0</v>
      </c>
      <c r="AD21" s="541">
        <f t="shared" si="19"/>
        <v>0</v>
      </c>
      <c r="AE21" s="714"/>
      <c r="AF21" s="452">
        <v>108716</v>
      </c>
      <c r="AG21" s="452"/>
      <c r="AH21" s="453">
        <f t="shared" si="20"/>
        <v>108716</v>
      </c>
      <c r="AI21" s="450" t="e">
        <f t="shared" si="3"/>
        <v>#DIV/0!</v>
      </c>
      <c r="AJ21" s="714" t="s">
        <v>842</v>
      </c>
      <c r="AK21" s="452">
        <f>52362.1+42125.9</f>
        <v>94488</v>
      </c>
      <c r="AL21" s="452"/>
      <c r="AM21" s="453">
        <f t="shared" si="21"/>
        <v>94488</v>
      </c>
      <c r="AN21" s="450" t="e">
        <f t="shared" si="7"/>
        <v>#DIV/0!</v>
      </c>
      <c r="AO21" s="714" t="s">
        <v>877</v>
      </c>
      <c r="AP21" s="452"/>
      <c r="AQ21" s="452"/>
      <c r="AR21" s="453">
        <f t="shared" si="22"/>
        <v>0</v>
      </c>
      <c r="AS21" s="450">
        <f t="shared" si="8"/>
        <v>0</v>
      </c>
      <c r="AT21" s="714"/>
      <c r="AU21" s="452"/>
      <c r="AV21" s="452"/>
      <c r="AW21" s="453">
        <f t="shared" si="23"/>
        <v>0</v>
      </c>
      <c r="AX21" s="450" t="e">
        <f t="shared" si="9"/>
        <v>#DIV/0!</v>
      </c>
      <c r="AY21" s="714"/>
      <c r="AZ21" s="39">
        <v>-324354.48</v>
      </c>
      <c r="BA21" s="39">
        <v>-2600</v>
      </c>
      <c r="BB21" s="453">
        <f t="shared" si="24"/>
        <v>-326954.48</v>
      </c>
      <c r="BC21" s="450" t="e">
        <f t="shared" si="10"/>
        <v>#DIV/0!</v>
      </c>
      <c r="BD21" s="714"/>
      <c r="BE21" s="39"/>
      <c r="BF21" s="39"/>
      <c r="BG21" s="453">
        <f t="shared" si="25"/>
        <v>0</v>
      </c>
      <c r="BH21" s="450">
        <f t="shared" si="4"/>
        <v>0</v>
      </c>
      <c r="BI21" s="714"/>
      <c r="BJ21" s="39">
        <f t="shared" si="11"/>
        <v>546876</v>
      </c>
      <c r="BK21" s="39">
        <f t="shared" si="12"/>
        <v>0</v>
      </c>
      <c r="BL21" s="210">
        <f t="shared" si="26"/>
        <v>546876</v>
      </c>
      <c r="BM21" s="178" t="e">
        <f t="shared" si="5"/>
        <v>#DIV/0!</v>
      </c>
      <c r="BN21" s="42"/>
      <c r="BO21" s="1"/>
      <c r="BP21" s="842"/>
      <c r="BQ21" s="842"/>
      <c r="BR21" s="1"/>
      <c r="BS21" s="1"/>
      <c r="BT21" s="1"/>
    </row>
    <row r="22" spans="1:72" s="2" customFormat="1" ht="108" customHeight="1">
      <c r="A22" s="238"/>
      <c r="B22" s="471" t="s">
        <v>621</v>
      </c>
      <c r="C22" s="114">
        <v>649100.04</v>
      </c>
      <c r="D22" s="445"/>
      <c r="E22" s="446"/>
      <c r="F22" s="447"/>
      <c r="G22" s="452"/>
      <c r="H22" s="452"/>
      <c r="I22" s="453"/>
      <c r="J22" s="450"/>
      <c r="K22" s="454"/>
      <c r="L22" s="452"/>
      <c r="M22" s="452"/>
      <c r="N22" s="453"/>
      <c r="O22" s="450">
        <f t="shared" si="2"/>
        <v>0</v>
      </c>
      <c r="P22" s="462"/>
      <c r="Q22" s="452">
        <f>30375*1.2+5000*1.2+3750*1.2+6416.67*1.2+14250*1.2+51375*1.2+5041.67*1.2+8250*1.2+47250*1.2</f>
        <v>206050.008</v>
      </c>
      <c r="R22" s="452">
        <v>43320</v>
      </c>
      <c r="S22" s="453">
        <f t="shared" si="15"/>
        <v>249370.008</v>
      </c>
      <c r="T22" s="450">
        <f t="shared" si="27"/>
        <v>3.5421594249803692E-2</v>
      </c>
      <c r="U22" s="714" t="s">
        <v>696</v>
      </c>
      <c r="V22" s="452">
        <f>126499.86*1.2</f>
        <v>151799.83199999999</v>
      </c>
      <c r="W22" s="452">
        <v>12240</v>
      </c>
      <c r="X22" s="453">
        <f t="shared" si="16"/>
        <v>164039.83199999999</v>
      </c>
      <c r="Y22" s="450">
        <f t="shared" si="17"/>
        <v>6.666853062806978E-2</v>
      </c>
      <c r="Z22" s="714" t="s">
        <v>772</v>
      </c>
      <c r="AA22" s="452">
        <f>12000+10800+10800+22500+40500+7000+25000+57600</f>
        <v>186200</v>
      </c>
      <c r="AB22" s="452"/>
      <c r="AC22" s="453">
        <f t="shared" si="18"/>
        <v>186200</v>
      </c>
      <c r="AD22" s="541">
        <f t="shared" si="19"/>
        <v>6.5282704326534727E-2</v>
      </c>
      <c r="AE22" s="714" t="s">
        <v>812</v>
      </c>
      <c r="AF22" s="452">
        <f>5416.67*1.2+51375*1.2+47625*1.2</f>
        <v>125300.004</v>
      </c>
      <c r="AG22" s="452"/>
      <c r="AH22" s="453">
        <f t="shared" si="20"/>
        <v>125300.004</v>
      </c>
      <c r="AI22" s="450" t="e">
        <f t="shared" si="3"/>
        <v>#DIV/0!</v>
      </c>
      <c r="AJ22" s="714" t="s">
        <v>843</v>
      </c>
      <c r="AK22" s="452">
        <f>(2166.67*1.2)*2+5000*1.2+6720+46500*1.2+625*1.2+43875*1.2</f>
        <v>127120.008</v>
      </c>
      <c r="AL22" s="452"/>
      <c r="AM22" s="453">
        <f t="shared" si="21"/>
        <v>127120.008</v>
      </c>
      <c r="AN22" s="450" t="e">
        <f t="shared" si="7"/>
        <v>#DIV/0!</v>
      </c>
      <c r="AO22" s="714" t="s">
        <v>878</v>
      </c>
      <c r="AP22" s="452">
        <f>117750*1.2</f>
        <v>141300</v>
      </c>
      <c r="AQ22" s="452"/>
      <c r="AR22" s="453">
        <f t="shared" si="22"/>
        <v>141300</v>
      </c>
      <c r="AS22" s="450">
        <f t="shared" si="8"/>
        <v>0.54528949458970621</v>
      </c>
      <c r="AT22" s="714" t="s">
        <v>901</v>
      </c>
      <c r="AU22" s="452"/>
      <c r="AV22" s="452"/>
      <c r="AW22" s="453">
        <f t="shared" si="23"/>
        <v>0</v>
      </c>
      <c r="AX22" s="450" t="e">
        <f t="shared" si="9"/>
        <v>#DIV/0!</v>
      </c>
      <c r="AY22" s="714"/>
      <c r="AZ22" s="39">
        <v>453494.5</v>
      </c>
      <c r="BA22" s="39">
        <v>0</v>
      </c>
      <c r="BB22" s="453">
        <f t="shared" si="24"/>
        <v>453494.5</v>
      </c>
      <c r="BC22" s="450" t="e">
        <f t="shared" si="10"/>
        <v>#DIV/0!</v>
      </c>
      <c r="BD22" s="714"/>
      <c r="BE22" s="39"/>
      <c r="BF22" s="39"/>
      <c r="BG22" s="453">
        <f t="shared" si="25"/>
        <v>0</v>
      </c>
      <c r="BH22" s="450">
        <f t="shared" si="4"/>
        <v>0</v>
      </c>
      <c r="BI22" s="714"/>
      <c r="BJ22" s="39">
        <f t="shared" si="11"/>
        <v>1391264.352</v>
      </c>
      <c r="BK22" s="39">
        <f t="shared" si="12"/>
        <v>55560</v>
      </c>
      <c r="BL22" s="210">
        <f t="shared" si="26"/>
        <v>1446824.352</v>
      </c>
      <c r="BM22" s="178" t="e">
        <f t="shared" si="5"/>
        <v>#DIV/0!</v>
      </c>
      <c r="BN22" s="456"/>
      <c r="BO22" s="1"/>
      <c r="BP22" s="842"/>
      <c r="BQ22" s="842"/>
      <c r="BR22" s="1"/>
      <c r="BS22" s="1"/>
      <c r="BT22" s="1"/>
    </row>
    <row r="23" spans="1:72" s="2" customFormat="1" ht="13.8">
      <c r="A23" s="238"/>
      <c r="B23" s="471" t="s">
        <v>630</v>
      </c>
      <c r="C23" s="114"/>
      <c r="D23" s="445"/>
      <c r="E23" s="446"/>
      <c r="F23" s="447"/>
      <c r="G23" s="452"/>
      <c r="H23" s="452"/>
      <c r="I23" s="453"/>
      <c r="J23" s="450"/>
      <c r="K23" s="454"/>
      <c r="L23" s="452"/>
      <c r="M23" s="452"/>
      <c r="N23" s="453"/>
      <c r="O23" s="450"/>
      <c r="P23" s="462"/>
      <c r="Q23" s="452"/>
      <c r="R23" s="452"/>
      <c r="S23" s="453">
        <f t="shared" si="15"/>
        <v>0</v>
      </c>
      <c r="T23" s="450">
        <f t="shared" si="27"/>
        <v>0</v>
      </c>
      <c r="U23" s="714"/>
      <c r="V23" s="452"/>
      <c r="W23" s="452"/>
      <c r="X23" s="453">
        <f t="shared" si="16"/>
        <v>0</v>
      </c>
      <c r="Y23" s="450">
        <f t="shared" si="17"/>
        <v>0</v>
      </c>
      <c r="Z23" s="714"/>
      <c r="AA23" s="452"/>
      <c r="AB23" s="452"/>
      <c r="AC23" s="453">
        <f t="shared" si="18"/>
        <v>0</v>
      </c>
      <c r="AD23" s="541">
        <f t="shared" si="19"/>
        <v>0</v>
      </c>
      <c r="AE23" s="714"/>
      <c r="AF23" s="452"/>
      <c r="AG23" s="452"/>
      <c r="AH23" s="453">
        <f t="shared" si="20"/>
        <v>0</v>
      </c>
      <c r="AI23" s="450" t="e">
        <f t="shared" si="3"/>
        <v>#DIV/0!</v>
      </c>
      <c r="AJ23" s="714"/>
      <c r="AK23" s="452"/>
      <c r="AL23" s="452"/>
      <c r="AM23" s="453">
        <f t="shared" si="21"/>
        <v>0</v>
      </c>
      <c r="AN23" s="450" t="e">
        <f t="shared" si="7"/>
        <v>#DIV/0!</v>
      </c>
      <c r="AO23" s="714"/>
      <c r="AP23" s="452"/>
      <c r="AQ23" s="452"/>
      <c r="AR23" s="453">
        <f t="shared" si="22"/>
        <v>0</v>
      </c>
      <c r="AS23" s="450">
        <f t="shared" si="8"/>
        <v>0</v>
      </c>
      <c r="AT23" s="714"/>
      <c r="AU23" s="452"/>
      <c r="AV23" s="452"/>
      <c r="AW23" s="453">
        <f t="shared" si="23"/>
        <v>0</v>
      </c>
      <c r="AX23" s="450" t="e">
        <f t="shared" si="9"/>
        <v>#DIV/0!</v>
      </c>
      <c r="AY23" s="714"/>
      <c r="AZ23" s="39">
        <v>0</v>
      </c>
      <c r="BA23" s="39">
        <v>0</v>
      </c>
      <c r="BB23" s="453">
        <f t="shared" si="24"/>
        <v>0</v>
      </c>
      <c r="BC23" s="450" t="e">
        <f t="shared" si="10"/>
        <v>#DIV/0!</v>
      </c>
      <c r="BD23" s="714"/>
      <c r="BE23" s="39"/>
      <c r="BF23" s="39"/>
      <c r="BG23" s="453">
        <f t="shared" si="25"/>
        <v>0</v>
      </c>
      <c r="BH23" s="450">
        <f t="shared" si="4"/>
        <v>0</v>
      </c>
      <c r="BI23" s="714"/>
      <c r="BJ23" s="39">
        <f t="shared" si="11"/>
        <v>0</v>
      </c>
      <c r="BK23" s="39">
        <f t="shared" si="12"/>
        <v>0</v>
      </c>
      <c r="BL23" s="210">
        <f t="shared" si="26"/>
        <v>0</v>
      </c>
      <c r="BM23" s="178" t="e">
        <f t="shared" si="5"/>
        <v>#DIV/0!</v>
      </c>
      <c r="BN23" s="456"/>
      <c r="BO23" s="1"/>
      <c r="BP23" s="842"/>
      <c r="BQ23" s="842"/>
      <c r="BR23" s="1"/>
      <c r="BS23" s="1"/>
      <c r="BT23" s="1"/>
    </row>
    <row r="24" spans="1:72" s="2" customFormat="1" ht="132" customHeight="1">
      <c r="A24" s="238"/>
      <c r="B24" s="471" t="s">
        <v>23</v>
      </c>
      <c r="C24" s="114"/>
      <c r="D24" s="445"/>
      <c r="E24" s="446">
        <f t="shared" si="6"/>
        <v>0</v>
      </c>
      <c r="F24" s="447">
        <f t="shared" ref="F24:F33" si="28">E24/$E$89</f>
        <v>0</v>
      </c>
      <c r="G24" s="452">
        <f>21200+4500+20000+4200</f>
        <v>49900</v>
      </c>
      <c r="H24" s="452"/>
      <c r="I24" s="453">
        <f t="shared" si="13"/>
        <v>49900</v>
      </c>
      <c r="J24" s="450">
        <f t="shared" ref="J24:J33" si="29">I24/$I$89</f>
        <v>0.15939383812449234</v>
      </c>
      <c r="K24" s="454" t="s">
        <v>773</v>
      </c>
      <c r="L24" s="452">
        <f>780+600+28200+8000+8400+(3750+9611.69+3750)*1.2</f>
        <v>66514.028000000006</v>
      </c>
      <c r="M24" s="452"/>
      <c r="N24" s="453">
        <f t="shared" si="14"/>
        <v>66514.028000000006</v>
      </c>
      <c r="O24" s="450">
        <f t="shared" ref="O24:O33" si="30">N24/$N$89</f>
        <v>5.4426785272568057E-2</v>
      </c>
      <c r="P24" s="462" t="s">
        <v>774</v>
      </c>
      <c r="Q24" s="452">
        <f>50760*1.2+ 58276</f>
        <v>119188</v>
      </c>
      <c r="R24" s="452"/>
      <c r="S24" s="453">
        <f t="shared" si="15"/>
        <v>119188</v>
      </c>
      <c r="T24" s="450">
        <f t="shared" si="27"/>
        <v>1.6929978906868391E-2</v>
      </c>
      <c r="U24" s="714" t="s">
        <v>681</v>
      </c>
      <c r="V24" s="452">
        <f>80791*1.2</f>
        <v>96949.2</v>
      </c>
      <c r="W24" s="452"/>
      <c r="X24" s="453">
        <f t="shared" si="16"/>
        <v>96949.2</v>
      </c>
      <c r="Y24" s="450">
        <f t="shared" si="17"/>
        <v>3.9401775963577329E-2</v>
      </c>
      <c r="Z24" s="714"/>
      <c r="AA24" s="452">
        <f>25750*1.2</f>
        <v>30900</v>
      </c>
      <c r="AB24" s="452"/>
      <c r="AC24" s="453">
        <f t="shared" si="18"/>
        <v>30900</v>
      </c>
      <c r="AD24" s="541">
        <f t="shared" si="19"/>
        <v>1.0833703349569943E-2</v>
      </c>
      <c r="AE24" s="714"/>
      <c r="AF24" s="452">
        <f>22083.33*1.2</f>
        <v>26499.996000000003</v>
      </c>
      <c r="AG24" s="452"/>
      <c r="AH24" s="453">
        <f t="shared" si="20"/>
        <v>26499.996000000003</v>
      </c>
      <c r="AI24" s="450" t="e">
        <f t="shared" si="3"/>
        <v>#DIV/0!</v>
      </c>
      <c r="AJ24" s="714"/>
      <c r="AK24" s="452">
        <f>840+625*1.2</f>
        <v>1590</v>
      </c>
      <c r="AL24" s="452"/>
      <c r="AM24" s="453">
        <f t="shared" si="21"/>
        <v>1590</v>
      </c>
      <c r="AN24" s="450" t="e">
        <f t="shared" si="7"/>
        <v>#DIV/0!</v>
      </c>
      <c r="AO24" s="714"/>
      <c r="AP24" s="452"/>
      <c r="AQ24" s="452">
        <v>743</v>
      </c>
      <c r="AR24" s="453">
        <f t="shared" si="22"/>
        <v>743</v>
      </c>
      <c r="AS24" s="450">
        <f t="shared" si="8"/>
        <v>2.8673042779911659E-3</v>
      </c>
      <c r="AT24" s="714" t="s">
        <v>897</v>
      </c>
      <c r="AU24" s="452"/>
      <c r="AV24" s="452"/>
      <c r="AW24" s="453">
        <f t="shared" si="23"/>
        <v>0</v>
      </c>
      <c r="AX24" s="450" t="e">
        <f t="shared" si="9"/>
        <v>#DIV/0!</v>
      </c>
      <c r="AY24" s="714"/>
      <c r="AZ24" s="39">
        <v>-68959.216000000015</v>
      </c>
      <c r="BA24" s="39">
        <v>-743</v>
      </c>
      <c r="BB24" s="453">
        <f t="shared" si="24"/>
        <v>-69702.216000000015</v>
      </c>
      <c r="BC24" s="450" t="e">
        <f t="shared" si="10"/>
        <v>#DIV/0!</v>
      </c>
      <c r="BD24" s="714"/>
      <c r="BE24" s="39"/>
      <c r="BF24" s="39"/>
      <c r="BG24" s="453">
        <f t="shared" si="25"/>
        <v>0</v>
      </c>
      <c r="BH24" s="450">
        <f t="shared" si="4"/>
        <v>0</v>
      </c>
      <c r="BI24" s="714"/>
      <c r="BJ24" s="39">
        <f t="shared" si="11"/>
        <v>322582.00799999997</v>
      </c>
      <c r="BK24" s="39">
        <f t="shared" si="12"/>
        <v>0</v>
      </c>
      <c r="BL24" s="210">
        <f t="shared" si="26"/>
        <v>322582.00799999997</v>
      </c>
      <c r="BM24" s="178" t="e">
        <f t="shared" ref="BM24:BM33" si="31">BL24/$BL$89</f>
        <v>#DIV/0!</v>
      </c>
      <c r="BN24" s="42"/>
      <c r="BO24" s="1"/>
      <c r="BP24" s="842"/>
      <c r="BQ24" s="842"/>
      <c r="BR24" s="1"/>
      <c r="BS24" s="1"/>
      <c r="BT24" s="1"/>
    </row>
    <row r="25" spans="1:72" s="2" customFormat="1" ht="37.950000000000003" customHeight="1">
      <c r="A25" s="238"/>
      <c r="B25" s="471" t="s">
        <v>24</v>
      </c>
      <c r="C25" s="114">
        <v>632392.66</v>
      </c>
      <c r="D25" s="445">
        <v>5000</v>
      </c>
      <c r="E25" s="446">
        <f t="shared" si="6"/>
        <v>637392.66</v>
      </c>
      <c r="F25" s="447">
        <f t="shared" si="28"/>
        <v>3.2263139465794635E-2</v>
      </c>
      <c r="G25" s="452"/>
      <c r="H25" s="452">
        <v>4921</v>
      </c>
      <c r="I25" s="453">
        <f t="shared" si="13"/>
        <v>4921</v>
      </c>
      <c r="J25" s="450">
        <f t="shared" si="29"/>
        <v>1.5718979507226991E-2</v>
      </c>
      <c r="K25" s="454" t="s">
        <v>508</v>
      </c>
      <c r="L25" s="452">
        <f>2726.09*1.2</f>
        <v>3271.308</v>
      </c>
      <c r="M25" s="452">
        <v>605</v>
      </c>
      <c r="N25" s="453">
        <f t="shared" si="14"/>
        <v>3876.308</v>
      </c>
      <c r="O25" s="450">
        <f t="shared" si="30"/>
        <v>3.1718870366163623E-3</v>
      </c>
      <c r="P25" s="455" t="s">
        <v>571</v>
      </c>
      <c r="Q25" s="452">
        <f>47318.68*1.2</f>
        <v>56782.415999999997</v>
      </c>
      <c r="R25" s="452"/>
      <c r="S25" s="453">
        <f t="shared" ref="S25:S33" si="32">Q25+R25*1</f>
        <v>56782.415999999997</v>
      </c>
      <c r="T25" s="450">
        <f t="shared" si="27"/>
        <v>8.0656199043613978E-3</v>
      </c>
      <c r="U25" s="714"/>
      <c r="V25" s="452">
        <f>45021.93*1.2</f>
        <v>54026.315999999999</v>
      </c>
      <c r="W25" s="452">
        <v>3539.24</v>
      </c>
      <c r="X25" s="453">
        <f t="shared" si="16"/>
        <v>57565.555999999997</v>
      </c>
      <c r="Y25" s="450">
        <f>X25/$X$89</f>
        <v>2.3395604509689246E-2</v>
      </c>
      <c r="Z25" s="714" t="s">
        <v>767</v>
      </c>
      <c r="AA25" s="452">
        <f>30489.15*1.2</f>
        <v>36586.980000000003</v>
      </c>
      <c r="AB25" s="452">
        <v>8157.78</v>
      </c>
      <c r="AC25" s="453">
        <f t="shared" si="18"/>
        <v>44744.76</v>
      </c>
      <c r="AD25" s="541">
        <f t="shared" si="19"/>
        <v>1.568774939442405E-2</v>
      </c>
      <c r="AE25" s="714"/>
      <c r="AF25" s="452">
        <f>11235.89*1.2</f>
        <v>13483.067999999999</v>
      </c>
      <c r="AG25" s="452">
        <v>4833</v>
      </c>
      <c r="AH25" s="453">
        <f t="shared" si="20"/>
        <v>18316.067999999999</v>
      </c>
      <c r="AI25" s="450" t="e">
        <f t="shared" si="3"/>
        <v>#DIV/0!</v>
      </c>
      <c r="AJ25" s="714"/>
      <c r="AK25" s="452">
        <f>3428.9*1.2</f>
        <v>4114.68</v>
      </c>
      <c r="AL25" s="452">
        <v>2921.9</v>
      </c>
      <c r="AM25" s="453">
        <f t="shared" si="21"/>
        <v>7036.58</v>
      </c>
      <c r="AN25" s="450" t="e">
        <f t="shared" si="7"/>
        <v>#DIV/0!</v>
      </c>
      <c r="AO25" s="714"/>
      <c r="AP25" s="452"/>
      <c r="AQ25" s="452">
        <v>3230.43</v>
      </c>
      <c r="AR25" s="453">
        <f t="shared" si="22"/>
        <v>3230.43</v>
      </c>
      <c r="AS25" s="450">
        <f t="shared" si="8"/>
        <v>1.2466521882572006E-2</v>
      </c>
      <c r="AT25" s="714"/>
      <c r="AU25" s="452">
        <f>2764.17*1.2</f>
        <v>3317.0039999999999</v>
      </c>
      <c r="AV25" s="452"/>
      <c r="AW25" s="453">
        <f t="shared" si="23"/>
        <v>3317.0039999999999</v>
      </c>
      <c r="AX25" s="450" t="e">
        <f t="shared" si="9"/>
        <v>#DIV/0!</v>
      </c>
      <c r="AY25" s="714"/>
      <c r="AZ25" s="39">
        <v>8255.6640000000189</v>
      </c>
      <c r="BA25" s="39">
        <v>1887.0599999999977</v>
      </c>
      <c r="BB25" s="453">
        <f t="shared" si="24"/>
        <v>10142.724000000017</v>
      </c>
      <c r="BC25" s="450" t="e">
        <f t="shared" si="10"/>
        <v>#DIV/0!</v>
      </c>
      <c r="BD25" s="714"/>
      <c r="BE25" s="39"/>
      <c r="BF25" s="39"/>
      <c r="BG25" s="453">
        <f t="shared" si="25"/>
        <v>0</v>
      </c>
      <c r="BH25" s="450">
        <f t="shared" si="4"/>
        <v>0</v>
      </c>
      <c r="BI25" s="714"/>
      <c r="BJ25" s="39">
        <f t="shared" si="11"/>
        <v>179837.43599999999</v>
      </c>
      <c r="BK25" s="39">
        <f t="shared" si="12"/>
        <v>30095.41</v>
      </c>
      <c r="BL25" s="210">
        <f t="shared" si="26"/>
        <v>209932.84599999999</v>
      </c>
      <c r="BM25" s="178" t="e">
        <f t="shared" si="31"/>
        <v>#DIV/0!</v>
      </c>
      <c r="BN25" s="42"/>
      <c r="BO25" s="1"/>
      <c r="BP25" s="842"/>
      <c r="BQ25" s="842"/>
      <c r="BR25" s="1"/>
      <c r="BS25" s="1"/>
      <c r="BT25" s="1"/>
    </row>
    <row r="26" spans="1:72" s="2" customFormat="1" ht="35.4" customHeight="1">
      <c r="A26" s="238"/>
      <c r="B26" s="471" t="s">
        <v>45</v>
      </c>
      <c r="C26" s="114">
        <v>10332987.140000001</v>
      </c>
      <c r="D26" s="445"/>
      <c r="E26" s="446">
        <f t="shared" si="6"/>
        <v>10332987.140000001</v>
      </c>
      <c r="F26" s="447">
        <f t="shared" si="28"/>
        <v>0.5230286228838632</v>
      </c>
      <c r="G26" s="452"/>
      <c r="H26" s="452"/>
      <c r="I26" s="453">
        <f t="shared" si="13"/>
        <v>0</v>
      </c>
      <c r="J26" s="450">
        <f t="shared" si="29"/>
        <v>0</v>
      </c>
      <c r="K26" s="456"/>
      <c r="L26" s="452">
        <f>(199421.98-65355.08-118842.03)*1.2</f>
        <v>18269.84400000003</v>
      </c>
      <c r="M26" s="452"/>
      <c r="N26" s="453">
        <f t="shared" si="14"/>
        <v>18269.84400000003</v>
      </c>
      <c r="O26" s="450">
        <f t="shared" si="30"/>
        <v>1.4949761820939749E-2</v>
      </c>
      <c r="P26" s="460" t="s">
        <v>573</v>
      </c>
      <c r="Q26" s="452">
        <f>(4889035-482847.57-15195.93-86737-376647.29)*1.2</f>
        <v>4713128.6519999998</v>
      </c>
      <c r="R26" s="452"/>
      <c r="S26" s="453">
        <f t="shared" si="32"/>
        <v>4713128.6519999998</v>
      </c>
      <c r="T26" s="450">
        <f t="shared" si="27"/>
        <v>0.66947317400843254</v>
      </c>
      <c r="U26" s="714"/>
      <c r="V26" s="452">
        <f>(643195.55-32308)*1.2</f>
        <v>733065.06</v>
      </c>
      <c r="W26" s="452">
        <v>2600</v>
      </c>
      <c r="X26" s="453">
        <f t="shared" si="16"/>
        <v>735665.06</v>
      </c>
      <c r="Y26" s="450">
        <f t="shared" si="17"/>
        <v>0.29898658140914702</v>
      </c>
      <c r="Z26" s="714" t="s">
        <v>764</v>
      </c>
      <c r="AA26" s="452">
        <f>922863.09*1.2</f>
        <v>1107435.7079999999</v>
      </c>
      <c r="AB26" s="452">
        <v>2535</v>
      </c>
      <c r="AC26" s="453">
        <f t="shared" si="18"/>
        <v>1109970.7079999999</v>
      </c>
      <c r="AD26" s="541">
        <f t="shared" si="19"/>
        <v>0.38916159796712357</v>
      </c>
      <c r="AE26" s="714"/>
      <c r="AF26" s="452">
        <f>2842641*1.2</f>
        <v>3411169.1999999997</v>
      </c>
      <c r="AG26" s="452"/>
      <c r="AH26" s="453">
        <f t="shared" si="20"/>
        <v>3411169.1999999997</v>
      </c>
      <c r="AI26" s="450" t="e">
        <f t="shared" si="3"/>
        <v>#DIV/0!</v>
      </c>
      <c r="AJ26" s="714"/>
      <c r="AK26" s="452">
        <f>296153.16*1.2</f>
        <v>355383.79199999996</v>
      </c>
      <c r="AL26" s="452"/>
      <c r="AM26" s="453">
        <f t="shared" si="21"/>
        <v>355383.79199999996</v>
      </c>
      <c r="AN26" s="450" t="e">
        <f t="shared" si="7"/>
        <v>#DIV/0!</v>
      </c>
      <c r="AO26" s="714"/>
      <c r="AP26" s="452"/>
      <c r="AQ26" s="452"/>
      <c r="AR26" s="453">
        <f t="shared" si="22"/>
        <v>0</v>
      </c>
      <c r="AS26" s="450">
        <f t="shared" si="8"/>
        <v>0</v>
      </c>
      <c r="AT26" s="714"/>
      <c r="AU26" s="452">
        <f>586512.46*1.2</f>
        <v>703814.95199999993</v>
      </c>
      <c r="AV26" s="452">
        <v>676.8</v>
      </c>
      <c r="AW26" s="453">
        <f t="shared" si="23"/>
        <v>704491.75199999998</v>
      </c>
      <c r="AX26" s="450" t="e">
        <f t="shared" si="9"/>
        <v>#DIV/0!</v>
      </c>
      <c r="AY26" s="714" t="s">
        <v>918</v>
      </c>
      <c r="AZ26" s="39">
        <v>106285.60199999996</v>
      </c>
      <c r="BA26" s="39">
        <v>0</v>
      </c>
      <c r="BB26" s="453">
        <f t="shared" si="24"/>
        <v>106285.60199999996</v>
      </c>
      <c r="BC26" s="450" t="e">
        <f t="shared" si="10"/>
        <v>#DIV/0!</v>
      </c>
      <c r="BD26" s="714"/>
      <c r="BE26" s="39"/>
      <c r="BF26" s="39"/>
      <c r="BG26" s="453">
        <f t="shared" si="25"/>
        <v>0</v>
      </c>
      <c r="BH26" s="450">
        <f t="shared" si="4"/>
        <v>0</v>
      </c>
      <c r="BI26" s="714"/>
      <c r="BJ26" s="39">
        <f t="shared" si="11"/>
        <v>11148552.809999999</v>
      </c>
      <c r="BK26" s="39">
        <f t="shared" si="12"/>
        <v>5811.8</v>
      </c>
      <c r="BL26" s="210">
        <f t="shared" si="26"/>
        <v>11154364.609999999</v>
      </c>
      <c r="BM26" s="178" t="e">
        <f t="shared" si="31"/>
        <v>#DIV/0!</v>
      </c>
      <c r="BN26" s="42"/>
      <c r="BO26" s="1"/>
      <c r="BP26" s="842"/>
      <c r="BQ26" s="842"/>
      <c r="BR26" s="1"/>
      <c r="BS26" s="1"/>
      <c r="BT26" s="1"/>
    </row>
    <row r="27" spans="1:72" s="2" customFormat="1" ht="41.4">
      <c r="A27" s="238"/>
      <c r="B27" s="471" t="s">
        <v>25</v>
      </c>
      <c r="C27" s="114">
        <v>5000</v>
      </c>
      <c r="D27" s="445"/>
      <c r="E27" s="446">
        <f t="shared" si="6"/>
        <v>5000</v>
      </c>
      <c r="F27" s="447">
        <f t="shared" si="28"/>
        <v>2.5308684497398067E-4</v>
      </c>
      <c r="G27" s="452"/>
      <c r="H27" s="452"/>
      <c r="I27" s="453">
        <f t="shared" si="13"/>
        <v>0</v>
      </c>
      <c r="J27" s="450">
        <f t="shared" si="29"/>
        <v>0</v>
      </c>
      <c r="K27" s="456"/>
      <c r="L27" s="452"/>
      <c r="M27" s="452">
        <v>1540</v>
      </c>
      <c r="N27" s="453">
        <f t="shared" si="14"/>
        <v>1540</v>
      </c>
      <c r="O27" s="450">
        <f t="shared" si="30"/>
        <v>1.260143940158831E-3</v>
      </c>
      <c r="P27" s="452" t="s">
        <v>566</v>
      </c>
      <c r="Q27" s="452"/>
      <c r="R27" s="452">
        <v>100</v>
      </c>
      <c r="S27" s="453">
        <f t="shared" si="32"/>
        <v>100</v>
      </c>
      <c r="T27" s="450">
        <f t="shared" si="27"/>
        <v>1.4204432415065604E-5</v>
      </c>
      <c r="U27" s="714" t="s">
        <v>693</v>
      </c>
      <c r="V27" s="452"/>
      <c r="W27" s="452"/>
      <c r="X27" s="453">
        <f t="shared" si="16"/>
        <v>0</v>
      </c>
      <c r="Y27" s="450">
        <f t="shared" si="17"/>
        <v>0</v>
      </c>
      <c r="Z27" s="714"/>
      <c r="AA27" s="452"/>
      <c r="AB27" s="452"/>
      <c r="AC27" s="453">
        <f t="shared" si="18"/>
        <v>0</v>
      </c>
      <c r="AD27" s="541">
        <f t="shared" si="19"/>
        <v>0</v>
      </c>
      <c r="AE27" s="714"/>
      <c r="AF27" s="452">
        <f>1625*1.2+4169.97</f>
        <v>6119.97</v>
      </c>
      <c r="AG27" s="452">
        <v>100</v>
      </c>
      <c r="AH27" s="453">
        <f t="shared" si="20"/>
        <v>6219.97</v>
      </c>
      <c r="AI27" s="450" t="e">
        <f t="shared" si="3"/>
        <v>#DIV/0!</v>
      </c>
      <c r="AJ27" s="714" t="s">
        <v>844</v>
      </c>
      <c r="AK27" s="452">
        <f>2601.66*1.2</f>
        <v>3121.9919999999997</v>
      </c>
      <c r="AL27" s="452"/>
      <c r="AM27" s="453">
        <f t="shared" si="21"/>
        <v>3121.9919999999997</v>
      </c>
      <c r="AN27" s="450" t="e">
        <f t="shared" si="7"/>
        <v>#DIV/0!</v>
      </c>
      <c r="AO27" s="714" t="s">
        <v>880</v>
      </c>
      <c r="AP27" s="452"/>
      <c r="AQ27" s="452">
        <v>300</v>
      </c>
      <c r="AR27" s="453">
        <f t="shared" si="22"/>
        <v>300</v>
      </c>
      <c r="AS27" s="450">
        <f t="shared" si="8"/>
        <v>1.1577271647339835E-3</v>
      </c>
      <c r="AT27" s="714" t="s">
        <v>896</v>
      </c>
      <c r="AU27" s="452"/>
      <c r="AV27" s="452"/>
      <c r="AW27" s="453">
        <f t="shared" si="23"/>
        <v>0</v>
      </c>
      <c r="AX27" s="450" t="e">
        <f t="shared" si="9"/>
        <v>#DIV/0!</v>
      </c>
      <c r="AY27" s="714"/>
      <c r="AZ27" s="39">
        <v>3967.1980000000003</v>
      </c>
      <c r="BA27" s="39">
        <v>350</v>
      </c>
      <c r="BB27" s="453">
        <f t="shared" si="24"/>
        <v>4317.1980000000003</v>
      </c>
      <c r="BC27" s="450" t="e">
        <f t="shared" si="10"/>
        <v>#DIV/0!</v>
      </c>
      <c r="BD27" s="714"/>
      <c r="BE27" s="39"/>
      <c r="BF27" s="39"/>
      <c r="BG27" s="453">
        <f t="shared" si="25"/>
        <v>0</v>
      </c>
      <c r="BH27" s="450">
        <f t="shared" si="4"/>
        <v>0</v>
      </c>
      <c r="BI27" s="714"/>
      <c r="BJ27" s="39">
        <f t="shared" si="11"/>
        <v>13209.16</v>
      </c>
      <c r="BK27" s="39">
        <f t="shared" si="12"/>
        <v>2390</v>
      </c>
      <c r="BL27" s="210">
        <f t="shared" si="26"/>
        <v>15599.16</v>
      </c>
      <c r="BM27" s="178" t="e">
        <f t="shared" si="31"/>
        <v>#DIV/0!</v>
      </c>
      <c r="BN27" s="42"/>
      <c r="BO27" s="1"/>
      <c r="BP27" s="842"/>
      <c r="BQ27" s="842"/>
      <c r="BR27" s="1"/>
      <c r="BS27" s="1"/>
      <c r="BT27" s="1"/>
    </row>
    <row r="28" spans="1:72" s="226" customFormat="1" ht="87" customHeight="1">
      <c r="A28" s="238"/>
      <c r="B28" s="496" t="s">
        <v>52</v>
      </c>
      <c r="C28" s="114">
        <f>315781.57+53950</f>
        <v>369731.57</v>
      </c>
      <c r="D28" s="445"/>
      <c r="E28" s="446">
        <f t="shared" si="6"/>
        <v>369731.57</v>
      </c>
      <c r="F28" s="447">
        <f t="shared" si="28"/>
        <v>1.8714839307715298E-2</v>
      </c>
      <c r="G28" s="452"/>
      <c r="H28" s="452">
        <v>1053</v>
      </c>
      <c r="I28" s="453">
        <f t="shared" si="13"/>
        <v>1053</v>
      </c>
      <c r="J28" s="450">
        <f t="shared" si="29"/>
        <v>3.3635613536090268E-3</v>
      </c>
      <c r="K28" s="454" t="s">
        <v>510</v>
      </c>
      <c r="L28" s="452"/>
      <c r="M28" s="452">
        <f>45+2300+100+800</f>
        <v>3245</v>
      </c>
      <c r="N28" s="453">
        <f t="shared" si="14"/>
        <v>3245</v>
      </c>
      <c r="O28" s="450">
        <f t="shared" si="30"/>
        <v>2.6553033024775364E-3</v>
      </c>
      <c r="P28" s="455" t="s">
        <v>567</v>
      </c>
      <c r="Q28" s="452">
        <f>2039*1.2+1395*1.2</f>
        <v>4120.7999999999993</v>
      </c>
      <c r="R28" s="452">
        <f>653.6+517.8</f>
        <v>1171.4000000000001</v>
      </c>
      <c r="S28" s="453">
        <f t="shared" si="32"/>
        <v>5292.1999999999989</v>
      </c>
      <c r="T28" s="450">
        <f t="shared" si="27"/>
        <v>7.5172697227010176E-4</v>
      </c>
      <c r="U28" s="714" t="s">
        <v>697</v>
      </c>
      <c r="V28" s="452">
        <f>1350*1.2+861+(140+220)*1.2</f>
        <v>2913</v>
      </c>
      <c r="W28" s="452">
        <f>2836.68</f>
        <v>2836.68</v>
      </c>
      <c r="X28" s="453">
        <f t="shared" si="16"/>
        <v>5749.68</v>
      </c>
      <c r="Y28" s="450">
        <f t="shared" si="17"/>
        <v>2.3367660921623005E-3</v>
      </c>
      <c r="Z28" s="714" t="s">
        <v>768</v>
      </c>
      <c r="AA28" s="452">
        <f>611+930*1.2+465*1.2</f>
        <v>2285</v>
      </c>
      <c r="AB28" s="452">
        <v>1200</v>
      </c>
      <c r="AC28" s="453">
        <f t="shared" si="18"/>
        <v>3485</v>
      </c>
      <c r="AD28" s="541">
        <f t="shared" si="19"/>
        <v>1.2218594230825647E-3</v>
      </c>
      <c r="AE28" s="714" t="s">
        <v>813</v>
      </c>
      <c r="AF28" s="452">
        <f>2039+1350*1.2+2166.16+2166.16+2166.16</f>
        <v>10157.48</v>
      </c>
      <c r="AG28" s="452">
        <v>900</v>
      </c>
      <c r="AH28" s="453">
        <f t="shared" si="20"/>
        <v>11057.48</v>
      </c>
      <c r="AI28" s="450" t="e">
        <f t="shared" si="3"/>
        <v>#DIV/0!</v>
      </c>
      <c r="AJ28" s="714" t="s">
        <v>866</v>
      </c>
      <c r="AK28" s="452">
        <f>745*1.2</f>
        <v>894</v>
      </c>
      <c r="AL28" s="452"/>
      <c r="AM28" s="453">
        <f t="shared" si="21"/>
        <v>894</v>
      </c>
      <c r="AN28" s="450" t="e">
        <f t="shared" si="7"/>
        <v>#DIV/0!</v>
      </c>
      <c r="AO28" s="714" t="s">
        <v>879</v>
      </c>
      <c r="AP28" s="452">
        <f>80*1.2</f>
        <v>96</v>
      </c>
      <c r="AQ28" s="452">
        <v>3259.02</v>
      </c>
      <c r="AR28" s="453">
        <f t="shared" si="22"/>
        <v>3355.02</v>
      </c>
      <c r="AS28" s="450">
        <f t="shared" si="8"/>
        <v>1.2947325974086031E-2</v>
      </c>
      <c r="AT28" s="714" t="s">
        <v>902</v>
      </c>
      <c r="AU28" s="452"/>
      <c r="AV28" s="452">
        <v>6600</v>
      </c>
      <c r="AW28" s="453">
        <f t="shared" si="23"/>
        <v>6600</v>
      </c>
      <c r="AX28" s="450" t="e">
        <f t="shared" si="9"/>
        <v>#DIV/0!</v>
      </c>
      <c r="AY28" s="714" t="s">
        <v>917</v>
      </c>
      <c r="AZ28" s="39">
        <v>-9631.2799999999988</v>
      </c>
      <c r="BA28" s="39">
        <v>-2290.0200000000004</v>
      </c>
      <c r="BB28" s="453">
        <f t="shared" si="24"/>
        <v>-11921.3</v>
      </c>
      <c r="BC28" s="450" t="e">
        <f t="shared" si="10"/>
        <v>#DIV/0!</v>
      </c>
      <c r="BD28" s="714"/>
      <c r="BE28" s="39"/>
      <c r="BF28" s="39"/>
      <c r="BG28" s="453">
        <f t="shared" si="25"/>
        <v>0</v>
      </c>
      <c r="BH28" s="450">
        <f t="shared" si="4"/>
        <v>0</v>
      </c>
      <c r="BI28" s="714"/>
      <c r="BJ28" s="39">
        <f t="shared" si="11"/>
        <v>10835</v>
      </c>
      <c r="BK28" s="39">
        <f t="shared" si="12"/>
        <v>17975.079999999998</v>
      </c>
      <c r="BL28" s="210">
        <f t="shared" si="26"/>
        <v>28810.079999999998</v>
      </c>
      <c r="BM28" s="178" t="e">
        <f t="shared" si="31"/>
        <v>#DIV/0!</v>
      </c>
      <c r="BN28" s="42"/>
      <c r="BO28" s="1"/>
      <c r="BP28" s="842"/>
      <c r="BQ28" s="842"/>
      <c r="BR28" s="1"/>
      <c r="BS28" s="1"/>
      <c r="BT28" s="1"/>
    </row>
    <row r="29" spans="1:72" s="2" customFormat="1" ht="69">
      <c r="A29" s="238"/>
      <c r="B29" s="471" t="s">
        <v>31</v>
      </c>
      <c r="C29" s="114">
        <v>196500</v>
      </c>
      <c r="D29" s="445">
        <v>79500</v>
      </c>
      <c r="E29" s="446">
        <f t="shared" si="6"/>
        <v>276000</v>
      </c>
      <c r="F29" s="450">
        <f t="shared" si="28"/>
        <v>1.3970393842563733E-2</v>
      </c>
      <c r="G29" s="452">
        <v>2730</v>
      </c>
      <c r="H29" s="452">
        <v>6600</v>
      </c>
      <c r="I29" s="453">
        <f t="shared" si="13"/>
        <v>9330</v>
      </c>
      <c r="J29" s="450">
        <f t="shared" si="29"/>
        <v>2.9802495184399071E-2</v>
      </c>
      <c r="K29" s="454" t="s">
        <v>504</v>
      </c>
      <c r="L29" s="452">
        <v>8590</v>
      </c>
      <c r="M29" s="452">
        <f>14800</f>
        <v>14800</v>
      </c>
      <c r="N29" s="453">
        <f t="shared" si="14"/>
        <v>23390</v>
      </c>
      <c r="O29" s="450">
        <f t="shared" si="30"/>
        <v>1.9139458935269516E-2</v>
      </c>
      <c r="P29" s="458" t="s">
        <v>589</v>
      </c>
      <c r="Q29" s="452">
        <v>29260</v>
      </c>
      <c r="R29" s="452">
        <v>14700</v>
      </c>
      <c r="S29" s="453">
        <f t="shared" si="32"/>
        <v>43960</v>
      </c>
      <c r="T29" s="450">
        <f t="shared" si="27"/>
        <v>6.2442684896628397E-3</v>
      </c>
      <c r="U29" s="458" t="s">
        <v>690</v>
      </c>
      <c r="V29" s="452">
        <v>27870</v>
      </c>
      <c r="W29" s="452">
        <v>14100</v>
      </c>
      <c r="X29" s="453">
        <f t="shared" si="16"/>
        <v>41970</v>
      </c>
      <c r="Y29" s="450">
        <f t="shared" si="17"/>
        <v>1.7057309778640159E-2</v>
      </c>
      <c r="Z29" s="458"/>
      <c r="AA29" s="452">
        <v>42260</v>
      </c>
      <c r="AB29" s="452">
        <v>31900</v>
      </c>
      <c r="AC29" s="453">
        <f t="shared" si="18"/>
        <v>74160</v>
      </c>
      <c r="AD29" s="541">
        <f t="shared" si="19"/>
        <v>2.600088803896786E-2</v>
      </c>
      <c r="AE29" s="458"/>
      <c r="AF29" s="452">
        <f>44270-800</f>
        <v>43470</v>
      </c>
      <c r="AG29" s="452">
        <v>27400</v>
      </c>
      <c r="AH29" s="453">
        <f t="shared" si="20"/>
        <v>70870</v>
      </c>
      <c r="AI29" s="450" t="e">
        <f t="shared" si="3"/>
        <v>#DIV/0!</v>
      </c>
      <c r="AJ29" s="458"/>
      <c r="AK29" s="452">
        <f>16890-AK65</f>
        <v>13250</v>
      </c>
      <c r="AL29" s="452">
        <v>27400</v>
      </c>
      <c r="AM29" s="453">
        <f t="shared" si="21"/>
        <v>40650</v>
      </c>
      <c r="AN29" s="450" t="e">
        <f t="shared" si="7"/>
        <v>#DIV/0!</v>
      </c>
      <c r="AO29" s="458"/>
      <c r="AP29" s="452">
        <v>9350</v>
      </c>
      <c r="AQ29" s="452">
        <v>8400</v>
      </c>
      <c r="AR29" s="453">
        <f t="shared" si="22"/>
        <v>17750</v>
      </c>
      <c r="AS29" s="450">
        <f t="shared" si="8"/>
        <v>6.8498857246760692E-2</v>
      </c>
      <c r="AT29" s="458"/>
      <c r="AU29" s="452"/>
      <c r="AV29" s="452">
        <v>400</v>
      </c>
      <c r="AW29" s="453">
        <f t="shared" si="23"/>
        <v>400</v>
      </c>
      <c r="AX29" s="450" t="e">
        <f t="shared" si="9"/>
        <v>#DIV/0!</v>
      </c>
      <c r="AY29" s="458" t="s">
        <v>916</v>
      </c>
      <c r="AZ29" s="39">
        <v>-16070</v>
      </c>
      <c r="BA29" s="39">
        <v>-600</v>
      </c>
      <c r="BB29" s="453">
        <f t="shared" si="24"/>
        <v>-16670</v>
      </c>
      <c r="BC29" s="450" t="e">
        <f t="shared" si="10"/>
        <v>#DIV/0!</v>
      </c>
      <c r="BD29" s="458"/>
      <c r="BE29" s="39"/>
      <c r="BF29" s="39"/>
      <c r="BG29" s="453">
        <f t="shared" si="25"/>
        <v>0</v>
      </c>
      <c r="BH29" s="450">
        <f t="shared" si="4"/>
        <v>0</v>
      </c>
      <c r="BI29" s="458"/>
      <c r="BJ29" s="39">
        <f t="shared" si="11"/>
        <v>160710</v>
      </c>
      <c r="BK29" s="39">
        <f t="shared" si="12"/>
        <v>145100</v>
      </c>
      <c r="BL29" s="210">
        <f t="shared" si="26"/>
        <v>305810</v>
      </c>
      <c r="BM29" s="178" t="e">
        <f t="shared" si="31"/>
        <v>#DIV/0!</v>
      </c>
      <c r="BN29" s="79"/>
      <c r="BO29" s="1"/>
      <c r="BP29" s="842"/>
      <c r="BQ29" s="842"/>
      <c r="BR29" s="1"/>
      <c r="BS29" s="1"/>
      <c r="BT29" s="1"/>
    </row>
    <row r="30" spans="1:72" s="2" customFormat="1" ht="69">
      <c r="A30" s="238"/>
      <c r="B30" s="471" t="s">
        <v>62</v>
      </c>
      <c r="C30" s="114"/>
      <c r="D30" s="445">
        <v>187250</v>
      </c>
      <c r="E30" s="446">
        <f t="shared" si="6"/>
        <v>187250</v>
      </c>
      <c r="F30" s="450">
        <f t="shared" si="28"/>
        <v>9.4781023442755772E-3</v>
      </c>
      <c r="G30" s="452"/>
      <c r="H30" s="452">
        <v>22500</v>
      </c>
      <c r="I30" s="453">
        <f t="shared" si="13"/>
        <v>22500</v>
      </c>
      <c r="J30" s="450">
        <f t="shared" si="29"/>
        <v>7.187096909420998E-2</v>
      </c>
      <c r="K30" s="498"/>
      <c r="L30" s="452"/>
      <c r="M30" s="452">
        <v>14510</v>
      </c>
      <c r="N30" s="453">
        <f t="shared" si="14"/>
        <v>14510</v>
      </c>
      <c r="O30" s="450">
        <f t="shared" si="30"/>
        <v>1.1873174397210803E-2</v>
      </c>
      <c r="P30" s="863" t="s">
        <v>561</v>
      </c>
      <c r="Q30" s="452"/>
      <c r="R30" s="452">
        <v>25751</v>
      </c>
      <c r="S30" s="453">
        <f t="shared" si="32"/>
        <v>25751</v>
      </c>
      <c r="T30" s="450">
        <f t="shared" si="27"/>
        <v>3.6577833912035435E-3</v>
      </c>
      <c r="U30" s="714" t="s">
        <v>687</v>
      </c>
      <c r="V30" s="452"/>
      <c r="W30" s="452">
        <v>51046</v>
      </c>
      <c r="X30" s="453">
        <f t="shared" si="16"/>
        <v>51046</v>
      </c>
      <c r="Y30" s="450">
        <f t="shared" si="17"/>
        <v>2.074594793806208E-2</v>
      </c>
      <c r="Z30" s="458" t="s">
        <v>762</v>
      </c>
      <c r="AA30" s="452"/>
      <c r="AB30" s="452">
        <v>33856</v>
      </c>
      <c r="AC30" s="453">
        <f t="shared" si="18"/>
        <v>33856</v>
      </c>
      <c r="AD30" s="541">
        <f t="shared" si="19"/>
        <v>1.1870092576150161E-2</v>
      </c>
      <c r="AE30" s="458"/>
      <c r="AF30" s="452"/>
      <c r="AG30" s="452">
        <v>36458</v>
      </c>
      <c r="AH30" s="453">
        <f t="shared" si="20"/>
        <v>36458</v>
      </c>
      <c r="AI30" s="450" t="e">
        <f t="shared" si="3"/>
        <v>#DIV/0!</v>
      </c>
      <c r="AJ30" s="458"/>
      <c r="AK30" s="452"/>
      <c r="AL30" s="452">
        <v>16019</v>
      </c>
      <c r="AM30" s="453">
        <f t="shared" si="21"/>
        <v>16019</v>
      </c>
      <c r="AN30" s="450" t="e">
        <f t="shared" si="7"/>
        <v>#DIV/0!</v>
      </c>
      <c r="AO30" s="458"/>
      <c r="AP30" s="452"/>
      <c r="AQ30" s="452">
        <v>10830</v>
      </c>
      <c r="AR30" s="453">
        <f t="shared" si="22"/>
        <v>10830</v>
      </c>
      <c r="AS30" s="450">
        <f t="shared" si="8"/>
        <v>4.1793950646896803E-2</v>
      </c>
      <c r="AT30" s="458"/>
      <c r="AU30" s="452"/>
      <c r="AV30" s="452"/>
      <c r="AW30" s="453">
        <f t="shared" si="23"/>
        <v>0</v>
      </c>
      <c r="AX30" s="450" t="e">
        <f t="shared" si="9"/>
        <v>#DIV/0!</v>
      </c>
      <c r="AY30" s="458"/>
      <c r="AZ30" s="39">
        <v>0</v>
      </c>
      <c r="BA30" s="39">
        <v>100</v>
      </c>
      <c r="BB30" s="453">
        <f t="shared" si="24"/>
        <v>100</v>
      </c>
      <c r="BC30" s="450" t="e">
        <f t="shared" si="10"/>
        <v>#DIV/0!</v>
      </c>
      <c r="BD30" s="458"/>
      <c r="BE30" s="39"/>
      <c r="BF30" s="39"/>
      <c r="BG30" s="453">
        <f t="shared" si="25"/>
        <v>0</v>
      </c>
      <c r="BH30" s="450">
        <f t="shared" si="4"/>
        <v>0</v>
      </c>
      <c r="BI30" s="458"/>
      <c r="BJ30" s="39">
        <f t="shared" si="11"/>
        <v>0</v>
      </c>
      <c r="BK30" s="39">
        <f t="shared" si="12"/>
        <v>211070</v>
      </c>
      <c r="BL30" s="210">
        <f t="shared" si="26"/>
        <v>211070</v>
      </c>
      <c r="BM30" s="178" t="e">
        <f t="shared" si="31"/>
        <v>#DIV/0!</v>
      </c>
      <c r="BN30" s="79"/>
      <c r="BO30" s="1"/>
      <c r="BP30" s="842"/>
      <c r="BQ30" s="842"/>
      <c r="BR30" s="1"/>
      <c r="BS30" s="1"/>
      <c r="BT30" s="1"/>
    </row>
    <row r="31" spans="1:72" s="2" customFormat="1" ht="151.80000000000001">
      <c r="A31" s="238"/>
      <c r="B31" s="471" t="s">
        <v>34</v>
      </c>
      <c r="C31" s="114">
        <f>10000</f>
        <v>10000</v>
      </c>
      <c r="D31" s="582">
        <v>86310</v>
      </c>
      <c r="E31" s="446">
        <f t="shared" si="6"/>
        <v>96310</v>
      </c>
      <c r="F31" s="450">
        <f t="shared" si="28"/>
        <v>4.8749588078888162E-3</v>
      </c>
      <c r="G31" s="452">
        <v>3613.76</v>
      </c>
      <c r="H31" s="452">
        <f>4785+150+100</f>
        <v>5035</v>
      </c>
      <c r="I31" s="453">
        <f t="shared" si="13"/>
        <v>8648.76</v>
      </c>
      <c r="J31" s="450">
        <f t="shared" si="29"/>
        <v>2.7626433896143977E-2</v>
      </c>
      <c r="K31" s="454" t="s">
        <v>511</v>
      </c>
      <c r="L31" s="452">
        <v>2769.25</v>
      </c>
      <c r="M31" s="452">
        <f>200+700</f>
        <v>900</v>
      </c>
      <c r="N31" s="453">
        <f t="shared" si="14"/>
        <v>3669.25</v>
      </c>
      <c r="O31" s="450">
        <f t="shared" si="30"/>
        <v>3.0024565924855781E-3</v>
      </c>
      <c r="P31" s="462" t="s">
        <v>590</v>
      </c>
      <c r="Q31" s="458">
        <v>2699</v>
      </c>
      <c r="R31" s="452">
        <v>8930</v>
      </c>
      <c r="S31" s="453">
        <f>Q31+R31*1</f>
        <v>11629</v>
      </c>
      <c r="T31" s="450">
        <f t="shared" si="27"/>
        <v>1.6518334455479791E-3</v>
      </c>
      <c r="U31" s="714" t="s">
        <v>688</v>
      </c>
      <c r="V31" s="458">
        <f>1815.72</f>
        <v>1815.72</v>
      </c>
      <c r="W31" s="452">
        <f>11957.39+1800+100</f>
        <v>13857.39</v>
      </c>
      <c r="X31" s="453">
        <f>V31+W31*1</f>
        <v>15673.109999999999</v>
      </c>
      <c r="Y31" s="450">
        <f>X31/$X$89</f>
        <v>6.3698139734263241E-3</v>
      </c>
      <c r="Z31" s="714" t="s">
        <v>761</v>
      </c>
      <c r="AA31" s="453">
        <v>1079.5999999999999</v>
      </c>
      <c r="AB31" s="453">
        <f>1200+12800</f>
        <v>14000</v>
      </c>
      <c r="AC31" s="453">
        <f>AA31+AB31*1</f>
        <v>15079.6</v>
      </c>
      <c r="AD31" s="541">
        <f>AC31/$AC$89</f>
        <v>5.2869874767046895E-3</v>
      </c>
      <c r="AE31" s="714" t="s">
        <v>782</v>
      </c>
      <c r="AF31" s="453">
        <v>2701</v>
      </c>
      <c r="AG31" s="453">
        <f>14023-1088</f>
        <v>12935</v>
      </c>
      <c r="AH31" s="453">
        <f>AF31+AG31*1</f>
        <v>15636</v>
      </c>
      <c r="AI31" s="450" t="e">
        <f t="shared" si="3"/>
        <v>#DIV/0!</v>
      </c>
      <c r="AJ31" s="714" t="s">
        <v>852</v>
      </c>
      <c r="AK31" s="453"/>
      <c r="AL31" s="453">
        <v>15300</v>
      </c>
      <c r="AM31" s="453">
        <f>AK31+AL31*1</f>
        <v>15300</v>
      </c>
      <c r="AN31" s="450" t="e">
        <f t="shared" si="7"/>
        <v>#DIV/0!</v>
      </c>
      <c r="AO31" s="714"/>
      <c r="AP31" s="453"/>
      <c r="AQ31" s="453">
        <v>7700</v>
      </c>
      <c r="AR31" s="453">
        <f>AP31+AQ31*1</f>
        <v>7700</v>
      </c>
      <c r="AS31" s="450">
        <f t="shared" si="8"/>
        <v>2.9714997228172241E-2</v>
      </c>
      <c r="AT31" s="714"/>
      <c r="AU31" s="453"/>
      <c r="AV31" s="453"/>
      <c r="AW31" s="453">
        <f>AU31+AV31*1</f>
        <v>0</v>
      </c>
      <c r="AX31" s="450" t="e">
        <f t="shared" si="9"/>
        <v>#DIV/0!</v>
      </c>
      <c r="AY31" s="714"/>
      <c r="AZ31" s="39">
        <v>-1813.3599999999988</v>
      </c>
      <c r="BA31" s="39">
        <v>-3002.3999999999942</v>
      </c>
      <c r="BB31" s="453">
        <f>AZ31+BA31*1</f>
        <v>-4815.7599999999929</v>
      </c>
      <c r="BC31" s="450" t="e">
        <f t="shared" si="10"/>
        <v>#DIV/0!</v>
      </c>
      <c r="BD31" s="714"/>
      <c r="BE31" s="39"/>
      <c r="BF31" s="39"/>
      <c r="BG31" s="453">
        <f>BE31+BF31*1</f>
        <v>0</v>
      </c>
      <c r="BH31" s="450">
        <f>BG31/$BG$89</f>
        <v>0</v>
      </c>
      <c r="BI31" s="714"/>
      <c r="BJ31" s="39">
        <f t="shared" si="11"/>
        <v>12864.970000000001</v>
      </c>
      <c r="BK31" s="39">
        <f t="shared" si="12"/>
        <v>75654.990000000005</v>
      </c>
      <c r="BL31" s="210">
        <f t="shared" si="26"/>
        <v>88519.96</v>
      </c>
      <c r="BM31" s="178" t="e">
        <f t="shared" si="31"/>
        <v>#DIV/0!</v>
      </c>
      <c r="BN31" s="79"/>
      <c r="BO31" s="1"/>
      <c r="BP31" s="842"/>
      <c r="BQ31" s="842"/>
      <c r="BR31" s="1"/>
      <c r="BS31" s="1"/>
      <c r="BT31" s="1"/>
    </row>
    <row r="32" spans="1:72" s="2" customFormat="1" ht="13.8">
      <c r="A32" s="238"/>
      <c r="B32" s="501" t="s">
        <v>2</v>
      </c>
      <c r="C32" s="115"/>
      <c r="D32" s="116"/>
      <c r="E32" s="446">
        <f t="shared" si="6"/>
        <v>0</v>
      </c>
      <c r="F32" s="450">
        <f t="shared" si="28"/>
        <v>0</v>
      </c>
      <c r="G32" s="452"/>
      <c r="H32" s="452"/>
      <c r="I32" s="453">
        <f t="shared" si="13"/>
        <v>0</v>
      </c>
      <c r="J32" s="450">
        <f t="shared" si="29"/>
        <v>0</v>
      </c>
      <c r="K32" s="498"/>
      <c r="L32" s="452"/>
      <c r="M32" s="452"/>
      <c r="N32" s="453">
        <f t="shared" si="14"/>
        <v>0</v>
      </c>
      <c r="O32" s="450">
        <f t="shared" si="30"/>
        <v>0</v>
      </c>
      <c r="P32" s="503"/>
      <c r="Q32" s="452"/>
      <c r="R32" s="452"/>
      <c r="S32" s="453">
        <f t="shared" si="32"/>
        <v>0</v>
      </c>
      <c r="T32" s="450">
        <f t="shared" si="27"/>
        <v>0</v>
      </c>
      <c r="U32" s="503"/>
      <c r="V32" s="452"/>
      <c r="W32" s="452"/>
      <c r="X32" s="453">
        <f>V32+W32*1</f>
        <v>0</v>
      </c>
      <c r="Y32" s="450">
        <f t="shared" si="17"/>
        <v>0</v>
      </c>
      <c r="Z32" s="503"/>
      <c r="AA32" s="452"/>
      <c r="AB32" s="452"/>
      <c r="AC32" s="453">
        <f>AA32+AB32*1</f>
        <v>0</v>
      </c>
      <c r="AD32" s="541">
        <f t="shared" si="19"/>
        <v>0</v>
      </c>
      <c r="AE32" s="503"/>
      <c r="AF32" s="452"/>
      <c r="AG32" s="452"/>
      <c r="AH32" s="453">
        <f>AF32+AG32*1</f>
        <v>0</v>
      </c>
      <c r="AI32" s="450" t="e">
        <f t="shared" si="3"/>
        <v>#DIV/0!</v>
      </c>
      <c r="AJ32" s="503"/>
      <c r="AK32" s="452"/>
      <c r="AL32" s="452"/>
      <c r="AM32" s="453">
        <f>AK32+AL32*1</f>
        <v>0</v>
      </c>
      <c r="AN32" s="450" t="e">
        <f t="shared" si="7"/>
        <v>#DIV/0!</v>
      </c>
      <c r="AO32" s="503"/>
      <c r="AP32" s="452"/>
      <c r="AQ32" s="452"/>
      <c r="AR32" s="453">
        <f>AP32+AQ32*1</f>
        <v>0</v>
      </c>
      <c r="AS32" s="450">
        <f t="shared" si="8"/>
        <v>0</v>
      </c>
      <c r="AT32" s="503"/>
      <c r="AU32" s="452"/>
      <c r="AV32" s="452"/>
      <c r="AW32" s="453">
        <f>AU32+AV32*1</f>
        <v>0</v>
      </c>
      <c r="AX32" s="450" t="e">
        <f t="shared" si="9"/>
        <v>#DIV/0!</v>
      </c>
      <c r="AY32" s="503"/>
      <c r="AZ32" s="39">
        <v>0</v>
      </c>
      <c r="BA32" s="39">
        <v>0</v>
      </c>
      <c r="BB32" s="453">
        <f>AZ32+BA32*1</f>
        <v>0</v>
      </c>
      <c r="BC32" s="450" t="e">
        <f t="shared" si="10"/>
        <v>#DIV/0!</v>
      </c>
      <c r="BD32" s="503"/>
      <c r="BE32" s="39"/>
      <c r="BF32" s="39"/>
      <c r="BG32" s="453">
        <f>BE32+BF32*1</f>
        <v>0</v>
      </c>
      <c r="BH32" s="450">
        <f t="shared" si="4"/>
        <v>0</v>
      </c>
      <c r="BI32" s="503"/>
      <c r="BJ32" s="39">
        <f t="shared" si="11"/>
        <v>0</v>
      </c>
      <c r="BK32" s="39">
        <f t="shared" si="12"/>
        <v>0</v>
      </c>
      <c r="BL32" s="210">
        <f t="shared" si="26"/>
        <v>0</v>
      </c>
      <c r="BM32" s="178" t="e">
        <f t="shared" si="31"/>
        <v>#DIV/0!</v>
      </c>
      <c r="BN32" s="79"/>
      <c r="BO32" s="1"/>
      <c r="BP32" s="842"/>
      <c r="BQ32" s="842"/>
      <c r="BR32" s="1"/>
      <c r="BS32" s="1"/>
      <c r="BT32" s="1"/>
    </row>
    <row r="33" spans="1:72" s="2" customFormat="1" ht="28.2" thickBot="1">
      <c r="A33" s="238"/>
      <c r="B33" s="504" t="s">
        <v>75</v>
      </c>
      <c r="C33" s="505"/>
      <c r="D33" s="506"/>
      <c r="E33" s="507">
        <f t="shared" si="6"/>
        <v>0</v>
      </c>
      <c r="F33" s="508">
        <f t="shared" si="28"/>
        <v>0</v>
      </c>
      <c r="G33" s="512"/>
      <c r="H33" s="512">
        <v>168</v>
      </c>
      <c r="I33" s="513">
        <f t="shared" si="13"/>
        <v>168</v>
      </c>
      <c r="J33" s="508">
        <f t="shared" si="29"/>
        <v>5.3663656923676781E-4</v>
      </c>
      <c r="K33" s="864" t="s">
        <v>505</v>
      </c>
      <c r="L33" s="512"/>
      <c r="M33" s="512"/>
      <c r="N33" s="513">
        <f t="shared" si="14"/>
        <v>0</v>
      </c>
      <c r="O33" s="508">
        <f t="shared" si="30"/>
        <v>0</v>
      </c>
      <c r="P33" s="865"/>
      <c r="Q33" s="512"/>
      <c r="R33" s="512"/>
      <c r="S33" s="513">
        <f t="shared" si="32"/>
        <v>0</v>
      </c>
      <c r="T33" s="508">
        <f t="shared" si="27"/>
        <v>0</v>
      </c>
      <c r="U33" s="865"/>
      <c r="V33" s="553"/>
      <c r="W33" s="554">
        <v>1200</v>
      </c>
      <c r="X33" s="590">
        <f>V33+W33*1</f>
        <v>1200</v>
      </c>
      <c r="Y33" s="508">
        <f t="shared" si="17"/>
        <v>4.8770006515054065E-4</v>
      </c>
      <c r="Z33" s="849" t="s">
        <v>760</v>
      </c>
      <c r="AA33" s="553"/>
      <c r="AB33" s="554">
        <v>1800</v>
      </c>
      <c r="AC33" s="590">
        <f>AA33+AB33*1</f>
        <v>1800</v>
      </c>
      <c r="AD33" s="542">
        <f t="shared" si="19"/>
        <v>6.3108951550892866E-4</v>
      </c>
      <c r="AE33" s="849" t="s">
        <v>810</v>
      </c>
      <c r="AF33" s="553"/>
      <c r="AG33" s="554"/>
      <c r="AH33" s="590">
        <f>AF33+AG33*1</f>
        <v>0</v>
      </c>
      <c r="AI33" s="508" t="e">
        <f t="shared" si="3"/>
        <v>#DIV/0!</v>
      </c>
      <c r="AJ33" s="849"/>
      <c r="AK33" s="553"/>
      <c r="AL33" s="554"/>
      <c r="AM33" s="590">
        <f>AK33+AL33*1</f>
        <v>0</v>
      </c>
      <c r="AN33" s="508" t="e">
        <f t="shared" si="7"/>
        <v>#DIV/0!</v>
      </c>
      <c r="AO33" s="849"/>
      <c r="AP33" s="553"/>
      <c r="AQ33" s="554"/>
      <c r="AR33" s="590">
        <f>AP33+AQ33*1</f>
        <v>0</v>
      </c>
      <c r="AS33" s="508">
        <f t="shared" si="8"/>
        <v>0</v>
      </c>
      <c r="AT33" s="849"/>
      <c r="AU33" s="553"/>
      <c r="AV33" s="554"/>
      <c r="AW33" s="590">
        <f>AU33+AV33*1</f>
        <v>0</v>
      </c>
      <c r="AX33" s="508" t="e">
        <f t="shared" si="9"/>
        <v>#DIV/0!</v>
      </c>
      <c r="AY33" s="849"/>
      <c r="AZ33" s="39">
        <v>0</v>
      </c>
      <c r="BA33" s="39">
        <v>6121</v>
      </c>
      <c r="BB33" s="590">
        <f>AZ33+BA33*1</f>
        <v>6121</v>
      </c>
      <c r="BC33" s="508" t="e">
        <f t="shared" si="10"/>
        <v>#DIV/0!</v>
      </c>
      <c r="BD33" s="849"/>
      <c r="BE33" s="39"/>
      <c r="BF33" s="39"/>
      <c r="BG33" s="590">
        <f>BE33+BF33*1</f>
        <v>0</v>
      </c>
      <c r="BH33" s="508">
        <f t="shared" si="4"/>
        <v>0</v>
      </c>
      <c r="BI33" s="849"/>
      <c r="BJ33" s="39">
        <f t="shared" si="11"/>
        <v>0</v>
      </c>
      <c r="BK33" s="39">
        <f t="shared" si="12"/>
        <v>9289</v>
      </c>
      <c r="BL33" s="210">
        <f t="shared" si="26"/>
        <v>9289</v>
      </c>
      <c r="BM33" s="178" t="e">
        <f t="shared" si="31"/>
        <v>#DIV/0!</v>
      </c>
      <c r="BN33" s="79"/>
      <c r="BO33" s="1"/>
      <c r="BP33" s="842"/>
      <c r="BQ33" s="842"/>
      <c r="BR33" s="1"/>
      <c r="BS33" s="1"/>
      <c r="BT33" s="1"/>
    </row>
    <row r="34" spans="1:72" s="2" customFormat="1" ht="13.8">
      <c r="A34" s="238"/>
      <c r="B34" s="473"/>
      <c r="C34" s="474"/>
      <c r="D34" s="475"/>
      <c r="E34" s="476"/>
      <c r="F34" s="477"/>
      <c r="G34" s="452"/>
      <c r="H34" s="452"/>
      <c r="I34" s="476"/>
      <c r="J34" s="476"/>
      <c r="K34" s="476"/>
      <c r="L34" s="452"/>
      <c r="M34" s="452"/>
      <c r="N34" s="476"/>
      <c r="O34" s="476"/>
      <c r="P34" s="476"/>
      <c r="Q34" s="452"/>
      <c r="R34" s="452"/>
      <c r="S34" s="476"/>
      <c r="T34" s="476"/>
      <c r="U34" s="476"/>
      <c r="V34" s="452"/>
      <c r="W34" s="452"/>
      <c r="X34" s="476"/>
      <c r="Y34" s="476"/>
      <c r="Z34" s="476"/>
      <c r="AA34" s="452"/>
      <c r="AB34" s="452"/>
      <c r="AC34" s="476"/>
      <c r="AD34" s="476"/>
      <c r="AE34" s="476"/>
      <c r="AF34" s="452"/>
      <c r="AG34" s="452"/>
      <c r="AH34" s="476"/>
      <c r="AI34" s="476"/>
      <c r="AJ34" s="476"/>
      <c r="AK34" s="452"/>
      <c r="AL34" s="452"/>
      <c r="AM34" s="476"/>
      <c r="AN34" s="476"/>
      <c r="AO34" s="476"/>
      <c r="AP34" s="452"/>
      <c r="AQ34" s="452"/>
      <c r="AR34" s="476"/>
      <c r="AS34" s="476">
        <f t="shared" si="8"/>
        <v>0</v>
      </c>
      <c r="AT34" s="476"/>
      <c r="AU34" s="452"/>
      <c r="AV34" s="452"/>
      <c r="AW34" s="476"/>
      <c r="AX34" s="476"/>
      <c r="AY34" s="476"/>
      <c r="AZ34" s="452"/>
      <c r="BA34" s="452"/>
      <c r="BB34" s="476"/>
      <c r="BC34" s="476"/>
      <c r="BD34" s="476"/>
      <c r="BE34" s="452"/>
      <c r="BF34" s="452"/>
      <c r="BG34" s="476"/>
      <c r="BH34" s="476"/>
      <c r="BI34" s="476"/>
      <c r="BJ34" s="452"/>
      <c r="BK34" s="452"/>
      <c r="BL34" s="48"/>
      <c r="BM34" s="48"/>
      <c r="BN34" s="48"/>
      <c r="BO34" s="1"/>
      <c r="BP34" s="842"/>
      <c r="BQ34" s="842"/>
      <c r="BR34" s="1"/>
      <c r="BS34" s="1"/>
      <c r="BT34" s="1"/>
    </row>
    <row r="35" spans="1:72" s="88" customFormat="1" ht="13.8">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91"/>
      <c r="P35" s="404"/>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404"/>
      <c r="AF35" s="90">
        <f>AF36</f>
        <v>0</v>
      </c>
      <c r="AG35" s="90">
        <f>AG36</f>
        <v>0</v>
      </c>
      <c r="AH35" s="91">
        <f>AH36</f>
        <v>0</v>
      </c>
      <c r="AI35" s="91"/>
      <c r="AJ35" s="404"/>
      <c r="AK35" s="90">
        <f>AK36</f>
        <v>0</v>
      </c>
      <c r="AL35" s="90">
        <f>AL36</f>
        <v>0</v>
      </c>
      <c r="AM35" s="91">
        <f>AM36</f>
        <v>0</v>
      </c>
      <c r="AN35" s="91"/>
      <c r="AO35" s="404"/>
      <c r="AP35" s="90">
        <f>AP36</f>
        <v>0</v>
      </c>
      <c r="AQ35" s="90">
        <f>AQ36</f>
        <v>0</v>
      </c>
      <c r="AR35" s="91">
        <f>AR36</f>
        <v>0</v>
      </c>
      <c r="AS35" s="91">
        <f t="shared" si="8"/>
        <v>0</v>
      </c>
      <c r="AT35" s="404"/>
      <c r="AU35" s="90">
        <f>AU36</f>
        <v>0</v>
      </c>
      <c r="AV35" s="90">
        <f>AV36</f>
        <v>0</v>
      </c>
      <c r="AW35" s="91">
        <f>AW36</f>
        <v>0</v>
      </c>
      <c r="AX35" s="91">
        <f t="shared" ref="AX35:AX40" si="33">AW35/$AR$89</f>
        <v>0</v>
      </c>
      <c r="AY35" s="404"/>
      <c r="AZ35" s="90">
        <f>AZ36</f>
        <v>0</v>
      </c>
      <c r="BA35" s="90">
        <f>BA36</f>
        <v>0</v>
      </c>
      <c r="BB35" s="91">
        <f>BB36</f>
        <v>0</v>
      </c>
      <c r="BC35" s="91">
        <f>BB35/$AR$89</f>
        <v>0</v>
      </c>
      <c r="BD35" s="404"/>
      <c r="BE35" s="90">
        <f>BE36</f>
        <v>0</v>
      </c>
      <c r="BF35" s="90">
        <f>BF36</f>
        <v>0</v>
      </c>
      <c r="BG35" s="91">
        <f>BG36</f>
        <v>0</v>
      </c>
      <c r="BH35" s="91">
        <f>BG35/$AR$89</f>
        <v>0</v>
      </c>
      <c r="BI35" s="404"/>
      <c r="BJ35" s="90">
        <f>BJ36</f>
        <v>0</v>
      </c>
      <c r="BK35" s="90">
        <f>BK36</f>
        <v>0</v>
      </c>
      <c r="BL35" s="91">
        <f>BL36</f>
        <v>0</v>
      </c>
      <c r="BM35" s="91"/>
      <c r="BN35" s="91"/>
      <c r="BO35" s="1"/>
      <c r="BP35" s="842"/>
      <c r="BQ35" s="842"/>
      <c r="BR35" s="1"/>
      <c r="BS35" s="1"/>
      <c r="BT35" s="1"/>
    </row>
    <row r="36" spans="1:72" s="226" customFormat="1" ht="13.8">
      <c r="A36" s="238"/>
      <c r="B36" s="19" t="s">
        <v>81</v>
      </c>
      <c r="C36" s="43"/>
      <c r="D36" s="49"/>
      <c r="E36" s="106">
        <f>C36+D36</f>
        <v>0</v>
      </c>
      <c r="F36" s="178">
        <f>E36/$E$89</f>
        <v>0</v>
      </c>
      <c r="G36" s="39"/>
      <c r="H36" s="39"/>
      <c r="I36" s="106">
        <f>G36+H36*1</f>
        <v>0</v>
      </c>
      <c r="J36" s="178">
        <f>I36/$I$89</f>
        <v>0</v>
      </c>
      <c r="K36" s="45"/>
      <c r="L36" s="39"/>
      <c r="M36" s="39"/>
      <c r="N36" s="106">
        <f>L36+M36*1</f>
        <v>0</v>
      </c>
      <c r="O36" s="178">
        <f>N36/$N$89</f>
        <v>0</v>
      </c>
      <c r="P36" s="405"/>
      <c r="Q36" s="39"/>
      <c r="R36" s="39"/>
      <c r="S36" s="106">
        <f>Q36+R36*1</f>
        <v>0</v>
      </c>
      <c r="T36" s="178">
        <f>S36/$S$89</f>
        <v>0</v>
      </c>
      <c r="U36" s="405"/>
      <c r="V36" s="39"/>
      <c r="W36" s="39"/>
      <c r="X36" s="106">
        <f>V36+W36*1</f>
        <v>0</v>
      </c>
      <c r="Y36" s="178">
        <f>X36/$X$89</f>
        <v>0</v>
      </c>
      <c r="Z36" s="405"/>
      <c r="AA36" s="39"/>
      <c r="AB36" s="39"/>
      <c r="AC36" s="106">
        <f>AA36+AB36*1</f>
        <v>0</v>
      </c>
      <c r="AD36" s="541">
        <f>AC36/$AC$89</f>
        <v>0</v>
      </c>
      <c r="AE36" s="405"/>
      <c r="AF36" s="39"/>
      <c r="AG36" s="39"/>
      <c r="AH36" s="106">
        <f>AF36+AG36*1</f>
        <v>0</v>
      </c>
      <c r="AI36" s="541" t="e">
        <f>AH36/$AH$89</f>
        <v>#DIV/0!</v>
      </c>
      <c r="AJ36" s="405"/>
      <c r="AK36" s="39"/>
      <c r="AL36" s="39"/>
      <c r="AM36" s="106">
        <f>AK36+AL36*1</f>
        <v>0</v>
      </c>
      <c r="AN36" s="541" t="e">
        <f>AM36/$AM$89</f>
        <v>#DIV/0!</v>
      </c>
      <c r="AO36" s="405"/>
      <c r="AP36" s="39"/>
      <c r="AQ36" s="39"/>
      <c r="AR36" s="106">
        <f>AP36+AQ36*1</f>
        <v>0</v>
      </c>
      <c r="AS36" s="541">
        <f t="shared" si="8"/>
        <v>0</v>
      </c>
      <c r="AT36" s="405"/>
      <c r="AU36" s="39"/>
      <c r="AV36" s="39"/>
      <c r="AW36" s="106">
        <f>AU36+AV36*1</f>
        <v>0</v>
      </c>
      <c r="AX36" s="541" t="e">
        <f>AW36/$AW$89</f>
        <v>#DIV/0!</v>
      </c>
      <c r="AY36" s="405"/>
      <c r="AZ36" s="39"/>
      <c r="BA36" s="39"/>
      <c r="BB36" s="106">
        <f>AZ36+BA36*1</f>
        <v>0</v>
      </c>
      <c r="BC36" s="541" t="e">
        <f>BB36/$AW$89</f>
        <v>#DIV/0!</v>
      </c>
      <c r="BD36" s="405"/>
      <c r="BE36" s="39"/>
      <c r="BF36" s="39"/>
      <c r="BG36" s="106">
        <f>BE36+BF36*1</f>
        <v>0</v>
      </c>
      <c r="BH36" s="541" t="e">
        <f>BG36/$AW$89</f>
        <v>#DIV/0!</v>
      </c>
      <c r="BI36" s="405"/>
      <c r="BJ36" s="39">
        <f>G36+L36+Q36+V36+AA36+AF36+AK36+AP36+AU36+AZ36+BE36</f>
        <v>0</v>
      </c>
      <c r="BK36" s="39">
        <f>H36+M36+R36+W36+AB36+AG36+AL36+AQ36+AV36+BA36+BF36</f>
        <v>0</v>
      </c>
      <c r="BL36" s="106">
        <f>BJ36+BK36*1</f>
        <v>0</v>
      </c>
      <c r="BM36" s="178" t="e">
        <f>BL36/$BL$89</f>
        <v>#DIV/0!</v>
      </c>
      <c r="BN36" s="45"/>
      <c r="BO36" s="1"/>
      <c r="BP36" s="842"/>
      <c r="BQ36" s="842"/>
      <c r="BR36" s="1"/>
      <c r="BS36" s="1"/>
      <c r="BT36" s="1"/>
    </row>
    <row r="37" spans="1:72" s="2" customFormat="1" ht="14.4" thickBot="1">
      <c r="A37" s="4"/>
      <c r="B37" s="14"/>
      <c r="C37" s="50"/>
      <c r="D37" s="51"/>
      <c r="E37" s="52"/>
      <c r="F37" s="181"/>
      <c r="G37" s="39"/>
      <c r="H37" s="39"/>
      <c r="I37" s="52"/>
      <c r="J37" s="52"/>
      <c r="K37" s="52"/>
      <c r="L37" s="39"/>
      <c r="M37" s="39"/>
      <c r="N37" s="52"/>
      <c r="O37" s="52"/>
      <c r="P37" s="64"/>
      <c r="Q37" s="39"/>
      <c r="R37" s="39"/>
      <c r="S37" s="52"/>
      <c r="T37" s="52"/>
      <c r="U37" s="64"/>
      <c r="V37" s="39"/>
      <c r="W37" s="39"/>
      <c r="X37" s="52"/>
      <c r="Y37" s="52"/>
      <c r="Z37" s="64"/>
      <c r="AA37" s="39"/>
      <c r="AB37" s="39"/>
      <c r="AC37" s="52"/>
      <c r="AD37" s="52"/>
      <c r="AE37" s="64"/>
      <c r="AF37" s="39"/>
      <c r="AG37" s="39"/>
      <c r="AH37" s="52"/>
      <c r="AI37" s="52"/>
      <c r="AJ37" s="64"/>
      <c r="AK37" s="39"/>
      <c r="AL37" s="39"/>
      <c r="AM37" s="52"/>
      <c r="AN37" s="52"/>
      <c r="AO37" s="64"/>
      <c r="AP37" s="39"/>
      <c r="AQ37" s="39"/>
      <c r="AR37" s="52"/>
      <c r="AS37" s="52">
        <f t="shared" si="8"/>
        <v>0</v>
      </c>
      <c r="AT37" s="64"/>
      <c r="AU37" s="39"/>
      <c r="AV37" s="39"/>
      <c r="AW37" s="52"/>
      <c r="AX37" s="52"/>
      <c r="AY37" s="64"/>
      <c r="AZ37" s="39"/>
      <c r="BA37" s="39"/>
      <c r="BB37" s="52"/>
      <c r="BC37" s="52"/>
      <c r="BD37" s="64"/>
      <c r="BE37" s="39"/>
      <c r="BF37" s="39"/>
      <c r="BG37" s="52"/>
      <c r="BH37" s="52"/>
      <c r="BI37" s="64"/>
      <c r="BJ37" s="39"/>
      <c r="BK37" s="39"/>
      <c r="BL37" s="52"/>
      <c r="BM37" s="52"/>
      <c r="BN37" s="52"/>
      <c r="BO37" s="1"/>
      <c r="BP37" s="842"/>
      <c r="BQ37" s="842"/>
      <c r="BR37" s="1"/>
      <c r="BS37" s="1"/>
      <c r="BT37" s="1"/>
    </row>
    <row r="38" spans="1:72" ht="14.4" thickBot="1">
      <c r="A38" s="33"/>
      <c r="B38" s="34" t="s">
        <v>46</v>
      </c>
      <c r="C38" s="53">
        <f>(C5)-(C8)</f>
        <v>9611437.2419999987</v>
      </c>
      <c r="D38" s="53">
        <f>(D5)-(D8)</f>
        <v>-2695486.47</v>
      </c>
      <c r="E38" s="53">
        <f>(E5)-(E8)</f>
        <v>7565050.811999999</v>
      </c>
      <c r="F38" s="166"/>
      <c r="G38" s="53">
        <f>(G5)-(G8)</f>
        <v>-190767.84000000003</v>
      </c>
      <c r="H38" s="53">
        <f>(H5)-(H8)</f>
        <v>-81871.08</v>
      </c>
      <c r="I38" s="53">
        <f>(I5)-(I8)</f>
        <v>-272638.92000000004</v>
      </c>
      <c r="J38" s="53"/>
      <c r="K38" s="53"/>
      <c r="L38" s="53">
        <f>(L5)-(L8)</f>
        <v>-651646.01000000013</v>
      </c>
      <c r="M38" s="53">
        <f>(M5)-(M8)</f>
        <v>-112768</v>
      </c>
      <c r="N38" s="53">
        <f>(N5)-(N8)</f>
        <v>-764414.00999999989</v>
      </c>
      <c r="O38" s="53"/>
      <c r="P38" s="406"/>
      <c r="Q38" s="53">
        <f>(Q5)-(Q8)</f>
        <v>734651.9840000011</v>
      </c>
      <c r="R38" s="53">
        <f>(R5)-(R8)</f>
        <v>-596188.4</v>
      </c>
      <c r="S38" s="53">
        <f>(S5)-(S8)</f>
        <v>138463.58400000073</v>
      </c>
      <c r="T38" s="53"/>
      <c r="U38" s="406"/>
      <c r="V38" s="53">
        <f>(V5)-(V8)</f>
        <v>3755035.3939999999</v>
      </c>
      <c r="W38" s="53">
        <f>(W5)-(W8)</f>
        <v>-454627.08</v>
      </c>
      <c r="X38" s="53">
        <f>(X5)-(X8)</f>
        <v>3300408.3140000002</v>
      </c>
      <c r="Y38" s="53"/>
      <c r="Z38" s="406"/>
      <c r="AA38" s="53">
        <f>(AA5)-(AA8)</f>
        <v>3911689.8720000004</v>
      </c>
      <c r="AB38" s="53">
        <f>(AB5)-(AB8)</f>
        <v>-930676.36</v>
      </c>
      <c r="AC38" s="53">
        <f>(AC5)-(AC8)</f>
        <v>2981013.5120000001</v>
      </c>
      <c r="AD38" s="53"/>
      <c r="AE38" s="406"/>
      <c r="AF38" s="53">
        <f>(AF5)-(AF8)</f>
        <v>432193.7080000001</v>
      </c>
      <c r="AG38" s="53">
        <f>(AG5)-(AG8)</f>
        <v>-589244.41</v>
      </c>
      <c r="AH38" s="53">
        <f>(AH5)-(AH8)</f>
        <v>-157050.70199999958</v>
      </c>
      <c r="AI38" s="53"/>
      <c r="AJ38" s="406"/>
      <c r="AK38" s="53">
        <f>(AK5)-(AK8)</f>
        <v>816214.65800000005</v>
      </c>
      <c r="AL38" s="53">
        <f>(AL5)-(AL8)</f>
        <v>-201280.15</v>
      </c>
      <c r="AM38" s="53">
        <f>(AM5)-(AM8)</f>
        <v>614934.50800000003</v>
      </c>
      <c r="AN38" s="53"/>
      <c r="AO38" s="406"/>
      <c r="AP38" s="53">
        <f>(AP5)-(AP8)</f>
        <v>-175471.21</v>
      </c>
      <c r="AQ38" s="53">
        <f>(AQ5)-(AQ8)</f>
        <v>-70159.965750000003</v>
      </c>
      <c r="AR38" s="53">
        <f>(AR5)-(AR8)</f>
        <v>-245631.17574999997</v>
      </c>
      <c r="AS38" s="53">
        <f t="shared" si="8"/>
        <v>-0.94791294890440758</v>
      </c>
      <c r="AT38" s="406"/>
      <c r="AU38" s="53">
        <f>(AU5)-(AU8)</f>
        <v>1038305.9140000002</v>
      </c>
      <c r="AV38" s="53">
        <f>(AV5)-(AV8)</f>
        <v>-204596.8</v>
      </c>
      <c r="AW38" s="53">
        <f>(AW5)-(AW8)</f>
        <v>833709.11400000018</v>
      </c>
      <c r="AX38" s="53">
        <f t="shared" si="33"/>
        <v>3.2173589625470056</v>
      </c>
      <c r="AY38" s="406"/>
      <c r="AZ38" s="53">
        <f>(AZ5)-(AZ8)</f>
        <v>-59383.500000000073</v>
      </c>
      <c r="BA38" s="53">
        <f>(BA5)-(BA8)</f>
        <v>-265187.08424999961</v>
      </c>
      <c r="BB38" s="53">
        <f>(BB5)-(BB8)</f>
        <v>-324570.58424999967</v>
      </c>
      <c r="BC38" s="53">
        <f>BB38/$AR$89</f>
        <v>-1.2525472741993489</v>
      </c>
      <c r="BD38" s="406"/>
      <c r="BE38" s="53">
        <f>(BE5)-(BE8)</f>
        <v>0</v>
      </c>
      <c r="BF38" s="53">
        <f>(BF5)-(BF8)</f>
        <v>-28000</v>
      </c>
      <c r="BG38" s="53">
        <f>(BG5)-(BG8)</f>
        <v>-28000</v>
      </c>
      <c r="BH38" s="53">
        <f>BG38/$AR$89</f>
        <v>-0.10805453537517179</v>
      </c>
      <c r="BI38" s="406"/>
      <c r="BJ38" s="53">
        <f>(BJ5)-(BJ8)</f>
        <v>9610822.9699999988</v>
      </c>
      <c r="BK38" s="53">
        <f>(BK5)-(BK8)</f>
        <v>-3534599.33</v>
      </c>
      <c r="BL38" s="53">
        <f>(BL5)-(BL8)</f>
        <v>6076223.6400000006</v>
      </c>
      <c r="BM38" s="53"/>
      <c r="BN38" s="53"/>
      <c r="BP38" s="842"/>
      <c r="BQ38" s="842"/>
    </row>
    <row r="39" spans="1:72" ht="13.8">
      <c r="A39" s="293"/>
      <c r="B39" s="15" t="s">
        <v>47</v>
      </c>
      <c r="C39" s="157">
        <f>C38/(C5)</f>
        <v>0.37121683839604847</v>
      </c>
      <c r="D39" s="157" t="e">
        <f>D38/(D5)</f>
        <v>#DIV/0!</v>
      </c>
      <c r="E39" s="158">
        <f>E38/(E5)</f>
        <v>0.29218046937501913</v>
      </c>
      <c r="F39" s="167"/>
      <c r="G39" s="54" t="e">
        <f>G38/(G5)</f>
        <v>#DIV/0!</v>
      </c>
      <c r="H39" s="54" t="e">
        <f>H38/(H5)</f>
        <v>#DIV/0!</v>
      </c>
      <c r="I39" s="55" t="e">
        <f>I38/(I5)</f>
        <v>#DIV/0!</v>
      </c>
      <c r="J39" s="55"/>
      <c r="K39" s="55"/>
      <c r="L39" s="54">
        <f>L38/(L5)</f>
        <v>-1.600573360745188</v>
      </c>
      <c r="M39" s="54" t="e">
        <f>M38/(M5)</f>
        <v>#DIV/0!</v>
      </c>
      <c r="N39" s="55">
        <f>N38/(N5)</f>
        <v>-1.8775541969272633</v>
      </c>
      <c r="O39" s="55"/>
      <c r="P39" s="407"/>
      <c r="Q39" s="54">
        <f>Q38/(Q5)</f>
        <v>0.10450180675902704</v>
      </c>
      <c r="R39" s="54" t="e">
        <f>R38/(R5)</f>
        <v>#DIV/0!</v>
      </c>
      <c r="S39" s="55">
        <f>S38/(S5)</f>
        <v>1.9695985328381502E-2</v>
      </c>
      <c r="T39" s="55"/>
      <c r="U39" s="407"/>
      <c r="V39" s="54">
        <f>V38/(V5)</f>
        <v>0.66293646643628878</v>
      </c>
      <c r="W39" s="54" t="e">
        <f>W38/(W5)</f>
        <v>#DIV/0!</v>
      </c>
      <c r="X39" s="55">
        <f>X38/(X5)</f>
        <v>0.58267387545165439</v>
      </c>
      <c r="Y39" s="55"/>
      <c r="Z39" s="407"/>
      <c r="AA39" s="54">
        <f>AA38/(AA5)</f>
        <v>0.6950511984883585</v>
      </c>
      <c r="AB39" s="54" t="e">
        <f>AB38/(AB5)</f>
        <v>#DIV/0!</v>
      </c>
      <c r="AC39" s="55">
        <f>AC38/(AC5)</f>
        <v>0.52968335477122674</v>
      </c>
      <c r="AD39" s="55"/>
      <c r="AE39" s="407"/>
      <c r="AF39" s="54">
        <f>AF38/(AF5)</f>
        <v>9.8713479914539576E-2</v>
      </c>
      <c r="AG39" s="54" t="e">
        <f>AG38/(AG5)</f>
        <v>#DIV/0!</v>
      </c>
      <c r="AH39" s="55">
        <f>AH38/(AH5)</f>
        <v>-3.5870539136681034E-2</v>
      </c>
      <c r="AI39" s="55"/>
      <c r="AJ39" s="407"/>
      <c r="AK39" s="54">
        <f>AK38/(AK5)</f>
        <v>0.54971130707026639</v>
      </c>
      <c r="AL39" s="54" t="e">
        <f>AL38/(AL5)</f>
        <v>#DIV/0!</v>
      </c>
      <c r="AM39" s="55">
        <f>AM38/(AM5)</f>
        <v>0.41415141083547063</v>
      </c>
      <c r="AN39" s="55"/>
      <c r="AO39" s="407"/>
      <c r="AP39" s="54" t="e">
        <f>AP38/(AP5)</f>
        <v>#DIV/0!</v>
      </c>
      <c r="AQ39" s="54" t="e">
        <f>AQ38/(AQ5)</f>
        <v>#DIV/0!</v>
      </c>
      <c r="AR39" s="55" t="e">
        <f>AR38/(AR5)</f>
        <v>#DIV/0!</v>
      </c>
      <c r="AS39" s="55" t="e">
        <f t="shared" si="8"/>
        <v>#DIV/0!</v>
      </c>
      <c r="AT39" s="407"/>
      <c r="AU39" s="54">
        <f>AU38/(AU5)</f>
        <v>0.59486844639162095</v>
      </c>
      <c r="AV39" s="54" t="e">
        <f>AV38/(AV5)</f>
        <v>#DIV/0!</v>
      </c>
      <c r="AW39" s="55">
        <f>AW38/(AW5)</f>
        <v>0.47765040986534807</v>
      </c>
      <c r="AX39" s="55">
        <f t="shared" si="33"/>
        <v>1.8432961824914484E-6</v>
      </c>
      <c r="AY39" s="407"/>
      <c r="AZ39" s="54" t="e">
        <f>AZ38/(AZ5)</f>
        <v>#DIV/0!</v>
      </c>
      <c r="BA39" s="54" t="e">
        <f>BA38/(BA5)</f>
        <v>#DIV/0!</v>
      </c>
      <c r="BB39" s="55" t="e">
        <f>BB38/(BB5)</f>
        <v>#DIV/0!</v>
      </c>
      <c r="BC39" s="55" t="e">
        <f>BB39/$AR$89</f>
        <v>#DIV/0!</v>
      </c>
      <c r="BD39" s="407"/>
      <c r="BE39" s="54" t="e">
        <f>BE38/(BE5)</f>
        <v>#DIV/0!</v>
      </c>
      <c r="BF39" s="54" t="e">
        <f>BF38/(BF5)</f>
        <v>#DIV/0!</v>
      </c>
      <c r="BG39" s="55" t="e">
        <f>BG38/(BG5)</f>
        <v>#DIV/0!</v>
      </c>
      <c r="BH39" s="55" t="e">
        <f>BG39/$AR$89</f>
        <v>#DIV/0!</v>
      </c>
      <c r="BI39" s="407"/>
      <c r="BJ39" s="54">
        <f>BJ38/(BJ5)</f>
        <v>0.36490544930308033</v>
      </c>
      <c r="BK39" s="54" t="e">
        <f>BK38/(BK5)</f>
        <v>#DIV/0!</v>
      </c>
      <c r="BL39" s="55">
        <f>BL38/(BL5)</f>
        <v>0.23070314835069725</v>
      </c>
      <c r="BM39" s="55"/>
      <c r="BN39" s="55"/>
      <c r="BP39" s="842"/>
      <c r="BQ39" s="842"/>
    </row>
    <row r="40" spans="1:72" ht="14.4" thickBot="1">
      <c r="A40" s="295"/>
      <c r="B40" s="16"/>
      <c r="C40" s="56"/>
      <c r="D40" s="57"/>
      <c r="E40" s="58"/>
      <c r="F40" s="168"/>
      <c r="G40" s="58"/>
      <c r="H40" s="58"/>
      <c r="I40" s="58"/>
      <c r="J40" s="58"/>
      <c r="K40" s="58"/>
      <c r="L40" s="58"/>
      <c r="M40" s="58"/>
      <c r="N40" s="58"/>
      <c r="O40" s="58"/>
      <c r="P40" s="408"/>
      <c r="Q40" s="58"/>
      <c r="R40" s="58"/>
      <c r="S40" s="58"/>
      <c r="T40" s="58"/>
      <c r="U40" s="408"/>
      <c r="V40" s="58"/>
      <c r="W40" s="58"/>
      <c r="X40" s="58"/>
      <c r="Y40" s="58"/>
      <c r="Z40" s="408"/>
      <c r="AA40" s="58"/>
      <c r="AB40" s="58"/>
      <c r="AC40" s="58"/>
      <c r="AD40" s="58"/>
      <c r="AE40" s="408"/>
      <c r="AF40" s="58"/>
      <c r="AG40" s="58"/>
      <c r="AH40" s="58"/>
      <c r="AI40" s="58"/>
      <c r="AJ40" s="408"/>
      <c r="AK40" s="58"/>
      <c r="AL40" s="58"/>
      <c r="AM40" s="58"/>
      <c r="AN40" s="58"/>
      <c r="AO40" s="408"/>
      <c r="AP40" s="58"/>
      <c r="AQ40" s="58"/>
      <c r="AR40" s="58"/>
      <c r="AS40" s="58">
        <f t="shared" si="8"/>
        <v>0</v>
      </c>
      <c r="AT40" s="408"/>
      <c r="AU40" s="58"/>
      <c r="AV40" s="58"/>
      <c r="AW40" s="58"/>
      <c r="AX40" s="58">
        <f t="shared" si="33"/>
        <v>0</v>
      </c>
      <c r="AY40" s="408"/>
      <c r="AZ40" s="58"/>
      <c r="BA40" s="58"/>
      <c r="BB40" s="58"/>
      <c r="BC40" s="58">
        <f>BB40/$AR$89</f>
        <v>0</v>
      </c>
      <c r="BD40" s="408"/>
      <c r="BE40" s="58"/>
      <c r="BF40" s="58"/>
      <c r="BG40" s="58"/>
      <c r="BH40" s="58">
        <f>BG40/$AR$89</f>
        <v>0</v>
      </c>
      <c r="BI40" s="408"/>
      <c r="BJ40" s="58"/>
      <c r="BK40" s="58"/>
      <c r="BL40" s="58"/>
      <c r="BM40" s="58"/>
      <c r="BN40" s="58"/>
      <c r="BP40" s="842"/>
      <c r="BQ40" s="842"/>
    </row>
    <row r="41" spans="1:72" ht="13.8">
      <c r="A41" s="11"/>
      <c r="B41" s="22" t="s">
        <v>26</v>
      </c>
      <c r="C41" s="117">
        <f>SUM(C42:C48)</f>
        <v>17500</v>
      </c>
      <c r="D41" s="117">
        <f>SUM(D42:D48)</f>
        <v>6750</v>
      </c>
      <c r="E41" s="118">
        <f>SUM(E42:E48)</f>
        <v>24250</v>
      </c>
      <c r="F41" s="169">
        <f t="shared" ref="F41:F48" si="34">E41/$E$89</f>
        <v>1.2274711981238064E-3</v>
      </c>
      <c r="G41" s="117">
        <f>SUM(G42:G48)</f>
        <v>0</v>
      </c>
      <c r="H41" s="117">
        <f>SUM(H42:H48)</f>
        <v>680.4</v>
      </c>
      <c r="I41" s="118">
        <f>SUM(I42:I48)</f>
        <v>680.4</v>
      </c>
      <c r="J41" s="169">
        <f t="shared" ref="J41:J49" si="35">I41/$I$89</f>
        <v>2.1733781054089096E-3</v>
      </c>
      <c r="K41" s="60"/>
      <c r="L41" s="117">
        <f>SUM(L42:L48)</f>
        <v>3230.1</v>
      </c>
      <c r="M41" s="117">
        <f>SUM(M42:M48)</f>
        <v>806</v>
      </c>
      <c r="N41" s="118">
        <f>SUM(N42:N48)</f>
        <v>4036.1</v>
      </c>
      <c r="O41" s="169">
        <f>N41/$N$89</f>
        <v>3.3026408810876997E-3</v>
      </c>
      <c r="P41" s="409"/>
      <c r="Q41" s="117">
        <f>SUM(Q42:Q48)</f>
        <v>4745.5999999999995</v>
      </c>
      <c r="R41" s="117">
        <f>SUM(R42:R48)</f>
        <v>901.5</v>
      </c>
      <c r="S41" s="118">
        <f>SUM(S42:S48)</f>
        <v>5647.0999999999995</v>
      </c>
      <c r="T41" s="169">
        <f>S41/$S$89</f>
        <v>8.0213850291116961E-4</v>
      </c>
      <c r="U41" s="409"/>
      <c r="V41" s="117">
        <f>SUM(V42:V48)</f>
        <v>9309.91</v>
      </c>
      <c r="W41" s="117">
        <f>SUM(W42:W48)</f>
        <v>1059.3</v>
      </c>
      <c r="X41" s="118">
        <f>SUM(X42:X48)</f>
        <v>10369.209999999999</v>
      </c>
      <c r="Y41" s="169">
        <f>X41/$X$89</f>
        <v>4.214220327133031E-3</v>
      </c>
      <c r="Z41" s="409"/>
      <c r="AA41" s="117">
        <f>SUM(AA42:AA48)</f>
        <v>7443.65</v>
      </c>
      <c r="AB41" s="117">
        <f>SUM(AB42:AB48)</f>
        <v>617</v>
      </c>
      <c r="AC41" s="118">
        <f>SUM(AC42:AC48)</f>
        <v>8060.65</v>
      </c>
      <c r="AD41" s="169">
        <f t="shared" ref="AD41:AD52" si="36">AC41/$AC$89</f>
        <v>2.8261065017705809E-3</v>
      </c>
      <c r="AE41" s="409"/>
      <c r="AF41" s="117">
        <f>SUM(AF42:AF48)</f>
        <v>7733.21</v>
      </c>
      <c r="AG41" s="117">
        <f>SUM(AG42:AG48)</f>
        <v>594.9</v>
      </c>
      <c r="AH41" s="118">
        <f>SUM(AH42:AH48)</f>
        <v>8328.1099999999988</v>
      </c>
      <c r="AI41" s="169" t="e">
        <f>AH41/$AH$89</f>
        <v>#DIV/0!</v>
      </c>
      <c r="AJ41" s="409"/>
      <c r="AK41" s="117">
        <f>SUM(AK42:AK48)</f>
        <v>3337.38</v>
      </c>
      <c r="AL41" s="117">
        <f>SUM(AL42:AL48)</f>
        <v>957.9</v>
      </c>
      <c r="AM41" s="118">
        <f>SUM(AM42:AM48)</f>
        <v>4295.28</v>
      </c>
      <c r="AN41" s="169" t="e">
        <f t="shared" ref="AN41:AN48" si="37">AM41/$AM$89</f>
        <v>#DIV/0!</v>
      </c>
      <c r="AO41" s="409"/>
      <c r="AP41" s="117">
        <f>SUM(AP42:AP48)</f>
        <v>879.42</v>
      </c>
      <c r="AQ41" s="117">
        <f>SUM(AQ42:AQ48)</f>
        <v>0</v>
      </c>
      <c r="AR41" s="118">
        <f>SUM(AR42:AR48)</f>
        <v>879.42</v>
      </c>
      <c r="AS41" s="169">
        <f t="shared" si="8"/>
        <v>3.3937614107011991E-3</v>
      </c>
      <c r="AT41" s="409"/>
      <c r="AU41" s="117">
        <f>SUM(AU42:AU48)</f>
        <v>3221.7999999999997</v>
      </c>
      <c r="AV41" s="117">
        <f>SUM(AV42:AV48)</f>
        <v>0</v>
      </c>
      <c r="AW41" s="118">
        <f>SUM(AW42:AW48)</f>
        <v>3221.7999999999997</v>
      </c>
      <c r="AX41" s="169" t="e">
        <f t="shared" ref="AX41:AX52" si="38">AW41/$AW$89</f>
        <v>#DIV/0!</v>
      </c>
      <c r="AY41" s="409"/>
      <c r="AZ41" s="117">
        <f>SUM(AZ42:AZ48)</f>
        <v>-1909.2399999999998</v>
      </c>
      <c r="BA41" s="117">
        <f>SUM(BA42:BA48)</f>
        <v>916</v>
      </c>
      <c r="BB41" s="118">
        <f>SUM(BB42:BB48)</f>
        <v>-993.23999999999978</v>
      </c>
      <c r="BC41" s="169" t="e">
        <f t="shared" ref="BC41:BC52" si="39">BB41/$AW$89</f>
        <v>#DIV/0!</v>
      </c>
      <c r="BD41" s="409"/>
      <c r="BE41" s="117">
        <f>SUM(BE42:BE48)</f>
        <v>528</v>
      </c>
      <c r="BF41" s="117">
        <f>SUM(BF42:BF48)</f>
        <v>0</v>
      </c>
      <c r="BG41" s="118">
        <f>SUM(BG42:BG48)</f>
        <v>528</v>
      </c>
      <c r="BH41" s="169">
        <f t="shared" ref="BH41:BH52" si="40">BG41/$BG$89</f>
        <v>1.4027456079818443E-3</v>
      </c>
      <c r="BI41" s="409"/>
      <c r="BJ41" s="117">
        <f>SUM(BJ42:BJ48)</f>
        <v>38519.829999999994</v>
      </c>
      <c r="BK41" s="117">
        <f>SUM(BK42:BK48)</f>
        <v>6533</v>
      </c>
      <c r="BL41" s="118">
        <f>SUM(BL42:BL48)</f>
        <v>45052.829999999994</v>
      </c>
      <c r="BM41" s="169" t="e">
        <f>BL41/$BL$89</f>
        <v>#DIV/0!</v>
      </c>
      <c r="BN41" s="60"/>
      <c r="BP41" s="842"/>
      <c r="BQ41" s="842"/>
    </row>
    <row r="42" spans="1:72" ht="13.8">
      <c r="A42" s="4833"/>
      <c r="B42" s="18" t="s">
        <v>7</v>
      </c>
      <c r="C42" s="113"/>
      <c r="D42" s="119"/>
      <c r="E42" s="120">
        <f t="shared" ref="E42:E48" si="41">C42+D42</f>
        <v>0</v>
      </c>
      <c r="F42" s="178">
        <f t="shared" si="34"/>
        <v>0</v>
      </c>
      <c r="G42" s="39"/>
      <c r="H42" s="39"/>
      <c r="I42" s="106">
        <f t="shared" ref="I42:I48" si="42">G42+H42*1</f>
        <v>0</v>
      </c>
      <c r="J42" s="178">
        <f t="shared" si="35"/>
        <v>0</v>
      </c>
      <c r="K42" s="79"/>
      <c r="L42" s="39"/>
      <c r="M42" s="39"/>
      <c r="N42" s="106">
        <f t="shared" ref="N42:N48" si="43">L42+M42*1</f>
        <v>0</v>
      </c>
      <c r="O42" s="178">
        <f>N42/$N$89</f>
        <v>0</v>
      </c>
      <c r="P42" s="259"/>
      <c r="Q42" s="39"/>
      <c r="R42" s="39"/>
      <c r="S42" s="106">
        <f t="shared" ref="S42:S48" si="44">Q42+R42*1</f>
        <v>0</v>
      </c>
      <c r="T42" s="178">
        <f t="shared" ref="T42:T52" si="45">S42/$S$89</f>
        <v>0</v>
      </c>
      <c r="U42" s="259"/>
      <c r="V42" s="39"/>
      <c r="W42" s="39"/>
      <c r="X42" s="106">
        <f t="shared" ref="X42:X48" si="46">V42+W42*1</f>
        <v>0</v>
      </c>
      <c r="Y42" s="178">
        <f>X42/$X$89</f>
        <v>0</v>
      </c>
      <c r="Z42" s="259"/>
      <c r="AA42" s="39"/>
      <c r="AB42" s="39"/>
      <c r="AC42" s="106">
        <f t="shared" ref="AC42:AC48" si="47">AA42+AB42*1</f>
        <v>0</v>
      </c>
      <c r="AD42" s="541">
        <f t="shared" si="36"/>
        <v>0</v>
      </c>
      <c r="AE42" s="259"/>
      <c r="AF42" s="39"/>
      <c r="AG42" s="39"/>
      <c r="AH42" s="106">
        <f t="shared" ref="AH42:AH48" si="48">AF42+AG42*1</f>
        <v>0</v>
      </c>
      <c r="AI42" s="541" t="e">
        <f>AH42/$AH$89</f>
        <v>#DIV/0!</v>
      </c>
      <c r="AJ42" s="259"/>
      <c r="AK42" s="39"/>
      <c r="AL42" s="39"/>
      <c r="AM42" s="106">
        <f t="shared" ref="AM42:AM48" si="49">AK42+AL42*1</f>
        <v>0</v>
      </c>
      <c r="AN42" s="541" t="e">
        <f t="shared" si="37"/>
        <v>#DIV/0!</v>
      </c>
      <c r="AO42" s="259"/>
      <c r="AP42" s="39"/>
      <c r="AQ42" s="39"/>
      <c r="AR42" s="106">
        <f t="shared" ref="AR42:AR48" si="50">AP42+AQ42*1</f>
        <v>0</v>
      </c>
      <c r="AS42" s="541">
        <f t="shared" si="8"/>
        <v>0</v>
      </c>
      <c r="AT42" s="259"/>
      <c r="AU42" s="39"/>
      <c r="AV42" s="39"/>
      <c r="AW42" s="106">
        <f t="shared" ref="AW42:AW48" si="51">AU42+AV42*1</f>
        <v>0</v>
      </c>
      <c r="AX42" s="541" t="e">
        <f t="shared" si="38"/>
        <v>#DIV/0!</v>
      </c>
      <c r="AY42" s="259"/>
      <c r="AZ42" s="39"/>
      <c r="BA42" s="39"/>
      <c r="BB42" s="106">
        <f t="shared" ref="BB42:BB48" si="52">AZ42+BA42*1</f>
        <v>0</v>
      </c>
      <c r="BC42" s="541" t="e">
        <f t="shared" si="39"/>
        <v>#DIV/0!</v>
      </c>
      <c r="BD42" s="259"/>
      <c r="BE42" s="39"/>
      <c r="BF42" s="39"/>
      <c r="BG42" s="106">
        <f t="shared" ref="BG42:BG48" si="53">BE42+BF42*1</f>
        <v>0</v>
      </c>
      <c r="BH42" s="541">
        <f t="shared" si="40"/>
        <v>0</v>
      </c>
      <c r="BI42" s="259"/>
      <c r="BJ42" s="39">
        <f t="shared" ref="BJ42:BJ49" si="54">G42+L42+Q42+V42+AA42+AF42+AK42+AP42+AU42+AZ42+BE42</f>
        <v>0</v>
      </c>
      <c r="BK42" s="39">
        <f t="shared" ref="BK42:BK49" si="55">H42+M42+R42+W42+AB42+AG42+AL42+AQ42+AV42+BA42+BF42</f>
        <v>0</v>
      </c>
      <c r="BL42" s="106">
        <f t="shared" ref="BL42:BL48" si="56">BJ42+BK42*1</f>
        <v>0</v>
      </c>
      <c r="BM42" s="178" t="e">
        <f t="shared" ref="BM42:BM72" si="57">BL42/$BL$89</f>
        <v>#DIV/0!</v>
      </c>
      <c r="BN42" s="79"/>
      <c r="BP42" s="842"/>
      <c r="BQ42" s="842"/>
    </row>
    <row r="43" spans="1:72" ht="27.6">
      <c r="A43" s="4833"/>
      <c r="B43" s="18" t="s">
        <v>27</v>
      </c>
      <c r="C43" s="113"/>
      <c r="D43" s="119">
        <v>3000</v>
      </c>
      <c r="E43" s="120">
        <f t="shared" si="41"/>
        <v>3000</v>
      </c>
      <c r="F43" s="178">
        <f t="shared" si="34"/>
        <v>1.5185210698438843E-4</v>
      </c>
      <c r="G43" s="39"/>
      <c r="H43" s="39">
        <f>311.4+300</f>
        <v>611.4</v>
      </c>
      <c r="I43" s="106">
        <f t="shared" si="42"/>
        <v>611.4</v>
      </c>
      <c r="J43" s="178">
        <f t="shared" si="35"/>
        <v>1.9529738001866656E-3</v>
      </c>
      <c r="K43" s="389" t="s">
        <v>507</v>
      </c>
      <c r="L43" s="39"/>
      <c r="M43" s="39">
        <v>356</v>
      </c>
      <c r="N43" s="106">
        <f t="shared" si="43"/>
        <v>356</v>
      </c>
      <c r="O43" s="178">
        <f t="shared" ref="O43:O52" si="58">N43/$N$89</f>
        <v>2.9130600175100247E-4</v>
      </c>
      <c r="P43" s="439" t="s">
        <v>565</v>
      </c>
      <c r="Q43" s="39"/>
      <c r="R43" s="39">
        <v>331.5</v>
      </c>
      <c r="S43" s="106">
        <f t="shared" si="44"/>
        <v>331.5</v>
      </c>
      <c r="T43" s="178">
        <f t="shared" si="45"/>
        <v>4.7087693455942474E-5</v>
      </c>
      <c r="U43" s="443" t="s">
        <v>565</v>
      </c>
      <c r="V43" s="39"/>
      <c r="W43" s="39">
        <v>309.3</v>
      </c>
      <c r="X43" s="106">
        <f t="shared" si="46"/>
        <v>309.3</v>
      </c>
      <c r="Y43" s="178">
        <f t="shared" ref="Y43:Y52" si="59">X43/$X$89</f>
        <v>1.2570469179255185E-4</v>
      </c>
      <c r="Z43" s="443"/>
      <c r="AA43" s="39"/>
      <c r="AB43" s="39">
        <v>367</v>
      </c>
      <c r="AC43" s="106">
        <f t="shared" si="47"/>
        <v>367</v>
      </c>
      <c r="AD43" s="541">
        <f t="shared" si="36"/>
        <v>1.2867214010654266E-4</v>
      </c>
      <c r="AE43" s="443"/>
      <c r="AF43" s="39"/>
      <c r="AG43" s="39">
        <v>55</v>
      </c>
      <c r="AH43" s="106">
        <f t="shared" si="48"/>
        <v>55</v>
      </c>
      <c r="AI43" s="541" t="e">
        <f t="shared" ref="AI43:AI48" si="60">AH43/$AH$89</f>
        <v>#DIV/0!</v>
      </c>
      <c r="AJ43" s="443"/>
      <c r="AK43" s="39"/>
      <c r="AL43" s="39">
        <v>339.9</v>
      </c>
      <c r="AM43" s="106">
        <f t="shared" si="49"/>
        <v>339.9</v>
      </c>
      <c r="AN43" s="541" t="e">
        <f t="shared" si="37"/>
        <v>#DIV/0!</v>
      </c>
      <c r="AO43" s="443"/>
      <c r="AP43" s="39"/>
      <c r="AQ43" s="39"/>
      <c r="AR43" s="106">
        <f t="shared" si="50"/>
        <v>0</v>
      </c>
      <c r="AS43" s="541">
        <f t="shared" si="8"/>
        <v>0</v>
      </c>
      <c r="AT43" s="443"/>
      <c r="AU43" s="39"/>
      <c r="AV43" s="39"/>
      <c r="AW43" s="106">
        <f t="shared" si="51"/>
        <v>0</v>
      </c>
      <c r="AX43" s="541" t="e">
        <f t="shared" si="38"/>
        <v>#DIV/0!</v>
      </c>
      <c r="AY43" s="443"/>
      <c r="AZ43" s="39"/>
      <c r="BA43" s="39"/>
      <c r="BB43" s="106">
        <f t="shared" si="52"/>
        <v>0</v>
      </c>
      <c r="BC43" s="541" t="e">
        <f t="shared" si="39"/>
        <v>#DIV/0!</v>
      </c>
      <c r="BD43" s="443"/>
      <c r="BE43" s="39"/>
      <c r="BF43" s="39"/>
      <c r="BG43" s="106">
        <f t="shared" si="53"/>
        <v>0</v>
      </c>
      <c r="BH43" s="541">
        <f t="shared" si="40"/>
        <v>0</v>
      </c>
      <c r="BI43" s="443"/>
      <c r="BJ43" s="39">
        <f t="shared" si="54"/>
        <v>0</v>
      </c>
      <c r="BK43" s="39">
        <f t="shared" si="55"/>
        <v>2370.1</v>
      </c>
      <c r="BL43" s="106">
        <f t="shared" si="56"/>
        <v>2370.1</v>
      </c>
      <c r="BM43" s="178" t="e">
        <f t="shared" si="57"/>
        <v>#DIV/0!</v>
      </c>
      <c r="BN43" s="79"/>
      <c r="BP43" s="842"/>
      <c r="BQ43" s="842"/>
    </row>
    <row r="44" spans="1:72" ht="13.8">
      <c r="A44" s="4833"/>
      <c r="B44" s="19" t="s">
        <v>28</v>
      </c>
      <c r="C44" s="113"/>
      <c r="D44" s="119">
        <v>1250</v>
      </c>
      <c r="E44" s="120">
        <f t="shared" si="41"/>
        <v>1250</v>
      </c>
      <c r="F44" s="178">
        <f t="shared" si="34"/>
        <v>6.3271711243495168E-5</v>
      </c>
      <c r="G44" s="39"/>
      <c r="H44" s="39"/>
      <c r="I44" s="106">
        <f t="shared" si="42"/>
        <v>0</v>
      </c>
      <c r="J44" s="178">
        <f t="shared" si="35"/>
        <v>0</v>
      </c>
      <c r="K44" s="79"/>
      <c r="L44" s="39"/>
      <c r="M44" s="39">
        <v>300</v>
      </c>
      <c r="N44" s="106">
        <f t="shared" si="43"/>
        <v>300</v>
      </c>
      <c r="O44" s="178">
        <f t="shared" si="58"/>
        <v>2.4548258574522678E-4</v>
      </c>
      <c r="P44" s="415" t="s">
        <v>563</v>
      </c>
      <c r="Q44" s="39"/>
      <c r="R44" s="39">
        <v>300</v>
      </c>
      <c r="S44" s="106">
        <f t="shared" si="44"/>
        <v>300</v>
      </c>
      <c r="T44" s="178">
        <f t="shared" si="45"/>
        <v>4.2613297245196813E-5</v>
      </c>
      <c r="U44" s="443" t="s">
        <v>563</v>
      </c>
      <c r="V44" s="39"/>
      <c r="W44" s="39"/>
      <c r="X44" s="106">
        <f t="shared" si="46"/>
        <v>0</v>
      </c>
      <c r="Y44" s="178">
        <f t="shared" si="59"/>
        <v>0</v>
      </c>
      <c r="Z44" s="443"/>
      <c r="AA44" s="39"/>
      <c r="AB44" s="39"/>
      <c r="AC44" s="106">
        <f t="shared" si="47"/>
        <v>0</v>
      </c>
      <c r="AD44" s="541">
        <f t="shared" si="36"/>
        <v>0</v>
      </c>
      <c r="AE44" s="443"/>
      <c r="AF44" s="39"/>
      <c r="AG44" s="39">
        <v>250</v>
      </c>
      <c r="AH44" s="106">
        <f t="shared" si="48"/>
        <v>250</v>
      </c>
      <c r="AI44" s="541" t="e">
        <f t="shared" si="60"/>
        <v>#DIV/0!</v>
      </c>
      <c r="AJ44" s="443"/>
      <c r="AK44" s="39"/>
      <c r="AL44" s="39">
        <v>250</v>
      </c>
      <c r="AM44" s="106">
        <f t="shared" si="49"/>
        <v>250</v>
      </c>
      <c r="AN44" s="541" t="e">
        <f t="shared" si="37"/>
        <v>#DIV/0!</v>
      </c>
      <c r="AO44" s="443"/>
      <c r="AP44" s="39"/>
      <c r="AQ44" s="39"/>
      <c r="AR44" s="106">
        <f t="shared" si="50"/>
        <v>0</v>
      </c>
      <c r="AS44" s="541">
        <f t="shared" si="8"/>
        <v>0</v>
      </c>
      <c r="AT44" s="443"/>
      <c r="AU44" s="39"/>
      <c r="AV44" s="39"/>
      <c r="AW44" s="106">
        <f t="shared" si="51"/>
        <v>0</v>
      </c>
      <c r="AX44" s="541" t="e">
        <f t="shared" si="38"/>
        <v>#DIV/0!</v>
      </c>
      <c r="AY44" s="443"/>
      <c r="AZ44" s="39"/>
      <c r="BA44" s="39"/>
      <c r="BB44" s="106">
        <f t="shared" si="52"/>
        <v>0</v>
      </c>
      <c r="BC44" s="541" t="e">
        <f t="shared" si="39"/>
        <v>#DIV/0!</v>
      </c>
      <c r="BD44" s="443"/>
      <c r="BE44" s="39"/>
      <c r="BF44" s="39"/>
      <c r="BG44" s="106">
        <f t="shared" si="53"/>
        <v>0</v>
      </c>
      <c r="BH44" s="541">
        <f t="shared" si="40"/>
        <v>0</v>
      </c>
      <c r="BI44" s="443"/>
      <c r="BJ44" s="39">
        <f t="shared" si="54"/>
        <v>0</v>
      </c>
      <c r="BK44" s="39">
        <f t="shared" si="55"/>
        <v>1100</v>
      </c>
      <c r="BL44" s="106">
        <f t="shared" si="56"/>
        <v>1100</v>
      </c>
      <c r="BM44" s="178" t="e">
        <f t="shared" si="57"/>
        <v>#DIV/0!</v>
      </c>
      <c r="BN44" s="79"/>
      <c r="BP44" s="842"/>
      <c r="BQ44" s="842"/>
    </row>
    <row r="45" spans="1:72" ht="13.8">
      <c r="A45" s="4833"/>
      <c r="B45" s="18" t="s">
        <v>8</v>
      </c>
      <c r="C45" s="113"/>
      <c r="D45" s="119">
        <v>2500</v>
      </c>
      <c r="E45" s="120">
        <f t="shared" si="41"/>
        <v>2500</v>
      </c>
      <c r="F45" s="178">
        <f t="shared" si="34"/>
        <v>1.2654342248699034E-4</v>
      </c>
      <c r="G45" s="39"/>
      <c r="H45" s="39"/>
      <c r="I45" s="106">
        <f t="shared" si="42"/>
        <v>0</v>
      </c>
      <c r="J45" s="178">
        <f t="shared" si="35"/>
        <v>0</v>
      </c>
      <c r="K45" s="79"/>
      <c r="L45" s="39">
        <v>296</v>
      </c>
      <c r="M45" s="39"/>
      <c r="N45" s="106">
        <f t="shared" si="43"/>
        <v>296</v>
      </c>
      <c r="O45" s="178">
        <f t="shared" si="58"/>
        <v>2.4220948460195713E-4</v>
      </c>
      <c r="P45" s="259"/>
      <c r="Q45" s="39">
        <f>370</f>
        <v>370</v>
      </c>
      <c r="R45" s="39"/>
      <c r="S45" s="106">
        <f t="shared" si="44"/>
        <v>370</v>
      </c>
      <c r="T45" s="178">
        <f t="shared" si="45"/>
        <v>5.2556399935742736E-5</v>
      </c>
      <c r="U45" s="443"/>
      <c r="V45" s="39">
        <f>814*1.2</f>
        <v>976.8</v>
      </c>
      <c r="W45" s="39"/>
      <c r="X45" s="106">
        <f t="shared" si="46"/>
        <v>976.8</v>
      </c>
      <c r="Y45" s="178">
        <f t="shared" si="59"/>
        <v>3.9698785303254007E-4</v>
      </c>
      <c r="Z45" s="443"/>
      <c r="AA45" s="39">
        <v>555</v>
      </c>
      <c r="AB45" s="39"/>
      <c r="AC45" s="106">
        <f t="shared" si="47"/>
        <v>555</v>
      </c>
      <c r="AD45" s="541">
        <f t="shared" si="36"/>
        <v>1.9458593394858635E-4</v>
      </c>
      <c r="AE45" s="443"/>
      <c r="AF45" s="39">
        <v>1480</v>
      </c>
      <c r="AG45" s="39"/>
      <c r="AH45" s="106">
        <f t="shared" si="48"/>
        <v>1480</v>
      </c>
      <c r="AI45" s="541" t="e">
        <f t="shared" si="60"/>
        <v>#DIV/0!</v>
      </c>
      <c r="AJ45" s="443"/>
      <c r="AK45" s="39"/>
      <c r="AL45" s="39"/>
      <c r="AM45" s="106">
        <f t="shared" si="49"/>
        <v>0</v>
      </c>
      <c r="AN45" s="541" t="e">
        <f t="shared" si="37"/>
        <v>#DIV/0!</v>
      </c>
      <c r="AO45" s="443"/>
      <c r="AP45" s="39"/>
      <c r="AQ45" s="39"/>
      <c r="AR45" s="106">
        <f t="shared" si="50"/>
        <v>0</v>
      </c>
      <c r="AS45" s="541">
        <f t="shared" si="8"/>
        <v>0</v>
      </c>
      <c r="AT45" s="443"/>
      <c r="AU45" s="39">
        <f>2109*1.2</f>
        <v>2530.7999999999997</v>
      </c>
      <c r="AV45" s="39"/>
      <c r="AW45" s="106">
        <f t="shared" si="51"/>
        <v>2530.7999999999997</v>
      </c>
      <c r="AX45" s="541" t="e">
        <f t="shared" si="38"/>
        <v>#DIV/0!</v>
      </c>
      <c r="AY45" s="443"/>
      <c r="AZ45" s="39">
        <v>-1546.6000000000004</v>
      </c>
      <c r="BA45" s="39"/>
      <c r="BB45" s="106">
        <f t="shared" si="52"/>
        <v>-1546.6000000000004</v>
      </c>
      <c r="BC45" s="541" t="e">
        <f t="shared" si="39"/>
        <v>#DIV/0!</v>
      </c>
      <c r="BD45" s="443"/>
      <c r="BE45" s="39"/>
      <c r="BF45" s="39"/>
      <c r="BG45" s="106">
        <f t="shared" si="53"/>
        <v>0</v>
      </c>
      <c r="BH45" s="541">
        <f t="shared" si="40"/>
        <v>0</v>
      </c>
      <c r="BI45" s="443"/>
      <c r="BJ45" s="39">
        <f t="shared" si="54"/>
        <v>4662</v>
      </c>
      <c r="BK45" s="39">
        <f t="shared" si="55"/>
        <v>0</v>
      </c>
      <c r="BL45" s="106">
        <f t="shared" si="56"/>
        <v>4662</v>
      </c>
      <c r="BM45" s="178" t="e">
        <f t="shared" si="57"/>
        <v>#DIV/0!</v>
      </c>
      <c r="BN45" s="79"/>
      <c r="BP45" s="842"/>
      <c r="BQ45" s="842"/>
    </row>
    <row r="46" spans="1:72" ht="13.8">
      <c r="A46" s="4833"/>
      <c r="B46" s="18" t="s">
        <v>29</v>
      </c>
      <c r="C46" s="113"/>
      <c r="D46" s="119"/>
      <c r="E46" s="120">
        <f t="shared" si="41"/>
        <v>0</v>
      </c>
      <c r="F46" s="178">
        <f t="shared" si="34"/>
        <v>0</v>
      </c>
      <c r="G46" s="39"/>
      <c r="H46" s="39"/>
      <c r="I46" s="106">
        <f t="shared" si="42"/>
        <v>0</v>
      </c>
      <c r="J46" s="178">
        <f t="shared" si="35"/>
        <v>0</v>
      </c>
      <c r="K46" s="79"/>
      <c r="L46" s="39"/>
      <c r="M46" s="39"/>
      <c r="N46" s="106">
        <f t="shared" si="43"/>
        <v>0</v>
      </c>
      <c r="O46" s="178">
        <f t="shared" si="58"/>
        <v>0</v>
      </c>
      <c r="P46" s="259"/>
      <c r="Q46" s="39"/>
      <c r="R46" s="39"/>
      <c r="S46" s="106">
        <f t="shared" si="44"/>
        <v>0</v>
      </c>
      <c r="T46" s="178">
        <f t="shared" si="45"/>
        <v>0</v>
      </c>
      <c r="U46" s="443"/>
      <c r="V46" s="39"/>
      <c r="W46" s="39"/>
      <c r="X46" s="106">
        <f t="shared" si="46"/>
        <v>0</v>
      </c>
      <c r="Y46" s="178">
        <f t="shared" si="59"/>
        <v>0</v>
      </c>
      <c r="Z46" s="443"/>
      <c r="AA46" s="39"/>
      <c r="AB46" s="39"/>
      <c r="AC46" s="106">
        <f t="shared" si="47"/>
        <v>0</v>
      </c>
      <c r="AD46" s="541">
        <f t="shared" si="36"/>
        <v>0</v>
      </c>
      <c r="AE46" s="443"/>
      <c r="AF46" s="39"/>
      <c r="AG46" s="39"/>
      <c r="AH46" s="106">
        <f t="shared" si="48"/>
        <v>0</v>
      </c>
      <c r="AI46" s="541" t="e">
        <f t="shared" si="60"/>
        <v>#DIV/0!</v>
      </c>
      <c r="AJ46" s="443"/>
      <c r="AK46" s="39"/>
      <c r="AL46" s="39"/>
      <c r="AM46" s="106">
        <f t="shared" si="49"/>
        <v>0</v>
      </c>
      <c r="AN46" s="541" t="e">
        <f t="shared" si="37"/>
        <v>#DIV/0!</v>
      </c>
      <c r="AO46" s="443"/>
      <c r="AP46" s="39"/>
      <c r="AQ46" s="39"/>
      <c r="AR46" s="106">
        <f t="shared" si="50"/>
        <v>0</v>
      </c>
      <c r="AS46" s="541">
        <f t="shared" si="8"/>
        <v>0</v>
      </c>
      <c r="AT46" s="443"/>
      <c r="AU46" s="39"/>
      <c r="AV46" s="39"/>
      <c r="AW46" s="106">
        <f t="shared" si="51"/>
        <v>0</v>
      </c>
      <c r="AX46" s="541" t="e">
        <f t="shared" si="38"/>
        <v>#DIV/0!</v>
      </c>
      <c r="AY46" s="443"/>
      <c r="AZ46" s="39"/>
      <c r="BA46" s="39"/>
      <c r="BB46" s="106">
        <f t="shared" si="52"/>
        <v>0</v>
      </c>
      <c r="BC46" s="541" t="e">
        <f t="shared" si="39"/>
        <v>#DIV/0!</v>
      </c>
      <c r="BD46" s="443"/>
      <c r="BE46" s="39"/>
      <c r="BF46" s="39"/>
      <c r="BG46" s="106">
        <f t="shared" si="53"/>
        <v>0</v>
      </c>
      <c r="BH46" s="541">
        <f t="shared" si="40"/>
        <v>0</v>
      </c>
      <c r="BI46" s="443"/>
      <c r="BJ46" s="39">
        <f t="shared" si="54"/>
        <v>0</v>
      </c>
      <c r="BK46" s="39">
        <f t="shared" si="55"/>
        <v>0</v>
      </c>
      <c r="BL46" s="106">
        <f t="shared" si="56"/>
        <v>0</v>
      </c>
      <c r="BM46" s="178" t="e">
        <f t="shared" si="57"/>
        <v>#DIV/0!</v>
      </c>
      <c r="BN46" s="79"/>
      <c r="BP46" s="842"/>
      <c r="BQ46" s="842"/>
    </row>
    <row r="47" spans="1:72" ht="41.4">
      <c r="A47" s="4833"/>
      <c r="B47" s="18" t="s">
        <v>30</v>
      </c>
      <c r="C47" s="113">
        <v>15000</v>
      </c>
      <c r="D47" s="119"/>
      <c r="E47" s="120">
        <f t="shared" si="41"/>
        <v>15000</v>
      </c>
      <c r="F47" s="178">
        <f t="shared" si="34"/>
        <v>7.5926053492194202E-4</v>
      </c>
      <c r="G47" s="39"/>
      <c r="H47" s="39">
        <v>69</v>
      </c>
      <c r="I47" s="106">
        <f t="shared" si="42"/>
        <v>69</v>
      </c>
      <c r="J47" s="178">
        <f t="shared" si="35"/>
        <v>2.2040430522224394E-4</v>
      </c>
      <c r="K47" s="79" t="s">
        <v>506</v>
      </c>
      <c r="L47" s="39">
        <f>2502.1</f>
        <v>2502.1</v>
      </c>
      <c r="M47" s="39">
        <v>150</v>
      </c>
      <c r="N47" s="106">
        <f t="shared" si="43"/>
        <v>2652.1</v>
      </c>
      <c r="O47" s="178">
        <f t="shared" si="58"/>
        <v>2.1701478855163867E-3</v>
      </c>
      <c r="P47" s="439" t="s">
        <v>564</v>
      </c>
      <c r="Q47" s="39">
        <v>4375.5999999999995</v>
      </c>
      <c r="R47" s="39">
        <v>150</v>
      </c>
      <c r="S47" s="106">
        <f t="shared" si="44"/>
        <v>4525.5999999999995</v>
      </c>
      <c r="T47" s="178">
        <f t="shared" si="45"/>
        <v>6.4283579337620893E-4</v>
      </c>
      <c r="U47" s="443" t="s">
        <v>564</v>
      </c>
      <c r="V47" s="39">
        <v>5868.5499999999993</v>
      </c>
      <c r="W47" s="39">
        <f>350+400</f>
        <v>750</v>
      </c>
      <c r="X47" s="106">
        <f t="shared" si="46"/>
        <v>6618.5499999999993</v>
      </c>
      <c r="Y47" s="178">
        <f t="shared" si="59"/>
        <v>2.6898893885017585E-3</v>
      </c>
      <c r="Z47" s="443"/>
      <c r="AA47" s="39">
        <v>6888.65</v>
      </c>
      <c r="AB47" s="39">
        <v>150</v>
      </c>
      <c r="AC47" s="106">
        <f t="shared" si="47"/>
        <v>7038.65</v>
      </c>
      <c r="AD47" s="541">
        <f t="shared" si="36"/>
        <v>2.467787899076067E-3</v>
      </c>
      <c r="AE47" s="443"/>
      <c r="AF47" s="39">
        <v>6253.21</v>
      </c>
      <c r="AG47" s="39">
        <f>200</f>
        <v>200</v>
      </c>
      <c r="AH47" s="106">
        <f t="shared" si="48"/>
        <v>6453.21</v>
      </c>
      <c r="AI47" s="541" t="e">
        <f t="shared" si="60"/>
        <v>#DIV/0!</v>
      </c>
      <c r="AJ47" s="443" t="s">
        <v>841</v>
      </c>
      <c r="AK47" s="39">
        <v>3337.38</v>
      </c>
      <c r="AL47" s="39">
        <v>368</v>
      </c>
      <c r="AM47" s="106">
        <f>AK47+AL47*1</f>
        <v>3705.38</v>
      </c>
      <c r="AN47" s="541" t="e">
        <f t="shared" si="37"/>
        <v>#DIV/0!</v>
      </c>
      <c r="AO47" s="443"/>
      <c r="AP47" s="39">
        <v>879.42</v>
      </c>
      <c r="AQ47" s="39"/>
      <c r="AR47" s="106">
        <f t="shared" si="50"/>
        <v>879.42</v>
      </c>
      <c r="AS47" s="541">
        <f t="shared" si="8"/>
        <v>3.3937614107011991E-3</v>
      </c>
      <c r="AT47" s="443"/>
      <c r="AU47" s="39">
        <v>691</v>
      </c>
      <c r="AV47" s="39"/>
      <c r="AW47" s="106">
        <f t="shared" si="51"/>
        <v>691</v>
      </c>
      <c r="AX47" s="541" t="e">
        <f t="shared" si="38"/>
        <v>#DIV/0!</v>
      </c>
      <c r="AY47" s="443"/>
      <c r="AZ47" s="39">
        <v>69.360000000000582</v>
      </c>
      <c r="BA47" s="39">
        <v>916</v>
      </c>
      <c r="BB47" s="106">
        <f t="shared" si="52"/>
        <v>985.36000000000058</v>
      </c>
      <c r="BC47" s="541" t="e">
        <f t="shared" si="39"/>
        <v>#DIV/0!</v>
      </c>
      <c r="BD47" s="443"/>
      <c r="BE47" s="39">
        <v>528</v>
      </c>
      <c r="BF47" s="39"/>
      <c r="BG47" s="106">
        <f t="shared" si="53"/>
        <v>528</v>
      </c>
      <c r="BH47" s="541">
        <f t="shared" si="40"/>
        <v>1.4027456079818443E-3</v>
      </c>
      <c r="BI47" s="443"/>
      <c r="BJ47" s="39">
        <f t="shared" si="54"/>
        <v>31393.269999999997</v>
      </c>
      <c r="BK47" s="39">
        <f t="shared" si="55"/>
        <v>2753</v>
      </c>
      <c r="BL47" s="106">
        <f t="shared" si="56"/>
        <v>34146.269999999997</v>
      </c>
      <c r="BM47" s="178" t="e">
        <f t="shared" si="57"/>
        <v>#DIV/0!</v>
      </c>
      <c r="BN47" s="79"/>
      <c r="BP47" s="842"/>
      <c r="BQ47" s="842"/>
    </row>
    <row r="48" spans="1:72" ht="13.8">
      <c r="A48" s="4833"/>
      <c r="B48" s="18" t="s">
        <v>15</v>
      </c>
      <c r="C48" s="113">
        <v>2500</v>
      </c>
      <c r="D48" s="119"/>
      <c r="E48" s="120">
        <f t="shared" si="41"/>
        <v>2500</v>
      </c>
      <c r="F48" s="178">
        <f t="shared" si="34"/>
        <v>1.2654342248699034E-4</v>
      </c>
      <c r="G48" s="39"/>
      <c r="H48" s="39"/>
      <c r="I48" s="106">
        <f t="shared" si="42"/>
        <v>0</v>
      </c>
      <c r="J48" s="178">
        <f t="shared" si="35"/>
        <v>0</v>
      </c>
      <c r="K48" s="79"/>
      <c r="L48" s="39">
        <f>360*1.2</f>
        <v>432</v>
      </c>
      <c r="M48" s="39"/>
      <c r="N48" s="106">
        <f t="shared" si="43"/>
        <v>432</v>
      </c>
      <c r="O48" s="178">
        <f t="shared" si="58"/>
        <v>3.5349492347312662E-4</v>
      </c>
      <c r="P48" s="415" t="s">
        <v>572</v>
      </c>
      <c r="Q48" s="39"/>
      <c r="R48" s="39">
        <v>120</v>
      </c>
      <c r="S48" s="106">
        <f t="shared" si="44"/>
        <v>120</v>
      </c>
      <c r="T48" s="178">
        <f t="shared" si="45"/>
        <v>1.7045318898078724E-5</v>
      </c>
      <c r="U48" s="443" t="s">
        <v>692</v>
      </c>
      <c r="V48" s="39">
        <f>2053.8*1.2</f>
        <v>2464.56</v>
      </c>
      <c r="W48" s="39"/>
      <c r="X48" s="106">
        <f t="shared" si="46"/>
        <v>2464.56</v>
      </c>
      <c r="Y48" s="178">
        <f t="shared" si="59"/>
        <v>1.0016383938061804E-3</v>
      </c>
      <c r="Z48" s="443"/>
      <c r="AA48" s="39"/>
      <c r="AB48" s="39">
        <v>100</v>
      </c>
      <c r="AC48" s="106">
        <f t="shared" si="47"/>
        <v>100</v>
      </c>
      <c r="AD48" s="541">
        <f t="shared" si="36"/>
        <v>3.5060528639384925E-5</v>
      </c>
      <c r="AE48" s="443"/>
      <c r="AF48" s="39"/>
      <c r="AG48" s="39">
        <v>89.9</v>
      </c>
      <c r="AH48" s="106">
        <f t="shared" si="48"/>
        <v>89.9</v>
      </c>
      <c r="AI48" s="541" t="e">
        <f t="shared" si="60"/>
        <v>#DIV/0!</v>
      </c>
      <c r="AJ48" s="443"/>
      <c r="AK48" s="39"/>
      <c r="AL48" s="39"/>
      <c r="AM48" s="106">
        <f t="shared" si="49"/>
        <v>0</v>
      </c>
      <c r="AN48" s="541" t="e">
        <f t="shared" si="37"/>
        <v>#DIV/0!</v>
      </c>
      <c r="AO48" s="443"/>
      <c r="AP48" s="39"/>
      <c r="AQ48" s="39"/>
      <c r="AR48" s="106">
        <f t="shared" si="50"/>
        <v>0</v>
      </c>
      <c r="AS48" s="541">
        <f t="shared" si="8"/>
        <v>0</v>
      </c>
      <c r="AT48" s="443"/>
      <c r="AU48" s="39"/>
      <c r="AV48" s="39"/>
      <c r="AW48" s="106">
        <f t="shared" si="51"/>
        <v>0</v>
      </c>
      <c r="AX48" s="541" t="e">
        <f t="shared" si="38"/>
        <v>#DIV/0!</v>
      </c>
      <c r="AY48" s="443"/>
      <c r="AZ48" s="39">
        <v>-432</v>
      </c>
      <c r="BA48" s="39"/>
      <c r="BB48" s="106">
        <f t="shared" si="52"/>
        <v>-432</v>
      </c>
      <c r="BC48" s="541" t="e">
        <f t="shared" si="39"/>
        <v>#DIV/0!</v>
      </c>
      <c r="BD48" s="443"/>
      <c r="BE48" s="39"/>
      <c r="BF48" s="39"/>
      <c r="BG48" s="106">
        <f t="shared" si="53"/>
        <v>0</v>
      </c>
      <c r="BH48" s="541">
        <f t="shared" si="40"/>
        <v>0</v>
      </c>
      <c r="BI48" s="443"/>
      <c r="BJ48" s="39">
        <f t="shared" si="54"/>
        <v>2464.56</v>
      </c>
      <c r="BK48" s="39">
        <f t="shared" si="55"/>
        <v>309.89999999999998</v>
      </c>
      <c r="BL48" s="106">
        <f t="shared" si="56"/>
        <v>2774.46</v>
      </c>
      <c r="BM48" s="178" t="e">
        <f t="shared" si="57"/>
        <v>#DIV/0!</v>
      </c>
      <c r="BN48" s="79"/>
      <c r="BP48" s="842"/>
      <c r="BQ48" s="842"/>
    </row>
    <row r="49" spans="1:72" s="2" customFormat="1" ht="14.4" thickBot="1">
      <c r="A49" s="11"/>
      <c r="B49" s="35"/>
      <c r="C49" s="116"/>
      <c r="D49" s="121"/>
      <c r="E49" s="122"/>
      <c r="F49" s="182"/>
      <c r="G49" s="39"/>
      <c r="H49" s="39"/>
      <c r="I49" s="52"/>
      <c r="J49" s="178">
        <f t="shared" si="35"/>
        <v>0</v>
      </c>
      <c r="K49" s="52"/>
      <c r="L49" s="39"/>
      <c r="M49" s="39"/>
      <c r="N49" s="52"/>
      <c r="O49" s="178">
        <f t="shared" si="58"/>
        <v>0</v>
      </c>
      <c r="P49" s="64"/>
      <c r="Q49" s="39"/>
      <c r="R49" s="39"/>
      <c r="S49" s="52"/>
      <c r="T49" s="178">
        <f t="shared" si="45"/>
        <v>0</v>
      </c>
      <c r="U49" s="64"/>
      <c r="V49" s="39"/>
      <c r="W49" s="39"/>
      <c r="X49" s="52"/>
      <c r="Y49" s="178">
        <f t="shared" si="59"/>
        <v>0</v>
      </c>
      <c r="Z49" s="64"/>
      <c r="AA49" s="39"/>
      <c r="AB49" s="39"/>
      <c r="AC49" s="52"/>
      <c r="AD49" s="541"/>
      <c r="AE49" s="64"/>
      <c r="AF49" s="39"/>
      <c r="AG49" s="39"/>
      <c r="AH49" s="52"/>
      <c r="AI49" s="541"/>
      <c r="AJ49" s="64"/>
      <c r="AK49" s="39"/>
      <c r="AL49" s="39"/>
      <c r="AM49" s="52"/>
      <c r="AN49" s="541"/>
      <c r="AO49" s="64"/>
      <c r="AP49" s="39"/>
      <c r="AQ49" s="39"/>
      <c r="AR49" s="52"/>
      <c r="AS49" s="541">
        <f t="shared" si="8"/>
        <v>0</v>
      </c>
      <c r="AT49" s="64"/>
      <c r="AU49" s="39"/>
      <c r="AV49" s="39"/>
      <c r="AW49" s="52"/>
      <c r="AX49" s="541" t="e">
        <f t="shared" si="38"/>
        <v>#DIV/0!</v>
      </c>
      <c r="AY49" s="64"/>
      <c r="AZ49" s="39"/>
      <c r="BA49" s="39"/>
      <c r="BB49" s="52"/>
      <c r="BC49" s="541" t="e">
        <f t="shared" si="39"/>
        <v>#DIV/0!</v>
      </c>
      <c r="BD49" s="64"/>
      <c r="BE49" s="39"/>
      <c r="BF49" s="39"/>
      <c r="BG49" s="52"/>
      <c r="BH49" s="541">
        <f t="shared" si="40"/>
        <v>0</v>
      </c>
      <c r="BI49" s="64"/>
      <c r="BJ49" s="39">
        <f t="shared" si="54"/>
        <v>0</v>
      </c>
      <c r="BK49" s="39">
        <f t="shared" si="55"/>
        <v>0</v>
      </c>
      <c r="BL49" s="52"/>
      <c r="BM49" s="178" t="e">
        <f t="shared" si="57"/>
        <v>#DIV/0!</v>
      </c>
      <c r="BN49" s="52"/>
      <c r="BO49" s="1"/>
      <c r="BP49" s="842"/>
      <c r="BQ49" s="842"/>
      <c r="BR49" s="1"/>
      <c r="BS49" s="1"/>
      <c r="BT49" s="1"/>
    </row>
    <row r="50" spans="1:72" s="2" customFormat="1" ht="13.8">
      <c r="A50" s="293"/>
      <c r="B50" s="17" t="s">
        <v>59</v>
      </c>
      <c r="C50" s="123"/>
      <c r="D50" s="123"/>
      <c r="E50" s="123">
        <f>SUM(E51:E52)</f>
        <v>0</v>
      </c>
      <c r="F50" s="170">
        <f>E50/$E$89</f>
        <v>0</v>
      </c>
      <c r="G50" s="123">
        <f>G52+G51</f>
        <v>0</v>
      </c>
      <c r="H50" s="123">
        <f>H52+H51</f>
        <v>0</v>
      </c>
      <c r="I50" s="123">
        <f>SUM(I51:I52)</f>
        <v>0</v>
      </c>
      <c r="J50" s="60"/>
      <c r="K50" s="60"/>
      <c r="L50" s="123">
        <f>L52+L51</f>
        <v>0</v>
      </c>
      <c r="M50" s="123">
        <f>M52+M51</f>
        <v>0</v>
      </c>
      <c r="N50" s="123">
        <f>SUM(N51:N52)</f>
        <v>0</v>
      </c>
      <c r="O50" s="60"/>
      <c r="P50" s="409"/>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f>AC50/$AC$89</f>
        <v>0</v>
      </c>
      <c r="AE50" s="409"/>
      <c r="AF50" s="123">
        <f>AF52+AF51</f>
        <v>0</v>
      </c>
      <c r="AG50" s="123">
        <f>AG52+AG51</f>
        <v>0</v>
      </c>
      <c r="AH50" s="123">
        <f>SUM(AH51:AH52)</f>
        <v>0</v>
      </c>
      <c r="AI50" s="60" t="e">
        <f>AH50/$AH$89</f>
        <v>#DIV/0!</v>
      </c>
      <c r="AJ50" s="409"/>
      <c r="AK50" s="123">
        <f>AK52+AK51</f>
        <v>0</v>
      </c>
      <c r="AL50" s="123">
        <f>AL52+AL51</f>
        <v>0</v>
      </c>
      <c r="AM50" s="123">
        <f>SUM(AM51:AM52)</f>
        <v>0</v>
      </c>
      <c r="AN50" s="60" t="e">
        <f>AM50/$AM$89</f>
        <v>#DIV/0!</v>
      </c>
      <c r="AO50" s="409"/>
      <c r="AP50" s="123">
        <f>AP52+AP51</f>
        <v>0</v>
      </c>
      <c r="AQ50" s="123">
        <f>AQ52+AQ51</f>
        <v>0</v>
      </c>
      <c r="AR50" s="123">
        <f>SUM(AR51:AR52)</f>
        <v>0</v>
      </c>
      <c r="AS50" s="60">
        <f t="shared" si="8"/>
        <v>0</v>
      </c>
      <c r="AT50" s="409"/>
      <c r="AU50" s="123">
        <f>AU52+AU51</f>
        <v>0</v>
      </c>
      <c r="AV50" s="123">
        <f>AV52+AV51</f>
        <v>0</v>
      </c>
      <c r="AW50" s="123">
        <f>SUM(AW51:AW52)</f>
        <v>0</v>
      </c>
      <c r="AX50" s="60" t="e">
        <f t="shared" si="38"/>
        <v>#DIV/0!</v>
      </c>
      <c r="AY50" s="409"/>
      <c r="AZ50" s="123">
        <f>AZ52+AZ51</f>
        <v>0</v>
      </c>
      <c r="BA50" s="123">
        <f>BA52+BA51</f>
        <v>0</v>
      </c>
      <c r="BB50" s="123">
        <f>SUM(BB51:BB52)</f>
        <v>0</v>
      </c>
      <c r="BC50" s="60" t="e">
        <f t="shared" si="39"/>
        <v>#DIV/0!</v>
      </c>
      <c r="BD50" s="409"/>
      <c r="BE50" s="123">
        <f>BE52+BE51</f>
        <v>0</v>
      </c>
      <c r="BF50" s="123">
        <f>BF52+BF51</f>
        <v>0</v>
      </c>
      <c r="BG50" s="123">
        <f>SUM(BG51:BG52)</f>
        <v>0</v>
      </c>
      <c r="BH50" s="60">
        <f t="shared" si="40"/>
        <v>0</v>
      </c>
      <c r="BI50" s="409"/>
      <c r="BJ50" s="123">
        <f>BJ52+BJ51</f>
        <v>0</v>
      </c>
      <c r="BK50" s="123">
        <f>BK52+BK51</f>
        <v>0</v>
      </c>
      <c r="BL50" s="123">
        <f>SUM(BL51:BL52)</f>
        <v>0</v>
      </c>
      <c r="BM50" s="60"/>
      <c r="BN50" s="60"/>
      <c r="BO50" s="1"/>
      <c r="BP50" s="842"/>
      <c r="BQ50" s="842"/>
      <c r="BR50" s="1"/>
      <c r="BS50" s="1"/>
      <c r="BT50" s="1"/>
    </row>
    <row r="51" spans="1:72" s="226" customFormat="1" ht="13.8">
      <c r="A51" s="234"/>
      <c r="B51" s="18" t="s">
        <v>60</v>
      </c>
      <c r="C51" s="113"/>
      <c r="D51" s="119"/>
      <c r="E51" s="119">
        <f>C51+D51</f>
        <v>0</v>
      </c>
      <c r="F51" s="180">
        <f>E51/$E$89</f>
        <v>0</v>
      </c>
      <c r="G51" s="39"/>
      <c r="H51" s="39"/>
      <c r="I51" s="106">
        <f>G51+H51*1</f>
        <v>0</v>
      </c>
      <c r="J51" s="178">
        <f>I51/$I$89</f>
        <v>0</v>
      </c>
      <c r="K51" s="45"/>
      <c r="L51" s="39"/>
      <c r="M51" s="39"/>
      <c r="N51" s="106">
        <f>L51+M51*1</f>
        <v>0</v>
      </c>
      <c r="O51" s="178">
        <f t="shared" si="58"/>
        <v>0</v>
      </c>
      <c r="P51" s="405"/>
      <c r="Q51" s="39"/>
      <c r="R51" s="39"/>
      <c r="S51" s="106">
        <f>Q51+R51*1</f>
        <v>0</v>
      </c>
      <c r="T51" s="178">
        <f t="shared" si="45"/>
        <v>0</v>
      </c>
      <c r="U51" s="405"/>
      <c r="V51" s="39"/>
      <c r="W51" s="39"/>
      <c r="X51" s="106">
        <f>V51+W51*1</f>
        <v>0</v>
      </c>
      <c r="Y51" s="178">
        <f t="shared" si="59"/>
        <v>0</v>
      </c>
      <c r="Z51" s="405"/>
      <c r="AA51" s="39"/>
      <c r="AB51" s="39"/>
      <c r="AC51" s="106">
        <f>AA51+AB51*1</f>
        <v>0</v>
      </c>
      <c r="AD51" s="541">
        <f t="shared" si="36"/>
        <v>0</v>
      </c>
      <c r="AE51" s="405"/>
      <c r="AF51" s="39"/>
      <c r="AG51" s="39"/>
      <c r="AH51" s="106">
        <f>AF51+AG51*1</f>
        <v>0</v>
      </c>
      <c r="AI51" s="541" t="e">
        <f>AH51/$AH$89</f>
        <v>#DIV/0!</v>
      </c>
      <c r="AJ51" s="405"/>
      <c r="AK51" s="39"/>
      <c r="AL51" s="39"/>
      <c r="AM51" s="106">
        <f>AK51+AL51*1</f>
        <v>0</v>
      </c>
      <c r="AN51" s="541" t="e">
        <f>AM51/$AM$89</f>
        <v>#DIV/0!</v>
      </c>
      <c r="AO51" s="405"/>
      <c r="AP51" s="39"/>
      <c r="AQ51" s="39"/>
      <c r="AR51" s="106">
        <f>AP51+AQ51*1</f>
        <v>0</v>
      </c>
      <c r="AS51" s="541">
        <f t="shared" si="8"/>
        <v>0</v>
      </c>
      <c r="AT51" s="405"/>
      <c r="AU51" s="39"/>
      <c r="AV51" s="39"/>
      <c r="AW51" s="106">
        <f>AU51+AV51*1</f>
        <v>0</v>
      </c>
      <c r="AX51" s="541" t="e">
        <f t="shared" si="38"/>
        <v>#DIV/0!</v>
      </c>
      <c r="AY51" s="405"/>
      <c r="AZ51" s="39"/>
      <c r="BA51" s="39"/>
      <c r="BB51" s="106">
        <f>AZ51+BA51*1</f>
        <v>0</v>
      </c>
      <c r="BC51" s="541" t="e">
        <f t="shared" si="39"/>
        <v>#DIV/0!</v>
      </c>
      <c r="BD51" s="405"/>
      <c r="BE51" s="39"/>
      <c r="BF51" s="39"/>
      <c r="BG51" s="106">
        <f>BE51+BF51*1</f>
        <v>0</v>
      </c>
      <c r="BH51" s="541">
        <f t="shared" si="40"/>
        <v>0</v>
      </c>
      <c r="BI51" s="405"/>
      <c r="BJ51" s="39">
        <f>G51+L51+Q51+V51+AA51+AF51+AK51+AP51+AU51+AZ51+BE51</f>
        <v>0</v>
      </c>
      <c r="BK51" s="39">
        <f>H51+M51+R51+W51+AB51+AG51+AL51+AQ51+AV51+BA51+BF51</f>
        <v>0</v>
      </c>
      <c r="BL51" s="106">
        <f>BJ51+BK51*1</f>
        <v>0</v>
      </c>
      <c r="BM51" s="178" t="e">
        <f t="shared" si="57"/>
        <v>#DIV/0!</v>
      </c>
      <c r="BN51" s="45"/>
      <c r="BO51" s="1"/>
      <c r="BP51" s="842"/>
      <c r="BQ51" s="842"/>
      <c r="BR51" s="1"/>
      <c r="BS51" s="1"/>
      <c r="BT51" s="1"/>
    </row>
    <row r="52" spans="1:72" s="235" customFormat="1" ht="13.8">
      <c r="A52" s="234"/>
      <c r="B52" s="18" t="s">
        <v>61</v>
      </c>
      <c r="C52" s="113"/>
      <c r="D52" s="119"/>
      <c r="E52" s="119">
        <f>C52+D52</f>
        <v>0</v>
      </c>
      <c r="F52" s="180">
        <f>E52/$E$89</f>
        <v>0</v>
      </c>
      <c r="G52" s="39"/>
      <c r="H52" s="39"/>
      <c r="I52" s="106">
        <f>G52+H52*1</f>
        <v>0</v>
      </c>
      <c r="J52" s="178">
        <f>I52/$I$89</f>
        <v>0</v>
      </c>
      <c r="K52" s="45"/>
      <c r="L52" s="39"/>
      <c r="M52" s="39"/>
      <c r="N52" s="106">
        <f>L52+M52*1</f>
        <v>0</v>
      </c>
      <c r="O52" s="178">
        <f t="shared" si="58"/>
        <v>0</v>
      </c>
      <c r="P52" s="405"/>
      <c r="Q52" s="39"/>
      <c r="R52" s="39"/>
      <c r="S52" s="106">
        <f>Q52+R52*1</f>
        <v>0</v>
      </c>
      <c r="T52" s="178">
        <f t="shared" si="45"/>
        <v>0</v>
      </c>
      <c r="U52" s="405"/>
      <c r="V52" s="39"/>
      <c r="W52" s="39"/>
      <c r="X52" s="106">
        <f>V52+W52*1</f>
        <v>0</v>
      </c>
      <c r="Y52" s="178">
        <f t="shared" si="59"/>
        <v>0</v>
      </c>
      <c r="Z52" s="405"/>
      <c r="AA52" s="39"/>
      <c r="AB52" s="39"/>
      <c r="AC52" s="106">
        <f>AA52+AB52*1</f>
        <v>0</v>
      </c>
      <c r="AD52" s="541">
        <f t="shared" si="36"/>
        <v>0</v>
      </c>
      <c r="AE52" s="405"/>
      <c r="AF52" s="39"/>
      <c r="AG52" s="39"/>
      <c r="AH52" s="106">
        <f>AF52+AG52*1</f>
        <v>0</v>
      </c>
      <c r="AI52" s="541" t="e">
        <f>AH52/$AH$89</f>
        <v>#DIV/0!</v>
      </c>
      <c r="AJ52" s="405"/>
      <c r="AK52" s="39"/>
      <c r="AL52" s="39"/>
      <c r="AM52" s="106">
        <f>AK52+AL52*1</f>
        <v>0</v>
      </c>
      <c r="AN52" s="541" t="e">
        <f>AM52/$AM$89</f>
        <v>#DIV/0!</v>
      </c>
      <c r="AO52" s="405"/>
      <c r="AP52" s="39"/>
      <c r="AQ52" s="39"/>
      <c r="AR52" s="106">
        <f>AP52+AQ52*1</f>
        <v>0</v>
      </c>
      <c r="AS52" s="541">
        <f t="shared" si="8"/>
        <v>0</v>
      </c>
      <c r="AT52" s="405"/>
      <c r="AU52" s="39"/>
      <c r="AV52" s="39"/>
      <c r="AW52" s="106">
        <f>AU52+AV52*1</f>
        <v>0</v>
      </c>
      <c r="AX52" s="541" t="e">
        <f t="shared" si="38"/>
        <v>#DIV/0!</v>
      </c>
      <c r="AY52" s="405"/>
      <c r="AZ52" s="39"/>
      <c r="BA52" s="39"/>
      <c r="BB52" s="106">
        <f>AZ52+BA52*1</f>
        <v>0</v>
      </c>
      <c r="BC52" s="541" t="e">
        <f t="shared" si="39"/>
        <v>#DIV/0!</v>
      </c>
      <c r="BD52" s="405"/>
      <c r="BE52" s="39"/>
      <c r="BF52" s="39"/>
      <c r="BG52" s="106">
        <f>BE52+BF52*1</f>
        <v>0</v>
      </c>
      <c r="BH52" s="541">
        <f t="shared" si="40"/>
        <v>0</v>
      </c>
      <c r="BI52" s="405"/>
      <c r="BJ52" s="39">
        <f>G52+L52+Q52+V52+AA52+AF52+AK52+AP52+AU52+AZ52+BE52</f>
        <v>0</v>
      </c>
      <c r="BK52" s="39">
        <f>H52+M52+R52+W52+AB52+AG52+AL52+AQ52+AV52+BA52+BF52</f>
        <v>0</v>
      </c>
      <c r="BL52" s="106">
        <f>BJ52+BK52*1</f>
        <v>0</v>
      </c>
      <c r="BM52" s="178" t="e">
        <f t="shared" si="57"/>
        <v>#DIV/0!</v>
      </c>
      <c r="BN52" s="45"/>
      <c r="BO52" s="1"/>
      <c r="BP52" s="842"/>
      <c r="BQ52" s="842"/>
      <c r="BR52" s="1"/>
      <c r="BS52" s="1"/>
      <c r="BT52" s="1"/>
    </row>
    <row r="53" spans="1:72" ht="14.4" thickBot="1">
      <c r="A53" s="20"/>
      <c r="B53" s="21"/>
      <c r="C53" s="124"/>
      <c r="D53" s="125"/>
      <c r="E53" s="126"/>
      <c r="F53" s="183"/>
      <c r="G53" s="39"/>
      <c r="H53" s="39"/>
      <c r="I53" s="61"/>
      <c r="J53" s="61"/>
      <c r="K53" s="61"/>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61"/>
      <c r="AN53" s="61"/>
      <c r="AO53" s="61"/>
      <c r="AP53" s="39"/>
      <c r="AQ53" s="39"/>
      <c r="AR53" s="61"/>
      <c r="AS53" s="61"/>
      <c r="AT53" s="61"/>
      <c r="AU53" s="39"/>
      <c r="AV53" s="39"/>
      <c r="AW53" s="61"/>
      <c r="AX53" s="61"/>
      <c r="AY53" s="61"/>
      <c r="AZ53" s="39"/>
      <c r="BA53" s="39"/>
      <c r="BB53" s="61"/>
      <c r="BC53" s="61"/>
      <c r="BD53" s="61"/>
      <c r="BE53" s="39"/>
      <c r="BF53" s="39"/>
      <c r="BG53" s="61"/>
      <c r="BH53" s="61"/>
      <c r="BI53" s="61"/>
      <c r="BJ53" s="39"/>
      <c r="BK53" s="39"/>
      <c r="BL53" s="61"/>
      <c r="BM53" s="61"/>
      <c r="BN53" s="61"/>
      <c r="BP53" s="842"/>
      <c r="BQ53" s="842"/>
    </row>
    <row r="54" spans="1:72" ht="13.8">
      <c r="A54" s="236"/>
      <c r="B54" s="17" t="s">
        <v>1</v>
      </c>
      <c r="C54" s="123">
        <f>SUM(C55:C71)</f>
        <v>126800</v>
      </c>
      <c r="D54" s="123">
        <f>SUM(D55:D71)</f>
        <v>133425</v>
      </c>
      <c r="E54" s="127">
        <f>SUM(E55:E71)</f>
        <v>260225</v>
      </c>
      <c r="F54" s="170">
        <f>E54/$E$89</f>
        <v>1.3171904846670825E-2</v>
      </c>
      <c r="G54" s="123">
        <f>SUM(G55:G72)</f>
        <v>27130</v>
      </c>
      <c r="H54" s="123">
        <f>SUM(H55:H72)</f>
        <v>240.5</v>
      </c>
      <c r="I54" s="123">
        <f>SUM(I55:I72)</f>
        <v>27370.5</v>
      </c>
      <c r="J54" s="169">
        <f t="shared" ref="J54:J72" si="61">I54/$I$89</f>
        <v>8.7428638204136627E-2</v>
      </c>
      <c r="K54" s="60"/>
      <c r="L54" s="123">
        <f>SUM(L55:L72)</f>
        <v>11191</v>
      </c>
      <c r="M54" s="123">
        <f>SUM(M55:M72)</f>
        <v>15953.9</v>
      </c>
      <c r="N54" s="123">
        <f>SUM(N55:N72)</f>
        <v>27144.9</v>
      </c>
      <c r="O54" s="169">
        <f>N54/$N$89</f>
        <v>2.2212000805985357E-2</v>
      </c>
      <c r="P54" s="409"/>
      <c r="Q54" s="123">
        <f>SUM(Q55:Q72)</f>
        <v>20968.669999999998</v>
      </c>
      <c r="R54" s="123">
        <f>SUM(R55:R72)</f>
        <v>28399</v>
      </c>
      <c r="S54" s="123">
        <f>SUM(S55:S72)</f>
        <v>49367.67</v>
      </c>
      <c r="T54" s="169">
        <f>S54/$S$89</f>
        <v>7.0123973200426175E-3</v>
      </c>
      <c r="U54" s="409"/>
      <c r="V54" s="123">
        <f>SUM(V55:V72)</f>
        <v>14195.475</v>
      </c>
      <c r="W54" s="123">
        <f>SUM(W55:W72)</f>
        <v>14096</v>
      </c>
      <c r="X54" s="123">
        <f>SUM(X55:X72)</f>
        <v>28291.474999999999</v>
      </c>
      <c r="Y54" s="169">
        <f>X54/$S$89</f>
        <v>4.0186434456001814E-3</v>
      </c>
      <c r="Z54" s="409"/>
      <c r="AA54" s="123">
        <f>SUM(AA55:AA72)</f>
        <v>28143</v>
      </c>
      <c r="AB54" s="123">
        <f>SUM(AB55:AB72)</f>
        <v>29894.73</v>
      </c>
      <c r="AC54" s="123">
        <f>SUM(AC55:AC72)</f>
        <v>58037.729999999996</v>
      </c>
      <c r="AD54" s="169">
        <f t="shared" ref="AD54:AD72" si="62">AC54/$AC$89</f>
        <v>2.0348334948298897E-2</v>
      </c>
      <c r="AE54" s="409"/>
      <c r="AF54" s="123">
        <f>SUM(AF55:AF72)</f>
        <v>28170.730000000003</v>
      </c>
      <c r="AG54" s="123">
        <f>SUM(AG55:AG72)</f>
        <v>32083</v>
      </c>
      <c r="AH54" s="123">
        <f>SUM(AH55:AH72)</f>
        <v>60253.73</v>
      </c>
      <c r="AI54" s="169" t="e">
        <f t="shared" ref="AI54:AI72" si="63">AH54/$AH$89</f>
        <v>#DIV/0!</v>
      </c>
      <c r="AJ54" s="409"/>
      <c r="AK54" s="123">
        <f>SUM(AK55:AK72)</f>
        <v>33402.26</v>
      </c>
      <c r="AL54" s="123">
        <f>SUM(AL55:AL72)</f>
        <v>26038</v>
      </c>
      <c r="AM54" s="123">
        <f>SUM(AM55:AM72)</f>
        <v>59440.26</v>
      </c>
      <c r="AN54" s="169" t="e">
        <f t="shared" ref="AN54:AN72" si="64">AM54/$AM$89</f>
        <v>#DIV/0!</v>
      </c>
      <c r="AO54" s="409"/>
      <c r="AP54" s="123">
        <f>SUM(AP55:AP72)</f>
        <v>0</v>
      </c>
      <c r="AQ54" s="123">
        <f>SUM(AQ55:AQ72)</f>
        <v>3098.37</v>
      </c>
      <c r="AR54" s="123">
        <f>SUM(AR55:AR72)</f>
        <v>3098.37</v>
      </c>
      <c r="AS54" s="169">
        <f t="shared" si="8"/>
        <v>1.1956890384656107E-2</v>
      </c>
      <c r="AT54" s="409"/>
      <c r="AU54" s="123">
        <f>SUM(AU55:AU72)</f>
        <v>0</v>
      </c>
      <c r="AV54" s="123">
        <f>SUM(AV55:AV72)</f>
        <v>2411.9700000000003</v>
      </c>
      <c r="AW54" s="123">
        <f>SUM(AW55:AW72)</f>
        <v>2411.9700000000003</v>
      </c>
      <c r="AX54" s="169" t="e">
        <f t="shared" ref="AX54:AX72" si="65">AW54/$AW$89</f>
        <v>#DIV/0!</v>
      </c>
      <c r="AY54" s="409"/>
      <c r="AZ54" s="123">
        <f>SUM(AZ55:AZ72)</f>
        <v>98875.544999999998</v>
      </c>
      <c r="BA54" s="123">
        <f>SUM(BA55:BA72)</f>
        <v>1542.8599999999988</v>
      </c>
      <c r="BB54" s="123">
        <f>SUM(BB55:BB72)</f>
        <v>100418.405</v>
      </c>
      <c r="BC54" s="169" t="e">
        <f t="shared" ref="BC54:BC72" si="66">BB54/$AW$89</f>
        <v>#DIV/0!</v>
      </c>
      <c r="BD54" s="409"/>
      <c r="BE54" s="123">
        <f>SUM(BE55:BE72)</f>
        <v>0</v>
      </c>
      <c r="BF54" s="123">
        <f>SUM(BF55:BF72)</f>
        <v>0</v>
      </c>
      <c r="BG54" s="123">
        <f>SUM(BG55:BG72)</f>
        <v>0</v>
      </c>
      <c r="BH54" s="169">
        <f t="shared" ref="BH54:BH72" si="67">BG54/$BG$89</f>
        <v>0</v>
      </c>
      <c r="BI54" s="409"/>
      <c r="BJ54" s="123">
        <f>SUM(BJ55:BJ72)</f>
        <v>262076.68</v>
      </c>
      <c r="BK54" s="123">
        <f>SUM(BK55:BK72)</f>
        <v>153758.33000000002</v>
      </c>
      <c r="BL54" s="123">
        <f>SUM(BL55:BL72)</f>
        <v>415835.01</v>
      </c>
      <c r="BM54" s="169" t="e">
        <f t="shared" si="57"/>
        <v>#DIV/0!</v>
      </c>
      <c r="BN54" s="60"/>
      <c r="BP54" s="842"/>
      <c r="BQ54" s="842"/>
    </row>
    <row r="55" spans="1:72" ht="13.8">
      <c r="A55" s="237"/>
      <c r="B55" s="19" t="s">
        <v>77</v>
      </c>
      <c r="C55" s="113"/>
      <c r="D55" s="128"/>
      <c r="E55" s="120">
        <f t="shared" ref="E55:E71" si="68">C55+D55</f>
        <v>0</v>
      </c>
      <c r="F55" s="178">
        <f>E55/$E$89</f>
        <v>0</v>
      </c>
      <c r="G55" s="210"/>
      <c r="H55" s="210"/>
      <c r="I55" s="106">
        <f t="shared" ref="I55:I71" si="69">G55+H55*1</f>
        <v>0</v>
      </c>
      <c r="J55" s="178">
        <f t="shared" si="61"/>
        <v>0</v>
      </c>
      <c r="K55" s="79"/>
      <c r="L55" s="210"/>
      <c r="M55" s="210"/>
      <c r="N55" s="106">
        <f t="shared" ref="N55:N71" si="70">L55+M55*1</f>
        <v>0</v>
      </c>
      <c r="O55" s="178">
        <f t="shared" ref="O55:O72" si="71">N55/$N$89</f>
        <v>0</v>
      </c>
      <c r="P55" s="259"/>
      <c r="Q55" s="210"/>
      <c r="R55" s="210"/>
      <c r="S55" s="106">
        <f t="shared" ref="S55:S71" si="72">Q55+R55*1</f>
        <v>0</v>
      </c>
      <c r="T55" s="178">
        <f t="shared" ref="T55:T72" si="73">S55/$S$89</f>
        <v>0</v>
      </c>
      <c r="U55" s="259"/>
      <c r="V55" s="210"/>
      <c r="W55" s="210"/>
      <c r="X55" s="106">
        <f t="shared" ref="X55:X71" si="74">V55+W55*1</f>
        <v>0</v>
      </c>
      <c r="Y55" s="178">
        <f t="shared" ref="Y55:Y72" si="75">X55/$X$89</f>
        <v>0</v>
      </c>
      <c r="Z55" s="259"/>
      <c r="AA55" s="210"/>
      <c r="AB55" s="210"/>
      <c r="AC55" s="106">
        <f t="shared" ref="AC55:AC71" si="76">AA55+AB55*1</f>
        <v>0</v>
      </c>
      <c r="AD55" s="541">
        <f t="shared" si="62"/>
        <v>0</v>
      </c>
      <c r="AE55" s="259"/>
      <c r="AF55" s="210"/>
      <c r="AG55" s="210"/>
      <c r="AH55" s="106">
        <f t="shared" ref="AH55:AH71" si="77">AF55+AG55*1</f>
        <v>0</v>
      </c>
      <c r="AI55" s="541" t="e">
        <f t="shared" si="63"/>
        <v>#DIV/0!</v>
      </c>
      <c r="AJ55" s="259"/>
      <c r="AK55" s="210"/>
      <c r="AL55" s="210"/>
      <c r="AM55" s="106">
        <f t="shared" ref="AM55:AM71" si="78">AK55+AL55*1</f>
        <v>0</v>
      </c>
      <c r="AN55" s="541" t="e">
        <f t="shared" si="64"/>
        <v>#DIV/0!</v>
      </c>
      <c r="AO55" s="259"/>
      <c r="AP55" s="210"/>
      <c r="AQ55" s="210"/>
      <c r="AR55" s="106">
        <f t="shared" ref="AR55:AR71" si="79">AP55+AQ55*1</f>
        <v>0</v>
      </c>
      <c r="AS55" s="541">
        <f t="shared" si="8"/>
        <v>0</v>
      </c>
      <c r="AT55" s="259"/>
      <c r="AU55" s="210"/>
      <c r="AV55" s="210"/>
      <c r="AW55" s="106">
        <f t="shared" ref="AW55:AW71" si="80">AU55+AV55*1</f>
        <v>0</v>
      </c>
      <c r="AX55" s="541" t="e">
        <f t="shared" si="65"/>
        <v>#DIV/0!</v>
      </c>
      <c r="AY55" s="259"/>
      <c r="AZ55" s="39"/>
      <c r="BA55" s="39"/>
      <c r="BB55" s="106">
        <f t="shared" ref="BB55:BB71" si="81">AZ55+BA55*1</f>
        <v>0</v>
      </c>
      <c r="BC55" s="541" t="e">
        <f t="shared" si="66"/>
        <v>#DIV/0!</v>
      </c>
      <c r="BD55" s="259"/>
      <c r="BE55" s="39"/>
      <c r="BF55" s="39"/>
      <c r="BG55" s="106">
        <f t="shared" ref="BG55:BG71" si="82">BE55+BF55*1</f>
        <v>0</v>
      </c>
      <c r="BH55" s="541">
        <f t="shared" si="67"/>
        <v>0</v>
      </c>
      <c r="BI55" s="259"/>
      <c r="BJ55" s="39">
        <f t="shared" ref="BJ55:BJ71" si="83">G55+L55+Q55+V55+AA55+AF55+AK55+AP55+AU55+AZ55+BE55</f>
        <v>0</v>
      </c>
      <c r="BK55" s="39">
        <f t="shared" ref="BK55:BK71" si="84">H55+M55+R55+W55+AB55+AG55+AL55+AQ55+AV55+BA55+BF55</f>
        <v>0</v>
      </c>
      <c r="BL55" s="106">
        <f t="shared" ref="BL55:BL71" si="85">BJ55+BK55*1</f>
        <v>0</v>
      </c>
      <c r="BM55" s="178" t="e">
        <f t="shared" si="57"/>
        <v>#DIV/0!</v>
      </c>
      <c r="BN55" s="79"/>
      <c r="BP55" s="842"/>
      <c r="BQ55" s="842"/>
    </row>
    <row r="56" spans="1:72" ht="13.8">
      <c r="A56" s="237"/>
      <c r="B56" s="19" t="s">
        <v>76</v>
      </c>
      <c r="C56" s="113"/>
      <c r="D56" s="128"/>
      <c r="E56" s="120">
        <f t="shared" si="68"/>
        <v>0</v>
      </c>
      <c r="F56" s="178">
        <f t="shared" ref="F56:F72" si="86">E56/$E$89</f>
        <v>0</v>
      </c>
      <c r="G56" s="210"/>
      <c r="H56" s="210"/>
      <c r="I56" s="106">
        <f t="shared" si="69"/>
        <v>0</v>
      </c>
      <c r="J56" s="178">
        <f t="shared" si="61"/>
        <v>0</v>
      </c>
      <c r="K56" s="79"/>
      <c r="L56" s="210"/>
      <c r="M56" s="210"/>
      <c r="N56" s="106">
        <f t="shared" si="70"/>
        <v>0</v>
      </c>
      <c r="O56" s="178">
        <f t="shared" si="71"/>
        <v>0</v>
      </c>
      <c r="P56" s="259"/>
      <c r="Q56" s="210"/>
      <c r="R56" s="210"/>
      <c r="S56" s="106">
        <f t="shared" si="72"/>
        <v>0</v>
      </c>
      <c r="T56" s="178">
        <f t="shared" si="73"/>
        <v>0</v>
      </c>
      <c r="U56" s="259"/>
      <c r="V56" s="210"/>
      <c r="W56" s="210"/>
      <c r="X56" s="106">
        <f t="shared" si="74"/>
        <v>0</v>
      </c>
      <c r="Y56" s="178">
        <f t="shared" si="75"/>
        <v>0</v>
      </c>
      <c r="Z56" s="259"/>
      <c r="AA56" s="210"/>
      <c r="AB56" s="210"/>
      <c r="AC56" s="106">
        <f t="shared" si="76"/>
        <v>0</v>
      </c>
      <c r="AD56" s="541">
        <f t="shared" si="62"/>
        <v>0</v>
      </c>
      <c r="AE56" s="259"/>
      <c r="AF56" s="210"/>
      <c r="AG56" s="210"/>
      <c r="AH56" s="106">
        <f t="shared" si="77"/>
        <v>0</v>
      </c>
      <c r="AI56" s="541" t="e">
        <f t="shared" si="63"/>
        <v>#DIV/0!</v>
      </c>
      <c r="AJ56" s="259"/>
      <c r="AK56" s="210"/>
      <c r="AL56" s="210"/>
      <c r="AM56" s="106">
        <f t="shared" si="78"/>
        <v>0</v>
      </c>
      <c r="AN56" s="541" t="e">
        <f t="shared" si="64"/>
        <v>#DIV/0!</v>
      </c>
      <c r="AO56" s="259"/>
      <c r="AP56" s="210"/>
      <c r="AQ56" s="210"/>
      <c r="AR56" s="106">
        <f t="shared" si="79"/>
        <v>0</v>
      </c>
      <c r="AS56" s="541">
        <f t="shared" si="8"/>
        <v>0</v>
      </c>
      <c r="AT56" s="259"/>
      <c r="AU56" s="210"/>
      <c r="AV56" s="210"/>
      <c r="AW56" s="106">
        <f t="shared" si="80"/>
        <v>0</v>
      </c>
      <c r="AX56" s="541" t="e">
        <f t="shared" si="65"/>
        <v>#DIV/0!</v>
      </c>
      <c r="AY56" s="259"/>
      <c r="AZ56" s="39"/>
      <c r="BA56" s="39"/>
      <c r="BB56" s="106">
        <f t="shared" si="81"/>
        <v>0</v>
      </c>
      <c r="BC56" s="541" t="e">
        <f t="shared" si="66"/>
        <v>#DIV/0!</v>
      </c>
      <c r="BD56" s="259"/>
      <c r="BE56" s="39"/>
      <c r="BF56" s="39"/>
      <c r="BG56" s="106">
        <f t="shared" si="82"/>
        <v>0</v>
      </c>
      <c r="BH56" s="541">
        <f t="shared" si="67"/>
        <v>0</v>
      </c>
      <c r="BI56" s="259"/>
      <c r="BJ56" s="39">
        <f t="shared" si="83"/>
        <v>0</v>
      </c>
      <c r="BK56" s="39">
        <f t="shared" si="84"/>
        <v>0</v>
      </c>
      <c r="BL56" s="106">
        <f t="shared" si="85"/>
        <v>0</v>
      </c>
      <c r="BM56" s="178" t="e">
        <f t="shared" si="57"/>
        <v>#DIV/0!</v>
      </c>
      <c r="BN56" s="79"/>
      <c r="BP56" s="842"/>
      <c r="BQ56" s="842"/>
    </row>
    <row r="57" spans="1:72" ht="13.8">
      <c r="A57" s="237"/>
      <c r="B57" s="19" t="s">
        <v>68</v>
      </c>
      <c r="C57" s="113"/>
      <c r="D57" s="128"/>
      <c r="E57" s="120">
        <f t="shared" si="68"/>
        <v>0</v>
      </c>
      <c r="F57" s="178">
        <f t="shared" si="86"/>
        <v>0</v>
      </c>
      <c r="G57" s="210"/>
      <c r="H57" s="210"/>
      <c r="I57" s="106">
        <f t="shared" si="69"/>
        <v>0</v>
      </c>
      <c r="J57" s="178">
        <f t="shared" si="61"/>
        <v>0</v>
      </c>
      <c r="K57" s="79"/>
      <c r="L57" s="210"/>
      <c r="M57" s="210"/>
      <c r="N57" s="106">
        <f t="shared" si="70"/>
        <v>0</v>
      </c>
      <c r="O57" s="178">
        <f t="shared" si="71"/>
        <v>0</v>
      </c>
      <c r="P57" s="259"/>
      <c r="Q57" s="210"/>
      <c r="R57" s="210"/>
      <c r="S57" s="106">
        <f t="shared" si="72"/>
        <v>0</v>
      </c>
      <c r="T57" s="178">
        <f t="shared" si="73"/>
        <v>0</v>
      </c>
      <c r="U57" s="443"/>
      <c r="V57" s="210"/>
      <c r="W57" s="210"/>
      <c r="X57" s="106">
        <f t="shared" si="74"/>
        <v>0</v>
      </c>
      <c r="Y57" s="178">
        <f t="shared" si="75"/>
        <v>0</v>
      </c>
      <c r="Z57" s="443"/>
      <c r="AA57" s="210"/>
      <c r="AB57" s="210"/>
      <c r="AC57" s="106">
        <f t="shared" si="76"/>
        <v>0</v>
      </c>
      <c r="AD57" s="541">
        <f t="shared" si="62"/>
        <v>0</v>
      </c>
      <c r="AE57" s="443"/>
      <c r="AF57" s="210"/>
      <c r="AG57" s="210"/>
      <c r="AH57" s="106">
        <f t="shared" si="77"/>
        <v>0</v>
      </c>
      <c r="AI57" s="541" t="e">
        <f t="shared" si="63"/>
        <v>#DIV/0!</v>
      </c>
      <c r="AJ57" s="443"/>
      <c r="AK57" s="210"/>
      <c r="AL57" s="210"/>
      <c r="AM57" s="106">
        <f t="shared" si="78"/>
        <v>0</v>
      </c>
      <c r="AN57" s="541" t="e">
        <f t="shared" si="64"/>
        <v>#DIV/0!</v>
      </c>
      <c r="AO57" s="443"/>
      <c r="AP57" s="210"/>
      <c r="AQ57" s="210"/>
      <c r="AR57" s="106">
        <f t="shared" si="79"/>
        <v>0</v>
      </c>
      <c r="AS57" s="541">
        <f t="shared" si="8"/>
        <v>0</v>
      </c>
      <c r="AT57" s="443"/>
      <c r="AU57" s="210"/>
      <c r="AV57" s="210"/>
      <c r="AW57" s="106">
        <f t="shared" si="80"/>
        <v>0</v>
      </c>
      <c r="AX57" s="541" t="e">
        <f t="shared" si="65"/>
        <v>#DIV/0!</v>
      </c>
      <c r="AY57" s="443"/>
      <c r="AZ57" s="39"/>
      <c r="BA57" s="39"/>
      <c r="BB57" s="106">
        <f t="shared" si="81"/>
        <v>0</v>
      </c>
      <c r="BC57" s="541" t="e">
        <f t="shared" si="66"/>
        <v>#DIV/0!</v>
      </c>
      <c r="BD57" s="443"/>
      <c r="BE57" s="39"/>
      <c r="BF57" s="39"/>
      <c r="BG57" s="106">
        <f t="shared" si="82"/>
        <v>0</v>
      </c>
      <c r="BH57" s="541">
        <f t="shared" si="67"/>
        <v>0</v>
      </c>
      <c r="BI57" s="443"/>
      <c r="BJ57" s="39">
        <f t="shared" si="83"/>
        <v>0</v>
      </c>
      <c r="BK57" s="39">
        <f t="shared" si="84"/>
        <v>0</v>
      </c>
      <c r="BL57" s="106">
        <f t="shared" si="85"/>
        <v>0</v>
      </c>
      <c r="BM57" s="178" t="e">
        <f t="shared" si="57"/>
        <v>#DIV/0!</v>
      </c>
      <c r="BN57" s="79"/>
      <c r="BP57" s="842"/>
      <c r="BQ57" s="842"/>
    </row>
    <row r="58" spans="1:72" ht="13.8">
      <c r="A58" s="237"/>
      <c r="B58" s="19" t="s">
        <v>67</v>
      </c>
      <c r="C58" s="113">
        <v>52325</v>
      </c>
      <c r="D58" s="128">
        <v>122675</v>
      </c>
      <c r="E58" s="120">
        <f t="shared" si="68"/>
        <v>175000</v>
      </c>
      <c r="F58" s="178">
        <f t="shared" si="86"/>
        <v>8.8580395740893245E-3</v>
      </c>
      <c r="G58" s="210"/>
      <c r="H58" s="210"/>
      <c r="I58" s="106">
        <f t="shared" si="69"/>
        <v>0</v>
      </c>
      <c r="J58" s="178">
        <f t="shared" si="61"/>
        <v>0</v>
      </c>
      <c r="K58" s="79"/>
      <c r="L58" s="210">
        <f>10626/2</f>
        <v>5313</v>
      </c>
      <c r="M58" s="210">
        <f>24374/2</f>
        <v>12187</v>
      </c>
      <c r="N58" s="106">
        <f t="shared" si="70"/>
        <v>17500</v>
      </c>
      <c r="O58" s="178">
        <f t="shared" si="71"/>
        <v>1.4319817501804897E-2</v>
      </c>
      <c r="P58" s="415" t="s">
        <v>615</v>
      </c>
      <c r="Q58" s="210">
        <v>10626</v>
      </c>
      <c r="R58" s="210">
        <v>24374</v>
      </c>
      <c r="S58" s="106">
        <f t="shared" si="72"/>
        <v>35000</v>
      </c>
      <c r="T58" s="178">
        <f t="shared" si="73"/>
        <v>4.9715513452729615E-3</v>
      </c>
      <c r="U58" s="443" t="s">
        <v>635</v>
      </c>
      <c r="V58" s="210">
        <v>5313</v>
      </c>
      <c r="W58" s="210">
        <v>12187</v>
      </c>
      <c r="X58" s="106">
        <f t="shared" si="74"/>
        <v>17500</v>
      </c>
      <c r="Y58" s="178">
        <f t="shared" si="75"/>
        <v>7.1122926167787176E-3</v>
      </c>
      <c r="Z58" s="415" t="s">
        <v>717</v>
      </c>
      <c r="AA58" s="210">
        <v>10626</v>
      </c>
      <c r="AB58" s="210">
        <v>24374</v>
      </c>
      <c r="AC58" s="106">
        <f t="shared" si="76"/>
        <v>35000</v>
      </c>
      <c r="AD58" s="541">
        <f t="shared" si="62"/>
        <v>1.2271185023784725E-2</v>
      </c>
      <c r="AE58" s="443" t="s">
        <v>471</v>
      </c>
      <c r="AF58" s="210">
        <v>10787</v>
      </c>
      <c r="AG58" s="210">
        <v>24213</v>
      </c>
      <c r="AH58" s="106">
        <f t="shared" si="77"/>
        <v>35000</v>
      </c>
      <c r="AI58" s="541" t="e">
        <f t="shared" si="63"/>
        <v>#DIV/0!</v>
      </c>
      <c r="AJ58" s="443" t="s">
        <v>837</v>
      </c>
      <c r="AK58" s="210">
        <v>10787</v>
      </c>
      <c r="AL58" s="210">
        <v>24213</v>
      </c>
      <c r="AM58" s="106">
        <f t="shared" si="78"/>
        <v>35000</v>
      </c>
      <c r="AN58" s="541" t="e">
        <f t="shared" si="64"/>
        <v>#DIV/0!</v>
      </c>
      <c r="AO58" s="443" t="s">
        <v>837</v>
      </c>
      <c r="AP58" s="210"/>
      <c r="AQ58" s="210"/>
      <c r="AR58" s="106">
        <f t="shared" si="79"/>
        <v>0</v>
      </c>
      <c r="AS58" s="541">
        <f t="shared" si="8"/>
        <v>0</v>
      </c>
      <c r="AT58" s="443"/>
      <c r="AU58" s="210"/>
      <c r="AV58" s="210"/>
      <c r="AW58" s="106">
        <f t="shared" si="80"/>
        <v>0</v>
      </c>
      <c r="AX58" s="541" t="e">
        <f t="shared" si="65"/>
        <v>#DIV/0!</v>
      </c>
      <c r="AY58" s="443"/>
      <c r="AZ58" s="39">
        <v>10948</v>
      </c>
      <c r="BA58" s="39">
        <v>0</v>
      </c>
      <c r="BB58" s="106">
        <f t="shared" si="81"/>
        <v>10948</v>
      </c>
      <c r="BC58" s="541" t="e">
        <f t="shared" si="66"/>
        <v>#DIV/0!</v>
      </c>
      <c r="BD58" s="443"/>
      <c r="BE58" s="39"/>
      <c r="BF58" s="39"/>
      <c r="BG58" s="106">
        <f t="shared" si="82"/>
        <v>0</v>
      </c>
      <c r="BH58" s="541">
        <f t="shared" si="67"/>
        <v>0</v>
      </c>
      <c r="BI58" s="443"/>
      <c r="BJ58" s="39">
        <f t="shared" si="83"/>
        <v>64400</v>
      </c>
      <c r="BK58" s="39">
        <f t="shared" si="84"/>
        <v>121548</v>
      </c>
      <c r="BL58" s="106">
        <f t="shared" si="85"/>
        <v>185948</v>
      </c>
      <c r="BM58" s="178" t="e">
        <f t="shared" si="57"/>
        <v>#DIV/0!</v>
      </c>
      <c r="BN58" s="79"/>
      <c r="BP58" s="842"/>
      <c r="BQ58" s="842"/>
    </row>
    <row r="59" spans="1:72" ht="13.8">
      <c r="A59" s="237"/>
      <c r="B59" s="19" t="s">
        <v>66</v>
      </c>
      <c r="C59" s="113">
        <v>12675</v>
      </c>
      <c r="D59" s="128"/>
      <c r="E59" s="120">
        <f t="shared" si="68"/>
        <v>12675</v>
      </c>
      <c r="F59" s="178">
        <f t="shared" si="86"/>
        <v>6.4157515200904101E-4</v>
      </c>
      <c r="G59" s="210"/>
      <c r="H59" s="210"/>
      <c r="I59" s="106">
        <f t="shared" si="69"/>
        <v>0</v>
      </c>
      <c r="J59" s="178">
        <f t="shared" si="61"/>
        <v>0</v>
      </c>
      <c r="K59" s="79"/>
      <c r="L59" s="210">
        <v>2574</v>
      </c>
      <c r="M59" s="210"/>
      <c r="N59" s="106">
        <f t="shared" si="70"/>
        <v>2574</v>
      </c>
      <c r="O59" s="178">
        <f t="shared" si="71"/>
        <v>2.1062405856940459E-3</v>
      </c>
      <c r="P59" s="259"/>
      <c r="Q59" s="210">
        <v>2574</v>
      </c>
      <c r="R59" s="210"/>
      <c r="S59" s="106">
        <f t="shared" si="72"/>
        <v>2574</v>
      </c>
      <c r="T59" s="178">
        <f t="shared" si="73"/>
        <v>3.6562209036378863E-4</v>
      </c>
      <c r="U59" s="443"/>
      <c r="V59" s="210">
        <v>1287</v>
      </c>
      <c r="W59" s="210"/>
      <c r="X59" s="106">
        <f t="shared" si="74"/>
        <v>1287</v>
      </c>
      <c r="Y59" s="178">
        <f t="shared" si="75"/>
        <v>5.2305831987395487E-4</v>
      </c>
      <c r="Z59" s="443"/>
      <c r="AA59" s="210">
        <v>2574</v>
      </c>
      <c r="AB59" s="210"/>
      <c r="AC59" s="106">
        <f t="shared" si="76"/>
        <v>2574</v>
      </c>
      <c r="AD59" s="541">
        <f t="shared" si="62"/>
        <v>9.0245800717776801E-4</v>
      </c>
      <c r="AE59" s="443"/>
      <c r="AF59" s="210">
        <v>2613</v>
      </c>
      <c r="AG59" s="210"/>
      <c r="AH59" s="106">
        <f t="shared" si="77"/>
        <v>2613</v>
      </c>
      <c r="AI59" s="541" t="e">
        <f t="shared" si="63"/>
        <v>#DIV/0!</v>
      </c>
      <c r="AJ59" s="443"/>
      <c r="AK59" s="210">
        <v>2613</v>
      </c>
      <c r="AL59" s="210"/>
      <c r="AM59" s="106">
        <f t="shared" si="78"/>
        <v>2613</v>
      </c>
      <c r="AN59" s="541" t="e">
        <f t="shared" si="64"/>
        <v>#DIV/0!</v>
      </c>
      <c r="AO59" s="443"/>
      <c r="AP59" s="210"/>
      <c r="AQ59" s="210"/>
      <c r="AR59" s="106">
        <f t="shared" si="79"/>
        <v>0</v>
      </c>
      <c r="AS59" s="541">
        <f t="shared" si="8"/>
        <v>0</v>
      </c>
      <c r="AT59" s="443"/>
      <c r="AU59" s="210"/>
      <c r="AV59" s="210"/>
      <c r="AW59" s="106">
        <f t="shared" si="80"/>
        <v>0</v>
      </c>
      <c r="AX59" s="541" t="e">
        <f t="shared" si="65"/>
        <v>#DIV/0!</v>
      </c>
      <c r="AY59" s="443"/>
      <c r="AZ59" s="39">
        <v>1365</v>
      </c>
      <c r="BA59" s="39">
        <v>0</v>
      </c>
      <c r="BB59" s="106">
        <f t="shared" si="81"/>
        <v>1365</v>
      </c>
      <c r="BC59" s="541" t="e">
        <f t="shared" si="66"/>
        <v>#DIV/0!</v>
      </c>
      <c r="BD59" s="443"/>
      <c r="BE59" s="39"/>
      <c r="BF59" s="39"/>
      <c r="BG59" s="106">
        <f t="shared" si="82"/>
        <v>0</v>
      </c>
      <c r="BH59" s="541">
        <f t="shared" si="67"/>
        <v>0</v>
      </c>
      <c r="BI59" s="443"/>
      <c r="BJ59" s="39">
        <f t="shared" si="83"/>
        <v>15600</v>
      </c>
      <c r="BK59" s="39">
        <f t="shared" si="84"/>
        <v>0</v>
      </c>
      <c r="BL59" s="106">
        <f t="shared" si="85"/>
        <v>15600</v>
      </c>
      <c r="BM59" s="178" t="e">
        <f t="shared" si="57"/>
        <v>#DIV/0!</v>
      </c>
      <c r="BN59" s="79"/>
      <c r="BP59" s="842"/>
      <c r="BQ59" s="842"/>
    </row>
    <row r="60" spans="1:72" ht="13.8">
      <c r="A60" s="237"/>
      <c r="B60" s="19" t="s">
        <v>65</v>
      </c>
      <c r="C60" s="113">
        <v>14300</v>
      </c>
      <c r="D60" s="128"/>
      <c r="E60" s="120">
        <f t="shared" si="68"/>
        <v>14300</v>
      </c>
      <c r="F60" s="178">
        <f t="shared" si="86"/>
        <v>7.2382837662558481E-4</v>
      </c>
      <c r="G60" s="210"/>
      <c r="H60" s="210"/>
      <c r="I60" s="106">
        <f t="shared" si="69"/>
        <v>0</v>
      </c>
      <c r="J60" s="178">
        <f t="shared" si="61"/>
        <v>0</v>
      </c>
      <c r="K60" s="79"/>
      <c r="L60" s="210">
        <v>2904</v>
      </c>
      <c r="M60" s="210"/>
      <c r="N60" s="106">
        <f t="shared" si="70"/>
        <v>2904</v>
      </c>
      <c r="O60" s="178">
        <f t="shared" si="71"/>
        <v>2.3762714300137955E-3</v>
      </c>
      <c r="P60" s="259"/>
      <c r="Q60" s="210">
        <v>2904</v>
      </c>
      <c r="R60" s="210"/>
      <c r="S60" s="106">
        <f t="shared" si="72"/>
        <v>2904</v>
      </c>
      <c r="T60" s="178">
        <f t="shared" si="73"/>
        <v>4.1249671733350514E-4</v>
      </c>
      <c r="U60" s="259"/>
      <c r="V60" s="210">
        <v>1452</v>
      </c>
      <c r="W60" s="210"/>
      <c r="X60" s="106">
        <f t="shared" si="74"/>
        <v>1452</v>
      </c>
      <c r="Y60" s="178">
        <f t="shared" si="75"/>
        <v>5.9011707883215416E-4</v>
      </c>
      <c r="Z60" s="259"/>
      <c r="AA60" s="210">
        <v>2904</v>
      </c>
      <c r="AB60" s="210"/>
      <c r="AC60" s="106">
        <f t="shared" si="76"/>
        <v>2904</v>
      </c>
      <c r="AD60" s="541">
        <f t="shared" si="62"/>
        <v>1.0181577516877383E-3</v>
      </c>
      <c r="AE60" s="259"/>
      <c r="AF60" s="210">
        <v>2948</v>
      </c>
      <c r="AG60" s="210"/>
      <c r="AH60" s="106">
        <f t="shared" si="77"/>
        <v>2948</v>
      </c>
      <c r="AI60" s="541" t="e">
        <f t="shared" si="63"/>
        <v>#DIV/0!</v>
      </c>
      <c r="AJ60" s="259"/>
      <c r="AK60" s="210">
        <v>2948</v>
      </c>
      <c r="AL60" s="210"/>
      <c r="AM60" s="106">
        <f t="shared" si="78"/>
        <v>2948</v>
      </c>
      <c r="AN60" s="541" t="e">
        <f t="shared" si="64"/>
        <v>#DIV/0!</v>
      </c>
      <c r="AO60" s="259"/>
      <c r="AP60" s="210"/>
      <c r="AQ60" s="210"/>
      <c r="AR60" s="106">
        <f t="shared" si="79"/>
        <v>0</v>
      </c>
      <c r="AS60" s="541">
        <f t="shared" si="8"/>
        <v>0</v>
      </c>
      <c r="AT60" s="259"/>
      <c r="AU60" s="210"/>
      <c r="AV60" s="210"/>
      <c r="AW60" s="106">
        <f t="shared" si="80"/>
        <v>0</v>
      </c>
      <c r="AX60" s="541" t="e">
        <f t="shared" si="65"/>
        <v>#DIV/0!</v>
      </c>
      <c r="AY60" s="259"/>
      <c r="AZ60" s="39">
        <v>1540</v>
      </c>
      <c r="BA60" s="39">
        <v>0</v>
      </c>
      <c r="BB60" s="106">
        <f t="shared" si="81"/>
        <v>1540</v>
      </c>
      <c r="BC60" s="541" t="e">
        <f t="shared" si="66"/>
        <v>#DIV/0!</v>
      </c>
      <c r="BD60" s="259"/>
      <c r="BE60" s="39"/>
      <c r="BF60" s="39"/>
      <c r="BG60" s="106">
        <f t="shared" si="82"/>
        <v>0</v>
      </c>
      <c r="BH60" s="541">
        <f t="shared" si="67"/>
        <v>0</v>
      </c>
      <c r="BI60" s="259"/>
      <c r="BJ60" s="39">
        <f t="shared" si="83"/>
        <v>17600</v>
      </c>
      <c r="BK60" s="39">
        <f t="shared" si="84"/>
        <v>0</v>
      </c>
      <c r="BL60" s="106">
        <f t="shared" si="85"/>
        <v>17600</v>
      </c>
      <c r="BM60" s="178" t="e">
        <f t="shared" si="57"/>
        <v>#DIV/0!</v>
      </c>
      <c r="BN60" s="79"/>
      <c r="BP60" s="842"/>
      <c r="BQ60" s="842"/>
    </row>
    <row r="61" spans="1:72" ht="13.8">
      <c r="A61" s="237"/>
      <c r="B61" s="19" t="s">
        <v>32</v>
      </c>
      <c r="C61" s="113"/>
      <c r="D61" s="128"/>
      <c r="E61" s="120">
        <f t="shared" si="68"/>
        <v>0</v>
      </c>
      <c r="F61" s="178">
        <f t="shared" si="86"/>
        <v>0</v>
      </c>
      <c r="G61" s="210"/>
      <c r="H61" s="210"/>
      <c r="I61" s="106">
        <f t="shared" si="69"/>
        <v>0</v>
      </c>
      <c r="J61" s="178">
        <f t="shared" si="61"/>
        <v>0</v>
      </c>
      <c r="K61" s="79"/>
      <c r="L61" s="210"/>
      <c r="M61" s="210"/>
      <c r="N61" s="106">
        <f t="shared" si="70"/>
        <v>0</v>
      </c>
      <c r="O61" s="178">
        <f t="shared" si="71"/>
        <v>0</v>
      </c>
      <c r="P61" s="259"/>
      <c r="Q61" s="210"/>
      <c r="R61" s="210"/>
      <c r="S61" s="106">
        <f t="shared" si="72"/>
        <v>0</v>
      </c>
      <c r="T61" s="178">
        <f t="shared" si="73"/>
        <v>0</v>
      </c>
      <c r="U61" s="259"/>
      <c r="V61" s="210"/>
      <c r="W61" s="210"/>
      <c r="X61" s="106">
        <f t="shared" si="74"/>
        <v>0</v>
      </c>
      <c r="Y61" s="178">
        <f t="shared" si="75"/>
        <v>0</v>
      </c>
      <c r="Z61" s="259"/>
      <c r="AA61" s="210"/>
      <c r="AB61" s="210"/>
      <c r="AC61" s="106">
        <f t="shared" si="76"/>
        <v>0</v>
      </c>
      <c r="AD61" s="541">
        <f t="shared" si="62"/>
        <v>0</v>
      </c>
      <c r="AE61" s="259"/>
      <c r="AF61" s="210"/>
      <c r="AG61" s="210"/>
      <c r="AH61" s="106">
        <f t="shared" si="77"/>
        <v>0</v>
      </c>
      <c r="AI61" s="541" t="e">
        <f t="shared" si="63"/>
        <v>#DIV/0!</v>
      </c>
      <c r="AJ61" s="259"/>
      <c r="AK61" s="210"/>
      <c r="AL61" s="210"/>
      <c r="AM61" s="106">
        <f t="shared" si="78"/>
        <v>0</v>
      </c>
      <c r="AN61" s="541" t="e">
        <f t="shared" si="64"/>
        <v>#DIV/0!</v>
      </c>
      <c r="AO61" s="259"/>
      <c r="AP61" s="210"/>
      <c r="AQ61" s="210"/>
      <c r="AR61" s="106">
        <f t="shared" si="79"/>
        <v>0</v>
      </c>
      <c r="AS61" s="541">
        <f t="shared" si="8"/>
        <v>0</v>
      </c>
      <c r="AT61" s="259"/>
      <c r="AU61" s="210"/>
      <c r="AV61" s="210"/>
      <c r="AW61" s="106">
        <f t="shared" si="80"/>
        <v>0</v>
      </c>
      <c r="AX61" s="541" t="e">
        <f t="shared" si="65"/>
        <v>#DIV/0!</v>
      </c>
      <c r="AY61" s="259"/>
      <c r="AZ61" s="39">
        <v>0</v>
      </c>
      <c r="BA61" s="39">
        <v>0</v>
      </c>
      <c r="BB61" s="106">
        <f t="shared" si="81"/>
        <v>0</v>
      </c>
      <c r="BC61" s="541" t="e">
        <f t="shared" si="66"/>
        <v>#DIV/0!</v>
      </c>
      <c r="BD61" s="259"/>
      <c r="BE61" s="39"/>
      <c r="BF61" s="39"/>
      <c r="BG61" s="106">
        <f t="shared" si="82"/>
        <v>0</v>
      </c>
      <c r="BH61" s="541">
        <f t="shared" si="67"/>
        <v>0</v>
      </c>
      <c r="BI61" s="259"/>
      <c r="BJ61" s="39">
        <f t="shared" si="83"/>
        <v>0</v>
      </c>
      <c r="BK61" s="39">
        <f t="shared" si="84"/>
        <v>0</v>
      </c>
      <c r="BL61" s="106">
        <f t="shared" si="85"/>
        <v>0</v>
      </c>
      <c r="BM61" s="178" t="e">
        <f t="shared" si="57"/>
        <v>#DIV/0!</v>
      </c>
      <c r="BN61" s="79"/>
      <c r="BP61" s="842"/>
      <c r="BQ61" s="842"/>
    </row>
    <row r="62" spans="1:72" ht="13.8">
      <c r="A62" s="237"/>
      <c r="B62" s="19" t="s">
        <v>33</v>
      </c>
      <c r="C62" s="113"/>
      <c r="D62" s="128">
        <v>750</v>
      </c>
      <c r="E62" s="120">
        <f t="shared" si="68"/>
        <v>750</v>
      </c>
      <c r="F62" s="178">
        <f t="shared" si="86"/>
        <v>3.7963026746097106E-5</v>
      </c>
      <c r="G62" s="210"/>
      <c r="H62" s="210"/>
      <c r="I62" s="106">
        <f t="shared" si="69"/>
        <v>0</v>
      </c>
      <c r="J62" s="178">
        <f t="shared" si="61"/>
        <v>0</v>
      </c>
      <c r="K62" s="79"/>
      <c r="L62" s="210"/>
      <c r="M62" s="210"/>
      <c r="N62" s="106">
        <f t="shared" si="70"/>
        <v>0</v>
      </c>
      <c r="O62" s="178">
        <f t="shared" si="71"/>
        <v>0</v>
      </c>
      <c r="P62" s="259"/>
      <c r="Q62" s="210"/>
      <c r="R62" s="210"/>
      <c r="S62" s="106">
        <f t="shared" si="72"/>
        <v>0</v>
      </c>
      <c r="T62" s="178">
        <f t="shared" si="73"/>
        <v>0</v>
      </c>
      <c r="U62" s="259"/>
      <c r="V62" s="210"/>
      <c r="W62" s="210"/>
      <c r="X62" s="106">
        <f t="shared" si="74"/>
        <v>0</v>
      </c>
      <c r="Y62" s="178">
        <f t="shared" si="75"/>
        <v>0</v>
      </c>
      <c r="Z62" s="259"/>
      <c r="AA62" s="210"/>
      <c r="AB62" s="210"/>
      <c r="AC62" s="106">
        <f t="shared" si="76"/>
        <v>0</v>
      </c>
      <c r="AD62" s="541">
        <f t="shared" si="62"/>
        <v>0</v>
      </c>
      <c r="AE62" s="259"/>
      <c r="AF62" s="210"/>
      <c r="AG62" s="210"/>
      <c r="AH62" s="106">
        <f t="shared" si="77"/>
        <v>0</v>
      </c>
      <c r="AI62" s="541" t="e">
        <f t="shared" si="63"/>
        <v>#DIV/0!</v>
      </c>
      <c r="AJ62" s="259"/>
      <c r="AK62" s="210"/>
      <c r="AL62" s="210"/>
      <c r="AM62" s="106">
        <f t="shared" si="78"/>
        <v>0</v>
      </c>
      <c r="AN62" s="541" t="e">
        <f t="shared" si="64"/>
        <v>#DIV/0!</v>
      </c>
      <c r="AO62" s="259"/>
      <c r="AP62" s="210"/>
      <c r="AQ62" s="210"/>
      <c r="AR62" s="106">
        <f t="shared" si="79"/>
        <v>0</v>
      </c>
      <c r="AS62" s="541">
        <f t="shared" si="8"/>
        <v>0</v>
      </c>
      <c r="AT62" s="259"/>
      <c r="AU62" s="210"/>
      <c r="AV62" s="210"/>
      <c r="AW62" s="106">
        <f t="shared" si="80"/>
        <v>0</v>
      </c>
      <c r="AX62" s="541" t="e">
        <f t="shared" si="65"/>
        <v>#DIV/0!</v>
      </c>
      <c r="AY62" s="259"/>
      <c r="AZ62" s="39">
        <v>0</v>
      </c>
      <c r="BA62" s="39">
        <v>0</v>
      </c>
      <c r="BB62" s="106">
        <f t="shared" si="81"/>
        <v>0</v>
      </c>
      <c r="BC62" s="541" t="e">
        <f t="shared" si="66"/>
        <v>#DIV/0!</v>
      </c>
      <c r="BD62" s="259"/>
      <c r="BE62" s="39"/>
      <c r="BF62" s="39"/>
      <c r="BG62" s="106">
        <f t="shared" si="82"/>
        <v>0</v>
      </c>
      <c r="BH62" s="541">
        <f t="shared" si="67"/>
        <v>0</v>
      </c>
      <c r="BI62" s="259"/>
      <c r="BJ62" s="39">
        <f t="shared" si="83"/>
        <v>0</v>
      </c>
      <c r="BK62" s="39">
        <f t="shared" si="84"/>
        <v>0</v>
      </c>
      <c r="BL62" s="106">
        <f t="shared" si="85"/>
        <v>0</v>
      </c>
      <c r="BM62" s="178" t="e">
        <f t="shared" si="57"/>
        <v>#DIV/0!</v>
      </c>
      <c r="BN62" s="79"/>
      <c r="BP62" s="842"/>
      <c r="BQ62" s="842"/>
    </row>
    <row r="63" spans="1:72" ht="55.2">
      <c r="A63" s="237"/>
      <c r="B63" s="19" t="s">
        <v>35</v>
      </c>
      <c r="C63" s="113">
        <v>32500</v>
      </c>
      <c r="D63" s="128"/>
      <c r="E63" s="120">
        <f t="shared" si="68"/>
        <v>32500</v>
      </c>
      <c r="F63" s="178">
        <f t="shared" si="86"/>
        <v>1.6450644923308745E-3</v>
      </c>
      <c r="G63" s="210"/>
      <c r="H63" s="210"/>
      <c r="I63" s="106">
        <f t="shared" si="69"/>
        <v>0</v>
      </c>
      <c r="J63" s="178">
        <f t="shared" si="61"/>
        <v>0</v>
      </c>
      <c r="K63" s="79"/>
      <c r="L63" s="210"/>
      <c r="M63" s="210"/>
      <c r="N63" s="106">
        <f t="shared" si="70"/>
        <v>0</v>
      </c>
      <c r="O63" s="178">
        <f t="shared" si="71"/>
        <v>0</v>
      </c>
      <c r="P63" s="439"/>
      <c r="Q63" s="210">
        <v>4664.67</v>
      </c>
      <c r="R63" s="210">
        <v>900</v>
      </c>
      <c r="S63" s="106">
        <f t="shared" si="72"/>
        <v>5564.67</v>
      </c>
      <c r="T63" s="178">
        <f t="shared" si="73"/>
        <v>7.9042978927143113E-4</v>
      </c>
      <c r="U63" s="443" t="s">
        <v>691</v>
      </c>
      <c r="V63" s="210">
        <f>9486.95/2</f>
        <v>4743.4750000000004</v>
      </c>
      <c r="W63" s="210">
        <v>160</v>
      </c>
      <c r="X63" s="106">
        <f t="shared" si="74"/>
        <v>4903.4750000000004</v>
      </c>
      <c r="Y63" s="178">
        <f t="shared" si="75"/>
        <v>1.992854230803373E-3</v>
      </c>
      <c r="Z63" s="443" t="s">
        <v>763</v>
      </c>
      <c r="AA63" s="39">
        <v>4739</v>
      </c>
      <c r="AB63" s="210"/>
      <c r="AC63" s="106">
        <f t="shared" si="76"/>
        <v>4739</v>
      </c>
      <c r="AD63" s="541">
        <f t="shared" si="62"/>
        <v>1.6615184522204517E-3</v>
      </c>
      <c r="AE63" s="443" t="s">
        <v>781</v>
      </c>
      <c r="AF63" s="39">
        <f>10412.53+572.2</f>
        <v>10984.730000000001</v>
      </c>
      <c r="AG63" s="210"/>
      <c r="AH63" s="106">
        <f t="shared" si="77"/>
        <v>10984.730000000001</v>
      </c>
      <c r="AI63" s="541" t="e">
        <f t="shared" si="63"/>
        <v>#DIV/0!</v>
      </c>
      <c r="AJ63" s="443" t="s">
        <v>851</v>
      </c>
      <c r="AK63" s="39">
        <f>592.2+8622.06</f>
        <v>9214.26</v>
      </c>
      <c r="AL63" s="210"/>
      <c r="AM63" s="106">
        <f t="shared" si="78"/>
        <v>9214.26</v>
      </c>
      <c r="AN63" s="541" t="e">
        <f t="shared" si="64"/>
        <v>#DIV/0!</v>
      </c>
      <c r="AO63" s="443" t="s">
        <v>870</v>
      </c>
      <c r="AP63" s="39"/>
      <c r="AQ63" s="210"/>
      <c r="AR63" s="106">
        <f t="shared" si="79"/>
        <v>0</v>
      </c>
      <c r="AS63" s="541">
        <f t="shared" si="8"/>
        <v>0</v>
      </c>
      <c r="AT63" s="443"/>
      <c r="AU63" s="39"/>
      <c r="AV63" s="210"/>
      <c r="AW63" s="106">
        <f t="shared" si="80"/>
        <v>0</v>
      </c>
      <c r="AX63" s="541" t="e">
        <f t="shared" si="65"/>
        <v>#DIV/0!</v>
      </c>
      <c r="AY63" s="856"/>
      <c r="AZ63" s="39">
        <v>18867.544999999998</v>
      </c>
      <c r="BA63" s="39">
        <v>3657.08</v>
      </c>
      <c r="BB63" s="106">
        <f t="shared" si="81"/>
        <v>22524.625</v>
      </c>
      <c r="BC63" s="541" t="e">
        <f t="shared" si="66"/>
        <v>#DIV/0!</v>
      </c>
      <c r="BD63" s="856"/>
      <c r="BE63" s="39"/>
      <c r="BF63" s="39"/>
      <c r="BG63" s="106">
        <f t="shared" si="82"/>
        <v>0</v>
      </c>
      <c r="BH63" s="541">
        <f t="shared" si="67"/>
        <v>0</v>
      </c>
      <c r="BI63" s="856"/>
      <c r="BJ63" s="39">
        <f t="shared" si="83"/>
        <v>53213.68</v>
      </c>
      <c r="BK63" s="39">
        <f t="shared" si="84"/>
        <v>4717.08</v>
      </c>
      <c r="BL63" s="106">
        <f t="shared" si="85"/>
        <v>57930.76</v>
      </c>
      <c r="BM63" s="178" t="e">
        <f t="shared" si="57"/>
        <v>#DIV/0!</v>
      </c>
      <c r="BN63" s="79"/>
      <c r="BP63" s="842"/>
      <c r="BQ63" s="842"/>
    </row>
    <row r="64" spans="1:72" ht="13.8">
      <c r="A64" s="237"/>
      <c r="B64" s="19" t="s">
        <v>63</v>
      </c>
      <c r="C64" s="129"/>
      <c r="D64" s="128"/>
      <c r="E64" s="120">
        <f t="shared" si="68"/>
        <v>0</v>
      </c>
      <c r="F64" s="178">
        <f t="shared" si="86"/>
        <v>0</v>
      </c>
      <c r="G64" s="210"/>
      <c r="H64" s="210"/>
      <c r="I64" s="106">
        <f t="shared" si="69"/>
        <v>0</v>
      </c>
      <c r="J64" s="178">
        <f t="shared" si="61"/>
        <v>0</v>
      </c>
      <c r="K64" s="79"/>
      <c r="L64" s="210"/>
      <c r="M64" s="210"/>
      <c r="N64" s="106">
        <f t="shared" si="70"/>
        <v>0</v>
      </c>
      <c r="O64" s="178">
        <f t="shared" si="71"/>
        <v>0</v>
      </c>
      <c r="P64" s="259"/>
      <c r="Q64" s="210"/>
      <c r="R64" s="210"/>
      <c r="S64" s="106">
        <f t="shared" si="72"/>
        <v>0</v>
      </c>
      <c r="T64" s="178">
        <f t="shared" si="73"/>
        <v>0</v>
      </c>
      <c r="U64" s="259"/>
      <c r="V64" s="210"/>
      <c r="W64" s="210"/>
      <c r="X64" s="106">
        <f t="shared" si="74"/>
        <v>0</v>
      </c>
      <c r="Y64" s="178">
        <f t="shared" si="75"/>
        <v>0</v>
      </c>
      <c r="Z64" s="259"/>
      <c r="AA64" s="210"/>
      <c r="AB64" s="210"/>
      <c r="AC64" s="106">
        <f t="shared" si="76"/>
        <v>0</v>
      </c>
      <c r="AD64" s="541">
        <f t="shared" si="62"/>
        <v>0</v>
      </c>
      <c r="AE64" s="259"/>
      <c r="AF64" s="210"/>
      <c r="AG64" s="210"/>
      <c r="AH64" s="106">
        <f t="shared" si="77"/>
        <v>0</v>
      </c>
      <c r="AI64" s="541" t="e">
        <f t="shared" si="63"/>
        <v>#DIV/0!</v>
      </c>
      <c r="AJ64" s="259"/>
      <c r="AK64" s="210"/>
      <c r="AL64" s="210"/>
      <c r="AM64" s="106">
        <f t="shared" si="78"/>
        <v>0</v>
      </c>
      <c r="AN64" s="541" t="e">
        <f t="shared" si="64"/>
        <v>#DIV/0!</v>
      </c>
      <c r="AO64" s="259"/>
      <c r="AP64" s="210"/>
      <c r="AQ64" s="210"/>
      <c r="AR64" s="106">
        <f t="shared" si="79"/>
        <v>0</v>
      </c>
      <c r="AS64" s="541">
        <f t="shared" si="8"/>
        <v>0</v>
      </c>
      <c r="AT64" s="259"/>
      <c r="AU64" s="210"/>
      <c r="AV64" s="210"/>
      <c r="AW64" s="106">
        <f t="shared" si="80"/>
        <v>0</v>
      </c>
      <c r="AX64" s="541" t="e">
        <f t="shared" si="65"/>
        <v>#DIV/0!</v>
      </c>
      <c r="AY64" s="857"/>
      <c r="AZ64" s="39">
        <v>0</v>
      </c>
      <c r="BA64" s="39">
        <v>0</v>
      </c>
      <c r="BB64" s="106">
        <f t="shared" si="81"/>
        <v>0</v>
      </c>
      <c r="BC64" s="541" t="e">
        <f t="shared" si="66"/>
        <v>#DIV/0!</v>
      </c>
      <c r="BD64" s="857"/>
      <c r="BE64" s="39"/>
      <c r="BF64" s="39"/>
      <c r="BG64" s="106">
        <f t="shared" si="82"/>
        <v>0</v>
      </c>
      <c r="BH64" s="541">
        <f t="shared" si="67"/>
        <v>0</v>
      </c>
      <c r="BI64" s="857"/>
      <c r="BJ64" s="39">
        <f t="shared" si="83"/>
        <v>0</v>
      </c>
      <c r="BK64" s="39">
        <f t="shared" si="84"/>
        <v>0</v>
      </c>
      <c r="BL64" s="106">
        <f t="shared" si="85"/>
        <v>0</v>
      </c>
      <c r="BM64" s="178" t="e">
        <f t="shared" si="57"/>
        <v>#DIV/0!</v>
      </c>
      <c r="BN64" s="79"/>
      <c r="BP64" s="842"/>
      <c r="BQ64" s="842"/>
    </row>
    <row r="65" spans="1:73" ht="69">
      <c r="A65" s="237"/>
      <c r="B65" s="615" t="s">
        <v>36</v>
      </c>
      <c r="C65" s="113"/>
      <c r="D65" s="128"/>
      <c r="E65" s="120">
        <f t="shared" si="68"/>
        <v>0</v>
      </c>
      <c r="F65" s="178">
        <f t="shared" si="86"/>
        <v>0</v>
      </c>
      <c r="G65" s="39"/>
      <c r="H65" s="39"/>
      <c r="I65" s="106">
        <f t="shared" si="69"/>
        <v>0</v>
      </c>
      <c r="J65" s="178">
        <f>I65/$I$89</f>
        <v>0</v>
      </c>
      <c r="K65" s="79"/>
      <c r="L65" s="39">
        <f>400</f>
        <v>400</v>
      </c>
      <c r="M65" s="39">
        <f>1800+926.68</f>
        <v>2726.68</v>
      </c>
      <c r="N65" s="106">
        <f t="shared" si="70"/>
        <v>3126.68</v>
      </c>
      <c r="O65" s="178">
        <f t="shared" si="71"/>
        <v>2.5584849706596188E-3</v>
      </c>
      <c r="P65" s="439" t="s">
        <v>575</v>
      </c>
      <c r="Q65" s="39">
        <v>200</v>
      </c>
      <c r="R65" s="39">
        <v>1800</v>
      </c>
      <c r="S65" s="106">
        <f t="shared" si="72"/>
        <v>2000</v>
      </c>
      <c r="T65" s="178">
        <f t="shared" si="73"/>
        <v>2.840886483013121E-4</v>
      </c>
      <c r="U65" s="443" t="s">
        <v>689</v>
      </c>
      <c r="V65" s="39"/>
      <c r="W65" s="39"/>
      <c r="X65" s="106">
        <f t="shared" si="74"/>
        <v>0</v>
      </c>
      <c r="Y65" s="178">
        <f t="shared" si="75"/>
        <v>0</v>
      </c>
      <c r="Z65" s="443"/>
      <c r="AA65" s="39">
        <v>200</v>
      </c>
      <c r="AB65" s="39">
        <v>1000</v>
      </c>
      <c r="AC65" s="106">
        <f t="shared" si="76"/>
        <v>1200</v>
      </c>
      <c r="AD65" s="541">
        <f t="shared" si="62"/>
        <v>4.2072634367261913E-4</v>
      </c>
      <c r="AE65" s="443" t="s">
        <v>809</v>
      </c>
      <c r="AF65" s="39">
        <f>400+400</f>
        <v>800</v>
      </c>
      <c r="AG65" s="39">
        <f>520+1088</f>
        <v>1608</v>
      </c>
      <c r="AH65" s="106">
        <f t="shared" si="77"/>
        <v>2408</v>
      </c>
      <c r="AI65" s="541" t="e">
        <f t="shared" si="63"/>
        <v>#DIV/0!</v>
      </c>
      <c r="AJ65" s="443" t="s">
        <v>839</v>
      </c>
      <c r="AK65" s="39">
        <f>910*4</f>
        <v>3640</v>
      </c>
      <c r="AL65" s="39"/>
      <c r="AM65" s="106">
        <f t="shared" si="78"/>
        <v>3640</v>
      </c>
      <c r="AN65" s="541" t="e">
        <f t="shared" si="64"/>
        <v>#DIV/0!</v>
      </c>
      <c r="AO65" s="443" t="s">
        <v>875</v>
      </c>
      <c r="AP65" s="39"/>
      <c r="AQ65" s="39"/>
      <c r="AR65" s="106">
        <f t="shared" si="79"/>
        <v>0</v>
      </c>
      <c r="AS65" s="541">
        <f t="shared" si="8"/>
        <v>0</v>
      </c>
      <c r="AT65" s="443"/>
      <c r="AU65" s="39"/>
      <c r="AV65" s="210">
        <f>1300+600</f>
        <v>1900</v>
      </c>
      <c r="AW65" s="106">
        <f t="shared" si="80"/>
        <v>1900</v>
      </c>
      <c r="AX65" s="541" t="e">
        <f t="shared" si="65"/>
        <v>#DIV/0!</v>
      </c>
      <c r="AY65" s="857" t="s">
        <v>471</v>
      </c>
      <c r="AZ65" s="39">
        <v>15470</v>
      </c>
      <c r="BA65" s="39">
        <v>-1314.6800000000003</v>
      </c>
      <c r="BB65" s="106">
        <f t="shared" si="81"/>
        <v>14155.32</v>
      </c>
      <c r="BC65" s="541" t="e">
        <f t="shared" si="66"/>
        <v>#DIV/0!</v>
      </c>
      <c r="BD65" s="857"/>
      <c r="BE65" s="39"/>
      <c r="BF65" s="39"/>
      <c r="BG65" s="106">
        <f t="shared" si="82"/>
        <v>0</v>
      </c>
      <c r="BH65" s="541">
        <f t="shared" si="67"/>
        <v>0</v>
      </c>
      <c r="BI65" s="857"/>
      <c r="BJ65" s="39">
        <f t="shared" si="83"/>
        <v>20710</v>
      </c>
      <c r="BK65" s="39">
        <f t="shared" si="84"/>
        <v>7720</v>
      </c>
      <c r="BL65" s="106">
        <f t="shared" si="85"/>
        <v>28430</v>
      </c>
      <c r="BM65" s="178" t="e">
        <f t="shared" si="57"/>
        <v>#DIV/0!</v>
      </c>
      <c r="BN65" s="79"/>
      <c r="BP65" s="842"/>
      <c r="BQ65" s="842"/>
    </row>
    <row r="66" spans="1:73" s="2" customFormat="1" ht="13.8">
      <c r="A66" s="237"/>
      <c r="B66" s="19" t="s">
        <v>37</v>
      </c>
      <c r="C66" s="113"/>
      <c r="D66" s="128"/>
      <c r="E66" s="120">
        <f t="shared" si="68"/>
        <v>0</v>
      </c>
      <c r="F66" s="178">
        <f t="shared" si="86"/>
        <v>0</v>
      </c>
      <c r="G66" s="39"/>
      <c r="H66" s="39"/>
      <c r="I66" s="106">
        <f t="shared" si="69"/>
        <v>0</v>
      </c>
      <c r="J66" s="178">
        <f t="shared" si="61"/>
        <v>0</v>
      </c>
      <c r="K66" s="79"/>
      <c r="L66" s="39"/>
      <c r="M66" s="39"/>
      <c r="N66" s="106">
        <f t="shared" si="70"/>
        <v>0</v>
      </c>
      <c r="O66" s="178">
        <f t="shared" si="71"/>
        <v>0</v>
      </c>
      <c r="P66" s="259"/>
      <c r="Q66" s="39"/>
      <c r="R66" s="39"/>
      <c r="S66" s="106">
        <f t="shared" si="72"/>
        <v>0</v>
      </c>
      <c r="T66" s="178">
        <f t="shared" si="73"/>
        <v>0</v>
      </c>
      <c r="U66" s="443"/>
      <c r="V66" s="39"/>
      <c r="W66" s="39"/>
      <c r="X66" s="106">
        <f t="shared" si="74"/>
        <v>0</v>
      </c>
      <c r="Y66" s="178">
        <f t="shared" si="75"/>
        <v>0</v>
      </c>
      <c r="Z66" s="443"/>
      <c r="AA66" s="39"/>
      <c r="AB66" s="39"/>
      <c r="AC66" s="106">
        <f t="shared" si="76"/>
        <v>0</v>
      </c>
      <c r="AD66" s="541">
        <f t="shared" si="62"/>
        <v>0</v>
      </c>
      <c r="AE66" s="443"/>
      <c r="AF66" s="39"/>
      <c r="AG66" s="39"/>
      <c r="AH66" s="106">
        <f t="shared" si="77"/>
        <v>0</v>
      </c>
      <c r="AI66" s="541" t="e">
        <f t="shared" si="63"/>
        <v>#DIV/0!</v>
      </c>
      <c r="AJ66" s="443"/>
      <c r="AK66" s="39"/>
      <c r="AL66" s="39"/>
      <c r="AM66" s="106">
        <f t="shared" si="78"/>
        <v>0</v>
      </c>
      <c r="AN66" s="541" t="e">
        <f t="shared" si="64"/>
        <v>#DIV/0!</v>
      </c>
      <c r="AO66" s="443"/>
      <c r="AP66" s="39"/>
      <c r="AQ66" s="39"/>
      <c r="AR66" s="106">
        <f t="shared" si="79"/>
        <v>0</v>
      </c>
      <c r="AS66" s="541">
        <f t="shared" si="8"/>
        <v>0</v>
      </c>
      <c r="AT66" s="443"/>
      <c r="AU66" s="39"/>
      <c r="AV66" s="39"/>
      <c r="AW66" s="106">
        <f t="shared" si="80"/>
        <v>0</v>
      </c>
      <c r="AX66" s="541" t="e">
        <f t="shared" si="65"/>
        <v>#DIV/0!</v>
      </c>
      <c r="AY66" s="443"/>
      <c r="AZ66" s="39">
        <v>0</v>
      </c>
      <c r="BA66" s="39">
        <v>0</v>
      </c>
      <c r="BB66" s="106">
        <f t="shared" si="81"/>
        <v>0</v>
      </c>
      <c r="BC66" s="541" t="e">
        <f t="shared" si="66"/>
        <v>#DIV/0!</v>
      </c>
      <c r="BD66" s="443"/>
      <c r="BE66" s="39"/>
      <c r="BF66" s="39"/>
      <c r="BG66" s="106">
        <f t="shared" si="82"/>
        <v>0</v>
      </c>
      <c r="BH66" s="541">
        <f t="shared" si="67"/>
        <v>0</v>
      </c>
      <c r="BI66" s="443"/>
      <c r="BJ66" s="39">
        <f t="shared" si="83"/>
        <v>0</v>
      </c>
      <c r="BK66" s="39">
        <f t="shared" si="84"/>
        <v>0</v>
      </c>
      <c r="BL66" s="106">
        <f t="shared" si="85"/>
        <v>0</v>
      </c>
      <c r="BM66" s="178" t="e">
        <f t="shared" si="57"/>
        <v>#DIV/0!</v>
      </c>
      <c r="BN66" s="79"/>
      <c r="BO66" s="1"/>
      <c r="BP66" s="842"/>
      <c r="BQ66" s="842"/>
      <c r="BR66" s="1"/>
      <c r="BS66" s="1"/>
      <c r="BT66" s="1"/>
    </row>
    <row r="67" spans="1:73" s="2" customFormat="1" ht="13.8">
      <c r="A67" s="237"/>
      <c r="B67" s="19" t="s">
        <v>3</v>
      </c>
      <c r="C67" s="113"/>
      <c r="D67" s="128"/>
      <c r="E67" s="120">
        <f t="shared" si="68"/>
        <v>0</v>
      </c>
      <c r="F67" s="178">
        <f t="shared" si="86"/>
        <v>0</v>
      </c>
      <c r="G67" s="39">
        <v>5600</v>
      </c>
      <c r="H67" s="39"/>
      <c r="I67" s="106">
        <f t="shared" si="69"/>
        <v>5600</v>
      </c>
      <c r="J67" s="178">
        <f t="shared" si="61"/>
        <v>1.7887885641225593E-2</v>
      </c>
      <c r="K67" s="79" t="s">
        <v>533</v>
      </c>
      <c r="L67" s="39"/>
      <c r="M67" s="39"/>
      <c r="N67" s="106">
        <f t="shared" si="70"/>
        <v>0</v>
      </c>
      <c r="O67" s="178">
        <f t="shared" si="71"/>
        <v>0</v>
      </c>
      <c r="P67" s="259"/>
      <c r="Q67" s="39"/>
      <c r="R67" s="39"/>
      <c r="S67" s="106">
        <f t="shared" si="72"/>
        <v>0</v>
      </c>
      <c r="T67" s="178">
        <f t="shared" si="73"/>
        <v>0</v>
      </c>
      <c r="U67" s="443"/>
      <c r="V67" s="39"/>
      <c r="W67" s="39"/>
      <c r="X67" s="106">
        <f t="shared" si="74"/>
        <v>0</v>
      </c>
      <c r="Y67" s="178">
        <f t="shared" si="75"/>
        <v>0</v>
      </c>
      <c r="Z67" s="443"/>
      <c r="AA67" s="39">
        <f>700</f>
        <v>700</v>
      </c>
      <c r="AB67" s="39"/>
      <c r="AC67" s="106">
        <f t="shared" si="76"/>
        <v>700</v>
      </c>
      <c r="AD67" s="541">
        <f t="shared" si="62"/>
        <v>2.4542370047569447E-4</v>
      </c>
      <c r="AE67" s="443" t="s">
        <v>797</v>
      </c>
      <c r="AF67" s="39"/>
      <c r="AG67" s="39">
        <v>800</v>
      </c>
      <c r="AH67" s="106">
        <f t="shared" si="77"/>
        <v>800</v>
      </c>
      <c r="AI67" s="541" t="e">
        <f t="shared" si="63"/>
        <v>#DIV/0!</v>
      </c>
      <c r="AJ67" s="443" t="s">
        <v>840</v>
      </c>
      <c r="AK67" s="39"/>
      <c r="AL67" s="39"/>
      <c r="AM67" s="106">
        <f t="shared" si="78"/>
        <v>0</v>
      </c>
      <c r="AN67" s="541" t="e">
        <f t="shared" si="64"/>
        <v>#DIV/0!</v>
      </c>
      <c r="AO67" s="443"/>
      <c r="AP67" s="39"/>
      <c r="AQ67" s="39"/>
      <c r="AR67" s="106">
        <f t="shared" si="79"/>
        <v>0</v>
      </c>
      <c r="AS67" s="541">
        <f t="shared" si="8"/>
        <v>0</v>
      </c>
      <c r="AT67" s="443"/>
      <c r="AU67" s="39"/>
      <c r="AV67" s="39"/>
      <c r="AW67" s="106">
        <f t="shared" si="80"/>
        <v>0</v>
      </c>
      <c r="AX67" s="541" t="e">
        <f t="shared" si="65"/>
        <v>#DIV/0!</v>
      </c>
      <c r="AY67" s="443"/>
      <c r="AZ67" s="39">
        <v>-6300</v>
      </c>
      <c r="BA67" s="39">
        <v>-800</v>
      </c>
      <c r="BB67" s="106">
        <f t="shared" si="81"/>
        <v>-7100</v>
      </c>
      <c r="BC67" s="541" t="e">
        <f t="shared" si="66"/>
        <v>#DIV/0!</v>
      </c>
      <c r="BD67" s="443"/>
      <c r="BE67" s="39"/>
      <c r="BF67" s="39"/>
      <c r="BG67" s="106">
        <f t="shared" si="82"/>
        <v>0</v>
      </c>
      <c r="BH67" s="541">
        <f t="shared" si="67"/>
        <v>0</v>
      </c>
      <c r="BI67" s="443"/>
      <c r="BJ67" s="39">
        <f t="shared" si="83"/>
        <v>0</v>
      </c>
      <c r="BK67" s="39">
        <f t="shared" si="84"/>
        <v>0</v>
      </c>
      <c r="BL67" s="106">
        <f t="shared" si="85"/>
        <v>0</v>
      </c>
      <c r="BM67" s="178" t="e">
        <f t="shared" si="57"/>
        <v>#DIV/0!</v>
      </c>
      <c r="BN67" s="79"/>
      <c r="BO67" s="1"/>
      <c r="BP67" s="842"/>
      <c r="BQ67" s="842"/>
      <c r="BR67" s="1"/>
      <c r="BS67" s="1"/>
      <c r="BT67" s="1"/>
    </row>
    <row r="68" spans="1:73" s="2" customFormat="1" ht="13.8">
      <c r="A68" s="237"/>
      <c r="B68" s="19" t="s">
        <v>5</v>
      </c>
      <c r="C68" s="113"/>
      <c r="D68" s="128">
        <v>10000</v>
      </c>
      <c r="E68" s="120">
        <f t="shared" si="68"/>
        <v>10000</v>
      </c>
      <c r="F68" s="178">
        <f t="shared" si="86"/>
        <v>5.0617368994796135E-4</v>
      </c>
      <c r="G68" s="39"/>
      <c r="H68" s="39">
        <v>240.5</v>
      </c>
      <c r="I68" s="106">
        <f t="shared" si="69"/>
        <v>240.5</v>
      </c>
      <c r="J68" s="178">
        <f t="shared" si="61"/>
        <v>7.6822080298477775E-4</v>
      </c>
      <c r="K68" s="79"/>
      <c r="L68" s="39"/>
      <c r="M68" s="39">
        <v>1040.22</v>
      </c>
      <c r="N68" s="106">
        <f t="shared" si="70"/>
        <v>1040.22</v>
      </c>
      <c r="O68" s="178">
        <f t="shared" si="71"/>
        <v>8.5118631781299942E-4</v>
      </c>
      <c r="P68" s="415" t="s">
        <v>562</v>
      </c>
      <c r="Q68" s="39"/>
      <c r="R68" s="39">
        <v>1325</v>
      </c>
      <c r="S68" s="106">
        <f t="shared" si="72"/>
        <v>1325</v>
      </c>
      <c r="T68" s="178">
        <f t="shared" si="73"/>
        <v>1.8820872949961925E-4</v>
      </c>
      <c r="U68" s="443" t="s">
        <v>562</v>
      </c>
      <c r="V68" s="39"/>
      <c r="W68" s="39">
        <v>1749</v>
      </c>
      <c r="X68" s="106">
        <f t="shared" si="74"/>
        <v>1749</v>
      </c>
      <c r="Y68" s="178">
        <f t="shared" si="75"/>
        <v>7.1082284495691298E-4</v>
      </c>
      <c r="Z68" s="443"/>
      <c r="AA68" s="39"/>
      <c r="AB68" s="39">
        <v>4520.7299999999996</v>
      </c>
      <c r="AC68" s="106">
        <f t="shared" si="76"/>
        <v>4520.7299999999996</v>
      </c>
      <c r="AD68" s="541">
        <f t="shared" si="62"/>
        <v>1.5849918363592659E-3</v>
      </c>
      <c r="AE68" s="443"/>
      <c r="AF68" s="39">
        <v>38</v>
      </c>
      <c r="AG68" s="39">
        <v>5462</v>
      </c>
      <c r="AH68" s="106">
        <f t="shared" si="77"/>
        <v>5500</v>
      </c>
      <c r="AI68" s="541" t="e">
        <f t="shared" si="63"/>
        <v>#DIV/0!</v>
      </c>
      <c r="AJ68" s="443"/>
      <c r="AK68" s="39"/>
      <c r="AL68" s="39">
        <v>1825</v>
      </c>
      <c r="AM68" s="106">
        <f t="shared" si="78"/>
        <v>1825</v>
      </c>
      <c r="AN68" s="541" t="e">
        <f t="shared" si="64"/>
        <v>#DIV/0!</v>
      </c>
      <c r="AO68" s="443"/>
      <c r="AP68" s="39"/>
      <c r="AQ68" s="39">
        <v>3098.37</v>
      </c>
      <c r="AR68" s="106">
        <f t="shared" si="79"/>
        <v>3098.37</v>
      </c>
      <c r="AS68" s="541">
        <f t="shared" si="8"/>
        <v>1.1956890384656107E-2</v>
      </c>
      <c r="AT68" s="443"/>
      <c r="AU68" s="39"/>
      <c r="AV68" s="39">
        <v>511.97</v>
      </c>
      <c r="AW68" s="106">
        <f t="shared" si="80"/>
        <v>511.97</v>
      </c>
      <c r="AX68" s="541" t="e">
        <f t="shared" si="65"/>
        <v>#DIV/0!</v>
      </c>
      <c r="AY68" s="443"/>
      <c r="AZ68" s="39">
        <v>-38</v>
      </c>
      <c r="BA68" s="39">
        <v>0.45999999999912689</v>
      </c>
      <c r="BB68" s="106">
        <f t="shared" si="81"/>
        <v>-37.540000000000873</v>
      </c>
      <c r="BC68" s="541" t="e">
        <f t="shared" si="66"/>
        <v>#DIV/0!</v>
      </c>
      <c r="BD68" s="443"/>
      <c r="BE68" s="39"/>
      <c r="BF68" s="39"/>
      <c r="BG68" s="106">
        <f t="shared" si="82"/>
        <v>0</v>
      </c>
      <c r="BH68" s="541">
        <f t="shared" si="67"/>
        <v>0</v>
      </c>
      <c r="BI68" s="443"/>
      <c r="BJ68" s="39">
        <f t="shared" si="83"/>
        <v>0</v>
      </c>
      <c r="BK68" s="39">
        <f t="shared" si="84"/>
        <v>19773.25</v>
      </c>
      <c r="BL68" s="106">
        <f t="shared" si="85"/>
        <v>19773.25</v>
      </c>
      <c r="BM68" s="178" t="e">
        <f t="shared" si="57"/>
        <v>#DIV/0!</v>
      </c>
      <c r="BN68" s="79"/>
      <c r="BO68" s="1"/>
      <c r="BP68" s="842"/>
      <c r="BQ68" s="842"/>
      <c r="BR68" s="1"/>
      <c r="BS68" s="1"/>
      <c r="BT68" s="1"/>
    </row>
    <row r="69" spans="1:73" s="2" customFormat="1" ht="27.6">
      <c r="A69" s="237"/>
      <c r="B69" s="19" t="s">
        <v>42</v>
      </c>
      <c r="C69" s="113">
        <v>15000</v>
      </c>
      <c r="D69" s="128"/>
      <c r="E69" s="120">
        <f t="shared" si="68"/>
        <v>15000</v>
      </c>
      <c r="F69" s="178">
        <f t="shared" si="86"/>
        <v>7.5926053492194202E-4</v>
      </c>
      <c r="G69" s="39">
        <f>14280+7250</f>
        <v>21530</v>
      </c>
      <c r="H69" s="39"/>
      <c r="I69" s="106">
        <f t="shared" si="69"/>
        <v>21530</v>
      </c>
      <c r="J69" s="178">
        <f t="shared" si="61"/>
        <v>6.8772531759926259E-2</v>
      </c>
      <c r="K69" s="389" t="s">
        <v>532</v>
      </c>
      <c r="L69" s="39"/>
      <c r="M69" s="39"/>
      <c r="N69" s="106">
        <f t="shared" si="70"/>
        <v>0</v>
      </c>
      <c r="O69" s="178">
        <f t="shared" si="71"/>
        <v>0</v>
      </c>
      <c r="P69" s="403"/>
      <c r="Q69" s="39"/>
      <c r="R69" s="39"/>
      <c r="S69" s="106">
        <f t="shared" si="72"/>
        <v>0</v>
      </c>
      <c r="T69" s="178">
        <f t="shared" si="73"/>
        <v>0</v>
      </c>
      <c r="U69" s="443"/>
      <c r="V69" s="39">
        <f>1400</f>
        <v>1400</v>
      </c>
      <c r="W69" s="39"/>
      <c r="X69" s="106">
        <f t="shared" si="74"/>
        <v>1400</v>
      </c>
      <c r="Y69" s="178">
        <f t="shared" si="75"/>
        <v>5.6898340934229737E-4</v>
      </c>
      <c r="Z69" s="443" t="s">
        <v>668</v>
      </c>
      <c r="AA69" s="39">
        <f>6400</f>
        <v>6400</v>
      </c>
      <c r="AB69" s="39"/>
      <c r="AC69" s="106">
        <f t="shared" si="76"/>
        <v>6400</v>
      </c>
      <c r="AD69" s="541">
        <f t="shared" si="62"/>
        <v>2.2438738329206352E-3</v>
      </c>
      <c r="AE69" s="443" t="s">
        <v>647</v>
      </c>
      <c r="AF69" s="39"/>
      <c r="AG69" s="39"/>
      <c r="AH69" s="106">
        <f t="shared" si="77"/>
        <v>0</v>
      </c>
      <c r="AI69" s="541" t="e">
        <f t="shared" si="63"/>
        <v>#DIV/0!</v>
      </c>
      <c r="AJ69" s="443"/>
      <c r="AK69" s="39">
        <v>4200</v>
      </c>
      <c r="AL69" s="39"/>
      <c r="AM69" s="106">
        <f t="shared" si="78"/>
        <v>4200</v>
      </c>
      <c r="AN69" s="541" t="e">
        <f t="shared" si="64"/>
        <v>#DIV/0!</v>
      </c>
      <c r="AO69" s="443" t="s">
        <v>876</v>
      </c>
      <c r="AP69" s="39"/>
      <c r="AQ69" s="39"/>
      <c r="AR69" s="106">
        <f t="shared" si="79"/>
        <v>0</v>
      </c>
      <c r="AS69" s="541">
        <f t="shared" si="8"/>
        <v>0</v>
      </c>
      <c r="AT69" s="443"/>
      <c r="AU69" s="39"/>
      <c r="AV69" s="39"/>
      <c r="AW69" s="106">
        <f t="shared" si="80"/>
        <v>0</v>
      </c>
      <c r="AX69" s="541" t="e">
        <f t="shared" si="65"/>
        <v>#DIV/0!</v>
      </c>
      <c r="AY69" s="443"/>
      <c r="AZ69" s="39">
        <v>6300</v>
      </c>
      <c r="BA69" s="39">
        <v>0</v>
      </c>
      <c r="BB69" s="106">
        <f t="shared" si="81"/>
        <v>6300</v>
      </c>
      <c r="BC69" s="541" t="e">
        <f t="shared" si="66"/>
        <v>#DIV/0!</v>
      </c>
      <c r="BD69" s="443"/>
      <c r="BE69" s="39"/>
      <c r="BF69" s="39"/>
      <c r="BG69" s="106">
        <f t="shared" si="82"/>
        <v>0</v>
      </c>
      <c r="BH69" s="541">
        <f t="shared" si="67"/>
        <v>0</v>
      </c>
      <c r="BI69" s="443"/>
      <c r="BJ69" s="39">
        <f t="shared" si="83"/>
        <v>39830</v>
      </c>
      <c r="BK69" s="39">
        <f t="shared" si="84"/>
        <v>0</v>
      </c>
      <c r="BL69" s="106">
        <f t="shared" si="85"/>
        <v>39830</v>
      </c>
      <c r="BM69" s="178" t="e">
        <f t="shared" si="57"/>
        <v>#DIV/0!</v>
      </c>
      <c r="BN69" s="79"/>
      <c r="BO69" s="1"/>
      <c r="BP69" s="842"/>
      <c r="BQ69" s="842"/>
      <c r="BR69" s="1"/>
      <c r="BS69" s="1"/>
      <c r="BT69" s="1"/>
    </row>
    <row r="70" spans="1:73" s="2" customFormat="1" ht="13.8">
      <c r="A70" s="237"/>
      <c r="B70" s="19" t="s">
        <v>6</v>
      </c>
      <c r="C70" s="113"/>
      <c r="D70" s="128"/>
      <c r="E70" s="120">
        <f t="shared" si="68"/>
        <v>0</v>
      </c>
      <c r="F70" s="178">
        <f t="shared" si="86"/>
        <v>0</v>
      </c>
      <c r="G70" s="39"/>
      <c r="H70" s="39"/>
      <c r="I70" s="106">
        <f t="shared" si="69"/>
        <v>0</v>
      </c>
      <c r="J70" s="178">
        <f t="shared" si="61"/>
        <v>0</v>
      </c>
      <c r="K70" s="79"/>
      <c r="L70" s="39"/>
      <c r="M70" s="39"/>
      <c r="N70" s="106">
        <f t="shared" si="70"/>
        <v>0</v>
      </c>
      <c r="O70" s="178">
        <f t="shared" si="71"/>
        <v>0</v>
      </c>
      <c r="P70" s="259"/>
      <c r="Q70" s="39"/>
      <c r="R70" s="39"/>
      <c r="S70" s="106">
        <f t="shared" si="72"/>
        <v>0</v>
      </c>
      <c r="T70" s="178">
        <f t="shared" si="73"/>
        <v>0</v>
      </c>
      <c r="U70" s="259"/>
      <c r="V70" s="39"/>
      <c r="W70" s="39"/>
      <c r="X70" s="106">
        <f t="shared" si="74"/>
        <v>0</v>
      </c>
      <c r="Y70" s="178">
        <f t="shared" si="75"/>
        <v>0</v>
      </c>
      <c r="Z70" s="259"/>
      <c r="AA70" s="39"/>
      <c r="AB70" s="39"/>
      <c r="AC70" s="106">
        <f t="shared" si="76"/>
        <v>0</v>
      </c>
      <c r="AD70" s="541">
        <f t="shared" si="62"/>
        <v>0</v>
      </c>
      <c r="AE70" s="259"/>
      <c r="AF70" s="39"/>
      <c r="AG70" s="39"/>
      <c r="AH70" s="106">
        <f t="shared" si="77"/>
        <v>0</v>
      </c>
      <c r="AI70" s="541" t="e">
        <f t="shared" si="63"/>
        <v>#DIV/0!</v>
      </c>
      <c r="AJ70" s="259"/>
      <c r="AK70" s="39"/>
      <c r="AL70" s="39"/>
      <c r="AM70" s="106">
        <f t="shared" si="78"/>
        <v>0</v>
      </c>
      <c r="AN70" s="541" t="e">
        <f t="shared" si="64"/>
        <v>#DIV/0!</v>
      </c>
      <c r="AO70" s="259"/>
      <c r="AP70" s="39"/>
      <c r="AQ70" s="39"/>
      <c r="AR70" s="106">
        <f t="shared" si="79"/>
        <v>0</v>
      </c>
      <c r="AS70" s="541">
        <f t="shared" si="8"/>
        <v>0</v>
      </c>
      <c r="AT70" s="259"/>
      <c r="AU70" s="39"/>
      <c r="AV70" s="39"/>
      <c r="AW70" s="106">
        <f t="shared" si="80"/>
        <v>0</v>
      </c>
      <c r="AX70" s="541" t="e">
        <f t="shared" si="65"/>
        <v>#DIV/0!</v>
      </c>
      <c r="AY70" s="259"/>
      <c r="AZ70" s="39">
        <v>0</v>
      </c>
      <c r="BA70" s="39">
        <v>0</v>
      </c>
      <c r="BB70" s="106">
        <f t="shared" si="81"/>
        <v>0</v>
      </c>
      <c r="BC70" s="541" t="e">
        <f t="shared" si="66"/>
        <v>#DIV/0!</v>
      </c>
      <c r="BD70" s="259"/>
      <c r="BE70" s="39"/>
      <c r="BF70" s="39"/>
      <c r="BG70" s="106">
        <f t="shared" si="82"/>
        <v>0</v>
      </c>
      <c r="BH70" s="541">
        <f t="shared" si="67"/>
        <v>0</v>
      </c>
      <c r="BI70" s="259"/>
      <c r="BJ70" s="39">
        <f t="shared" si="83"/>
        <v>0</v>
      </c>
      <c r="BK70" s="39">
        <f t="shared" si="84"/>
        <v>0</v>
      </c>
      <c r="BL70" s="106">
        <f t="shared" si="85"/>
        <v>0</v>
      </c>
      <c r="BM70" s="178" t="e">
        <f t="shared" si="57"/>
        <v>#DIV/0!</v>
      </c>
      <c r="BN70" s="79"/>
      <c r="BO70" s="1"/>
      <c r="BP70" s="842"/>
      <c r="BQ70" s="842"/>
      <c r="BR70" s="1"/>
      <c r="BS70" s="1"/>
      <c r="BT70" s="1"/>
    </row>
    <row r="71" spans="1:73" s="2" customFormat="1" ht="13.8">
      <c r="A71" s="237"/>
      <c r="B71" s="19" t="s">
        <v>78</v>
      </c>
      <c r="C71" s="113"/>
      <c r="D71" s="128"/>
      <c r="E71" s="120">
        <f t="shared" si="68"/>
        <v>0</v>
      </c>
      <c r="F71" s="184">
        <f t="shared" si="86"/>
        <v>0</v>
      </c>
      <c r="G71" s="39"/>
      <c r="H71" s="39"/>
      <c r="I71" s="106">
        <f t="shared" si="69"/>
        <v>0</v>
      </c>
      <c r="J71" s="178">
        <f t="shared" si="61"/>
        <v>0</v>
      </c>
      <c r="K71" s="79"/>
      <c r="L71" s="39"/>
      <c r="M71" s="39"/>
      <c r="N71" s="106">
        <f t="shared" si="70"/>
        <v>0</v>
      </c>
      <c r="O71" s="178">
        <f t="shared" si="71"/>
        <v>0</v>
      </c>
      <c r="P71" s="259"/>
      <c r="Q71" s="39"/>
      <c r="R71" s="39"/>
      <c r="S71" s="106">
        <f t="shared" si="72"/>
        <v>0</v>
      </c>
      <c r="T71" s="178">
        <f t="shared" si="73"/>
        <v>0</v>
      </c>
      <c r="U71" s="259"/>
      <c r="V71" s="557"/>
      <c r="W71" s="558"/>
      <c r="X71" s="559">
        <f t="shared" si="74"/>
        <v>0</v>
      </c>
      <c r="Y71" s="450">
        <f t="shared" si="75"/>
        <v>0</v>
      </c>
      <c r="Z71" s="503"/>
      <c r="AA71" s="557"/>
      <c r="AB71" s="558"/>
      <c r="AC71" s="559">
        <f t="shared" si="76"/>
        <v>0</v>
      </c>
      <c r="AD71" s="541">
        <f t="shared" si="62"/>
        <v>0</v>
      </c>
      <c r="AE71" s="503"/>
      <c r="AF71" s="557"/>
      <c r="AG71" s="558"/>
      <c r="AH71" s="559">
        <f t="shared" si="77"/>
        <v>0</v>
      </c>
      <c r="AI71" s="541" t="e">
        <f t="shared" si="63"/>
        <v>#DIV/0!</v>
      </c>
      <c r="AJ71" s="503"/>
      <c r="AK71" s="557"/>
      <c r="AL71" s="558"/>
      <c r="AM71" s="559">
        <f t="shared" si="78"/>
        <v>0</v>
      </c>
      <c r="AN71" s="541" t="e">
        <f t="shared" si="64"/>
        <v>#DIV/0!</v>
      </c>
      <c r="AO71" s="503"/>
      <c r="AP71" s="557"/>
      <c r="AQ71" s="558"/>
      <c r="AR71" s="559">
        <f t="shared" si="79"/>
        <v>0</v>
      </c>
      <c r="AS71" s="541">
        <f t="shared" si="8"/>
        <v>0</v>
      </c>
      <c r="AT71" s="503"/>
      <c r="AU71" s="557"/>
      <c r="AV71" s="558"/>
      <c r="AW71" s="559">
        <f t="shared" si="80"/>
        <v>0</v>
      </c>
      <c r="AX71" s="541" t="e">
        <f t="shared" si="65"/>
        <v>#DIV/0!</v>
      </c>
      <c r="AY71" s="503"/>
      <c r="AZ71" s="39">
        <v>50723</v>
      </c>
      <c r="BA71" s="39">
        <v>0</v>
      </c>
      <c r="BB71" s="559">
        <f t="shared" si="81"/>
        <v>50723</v>
      </c>
      <c r="BC71" s="541" t="e">
        <f t="shared" si="66"/>
        <v>#DIV/0!</v>
      </c>
      <c r="BD71" s="503"/>
      <c r="BE71" s="39"/>
      <c r="BF71" s="39"/>
      <c r="BG71" s="559">
        <f t="shared" si="82"/>
        <v>0</v>
      </c>
      <c r="BH71" s="541">
        <f t="shared" si="67"/>
        <v>0</v>
      </c>
      <c r="BI71" s="503"/>
      <c r="BJ71" s="39">
        <f t="shared" si="83"/>
        <v>50723</v>
      </c>
      <c r="BK71" s="39">
        <f t="shared" si="84"/>
        <v>0</v>
      </c>
      <c r="BL71" s="106">
        <f t="shared" si="85"/>
        <v>50723</v>
      </c>
      <c r="BM71" s="178" t="e">
        <f t="shared" si="57"/>
        <v>#DIV/0!</v>
      </c>
      <c r="BN71" s="79"/>
      <c r="BO71" s="1"/>
      <c r="BP71" s="842"/>
      <c r="BQ71" s="842"/>
      <c r="BR71" s="1"/>
      <c r="BS71" s="1"/>
      <c r="BT71" s="1"/>
    </row>
    <row r="72" spans="1:73" s="2" customFormat="1" ht="14.4" thickBot="1">
      <c r="A72" s="237"/>
      <c r="B72" s="19"/>
      <c r="C72" s="130"/>
      <c r="D72" s="131"/>
      <c r="E72" s="159"/>
      <c r="F72" s="184">
        <f t="shared" si="86"/>
        <v>0</v>
      </c>
      <c r="G72" s="39"/>
      <c r="H72" s="39"/>
      <c r="I72" s="106"/>
      <c r="J72" s="178">
        <f t="shared" si="61"/>
        <v>0</v>
      </c>
      <c r="K72" s="79"/>
      <c r="L72" s="39"/>
      <c r="M72" s="39"/>
      <c r="N72" s="106"/>
      <c r="O72" s="178">
        <f t="shared" si="71"/>
        <v>0</v>
      </c>
      <c r="P72" s="79"/>
      <c r="Q72" s="39"/>
      <c r="R72" s="39"/>
      <c r="S72" s="106"/>
      <c r="T72" s="178">
        <f t="shared" si="73"/>
        <v>0</v>
      </c>
      <c r="U72" s="79"/>
      <c r="V72" s="560"/>
      <c r="W72" s="452"/>
      <c r="X72" s="446"/>
      <c r="Y72" s="450">
        <f t="shared" si="75"/>
        <v>0</v>
      </c>
      <c r="Z72" s="498"/>
      <c r="AA72" s="560"/>
      <c r="AB72" s="452"/>
      <c r="AC72" s="446"/>
      <c r="AD72" s="541">
        <f t="shared" si="62"/>
        <v>0</v>
      </c>
      <c r="AE72" s="498"/>
      <c r="AF72" s="560"/>
      <c r="AG72" s="452"/>
      <c r="AH72" s="446"/>
      <c r="AI72" s="541" t="e">
        <f t="shared" si="63"/>
        <v>#DIV/0!</v>
      </c>
      <c r="AJ72" s="498"/>
      <c r="AK72" s="560"/>
      <c r="AL72" s="452"/>
      <c r="AM72" s="446"/>
      <c r="AN72" s="541" t="e">
        <f t="shared" si="64"/>
        <v>#DIV/0!</v>
      </c>
      <c r="AO72" s="498"/>
      <c r="AP72" s="560"/>
      <c r="AQ72" s="452"/>
      <c r="AR72" s="446"/>
      <c r="AS72" s="541">
        <f t="shared" si="8"/>
        <v>0</v>
      </c>
      <c r="AT72" s="498"/>
      <c r="AU72" s="560"/>
      <c r="AV72" s="452"/>
      <c r="AW72" s="446"/>
      <c r="AX72" s="541" t="e">
        <f t="shared" si="65"/>
        <v>#DIV/0!</v>
      </c>
      <c r="AY72" s="498"/>
      <c r="AZ72" s="560"/>
      <c r="BA72" s="452"/>
      <c r="BB72" s="446"/>
      <c r="BC72" s="541" t="e">
        <f t="shared" si="66"/>
        <v>#DIV/0!</v>
      </c>
      <c r="BD72" s="498"/>
      <c r="BE72" s="560"/>
      <c r="BF72" s="452"/>
      <c r="BG72" s="446"/>
      <c r="BH72" s="541">
        <f t="shared" si="67"/>
        <v>0</v>
      </c>
      <c r="BI72" s="498"/>
      <c r="BJ72" s="39"/>
      <c r="BK72" s="39"/>
      <c r="BL72" s="559"/>
      <c r="BM72" s="178" t="e">
        <f t="shared" si="57"/>
        <v>#DIV/0!</v>
      </c>
      <c r="BN72" s="79"/>
      <c r="BO72" s="1"/>
      <c r="BP72" s="842"/>
      <c r="BQ72" s="842"/>
      <c r="BR72" s="1"/>
      <c r="BS72" s="1"/>
      <c r="BT72" s="1"/>
    </row>
    <row r="73" spans="1:73" s="2" customFormat="1" ht="14.4" thickBot="1">
      <c r="A73" s="237"/>
      <c r="B73" s="13" t="s">
        <v>4</v>
      </c>
      <c r="C73" s="132">
        <f>C74</f>
        <v>776751.17999999993</v>
      </c>
      <c r="D73" s="133">
        <f>D74</f>
        <v>0</v>
      </c>
      <c r="E73" s="132">
        <f>E74</f>
        <v>776751.17999999993</v>
      </c>
      <c r="F73" s="171">
        <f>E73/$E$89</f>
        <v>3.9317101095203311E-2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555">
        <f>V74</f>
        <v>0</v>
      </c>
      <c r="W73" s="556">
        <f>W74</f>
        <v>0</v>
      </c>
      <c r="X73" s="548">
        <f>X74</f>
        <v>0</v>
      </c>
      <c r="Y73" s="556"/>
      <c r="Z73" s="556"/>
      <c r="AA73" s="555">
        <f>AA74</f>
        <v>0</v>
      </c>
      <c r="AB73" s="556">
        <f>AB74</f>
        <v>0</v>
      </c>
      <c r="AC73" s="548">
        <f>AC74</f>
        <v>0</v>
      </c>
      <c r="AD73" s="556"/>
      <c r="AE73" s="556"/>
      <c r="AF73" s="555">
        <f>AF74</f>
        <v>0</v>
      </c>
      <c r="AG73" s="556">
        <f>AG74</f>
        <v>0</v>
      </c>
      <c r="AH73" s="548">
        <f>AH74</f>
        <v>0</v>
      </c>
      <c r="AI73" s="556"/>
      <c r="AJ73" s="556"/>
      <c r="AK73" s="555">
        <f>AK74</f>
        <v>0</v>
      </c>
      <c r="AL73" s="556">
        <f>AL74</f>
        <v>0</v>
      </c>
      <c r="AM73" s="548">
        <f>AM74</f>
        <v>0</v>
      </c>
      <c r="AN73" s="556"/>
      <c r="AO73" s="556"/>
      <c r="AP73" s="555">
        <f>AP74</f>
        <v>0</v>
      </c>
      <c r="AQ73" s="556">
        <f>AQ74</f>
        <v>0</v>
      </c>
      <c r="AR73" s="548">
        <f>AR74</f>
        <v>0</v>
      </c>
      <c r="AS73" s="556"/>
      <c r="AT73" s="556"/>
      <c r="AU73" s="555">
        <f>AU74</f>
        <v>0</v>
      </c>
      <c r="AV73" s="556">
        <f>AV74</f>
        <v>0</v>
      </c>
      <c r="AW73" s="548">
        <f>AW74</f>
        <v>0</v>
      </c>
      <c r="AX73" s="556"/>
      <c r="AY73" s="556"/>
      <c r="AZ73" s="555">
        <f>AZ74</f>
        <v>0</v>
      </c>
      <c r="BA73" s="556">
        <f>BA74</f>
        <v>0</v>
      </c>
      <c r="BB73" s="548">
        <f>BB74</f>
        <v>0</v>
      </c>
      <c r="BC73" s="556"/>
      <c r="BD73" s="556"/>
      <c r="BE73" s="555">
        <f>BE74</f>
        <v>0</v>
      </c>
      <c r="BF73" s="556">
        <f>BF74</f>
        <v>0</v>
      </c>
      <c r="BG73" s="548">
        <f>BG74</f>
        <v>0</v>
      </c>
      <c r="BH73" s="556"/>
      <c r="BI73" s="556"/>
      <c r="BJ73" s="584">
        <f>BJ74</f>
        <v>0</v>
      </c>
      <c r="BK73" s="63">
        <f>BK74</f>
        <v>0</v>
      </c>
      <c r="BL73" s="548">
        <f>BL74</f>
        <v>0</v>
      </c>
      <c r="BM73" s="63"/>
      <c r="BN73" s="63"/>
      <c r="BO73" s="1"/>
      <c r="BP73" s="842"/>
      <c r="BQ73" s="842"/>
      <c r="BR73" s="1"/>
      <c r="BS73" s="1"/>
      <c r="BT73" s="1"/>
    </row>
    <row r="74" spans="1:73" s="2" customFormat="1" ht="14.4" thickBot="1">
      <c r="A74" s="20"/>
      <c r="B74" s="225" t="s">
        <v>64</v>
      </c>
      <c r="C74" s="113">
        <f>C6*3%</f>
        <v>776751.17999999993</v>
      </c>
      <c r="D74" s="135"/>
      <c r="E74" s="136">
        <f>C74+D74</f>
        <v>776751.17999999993</v>
      </c>
      <c r="F74" s="185"/>
      <c r="G74" s="39"/>
      <c r="H74" s="39"/>
      <c r="I74" s="64">
        <f>G74+H74*1</f>
        <v>0</v>
      </c>
      <c r="J74" s="64"/>
      <c r="K74" s="64"/>
      <c r="L74" s="39"/>
      <c r="M74" s="39"/>
      <c r="N74" s="523">
        <f>L74+M74*1</f>
        <v>0</v>
      </c>
      <c r="O74" s="64"/>
      <c r="P74" s="64"/>
      <c r="Q74" s="39"/>
      <c r="R74" s="39"/>
      <c r="S74" s="527">
        <f>Q74+R74*1</f>
        <v>0</v>
      </c>
      <c r="T74" s="64"/>
      <c r="U74" s="64"/>
      <c r="V74" s="39"/>
      <c r="W74" s="39"/>
      <c r="X74" s="527">
        <f>V74+W74*1</f>
        <v>0</v>
      </c>
      <c r="Y74" s="64"/>
      <c r="Z74" s="64"/>
      <c r="AA74" s="39"/>
      <c r="AB74" s="39"/>
      <c r="AC74" s="527">
        <f>AA74+AB74*1</f>
        <v>0</v>
      </c>
      <c r="AD74" s="64"/>
      <c r="AE74" s="64"/>
      <c r="AF74" s="39"/>
      <c r="AG74" s="39"/>
      <c r="AH74" s="527">
        <f>AF74+AG74*1</f>
        <v>0</v>
      </c>
      <c r="AI74" s="64"/>
      <c r="AJ74" s="64"/>
      <c r="AK74" s="39"/>
      <c r="AL74" s="39"/>
      <c r="AM74" s="527">
        <f>AK74+AL74*1</f>
        <v>0</v>
      </c>
      <c r="AN74" s="64"/>
      <c r="AO74" s="64"/>
      <c r="AP74" s="39"/>
      <c r="AQ74" s="39"/>
      <c r="AR74" s="527">
        <f>AP74+AQ74*1</f>
        <v>0</v>
      </c>
      <c r="AS74" s="64"/>
      <c r="AT74" s="64"/>
      <c r="AU74" s="39"/>
      <c r="AV74" s="39"/>
      <c r="AW74" s="527">
        <f>AU74+AV74*1</f>
        <v>0</v>
      </c>
      <c r="AX74" s="64"/>
      <c r="AY74" s="64"/>
      <c r="AZ74" s="39"/>
      <c r="BA74" s="39"/>
      <c r="BB74" s="527">
        <f>AZ74+BA74*1</f>
        <v>0</v>
      </c>
      <c r="BC74" s="64"/>
      <c r="BD74" s="64"/>
      <c r="BE74" s="39"/>
      <c r="BF74" s="39"/>
      <c r="BG74" s="527">
        <f>BE74+BF74*1</f>
        <v>0</v>
      </c>
      <c r="BH74" s="64"/>
      <c r="BI74" s="64"/>
      <c r="BJ74" s="39">
        <f>G74+L74+Q74+V74+AA74+AF74+AK74+AP74+AU74</f>
        <v>0</v>
      </c>
      <c r="BK74" s="39">
        <f>H74+M74+R74+W74+AB74+AG74+AL74+AQ74+AV74</f>
        <v>0</v>
      </c>
      <c r="BL74" s="527">
        <f>BJ74+BK74*1</f>
        <v>0</v>
      </c>
      <c r="BM74" s="64"/>
      <c r="BN74" s="64"/>
      <c r="BO74" s="1"/>
      <c r="BP74" s="842"/>
      <c r="BQ74" s="842"/>
      <c r="BR74" s="1"/>
      <c r="BS74" s="1"/>
      <c r="BT74" s="1"/>
    </row>
    <row r="75" spans="1:73" s="2" customFormat="1" ht="14.4" thickBot="1">
      <c r="A75" s="5"/>
      <c r="B75" s="23" t="s">
        <v>48</v>
      </c>
      <c r="C75" s="137">
        <f>C38-C41-C50-C54</f>
        <v>9467137.2419999987</v>
      </c>
      <c r="D75" s="137">
        <f>D38-D41-D50-D54</f>
        <v>-2835661.47</v>
      </c>
      <c r="E75" s="138">
        <f>E38-E41-E50-E54</f>
        <v>7280575.811999999</v>
      </c>
      <c r="F75" s="172"/>
      <c r="G75" s="65">
        <f>G38-G41-G50-G54</f>
        <v>-217897.84000000003</v>
      </c>
      <c r="H75" s="65">
        <f>H38-H41-H50-H54</f>
        <v>-82791.98</v>
      </c>
      <c r="I75" s="138">
        <f>I38-I41-I50-I54</f>
        <v>-300689.82000000007</v>
      </c>
      <c r="J75" s="66"/>
      <c r="K75" s="66"/>
      <c r="L75" s="65">
        <f>L38-L41-L50-L54</f>
        <v>-666067.1100000001</v>
      </c>
      <c r="M75" s="65">
        <f>M38-M41-M50-M54</f>
        <v>-129527.9</v>
      </c>
      <c r="N75" s="138">
        <f>N38-N41-N50-N54</f>
        <v>-795595.00999999989</v>
      </c>
      <c r="O75" s="66"/>
      <c r="P75" s="66"/>
      <c r="Q75" s="65">
        <f>Q38-Q41-Q50-Q54</f>
        <v>708937.71400000108</v>
      </c>
      <c r="R75" s="65">
        <f>R38-R41-R50-R54</f>
        <v>-625488.9</v>
      </c>
      <c r="S75" s="138">
        <f>S38-S41-S50-S54</f>
        <v>83448.814000000726</v>
      </c>
      <c r="T75" s="66"/>
      <c r="U75" s="66"/>
      <c r="V75" s="65">
        <f>V38-V41-V50-V54</f>
        <v>3731530.0089999996</v>
      </c>
      <c r="W75" s="65">
        <f>W38-W41-W50-W54</f>
        <v>-469782.38</v>
      </c>
      <c r="X75" s="138">
        <f>X38-X41-X50-X54</f>
        <v>3261747.6290000002</v>
      </c>
      <c r="Y75" s="66"/>
      <c r="Z75" s="66"/>
      <c r="AA75" s="65">
        <f>AA38-AA41-AA50-AA54</f>
        <v>3876103.2220000005</v>
      </c>
      <c r="AB75" s="65">
        <f>AB38-AB41-AB50-AB54</f>
        <v>-961188.09</v>
      </c>
      <c r="AC75" s="138">
        <f>AC38-AC41-AC50-AC54</f>
        <v>2914915.1320000002</v>
      </c>
      <c r="AD75" s="66"/>
      <c r="AE75" s="66"/>
      <c r="AF75" s="65">
        <f>AF38-AF41-AF50-AF54</f>
        <v>396289.7680000001</v>
      </c>
      <c r="AG75" s="65">
        <f>AG38-AG41-AG50-AG54</f>
        <v>-621922.31000000006</v>
      </c>
      <c r="AH75" s="138">
        <f>AH38-AH41-AH50-AH54</f>
        <v>-225632.54199999958</v>
      </c>
      <c r="AI75" s="66"/>
      <c r="AJ75" s="66"/>
      <c r="AK75" s="65">
        <f>AK38-AK41-AK50-AK54</f>
        <v>779475.01800000004</v>
      </c>
      <c r="AL75" s="65">
        <f>AL38-AL41-AL50-AL54</f>
        <v>-228276.05</v>
      </c>
      <c r="AM75" s="138">
        <f>AM38-AM41-AM50-AM54</f>
        <v>551198.96799999999</v>
      </c>
      <c r="AN75" s="66"/>
      <c r="AO75" s="66"/>
      <c r="AP75" s="65">
        <f>AP38-AP41-AP50-AP54</f>
        <v>-176350.63</v>
      </c>
      <c r="AQ75" s="65">
        <f>AQ38-AQ41-AQ50-AQ54</f>
        <v>-73258.335749999998</v>
      </c>
      <c r="AR75" s="138">
        <f>AR38-AR41-AR50-AR54</f>
        <v>-249608.96574999997</v>
      </c>
      <c r="AS75" s="66"/>
      <c r="AT75" s="66"/>
      <c r="AU75" s="65">
        <f>AU38-AU41-AU50-AU54</f>
        <v>1035084.1140000002</v>
      </c>
      <c r="AV75" s="65">
        <f>AV38-AV41-AV50-AV54</f>
        <v>-207008.77</v>
      </c>
      <c r="AW75" s="138">
        <f>AW38-AW41-AW50-AW54</f>
        <v>828075.34400000016</v>
      </c>
      <c r="AX75" s="66"/>
      <c r="AY75" s="66"/>
      <c r="AZ75" s="65">
        <f>AZ38-AZ41-AZ50-AZ54</f>
        <v>-156349.80500000008</v>
      </c>
      <c r="BA75" s="65">
        <f>BA38-BA41-BA50-BA54</f>
        <v>-267645.94424999959</v>
      </c>
      <c r="BB75" s="138">
        <f>BB38-BB41-BB50-BB54</f>
        <v>-423995.74924999964</v>
      </c>
      <c r="BC75" s="66"/>
      <c r="BD75" s="66"/>
      <c r="BE75" s="65">
        <f>BE38-BE41-BE50-BE54</f>
        <v>-528</v>
      </c>
      <c r="BF75" s="65">
        <f>BF38-BF41-BF50-BF54</f>
        <v>-28000</v>
      </c>
      <c r="BG75" s="138">
        <f>BG38-BG41-BG50-BG54</f>
        <v>-28528</v>
      </c>
      <c r="BH75" s="66"/>
      <c r="BI75" s="66"/>
      <c r="BJ75" s="65">
        <f>BJ38-BJ41-BJ50-BJ54</f>
        <v>9310226.459999999</v>
      </c>
      <c r="BK75" s="65">
        <f>BK38-BK41-BK50-BK54</f>
        <v>-3694890.66</v>
      </c>
      <c r="BL75" s="138">
        <f>BL38-BL41-BL50-BL54</f>
        <v>5615335.8000000007</v>
      </c>
      <c r="BM75" s="66"/>
      <c r="BN75" s="66"/>
      <c r="BO75" s="1"/>
      <c r="BP75" s="842"/>
      <c r="BQ75" s="842"/>
      <c r="BR75" s="1"/>
      <c r="BS75" s="1"/>
      <c r="BT75" s="1"/>
    </row>
    <row r="76" spans="1:73" s="2" customFormat="1" ht="13.8">
      <c r="A76" s="294"/>
      <c r="B76" s="36" t="s">
        <v>49</v>
      </c>
      <c r="C76" s="157">
        <f>C75/C5</f>
        <v>0.36564362510527498</v>
      </c>
      <c r="D76" s="157" t="e">
        <f>D75/D5</f>
        <v>#DIV/0!</v>
      </c>
      <c r="E76" s="158">
        <f>E75/E5</f>
        <v>0.28119336022122293</v>
      </c>
      <c r="F76" s="167"/>
      <c r="G76" s="54" t="e">
        <f>G75/G5</f>
        <v>#DIV/0!</v>
      </c>
      <c r="H76" s="54" t="e">
        <f>H75/H5</f>
        <v>#DIV/0!</v>
      </c>
      <c r="I76" s="55" t="e">
        <f>I75/I5</f>
        <v>#DIV/0!</v>
      </c>
      <c r="J76" s="55"/>
      <c r="K76" s="55"/>
      <c r="L76" s="54">
        <f>L75/L5</f>
        <v>-1.635994476102961</v>
      </c>
      <c r="M76" s="54" t="e">
        <f>M75/M5</f>
        <v>#DIV/0!</v>
      </c>
      <c r="N76" s="55">
        <f>N75/N5</f>
        <v>-1.9541409897496358</v>
      </c>
      <c r="O76" s="55"/>
      <c r="P76" s="55"/>
      <c r="Q76" s="54">
        <f>Q75/Q5</f>
        <v>0.10084403718511482</v>
      </c>
      <c r="R76" s="54" t="e">
        <f>R75/R5</f>
        <v>#DIV/0!</v>
      </c>
      <c r="S76" s="55">
        <f>S75/S5</f>
        <v>1.1870316864070501E-2</v>
      </c>
      <c r="T76" s="55"/>
      <c r="U76" s="55"/>
      <c r="V76" s="54">
        <f>V75/V5</f>
        <v>0.65878668481265268</v>
      </c>
      <c r="W76" s="54" t="e">
        <f>W75/W5</f>
        <v>#DIV/0!</v>
      </c>
      <c r="X76" s="55">
        <f>X75/X5</f>
        <v>0.57584848628358987</v>
      </c>
      <c r="Y76" s="55"/>
      <c r="Z76" s="55"/>
      <c r="AA76" s="54">
        <f>AA75/AA5</f>
        <v>0.68872796107893697</v>
      </c>
      <c r="AB76" s="54" t="e">
        <f>AB75/AB5</f>
        <v>#DIV/0!</v>
      </c>
      <c r="AC76" s="55">
        <f>AC75/AC5</f>
        <v>0.51793862046445271</v>
      </c>
      <c r="AD76" s="55"/>
      <c r="AE76" s="55"/>
      <c r="AF76" s="54">
        <f>AF75/AF5</f>
        <v>9.0512983714713294E-2</v>
      </c>
      <c r="AG76" s="54" t="e">
        <f>AG75/AG5</f>
        <v>#DIV/0!</v>
      </c>
      <c r="AH76" s="55">
        <f>AH75/AH5</f>
        <v>-5.153470073836304E-2</v>
      </c>
      <c r="AI76" s="55"/>
      <c r="AJ76" s="55"/>
      <c r="AK76" s="54">
        <f>AK75/AK5</f>
        <v>0.52496757657272974</v>
      </c>
      <c r="AL76" s="54" t="e">
        <f>AL75/AL5</f>
        <v>#DIV/0!</v>
      </c>
      <c r="AM76" s="55">
        <f>AM75/AM5</f>
        <v>0.37122624812633775</v>
      </c>
      <c r="AN76" s="55"/>
      <c r="AO76" s="55"/>
      <c r="AP76" s="54" t="e">
        <f>AP75/AP5</f>
        <v>#DIV/0!</v>
      </c>
      <c r="AQ76" s="54" t="e">
        <f>AQ75/AQ5</f>
        <v>#DIV/0!</v>
      </c>
      <c r="AR76" s="55" t="e">
        <f>AR75/AR5</f>
        <v>#DIV/0!</v>
      </c>
      <c r="AS76" s="55"/>
      <c r="AT76" s="55"/>
      <c r="AU76" s="54">
        <f>AU75/AU5</f>
        <v>0.59302260584044741</v>
      </c>
      <c r="AV76" s="54" t="e">
        <f>AV75/AV5</f>
        <v>#DIV/0!</v>
      </c>
      <c r="AW76" s="55">
        <f>AW75/AW5</f>
        <v>0.47442269829976824</v>
      </c>
      <c r="AX76" s="55"/>
      <c r="AY76" s="55"/>
      <c r="AZ76" s="54" t="e">
        <f>AZ75/AZ5</f>
        <v>#DIV/0!</v>
      </c>
      <c r="BA76" s="54" t="e">
        <f>BA75/BA5</f>
        <v>#DIV/0!</v>
      </c>
      <c r="BB76" s="55" t="e">
        <f>BB75/BB5</f>
        <v>#DIV/0!</v>
      </c>
      <c r="BC76" s="55"/>
      <c r="BD76" s="55"/>
      <c r="BE76" s="54" t="e">
        <f>BE75/BE5</f>
        <v>#DIV/0!</v>
      </c>
      <c r="BF76" s="54" t="e">
        <f>BF75/BF5</f>
        <v>#DIV/0!</v>
      </c>
      <c r="BG76" s="55" t="e">
        <f>BG75/BG5</f>
        <v>#DIV/0!</v>
      </c>
      <c r="BH76" s="55"/>
      <c r="BI76" s="55"/>
      <c r="BJ76" s="54">
        <f>BJ75/BJ5</f>
        <v>0.35349234712828415</v>
      </c>
      <c r="BK76" s="54" t="e">
        <f>BK75/BK5</f>
        <v>#DIV/0!</v>
      </c>
      <c r="BL76" s="55">
        <f>BL75/BL5</f>
        <v>0.21320407622560469</v>
      </c>
      <c r="BM76" s="55"/>
      <c r="BN76" s="55"/>
      <c r="BO76" s="1"/>
      <c r="BP76" s="842"/>
      <c r="BQ76" s="842"/>
      <c r="BR76" s="1"/>
      <c r="BS76" s="1"/>
      <c r="BT76" s="1"/>
    </row>
    <row r="77" spans="1:73" s="2" customFormat="1" ht="14.4" thickBot="1">
      <c r="A77" s="294"/>
      <c r="B77" s="27" t="s">
        <v>9</v>
      </c>
      <c r="C77" s="139">
        <f>C78-C79</f>
        <v>-368183</v>
      </c>
      <c r="D77" s="139">
        <f>D78-D79</f>
        <v>0</v>
      </c>
      <c r="E77" s="140">
        <f>E78-E79</f>
        <v>-368183</v>
      </c>
      <c r="F77" s="173"/>
      <c r="G77" s="139">
        <f>G78-G79</f>
        <v>0</v>
      </c>
      <c r="H77" s="139">
        <f>H78-H79</f>
        <v>0</v>
      </c>
      <c r="I77" s="140">
        <f>I78-I79</f>
        <v>-12371.215402298851</v>
      </c>
      <c r="J77" s="67"/>
      <c r="K77" s="67"/>
      <c r="L77" s="139">
        <f>L78-L79</f>
        <v>0</v>
      </c>
      <c r="M77" s="139">
        <f>M78-M79</f>
        <v>0</v>
      </c>
      <c r="N77" s="140">
        <f>N78-N79</f>
        <v>-19354.743678160918</v>
      </c>
      <c r="O77" s="67"/>
      <c r="P77" s="67"/>
      <c r="Q77" s="139">
        <f>Q78-Q79</f>
        <v>0</v>
      </c>
      <c r="R77" s="139">
        <f>R78-R79</f>
        <v>0</v>
      </c>
      <c r="S77" s="140">
        <f>S78-S79</f>
        <v>-93463.858620689673</v>
      </c>
      <c r="T77" s="67"/>
      <c r="U77" s="67"/>
      <c r="V77" s="139">
        <f>V78-V79</f>
        <v>0</v>
      </c>
      <c r="W77" s="139">
        <f>W78-W79</f>
        <v>0</v>
      </c>
      <c r="X77" s="140">
        <f>X78-X79</f>
        <v>-58030.064042497295</v>
      </c>
      <c r="Y77" s="67"/>
      <c r="Z77" s="67"/>
      <c r="AA77" s="139">
        <f>AA78-AA79</f>
        <v>0</v>
      </c>
      <c r="AB77" s="139">
        <f>AB78-AB79</f>
        <v>0</v>
      </c>
      <c r="AC77" s="140">
        <f>AC78-AC79</f>
        <v>-139209.24608200343</v>
      </c>
      <c r="AD77" s="67"/>
      <c r="AE77" s="67"/>
      <c r="AF77" s="139">
        <f>AF78-AF79</f>
        <v>0</v>
      </c>
      <c r="AG77" s="139">
        <f>AG78-AG79</f>
        <v>0</v>
      </c>
      <c r="AH77" s="140" t="e">
        <f>AH78-AH79</f>
        <v>#DIV/0!</v>
      </c>
      <c r="AI77" s="67"/>
      <c r="AJ77" s="67"/>
      <c r="AK77" s="139">
        <f>AK78-AK79</f>
        <v>0</v>
      </c>
      <c r="AL77" s="139">
        <f>AL78-AL79</f>
        <v>0</v>
      </c>
      <c r="AM77" s="140" t="e">
        <f>AM78-AM79</f>
        <v>#DIV/0!</v>
      </c>
      <c r="AN77" s="67"/>
      <c r="AO77" s="67"/>
      <c r="AP77" s="139">
        <f>AP78-AP79</f>
        <v>0</v>
      </c>
      <c r="AQ77" s="139">
        <f>AQ78-AQ79</f>
        <v>0</v>
      </c>
      <c r="AR77" s="140">
        <f>AR78-AR79</f>
        <v>-9519.4447584745776</v>
      </c>
      <c r="AS77" s="67"/>
      <c r="AT77" s="67"/>
      <c r="AU77" s="139">
        <f>AU78-AU79</f>
        <v>0</v>
      </c>
      <c r="AV77" s="139">
        <f>AV78-AV79</f>
        <v>0</v>
      </c>
      <c r="AW77" s="140" t="e">
        <f>AW78-AW79</f>
        <v>#DIV/0!</v>
      </c>
      <c r="AX77" s="67"/>
      <c r="AY77" s="67"/>
      <c r="AZ77" s="139">
        <f>AZ78-AZ79</f>
        <v>0</v>
      </c>
      <c r="BA77" s="139">
        <f>BA78-BA79</f>
        <v>0</v>
      </c>
      <c r="BB77" s="140">
        <f>BB78-BB79</f>
        <v>-73015.206171076643</v>
      </c>
      <c r="BC77" s="67"/>
      <c r="BD77" s="67"/>
      <c r="BE77" s="139">
        <f>BE78-BE79</f>
        <v>0</v>
      </c>
      <c r="BF77" s="139">
        <f>BF78-BF79</f>
        <v>0</v>
      </c>
      <c r="BG77" s="140">
        <f>BG78-BG79</f>
        <v>-37647.116932163823</v>
      </c>
      <c r="BH77" s="935">
        <f>BG77/$BG$89</f>
        <v>-0.10001766653365857</v>
      </c>
      <c r="BI77" s="67"/>
      <c r="BJ77" s="139">
        <f>BJ78-BJ79</f>
        <v>0</v>
      </c>
      <c r="BK77" s="139">
        <f>BK78-BK79</f>
        <v>0</v>
      </c>
      <c r="BL77" s="140" t="e">
        <f>BL78-BL79</f>
        <v>#DIV/0!</v>
      </c>
      <c r="BM77" s="67"/>
      <c r="BN77" s="67"/>
      <c r="BO77" s="1"/>
      <c r="BP77" s="842"/>
      <c r="BQ77" s="842"/>
      <c r="BR77" s="1"/>
      <c r="BS77" s="1"/>
      <c r="BT77" s="1"/>
    </row>
    <row r="78" spans="1:73" s="2" customFormat="1" ht="13.8">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178">
        <f>S78/$S$89</f>
        <v>0</v>
      </c>
      <c r="U78" s="68"/>
      <c r="V78" s="39"/>
      <c r="W78" s="39"/>
      <c r="X78" s="68">
        <f>V78+W78*1.15</f>
        <v>0</v>
      </c>
      <c r="Y78" s="178">
        <f>X78/$X$89</f>
        <v>0</v>
      </c>
      <c r="Z78" s="68"/>
      <c r="AA78" s="39"/>
      <c r="AB78" s="39"/>
      <c r="AC78" s="68">
        <f>AA78+AB78*1.15</f>
        <v>0</v>
      </c>
      <c r="AD78" s="541">
        <f>AC78/$AC$89</f>
        <v>0</v>
      </c>
      <c r="AE78" s="68"/>
      <c r="AF78" s="39"/>
      <c r="AG78" s="39"/>
      <c r="AH78" s="68">
        <f>AF78+AG78*1.15</f>
        <v>0</v>
      </c>
      <c r="AI78" s="541" t="e">
        <f>AH78/$AH$89</f>
        <v>#DIV/0!</v>
      </c>
      <c r="AJ78" s="68"/>
      <c r="AK78" s="39"/>
      <c r="AL78" s="39"/>
      <c r="AM78" s="68">
        <f>AK78+AL78*1.15</f>
        <v>0</v>
      </c>
      <c r="AN78" s="541" t="e">
        <f>AM78/$AM$89</f>
        <v>#DIV/0!</v>
      </c>
      <c r="AO78" s="68"/>
      <c r="AP78" s="39"/>
      <c r="AQ78" s="39"/>
      <c r="AR78" s="68">
        <f>AP78+AQ78*1.15</f>
        <v>0</v>
      </c>
      <c r="AS78" s="541">
        <f>AR78/$AR$89</f>
        <v>0</v>
      </c>
      <c r="AT78" s="68"/>
      <c r="AU78" s="39"/>
      <c r="AV78" s="39"/>
      <c r="AW78" s="68">
        <f>AU78+AV78*1.15</f>
        <v>0</v>
      </c>
      <c r="AX78" s="541" t="e">
        <f>AW78/$AW$89</f>
        <v>#DIV/0!</v>
      </c>
      <c r="AY78" s="68"/>
      <c r="AZ78" s="39"/>
      <c r="BA78" s="39"/>
      <c r="BB78" s="68">
        <f>AZ78+BA78*1.15</f>
        <v>0</v>
      </c>
      <c r="BC78" s="541" t="e">
        <f>BB78/$AW$89</f>
        <v>#DIV/0!</v>
      </c>
      <c r="BD78" s="68"/>
      <c r="BE78" s="39"/>
      <c r="BF78" s="39"/>
      <c r="BG78" s="68">
        <f>BE78+BF78*1.15</f>
        <v>0</v>
      </c>
      <c r="BH78" s="541">
        <f>BG78/$BG$89</f>
        <v>0</v>
      </c>
      <c r="BI78" s="68"/>
      <c r="BJ78" s="39">
        <f>G78+L78+Q78+V78+AA78+AF78+AK78+AP78+AU78+AZ78+BE78</f>
        <v>0</v>
      </c>
      <c r="BK78" s="39">
        <f>H78+M78+R78+W78+AB78+AG78+AL78+AQ78+AV78+BA78+BF78</f>
        <v>0</v>
      </c>
      <c r="BL78" s="68">
        <f>BJ78+BK78*1.15</f>
        <v>0</v>
      </c>
      <c r="BM78" s="68"/>
      <c r="BN78" s="68"/>
      <c r="BO78" s="1"/>
      <c r="BP78" s="842"/>
      <c r="BQ78" s="842"/>
      <c r="BR78" s="1"/>
      <c r="BS78" s="1"/>
      <c r="BT78" s="1"/>
    </row>
    <row r="79" spans="1:73" s="2" customFormat="1" ht="13.8">
      <c r="A79" s="11"/>
      <c r="B79" s="24" t="s">
        <v>79</v>
      </c>
      <c r="C79" s="113">
        <v>368183</v>
      </c>
      <c r="D79" s="119"/>
      <c r="E79" s="119">
        <f>C79+D79*1.15</f>
        <v>368183</v>
      </c>
      <c r="F79" s="180">
        <f>E79/$E$89</f>
        <v>1.8636454768611026E-2</v>
      </c>
      <c r="G79" s="39"/>
      <c r="H79" s="39"/>
      <c r="I79" s="106">
        <f>(H8+H41+H50+H54)/(1-'расчет 2024'!E6)*'расчет 2024'!E6</f>
        <v>12371.215402298851</v>
      </c>
      <c r="J79" s="45"/>
      <c r="K79" s="45"/>
      <c r="L79" s="39"/>
      <c r="M79" s="39"/>
      <c r="N79" s="106">
        <f>(M8+M41+M50+M54)/(1-'расчет 2024'!E4)*'расчет 2024'!E4</f>
        <v>19354.743678160918</v>
      </c>
      <c r="O79" s="45"/>
      <c r="P79" s="45"/>
      <c r="Q79" s="39"/>
      <c r="R79" s="39"/>
      <c r="S79" s="106">
        <f>(R8+R41+R50+R54)/(1-'расчет 2024'!E6)*'расчет 2024'!E6</f>
        <v>93463.858620689673</v>
      </c>
      <c r="T79" s="178">
        <f>S79/$S$89</f>
        <v>1.3276010630288331E-2</v>
      </c>
      <c r="U79" s="45"/>
      <c r="V79" s="39"/>
      <c r="W79" s="39"/>
      <c r="X79" s="106">
        <f>(W8+W41+W50+W54)/(1-'расчет 2024'!E7)*'расчет 2024'!E7</f>
        <v>58030.064042497295</v>
      </c>
      <c r="Y79" s="178">
        <f>X79/$X$89</f>
        <v>2.358438834517998E-2</v>
      </c>
      <c r="Z79" s="45"/>
      <c r="AA79" s="39"/>
      <c r="AB79" s="39"/>
      <c r="AC79" s="106">
        <f>(AB8+AB41+AB50+AB54)/(1-'расчет 2024'!E8)*'расчет 2024'!E8</f>
        <v>139209.24608200343</v>
      </c>
      <c r="AD79" s="541">
        <f>AC79/$AC$89</f>
        <v>4.8807497591252649E-2</v>
      </c>
      <c r="AE79" s="45"/>
      <c r="AF79" s="39"/>
      <c r="AG79" s="39"/>
      <c r="AH79" s="106" t="e">
        <f>(AG8+AG41+AG50+AG54)/(1-'расчет 2024'!E9)*'расчет 2024'!E9</f>
        <v>#DIV/0!</v>
      </c>
      <c r="AI79" s="541" t="e">
        <f>AH79/$AH$89</f>
        <v>#DIV/0!</v>
      </c>
      <c r="AJ79" s="45"/>
      <c r="AK79" s="39"/>
      <c r="AL79" s="39"/>
      <c r="AM79" s="106" t="e">
        <f>(AL8+AL41+AL50+AL54)/(1-'расчет 2024'!E10)*'расчет 2024'!E10</f>
        <v>#DIV/0!</v>
      </c>
      <c r="AN79" s="541" t="e">
        <f>AM79/$AM$89</f>
        <v>#DIV/0!</v>
      </c>
      <c r="AO79" s="45"/>
      <c r="AP79" s="39"/>
      <c r="AQ79" s="39"/>
      <c r="AR79" s="106">
        <f>(AQ8+AQ41+AQ50+AQ54)/(1-'расчет 2024'!E11)*'расчет 2024'!E11</f>
        <v>9519.4447584745776</v>
      </c>
      <c r="AS79" s="541">
        <f>AR79/$AR$89</f>
        <v>3.673639930023518E-2</v>
      </c>
      <c r="AT79" s="45"/>
      <c r="AU79" s="39"/>
      <c r="AV79" s="39"/>
      <c r="AW79" s="106" t="e">
        <f>(AV8+AV41+AV50+AV54)/(1-'расчет 2024'!E12)*'расчет 2024'!E12</f>
        <v>#DIV/0!</v>
      </c>
      <c r="AX79" s="541" t="e">
        <f>AW79/$AW$89</f>
        <v>#DIV/0!</v>
      </c>
      <c r="AY79" s="45"/>
      <c r="AZ79" s="39"/>
      <c r="BA79" s="39"/>
      <c r="BB79" s="106">
        <f>(BA8+BA41+BA50+BA54)/(1-'расчет 2024'!E14)*'расчет 2024'!E14+36951.54</f>
        <v>73015.206171076643</v>
      </c>
      <c r="BC79" s="541" t="e">
        <f>BB79/$AW$89</f>
        <v>#DIV/0!</v>
      </c>
      <c r="BD79" s="45"/>
      <c r="BE79" s="39"/>
      <c r="BF79" s="39"/>
      <c r="BG79" s="106">
        <f>(BF8+BF41+BF50+BF54+BF85)/(1-'расчет 2024'!E18)*'расчет 2024'!E18+BF79</f>
        <v>37647.116932163823</v>
      </c>
      <c r="BH79" s="541">
        <f>BG79/$BG$89</f>
        <v>0.10001766653365857</v>
      </c>
      <c r="BI79" s="45"/>
      <c r="BJ79" s="39">
        <f>G79+L79+Q79+V79+AA79+AF79+AK79+AP79+AU79+AZ79+BE79</f>
        <v>0</v>
      </c>
      <c r="BK79" s="39">
        <f>H79+M79+R79+W79+AB79+AG79+AL79+AQ79+AV79+BA79+BF79</f>
        <v>0</v>
      </c>
      <c r="BL79" s="106" t="e">
        <f>I79+N79+S79+X79+AC79+AH79+AM79+AR79+AW79+BB79+BG79</f>
        <v>#DIV/0!</v>
      </c>
      <c r="BM79" s="45"/>
      <c r="BN79" s="45"/>
      <c r="BO79" s="1"/>
      <c r="BP79" s="842"/>
      <c r="BQ79" s="842"/>
      <c r="BR79" s="1"/>
      <c r="BS79" s="1"/>
      <c r="BT79" s="1"/>
      <c r="BU79" s="842"/>
    </row>
    <row r="80" spans="1:73" ht="13.8">
      <c r="A80" s="3"/>
      <c r="B80" s="25"/>
      <c r="C80" s="143"/>
      <c r="D80" s="144"/>
      <c r="E80" s="145"/>
      <c r="F80" s="187"/>
      <c r="G80" s="39"/>
      <c r="H80" s="39"/>
      <c r="I80" s="69"/>
      <c r="J80" s="69"/>
      <c r="K80" s="69"/>
      <c r="L80" s="39"/>
      <c r="M80" s="39"/>
      <c r="N80" s="69"/>
      <c r="O80" s="69"/>
      <c r="P80" s="69"/>
      <c r="Q80" s="39"/>
      <c r="R80" s="39"/>
      <c r="S80" s="69"/>
      <c r="T80" s="178">
        <f>S80/$S$89</f>
        <v>0</v>
      </c>
      <c r="U80" s="69"/>
      <c r="V80" s="39"/>
      <c r="W80" s="39"/>
      <c r="X80" s="69"/>
      <c r="Y80" s="178"/>
      <c r="Z80" s="69"/>
      <c r="AA80" s="39"/>
      <c r="AB80" s="39"/>
      <c r="AC80" s="69"/>
      <c r="AD80" s="178"/>
      <c r="AE80" s="69"/>
      <c r="AF80" s="39"/>
      <c r="AG80" s="39"/>
      <c r="AH80" s="69"/>
      <c r="AI80" s="178"/>
      <c r="AJ80" s="69"/>
      <c r="AK80" s="39"/>
      <c r="AL80" s="39"/>
      <c r="AM80" s="69"/>
      <c r="AN80" s="178"/>
      <c r="AO80" s="69"/>
      <c r="AP80" s="39"/>
      <c r="AQ80" s="39"/>
      <c r="AR80" s="69"/>
      <c r="AS80" s="178"/>
      <c r="AT80" s="69"/>
      <c r="AU80" s="39"/>
      <c r="AV80" s="39"/>
      <c r="AW80" s="69"/>
      <c r="AX80" s="178"/>
      <c r="AY80" s="69"/>
      <c r="AZ80" s="39"/>
      <c r="BA80" s="39"/>
      <c r="BB80" s="69"/>
      <c r="BC80" s="178"/>
      <c r="BD80" s="69"/>
      <c r="BE80" s="39"/>
      <c r="BF80" s="39"/>
      <c r="BG80" s="69"/>
      <c r="BH80" s="178"/>
      <c r="BI80" s="69"/>
      <c r="BJ80" s="39"/>
      <c r="BK80" s="39"/>
      <c r="BL80" s="69"/>
      <c r="BM80" s="69"/>
      <c r="BN80" s="69"/>
      <c r="BP80" s="842"/>
      <c r="BQ80" s="842"/>
    </row>
    <row r="81" spans="1:72" s="2" customFormat="1" ht="14.4" thickBot="1">
      <c r="A81" s="26"/>
      <c r="B81" s="27" t="s">
        <v>12</v>
      </c>
      <c r="C81" s="139">
        <f>(C75+C78)-C79</f>
        <v>9098954.2419999987</v>
      </c>
      <c r="D81" s="139">
        <f>(D75+D78)-D79</f>
        <v>-2835661.47</v>
      </c>
      <c r="E81" s="140">
        <f>C81+D81</f>
        <v>6263292.771999998</v>
      </c>
      <c r="F81" s="173"/>
      <c r="G81" s="139">
        <f>(G75+G78)-G79</f>
        <v>-217897.84000000003</v>
      </c>
      <c r="H81" s="139">
        <f>(H75+H78)-H79</f>
        <v>-82791.98</v>
      </c>
      <c r="I81" s="140">
        <f>(I75+I78)-I79</f>
        <v>-313061.0354022989</v>
      </c>
      <c r="J81" s="67"/>
      <c r="K81" s="67"/>
      <c r="L81" s="139">
        <f>(L75+L78)-L79</f>
        <v>-666067.1100000001</v>
      </c>
      <c r="M81" s="139">
        <f>(M75+M78)-M79</f>
        <v>-129527.9</v>
      </c>
      <c r="N81" s="140">
        <f>(N75+N78)-N79</f>
        <v>-814949.75367816084</v>
      </c>
      <c r="O81" s="67"/>
      <c r="P81" s="67"/>
      <c r="Q81" s="139">
        <f>(Q75+Q78)-Q79</f>
        <v>708937.71400000108</v>
      </c>
      <c r="R81" s="139">
        <f>(R75+R78)-R79</f>
        <v>-625488.9</v>
      </c>
      <c r="S81" s="140">
        <f>(S75+S78)-S79</f>
        <v>-10015.044620688946</v>
      </c>
      <c r="T81" s="67"/>
      <c r="U81" s="67"/>
      <c r="V81" s="139">
        <f>(V75+V78)-V79</f>
        <v>3731530.0089999996</v>
      </c>
      <c r="W81" s="139">
        <f>(W75+W78)-W79</f>
        <v>-469782.38</v>
      </c>
      <c r="X81" s="140">
        <f>(X75+X78)-X79</f>
        <v>3203717.5649575028</v>
      </c>
      <c r="Y81" s="67"/>
      <c r="Z81" s="67"/>
      <c r="AA81" s="139">
        <f>(AA75+AA78)-AA79</f>
        <v>3876103.2220000005</v>
      </c>
      <c r="AB81" s="139">
        <f>(AB75+AB78)-AB79</f>
        <v>-961188.09</v>
      </c>
      <c r="AC81" s="140">
        <f>(AC75+AC78)-AC79</f>
        <v>2775705.885917997</v>
      </c>
      <c r="AD81" s="67"/>
      <c r="AE81" s="67"/>
      <c r="AF81" s="139">
        <f>(AF75+AF78)-AF79</f>
        <v>396289.7680000001</v>
      </c>
      <c r="AG81" s="139">
        <f>(AG75+AG78)-AG79</f>
        <v>-621922.31000000006</v>
      </c>
      <c r="AH81" s="140" t="e">
        <f>(AH75+AH78)-AH79</f>
        <v>#DIV/0!</v>
      </c>
      <c r="AI81" s="67"/>
      <c r="AJ81" s="67"/>
      <c r="AK81" s="139">
        <f>(AK75+AK78)-AK79</f>
        <v>779475.01800000004</v>
      </c>
      <c r="AL81" s="139">
        <f>(AL75+AL78)-AL79</f>
        <v>-228276.05</v>
      </c>
      <c r="AM81" s="140" t="e">
        <f>(AM75+AM78)-AM79</f>
        <v>#DIV/0!</v>
      </c>
      <c r="AN81" s="67"/>
      <c r="AO81" s="67"/>
      <c r="AP81" s="139">
        <f>(AP75+AP78)-AP79</f>
        <v>-176350.63</v>
      </c>
      <c r="AQ81" s="139">
        <f>(AQ75+AQ78)-AQ79</f>
        <v>-73258.335749999998</v>
      </c>
      <c r="AR81" s="140">
        <f>(AR75+AR78)-AR79</f>
        <v>-259128.41050847454</v>
      </c>
      <c r="AS81" s="67"/>
      <c r="AT81" s="67"/>
      <c r="AU81" s="139">
        <f>(AU75+AU78)-AU79</f>
        <v>1035084.1140000002</v>
      </c>
      <c r="AV81" s="139">
        <f>(AV75+AV78)-AV79</f>
        <v>-207008.77</v>
      </c>
      <c r="AW81" s="140" t="e">
        <f>(AW75+AW78)-AW79</f>
        <v>#DIV/0!</v>
      </c>
      <c r="AX81" s="67"/>
      <c r="AY81" s="67"/>
      <c r="AZ81" s="139">
        <f>(AZ75+AZ78)-AZ79</f>
        <v>-156349.80500000008</v>
      </c>
      <c r="BA81" s="139">
        <f>(BA75+BA78)-BA79</f>
        <v>-267645.94424999959</v>
      </c>
      <c r="BB81" s="140">
        <f>(BB75+BB78)-BB79</f>
        <v>-497010.95542107627</v>
      </c>
      <c r="BC81" s="67"/>
      <c r="BD81" s="67"/>
      <c r="BE81" s="139">
        <f>(BE75+BE78)-BE79</f>
        <v>-528</v>
      </c>
      <c r="BF81" s="139">
        <f>(BF75+BF78)-BF79</f>
        <v>-28000</v>
      </c>
      <c r="BG81" s="140">
        <f>(BG75+BG78)-BG79</f>
        <v>-66175.11693216383</v>
      </c>
      <c r="BH81" s="67"/>
      <c r="BI81" s="67"/>
      <c r="BJ81" s="139">
        <f>(BJ75+BJ78)-BJ79</f>
        <v>9310226.459999999</v>
      </c>
      <c r="BK81" s="139">
        <f>(BK75+BK78)-BK79</f>
        <v>-3694890.66</v>
      </c>
      <c r="BL81" s="140" t="e">
        <f>(BL75+BL78)-BL79</f>
        <v>#DIV/0!</v>
      </c>
      <c r="BM81" s="67"/>
      <c r="BN81" s="67"/>
      <c r="BO81" s="1"/>
      <c r="BP81" s="842"/>
      <c r="BQ81" s="842"/>
      <c r="BR81" s="1"/>
      <c r="BS81" s="1"/>
      <c r="BT81" s="1"/>
    </row>
    <row r="82" spans="1:72" s="2" customFormat="1" ht="13.8">
      <c r="A82" s="293"/>
      <c r="B82" s="6" t="s">
        <v>38</v>
      </c>
      <c r="C82" s="141"/>
      <c r="D82" s="142"/>
      <c r="E82" s="146">
        <f>C82+D82</f>
        <v>0</v>
      </c>
      <c r="F82" s="180">
        <f>E82/$E$89</f>
        <v>0</v>
      </c>
      <c r="G82" s="39"/>
      <c r="H82" s="39"/>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39"/>
      <c r="AV82" s="39"/>
      <c r="AW82" s="146">
        <f>AU82+AV82</f>
        <v>0</v>
      </c>
      <c r="AX82" s="101"/>
      <c r="AY82" s="101"/>
      <c r="AZ82" s="39"/>
      <c r="BA82" s="39"/>
      <c r="BB82" s="146">
        <f>AZ82+BA82</f>
        <v>0</v>
      </c>
      <c r="BC82" s="101"/>
      <c r="BD82" s="101"/>
      <c r="BE82" s="39"/>
      <c r="BF82" s="39"/>
      <c r="BG82" s="146">
        <f>BE82+BF82</f>
        <v>0</v>
      </c>
      <c r="BH82" s="101"/>
      <c r="BI82" s="101"/>
      <c r="BJ82" s="39">
        <f>G82+L82+Q82+V82+AA82+AF82+AK82+AP82+AU82+AZ82+BE82</f>
        <v>0</v>
      </c>
      <c r="BK82" s="39">
        <f>H82+M82+R82+W82+AB82+AG82+AL82+AQ82+AV82+BA82+BF82</f>
        <v>0</v>
      </c>
      <c r="BL82" s="146">
        <f>BJ82+BK82</f>
        <v>0</v>
      </c>
      <c r="BM82" s="101"/>
      <c r="BN82" s="101"/>
      <c r="BO82" s="1"/>
      <c r="BP82" s="842"/>
      <c r="BQ82" s="842"/>
      <c r="BR82" s="1"/>
      <c r="BS82" s="1"/>
      <c r="BT82" s="1"/>
    </row>
    <row r="83" spans="1:72" s="2" customFormat="1" ht="13.8">
      <c r="A83" s="11"/>
      <c r="B83" s="28" t="s">
        <v>13</v>
      </c>
      <c r="C83" s="147">
        <f>(C81+C7)-C36</f>
        <v>9098954.2419999987</v>
      </c>
      <c r="D83" s="147">
        <f>(D81+D7)-D36</f>
        <v>-2835661.47</v>
      </c>
      <c r="E83" s="147">
        <f>(E81+E7)-E36</f>
        <v>6263292.771999998</v>
      </c>
      <c r="F83" s="174"/>
      <c r="G83" s="147">
        <f>(G81+G7)-G36</f>
        <v>-217897.84000000003</v>
      </c>
      <c r="H83" s="147">
        <f>(H81+H7)-H36</f>
        <v>-82791.98</v>
      </c>
      <c r="I83" s="148">
        <f>(I81+I7)-I36</f>
        <v>-313061.0354022989</v>
      </c>
      <c r="J83" s="70"/>
      <c r="K83" s="70"/>
      <c r="L83" s="147">
        <f>(L81+L7)-L36</f>
        <v>-666067.1100000001</v>
      </c>
      <c r="M83" s="147">
        <f>(M81+M7)-M36</f>
        <v>-129527.9</v>
      </c>
      <c r="N83" s="148">
        <f>(N81+N7)-N36</f>
        <v>-814949.75367816084</v>
      </c>
      <c r="O83" s="70"/>
      <c r="P83" s="70"/>
      <c r="Q83" s="147">
        <f>(Q81+Q7)-Q36</f>
        <v>708937.71400000108</v>
      </c>
      <c r="R83" s="147">
        <f>(R81+R7)-R36</f>
        <v>-625488.9</v>
      </c>
      <c r="S83" s="148">
        <f>(S81+S7)-S36</f>
        <v>-10015.044620688946</v>
      </c>
      <c r="T83" s="70"/>
      <c r="U83" s="70"/>
      <c r="V83" s="147">
        <f>(V81+V7)-V36</f>
        <v>3731530.0089999996</v>
      </c>
      <c r="W83" s="147">
        <f>(W81+W7)-W36</f>
        <v>-469782.38</v>
      </c>
      <c r="X83" s="148">
        <f>(X81+X7)-X36</f>
        <v>3203717.5649575028</v>
      </c>
      <c r="Y83" s="70"/>
      <c r="Z83" s="70"/>
      <c r="AA83" s="147">
        <f>(AA81+AA7)-AA36</f>
        <v>3876103.2220000005</v>
      </c>
      <c r="AB83" s="147">
        <f>(AB81+AB7)-AB36</f>
        <v>-961188.09</v>
      </c>
      <c r="AC83" s="148">
        <f>(AC81+AC7)-AC36</f>
        <v>2775705.885917997</v>
      </c>
      <c r="AD83" s="70"/>
      <c r="AE83" s="70"/>
      <c r="AF83" s="147">
        <f>(AF81+AF7)-AF36</f>
        <v>396289.7680000001</v>
      </c>
      <c r="AG83" s="147">
        <f>(AG81+AG7)-AG36</f>
        <v>-621922.31000000006</v>
      </c>
      <c r="AH83" s="148" t="e">
        <f>(AH81+AH7)-AH36</f>
        <v>#DIV/0!</v>
      </c>
      <c r="AI83" s="70"/>
      <c r="AJ83" s="70"/>
      <c r="AK83" s="147">
        <f>(AK81+AK7)-AK36</f>
        <v>779475.01800000004</v>
      </c>
      <c r="AL83" s="147">
        <f>(AL81+AL7)-AL36</f>
        <v>-228276.05</v>
      </c>
      <c r="AM83" s="148" t="e">
        <f>(AM81+AM7)-AM36</f>
        <v>#DIV/0!</v>
      </c>
      <c r="AN83" s="70"/>
      <c r="AO83" s="70"/>
      <c r="AP83" s="147">
        <f>(AP81+AP7)-AP36</f>
        <v>-176350.63</v>
      </c>
      <c r="AQ83" s="147">
        <f>(AQ81+AQ7)-AQ36</f>
        <v>-73258.335749999998</v>
      </c>
      <c r="AR83" s="148">
        <f>(AR81+AR7)-AR36</f>
        <v>-259128.41050847454</v>
      </c>
      <c r="AS83" s="70"/>
      <c r="AT83" s="70"/>
      <c r="AU83" s="147">
        <f>(AU81+AU7)-AU36</f>
        <v>1035084.1140000002</v>
      </c>
      <c r="AV83" s="147">
        <f>(AV81+AV7)-AV36</f>
        <v>-207008.77</v>
      </c>
      <c r="AW83" s="148" t="e">
        <f>(AW81+AW7)-AW36</f>
        <v>#DIV/0!</v>
      </c>
      <c r="AX83" s="70"/>
      <c r="AY83" s="70"/>
      <c r="AZ83" s="147">
        <f>(AZ81+AZ7)-AZ36</f>
        <v>-156349.80500000008</v>
      </c>
      <c r="BA83" s="147">
        <f>(BA81+BA7)-BA36</f>
        <v>-267645.94424999959</v>
      </c>
      <c r="BB83" s="148">
        <f>(BB81+BB7)-BB36</f>
        <v>-497010.95542107627</v>
      </c>
      <c r="BC83" s="70"/>
      <c r="BD83" s="70"/>
      <c r="BE83" s="147">
        <f>(BE81+BE7)-BE36</f>
        <v>-528</v>
      </c>
      <c r="BF83" s="147">
        <f>(BF81+BF7)-BF36</f>
        <v>-28000</v>
      </c>
      <c r="BG83" s="148">
        <f>(BG81+BG7)-BG36</f>
        <v>-66175.11693216383</v>
      </c>
      <c r="BH83" s="70"/>
      <c r="BI83" s="70"/>
      <c r="BJ83" s="147">
        <f>(BJ81+BJ7)-BJ36</f>
        <v>9310226.459999999</v>
      </c>
      <c r="BK83" s="147">
        <f>(BK81+BK7)-BK36</f>
        <v>-3694890.66</v>
      </c>
      <c r="BL83" s="148" t="e">
        <f>(BL81+BL7)-BL36</f>
        <v>#DIV/0!</v>
      </c>
      <c r="BM83" s="70"/>
      <c r="BN83" s="70"/>
      <c r="BO83" s="1"/>
      <c r="BP83" s="842"/>
      <c r="BQ83" s="842"/>
      <c r="BR83" s="1"/>
      <c r="BS83" s="1"/>
      <c r="BT83" s="1"/>
    </row>
    <row r="84" spans="1:72" s="2" customFormat="1" ht="14.4" thickBot="1">
      <c r="A84" s="11"/>
      <c r="B84" s="211" t="s">
        <v>14</v>
      </c>
      <c r="C84" s="212">
        <f>C83-C73-C82</f>
        <v>8322203.061999999</v>
      </c>
      <c r="D84" s="212">
        <f>D83-D73-D82</f>
        <v>-2835661.47</v>
      </c>
      <c r="E84" s="212">
        <f>E83-E73-E82</f>
        <v>5486541.5919999983</v>
      </c>
      <c r="F84" s="214"/>
      <c r="G84" s="213">
        <f>G83-G73-G82</f>
        <v>-217897.84000000003</v>
      </c>
      <c r="H84" s="213">
        <f>H83-H73-H82</f>
        <v>-82791.98</v>
      </c>
      <c r="I84" s="213">
        <f>I83-I73-I82</f>
        <v>-313061.0354022989</v>
      </c>
      <c r="J84" s="82"/>
      <c r="K84" s="82"/>
      <c r="L84" s="213">
        <f>L83-L73-L82</f>
        <v>-666067.1100000001</v>
      </c>
      <c r="M84" s="213">
        <f>M83-M73-M82</f>
        <v>-129527.9</v>
      </c>
      <c r="N84" s="213">
        <f>N83-N73-N82</f>
        <v>-814949.75367816084</v>
      </c>
      <c r="O84" s="82"/>
      <c r="P84" s="82"/>
      <c r="Q84" s="213">
        <f>Q83-Q73-Q82</f>
        <v>708937.71400000108</v>
      </c>
      <c r="R84" s="213">
        <f>R83-R73-R82</f>
        <v>-625488.9</v>
      </c>
      <c r="S84" s="213">
        <f>S83-S73-S82</f>
        <v>-10015.044620688946</v>
      </c>
      <c r="T84" s="82"/>
      <c r="U84" s="82"/>
      <c r="V84" s="213">
        <f>V83-V73-V82</f>
        <v>3731530.0089999996</v>
      </c>
      <c r="W84" s="213">
        <f>W83-W73-W82</f>
        <v>-469782.38</v>
      </c>
      <c r="X84" s="213">
        <f>X83-X73-X82</f>
        <v>3203717.5649575028</v>
      </c>
      <c r="Y84" s="82"/>
      <c r="Z84" s="82"/>
      <c r="AA84" s="213">
        <f>AA83-AA73-AA82</f>
        <v>3876103.2220000005</v>
      </c>
      <c r="AB84" s="213">
        <f>AB83-AB73-AB82</f>
        <v>-961188.09</v>
      </c>
      <c r="AC84" s="213">
        <f>AC83-AC73-AC82</f>
        <v>2775705.885917997</v>
      </c>
      <c r="AD84" s="82"/>
      <c r="AE84" s="82"/>
      <c r="AF84" s="213">
        <f>AF83-AF73-AF82</f>
        <v>396289.7680000001</v>
      </c>
      <c r="AG84" s="213">
        <f>AG83-AG73-AG82</f>
        <v>-621922.31000000006</v>
      </c>
      <c r="AH84" s="213" t="e">
        <f>AH83-AH73-AH82</f>
        <v>#DIV/0!</v>
      </c>
      <c r="AI84" s="82"/>
      <c r="AJ84" s="82"/>
      <c r="AK84" s="213">
        <f>AK83-AK73-AK82</f>
        <v>779475.01800000004</v>
      </c>
      <c r="AL84" s="213">
        <f>AL83-AL73-AL82</f>
        <v>-228276.05</v>
      </c>
      <c r="AM84" s="213" t="e">
        <f>AM83-AM73-AM82</f>
        <v>#DIV/0!</v>
      </c>
      <c r="AN84" s="82"/>
      <c r="AO84" s="82"/>
      <c r="AP84" s="213">
        <f>AP83-AP73-AP82</f>
        <v>-176350.63</v>
      </c>
      <c r="AQ84" s="213">
        <f>AQ83-AQ73-AQ82</f>
        <v>-73258.335749999998</v>
      </c>
      <c r="AR84" s="213">
        <f>AR83-AR73-AR82</f>
        <v>-259128.41050847454</v>
      </c>
      <c r="AS84" s="82"/>
      <c r="AT84" s="82"/>
      <c r="AU84" s="213">
        <f>AU83-AU73-AU82</f>
        <v>1035084.1140000002</v>
      </c>
      <c r="AV84" s="213">
        <f>AV83-AV73-AV82</f>
        <v>-207008.77</v>
      </c>
      <c r="AW84" s="213" t="e">
        <f>AW83-AW73-AW82</f>
        <v>#DIV/0!</v>
      </c>
      <c r="AX84" s="82"/>
      <c r="AY84" s="82"/>
      <c r="AZ84" s="213">
        <f>AZ83-AZ73-AZ82</f>
        <v>-156349.80500000008</v>
      </c>
      <c r="BA84" s="213">
        <f>BA83-BA73-BA82</f>
        <v>-267645.94424999959</v>
      </c>
      <c r="BB84" s="213">
        <f>BB83-BB73-BB82</f>
        <v>-497010.95542107627</v>
      </c>
      <c r="BC84" s="82"/>
      <c r="BD84" s="82"/>
      <c r="BE84" s="213">
        <f>BE83-BE73-BE82</f>
        <v>-528</v>
      </c>
      <c r="BF84" s="213">
        <f>BF83-BF73-BF82</f>
        <v>-28000</v>
      </c>
      <c r="BG84" s="213">
        <f>BG83-BG73-BG82</f>
        <v>-66175.11693216383</v>
      </c>
      <c r="BH84" s="82"/>
      <c r="BI84" s="82"/>
      <c r="BJ84" s="589">
        <f>BJ83-BJ73-BJ82</f>
        <v>9310226.459999999</v>
      </c>
      <c r="BK84" s="589">
        <f>BK83-BK73-BK82</f>
        <v>-3694890.66</v>
      </c>
      <c r="BL84" s="213" t="e">
        <f>BL83-BL73-BL82</f>
        <v>#DIV/0!</v>
      </c>
      <c r="BM84" s="82"/>
      <c r="BN84" s="82"/>
      <c r="BO84" s="1"/>
      <c r="BP84" s="842"/>
      <c r="BQ84" s="842"/>
      <c r="BR84" s="1"/>
      <c r="BS84" s="1"/>
      <c r="BT84" s="1"/>
    </row>
    <row r="85" spans="1:72" s="2" customFormat="1" ht="13.8">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39"/>
      <c r="AV85" s="39"/>
      <c r="AW85" s="219">
        <f>AU85+AV85*1.15</f>
        <v>0</v>
      </c>
      <c r="AX85" s="102"/>
      <c r="AY85" s="102"/>
      <c r="AZ85" s="39"/>
      <c r="BA85" s="39"/>
      <c r="BB85" s="219">
        <f>AZ85+BA85*1.15</f>
        <v>0</v>
      </c>
      <c r="BC85" s="102"/>
      <c r="BD85" s="102"/>
      <c r="BE85" s="39"/>
      <c r="BF85" s="39">
        <v>279738</v>
      </c>
      <c r="BG85" s="219">
        <f>BE85+BF85*'расчет 2024'!E18+BF85</f>
        <v>310229.5547314625</v>
      </c>
      <c r="BH85" s="102"/>
      <c r="BI85" s="102"/>
      <c r="BJ85" s="39">
        <f>G85+L85+Q85+V85</f>
        <v>0</v>
      </c>
      <c r="BK85" s="39">
        <f>H85+M85+R85+W85+BF85</f>
        <v>279738</v>
      </c>
      <c r="BL85" s="219">
        <f>BG85</f>
        <v>310229.5547314625</v>
      </c>
      <c r="BM85" s="102"/>
      <c r="BN85" s="102"/>
      <c r="BO85" s="1"/>
      <c r="BP85" s="842"/>
      <c r="BQ85" s="842"/>
      <c r="BR85" s="1"/>
      <c r="BS85" s="1"/>
      <c r="BT85" s="1"/>
    </row>
    <row r="86" spans="1:72" s="2" customFormat="1" ht="27.6">
      <c r="A86" s="11"/>
      <c r="B86" s="37" t="s">
        <v>50</v>
      </c>
      <c r="C86" s="149">
        <f>C84-C85</f>
        <v>8322203.061999999</v>
      </c>
      <c r="D86" s="149">
        <f>D84-D85</f>
        <v>-2835661.47</v>
      </c>
      <c r="E86" s="150">
        <f>E84-E85</f>
        <v>5486541.5919999983</v>
      </c>
      <c r="F86" s="175"/>
      <c r="G86" s="150">
        <f>G84-G85</f>
        <v>-217897.84000000003</v>
      </c>
      <c r="H86" s="150">
        <f>H84-H85</f>
        <v>-82791.98</v>
      </c>
      <c r="I86" s="150">
        <f>I84-I85</f>
        <v>-313061.0354022989</v>
      </c>
      <c r="J86" s="73"/>
      <c r="K86" s="73"/>
      <c r="L86" s="150">
        <f>L84-L85</f>
        <v>-666067.1100000001</v>
      </c>
      <c r="M86" s="150">
        <f>M84-M85</f>
        <v>-129527.9</v>
      </c>
      <c r="N86" s="150">
        <f>N84-N85</f>
        <v>-814949.75367816084</v>
      </c>
      <c r="O86" s="73"/>
      <c r="P86" s="73"/>
      <c r="Q86" s="150">
        <f>Q84-Q85</f>
        <v>708937.71400000108</v>
      </c>
      <c r="R86" s="150">
        <f>R84-R85</f>
        <v>-625488.9</v>
      </c>
      <c r="S86" s="150">
        <f>S84-S85</f>
        <v>-10015.044620688946</v>
      </c>
      <c r="T86" s="73"/>
      <c r="U86" s="73"/>
      <c r="V86" s="150">
        <f>V84-V85</f>
        <v>3731530.0089999996</v>
      </c>
      <c r="W86" s="150">
        <f>W84-W85</f>
        <v>-469782.38</v>
      </c>
      <c r="X86" s="150">
        <f>X84-X85</f>
        <v>3203717.5649575028</v>
      </c>
      <c r="Y86" s="73"/>
      <c r="Z86" s="73"/>
      <c r="AA86" s="150">
        <f>AA84-AA85</f>
        <v>3876103.2220000005</v>
      </c>
      <c r="AB86" s="150">
        <f>AB84-AB85</f>
        <v>-961188.09</v>
      </c>
      <c r="AC86" s="150">
        <f>AC84-AC85</f>
        <v>2775705.885917997</v>
      </c>
      <c r="AD86" s="73"/>
      <c r="AE86" s="73"/>
      <c r="AF86" s="150">
        <f>AF84-AF85</f>
        <v>396289.7680000001</v>
      </c>
      <c r="AG86" s="150">
        <f>AG84-AG85</f>
        <v>-621922.31000000006</v>
      </c>
      <c r="AH86" s="150" t="e">
        <f>AH84-AH85</f>
        <v>#DIV/0!</v>
      </c>
      <c r="AI86" s="73"/>
      <c r="AJ86" s="73"/>
      <c r="AK86" s="150">
        <f>AK84-AK85</f>
        <v>779475.01800000004</v>
      </c>
      <c r="AL86" s="150">
        <f>AL84-AL85</f>
        <v>-228276.05</v>
      </c>
      <c r="AM86" s="150" t="e">
        <f>AM84-AM85</f>
        <v>#DIV/0!</v>
      </c>
      <c r="AN86" s="73"/>
      <c r="AO86" s="73"/>
      <c r="AP86" s="150">
        <f>AP84-AP85</f>
        <v>-176350.63</v>
      </c>
      <c r="AQ86" s="150">
        <f>AQ84-AQ85</f>
        <v>-73258.335749999998</v>
      </c>
      <c r="AR86" s="150">
        <f>AR84-AR85</f>
        <v>-259128.41050847454</v>
      </c>
      <c r="AS86" s="73"/>
      <c r="AT86" s="73"/>
      <c r="AU86" s="150">
        <f>AU84-AU85</f>
        <v>1035084.1140000002</v>
      </c>
      <c r="AV86" s="150">
        <f>AV84-AV85</f>
        <v>-207008.77</v>
      </c>
      <c r="AW86" s="150" t="e">
        <f>AW84-AW85</f>
        <v>#DIV/0!</v>
      </c>
      <c r="AX86" s="73"/>
      <c r="AY86" s="73"/>
      <c r="AZ86" s="150">
        <f>AZ84-AZ85</f>
        <v>-156349.80500000008</v>
      </c>
      <c r="BA86" s="150">
        <f>BA84-BA85</f>
        <v>-267645.94424999959</v>
      </c>
      <c r="BB86" s="150">
        <f>BB84-BB85</f>
        <v>-497010.95542107627</v>
      </c>
      <c r="BC86" s="73"/>
      <c r="BD86" s="73"/>
      <c r="BE86" s="150">
        <f>BE84-BE85</f>
        <v>-528</v>
      </c>
      <c r="BF86" s="150">
        <f>BF84-BF85</f>
        <v>-307738</v>
      </c>
      <c r="BG86" s="150">
        <f>BG84-BG85</f>
        <v>-376404.67166362633</v>
      </c>
      <c r="BH86" s="73"/>
      <c r="BI86" s="73"/>
      <c r="BJ86" s="150">
        <f>BJ84-BJ85</f>
        <v>9310226.459999999</v>
      </c>
      <c r="BK86" s="150">
        <f>BK84-BK85</f>
        <v>-3974628.66</v>
      </c>
      <c r="BL86" s="150" t="e">
        <f>BL84-BL85</f>
        <v>#DIV/0!</v>
      </c>
      <c r="BM86" s="73"/>
      <c r="BN86" s="73"/>
      <c r="BO86" s="1"/>
      <c r="BP86" s="842"/>
      <c r="BQ86" s="842"/>
      <c r="BR86" s="1"/>
      <c r="BS86" s="1"/>
      <c r="BT86" s="1"/>
    </row>
    <row r="87" spans="1:72" s="2" customFormat="1" ht="14.4" thickBot="1">
      <c r="A87" s="295"/>
      <c r="B87" s="29" t="s">
        <v>51</v>
      </c>
      <c r="C87" s="155">
        <f>C86/C5</f>
        <v>0.32142351152913595</v>
      </c>
      <c r="D87" s="151" t="e">
        <f>D86/D5</f>
        <v>#DIV/0!</v>
      </c>
      <c r="E87" s="156">
        <f>E86/E5</f>
        <v>0.21190344089338872</v>
      </c>
      <c r="F87" s="176"/>
      <c r="G87" s="155" t="e">
        <f>G86/G5</f>
        <v>#DIV/0!</v>
      </c>
      <c r="H87" s="151" t="e">
        <f>H86/H5</f>
        <v>#DIV/0!</v>
      </c>
      <c r="I87" s="156" t="e">
        <f>I86/I5</f>
        <v>#DIV/0!</v>
      </c>
      <c r="J87" s="75"/>
      <c r="K87" s="75"/>
      <c r="L87" s="155">
        <f>L86/L5</f>
        <v>-1.635994476102961</v>
      </c>
      <c r="M87" s="151" t="e">
        <f>M86/M5</f>
        <v>#DIV/0!</v>
      </c>
      <c r="N87" s="156">
        <f>N86/N5</f>
        <v>-2.0016801239727022</v>
      </c>
      <c r="O87" s="75"/>
      <c r="P87" s="75"/>
      <c r="Q87" s="155">
        <f>Q86/Q5</f>
        <v>0.10084403718511482</v>
      </c>
      <c r="R87" s="151" t="e">
        <f>R86/R5</f>
        <v>#DIV/0!</v>
      </c>
      <c r="S87" s="156">
        <f>S86/S5</f>
        <v>-1.4246068620625517E-3</v>
      </c>
      <c r="T87" s="75"/>
      <c r="U87" s="75"/>
      <c r="V87" s="155">
        <f>V86/V5</f>
        <v>0.65878668481265268</v>
      </c>
      <c r="W87" s="151" t="e">
        <f>W86/W5</f>
        <v>#DIV/0!</v>
      </c>
      <c r="X87" s="156">
        <f>X86/X5</f>
        <v>0.56560351078618853</v>
      </c>
      <c r="Y87" s="75"/>
      <c r="Z87" s="75"/>
      <c r="AA87" s="155">
        <f>AA86/AA5</f>
        <v>0.68872796107893697</v>
      </c>
      <c r="AB87" s="151" t="e">
        <f>AB86/AB5</f>
        <v>#DIV/0!</v>
      </c>
      <c r="AC87" s="156">
        <f>AC86/AC5</f>
        <v>0.49320313362983659</v>
      </c>
      <c r="AD87" s="75"/>
      <c r="AE87" s="75"/>
      <c r="AF87" s="155">
        <f>AF86/AF5</f>
        <v>9.0512983714713294E-2</v>
      </c>
      <c r="AG87" s="151" t="e">
        <f>AG86/AG5</f>
        <v>#DIV/0!</v>
      </c>
      <c r="AH87" s="156" t="e">
        <f>AH86/AH5</f>
        <v>#DIV/0!</v>
      </c>
      <c r="AI87" s="75"/>
      <c r="AJ87" s="75"/>
      <c r="AK87" s="155">
        <f>AK86/AK5</f>
        <v>0.52496757657272974</v>
      </c>
      <c r="AL87" s="151" t="e">
        <f>AL86/AL5</f>
        <v>#DIV/0!</v>
      </c>
      <c r="AM87" s="156" t="e">
        <f>AM86/AM5</f>
        <v>#DIV/0!</v>
      </c>
      <c r="AN87" s="75"/>
      <c r="AO87" s="75"/>
      <c r="AP87" s="155" t="e">
        <f>AP86/AP5</f>
        <v>#DIV/0!</v>
      </c>
      <c r="AQ87" s="151" t="e">
        <f>AQ86/AQ5</f>
        <v>#DIV/0!</v>
      </c>
      <c r="AR87" s="156" t="e">
        <f>AR86/AR5</f>
        <v>#DIV/0!</v>
      </c>
      <c r="AS87" s="75"/>
      <c r="AT87" s="75"/>
      <c r="AU87" s="155">
        <f>AU86/AU5</f>
        <v>0.59302260584044741</v>
      </c>
      <c r="AV87" s="151" t="e">
        <f>AV86/AV5</f>
        <v>#DIV/0!</v>
      </c>
      <c r="AW87" s="156" t="e">
        <f>AW86/AW5</f>
        <v>#DIV/0!</v>
      </c>
      <c r="AX87" s="75"/>
      <c r="AY87" s="75"/>
      <c r="AZ87" s="155" t="e">
        <f>AZ86/AZ5</f>
        <v>#DIV/0!</v>
      </c>
      <c r="BA87" s="151" t="e">
        <f>BA86/BA5</f>
        <v>#DIV/0!</v>
      </c>
      <c r="BB87" s="156" t="e">
        <f>BB86/BB5</f>
        <v>#DIV/0!</v>
      </c>
      <c r="BC87" s="75"/>
      <c r="BD87" s="75"/>
      <c r="BE87" s="155" t="e">
        <f>BE86/BE5</f>
        <v>#DIV/0!</v>
      </c>
      <c r="BF87" s="151" t="e">
        <f>BF86/BF5</f>
        <v>#DIV/0!</v>
      </c>
      <c r="BG87" s="156" t="e">
        <f>BG86/BG5</f>
        <v>#DIV/0!</v>
      </c>
      <c r="BH87" s="75"/>
      <c r="BI87" s="75"/>
      <c r="BJ87" s="155">
        <f>BJ86/BJ5</f>
        <v>0.35349234712828415</v>
      </c>
      <c r="BK87" s="151" t="e">
        <f>BK86/BK5</f>
        <v>#DIV/0!</v>
      </c>
      <c r="BL87" s="156" t="e">
        <f>BL86/BL5</f>
        <v>#DIV/0!</v>
      </c>
      <c r="BM87" s="75"/>
      <c r="BN87" s="75"/>
      <c r="BO87" s="1"/>
      <c r="BP87" s="842"/>
      <c r="BQ87" s="842"/>
      <c r="BR87" s="1"/>
      <c r="BS87" s="1"/>
      <c r="BT87" s="1"/>
    </row>
    <row r="88" spans="1:72"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P88" s="842"/>
      <c r="BQ88" s="842"/>
    </row>
    <row r="89" spans="1:72">
      <c r="B89" s="221" t="s">
        <v>56</v>
      </c>
      <c r="C89" s="153"/>
      <c r="D89" s="153"/>
      <c r="E89" s="154">
        <f>E8+E36+E41+E50+E54+E73+E79+E82+E85</f>
        <v>19756064.368000001</v>
      </c>
      <c r="F89" s="189"/>
      <c r="I89" s="154">
        <f>I8+I36+I41+I50+I54+I73+I79+I82+I85</f>
        <v>313061.0354022989</v>
      </c>
      <c r="N89" s="154">
        <f>N8+N36+N41+N50+N54+N73+N79+N82+N85</f>
        <v>1222082.6136781608</v>
      </c>
      <c r="S89" s="154">
        <f>S8+S36+S41+S50+S54+S73+S79+S82+S85</f>
        <v>7040056.0246206885</v>
      </c>
      <c r="X89" s="154">
        <f>X8+X36+X41+X50+X54+X73+X79+X82+X85</f>
        <v>2460528.6850424972</v>
      </c>
      <c r="AC89" s="154">
        <f>AC8+AC36+AC41+AC50+AC54+AC73+AC79+AC82+AC85</f>
        <v>2852210.2740820032</v>
      </c>
      <c r="AH89" s="154" t="e">
        <f>AH8+AH36+AH41+AH50+AH54+AH73+AH79+AH82+AH85</f>
        <v>#DIV/0!</v>
      </c>
      <c r="AM89" s="154" t="e">
        <f>AM8+AM36+AM41+AM50+AM54+AM73+AM79+AM82+AM85</f>
        <v>#DIV/0!</v>
      </c>
      <c r="AR89" s="154">
        <f>AR8+AR36+AR41+AR50+AR54+AR73+AR79+AR82+AR85</f>
        <v>259128.41050847454</v>
      </c>
      <c r="AW89" s="154" t="e">
        <f>AW8+AW36+AW41+AW50+AW54+AW73+AW79+AW82+AW85</f>
        <v>#DIV/0!</v>
      </c>
      <c r="BB89" s="154">
        <f>BB8+BB36+BB41+BB50+BB54+BB73+BB79+BB82+BB85</f>
        <v>497010.95542107627</v>
      </c>
      <c r="BG89" s="154">
        <f>BG8+BG36+BG41+BG50+BG54+BG73+BG79+BG82+BG85</f>
        <v>376404.67166362633</v>
      </c>
      <c r="BL89" s="154" t="e">
        <f>BL8+BL36+BL41+BL50+BL54+BL73+BL79+BL82+BL85</f>
        <v>#DIV/0!</v>
      </c>
      <c r="BP89" s="842"/>
      <c r="BQ89" s="842"/>
    </row>
    <row r="90" spans="1:72">
      <c r="C90" s="153"/>
      <c r="D90" s="153"/>
      <c r="E90" s="153"/>
      <c r="BL90" s="424" t="e">
        <f>(I89+N89+S89+X89+AC89+AH89+AM89+AR89+AW89+BB89+BG89)=BL89</f>
        <v>#DIV/0!</v>
      </c>
      <c r="BP90" s="842"/>
      <c r="BQ90" s="842"/>
    </row>
    <row r="91" spans="1:72"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P91" s="842"/>
      <c r="BQ91" s="842"/>
    </row>
    <row r="92" spans="1:72">
      <c r="C92" s="38"/>
      <c r="D92" s="38"/>
    </row>
    <row r="93" spans="1:72" s="2" customFormat="1">
      <c r="A93" s="8"/>
      <c r="B93" s="629"/>
      <c r="C93" s="38"/>
      <c r="D93" s="38"/>
      <c r="E93" s="38">
        <f>5486540-E86</f>
        <v>-1.5919999983161688</v>
      </c>
      <c r="F93" s="38"/>
      <c r="G93" s="38"/>
      <c r="H93" s="38"/>
      <c r="I93" s="38"/>
      <c r="J93" s="38"/>
      <c r="K93" s="38"/>
      <c r="L93" s="38"/>
      <c r="M93" s="38"/>
      <c r="N93" s="38"/>
      <c r="O93" s="38"/>
      <c r="P93" s="38"/>
      <c r="Q93" s="38"/>
      <c r="R93" s="38"/>
      <c r="S93" s="38"/>
      <c r="T93" s="38"/>
      <c r="U93" s="38"/>
      <c r="V93" s="38"/>
      <c r="W93" s="38"/>
      <c r="X93" s="38"/>
      <c r="Y93" s="38"/>
      <c r="Z93" s="38"/>
      <c r="AA93" s="38"/>
      <c r="AB93" s="38"/>
      <c r="AC93" s="687">
        <f>AC5-AC89</f>
        <v>2775705.885917997</v>
      </c>
      <c r="AD93" s="38"/>
      <c r="AE93" s="38"/>
      <c r="AF93" s="38"/>
      <c r="AG93" s="38"/>
      <c r="AH93" s="687" t="e">
        <f>AH5-AH89</f>
        <v>#DIV/0!</v>
      </c>
      <c r="AI93" s="38"/>
      <c r="AJ93" s="38"/>
      <c r="AK93" s="38"/>
      <c r="AL93" s="38"/>
      <c r="AM93" s="687" t="e">
        <f>AM5-AM89</f>
        <v>#DIV/0!</v>
      </c>
      <c r="AN93" s="38"/>
      <c r="AO93" s="38"/>
      <c r="AP93" s="38"/>
      <c r="AQ93" s="38"/>
      <c r="AR93" s="687">
        <f>AR5-AR89</f>
        <v>-259128.41050847454</v>
      </c>
      <c r="AS93" s="38"/>
      <c r="AT93" s="38"/>
      <c r="AU93" s="38"/>
      <c r="AV93" s="38"/>
      <c r="AW93" s="687" t="e">
        <f>AW5-AW89</f>
        <v>#DIV/0!</v>
      </c>
      <c r="AX93" s="38"/>
      <c r="AY93" s="38"/>
      <c r="AZ93" s="38"/>
      <c r="BA93" s="38"/>
      <c r="BB93" s="687">
        <f>BB5-BB89</f>
        <v>-497010.95542107627</v>
      </c>
      <c r="BC93" s="38"/>
      <c r="BD93" s="38"/>
      <c r="BE93" s="38"/>
      <c r="BF93" s="38"/>
      <c r="BG93" s="38"/>
      <c r="BH93" s="38"/>
      <c r="BI93" s="38"/>
      <c r="BJ93" s="38"/>
      <c r="BK93" s="38"/>
      <c r="BL93" s="687" t="e">
        <f>BL5-BL89</f>
        <v>#DIV/0!</v>
      </c>
      <c r="BM93" s="38"/>
      <c r="BN93" s="38"/>
      <c r="BP93" s="842"/>
      <c r="BQ93" s="842"/>
    </row>
    <row r="94" spans="1:72" s="2" customFormat="1">
      <c r="A94" s="8"/>
      <c r="B94" s="629"/>
      <c r="C94" s="38"/>
      <c r="D94" s="38"/>
      <c r="E94" s="38"/>
      <c r="F94" s="38"/>
      <c r="G94" s="38"/>
      <c r="H94" s="38"/>
      <c r="I94" s="38"/>
      <c r="J94" s="38"/>
      <c r="K94" s="38"/>
      <c r="L94" s="38"/>
      <c r="M94" s="38"/>
      <c r="N94" s="38"/>
      <c r="O94" s="38"/>
      <c r="P94" s="38"/>
      <c r="Q94" s="38"/>
      <c r="R94" s="38"/>
      <c r="S94" s="38"/>
      <c r="T94" s="38"/>
      <c r="U94" s="38"/>
      <c r="V94" s="626"/>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626"/>
      <c r="BK94" s="38"/>
      <c r="BL94" s="38"/>
      <c r="BM94" s="38"/>
      <c r="BN94" s="38"/>
      <c r="BP94" s="842"/>
      <c r="BQ94" s="842"/>
    </row>
    <row r="95" spans="1:72" s="2" customFormat="1">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P95" s="842"/>
      <c r="BQ95" s="842"/>
    </row>
    <row r="96" spans="1:72" s="2" customFormat="1">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v>21221341</v>
      </c>
      <c r="BM96" s="38"/>
      <c r="BN96" s="38"/>
      <c r="BP96" s="842"/>
      <c r="BQ96" s="842"/>
    </row>
    <row r="97" spans="1:69">
      <c r="C97" s="38"/>
      <c r="D97" s="38"/>
      <c r="BL97" s="38" t="e">
        <f>BL89-BL96</f>
        <v>#DIV/0!</v>
      </c>
    </row>
    <row r="98" spans="1:69"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927"/>
      <c r="BL98" s="38"/>
      <c r="BM98" s="38"/>
      <c r="BN98" s="38"/>
      <c r="BP98" s="842"/>
      <c r="BQ98" s="842"/>
    </row>
    <row r="99" spans="1:69">
      <c r="C99" s="38"/>
      <c r="D99" s="38"/>
      <c r="BK99" s="927" t="s">
        <v>927</v>
      </c>
      <c r="BL99" s="38">
        <f>3%*BJ6</f>
        <v>790135.33409999998</v>
      </c>
    </row>
    <row r="100" spans="1:69" ht="39.6">
      <c r="BK100" s="927" t="s">
        <v>21</v>
      </c>
      <c r="BL100" s="38">
        <v>247614.26</v>
      </c>
    </row>
    <row r="101" spans="1:69" ht="26.4">
      <c r="BK101" s="927" t="s">
        <v>936</v>
      </c>
      <c r="BL101" s="38">
        <v>1173885</v>
      </c>
    </row>
    <row r="102" spans="1:69">
      <c r="BK102" s="927"/>
    </row>
    <row r="103" spans="1:69">
      <c r="BK103" s="927"/>
    </row>
    <row r="104" spans="1:69">
      <c r="BK104" s="927"/>
    </row>
    <row r="105" spans="1:69">
      <c r="BK105" s="927"/>
    </row>
    <row r="106" spans="1:69">
      <c r="BK106" s="927"/>
    </row>
    <row r="107" spans="1:69">
      <c r="BK107" s="927"/>
    </row>
    <row r="108" spans="1:69">
      <c r="BK108" s="927"/>
    </row>
  </sheetData>
  <mergeCells count="15">
    <mergeCell ref="A2:F2"/>
    <mergeCell ref="G2:J3"/>
    <mergeCell ref="BJ2:BM3"/>
    <mergeCell ref="A3:F3"/>
    <mergeCell ref="A42:A48"/>
    <mergeCell ref="L2:O3"/>
    <mergeCell ref="Q2:T3"/>
    <mergeCell ref="V2:Y3"/>
    <mergeCell ref="AA2:AD3"/>
    <mergeCell ref="AF2:AI3"/>
    <mergeCell ref="AK2:AN3"/>
    <mergeCell ref="AP2:AS3"/>
    <mergeCell ref="AU2:AY3"/>
    <mergeCell ref="AZ2:BD3"/>
    <mergeCell ref="BE2:BI3"/>
  </mergeCells>
  <pageMargins left="0.7" right="0.7" top="0.75" bottom="0.75" header="0.3" footer="0.3"/>
  <pageSetup paperSize="9" orientation="portrait" verticalDpi="300" r:id="rId1"/>
  <legacy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BN99"/>
  <sheetViews>
    <sheetView showZeros="0" zoomScale="70" zoomScaleNormal="70" workbookViewId="0">
      <pane xSplit="6" ySplit="5" topLeftCell="Q65" activePane="bottomRight" state="frozen"/>
      <selection activeCell="BR18" sqref="BR18"/>
      <selection pane="topRight" activeCell="BR18" sqref="BR18"/>
      <selection pane="bottomLeft" activeCell="BR18" sqref="BR18"/>
      <selection pane="bottomRight" activeCell="U31" sqref="U31"/>
    </sheetView>
  </sheetViews>
  <sheetFormatPr defaultColWidth="7.44140625" defaultRowHeight="13.2" outlineLevelRow="3" outlineLevelCol="1"/>
  <cols>
    <col min="1" max="1" width="5.5546875" style="8" customWidth="1"/>
    <col min="2" max="2" width="55" style="8" customWidth="1"/>
    <col min="3" max="3" width="16.44140625" style="77" hidden="1" customWidth="1"/>
    <col min="4" max="4" width="16.6640625" style="77" hidden="1" customWidth="1"/>
    <col min="5" max="5" width="16.33203125" style="38" hidden="1" customWidth="1"/>
    <col min="6" max="6" width="9.5546875" style="38" hidden="1" customWidth="1"/>
    <col min="7" max="7" width="14.5546875" style="38" hidden="1" customWidth="1" outlineLevel="1"/>
    <col min="8" max="8" width="15.33203125" style="38" hidden="1" customWidth="1" outlineLevel="1"/>
    <col min="9" max="9" width="14.5546875" style="38" hidden="1" customWidth="1" outlineLevel="1"/>
    <col min="10" max="11" width="9.5546875" style="38" hidden="1" customWidth="1" outlineLevel="1"/>
    <col min="12" max="12" width="15.33203125" style="38" hidden="1" customWidth="1" outlineLevel="1"/>
    <col min="13" max="13" width="14.109375" style="38" hidden="1" customWidth="1" outlineLevel="1"/>
    <col min="14" max="14" width="18.109375" style="38" hidden="1" customWidth="1" outlineLevel="1"/>
    <col min="15" max="15" width="11.6640625" style="38" hidden="1" customWidth="1" outlineLevel="1"/>
    <col min="16" max="16" width="49.88671875" style="38" hidden="1" customWidth="1" outlineLevel="1"/>
    <col min="17" max="17" width="15.33203125" style="38" customWidth="1" collapsed="1"/>
    <col min="18" max="18" width="14.109375" style="38" customWidth="1"/>
    <col min="19" max="19" width="18.109375" style="38" customWidth="1"/>
    <col min="20" max="20" width="11.6640625" style="38" customWidth="1"/>
    <col min="21" max="21" width="49.88671875" style="38" customWidth="1"/>
    <col min="22" max="22" width="20.6640625" style="38" hidden="1" customWidth="1" outlineLevel="1"/>
    <col min="23" max="23" width="16.6640625" style="38" hidden="1" customWidth="1" outlineLevel="1"/>
    <col min="24" max="24" width="17.6640625" style="38" hidden="1" customWidth="1" outlineLevel="1"/>
    <col min="25" max="25" width="12.5546875" style="38" hidden="1" customWidth="1" outlineLevel="1"/>
    <col min="26" max="26" width="31.44140625" style="38" hidden="1" customWidth="1" outlineLevel="1"/>
    <col min="27" max="27" width="24.33203125" style="38" hidden="1" customWidth="1" outlineLevel="1"/>
    <col min="28" max="28" width="18.44140625" style="38" hidden="1" customWidth="1" outlineLevel="1"/>
    <col min="29" max="29" width="16.109375" style="38" hidden="1" customWidth="1" outlineLevel="1"/>
    <col min="30" max="30" width="16.5546875" style="38" hidden="1" customWidth="1" outlineLevel="1"/>
    <col min="31" max="31" width="38.6640625" style="38" hidden="1" customWidth="1" outlineLevel="1"/>
    <col min="32" max="33" width="16.44140625" style="38" hidden="1" customWidth="1" outlineLevel="1"/>
    <col min="34" max="34" width="16.109375" style="38" hidden="1" customWidth="1" outlineLevel="1"/>
    <col min="35" max="35" width="15.33203125" style="38" hidden="1" customWidth="1" outlineLevel="1"/>
    <col min="36" max="36" width="38.6640625" style="38" hidden="1" customWidth="1" outlineLevel="1"/>
    <col min="37" max="37" width="19.44140625" style="38" hidden="1" customWidth="1" outlineLevel="1"/>
    <col min="38" max="38" width="20.88671875" style="38" hidden="1" customWidth="1" outlineLevel="1"/>
    <col min="39" max="39" width="25.6640625" style="38" hidden="1" customWidth="1" outlineLevel="1"/>
    <col min="40" max="40" width="17.33203125" style="38" hidden="1" customWidth="1" outlineLevel="1"/>
    <col min="41" max="41" width="38.6640625" style="38" hidden="1" customWidth="1" outlineLevel="1"/>
    <col min="42" max="42" width="22.88671875" style="38" hidden="1" customWidth="1" outlineLevel="1"/>
    <col min="43" max="43" width="17" style="38" hidden="1" customWidth="1" outlineLevel="1"/>
    <col min="44" max="44" width="15.44140625" style="38" hidden="1" customWidth="1" outlineLevel="1"/>
    <col min="45" max="45" width="13.6640625" style="38" hidden="1" customWidth="1" outlineLevel="1"/>
    <col min="46" max="46" width="38.6640625" style="38" hidden="1" customWidth="1" outlineLevel="1"/>
    <col min="47" max="47" width="27.6640625" style="38" hidden="1" customWidth="1" outlineLevel="1"/>
    <col min="48" max="48" width="25.6640625" style="38" hidden="1" customWidth="1" outlineLevel="1"/>
    <col min="49" max="49" width="22.33203125" style="38" hidden="1" customWidth="1" outlineLevel="1"/>
    <col min="50" max="50" width="19.109375" style="38" hidden="1" customWidth="1" outlineLevel="1"/>
    <col min="51" max="56" width="38.6640625" style="38" hidden="1" customWidth="1" outlineLevel="1"/>
    <col min="57" max="57" width="18" style="38" customWidth="1" collapsed="1"/>
    <col min="58" max="58" width="17.88671875" style="38" customWidth="1"/>
    <col min="59" max="59" width="15.33203125" style="38" customWidth="1"/>
    <col min="60" max="60" width="17.109375" style="38" customWidth="1"/>
    <col min="61" max="61" width="37.44140625" style="38" customWidth="1"/>
    <col min="62" max="62" width="14.5546875" style="1" bestFit="1" customWidth="1"/>
    <col min="63" max="63" width="20.6640625" style="1" customWidth="1"/>
    <col min="64" max="64" width="7.44140625" style="1"/>
    <col min="65" max="65" width="13.33203125" style="1" customWidth="1"/>
    <col min="66" max="66" width="14.88671875" style="1" customWidth="1"/>
    <col min="67" max="16384" width="7.44140625" style="1"/>
  </cols>
  <sheetData>
    <row r="1" spans="1:66" ht="13.8" thickBot="1">
      <c r="C1" s="38"/>
      <c r="D1" s="38"/>
    </row>
    <row r="2" spans="1:66" ht="22.2" customHeight="1">
      <c r="A2" s="4834" t="s">
        <v>134</v>
      </c>
      <c r="B2" s="4835"/>
      <c r="C2" s="4835"/>
      <c r="D2" s="4835"/>
      <c r="E2" s="4835"/>
      <c r="F2" s="4836"/>
      <c r="G2" s="5197" t="s">
        <v>969</v>
      </c>
      <c r="H2" s="5198"/>
      <c r="I2" s="5198"/>
      <c r="J2" s="5198"/>
      <c r="K2" s="5199"/>
      <c r="L2" s="4973" t="s">
        <v>964</v>
      </c>
      <c r="M2" s="4974"/>
      <c r="N2" s="4974"/>
      <c r="O2" s="4974"/>
      <c r="P2" s="4975"/>
      <c r="Q2" s="4892" t="s">
        <v>1006</v>
      </c>
      <c r="R2" s="4893"/>
      <c r="S2" s="4893"/>
      <c r="T2" s="4893"/>
      <c r="U2" s="4894"/>
      <c r="V2" s="4955"/>
      <c r="W2" s="4956"/>
      <c r="X2" s="4956"/>
      <c r="Y2" s="4956"/>
      <c r="Z2" s="757"/>
      <c r="AA2" s="4934" t="s">
        <v>883</v>
      </c>
      <c r="AB2" s="4935"/>
      <c r="AC2" s="4935"/>
      <c r="AD2" s="4935"/>
      <c r="AE2" s="4936"/>
      <c r="AF2" s="4898"/>
      <c r="AG2" s="4899"/>
      <c r="AH2" s="4899"/>
      <c r="AI2" s="4899"/>
      <c r="AJ2" s="4900"/>
      <c r="AK2" s="4904" t="s">
        <v>937</v>
      </c>
      <c r="AL2" s="4905"/>
      <c r="AM2" s="4905"/>
      <c r="AN2" s="4905"/>
      <c r="AO2" s="4906"/>
      <c r="AP2" s="4910"/>
      <c r="AQ2" s="4911"/>
      <c r="AR2" s="4911"/>
      <c r="AS2" s="4911"/>
      <c r="AT2" s="4912"/>
      <c r="AU2" s="4868"/>
      <c r="AV2" s="4869"/>
      <c r="AW2" s="4869"/>
      <c r="AX2" s="4869"/>
      <c r="AY2" s="4870"/>
      <c r="AZ2" s="4910"/>
      <c r="BA2" s="4911"/>
      <c r="BB2" s="4911"/>
      <c r="BC2" s="4911"/>
      <c r="BD2" s="4912"/>
      <c r="BE2" s="4982" t="s">
        <v>469</v>
      </c>
      <c r="BF2" s="4983"/>
      <c r="BG2" s="4983"/>
      <c r="BH2" s="4983"/>
      <c r="BI2" s="4984"/>
    </row>
    <row r="3" spans="1:66" ht="14.4" customHeight="1" thickBot="1">
      <c r="A3" s="4853" t="s">
        <v>54</v>
      </c>
      <c r="B3" s="4854"/>
      <c r="C3" s="4854"/>
      <c r="D3" s="4854"/>
      <c r="E3" s="4854"/>
      <c r="F3" s="4855"/>
      <c r="G3" s="4853"/>
      <c r="H3" s="4854"/>
      <c r="I3" s="4854"/>
      <c r="J3" s="4854"/>
      <c r="K3" s="4855"/>
      <c r="L3" s="4976"/>
      <c r="M3" s="4977"/>
      <c r="N3" s="4977"/>
      <c r="O3" s="4977"/>
      <c r="P3" s="4978"/>
      <c r="Q3" s="4895"/>
      <c r="R3" s="4896"/>
      <c r="S3" s="4896"/>
      <c r="T3" s="4896"/>
      <c r="U3" s="4897"/>
      <c r="V3" s="4958"/>
      <c r="W3" s="4959"/>
      <c r="X3" s="4959"/>
      <c r="Y3" s="4959"/>
      <c r="Z3" s="758"/>
      <c r="AA3" s="4937"/>
      <c r="AB3" s="4938"/>
      <c r="AC3" s="4938"/>
      <c r="AD3" s="4938"/>
      <c r="AE3" s="4939"/>
      <c r="AF3" s="4901"/>
      <c r="AG3" s="4902"/>
      <c r="AH3" s="4902"/>
      <c r="AI3" s="4902"/>
      <c r="AJ3" s="4903"/>
      <c r="AK3" s="4907"/>
      <c r="AL3" s="4908"/>
      <c r="AM3" s="4908"/>
      <c r="AN3" s="4908"/>
      <c r="AO3" s="4909"/>
      <c r="AP3" s="4913"/>
      <c r="AQ3" s="4914"/>
      <c r="AR3" s="4914"/>
      <c r="AS3" s="4914"/>
      <c r="AT3" s="4915"/>
      <c r="AU3" s="4871"/>
      <c r="AV3" s="4872"/>
      <c r="AW3" s="4872"/>
      <c r="AX3" s="4872"/>
      <c r="AY3" s="4873"/>
      <c r="AZ3" s="4913"/>
      <c r="BA3" s="4914"/>
      <c r="BB3" s="4914"/>
      <c r="BC3" s="4914"/>
      <c r="BD3" s="4915"/>
      <c r="BE3" s="4985"/>
      <c r="BF3" s="4986"/>
      <c r="BG3" s="4986"/>
      <c r="BH3" s="4986"/>
      <c r="BI3" s="4987"/>
    </row>
    <row r="4" spans="1:66" ht="41.4" thickBot="1">
      <c r="A4" s="92"/>
      <c r="B4" s="93" t="s">
        <v>11</v>
      </c>
      <c r="C4" s="239" t="s">
        <v>55</v>
      </c>
      <c r="D4" s="239" t="s">
        <v>18</v>
      </c>
      <c r="E4" s="240" t="s">
        <v>39</v>
      </c>
      <c r="F4" s="209" t="s">
        <v>40</v>
      </c>
      <c r="G4" s="954" t="s">
        <v>968</v>
      </c>
      <c r="H4" s="954" t="s">
        <v>18</v>
      </c>
      <c r="I4" s="954" t="s">
        <v>39</v>
      </c>
      <c r="J4" s="954" t="s">
        <v>40</v>
      </c>
      <c r="K4" s="954"/>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94" t="s">
        <v>55</v>
      </c>
      <c r="BA4" s="94" t="s">
        <v>18</v>
      </c>
      <c r="BB4" s="95" t="s">
        <v>39</v>
      </c>
      <c r="BC4" s="209" t="s">
        <v>40</v>
      </c>
      <c r="BD4" s="95" t="s">
        <v>19</v>
      </c>
      <c r="BE4" s="94" t="s">
        <v>55</v>
      </c>
      <c r="BF4" s="94" t="s">
        <v>18</v>
      </c>
      <c r="BG4" s="95" t="s">
        <v>39</v>
      </c>
      <c r="BH4" s="209" t="s">
        <v>40</v>
      </c>
      <c r="BI4" s="95" t="s">
        <v>19</v>
      </c>
    </row>
    <row r="5" spans="1:66" s="88" customFormat="1" ht="14.4" thickBot="1">
      <c r="A5" s="83"/>
      <c r="B5" s="84" t="s">
        <v>10</v>
      </c>
      <c r="C5" s="85">
        <f>C6</f>
        <v>5476391</v>
      </c>
      <c r="D5" s="85">
        <f>D6</f>
        <v>0</v>
      </c>
      <c r="E5" s="86">
        <f>E6</f>
        <v>5476391</v>
      </c>
      <c r="F5" s="87"/>
      <c r="G5" s="87">
        <v>15472429.210000003</v>
      </c>
      <c r="H5" s="87">
        <v>0</v>
      </c>
      <c r="I5" s="87">
        <v>15472429.210000003</v>
      </c>
      <c r="J5" s="87"/>
      <c r="K5" s="620"/>
      <c r="L5" s="87">
        <f>L6</f>
        <v>0</v>
      </c>
      <c r="M5" s="87">
        <f>M6</f>
        <v>0</v>
      </c>
      <c r="N5" s="87">
        <f>N6</f>
        <v>0</v>
      </c>
      <c r="O5" s="87"/>
      <c r="P5" s="87"/>
      <c r="Q5" s="87">
        <f>Q6</f>
        <v>307331.64</v>
      </c>
      <c r="R5" s="87">
        <f>R6</f>
        <v>0</v>
      </c>
      <c r="S5" s="87">
        <f>S6</f>
        <v>307331.64</v>
      </c>
      <c r="T5" s="87"/>
      <c r="U5" s="87"/>
      <c r="V5" s="87">
        <f>V6+V7</f>
        <v>0</v>
      </c>
      <c r="W5" s="87">
        <f>W6+W7</f>
        <v>0</v>
      </c>
      <c r="X5" s="87">
        <f>X6+X7</f>
        <v>0</v>
      </c>
      <c r="Y5" s="87"/>
      <c r="Z5" s="87"/>
      <c r="AA5" s="87">
        <f>AA6+AA7</f>
        <v>0</v>
      </c>
      <c r="AB5" s="87">
        <f>AB6+AB7</f>
        <v>0</v>
      </c>
      <c r="AC5" s="87">
        <f>AC6+AC7</f>
        <v>0</v>
      </c>
      <c r="AD5" s="87"/>
      <c r="AE5" s="87"/>
      <c r="AF5" s="87">
        <f>AF6+AF7</f>
        <v>0</v>
      </c>
      <c r="AG5" s="87">
        <f>AG6+AG7</f>
        <v>0</v>
      </c>
      <c r="AH5" s="87">
        <f>AH6+AH7</f>
        <v>0</v>
      </c>
      <c r="AI5" s="87"/>
      <c r="AJ5" s="87"/>
      <c r="AK5" s="87">
        <f>AK6+AK7</f>
        <v>0</v>
      </c>
      <c r="AL5" s="87">
        <f>AL6+AL7</f>
        <v>0</v>
      </c>
      <c r="AM5" s="87">
        <f>AM6+AM7</f>
        <v>0</v>
      </c>
      <c r="AN5" s="87"/>
      <c r="AO5" s="87"/>
      <c r="AP5" s="87">
        <f>AP6+AP7</f>
        <v>0</v>
      </c>
      <c r="AQ5" s="87">
        <f>AQ6+AQ7</f>
        <v>0</v>
      </c>
      <c r="AR5" s="87">
        <f>AR6+AR7</f>
        <v>0</v>
      </c>
      <c r="AS5" s="87"/>
      <c r="AT5" s="87"/>
      <c r="AU5" s="87">
        <f>AU6+AU7</f>
        <v>0</v>
      </c>
      <c r="AV5" s="87">
        <f>AV6+AV7</f>
        <v>0</v>
      </c>
      <c r="AW5" s="87">
        <f>AW6+AW7</f>
        <v>0</v>
      </c>
      <c r="AX5" s="87"/>
      <c r="AY5" s="87"/>
      <c r="AZ5" s="87">
        <f>AZ6+AZ7</f>
        <v>0</v>
      </c>
      <c r="BA5" s="87">
        <f>BA6+BA7</f>
        <v>0</v>
      </c>
      <c r="BB5" s="87">
        <f>BB6+BB7</f>
        <v>0</v>
      </c>
      <c r="BC5" s="87"/>
      <c r="BD5" s="87"/>
      <c r="BE5" s="87">
        <f>BE6+BE7</f>
        <v>15779760.850000003</v>
      </c>
      <c r="BF5" s="87">
        <f>BF6+BF7</f>
        <v>0</v>
      </c>
      <c r="BG5" s="87">
        <f>BG6+BG7</f>
        <v>15779760.850000003</v>
      </c>
      <c r="BH5" s="87"/>
      <c r="BI5" s="87"/>
    </row>
    <row r="6" spans="1:66" s="2" customFormat="1" ht="27.6" outlineLevel="1">
      <c r="A6" s="238"/>
      <c r="B6" s="9" t="s">
        <v>17</v>
      </c>
      <c r="C6" s="104">
        <v>5476391</v>
      </c>
      <c r="D6" s="105"/>
      <c r="E6" s="106">
        <f>C6+D6</f>
        <v>5476391</v>
      </c>
      <c r="F6" s="39"/>
      <c r="G6" s="39">
        <v>15414829.210000003</v>
      </c>
      <c r="H6" s="39">
        <v>0</v>
      </c>
      <c r="I6" s="106">
        <v>15414829.210000003</v>
      </c>
      <c r="J6" s="39"/>
      <c r="K6" s="452" t="e">
        <f>#REF!+'PL_Ладыжин-2'!Q6+Олияр!Q6+Турбина!Q6+'Приднепровский МЄЗ 2'!Q6+#REF!+Глухов!Q6+#REF!+#REF!+#REF!+Славута!Q6+PL_Производство!W6+PL_Металлизация!R6+'Нежин-2'!Q6</f>
        <v>#REF!</v>
      </c>
      <c r="L6" s="39"/>
      <c r="M6" s="39"/>
      <c r="N6" s="106">
        <f>L6+M6</f>
        <v>0</v>
      </c>
      <c r="O6" s="39"/>
      <c r="P6" s="39"/>
      <c r="Q6" s="39">
        <f>307331.64</f>
        <v>307331.64</v>
      </c>
      <c r="R6" s="39"/>
      <c r="S6" s="106">
        <f>Q6+R6</f>
        <v>307331.64</v>
      </c>
      <c r="T6" s="39"/>
      <c r="U6" s="388" t="s">
        <v>1061</v>
      </c>
      <c r="V6" s="39"/>
      <c r="W6" s="39"/>
      <c r="X6" s="106">
        <f>V6+W6</f>
        <v>0</v>
      </c>
      <c r="Y6" s="39"/>
      <c r="Z6" s="39"/>
      <c r="AA6" s="39"/>
      <c r="AB6" s="39"/>
      <c r="AC6" s="106">
        <f>AA6+AB6</f>
        <v>0</v>
      </c>
      <c r="AD6" s="39"/>
      <c r="AE6" s="39"/>
      <c r="AF6" s="39"/>
      <c r="AG6" s="39"/>
      <c r="AH6" s="106">
        <f>AF6+AG6</f>
        <v>0</v>
      </c>
      <c r="AI6" s="39"/>
      <c r="AJ6" s="39"/>
      <c r="AK6" s="39"/>
      <c r="AL6" s="39"/>
      <c r="AM6" s="106">
        <f>AK6+AL6</f>
        <v>0</v>
      </c>
      <c r="AN6" s="39"/>
      <c r="AO6" s="39"/>
      <c r="AP6" s="39"/>
      <c r="AQ6" s="39"/>
      <c r="AR6" s="106">
        <f>AP6+AQ6</f>
        <v>0</v>
      </c>
      <c r="AS6" s="39"/>
      <c r="AT6" s="39"/>
      <c r="AU6" s="39"/>
      <c r="AV6" s="39"/>
      <c r="AW6" s="106">
        <f>AU6+AV6</f>
        <v>0</v>
      </c>
      <c r="AX6" s="39"/>
      <c r="AY6" s="39"/>
      <c r="AZ6" s="39"/>
      <c r="BA6" s="39"/>
      <c r="BB6" s="106">
        <f>AZ6+BA6</f>
        <v>0</v>
      </c>
      <c r="BC6" s="39"/>
      <c r="BD6" s="39"/>
      <c r="BE6" s="39">
        <f>L6+G6+Q6</f>
        <v>15722160.850000003</v>
      </c>
      <c r="BF6" s="39">
        <f>H6+M6+R6</f>
        <v>0</v>
      </c>
      <c r="BG6" s="106">
        <f>BE6+BF6</f>
        <v>15722160.850000003</v>
      </c>
      <c r="BH6" s="39"/>
      <c r="BI6" s="39"/>
    </row>
    <row r="7" spans="1:66" s="2" customFormat="1" ht="33.6" customHeight="1" outlineLevel="1" collapsed="1" thickBot="1">
      <c r="A7" s="238"/>
      <c r="B7" s="10" t="s">
        <v>41</v>
      </c>
      <c r="C7" s="107"/>
      <c r="D7" s="621"/>
      <c r="E7" s="622">
        <f>C7+D7</f>
        <v>0</v>
      </c>
      <c r="F7" s="612"/>
      <c r="G7" s="535">
        <v>57600</v>
      </c>
      <c r="H7" s="535">
        <v>0</v>
      </c>
      <c r="I7" s="622">
        <v>57600</v>
      </c>
      <c r="J7" s="612"/>
      <c r="K7" s="535"/>
      <c r="L7" s="535"/>
      <c r="M7" s="535"/>
      <c r="N7" s="622">
        <f>L7+M7</f>
        <v>0</v>
      </c>
      <c r="O7" s="612"/>
      <c r="P7" s="612"/>
      <c r="Q7" s="535"/>
      <c r="R7" s="535"/>
      <c r="S7" s="622">
        <f>Q7+R7</f>
        <v>0</v>
      </c>
      <c r="T7" s="612"/>
      <c r="U7" s="612"/>
      <c r="V7" s="535"/>
      <c r="W7" s="535"/>
      <c r="X7" s="622">
        <f>V7+W7</f>
        <v>0</v>
      </c>
      <c r="Y7" s="612"/>
      <c r="Z7" s="612"/>
      <c r="AA7" s="535"/>
      <c r="AB7" s="535"/>
      <c r="AC7" s="622">
        <f>AA7+AB7</f>
        <v>0</v>
      </c>
      <c r="AD7" s="612"/>
      <c r="AE7" s="612"/>
      <c r="AF7" s="535"/>
      <c r="AG7" s="535"/>
      <c r="AH7" s="622">
        <f>AF7+AG7</f>
        <v>0</v>
      </c>
      <c r="AI7" s="612"/>
      <c r="AJ7" s="612"/>
      <c r="AK7" s="535"/>
      <c r="AL7" s="535"/>
      <c r="AM7" s="622">
        <f>AK7+AL7</f>
        <v>0</v>
      </c>
      <c r="AN7" s="612"/>
      <c r="AO7" s="612"/>
      <c r="AP7" s="535"/>
      <c r="AQ7" s="535"/>
      <c r="AR7" s="622">
        <f>AP7+AQ7</f>
        <v>0</v>
      </c>
      <c r="AS7" s="612"/>
      <c r="AT7" s="612"/>
      <c r="AU7" s="535"/>
      <c r="AV7" s="535"/>
      <c r="AW7" s="622">
        <f>AU7+AV7</f>
        <v>0</v>
      </c>
      <c r="AX7" s="612"/>
      <c r="AY7" s="612"/>
      <c r="AZ7" s="535"/>
      <c r="BA7" s="535"/>
      <c r="BB7" s="622">
        <f>AZ7+BA7</f>
        <v>0</v>
      </c>
      <c r="BC7" s="612"/>
      <c r="BD7" s="612"/>
      <c r="BE7" s="39">
        <f>L7+G7+Q7</f>
        <v>57600</v>
      </c>
      <c r="BF7" s="39">
        <f>H7+M7+R7</f>
        <v>0</v>
      </c>
      <c r="BG7" s="622">
        <f>BE7+BF7</f>
        <v>57600</v>
      </c>
      <c r="BH7" s="612"/>
      <c r="BI7" s="612"/>
    </row>
    <row r="8" spans="1:66" s="88" customFormat="1" ht="15" customHeight="1" outlineLevel="1" thickBot="1">
      <c r="A8" s="238"/>
      <c r="B8" s="880" t="s">
        <v>16</v>
      </c>
      <c r="C8" s="881">
        <f>SUM(C9:C33)</f>
        <v>2127977</v>
      </c>
      <c r="D8" s="881">
        <f>SUM(D9:D33)</f>
        <v>1650381</v>
      </c>
      <c r="E8" s="882">
        <f>SUM(E9:E33)</f>
        <v>3778358</v>
      </c>
      <c r="F8" s="651">
        <f t="shared" ref="F8:F21" si="0">E8/$E$89</f>
        <v>0.88992434004513266</v>
      </c>
      <c r="G8" s="881">
        <v>6026738.9539999999</v>
      </c>
      <c r="H8" s="881">
        <v>4106329.74</v>
      </c>
      <c r="I8" s="882">
        <v>10133068.693999998</v>
      </c>
      <c r="J8" s="651">
        <v>0.89880331520592704</v>
      </c>
      <c r="K8" s="973"/>
      <c r="L8" s="881">
        <f>SUM(L9:L33)</f>
        <v>1700</v>
      </c>
      <c r="M8" s="881">
        <f>SUM(M9:M33)</f>
        <v>18797</v>
      </c>
      <c r="N8" s="882">
        <f>SUM(N9:N33)</f>
        <v>20497</v>
      </c>
      <c r="O8" s="651">
        <f>N8/$N$89</f>
        <v>0.68632612131533399</v>
      </c>
      <c r="P8" s="883"/>
      <c r="Q8" s="881">
        <f>SUM(Q9:Q33)</f>
        <v>18428.208000000002</v>
      </c>
      <c r="R8" s="881">
        <f>SUM(R9:R33)</f>
        <v>90781.43</v>
      </c>
      <c r="S8" s="882">
        <f>SUM(S9:S33)</f>
        <v>109209.63799999999</v>
      </c>
      <c r="T8" s="651">
        <f>S8/$S$89</f>
        <v>0.88951271267295651</v>
      </c>
      <c r="U8" s="883"/>
      <c r="V8" s="881">
        <f>SUM(V9:V33)</f>
        <v>0</v>
      </c>
      <c r="W8" s="881">
        <f>SUM(W9:W33)</f>
        <v>0</v>
      </c>
      <c r="X8" s="882">
        <f>SUM(X9:X33)</f>
        <v>0</v>
      </c>
      <c r="Y8" s="651" t="e">
        <f>X8/$X$89</f>
        <v>#DIV/0!</v>
      </c>
      <c r="Z8" s="883"/>
      <c r="AA8" s="881">
        <f>SUM(AA9:AA33)</f>
        <v>0</v>
      </c>
      <c r="AB8" s="881">
        <f>SUM(AB9:AB33)</f>
        <v>0</v>
      </c>
      <c r="AC8" s="882">
        <f>SUM(AC9:AC33)</f>
        <v>0</v>
      </c>
      <c r="AD8" s="651" t="e">
        <f>AC8/$AC$89</f>
        <v>#DIV/0!</v>
      </c>
      <c r="AE8" s="883"/>
      <c r="AF8" s="881">
        <f>SUM(AF9:AF33)</f>
        <v>0</v>
      </c>
      <c r="AG8" s="881">
        <f>SUM(AG9:AG33)</f>
        <v>0</v>
      </c>
      <c r="AH8" s="882">
        <f>SUM(AH9:AH33)</f>
        <v>0</v>
      </c>
      <c r="AI8" s="651" t="e">
        <f>AH8/$AH$89</f>
        <v>#DIV/0!</v>
      </c>
      <c r="AJ8" s="883"/>
      <c r="AK8" s="881">
        <f>SUM(AK9:AK33)</f>
        <v>0</v>
      </c>
      <c r="AL8" s="881">
        <f>SUM(AL9:AL33)</f>
        <v>0</v>
      </c>
      <c r="AM8" s="882">
        <f>SUM(AM9:AM33)</f>
        <v>0</v>
      </c>
      <c r="AN8" s="651" t="e">
        <f t="shared" ref="AN8:AN33" si="1">AM8/$AM$89</f>
        <v>#DIV/0!</v>
      </c>
      <c r="AO8" s="883"/>
      <c r="AP8" s="881">
        <f>SUM(AP9:AP33)</f>
        <v>0</v>
      </c>
      <c r="AQ8" s="881">
        <f>SUM(AQ9:AQ33)</f>
        <v>0</v>
      </c>
      <c r="AR8" s="882">
        <f>SUM(AR9:AR33)</f>
        <v>0</v>
      </c>
      <c r="AS8" s="651" t="e">
        <f>AR8/$AR$89</f>
        <v>#DIV/0!</v>
      </c>
      <c r="AT8" s="883"/>
      <c r="AU8" s="881">
        <f>SUM(AU9:AU33)</f>
        <v>0</v>
      </c>
      <c r="AV8" s="881">
        <f>SUM(AV9:AV33)</f>
        <v>0</v>
      </c>
      <c r="AW8" s="882">
        <f>SUM(AW9:AW33)</f>
        <v>0</v>
      </c>
      <c r="AX8" s="651">
        <f>AW8/$AW$89</f>
        <v>0</v>
      </c>
      <c r="AY8" s="883"/>
      <c r="AZ8" s="881">
        <f>SUM(AZ9:AZ33)</f>
        <v>0</v>
      </c>
      <c r="BA8" s="881">
        <f>SUM(BA9:BA33)</f>
        <v>0</v>
      </c>
      <c r="BB8" s="882">
        <f>SUM(BB9:BB33)</f>
        <v>0</v>
      </c>
      <c r="BC8" s="651" t="e">
        <f>BB8/$AR$89</f>
        <v>#DIV/0!</v>
      </c>
      <c r="BD8" s="883"/>
      <c r="BE8" s="618">
        <f>SUM(BE9:BE33)</f>
        <v>6043458.8319999995</v>
      </c>
      <c r="BF8" s="618">
        <f>SUM(BF9:BF33)</f>
        <v>4215908.17</v>
      </c>
      <c r="BG8" s="619">
        <f>SUM(BG9:BG33)</f>
        <v>10259367.001999998</v>
      </c>
      <c r="BH8" s="577">
        <f>BG8/$BG$89</f>
        <v>0.89784987527895943</v>
      </c>
      <c r="BI8" s="620"/>
      <c r="BJ8" s="929"/>
      <c r="BK8" s="929"/>
    </row>
    <row r="9" spans="1:66" s="2" customFormat="1" ht="92.4" customHeight="1" outlineLevel="2">
      <c r="A9" s="321"/>
      <c r="B9" s="481" t="s">
        <v>74</v>
      </c>
      <c r="C9" s="482">
        <v>217109</v>
      </c>
      <c r="D9" s="483"/>
      <c r="E9" s="484">
        <f>C9+D9</f>
        <v>217109</v>
      </c>
      <c r="F9" s="485">
        <f t="shared" si="0"/>
        <v>5.1136124089580369E-2</v>
      </c>
      <c r="G9" s="488">
        <v>610822.25999999989</v>
      </c>
      <c r="H9" s="488">
        <v>10000</v>
      </c>
      <c r="I9" s="489">
        <v>620822.25999999989</v>
      </c>
      <c r="J9" s="485">
        <v>5.5066941939517063E-2</v>
      </c>
      <c r="K9" s="485"/>
      <c r="L9" s="488"/>
      <c r="M9" s="488"/>
      <c r="N9" s="489">
        <f>L9+M9*1</f>
        <v>0</v>
      </c>
      <c r="O9" s="485">
        <f>N9/$N$89</f>
        <v>0</v>
      </c>
      <c r="P9" s="879"/>
      <c r="Q9" s="488"/>
      <c r="R9" s="488"/>
      <c r="S9" s="489">
        <f>Q9+R9*1</f>
        <v>0</v>
      </c>
      <c r="T9" s="485">
        <f t="shared" ref="T9:T71" si="2">S9/$S$89</f>
        <v>0</v>
      </c>
      <c r="U9" s="879"/>
      <c r="V9" s="488"/>
      <c r="W9" s="488"/>
      <c r="X9" s="489">
        <f>V9+W9*1</f>
        <v>0</v>
      </c>
      <c r="Y9" s="485" t="e">
        <f>X9/$X$89</f>
        <v>#DIV/0!</v>
      </c>
      <c r="Z9" s="879"/>
      <c r="AA9" s="488"/>
      <c r="AB9" s="488"/>
      <c r="AC9" s="489">
        <f>AA9+AB9*1</f>
        <v>0</v>
      </c>
      <c r="AD9" s="485" t="e">
        <f t="shared" ref="AD9:AD71" si="3">AC9/$AC$89</f>
        <v>#DIV/0!</v>
      </c>
      <c r="AE9" s="879"/>
      <c r="AF9" s="488"/>
      <c r="AG9" s="488"/>
      <c r="AH9" s="489">
        <f>AF9+AG9*1</f>
        <v>0</v>
      </c>
      <c r="AI9" s="485" t="e">
        <f t="shared" ref="AI9:AI33" si="4">AH9/$AH$89</f>
        <v>#DIV/0!</v>
      </c>
      <c r="AJ9" s="879"/>
      <c r="AK9" s="488"/>
      <c r="AL9" s="488"/>
      <c r="AM9" s="489">
        <f>AK9+AL9*1</f>
        <v>0</v>
      </c>
      <c r="AN9" s="485" t="e">
        <f t="shared" si="1"/>
        <v>#DIV/0!</v>
      </c>
      <c r="AO9" s="879"/>
      <c r="AP9" s="488"/>
      <c r="AQ9" s="488"/>
      <c r="AR9" s="489">
        <f>AP9+AQ9*1</f>
        <v>0</v>
      </c>
      <c r="AS9" s="485"/>
      <c r="AT9" s="879"/>
      <c r="AU9" s="488"/>
      <c r="AV9" s="488"/>
      <c r="AW9" s="489">
        <f>AU9+AV9*1</f>
        <v>0</v>
      </c>
      <c r="AX9" s="485">
        <f t="shared" ref="AX9:AX33" si="5">AW9/$AW$89</f>
        <v>0</v>
      </c>
      <c r="AY9" s="879"/>
      <c r="AZ9" s="488"/>
      <c r="BA9" s="488"/>
      <c r="BB9" s="489">
        <f>AZ9+BA9*1</f>
        <v>0</v>
      </c>
      <c r="BC9" s="485" t="e">
        <f t="shared" ref="BC9:BC33" si="6">BB9/$AR$89</f>
        <v>#DIV/0!</v>
      </c>
      <c r="BD9" s="879" t="s">
        <v>953</v>
      </c>
      <c r="BE9" s="39">
        <f t="shared" ref="BE9:BE33" si="7">L9+G9+Q9</f>
        <v>610822.25999999989</v>
      </c>
      <c r="BF9" s="39">
        <f t="shared" ref="BF9:BF33" si="8">H9+M9+R9</f>
        <v>10000</v>
      </c>
      <c r="BG9" s="446">
        <f t="shared" ref="BG9:BG33" si="9">BE9+BF9</f>
        <v>620822.25999999989</v>
      </c>
      <c r="BH9" s="447">
        <f>BG9/$BG$89</f>
        <v>5.4331343113345983E-2</v>
      </c>
      <c r="BI9" s="456"/>
      <c r="BJ9" s="842"/>
      <c r="BK9" s="842"/>
      <c r="BM9" s="842"/>
      <c r="BN9" s="842"/>
    </row>
    <row r="10" spans="1:66" s="2" customFormat="1" ht="37.200000000000003" customHeight="1" outlineLevel="2">
      <c r="A10" s="238"/>
      <c r="B10" s="492" t="s">
        <v>72</v>
      </c>
      <c r="C10" s="111">
        <v>52592</v>
      </c>
      <c r="D10" s="493"/>
      <c r="E10" s="446">
        <f t="shared" ref="E10:E33" si="10">C10+D10</f>
        <v>52592</v>
      </c>
      <c r="F10" s="447">
        <f t="shared" si="0"/>
        <v>1.2387100664270992E-2</v>
      </c>
      <c r="G10" s="452">
        <v>163486.46</v>
      </c>
      <c r="H10" s="452">
        <v>0</v>
      </c>
      <c r="I10" s="453">
        <v>163486.46</v>
      </c>
      <c r="J10" s="450">
        <v>1.4501250971118819E-2</v>
      </c>
      <c r="K10" s="447"/>
      <c r="L10" s="452"/>
      <c r="M10" s="452"/>
      <c r="N10" s="453">
        <f t="shared" ref="N10:N22" si="11">L10+M10*1</f>
        <v>0</v>
      </c>
      <c r="O10" s="450">
        <f t="shared" ref="O10:O33" si="12">N10/$N$89</f>
        <v>0</v>
      </c>
      <c r="P10" s="458"/>
      <c r="Q10" s="452"/>
      <c r="R10" s="452"/>
      <c r="S10" s="453">
        <f t="shared" ref="S10:S22" si="13">Q10+R10*1</f>
        <v>0</v>
      </c>
      <c r="T10" s="450">
        <f t="shared" si="2"/>
        <v>0</v>
      </c>
      <c r="U10" s="458"/>
      <c r="V10" s="452"/>
      <c r="W10" s="452"/>
      <c r="X10" s="453">
        <f t="shared" ref="X10:X22" si="14">V10+W10*1</f>
        <v>0</v>
      </c>
      <c r="Y10" s="450" t="e">
        <f t="shared" ref="Y10:Y33" si="15">X10/$X$89</f>
        <v>#DIV/0!</v>
      </c>
      <c r="Z10" s="458"/>
      <c r="AA10" s="452"/>
      <c r="AB10" s="452"/>
      <c r="AC10" s="453">
        <f t="shared" ref="AC10:AC22" si="16">AA10+AB10*1</f>
        <v>0</v>
      </c>
      <c r="AD10" s="450" t="e">
        <f t="shared" si="3"/>
        <v>#DIV/0!</v>
      </c>
      <c r="AE10" s="458"/>
      <c r="AF10" s="452"/>
      <c r="AG10" s="452"/>
      <c r="AH10" s="453">
        <f t="shared" ref="AH10:AH22" si="17">AF10+AG10*1</f>
        <v>0</v>
      </c>
      <c r="AI10" s="450" t="e">
        <f t="shared" si="4"/>
        <v>#DIV/0!</v>
      </c>
      <c r="AJ10" s="458"/>
      <c r="AK10" s="452"/>
      <c r="AL10" s="452"/>
      <c r="AM10" s="453">
        <f t="shared" ref="AM10:AM22" si="18">AK10+AL10*1</f>
        <v>0</v>
      </c>
      <c r="AN10" s="450" t="e">
        <f t="shared" si="1"/>
        <v>#DIV/0!</v>
      </c>
      <c r="AO10" s="458"/>
      <c r="AP10" s="452"/>
      <c r="AQ10" s="452"/>
      <c r="AR10" s="453">
        <f t="shared" ref="AR10:AR22" si="19">AP10+AQ10*1</f>
        <v>0</v>
      </c>
      <c r="AS10" s="450" t="e">
        <f t="shared" ref="AS10:AS33" si="20">AR10/$AR$89</f>
        <v>#DIV/0!</v>
      </c>
      <c r="AT10" s="458"/>
      <c r="AU10" s="452"/>
      <c r="AV10" s="452"/>
      <c r="AW10" s="453">
        <f t="shared" ref="AW10:AW22" si="21">AU10+AV10*1</f>
        <v>0</v>
      </c>
      <c r="AX10" s="450">
        <f t="shared" si="5"/>
        <v>0</v>
      </c>
      <c r="AY10" s="458"/>
      <c r="AZ10" s="452"/>
      <c r="BA10" s="452"/>
      <c r="BB10" s="453">
        <f t="shared" ref="BB10:BB22" si="22">AZ10+BA10*1</f>
        <v>0</v>
      </c>
      <c r="BC10" s="450" t="e">
        <f t="shared" si="6"/>
        <v>#DIV/0!</v>
      </c>
      <c r="BD10" s="458"/>
      <c r="BE10" s="39">
        <f t="shared" si="7"/>
        <v>163486.46</v>
      </c>
      <c r="BF10" s="39">
        <f t="shared" si="8"/>
        <v>0</v>
      </c>
      <c r="BG10" s="106">
        <f t="shared" si="9"/>
        <v>163486.46</v>
      </c>
      <c r="BH10" s="178">
        <f t="shared" ref="BH10:BH21" si="23">BG10/$BG$89</f>
        <v>1.4307539411757424E-2</v>
      </c>
      <c r="BI10" s="42"/>
      <c r="BJ10" s="842"/>
      <c r="BK10" s="842"/>
      <c r="BM10" s="842"/>
      <c r="BN10" s="842"/>
    </row>
    <row r="11" spans="1:66" s="2" customFormat="1" ht="30.6" customHeight="1" outlineLevel="2">
      <c r="A11" s="238"/>
      <c r="B11" s="492" t="s">
        <v>69</v>
      </c>
      <c r="C11" s="111">
        <v>59334</v>
      </c>
      <c r="D11" s="493"/>
      <c r="E11" s="446">
        <f t="shared" si="10"/>
        <v>59334</v>
      </c>
      <c r="F11" s="447">
        <f t="shared" si="0"/>
        <v>1.3975057628800103E-2</v>
      </c>
      <c r="G11" s="452">
        <v>184446.27</v>
      </c>
      <c r="H11" s="452">
        <v>0</v>
      </c>
      <c r="I11" s="453">
        <v>184446.27</v>
      </c>
      <c r="J11" s="450">
        <v>1.6360386370570038E-2</v>
      </c>
      <c r="K11" s="447"/>
      <c r="L11" s="452"/>
      <c r="M11" s="452"/>
      <c r="N11" s="453">
        <f t="shared" si="11"/>
        <v>0</v>
      </c>
      <c r="O11" s="450">
        <f t="shared" si="12"/>
        <v>0</v>
      </c>
      <c r="P11" s="458"/>
      <c r="Q11" s="452"/>
      <c r="R11" s="452"/>
      <c r="S11" s="453">
        <f t="shared" si="13"/>
        <v>0</v>
      </c>
      <c r="T11" s="450">
        <f t="shared" si="2"/>
        <v>0</v>
      </c>
      <c r="U11" s="458"/>
      <c r="V11" s="452"/>
      <c r="W11" s="452"/>
      <c r="X11" s="453">
        <f t="shared" si="14"/>
        <v>0</v>
      </c>
      <c r="Y11" s="450" t="e">
        <f t="shared" si="15"/>
        <v>#DIV/0!</v>
      </c>
      <c r="Z11" s="458"/>
      <c r="AA11" s="452"/>
      <c r="AB11" s="452"/>
      <c r="AC11" s="453">
        <f t="shared" si="16"/>
        <v>0</v>
      </c>
      <c r="AD11" s="450" t="e">
        <f t="shared" si="3"/>
        <v>#DIV/0!</v>
      </c>
      <c r="AE11" s="458"/>
      <c r="AF11" s="452"/>
      <c r="AG11" s="452"/>
      <c r="AH11" s="453">
        <f t="shared" si="17"/>
        <v>0</v>
      </c>
      <c r="AI11" s="450" t="e">
        <f t="shared" si="4"/>
        <v>#DIV/0!</v>
      </c>
      <c r="AJ11" s="458"/>
      <c r="AK11" s="452"/>
      <c r="AL11" s="452"/>
      <c r="AM11" s="453">
        <f t="shared" si="18"/>
        <v>0</v>
      </c>
      <c r="AN11" s="450" t="e">
        <f t="shared" si="1"/>
        <v>#DIV/0!</v>
      </c>
      <c r="AO11" s="458"/>
      <c r="AP11" s="452"/>
      <c r="AQ11" s="452"/>
      <c r="AR11" s="453">
        <f t="shared" si="19"/>
        <v>0</v>
      </c>
      <c r="AS11" s="450" t="e">
        <f t="shared" si="20"/>
        <v>#DIV/0!</v>
      </c>
      <c r="AT11" s="458"/>
      <c r="AU11" s="452"/>
      <c r="AV11" s="452"/>
      <c r="AW11" s="453">
        <f t="shared" si="21"/>
        <v>0</v>
      </c>
      <c r="AX11" s="450">
        <f t="shared" si="5"/>
        <v>0</v>
      </c>
      <c r="AY11" s="458"/>
      <c r="AZ11" s="452"/>
      <c r="BA11" s="452"/>
      <c r="BB11" s="453">
        <f t="shared" si="22"/>
        <v>0</v>
      </c>
      <c r="BC11" s="450" t="e">
        <f t="shared" si="6"/>
        <v>#DIV/0!</v>
      </c>
      <c r="BD11" s="458" t="s">
        <v>947</v>
      </c>
      <c r="BE11" s="39">
        <f t="shared" si="7"/>
        <v>184446.27</v>
      </c>
      <c r="BF11" s="39">
        <f t="shared" si="8"/>
        <v>0</v>
      </c>
      <c r="BG11" s="106">
        <f t="shared" si="9"/>
        <v>184446.27</v>
      </c>
      <c r="BH11" s="178">
        <f t="shared" si="23"/>
        <v>1.6141839987095268E-2</v>
      </c>
      <c r="BI11" s="42"/>
      <c r="BJ11" s="842"/>
      <c r="BK11" s="842"/>
      <c r="BM11" s="842"/>
      <c r="BN11" s="842"/>
    </row>
    <row r="12" spans="1:66" s="2" customFormat="1" ht="36" customHeight="1" outlineLevel="2">
      <c r="A12" s="238"/>
      <c r="B12" s="492" t="s">
        <v>73</v>
      </c>
      <c r="C12" s="111">
        <v>39284</v>
      </c>
      <c r="D12" s="493">
        <v>172716</v>
      </c>
      <c r="E12" s="446">
        <f t="shared" si="10"/>
        <v>212000</v>
      </c>
      <c r="F12" s="447">
        <f t="shared" si="0"/>
        <v>4.9932790934466273E-2</v>
      </c>
      <c r="G12" s="452">
        <v>9282.7999999999993</v>
      </c>
      <c r="H12" s="452">
        <v>80398.23000000001</v>
      </c>
      <c r="I12" s="453">
        <v>89681.030000000013</v>
      </c>
      <c r="J12" s="450">
        <v>7.9547084411665421E-3</v>
      </c>
      <c r="K12" s="447"/>
      <c r="L12" s="452"/>
      <c r="M12" s="452"/>
      <c r="N12" s="453">
        <f t="shared" si="11"/>
        <v>0</v>
      </c>
      <c r="O12" s="450">
        <f t="shared" si="12"/>
        <v>0</v>
      </c>
      <c r="P12" s="458"/>
      <c r="Q12" s="452"/>
      <c r="R12" s="452"/>
      <c r="S12" s="453">
        <f t="shared" si="13"/>
        <v>0</v>
      </c>
      <c r="T12" s="450">
        <f t="shared" si="2"/>
        <v>0</v>
      </c>
      <c r="U12" s="458"/>
      <c r="V12" s="452"/>
      <c r="W12" s="452"/>
      <c r="X12" s="453">
        <f t="shared" si="14"/>
        <v>0</v>
      </c>
      <c r="Y12" s="450" t="e">
        <f t="shared" si="15"/>
        <v>#DIV/0!</v>
      </c>
      <c r="Z12" s="458"/>
      <c r="AA12" s="452"/>
      <c r="AB12" s="452"/>
      <c r="AC12" s="453">
        <f t="shared" si="16"/>
        <v>0</v>
      </c>
      <c r="AD12" s="450" t="e">
        <f t="shared" si="3"/>
        <v>#DIV/0!</v>
      </c>
      <c r="AE12" s="458"/>
      <c r="AF12" s="452"/>
      <c r="AG12" s="452"/>
      <c r="AH12" s="453">
        <f t="shared" si="17"/>
        <v>0</v>
      </c>
      <c r="AI12" s="450" t="e">
        <f t="shared" si="4"/>
        <v>#DIV/0!</v>
      </c>
      <c r="AJ12" s="458"/>
      <c r="AK12" s="452"/>
      <c r="AL12" s="452"/>
      <c r="AM12" s="453">
        <f t="shared" si="18"/>
        <v>0</v>
      </c>
      <c r="AN12" s="450" t="e">
        <f t="shared" si="1"/>
        <v>#DIV/0!</v>
      </c>
      <c r="AO12" s="458"/>
      <c r="AP12" s="452"/>
      <c r="AQ12" s="452"/>
      <c r="AR12" s="453">
        <f t="shared" si="19"/>
        <v>0</v>
      </c>
      <c r="AS12" s="450" t="e">
        <f t="shared" si="20"/>
        <v>#DIV/0!</v>
      </c>
      <c r="AT12" s="458"/>
      <c r="AU12" s="452"/>
      <c r="AV12" s="452"/>
      <c r="AW12" s="453">
        <f t="shared" si="21"/>
        <v>0</v>
      </c>
      <c r="AX12" s="450">
        <f t="shared" si="5"/>
        <v>0</v>
      </c>
      <c r="AY12" s="458"/>
      <c r="AZ12" s="452"/>
      <c r="BA12" s="452"/>
      <c r="BB12" s="453">
        <f t="shared" si="22"/>
        <v>0</v>
      </c>
      <c r="BC12" s="450" t="e">
        <f t="shared" si="6"/>
        <v>#DIV/0!</v>
      </c>
      <c r="BD12" s="458"/>
      <c r="BE12" s="39">
        <f t="shared" si="7"/>
        <v>9282.7999999999993</v>
      </c>
      <c r="BF12" s="39">
        <f t="shared" si="8"/>
        <v>80398.23000000001</v>
      </c>
      <c r="BG12" s="106">
        <f t="shared" si="9"/>
        <v>89681.030000000013</v>
      </c>
      <c r="BH12" s="178">
        <f t="shared" si="23"/>
        <v>7.848447334488742E-3</v>
      </c>
      <c r="BI12" s="42"/>
      <c r="BJ12" s="842"/>
      <c r="BK12" s="842"/>
      <c r="BM12" s="842"/>
      <c r="BN12" s="842"/>
    </row>
    <row r="13" spans="1:66" s="2" customFormat="1" ht="54" customHeight="1" outlineLevel="2">
      <c r="A13" s="238"/>
      <c r="B13" s="492" t="s">
        <v>71</v>
      </c>
      <c r="C13" s="111">
        <v>15431</v>
      </c>
      <c r="D13" s="493"/>
      <c r="E13" s="446">
        <f t="shared" si="10"/>
        <v>15431</v>
      </c>
      <c r="F13" s="447">
        <f t="shared" si="0"/>
        <v>3.6344947967440993E-3</v>
      </c>
      <c r="G13" s="452">
        <v>6844.59</v>
      </c>
      <c r="H13" s="452">
        <v>0</v>
      </c>
      <c r="I13" s="453">
        <v>6844.59</v>
      </c>
      <c r="J13" s="450">
        <v>6.0711521543992185E-4</v>
      </c>
      <c r="K13" s="447"/>
      <c r="L13" s="452"/>
      <c r="M13" s="452"/>
      <c r="N13" s="453">
        <f t="shared" si="11"/>
        <v>0</v>
      </c>
      <c r="O13" s="450">
        <f t="shared" si="12"/>
        <v>0</v>
      </c>
      <c r="P13" s="458"/>
      <c r="Q13" s="452"/>
      <c r="R13" s="452"/>
      <c r="S13" s="453">
        <f t="shared" si="13"/>
        <v>0</v>
      </c>
      <c r="T13" s="450">
        <f t="shared" si="2"/>
        <v>0</v>
      </c>
      <c r="U13" s="458"/>
      <c r="V13" s="452"/>
      <c r="W13" s="452"/>
      <c r="X13" s="453">
        <f t="shared" si="14"/>
        <v>0</v>
      </c>
      <c r="Y13" s="450" t="e">
        <f t="shared" si="15"/>
        <v>#DIV/0!</v>
      </c>
      <c r="Z13" s="458"/>
      <c r="AA13" s="452"/>
      <c r="AB13" s="452"/>
      <c r="AC13" s="453">
        <f t="shared" si="16"/>
        <v>0</v>
      </c>
      <c r="AD13" s="450" t="e">
        <f t="shared" si="3"/>
        <v>#DIV/0!</v>
      </c>
      <c r="AE13" s="458"/>
      <c r="AF13" s="452"/>
      <c r="AG13" s="452"/>
      <c r="AH13" s="453">
        <f t="shared" si="17"/>
        <v>0</v>
      </c>
      <c r="AI13" s="450" t="e">
        <f t="shared" si="4"/>
        <v>#DIV/0!</v>
      </c>
      <c r="AJ13" s="458"/>
      <c r="AK13" s="452"/>
      <c r="AL13" s="452"/>
      <c r="AM13" s="453">
        <f t="shared" si="18"/>
        <v>0</v>
      </c>
      <c r="AN13" s="450" t="e">
        <f t="shared" si="1"/>
        <v>#DIV/0!</v>
      </c>
      <c r="AO13" s="458"/>
      <c r="AP13" s="452"/>
      <c r="AQ13" s="452"/>
      <c r="AR13" s="453">
        <f t="shared" si="19"/>
        <v>0</v>
      </c>
      <c r="AS13" s="450" t="e">
        <f t="shared" si="20"/>
        <v>#DIV/0!</v>
      </c>
      <c r="AT13" s="458"/>
      <c r="AU13" s="452"/>
      <c r="AV13" s="452"/>
      <c r="AW13" s="453">
        <f t="shared" si="21"/>
        <v>0</v>
      </c>
      <c r="AX13" s="450">
        <f t="shared" si="5"/>
        <v>0</v>
      </c>
      <c r="AY13" s="458"/>
      <c r="AZ13" s="452"/>
      <c r="BA13" s="452"/>
      <c r="BB13" s="453">
        <f t="shared" si="22"/>
        <v>0</v>
      </c>
      <c r="BC13" s="450" t="e">
        <f t="shared" si="6"/>
        <v>#DIV/0!</v>
      </c>
      <c r="BD13" s="458"/>
      <c r="BE13" s="39">
        <f t="shared" si="7"/>
        <v>6844.59</v>
      </c>
      <c r="BF13" s="39">
        <f t="shared" si="8"/>
        <v>0</v>
      </c>
      <c r="BG13" s="106">
        <f t="shared" si="9"/>
        <v>6844.59</v>
      </c>
      <c r="BH13" s="178">
        <f t="shared" si="23"/>
        <v>5.9900520925292987E-4</v>
      </c>
      <c r="BI13" s="42"/>
      <c r="BJ13" s="842"/>
      <c r="BK13" s="842"/>
      <c r="BM13" s="842"/>
      <c r="BN13" s="842"/>
    </row>
    <row r="14" spans="1:66" s="2" customFormat="1" ht="14.4" customHeight="1" outlineLevel="2">
      <c r="A14" s="238"/>
      <c r="B14" s="492" t="s">
        <v>70</v>
      </c>
      <c r="C14" s="111">
        <v>17446</v>
      </c>
      <c r="D14" s="493"/>
      <c r="E14" s="446">
        <f t="shared" si="10"/>
        <v>17446</v>
      </c>
      <c r="F14" s="447">
        <f t="shared" si="0"/>
        <v>4.1090918426542385E-3</v>
      </c>
      <c r="G14" s="452">
        <v>8835.73</v>
      </c>
      <c r="H14" s="452">
        <v>0</v>
      </c>
      <c r="I14" s="453">
        <v>8835.73</v>
      </c>
      <c r="J14" s="450">
        <v>7.8372935742228246E-4</v>
      </c>
      <c r="K14" s="447"/>
      <c r="L14" s="452"/>
      <c r="M14" s="452"/>
      <c r="N14" s="453">
        <f t="shared" si="11"/>
        <v>0</v>
      </c>
      <c r="O14" s="450">
        <f t="shared" si="12"/>
        <v>0</v>
      </c>
      <c r="P14" s="458"/>
      <c r="Q14" s="452"/>
      <c r="R14" s="452"/>
      <c r="S14" s="453">
        <f t="shared" si="13"/>
        <v>0</v>
      </c>
      <c r="T14" s="450">
        <f t="shared" si="2"/>
        <v>0</v>
      </c>
      <c r="U14" s="458"/>
      <c r="V14" s="452"/>
      <c r="W14" s="452"/>
      <c r="X14" s="453">
        <f t="shared" si="14"/>
        <v>0</v>
      </c>
      <c r="Y14" s="450" t="e">
        <f t="shared" si="15"/>
        <v>#DIV/0!</v>
      </c>
      <c r="Z14" s="458"/>
      <c r="AA14" s="452"/>
      <c r="AB14" s="452"/>
      <c r="AC14" s="453">
        <f t="shared" si="16"/>
        <v>0</v>
      </c>
      <c r="AD14" s="450" t="e">
        <f t="shared" si="3"/>
        <v>#DIV/0!</v>
      </c>
      <c r="AE14" s="458"/>
      <c r="AF14" s="452"/>
      <c r="AG14" s="452"/>
      <c r="AH14" s="453">
        <f t="shared" si="17"/>
        <v>0</v>
      </c>
      <c r="AI14" s="450" t="e">
        <f t="shared" si="4"/>
        <v>#DIV/0!</v>
      </c>
      <c r="AJ14" s="458"/>
      <c r="AK14" s="452"/>
      <c r="AL14" s="452"/>
      <c r="AM14" s="453">
        <f t="shared" si="18"/>
        <v>0</v>
      </c>
      <c r="AN14" s="450" t="e">
        <f t="shared" si="1"/>
        <v>#DIV/0!</v>
      </c>
      <c r="AO14" s="458"/>
      <c r="AP14" s="452"/>
      <c r="AQ14" s="452"/>
      <c r="AR14" s="453">
        <f t="shared" si="19"/>
        <v>0</v>
      </c>
      <c r="AS14" s="450" t="e">
        <f t="shared" si="20"/>
        <v>#DIV/0!</v>
      </c>
      <c r="AT14" s="458"/>
      <c r="AU14" s="452"/>
      <c r="AV14" s="452"/>
      <c r="AW14" s="453">
        <f t="shared" si="21"/>
        <v>0</v>
      </c>
      <c r="AX14" s="450">
        <f t="shared" si="5"/>
        <v>0</v>
      </c>
      <c r="AY14" s="458"/>
      <c r="AZ14" s="452"/>
      <c r="BA14" s="452"/>
      <c r="BB14" s="453">
        <f t="shared" si="22"/>
        <v>0</v>
      </c>
      <c r="BC14" s="450" t="e">
        <f t="shared" si="6"/>
        <v>#DIV/0!</v>
      </c>
      <c r="BD14" s="458"/>
      <c r="BE14" s="39">
        <f t="shared" si="7"/>
        <v>8835.73</v>
      </c>
      <c r="BF14" s="39">
        <f t="shared" si="8"/>
        <v>0</v>
      </c>
      <c r="BG14" s="106">
        <f t="shared" si="9"/>
        <v>8835.73</v>
      </c>
      <c r="BH14" s="178">
        <f t="shared" si="23"/>
        <v>7.7326009265016456E-4</v>
      </c>
      <c r="BI14" s="42"/>
      <c r="BJ14" s="842"/>
      <c r="BK14" s="842"/>
      <c r="BM14" s="842"/>
      <c r="BN14" s="842"/>
    </row>
    <row r="15" spans="1:66" s="2" customFormat="1" ht="14.4" customHeight="1" outlineLevel="2">
      <c r="A15" s="238"/>
      <c r="B15" s="471" t="s">
        <v>20</v>
      </c>
      <c r="C15" s="111"/>
      <c r="D15" s="445"/>
      <c r="E15" s="446">
        <f t="shared" si="10"/>
        <v>0</v>
      </c>
      <c r="F15" s="447">
        <f t="shared" si="0"/>
        <v>0</v>
      </c>
      <c r="G15" s="452">
        <v>0</v>
      </c>
      <c r="H15" s="452">
        <v>66540</v>
      </c>
      <c r="I15" s="453">
        <v>66540</v>
      </c>
      <c r="J15" s="450">
        <v>5.9020988014435337E-3</v>
      </c>
      <c r="K15" s="447"/>
      <c r="L15" s="452"/>
      <c r="M15" s="452"/>
      <c r="N15" s="453">
        <f t="shared" si="11"/>
        <v>0</v>
      </c>
      <c r="O15" s="450">
        <f t="shared" si="12"/>
        <v>0</v>
      </c>
      <c r="P15" s="458"/>
      <c r="Q15" s="452"/>
      <c r="R15" s="452"/>
      <c r="S15" s="453">
        <f t="shared" si="13"/>
        <v>0</v>
      </c>
      <c r="T15" s="450">
        <f t="shared" si="2"/>
        <v>0</v>
      </c>
      <c r="U15" s="458"/>
      <c r="V15" s="452"/>
      <c r="W15" s="452"/>
      <c r="X15" s="453">
        <f t="shared" si="14"/>
        <v>0</v>
      </c>
      <c r="Y15" s="450" t="e">
        <f t="shared" si="15"/>
        <v>#DIV/0!</v>
      </c>
      <c r="Z15" s="458"/>
      <c r="AA15" s="452"/>
      <c r="AB15" s="452"/>
      <c r="AC15" s="453">
        <f t="shared" si="16"/>
        <v>0</v>
      </c>
      <c r="AD15" s="450" t="e">
        <f t="shared" si="3"/>
        <v>#DIV/0!</v>
      </c>
      <c r="AE15" s="458"/>
      <c r="AF15" s="452"/>
      <c r="AG15" s="452"/>
      <c r="AH15" s="453">
        <f t="shared" si="17"/>
        <v>0</v>
      </c>
      <c r="AI15" s="450" t="e">
        <f t="shared" si="4"/>
        <v>#DIV/0!</v>
      </c>
      <c r="AJ15" s="458"/>
      <c r="AK15" s="452"/>
      <c r="AL15" s="452"/>
      <c r="AM15" s="453">
        <f t="shared" si="18"/>
        <v>0</v>
      </c>
      <c r="AN15" s="450" t="e">
        <f t="shared" si="1"/>
        <v>#DIV/0!</v>
      </c>
      <c r="AO15" s="458"/>
      <c r="AP15" s="452"/>
      <c r="AQ15" s="452"/>
      <c r="AR15" s="453">
        <f t="shared" si="19"/>
        <v>0</v>
      </c>
      <c r="AS15" s="450" t="e">
        <f t="shared" si="20"/>
        <v>#DIV/0!</v>
      </c>
      <c r="AT15" s="458"/>
      <c r="AU15" s="452"/>
      <c r="AV15" s="452"/>
      <c r="AW15" s="453">
        <f t="shared" si="21"/>
        <v>0</v>
      </c>
      <c r="AX15" s="450">
        <f t="shared" si="5"/>
        <v>0</v>
      </c>
      <c r="AY15" s="458"/>
      <c r="AZ15" s="452"/>
      <c r="BA15" s="452"/>
      <c r="BB15" s="453">
        <f t="shared" si="22"/>
        <v>0</v>
      </c>
      <c r="BC15" s="450" t="e">
        <f t="shared" si="6"/>
        <v>#DIV/0!</v>
      </c>
      <c r="BD15" s="458"/>
      <c r="BE15" s="39">
        <f t="shared" si="7"/>
        <v>0</v>
      </c>
      <c r="BF15" s="39">
        <f t="shared" si="8"/>
        <v>66540</v>
      </c>
      <c r="BG15" s="106">
        <f t="shared" si="9"/>
        <v>66540</v>
      </c>
      <c r="BH15" s="178">
        <f t="shared" si="23"/>
        <v>5.8232569991321552E-3</v>
      </c>
      <c r="BI15" s="42"/>
      <c r="BJ15" s="842"/>
      <c r="BK15" s="842"/>
      <c r="BM15" s="842"/>
      <c r="BN15" s="842"/>
    </row>
    <row r="16" spans="1:66" s="2" customFormat="1" ht="103.95" customHeight="1" outlineLevel="2">
      <c r="A16" s="292"/>
      <c r="B16" s="471" t="s">
        <v>21</v>
      </c>
      <c r="C16" s="111"/>
      <c r="D16" s="445">
        <v>1202415</v>
      </c>
      <c r="E16" s="446">
        <f t="shared" si="10"/>
        <v>1202415</v>
      </c>
      <c r="F16" s="447">
        <f t="shared" si="0"/>
        <v>0.28320724911068995</v>
      </c>
      <c r="G16" s="452">
        <v>0</v>
      </c>
      <c r="H16" s="452">
        <v>3465579.5100000002</v>
      </c>
      <c r="I16" s="453">
        <v>3465579.5100000002</v>
      </c>
      <c r="J16" s="450">
        <v>0.30739694427830283</v>
      </c>
      <c r="K16" s="447"/>
      <c r="L16" s="452"/>
      <c r="M16" s="452"/>
      <c r="N16" s="453">
        <f t="shared" si="11"/>
        <v>0</v>
      </c>
      <c r="O16" s="450">
        <f t="shared" si="12"/>
        <v>0</v>
      </c>
      <c r="P16" s="458"/>
      <c r="Q16" s="452"/>
      <c r="R16" s="713">
        <f>28031.43+10960+48290</f>
        <v>87281.43</v>
      </c>
      <c r="S16" s="453">
        <f t="shared" si="13"/>
        <v>87281.43</v>
      </c>
      <c r="T16" s="450">
        <f t="shared" si="2"/>
        <v>0.71090741611353725</v>
      </c>
      <c r="U16" s="458" t="s">
        <v>1049</v>
      </c>
      <c r="V16" s="452"/>
      <c r="W16" s="452"/>
      <c r="X16" s="453">
        <f t="shared" si="14"/>
        <v>0</v>
      </c>
      <c r="Y16" s="450" t="e">
        <f t="shared" si="15"/>
        <v>#DIV/0!</v>
      </c>
      <c r="Z16" s="458"/>
      <c r="AA16" s="452"/>
      <c r="AB16" s="452"/>
      <c r="AC16" s="453">
        <f t="shared" si="16"/>
        <v>0</v>
      </c>
      <c r="AD16" s="450" t="e">
        <f t="shared" si="3"/>
        <v>#DIV/0!</v>
      </c>
      <c r="AE16" s="458"/>
      <c r="AF16" s="452"/>
      <c r="AG16" s="452"/>
      <c r="AH16" s="453">
        <f t="shared" si="17"/>
        <v>0</v>
      </c>
      <c r="AI16" s="450" t="e">
        <f t="shared" si="4"/>
        <v>#DIV/0!</v>
      </c>
      <c r="AJ16" s="458"/>
      <c r="AK16" s="452"/>
      <c r="AL16" s="452"/>
      <c r="AM16" s="453">
        <f t="shared" si="18"/>
        <v>0</v>
      </c>
      <c r="AN16" s="450" t="e">
        <f t="shared" si="1"/>
        <v>#DIV/0!</v>
      </c>
      <c r="AO16" s="458"/>
      <c r="AP16" s="452"/>
      <c r="AQ16" s="452"/>
      <c r="AR16" s="453">
        <f t="shared" si="19"/>
        <v>0</v>
      </c>
      <c r="AS16" s="450" t="e">
        <f t="shared" si="20"/>
        <v>#DIV/0!</v>
      </c>
      <c r="AT16" s="458"/>
      <c r="AU16" s="452"/>
      <c r="AV16" s="452"/>
      <c r="AW16" s="453">
        <f t="shared" si="21"/>
        <v>0</v>
      </c>
      <c r="AX16" s="450">
        <f t="shared" si="5"/>
        <v>0</v>
      </c>
      <c r="AY16" s="458"/>
      <c r="AZ16" s="452"/>
      <c r="BA16" s="452"/>
      <c r="BB16" s="453">
        <f t="shared" si="22"/>
        <v>0</v>
      </c>
      <c r="BC16" s="450" t="e">
        <f t="shared" si="6"/>
        <v>#DIV/0!</v>
      </c>
      <c r="BD16" s="458"/>
      <c r="BE16" s="39">
        <f t="shared" si="7"/>
        <v>0</v>
      </c>
      <c r="BF16" s="39">
        <f t="shared" si="8"/>
        <v>3552860.9400000004</v>
      </c>
      <c r="BG16" s="106">
        <f t="shared" si="9"/>
        <v>3552860.9400000004</v>
      </c>
      <c r="BH16" s="178">
        <f t="shared" si="23"/>
        <v>0.31092910032759619</v>
      </c>
      <c r="BI16" s="42"/>
      <c r="BJ16" s="842"/>
      <c r="BK16" s="842"/>
      <c r="BM16" s="842"/>
      <c r="BN16" s="842"/>
    </row>
    <row r="17" spans="1:66" s="2" customFormat="1" ht="58.2" customHeight="1" outlineLevel="2">
      <c r="A17" s="238"/>
      <c r="B17" s="471" t="s">
        <v>22</v>
      </c>
      <c r="C17" s="111"/>
      <c r="D17" s="445">
        <v>88000</v>
      </c>
      <c r="E17" s="446">
        <f t="shared" si="10"/>
        <v>88000</v>
      </c>
      <c r="F17" s="447">
        <f t="shared" si="0"/>
        <v>2.07268188784577E-2</v>
      </c>
      <c r="G17" s="452">
        <v>0</v>
      </c>
      <c r="H17" s="452">
        <v>0</v>
      </c>
      <c r="I17" s="453">
        <v>0</v>
      </c>
      <c r="J17" s="450">
        <v>0</v>
      </c>
      <c r="K17" s="447"/>
      <c r="L17" s="452"/>
      <c r="M17" s="452"/>
      <c r="N17" s="453">
        <f t="shared" si="11"/>
        <v>0</v>
      </c>
      <c r="O17" s="450">
        <f t="shared" si="12"/>
        <v>0</v>
      </c>
      <c r="P17" s="458"/>
      <c r="Q17" s="452"/>
      <c r="R17" s="452"/>
      <c r="S17" s="453">
        <f t="shared" si="13"/>
        <v>0</v>
      </c>
      <c r="T17" s="450">
        <f t="shared" si="2"/>
        <v>0</v>
      </c>
      <c r="U17" s="458"/>
      <c r="V17" s="452"/>
      <c r="W17" s="452"/>
      <c r="X17" s="453">
        <f t="shared" si="14"/>
        <v>0</v>
      </c>
      <c r="Y17" s="450" t="e">
        <f t="shared" si="15"/>
        <v>#DIV/0!</v>
      </c>
      <c r="Z17" s="458"/>
      <c r="AA17" s="452"/>
      <c r="AB17" s="452"/>
      <c r="AC17" s="453">
        <f t="shared" si="16"/>
        <v>0</v>
      </c>
      <c r="AD17" s="450" t="e">
        <f t="shared" si="3"/>
        <v>#DIV/0!</v>
      </c>
      <c r="AE17" s="458"/>
      <c r="AF17" s="452"/>
      <c r="AG17" s="452"/>
      <c r="AH17" s="453">
        <f t="shared" si="17"/>
        <v>0</v>
      </c>
      <c r="AI17" s="450" t="e">
        <f t="shared" si="4"/>
        <v>#DIV/0!</v>
      </c>
      <c r="AJ17" s="458"/>
      <c r="AK17" s="452"/>
      <c r="AL17" s="452"/>
      <c r="AM17" s="453">
        <f t="shared" si="18"/>
        <v>0</v>
      </c>
      <c r="AN17" s="450" t="e">
        <f t="shared" si="1"/>
        <v>#DIV/0!</v>
      </c>
      <c r="AO17" s="458"/>
      <c r="AP17" s="452"/>
      <c r="AQ17" s="452"/>
      <c r="AR17" s="453">
        <f t="shared" si="19"/>
        <v>0</v>
      </c>
      <c r="AS17" s="450" t="e">
        <f t="shared" si="20"/>
        <v>#DIV/0!</v>
      </c>
      <c r="AT17" s="458"/>
      <c r="AU17" s="452"/>
      <c r="AV17" s="452"/>
      <c r="AW17" s="453">
        <f t="shared" si="21"/>
        <v>0</v>
      </c>
      <c r="AX17" s="450">
        <f t="shared" si="5"/>
        <v>0</v>
      </c>
      <c r="AY17" s="458"/>
      <c r="AZ17" s="452"/>
      <c r="BA17" s="452"/>
      <c r="BB17" s="453">
        <f t="shared" si="22"/>
        <v>0</v>
      </c>
      <c r="BC17" s="450" t="e">
        <f t="shared" si="6"/>
        <v>#DIV/0!</v>
      </c>
      <c r="BD17" s="458"/>
      <c r="BE17" s="39">
        <f t="shared" si="7"/>
        <v>0</v>
      </c>
      <c r="BF17" s="39">
        <f t="shared" si="8"/>
        <v>0</v>
      </c>
      <c r="BG17" s="106">
        <f t="shared" si="9"/>
        <v>0</v>
      </c>
      <c r="BH17" s="178">
        <f t="shared" si="23"/>
        <v>0</v>
      </c>
      <c r="BI17" s="42"/>
      <c r="BJ17" s="842"/>
      <c r="BK17" s="842"/>
      <c r="BM17" s="842"/>
      <c r="BN17" s="842"/>
    </row>
    <row r="18" spans="1:66" s="2" customFormat="1" ht="103.95" customHeight="1" outlineLevel="2">
      <c r="A18" s="238"/>
      <c r="B18" s="471" t="s">
        <v>0</v>
      </c>
      <c r="C18" s="111">
        <v>10000</v>
      </c>
      <c r="D18" s="445"/>
      <c r="E18" s="446">
        <f t="shared" si="10"/>
        <v>10000</v>
      </c>
      <c r="F18" s="447">
        <f t="shared" si="0"/>
        <v>2.3553203270974656E-3</v>
      </c>
      <c r="G18" s="452">
        <v>5400</v>
      </c>
      <c r="H18" s="452">
        <v>11520</v>
      </c>
      <c r="I18" s="453">
        <v>16920</v>
      </c>
      <c r="J18" s="450">
        <v>1.5008042037935767E-3</v>
      </c>
      <c r="K18" s="447"/>
      <c r="L18" s="452"/>
      <c r="M18" s="452"/>
      <c r="N18" s="453">
        <f t="shared" si="11"/>
        <v>0</v>
      </c>
      <c r="O18" s="450">
        <f t="shared" si="12"/>
        <v>0</v>
      </c>
      <c r="P18" s="458"/>
      <c r="Q18" s="452"/>
      <c r="R18" s="452"/>
      <c r="S18" s="453">
        <f t="shared" si="13"/>
        <v>0</v>
      </c>
      <c r="T18" s="450">
        <f t="shared" si="2"/>
        <v>0</v>
      </c>
      <c r="U18" s="458"/>
      <c r="V18" s="452"/>
      <c r="W18" s="452"/>
      <c r="X18" s="453">
        <f t="shared" si="14"/>
        <v>0</v>
      </c>
      <c r="Y18" s="450" t="e">
        <f t="shared" si="15"/>
        <v>#DIV/0!</v>
      </c>
      <c r="Z18" s="458"/>
      <c r="AA18" s="452"/>
      <c r="AB18" s="452"/>
      <c r="AC18" s="453">
        <f t="shared" si="16"/>
        <v>0</v>
      </c>
      <c r="AD18" s="450" t="e">
        <f t="shared" si="3"/>
        <v>#DIV/0!</v>
      </c>
      <c r="AE18" s="458"/>
      <c r="AF18" s="452"/>
      <c r="AG18" s="452"/>
      <c r="AH18" s="453">
        <f t="shared" si="17"/>
        <v>0</v>
      </c>
      <c r="AI18" s="450" t="e">
        <f t="shared" si="4"/>
        <v>#DIV/0!</v>
      </c>
      <c r="AJ18" s="458"/>
      <c r="AK18" s="452"/>
      <c r="AL18" s="452"/>
      <c r="AM18" s="453">
        <f t="shared" si="18"/>
        <v>0</v>
      </c>
      <c r="AN18" s="450" t="e">
        <f t="shared" si="1"/>
        <v>#DIV/0!</v>
      </c>
      <c r="AO18" s="458"/>
      <c r="AP18" s="452"/>
      <c r="AQ18" s="452"/>
      <c r="AR18" s="453">
        <f t="shared" si="19"/>
        <v>0</v>
      </c>
      <c r="AS18" s="450" t="e">
        <f t="shared" si="20"/>
        <v>#DIV/0!</v>
      </c>
      <c r="AT18" s="458"/>
      <c r="AU18" s="452"/>
      <c r="AV18" s="452"/>
      <c r="AW18" s="453">
        <f t="shared" si="21"/>
        <v>0</v>
      </c>
      <c r="AX18" s="450">
        <f t="shared" si="5"/>
        <v>0</v>
      </c>
      <c r="AY18" s="458"/>
      <c r="AZ18" s="452"/>
      <c r="BA18" s="452"/>
      <c r="BB18" s="453">
        <f t="shared" si="22"/>
        <v>0</v>
      </c>
      <c r="BC18" s="450" t="e">
        <f t="shared" si="6"/>
        <v>#DIV/0!</v>
      </c>
      <c r="BD18" s="458"/>
      <c r="BE18" s="39">
        <f t="shared" si="7"/>
        <v>5400</v>
      </c>
      <c r="BF18" s="39">
        <f t="shared" si="8"/>
        <v>11520</v>
      </c>
      <c r="BG18" s="106">
        <f t="shared" si="9"/>
        <v>16920</v>
      </c>
      <c r="BH18" s="178">
        <f t="shared" si="23"/>
        <v>1.4807560628992496E-3</v>
      </c>
      <c r="BI18" s="42"/>
      <c r="BJ18" s="842"/>
      <c r="BK18" s="842"/>
      <c r="BM18" s="842"/>
      <c r="BN18" s="842"/>
    </row>
    <row r="19" spans="1:66" s="2" customFormat="1" ht="40.950000000000003" customHeight="1" outlineLevel="2">
      <c r="A19" s="238"/>
      <c r="B19" s="471" t="s">
        <v>53</v>
      </c>
      <c r="C19" s="114">
        <v>88000</v>
      </c>
      <c r="D19" s="445"/>
      <c r="E19" s="446">
        <f t="shared" si="10"/>
        <v>88000</v>
      </c>
      <c r="F19" s="447">
        <f t="shared" si="0"/>
        <v>2.07268188784577E-2</v>
      </c>
      <c r="G19" s="452">
        <v>63510</v>
      </c>
      <c r="H19" s="452">
        <v>1500</v>
      </c>
      <c r="I19" s="453">
        <v>65010</v>
      </c>
      <c r="J19" s="450">
        <v>5.7663877830153917E-3</v>
      </c>
      <c r="K19" s="447"/>
      <c r="L19" s="452"/>
      <c r="M19" s="452"/>
      <c r="N19" s="453">
        <f t="shared" si="11"/>
        <v>0</v>
      </c>
      <c r="O19" s="450">
        <f t="shared" si="12"/>
        <v>0</v>
      </c>
      <c r="P19" s="458"/>
      <c r="Q19" s="452"/>
      <c r="R19" s="452"/>
      <c r="S19" s="453">
        <f t="shared" si="13"/>
        <v>0</v>
      </c>
      <c r="T19" s="450">
        <f t="shared" si="2"/>
        <v>0</v>
      </c>
      <c r="U19" s="458"/>
      <c r="V19" s="452"/>
      <c r="W19" s="452"/>
      <c r="X19" s="453">
        <f t="shared" si="14"/>
        <v>0</v>
      </c>
      <c r="Y19" s="450" t="e">
        <f t="shared" si="15"/>
        <v>#DIV/0!</v>
      </c>
      <c r="Z19" s="458"/>
      <c r="AA19" s="452"/>
      <c r="AB19" s="452"/>
      <c r="AC19" s="453">
        <f t="shared" si="16"/>
        <v>0</v>
      </c>
      <c r="AD19" s="450" t="e">
        <f t="shared" si="3"/>
        <v>#DIV/0!</v>
      </c>
      <c r="AE19" s="458"/>
      <c r="AF19" s="452"/>
      <c r="AG19" s="452"/>
      <c r="AH19" s="453">
        <f t="shared" si="17"/>
        <v>0</v>
      </c>
      <c r="AI19" s="450" t="e">
        <f t="shared" si="4"/>
        <v>#DIV/0!</v>
      </c>
      <c r="AJ19" s="458"/>
      <c r="AK19" s="452"/>
      <c r="AL19" s="452"/>
      <c r="AM19" s="453">
        <f t="shared" si="18"/>
        <v>0</v>
      </c>
      <c r="AN19" s="450" t="e">
        <f t="shared" si="1"/>
        <v>#DIV/0!</v>
      </c>
      <c r="AO19" s="458"/>
      <c r="AP19" s="452"/>
      <c r="AQ19" s="452"/>
      <c r="AR19" s="453">
        <f t="shared" si="19"/>
        <v>0</v>
      </c>
      <c r="AS19" s="450" t="e">
        <f t="shared" si="20"/>
        <v>#DIV/0!</v>
      </c>
      <c r="AT19" s="458"/>
      <c r="AU19" s="452"/>
      <c r="AV19" s="452"/>
      <c r="AW19" s="453">
        <f t="shared" si="21"/>
        <v>0</v>
      </c>
      <c r="AX19" s="450">
        <f t="shared" si="5"/>
        <v>0</v>
      </c>
      <c r="AY19" s="458"/>
      <c r="AZ19" s="452"/>
      <c r="BA19" s="452"/>
      <c r="BB19" s="453">
        <f t="shared" si="22"/>
        <v>0</v>
      </c>
      <c r="BC19" s="450" t="e">
        <f t="shared" si="6"/>
        <v>#DIV/0!</v>
      </c>
      <c r="BD19" s="458"/>
      <c r="BE19" s="39">
        <f t="shared" si="7"/>
        <v>63510</v>
      </c>
      <c r="BF19" s="39">
        <f t="shared" si="8"/>
        <v>1500</v>
      </c>
      <c r="BG19" s="106">
        <f t="shared" si="9"/>
        <v>65010</v>
      </c>
      <c r="BH19" s="178">
        <f t="shared" si="23"/>
        <v>5.6893588445082865E-3</v>
      </c>
      <c r="BI19" s="42"/>
      <c r="BJ19" s="842"/>
      <c r="BK19" s="842"/>
      <c r="BM19" s="842"/>
      <c r="BN19" s="842"/>
    </row>
    <row r="20" spans="1:66" s="2" customFormat="1" ht="28.95" customHeight="1" outlineLevel="2">
      <c r="A20" s="238"/>
      <c r="B20" s="471" t="s">
        <v>57</v>
      </c>
      <c r="C20" s="114"/>
      <c r="D20" s="445"/>
      <c r="E20" s="446">
        <f t="shared" si="10"/>
        <v>0</v>
      </c>
      <c r="F20" s="447">
        <f t="shared" si="0"/>
        <v>0</v>
      </c>
      <c r="G20" s="452">
        <v>0</v>
      </c>
      <c r="H20" s="452">
        <v>0</v>
      </c>
      <c r="I20" s="453">
        <v>0</v>
      </c>
      <c r="J20" s="450">
        <v>0</v>
      </c>
      <c r="K20" s="447"/>
      <c r="L20" s="452"/>
      <c r="M20" s="452"/>
      <c r="N20" s="453">
        <f t="shared" si="11"/>
        <v>0</v>
      </c>
      <c r="O20" s="450">
        <f t="shared" si="12"/>
        <v>0</v>
      </c>
      <c r="P20" s="458"/>
      <c r="Q20" s="452"/>
      <c r="R20" s="452"/>
      <c r="S20" s="453">
        <f t="shared" si="13"/>
        <v>0</v>
      </c>
      <c r="T20" s="450">
        <f t="shared" si="2"/>
        <v>0</v>
      </c>
      <c r="U20" s="458"/>
      <c r="V20" s="452"/>
      <c r="W20" s="452"/>
      <c r="X20" s="453">
        <f t="shared" si="14"/>
        <v>0</v>
      </c>
      <c r="Y20" s="450" t="e">
        <f t="shared" si="15"/>
        <v>#DIV/0!</v>
      </c>
      <c r="Z20" s="458"/>
      <c r="AA20" s="452"/>
      <c r="AB20" s="452"/>
      <c r="AC20" s="453">
        <f t="shared" si="16"/>
        <v>0</v>
      </c>
      <c r="AD20" s="450" t="e">
        <f t="shared" si="3"/>
        <v>#DIV/0!</v>
      </c>
      <c r="AE20" s="458"/>
      <c r="AF20" s="452"/>
      <c r="AG20" s="452"/>
      <c r="AH20" s="453">
        <f t="shared" si="17"/>
        <v>0</v>
      </c>
      <c r="AI20" s="450" t="e">
        <f t="shared" si="4"/>
        <v>#DIV/0!</v>
      </c>
      <c r="AJ20" s="458"/>
      <c r="AK20" s="452"/>
      <c r="AL20" s="452"/>
      <c r="AM20" s="453">
        <f t="shared" si="18"/>
        <v>0</v>
      </c>
      <c r="AN20" s="450" t="e">
        <f t="shared" si="1"/>
        <v>#DIV/0!</v>
      </c>
      <c r="AO20" s="458"/>
      <c r="AP20" s="452"/>
      <c r="AQ20" s="452"/>
      <c r="AR20" s="453">
        <f t="shared" si="19"/>
        <v>0</v>
      </c>
      <c r="AS20" s="450" t="e">
        <f t="shared" si="20"/>
        <v>#DIV/0!</v>
      </c>
      <c r="AT20" s="458"/>
      <c r="AU20" s="452"/>
      <c r="AV20" s="452"/>
      <c r="AW20" s="453">
        <f t="shared" si="21"/>
        <v>0</v>
      </c>
      <c r="AX20" s="450">
        <f t="shared" si="5"/>
        <v>0</v>
      </c>
      <c r="AY20" s="458"/>
      <c r="AZ20" s="452"/>
      <c r="BA20" s="452"/>
      <c r="BB20" s="453">
        <f t="shared" si="22"/>
        <v>0</v>
      </c>
      <c r="BC20" s="450" t="e">
        <f t="shared" si="6"/>
        <v>#DIV/0!</v>
      </c>
      <c r="BD20" s="458"/>
      <c r="BE20" s="39">
        <f t="shared" si="7"/>
        <v>0</v>
      </c>
      <c r="BF20" s="39">
        <f t="shared" si="8"/>
        <v>0</v>
      </c>
      <c r="BG20" s="106">
        <f t="shared" si="9"/>
        <v>0</v>
      </c>
      <c r="BH20" s="178">
        <f t="shared" si="23"/>
        <v>0</v>
      </c>
      <c r="BI20" s="42"/>
      <c r="BJ20" s="842"/>
      <c r="BK20" s="842"/>
      <c r="BM20" s="842"/>
      <c r="BN20" s="842"/>
    </row>
    <row r="21" spans="1:66" s="2" customFormat="1" ht="13.8" outlineLevel="2">
      <c r="A21" s="238"/>
      <c r="B21" s="471" t="s">
        <v>58</v>
      </c>
      <c r="C21" s="114">
        <v>941684</v>
      </c>
      <c r="D21" s="445"/>
      <c r="E21" s="446">
        <f t="shared" si="10"/>
        <v>941684</v>
      </c>
      <c r="F21" s="447">
        <f t="shared" si="0"/>
        <v>0.22179674669024499</v>
      </c>
      <c r="G21" s="452">
        <v>1166309.8500000001</v>
      </c>
      <c r="H21" s="452">
        <v>0</v>
      </c>
      <c r="I21" s="453">
        <v>1166309.8500000001</v>
      </c>
      <c r="J21" s="450">
        <v>0.10345169774266288</v>
      </c>
      <c r="K21" s="447"/>
      <c r="L21" s="452">
        <v>1700</v>
      </c>
      <c r="M21" s="452"/>
      <c r="N21" s="453">
        <f t="shared" si="11"/>
        <v>1700</v>
      </c>
      <c r="O21" s="450">
        <f t="shared" si="12"/>
        <v>5.6923179306048094E-2</v>
      </c>
      <c r="P21" s="458" t="s">
        <v>998</v>
      </c>
      <c r="Q21" s="452"/>
      <c r="R21" s="452"/>
      <c r="S21" s="453">
        <f t="shared" si="13"/>
        <v>0</v>
      </c>
      <c r="T21" s="450">
        <f t="shared" si="2"/>
        <v>0</v>
      </c>
      <c r="U21" s="458"/>
      <c r="V21" s="452"/>
      <c r="W21" s="452"/>
      <c r="X21" s="453">
        <f t="shared" si="14"/>
        <v>0</v>
      </c>
      <c r="Y21" s="450" t="e">
        <f t="shared" si="15"/>
        <v>#DIV/0!</v>
      </c>
      <c r="Z21" s="458"/>
      <c r="AA21" s="452"/>
      <c r="AB21" s="452"/>
      <c r="AC21" s="453">
        <f t="shared" si="16"/>
        <v>0</v>
      </c>
      <c r="AD21" s="450" t="e">
        <f t="shared" si="3"/>
        <v>#DIV/0!</v>
      </c>
      <c r="AE21" s="458"/>
      <c r="AF21" s="452"/>
      <c r="AG21" s="452"/>
      <c r="AH21" s="453">
        <f t="shared" si="17"/>
        <v>0</v>
      </c>
      <c r="AI21" s="450" t="e">
        <f t="shared" si="4"/>
        <v>#DIV/0!</v>
      </c>
      <c r="AJ21" s="458"/>
      <c r="AK21" s="452"/>
      <c r="AL21" s="452"/>
      <c r="AM21" s="453">
        <f t="shared" si="18"/>
        <v>0</v>
      </c>
      <c r="AN21" s="450" t="e">
        <f t="shared" si="1"/>
        <v>#DIV/0!</v>
      </c>
      <c r="AO21" s="458"/>
      <c r="AP21" s="452"/>
      <c r="AQ21" s="452"/>
      <c r="AR21" s="453">
        <f t="shared" si="19"/>
        <v>0</v>
      </c>
      <c r="AS21" s="450" t="e">
        <f t="shared" si="20"/>
        <v>#DIV/0!</v>
      </c>
      <c r="AT21" s="458"/>
      <c r="AU21" s="452"/>
      <c r="AV21" s="452"/>
      <c r="AW21" s="453">
        <f t="shared" si="21"/>
        <v>0</v>
      </c>
      <c r="AX21" s="450">
        <f t="shared" si="5"/>
        <v>0</v>
      </c>
      <c r="AY21" s="458"/>
      <c r="AZ21" s="452"/>
      <c r="BA21" s="452"/>
      <c r="BB21" s="453">
        <f t="shared" si="22"/>
        <v>0</v>
      </c>
      <c r="BC21" s="450" t="e">
        <f t="shared" si="6"/>
        <v>#DIV/0!</v>
      </c>
      <c r="BD21" s="458"/>
      <c r="BE21" s="39">
        <f t="shared" si="7"/>
        <v>1168009.8500000001</v>
      </c>
      <c r="BF21" s="39">
        <f t="shared" si="8"/>
        <v>0</v>
      </c>
      <c r="BG21" s="106">
        <f t="shared" si="9"/>
        <v>1168009.8500000001</v>
      </c>
      <c r="BH21" s="178">
        <f t="shared" si="23"/>
        <v>0.10221853823366094</v>
      </c>
      <c r="BI21" s="42"/>
      <c r="BJ21" s="842"/>
      <c r="BK21" s="842"/>
      <c r="BM21" s="842"/>
      <c r="BN21" s="842"/>
    </row>
    <row r="22" spans="1:66" s="2" customFormat="1" ht="13.8" outlineLevel="2">
      <c r="A22" s="238"/>
      <c r="B22" s="471" t="s">
        <v>621</v>
      </c>
      <c r="C22" s="114">
        <v>90000</v>
      </c>
      <c r="D22" s="445"/>
      <c r="E22" s="446">
        <f t="shared" si="10"/>
        <v>90000</v>
      </c>
      <c r="F22" s="447"/>
      <c r="G22" s="452">
        <v>206380.128</v>
      </c>
      <c r="H22" s="452">
        <v>6900</v>
      </c>
      <c r="I22" s="453">
        <v>213280.128</v>
      </c>
      <c r="J22" s="450"/>
      <c r="K22" s="447"/>
      <c r="L22" s="452"/>
      <c r="M22" s="452"/>
      <c r="N22" s="453">
        <f t="shared" si="11"/>
        <v>0</v>
      </c>
      <c r="O22" s="450">
        <f t="shared" si="12"/>
        <v>0</v>
      </c>
      <c r="P22" s="458"/>
      <c r="Q22" s="452"/>
      <c r="R22" s="452"/>
      <c r="S22" s="453">
        <f t="shared" si="13"/>
        <v>0</v>
      </c>
      <c r="T22" s="450">
        <f t="shared" si="2"/>
        <v>0</v>
      </c>
      <c r="U22" s="458"/>
      <c r="V22" s="452"/>
      <c r="W22" s="452"/>
      <c r="X22" s="453">
        <f t="shared" si="14"/>
        <v>0</v>
      </c>
      <c r="Y22" s="450" t="e">
        <f t="shared" si="15"/>
        <v>#DIV/0!</v>
      </c>
      <c r="Z22" s="458"/>
      <c r="AA22" s="452"/>
      <c r="AB22" s="452"/>
      <c r="AC22" s="453">
        <f t="shared" si="16"/>
        <v>0</v>
      </c>
      <c r="AD22" s="450" t="e">
        <f t="shared" si="3"/>
        <v>#DIV/0!</v>
      </c>
      <c r="AE22" s="458"/>
      <c r="AF22" s="452"/>
      <c r="AG22" s="452"/>
      <c r="AH22" s="453">
        <f t="shared" si="17"/>
        <v>0</v>
      </c>
      <c r="AI22" s="450" t="e">
        <f t="shared" si="4"/>
        <v>#DIV/0!</v>
      </c>
      <c r="AJ22" s="458"/>
      <c r="AK22" s="452"/>
      <c r="AL22" s="452"/>
      <c r="AM22" s="453">
        <f t="shared" si="18"/>
        <v>0</v>
      </c>
      <c r="AN22" s="450" t="e">
        <f t="shared" si="1"/>
        <v>#DIV/0!</v>
      </c>
      <c r="AO22" s="458"/>
      <c r="AP22" s="452"/>
      <c r="AQ22" s="452"/>
      <c r="AR22" s="453">
        <f t="shared" si="19"/>
        <v>0</v>
      </c>
      <c r="AS22" s="450" t="e">
        <f t="shared" si="20"/>
        <v>#DIV/0!</v>
      </c>
      <c r="AT22" s="458"/>
      <c r="AU22" s="452"/>
      <c r="AV22" s="452"/>
      <c r="AW22" s="453">
        <f t="shared" si="21"/>
        <v>0</v>
      </c>
      <c r="AX22" s="450">
        <f t="shared" si="5"/>
        <v>0</v>
      </c>
      <c r="AY22" s="458"/>
      <c r="AZ22" s="452"/>
      <c r="BA22" s="452"/>
      <c r="BB22" s="453">
        <f t="shared" si="22"/>
        <v>0</v>
      </c>
      <c r="BC22" s="450" t="e">
        <f t="shared" si="6"/>
        <v>#DIV/0!</v>
      </c>
      <c r="BD22" s="458"/>
      <c r="BE22" s="39">
        <f t="shared" si="7"/>
        <v>206380.128</v>
      </c>
      <c r="BF22" s="39">
        <f t="shared" si="8"/>
        <v>6900</v>
      </c>
      <c r="BG22" s="106">
        <f t="shared" si="9"/>
        <v>213280.128</v>
      </c>
      <c r="BH22" s="450"/>
      <c r="BI22" s="456"/>
      <c r="BJ22" s="842"/>
      <c r="BK22" s="842"/>
      <c r="BM22" s="842"/>
      <c r="BN22" s="842"/>
    </row>
    <row r="23" spans="1:66" s="2" customFormat="1" ht="13.8" outlineLevel="2">
      <c r="A23" s="238"/>
      <c r="B23" s="471" t="s">
        <v>630</v>
      </c>
      <c r="C23" s="114"/>
      <c r="D23" s="445"/>
      <c r="E23" s="446">
        <f t="shared" si="10"/>
        <v>0</v>
      </c>
      <c r="F23" s="447"/>
      <c r="G23" s="452">
        <v>0</v>
      </c>
      <c r="H23" s="452">
        <v>0</v>
      </c>
      <c r="I23" s="453">
        <v>0</v>
      </c>
      <c r="J23" s="450"/>
      <c r="K23" s="447"/>
      <c r="L23" s="452"/>
      <c r="M23" s="452"/>
      <c r="N23" s="453"/>
      <c r="O23" s="450">
        <f t="shared" si="12"/>
        <v>0</v>
      </c>
      <c r="P23" s="458"/>
      <c r="Q23" s="452"/>
      <c r="R23" s="452"/>
      <c r="S23" s="453"/>
      <c r="T23" s="450">
        <f t="shared" si="2"/>
        <v>0</v>
      </c>
      <c r="U23" s="458"/>
      <c r="V23" s="452"/>
      <c r="W23" s="452"/>
      <c r="X23" s="453"/>
      <c r="Y23" s="450" t="e">
        <f t="shared" si="15"/>
        <v>#DIV/0!</v>
      </c>
      <c r="Z23" s="458"/>
      <c r="AA23" s="452"/>
      <c r="AB23" s="452"/>
      <c r="AC23" s="453"/>
      <c r="AD23" s="450" t="e">
        <f t="shared" si="3"/>
        <v>#DIV/0!</v>
      </c>
      <c r="AE23" s="458"/>
      <c r="AF23" s="452"/>
      <c r="AG23" s="452"/>
      <c r="AH23" s="453"/>
      <c r="AI23" s="450" t="e">
        <f t="shared" si="4"/>
        <v>#DIV/0!</v>
      </c>
      <c r="AJ23" s="458"/>
      <c r="AK23" s="452"/>
      <c r="AL23" s="452"/>
      <c r="AM23" s="453"/>
      <c r="AN23" s="450" t="e">
        <f t="shared" si="1"/>
        <v>#DIV/0!</v>
      </c>
      <c r="AO23" s="458"/>
      <c r="AP23" s="452"/>
      <c r="AQ23" s="452"/>
      <c r="AR23" s="453"/>
      <c r="AS23" s="450" t="e">
        <f t="shared" si="20"/>
        <v>#DIV/0!</v>
      </c>
      <c r="AT23" s="458"/>
      <c r="AU23" s="452"/>
      <c r="AV23" s="452"/>
      <c r="AW23" s="453"/>
      <c r="AX23" s="450">
        <f t="shared" si="5"/>
        <v>0</v>
      </c>
      <c r="AY23" s="458"/>
      <c r="AZ23" s="452"/>
      <c r="BA23" s="452"/>
      <c r="BB23" s="453"/>
      <c r="BC23" s="450" t="e">
        <f t="shared" si="6"/>
        <v>#DIV/0!</v>
      </c>
      <c r="BD23" s="458"/>
      <c r="BE23" s="39">
        <f t="shared" si="7"/>
        <v>0</v>
      </c>
      <c r="BF23" s="39">
        <f t="shared" si="8"/>
        <v>0</v>
      </c>
      <c r="BG23" s="106">
        <f t="shared" si="9"/>
        <v>0</v>
      </c>
      <c r="BH23" s="450"/>
      <c r="BI23" s="456"/>
      <c r="BJ23" s="842"/>
      <c r="BK23" s="842"/>
      <c r="BM23" s="842"/>
      <c r="BN23" s="842"/>
    </row>
    <row r="24" spans="1:66" s="2" customFormat="1" ht="109.95" customHeight="1" outlineLevel="2">
      <c r="A24" s="238"/>
      <c r="B24" s="471" t="s">
        <v>23</v>
      </c>
      <c r="C24" s="114">
        <v>8000</v>
      </c>
      <c r="D24" s="445"/>
      <c r="E24" s="446">
        <f t="shared" si="10"/>
        <v>8000</v>
      </c>
      <c r="F24" s="447">
        <f t="shared" ref="F24:F33" si="24">E24/$E$89</f>
        <v>1.8842562616779726E-3</v>
      </c>
      <c r="G24" s="452">
        <v>298099.99199999997</v>
      </c>
      <c r="H24" s="452">
        <v>750</v>
      </c>
      <c r="I24" s="453">
        <v>298849.99199999997</v>
      </c>
      <c r="J24" s="450">
        <v>2.6507997889909971E-2</v>
      </c>
      <c r="K24" s="447"/>
      <c r="L24" s="452"/>
      <c r="M24" s="452"/>
      <c r="N24" s="453">
        <f t="shared" ref="N24:N33" si="25">L24+M24*1</f>
        <v>0</v>
      </c>
      <c r="O24" s="450">
        <f t="shared" si="12"/>
        <v>0</v>
      </c>
      <c r="P24" s="458"/>
      <c r="Q24" s="452"/>
      <c r="R24" s="452"/>
      <c r="S24" s="453">
        <f t="shared" ref="S24:S33" si="26">Q24+R24*1</f>
        <v>0</v>
      </c>
      <c r="T24" s="450">
        <f t="shared" si="2"/>
        <v>0</v>
      </c>
      <c r="U24" s="458"/>
      <c r="V24" s="452"/>
      <c r="W24" s="452"/>
      <c r="X24" s="453">
        <f t="shared" ref="X24:X33" si="27">V24+W24*1</f>
        <v>0</v>
      </c>
      <c r="Y24" s="450" t="e">
        <f t="shared" si="15"/>
        <v>#DIV/0!</v>
      </c>
      <c r="Z24" s="458"/>
      <c r="AA24" s="452"/>
      <c r="AB24" s="452"/>
      <c r="AC24" s="453">
        <f t="shared" ref="AC24:AC33" si="28">AA24+AB24*1</f>
        <v>0</v>
      </c>
      <c r="AD24" s="450" t="e">
        <f t="shared" si="3"/>
        <v>#DIV/0!</v>
      </c>
      <c r="AE24" s="458"/>
      <c r="AF24" s="452"/>
      <c r="AG24" s="452"/>
      <c r="AH24" s="453">
        <f t="shared" ref="AH24:AH33" si="29">AF24+AG24*1</f>
        <v>0</v>
      </c>
      <c r="AI24" s="450" t="e">
        <f t="shared" si="4"/>
        <v>#DIV/0!</v>
      </c>
      <c r="AJ24" s="458"/>
      <c r="AK24" s="452"/>
      <c r="AL24" s="452"/>
      <c r="AM24" s="453">
        <f t="shared" ref="AM24:AM33" si="30">AK24+AL24*1</f>
        <v>0</v>
      </c>
      <c r="AN24" s="450" t="e">
        <f t="shared" si="1"/>
        <v>#DIV/0!</v>
      </c>
      <c r="AO24" s="458"/>
      <c r="AP24" s="452"/>
      <c r="AQ24" s="452"/>
      <c r="AR24" s="453">
        <f t="shared" ref="AR24:AR33" si="31">AP24+AQ24*1</f>
        <v>0</v>
      </c>
      <c r="AS24" s="450" t="e">
        <f t="shared" si="20"/>
        <v>#DIV/0!</v>
      </c>
      <c r="AT24" s="458"/>
      <c r="AU24" s="452"/>
      <c r="AV24" s="452"/>
      <c r="AW24" s="453">
        <f t="shared" ref="AW24:AW33" si="32">AU24+AV24*1</f>
        <v>0</v>
      </c>
      <c r="AX24" s="450">
        <f t="shared" si="5"/>
        <v>0</v>
      </c>
      <c r="AY24" s="458"/>
      <c r="AZ24" s="452"/>
      <c r="BA24" s="452"/>
      <c r="BB24" s="453">
        <f t="shared" ref="BB24:BB33" si="33">AZ24+BA24*1</f>
        <v>0</v>
      </c>
      <c r="BC24" s="450" t="e">
        <f t="shared" si="6"/>
        <v>#DIV/0!</v>
      </c>
      <c r="BD24" s="458" t="s">
        <v>744</v>
      </c>
      <c r="BE24" s="39">
        <f t="shared" si="7"/>
        <v>298099.99199999997</v>
      </c>
      <c r="BF24" s="39">
        <f t="shared" si="8"/>
        <v>750</v>
      </c>
      <c r="BG24" s="106">
        <f t="shared" si="9"/>
        <v>298849.99199999997</v>
      </c>
      <c r="BH24" s="178">
        <f t="shared" ref="BH24:BH33" si="34">BG24/$BG$89</f>
        <v>2.6153897018403791E-2</v>
      </c>
      <c r="BI24" s="42"/>
      <c r="BJ24" s="842"/>
      <c r="BK24" s="842"/>
      <c r="BM24" s="842"/>
      <c r="BN24" s="842"/>
    </row>
    <row r="25" spans="1:66" s="2" customFormat="1" ht="39" customHeight="1" outlineLevel="2">
      <c r="A25" s="238"/>
      <c r="B25" s="471" t="s">
        <v>24</v>
      </c>
      <c r="C25" s="114">
        <v>174407</v>
      </c>
      <c r="D25" s="445"/>
      <c r="E25" s="446">
        <f t="shared" si="10"/>
        <v>174407</v>
      </c>
      <c r="F25" s="447">
        <f t="shared" si="24"/>
        <v>4.1078435228808774E-2</v>
      </c>
      <c r="G25" s="452">
        <v>143397.57599999997</v>
      </c>
      <c r="H25" s="452">
        <v>13423</v>
      </c>
      <c r="I25" s="453">
        <v>156820.57599999997</v>
      </c>
      <c r="J25" s="450">
        <v>1.3909986980031326E-2</v>
      </c>
      <c r="K25" s="447"/>
      <c r="L25" s="452"/>
      <c r="M25" s="452">
        <v>1820</v>
      </c>
      <c r="N25" s="453">
        <f t="shared" si="25"/>
        <v>1820</v>
      </c>
      <c r="O25" s="450">
        <f t="shared" si="12"/>
        <v>6.0941286080592669E-2</v>
      </c>
      <c r="P25" s="458"/>
      <c r="Q25" s="452">
        <f>272*1.2</f>
        <v>326.39999999999998</v>
      </c>
      <c r="R25" s="452"/>
      <c r="S25" s="453">
        <f t="shared" si="26"/>
        <v>326.39999999999998</v>
      </c>
      <c r="T25" s="450">
        <f t="shared" si="2"/>
        <v>2.6585286311126954E-3</v>
      </c>
      <c r="U25" s="458"/>
      <c r="V25" s="452"/>
      <c r="W25" s="452"/>
      <c r="X25" s="453">
        <f t="shared" si="27"/>
        <v>0</v>
      </c>
      <c r="Y25" s="450" t="e">
        <f t="shared" si="15"/>
        <v>#DIV/0!</v>
      </c>
      <c r="Z25" s="458"/>
      <c r="AA25" s="452"/>
      <c r="AB25" s="452"/>
      <c r="AC25" s="453">
        <f t="shared" si="28"/>
        <v>0</v>
      </c>
      <c r="AD25" s="450" t="e">
        <f t="shared" si="3"/>
        <v>#DIV/0!</v>
      </c>
      <c r="AE25" s="458"/>
      <c r="AF25" s="452"/>
      <c r="AG25" s="452"/>
      <c r="AH25" s="453">
        <f t="shared" si="29"/>
        <v>0</v>
      </c>
      <c r="AI25" s="450" t="e">
        <f t="shared" si="4"/>
        <v>#DIV/0!</v>
      </c>
      <c r="AJ25" s="458"/>
      <c r="AK25" s="452"/>
      <c r="AL25" s="452"/>
      <c r="AM25" s="453">
        <f t="shared" si="30"/>
        <v>0</v>
      </c>
      <c r="AN25" s="450" t="e">
        <f t="shared" si="1"/>
        <v>#DIV/0!</v>
      </c>
      <c r="AO25" s="458"/>
      <c r="AP25" s="452"/>
      <c r="AQ25" s="452"/>
      <c r="AR25" s="453">
        <f t="shared" si="31"/>
        <v>0</v>
      </c>
      <c r="AS25" s="450" t="e">
        <f t="shared" si="20"/>
        <v>#DIV/0!</v>
      </c>
      <c r="AT25" s="458"/>
      <c r="AU25" s="452"/>
      <c r="AV25" s="452">
        <v>0</v>
      </c>
      <c r="AW25" s="453">
        <f t="shared" si="32"/>
        <v>0</v>
      </c>
      <c r="AX25" s="450">
        <f t="shared" si="5"/>
        <v>0</v>
      </c>
      <c r="AY25" s="458"/>
      <c r="AZ25" s="452"/>
      <c r="BA25" s="452"/>
      <c r="BB25" s="453">
        <f t="shared" si="33"/>
        <v>0</v>
      </c>
      <c r="BC25" s="450" t="e">
        <f t="shared" si="6"/>
        <v>#DIV/0!</v>
      </c>
      <c r="BD25" s="458"/>
      <c r="BE25" s="39">
        <f t="shared" si="7"/>
        <v>143723.97599999997</v>
      </c>
      <c r="BF25" s="39">
        <f t="shared" si="8"/>
        <v>15243</v>
      </c>
      <c r="BG25" s="106">
        <f t="shared" si="9"/>
        <v>158966.97599999997</v>
      </c>
      <c r="BH25" s="178">
        <f t="shared" si="34"/>
        <v>1.3912016165056704E-2</v>
      </c>
      <c r="BI25" s="42"/>
      <c r="BJ25" s="842"/>
      <c r="BK25" s="842"/>
      <c r="BM25" s="842"/>
      <c r="BN25" s="842"/>
    </row>
    <row r="26" spans="1:66" s="226" customFormat="1" ht="51" customHeight="1" outlineLevel="2">
      <c r="A26" s="238"/>
      <c r="B26" s="496" t="s">
        <v>45</v>
      </c>
      <c r="C26" s="114">
        <v>183427</v>
      </c>
      <c r="D26" s="445"/>
      <c r="E26" s="446">
        <f t="shared" si="10"/>
        <v>183427</v>
      </c>
      <c r="F26" s="447">
        <f t="shared" si="24"/>
        <v>4.3202934163850688E-2</v>
      </c>
      <c r="G26" s="452">
        <v>2912421.1079999995</v>
      </c>
      <c r="H26" s="452">
        <v>0</v>
      </c>
      <c r="I26" s="453">
        <v>2912421.1079999995</v>
      </c>
      <c r="J26" s="450">
        <v>0.25833178735836559</v>
      </c>
      <c r="K26" s="447"/>
      <c r="L26" s="452"/>
      <c r="M26" s="452"/>
      <c r="N26" s="453">
        <f t="shared" si="25"/>
        <v>0</v>
      </c>
      <c r="O26" s="450">
        <f t="shared" si="12"/>
        <v>0</v>
      </c>
      <c r="P26" s="458"/>
      <c r="Q26" s="947">
        <f>15084.84*1.2</f>
        <v>18101.808000000001</v>
      </c>
      <c r="R26" s="452"/>
      <c r="S26" s="453">
        <f t="shared" si="26"/>
        <v>18101.808000000001</v>
      </c>
      <c r="T26" s="450">
        <f t="shared" si="2"/>
        <v>0.14743926116086042</v>
      </c>
      <c r="U26" s="458"/>
      <c r="V26" s="452"/>
      <c r="W26" s="452"/>
      <c r="X26" s="453">
        <f t="shared" si="27"/>
        <v>0</v>
      </c>
      <c r="Y26" s="450" t="e">
        <f t="shared" si="15"/>
        <v>#DIV/0!</v>
      </c>
      <c r="Z26" s="458"/>
      <c r="AA26" s="947"/>
      <c r="AB26" s="452"/>
      <c r="AC26" s="453">
        <f t="shared" si="28"/>
        <v>0</v>
      </c>
      <c r="AD26" s="450" t="e">
        <f t="shared" si="3"/>
        <v>#DIV/0!</v>
      </c>
      <c r="AE26" s="458"/>
      <c r="AF26" s="947"/>
      <c r="AG26" s="452"/>
      <c r="AH26" s="453">
        <f t="shared" si="29"/>
        <v>0</v>
      </c>
      <c r="AI26" s="450" t="e">
        <f t="shared" si="4"/>
        <v>#DIV/0!</v>
      </c>
      <c r="AJ26" s="458"/>
      <c r="AK26" s="947"/>
      <c r="AL26" s="452"/>
      <c r="AM26" s="453">
        <f t="shared" si="30"/>
        <v>0</v>
      </c>
      <c r="AN26" s="450" t="e">
        <f t="shared" si="1"/>
        <v>#DIV/0!</v>
      </c>
      <c r="AO26" s="458"/>
      <c r="AP26" s="947"/>
      <c r="AQ26" s="452"/>
      <c r="AR26" s="453">
        <f t="shared" si="31"/>
        <v>0</v>
      </c>
      <c r="AS26" s="450" t="e">
        <f t="shared" si="20"/>
        <v>#DIV/0!</v>
      </c>
      <c r="AT26" s="458"/>
      <c r="AU26" s="452"/>
      <c r="AV26" s="452">
        <v>0</v>
      </c>
      <c r="AW26" s="453">
        <f t="shared" si="32"/>
        <v>0</v>
      </c>
      <c r="AX26" s="450">
        <f t="shared" si="5"/>
        <v>0</v>
      </c>
      <c r="AY26" s="458"/>
      <c r="AZ26" s="452"/>
      <c r="BA26" s="452"/>
      <c r="BB26" s="453">
        <f t="shared" si="33"/>
        <v>0</v>
      </c>
      <c r="BC26" s="450" t="e">
        <f t="shared" si="6"/>
        <v>#DIV/0!</v>
      </c>
      <c r="BD26" s="950" t="s">
        <v>963</v>
      </c>
      <c r="BE26" s="39">
        <f t="shared" si="7"/>
        <v>2930522.9159999997</v>
      </c>
      <c r="BF26" s="39">
        <f t="shared" si="8"/>
        <v>0</v>
      </c>
      <c r="BG26" s="106">
        <f t="shared" si="9"/>
        <v>2930522.9159999997</v>
      </c>
      <c r="BH26" s="178">
        <f t="shared" si="34"/>
        <v>0.25646510492507019</v>
      </c>
      <c r="BI26" s="42"/>
      <c r="BJ26" s="916"/>
      <c r="BK26" s="916"/>
      <c r="BM26" s="842"/>
      <c r="BN26" s="842"/>
    </row>
    <row r="27" spans="1:66" s="2" customFormat="1" ht="122.4" customHeight="1" outlineLevel="2">
      <c r="A27" s="238"/>
      <c r="B27" s="471" t="s">
        <v>25</v>
      </c>
      <c r="C27" s="114">
        <v>5000</v>
      </c>
      <c r="D27" s="445"/>
      <c r="E27" s="446">
        <f t="shared" si="10"/>
        <v>5000</v>
      </c>
      <c r="F27" s="447">
        <f t="shared" si="24"/>
        <v>1.1776601635487328E-3</v>
      </c>
      <c r="G27" s="452">
        <v>27933.86</v>
      </c>
      <c r="H27" s="452">
        <v>0</v>
      </c>
      <c r="I27" s="453">
        <v>27933.86</v>
      </c>
      <c r="J27" s="450">
        <v>2.4777337184504278E-3</v>
      </c>
      <c r="K27" s="447"/>
      <c r="L27" s="452"/>
      <c r="M27" s="452"/>
      <c r="N27" s="453">
        <f t="shared" si="25"/>
        <v>0</v>
      </c>
      <c r="O27" s="450">
        <f t="shared" si="12"/>
        <v>0</v>
      </c>
      <c r="P27" s="458"/>
      <c r="Q27" s="452"/>
      <c r="R27" s="452"/>
      <c r="S27" s="453">
        <f t="shared" si="26"/>
        <v>0</v>
      </c>
      <c r="T27" s="450">
        <f t="shared" si="2"/>
        <v>0</v>
      </c>
      <c r="U27" s="458"/>
      <c r="V27" s="452"/>
      <c r="W27" s="452"/>
      <c r="X27" s="453">
        <f t="shared" si="27"/>
        <v>0</v>
      </c>
      <c r="Y27" s="450" t="e">
        <f t="shared" si="15"/>
        <v>#DIV/0!</v>
      </c>
      <c r="Z27" s="458"/>
      <c r="AA27" s="452"/>
      <c r="AB27" s="452"/>
      <c r="AC27" s="453">
        <f t="shared" si="28"/>
        <v>0</v>
      </c>
      <c r="AD27" s="450" t="e">
        <f t="shared" si="3"/>
        <v>#DIV/0!</v>
      </c>
      <c r="AE27" s="458"/>
      <c r="AF27" s="452"/>
      <c r="AG27" s="452"/>
      <c r="AH27" s="453">
        <f t="shared" si="29"/>
        <v>0</v>
      </c>
      <c r="AI27" s="450" t="e">
        <f t="shared" si="4"/>
        <v>#DIV/0!</v>
      </c>
      <c r="AJ27" s="458"/>
      <c r="AK27" s="452"/>
      <c r="AL27" s="452"/>
      <c r="AM27" s="453">
        <f t="shared" si="30"/>
        <v>0</v>
      </c>
      <c r="AN27" s="450" t="e">
        <f t="shared" si="1"/>
        <v>#DIV/0!</v>
      </c>
      <c r="AO27" s="458"/>
      <c r="AP27" s="452"/>
      <c r="AQ27" s="452"/>
      <c r="AR27" s="453">
        <f t="shared" si="31"/>
        <v>0</v>
      </c>
      <c r="AS27" s="450" t="e">
        <f t="shared" si="20"/>
        <v>#DIV/0!</v>
      </c>
      <c r="AT27" s="458"/>
      <c r="AU27" s="452"/>
      <c r="AV27" s="452">
        <v>0</v>
      </c>
      <c r="AW27" s="453">
        <f t="shared" si="32"/>
        <v>0</v>
      </c>
      <c r="AX27" s="450">
        <f t="shared" si="5"/>
        <v>0</v>
      </c>
      <c r="AY27" s="458"/>
      <c r="AZ27" s="452"/>
      <c r="BA27" s="452"/>
      <c r="BB27" s="453">
        <f t="shared" si="33"/>
        <v>0</v>
      </c>
      <c r="BC27" s="450" t="e">
        <f t="shared" si="6"/>
        <v>#DIV/0!</v>
      </c>
      <c r="BD27" s="458" t="s">
        <v>962</v>
      </c>
      <c r="BE27" s="39">
        <f t="shared" si="7"/>
        <v>27933.86</v>
      </c>
      <c r="BF27" s="39">
        <f t="shared" si="8"/>
        <v>0</v>
      </c>
      <c r="BG27" s="106">
        <f t="shared" si="9"/>
        <v>27933.86</v>
      </c>
      <c r="BH27" s="178">
        <f t="shared" si="34"/>
        <v>2.4446354938048955E-3</v>
      </c>
      <c r="BI27" s="42"/>
      <c r="BJ27" s="842"/>
      <c r="BK27" s="842"/>
      <c r="BM27" s="842"/>
      <c r="BN27" s="842"/>
    </row>
    <row r="28" spans="1:66" s="226" customFormat="1" ht="109.2" customHeight="1" outlineLevel="2">
      <c r="A28" s="238"/>
      <c r="B28" s="496" t="s">
        <v>52</v>
      </c>
      <c r="C28" s="114">
        <v>81623</v>
      </c>
      <c r="D28" s="445"/>
      <c r="E28" s="446">
        <f t="shared" si="10"/>
        <v>81623</v>
      </c>
      <c r="F28" s="447">
        <f t="shared" si="24"/>
        <v>1.9224831105867646E-2</v>
      </c>
      <c r="G28" s="452"/>
      <c r="H28" s="452">
        <v>21890</v>
      </c>
      <c r="I28" s="453">
        <v>25298.33</v>
      </c>
      <c r="J28" s="450">
        <v>2.2439621757066879E-3</v>
      </c>
      <c r="K28" s="447"/>
      <c r="L28" s="452"/>
      <c r="M28" s="452"/>
      <c r="N28" s="453">
        <f t="shared" si="25"/>
        <v>0</v>
      </c>
      <c r="O28" s="450">
        <f t="shared" si="12"/>
        <v>0</v>
      </c>
      <c r="P28" s="458"/>
      <c r="Q28" s="452"/>
      <c r="R28" s="452"/>
      <c r="S28" s="453">
        <f t="shared" si="26"/>
        <v>0</v>
      </c>
      <c r="T28" s="450">
        <f t="shared" si="2"/>
        <v>0</v>
      </c>
      <c r="U28" s="458"/>
      <c r="V28" s="452"/>
      <c r="W28" s="452"/>
      <c r="X28" s="453">
        <f t="shared" si="27"/>
        <v>0</v>
      </c>
      <c r="Y28" s="450" t="e">
        <f t="shared" si="15"/>
        <v>#DIV/0!</v>
      </c>
      <c r="Z28" s="458"/>
      <c r="AA28" s="452"/>
      <c r="AB28" s="452"/>
      <c r="AC28" s="453">
        <f t="shared" si="28"/>
        <v>0</v>
      </c>
      <c r="AD28" s="450" t="e">
        <f t="shared" si="3"/>
        <v>#DIV/0!</v>
      </c>
      <c r="AE28" s="458"/>
      <c r="AF28" s="452"/>
      <c r="AG28" s="452"/>
      <c r="AH28" s="453">
        <f t="shared" si="29"/>
        <v>0</v>
      </c>
      <c r="AI28" s="450" t="e">
        <f t="shared" si="4"/>
        <v>#DIV/0!</v>
      </c>
      <c r="AJ28" s="458"/>
      <c r="AK28" s="452"/>
      <c r="AL28" s="452"/>
      <c r="AM28" s="453">
        <f t="shared" si="30"/>
        <v>0</v>
      </c>
      <c r="AN28" s="450" t="e">
        <f t="shared" si="1"/>
        <v>#DIV/0!</v>
      </c>
      <c r="AO28" s="458"/>
      <c r="AP28" s="452"/>
      <c r="AQ28" s="452"/>
      <c r="AR28" s="453">
        <f t="shared" si="31"/>
        <v>0</v>
      </c>
      <c r="AS28" s="450" t="e">
        <f t="shared" si="20"/>
        <v>#DIV/0!</v>
      </c>
      <c r="AT28" s="458"/>
      <c r="AU28" s="452"/>
      <c r="AV28" s="452"/>
      <c r="AW28" s="453">
        <f t="shared" si="32"/>
        <v>0</v>
      </c>
      <c r="AX28" s="450">
        <f t="shared" si="5"/>
        <v>0</v>
      </c>
      <c r="AY28" s="458"/>
      <c r="AZ28" s="452"/>
      <c r="BA28" s="452"/>
      <c r="BB28" s="453">
        <f t="shared" si="33"/>
        <v>0</v>
      </c>
      <c r="BC28" s="450" t="e">
        <f t="shared" si="6"/>
        <v>#DIV/0!</v>
      </c>
      <c r="BD28" s="458"/>
      <c r="BE28" s="39">
        <f t="shared" si="7"/>
        <v>0</v>
      </c>
      <c r="BF28" s="39">
        <f t="shared" si="8"/>
        <v>21890</v>
      </c>
      <c r="BG28" s="106">
        <f t="shared" si="9"/>
        <v>21890</v>
      </c>
      <c r="BH28" s="178">
        <f t="shared" si="34"/>
        <v>1.9157062775924689E-3</v>
      </c>
      <c r="BI28" s="42"/>
      <c r="BJ28" s="916"/>
      <c r="BK28" s="916"/>
      <c r="BM28" s="842"/>
      <c r="BN28" s="842"/>
    </row>
    <row r="29" spans="1:66" s="2" customFormat="1" ht="124.95" customHeight="1" outlineLevel="2">
      <c r="A29" s="238"/>
      <c r="B29" s="471" t="s">
        <v>31</v>
      </c>
      <c r="C29" s="114">
        <v>144640</v>
      </c>
      <c r="D29" s="445"/>
      <c r="E29" s="446">
        <f t="shared" si="10"/>
        <v>144640</v>
      </c>
      <c r="F29" s="450">
        <f t="shared" si="24"/>
        <v>3.4067353211137748E-2</v>
      </c>
      <c r="G29" s="452">
        <v>216160</v>
      </c>
      <c r="H29" s="452">
        <v>63530</v>
      </c>
      <c r="I29" s="453">
        <v>279690</v>
      </c>
      <c r="J29" s="450">
        <v>2.480850636873673E-2</v>
      </c>
      <c r="K29" s="447"/>
      <c r="L29" s="452"/>
      <c r="M29" s="452">
        <v>8100</v>
      </c>
      <c r="N29" s="453">
        <f t="shared" si="25"/>
        <v>8100</v>
      </c>
      <c r="O29" s="450">
        <f t="shared" si="12"/>
        <v>0.27122220728175855</v>
      </c>
      <c r="P29" s="458"/>
      <c r="Q29" s="452"/>
      <c r="R29" s="452"/>
      <c r="S29" s="453">
        <f t="shared" si="26"/>
        <v>0</v>
      </c>
      <c r="T29" s="450">
        <f t="shared" si="2"/>
        <v>0</v>
      </c>
      <c r="U29" s="458"/>
      <c r="V29" s="452"/>
      <c r="W29" s="452"/>
      <c r="X29" s="453">
        <f t="shared" si="27"/>
        <v>0</v>
      </c>
      <c r="Y29" s="450" t="e">
        <f t="shared" si="15"/>
        <v>#DIV/0!</v>
      </c>
      <c r="Z29" s="458"/>
      <c r="AA29" s="452"/>
      <c r="AB29" s="452"/>
      <c r="AC29" s="453">
        <f t="shared" si="28"/>
        <v>0</v>
      </c>
      <c r="AD29" s="450" t="e">
        <f t="shared" si="3"/>
        <v>#DIV/0!</v>
      </c>
      <c r="AE29" s="458"/>
      <c r="AF29" s="452"/>
      <c r="AG29" s="452"/>
      <c r="AH29" s="453">
        <f t="shared" si="29"/>
        <v>0</v>
      </c>
      <c r="AI29" s="450" t="e">
        <f t="shared" si="4"/>
        <v>#DIV/0!</v>
      </c>
      <c r="AJ29" s="458"/>
      <c r="AK29" s="452"/>
      <c r="AL29" s="452"/>
      <c r="AM29" s="453">
        <f t="shared" si="30"/>
        <v>0</v>
      </c>
      <c r="AN29" s="450" t="e">
        <f t="shared" si="1"/>
        <v>#DIV/0!</v>
      </c>
      <c r="AO29" s="458"/>
      <c r="AP29" s="452"/>
      <c r="AQ29" s="452"/>
      <c r="AR29" s="453">
        <f t="shared" si="31"/>
        <v>0</v>
      </c>
      <c r="AS29" s="450" t="e">
        <f t="shared" si="20"/>
        <v>#DIV/0!</v>
      </c>
      <c r="AT29" s="458"/>
      <c r="AU29" s="452"/>
      <c r="AV29" s="452"/>
      <c r="AW29" s="453">
        <f t="shared" si="32"/>
        <v>0</v>
      </c>
      <c r="AX29" s="450">
        <f t="shared" si="5"/>
        <v>0</v>
      </c>
      <c r="AY29" s="458"/>
      <c r="AZ29" s="452"/>
      <c r="BA29" s="452"/>
      <c r="BB29" s="453">
        <f t="shared" si="33"/>
        <v>0</v>
      </c>
      <c r="BC29" s="450" t="e">
        <f t="shared" si="6"/>
        <v>#DIV/0!</v>
      </c>
      <c r="BD29" s="458"/>
      <c r="BE29" s="39">
        <f t="shared" si="7"/>
        <v>216160</v>
      </c>
      <c r="BF29" s="39">
        <f t="shared" si="8"/>
        <v>71630</v>
      </c>
      <c r="BG29" s="106">
        <f t="shared" si="9"/>
        <v>287790</v>
      </c>
      <c r="BH29" s="178">
        <f t="shared" si="34"/>
        <v>2.5185980339348404E-2</v>
      </c>
      <c r="BI29" s="79"/>
      <c r="BJ29" s="842"/>
      <c r="BK29" s="842"/>
      <c r="BM29" s="842"/>
      <c r="BN29" s="842"/>
    </row>
    <row r="30" spans="1:66" s="2" customFormat="1" ht="79.95" customHeight="1" outlineLevel="2">
      <c r="A30" s="238"/>
      <c r="B30" s="471" t="s">
        <v>62</v>
      </c>
      <c r="C30" s="114"/>
      <c r="D30" s="445">
        <v>96250</v>
      </c>
      <c r="E30" s="446">
        <f t="shared" si="10"/>
        <v>96250</v>
      </c>
      <c r="F30" s="450">
        <f t="shared" si="24"/>
        <v>2.2669958148313109E-2</v>
      </c>
      <c r="G30" s="452">
        <v>0</v>
      </c>
      <c r="H30" s="452">
        <v>243876</v>
      </c>
      <c r="I30" s="453">
        <v>243876</v>
      </c>
      <c r="J30" s="450">
        <v>2.1631804137373659E-2</v>
      </c>
      <c r="K30" s="447"/>
      <c r="L30" s="452"/>
      <c r="M30" s="452">
        <v>4500</v>
      </c>
      <c r="N30" s="453">
        <f t="shared" si="25"/>
        <v>4500</v>
      </c>
      <c r="O30" s="450">
        <f t="shared" si="12"/>
        <v>0.15067900404542142</v>
      </c>
      <c r="P30" s="458"/>
      <c r="Q30" s="452"/>
      <c r="R30" s="452">
        <f>1200+2300</f>
        <v>3500</v>
      </c>
      <c r="S30" s="453">
        <f t="shared" si="26"/>
        <v>3500</v>
      </c>
      <c r="T30" s="450">
        <f t="shared" si="2"/>
        <v>2.8507506767446185E-2</v>
      </c>
      <c r="U30" s="458"/>
      <c r="V30" s="452"/>
      <c r="W30" s="452"/>
      <c r="X30" s="453">
        <f t="shared" si="27"/>
        <v>0</v>
      </c>
      <c r="Y30" s="450" t="e">
        <f t="shared" si="15"/>
        <v>#DIV/0!</v>
      </c>
      <c r="Z30" s="458"/>
      <c r="AA30" s="452"/>
      <c r="AB30" s="452"/>
      <c r="AC30" s="453">
        <f t="shared" si="28"/>
        <v>0</v>
      </c>
      <c r="AD30" s="450" t="e">
        <f t="shared" si="3"/>
        <v>#DIV/0!</v>
      </c>
      <c r="AE30" s="458"/>
      <c r="AF30" s="452"/>
      <c r="AG30" s="452"/>
      <c r="AH30" s="453">
        <f t="shared" si="29"/>
        <v>0</v>
      </c>
      <c r="AI30" s="450" t="e">
        <f t="shared" si="4"/>
        <v>#DIV/0!</v>
      </c>
      <c r="AJ30" s="458"/>
      <c r="AK30" s="452"/>
      <c r="AL30" s="452"/>
      <c r="AM30" s="453">
        <f t="shared" si="30"/>
        <v>0</v>
      </c>
      <c r="AN30" s="450" t="e">
        <f t="shared" si="1"/>
        <v>#DIV/0!</v>
      </c>
      <c r="AO30" s="458"/>
      <c r="AP30" s="452"/>
      <c r="AQ30" s="452"/>
      <c r="AR30" s="453">
        <f t="shared" si="31"/>
        <v>0</v>
      </c>
      <c r="AS30" s="450" t="e">
        <f t="shared" si="20"/>
        <v>#DIV/0!</v>
      </c>
      <c r="AT30" s="458"/>
      <c r="AU30" s="452"/>
      <c r="AV30" s="452"/>
      <c r="AW30" s="453">
        <f t="shared" si="32"/>
        <v>0</v>
      </c>
      <c r="AX30" s="450">
        <f t="shared" si="5"/>
        <v>0</v>
      </c>
      <c r="AY30" s="458"/>
      <c r="AZ30" s="452"/>
      <c r="BA30" s="452"/>
      <c r="BB30" s="453">
        <f t="shared" si="33"/>
        <v>0</v>
      </c>
      <c r="BC30" s="450" t="e">
        <f t="shared" si="6"/>
        <v>#DIV/0!</v>
      </c>
      <c r="BD30" s="458"/>
      <c r="BE30" s="39">
        <f t="shared" si="7"/>
        <v>0</v>
      </c>
      <c r="BF30" s="39">
        <f t="shared" si="8"/>
        <v>251876</v>
      </c>
      <c r="BG30" s="106">
        <f t="shared" si="9"/>
        <v>251876</v>
      </c>
      <c r="BH30" s="178">
        <f t="shared" si="34"/>
        <v>2.2042961826170885E-2</v>
      </c>
      <c r="BI30" s="79"/>
      <c r="BJ30" s="842"/>
      <c r="BK30" s="842"/>
      <c r="BM30" s="842"/>
      <c r="BN30" s="842"/>
    </row>
    <row r="31" spans="1:66" s="2" customFormat="1" ht="105.6" customHeight="1" outlineLevel="2">
      <c r="A31" s="238"/>
      <c r="B31" s="471" t="s">
        <v>34</v>
      </c>
      <c r="C31" s="114"/>
      <c r="D31" s="445">
        <v>21000</v>
      </c>
      <c r="E31" s="446">
        <f t="shared" si="10"/>
        <v>21000</v>
      </c>
      <c r="F31" s="450">
        <f t="shared" si="24"/>
        <v>4.9461726869046777E-3</v>
      </c>
      <c r="G31" s="452">
        <v>0</v>
      </c>
      <c r="H31" s="452">
        <v>83223</v>
      </c>
      <c r="I31" s="453">
        <v>83223</v>
      </c>
      <c r="J31" s="450">
        <v>7.3818811023825554E-3</v>
      </c>
      <c r="K31" s="447"/>
      <c r="L31" s="452"/>
      <c r="M31" s="452">
        <v>4377</v>
      </c>
      <c r="N31" s="453">
        <f t="shared" si="25"/>
        <v>4377</v>
      </c>
      <c r="O31" s="450">
        <f t="shared" si="12"/>
        <v>0.14656044460151324</v>
      </c>
      <c r="P31" s="458"/>
      <c r="Q31" s="452"/>
      <c r="R31" s="452"/>
      <c r="S31" s="453">
        <f t="shared" si="26"/>
        <v>0</v>
      </c>
      <c r="T31" s="450">
        <f t="shared" si="2"/>
        <v>0</v>
      </c>
      <c r="U31" s="458"/>
      <c r="V31" s="452"/>
      <c r="W31" s="452"/>
      <c r="X31" s="453">
        <f t="shared" si="27"/>
        <v>0</v>
      </c>
      <c r="Y31" s="450" t="e">
        <f t="shared" si="15"/>
        <v>#DIV/0!</v>
      </c>
      <c r="Z31" s="458"/>
      <c r="AA31" s="452"/>
      <c r="AB31" s="452"/>
      <c r="AC31" s="453">
        <f t="shared" si="28"/>
        <v>0</v>
      </c>
      <c r="AD31" s="450" t="e">
        <f t="shared" si="3"/>
        <v>#DIV/0!</v>
      </c>
      <c r="AE31" s="458"/>
      <c r="AF31" s="452"/>
      <c r="AG31" s="452"/>
      <c r="AH31" s="453">
        <f t="shared" si="29"/>
        <v>0</v>
      </c>
      <c r="AI31" s="450" t="e">
        <f t="shared" si="4"/>
        <v>#DIV/0!</v>
      </c>
      <c r="AJ31" s="458"/>
      <c r="AK31" s="452"/>
      <c r="AL31" s="452"/>
      <c r="AM31" s="453">
        <f t="shared" si="30"/>
        <v>0</v>
      </c>
      <c r="AN31" s="450" t="e">
        <f t="shared" si="1"/>
        <v>#DIV/0!</v>
      </c>
      <c r="AO31" s="458"/>
      <c r="AP31" s="452"/>
      <c r="AQ31" s="452"/>
      <c r="AR31" s="453">
        <f t="shared" si="31"/>
        <v>0</v>
      </c>
      <c r="AS31" s="450" t="e">
        <f t="shared" si="20"/>
        <v>#DIV/0!</v>
      </c>
      <c r="AT31" s="458"/>
      <c r="AU31" s="452"/>
      <c r="AV31" s="452"/>
      <c r="AW31" s="453">
        <f t="shared" si="32"/>
        <v>0</v>
      </c>
      <c r="AX31" s="450">
        <f t="shared" si="5"/>
        <v>0</v>
      </c>
      <c r="AY31" s="458"/>
      <c r="AZ31" s="452"/>
      <c r="BA31" s="452"/>
      <c r="BB31" s="453">
        <f t="shared" si="33"/>
        <v>0</v>
      </c>
      <c r="BC31" s="450" t="e">
        <f t="shared" si="6"/>
        <v>#DIV/0!</v>
      </c>
      <c r="BD31" s="458"/>
      <c r="BE31" s="39">
        <f t="shared" si="7"/>
        <v>0</v>
      </c>
      <c r="BF31" s="39">
        <f t="shared" si="8"/>
        <v>87600</v>
      </c>
      <c r="BG31" s="106">
        <f t="shared" si="9"/>
        <v>87600</v>
      </c>
      <c r="BH31" s="178">
        <f t="shared" si="34"/>
        <v>7.6663257157195182E-3</v>
      </c>
      <c r="BI31" s="79"/>
      <c r="BJ31" s="842"/>
      <c r="BK31" s="842"/>
      <c r="BM31" s="842"/>
      <c r="BN31" s="842"/>
    </row>
    <row r="32" spans="1:66" s="2" customFormat="1" ht="14.4" customHeight="1" outlineLevel="2">
      <c r="A32" s="238"/>
      <c r="B32" s="501" t="s">
        <v>2</v>
      </c>
      <c r="C32" s="115"/>
      <c r="D32" s="116"/>
      <c r="E32" s="446">
        <f t="shared" si="10"/>
        <v>0</v>
      </c>
      <c r="F32" s="450">
        <f t="shared" si="24"/>
        <v>0</v>
      </c>
      <c r="G32" s="452">
        <v>0</v>
      </c>
      <c r="H32" s="452">
        <v>0</v>
      </c>
      <c r="I32" s="453">
        <v>0</v>
      </c>
      <c r="J32" s="450">
        <v>0</v>
      </c>
      <c r="K32" s="447"/>
      <c r="L32" s="452"/>
      <c r="M32" s="452"/>
      <c r="N32" s="453">
        <f t="shared" si="25"/>
        <v>0</v>
      </c>
      <c r="O32" s="450">
        <f t="shared" si="12"/>
        <v>0</v>
      </c>
      <c r="P32" s="666"/>
      <c r="Q32" s="452"/>
      <c r="R32" s="452"/>
      <c r="S32" s="453">
        <f t="shared" si="26"/>
        <v>0</v>
      </c>
      <c r="T32" s="450">
        <f t="shared" si="2"/>
        <v>0</v>
      </c>
      <c r="U32" s="666"/>
      <c r="V32" s="452"/>
      <c r="W32" s="452"/>
      <c r="X32" s="453">
        <f t="shared" si="27"/>
        <v>0</v>
      </c>
      <c r="Y32" s="450" t="e">
        <f t="shared" si="15"/>
        <v>#DIV/0!</v>
      </c>
      <c r="Z32" s="666"/>
      <c r="AA32" s="452"/>
      <c r="AB32" s="452"/>
      <c r="AC32" s="453">
        <f t="shared" si="28"/>
        <v>0</v>
      </c>
      <c r="AD32" s="450" t="e">
        <f t="shared" si="3"/>
        <v>#DIV/0!</v>
      </c>
      <c r="AE32" s="666"/>
      <c r="AF32" s="452"/>
      <c r="AG32" s="452"/>
      <c r="AH32" s="453">
        <f t="shared" si="29"/>
        <v>0</v>
      </c>
      <c r="AI32" s="450" t="e">
        <f t="shared" si="4"/>
        <v>#DIV/0!</v>
      </c>
      <c r="AJ32" s="666"/>
      <c r="AK32" s="452"/>
      <c r="AL32" s="452"/>
      <c r="AM32" s="453">
        <f t="shared" si="30"/>
        <v>0</v>
      </c>
      <c r="AN32" s="450" t="e">
        <f t="shared" si="1"/>
        <v>#DIV/0!</v>
      </c>
      <c r="AO32" s="666"/>
      <c r="AP32" s="452"/>
      <c r="AQ32" s="452"/>
      <c r="AR32" s="453">
        <f t="shared" si="31"/>
        <v>0</v>
      </c>
      <c r="AS32" s="450" t="e">
        <f t="shared" si="20"/>
        <v>#DIV/0!</v>
      </c>
      <c r="AT32" s="666"/>
      <c r="AU32" s="452"/>
      <c r="AV32" s="452"/>
      <c r="AW32" s="453">
        <f t="shared" si="32"/>
        <v>0</v>
      </c>
      <c r="AX32" s="450">
        <f t="shared" si="5"/>
        <v>0</v>
      </c>
      <c r="AY32" s="666"/>
      <c r="AZ32" s="452"/>
      <c r="BA32" s="452"/>
      <c r="BB32" s="453">
        <f t="shared" si="33"/>
        <v>0</v>
      </c>
      <c r="BC32" s="450" t="e">
        <f t="shared" si="6"/>
        <v>#DIV/0!</v>
      </c>
      <c r="BD32" s="666"/>
      <c r="BE32" s="39">
        <f t="shared" si="7"/>
        <v>0</v>
      </c>
      <c r="BF32" s="39">
        <f t="shared" si="8"/>
        <v>0</v>
      </c>
      <c r="BG32" s="106">
        <f t="shared" si="9"/>
        <v>0</v>
      </c>
      <c r="BH32" s="178">
        <f t="shared" si="34"/>
        <v>0</v>
      </c>
      <c r="BI32" s="79"/>
      <c r="BJ32" s="842"/>
      <c r="BK32" s="842"/>
      <c r="BM32" s="842"/>
      <c r="BN32" s="842"/>
    </row>
    <row r="33" spans="1:66" s="2" customFormat="1" ht="33.6" customHeight="1" outlineLevel="2" thickBot="1">
      <c r="A33" s="238"/>
      <c r="B33" s="504" t="s">
        <v>75</v>
      </c>
      <c r="C33" s="505"/>
      <c r="D33" s="506">
        <v>70000</v>
      </c>
      <c r="E33" s="507">
        <f t="shared" si="10"/>
        <v>70000</v>
      </c>
      <c r="F33" s="508">
        <f t="shared" si="24"/>
        <v>1.648724228968226E-2</v>
      </c>
      <c r="G33" s="512">
        <v>0</v>
      </c>
      <c r="H33" s="512">
        <v>37200</v>
      </c>
      <c r="I33" s="513">
        <v>37200</v>
      </c>
      <c r="J33" s="508">
        <v>3.2996404480567999E-3</v>
      </c>
      <c r="K33" s="683"/>
      <c r="L33" s="512"/>
      <c r="M33" s="512"/>
      <c r="N33" s="513">
        <f t="shared" si="25"/>
        <v>0</v>
      </c>
      <c r="O33" s="508">
        <f t="shared" si="12"/>
        <v>0</v>
      </c>
      <c r="P33" s="867"/>
      <c r="Q33" s="512"/>
      <c r="R33" s="512"/>
      <c r="S33" s="513">
        <f t="shared" si="26"/>
        <v>0</v>
      </c>
      <c r="T33" s="508">
        <f t="shared" si="2"/>
        <v>0</v>
      </c>
      <c r="U33" s="728"/>
      <c r="V33" s="512"/>
      <c r="W33" s="512"/>
      <c r="X33" s="513">
        <f t="shared" si="27"/>
        <v>0</v>
      </c>
      <c r="Y33" s="508" t="e">
        <f t="shared" si="15"/>
        <v>#DIV/0!</v>
      </c>
      <c r="Z33" s="728"/>
      <c r="AA33" s="512"/>
      <c r="AB33" s="512"/>
      <c r="AC33" s="513">
        <f t="shared" si="28"/>
        <v>0</v>
      </c>
      <c r="AD33" s="508" t="e">
        <f t="shared" si="3"/>
        <v>#DIV/0!</v>
      </c>
      <c r="AE33" s="728"/>
      <c r="AF33" s="512"/>
      <c r="AG33" s="512"/>
      <c r="AH33" s="513">
        <f t="shared" si="29"/>
        <v>0</v>
      </c>
      <c r="AI33" s="508" t="e">
        <f t="shared" si="4"/>
        <v>#DIV/0!</v>
      </c>
      <c r="AJ33" s="728"/>
      <c r="AK33" s="512"/>
      <c r="AL33" s="512"/>
      <c r="AM33" s="513">
        <f t="shared" si="30"/>
        <v>0</v>
      </c>
      <c r="AN33" s="508" t="e">
        <f t="shared" si="1"/>
        <v>#DIV/0!</v>
      </c>
      <c r="AO33" s="728"/>
      <c r="AP33" s="512"/>
      <c r="AQ33" s="512"/>
      <c r="AR33" s="513">
        <f t="shared" si="31"/>
        <v>0</v>
      </c>
      <c r="AS33" s="508" t="e">
        <f t="shared" si="20"/>
        <v>#DIV/0!</v>
      </c>
      <c r="AT33" s="728"/>
      <c r="AU33" s="512"/>
      <c r="AV33" s="512"/>
      <c r="AW33" s="513">
        <f t="shared" si="32"/>
        <v>0</v>
      </c>
      <c r="AX33" s="508">
        <f t="shared" si="5"/>
        <v>0</v>
      </c>
      <c r="AY33" s="728"/>
      <c r="AZ33" s="512"/>
      <c r="BA33" s="512"/>
      <c r="BB33" s="513">
        <f t="shared" si="33"/>
        <v>0</v>
      </c>
      <c r="BC33" s="508" t="e">
        <f t="shared" si="6"/>
        <v>#DIV/0!</v>
      </c>
      <c r="BD33" s="728"/>
      <c r="BE33" s="39">
        <f t="shared" si="7"/>
        <v>0</v>
      </c>
      <c r="BF33" s="39">
        <f t="shared" si="8"/>
        <v>37200</v>
      </c>
      <c r="BG33" s="106">
        <f t="shared" si="9"/>
        <v>37200</v>
      </c>
      <c r="BH33" s="178">
        <f t="shared" si="34"/>
        <v>3.2555629751685627E-3</v>
      </c>
      <c r="BI33" s="79"/>
      <c r="BJ33" s="842"/>
      <c r="BK33" s="842"/>
      <c r="BM33" s="842"/>
      <c r="BN33" s="842"/>
    </row>
    <row r="34" spans="1:66" s="2" customFormat="1" ht="13.8" outlineLevel="2">
      <c r="A34" s="238"/>
      <c r="B34" s="473"/>
      <c r="C34" s="474"/>
      <c r="D34" s="475"/>
      <c r="E34" s="476"/>
      <c r="F34" s="477"/>
      <c r="G34" s="452"/>
      <c r="H34" s="452"/>
      <c r="I34" s="476"/>
      <c r="J34" s="476"/>
      <c r="K34" s="477"/>
      <c r="L34" s="452"/>
      <c r="M34" s="452"/>
      <c r="N34" s="476"/>
      <c r="O34" s="476"/>
      <c r="P34" s="476"/>
      <c r="Q34" s="452"/>
      <c r="R34" s="452"/>
      <c r="S34" s="476"/>
      <c r="T34" s="447">
        <f t="shared" si="2"/>
        <v>0</v>
      </c>
      <c r="U34" s="476"/>
      <c r="V34" s="452"/>
      <c r="W34" s="452"/>
      <c r="X34" s="476"/>
      <c r="Y34" s="447">
        <f t="shared" ref="Y34:Y53" si="35">X34/$S$89</f>
        <v>0</v>
      </c>
      <c r="Z34" s="476"/>
      <c r="AA34" s="452"/>
      <c r="AB34" s="452"/>
      <c r="AC34" s="476"/>
      <c r="AD34" s="447" t="e">
        <f t="shared" si="3"/>
        <v>#DIV/0!</v>
      </c>
      <c r="AE34" s="476"/>
      <c r="AF34" s="452"/>
      <c r="AG34" s="452"/>
      <c r="AH34" s="476"/>
      <c r="AI34" s="447" t="e">
        <f t="shared" ref="AI34:AI53" si="36">AH34/$AC$89</f>
        <v>#DIV/0!</v>
      </c>
      <c r="AJ34" s="476"/>
      <c r="AK34" s="452"/>
      <c r="AL34" s="452"/>
      <c r="AM34" s="476"/>
      <c r="AN34" s="447" t="e">
        <f t="shared" ref="AN34:AN40" si="37">AM34/$AC$89</f>
        <v>#DIV/0!</v>
      </c>
      <c r="AO34" s="476"/>
      <c r="AP34" s="452"/>
      <c r="AQ34" s="452"/>
      <c r="AR34" s="476"/>
      <c r="AS34" s="447" t="e">
        <f t="shared" ref="AS34:AS40" si="38">AR34/$AC$89</f>
        <v>#DIV/0!</v>
      </c>
      <c r="AT34" s="476"/>
      <c r="AU34" s="452"/>
      <c r="AV34" s="452"/>
      <c r="AW34" s="476"/>
      <c r="AX34" s="447" t="e">
        <f t="shared" ref="AX34:AX40" si="39">AW34/$AC$89</f>
        <v>#DIV/0!</v>
      </c>
      <c r="AY34" s="476"/>
      <c r="AZ34" s="452"/>
      <c r="BA34" s="452"/>
      <c r="BB34" s="476"/>
      <c r="BC34" s="447" t="e">
        <f t="shared" ref="BC34:BC40" si="40">BB34/$AC$89</f>
        <v>#DIV/0!</v>
      </c>
      <c r="BD34" s="476"/>
      <c r="BE34" s="39"/>
      <c r="BF34" s="39"/>
      <c r="BG34" s="48"/>
      <c r="BH34" s="48"/>
      <c r="BI34" s="48"/>
      <c r="BJ34" s="842"/>
      <c r="BK34" s="842"/>
    </row>
    <row r="35" spans="1:66" s="88" customFormat="1" ht="13.8" outlineLevel="1">
      <c r="A35" s="238"/>
      <c r="B35" s="89" t="s">
        <v>80</v>
      </c>
      <c r="C35" s="536">
        <f>C36</f>
        <v>0</v>
      </c>
      <c r="D35" s="536">
        <f>D36</f>
        <v>0</v>
      </c>
      <c r="E35" s="658">
        <f>E36</f>
        <v>0</v>
      </c>
      <c r="F35" s="884">
        <f>E35/$E$89</f>
        <v>0</v>
      </c>
      <c r="G35" s="536">
        <v>0</v>
      </c>
      <c r="H35" s="536">
        <v>0</v>
      </c>
      <c r="I35" s="658">
        <v>0</v>
      </c>
      <c r="J35" s="658"/>
      <c r="K35" s="955"/>
      <c r="L35" s="536">
        <f>L36</f>
        <v>0</v>
      </c>
      <c r="M35" s="536">
        <f>M36</f>
        <v>0</v>
      </c>
      <c r="N35" s="658">
        <f>N36</f>
        <v>0</v>
      </c>
      <c r="O35" s="658"/>
      <c r="P35" s="658"/>
      <c r="Q35" s="536">
        <f>Q36</f>
        <v>0</v>
      </c>
      <c r="R35" s="536">
        <f>R36</f>
        <v>0</v>
      </c>
      <c r="S35" s="658">
        <f>S36</f>
        <v>0</v>
      </c>
      <c r="T35" s="866">
        <f t="shared" si="2"/>
        <v>0</v>
      </c>
      <c r="U35" s="658"/>
      <c r="V35" s="536">
        <f>V36</f>
        <v>0</v>
      </c>
      <c r="W35" s="536">
        <f>W36</f>
        <v>0</v>
      </c>
      <c r="X35" s="658">
        <f>X36</f>
        <v>0</v>
      </c>
      <c r="Y35" s="866">
        <f t="shared" si="35"/>
        <v>0</v>
      </c>
      <c r="Z35" s="658"/>
      <c r="AA35" s="536">
        <f>AA36</f>
        <v>0</v>
      </c>
      <c r="AB35" s="536">
        <f>AB36</f>
        <v>0</v>
      </c>
      <c r="AC35" s="658">
        <f>AC36</f>
        <v>0</v>
      </c>
      <c r="AD35" s="866" t="e">
        <f t="shared" si="3"/>
        <v>#DIV/0!</v>
      </c>
      <c r="AE35" s="658"/>
      <c r="AF35" s="536">
        <f>AF36</f>
        <v>0</v>
      </c>
      <c r="AG35" s="536">
        <f>AG36</f>
        <v>0</v>
      </c>
      <c r="AH35" s="658">
        <f>AH36</f>
        <v>0</v>
      </c>
      <c r="AI35" s="866" t="e">
        <f t="shared" si="36"/>
        <v>#DIV/0!</v>
      </c>
      <c r="AJ35" s="658"/>
      <c r="AK35" s="536">
        <f>AK36</f>
        <v>0</v>
      </c>
      <c r="AL35" s="536">
        <f>AL36</f>
        <v>0</v>
      </c>
      <c r="AM35" s="658">
        <f>AM36</f>
        <v>0</v>
      </c>
      <c r="AN35" s="866" t="e">
        <f t="shared" si="37"/>
        <v>#DIV/0!</v>
      </c>
      <c r="AO35" s="658"/>
      <c r="AP35" s="536">
        <f>AP36</f>
        <v>0</v>
      </c>
      <c r="AQ35" s="536">
        <f>AQ36</f>
        <v>0</v>
      </c>
      <c r="AR35" s="658">
        <f>AR36</f>
        <v>0</v>
      </c>
      <c r="AS35" s="866" t="e">
        <f t="shared" si="38"/>
        <v>#DIV/0!</v>
      </c>
      <c r="AT35" s="658"/>
      <c r="AU35" s="536">
        <f>AU36</f>
        <v>0</v>
      </c>
      <c r="AV35" s="536">
        <f>AV36</f>
        <v>0</v>
      </c>
      <c r="AW35" s="658">
        <f>AW36</f>
        <v>0</v>
      </c>
      <c r="AX35" s="866" t="e">
        <f t="shared" si="39"/>
        <v>#DIV/0!</v>
      </c>
      <c r="AY35" s="658"/>
      <c r="AZ35" s="536">
        <f>AZ36</f>
        <v>0</v>
      </c>
      <c r="BA35" s="536">
        <f>BA36</f>
        <v>0</v>
      </c>
      <c r="BB35" s="658">
        <f>BB36</f>
        <v>0</v>
      </c>
      <c r="BC35" s="866" t="e">
        <f t="shared" si="40"/>
        <v>#DIV/0!</v>
      </c>
      <c r="BD35" s="658"/>
      <c r="BE35" s="90">
        <f>BE36</f>
        <v>0</v>
      </c>
      <c r="BF35" s="90">
        <f>BF36</f>
        <v>0</v>
      </c>
      <c r="BG35" s="91">
        <f>BG36</f>
        <v>0</v>
      </c>
      <c r="BH35" s="91"/>
      <c r="BI35" s="91"/>
      <c r="BJ35" s="929"/>
      <c r="BK35" s="929"/>
    </row>
    <row r="36" spans="1:66" s="226" customFormat="1" ht="13.8" outlineLevel="3">
      <c r="A36" s="238"/>
      <c r="B36" s="19" t="s">
        <v>81</v>
      </c>
      <c r="C36" s="885"/>
      <c r="D36" s="886"/>
      <c r="E36" s="446">
        <f>C36+D36</f>
        <v>0</v>
      </c>
      <c r="F36" s="450">
        <f>E36/$E$89</f>
        <v>0</v>
      </c>
      <c r="G36" s="452">
        <v>0</v>
      </c>
      <c r="H36" s="452">
        <v>0</v>
      </c>
      <c r="I36" s="446">
        <v>0</v>
      </c>
      <c r="J36" s="450">
        <v>0</v>
      </c>
      <c r="K36" s="447"/>
      <c r="L36" s="452"/>
      <c r="M36" s="452"/>
      <c r="N36" s="446">
        <f>L36+M36*1</f>
        <v>0</v>
      </c>
      <c r="O36" s="450">
        <f>N36/$N$89</f>
        <v>0</v>
      </c>
      <c r="P36" s="458"/>
      <c r="Q36" s="452"/>
      <c r="R36" s="452"/>
      <c r="S36" s="446">
        <f>Q36+R36*1</f>
        <v>0</v>
      </c>
      <c r="T36" s="450">
        <f t="shared" si="2"/>
        <v>0</v>
      </c>
      <c r="U36" s="458"/>
      <c r="V36" s="452"/>
      <c r="W36" s="452"/>
      <c r="X36" s="446">
        <f>V36+W36*1</f>
        <v>0</v>
      </c>
      <c r="Y36" s="450">
        <f t="shared" si="35"/>
        <v>0</v>
      </c>
      <c r="Z36" s="458"/>
      <c r="AA36" s="452"/>
      <c r="AB36" s="452"/>
      <c r="AC36" s="446">
        <f>AA36+AB36*1</f>
        <v>0</v>
      </c>
      <c r="AD36" s="450" t="e">
        <f t="shared" si="3"/>
        <v>#DIV/0!</v>
      </c>
      <c r="AE36" s="458"/>
      <c r="AF36" s="452"/>
      <c r="AG36" s="452"/>
      <c r="AH36" s="446">
        <f>AF36+AG36*1</f>
        <v>0</v>
      </c>
      <c r="AI36" s="450" t="e">
        <f t="shared" si="36"/>
        <v>#DIV/0!</v>
      </c>
      <c r="AJ36" s="458"/>
      <c r="AK36" s="452"/>
      <c r="AL36" s="452"/>
      <c r="AM36" s="446">
        <f>AK36+AL36*1</f>
        <v>0</v>
      </c>
      <c r="AN36" s="450" t="e">
        <f t="shared" si="37"/>
        <v>#DIV/0!</v>
      </c>
      <c r="AO36" s="458"/>
      <c r="AP36" s="452"/>
      <c r="AQ36" s="452"/>
      <c r="AR36" s="446">
        <f>AP36+AQ36*1</f>
        <v>0</v>
      </c>
      <c r="AS36" s="450" t="e">
        <f t="shared" si="38"/>
        <v>#DIV/0!</v>
      </c>
      <c r="AT36" s="458"/>
      <c r="AU36" s="452"/>
      <c r="AV36" s="452"/>
      <c r="AW36" s="446">
        <f>AU36+AV36*1</f>
        <v>0</v>
      </c>
      <c r="AX36" s="450" t="e">
        <f t="shared" si="39"/>
        <v>#DIV/0!</v>
      </c>
      <c r="AY36" s="458"/>
      <c r="AZ36" s="452"/>
      <c r="BA36" s="452"/>
      <c r="BB36" s="446">
        <f>AZ36+BA36*1</f>
        <v>0</v>
      </c>
      <c r="BC36" s="450" t="e">
        <f t="shared" si="40"/>
        <v>#DIV/0!</v>
      </c>
      <c r="BD36" s="458"/>
      <c r="BE36" s="39">
        <f>L36+Q36</f>
        <v>0</v>
      </c>
      <c r="BF36" s="39">
        <f>M36+R36</f>
        <v>0</v>
      </c>
      <c r="BG36" s="106">
        <f>BE36+BF36</f>
        <v>0</v>
      </c>
      <c r="BH36" s="178">
        <f>BG36/$BG$89</f>
        <v>0</v>
      </c>
      <c r="BI36" s="45"/>
      <c r="BJ36" s="916"/>
      <c r="BK36" s="916"/>
    </row>
    <row r="37" spans="1:66" s="2" customFormat="1" ht="14.4" outlineLevel="1" thickBot="1">
      <c r="A37" s="4"/>
      <c r="B37" s="14"/>
      <c r="C37" s="887"/>
      <c r="D37" s="888"/>
      <c r="E37" s="606"/>
      <c r="F37" s="826"/>
      <c r="G37" s="452"/>
      <c r="H37" s="452"/>
      <c r="I37" s="606"/>
      <c r="J37" s="606"/>
      <c r="K37" s="956"/>
      <c r="L37" s="452"/>
      <c r="M37" s="452"/>
      <c r="N37" s="606"/>
      <c r="O37" s="606"/>
      <c r="P37" s="606"/>
      <c r="Q37" s="452"/>
      <c r="R37" s="452"/>
      <c r="S37" s="606"/>
      <c r="T37" s="450">
        <f t="shared" si="2"/>
        <v>0</v>
      </c>
      <c r="U37" s="606"/>
      <c r="V37" s="452"/>
      <c r="W37" s="452"/>
      <c r="X37" s="606"/>
      <c r="Y37" s="450">
        <f t="shared" si="35"/>
        <v>0</v>
      </c>
      <c r="Z37" s="606"/>
      <c r="AA37" s="452"/>
      <c r="AB37" s="452"/>
      <c r="AC37" s="606"/>
      <c r="AD37" s="450" t="e">
        <f t="shared" si="3"/>
        <v>#DIV/0!</v>
      </c>
      <c r="AE37" s="606"/>
      <c r="AF37" s="452"/>
      <c r="AG37" s="452"/>
      <c r="AH37" s="606"/>
      <c r="AI37" s="450" t="e">
        <f t="shared" si="36"/>
        <v>#DIV/0!</v>
      </c>
      <c r="AJ37" s="606"/>
      <c r="AK37" s="452"/>
      <c r="AL37" s="452"/>
      <c r="AM37" s="606"/>
      <c r="AN37" s="450" t="e">
        <f t="shared" si="37"/>
        <v>#DIV/0!</v>
      </c>
      <c r="AO37" s="606"/>
      <c r="AP37" s="452"/>
      <c r="AQ37" s="452"/>
      <c r="AR37" s="606"/>
      <c r="AS37" s="450" t="e">
        <f t="shared" si="38"/>
        <v>#DIV/0!</v>
      </c>
      <c r="AT37" s="606"/>
      <c r="AU37" s="452"/>
      <c r="AV37" s="452"/>
      <c r="AW37" s="606"/>
      <c r="AX37" s="450" t="e">
        <f t="shared" si="39"/>
        <v>#DIV/0!</v>
      </c>
      <c r="AY37" s="606"/>
      <c r="AZ37" s="452"/>
      <c r="BA37" s="452"/>
      <c r="BB37" s="606"/>
      <c r="BC37" s="450" t="e">
        <f t="shared" si="40"/>
        <v>#DIV/0!</v>
      </c>
      <c r="BD37" s="606"/>
      <c r="BE37" s="39"/>
      <c r="BF37" s="39"/>
      <c r="BG37" s="52"/>
      <c r="BH37" s="52"/>
      <c r="BI37" s="52"/>
      <c r="BJ37" s="842"/>
      <c r="BK37" s="842"/>
    </row>
    <row r="38" spans="1:66" ht="14.4" thickBot="1">
      <c r="A38" s="889"/>
      <c r="B38" s="34" t="s">
        <v>46</v>
      </c>
      <c r="C38" s="648">
        <f>(C5)-(C8)</f>
        <v>3348414</v>
      </c>
      <c r="D38" s="648">
        <f>(D5)-(D8)</f>
        <v>-1650381</v>
      </c>
      <c r="E38" s="648">
        <f>(E5)-(E8)</f>
        <v>1698033</v>
      </c>
      <c r="F38" s="871"/>
      <c r="G38" s="648">
        <v>9445690.2560000028</v>
      </c>
      <c r="H38" s="648">
        <v>-4106329.74</v>
      </c>
      <c r="I38" s="648">
        <v>5339360.5160000045</v>
      </c>
      <c r="J38" s="648"/>
      <c r="K38" s="871"/>
      <c r="L38" s="648">
        <f>(L5)-(L8)</f>
        <v>-1700</v>
      </c>
      <c r="M38" s="648">
        <f>(M5)-(M8)</f>
        <v>-18797</v>
      </c>
      <c r="N38" s="648">
        <f>(N5)-(N8)</f>
        <v>-20497</v>
      </c>
      <c r="O38" s="648"/>
      <c r="P38" s="648"/>
      <c r="Q38" s="648">
        <f>(Q5)-(Q8)</f>
        <v>288903.43200000003</v>
      </c>
      <c r="R38" s="648">
        <f>(R5)-(R8)</f>
        <v>-90781.43</v>
      </c>
      <c r="S38" s="648">
        <f>(S5)-(S8)</f>
        <v>198122.00200000004</v>
      </c>
      <c r="T38" s="890">
        <f t="shared" si="2"/>
        <v>1.6137040893699965</v>
      </c>
      <c r="U38" s="648"/>
      <c r="V38" s="648">
        <f>(V5)-(V8)</f>
        <v>0</v>
      </c>
      <c r="W38" s="648">
        <f>(W5)-(W8)</f>
        <v>0</v>
      </c>
      <c r="X38" s="648">
        <f>(X5)-(X8)</f>
        <v>0</v>
      </c>
      <c r="Y38" s="890">
        <f t="shared" si="35"/>
        <v>0</v>
      </c>
      <c r="Z38" s="648"/>
      <c r="AA38" s="648">
        <f>(AA5)-(AA8)</f>
        <v>0</v>
      </c>
      <c r="AB38" s="648">
        <f>(AB5)-(AB8)</f>
        <v>0</v>
      </c>
      <c r="AC38" s="648">
        <f>(AC5)-(AC8)</f>
        <v>0</v>
      </c>
      <c r="AD38" s="890" t="e">
        <f t="shared" si="3"/>
        <v>#DIV/0!</v>
      </c>
      <c r="AE38" s="648"/>
      <c r="AF38" s="648">
        <f>(AF5)-(AF8)</f>
        <v>0</v>
      </c>
      <c r="AG38" s="648">
        <f>(AG5)-(AG8)</f>
        <v>0</v>
      </c>
      <c r="AH38" s="648">
        <f>(AH5)-(AH8)</f>
        <v>0</v>
      </c>
      <c r="AI38" s="890" t="e">
        <f t="shared" si="36"/>
        <v>#DIV/0!</v>
      </c>
      <c r="AJ38" s="648"/>
      <c r="AK38" s="648">
        <f>(AK5)-(AK8)</f>
        <v>0</v>
      </c>
      <c r="AL38" s="648">
        <f>(AL5)-(AL8)</f>
        <v>0</v>
      </c>
      <c r="AM38" s="648">
        <f>(AM5)-(AM8)</f>
        <v>0</v>
      </c>
      <c r="AN38" s="890" t="e">
        <f t="shared" si="37"/>
        <v>#DIV/0!</v>
      </c>
      <c r="AO38" s="648"/>
      <c r="AP38" s="648">
        <f>(AP5)-(AP8)</f>
        <v>0</v>
      </c>
      <c r="AQ38" s="648">
        <f>(AQ5)-(AQ8)</f>
        <v>0</v>
      </c>
      <c r="AR38" s="648">
        <f>(AR5)-(AR8)</f>
        <v>0</v>
      </c>
      <c r="AS38" s="890" t="e">
        <f t="shared" si="38"/>
        <v>#DIV/0!</v>
      </c>
      <c r="AT38" s="648"/>
      <c r="AU38" s="648">
        <f>(AU5)-(AU8)</f>
        <v>0</v>
      </c>
      <c r="AV38" s="648">
        <f>(AV5)-(AV8)</f>
        <v>0</v>
      </c>
      <c r="AW38" s="648">
        <f>(AW5)-(AW8)</f>
        <v>0</v>
      </c>
      <c r="AX38" s="890" t="e">
        <f t="shared" si="39"/>
        <v>#DIV/0!</v>
      </c>
      <c r="AY38" s="648"/>
      <c r="AZ38" s="648">
        <f>(AZ5)-(AZ8)</f>
        <v>0</v>
      </c>
      <c r="BA38" s="648">
        <f>(BA5)-(BA8)</f>
        <v>0</v>
      </c>
      <c r="BB38" s="648">
        <f>(BB5)-(BB8)</f>
        <v>0</v>
      </c>
      <c r="BC38" s="890" t="e">
        <f t="shared" si="40"/>
        <v>#DIV/0!</v>
      </c>
      <c r="BD38" s="648"/>
      <c r="BE38" s="53">
        <f>(BE5)-(BE8)</f>
        <v>9736302.018000003</v>
      </c>
      <c r="BF38" s="53">
        <f>(BF5)-(BF8)</f>
        <v>-4215908.17</v>
      </c>
      <c r="BG38" s="53">
        <f>(BG5)-(BG8)</f>
        <v>5520393.8480000049</v>
      </c>
      <c r="BH38" s="53"/>
      <c r="BI38" s="53"/>
      <c r="BJ38" s="928"/>
      <c r="BK38" s="928"/>
    </row>
    <row r="39" spans="1:66" ht="13.8">
      <c r="A39" s="293"/>
      <c r="B39" s="15" t="s">
        <v>47</v>
      </c>
      <c r="C39" s="873">
        <f>C38/(C5)</f>
        <v>0.61142712417721812</v>
      </c>
      <c r="D39" s="873" t="e">
        <f>D38/(D5)</f>
        <v>#DIV/0!</v>
      </c>
      <c r="E39" s="874">
        <f>E38/(E5)</f>
        <v>0.31006423756083157</v>
      </c>
      <c r="F39" s="875"/>
      <c r="G39" s="639">
        <v>0.61048527854276102</v>
      </c>
      <c r="H39" s="639" t="e">
        <v>#DIV/0!</v>
      </c>
      <c r="I39" s="660">
        <v>0.34508870220256793</v>
      </c>
      <c r="J39" s="660"/>
      <c r="K39" s="957"/>
      <c r="L39" s="639" t="e">
        <f>L38/(L5)</f>
        <v>#DIV/0!</v>
      </c>
      <c r="M39" s="639" t="e">
        <f>M38/(M5)</f>
        <v>#DIV/0!</v>
      </c>
      <c r="N39" s="660" t="e">
        <f>N38/(N5)</f>
        <v>#DIV/0!</v>
      </c>
      <c r="O39" s="660"/>
      <c r="P39" s="660"/>
      <c r="Q39" s="639">
        <f>Q38/(Q5)</f>
        <v>0.9400380383874567</v>
      </c>
      <c r="R39" s="639" t="e">
        <f>R38/(R5)</f>
        <v>#DIV/0!</v>
      </c>
      <c r="S39" s="660">
        <f>S38/(S5)</f>
        <v>0.64465214840880047</v>
      </c>
      <c r="T39" s="876">
        <f t="shared" si="2"/>
        <v>5.2506929952607435E-6</v>
      </c>
      <c r="U39" s="660"/>
      <c r="V39" s="639" t="e">
        <f>V38/(V5)</f>
        <v>#DIV/0!</v>
      </c>
      <c r="W39" s="639" t="e">
        <f>W38/(W5)</f>
        <v>#DIV/0!</v>
      </c>
      <c r="X39" s="660" t="e">
        <f>X38/(X5)</f>
        <v>#DIV/0!</v>
      </c>
      <c r="Y39" s="876" t="e">
        <f t="shared" si="35"/>
        <v>#DIV/0!</v>
      </c>
      <c r="Z39" s="660"/>
      <c r="AA39" s="639" t="e">
        <f>AA38/(AA5)</f>
        <v>#DIV/0!</v>
      </c>
      <c r="AB39" s="639" t="e">
        <f>AB38/(AB5)</f>
        <v>#DIV/0!</v>
      </c>
      <c r="AC39" s="660" t="e">
        <f>AC38/(AC5)</f>
        <v>#DIV/0!</v>
      </c>
      <c r="AD39" s="876" t="e">
        <f t="shared" si="3"/>
        <v>#DIV/0!</v>
      </c>
      <c r="AE39" s="660"/>
      <c r="AF39" s="639" t="e">
        <f>AF38/(AF5)</f>
        <v>#DIV/0!</v>
      </c>
      <c r="AG39" s="639" t="e">
        <f>AG38/(AG5)</f>
        <v>#DIV/0!</v>
      </c>
      <c r="AH39" s="660" t="e">
        <f>AH38/(AH5)</f>
        <v>#DIV/0!</v>
      </c>
      <c r="AI39" s="876" t="e">
        <f t="shared" si="36"/>
        <v>#DIV/0!</v>
      </c>
      <c r="AJ39" s="660"/>
      <c r="AK39" s="639" t="e">
        <f>AK38/(AK5)</f>
        <v>#DIV/0!</v>
      </c>
      <c r="AL39" s="639" t="e">
        <f>AL38/(AL5)</f>
        <v>#DIV/0!</v>
      </c>
      <c r="AM39" s="660" t="e">
        <f>AM38/(AM5)</f>
        <v>#DIV/0!</v>
      </c>
      <c r="AN39" s="876" t="e">
        <f t="shared" si="37"/>
        <v>#DIV/0!</v>
      </c>
      <c r="AO39" s="660"/>
      <c r="AP39" s="639" t="e">
        <f>AP38/(AP5)</f>
        <v>#DIV/0!</v>
      </c>
      <c r="AQ39" s="639" t="e">
        <f>AQ38/(AQ5)</f>
        <v>#DIV/0!</v>
      </c>
      <c r="AR39" s="660" t="e">
        <f>AR38/(AR5)</f>
        <v>#DIV/0!</v>
      </c>
      <c r="AS39" s="876" t="e">
        <f t="shared" si="38"/>
        <v>#DIV/0!</v>
      </c>
      <c r="AT39" s="660"/>
      <c r="AU39" s="639" t="e">
        <f>AU38/(AU5)</f>
        <v>#DIV/0!</v>
      </c>
      <c r="AV39" s="639" t="e">
        <f>AV38/(AV5)</f>
        <v>#DIV/0!</v>
      </c>
      <c r="AW39" s="660" t="e">
        <f>AW38/(AW5)</f>
        <v>#DIV/0!</v>
      </c>
      <c r="AX39" s="876" t="e">
        <f t="shared" si="39"/>
        <v>#DIV/0!</v>
      </c>
      <c r="AY39" s="660"/>
      <c r="AZ39" s="639" t="e">
        <f>AZ38/(AZ5)</f>
        <v>#DIV/0!</v>
      </c>
      <c r="BA39" s="639" t="e">
        <f>BA38/(BA5)</f>
        <v>#DIV/0!</v>
      </c>
      <c r="BB39" s="660" t="e">
        <f>BB38/(BB5)</f>
        <v>#DIV/0!</v>
      </c>
      <c r="BC39" s="876" t="e">
        <f t="shared" si="40"/>
        <v>#DIV/0!</v>
      </c>
      <c r="BD39" s="660"/>
      <c r="BE39" s="54">
        <f>BE38/(BE5)</f>
        <v>0.61701201371502412</v>
      </c>
      <c r="BF39" s="54" t="e">
        <f>BF38/(BF5)</f>
        <v>#DIV/0!</v>
      </c>
      <c r="BG39" s="55">
        <f>BG38/(BG5)</f>
        <v>0.34984014653175199</v>
      </c>
      <c r="BH39" s="55"/>
      <c r="BI39" s="55"/>
      <c r="BJ39" s="928"/>
      <c r="BK39" s="928"/>
    </row>
    <row r="40" spans="1:66" ht="14.4" outlineLevel="1" thickBot="1">
      <c r="A40" s="295"/>
      <c r="B40" s="16"/>
      <c r="C40" s="877"/>
      <c r="D40" s="662"/>
      <c r="E40" s="649"/>
      <c r="F40" s="878"/>
      <c r="G40" s="649"/>
      <c r="H40" s="649"/>
      <c r="I40" s="649"/>
      <c r="J40" s="649"/>
      <c r="K40" s="878"/>
      <c r="L40" s="649"/>
      <c r="M40" s="649"/>
      <c r="N40" s="649"/>
      <c r="O40" s="649"/>
      <c r="P40" s="649"/>
      <c r="Q40" s="649"/>
      <c r="R40" s="649"/>
      <c r="S40" s="649"/>
      <c r="T40" s="450">
        <f t="shared" si="2"/>
        <v>0</v>
      </c>
      <c r="U40" s="649"/>
      <c r="V40" s="649"/>
      <c r="W40" s="649"/>
      <c r="X40" s="649"/>
      <c r="Y40" s="450">
        <f t="shared" si="35"/>
        <v>0</v>
      </c>
      <c r="Z40" s="649"/>
      <c r="AA40" s="649"/>
      <c r="AB40" s="649"/>
      <c r="AC40" s="649"/>
      <c r="AD40" s="450" t="e">
        <f t="shared" si="3"/>
        <v>#DIV/0!</v>
      </c>
      <c r="AE40" s="649"/>
      <c r="AF40" s="649"/>
      <c r="AG40" s="649"/>
      <c r="AH40" s="649"/>
      <c r="AI40" s="450" t="e">
        <f t="shared" si="36"/>
        <v>#DIV/0!</v>
      </c>
      <c r="AJ40" s="649"/>
      <c r="AK40" s="649"/>
      <c r="AL40" s="649"/>
      <c r="AM40" s="649"/>
      <c r="AN40" s="450" t="e">
        <f t="shared" si="37"/>
        <v>#DIV/0!</v>
      </c>
      <c r="AO40" s="649"/>
      <c r="AP40" s="649"/>
      <c r="AQ40" s="649"/>
      <c r="AR40" s="649"/>
      <c r="AS40" s="450" t="e">
        <f t="shared" si="38"/>
        <v>#DIV/0!</v>
      </c>
      <c r="AT40" s="649"/>
      <c r="AU40" s="649"/>
      <c r="AV40" s="649"/>
      <c r="AW40" s="649"/>
      <c r="AX40" s="450" t="e">
        <f t="shared" si="39"/>
        <v>#DIV/0!</v>
      </c>
      <c r="AY40" s="649"/>
      <c r="AZ40" s="649"/>
      <c r="BA40" s="649"/>
      <c r="BB40" s="649"/>
      <c r="BC40" s="450" t="e">
        <f t="shared" si="40"/>
        <v>#DIV/0!</v>
      </c>
      <c r="BD40" s="649"/>
      <c r="BE40" s="58"/>
      <c r="BF40" s="58"/>
      <c r="BG40" s="58"/>
      <c r="BH40" s="58"/>
      <c r="BI40" s="58"/>
      <c r="BJ40" s="928"/>
      <c r="BK40" s="928"/>
    </row>
    <row r="41" spans="1:66" ht="13.8" outlineLevel="1">
      <c r="A41" s="11"/>
      <c r="B41" s="22" t="s">
        <v>26</v>
      </c>
      <c r="C41" s="547">
        <f>SUM(C42:C48)</f>
        <v>16500</v>
      </c>
      <c r="D41" s="547">
        <f>SUM(D42:D48)</f>
        <v>1500</v>
      </c>
      <c r="E41" s="663">
        <f>SUM(E42:E48)</f>
        <v>18000</v>
      </c>
      <c r="F41" s="664">
        <f t="shared" ref="F41:F48" si="41">E41/$E$89</f>
        <v>4.2395765887754382E-3</v>
      </c>
      <c r="G41" s="547">
        <v>27366.560000000001</v>
      </c>
      <c r="H41" s="547">
        <v>5670</v>
      </c>
      <c r="I41" s="663">
        <v>33036.559999999998</v>
      </c>
      <c r="J41" s="664">
        <v>2.9303432699100897E-3</v>
      </c>
      <c r="K41" s="245"/>
      <c r="L41" s="547">
        <f>SUM(L42:L48)</f>
        <v>61.5</v>
      </c>
      <c r="M41" s="547">
        <f>SUM(M42:M48)</f>
        <v>0</v>
      </c>
      <c r="N41" s="663">
        <f>SUM(N42:N48)</f>
        <v>61.5</v>
      </c>
      <c r="O41" s="664" t="e">
        <f>N41/#REF!</f>
        <v>#REF!</v>
      </c>
      <c r="P41" s="581"/>
      <c r="Q41" s="547">
        <f>SUM(Q42:Q48)</f>
        <v>0</v>
      </c>
      <c r="R41" s="547">
        <f>SUM(R42:R48)</f>
        <v>0</v>
      </c>
      <c r="S41" s="663">
        <f>SUM(S42:S48)</f>
        <v>0</v>
      </c>
      <c r="T41" s="664">
        <f t="shared" si="2"/>
        <v>0</v>
      </c>
      <c r="U41" s="581"/>
      <c r="V41" s="547">
        <f>SUM(V42:V48)</f>
        <v>0</v>
      </c>
      <c r="W41" s="547">
        <f>SUM(W42:W48)</f>
        <v>0</v>
      </c>
      <c r="X41" s="663">
        <f>SUM(X42:X48)</f>
        <v>0</v>
      </c>
      <c r="Y41" s="664">
        <f t="shared" si="35"/>
        <v>0</v>
      </c>
      <c r="Z41" s="581"/>
      <c r="AA41" s="547">
        <f>SUM(AA42:AA48)</f>
        <v>0</v>
      </c>
      <c r="AB41" s="547">
        <f>SUM(AB42:AB48)</f>
        <v>0</v>
      </c>
      <c r="AC41" s="663">
        <f>SUM(AC42:AC48)</f>
        <v>0</v>
      </c>
      <c r="AD41" s="664" t="e">
        <f t="shared" si="3"/>
        <v>#DIV/0!</v>
      </c>
      <c r="AE41" s="581"/>
      <c r="AF41" s="547">
        <f>SUM(AF42:AF48)</f>
        <v>0</v>
      </c>
      <c r="AG41" s="547">
        <f>SUM(AG42:AG48)</f>
        <v>0</v>
      </c>
      <c r="AH41" s="663">
        <f>SUM(AH42:AH48)</f>
        <v>0</v>
      </c>
      <c r="AI41" s="664" t="e">
        <f t="shared" ref="AI41:AI48" si="42">AH41/$AH$89</f>
        <v>#DIV/0!</v>
      </c>
      <c r="AJ41" s="581"/>
      <c r="AK41" s="547">
        <f>SUM(AK42:AK48)</f>
        <v>0</v>
      </c>
      <c r="AL41" s="547">
        <f>SUM(AL42:AL48)</f>
        <v>0</v>
      </c>
      <c r="AM41" s="663">
        <f>SUM(AM42:AM48)</f>
        <v>0</v>
      </c>
      <c r="AN41" s="664" t="e">
        <f t="shared" ref="AN41:AN47" si="43">AM41/$AM$89</f>
        <v>#DIV/0!</v>
      </c>
      <c r="AO41" s="581"/>
      <c r="AP41" s="547">
        <f>SUM(AP42:AP48)</f>
        <v>0</v>
      </c>
      <c r="AQ41" s="547">
        <f>SUM(AQ42:AQ48)</f>
        <v>0</v>
      </c>
      <c r="AR41" s="663">
        <f>SUM(AR42:AR48)</f>
        <v>0</v>
      </c>
      <c r="AS41" s="664" t="e">
        <f t="shared" ref="AS41:AS49" si="44">AR41/$AR$89</f>
        <v>#DIV/0!</v>
      </c>
      <c r="AT41" s="581"/>
      <c r="AU41" s="547">
        <f>SUM(AU42:AU48)</f>
        <v>0</v>
      </c>
      <c r="AV41" s="547">
        <f>SUM(AV42:AV48)</f>
        <v>0</v>
      </c>
      <c r="AW41" s="663">
        <f>SUM(AW42:AW48)</f>
        <v>0</v>
      </c>
      <c r="AX41" s="664">
        <f t="shared" ref="AX41:AX48" si="45">AW41/$AW$89</f>
        <v>0</v>
      </c>
      <c r="AY41" s="581"/>
      <c r="AZ41" s="547">
        <f>SUM(AZ42:AZ48)</f>
        <v>0</v>
      </c>
      <c r="BA41" s="547">
        <f>SUM(BA42:BA48)</f>
        <v>0</v>
      </c>
      <c r="BB41" s="663">
        <f>SUM(BB42:BB48)</f>
        <v>0</v>
      </c>
      <c r="BC41" s="664" t="e">
        <f t="shared" ref="BC41:BC49" si="46">BB41/$AR$89</f>
        <v>#DIV/0!</v>
      </c>
      <c r="BD41" s="581"/>
      <c r="BE41" s="117">
        <f>SUM(BE42:BE48)</f>
        <v>27428.06</v>
      </c>
      <c r="BF41" s="117">
        <f>SUM(BF42:BF48)</f>
        <v>5670</v>
      </c>
      <c r="BG41" s="118">
        <f>SUM(BG42:BG48)</f>
        <v>33098.06</v>
      </c>
      <c r="BH41" s="169">
        <f t="shared" ref="BH41:BH49" si="47">BG41/$BG$89</f>
        <v>2.8965811474706343E-3</v>
      </c>
      <c r="BI41" s="60"/>
      <c r="BJ41" s="928"/>
      <c r="BK41" s="928"/>
      <c r="BM41" s="842"/>
      <c r="BN41" s="842"/>
    </row>
    <row r="42" spans="1:66" ht="43.2" customHeight="1" outlineLevel="2">
      <c r="A42" s="4833"/>
      <c r="B42" s="18" t="s">
        <v>7</v>
      </c>
      <c r="C42" s="445"/>
      <c r="D42" s="500"/>
      <c r="E42" s="559">
        <f t="shared" ref="E42:E49" si="48">C42+D42</f>
        <v>0</v>
      </c>
      <c r="F42" s="450">
        <f t="shared" si="41"/>
        <v>0</v>
      </c>
      <c r="G42" s="452">
        <v>0</v>
      </c>
      <c r="H42" s="452">
        <v>0</v>
      </c>
      <c r="I42" s="446">
        <v>0</v>
      </c>
      <c r="J42" s="450">
        <v>0</v>
      </c>
      <c r="K42" s="447"/>
      <c r="L42" s="452"/>
      <c r="M42" s="452"/>
      <c r="N42" s="446">
        <f t="shared" ref="N42:N48" si="49">L42+M42*1</f>
        <v>0</v>
      </c>
      <c r="O42" s="450">
        <f t="shared" ref="O42:O48" si="50">N42/$N$89</f>
        <v>0</v>
      </c>
      <c r="P42" s="498"/>
      <c r="Q42" s="452"/>
      <c r="R42" s="452"/>
      <c r="S42" s="446">
        <f t="shared" ref="S42:S48" si="51">Q42+R42*1</f>
        <v>0</v>
      </c>
      <c r="T42" s="450">
        <f t="shared" si="2"/>
        <v>0</v>
      </c>
      <c r="U42" s="498"/>
      <c r="V42" s="452"/>
      <c r="W42" s="452"/>
      <c r="X42" s="446">
        <f t="shared" ref="X42:X48" si="52">V42+W42*1</f>
        <v>0</v>
      </c>
      <c r="Y42" s="450" t="e">
        <f t="shared" ref="Y42:Y48" si="53">X42/$X$89</f>
        <v>#DIV/0!</v>
      </c>
      <c r="Z42" s="498"/>
      <c r="AA42" s="452"/>
      <c r="AB42" s="452"/>
      <c r="AC42" s="446">
        <f t="shared" ref="AC42:AC48" si="54">AA42+AB42*1</f>
        <v>0</v>
      </c>
      <c r="AD42" s="450" t="e">
        <f t="shared" si="3"/>
        <v>#DIV/0!</v>
      </c>
      <c r="AE42" s="498"/>
      <c r="AF42" s="452"/>
      <c r="AG42" s="452"/>
      <c r="AH42" s="446">
        <f t="shared" ref="AH42:AH48" si="55">AF42+AG42*1</f>
        <v>0</v>
      </c>
      <c r="AI42" s="450" t="e">
        <f t="shared" si="42"/>
        <v>#DIV/0!</v>
      </c>
      <c r="AJ42" s="498"/>
      <c r="AK42" s="452"/>
      <c r="AL42" s="452"/>
      <c r="AM42" s="446">
        <f t="shared" ref="AM42:AM48" si="56">AK42+AL42*1</f>
        <v>0</v>
      </c>
      <c r="AN42" s="450" t="e">
        <f t="shared" si="43"/>
        <v>#DIV/0!</v>
      </c>
      <c r="AO42" s="498"/>
      <c r="AP42" s="452"/>
      <c r="AQ42" s="452"/>
      <c r="AR42" s="446">
        <f t="shared" ref="AR42:AR48" si="57">AP42+AQ42*1</f>
        <v>0</v>
      </c>
      <c r="AS42" s="450" t="e">
        <f t="shared" si="44"/>
        <v>#DIV/0!</v>
      </c>
      <c r="AT42" s="498"/>
      <c r="AU42" s="452"/>
      <c r="AV42" s="452"/>
      <c r="AW42" s="446">
        <f t="shared" ref="AW42:AW48" si="58">AU42+AV42*1</f>
        <v>0</v>
      </c>
      <c r="AX42" s="450">
        <f t="shared" si="45"/>
        <v>0</v>
      </c>
      <c r="AY42" s="498"/>
      <c r="AZ42" s="452"/>
      <c r="BA42" s="452"/>
      <c r="BB42" s="446">
        <f t="shared" ref="BB42:BB48" si="59">AZ42+BA42*1</f>
        <v>0</v>
      </c>
      <c r="BC42" s="450" t="e">
        <f t="shared" si="46"/>
        <v>#DIV/0!</v>
      </c>
      <c r="BD42" s="498"/>
      <c r="BE42" s="39">
        <f t="shared" ref="BE42:BE48" si="60">L42+G42+Q42</f>
        <v>0</v>
      </c>
      <c r="BF42" s="39">
        <f t="shared" ref="BF42:BF48" si="61">H42+M42+R42</f>
        <v>0</v>
      </c>
      <c r="BG42" s="106">
        <f t="shared" ref="BG42:BG48" si="62">BE42+BF42</f>
        <v>0</v>
      </c>
      <c r="BH42" s="178">
        <f t="shared" si="47"/>
        <v>0</v>
      </c>
      <c r="BI42" s="79"/>
      <c r="BJ42" s="928"/>
      <c r="BK42" s="928"/>
      <c r="BM42" s="842"/>
      <c r="BN42" s="842"/>
    </row>
    <row r="43" spans="1:66" ht="13.8" outlineLevel="2">
      <c r="A43" s="4833"/>
      <c r="B43" s="18" t="s">
        <v>27</v>
      </c>
      <c r="C43" s="445"/>
      <c r="D43" s="500">
        <v>1500</v>
      </c>
      <c r="E43" s="559">
        <f t="shared" si="48"/>
        <v>1500</v>
      </c>
      <c r="F43" s="450">
        <f t="shared" si="41"/>
        <v>3.5329804906461987E-4</v>
      </c>
      <c r="G43" s="452">
        <v>0</v>
      </c>
      <c r="H43" s="452">
        <v>1930</v>
      </c>
      <c r="I43" s="446">
        <v>1930</v>
      </c>
      <c r="J43" s="450">
        <v>1.7119102324595763E-4</v>
      </c>
      <c r="K43" s="447"/>
      <c r="L43" s="452"/>
      <c r="M43" s="452"/>
      <c r="N43" s="446">
        <f t="shared" si="49"/>
        <v>0</v>
      </c>
      <c r="O43" s="450">
        <f t="shared" si="50"/>
        <v>0</v>
      </c>
      <c r="P43" s="498"/>
      <c r="Q43" s="452"/>
      <c r="R43" s="452"/>
      <c r="S43" s="446">
        <f t="shared" si="51"/>
        <v>0</v>
      </c>
      <c r="T43" s="450">
        <f t="shared" si="2"/>
        <v>0</v>
      </c>
      <c r="U43" s="498"/>
      <c r="V43" s="452"/>
      <c r="W43" s="452"/>
      <c r="X43" s="446">
        <f t="shared" si="52"/>
        <v>0</v>
      </c>
      <c r="Y43" s="450" t="e">
        <f t="shared" si="53"/>
        <v>#DIV/0!</v>
      </c>
      <c r="Z43" s="498"/>
      <c r="AA43" s="452"/>
      <c r="AB43" s="452"/>
      <c r="AC43" s="446">
        <f t="shared" si="54"/>
        <v>0</v>
      </c>
      <c r="AD43" s="450" t="e">
        <f t="shared" si="3"/>
        <v>#DIV/0!</v>
      </c>
      <c r="AE43" s="498"/>
      <c r="AF43" s="452"/>
      <c r="AG43" s="452"/>
      <c r="AH43" s="446">
        <f t="shared" si="55"/>
        <v>0</v>
      </c>
      <c r="AI43" s="450" t="e">
        <f t="shared" si="42"/>
        <v>#DIV/0!</v>
      </c>
      <c r="AJ43" s="498"/>
      <c r="AK43" s="452"/>
      <c r="AL43" s="452"/>
      <c r="AM43" s="446">
        <f t="shared" si="56"/>
        <v>0</v>
      </c>
      <c r="AN43" s="450" t="e">
        <f t="shared" si="43"/>
        <v>#DIV/0!</v>
      </c>
      <c r="AO43" s="498"/>
      <c r="AP43" s="452"/>
      <c r="AQ43" s="452"/>
      <c r="AR43" s="446">
        <f t="shared" si="57"/>
        <v>0</v>
      </c>
      <c r="AS43" s="450" t="e">
        <f t="shared" si="44"/>
        <v>#DIV/0!</v>
      </c>
      <c r="AT43" s="498"/>
      <c r="AU43" s="452"/>
      <c r="AV43" s="452"/>
      <c r="AW43" s="446">
        <f t="shared" si="58"/>
        <v>0</v>
      </c>
      <c r="AX43" s="450">
        <f t="shared" si="45"/>
        <v>0</v>
      </c>
      <c r="AY43" s="498"/>
      <c r="AZ43" s="452"/>
      <c r="BA43" s="452"/>
      <c r="BB43" s="446">
        <f t="shared" si="59"/>
        <v>0</v>
      </c>
      <c r="BC43" s="450" t="e">
        <f t="shared" si="46"/>
        <v>#DIV/0!</v>
      </c>
      <c r="BD43" s="498"/>
      <c r="BE43" s="39">
        <f t="shared" si="60"/>
        <v>0</v>
      </c>
      <c r="BF43" s="39">
        <f t="shared" si="61"/>
        <v>1930</v>
      </c>
      <c r="BG43" s="106">
        <f t="shared" si="62"/>
        <v>1930</v>
      </c>
      <c r="BH43" s="178">
        <f t="shared" si="47"/>
        <v>1.6890420812030446E-4</v>
      </c>
      <c r="BI43" s="79"/>
      <c r="BJ43" s="928"/>
      <c r="BK43" s="928"/>
      <c r="BM43" s="842"/>
      <c r="BN43" s="842"/>
    </row>
    <row r="44" spans="1:66" ht="67.2" customHeight="1" outlineLevel="2">
      <c r="A44" s="4833"/>
      <c r="B44" s="19" t="s">
        <v>28</v>
      </c>
      <c r="C44" s="445"/>
      <c r="D44" s="500"/>
      <c r="E44" s="559">
        <f t="shared" si="48"/>
        <v>0</v>
      </c>
      <c r="F44" s="450">
        <f t="shared" si="41"/>
        <v>0</v>
      </c>
      <c r="G44" s="452">
        <v>0</v>
      </c>
      <c r="H44" s="452">
        <v>1040</v>
      </c>
      <c r="I44" s="446">
        <v>1040</v>
      </c>
      <c r="J44" s="450">
        <v>9.2248012526319136E-5</v>
      </c>
      <c r="K44" s="447"/>
      <c r="L44" s="452"/>
      <c r="M44" s="452"/>
      <c r="N44" s="446">
        <f t="shared" si="49"/>
        <v>0</v>
      </c>
      <c r="O44" s="450">
        <f t="shared" si="50"/>
        <v>0</v>
      </c>
      <c r="P44" s="503"/>
      <c r="Q44" s="452"/>
      <c r="R44" s="452"/>
      <c r="S44" s="446">
        <f t="shared" si="51"/>
        <v>0</v>
      </c>
      <c r="T44" s="450">
        <f t="shared" si="2"/>
        <v>0</v>
      </c>
      <c r="U44" s="503"/>
      <c r="V44" s="452"/>
      <c r="W44" s="452"/>
      <c r="X44" s="446">
        <f t="shared" si="52"/>
        <v>0</v>
      </c>
      <c r="Y44" s="450" t="e">
        <f t="shared" si="53"/>
        <v>#DIV/0!</v>
      </c>
      <c r="Z44" s="503"/>
      <c r="AA44" s="452"/>
      <c r="AB44" s="452"/>
      <c r="AC44" s="446">
        <f t="shared" si="54"/>
        <v>0</v>
      </c>
      <c r="AD44" s="450" t="e">
        <f t="shared" si="3"/>
        <v>#DIV/0!</v>
      </c>
      <c r="AE44" s="503"/>
      <c r="AF44" s="452"/>
      <c r="AG44" s="452"/>
      <c r="AH44" s="446">
        <f t="shared" si="55"/>
        <v>0</v>
      </c>
      <c r="AI44" s="450" t="e">
        <f t="shared" si="42"/>
        <v>#DIV/0!</v>
      </c>
      <c r="AJ44" s="503"/>
      <c r="AK44" s="452"/>
      <c r="AL44" s="452"/>
      <c r="AM44" s="446">
        <f t="shared" si="56"/>
        <v>0</v>
      </c>
      <c r="AN44" s="450" t="e">
        <f t="shared" si="43"/>
        <v>#DIV/0!</v>
      </c>
      <c r="AO44" s="503"/>
      <c r="AP44" s="452"/>
      <c r="AQ44" s="452"/>
      <c r="AR44" s="446">
        <f t="shared" si="57"/>
        <v>0</v>
      </c>
      <c r="AS44" s="450" t="e">
        <f t="shared" si="44"/>
        <v>#DIV/0!</v>
      </c>
      <c r="AT44" s="934"/>
      <c r="AU44" s="452"/>
      <c r="AV44" s="452"/>
      <c r="AW44" s="446">
        <f t="shared" si="58"/>
        <v>0</v>
      </c>
      <c r="AX44" s="450">
        <f t="shared" si="45"/>
        <v>0</v>
      </c>
      <c r="AY44" s="934"/>
      <c r="AZ44" s="452"/>
      <c r="BA44" s="452"/>
      <c r="BB44" s="446">
        <f t="shared" si="59"/>
        <v>0</v>
      </c>
      <c r="BC44" s="450" t="e">
        <f t="shared" si="46"/>
        <v>#DIV/0!</v>
      </c>
      <c r="BD44" s="934"/>
      <c r="BE44" s="39">
        <f t="shared" si="60"/>
        <v>0</v>
      </c>
      <c r="BF44" s="39">
        <f t="shared" si="61"/>
        <v>1040</v>
      </c>
      <c r="BG44" s="106">
        <f t="shared" si="62"/>
        <v>1040</v>
      </c>
      <c r="BH44" s="178">
        <f t="shared" si="47"/>
        <v>9.1015739090734017E-5</v>
      </c>
      <c r="BI44" s="79"/>
      <c r="BJ44" s="928"/>
      <c r="BK44" s="928"/>
      <c r="BM44" s="842"/>
      <c r="BN44" s="842"/>
    </row>
    <row r="45" spans="1:66" ht="13.8" outlineLevel="2">
      <c r="A45" s="4833"/>
      <c r="B45" s="18" t="s">
        <v>8</v>
      </c>
      <c r="C45" s="445">
        <v>6000</v>
      </c>
      <c r="D45" s="500"/>
      <c r="E45" s="559">
        <f t="shared" si="48"/>
        <v>6000</v>
      </c>
      <c r="F45" s="450">
        <f t="shared" si="41"/>
        <v>1.4131921962584795E-3</v>
      </c>
      <c r="G45" s="452">
        <v>8160</v>
      </c>
      <c r="H45" s="452">
        <v>0</v>
      </c>
      <c r="I45" s="446">
        <v>8160</v>
      </c>
      <c r="J45" s="450">
        <v>7.2379209828342709E-4</v>
      </c>
      <c r="K45" s="447"/>
      <c r="L45" s="452"/>
      <c r="M45" s="452"/>
      <c r="N45" s="446">
        <f t="shared" si="49"/>
        <v>0</v>
      </c>
      <c r="O45" s="450">
        <f t="shared" si="50"/>
        <v>0</v>
      </c>
      <c r="P45" s="503"/>
      <c r="Q45" s="452"/>
      <c r="R45" s="452"/>
      <c r="S45" s="446">
        <f t="shared" si="51"/>
        <v>0</v>
      </c>
      <c r="T45" s="450">
        <f t="shared" si="2"/>
        <v>0</v>
      </c>
      <c r="U45" s="503"/>
      <c r="V45" s="452"/>
      <c r="W45" s="452"/>
      <c r="X45" s="446">
        <f t="shared" si="52"/>
        <v>0</v>
      </c>
      <c r="Y45" s="450" t="e">
        <f t="shared" si="53"/>
        <v>#DIV/0!</v>
      </c>
      <c r="Z45" s="503"/>
      <c r="AA45" s="452"/>
      <c r="AB45" s="452"/>
      <c r="AC45" s="446">
        <f t="shared" si="54"/>
        <v>0</v>
      </c>
      <c r="AD45" s="450" t="e">
        <f t="shared" si="3"/>
        <v>#DIV/0!</v>
      </c>
      <c r="AE45" s="503"/>
      <c r="AF45" s="452"/>
      <c r="AG45" s="452"/>
      <c r="AH45" s="446">
        <f t="shared" si="55"/>
        <v>0</v>
      </c>
      <c r="AI45" s="450" t="e">
        <f t="shared" si="42"/>
        <v>#DIV/0!</v>
      </c>
      <c r="AJ45" s="503"/>
      <c r="AK45" s="452"/>
      <c r="AL45" s="452"/>
      <c r="AM45" s="446">
        <f t="shared" si="56"/>
        <v>0</v>
      </c>
      <c r="AN45" s="450" t="e">
        <f t="shared" si="43"/>
        <v>#DIV/0!</v>
      </c>
      <c r="AO45" s="503"/>
      <c r="AP45" s="452"/>
      <c r="AQ45" s="452"/>
      <c r="AR45" s="446">
        <f t="shared" si="57"/>
        <v>0</v>
      </c>
      <c r="AS45" s="450" t="e">
        <f t="shared" si="44"/>
        <v>#DIV/0!</v>
      </c>
      <c r="AT45" s="503"/>
      <c r="AU45" s="452"/>
      <c r="AV45" s="452"/>
      <c r="AW45" s="446">
        <f t="shared" si="58"/>
        <v>0</v>
      </c>
      <c r="AX45" s="450">
        <f t="shared" si="45"/>
        <v>0</v>
      </c>
      <c r="AY45" s="503"/>
      <c r="AZ45" s="452"/>
      <c r="BA45" s="452"/>
      <c r="BB45" s="446">
        <f t="shared" si="59"/>
        <v>0</v>
      </c>
      <c r="BC45" s="450" t="e">
        <f t="shared" si="46"/>
        <v>#DIV/0!</v>
      </c>
      <c r="BD45" s="503"/>
      <c r="BE45" s="39">
        <f t="shared" si="60"/>
        <v>8160</v>
      </c>
      <c r="BF45" s="39">
        <f t="shared" si="61"/>
        <v>0</v>
      </c>
      <c r="BG45" s="106">
        <f t="shared" si="62"/>
        <v>8160</v>
      </c>
      <c r="BH45" s="178">
        <f t="shared" si="47"/>
        <v>7.1412349132729763E-4</v>
      </c>
      <c r="BI45" s="79"/>
      <c r="BJ45" s="928"/>
      <c r="BK45" s="928"/>
      <c r="BM45" s="842"/>
      <c r="BN45" s="842"/>
    </row>
    <row r="46" spans="1:66" ht="13.8" outlineLevel="2">
      <c r="A46" s="4833"/>
      <c r="B46" s="18" t="s">
        <v>29</v>
      </c>
      <c r="C46" s="445"/>
      <c r="D46" s="500"/>
      <c r="E46" s="559">
        <f t="shared" si="48"/>
        <v>0</v>
      </c>
      <c r="F46" s="450">
        <f t="shared" si="41"/>
        <v>0</v>
      </c>
      <c r="G46" s="452">
        <v>0</v>
      </c>
      <c r="H46" s="452">
        <v>0</v>
      </c>
      <c r="I46" s="446">
        <v>0</v>
      </c>
      <c r="J46" s="450">
        <v>0</v>
      </c>
      <c r="K46" s="447"/>
      <c r="L46" s="452"/>
      <c r="M46" s="452"/>
      <c r="N46" s="446">
        <f t="shared" si="49"/>
        <v>0</v>
      </c>
      <c r="O46" s="450">
        <f t="shared" si="50"/>
        <v>0</v>
      </c>
      <c r="P46" s="503"/>
      <c r="Q46" s="452"/>
      <c r="R46" s="452"/>
      <c r="S46" s="446">
        <f t="shared" si="51"/>
        <v>0</v>
      </c>
      <c r="T46" s="450">
        <f t="shared" si="2"/>
        <v>0</v>
      </c>
      <c r="U46" s="503"/>
      <c r="V46" s="452"/>
      <c r="W46" s="452"/>
      <c r="X46" s="446">
        <f t="shared" si="52"/>
        <v>0</v>
      </c>
      <c r="Y46" s="450" t="e">
        <f t="shared" si="53"/>
        <v>#DIV/0!</v>
      </c>
      <c r="Z46" s="503"/>
      <c r="AA46" s="452"/>
      <c r="AB46" s="452"/>
      <c r="AC46" s="446">
        <f t="shared" si="54"/>
        <v>0</v>
      </c>
      <c r="AD46" s="450" t="e">
        <f t="shared" si="3"/>
        <v>#DIV/0!</v>
      </c>
      <c r="AE46" s="503"/>
      <c r="AF46" s="452"/>
      <c r="AG46" s="452"/>
      <c r="AH46" s="446">
        <f t="shared" si="55"/>
        <v>0</v>
      </c>
      <c r="AI46" s="450" t="e">
        <f t="shared" si="42"/>
        <v>#DIV/0!</v>
      </c>
      <c r="AJ46" s="503"/>
      <c r="AK46" s="452"/>
      <c r="AL46" s="452"/>
      <c r="AM46" s="446">
        <f t="shared" si="56"/>
        <v>0</v>
      </c>
      <c r="AN46" s="450" t="e">
        <f t="shared" si="43"/>
        <v>#DIV/0!</v>
      </c>
      <c r="AO46" s="503"/>
      <c r="AP46" s="452"/>
      <c r="AQ46" s="452"/>
      <c r="AR46" s="446">
        <f t="shared" si="57"/>
        <v>0</v>
      </c>
      <c r="AS46" s="450" t="e">
        <f t="shared" si="44"/>
        <v>#DIV/0!</v>
      </c>
      <c r="AT46" s="503"/>
      <c r="AU46" s="452"/>
      <c r="AV46" s="452"/>
      <c r="AW46" s="446">
        <f t="shared" si="58"/>
        <v>0</v>
      </c>
      <c r="AX46" s="450">
        <f t="shared" si="45"/>
        <v>0</v>
      </c>
      <c r="AY46" s="503"/>
      <c r="AZ46" s="452"/>
      <c r="BA46" s="452"/>
      <c r="BB46" s="446">
        <f t="shared" si="59"/>
        <v>0</v>
      </c>
      <c r="BC46" s="450" t="e">
        <f t="shared" si="46"/>
        <v>#DIV/0!</v>
      </c>
      <c r="BD46" s="503"/>
      <c r="BE46" s="39">
        <f t="shared" si="60"/>
        <v>0</v>
      </c>
      <c r="BF46" s="39">
        <f t="shared" si="61"/>
        <v>0</v>
      </c>
      <c r="BG46" s="106">
        <f t="shared" si="62"/>
        <v>0</v>
      </c>
      <c r="BH46" s="178">
        <f t="shared" si="47"/>
        <v>0</v>
      </c>
      <c r="BI46" s="79"/>
      <c r="BJ46" s="928"/>
      <c r="BK46" s="928"/>
      <c r="BM46" s="842"/>
      <c r="BN46" s="842"/>
    </row>
    <row r="47" spans="1:66" ht="14.4" outlineLevel="2" thickBot="1">
      <c r="A47" s="4833"/>
      <c r="B47" s="18" t="s">
        <v>30</v>
      </c>
      <c r="C47" s="445">
        <v>9000</v>
      </c>
      <c r="D47" s="500"/>
      <c r="E47" s="559">
        <f t="shared" si="48"/>
        <v>9000</v>
      </c>
      <c r="F47" s="450">
        <f t="shared" si="41"/>
        <v>2.1197882943877191E-3</v>
      </c>
      <c r="G47" s="452">
        <v>17700.02</v>
      </c>
      <c r="H47" s="452">
        <v>2700</v>
      </c>
      <c r="I47" s="446">
        <v>20400.02</v>
      </c>
      <c r="J47" s="450">
        <v>1.8094820197088086E-3</v>
      </c>
      <c r="K47" s="447"/>
      <c r="L47" s="452">
        <v>61.5</v>
      </c>
      <c r="M47" s="452"/>
      <c r="N47" s="446">
        <f t="shared" si="49"/>
        <v>61.5</v>
      </c>
      <c r="O47" s="450">
        <f>N47/$N$89</f>
        <v>2.0592797219540927E-3</v>
      </c>
      <c r="P47" s="458"/>
      <c r="Q47" s="452"/>
      <c r="R47" s="452"/>
      <c r="S47" s="446">
        <f t="shared" si="51"/>
        <v>0</v>
      </c>
      <c r="T47" s="450">
        <f t="shared" si="2"/>
        <v>0</v>
      </c>
      <c r="U47" s="458"/>
      <c r="V47" s="452"/>
      <c r="W47" s="452"/>
      <c r="X47" s="446">
        <f t="shared" si="52"/>
        <v>0</v>
      </c>
      <c r="Y47" s="450" t="e">
        <f t="shared" si="53"/>
        <v>#DIV/0!</v>
      </c>
      <c r="Z47" s="458"/>
      <c r="AA47" s="452"/>
      <c r="AB47" s="452"/>
      <c r="AC47" s="446">
        <f t="shared" si="54"/>
        <v>0</v>
      </c>
      <c r="AD47" s="450" t="e">
        <f t="shared" si="3"/>
        <v>#DIV/0!</v>
      </c>
      <c r="AE47" s="458"/>
      <c r="AF47" s="452"/>
      <c r="AG47" s="452"/>
      <c r="AH47" s="446">
        <f t="shared" si="55"/>
        <v>0</v>
      </c>
      <c r="AI47" s="450" t="e">
        <f t="shared" si="42"/>
        <v>#DIV/0!</v>
      </c>
      <c r="AJ47" s="458"/>
      <c r="AK47" s="452"/>
      <c r="AL47" s="452"/>
      <c r="AM47" s="446">
        <f t="shared" si="56"/>
        <v>0</v>
      </c>
      <c r="AN47" s="450" t="e">
        <f t="shared" si="43"/>
        <v>#DIV/0!</v>
      </c>
      <c r="AO47" s="458"/>
      <c r="AP47" s="452"/>
      <c r="AQ47" s="452"/>
      <c r="AR47" s="446">
        <f t="shared" si="57"/>
        <v>0</v>
      </c>
      <c r="AS47" s="450" t="e">
        <f t="shared" si="44"/>
        <v>#DIV/0!</v>
      </c>
      <c r="AT47" s="458"/>
      <c r="AU47" s="452"/>
      <c r="AV47" s="452"/>
      <c r="AW47" s="446">
        <f t="shared" si="58"/>
        <v>0</v>
      </c>
      <c r="AX47" s="450">
        <f t="shared" si="45"/>
        <v>0</v>
      </c>
      <c r="AY47" s="458"/>
      <c r="AZ47" s="452"/>
      <c r="BA47" s="452"/>
      <c r="BB47" s="446">
        <f t="shared" si="59"/>
        <v>0</v>
      </c>
      <c r="BC47" s="450" t="e">
        <f t="shared" si="46"/>
        <v>#DIV/0!</v>
      </c>
      <c r="BD47" s="458"/>
      <c r="BE47" s="39">
        <f t="shared" si="60"/>
        <v>17761.52</v>
      </c>
      <c r="BF47" s="39">
        <f t="shared" si="61"/>
        <v>2700</v>
      </c>
      <c r="BG47" s="106">
        <f t="shared" si="62"/>
        <v>20461.52</v>
      </c>
      <c r="BH47" s="178">
        <f t="shared" si="47"/>
        <v>1.790692659345996E-3</v>
      </c>
      <c r="BI47" s="79"/>
      <c r="BJ47" s="928"/>
      <c r="BK47" s="928"/>
      <c r="BM47" s="842"/>
      <c r="BN47" s="842"/>
    </row>
    <row r="48" spans="1:66" ht="13.8" outlineLevel="2">
      <c r="A48" s="4833"/>
      <c r="B48" s="18" t="s">
        <v>15</v>
      </c>
      <c r="C48" s="445">
        <v>1500</v>
      </c>
      <c r="D48" s="500"/>
      <c r="E48" s="559">
        <f t="shared" si="48"/>
        <v>1500</v>
      </c>
      <c r="F48" s="450">
        <f t="shared" si="41"/>
        <v>3.5329804906461987E-4</v>
      </c>
      <c r="G48" s="452">
        <v>1506.54</v>
      </c>
      <c r="H48" s="452">
        <v>0</v>
      </c>
      <c r="I48" s="446">
        <v>1506.54</v>
      </c>
      <c r="J48" s="450">
        <v>1.3363011614557773E-4</v>
      </c>
      <c r="K48" s="447"/>
      <c r="L48" s="452"/>
      <c r="M48" s="452"/>
      <c r="N48" s="446">
        <f t="shared" si="49"/>
        <v>0</v>
      </c>
      <c r="O48" s="450">
        <f t="shared" si="50"/>
        <v>0</v>
      </c>
      <c r="P48" s="503"/>
      <c r="Q48" s="452"/>
      <c r="R48" s="452"/>
      <c r="S48" s="446">
        <f t="shared" si="51"/>
        <v>0</v>
      </c>
      <c r="T48" s="450">
        <f t="shared" si="2"/>
        <v>0</v>
      </c>
      <c r="U48" s="503"/>
      <c r="V48" s="452"/>
      <c r="W48" s="452"/>
      <c r="X48" s="446">
        <f t="shared" si="52"/>
        <v>0</v>
      </c>
      <c r="Y48" s="450" t="e">
        <f t="shared" si="53"/>
        <v>#DIV/0!</v>
      </c>
      <c r="Z48" s="503"/>
      <c r="AA48" s="452"/>
      <c r="AB48" s="452"/>
      <c r="AC48" s="446">
        <f t="shared" si="54"/>
        <v>0</v>
      </c>
      <c r="AD48" s="450" t="e">
        <f t="shared" si="3"/>
        <v>#DIV/0!</v>
      </c>
      <c r="AE48" s="503"/>
      <c r="AF48" s="452"/>
      <c r="AG48" s="452"/>
      <c r="AH48" s="446">
        <f t="shared" si="55"/>
        <v>0</v>
      </c>
      <c r="AI48" s="450" t="e">
        <f t="shared" si="42"/>
        <v>#DIV/0!</v>
      </c>
      <c r="AJ48" s="503"/>
      <c r="AK48" s="452"/>
      <c r="AL48" s="452"/>
      <c r="AM48" s="446">
        <f t="shared" si="56"/>
        <v>0</v>
      </c>
      <c r="AN48" s="450" t="e">
        <f>AM48/$AH$89</f>
        <v>#DIV/0!</v>
      </c>
      <c r="AO48" s="503"/>
      <c r="AP48" s="452"/>
      <c r="AQ48" s="452"/>
      <c r="AR48" s="446">
        <f t="shared" si="57"/>
        <v>0</v>
      </c>
      <c r="AS48" s="450" t="e">
        <f t="shared" si="44"/>
        <v>#DIV/0!</v>
      </c>
      <c r="AT48" s="503"/>
      <c r="AU48" s="452"/>
      <c r="AV48" s="452"/>
      <c r="AW48" s="446">
        <f t="shared" si="58"/>
        <v>0</v>
      </c>
      <c r="AX48" s="450">
        <f t="shared" si="45"/>
        <v>0</v>
      </c>
      <c r="AY48" s="879" t="s">
        <v>961</v>
      </c>
      <c r="AZ48" s="452"/>
      <c r="BA48" s="452"/>
      <c r="BB48" s="446">
        <f t="shared" si="59"/>
        <v>0</v>
      </c>
      <c r="BC48" s="450" t="e">
        <f t="shared" si="46"/>
        <v>#DIV/0!</v>
      </c>
      <c r="BD48" s="879" t="s">
        <v>961</v>
      </c>
      <c r="BE48" s="39">
        <f t="shared" si="60"/>
        <v>1506.54</v>
      </c>
      <c r="BF48" s="39">
        <f t="shared" si="61"/>
        <v>0</v>
      </c>
      <c r="BG48" s="106">
        <f t="shared" si="62"/>
        <v>1506.54</v>
      </c>
      <c r="BH48" s="178">
        <f t="shared" si="47"/>
        <v>1.3184504958630233E-4</v>
      </c>
      <c r="BI48" s="79"/>
      <c r="BJ48" s="928"/>
      <c r="BK48" s="928"/>
      <c r="BM48" s="842"/>
      <c r="BN48" s="842"/>
    </row>
    <row r="49" spans="1:66" s="2" customFormat="1" ht="14.4" outlineLevel="2" thickBot="1">
      <c r="A49" s="822"/>
      <c r="B49" s="823"/>
      <c r="C49" s="506"/>
      <c r="D49" s="824"/>
      <c r="E49" s="825">
        <f t="shared" si="48"/>
        <v>0</v>
      </c>
      <c r="F49" s="826"/>
      <c r="G49" s="512">
        <v>0</v>
      </c>
      <c r="H49" s="512">
        <v>0</v>
      </c>
      <c r="I49" s="606"/>
      <c r="J49" s="508">
        <v>0</v>
      </c>
      <c r="K49" s="968"/>
      <c r="L49" s="512"/>
      <c r="M49" s="512"/>
      <c r="N49" s="606"/>
      <c r="O49" s="508">
        <f>N49/$N$89</f>
        <v>0</v>
      </c>
      <c r="P49" s="588"/>
      <c r="Q49" s="512"/>
      <c r="R49" s="512"/>
      <c r="S49" s="606"/>
      <c r="T49" s="508">
        <f t="shared" si="2"/>
        <v>0</v>
      </c>
      <c r="U49" s="588"/>
      <c r="V49" s="512"/>
      <c r="W49" s="512"/>
      <c r="X49" s="606"/>
      <c r="Y49" s="508">
        <f t="shared" si="35"/>
        <v>0</v>
      </c>
      <c r="Z49" s="588"/>
      <c r="AA49" s="512"/>
      <c r="AB49" s="512"/>
      <c r="AC49" s="606"/>
      <c r="AD49" s="508" t="e">
        <f t="shared" si="3"/>
        <v>#DIV/0!</v>
      </c>
      <c r="AE49" s="588"/>
      <c r="AF49" s="512"/>
      <c r="AG49" s="512"/>
      <c r="AH49" s="606"/>
      <c r="AI49" s="508" t="e">
        <f t="shared" si="36"/>
        <v>#DIV/0!</v>
      </c>
      <c r="AJ49" s="588"/>
      <c r="AK49" s="512"/>
      <c r="AL49" s="512"/>
      <c r="AM49" s="606"/>
      <c r="AN49" s="508" t="e">
        <f>AM49/$AC$89</f>
        <v>#DIV/0!</v>
      </c>
      <c r="AO49" s="588"/>
      <c r="AP49" s="512"/>
      <c r="AQ49" s="512"/>
      <c r="AR49" s="606"/>
      <c r="AS49" s="508" t="e">
        <f t="shared" si="44"/>
        <v>#DIV/0!</v>
      </c>
      <c r="AT49" s="588"/>
      <c r="AU49" s="512"/>
      <c r="AV49" s="512"/>
      <c r="AW49" s="606"/>
      <c r="AX49" s="508" t="e">
        <f>AW49/$AR$89</f>
        <v>#DIV/0!</v>
      </c>
      <c r="AY49" s="588"/>
      <c r="AZ49" s="512"/>
      <c r="BA49" s="512"/>
      <c r="BB49" s="606"/>
      <c r="BC49" s="508" t="e">
        <f t="shared" si="46"/>
        <v>#DIV/0!</v>
      </c>
      <c r="BD49" s="588"/>
      <c r="BE49" s="39">
        <f>L49+Q49+V49+AA49+AF49+AK49+AP49+AU49</f>
        <v>0</v>
      </c>
      <c r="BF49" s="39">
        <f>M49+R49+W49+AB49+AG49+AL49+AQ49+AV49</f>
        <v>0</v>
      </c>
      <c r="BG49" s="52"/>
      <c r="BH49" s="178">
        <f t="shared" si="47"/>
        <v>0</v>
      </c>
      <c r="BI49" s="52"/>
      <c r="BJ49" s="842"/>
      <c r="BK49" s="842"/>
    </row>
    <row r="50" spans="1:66" s="2" customFormat="1" ht="13.8" outlineLevel="1">
      <c r="A50" s="294"/>
      <c r="B50" s="22" t="s">
        <v>59</v>
      </c>
      <c r="C50" s="547">
        <f>SUM(C51:C52)</f>
        <v>0</v>
      </c>
      <c r="D50" s="547">
        <f>SUM(D51:D52)</f>
        <v>0</v>
      </c>
      <c r="E50" s="547">
        <f>SUM(E51:E52)</f>
        <v>0</v>
      </c>
      <c r="F50" s="585">
        <f>E50/$E$89</f>
        <v>0</v>
      </c>
      <c r="G50" s="547">
        <v>0</v>
      </c>
      <c r="H50" s="547">
        <v>0</v>
      </c>
      <c r="I50" s="547">
        <v>0</v>
      </c>
      <c r="J50" s="548"/>
      <c r="K50" s="245"/>
      <c r="L50" s="547">
        <f>L52+L51</f>
        <v>0</v>
      </c>
      <c r="M50" s="547">
        <f>M52+M51</f>
        <v>0</v>
      </c>
      <c r="N50" s="547">
        <f>SUM(N51:N52)</f>
        <v>0</v>
      </c>
      <c r="O50" s="548"/>
      <c r="P50" s="869"/>
      <c r="Q50" s="547">
        <f>Q52+Q51</f>
        <v>0</v>
      </c>
      <c r="R50" s="547">
        <f>R52+R51</f>
        <v>0</v>
      </c>
      <c r="S50" s="547">
        <f>SUM(S51:S52)</f>
        <v>0</v>
      </c>
      <c r="T50" s="585">
        <f t="shared" si="2"/>
        <v>0</v>
      </c>
      <c r="U50" s="869"/>
      <c r="V50" s="547">
        <f>V52+V51</f>
        <v>0</v>
      </c>
      <c r="W50" s="547">
        <f>W52+W51</f>
        <v>0</v>
      </c>
      <c r="X50" s="547">
        <f>SUM(X51:X52)</f>
        <v>0</v>
      </c>
      <c r="Y50" s="585" t="e">
        <f t="shared" ref="Y50:Y71" si="63">X50/$X$89</f>
        <v>#DIV/0!</v>
      </c>
      <c r="Z50" s="869"/>
      <c r="AA50" s="547">
        <f>AA52+AA51</f>
        <v>0</v>
      </c>
      <c r="AB50" s="547">
        <f>AB52+AB51</f>
        <v>0</v>
      </c>
      <c r="AC50" s="547">
        <f>SUM(AC51:AC52)</f>
        <v>0</v>
      </c>
      <c r="AD50" s="585" t="e">
        <f t="shared" si="3"/>
        <v>#DIV/0!</v>
      </c>
      <c r="AE50" s="869"/>
      <c r="AF50" s="547">
        <f>AF52+AF51</f>
        <v>0</v>
      </c>
      <c r="AG50" s="547">
        <f>AG52+AG51</f>
        <v>0</v>
      </c>
      <c r="AH50" s="547">
        <f>SUM(AH51:AH52)</f>
        <v>0</v>
      </c>
      <c r="AI50" s="585" t="e">
        <f t="shared" si="36"/>
        <v>#DIV/0!</v>
      </c>
      <c r="AJ50" s="869"/>
      <c r="AK50" s="547">
        <f>AK52+AK51</f>
        <v>0</v>
      </c>
      <c r="AL50" s="547">
        <f>AL52+AL51</f>
        <v>0</v>
      </c>
      <c r="AM50" s="547">
        <f>SUM(AM51:AM52)</f>
        <v>0</v>
      </c>
      <c r="AN50" s="585" t="e">
        <f>AM50/$AC$89</f>
        <v>#DIV/0!</v>
      </c>
      <c r="AO50" s="869"/>
      <c r="AP50" s="547">
        <f>AP52+AP51</f>
        <v>0</v>
      </c>
      <c r="AQ50" s="547">
        <f>AQ52+AQ51</f>
        <v>0</v>
      </c>
      <c r="AR50" s="547">
        <f>SUM(AR51:AR52)</f>
        <v>0</v>
      </c>
      <c r="AS50" s="585" t="e">
        <f>AR50/$AC$89</f>
        <v>#DIV/0!</v>
      </c>
      <c r="AT50" s="869"/>
      <c r="AU50" s="547">
        <f>AU52+AU51</f>
        <v>0</v>
      </c>
      <c r="AV50" s="547">
        <f>AV52+AV51</f>
        <v>0</v>
      </c>
      <c r="AW50" s="547">
        <f>SUM(AW51:AW52)</f>
        <v>0</v>
      </c>
      <c r="AX50" s="585" t="e">
        <f>AW50/$AC$89</f>
        <v>#DIV/0!</v>
      </c>
      <c r="AY50" s="869"/>
      <c r="AZ50" s="547">
        <f>AZ52+AZ51</f>
        <v>0</v>
      </c>
      <c r="BA50" s="547">
        <f>BA52+BA51</f>
        <v>0</v>
      </c>
      <c r="BB50" s="547">
        <f>SUM(BB51:BB52)</f>
        <v>0</v>
      </c>
      <c r="BC50" s="585" t="e">
        <f>BB50/$AC$89</f>
        <v>#DIV/0!</v>
      </c>
      <c r="BD50" s="869"/>
      <c r="BE50" s="123">
        <f>BE52+BE51</f>
        <v>0</v>
      </c>
      <c r="BF50" s="123">
        <f>BF52+BF51</f>
        <v>0</v>
      </c>
      <c r="BG50" s="123">
        <f>SUM(BG51:BG52)</f>
        <v>0</v>
      </c>
      <c r="BH50" s="60"/>
      <c r="BI50" s="60"/>
      <c r="BJ50" s="842"/>
      <c r="BK50" s="842"/>
    </row>
    <row r="51" spans="1:66" s="226" customFormat="1" ht="13.8" outlineLevel="1">
      <c r="A51" s="234"/>
      <c r="B51" s="18" t="s">
        <v>60</v>
      </c>
      <c r="C51" s="113"/>
      <c r="D51" s="119"/>
      <c r="E51" s="119">
        <f>C51+D51</f>
        <v>0</v>
      </c>
      <c r="F51" s="180">
        <f>E51/$E$89</f>
        <v>0</v>
      </c>
      <c r="G51" s="39">
        <v>0</v>
      </c>
      <c r="H51" s="39">
        <v>0</v>
      </c>
      <c r="I51" s="106">
        <v>0</v>
      </c>
      <c r="J51" s="178">
        <v>0</v>
      </c>
      <c r="K51" s="958"/>
      <c r="L51" s="39"/>
      <c r="M51" s="39"/>
      <c r="N51" s="106">
        <f>L51+M51*1</f>
        <v>0</v>
      </c>
      <c r="O51" s="178">
        <f>N51/$N$89</f>
        <v>0</v>
      </c>
      <c r="P51" s="405"/>
      <c r="Q51" s="39"/>
      <c r="R51" s="39"/>
      <c r="S51" s="106">
        <f>Q51+R51*1</f>
        <v>0</v>
      </c>
      <c r="T51" s="178">
        <f t="shared" si="2"/>
        <v>0</v>
      </c>
      <c r="U51" s="405"/>
      <c r="V51" s="39"/>
      <c r="W51" s="39"/>
      <c r="X51" s="106">
        <f>V51+W51*1</f>
        <v>0</v>
      </c>
      <c r="Y51" s="178" t="e">
        <f t="shared" si="63"/>
        <v>#DIV/0!</v>
      </c>
      <c r="Z51" s="405"/>
      <c r="AA51" s="39"/>
      <c r="AB51" s="39"/>
      <c r="AC51" s="106">
        <f>AA51+AB51*1</f>
        <v>0</v>
      </c>
      <c r="AD51" s="178" t="e">
        <f t="shared" si="3"/>
        <v>#DIV/0!</v>
      </c>
      <c r="AE51" s="405"/>
      <c r="AF51" s="39"/>
      <c r="AG51" s="39"/>
      <c r="AH51" s="106">
        <f>AF51+AG51*1</f>
        <v>0</v>
      </c>
      <c r="AI51" s="178" t="e">
        <f t="shared" si="36"/>
        <v>#DIV/0!</v>
      </c>
      <c r="AJ51" s="405"/>
      <c r="AK51" s="39"/>
      <c r="AL51" s="39"/>
      <c r="AM51" s="106">
        <f>AK51+AL51*1</f>
        <v>0</v>
      </c>
      <c r="AN51" s="178" t="e">
        <f>AM51/$AC$89</f>
        <v>#DIV/0!</v>
      </c>
      <c r="AO51" s="405"/>
      <c r="AP51" s="39"/>
      <c r="AQ51" s="39"/>
      <c r="AR51" s="106">
        <f>AP51+AQ51*1</f>
        <v>0</v>
      </c>
      <c r="AS51" s="178" t="e">
        <f>AR51/$AC$89</f>
        <v>#DIV/0!</v>
      </c>
      <c r="AT51" s="405"/>
      <c r="AU51" s="39"/>
      <c r="AV51" s="39"/>
      <c r="AW51" s="106">
        <f>AU51+AV51*1</f>
        <v>0</v>
      </c>
      <c r="AX51" s="178" t="e">
        <f>AW51/$AC$89</f>
        <v>#DIV/0!</v>
      </c>
      <c r="AY51" s="405"/>
      <c r="AZ51" s="39"/>
      <c r="BA51" s="39"/>
      <c r="BB51" s="106">
        <f>AZ51+BA51*1</f>
        <v>0</v>
      </c>
      <c r="BC51" s="178" t="e">
        <f>BB51/$AC$89</f>
        <v>#DIV/0!</v>
      </c>
      <c r="BD51" s="405"/>
      <c r="BE51" s="39">
        <f>L51+G51+Q51</f>
        <v>0</v>
      </c>
      <c r="BF51" s="39">
        <f>H51+M51+R51</f>
        <v>0</v>
      </c>
      <c r="BG51" s="106">
        <f>BE51+BF51</f>
        <v>0</v>
      </c>
      <c r="BH51" s="178">
        <f>BG51/$BG$89</f>
        <v>0</v>
      </c>
      <c r="BI51" s="45"/>
      <c r="BJ51" s="916"/>
      <c r="BK51" s="916"/>
      <c r="BM51" s="842"/>
      <c r="BN51" s="842"/>
    </row>
    <row r="52" spans="1:66" s="235" customFormat="1" ht="13.8" outlineLevel="2">
      <c r="A52" s="234"/>
      <c r="B52" s="18" t="s">
        <v>61</v>
      </c>
      <c r="C52" s="113"/>
      <c r="D52" s="119"/>
      <c r="E52" s="119">
        <f>C52+D52</f>
        <v>0</v>
      </c>
      <c r="F52" s="180">
        <f>E52/$E$89</f>
        <v>0</v>
      </c>
      <c r="G52" s="39">
        <v>0</v>
      </c>
      <c r="H52" s="39">
        <v>0</v>
      </c>
      <c r="I52" s="106">
        <v>0</v>
      </c>
      <c r="J52" s="178">
        <v>0</v>
      </c>
      <c r="K52" s="958"/>
      <c r="L52" s="39"/>
      <c r="M52" s="39"/>
      <c r="N52" s="106">
        <f>L52+M52*1</f>
        <v>0</v>
      </c>
      <c r="O52" s="178">
        <f>N52/$N$89</f>
        <v>0</v>
      </c>
      <c r="P52" s="405"/>
      <c r="Q52" s="39"/>
      <c r="R52" s="39"/>
      <c r="S52" s="106">
        <f>Q52+R52*1</f>
        <v>0</v>
      </c>
      <c r="T52" s="178">
        <f t="shared" si="2"/>
        <v>0</v>
      </c>
      <c r="U52" s="405"/>
      <c r="V52" s="39"/>
      <c r="W52" s="39"/>
      <c r="X52" s="106">
        <f>V52+W52*1</f>
        <v>0</v>
      </c>
      <c r="Y52" s="178" t="e">
        <f t="shared" si="63"/>
        <v>#DIV/0!</v>
      </c>
      <c r="Z52" s="405"/>
      <c r="AA52" s="39"/>
      <c r="AB52" s="39"/>
      <c r="AC52" s="106">
        <f>AA52+AB52*1</f>
        <v>0</v>
      </c>
      <c r="AD52" s="178" t="e">
        <f t="shared" si="3"/>
        <v>#DIV/0!</v>
      </c>
      <c r="AE52" s="405"/>
      <c r="AF52" s="39"/>
      <c r="AG52" s="39"/>
      <c r="AH52" s="106">
        <f>AF52+AG52*1</f>
        <v>0</v>
      </c>
      <c r="AI52" s="178" t="e">
        <f t="shared" si="36"/>
        <v>#DIV/0!</v>
      </c>
      <c r="AJ52" s="405"/>
      <c r="AK52" s="39"/>
      <c r="AL52" s="39"/>
      <c r="AM52" s="106">
        <f>AK52+AL52*1</f>
        <v>0</v>
      </c>
      <c r="AN52" s="178" t="e">
        <f>AM52/$AC$89</f>
        <v>#DIV/0!</v>
      </c>
      <c r="AO52" s="405"/>
      <c r="AP52" s="39"/>
      <c r="AQ52" s="39"/>
      <c r="AR52" s="106">
        <f>AP52+AQ52*1</f>
        <v>0</v>
      </c>
      <c r="AS52" s="178" t="e">
        <f>AR52/$AC$89</f>
        <v>#DIV/0!</v>
      </c>
      <c r="AT52" s="405"/>
      <c r="AU52" s="39"/>
      <c r="AV52" s="39"/>
      <c r="AW52" s="106">
        <f>AU52+AV52*1</f>
        <v>0</v>
      </c>
      <c r="AX52" s="178" t="e">
        <f>AW52/$AC$89</f>
        <v>#DIV/0!</v>
      </c>
      <c r="AY52" s="405"/>
      <c r="AZ52" s="39"/>
      <c r="BA52" s="39"/>
      <c r="BB52" s="106">
        <f>AZ52+BA52*1</f>
        <v>0</v>
      </c>
      <c r="BC52" s="178" t="e">
        <f>BB52/$AC$89</f>
        <v>#DIV/0!</v>
      </c>
      <c r="BD52" s="405"/>
      <c r="BE52" s="39">
        <f>L52+G52+Q52</f>
        <v>0</v>
      </c>
      <c r="BF52" s="39">
        <f>H52+M52+R52</f>
        <v>0</v>
      </c>
      <c r="BG52" s="106">
        <f>BE52+BF52</f>
        <v>0</v>
      </c>
      <c r="BH52" s="178">
        <f>BG52/$BG$89</f>
        <v>0</v>
      </c>
      <c r="BI52" s="45"/>
      <c r="BJ52" s="930"/>
      <c r="BK52" s="930"/>
      <c r="BM52" s="842"/>
      <c r="BN52" s="842"/>
    </row>
    <row r="53" spans="1:66" ht="14.4" outlineLevel="1" thickBot="1">
      <c r="A53" s="20"/>
      <c r="B53" s="21"/>
      <c r="C53" s="124"/>
      <c r="D53" s="125"/>
      <c r="E53" s="126"/>
      <c r="F53" s="183"/>
      <c r="G53" s="39">
        <v>0</v>
      </c>
      <c r="H53" s="39">
        <v>0</v>
      </c>
      <c r="I53" s="61">
        <v>0</v>
      </c>
      <c r="J53" s="61"/>
      <c r="K53" s="959"/>
      <c r="L53" s="39"/>
      <c r="M53" s="39"/>
      <c r="N53" s="61"/>
      <c r="O53" s="61"/>
      <c r="P53" s="61"/>
      <c r="Q53" s="39"/>
      <c r="R53" s="39"/>
      <c r="S53" s="61"/>
      <c r="T53" s="178">
        <f t="shared" si="2"/>
        <v>0</v>
      </c>
      <c r="U53" s="61"/>
      <c r="V53" s="39"/>
      <c r="W53" s="39"/>
      <c r="X53" s="61"/>
      <c r="Y53" s="178">
        <f t="shared" si="35"/>
        <v>0</v>
      </c>
      <c r="Z53" s="61"/>
      <c r="AA53" s="39"/>
      <c r="AB53" s="39"/>
      <c r="AC53" s="61"/>
      <c r="AD53" s="178" t="e">
        <f t="shared" si="3"/>
        <v>#DIV/0!</v>
      </c>
      <c r="AE53" s="61"/>
      <c r="AF53" s="39"/>
      <c r="AG53" s="39"/>
      <c r="AH53" s="61"/>
      <c r="AI53" s="178" t="e">
        <f t="shared" si="36"/>
        <v>#DIV/0!</v>
      </c>
      <c r="AJ53" s="61"/>
      <c r="AK53" s="39"/>
      <c r="AL53" s="39"/>
      <c r="AM53" s="61"/>
      <c r="AN53" s="178" t="e">
        <f>AM53/$AC$89</f>
        <v>#DIV/0!</v>
      </c>
      <c r="AO53" s="61"/>
      <c r="AP53" s="39"/>
      <c r="AQ53" s="39"/>
      <c r="AR53" s="61"/>
      <c r="AS53" s="178" t="e">
        <f>AR53/$AC$89</f>
        <v>#DIV/0!</v>
      </c>
      <c r="AT53" s="61"/>
      <c r="AU53" s="39"/>
      <c r="AV53" s="39"/>
      <c r="AW53" s="61"/>
      <c r="AX53" s="178" t="e">
        <f>AW53/$AC$89</f>
        <v>#DIV/0!</v>
      </c>
      <c r="AY53" s="61"/>
      <c r="AZ53" s="39"/>
      <c r="BA53" s="39"/>
      <c r="BB53" s="61"/>
      <c r="BC53" s="178" t="e">
        <f>BB53/$AC$89</f>
        <v>#DIV/0!</v>
      </c>
      <c r="BD53" s="61"/>
      <c r="BE53" s="39">
        <f>L53+Q53+V53+AA53</f>
        <v>0</v>
      </c>
      <c r="BF53" s="39">
        <f>M53+R53+W53+AB53</f>
        <v>0</v>
      </c>
      <c r="BG53" s="106">
        <f>BE53+BF53</f>
        <v>0</v>
      </c>
      <c r="BH53" s="61"/>
      <c r="BI53" s="61"/>
      <c r="BJ53" s="928"/>
      <c r="BK53" s="928"/>
      <c r="BM53" s="842"/>
      <c r="BN53" s="842"/>
    </row>
    <row r="54" spans="1:66" ht="13.8" outlineLevel="1">
      <c r="A54" s="236"/>
      <c r="B54" s="17" t="s">
        <v>1</v>
      </c>
      <c r="C54" s="123">
        <f>SUM(C55:C71)</f>
        <v>34400</v>
      </c>
      <c r="D54" s="123">
        <f>SUM(D55:D71)</f>
        <v>2500</v>
      </c>
      <c r="E54" s="127">
        <f>SUM(E55:E71)</f>
        <v>36900</v>
      </c>
      <c r="F54" s="170">
        <f>E54/$E$89</f>
        <v>8.6911320069896492E-3</v>
      </c>
      <c r="G54" s="123">
        <v>191297.25799999997</v>
      </c>
      <c r="H54" s="123">
        <v>133291.78</v>
      </c>
      <c r="I54" s="123">
        <v>324589.038</v>
      </c>
      <c r="J54" s="169">
        <v>2.8791051580124884E-2</v>
      </c>
      <c r="K54" s="246"/>
      <c r="L54" s="123">
        <f>SUM(L55:L72)</f>
        <v>5880.61</v>
      </c>
      <c r="M54" s="123">
        <f>SUM(M55:M72)</f>
        <v>536.75</v>
      </c>
      <c r="N54" s="123">
        <f>SUM(N55:N72)</f>
        <v>6417.36</v>
      </c>
      <c r="O54" s="169">
        <f>N54/$N$89</f>
        <v>0.21488031408909458</v>
      </c>
      <c r="P54" s="409"/>
      <c r="Q54" s="123">
        <f>SUM(Q55:Q72)</f>
        <v>0</v>
      </c>
      <c r="R54" s="123">
        <f>SUM(R55:R72)</f>
        <v>0</v>
      </c>
      <c r="S54" s="123">
        <f>SUM(S55:S72)</f>
        <v>0</v>
      </c>
      <c r="T54" s="169">
        <f t="shared" si="2"/>
        <v>0</v>
      </c>
      <c r="U54" s="409"/>
      <c r="V54" s="123">
        <f>SUM(V55:V72)</f>
        <v>0</v>
      </c>
      <c r="W54" s="123">
        <f>SUM(W55:W72)</f>
        <v>0</v>
      </c>
      <c r="X54" s="123">
        <f>SUM(X55:X72)</f>
        <v>0</v>
      </c>
      <c r="Y54" s="169" t="e">
        <f t="shared" si="63"/>
        <v>#DIV/0!</v>
      </c>
      <c r="Z54" s="409"/>
      <c r="AA54" s="123">
        <f>SUM(AA55:AA72)</f>
        <v>0</v>
      </c>
      <c r="AB54" s="123">
        <f>SUM(AB55:AB72)</f>
        <v>0</v>
      </c>
      <c r="AC54" s="123">
        <f>SUM(AC55:AC72)</f>
        <v>0</v>
      </c>
      <c r="AD54" s="169" t="e">
        <f t="shared" si="3"/>
        <v>#DIV/0!</v>
      </c>
      <c r="AE54" s="409"/>
      <c r="AF54" s="123">
        <f>SUM(AF55:AF72)</f>
        <v>0</v>
      </c>
      <c r="AG54" s="123">
        <f>SUM(AG55:AG72)</f>
        <v>0</v>
      </c>
      <c r="AH54" s="123">
        <f>SUM(AH55:AH72)</f>
        <v>0</v>
      </c>
      <c r="AI54" s="169" t="e">
        <f t="shared" ref="AI54:AI71" si="64">AH54/$AH$89</f>
        <v>#DIV/0!</v>
      </c>
      <c r="AJ54" s="409"/>
      <c r="AK54" s="123">
        <f>SUM(AK55:AK72)</f>
        <v>0</v>
      </c>
      <c r="AL54" s="123">
        <f>SUM(AL55:AL72)</f>
        <v>0</v>
      </c>
      <c r="AM54" s="123">
        <f>SUM(AM55:AM72)</f>
        <v>0</v>
      </c>
      <c r="AN54" s="169" t="e">
        <f t="shared" ref="AN54:AN71" si="65">AM54/$AM$89</f>
        <v>#DIV/0!</v>
      </c>
      <c r="AO54" s="409"/>
      <c r="AP54" s="123">
        <f>SUM(AP55:AP72)</f>
        <v>0</v>
      </c>
      <c r="AQ54" s="123">
        <f>SUM(AQ55:AQ72)</f>
        <v>0</v>
      </c>
      <c r="AR54" s="123">
        <f>SUM(AR55:AR72)</f>
        <v>0</v>
      </c>
      <c r="AS54" s="169" t="e">
        <f t="shared" ref="AS54:AS71" si="66">AR54/$AR$89</f>
        <v>#DIV/0!</v>
      </c>
      <c r="AT54" s="409"/>
      <c r="AU54" s="123">
        <f>SUM(AU55:AU72)</f>
        <v>-6.9999999999708962E-2</v>
      </c>
      <c r="AV54" s="123">
        <f>SUM(AV55:AV72)</f>
        <v>0</v>
      </c>
      <c r="AW54" s="123">
        <f>SUM(AW55:AW72)</f>
        <v>-6.9999999999708962E-2</v>
      </c>
      <c r="AX54" s="169">
        <f t="shared" ref="AX54:AX71" si="67">AW54/$AW$89</f>
        <v>1</v>
      </c>
      <c r="AY54" s="409"/>
      <c r="AZ54" s="123">
        <f>SUM(AZ55:AZ72)</f>
        <v>0</v>
      </c>
      <c r="BA54" s="123">
        <f>SUM(BA55:BA72)</f>
        <v>0</v>
      </c>
      <c r="BB54" s="123">
        <f>SUM(BB55:BB72)</f>
        <v>0</v>
      </c>
      <c r="BC54" s="169" t="e">
        <f t="shared" ref="BC54:BC71" si="68">BB54/$AR$89</f>
        <v>#DIV/0!</v>
      </c>
      <c r="BD54" s="409"/>
      <c r="BE54" s="123">
        <f>SUM(BE55:BE72)</f>
        <v>197177.86799999996</v>
      </c>
      <c r="BF54" s="123">
        <f>SUM(BF55:BF72)</f>
        <v>133828.53</v>
      </c>
      <c r="BG54" s="123">
        <f>SUM(BG55:BG72)</f>
        <v>331006.39799999999</v>
      </c>
      <c r="BH54" s="169">
        <f t="shared" ref="BH54:BH72" si="69">BG54/$BG$89</f>
        <v>2.8968069190126594E-2</v>
      </c>
      <c r="BI54" s="60"/>
      <c r="BJ54" s="928"/>
      <c r="BK54" s="928"/>
      <c r="BM54" s="842"/>
      <c r="BN54" s="842"/>
    </row>
    <row r="55" spans="1:66" ht="13.95" customHeight="1" outlineLevel="2">
      <c r="A55" s="237"/>
      <c r="B55" s="19" t="s">
        <v>77</v>
      </c>
      <c r="C55" s="113"/>
      <c r="D55" s="128"/>
      <c r="E55" s="120">
        <f t="shared" ref="E55:E72" si="70">C55+D55</f>
        <v>0</v>
      </c>
      <c r="F55" s="178">
        <f>E55/$E$89</f>
        <v>0</v>
      </c>
      <c r="G55" s="210">
        <v>0</v>
      </c>
      <c r="H55" s="210">
        <v>0</v>
      </c>
      <c r="I55" s="106">
        <v>0</v>
      </c>
      <c r="J55" s="178">
        <v>0</v>
      </c>
      <c r="K55" s="447"/>
      <c r="L55" s="210"/>
      <c r="M55" s="210"/>
      <c r="N55" s="106">
        <f t="shared" ref="N55:N71" si="71">L55+M55*1</f>
        <v>0</v>
      </c>
      <c r="O55" s="178">
        <f t="shared" ref="O55:O72" si="72">N55/$N$89</f>
        <v>0</v>
      </c>
      <c r="P55" s="259"/>
      <c r="Q55" s="210"/>
      <c r="R55" s="210"/>
      <c r="S55" s="106">
        <f t="shared" ref="S55:S71" si="73">Q55+R55*1</f>
        <v>0</v>
      </c>
      <c r="T55" s="178">
        <f t="shared" si="2"/>
        <v>0</v>
      </c>
      <c r="U55" s="259"/>
      <c r="V55" s="210"/>
      <c r="W55" s="210"/>
      <c r="X55" s="106">
        <f t="shared" ref="X55:X71" si="74">V55+W55*1</f>
        <v>0</v>
      </c>
      <c r="Y55" s="178" t="e">
        <f t="shared" si="63"/>
        <v>#DIV/0!</v>
      </c>
      <c r="Z55" s="259"/>
      <c r="AA55" s="210"/>
      <c r="AB55" s="210"/>
      <c r="AC55" s="106">
        <f t="shared" ref="AC55:AC71" si="75">AA55+AB55*1</f>
        <v>0</v>
      </c>
      <c r="AD55" s="178" t="e">
        <f t="shared" si="3"/>
        <v>#DIV/0!</v>
      </c>
      <c r="AE55" s="259"/>
      <c r="AF55" s="210"/>
      <c r="AG55" s="210"/>
      <c r="AH55" s="106">
        <f t="shared" ref="AH55:AH71" si="76">AF55+AG55*1</f>
        <v>0</v>
      </c>
      <c r="AI55" s="178" t="e">
        <f t="shared" si="64"/>
        <v>#DIV/0!</v>
      </c>
      <c r="AJ55" s="259"/>
      <c r="AK55" s="210"/>
      <c r="AL55" s="210"/>
      <c r="AM55" s="106">
        <f t="shared" ref="AM55:AM71" si="77">AK55+AL55*1</f>
        <v>0</v>
      </c>
      <c r="AN55" s="178" t="e">
        <f t="shared" si="65"/>
        <v>#DIV/0!</v>
      </c>
      <c r="AO55" s="259"/>
      <c r="AP55" s="210"/>
      <c r="AQ55" s="210"/>
      <c r="AR55" s="106">
        <f t="shared" ref="AR55:AR71" si="78">AP55+AQ55*1</f>
        <v>0</v>
      </c>
      <c r="AS55" s="178" t="e">
        <f t="shared" si="66"/>
        <v>#DIV/0!</v>
      </c>
      <c r="AT55" s="259"/>
      <c r="AU55" s="210"/>
      <c r="AV55" s="210"/>
      <c r="AW55" s="106">
        <f t="shared" ref="AW55:AW71" si="79">AU55+AV55*1</f>
        <v>0</v>
      </c>
      <c r="AX55" s="178">
        <f t="shared" si="67"/>
        <v>0</v>
      </c>
      <c r="AY55" s="259"/>
      <c r="AZ55" s="210"/>
      <c r="BA55" s="210"/>
      <c r="BB55" s="106">
        <f t="shared" ref="BB55:BB71" si="80">AZ55+BA55*1</f>
        <v>0</v>
      </c>
      <c r="BC55" s="178" t="e">
        <f t="shared" si="68"/>
        <v>#DIV/0!</v>
      </c>
      <c r="BD55" s="259"/>
      <c r="BE55" s="39">
        <f t="shared" ref="BE55:BE71" si="81">L55+G55+Q55</f>
        <v>0</v>
      </c>
      <c r="BF55" s="39">
        <f t="shared" ref="BF55:BF71" si="82">H55+M55+R55</f>
        <v>0</v>
      </c>
      <c r="BG55" s="106">
        <f t="shared" ref="BG55:BG72" si="83">BE55+BF55</f>
        <v>0</v>
      </c>
      <c r="BH55" s="178">
        <f t="shared" si="69"/>
        <v>0</v>
      </c>
      <c r="BI55" s="79"/>
      <c r="BJ55" s="928"/>
      <c r="BK55" s="928"/>
      <c r="BM55" s="842"/>
      <c r="BN55" s="842"/>
    </row>
    <row r="56" spans="1:66" ht="13.95" customHeight="1" outlineLevel="2">
      <c r="A56" s="237"/>
      <c r="B56" s="19" t="s">
        <v>76</v>
      </c>
      <c r="C56" s="113"/>
      <c r="D56" s="128"/>
      <c r="E56" s="120">
        <f t="shared" si="70"/>
        <v>0</v>
      </c>
      <c r="F56" s="178">
        <f t="shared" ref="F56:F72" si="84">E56/$E$89</f>
        <v>0</v>
      </c>
      <c r="G56" s="210">
        <v>0</v>
      </c>
      <c r="H56" s="210">
        <v>0</v>
      </c>
      <c r="I56" s="106">
        <v>0</v>
      </c>
      <c r="J56" s="178">
        <v>0</v>
      </c>
      <c r="K56" s="447"/>
      <c r="L56" s="210"/>
      <c r="M56" s="210"/>
      <c r="N56" s="106">
        <f t="shared" si="71"/>
        <v>0</v>
      </c>
      <c r="O56" s="178">
        <f t="shared" si="72"/>
        <v>0</v>
      </c>
      <c r="P56" s="421"/>
      <c r="Q56" s="210"/>
      <c r="R56" s="210"/>
      <c r="S56" s="106">
        <f t="shared" si="73"/>
        <v>0</v>
      </c>
      <c r="T56" s="178">
        <f t="shared" si="2"/>
        <v>0</v>
      </c>
      <c r="U56" s="421"/>
      <c r="V56" s="210"/>
      <c r="W56" s="210"/>
      <c r="X56" s="106">
        <f t="shared" si="74"/>
        <v>0</v>
      </c>
      <c r="Y56" s="178" t="e">
        <f t="shared" si="63"/>
        <v>#DIV/0!</v>
      </c>
      <c r="Z56" s="421"/>
      <c r="AA56" s="210"/>
      <c r="AB56" s="210"/>
      <c r="AC56" s="106">
        <f t="shared" si="75"/>
        <v>0</v>
      </c>
      <c r="AD56" s="178" t="e">
        <f t="shared" si="3"/>
        <v>#DIV/0!</v>
      </c>
      <c r="AE56" s="421"/>
      <c r="AF56" s="210"/>
      <c r="AG56" s="210"/>
      <c r="AH56" s="106">
        <f t="shared" si="76"/>
        <v>0</v>
      </c>
      <c r="AI56" s="178" t="e">
        <f t="shared" si="64"/>
        <v>#DIV/0!</v>
      </c>
      <c r="AJ56" s="421"/>
      <c r="AK56" s="210"/>
      <c r="AL56" s="210"/>
      <c r="AM56" s="106">
        <f t="shared" si="77"/>
        <v>0</v>
      </c>
      <c r="AN56" s="178" t="e">
        <f t="shared" si="65"/>
        <v>#DIV/0!</v>
      </c>
      <c r="AO56" s="421"/>
      <c r="AP56" s="210"/>
      <c r="AQ56" s="210"/>
      <c r="AR56" s="106">
        <f t="shared" si="78"/>
        <v>0</v>
      </c>
      <c r="AS56" s="178" t="e">
        <f t="shared" si="66"/>
        <v>#DIV/0!</v>
      </c>
      <c r="AT56" s="421"/>
      <c r="AU56" s="210"/>
      <c r="AV56" s="210"/>
      <c r="AW56" s="106">
        <f t="shared" si="79"/>
        <v>0</v>
      </c>
      <c r="AX56" s="178">
        <f t="shared" si="67"/>
        <v>0</v>
      </c>
      <c r="AY56" s="421"/>
      <c r="AZ56" s="210"/>
      <c r="BA56" s="210"/>
      <c r="BB56" s="106">
        <f t="shared" si="80"/>
        <v>0</v>
      </c>
      <c r="BC56" s="178" t="e">
        <f t="shared" si="68"/>
        <v>#DIV/0!</v>
      </c>
      <c r="BD56" s="421"/>
      <c r="BE56" s="39">
        <f t="shared" si="81"/>
        <v>0</v>
      </c>
      <c r="BF56" s="39">
        <f t="shared" si="82"/>
        <v>0</v>
      </c>
      <c r="BG56" s="106">
        <f t="shared" si="83"/>
        <v>0</v>
      </c>
      <c r="BH56" s="178">
        <f t="shared" si="69"/>
        <v>0</v>
      </c>
      <c r="BI56" s="79"/>
      <c r="BJ56" s="928"/>
      <c r="BK56" s="928"/>
      <c r="BM56" s="842"/>
      <c r="BN56" s="842"/>
    </row>
    <row r="57" spans="1:66" ht="13.95" customHeight="1" outlineLevel="2">
      <c r="A57" s="237"/>
      <c r="B57" s="19" t="s">
        <v>68</v>
      </c>
      <c r="C57" s="113"/>
      <c r="D57" s="119"/>
      <c r="E57" s="120">
        <f t="shared" si="70"/>
        <v>0</v>
      </c>
      <c r="F57" s="178">
        <f t="shared" si="84"/>
        <v>0</v>
      </c>
      <c r="G57" s="210">
        <v>0</v>
      </c>
      <c r="H57" s="210">
        <v>0</v>
      </c>
      <c r="I57" s="106">
        <v>0</v>
      </c>
      <c r="J57" s="178">
        <v>0</v>
      </c>
      <c r="K57" s="447"/>
      <c r="L57" s="210"/>
      <c r="M57" s="210"/>
      <c r="N57" s="106">
        <f t="shared" si="71"/>
        <v>0</v>
      </c>
      <c r="O57" s="178">
        <f t="shared" si="72"/>
        <v>0</v>
      </c>
      <c r="P57" s="421"/>
      <c r="Q57" s="210"/>
      <c r="R57" s="210"/>
      <c r="S57" s="106">
        <f t="shared" si="73"/>
        <v>0</v>
      </c>
      <c r="T57" s="178">
        <f t="shared" si="2"/>
        <v>0</v>
      </c>
      <c r="U57" s="421"/>
      <c r="V57" s="210"/>
      <c r="W57" s="210"/>
      <c r="X57" s="106">
        <f t="shared" si="74"/>
        <v>0</v>
      </c>
      <c r="Y57" s="178" t="e">
        <f t="shared" si="63"/>
        <v>#DIV/0!</v>
      </c>
      <c r="Z57" s="421"/>
      <c r="AA57" s="210"/>
      <c r="AB57" s="210"/>
      <c r="AC57" s="106">
        <f t="shared" si="75"/>
        <v>0</v>
      </c>
      <c r="AD57" s="178" t="e">
        <f t="shared" si="3"/>
        <v>#DIV/0!</v>
      </c>
      <c r="AE57" s="421"/>
      <c r="AF57" s="210"/>
      <c r="AG57" s="210"/>
      <c r="AH57" s="106">
        <f t="shared" si="76"/>
        <v>0</v>
      </c>
      <c r="AI57" s="178" t="e">
        <f t="shared" si="64"/>
        <v>#DIV/0!</v>
      </c>
      <c r="AJ57" s="421"/>
      <c r="AK57" s="210"/>
      <c r="AL57" s="210"/>
      <c r="AM57" s="106">
        <f t="shared" si="77"/>
        <v>0</v>
      </c>
      <c r="AN57" s="178" t="e">
        <f t="shared" si="65"/>
        <v>#DIV/0!</v>
      </c>
      <c r="AO57" s="421"/>
      <c r="AP57" s="210"/>
      <c r="AQ57" s="210"/>
      <c r="AR57" s="106">
        <f t="shared" si="78"/>
        <v>0</v>
      </c>
      <c r="AS57" s="178" t="e">
        <f t="shared" si="66"/>
        <v>#DIV/0!</v>
      </c>
      <c r="AT57" s="936"/>
      <c r="AU57" s="210"/>
      <c r="AV57" s="210"/>
      <c r="AW57" s="106">
        <f t="shared" si="79"/>
        <v>0</v>
      </c>
      <c r="AX57" s="178">
        <f t="shared" si="67"/>
        <v>0</v>
      </c>
      <c r="AY57" s="936"/>
      <c r="AZ57" s="210"/>
      <c r="BA57" s="210"/>
      <c r="BB57" s="106">
        <f t="shared" si="80"/>
        <v>0</v>
      </c>
      <c r="BC57" s="178" t="e">
        <f t="shared" si="68"/>
        <v>#DIV/0!</v>
      </c>
      <c r="BD57" s="936"/>
      <c r="BE57" s="39">
        <f t="shared" si="81"/>
        <v>0</v>
      </c>
      <c r="BF57" s="39">
        <f t="shared" si="82"/>
        <v>0</v>
      </c>
      <c r="BG57" s="106">
        <f t="shared" si="83"/>
        <v>0</v>
      </c>
      <c r="BH57" s="178">
        <f t="shared" si="69"/>
        <v>0</v>
      </c>
      <c r="BI57" s="79"/>
      <c r="BJ57" s="928"/>
      <c r="BK57" s="928"/>
      <c r="BM57" s="842"/>
      <c r="BN57" s="842"/>
    </row>
    <row r="58" spans="1:66" ht="14.4" customHeight="1" outlineLevel="2">
      <c r="A58" s="237"/>
      <c r="B58" s="19" t="s">
        <v>67</v>
      </c>
      <c r="C58" s="113"/>
      <c r="D58" s="119"/>
      <c r="E58" s="120">
        <f t="shared" si="70"/>
        <v>0</v>
      </c>
      <c r="F58" s="178">
        <f t="shared" si="84"/>
        <v>0</v>
      </c>
      <c r="G58" s="210">
        <v>61985</v>
      </c>
      <c r="H58" s="210">
        <v>120881</v>
      </c>
      <c r="I58" s="106">
        <v>182866</v>
      </c>
      <c r="J58" s="178">
        <v>1.6220216402536417E-2</v>
      </c>
      <c r="K58" s="447"/>
      <c r="L58" s="210"/>
      <c r="M58" s="210"/>
      <c r="N58" s="106">
        <f t="shared" si="71"/>
        <v>0</v>
      </c>
      <c r="O58" s="178">
        <f t="shared" si="72"/>
        <v>0</v>
      </c>
      <c r="P58" s="430"/>
      <c r="Q58" s="210"/>
      <c r="R58" s="210"/>
      <c r="S58" s="106">
        <f t="shared" si="73"/>
        <v>0</v>
      </c>
      <c r="T58" s="178">
        <f t="shared" si="2"/>
        <v>0</v>
      </c>
      <c r="U58" s="430"/>
      <c r="V58" s="210"/>
      <c r="W58" s="210"/>
      <c r="X58" s="106">
        <f t="shared" si="74"/>
        <v>0</v>
      </c>
      <c r="Y58" s="178" t="e">
        <f t="shared" si="63"/>
        <v>#DIV/0!</v>
      </c>
      <c r="Z58" s="430"/>
      <c r="AA58" s="210"/>
      <c r="AB58" s="210"/>
      <c r="AC58" s="106">
        <f t="shared" si="75"/>
        <v>0</v>
      </c>
      <c r="AD58" s="178" t="e">
        <f t="shared" si="3"/>
        <v>#DIV/0!</v>
      </c>
      <c r="AE58" s="430"/>
      <c r="AF58" s="210"/>
      <c r="AG58" s="210"/>
      <c r="AH58" s="106">
        <f t="shared" si="76"/>
        <v>0</v>
      </c>
      <c r="AI58" s="178" t="e">
        <f t="shared" si="64"/>
        <v>#DIV/0!</v>
      </c>
      <c r="AJ58" s="430"/>
      <c r="AK58" s="210"/>
      <c r="AL58" s="210"/>
      <c r="AM58" s="106">
        <f t="shared" si="77"/>
        <v>0</v>
      </c>
      <c r="AN58" s="178" t="e">
        <f t="shared" si="65"/>
        <v>#DIV/0!</v>
      </c>
      <c r="AO58" s="430"/>
      <c r="AP58" s="210"/>
      <c r="AQ58" s="210"/>
      <c r="AR58" s="106">
        <f t="shared" si="78"/>
        <v>0</v>
      </c>
      <c r="AS58" s="178" t="e">
        <f t="shared" si="66"/>
        <v>#DIV/0!</v>
      </c>
      <c r="AT58" s="936"/>
      <c r="AU58" s="210"/>
      <c r="AV58" s="210"/>
      <c r="AW58" s="106">
        <f t="shared" si="79"/>
        <v>0</v>
      </c>
      <c r="AX58" s="178">
        <f t="shared" si="67"/>
        <v>0</v>
      </c>
      <c r="AY58" s="936"/>
      <c r="AZ58" s="210"/>
      <c r="BA58" s="210"/>
      <c r="BB58" s="106">
        <f t="shared" si="80"/>
        <v>0</v>
      </c>
      <c r="BC58" s="178" t="e">
        <f t="shared" si="68"/>
        <v>#DIV/0!</v>
      </c>
      <c r="BD58" s="936"/>
      <c r="BE58" s="39">
        <f t="shared" si="81"/>
        <v>61985</v>
      </c>
      <c r="BF58" s="39">
        <f t="shared" si="82"/>
        <v>120881</v>
      </c>
      <c r="BG58" s="106">
        <f t="shared" si="83"/>
        <v>182866</v>
      </c>
      <c r="BH58" s="178">
        <f t="shared" si="69"/>
        <v>1.6003542446698237E-2</v>
      </c>
      <c r="BI58" s="79"/>
      <c r="BJ58" s="928"/>
      <c r="BK58" s="928"/>
      <c r="BM58" s="842"/>
      <c r="BN58" s="842"/>
    </row>
    <row r="59" spans="1:66" ht="14.4" customHeight="1" outlineLevel="2">
      <c r="A59" s="237"/>
      <c r="B59" s="19" t="s">
        <v>66</v>
      </c>
      <c r="C59" s="113"/>
      <c r="D59" s="119"/>
      <c r="E59" s="120">
        <f t="shared" si="70"/>
        <v>0</v>
      </c>
      <c r="F59" s="178">
        <f t="shared" si="84"/>
        <v>0</v>
      </c>
      <c r="G59" s="210">
        <v>15015</v>
      </c>
      <c r="H59" s="210">
        <v>0</v>
      </c>
      <c r="I59" s="106">
        <v>15015</v>
      </c>
      <c r="J59" s="178">
        <v>1.3318306808487324E-3</v>
      </c>
      <c r="K59" s="447"/>
      <c r="L59" s="210"/>
      <c r="M59" s="210"/>
      <c r="N59" s="106">
        <f t="shared" si="71"/>
        <v>0</v>
      </c>
      <c r="O59" s="178">
        <f t="shared" si="72"/>
        <v>0</v>
      </c>
      <c r="P59" s="421"/>
      <c r="Q59" s="210"/>
      <c r="R59" s="210"/>
      <c r="S59" s="106">
        <f t="shared" si="73"/>
        <v>0</v>
      </c>
      <c r="T59" s="178">
        <f t="shared" si="2"/>
        <v>0</v>
      </c>
      <c r="U59" s="421"/>
      <c r="V59" s="210"/>
      <c r="W59" s="210"/>
      <c r="X59" s="106">
        <f t="shared" si="74"/>
        <v>0</v>
      </c>
      <c r="Y59" s="178" t="e">
        <f t="shared" si="63"/>
        <v>#DIV/0!</v>
      </c>
      <c r="Z59" s="421"/>
      <c r="AA59" s="210"/>
      <c r="AB59" s="210"/>
      <c r="AC59" s="106">
        <f t="shared" si="75"/>
        <v>0</v>
      </c>
      <c r="AD59" s="178" t="e">
        <f t="shared" si="3"/>
        <v>#DIV/0!</v>
      </c>
      <c r="AE59" s="421"/>
      <c r="AF59" s="210"/>
      <c r="AG59" s="210"/>
      <c r="AH59" s="106">
        <f t="shared" si="76"/>
        <v>0</v>
      </c>
      <c r="AI59" s="178" t="e">
        <f t="shared" si="64"/>
        <v>#DIV/0!</v>
      </c>
      <c r="AJ59" s="421"/>
      <c r="AK59" s="210"/>
      <c r="AL59" s="210"/>
      <c r="AM59" s="106">
        <f t="shared" si="77"/>
        <v>0</v>
      </c>
      <c r="AN59" s="178" t="e">
        <f t="shared" si="65"/>
        <v>#DIV/0!</v>
      </c>
      <c r="AO59" s="421"/>
      <c r="AP59" s="210"/>
      <c r="AQ59" s="210"/>
      <c r="AR59" s="106">
        <f t="shared" si="78"/>
        <v>0</v>
      </c>
      <c r="AS59" s="178" t="e">
        <f t="shared" si="66"/>
        <v>#DIV/0!</v>
      </c>
      <c r="AT59" s="936"/>
      <c r="AU59" s="210"/>
      <c r="AV59" s="210"/>
      <c r="AW59" s="106">
        <f t="shared" si="79"/>
        <v>0</v>
      </c>
      <c r="AX59" s="178">
        <f t="shared" si="67"/>
        <v>0</v>
      </c>
      <c r="AY59" s="936"/>
      <c r="AZ59" s="210"/>
      <c r="BA59" s="210"/>
      <c r="BB59" s="106">
        <f t="shared" si="80"/>
        <v>0</v>
      </c>
      <c r="BC59" s="178" t="e">
        <f t="shared" si="68"/>
        <v>#DIV/0!</v>
      </c>
      <c r="BD59" s="936"/>
      <c r="BE59" s="39">
        <f>L59+G59+Q59</f>
        <v>15015</v>
      </c>
      <c r="BF59" s="39">
        <f>H59+M59+R59</f>
        <v>0</v>
      </c>
      <c r="BG59" s="106">
        <f t="shared" si="83"/>
        <v>15015</v>
      </c>
      <c r="BH59" s="178">
        <f t="shared" si="69"/>
        <v>1.3140397331224724E-3</v>
      </c>
      <c r="BI59" s="79"/>
      <c r="BJ59" s="928"/>
      <c r="BK59" s="928"/>
      <c r="BM59" s="842"/>
      <c r="BN59" s="842"/>
    </row>
    <row r="60" spans="1:66" ht="14.4" customHeight="1" outlineLevel="2">
      <c r="A60" s="237"/>
      <c r="B60" s="19" t="s">
        <v>65</v>
      </c>
      <c r="C60" s="113"/>
      <c r="D60" s="119"/>
      <c r="E60" s="120">
        <f t="shared" si="70"/>
        <v>0</v>
      </c>
      <c r="F60" s="178">
        <f t="shared" si="84"/>
        <v>0</v>
      </c>
      <c r="G60" s="210">
        <v>16940</v>
      </c>
      <c r="H60" s="210">
        <v>0</v>
      </c>
      <c r="I60" s="106">
        <v>16940</v>
      </c>
      <c r="J60" s="178">
        <v>1.5025782040344673E-3</v>
      </c>
      <c r="K60" s="447"/>
      <c r="L60" s="210"/>
      <c r="M60" s="210"/>
      <c r="N60" s="106">
        <f t="shared" si="71"/>
        <v>0</v>
      </c>
      <c r="O60" s="178">
        <f t="shared" si="72"/>
        <v>0</v>
      </c>
      <c r="P60" s="421"/>
      <c r="Q60" s="210"/>
      <c r="R60" s="210"/>
      <c r="S60" s="106">
        <f t="shared" si="73"/>
        <v>0</v>
      </c>
      <c r="T60" s="178">
        <f t="shared" si="2"/>
        <v>0</v>
      </c>
      <c r="U60" s="421"/>
      <c r="V60" s="210"/>
      <c r="W60" s="210"/>
      <c r="X60" s="106">
        <f t="shared" si="74"/>
        <v>0</v>
      </c>
      <c r="Y60" s="178" t="e">
        <f t="shared" si="63"/>
        <v>#DIV/0!</v>
      </c>
      <c r="Z60" s="421"/>
      <c r="AA60" s="210"/>
      <c r="AB60" s="210"/>
      <c r="AC60" s="106">
        <f t="shared" si="75"/>
        <v>0</v>
      </c>
      <c r="AD60" s="178" t="e">
        <f t="shared" si="3"/>
        <v>#DIV/0!</v>
      </c>
      <c r="AE60" s="421"/>
      <c r="AF60" s="210"/>
      <c r="AG60" s="210"/>
      <c r="AH60" s="106">
        <f t="shared" si="76"/>
        <v>0</v>
      </c>
      <c r="AI60" s="178" t="e">
        <f t="shared" si="64"/>
        <v>#DIV/0!</v>
      </c>
      <c r="AJ60" s="421"/>
      <c r="AK60" s="210"/>
      <c r="AL60" s="210"/>
      <c r="AM60" s="106">
        <f t="shared" si="77"/>
        <v>0</v>
      </c>
      <c r="AN60" s="178" t="e">
        <f t="shared" si="65"/>
        <v>#DIV/0!</v>
      </c>
      <c r="AO60" s="421"/>
      <c r="AP60" s="210"/>
      <c r="AQ60" s="210"/>
      <c r="AR60" s="106">
        <f t="shared" si="78"/>
        <v>0</v>
      </c>
      <c r="AS60" s="178" t="e">
        <f t="shared" si="66"/>
        <v>#DIV/0!</v>
      </c>
      <c r="AT60" s="936"/>
      <c r="AU60" s="210"/>
      <c r="AV60" s="210"/>
      <c r="AW60" s="106">
        <f t="shared" si="79"/>
        <v>0</v>
      </c>
      <c r="AX60" s="178">
        <f t="shared" si="67"/>
        <v>0</v>
      </c>
      <c r="AY60" s="936"/>
      <c r="AZ60" s="210"/>
      <c r="BA60" s="210"/>
      <c r="BB60" s="106">
        <f t="shared" si="80"/>
        <v>0</v>
      </c>
      <c r="BC60" s="178" t="e">
        <f t="shared" si="68"/>
        <v>#DIV/0!</v>
      </c>
      <c r="BD60" s="936"/>
      <c r="BE60" s="39">
        <f t="shared" si="81"/>
        <v>16940</v>
      </c>
      <c r="BF60" s="39">
        <f t="shared" si="82"/>
        <v>0</v>
      </c>
      <c r="BG60" s="106">
        <f t="shared" si="83"/>
        <v>16940</v>
      </c>
      <c r="BH60" s="178">
        <f t="shared" si="69"/>
        <v>1.4825063655740712E-3</v>
      </c>
      <c r="BI60" s="79"/>
      <c r="BJ60" s="928"/>
      <c r="BK60" s="928"/>
      <c r="BM60" s="842"/>
      <c r="BN60" s="842"/>
    </row>
    <row r="61" spans="1:66" ht="13.95" customHeight="1" outlineLevel="2">
      <c r="A61" s="237"/>
      <c r="B61" s="19" t="s">
        <v>32</v>
      </c>
      <c r="C61" s="113"/>
      <c r="D61" s="119"/>
      <c r="E61" s="120">
        <f t="shared" si="70"/>
        <v>0</v>
      </c>
      <c r="F61" s="178">
        <f t="shared" si="84"/>
        <v>0</v>
      </c>
      <c r="G61" s="210">
        <v>0</v>
      </c>
      <c r="H61" s="210">
        <v>0</v>
      </c>
      <c r="I61" s="106">
        <v>0</v>
      </c>
      <c r="J61" s="178">
        <v>0</v>
      </c>
      <c r="K61" s="447"/>
      <c r="L61" s="210"/>
      <c r="M61" s="210"/>
      <c r="N61" s="106">
        <f t="shared" si="71"/>
        <v>0</v>
      </c>
      <c r="O61" s="178">
        <f t="shared" si="72"/>
        <v>0</v>
      </c>
      <c r="P61" s="421"/>
      <c r="Q61" s="210"/>
      <c r="R61" s="210"/>
      <c r="S61" s="106">
        <f t="shared" si="73"/>
        <v>0</v>
      </c>
      <c r="T61" s="178">
        <f t="shared" si="2"/>
        <v>0</v>
      </c>
      <c r="U61" s="421"/>
      <c r="V61" s="210"/>
      <c r="W61" s="210"/>
      <c r="X61" s="106">
        <f t="shared" si="74"/>
        <v>0</v>
      </c>
      <c r="Y61" s="178" t="e">
        <f t="shared" si="63"/>
        <v>#DIV/0!</v>
      </c>
      <c r="Z61" s="421"/>
      <c r="AA61" s="210"/>
      <c r="AB61" s="210"/>
      <c r="AC61" s="106">
        <f t="shared" si="75"/>
        <v>0</v>
      </c>
      <c r="AD61" s="178" t="e">
        <f t="shared" si="3"/>
        <v>#DIV/0!</v>
      </c>
      <c r="AE61" s="421"/>
      <c r="AF61" s="210"/>
      <c r="AG61" s="210"/>
      <c r="AH61" s="106">
        <f t="shared" si="76"/>
        <v>0</v>
      </c>
      <c r="AI61" s="178" t="e">
        <f t="shared" si="64"/>
        <v>#DIV/0!</v>
      </c>
      <c r="AJ61" s="421"/>
      <c r="AK61" s="210"/>
      <c r="AL61" s="210"/>
      <c r="AM61" s="106">
        <f t="shared" si="77"/>
        <v>0</v>
      </c>
      <c r="AN61" s="178" t="e">
        <f t="shared" si="65"/>
        <v>#DIV/0!</v>
      </c>
      <c r="AO61" s="421"/>
      <c r="AP61" s="210"/>
      <c r="AQ61" s="210"/>
      <c r="AR61" s="106">
        <f t="shared" si="78"/>
        <v>0</v>
      </c>
      <c r="AS61" s="178" t="e">
        <f t="shared" si="66"/>
        <v>#DIV/0!</v>
      </c>
      <c r="AT61" s="936"/>
      <c r="AU61" s="210"/>
      <c r="AV61" s="210"/>
      <c r="AW61" s="106">
        <f t="shared" si="79"/>
        <v>0</v>
      </c>
      <c r="AX61" s="178">
        <f t="shared" si="67"/>
        <v>0</v>
      </c>
      <c r="AY61" s="936"/>
      <c r="AZ61" s="210"/>
      <c r="BA61" s="210"/>
      <c r="BB61" s="106">
        <f t="shared" si="80"/>
        <v>0</v>
      </c>
      <c r="BC61" s="178" t="e">
        <f t="shared" si="68"/>
        <v>#DIV/0!</v>
      </c>
      <c r="BD61" s="936"/>
      <c r="BE61" s="39">
        <f t="shared" si="81"/>
        <v>0</v>
      </c>
      <c r="BF61" s="39">
        <f t="shared" si="82"/>
        <v>0</v>
      </c>
      <c r="BG61" s="106">
        <f t="shared" si="83"/>
        <v>0</v>
      </c>
      <c r="BH61" s="178">
        <f t="shared" si="69"/>
        <v>0</v>
      </c>
      <c r="BI61" s="79"/>
      <c r="BJ61" s="928"/>
      <c r="BK61" s="928"/>
      <c r="BM61" s="842"/>
      <c r="BN61" s="842"/>
    </row>
    <row r="62" spans="1:66" ht="30.6" customHeight="1" outlineLevel="2">
      <c r="A62" s="237"/>
      <c r="B62" s="19" t="s">
        <v>33</v>
      </c>
      <c r="C62" s="113"/>
      <c r="D62" s="119"/>
      <c r="E62" s="120">
        <f t="shared" si="70"/>
        <v>0</v>
      </c>
      <c r="F62" s="178">
        <f t="shared" si="84"/>
        <v>0</v>
      </c>
      <c r="G62" s="210">
        <v>0</v>
      </c>
      <c r="H62" s="210">
        <v>0</v>
      </c>
      <c r="I62" s="106">
        <v>0</v>
      </c>
      <c r="J62" s="178">
        <v>0</v>
      </c>
      <c r="K62" s="447"/>
      <c r="L62" s="210"/>
      <c r="M62" s="210"/>
      <c r="N62" s="106">
        <f t="shared" si="71"/>
        <v>0</v>
      </c>
      <c r="O62" s="178">
        <f t="shared" si="72"/>
        <v>0</v>
      </c>
      <c r="P62" s="421"/>
      <c r="Q62" s="210"/>
      <c r="R62" s="210"/>
      <c r="S62" s="106">
        <f t="shared" si="73"/>
        <v>0</v>
      </c>
      <c r="T62" s="178">
        <f t="shared" si="2"/>
        <v>0</v>
      </c>
      <c r="U62" s="421"/>
      <c r="V62" s="210"/>
      <c r="W62" s="210"/>
      <c r="X62" s="106">
        <f t="shared" si="74"/>
        <v>0</v>
      </c>
      <c r="Y62" s="178" t="e">
        <f t="shared" si="63"/>
        <v>#DIV/0!</v>
      </c>
      <c r="Z62" s="421"/>
      <c r="AA62" s="210"/>
      <c r="AB62" s="210"/>
      <c r="AC62" s="106">
        <f t="shared" si="75"/>
        <v>0</v>
      </c>
      <c r="AD62" s="178" t="e">
        <f t="shared" si="3"/>
        <v>#DIV/0!</v>
      </c>
      <c r="AE62" s="421"/>
      <c r="AF62" s="210"/>
      <c r="AG62" s="210"/>
      <c r="AH62" s="106">
        <f t="shared" si="76"/>
        <v>0</v>
      </c>
      <c r="AI62" s="178" t="e">
        <f t="shared" si="64"/>
        <v>#DIV/0!</v>
      </c>
      <c r="AJ62" s="421"/>
      <c r="AK62" s="210"/>
      <c r="AL62" s="210"/>
      <c r="AM62" s="106">
        <f t="shared" si="77"/>
        <v>0</v>
      </c>
      <c r="AN62" s="178" t="e">
        <f t="shared" si="65"/>
        <v>#DIV/0!</v>
      </c>
      <c r="AO62" s="421"/>
      <c r="AP62" s="210"/>
      <c r="AQ62" s="210"/>
      <c r="AR62" s="106">
        <f t="shared" si="78"/>
        <v>0</v>
      </c>
      <c r="AS62" s="178" t="e">
        <f t="shared" si="66"/>
        <v>#DIV/0!</v>
      </c>
      <c r="AT62" s="936"/>
      <c r="AU62" s="210"/>
      <c r="AV62" s="210"/>
      <c r="AW62" s="106">
        <f t="shared" si="79"/>
        <v>0</v>
      </c>
      <c r="AX62" s="178">
        <f t="shared" si="67"/>
        <v>0</v>
      </c>
      <c r="AY62" s="936"/>
      <c r="AZ62" s="210"/>
      <c r="BA62" s="210"/>
      <c r="BB62" s="106">
        <f t="shared" si="80"/>
        <v>0</v>
      </c>
      <c r="BC62" s="178" t="e">
        <f t="shared" si="68"/>
        <v>#DIV/0!</v>
      </c>
      <c r="BD62" s="936"/>
      <c r="BE62" s="39">
        <f t="shared" si="81"/>
        <v>0</v>
      </c>
      <c r="BF62" s="39">
        <f t="shared" si="82"/>
        <v>0</v>
      </c>
      <c r="BG62" s="106">
        <f t="shared" si="83"/>
        <v>0</v>
      </c>
      <c r="BH62" s="178">
        <f t="shared" si="69"/>
        <v>0</v>
      </c>
      <c r="BI62" s="79"/>
      <c r="BJ62" s="928"/>
      <c r="BK62" s="928"/>
      <c r="BM62" s="842"/>
      <c r="BN62" s="842"/>
    </row>
    <row r="63" spans="1:66" ht="13.8" outlineLevel="2">
      <c r="A63" s="237"/>
      <c r="B63" s="19" t="s">
        <v>35</v>
      </c>
      <c r="C63" s="113">
        <v>34400</v>
      </c>
      <c r="D63" s="119"/>
      <c r="E63" s="120">
        <f t="shared" si="70"/>
        <v>34400</v>
      </c>
      <c r="F63" s="178">
        <f t="shared" si="84"/>
        <v>8.1023019252152821E-3</v>
      </c>
      <c r="G63" s="210">
        <v>32806</v>
      </c>
      <c r="H63" s="210">
        <v>0</v>
      </c>
      <c r="I63" s="106">
        <v>32806</v>
      </c>
      <c r="J63" s="178">
        <v>2.9098925951331015E-3</v>
      </c>
      <c r="K63" s="447"/>
      <c r="L63" s="210">
        <v>5880.61</v>
      </c>
      <c r="M63" s="210"/>
      <c r="N63" s="106">
        <f t="shared" si="71"/>
        <v>5880.61</v>
      </c>
      <c r="O63" s="178">
        <f t="shared" si="72"/>
        <v>0.19690765732878793</v>
      </c>
      <c r="P63" s="431" t="s">
        <v>978</v>
      </c>
      <c r="Q63" s="210"/>
      <c r="R63" s="210"/>
      <c r="S63" s="106">
        <f t="shared" si="73"/>
        <v>0</v>
      </c>
      <c r="T63" s="178">
        <f t="shared" si="2"/>
        <v>0</v>
      </c>
      <c r="U63" s="431"/>
      <c r="V63" s="210"/>
      <c r="W63" s="210"/>
      <c r="X63" s="106">
        <f t="shared" si="74"/>
        <v>0</v>
      </c>
      <c r="Y63" s="178" t="e">
        <f t="shared" si="63"/>
        <v>#DIV/0!</v>
      </c>
      <c r="Z63" s="431"/>
      <c r="AA63" s="210"/>
      <c r="AB63" s="210"/>
      <c r="AC63" s="106">
        <f t="shared" si="75"/>
        <v>0</v>
      </c>
      <c r="AD63" s="178" t="e">
        <f t="shared" si="3"/>
        <v>#DIV/0!</v>
      </c>
      <c r="AE63" s="431"/>
      <c r="AF63" s="210"/>
      <c r="AG63" s="210"/>
      <c r="AH63" s="106">
        <f t="shared" si="76"/>
        <v>0</v>
      </c>
      <c r="AI63" s="178" t="e">
        <f t="shared" si="64"/>
        <v>#DIV/0!</v>
      </c>
      <c r="AJ63" s="431"/>
      <c r="AK63" s="210"/>
      <c r="AL63" s="210"/>
      <c r="AM63" s="106">
        <f t="shared" si="77"/>
        <v>0</v>
      </c>
      <c r="AN63" s="178" t="e">
        <f t="shared" si="65"/>
        <v>#DIV/0!</v>
      </c>
      <c r="AO63" s="431"/>
      <c r="AP63" s="210"/>
      <c r="AQ63" s="210"/>
      <c r="AR63" s="106">
        <f t="shared" si="78"/>
        <v>0</v>
      </c>
      <c r="AS63" s="178" t="e">
        <f t="shared" si="66"/>
        <v>#DIV/0!</v>
      </c>
      <c r="AT63" s="936"/>
      <c r="AU63" s="210">
        <v>-6.9999999999708962E-2</v>
      </c>
      <c r="AV63" s="210"/>
      <c r="AW63" s="106">
        <f t="shared" si="79"/>
        <v>-6.9999999999708962E-2</v>
      </c>
      <c r="AX63" s="178">
        <f t="shared" si="67"/>
        <v>1</v>
      </c>
      <c r="AY63" s="936"/>
      <c r="AZ63" s="210"/>
      <c r="BA63" s="210"/>
      <c r="BB63" s="106">
        <f t="shared" si="80"/>
        <v>0</v>
      </c>
      <c r="BC63" s="178" t="e">
        <f t="shared" si="68"/>
        <v>#DIV/0!</v>
      </c>
      <c r="BD63" s="936"/>
      <c r="BE63" s="39">
        <f t="shared" si="81"/>
        <v>38686.61</v>
      </c>
      <c r="BF63" s="39">
        <f t="shared" si="82"/>
        <v>0</v>
      </c>
      <c r="BG63" s="106">
        <f t="shared" si="83"/>
        <v>38686.61</v>
      </c>
      <c r="BH63" s="178">
        <f t="shared" si="69"/>
        <v>3.3856638481394052E-3</v>
      </c>
      <c r="BI63" s="79"/>
      <c r="BJ63" s="928"/>
      <c r="BK63" s="928"/>
      <c r="BM63" s="842"/>
      <c r="BN63" s="842"/>
    </row>
    <row r="64" spans="1:66" ht="31.2" customHeight="1" outlineLevel="2">
      <c r="A64" s="237"/>
      <c r="B64" s="19" t="s">
        <v>63</v>
      </c>
      <c r="C64" s="113"/>
      <c r="D64" s="119"/>
      <c r="E64" s="120">
        <f t="shared" si="70"/>
        <v>0</v>
      </c>
      <c r="F64" s="178">
        <f t="shared" si="84"/>
        <v>0</v>
      </c>
      <c r="G64" s="210">
        <v>0</v>
      </c>
      <c r="H64" s="210">
        <v>0</v>
      </c>
      <c r="I64" s="106">
        <v>0</v>
      </c>
      <c r="J64" s="178">
        <v>0</v>
      </c>
      <c r="K64" s="447"/>
      <c r="L64" s="210"/>
      <c r="M64" s="210"/>
      <c r="N64" s="106">
        <f t="shared" si="71"/>
        <v>0</v>
      </c>
      <c r="O64" s="178">
        <f t="shared" si="72"/>
        <v>0</v>
      </c>
      <c r="P64" s="431"/>
      <c r="Q64" s="210"/>
      <c r="R64" s="210"/>
      <c r="S64" s="106">
        <f t="shared" si="73"/>
        <v>0</v>
      </c>
      <c r="T64" s="178">
        <f t="shared" si="2"/>
        <v>0</v>
      </c>
      <c r="U64" s="431"/>
      <c r="V64" s="210"/>
      <c r="W64" s="210"/>
      <c r="X64" s="106">
        <f t="shared" si="74"/>
        <v>0</v>
      </c>
      <c r="Y64" s="178" t="e">
        <f t="shared" si="63"/>
        <v>#DIV/0!</v>
      </c>
      <c r="Z64" s="431"/>
      <c r="AA64" s="210"/>
      <c r="AB64" s="210"/>
      <c r="AC64" s="106">
        <f t="shared" si="75"/>
        <v>0</v>
      </c>
      <c r="AD64" s="178" t="e">
        <f t="shared" si="3"/>
        <v>#DIV/0!</v>
      </c>
      <c r="AE64" s="431"/>
      <c r="AF64" s="210"/>
      <c r="AG64" s="210"/>
      <c r="AH64" s="106">
        <f t="shared" si="76"/>
        <v>0</v>
      </c>
      <c r="AI64" s="178" t="e">
        <f t="shared" si="64"/>
        <v>#DIV/0!</v>
      </c>
      <c r="AJ64" s="431"/>
      <c r="AK64" s="210"/>
      <c r="AL64" s="210"/>
      <c r="AM64" s="106">
        <f t="shared" si="77"/>
        <v>0</v>
      </c>
      <c r="AN64" s="178" t="e">
        <f t="shared" si="65"/>
        <v>#DIV/0!</v>
      </c>
      <c r="AO64" s="431"/>
      <c r="AP64" s="210"/>
      <c r="AQ64" s="210"/>
      <c r="AR64" s="106">
        <f t="shared" si="78"/>
        <v>0</v>
      </c>
      <c r="AS64" s="178" t="e">
        <f t="shared" si="66"/>
        <v>#DIV/0!</v>
      </c>
      <c r="AT64" s="936"/>
      <c r="AU64" s="210"/>
      <c r="AV64" s="210"/>
      <c r="AW64" s="106">
        <f t="shared" si="79"/>
        <v>0</v>
      </c>
      <c r="AX64" s="178">
        <f t="shared" si="67"/>
        <v>0</v>
      </c>
      <c r="AY64" s="936"/>
      <c r="AZ64" s="210"/>
      <c r="BA64" s="210"/>
      <c r="BB64" s="106">
        <f t="shared" si="80"/>
        <v>0</v>
      </c>
      <c r="BC64" s="178" t="e">
        <f t="shared" si="68"/>
        <v>#DIV/0!</v>
      </c>
      <c r="BD64" s="936"/>
      <c r="BE64" s="39">
        <f t="shared" si="81"/>
        <v>0</v>
      </c>
      <c r="BF64" s="39">
        <f t="shared" si="82"/>
        <v>0</v>
      </c>
      <c r="BG64" s="106">
        <f t="shared" si="83"/>
        <v>0</v>
      </c>
      <c r="BH64" s="178">
        <f t="shared" si="69"/>
        <v>0</v>
      </c>
      <c r="BI64" s="79"/>
      <c r="BJ64" s="928"/>
      <c r="BK64" s="928"/>
      <c r="BM64" s="842"/>
      <c r="BN64" s="842"/>
    </row>
    <row r="65" spans="1:66" ht="13.8" outlineLevel="2">
      <c r="A65" s="237"/>
      <c r="B65" s="19" t="s">
        <v>36</v>
      </c>
      <c r="C65" s="113"/>
      <c r="D65" s="119"/>
      <c r="E65" s="120">
        <f t="shared" si="70"/>
        <v>0</v>
      </c>
      <c r="F65" s="178">
        <f t="shared" si="84"/>
        <v>0</v>
      </c>
      <c r="G65" s="39">
        <v>18312</v>
      </c>
      <c r="H65" s="39">
        <v>3400</v>
      </c>
      <c r="I65" s="106">
        <v>21712</v>
      </c>
      <c r="J65" s="178">
        <v>1.925854661511001E-3</v>
      </c>
      <c r="K65" s="447"/>
      <c r="L65" s="39"/>
      <c r="M65" s="39"/>
      <c r="N65" s="106">
        <f t="shared" si="71"/>
        <v>0</v>
      </c>
      <c r="O65" s="178">
        <f t="shared" si="72"/>
        <v>0</v>
      </c>
      <c r="P65" s="388"/>
      <c r="Q65" s="39"/>
      <c r="R65" s="39"/>
      <c r="S65" s="106">
        <f t="shared" si="73"/>
        <v>0</v>
      </c>
      <c r="T65" s="178">
        <f t="shared" si="2"/>
        <v>0</v>
      </c>
      <c r="U65" s="388"/>
      <c r="V65" s="39"/>
      <c r="W65" s="39"/>
      <c r="X65" s="106">
        <f t="shared" si="74"/>
        <v>0</v>
      </c>
      <c r="Y65" s="178" t="e">
        <f t="shared" si="63"/>
        <v>#DIV/0!</v>
      </c>
      <c r="Z65" s="388"/>
      <c r="AA65" s="39"/>
      <c r="AB65" s="39"/>
      <c r="AC65" s="106">
        <f t="shared" si="75"/>
        <v>0</v>
      </c>
      <c r="AD65" s="178" t="e">
        <f t="shared" si="3"/>
        <v>#DIV/0!</v>
      </c>
      <c r="AE65" s="388"/>
      <c r="AF65" s="39"/>
      <c r="AG65" s="39"/>
      <c r="AH65" s="106">
        <f t="shared" si="76"/>
        <v>0</v>
      </c>
      <c r="AI65" s="178" t="e">
        <f t="shared" si="64"/>
        <v>#DIV/0!</v>
      </c>
      <c r="AJ65" s="388"/>
      <c r="AK65" s="39"/>
      <c r="AL65" s="39"/>
      <c r="AM65" s="106">
        <f t="shared" si="77"/>
        <v>0</v>
      </c>
      <c r="AN65" s="178" t="e">
        <f t="shared" si="65"/>
        <v>#DIV/0!</v>
      </c>
      <c r="AO65" s="388"/>
      <c r="AP65" s="39"/>
      <c r="AQ65" s="39"/>
      <c r="AR65" s="106">
        <f t="shared" si="78"/>
        <v>0</v>
      </c>
      <c r="AS65" s="178" t="e">
        <f t="shared" si="66"/>
        <v>#DIV/0!</v>
      </c>
      <c r="AT65" s="388"/>
      <c r="AU65" s="39"/>
      <c r="AV65" s="39"/>
      <c r="AW65" s="106">
        <f t="shared" si="79"/>
        <v>0</v>
      </c>
      <c r="AX65" s="178">
        <f t="shared" si="67"/>
        <v>0</v>
      </c>
      <c r="AY65" s="388"/>
      <c r="AZ65" s="39"/>
      <c r="BA65" s="39"/>
      <c r="BB65" s="106">
        <f t="shared" si="80"/>
        <v>0</v>
      </c>
      <c r="BC65" s="178" t="e">
        <f t="shared" si="68"/>
        <v>#DIV/0!</v>
      </c>
      <c r="BD65" s="388"/>
      <c r="BE65" s="39">
        <f t="shared" si="81"/>
        <v>18312</v>
      </c>
      <c r="BF65" s="39">
        <f t="shared" si="82"/>
        <v>3400</v>
      </c>
      <c r="BG65" s="106">
        <f t="shared" si="83"/>
        <v>21712</v>
      </c>
      <c r="BH65" s="178">
        <f t="shared" si="69"/>
        <v>1.9001285837865547E-3</v>
      </c>
      <c r="BI65" s="79"/>
      <c r="BJ65" s="928"/>
      <c r="BK65" s="928"/>
      <c r="BM65" s="842"/>
      <c r="BN65" s="842"/>
    </row>
    <row r="66" spans="1:66" s="2" customFormat="1" ht="13.95" customHeight="1" outlineLevel="2">
      <c r="A66" s="237"/>
      <c r="B66" s="19" t="s">
        <v>37</v>
      </c>
      <c r="C66" s="113"/>
      <c r="D66" s="119"/>
      <c r="E66" s="120">
        <f t="shared" si="70"/>
        <v>0</v>
      </c>
      <c r="F66" s="178">
        <f t="shared" si="84"/>
        <v>0</v>
      </c>
      <c r="G66" s="39">
        <v>0</v>
      </c>
      <c r="H66" s="39">
        <v>0</v>
      </c>
      <c r="I66" s="106">
        <v>0</v>
      </c>
      <c r="J66" s="178">
        <v>0</v>
      </c>
      <c r="K66" s="447"/>
      <c r="L66" s="39"/>
      <c r="M66" s="39"/>
      <c r="N66" s="106">
        <f t="shared" si="71"/>
        <v>0</v>
      </c>
      <c r="O66" s="178">
        <f t="shared" si="72"/>
        <v>0</v>
      </c>
      <c r="P66" s="79"/>
      <c r="Q66" s="39"/>
      <c r="R66" s="39"/>
      <c r="S66" s="106">
        <f t="shared" si="73"/>
        <v>0</v>
      </c>
      <c r="T66" s="178">
        <f t="shared" si="2"/>
        <v>0</v>
      </c>
      <c r="U66" s="79"/>
      <c r="V66" s="39"/>
      <c r="W66" s="39"/>
      <c r="X66" s="106">
        <f t="shared" si="74"/>
        <v>0</v>
      </c>
      <c r="Y66" s="178" t="e">
        <f t="shared" si="63"/>
        <v>#DIV/0!</v>
      </c>
      <c r="Z66" s="79"/>
      <c r="AA66" s="39"/>
      <c r="AB66" s="39"/>
      <c r="AC66" s="106">
        <f t="shared" si="75"/>
        <v>0</v>
      </c>
      <c r="AD66" s="178" t="e">
        <f t="shared" si="3"/>
        <v>#DIV/0!</v>
      </c>
      <c r="AE66" s="79"/>
      <c r="AF66" s="39"/>
      <c r="AG66" s="39"/>
      <c r="AH66" s="106">
        <f t="shared" si="76"/>
        <v>0</v>
      </c>
      <c r="AI66" s="178" t="e">
        <f t="shared" si="64"/>
        <v>#DIV/0!</v>
      </c>
      <c r="AJ66" s="79"/>
      <c r="AK66" s="39"/>
      <c r="AL66" s="39"/>
      <c r="AM66" s="106">
        <f t="shared" si="77"/>
        <v>0</v>
      </c>
      <c r="AN66" s="178" t="e">
        <f t="shared" si="65"/>
        <v>#DIV/0!</v>
      </c>
      <c r="AO66" s="79"/>
      <c r="AP66" s="39"/>
      <c r="AQ66" s="39"/>
      <c r="AR66" s="106">
        <f t="shared" si="78"/>
        <v>0</v>
      </c>
      <c r="AS66" s="178" t="e">
        <f t="shared" si="66"/>
        <v>#DIV/0!</v>
      </c>
      <c r="AT66" s="79"/>
      <c r="AU66" s="39"/>
      <c r="AV66" s="39"/>
      <c r="AW66" s="106">
        <f t="shared" si="79"/>
        <v>0</v>
      </c>
      <c r="AX66" s="178">
        <f t="shared" si="67"/>
        <v>0</v>
      </c>
      <c r="AY66" s="79"/>
      <c r="AZ66" s="39"/>
      <c r="BA66" s="39"/>
      <c r="BB66" s="106">
        <f t="shared" si="80"/>
        <v>0</v>
      </c>
      <c r="BC66" s="178" t="e">
        <f t="shared" si="68"/>
        <v>#DIV/0!</v>
      </c>
      <c r="BD66" s="79"/>
      <c r="BE66" s="39">
        <f t="shared" si="81"/>
        <v>0</v>
      </c>
      <c r="BF66" s="39">
        <f t="shared" si="82"/>
        <v>0</v>
      </c>
      <c r="BG66" s="106">
        <f t="shared" si="83"/>
        <v>0</v>
      </c>
      <c r="BH66" s="178">
        <f t="shared" si="69"/>
        <v>0</v>
      </c>
      <c r="BI66" s="79"/>
      <c r="BJ66" s="842"/>
      <c r="BK66" s="842"/>
      <c r="BM66" s="842"/>
      <c r="BN66" s="842"/>
    </row>
    <row r="67" spans="1:66" s="2" customFormat="1" ht="102" customHeight="1" outlineLevel="2">
      <c r="A67" s="237"/>
      <c r="B67" s="19" t="s">
        <v>3</v>
      </c>
      <c r="C67" s="113"/>
      <c r="D67" s="128"/>
      <c r="E67" s="120">
        <f t="shared" si="70"/>
        <v>0</v>
      </c>
      <c r="F67" s="178">
        <f t="shared" si="84"/>
        <v>0</v>
      </c>
      <c r="G67" s="39">
        <v>0</v>
      </c>
      <c r="H67" s="39">
        <v>0</v>
      </c>
      <c r="I67" s="106">
        <v>0</v>
      </c>
      <c r="J67" s="178">
        <v>0</v>
      </c>
      <c r="K67" s="447"/>
      <c r="L67" s="39"/>
      <c r="M67" s="39"/>
      <c r="N67" s="106">
        <f t="shared" si="71"/>
        <v>0</v>
      </c>
      <c r="O67" s="178">
        <f t="shared" si="72"/>
        <v>0</v>
      </c>
      <c r="P67" s="79"/>
      <c r="Q67" s="39"/>
      <c r="R67" s="39"/>
      <c r="S67" s="106">
        <f t="shared" si="73"/>
        <v>0</v>
      </c>
      <c r="T67" s="178">
        <f t="shared" si="2"/>
        <v>0</v>
      </c>
      <c r="U67" s="79"/>
      <c r="V67" s="39"/>
      <c r="W67" s="39"/>
      <c r="X67" s="106">
        <f t="shared" si="74"/>
        <v>0</v>
      </c>
      <c r="Y67" s="178" t="e">
        <f t="shared" si="63"/>
        <v>#DIV/0!</v>
      </c>
      <c r="Z67" s="79"/>
      <c r="AA67" s="39"/>
      <c r="AB67" s="39"/>
      <c r="AC67" s="106">
        <f t="shared" si="75"/>
        <v>0</v>
      </c>
      <c r="AD67" s="178" t="e">
        <f t="shared" si="3"/>
        <v>#DIV/0!</v>
      </c>
      <c r="AE67" s="79"/>
      <c r="AF67" s="39"/>
      <c r="AG67" s="39"/>
      <c r="AH67" s="106">
        <f t="shared" si="76"/>
        <v>0</v>
      </c>
      <c r="AI67" s="178" t="e">
        <f t="shared" si="64"/>
        <v>#DIV/0!</v>
      </c>
      <c r="AJ67" s="79"/>
      <c r="AK67" s="39"/>
      <c r="AL67" s="39"/>
      <c r="AM67" s="106">
        <f t="shared" si="77"/>
        <v>0</v>
      </c>
      <c r="AN67" s="178" t="e">
        <f t="shared" si="65"/>
        <v>#DIV/0!</v>
      </c>
      <c r="AO67" s="79"/>
      <c r="AP67" s="39"/>
      <c r="AQ67" s="39"/>
      <c r="AR67" s="106">
        <f t="shared" si="78"/>
        <v>0</v>
      </c>
      <c r="AS67" s="178" t="e">
        <f t="shared" si="66"/>
        <v>#DIV/0!</v>
      </c>
      <c r="AT67" s="79"/>
      <c r="AU67" s="39"/>
      <c r="AV67" s="39"/>
      <c r="AW67" s="106">
        <f t="shared" si="79"/>
        <v>0</v>
      </c>
      <c r="AX67" s="178">
        <f t="shared" si="67"/>
        <v>0</v>
      </c>
      <c r="AY67" s="79"/>
      <c r="AZ67" s="39"/>
      <c r="BA67" s="39"/>
      <c r="BB67" s="106">
        <f t="shared" si="80"/>
        <v>0</v>
      </c>
      <c r="BC67" s="178" t="e">
        <f t="shared" si="68"/>
        <v>#DIV/0!</v>
      </c>
      <c r="BD67" s="79"/>
      <c r="BE67" s="39">
        <f t="shared" si="81"/>
        <v>0</v>
      </c>
      <c r="BF67" s="39">
        <f t="shared" si="82"/>
        <v>0</v>
      </c>
      <c r="BG67" s="106">
        <f t="shared" si="83"/>
        <v>0</v>
      </c>
      <c r="BH67" s="178">
        <f t="shared" si="69"/>
        <v>0</v>
      </c>
      <c r="BI67" s="79"/>
      <c r="BJ67" s="842"/>
      <c r="BK67" s="842"/>
      <c r="BM67" s="842"/>
      <c r="BN67" s="842"/>
    </row>
    <row r="68" spans="1:66" s="2" customFormat="1" ht="13.95" customHeight="1" outlineLevel="2">
      <c r="A68" s="237"/>
      <c r="B68" s="19" t="s">
        <v>5</v>
      </c>
      <c r="C68" s="113"/>
      <c r="D68" s="128">
        <v>2500</v>
      </c>
      <c r="E68" s="120">
        <f t="shared" si="70"/>
        <v>2500</v>
      </c>
      <c r="F68" s="178">
        <f t="shared" si="84"/>
        <v>5.888300817743664E-4</v>
      </c>
      <c r="G68" s="39">
        <v>200</v>
      </c>
      <c r="H68" s="39">
        <v>9010.7799999999988</v>
      </c>
      <c r="I68" s="106">
        <v>9210.7799999999988</v>
      </c>
      <c r="J68" s="178">
        <v>8.1699629693958616E-4</v>
      </c>
      <c r="K68" s="447"/>
      <c r="L68" s="39"/>
      <c r="M68" s="39">
        <v>536.75</v>
      </c>
      <c r="N68" s="106">
        <f t="shared" si="71"/>
        <v>536.75</v>
      </c>
      <c r="O68" s="178">
        <f t="shared" si="72"/>
        <v>1.7972656760306654E-2</v>
      </c>
      <c r="P68" s="79"/>
      <c r="Q68" s="39"/>
      <c r="R68" s="39"/>
      <c r="S68" s="106">
        <f t="shared" si="73"/>
        <v>0</v>
      </c>
      <c r="T68" s="178">
        <f t="shared" si="2"/>
        <v>0</v>
      </c>
      <c r="U68" s="79"/>
      <c r="V68" s="39"/>
      <c r="W68" s="39"/>
      <c r="X68" s="106">
        <f t="shared" si="74"/>
        <v>0</v>
      </c>
      <c r="Y68" s="178" t="e">
        <f t="shared" si="63"/>
        <v>#DIV/0!</v>
      </c>
      <c r="Z68" s="79"/>
      <c r="AA68" s="39"/>
      <c r="AB68" s="39"/>
      <c r="AC68" s="106">
        <f t="shared" si="75"/>
        <v>0</v>
      </c>
      <c r="AD68" s="178" t="e">
        <f t="shared" si="3"/>
        <v>#DIV/0!</v>
      </c>
      <c r="AE68" s="79"/>
      <c r="AF68" s="39"/>
      <c r="AG68" s="39"/>
      <c r="AH68" s="106">
        <f t="shared" si="76"/>
        <v>0</v>
      </c>
      <c r="AI68" s="178" t="e">
        <f t="shared" si="64"/>
        <v>#DIV/0!</v>
      </c>
      <c r="AJ68" s="79"/>
      <c r="AK68" s="39"/>
      <c r="AL68" s="39"/>
      <c r="AM68" s="106">
        <f t="shared" si="77"/>
        <v>0</v>
      </c>
      <c r="AN68" s="178" t="e">
        <f t="shared" si="65"/>
        <v>#DIV/0!</v>
      </c>
      <c r="AO68" s="79"/>
      <c r="AP68" s="39"/>
      <c r="AQ68" s="39"/>
      <c r="AR68" s="106">
        <f t="shared" si="78"/>
        <v>0</v>
      </c>
      <c r="AS68" s="178" t="e">
        <f t="shared" si="66"/>
        <v>#DIV/0!</v>
      </c>
      <c r="AT68" s="79"/>
      <c r="AU68" s="39"/>
      <c r="AV68" s="39"/>
      <c r="AW68" s="106">
        <f t="shared" si="79"/>
        <v>0</v>
      </c>
      <c r="AX68" s="178">
        <f t="shared" si="67"/>
        <v>0</v>
      </c>
      <c r="AY68" s="79"/>
      <c r="AZ68" s="39"/>
      <c r="BA68" s="39"/>
      <c r="BB68" s="106">
        <f t="shared" si="80"/>
        <v>0</v>
      </c>
      <c r="BC68" s="178" t="e">
        <f t="shared" si="68"/>
        <v>#DIV/0!</v>
      </c>
      <c r="BD68" s="79"/>
      <c r="BE68" s="39">
        <f t="shared" si="81"/>
        <v>200</v>
      </c>
      <c r="BF68" s="39">
        <f t="shared" si="82"/>
        <v>9547.5299999999988</v>
      </c>
      <c r="BG68" s="106">
        <f t="shared" si="83"/>
        <v>9747.5299999999988</v>
      </c>
      <c r="BH68" s="178">
        <f t="shared" si="69"/>
        <v>8.5305639159529074E-4</v>
      </c>
      <c r="BI68" s="79"/>
      <c r="BJ68" s="842"/>
      <c r="BK68" s="842"/>
      <c r="BM68" s="842"/>
      <c r="BN68" s="842"/>
    </row>
    <row r="69" spans="1:66" s="2" customFormat="1" ht="13.8" outlineLevel="2">
      <c r="A69" s="237"/>
      <c r="B69" s="19" t="s">
        <v>42</v>
      </c>
      <c r="C69" s="113"/>
      <c r="D69" s="128"/>
      <c r="E69" s="120">
        <f t="shared" si="70"/>
        <v>0</v>
      </c>
      <c r="F69" s="178">
        <f t="shared" si="84"/>
        <v>0</v>
      </c>
      <c r="G69" s="39">
        <v>21147.61</v>
      </c>
      <c r="H69" s="39">
        <v>0</v>
      </c>
      <c r="I69" s="106">
        <v>21147.61</v>
      </c>
      <c r="J69" s="178">
        <v>1.8757932617131845E-3</v>
      </c>
      <c r="K69" s="447"/>
      <c r="L69" s="39"/>
      <c r="M69" s="39"/>
      <c r="N69" s="106">
        <f t="shared" si="71"/>
        <v>0</v>
      </c>
      <c r="O69" s="178">
        <f t="shared" si="72"/>
        <v>0</v>
      </c>
      <c r="P69" s="388"/>
      <c r="Q69" s="39"/>
      <c r="R69" s="39"/>
      <c r="S69" s="106">
        <f t="shared" si="73"/>
        <v>0</v>
      </c>
      <c r="T69" s="178">
        <f t="shared" si="2"/>
        <v>0</v>
      </c>
      <c r="U69" s="388"/>
      <c r="V69" s="39"/>
      <c r="W69" s="39"/>
      <c r="X69" s="106">
        <f t="shared" si="74"/>
        <v>0</v>
      </c>
      <c r="Y69" s="178" t="e">
        <f t="shared" si="63"/>
        <v>#DIV/0!</v>
      </c>
      <c r="Z69" s="388"/>
      <c r="AA69" s="39"/>
      <c r="AB69" s="39"/>
      <c r="AC69" s="106">
        <f t="shared" si="75"/>
        <v>0</v>
      </c>
      <c r="AD69" s="178" t="e">
        <f t="shared" si="3"/>
        <v>#DIV/0!</v>
      </c>
      <c r="AE69" s="388"/>
      <c r="AF69" s="39"/>
      <c r="AG69" s="39"/>
      <c r="AH69" s="106">
        <f t="shared" si="76"/>
        <v>0</v>
      </c>
      <c r="AI69" s="178" t="e">
        <f t="shared" si="64"/>
        <v>#DIV/0!</v>
      </c>
      <c r="AJ69" s="388"/>
      <c r="AK69" s="39"/>
      <c r="AL69" s="39"/>
      <c r="AM69" s="106">
        <f t="shared" si="77"/>
        <v>0</v>
      </c>
      <c r="AN69" s="178" t="e">
        <f t="shared" si="65"/>
        <v>#DIV/0!</v>
      </c>
      <c r="AO69" s="388"/>
      <c r="AP69" s="39"/>
      <c r="AQ69" s="39"/>
      <c r="AR69" s="106">
        <f t="shared" si="78"/>
        <v>0</v>
      </c>
      <c r="AS69" s="178" t="e">
        <f t="shared" si="66"/>
        <v>#DIV/0!</v>
      </c>
      <c r="AT69" s="388"/>
      <c r="AU69" s="39"/>
      <c r="AV69" s="39"/>
      <c r="AW69" s="106">
        <f t="shared" si="79"/>
        <v>0</v>
      </c>
      <c r="AX69" s="178">
        <f t="shared" si="67"/>
        <v>0</v>
      </c>
      <c r="AY69" s="388"/>
      <c r="AZ69" s="39"/>
      <c r="BA69" s="39"/>
      <c r="BB69" s="106">
        <f t="shared" si="80"/>
        <v>0</v>
      </c>
      <c r="BC69" s="178" t="e">
        <f t="shared" si="68"/>
        <v>#DIV/0!</v>
      </c>
      <c r="BD69" s="388"/>
      <c r="BE69" s="39">
        <f t="shared" si="81"/>
        <v>21147.61</v>
      </c>
      <c r="BF69" s="39">
        <f t="shared" si="82"/>
        <v>0</v>
      </c>
      <c r="BG69" s="106">
        <f t="shared" si="83"/>
        <v>21147.61</v>
      </c>
      <c r="BH69" s="178">
        <f t="shared" si="69"/>
        <v>1.8507359174544206E-3</v>
      </c>
      <c r="BI69" s="79"/>
      <c r="BJ69" s="842"/>
      <c r="BK69" s="842"/>
      <c r="BM69" s="842"/>
      <c r="BN69" s="842"/>
    </row>
    <row r="70" spans="1:66" s="2" customFormat="1" ht="38.4" customHeight="1" outlineLevel="2">
      <c r="A70" s="237"/>
      <c r="B70" s="19" t="s">
        <v>6</v>
      </c>
      <c r="C70" s="113"/>
      <c r="D70" s="128"/>
      <c r="E70" s="120">
        <f t="shared" si="70"/>
        <v>0</v>
      </c>
      <c r="F70" s="178">
        <f t="shared" si="84"/>
        <v>0</v>
      </c>
      <c r="G70" s="39">
        <v>0</v>
      </c>
      <c r="H70" s="39">
        <v>0</v>
      </c>
      <c r="I70" s="106">
        <v>0</v>
      </c>
      <c r="J70" s="178">
        <v>0</v>
      </c>
      <c r="K70" s="447"/>
      <c r="L70" s="39"/>
      <c r="M70" s="39"/>
      <c r="N70" s="106">
        <f t="shared" si="71"/>
        <v>0</v>
      </c>
      <c r="O70" s="178">
        <f t="shared" si="72"/>
        <v>0</v>
      </c>
      <c r="P70" s="79"/>
      <c r="Q70" s="39"/>
      <c r="R70" s="39"/>
      <c r="S70" s="106">
        <f t="shared" si="73"/>
        <v>0</v>
      </c>
      <c r="T70" s="178">
        <f t="shared" si="2"/>
        <v>0</v>
      </c>
      <c r="U70" s="79"/>
      <c r="V70" s="39"/>
      <c r="W70" s="39"/>
      <c r="X70" s="106">
        <f t="shared" si="74"/>
        <v>0</v>
      </c>
      <c r="Y70" s="178" t="e">
        <f t="shared" si="63"/>
        <v>#DIV/0!</v>
      </c>
      <c r="Z70" s="79"/>
      <c r="AA70" s="39"/>
      <c r="AB70" s="39"/>
      <c r="AC70" s="106">
        <f t="shared" si="75"/>
        <v>0</v>
      </c>
      <c r="AD70" s="178" t="e">
        <f t="shared" si="3"/>
        <v>#DIV/0!</v>
      </c>
      <c r="AE70" s="388"/>
      <c r="AF70" s="39"/>
      <c r="AG70" s="39"/>
      <c r="AH70" s="106">
        <f t="shared" si="76"/>
        <v>0</v>
      </c>
      <c r="AI70" s="178" t="e">
        <f t="shared" si="64"/>
        <v>#DIV/0!</v>
      </c>
      <c r="AJ70" s="388"/>
      <c r="AK70" s="39"/>
      <c r="AL70" s="39"/>
      <c r="AM70" s="106">
        <f t="shared" si="77"/>
        <v>0</v>
      </c>
      <c r="AN70" s="178" t="e">
        <f t="shared" si="65"/>
        <v>#DIV/0!</v>
      </c>
      <c r="AO70" s="388"/>
      <c r="AP70" s="39"/>
      <c r="AQ70" s="39"/>
      <c r="AR70" s="106">
        <f t="shared" si="78"/>
        <v>0</v>
      </c>
      <c r="AS70" s="178" t="e">
        <f t="shared" si="66"/>
        <v>#DIV/0!</v>
      </c>
      <c r="AT70" s="388"/>
      <c r="AU70" s="39"/>
      <c r="AV70" s="39"/>
      <c r="AW70" s="106">
        <f t="shared" si="79"/>
        <v>0</v>
      </c>
      <c r="AX70" s="178">
        <f t="shared" si="67"/>
        <v>0</v>
      </c>
      <c r="AY70" s="388"/>
      <c r="AZ70" s="39"/>
      <c r="BA70" s="39"/>
      <c r="BB70" s="106">
        <f t="shared" si="80"/>
        <v>0</v>
      </c>
      <c r="BC70" s="178" t="e">
        <f t="shared" si="68"/>
        <v>#DIV/0!</v>
      </c>
      <c r="BD70" s="388"/>
      <c r="BE70" s="39">
        <f t="shared" si="81"/>
        <v>0</v>
      </c>
      <c r="BF70" s="39">
        <f t="shared" si="82"/>
        <v>0</v>
      </c>
      <c r="BG70" s="106">
        <f t="shared" si="83"/>
        <v>0</v>
      </c>
      <c r="BH70" s="178">
        <f t="shared" si="69"/>
        <v>0</v>
      </c>
      <c r="BI70" s="79"/>
      <c r="BJ70" s="842"/>
      <c r="BK70" s="842"/>
      <c r="BM70" s="842"/>
      <c r="BN70" s="842"/>
    </row>
    <row r="71" spans="1:66" s="2" customFormat="1" ht="22.2" customHeight="1" outlineLevel="2">
      <c r="A71" s="237"/>
      <c r="B71" s="19" t="s">
        <v>78</v>
      </c>
      <c r="C71" s="113"/>
      <c r="D71" s="128"/>
      <c r="E71" s="120">
        <f t="shared" si="70"/>
        <v>0</v>
      </c>
      <c r="F71" s="184">
        <f t="shared" si="84"/>
        <v>0</v>
      </c>
      <c r="G71" s="39">
        <v>24891.648000000001</v>
      </c>
      <c r="H71" s="39">
        <v>0</v>
      </c>
      <c r="I71" s="106">
        <v>24891.648000000001</v>
      </c>
      <c r="J71" s="178">
        <v>2.2078894774083912E-3</v>
      </c>
      <c r="K71" s="851"/>
      <c r="L71" s="39"/>
      <c r="M71" s="39"/>
      <c r="N71" s="106">
        <f t="shared" si="71"/>
        <v>0</v>
      </c>
      <c r="O71" s="178">
        <f t="shared" si="72"/>
        <v>0</v>
      </c>
      <c r="P71" s="79"/>
      <c r="Q71" s="39"/>
      <c r="R71" s="39"/>
      <c r="S71" s="106">
        <f t="shared" si="73"/>
        <v>0</v>
      </c>
      <c r="T71" s="178">
        <f t="shared" si="2"/>
        <v>0</v>
      </c>
      <c r="U71" s="79"/>
      <c r="V71" s="39"/>
      <c r="W71" s="39"/>
      <c r="X71" s="106">
        <f t="shared" si="74"/>
        <v>0</v>
      </c>
      <c r="Y71" s="178" t="e">
        <f t="shared" si="63"/>
        <v>#DIV/0!</v>
      </c>
      <c r="Z71" s="79"/>
      <c r="AA71" s="39"/>
      <c r="AB71" s="39"/>
      <c r="AC71" s="106">
        <f t="shared" si="75"/>
        <v>0</v>
      </c>
      <c r="AD71" s="178" t="e">
        <f t="shared" si="3"/>
        <v>#DIV/0!</v>
      </c>
      <c r="AE71" s="79"/>
      <c r="AF71" s="39"/>
      <c r="AG71" s="39"/>
      <c r="AH71" s="106">
        <f t="shared" si="76"/>
        <v>0</v>
      </c>
      <c r="AI71" s="178" t="e">
        <f t="shared" si="64"/>
        <v>#DIV/0!</v>
      </c>
      <c r="AJ71" s="79"/>
      <c r="AK71" s="39"/>
      <c r="AL71" s="39"/>
      <c r="AM71" s="106">
        <f t="shared" si="77"/>
        <v>0</v>
      </c>
      <c r="AN71" s="178" t="e">
        <f t="shared" si="65"/>
        <v>#DIV/0!</v>
      </c>
      <c r="AO71" s="79"/>
      <c r="AP71" s="39"/>
      <c r="AQ71" s="39"/>
      <c r="AR71" s="106">
        <f t="shared" si="78"/>
        <v>0</v>
      </c>
      <c r="AS71" s="178" t="e">
        <f t="shared" si="66"/>
        <v>#DIV/0!</v>
      </c>
      <c r="AT71" s="79"/>
      <c r="AU71" s="39"/>
      <c r="AV71" s="39"/>
      <c r="AW71" s="106">
        <f t="shared" si="79"/>
        <v>0</v>
      </c>
      <c r="AX71" s="178">
        <f t="shared" si="67"/>
        <v>0</v>
      </c>
      <c r="AY71" s="79"/>
      <c r="AZ71" s="39"/>
      <c r="BA71" s="39"/>
      <c r="BB71" s="106">
        <f t="shared" si="80"/>
        <v>0</v>
      </c>
      <c r="BC71" s="178" t="e">
        <f t="shared" si="68"/>
        <v>#DIV/0!</v>
      </c>
      <c r="BD71" s="79"/>
      <c r="BE71" s="39">
        <f t="shared" si="81"/>
        <v>24891.648000000001</v>
      </c>
      <c r="BF71" s="39">
        <f t="shared" si="82"/>
        <v>0</v>
      </c>
      <c r="BG71" s="106">
        <f t="shared" si="83"/>
        <v>24891.648000000001</v>
      </c>
      <c r="BH71" s="178">
        <f t="shared" si="69"/>
        <v>2.1783959037561455E-3</v>
      </c>
      <c r="BI71" s="79"/>
      <c r="BJ71" s="842"/>
      <c r="BK71" s="842"/>
      <c r="BM71" s="842"/>
      <c r="BN71" s="842"/>
    </row>
    <row r="72" spans="1:66" s="2" customFormat="1" ht="14.4" outlineLevel="2" thickBot="1">
      <c r="A72" s="237"/>
      <c r="B72" s="19"/>
      <c r="C72" s="130"/>
      <c r="D72" s="131"/>
      <c r="E72" s="159">
        <f t="shared" si="70"/>
        <v>0</v>
      </c>
      <c r="F72" s="184">
        <f t="shared" si="84"/>
        <v>0</v>
      </c>
      <c r="G72" s="39">
        <v>0</v>
      </c>
      <c r="H72" s="39">
        <v>0</v>
      </c>
      <c r="I72" s="106">
        <v>0</v>
      </c>
      <c r="J72" s="178">
        <v>0</v>
      </c>
      <c r="K72" s="851"/>
      <c r="L72" s="39"/>
      <c r="M72" s="39"/>
      <c r="N72" s="106"/>
      <c r="O72" s="178">
        <f t="shared" si="72"/>
        <v>0</v>
      </c>
      <c r="P72" s="79"/>
      <c r="Q72" s="39"/>
      <c r="R72" s="39"/>
      <c r="S72" s="106"/>
      <c r="T72" s="178">
        <f>S72/$S$89</f>
        <v>0</v>
      </c>
      <c r="U72" s="79"/>
      <c r="V72" s="39"/>
      <c r="W72" s="39"/>
      <c r="X72" s="106"/>
      <c r="Y72" s="178">
        <f>X72/$S$89</f>
        <v>0</v>
      </c>
      <c r="Z72" s="79"/>
      <c r="AA72" s="39"/>
      <c r="AB72" s="39"/>
      <c r="AC72" s="106"/>
      <c r="AD72" s="178">
        <f>AC72/$S$89</f>
        <v>0</v>
      </c>
      <c r="AE72" s="79"/>
      <c r="AF72" s="39"/>
      <c r="AG72" s="39"/>
      <c r="AH72" s="106"/>
      <c r="AI72" s="178">
        <f>AH72/$S$89</f>
        <v>0</v>
      </c>
      <c r="AJ72" s="79"/>
      <c r="AK72" s="39"/>
      <c r="AL72" s="39"/>
      <c r="AM72" s="106"/>
      <c r="AN72" s="178">
        <f>AM72/$S$89</f>
        <v>0</v>
      </c>
      <c r="AO72" s="79"/>
      <c r="AP72" s="39"/>
      <c r="AQ72" s="39"/>
      <c r="AR72" s="106"/>
      <c r="AS72" s="178">
        <f>AR72/$S$89</f>
        <v>0</v>
      </c>
      <c r="AT72" s="79"/>
      <c r="AU72" s="39"/>
      <c r="AV72" s="39"/>
      <c r="AW72" s="106"/>
      <c r="AX72" s="178">
        <f>AW72/$S$89</f>
        <v>0</v>
      </c>
      <c r="AY72" s="79"/>
      <c r="AZ72" s="39"/>
      <c r="BA72" s="39"/>
      <c r="BB72" s="106"/>
      <c r="BC72" s="178">
        <f>BB72/$S$89</f>
        <v>0</v>
      </c>
      <c r="BD72" s="79"/>
      <c r="BE72" s="39">
        <f>L72</f>
        <v>0</v>
      </c>
      <c r="BF72" s="39">
        <f>M72</f>
        <v>0</v>
      </c>
      <c r="BG72" s="106">
        <f t="shared" si="83"/>
        <v>0</v>
      </c>
      <c r="BH72" s="178">
        <f t="shared" si="69"/>
        <v>0</v>
      </c>
      <c r="BI72" s="79"/>
      <c r="BJ72" s="842"/>
      <c r="BK72" s="842"/>
    </row>
    <row r="73" spans="1:66" s="2" customFormat="1" ht="14.4" outlineLevel="1" thickBot="1">
      <c r="A73" s="237"/>
      <c r="B73" s="13" t="s">
        <v>4</v>
      </c>
      <c r="C73" s="132">
        <f>C74</f>
        <v>164292</v>
      </c>
      <c r="D73" s="133">
        <f>D74</f>
        <v>0</v>
      </c>
      <c r="E73" s="132">
        <f>E74</f>
        <v>164292</v>
      </c>
      <c r="F73" s="171">
        <f>E73/$E$89</f>
        <v>3.8696028717949686E-2</v>
      </c>
      <c r="G73" s="139">
        <v>0</v>
      </c>
      <c r="H73" s="63">
        <v>0</v>
      </c>
      <c r="I73" s="60">
        <v>0</v>
      </c>
      <c r="J73" s="63"/>
      <c r="K73" s="960"/>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139">
        <f>AF74</f>
        <v>0</v>
      </c>
      <c r="AG73" s="63">
        <f>AG74</f>
        <v>0</v>
      </c>
      <c r="AH73" s="60">
        <f>AH74</f>
        <v>0</v>
      </c>
      <c r="AI73" s="63"/>
      <c r="AJ73" s="63"/>
      <c r="AK73" s="139">
        <f>AK74</f>
        <v>0</v>
      </c>
      <c r="AL73" s="63">
        <f>AL74</f>
        <v>0</v>
      </c>
      <c r="AM73" s="60">
        <f>AM74</f>
        <v>0</v>
      </c>
      <c r="AN73" s="63"/>
      <c r="AO73" s="63"/>
      <c r="AP73" s="139">
        <f>AP74</f>
        <v>0</v>
      </c>
      <c r="AQ73" s="63">
        <f>AQ74</f>
        <v>0</v>
      </c>
      <c r="AR73" s="60">
        <f>AR74</f>
        <v>0</v>
      </c>
      <c r="AS73" s="63"/>
      <c r="AT73" s="63"/>
      <c r="AU73" s="139">
        <f>AU74</f>
        <v>0</v>
      </c>
      <c r="AV73" s="63">
        <f>AV74</f>
        <v>0</v>
      </c>
      <c r="AW73" s="60">
        <f>AW74</f>
        <v>0</v>
      </c>
      <c r="AX73" s="63"/>
      <c r="AY73" s="63"/>
      <c r="AZ73" s="139">
        <f>AZ74</f>
        <v>0</v>
      </c>
      <c r="BA73" s="63">
        <f>BA74</f>
        <v>0</v>
      </c>
      <c r="BB73" s="60">
        <f>BB74</f>
        <v>0</v>
      </c>
      <c r="BC73" s="63"/>
      <c r="BD73" s="63"/>
      <c r="BE73" s="139">
        <f>BE74</f>
        <v>0</v>
      </c>
      <c r="BF73" s="63">
        <f>BF74</f>
        <v>0</v>
      </c>
      <c r="BG73" s="60">
        <f>BG74</f>
        <v>0</v>
      </c>
      <c r="BH73" s="63"/>
      <c r="BI73" s="63"/>
      <c r="BJ73" s="842"/>
      <c r="BK73" s="842"/>
    </row>
    <row r="74" spans="1:66" s="226" customFormat="1" ht="14.4" outlineLevel="1" thickBot="1">
      <c r="A74" s="320"/>
      <c r="B74" s="225" t="s">
        <v>64</v>
      </c>
      <c r="C74" s="113">
        <v>164292</v>
      </c>
      <c r="D74" s="135"/>
      <c r="E74" s="136">
        <f>C74+D74</f>
        <v>164292</v>
      </c>
      <c r="F74" s="185"/>
      <c r="G74" s="39">
        <v>0</v>
      </c>
      <c r="H74" s="39">
        <v>0</v>
      </c>
      <c r="I74" s="64">
        <v>0</v>
      </c>
      <c r="J74" s="64"/>
      <c r="K74" s="961"/>
      <c r="L74" s="39">
        <f>L6*3%</f>
        <v>0</v>
      </c>
      <c r="M74" s="39"/>
      <c r="N74" s="64">
        <f>L74+M74*1</f>
        <v>0</v>
      </c>
      <c r="O74" s="64"/>
      <c r="P74" s="64"/>
      <c r="Q74" s="39"/>
      <c r="R74" s="39"/>
      <c r="S74" s="616">
        <f>Q74+R74*1</f>
        <v>0</v>
      </c>
      <c r="T74" s="64"/>
      <c r="U74" s="64"/>
      <c r="V74" s="39"/>
      <c r="W74" s="39"/>
      <c r="X74" s="616">
        <f>V74+W74*1</f>
        <v>0</v>
      </c>
      <c r="Y74" s="64"/>
      <c r="Z74" s="64"/>
      <c r="AA74" s="39"/>
      <c r="AB74" s="39"/>
      <c r="AC74" s="616">
        <f>AA74+AB74*1</f>
        <v>0</v>
      </c>
      <c r="AD74" s="64"/>
      <c r="AE74" s="64"/>
      <c r="AF74" s="39"/>
      <c r="AG74" s="39"/>
      <c r="AH74" s="616">
        <f>AF74+AG74*1</f>
        <v>0</v>
      </c>
      <c r="AI74" s="64"/>
      <c r="AJ74" s="64"/>
      <c r="AK74" s="39"/>
      <c r="AL74" s="39"/>
      <c r="AM74" s="616">
        <f>AK74+AL74*1</f>
        <v>0</v>
      </c>
      <c r="AN74" s="64"/>
      <c r="AO74" s="64"/>
      <c r="AP74" s="39"/>
      <c r="AQ74" s="39"/>
      <c r="AR74" s="616">
        <f>AP74+AQ74*1</f>
        <v>0</v>
      </c>
      <c r="AS74" s="64"/>
      <c r="AT74" s="64"/>
      <c r="AU74" s="39"/>
      <c r="AV74" s="39"/>
      <c r="AW74" s="616">
        <f>AU74+AV74*1</f>
        <v>0</v>
      </c>
      <c r="AX74" s="64"/>
      <c r="AY74" s="64"/>
      <c r="AZ74" s="39"/>
      <c r="BA74" s="39"/>
      <c r="BB74" s="616">
        <f>AZ74+BA74*1</f>
        <v>0</v>
      </c>
      <c r="BC74" s="64"/>
      <c r="BD74" s="64"/>
      <c r="BE74" s="39">
        <f>L74+Q74</f>
        <v>0</v>
      </c>
      <c r="BF74" s="39">
        <f>M74+R74</f>
        <v>0</v>
      </c>
      <c r="BG74" s="106">
        <f>BE74+BF74</f>
        <v>0</v>
      </c>
      <c r="BH74" s="64"/>
      <c r="BI74" s="64"/>
      <c r="BJ74" s="916"/>
      <c r="BK74" s="916"/>
      <c r="BM74" s="842"/>
      <c r="BN74" s="842"/>
    </row>
    <row r="75" spans="1:66" s="2" customFormat="1" ht="14.4" thickBot="1">
      <c r="A75" s="5"/>
      <c r="B75" s="23" t="s">
        <v>48</v>
      </c>
      <c r="C75" s="137">
        <f>C38-C41-C50-C54</f>
        <v>3297514</v>
      </c>
      <c r="D75" s="137">
        <f>D38-D41-D50-D54</f>
        <v>-1654381</v>
      </c>
      <c r="E75" s="138">
        <f>E38-E41-E50-E54</f>
        <v>1643133</v>
      </c>
      <c r="F75" s="172"/>
      <c r="G75" s="65">
        <v>9227026.4380000029</v>
      </c>
      <c r="H75" s="65">
        <v>-4245291.5200000005</v>
      </c>
      <c r="I75" s="138">
        <v>4981734.9180000052</v>
      </c>
      <c r="J75" s="66"/>
      <c r="K75" s="962"/>
      <c r="L75" s="65">
        <f>L38-L41-L50-L54</f>
        <v>-7642.11</v>
      </c>
      <c r="M75" s="65">
        <f>M38-M41-M50-M54</f>
        <v>-19333.75</v>
      </c>
      <c r="N75" s="138">
        <f>N38-N41-N50-N54</f>
        <v>-26975.86</v>
      </c>
      <c r="O75" s="66"/>
      <c r="P75" s="66"/>
      <c r="Q75" s="65">
        <f>Q38-Q41-Q50-Q54</f>
        <v>288903.43200000003</v>
      </c>
      <c r="R75" s="65">
        <f>R38-R41-R50-R54</f>
        <v>-90781.43</v>
      </c>
      <c r="S75" s="138">
        <f>S38-S41-S50-S54</f>
        <v>198122.00200000004</v>
      </c>
      <c r="T75" s="66"/>
      <c r="U75" s="66"/>
      <c r="V75" s="65">
        <f>V38-V41-V50-V54</f>
        <v>0</v>
      </c>
      <c r="W75" s="65">
        <f>W38-W41-W50-W54</f>
        <v>0</v>
      </c>
      <c r="X75" s="138">
        <f>X38-X41-X50-X54</f>
        <v>0</v>
      </c>
      <c r="Y75" s="66"/>
      <c r="Z75" s="66"/>
      <c r="AA75" s="65">
        <f>AA38-AA41-AA50-AA54</f>
        <v>0</v>
      </c>
      <c r="AB75" s="65">
        <f>AB38-AB41-AB50-AB54</f>
        <v>0</v>
      </c>
      <c r="AC75" s="138">
        <f>AC38-AC41-AC50-AC54</f>
        <v>0</v>
      </c>
      <c r="AD75" s="66"/>
      <c r="AE75" s="66"/>
      <c r="AF75" s="65">
        <f>AF38-AF41-AF50-AF54</f>
        <v>0</v>
      </c>
      <c r="AG75" s="65">
        <f>AG38-AG41-AG50-AG54</f>
        <v>0</v>
      </c>
      <c r="AH75" s="138">
        <f>AH38-AH41-AH50-AH54</f>
        <v>0</v>
      </c>
      <c r="AI75" s="66"/>
      <c r="AJ75" s="66"/>
      <c r="AK75" s="65">
        <f>AK38-AK41-AK50-AK54</f>
        <v>0</v>
      </c>
      <c r="AL75" s="65">
        <f>AL38-AL41-AL50-AL54</f>
        <v>0</v>
      </c>
      <c r="AM75" s="138">
        <f>AM38-AM41-AM50-AM54</f>
        <v>0</v>
      </c>
      <c r="AN75" s="66"/>
      <c r="AO75" s="66"/>
      <c r="AP75" s="65">
        <f>AP38-AP41-AP50-AP54</f>
        <v>0</v>
      </c>
      <c r="AQ75" s="65">
        <f>AQ38-AQ41-AQ50-AQ54</f>
        <v>0</v>
      </c>
      <c r="AR75" s="138">
        <f>AR38-AR41-AR50-AR54</f>
        <v>0</v>
      </c>
      <c r="AS75" s="66"/>
      <c r="AT75" s="66"/>
      <c r="AU75" s="65">
        <f>AU38-AU41-AU50-AU54</f>
        <v>6.9999999999708962E-2</v>
      </c>
      <c r="AV75" s="65">
        <f>AV38-AV41-AV50-AV54</f>
        <v>0</v>
      </c>
      <c r="AW75" s="138">
        <f>AW38-AW41-AW50-AW54</f>
        <v>6.9999999999708962E-2</v>
      </c>
      <c r="AX75" s="66"/>
      <c r="AY75" s="66"/>
      <c r="AZ75" s="65">
        <f>AZ38-AZ41-AZ50-AZ54</f>
        <v>0</v>
      </c>
      <c r="BA75" s="65">
        <f>BA38-BA41-BA50-BA54</f>
        <v>0</v>
      </c>
      <c r="BB75" s="138">
        <f>BB38-BB41-BB50-BB54</f>
        <v>0</v>
      </c>
      <c r="BC75" s="66"/>
      <c r="BD75" s="66"/>
      <c r="BE75" s="65">
        <f>BE38-BE41-BE50-BE54</f>
        <v>9511696.0900000017</v>
      </c>
      <c r="BF75" s="65">
        <f>BF38-BF41-BF50-BF54</f>
        <v>-4355406.7</v>
      </c>
      <c r="BG75" s="138">
        <f>BG38-BG41-BG50-BG54</f>
        <v>5156289.3900000053</v>
      </c>
      <c r="BH75" s="66"/>
      <c r="BI75" s="66"/>
      <c r="BJ75" s="842"/>
      <c r="BK75" s="842"/>
      <c r="BM75" s="842"/>
      <c r="BN75" s="842"/>
    </row>
    <row r="76" spans="1:66" s="2" customFormat="1" ht="13.8">
      <c r="A76" s="294"/>
      <c r="B76" s="36" t="s">
        <v>49</v>
      </c>
      <c r="C76" s="157">
        <f>C75/C5</f>
        <v>0.60213268190675207</v>
      </c>
      <c r="D76" s="157" t="e">
        <f>D75/D5</f>
        <v>#DIV/0!</v>
      </c>
      <c r="E76" s="158">
        <f>E75/E5</f>
        <v>0.30003938725339369</v>
      </c>
      <c r="F76" s="167"/>
      <c r="G76" s="54">
        <v>0.59635279714425671</v>
      </c>
      <c r="H76" s="54" t="e">
        <v>#DIV/0!</v>
      </c>
      <c r="I76" s="55">
        <v>0.32197496917809482</v>
      </c>
      <c r="J76" s="55"/>
      <c r="K76" s="957"/>
      <c r="L76" s="54" t="e">
        <f>L75/L5</f>
        <v>#DIV/0!</v>
      </c>
      <c r="M76" s="54" t="e">
        <f>M75/M5</f>
        <v>#DIV/0!</v>
      </c>
      <c r="N76" s="55" t="e">
        <f>N75/N5</f>
        <v>#DIV/0!</v>
      </c>
      <c r="O76" s="55"/>
      <c r="P76" s="55"/>
      <c r="Q76" s="54">
        <f>Q75/Q5</f>
        <v>0.9400380383874567</v>
      </c>
      <c r="R76" s="54" t="e">
        <f>R75/R5</f>
        <v>#DIV/0!</v>
      </c>
      <c r="S76" s="55">
        <f>S75/S5</f>
        <v>0.64465214840880047</v>
      </c>
      <c r="T76" s="55"/>
      <c r="U76" s="55"/>
      <c r="V76" s="54" t="e">
        <f>V75/V5</f>
        <v>#DIV/0!</v>
      </c>
      <c r="W76" s="54" t="e">
        <f>W75/W5</f>
        <v>#DIV/0!</v>
      </c>
      <c r="X76" s="55" t="e">
        <f>X75/X5</f>
        <v>#DIV/0!</v>
      </c>
      <c r="Y76" s="55"/>
      <c r="Z76" s="55"/>
      <c r="AA76" s="54" t="e">
        <f>AA75/AA5</f>
        <v>#DIV/0!</v>
      </c>
      <c r="AB76" s="54" t="e">
        <f>AB75/AB5</f>
        <v>#DIV/0!</v>
      </c>
      <c r="AC76" s="55" t="e">
        <f>AC75/AC5</f>
        <v>#DIV/0!</v>
      </c>
      <c r="AD76" s="55"/>
      <c r="AE76" s="55"/>
      <c r="AF76" s="54" t="e">
        <f>AF75/AF5</f>
        <v>#DIV/0!</v>
      </c>
      <c r="AG76" s="54" t="e">
        <f>AG75/AG5</f>
        <v>#DIV/0!</v>
      </c>
      <c r="AH76" s="55" t="e">
        <f>AH75/AH5</f>
        <v>#DIV/0!</v>
      </c>
      <c r="AI76" s="55"/>
      <c r="AJ76" s="55"/>
      <c r="AK76" s="54" t="e">
        <f>AK75/AK5</f>
        <v>#DIV/0!</v>
      </c>
      <c r="AL76" s="54" t="e">
        <f>AL75/AL5</f>
        <v>#DIV/0!</v>
      </c>
      <c r="AM76" s="55" t="e">
        <f>AM75/AM5</f>
        <v>#DIV/0!</v>
      </c>
      <c r="AN76" s="55"/>
      <c r="AO76" s="55"/>
      <c r="AP76" s="54" t="e">
        <f>AP75/AP5</f>
        <v>#DIV/0!</v>
      </c>
      <c r="AQ76" s="54" t="e">
        <f>AQ75/AQ5</f>
        <v>#DIV/0!</v>
      </c>
      <c r="AR76" s="55" t="e">
        <f>AR75/AR5</f>
        <v>#DIV/0!</v>
      </c>
      <c r="AS76" s="55"/>
      <c r="AT76" s="55"/>
      <c r="AU76" s="54" t="e">
        <f>AU75/AU5</f>
        <v>#DIV/0!</v>
      </c>
      <c r="AV76" s="54" t="e">
        <f>AV75/AV5</f>
        <v>#DIV/0!</v>
      </c>
      <c r="AW76" s="55" t="e">
        <f>AW75/AW5</f>
        <v>#DIV/0!</v>
      </c>
      <c r="AX76" s="55"/>
      <c r="AY76" s="55"/>
      <c r="AZ76" s="54" t="e">
        <f>AZ75/AZ5</f>
        <v>#DIV/0!</v>
      </c>
      <c r="BA76" s="54" t="e">
        <f>BA75/BA5</f>
        <v>#DIV/0!</v>
      </c>
      <c r="BB76" s="55" t="e">
        <f>BB75/BB5</f>
        <v>#DIV/0!</v>
      </c>
      <c r="BC76" s="55"/>
      <c r="BD76" s="55"/>
      <c r="BE76" s="54">
        <f>BE75/BE5</f>
        <v>0.60277821574209722</v>
      </c>
      <c r="BF76" s="54" t="e">
        <f>BF75/BF5</f>
        <v>#DIV/0!</v>
      </c>
      <c r="BG76" s="55">
        <f>BG75/BG5</f>
        <v>0.32676600355448376</v>
      </c>
      <c r="BH76" s="55"/>
      <c r="BI76" s="55"/>
      <c r="BJ76" s="842"/>
      <c r="BK76" s="842"/>
      <c r="BM76" s="842"/>
      <c r="BN76" s="842"/>
    </row>
    <row r="77" spans="1:66" s="2" customFormat="1" ht="14.4" outlineLevel="1" thickBot="1">
      <c r="A77" s="294"/>
      <c r="B77" s="27" t="s">
        <v>9</v>
      </c>
      <c r="C77" s="139">
        <f>C78-C79</f>
        <v>-248157</v>
      </c>
      <c r="D77" s="139">
        <f>D78-D79</f>
        <v>0</v>
      </c>
      <c r="E77" s="140">
        <f>E78-E79</f>
        <v>-248157</v>
      </c>
      <c r="F77" s="173"/>
      <c r="G77" s="139">
        <v>0</v>
      </c>
      <c r="H77" s="139">
        <v>0</v>
      </c>
      <c r="I77" s="140">
        <v>-603452.68118041637</v>
      </c>
      <c r="J77" s="67"/>
      <c r="K77" s="963"/>
      <c r="L77" s="139">
        <f>L78-L79</f>
        <v>0</v>
      </c>
      <c r="M77" s="139">
        <f>M78-M79</f>
        <v>0</v>
      </c>
      <c r="N77" s="140">
        <f>N78-N79</f>
        <v>-2888.9511494252874</v>
      </c>
      <c r="O77" s="67"/>
      <c r="P77" s="67"/>
      <c r="Q77" s="139">
        <f>Q78-Q79</f>
        <v>0</v>
      </c>
      <c r="R77" s="139">
        <f>R78-R79</f>
        <v>0</v>
      </c>
      <c r="S77" s="140">
        <f>S78-S79</f>
        <v>-13565.041264367816</v>
      </c>
      <c r="T77" s="67"/>
      <c r="U77" s="67"/>
      <c r="V77" s="139">
        <f>V78-V79</f>
        <v>0</v>
      </c>
      <c r="W77" s="139">
        <f>W78-W79</f>
        <v>0</v>
      </c>
      <c r="X77" s="140" t="e">
        <f>X78-X79</f>
        <v>#DIV/0!</v>
      </c>
      <c r="Y77" s="67"/>
      <c r="Z77" s="67"/>
      <c r="AA77" s="139">
        <f>AA78-AA79</f>
        <v>0</v>
      </c>
      <c r="AB77" s="139">
        <f>AB78-AB79</f>
        <v>0</v>
      </c>
      <c r="AC77" s="140">
        <f>AC78-AC79</f>
        <v>0</v>
      </c>
      <c r="AD77" s="67"/>
      <c r="AE77" s="67"/>
      <c r="AF77" s="139">
        <f>AF78-AF79</f>
        <v>0</v>
      </c>
      <c r="AG77" s="139">
        <f>AG78-AG79</f>
        <v>0</v>
      </c>
      <c r="AH77" s="140" t="e">
        <f>AH78-AH79</f>
        <v>#DIV/0!</v>
      </c>
      <c r="AI77" s="67"/>
      <c r="AJ77" s="67"/>
      <c r="AK77" s="139">
        <f>AK78-AK79</f>
        <v>0</v>
      </c>
      <c r="AL77" s="139">
        <f>AL78-AL79</f>
        <v>0</v>
      </c>
      <c r="AM77" s="140">
        <f>AM78-AM79</f>
        <v>0</v>
      </c>
      <c r="AN77" s="67"/>
      <c r="AO77" s="67"/>
      <c r="AP77" s="139">
        <f>AP78-AP79</f>
        <v>0</v>
      </c>
      <c r="AQ77" s="139">
        <f>AQ78-AQ79</f>
        <v>0</v>
      </c>
      <c r="AR77" s="140">
        <f>AR78-AR79</f>
        <v>0</v>
      </c>
      <c r="AS77" s="67"/>
      <c r="AT77" s="67"/>
      <c r="AU77" s="139">
        <f>AU78-AU79</f>
        <v>0</v>
      </c>
      <c r="AV77" s="139">
        <f>AV78-AV79</f>
        <v>0</v>
      </c>
      <c r="AW77" s="140">
        <f>AW78-AW79</f>
        <v>0</v>
      </c>
      <c r="AX77" s="67">
        <f>AW77/$AW$89</f>
        <v>0</v>
      </c>
      <c r="AY77" s="67"/>
      <c r="AZ77" s="139">
        <f>AZ78-AZ79</f>
        <v>0</v>
      </c>
      <c r="BA77" s="139">
        <f>BA78-BA79</f>
        <v>0</v>
      </c>
      <c r="BB77" s="140">
        <f>BB78-BB79</f>
        <v>0</v>
      </c>
      <c r="BC77" s="67"/>
      <c r="BD77" s="67"/>
      <c r="BE77" s="139">
        <f>BE78-BE79</f>
        <v>0</v>
      </c>
      <c r="BF77" s="139">
        <f>BF78-BF79</f>
        <v>-603452.68118041637</v>
      </c>
      <c r="BG77" s="140">
        <f>BG78-BG79</f>
        <v>-623315.00359420944</v>
      </c>
      <c r="BH77" s="67"/>
      <c r="BI77" s="67"/>
      <c r="BJ77" s="842"/>
      <c r="BK77" s="842"/>
      <c r="BM77" s="842"/>
      <c r="BN77" s="842"/>
    </row>
    <row r="78" spans="1:66" s="2" customFormat="1" ht="13.8" outlineLevel="2">
      <c r="A78" s="11"/>
      <c r="B78" s="6" t="s">
        <v>43</v>
      </c>
      <c r="C78" s="141"/>
      <c r="D78" s="142"/>
      <c r="E78" s="119">
        <f>C78+D78*1.15</f>
        <v>0</v>
      </c>
      <c r="F78" s="186"/>
      <c r="G78" s="39">
        <v>0</v>
      </c>
      <c r="H78" s="39">
        <v>0</v>
      </c>
      <c r="I78" s="68">
        <v>0</v>
      </c>
      <c r="J78" s="68"/>
      <c r="K78" s="964"/>
      <c r="L78" s="39"/>
      <c r="M78" s="39"/>
      <c r="N78" s="68">
        <f>L78+M78*1.15</f>
        <v>0</v>
      </c>
      <c r="O78" s="68"/>
      <c r="P78" s="68"/>
      <c r="Q78" s="39"/>
      <c r="R78" s="39"/>
      <c r="S78" s="68">
        <f>Q78+R78*1.15</f>
        <v>0</v>
      </c>
      <c r="T78" s="68"/>
      <c r="U78" s="68"/>
      <c r="V78" s="39"/>
      <c r="W78" s="39"/>
      <c r="X78" s="68">
        <f>V78+W78*1.15</f>
        <v>0</v>
      </c>
      <c r="Y78" s="178" t="e">
        <f>X78/$X$89</f>
        <v>#DIV/0!</v>
      </c>
      <c r="Z78" s="68"/>
      <c r="AA78" s="39"/>
      <c r="AB78" s="39"/>
      <c r="AC78" s="68">
        <f>AA78+AB78*1.15</f>
        <v>0</v>
      </c>
      <c r="AD78" s="178" t="e">
        <f>AC78/$X$89</f>
        <v>#DIV/0!</v>
      </c>
      <c r="AE78" s="68"/>
      <c r="AF78" s="39"/>
      <c r="AG78" s="39"/>
      <c r="AH78" s="68">
        <f>AF78+AG78*1.15</f>
        <v>0</v>
      </c>
      <c r="AI78" s="178" t="e">
        <f>AH78/$X$89</f>
        <v>#DIV/0!</v>
      </c>
      <c r="AJ78" s="68"/>
      <c r="AK78" s="39"/>
      <c r="AL78" s="39"/>
      <c r="AM78" s="68">
        <f>AK78+AL78*1.15</f>
        <v>0</v>
      </c>
      <c r="AN78" s="178" t="e">
        <f>AM78/$X$89</f>
        <v>#DIV/0!</v>
      </c>
      <c r="AO78" s="68"/>
      <c r="AP78" s="39"/>
      <c r="AQ78" s="39"/>
      <c r="AR78" s="68">
        <f>AP78+AQ78*1.15</f>
        <v>0</v>
      </c>
      <c r="AS78" s="178" t="e">
        <f>AR78/$X$89</f>
        <v>#DIV/0!</v>
      </c>
      <c r="AT78" s="68"/>
      <c r="AU78" s="39"/>
      <c r="AV78" s="39"/>
      <c r="AW78" s="68">
        <f>AU78+AV78*1.15</f>
        <v>0</v>
      </c>
      <c r="AX78" s="178">
        <f>AW78/$AW$89</f>
        <v>0</v>
      </c>
      <c r="AY78" s="68"/>
      <c r="AZ78" s="39"/>
      <c r="BA78" s="39"/>
      <c r="BB78" s="68">
        <f>AZ78+BA78*1.15</f>
        <v>0</v>
      </c>
      <c r="BC78" s="178" t="e">
        <f>BB78/$X$89</f>
        <v>#DIV/0!</v>
      </c>
      <c r="BD78" s="68"/>
      <c r="BE78" s="39">
        <f>L78+G78</f>
        <v>0</v>
      </c>
      <c r="BF78" s="39">
        <f>H78+M78</f>
        <v>0</v>
      </c>
      <c r="BG78" s="106">
        <f>BE78+BF78</f>
        <v>0</v>
      </c>
      <c r="BH78" s="68"/>
      <c r="BI78" s="68"/>
      <c r="BJ78" s="842"/>
      <c r="BK78" s="842"/>
      <c r="BM78" s="842"/>
      <c r="BN78" s="842"/>
    </row>
    <row r="79" spans="1:66" s="2" customFormat="1" ht="13.8" outlineLevel="2">
      <c r="A79" s="11"/>
      <c r="B79" s="24" t="s">
        <v>79</v>
      </c>
      <c r="C79" s="113">
        <v>248157</v>
      </c>
      <c r="D79" s="119"/>
      <c r="E79" s="119">
        <f>C79+D79*1.15</f>
        <v>248157</v>
      </c>
      <c r="F79" s="180">
        <f>E79/$E$89</f>
        <v>5.8448922641152583E-2</v>
      </c>
      <c r="G79" s="39"/>
      <c r="H79" s="39"/>
      <c r="I79" s="106">
        <v>603452.68118041637</v>
      </c>
      <c r="J79" s="45"/>
      <c r="K79" s="958"/>
      <c r="L79" s="39"/>
      <c r="M79" s="39"/>
      <c r="N79" s="106">
        <f>(M8+M41+M50+M54)/(1-'расчет 2024'!E4)*'расчет 2024'!E4</f>
        <v>2888.9511494252874</v>
      </c>
      <c r="O79" s="45"/>
      <c r="P79" s="45"/>
      <c r="Q79" s="39"/>
      <c r="R79" s="39"/>
      <c r="S79" s="106">
        <f>(R8+R41+R50+R54)/(1-'расчет 2024'!E5)*'расчет 2024'!E5</f>
        <v>13565.041264367816</v>
      </c>
      <c r="T79" s="45"/>
      <c r="U79" s="45"/>
      <c r="V79" s="39"/>
      <c r="W79" s="39"/>
      <c r="X79" s="106" t="e">
        <f>(W8+W41+W50+W54)/(1-'расчет 2024'!E10)*'расчет 2024'!E10</f>
        <v>#DIV/0!</v>
      </c>
      <c r="Y79" s="178" t="e">
        <f>X79/$X$89</f>
        <v>#DIV/0!</v>
      </c>
      <c r="Z79" s="45"/>
      <c r="AA79" s="39"/>
      <c r="AB79" s="39"/>
      <c r="AC79" s="106">
        <f>(AB8+AB41+AB50+AB54)/(1-'расчет 2024'!E11)*'расчет 2024'!E11</f>
        <v>0</v>
      </c>
      <c r="AD79" s="178" t="e">
        <f>AC79/$AC$89</f>
        <v>#DIV/0!</v>
      </c>
      <c r="AE79" s="45"/>
      <c r="AF79" s="39"/>
      <c r="AG79" s="39"/>
      <c r="AH79" s="106" t="e">
        <f>(AG8+AG41+AG50+AG54)/(1-'расчет 2024'!E12)*'расчет 2024'!E12</f>
        <v>#DIV/0!</v>
      </c>
      <c r="AI79" s="178" t="e">
        <f>AH79/$AH$89</f>
        <v>#DIV/0!</v>
      </c>
      <c r="AJ79" s="45"/>
      <c r="AK79" s="39"/>
      <c r="AL79" s="39"/>
      <c r="AM79" s="106">
        <f>(AL8+AL41+AL50+AL54)/(1-'расчет 2024'!E13)*'расчет 2024'!E13</f>
        <v>0</v>
      </c>
      <c r="AN79" s="178" t="e">
        <f>AM79/$AM$89</f>
        <v>#DIV/0!</v>
      </c>
      <c r="AO79" s="45"/>
      <c r="AP79" s="39"/>
      <c r="AQ79" s="39"/>
      <c r="AR79" s="106">
        <f>(AQ8+AQ41+AQ50+AQ54)/(1-'расчет 2024'!E14)*'расчет 2024'!E14</f>
        <v>0</v>
      </c>
      <c r="AS79" s="178" t="e">
        <f>AR79/$AR$89</f>
        <v>#DIV/0!</v>
      </c>
      <c r="AT79" s="45"/>
      <c r="AU79" s="39"/>
      <c r="AV79" s="39"/>
      <c r="AW79" s="106">
        <f>(AV8+AV41+AV50+AV54)/(1-'расчет 2024'!E18)*'расчет 2024'!E18</f>
        <v>0</v>
      </c>
      <c r="AX79" s="178">
        <f>AW79/$AW$89</f>
        <v>0</v>
      </c>
      <c r="AY79" s="45"/>
      <c r="AZ79" s="39"/>
      <c r="BA79" s="39"/>
      <c r="BB79" s="106">
        <f>(BA8+BA41+BA50+BA54)/(1-'расчет 2024'!J18)*'расчет 2024'!J18</f>
        <v>0</v>
      </c>
      <c r="BC79" s="178" t="e">
        <f>BB79/$AR$89</f>
        <v>#DIV/0!</v>
      </c>
      <c r="BD79" s="45"/>
      <c r="BE79" s="39">
        <f>L79+G79</f>
        <v>0</v>
      </c>
      <c r="BF79" s="39">
        <f>I79</f>
        <v>603452.68118041637</v>
      </c>
      <c r="BG79" s="974">
        <f>N79+BF79+3408.33+S79</f>
        <v>623315.00359420944</v>
      </c>
      <c r="BH79" s="45"/>
      <c r="BI79" s="45"/>
      <c r="BJ79" s="842"/>
      <c r="BK79" s="842"/>
      <c r="BM79" s="842"/>
      <c r="BN79" s="842"/>
    </row>
    <row r="80" spans="1:66" ht="13.8" outlineLevel="2">
      <c r="A80" s="3"/>
      <c r="B80" s="25"/>
      <c r="C80" s="143"/>
      <c r="D80" s="144"/>
      <c r="E80" s="145"/>
      <c r="F80" s="187"/>
      <c r="G80" s="39"/>
      <c r="H80" s="39"/>
      <c r="I80" s="69"/>
      <c r="J80" s="69"/>
      <c r="K80" s="477"/>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39"/>
      <c r="AL80" s="39"/>
      <c r="AM80" s="69"/>
      <c r="AN80" s="69"/>
      <c r="AO80" s="69"/>
      <c r="AP80" s="39"/>
      <c r="AQ80" s="39"/>
      <c r="AR80" s="69"/>
      <c r="AS80" s="69"/>
      <c r="AT80" s="69"/>
      <c r="AU80" s="39"/>
      <c r="AV80" s="39"/>
      <c r="AW80" s="69"/>
      <c r="AX80" s="69">
        <f>AW80/$AW$89</f>
        <v>0</v>
      </c>
      <c r="AY80" s="69"/>
      <c r="AZ80" s="39"/>
      <c r="BA80" s="39"/>
      <c r="BB80" s="69"/>
      <c r="BC80" s="69"/>
      <c r="BD80" s="69"/>
      <c r="BE80" s="39"/>
      <c r="BF80" s="39"/>
      <c r="BG80" s="69"/>
      <c r="BH80" s="69"/>
      <c r="BI80" s="69"/>
      <c r="BJ80" s="928"/>
      <c r="BK80" s="928"/>
      <c r="BM80" s="842"/>
      <c r="BN80" s="842"/>
    </row>
    <row r="81" spans="1:66" s="2" customFormat="1" ht="14.4" outlineLevel="1" thickBot="1">
      <c r="A81" s="26"/>
      <c r="B81" s="27" t="s">
        <v>12</v>
      </c>
      <c r="C81" s="139">
        <f>(C75+C78)-C79</f>
        <v>3049357</v>
      </c>
      <c r="D81" s="139">
        <f>(D75+D78)-D79</f>
        <v>-1654381</v>
      </c>
      <c r="E81" s="140">
        <f>(E75+E78)-E79</f>
        <v>1394976</v>
      </c>
      <c r="F81" s="173"/>
      <c r="G81" s="139">
        <v>9227026.4380000029</v>
      </c>
      <c r="H81" s="139">
        <v>-4245291.5200000005</v>
      </c>
      <c r="I81" s="140">
        <v>4378282.2368195886</v>
      </c>
      <c r="J81" s="67"/>
      <c r="K81" s="963"/>
      <c r="L81" s="139">
        <f>(L75+L78)-L79</f>
        <v>-7642.11</v>
      </c>
      <c r="M81" s="139">
        <f>(M75+M78)-M79</f>
        <v>-19333.75</v>
      </c>
      <c r="N81" s="140">
        <f>(N75+N78)-N79</f>
        <v>-29864.811149425288</v>
      </c>
      <c r="O81" s="67"/>
      <c r="P81" s="67"/>
      <c r="Q81" s="139">
        <f>(Q75+Q78)-Q79</f>
        <v>288903.43200000003</v>
      </c>
      <c r="R81" s="139">
        <f>(R75+R78)-R79</f>
        <v>-90781.43</v>
      </c>
      <c r="S81" s="140">
        <f>(S75+S78)-S79</f>
        <v>184556.96073563222</v>
      </c>
      <c r="T81" s="67"/>
      <c r="U81" s="67"/>
      <c r="V81" s="139">
        <f>(V75+V78)-V79</f>
        <v>0</v>
      </c>
      <c r="W81" s="139">
        <f>(W75+W78)-W79</f>
        <v>0</v>
      </c>
      <c r="X81" s="140" t="e">
        <f>(X75+X78)-X79</f>
        <v>#DIV/0!</v>
      </c>
      <c r="Y81" s="67"/>
      <c r="Z81" s="67"/>
      <c r="AA81" s="139">
        <f>(AA75+AA78)-AA79</f>
        <v>0</v>
      </c>
      <c r="AB81" s="139">
        <f>(AB75+AB78)-AB79</f>
        <v>0</v>
      </c>
      <c r="AC81" s="140">
        <f>(AC75+AC78)-AC79</f>
        <v>0</v>
      </c>
      <c r="AD81" s="67"/>
      <c r="AE81" s="67"/>
      <c r="AF81" s="139">
        <f>(AF75+AF78)-AF79</f>
        <v>0</v>
      </c>
      <c r="AG81" s="139">
        <f>(AG75+AG78)-AG79</f>
        <v>0</v>
      </c>
      <c r="AH81" s="140" t="e">
        <f>(AH75+AH78)-AH79</f>
        <v>#DIV/0!</v>
      </c>
      <c r="AI81" s="67"/>
      <c r="AJ81" s="67"/>
      <c r="AK81" s="139">
        <f>(AK75+AK78)-AK79</f>
        <v>0</v>
      </c>
      <c r="AL81" s="139">
        <f>(AL75+AL78)-AL79</f>
        <v>0</v>
      </c>
      <c r="AM81" s="140">
        <f>(AM75+AM78)-AM79</f>
        <v>0</v>
      </c>
      <c r="AN81" s="67"/>
      <c r="AO81" s="67"/>
      <c r="AP81" s="139">
        <f>(AP75+AP78)-AP79</f>
        <v>0</v>
      </c>
      <c r="AQ81" s="139">
        <f>(AQ75+AQ78)-AQ79</f>
        <v>0</v>
      </c>
      <c r="AR81" s="140">
        <f>(AR75+AR78)-AR79</f>
        <v>0</v>
      </c>
      <c r="AS81" s="67"/>
      <c r="AT81" s="67"/>
      <c r="AU81" s="139">
        <f>(AU75+AU78)-AU79</f>
        <v>6.9999999999708962E-2</v>
      </c>
      <c r="AV81" s="139">
        <f>(AV75+AV78)-AV79</f>
        <v>0</v>
      </c>
      <c r="AW81" s="140">
        <f>(AW75+AW78)-AW79</f>
        <v>6.9999999999708962E-2</v>
      </c>
      <c r="AX81" s="67"/>
      <c r="AY81" s="67"/>
      <c r="AZ81" s="139">
        <f>(AZ75+AZ78)-AZ79</f>
        <v>0</v>
      </c>
      <c r="BA81" s="139">
        <f>(BA75+BA78)-BA79</f>
        <v>0</v>
      </c>
      <c r="BB81" s="140">
        <f>(BB75+BB78)-BB79</f>
        <v>0</v>
      </c>
      <c r="BC81" s="67"/>
      <c r="BD81" s="67"/>
      <c r="BE81" s="139">
        <f>(BE75+BE78)-BE79</f>
        <v>9511696.0900000017</v>
      </c>
      <c r="BF81" s="139">
        <f>(BF75+BF78)-BF79</f>
        <v>-4958859.3811804168</v>
      </c>
      <c r="BG81" s="140">
        <f>(BG75+BG78)-BG79</f>
        <v>4532974.3864057958</v>
      </c>
      <c r="BH81" s="67"/>
      <c r="BI81" s="67"/>
      <c r="BJ81" s="842"/>
      <c r="BK81" s="842"/>
      <c r="BM81" s="842"/>
      <c r="BN81" s="842"/>
    </row>
    <row r="82" spans="1:66" s="2" customFormat="1" ht="13.8" outlineLevel="2">
      <c r="A82" s="293"/>
      <c r="B82" s="6" t="s">
        <v>38</v>
      </c>
      <c r="C82" s="141"/>
      <c r="D82" s="142"/>
      <c r="E82" s="146">
        <f>C82+D82</f>
        <v>0</v>
      </c>
      <c r="F82" s="180">
        <f>E82/$E$89</f>
        <v>0</v>
      </c>
      <c r="G82" s="39">
        <v>0</v>
      </c>
      <c r="H82" s="39">
        <v>0</v>
      </c>
      <c r="I82" s="146">
        <v>0</v>
      </c>
      <c r="J82" s="101"/>
      <c r="K82" s="958"/>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39"/>
      <c r="AV82" s="39"/>
      <c r="AW82" s="146">
        <f>AU82+AV82</f>
        <v>0</v>
      </c>
      <c r="AX82" s="101"/>
      <c r="AY82" s="101"/>
      <c r="AZ82" s="39"/>
      <c r="BA82" s="39"/>
      <c r="BB82" s="146">
        <f>AZ82+BA82</f>
        <v>0</v>
      </c>
      <c r="BC82" s="101"/>
      <c r="BD82" s="101"/>
      <c r="BE82" s="39">
        <f>L82+Q82</f>
        <v>0</v>
      </c>
      <c r="BF82" s="39">
        <f>M82+R82</f>
        <v>0</v>
      </c>
      <c r="BG82" s="106">
        <f>BE82+BF82</f>
        <v>0</v>
      </c>
      <c r="BH82" s="101"/>
      <c r="BI82" s="101"/>
      <c r="BJ82" s="842"/>
      <c r="BK82" s="842"/>
      <c r="BM82" s="842"/>
      <c r="BN82" s="842"/>
    </row>
    <row r="83" spans="1:66" s="2" customFormat="1" ht="13.8" outlineLevel="1">
      <c r="A83" s="11"/>
      <c r="B83" s="28" t="s">
        <v>13</v>
      </c>
      <c r="C83" s="147">
        <f>(C81+C7)-C36</f>
        <v>3049357</v>
      </c>
      <c r="D83" s="147">
        <f>(D81+D7)-D36</f>
        <v>-1654381</v>
      </c>
      <c r="E83" s="147">
        <f>(E81+E7)-E36</f>
        <v>1394976</v>
      </c>
      <c r="F83" s="174"/>
      <c r="G83" s="147">
        <v>9284626.4380000029</v>
      </c>
      <c r="H83" s="147">
        <v>-4245291.5200000005</v>
      </c>
      <c r="I83" s="148">
        <v>4435882.2368195886</v>
      </c>
      <c r="J83" s="70"/>
      <c r="K83" s="965"/>
      <c r="L83" s="147">
        <f>(L81+L7)-L36</f>
        <v>-7642.11</v>
      </c>
      <c r="M83" s="147">
        <f>(M81+M7)-M36</f>
        <v>-19333.75</v>
      </c>
      <c r="N83" s="148">
        <f>(N81+N7)-N36</f>
        <v>-29864.811149425288</v>
      </c>
      <c r="O83" s="70"/>
      <c r="P83" s="70"/>
      <c r="Q83" s="147">
        <f>(Q81+Q7)-Q36</f>
        <v>288903.43200000003</v>
      </c>
      <c r="R83" s="147">
        <f>(R81+R7)-R36</f>
        <v>-90781.43</v>
      </c>
      <c r="S83" s="148">
        <f>(S81+S7)-S36</f>
        <v>184556.96073563222</v>
      </c>
      <c r="T83" s="70"/>
      <c r="U83" s="70"/>
      <c r="V83" s="147">
        <f>(V81+V7)-V36</f>
        <v>0</v>
      </c>
      <c r="W83" s="147">
        <f>(W81+W7)-W36</f>
        <v>0</v>
      </c>
      <c r="X83" s="148" t="e">
        <f>(X81+X7)-X36</f>
        <v>#DIV/0!</v>
      </c>
      <c r="Y83" s="70"/>
      <c r="Z83" s="70"/>
      <c r="AA83" s="147">
        <f>(AA81+AA7)-AA36</f>
        <v>0</v>
      </c>
      <c r="AB83" s="147">
        <f>(AB81+AB7)-AB36</f>
        <v>0</v>
      </c>
      <c r="AC83" s="148">
        <f>(AC81+AC7)-AC36</f>
        <v>0</v>
      </c>
      <c r="AD83" s="70"/>
      <c r="AE83" s="70"/>
      <c r="AF83" s="147">
        <f>(AF81+AF7)-AF36</f>
        <v>0</v>
      </c>
      <c r="AG83" s="147">
        <f>(AG81+AG7)-AG36</f>
        <v>0</v>
      </c>
      <c r="AH83" s="148" t="e">
        <f>(AH81+AH7)-AH36</f>
        <v>#DIV/0!</v>
      </c>
      <c r="AI83" s="70"/>
      <c r="AJ83" s="70"/>
      <c r="AK83" s="147">
        <f>(AK81+AK7)-AK36</f>
        <v>0</v>
      </c>
      <c r="AL83" s="147">
        <f>(AL81+AL7)-AL36</f>
        <v>0</v>
      </c>
      <c r="AM83" s="148">
        <f>(AM81+AM7)-AM36</f>
        <v>0</v>
      </c>
      <c r="AN83" s="70"/>
      <c r="AO83" s="70"/>
      <c r="AP83" s="147">
        <f>(AP81+AP7)-AP36</f>
        <v>0</v>
      </c>
      <c r="AQ83" s="147">
        <f>(AQ81+AQ7)-AQ36</f>
        <v>0</v>
      </c>
      <c r="AR83" s="148">
        <f>(AR81+AR7)-AR36</f>
        <v>0</v>
      </c>
      <c r="AS83" s="70"/>
      <c r="AT83" s="70"/>
      <c r="AU83" s="147">
        <f>(AU81+AU7)-AU36</f>
        <v>6.9999999999708962E-2</v>
      </c>
      <c r="AV83" s="147">
        <f>(AV81+AV7)-AV36</f>
        <v>0</v>
      </c>
      <c r="AW83" s="148">
        <f>(AW81+AW7)-AW36</f>
        <v>6.9999999999708962E-2</v>
      </c>
      <c r="AX83" s="70"/>
      <c r="AY83" s="70"/>
      <c r="AZ83" s="147">
        <f>(AZ81+AZ7)-AZ36</f>
        <v>0</v>
      </c>
      <c r="BA83" s="147">
        <f>(BA81+BA7)-BA36</f>
        <v>0</v>
      </c>
      <c r="BB83" s="148">
        <f>(BB81+BB7)-BB36</f>
        <v>0</v>
      </c>
      <c r="BC83" s="70"/>
      <c r="BD83" s="70"/>
      <c r="BE83" s="147">
        <f>(BE81+BE7)-BE36</f>
        <v>9569296.0900000017</v>
      </c>
      <c r="BF83" s="147">
        <f>(BF81+BF7)-BF36</f>
        <v>-4958859.3811804168</v>
      </c>
      <c r="BG83" s="148">
        <f>(BG81+BG7)-BG36</f>
        <v>4590574.3864057958</v>
      </c>
      <c r="BH83" s="70"/>
      <c r="BI83" s="70"/>
      <c r="BJ83" s="842"/>
      <c r="BK83" s="842"/>
      <c r="BM83" s="842"/>
      <c r="BN83" s="842"/>
    </row>
    <row r="84" spans="1:66" s="2" customFormat="1" ht="14.4" outlineLevel="1" thickBot="1">
      <c r="A84" s="11"/>
      <c r="B84" s="211" t="s">
        <v>14</v>
      </c>
      <c r="C84" s="212">
        <f>C83-C73-C82</f>
        <v>2885065</v>
      </c>
      <c r="D84" s="212">
        <f>D83-D73-D82</f>
        <v>-1654381</v>
      </c>
      <c r="E84" s="212">
        <f>E83-E73-E82</f>
        <v>1230684</v>
      </c>
      <c r="F84" s="214"/>
      <c r="G84" s="213">
        <v>-450155.98199999996</v>
      </c>
      <c r="H84" s="213">
        <v>-74849.600000000006</v>
      </c>
      <c r="I84" s="213">
        <v>4435882.2368195886</v>
      </c>
      <c r="J84" s="82"/>
      <c r="K84" s="561"/>
      <c r="L84" s="213">
        <f>L83-L73-L82</f>
        <v>-7642.11</v>
      </c>
      <c r="M84" s="213">
        <f>M83-M73-M82</f>
        <v>-19333.75</v>
      </c>
      <c r="N84" s="213">
        <f>N83-N73-N82</f>
        <v>-29864.811149425288</v>
      </c>
      <c r="O84" s="82"/>
      <c r="P84" s="82"/>
      <c r="Q84" s="213">
        <f>Q83-Q73-Q82</f>
        <v>288903.43200000003</v>
      </c>
      <c r="R84" s="213">
        <f>R83-R73-R82</f>
        <v>-90781.43</v>
      </c>
      <c r="S84" s="213">
        <f>S83-S73-S82</f>
        <v>184556.96073563222</v>
      </c>
      <c r="T84" s="82"/>
      <c r="U84" s="82"/>
      <c r="V84" s="213">
        <f>V83-V73-V82</f>
        <v>0</v>
      </c>
      <c r="W84" s="213">
        <f>W83-W73-W82</f>
        <v>0</v>
      </c>
      <c r="X84" s="213" t="e">
        <f>X83-X73-X82</f>
        <v>#DIV/0!</v>
      </c>
      <c r="Y84" s="82"/>
      <c r="Z84" s="82"/>
      <c r="AA84" s="213">
        <f>AA83-AA73-AA82</f>
        <v>0</v>
      </c>
      <c r="AB84" s="213">
        <f>AB83-AB73-AB82</f>
        <v>0</v>
      </c>
      <c r="AC84" s="213">
        <f>AC83-AC73-AC82</f>
        <v>0</v>
      </c>
      <c r="AD84" s="82"/>
      <c r="AE84" s="82"/>
      <c r="AF84" s="213">
        <f>AF83-AF73-AF82</f>
        <v>0</v>
      </c>
      <c r="AG84" s="213">
        <f>AG83-AG73-AG82</f>
        <v>0</v>
      </c>
      <c r="AH84" s="213" t="e">
        <f>AH83-AH73-AH82</f>
        <v>#DIV/0!</v>
      </c>
      <c r="AI84" s="82"/>
      <c r="AJ84" s="82"/>
      <c r="AK84" s="213">
        <f>AK83-AK73-AK82</f>
        <v>0</v>
      </c>
      <c r="AL84" s="213">
        <f>AL83-AL73-AL82</f>
        <v>0</v>
      </c>
      <c r="AM84" s="213">
        <f>AM83-AM73-AM82</f>
        <v>0</v>
      </c>
      <c r="AN84" s="82"/>
      <c r="AO84" s="82"/>
      <c r="AP84" s="213">
        <f>AP83-AP73-AP82</f>
        <v>0</v>
      </c>
      <c r="AQ84" s="213">
        <f>AQ83-AQ73-AQ82</f>
        <v>0</v>
      </c>
      <c r="AR84" s="213">
        <f>AR83-AR73-AR82</f>
        <v>0</v>
      </c>
      <c r="AS84" s="82"/>
      <c r="AT84" s="82"/>
      <c r="AU84" s="213">
        <f>AU83-AU73-AU82</f>
        <v>6.9999999999708962E-2</v>
      </c>
      <c r="AV84" s="213">
        <f>AV83-AV73-AV82</f>
        <v>0</v>
      </c>
      <c r="AW84" s="213">
        <f>AW83-AW73-AW82</f>
        <v>6.9999999999708962E-2</v>
      </c>
      <c r="AX84" s="82"/>
      <c r="AY84" s="82"/>
      <c r="AZ84" s="213">
        <f>AZ83-AZ73-AZ82</f>
        <v>0</v>
      </c>
      <c r="BA84" s="213">
        <f>BA83-BA73-BA82</f>
        <v>0</v>
      </c>
      <c r="BB84" s="213">
        <f>BB83-BB73-BB82</f>
        <v>0</v>
      </c>
      <c r="BC84" s="82"/>
      <c r="BD84" s="82"/>
      <c r="BE84" s="39">
        <f>L84+Q84</f>
        <v>281261.32200000004</v>
      </c>
      <c r="BF84" s="39">
        <f>M84+R84</f>
        <v>-110115.18</v>
      </c>
      <c r="BG84" s="106">
        <f>BG83-BG73-BG82</f>
        <v>4590574.3864057958</v>
      </c>
      <c r="BH84" s="82"/>
      <c r="BI84" s="82"/>
      <c r="BJ84" s="842"/>
      <c r="BK84" s="842"/>
      <c r="BM84" s="842"/>
      <c r="BN84" s="842"/>
    </row>
    <row r="85" spans="1:66" s="2" customFormat="1" ht="13.8" outlineLevel="3">
      <c r="A85" s="293"/>
      <c r="B85" s="216" t="s">
        <v>44</v>
      </c>
      <c r="C85" s="141"/>
      <c r="D85" s="142"/>
      <c r="E85" s="146">
        <f>C85+D85</f>
        <v>0</v>
      </c>
      <c r="F85" s="217">
        <f>E85/$E$89</f>
        <v>0</v>
      </c>
      <c r="G85" s="39">
        <v>0</v>
      </c>
      <c r="H85" s="39">
        <v>159377</v>
      </c>
      <c r="I85" s="219">
        <v>179808.65489644132</v>
      </c>
      <c r="J85" s="102"/>
      <c r="K85" s="958"/>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39"/>
      <c r="AV85" s="39"/>
      <c r="AW85" s="219">
        <f>AV85*'расчет 2024'!E18+AV85</f>
        <v>0</v>
      </c>
      <c r="AX85" s="102"/>
      <c r="AY85" s="102"/>
      <c r="AZ85" s="39"/>
      <c r="BA85" s="39"/>
      <c r="BB85" s="219">
        <f>BA85*'расчет 2024'!J18+BA85</f>
        <v>0</v>
      </c>
      <c r="BC85" s="102"/>
      <c r="BD85" s="102"/>
      <c r="BE85" s="39">
        <f>L85+Q85+V85+AA85+AF85+AK85+AP85+AU85</f>
        <v>0</v>
      </c>
      <c r="BF85" s="39">
        <f>H85+M85</f>
        <v>159377</v>
      </c>
      <c r="BG85" s="106">
        <v>179808.65489644132</v>
      </c>
      <c r="BH85" s="102"/>
      <c r="BI85" s="102"/>
      <c r="BJ85" s="842"/>
      <c r="BK85" s="842"/>
      <c r="BM85" s="842"/>
      <c r="BN85" s="842"/>
    </row>
    <row r="86" spans="1:66" s="2" customFormat="1" ht="27.6">
      <c r="A86" s="11"/>
      <c r="B86" s="37" t="s">
        <v>50</v>
      </c>
      <c r="C86" s="149">
        <f>C84-C85</f>
        <v>2885065</v>
      </c>
      <c r="D86" s="149">
        <f>D84-D85</f>
        <v>-1654381</v>
      </c>
      <c r="E86" s="150">
        <f>E84-E85</f>
        <v>1230684</v>
      </c>
      <c r="F86" s="175"/>
      <c r="G86" s="150">
        <v>-450155.98199999996</v>
      </c>
      <c r="H86" s="150">
        <v>-234226.6</v>
      </c>
      <c r="I86" s="150">
        <v>4256073.5819231477</v>
      </c>
      <c r="J86" s="73"/>
      <c r="K86" s="570"/>
      <c r="L86" s="150">
        <f>L84-L85</f>
        <v>-7642.11</v>
      </c>
      <c r="M86" s="150">
        <f>M84-M85</f>
        <v>-19333.75</v>
      </c>
      <c r="N86" s="150">
        <f>N84-N85</f>
        <v>-29864.811149425288</v>
      </c>
      <c r="O86" s="73"/>
      <c r="P86" s="73"/>
      <c r="Q86" s="150">
        <f>Q84-Q85</f>
        <v>288903.43200000003</v>
      </c>
      <c r="R86" s="150">
        <f>R84-R85</f>
        <v>-90781.43</v>
      </c>
      <c r="S86" s="150">
        <f>S84-S85</f>
        <v>184556.96073563222</v>
      </c>
      <c r="T86" s="73"/>
      <c r="U86" s="73"/>
      <c r="V86" s="150">
        <f>V84-V85</f>
        <v>0</v>
      </c>
      <c r="W86" s="150">
        <f>W84-W85</f>
        <v>0</v>
      </c>
      <c r="X86" s="150" t="e">
        <f>X84-X85</f>
        <v>#DIV/0!</v>
      </c>
      <c r="Y86" s="73"/>
      <c r="Z86" s="73"/>
      <c r="AA86" s="150">
        <f>AA84-AA85</f>
        <v>0</v>
      </c>
      <c r="AB86" s="150">
        <f>AB84-AB85</f>
        <v>0</v>
      </c>
      <c r="AC86" s="150">
        <f>AC84-AC85</f>
        <v>0</v>
      </c>
      <c r="AD86" s="73"/>
      <c r="AE86" s="73"/>
      <c r="AF86" s="150">
        <f>AF84-AF85</f>
        <v>0</v>
      </c>
      <c r="AG86" s="150">
        <f>AG84-AG85</f>
        <v>0</v>
      </c>
      <c r="AH86" s="150" t="e">
        <f>AH84-AH85</f>
        <v>#DIV/0!</v>
      </c>
      <c r="AI86" s="73"/>
      <c r="AJ86" s="73"/>
      <c r="AK86" s="150">
        <f>AK84-AK85</f>
        <v>0</v>
      </c>
      <c r="AL86" s="150">
        <f>AL84-AL85</f>
        <v>0</v>
      </c>
      <c r="AM86" s="150">
        <f>AM84-AM85</f>
        <v>0</v>
      </c>
      <c r="AN86" s="73"/>
      <c r="AO86" s="73"/>
      <c r="AP86" s="150">
        <f>AP84-AP85</f>
        <v>0</v>
      </c>
      <c r="AQ86" s="150">
        <f>AQ84-AQ85</f>
        <v>0</v>
      </c>
      <c r="AR86" s="150">
        <f>AR84-AR85</f>
        <v>0</v>
      </c>
      <c r="AS86" s="73"/>
      <c r="AT86" s="73"/>
      <c r="AU86" s="150">
        <f>AU84-AU85</f>
        <v>6.9999999999708962E-2</v>
      </c>
      <c r="AV86" s="150">
        <f>AV84-AV85</f>
        <v>0</v>
      </c>
      <c r="AW86" s="150">
        <f>AW84-AW85</f>
        <v>6.9999999999708962E-2</v>
      </c>
      <c r="AX86" s="73"/>
      <c r="AY86" s="73"/>
      <c r="AZ86" s="150">
        <f>AZ84-AZ85</f>
        <v>0</v>
      </c>
      <c r="BA86" s="150">
        <f>BA84-BA85</f>
        <v>0</v>
      </c>
      <c r="BB86" s="150">
        <f>BB84-BB85</f>
        <v>0</v>
      </c>
      <c r="BC86" s="73"/>
      <c r="BD86" s="73"/>
      <c r="BE86" s="150">
        <f>BE84-BE85</f>
        <v>281261.32200000004</v>
      </c>
      <c r="BF86" s="150">
        <f>BF84-BF85</f>
        <v>-269492.18</v>
      </c>
      <c r="BG86" s="150">
        <f>BG84-BG85</f>
        <v>4410765.7315093549</v>
      </c>
      <c r="BH86" s="73"/>
      <c r="BI86" s="73"/>
      <c r="BJ86" s="842"/>
      <c r="BK86" s="842"/>
      <c r="BM86" s="842"/>
      <c r="BN86" s="842"/>
    </row>
    <row r="87" spans="1:66" s="2" customFormat="1" ht="14.4" thickBot="1">
      <c r="A87" s="295"/>
      <c r="B87" s="29" t="s">
        <v>51</v>
      </c>
      <c r="C87" s="155">
        <f>C86/C5</f>
        <v>0.52681866579650727</v>
      </c>
      <c r="D87" s="151" t="e">
        <f>D86/D5</f>
        <v>#DIV/0!</v>
      </c>
      <c r="E87" s="156">
        <f>E86/E5</f>
        <v>0.22472537114314883</v>
      </c>
      <c r="F87" s="176"/>
      <c r="G87" s="155">
        <v>-2.9094072811078633E-2</v>
      </c>
      <c r="H87" s="151" t="e">
        <v>#DIV/0!</v>
      </c>
      <c r="I87" s="156">
        <v>0.27507468440523869</v>
      </c>
      <c r="J87" s="75"/>
      <c r="K87" s="966"/>
      <c r="L87" s="155" t="e">
        <f>L86/L5</f>
        <v>#DIV/0!</v>
      </c>
      <c r="M87" s="151" t="e">
        <f>M86/M5</f>
        <v>#DIV/0!</v>
      </c>
      <c r="N87" s="156" t="e">
        <f>N86/N5</f>
        <v>#DIV/0!</v>
      </c>
      <c r="O87" s="75"/>
      <c r="P87" s="75"/>
      <c r="Q87" s="155">
        <f>Q86/Q5</f>
        <v>0.9400380383874567</v>
      </c>
      <c r="R87" s="151" t="e">
        <f>R86/R5</f>
        <v>#DIV/0!</v>
      </c>
      <c r="S87" s="156">
        <f>S86/S5</f>
        <v>0.60051402691773681</v>
      </c>
      <c r="T87" s="75"/>
      <c r="U87" s="75"/>
      <c r="V87" s="155" t="e">
        <f>V86/V5</f>
        <v>#DIV/0!</v>
      </c>
      <c r="W87" s="151" t="e">
        <f>W86/W5</f>
        <v>#DIV/0!</v>
      </c>
      <c r="X87" s="156" t="e">
        <f>X86/X5</f>
        <v>#DIV/0!</v>
      </c>
      <c r="Y87" s="75"/>
      <c r="Z87" s="75"/>
      <c r="AA87" s="155" t="e">
        <f>AA86/AA5</f>
        <v>#DIV/0!</v>
      </c>
      <c r="AB87" s="151" t="e">
        <f>AB86/AB5</f>
        <v>#DIV/0!</v>
      </c>
      <c r="AC87" s="156" t="e">
        <f>AC86/AC5</f>
        <v>#DIV/0!</v>
      </c>
      <c r="AD87" s="75"/>
      <c r="AE87" s="75"/>
      <c r="AF87" s="155" t="e">
        <f>AF86/AF5</f>
        <v>#DIV/0!</v>
      </c>
      <c r="AG87" s="151" t="e">
        <f>AG86/AG5</f>
        <v>#DIV/0!</v>
      </c>
      <c r="AH87" s="156" t="e">
        <f>AH86/AH5</f>
        <v>#DIV/0!</v>
      </c>
      <c r="AI87" s="75"/>
      <c r="AJ87" s="75"/>
      <c r="AK87" s="155" t="e">
        <f>AK86/AK5</f>
        <v>#DIV/0!</v>
      </c>
      <c r="AL87" s="151" t="e">
        <f>AL86/AL5</f>
        <v>#DIV/0!</v>
      </c>
      <c r="AM87" s="156" t="e">
        <f>AM86/AM5</f>
        <v>#DIV/0!</v>
      </c>
      <c r="AN87" s="75"/>
      <c r="AO87" s="75"/>
      <c r="AP87" s="155" t="e">
        <f>AP86/AP5</f>
        <v>#DIV/0!</v>
      </c>
      <c r="AQ87" s="151" t="e">
        <f>AQ86/AQ5</f>
        <v>#DIV/0!</v>
      </c>
      <c r="AR87" s="156" t="e">
        <f>AR86/AR5</f>
        <v>#DIV/0!</v>
      </c>
      <c r="AS87" s="75"/>
      <c r="AT87" s="75"/>
      <c r="AU87" s="155" t="e">
        <f>AU86/AU5</f>
        <v>#DIV/0!</v>
      </c>
      <c r="AV87" s="151" t="e">
        <f>AV86/AV5</f>
        <v>#DIV/0!</v>
      </c>
      <c r="AW87" s="156" t="e">
        <f>AW86/AW5</f>
        <v>#DIV/0!</v>
      </c>
      <c r="AX87" s="75"/>
      <c r="AY87" s="75"/>
      <c r="AZ87" s="155" t="e">
        <f>AZ86/AZ5</f>
        <v>#DIV/0!</v>
      </c>
      <c r="BA87" s="151" t="e">
        <f>BA86/BA5</f>
        <v>#DIV/0!</v>
      </c>
      <c r="BB87" s="156" t="e">
        <f>BB86/BB5</f>
        <v>#DIV/0!</v>
      </c>
      <c r="BC87" s="75"/>
      <c r="BD87" s="75"/>
      <c r="BE87" s="155">
        <f>BE86/BE5</f>
        <v>1.7824181536946423E-2</v>
      </c>
      <c r="BF87" s="151" t="e">
        <f>BF86/BF5</f>
        <v>#DIV/0!</v>
      </c>
      <c r="BG87" s="156">
        <f>BG86/BG5</f>
        <v>0.2795204422574854</v>
      </c>
      <c r="BH87" s="75"/>
      <c r="BI87" s="75"/>
      <c r="BJ87" s="842"/>
      <c r="BK87" s="842"/>
    </row>
    <row r="88" spans="1:66" ht="13.8">
      <c r="A88" s="30"/>
      <c r="B88" s="30"/>
      <c r="C88" s="152"/>
      <c r="D88" s="152"/>
      <c r="E88" s="152"/>
      <c r="F88" s="188"/>
      <c r="G88" s="76"/>
      <c r="H88" s="76"/>
      <c r="I88" s="76"/>
      <c r="J88" s="76"/>
      <c r="K88" s="188"/>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928"/>
      <c r="BK88" s="928"/>
    </row>
    <row r="89" spans="1:66">
      <c r="B89" s="221" t="s">
        <v>56</v>
      </c>
      <c r="C89" s="153"/>
      <c r="D89" s="153"/>
      <c r="E89" s="154">
        <f>E8+E36+E41+E50+E54+E73+E79+E82+E85</f>
        <v>4245707</v>
      </c>
      <c r="F89" s="154"/>
      <c r="G89" s="154"/>
      <c r="H89" s="154"/>
      <c r="I89" s="154">
        <v>11273955.628076857</v>
      </c>
      <c r="J89" s="154"/>
      <c r="K89" s="154"/>
      <c r="L89" s="154"/>
      <c r="M89" s="154"/>
      <c r="N89" s="154">
        <f>N8+N36+N41+N50+N54+N73+N79+N82+N85</f>
        <v>29864.811149425288</v>
      </c>
      <c r="O89" s="154"/>
      <c r="P89" s="154"/>
      <c r="Q89" s="154"/>
      <c r="R89" s="154"/>
      <c r="S89" s="154">
        <f>S8+S36+S41+S50+S54+S73+S79+S82+S85</f>
        <v>122774.67926436781</v>
      </c>
      <c r="X89" s="154" t="e">
        <f>X8+X36+X41+X50+X54+X73+X79+X82+X85</f>
        <v>#DIV/0!</v>
      </c>
      <c r="AC89" s="154">
        <f>AC8+AC36+AC41+AC50+AC54+AC73+AC79+AC82+AC85</f>
        <v>0</v>
      </c>
      <c r="AH89" s="154" t="e">
        <f>AH8+AH36+AH41+AH50+AH54+AH73+AH79+AH82+AH85</f>
        <v>#DIV/0!</v>
      </c>
      <c r="AM89" s="154">
        <f>AM8+AM36+AM41+AM50+AM54+AM73+AM79+AM82+AM85</f>
        <v>0</v>
      </c>
      <c r="AR89" s="154">
        <f>AR8+AR36+AR41+AR50+AR54+AR73+AR79+AR82+AR85</f>
        <v>0</v>
      </c>
      <c r="AW89" s="154">
        <f>AW8+AW36+AW41+AW50+AW54+AW73+AW79+AW82+AW85</f>
        <v>-6.9999999999708962E-2</v>
      </c>
      <c r="BB89" s="154">
        <f>BB8+BB36+BB41+BB50+BB54+BB73+BB79+BB82+BB85</f>
        <v>0</v>
      </c>
      <c r="BG89" s="154">
        <f>BG8+BG36+BG41+BG50+BG54+BG73+BG79+BG82+BG85</f>
        <v>11426595.118490651</v>
      </c>
      <c r="BJ89" s="928"/>
      <c r="BK89" s="928"/>
    </row>
    <row r="90" spans="1:66">
      <c r="C90" s="153"/>
      <c r="D90" s="153"/>
      <c r="E90" s="153"/>
      <c r="BG90" s="395" t="b">
        <f>(N89+I89)=BG89</f>
        <v>0</v>
      </c>
      <c r="BJ90" s="928"/>
      <c r="BK90" s="928"/>
    </row>
    <row r="91" spans="1:66"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row>
    <row r="92" spans="1:66">
      <c r="C92" s="38"/>
      <c r="D92" s="38"/>
    </row>
    <row r="93" spans="1:66" s="2" customFormat="1">
      <c r="A93" s="8"/>
      <c r="B93" s="629"/>
      <c r="C93" s="38"/>
      <c r="D93" s="38"/>
      <c r="E93" s="38"/>
      <c r="F93" s="38"/>
      <c r="G93" s="38"/>
      <c r="H93" s="38"/>
      <c r="I93" s="38"/>
      <c r="J93" s="38"/>
      <c r="K93" s="38"/>
      <c r="L93" s="38"/>
      <c r="M93" s="38"/>
      <c r="N93" s="38"/>
      <c r="O93" s="38"/>
      <c r="P93" s="38"/>
      <c r="Q93" s="38"/>
      <c r="R93" s="629"/>
      <c r="S93" s="38"/>
      <c r="T93" s="38"/>
      <c r="U93" s="38"/>
      <c r="V93" s="82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row>
    <row r="94" spans="1:66" s="2" customFormat="1">
      <c r="A94" s="8"/>
      <c r="B94" s="629"/>
      <c r="C94" s="38"/>
      <c r="D94" s="38"/>
      <c r="E94" s="38"/>
      <c r="F94" s="38"/>
      <c r="G94" s="38"/>
      <c r="H94" s="38"/>
      <c r="I94" s="38"/>
      <c r="J94" s="38"/>
      <c r="K94" s="38"/>
      <c r="L94" s="38"/>
      <c r="M94" s="38"/>
      <c r="N94" s="38"/>
      <c r="O94" s="38"/>
      <c r="P94" s="38"/>
      <c r="Q94" s="626"/>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626"/>
      <c r="BF94" s="38"/>
      <c r="BG94" s="38"/>
      <c r="BH94" s="38"/>
      <c r="BI94" s="38"/>
    </row>
    <row r="95" spans="1:66" s="2" customFormat="1">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row>
    <row r="96" spans="1:66" s="2" customFormat="1">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row>
    <row r="97" spans="1:61">
      <c r="C97" s="38"/>
      <c r="D97" s="38"/>
    </row>
    <row r="98" spans="1:61"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row>
    <row r="99" spans="1:61">
      <c r="C99" s="38"/>
      <c r="D99" s="38"/>
    </row>
  </sheetData>
  <mergeCells count="14">
    <mergeCell ref="AZ2:BD3"/>
    <mergeCell ref="G2:K3"/>
    <mergeCell ref="BE2:BI3"/>
    <mergeCell ref="V2:Y3"/>
    <mergeCell ref="AA2:AE3"/>
    <mergeCell ref="AF2:AJ3"/>
    <mergeCell ref="AK2:AO3"/>
    <mergeCell ref="AP2:AT3"/>
    <mergeCell ref="Q2:U3"/>
    <mergeCell ref="A3:F3"/>
    <mergeCell ref="A42:A48"/>
    <mergeCell ref="L2:P3"/>
    <mergeCell ref="A2:F2"/>
    <mergeCell ref="AU2:AY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U98"/>
  <sheetViews>
    <sheetView zoomScale="80" zoomScaleNormal="80" workbookViewId="0">
      <pane xSplit="2" ySplit="5" topLeftCell="C6" activePane="bottomRight" state="frozen"/>
      <selection activeCell="B10" sqref="B10"/>
      <selection pane="topRight" activeCell="B10" sqref="B10"/>
      <selection pane="bottomLeft" activeCell="B10" sqref="B10"/>
      <selection pane="bottomRight" activeCell="AR16" sqref="AR16"/>
    </sheetView>
  </sheetViews>
  <sheetFormatPr defaultColWidth="7.44140625" defaultRowHeight="13.2" outlineLevelCol="1"/>
  <cols>
    <col min="1" max="1" width="5.5546875" style="8" customWidth="1"/>
    <col min="2" max="2" width="47.44140625" style="8" customWidth="1"/>
    <col min="3" max="4" width="16.33203125" style="38" hidden="1" customWidth="1" outlineLevel="1"/>
    <col min="5" max="5" width="11.6640625" style="38" hidden="1" customWidth="1" outlineLevel="1"/>
    <col min="6" max="6" width="9" style="38" hidden="1" customWidth="1" outlineLevel="1"/>
    <col min="7" max="7" width="23.44140625" style="38" hidden="1" customWidth="1" outlineLevel="1"/>
    <col min="8" max="8" width="17.6640625" style="38" customWidth="1" collapsed="1"/>
    <col min="9" max="9" width="11.6640625" style="38" customWidth="1"/>
    <col min="10" max="10" width="18.6640625" style="38" customWidth="1"/>
    <col min="11" max="11" width="15.6640625" style="38" customWidth="1"/>
    <col min="12" max="12" width="29.6640625" style="38" customWidth="1"/>
    <col min="13" max="13" width="18.33203125" style="38" hidden="1" customWidth="1" outlineLevel="1"/>
    <col min="14" max="14" width="18.6640625" style="38" hidden="1" customWidth="1" outlineLevel="1"/>
    <col min="15" max="15" width="19.6640625" style="38" hidden="1" customWidth="1" outlineLevel="1"/>
    <col min="16" max="16" width="9.6640625" style="38" hidden="1" customWidth="1" outlineLevel="1"/>
    <col min="17" max="17" width="29.6640625" style="38" hidden="1" customWidth="1" outlineLevel="1"/>
    <col min="18" max="18" width="18.6640625" style="38" hidden="1" customWidth="1" outlineLevel="1"/>
    <col min="19" max="19" width="18.33203125" style="38" hidden="1" customWidth="1" outlineLevel="1"/>
    <col min="20" max="20" width="23.88671875" style="38" hidden="1" customWidth="1" outlineLevel="1"/>
    <col min="21" max="21" width="12.6640625" style="38" hidden="1" customWidth="1" outlineLevel="1"/>
    <col min="22" max="22" width="29.6640625" style="38" hidden="1" customWidth="1" outlineLevel="1"/>
    <col min="23" max="24" width="16.44140625" style="38" hidden="1" customWidth="1" outlineLevel="1"/>
    <col min="25" max="25" width="10.5546875" style="38" hidden="1" customWidth="1" outlineLevel="1"/>
    <col min="26" max="26" width="11.109375" style="38" hidden="1" customWidth="1" outlineLevel="1"/>
    <col min="27" max="36" width="16.44140625" style="38" hidden="1" customWidth="1" outlineLevel="1"/>
    <col min="37" max="42" width="19" style="38" hidden="1" customWidth="1" outlineLevel="1"/>
    <col min="43" max="43" width="16.33203125" style="38" customWidth="1" collapsed="1"/>
    <col min="44" max="45" width="16.33203125" style="38" customWidth="1"/>
    <col min="46" max="46" width="9" style="38" customWidth="1"/>
    <col min="47" max="47" width="16.33203125" style="38" customWidth="1"/>
    <col min="48" max="16384" width="7.44140625" style="1"/>
  </cols>
  <sheetData>
    <row r="1" spans="1:47" ht="13.8" thickBot="1"/>
    <row r="2" spans="1:47" ht="14.4" customHeight="1">
      <c r="A2" s="4834" t="s">
        <v>951</v>
      </c>
      <c r="B2" s="4835"/>
      <c r="C2" s="4982" t="s">
        <v>969</v>
      </c>
      <c r="D2" s="4983"/>
      <c r="E2" s="4983"/>
      <c r="F2" s="4983"/>
      <c r="G2" s="4984"/>
      <c r="H2" s="4973" t="s">
        <v>964</v>
      </c>
      <c r="I2" s="4974"/>
      <c r="J2" s="4974"/>
      <c r="K2" s="4974"/>
      <c r="L2" s="4975"/>
      <c r="M2" s="4904"/>
      <c r="N2" s="4905"/>
      <c r="O2" s="4905"/>
      <c r="P2" s="4905"/>
      <c r="Q2" s="4906"/>
      <c r="R2" s="4837"/>
      <c r="S2" s="4838"/>
      <c r="T2" s="4838"/>
      <c r="U2" s="4838"/>
      <c r="V2" s="948"/>
      <c r="W2" s="4837"/>
      <c r="X2" s="4838"/>
      <c r="Y2" s="4838"/>
      <c r="Z2" s="4838"/>
      <c r="AA2" s="4838"/>
      <c r="AB2" s="4922"/>
      <c r="AC2" s="4923"/>
      <c r="AD2" s="4923"/>
      <c r="AE2" s="4923"/>
      <c r="AF2" s="4924"/>
      <c r="AG2" s="4955"/>
      <c r="AH2" s="4956"/>
      <c r="AI2" s="4956"/>
      <c r="AJ2" s="4956"/>
      <c r="AK2" s="4957"/>
      <c r="AL2" s="4934"/>
      <c r="AM2" s="4935"/>
      <c r="AN2" s="4935"/>
      <c r="AO2" s="4935"/>
      <c r="AP2" s="4936"/>
      <c r="AQ2" s="4874" t="s">
        <v>469</v>
      </c>
      <c r="AR2" s="4875"/>
      <c r="AS2" s="4875"/>
      <c r="AT2" s="4875"/>
      <c r="AU2" s="4876"/>
    </row>
    <row r="3" spans="1:47" ht="15" customHeight="1" thickBot="1">
      <c r="A3" s="4853" t="s">
        <v>54</v>
      </c>
      <c r="B3" s="4854"/>
      <c r="C3" s="4985"/>
      <c r="D3" s="4986"/>
      <c r="E3" s="4986"/>
      <c r="F3" s="4986"/>
      <c r="G3" s="4987"/>
      <c r="H3" s="4976"/>
      <c r="I3" s="4977"/>
      <c r="J3" s="4977"/>
      <c r="K3" s="4977"/>
      <c r="L3" s="4978"/>
      <c r="M3" s="4907"/>
      <c r="N3" s="4908"/>
      <c r="O3" s="4908"/>
      <c r="P3" s="4908"/>
      <c r="Q3" s="4909"/>
      <c r="R3" s="4839"/>
      <c r="S3" s="4840"/>
      <c r="T3" s="4840"/>
      <c r="U3" s="4840"/>
      <c r="V3" s="949"/>
      <c r="W3" s="4839"/>
      <c r="X3" s="4840"/>
      <c r="Y3" s="4840"/>
      <c r="Z3" s="4840"/>
      <c r="AA3" s="4840"/>
      <c r="AB3" s="4925"/>
      <c r="AC3" s="4926"/>
      <c r="AD3" s="4926"/>
      <c r="AE3" s="4926"/>
      <c r="AF3" s="4927"/>
      <c r="AG3" s="4958"/>
      <c r="AH3" s="4959"/>
      <c r="AI3" s="4959"/>
      <c r="AJ3" s="4959"/>
      <c r="AK3" s="4960"/>
      <c r="AL3" s="4937"/>
      <c r="AM3" s="4938"/>
      <c r="AN3" s="4938"/>
      <c r="AO3" s="4938"/>
      <c r="AP3" s="4939"/>
      <c r="AQ3" s="4877"/>
      <c r="AR3" s="4878"/>
      <c r="AS3" s="4878"/>
      <c r="AT3" s="4878"/>
      <c r="AU3" s="4879"/>
    </row>
    <row r="4" spans="1:47" ht="41.4" thickBot="1">
      <c r="A4" s="92"/>
      <c r="B4" s="93" t="s">
        <v>11</v>
      </c>
      <c r="C4" s="94" t="s">
        <v>55</v>
      </c>
      <c r="D4" s="94" t="s">
        <v>18</v>
      </c>
      <c r="E4" s="95" t="s">
        <v>39</v>
      </c>
      <c r="F4" s="209" t="s">
        <v>40</v>
      </c>
      <c r="G4" s="95" t="s">
        <v>19</v>
      </c>
      <c r="H4" s="94" t="s">
        <v>55</v>
      </c>
      <c r="I4" s="94" t="s">
        <v>18</v>
      </c>
      <c r="J4" s="95" t="s">
        <v>39</v>
      </c>
      <c r="K4" s="209" t="s">
        <v>40</v>
      </c>
      <c r="L4" s="95" t="s">
        <v>19</v>
      </c>
      <c r="M4" s="94" t="s">
        <v>55</v>
      </c>
      <c r="N4" s="94" t="s">
        <v>18</v>
      </c>
      <c r="O4" s="95" t="s">
        <v>39</v>
      </c>
      <c r="P4" s="209" t="s">
        <v>40</v>
      </c>
      <c r="Q4" s="95" t="s">
        <v>19</v>
      </c>
      <c r="R4" s="94" t="s">
        <v>55</v>
      </c>
      <c r="S4" s="94" t="s">
        <v>18</v>
      </c>
      <c r="T4" s="95" t="s">
        <v>39</v>
      </c>
      <c r="U4" s="209" t="s">
        <v>40</v>
      </c>
      <c r="V4" s="95" t="s">
        <v>19</v>
      </c>
      <c r="W4" s="94" t="s">
        <v>55</v>
      </c>
      <c r="X4" s="94" t="s">
        <v>18</v>
      </c>
      <c r="Y4" s="95" t="s">
        <v>39</v>
      </c>
      <c r="Z4" s="209" t="s">
        <v>40</v>
      </c>
      <c r="AA4" s="632" t="s">
        <v>19</v>
      </c>
      <c r="AB4" s="632" t="s">
        <v>55</v>
      </c>
      <c r="AC4" s="632" t="s">
        <v>18</v>
      </c>
      <c r="AD4" s="653" t="s">
        <v>39</v>
      </c>
      <c r="AE4" s="654" t="s">
        <v>40</v>
      </c>
      <c r="AF4" s="653" t="s">
        <v>19</v>
      </c>
      <c r="AG4" s="632" t="s">
        <v>55</v>
      </c>
      <c r="AH4" s="632" t="s">
        <v>18</v>
      </c>
      <c r="AI4" s="653" t="s">
        <v>39</v>
      </c>
      <c r="AJ4" s="654" t="s">
        <v>40</v>
      </c>
      <c r="AK4" s="653" t="s">
        <v>19</v>
      </c>
      <c r="AL4" s="632" t="s">
        <v>55</v>
      </c>
      <c r="AM4" s="632" t="s">
        <v>18</v>
      </c>
      <c r="AN4" s="653" t="s">
        <v>39</v>
      </c>
      <c r="AO4" s="654" t="s">
        <v>40</v>
      </c>
      <c r="AP4" s="653" t="s">
        <v>19</v>
      </c>
      <c r="AQ4" s="94" t="s">
        <v>55</v>
      </c>
      <c r="AR4" s="94" t="s">
        <v>18</v>
      </c>
      <c r="AS4" s="95" t="s">
        <v>39</v>
      </c>
      <c r="AT4" s="209" t="s">
        <v>40</v>
      </c>
      <c r="AU4" s="95" t="s">
        <v>19</v>
      </c>
    </row>
    <row r="5" spans="1:47" s="88" customFormat="1" ht="14.4" thickBot="1">
      <c r="A5" s="83"/>
      <c r="B5" s="84" t="s">
        <v>10</v>
      </c>
      <c r="C5" s="87">
        <f>C6</f>
        <v>0</v>
      </c>
      <c r="D5" s="87">
        <f>D6</f>
        <v>0</v>
      </c>
      <c r="E5" s="87">
        <f>E6</f>
        <v>0</v>
      </c>
      <c r="F5" s="87"/>
      <c r="G5" s="87"/>
      <c r="H5" s="87">
        <f>H6</f>
        <v>0</v>
      </c>
      <c r="I5" s="87">
        <f>I6</f>
        <v>0</v>
      </c>
      <c r="J5" s="87">
        <f>J6</f>
        <v>0</v>
      </c>
      <c r="K5" s="87"/>
      <c r="L5" s="87"/>
      <c r="M5" s="87">
        <f>M6</f>
        <v>0</v>
      </c>
      <c r="N5" s="87">
        <f>N6</f>
        <v>0</v>
      </c>
      <c r="O5" s="87">
        <f>O6</f>
        <v>0</v>
      </c>
      <c r="P5" s="87"/>
      <c r="Q5" s="87"/>
      <c r="R5" s="87">
        <f>R6</f>
        <v>0</v>
      </c>
      <c r="S5" s="87">
        <f>S6</f>
        <v>0</v>
      </c>
      <c r="T5" s="87">
        <f>T6</f>
        <v>0</v>
      </c>
      <c r="U5" s="87"/>
      <c r="V5" s="87"/>
      <c r="W5" s="87">
        <f>W6</f>
        <v>0</v>
      </c>
      <c r="X5" s="87">
        <f>X6</f>
        <v>0</v>
      </c>
      <c r="Y5" s="87">
        <f>Y6</f>
        <v>0</v>
      </c>
      <c r="Z5" s="87"/>
      <c r="AA5" s="633"/>
      <c r="AB5" s="655">
        <f>AB6</f>
        <v>0</v>
      </c>
      <c r="AC5" s="620">
        <f>AC6</f>
        <v>0</v>
      </c>
      <c r="AD5" s="620">
        <f>AD6</f>
        <v>0</v>
      </c>
      <c r="AE5" s="620"/>
      <c r="AF5" s="620"/>
      <c r="AG5" s="655">
        <f>AG6</f>
        <v>0</v>
      </c>
      <c r="AH5" s="620">
        <f>AH6</f>
        <v>0</v>
      </c>
      <c r="AI5" s="620">
        <f>AI6</f>
        <v>0</v>
      </c>
      <c r="AJ5" s="620"/>
      <c r="AK5" s="620"/>
      <c r="AL5" s="655">
        <f>AL6</f>
        <v>0</v>
      </c>
      <c r="AM5" s="620">
        <f>AM6</f>
        <v>0</v>
      </c>
      <c r="AN5" s="620">
        <f>AN6</f>
        <v>0</v>
      </c>
      <c r="AO5" s="620"/>
      <c r="AP5" s="620"/>
      <c r="AQ5" s="87">
        <f>AQ6</f>
        <v>0</v>
      </c>
      <c r="AR5" s="87">
        <f>AR6</f>
        <v>0</v>
      </c>
      <c r="AS5" s="87">
        <f>AS6</f>
        <v>0</v>
      </c>
      <c r="AT5" s="87"/>
      <c r="AU5" s="87"/>
    </row>
    <row r="6" spans="1:47" s="2" customFormat="1" ht="13.8">
      <c r="A6" s="330">
        <f>'PL_Сватово очередь 2'!I6</f>
        <v>0</v>
      </c>
      <c r="B6" s="9" t="s">
        <v>17</v>
      </c>
      <c r="C6" s="39"/>
      <c r="D6" s="39"/>
      <c r="E6" s="106">
        <f>C6+D6</f>
        <v>0</v>
      </c>
      <c r="F6" s="39"/>
      <c r="G6" s="39"/>
      <c r="H6" s="39"/>
      <c r="I6" s="39"/>
      <c r="J6" s="106">
        <f>H6+I6</f>
        <v>0</v>
      </c>
      <c r="K6" s="39"/>
      <c r="L6" s="39"/>
      <c r="M6" s="39"/>
      <c r="N6" s="39"/>
      <c r="O6" s="106">
        <f>M6+N6</f>
        <v>0</v>
      </c>
      <c r="P6" s="39"/>
      <c r="Q6" s="39"/>
      <c r="R6" s="39"/>
      <c r="S6" s="39"/>
      <c r="T6" s="106">
        <f>R6+S6</f>
        <v>0</v>
      </c>
      <c r="U6" s="39"/>
      <c r="V6" s="39"/>
      <c r="W6" s="39"/>
      <c r="X6" s="39"/>
      <c r="Y6" s="106">
        <f>W6+X6</f>
        <v>0</v>
      </c>
      <c r="Z6" s="39"/>
      <c r="AA6" s="540"/>
      <c r="AB6" s="560"/>
      <c r="AC6" s="452"/>
      <c r="AD6" s="446">
        <f>AB6+AC6</f>
        <v>0</v>
      </c>
      <c r="AE6" s="452"/>
      <c r="AF6" s="452"/>
      <c r="AG6" s="560"/>
      <c r="AH6" s="452"/>
      <c r="AI6" s="446">
        <f>AG6+AH6</f>
        <v>0</v>
      </c>
      <c r="AJ6" s="452"/>
      <c r="AK6" s="452"/>
      <c r="AL6" s="560"/>
      <c r="AM6" s="452"/>
      <c r="AN6" s="446">
        <f>AL6+AM6</f>
        <v>0</v>
      </c>
      <c r="AO6" s="452"/>
      <c r="AP6" s="452"/>
      <c r="AQ6" s="39">
        <f>C6+H6</f>
        <v>0</v>
      </c>
      <c r="AR6" s="39">
        <f>D6+I6</f>
        <v>0</v>
      </c>
      <c r="AS6" s="106">
        <f>AQ6+AR6</f>
        <v>0</v>
      </c>
      <c r="AT6" s="39"/>
      <c r="AU6" s="39"/>
    </row>
    <row r="7" spans="1:47" s="2" customFormat="1" ht="14.4" thickBot="1">
      <c r="A7" s="238"/>
      <c r="B7" s="10" t="s">
        <v>41</v>
      </c>
      <c r="C7" s="39"/>
      <c r="D7" s="39"/>
      <c r="E7" s="106">
        <f>C7+D7</f>
        <v>0</v>
      </c>
      <c r="F7" s="40"/>
      <c r="G7" s="40"/>
      <c r="H7" s="39"/>
      <c r="I7" s="39"/>
      <c r="J7" s="106">
        <f>H7+I7</f>
        <v>0</v>
      </c>
      <c r="K7" s="40"/>
      <c r="L7" s="40"/>
      <c r="M7" s="39"/>
      <c r="N7" s="39"/>
      <c r="O7" s="106">
        <f>M7+N7</f>
        <v>0</v>
      </c>
      <c r="P7" s="40"/>
      <c r="Q7" s="40"/>
      <c r="R7" s="39"/>
      <c r="S7" s="39"/>
      <c r="T7" s="106">
        <f>R7+S7</f>
        <v>0</v>
      </c>
      <c r="U7" s="40"/>
      <c r="V7" s="40"/>
      <c r="W7" s="39"/>
      <c r="X7" s="39"/>
      <c r="Y7" s="106">
        <f>W7+X7</f>
        <v>0</v>
      </c>
      <c r="Z7" s="40"/>
      <c r="AA7" s="729"/>
      <c r="AB7" s="560"/>
      <c r="AC7" s="452"/>
      <c r="AD7" s="446">
        <f>AB7+AC7</f>
        <v>0</v>
      </c>
      <c r="AE7" s="612"/>
      <c r="AF7" s="612"/>
      <c r="AG7" s="560"/>
      <c r="AH7" s="452"/>
      <c r="AI7" s="446">
        <f>AG7+AH7</f>
        <v>0</v>
      </c>
      <c r="AJ7" s="612"/>
      <c r="AK7" s="612"/>
      <c r="AL7" s="560"/>
      <c r="AM7" s="452"/>
      <c r="AN7" s="446">
        <f>AL7+AM7</f>
        <v>0</v>
      </c>
      <c r="AO7" s="612"/>
      <c r="AP7" s="612"/>
      <c r="AQ7" s="39">
        <f>C7+H7</f>
        <v>0</v>
      </c>
      <c r="AR7" s="39">
        <f>D7+I7</f>
        <v>0</v>
      </c>
      <c r="AS7" s="106">
        <f>AQ7+AR7</f>
        <v>0</v>
      </c>
      <c r="AT7" s="40"/>
      <c r="AU7" s="40"/>
    </row>
    <row r="8" spans="1:47" s="88" customFormat="1" ht="14.4" thickBot="1">
      <c r="A8" s="238"/>
      <c r="B8" s="84" t="s">
        <v>16</v>
      </c>
      <c r="C8" s="109">
        <f>SUM(C9:C33)</f>
        <v>0</v>
      </c>
      <c r="D8" s="109">
        <f>SUM(D9:D33)</f>
        <v>0</v>
      </c>
      <c r="E8" s="110">
        <f>SUM(E9:E33)</f>
        <v>0</v>
      </c>
      <c r="F8" s="164">
        <f>E8/$E$89</f>
        <v>0</v>
      </c>
      <c r="G8" s="87"/>
      <c r="H8" s="109">
        <f>SUM(H9:H33)</f>
        <v>0</v>
      </c>
      <c r="I8" s="109">
        <f>SUM(I9:I33)</f>
        <v>0</v>
      </c>
      <c r="J8" s="110">
        <f>SUM(J9:J33)</f>
        <v>0</v>
      </c>
      <c r="K8" s="164" t="e">
        <f>J8/$J$89</f>
        <v>#DIV/0!</v>
      </c>
      <c r="L8" s="87"/>
      <c r="M8" s="109">
        <f>SUM(M9:M33)</f>
        <v>0</v>
      </c>
      <c r="N8" s="109">
        <f>SUM(N9:N33)</f>
        <v>0</v>
      </c>
      <c r="O8" s="110">
        <f>SUM(O9:O33)</f>
        <v>0</v>
      </c>
      <c r="P8" s="164" t="e">
        <f>O8/$O$89</f>
        <v>#DIV/0!</v>
      </c>
      <c r="Q8" s="87"/>
      <c r="R8" s="109">
        <f>SUM(R9:R33)</f>
        <v>0</v>
      </c>
      <c r="S8" s="109">
        <f>SUM(S9:S33)</f>
        <v>0</v>
      </c>
      <c r="T8" s="110">
        <f>SUM(T9:T33)</f>
        <v>0</v>
      </c>
      <c r="U8" s="164" t="e">
        <f>T8/$T$89</f>
        <v>#DIV/0!</v>
      </c>
      <c r="V8" s="87"/>
      <c r="W8" s="109">
        <f>SUM(W9:W33)</f>
        <v>0</v>
      </c>
      <c r="X8" s="109">
        <f>SUM(X9:X33)</f>
        <v>0</v>
      </c>
      <c r="Y8" s="110">
        <f>SUM(Y9:Y33)</f>
        <v>0</v>
      </c>
      <c r="Z8" s="164" t="e">
        <f>Y8/$Y$89</f>
        <v>#DIV/0!</v>
      </c>
      <c r="AA8" s="633"/>
      <c r="AB8" s="618">
        <f>SUM(AB9:AB33)</f>
        <v>0</v>
      </c>
      <c r="AC8" s="618">
        <f>SUM(AC9:AC33)</f>
        <v>0</v>
      </c>
      <c r="AD8" s="619">
        <f>SUM(AD9:AD33)</f>
        <v>0</v>
      </c>
      <c r="AE8" s="577" t="e">
        <f>AD8/$Y$89</f>
        <v>#DIV/0!</v>
      </c>
      <c r="AF8" s="620"/>
      <c r="AG8" s="618">
        <f>SUM(AG9:AG33)</f>
        <v>0</v>
      </c>
      <c r="AH8" s="618">
        <f>SUM(AH9:AH33)</f>
        <v>0</v>
      </c>
      <c r="AI8" s="619">
        <f>SUM(AI9:AI33)</f>
        <v>0</v>
      </c>
      <c r="AJ8" s="577" t="e">
        <f>AI8/$Y$89</f>
        <v>#DIV/0!</v>
      </c>
      <c r="AK8" s="620"/>
      <c r="AL8" s="618">
        <f>SUM(AL9:AL33)</f>
        <v>0</v>
      </c>
      <c r="AM8" s="618">
        <f>SUM(AM9:AM33)</f>
        <v>0</v>
      </c>
      <c r="AN8" s="619">
        <f>SUM(AN9:AN33)</f>
        <v>0</v>
      </c>
      <c r="AO8" s="577" t="e">
        <f>AN8/$Y$89</f>
        <v>#DIV/0!</v>
      </c>
      <c r="AP8" s="620"/>
      <c r="AQ8" s="109">
        <f>SUM(AQ9:AQ33)</f>
        <v>0</v>
      </c>
      <c r="AR8" s="109">
        <f>SUM(AR9:AR33)</f>
        <v>0</v>
      </c>
      <c r="AS8" s="110">
        <f>SUM(AS9:AS33)</f>
        <v>0</v>
      </c>
      <c r="AT8" s="164" t="e">
        <f t="shared" ref="AT8:AT33" si="0">AS8/$AS$89</f>
        <v>#DIV/0!</v>
      </c>
      <c r="AU8" s="87"/>
    </row>
    <row r="9" spans="1:47" s="2" customFormat="1" ht="13.8">
      <c r="A9" s="238"/>
      <c r="B9" s="481" t="s">
        <v>74</v>
      </c>
      <c r="C9" s="488"/>
      <c r="D9" s="488"/>
      <c r="E9" s="489">
        <f>C9+D9*1</f>
        <v>0</v>
      </c>
      <c r="F9" s="485">
        <f t="shared" ref="F9:F72" si="1">E9/$E$89</f>
        <v>0</v>
      </c>
      <c r="G9" s="516"/>
      <c r="H9" s="488"/>
      <c r="I9" s="488"/>
      <c r="J9" s="489">
        <f>H9+I9*1</f>
        <v>0</v>
      </c>
      <c r="K9" s="485" t="e">
        <f>J9/$J$89</f>
        <v>#DIV/0!</v>
      </c>
      <c r="L9" s="517"/>
      <c r="M9" s="488"/>
      <c r="N9" s="488"/>
      <c r="O9" s="489">
        <f>M9+N9*1</f>
        <v>0</v>
      </c>
      <c r="P9" s="485" t="e">
        <f>O9/$O$89</f>
        <v>#DIV/0!</v>
      </c>
      <c r="Q9" s="879"/>
      <c r="R9" s="488"/>
      <c r="S9" s="488"/>
      <c r="T9" s="489">
        <f>R9+S9*1</f>
        <v>0</v>
      </c>
      <c r="U9" s="485" t="e">
        <f>T9/$T$89</f>
        <v>#DIV/0!</v>
      </c>
      <c r="V9" s="879"/>
      <c r="W9" s="488"/>
      <c r="X9" s="488"/>
      <c r="Y9" s="489">
        <f>W9+X9*1</f>
        <v>0</v>
      </c>
      <c r="Z9" s="485" t="e">
        <f>Y9/$Y$89</f>
        <v>#DIV/0!</v>
      </c>
      <c r="AA9" s="891"/>
      <c r="AB9" s="892"/>
      <c r="AC9" s="488"/>
      <c r="AD9" s="489">
        <f>AB9+AC9*1</f>
        <v>0</v>
      </c>
      <c r="AE9" s="485" t="e">
        <f>AD9/$AD$89</f>
        <v>#DIV/0!</v>
      </c>
      <c r="AF9" s="879"/>
      <c r="AG9" s="892"/>
      <c r="AH9" s="488"/>
      <c r="AI9" s="489">
        <f>AG9+AH9*1</f>
        <v>0</v>
      </c>
      <c r="AJ9" s="485" t="e">
        <f>AI9/$AD$89</f>
        <v>#DIV/0!</v>
      </c>
      <c r="AK9" s="879"/>
      <c r="AL9" s="892"/>
      <c r="AM9" s="488"/>
      <c r="AN9" s="489">
        <f>AL9+AM9*1</f>
        <v>0</v>
      </c>
      <c r="AO9" s="485" t="e">
        <f>AN9/$AD$89</f>
        <v>#DIV/0!</v>
      </c>
      <c r="AP9" s="879"/>
      <c r="AQ9" s="488">
        <f t="shared" ref="AQ9:AQ33" si="2">C9+H9</f>
        <v>0</v>
      </c>
      <c r="AR9" s="488">
        <f t="shared" ref="AR9:AR33" si="3">D9+I9</f>
        <v>0</v>
      </c>
      <c r="AS9" s="489">
        <f>AQ9+AR9*1</f>
        <v>0</v>
      </c>
      <c r="AT9" s="485" t="e">
        <f t="shared" si="0"/>
        <v>#DIV/0!</v>
      </c>
      <c r="AU9" s="490"/>
    </row>
    <row r="10" spans="1:47" s="2" customFormat="1" ht="13.8">
      <c r="A10" s="238"/>
      <c r="B10" s="492" t="s">
        <v>72</v>
      </c>
      <c r="C10" s="452"/>
      <c r="D10" s="452"/>
      <c r="E10" s="453">
        <f t="shared" ref="E10:E33" si="4">C10+D10*1</f>
        <v>0</v>
      </c>
      <c r="F10" s="450">
        <f t="shared" si="1"/>
        <v>0</v>
      </c>
      <c r="G10" s="456"/>
      <c r="H10" s="452"/>
      <c r="I10" s="452"/>
      <c r="J10" s="453">
        <f t="shared" ref="J10:J33" si="5">H10+I10*1</f>
        <v>0</v>
      </c>
      <c r="K10" s="450" t="e">
        <f t="shared" ref="K10:K33" si="6">J10/$J$89</f>
        <v>#DIV/0!</v>
      </c>
      <c r="L10" s="465"/>
      <c r="M10" s="452"/>
      <c r="N10" s="452"/>
      <c r="O10" s="453">
        <f t="shared" ref="O10:O33" si="7">M10+N10*1</f>
        <v>0</v>
      </c>
      <c r="P10" s="450" t="e">
        <f>O10/$O$89</f>
        <v>#DIV/0!</v>
      </c>
      <c r="Q10" s="458"/>
      <c r="R10" s="452"/>
      <c r="S10" s="452"/>
      <c r="T10" s="453">
        <f t="shared" ref="T10:T33" si="8">R10+S10*1</f>
        <v>0</v>
      </c>
      <c r="U10" s="450" t="e">
        <f t="shared" ref="U10:U33" si="9">T10/$T$89</f>
        <v>#DIV/0!</v>
      </c>
      <c r="V10" s="458"/>
      <c r="W10" s="452"/>
      <c r="X10" s="452"/>
      <c r="Y10" s="453">
        <f t="shared" ref="Y10:Y33" si="10">W10+X10*1</f>
        <v>0</v>
      </c>
      <c r="Z10" s="450" t="e">
        <f t="shared" ref="Z10:Z33" si="11">Y10/$Y$89</f>
        <v>#DIV/0!</v>
      </c>
      <c r="AA10" s="730"/>
      <c r="AB10" s="560"/>
      <c r="AC10" s="452"/>
      <c r="AD10" s="453">
        <f t="shared" ref="AD10:AD33" si="12">AB10+AC10*1</f>
        <v>0</v>
      </c>
      <c r="AE10" s="450" t="e">
        <f t="shared" ref="AE10:AE33" si="13">AD10/$AD$89</f>
        <v>#DIV/0!</v>
      </c>
      <c r="AF10" s="458"/>
      <c r="AG10" s="560"/>
      <c r="AH10" s="452"/>
      <c r="AI10" s="453">
        <f t="shared" ref="AI10:AI33" si="14">AG10+AH10*1</f>
        <v>0</v>
      </c>
      <c r="AJ10" s="450" t="e">
        <f t="shared" ref="AJ10:AJ33" si="15">AI10/$AD$89</f>
        <v>#DIV/0!</v>
      </c>
      <c r="AK10" s="458"/>
      <c r="AL10" s="560"/>
      <c r="AM10" s="452"/>
      <c r="AN10" s="453">
        <f t="shared" ref="AN10:AN33" si="16">AL10+AM10*1</f>
        <v>0</v>
      </c>
      <c r="AO10" s="450" t="e">
        <f t="shared" ref="AO10:AO33" si="17">AN10/$AD$89</f>
        <v>#DIV/0!</v>
      </c>
      <c r="AP10" s="458"/>
      <c r="AQ10" s="452">
        <f t="shared" si="2"/>
        <v>0</v>
      </c>
      <c r="AR10" s="452">
        <f t="shared" si="3"/>
        <v>0</v>
      </c>
      <c r="AS10" s="453">
        <f t="shared" ref="AS10:AS33" si="18">AQ10+AR10*1</f>
        <v>0</v>
      </c>
      <c r="AT10" s="450" t="e">
        <f t="shared" si="0"/>
        <v>#DIV/0!</v>
      </c>
      <c r="AU10" s="456"/>
    </row>
    <row r="11" spans="1:47" s="2" customFormat="1" ht="13.8">
      <c r="A11" s="238"/>
      <c r="B11" s="492" t="s">
        <v>69</v>
      </c>
      <c r="C11" s="452"/>
      <c r="D11" s="452"/>
      <c r="E11" s="453">
        <f t="shared" si="4"/>
        <v>0</v>
      </c>
      <c r="F11" s="450">
        <f t="shared" si="1"/>
        <v>0</v>
      </c>
      <c r="G11" s="456"/>
      <c r="H11" s="452"/>
      <c r="I11" s="452"/>
      <c r="J11" s="453">
        <f t="shared" si="5"/>
        <v>0</v>
      </c>
      <c r="K11" s="450" t="e">
        <f t="shared" si="6"/>
        <v>#DIV/0!</v>
      </c>
      <c r="L11" s="465"/>
      <c r="M11" s="452"/>
      <c r="N11" s="452"/>
      <c r="O11" s="453">
        <f t="shared" si="7"/>
        <v>0</v>
      </c>
      <c r="P11" s="450" t="e">
        <f t="shared" ref="P11:P33" si="19">O11/$O$89</f>
        <v>#DIV/0!</v>
      </c>
      <c r="Q11" s="458"/>
      <c r="R11" s="452"/>
      <c r="S11" s="452"/>
      <c r="T11" s="453">
        <f t="shared" si="8"/>
        <v>0</v>
      </c>
      <c r="U11" s="450" t="e">
        <f t="shared" si="9"/>
        <v>#DIV/0!</v>
      </c>
      <c r="V11" s="458"/>
      <c r="W11" s="452"/>
      <c r="X11" s="452"/>
      <c r="Y11" s="453">
        <f t="shared" si="10"/>
        <v>0</v>
      </c>
      <c r="Z11" s="450" t="e">
        <f t="shared" si="11"/>
        <v>#DIV/0!</v>
      </c>
      <c r="AA11" s="730"/>
      <c r="AB11" s="560"/>
      <c r="AC11" s="452"/>
      <c r="AD11" s="453">
        <f t="shared" si="12"/>
        <v>0</v>
      </c>
      <c r="AE11" s="450" t="e">
        <f t="shared" si="13"/>
        <v>#DIV/0!</v>
      </c>
      <c r="AF11" s="458"/>
      <c r="AG11" s="560"/>
      <c r="AH11" s="452"/>
      <c r="AI11" s="453">
        <f t="shared" si="14"/>
        <v>0</v>
      </c>
      <c r="AJ11" s="450" t="e">
        <f t="shared" si="15"/>
        <v>#DIV/0!</v>
      </c>
      <c r="AK11" s="458"/>
      <c r="AL11" s="560"/>
      <c r="AM11" s="452"/>
      <c r="AN11" s="453">
        <f t="shared" si="16"/>
        <v>0</v>
      </c>
      <c r="AO11" s="450" t="e">
        <f t="shared" si="17"/>
        <v>#DIV/0!</v>
      </c>
      <c r="AP11" s="458"/>
      <c r="AQ11" s="452">
        <f t="shared" si="2"/>
        <v>0</v>
      </c>
      <c r="AR11" s="452">
        <f t="shared" si="3"/>
        <v>0</v>
      </c>
      <c r="AS11" s="453">
        <f t="shared" si="18"/>
        <v>0</v>
      </c>
      <c r="AT11" s="450" t="e">
        <f t="shared" si="0"/>
        <v>#DIV/0!</v>
      </c>
      <c r="AU11" s="456"/>
    </row>
    <row r="12" spans="1:47" s="2" customFormat="1" ht="13.8">
      <c r="A12" s="238"/>
      <c r="B12" s="492" t="s">
        <v>73</v>
      </c>
      <c r="C12" s="452"/>
      <c r="D12" s="452"/>
      <c r="E12" s="453">
        <f>C12+D12*1</f>
        <v>0</v>
      </c>
      <c r="F12" s="450">
        <f>E12/$E$89</f>
        <v>0</v>
      </c>
      <c r="G12" s="456"/>
      <c r="H12" s="452"/>
      <c r="I12" s="452"/>
      <c r="J12" s="453">
        <f t="shared" si="5"/>
        <v>0</v>
      </c>
      <c r="K12" s="450" t="e">
        <f t="shared" si="6"/>
        <v>#DIV/0!</v>
      </c>
      <c r="L12" s="460"/>
      <c r="M12" s="452"/>
      <c r="N12" s="452"/>
      <c r="O12" s="453">
        <f t="shared" si="7"/>
        <v>0</v>
      </c>
      <c r="P12" s="450" t="e">
        <f t="shared" si="19"/>
        <v>#DIV/0!</v>
      </c>
      <c r="Q12" s="458"/>
      <c r="R12" s="452"/>
      <c r="S12" s="452"/>
      <c r="T12" s="453">
        <f t="shared" si="8"/>
        <v>0</v>
      </c>
      <c r="U12" s="450" t="e">
        <f t="shared" si="9"/>
        <v>#DIV/0!</v>
      </c>
      <c r="V12" s="458"/>
      <c r="W12" s="452"/>
      <c r="X12" s="452"/>
      <c r="Y12" s="453">
        <f t="shared" si="10"/>
        <v>0</v>
      </c>
      <c r="Z12" s="450" t="e">
        <f t="shared" si="11"/>
        <v>#DIV/0!</v>
      </c>
      <c r="AA12" s="730"/>
      <c r="AB12" s="560"/>
      <c r="AC12" s="452"/>
      <c r="AD12" s="453">
        <f t="shared" si="12"/>
        <v>0</v>
      </c>
      <c r="AE12" s="450" t="e">
        <f t="shared" si="13"/>
        <v>#DIV/0!</v>
      </c>
      <c r="AF12" s="458"/>
      <c r="AG12" s="560"/>
      <c r="AH12" s="452"/>
      <c r="AI12" s="453">
        <f t="shared" si="14"/>
        <v>0</v>
      </c>
      <c r="AJ12" s="450" t="e">
        <f t="shared" si="15"/>
        <v>#DIV/0!</v>
      </c>
      <c r="AK12" s="458"/>
      <c r="AL12" s="560"/>
      <c r="AM12" s="452"/>
      <c r="AN12" s="453">
        <f t="shared" si="16"/>
        <v>0</v>
      </c>
      <c r="AO12" s="450" t="e">
        <f t="shared" si="17"/>
        <v>#DIV/0!</v>
      </c>
      <c r="AP12" s="458"/>
      <c r="AQ12" s="452">
        <f t="shared" si="2"/>
        <v>0</v>
      </c>
      <c r="AR12" s="452">
        <f t="shared" si="3"/>
        <v>0</v>
      </c>
      <c r="AS12" s="453">
        <f t="shared" si="18"/>
        <v>0</v>
      </c>
      <c r="AT12" s="450" t="e">
        <f t="shared" si="0"/>
        <v>#DIV/0!</v>
      </c>
      <c r="AU12" s="456"/>
    </row>
    <row r="13" spans="1:47" s="2" customFormat="1" ht="13.8">
      <c r="A13" s="238"/>
      <c r="B13" s="492" t="s">
        <v>71</v>
      </c>
      <c r="C13" s="452"/>
      <c r="D13" s="452"/>
      <c r="E13" s="453">
        <f t="shared" si="4"/>
        <v>0</v>
      </c>
      <c r="F13" s="450">
        <f t="shared" si="1"/>
        <v>0</v>
      </c>
      <c r="G13" s="456"/>
      <c r="H13" s="452"/>
      <c r="I13" s="452"/>
      <c r="J13" s="453">
        <f t="shared" si="5"/>
        <v>0</v>
      </c>
      <c r="K13" s="450" t="e">
        <f t="shared" si="6"/>
        <v>#DIV/0!</v>
      </c>
      <c r="L13" s="465"/>
      <c r="M13" s="452"/>
      <c r="N13" s="452"/>
      <c r="O13" s="453">
        <f t="shared" si="7"/>
        <v>0</v>
      </c>
      <c r="P13" s="450" t="e">
        <f t="shared" si="19"/>
        <v>#DIV/0!</v>
      </c>
      <c r="Q13" s="458"/>
      <c r="R13" s="452"/>
      <c r="S13" s="452"/>
      <c r="T13" s="453">
        <f t="shared" si="8"/>
        <v>0</v>
      </c>
      <c r="U13" s="450" t="e">
        <f t="shared" si="9"/>
        <v>#DIV/0!</v>
      </c>
      <c r="V13" s="458"/>
      <c r="W13" s="452"/>
      <c r="X13" s="452"/>
      <c r="Y13" s="453">
        <f t="shared" si="10"/>
        <v>0</v>
      </c>
      <c r="Z13" s="450" t="e">
        <f t="shared" si="11"/>
        <v>#DIV/0!</v>
      </c>
      <c r="AA13" s="730"/>
      <c r="AB13" s="560"/>
      <c r="AC13" s="452"/>
      <c r="AD13" s="453">
        <f t="shared" si="12"/>
        <v>0</v>
      </c>
      <c r="AE13" s="450" t="e">
        <f t="shared" si="13"/>
        <v>#DIV/0!</v>
      </c>
      <c r="AF13" s="458"/>
      <c r="AG13" s="560"/>
      <c r="AH13" s="452"/>
      <c r="AI13" s="453">
        <f t="shared" si="14"/>
        <v>0</v>
      </c>
      <c r="AJ13" s="450" t="e">
        <f t="shared" si="15"/>
        <v>#DIV/0!</v>
      </c>
      <c r="AK13" s="458"/>
      <c r="AL13" s="560"/>
      <c r="AM13" s="452"/>
      <c r="AN13" s="453">
        <f t="shared" si="16"/>
        <v>0</v>
      </c>
      <c r="AO13" s="450" t="e">
        <f t="shared" si="17"/>
        <v>#DIV/0!</v>
      </c>
      <c r="AP13" s="458"/>
      <c r="AQ13" s="452">
        <f t="shared" si="2"/>
        <v>0</v>
      </c>
      <c r="AR13" s="452">
        <f t="shared" si="3"/>
        <v>0</v>
      </c>
      <c r="AS13" s="453">
        <f t="shared" si="18"/>
        <v>0</v>
      </c>
      <c r="AT13" s="450" t="e">
        <f t="shared" si="0"/>
        <v>#DIV/0!</v>
      </c>
      <c r="AU13" s="456"/>
    </row>
    <row r="14" spans="1:47" s="2" customFormat="1" ht="13.8">
      <c r="A14" s="238"/>
      <c r="B14" s="492" t="s">
        <v>70</v>
      </c>
      <c r="C14" s="452"/>
      <c r="D14" s="452"/>
      <c r="E14" s="453">
        <f t="shared" si="4"/>
        <v>0</v>
      </c>
      <c r="F14" s="450">
        <f t="shared" si="1"/>
        <v>0</v>
      </c>
      <c r="G14" s="456"/>
      <c r="H14" s="452"/>
      <c r="I14" s="452"/>
      <c r="J14" s="453">
        <f t="shared" si="5"/>
        <v>0</v>
      </c>
      <c r="K14" s="450" t="e">
        <f t="shared" si="6"/>
        <v>#DIV/0!</v>
      </c>
      <c r="L14" s="465"/>
      <c r="M14" s="452"/>
      <c r="N14" s="452"/>
      <c r="O14" s="453">
        <f t="shared" si="7"/>
        <v>0</v>
      </c>
      <c r="P14" s="450" t="e">
        <f t="shared" si="19"/>
        <v>#DIV/0!</v>
      </c>
      <c r="Q14" s="458"/>
      <c r="R14" s="452"/>
      <c r="S14" s="452"/>
      <c r="T14" s="453">
        <f t="shared" si="8"/>
        <v>0</v>
      </c>
      <c r="U14" s="450" t="e">
        <f t="shared" si="9"/>
        <v>#DIV/0!</v>
      </c>
      <c r="V14" s="458"/>
      <c r="W14" s="452"/>
      <c r="X14" s="452"/>
      <c r="Y14" s="453">
        <f t="shared" si="10"/>
        <v>0</v>
      </c>
      <c r="Z14" s="450" t="e">
        <f t="shared" si="11"/>
        <v>#DIV/0!</v>
      </c>
      <c r="AA14" s="730"/>
      <c r="AB14" s="560"/>
      <c r="AC14" s="452"/>
      <c r="AD14" s="453">
        <f t="shared" si="12"/>
        <v>0</v>
      </c>
      <c r="AE14" s="450" t="e">
        <f t="shared" si="13"/>
        <v>#DIV/0!</v>
      </c>
      <c r="AF14" s="458"/>
      <c r="AG14" s="560"/>
      <c r="AH14" s="452"/>
      <c r="AI14" s="453">
        <f t="shared" si="14"/>
        <v>0</v>
      </c>
      <c r="AJ14" s="450" t="e">
        <f t="shared" si="15"/>
        <v>#DIV/0!</v>
      </c>
      <c r="AK14" s="458"/>
      <c r="AL14" s="560"/>
      <c r="AM14" s="452"/>
      <c r="AN14" s="453">
        <f t="shared" si="16"/>
        <v>0</v>
      </c>
      <c r="AO14" s="450" t="e">
        <f t="shared" si="17"/>
        <v>#DIV/0!</v>
      </c>
      <c r="AP14" s="458"/>
      <c r="AQ14" s="452">
        <f t="shared" si="2"/>
        <v>0</v>
      </c>
      <c r="AR14" s="452">
        <f t="shared" si="3"/>
        <v>0</v>
      </c>
      <c r="AS14" s="453">
        <f t="shared" si="18"/>
        <v>0</v>
      </c>
      <c r="AT14" s="450" t="e">
        <f t="shared" si="0"/>
        <v>#DIV/0!</v>
      </c>
      <c r="AU14" s="456"/>
    </row>
    <row r="15" spans="1:47" s="2" customFormat="1" ht="13.8">
      <c r="A15" s="238"/>
      <c r="B15" s="471" t="s">
        <v>20</v>
      </c>
      <c r="C15" s="452"/>
      <c r="D15" s="452"/>
      <c r="E15" s="453">
        <f t="shared" si="4"/>
        <v>0</v>
      </c>
      <c r="F15" s="450">
        <f t="shared" si="1"/>
        <v>0</v>
      </c>
      <c r="G15" s="456"/>
      <c r="H15" s="452"/>
      <c r="I15" s="452"/>
      <c r="J15" s="453">
        <f t="shared" si="5"/>
        <v>0</v>
      </c>
      <c r="K15" s="450" t="e">
        <f t="shared" si="6"/>
        <v>#DIV/0!</v>
      </c>
      <c r="L15" s="465"/>
      <c r="M15" s="452"/>
      <c r="N15" s="452"/>
      <c r="O15" s="453">
        <f t="shared" si="7"/>
        <v>0</v>
      </c>
      <c r="P15" s="450" t="e">
        <f t="shared" si="19"/>
        <v>#DIV/0!</v>
      </c>
      <c r="Q15" s="458"/>
      <c r="R15" s="452"/>
      <c r="S15" s="452"/>
      <c r="T15" s="453">
        <f t="shared" si="8"/>
        <v>0</v>
      </c>
      <c r="U15" s="450" t="e">
        <f t="shared" si="9"/>
        <v>#DIV/0!</v>
      </c>
      <c r="V15" s="458"/>
      <c r="W15" s="452"/>
      <c r="X15" s="452"/>
      <c r="Y15" s="453">
        <f t="shared" si="10"/>
        <v>0</v>
      </c>
      <c r="Z15" s="450" t="e">
        <f t="shared" si="11"/>
        <v>#DIV/0!</v>
      </c>
      <c r="AA15" s="730"/>
      <c r="AB15" s="560"/>
      <c r="AC15" s="452"/>
      <c r="AD15" s="453">
        <f t="shared" si="12"/>
        <v>0</v>
      </c>
      <c r="AE15" s="450" t="e">
        <f t="shared" si="13"/>
        <v>#DIV/0!</v>
      </c>
      <c r="AF15" s="458"/>
      <c r="AG15" s="560"/>
      <c r="AH15" s="452"/>
      <c r="AI15" s="453">
        <f t="shared" si="14"/>
        <v>0</v>
      </c>
      <c r="AJ15" s="450" t="e">
        <f t="shared" si="15"/>
        <v>#DIV/0!</v>
      </c>
      <c r="AK15" s="458"/>
      <c r="AL15" s="560"/>
      <c r="AM15" s="452"/>
      <c r="AN15" s="453">
        <f t="shared" si="16"/>
        <v>0</v>
      </c>
      <c r="AO15" s="450" t="e">
        <f t="shared" si="17"/>
        <v>#DIV/0!</v>
      </c>
      <c r="AP15" s="458"/>
      <c r="AQ15" s="452">
        <f t="shared" si="2"/>
        <v>0</v>
      </c>
      <c r="AR15" s="452">
        <f t="shared" si="3"/>
        <v>0</v>
      </c>
      <c r="AS15" s="453">
        <f t="shared" si="18"/>
        <v>0</v>
      </c>
      <c r="AT15" s="450" t="e">
        <f t="shared" si="0"/>
        <v>#DIV/0!</v>
      </c>
      <c r="AU15" s="456"/>
    </row>
    <row r="16" spans="1:47" s="2" customFormat="1" ht="13.8">
      <c r="A16" s="292"/>
      <c r="B16" s="471" t="s">
        <v>21</v>
      </c>
      <c r="C16" s="452"/>
      <c r="D16" s="452"/>
      <c r="E16" s="453">
        <f t="shared" si="4"/>
        <v>0</v>
      </c>
      <c r="F16" s="450">
        <f t="shared" si="1"/>
        <v>0</v>
      </c>
      <c r="G16" s="456"/>
      <c r="H16" s="452"/>
      <c r="I16" s="452"/>
      <c r="J16" s="453">
        <f t="shared" si="5"/>
        <v>0</v>
      </c>
      <c r="K16" s="450" t="e">
        <f t="shared" si="6"/>
        <v>#DIV/0!</v>
      </c>
      <c r="L16" s="460"/>
      <c r="M16" s="452"/>
      <c r="N16" s="452"/>
      <c r="O16" s="453">
        <f t="shared" si="7"/>
        <v>0</v>
      </c>
      <c r="P16" s="450" t="e">
        <f t="shared" si="19"/>
        <v>#DIV/0!</v>
      </c>
      <c r="Q16" s="458"/>
      <c r="R16" s="452"/>
      <c r="S16" s="452"/>
      <c r="T16" s="453">
        <f t="shared" si="8"/>
        <v>0</v>
      </c>
      <c r="U16" s="450" t="e">
        <f t="shared" si="9"/>
        <v>#DIV/0!</v>
      </c>
      <c r="V16" s="458"/>
      <c r="W16" s="452"/>
      <c r="X16" s="452"/>
      <c r="Y16" s="453">
        <f t="shared" si="10"/>
        <v>0</v>
      </c>
      <c r="Z16" s="450" t="e">
        <f t="shared" si="11"/>
        <v>#DIV/0!</v>
      </c>
      <c r="AA16" s="730"/>
      <c r="AB16" s="560"/>
      <c r="AC16" s="452"/>
      <c r="AD16" s="453">
        <f t="shared" si="12"/>
        <v>0</v>
      </c>
      <c r="AE16" s="450" t="e">
        <f t="shared" si="13"/>
        <v>#DIV/0!</v>
      </c>
      <c r="AF16" s="458"/>
      <c r="AG16" s="560"/>
      <c r="AH16" s="452"/>
      <c r="AI16" s="453">
        <f t="shared" si="14"/>
        <v>0</v>
      </c>
      <c r="AJ16" s="450" t="e">
        <f t="shared" si="15"/>
        <v>#DIV/0!</v>
      </c>
      <c r="AK16" s="458"/>
      <c r="AL16" s="560"/>
      <c r="AM16" s="452"/>
      <c r="AN16" s="453">
        <f t="shared" si="16"/>
        <v>0</v>
      </c>
      <c r="AO16" s="450" t="e">
        <f t="shared" si="17"/>
        <v>#DIV/0!</v>
      </c>
      <c r="AP16" s="458"/>
      <c r="AQ16" s="452">
        <f t="shared" si="2"/>
        <v>0</v>
      </c>
      <c r="AR16" s="452">
        <f t="shared" si="3"/>
        <v>0</v>
      </c>
      <c r="AS16" s="453">
        <f t="shared" si="18"/>
        <v>0</v>
      </c>
      <c r="AT16" s="450" t="e">
        <f t="shared" si="0"/>
        <v>#DIV/0!</v>
      </c>
      <c r="AU16" s="456"/>
    </row>
    <row r="17" spans="1:47" s="2" customFormat="1" ht="13.8">
      <c r="A17" s="238"/>
      <c r="B17" s="471" t="s">
        <v>22</v>
      </c>
      <c r="C17" s="452"/>
      <c r="D17" s="452"/>
      <c r="E17" s="453">
        <f t="shared" si="4"/>
        <v>0</v>
      </c>
      <c r="F17" s="450">
        <f t="shared" si="1"/>
        <v>0</v>
      </c>
      <c r="G17" s="456"/>
      <c r="H17" s="452"/>
      <c r="I17" s="452"/>
      <c r="J17" s="453">
        <f t="shared" si="5"/>
        <v>0</v>
      </c>
      <c r="K17" s="450" t="e">
        <f t="shared" si="6"/>
        <v>#DIV/0!</v>
      </c>
      <c r="L17" s="893"/>
      <c r="M17" s="452"/>
      <c r="N17" s="452"/>
      <c r="O17" s="453">
        <f t="shared" si="7"/>
        <v>0</v>
      </c>
      <c r="P17" s="450" t="e">
        <f t="shared" si="19"/>
        <v>#DIV/0!</v>
      </c>
      <c r="Q17" s="458"/>
      <c r="R17" s="452"/>
      <c r="S17" s="452"/>
      <c r="T17" s="453">
        <f t="shared" si="8"/>
        <v>0</v>
      </c>
      <c r="U17" s="450" t="e">
        <f t="shared" si="9"/>
        <v>#DIV/0!</v>
      </c>
      <c r="V17" s="458"/>
      <c r="W17" s="452"/>
      <c r="X17" s="452"/>
      <c r="Y17" s="453">
        <f t="shared" si="10"/>
        <v>0</v>
      </c>
      <c r="Z17" s="450" t="e">
        <f t="shared" si="11"/>
        <v>#DIV/0!</v>
      </c>
      <c r="AA17" s="730"/>
      <c r="AB17" s="560"/>
      <c r="AC17" s="452"/>
      <c r="AD17" s="453">
        <f t="shared" si="12"/>
        <v>0</v>
      </c>
      <c r="AE17" s="450" t="e">
        <f t="shared" si="13"/>
        <v>#DIV/0!</v>
      </c>
      <c r="AF17" s="458"/>
      <c r="AG17" s="560"/>
      <c r="AH17" s="452"/>
      <c r="AI17" s="453">
        <f t="shared" si="14"/>
        <v>0</v>
      </c>
      <c r="AJ17" s="450" t="e">
        <f t="shared" si="15"/>
        <v>#DIV/0!</v>
      </c>
      <c r="AK17" s="458"/>
      <c r="AL17" s="560"/>
      <c r="AM17" s="452"/>
      <c r="AN17" s="453">
        <f t="shared" si="16"/>
        <v>0</v>
      </c>
      <c r="AO17" s="450" t="e">
        <f t="shared" si="17"/>
        <v>#DIV/0!</v>
      </c>
      <c r="AP17" s="458"/>
      <c r="AQ17" s="452">
        <f t="shared" si="2"/>
        <v>0</v>
      </c>
      <c r="AR17" s="452">
        <f t="shared" si="3"/>
        <v>0</v>
      </c>
      <c r="AS17" s="453">
        <f t="shared" si="18"/>
        <v>0</v>
      </c>
      <c r="AT17" s="450" t="e">
        <f t="shared" si="0"/>
        <v>#DIV/0!</v>
      </c>
      <c r="AU17" s="456"/>
    </row>
    <row r="18" spans="1:47" s="2" customFormat="1" ht="13.8">
      <c r="A18" s="238"/>
      <c r="B18" s="471" t="s">
        <v>0</v>
      </c>
      <c r="C18" s="452"/>
      <c r="D18" s="452"/>
      <c r="E18" s="453">
        <f t="shared" si="4"/>
        <v>0</v>
      </c>
      <c r="F18" s="450">
        <f t="shared" si="1"/>
        <v>0</v>
      </c>
      <c r="G18" s="454"/>
      <c r="H18" s="452"/>
      <c r="I18" s="452"/>
      <c r="J18" s="453">
        <f t="shared" si="5"/>
        <v>0</v>
      </c>
      <c r="K18" s="450" t="e">
        <f t="shared" si="6"/>
        <v>#DIV/0!</v>
      </c>
      <c r="L18" s="894"/>
      <c r="M18" s="452"/>
      <c r="N18" s="452"/>
      <c r="O18" s="453">
        <f t="shared" si="7"/>
        <v>0</v>
      </c>
      <c r="P18" s="450" t="e">
        <f t="shared" si="19"/>
        <v>#DIV/0!</v>
      </c>
      <c r="Q18" s="458"/>
      <c r="R18" s="452"/>
      <c r="S18" s="452"/>
      <c r="T18" s="453">
        <f t="shared" si="8"/>
        <v>0</v>
      </c>
      <c r="U18" s="450" t="e">
        <f t="shared" si="9"/>
        <v>#DIV/0!</v>
      </c>
      <c r="V18" s="458"/>
      <c r="W18" s="452"/>
      <c r="X18" s="452"/>
      <c r="Y18" s="453">
        <f t="shared" si="10"/>
        <v>0</v>
      </c>
      <c r="Z18" s="450" t="e">
        <f t="shared" si="11"/>
        <v>#DIV/0!</v>
      </c>
      <c r="AA18" s="730"/>
      <c r="AB18" s="560"/>
      <c r="AC18" s="452"/>
      <c r="AD18" s="453">
        <f t="shared" si="12"/>
        <v>0</v>
      </c>
      <c r="AE18" s="450" t="e">
        <f t="shared" si="13"/>
        <v>#DIV/0!</v>
      </c>
      <c r="AF18" s="458"/>
      <c r="AG18" s="560"/>
      <c r="AH18" s="452"/>
      <c r="AI18" s="453">
        <f t="shared" si="14"/>
        <v>0</v>
      </c>
      <c r="AJ18" s="450" t="e">
        <f t="shared" si="15"/>
        <v>#DIV/0!</v>
      </c>
      <c r="AK18" s="458"/>
      <c r="AL18" s="560"/>
      <c r="AM18" s="452"/>
      <c r="AN18" s="453">
        <f t="shared" si="16"/>
        <v>0</v>
      </c>
      <c r="AO18" s="450" t="e">
        <f t="shared" si="17"/>
        <v>#DIV/0!</v>
      </c>
      <c r="AP18" s="458"/>
      <c r="AQ18" s="452">
        <f t="shared" si="2"/>
        <v>0</v>
      </c>
      <c r="AR18" s="452">
        <f t="shared" si="3"/>
        <v>0</v>
      </c>
      <c r="AS18" s="453">
        <f t="shared" si="18"/>
        <v>0</v>
      </c>
      <c r="AT18" s="450" t="e">
        <f t="shared" si="0"/>
        <v>#DIV/0!</v>
      </c>
      <c r="AU18" s="456"/>
    </row>
    <row r="19" spans="1:47" s="2" customFormat="1" ht="13.8">
      <c r="A19" s="238"/>
      <c r="B19" s="471" t="s">
        <v>53</v>
      </c>
      <c r="C19" s="452"/>
      <c r="D19" s="452"/>
      <c r="E19" s="453">
        <f t="shared" si="4"/>
        <v>0</v>
      </c>
      <c r="F19" s="450">
        <f t="shared" si="1"/>
        <v>0</v>
      </c>
      <c r="G19" s="456"/>
      <c r="H19" s="452"/>
      <c r="I19" s="452"/>
      <c r="J19" s="453">
        <f t="shared" si="5"/>
        <v>0</v>
      </c>
      <c r="K19" s="450" t="e">
        <f t="shared" si="6"/>
        <v>#DIV/0!</v>
      </c>
      <c r="L19" s="895"/>
      <c r="M19" s="452"/>
      <c r="N19" s="452"/>
      <c r="O19" s="453">
        <f t="shared" si="7"/>
        <v>0</v>
      </c>
      <c r="P19" s="450" t="e">
        <f t="shared" si="19"/>
        <v>#DIV/0!</v>
      </c>
      <c r="Q19" s="458"/>
      <c r="R19" s="452"/>
      <c r="S19" s="452"/>
      <c r="T19" s="453">
        <f t="shared" si="8"/>
        <v>0</v>
      </c>
      <c r="U19" s="450" t="e">
        <f t="shared" si="9"/>
        <v>#DIV/0!</v>
      </c>
      <c r="V19" s="458"/>
      <c r="W19" s="452"/>
      <c r="X19" s="452"/>
      <c r="Y19" s="453">
        <f t="shared" si="10"/>
        <v>0</v>
      </c>
      <c r="Z19" s="450" t="e">
        <f t="shared" si="11"/>
        <v>#DIV/0!</v>
      </c>
      <c r="AA19" s="730"/>
      <c r="AB19" s="560"/>
      <c r="AC19" s="452"/>
      <c r="AD19" s="453">
        <f t="shared" si="12"/>
        <v>0</v>
      </c>
      <c r="AE19" s="450" t="e">
        <f t="shared" si="13"/>
        <v>#DIV/0!</v>
      </c>
      <c r="AF19" s="458"/>
      <c r="AG19" s="560"/>
      <c r="AH19" s="452"/>
      <c r="AI19" s="453">
        <f t="shared" si="14"/>
        <v>0</v>
      </c>
      <c r="AJ19" s="450" t="e">
        <f t="shared" si="15"/>
        <v>#DIV/0!</v>
      </c>
      <c r="AK19" s="458"/>
      <c r="AL19" s="560"/>
      <c r="AM19" s="452"/>
      <c r="AN19" s="453">
        <f t="shared" si="16"/>
        <v>0</v>
      </c>
      <c r="AO19" s="450" t="e">
        <f t="shared" si="17"/>
        <v>#DIV/0!</v>
      </c>
      <c r="AP19" s="458"/>
      <c r="AQ19" s="452">
        <f t="shared" si="2"/>
        <v>0</v>
      </c>
      <c r="AR19" s="452">
        <f t="shared" si="3"/>
        <v>0</v>
      </c>
      <c r="AS19" s="453">
        <f t="shared" si="18"/>
        <v>0</v>
      </c>
      <c r="AT19" s="450" t="e">
        <f t="shared" si="0"/>
        <v>#DIV/0!</v>
      </c>
      <c r="AU19" s="456"/>
    </row>
    <row r="20" spans="1:47" s="2" customFormat="1" ht="13.8">
      <c r="A20" s="238"/>
      <c r="B20" s="471" t="s">
        <v>57</v>
      </c>
      <c r="C20" s="452"/>
      <c r="D20" s="452"/>
      <c r="E20" s="453">
        <f t="shared" si="4"/>
        <v>0</v>
      </c>
      <c r="F20" s="450">
        <f t="shared" si="1"/>
        <v>0</v>
      </c>
      <c r="G20" s="456"/>
      <c r="H20" s="452"/>
      <c r="I20" s="452"/>
      <c r="J20" s="453">
        <f t="shared" si="5"/>
        <v>0</v>
      </c>
      <c r="K20" s="450" t="e">
        <f t="shared" si="6"/>
        <v>#DIV/0!</v>
      </c>
      <c r="L20" s="895"/>
      <c r="M20" s="452"/>
      <c r="N20" s="452"/>
      <c r="O20" s="453">
        <f t="shared" si="7"/>
        <v>0</v>
      </c>
      <c r="P20" s="450" t="e">
        <f t="shared" si="19"/>
        <v>#DIV/0!</v>
      </c>
      <c r="Q20" s="458"/>
      <c r="R20" s="452"/>
      <c r="S20" s="452"/>
      <c r="T20" s="453">
        <f t="shared" si="8"/>
        <v>0</v>
      </c>
      <c r="U20" s="450" t="e">
        <f t="shared" si="9"/>
        <v>#DIV/0!</v>
      </c>
      <c r="V20" s="458"/>
      <c r="W20" s="452"/>
      <c r="X20" s="452"/>
      <c r="Y20" s="453">
        <f t="shared" si="10"/>
        <v>0</v>
      </c>
      <c r="Z20" s="450" t="e">
        <f t="shared" si="11"/>
        <v>#DIV/0!</v>
      </c>
      <c r="AA20" s="730"/>
      <c r="AB20" s="560"/>
      <c r="AC20" s="452"/>
      <c r="AD20" s="453">
        <f t="shared" si="12"/>
        <v>0</v>
      </c>
      <c r="AE20" s="450" t="e">
        <f t="shared" si="13"/>
        <v>#DIV/0!</v>
      </c>
      <c r="AF20" s="458"/>
      <c r="AG20" s="560"/>
      <c r="AH20" s="452"/>
      <c r="AI20" s="453">
        <f t="shared" si="14"/>
        <v>0</v>
      </c>
      <c r="AJ20" s="450" t="e">
        <f t="shared" si="15"/>
        <v>#DIV/0!</v>
      </c>
      <c r="AK20" s="458"/>
      <c r="AL20" s="560"/>
      <c r="AM20" s="452"/>
      <c r="AN20" s="453">
        <f t="shared" si="16"/>
        <v>0</v>
      </c>
      <c r="AO20" s="450" t="e">
        <f t="shared" si="17"/>
        <v>#DIV/0!</v>
      </c>
      <c r="AP20" s="458"/>
      <c r="AQ20" s="452">
        <f t="shared" si="2"/>
        <v>0</v>
      </c>
      <c r="AR20" s="452">
        <f t="shared" si="3"/>
        <v>0</v>
      </c>
      <c r="AS20" s="453">
        <f t="shared" si="18"/>
        <v>0</v>
      </c>
      <c r="AT20" s="450" t="e">
        <f t="shared" si="0"/>
        <v>#DIV/0!</v>
      </c>
      <c r="AU20" s="456"/>
    </row>
    <row r="21" spans="1:47" s="2" customFormat="1" ht="13.8">
      <c r="A21" s="238"/>
      <c r="B21" s="471" t="s">
        <v>58</v>
      </c>
      <c r="C21" s="452"/>
      <c r="D21" s="452"/>
      <c r="E21" s="453">
        <f t="shared" si="4"/>
        <v>0</v>
      </c>
      <c r="F21" s="450">
        <f t="shared" si="1"/>
        <v>0</v>
      </c>
      <c r="G21" s="456"/>
      <c r="H21" s="452"/>
      <c r="I21" s="452"/>
      <c r="J21" s="453">
        <f t="shared" si="5"/>
        <v>0</v>
      </c>
      <c r="K21" s="450" t="e">
        <f t="shared" si="6"/>
        <v>#DIV/0!</v>
      </c>
      <c r="L21" s="463"/>
      <c r="M21" s="452"/>
      <c r="N21" s="452"/>
      <c r="O21" s="453">
        <f t="shared" si="7"/>
        <v>0</v>
      </c>
      <c r="P21" s="450" t="e">
        <f t="shared" si="19"/>
        <v>#DIV/0!</v>
      </c>
      <c r="Q21" s="458"/>
      <c r="R21" s="452"/>
      <c r="S21" s="452"/>
      <c r="T21" s="453">
        <f t="shared" si="8"/>
        <v>0</v>
      </c>
      <c r="U21" s="450" t="e">
        <f t="shared" si="9"/>
        <v>#DIV/0!</v>
      </c>
      <c r="V21" s="458"/>
      <c r="W21" s="452"/>
      <c r="X21" s="452"/>
      <c r="Y21" s="453">
        <f t="shared" si="10"/>
        <v>0</v>
      </c>
      <c r="Z21" s="450" t="e">
        <f t="shared" si="11"/>
        <v>#DIV/0!</v>
      </c>
      <c r="AA21" s="730"/>
      <c r="AB21" s="560"/>
      <c r="AC21" s="452"/>
      <c r="AD21" s="453">
        <f t="shared" si="12"/>
        <v>0</v>
      </c>
      <c r="AE21" s="450" t="e">
        <f t="shared" si="13"/>
        <v>#DIV/0!</v>
      </c>
      <c r="AF21" s="458"/>
      <c r="AG21" s="560"/>
      <c r="AH21" s="452"/>
      <c r="AI21" s="453">
        <f t="shared" si="14"/>
        <v>0</v>
      </c>
      <c r="AJ21" s="450" t="e">
        <f t="shared" si="15"/>
        <v>#DIV/0!</v>
      </c>
      <c r="AK21" s="458"/>
      <c r="AL21" s="560"/>
      <c r="AM21" s="452"/>
      <c r="AN21" s="453">
        <f t="shared" si="16"/>
        <v>0</v>
      </c>
      <c r="AO21" s="450" t="e">
        <f t="shared" si="17"/>
        <v>#DIV/0!</v>
      </c>
      <c r="AP21" s="458"/>
      <c r="AQ21" s="452">
        <f t="shared" si="2"/>
        <v>0</v>
      </c>
      <c r="AR21" s="452">
        <f t="shared" si="3"/>
        <v>0</v>
      </c>
      <c r="AS21" s="453">
        <f t="shared" si="18"/>
        <v>0</v>
      </c>
      <c r="AT21" s="450" t="e">
        <f t="shared" si="0"/>
        <v>#DIV/0!</v>
      </c>
      <c r="AU21" s="456"/>
    </row>
    <row r="22" spans="1:47" s="2" customFormat="1" ht="31.2" customHeight="1">
      <c r="A22" s="238"/>
      <c r="B22" s="471" t="s">
        <v>621</v>
      </c>
      <c r="C22" s="452"/>
      <c r="D22" s="452"/>
      <c r="E22" s="453">
        <f t="shared" si="4"/>
        <v>0</v>
      </c>
      <c r="F22" s="450">
        <f t="shared" si="1"/>
        <v>0</v>
      </c>
      <c r="G22" s="456"/>
      <c r="H22" s="452"/>
      <c r="I22" s="452"/>
      <c r="J22" s="453">
        <f t="shared" si="5"/>
        <v>0</v>
      </c>
      <c r="K22" s="450" t="e">
        <f t="shared" si="6"/>
        <v>#DIV/0!</v>
      </c>
      <c r="L22" s="454"/>
      <c r="M22" s="452"/>
      <c r="N22" s="452"/>
      <c r="O22" s="453">
        <f t="shared" si="7"/>
        <v>0</v>
      </c>
      <c r="P22" s="450" t="e">
        <f t="shared" si="19"/>
        <v>#DIV/0!</v>
      </c>
      <c r="Q22" s="458"/>
      <c r="R22" s="452"/>
      <c r="S22" s="452"/>
      <c r="T22" s="453">
        <f t="shared" si="8"/>
        <v>0</v>
      </c>
      <c r="U22" s="450" t="e">
        <f t="shared" si="9"/>
        <v>#DIV/0!</v>
      </c>
      <c r="V22" s="458"/>
      <c r="W22" s="452"/>
      <c r="X22" s="452"/>
      <c r="Y22" s="453">
        <f t="shared" si="10"/>
        <v>0</v>
      </c>
      <c r="Z22" s="450" t="e">
        <f t="shared" si="11"/>
        <v>#DIV/0!</v>
      </c>
      <c r="AA22" s="730"/>
      <c r="AB22" s="560"/>
      <c r="AC22" s="452"/>
      <c r="AD22" s="453">
        <f t="shared" si="12"/>
        <v>0</v>
      </c>
      <c r="AE22" s="450" t="e">
        <f t="shared" si="13"/>
        <v>#DIV/0!</v>
      </c>
      <c r="AF22" s="458"/>
      <c r="AG22" s="560"/>
      <c r="AH22" s="452"/>
      <c r="AI22" s="453">
        <f t="shared" si="14"/>
        <v>0</v>
      </c>
      <c r="AJ22" s="450" t="e">
        <f t="shared" si="15"/>
        <v>#DIV/0!</v>
      </c>
      <c r="AK22" s="458"/>
      <c r="AL22" s="560"/>
      <c r="AM22" s="452"/>
      <c r="AN22" s="453">
        <f t="shared" si="16"/>
        <v>0</v>
      </c>
      <c r="AO22" s="450" t="e">
        <f t="shared" si="17"/>
        <v>#DIV/0!</v>
      </c>
      <c r="AP22" s="458"/>
      <c r="AQ22" s="452">
        <f t="shared" si="2"/>
        <v>0</v>
      </c>
      <c r="AR22" s="452">
        <f t="shared" si="3"/>
        <v>0</v>
      </c>
      <c r="AS22" s="453">
        <f t="shared" si="18"/>
        <v>0</v>
      </c>
      <c r="AT22" s="450" t="e">
        <f t="shared" si="0"/>
        <v>#DIV/0!</v>
      </c>
      <c r="AU22" s="456"/>
    </row>
    <row r="23" spans="1:47" s="2" customFormat="1" ht="13.8">
      <c r="A23" s="238"/>
      <c r="B23" s="471" t="s">
        <v>630</v>
      </c>
      <c r="C23" s="452"/>
      <c r="D23" s="452"/>
      <c r="E23" s="453">
        <f t="shared" si="4"/>
        <v>0</v>
      </c>
      <c r="F23" s="450">
        <f t="shared" si="1"/>
        <v>0</v>
      </c>
      <c r="G23" s="456"/>
      <c r="H23" s="452"/>
      <c r="I23" s="452"/>
      <c r="J23" s="453">
        <f t="shared" si="5"/>
        <v>0</v>
      </c>
      <c r="K23" s="450" t="e">
        <f t="shared" si="6"/>
        <v>#DIV/0!</v>
      </c>
      <c r="L23" s="861"/>
      <c r="M23" s="452"/>
      <c r="N23" s="452"/>
      <c r="O23" s="453">
        <f t="shared" si="7"/>
        <v>0</v>
      </c>
      <c r="P23" s="450" t="e">
        <f t="shared" si="19"/>
        <v>#DIV/0!</v>
      </c>
      <c r="Q23" s="458"/>
      <c r="R23" s="452"/>
      <c r="S23" s="452"/>
      <c r="T23" s="453">
        <f t="shared" si="8"/>
        <v>0</v>
      </c>
      <c r="U23" s="450" t="e">
        <f t="shared" si="9"/>
        <v>#DIV/0!</v>
      </c>
      <c r="V23" s="458"/>
      <c r="W23" s="452"/>
      <c r="X23" s="452"/>
      <c r="Y23" s="453">
        <f t="shared" si="10"/>
        <v>0</v>
      </c>
      <c r="Z23" s="450" t="e">
        <f t="shared" si="11"/>
        <v>#DIV/0!</v>
      </c>
      <c r="AA23" s="730"/>
      <c r="AB23" s="560"/>
      <c r="AC23" s="452"/>
      <c r="AD23" s="453">
        <f t="shared" si="12"/>
        <v>0</v>
      </c>
      <c r="AE23" s="450" t="e">
        <f t="shared" si="13"/>
        <v>#DIV/0!</v>
      </c>
      <c r="AF23" s="458"/>
      <c r="AG23" s="560"/>
      <c r="AH23" s="452"/>
      <c r="AI23" s="453">
        <f t="shared" si="14"/>
        <v>0</v>
      </c>
      <c r="AJ23" s="450" t="e">
        <f t="shared" si="15"/>
        <v>#DIV/0!</v>
      </c>
      <c r="AK23" s="458"/>
      <c r="AL23" s="560"/>
      <c r="AM23" s="452"/>
      <c r="AN23" s="453">
        <f t="shared" si="16"/>
        <v>0</v>
      </c>
      <c r="AO23" s="450" t="e">
        <f t="shared" si="17"/>
        <v>#DIV/0!</v>
      </c>
      <c r="AP23" s="458"/>
      <c r="AQ23" s="452">
        <f t="shared" si="2"/>
        <v>0</v>
      </c>
      <c r="AR23" s="452">
        <f t="shared" si="3"/>
        <v>0</v>
      </c>
      <c r="AS23" s="453">
        <f t="shared" si="18"/>
        <v>0</v>
      </c>
      <c r="AT23" s="450" t="e">
        <f t="shared" si="0"/>
        <v>#DIV/0!</v>
      </c>
      <c r="AU23" s="456"/>
    </row>
    <row r="24" spans="1:47" s="2" customFormat="1" ht="13.8">
      <c r="A24" s="238"/>
      <c r="B24" s="471" t="s">
        <v>23</v>
      </c>
      <c r="C24" s="452"/>
      <c r="D24" s="452"/>
      <c r="E24" s="453">
        <f t="shared" si="4"/>
        <v>0</v>
      </c>
      <c r="F24" s="450">
        <f t="shared" si="1"/>
        <v>0</v>
      </c>
      <c r="G24" s="456"/>
      <c r="H24" s="452"/>
      <c r="I24" s="452"/>
      <c r="J24" s="453">
        <f t="shared" si="5"/>
        <v>0</v>
      </c>
      <c r="K24" s="450" t="e">
        <f t="shared" si="6"/>
        <v>#DIV/0!</v>
      </c>
      <c r="L24" s="464"/>
      <c r="M24" s="452"/>
      <c r="N24" s="452"/>
      <c r="O24" s="453">
        <f t="shared" si="7"/>
        <v>0</v>
      </c>
      <c r="P24" s="450" t="e">
        <f t="shared" si="19"/>
        <v>#DIV/0!</v>
      </c>
      <c r="Q24" s="458"/>
      <c r="R24" s="452"/>
      <c r="S24" s="452"/>
      <c r="T24" s="453">
        <f t="shared" si="8"/>
        <v>0</v>
      </c>
      <c r="U24" s="450" t="e">
        <f t="shared" si="9"/>
        <v>#DIV/0!</v>
      </c>
      <c r="V24" s="458"/>
      <c r="W24" s="452"/>
      <c r="X24" s="452"/>
      <c r="Y24" s="453">
        <f t="shared" si="10"/>
        <v>0</v>
      </c>
      <c r="Z24" s="450" t="e">
        <f t="shared" si="11"/>
        <v>#DIV/0!</v>
      </c>
      <c r="AA24" s="730"/>
      <c r="AB24" s="560"/>
      <c r="AC24" s="452"/>
      <c r="AD24" s="453">
        <f t="shared" si="12"/>
        <v>0</v>
      </c>
      <c r="AE24" s="450" t="e">
        <f t="shared" si="13"/>
        <v>#DIV/0!</v>
      </c>
      <c r="AF24" s="458"/>
      <c r="AG24" s="560"/>
      <c r="AH24" s="452"/>
      <c r="AI24" s="453">
        <f t="shared" si="14"/>
        <v>0</v>
      </c>
      <c r="AJ24" s="450" t="e">
        <f t="shared" si="15"/>
        <v>#DIV/0!</v>
      </c>
      <c r="AK24" s="452"/>
      <c r="AL24" s="560"/>
      <c r="AM24" s="452"/>
      <c r="AN24" s="453">
        <f t="shared" si="16"/>
        <v>0</v>
      </c>
      <c r="AO24" s="450" t="e">
        <f t="shared" si="17"/>
        <v>#DIV/0!</v>
      </c>
      <c r="AP24" s="452"/>
      <c r="AQ24" s="452">
        <f t="shared" si="2"/>
        <v>0</v>
      </c>
      <c r="AR24" s="452">
        <f t="shared" si="3"/>
        <v>0</v>
      </c>
      <c r="AS24" s="453">
        <f t="shared" si="18"/>
        <v>0</v>
      </c>
      <c r="AT24" s="450" t="e">
        <f t="shared" si="0"/>
        <v>#DIV/0!</v>
      </c>
      <c r="AU24" s="456"/>
    </row>
    <row r="25" spans="1:47" s="2" customFormat="1" ht="13.8">
      <c r="A25" s="238"/>
      <c r="B25" s="471" t="s">
        <v>24</v>
      </c>
      <c r="C25" s="452"/>
      <c r="D25" s="452"/>
      <c r="E25" s="453">
        <f t="shared" si="4"/>
        <v>0</v>
      </c>
      <c r="F25" s="450">
        <f t="shared" si="1"/>
        <v>0</v>
      </c>
      <c r="G25" s="456"/>
      <c r="H25" s="452"/>
      <c r="I25" s="452"/>
      <c r="J25" s="453">
        <f t="shared" si="5"/>
        <v>0</v>
      </c>
      <c r="K25" s="450" t="e">
        <f t="shared" si="6"/>
        <v>#DIV/0!</v>
      </c>
      <c r="L25" s="895"/>
      <c r="M25" s="452"/>
      <c r="N25" s="452"/>
      <c r="O25" s="453">
        <f t="shared" si="7"/>
        <v>0</v>
      </c>
      <c r="P25" s="450" t="e">
        <f t="shared" si="19"/>
        <v>#DIV/0!</v>
      </c>
      <c r="Q25" s="458"/>
      <c r="R25" s="452"/>
      <c r="S25" s="452"/>
      <c r="T25" s="453">
        <f t="shared" si="8"/>
        <v>0</v>
      </c>
      <c r="U25" s="450" t="e">
        <f t="shared" si="9"/>
        <v>#DIV/0!</v>
      </c>
      <c r="V25" s="458"/>
      <c r="W25" s="452"/>
      <c r="X25" s="452"/>
      <c r="Y25" s="453">
        <f t="shared" si="10"/>
        <v>0</v>
      </c>
      <c r="Z25" s="450" t="e">
        <f t="shared" si="11"/>
        <v>#DIV/0!</v>
      </c>
      <c r="AA25" s="730"/>
      <c r="AB25" s="560"/>
      <c r="AC25" s="452"/>
      <c r="AD25" s="453">
        <f t="shared" si="12"/>
        <v>0</v>
      </c>
      <c r="AE25" s="450" t="e">
        <f t="shared" si="13"/>
        <v>#DIV/0!</v>
      </c>
      <c r="AF25" s="458"/>
      <c r="AG25" s="560"/>
      <c r="AH25" s="452"/>
      <c r="AI25" s="453">
        <f t="shared" si="14"/>
        <v>0</v>
      </c>
      <c r="AJ25" s="450" t="e">
        <f t="shared" si="15"/>
        <v>#DIV/0!</v>
      </c>
      <c r="AK25" s="458"/>
      <c r="AL25" s="560"/>
      <c r="AM25" s="452"/>
      <c r="AN25" s="453">
        <f t="shared" si="16"/>
        <v>0</v>
      </c>
      <c r="AO25" s="450" t="e">
        <f t="shared" si="17"/>
        <v>#DIV/0!</v>
      </c>
      <c r="AP25" s="458"/>
      <c r="AQ25" s="452">
        <f t="shared" si="2"/>
        <v>0</v>
      </c>
      <c r="AR25" s="452">
        <f t="shared" si="3"/>
        <v>0</v>
      </c>
      <c r="AS25" s="453">
        <f t="shared" si="18"/>
        <v>0</v>
      </c>
      <c r="AT25" s="450" t="e">
        <f t="shared" si="0"/>
        <v>#DIV/0!</v>
      </c>
      <c r="AU25" s="456"/>
    </row>
    <row r="26" spans="1:47" s="2" customFormat="1" ht="13.8">
      <c r="A26" s="238"/>
      <c r="B26" s="471" t="s">
        <v>45</v>
      </c>
      <c r="C26" s="452"/>
      <c r="D26" s="452"/>
      <c r="E26" s="453">
        <f t="shared" si="4"/>
        <v>0</v>
      </c>
      <c r="F26" s="450">
        <f t="shared" si="1"/>
        <v>0</v>
      </c>
      <c r="G26" s="456"/>
      <c r="H26" s="452"/>
      <c r="I26" s="452"/>
      <c r="J26" s="453">
        <f t="shared" si="5"/>
        <v>0</v>
      </c>
      <c r="K26" s="450" t="e">
        <f t="shared" si="6"/>
        <v>#DIV/0!</v>
      </c>
      <c r="L26" s="895"/>
      <c r="M26" s="452"/>
      <c r="N26" s="452"/>
      <c r="O26" s="453">
        <f t="shared" si="7"/>
        <v>0</v>
      </c>
      <c r="P26" s="450" t="e">
        <f t="shared" si="19"/>
        <v>#DIV/0!</v>
      </c>
      <c r="Q26" s="458"/>
      <c r="R26" s="452"/>
      <c r="S26" s="452"/>
      <c r="T26" s="453">
        <f t="shared" si="8"/>
        <v>0</v>
      </c>
      <c r="U26" s="450" t="e">
        <f t="shared" si="9"/>
        <v>#DIV/0!</v>
      </c>
      <c r="V26" s="458"/>
      <c r="W26" s="452"/>
      <c r="X26" s="452"/>
      <c r="Y26" s="453">
        <f t="shared" si="10"/>
        <v>0</v>
      </c>
      <c r="Z26" s="450" t="e">
        <f t="shared" si="11"/>
        <v>#DIV/0!</v>
      </c>
      <c r="AA26" s="730"/>
      <c r="AB26" s="560"/>
      <c r="AC26" s="452"/>
      <c r="AD26" s="453">
        <f t="shared" si="12"/>
        <v>0</v>
      </c>
      <c r="AE26" s="450" t="e">
        <f t="shared" si="13"/>
        <v>#DIV/0!</v>
      </c>
      <c r="AF26" s="458"/>
      <c r="AG26" s="560"/>
      <c r="AH26" s="452"/>
      <c r="AI26" s="453">
        <f t="shared" si="14"/>
        <v>0</v>
      </c>
      <c r="AJ26" s="450" t="e">
        <f t="shared" si="15"/>
        <v>#DIV/0!</v>
      </c>
      <c r="AK26" s="458"/>
      <c r="AL26" s="560"/>
      <c r="AM26" s="452"/>
      <c r="AN26" s="453">
        <f t="shared" si="16"/>
        <v>0</v>
      </c>
      <c r="AO26" s="450" t="e">
        <f t="shared" si="17"/>
        <v>#DIV/0!</v>
      </c>
      <c r="AP26" s="458"/>
      <c r="AQ26" s="452">
        <f t="shared" si="2"/>
        <v>0</v>
      </c>
      <c r="AR26" s="452">
        <f t="shared" si="3"/>
        <v>0</v>
      </c>
      <c r="AS26" s="453">
        <f t="shared" si="18"/>
        <v>0</v>
      </c>
      <c r="AT26" s="450" t="e">
        <f t="shared" si="0"/>
        <v>#DIV/0!</v>
      </c>
      <c r="AU26" s="456"/>
    </row>
    <row r="27" spans="1:47" s="2" customFormat="1" ht="13.8">
      <c r="A27" s="238"/>
      <c r="B27" s="471" t="s">
        <v>25</v>
      </c>
      <c r="C27" s="452"/>
      <c r="D27" s="452"/>
      <c r="E27" s="453">
        <f t="shared" si="4"/>
        <v>0</v>
      </c>
      <c r="F27" s="450">
        <f t="shared" si="1"/>
        <v>0</v>
      </c>
      <c r="G27" s="456"/>
      <c r="H27" s="452"/>
      <c r="I27" s="452"/>
      <c r="J27" s="453">
        <f t="shared" si="5"/>
        <v>0</v>
      </c>
      <c r="K27" s="450" t="e">
        <f t="shared" si="6"/>
        <v>#DIV/0!</v>
      </c>
      <c r="L27" s="895"/>
      <c r="M27" s="452"/>
      <c r="N27" s="452"/>
      <c r="O27" s="453">
        <f t="shared" si="7"/>
        <v>0</v>
      </c>
      <c r="P27" s="450" t="e">
        <f t="shared" si="19"/>
        <v>#DIV/0!</v>
      </c>
      <c r="Q27" s="458"/>
      <c r="R27" s="452"/>
      <c r="S27" s="452"/>
      <c r="T27" s="453">
        <f t="shared" si="8"/>
        <v>0</v>
      </c>
      <c r="U27" s="450" t="e">
        <f t="shared" si="9"/>
        <v>#DIV/0!</v>
      </c>
      <c r="V27" s="458"/>
      <c r="W27" s="452"/>
      <c r="X27" s="452"/>
      <c r="Y27" s="453">
        <f t="shared" si="10"/>
        <v>0</v>
      </c>
      <c r="Z27" s="450" t="e">
        <f t="shared" si="11"/>
        <v>#DIV/0!</v>
      </c>
      <c r="AA27" s="730"/>
      <c r="AB27" s="560"/>
      <c r="AC27" s="452"/>
      <c r="AD27" s="453">
        <f t="shared" si="12"/>
        <v>0</v>
      </c>
      <c r="AE27" s="450" t="e">
        <f t="shared" si="13"/>
        <v>#DIV/0!</v>
      </c>
      <c r="AF27" s="458"/>
      <c r="AG27" s="560"/>
      <c r="AH27" s="452"/>
      <c r="AI27" s="453">
        <f t="shared" si="14"/>
        <v>0</v>
      </c>
      <c r="AJ27" s="450" t="e">
        <f t="shared" si="15"/>
        <v>#DIV/0!</v>
      </c>
      <c r="AK27" s="458"/>
      <c r="AL27" s="560"/>
      <c r="AM27" s="452"/>
      <c r="AN27" s="453">
        <f t="shared" si="16"/>
        <v>0</v>
      </c>
      <c r="AO27" s="450" t="e">
        <f t="shared" si="17"/>
        <v>#DIV/0!</v>
      </c>
      <c r="AP27" s="458"/>
      <c r="AQ27" s="452">
        <f t="shared" si="2"/>
        <v>0</v>
      </c>
      <c r="AR27" s="452">
        <f t="shared" si="3"/>
        <v>0</v>
      </c>
      <c r="AS27" s="453">
        <f t="shared" si="18"/>
        <v>0</v>
      </c>
      <c r="AT27" s="450" t="e">
        <f t="shared" si="0"/>
        <v>#DIV/0!</v>
      </c>
      <c r="AU27" s="456"/>
    </row>
    <row r="28" spans="1:47" s="226" customFormat="1" ht="13.8">
      <c r="A28" s="238"/>
      <c r="B28" s="496" t="s">
        <v>52</v>
      </c>
      <c r="C28" s="452"/>
      <c r="D28" s="452"/>
      <c r="E28" s="453">
        <f t="shared" si="4"/>
        <v>0</v>
      </c>
      <c r="F28" s="450">
        <f t="shared" si="1"/>
        <v>0</v>
      </c>
      <c r="G28" s="456"/>
      <c r="H28" s="452"/>
      <c r="I28" s="452"/>
      <c r="J28" s="453">
        <f t="shared" si="5"/>
        <v>0</v>
      </c>
      <c r="K28" s="450" t="e">
        <f t="shared" si="6"/>
        <v>#DIV/0!</v>
      </c>
      <c r="L28" s="894"/>
      <c r="M28" s="452"/>
      <c r="N28" s="452"/>
      <c r="O28" s="453">
        <f t="shared" si="7"/>
        <v>0</v>
      </c>
      <c r="P28" s="450" t="e">
        <f t="shared" si="19"/>
        <v>#DIV/0!</v>
      </c>
      <c r="Q28" s="458"/>
      <c r="R28" s="452"/>
      <c r="S28" s="452"/>
      <c r="T28" s="453">
        <f t="shared" si="8"/>
        <v>0</v>
      </c>
      <c r="U28" s="450" t="e">
        <f t="shared" si="9"/>
        <v>#DIV/0!</v>
      </c>
      <c r="V28" s="458"/>
      <c r="W28" s="452"/>
      <c r="X28" s="452"/>
      <c r="Y28" s="453">
        <f t="shared" si="10"/>
        <v>0</v>
      </c>
      <c r="Z28" s="450" t="e">
        <f t="shared" si="11"/>
        <v>#DIV/0!</v>
      </c>
      <c r="AA28" s="730"/>
      <c r="AB28" s="560"/>
      <c r="AC28" s="452"/>
      <c r="AD28" s="453">
        <f t="shared" si="12"/>
        <v>0</v>
      </c>
      <c r="AE28" s="450" t="e">
        <f t="shared" si="13"/>
        <v>#DIV/0!</v>
      </c>
      <c r="AF28" s="458"/>
      <c r="AG28" s="560"/>
      <c r="AH28" s="452"/>
      <c r="AI28" s="453">
        <f t="shared" si="14"/>
        <v>0</v>
      </c>
      <c r="AJ28" s="450" t="e">
        <f t="shared" si="15"/>
        <v>#DIV/0!</v>
      </c>
      <c r="AK28" s="458"/>
      <c r="AL28" s="560"/>
      <c r="AM28" s="452"/>
      <c r="AN28" s="453">
        <f t="shared" si="16"/>
        <v>0</v>
      </c>
      <c r="AO28" s="450" t="e">
        <f t="shared" si="17"/>
        <v>#DIV/0!</v>
      </c>
      <c r="AP28" s="458"/>
      <c r="AQ28" s="452">
        <f t="shared" si="2"/>
        <v>0</v>
      </c>
      <c r="AR28" s="452">
        <f t="shared" si="3"/>
        <v>0</v>
      </c>
      <c r="AS28" s="453">
        <f t="shared" si="18"/>
        <v>0</v>
      </c>
      <c r="AT28" s="450" t="e">
        <f t="shared" si="0"/>
        <v>#DIV/0!</v>
      </c>
      <c r="AU28" s="456"/>
    </row>
    <row r="29" spans="1:47" s="2" customFormat="1" ht="13.8">
      <c r="A29" s="238"/>
      <c r="B29" s="471" t="s">
        <v>31</v>
      </c>
      <c r="C29" s="452"/>
      <c r="D29" s="452"/>
      <c r="E29" s="453">
        <f t="shared" si="4"/>
        <v>0</v>
      </c>
      <c r="F29" s="450">
        <f t="shared" si="1"/>
        <v>0</v>
      </c>
      <c r="G29" s="454"/>
      <c r="H29" s="452"/>
      <c r="I29" s="452"/>
      <c r="J29" s="453">
        <f t="shared" si="5"/>
        <v>0</v>
      </c>
      <c r="K29" s="450" t="e">
        <f t="shared" si="6"/>
        <v>#DIV/0!</v>
      </c>
      <c r="L29" s="894"/>
      <c r="M29" s="452"/>
      <c r="N29" s="452"/>
      <c r="O29" s="453">
        <f t="shared" si="7"/>
        <v>0</v>
      </c>
      <c r="P29" s="450" t="e">
        <f t="shared" si="19"/>
        <v>#DIV/0!</v>
      </c>
      <c r="Q29" s="458"/>
      <c r="R29" s="452"/>
      <c r="S29" s="452"/>
      <c r="T29" s="453">
        <f t="shared" si="8"/>
        <v>0</v>
      </c>
      <c r="U29" s="450" t="e">
        <f t="shared" si="9"/>
        <v>#DIV/0!</v>
      </c>
      <c r="V29" s="458"/>
      <c r="W29" s="452"/>
      <c r="X29" s="452"/>
      <c r="Y29" s="453">
        <f t="shared" si="10"/>
        <v>0</v>
      </c>
      <c r="Z29" s="450" t="e">
        <f t="shared" si="11"/>
        <v>#DIV/0!</v>
      </c>
      <c r="AA29" s="730"/>
      <c r="AB29" s="560"/>
      <c r="AC29" s="452"/>
      <c r="AD29" s="453">
        <f t="shared" si="12"/>
        <v>0</v>
      </c>
      <c r="AE29" s="450" t="e">
        <f t="shared" si="13"/>
        <v>#DIV/0!</v>
      </c>
      <c r="AF29" s="458"/>
      <c r="AG29" s="560"/>
      <c r="AH29" s="452"/>
      <c r="AI29" s="453">
        <f t="shared" si="14"/>
        <v>0</v>
      </c>
      <c r="AJ29" s="450" t="e">
        <f t="shared" si="15"/>
        <v>#DIV/0!</v>
      </c>
      <c r="AK29" s="458"/>
      <c r="AL29" s="560"/>
      <c r="AM29" s="452"/>
      <c r="AN29" s="453">
        <f t="shared" si="16"/>
        <v>0</v>
      </c>
      <c r="AO29" s="450" t="e">
        <f t="shared" si="17"/>
        <v>#DIV/0!</v>
      </c>
      <c r="AP29" s="458"/>
      <c r="AQ29" s="452">
        <f t="shared" si="2"/>
        <v>0</v>
      </c>
      <c r="AR29" s="452">
        <f t="shared" si="3"/>
        <v>0</v>
      </c>
      <c r="AS29" s="453">
        <f t="shared" si="18"/>
        <v>0</v>
      </c>
      <c r="AT29" s="450" t="e">
        <f t="shared" si="0"/>
        <v>#DIV/0!</v>
      </c>
      <c r="AU29" s="498"/>
    </row>
    <row r="30" spans="1:47" s="2" customFormat="1" ht="13.8">
      <c r="A30" s="238"/>
      <c r="B30" s="471" t="s">
        <v>62</v>
      </c>
      <c r="C30" s="452"/>
      <c r="D30" s="452"/>
      <c r="E30" s="453">
        <f t="shared" si="4"/>
        <v>0</v>
      </c>
      <c r="F30" s="450">
        <f t="shared" si="1"/>
        <v>0</v>
      </c>
      <c r="G30" s="498"/>
      <c r="H30" s="452"/>
      <c r="I30" s="452"/>
      <c r="J30" s="453">
        <f t="shared" si="5"/>
        <v>0</v>
      </c>
      <c r="K30" s="450" t="e">
        <f t="shared" si="6"/>
        <v>#DIV/0!</v>
      </c>
      <c r="L30" s="896"/>
      <c r="M30" s="452"/>
      <c r="N30" s="452"/>
      <c r="O30" s="453">
        <f t="shared" si="7"/>
        <v>0</v>
      </c>
      <c r="P30" s="450" t="e">
        <f t="shared" si="19"/>
        <v>#DIV/0!</v>
      </c>
      <c r="Q30" s="458"/>
      <c r="R30" s="452"/>
      <c r="S30" s="452"/>
      <c r="T30" s="453">
        <f t="shared" si="8"/>
        <v>0</v>
      </c>
      <c r="U30" s="450" t="e">
        <f t="shared" si="9"/>
        <v>#DIV/0!</v>
      </c>
      <c r="V30" s="458"/>
      <c r="W30" s="452"/>
      <c r="X30" s="452"/>
      <c r="Y30" s="453">
        <f t="shared" si="10"/>
        <v>0</v>
      </c>
      <c r="Z30" s="450" t="e">
        <f t="shared" si="11"/>
        <v>#DIV/0!</v>
      </c>
      <c r="AA30" s="730"/>
      <c r="AB30" s="560"/>
      <c r="AC30" s="452"/>
      <c r="AD30" s="453">
        <f t="shared" si="12"/>
        <v>0</v>
      </c>
      <c r="AE30" s="450" t="e">
        <f t="shared" si="13"/>
        <v>#DIV/0!</v>
      </c>
      <c r="AF30" s="458"/>
      <c r="AG30" s="560"/>
      <c r="AH30" s="452"/>
      <c r="AI30" s="453">
        <f t="shared" si="14"/>
        <v>0</v>
      </c>
      <c r="AJ30" s="450" t="e">
        <f t="shared" si="15"/>
        <v>#DIV/0!</v>
      </c>
      <c r="AK30" s="458"/>
      <c r="AL30" s="560"/>
      <c r="AM30" s="452"/>
      <c r="AN30" s="453">
        <f t="shared" si="16"/>
        <v>0</v>
      </c>
      <c r="AO30" s="450" t="e">
        <f t="shared" si="17"/>
        <v>#DIV/0!</v>
      </c>
      <c r="AP30" s="458"/>
      <c r="AQ30" s="452">
        <f t="shared" si="2"/>
        <v>0</v>
      </c>
      <c r="AR30" s="452">
        <f t="shared" si="3"/>
        <v>0</v>
      </c>
      <c r="AS30" s="453">
        <f t="shared" si="18"/>
        <v>0</v>
      </c>
      <c r="AT30" s="450" t="e">
        <f t="shared" si="0"/>
        <v>#DIV/0!</v>
      </c>
      <c r="AU30" s="498"/>
    </row>
    <row r="31" spans="1:47" s="2" customFormat="1" ht="13.8">
      <c r="A31" s="238"/>
      <c r="B31" s="471" t="s">
        <v>34</v>
      </c>
      <c r="C31" s="452"/>
      <c r="D31" s="452"/>
      <c r="E31" s="453">
        <f t="shared" si="4"/>
        <v>0</v>
      </c>
      <c r="F31" s="450">
        <f t="shared" si="1"/>
        <v>0</v>
      </c>
      <c r="G31" s="498"/>
      <c r="H31" s="452"/>
      <c r="I31" s="452"/>
      <c r="J31" s="453">
        <f t="shared" si="5"/>
        <v>0</v>
      </c>
      <c r="K31" s="450" t="e">
        <f t="shared" si="6"/>
        <v>#DIV/0!</v>
      </c>
      <c r="L31" s="897"/>
      <c r="M31" s="452"/>
      <c r="N31" s="452"/>
      <c r="O31" s="453">
        <f t="shared" si="7"/>
        <v>0</v>
      </c>
      <c r="P31" s="450" t="e">
        <f t="shared" si="19"/>
        <v>#DIV/0!</v>
      </c>
      <c r="Q31" s="458"/>
      <c r="R31" s="452"/>
      <c r="S31" s="452"/>
      <c r="T31" s="453">
        <f t="shared" si="8"/>
        <v>0</v>
      </c>
      <c r="U31" s="450" t="e">
        <f t="shared" si="9"/>
        <v>#DIV/0!</v>
      </c>
      <c r="V31" s="458"/>
      <c r="W31" s="452"/>
      <c r="X31" s="452"/>
      <c r="Y31" s="453">
        <f t="shared" si="10"/>
        <v>0</v>
      </c>
      <c r="Z31" s="450" t="e">
        <f t="shared" si="11"/>
        <v>#DIV/0!</v>
      </c>
      <c r="AA31" s="730"/>
      <c r="AB31" s="560"/>
      <c r="AC31" s="452"/>
      <c r="AD31" s="453">
        <f t="shared" si="12"/>
        <v>0</v>
      </c>
      <c r="AE31" s="450" t="e">
        <f t="shared" si="13"/>
        <v>#DIV/0!</v>
      </c>
      <c r="AF31" s="458"/>
      <c r="AG31" s="560"/>
      <c r="AH31" s="452"/>
      <c r="AI31" s="453">
        <f t="shared" si="14"/>
        <v>0</v>
      </c>
      <c r="AJ31" s="450" t="e">
        <f t="shared" si="15"/>
        <v>#DIV/0!</v>
      </c>
      <c r="AK31" s="458"/>
      <c r="AL31" s="560"/>
      <c r="AM31" s="452"/>
      <c r="AN31" s="453">
        <f t="shared" si="16"/>
        <v>0</v>
      </c>
      <c r="AO31" s="450" t="e">
        <f t="shared" si="17"/>
        <v>#DIV/0!</v>
      </c>
      <c r="AP31" s="458"/>
      <c r="AQ31" s="452">
        <f t="shared" si="2"/>
        <v>0</v>
      </c>
      <c r="AR31" s="452">
        <f t="shared" si="3"/>
        <v>0</v>
      </c>
      <c r="AS31" s="453">
        <f t="shared" si="18"/>
        <v>0</v>
      </c>
      <c r="AT31" s="450" t="e">
        <f t="shared" si="0"/>
        <v>#DIV/0!</v>
      </c>
      <c r="AU31" s="498"/>
    </row>
    <row r="32" spans="1:47" s="2" customFormat="1" ht="13.8">
      <c r="A32" s="238"/>
      <c r="B32" s="501" t="s">
        <v>2</v>
      </c>
      <c r="C32" s="452"/>
      <c r="D32" s="452"/>
      <c r="E32" s="453">
        <f t="shared" si="4"/>
        <v>0</v>
      </c>
      <c r="F32" s="450">
        <f t="shared" si="1"/>
        <v>0</v>
      </c>
      <c r="G32" s="498"/>
      <c r="H32" s="452"/>
      <c r="I32" s="452"/>
      <c r="J32" s="453">
        <f t="shared" si="5"/>
        <v>0</v>
      </c>
      <c r="K32" s="450" t="e">
        <f t="shared" si="6"/>
        <v>#DIV/0!</v>
      </c>
      <c r="L32" s="896"/>
      <c r="M32" s="452"/>
      <c r="N32" s="452"/>
      <c r="O32" s="453">
        <f t="shared" si="7"/>
        <v>0</v>
      </c>
      <c r="P32" s="450" t="e">
        <f t="shared" si="19"/>
        <v>#DIV/0!</v>
      </c>
      <c r="Q32" s="503"/>
      <c r="R32" s="452"/>
      <c r="S32" s="452"/>
      <c r="T32" s="453">
        <f t="shared" si="8"/>
        <v>0</v>
      </c>
      <c r="U32" s="450" t="e">
        <f t="shared" si="9"/>
        <v>#DIV/0!</v>
      </c>
      <c r="V32" s="503"/>
      <c r="W32" s="452"/>
      <c r="X32" s="452"/>
      <c r="Y32" s="453">
        <f t="shared" si="10"/>
        <v>0</v>
      </c>
      <c r="Z32" s="450" t="e">
        <f t="shared" si="11"/>
        <v>#DIV/0!</v>
      </c>
      <c r="AA32" s="731"/>
      <c r="AB32" s="560"/>
      <c r="AC32" s="452"/>
      <c r="AD32" s="453">
        <f t="shared" si="12"/>
        <v>0</v>
      </c>
      <c r="AE32" s="450" t="e">
        <f t="shared" si="13"/>
        <v>#DIV/0!</v>
      </c>
      <c r="AF32" s="503"/>
      <c r="AG32" s="560"/>
      <c r="AH32" s="452"/>
      <c r="AI32" s="453">
        <f t="shared" si="14"/>
        <v>0</v>
      </c>
      <c r="AJ32" s="450" t="e">
        <f t="shared" si="15"/>
        <v>#DIV/0!</v>
      </c>
      <c r="AK32" s="503"/>
      <c r="AL32" s="560"/>
      <c r="AM32" s="452"/>
      <c r="AN32" s="453">
        <f t="shared" si="16"/>
        <v>0</v>
      </c>
      <c r="AO32" s="450" t="e">
        <f t="shared" si="17"/>
        <v>#DIV/0!</v>
      </c>
      <c r="AP32" s="503"/>
      <c r="AQ32" s="452">
        <f t="shared" si="2"/>
        <v>0</v>
      </c>
      <c r="AR32" s="452">
        <f t="shared" si="3"/>
        <v>0</v>
      </c>
      <c r="AS32" s="453">
        <f t="shared" si="18"/>
        <v>0</v>
      </c>
      <c r="AT32" s="450" t="e">
        <f t="shared" si="0"/>
        <v>#DIV/0!</v>
      </c>
      <c r="AU32" s="498"/>
    </row>
    <row r="33" spans="1:47" s="2" customFormat="1" ht="14.4" thickBot="1">
      <c r="A33" s="238"/>
      <c r="B33" s="504" t="s">
        <v>75</v>
      </c>
      <c r="C33" s="512"/>
      <c r="D33" s="512"/>
      <c r="E33" s="513">
        <f t="shared" si="4"/>
        <v>0</v>
      </c>
      <c r="F33" s="508">
        <f t="shared" si="1"/>
        <v>0</v>
      </c>
      <c r="G33" s="514"/>
      <c r="H33" s="512"/>
      <c r="I33" s="512"/>
      <c r="J33" s="513">
        <f t="shared" si="5"/>
        <v>0</v>
      </c>
      <c r="K33" s="508" t="e">
        <f t="shared" si="6"/>
        <v>#DIV/0!</v>
      </c>
      <c r="L33" s="898"/>
      <c r="M33" s="512"/>
      <c r="N33" s="512"/>
      <c r="O33" s="513">
        <f t="shared" si="7"/>
        <v>0</v>
      </c>
      <c r="P33" s="508" t="e">
        <f t="shared" si="19"/>
        <v>#DIV/0!</v>
      </c>
      <c r="Q33" s="515"/>
      <c r="R33" s="512"/>
      <c r="S33" s="512"/>
      <c r="T33" s="513">
        <f t="shared" si="8"/>
        <v>0</v>
      </c>
      <c r="U33" s="508" t="e">
        <f t="shared" si="9"/>
        <v>#DIV/0!</v>
      </c>
      <c r="V33" s="515"/>
      <c r="W33" s="512"/>
      <c r="X33" s="512"/>
      <c r="Y33" s="513">
        <f t="shared" si="10"/>
        <v>0</v>
      </c>
      <c r="Z33" s="508" t="e">
        <f t="shared" si="11"/>
        <v>#DIV/0!</v>
      </c>
      <c r="AA33" s="804"/>
      <c r="AB33" s="600"/>
      <c r="AC33" s="512"/>
      <c r="AD33" s="513">
        <f t="shared" si="12"/>
        <v>0</v>
      </c>
      <c r="AE33" s="508" t="e">
        <f t="shared" si="13"/>
        <v>#DIV/0!</v>
      </c>
      <c r="AF33" s="515"/>
      <c r="AG33" s="600"/>
      <c r="AH33" s="512"/>
      <c r="AI33" s="513">
        <f t="shared" si="14"/>
        <v>0</v>
      </c>
      <c r="AJ33" s="508" t="e">
        <f t="shared" si="15"/>
        <v>#DIV/0!</v>
      </c>
      <c r="AK33" s="515"/>
      <c r="AL33" s="600"/>
      <c r="AM33" s="512"/>
      <c r="AN33" s="513">
        <f t="shared" si="16"/>
        <v>0</v>
      </c>
      <c r="AO33" s="508" t="e">
        <f t="shared" si="17"/>
        <v>#DIV/0!</v>
      </c>
      <c r="AP33" s="515"/>
      <c r="AQ33" s="512">
        <f t="shared" si="2"/>
        <v>0</v>
      </c>
      <c r="AR33" s="512">
        <f t="shared" si="3"/>
        <v>0</v>
      </c>
      <c r="AS33" s="513">
        <f t="shared" si="18"/>
        <v>0</v>
      </c>
      <c r="AT33" s="508" t="e">
        <f t="shared" si="0"/>
        <v>#DIV/0!</v>
      </c>
      <c r="AU33" s="514"/>
    </row>
    <row r="34" spans="1:47" s="2" customFormat="1" ht="13.8">
      <c r="A34" s="238"/>
      <c r="B34" s="473"/>
      <c r="C34" s="452"/>
      <c r="D34" s="452"/>
      <c r="E34" s="476"/>
      <c r="F34" s="476"/>
      <c r="G34" s="476"/>
      <c r="H34" s="452"/>
      <c r="I34" s="452"/>
      <c r="J34" s="476"/>
      <c r="K34" s="476"/>
      <c r="L34" s="476"/>
      <c r="M34" s="452"/>
      <c r="N34" s="452"/>
      <c r="O34" s="476"/>
      <c r="P34" s="476"/>
      <c r="Q34" s="476"/>
      <c r="R34" s="452"/>
      <c r="S34" s="452"/>
      <c r="T34" s="476"/>
      <c r="U34" s="476"/>
      <c r="V34" s="476"/>
      <c r="W34" s="452"/>
      <c r="X34" s="452"/>
      <c r="Y34" s="476"/>
      <c r="Z34" s="476"/>
      <c r="AA34" s="764"/>
      <c r="AB34" s="560"/>
      <c r="AC34" s="452"/>
      <c r="AD34" s="476"/>
      <c r="AE34" s="476"/>
      <c r="AF34" s="476"/>
      <c r="AG34" s="560"/>
      <c r="AH34" s="452"/>
      <c r="AI34" s="476"/>
      <c r="AJ34" s="476"/>
      <c r="AK34" s="476"/>
      <c r="AL34" s="560"/>
      <c r="AM34" s="452"/>
      <c r="AN34" s="476"/>
      <c r="AO34" s="476"/>
      <c r="AP34" s="476"/>
      <c r="AQ34" s="452"/>
      <c r="AR34" s="452"/>
      <c r="AS34" s="476"/>
      <c r="AT34" s="476"/>
      <c r="AU34" s="476"/>
    </row>
    <row r="35" spans="1:47" s="88" customFormat="1" ht="13.8">
      <c r="A35" s="238"/>
      <c r="B35" s="89" t="s">
        <v>80</v>
      </c>
      <c r="C35" s="90">
        <f>C36</f>
        <v>0</v>
      </c>
      <c r="D35" s="90">
        <f>D36</f>
        <v>0</v>
      </c>
      <c r="E35" s="91">
        <f>E36</f>
        <v>0</v>
      </c>
      <c r="F35" s="91">
        <f t="shared" si="1"/>
        <v>0</v>
      </c>
      <c r="G35" s="91"/>
      <c r="H35" s="90">
        <f>H36</f>
        <v>0</v>
      </c>
      <c r="I35" s="90">
        <f>I36</f>
        <v>0</v>
      </c>
      <c r="J35" s="91">
        <f>J36</f>
        <v>0</v>
      </c>
      <c r="K35" s="91"/>
      <c r="L35" s="404"/>
      <c r="M35" s="90">
        <f>M36</f>
        <v>0</v>
      </c>
      <c r="N35" s="90">
        <f>N36</f>
        <v>0</v>
      </c>
      <c r="O35" s="91">
        <f>O36</f>
        <v>0</v>
      </c>
      <c r="P35" s="91"/>
      <c r="Q35" s="404"/>
      <c r="R35" s="90">
        <f>R36</f>
        <v>0</v>
      </c>
      <c r="S35" s="90">
        <f>S36</f>
        <v>0</v>
      </c>
      <c r="T35" s="91">
        <f>T36</f>
        <v>0</v>
      </c>
      <c r="U35" s="91"/>
      <c r="V35" s="404"/>
      <c r="W35" s="90">
        <f>W36</f>
        <v>0</v>
      </c>
      <c r="X35" s="90">
        <f>X36</f>
        <v>0</v>
      </c>
      <c r="Y35" s="91">
        <f>Y36</f>
        <v>0</v>
      </c>
      <c r="Z35" s="91"/>
      <c r="AA35" s="634"/>
      <c r="AB35" s="536">
        <f>AB36</f>
        <v>0</v>
      </c>
      <c r="AC35" s="536">
        <f>AC36</f>
        <v>0</v>
      </c>
      <c r="AD35" s="658">
        <f>AD36</f>
        <v>0</v>
      </c>
      <c r="AE35" s="658"/>
      <c r="AF35" s="659"/>
      <c r="AG35" s="536">
        <f>AG36</f>
        <v>0</v>
      </c>
      <c r="AH35" s="536">
        <f>AH36</f>
        <v>0</v>
      </c>
      <c r="AI35" s="658">
        <f>AI36</f>
        <v>0</v>
      </c>
      <c r="AJ35" s="658"/>
      <c r="AK35" s="659"/>
      <c r="AL35" s="536">
        <f>AL36</f>
        <v>0</v>
      </c>
      <c r="AM35" s="536">
        <f>AM36</f>
        <v>0</v>
      </c>
      <c r="AN35" s="658">
        <f>AN36</f>
        <v>0</v>
      </c>
      <c r="AO35" s="658"/>
      <c r="AP35" s="659"/>
      <c r="AQ35" s="90">
        <f>AQ36</f>
        <v>0</v>
      </c>
      <c r="AR35" s="90">
        <f>AR36</f>
        <v>0</v>
      </c>
      <c r="AS35" s="91">
        <f>AS36</f>
        <v>0</v>
      </c>
      <c r="AT35" s="91"/>
      <c r="AU35" s="91"/>
    </row>
    <row r="36" spans="1:47" s="226" customFormat="1" ht="13.8">
      <c r="A36" s="238"/>
      <c r="B36" s="19" t="s">
        <v>81</v>
      </c>
      <c r="C36" s="39"/>
      <c r="D36" s="39"/>
      <c r="E36" s="106">
        <f>C36+D36*1</f>
        <v>0</v>
      </c>
      <c r="F36" s="178">
        <f t="shared" si="1"/>
        <v>0</v>
      </c>
      <c r="G36" s="45"/>
      <c r="H36" s="39"/>
      <c r="I36" s="39"/>
      <c r="J36" s="106">
        <f>H36+I36*1</f>
        <v>0</v>
      </c>
      <c r="K36" s="178" t="e">
        <f>J36/$J$89</f>
        <v>#DIV/0!</v>
      </c>
      <c r="L36" s="405"/>
      <c r="M36" s="39"/>
      <c r="N36" s="39"/>
      <c r="O36" s="106">
        <f>M36+N36*1</f>
        <v>0</v>
      </c>
      <c r="P36" s="178" t="e">
        <f>O36/$O$89</f>
        <v>#DIV/0!</v>
      </c>
      <c r="Q36" s="405"/>
      <c r="R36" s="39"/>
      <c r="S36" s="39"/>
      <c r="T36" s="106">
        <f>R36+S36*1</f>
        <v>0</v>
      </c>
      <c r="U36" s="178" t="e">
        <f>T36/$O$89</f>
        <v>#DIV/0!</v>
      </c>
      <c r="V36" s="405"/>
      <c r="W36" s="39"/>
      <c r="X36" s="39"/>
      <c r="Y36" s="106">
        <f>W36+X36*1</f>
        <v>0</v>
      </c>
      <c r="Z36" s="178" t="e">
        <f>Y36/$O$89</f>
        <v>#DIV/0!</v>
      </c>
      <c r="AA36" s="732"/>
      <c r="AB36" s="560"/>
      <c r="AC36" s="452"/>
      <c r="AD36" s="446">
        <f>AB36+AC36*1</f>
        <v>0</v>
      </c>
      <c r="AE36" s="450" t="e">
        <f>AD36/$AD$89</f>
        <v>#DIV/0!</v>
      </c>
      <c r="AF36" s="745"/>
      <c r="AG36" s="560"/>
      <c r="AH36" s="452"/>
      <c r="AI36" s="446">
        <f>AG36+AH36*1</f>
        <v>0</v>
      </c>
      <c r="AJ36" s="450" t="e">
        <f>AI36/$AD$89</f>
        <v>#DIV/0!</v>
      </c>
      <c r="AK36" s="745"/>
      <c r="AL36" s="560"/>
      <c r="AM36" s="452"/>
      <c r="AN36" s="446">
        <f>AL36+AM36*1</f>
        <v>0</v>
      </c>
      <c r="AO36" s="450" t="e">
        <f>AN36/$AD$89</f>
        <v>#DIV/0!</v>
      </c>
      <c r="AP36" s="745"/>
      <c r="AQ36" s="39">
        <f>C36+H36</f>
        <v>0</v>
      </c>
      <c r="AR36" s="39">
        <f>D36+I36</f>
        <v>0</v>
      </c>
      <c r="AS36" s="106">
        <f>AQ36+AR36*1</f>
        <v>0</v>
      </c>
      <c r="AT36" s="178" t="e">
        <f>AS36/$AS$89</f>
        <v>#DIV/0!</v>
      </c>
      <c r="AU36" s="45"/>
    </row>
    <row r="37" spans="1:47" s="2" customFormat="1" ht="14.4" thickBot="1">
      <c r="A37" s="4"/>
      <c r="B37" s="14"/>
      <c r="C37" s="39"/>
      <c r="D37" s="39"/>
      <c r="E37" s="52"/>
      <c r="F37" s="52"/>
      <c r="G37" s="52"/>
      <c r="H37" s="39"/>
      <c r="I37" s="39"/>
      <c r="J37" s="52"/>
      <c r="K37" s="52"/>
      <c r="L37" s="64"/>
      <c r="M37" s="39"/>
      <c r="N37" s="39"/>
      <c r="O37" s="52"/>
      <c r="P37" s="52"/>
      <c r="Q37" s="64"/>
      <c r="R37" s="39"/>
      <c r="S37" s="39"/>
      <c r="T37" s="52"/>
      <c r="U37" s="52"/>
      <c r="V37" s="64"/>
      <c r="W37" s="39"/>
      <c r="X37" s="39"/>
      <c r="Y37" s="52"/>
      <c r="Z37" s="52"/>
      <c r="AA37" s="603"/>
      <c r="AB37" s="560"/>
      <c r="AC37" s="452"/>
      <c r="AD37" s="606"/>
      <c r="AE37" s="606"/>
      <c r="AF37" s="588"/>
      <c r="AG37" s="560"/>
      <c r="AH37" s="452"/>
      <c r="AI37" s="606"/>
      <c r="AJ37" s="606"/>
      <c r="AK37" s="588"/>
      <c r="AL37" s="560"/>
      <c r="AM37" s="452"/>
      <c r="AN37" s="606"/>
      <c r="AO37" s="606"/>
      <c r="AP37" s="588"/>
      <c r="AQ37" s="39"/>
      <c r="AR37" s="39"/>
      <c r="AS37" s="52"/>
      <c r="AT37" s="52"/>
      <c r="AU37" s="52"/>
    </row>
    <row r="38" spans="1:47" ht="14.4" thickBot="1">
      <c r="A38" s="33"/>
      <c r="B38" s="34" t="s">
        <v>46</v>
      </c>
      <c r="C38" s="53">
        <f>(C5)-(C8)</f>
        <v>0</v>
      </c>
      <c r="D38" s="53">
        <f>(D5)-(D8)</f>
        <v>0</v>
      </c>
      <c r="E38" s="53">
        <f>(E5)-(E8)</f>
        <v>0</v>
      </c>
      <c r="F38" s="53">
        <f t="shared" si="1"/>
        <v>0</v>
      </c>
      <c r="G38" s="53"/>
      <c r="H38" s="53">
        <f>(H5)-(H8)</f>
        <v>0</v>
      </c>
      <c r="I38" s="53">
        <f>(I5)-(I8)</f>
        <v>0</v>
      </c>
      <c r="J38" s="53">
        <f>(J5)-(J8)</f>
        <v>0</v>
      </c>
      <c r="K38" s="53"/>
      <c r="L38" s="406"/>
      <c r="M38" s="53">
        <f>(M5)-(M8)</f>
        <v>0</v>
      </c>
      <c r="N38" s="53">
        <f>(N5)-(N8)</f>
        <v>0</v>
      </c>
      <c r="O38" s="53">
        <f>(O5)-(O8)</f>
        <v>0</v>
      </c>
      <c r="P38" s="53"/>
      <c r="Q38" s="406"/>
      <c r="R38" s="53">
        <f>(R5)-(R8)</f>
        <v>0</v>
      </c>
      <c r="S38" s="53">
        <f>(S5)-(S8)</f>
        <v>0</v>
      </c>
      <c r="T38" s="53">
        <f>(T5)-(T8)</f>
        <v>0</v>
      </c>
      <c r="U38" s="53"/>
      <c r="V38" s="406"/>
      <c r="W38" s="53">
        <f>(W5)-(W8)</f>
        <v>0</v>
      </c>
      <c r="X38" s="53">
        <f>(X5)-(X8)</f>
        <v>0</v>
      </c>
      <c r="Y38" s="53">
        <f>(Y5)-(Y8)</f>
        <v>0</v>
      </c>
      <c r="Z38" s="53"/>
      <c r="AA38" s="733"/>
      <c r="AB38" s="648">
        <f>(AB5)-(AB8)</f>
        <v>0</v>
      </c>
      <c r="AC38" s="648">
        <f>(AC5)-(AC8)</f>
        <v>0</v>
      </c>
      <c r="AD38" s="648">
        <f>(AD5)-(AD8)</f>
        <v>0</v>
      </c>
      <c r="AE38" s="648"/>
      <c r="AF38" s="636"/>
      <c r="AG38" s="648">
        <f>(AG5)-(AG8)</f>
        <v>0</v>
      </c>
      <c r="AH38" s="648">
        <f>(AH5)-(AH8)</f>
        <v>0</v>
      </c>
      <c r="AI38" s="648">
        <f>(AI5)-(AI8)</f>
        <v>0</v>
      </c>
      <c r="AJ38" s="648"/>
      <c r="AK38" s="636"/>
      <c r="AL38" s="648">
        <f>(AL5)-(AL8)</f>
        <v>0</v>
      </c>
      <c r="AM38" s="648">
        <f>(AM5)-(AM8)</f>
        <v>0</v>
      </c>
      <c r="AN38" s="648">
        <f>(AN5)-(AN8)</f>
        <v>0</v>
      </c>
      <c r="AO38" s="648"/>
      <c r="AP38" s="636"/>
      <c r="AQ38" s="53">
        <f>(AQ5)-(AQ8)</f>
        <v>0</v>
      </c>
      <c r="AR38" s="53">
        <f>(AR5)-(AR8)</f>
        <v>0</v>
      </c>
      <c r="AS38" s="53">
        <f>(AS5)-(AS8)</f>
        <v>0</v>
      </c>
      <c r="AT38" s="53"/>
      <c r="AU38" s="53"/>
    </row>
    <row r="39" spans="1:47" ht="13.8">
      <c r="A39" s="293"/>
      <c r="B39" s="15" t="s">
        <v>47</v>
      </c>
      <c r="C39" s="54" t="e">
        <f>C38/(C5)</f>
        <v>#DIV/0!</v>
      </c>
      <c r="D39" s="54" t="e">
        <f>D38/(D5)</f>
        <v>#DIV/0!</v>
      </c>
      <c r="E39" s="55" t="e">
        <f>E38/(E5)</f>
        <v>#DIV/0!</v>
      </c>
      <c r="F39" s="55" t="e">
        <f t="shared" si="1"/>
        <v>#DIV/0!</v>
      </c>
      <c r="G39" s="55"/>
      <c r="H39" s="54" t="e">
        <f>H38/(H5)</f>
        <v>#DIV/0!</v>
      </c>
      <c r="I39" s="54" t="e">
        <f>I38/(I5)</f>
        <v>#DIV/0!</v>
      </c>
      <c r="J39" s="55" t="e">
        <f>J38/(J5)</f>
        <v>#DIV/0!</v>
      </c>
      <c r="K39" s="55"/>
      <c r="L39" s="407"/>
      <c r="M39" s="54" t="e">
        <f>M38/(M5)</f>
        <v>#DIV/0!</v>
      </c>
      <c r="N39" s="54" t="e">
        <f>N38/(N5)</f>
        <v>#DIV/0!</v>
      </c>
      <c r="O39" s="55" t="e">
        <f>O38/(O5)</f>
        <v>#DIV/0!</v>
      </c>
      <c r="P39" s="55"/>
      <c r="Q39" s="407"/>
      <c r="R39" s="54" t="e">
        <f>R38/(R5)</f>
        <v>#DIV/0!</v>
      </c>
      <c r="S39" s="54" t="e">
        <f>S38/(S5)</f>
        <v>#DIV/0!</v>
      </c>
      <c r="T39" s="55" t="e">
        <f>T38/(T5)</f>
        <v>#DIV/0!</v>
      </c>
      <c r="U39" s="55"/>
      <c r="V39" s="407"/>
      <c r="W39" s="54" t="e">
        <f>W38/(W5)</f>
        <v>#DIV/0!</v>
      </c>
      <c r="X39" s="54" t="e">
        <f>X38/(X5)</f>
        <v>#DIV/0!</v>
      </c>
      <c r="Y39" s="55" t="e">
        <f>Y38/(Y5)</f>
        <v>#DIV/0!</v>
      </c>
      <c r="Z39" s="55"/>
      <c r="AA39" s="716"/>
      <c r="AB39" s="639" t="e">
        <f>AB38/(AB5)</f>
        <v>#DIV/0!</v>
      </c>
      <c r="AC39" s="639" t="e">
        <f>AC38/(AC5)</f>
        <v>#DIV/0!</v>
      </c>
      <c r="AD39" s="660" t="e">
        <f>AD38/(AD5)</f>
        <v>#DIV/0!</v>
      </c>
      <c r="AE39" s="660"/>
      <c r="AF39" s="661"/>
      <c r="AG39" s="639" t="e">
        <f>AG38/(AG5)</f>
        <v>#DIV/0!</v>
      </c>
      <c r="AH39" s="639" t="e">
        <f>AH38/(AH5)</f>
        <v>#DIV/0!</v>
      </c>
      <c r="AI39" s="660" t="e">
        <f>AI38/(AI5)</f>
        <v>#DIV/0!</v>
      </c>
      <c r="AJ39" s="660"/>
      <c r="AK39" s="661"/>
      <c r="AL39" s="639" t="e">
        <f>AL38/(AL5)</f>
        <v>#DIV/0!</v>
      </c>
      <c r="AM39" s="639" t="e">
        <f>AM38/(AM5)</f>
        <v>#DIV/0!</v>
      </c>
      <c r="AN39" s="660" t="e">
        <f>AN38/(AN5)</f>
        <v>#DIV/0!</v>
      </c>
      <c r="AO39" s="660"/>
      <c r="AP39" s="661"/>
      <c r="AQ39" s="54" t="e">
        <f>AQ38/(AQ5)</f>
        <v>#DIV/0!</v>
      </c>
      <c r="AR39" s="54" t="e">
        <f>AR38/(AR5)</f>
        <v>#DIV/0!</v>
      </c>
      <c r="AS39" s="55" t="e">
        <f>AS38/(AS5)</f>
        <v>#DIV/0!</v>
      </c>
      <c r="AT39" s="55"/>
      <c r="AU39" s="55"/>
    </row>
    <row r="40" spans="1:47" ht="14.4" thickBot="1">
      <c r="A40" s="295"/>
      <c r="B40" s="16"/>
      <c r="C40" s="58"/>
      <c r="D40" s="58"/>
      <c r="E40" s="58"/>
      <c r="F40" s="58">
        <f t="shared" si="1"/>
        <v>0</v>
      </c>
      <c r="G40" s="58"/>
      <c r="H40" s="58"/>
      <c r="I40" s="58"/>
      <c r="J40" s="58"/>
      <c r="K40" s="58"/>
      <c r="L40" s="408"/>
      <c r="M40" s="58"/>
      <c r="N40" s="58"/>
      <c r="O40" s="58"/>
      <c r="P40" s="58"/>
      <c r="Q40" s="408"/>
      <c r="R40" s="58"/>
      <c r="S40" s="58"/>
      <c r="T40" s="58"/>
      <c r="U40" s="58"/>
      <c r="V40" s="408"/>
      <c r="W40" s="58"/>
      <c r="X40" s="58"/>
      <c r="Y40" s="58"/>
      <c r="Z40" s="58"/>
      <c r="AA40" s="734"/>
      <c r="AB40" s="662"/>
      <c r="AC40" s="649"/>
      <c r="AD40" s="649"/>
      <c r="AE40" s="649"/>
      <c r="AF40" s="637"/>
      <c r="AG40" s="662"/>
      <c r="AH40" s="649"/>
      <c r="AI40" s="649"/>
      <c r="AJ40" s="649"/>
      <c r="AK40" s="637"/>
      <c r="AL40" s="662"/>
      <c r="AM40" s="649"/>
      <c r="AN40" s="649"/>
      <c r="AO40" s="649"/>
      <c r="AP40" s="637"/>
      <c r="AQ40" s="58"/>
      <c r="AR40" s="58"/>
      <c r="AS40" s="58"/>
      <c r="AT40" s="58"/>
      <c r="AU40" s="58"/>
    </row>
    <row r="41" spans="1:47" ht="13.8">
      <c r="A41" s="11"/>
      <c r="B41" s="22" t="s">
        <v>26</v>
      </c>
      <c r="C41" s="117">
        <f>SUM(C42:C48)</f>
        <v>0</v>
      </c>
      <c r="D41" s="117">
        <f>SUM(D42:D48)</f>
        <v>0</v>
      </c>
      <c r="E41" s="118">
        <f>SUM(E42:E48)</f>
        <v>0</v>
      </c>
      <c r="F41" s="169">
        <f t="shared" si="1"/>
        <v>0</v>
      </c>
      <c r="G41" s="60"/>
      <c r="H41" s="117">
        <f>SUM(H42:H48)</f>
        <v>0</v>
      </c>
      <c r="I41" s="117">
        <f>SUM(I42:I48)</f>
        <v>0</v>
      </c>
      <c r="J41" s="118">
        <f>SUM(J42:J48)</f>
        <v>0</v>
      </c>
      <c r="K41" s="169" t="e">
        <f t="shared" ref="K41:K49" si="20">J41/$J$89</f>
        <v>#DIV/0!</v>
      </c>
      <c r="L41" s="409"/>
      <c r="M41" s="117">
        <f>SUM(M42:M48)</f>
        <v>0</v>
      </c>
      <c r="N41" s="117">
        <f>SUM(N42:N48)</f>
        <v>0</v>
      </c>
      <c r="O41" s="118">
        <f>SUM(O42:O48)</f>
        <v>0</v>
      </c>
      <c r="P41" s="169" t="e">
        <f>O41/$O$89</f>
        <v>#DIV/0!</v>
      </c>
      <c r="Q41" s="409"/>
      <c r="R41" s="117">
        <f>SUM(R42:R48)</f>
        <v>0</v>
      </c>
      <c r="S41" s="117">
        <f>SUM(S42:S48)</f>
        <v>0</v>
      </c>
      <c r="T41" s="118">
        <f>SUM(T42:T48)</f>
        <v>0</v>
      </c>
      <c r="U41" s="169" t="e">
        <f>T41/$O$89</f>
        <v>#DIV/0!</v>
      </c>
      <c r="V41" s="409"/>
      <c r="W41" s="117">
        <f>SUM(W42:W48)</f>
        <v>0</v>
      </c>
      <c r="X41" s="117">
        <f>SUM(X42:X48)</f>
        <v>0</v>
      </c>
      <c r="Y41" s="118">
        <f>SUM(Y42:Y48)</f>
        <v>0</v>
      </c>
      <c r="Z41" s="169" t="e">
        <f t="shared" ref="Z41:Z52" si="21">Y41/$Y$89</f>
        <v>#DIV/0!</v>
      </c>
      <c r="AA41" s="591"/>
      <c r="AB41" s="547">
        <f>SUM(AB42:AB48)</f>
        <v>0</v>
      </c>
      <c r="AC41" s="547">
        <f>SUM(AC42:AC48)</f>
        <v>0</v>
      </c>
      <c r="AD41" s="663">
        <f>SUM(AD42:AD48)</f>
        <v>0</v>
      </c>
      <c r="AE41" s="664" t="e">
        <f t="shared" ref="AE41:AE52" si="22">AD41/$AD$89</f>
        <v>#DIV/0!</v>
      </c>
      <c r="AF41" s="665"/>
      <c r="AG41" s="547">
        <f>SUM(AG42:AG48)</f>
        <v>0</v>
      </c>
      <c r="AH41" s="547">
        <f>SUM(AH42:AH48)</f>
        <v>0</v>
      </c>
      <c r="AI41" s="663">
        <f>SUM(AI42:AI48)</f>
        <v>0</v>
      </c>
      <c r="AJ41" s="664" t="e">
        <f t="shared" ref="AJ41:AJ52" si="23">AI41/$AD$89</f>
        <v>#DIV/0!</v>
      </c>
      <c r="AK41" s="665"/>
      <c r="AL41" s="547">
        <f>SUM(AL42:AL48)</f>
        <v>0</v>
      </c>
      <c r="AM41" s="547">
        <f>SUM(AM42:AM48)</f>
        <v>0</v>
      </c>
      <c r="AN41" s="663">
        <f>SUM(AN42:AN48)</f>
        <v>0</v>
      </c>
      <c r="AO41" s="664" t="e">
        <f t="shared" ref="AO41:AO52" si="24">AN41/$AD$89</f>
        <v>#DIV/0!</v>
      </c>
      <c r="AP41" s="665"/>
      <c r="AQ41" s="117">
        <f>SUM(AQ42:AQ48)</f>
        <v>0</v>
      </c>
      <c r="AR41" s="117">
        <f>SUM(AR42:AR48)</f>
        <v>0</v>
      </c>
      <c r="AS41" s="118">
        <f>SUM(AS42:AS48)</f>
        <v>0</v>
      </c>
      <c r="AT41" s="169" t="e">
        <f>AS41/$AS$89</f>
        <v>#DIV/0!</v>
      </c>
      <c r="AU41" s="60"/>
    </row>
    <row r="42" spans="1:47" ht="13.8">
      <c r="A42" s="4833"/>
      <c r="B42" s="18" t="s">
        <v>7</v>
      </c>
      <c r="C42" s="39"/>
      <c r="D42" s="39"/>
      <c r="E42" s="106">
        <f t="shared" ref="E42:E48" si="25">C42+D42*1</f>
        <v>0</v>
      </c>
      <c r="F42" s="178">
        <f t="shared" si="1"/>
        <v>0</v>
      </c>
      <c r="G42" s="79"/>
      <c r="H42" s="39"/>
      <c r="I42" s="39"/>
      <c r="J42" s="106">
        <f t="shared" ref="J42:J48" si="26">H42+I42*1</f>
        <v>0</v>
      </c>
      <c r="K42" s="178" t="e">
        <f t="shared" si="20"/>
        <v>#DIV/0!</v>
      </c>
      <c r="L42" s="259"/>
      <c r="M42" s="39"/>
      <c r="N42" s="39"/>
      <c r="O42" s="106">
        <f t="shared" ref="O42:O48" si="27">M42+N42*1</f>
        <v>0</v>
      </c>
      <c r="P42" s="178" t="e">
        <f t="shared" ref="P42:P52" si="28">O42/$O$89</f>
        <v>#DIV/0!</v>
      </c>
      <c r="Q42" s="259"/>
      <c r="R42" s="39"/>
      <c r="S42" s="39"/>
      <c r="T42" s="106">
        <f t="shared" ref="T42:T48" si="29">R42+S42*1</f>
        <v>0</v>
      </c>
      <c r="U42" s="178" t="e">
        <f t="shared" ref="U42:U49" si="30">T42/$O$89</f>
        <v>#DIV/0!</v>
      </c>
      <c r="V42" s="259"/>
      <c r="W42" s="39"/>
      <c r="X42" s="39"/>
      <c r="Y42" s="106">
        <f t="shared" ref="Y42:Y48" si="31">W42+X42*1</f>
        <v>0</v>
      </c>
      <c r="Z42" s="178" t="e">
        <f t="shared" si="21"/>
        <v>#DIV/0!</v>
      </c>
      <c r="AA42" s="731"/>
      <c r="AB42" s="560"/>
      <c r="AC42" s="452"/>
      <c r="AD42" s="446">
        <f t="shared" ref="AD42:AD48" si="32">AB42+AC42*1</f>
        <v>0</v>
      </c>
      <c r="AE42" s="450" t="e">
        <f t="shared" si="22"/>
        <v>#DIV/0!</v>
      </c>
      <c r="AF42" s="503"/>
      <c r="AG42" s="560"/>
      <c r="AH42" s="452"/>
      <c r="AI42" s="446">
        <f t="shared" ref="AI42:AI48" si="33">AG42+AH42*1</f>
        <v>0</v>
      </c>
      <c r="AJ42" s="450" t="e">
        <f t="shared" si="23"/>
        <v>#DIV/0!</v>
      </c>
      <c r="AK42" s="503"/>
      <c r="AL42" s="560"/>
      <c r="AM42" s="452"/>
      <c r="AN42" s="446">
        <f t="shared" ref="AN42:AN48" si="34">AL42+AM42*1</f>
        <v>0</v>
      </c>
      <c r="AO42" s="450" t="e">
        <f t="shared" si="24"/>
        <v>#DIV/0!</v>
      </c>
      <c r="AP42" s="503"/>
      <c r="AQ42" s="39">
        <f t="shared" ref="AQ42:AQ48" si="35">C42+H42</f>
        <v>0</v>
      </c>
      <c r="AR42" s="39">
        <f t="shared" ref="AR42:AR48" si="36">D42+I42</f>
        <v>0</v>
      </c>
      <c r="AS42" s="106">
        <f t="shared" ref="AS42:AS48" si="37">AQ42+AR42*1</f>
        <v>0</v>
      </c>
      <c r="AT42" s="178" t="e">
        <f t="shared" ref="AT42:AT72" si="38">AS42/$AS$89</f>
        <v>#DIV/0!</v>
      </c>
      <c r="AU42" s="79"/>
    </row>
    <row r="43" spans="1:47" ht="13.8">
      <c r="A43" s="4833"/>
      <c r="B43" s="18" t="s">
        <v>27</v>
      </c>
      <c r="C43" s="39"/>
      <c r="D43" s="39"/>
      <c r="E43" s="106">
        <f t="shared" si="25"/>
        <v>0</v>
      </c>
      <c r="F43" s="178">
        <f t="shared" si="1"/>
        <v>0</v>
      </c>
      <c r="G43" s="79"/>
      <c r="H43" s="39"/>
      <c r="I43" s="39"/>
      <c r="J43" s="106">
        <f t="shared" si="26"/>
        <v>0</v>
      </c>
      <c r="K43" s="178" t="e">
        <f t="shared" si="20"/>
        <v>#DIV/0!</v>
      </c>
      <c r="L43" s="857"/>
      <c r="M43" s="39"/>
      <c r="N43" s="39"/>
      <c r="O43" s="106">
        <f t="shared" si="27"/>
        <v>0</v>
      </c>
      <c r="P43" s="178" t="e">
        <f t="shared" si="28"/>
        <v>#DIV/0!</v>
      </c>
      <c r="Q43" s="259"/>
      <c r="R43" s="39"/>
      <c r="S43" s="39"/>
      <c r="T43" s="106">
        <f t="shared" si="29"/>
        <v>0</v>
      </c>
      <c r="U43" s="178" t="e">
        <f t="shared" si="30"/>
        <v>#DIV/0!</v>
      </c>
      <c r="V43" s="259"/>
      <c r="W43" s="39"/>
      <c r="X43" s="39"/>
      <c r="Y43" s="106">
        <f t="shared" si="31"/>
        <v>0</v>
      </c>
      <c r="Z43" s="178" t="e">
        <f t="shared" si="21"/>
        <v>#DIV/0!</v>
      </c>
      <c r="AA43" s="731"/>
      <c r="AB43" s="560"/>
      <c r="AC43" s="452"/>
      <c r="AD43" s="446">
        <f t="shared" si="32"/>
        <v>0</v>
      </c>
      <c r="AE43" s="450" t="e">
        <f t="shared" si="22"/>
        <v>#DIV/0!</v>
      </c>
      <c r="AF43" s="503"/>
      <c r="AG43" s="560"/>
      <c r="AH43" s="452"/>
      <c r="AI43" s="446">
        <f t="shared" si="33"/>
        <v>0</v>
      </c>
      <c r="AJ43" s="450" t="e">
        <f t="shared" si="23"/>
        <v>#DIV/0!</v>
      </c>
      <c r="AK43" s="503"/>
      <c r="AL43" s="560"/>
      <c r="AM43" s="452"/>
      <c r="AN43" s="446">
        <f t="shared" si="34"/>
        <v>0</v>
      </c>
      <c r="AO43" s="450" t="e">
        <f t="shared" si="24"/>
        <v>#DIV/0!</v>
      </c>
      <c r="AP43" s="503"/>
      <c r="AQ43" s="39">
        <f t="shared" si="35"/>
        <v>0</v>
      </c>
      <c r="AR43" s="39">
        <f t="shared" si="36"/>
        <v>0</v>
      </c>
      <c r="AS43" s="106">
        <f t="shared" si="37"/>
        <v>0</v>
      </c>
      <c r="AT43" s="178" t="e">
        <f t="shared" si="38"/>
        <v>#DIV/0!</v>
      </c>
      <c r="AU43" s="79"/>
    </row>
    <row r="44" spans="1:47" ht="13.8">
      <c r="A44" s="4833"/>
      <c r="B44" s="19" t="s">
        <v>28</v>
      </c>
      <c r="C44" s="39"/>
      <c r="D44" s="39"/>
      <c r="E44" s="106">
        <f t="shared" si="25"/>
        <v>0</v>
      </c>
      <c r="F44" s="178">
        <f t="shared" si="1"/>
        <v>0</v>
      </c>
      <c r="G44" s="79"/>
      <c r="H44" s="39"/>
      <c r="I44" s="39"/>
      <c r="J44" s="106">
        <f t="shared" si="26"/>
        <v>0</v>
      </c>
      <c r="K44" s="178" t="e">
        <f t="shared" si="20"/>
        <v>#DIV/0!</v>
      </c>
      <c r="L44" s="259"/>
      <c r="M44" s="39"/>
      <c r="N44" s="39"/>
      <c r="O44" s="106">
        <f t="shared" si="27"/>
        <v>0</v>
      </c>
      <c r="P44" s="178" t="e">
        <f t="shared" si="28"/>
        <v>#DIV/0!</v>
      </c>
      <c r="Q44" s="259"/>
      <c r="R44" s="39"/>
      <c r="S44" s="39"/>
      <c r="T44" s="106">
        <f t="shared" si="29"/>
        <v>0</v>
      </c>
      <c r="U44" s="178" t="e">
        <f t="shared" si="30"/>
        <v>#DIV/0!</v>
      </c>
      <c r="V44" s="259"/>
      <c r="W44" s="39"/>
      <c r="X44" s="39"/>
      <c r="Y44" s="106">
        <f t="shared" si="31"/>
        <v>0</v>
      </c>
      <c r="Z44" s="178" t="e">
        <f t="shared" si="21"/>
        <v>#DIV/0!</v>
      </c>
      <c r="AA44" s="731"/>
      <c r="AB44" s="560"/>
      <c r="AC44" s="452"/>
      <c r="AD44" s="446">
        <f t="shared" si="32"/>
        <v>0</v>
      </c>
      <c r="AE44" s="450" t="e">
        <f t="shared" si="22"/>
        <v>#DIV/0!</v>
      </c>
      <c r="AF44" s="503"/>
      <c r="AG44" s="560"/>
      <c r="AH44" s="452"/>
      <c r="AI44" s="446">
        <f t="shared" si="33"/>
        <v>0</v>
      </c>
      <c r="AJ44" s="450" t="e">
        <f t="shared" si="23"/>
        <v>#DIV/0!</v>
      </c>
      <c r="AK44" s="503"/>
      <c r="AL44" s="560"/>
      <c r="AM44" s="452"/>
      <c r="AN44" s="446">
        <f t="shared" si="34"/>
        <v>0</v>
      </c>
      <c r="AO44" s="450" t="e">
        <f t="shared" si="24"/>
        <v>#DIV/0!</v>
      </c>
      <c r="AP44" s="503"/>
      <c r="AQ44" s="39">
        <f t="shared" si="35"/>
        <v>0</v>
      </c>
      <c r="AR44" s="39">
        <f t="shared" si="36"/>
        <v>0</v>
      </c>
      <c r="AS44" s="106">
        <f t="shared" si="37"/>
        <v>0</v>
      </c>
      <c r="AT44" s="178" t="e">
        <f t="shared" si="38"/>
        <v>#DIV/0!</v>
      </c>
      <c r="AU44" s="79"/>
    </row>
    <row r="45" spans="1:47" ht="13.8">
      <c r="A45" s="4833"/>
      <c r="B45" s="18" t="s">
        <v>8</v>
      </c>
      <c r="C45" s="39"/>
      <c r="D45" s="39"/>
      <c r="E45" s="106">
        <f t="shared" si="25"/>
        <v>0</v>
      </c>
      <c r="F45" s="178">
        <f t="shared" si="1"/>
        <v>0</v>
      </c>
      <c r="G45" s="79"/>
      <c r="H45" s="39"/>
      <c r="I45" s="39"/>
      <c r="J45" s="106">
        <f t="shared" si="26"/>
        <v>0</v>
      </c>
      <c r="K45" s="178" t="e">
        <f t="shared" si="20"/>
        <v>#DIV/0!</v>
      </c>
      <c r="L45" s="259"/>
      <c r="M45" s="39"/>
      <c r="N45" s="39"/>
      <c r="O45" s="106">
        <f t="shared" si="27"/>
        <v>0</v>
      </c>
      <c r="P45" s="178" t="e">
        <f t="shared" si="28"/>
        <v>#DIV/0!</v>
      </c>
      <c r="Q45" s="259"/>
      <c r="R45" s="39"/>
      <c r="S45" s="39"/>
      <c r="T45" s="106">
        <f t="shared" si="29"/>
        <v>0</v>
      </c>
      <c r="U45" s="178" t="e">
        <f t="shared" si="30"/>
        <v>#DIV/0!</v>
      </c>
      <c r="V45" s="259"/>
      <c r="W45" s="39"/>
      <c r="X45" s="39"/>
      <c r="Y45" s="106">
        <f t="shared" si="31"/>
        <v>0</v>
      </c>
      <c r="Z45" s="178" t="e">
        <f t="shared" si="21"/>
        <v>#DIV/0!</v>
      </c>
      <c r="AA45" s="731"/>
      <c r="AB45" s="560"/>
      <c r="AC45" s="452"/>
      <c r="AD45" s="446">
        <f t="shared" si="32"/>
        <v>0</v>
      </c>
      <c r="AE45" s="450" t="e">
        <f t="shared" si="22"/>
        <v>#DIV/0!</v>
      </c>
      <c r="AF45" s="503"/>
      <c r="AG45" s="560"/>
      <c r="AH45" s="452"/>
      <c r="AI45" s="446">
        <f t="shared" si="33"/>
        <v>0</v>
      </c>
      <c r="AJ45" s="450" t="e">
        <f t="shared" si="23"/>
        <v>#DIV/0!</v>
      </c>
      <c r="AK45" s="503"/>
      <c r="AL45" s="560"/>
      <c r="AM45" s="452"/>
      <c r="AN45" s="446">
        <f t="shared" si="34"/>
        <v>0</v>
      </c>
      <c r="AO45" s="450" t="e">
        <f t="shared" si="24"/>
        <v>#DIV/0!</v>
      </c>
      <c r="AP45" s="503"/>
      <c r="AQ45" s="39">
        <f t="shared" si="35"/>
        <v>0</v>
      </c>
      <c r="AR45" s="39">
        <f t="shared" si="36"/>
        <v>0</v>
      </c>
      <c r="AS45" s="106">
        <f t="shared" si="37"/>
        <v>0</v>
      </c>
      <c r="AT45" s="178" t="e">
        <f t="shared" si="38"/>
        <v>#DIV/0!</v>
      </c>
      <c r="AU45" s="79"/>
    </row>
    <row r="46" spans="1:47" ht="13.8">
      <c r="A46" s="4833"/>
      <c r="B46" s="18" t="s">
        <v>29</v>
      </c>
      <c r="C46" s="39"/>
      <c r="D46" s="39"/>
      <c r="E46" s="106">
        <f t="shared" si="25"/>
        <v>0</v>
      </c>
      <c r="F46" s="178">
        <f t="shared" si="1"/>
        <v>0</v>
      </c>
      <c r="G46" s="79"/>
      <c r="H46" s="39"/>
      <c r="I46" s="39"/>
      <c r="J46" s="106">
        <f t="shared" si="26"/>
        <v>0</v>
      </c>
      <c r="K46" s="178" t="e">
        <f t="shared" si="20"/>
        <v>#DIV/0!</v>
      </c>
      <c r="L46" s="259"/>
      <c r="M46" s="39"/>
      <c r="N46" s="39"/>
      <c r="O46" s="106">
        <f t="shared" si="27"/>
        <v>0</v>
      </c>
      <c r="P46" s="178" t="e">
        <f t="shared" si="28"/>
        <v>#DIV/0!</v>
      </c>
      <c r="Q46" s="259"/>
      <c r="R46" s="39"/>
      <c r="S46" s="39"/>
      <c r="T46" s="106">
        <f t="shared" si="29"/>
        <v>0</v>
      </c>
      <c r="U46" s="178" t="e">
        <f t="shared" si="30"/>
        <v>#DIV/0!</v>
      </c>
      <c r="V46" s="259"/>
      <c r="W46" s="39"/>
      <c r="X46" s="39"/>
      <c r="Y46" s="106">
        <f t="shared" si="31"/>
        <v>0</v>
      </c>
      <c r="Z46" s="178" t="e">
        <f t="shared" si="21"/>
        <v>#DIV/0!</v>
      </c>
      <c r="AA46" s="731"/>
      <c r="AB46" s="560"/>
      <c r="AC46" s="452"/>
      <c r="AD46" s="446">
        <f t="shared" si="32"/>
        <v>0</v>
      </c>
      <c r="AE46" s="450" t="e">
        <f t="shared" si="22"/>
        <v>#DIV/0!</v>
      </c>
      <c r="AF46" s="503"/>
      <c r="AG46" s="560"/>
      <c r="AH46" s="452"/>
      <c r="AI46" s="446">
        <f t="shared" si="33"/>
        <v>0</v>
      </c>
      <c r="AJ46" s="450" t="e">
        <f t="shared" si="23"/>
        <v>#DIV/0!</v>
      </c>
      <c r="AK46" s="503"/>
      <c r="AL46" s="560"/>
      <c r="AM46" s="452"/>
      <c r="AN46" s="446">
        <f t="shared" si="34"/>
        <v>0</v>
      </c>
      <c r="AO46" s="450" t="e">
        <f t="shared" si="24"/>
        <v>#DIV/0!</v>
      </c>
      <c r="AP46" s="503"/>
      <c r="AQ46" s="39">
        <f t="shared" si="35"/>
        <v>0</v>
      </c>
      <c r="AR46" s="39">
        <f t="shared" si="36"/>
        <v>0</v>
      </c>
      <c r="AS46" s="106">
        <f t="shared" si="37"/>
        <v>0</v>
      </c>
      <c r="AT46" s="178" t="e">
        <f t="shared" si="38"/>
        <v>#DIV/0!</v>
      </c>
      <c r="AU46" s="79"/>
    </row>
    <row r="47" spans="1:47" ht="13.8">
      <c r="A47" s="4833"/>
      <c r="B47" s="18" t="s">
        <v>30</v>
      </c>
      <c r="C47" s="39"/>
      <c r="D47" s="39"/>
      <c r="E47" s="106">
        <f t="shared" si="25"/>
        <v>0</v>
      </c>
      <c r="F47" s="178">
        <f t="shared" si="1"/>
        <v>0</v>
      </c>
      <c r="G47" s="79"/>
      <c r="H47" s="39"/>
      <c r="I47" s="39"/>
      <c r="J47" s="106">
        <f t="shared" si="26"/>
        <v>0</v>
      </c>
      <c r="K47" s="178" t="e">
        <f t="shared" si="20"/>
        <v>#DIV/0!</v>
      </c>
      <c r="L47" s="259"/>
      <c r="M47" s="39"/>
      <c r="N47" s="39"/>
      <c r="O47" s="106">
        <f t="shared" si="27"/>
        <v>0</v>
      </c>
      <c r="P47" s="178" t="e">
        <f t="shared" si="28"/>
        <v>#DIV/0!</v>
      </c>
      <c r="Q47" s="259"/>
      <c r="R47" s="39"/>
      <c r="S47" s="39"/>
      <c r="T47" s="106">
        <f t="shared" si="29"/>
        <v>0</v>
      </c>
      <c r="U47" s="178" t="e">
        <f t="shared" si="30"/>
        <v>#DIV/0!</v>
      </c>
      <c r="V47" s="259"/>
      <c r="W47" s="39"/>
      <c r="X47" s="39"/>
      <c r="Y47" s="106">
        <f t="shared" si="31"/>
        <v>0</v>
      </c>
      <c r="Z47" s="178" t="e">
        <f t="shared" si="21"/>
        <v>#DIV/0!</v>
      </c>
      <c r="AA47" s="731"/>
      <c r="AB47" s="560"/>
      <c r="AC47" s="452"/>
      <c r="AD47" s="446">
        <f t="shared" si="32"/>
        <v>0</v>
      </c>
      <c r="AE47" s="450" t="e">
        <f t="shared" si="22"/>
        <v>#DIV/0!</v>
      </c>
      <c r="AF47" s="503"/>
      <c r="AG47" s="560"/>
      <c r="AH47" s="452"/>
      <c r="AI47" s="446">
        <f t="shared" si="33"/>
        <v>0</v>
      </c>
      <c r="AJ47" s="450" t="e">
        <f t="shared" si="23"/>
        <v>#DIV/0!</v>
      </c>
      <c r="AK47" s="503"/>
      <c r="AL47" s="560"/>
      <c r="AM47" s="452"/>
      <c r="AN47" s="446">
        <f t="shared" si="34"/>
        <v>0</v>
      </c>
      <c r="AO47" s="450" t="e">
        <f t="shared" si="24"/>
        <v>#DIV/0!</v>
      </c>
      <c r="AP47" s="503"/>
      <c r="AQ47" s="39">
        <f t="shared" si="35"/>
        <v>0</v>
      </c>
      <c r="AR47" s="39">
        <f t="shared" si="36"/>
        <v>0</v>
      </c>
      <c r="AS47" s="106">
        <f t="shared" si="37"/>
        <v>0</v>
      </c>
      <c r="AT47" s="178" t="e">
        <f t="shared" si="38"/>
        <v>#DIV/0!</v>
      </c>
      <c r="AU47" s="79"/>
    </row>
    <row r="48" spans="1:47" ht="13.8">
      <c r="A48" s="4833"/>
      <c r="B48" s="18" t="s">
        <v>15</v>
      </c>
      <c r="C48" s="39"/>
      <c r="D48" s="39"/>
      <c r="E48" s="106">
        <f t="shared" si="25"/>
        <v>0</v>
      </c>
      <c r="F48" s="178">
        <f t="shared" si="1"/>
        <v>0</v>
      </c>
      <c r="G48" s="79"/>
      <c r="H48" s="39"/>
      <c r="I48" s="39"/>
      <c r="J48" s="106">
        <f t="shared" si="26"/>
        <v>0</v>
      </c>
      <c r="K48" s="178" t="e">
        <f t="shared" si="20"/>
        <v>#DIV/0!</v>
      </c>
      <c r="L48" s="259"/>
      <c r="M48" s="39"/>
      <c r="N48" s="39"/>
      <c r="O48" s="106">
        <f t="shared" si="27"/>
        <v>0</v>
      </c>
      <c r="P48" s="178" t="e">
        <f t="shared" si="28"/>
        <v>#DIV/0!</v>
      </c>
      <c r="Q48" s="259"/>
      <c r="R48" s="39"/>
      <c r="S48" s="39"/>
      <c r="T48" s="106">
        <f t="shared" si="29"/>
        <v>0</v>
      </c>
      <c r="U48" s="178" t="e">
        <f t="shared" si="30"/>
        <v>#DIV/0!</v>
      </c>
      <c r="V48" s="259"/>
      <c r="W48" s="39"/>
      <c r="X48" s="39"/>
      <c r="Y48" s="106">
        <f t="shared" si="31"/>
        <v>0</v>
      </c>
      <c r="Z48" s="178" t="e">
        <f t="shared" si="21"/>
        <v>#DIV/0!</v>
      </c>
      <c r="AA48" s="731"/>
      <c r="AB48" s="560"/>
      <c r="AC48" s="452"/>
      <c r="AD48" s="446">
        <f t="shared" si="32"/>
        <v>0</v>
      </c>
      <c r="AE48" s="450" t="e">
        <f t="shared" si="22"/>
        <v>#DIV/0!</v>
      </c>
      <c r="AF48" s="503"/>
      <c r="AG48" s="560"/>
      <c r="AH48" s="452"/>
      <c r="AI48" s="446">
        <f t="shared" si="33"/>
        <v>0</v>
      </c>
      <c r="AJ48" s="450" t="e">
        <f t="shared" si="23"/>
        <v>#DIV/0!</v>
      </c>
      <c r="AK48" s="503"/>
      <c r="AL48" s="560"/>
      <c r="AM48" s="452"/>
      <c r="AN48" s="446">
        <f t="shared" si="34"/>
        <v>0</v>
      </c>
      <c r="AO48" s="450" t="e">
        <f t="shared" si="24"/>
        <v>#DIV/0!</v>
      </c>
      <c r="AP48" s="503"/>
      <c r="AQ48" s="39">
        <f t="shared" si="35"/>
        <v>0</v>
      </c>
      <c r="AR48" s="39">
        <f t="shared" si="36"/>
        <v>0</v>
      </c>
      <c r="AS48" s="106">
        <f t="shared" si="37"/>
        <v>0</v>
      </c>
      <c r="AT48" s="178" t="e">
        <f t="shared" si="38"/>
        <v>#DIV/0!</v>
      </c>
      <c r="AU48" s="79"/>
    </row>
    <row r="49" spans="1:47" s="2" customFormat="1" ht="14.4" thickBot="1">
      <c r="A49" s="11"/>
      <c r="B49" s="35"/>
      <c r="C49" s="39"/>
      <c r="D49" s="39"/>
      <c r="E49" s="52"/>
      <c r="F49" s="178">
        <f t="shared" si="1"/>
        <v>0</v>
      </c>
      <c r="G49" s="52"/>
      <c r="H49" s="39"/>
      <c r="I49" s="39"/>
      <c r="J49" s="52"/>
      <c r="K49" s="178" t="e">
        <f t="shared" si="20"/>
        <v>#DIV/0!</v>
      </c>
      <c r="L49" s="64"/>
      <c r="M49" s="39"/>
      <c r="N49" s="39"/>
      <c r="O49" s="52"/>
      <c r="P49" s="178" t="e">
        <f t="shared" si="28"/>
        <v>#DIV/0!</v>
      </c>
      <c r="Q49" s="64"/>
      <c r="R49" s="39"/>
      <c r="S49" s="39"/>
      <c r="T49" s="52"/>
      <c r="U49" s="178" t="e">
        <f t="shared" si="30"/>
        <v>#DIV/0!</v>
      </c>
      <c r="V49" s="64"/>
      <c r="W49" s="39"/>
      <c r="X49" s="39"/>
      <c r="Y49" s="52"/>
      <c r="Z49" s="178" t="e">
        <f t="shared" si="21"/>
        <v>#DIV/0!</v>
      </c>
      <c r="AA49" s="603"/>
      <c r="AB49" s="560"/>
      <c r="AC49" s="452"/>
      <c r="AD49" s="606"/>
      <c r="AE49" s="450" t="e">
        <f t="shared" si="22"/>
        <v>#DIV/0!</v>
      </c>
      <c r="AF49" s="588"/>
      <c r="AG49" s="560"/>
      <c r="AH49" s="452"/>
      <c r="AI49" s="606"/>
      <c r="AJ49" s="450" t="e">
        <f t="shared" si="23"/>
        <v>#DIV/0!</v>
      </c>
      <c r="AK49" s="588"/>
      <c r="AL49" s="560"/>
      <c r="AM49" s="452"/>
      <c r="AN49" s="606"/>
      <c r="AO49" s="450" t="e">
        <f t="shared" si="24"/>
        <v>#DIV/0!</v>
      </c>
      <c r="AP49" s="588"/>
      <c r="AQ49" s="39"/>
      <c r="AR49" s="39"/>
      <c r="AS49" s="52"/>
      <c r="AT49" s="178" t="e">
        <f t="shared" si="38"/>
        <v>#DIV/0!</v>
      </c>
      <c r="AU49" s="52"/>
    </row>
    <row r="50" spans="1:47" s="2" customFormat="1" ht="13.8">
      <c r="A50" s="293"/>
      <c r="B50" s="17" t="s">
        <v>59</v>
      </c>
      <c r="C50" s="123">
        <f>C52+C51</f>
        <v>0</v>
      </c>
      <c r="D50" s="123">
        <f>D52+D51</f>
        <v>0</v>
      </c>
      <c r="E50" s="123">
        <f>SUM(E51:E52)</f>
        <v>0</v>
      </c>
      <c r="F50" s="60">
        <f t="shared" si="1"/>
        <v>0</v>
      </c>
      <c r="G50" s="60"/>
      <c r="H50" s="123">
        <f>H52+H51</f>
        <v>0</v>
      </c>
      <c r="I50" s="123">
        <f>I52+I51</f>
        <v>0</v>
      </c>
      <c r="J50" s="123">
        <f>SUM(J51:J52)</f>
        <v>0</v>
      </c>
      <c r="K50" s="60"/>
      <c r="L50" s="409"/>
      <c r="M50" s="123">
        <f>M52+M51</f>
        <v>0</v>
      </c>
      <c r="N50" s="123">
        <f>N52+N51</f>
        <v>0</v>
      </c>
      <c r="O50" s="123">
        <f>SUM(O51:O52)</f>
        <v>0</v>
      </c>
      <c r="P50" s="60"/>
      <c r="Q50" s="409"/>
      <c r="R50" s="123">
        <f>R52+R51</f>
        <v>0</v>
      </c>
      <c r="S50" s="123">
        <f>S52+S51</f>
        <v>0</v>
      </c>
      <c r="T50" s="123">
        <f>SUM(T51:T52)</f>
        <v>0</v>
      </c>
      <c r="U50" s="60"/>
      <c r="V50" s="409"/>
      <c r="W50" s="123">
        <f>W52+W51</f>
        <v>0</v>
      </c>
      <c r="X50" s="123">
        <f>X52+X51</f>
        <v>0</v>
      </c>
      <c r="Y50" s="123">
        <f>SUM(Y51:Y52)</f>
        <v>0</v>
      </c>
      <c r="Z50" s="60" t="e">
        <v>#DIV/0!</v>
      </c>
      <c r="AA50" s="591"/>
      <c r="AB50" s="578">
        <f>AB52+AB51</f>
        <v>0</v>
      </c>
      <c r="AC50" s="578">
        <f>AC52+AC51</f>
        <v>0</v>
      </c>
      <c r="AD50" s="578">
        <f>SUM(AD51:AD52)</f>
        <v>0</v>
      </c>
      <c r="AE50" s="581" t="e">
        <f t="shared" si="22"/>
        <v>#DIV/0!</v>
      </c>
      <c r="AF50" s="665"/>
      <c r="AG50" s="578">
        <f>AG52+AG51</f>
        <v>0</v>
      </c>
      <c r="AH50" s="578">
        <f>AH52+AH51</f>
        <v>0</v>
      </c>
      <c r="AI50" s="578">
        <f>SUM(AI51:AI52)</f>
        <v>0</v>
      </c>
      <c r="AJ50" s="581" t="e">
        <f t="shared" si="23"/>
        <v>#DIV/0!</v>
      </c>
      <c r="AK50" s="665"/>
      <c r="AL50" s="578">
        <f>AL52+AL51</f>
        <v>0</v>
      </c>
      <c r="AM50" s="578">
        <f>AM52+AM51</f>
        <v>0</v>
      </c>
      <c r="AN50" s="578">
        <f>SUM(AN51:AN52)</f>
        <v>0</v>
      </c>
      <c r="AO50" s="581" t="e">
        <f t="shared" si="24"/>
        <v>#DIV/0!</v>
      </c>
      <c r="AP50" s="665"/>
      <c r="AQ50" s="123">
        <f>AQ52+AQ51</f>
        <v>0</v>
      </c>
      <c r="AR50" s="123">
        <f>AR52+AR51</f>
        <v>0</v>
      </c>
      <c r="AS50" s="123">
        <f>SUM(AS51:AS52)</f>
        <v>0</v>
      </c>
      <c r="AT50" s="60"/>
      <c r="AU50" s="60"/>
    </row>
    <row r="51" spans="1:47" s="226" customFormat="1" ht="13.8">
      <c r="A51" s="234"/>
      <c r="B51" s="18" t="s">
        <v>60</v>
      </c>
      <c r="C51" s="39"/>
      <c r="D51" s="39"/>
      <c r="E51" s="106">
        <f>C51+D51*1</f>
        <v>0</v>
      </c>
      <c r="F51" s="178">
        <f t="shared" si="1"/>
        <v>0</v>
      </c>
      <c r="G51" s="45"/>
      <c r="H51" s="39"/>
      <c r="I51" s="39"/>
      <c r="J51" s="106">
        <f>H51+I51*1</f>
        <v>0</v>
      </c>
      <c r="K51" s="178" t="e">
        <f>J51/$J$89</f>
        <v>#DIV/0!</v>
      </c>
      <c r="L51" s="405"/>
      <c r="M51" s="39"/>
      <c r="N51" s="39"/>
      <c r="O51" s="106">
        <f>M51+N51*1</f>
        <v>0</v>
      </c>
      <c r="P51" s="178" t="e">
        <f t="shared" si="28"/>
        <v>#DIV/0!</v>
      </c>
      <c r="Q51" s="405"/>
      <c r="R51" s="39"/>
      <c r="S51" s="39"/>
      <c r="T51" s="106">
        <f>R51+S51*1</f>
        <v>0</v>
      </c>
      <c r="U51" s="178" t="e">
        <f>T51/$O$89</f>
        <v>#DIV/0!</v>
      </c>
      <c r="V51" s="405"/>
      <c r="W51" s="39"/>
      <c r="X51" s="39"/>
      <c r="Y51" s="106">
        <f>W51+X51*1</f>
        <v>0</v>
      </c>
      <c r="Z51" s="178" t="e">
        <f t="shared" si="21"/>
        <v>#DIV/0!</v>
      </c>
      <c r="AA51" s="732"/>
      <c r="AB51" s="560"/>
      <c r="AC51" s="452"/>
      <c r="AD51" s="446">
        <f>AB51+AC51*1</f>
        <v>0</v>
      </c>
      <c r="AE51" s="450" t="e">
        <f t="shared" si="22"/>
        <v>#DIV/0!</v>
      </c>
      <c r="AF51" s="745"/>
      <c r="AG51" s="560"/>
      <c r="AH51" s="452"/>
      <c r="AI51" s="446">
        <f>AG51+AH51*1</f>
        <v>0</v>
      </c>
      <c r="AJ51" s="450" t="e">
        <f t="shared" si="23"/>
        <v>#DIV/0!</v>
      </c>
      <c r="AK51" s="745"/>
      <c r="AL51" s="560"/>
      <c r="AM51" s="452"/>
      <c r="AN51" s="446">
        <f>AL51+AM51*1</f>
        <v>0</v>
      </c>
      <c r="AO51" s="450" t="e">
        <f t="shared" si="24"/>
        <v>#DIV/0!</v>
      </c>
      <c r="AP51" s="745"/>
      <c r="AQ51" s="39">
        <f>C51+H51</f>
        <v>0</v>
      </c>
      <c r="AR51" s="39">
        <f>D51+I51</f>
        <v>0</v>
      </c>
      <c r="AS51" s="106">
        <f>AQ51+AR51*1</f>
        <v>0</v>
      </c>
      <c r="AT51" s="178" t="e">
        <f t="shared" si="38"/>
        <v>#DIV/0!</v>
      </c>
      <c r="AU51" s="45"/>
    </row>
    <row r="52" spans="1:47" s="235" customFormat="1" ht="13.8">
      <c r="A52" s="234"/>
      <c r="B52" s="18" t="s">
        <v>61</v>
      </c>
      <c r="C52" s="39"/>
      <c r="D52" s="39"/>
      <c r="E52" s="106">
        <f>C52+D52*1</f>
        <v>0</v>
      </c>
      <c r="F52" s="178">
        <f t="shared" si="1"/>
        <v>0</v>
      </c>
      <c r="G52" s="45"/>
      <c r="H52" s="39"/>
      <c r="I52" s="39"/>
      <c r="J52" s="106">
        <f>H52+I52*1</f>
        <v>0</v>
      </c>
      <c r="K52" s="178" t="e">
        <f>J52/$J$89</f>
        <v>#DIV/0!</v>
      </c>
      <c r="L52" s="405"/>
      <c r="M52" s="39"/>
      <c r="N52" s="39"/>
      <c r="O52" s="106">
        <f>M52+N52*1</f>
        <v>0</v>
      </c>
      <c r="P52" s="178" t="e">
        <f t="shared" si="28"/>
        <v>#DIV/0!</v>
      </c>
      <c r="Q52" s="405"/>
      <c r="R52" s="39"/>
      <c r="S52" s="39"/>
      <c r="T52" s="106">
        <f>R52+S52*1</f>
        <v>0</v>
      </c>
      <c r="U52" s="178" t="e">
        <f>T52/$O$89</f>
        <v>#DIV/0!</v>
      </c>
      <c r="V52" s="405"/>
      <c r="W52" s="39"/>
      <c r="X52" s="39"/>
      <c r="Y52" s="106">
        <f>W52+X52*1</f>
        <v>0</v>
      </c>
      <c r="Z52" s="178" t="e">
        <f t="shared" si="21"/>
        <v>#DIV/0!</v>
      </c>
      <c r="AA52" s="732"/>
      <c r="AB52" s="560"/>
      <c r="AC52" s="452"/>
      <c r="AD52" s="446">
        <f>AB52+AC52*1</f>
        <v>0</v>
      </c>
      <c r="AE52" s="450" t="e">
        <f t="shared" si="22"/>
        <v>#DIV/0!</v>
      </c>
      <c r="AF52" s="745"/>
      <c r="AG52" s="560"/>
      <c r="AH52" s="452"/>
      <c r="AI52" s="446">
        <f>AG52+AH52*1</f>
        <v>0</v>
      </c>
      <c r="AJ52" s="450" t="e">
        <f t="shared" si="23"/>
        <v>#DIV/0!</v>
      </c>
      <c r="AK52" s="745"/>
      <c r="AL52" s="560"/>
      <c r="AM52" s="452"/>
      <c r="AN52" s="446">
        <f>AL52+AM52*1</f>
        <v>0</v>
      </c>
      <c r="AO52" s="450" t="e">
        <f t="shared" si="24"/>
        <v>#DIV/0!</v>
      </c>
      <c r="AP52" s="745"/>
      <c r="AQ52" s="39">
        <f>C52+H52</f>
        <v>0</v>
      </c>
      <c r="AR52" s="39">
        <f>D52+I52</f>
        <v>0</v>
      </c>
      <c r="AS52" s="106">
        <f>AQ52+AR52*1</f>
        <v>0</v>
      </c>
      <c r="AT52" s="178" t="e">
        <f t="shared" si="38"/>
        <v>#DIV/0!</v>
      </c>
      <c r="AU52" s="45"/>
    </row>
    <row r="53" spans="1:47" ht="14.4" thickBot="1">
      <c r="A53" s="20"/>
      <c r="B53" s="21"/>
      <c r="C53" s="39"/>
      <c r="D53" s="39"/>
      <c r="E53" s="61"/>
      <c r="F53" s="61"/>
      <c r="G53" s="61"/>
      <c r="H53" s="39"/>
      <c r="I53" s="39"/>
      <c r="J53" s="61"/>
      <c r="K53" s="61"/>
      <c r="L53" s="61"/>
      <c r="M53" s="39"/>
      <c r="N53" s="39"/>
      <c r="O53" s="61"/>
      <c r="P53" s="61"/>
      <c r="Q53" s="61"/>
      <c r="R53" s="39"/>
      <c r="S53" s="39"/>
      <c r="T53" s="61"/>
      <c r="U53" s="61"/>
      <c r="V53" s="61"/>
      <c r="W53" s="39"/>
      <c r="X53" s="39"/>
      <c r="Y53" s="61"/>
      <c r="Z53" s="61"/>
      <c r="AA53" s="735"/>
      <c r="AB53" s="560"/>
      <c r="AC53" s="452"/>
      <c r="AD53" s="668"/>
      <c r="AE53" s="668"/>
      <c r="AF53" s="668"/>
      <c r="AG53" s="560"/>
      <c r="AH53" s="452"/>
      <c r="AI53" s="668"/>
      <c r="AJ53" s="668"/>
      <c r="AK53" s="668"/>
      <c r="AL53" s="560"/>
      <c r="AM53" s="452"/>
      <c r="AN53" s="668"/>
      <c r="AO53" s="668"/>
      <c r="AP53" s="668"/>
      <c r="AQ53" s="39"/>
      <c r="AR53" s="39"/>
      <c r="AS53" s="61"/>
      <c r="AT53" s="61"/>
      <c r="AU53" s="61"/>
    </row>
    <row r="54" spans="1:47" ht="13.8">
      <c r="A54" s="236"/>
      <c r="B54" s="17" t="s">
        <v>1</v>
      </c>
      <c r="C54" s="123">
        <f>SUM(C55:C72)</f>
        <v>0</v>
      </c>
      <c r="D54" s="123">
        <f>SUM(D55:D72)</f>
        <v>5636.1</v>
      </c>
      <c r="E54" s="123">
        <f>SUM(E55:E72)</f>
        <v>5636.1</v>
      </c>
      <c r="F54" s="169">
        <f t="shared" si="1"/>
        <v>0.89099959701055098</v>
      </c>
      <c r="G54" s="60"/>
      <c r="H54" s="123">
        <f>SUM(H55:H72)</f>
        <v>0</v>
      </c>
      <c r="I54" s="123">
        <f>SUM(I55:I72)</f>
        <v>0</v>
      </c>
      <c r="J54" s="123">
        <f>SUM(J55:J72)</f>
        <v>0</v>
      </c>
      <c r="K54" s="169" t="e">
        <f t="shared" ref="K54:K72" si="39">J54/$J$89</f>
        <v>#DIV/0!</v>
      </c>
      <c r="L54" s="409"/>
      <c r="M54" s="123">
        <f>SUM(M55:M72)</f>
        <v>0</v>
      </c>
      <c r="N54" s="123">
        <f>SUM(N55:N72)</f>
        <v>0</v>
      </c>
      <c r="O54" s="123">
        <f>SUM(O55:O72)</f>
        <v>0</v>
      </c>
      <c r="P54" s="169" t="e">
        <f>O54/$O$89</f>
        <v>#DIV/0!</v>
      </c>
      <c r="Q54" s="409"/>
      <c r="R54" s="123">
        <f>SUM(R55:R72)</f>
        <v>0</v>
      </c>
      <c r="S54" s="123">
        <f>SUM(S55:S72)</f>
        <v>0</v>
      </c>
      <c r="T54" s="123">
        <f>SUM(T55:T72)</f>
        <v>0</v>
      </c>
      <c r="U54" s="169" t="e">
        <f>T54/$O$89</f>
        <v>#DIV/0!</v>
      </c>
      <c r="V54" s="409"/>
      <c r="W54" s="123">
        <f>SUM(W55:W72)</f>
        <v>0</v>
      </c>
      <c r="X54" s="123">
        <f>SUM(X55:X72)</f>
        <v>0</v>
      </c>
      <c r="Y54" s="123">
        <f>SUM(Y55:Y72)</f>
        <v>0</v>
      </c>
      <c r="Z54" s="169" t="e">
        <f t="shared" ref="Z54:Z71" si="40">Y54/$Y$89</f>
        <v>#DIV/0!</v>
      </c>
      <c r="AA54" s="591"/>
      <c r="AB54" s="578">
        <f>SUM(AB55:AB72)</f>
        <v>0</v>
      </c>
      <c r="AC54" s="578">
        <f>SUM(AC55:AC72)</f>
        <v>0</v>
      </c>
      <c r="AD54" s="578">
        <f>SUM(AD55:AD72)</f>
        <v>0</v>
      </c>
      <c r="AE54" s="664" t="e">
        <f t="shared" ref="AE54:AE71" si="41">AD54/$AD$89</f>
        <v>#DIV/0!</v>
      </c>
      <c r="AF54" s="665"/>
      <c r="AG54" s="578">
        <f>SUM(AG55:AG72)</f>
        <v>0</v>
      </c>
      <c r="AH54" s="578">
        <f>SUM(AH55:AH72)</f>
        <v>0</v>
      </c>
      <c r="AI54" s="578">
        <f>SUM(AI55:AI72)</f>
        <v>0</v>
      </c>
      <c r="AJ54" s="664" t="e">
        <f t="shared" ref="AJ54:AJ71" si="42">AI54/$AD$89</f>
        <v>#DIV/0!</v>
      </c>
      <c r="AK54" s="665"/>
      <c r="AL54" s="578">
        <f>SUM(AL55:AL72)</f>
        <v>0</v>
      </c>
      <c r="AM54" s="578">
        <f>SUM(AM55:AM72)</f>
        <v>0</v>
      </c>
      <c r="AN54" s="578">
        <f>SUM(AN55:AN72)</f>
        <v>0</v>
      </c>
      <c r="AO54" s="664" t="e">
        <f t="shared" ref="AO54:AO71" si="43">AN54/$AD$89</f>
        <v>#DIV/0!</v>
      </c>
      <c r="AP54" s="665"/>
      <c r="AQ54" s="123">
        <f>SUM(AQ55:AQ72)</f>
        <v>0</v>
      </c>
      <c r="AR54" s="123">
        <f>SUM(AR55:AR72)</f>
        <v>5636.1</v>
      </c>
      <c r="AS54" s="123">
        <f>SUM(AS55:AS72)</f>
        <v>5636.1</v>
      </c>
      <c r="AT54" s="169" t="e">
        <f t="shared" si="38"/>
        <v>#DIV/0!</v>
      </c>
      <c r="AU54" s="60"/>
    </row>
    <row r="55" spans="1:47" ht="13.8">
      <c r="A55" s="237"/>
      <c r="B55" s="19" t="s">
        <v>77</v>
      </c>
      <c r="C55" s="210"/>
      <c r="D55" s="210"/>
      <c r="E55" s="106">
        <f t="shared" ref="E55:E71" si="44">C55+D55*1</f>
        <v>0</v>
      </c>
      <c r="F55" s="178">
        <f t="shared" si="1"/>
        <v>0</v>
      </c>
      <c r="G55" s="79"/>
      <c r="H55" s="210"/>
      <c r="I55" s="210"/>
      <c r="J55" s="106">
        <f t="shared" ref="J55:J71" si="45">H55+I55*1</f>
        <v>0</v>
      </c>
      <c r="K55" s="178" t="e">
        <f t="shared" si="39"/>
        <v>#DIV/0!</v>
      </c>
      <c r="L55" s="259"/>
      <c r="M55" s="210"/>
      <c r="N55" s="210"/>
      <c r="O55" s="106">
        <f t="shared" ref="O55:O71" si="46">M55+N55*1</f>
        <v>0</v>
      </c>
      <c r="P55" s="178" t="e">
        <f t="shared" ref="P55:P72" si="47">O55/$O$89</f>
        <v>#DIV/0!</v>
      </c>
      <c r="Q55" s="259"/>
      <c r="R55" s="210"/>
      <c r="S55" s="210"/>
      <c r="T55" s="106">
        <f t="shared" ref="T55:T71" si="48">R55+S55*1</f>
        <v>0</v>
      </c>
      <c r="U55" s="178" t="e">
        <f t="shared" ref="U55:U72" si="49">T55/$O$89</f>
        <v>#DIV/0!</v>
      </c>
      <c r="V55" s="259"/>
      <c r="W55" s="210"/>
      <c r="X55" s="210"/>
      <c r="Y55" s="106">
        <f t="shared" ref="Y55:Y71" si="50">W55+X55*1</f>
        <v>0</v>
      </c>
      <c r="Z55" s="178" t="e">
        <f t="shared" si="40"/>
        <v>#DIV/0!</v>
      </c>
      <c r="AA55" s="731"/>
      <c r="AB55" s="669"/>
      <c r="AC55" s="453"/>
      <c r="AD55" s="446">
        <f t="shared" ref="AD55:AD71" si="51">AB55+AC55*1</f>
        <v>0</v>
      </c>
      <c r="AE55" s="450" t="e">
        <f t="shared" si="41"/>
        <v>#DIV/0!</v>
      </c>
      <c r="AF55" s="503"/>
      <c r="AG55" s="669"/>
      <c r="AH55" s="453"/>
      <c r="AI55" s="446">
        <f t="shared" ref="AI55:AI71" si="52">AG55+AH55*1</f>
        <v>0</v>
      </c>
      <c r="AJ55" s="450" t="e">
        <f t="shared" si="42"/>
        <v>#DIV/0!</v>
      </c>
      <c r="AK55" s="503"/>
      <c r="AL55" s="669"/>
      <c r="AM55" s="453"/>
      <c r="AN55" s="446">
        <f t="shared" ref="AN55:AN71" si="53">AL55+AM55*1</f>
        <v>0</v>
      </c>
      <c r="AO55" s="450" t="e">
        <f t="shared" si="43"/>
        <v>#DIV/0!</v>
      </c>
      <c r="AP55" s="503"/>
      <c r="AQ55" s="39">
        <f t="shared" ref="AQ55:AQ71" si="54">C55+H55</f>
        <v>0</v>
      </c>
      <c r="AR55" s="39">
        <f t="shared" ref="AR55:AR71" si="55">D55+I55</f>
        <v>0</v>
      </c>
      <c r="AS55" s="106">
        <f t="shared" ref="AS55:AS71" si="56">AQ55+AR55*1</f>
        <v>0</v>
      </c>
      <c r="AT55" s="178" t="e">
        <f t="shared" si="38"/>
        <v>#DIV/0!</v>
      </c>
      <c r="AU55" s="79"/>
    </row>
    <row r="56" spans="1:47" ht="13.8">
      <c r="A56" s="237"/>
      <c r="B56" s="19" t="s">
        <v>76</v>
      </c>
      <c r="C56" s="210"/>
      <c r="D56" s="210"/>
      <c r="E56" s="106">
        <f t="shared" si="44"/>
        <v>0</v>
      </c>
      <c r="F56" s="178">
        <f t="shared" si="1"/>
        <v>0</v>
      </c>
      <c r="G56" s="79"/>
      <c r="H56" s="210"/>
      <c r="I56" s="210"/>
      <c r="J56" s="106">
        <f t="shared" si="45"/>
        <v>0</v>
      </c>
      <c r="K56" s="178" t="e">
        <f t="shared" si="39"/>
        <v>#DIV/0!</v>
      </c>
      <c r="L56" s="259"/>
      <c r="M56" s="210"/>
      <c r="N56" s="210"/>
      <c r="O56" s="106">
        <f t="shared" si="46"/>
        <v>0</v>
      </c>
      <c r="P56" s="178" t="e">
        <f t="shared" si="47"/>
        <v>#DIV/0!</v>
      </c>
      <c r="Q56" s="259"/>
      <c r="R56" s="210"/>
      <c r="S56" s="210"/>
      <c r="T56" s="106">
        <f t="shared" si="48"/>
        <v>0</v>
      </c>
      <c r="U56" s="178" t="e">
        <f t="shared" si="49"/>
        <v>#DIV/0!</v>
      </c>
      <c r="V56" s="259"/>
      <c r="W56" s="210"/>
      <c r="X56" s="210"/>
      <c r="Y56" s="106">
        <f t="shared" si="50"/>
        <v>0</v>
      </c>
      <c r="Z56" s="178" t="e">
        <f t="shared" si="40"/>
        <v>#DIV/0!</v>
      </c>
      <c r="AA56" s="731"/>
      <c r="AB56" s="669"/>
      <c r="AC56" s="453"/>
      <c r="AD56" s="446">
        <f t="shared" si="51"/>
        <v>0</v>
      </c>
      <c r="AE56" s="450" t="e">
        <f t="shared" si="41"/>
        <v>#DIV/0!</v>
      </c>
      <c r="AF56" s="503"/>
      <c r="AG56" s="669"/>
      <c r="AH56" s="453"/>
      <c r="AI56" s="446">
        <f t="shared" si="52"/>
        <v>0</v>
      </c>
      <c r="AJ56" s="450" t="e">
        <f t="shared" si="42"/>
        <v>#DIV/0!</v>
      </c>
      <c r="AK56" s="503"/>
      <c r="AL56" s="669"/>
      <c r="AM56" s="453"/>
      <c r="AN56" s="446">
        <f t="shared" si="53"/>
        <v>0</v>
      </c>
      <c r="AO56" s="450" t="e">
        <f t="shared" si="43"/>
        <v>#DIV/0!</v>
      </c>
      <c r="AP56" s="503"/>
      <c r="AQ56" s="39">
        <f t="shared" si="54"/>
        <v>0</v>
      </c>
      <c r="AR56" s="39">
        <f t="shared" si="55"/>
        <v>0</v>
      </c>
      <c r="AS56" s="106">
        <f t="shared" si="56"/>
        <v>0</v>
      </c>
      <c r="AT56" s="178" t="e">
        <f t="shared" si="38"/>
        <v>#DIV/0!</v>
      </c>
      <c r="AU56" s="79"/>
    </row>
    <row r="57" spans="1:47" ht="13.8">
      <c r="A57" s="237"/>
      <c r="B57" s="615" t="s">
        <v>68</v>
      </c>
      <c r="C57" s="210"/>
      <c r="D57" s="210"/>
      <c r="E57" s="106">
        <f t="shared" si="44"/>
        <v>0</v>
      </c>
      <c r="F57" s="178">
        <f t="shared" si="1"/>
        <v>0</v>
      </c>
      <c r="G57" s="79"/>
      <c r="H57" s="210"/>
      <c r="I57" s="210"/>
      <c r="J57" s="106">
        <f t="shared" si="45"/>
        <v>0</v>
      </c>
      <c r="K57" s="178" t="e">
        <f t="shared" si="39"/>
        <v>#DIV/0!</v>
      </c>
      <c r="L57" s="259"/>
      <c r="M57" s="210"/>
      <c r="N57" s="210"/>
      <c r="O57" s="106">
        <f t="shared" si="46"/>
        <v>0</v>
      </c>
      <c r="P57" s="178" t="e">
        <f t="shared" si="47"/>
        <v>#DIV/0!</v>
      </c>
      <c r="Q57" s="259"/>
      <c r="R57" s="210"/>
      <c r="S57" s="210"/>
      <c r="T57" s="106">
        <f t="shared" si="48"/>
        <v>0</v>
      </c>
      <c r="U57" s="178" t="e">
        <f t="shared" si="49"/>
        <v>#DIV/0!</v>
      </c>
      <c r="V57" s="259"/>
      <c r="W57" s="210"/>
      <c r="X57" s="210"/>
      <c r="Y57" s="106">
        <f t="shared" si="50"/>
        <v>0</v>
      </c>
      <c r="Z57" s="178" t="e">
        <f t="shared" si="40"/>
        <v>#DIV/0!</v>
      </c>
      <c r="AA57" s="731"/>
      <c r="AB57" s="669"/>
      <c r="AC57" s="453"/>
      <c r="AD57" s="446">
        <f t="shared" si="51"/>
        <v>0</v>
      </c>
      <c r="AE57" s="450" t="e">
        <f t="shared" si="41"/>
        <v>#DIV/0!</v>
      </c>
      <c r="AF57" s="503"/>
      <c r="AG57" s="669"/>
      <c r="AH57" s="453"/>
      <c r="AI57" s="446">
        <f t="shared" si="52"/>
        <v>0</v>
      </c>
      <c r="AJ57" s="450" t="e">
        <f t="shared" si="42"/>
        <v>#DIV/0!</v>
      </c>
      <c r="AK57" s="503"/>
      <c r="AL57" s="669"/>
      <c r="AM57" s="453"/>
      <c r="AN57" s="446">
        <f t="shared" si="53"/>
        <v>0</v>
      </c>
      <c r="AO57" s="450" t="e">
        <f t="shared" si="43"/>
        <v>#DIV/0!</v>
      </c>
      <c r="AP57" s="503"/>
      <c r="AQ57" s="39">
        <f t="shared" si="54"/>
        <v>0</v>
      </c>
      <c r="AR57" s="39">
        <f t="shared" si="55"/>
        <v>0</v>
      </c>
      <c r="AS57" s="106">
        <f t="shared" si="56"/>
        <v>0</v>
      </c>
      <c r="AT57" s="178" t="e">
        <f t="shared" si="38"/>
        <v>#DIV/0!</v>
      </c>
      <c r="AU57" s="79"/>
    </row>
    <row r="58" spans="1:47" ht="13.8">
      <c r="A58" s="237"/>
      <c r="B58" s="615" t="s">
        <v>67</v>
      </c>
      <c r="C58" s="210"/>
      <c r="D58" s="210"/>
      <c r="E58" s="106">
        <f t="shared" si="44"/>
        <v>0</v>
      </c>
      <c r="F58" s="178">
        <f t="shared" si="1"/>
        <v>0</v>
      </c>
      <c r="G58" s="389"/>
      <c r="H58" s="210"/>
      <c r="I58" s="210"/>
      <c r="J58" s="106">
        <f t="shared" si="45"/>
        <v>0</v>
      </c>
      <c r="K58" s="178" t="e">
        <f t="shared" si="39"/>
        <v>#DIV/0!</v>
      </c>
      <c r="L58" s="857"/>
      <c r="M58" s="210"/>
      <c r="N58" s="210"/>
      <c r="O58" s="106">
        <f t="shared" si="46"/>
        <v>0</v>
      </c>
      <c r="P58" s="178" t="e">
        <f t="shared" si="47"/>
        <v>#DIV/0!</v>
      </c>
      <c r="Q58" s="415"/>
      <c r="R58" s="210"/>
      <c r="S58" s="210"/>
      <c r="T58" s="106">
        <f t="shared" si="48"/>
        <v>0</v>
      </c>
      <c r="U58" s="178" t="e">
        <f t="shared" si="49"/>
        <v>#DIV/0!</v>
      </c>
      <c r="V58" s="415"/>
      <c r="W58" s="210"/>
      <c r="X58" s="210"/>
      <c r="Y58" s="106">
        <f t="shared" si="50"/>
        <v>0</v>
      </c>
      <c r="Z58" s="178" t="e">
        <f t="shared" si="40"/>
        <v>#DIV/0!</v>
      </c>
      <c r="AA58" s="736"/>
      <c r="AB58" s="669"/>
      <c r="AC58" s="453"/>
      <c r="AD58" s="446">
        <f t="shared" si="51"/>
        <v>0</v>
      </c>
      <c r="AE58" s="450" t="e">
        <f t="shared" si="41"/>
        <v>#DIV/0!</v>
      </c>
      <c r="AF58" s="518"/>
      <c r="AG58" s="669"/>
      <c r="AH58" s="453"/>
      <c r="AI58" s="446">
        <f t="shared" si="52"/>
        <v>0</v>
      </c>
      <c r="AJ58" s="450" t="e">
        <f t="shared" si="42"/>
        <v>#DIV/0!</v>
      </c>
      <c r="AK58" s="518"/>
      <c r="AL58" s="669"/>
      <c r="AM58" s="453"/>
      <c r="AN58" s="446">
        <f t="shared" si="53"/>
        <v>0</v>
      </c>
      <c r="AO58" s="450" t="e">
        <f t="shared" si="43"/>
        <v>#DIV/0!</v>
      </c>
      <c r="AP58" s="518"/>
      <c r="AQ58" s="39">
        <f t="shared" si="54"/>
        <v>0</v>
      </c>
      <c r="AR58" s="39">
        <f t="shared" si="55"/>
        <v>0</v>
      </c>
      <c r="AS58" s="106">
        <f t="shared" si="56"/>
        <v>0</v>
      </c>
      <c r="AT58" s="178" t="e">
        <f t="shared" si="38"/>
        <v>#DIV/0!</v>
      </c>
      <c r="AU58" s="79"/>
    </row>
    <row r="59" spans="1:47" ht="13.8">
      <c r="A59" s="237"/>
      <c r="B59" s="615" t="s">
        <v>66</v>
      </c>
      <c r="C59" s="210"/>
      <c r="D59" s="210"/>
      <c r="E59" s="106">
        <f t="shared" si="44"/>
        <v>0</v>
      </c>
      <c r="F59" s="178">
        <f t="shared" si="1"/>
        <v>0</v>
      </c>
      <c r="G59" s="389"/>
      <c r="H59" s="210"/>
      <c r="I59" s="210"/>
      <c r="J59" s="106">
        <f t="shared" si="45"/>
        <v>0</v>
      </c>
      <c r="K59" s="178" t="e">
        <f t="shared" si="39"/>
        <v>#DIV/0!</v>
      </c>
      <c r="L59" s="857"/>
      <c r="M59" s="210"/>
      <c r="N59" s="210"/>
      <c r="O59" s="106">
        <f t="shared" si="46"/>
        <v>0</v>
      </c>
      <c r="P59" s="178" t="e">
        <f t="shared" si="47"/>
        <v>#DIV/0!</v>
      </c>
      <c r="Q59" s="259"/>
      <c r="R59" s="210"/>
      <c r="S59" s="210"/>
      <c r="T59" s="106">
        <f t="shared" si="48"/>
        <v>0</v>
      </c>
      <c r="U59" s="178" t="e">
        <f t="shared" si="49"/>
        <v>#DIV/0!</v>
      </c>
      <c r="V59" s="259"/>
      <c r="W59" s="210"/>
      <c r="X59" s="210"/>
      <c r="Y59" s="106">
        <f t="shared" si="50"/>
        <v>0</v>
      </c>
      <c r="Z59" s="178" t="e">
        <f t="shared" si="40"/>
        <v>#DIV/0!</v>
      </c>
      <c r="AA59" s="731"/>
      <c r="AB59" s="669"/>
      <c r="AC59" s="453"/>
      <c r="AD59" s="446">
        <f t="shared" si="51"/>
        <v>0</v>
      </c>
      <c r="AE59" s="450" t="e">
        <f t="shared" si="41"/>
        <v>#DIV/0!</v>
      </c>
      <c r="AF59" s="503"/>
      <c r="AG59" s="669"/>
      <c r="AH59" s="453"/>
      <c r="AI59" s="446">
        <f t="shared" si="52"/>
        <v>0</v>
      </c>
      <c r="AJ59" s="450" t="e">
        <f t="shared" si="42"/>
        <v>#DIV/0!</v>
      </c>
      <c r="AK59" s="503"/>
      <c r="AL59" s="669"/>
      <c r="AM59" s="453"/>
      <c r="AN59" s="446">
        <f t="shared" si="53"/>
        <v>0</v>
      </c>
      <c r="AO59" s="450" t="e">
        <f t="shared" si="43"/>
        <v>#DIV/0!</v>
      </c>
      <c r="AP59" s="503"/>
      <c r="AQ59" s="39">
        <f t="shared" si="54"/>
        <v>0</v>
      </c>
      <c r="AR59" s="39">
        <f t="shared" si="55"/>
        <v>0</v>
      </c>
      <c r="AS59" s="106">
        <f t="shared" si="56"/>
        <v>0</v>
      </c>
      <c r="AT59" s="178" t="e">
        <f t="shared" si="38"/>
        <v>#DIV/0!</v>
      </c>
      <c r="AU59" s="79"/>
    </row>
    <row r="60" spans="1:47" ht="13.8">
      <c r="A60" s="237"/>
      <c r="B60" s="615" t="s">
        <v>65</v>
      </c>
      <c r="C60" s="210"/>
      <c r="D60" s="210"/>
      <c r="E60" s="106">
        <f t="shared" si="44"/>
        <v>0</v>
      </c>
      <c r="F60" s="178">
        <f t="shared" si="1"/>
        <v>0</v>
      </c>
      <c r="G60" s="389"/>
      <c r="H60" s="210"/>
      <c r="I60" s="210"/>
      <c r="J60" s="106">
        <f t="shared" si="45"/>
        <v>0</v>
      </c>
      <c r="K60" s="178" t="e">
        <f t="shared" si="39"/>
        <v>#DIV/0!</v>
      </c>
      <c r="L60" s="857"/>
      <c r="M60" s="210"/>
      <c r="N60" s="210"/>
      <c r="O60" s="106">
        <f t="shared" si="46"/>
        <v>0</v>
      </c>
      <c r="P60" s="178" t="e">
        <f t="shared" si="47"/>
        <v>#DIV/0!</v>
      </c>
      <c r="Q60" s="259"/>
      <c r="R60" s="210"/>
      <c r="S60" s="210"/>
      <c r="T60" s="106">
        <f t="shared" si="48"/>
        <v>0</v>
      </c>
      <c r="U60" s="178" t="e">
        <f t="shared" si="49"/>
        <v>#DIV/0!</v>
      </c>
      <c r="V60" s="259"/>
      <c r="W60" s="210"/>
      <c r="X60" s="210"/>
      <c r="Y60" s="106">
        <f t="shared" si="50"/>
        <v>0</v>
      </c>
      <c r="Z60" s="178" t="e">
        <f t="shared" si="40"/>
        <v>#DIV/0!</v>
      </c>
      <c r="AA60" s="731"/>
      <c r="AB60" s="669"/>
      <c r="AC60" s="453"/>
      <c r="AD60" s="446">
        <f t="shared" si="51"/>
        <v>0</v>
      </c>
      <c r="AE60" s="450" t="e">
        <f t="shared" si="41"/>
        <v>#DIV/0!</v>
      </c>
      <c r="AF60" s="503"/>
      <c r="AG60" s="669"/>
      <c r="AH60" s="453"/>
      <c r="AI60" s="446">
        <f t="shared" si="52"/>
        <v>0</v>
      </c>
      <c r="AJ60" s="450" t="e">
        <f t="shared" si="42"/>
        <v>#DIV/0!</v>
      </c>
      <c r="AK60" s="503"/>
      <c r="AL60" s="669"/>
      <c r="AM60" s="453"/>
      <c r="AN60" s="446">
        <f t="shared" si="53"/>
        <v>0</v>
      </c>
      <c r="AO60" s="450" t="e">
        <f t="shared" si="43"/>
        <v>#DIV/0!</v>
      </c>
      <c r="AP60" s="503"/>
      <c r="AQ60" s="39">
        <f t="shared" si="54"/>
        <v>0</v>
      </c>
      <c r="AR60" s="39">
        <f t="shared" si="55"/>
        <v>0</v>
      </c>
      <c r="AS60" s="106">
        <f t="shared" si="56"/>
        <v>0</v>
      </c>
      <c r="AT60" s="178" t="e">
        <f t="shared" si="38"/>
        <v>#DIV/0!</v>
      </c>
      <c r="AU60" s="79"/>
    </row>
    <row r="61" spans="1:47" ht="13.8">
      <c r="A61" s="237"/>
      <c r="B61" s="615" t="s">
        <v>32</v>
      </c>
      <c r="C61" s="210"/>
      <c r="D61" s="210"/>
      <c r="E61" s="106">
        <f t="shared" si="44"/>
        <v>0</v>
      </c>
      <c r="F61" s="178">
        <f t="shared" si="1"/>
        <v>0</v>
      </c>
      <c r="G61" s="389"/>
      <c r="H61" s="210"/>
      <c r="I61" s="210"/>
      <c r="J61" s="106">
        <f t="shared" si="45"/>
        <v>0</v>
      </c>
      <c r="K61" s="178" t="e">
        <f t="shared" si="39"/>
        <v>#DIV/0!</v>
      </c>
      <c r="L61" s="857"/>
      <c r="M61" s="210"/>
      <c r="N61" s="210"/>
      <c r="O61" s="106">
        <f t="shared" si="46"/>
        <v>0</v>
      </c>
      <c r="P61" s="178" t="e">
        <f t="shared" si="47"/>
        <v>#DIV/0!</v>
      </c>
      <c r="Q61" s="259"/>
      <c r="R61" s="210"/>
      <c r="S61" s="210"/>
      <c r="T61" s="106">
        <f t="shared" si="48"/>
        <v>0</v>
      </c>
      <c r="U61" s="178" t="e">
        <f t="shared" si="49"/>
        <v>#DIV/0!</v>
      </c>
      <c r="V61" s="259"/>
      <c r="W61" s="210"/>
      <c r="X61" s="210"/>
      <c r="Y61" s="106">
        <f t="shared" si="50"/>
        <v>0</v>
      </c>
      <c r="Z61" s="178" t="e">
        <f t="shared" si="40"/>
        <v>#DIV/0!</v>
      </c>
      <c r="AA61" s="731"/>
      <c r="AB61" s="669"/>
      <c r="AC61" s="453"/>
      <c r="AD61" s="446">
        <f t="shared" si="51"/>
        <v>0</v>
      </c>
      <c r="AE61" s="450" t="e">
        <f t="shared" si="41"/>
        <v>#DIV/0!</v>
      </c>
      <c r="AF61" s="503"/>
      <c r="AG61" s="669"/>
      <c r="AH61" s="453"/>
      <c r="AI61" s="446">
        <f t="shared" si="52"/>
        <v>0</v>
      </c>
      <c r="AJ61" s="450" t="e">
        <f t="shared" si="42"/>
        <v>#DIV/0!</v>
      </c>
      <c r="AK61" s="503"/>
      <c r="AL61" s="669"/>
      <c r="AM61" s="453"/>
      <c r="AN61" s="446">
        <f t="shared" si="53"/>
        <v>0</v>
      </c>
      <c r="AO61" s="450" t="e">
        <f t="shared" si="43"/>
        <v>#DIV/0!</v>
      </c>
      <c r="AP61" s="503"/>
      <c r="AQ61" s="39">
        <f t="shared" si="54"/>
        <v>0</v>
      </c>
      <c r="AR61" s="39">
        <f t="shared" si="55"/>
        <v>0</v>
      </c>
      <c r="AS61" s="106">
        <f t="shared" si="56"/>
        <v>0</v>
      </c>
      <c r="AT61" s="178" t="e">
        <f t="shared" si="38"/>
        <v>#DIV/0!</v>
      </c>
      <c r="AU61" s="79"/>
    </row>
    <row r="62" spans="1:47" ht="13.8">
      <c r="A62" s="237"/>
      <c r="B62" s="615" t="s">
        <v>33</v>
      </c>
      <c r="C62" s="210"/>
      <c r="D62" s="210"/>
      <c r="E62" s="106">
        <f t="shared" si="44"/>
        <v>0</v>
      </c>
      <c r="F62" s="178">
        <f t="shared" si="1"/>
        <v>0</v>
      </c>
      <c r="G62" s="443"/>
      <c r="H62" s="210"/>
      <c r="I62" s="210"/>
      <c r="J62" s="106">
        <f t="shared" si="45"/>
        <v>0</v>
      </c>
      <c r="K62" s="178" t="e">
        <f t="shared" si="39"/>
        <v>#DIV/0!</v>
      </c>
      <c r="L62" s="857"/>
      <c r="M62" s="210"/>
      <c r="N62" s="210"/>
      <c r="O62" s="106">
        <f t="shared" si="46"/>
        <v>0</v>
      </c>
      <c r="P62" s="178" t="e">
        <f t="shared" si="47"/>
        <v>#DIV/0!</v>
      </c>
      <c r="Q62" s="259"/>
      <c r="R62" s="210"/>
      <c r="S62" s="210"/>
      <c r="T62" s="106">
        <f t="shared" si="48"/>
        <v>0</v>
      </c>
      <c r="U62" s="178" t="e">
        <f t="shared" si="49"/>
        <v>#DIV/0!</v>
      </c>
      <c r="V62" s="259"/>
      <c r="W62" s="210"/>
      <c r="X62" s="210"/>
      <c r="Y62" s="106">
        <f t="shared" si="50"/>
        <v>0</v>
      </c>
      <c r="Z62" s="178" t="e">
        <f t="shared" si="40"/>
        <v>#DIV/0!</v>
      </c>
      <c r="AA62" s="731"/>
      <c r="AB62" s="669"/>
      <c r="AC62" s="453"/>
      <c r="AD62" s="446">
        <f t="shared" si="51"/>
        <v>0</v>
      </c>
      <c r="AE62" s="450" t="e">
        <f t="shared" si="41"/>
        <v>#DIV/0!</v>
      </c>
      <c r="AF62" s="503"/>
      <c r="AG62" s="669"/>
      <c r="AH62" s="453"/>
      <c r="AI62" s="446">
        <f t="shared" si="52"/>
        <v>0</v>
      </c>
      <c r="AJ62" s="450" t="e">
        <f t="shared" si="42"/>
        <v>#DIV/0!</v>
      </c>
      <c r="AK62" s="503"/>
      <c r="AL62" s="669"/>
      <c r="AM62" s="453"/>
      <c r="AN62" s="446">
        <f t="shared" si="53"/>
        <v>0</v>
      </c>
      <c r="AO62" s="450" t="e">
        <f t="shared" si="43"/>
        <v>#DIV/0!</v>
      </c>
      <c r="AP62" s="503"/>
      <c r="AQ62" s="39">
        <f t="shared" si="54"/>
        <v>0</v>
      </c>
      <c r="AR62" s="39">
        <f t="shared" si="55"/>
        <v>0</v>
      </c>
      <c r="AS62" s="106">
        <f t="shared" si="56"/>
        <v>0</v>
      </c>
      <c r="AT62" s="178" t="e">
        <f t="shared" si="38"/>
        <v>#DIV/0!</v>
      </c>
      <c r="AU62" s="79"/>
    </row>
    <row r="63" spans="1:47" ht="13.8">
      <c r="A63" s="237"/>
      <c r="B63" s="615" t="s">
        <v>35</v>
      </c>
      <c r="C63" s="210"/>
      <c r="D63" s="210"/>
      <c r="E63" s="106">
        <f t="shared" si="44"/>
        <v>0</v>
      </c>
      <c r="F63" s="178">
        <f t="shared" si="1"/>
        <v>0</v>
      </c>
      <c r="G63" s="443"/>
      <c r="H63" s="39"/>
      <c r="I63" s="210"/>
      <c r="J63" s="106">
        <f t="shared" si="45"/>
        <v>0</v>
      </c>
      <c r="K63" s="178" t="e">
        <f t="shared" si="39"/>
        <v>#DIV/0!</v>
      </c>
      <c r="L63" s="860"/>
      <c r="M63" s="39"/>
      <c r="N63" s="210"/>
      <c r="O63" s="106">
        <f t="shared" si="46"/>
        <v>0</v>
      </c>
      <c r="P63" s="178" t="e">
        <f t="shared" si="47"/>
        <v>#DIV/0!</v>
      </c>
      <c r="Q63" s="415"/>
      <c r="R63" s="39"/>
      <c r="S63" s="210"/>
      <c r="T63" s="106">
        <f t="shared" si="48"/>
        <v>0</v>
      </c>
      <c r="U63" s="178" t="e">
        <f t="shared" si="49"/>
        <v>#DIV/0!</v>
      </c>
      <c r="V63" s="415"/>
      <c r="W63" s="39"/>
      <c r="X63" s="210"/>
      <c r="Y63" s="106">
        <f t="shared" si="50"/>
        <v>0</v>
      </c>
      <c r="Z63" s="178" t="e">
        <f t="shared" si="40"/>
        <v>#DIV/0!</v>
      </c>
      <c r="AA63" s="736"/>
      <c r="AB63" s="560"/>
      <c r="AC63" s="453"/>
      <c r="AD63" s="446">
        <f t="shared" si="51"/>
        <v>0</v>
      </c>
      <c r="AE63" s="450" t="e">
        <f t="shared" si="41"/>
        <v>#DIV/0!</v>
      </c>
      <c r="AF63" s="518"/>
      <c r="AG63" s="560"/>
      <c r="AH63" s="453"/>
      <c r="AI63" s="446">
        <f t="shared" si="52"/>
        <v>0</v>
      </c>
      <c r="AJ63" s="450" t="e">
        <f t="shared" si="42"/>
        <v>#DIV/0!</v>
      </c>
      <c r="AK63" s="518"/>
      <c r="AL63" s="560"/>
      <c r="AM63" s="453"/>
      <c r="AN63" s="446">
        <f t="shared" si="53"/>
        <v>0</v>
      </c>
      <c r="AO63" s="450" t="e">
        <f t="shared" si="43"/>
        <v>#DIV/0!</v>
      </c>
      <c r="AP63" s="518"/>
      <c r="AQ63" s="39">
        <f t="shared" si="54"/>
        <v>0</v>
      </c>
      <c r="AR63" s="39">
        <f t="shared" si="55"/>
        <v>0</v>
      </c>
      <c r="AS63" s="106">
        <f t="shared" si="56"/>
        <v>0</v>
      </c>
      <c r="AT63" s="178" t="e">
        <f t="shared" si="38"/>
        <v>#DIV/0!</v>
      </c>
      <c r="AU63" s="79"/>
    </row>
    <row r="64" spans="1:47" ht="13.8">
      <c r="A64" s="237"/>
      <c r="B64" s="615" t="s">
        <v>63</v>
      </c>
      <c r="C64" s="210"/>
      <c r="D64" s="210"/>
      <c r="E64" s="106">
        <f t="shared" si="44"/>
        <v>0</v>
      </c>
      <c r="F64" s="178">
        <f t="shared" si="1"/>
        <v>0</v>
      </c>
      <c r="G64" s="389"/>
      <c r="H64" s="210"/>
      <c r="I64" s="210"/>
      <c r="J64" s="106">
        <f t="shared" si="45"/>
        <v>0</v>
      </c>
      <c r="K64" s="178" t="e">
        <f t="shared" si="39"/>
        <v>#DIV/0!</v>
      </c>
      <c r="L64" s="857"/>
      <c r="M64" s="210"/>
      <c r="N64" s="210"/>
      <c r="O64" s="106">
        <f t="shared" si="46"/>
        <v>0</v>
      </c>
      <c r="P64" s="178" t="e">
        <f t="shared" si="47"/>
        <v>#DIV/0!</v>
      </c>
      <c r="Q64" s="259"/>
      <c r="R64" s="210"/>
      <c r="S64" s="210"/>
      <c r="T64" s="106">
        <f t="shared" si="48"/>
        <v>0</v>
      </c>
      <c r="U64" s="178" t="e">
        <f t="shared" si="49"/>
        <v>#DIV/0!</v>
      </c>
      <c r="V64" s="259"/>
      <c r="W64" s="210"/>
      <c r="X64" s="210"/>
      <c r="Y64" s="106">
        <f t="shared" si="50"/>
        <v>0</v>
      </c>
      <c r="Z64" s="178" t="e">
        <f t="shared" si="40"/>
        <v>#DIV/0!</v>
      </c>
      <c r="AA64" s="731"/>
      <c r="AB64" s="669"/>
      <c r="AC64" s="453"/>
      <c r="AD64" s="446">
        <f t="shared" si="51"/>
        <v>0</v>
      </c>
      <c r="AE64" s="450" t="e">
        <f t="shared" si="41"/>
        <v>#DIV/0!</v>
      </c>
      <c r="AF64" s="503"/>
      <c r="AG64" s="669"/>
      <c r="AH64" s="453"/>
      <c r="AI64" s="446">
        <f t="shared" si="52"/>
        <v>0</v>
      </c>
      <c r="AJ64" s="450" t="e">
        <f t="shared" si="42"/>
        <v>#DIV/0!</v>
      </c>
      <c r="AK64" s="503"/>
      <c r="AL64" s="669"/>
      <c r="AM64" s="453"/>
      <c r="AN64" s="446">
        <f t="shared" si="53"/>
        <v>0</v>
      </c>
      <c r="AO64" s="450" t="e">
        <f t="shared" si="43"/>
        <v>#DIV/0!</v>
      </c>
      <c r="AP64" s="503"/>
      <c r="AQ64" s="39">
        <f t="shared" si="54"/>
        <v>0</v>
      </c>
      <c r="AR64" s="39">
        <f t="shared" si="55"/>
        <v>0</v>
      </c>
      <c r="AS64" s="106">
        <f t="shared" si="56"/>
        <v>0</v>
      </c>
      <c r="AT64" s="178" t="e">
        <f t="shared" si="38"/>
        <v>#DIV/0!</v>
      </c>
      <c r="AU64" s="79"/>
    </row>
    <row r="65" spans="1:47" ht="27.6">
      <c r="A65" s="237"/>
      <c r="B65" s="615" t="s">
        <v>36</v>
      </c>
      <c r="C65" s="39"/>
      <c r="D65" s="39"/>
      <c r="E65" s="106">
        <f t="shared" si="44"/>
        <v>0</v>
      </c>
      <c r="F65" s="178">
        <f t="shared" si="1"/>
        <v>0</v>
      </c>
      <c r="G65" s="389"/>
      <c r="H65" s="39"/>
      <c r="I65" s="39"/>
      <c r="J65" s="106">
        <f t="shared" si="45"/>
        <v>0</v>
      </c>
      <c r="K65" s="178" t="e">
        <f t="shared" si="39"/>
        <v>#DIV/0!</v>
      </c>
      <c r="L65" s="860"/>
      <c r="M65" s="39"/>
      <c r="N65" s="39"/>
      <c r="O65" s="106">
        <f t="shared" si="46"/>
        <v>0</v>
      </c>
      <c r="P65" s="178" t="e">
        <f t="shared" si="47"/>
        <v>#DIV/0!</v>
      </c>
      <c r="Q65" s="259"/>
      <c r="R65" s="39"/>
      <c r="S65" s="39"/>
      <c r="T65" s="106">
        <f t="shared" si="48"/>
        <v>0</v>
      </c>
      <c r="U65" s="178" t="e">
        <f t="shared" si="49"/>
        <v>#DIV/0!</v>
      </c>
      <c r="V65" s="259"/>
      <c r="W65" s="39"/>
      <c r="X65" s="39"/>
      <c r="Y65" s="106">
        <f t="shared" si="50"/>
        <v>0</v>
      </c>
      <c r="Z65" s="178" t="e">
        <f t="shared" si="40"/>
        <v>#DIV/0!</v>
      </c>
      <c r="AA65" s="731"/>
      <c r="AB65" s="560"/>
      <c r="AC65" s="452"/>
      <c r="AD65" s="446">
        <f t="shared" si="51"/>
        <v>0</v>
      </c>
      <c r="AE65" s="450" t="e">
        <f t="shared" si="41"/>
        <v>#DIV/0!</v>
      </c>
      <c r="AF65" s="503"/>
      <c r="AG65" s="560"/>
      <c r="AH65" s="452"/>
      <c r="AI65" s="446">
        <f t="shared" si="52"/>
        <v>0</v>
      </c>
      <c r="AJ65" s="450" t="e">
        <f t="shared" si="42"/>
        <v>#DIV/0!</v>
      </c>
      <c r="AK65" s="503"/>
      <c r="AL65" s="560"/>
      <c r="AM65" s="452"/>
      <c r="AN65" s="446">
        <f t="shared" si="53"/>
        <v>0</v>
      </c>
      <c r="AO65" s="450" t="e">
        <f t="shared" si="43"/>
        <v>#DIV/0!</v>
      </c>
      <c r="AP65" s="503"/>
      <c r="AQ65" s="39">
        <f t="shared" si="54"/>
        <v>0</v>
      </c>
      <c r="AR65" s="39">
        <f t="shared" si="55"/>
        <v>0</v>
      </c>
      <c r="AS65" s="106">
        <f t="shared" si="56"/>
        <v>0</v>
      </c>
      <c r="AT65" s="178" t="e">
        <f t="shared" si="38"/>
        <v>#DIV/0!</v>
      </c>
      <c r="AU65" s="79"/>
    </row>
    <row r="66" spans="1:47" s="2" customFormat="1" ht="13.8">
      <c r="A66" s="237"/>
      <c r="B66" s="615" t="s">
        <v>37</v>
      </c>
      <c r="C66" s="39"/>
      <c r="D66" s="39">
        <v>1900</v>
      </c>
      <c r="E66" s="106">
        <f t="shared" si="44"/>
        <v>1900</v>
      </c>
      <c r="F66" s="178">
        <f t="shared" si="1"/>
        <v>0.30036713939072174</v>
      </c>
      <c r="G66" s="79" t="s">
        <v>957</v>
      </c>
      <c r="H66" s="39"/>
      <c r="I66" s="39"/>
      <c r="J66" s="106">
        <f t="shared" si="45"/>
        <v>0</v>
      </c>
      <c r="K66" s="178" t="e">
        <f t="shared" si="39"/>
        <v>#DIV/0!</v>
      </c>
      <c r="L66" s="259"/>
      <c r="M66" s="39"/>
      <c r="N66" s="39"/>
      <c r="O66" s="106">
        <f t="shared" si="46"/>
        <v>0</v>
      </c>
      <c r="P66" s="178" t="e">
        <f t="shared" si="47"/>
        <v>#DIV/0!</v>
      </c>
      <c r="Q66" s="259"/>
      <c r="R66" s="39"/>
      <c r="S66" s="39"/>
      <c r="T66" s="106">
        <f t="shared" si="48"/>
        <v>0</v>
      </c>
      <c r="U66" s="178" t="e">
        <f t="shared" si="49"/>
        <v>#DIV/0!</v>
      </c>
      <c r="V66" s="259"/>
      <c r="W66" s="39"/>
      <c r="X66" s="39"/>
      <c r="Y66" s="106">
        <f t="shared" si="50"/>
        <v>0</v>
      </c>
      <c r="Z66" s="178" t="e">
        <f t="shared" si="40"/>
        <v>#DIV/0!</v>
      </c>
      <c r="AA66" s="731"/>
      <c r="AB66" s="560"/>
      <c r="AC66" s="452"/>
      <c r="AD66" s="446">
        <f t="shared" si="51"/>
        <v>0</v>
      </c>
      <c r="AE66" s="450" t="e">
        <f t="shared" si="41"/>
        <v>#DIV/0!</v>
      </c>
      <c r="AF66" s="503"/>
      <c r="AG66" s="560"/>
      <c r="AH66" s="452"/>
      <c r="AI66" s="446">
        <f t="shared" si="52"/>
        <v>0</v>
      </c>
      <c r="AJ66" s="450" t="e">
        <f t="shared" si="42"/>
        <v>#DIV/0!</v>
      </c>
      <c r="AK66" s="503"/>
      <c r="AL66" s="560"/>
      <c r="AM66" s="452"/>
      <c r="AN66" s="446">
        <f t="shared" si="53"/>
        <v>0</v>
      </c>
      <c r="AO66" s="450" t="e">
        <f t="shared" si="43"/>
        <v>#DIV/0!</v>
      </c>
      <c r="AP66" s="503"/>
      <c r="AQ66" s="39">
        <f t="shared" si="54"/>
        <v>0</v>
      </c>
      <c r="AR66" s="39">
        <f t="shared" si="55"/>
        <v>1900</v>
      </c>
      <c r="AS66" s="106">
        <f t="shared" si="56"/>
        <v>1900</v>
      </c>
      <c r="AT66" s="178" t="e">
        <f t="shared" si="38"/>
        <v>#DIV/0!</v>
      </c>
      <c r="AU66" s="79"/>
    </row>
    <row r="67" spans="1:47" s="2" customFormat="1" ht="13.8">
      <c r="A67" s="237"/>
      <c r="B67" s="615" t="s">
        <v>3</v>
      </c>
      <c r="C67" s="39"/>
      <c r="D67" s="39"/>
      <c r="E67" s="106">
        <f t="shared" si="44"/>
        <v>0</v>
      </c>
      <c r="F67" s="178">
        <f t="shared" si="1"/>
        <v>0</v>
      </c>
      <c r="G67" s="79"/>
      <c r="H67" s="39"/>
      <c r="I67" s="39"/>
      <c r="J67" s="106">
        <f t="shared" si="45"/>
        <v>0</v>
      </c>
      <c r="K67" s="178" t="e">
        <f t="shared" si="39"/>
        <v>#DIV/0!</v>
      </c>
      <c r="L67" s="860"/>
      <c r="M67" s="39"/>
      <c r="N67" s="39"/>
      <c r="O67" s="106">
        <f t="shared" si="46"/>
        <v>0</v>
      </c>
      <c r="P67" s="178" t="e">
        <f t="shared" si="47"/>
        <v>#DIV/0!</v>
      </c>
      <c r="Q67" s="259"/>
      <c r="R67" s="39"/>
      <c r="S67" s="39"/>
      <c r="T67" s="106">
        <f t="shared" si="48"/>
        <v>0</v>
      </c>
      <c r="U67" s="178" t="e">
        <f t="shared" si="49"/>
        <v>#DIV/0!</v>
      </c>
      <c r="V67" s="259"/>
      <c r="W67" s="39"/>
      <c r="X67" s="39"/>
      <c r="Y67" s="106">
        <f t="shared" si="50"/>
        <v>0</v>
      </c>
      <c r="Z67" s="178" t="e">
        <f t="shared" si="40"/>
        <v>#DIV/0!</v>
      </c>
      <c r="AA67" s="731"/>
      <c r="AB67" s="560"/>
      <c r="AC67" s="452"/>
      <c r="AD67" s="446">
        <f t="shared" si="51"/>
        <v>0</v>
      </c>
      <c r="AE67" s="450" t="e">
        <f t="shared" si="41"/>
        <v>#DIV/0!</v>
      </c>
      <c r="AF67" s="503"/>
      <c r="AG67" s="560"/>
      <c r="AH67" s="452"/>
      <c r="AI67" s="446">
        <f t="shared" si="52"/>
        <v>0</v>
      </c>
      <c r="AJ67" s="450" t="e">
        <f t="shared" si="42"/>
        <v>#DIV/0!</v>
      </c>
      <c r="AK67" s="503"/>
      <c r="AL67" s="560"/>
      <c r="AM67" s="452"/>
      <c r="AN67" s="446">
        <f t="shared" si="53"/>
        <v>0</v>
      </c>
      <c r="AO67" s="450" t="e">
        <f t="shared" si="43"/>
        <v>#DIV/0!</v>
      </c>
      <c r="AP67" s="503"/>
      <c r="AQ67" s="39">
        <f t="shared" si="54"/>
        <v>0</v>
      </c>
      <c r="AR67" s="39">
        <f t="shared" si="55"/>
        <v>0</v>
      </c>
      <c r="AS67" s="106">
        <f t="shared" si="56"/>
        <v>0</v>
      </c>
      <c r="AT67" s="178" t="e">
        <f t="shared" si="38"/>
        <v>#DIV/0!</v>
      </c>
      <c r="AU67" s="79"/>
    </row>
    <row r="68" spans="1:47" s="2" customFormat="1" ht="41.4">
      <c r="A68" s="237"/>
      <c r="B68" s="615" t="s">
        <v>5</v>
      </c>
      <c r="C68" s="39"/>
      <c r="D68" s="39">
        <f>662+3004+70.1</f>
        <v>3736.1</v>
      </c>
      <c r="E68" s="106">
        <f t="shared" si="44"/>
        <v>3736.1</v>
      </c>
      <c r="F68" s="178">
        <f>E68/$E$89</f>
        <v>0.59063245761982919</v>
      </c>
      <c r="G68" s="389" t="s">
        <v>956</v>
      </c>
      <c r="H68" s="39"/>
      <c r="I68" s="39"/>
      <c r="J68" s="106">
        <f t="shared" si="45"/>
        <v>0</v>
      </c>
      <c r="K68" s="178" t="e">
        <f t="shared" si="39"/>
        <v>#DIV/0!</v>
      </c>
      <c r="L68" s="259"/>
      <c r="M68" s="39"/>
      <c r="N68" s="39"/>
      <c r="O68" s="106">
        <f t="shared" si="46"/>
        <v>0</v>
      </c>
      <c r="P68" s="178" t="e">
        <f t="shared" si="47"/>
        <v>#DIV/0!</v>
      </c>
      <c r="Q68" s="259"/>
      <c r="R68" s="39"/>
      <c r="S68" s="39"/>
      <c r="T68" s="106">
        <f t="shared" si="48"/>
        <v>0</v>
      </c>
      <c r="U68" s="178" t="e">
        <f t="shared" si="49"/>
        <v>#DIV/0!</v>
      </c>
      <c r="V68" s="259"/>
      <c r="W68" s="39"/>
      <c r="X68" s="39"/>
      <c r="Y68" s="106">
        <f t="shared" si="50"/>
        <v>0</v>
      </c>
      <c r="Z68" s="178" t="e">
        <f t="shared" si="40"/>
        <v>#DIV/0!</v>
      </c>
      <c r="AA68" s="731"/>
      <c r="AB68" s="560"/>
      <c r="AC68" s="452"/>
      <c r="AD68" s="446">
        <f t="shared" si="51"/>
        <v>0</v>
      </c>
      <c r="AE68" s="450" t="e">
        <f t="shared" si="41"/>
        <v>#DIV/0!</v>
      </c>
      <c r="AF68" s="503"/>
      <c r="AG68" s="560"/>
      <c r="AH68" s="452"/>
      <c r="AI68" s="446">
        <f t="shared" si="52"/>
        <v>0</v>
      </c>
      <c r="AJ68" s="450" t="e">
        <f t="shared" si="42"/>
        <v>#DIV/0!</v>
      </c>
      <c r="AK68" s="503"/>
      <c r="AL68" s="560"/>
      <c r="AM68" s="452"/>
      <c r="AN68" s="446">
        <f t="shared" si="53"/>
        <v>0</v>
      </c>
      <c r="AO68" s="450" t="e">
        <f t="shared" si="43"/>
        <v>#DIV/0!</v>
      </c>
      <c r="AP68" s="503"/>
      <c r="AQ68" s="39">
        <f t="shared" si="54"/>
        <v>0</v>
      </c>
      <c r="AR68" s="39">
        <f t="shared" si="55"/>
        <v>3736.1</v>
      </c>
      <c r="AS68" s="106">
        <f t="shared" si="56"/>
        <v>3736.1</v>
      </c>
      <c r="AT68" s="178" t="e">
        <f t="shared" si="38"/>
        <v>#DIV/0!</v>
      </c>
      <c r="AU68" s="79"/>
    </row>
    <row r="69" spans="1:47" s="2" customFormat="1" ht="13.8">
      <c r="A69" s="237"/>
      <c r="B69" s="615" t="s">
        <v>42</v>
      </c>
      <c r="C69" s="39"/>
      <c r="D69" s="39"/>
      <c r="E69" s="106">
        <f t="shared" si="44"/>
        <v>0</v>
      </c>
      <c r="F69" s="178">
        <f t="shared" si="1"/>
        <v>0</v>
      </c>
      <c r="G69" s="79"/>
      <c r="H69" s="39"/>
      <c r="I69" s="39"/>
      <c r="J69" s="106">
        <f t="shared" si="45"/>
        <v>0</v>
      </c>
      <c r="K69" s="178" t="e">
        <f t="shared" si="39"/>
        <v>#DIV/0!</v>
      </c>
      <c r="L69" s="415"/>
      <c r="M69" s="39"/>
      <c r="N69" s="39"/>
      <c r="O69" s="106">
        <f t="shared" si="46"/>
        <v>0</v>
      </c>
      <c r="P69" s="178" t="e">
        <f t="shared" si="47"/>
        <v>#DIV/0!</v>
      </c>
      <c r="Q69" s="415"/>
      <c r="R69" s="39"/>
      <c r="S69" s="39"/>
      <c r="T69" s="106">
        <f t="shared" si="48"/>
        <v>0</v>
      </c>
      <c r="U69" s="178" t="e">
        <f t="shared" si="49"/>
        <v>#DIV/0!</v>
      </c>
      <c r="V69" s="415"/>
      <c r="W69" s="39"/>
      <c r="X69" s="39"/>
      <c r="Y69" s="106">
        <f t="shared" si="50"/>
        <v>0</v>
      </c>
      <c r="Z69" s="178" t="e">
        <f t="shared" si="40"/>
        <v>#DIV/0!</v>
      </c>
      <c r="AA69" s="736"/>
      <c r="AB69" s="560"/>
      <c r="AC69" s="452"/>
      <c r="AD69" s="446">
        <f t="shared" si="51"/>
        <v>0</v>
      </c>
      <c r="AE69" s="450" t="e">
        <f t="shared" si="41"/>
        <v>#DIV/0!</v>
      </c>
      <c r="AF69" s="518"/>
      <c r="AG69" s="560"/>
      <c r="AH69" s="452"/>
      <c r="AI69" s="446">
        <f t="shared" si="52"/>
        <v>0</v>
      </c>
      <c r="AJ69" s="450" t="e">
        <f t="shared" si="42"/>
        <v>#DIV/0!</v>
      </c>
      <c r="AK69" s="518"/>
      <c r="AL69" s="560"/>
      <c r="AM69" s="452"/>
      <c r="AN69" s="446">
        <f t="shared" si="53"/>
        <v>0</v>
      </c>
      <c r="AO69" s="450" t="e">
        <f t="shared" si="43"/>
        <v>#DIV/0!</v>
      </c>
      <c r="AP69" s="518"/>
      <c r="AQ69" s="39">
        <f t="shared" si="54"/>
        <v>0</v>
      </c>
      <c r="AR69" s="39">
        <f t="shared" si="55"/>
        <v>0</v>
      </c>
      <c r="AS69" s="106">
        <f t="shared" si="56"/>
        <v>0</v>
      </c>
      <c r="AT69" s="178" t="e">
        <f t="shared" si="38"/>
        <v>#DIV/0!</v>
      </c>
      <c r="AU69" s="79"/>
    </row>
    <row r="70" spans="1:47" s="2" customFormat="1" ht="13.8">
      <c r="A70" s="237"/>
      <c r="B70" s="615" t="s">
        <v>6</v>
      </c>
      <c r="C70" s="39"/>
      <c r="D70" s="39"/>
      <c r="E70" s="106">
        <f t="shared" si="44"/>
        <v>0</v>
      </c>
      <c r="F70" s="178">
        <f t="shared" si="1"/>
        <v>0</v>
      </c>
      <c r="G70" s="79"/>
      <c r="H70" s="39"/>
      <c r="I70" s="39"/>
      <c r="J70" s="106">
        <f t="shared" si="45"/>
        <v>0</v>
      </c>
      <c r="K70" s="178" t="e">
        <f t="shared" si="39"/>
        <v>#DIV/0!</v>
      </c>
      <c r="L70" s="259"/>
      <c r="M70" s="39"/>
      <c r="N70" s="39"/>
      <c r="O70" s="106">
        <f t="shared" si="46"/>
        <v>0</v>
      </c>
      <c r="P70" s="178" t="e">
        <f t="shared" si="47"/>
        <v>#DIV/0!</v>
      </c>
      <c r="Q70" s="259"/>
      <c r="R70" s="39"/>
      <c r="S70" s="39"/>
      <c r="T70" s="106">
        <f t="shared" si="48"/>
        <v>0</v>
      </c>
      <c r="U70" s="178" t="e">
        <f t="shared" si="49"/>
        <v>#DIV/0!</v>
      </c>
      <c r="V70" s="259"/>
      <c r="W70" s="39"/>
      <c r="X70" s="39"/>
      <c r="Y70" s="106">
        <f t="shared" si="50"/>
        <v>0</v>
      </c>
      <c r="Z70" s="178" t="e">
        <f t="shared" si="40"/>
        <v>#DIV/0!</v>
      </c>
      <c r="AA70" s="731"/>
      <c r="AB70" s="560"/>
      <c r="AC70" s="452"/>
      <c r="AD70" s="446">
        <f t="shared" si="51"/>
        <v>0</v>
      </c>
      <c r="AE70" s="450" t="e">
        <f t="shared" si="41"/>
        <v>#DIV/0!</v>
      </c>
      <c r="AF70" s="503"/>
      <c r="AG70" s="560"/>
      <c r="AH70" s="452"/>
      <c r="AI70" s="446">
        <f t="shared" si="52"/>
        <v>0</v>
      </c>
      <c r="AJ70" s="450" t="e">
        <f t="shared" si="42"/>
        <v>#DIV/0!</v>
      </c>
      <c r="AK70" s="503"/>
      <c r="AL70" s="560"/>
      <c r="AM70" s="452"/>
      <c r="AN70" s="446">
        <f t="shared" si="53"/>
        <v>0</v>
      </c>
      <c r="AO70" s="450" t="e">
        <f t="shared" si="43"/>
        <v>#DIV/0!</v>
      </c>
      <c r="AP70" s="503"/>
      <c r="AQ70" s="39">
        <f t="shared" si="54"/>
        <v>0</v>
      </c>
      <c r="AR70" s="39">
        <f t="shared" si="55"/>
        <v>0</v>
      </c>
      <c r="AS70" s="106">
        <f t="shared" si="56"/>
        <v>0</v>
      </c>
      <c r="AT70" s="178" t="e">
        <f t="shared" si="38"/>
        <v>#DIV/0!</v>
      </c>
      <c r="AU70" s="79"/>
    </row>
    <row r="71" spans="1:47" s="2" customFormat="1" ht="13.8">
      <c r="A71" s="237"/>
      <c r="B71" s="615" t="s">
        <v>78</v>
      </c>
      <c r="C71" s="39"/>
      <c r="D71" s="39"/>
      <c r="E71" s="106">
        <f t="shared" si="44"/>
        <v>0</v>
      </c>
      <c r="F71" s="178">
        <f t="shared" si="1"/>
        <v>0</v>
      </c>
      <c r="G71" s="79"/>
      <c r="H71" s="39"/>
      <c r="I71" s="39"/>
      <c r="J71" s="106">
        <f t="shared" si="45"/>
        <v>0</v>
      </c>
      <c r="K71" s="178" t="e">
        <f t="shared" si="39"/>
        <v>#DIV/0!</v>
      </c>
      <c r="L71" s="259"/>
      <c r="M71" s="39"/>
      <c r="N71" s="39"/>
      <c r="O71" s="106">
        <f t="shared" si="46"/>
        <v>0</v>
      </c>
      <c r="P71" s="178" t="e">
        <f t="shared" si="47"/>
        <v>#DIV/0!</v>
      </c>
      <c r="Q71" s="259"/>
      <c r="R71" s="39"/>
      <c r="S71" s="39"/>
      <c r="T71" s="106">
        <f t="shared" si="48"/>
        <v>0</v>
      </c>
      <c r="U71" s="178" t="e">
        <f t="shared" si="49"/>
        <v>#DIV/0!</v>
      </c>
      <c r="V71" s="259"/>
      <c r="W71" s="39"/>
      <c r="X71" s="39"/>
      <c r="Y71" s="106">
        <f t="shared" si="50"/>
        <v>0</v>
      </c>
      <c r="Z71" s="178" t="e">
        <f t="shared" si="40"/>
        <v>#DIV/0!</v>
      </c>
      <c r="AA71" s="731"/>
      <c r="AB71" s="560"/>
      <c r="AC71" s="452"/>
      <c r="AD71" s="446">
        <f t="shared" si="51"/>
        <v>0</v>
      </c>
      <c r="AE71" s="450" t="e">
        <f t="shared" si="41"/>
        <v>#DIV/0!</v>
      </c>
      <c r="AF71" s="503"/>
      <c r="AG71" s="560"/>
      <c r="AH71" s="452"/>
      <c r="AI71" s="446">
        <f t="shared" si="52"/>
        <v>0</v>
      </c>
      <c r="AJ71" s="450" t="e">
        <f t="shared" si="42"/>
        <v>#DIV/0!</v>
      </c>
      <c r="AK71" s="503"/>
      <c r="AL71" s="560"/>
      <c r="AM71" s="452"/>
      <c r="AN71" s="446">
        <f t="shared" si="53"/>
        <v>0</v>
      </c>
      <c r="AO71" s="450" t="e">
        <f t="shared" si="43"/>
        <v>#DIV/0!</v>
      </c>
      <c r="AP71" s="503"/>
      <c r="AQ71" s="39">
        <f t="shared" si="54"/>
        <v>0</v>
      </c>
      <c r="AR71" s="39">
        <f t="shared" si="55"/>
        <v>0</v>
      </c>
      <c r="AS71" s="106">
        <f t="shared" si="56"/>
        <v>0</v>
      </c>
      <c r="AT71" s="178" t="e">
        <f t="shared" si="38"/>
        <v>#DIV/0!</v>
      </c>
      <c r="AU71" s="79"/>
    </row>
    <row r="72" spans="1:47" s="2" customFormat="1" ht="14.4" thickBot="1">
      <c r="A72" s="237"/>
      <c r="B72" s="303"/>
      <c r="C72" s="535"/>
      <c r="D72" s="535"/>
      <c r="E72" s="622"/>
      <c r="F72" s="583">
        <f t="shared" si="1"/>
        <v>0</v>
      </c>
      <c r="G72" s="899"/>
      <c r="H72" s="535"/>
      <c r="I72" s="535"/>
      <c r="J72" s="622"/>
      <c r="K72" s="583" t="e">
        <f t="shared" si="39"/>
        <v>#DIV/0!</v>
      </c>
      <c r="L72" s="900"/>
      <c r="M72" s="535"/>
      <c r="N72" s="535"/>
      <c r="O72" s="622"/>
      <c r="P72" s="583" t="e">
        <f t="shared" si="47"/>
        <v>#DIV/0!</v>
      </c>
      <c r="Q72" s="900"/>
      <c r="R72" s="535"/>
      <c r="S72" s="535"/>
      <c r="T72" s="622"/>
      <c r="U72" s="583" t="e">
        <f t="shared" si="49"/>
        <v>#DIV/0!</v>
      </c>
      <c r="V72" s="900"/>
      <c r="W72" s="535"/>
      <c r="X72" s="535"/>
      <c r="Y72" s="622"/>
      <c r="Z72" s="583"/>
      <c r="AA72" s="901"/>
      <c r="AB72" s="604"/>
      <c r="AC72" s="535"/>
      <c r="AD72" s="622"/>
      <c r="AE72" s="583"/>
      <c r="AF72" s="900"/>
      <c r="AG72" s="604"/>
      <c r="AH72" s="535"/>
      <c r="AI72" s="622"/>
      <c r="AJ72" s="583"/>
      <c r="AK72" s="900"/>
      <c r="AL72" s="604"/>
      <c r="AM72" s="535"/>
      <c r="AN72" s="622"/>
      <c r="AO72" s="583"/>
      <c r="AP72" s="900"/>
      <c r="AQ72" s="535"/>
      <c r="AR72" s="535"/>
      <c r="AS72" s="622"/>
      <c r="AT72" s="583" t="e">
        <f t="shared" si="38"/>
        <v>#DIV/0!</v>
      </c>
      <c r="AU72" s="899"/>
    </row>
    <row r="73" spans="1:47" s="2" customFormat="1" ht="14.4" thickBot="1">
      <c r="A73" s="237"/>
      <c r="B73" s="903" t="s">
        <v>4</v>
      </c>
      <c r="C73" s="836">
        <f>C74</f>
        <v>0</v>
      </c>
      <c r="D73" s="840">
        <f>D74</f>
        <v>0</v>
      </c>
      <c r="E73" s="837">
        <f>E74</f>
        <v>0</v>
      </c>
      <c r="F73" s="840"/>
      <c r="G73" s="840"/>
      <c r="H73" s="836">
        <f>H74</f>
        <v>0</v>
      </c>
      <c r="I73" s="840">
        <f>I74</f>
        <v>0</v>
      </c>
      <c r="J73" s="837">
        <f>J74</f>
        <v>0</v>
      </c>
      <c r="K73" s="840"/>
      <c r="L73" s="904"/>
      <c r="M73" s="836">
        <f>M74</f>
        <v>0</v>
      </c>
      <c r="N73" s="840">
        <f>N74</f>
        <v>0</v>
      </c>
      <c r="O73" s="837">
        <f>O74</f>
        <v>0</v>
      </c>
      <c r="P73" s="840"/>
      <c r="Q73" s="904"/>
      <c r="R73" s="836">
        <f>R74</f>
        <v>0</v>
      </c>
      <c r="S73" s="840">
        <f>S74</f>
        <v>0</v>
      </c>
      <c r="T73" s="837">
        <f>T74</f>
        <v>0</v>
      </c>
      <c r="U73" s="840"/>
      <c r="V73" s="904"/>
      <c r="W73" s="836">
        <f>W74</f>
        <v>0</v>
      </c>
      <c r="X73" s="840">
        <f>X74</f>
        <v>0</v>
      </c>
      <c r="Y73" s="837">
        <f>Y74</f>
        <v>0</v>
      </c>
      <c r="Z73" s="840"/>
      <c r="AA73" s="905"/>
      <c r="AB73" s="836">
        <f>AB74</f>
        <v>0</v>
      </c>
      <c r="AC73" s="840">
        <f>AC74</f>
        <v>0</v>
      </c>
      <c r="AD73" s="837">
        <f>AD74</f>
        <v>0</v>
      </c>
      <c r="AE73" s="840"/>
      <c r="AF73" s="904"/>
      <c r="AG73" s="836">
        <f>AG74</f>
        <v>0</v>
      </c>
      <c r="AH73" s="840">
        <f>AH74</f>
        <v>0</v>
      </c>
      <c r="AI73" s="837">
        <f>AI74</f>
        <v>0</v>
      </c>
      <c r="AJ73" s="840"/>
      <c r="AK73" s="904"/>
      <c r="AL73" s="836">
        <f>AL74</f>
        <v>0</v>
      </c>
      <c r="AM73" s="840">
        <f>AM74</f>
        <v>0</v>
      </c>
      <c r="AN73" s="837">
        <f>AN74</f>
        <v>0</v>
      </c>
      <c r="AO73" s="840"/>
      <c r="AP73" s="904"/>
      <c r="AQ73" s="836">
        <f>AQ74</f>
        <v>0</v>
      </c>
      <c r="AR73" s="840">
        <f>AR74</f>
        <v>0</v>
      </c>
      <c r="AS73" s="837">
        <f>AS74</f>
        <v>0</v>
      </c>
      <c r="AT73" s="840"/>
      <c r="AU73" s="840"/>
    </row>
    <row r="74" spans="1:47" s="2" customFormat="1" ht="14.4" thickBot="1">
      <c r="A74" s="20"/>
      <c r="B74" s="902" t="s">
        <v>64</v>
      </c>
      <c r="C74" s="452"/>
      <c r="D74" s="452"/>
      <c r="E74" s="608"/>
      <c r="F74" s="608"/>
      <c r="G74" s="608"/>
      <c r="H74" s="452"/>
      <c r="I74" s="452"/>
      <c r="J74" s="841">
        <f>H74+I74*1</f>
        <v>0</v>
      </c>
      <c r="K74" s="608"/>
      <c r="L74" s="608"/>
      <c r="M74" s="452"/>
      <c r="N74" s="452"/>
      <c r="O74" s="841">
        <f>M74+N74*1</f>
        <v>0</v>
      </c>
      <c r="P74" s="608"/>
      <c r="Q74" s="608"/>
      <c r="R74" s="452"/>
      <c r="S74" s="452"/>
      <c r="T74" s="841">
        <f>R74+S74*1</f>
        <v>0</v>
      </c>
      <c r="U74" s="608"/>
      <c r="V74" s="608"/>
      <c r="W74" s="452"/>
      <c r="X74" s="452"/>
      <c r="Y74" s="841">
        <f>W74+X74*1</f>
        <v>0</v>
      </c>
      <c r="Z74" s="608"/>
      <c r="AA74" s="718"/>
      <c r="AB74" s="560"/>
      <c r="AC74" s="452"/>
      <c r="AD74" s="841">
        <f>AB74+AC74*1</f>
        <v>0</v>
      </c>
      <c r="AE74" s="608"/>
      <c r="AF74" s="608"/>
      <c r="AG74" s="560"/>
      <c r="AH74" s="452"/>
      <c r="AI74" s="841">
        <f>AG74+AH74*1</f>
        <v>0</v>
      </c>
      <c r="AJ74" s="608"/>
      <c r="AK74" s="608"/>
      <c r="AL74" s="560"/>
      <c r="AM74" s="452"/>
      <c r="AN74" s="841">
        <f>AL74+AM74*1</f>
        <v>0</v>
      </c>
      <c r="AO74" s="608"/>
      <c r="AP74" s="608"/>
      <c r="AQ74" s="452">
        <f>C74+H74</f>
        <v>0</v>
      </c>
      <c r="AR74" s="452">
        <f>D74+I74</f>
        <v>0</v>
      </c>
      <c r="AS74" s="841">
        <f>AQ74+AR74*1</f>
        <v>0</v>
      </c>
      <c r="AT74" s="608"/>
      <c r="AU74" s="608"/>
    </row>
    <row r="75" spans="1:47" s="2" customFormat="1" ht="14.4" thickBot="1">
      <c r="A75" s="5"/>
      <c r="B75" s="23" t="s">
        <v>48</v>
      </c>
      <c r="C75" s="65">
        <f>C38-C41-C50-C54</f>
        <v>0</v>
      </c>
      <c r="D75" s="65">
        <f>D38-D41-D50-D54</f>
        <v>-5636.1</v>
      </c>
      <c r="E75" s="138">
        <f>E38-E41-E50-E54</f>
        <v>-5636.1</v>
      </c>
      <c r="F75" s="66"/>
      <c r="G75" s="66"/>
      <c r="H75" s="65">
        <f>H38-H41-H50-H54</f>
        <v>0</v>
      </c>
      <c r="I75" s="65">
        <f>I38-I41-I50-I54</f>
        <v>0</v>
      </c>
      <c r="J75" s="138">
        <f>J38-J41-J50-J54</f>
        <v>0</v>
      </c>
      <c r="K75" s="66"/>
      <c r="L75" s="411"/>
      <c r="M75" s="65">
        <f>M38-M41-M50-M54</f>
        <v>0</v>
      </c>
      <c r="N75" s="65">
        <f>N38-N41-N50-N54</f>
        <v>0</v>
      </c>
      <c r="O75" s="138">
        <f>O38-O41-O50-O54</f>
        <v>0</v>
      </c>
      <c r="P75" s="66"/>
      <c r="Q75" s="411"/>
      <c r="R75" s="65">
        <f>R38-R41-R50-R54</f>
        <v>0</v>
      </c>
      <c r="S75" s="65">
        <f>S38-S41-S50-S54</f>
        <v>0</v>
      </c>
      <c r="T75" s="138">
        <f>T38-T41-T50-T54</f>
        <v>0</v>
      </c>
      <c r="U75" s="66"/>
      <c r="V75" s="411"/>
      <c r="W75" s="65">
        <f>W38-W41-W50-W54</f>
        <v>0</v>
      </c>
      <c r="X75" s="65">
        <f>X38-X41-X50-X54</f>
        <v>0</v>
      </c>
      <c r="Y75" s="138">
        <f>Y38-Y41-Y50-Y54</f>
        <v>0</v>
      </c>
      <c r="Z75" s="66"/>
      <c r="AA75" s="738"/>
      <c r="AB75" s="646">
        <f>AB38-AB41-AB50-AB54</f>
        <v>0</v>
      </c>
      <c r="AC75" s="646">
        <f>AC38-AC41-AC50-AC54</f>
        <v>0</v>
      </c>
      <c r="AD75" s="670">
        <f>AD38-AD41-AD50-AD54</f>
        <v>0</v>
      </c>
      <c r="AE75" s="671"/>
      <c r="AF75" s="748"/>
      <c r="AG75" s="646">
        <f>AG38-AG41-AG50-AG54</f>
        <v>0</v>
      </c>
      <c r="AH75" s="646">
        <f>AH38-AH41-AH50-AH54</f>
        <v>0</v>
      </c>
      <c r="AI75" s="670">
        <f>AI38-AI41-AI50-AI54</f>
        <v>0</v>
      </c>
      <c r="AJ75" s="671"/>
      <c r="AK75" s="748"/>
      <c r="AL75" s="646">
        <f>AL38-AL41-AL50-AL54</f>
        <v>0</v>
      </c>
      <c r="AM75" s="646">
        <f>AM38-AM41-AM50-AM54</f>
        <v>0</v>
      </c>
      <c r="AN75" s="670">
        <f>AN38-AN41-AN50-AN54</f>
        <v>0</v>
      </c>
      <c r="AO75" s="671"/>
      <c r="AP75" s="748"/>
      <c r="AQ75" s="65">
        <f>AQ38-AQ41-AQ50-AQ54</f>
        <v>0</v>
      </c>
      <c r="AR75" s="65">
        <f>AR38-AR41-AR50-AR54</f>
        <v>-5636.1</v>
      </c>
      <c r="AS75" s="138">
        <f>AS38-AS41-AS50-AS54</f>
        <v>-5636.1</v>
      </c>
      <c r="AT75" s="66"/>
      <c r="AU75" s="66"/>
    </row>
    <row r="76" spans="1:47" s="2" customFormat="1" ht="13.8">
      <c r="A76" s="294"/>
      <c r="B76" s="36" t="s">
        <v>49</v>
      </c>
      <c r="C76" s="54" t="e">
        <f>C75/C5</f>
        <v>#DIV/0!</v>
      </c>
      <c r="D76" s="54" t="e">
        <f>D75/D5</f>
        <v>#DIV/0!</v>
      </c>
      <c r="E76" s="55" t="e">
        <f>E75/E5</f>
        <v>#DIV/0!</v>
      </c>
      <c r="F76" s="55"/>
      <c r="G76" s="55"/>
      <c r="H76" s="54" t="e">
        <f>H75/H5</f>
        <v>#DIV/0!</v>
      </c>
      <c r="I76" s="54" t="e">
        <f>I75/I5</f>
        <v>#DIV/0!</v>
      </c>
      <c r="J76" s="55" t="e">
        <f>J75/J5</f>
        <v>#DIV/0!</v>
      </c>
      <c r="K76" s="55"/>
      <c r="L76" s="407"/>
      <c r="M76" s="54" t="e">
        <f>M75/M5</f>
        <v>#DIV/0!</v>
      </c>
      <c r="N76" s="54" t="e">
        <f>N75/N5</f>
        <v>#DIV/0!</v>
      </c>
      <c r="O76" s="55" t="e">
        <f>O75/O5</f>
        <v>#DIV/0!</v>
      </c>
      <c r="P76" s="55"/>
      <c r="Q76" s="407"/>
      <c r="R76" s="54" t="e">
        <f>R75/R5</f>
        <v>#DIV/0!</v>
      </c>
      <c r="S76" s="54" t="e">
        <f>S75/S5</f>
        <v>#DIV/0!</v>
      </c>
      <c r="T76" s="55" t="e">
        <f>T75/T5</f>
        <v>#DIV/0!</v>
      </c>
      <c r="U76" s="55"/>
      <c r="V76" s="407"/>
      <c r="W76" s="54" t="e">
        <f>W75/W5</f>
        <v>#DIV/0!</v>
      </c>
      <c r="X76" s="54" t="e">
        <f>X75/X5</f>
        <v>#DIV/0!</v>
      </c>
      <c r="Y76" s="55" t="e">
        <f>Y75/Y5</f>
        <v>#DIV/0!</v>
      </c>
      <c r="Z76" s="55"/>
      <c r="AA76" s="716"/>
      <c r="AB76" s="639" t="e">
        <f>AB75/AB5</f>
        <v>#DIV/0!</v>
      </c>
      <c r="AC76" s="639" t="e">
        <f>AC75/AC5</f>
        <v>#DIV/0!</v>
      </c>
      <c r="AD76" s="660" t="e">
        <f>AD75/AD5</f>
        <v>#DIV/0!</v>
      </c>
      <c r="AE76" s="660"/>
      <c r="AF76" s="661"/>
      <c r="AG76" s="639" t="e">
        <f>AG75/AG5</f>
        <v>#DIV/0!</v>
      </c>
      <c r="AH76" s="639" t="e">
        <f>AH75/AH5</f>
        <v>#DIV/0!</v>
      </c>
      <c r="AI76" s="660" t="e">
        <f>AI75/AI5</f>
        <v>#DIV/0!</v>
      </c>
      <c r="AJ76" s="660"/>
      <c r="AK76" s="661"/>
      <c r="AL76" s="639" t="e">
        <f>AL75/AL5</f>
        <v>#DIV/0!</v>
      </c>
      <c r="AM76" s="639" t="e">
        <f>AM75/AM5</f>
        <v>#DIV/0!</v>
      </c>
      <c r="AN76" s="660" t="e">
        <f>AN75/AN5</f>
        <v>#DIV/0!</v>
      </c>
      <c r="AO76" s="660"/>
      <c r="AP76" s="661"/>
      <c r="AQ76" s="54" t="e">
        <f>AQ75/AQ5</f>
        <v>#DIV/0!</v>
      </c>
      <c r="AR76" s="54" t="e">
        <f>AR75/AR5</f>
        <v>#DIV/0!</v>
      </c>
      <c r="AS76" s="55" t="e">
        <f>AS75/AS5</f>
        <v>#DIV/0!</v>
      </c>
      <c r="AT76" s="55"/>
      <c r="AU76" s="55"/>
    </row>
    <row r="77" spans="1:47" s="2" customFormat="1" ht="14.4" thickBot="1">
      <c r="A77" s="294"/>
      <c r="B77" s="27" t="s">
        <v>9</v>
      </c>
      <c r="C77" s="139">
        <f>C78-C79</f>
        <v>0</v>
      </c>
      <c r="D77" s="139">
        <f>D78-D79</f>
        <v>0</v>
      </c>
      <c r="E77" s="140">
        <f>E78-E79</f>
        <v>-689.49208658458997</v>
      </c>
      <c r="F77" s="67"/>
      <c r="G77" s="67"/>
      <c r="H77" s="139">
        <f>H78-H79</f>
        <v>0</v>
      </c>
      <c r="I77" s="139">
        <f>I78-I79</f>
        <v>0</v>
      </c>
      <c r="J77" s="140">
        <f>J78-J79</f>
        <v>0</v>
      </c>
      <c r="K77" s="67"/>
      <c r="L77" s="414"/>
      <c r="M77" s="139">
        <f>M78-M79</f>
        <v>0</v>
      </c>
      <c r="N77" s="139">
        <f>N78-N79</f>
        <v>0</v>
      </c>
      <c r="O77" s="140">
        <f>O78-O79</f>
        <v>0</v>
      </c>
      <c r="P77" s="67"/>
      <c r="Q77" s="414"/>
      <c r="R77" s="139">
        <f>R78-R79</f>
        <v>0</v>
      </c>
      <c r="S77" s="139">
        <f>S78-S79</f>
        <v>0</v>
      </c>
      <c r="T77" s="140">
        <f>T78-T79</f>
        <v>0</v>
      </c>
      <c r="U77" s="67"/>
      <c r="V77" s="414"/>
      <c r="W77" s="139">
        <f>W78-W79</f>
        <v>0</v>
      </c>
      <c r="X77" s="139">
        <f>X78-X79</f>
        <v>0</v>
      </c>
      <c r="Y77" s="140">
        <f>Y78-Y79</f>
        <v>0</v>
      </c>
      <c r="Z77" s="67"/>
      <c r="AA77" s="739"/>
      <c r="AB77" s="587">
        <f>AB78-AB79</f>
        <v>0</v>
      </c>
      <c r="AC77" s="587">
        <f>AC78-AC79</f>
        <v>0</v>
      </c>
      <c r="AD77" s="674">
        <f>AD78-AD79</f>
        <v>0</v>
      </c>
      <c r="AE77" s="675"/>
      <c r="AF77" s="749"/>
      <c r="AG77" s="587">
        <f>AG78-AG79</f>
        <v>0</v>
      </c>
      <c r="AH77" s="587">
        <f>AH78-AH79</f>
        <v>0</v>
      </c>
      <c r="AI77" s="674" t="e">
        <f>AI78-AI79</f>
        <v>#DIV/0!</v>
      </c>
      <c r="AJ77" s="675"/>
      <c r="AK77" s="749"/>
      <c r="AL77" s="587">
        <f>AL78-AL79</f>
        <v>0</v>
      </c>
      <c r="AM77" s="587">
        <f>AM78-AM79</f>
        <v>0</v>
      </c>
      <c r="AN77" s="674">
        <f>AN78-AN79</f>
        <v>0</v>
      </c>
      <c r="AO77" s="675"/>
      <c r="AP77" s="749"/>
      <c r="AQ77" s="139">
        <f>AQ78-AQ79</f>
        <v>0</v>
      </c>
      <c r="AR77" s="139">
        <f>AR78-AR79</f>
        <v>0</v>
      </c>
      <c r="AS77" s="140" t="e">
        <f>AS78-AS79</f>
        <v>#DIV/0!</v>
      </c>
      <c r="AT77" s="67"/>
      <c r="AU77" s="67"/>
    </row>
    <row r="78" spans="1:47" s="2" customFormat="1" ht="13.8">
      <c r="A78" s="11"/>
      <c r="B78" s="6" t="s">
        <v>43</v>
      </c>
      <c r="C78" s="39"/>
      <c r="D78" s="39"/>
      <c r="E78" s="68">
        <f>C78+D78*1.15</f>
        <v>0</v>
      </c>
      <c r="F78" s="68"/>
      <c r="G78" s="68"/>
      <c r="H78" s="39"/>
      <c r="I78" s="39"/>
      <c r="J78" s="68">
        <f>H78+I78*1.15</f>
        <v>0</v>
      </c>
      <c r="K78" s="68"/>
      <c r="L78" s="48"/>
      <c r="M78" s="39"/>
      <c r="N78" s="39"/>
      <c r="O78" s="68">
        <f>M78+N78*1.15</f>
        <v>0</v>
      </c>
      <c r="P78" s="68"/>
      <c r="Q78" s="48"/>
      <c r="R78" s="39"/>
      <c r="S78" s="39"/>
      <c r="T78" s="68">
        <f>R78+S78*1.15</f>
        <v>0</v>
      </c>
      <c r="U78" s="68"/>
      <c r="V78" s="48"/>
      <c r="W78" s="39"/>
      <c r="X78" s="39"/>
      <c r="Y78" s="68">
        <f>W78+X78*1.15</f>
        <v>0</v>
      </c>
      <c r="Z78" s="68"/>
      <c r="AA78" s="543"/>
      <c r="AB78" s="560"/>
      <c r="AC78" s="452"/>
      <c r="AD78" s="676">
        <f>AB78+AC78*1.15</f>
        <v>0</v>
      </c>
      <c r="AE78" s="676"/>
      <c r="AF78" s="657"/>
      <c r="AG78" s="560"/>
      <c r="AH78" s="452"/>
      <c r="AI78" s="676">
        <f>AG78+AH78*1.15</f>
        <v>0</v>
      </c>
      <c r="AJ78" s="676"/>
      <c r="AK78" s="657"/>
      <c r="AL78" s="560"/>
      <c r="AM78" s="452"/>
      <c r="AN78" s="676">
        <f>AL78+AM78*1.15</f>
        <v>0</v>
      </c>
      <c r="AO78" s="676"/>
      <c r="AP78" s="657"/>
      <c r="AQ78" s="39">
        <f>C78+H78</f>
        <v>0</v>
      </c>
      <c r="AR78" s="39">
        <f>D78+I78</f>
        <v>0</v>
      </c>
      <c r="AS78" s="68">
        <f>AQ78+AR78*1.15</f>
        <v>0</v>
      </c>
      <c r="AT78" s="68"/>
      <c r="AU78" s="68"/>
    </row>
    <row r="79" spans="1:47" s="2" customFormat="1" ht="13.8">
      <c r="A79" s="11"/>
      <c r="B79" s="24" t="s">
        <v>79</v>
      </c>
      <c r="C79" s="39"/>
      <c r="D79" s="39"/>
      <c r="E79" s="106">
        <f>(D8+D41+D50+D54)/(1-'расчет 2024'!E18)*'расчет 2024'!E18</f>
        <v>689.49208658458997</v>
      </c>
      <c r="F79" s="79">
        <f>E79/$E$89</f>
        <v>0.10900040298944902</v>
      </c>
      <c r="G79" s="45"/>
      <c r="H79" s="39"/>
      <c r="I79" s="39"/>
      <c r="J79" s="106">
        <f>(I8+I41+I50+I54)/(1-'расчет 2024'!E4)*'расчет 2024'!E4</f>
        <v>0</v>
      </c>
      <c r="K79" s="79" t="e">
        <f>J79/$J$89</f>
        <v>#DIV/0!</v>
      </c>
      <c r="L79" s="405"/>
      <c r="M79" s="39"/>
      <c r="N79" s="39"/>
      <c r="O79" s="106">
        <f>(N8+N41+N50+N54)/(1-'расчет 2024'!E6)*'расчет 2024'!E6</f>
        <v>0</v>
      </c>
      <c r="P79" s="45"/>
      <c r="Q79" s="405"/>
      <c r="R79" s="39"/>
      <c r="S79" s="39"/>
      <c r="T79" s="106">
        <f>(S8+S41+S50+S54)/(1-'расчет 2024'!E7)*'расчет 2024'!E7</f>
        <v>0</v>
      </c>
      <c r="U79" s="45"/>
      <c r="V79" s="405"/>
      <c r="W79" s="39"/>
      <c r="X79" s="39"/>
      <c r="Y79" s="106">
        <f>(X8+X41+X50+X54)/(1-'расчет 2024'!J7)*'расчет 2024'!J7</f>
        <v>0</v>
      </c>
      <c r="Z79" s="45"/>
      <c r="AA79" s="732"/>
      <c r="AB79" s="560"/>
      <c r="AC79" s="452"/>
      <c r="AD79" s="446">
        <f>(AC8+AC41+AC50+AC54)/(1-'расчет 2024'!O7)*'расчет 2024'!O7</f>
        <v>0</v>
      </c>
      <c r="AE79" s="693"/>
      <c r="AF79" s="745"/>
      <c r="AG79" s="560"/>
      <c r="AH79" s="452"/>
      <c r="AI79" s="446" t="e">
        <f>(AH8+AH41+AH50+AH54)/(1-'расчет 2024'!E10)*'расчет 2024'!E10</f>
        <v>#DIV/0!</v>
      </c>
      <c r="AJ79" s="693"/>
      <c r="AK79" s="745"/>
      <c r="AL79" s="560"/>
      <c r="AM79" s="452"/>
      <c r="AN79" s="446">
        <f>(AM8+AM41+AM50+AM54)/(1-'расчет 2024'!J10)*'расчет 2024'!J10</f>
        <v>0</v>
      </c>
      <c r="AO79" s="693"/>
      <c r="AP79" s="745"/>
      <c r="AQ79" s="39">
        <f>C79+H79</f>
        <v>0</v>
      </c>
      <c r="AR79" s="39">
        <f>D79+I79</f>
        <v>0</v>
      </c>
      <c r="AS79" s="106" t="e">
        <f>E79+J79+O79+AI79</f>
        <v>#DIV/0!</v>
      </c>
      <c r="AT79" s="45"/>
      <c r="AU79" s="45"/>
    </row>
    <row r="80" spans="1:47" ht="13.8">
      <c r="A80" s="3"/>
      <c r="B80" s="25"/>
      <c r="C80" s="39"/>
      <c r="D80" s="39"/>
      <c r="E80" s="69"/>
      <c r="F80" s="69"/>
      <c r="G80" s="69"/>
      <c r="H80" s="39"/>
      <c r="I80" s="39"/>
      <c r="J80" s="69"/>
      <c r="K80" s="69"/>
      <c r="L80" s="69"/>
      <c r="M80" s="39"/>
      <c r="N80" s="39"/>
      <c r="O80" s="69"/>
      <c r="P80" s="69"/>
      <c r="Q80" s="69"/>
      <c r="R80" s="39"/>
      <c r="S80" s="39"/>
      <c r="T80" s="69"/>
      <c r="U80" s="69"/>
      <c r="V80" s="69"/>
      <c r="W80" s="39"/>
      <c r="X80" s="39"/>
      <c r="Y80" s="69"/>
      <c r="Z80" s="69"/>
      <c r="AA80" s="552"/>
      <c r="AB80" s="560"/>
      <c r="AC80" s="452"/>
      <c r="AD80" s="678"/>
      <c r="AE80" s="678"/>
      <c r="AF80" s="678"/>
      <c r="AG80" s="560"/>
      <c r="AH80" s="452"/>
      <c r="AI80" s="678"/>
      <c r="AJ80" s="678"/>
      <c r="AK80" s="678"/>
      <c r="AL80" s="560"/>
      <c r="AM80" s="452"/>
      <c r="AN80" s="678"/>
      <c r="AO80" s="678"/>
      <c r="AP80" s="678"/>
      <c r="AQ80" s="39"/>
      <c r="AR80" s="39"/>
      <c r="AS80" s="69"/>
      <c r="AT80" s="69"/>
      <c r="AU80" s="69"/>
    </row>
    <row r="81" spans="1:47" s="2" customFormat="1" ht="14.4" thickBot="1">
      <c r="A81" s="26"/>
      <c r="B81" s="27" t="s">
        <v>12</v>
      </c>
      <c r="C81" s="139">
        <f>(C75+C78)-C79</f>
        <v>0</v>
      </c>
      <c r="D81" s="139">
        <f>(D75+D78)-D79</f>
        <v>-5636.1</v>
      </c>
      <c r="E81" s="140">
        <f>(E75+E78)-E79</f>
        <v>-6325.5920865845901</v>
      </c>
      <c r="F81" s="67"/>
      <c r="G81" s="67"/>
      <c r="H81" s="139">
        <f>(H75+H78)-H79</f>
        <v>0</v>
      </c>
      <c r="I81" s="139">
        <f>(I75+I78)-I79</f>
        <v>0</v>
      </c>
      <c r="J81" s="140">
        <f>(J75+J78)-J79</f>
        <v>0</v>
      </c>
      <c r="K81" s="67"/>
      <c r="L81" s="414"/>
      <c r="M81" s="139">
        <f>(M75+M78)-M79</f>
        <v>0</v>
      </c>
      <c r="N81" s="139">
        <f>(N75+N78)-N79</f>
        <v>0</v>
      </c>
      <c r="O81" s="140">
        <f>(O75+O78)-O79</f>
        <v>0</v>
      </c>
      <c r="P81" s="67"/>
      <c r="Q81" s="414"/>
      <c r="R81" s="139">
        <f>(R75+R78)-R79</f>
        <v>0</v>
      </c>
      <c r="S81" s="139">
        <f>(S75+S78)-S79</f>
        <v>0</v>
      </c>
      <c r="T81" s="140">
        <f>(T75+T78)-T79</f>
        <v>0</v>
      </c>
      <c r="U81" s="67"/>
      <c r="V81" s="414"/>
      <c r="W81" s="139">
        <f>(W75+W78)-W79</f>
        <v>0</v>
      </c>
      <c r="X81" s="139">
        <f>(X75+X78)-X79</f>
        <v>0</v>
      </c>
      <c r="Y81" s="140">
        <f>(Y75+Y78)-Y79</f>
        <v>0</v>
      </c>
      <c r="Z81" s="67"/>
      <c r="AA81" s="739"/>
      <c r="AB81" s="587">
        <f>(AB75+AB78)-AB79</f>
        <v>0</v>
      </c>
      <c r="AC81" s="587">
        <f>(AC75+AC78)-AC79</f>
        <v>0</v>
      </c>
      <c r="AD81" s="674">
        <f>(AD75+AD78)-AD79</f>
        <v>0</v>
      </c>
      <c r="AE81" s="675"/>
      <c r="AF81" s="749"/>
      <c r="AG81" s="587">
        <f>(AG75+AG78)-AG79</f>
        <v>0</v>
      </c>
      <c r="AH81" s="587">
        <f>(AH75+AH78)-AH79</f>
        <v>0</v>
      </c>
      <c r="AI81" s="674" t="e">
        <f>(AI75+AI78)-AI79</f>
        <v>#DIV/0!</v>
      </c>
      <c r="AJ81" s="675"/>
      <c r="AK81" s="749"/>
      <c r="AL81" s="587">
        <f>(AL75+AL78)-AL79</f>
        <v>0</v>
      </c>
      <c r="AM81" s="587">
        <f>(AM75+AM78)-AM79</f>
        <v>0</v>
      </c>
      <c r="AN81" s="674">
        <f>(AN75+AN78)-AN79</f>
        <v>0</v>
      </c>
      <c r="AO81" s="675"/>
      <c r="AP81" s="749"/>
      <c r="AQ81" s="139">
        <f>(AQ75+AQ78)-AQ79</f>
        <v>0</v>
      </c>
      <c r="AR81" s="139">
        <f>(AR75+AR78)-AR79</f>
        <v>-5636.1</v>
      </c>
      <c r="AS81" s="140" t="e">
        <f>(AS75+AS78)-AS79</f>
        <v>#DIV/0!</v>
      </c>
      <c r="AT81" s="67"/>
      <c r="AU81" s="67"/>
    </row>
    <row r="82" spans="1:47" s="2" customFormat="1" ht="13.8">
      <c r="A82" s="293"/>
      <c r="B82" s="6" t="s">
        <v>38</v>
      </c>
      <c r="C82" s="39"/>
      <c r="D82" s="39"/>
      <c r="E82" s="146">
        <f>C82+D82</f>
        <v>0</v>
      </c>
      <c r="F82" s="101"/>
      <c r="G82" s="101"/>
      <c r="H82" s="39"/>
      <c r="I82" s="39"/>
      <c r="J82" s="146">
        <f>H82+I82</f>
        <v>0</v>
      </c>
      <c r="K82" s="101"/>
      <c r="L82" s="433"/>
      <c r="M82" s="39"/>
      <c r="N82" s="39"/>
      <c r="O82" s="146">
        <f>M82+N82</f>
        <v>0</v>
      </c>
      <c r="P82" s="101"/>
      <c r="Q82" s="433"/>
      <c r="R82" s="39"/>
      <c r="S82" s="39"/>
      <c r="T82" s="146">
        <f>R82+S82</f>
        <v>0</v>
      </c>
      <c r="U82" s="101"/>
      <c r="V82" s="433"/>
      <c r="W82" s="39"/>
      <c r="X82" s="39"/>
      <c r="Y82" s="146">
        <f>W82+X82</f>
        <v>0</v>
      </c>
      <c r="Z82" s="101"/>
      <c r="AA82" s="740"/>
      <c r="AB82" s="560"/>
      <c r="AC82" s="452"/>
      <c r="AD82" s="565">
        <f>AB82+AC82</f>
        <v>0</v>
      </c>
      <c r="AE82" s="642"/>
      <c r="AF82" s="719"/>
      <c r="AG82" s="560"/>
      <c r="AH82" s="452"/>
      <c r="AI82" s="565">
        <f>AG82+AH82</f>
        <v>0</v>
      </c>
      <c r="AJ82" s="642"/>
      <c r="AK82" s="719"/>
      <c r="AL82" s="560"/>
      <c r="AM82" s="452"/>
      <c r="AN82" s="565">
        <f>AL82+AM82</f>
        <v>0</v>
      </c>
      <c r="AO82" s="642"/>
      <c r="AP82" s="719"/>
      <c r="AQ82" s="39">
        <f>C82+H82</f>
        <v>0</v>
      </c>
      <c r="AR82" s="39">
        <f>D82+I82</f>
        <v>0</v>
      </c>
      <c r="AS82" s="146">
        <f>AQ82+AR82</f>
        <v>0</v>
      </c>
      <c r="AT82" s="101"/>
      <c r="AU82" s="101"/>
    </row>
    <row r="83" spans="1:47" s="2" customFormat="1" ht="13.8">
      <c r="A83" s="11"/>
      <c r="B83" s="28" t="s">
        <v>13</v>
      </c>
      <c r="C83" s="147">
        <f>(C81+C7)-C36</f>
        <v>0</v>
      </c>
      <c r="D83" s="147">
        <f>(D81+D7)-D36</f>
        <v>-5636.1</v>
      </c>
      <c r="E83" s="148">
        <f>(E81+E7)-E36</f>
        <v>-6325.5920865845901</v>
      </c>
      <c r="F83" s="70"/>
      <c r="G83" s="70"/>
      <c r="H83" s="147">
        <f>(H81)-H36</f>
        <v>0</v>
      </c>
      <c r="I83" s="147">
        <f>(I81)-I36</f>
        <v>0</v>
      </c>
      <c r="J83" s="148">
        <f>(J81)-J36</f>
        <v>0</v>
      </c>
      <c r="K83" s="70"/>
      <c r="L83" s="434"/>
      <c r="M83" s="147">
        <f>(M81+M7)-M36</f>
        <v>0</v>
      </c>
      <c r="N83" s="147">
        <f>(N81+N7)-N36</f>
        <v>0</v>
      </c>
      <c r="O83" s="148">
        <f>(O81+O7)-O36</f>
        <v>0</v>
      </c>
      <c r="P83" s="70"/>
      <c r="Q83" s="434"/>
      <c r="R83" s="147">
        <f>(R81+R7)-R36</f>
        <v>0</v>
      </c>
      <c r="S83" s="147">
        <f>(S81+S7)-S36</f>
        <v>0</v>
      </c>
      <c r="T83" s="148">
        <f>(T81+T7)-T36</f>
        <v>0</v>
      </c>
      <c r="U83" s="70"/>
      <c r="V83" s="434"/>
      <c r="W83" s="147">
        <f>(W81+W7)-W36</f>
        <v>0</v>
      </c>
      <c r="X83" s="147">
        <f>(X81+X7)-X36</f>
        <v>0</v>
      </c>
      <c r="Y83" s="148">
        <f>(Y81+Y7)-Y36</f>
        <v>0</v>
      </c>
      <c r="Z83" s="70"/>
      <c r="AA83" s="741"/>
      <c r="AB83" s="679">
        <f>(AB81+AB7)-AB36</f>
        <v>0</v>
      </c>
      <c r="AC83" s="679">
        <f>(AC81+AC7)-AC36</f>
        <v>0</v>
      </c>
      <c r="AD83" s="680">
        <f>(AD81+AD7)-AD36</f>
        <v>0</v>
      </c>
      <c r="AE83" s="681"/>
      <c r="AF83" s="750"/>
      <c r="AG83" s="679">
        <f>(AG81+AG7)-AG36</f>
        <v>0</v>
      </c>
      <c r="AH83" s="679">
        <f>(AH81+AH7)-AH36</f>
        <v>0</v>
      </c>
      <c r="AI83" s="680" t="e">
        <f>(AI81+AI7)-AI36</f>
        <v>#DIV/0!</v>
      </c>
      <c r="AJ83" s="681"/>
      <c r="AK83" s="750"/>
      <c r="AL83" s="679">
        <f>(AL81+AL7)-AL36</f>
        <v>0</v>
      </c>
      <c r="AM83" s="679">
        <f>(AM81+AM7)-AM36</f>
        <v>0</v>
      </c>
      <c r="AN83" s="680">
        <f>(AN81+AN7)-AN36</f>
        <v>0</v>
      </c>
      <c r="AO83" s="681"/>
      <c r="AP83" s="750"/>
      <c r="AQ83" s="147">
        <f>(AQ81)-AQ36</f>
        <v>0</v>
      </c>
      <c r="AR83" s="147">
        <f>(AR81)-AR36</f>
        <v>-5636.1</v>
      </c>
      <c r="AS83" s="148" t="e">
        <f>(AS81)-AS36</f>
        <v>#DIV/0!</v>
      </c>
      <c r="AT83" s="70"/>
      <c r="AU83" s="70"/>
    </row>
    <row r="84" spans="1:47" s="2" customFormat="1" ht="14.4" thickBot="1">
      <c r="A84" s="11"/>
      <c r="B84" s="211" t="s">
        <v>14</v>
      </c>
      <c r="C84" s="213">
        <f>C83-C73-C82</f>
        <v>0</v>
      </c>
      <c r="D84" s="213">
        <f>D83-D73-D82</f>
        <v>-5636.1</v>
      </c>
      <c r="E84" s="213">
        <f>E83-E73-E82</f>
        <v>-6325.5920865845901</v>
      </c>
      <c r="F84" s="82"/>
      <c r="G84" s="82"/>
      <c r="H84" s="213">
        <f>H83-H73-H82</f>
        <v>0</v>
      </c>
      <c r="I84" s="213">
        <f>I83-I73-I82</f>
        <v>0</v>
      </c>
      <c r="J84" s="213">
        <f>J83-J73-J82</f>
        <v>0</v>
      </c>
      <c r="K84" s="82"/>
      <c r="L84" s="435"/>
      <c r="M84" s="213">
        <f>M83-M73-M82</f>
        <v>0</v>
      </c>
      <c r="N84" s="213">
        <f>N83-N73-N82</f>
        <v>0</v>
      </c>
      <c r="O84" s="213">
        <f>O83-O73-O82</f>
        <v>0</v>
      </c>
      <c r="P84" s="82"/>
      <c r="Q84" s="435"/>
      <c r="R84" s="213">
        <f>R83-R73-R82</f>
        <v>0</v>
      </c>
      <c r="S84" s="213">
        <f>S83-S73-S82</f>
        <v>0</v>
      </c>
      <c r="T84" s="213">
        <f>T83-T73-T82</f>
        <v>0</v>
      </c>
      <c r="U84" s="82"/>
      <c r="V84" s="435"/>
      <c r="W84" s="213">
        <f>W83-W73-W82</f>
        <v>0</v>
      </c>
      <c r="X84" s="213">
        <f>X83-X73-X82</f>
        <v>0</v>
      </c>
      <c r="Y84" s="213">
        <f>Y83-Y73-Y82</f>
        <v>0</v>
      </c>
      <c r="Z84" s="82"/>
      <c r="AA84" s="742"/>
      <c r="AB84" s="562">
        <f>AB83-AB73-AB82</f>
        <v>0</v>
      </c>
      <c r="AC84" s="562">
        <f>AC83-AC73-AC82</f>
        <v>0</v>
      </c>
      <c r="AD84" s="562">
        <f>AD83-AD73-AD82</f>
        <v>0</v>
      </c>
      <c r="AE84" s="537"/>
      <c r="AF84" s="751"/>
      <c r="AG84" s="562">
        <f>AG83-AG73-AG82</f>
        <v>0</v>
      </c>
      <c r="AH84" s="562">
        <f>AH83-AH73-AH82</f>
        <v>0</v>
      </c>
      <c r="AI84" s="562" t="e">
        <f>AI83-AI73-AI82</f>
        <v>#DIV/0!</v>
      </c>
      <c r="AJ84" s="537"/>
      <c r="AK84" s="751"/>
      <c r="AL84" s="562">
        <f>AL83-AL73-AL82</f>
        <v>0</v>
      </c>
      <c r="AM84" s="562">
        <f>AM83-AM73-AM82</f>
        <v>0</v>
      </c>
      <c r="AN84" s="562">
        <f>AN83-AN73-AN82</f>
        <v>0</v>
      </c>
      <c r="AO84" s="537"/>
      <c r="AP84" s="751"/>
      <c r="AQ84" s="213">
        <f>AQ83-AQ73-AQ82</f>
        <v>0</v>
      </c>
      <c r="AR84" s="213">
        <f>AR83-AR73-AR82</f>
        <v>-5636.1</v>
      </c>
      <c r="AS84" s="213" t="e">
        <f>AS83-AS73-AS82</f>
        <v>#DIV/0!</v>
      </c>
      <c r="AT84" s="82"/>
      <c r="AU84" s="82"/>
    </row>
    <row r="85" spans="1:47" s="2" customFormat="1" ht="13.8">
      <c r="A85" s="293"/>
      <c r="B85" s="216" t="s">
        <v>44</v>
      </c>
      <c r="C85" s="39"/>
      <c r="D85" s="39"/>
      <c r="E85" s="219">
        <f>C85+D85*1.15</f>
        <v>0</v>
      </c>
      <c r="F85" s="102"/>
      <c r="G85" s="102"/>
      <c r="H85" s="39"/>
      <c r="I85" s="39"/>
      <c r="J85" s="219">
        <f>H85+I85*1.15</f>
        <v>0</v>
      </c>
      <c r="K85" s="102"/>
      <c r="L85" s="436"/>
      <c r="M85" s="39"/>
      <c r="N85" s="39"/>
      <c r="O85" s="219">
        <f>M85+N85*1.15</f>
        <v>0</v>
      </c>
      <c r="P85" s="102"/>
      <c r="Q85" s="436"/>
      <c r="R85" s="39"/>
      <c r="S85" s="39"/>
      <c r="T85" s="219">
        <f>R85+S85*1.15</f>
        <v>0</v>
      </c>
      <c r="U85" s="102"/>
      <c r="V85" s="436"/>
      <c r="W85" s="39"/>
      <c r="X85" s="39"/>
      <c r="Y85" s="219">
        <f>W85+X85*1.15</f>
        <v>0</v>
      </c>
      <c r="Z85" s="102"/>
      <c r="AA85" s="743"/>
      <c r="AB85" s="560"/>
      <c r="AC85" s="452"/>
      <c r="AD85" s="484">
        <f>AB85+AC85*1.15</f>
        <v>0</v>
      </c>
      <c r="AE85" s="566"/>
      <c r="AF85" s="752"/>
      <c r="AG85" s="560"/>
      <c r="AH85" s="452"/>
      <c r="AI85" s="484">
        <f>AG85+AH85*1.15</f>
        <v>0</v>
      </c>
      <c r="AJ85" s="566"/>
      <c r="AK85" s="752"/>
      <c r="AL85" s="560"/>
      <c r="AM85" s="452"/>
      <c r="AN85" s="484">
        <f>AL85+AM85*1.15</f>
        <v>0</v>
      </c>
      <c r="AO85" s="566"/>
      <c r="AP85" s="752"/>
      <c r="AQ85" s="39"/>
      <c r="AR85" s="39"/>
      <c r="AS85" s="219">
        <f>AQ85+AR85*1.15</f>
        <v>0</v>
      </c>
      <c r="AT85" s="102"/>
      <c r="AU85" s="102"/>
    </row>
    <row r="86" spans="1:47" s="2" customFormat="1" ht="27.6">
      <c r="A86" s="11"/>
      <c r="B86" s="37" t="s">
        <v>50</v>
      </c>
      <c r="C86" s="150">
        <f>C84-C85</f>
        <v>0</v>
      </c>
      <c r="D86" s="150">
        <f>D84-D85</f>
        <v>-5636.1</v>
      </c>
      <c r="E86" s="150">
        <f>E84-E85</f>
        <v>-6325.5920865845901</v>
      </c>
      <c r="F86" s="73"/>
      <c r="G86" s="73"/>
      <c r="H86" s="150">
        <f>H84-H85</f>
        <v>0</v>
      </c>
      <c r="I86" s="150">
        <f>I84-I85</f>
        <v>0</v>
      </c>
      <c r="J86" s="150">
        <f>J84-J85</f>
        <v>0</v>
      </c>
      <c r="K86" s="73"/>
      <c r="L86" s="434"/>
      <c r="M86" s="150">
        <f>M84-M85</f>
        <v>0</v>
      </c>
      <c r="N86" s="150">
        <f>N84-N85</f>
        <v>0</v>
      </c>
      <c r="O86" s="150">
        <f>O84-O85</f>
        <v>0</v>
      </c>
      <c r="P86" s="73"/>
      <c r="Q86" s="434"/>
      <c r="R86" s="150">
        <f>R84-R85</f>
        <v>0</v>
      </c>
      <c r="S86" s="150">
        <f>S84-S85</f>
        <v>0</v>
      </c>
      <c r="T86" s="150">
        <f>T84-T85</f>
        <v>0</v>
      </c>
      <c r="U86" s="73"/>
      <c r="V86" s="434"/>
      <c r="W86" s="150">
        <f>W84-W85</f>
        <v>0</v>
      </c>
      <c r="X86" s="150">
        <f>X84-X85</f>
        <v>0</v>
      </c>
      <c r="Y86" s="150">
        <f>Y84-Y85</f>
        <v>0</v>
      </c>
      <c r="Z86" s="73"/>
      <c r="AA86" s="741"/>
      <c r="AB86" s="569">
        <f>AB84-AB85</f>
        <v>0</v>
      </c>
      <c r="AC86" s="569">
        <f>AC84-AC85</f>
        <v>0</v>
      </c>
      <c r="AD86" s="569">
        <f>AD84-AD85</f>
        <v>0</v>
      </c>
      <c r="AE86" s="538"/>
      <c r="AF86" s="750"/>
      <c r="AG86" s="569">
        <f>AG84-AG85</f>
        <v>0</v>
      </c>
      <c r="AH86" s="569">
        <f>AH84-AH85</f>
        <v>0</v>
      </c>
      <c r="AI86" s="569" t="e">
        <f>AI84-AI85</f>
        <v>#DIV/0!</v>
      </c>
      <c r="AJ86" s="538"/>
      <c r="AK86" s="750"/>
      <c r="AL86" s="569">
        <f>AL84-AL85</f>
        <v>0</v>
      </c>
      <c r="AM86" s="569">
        <f>AM84-AM85</f>
        <v>0</v>
      </c>
      <c r="AN86" s="569">
        <f>AN84-AN85</f>
        <v>0</v>
      </c>
      <c r="AO86" s="538"/>
      <c r="AP86" s="750"/>
      <c r="AQ86" s="150">
        <f>AQ84-AQ85</f>
        <v>0</v>
      </c>
      <c r="AR86" s="150">
        <f>AR84-AR85</f>
        <v>-5636.1</v>
      </c>
      <c r="AS86" s="150" t="e">
        <f>AS84-AS85</f>
        <v>#DIV/0!</v>
      </c>
      <c r="AT86" s="73"/>
      <c r="AU86" s="73"/>
    </row>
    <row r="87" spans="1:47" s="2" customFormat="1" ht="14.4" thickBot="1">
      <c r="A87" s="295"/>
      <c r="B87" s="29" t="s">
        <v>51</v>
      </c>
      <c r="C87" s="155" t="e">
        <f>C86/C5</f>
        <v>#DIV/0!</v>
      </c>
      <c r="D87" s="151" t="e">
        <f>D86/D5</f>
        <v>#DIV/0!</v>
      </c>
      <c r="E87" s="156" t="e">
        <f>E86/E5</f>
        <v>#DIV/0!</v>
      </c>
      <c r="F87" s="75"/>
      <c r="G87" s="75"/>
      <c r="H87" s="155" t="e">
        <f>H86/H5</f>
        <v>#DIV/0!</v>
      </c>
      <c r="I87" s="151" t="e">
        <f>I86/I5</f>
        <v>#DIV/0!</v>
      </c>
      <c r="J87" s="156" t="e">
        <f>J86/J5</f>
        <v>#DIV/0!</v>
      </c>
      <c r="K87" s="75"/>
      <c r="L87" s="437"/>
      <c r="M87" s="155" t="e">
        <f>M86/M5</f>
        <v>#DIV/0!</v>
      </c>
      <c r="N87" s="151" t="e">
        <f>N86/N5</f>
        <v>#DIV/0!</v>
      </c>
      <c r="O87" s="156" t="e">
        <f>O86/O5</f>
        <v>#DIV/0!</v>
      </c>
      <c r="P87" s="75"/>
      <c r="Q87" s="437"/>
      <c r="R87" s="155" t="e">
        <f>R86/R5</f>
        <v>#DIV/0!</v>
      </c>
      <c r="S87" s="151" t="e">
        <f>S86/S5</f>
        <v>#DIV/0!</v>
      </c>
      <c r="T87" s="156" t="e">
        <f>T86/T5</f>
        <v>#DIV/0!</v>
      </c>
      <c r="U87" s="75"/>
      <c r="V87" s="437"/>
      <c r="W87" s="155" t="e">
        <f>W86/W5</f>
        <v>#DIV/0!</v>
      </c>
      <c r="X87" s="151" t="e">
        <f>X86/X5</f>
        <v>#DIV/0!</v>
      </c>
      <c r="Y87" s="156" t="e">
        <f>Y86/Y5</f>
        <v>#DIV/0!</v>
      </c>
      <c r="Z87" s="75"/>
      <c r="AA87" s="744"/>
      <c r="AB87" s="573" t="e">
        <f>AB86/AB5</f>
        <v>#DIV/0!</v>
      </c>
      <c r="AC87" s="574" t="e">
        <f>AC86/AC5</f>
        <v>#DIV/0!</v>
      </c>
      <c r="AD87" s="575" t="e">
        <f>AD86/AD5</f>
        <v>#DIV/0!</v>
      </c>
      <c r="AE87" s="576"/>
      <c r="AF87" s="753"/>
      <c r="AG87" s="573" t="e">
        <f>AG86/AG5</f>
        <v>#DIV/0!</v>
      </c>
      <c r="AH87" s="574" t="e">
        <f>AH86/AH5</f>
        <v>#DIV/0!</v>
      </c>
      <c r="AI87" s="575" t="e">
        <f>AI86/AI5</f>
        <v>#DIV/0!</v>
      </c>
      <c r="AJ87" s="576"/>
      <c r="AK87" s="753"/>
      <c r="AL87" s="573" t="e">
        <f>AL86/AL5</f>
        <v>#DIV/0!</v>
      </c>
      <c r="AM87" s="574" t="e">
        <f>AM86/AM5</f>
        <v>#DIV/0!</v>
      </c>
      <c r="AN87" s="575" t="e">
        <f>AN86/AN5</f>
        <v>#DIV/0!</v>
      </c>
      <c r="AO87" s="576"/>
      <c r="AP87" s="753"/>
      <c r="AQ87" s="155" t="e">
        <f>AQ86/AQ5</f>
        <v>#DIV/0!</v>
      </c>
      <c r="AR87" s="151" t="e">
        <f>AR86/AR5</f>
        <v>#DIV/0!</v>
      </c>
      <c r="AS87" s="156" t="e">
        <f>AS86/AS5</f>
        <v>#DIV/0!</v>
      </c>
      <c r="AT87" s="75"/>
      <c r="AU87" s="75"/>
    </row>
    <row r="88" spans="1:47" ht="13.8">
      <c r="A88" s="30"/>
      <c r="B88" s="30"/>
      <c r="C88" s="76"/>
      <c r="D88" s="76"/>
      <c r="E88" s="76"/>
      <c r="F88" s="76"/>
      <c r="G88" s="76"/>
      <c r="H88" s="76"/>
      <c r="I88" s="76"/>
      <c r="J88" s="76"/>
      <c r="K88" s="76"/>
      <c r="L88" s="438"/>
      <c r="M88" s="76"/>
      <c r="N88" s="76"/>
      <c r="O88" s="76"/>
      <c r="P88" s="76"/>
      <c r="Q88" s="438"/>
      <c r="R88" s="76"/>
      <c r="S88" s="76"/>
      <c r="T88" s="76"/>
      <c r="U88" s="76"/>
      <c r="V88" s="438"/>
      <c r="W88" s="76"/>
      <c r="X88" s="76"/>
      <c r="Y88" s="76"/>
      <c r="Z88" s="76"/>
      <c r="AA88" s="438"/>
      <c r="AB88" s="76"/>
      <c r="AC88" s="76"/>
      <c r="AD88" s="76"/>
      <c r="AE88" s="76"/>
      <c r="AF88" s="438"/>
      <c r="AG88" s="76"/>
      <c r="AH88" s="76"/>
      <c r="AI88" s="76"/>
      <c r="AJ88" s="76"/>
      <c r="AK88" s="438"/>
      <c r="AL88" s="76"/>
      <c r="AM88" s="76"/>
      <c r="AN88" s="76"/>
      <c r="AO88" s="76"/>
      <c r="AP88" s="438"/>
      <c r="AQ88" s="76"/>
      <c r="AR88" s="76"/>
      <c r="AS88" s="76"/>
      <c r="AT88" s="76"/>
      <c r="AU88" s="76"/>
    </row>
    <row r="89" spans="1:47">
      <c r="B89" s="221" t="s">
        <v>56</v>
      </c>
      <c r="E89" s="154">
        <f>E8+E36+E41+E50+E54+E73+E79+E82+E85</f>
        <v>6325.5920865845901</v>
      </c>
      <c r="J89" s="154">
        <f>J8+J36+J41+J50+J54+J73+J79+J82+J85</f>
        <v>0</v>
      </c>
      <c r="L89" s="395"/>
      <c r="O89" s="154">
        <f>O8+O36+O41+O50+O54+O73+O79+O82+O85</f>
        <v>0</v>
      </c>
      <c r="Q89" s="395"/>
      <c r="T89" s="154">
        <f>T8+T36+T41+T50+T54+T73+T79+T82+T85</f>
        <v>0</v>
      </c>
      <c r="V89" s="395"/>
      <c r="Y89" s="154">
        <f>Y8+Y36+Y41+Y50+Y54+Y73+Y79+Y82+Y85</f>
        <v>0</v>
      </c>
      <c r="AA89" s="395"/>
      <c r="AD89" s="154">
        <f>AD8+AD36+AD41+AD50+AD54+AD73+AD79+AD82+AD85</f>
        <v>0</v>
      </c>
      <c r="AF89" s="395"/>
      <c r="AI89" s="154" t="e">
        <f>AI8+AI36+AI41+AI50+AI54+AI73+AI79+AI82+AI85</f>
        <v>#DIV/0!</v>
      </c>
      <c r="AK89" s="395"/>
      <c r="AN89" s="154">
        <f>AN8+AN36+AN41+AN50+AN54+AN73+AN79+AN82+AN85</f>
        <v>0</v>
      </c>
      <c r="AP89" s="395"/>
      <c r="AS89" s="154" t="e">
        <f>AS8+AS36+AS41+AS50+AS54+AS73+AS79+AS82+AS85</f>
        <v>#DIV/0!</v>
      </c>
    </row>
    <row r="90" spans="1:47">
      <c r="L90" s="395"/>
      <c r="Q90" s="395"/>
      <c r="V90" s="395"/>
      <c r="W90" s="395"/>
      <c r="X90" s="395"/>
      <c r="Y90" s="395"/>
      <c r="Z90" s="395"/>
      <c r="AA90" s="395"/>
      <c r="AB90" s="395"/>
      <c r="AC90" s="395"/>
      <c r="AD90" s="395"/>
      <c r="AE90" s="395"/>
      <c r="AF90" s="395"/>
      <c r="AG90" s="395"/>
      <c r="AH90" s="395"/>
      <c r="AI90" s="395"/>
      <c r="AJ90" s="395"/>
      <c r="AK90" s="395"/>
      <c r="AL90" s="395"/>
      <c r="AM90" s="395"/>
      <c r="AN90" s="395"/>
      <c r="AO90" s="395"/>
      <c r="AP90" s="395"/>
      <c r="AS90" s="424" t="e">
        <f>(J89+E89)=AS89</f>
        <v>#DIV/0!</v>
      </c>
    </row>
    <row r="91" spans="1:47" s="2" customFormat="1">
      <c r="A91" s="8"/>
      <c r="B91" s="8"/>
      <c r="C91" s="38"/>
      <c r="D91" s="38"/>
      <c r="E91" s="38"/>
      <c r="F91" s="38"/>
      <c r="G91" s="38"/>
      <c r="H91" s="38"/>
      <c r="I91" s="38"/>
      <c r="J91" s="38"/>
      <c r="K91" s="38"/>
      <c r="L91" s="395"/>
      <c r="M91" s="38"/>
      <c r="N91" s="38"/>
      <c r="O91" s="38"/>
      <c r="P91" s="38"/>
      <c r="Q91" s="395"/>
      <c r="R91" s="395"/>
      <c r="S91" s="395"/>
      <c r="T91" s="395"/>
      <c r="U91" s="395"/>
      <c r="V91" s="395"/>
      <c r="W91" s="395"/>
      <c r="X91" s="395"/>
      <c r="Y91" s="395"/>
      <c r="Z91" s="395"/>
      <c r="AA91" s="395"/>
      <c r="AB91" s="395"/>
      <c r="AC91" s="395"/>
      <c r="AD91" s="395"/>
      <c r="AE91" s="395"/>
      <c r="AF91" s="395"/>
      <c r="AG91" s="395"/>
      <c r="AH91" s="395"/>
      <c r="AI91" s="395"/>
      <c r="AJ91" s="395"/>
      <c r="AK91" s="395"/>
      <c r="AL91" s="395"/>
      <c r="AM91" s="395"/>
      <c r="AN91" s="395"/>
      <c r="AO91" s="395"/>
      <c r="AP91" s="395"/>
      <c r="AQ91" s="38"/>
      <c r="AR91" s="38"/>
      <c r="AS91" s="38"/>
      <c r="AT91" s="38"/>
      <c r="AU91" s="38"/>
    </row>
    <row r="92" spans="1:47">
      <c r="L92" s="395"/>
      <c r="Q92" s="395"/>
      <c r="S92" s="395"/>
      <c r="T92" s="395"/>
      <c r="U92" s="395"/>
      <c r="V92" s="395"/>
      <c r="W92" s="395"/>
      <c r="X92" s="395"/>
      <c r="Y92" s="395"/>
      <c r="Z92" s="395"/>
      <c r="AA92" s="395"/>
      <c r="AB92" s="395"/>
      <c r="AC92" s="395"/>
      <c r="AD92" s="395"/>
      <c r="AE92" s="395"/>
      <c r="AF92" s="395"/>
      <c r="AG92" s="395"/>
      <c r="AH92" s="395"/>
      <c r="AI92" s="395"/>
      <c r="AJ92" s="395"/>
      <c r="AK92" s="395"/>
      <c r="AL92" s="395"/>
      <c r="AM92" s="395"/>
      <c r="AN92" s="395"/>
      <c r="AO92" s="395"/>
      <c r="AP92" s="395"/>
    </row>
    <row r="93" spans="1:47" s="2" customFormat="1">
      <c r="A93" s="8"/>
      <c r="B93" s="629"/>
      <c r="C93" s="38"/>
      <c r="D93" s="38"/>
      <c r="E93" s="38"/>
      <c r="F93" s="38"/>
      <c r="G93" s="38"/>
      <c r="H93" s="38"/>
      <c r="I93" s="38"/>
      <c r="J93" s="38"/>
      <c r="K93" s="38"/>
      <c r="L93" s="395"/>
      <c r="M93" s="38"/>
      <c r="N93" s="38"/>
      <c r="O93" s="38"/>
      <c r="P93" s="38"/>
      <c r="Q93" s="395"/>
      <c r="R93" s="38"/>
      <c r="S93" s="395"/>
      <c r="T93" s="395"/>
      <c r="U93" s="395"/>
      <c r="V93" s="395"/>
      <c r="W93" s="395"/>
      <c r="X93" s="395"/>
      <c r="Y93" s="687">
        <f>Y5-Y89</f>
        <v>0</v>
      </c>
      <c r="Z93" s="395"/>
      <c r="AA93" s="395"/>
      <c r="AB93" s="395"/>
      <c r="AC93" s="395"/>
      <c r="AD93" s="687">
        <f>AD5-AD89</f>
        <v>0</v>
      </c>
      <c r="AE93" s="395"/>
      <c r="AF93" s="395"/>
      <c r="AG93" s="395"/>
      <c r="AH93" s="395"/>
      <c r="AI93" s="687" t="e">
        <f>AI5-AI89</f>
        <v>#DIV/0!</v>
      </c>
      <c r="AJ93" s="395"/>
      <c r="AK93" s="395"/>
      <c r="AL93" s="395"/>
      <c r="AM93" s="395"/>
      <c r="AN93" s="687">
        <f>AN5-AN89</f>
        <v>0</v>
      </c>
      <c r="AO93" s="395"/>
      <c r="AP93" s="395"/>
      <c r="AQ93" s="38"/>
      <c r="AR93" s="38"/>
      <c r="AS93" s="687" t="e">
        <f>AS5-AS89</f>
        <v>#DIV/0!</v>
      </c>
      <c r="AT93" s="38"/>
      <c r="AU93" s="38"/>
    </row>
    <row r="94" spans="1:47" s="2" customFormat="1">
      <c r="A94" s="8"/>
      <c r="B94" s="629"/>
      <c r="C94" s="38"/>
      <c r="D94" s="38"/>
      <c r="E94" s="38"/>
      <c r="F94" s="38"/>
      <c r="G94" s="38"/>
      <c r="H94" s="38"/>
      <c r="I94" s="38"/>
      <c r="J94" s="38"/>
      <c r="K94" s="38"/>
      <c r="L94" s="395"/>
      <c r="M94" s="38"/>
      <c r="N94" s="38"/>
      <c r="O94" s="38"/>
      <c r="P94" s="38"/>
      <c r="Q94" s="395"/>
      <c r="R94" s="626"/>
      <c r="S94" s="395"/>
      <c r="T94" s="395"/>
      <c r="U94" s="395"/>
      <c r="V94" s="395"/>
      <c r="W94" s="395"/>
      <c r="X94" s="395"/>
      <c r="Y94" s="395"/>
      <c r="Z94" s="395"/>
      <c r="AA94" s="395"/>
      <c r="AB94" s="395"/>
      <c r="AC94" s="395"/>
      <c r="AD94" s="395"/>
      <c r="AE94" s="395"/>
      <c r="AF94" s="395"/>
      <c r="AG94" s="395"/>
      <c r="AH94" s="395"/>
      <c r="AI94" s="395"/>
      <c r="AJ94" s="395"/>
      <c r="AK94" s="395"/>
      <c r="AL94" s="395"/>
      <c r="AM94" s="395"/>
      <c r="AN94" s="395"/>
      <c r="AO94" s="395"/>
      <c r="AP94" s="395"/>
      <c r="AQ94" s="626"/>
      <c r="AR94" s="38"/>
      <c r="AS94" s="38"/>
      <c r="AT94" s="38"/>
      <c r="AU94" s="38"/>
    </row>
    <row r="95" spans="1:47" s="2" customFormat="1">
      <c r="A95" s="8"/>
      <c r="B95" s="629"/>
      <c r="C95" s="38"/>
      <c r="D95" s="38"/>
      <c r="E95" s="38"/>
      <c r="F95" s="38"/>
      <c r="G95" s="38"/>
      <c r="H95" s="38"/>
      <c r="I95" s="38"/>
      <c r="J95" s="38"/>
      <c r="K95" s="38"/>
      <c r="L95" s="395"/>
      <c r="M95" s="38"/>
      <c r="N95" s="38"/>
      <c r="O95" s="38"/>
      <c r="P95" s="38"/>
      <c r="Q95" s="395"/>
      <c r="R95" s="38"/>
      <c r="S95" s="395"/>
      <c r="T95" s="395"/>
      <c r="U95" s="395"/>
      <c r="V95" s="395"/>
      <c r="W95" s="395"/>
      <c r="X95" s="395"/>
      <c r="Y95" s="395"/>
      <c r="Z95" s="395"/>
      <c r="AA95" s="395"/>
      <c r="AB95" s="395"/>
      <c r="AC95" s="395"/>
      <c r="AD95" s="395"/>
      <c r="AE95" s="395"/>
      <c r="AF95" s="395"/>
      <c r="AG95" s="395"/>
      <c r="AH95" s="395"/>
      <c r="AI95" s="395"/>
      <c r="AJ95" s="395"/>
      <c r="AK95" s="395"/>
      <c r="AL95" s="395"/>
      <c r="AM95" s="395"/>
      <c r="AN95" s="395"/>
      <c r="AO95" s="395"/>
      <c r="AP95" s="395"/>
      <c r="AQ95" s="38"/>
      <c r="AR95" s="38"/>
      <c r="AS95" s="38"/>
      <c r="AT95" s="38"/>
      <c r="AU95" s="38"/>
    </row>
    <row r="96" spans="1:47" s="2" customFormat="1">
      <c r="A96" s="8"/>
      <c r="B96" s="629"/>
      <c r="C96" s="38"/>
      <c r="D96" s="38"/>
      <c r="E96" s="38"/>
      <c r="F96" s="38"/>
      <c r="G96" s="38"/>
      <c r="H96" s="38"/>
      <c r="I96" s="38"/>
      <c r="J96" s="38"/>
      <c r="K96" s="38"/>
      <c r="L96" s="395"/>
      <c r="M96" s="38"/>
      <c r="N96" s="38"/>
      <c r="O96" s="38"/>
      <c r="P96" s="38"/>
      <c r="Q96" s="395"/>
      <c r="R96" s="38"/>
      <c r="S96" s="395"/>
      <c r="T96" s="395"/>
      <c r="U96" s="395"/>
      <c r="V96" s="395"/>
      <c r="W96" s="395"/>
      <c r="X96" s="395"/>
      <c r="Y96" s="395"/>
      <c r="Z96" s="395"/>
      <c r="AA96" s="395"/>
      <c r="AB96" s="395"/>
      <c r="AC96" s="395"/>
      <c r="AD96" s="395"/>
      <c r="AE96" s="395"/>
      <c r="AF96" s="395"/>
      <c r="AG96" s="395"/>
      <c r="AH96" s="395"/>
      <c r="AI96" s="395"/>
      <c r="AJ96" s="395"/>
      <c r="AK96" s="395"/>
      <c r="AL96" s="395"/>
      <c r="AM96" s="395"/>
      <c r="AN96" s="395"/>
      <c r="AO96" s="395"/>
      <c r="AP96" s="395"/>
      <c r="AQ96" s="38"/>
      <c r="AR96" s="38"/>
      <c r="AS96" s="38"/>
      <c r="AT96" s="38"/>
      <c r="AU96" s="38"/>
    </row>
    <row r="97" spans="1:47">
      <c r="L97" s="395"/>
      <c r="Q97" s="395"/>
      <c r="S97" s="395"/>
      <c r="T97" s="395"/>
      <c r="U97" s="395"/>
      <c r="V97" s="395"/>
      <c r="W97" s="395"/>
      <c r="X97" s="395"/>
      <c r="Y97" s="395"/>
      <c r="Z97" s="395"/>
      <c r="AA97" s="395"/>
      <c r="AB97" s="395"/>
      <c r="AC97" s="395"/>
      <c r="AD97" s="395"/>
      <c r="AE97" s="395"/>
      <c r="AF97" s="395"/>
      <c r="AG97" s="395"/>
      <c r="AH97" s="395"/>
      <c r="AI97" s="395"/>
      <c r="AJ97" s="395"/>
      <c r="AK97" s="395"/>
      <c r="AL97" s="395"/>
      <c r="AM97" s="395"/>
      <c r="AN97" s="395"/>
      <c r="AO97" s="395"/>
      <c r="AP97" s="395"/>
    </row>
    <row r="98" spans="1:47" s="2" customFormat="1">
      <c r="A98" s="8"/>
      <c r="B98" s="8"/>
      <c r="C98" s="38"/>
      <c r="D98" s="38"/>
      <c r="E98" s="38"/>
      <c r="F98" s="38"/>
      <c r="G98" s="38"/>
      <c r="H98" s="38"/>
      <c r="I98" s="38"/>
      <c r="J98" s="38"/>
      <c r="K98" s="38"/>
      <c r="L98" s="395"/>
      <c r="M98" s="38"/>
      <c r="N98" s="38"/>
      <c r="O98" s="38"/>
      <c r="P98" s="38"/>
      <c r="Q98" s="395"/>
      <c r="R98" s="38"/>
      <c r="S98" s="395"/>
      <c r="T98" s="395"/>
      <c r="U98" s="395"/>
      <c r="V98" s="395"/>
      <c r="W98" s="395"/>
      <c r="X98" s="395"/>
      <c r="Y98" s="395"/>
      <c r="Z98" s="395"/>
      <c r="AA98" s="395"/>
      <c r="AB98" s="395"/>
      <c r="AC98" s="395"/>
      <c r="AD98" s="395"/>
      <c r="AE98" s="395"/>
      <c r="AF98" s="395"/>
      <c r="AG98" s="395"/>
      <c r="AH98" s="395"/>
      <c r="AI98" s="395"/>
      <c r="AJ98" s="395"/>
      <c r="AK98" s="395"/>
      <c r="AL98" s="395"/>
      <c r="AM98" s="395"/>
      <c r="AN98" s="395"/>
      <c r="AO98" s="395"/>
      <c r="AP98" s="395"/>
      <c r="AQ98" s="38"/>
      <c r="AR98" s="38"/>
      <c r="AS98" s="38"/>
      <c r="AT98" s="38"/>
      <c r="AU98" s="38"/>
    </row>
  </sheetData>
  <mergeCells count="12">
    <mergeCell ref="AQ2:AU3"/>
    <mergeCell ref="AB2:AF3"/>
    <mergeCell ref="AG2:AK3"/>
    <mergeCell ref="AL2:AP3"/>
    <mergeCell ref="A3:B3"/>
    <mergeCell ref="R2:U3"/>
    <mergeCell ref="W2:AA3"/>
    <mergeCell ref="A42:A48"/>
    <mergeCell ref="A2:B2"/>
    <mergeCell ref="C2:G3"/>
    <mergeCell ref="H2:L3"/>
    <mergeCell ref="M2:Q3"/>
  </mergeCells>
  <pageMargins left="0.7" right="0.7" top="0.75" bottom="0.75"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BN99"/>
  <sheetViews>
    <sheetView showZeros="0" zoomScale="70" zoomScaleNormal="70" workbookViewId="0">
      <pane xSplit="6" ySplit="5" topLeftCell="BE72" activePane="bottomRight" state="frozen"/>
      <selection activeCell="AW86" sqref="AW86"/>
      <selection pane="topRight" activeCell="AW86" sqref="AW86"/>
      <selection pane="bottomLeft" activeCell="AW86" sqref="AW86"/>
      <selection pane="bottomRight" activeCell="BL89" sqref="BL89"/>
    </sheetView>
  </sheetViews>
  <sheetFormatPr defaultColWidth="7.44140625" defaultRowHeight="13.2" outlineLevelRow="3" outlineLevelCol="1"/>
  <cols>
    <col min="1" max="1" width="5.5546875" style="8" customWidth="1"/>
    <col min="2" max="2" width="55" style="8" customWidth="1"/>
    <col min="3" max="3" width="15" style="77" hidden="1" customWidth="1"/>
    <col min="4" max="4" width="15.5546875" style="77" hidden="1" customWidth="1"/>
    <col min="5" max="5" width="16.33203125" style="38" hidden="1" customWidth="1"/>
    <col min="6" max="6" width="9.5546875" style="38" hidden="1" customWidth="1"/>
    <col min="7" max="9" width="16.33203125" style="38" hidden="1" customWidth="1" outlineLevel="1"/>
    <col min="10" max="10" width="9" style="38" hidden="1" customWidth="1" outlineLevel="1"/>
    <col min="11" max="14" width="16.33203125" style="38" hidden="1" customWidth="1" outlineLevel="1"/>
    <col min="15" max="15" width="9" style="38" hidden="1" customWidth="1" outlineLevel="1"/>
    <col min="16" max="16" width="36.44140625" style="38" hidden="1" customWidth="1" outlineLevel="1"/>
    <col min="17" max="17" width="14.109375" style="38" hidden="1" customWidth="1" outlineLevel="1"/>
    <col min="18" max="18" width="13.5546875" style="38" hidden="1" customWidth="1" outlineLevel="1"/>
    <col min="19" max="19" width="14.33203125" style="38" hidden="1" customWidth="1" outlineLevel="1"/>
    <col min="20" max="20" width="17.6640625" style="38" hidden="1" customWidth="1" outlineLevel="1"/>
    <col min="21" max="21" width="29.6640625" style="38" hidden="1" customWidth="1" outlineLevel="1"/>
    <col min="22" max="22" width="14.6640625" style="38" hidden="1" customWidth="1" outlineLevel="1"/>
    <col min="23" max="23" width="14.5546875" style="38" hidden="1" customWidth="1" outlineLevel="1"/>
    <col min="24" max="24" width="17.88671875" style="38" hidden="1" customWidth="1" outlineLevel="1"/>
    <col min="25" max="25" width="9.6640625" style="38" hidden="1" customWidth="1" outlineLevel="1"/>
    <col min="26" max="26" width="29.6640625" style="38" hidden="1" customWidth="1" outlineLevel="1"/>
    <col min="27" max="27" width="13.44140625" style="38" hidden="1" customWidth="1" outlineLevel="1"/>
    <col min="28" max="28" width="17.44140625" style="38" hidden="1" customWidth="1" outlineLevel="1"/>
    <col min="29" max="29" width="18.33203125" style="38" hidden="1" customWidth="1" outlineLevel="1"/>
    <col min="30" max="30" width="11.5546875" style="38" hidden="1" customWidth="1" outlineLevel="1"/>
    <col min="31" max="31" width="29.6640625" style="38" hidden="1" customWidth="1" outlineLevel="1"/>
    <col min="32" max="35" width="15.5546875" style="38" hidden="1" customWidth="1" outlineLevel="1"/>
    <col min="36" max="36" width="34.5546875" style="38" hidden="1" customWidth="1" outlineLevel="1"/>
    <col min="37" max="51" width="17.6640625" style="38" hidden="1" customWidth="1" outlineLevel="1"/>
    <col min="52" max="52" width="17.6640625" style="38" hidden="1" customWidth="1" collapsed="1"/>
    <col min="53" max="56" width="17.6640625" style="38" hidden="1" customWidth="1"/>
    <col min="57" max="60" width="17.6640625" style="38" customWidth="1"/>
    <col min="61" max="61" width="22.6640625" style="38" customWidth="1"/>
    <col min="62" max="64" width="16.33203125" style="38" customWidth="1"/>
    <col min="65" max="65" width="9" style="38" customWidth="1"/>
    <col min="66" max="66" width="32.33203125" style="38" customWidth="1"/>
    <col min="67" max="16384" width="7.44140625" style="1"/>
  </cols>
  <sheetData>
    <row r="1" spans="1:66" ht="13.8" thickBot="1">
      <c r="C1" s="38"/>
      <c r="D1" s="38"/>
    </row>
    <row r="2" spans="1:66" ht="22.2" customHeight="1">
      <c r="A2" s="4834" t="s">
        <v>177</v>
      </c>
      <c r="B2" s="4835"/>
      <c r="C2" s="4835"/>
      <c r="D2" s="4835"/>
      <c r="E2" s="4835"/>
      <c r="F2" s="4836"/>
      <c r="G2" s="4837" t="s">
        <v>465</v>
      </c>
      <c r="H2" s="4838"/>
      <c r="I2" s="4838"/>
      <c r="J2" s="4838"/>
      <c r="K2" s="382"/>
      <c r="L2" s="4837" t="s">
        <v>466</v>
      </c>
      <c r="M2" s="4838"/>
      <c r="N2" s="4838"/>
      <c r="O2" s="4838"/>
      <c r="P2" s="378"/>
      <c r="Q2" s="4837" t="s">
        <v>545</v>
      </c>
      <c r="R2" s="4838"/>
      <c r="S2" s="4838"/>
      <c r="T2" s="4838"/>
      <c r="U2" s="427"/>
      <c r="V2" s="4837" t="s">
        <v>624</v>
      </c>
      <c r="W2" s="4838"/>
      <c r="X2" s="4838"/>
      <c r="Y2" s="4838"/>
      <c r="Z2" s="468"/>
      <c r="AA2" s="4892" t="s">
        <v>714</v>
      </c>
      <c r="AB2" s="4893"/>
      <c r="AC2" s="4893"/>
      <c r="AD2" s="4893"/>
      <c r="AE2" s="4894"/>
      <c r="AF2" s="4892" t="s">
        <v>770</v>
      </c>
      <c r="AG2" s="4893"/>
      <c r="AH2" s="4893"/>
      <c r="AI2" s="4893"/>
      <c r="AJ2" s="4894"/>
      <c r="AK2" s="4922" t="s">
        <v>820</v>
      </c>
      <c r="AL2" s="4923"/>
      <c r="AM2" s="4923"/>
      <c r="AN2" s="4923"/>
      <c r="AO2" s="4924"/>
      <c r="AP2" s="4955" t="s">
        <v>836</v>
      </c>
      <c r="AQ2" s="4956"/>
      <c r="AR2" s="4956"/>
      <c r="AS2" s="4956"/>
      <c r="AT2" s="4957"/>
      <c r="AU2" s="4934" t="s">
        <v>883</v>
      </c>
      <c r="AV2" s="4935"/>
      <c r="AW2" s="4935"/>
      <c r="AX2" s="4935"/>
      <c r="AY2" s="4936"/>
      <c r="AZ2" s="4898" t="s">
        <v>910</v>
      </c>
      <c r="BA2" s="4899"/>
      <c r="BB2" s="4899"/>
      <c r="BC2" s="4899"/>
      <c r="BD2" s="4900"/>
      <c r="BE2" s="4898" t="s">
        <v>948</v>
      </c>
      <c r="BF2" s="4899"/>
      <c r="BG2" s="4899"/>
      <c r="BH2" s="4899"/>
      <c r="BI2" s="4900"/>
      <c r="BJ2" s="4988" t="s">
        <v>469</v>
      </c>
      <c r="BK2" s="4989"/>
      <c r="BL2" s="4989"/>
      <c r="BM2" s="4989"/>
      <c r="BN2" s="384"/>
    </row>
    <row r="3" spans="1:66" ht="14.4" customHeight="1" thickBot="1">
      <c r="A3" s="4853" t="s">
        <v>54</v>
      </c>
      <c r="B3" s="4854"/>
      <c r="C3" s="4854"/>
      <c r="D3" s="4854"/>
      <c r="E3" s="4854"/>
      <c r="F3" s="4855"/>
      <c r="G3" s="4839"/>
      <c r="H3" s="4840"/>
      <c r="I3" s="4840"/>
      <c r="J3" s="4840"/>
      <c r="K3" s="383"/>
      <c r="L3" s="4839"/>
      <c r="M3" s="4840"/>
      <c r="N3" s="4840"/>
      <c r="O3" s="4840"/>
      <c r="P3" s="379"/>
      <c r="Q3" s="4839"/>
      <c r="R3" s="4840"/>
      <c r="S3" s="4840"/>
      <c r="T3" s="4840"/>
      <c r="U3" s="428"/>
      <c r="V3" s="4839"/>
      <c r="W3" s="4840"/>
      <c r="X3" s="4840"/>
      <c r="Y3" s="4840"/>
      <c r="Z3" s="469"/>
      <c r="AA3" s="4895"/>
      <c r="AB3" s="4896"/>
      <c r="AC3" s="4896"/>
      <c r="AD3" s="4896"/>
      <c r="AE3" s="4897"/>
      <c r="AF3" s="4895"/>
      <c r="AG3" s="4896"/>
      <c r="AH3" s="4896"/>
      <c r="AI3" s="4896"/>
      <c r="AJ3" s="4897"/>
      <c r="AK3" s="4925"/>
      <c r="AL3" s="4926"/>
      <c r="AM3" s="4926"/>
      <c r="AN3" s="4926"/>
      <c r="AO3" s="4927"/>
      <c r="AP3" s="4958"/>
      <c r="AQ3" s="4959"/>
      <c r="AR3" s="4959"/>
      <c r="AS3" s="4959"/>
      <c r="AT3" s="4960"/>
      <c r="AU3" s="4937"/>
      <c r="AV3" s="4938"/>
      <c r="AW3" s="4938"/>
      <c r="AX3" s="4938"/>
      <c r="AY3" s="4939"/>
      <c r="AZ3" s="4901"/>
      <c r="BA3" s="4902"/>
      <c r="BB3" s="4902"/>
      <c r="BC3" s="4902"/>
      <c r="BD3" s="4903"/>
      <c r="BE3" s="4901"/>
      <c r="BF3" s="4902"/>
      <c r="BG3" s="4902"/>
      <c r="BH3" s="4902"/>
      <c r="BI3" s="4903"/>
      <c r="BJ3" s="4990"/>
      <c r="BK3" s="4991"/>
      <c r="BL3" s="4991"/>
      <c r="BM3" s="4991"/>
      <c r="BN3" s="385"/>
    </row>
    <row r="4" spans="1:66" ht="41.4" thickBot="1">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94" t="s">
        <v>55</v>
      </c>
      <c r="BA4" s="94" t="s">
        <v>18</v>
      </c>
      <c r="BB4" s="95" t="s">
        <v>39</v>
      </c>
      <c r="BC4" s="209" t="s">
        <v>40</v>
      </c>
      <c r="BD4" s="95" t="s">
        <v>19</v>
      </c>
      <c r="BE4" s="94" t="s">
        <v>55</v>
      </c>
      <c r="BF4" s="94" t="s">
        <v>18</v>
      </c>
      <c r="BG4" s="95" t="s">
        <v>39</v>
      </c>
      <c r="BH4" s="209" t="s">
        <v>40</v>
      </c>
      <c r="BI4" s="95" t="s">
        <v>19</v>
      </c>
      <c r="BJ4" s="94" t="s">
        <v>55</v>
      </c>
      <c r="BK4" s="94" t="s">
        <v>18</v>
      </c>
      <c r="BL4" s="95" t="s">
        <v>39</v>
      </c>
      <c r="BM4" s="209" t="s">
        <v>40</v>
      </c>
      <c r="BN4" s="95" t="s">
        <v>19</v>
      </c>
    </row>
    <row r="5" spans="1:66" s="88" customFormat="1" ht="14.4" thickBot="1">
      <c r="A5" s="83"/>
      <c r="B5" s="84" t="s">
        <v>10</v>
      </c>
      <c r="C5" s="85">
        <f>C6</f>
        <v>6072626</v>
      </c>
      <c r="D5" s="85">
        <f>D6</f>
        <v>0</v>
      </c>
      <c r="E5" s="86">
        <f>E6</f>
        <v>6072626</v>
      </c>
      <c r="F5" s="87"/>
      <c r="G5" s="87">
        <f>G6</f>
        <v>9678495.7300000004</v>
      </c>
      <c r="H5" s="87">
        <f>H6</f>
        <v>0</v>
      </c>
      <c r="I5" s="87">
        <f>I6</f>
        <v>9678495.7300000004</v>
      </c>
      <c r="J5" s="87"/>
      <c r="K5" s="87"/>
      <c r="L5" s="87">
        <f>L6</f>
        <v>0</v>
      </c>
      <c r="M5" s="87">
        <f>M6</f>
        <v>0</v>
      </c>
      <c r="N5" s="87">
        <f>N6</f>
        <v>0</v>
      </c>
      <c r="O5" s="87"/>
      <c r="P5" s="87"/>
      <c r="Q5" s="87">
        <f>Q6</f>
        <v>1299226.97</v>
      </c>
      <c r="R5" s="87">
        <f>R6</f>
        <v>0</v>
      </c>
      <c r="S5" s="87">
        <f>S6</f>
        <v>1299226.97</v>
      </c>
      <c r="T5" s="87"/>
      <c r="U5" s="87"/>
      <c r="V5" s="87">
        <f>V6</f>
        <v>0</v>
      </c>
      <c r="W5" s="87">
        <f>W6</f>
        <v>1200</v>
      </c>
      <c r="X5" s="87">
        <f>X6</f>
        <v>1200</v>
      </c>
      <c r="Y5" s="87"/>
      <c r="Z5" s="87"/>
      <c r="AA5" s="87">
        <f>AA6</f>
        <v>0</v>
      </c>
      <c r="AB5" s="87">
        <f>AB6</f>
        <v>0</v>
      </c>
      <c r="AC5" s="87">
        <f>AC6</f>
        <v>0</v>
      </c>
      <c r="AD5" s="87"/>
      <c r="AE5" s="87"/>
      <c r="AF5" s="620"/>
      <c r="AG5" s="620"/>
      <c r="AH5" s="620">
        <f>AH6</f>
        <v>0</v>
      </c>
      <c r="AI5" s="620"/>
      <c r="AJ5" s="620"/>
      <c r="AK5" s="620"/>
      <c r="AL5" s="620"/>
      <c r="AM5" s="620">
        <f>AM6</f>
        <v>0</v>
      </c>
      <c r="AN5" s="620"/>
      <c r="AO5" s="620"/>
      <c r="AP5" s="620"/>
      <c r="AQ5" s="620"/>
      <c r="AR5" s="620">
        <f>AR6</f>
        <v>0</v>
      </c>
      <c r="AS5" s="620"/>
      <c r="AT5" s="620"/>
      <c r="AU5" s="620"/>
      <c r="AV5" s="620"/>
      <c r="AW5" s="620">
        <f>AW6</f>
        <v>0</v>
      </c>
      <c r="AX5" s="620"/>
      <c r="AY5" s="620"/>
      <c r="AZ5" s="620"/>
      <c r="BA5" s="620"/>
      <c r="BB5" s="620">
        <f>BB6</f>
        <v>0</v>
      </c>
      <c r="BC5" s="620"/>
      <c r="BD5" s="620"/>
      <c r="BE5" s="620"/>
      <c r="BF5" s="620"/>
      <c r="BG5" s="620">
        <f>BG6</f>
        <v>0</v>
      </c>
      <c r="BH5" s="620"/>
      <c r="BI5" s="620"/>
      <c r="BJ5" s="87">
        <f>BJ6</f>
        <v>10977722.700000001</v>
      </c>
      <c r="BK5" s="87">
        <f>BK6</f>
        <v>1200</v>
      </c>
      <c r="BL5" s="87">
        <f>BL6</f>
        <v>10978922.700000001</v>
      </c>
      <c r="BM5" s="87"/>
      <c r="BN5" s="87"/>
    </row>
    <row r="6" spans="1:66" s="2" customFormat="1" ht="41.4" outlineLevel="1">
      <c r="A6" s="238"/>
      <c r="B6" s="9" t="s">
        <v>17</v>
      </c>
      <c r="C6" s="104">
        <v>6072626</v>
      </c>
      <c r="D6" s="105"/>
      <c r="E6" s="106">
        <f>C6+D6</f>
        <v>6072626</v>
      </c>
      <c r="F6" s="39"/>
      <c r="G6" s="39">
        <v>9678495.7300000004</v>
      </c>
      <c r="H6" s="39">
        <v>0</v>
      </c>
      <c r="I6" s="106">
        <f>G6+H6</f>
        <v>9678495.7300000004</v>
      </c>
      <c r="J6" s="39"/>
      <c r="K6" s="39"/>
      <c r="L6" s="39"/>
      <c r="M6" s="39"/>
      <c r="N6" s="106">
        <f>L6+M6</f>
        <v>0</v>
      </c>
      <c r="O6" s="39"/>
      <c r="P6" s="39"/>
      <c r="Q6" s="39">
        <v>1299226.97</v>
      </c>
      <c r="R6" s="39"/>
      <c r="S6" s="106">
        <f>Q6+R6</f>
        <v>1299226.97</v>
      </c>
      <c r="T6" s="39"/>
      <c r="U6" s="39"/>
      <c r="V6" s="39"/>
      <c r="W6" s="39">
        <v>1200</v>
      </c>
      <c r="X6" s="106">
        <f>V6+W6</f>
        <v>1200</v>
      </c>
      <c r="Y6" s="39"/>
      <c r="Z6" s="388" t="s">
        <v>707</v>
      </c>
      <c r="AA6" s="39"/>
      <c r="AB6" s="39"/>
      <c r="AC6" s="106">
        <f>AA6+AB6</f>
        <v>0</v>
      </c>
      <c r="AD6" s="39"/>
      <c r="AE6" s="388"/>
      <c r="AF6" s="458"/>
      <c r="AG6" s="458"/>
      <c r="AH6" s="458">
        <f>AF6+AG6</f>
        <v>0</v>
      </c>
      <c r="AI6" s="458"/>
      <c r="AJ6" s="458"/>
      <c r="AK6" s="458"/>
      <c r="AL6" s="458"/>
      <c r="AM6" s="458">
        <f>AK6+AL6</f>
        <v>0</v>
      </c>
      <c r="AN6" s="458"/>
      <c r="AO6" s="458"/>
      <c r="AP6" s="458"/>
      <c r="AQ6" s="458"/>
      <c r="AR6" s="458">
        <f>AP6+AQ6</f>
        <v>0</v>
      </c>
      <c r="AS6" s="458"/>
      <c r="AT6" s="458"/>
      <c r="AU6" s="458"/>
      <c r="AV6" s="458"/>
      <c r="AW6" s="458">
        <f>AU6+AV6</f>
        <v>0</v>
      </c>
      <c r="AX6" s="458"/>
      <c r="AY6" s="458"/>
      <c r="AZ6" s="458"/>
      <c r="BA6" s="458"/>
      <c r="BB6" s="458">
        <f>AZ6+BA6</f>
        <v>0</v>
      </c>
      <c r="BC6" s="458"/>
      <c r="BD6" s="458"/>
      <c r="BE6" s="458"/>
      <c r="BF6" s="458"/>
      <c r="BG6" s="458">
        <f>BE6+BF6</f>
        <v>0</v>
      </c>
      <c r="BH6" s="458"/>
      <c r="BI6" s="458"/>
      <c r="BJ6" s="39">
        <f>G6+L6+Q6+V6+AF6+AK6+AP6+AU6+AZ6</f>
        <v>10977722.700000001</v>
      </c>
      <c r="BK6" s="39">
        <f>H6+M6+R6+W6+AG6+AL6+AQ6+AV6+BA6</f>
        <v>1200</v>
      </c>
      <c r="BL6" s="106">
        <f>BJ6+BK6</f>
        <v>10978922.700000001</v>
      </c>
      <c r="BM6" s="39"/>
      <c r="BN6" s="440"/>
    </row>
    <row r="7" spans="1:66" s="2" customFormat="1" ht="38.4" customHeight="1" outlineLevel="1" collapsed="1" thickBot="1">
      <c r="A7" s="238"/>
      <c r="B7" s="10" t="s">
        <v>41</v>
      </c>
      <c r="C7" s="107"/>
      <c r="D7" s="108"/>
      <c r="E7" s="106">
        <f>C7+D7</f>
        <v>0</v>
      </c>
      <c r="F7" s="40"/>
      <c r="G7" s="39">
        <v>0</v>
      </c>
      <c r="H7" s="39">
        <v>0</v>
      </c>
      <c r="I7" s="106">
        <f>G7+H7</f>
        <v>0</v>
      </c>
      <c r="J7" s="40"/>
      <c r="K7" s="40"/>
      <c r="L7" s="39"/>
      <c r="M7" s="39"/>
      <c r="N7" s="106">
        <f>L7+M7</f>
        <v>0</v>
      </c>
      <c r="O7" s="40"/>
      <c r="P7" s="40"/>
      <c r="Q7" s="39"/>
      <c r="R7" s="39"/>
      <c r="S7" s="106">
        <f>Q7+R7</f>
        <v>0</v>
      </c>
      <c r="T7" s="40"/>
      <c r="U7" s="40"/>
      <c r="V7" s="39">
        <v>219</v>
      </c>
      <c r="W7" s="39"/>
      <c r="X7" s="106">
        <f>V7+W7</f>
        <v>219</v>
      </c>
      <c r="Y7" s="40"/>
      <c r="Z7" s="522" t="s">
        <v>708</v>
      </c>
      <c r="AA7" s="39"/>
      <c r="AB7" s="39"/>
      <c r="AC7" s="106">
        <f>AA7+AB7</f>
        <v>0</v>
      </c>
      <c r="AD7" s="40"/>
      <c r="AE7" s="522"/>
      <c r="AF7" s="682"/>
      <c r="AG7" s="682"/>
      <c r="AH7" s="682">
        <f>AF7+AG7</f>
        <v>0</v>
      </c>
      <c r="AI7" s="682"/>
      <c r="AJ7" s="682"/>
      <c r="AK7" s="682"/>
      <c r="AL7" s="682"/>
      <c r="AM7" s="682">
        <f>AK7+AL7</f>
        <v>0</v>
      </c>
      <c r="AN7" s="682"/>
      <c r="AO7" s="682"/>
      <c r="AP7" s="682"/>
      <c r="AQ7" s="682"/>
      <c r="AR7" s="682">
        <f>AP7+AQ7</f>
        <v>0</v>
      </c>
      <c r="AS7" s="682"/>
      <c r="AT7" s="682"/>
      <c r="AU7" s="682"/>
      <c r="AV7" s="682"/>
      <c r="AW7" s="682">
        <f>AU7+AV7</f>
        <v>0</v>
      </c>
      <c r="AX7" s="682"/>
      <c r="AY7" s="682"/>
      <c r="AZ7" s="682"/>
      <c r="BA7" s="682"/>
      <c r="BB7" s="682">
        <f>AZ7+BA7</f>
        <v>0</v>
      </c>
      <c r="BC7" s="682"/>
      <c r="BD7" s="682"/>
      <c r="BE7" s="682"/>
      <c r="BF7" s="682"/>
      <c r="BG7" s="682">
        <f>BE7+BF7</f>
        <v>0</v>
      </c>
      <c r="BH7" s="682"/>
      <c r="BI7" s="682"/>
      <c r="BJ7" s="39">
        <f>G7+L7+Q7+V7+AF7+AK7+AP7+AU7+AZ7</f>
        <v>219</v>
      </c>
      <c r="BK7" s="39">
        <f>H7+M7+R7+W7+AG7+AL7+AQ7+AV7+BA7</f>
        <v>0</v>
      </c>
      <c r="BL7" s="106">
        <f>BJ7+BK7</f>
        <v>219</v>
      </c>
      <c r="BM7" s="40"/>
      <c r="BN7" s="40"/>
    </row>
    <row r="8" spans="1:66" s="88" customFormat="1" ht="15" customHeight="1" outlineLevel="1" thickBot="1">
      <c r="A8" s="238"/>
      <c r="B8" s="84" t="s">
        <v>16</v>
      </c>
      <c r="C8" s="109">
        <f>SUM(C9:C33)</f>
        <v>4007559</v>
      </c>
      <c r="D8" s="109">
        <f>SUM(D9:D33)</f>
        <v>964731</v>
      </c>
      <c r="E8" s="110">
        <f>SUM(E9:E33)</f>
        <v>4972290</v>
      </c>
      <c r="F8" s="164">
        <f t="shared" ref="F8:F21" si="0">E8/$E$89</f>
        <v>0.94246792912018862</v>
      </c>
      <c r="G8" s="109">
        <f>SUM(G9:G33)</f>
        <v>7420355.569099999</v>
      </c>
      <c r="H8" s="109">
        <f>SUM(H9:H33)</f>
        <v>1664752.22</v>
      </c>
      <c r="I8" s="110">
        <f>SUM(I9:I33)</f>
        <v>9085107.7891000006</v>
      </c>
      <c r="J8" s="164">
        <f t="shared" ref="J8:J21" si="1">I8/$I$89</f>
        <v>0.94246417990820242</v>
      </c>
      <c r="K8" s="87"/>
      <c r="L8" s="109">
        <f>SUM(L9:L33)</f>
        <v>30397.77</v>
      </c>
      <c r="M8" s="109">
        <f>SUM(M9:M33)</f>
        <v>44134.75</v>
      </c>
      <c r="N8" s="110">
        <f>SUM(N9:N33)</f>
        <v>74532.52</v>
      </c>
      <c r="O8" s="164">
        <f t="shared" ref="O8:O21" si="2">N8/$N$89</f>
        <v>0.90673446167854876</v>
      </c>
      <c r="P8" s="87"/>
      <c r="Q8" s="109">
        <f>SUM(Q9:Q33)</f>
        <v>649.9799999999999</v>
      </c>
      <c r="R8" s="109">
        <f>SUM(R9:R33)</f>
        <v>0</v>
      </c>
      <c r="S8" s="110">
        <f>SUM(S9:S33)</f>
        <v>649.9799999999999</v>
      </c>
      <c r="T8" s="164">
        <f>S8/$S$89</f>
        <v>0.48533754870475682</v>
      </c>
      <c r="U8" s="87"/>
      <c r="V8" s="109">
        <f>SUM(V9:V33)</f>
        <v>0</v>
      </c>
      <c r="W8" s="109">
        <f>SUM(W9:W33)</f>
        <v>0</v>
      </c>
      <c r="X8" s="110">
        <f>SUM(X9:X33)</f>
        <v>0</v>
      </c>
      <c r="Y8" s="164">
        <f>X8/$S$89</f>
        <v>0</v>
      </c>
      <c r="Z8" s="87"/>
      <c r="AA8" s="109">
        <f>SUM(AA9:AA33)</f>
        <v>0</v>
      </c>
      <c r="AB8" s="109">
        <f>SUM(AB9:AB33)</f>
        <v>0</v>
      </c>
      <c r="AC8" s="110">
        <f>SUM(AC9:AC33)</f>
        <v>0</v>
      </c>
      <c r="AD8" s="164">
        <f>AC8/$S$89</f>
        <v>0</v>
      </c>
      <c r="AE8" s="87"/>
      <c r="AF8" s="633"/>
      <c r="AG8" s="633"/>
      <c r="AH8" s="633">
        <f>SUM(AH9:AH33)</f>
        <v>0</v>
      </c>
      <c r="AI8" s="633"/>
      <c r="AJ8" s="633"/>
      <c r="AK8" s="633"/>
      <c r="AL8" s="633"/>
      <c r="AM8" s="633">
        <f>SUM(AM9:AM33)</f>
        <v>0</v>
      </c>
      <c r="AN8" s="633"/>
      <c r="AO8" s="633"/>
      <c r="AP8" s="633"/>
      <c r="AQ8" s="633"/>
      <c r="AR8" s="633">
        <f>SUM(AR9:AR33)</f>
        <v>0</v>
      </c>
      <c r="AS8" s="633"/>
      <c r="AT8" s="633"/>
      <c r="AU8" s="633"/>
      <c r="AV8" s="633"/>
      <c r="AW8" s="633">
        <f>SUM(AW9:AW33)</f>
        <v>0</v>
      </c>
      <c r="AX8" s="633"/>
      <c r="AY8" s="633"/>
      <c r="AZ8" s="633"/>
      <c r="BA8" s="633"/>
      <c r="BB8" s="633">
        <f>SUM(BB9:BB33)</f>
        <v>0</v>
      </c>
      <c r="BC8" s="633"/>
      <c r="BD8" s="633"/>
      <c r="BE8" s="633"/>
      <c r="BF8" s="633"/>
      <c r="BG8" s="633">
        <f>SUM(BG9:BG33)</f>
        <v>147260.55600000001</v>
      </c>
      <c r="BH8" s="633"/>
      <c r="BI8" s="633"/>
      <c r="BJ8" s="109">
        <f>SUM(BJ9:BJ33)</f>
        <v>7598663.8750999998</v>
      </c>
      <c r="BK8" s="109">
        <f>SUM(BK9:BK33)</f>
        <v>1708886.97</v>
      </c>
      <c r="BL8" s="110">
        <f>SUM(BL9:BL33)</f>
        <v>9307550.8451000005</v>
      </c>
      <c r="BM8" s="164">
        <f t="shared" ref="BM8:BM21" si="3">BL8/$BL$89</f>
        <v>0.94277336045416038</v>
      </c>
      <c r="BN8" s="87"/>
    </row>
    <row r="9" spans="1:66" s="2" customFormat="1" ht="30" customHeight="1" outlineLevel="2">
      <c r="A9" s="238"/>
      <c r="B9" s="31" t="s">
        <v>74</v>
      </c>
      <c r="C9" s="111"/>
      <c r="D9" s="112"/>
      <c r="E9" s="106">
        <f t="shared" ref="E9:E33" si="4">C9+D9</f>
        <v>0</v>
      </c>
      <c r="F9" s="177">
        <f t="shared" si="0"/>
        <v>0</v>
      </c>
      <c r="G9" s="39">
        <v>60735.34</v>
      </c>
      <c r="H9" s="39">
        <v>2000</v>
      </c>
      <c r="I9" s="210">
        <f>G9+H9*1</f>
        <v>62735.34</v>
      </c>
      <c r="J9" s="178">
        <f t="shared" si="1"/>
        <v>6.5079922150510262E-3</v>
      </c>
      <c r="K9" s="42"/>
      <c r="L9" s="39"/>
      <c r="M9" s="39"/>
      <c r="N9" s="210">
        <f>L9+M9*1</f>
        <v>0</v>
      </c>
      <c r="O9" s="178">
        <f t="shared" si="2"/>
        <v>0</v>
      </c>
      <c r="P9" s="42"/>
      <c r="Q9" s="39"/>
      <c r="R9" s="39"/>
      <c r="S9" s="210">
        <f>Q9+R9*1</f>
        <v>0</v>
      </c>
      <c r="T9" s="178">
        <f t="shared" ref="T9:T21" si="5">S9/$N$89</f>
        <v>0</v>
      </c>
      <c r="U9" s="42"/>
      <c r="V9" s="39"/>
      <c r="W9" s="39"/>
      <c r="X9" s="210">
        <f>V9+W9*1</f>
        <v>0</v>
      </c>
      <c r="Y9" s="178">
        <f t="shared" ref="Y9:Y21" si="6">X9/$N$89</f>
        <v>0</v>
      </c>
      <c r="Z9" s="42"/>
      <c r="AA9" s="39"/>
      <c r="AB9" s="39"/>
      <c r="AC9" s="210">
        <f>AA9+AB9*1</f>
        <v>0</v>
      </c>
      <c r="AD9" s="178">
        <f>AC9/$N$89</f>
        <v>0</v>
      </c>
      <c r="AE9" s="42"/>
      <c r="AF9" s="456"/>
      <c r="AG9" s="456"/>
      <c r="AH9" s="456">
        <f>AF9+AG9*1</f>
        <v>0</v>
      </c>
      <c r="AI9" s="456"/>
      <c r="AJ9" s="456"/>
      <c r="AK9" s="456"/>
      <c r="AL9" s="456"/>
      <c r="AM9" s="456">
        <f>AK9+AL9*1</f>
        <v>0</v>
      </c>
      <c r="AN9" s="456"/>
      <c r="AO9" s="456"/>
      <c r="AP9" s="456"/>
      <c r="AQ9" s="456"/>
      <c r="AR9" s="456">
        <f>AP9+AQ9*1</f>
        <v>0</v>
      </c>
      <c r="AS9" s="456"/>
      <c r="AT9" s="456"/>
      <c r="AU9" s="456"/>
      <c r="AV9" s="456"/>
      <c r="AW9" s="456">
        <f>AU9+AV9*1</f>
        <v>0</v>
      </c>
      <c r="AX9" s="456"/>
      <c r="AY9" s="456"/>
      <c r="AZ9" s="456"/>
      <c r="BA9" s="456"/>
      <c r="BB9" s="456">
        <f>AZ9+BA9*1</f>
        <v>0</v>
      </c>
      <c r="BC9" s="456"/>
      <c r="BD9" s="456"/>
      <c r="BE9" s="456"/>
      <c r="BF9" s="456"/>
      <c r="BG9" s="456">
        <f>BE9+BF9*1</f>
        <v>0</v>
      </c>
      <c r="BH9" s="456"/>
      <c r="BI9" s="456"/>
      <c r="BJ9" s="39">
        <f t="shared" ref="BJ9:BJ33" si="7">G9+L9+Q9+V9+AF9+AK9+AP9+AU9+AZ9</f>
        <v>60735.34</v>
      </c>
      <c r="BK9" s="39">
        <f t="shared" ref="BK9:BK33" si="8">H9+M9+R9+W9+AG9+AL9+AQ9+AV9+BA9</f>
        <v>2000</v>
      </c>
      <c r="BL9" s="210">
        <f>BJ9+BK9*1</f>
        <v>62735.34</v>
      </c>
      <c r="BM9" s="178">
        <f t="shared" si="3"/>
        <v>6.3545403399189104E-3</v>
      </c>
      <c r="BN9" s="42"/>
    </row>
    <row r="10" spans="1:66" s="2" customFormat="1" ht="14.4" customHeight="1" outlineLevel="2">
      <c r="A10" s="238"/>
      <c r="B10" s="31" t="s">
        <v>72</v>
      </c>
      <c r="C10" s="111"/>
      <c r="D10" s="112"/>
      <c r="E10" s="106">
        <f t="shared" si="4"/>
        <v>0</v>
      </c>
      <c r="F10" s="177">
        <f t="shared" si="0"/>
        <v>0</v>
      </c>
      <c r="G10" s="39">
        <v>14712.29</v>
      </c>
      <c r="H10" s="39">
        <v>0</v>
      </c>
      <c r="I10" s="210">
        <f t="shared" ref="I10:I33" si="9">G10+H10*1</f>
        <v>14712.29</v>
      </c>
      <c r="J10" s="178">
        <f t="shared" si="1"/>
        <v>1.5262126384518371E-3</v>
      </c>
      <c r="K10" s="42"/>
      <c r="L10" s="39"/>
      <c r="M10" s="39"/>
      <c r="N10" s="210">
        <f t="shared" ref="N10:N33" si="10">L10+M10*1</f>
        <v>0</v>
      </c>
      <c r="O10" s="178">
        <f t="shared" si="2"/>
        <v>0</v>
      </c>
      <c r="P10" s="42"/>
      <c r="Q10" s="39"/>
      <c r="R10" s="39"/>
      <c r="S10" s="210">
        <f t="shared" ref="S10:S33" si="11">Q10+R10*1</f>
        <v>0</v>
      </c>
      <c r="T10" s="178">
        <f t="shared" si="5"/>
        <v>0</v>
      </c>
      <c r="U10" s="42"/>
      <c r="V10" s="39"/>
      <c r="W10" s="39"/>
      <c r="X10" s="210">
        <f t="shared" ref="X10:X21" si="12">V10+W10*1</f>
        <v>0</v>
      </c>
      <c r="Y10" s="178">
        <f t="shared" si="6"/>
        <v>0</v>
      </c>
      <c r="Z10" s="42"/>
      <c r="AA10" s="39"/>
      <c r="AB10" s="39"/>
      <c r="AC10" s="210">
        <f t="shared" ref="AC10:AC21" si="13">AA10+AB10*1</f>
        <v>0</v>
      </c>
      <c r="AD10" s="178">
        <f t="shared" ref="AD10:AD21" si="14">AC10/$N$89</f>
        <v>0</v>
      </c>
      <c r="AE10" s="42"/>
      <c r="AF10" s="456"/>
      <c r="AG10" s="456"/>
      <c r="AH10" s="456">
        <f t="shared" ref="AH10:AH33" si="15">AF10+AG10*1</f>
        <v>0</v>
      </c>
      <c r="AI10" s="456"/>
      <c r="AJ10" s="456"/>
      <c r="AK10" s="456"/>
      <c r="AL10" s="456"/>
      <c r="AM10" s="456">
        <f t="shared" ref="AM10:AM21" si="16">AK10+AL10*1</f>
        <v>0</v>
      </c>
      <c r="AN10" s="456"/>
      <c r="AO10" s="456"/>
      <c r="AP10" s="456"/>
      <c r="AQ10" s="456"/>
      <c r="AR10" s="456">
        <f t="shared" ref="AR10:AR21" si="17">AP10+AQ10*1</f>
        <v>0</v>
      </c>
      <c r="AS10" s="456"/>
      <c r="AT10" s="456"/>
      <c r="AU10" s="456"/>
      <c r="AV10" s="456"/>
      <c r="AW10" s="456">
        <f t="shared" ref="AW10:AW21" si="18">AU10+AV10*1</f>
        <v>0</v>
      </c>
      <c r="AX10" s="456"/>
      <c r="AY10" s="456"/>
      <c r="AZ10" s="456"/>
      <c r="BA10" s="456"/>
      <c r="BB10" s="456">
        <f t="shared" ref="BB10:BB21" si="19">AZ10+BA10*1</f>
        <v>0</v>
      </c>
      <c r="BC10" s="456"/>
      <c r="BD10" s="456"/>
      <c r="BE10" s="456"/>
      <c r="BF10" s="456"/>
      <c r="BG10" s="456">
        <f t="shared" ref="BG10:BG21" si="20">BE10+BF10*1</f>
        <v>0</v>
      </c>
      <c r="BH10" s="456"/>
      <c r="BI10" s="456"/>
      <c r="BJ10" s="39">
        <f t="shared" si="7"/>
        <v>14712.29</v>
      </c>
      <c r="BK10" s="39">
        <f t="shared" si="8"/>
        <v>0</v>
      </c>
      <c r="BL10" s="210">
        <f t="shared" ref="BL10:BL33" si="21">BJ10+BK10*1</f>
        <v>14712.29</v>
      </c>
      <c r="BM10" s="178">
        <f t="shared" si="3"/>
        <v>1.4902260878411689E-3</v>
      </c>
      <c r="BN10" s="42"/>
    </row>
    <row r="11" spans="1:66" s="2" customFormat="1" ht="14.4" customHeight="1" outlineLevel="2">
      <c r="A11" s="238"/>
      <c r="B11" s="31" t="s">
        <v>69</v>
      </c>
      <c r="C11" s="111"/>
      <c r="D11" s="112"/>
      <c r="E11" s="106">
        <f t="shared" si="4"/>
        <v>0</v>
      </c>
      <c r="F11" s="177">
        <f t="shared" si="0"/>
        <v>0</v>
      </c>
      <c r="G11" s="39">
        <v>16598.48</v>
      </c>
      <c r="H11" s="39">
        <v>0</v>
      </c>
      <c r="I11" s="210">
        <f t="shared" si="9"/>
        <v>16598.48</v>
      </c>
      <c r="J11" s="178">
        <f t="shared" si="1"/>
        <v>1.721880819035653E-3</v>
      </c>
      <c r="K11" s="42"/>
      <c r="L11" s="39"/>
      <c r="M11" s="39"/>
      <c r="N11" s="210">
        <f t="shared" si="10"/>
        <v>0</v>
      </c>
      <c r="O11" s="178">
        <f t="shared" si="2"/>
        <v>0</v>
      </c>
      <c r="P11" s="42"/>
      <c r="Q11" s="39"/>
      <c r="R11" s="39"/>
      <c r="S11" s="210">
        <f t="shared" si="11"/>
        <v>0</v>
      </c>
      <c r="T11" s="178">
        <f t="shared" si="5"/>
        <v>0</v>
      </c>
      <c r="U11" s="42"/>
      <c r="V11" s="39"/>
      <c r="W11" s="39"/>
      <c r="X11" s="210">
        <f t="shared" si="12"/>
        <v>0</v>
      </c>
      <c r="Y11" s="178">
        <f t="shared" si="6"/>
        <v>0</v>
      </c>
      <c r="Z11" s="42"/>
      <c r="AA11" s="39"/>
      <c r="AB11" s="39"/>
      <c r="AC11" s="210">
        <f>AA11+AB11*1</f>
        <v>0</v>
      </c>
      <c r="AD11" s="178">
        <f t="shared" si="14"/>
        <v>0</v>
      </c>
      <c r="AE11" s="42"/>
      <c r="AF11" s="456"/>
      <c r="AG11" s="456"/>
      <c r="AH11" s="456">
        <f t="shared" si="15"/>
        <v>0</v>
      </c>
      <c r="AI11" s="456"/>
      <c r="AJ11" s="456"/>
      <c r="AK11" s="456"/>
      <c r="AL11" s="456"/>
      <c r="AM11" s="456">
        <f t="shared" si="16"/>
        <v>0</v>
      </c>
      <c r="AN11" s="456"/>
      <c r="AO11" s="456"/>
      <c r="AP11" s="456"/>
      <c r="AQ11" s="456"/>
      <c r="AR11" s="456">
        <f t="shared" si="17"/>
        <v>0</v>
      </c>
      <c r="AS11" s="456"/>
      <c r="AT11" s="456"/>
      <c r="AU11" s="456"/>
      <c r="AV11" s="456"/>
      <c r="AW11" s="456">
        <f t="shared" si="18"/>
        <v>0</v>
      </c>
      <c r="AX11" s="456"/>
      <c r="AY11" s="456"/>
      <c r="AZ11" s="456"/>
      <c r="BA11" s="456"/>
      <c r="BB11" s="456">
        <f t="shared" si="19"/>
        <v>0</v>
      </c>
      <c r="BC11" s="456"/>
      <c r="BD11" s="456"/>
      <c r="BE11" s="456"/>
      <c r="BF11" s="456"/>
      <c r="BG11" s="456">
        <f t="shared" si="20"/>
        <v>0</v>
      </c>
      <c r="BH11" s="456"/>
      <c r="BI11" s="456"/>
      <c r="BJ11" s="39">
        <f t="shared" si="7"/>
        <v>16598.48</v>
      </c>
      <c r="BK11" s="39">
        <f t="shared" si="8"/>
        <v>0</v>
      </c>
      <c r="BL11" s="210">
        <f t="shared" si="21"/>
        <v>16598.48</v>
      </c>
      <c r="BM11" s="178">
        <f t="shared" si="3"/>
        <v>1.6812806105990219E-3</v>
      </c>
      <c r="BN11" s="42"/>
    </row>
    <row r="12" spans="1:66" s="2" customFormat="1" ht="52.2" customHeight="1" outlineLevel="2">
      <c r="A12" s="238"/>
      <c r="B12" s="31" t="s">
        <v>73</v>
      </c>
      <c r="C12" s="111">
        <v>19320</v>
      </c>
      <c r="D12" s="112">
        <v>35282</v>
      </c>
      <c r="E12" s="106">
        <f t="shared" si="4"/>
        <v>54602</v>
      </c>
      <c r="F12" s="177">
        <f t="shared" si="0"/>
        <v>1.0349483611338143E-2</v>
      </c>
      <c r="G12" s="39">
        <v>82311.010000000009</v>
      </c>
      <c r="H12" s="39">
        <v>142825.79999999999</v>
      </c>
      <c r="I12" s="210">
        <f t="shared" si="9"/>
        <v>225136.81</v>
      </c>
      <c r="J12" s="178">
        <f t="shared" si="1"/>
        <v>2.3355075573056942E-2</v>
      </c>
      <c r="K12" s="42"/>
      <c r="L12" s="39"/>
      <c r="M12" s="39"/>
      <c r="N12" s="210">
        <f t="shared" si="10"/>
        <v>0</v>
      </c>
      <c r="O12" s="178">
        <f t="shared" si="2"/>
        <v>0</v>
      </c>
      <c r="P12" s="42"/>
      <c r="Q12" s="39"/>
      <c r="R12" s="39"/>
      <c r="S12" s="210">
        <f t="shared" si="11"/>
        <v>0</v>
      </c>
      <c r="T12" s="178">
        <f t="shared" si="5"/>
        <v>0</v>
      </c>
      <c r="U12" s="42"/>
      <c r="V12" s="39"/>
      <c r="W12" s="39"/>
      <c r="X12" s="210">
        <f t="shared" si="12"/>
        <v>0</v>
      </c>
      <c r="Y12" s="178">
        <f t="shared" si="6"/>
        <v>0</v>
      </c>
      <c r="Z12" s="42"/>
      <c r="AA12" s="39"/>
      <c r="AB12" s="39"/>
      <c r="AC12" s="210">
        <f t="shared" si="13"/>
        <v>0</v>
      </c>
      <c r="AD12" s="178">
        <f t="shared" si="14"/>
        <v>0</v>
      </c>
      <c r="AE12" s="42"/>
      <c r="AF12" s="456"/>
      <c r="AG12" s="456"/>
      <c r="AH12" s="456">
        <f t="shared" si="15"/>
        <v>0</v>
      </c>
      <c r="AI12" s="456"/>
      <c r="AJ12" s="456"/>
      <c r="AK12" s="456"/>
      <c r="AL12" s="456"/>
      <c r="AM12" s="456">
        <f t="shared" si="16"/>
        <v>0</v>
      </c>
      <c r="AN12" s="456"/>
      <c r="AO12" s="456"/>
      <c r="AP12" s="456"/>
      <c r="AQ12" s="456"/>
      <c r="AR12" s="456">
        <f t="shared" si="17"/>
        <v>0</v>
      </c>
      <c r="AS12" s="456"/>
      <c r="AT12" s="456"/>
      <c r="AU12" s="456"/>
      <c r="AV12" s="456"/>
      <c r="AW12" s="456">
        <f t="shared" si="18"/>
        <v>0</v>
      </c>
      <c r="AX12" s="456"/>
      <c r="AY12" s="456"/>
      <c r="AZ12" s="456"/>
      <c r="BA12" s="456"/>
      <c r="BB12" s="456">
        <f t="shared" si="19"/>
        <v>0</v>
      </c>
      <c r="BC12" s="456"/>
      <c r="BD12" s="456"/>
      <c r="BE12" s="456"/>
      <c r="BF12" s="456"/>
      <c r="BG12" s="456">
        <f t="shared" si="20"/>
        <v>0</v>
      </c>
      <c r="BH12" s="456"/>
      <c r="BI12" s="456"/>
      <c r="BJ12" s="39">
        <f t="shared" si="7"/>
        <v>82311.010000000009</v>
      </c>
      <c r="BK12" s="39">
        <f t="shared" si="8"/>
        <v>142825.79999999999</v>
      </c>
      <c r="BL12" s="210">
        <f t="shared" si="21"/>
        <v>225136.81</v>
      </c>
      <c r="BM12" s="178">
        <f t="shared" si="3"/>
        <v>2.2804386509193371E-2</v>
      </c>
      <c r="BN12" s="42"/>
    </row>
    <row r="13" spans="1:66" s="2" customFormat="1" ht="14.4" customHeight="1" outlineLevel="2">
      <c r="A13" s="238"/>
      <c r="B13" s="31" t="s">
        <v>71</v>
      </c>
      <c r="C13" s="111">
        <v>4680</v>
      </c>
      <c r="D13" s="112"/>
      <c r="E13" s="106">
        <f t="shared" si="4"/>
        <v>4680</v>
      </c>
      <c r="F13" s="177">
        <f t="shared" si="0"/>
        <v>8.8706610199374585E-4</v>
      </c>
      <c r="G13" s="39">
        <v>19938.621299999999</v>
      </c>
      <c r="H13" s="39">
        <v>0</v>
      </c>
      <c r="I13" s="210">
        <f t="shared" si="9"/>
        <v>19938.621299999999</v>
      </c>
      <c r="J13" s="178">
        <f t="shared" si="1"/>
        <v>2.0683779222245477E-3</v>
      </c>
      <c r="K13" s="42"/>
      <c r="L13" s="39"/>
      <c r="M13" s="39"/>
      <c r="N13" s="210">
        <f t="shared" si="10"/>
        <v>0</v>
      </c>
      <c r="O13" s="178">
        <f t="shared" si="2"/>
        <v>0</v>
      </c>
      <c r="P13" s="42"/>
      <c r="Q13" s="39"/>
      <c r="R13" s="39"/>
      <c r="S13" s="210">
        <f t="shared" si="11"/>
        <v>0</v>
      </c>
      <c r="T13" s="178">
        <f t="shared" si="5"/>
        <v>0</v>
      </c>
      <c r="U13" s="402"/>
      <c r="V13" s="39"/>
      <c r="W13" s="39"/>
      <c r="X13" s="210">
        <f t="shared" si="12"/>
        <v>0</v>
      </c>
      <c r="Y13" s="178">
        <f t="shared" si="6"/>
        <v>0</v>
      </c>
      <c r="Z13" s="402"/>
      <c r="AA13" s="39"/>
      <c r="AB13" s="39"/>
      <c r="AC13" s="210">
        <f t="shared" si="13"/>
        <v>0</v>
      </c>
      <c r="AD13" s="178">
        <f t="shared" si="14"/>
        <v>0</v>
      </c>
      <c r="AE13" s="402"/>
      <c r="AF13" s="465"/>
      <c r="AG13" s="465"/>
      <c r="AH13" s="465">
        <f t="shared" si="15"/>
        <v>0</v>
      </c>
      <c r="AI13" s="465"/>
      <c r="AJ13" s="465"/>
      <c r="AK13" s="465"/>
      <c r="AL13" s="465"/>
      <c r="AM13" s="465">
        <f t="shared" si="16"/>
        <v>0</v>
      </c>
      <c r="AN13" s="465"/>
      <c r="AO13" s="465"/>
      <c r="AP13" s="465"/>
      <c r="AQ13" s="465"/>
      <c r="AR13" s="465">
        <f t="shared" si="17"/>
        <v>0</v>
      </c>
      <c r="AS13" s="465"/>
      <c r="AT13" s="465"/>
      <c r="AU13" s="465"/>
      <c r="AV13" s="465"/>
      <c r="AW13" s="465">
        <f t="shared" si="18"/>
        <v>0</v>
      </c>
      <c r="AX13" s="465"/>
      <c r="AY13" s="465"/>
      <c r="AZ13" s="465"/>
      <c r="BA13" s="465"/>
      <c r="BB13" s="465">
        <f t="shared" si="19"/>
        <v>0</v>
      </c>
      <c r="BC13" s="465"/>
      <c r="BD13" s="465"/>
      <c r="BE13" s="465"/>
      <c r="BF13" s="465"/>
      <c r="BG13" s="465">
        <f t="shared" si="20"/>
        <v>0</v>
      </c>
      <c r="BH13" s="465"/>
      <c r="BI13" s="465"/>
      <c r="BJ13" s="39">
        <f t="shared" si="7"/>
        <v>19938.621299999999</v>
      </c>
      <c r="BK13" s="39">
        <f t="shared" si="8"/>
        <v>0</v>
      </c>
      <c r="BL13" s="210">
        <f t="shared" si="21"/>
        <v>19938.621299999999</v>
      </c>
      <c r="BM13" s="178">
        <f t="shared" si="3"/>
        <v>2.0196076624947983E-3</v>
      </c>
      <c r="BN13" s="42"/>
    </row>
    <row r="14" spans="1:66" s="2" customFormat="1" ht="14.4" customHeight="1" outlineLevel="2">
      <c r="A14" s="238"/>
      <c r="B14" s="31" t="s">
        <v>70</v>
      </c>
      <c r="C14" s="111">
        <v>5280</v>
      </c>
      <c r="D14" s="112"/>
      <c r="E14" s="106">
        <f t="shared" si="4"/>
        <v>5280</v>
      </c>
      <c r="F14" s="177">
        <f t="shared" si="0"/>
        <v>1.0007925253262774E-3</v>
      </c>
      <c r="G14" s="39">
        <v>22494.854800000001</v>
      </c>
      <c r="H14" s="39">
        <v>0</v>
      </c>
      <c r="I14" s="210">
        <f t="shared" si="9"/>
        <v>22494.854800000001</v>
      </c>
      <c r="J14" s="178">
        <f t="shared" si="1"/>
        <v>2.3335545789200029E-3</v>
      </c>
      <c r="K14" s="42"/>
      <c r="L14" s="39"/>
      <c r="M14" s="39"/>
      <c r="N14" s="210">
        <f t="shared" si="10"/>
        <v>0</v>
      </c>
      <c r="O14" s="178">
        <f t="shared" si="2"/>
        <v>0</v>
      </c>
      <c r="P14" s="42"/>
      <c r="Q14" s="39"/>
      <c r="R14" s="39"/>
      <c r="S14" s="210">
        <f t="shared" si="11"/>
        <v>0</v>
      </c>
      <c r="T14" s="178">
        <f t="shared" si="5"/>
        <v>0</v>
      </c>
      <c r="U14" s="402"/>
      <c r="V14" s="39"/>
      <c r="W14" s="39"/>
      <c r="X14" s="210">
        <f t="shared" si="12"/>
        <v>0</v>
      </c>
      <c r="Y14" s="178">
        <f t="shared" si="6"/>
        <v>0</v>
      </c>
      <c r="Z14" s="402"/>
      <c r="AA14" s="39"/>
      <c r="AB14" s="39"/>
      <c r="AC14" s="210">
        <f t="shared" si="13"/>
        <v>0</v>
      </c>
      <c r="AD14" s="178">
        <f t="shared" si="14"/>
        <v>0</v>
      </c>
      <c r="AE14" s="402"/>
      <c r="AF14" s="465"/>
      <c r="AG14" s="465"/>
      <c r="AH14" s="465">
        <f t="shared" si="15"/>
        <v>0</v>
      </c>
      <c r="AI14" s="465"/>
      <c r="AJ14" s="465"/>
      <c r="AK14" s="465"/>
      <c r="AL14" s="465"/>
      <c r="AM14" s="465">
        <f t="shared" si="16"/>
        <v>0</v>
      </c>
      <c r="AN14" s="465"/>
      <c r="AO14" s="465"/>
      <c r="AP14" s="465"/>
      <c r="AQ14" s="465"/>
      <c r="AR14" s="465">
        <f t="shared" si="17"/>
        <v>0</v>
      </c>
      <c r="AS14" s="465"/>
      <c r="AT14" s="465"/>
      <c r="AU14" s="465"/>
      <c r="AV14" s="465"/>
      <c r="AW14" s="465">
        <f t="shared" si="18"/>
        <v>0</v>
      </c>
      <c r="AX14" s="465"/>
      <c r="AY14" s="465"/>
      <c r="AZ14" s="465"/>
      <c r="BA14" s="465"/>
      <c r="BB14" s="465">
        <f t="shared" si="19"/>
        <v>0</v>
      </c>
      <c r="BC14" s="465"/>
      <c r="BD14" s="465"/>
      <c r="BE14" s="465"/>
      <c r="BF14" s="465"/>
      <c r="BG14" s="465">
        <f t="shared" si="20"/>
        <v>0</v>
      </c>
      <c r="BH14" s="465"/>
      <c r="BI14" s="465"/>
      <c r="BJ14" s="39">
        <f t="shared" si="7"/>
        <v>22494.854800000001</v>
      </c>
      <c r="BK14" s="39">
        <f t="shared" si="8"/>
        <v>0</v>
      </c>
      <c r="BL14" s="210">
        <f t="shared" si="21"/>
        <v>22494.854800000001</v>
      </c>
      <c r="BM14" s="178">
        <f t="shared" si="3"/>
        <v>2.2785317217890034E-3</v>
      </c>
      <c r="BN14" s="42"/>
    </row>
    <row r="15" spans="1:66" s="2" customFormat="1" ht="14.4" customHeight="1" outlineLevel="2">
      <c r="A15" s="238"/>
      <c r="B15" s="7" t="s">
        <v>20</v>
      </c>
      <c r="C15" s="111"/>
      <c r="D15" s="113">
        <v>23000</v>
      </c>
      <c r="E15" s="106">
        <f t="shared" si="4"/>
        <v>23000</v>
      </c>
      <c r="F15" s="177">
        <f t="shared" si="0"/>
        <v>4.3595128944137083E-3</v>
      </c>
      <c r="G15" s="39">
        <v>0</v>
      </c>
      <c r="H15" s="39">
        <v>0</v>
      </c>
      <c r="I15" s="210">
        <f t="shared" si="9"/>
        <v>0</v>
      </c>
      <c r="J15" s="178">
        <f t="shared" si="1"/>
        <v>0</v>
      </c>
      <c r="K15" s="42"/>
      <c r="L15" s="39"/>
      <c r="M15" s="39"/>
      <c r="N15" s="210">
        <f t="shared" si="10"/>
        <v>0</v>
      </c>
      <c r="O15" s="178">
        <f t="shared" si="2"/>
        <v>0</v>
      </c>
      <c r="P15" s="42"/>
      <c r="Q15" s="39"/>
      <c r="R15" s="39"/>
      <c r="S15" s="210">
        <f t="shared" si="11"/>
        <v>0</v>
      </c>
      <c r="T15" s="178">
        <f t="shared" si="5"/>
        <v>0</v>
      </c>
      <c r="U15" s="402"/>
      <c r="V15" s="39"/>
      <c r="W15" s="39"/>
      <c r="X15" s="210">
        <f t="shared" si="12"/>
        <v>0</v>
      </c>
      <c r="Y15" s="178">
        <f t="shared" si="6"/>
        <v>0</v>
      </c>
      <c r="Z15" s="402"/>
      <c r="AA15" s="39"/>
      <c r="AB15" s="39"/>
      <c r="AC15" s="210">
        <f t="shared" si="13"/>
        <v>0</v>
      </c>
      <c r="AD15" s="178">
        <f t="shared" si="14"/>
        <v>0</v>
      </c>
      <c r="AE15" s="402"/>
      <c r="AF15" s="465"/>
      <c r="AG15" s="465"/>
      <c r="AH15" s="465">
        <f t="shared" si="15"/>
        <v>0</v>
      </c>
      <c r="AI15" s="465"/>
      <c r="AJ15" s="465"/>
      <c r="AK15" s="465"/>
      <c r="AL15" s="465"/>
      <c r="AM15" s="465">
        <f t="shared" si="16"/>
        <v>0</v>
      </c>
      <c r="AN15" s="465"/>
      <c r="AO15" s="465"/>
      <c r="AP15" s="465"/>
      <c r="AQ15" s="465"/>
      <c r="AR15" s="465">
        <f t="shared" si="17"/>
        <v>0</v>
      </c>
      <c r="AS15" s="465"/>
      <c r="AT15" s="465"/>
      <c r="AU15" s="465"/>
      <c r="AV15" s="465"/>
      <c r="AW15" s="465">
        <f t="shared" si="18"/>
        <v>0</v>
      </c>
      <c r="AX15" s="465"/>
      <c r="AY15" s="465"/>
      <c r="AZ15" s="465"/>
      <c r="BA15" s="465"/>
      <c r="BB15" s="465">
        <f t="shared" si="19"/>
        <v>0</v>
      </c>
      <c r="BC15" s="465"/>
      <c r="BD15" s="465"/>
      <c r="BE15" s="465"/>
      <c r="BF15" s="465"/>
      <c r="BG15" s="465">
        <f t="shared" si="20"/>
        <v>0</v>
      </c>
      <c r="BH15" s="465"/>
      <c r="BI15" s="465"/>
      <c r="BJ15" s="39">
        <f t="shared" si="7"/>
        <v>0</v>
      </c>
      <c r="BK15" s="39">
        <f t="shared" si="8"/>
        <v>0</v>
      </c>
      <c r="BL15" s="210">
        <f t="shared" si="21"/>
        <v>0</v>
      </c>
      <c r="BM15" s="178">
        <f t="shared" si="3"/>
        <v>0</v>
      </c>
      <c r="BN15" s="42"/>
    </row>
    <row r="16" spans="1:66" s="2" customFormat="1" ht="41.4" customHeight="1" outlineLevel="2">
      <c r="A16" s="292"/>
      <c r="B16" s="7" t="s">
        <v>21</v>
      </c>
      <c r="C16" s="111"/>
      <c r="D16" s="113">
        <v>663064</v>
      </c>
      <c r="E16" s="106">
        <f t="shared" si="4"/>
        <v>663064</v>
      </c>
      <c r="F16" s="177">
        <f t="shared" si="0"/>
        <v>0.12567982860093613</v>
      </c>
      <c r="G16" s="39">
        <v>0</v>
      </c>
      <c r="H16" s="39">
        <v>1146022.92</v>
      </c>
      <c r="I16" s="210">
        <f t="shared" si="9"/>
        <v>1146022.92</v>
      </c>
      <c r="J16" s="178">
        <f t="shared" si="1"/>
        <v>0.11888527649057205</v>
      </c>
      <c r="K16" s="42"/>
      <c r="L16" s="39"/>
      <c r="M16" s="39"/>
      <c r="N16" s="210">
        <f t="shared" si="10"/>
        <v>0</v>
      </c>
      <c r="O16" s="178">
        <f t="shared" si="2"/>
        <v>0</v>
      </c>
      <c r="P16" s="42"/>
      <c r="Q16" s="39"/>
      <c r="R16" s="39"/>
      <c r="S16" s="210">
        <f t="shared" si="11"/>
        <v>0</v>
      </c>
      <c r="T16" s="178">
        <f t="shared" si="5"/>
        <v>0</v>
      </c>
      <c r="U16" s="402"/>
      <c r="V16" s="39"/>
      <c r="W16" s="39"/>
      <c r="X16" s="210">
        <f t="shared" si="12"/>
        <v>0</v>
      </c>
      <c r="Y16" s="178">
        <f t="shared" si="6"/>
        <v>0</v>
      </c>
      <c r="Z16" s="402"/>
      <c r="AA16" s="39"/>
      <c r="AB16" s="39"/>
      <c r="AC16" s="210">
        <f t="shared" si="13"/>
        <v>0</v>
      </c>
      <c r="AD16" s="178">
        <f t="shared" si="14"/>
        <v>0</v>
      </c>
      <c r="AE16" s="402"/>
      <c r="AF16" s="465"/>
      <c r="AG16" s="465"/>
      <c r="AH16" s="465">
        <f t="shared" si="15"/>
        <v>0</v>
      </c>
      <c r="AI16" s="465"/>
      <c r="AJ16" s="465"/>
      <c r="AK16" s="465"/>
      <c r="AL16" s="465"/>
      <c r="AM16" s="465">
        <f t="shared" si="16"/>
        <v>0</v>
      </c>
      <c r="AN16" s="465"/>
      <c r="AO16" s="465"/>
      <c r="AP16" s="465"/>
      <c r="AQ16" s="465"/>
      <c r="AR16" s="465">
        <f t="shared" si="17"/>
        <v>0</v>
      </c>
      <c r="AS16" s="465"/>
      <c r="AT16" s="465"/>
      <c r="AU16" s="465"/>
      <c r="AV16" s="465"/>
      <c r="AW16" s="465">
        <f t="shared" si="18"/>
        <v>0</v>
      </c>
      <c r="AX16" s="465"/>
      <c r="AY16" s="465"/>
      <c r="AZ16" s="465"/>
      <c r="BA16" s="465"/>
      <c r="BB16" s="465">
        <f t="shared" si="19"/>
        <v>0</v>
      </c>
      <c r="BC16" s="465"/>
      <c r="BD16" s="465"/>
      <c r="BE16" s="465"/>
      <c r="BF16" s="465"/>
      <c r="BG16" s="465">
        <f t="shared" si="20"/>
        <v>0</v>
      </c>
      <c r="BH16" s="465"/>
      <c r="BI16" s="465"/>
      <c r="BJ16" s="39">
        <f t="shared" si="7"/>
        <v>0</v>
      </c>
      <c r="BK16" s="39">
        <f t="shared" si="8"/>
        <v>1146022.92</v>
      </c>
      <c r="BL16" s="210">
        <f t="shared" si="21"/>
        <v>1146022.92</v>
      </c>
      <c r="BM16" s="178">
        <f t="shared" si="3"/>
        <v>0.11608208189533463</v>
      </c>
      <c r="BN16" s="42"/>
    </row>
    <row r="17" spans="1:66" s="2" customFormat="1" ht="84" customHeight="1" outlineLevel="2">
      <c r="A17" s="238"/>
      <c r="B17" s="7" t="s">
        <v>22</v>
      </c>
      <c r="C17" s="111"/>
      <c r="D17" s="113"/>
      <c r="E17" s="106">
        <f t="shared" si="4"/>
        <v>0</v>
      </c>
      <c r="F17" s="177">
        <f t="shared" si="0"/>
        <v>0</v>
      </c>
      <c r="G17" s="39">
        <v>0</v>
      </c>
      <c r="H17" s="39">
        <v>3800</v>
      </c>
      <c r="I17" s="210">
        <f t="shared" si="9"/>
        <v>3800</v>
      </c>
      <c r="J17" s="178">
        <f t="shared" si="1"/>
        <v>3.9420158426166016E-4</v>
      </c>
      <c r="K17" s="42"/>
      <c r="L17" s="39"/>
      <c r="M17" s="39">
        <v>28000</v>
      </c>
      <c r="N17" s="210">
        <f t="shared" si="10"/>
        <v>28000</v>
      </c>
      <c r="O17" s="178">
        <f t="shared" si="2"/>
        <v>0.34063741474190545</v>
      </c>
      <c r="P17" s="42" t="s">
        <v>515</v>
      </c>
      <c r="Q17" s="39"/>
      <c r="R17" s="39"/>
      <c r="S17" s="210">
        <f t="shared" si="11"/>
        <v>0</v>
      </c>
      <c r="T17" s="178">
        <f t="shared" si="5"/>
        <v>0</v>
      </c>
      <c r="U17" s="402"/>
      <c r="V17" s="39"/>
      <c r="W17" s="39"/>
      <c r="X17" s="210">
        <f t="shared" si="12"/>
        <v>0</v>
      </c>
      <c r="Y17" s="178">
        <f t="shared" si="6"/>
        <v>0</v>
      </c>
      <c r="Z17" s="402"/>
      <c r="AA17" s="39"/>
      <c r="AB17" s="39"/>
      <c r="AC17" s="210">
        <f t="shared" si="13"/>
        <v>0</v>
      </c>
      <c r="AD17" s="178">
        <f t="shared" si="14"/>
        <v>0</v>
      </c>
      <c r="AE17" s="402"/>
      <c r="AF17" s="465"/>
      <c r="AG17" s="465"/>
      <c r="AH17" s="465">
        <f t="shared" si="15"/>
        <v>0</v>
      </c>
      <c r="AI17" s="465"/>
      <c r="AJ17" s="465"/>
      <c r="AK17" s="465"/>
      <c r="AL17" s="465"/>
      <c r="AM17" s="465">
        <f t="shared" si="16"/>
        <v>0</v>
      </c>
      <c r="AN17" s="465"/>
      <c r="AO17" s="465"/>
      <c r="AP17" s="465"/>
      <c r="AQ17" s="465"/>
      <c r="AR17" s="465">
        <f t="shared" si="17"/>
        <v>0</v>
      </c>
      <c r="AS17" s="465"/>
      <c r="AT17" s="465"/>
      <c r="AU17" s="465"/>
      <c r="AV17" s="465"/>
      <c r="AW17" s="465">
        <f t="shared" si="18"/>
        <v>0</v>
      </c>
      <c r="AX17" s="465"/>
      <c r="AY17" s="465"/>
      <c r="AZ17" s="465"/>
      <c r="BA17" s="465"/>
      <c r="BB17" s="465">
        <f t="shared" si="19"/>
        <v>0</v>
      </c>
      <c r="BC17" s="465"/>
      <c r="BD17" s="465"/>
      <c r="BE17" s="465"/>
      <c r="BF17" s="465"/>
      <c r="BG17" s="465">
        <f t="shared" si="20"/>
        <v>0</v>
      </c>
      <c r="BH17" s="465"/>
      <c r="BI17" s="465"/>
      <c r="BJ17" s="39">
        <f t="shared" si="7"/>
        <v>0</v>
      </c>
      <c r="BK17" s="39">
        <f t="shared" si="8"/>
        <v>31800</v>
      </c>
      <c r="BL17" s="210">
        <f t="shared" si="21"/>
        <v>31800</v>
      </c>
      <c r="BM17" s="178">
        <f t="shared" si="3"/>
        <v>3.221061411469538E-3</v>
      </c>
      <c r="BN17" s="42"/>
    </row>
    <row r="18" spans="1:66" s="2" customFormat="1" ht="93.6" customHeight="1" outlineLevel="2">
      <c r="A18" s="238"/>
      <c r="B18" s="7" t="s">
        <v>0</v>
      </c>
      <c r="C18" s="111">
        <v>105129</v>
      </c>
      <c r="D18" s="113"/>
      <c r="E18" s="106">
        <f t="shared" si="4"/>
        <v>105129</v>
      </c>
      <c r="F18" s="177">
        <f t="shared" si="0"/>
        <v>1.992657526420951E-2</v>
      </c>
      <c r="G18" s="39">
        <v>119606.65</v>
      </c>
      <c r="H18" s="39">
        <v>20000</v>
      </c>
      <c r="I18" s="210">
        <f t="shared" si="9"/>
        <v>139606.65</v>
      </c>
      <c r="J18" s="178">
        <f t="shared" si="1"/>
        <v>1.4482411211437658E-2</v>
      </c>
      <c r="K18" s="42"/>
      <c r="L18" s="39"/>
      <c r="M18" s="39"/>
      <c r="N18" s="210">
        <f t="shared" si="10"/>
        <v>0</v>
      </c>
      <c r="O18" s="178">
        <f t="shared" si="2"/>
        <v>0</v>
      </c>
      <c r="P18" s="42"/>
      <c r="Q18" s="39"/>
      <c r="R18" s="39"/>
      <c r="S18" s="210">
        <f t="shared" si="11"/>
        <v>0</v>
      </c>
      <c r="T18" s="178">
        <f t="shared" si="5"/>
        <v>0</v>
      </c>
      <c r="U18" s="402"/>
      <c r="V18" s="39"/>
      <c r="W18" s="39"/>
      <c r="X18" s="210">
        <f t="shared" si="12"/>
        <v>0</v>
      </c>
      <c r="Y18" s="178">
        <f t="shared" si="6"/>
        <v>0</v>
      </c>
      <c r="Z18" s="402"/>
      <c r="AA18" s="39"/>
      <c r="AB18" s="39"/>
      <c r="AC18" s="210">
        <f t="shared" si="13"/>
        <v>0</v>
      </c>
      <c r="AD18" s="178">
        <f t="shared" si="14"/>
        <v>0</v>
      </c>
      <c r="AE18" s="402"/>
      <c r="AF18" s="465"/>
      <c r="AG18" s="465"/>
      <c r="AH18" s="465">
        <f t="shared" si="15"/>
        <v>0</v>
      </c>
      <c r="AI18" s="465"/>
      <c r="AJ18" s="465"/>
      <c r="AK18" s="465"/>
      <c r="AL18" s="465"/>
      <c r="AM18" s="465">
        <f t="shared" si="16"/>
        <v>0</v>
      </c>
      <c r="AN18" s="465"/>
      <c r="AO18" s="465"/>
      <c r="AP18" s="465"/>
      <c r="AQ18" s="465"/>
      <c r="AR18" s="465">
        <f t="shared" si="17"/>
        <v>0</v>
      </c>
      <c r="AS18" s="465"/>
      <c r="AT18" s="465"/>
      <c r="AU18" s="465"/>
      <c r="AV18" s="465"/>
      <c r="AW18" s="465">
        <f t="shared" si="18"/>
        <v>0</v>
      </c>
      <c r="AX18" s="465"/>
      <c r="AY18" s="465"/>
      <c r="AZ18" s="465"/>
      <c r="BA18" s="465"/>
      <c r="BB18" s="465">
        <f t="shared" si="19"/>
        <v>0</v>
      </c>
      <c r="BC18" s="465"/>
      <c r="BD18" s="465"/>
      <c r="BE18" s="465"/>
      <c r="BF18" s="465"/>
      <c r="BG18" s="465">
        <f t="shared" si="20"/>
        <v>0</v>
      </c>
      <c r="BH18" s="465"/>
      <c r="BI18" s="465"/>
      <c r="BJ18" s="39">
        <f t="shared" si="7"/>
        <v>119606.65</v>
      </c>
      <c r="BK18" s="39">
        <f t="shared" si="8"/>
        <v>20000</v>
      </c>
      <c r="BL18" s="210">
        <f t="shared" si="21"/>
        <v>139606.65</v>
      </c>
      <c r="BM18" s="178">
        <f t="shared" si="3"/>
        <v>1.414093060061427E-2</v>
      </c>
      <c r="BN18" s="42"/>
    </row>
    <row r="19" spans="1:66" s="2" customFormat="1" ht="58.2" customHeight="1" outlineLevel="2">
      <c r="A19" s="238"/>
      <c r="B19" s="7" t="s">
        <v>53</v>
      </c>
      <c r="C19" s="114"/>
      <c r="D19" s="113"/>
      <c r="E19" s="106">
        <f t="shared" si="4"/>
        <v>0</v>
      </c>
      <c r="F19" s="177">
        <f t="shared" si="0"/>
        <v>0</v>
      </c>
      <c r="G19" s="39">
        <v>96680</v>
      </c>
      <c r="H19" s="39">
        <v>1600</v>
      </c>
      <c r="I19" s="210">
        <f t="shared" si="9"/>
        <v>98280</v>
      </c>
      <c r="J19" s="178">
        <f t="shared" si="1"/>
        <v>1.0195297816114727E-2</v>
      </c>
      <c r="K19" s="42"/>
      <c r="L19" s="39"/>
      <c r="M19" s="39"/>
      <c r="N19" s="210">
        <f t="shared" si="10"/>
        <v>0</v>
      </c>
      <c r="O19" s="178">
        <f t="shared" si="2"/>
        <v>0</v>
      </c>
      <c r="P19" s="42"/>
      <c r="Q19" s="39"/>
      <c r="R19" s="39"/>
      <c r="S19" s="210">
        <f t="shared" si="11"/>
        <v>0</v>
      </c>
      <c r="T19" s="178">
        <f t="shared" si="5"/>
        <v>0</v>
      </c>
      <c r="U19" s="402"/>
      <c r="V19" s="39"/>
      <c r="W19" s="39"/>
      <c r="X19" s="210">
        <f t="shared" si="12"/>
        <v>0</v>
      </c>
      <c r="Y19" s="178">
        <f t="shared" si="6"/>
        <v>0</v>
      </c>
      <c r="Z19" s="402"/>
      <c r="AA19" s="39"/>
      <c r="AB19" s="39"/>
      <c r="AC19" s="210">
        <f t="shared" si="13"/>
        <v>0</v>
      </c>
      <c r="AD19" s="178">
        <f t="shared" si="14"/>
        <v>0</v>
      </c>
      <c r="AE19" s="402"/>
      <c r="AF19" s="465"/>
      <c r="AG19" s="465"/>
      <c r="AH19" s="465">
        <f t="shared" si="15"/>
        <v>0</v>
      </c>
      <c r="AI19" s="465"/>
      <c r="AJ19" s="465"/>
      <c r="AK19" s="465"/>
      <c r="AL19" s="465"/>
      <c r="AM19" s="465">
        <f t="shared" si="16"/>
        <v>0</v>
      </c>
      <c r="AN19" s="465"/>
      <c r="AO19" s="465"/>
      <c r="AP19" s="465"/>
      <c r="AQ19" s="465"/>
      <c r="AR19" s="465">
        <f t="shared" si="17"/>
        <v>0</v>
      </c>
      <c r="AS19" s="465"/>
      <c r="AT19" s="465"/>
      <c r="AU19" s="465"/>
      <c r="AV19" s="465"/>
      <c r="AW19" s="465">
        <f t="shared" si="18"/>
        <v>0</v>
      </c>
      <c r="AX19" s="465"/>
      <c r="AY19" s="465"/>
      <c r="AZ19" s="465"/>
      <c r="BA19" s="465"/>
      <c r="BB19" s="465">
        <f t="shared" si="19"/>
        <v>0</v>
      </c>
      <c r="BC19" s="465"/>
      <c r="BD19" s="465"/>
      <c r="BE19" s="465"/>
      <c r="BF19" s="465"/>
      <c r="BG19" s="465">
        <f t="shared" si="20"/>
        <v>0</v>
      </c>
      <c r="BH19" s="465"/>
      <c r="BI19" s="465"/>
      <c r="BJ19" s="39">
        <f t="shared" si="7"/>
        <v>96680</v>
      </c>
      <c r="BK19" s="39">
        <f t="shared" si="8"/>
        <v>1600</v>
      </c>
      <c r="BL19" s="210">
        <f t="shared" si="21"/>
        <v>98280</v>
      </c>
      <c r="BM19" s="178">
        <f t="shared" si="3"/>
        <v>9.954903003749252E-3</v>
      </c>
      <c r="BN19" s="42"/>
    </row>
    <row r="20" spans="1:66" s="2" customFormat="1" ht="35.4" customHeight="1" outlineLevel="2">
      <c r="A20" s="238"/>
      <c r="B20" s="7" t="s">
        <v>57</v>
      </c>
      <c r="C20" s="114">
        <v>149120</v>
      </c>
      <c r="D20" s="113"/>
      <c r="E20" s="106">
        <f t="shared" si="4"/>
        <v>149120</v>
      </c>
      <c r="F20" s="177">
        <f t="shared" si="0"/>
        <v>2.8264807078911835E-2</v>
      </c>
      <c r="G20" s="39">
        <v>320123.12799999997</v>
      </c>
      <c r="H20" s="39">
        <v>0</v>
      </c>
      <c r="I20" s="210">
        <f t="shared" si="9"/>
        <v>320123.12799999997</v>
      </c>
      <c r="J20" s="178">
        <f t="shared" si="1"/>
        <v>3.3208695846420583E-2</v>
      </c>
      <c r="K20" s="42"/>
      <c r="L20" s="39">
        <v>44.27</v>
      </c>
      <c r="M20" s="39"/>
      <c r="N20" s="210">
        <f t="shared" si="10"/>
        <v>44.27</v>
      </c>
      <c r="O20" s="178">
        <f t="shared" si="2"/>
        <v>5.3857208395086272E-4</v>
      </c>
      <c r="P20" s="42" t="s">
        <v>530</v>
      </c>
      <c r="Q20" s="39"/>
      <c r="R20" s="39"/>
      <c r="S20" s="210">
        <f t="shared" si="11"/>
        <v>0</v>
      </c>
      <c r="T20" s="178">
        <f t="shared" si="5"/>
        <v>0</v>
      </c>
      <c r="U20" s="402"/>
      <c r="V20" s="39"/>
      <c r="W20" s="39"/>
      <c r="X20" s="210">
        <f t="shared" si="12"/>
        <v>0</v>
      </c>
      <c r="Y20" s="178">
        <f t="shared" si="6"/>
        <v>0</v>
      </c>
      <c r="Z20" s="402"/>
      <c r="AA20" s="39"/>
      <c r="AB20" s="39"/>
      <c r="AC20" s="210">
        <f t="shared" si="13"/>
        <v>0</v>
      </c>
      <c r="AD20" s="178">
        <f t="shared" si="14"/>
        <v>0</v>
      </c>
      <c r="AE20" s="402"/>
      <c r="AF20" s="465"/>
      <c r="AG20" s="465"/>
      <c r="AH20" s="465">
        <f t="shared" si="15"/>
        <v>0</v>
      </c>
      <c r="AI20" s="465"/>
      <c r="AJ20" s="465"/>
      <c r="AK20" s="465"/>
      <c r="AL20" s="465"/>
      <c r="AM20" s="465">
        <f t="shared" si="16"/>
        <v>0</v>
      </c>
      <c r="AN20" s="465"/>
      <c r="AO20" s="465"/>
      <c r="AP20" s="465"/>
      <c r="AQ20" s="465"/>
      <c r="AR20" s="465">
        <f t="shared" si="17"/>
        <v>0</v>
      </c>
      <c r="AS20" s="465"/>
      <c r="AT20" s="465"/>
      <c r="AU20" s="465"/>
      <c r="AV20" s="465"/>
      <c r="AW20" s="465">
        <f t="shared" si="18"/>
        <v>0</v>
      </c>
      <c r="AX20" s="465"/>
      <c r="AY20" s="465"/>
      <c r="AZ20" s="465"/>
      <c r="BA20" s="465"/>
      <c r="BB20" s="465">
        <f t="shared" si="19"/>
        <v>0</v>
      </c>
      <c r="BC20" s="465"/>
      <c r="BD20" s="465"/>
      <c r="BE20" s="465"/>
      <c r="BF20" s="465"/>
      <c r="BG20" s="465">
        <f t="shared" si="20"/>
        <v>0</v>
      </c>
      <c r="BH20" s="465"/>
      <c r="BI20" s="465"/>
      <c r="BJ20" s="39">
        <f t="shared" si="7"/>
        <v>320167.39799999999</v>
      </c>
      <c r="BK20" s="39">
        <f t="shared" si="8"/>
        <v>0</v>
      </c>
      <c r="BL20" s="210">
        <f t="shared" si="21"/>
        <v>320167.39799999999</v>
      </c>
      <c r="BM20" s="178">
        <f t="shared" si="3"/>
        <v>3.2430152544289603E-2</v>
      </c>
      <c r="BN20" s="42"/>
    </row>
    <row r="21" spans="1:66" s="2" customFormat="1" ht="211.2" customHeight="1" outlineLevel="2">
      <c r="A21" s="238"/>
      <c r="B21" s="7" t="s">
        <v>58</v>
      </c>
      <c r="C21" s="114">
        <v>842772</v>
      </c>
      <c r="D21" s="113"/>
      <c r="E21" s="106">
        <f t="shared" si="4"/>
        <v>842772</v>
      </c>
      <c r="F21" s="177">
        <f t="shared" si="0"/>
        <v>0.15974240874134041</v>
      </c>
      <c r="G21" s="39">
        <v>1594999.0980000002</v>
      </c>
      <c r="H21" s="39">
        <v>2050</v>
      </c>
      <c r="I21" s="210">
        <f t="shared" si="9"/>
        <v>1597049.0980000002</v>
      </c>
      <c r="J21" s="178">
        <f t="shared" si="1"/>
        <v>0.1656734959408567</v>
      </c>
      <c r="K21" s="42"/>
      <c r="L21" s="39">
        <v>21975</v>
      </c>
      <c r="M21" s="39">
        <f>1400</f>
        <v>1400</v>
      </c>
      <c r="N21" s="210">
        <f t="shared" si="10"/>
        <v>23375</v>
      </c>
      <c r="O21" s="178">
        <f t="shared" si="2"/>
        <v>0.28437141319971571</v>
      </c>
      <c r="P21" s="388" t="s">
        <v>539</v>
      </c>
      <c r="Q21" s="39"/>
      <c r="R21" s="39"/>
      <c r="S21" s="210">
        <f t="shared" si="11"/>
        <v>0</v>
      </c>
      <c r="T21" s="178">
        <f t="shared" si="5"/>
        <v>0</v>
      </c>
      <c r="U21" s="440"/>
      <c r="V21" s="39"/>
      <c r="W21" s="39"/>
      <c r="X21" s="210">
        <f t="shared" si="12"/>
        <v>0</v>
      </c>
      <c r="Y21" s="178">
        <f t="shared" si="6"/>
        <v>0</v>
      </c>
      <c r="Z21" s="440"/>
      <c r="AA21" s="39"/>
      <c r="AB21" s="39"/>
      <c r="AC21" s="210">
        <f t="shared" si="13"/>
        <v>0</v>
      </c>
      <c r="AD21" s="178">
        <f t="shared" si="14"/>
        <v>0</v>
      </c>
      <c r="AE21" s="440"/>
      <c r="AF21" s="459"/>
      <c r="AG21" s="459"/>
      <c r="AH21" s="459">
        <f t="shared" si="15"/>
        <v>0</v>
      </c>
      <c r="AI21" s="459"/>
      <c r="AJ21" s="459"/>
      <c r="AK21" s="459"/>
      <c r="AL21" s="459"/>
      <c r="AM21" s="459">
        <f t="shared" si="16"/>
        <v>0</v>
      </c>
      <c r="AN21" s="459"/>
      <c r="AO21" s="459"/>
      <c r="AP21" s="459"/>
      <c r="AQ21" s="459"/>
      <c r="AR21" s="459">
        <f t="shared" si="17"/>
        <v>0</v>
      </c>
      <c r="AS21" s="459"/>
      <c r="AT21" s="459"/>
      <c r="AU21" s="459"/>
      <c r="AV21" s="459"/>
      <c r="AW21" s="459">
        <f t="shared" si="18"/>
        <v>0</v>
      </c>
      <c r="AX21" s="459"/>
      <c r="AY21" s="459"/>
      <c r="AZ21" s="459"/>
      <c r="BA21" s="459"/>
      <c r="BB21" s="459">
        <f t="shared" si="19"/>
        <v>0</v>
      </c>
      <c r="BC21" s="459"/>
      <c r="BD21" s="459"/>
      <c r="BE21" s="459"/>
      <c r="BF21" s="459"/>
      <c r="BG21" s="459">
        <f t="shared" si="20"/>
        <v>0</v>
      </c>
      <c r="BH21" s="459"/>
      <c r="BI21" s="459"/>
      <c r="BJ21" s="39">
        <f t="shared" si="7"/>
        <v>1616974.0980000002</v>
      </c>
      <c r="BK21" s="39">
        <f t="shared" si="8"/>
        <v>3450</v>
      </c>
      <c r="BL21" s="210">
        <f t="shared" si="21"/>
        <v>1620424.0980000002</v>
      </c>
      <c r="BM21" s="178">
        <f t="shared" si="3"/>
        <v>0.16413476516613629</v>
      </c>
      <c r="BN21" s="42"/>
    </row>
    <row r="22" spans="1:66" s="2" customFormat="1" ht="13.8" outlineLevel="2">
      <c r="A22" s="238"/>
      <c r="B22" s="7" t="s">
        <v>621</v>
      </c>
      <c r="C22" s="114"/>
      <c r="D22" s="445"/>
      <c r="E22" s="446"/>
      <c r="F22" s="447"/>
      <c r="G22" s="452"/>
      <c r="H22" s="452"/>
      <c r="I22" s="453"/>
      <c r="J22" s="450"/>
      <c r="K22" s="456"/>
      <c r="L22" s="452"/>
      <c r="M22" s="452"/>
      <c r="N22" s="453"/>
      <c r="O22" s="450"/>
      <c r="P22" s="458"/>
      <c r="Q22" s="452"/>
      <c r="R22" s="452"/>
      <c r="S22" s="453"/>
      <c r="T22" s="450"/>
      <c r="U22" s="459"/>
      <c r="V22" s="452"/>
      <c r="W22" s="452"/>
      <c r="X22" s="453"/>
      <c r="Y22" s="450"/>
      <c r="Z22" s="459"/>
      <c r="AA22" s="452"/>
      <c r="AB22" s="452"/>
      <c r="AC22" s="453"/>
      <c r="AD22" s="450"/>
      <c r="AE22" s="459"/>
      <c r="AF22" s="459"/>
      <c r="AG22" s="459"/>
      <c r="AH22" s="459"/>
      <c r="AI22" s="459"/>
      <c r="AJ22" s="459"/>
      <c r="AK22" s="459"/>
      <c r="AL22" s="459"/>
      <c r="AM22" s="459"/>
      <c r="AN22" s="459"/>
      <c r="AO22" s="459"/>
      <c r="AP22" s="459"/>
      <c r="AQ22" s="459"/>
      <c r="AR22" s="459"/>
      <c r="AS22" s="459"/>
      <c r="AT22" s="459"/>
      <c r="AU22" s="459"/>
      <c r="AV22" s="459"/>
      <c r="AW22" s="459"/>
      <c r="AX22" s="459"/>
      <c r="AY22" s="459"/>
      <c r="AZ22" s="459"/>
      <c r="BA22" s="459"/>
      <c r="BB22" s="459"/>
      <c r="BC22" s="459"/>
      <c r="BD22" s="459"/>
      <c r="BE22" s="459"/>
      <c r="BF22" s="459"/>
      <c r="BG22" s="459"/>
      <c r="BH22" s="459"/>
      <c r="BI22" s="459"/>
      <c r="BJ22" s="39">
        <f t="shared" si="7"/>
        <v>0</v>
      </c>
      <c r="BK22" s="39">
        <f t="shared" si="8"/>
        <v>0</v>
      </c>
      <c r="BL22" s="453"/>
      <c r="BM22" s="450"/>
      <c r="BN22" s="456"/>
    </row>
    <row r="23" spans="1:66" s="2" customFormat="1" ht="13.8" outlineLevel="2">
      <c r="A23" s="238"/>
      <c r="B23" s="471" t="s">
        <v>630</v>
      </c>
      <c r="C23" s="114"/>
      <c r="D23" s="445"/>
      <c r="E23" s="446"/>
      <c r="F23" s="447"/>
      <c r="G23" s="452"/>
      <c r="H23" s="452"/>
      <c r="I23" s="453"/>
      <c r="J23" s="450"/>
      <c r="K23" s="456"/>
      <c r="L23" s="452"/>
      <c r="M23" s="452"/>
      <c r="N23" s="453"/>
      <c r="O23" s="450"/>
      <c r="P23" s="458"/>
      <c r="Q23" s="452"/>
      <c r="R23" s="452"/>
      <c r="S23" s="453"/>
      <c r="T23" s="450"/>
      <c r="U23" s="459"/>
      <c r="V23" s="452"/>
      <c r="W23" s="452"/>
      <c r="X23" s="453"/>
      <c r="Y23" s="450"/>
      <c r="Z23" s="459"/>
      <c r="AA23" s="452"/>
      <c r="AB23" s="452"/>
      <c r="AC23" s="453"/>
      <c r="AD23" s="450"/>
      <c r="AE23" s="459"/>
      <c r="AF23" s="459"/>
      <c r="AG23" s="459"/>
      <c r="AH23" s="459"/>
      <c r="AI23" s="459"/>
      <c r="AJ23" s="459"/>
      <c r="AK23" s="459"/>
      <c r="AL23" s="459"/>
      <c r="AM23" s="459"/>
      <c r="AN23" s="459"/>
      <c r="AO23" s="459"/>
      <c r="AP23" s="459"/>
      <c r="AQ23" s="459"/>
      <c r="AR23" s="459"/>
      <c r="AS23" s="459"/>
      <c r="AT23" s="459"/>
      <c r="AU23" s="459"/>
      <c r="AV23" s="459"/>
      <c r="AW23" s="459"/>
      <c r="AX23" s="459"/>
      <c r="AY23" s="459"/>
      <c r="AZ23" s="459"/>
      <c r="BA23" s="459"/>
      <c r="BB23" s="459"/>
      <c r="BC23" s="459"/>
      <c r="BD23" s="459"/>
      <c r="BE23" s="459"/>
      <c r="BF23" s="459"/>
      <c r="BG23" s="459"/>
      <c r="BH23" s="459"/>
      <c r="BI23" s="459"/>
      <c r="BJ23" s="39">
        <f t="shared" si="7"/>
        <v>0</v>
      </c>
      <c r="BK23" s="39">
        <f t="shared" si="8"/>
        <v>0</v>
      </c>
      <c r="BL23" s="453"/>
      <c r="BM23" s="450"/>
      <c r="BN23" s="456"/>
    </row>
    <row r="24" spans="1:66" s="2" customFormat="1" ht="61.95" customHeight="1" outlineLevel="2">
      <c r="A24" s="238"/>
      <c r="B24" s="7" t="s">
        <v>23</v>
      </c>
      <c r="C24" s="114">
        <v>91600</v>
      </c>
      <c r="D24" s="113"/>
      <c r="E24" s="106">
        <f t="shared" si="4"/>
        <v>91600</v>
      </c>
      <c r="F24" s="177">
        <f t="shared" ref="F24:F33" si="22">E24/$E$89</f>
        <v>1.7362233962099811E-2</v>
      </c>
      <c r="G24" s="39">
        <v>335405.788</v>
      </c>
      <c r="H24" s="39">
        <v>2150</v>
      </c>
      <c r="I24" s="210">
        <f t="shared" si="9"/>
        <v>337555.788</v>
      </c>
      <c r="J24" s="178">
        <f t="shared" ref="J24:J33" si="23">I24/$I$89</f>
        <v>3.5017112212182393E-2</v>
      </c>
      <c r="K24" s="42"/>
      <c r="L24" s="39">
        <v>4030</v>
      </c>
      <c r="M24" s="39"/>
      <c r="N24" s="210">
        <f t="shared" si="10"/>
        <v>4030</v>
      </c>
      <c r="O24" s="178">
        <f t="shared" ref="O24:O33" si="24">N24/$N$89</f>
        <v>4.9027456478924251E-2</v>
      </c>
      <c r="P24" s="388" t="s">
        <v>538</v>
      </c>
      <c r="Q24" s="39">
        <f>541.65*1.2</f>
        <v>649.9799999999999</v>
      </c>
      <c r="R24" s="39"/>
      <c r="S24" s="210">
        <f t="shared" si="11"/>
        <v>649.9799999999999</v>
      </c>
      <c r="T24" s="178">
        <f>S24/$S$89</f>
        <v>0.48533754870475682</v>
      </c>
      <c r="U24" s="440"/>
      <c r="V24" s="39"/>
      <c r="W24" s="39"/>
      <c r="X24" s="210">
        <f t="shared" ref="X24:X33" si="25">V24+W24*1</f>
        <v>0</v>
      </c>
      <c r="Y24" s="178">
        <f>X24/$S$89</f>
        <v>0</v>
      </c>
      <c r="Z24" s="440"/>
      <c r="AA24" s="39"/>
      <c r="AB24" s="39"/>
      <c r="AC24" s="210">
        <f t="shared" ref="AC24:AC33" si="26">AA24+AB24*1</f>
        <v>0</v>
      </c>
      <c r="AD24" s="178">
        <f>AC24/$S$89</f>
        <v>0</v>
      </c>
      <c r="AE24" s="440"/>
      <c r="AF24" s="459"/>
      <c r="AG24" s="459"/>
      <c r="AH24" s="459">
        <f t="shared" si="15"/>
        <v>0</v>
      </c>
      <c r="AI24" s="459"/>
      <c r="AJ24" s="459"/>
      <c r="AK24" s="459"/>
      <c r="AL24" s="459"/>
      <c r="AM24" s="459">
        <f t="shared" ref="AM24:AM33" si="27">AK24+AL24*1</f>
        <v>0</v>
      </c>
      <c r="AN24" s="459"/>
      <c r="AO24" s="459"/>
      <c r="AP24" s="459"/>
      <c r="AQ24" s="459"/>
      <c r="AR24" s="459">
        <f t="shared" ref="AR24:AR33" si="28">AP24+AQ24*1</f>
        <v>0</v>
      </c>
      <c r="AS24" s="459"/>
      <c r="AT24" s="459"/>
      <c r="AU24" s="459"/>
      <c r="AV24" s="459"/>
      <c r="AW24" s="459">
        <f t="shared" ref="AW24:AW33" si="29">AU24+AV24*1</f>
        <v>0</v>
      </c>
      <c r="AX24" s="459"/>
      <c r="AY24" s="459"/>
      <c r="AZ24" s="459"/>
      <c r="BA24" s="459"/>
      <c r="BB24" s="459">
        <f t="shared" ref="BB24:BB33" si="30">AZ24+BA24*1</f>
        <v>0</v>
      </c>
      <c r="BC24" s="459"/>
      <c r="BD24" s="459"/>
      <c r="BE24" s="459"/>
      <c r="BF24" s="459"/>
      <c r="BG24" s="459">
        <f t="shared" ref="BG24:BG33" si="31">BE24+BF24*1</f>
        <v>0</v>
      </c>
      <c r="BH24" s="459"/>
      <c r="BI24" s="459"/>
      <c r="BJ24" s="39">
        <f t="shared" si="7"/>
        <v>340085.76799999998</v>
      </c>
      <c r="BK24" s="39">
        <f t="shared" si="8"/>
        <v>2150</v>
      </c>
      <c r="BL24" s="210">
        <f t="shared" si="21"/>
        <v>342235.76799999998</v>
      </c>
      <c r="BM24" s="178">
        <f t="shared" ref="BM24:BM33" si="32">BL24/$BL$89</f>
        <v>3.4665485092120793E-2</v>
      </c>
      <c r="BN24" s="42"/>
    </row>
    <row r="25" spans="1:66" s="2" customFormat="1" ht="39" customHeight="1" outlineLevel="2">
      <c r="A25" s="238"/>
      <c r="B25" s="7" t="s">
        <v>24</v>
      </c>
      <c r="C25" s="114">
        <f>2000+91476</f>
        <v>93476</v>
      </c>
      <c r="D25" s="113"/>
      <c r="E25" s="106">
        <f t="shared" si="4"/>
        <v>93476</v>
      </c>
      <c r="F25" s="177">
        <f t="shared" si="22"/>
        <v>1.7717818579052861E-2</v>
      </c>
      <c r="G25" s="39">
        <v>50561.34</v>
      </c>
      <c r="H25" s="39">
        <v>26378</v>
      </c>
      <c r="I25" s="210">
        <f t="shared" si="9"/>
        <v>76939.34</v>
      </c>
      <c r="J25" s="178">
        <f t="shared" si="23"/>
        <v>7.9814762421175044E-3</v>
      </c>
      <c r="K25" s="42"/>
      <c r="L25" s="39"/>
      <c r="M25" s="39">
        <v>3874.75</v>
      </c>
      <c r="N25" s="210">
        <f t="shared" si="10"/>
        <v>3874.75</v>
      </c>
      <c r="O25" s="178">
        <f t="shared" si="24"/>
        <v>4.7138743670399934E-2</v>
      </c>
      <c r="P25" s="42"/>
      <c r="Q25" s="39"/>
      <c r="R25" s="39"/>
      <c r="S25" s="210">
        <f t="shared" si="11"/>
        <v>0</v>
      </c>
      <c r="T25" s="178">
        <f t="shared" ref="T25:T33" si="33">S25/$N$89</f>
        <v>0</v>
      </c>
      <c r="U25" s="402"/>
      <c r="V25" s="39"/>
      <c r="W25" s="39"/>
      <c r="X25" s="210">
        <f t="shared" si="25"/>
        <v>0</v>
      </c>
      <c r="Y25" s="178">
        <f t="shared" ref="Y25:Y33" si="34">X25/$N$89</f>
        <v>0</v>
      </c>
      <c r="Z25" s="402"/>
      <c r="AA25" s="39"/>
      <c r="AB25" s="39"/>
      <c r="AC25" s="210">
        <f t="shared" si="26"/>
        <v>0</v>
      </c>
      <c r="AD25" s="178">
        <f t="shared" ref="AD25:AD33" si="35">AC25/$N$89</f>
        <v>0</v>
      </c>
      <c r="AE25" s="402"/>
      <c r="AF25" s="465"/>
      <c r="AG25" s="465"/>
      <c r="AH25" s="465">
        <f t="shared" si="15"/>
        <v>0</v>
      </c>
      <c r="AI25" s="465"/>
      <c r="AJ25" s="465"/>
      <c r="AK25" s="465"/>
      <c r="AL25" s="465"/>
      <c r="AM25" s="465">
        <f t="shared" si="27"/>
        <v>0</v>
      </c>
      <c r="AN25" s="465"/>
      <c r="AO25" s="465"/>
      <c r="AP25" s="465"/>
      <c r="AQ25" s="465"/>
      <c r="AR25" s="465">
        <f t="shared" si="28"/>
        <v>0</v>
      </c>
      <c r="AS25" s="465"/>
      <c r="AT25" s="465"/>
      <c r="AU25" s="465"/>
      <c r="AV25" s="465"/>
      <c r="AW25" s="465">
        <f t="shared" si="29"/>
        <v>0</v>
      </c>
      <c r="AX25" s="465"/>
      <c r="AY25" s="465"/>
      <c r="AZ25" s="465"/>
      <c r="BA25" s="465"/>
      <c r="BB25" s="465">
        <f t="shared" si="30"/>
        <v>0</v>
      </c>
      <c r="BC25" s="465"/>
      <c r="BD25" s="465"/>
      <c r="BE25" s="465"/>
      <c r="BF25" s="465"/>
      <c r="BG25" s="465">
        <f t="shared" si="31"/>
        <v>0</v>
      </c>
      <c r="BH25" s="465"/>
      <c r="BI25" s="465"/>
      <c r="BJ25" s="39">
        <f t="shared" si="7"/>
        <v>50561.34</v>
      </c>
      <c r="BK25" s="39">
        <f t="shared" si="8"/>
        <v>30252.75</v>
      </c>
      <c r="BL25" s="210">
        <f t="shared" si="21"/>
        <v>80814.09</v>
      </c>
      <c r="BM25" s="178">
        <f t="shared" si="32"/>
        <v>8.1857593333970521E-3</v>
      </c>
      <c r="BN25" s="42"/>
    </row>
    <row r="26" spans="1:66" s="2" customFormat="1" ht="49.2" customHeight="1" outlineLevel="2">
      <c r="A26" s="238"/>
      <c r="B26" s="7" t="s">
        <v>45</v>
      </c>
      <c r="C26" s="114">
        <v>2628732</v>
      </c>
      <c r="D26" s="113"/>
      <c r="E26" s="106">
        <f t="shared" si="4"/>
        <v>2628732</v>
      </c>
      <c r="F26" s="177">
        <f t="shared" si="22"/>
        <v>0.49826048043295373</v>
      </c>
      <c r="G26" s="39">
        <v>4589343.0329999998</v>
      </c>
      <c r="H26" s="39">
        <v>1258</v>
      </c>
      <c r="I26" s="210">
        <f t="shared" si="9"/>
        <v>4590601.0329999998</v>
      </c>
      <c r="J26" s="178">
        <f t="shared" si="23"/>
        <v>0.47621636840047726</v>
      </c>
      <c r="K26" s="42"/>
      <c r="L26" s="39"/>
      <c r="M26" s="39"/>
      <c r="N26" s="210">
        <f t="shared" si="10"/>
        <v>0</v>
      </c>
      <c r="O26" s="178">
        <f t="shared" si="24"/>
        <v>0</v>
      </c>
      <c r="P26" s="42"/>
      <c r="Q26" s="39"/>
      <c r="R26" s="39"/>
      <c r="S26" s="210">
        <f t="shared" si="11"/>
        <v>0</v>
      </c>
      <c r="T26" s="178">
        <f t="shared" si="33"/>
        <v>0</v>
      </c>
      <c r="U26" s="416"/>
      <c r="V26" s="39"/>
      <c r="W26" s="39"/>
      <c r="X26" s="210">
        <f t="shared" si="25"/>
        <v>0</v>
      </c>
      <c r="Y26" s="178">
        <f t="shared" si="34"/>
        <v>0</v>
      </c>
      <c r="Z26" s="416"/>
      <c r="AA26" s="39"/>
      <c r="AB26" s="39"/>
      <c r="AC26" s="210">
        <f t="shared" si="26"/>
        <v>0</v>
      </c>
      <c r="AD26" s="178">
        <f t="shared" si="35"/>
        <v>0</v>
      </c>
      <c r="AE26" s="416"/>
      <c r="AF26" s="460"/>
      <c r="AG26" s="460"/>
      <c r="AH26" s="460">
        <f t="shared" si="15"/>
        <v>0</v>
      </c>
      <c r="AI26" s="460"/>
      <c r="AJ26" s="460"/>
      <c r="AK26" s="460"/>
      <c r="AL26" s="460"/>
      <c r="AM26" s="460">
        <f t="shared" si="27"/>
        <v>0</v>
      </c>
      <c r="AN26" s="460"/>
      <c r="AO26" s="460"/>
      <c r="AP26" s="460"/>
      <c r="AQ26" s="460"/>
      <c r="AR26" s="460">
        <f t="shared" si="28"/>
        <v>0</v>
      </c>
      <c r="AS26" s="460"/>
      <c r="AT26" s="460"/>
      <c r="AU26" s="460"/>
      <c r="AV26" s="460"/>
      <c r="AW26" s="460">
        <f t="shared" si="29"/>
        <v>0</v>
      </c>
      <c r="AX26" s="460"/>
      <c r="AY26" s="460"/>
      <c r="AZ26" s="460"/>
      <c r="BA26" s="460"/>
      <c r="BB26" s="460">
        <f t="shared" si="30"/>
        <v>0</v>
      </c>
      <c r="BC26" s="460"/>
      <c r="BD26" s="460"/>
      <c r="BE26" s="951">
        <f>122717.13*1.2</f>
        <v>147260.55600000001</v>
      </c>
      <c r="BF26" s="460"/>
      <c r="BG26" s="951">
        <f t="shared" si="31"/>
        <v>147260.55600000001</v>
      </c>
      <c r="BH26" s="460"/>
      <c r="BI26" s="455" t="s">
        <v>955</v>
      </c>
      <c r="BJ26" s="39">
        <f>G26+L26+Q26+V26+AF26+AK26+AP26+AU26+AZ26+BE26</f>
        <v>4736603.5889999997</v>
      </c>
      <c r="BK26" s="39">
        <f t="shared" si="8"/>
        <v>1258</v>
      </c>
      <c r="BL26" s="210">
        <f>BJ26+BK26*1</f>
        <v>4737861.5889999997</v>
      </c>
      <c r="BM26" s="178">
        <f t="shared" si="32"/>
        <v>0.47990387223935999</v>
      </c>
      <c r="BN26" s="42"/>
    </row>
    <row r="27" spans="1:66" s="2" customFormat="1" ht="76.2" customHeight="1" outlineLevel="2">
      <c r="A27" s="238"/>
      <c r="B27" s="7" t="s">
        <v>25</v>
      </c>
      <c r="C27" s="114">
        <v>10000</v>
      </c>
      <c r="D27" s="113"/>
      <c r="E27" s="106">
        <f t="shared" si="4"/>
        <v>10000</v>
      </c>
      <c r="F27" s="177">
        <f t="shared" si="22"/>
        <v>1.8954403888755253E-3</v>
      </c>
      <c r="G27" s="39">
        <v>11499.982</v>
      </c>
      <c r="H27" s="39">
        <v>5140</v>
      </c>
      <c r="I27" s="210">
        <f t="shared" si="9"/>
        <v>16639.982</v>
      </c>
      <c r="J27" s="178">
        <f t="shared" si="23"/>
        <v>1.7261861227593444E-3</v>
      </c>
      <c r="K27" s="42"/>
      <c r="L27" s="39"/>
      <c r="M27" s="39"/>
      <c r="N27" s="210">
        <f t="shared" si="10"/>
        <v>0</v>
      </c>
      <c r="O27" s="178">
        <f t="shared" si="24"/>
        <v>0</v>
      </c>
      <c r="P27" s="42"/>
      <c r="Q27" s="39"/>
      <c r="R27" s="39"/>
      <c r="S27" s="210">
        <f t="shared" si="11"/>
        <v>0</v>
      </c>
      <c r="T27" s="178">
        <f t="shared" si="33"/>
        <v>0</v>
      </c>
      <c r="U27" s="402"/>
      <c r="V27" s="39"/>
      <c r="W27" s="39"/>
      <c r="X27" s="210">
        <f t="shared" si="25"/>
        <v>0</v>
      </c>
      <c r="Y27" s="178">
        <f t="shared" si="34"/>
        <v>0</v>
      </c>
      <c r="Z27" s="402"/>
      <c r="AA27" s="39"/>
      <c r="AB27" s="39"/>
      <c r="AC27" s="210">
        <f t="shared" si="26"/>
        <v>0</v>
      </c>
      <c r="AD27" s="178">
        <f t="shared" si="35"/>
        <v>0</v>
      </c>
      <c r="AE27" s="402"/>
      <c r="AF27" s="465"/>
      <c r="AG27" s="465"/>
      <c r="AH27" s="465">
        <f t="shared" si="15"/>
        <v>0</v>
      </c>
      <c r="AI27" s="465"/>
      <c r="AJ27" s="465"/>
      <c r="AK27" s="465"/>
      <c r="AL27" s="465"/>
      <c r="AM27" s="465">
        <f t="shared" si="27"/>
        <v>0</v>
      </c>
      <c r="AN27" s="465"/>
      <c r="AO27" s="465"/>
      <c r="AP27" s="465"/>
      <c r="AQ27" s="465"/>
      <c r="AR27" s="465">
        <f t="shared" si="28"/>
        <v>0</v>
      </c>
      <c r="AS27" s="465"/>
      <c r="AT27" s="465"/>
      <c r="AU27" s="465"/>
      <c r="AV27" s="465"/>
      <c r="AW27" s="465">
        <f t="shared" si="29"/>
        <v>0</v>
      </c>
      <c r="AX27" s="465"/>
      <c r="AY27" s="465"/>
      <c r="AZ27" s="465"/>
      <c r="BA27" s="465"/>
      <c r="BB27" s="465">
        <f t="shared" si="30"/>
        <v>0</v>
      </c>
      <c r="BC27" s="465"/>
      <c r="BD27" s="465"/>
      <c r="BE27" s="465"/>
      <c r="BF27" s="465"/>
      <c r="BG27" s="465">
        <f t="shared" si="31"/>
        <v>0</v>
      </c>
      <c r="BH27" s="465"/>
      <c r="BI27" s="465"/>
      <c r="BJ27" s="39">
        <f t="shared" si="7"/>
        <v>11499.982</v>
      </c>
      <c r="BK27" s="39">
        <f t="shared" si="8"/>
        <v>5140</v>
      </c>
      <c r="BL27" s="210">
        <f t="shared" si="21"/>
        <v>16639.982</v>
      </c>
      <c r="BM27" s="178">
        <f t="shared" si="32"/>
        <v>1.6854843996147078E-3</v>
      </c>
      <c r="BN27" s="42"/>
    </row>
    <row r="28" spans="1:66" s="226" customFormat="1" ht="117.6" customHeight="1" outlineLevel="2">
      <c r="A28" s="238"/>
      <c r="B28" s="262" t="s">
        <v>52</v>
      </c>
      <c r="C28" s="114">
        <v>44450</v>
      </c>
      <c r="D28" s="113"/>
      <c r="E28" s="106">
        <f t="shared" si="4"/>
        <v>44450</v>
      </c>
      <c r="F28" s="177">
        <f t="shared" si="22"/>
        <v>8.4252325285517106E-3</v>
      </c>
      <c r="G28" s="39">
        <v>6245.3639999999996</v>
      </c>
      <c r="H28" s="39">
        <v>25286</v>
      </c>
      <c r="I28" s="210">
        <f t="shared" si="9"/>
        <v>31531.364000000001</v>
      </c>
      <c r="J28" s="178">
        <f t="shared" si="23"/>
        <v>3.2709772744029153E-3</v>
      </c>
      <c r="K28" s="42"/>
      <c r="L28" s="39"/>
      <c r="M28" s="39"/>
      <c r="N28" s="210">
        <f t="shared" si="10"/>
        <v>0</v>
      </c>
      <c r="O28" s="178">
        <f t="shared" si="24"/>
        <v>0</v>
      </c>
      <c r="P28" s="42"/>
      <c r="Q28" s="39"/>
      <c r="R28" s="39"/>
      <c r="S28" s="210">
        <f t="shared" si="11"/>
        <v>0</v>
      </c>
      <c r="T28" s="178">
        <f t="shared" si="33"/>
        <v>0</v>
      </c>
      <c r="U28" s="402"/>
      <c r="V28" s="39"/>
      <c r="W28" s="39"/>
      <c r="X28" s="210">
        <f t="shared" si="25"/>
        <v>0</v>
      </c>
      <c r="Y28" s="178">
        <f t="shared" si="34"/>
        <v>0</v>
      </c>
      <c r="Z28" s="402"/>
      <c r="AA28" s="39"/>
      <c r="AB28" s="39"/>
      <c r="AC28" s="210">
        <f t="shared" si="26"/>
        <v>0</v>
      </c>
      <c r="AD28" s="178">
        <f t="shared" si="35"/>
        <v>0</v>
      </c>
      <c r="AE28" s="402"/>
      <c r="AF28" s="465"/>
      <c r="AG28" s="465"/>
      <c r="AH28" s="465">
        <f t="shared" si="15"/>
        <v>0</v>
      </c>
      <c r="AI28" s="465"/>
      <c r="AJ28" s="465"/>
      <c r="AK28" s="465"/>
      <c r="AL28" s="465"/>
      <c r="AM28" s="465">
        <f t="shared" si="27"/>
        <v>0</v>
      </c>
      <c r="AN28" s="465"/>
      <c r="AO28" s="465"/>
      <c r="AP28" s="465"/>
      <c r="AQ28" s="465"/>
      <c r="AR28" s="465">
        <f t="shared" si="28"/>
        <v>0</v>
      </c>
      <c r="AS28" s="465"/>
      <c r="AT28" s="465"/>
      <c r="AU28" s="465"/>
      <c r="AV28" s="465"/>
      <c r="AW28" s="465">
        <f t="shared" si="29"/>
        <v>0</v>
      </c>
      <c r="AX28" s="465"/>
      <c r="AY28" s="465"/>
      <c r="AZ28" s="465"/>
      <c r="BA28" s="465"/>
      <c r="BB28" s="465">
        <f t="shared" si="30"/>
        <v>0</v>
      </c>
      <c r="BC28" s="465"/>
      <c r="BD28" s="465"/>
      <c r="BE28" s="465"/>
      <c r="BF28" s="465"/>
      <c r="BG28" s="465">
        <f t="shared" si="31"/>
        <v>0</v>
      </c>
      <c r="BH28" s="465"/>
      <c r="BI28" s="465"/>
      <c r="BJ28" s="39">
        <f t="shared" si="7"/>
        <v>6245.3639999999996</v>
      </c>
      <c r="BK28" s="39">
        <f t="shared" si="8"/>
        <v>25286</v>
      </c>
      <c r="BL28" s="210">
        <f t="shared" si="21"/>
        <v>31531.364000000001</v>
      </c>
      <c r="BM28" s="178">
        <f t="shared" si="32"/>
        <v>3.1938509380943329E-3</v>
      </c>
      <c r="BN28" s="42"/>
    </row>
    <row r="29" spans="1:66" s="2" customFormat="1" ht="115.95" customHeight="1" outlineLevel="2">
      <c r="A29" s="238"/>
      <c r="B29" s="7" t="s">
        <v>31</v>
      </c>
      <c r="C29" s="114">
        <v>9100</v>
      </c>
      <c r="D29" s="113">
        <v>117760</v>
      </c>
      <c r="E29" s="106">
        <f t="shared" si="4"/>
        <v>126860</v>
      </c>
      <c r="F29" s="178">
        <f t="shared" si="22"/>
        <v>2.4045556773274916E-2</v>
      </c>
      <c r="G29" s="39">
        <v>51980</v>
      </c>
      <c r="H29" s="39">
        <v>149010</v>
      </c>
      <c r="I29" s="210">
        <f t="shared" si="9"/>
        <v>200990</v>
      </c>
      <c r="J29" s="178">
        <f t="shared" si="23"/>
        <v>2.0850151689671335E-2</v>
      </c>
      <c r="K29" s="79"/>
      <c r="L29" s="39">
        <v>600</v>
      </c>
      <c r="M29" s="39">
        <v>1600</v>
      </c>
      <c r="N29" s="210">
        <f t="shared" si="10"/>
        <v>2200</v>
      </c>
      <c r="O29" s="178">
        <f t="shared" si="24"/>
        <v>2.6764368301149716E-2</v>
      </c>
      <c r="P29" s="388" t="s">
        <v>513</v>
      </c>
      <c r="Q29" s="39"/>
      <c r="R29" s="39"/>
      <c r="S29" s="210">
        <f t="shared" si="11"/>
        <v>0</v>
      </c>
      <c r="T29" s="178">
        <f t="shared" si="33"/>
        <v>0</v>
      </c>
      <c r="U29" s="440"/>
      <c r="V29" s="39"/>
      <c r="W29" s="39"/>
      <c r="X29" s="210">
        <f t="shared" si="25"/>
        <v>0</v>
      </c>
      <c r="Y29" s="178">
        <f t="shared" si="34"/>
        <v>0</v>
      </c>
      <c r="Z29" s="440"/>
      <c r="AA29" s="39"/>
      <c r="AB29" s="39"/>
      <c r="AC29" s="210">
        <f t="shared" si="26"/>
        <v>0</v>
      </c>
      <c r="AD29" s="178">
        <f t="shared" si="35"/>
        <v>0</v>
      </c>
      <c r="AE29" s="440"/>
      <c r="AF29" s="459"/>
      <c r="AG29" s="459"/>
      <c r="AH29" s="459">
        <f t="shared" si="15"/>
        <v>0</v>
      </c>
      <c r="AI29" s="459"/>
      <c r="AJ29" s="459"/>
      <c r="AK29" s="459"/>
      <c r="AL29" s="459"/>
      <c r="AM29" s="459">
        <f t="shared" si="27"/>
        <v>0</v>
      </c>
      <c r="AN29" s="459"/>
      <c r="AO29" s="459"/>
      <c r="AP29" s="459"/>
      <c r="AQ29" s="459"/>
      <c r="AR29" s="459">
        <f t="shared" si="28"/>
        <v>0</v>
      </c>
      <c r="AS29" s="459"/>
      <c r="AT29" s="459"/>
      <c r="AU29" s="459"/>
      <c r="AV29" s="459"/>
      <c r="AW29" s="459">
        <f t="shared" si="29"/>
        <v>0</v>
      </c>
      <c r="AX29" s="459"/>
      <c r="AY29" s="459"/>
      <c r="AZ29" s="459"/>
      <c r="BA29" s="459"/>
      <c r="BB29" s="459">
        <f t="shared" si="30"/>
        <v>0</v>
      </c>
      <c r="BC29" s="459"/>
      <c r="BD29" s="459"/>
      <c r="BE29" s="459"/>
      <c r="BF29" s="459"/>
      <c r="BG29" s="459">
        <f t="shared" si="31"/>
        <v>0</v>
      </c>
      <c r="BH29" s="459"/>
      <c r="BI29" s="459"/>
      <c r="BJ29" s="39">
        <f t="shared" si="7"/>
        <v>52580</v>
      </c>
      <c r="BK29" s="39">
        <f t="shared" si="8"/>
        <v>150610</v>
      </c>
      <c r="BL29" s="210">
        <f t="shared" si="21"/>
        <v>203190</v>
      </c>
      <c r="BM29" s="178">
        <f t="shared" si="32"/>
        <v>2.0581366924418094E-2</v>
      </c>
      <c r="BN29" s="79"/>
    </row>
    <row r="30" spans="1:66" s="2" customFormat="1" ht="82.8" outlineLevel="2">
      <c r="A30" s="238"/>
      <c r="B30" s="7" t="s">
        <v>62</v>
      </c>
      <c r="C30" s="114"/>
      <c r="D30" s="113">
        <v>102625</v>
      </c>
      <c r="E30" s="106">
        <f t="shared" si="4"/>
        <v>102625</v>
      </c>
      <c r="F30" s="178">
        <f t="shared" si="22"/>
        <v>1.945195699083508E-2</v>
      </c>
      <c r="G30" s="39">
        <v>0</v>
      </c>
      <c r="H30" s="39">
        <v>107779.5</v>
      </c>
      <c r="I30" s="210">
        <f t="shared" si="9"/>
        <v>107779.5</v>
      </c>
      <c r="J30" s="178">
        <f t="shared" si="23"/>
        <v>1.118074990813937E-2</v>
      </c>
      <c r="K30" s="79"/>
      <c r="L30" s="39"/>
      <c r="M30" s="39">
        <v>3020</v>
      </c>
      <c r="N30" s="210">
        <f t="shared" si="10"/>
        <v>3020</v>
      </c>
      <c r="O30" s="178">
        <f t="shared" si="24"/>
        <v>3.6740178304305517E-2</v>
      </c>
      <c r="P30" s="388" t="s">
        <v>512</v>
      </c>
      <c r="Q30" s="39"/>
      <c r="R30" s="39"/>
      <c r="S30" s="210">
        <f t="shared" si="11"/>
        <v>0</v>
      </c>
      <c r="T30" s="178">
        <f t="shared" si="33"/>
        <v>0</v>
      </c>
      <c r="U30" s="440"/>
      <c r="V30" s="39"/>
      <c r="W30" s="39"/>
      <c r="X30" s="210">
        <f t="shared" si="25"/>
        <v>0</v>
      </c>
      <c r="Y30" s="178">
        <f t="shared" si="34"/>
        <v>0</v>
      </c>
      <c r="Z30" s="440"/>
      <c r="AA30" s="39"/>
      <c r="AB30" s="39"/>
      <c r="AC30" s="210">
        <f t="shared" si="26"/>
        <v>0</v>
      </c>
      <c r="AD30" s="178">
        <f t="shared" si="35"/>
        <v>0</v>
      </c>
      <c r="AE30" s="440"/>
      <c r="AF30" s="459"/>
      <c r="AG30" s="459"/>
      <c r="AH30" s="459">
        <f t="shared" si="15"/>
        <v>0</v>
      </c>
      <c r="AI30" s="459"/>
      <c r="AJ30" s="459"/>
      <c r="AK30" s="459"/>
      <c r="AL30" s="459"/>
      <c r="AM30" s="459">
        <f t="shared" si="27"/>
        <v>0</v>
      </c>
      <c r="AN30" s="459"/>
      <c r="AO30" s="459"/>
      <c r="AP30" s="459"/>
      <c r="AQ30" s="459"/>
      <c r="AR30" s="459">
        <f t="shared" si="28"/>
        <v>0</v>
      </c>
      <c r="AS30" s="459"/>
      <c r="AT30" s="459"/>
      <c r="AU30" s="459"/>
      <c r="AV30" s="459"/>
      <c r="AW30" s="459">
        <f t="shared" si="29"/>
        <v>0</v>
      </c>
      <c r="AX30" s="459"/>
      <c r="AY30" s="459"/>
      <c r="AZ30" s="459"/>
      <c r="BA30" s="459"/>
      <c r="BB30" s="459">
        <f t="shared" si="30"/>
        <v>0</v>
      </c>
      <c r="BC30" s="459"/>
      <c r="BD30" s="459"/>
      <c r="BE30" s="459"/>
      <c r="BF30" s="459"/>
      <c r="BG30" s="459">
        <f t="shared" si="31"/>
        <v>0</v>
      </c>
      <c r="BH30" s="459"/>
      <c r="BI30" s="459"/>
      <c r="BJ30" s="39">
        <f t="shared" si="7"/>
        <v>0</v>
      </c>
      <c r="BK30" s="39">
        <f t="shared" si="8"/>
        <v>110799.5</v>
      </c>
      <c r="BL30" s="210">
        <f t="shared" si="21"/>
        <v>110799.5</v>
      </c>
      <c r="BM30" s="178">
        <f t="shared" si="32"/>
        <v>1.1223018674846512E-2</v>
      </c>
      <c r="BN30" s="79"/>
    </row>
    <row r="31" spans="1:66" s="2" customFormat="1" ht="127.95" customHeight="1" outlineLevel="2">
      <c r="A31" s="238"/>
      <c r="B31" s="7" t="s">
        <v>34</v>
      </c>
      <c r="C31" s="114">
        <f>3900</f>
        <v>3900</v>
      </c>
      <c r="D31" s="113">
        <f>20700+2300</f>
        <v>23000</v>
      </c>
      <c r="E31" s="106">
        <f t="shared" si="4"/>
        <v>26900</v>
      </c>
      <c r="F31" s="178">
        <f t="shared" si="22"/>
        <v>5.0987346460751627E-3</v>
      </c>
      <c r="G31" s="39">
        <v>27120.590000000004</v>
      </c>
      <c r="H31" s="39">
        <v>28584</v>
      </c>
      <c r="I31" s="210">
        <f t="shared" si="9"/>
        <v>55704.590000000004</v>
      </c>
      <c r="J31" s="178">
        <f t="shared" si="23"/>
        <v>5.7786414812226929E-3</v>
      </c>
      <c r="K31" s="79"/>
      <c r="L31" s="39">
        <v>3748.5</v>
      </c>
      <c r="M31" s="39">
        <f>6040+200</f>
        <v>6240</v>
      </c>
      <c r="N31" s="210">
        <f t="shared" si="10"/>
        <v>9988.5</v>
      </c>
      <c r="O31" s="178">
        <f t="shared" si="24"/>
        <v>0.12151631489819724</v>
      </c>
      <c r="P31" s="388" t="s">
        <v>516</v>
      </c>
      <c r="Q31" s="39"/>
      <c r="R31" s="39"/>
      <c r="S31" s="210">
        <f t="shared" si="11"/>
        <v>0</v>
      </c>
      <c r="T31" s="178">
        <f t="shared" si="33"/>
        <v>0</v>
      </c>
      <c r="U31" s="440"/>
      <c r="V31" s="39"/>
      <c r="W31" s="39"/>
      <c r="X31" s="210">
        <f t="shared" si="25"/>
        <v>0</v>
      </c>
      <c r="Y31" s="178">
        <f t="shared" si="34"/>
        <v>0</v>
      </c>
      <c r="Z31" s="440"/>
      <c r="AA31" s="39"/>
      <c r="AB31" s="39"/>
      <c r="AC31" s="210">
        <f t="shared" si="26"/>
        <v>0</v>
      </c>
      <c r="AD31" s="178">
        <f t="shared" si="35"/>
        <v>0</v>
      </c>
      <c r="AE31" s="440"/>
      <c r="AF31" s="459"/>
      <c r="AG31" s="459"/>
      <c r="AH31" s="459">
        <f t="shared" si="15"/>
        <v>0</v>
      </c>
      <c r="AI31" s="459"/>
      <c r="AJ31" s="459"/>
      <c r="AK31" s="459"/>
      <c r="AL31" s="459"/>
      <c r="AM31" s="459">
        <f t="shared" si="27"/>
        <v>0</v>
      </c>
      <c r="AN31" s="459"/>
      <c r="AO31" s="459"/>
      <c r="AP31" s="459"/>
      <c r="AQ31" s="459"/>
      <c r="AR31" s="459">
        <f t="shared" si="28"/>
        <v>0</v>
      </c>
      <c r="AS31" s="459"/>
      <c r="AT31" s="459"/>
      <c r="AU31" s="459"/>
      <c r="AV31" s="459"/>
      <c r="AW31" s="459">
        <f t="shared" si="29"/>
        <v>0</v>
      </c>
      <c r="AX31" s="459"/>
      <c r="AY31" s="459"/>
      <c r="AZ31" s="459"/>
      <c r="BA31" s="459"/>
      <c r="BB31" s="459">
        <f t="shared" si="30"/>
        <v>0</v>
      </c>
      <c r="BC31" s="459"/>
      <c r="BD31" s="459"/>
      <c r="BE31" s="459"/>
      <c r="BF31" s="459"/>
      <c r="BG31" s="459">
        <f t="shared" si="31"/>
        <v>0</v>
      </c>
      <c r="BH31" s="459"/>
      <c r="BI31" s="459"/>
      <c r="BJ31" s="39">
        <f t="shared" si="7"/>
        <v>30869.090000000004</v>
      </c>
      <c r="BK31" s="39">
        <f t="shared" si="8"/>
        <v>34824</v>
      </c>
      <c r="BL31" s="210">
        <f t="shared" si="21"/>
        <v>65693.09</v>
      </c>
      <c r="BM31" s="178">
        <f t="shared" si="32"/>
        <v>6.6541345031193517E-3</v>
      </c>
      <c r="BN31" s="79"/>
    </row>
    <row r="32" spans="1:66" s="2" customFormat="1" ht="14.4" customHeight="1" outlineLevel="2">
      <c r="A32" s="238"/>
      <c r="B32" s="32" t="s">
        <v>2</v>
      </c>
      <c r="C32" s="115"/>
      <c r="D32" s="116"/>
      <c r="E32" s="106">
        <f t="shared" si="4"/>
        <v>0</v>
      </c>
      <c r="F32" s="178">
        <f t="shared" si="22"/>
        <v>0</v>
      </c>
      <c r="G32" s="39">
        <v>0</v>
      </c>
      <c r="H32" s="39">
        <v>0</v>
      </c>
      <c r="I32" s="210">
        <f t="shared" si="9"/>
        <v>0</v>
      </c>
      <c r="J32" s="178">
        <f t="shared" si="23"/>
        <v>0</v>
      </c>
      <c r="K32" s="79"/>
      <c r="L32" s="39"/>
      <c r="M32" s="39"/>
      <c r="N32" s="210">
        <f t="shared" si="10"/>
        <v>0</v>
      </c>
      <c r="O32" s="178">
        <f t="shared" si="24"/>
        <v>0</v>
      </c>
      <c r="P32" s="79"/>
      <c r="Q32" s="39"/>
      <c r="R32" s="39"/>
      <c r="S32" s="210">
        <f t="shared" si="11"/>
        <v>0</v>
      </c>
      <c r="T32" s="178">
        <f t="shared" si="33"/>
        <v>0</v>
      </c>
      <c r="U32" s="259"/>
      <c r="V32" s="39"/>
      <c r="W32" s="39"/>
      <c r="X32" s="210">
        <f t="shared" si="25"/>
        <v>0</v>
      </c>
      <c r="Y32" s="178">
        <f t="shared" si="34"/>
        <v>0</v>
      </c>
      <c r="Z32" s="259"/>
      <c r="AA32" s="39"/>
      <c r="AB32" s="39"/>
      <c r="AC32" s="210">
        <f t="shared" si="26"/>
        <v>0</v>
      </c>
      <c r="AD32" s="178">
        <f t="shared" si="35"/>
        <v>0</v>
      </c>
      <c r="AE32" s="259"/>
      <c r="AF32" s="465"/>
      <c r="AG32" s="465"/>
      <c r="AH32" s="465">
        <f t="shared" si="15"/>
        <v>0</v>
      </c>
      <c r="AI32" s="465"/>
      <c r="AJ32" s="465"/>
      <c r="AK32" s="465"/>
      <c r="AL32" s="465"/>
      <c r="AM32" s="465">
        <f t="shared" si="27"/>
        <v>0</v>
      </c>
      <c r="AN32" s="465"/>
      <c r="AO32" s="465"/>
      <c r="AP32" s="465"/>
      <c r="AQ32" s="465"/>
      <c r="AR32" s="465">
        <f t="shared" si="28"/>
        <v>0</v>
      </c>
      <c r="AS32" s="465"/>
      <c r="AT32" s="465"/>
      <c r="AU32" s="465"/>
      <c r="AV32" s="465"/>
      <c r="AW32" s="465">
        <f t="shared" si="29"/>
        <v>0</v>
      </c>
      <c r="AX32" s="465"/>
      <c r="AY32" s="465"/>
      <c r="AZ32" s="465"/>
      <c r="BA32" s="465"/>
      <c r="BB32" s="465">
        <f t="shared" si="30"/>
        <v>0</v>
      </c>
      <c r="BC32" s="465"/>
      <c r="BD32" s="465"/>
      <c r="BE32" s="465"/>
      <c r="BF32" s="465"/>
      <c r="BG32" s="465">
        <f t="shared" si="31"/>
        <v>0</v>
      </c>
      <c r="BH32" s="465"/>
      <c r="BI32" s="465"/>
      <c r="BJ32" s="39">
        <f t="shared" si="7"/>
        <v>0</v>
      </c>
      <c r="BK32" s="39">
        <f t="shared" si="8"/>
        <v>0</v>
      </c>
      <c r="BL32" s="210">
        <f t="shared" si="21"/>
        <v>0</v>
      </c>
      <c r="BM32" s="178">
        <f t="shared" si="32"/>
        <v>0</v>
      </c>
      <c r="BN32" s="79"/>
    </row>
    <row r="33" spans="1:66" s="2" customFormat="1" ht="36.6" customHeight="1" outlineLevel="2" thickBot="1">
      <c r="A33" s="238"/>
      <c r="B33" s="32" t="s">
        <v>75</v>
      </c>
      <c r="C33" s="115"/>
      <c r="D33" s="116"/>
      <c r="E33" s="106">
        <f t="shared" si="4"/>
        <v>0</v>
      </c>
      <c r="F33" s="178">
        <f t="shared" si="22"/>
        <v>0</v>
      </c>
      <c r="G33" s="39">
        <v>0</v>
      </c>
      <c r="H33" s="39">
        <v>868</v>
      </c>
      <c r="I33" s="210">
        <f t="shared" si="9"/>
        <v>868</v>
      </c>
      <c r="J33" s="178">
        <f t="shared" si="23"/>
        <v>9.0043940826084484E-5</v>
      </c>
      <c r="K33" s="79"/>
      <c r="L33" s="39"/>
      <c r="M33" s="39"/>
      <c r="N33" s="210">
        <f t="shared" si="10"/>
        <v>0</v>
      </c>
      <c r="O33" s="178">
        <f t="shared" si="24"/>
        <v>0</v>
      </c>
      <c r="P33" s="79"/>
      <c r="Q33" s="39"/>
      <c r="R33" s="39"/>
      <c r="S33" s="210">
        <f t="shared" si="11"/>
        <v>0</v>
      </c>
      <c r="T33" s="178">
        <f t="shared" si="33"/>
        <v>0</v>
      </c>
      <c r="U33" s="259"/>
      <c r="V33" s="39"/>
      <c r="W33" s="39"/>
      <c r="X33" s="210">
        <f t="shared" si="25"/>
        <v>0</v>
      </c>
      <c r="Y33" s="178">
        <f t="shared" si="34"/>
        <v>0</v>
      </c>
      <c r="Z33" s="259"/>
      <c r="AA33" s="39"/>
      <c r="AB33" s="39"/>
      <c r="AC33" s="210">
        <f t="shared" si="26"/>
        <v>0</v>
      </c>
      <c r="AD33" s="178">
        <f t="shared" si="35"/>
        <v>0</v>
      </c>
      <c r="AE33" s="259"/>
      <c r="AF33" s="465"/>
      <c r="AG33" s="465"/>
      <c r="AH33" s="465">
        <f t="shared" si="15"/>
        <v>0</v>
      </c>
      <c r="AI33" s="465"/>
      <c r="AJ33" s="465"/>
      <c r="AK33" s="465"/>
      <c r="AL33" s="465"/>
      <c r="AM33" s="465">
        <f t="shared" si="27"/>
        <v>0</v>
      </c>
      <c r="AN33" s="465"/>
      <c r="AO33" s="465"/>
      <c r="AP33" s="465"/>
      <c r="AQ33" s="465"/>
      <c r="AR33" s="465">
        <f t="shared" si="28"/>
        <v>0</v>
      </c>
      <c r="AS33" s="465"/>
      <c r="AT33" s="465"/>
      <c r="AU33" s="465"/>
      <c r="AV33" s="465"/>
      <c r="AW33" s="465">
        <f t="shared" si="29"/>
        <v>0</v>
      </c>
      <c r="AX33" s="465"/>
      <c r="AY33" s="465"/>
      <c r="AZ33" s="465"/>
      <c r="BA33" s="465"/>
      <c r="BB33" s="465">
        <f t="shared" si="30"/>
        <v>0</v>
      </c>
      <c r="BC33" s="465"/>
      <c r="BD33" s="465"/>
      <c r="BE33" s="465"/>
      <c r="BF33" s="465"/>
      <c r="BG33" s="465">
        <f t="shared" si="31"/>
        <v>0</v>
      </c>
      <c r="BH33" s="465"/>
      <c r="BI33" s="465"/>
      <c r="BJ33" s="39">
        <f t="shared" si="7"/>
        <v>0</v>
      </c>
      <c r="BK33" s="39">
        <f t="shared" si="8"/>
        <v>868</v>
      </c>
      <c r="BL33" s="210">
        <f t="shared" si="21"/>
        <v>868</v>
      </c>
      <c r="BM33" s="178">
        <f t="shared" si="32"/>
        <v>8.7920795759608773E-5</v>
      </c>
      <c r="BN33" s="79"/>
    </row>
    <row r="34" spans="1:66" s="2" customFormat="1" ht="13.8" outlineLevel="2">
      <c r="A34" s="238"/>
      <c r="B34" s="12"/>
      <c r="C34" s="46"/>
      <c r="D34" s="47"/>
      <c r="E34" s="48"/>
      <c r="F34" s="179"/>
      <c r="G34" s="48"/>
      <c r="H34" s="48"/>
      <c r="I34" s="48"/>
      <c r="J34" s="48"/>
      <c r="K34" s="48"/>
      <c r="L34" s="39"/>
      <c r="M34" s="39"/>
      <c r="N34" s="48"/>
      <c r="O34" s="48"/>
      <c r="P34" s="48"/>
      <c r="Q34" s="39"/>
      <c r="R34" s="39"/>
      <c r="S34" s="48"/>
      <c r="T34" s="48"/>
      <c r="U34" s="48"/>
      <c r="V34" s="39"/>
      <c r="W34" s="39"/>
      <c r="X34" s="48"/>
      <c r="Y34" s="48"/>
      <c r="Z34" s="48"/>
      <c r="AA34" s="39"/>
      <c r="AB34" s="39"/>
      <c r="AC34" s="48"/>
      <c r="AD34" s="48"/>
      <c r="AE34" s="48"/>
      <c r="AF34" s="476"/>
      <c r="AG34" s="476"/>
      <c r="AH34" s="476"/>
      <c r="AI34" s="476"/>
      <c r="AJ34" s="476"/>
      <c r="AK34" s="476"/>
      <c r="AL34" s="476"/>
      <c r="AM34" s="476"/>
      <c r="AN34" s="476"/>
      <c r="AO34" s="476"/>
      <c r="AP34" s="476"/>
      <c r="AQ34" s="476"/>
      <c r="AR34" s="476"/>
      <c r="AS34" s="476"/>
      <c r="AT34" s="476"/>
      <c r="AU34" s="476"/>
      <c r="AV34" s="476"/>
      <c r="AW34" s="476"/>
      <c r="AX34" s="476"/>
      <c r="AY34" s="476"/>
      <c r="AZ34" s="476"/>
      <c r="BA34" s="476"/>
      <c r="BB34" s="476"/>
      <c r="BC34" s="476"/>
      <c r="BD34" s="476"/>
      <c r="BE34" s="476"/>
      <c r="BF34" s="476"/>
      <c r="BG34" s="476"/>
      <c r="BH34" s="476"/>
      <c r="BI34" s="476"/>
      <c r="BJ34" s="39">
        <f>G34+L34+Q34+V34+AF34</f>
        <v>0</v>
      </c>
      <c r="BK34" s="39">
        <f>H34+M34+R34+W34+AG34</f>
        <v>0</v>
      </c>
      <c r="BL34" s="48"/>
      <c r="BM34" s="48"/>
      <c r="BN34" s="48"/>
    </row>
    <row r="35" spans="1:66" s="88" customFormat="1" ht="13.8" outlineLevel="1">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91"/>
      <c r="P35" s="91"/>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404"/>
      <c r="AF35" s="634"/>
      <c r="AG35" s="634"/>
      <c r="AH35" s="634">
        <f>AH36</f>
        <v>0</v>
      </c>
      <c r="AI35" s="634"/>
      <c r="AJ35" s="634"/>
      <c r="AK35" s="634"/>
      <c r="AL35" s="634"/>
      <c r="AM35" s="634">
        <f>AM36</f>
        <v>0</v>
      </c>
      <c r="AN35" s="634"/>
      <c r="AO35" s="634"/>
      <c r="AP35" s="634"/>
      <c r="AQ35" s="634"/>
      <c r="AR35" s="634">
        <f>AR36</f>
        <v>0</v>
      </c>
      <c r="AS35" s="634"/>
      <c r="AT35" s="634"/>
      <c r="AU35" s="634"/>
      <c r="AV35" s="634"/>
      <c r="AW35" s="634">
        <f>AW36</f>
        <v>0</v>
      </c>
      <c r="AX35" s="634"/>
      <c r="AY35" s="634"/>
      <c r="AZ35" s="634"/>
      <c r="BA35" s="634"/>
      <c r="BB35" s="634">
        <f>BB36</f>
        <v>0</v>
      </c>
      <c r="BC35" s="634"/>
      <c r="BD35" s="634"/>
      <c r="BE35" s="634"/>
      <c r="BF35" s="634"/>
      <c r="BG35" s="634">
        <f>BG36</f>
        <v>0</v>
      </c>
      <c r="BH35" s="634"/>
      <c r="BI35" s="634"/>
      <c r="BJ35" s="90">
        <f>BJ36</f>
        <v>0</v>
      </c>
      <c r="BK35" s="90">
        <f>BK36</f>
        <v>0</v>
      </c>
      <c r="BL35" s="91">
        <f>BL36</f>
        <v>0</v>
      </c>
      <c r="BM35" s="91"/>
      <c r="BN35" s="91"/>
    </row>
    <row r="36" spans="1:66" s="226" customFormat="1" ht="13.8" outlineLevel="3">
      <c r="A36" s="238"/>
      <c r="B36" s="19" t="s">
        <v>81</v>
      </c>
      <c r="C36" s="43"/>
      <c r="D36" s="49"/>
      <c r="E36" s="106">
        <f>C36+D36</f>
        <v>0</v>
      </c>
      <c r="F36" s="178">
        <f>E36/$E$89</f>
        <v>0</v>
      </c>
      <c r="G36" s="39"/>
      <c r="H36" s="39"/>
      <c r="I36" s="106">
        <f>G36+H36*1</f>
        <v>0</v>
      </c>
      <c r="J36" s="178">
        <f>I36/$I$89</f>
        <v>0</v>
      </c>
      <c r="K36" s="45"/>
      <c r="L36" s="39"/>
      <c r="M36" s="39"/>
      <c r="N36" s="106">
        <f>L36+M36*1</f>
        <v>0</v>
      </c>
      <c r="O36" s="178">
        <f>N36/$N$89</f>
        <v>0</v>
      </c>
      <c r="P36" s="45"/>
      <c r="Q36" s="39"/>
      <c r="R36" s="39"/>
      <c r="S36" s="106">
        <f>Q36+R36*1</f>
        <v>0</v>
      </c>
      <c r="T36" s="178">
        <f>S36/$N$89</f>
        <v>0</v>
      </c>
      <c r="U36" s="45"/>
      <c r="V36" s="39"/>
      <c r="W36" s="39"/>
      <c r="X36" s="106">
        <f>V36+W36*1</f>
        <v>0</v>
      </c>
      <c r="Y36" s="178">
        <f>X36/$N$89</f>
        <v>0</v>
      </c>
      <c r="Z36" s="45"/>
      <c r="AA36" s="39"/>
      <c r="AB36" s="39"/>
      <c r="AC36" s="106">
        <f>AA36+AB36*1</f>
        <v>0</v>
      </c>
      <c r="AD36" s="178">
        <f>AC36/$N$89</f>
        <v>0</v>
      </c>
      <c r="AE36" s="45"/>
      <c r="AF36" s="642"/>
      <c r="AG36" s="642"/>
      <c r="AH36" s="642">
        <f>AF36+AG36*1</f>
        <v>0</v>
      </c>
      <c r="AI36" s="642"/>
      <c r="AJ36" s="642"/>
      <c r="AK36" s="642"/>
      <c r="AL36" s="642"/>
      <c r="AM36" s="642">
        <f>AK36+AL36*1</f>
        <v>0</v>
      </c>
      <c r="AN36" s="642"/>
      <c r="AO36" s="642"/>
      <c r="AP36" s="642"/>
      <c r="AQ36" s="642"/>
      <c r="AR36" s="642">
        <f>AP36+AQ36*1</f>
        <v>0</v>
      </c>
      <c r="AS36" s="642"/>
      <c r="AT36" s="642"/>
      <c r="AU36" s="642"/>
      <c r="AV36" s="642"/>
      <c r="AW36" s="642">
        <f>AU36+AV36*1</f>
        <v>0</v>
      </c>
      <c r="AX36" s="642"/>
      <c r="AY36" s="642"/>
      <c r="AZ36" s="642"/>
      <c r="BA36" s="642"/>
      <c r="BB36" s="642">
        <f>AZ36+BA36*1</f>
        <v>0</v>
      </c>
      <c r="BC36" s="642"/>
      <c r="BD36" s="642"/>
      <c r="BE36" s="642"/>
      <c r="BF36" s="642"/>
      <c r="BG36" s="642">
        <f>BE36+BF36*1</f>
        <v>0</v>
      </c>
      <c r="BH36" s="642"/>
      <c r="BI36" s="642"/>
      <c r="BJ36" s="39">
        <f>G36+L36</f>
        <v>0</v>
      </c>
      <c r="BK36" s="39">
        <f>H36+M36</f>
        <v>0</v>
      </c>
      <c r="BL36" s="106">
        <f>BJ36+BK36*1</f>
        <v>0</v>
      </c>
      <c r="BM36" s="178">
        <f>BL36/$BL$89</f>
        <v>0</v>
      </c>
      <c r="BN36" s="45"/>
    </row>
    <row r="37" spans="1:66" s="2" customFormat="1" ht="14.4" outlineLevel="1" thickBot="1">
      <c r="A37" s="4"/>
      <c r="B37" s="14"/>
      <c r="C37" s="50"/>
      <c r="D37" s="51"/>
      <c r="E37" s="52"/>
      <c r="F37" s="181"/>
      <c r="G37" s="39"/>
      <c r="H37" s="39"/>
      <c r="I37" s="52"/>
      <c r="J37" s="52"/>
      <c r="K37" s="52"/>
      <c r="L37" s="39"/>
      <c r="M37" s="39"/>
      <c r="N37" s="52"/>
      <c r="O37" s="52"/>
      <c r="P37" s="52"/>
      <c r="Q37" s="39"/>
      <c r="R37" s="39"/>
      <c r="S37" s="52"/>
      <c r="T37" s="52"/>
      <c r="U37" s="52"/>
      <c r="V37" s="39"/>
      <c r="W37" s="39"/>
      <c r="X37" s="52"/>
      <c r="Y37" s="52"/>
      <c r="Z37" s="52"/>
      <c r="AA37" s="39"/>
      <c r="AB37" s="39"/>
      <c r="AC37" s="52"/>
      <c r="AD37" s="52"/>
      <c r="AE37" s="52"/>
      <c r="AF37" s="647"/>
      <c r="AG37" s="647"/>
      <c r="AH37" s="647"/>
      <c r="AI37" s="647"/>
      <c r="AJ37" s="647"/>
      <c r="AK37" s="647"/>
      <c r="AL37" s="647"/>
      <c r="AM37" s="647"/>
      <c r="AN37" s="647"/>
      <c r="AO37" s="647"/>
      <c r="AP37" s="647"/>
      <c r="AQ37" s="647"/>
      <c r="AR37" s="647"/>
      <c r="AS37" s="647"/>
      <c r="AT37" s="647"/>
      <c r="AU37" s="647"/>
      <c r="AV37" s="647"/>
      <c r="AW37" s="647"/>
      <c r="AX37" s="647"/>
      <c r="AY37" s="647"/>
      <c r="AZ37" s="647"/>
      <c r="BA37" s="647"/>
      <c r="BB37" s="647"/>
      <c r="BC37" s="647"/>
      <c r="BD37" s="647"/>
      <c r="BE37" s="647"/>
      <c r="BF37" s="647"/>
      <c r="BG37" s="647"/>
      <c r="BH37" s="647"/>
      <c r="BI37" s="647"/>
      <c r="BJ37" s="39"/>
      <c r="BK37" s="39"/>
      <c r="BL37" s="52"/>
      <c r="BM37" s="52"/>
      <c r="BN37" s="52"/>
    </row>
    <row r="38" spans="1:66" ht="14.4" thickBot="1">
      <c r="A38" s="33"/>
      <c r="B38" s="34" t="s">
        <v>46</v>
      </c>
      <c r="C38" s="53">
        <f>(C5)-(C8)</f>
        <v>2065067</v>
      </c>
      <c r="D38" s="53">
        <f>(D5)-(D8)</f>
        <v>-964731</v>
      </c>
      <c r="E38" s="53">
        <f>(E5)-(E8)</f>
        <v>1100336</v>
      </c>
      <c r="F38" s="166"/>
      <c r="G38" s="53">
        <f>(G5)-(G8)</f>
        <v>2258140.1609000014</v>
      </c>
      <c r="H38" s="53">
        <f>(H5)-(H8)</f>
        <v>-1664752.22</v>
      </c>
      <c r="I38" s="53">
        <f>(I5)-(I8)</f>
        <v>593387.94089999981</v>
      </c>
      <c r="J38" s="53"/>
      <c r="K38" s="53"/>
      <c r="L38" s="53">
        <f>(L5)-(L8)</f>
        <v>-30397.77</v>
      </c>
      <c r="M38" s="53">
        <f>(M5)-(M8)</f>
        <v>-44134.75</v>
      </c>
      <c r="N38" s="53">
        <f>(N5)-(N8)</f>
        <v>-74532.52</v>
      </c>
      <c r="O38" s="53"/>
      <c r="P38" s="53"/>
      <c r="Q38" s="53">
        <f>(Q5)-(Q8)</f>
        <v>1298576.99</v>
      </c>
      <c r="R38" s="53">
        <f>(R5)-(R8)</f>
        <v>0</v>
      </c>
      <c r="S38" s="53">
        <f>(S5)-(S8)</f>
        <v>1298576.99</v>
      </c>
      <c r="T38" s="53"/>
      <c r="U38" s="53"/>
      <c r="V38" s="53">
        <f>(V5)-(V8)</f>
        <v>0</v>
      </c>
      <c r="W38" s="53">
        <f>(W5)-(W8)</f>
        <v>1200</v>
      </c>
      <c r="X38" s="53">
        <f>(X5)-(X8)</f>
        <v>1200</v>
      </c>
      <c r="Y38" s="53"/>
      <c r="Z38" s="53"/>
      <c r="AA38" s="53">
        <f>(AA5)-(AA8)</f>
        <v>0</v>
      </c>
      <c r="AB38" s="53">
        <f>(AB5)-(AB8)</f>
        <v>0</v>
      </c>
      <c r="AC38" s="53">
        <f>(AC5)-(AC8)</f>
        <v>0</v>
      </c>
      <c r="AD38" s="53"/>
      <c r="AE38" s="53"/>
      <c r="AF38" s="648"/>
      <c r="AG38" s="648"/>
      <c r="AH38" s="648">
        <f>(AH5)-(AH8)</f>
        <v>0</v>
      </c>
      <c r="AI38" s="648"/>
      <c r="AJ38" s="648"/>
      <c r="AK38" s="648"/>
      <c r="AL38" s="648"/>
      <c r="AM38" s="648">
        <f>(AM5)-(AM8)</f>
        <v>0</v>
      </c>
      <c r="AN38" s="648"/>
      <c r="AO38" s="648"/>
      <c r="AP38" s="648"/>
      <c r="AQ38" s="648"/>
      <c r="AR38" s="648">
        <f>(AR5)-(AR8)</f>
        <v>0</v>
      </c>
      <c r="AS38" s="648"/>
      <c r="AT38" s="648"/>
      <c r="AU38" s="648"/>
      <c r="AV38" s="648"/>
      <c r="AW38" s="648">
        <f>(AW5)-(AW8)</f>
        <v>0</v>
      </c>
      <c r="AX38" s="648"/>
      <c r="AY38" s="648"/>
      <c r="AZ38" s="648"/>
      <c r="BA38" s="648"/>
      <c r="BB38" s="648">
        <f>(BB5)-(BB8)</f>
        <v>0</v>
      </c>
      <c r="BC38" s="648"/>
      <c r="BD38" s="648"/>
      <c r="BE38" s="648"/>
      <c r="BF38" s="648"/>
      <c r="BG38" s="648">
        <f>(BG5)-(BG8)</f>
        <v>-147260.55600000001</v>
      </c>
      <c r="BH38" s="648"/>
      <c r="BI38" s="648"/>
      <c r="BJ38" s="53">
        <f>(BJ5)-(BJ8)</f>
        <v>3379058.8249000013</v>
      </c>
      <c r="BK38" s="53">
        <f>(BK5)-(BK8)</f>
        <v>-1707686.97</v>
      </c>
      <c r="BL38" s="53">
        <f>(BL5)-(BL8)</f>
        <v>1671371.8549000006</v>
      </c>
      <c r="BM38" s="53"/>
      <c r="BN38" s="53"/>
    </row>
    <row r="39" spans="1:66" ht="13.8">
      <c r="A39" s="293"/>
      <c r="B39" s="15" t="s">
        <v>47</v>
      </c>
      <c r="C39" s="157">
        <f>C38/(C5)</f>
        <v>0.34006161420117098</v>
      </c>
      <c r="D39" s="157" t="e">
        <f>D38/(D5)</f>
        <v>#DIV/0!</v>
      </c>
      <c r="E39" s="158">
        <f>E38/(E5)</f>
        <v>0.18119607563515355</v>
      </c>
      <c r="F39" s="167"/>
      <c r="G39" s="54">
        <f>G38/(G5)</f>
        <v>0.23331519937551301</v>
      </c>
      <c r="H39" s="54" t="e">
        <f>H38/(H5)</f>
        <v>#DIV/0!</v>
      </c>
      <c r="I39" s="55">
        <f>I38/(I5)</f>
        <v>6.1309934668948789E-2</v>
      </c>
      <c r="J39" s="55"/>
      <c r="K39" s="55"/>
      <c r="L39" s="54" t="e">
        <f>L38/(L5)</f>
        <v>#DIV/0!</v>
      </c>
      <c r="M39" s="54" t="e">
        <f>M38/(M5)</f>
        <v>#DIV/0!</v>
      </c>
      <c r="N39" s="55" t="e">
        <f>N38/(N5)</f>
        <v>#DIV/0!</v>
      </c>
      <c r="O39" s="55"/>
      <c r="P39" s="55"/>
      <c r="Q39" s="54">
        <f>Q38/(Q5)</f>
        <v>0.9994997178976357</v>
      </c>
      <c r="R39" s="54" t="e">
        <f>R38/(R5)</f>
        <v>#DIV/0!</v>
      </c>
      <c r="S39" s="55">
        <f>S38/(S5)</f>
        <v>0.9994997178976357</v>
      </c>
      <c r="T39" s="55"/>
      <c r="U39" s="55"/>
      <c r="V39" s="54" t="e">
        <f>V38/(V5)</f>
        <v>#DIV/0!</v>
      </c>
      <c r="W39" s="54">
        <f>W38/(W5)</f>
        <v>1</v>
      </c>
      <c r="X39" s="55">
        <f>X38/(X5)</f>
        <v>1</v>
      </c>
      <c r="Y39" s="55"/>
      <c r="Z39" s="55"/>
      <c r="AA39" s="54" t="e">
        <f>AA38/(AA5)</f>
        <v>#DIV/0!</v>
      </c>
      <c r="AB39" s="54" t="e">
        <f>AB38/(AB5)</f>
        <v>#DIV/0!</v>
      </c>
      <c r="AC39" s="55" t="e">
        <f>AC38/(AC5)</f>
        <v>#DIV/0!</v>
      </c>
      <c r="AD39" s="55"/>
      <c r="AE39" s="55"/>
      <c r="AF39" s="639"/>
      <c r="AG39" s="639"/>
      <c r="AH39" s="639" t="e">
        <f>AH38/(AH5)</f>
        <v>#DIV/0!</v>
      </c>
      <c r="AI39" s="639"/>
      <c r="AJ39" s="639"/>
      <c r="AK39" s="639"/>
      <c r="AL39" s="639"/>
      <c r="AM39" s="639" t="e">
        <f>AM38/(AM5)</f>
        <v>#DIV/0!</v>
      </c>
      <c r="AN39" s="639"/>
      <c r="AO39" s="639"/>
      <c r="AP39" s="639"/>
      <c r="AQ39" s="639"/>
      <c r="AR39" s="639" t="e">
        <f>AR38/(AR5)</f>
        <v>#DIV/0!</v>
      </c>
      <c r="AS39" s="639"/>
      <c r="AT39" s="639"/>
      <c r="AU39" s="639"/>
      <c r="AV39" s="639"/>
      <c r="AW39" s="639" t="e">
        <f>AW38/(AW5)</f>
        <v>#DIV/0!</v>
      </c>
      <c r="AX39" s="639"/>
      <c r="AY39" s="639"/>
      <c r="AZ39" s="639"/>
      <c r="BA39" s="639"/>
      <c r="BB39" s="639" t="e">
        <f>BB38/(BB5)</f>
        <v>#DIV/0!</v>
      </c>
      <c r="BC39" s="639"/>
      <c r="BD39" s="639"/>
      <c r="BE39" s="639"/>
      <c r="BF39" s="639"/>
      <c r="BG39" s="639" t="e">
        <f>BG38/(BG5)</f>
        <v>#DIV/0!</v>
      </c>
      <c r="BH39" s="639"/>
      <c r="BI39" s="639"/>
      <c r="BJ39" s="54">
        <f>BJ38/(BJ5)</f>
        <v>0.30781054661728713</v>
      </c>
      <c r="BK39" s="54">
        <f>BK38/(BK5)</f>
        <v>-1423.0724749999999</v>
      </c>
      <c r="BL39" s="55">
        <f>BL38/(BL5)</f>
        <v>0.15223459537610193</v>
      </c>
      <c r="BM39" s="55"/>
      <c r="BN39" s="55"/>
    </row>
    <row r="40" spans="1:66" ht="14.4" outlineLevel="1" thickBot="1">
      <c r="A40" s="295"/>
      <c r="B40" s="16"/>
      <c r="C40" s="56"/>
      <c r="D40" s="57"/>
      <c r="E40" s="58"/>
      <c r="F40" s="16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649"/>
      <c r="AG40" s="649"/>
      <c r="AH40" s="649"/>
      <c r="AI40" s="649"/>
      <c r="AJ40" s="649"/>
      <c r="AK40" s="649"/>
      <c r="AL40" s="649"/>
      <c r="AM40" s="649"/>
      <c r="AN40" s="649"/>
      <c r="AO40" s="649"/>
      <c r="AP40" s="649"/>
      <c r="AQ40" s="649"/>
      <c r="AR40" s="649"/>
      <c r="AS40" s="649"/>
      <c r="AT40" s="649"/>
      <c r="AU40" s="649"/>
      <c r="AV40" s="649"/>
      <c r="AW40" s="649"/>
      <c r="AX40" s="649"/>
      <c r="AY40" s="649"/>
      <c r="AZ40" s="649"/>
      <c r="BA40" s="649"/>
      <c r="BB40" s="649"/>
      <c r="BC40" s="649"/>
      <c r="BD40" s="649"/>
      <c r="BE40" s="649"/>
      <c r="BF40" s="649"/>
      <c r="BG40" s="649"/>
      <c r="BH40" s="649"/>
      <c r="BI40" s="649"/>
      <c r="BJ40" s="58"/>
      <c r="BK40" s="58"/>
      <c r="BL40" s="58"/>
      <c r="BM40" s="58"/>
      <c r="BN40" s="58"/>
    </row>
    <row r="41" spans="1:66" ht="13.8" outlineLevel="1">
      <c r="A41" s="11"/>
      <c r="B41" s="22" t="s">
        <v>26</v>
      </c>
      <c r="C41" s="117">
        <f>SUM(C42:C48)</f>
        <v>7500</v>
      </c>
      <c r="D41" s="117">
        <f>SUM(D42:D48)</f>
        <v>0</v>
      </c>
      <c r="E41" s="118">
        <f>SUM(E42:E48)</f>
        <v>7500</v>
      </c>
      <c r="F41" s="169">
        <f t="shared" ref="F41:F48" si="36">E41/$E$89</f>
        <v>1.4215802916566439E-3</v>
      </c>
      <c r="G41" s="117">
        <f>SUM(G42:G48)</f>
        <v>34788.54</v>
      </c>
      <c r="H41" s="117">
        <f>SUM(H42:H48)</f>
        <v>5658.2</v>
      </c>
      <c r="I41" s="118">
        <f>SUM(I42:I48)</f>
        <v>40446.74</v>
      </c>
      <c r="J41" s="169">
        <f t="shared" ref="J41:J49" si="37">I41/$I$89</f>
        <v>4.1958339437419634E-3</v>
      </c>
      <c r="K41" s="60"/>
      <c r="L41" s="117">
        <f>SUM(L42:L48)</f>
        <v>464</v>
      </c>
      <c r="M41" s="117">
        <f>SUM(M42:M48)</f>
        <v>500</v>
      </c>
      <c r="N41" s="118">
        <f>SUM(N42:N48)</f>
        <v>964</v>
      </c>
      <c r="O41" s="169">
        <f t="shared" ref="O41:O49" si="38">N41/$N$89</f>
        <v>1.1727659564685603E-2</v>
      </c>
      <c r="P41" s="60"/>
      <c r="Q41" s="117">
        <f>SUM(Q42:Q48)</f>
        <v>195</v>
      </c>
      <c r="R41" s="117">
        <f>SUM(R42:R48)</f>
        <v>0</v>
      </c>
      <c r="S41" s="118">
        <f>SUM(S42:S48)</f>
        <v>195</v>
      </c>
      <c r="T41" s="169">
        <f t="shared" ref="T41:T49" si="39">S41/$N$89</f>
        <v>2.3722962812382704E-3</v>
      </c>
      <c r="U41" s="60"/>
      <c r="V41" s="117">
        <f>SUM(V42:V48)</f>
        <v>0</v>
      </c>
      <c r="W41" s="117">
        <f>SUM(W42:W48)</f>
        <v>0</v>
      </c>
      <c r="X41" s="118">
        <f>SUM(X42:X48)</f>
        <v>0</v>
      </c>
      <c r="Y41" s="169">
        <f t="shared" ref="Y41:Y46" si="40">X41/$N$89</f>
        <v>0</v>
      </c>
      <c r="Z41" s="60"/>
      <c r="AA41" s="117">
        <f>SUM(AA42:AA48)</f>
        <v>52</v>
      </c>
      <c r="AB41" s="117">
        <f>SUM(AB42:AB48)</f>
        <v>0</v>
      </c>
      <c r="AC41" s="118">
        <f>SUM(AC42:AC48)</f>
        <v>52</v>
      </c>
      <c r="AD41" s="169">
        <f t="shared" ref="AD41:AD46" si="41">AC41/$N$89</f>
        <v>6.3261234166353878E-4</v>
      </c>
      <c r="AE41" s="60"/>
      <c r="AF41" s="650"/>
      <c r="AG41" s="650"/>
      <c r="AH41" s="650">
        <f>SUM(AH42:AH48)</f>
        <v>0</v>
      </c>
      <c r="AI41" s="650"/>
      <c r="AJ41" s="650"/>
      <c r="AK41" s="650"/>
      <c r="AL41" s="650"/>
      <c r="AM41" s="650">
        <f>SUM(AM42:AM48)</f>
        <v>192</v>
      </c>
      <c r="AN41" s="650"/>
      <c r="AO41" s="650"/>
      <c r="AP41" s="650"/>
      <c r="AQ41" s="650"/>
      <c r="AR41" s="650">
        <f>SUM(AR42:AR48)</f>
        <v>113</v>
      </c>
      <c r="AS41" s="650"/>
      <c r="AT41" s="650"/>
      <c r="AU41" s="650"/>
      <c r="AV41" s="650"/>
      <c r="AW41" s="650">
        <f>SUM(AW42:AW48)</f>
        <v>0</v>
      </c>
      <c r="AX41" s="650"/>
      <c r="AY41" s="650"/>
      <c r="AZ41" s="650"/>
      <c r="BA41" s="650"/>
      <c r="BB41" s="650">
        <f>SUM(BB42:BB48)</f>
        <v>0</v>
      </c>
      <c r="BC41" s="650"/>
      <c r="BD41" s="650"/>
      <c r="BE41" s="650"/>
      <c r="BF41" s="650"/>
      <c r="BG41" s="650">
        <f>SUM(BG42:BG48)</f>
        <v>0</v>
      </c>
      <c r="BH41" s="650"/>
      <c r="BI41" s="650"/>
      <c r="BJ41" s="117">
        <f>SUM(BJ42:BJ48)</f>
        <v>35752.54</v>
      </c>
      <c r="BK41" s="117">
        <f>SUM(BK42:BK48)</f>
        <v>6158.2</v>
      </c>
      <c r="BL41" s="118">
        <f>SUM(BL42:BL48)</f>
        <v>41910.74</v>
      </c>
      <c r="BM41" s="169">
        <f>BL41/$BL$89</f>
        <v>4.2451907968595222E-3</v>
      </c>
      <c r="BN41" s="60"/>
    </row>
    <row r="42" spans="1:66" ht="43.2" customHeight="1" outlineLevel="2">
      <c r="A42" s="4833"/>
      <c r="B42" s="18" t="s">
        <v>7</v>
      </c>
      <c r="C42" s="113"/>
      <c r="D42" s="119"/>
      <c r="E42" s="120">
        <f t="shared" ref="E42:E48" si="42">C42+D42</f>
        <v>0</v>
      </c>
      <c r="F42" s="178">
        <f t="shared" si="36"/>
        <v>0</v>
      </c>
      <c r="G42" s="39">
        <v>0</v>
      </c>
      <c r="H42" s="39">
        <v>0</v>
      </c>
      <c r="I42" s="106">
        <f t="shared" ref="I42:I48" si="43">G42+H42*1</f>
        <v>0</v>
      </c>
      <c r="J42" s="178">
        <f t="shared" si="37"/>
        <v>0</v>
      </c>
      <c r="K42" s="79"/>
      <c r="L42" s="39"/>
      <c r="M42" s="39"/>
      <c r="N42" s="106">
        <f t="shared" ref="N42:N48" si="44">L42+M42*1</f>
        <v>0</v>
      </c>
      <c r="O42" s="178">
        <f t="shared" si="38"/>
        <v>0</v>
      </c>
      <c r="P42" s="79"/>
      <c r="Q42" s="39"/>
      <c r="R42" s="39"/>
      <c r="S42" s="106">
        <f t="shared" ref="S42:S48" si="45">Q42+R42*1</f>
        <v>0</v>
      </c>
      <c r="T42" s="178">
        <f t="shared" si="39"/>
        <v>0</v>
      </c>
      <c r="U42" s="79"/>
      <c r="V42" s="39"/>
      <c r="W42" s="39"/>
      <c r="X42" s="106">
        <f t="shared" ref="X42:X48" si="46">V42+W42*1</f>
        <v>0</v>
      </c>
      <c r="Y42" s="178">
        <f t="shared" si="40"/>
        <v>0</v>
      </c>
      <c r="Z42" s="79"/>
      <c r="AA42" s="39"/>
      <c r="AB42" s="39"/>
      <c r="AC42" s="106">
        <f t="shared" ref="AC42:AC48" si="47">AA42+AB42*1</f>
        <v>0</v>
      </c>
      <c r="AD42" s="178">
        <f t="shared" si="41"/>
        <v>0</v>
      </c>
      <c r="AE42" s="79"/>
      <c r="AF42" s="456"/>
      <c r="AG42" s="456"/>
      <c r="AH42" s="456">
        <f t="shared" ref="AH42:AH48" si="48">AF42+AG42*1</f>
        <v>0</v>
      </c>
      <c r="AI42" s="456"/>
      <c r="AJ42" s="456"/>
      <c r="AK42" s="456"/>
      <c r="AL42" s="456"/>
      <c r="AM42" s="456">
        <f t="shared" ref="AM42:AM48" si="49">AK42+AL42*1</f>
        <v>0</v>
      </c>
      <c r="AN42" s="456"/>
      <c r="AO42" s="456"/>
      <c r="AP42" s="456"/>
      <c r="AQ42" s="456"/>
      <c r="AR42" s="456">
        <f t="shared" ref="AR42:AR48" si="50">AP42+AQ42*1</f>
        <v>0</v>
      </c>
      <c r="AS42" s="456"/>
      <c r="AT42" s="456"/>
      <c r="AU42" s="456"/>
      <c r="AV42" s="456"/>
      <c r="AW42" s="456">
        <f t="shared" ref="AW42:AW48" si="51">AU42+AV42*1</f>
        <v>0</v>
      </c>
      <c r="AX42" s="456"/>
      <c r="AY42" s="456"/>
      <c r="AZ42" s="456"/>
      <c r="BA42" s="456"/>
      <c r="BB42" s="456">
        <f t="shared" ref="BB42:BB48" si="52">AZ42+BA42*1</f>
        <v>0</v>
      </c>
      <c r="BC42" s="456"/>
      <c r="BD42" s="456"/>
      <c r="BE42" s="456"/>
      <c r="BF42" s="456"/>
      <c r="BG42" s="456">
        <f t="shared" ref="BG42:BG48" si="53">BE42+BF42*1</f>
        <v>0</v>
      </c>
      <c r="BH42" s="456"/>
      <c r="BI42" s="456"/>
      <c r="BJ42" s="39">
        <f t="shared" ref="BJ42:BJ48" si="54">G42+L42+Q42+V42+AF42+AK42+AP42+AU42+AZ42</f>
        <v>0</v>
      </c>
      <c r="BK42" s="39">
        <f t="shared" ref="BK42:BK48" si="55">H42+M42+R42+W42+AG42+AL42+AQ42+AV42+BA42</f>
        <v>0</v>
      </c>
      <c r="BL42" s="106">
        <f t="shared" ref="BL42:BL48" si="56">BJ42+BK42*1</f>
        <v>0</v>
      </c>
      <c r="BM42" s="178">
        <f t="shared" ref="BM42:BM72" si="57">BL42/$BL$89</f>
        <v>0</v>
      </c>
      <c r="BN42" s="79"/>
    </row>
    <row r="43" spans="1:66" ht="13.8" outlineLevel="2">
      <c r="A43" s="4833"/>
      <c r="B43" s="18" t="s">
        <v>27</v>
      </c>
      <c r="C43" s="113"/>
      <c r="D43" s="119"/>
      <c r="E43" s="120">
        <f t="shared" si="42"/>
        <v>0</v>
      </c>
      <c r="F43" s="178">
        <f t="shared" si="36"/>
        <v>0</v>
      </c>
      <c r="G43" s="39">
        <v>0</v>
      </c>
      <c r="H43" s="39">
        <v>4662.2</v>
      </c>
      <c r="I43" s="106">
        <f t="shared" si="43"/>
        <v>4662.2</v>
      </c>
      <c r="J43" s="178">
        <f t="shared" si="37"/>
        <v>4.8364384898545054E-4</v>
      </c>
      <c r="K43" s="79"/>
      <c r="L43" s="39"/>
      <c r="M43" s="39">
        <v>500</v>
      </c>
      <c r="N43" s="106">
        <f t="shared" si="44"/>
        <v>500</v>
      </c>
      <c r="O43" s="178">
        <f t="shared" si="38"/>
        <v>6.0828109775340261E-3</v>
      </c>
      <c r="P43" s="79" t="s">
        <v>514</v>
      </c>
      <c r="Q43" s="39"/>
      <c r="R43" s="39"/>
      <c r="S43" s="106">
        <f t="shared" si="45"/>
        <v>0</v>
      </c>
      <c r="T43" s="178">
        <f t="shared" si="39"/>
        <v>0</v>
      </c>
      <c r="U43" s="79"/>
      <c r="V43" s="39"/>
      <c r="W43" s="39"/>
      <c r="X43" s="106">
        <f t="shared" si="46"/>
        <v>0</v>
      </c>
      <c r="Y43" s="178">
        <f t="shared" si="40"/>
        <v>0</v>
      </c>
      <c r="Z43" s="79"/>
      <c r="AA43" s="39"/>
      <c r="AB43" s="39"/>
      <c r="AC43" s="106">
        <f t="shared" si="47"/>
        <v>0</v>
      </c>
      <c r="AD43" s="178">
        <f t="shared" si="41"/>
        <v>0</v>
      </c>
      <c r="AE43" s="79"/>
      <c r="AF43" s="456"/>
      <c r="AG43" s="456"/>
      <c r="AH43" s="456">
        <f t="shared" si="48"/>
        <v>0</v>
      </c>
      <c r="AI43" s="456"/>
      <c r="AJ43" s="456"/>
      <c r="AK43" s="456"/>
      <c r="AL43" s="456"/>
      <c r="AM43" s="456">
        <f t="shared" si="49"/>
        <v>0</v>
      </c>
      <c r="AN43" s="456"/>
      <c r="AO43" s="456"/>
      <c r="AP43" s="456"/>
      <c r="AQ43" s="456"/>
      <c r="AR43" s="456">
        <f t="shared" si="50"/>
        <v>0</v>
      </c>
      <c r="AS43" s="456"/>
      <c r="AT43" s="456"/>
      <c r="AU43" s="456"/>
      <c r="AV43" s="456"/>
      <c r="AW43" s="456">
        <f t="shared" si="51"/>
        <v>0</v>
      </c>
      <c r="AX43" s="456"/>
      <c r="AY43" s="456"/>
      <c r="AZ43" s="456"/>
      <c r="BA43" s="456"/>
      <c r="BB43" s="456">
        <f t="shared" si="52"/>
        <v>0</v>
      </c>
      <c r="BC43" s="456"/>
      <c r="BD43" s="456"/>
      <c r="BE43" s="456"/>
      <c r="BF43" s="456"/>
      <c r="BG43" s="456">
        <f t="shared" si="53"/>
        <v>0</v>
      </c>
      <c r="BH43" s="456"/>
      <c r="BI43" s="456"/>
      <c r="BJ43" s="39">
        <f t="shared" si="54"/>
        <v>0</v>
      </c>
      <c r="BK43" s="39">
        <f t="shared" si="55"/>
        <v>5162.2</v>
      </c>
      <c r="BL43" s="106">
        <f t="shared" si="56"/>
        <v>5162.2</v>
      </c>
      <c r="BM43" s="178">
        <f t="shared" si="57"/>
        <v>5.2288563579522165E-4</v>
      </c>
      <c r="BN43" s="79"/>
    </row>
    <row r="44" spans="1:66" ht="67.2" customHeight="1" outlineLevel="2">
      <c r="A44" s="4833"/>
      <c r="B44" s="19" t="s">
        <v>28</v>
      </c>
      <c r="C44" s="113">
        <v>2000</v>
      </c>
      <c r="D44" s="119"/>
      <c r="E44" s="120">
        <f t="shared" si="42"/>
        <v>2000</v>
      </c>
      <c r="F44" s="178">
        <f t="shared" si="36"/>
        <v>3.7908807777510507E-4</v>
      </c>
      <c r="G44" s="39">
        <v>0</v>
      </c>
      <c r="H44" s="39">
        <v>240</v>
      </c>
      <c r="I44" s="106">
        <f t="shared" si="43"/>
        <v>240</v>
      </c>
      <c r="J44" s="178">
        <f t="shared" si="37"/>
        <v>2.4896942163894326E-5</v>
      </c>
      <c r="K44" s="79"/>
      <c r="L44" s="39"/>
      <c r="M44" s="39"/>
      <c r="N44" s="106">
        <f t="shared" si="44"/>
        <v>0</v>
      </c>
      <c r="O44" s="178">
        <f t="shared" si="38"/>
        <v>0</v>
      </c>
      <c r="P44" s="79"/>
      <c r="Q44" s="39"/>
      <c r="R44" s="39"/>
      <c r="S44" s="106">
        <f t="shared" si="45"/>
        <v>0</v>
      </c>
      <c r="T44" s="178">
        <f t="shared" si="39"/>
        <v>0</v>
      </c>
      <c r="U44" s="79"/>
      <c r="V44" s="39"/>
      <c r="W44" s="39"/>
      <c r="X44" s="106">
        <f t="shared" si="46"/>
        <v>0</v>
      </c>
      <c r="Y44" s="178">
        <f t="shared" si="40"/>
        <v>0</v>
      </c>
      <c r="Z44" s="79"/>
      <c r="AA44" s="39"/>
      <c r="AB44" s="39"/>
      <c r="AC44" s="106">
        <f t="shared" si="47"/>
        <v>0</v>
      </c>
      <c r="AD44" s="178">
        <f t="shared" si="41"/>
        <v>0</v>
      </c>
      <c r="AE44" s="79"/>
      <c r="AF44" s="456"/>
      <c r="AG44" s="456"/>
      <c r="AH44" s="456">
        <f t="shared" si="48"/>
        <v>0</v>
      </c>
      <c r="AI44" s="456"/>
      <c r="AJ44" s="456"/>
      <c r="AK44" s="456"/>
      <c r="AL44" s="456"/>
      <c r="AM44" s="456">
        <f t="shared" si="49"/>
        <v>0</v>
      </c>
      <c r="AN44" s="456"/>
      <c r="AO44" s="456"/>
      <c r="AP44" s="456"/>
      <c r="AQ44" s="456"/>
      <c r="AR44" s="456">
        <f t="shared" si="50"/>
        <v>0</v>
      </c>
      <c r="AS44" s="456"/>
      <c r="AT44" s="456"/>
      <c r="AU44" s="456"/>
      <c r="AV44" s="456"/>
      <c r="AW44" s="456">
        <f t="shared" si="51"/>
        <v>0</v>
      </c>
      <c r="AX44" s="456"/>
      <c r="AY44" s="456"/>
      <c r="AZ44" s="456"/>
      <c r="BA44" s="456"/>
      <c r="BB44" s="456">
        <f t="shared" si="52"/>
        <v>0</v>
      </c>
      <c r="BC44" s="456"/>
      <c r="BD44" s="456"/>
      <c r="BE44" s="456"/>
      <c r="BF44" s="456"/>
      <c r="BG44" s="456">
        <f t="shared" si="53"/>
        <v>0</v>
      </c>
      <c r="BH44" s="456"/>
      <c r="BI44" s="456"/>
      <c r="BJ44" s="39">
        <f t="shared" si="54"/>
        <v>0</v>
      </c>
      <c r="BK44" s="39">
        <f t="shared" si="55"/>
        <v>240</v>
      </c>
      <c r="BL44" s="106">
        <f t="shared" si="56"/>
        <v>240</v>
      </c>
      <c r="BM44" s="178">
        <f t="shared" si="57"/>
        <v>2.4309897445053117E-5</v>
      </c>
      <c r="BN44" s="79"/>
    </row>
    <row r="45" spans="1:66" ht="13.8" outlineLevel="2">
      <c r="A45" s="4833"/>
      <c r="B45" s="18" t="s">
        <v>8</v>
      </c>
      <c r="C45" s="113">
        <v>4000</v>
      </c>
      <c r="D45" s="119"/>
      <c r="E45" s="120">
        <f t="shared" si="42"/>
        <v>4000</v>
      </c>
      <c r="F45" s="178">
        <f t="shared" si="36"/>
        <v>7.5817615555021014E-4</v>
      </c>
      <c r="G45" s="39">
        <v>6781</v>
      </c>
      <c r="H45" s="39">
        <v>0</v>
      </c>
      <c r="I45" s="106">
        <f t="shared" si="43"/>
        <v>6781</v>
      </c>
      <c r="J45" s="178">
        <f t="shared" si="37"/>
        <v>7.0344235338903091E-4</v>
      </c>
      <c r="K45" s="79"/>
      <c r="L45" s="39"/>
      <c r="M45" s="39"/>
      <c r="N45" s="106">
        <f t="shared" si="44"/>
        <v>0</v>
      </c>
      <c r="O45" s="178">
        <f t="shared" si="38"/>
        <v>0</v>
      </c>
      <c r="P45" s="79"/>
      <c r="Q45" s="39"/>
      <c r="R45" s="39"/>
      <c r="S45" s="106">
        <f t="shared" si="45"/>
        <v>0</v>
      </c>
      <c r="T45" s="178">
        <f t="shared" si="39"/>
        <v>0</v>
      </c>
      <c r="U45" s="79"/>
      <c r="V45" s="39"/>
      <c r="W45" s="39"/>
      <c r="X45" s="106">
        <f t="shared" si="46"/>
        <v>0</v>
      </c>
      <c r="Y45" s="178">
        <f t="shared" si="40"/>
        <v>0</v>
      </c>
      <c r="Z45" s="79"/>
      <c r="AA45" s="39"/>
      <c r="AB45" s="39"/>
      <c r="AC45" s="106">
        <f t="shared" si="47"/>
        <v>0</v>
      </c>
      <c r="AD45" s="178">
        <f t="shared" si="41"/>
        <v>0</v>
      </c>
      <c r="AE45" s="79"/>
      <c r="AF45" s="456"/>
      <c r="AG45" s="456"/>
      <c r="AH45" s="456">
        <f t="shared" si="48"/>
        <v>0</v>
      </c>
      <c r="AI45" s="456"/>
      <c r="AJ45" s="456"/>
      <c r="AK45" s="456"/>
      <c r="AL45" s="456"/>
      <c r="AM45" s="456">
        <f t="shared" si="49"/>
        <v>0</v>
      </c>
      <c r="AN45" s="456"/>
      <c r="AO45" s="456"/>
      <c r="AP45" s="456"/>
      <c r="AQ45" s="456"/>
      <c r="AR45" s="456">
        <f t="shared" si="50"/>
        <v>0</v>
      </c>
      <c r="AS45" s="456"/>
      <c r="AT45" s="456"/>
      <c r="AU45" s="456"/>
      <c r="AV45" s="456"/>
      <c r="AW45" s="456">
        <f t="shared" si="51"/>
        <v>0</v>
      </c>
      <c r="AX45" s="456"/>
      <c r="AY45" s="456"/>
      <c r="AZ45" s="456"/>
      <c r="BA45" s="456"/>
      <c r="BB45" s="456">
        <f t="shared" si="52"/>
        <v>0</v>
      </c>
      <c r="BC45" s="456"/>
      <c r="BD45" s="456"/>
      <c r="BE45" s="456"/>
      <c r="BF45" s="456"/>
      <c r="BG45" s="456">
        <f t="shared" si="53"/>
        <v>0</v>
      </c>
      <c r="BH45" s="456"/>
      <c r="BI45" s="456"/>
      <c r="BJ45" s="39">
        <f t="shared" si="54"/>
        <v>6781</v>
      </c>
      <c r="BK45" s="39">
        <f t="shared" si="55"/>
        <v>0</v>
      </c>
      <c r="BL45" s="106">
        <f t="shared" si="56"/>
        <v>6781</v>
      </c>
      <c r="BM45" s="178">
        <f t="shared" si="57"/>
        <v>6.8685589406210495E-4</v>
      </c>
      <c r="BN45" s="79"/>
    </row>
    <row r="46" spans="1:66" ht="13.2" customHeight="1" outlineLevel="2">
      <c r="A46" s="4833"/>
      <c r="B46" s="18" t="s">
        <v>29</v>
      </c>
      <c r="C46" s="113"/>
      <c r="D46" s="119"/>
      <c r="E46" s="120">
        <f t="shared" si="42"/>
        <v>0</v>
      </c>
      <c r="F46" s="178">
        <f t="shared" si="36"/>
        <v>0</v>
      </c>
      <c r="G46" s="39">
        <v>0</v>
      </c>
      <c r="H46" s="39">
        <v>0</v>
      </c>
      <c r="I46" s="106">
        <f t="shared" si="43"/>
        <v>0</v>
      </c>
      <c r="J46" s="178">
        <f t="shared" si="37"/>
        <v>0</v>
      </c>
      <c r="K46" s="79"/>
      <c r="L46" s="39"/>
      <c r="M46" s="39"/>
      <c r="N46" s="106">
        <f t="shared" si="44"/>
        <v>0</v>
      </c>
      <c r="O46" s="178">
        <f t="shared" si="38"/>
        <v>0</v>
      </c>
      <c r="P46" s="79"/>
      <c r="Q46" s="39"/>
      <c r="R46" s="39"/>
      <c r="S46" s="106">
        <f t="shared" si="45"/>
        <v>0</v>
      </c>
      <c r="T46" s="178">
        <f t="shared" si="39"/>
        <v>0</v>
      </c>
      <c r="U46" s="79"/>
      <c r="V46" s="39"/>
      <c r="W46" s="39"/>
      <c r="X46" s="106">
        <f t="shared" si="46"/>
        <v>0</v>
      </c>
      <c r="Y46" s="178">
        <f t="shared" si="40"/>
        <v>0</v>
      </c>
      <c r="Z46" s="79"/>
      <c r="AA46" s="39"/>
      <c r="AB46" s="39"/>
      <c r="AC46" s="106">
        <f t="shared" si="47"/>
        <v>0</v>
      </c>
      <c r="AD46" s="178">
        <f t="shared" si="41"/>
        <v>0</v>
      </c>
      <c r="AE46" s="79"/>
      <c r="AF46" s="456"/>
      <c r="AG46" s="456"/>
      <c r="AH46" s="456">
        <f t="shared" si="48"/>
        <v>0</v>
      </c>
      <c r="AI46" s="456"/>
      <c r="AJ46" s="456"/>
      <c r="AK46" s="456"/>
      <c r="AL46" s="456"/>
      <c r="AM46" s="456">
        <f t="shared" si="49"/>
        <v>0</v>
      </c>
      <c r="AN46" s="456"/>
      <c r="AO46" s="456"/>
      <c r="AP46" s="456"/>
      <c r="AQ46" s="456"/>
      <c r="AR46" s="456">
        <f t="shared" si="50"/>
        <v>0</v>
      </c>
      <c r="AS46" s="456"/>
      <c r="AT46" s="456"/>
      <c r="AU46" s="456"/>
      <c r="AV46" s="456"/>
      <c r="AW46" s="456">
        <f t="shared" si="51"/>
        <v>0</v>
      </c>
      <c r="AX46" s="456"/>
      <c r="AY46" s="456"/>
      <c r="AZ46" s="456"/>
      <c r="BA46" s="456"/>
      <c r="BB46" s="456">
        <f t="shared" si="52"/>
        <v>0</v>
      </c>
      <c r="BC46" s="456"/>
      <c r="BD46" s="456"/>
      <c r="BE46" s="456"/>
      <c r="BF46" s="456"/>
      <c r="BG46" s="456">
        <f t="shared" si="53"/>
        <v>0</v>
      </c>
      <c r="BH46" s="456"/>
      <c r="BI46" s="456"/>
      <c r="BJ46" s="39">
        <f t="shared" si="54"/>
        <v>0</v>
      </c>
      <c r="BK46" s="39">
        <f t="shared" si="55"/>
        <v>0</v>
      </c>
      <c r="BL46" s="106">
        <f t="shared" si="56"/>
        <v>0</v>
      </c>
      <c r="BM46" s="178">
        <f t="shared" si="57"/>
        <v>0</v>
      </c>
      <c r="BN46" s="79"/>
    </row>
    <row r="47" spans="1:66" ht="13.8" outlineLevel="2">
      <c r="A47" s="4833"/>
      <c r="B47" s="18" t="s">
        <v>30</v>
      </c>
      <c r="C47" s="113">
        <v>0</v>
      </c>
      <c r="D47" s="119"/>
      <c r="E47" s="120">
        <f t="shared" si="42"/>
        <v>0</v>
      </c>
      <c r="F47" s="178">
        <f t="shared" si="36"/>
        <v>0</v>
      </c>
      <c r="G47" s="39">
        <v>24643.22</v>
      </c>
      <c r="H47" s="39">
        <v>636</v>
      </c>
      <c r="I47" s="106">
        <f t="shared" si="43"/>
        <v>25279.22</v>
      </c>
      <c r="J47" s="178">
        <f t="shared" si="37"/>
        <v>2.62239699286817E-3</v>
      </c>
      <c r="K47" s="79"/>
      <c r="L47" s="39">
        <v>464</v>
      </c>
      <c r="M47" s="39"/>
      <c r="N47" s="106">
        <f t="shared" si="44"/>
        <v>464</v>
      </c>
      <c r="O47" s="178">
        <f t="shared" si="38"/>
        <v>5.6448485871515765E-3</v>
      </c>
      <c r="P47" s="79"/>
      <c r="Q47" s="39">
        <v>195</v>
      </c>
      <c r="R47" s="39"/>
      <c r="S47" s="106">
        <f t="shared" si="45"/>
        <v>195</v>
      </c>
      <c r="T47" s="178">
        <f>S47/$S$89</f>
        <v>0.14560574478818977</v>
      </c>
      <c r="U47" s="79" t="s">
        <v>486</v>
      </c>
      <c r="V47" s="39"/>
      <c r="W47" s="39"/>
      <c r="X47" s="106">
        <f t="shared" si="46"/>
        <v>0</v>
      </c>
      <c r="Y47" s="178">
        <f>X47/$S$89</f>
        <v>0</v>
      </c>
      <c r="Z47" s="79" t="s">
        <v>486</v>
      </c>
      <c r="AA47" s="610">
        <v>52</v>
      </c>
      <c r="AB47" s="39"/>
      <c r="AC47" s="106">
        <f t="shared" si="47"/>
        <v>52</v>
      </c>
      <c r="AD47" s="178">
        <f>AC47/$S$89</f>
        <v>3.8828198610183939E-2</v>
      </c>
      <c r="AE47" s="79" t="s">
        <v>486</v>
      </c>
      <c r="AF47" s="456"/>
      <c r="AG47" s="456"/>
      <c r="AH47" s="456">
        <f t="shared" si="48"/>
        <v>0</v>
      </c>
      <c r="AI47" s="456"/>
      <c r="AJ47" s="456"/>
      <c r="AK47" s="457">
        <v>192</v>
      </c>
      <c r="AL47" s="456"/>
      <c r="AM47" s="457">
        <f t="shared" si="49"/>
        <v>192</v>
      </c>
      <c r="AN47" s="456"/>
      <c r="AO47" s="456"/>
      <c r="AP47" s="457">
        <v>113</v>
      </c>
      <c r="AQ47" s="456"/>
      <c r="AR47" s="457">
        <f t="shared" si="50"/>
        <v>113</v>
      </c>
      <c r="AS47" s="456"/>
      <c r="AT47" s="456"/>
      <c r="AU47" s="457"/>
      <c r="AV47" s="456"/>
      <c r="AW47" s="457">
        <f t="shared" si="51"/>
        <v>0</v>
      </c>
      <c r="AX47" s="456"/>
      <c r="AY47" s="456"/>
      <c r="AZ47" s="457"/>
      <c r="BA47" s="456"/>
      <c r="BB47" s="457">
        <f t="shared" si="52"/>
        <v>0</v>
      </c>
      <c r="BC47" s="456"/>
      <c r="BD47" s="456"/>
      <c r="BE47" s="457"/>
      <c r="BF47" s="456"/>
      <c r="BG47" s="457">
        <f t="shared" si="53"/>
        <v>0</v>
      </c>
      <c r="BH47" s="456"/>
      <c r="BI47" s="456"/>
      <c r="BJ47" s="39">
        <f t="shared" si="54"/>
        <v>25607.22</v>
      </c>
      <c r="BK47" s="39">
        <f t="shared" si="55"/>
        <v>636</v>
      </c>
      <c r="BL47" s="106">
        <f t="shared" si="56"/>
        <v>26243.22</v>
      </c>
      <c r="BM47" s="178">
        <f t="shared" si="57"/>
        <v>2.6582082784498621E-3</v>
      </c>
      <c r="BN47" s="79"/>
    </row>
    <row r="48" spans="1:66" ht="13.8" outlineLevel="2">
      <c r="A48" s="4833"/>
      <c r="B48" s="18" t="s">
        <v>15</v>
      </c>
      <c r="C48" s="113">
        <v>1500</v>
      </c>
      <c r="D48" s="119"/>
      <c r="E48" s="120">
        <f t="shared" si="42"/>
        <v>1500</v>
      </c>
      <c r="F48" s="178">
        <f t="shared" si="36"/>
        <v>2.8431605833132881E-4</v>
      </c>
      <c r="G48" s="39">
        <v>3364.3199999999997</v>
      </c>
      <c r="H48" s="39">
        <v>120</v>
      </c>
      <c r="I48" s="106">
        <f t="shared" si="43"/>
        <v>3484.3199999999997</v>
      </c>
      <c r="J48" s="178">
        <f t="shared" si="37"/>
        <v>3.6145380633541778E-4</v>
      </c>
      <c r="K48" s="79"/>
      <c r="L48" s="39"/>
      <c r="M48" s="39"/>
      <c r="N48" s="106">
        <f t="shared" si="44"/>
        <v>0</v>
      </c>
      <c r="O48" s="178">
        <f t="shared" si="38"/>
        <v>0</v>
      </c>
      <c r="P48" s="79"/>
      <c r="Q48" s="39"/>
      <c r="R48" s="39"/>
      <c r="S48" s="106">
        <f t="shared" si="45"/>
        <v>0</v>
      </c>
      <c r="T48" s="178">
        <f t="shared" si="39"/>
        <v>0</v>
      </c>
      <c r="U48" s="79"/>
      <c r="V48" s="39"/>
      <c r="W48" s="39"/>
      <c r="X48" s="106">
        <f t="shared" si="46"/>
        <v>0</v>
      </c>
      <c r="Y48" s="178">
        <f>X48/$N$89</f>
        <v>0</v>
      </c>
      <c r="Z48" s="79"/>
      <c r="AA48" s="39"/>
      <c r="AB48" s="39"/>
      <c r="AC48" s="106">
        <f t="shared" si="47"/>
        <v>0</v>
      </c>
      <c r="AD48" s="178">
        <f>AC48/$N$89</f>
        <v>0</v>
      </c>
      <c r="AE48" s="79"/>
      <c r="AF48" s="456"/>
      <c r="AG48" s="456"/>
      <c r="AH48" s="456">
        <f t="shared" si="48"/>
        <v>0</v>
      </c>
      <c r="AI48" s="456"/>
      <c r="AJ48" s="456"/>
      <c r="AK48" s="456"/>
      <c r="AL48" s="456"/>
      <c r="AM48" s="456">
        <f t="shared" si="49"/>
        <v>0</v>
      </c>
      <c r="AN48" s="456"/>
      <c r="AO48" s="456"/>
      <c r="AP48" s="456"/>
      <c r="AQ48" s="456"/>
      <c r="AR48" s="456">
        <f t="shared" si="50"/>
        <v>0</v>
      </c>
      <c r="AS48" s="456"/>
      <c r="AT48" s="456"/>
      <c r="AU48" s="456"/>
      <c r="AV48" s="456"/>
      <c r="AW48" s="456">
        <f t="shared" si="51"/>
        <v>0</v>
      </c>
      <c r="AX48" s="456"/>
      <c r="AY48" s="456"/>
      <c r="AZ48" s="456"/>
      <c r="BA48" s="456"/>
      <c r="BB48" s="456">
        <f t="shared" si="52"/>
        <v>0</v>
      </c>
      <c r="BC48" s="456"/>
      <c r="BD48" s="456"/>
      <c r="BE48" s="456"/>
      <c r="BF48" s="456"/>
      <c r="BG48" s="456">
        <f t="shared" si="53"/>
        <v>0</v>
      </c>
      <c r="BH48" s="456"/>
      <c r="BI48" s="456"/>
      <c r="BJ48" s="39">
        <f t="shared" si="54"/>
        <v>3364.3199999999997</v>
      </c>
      <c r="BK48" s="39">
        <f t="shared" si="55"/>
        <v>120</v>
      </c>
      <c r="BL48" s="106">
        <f t="shared" si="56"/>
        <v>3484.3199999999997</v>
      </c>
      <c r="BM48" s="178">
        <f t="shared" si="57"/>
        <v>3.5293109110728113E-4</v>
      </c>
      <c r="BN48" s="79"/>
    </row>
    <row r="49" spans="1:66" s="2" customFormat="1" ht="14.4" outlineLevel="2" thickBot="1">
      <c r="A49" s="11"/>
      <c r="B49" s="35"/>
      <c r="C49" s="116"/>
      <c r="D49" s="121"/>
      <c r="E49" s="122"/>
      <c r="F49" s="182"/>
      <c r="G49" s="210">
        <v>0</v>
      </c>
      <c r="H49" s="210">
        <v>0</v>
      </c>
      <c r="I49" s="52"/>
      <c r="J49" s="178">
        <f t="shared" si="37"/>
        <v>0</v>
      </c>
      <c r="K49" s="52"/>
      <c r="L49" s="39"/>
      <c r="M49" s="39"/>
      <c r="N49" s="52"/>
      <c r="O49" s="178">
        <f t="shared" si="38"/>
        <v>0</v>
      </c>
      <c r="P49" s="52"/>
      <c r="Q49" s="39"/>
      <c r="R49" s="39"/>
      <c r="S49" s="52"/>
      <c r="T49" s="178">
        <f t="shared" si="39"/>
        <v>0</v>
      </c>
      <c r="U49" s="52"/>
      <c r="V49" s="39"/>
      <c r="W49" s="39"/>
      <c r="X49" s="52"/>
      <c r="Y49" s="178">
        <f>X49/$N$89</f>
        <v>0</v>
      </c>
      <c r="Z49" s="52"/>
      <c r="AA49" s="39"/>
      <c r="AB49" s="39"/>
      <c r="AC49" s="52"/>
      <c r="AD49" s="178">
        <f>AC49/$N$89</f>
        <v>0</v>
      </c>
      <c r="AE49" s="52"/>
      <c r="AF49" s="647"/>
      <c r="AG49" s="647"/>
      <c r="AH49" s="647"/>
      <c r="AI49" s="647"/>
      <c r="AJ49" s="647"/>
      <c r="AK49" s="647"/>
      <c r="AL49" s="647"/>
      <c r="AM49" s="647"/>
      <c r="AN49" s="647"/>
      <c r="AO49" s="647"/>
      <c r="AP49" s="647"/>
      <c r="AQ49" s="647"/>
      <c r="AR49" s="647"/>
      <c r="AS49" s="647"/>
      <c r="AT49" s="647"/>
      <c r="AU49" s="647"/>
      <c r="AV49" s="647"/>
      <c r="AW49" s="647"/>
      <c r="AX49" s="647"/>
      <c r="AY49" s="647"/>
      <c r="AZ49" s="647"/>
      <c r="BA49" s="647"/>
      <c r="BB49" s="647"/>
      <c r="BC49" s="647"/>
      <c r="BD49" s="647"/>
      <c r="BE49" s="647"/>
      <c r="BF49" s="647"/>
      <c r="BG49" s="647"/>
      <c r="BH49" s="647"/>
      <c r="BI49" s="647"/>
      <c r="BJ49" s="39">
        <f>G49+L49+Q49+V49+AF49</f>
        <v>0</v>
      </c>
      <c r="BK49" s="39">
        <f>H49+M49+R49+W49+AG49</f>
        <v>0</v>
      </c>
      <c r="BL49" s="52"/>
      <c r="BM49" s="178">
        <f t="shared" si="57"/>
        <v>0</v>
      </c>
      <c r="BN49" s="52"/>
    </row>
    <row r="50" spans="1:66" s="2" customFormat="1" ht="13.8" outlineLevel="1">
      <c r="A50" s="293"/>
      <c r="B50" s="17" t="s">
        <v>59</v>
      </c>
      <c r="C50" s="123">
        <f>SUM(C51:C52)</f>
        <v>0</v>
      </c>
      <c r="D50" s="123">
        <f>SUM(D51:D52)</f>
        <v>0</v>
      </c>
      <c r="E50" s="123">
        <f>SUM(E51:E52)</f>
        <v>0</v>
      </c>
      <c r="F50" s="170">
        <f>E50/$E$89</f>
        <v>0</v>
      </c>
      <c r="G50" s="123">
        <f>G52+G51</f>
        <v>8551.2000000000007</v>
      </c>
      <c r="H50" s="123">
        <f>H52+H51</f>
        <v>0</v>
      </c>
      <c r="I50" s="123">
        <f>SUM(I51:I52)</f>
        <v>8551.2000000000007</v>
      </c>
      <c r="J50" s="60"/>
      <c r="K50" s="60"/>
      <c r="L50" s="123">
        <f>L52+L51</f>
        <v>0</v>
      </c>
      <c r="M50" s="123">
        <f>M52+M51</f>
        <v>0</v>
      </c>
      <c r="N50" s="123">
        <f>SUM(N51:N52)</f>
        <v>0</v>
      </c>
      <c r="O50" s="60"/>
      <c r="P50" s="60"/>
      <c r="Q50" s="123">
        <f>Q52+Q51</f>
        <v>0</v>
      </c>
      <c r="R50" s="123">
        <f>R52+R51</f>
        <v>0</v>
      </c>
      <c r="S50" s="123">
        <f>SUM(S51:S52)</f>
        <v>0</v>
      </c>
      <c r="T50" s="60"/>
      <c r="U50" s="60"/>
      <c r="V50" s="123">
        <f>V52+V51</f>
        <v>0</v>
      </c>
      <c r="W50" s="123">
        <f>W52+W51</f>
        <v>0</v>
      </c>
      <c r="X50" s="123">
        <f>SUM(X51:X52)</f>
        <v>0</v>
      </c>
      <c r="Y50" s="60"/>
      <c r="Z50" s="60"/>
      <c r="AA50" s="123">
        <f>AA52+AA51</f>
        <v>0</v>
      </c>
      <c r="AB50" s="123">
        <f>AB52+AB51</f>
        <v>0</v>
      </c>
      <c r="AC50" s="123">
        <f>SUM(AC51:AC52)</f>
        <v>0</v>
      </c>
      <c r="AD50" s="60"/>
      <c r="AE50" s="60"/>
      <c r="AF50" s="652"/>
      <c r="AG50" s="652"/>
      <c r="AH50" s="652">
        <f>SUM(AH51:AH52)</f>
        <v>0</v>
      </c>
      <c r="AI50" s="652"/>
      <c r="AJ50" s="652"/>
      <c r="AK50" s="652"/>
      <c r="AL50" s="652"/>
      <c r="AM50" s="652">
        <f>SUM(AM51:AM52)</f>
        <v>0</v>
      </c>
      <c r="AN50" s="652"/>
      <c r="AO50" s="652"/>
      <c r="AP50" s="652"/>
      <c r="AQ50" s="652"/>
      <c r="AR50" s="652">
        <f>SUM(AR51:AR52)</f>
        <v>0</v>
      </c>
      <c r="AS50" s="652"/>
      <c r="AT50" s="652"/>
      <c r="AU50" s="652"/>
      <c r="AV50" s="652"/>
      <c r="AW50" s="652">
        <f>SUM(AW51:AW52)</f>
        <v>0</v>
      </c>
      <c r="AX50" s="652"/>
      <c r="AY50" s="652"/>
      <c r="AZ50" s="652"/>
      <c r="BA50" s="652"/>
      <c r="BB50" s="652">
        <f>SUM(BB51:BB52)</f>
        <v>0</v>
      </c>
      <c r="BC50" s="652"/>
      <c r="BD50" s="652"/>
      <c r="BE50" s="652"/>
      <c r="BF50" s="652"/>
      <c r="BG50" s="652">
        <f>SUM(BG51:BG52)</f>
        <v>0</v>
      </c>
      <c r="BH50" s="652"/>
      <c r="BI50" s="652"/>
      <c r="BJ50" s="123">
        <f>BJ52+BJ51</f>
        <v>8551.2000000000007</v>
      </c>
      <c r="BK50" s="123">
        <f>BK52+BK51</f>
        <v>0</v>
      </c>
      <c r="BL50" s="123">
        <f>SUM(BL51:BL52)</f>
        <v>8551.2000000000007</v>
      </c>
      <c r="BM50" s="60"/>
      <c r="BN50" s="60"/>
    </row>
    <row r="51" spans="1:66" s="226" customFormat="1" ht="13.8" outlineLevel="1">
      <c r="A51" s="234"/>
      <c r="B51" s="18" t="s">
        <v>60</v>
      </c>
      <c r="C51" s="113"/>
      <c r="D51" s="119"/>
      <c r="E51" s="119">
        <f>C51+D51</f>
        <v>0</v>
      </c>
      <c r="F51" s="180">
        <f>E51/$E$89</f>
        <v>0</v>
      </c>
      <c r="G51" s="39">
        <v>0</v>
      </c>
      <c r="H51" s="39">
        <v>0</v>
      </c>
      <c r="I51" s="106">
        <f>G51+H51*1</f>
        <v>0</v>
      </c>
      <c r="J51" s="178">
        <f>I51/$I$89</f>
        <v>0</v>
      </c>
      <c r="K51" s="45"/>
      <c r="L51" s="39"/>
      <c r="M51" s="39"/>
      <c r="N51" s="106">
        <f>L51+M51*1</f>
        <v>0</v>
      </c>
      <c r="O51" s="178">
        <f>N51/$N$89</f>
        <v>0</v>
      </c>
      <c r="P51" s="45"/>
      <c r="Q51" s="39"/>
      <c r="R51" s="39"/>
      <c r="S51" s="106">
        <f>Q51+R51*1</f>
        <v>0</v>
      </c>
      <c r="T51" s="178">
        <f>S51/$N$89</f>
        <v>0</v>
      </c>
      <c r="U51" s="45"/>
      <c r="V51" s="39"/>
      <c r="W51" s="39"/>
      <c r="X51" s="106">
        <f>V51+W51*1</f>
        <v>0</v>
      </c>
      <c r="Y51" s="178">
        <f>X51/$N$89</f>
        <v>0</v>
      </c>
      <c r="Z51" s="45"/>
      <c r="AA51" s="39"/>
      <c r="AB51" s="39"/>
      <c r="AC51" s="106">
        <f>AA51+AB51*1</f>
        <v>0</v>
      </c>
      <c r="AD51" s="178">
        <f>AC51/$N$89</f>
        <v>0</v>
      </c>
      <c r="AE51" s="45"/>
      <c r="AF51" s="642"/>
      <c r="AG51" s="642"/>
      <c r="AH51" s="642">
        <f>AF51+AG51*1</f>
        <v>0</v>
      </c>
      <c r="AI51" s="642"/>
      <c r="AJ51" s="642"/>
      <c r="AK51" s="642"/>
      <c r="AL51" s="642"/>
      <c r="AM51" s="642">
        <f>AK51+AL51*1</f>
        <v>0</v>
      </c>
      <c r="AN51" s="642"/>
      <c r="AO51" s="642"/>
      <c r="AP51" s="642"/>
      <c r="AQ51" s="642"/>
      <c r="AR51" s="642">
        <f>AP51+AQ51*1</f>
        <v>0</v>
      </c>
      <c r="AS51" s="642"/>
      <c r="AT51" s="642"/>
      <c r="AU51" s="642"/>
      <c r="AV51" s="642"/>
      <c r="AW51" s="642">
        <f>AU51+AV51*1</f>
        <v>0</v>
      </c>
      <c r="AX51" s="642"/>
      <c r="AY51" s="642"/>
      <c r="AZ51" s="642"/>
      <c r="BA51" s="642"/>
      <c r="BB51" s="642">
        <f>AZ51+BA51*1</f>
        <v>0</v>
      </c>
      <c r="BC51" s="642"/>
      <c r="BD51" s="642"/>
      <c r="BE51" s="642"/>
      <c r="BF51" s="642"/>
      <c r="BG51" s="642">
        <f>BE51+BF51*1</f>
        <v>0</v>
      </c>
      <c r="BH51" s="642"/>
      <c r="BI51" s="642"/>
      <c r="BJ51" s="39">
        <f>G51+L51+Q51+V51+AF51+AK51+AP51+AU51+AZ51</f>
        <v>0</v>
      </c>
      <c r="BK51" s="39">
        <f>H51+M51+R51+W51+AG51+AL51+AQ51+AV51+BA51</f>
        <v>0</v>
      </c>
      <c r="BL51" s="106">
        <f>BJ51+BK51*1</f>
        <v>0</v>
      </c>
      <c r="BM51" s="178">
        <f t="shared" si="57"/>
        <v>0</v>
      </c>
      <c r="BN51" s="45"/>
    </row>
    <row r="52" spans="1:66" s="235" customFormat="1" ht="13.8" outlineLevel="2">
      <c r="A52" s="234"/>
      <c r="B52" s="18" t="s">
        <v>61</v>
      </c>
      <c r="C52" s="113"/>
      <c r="D52" s="119"/>
      <c r="E52" s="119">
        <f>C52+D52</f>
        <v>0</v>
      </c>
      <c r="F52" s="180">
        <f>E52/$E$89</f>
        <v>0</v>
      </c>
      <c r="G52" s="39">
        <v>8551.2000000000007</v>
      </c>
      <c r="H52" s="39">
        <v>0</v>
      </c>
      <c r="I52" s="106">
        <f>G52+H52*1</f>
        <v>8551.2000000000007</v>
      </c>
      <c r="J52" s="178">
        <f>I52/$I$89</f>
        <v>8.8707804929955491E-4</v>
      </c>
      <c r="K52" s="45"/>
      <c r="L52" s="39"/>
      <c r="M52" s="39"/>
      <c r="N52" s="106">
        <f>L52+M52*1</f>
        <v>0</v>
      </c>
      <c r="O52" s="178">
        <f>N52/$N$89</f>
        <v>0</v>
      </c>
      <c r="P52" s="45"/>
      <c r="Q52" s="39"/>
      <c r="R52" s="39"/>
      <c r="S52" s="106">
        <f>Q52+R52*1</f>
        <v>0</v>
      </c>
      <c r="T52" s="178">
        <f>S52/$N$89</f>
        <v>0</v>
      </c>
      <c r="U52" s="45"/>
      <c r="V52" s="39"/>
      <c r="W52" s="39"/>
      <c r="X52" s="106">
        <f>V52+W52*1</f>
        <v>0</v>
      </c>
      <c r="Y52" s="178">
        <f>X52/$N$89</f>
        <v>0</v>
      </c>
      <c r="Z52" s="45"/>
      <c r="AA52" s="39"/>
      <c r="AB52" s="39"/>
      <c r="AC52" s="106">
        <f>AA52+AB52*1</f>
        <v>0</v>
      </c>
      <c r="AD52" s="178">
        <f>AC52/$N$89</f>
        <v>0</v>
      </c>
      <c r="AE52" s="45"/>
      <c r="AF52" s="642"/>
      <c r="AG52" s="642"/>
      <c r="AH52" s="642">
        <f>AF52+AG52*1</f>
        <v>0</v>
      </c>
      <c r="AI52" s="642"/>
      <c r="AJ52" s="642"/>
      <c r="AK52" s="642"/>
      <c r="AL52" s="642"/>
      <c r="AM52" s="642">
        <f>AK52+AL52*1</f>
        <v>0</v>
      </c>
      <c r="AN52" s="642"/>
      <c r="AO52" s="642"/>
      <c r="AP52" s="642"/>
      <c r="AQ52" s="642"/>
      <c r="AR52" s="642">
        <f>AP52+AQ52*1</f>
        <v>0</v>
      </c>
      <c r="AS52" s="642"/>
      <c r="AT52" s="642"/>
      <c r="AU52" s="642"/>
      <c r="AV52" s="642"/>
      <c r="AW52" s="642">
        <f>AU52+AV52*1</f>
        <v>0</v>
      </c>
      <c r="AX52" s="642"/>
      <c r="AY52" s="642"/>
      <c r="AZ52" s="642"/>
      <c r="BA52" s="642"/>
      <c r="BB52" s="642">
        <f>AZ52+BA52*1</f>
        <v>0</v>
      </c>
      <c r="BC52" s="642"/>
      <c r="BD52" s="642"/>
      <c r="BE52" s="642"/>
      <c r="BF52" s="642"/>
      <c r="BG52" s="642">
        <f>BE52+BF52*1</f>
        <v>0</v>
      </c>
      <c r="BH52" s="642"/>
      <c r="BI52" s="642"/>
      <c r="BJ52" s="39">
        <f>G52+L52+Q52+V52+AF52+AK52+AP52+AU52+AZ52</f>
        <v>8551.2000000000007</v>
      </c>
      <c r="BK52" s="39">
        <f>H52+M52+R52+W52+AG52+AL52+AQ52+AV52+BA52</f>
        <v>0</v>
      </c>
      <c r="BL52" s="106">
        <f>BJ52+BK52*1</f>
        <v>8551.2000000000007</v>
      </c>
      <c r="BM52" s="178">
        <f t="shared" si="57"/>
        <v>8.6616164596724264E-4</v>
      </c>
      <c r="BN52" s="45"/>
    </row>
    <row r="53" spans="1:66" ht="14.4" outlineLevel="1" thickBot="1">
      <c r="A53" s="20"/>
      <c r="B53" s="21"/>
      <c r="C53" s="124"/>
      <c r="D53" s="125"/>
      <c r="E53" s="126"/>
      <c r="F53" s="183"/>
      <c r="G53" s="210">
        <v>0</v>
      </c>
      <c r="H53" s="210">
        <v>0</v>
      </c>
      <c r="I53" s="61"/>
      <c r="J53" s="61"/>
      <c r="K53" s="61"/>
      <c r="L53" s="39"/>
      <c r="M53" s="39"/>
      <c r="N53" s="61"/>
      <c r="O53" s="61"/>
      <c r="P53" s="61"/>
      <c r="Q53" s="39"/>
      <c r="R53" s="39"/>
      <c r="S53" s="61"/>
      <c r="T53" s="61"/>
      <c r="U53" s="61"/>
      <c r="V53" s="39"/>
      <c r="W53" s="39"/>
      <c r="X53" s="61"/>
      <c r="Y53" s="61"/>
      <c r="Z53" s="61"/>
      <c r="AA53" s="39"/>
      <c r="AB53" s="39"/>
      <c r="AC53" s="61"/>
      <c r="AD53" s="61"/>
      <c r="AE53" s="61"/>
      <c r="AF53" s="638"/>
      <c r="AG53" s="638"/>
      <c r="AH53" s="638"/>
      <c r="AI53" s="638"/>
      <c r="AJ53" s="638"/>
      <c r="AK53" s="638"/>
      <c r="AL53" s="638"/>
      <c r="AM53" s="638"/>
      <c r="AN53" s="638"/>
      <c r="AO53" s="638"/>
      <c r="AP53" s="638"/>
      <c r="AQ53" s="638"/>
      <c r="AR53" s="638"/>
      <c r="AS53" s="638"/>
      <c r="AT53" s="638"/>
      <c r="AU53" s="638"/>
      <c r="AV53" s="638"/>
      <c r="AW53" s="638"/>
      <c r="AX53" s="638"/>
      <c r="AY53" s="638"/>
      <c r="AZ53" s="638"/>
      <c r="BA53" s="638"/>
      <c r="BB53" s="638"/>
      <c r="BC53" s="638"/>
      <c r="BD53" s="638"/>
      <c r="BE53" s="638"/>
      <c r="BF53" s="638"/>
      <c r="BG53" s="638"/>
      <c r="BH53" s="638"/>
      <c r="BI53" s="638"/>
      <c r="BJ53" s="39">
        <f>G53+L53+Q53+V53+AF53+AK53</f>
        <v>0</v>
      </c>
      <c r="BK53" s="39">
        <f>H53+M53+R53+W53+AG53+AL53</f>
        <v>0</v>
      </c>
      <c r="BL53" s="61"/>
      <c r="BM53" s="61"/>
      <c r="BN53" s="61"/>
    </row>
    <row r="54" spans="1:66" ht="13.8" outlineLevel="1">
      <c r="A54" s="236"/>
      <c r="B54" s="17" t="s">
        <v>1</v>
      </c>
      <c r="C54" s="123">
        <f>SUM(C55:C71)</f>
        <v>64345</v>
      </c>
      <c r="D54" s="123">
        <f>SUM(D55:D71)</f>
        <v>49505</v>
      </c>
      <c r="E54" s="127">
        <f>SUM(E55:E71)</f>
        <v>113850</v>
      </c>
      <c r="F54" s="170">
        <f>E54/$E$89</f>
        <v>2.1579588827347857E-2</v>
      </c>
      <c r="G54" s="123">
        <f>SUM(G55:G71)</f>
        <v>159405.008</v>
      </c>
      <c r="H54" s="123">
        <f>SUM(H55:H71)</f>
        <v>104230.76</v>
      </c>
      <c r="I54" s="127">
        <f>SUM(I55:I71)</f>
        <v>263635.76800000004</v>
      </c>
      <c r="J54" s="169">
        <f t="shared" ref="J54:J72" si="58">I54/$I$89</f>
        <v>2.7348851950957764E-2</v>
      </c>
      <c r="K54" s="60"/>
      <c r="L54" s="123">
        <f>SUM(L55:L72)</f>
        <v>0</v>
      </c>
      <c r="M54" s="123">
        <f>SUM(M55:M72)</f>
        <v>28.5</v>
      </c>
      <c r="N54" s="123">
        <f>SUM(N55:N72)</f>
        <v>28.5</v>
      </c>
      <c r="O54" s="169">
        <f t="shared" ref="O54:O72" si="59">N54/$N$89</f>
        <v>3.4672022571943952E-4</v>
      </c>
      <c r="P54" s="60"/>
      <c r="Q54" s="123">
        <f>SUM(Q55:Q72)</f>
        <v>0</v>
      </c>
      <c r="R54" s="123">
        <f>SUM(R55:R72)</f>
        <v>430</v>
      </c>
      <c r="S54" s="123">
        <f>SUM(S55:S72)</f>
        <v>430</v>
      </c>
      <c r="T54" s="169">
        <f>S54/$S$89</f>
        <v>0.32107933466113642</v>
      </c>
      <c r="U54" s="60"/>
      <c r="V54" s="123">
        <f>SUM(V55:V72)</f>
        <v>0</v>
      </c>
      <c r="W54" s="123">
        <f>SUM(W55:W72)</f>
        <v>1027</v>
      </c>
      <c r="X54" s="123">
        <f>SUM(X55:X72)</f>
        <v>1027</v>
      </c>
      <c r="Y54" s="169">
        <f>X54/$S$89</f>
        <v>0.7668569225511328</v>
      </c>
      <c r="Z54" s="60"/>
      <c r="AA54" s="123">
        <f>SUM(AA55:AA72)</f>
        <v>0</v>
      </c>
      <c r="AB54" s="123">
        <f>SUM(AB55:AB72)</f>
        <v>0</v>
      </c>
      <c r="AC54" s="123">
        <f>SUM(AC55:AC72)</f>
        <v>0</v>
      </c>
      <c r="AD54" s="169">
        <f>AC54/$S$89</f>
        <v>0</v>
      </c>
      <c r="AE54" s="60"/>
      <c r="AF54" s="652"/>
      <c r="AG54" s="652"/>
      <c r="AH54" s="652">
        <f>SUM(AH55:AH72)</f>
        <v>500</v>
      </c>
      <c r="AI54" s="652"/>
      <c r="AJ54" s="652"/>
      <c r="AK54" s="652"/>
      <c r="AL54" s="652"/>
      <c r="AM54" s="652">
        <f>SUM(AM55:AM72)</f>
        <v>0</v>
      </c>
      <c r="AN54" s="652"/>
      <c r="AO54" s="652"/>
      <c r="AP54" s="652"/>
      <c r="AQ54" s="652"/>
      <c r="AR54" s="652">
        <f>SUM(AR55:AR72)</f>
        <v>0</v>
      </c>
      <c r="AS54" s="652"/>
      <c r="AT54" s="652"/>
      <c r="AU54" s="652"/>
      <c r="AV54" s="652"/>
      <c r="AW54" s="652">
        <f>SUM(AW55:AW72)</f>
        <v>0</v>
      </c>
      <c r="AX54" s="652"/>
      <c r="AY54" s="652"/>
      <c r="AZ54" s="652"/>
      <c r="BA54" s="652"/>
      <c r="BB54" s="652">
        <f>SUM(BB55:BB72)</f>
        <v>0</v>
      </c>
      <c r="BC54" s="652"/>
      <c r="BD54" s="652"/>
      <c r="BE54" s="652"/>
      <c r="BF54" s="652"/>
      <c r="BG54" s="652">
        <f>SUM(BG55:BG72)</f>
        <v>0</v>
      </c>
      <c r="BH54" s="652"/>
      <c r="BI54" s="652"/>
      <c r="BJ54" s="123">
        <f>SUM(BJ55:BJ72)</f>
        <v>159905.008</v>
      </c>
      <c r="BK54" s="123">
        <f>SUM(BK55:BK72)</f>
        <v>105716.26</v>
      </c>
      <c r="BL54" s="123">
        <f>SUM(BL55:BL72)</f>
        <v>265621.26800000004</v>
      </c>
      <c r="BM54" s="169">
        <f t="shared" si="57"/>
        <v>2.6905107434604041E-2</v>
      </c>
      <c r="BN54" s="60"/>
    </row>
    <row r="55" spans="1:66" ht="13.95" customHeight="1" outlineLevel="2">
      <c r="A55" s="237"/>
      <c r="B55" s="19" t="s">
        <v>77</v>
      </c>
      <c r="C55" s="113"/>
      <c r="D55" s="128"/>
      <c r="E55" s="120">
        <f t="shared" ref="E55:E71" si="60">C55+D55</f>
        <v>0</v>
      </c>
      <c r="F55" s="178">
        <f>E55/$E$89</f>
        <v>0</v>
      </c>
      <c r="G55" s="39">
        <v>0</v>
      </c>
      <c r="H55" s="39">
        <v>0</v>
      </c>
      <c r="I55" s="106">
        <f t="shared" ref="I55:I71" si="61">G55+H55*1</f>
        <v>0</v>
      </c>
      <c r="J55" s="178">
        <f t="shared" si="58"/>
        <v>0</v>
      </c>
      <c r="K55" s="79"/>
      <c r="L55" s="210"/>
      <c r="M55" s="210"/>
      <c r="N55" s="106">
        <f t="shared" ref="N55:N71" si="62">L55+M55*1</f>
        <v>0</v>
      </c>
      <c r="O55" s="178">
        <f t="shared" si="59"/>
        <v>0</v>
      </c>
      <c r="P55" s="79"/>
      <c r="Q55" s="210"/>
      <c r="R55" s="210"/>
      <c r="S55" s="106">
        <f t="shared" ref="S55:S71" si="63">Q55+R55*1</f>
        <v>0</v>
      </c>
      <c r="T55" s="178">
        <f t="shared" ref="T55:T64" si="64">S55/$N$89</f>
        <v>0</v>
      </c>
      <c r="U55" s="79"/>
      <c r="V55" s="210"/>
      <c r="W55" s="210"/>
      <c r="X55" s="106">
        <f t="shared" ref="X55:X71" si="65">V55+W55*1</f>
        <v>0</v>
      </c>
      <c r="Y55" s="178">
        <f t="shared" ref="Y55:Y64" si="66">X55/$N$89</f>
        <v>0</v>
      </c>
      <c r="Z55" s="79"/>
      <c r="AA55" s="210"/>
      <c r="AB55" s="210"/>
      <c r="AC55" s="106">
        <f t="shared" ref="AC55:AC71" si="67">AA55+AB55*1</f>
        <v>0</v>
      </c>
      <c r="AD55" s="178">
        <f t="shared" ref="AD55:AD64" si="68">AC55/$N$89</f>
        <v>0</v>
      </c>
      <c r="AE55" s="79"/>
      <c r="AF55" s="456"/>
      <c r="AG55" s="456"/>
      <c r="AH55" s="456">
        <f t="shared" ref="AH55:AH71" si="69">AF55+AG55*1</f>
        <v>0</v>
      </c>
      <c r="AI55" s="456"/>
      <c r="AJ55" s="456"/>
      <c r="AK55" s="456"/>
      <c r="AL55" s="456"/>
      <c r="AM55" s="456">
        <f t="shared" ref="AM55:AM71" si="70">AK55+AL55*1</f>
        <v>0</v>
      </c>
      <c r="AN55" s="456"/>
      <c r="AO55" s="456"/>
      <c r="AP55" s="456"/>
      <c r="AQ55" s="456"/>
      <c r="AR55" s="456">
        <f t="shared" ref="AR55:AR71" si="71">AP55+AQ55*1</f>
        <v>0</v>
      </c>
      <c r="AS55" s="456"/>
      <c r="AT55" s="456"/>
      <c r="AU55" s="456"/>
      <c r="AV55" s="456"/>
      <c r="AW55" s="456">
        <f t="shared" ref="AW55:AW71" si="72">AU55+AV55*1</f>
        <v>0</v>
      </c>
      <c r="AX55" s="456"/>
      <c r="AY55" s="456"/>
      <c r="AZ55" s="456"/>
      <c r="BA55" s="456"/>
      <c r="BB55" s="456">
        <f t="shared" ref="BB55:BB71" si="73">AZ55+BA55*1</f>
        <v>0</v>
      </c>
      <c r="BC55" s="456"/>
      <c r="BD55" s="456"/>
      <c r="BE55" s="456"/>
      <c r="BF55" s="456"/>
      <c r="BG55" s="456">
        <f t="shared" ref="BG55:BG71" si="74">BE55+BF55*1</f>
        <v>0</v>
      </c>
      <c r="BH55" s="456"/>
      <c r="BI55" s="456"/>
      <c r="BJ55" s="39">
        <f t="shared" ref="BJ55:BJ71" si="75">G55+L55+Q55+V55+AF55+AK55+AP55+AU55+AZ55</f>
        <v>0</v>
      </c>
      <c r="BK55" s="39">
        <f t="shared" ref="BK55:BK71" si="76">H55+M55+R55+W55+AG55+AL55+AQ55+AV55+BA55</f>
        <v>0</v>
      </c>
      <c r="BL55" s="106">
        <f t="shared" ref="BL55:BL71" si="77">BJ55+BK55*1</f>
        <v>0</v>
      </c>
      <c r="BM55" s="178">
        <f t="shared" si="57"/>
        <v>0</v>
      </c>
      <c r="BN55" s="79"/>
    </row>
    <row r="56" spans="1:66" ht="13.95" customHeight="1" outlineLevel="2">
      <c r="A56" s="237"/>
      <c r="B56" s="19" t="s">
        <v>76</v>
      </c>
      <c r="C56" s="113"/>
      <c r="D56" s="128"/>
      <c r="E56" s="120">
        <f t="shared" si="60"/>
        <v>0</v>
      </c>
      <c r="F56" s="178">
        <f t="shared" ref="F56:F72" si="78">E56/$E$89</f>
        <v>0</v>
      </c>
      <c r="G56" s="39">
        <v>0</v>
      </c>
      <c r="H56" s="39">
        <v>0</v>
      </c>
      <c r="I56" s="106">
        <f t="shared" si="61"/>
        <v>0</v>
      </c>
      <c r="J56" s="178">
        <f t="shared" si="58"/>
        <v>0</v>
      </c>
      <c r="K56" s="79"/>
      <c r="L56" s="210"/>
      <c r="M56" s="210"/>
      <c r="N56" s="106">
        <f t="shared" si="62"/>
        <v>0</v>
      </c>
      <c r="O56" s="178">
        <f t="shared" si="59"/>
        <v>0</v>
      </c>
      <c r="P56" s="79"/>
      <c r="Q56" s="210"/>
      <c r="R56" s="210"/>
      <c r="S56" s="106">
        <f t="shared" si="63"/>
        <v>0</v>
      </c>
      <c r="T56" s="178">
        <f t="shared" si="64"/>
        <v>0</v>
      </c>
      <c r="U56" s="79"/>
      <c r="V56" s="210"/>
      <c r="W56" s="210"/>
      <c r="X56" s="106">
        <f t="shared" si="65"/>
        <v>0</v>
      </c>
      <c r="Y56" s="178">
        <f t="shared" si="66"/>
        <v>0</v>
      </c>
      <c r="Z56" s="79"/>
      <c r="AA56" s="210"/>
      <c r="AB56" s="210"/>
      <c r="AC56" s="106">
        <f t="shared" si="67"/>
        <v>0</v>
      </c>
      <c r="AD56" s="178">
        <f t="shared" si="68"/>
        <v>0</v>
      </c>
      <c r="AE56" s="79"/>
      <c r="AF56" s="456"/>
      <c r="AG56" s="456"/>
      <c r="AH56" s="456">
        <f t="shared" si="69"/>
        <v>0</v>
      </c>
      <c r="AI56" s="456"/>
      <c r="AJ56" s="456"/>
      <c r="AK56" s="456"/>
      <c r="AL56" s="456"/>
      <c r="AM56" s="456">
        <f t="shared" si="70"/>
        <v>0</v>
      </c>
      <c r="AN56" s="456"/>
      <c r="AO56" s="456"/>
      <c r="AP56" s="456"/>
      <c r="AQ56" s="456"/>
      <c r="AR56" s="456">
        <f t="shared" si="71"/>
        <v>0</v>
      </c>
      <c r="AS56" s="456"/>
      <c r="AT56" s="456"/>
      <c r="AU56" s="456"/>
      <c r="AV56" s="456"/>
      <c r="AW56" s="456">
        <f t="shared" si="72"/>
        <v>0</v>
      </c>
      <c r="AX56" s="456"/>
      <c r="AY56" s="456"/>
      <c r="AZ56" s="456"/>
      <c r="BA56" s="456"/>
      <c r="BB56" s="456">
        <f t="shared" si="73"/>
        <v>0</v>
      </c>
      <c r="BC56" s="456"/>
      <c r="BD56" s="456"/>
      <c r="BE56" s="456"/>
      <c r="BF56" s="456"/>
      <c r="BG56" s="456">
        <f t="shared" si="74"/>
        <v>0</v>
      </c>
      <c r="BH56" s="456"/>
      <c r="BI56" s="456"/>
      <c r="BJ56" s="39">
        <f t="shared" si="75"/>
        <v>0</v>
      </c>
      <c r="BK56" s="39">
        <f t="shared" si="76"/>
        <v>0</v>
      </c>
      <c r="BL56" s="106">
        <f t="shared" si="77"/>
        <v>0</v>
      </c>
      <c r="BM56" s="178">
        <f t="shared" si="57"/>
        <v>0</v>
      </c>
      <c r="BN56" s="79"/>
    </row>
    <row r="57" spans="1:66" ht="13.95" customHeight="1" outlineLevel="2">
      <c r="A57" s="237"/>
      <c r="B57" s="19" t="s">
        <v>68</v>
      </c>
      <c r="C57" s="113"/>
      <c r="D57" s="128"/>
      <c r="E57" s="120">
        <f t="shared" si="60"/>
        <v>0</v>
      </c>
      <c r="F57" s="178">
        <f t="shared" si="78"/>
        <v>0</v>
      </c>
      <c r="G57" s="39">
        <v>0</v>
      </c>
      <c r="H57" s="39">
        <v>0</v>
      </c>
      <c r="I57" s="106">
        <f t="shared" si="61"/>
        <v>0</v>
      </c>
      <c r="J57" s="178">
        <f t="shared" si="58"/>
        <v>0</v>
      </c>
      <c r="K57" s="79"/>
      <c r="L57" s="210"/>
      <c r="M57" s="210"/>
      <c r="N57" s="106">
        <f t="shared" si="62"/>
        <v>0</v>
      </c>
      <c r="O57" s="178">
        <f t="shared" si="59"/>
        <v>0</v>
      </c>
      <c r="P57" s="79"/>
      <c r="Q57" s="210"/>
      <c r="R57" s="210"/>
      <c r="S57" s="106">
        <f t="shared" si="63"/>
        <v>0</v>
      </c>
      <c r="T57" s="178">
        <f t="shared" si="64"/>
        <v>0</v>
      </c>
      <c r="U57" s="79"/>
      <c r="V57" s="210"/>
      <c r="W57" s="210"/>
      <c r="X57" s="106">
        <f t="shared" si="65"/>
        <v>0</v>
      </c>
      <c r="Y57" s="178">
        <f t="shared" si="66"/>
        <v>0</v>
      </c>
      <c r="Z57" s="79"/>
      <c r="AA57" s="210"/>
      <c r="AB57" s="210"/>
      <c r="AC57" s="106">
        <f t="shared" si="67"/>
        <v>0</v>
      </c>
      <c r="AD57" s="178">
        <f t="shared" si="68"/>
        <v>0</v>
      </c>
      <c r="AE57" s="79"/>
      <c r="AF57" s="456"/>
      <c r="AG57" s="456"/>
      <c r="AH57" s="456">
        <f t="shared" si="69"/>
        <v>0</v>
      </c>
      <c r="AI57" s="456"/>
      <c r="AJ57" s="456"/>
      <c r="AK57" s="456"/>
      <c r="AL57" s="456"/>
      <c r="AM57" s="456">
        <f t="shared" si="70"/>
        <v>0</v>
      </c>
      <c r="AN57" s="456"/>
      <c r="AO57" s="456"/>
      <c r="AP57" s="456"/>
      <c r="AQ57" s="456"/>
      <c r="AR57" s="456">
        <f t="shared" si="71"/>
        <v>0</v>
      </c>
      <c r="AS57" s="456"/>
      <c r="AT57" s="456"/>
      <c r="AU57" s="456"/>
      <c r="AV57" s="456"/>
      <c r="AW57" s="456">
        <f t="shared" si="72"/>
        <v>0</v>
      </c>
      <c r="AX57" s="456"/>
      <c r="AY57" s="456"/>
      <c r="AZ57" s="456"/>
      <c r="BA57" s="456"/>
      <c r="BB57" s="456">
        <f t="shared" si="73"/>
        <v>0</v>
      </c>
      <c r="BC57" s="456"/>
      <c r="BD57" s="456"/>
      <c r="BE57" s="456"/>
      <c r="BF57" s="456"/>
      <c r="BG57" s="456">
        <f t="shared" si="74"/>
        <v>0</v>
      </c>
      <c r="BH57" s="456"/>
      <c r="BI57" s="456"/>
      <c r="BJ57" s="39">
        <f t="shared" si="75"/>
        <v>0</v>
      </c>
      <c r="BK57" s="39">
        <f t="shared" si="76"/>
        <v>0</v>
      </c>
      <c r="BL57" s="106">
        <f t="shared" si="77"/>
        <v>0</v>
      </c>
      <c r="BM57" s="178">
        <f t="shared" si="57"/>
        <v>0</v>
      </c>
      <c r="BN57" s="79"/>
    </row>
    <row r="58" spans="1:66" ht="14.4" customHeight="1" outlineLevel="2">
      <c r="A58" s="237"/>
      <c r="B58" s="19" t="s">
        <v>67</v>
      </c>
      <c r="C58" s="113">
        <v>21300</v>
      </c>
      <c r="D58" s="128">
        <v>44505</v>
      </c>
      <c r="E58" s="120">
        <f t="shared" si="60"/>
        <v>65805</v>
      </c>
      <c r="F58" s="178">
        <f t="shared" si="78"/>
        <v>1.2472945478995395E-2</v>
      </c>
      <c r="G58" s="39">
        <v>70248.33</v>
      </c>
      <c r="H58" s="39">
        <v>90234</v>
      </c>
      <c r="I58" s="106">
        <f t="shared" si="61"/>
        <v>160482.33000000002</v>
      </c>
      <c r="J58" s="178">
        <f t="shared" si="58"/>
        <v>1.6647997034737516E-2</v>
      </c>
      <c r="K58" s="79"/>
      <c r="L58" s="210"/>
      <c r="M58" s="210"/>
      <c r="N58" s="106">
        <f t="shared" si="62"/>
        <v>0</v>
      </c>
      <c r="O58" s="178">
        <f t="shared" si="59"/>
        <v>0</v>
      </c>
      <c r="P58" s="79"/>
      <c r="Q58" s="210"/>
      <c r="R58" s="210"/>
      <c r="S58" s="106">
        <f t="shared" si="63"/>
        <v>0</v>
      </c>
      <c r="T58" s="178">
        <f t="shared" si="64"/>
        <v>0</v>
      </c>
      <c r="U58" s="79"/>
      <c r="V58" s="210"/>
      <c r="W58" s="210"/>
      <c r="X58" s="106">
        <f t="shared" si="65"/>
        <v>0</v>
      </c>
      <c r="Y58" s="178">
        <f t="shared" si="66"/>
        <v>0</v>
      </c>
      <c r="Z58" s="79"/>
      <c r="AA58" s="210"/>
      <c r="AB58" s="210"/>
      <c r="AC58" s="106">
        <f t="shared" si="67"/>
        <v>0</v>
      </c>
      <c r="AD58" s="178">
        <f t="shared" si="68"/>
        <v>0</v>
      </c>
      <c r="AE58" s="79"/>
      <c r="AF58" s="456"/>
      <c r="AG58" s="456"/>
      <c r="AH58" s="456">
        <f t="shared" si="69"/>
        <v>0</v>
      </c>
      <c r="AI58" s="456"/>
      <c r="AJ58" s="456"/>
      <c r="AK58" s="456"/>
      <c r="AL58" s="456"/>
      <c r="AM58" s="456">
        <f t="shared" si="70"/>
        <v>0</v>
      </c>
      <c r="AN58" s="456"/>
      <c r="AO58" s="456"/>
      <c r="AP58" s="456"/>
      <c r="AQ58" s="456"/>
      <c r="AR58" s="456">
        <f t="shared" si="71"/>
        <v>0</v>
      </c>
      <c r="AS58" s="456"/>
      <c r="AT58" s="456"/>
      <c r="AU58" s="456"/>
      <c r="AV58" s="456"/>
      <c r="AW58" s="456">
        <f t="shared" si="72"/>
        <v>0</v>
      </c>
      <c r="AX58" s="456"/>
      <c r="AY58" s="456"/>
      <c r="AZ58" s="456"/>
      <c r="BA58" s="456"/>
      <c r="BB58" s="456">
        <f t="shared" si="73"/>
        <v>0</v>
      </c>
      <c r="BC58" s="456"/>
      <c r="BD58" s="456"/>
      <c r="BE58" s="456"/>
      <c r="BF58" s="456"/>
      <c r="BG58" s="456">
        <f t="shared" si="74"/>
        <v>0</v>
      </c>
      <c r="BH58" s="456"/>
      <c r="BI58" s="456"/>
      <c r="BJ58" s="39">
        <f t="shared" si="75"/>
        <v>70248.33</v>
      </c>
      <c r="BK58" s="39">
        <f t="shared" si="76"/>
        <v>90234</v>
      </c>
      <c r="BL58" s="106">
        <f t="shared" si="77"/>
        <v>160482.33000000002</v>
      </c>
      <c r="BM58" s="178">
        <f t="shared" si="57"/>
        <v>1.6255454100179881E-2</v>
      </c>
      <c r="BN58" s="79"/>
    </row>
    <row r="59" spans="1:66" ht="14.4" customHeight="1" outlineLevel="2">
      <c r="A59" s="237"/>
      <c r="B59" s="19" t="s">
        <v>66</v>
      </c>
      <c r="C59" s="113">
        <v>5070</v>
      </c>
      <c r="D59" s="128"/>
      <c r="E59" s="120">
        <f t="shared" si="60"/>
        <v>5070</v>
      </c>
      <c r="F59" s="178">
        <f t="shared" si="78"/>
        <v>9.6098827715989136E-4</v>
      </c>
      <c r="G59" s="39">
        <v>16822.3</v>
      </c>
      <c r="H59" s="39">
        <v>0</v>
      </c>
      <c r="I59" s="106">
        <f t="shared" si="61"/>
        <v>16822.3</v>
      </c>
      <c r="J59" s="178">
        <f t="shared" si="58"/>
        <v>1.7450992923486645E-3</v>
      </c>
      <c r="K59" s="79"/>
      <c r="L59" s="210"/>
      <c r="M59" s="210"/>
      <c r="N59" s="106">
        <f t="shared" si="62"/>
        <v>0</v>
      </c>
      <c r="O59" s="178">
        <f t="shared" si="59"/>
        <v>0</v>
      </c>
      <c r="P59" s="79"/>
      <c r="Q59" s="210"/>
      <c r="R59" s="210"/>
      <c r="S59" s="106">
        <f t="shared" si="63"/>
        <v>0</v>
      </c>
      <c r="T59" s="178">
        <f t="shared" si="64"/>
        <v>0</v>
      </c>
      <c r="U59" s="79"/>
      <c r="V59" s="210"/>
      <c r="W59" s="210"/>
      <c r="X59" s="106">
        <f t="shared" si="65"/>
        <v>0</v>
      </c>
      <c r="Y59" s="178">
        <f t="shared" si="66"/>
        <v>0</v>
      </c>
      <c r="Z59" s="79"/>
      <c r="AA59" s="210"/>
      <c r="AB59" s="210"/>
      <c r="AC59" s="106">
        <f t="shared" si="67"/>
        <v>0</v>
      </c>
      <c r="AD59" s="178">
        <f t="shared" si="68"/>
        <v>0</v>
      </c>
      <c r="AE59" s="79"/>
      <c r="AF59" s="456"/>
      <c r="AG59" s="456"/>
      <c r="AH59" s="456">
        <f t="shared" si="69"/>
        <v>0</v>
      </c>
      <c r="AI59" s="456"/>
      <c r="AJ59" s="456"/>
      <c r="AK59" s="456"/>
      <c r="AL59" s="456"/>
      <c r="AM59" s="456">
        <f t="shared" si="70"/>
        <v>0</v>
      </c>
      <c r="AN59" s="456"/>
      <c r="AO59" s="456"/>
      <c r="AP59" s="456"/>
      <c r="AQ59" s="456"/>
      <c r="AR59" s="456">
        <f t="shared" si="71"/>
        <v>0</v>
      </c>
      <c r="AS59" s="456"/>
      <c r="AT59" s="456"/>
      <c r="AU59" s="456"/>
      <c r="AV59" s="456"/>
      <c r="AW59" s="456">
        <f t="shared" si="72"/>
        <v>0</v>
      </c>
      <c r="AX59" s="456"/>
      <c r="AY59" s="456"/>
      <c r="AZ59" s="456"/>
      <c r="BA59" s="456"/>
      <c r="BB59" s="456">
        <f t="shared" si="73"/>
        <v>0</v>
      </c>
      <c r="BC59" s="456"/>
      <c r="BD59" s="456"/>
      <c r="BE59" s="456"/>
      <c r="BF59" s="456"/>
      <c r="BG59" s="456">
        <f t="shared" si="74"/>
        <v>0</v>
      </c>
      <c r="BH59" s="456"/>
      <c r="BI59" s="456"/>
      <c r="BJ59" s="39">
        <f t="shared" si="75"/>
        <v>16822.3</v>
      </c>
      <c r="BK59" s="39">
        <f t="shared" si="76"/>
        <v>0</v>
      </c>
      <c r="BL59" s="106">
        <f t="shared" si="77"/>
        <v>16822.3</v>
      </c>
      <c r="BM59" s="178">
        <f t="shared" si="57"/>
        <v>1.7039516157913209E-3</v>
      </c>
      <c r="BN59" s="79"/>
    </row>
    <row r="60" spans="1:66" ht="14.4" customHeight="1" outlineLevel="2">
      <c r="A60" s="237"/>
      <c r="B60" s="19" t="s">
        <v>65</v>
      </c>
      <c r="C60" s="113">
        <v>5720</v>
      </c>
      <c r="D60" s="128"/>
      <c r="E60" s="120">
        <f t="shared" si="60"/>
        <v>5720</v>
      </c>
      <c r="F60" s="178">
        <f t="shared" si="78"/>
        <v>1.0841919024368004E-3</v>
      </c>
      <c r="G60" s="39">
        <v>18978.439999999999</v>
      </c>
      <c r="H60" s="39">
        <v>0</v>
      </c>
      <c r="I60" s="106">
        <f t="shared" si="61"/>
        <v>18978.439999999999</v>
      </c>
      <c r="J60" s="178">
        <f t="shared" si="58"/>
        <v>1.9687713460039107E-3</v>
      </c>
      <c r="K60" s="79"/>
      <c r="L60" s="210"/>
      <c r="M60" s="210"/>
      <c r="N60" s="106">
        <f t="shared" si="62"/>
        <v>0</v>
      </c>
      <c r="O60" s="178">
        <f t="shared" si="59"/>
        <v>0</v>
      </c>
      <c r="P60" s="79"/>
      <c r="Q60" s="210"/>
      <c r="R60" s="210"/>
      <c r="S60" s="106">
        <f t="shared" si="63"/>
        <v>0</v>
      </c>
      <c r="T60" s="178">
        <f t="shared" si="64"/>
        <v>0</v>
      </c>
      <c r="U60" s="79"/>
      <c r="V60" s="210"/>
      <c r="W60" s="210"/>
      <c r="X60" s="106">
        <f t="shared" si="65"/>
        <v>0</v>
      </c>
      <c r="Y60" s="178">
        <f t="shared" si="66"/>
        <v>0</v>
      </c>
      <c r="Z60" s="79"/>
      <c r="AA60" s="210"/>
      <c r="AB60" s="210"/>
      <c r="AC60" s="106">
        <f t="shared" si="67"/>
        <v>0</v>
      </c>
      <c r="AD60" s="178">
        <f t="shared" si="68"/>
        <v>0</v>
      </c>
      <c r="AE60" s="79"/>
      <c r="AF60" s="456"/>
      <c r="AG60" s="456"/>
      <c r="AH60" s="456">
        <f t="shared" si="69"/>
        <v>0</v>
      </c>
      <c r="AI60" s="456"/>
      <c r="AJ60" s="456"/>
      <c r="AK60" s="456"/>
      <c r="AL60" s="456"/>
      <c r="AM60" s="456">
        <f t="shared" si="70"/>
        <v>0</v>
      </c>
      <c r="AN60" s="456"/>
      <c r="AO60" s="456"/>
      <c r="AP60" s="456"/>
      <c r="AQ60" s="456"/>
      <c r="AR60" s="456">
        <f t="shared" si="71"/>
        <v>0</v>
      </c>
      <c r="AS60" s="456"/>
      <c r="AT60" s="456"/>
      <c r="AU60" s="456"/>
      <c r="AV60" s="456"/>
      <c r="AW60" s="456">
        <f t="shared" si="72"/>
        <v>0</v>
      </c>
      <c r="AX60" s="456"/>
      <c r="AY60" s="456"/>
      <c r="AZ60" s="456"/>
      <c r="BA60" s="456"/>
      <c r="BB60" s="456">
        <f t="shared" si="73"/>
        <v>0</v>
      </c>
      <c r="BC60" s="456"/>
      <c r="BD60" s="456"/>
      <c r="BE60" s="456"/>
      <c r="BF60" s="456"/>
      <c r="BG60" s="456">
        <f t="shared" si="74"/>
        <v>0</v>
      </c>
      <c r="BH60" s="456"/>
      <c r="BI60" s="456"/>
      <c r="BJ60" s="39">
        <f t="shared" si="75"/>
        <v>18978.439999999999</v>
      </c>
      <c r="BK60" s="39">
        <f t="shared" si="76"/>
        <v>0</v>
      </c>
      <c r="BL60" s="106">
        <f t="shared" si="77"/>
        <v>18978.439999999999</v>
      </c>
      <c r="BM60" s="178">
        <f t="shared" si="57"/>
        <v>1.9223497086128911E-3</v>
      </c>
      <c r="BN60" s="79"/>
    </row>
    <row r="61" spans="1:66" ht="13.95" customHeight="1" outlineLevel="2">
      <c r="A61" s="237"/>
      <c r="B61" s="19" t="s">
        <v>32</v>
      </c>
      <c r="C61" s="113"/>
      <c r="D61" s="128"/>
      <c r="E61" s="120">
        <f t="shared" si="60"/>
        <v>0</v>
      </c>
      <c r="F61" s="178">
        <f t="shared" si="78"/>
        <v>0</v>
      </c>
      <c r="G61" s="39">
        <v>0</v>
      </c>
      <c r="H61" s="39">
        <v>0</v>
      </c>
      <c r="I61" s="106">
        <f t="shared" si="61"/>
        <v>0</v>
      </c>
      <c r="J61" s="178">
        <f t="shared" si="58"/>
        <v>0</v>
      </c>
      <c r="K61" s="79"/>
      <c r="L61" s="210"/>
      <c r="M61" s="210"/>
      <c r="N61" s="106">
        <f t="shared" si="62"/>
        <v>0</v>
      </c>
      <c r="O61" s="178">
        <f t="shared" si="59"/>
        <v>0</v>
      </c>
      <c r="P61" s="79"/>
      <c r="Q61" s="210"/>
      <c r="R61" s="210"/>
      <c r="S61" s="106">
        <f t="shared" si="63"/>
        <v>0</v>
      </c>
      <c r="T61" s="178">
        <f t="shared" si="64"/>
        <v>0</v>
      </c>
      <c r="U61" s="79"/>
      <c r="V61" s="210"/>
      <c r="W61" s="210"/>
      <c r="X61" s="106">
        <f t="shared" si="65"/>
        <v>0</v>
      </c>
      <c r="Y61" s="178">
        <f t="shared" si="66"/>
        <v>0</v>
      </c>
      <c r="Z61" s="79"/>
      <c r="AA61" s="210"/>
      <c r="AB61" s="210"/>
      <c r="AC61" s="106">
        <f t="shared" si="67"/>
        <v>0</v>
      </c>
      <c r="AD61" s="178">
        <f t="shared" si="68"/>
        <v>0</v>
      </c>
      <c r="AE61" s="79"/>
      <c r="AF61" s="456"/>
      <c r="AG61" s="456"/>
      <c r="AH61" s="456">
        <f t="shared" si="69"/>
        <v>0</v>
      </c>
      <c r="AI61" s="456"/>
      <c r="AJ61" s="456"/>
      <c r="AK61" s="456"/>
      <c r="AL61" s="456"/>
      <c r="AM61" s="456">
        <f t="shared" si="70"/>
        <v>0</v>
      </c>
      <c r="AN61" s="456"/>
      <c r="AO61" s="456"/>
      <c r="AP61" s="456"/>
      <c r="AQ61" s="456"/>
      <c r="AR61" s="456">
        <f t="shared" si="71"/>
        <v>0</v>
      </c>
      <c r="AS61" s="456"/>
      <c r="AT61" s="456"/>
      <c r="AU61" s="456"/>
      <c r="AV61" s="456"/>
      <c r="AW61" s="456">
        <f t="shared" si="72"/>
        <v>0</v>
      </c>
      <c r="AX61" s="456"/>
      <c r="AY61" s="456"/>
      <c r="AZ61" s="456"/>
      <c r="BA61" s="456"/>
      <c r="BB61" s="456">
        <f t="shared" si="73"/>
        <v>0</v>
      </c>
      <c r="BC61" s="456"/>
      <c r="BD61" s="456"/>
      <c r="BE61" s="456"/>
      <c r="BF61" s="456"/>
      <c r="BG61" s="456">
        <f t="shared" si="74"/>
        <v>0</v>
      </c>
      <c r="BH61" s="456"/>
      <c r="BI61" s="456"/>
      <c r="BJ61" s="39">
        <f t="shared" si="75"/>
        <v>0</v>
      </c>
      <c r="BK61" s="39">
        <f t="shared" si="76"/>
        <v>0</v>
      </c>
      <c r="BL61" s="106">
        <f t="shared" si="77"/>
        <v>0</v>
      </c>
      <c r="BM61" s="178">
        <f t="shared" si="57"/>
        <v>0</v>
      </c>
      <c r="BN61" s="79"/>
    </row>
    <row r="62" spans="1:66" ht="30.6" customHeight="1" outlineLevel="2">
      <c r="A62" s="237"/>
      <c r="B62" s="19" t="s">
        <v>33</v>
      </c>
      <c r="C62" s="129"/>
      <c r="D62" s="128"/>
      <c r="E62" s="120">
        <f t="shared" si="60"/>
        <v>0</v>
      </c>
      <c r="F62" s="178">
        <f t="shared" si="78"/>
        <v>0</v>
      </c>
      <c r="G62" s="39">
        <v>0</v>
      </c>
      <c r="H62" s="39">
        <v>0</v>
      </c>
      <c r="I62" s="106">
        <f t="shared" si="61"/>
        <v>0</v>
      </c>
      <c r="J62" s="178">
        <f t="shared" si="58"/>
        <v>0</v>
      </c>
      <c r="K62" s="79"/>
      <c r="L62" s="210"/>
      <c r="M62" s="210"/>
      <c r="N62" s="106">
        <f t="shared" si="62"/>
        <v>0</v>
      </c>
      <c r="O62" s="178">
        <f t="shared" si="59"/>
        <v>0</v>
      </c>
      <c r="P62" s="79"/>
      <c r="Q62" s="210"/>
      <c r="R62" s="210"/>
      <c r="S62" s="106">
        <f t="shared" si="63"/>
        <v>0</v>
      </c>
      <c r="T62" s="178">
        <f t="shared" si="64"/>
        <v>0</v>
      </c>
      <c r="U62" s="79"/>
      <c r="V62" s="210"/>
      <c r="W62" s="210"/>
      <c r="X62" s="106">
        <f t="shared" si="65"/>
        <v>0</v>
      </c>
      <c r="Y62" s="178">
        <f t="shared" si="66"/>
        <v>0</v>
      </c>
      <c r="Z62" s="79"/>
      <c r="AA62" s="210"/>
      <c r="AB62" s="210"/>
      <c r="AC62" s="106"/>
      <c r="AD62" s="178">
        <f t="shared" si="68"/>
        <v>0</v>
      </c>
      <c r="AE62" s="79"/>
      <c r="AF62" s="456"/>
      <c r="AG62" s="456"/>
      <c r="AH62" s="456">
        <f t="shared" si="69"/>
        <v>0</v>
      </c>
      <c r="AI62" s="456"/>
      <c r="AJ62" s="456"/>
      <c r="AK62" s="456"/>
      <c r="AL62" s="456"/>
      <c r="AM62" s="456">
        <f t="shared" si="70"/>
        <v>0</v>
      </c>
      <c r="AN62" s="456"/>
      <c r="AO62" s="456"/>
      <c r="AP62" s="456"/>
      <c r="AQ62" s="456"/>
      <c r="AR62" s="456">
        <f t="shared" si="71"/>
        <v>0</v>
      </c>
      <c r="AS62" s="456"/>
      <c r="AT62" s="456"/>
      <c r="AU62" s="456"/>
      <c r="AV62" s="456"/>
      <c r="AW62" s="456">
        <f t="shared" si="72"/>
        <v>0</v>
      </c>
      <c r="AX62" s="456"/>
      <c r="AY62" s="456"/>
      <c r="AZ62" s="456"/>
      <c r="BA62" s="456"/>
      <c r="BB62" s="456">
        <f t="shared" si="73"/>
        <v>0</v>
      </c>
      <c r="BC62" s="456"/>
      <c r="BD62" s="456"/>
      <c r="BE62" s="456"/>
      <c r="BF62" s="456"/>
      <c r="BG62" s="456">
        <f t="shared" si="74"/>
        <v>0</v>
      </c>
      <c r="BH62" s="456"/>
      <c r="BI62" s="456"/>
      <c r="BJ62" s="39">
        <f t="shared" si="75"/>
        <v>0</v>
      </c>
      <c r="BK62" s="39">
        <f t="shared" si="76"/>
        <v>0</v>
      </c>
      <c r="BL62" s="106">
        <f t="shared" si="77"/>
        <v>0</v>
      </c>
      <c r="BM62" s="178">
        <f t="shared" si="57"/>
        <v>0</v>
      </c>
      <c r="BN62" s="79"/>
    </row>
    <row r="63" spans="1:66" ht="31.95" customHeight="1" outlineLevel="2">
      <c r="A63" s="237"/>
      <c r="B63" s="19" t="s">
        <v>35</v>
      </c>
      <c r="C63" s="129">
        <v>13520</v>
      </c>
      <c r="D63" s="128"/>
      <c r="E63" s="120">
        <f t="shared" si="60"/>
        <v>13520</v>
      </c>
      <c r="F63" s="178">
        <f t="shared" si="78"/>
        <v>2.5626354057597103E-3</v>
      </c>
      <c r="G63" s="39">
        <v>13059.26</v>
      </c>
      <c r="H63" s="39">
        <v>200</v>
      </c>
      <c r="I63" s="106">
        <f t="shared" si="61"/>
        <v>13259.26</v>
      </c>
      <c r="J63" s="178">
        <f t="shared" si="58"/>
        <v>1.3754792889834895E-3</v>
      </c>
      <c r="K63" s="79"/>
      <c r="L63" s="210"/>
      <c r="M63" s="210"/>
      <c r="N63" s="106">
        <f t="shared" si="62"/>
        <v>0</v>
      </c>
      <c r="O63" s="178">
        <f t="shared" si="59"/>
        <v>0</v>
      </c>
      <c r="P63" s="79"/>
      <c r="Q63" s="210"/>
      <c r="R63" s="210"/>
      <c r="S63" s="106">
        <f t="shared" si="63"/>
        <v>0</v>
      </c>
      <c r="T63" s="178">
        <f t="shared" si="64"/>
        <v>0</v>
      </c>
      <c r="U63" s="79"/>
      <c r="V63" s="210"/>
      <c r="W63" s="210">
        <v>1027</v>
      </c>
      <c r="X63" s="106">
        <f t="shared" si="65"/>
        <v>1027</v>
      </c>
      <c r="Y63" s="178">
        <f t="shared" si="66"/>
        <v>1.249409374785489E-2</v>
      </c>
      <c r="Z63" s="389" t="s">
        <v>709</v>
      </c>
      <c r="AA63" s="210"/>
      <c r="AB63" s="210"/>
      <c r="AC63" s="106"/>
      <c r="AD63" s="178">
        <f t="shared" si="68"/>
        <v>0</v>
      </c>
      <c r="AE63" s="389"/>
      <c r="AF63" s="454"/>
      <c r="AG63" s="454"/>
      <c r="AH63" s="454">
        <f t="shared" si="69"/>
        <v>0</v>
      </c>
      <c r="AI63" s="454"/>
      <c r="AJ63" s="454"/>
      <c r="AK63" s="454"/>
      <c r="AL63" s="454"/>
      <c r="AM63" s="454">
        <f t="shared" si="70"/>
        <v>0</v>
      </c>
      <c r="AN63" s="454"/>
      <c r="AO63" s="454"/>
      <c r="AP63" s="454"/>
      <c r="AQ63" s="454"/>
      <c r="AR63" s="454">
        <f t="shared" si="71"/>
        <v>0</v>
      </c>
      <c r="AS63" s="454"/>
      <c r="AT63" s="454"/>
      <c r="AU63" s="454"/>
      <c r="AV63" s="454"/>
      <c r="AW63" s="454">
        <f t="shared" si="72"/>
        <v>0</v>
      </c>
      <c r="AX63" s="454"/>
      <c r="AY63" s="454"/>
      <c r="AZ63" s="454"/>
      <c r="BA63" s="454"/>
      <c r="BB63" s="454">
        <f t="shared" si="73"/>
        <v>0</v>
      </c>
      <c r="BC63" s="454"/>
      <c r="BD63" s="454"/>
      <c r="BE63" s="454"/>
      <c r="BF63" s="454"/>
      <c r="BG63" s="454">
        <f t="shared" si="74"/>
        <v>0</v>
      </c>
      <c r="BH63" s="454"/>
      <c r="BI63" s="454"/>
      <c r="BJ63" s="39">
        <f t="shared" si="75"/>
        <v>13059.26</v>
      </c>
      <c r="BK63" s="39">
        <f t="shared" si="76"/>
        <v>1227</v>
      </c>
      <c r="BL63" s="106">
        <f t="shared" si="77"/>
        <v>14286.26</v>
      </c>
      <c r="BM63" s="178">
        <f t="shared" si="57"/>
        <v>1.447072981139019E-3</v>
      </c>
      <c r="BN63" s="79"/>
    </row>
    <row r="64" spans="1:66" ht="31.2" customHeight="1" outlineLevel="2">
      <c r="A64" s="237"/>
      <c r="B64" s="19" t="s">
        <v>63</v>
      </c>
      <c r="C64" s="129"/>
      <c r="D64" s="128"/>
      <c r="E64" s="120">
        <f t="shared" si="60"/>
        <v>0</v>
      </c>
      <c r="F64" s="178">
        <f t="shared" si="78"/>
        <v>0</v>
      </c>
      <c r="G64" s="39">
        <v>0</v>
      </c>
      <c r="H64" s="39">
        <v>0</v>
      </c>
      <c r="I64" s="106">
        <f t="shared" si="61"/>
        <v>0</v>
      </c>
      <c r="J64" s="178">
        <f t="shared" si="58"/>
        <v>0</v>
      </c>
      <c r="K64" s="79"/>
      <c r="L64" s="210"/>
      <c r="M64" s="210"/>
      <c r="N64" s="106">
        <f t="shared" si="62"/>
        <v>0</v>
      </c>
      <c r="O64" s="178">
        <f t="shared" si="59"/>
        <v>0</v>
      </c>
      <c r="P64" s="79"/>
      <c r="Q64" s="210"/>
      <c r="R64" s="210"/>
      <c r="S64" s="106">
        <f t="shared" si="63"/>
        <v>0</v>
      </c>
      <c r="T64" s="178">
        <f t="shared" si="64"/>
        <v>0</v>
      </c>
      <c r="U64" s="79"/>
      <c r="V64" s="210"/>
      <c r="W64" s="210"/>
      <c r="X64" s="106">
        <f t="shared" si="65"/>
        <v>0</v>
      </c>
      <c r="Y64" s="178">
        <f t="shared" si="66"/>
        <v>0</v>
      </c>
      <c r="Z64" s="79"/>
      <c r="AA64" s="210"/>
      <c r="AB64" s="210"/>
      <c r="AC64" s="106"/>
      <c r="AD64" s="178">
        <f t="shared" si="68"/>
        <v>0</v>
      </c>
      <c r="AE64" s="79"/>
      <c r="AF64" s="456"/>
      <c r="AG64" s="456"/>
      <c r="AH64" s="456">
        <f t="shared" si="69"/>
        <v>0</v>
      </c>
      <c r="AI64" s="456"/>
      <c r="AJ64" s="456"/>
      <c r="AK64" s="456"/>
      <c r="AL64" s="456"/>
      <c r="AM64" s="456">
        <f t="shared" si="70"/>
        <v>0</v>
      </c>
      <c r="AN64" s="456"/>
      <c r="AO64" s="456"/>
      <c r="AP64" s="456"/>
      <c r="AQ64" s="456"/>
      <c r="AR64" s="456">
        <f t="shared" si="71"/>
        <v>0</v>
      </c>
      <c r="AS64" s="456"/>
      <c r="AT64" s="456"/>
      <c r="AU64" s="456"/>
      <c r="AV64" s="456"/>
      <c r="AW64" s="456">
        <f t="shared" si="72"/>
        <v>0</v>
      </c>
      <c r="AX64" s="456"/>
      <c r="AY64" s="456"/>
      <c r="AZ64" s="456"/>
      <c r="BA64" s="456"/>
      <c r="BB64" s="456">
        <f t="shared" si="73"/>
        <v>0</v>
      </c>
      <c r="BC64" s="456"/>
      <c r="BD64" s="456"/>
      <c r="BE64" s="456"/>
      <c r="BF64" s="456"/>
      <c r="BG64" s="456">
        <f t="shared" si="74"/>
        <v>0</v>
      </c>
      <c r="BH64" s="456"/>
      <c r="BI64" s="456"/>
      <c r="BJ64" s="39">
        <f t="shared" si="75"/>
        <v>0</v>
      </c>
      <c r="BK64" s="39">
        <f t="shared" si="76"/>
        <v>0</v>
      </c>
      <c r="BL64" s="106">
        <f t="shared" si="77"/>
        <v>0</v>
      </c>
      <c r="BM64" s="178">
        <f t="shared" si="57"/>
        <v>0</v>
      </c>
      <c r="BN64" s="79"/>
    </row>
    <row r="65" spans="1:66" ht="93" customHeight="1" outlineLevel="2">
      <c r="A65" s="237"/>
      <c r="B65" s="19" t="s">
        <v>36</v>
      </c>
      <c r="C65" s="129"/>
      <c r="D65" s="128"/>
      <c r="E65" s="120">
        <f t="shared" si="60"/>
        <v>0</v>
      </c>
      <c r="F65" s="178">
        <f t="shared" si="78"/>
        <v>0</v>
      </c>
      <c r="G65" s="39">
        <v>9146.6779999999999</v>
      </c>
      <c r="H65" s="39">
        <v>0</v>
      </c>
      <c r="I65" s="106">
        <f t="shared" si="61"/>
        <v>9146.6779999999999</v>
      </c>
      <c r="J65" s="178">
        <f t="shared" si="58"/>
        <v>9.4885130482401923E-4</v>
      </c>
      <c r="K65" s="79"/>
      <c r="L65" s="39"/>
      <c r="M65" s="39"/>
      <c r="N65" s="106">
        <f t="shared" si="62"/>
        <v>0</v>
      </c>
      <c r="O65" s="178">
        <f>N65/$N$89</f>
        <v>0</v>
      </c>
      <c r="P65" s="79"/>
      <c r="Q65" s="39"/>
      <c r="R65" s="39"/>
      <c r="S65" s="106">
        <f t="shared" si="63"/>
        <v>0</v>
      </c>
      <c r="T65" s="178">
        <f>S65/$N$89</f>
        <v>0</v>
      </c>
      <c r="U65" s="79"/>
      <c r="V65" s="39"/>
      <c r="W65" s="39"/>
      <c r="X65" s="106">
        <f t="shared" si="65"/>
        <v>0</v>
      </c>
      <c r="Y65" s="178">
        <f>X65/$N$89</f>
        <v>0</v>
      </c>
      <c r="Z65" s="79"/>
      <c r="AA65" s="39"/>
      <c r="AB65" s="39"/>
      <c r="AC65" s="106">
        <f t="shared" si="67"/>
        <v>0</v>
      </c>
      <c r="AD65" s="178">
        <f>AC65/$N$89</f>
        <v>0</v>
      </c>
      <c r="AE65" s="79"/>
      <c r="AF65" s="456"/>
      <c r="AG65" s="456"/>
      <c r="AH65" s="456">
        <f t="shared" si="69"/>
        <v>0</v>
      </c>
      <c r="AI65" s="456"/>
      <c r="AJ65" s="456"/>
      <c r="AK65" s="456"/>
      <c r="AL65" s="456"/>
      <c r="AM65" s="456">
        <f t="shared" si="70"/>
        <v>0</v>
      </c>
      <c r="AN65" s="456"/>
      <c r="AO65" s="456"/>
      <c r="AP65" s="456"/>
      <c r="AQ65" s="456"/>
      <c r="AR65" s="456">
        <f t="shared" si="71"/>
        <v>0</v>
      </c>
      <c r="AS65" s="456"/>
      <c r="AT65" s="456"/>
      <c r="AU65" s="456"/>
      <c r="AV65" s="456"/>
      <c r="AW65" s="456">
        <f t="shared" si="72"/>
        <v>0</v>
      </c>
      <c r="AX65" s="456"/>
      <c r="AY65" s="456"/>
      <c r="AZ65" s="456"/>
      <c r="BA65" s="456"/>
      <c r="BB65" s="456">
        <f t="shared" si="73"/>
        <v>0</v>
      </c>
      <c r="BC65" s="456"/>
      <c r="BD65" s="456"/>
      <c r="BE65" s="456"/>
      <c r="BF65" s="456"/>
      <c r="BG65" s="456">
        <f t="shared" si="74"/>
        <v>0</v>
      </c>
      <c r="BH65" s="456"/>
      <c r="BI65" s="456"/>
      <c r="BJ65" s="39">
        <f t="shared" si="75"/>
        <v>9146.6779999999999</v>
      </c>
      <c r="BK65" s="39">
        <f t="shared" si="76"/>
        <v>0</v>
      </c>
      <c r="BL65" s="106">
        <f t="shared" si="77"/>
        <v>9146.6779999999999</v>
      </c>
      <c r="BM65" s="178">
        <f t="shared" si="57"/>
        <v>9.2647835059551475E-4</v>
      </c>
      <c r="BN65" s="79"/>
    </row>
    <row r="66" spans="1:66" s="2" customFormat="1" ht="59.4" customHeight="1" outlineLevel="2">
      <c r="A66" s="237"/>
      <c r="B66" s="19" t="s">
        <v>37</v>
      </c>
      <c r="C66" s="129"/>
      <c r="D66" s="128"/>
      <c r="E66" s="120">
        <f t="shared" si="60"/>
        <v>0</v>
      </c>
      <c r="F66" s="178">
        <f t="shared" si="78"/>
        <v>0</v>
      </c>
      <c r="G66" s="39">
        <v>0</v>
      </c>
      <c r="H66" s="39">
        <v>0</v>
      </c>
      <c r="I66" s="106">
        <f t="shared" si="61"/>
        <v>0</v>
      </c>
      <c r="J66" s="178">
        <f t="shared" si="58"/>
        <v>0</v>
      </c>
      <c r="K66" s="79"/>
      <c r="L66" s="39"/>
      <c r="M66" s="39"/>
      <c r="N66" s="106">
        <f t="shared" si="62"/>
        <v>0</v>
      </c>
      <c r="O66" s="178">
        <f t="shared" si="59"/>
        <v>0</v>
      </c>
      <c r="P66" s="79"/>
      <c r="Q66" s="39"/>
      <c r="R66" s="39"/>
      <c r="S66" s="106">
        <f t="shared" si="63"/>
        <v>0</v>
      </c>
      <c r="T66" s="178">
        <f t="shared" ref="T66:T72" si="79">S66/$N$89</f>
        <v>0</v>
      </c>
      <c r="U66" s="79"/>
      <c r="V66" s="39"/>
      <c r="W66" s="39"/>
      <c r="X66" s="106">
        <f t="shared" si="65"/>
        <v>0</v>
      </c>
      <c r="Y66" s="178">
        <f>X66/$N$89</f>
        <v>0</v>
      </c>
      <c r="Z66" s="79"/>
      <c r="AA66" s="39"/>
      <c r="AB66" s="39"/>
      <c r="AC66" s="106">
        <f t="shared" si="67"/>
        <v>0</v>
      </c>
      <c r="AD66" s="178">
        <f>AC66/$N$89</f>
        <v>0</v>
      </c>
      <c r="AE66" s="79"/>
      <c r="AF66" s="128">
        <v>500</v>
      </c>
      <c r="AG66" s="456"/>
      <c r="AH66" s="457">
        <f t="shared" si="69"/>
        <v>500</v>
      </c>
      <c r="AI66" s="456"/>
      <c r="AJ66" s="454" t="s">
        <v>796</v>
      </c>
      <c r="AK66" s="128"/>
      <c r="AL66" s="456"/>
      <c r="AM66" s="457">
        <f t="shared" si="70"/>
        <v>0</v>
      </c>
      <c r="AN66" s="456"/>
      <c r="AO66" s="454"/>
      <c r="AP66" s="128"/>
      <c r="AQ66" s="456"/>
      <c r="AR66" s="457">
        <f t="shared" si="71"/>
        <v>0</v>
      </c>
      <c r="AS66" s="456"/>
      <c r="AT66" s="454"/>
      <c r="AU66" s="128"/>
      <c r="AV66" s="456"/>
      <c r="AW66" s="457">
        <f t="shared" si="72"/>
        <v>0</v>
      </c>
      <c r="AX66" s="456"/>
      <c r="AY66" s="454"/>
      <c r="AZ66" s="128"/>
      <c r="BA66" s="456"/>
      <c r="BB66" s="457">
        <f t="shared" si="73"/>
        <v>0</v>
      </c>
      <c r="BC66" s="456"/>
      <c r="BD66" s="454"/>
      <c r="BE66" s="128"/>
      <c r="BF66" s="456"/>
      <c r="BG66" s="457">
        <f t="shared" si="74"/>
        <v>0</v>
      </c>
      <c r="BH66" s="456"/>
      <c r="BI66" s="454"/>
      <c r="BJ66" s="39">
        <f t="shared" si="75"/>
        <v>500</v>
      </c>
      <c r="BK66" s="39">
        <f t="shared" si="76"/>
        <v>0</v>
      </c>
      <c r="BL66" s="106">
        <f t="shared" si="77"/>
        <v>500</v>
      </c>
      <c r="BM66" s="178">
        <f t="shared" si="57"/>
        <v>5.0645619677193992E-5</v>
      </c>
      <c r="BN66" s="79"/>
    </row>
    <row r="67" spans="1:66" s="2" customFormat="1" ht="102" customHeight="1" outlineLevel="2">
      <c r="A67" s="237"/>
      <c r="B67" s="19" t="s">
        <v>3</v>
      </c>
      <c r="C67" s="129"/>
      <c r="D67" s="128"/>
      <c r="E67" s="120">
        <f t="shared" si="60"/>
        <v>0</v>
      </c>
      <c r="F67" s="178">
        <f t="shared" si="78"/>
        <v>0</v>
      </c>
      <c r="G67" s="39">
        <v>0</v>
      </c>
      <c r="H67" s="39">
        <v>0</v>
      </c>
      <c r="I67" s="106">
        <f t="shared" si="61"/>
        <v>0</v>
      </c>
      <c r="J67" s="178">
        <f t="shared" si="58"/>
        <v>0</v>
      </c>
      <c r="K67" s="79"/>
      <c r="L67" s="39"/>
      <c r="M67" s="39"/>
      <c r="N67" s="106">
        <f t="shared" si="62"/>
        <v>0</v>
      </c>
      <c r="O67" s="178">
        <f t="shared" si="59"/>
        <v>0</v>
      </c>
      <c r="P67" s="79"/>
      <c r="Q67" s="39"/>
      <c r="R67" s="39"/>
      <c r="S67" s="106">
        <f t="shared" si="63"/>
        <v>0</v>
      </c>
      <c r="T67" s="178">
        <f t="shared" si="79"/>
        <v>0</v>
      </c>
      <c r="U67" s="79"/>
      <c r="V67" s="39"/>
      <c r="W67" s="39"/>
      <c r="X67" s="106">
        <f t="shared" si="65"/>
        <v>0</v>
      </c>
      <c r="Y67" s="178">
        <f>X67/$N$89</f>
        <v>0</v>
      </c>
      <c r="Z67" s="79"/>
      <c r="AA67" s="39"/>
      <c r="AB67" s="39"/>
      <c r="AC67" s="106">
        <f t="shared" si="67"/>
        <v>0</v>
      </c>
      <c r="AD67" s="178">
        <f>AC67/$N$89</f>
        <v>0</v>
      </c>
      <c r="AE67" s="79"/>
      <c r="AF67" s="456"/>
      <c r="AG67" s="456"/>
      <c r="AH67" s="456">
        <f t="shared" si="69"/>
        <v>0</v>
      </c>
      <c r="AI67" s="456"/>
      <c r="AJ67" s="456"/>
      <c r="AK67" s="456"/>
      <c r="AL67" s="456"/>
      <c r="AM67" s="456">
        <f t="shared" si="70"/>
        <v>0</v>
      </c>
      <c r="AN67" s="456"/>
      <c r="AO67" s="456"/>
      <c r="AP67" s="456"/>
      <c r="AQ67" s="456"/>
      <c r="AR67" s="456">
        <f t="shared" si="71"/>
        <v>0</v>
      </c>
      <c r="AS67" s="456"/>
      <c r="AT67" s="456"/>
      <c r="AU67" s="456"/>
      <c r="AV67" s="456"/>
      <c r="AW67" s="456">
        <f t="shared" si="72"/>
        <v>0</v>
      </c>
      <c r="AX67" s="456"/>
      <c r="AY67" s="456"/>
      <c r="AZ67" s="456"/>
      <c r="BA67" s="456"/>
      <c r="BB67" s="456">
        <f t="shared" si="73"/>
        <v>0</v>
      </c>
      <c r="BC67" s="456"/>
      <c r="BD67" s="456"/>
      <c r="BE67" s="456"/>
      <c r="BF67" s="456"/>
      <c r="BG67" s="456">
        <f t="shared" si="74"/>
        <v>0</v>
      </c>
      <c r="BH67" s="456"/>
      <c r="BI67" s="456"/>
      <c r="BJ67" s="39">
        <f t="shared" si="75"/>
        <v>0</v>
      </c>
      <c r="BK67" s="39">
        <f t="shared" si="76"/>
        <v>0</v>
      </c>
      <c r="BL67" s="106">
        <f t="shared" si="77"/>
        <v>0</v>
      </c>
      <c r="BM67" s="178">
        <f t="shared" si="57"/>
        <v>0</v>
      </c>
      <c r="BN67" s="79"/>
    </row>
    <row r="68" spans="1:66" s="2" customFormat="1" ht="24" customHeight="1" outlineLevel="2">
      <c r="A68" s="237"/>
      <c r="B68" s="19" t="s">
        <v>5</v>
      </c>
      <c r="C68" s="129"/>
      <c r="D68" s="128">
        <v>5000</v>
      </c>
      <c r="E68" s="120">
        <f t="shared" si="60"/>
        <v>5000</v>
      </c>
      <c r="F68" s="178">
        <f t="shared" si="78"/>
        <v>9.4772019443776264E-4</v>
      </c>
      <c r="G68" s="39">
        <v>0</v>
      </c>
      <c r="H68" s="39">
        <v>6576.76</v>
      </c>
      <c r="I68" s="106">
        <f t="shared" si="61"/>
        <v>6576.76</v>
      </c>
      <c r="J68" s="178">
        <f t="shared" si="58"/>
        <v>6.8225505560755685E-4</v>
      </c>
      <c r="K68" s="79"/>
      <c r="L68" s="39"/>
      <c r="M68" s="39">
        <v>28.5</v>
      </c>
      <c r="N68" s="106">
        <f t="shared" si="62"/>
        <v>28.5</v>
      </c>
      <c r="O68" s="178">
        <f t="shared" si="59"/>
        <v>3.4672022571943952E-4</v>
      </c>
      <c r="P68" s="79"/>
      <c r="Q68" s="39"/>
      <c r="R68" s="39">
        <v>430</v>
      </c>
      <c r="S68" s="106">
        <f t="shared" si="63"/>
        <v>430</v>
      </c>
      <c r="T68" s="178">
        <f>S68/$S$89</f>
        <v>0.32107933466113642</v>
      </c>
      <c r="U68" s="79" t="s">
        <v>546</v>
      </c>
      <c r="V68" s="39"/>
      <c r="W68" s="39"/>
      <c r="X68" s="106">
        <f t="shared" si="65"/>
        <v>0</v>
      </c>
      <c r="Y68" s="178">
        <f>X68/$S$89</f>
        <v>0</v>
      </c>
      <c r="Z68" s="79" t="s">
        <v>546</v>
      </c>
      <c r="AA68" s="39"/>
      <c r="AB68" s="39"/>
      <c r="AC68" s="106">
        <f t="shared" si="67"/>
        <v>0</v>
      </c>
      <c r="AD68" s="178">
        <f>AC68/$S$89</f>
        <v>0</v>
      </c>
      <c r="AE68" s="79" t="s">
        <v>546</v>
      </c>
      <c r="AF68" s="456"/>
      <c r="AG68" s="456"/>
      <c r="AH68" s="456">
        <f t="shared" si="69"/>
        <v>0</v>
      </c>
      <c r="AI68" s="456"/>
      <c r="AJ68" s="456"/>
      <c r="AK68" s="456"/>
      <c r="AL68" s="456"/>
      <c r="AM68" s="456">
        <f t="shared" si="70"/>
        <v>0</v>
      </c>
      <c r="AN68" s="456"/>
      <c r="AO68" s="456"/>
      <c r="AP68" s="456"/>
      <c r="AQ68" s="456"/>
      <c r="AR68" s="456">
        <f t="shared" si="71"/>
        <v>0</v>
      </c>
      <c r="AS68" s="456"/>
      <c r="AT68" s="456"/>
      <c r="AU68" s="456"/>
      <c r="AV68" s="456"/>
      <c r="AW68" s="456">
        <f t="shared" si="72"/>
        <v>0</v>
      </c>
      <c r="AX68" s="456"/>
      <c r="AY68" s="456"/>
      <c r="AZ68" s="456"/>
      <c r="BA68" s="456"/>
      <c r="BB68" s="456">
        <f t="shared" si="73"/>
        <v>0</v>
      </c>
      <c r="BC68" s="456"/>
      <c r="BD68" s="456"/>
      <c r="BE68" s="456"/>
      <c r="BF68" s="456"/>
      <c r="BG68" s="456">
        <f t="shared" si="74"/>
        <v>0</v>
      </c>
      <c r="BH68" s="456"/>
      <c r="BI68" s="456"/>
      <c r="BJ68" s="39">
        <f t="shared" si="75"/>
        <v>0</v>
      </c>
      <c r="BK68" s="39">
        <f t="shared" si="76"/>
        <v>7035.26</v>
      </c>
      <c r="BL68" s="106">
        <f t="shared" si="77"/>
        <v>7035.26</v>
      </c>
      <c r="BM68" s="178">
        <f t="shared" si="57"/>
        <v>7.1261020458035171E-4</v>
      </c>
      <c r="BN68" s="79"/>
    </row>
    <row r="69" spans="1:66" s="2" customFormat="1" ht="13.8" outlineLevel="2">
      <c r="A69" s="237"/>
      <c r="B69" s="19" t="s">
        <v>42</v>
      </c>
      <c r="C69" s="129">
        <v>18735</v>
      </c>
      <c r="D69" s="128"/>
      <c r="E69" s="120">
        <f t="shared" si="60"/>
        <v>18735</v>
      </c>
      <c r="F69" s="178">
        <f t="shared" si="78"/>
        <v>3.5511075685582968E-3</v>
      </c>
      <c r="G69" s="39">
        <v>31150</v>
      </c>
      <c r="H69" s="39">
        <v>0</v>
      </c>
      <c r="I69" s="106">
        <f t="shared" si="61"/>
        <v>31150</v>
      </c>
      <c r="J69" s="178">
        <f t="shared" si="58"/>
        <v>3.2314156183554511E-3</v>
      </c>
      <c r="K69" s="79"/>
      <c r="L69" s="39"/>
      <c r="M69" s="39"/>
      <c r="N69" s="106">
        <f t="shared" si="62"/>
        <v>0</v>
      </c>
      <c r="O69" s="178">
        <f t="shared" si="59"/>
        <v>0</v>
      </c>
      <c r="P69" s="79"/>
      <c r="Q69" s="39"/>
      <c r="R69" s="39"/>
      <c r="S69" s="106">
        <f t="shared" si="63"/>
        <v>0</v>
      </c>
      <c r="T69" s="178">
        <f t="shared" si="79"/>
        <v>0</v>
      </c>
      <c r="U69" s="79"/>
      <c r="V69" s="39"/>
      <c r="W69" s="39"/>
      <c r="X69" s="106">
        <f t="shared" si="65"/>
        <v>0</v>
      </c>
      <c r="Y69" s="178">
        <f>X69/$N$89</f>
        <v>0</v>
      </c>
      <c r="Z69" s="79"/>
      <c r="AA69" s="39"/>
      <c r="AB69" s="39"/>
      <c r="AC69" s="106">
        <f t="shared" si="67"/>
        <v>0</v>
      </c>
      <c r="AD69" s="178">
        <f>AC69/$N$89</f>
        <v>0</v>
      </c>
      <c r="AE69" s="79"/>
      <c r="AF69" s="456"/>
      <c r="AG69" s="456"/>
      <c r="AH69" s="456">
        <f t="shared" si="69"/>
        <v>0</v>
      </c>
      <c r="AI69" s="456"/>
      <c r="AJ69" s="456"/>
      <c r="AK69" s="456"/>
      <c r="AL69" s="456"/>
      <c r="AM69" s="456">
        <f t="shared" si="70"/>
        <v>0</v>
      </c>
      <c r="AN69" s="456"/>
      <c r="AO69" s="456"/>
      <c r="AP69" s="456"/>
      <c r="AQ69" s="456"/>
      <c r="AR69" s="456">
        <f t="shared" si="71"/>
        <v>0</v>
      </c>
      <c r="AS69" s="456"/>
      <c r="AT69" s="456"/>
      <c r="AU69" s="456"/>
      <c r="AV69" s="456"/>
      <c r="AW69" s="456">
        <f t="shared" si="72"/>
        <v>0</v>
      </c>
      <c r="AX69" s="456"/>
      <c r="AY69" s="456"/>
      <c r="AZ69" s="456"/>
      <c r="BA69" s="456"/>
      <c r="BB69" s="456">
        <f t="shared" si="73"/>
        <v>0</v>
      </c>
      <c r="BC69" s="456"/>
      <c r="BD69" s="456"/>
      <c r="BE69" s="456"/>
      <c r="BF69" s="456"/>
      <c r="BG69" s="456">
        <f t="shared" si="74"/>
        <v>0</v>
      </c>
      <c r="BH69" s="456"/>
      <c r="BI69" s="456"/>
      <c r="BJ69" s="39">
        <f t="shared" si="75"/>
        <v>31150</v>
      </c>
      <c r="BK69" s="39">
        <f t="shared" si="76"/>
        <v>0</v>
      </c>
      <c r="BL69" s="106">
        <f t="shared" si="77"/>
        <v>31150</v>
      </c>
      <c r="BM69" s="178">
        <f t="shared" si="57"/>
        <v>3.1552221058891859E-3</v>
      </c>
      <c r="BN69" s="79"/>
    </row>
    <row r="70" spans="1:66" s="2" customFormat="1" ht="22.95" customHeight="1" outlineLevel="2">
      <c r="A70" s="237"/>
      <c r="B70" s="19" t="s">
        <v>6</v>
      </c>
      <c r="C70" s="129"/>
      <c r="D70" s="128"/>
      <c r="E70" s="120">
        <f t="shared" si="60"/>
        <v>0</v>
      </c>
      <c r="F70" s="178">
        <f t="shared" si="78"/>
        <v>0</v>
      </c>
      <c r="G70" s="39">
        <v>0</v>
      </c>
      <c r="H70" s="39">
        <v>5200</v>
      </c>
      <c r="I70" s="106">
        <f t="shared" si="61"/>
        <v>5200</v>
      </c>
      <c r="J70" s="178">
        <f t="shared" si="58"/>
        <v>5.3943374688437712E-4</v>
      </c>
      <c r="K70" s="79"/>
      <c r="L70" s="39"/>
      <c r="M70" s="39"/>
      <c r="N70" s="106">
        <f t="shared" si="62"/>
        <v>0</v>
      </c>
      <c r="O70" s="178">
        <f t="shared" si="59"/>
        <v>0</v>
      </c>
      <c r="P70" s="79"/>
      <c r="Q70" s="39"/>
      <c r="R70" s="39"/>
      <c r="S70" s="106">
        <f t="shared" si="63"/>
        <v>0</v>
      </c>
      <c r="T70" s="178">
        <f t="shared" si="79"/>
        <v>0</v>
      </c>
      <c r="U70" s="79"/>
      <c r="V70" s="39"/>
      <c r="W70" s="39"/>
      <c r="X70" s="106">
        <f t="shared" si="65"/>
        <v>0</v>
      </c>
      <c r="Y70" s="178">
        <f>X70/$N$89</f>
        <v>0</v>
      </c>
      <c r="Z70" s="79"/>
      <c r="AA70" s="39"/>
      <c r="AB70" s="39"/>
      <c r="AC70" s="106">
        <f t="shared" si="67"/>
        <v>0</v>
      </c>
      <c r="AD70" s="178">
        <f>AC70/$N$89</f>
        <v>0</v>
      </c>
      <c r="AE70" s="79"/>
      <c r="AF70" s="456"/>
      <c r="AG70" s="456"/>
      <c r="AH70" s="456">
        <f t="shared" si="69"/>
        <v>0</v>
      </c>
      <c r="AI70" s="456"/>
      <c r="AJ70" s="456"/>
      <c r="AK70" s="456"/>
      <c r="AL70" s="456"/>
      <c r="AM70" s="456">
        <f t="shared" si="70"/>
        <v>0</v>
      </c>
      <c r="AN70" s="456"/>
      <c r="AO70" s="456"/>
      <c r="AP70" s="456"/>
      <c r="AQ70" s="456"/>
      <c r="AR70" s="456">
        <f t="shared" si="71"/>
        <v>0</v>
      </c>
      <c r="AS70" s="456"/>
      <c r="AT70" s="456"/>
      <c r="AU70" s="456"/>
      <c r="AV70" s="456"/>
      <c r="AW70" s="456">
        <f t="shared" si="72"/>
        <v>0</v>
      </c>
      <c r="AX70" s="456"/>
      <c r="AY70" s="456"/>
      <c r="AZ70" s="456"/>
      <c r="BA70" s="456"/>
      <c r="BB70" s="456">
        <f t="shared" si="73"/>
        <v>0</v>
      </c>
      <c r="BC70" s="456"/>
      <c r="BD70" s="456"/>
      <c r="BE70" s="456"/>
      <c r="BF70" s="456"/>
      <c r="BG70" s="456">
        <f t="shared" si="74"/>
        <v>0</v>
      </c>
      <c r="BH70" s="456"/>
      <c r="BI70" s="456"/>
      <c r="BJ70" s="39">
        <f t="shared" si="75"/>
        <v>0</v>
      </c>
      <c r="BK70" s="39">
        <f t="shared" si="76"/>
        <v>5200</v>
      </c>
      <c r="BL70" s="106">
        <f t="shared" si="77"/>
        <v>5200</v>
      </c>
      <c r="BM70" s="178">
        <f t="shared" si="57"/>
        <v>5.2671444464281753E-4</v>
      </c>
      <c r="BN70" s="79"/>
    </row>
    <row r="71" spans="1:66" s="2" customFormat="1" ht="13.95" customHeight="1" outlineLevel="2">
      <c r="A71" s="237"/>
      <c r="B71" s="19" t="s">
        <v>402</v>
      </c>
      <c r="C71" s="129"/>
      <c r="D71" s="128"/>
      <c r="E71" s="120">
        <f t="shared" si="60"/>
        <v>0</v>
      </c>
      <c r="F71" s="184">
        <f t="shared" si="78"/>
        <v>0</v>
      </c>
      <c r="G71" s="39">
        <v>0</v>
      </c>
      <c r="H71" s="39">
        <v>2020</v>
      </c>
      <c r="I71" s="106">
        <f t="shared" si="61"/>
        <v>2020</v>
      </c>
      <c r="J71" s="178">
        <f t="shared" si="58"/>
        <v>2.0954926321277724E-4</v>
      </c>
      <c r="K71" s="79"/>
      <c r="L71" s="39"/>
      <c r="M71" s="39"/>
      <c r="N71" s="106">
        <f t="shared" si="62"/>
        <v>0</v>
      </c>
      <c r="O71" s="178">
        <f t="shared" si="59"/>
        <v>0</v>
      </c>
      <c r="P71" s="79"/>
      <c r="Q71" s="39"/>
      <c r="R71" s="39"/>
      <c r="S71" s="106">
        <f t="shared" si="63"/>
        <v>0</v>
      </c>
      <c r="T71" s="178">
        <f t="shared" si="79"/>
        <v>0</v>
      </c>
      <c r="U71" s="79"/>
      <c r="V71" s="39"/>
      <c r="W71" s="39"/>
      <c r="X71" s="106">
        <f t="shared" si="65"/>
        <v>0</v>
      </c>
      <c r="Y71" s="178">
        <f>X71/$N$89</f>
        <v>0</v>
      </c>
      <c r="Z71" s="79"/>
      <c r="AA71" s="39"/>
      <c r="AB71" s="39"/>
      <c r="AC71" s="106">
        <f t="shared" si="67"/>
        <v>0</v>
      </c>
      <c r="AD71" s="178">
        <f>AC71/$N$89</f>
        <v>0</v>
      </c>
      <c r="AE71" s="79"/>
      <c r="AF71" s="456"/>
      <c r="AG71" s="456"/>
      <c r="AH71" s="456">
        <f t="shared" si="69"/>
        <v>0</v>
      </c>
      <c r="AI71" s="456"/>
      <c r="AJ71" s="456"/>
      <c r="AK71" s="456"/>
      <c r="AL71" s="456"/>
      <c r="AM71" s="456">
        <f t="shared" si="70"/>
        <v>0</v>
      </c>
      <c r="AN71" s="456"/>
      <c r="AO71" s="456"/>
      <c r="AP71" s="456"/>
      <c r="AQ71" s="456"/>
      <c r="AR71" s="456">
        <f t="shared" si="71"/>
        <v>0</v>
      </c>
      <c r="AS71" s="456"/>
      <c r="AT71" s="456"/>
      <c r="AU71" s="456"/>
      <c r="AV71" s="456"/>
      <c r="AW71" s="456">
        <f t="shared" si="72"/>
        <v>0</v>
      </c>
      <c r="AX71" s="456"/>
      <c r="AY71" s="456"/>
      <c r="AZ71" s="456"/>
      <c r="BA71" s="456"/>
      <c r="BB71" s="456">
        <f t="shared" si="73"/>
        <v>0</v>
      </c>
      <c r="BC71" s="456"/>
      <c r="BD71" s="456"/>
      <c r="BE71" s="456"/>
      <c r="BF71" s="456"/>
      <c r="BG71" s="456">
        <f t="shared" si="74"/>
        <v>0</v>
      </c>
      <c r="BH71" s="456"/>
      <c r="BI71" s="456"/>
      <c r="BJ71" s="39">
        <f t="shared" si="75"/>
        <v>0</v>
      </c>
      <c r="BK71" s="39">
        <f t="shared" si="76"/>
        <v>2020</v>
      </c>
      <c r="BL71" s="106">
        <f t="shared" si="77"/>
        <v>2020</v>
      </c>
      <c r="BM71" s="178">
        <f t="shared" si="57"/>
        <v>2.0460830349586372E-4</v>
      </c>
      <c r="BN71" s="79"/>
    </row>
    <row r="72" spans="1:66" s="2" customFormat="1" ht="14.4" outlineLevel="2" thickBot="1">
      <c r="A72" s="237"/>
      <c r="B72" s="19"/>
      <c r="C72" s="130"/>
      <c r="D72" s="131"/>
      <c r="E72" s="159"/>
      <c r="F72" s="184">
        <f t="shared" si="78"/>
        <v>0</v>
      </c>
      <c r="G72" s="210">
        <v>0</v>
      </c>
      <c r="H72" s="210">
        <v>0</v>
      </c>
      <c r="I72" s="106"/>
      <c r="J72" s="178">
        <f t="shared" si="58"/>
        <v>0</v>
      </c>
      <c r="K72" s="79"/>
      <c r="L72" s="39"/>
      <c r="M72" s="39"/>
      <c r="N72" s="106"/>
      <c r="O72" s="178">
        <f t="shared" si="59"/>
        <v>0</v>
      </c>
      <c r="P72" s="79"/>
      <c r="Q72" s="39"/>
      <c r="R72" s="39"/>
      <c r="S72" s="106"/>
      <c r="T72" s="178">
        <f t="shared" si="79"/>
        <v>0</v>
      </c>
      <c r="U72" s="79"/>
      <c r="V72" s="39"/>
      <c r="W72" s="39"/>
      <c r="X72" s="106"/>
      <c r="Y72" s="178">
        <f>X72/$N$89</f>
        <v>0</v>
      </c>
      <c r="Z72" s="79"/>
      <c r="AA72" s="39"/>
      <c r="AB72" s="39"/>
      <c r="AC72" s="106"/>
      <c r="AD72" s="178">
        <f>AC72/$N$89</f>
        <v>0</v>
      </c>
      <c r="AE72" s="79"/>
      <c r="AF72" s="456"/>
      <c r="AG72" s="456"/>
      <c r="AH72" s="456"/>
      <c r="AI72" s="456"/>
      <c r="AJ72" s="456"/>
      <c r="AK72" s="456"/>
      <c r="AL72" s="456"/>
      <c r="AM72" s="456"/>
      <c r="AN72" s="456"/>
      <c r="AO72" s="456"/>
      <c r="AP72" s="456"/>
      <c r="AQ72" s="456"/>
      <c r="AR72" s="456"/>
      <c r="AS72" s="456"/>
      <c r="AT72" s="456"/>
      <c r="AU72" s="456"/>
      <c r="AV72" s="456"/>
      <c r="AW72" s="456"/>
      <c r="AX72" s="456"/>
      <c r="AY72" s="456"/>
      <c r="AZ72" s="456"/>
      <c r="BA72" s="456"/>
      <c r="BB72" s="456"/>
      <c r="BC72" s="456"/>
      <c r="BD72" s="456"/>
      <c r="BE72" s="456"/>
      <c r="BF72" s="456"/>
      <c r="BG72" s="456"/>
      <c r="BH72" s="456"/>
      <c r="BI72" s="456"/>
      <c r="BJ72" s="39">
        <f>G72+L72+Q72+V72+AF72</f>
        <v>0</v>
      </c>
      <c r="BK72" s="39">
        <f>H72+M72+R72+W72+AG72</f>
        <v>0</v>
      </c>
      <c r="BL72" s="106"/>
      <c r="BM72" s="178">
        <f t="shared" si="57"/>
        <v>0</v>
      </c>
      <c r="BN72" s="79"/>
    </row>
    <row r="73" spans="1:66" s="2" customFormat="1" ht="14.4" outlineLevel="1" thickBot="1">
      <c r="A73" s="237"/>
      <c r="B73" s="13" t="s">
        <v>4</v>
      </c>
      <c r="C73" s="132">
        <f>C74</f>
        <v>182178.78</v>
      </c>
      <c r="D73" s="133">
        <f>D74</f>
        <v>0</v>
      </c>
      <c r="E73" s="132">
        <f>E74</f>
        <v>182178.78</v>
      </c>
      <c r="F73" s="171">
        <f>E73/$E$89</f>
        <v>3.4530901760806879E-2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645"/>
      <c r="AG73" s="645"/>
      <c r="AH73" s="645">
        <f>AH74</f>
        <v>0</v>
      </c>
      <c r="AI73" s="645"/>
      <c r="AJ73" s="645"/>
      <c r="AK73" s="645"/>
      <c r="AL73" s="645"/>
      <c r="AM73" s="645">
        <f>AM74</f>
        <v>0</v>
      </c>
      <c r="AN73" s="645"/>
      <c r="AO73" s="645"/>
      <c r="AP73" s="645"/>
      <c r="AQ73" s="645"/>
      <c r="AR73" s="645">
        <f>AR74</f>
        <v>0</v>
      </c>
      <c r="AS73" s="645"/>
      <c r="AT73" s="645"/>
      <c r="AU73" s="645"/>
      <c r="AV73" s="645"/>
      <c r="AW73" s="645">
        <f>AW74</f>
        <v>0</v>
      </c>
      <c r="AX73" s="645"/>
      <c r="AY73" s="645"/>
      <c r="AZ73" s="645"/>
      <c r="BA73" s="645"/>
      <c r="BB73" s="645">
        <f>BB74</f>
        <v>0</v>
      </c>
      <c r="BC73" s="645"/>
      <c r="BD73" s="645"/>
      <c r="BE73" s="645"/>
      <c r="BF73" s="645"/>
      <c r="BG73" s="645">
        <f>BG74</f>
        <v>0</v>
      </c>
      <c r="BH73" s="645"/>
      <c r="BI73" s="645"/>
      <c r="BJ73" s="139">
        <f>BJ74</f>
        <v>0</v>
      </c>
      <c r="BK73" s="63">
        <f>BK74</f>
        <v>0</v>
      </c>
      <c r="BL73" s="60">
        <f>BL74</f>
        <v>0</v>
      </c>
      <c r="BM73" s="63"/>
      <c r="BN73" s="63"/>
    </row>
    <row r="74" spans="1:66" s="2" customFormat="1" ht="14.4" outlineLevel="1" thickBot="1">
      <c r="A74" s="20"/>
      <c r="B74" s="225" t="s">
        <v>64</v>
      </c>
      <c r="C74" s="129">
        <f>C6*3%</f>
        <v>182178.78</v>
      </c>
      <c r="D74" s="135"/>
      <c r="E74" s="136">
        <f>C74+D74</f>
        <v>182178.78</v>
      </c>
      <c r="F74" s="185"/>
      <c r="G74" s="39"/>
      <c r="H74" s="39"/>
      <c r="I74" s="64">
        <f>G74+H74*1</f>
        <v>0</v>
      </c>
      <c r="J74" s="64"/>
      <c r="K74" s="64"/>
      <c r="L74" s="39">
        <f>L6*3%</f>
        <v>0</v>
      </c>
      <c r="M74" s="39"/>
      <c r="N74" s="106">
        <f>L74+M74*1</f>
        <v>0</v>
      </c>
      <c r="O74" s="64"/>
      <c r="P74" s="64"/>
      <c r="Q74" s="39"/>
      <c r="R74" s="39"/>
      <c r="S74" s="527">
        <f>Q74+R74*1</f>
        <v>0</v>
      </c>
      <c r="T74" s="64"/>
      <c r="U74" s="64"/>
      <c r="V74" s="39">
        <f>V6*3%</f>
        <v>0</v>
      </c>
      <c r="W74" s="39"/>
      <c r="X74" s="64">
        <f>V74+W74*1</f>
        <v>0</v>
      </c>
      <c r="Y74" s="64"/>
      <c r="Z74" s="64"/>
      <c r="AA74" s="39">
        <f>AA6*3%</f>
        <v>0</v>
      </c>
      <c r="AB74" s="39"/>
      <c r="AC74" s="64">
        <f>AA74+AB74*1</f>
        <v>0</v>
      </c>
      <c r="AD74" s="64"/>
      <c r="AE74" s="64"/>
      <c r="AF74" s="635"/>
      <c r="AG74" s="635"/>
      <c r="AH74" s="635">
        <f>AF74+AG74*1</f>
        <v>0</v>
      </c>
      <c r="AI74" s="635"/>
      <c r="AJ74" s="635"/>
      <c r="AK74" s="635"/>
      <c r="AL74" s="635"/>
      <c r="AM74" s="635">
        <f>AK74+AL74*1</f>
        <v>0</v>
      </c>
      <c r="AN74" s="635"/>
      <c r="AO74" s="635"/>
      <c r="AP74" s="635"/>
      <c r="AQ74" s="635"/>
      <c r="AR74" s="635">
        <f>AP74+AQ74*1</f>
        <v>0</v>
      </c>
      <c r="AS74" s="635"/>
      <c r="AT74" s="635"/>
      <c r="AU74" s="635"/>
      <c r="AV74" s="635"/>
      <c r="AW74" s="635">
        <f>AU74+AV74*1</f>
        <v>0</v>
      </c>
      <c r="AX74" s="635"/>
      <c r="AY74" s="635"/>
      <c r="AZ74" s="635"/>
      <c r="BA74" s="635"/>
      <c r="BB74" s="635">
        <f>AZ74+BA74*1</f>
        <v>0</v>
      </c>
      <c r="BC74" s="635"/>
      <c r="BD74" s="635"/>
      <c r="BE74" s="635"/>
      <c r="BF74" s="635"/>
      <c r="BG74" s="635">
        <f>BE74+BF74*1</f>
        <v>0</v>
      </c>
      <c r="BH74" s="635"/>
      <c r="BI74" s="635"/>
      <c r="BJ74" s="39">
        <f>G74+L74+Q74+V74</f>
        <v>0</v>
      </c>
      <c r="BK74" s="39">
        <f>H74+M74+R74+W74</f>
        <v>0</v>
      </c>
      <c r="BL74" s="523">
        <f>BJ74+BK74*1</f>
        <v>0</v>
      </c>
      <c r="BM74" s="64"/>
      <c r="BN74" s="64"/>
    </row>
    <row r="75" spans="1:66" s="2" customFormat="1" ht="14.4" thickBot="1">
      <c r="A75" s="5"/>
      <c r="B75" s="23" t="s">
        <v>48</v>
      </c>
      <c r="C75" s="137">
        <f>C38-C41-C50-C54</f>
        <v>1993222</v>
      </c>
      <c r="D75" s="137">
        <f>D38-D41-D50-D54</f>
        <v>-1014236</v>
      </c>
      <c r="E75" s="138">
        <f>E38-E41-E50-E54</f>
        <v>978986</v>
      </c>
      <c r="F75" s="172"/>
      <c r="G75" s="65">
        <f>G38-G41-G50-G54</f>
        <v>2055395.4129000013</v>
      </c>
      <c r="H75" s="65">
        <f>H38-H41-H50-H54</f>
        <v>-1774641.18</v>
      </c>
      <c r="I75" s="66">
        <f>I38-I41-I50-I54</f>
        <v>280754.23289999983</v>
      </c>
      <c r="J75" s="66"/>
      <c r="K75" s="66"/>
      <c r="L75" s="65">
        <f>L38-L41-L50-L54</f>
        <v>-30861.77</v>
      </c>
      <c r="M75" s="65">
        <f>M38-M41-M50-M54</f>
        <v>-44663.25</v>
      </c>
      <c r="N75" s="138">
        <f>N38-N41-N50-N54</f>
        <v>-75525.02</v>
      </c>
      <c r="O75" s="66"/>
      <c r="P75" s="66"/>
      <c r="Q75" s="65">
        <f>Q38-Q41-Q50-Q54</f>
        <v>1298381.99</v>
      </c>
      <c r="R75" s="65">
        <f>R38-R41-R50-R54</f>
        <v>-430</v>
      </c>
      <c r="S75" s="138">
        <f>S38-S41-S50-S54</f>
        <v>1297951.99</v>
      </c>
      <c r="T75" s="66"/>
      <c r="U75" s="66"/>
      <c r="V75" s="65">
        <f>V38-V41-V50-V54</f>
        <v>0</v>
      </c>
      <c r="W75" s="65">
        <f>W38-W41-W50-W54</f>
        <v>173</v>
      </c>
      <c r="X75" s="138">
        <f>X38-X41-X50-X54</f>
        <v>173</v>
      </c>
      <c r="Y75" s="66"/>
      <c r="Z75" s="66"/>
      <c r="AA75" s="65">
        <f>AA38-AA41-AA50-AA54</f>
        <v>-52</v>
      </c>
      <c r="AB75" s="65">
        <f>AB38-AB41-AB50-AB54</f>
        <v>0</v>
      </c>
      <c r="AC75" s="138">
        <f>AC38-AC41-AC50-AC54</f>
        <v>-52</v>
      </c>
      <c r="AD75" s="66"/>
      <c r="AE75" s="66"/>
      <c r="AF75" s="646"/>
      <c r="AG75" s="646"/>
      <c r="AH75" s="646">
        <f>AH38-AH41-AH50-AH54</f>
        <v>-500</v>
      </c>
      <c r="AI75" s="646"/>
      <c r="AJ75" s="646"/>
      <c r="AK75" s="646"/>
      <c r="AL75" s="646"/>
      <c r="AM75" s="646">
        <f>AM38-AM41-AM50-AM54</f>
        <v>-192</v>
      </c>
      <c r="AN75" s="646"/>
      <c r="AO75" s="646"/>
      <c r="AP75" s="646"/>
      <c r="AQ75" s="646"/>
      <c r="AR75" s="646">
        <f>AR38-AR41-AR50-AR54</f>
        <v>-113</v>
      </c>
      <c r="AS75" s="646"/>
      <c r="AT75" s="646"/>
      <c r="AU75" s="646"/>
      <c r="AV75" s="646"/>
      <c r="AW75" s="646">
        <f>AW38-AW41-AW50-AW54</f>
        <v>0</v>
      </c>
      <c r="AX75" s="646"/>
      <c r="AY75" s="646"/>
      <c r="AZ75" s="646"/>
      <c r="BA75" s="646"/>
      <c r="BB75" s="646">
        <f>BB38-BB41-BB50-BB54</f>
        <v>0</v>
      </c>
      <c r="BC75" s="646"/>
      <c r="BD75" s="646"/>
      <c r="BE75" s="646"/>
      <c r="BF75" s="646"/>
      <c r="BG75" s="646">
        <f>BG38-BG41-BG50-BG54</f>
        <v>-147260.55600000001</v>
      </c>
      <c r="BH75" s="646"/>
      <c r="BI75" s="646"/>
      <c r="BJ75" s="65">
        <f>BJ38-BJ41-BJ50-BJ54</f>
        <v>3174850.0769000011</v>
      </c>
      <c r="BK75" s="65">
        <f>BK38-BK41-BK50-BK54</f>
        <v>-1819561.43</v>
      </c>
      <c r="BL75" s="138">
        <f>BL38-BL41-BL50-BL54</f>
        <v>1355288.6469000005</v>
      </c>
      <c r="BM75" s="66"/>
      <c r="BN75" s="66"/>
    </row>
    <row r="76" spans="1:66" s="2" customFormat="1" ht="13.8">
      <c r="A76" s="294"/>
      <c r="B76" s="36" t="s">
        <v>49</v>
      </c>
      <c r="C76" s="157">
        <f>C75/C5</f>
        <v>0.32823065342736402</v>
      </c>
      <c r="D76" s="157" t="e">
        <f>D75/D5</f>
        <v>#DIV/0!</v>
      </c>
      <c r="E76" s="158">
        <f>E75/E5</f>
        <v>0.16121295795262214</v>
      </c>
      <c r="F76" s="167"/>
      <c r="G76" s="54">
        <f>G75/G5</f>
        <v>0.2123672386948505</v>
      </c>
      <c r="H76" s="54" t="e">
        <f>H75/H5</f>
        <v>#DIV/0!</v>
      </c>
      <c r="I76" s="55">
        <f>I75/I5</f>
        <v>2.9008044300702484E-2</v>
      </c>
      <c r="J76" s="55"/>
      <c r="K76" s="55"/>
      <c r="L76" s="54" t="e">
        <f>L75/L5</f>
        <v>#DIV/0!</v>
      </c>
      <c r="M76" s="54" t="e">
        <f>M75/M5</f>
        <v>#DIV/0!</v>
      </c>
      <c r="N76" s="55" t="e">
        <f>N75/N5</f>
        <v>#DIV/0!</v>
      </c>
      <c r="O76" s="55"/>
      <c r="P76" s="55"/>
      <c r="Q76" s="54">
        <f>Q75/Q5</f>
        <v>0.99934962864879573</v>
      </c>
      <c r="R76" s="54" t="e">
        <f>R75/R5</f>
        <v>#DIV/0!</v>
      </c>
      <c r="S76" s="55">
        <f>S75/S5</f>
        <v>0.99901866261289207</v>
      </c>
      <c r="T76" s="55"/>
      <c r="U76" s="55"/>
      <c r="V76" s="54" t="e">
        <f>V75/V5</f>
        <v>#DIV/0!</v>
      </c>
      <c r="W76" s="54">
        <f>W75/W5</f>
        <v>0.14416666666666667</v>
      </c>
      <c r="X76" s="55">
        <f>X75/X5</f>
        <v>0.14416666666666667</v>
      </c>
      <c r="Y76" s="55"/>
      <c r="Z76" s="55"/>
      <c r="AA76" s="54" t="e">
        <f>AA75/AA5</f>
        <v>#DIV/0!</v>
      </c>
      <c r="AB76" s="54" t="e">
        <f>AB75/AB5</f>
        <v>#DIV/0!</v>
      </c>
      <c r="AC76" s="55" t="e">
        <f>AC75/AC5</f>
        <v>#DIV/0!</v>
      </c>
      <c r="AD76" s="55"/>
      <c r="AE76" s="55"/>
      <c r="AF76" s="639"/>
      <c r="AG76" s="639"/>
      <c r="AH76" s="639" t="e">
        <f>AH75/AH5</f>
        <v>#DIV/0!</v>
      </c>
      <c r="AI76" s="639"/>
      <c r="AJ76" s="639"/>
      <c r="AK76" s="639"/>
      <c r="AL76" s="639"/>
      <c r="AM76" s="639" t="e">
        <f>AM75/AM5</f>
        <v>#DIV/0!</v>
      </c>
      <c r="AN76" s="639"/>
      <c r="AO76" s="639"/>
      <c r="AP76" s="639"/>
      <c r="AQ76" s="639"/>
      <c r="AR76" s="639" t="e">
        <f>AR75/AR5</f>
        <v>#DIV/0!</v>
      </c>
      <c r="AS76" s="639"/>
      <c r="AT76" s="639"/>
      <c r="AU76" s="639"/>
      <c r="AV76" s="639"/>
      <c r="AW76" s="639" t="e">
        <f>AW75/AW5</f>
        <v>#DIV/0!</v>
      </c>
      <c r="AX76" s="639"/>
      <c r="AY76" s="639"/>
      <c r="AZ76" s="639"/>
      <c r="BA76" s="639"/>
      <c r="BB76" s="639" t="e">
        <f>BB75/BB5</f>
        <v>#DIV/0!</v>
      </c>
      <c r="BC76" s="639"/>
      <c r="BD76" s="639"/>
      <c r="BE76" s="639"/>
      <c r="BF76" s="639"/>
      <c r="BG76" s="639" t="e">
        <f>BG75/BG5</f>
        <v>#DIV/0!</v>
      </c>
      <c r="BH76" s="639"/>
      <c r="BI76" s="639"/>
      <c r="BJ76" s="54">
        <f>BJ75/BJ5</f>
        <v>0.28920844182919658</v>
      </c>
      <c r="BK76" s="54">
        <f>BK75/BK5</f>
        <v>-1516.3011916666667</v>
      </c>
      <c r="BL76" s="55">
        <f>BL75/BL5</f>
        <v>0.12344459323864265</v>
      </c>
      <c r="BM76" s="55"/>
      <c r="BN76" s="55"/>
    </row>
    <row r="77" spans="1:66" s="2" customFormat="1" ht="14.4" outlineLevel="1" thickBot="1">
      <c r="A77" s="294"/>
      <c r="B77" s="27" t="s">
        <v>9</v>
      </c>
      <c r="C77" s="139">
        <f>C78-C79</f>
        <v>0</v>
      </c>
      <c r="D77" s="139">
        <f>D78-D79</f>
        <v>0</v>
      </c>
      <c r="E77" s="140">
        <f>E78-E79</f>
        <v>0</v>
      </c>
      <c r="F77" s="173"/>
      <c r="G77" s="139">
        <f>G78-G79</f>
        <v>0</v>
      </c>
      <c r="H77" s="139">
        <f>H78-H79</f>
        <v>0</v>
      </c>
      <c r="I77" s="140">
        <f>I78-I79</f>
        <v>-241996.52454545451</v>
      </c>
      <c r="J77" s="67"/>
      <c r="K77" s="67"/>
      <c r="L77" s="139">
        <f>L78-L79</f>
        <v>0</v>
      </c>
      <c r="M77" s="139">
        <f>M78-M79</f>
        <v>0</v>
      </c>
      <c r="N77" s="140">
        <f>N78-N79</f>
        <v>-6673.8189655172409</v>
      </c>
      <c r="O77" s="67"/>
      <c r="P77" s="67"/>
      <c r="Q77" s="139">
        <f>Q78-Q79</f>
        <v>0</v>
      </c>
      <c r="R77" s="139">
        <f>R78-R79</f>
        <v>0</v>
      </c>
      <c r="S77" s="140">
        <f>S78-S79</f>
        <v>-64.252873563218387</v>
      </c>
      <c r="T77" s="67"/>
      <c r="U77" s="67"/>
      <c r="V77" s="139">
        <f>V78-V79</f>
        <v>0</v>
      </c>
      <c r="W77" s="139">
        <f>W78-W79</f>
        <v>0</v>
      </c>
      <c r="X77" s="140">
        <f>X78-X79</f>
        <v>-153.45977011494253</v>
      </c>
      <c r="Y77" s="67"/>
      <c r="Z77" s="67"/>
      <c r="AA77" s="139">
        <f>AA78-AA79</f>
        <v>0</v>
      </c>
      <c r="AB77" s="139">
        <f>AB78-AB79</f>
        <v>0</v>
      </c>
      <c r="AC77" s="140">
        <f>AC78-AC79</f>
        <v>0</v>
      </c>
      <c r="AD77" s="67"/>
      <c r="AE77" s="67"/>
      <c r="AF77" s="640"/>
      <c r="AG77" s="640"/>
      <c r="AH77" s="640">
        <f>AH78-AH79</f>
        <v>0</v>
      </c>
      <c r="AI77" s="640"/>
      <c r="AJ77" s="640"/>
      <c r="AK77" s="640"/>
      <c r="AL77" s="640"/>
      <c r="AM77" s="640">
        <f>AM78-AM79</f>
        <v>0</v>
      </c>
      <c r="AN77" s="640"/>
      <c r="AO77" s="640"/>
      <c r="AP77" s="640"/>
      <c r="AQ77" s="640"/>
      <c r="AR77" s="640">
        <f>AR78-AR79</f>
        <v>0</v>
      </c>
      <c r="AS77" s="640"/>
      <c r="AT77" s="640"/>
      <c r="AU77" s="640"/>
      <c r="AV77" s="640"/>
      <c r="AW77" s="640">
        <f>AW78-AW79</f>
        <v>0</v>
      </c>
      <c r="AX77" s="640"/>
      <c r="AY77" s="640"/>
      <c r="AZ77" s="640"/>
      <c r="BA77" s="640"/>
      <c r="BB77" s="640">
        <f>BB78-BB79</f>
        <v>0</v>
      </c>
      <c r="BC77" s="640"/>
      <c r="BD77" s="640"/>
      <c r="BE77" s="640"/>
      <c r="BF77" s="640"/>
      <c r="BG77" s="640">
        <f>BG78-BG79</f>
        <v>0</v>
      </c>
      <c r="BH77" s="640"/>
      <c r="BI77" s="640"/>
      <c r="BJ77" s="139">
        <f>BJ78-BJ79</f>
        <v>0</v>
      </c>
      <c r="BK77" s="139">
        <f>BK78-BK79</f>
        <v>0</v>
      </c>
      <c r="BL77" s="140">
        <f>BL78-BL79</f>
        <v>-248888.05615464991</v>
      </c>
      <c r="BM77" s="67"/>
      <c r="BN77" s="67"/>
    </row>
    <row r="78" spans="1:66" s="2" customFormat="1" ht="13.8" outlineLevel="2">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68"/>
      <c r="U78" s="68"/>
      <c r="V78" s="39"/>
      <c r="W78" s="39"/>
      <c r="X78" s="68">
        <f>V78+W78*1.15</f>
        <v>0</v>
      </c>
      <c r="Y78" s="68"/>
      <c r="Z78" s="68"/>
      <c r="AA78" s="39"/>
      <c r="AB78" s="39"/>
      <c r="AC78" s="68">
        <f>AA78+AB78*1.15</f>
        <v>0</v>
      </c>
      <c r="AD78" s="68"/>
      <c r="AE78" s="68"/>
      <c r="AF78" s="641"/>
      <c r="AG78" s="641"/>
      <c r="AH78" s="641">
        <f>AF78+AG78*1.15</f>
        <v>0</v>
      </c>
      <c r="AI78" s="641"/>
      <c r="AJ78" s="641"/>
      <c r="AK78" s="641"/>
      <c r="AL78" s="641"/>
      <c r="AM78" s="641">
        <f>AK78+AL78*1.15</f>
        <v>0</v>
      </c>
      <c r="AN78" s="641"/>
      <c r="AO78" s="641"/>
      <c r="AP78" s="641"/>
      <c r="AQ78" s="641"/>
      <c r="AR78" s="641">
        <f>AP78+AQ78*1.15</f>
        <v>0</v>
      </c>
      <c r="AS78" s="641"/>
      <c r="AT78" s="641"/>
      <c r="AU78" s="641"/>
      <c r="AV78" s="641"/>
      <c r="AW78" s="641">
        <f>AU78+AV78*1.15</f>
        <v>0</v>
      </c>
      <c r="AX78" s="641"/>
      <c r="AY78" s="641"/>
      <c r="AZ78" s="641"/>
      <c r="BA78" s="641"/>
      <c r="BB78" s="641">
        <f>AZ78+BA78*1.15</f>
        <v>0</v>
      </c>
      <c r="BC78" s="641"/>
      <c r="BD78" s="641"/>
      <c r="BE78" s="641"/>
      <c r="BF78" s="641"/>
      <c r="BG78" s="641">
        <f>BE78+BF78*1.15</f>
        <v>0</v>
      </c>
      <c r="BH78" s="641"/>
      <c r="BI78" s="641"/>
      <c r="BJ78" s="39">
        <f>G78+L78+Q78+V78+AF78+AK78+AP78+AU78+AZ78</f>
        <v>0</v>
      </c>
      <c r="BK78" s="39">
        <f>H78+M78+R78+W78+AG78+AL78+AQ78+AV78+BA78</f>
        <v>0</v>
      </c>
      <c r="BL78" s="68">
        <f>BJ78+BK78*1.15</f>
        <v>0</v>
      </c>
      <c r="BM78" s="68"/>
      <c r="BN78" s="68"/>
    </row>
    <row r="79" spans="1:66" s="2" customFormat="1" ht="13.8" outlineLevel="2">
      <c r="A79" s="11"/>
      <c r="B79" s="24" t="s">
        <v>79</v>
      </c>
      <c r="C79" s="113"/>
      <c r="D79" s="119"/>
      <c r="E79" s="119">
        <f>C79+D79*1.15</f>
        <v>0</v>
      </c>
      <c r="F79" s="180">
        <f>E79/$E$89</f>
        <v>0</v>
      </c>
      <c r="G79" s="39"/>
      <c r="H79" s="39"/>
      <c r="I79" s="106">
        <f>(H8+H41+H50+H54)/0.88*0.12</f>
        <v>241996.52454545451</v>
      </c>
      <c r="J79" s="45"/>
      <c r="K79" s="45"/>
      <c r="L79" s="39"/>
      <c r="M79" s="39"/>
      <c r="N79" s="106">
        <f>(M8+M41+M50+M54)/(1-'расчет 2024'!E4)*'расчет 2024'!E4</f>
        <v>6673.8189655172409</v>
      </c>
      <c r="O79" s="45"/>
      <c r="P79" s="45"/>
      <c r="Q79" s="39"/>
      <c r="R79" s="39"/>
      <c r="S79" s="106">
        <f>(R8+R41+R50+R54)/(1-'расчет 2024'!E4)*'расчет 2024'!E4</f>
        <v>64.252873563218387</v>
      </c>
      <c r="T79" s="45"/>
      <c r="U79" s="45"/>
      <c r="V79" s="39"/>
      <c r="W79" s="39"/>
      <c r="X79" s="106">
        <f>(W8+W41+W50+W54)/(1-'расчет 2024'!E6)*'расчет 2024'!E6</f>
        <v>153.45977011494253</v>
      </c>
      <c r="Y79" s="45"/>
      <c r="Z79" s="45"/>
      <c r="AA79" s="39"/>
      <c r="AB79" s="39"/>
      <c r="AC79" s="106">
        <f>(AB8+AB41+AB50+AB54)/(1-'расчет 2024'!J6)*'расчет 2024'!J6</f>
        <v>0</v>
      </c>
      <c r="AD79" s="45"/>
      <c r="AE79" s="45"/>
      <c r="AF79" s="642"/>
      <c r="AG79" s="642"/>
      <c r="AH79" s="642"/>
      <c r="AI79" s="642"/>
      <c r="AJ79" s="642"/>
      <c r="AK79" s="642"/>
      <c r="AL79" s="642"/>
      <c r="AM79" s="642"/>
      <c r="AN79" s="642"/>
      <c r="AO79" s="642"/>
      <c r="AP79" s="642"/>
      <c r="AQ79" s="642"/>
      <c r="AR79" s="642"/>
      <c r="AS79" s="642"/>
      <c r="AT79" s="642"/>
      <c r="AU79" s="642"/>
      <c r="AV79" s="642"/>
      <c r="AW79" s="642"/>
      <c r="AX79" s="642"/>
      <c r="AY79" s="642"/>
      <c r="AZ79" s="642"/>
      <c r="BA79" s="642"/>
      <c r="BB79" s="642"/>
      <c r="BC79" s="642"/>
      <c r="BD79" s="642"/>
      <c r="BE79" s="642"/>
      <c r="BF79" s="642"/>
      <c r="BG79" s="642"/>
      <c r="BH79" s="642"/>
      <c r="BI79" s="642"/>
      <c r="BJ79" s="39">
        <f>G79+L79+Q79+V79+AF79+AK79+AP79+AU79+AZ79</f>
        <v>0</v>
      </c>
      <c r="BK79" s="39">
        <f>H79+M79+R79+W79+AG79+AL79+AQ79+AV79+BA79</f>
        <v>0</v>
      </c>
      <c r="BL79" s="106">
        <f>I79+N79+S79+X79+AH79+BG79</f>
        <v>248888.05615464991</v>
      </c>
      <c r="BM79" s="45"/>
      <c r="BN79" s="45"/>
    </row>
    <row r="80" spans="1:66" ht="13.8" outlineLevel="2">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69"/>
      <c r="AF80" s="476"/>
      <c r="AG80" s="476"/>
      <c r="AH80" s="476"/>
      <c r="AI80" s="476"/>
      <c r="AJ80" s="476"/>
      <c r="AK80" s="476"/>
      <c r="AL80" s="476"/>
      <c r="AM80" s="476"/>
      <c r="AN80" s="476"/>
      <c r="AO80" s="476"/>
      <c r="AP80" s="476"/>
      <c r="AQ80" s="476"/>
      <c r="AR80" s="476"/>
      <c r="AS80" s="476"/>
      <c r="AT80" s="476"/>
      <c r="AU80" s="476"/>
      <c r="AV80" s="476"/>
      <c r="AW80" s="476"/>
      <c r="AX80" s="476"/>
      <c r="AY80" s="476"/>
      <c r="AZ80" s="476"/>
      <c r="BA80" s="476"/>
      <c r="BB80" s="476"/>
      <c r="BC80" s="476"/>
      <c r="BD80" s="476"/>
      <c r="BE80" s="476"/>
      <c r="BF80" s="476"/>
      <c r="BG80" s="476"/>
      <c r="BH80" s="476"/>
      <c r="BI80" s="476"/>
      <c r="BJ80" s="39"/>
      <c r="BK80" s="39"/>
      <c r="BL80" s="69"/>
      <c r="BM80" s="69"/>
      <c r="BN80" s="69"/>
    </row>
    <row r="81" spans="1:66" s="2" customFormat="1" ht="14.4" outlineLevel="1" thickBot="1">
      <c r="A81" s="26"/>
      <c r="B81" s="27" t="s">
        <v>12</v>
      </c>
      <c r="C81" s="139">
        <f>(C75+C78)-C79</f>
        <v>1993222</v>
      </c>
      <c r="D81" s="139">
        <f>(D75+D78)-D79</f>
        <v>-1014236</v>
      </c>
      <c r="E81" s="140">
        <f>(E75+E78)-E79</f>
        <v>978986</v>
      </c>
      <c r="F81" s="173"/>
      <c r="G81" s="140">
        <f>(G75+G78)-G79</f>
        <v>2055395.4129000013</v>
      </c>
      <c r="H81" s="139">
        <f>(H75+H78)-H79</f>
        <v>-1774641.18</v>
      </c>
      <c r="I81" s="140">
        <f>(I75+I78)-I79</f>
        <v>38757.708354545321</v>
      </c>
      <c r="J81" s="67"/>
      <c r="K81" s="67"/>
      <c r="L81" s="139">
        <f>(L75+L78)-L79</f>
        <v>-30861.77</v>
      </c>
      <c r="M81" s="139">
        <f>(M75+M78)-M79</f>
        <v>-44663.25</v>
      </c>
      <c r="N81" s="140">
        <f>(N75+N78)-N79</f>
        <v>-82198.83896551725</v>
      </c>
      <c r="O81" s="67"/>
      <c r="P81" s="67"/>
      <c r="Q81" s="139">
        <f>(Q75+Q78)-Q79</f>
        <v>1298381.99</v>
      </c>
      <c r="R81" s="139">
        <f>(R75+R78)-R79</f>
        <v>-430</v>
      </c>
      <c r="S81" s="140">
        <f>(S75+S78)-S79</f>
        <v>1297887.7371264368</v>
      </c>
      <c r="T81" s="67"/>
      <c r="U81" s="67"/>
      <c r="V81" s="139">
        <f>(V75+V78)-V79</f>
        <v>0</v>
      </c>
      <c r="W81" s="139">
        <f>(W75+W78)-W79</f>
        <v>173</v>
      </c>
      <c r="X81" s="140">
        <f>(X75+X78)-X79</f>
        <v>19.540229885057471</v>
      </c>
      <c r="Y81" s="67"/>
      <c r="Z81" s="67"/>
      <c r="AA81" s="139">
        <f>(AA75+AA78)-AA79</f>
        <v>-52</v>
      </c>
      <c r="AB81" s="139">
        <f>(AB75+AB78)-AB79</f>
        <v>0</v>
      </c>
      <c r="AC81" s="140">
        <f>(AC75+AC78)-AC79</f>
        <v>-52</v>
      </c>
      <c r="AD81" s="67"/>
      <c r="AE81" s="67"/>
      <c r="AF81" s="640">
        <f>(AF75+AF78)-AF79</f>
        <v>0</v>
      </c>
      <c r="AG81" s="640">
        <f>(AG75+AG78)-AG79</f>
        <v>0</v>
      </c>
      <c r="AH81" s="640">
        <f>(AH75+AH78)-AH79</f>
        <v>-500</v>
      </c>
      <c r="AI81" s="640"/>
      <c r="AJ81" s="640"/>
      <c r="AK81" s="640">
        <f>(AK75+AK78)-AK79</f>
        <v>0</v>
      </c>
      <c r="AL81" s="640">
        <f>(AL75+AL78)-AL79</f>
        <v>0</v>
      </c>
      <c r="AM81" s="640">
        <f>(AM75+AM78)-AM79</f>
        <v>-192</v>
      </c>
      <c r="AN81" s="640"/>
      <c r="AO81" s="640"/>
      <c r="AP81" s="640">
        <f>(AP75+AP78)-AP79</f>
        <v>0</v>
      </c>
      <c r="AQ81" s="640">
        <f>(AQ75+AQ78)-AQ79</f>
        <v>0</v>
      </c>
      <c r="AR81" s="640">
        <f>(AR75+AR78)-AR79</f>
        <v>-113</v>
      </c>
      <c r="AS81" s="640"/>
      <c r="AT81" s="640"/>
      <c r="AU81" s="640">
        <f>(AU75+AU78)-AU79</f>
        <v>0</v>
      </c>
      <c r="AV81" s="640">
        <f>(AV75+AV78)-AV79</f>
        <v>0</v>
      </c>
      <c r="AW81" s="640">
        <f>(AW75+AW78)-AW79</f>
        <v>0</v>
      </c>
      <c r="AX81" s="640"/>
      <c r="AY81" s="640"/>
      <c r="AZ81" s="640">
        <f>(AZ75+AZ78)-AZ79</f>
        <v>0</v>
      </c>
      <c r="BA81" s="640">
        <f>(BA75+BA78)-BA79</f>
        <v>0</v>
      </c>
      <c r="BB81" s="640">
        <f>(BB75+BB78)-BB79</f>
        <v>0</v>
      </c>
      <c r="BC81" s="640"/>
      <c r="BD81" s="640"/>
      <c r="BE81" s="640">
        <f>(BE75+BE78)-BE79</f>
        <v>0</v>
      </c>
      <c r="BF81" s="640">
        <f>(BF75+BF78)-BF79</f>
        <v>0</v>
      </c>
      <c r="BG81" s="640">
        <f>(BG75+BG78)-BG79</f>
        <v>-147260.55600000001</v>
      </c>
      <c r="BH81" s="640"/>
      <c r="BI81" s="640"/>
      <c r="BJ81" s="139">
        <f>(BJ75+BJ78)-BJ79</f>
        <v>3174850.0769000011</v>
      </c>
      <c r="BK81" s="139">
        <f>(BK75+BK78)-BK79</f>
        <v>-1819561.43</v>
      </c>
      <c r="BL81" s="140">
        <f>(BL75+BL78)-BL79</f>
        <v>1106400.5907453506</v>
      </c>
      <c r="BM81" s="67"/>
      <c r="BN81" s="67"/>
    </row>
    <row r="82" spans="1:66" s="2" customFormat="1" ht="13.95" customHeight="1" outlineLevel="2">
      <c r="A82" s="293"/>
      <c r="B82" s="308" t="s">
        <v>38</v>
      </c>
      <c r="C82" s="112"/>
      <c r="D82" s="309"/>
      <c r="E82" s="334">
        <f>C82+D82</f>
        <v>0</v>
      </c>
      <c r="F82" s="335">
        <f>E82/$E$89</f>
        <v>0</v>
      </c>
      <c r="G82" s="112"/>
      <c r="H82" s="142"/>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642"/>
      <c r="AG82" s="642"/>
      <c r="AH82" s="642">
        <f>AF82+AG82</f>
        <v>0</v>
      </c>
      <c r="AI82" s="642"/>
      <c r="AJ82" s="642"/>
      <c r="AK82" s="642"/>
      <c r="AL82" s="642"/>
      <c r="AM82" s="642">
        <f>AK82+AL82</f>
        <v>0</v>
      </c>
      <c r="AN82" s="642"/>
      <c r="AO82" s="642"/>
      <c r="AP82" s="642"/>
      <c r="AQ82" s="642"/>
      <c r="AR82" s="642">
        <f>AP82+AQ82</f>
        <v>0</v>
      </c>
      <c r="AS82" s="642"/>
      <c r="AT82" s="642"/>
      <c r="AU82" s="642"/>
      <c r="AV82" s="642"/>
      <c r="AW82" s="642">
        <f>AU82+AV82</f>
        <v>0</v>
      </c>
      <c r="AX82" s="642"/>
      <c r="AY82" s="642"/>
      <c r="AZ82" s="642"/>
      <c r="BA82" s="642"/>
      <c r="BB82" s="642">
        <f>AZ82+BA82</f>
        <v>0</v>
      </c>
      <c r="BC82" s="642"/>
      <c r="BD82" s="642"/>
      <c r="BE82" s="642"/>
      <c r="BF82" s="642"/>
      <c r="BG82" s="642">
        <f>BE82+BF82</f>
        <v>0</v>
      </c>
      <c r="BH82" s="642"/>
      <c r="BI82" s="642"/>
      <c r="BJ82" s="39"/>
      <c r="BK82" s="39"/>
      <c r="BL82" s="146">
        <f>BJ82+BK82</f>
        <v>0</v>
      </c>
      <c r="BM82" s="101"/>
      <c r="BN82" s="101"/>
    </row>
    <row r="83" spans="1:66" s="2" customFormat="1" ht="13.8" outlineLevel="1">
      <c r="A83" s="11"/>
      <c r="B83" s="28" t="s">
        <v>13</v>
      </c>
      <c r="C83" s="147">
        <f>(C81+C7)-C36</f>
        <v>1993222</v>
      </c>
      <c r="D83" s="147">
        <f>(D81+D7)-D36</f>
        <v>-1014236</v>
      </c>
      <c r="E83" s="147">
        <f>(E81+E7)-E36</f>
        <v>978986</v>
      </c>
      <c r="F83" s="174"/>
      <c r="G83" s="147">
        <f>(G81+G7)-G36</f>
        <v>2055395.4129000013</v>
      </c>
      <c r="H83" s="147">
        <f>(H81+H7)-H36</f>
        <v>-1774641.18</v>
      </c>
      <c r="I83" s="148">
        <f>(I81+I7)-I36</f>
        <v>38757.708354545321</v>
      </c>
      <c r="J83" s="70"/>
      <c r="K83" s="70"/>
      <c r="L83" s="147">
        <f>(L81+L7)-L36</f>
        <v>-30861.77</v>
      </c>
      <c r="M83" s="147">
        <f>(M81+M7)-M36</f>
        <v>-44663.25</v>
      </c>
      <c r="N83" s="148">
        <f>(N81+N7)-N36</f>
        <v>-82198.83896551725</v>
      </c>
      <c r="O83" s="70"/>
      <c r="P83" s="70"/>
      <c r="Q83" s="147">
        <f>(Q81+Q7)-Q36</f>
        <v>1298381.99</v>
      </c>
      <c r="R83" s="147">
        <f>(R81+R7)-R36</f>
        <v>-430</v>
      </c>
      <c r="S83" s="148">
        <f>(S81+S7)-S36</f>
        <v>1297887.7371264368</v>
      </c>
      <c r="T83" s="70"/>
      <c r="U83" s="70"/>
      <c r="V83" s="147">
        <f>(V81+V7)-V36</f>
        <v>219</v>
      </c>
      <c r="W83" s="147">
        <f>(W81+W7)-W36</f>
        <v>173</v>
      </c>
      <c r="X83" s="148">
        <f>(X81+X7)-X36</f>
        <v>238.54022988505747</v>
      </c>
      <c r="Y83" s="70"/>
      <c r="Z83" s="70"/>
      <c r="AA83" s="147">
        <f>(AA81+AA7)-AA36</f>
        <v>-52</v>
      </c>
      <c r="AB83" s="147">
        <f>(AB81+AB7)-AB36</f>
        <v>0</v>
      </c>
      <c r="AC83" s="148">
        <f>(AC81+AC7)-AC36</f>
        <v>-52</v>
      </c>
      <c r="AD83" s="70"/>
      <c r="AE83" s="70"/>
      <c r="AF83" s="643">
        <f>(AF81)-AF36</f>
        <v>0</v>
      </c>
      <c r="AG83" s="643">
        <f>(AG81)-AG36</f>
        <v>0</v>
      </c>
      <c r="AH83" s="643">
        <f>(AH81)-AH36</f>
        <v>-500</v>
      </c>
      <c r="AI83" s="643"/>
      <c r="AJ83" s="643"/>
      <c r="AK83" s="643">
        <f>(AK81)-AK36</f>
        <v>0</v>
      </c>
      <c r="AL83" s="643">
        <f>(AL81)-AL36</f>
        <v>0</v>
      </c>
      <c r="AM83" s="643">
        <f>(AM81)-AM36</f>
        <v>-192</v>
      </c>
      <c r="AN83" s="643"/>
      <c r="AO83" s="643"/>
      <c r="AP83" s="643">
        <f>(AP81)-AP36</f>
        <v>0</v>
      </c>
      <c r="AQ83" s="643">
        <f>(AQ81)-AQ36</f>
        <v>0</v>
      </c>
      <c r="AR83" s="643">
        <f>(AR81)-AR36</f>
        <v>-113</v>
      </c>
      <c r="AS83" s="643"/>
      <c r="AT83" s="643"/>
      <c r="AU83" s="643">
        <f>(AU81)-AU36</f>
        <v>0</v>
      </c>
      <c r="AV83" s="643">
        <f>(AV81)-AV36</f>
        <v>0</v>
      </c>
      <c r="AW83" s="643">
        <f>(AW81)-AW36</f>
        <v>0</v>
      </c>
      <c r="AX83" s="643"/>
      <c r="AY83" s="643"/>
      <c r="AZ83" s="643">
        <f>(AZ81)-AZ36</f>
        <v>0</v>
      </c>
      <c r="BA83" s="643">
        <f>(BA81)-BA36</f>
        <v>0</v>
      </c>
      <c r="BB83" s="643">
        <f>(BB81)-BB36</f>
        <v>0</v>
      </c>
      <c r="BC83" s="643"/>
      <c r="BD83" s="643"/>
      <c r="BE83" s="643">
        <f>(BE81)-BE36</f>
        <v>0</v>
      </c>
      <c r="BF83" s="643">
        <f>(BF81)-BF36</f>
        <v>0</v>
      </c>
      <c r="BG83" s="643">
        <f>(BG81)-BG36</f>
        <v>-147260.55600000001</v>
      </c>
      <c r="BH83" s="643"/>
      <c r="BI83" s="643"/>
      <c r="BJ83" s="147">
        <f>(BJ81)-BJ36</f>
        <v>3174850.0769000011</v>
      </c>
      <c r="BK83" s="147">
        <f>(BK81)-BK36</f>
        <v>-1819561.43</v>
      </c>
      <c r="BL83" s="148">
        <f>(BL81)-BL36</f>
        <v>1106400.5907453506</v>
      </c>
      <c r="BM83" s="70"/>
      <c r="BN83" s="70"/>
    </row>
    <row r="84" spans="1:66" s="2" customFormat="1" ht="14.4" outlineLevel="1" thickBot="1">
      <c r="A84" s="11"/>
      <c r="B84" s="211" t="s">
        <v>14</v>
      </c>
      <c r="C84" s="212">
        <f>C83-C73-C82</f>
        <v>1811043.22</v>
      </c>
      <c r="D84" s="212">
        <f>D83-D73-D82</f>
        <v>-1014236</v>
      </c>
      <c r="E84" s="212">
        <f>E83-E73-E82</f>
        <v>796807.22</v>
      </c>
      <c r="F84" s="214"/>
      <c r="G84" s="39">
        <v>2055395.4129000001</v>
      </c>
      <c r="H84" s="39">
        <v>-1774641.1800000002</v>
      </c>
      <c r="I84" s="213">
        <f>I83-I73-I82</f>
        <v>38757.708354545321</v>
      </c>
      <c r="J84" s="82"/>
      <c r="K84" s="82"/>
      <c r="L84" s="213">
        <f>L83-L73-L82</f>
        <v>-30861.77</v>
      </c>
      <c r="M84" s="213">
        <f>M83-M73-M82</f>
        <v>-44663.25</v>
      </c>
      <c r="N84" s="213">
        <f>N83-N73-N82</f>
        <v>-82198.83896551725</v>
      </c>
      <c r="O84" s="82"/>
      <c r="P84" s="82"/>
      <c r="Q84" s="213">
        <f>Q83-Q73-Q82</f>
        <v>1298381.99</v>
      </c>
      <c r="R84" s="213">
        <f>R83-R73-R82</f>
        <v>-430</v>
      </c>
      <c r="S84" s="213">
        <f>S83-S73-S82</f>
        <v>1297887.7371264368</v>
      </c>
      <c r="T84" s="82"/>
      <c r="U84" s="82"/>
      <c r="V84" s="213">
        <f>V83-V73-V82</f>
        <v>219</v>
      </c>
      <c r="W84" s="213">
        <f>W83-W73-W82</f>
        <v>173</v>
      </c>
      <c r="X84" s="213">
        <f>X83-X73-X82</f>
        <v>238.54022988505747</v>
      </c>
      <c r="Y84" s="82"/>
      <c r="Z84" s="82"/>
      <c r="AA84" s="213">
        <f>AA83-AA73-AA82</f>
        <v>-52</v>
      </c>
      <c r="AB84" s="213">
        <f>AB83-AB73-AB82</f>
        <v>0</v>
      </c>
      <c r="AC84" s="213">
        <f>AC83-AC73-AC82</f>
        <v>-52</v>
      </c>
      <c r="AD84" s="82"/>
      <c r="AE84" s="82"/>
      <c r="AF84" s="537">
        <f>AF83-AF73-AF82</f>
        <v>0</v>
      </c>
      <c r="AG84" s="537">
        <f>AG83-AG73-AG82</f>
        <v>0</v>
      </c>
      <c r="AH84" s="537">
        <f>AH83-AH73-AH82</f>
        <v>-500</v>
      </c>
      <c r="AI84" s="537"/>
      <c r="AJ84" s="537"/>
      <c r="AK84" s="537">
        <f>AK83-AK73-AK82</f>
        <v>0</v>
      </c>
      <c r="AL84" s="537">
        <f>AL83-AL73-AL82</f>
        <v>0</v>
      </c>
      <c r="AM84" s="537">
        <f>AM83-AM73-AM82</f>
        <v>-192</v>
      </c>
      <c r="AN84" s="537"/>
      <c r="AO84" s="537"/>
      <c r="AP84" s="537">
        <f>AP83-AP73-AP82</f>
        <v>0</v>
      </c>
      <c r="AQ84" s="537">
        <f>AQ83-AQ73-AQ82</f>
        <v>0</v>
      </c>
      <c r="AR84" s="537">
        <f>AR83-AR73-AR82</f>
        <v>-113</v>
      </c>
      <c r="AS84" s="537"/>
      <c r="AT84" s="537"/>
      <c r="AU84" s="537">
        <f>AU83-AU73-AU82</f>
        <v>0</v>
      </c>
      <c r="AV84" s="537">
        <f>AV83-AV73-AV82</f>
        <v>0</v>
      </c>
      <c r="AW84" s="537">
        <f>AW83-AW73-AW82</f>
        <v>0</v>
      </c>
      <c r="AX84" s="537"/>
      <c r="AY84" s="537"/>
      <c r="AZ84" s="537">
        <f>AZ83-AZ73-AZ82</f>
        <v>0</v>
      </c>
      <c r="BA84" s="537">
        <f>BA83-BA73-BA82</f>
        <v>0</v>
      </c>
      <c r="BB84" s="537">
        <f>BB83-BB73-BB82</f>
        <v>0</v>
      </c>
      <c r="BC84" s="537"/>
      <c r="BD84" s="537"/>
      <c r="BE84" s="537">
        <f>BE83-BE73-BE82</f>
        <v>0</v>
      </c>
      <c r="BF84" s="537">
        <f>BF83-BF73-BF82</f>
        <v>0</v>
      </c>
      <c r="BG84" s="537">
        <f>BG83-BG73-BG82</f>
        <v>-147260.55600000001</v>
      </c>
      <c r="BH84" s="537"/>
      <c r="BI84" s="537"/>
      <c r="BJ84" s="213">
        <f>BJ83-BJ73-BJ82</f>
        <v>3174850.0769000011</v>
      </c>
      <c r="BK84" s="213">
        <f>BK83-BK73-BK82</f>
        <v>-1819561.43</v>
      </c>
      <c r="BL84" s="213">
        <f>BL83-BL73-BL82</f>
        <v>1106400.5907453506</v>
      </c>
      <c r="BM84" s="82"/>
      <c r="BN84" s="82"/>
    </row>
    <row r="85" spans="1:66" s="2" customFormat="1" ht="13.8" outlineLevel="3">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642"/>
      <c r="AG85" s="642"/>
      <c r="AH85" s="642">
        <f>AF85+AG85*1.15</f>
        <v>0</v>
      </c>
      <c r="AI85" s="642"/>
      <c r="AJ85" s="642"/>
      <c r="AK85" s="642"/>
      <c r="AL85" s="642"/>
      <c r="AM85" s="642">
        <f>AK85+AL85*1.15</f>
        <v>0</v>
      </c>
      <c r="AN85" s="642"/>
      <c r="AO85" s="642"/>
      <c r="AP85" s="642"/>
      <c r="AQ85" s="642"/>
      <c r="AR85" s="642">
        <f>AP85+AQ85*1.15</f>
        <v>0</v>
      </c>
      <c r="AS85" s="642"/>
      <c r="AT85" s="642"/>
      <c r="AU85" s="642"/>
      <c r="AV85" s="642"/>
      <c r="AW85" s="642">
        <f>AU85+AV85*1.15</f>
        <v>0</v>
      </c>
      <c r="AX85" s="642"/>
      <c r="AY85" s="642"/>
      <c r="AZ85" s="642"/>
      <c r="BA85" s="642"/>
      <c r="BB85" s="642">
        <f>AZ85+BA85*1.15</f>
        <v>0</v>
      </c>
      <c r="BC85" s="642"/>
      <c r="BD85" s="642"/>
      <c r="BE85" s="642"/>
      <c r="BF85" s="642"/>
      <c r="BG85" s="642">
        <f>BE85+BF85*1.15</f>
        <v>0</v>
      </c>
      <c r="BH85" s="642"/>
      <c r="BI85" s="642"/>
      <c r="BJ85" s="39">
        <f>G85+L85</f>
        <v>0</v>
      </c>
      <c r="BK85" s="39">
        <f>H85+M85</f>
        <v>0</v>
      </c>
      <c r="BL85" s="219">
        <f>BJ85+BK85*1.15</f>
        <v>0</v>
      </c>
      <c r="BM85" s="102"/>
      <c r="BN85" s="102"/>
    </row>
    <row r="86" spans="1:66" s="2" customFormat="1" ht="27.6">
      <c r="A86" s="11"/>
      <c r="B86" s="37" t="s">
        <v>50</v>
      </c>
      <c r="C86" s="149">
        <f>C84-C85</f>
        <v>1811043.22</v>
      </c>
      <c r="D86" s="149">
        <f>D84-D85</f>
        <v>-1014236</v>
      </c>
      <c r="E86" s="150">
        <f>E84-E85</f>
        <v>796807.22</v>
      </c>
      <c r="F86" s="175"/>
      <c r="G86" s="149">
        <f>G84-G85</f>
        <v>2055395.4129000001</v>
      </c>
      <c r="H86" s="149">
        <f>H84-H85</f>
        <v>-1774641.1800000002</v>
      </c>
      <c r="I86" s="150">
        <f>I84-I85</f>
        <v>38757.708354545321</v>
      </c>
      <c r="J86" s="73"/>
      <c r="K86" s="73"/>
      <c r="L86" s="150">
        <f>L84-L85</f>
        <v>-30861.77</v>
      </c>
      <c r="M86" s="150">
        <f>M84-M85</f>
        <v>-44663.25</v>
      </c>
      <c r="N86" s="150">
        <f>N84-N85</f>
        <v>-82198.83896551725</v>
      </c>
      <c r="O86" s="73"/>
      <c r="P86" s="73"/>
      <c r="Q86" s="150">
        <f>Q84-Q85</f>
        <v>1298381.99</v>
      </c>
      <c r="R86" s="150">
        <f>R84-R85</f>
        <v>-430</v>
      </c>
      <c r="S86" s="150">
        <f>S84-S85</f>
        <v>1297887.7371264368</v>
      </c>
      <c r="T86" s="73"/>
      <c r="U86" s="73"/>
      <c r="V86" s="150">
        <f>V84-V85</f>
        <v>219</v>
      </c>
      <c r="W86" s="150">
        <f>W84-W85</f>
        <v>173</v>
      </c>
      <c r="X86" s="150">
        <f>X84-X85</f>
        <v>238.54022988505747</v>
      </c>
      <c r="Y86" s="73"/>
      <c r="Z86" s="73"/>
      <c r="AA86" s="150">
        <f>AA84-AA85</f>
        <v>-52</v>
      </c>
      <c r="AB86" s="150">
        <f>AB84-AB85</f>
        <v>0</v>
      </c>
      <c r="AC86" s="150">
        <f>AC84-AC85</f>
        <v>-52</v>
      </c>
      <c r="AD86" s="73"/>
      <c r="AE86" s="73"/>
      <c r="AF86" s="538"/>
      <c r="AG86" s="538"/>
      <c r="AH86" s="538">
        <f>AH84-AH85</f>
        <v>-500</v>
      </c>
      <c r="AI86" s="538"/>
      <c r="AJ86" s="538"/>
      <c r="AK86" s="538"/>
      <c r="AL86" s="538"/>
      <c r="AM86" s="538">
        <f>AM84-AM85</f>
        <v>-192</v>
      </c>
      <c r="AN86" s="538"/>
      <c r="AO86" s="538"/>
      <c r="AP86" s="538"/>
      <c r="AQ86" s="538"/>
      <c r="AR86" s="538">
        <f>AR84-AR85</f>
        <v>-113</v>
      </c>
      <c r="AS86" s="538"/>
      <c r="AT86" s="538"/>
      <c r="AU86" s="538"/>
      <c r="AV86" s="538"/>
      <c r="AW86" s="538">
        <f>AW84-AW85</f>
        <v>0</v>
      </c>
      <c r="AX86" s="538"/>
      <c r="AY86" s="538"/>
      <c r="AZ86" s="538"/>
      <c r="BA86" s="538"/>
      <c r="BB86" s="538">
        <f>BB84-BB85</f>
        <v>0</v>
      </c>
      <c r="BC86" s="538"/>
      <c r="BD86" s="538"/>
      <c r="BE86" s="538"/>
      <c r="BF86" s="538"/>
      <c r="BG86" s="538">
        <f>BG84-BG85</f>
        <v>-147260.55600000001</v>
      </c>
      <c r="BH86" s="538"/>
      <c r="BI86" s="538"/>
      <c r="BJ86" s="150">
        <f>BJ84-BJ85</f>
        <v>3174850.0769000011</v>
      </c>
      <c r="BK86" s="150">
        <f>BK84-BK85</f>
        <v>-1819561.43</v>
      </c>
      <c r="BL86" s="150">
        <f>BL84-BL85</f>
        <v>1106400.5907453506</v>
      </c>
      <c r="BM86" s="73"/>
      <c r="BN86" s="73"/>
    </row>
    <row r="87" spans="1:66" s="2" customFormat="1" ht="14.4" thickBot="1">
      <c r="A87" s="295"/>
      <c r="B87" s="29" t="s">
        <v>51</v>
      </c>
      <c r="C87" s="155">
        <f>C86/C5</f>
        <v>0.29823065342736405</v>
      </c>
      <c r="D87" s="151" t="e">
        <f>D86/D5</f>
        <v>#DIV/0!</v>
      </c>
      <c r="E87" s="156">
        <f>E86/E5</f>
        <v>0.13121295795262214</v>
      </c>
      <c r="F87" s="176"/>
      <c r="G87" s="155">
        <f>G86/G5</f>
        <v>0.21236723869485036</v>
      </c>
      <c r="H87" s="151" t="e">
        <f>H86/H5</f>
        <v>#DIV/0!</v>
      </c>
      <c r="I87" s="156">
        <f>I86/I5</f>
        <v>4.004517792409598E-3</v>
      </c>
      <c r="J87" s="75"/>
      <c r="K87" s="75"/>
      <c r="L87" s="155" t="e">
        <f>L86/L5</f>
        <v>#DIV/0!</v>
      </c>
      <c r="M87" s="151" t="e">
        <f>M86/M5</f>
        <v>#DIV/0!</v>
      </c>
      <c r="N87" s="156" t="e">
        <f>N86/N5</f>
        <v>#DIV/0!</v>
      </c>
      <c r="O87" s="75"/>
      <c r="P87" s="75"/>
      <c r="Q87" s="155">
        <f>Q86/Q5</f>
        <v>0.99934962864879573</v>
      </c>
      <c r="R87" s="151" t="e">
        <f>R86/R5</f>
        <v>#DIV/0!</v>
      </c>
      <c r="S87" s="156">
        <f>S86/S5</f>
        <v>0.99896920791787203</v>
      </c>
      <c r="T87" s="75"/>
      <c r="U87" s="75"/>
      <c r="V87" s="155" t="e">
        <f>V86/V5</f>
        <v>#DIV/0!</v>
      </c>
      <c r="W87" s="151">
        <f>W86/W5</f>
        <v>0.14416666666666667</v>
      </c>
      <c r="X87" s="156">
        <f>X86/X5</f>
        <v>0.19878352490421455</v>
      </c>
      <c r="Y87" s="75"/>
      <c r="Z87" s="75"/>
      <c r="AA87" s="155" t="e">
        <f>AA86/AA5</f>
        <v>#DIV/0!</v>
      </c>
      <c r="AB87" s="151" t="e">
        <f>AB86/AB5</f>
        <v>#DIV/0!</v>
      </c>
      <c r="AC87" s="156" t="e">
        <f>AC86/AC5</f>
        <v>#DIV/0!</v>
      </c>
      <c r="AD87" s="75"/>
      <c r="AE87" s="75"/>
      <c r="AF87" s="539"/>
      <c r="AG87" s="539"/>
      <c r="AH87" s="539" t="e">
        <f>AH86/AH5</f>
        <v>#DIV/0!</v>
      </c>
      <c r="AI87" s="539"/>
      <c r="AJ87" s="539"/>
      <c r="AK87" s="539"/>
      <c r="AL87" s="539"/>
      <c r="AM87" s="539" t="e">
        <f>AM86/AM5</f>
        <v>#DIV/0!</v>
      </c>
      <c r="AN87" s="539"/>
      <c r="AO87" s="539"/>
      <c r="AP87" s="539"/>
      <c r="AQ87" s="539"/>
      <c r="AR87" s="539" t="e">
        <f>AR86/AR5</f>
        <v>#DIV/0!</v>
      </c>
      <c r="AS87" s="539"/>
      <c r="AT87" s="539"/>
      <c r="AU87" s="539"/>
      <c r="AV87" s="539"/>
      <c r="AW87" s="539" t="e">
        <f>AW86/AW5</f>
        <v>#DIV/0!</v>
      </c>
      <c r="AX87" s="539"/>
      <c r="AY87" s="539"/>
      <c r="AZ87" s="539"/>
      <c r="BA87" s="539"/>
      <c r="BB87" s="539" t="e">
        <f>BB86/BB5</f>
        <v>#DIV/0!</v>
      </c>
      <c r="BC87" s="539"/>
      <c r="BD87" s="539"/>
      <c r="BE87" s="539"/>
      <c r="BF87" s="539"/>
      <c r="BG87" s="539" t="e">
        <f>BG86/BG5</f>
        <v>#DIV/0!</v>
      </c>
      <c r="BH87" s="539"/>
      <c r="BI87" s="539"/>
      <c r="BJ87" s="155">
        <f>BJ86/BJ5</f>
        <v>0.28920844182919658</v>
      </c>
      <c r="BK87" s="151">
        <f>BK86/BK5</f>
        <v>-1516.3011916666667</v>
      </c>
      <c r="BL87" s="156">
        <f>BL86/BL5</f>
        <v>0.10077496863561582</v>
      </c>
      <c r="BM87" s="75"/>
      <c r="BN87" s="75"/>
    </row>
    <row r="88" spans="1:66" ht="13.8">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row>
    <row r="89" spans="1:66">
      <c r="B89" s="221" t="s">
        <v>56</v>
      </c>
      <c r="C89" s="153"/>
      <c r="D89" s="153"/>
      <c r="E89" s="154">
        <f>E8+E36+E41+E50+E54+E73+E79+E82+E85</f>
        <v>5275818.78</v>
      </c>
      <c r="F89" s="189"/>
      <c r="I89" s="391">
        <v>9639738.0216454547</v>
      </c>
      <c r="N89" s="391">
        <f>N8+N36+N41+N50+N54+N73+N79+N82+N85</f>
        <v>82198.83896551725</v>
      </c>
      <c r="S89" s="391">
        <f>S8+S36+S41+S50+S54+S73+S79+S82+S85</f>
        <v>1339.2328735632184</v>
      </c>
      <c r="X89" s="391">
        <f>X8+X36+X41+X50+X54+X73+X79+X82+X85</f>
        <v>1180.4597701149426</v>
      </c>
      <c r="AC89" s="391">
        <f>AC8+AC36+AC41+AC50+AC54+AC73+AC79+AC82+AC85</f>
        <v>52</v>
      </c>
      <c r="AH89" s="391">
        <f>AH8+AH36+AH41+AH50+AH54+AH73+AH79+AH82+AH85</f>
        <v>500</v>
      </c>
      <c r="AM89" s="391">
        <f>AM8+AM36+AM41+AM50+AM54+AM73+AM79+AM82+AM85</f>
        <v>192</v>
      </c>
      <c r="AR89" s="391">
        <f>AR8+AR36+AR41+AR50+AR54+AR73+AR79+AR82+AR85</f>
        <v>113</v>
      </c>
      <c r="AW89" s="391">
        <f>AW8+AW36+AW41+AW50+AW54+AW73+AW79+AW82+AW85</f>
        <v>0</v>
      </c>
      <c r="BB89" s="391">
        <f>BB8+BB36+BB41+BB50+BB54+BB73+BB79+BB82+BB85</f>
        <v>0</v>
      </c>
      <c r="BG89" s="391">
        <f>BG8+BG36+BG41+BG50+BG54+BG73+BG79+BG82+BG85</f>
        <v>147260.55600000001</v>
      </c>
      <c r="BL89" s="391">
        <f>BL8+BL36+BL41+BL50+BL54+BL73+BL79+BL82+BL85</f>
        <v>9872522.1092546489</v>
      </c>
    </row>
    <row r="90" spans="1:66">
      <c r="C90" s="153"/>
      <c r="D90" s="153"/>
      <c r="E90" s="153"/>
      <c r="BL90" s="395"/>
    </row>
    <row r="91" spans="1:66"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row>
    <row r="92" spans="1:66">
      <c r="C92" s="38"/>
      <c r="D92" s="38"/>
    </row>
    <row r="93" spans="1:66" s="2" customFormat="1">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686">
        <f>AH5-AH89</f>
        <v>-500</v>
      </c>
      <c r="AI93" s="38"/>
      <c r="AJ93" s="38"/>
      <c r="AK93" s="38"/>
      <c r="AL93" s="38"/>
      <c r="AM93" s="686">
        <f>AM5-AM89</f>
        <v>-192</v>
      </c>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686">
        <f>BL5-BL89</f>
        <v>1106400.5907453522</v>
      </c>
      <c r="BM93" s="38"/>
      <c r="BN93" s="38"/>
    </row>
    <row r="94" spans="1:66" s="2" customFormat="1">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c r="BM94" s="38"/>
      <c r="BN94" s="38"/>
    </row>
    <row r="95" spans="1:66" s="2" customFormat="1">
      <c r="A95" s="8"/>
      <c r="B95" s="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row>
    <row r="96" spans="1:66" s="2" customFormat="1">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row>
    <row r="97" spans="1:66">
      <c r="C97" s="38"/>
      <c r="D97" s="38"/>
    </row>
    <row r="98" spans="1:66"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row>
    <row r="99" spans="1:66">
      <c r="C99" s="38"/>
      <c r="D99" s="38"/>
    </row>
  </sheetData>
  <mergeCells count="15">
    <mergeCell ref="BJ2:BM3"/>
    <mergeCell ref="G2:J3"/>
    <mergeCell ref="A42:A48"/>
    <mergeCell ref="A2:F2"/>
    <mergeCell ref="A3:F3"/>
    <mergeCell ref="L2:O3"/>
    <mergeCell ref="Q2:T3"/>
    <mergeCell ref="V2:Y3"/>
    <mergeCell ref="AA2:AE3"/>
    <mergeCell ref="AF2:AJ3"/>
    <mergeCell ref="AK2:AO3"/>
    <mergeCell ref="AP2:AT3"/>
    <mergeCell ref="AU2:AY3"/>
    <mergeCell ref="AZ2:BD3"/>
    <mergeCell ref="BE2:BI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79998168889431442"/>
  </sheetPr>
  <dimension ref="A1:BE109"/>
  <sheetViews>
    <sheetView zoomScale="70" zoomScaleNormal="70" workbookViewId="0">
      <pane xSplit="2" ySplit="3" topLeftCell="AK64" activePane="bottomRight" state="frozen"/>
      <selection activeCell="AF91" sqref="AF91"/>
      <selection pane="topRight" activeCell="AF91" sqref="AF91"/>
      <selection pane="bottomLeft" activeCell="AF91" sqref="AF91"/>
      <selection pane="bottomRight" activeCell="AQ79" sqref="AQ79"/>
    </sheetView>
  </sheetViews>
  <sheetFormatPr defaultColWidth="7.44140625" defaultRowHeight="13.2" outlineLevelRow="2" outlineLevelCol="1"/>
  <cols>
    <col min="1" max="1" width="5.5546875" style="8" customWidth="1"/>
    <col min="2" max="2" width="47.44140625" style="8" customWidth="1"/>
    <col min="3" max="3" width="16" style="77" hidden="1" customWidth="1"/>
    <col min="4" max="4" width="18.33203125" style="77" hidden="1" customWidth="1"/>
    <col min="5" max="5" width="17.109375" style="38" hidden="1" customWidth="1"/>
    <col min="6" max="6" width="9.5546875" style="38" hidden="1" customWidth="1"/>
    <col min="7" max="9" width="16.33203125" style="38" hidden="1" customWidth="1"/>
    <col min="10" max="10" width="13.6640625" style="38" hidden="1" customWidth="1"/>
    <col min="11" max="11" width="28.88671875" style="38" hidden="1" customWidth="1"/>
    <col min="12" max="14" width="16.33203125" style="38" hidden="1" customWidth="1" outlineLevel="1"/>
    <col min="15" max="15" width="9" style="38" hidden="1" customWidth="1" outlineLevel="1"/>
    <col min="16" max="16" width="38.109375" style="38" hidden="1" customWidth="1" outlineLevel="1"/>
    <col min="17" max="18" width="16.33203125" style="38" hidden="1" customWidth="1" outlineLevel="1"/>
    <col min="19" max="19" width="16.109375" style="38" hidden="1" customWidth="1" outlineLevel="1"/>
    <col min="20" max="20" width="16" style="38" hidden="1" customWidth="1" outlineLevel="1"/>
    <col min="21" max="21" width="46.33203125" style="38" hidden="1" customWidth="1" outlineLevel="1"/>
    <col min="22" max="23" width="16.44140625" style="38" hidden="1" customWidth="1" outlineLevel="1"/>
    <col min="24" max="24" width="16.109375" style="38" hidden="1" customWidth="1" outlineLevel="1"/>
    <col min="25" max="25" width="24.33203125" style="38" hidden="1" customWidth="1" outlineLevel="1"/>
    <col min="26" max="26" width="38.33203125" style="38" hidden="1" customWidth="1" outlineLevel="1"/>
    <col min="27" max="28" width="16.44140625" style="38" hidden="1" customWidth="1" outlineLevel="1"/>
    <col min="29" max="29" width="16.109375" style="38" hidden="1" customWidth="1" outlineLevel="1"/>
    <col min="30" max="30" width="16.6640625" style="38" hidden="1" customWidth="1" outlineLevel="1"/>
    <col min="31" max="31" width="38.33203125" style="38" hidden="1" customWidth="1" outlineLevel="1"/>
    <col min="32" max="33" width="16.44140625" style="38" hidden="1" customWidth="1" outlineLevel="1"/>
    <col min="34" max="34" width="16.109375" style="38" hidden="1" customWidth="1" outlineLevel="1"/>
    <col min="35" max="35" width="19" style="38" hidden="1" customWidth="1" outlineLevel="1"/>
    <col min="36" max="36" width="38.88671875" style="38" hidden="1" customWidth="1" outlineLevel="1"/>
    <col min="37" max="37" width="24.88671875" style="38" customWidth="1" collapsed="1"/>
    <col min="38" max="38" width="21.33203125" style="38" customWidth="1"/>
    <col min="39" max="39" width="17.88671875" style="38" customWidth="1"/>
    <col min="40" max="40" width="8.88671875" style="38" customWidth="1"/>
    <col min="41" max="41" width="29.33203125" style="38" customWidth="1"/>
    <col min="42" max="42" width="18.33203125" style="38" customWidth="1"/>
    <col min="43" max="43" width="22.6640625" style="38" customWidth="1"/>
    <col min="44" max="44" width="19.44140625" style="38" customWidth="1"/>
    <col min="45" max="45" width="10" style="38" customWidth="1"/>
    <col min="46" max="46" width="29.33203125" style="38" customWidth="1"/>
    <col min="47" max="49" width="16.33203125" style="38" customWidth="1"/>
    <col min="50" max="50" width="9" style="38" customWidth="1"/>
    <col min="51" max="51" width="16.33203125" style="38" customWidth="1"/>
    <col min="52" max="52" width="14.5546875" style="1" hidden="1" customWidth="1"/>
    <col min="53" max="53" width="38.5546875" style="1" hidden="1" customWidth="1"/>
    <col min="54" max="54" width="14.5546875" style="1" hidden="1" customWidth="1"/>
    <col min="55" max="55" width="0" style="1" hidden="1" customWidth="1"/>
    <col min="56" max="56" width="13.33203125" style="1" hidden="1" customWidth="1"/>
    <col min="57" max="57" width="13.33203125" style="1" bestFit="1" customWidth="1"/>
    <col min="58" max="16384" width="7.44140625" style="1"/>
  </cols>
  <sheetData>
    <row r="1" spans="1:57" ht="13.8" thickBot="1">
      <c r="C1" s="38"/>
      <c r="D1" s="38"/>
      <c r="AA1" s="38">
        <f>(AA6/1.2)*3%</f>
        <v>60749.208500000001</v>
      </c>
    </row>
    <row r="2" spans="1:57" ht="22.2" customHeight="1">
      <c r="A2" s="4834" t="s">
        <v>365</v>
      </c>
      <c r="B2" s="4835"/>
      <c r="C2" s="4835"/>
      <c r="D2" s="4835"/>
      <c r="E2" s="4835"/>
      <c r="F2" s="4836"/>
      <c r="G2" s="4837" t="s">
        <v>465</v>
      </c>
      <c r="H2" s="4838"/>
      <c r="I2" s="4838"/>
      <c r="J2" s="4838"/>
      <c r="K2" s="382"/>
      <c r="L2" s="4837" t="s">
        <v>466</v>
      </c>
      <c r="M2" s="4838"/>
      <c r="N2" s="4838"/>
      <c r="O2" s="4838"/>
      <c r="P2" s="376"/>
      <c r="Q2" s="4837" t="s">
        <v>545</v>
      </c>
      <c r="R2" s="4838"/>
      <c r="S2" s="4838"/>
      <c r="T2" s="4838"/>
      <c r="U2" s="399"/>
      <c r="V2" s="4837" t="s">
        <v>624</v>
      </c>
      <c r="W2" s="4838"/>
      <c r="X2" s="4838"/>
      <c r="Y2" s="4838"/>
      <c r="Z2" s="466"/>
      <c r="AA2" s="4892" t="s">
        <v>714</v>
      </c>
      <c r="AB2" s="4893"/>
      <c r="AC2" s="4893"/>
      <c r="AD2" s="4893"/>
      <c r="AE2" s="533"/>
      <c r="AF2" s="4892" t="s">
        <v>770</v>
      </c>
      <c r="AG2" s="4893"/>
      <c r="AH2" s="4893"/>
      <c r="AI2" s="4893"/>
      <c r="AJ2" s="627"/>
      <c r="AK2" s="4922" t="s">
        <v>820</v>
      </c>
      <c r="AL2" s="4923"/>
      <c r="AM2" s="4923"/>
      <c r="AN2" s="4923"/>
      <c r="AO2" s="691"/>
      <c r="AP2" s="4955" t="s">
        <v>836</v>
      </c>
      <c r="AQ2" s="4956"/>
      <c r="AR2" s="4956"/>
      <c r="AS2" s="4956"/>
      <c r="AT2" s="757"/>
      <c r="AU2" s="4988" t="s">
        <v>469</v>
      </c>
      <c r="AV2" s="4989"/>
      <c r="AW2" s="4989"/>
      <c r="AX2" s="4989"/>
      <c r="AY2" s="384"/>
      <c r="AZ2" s="4837" t="s">
        <v>155</v>
      </c>
      <c r="BA2" s="4838"/>
      <c r="BB2" s="4838"/>
      <c r="BC2" s="4838"/>
    </row>
    <row r="3" spans="1:57" ht="14.4" customHeight="1" thickBot="1">
      <c r="A3" s="4853" t="s">
        <v>54</v>
      </c>
      <c r="B3" s="4854"/>
      <c r="C3" s="4854"/>
      <c r="D3" s="4854"/>
      <c r="E3" s="4854"/>
      <c r="F3" s="4855"/>
      <c r="G3" s="4839"/>
      <c r="H3" s="4840"/>
      <c r="I3" s="4840"/>
      <c r="J3" s="4840"/>
      <c r="K3" s="383"/>
      <c r="L3" s="4839"/>
      <c r="M3" s="4840"/>
      <c r="N3" s="4840"/>
      <c r="O3" s="4840"/>
      <c r="P3" s="377"/>
      <c r="Q3" s="4839"/>
      <c r="R3" s="4840"/>
      <c r="S3" s="4840"/>
      <c r="T3" s="4840"/>
      <c r="U3" s="400"/>
      <c r="V3" s="4839"/>
      <c r="W3" s="4840"/>
      <c r="X3" s="4840"/>
      <c r="Y3" s="4840"/>
      <c r="Z3" s="467"/>
      <c r="AA3" s="4895"/>
      <c r="AB3" s="4896"/>
      <c r="AC3" s="4896"/>
      <c r="AD3" s="4896"/>
      <c r="AE3" s="534"/>
      <c r="AF3" s="4895"/>
      <c r="AG3" s="4896"/>
      <c r="AH3" s="4896"/>
      <c r="AI3" s="4896"/>
      <c r="AJ3" s="628"/>
      <c r="AK3" s="4925"/>
      <c r="AL3" s="4926"/>
      <c r="AM3" s="4926"/>
      <c r="AN3" s="4926"/>
      <c r="AO3" s="692"/>
      <c r="AP3" s="4958"/>
      <c r="AQ3" s="4959"/>
      <c r="AR3" s="4959"/>
      <c r="AS3" s="4959"/>
      <c r="AT3" s="758"/>
      <c r="AU3" s="4990"/>
      <c r="AV3" s="4991"/>
      <c r="AW3" s="4991"/>
      <c r="AX3" s="4991"/>
      <c r="AY3" s="385"/>
      <c r="AZ3" s="4839"/>
      <c r="BA3" s="4840"/>
      <c r="BB3" s="4840"/>
      <c r="BC3" s="4840"/>
    </row>
    <row r="4" spans="1:57" ht="41.4" thickBot="1">
      <c r="A4" s="92"/>
      <c r="B4" s="93" t="s">
        <v>11</v>
      </c>
      <c r="C4" s="239" t="s">
        <v>55</v>
      </c>
      <c r="D4" s="239" t="s">
        <v>18</v>
      </c>
      <c r="E4" s="240" t="s">
        <v>39</v>
      </c>
      <c r="F4" s="209" t="s">
        <v>40</v>
      </c>
      <c r="G4" s="94" t="s">
        <v>55</v>
      </c>
      <c r="H4" s="94" t="s">
        <v>18</v>
      </c>
      <c r="I4" s="95" t="s">
        <v>39</v>
      </c>
      <c r="J4" s="209" t="s">
        <v>40</v>
      </c>
      <c r="K4" s="241" t="s">
        <v>87</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632" t="s">
        <v>55</v>
      </c>
      <c r="BA4" s="632" t="s">
        <v>18</v>
      </c>
      <c r="BB4" s="653" t="s">
        <v>39</v>
      </c>
      <c r="BC4" s="654" t="s">
        <v>40</v>
      </c>
    </row>
    <row r="5" spans="1:57" s="88" customFormat="1" ht="14.4" thickBot="1">
      <c r="A5" s="83"/>
      <c r="B5" s="84" t="s">
        <v>10</v>
      </c>
      <c r="C5" s="85">
        <f>C6</f>
        <v>11734618</v>
      </c>
      <c r="D5" s="85">
        <f>D6</f>
        <v>0</v>
      </c>
      <c r="E5" s="86">
        <f>E6</f>
        <v>11734618</v>
      </c>
      <c r="F5" s="87"/>
      <c r="G5" s="85">
        <f>G6</f>
        <v>0</v>
      </c>
      <c r="H5" s="85">
        <f>H6</f>
        <v>0</v>
      </c>
      <c r="I5" s="86">
        <f>I6</f>
        <v>0</v>
      </c>
      <c r="J5" s="87"/>
      <c r="K5" s="263"/>
      <c r="L5" s="87">
        <f>L6</f>
        <v>3675026.01</v>
      </c>
      <c r="M5" s="87">
        <f>M6</f>
        <v>0</v>
      </c>
      <c r="N5" s="87">
        <f>N6</f>
        <v>3675026.01</v>
      </c>
      <c r="O5" s="87"/>
      <c r="P5" s="87"/>
      <c r="Q5" s="87">
        <f>Q6</f>
        <v>0</v>
      </c>
      <c r="R5" s="87">
        <f>R6</f>
        <v>0</v>
      </c>
      <c r="S5" s="87">
        <f>S6</f>
        <v>0</v>
      </c>
      <c r="T5" s="87"/>
      <c r="U5" s="87"/>
      <c r="V5" s="87">
        <f>V6</f>
        <v>4304007.54</v>
      </c>
      <c r="W5" s="87">
        <f>W6</f>
        <v>0</v>
      </c>
      <c r="X5" s="87">
        <f>X6</f>
        <v>4304007.54</v>
      </c>
      <c r="Y5" s="87"/>
      <c r="Z5" s="87"/>
      <c r="AA5" s="87">
        <f>AA6</f>
        <v>2429968.34</v>
      </c>
      <c r="AB5" s="87">
        <f>AB6</f>
        <v>0</v>
      </c>
      <c r="AC5" s="87">
        <f>AC6</f>
        <v>2429968.34</v>
      </c>
      <c r="AD5" s="87"/>
      <c r="AE5" s="87"/>
      <c r="AF5" s="87">
        <f>AF6</f>
        <v>664109.04</v>
      </c>
      <c r="AG5" s="87">
        <f>AG6</f>
        <v>0</v>
      </c>
      <c r="AH5" s="87">
        <f>AH6</f>
        <v>664109.04</v>
      </c>
      <c r="AI5" s="87"/>
      <c r="AJ5" s="87"/>
      <c r="AK5" s="87">
        <f>AK6</f>
        <v>1055644.3899999999</v>
      </c>
      <c r="AL5" s="87">
        <f>AL6</f>
        <v>0</v>
      </c>
      <c r="AM5" s="87">
        <f>AM6</f>
        <v>1055644.3899999999</v>
      </c>
      <c r="AN5" s="87"/>
      <c r="AO5" s="87"/>
      <c r="AP5" s="87">
        <f>AP6</f>
        <v>0.69999999925494194</v>
      </c>
      <c r="AQ5" s="87">
        <f>AQ6</f>
        <v>0</v>
      </c>
      <c r="AR5" s="87">
        <f>AR6</f>
        <v>0.69999999925494194</v>
      </c>
      <c r="AS5" s="87"/>
      <c r="AT5" s="87"/>
      <c r="AU5" s="87">
        <f>AU6</f>
        <v>12128756.02</v>
      </c>
      <c r="AV5" s="87">
        <f>AV6</f>
        <v>0</v>
      </c>
      <c r="AW5" s="87">
        <f>AW6</f>
        <v>12128756.02</v>
      </c>
      <c r="AX5" s="87"/>
      <c r="AY5" s="87"/>
      <c r="AZ5" s="620">
        <f>AZ6</f>
        <v>12128756.02</v>
      </c>
      <c r="BA5" s="620">
        <f>BA6</f>
        <v>0</v>
      </c>
      <c r="BB5" s="620">
        <f>BB6</f>
        <v>12128756.02</v>
      </c>
      <c r="BC5" s="620"/>
    </row>
    <row r="6" spans="1:57" s="2" customFormat="1" ht="13.8" outlineLevel="1">
      <c r="A6" s="330">
        <f>'PL_Сватово очередь 2'!I6</f>
        <v>0</v>
      </c>
      <c r="B6" s="9" t="s">
        <v>17</v>
      </c>
      <c r="C6" s="104">
        <v>11734618</v>
      </c>
      <c r="D6" s="105"/>
      <c r="E6" s="106">
        <f>C6+D6</f>
        <v>11734618</v>
      </c>
      <c r="F6" s="39"/>
      <c r="G6" s="39"/>
      <c r="H6" s="39"/>
      <c r="I6" s="39">
        <f>G6+H6</f>
        <v>0</v>
      </c>
      <c r="J6" s="39"/>
      <c r="K6" s="291"/>
      <c r="L6" s="39">
        <f>519596.18+764454.65+1485765.18+905210</f>
        <v>3675026.01</v>
      </c>
      <c r="M6" s="39"/>
      <c r="N6" s="106">
        <f>L6+M6</f>
        <v>3675026.01</v>
      </c>
      <c r="O6" s="39"/>
      <c r="P6" s="39"/>
      <c r="Q6" s="39"/>
      <c r="R6" s="39"/>
      <c r="S6" s="106">
        <f>Q6+R6</f>
        <v>0</v>
      </c>
      <c r="T6" s="39"/>
      <c r="U6" s="39"/>
      <c r="V6" s="39">
        <v>4304007.54</v>
      </c>
      <c r="W6" s="39"/>
      <c r="X6" s="106">
        <f>V6+W6</f>
        <v>4304007.54</v>
      </c>
      <c r="Y6" s="39"/>
      <c r="Z6" s="39"/>
      <c r="AA6" s="39">
        <v>2429968.34</v>
      </c>
      <c r="AB6" s="39"/>
      <c r="AC6" s="106">
        <f>AA6+AB6</f>
        <v>2429968.34</v>
      </c>
      <c r="AD6" s="39"/>
      <c r="AE6" s="39"/>
      <c r="AF6" s="39">
        <v>664109.04</v>
      </c>
      <c r="AG6" s="39"/>
      <c r="AH6" s="106">
        <f>AF6+AG6</f>
        <v>664109.04</v>
      </c>
      <c r="AI6" s="39"/>
      <c r="AJ6" s="39"/>
      <c r="AK6" s="610">
        <v>1055644.3899999999</v>
      </c>
      <c r="AL6" s="39"/>
      <c r="AM6" s="106">
        <f>AK6+AL6</f>
        <v>1055644.3899999999</v>
      </c>
      <c r="AN6" s="39"/>
      <c r="AO6" s="39"/>
      <c r="AP6" s="39">
        <v>0.69999999925494194</v>
      </c>
      <c r="AQ6" s="39"/>
      <c r="AR6" s="106">
        <f>AP6+AQ6</f>
        <v>0.69999999925494194</v>
      </c>
      <c r="AS6" s="39"/>
      <c r="AT6" s="39"/>
      <c r="AU6" s="39">
        <f>G6+L6+Q6+V6+AA6+AF6+AK6+AP6</f>
        <v>12128756.02</v>
      </c>
      <c r="AV6" s="39">
        <f>H6+M6+R6+W6+AB6+AG6+AL6+AQ6</f>
        <v>0</v>
      </c>
      <c r="AW6" s="106">
        <f>AU6+AV6</f>
        <v>12128756.02</v>
      </c>
      <c r="AX6" s="39"/>
      <c r="AY6" s="39"/>
      <c r="AZ6" s="834">
        <v>12128756.02</v>
      </c>
      <c r="BA6" s="452"/>
      <c r="BB6" s="446">
        <f>AZ6+BA6</f>
        <v>12128756.02</v>
      </c>
      <c r="BC6" s="452"/>
      <c r="BD6" s="842"/>
      <c r="BE6" s="842"/>
    </row>
    <row r="7" spans="1:57" s="2" customFormat="1" ht="15" customHeight="1" outlineLevel="1" collapsed="1" thickBot="1">
      <c r="A7" s="238"/>
      <c r="B7" s="10" t="s">
        <v>41</v>
      </c>
      <c r="C7" s="107"/>
      <c r="D7" s="108"/>
      <c r="E7" s="106">
        <f>C7+D7</f>
        <v>0</v>
      </c>
      <c r="F7" s="40"/>
      <c r="G7" s="40"/>
      <c r="H7" s="40"/>
      <c r="I7" s="40">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40"/>
      <c r="AF7" s="39"/>
      <c r="AG7" s="39"/>
      <c r="AH7" s="106">
        <f>AF7+AG7</f>
        <v>0</v>
      </c>
      <c r="AI7" s="40"/>
      <c r="AJ7" s="40"/>
      <c r="AK7" s="39"/>
      <c r="AL7" s="39"/>
      <c r="AM7" s="106">
        <f>AK7+AL7</f>
        <v>0</v>
      </c>
      <c r="AN7" s="40"/>
      <c r="AO7" s="40"/>
      <c r="AP7" s="39"/>
      <c r="AQ7" s="39"/>
      <c r="AR7" s="106">
        <f>AP7+AQ7</f>
        <v>0</v>
      </c>
      <c r="AS7" s="40"/>
      <c r="AT7" s="40"/>
      <c r="AU7" s="39">
        <f>G7+L7+Q7+V7+AA7+AF7+AK7+AP7</f>
        <v>0</v>
      </c>
      <c r="AV7" s="39">
        <f>H7+M7+R7+W7+AB7+AG7+AL7+AQ7</f>
        <v>0</v>
      </c>
      <c r="AW7" s="106">
        <f>AU7+AV7</f>
        <v>0</v>
      </c>
      <c r="AX7" s="40"/>
      <c r="AY7" s="40"/>
      <c r="AZ7" s="452"/>
      <c r="BA7" s="452"/>
      <c r="BB7" s="446">
        <f>AZ7+BA7</f>
        <v>0</v>
      </c>
      <c r="BC7" s="612"/>
      <c r="BD7" s="842"/>
      <c r="BE7" s="842"/>
    </row>
    <row r="8" spans="1:57" s="88" customFormat="1" ht="15" customHeight="1" outlineLevel="1" thickBot="1">
      <c r="A8" s="238"/>
      <c r="B8" s="84" t="s">
        <v>16</v>
      </c>
      <c r="C8" s="109">
        <f>SUM(C9:C33)</f>
        <v>6699549</v>
      </c>
      <c r="D8" s="109">
        <f>SUM(D9:D33)</f>
        <v>2067772</v>
      </c>
      <c r="E8" s="110">
        <f>SUM(E9:E33)</f>
        <v>8767321</v>
      </c>
      <c r="F8" s="164">
        <f t="shared" ref="F8:F22" si="0">E8/$E$89</f>
        <v>0.93036792829241699</v>
      </c>
      <c r="G8" s="109">
        <f>SUM(G9:G33)</f>
        <v>245713.43</v>
      </c>
      <c r="H8" s="109">
        <f>SUM(H9:H33)</f>
        <v>121054.54000000001</v>
      </c>
      <c r="I8" s="110">
        <f>SUM(I9:I33)</f>
        <v>366767.97</v>
      </c>
      <c r="J8" s="164">
        <f t="shared" ref="J8:J21" si="1">I8/$I$89</f>
        <v>0.85580856678226902</v>
      </c>
      <c r="K8" s="264"/>
      <c r="L8" s="109">
        <f>SUM(L9:L33)</f>
        <v>830693.50399999996</v>
      </c>
      <c r="M8" s="109">
        <f>SUM(M9:M33)</f>
        <v>564634.27</v>
      </c>
      <c r="N8" s="110">
        <f>SUM(N9:N33)</f>
        <v>1395327.774</v>
      </c>
      <c r="O8" s="164">
        <f t="shared" ref="O8:O21" si="2">N8/$N$89</f>
        <v>0.92836764367089786</v>
      </c>
      <c r="P8" s="87"/>
      <c r="Q8" s="109">
        <f>SUM(Q9:Q33)</f>
        <v>453110</v>
      </c>
      <c r="R8" s="109">
        <f>SUM(R9:R33)</f>
        <v>319474.13</v>
      </c>
      <c r="S8" s="110">
        <f>SUM(S9:S33)</f>
        <v>772584.12999999989</v>
      </c>
      <c r="T8" s="164">
        <f t="shared" ref="T8:T22" si="3">S8/$S$89</f>
        <v>0.90405592935393986</v>
      </c>
      <c r="U8" s="87"/>
      <c r="V8" s="109">
        <f>SUM(V9:V33)</f>
        <v>2430381.6179999998</v>
      </c>
      <c r="W8" s="109">
        <f>SUM(W9:W33)</f>
        <v>343535.41000000003</v>
      </c>
      <c r="X8" s="110">
        <f>SUM(X9:X33)</f>
        <v>2773917.0279999999</v>
      </c>
      <c r="Y8" s="164">
        <f>X8/$X$89</f>
        <v>0.97029747522931309</v>
      </c>
      <c r="Z8" s="87"/>
      <c r="AA8" s="109">
        <f>SUM(AA9:AA33)</f>
        <v>1106413.0759999999</v>
      </c>
      <c r="AB8" s="109">
        <f>SUM(AB9:AB33)</f>
        <v>565780.30000000005</v>
      </c>
      <c r="AC8" s="110">
        <f>SUM(AC9:AC33)</f>
        <v>1672193.3759999999</v>
      </c>
      <c r="AD8" s="164">
        <f>AC8/$AC$89</f>
        <v>0.9428937397587871</v>
      </c>
      <c r="AE8" s="87"/>
      <c r="AF8" s="109">
        <f>SUM(AF9:AF33)</f>
        <v>285528.22599999997</v>
      </c>
      <c r="AG8" s="109">
        <f>SUM(AG9:AG33)</f>
        <v>277243.81</v>
      </c>
      <c r="AH8" s="110">
        <f>SUM(AH9:AH33)</f>
        <v>562772.03599999996</v>
      </c>
      <c r="AI8" s="164">
        <f>AH8/$AH$89</f>
        <v>0.89420799606473711</v>
      </c>
      <c r="AJ8" s="87"/>
      <c r="AK8" s="109">
        <f>SUM(AK9:AK33)</f>
        <v>748249.78799999994</v>
      </c>
      <c r="AL8" s="109">
        <f>SUM(AL9:AL33)</f>
        <v>208670</v>
      </c>
      <c r="AM8" s="110">
        <f>SUM(AM9:AM33)</f>
        <v>956919.78799999994</v>
      </c>
      <c r="AN8" s="164">
        <f>AM8/$AH$89</f>
        <v>1.520483022049399</v>
      </c>
      <c r="AO8" s="87"/>
      <c r="AP8" s="109">
        <f>SUM(AP9:AP33)</f>
        <v>-94434.409999999247</v>
      </c>
      <c r="AQ8" s="109">
        <f>SUM(AQ9:AQ33)</f>
        <v>98985.179999999818</v>
      </c>
      <c r="AR8" s="110">
        <f>SUM(AR9:AR33)</f>
        <v>4550.7700000005752</v>
      </c>
      <c r="AS8" s="164">
        <f>AR8/$AH$89</f>
        <v>7.2308762019796568E-3</v>
      </c>
      <c r="AT8" s="87"/>
      <c r="AU8" s="109">
        <f>SUM(AU9:AU33)</f>
        <v>6005655.2320000008</v>
      </c>
      <c r="AV8" s="109">
        <f>SUM(AV9:AV33)</f>
        <v>2499377.64</v>
      </c>
      <c r="AW8" s="110">
        <f>SUM(AW9:AW33)</f>
        <v>8505032.8719999995</v>
      </c>
      <c r="AX8" s="164">
        <f t="shared" ref="AX8:AX33" si="4">AW8/$AW$89</f>
        <v>0.90059797586028556</v>
      </c>
      <c r="AY8" s="87"/>
      <c r="AZ8" s="618">
        <f>SUM(AZ9:AZ33)</f>
        <v>6005655.2320000008</v>
      </c>
      <c r="BA8" s="618">
        <f>SUM(BA9:BA33)</f>
        <v>2499377.64</v>
      </c>
      <c r="BB8" s="619">
        <f>SUM(BB9:BB33)</f>
        <v>8505032.8719999995</v>
      </c>
      <c r="BC8" s="577" t="e">
        <f>BB8/$F$89</f>
        <v>#DIV/0!</v>
      </c>
      <c r="BD8" s="842"/>
      <c r="BE8" s="842"/>
    </row>
    <row r="9" spans="1:57" s="2" customFormat="1" ht="30" customHeight="1" outlineLevel="2">
      <c r="A9" s="238"/>
      <c r="B9" s="644" t="s">
        <v>74</v>
      </c>
      <c r="C9" s="111"/>
      <c r="D9" s="112"/>
      <c r="E9" s="106">
        <f t="shared" ref="E9:E33" si="5">C9+D9</f>
        <v>0</v>
      </c>
      <c r="F9" s="177">
        <f t="shared" si="0"/>
        <v>0</v>
      </c>
      <c r="G9" s="41"/>
      <c r="H9" s="41"/>
      <c r="I9" s="41">
        <f>G9+H9*1</f>
        <v>0</v>
      </c>
      <c r="J9" s="178">
        <f t="shared" si="1"/>
        <v>0</v>
      </c>
      <c r="K9" s="363"/>
      <c r="L9" s="39"/>
      <c r="M9" s="39"/>
      <c r="N9" s="210">
        <f>L9+M9*1</f>
        <v>0</v>
      </c>
      <c r="O9" s="178">
        <f t="shared" si="2"/>
        <v>0</v>
      </c>
      <c r="P9" s="42"/>
      <c r="Q9" s="39"/>
      <c r="R9" s="39"/>
      <c r="S9" s="210">
        <f>Q9+R9*1</f>
        <v>0</v>
      </c>
      <c r="T9" s="178">
        <f t="shared" si="3"/>
        <v>0</v>
      </c>
      <c r="U9" s="402"/>
      <c r="V9" s="39">
        <v>21850</v>
      </c>
      <c r="W9" s="39"/>
      <c r="X9" s="210">
        <f>V9+W9*1</f>
        <v>21850</v>
      </c>
      <c r="Y9" s="178">
        <f>X9/$X$89</f>
        <v>7.6429826918963245E-3</v>
      </c>
      <c r="Z9" s="402"/>
      <c r="AA9" s="39">
        <v>21850.92</v>
      </c>
      <c r="AB9" s="39"/>
      <c r="AC9" s="210">
        <f>AA9+AB9*1</f>
        <v>21850.92</v>
      </c>
      <c r="AD9" s="178">
        <f>AC9/$AC$89</f>
        <v>1.2321000652002388E-2</v>
      </c>
      <c r="AE9" s="388" t="s">
        <v>725</v>
      </c>
      <c r="AF9" s="39"/>
      <c r="AG9" s="39"/>
      <c r="AH9" s="210">
        <f>AF9+AG9*1</f>
        <v>0</v>
      </c>
      <c r="AI9" s="178">
        <f>AH9/$AH$89</f>
        <v>0</v>
      </c>
      <c r="AJ9" s="388"/>
      <c r="AK9" s="39"/>
      <c r="AL9" s="39"/>
      <c r="AM9" s="210">
        <f>AK9+AL9*1</f>
        <v>0</v>
      </c>
      <c r="AN9" s="178">
        <f>AM9/$AH$89</f>
        <v>0</v>
      </c>
      <c r="AO9" s="388"/>
      <c r="AP9" s="39"/>
      <c r="AQ9" s="39"/>
      <c r="AR9" s="210">
        <f>AP9+AQ9*1</f>
        <v>0</v>
      </c>
      <c r="AS9" s="178">
        <f>AR9/$AH$89</f>
        <v>0</v>
      </c>
      <c r="AT9" s="388"/>
      <c r="AU9" s="39">
        <f t="shared" ref="AU9:AU32" si="6">G9+L9+Q9+V9+AA9+AF9+AK9+AP9</f>
        <v>43700.92</v>
      </c>
      <c r="AV9" s="39">
        <f t="shared" ref="AV9:AV32" si="7">H9+M9+R9+W9+AB9+AG9+AL9+AQ9</f>
        <v>0</v>
      </c>
      <c r="AW9" s="210">
        <f>AU9+AV9*1</f>
        <v>43700.92</v>
      </c>
      <c r="AX9" s="178">
        <f t="shared" si="4"/>
        <v>4.6274906502480444E-3</v>
      </c>
      <c r="AY9" s="42"/>
      <c r="AZ9" s="488">
        <f>21850+21850.92</f>
        <v>43700.92</v>
      </c>
      <c r="BA9" s="488"/>
      <c r="BB9" s="489">
        <f>AZ9+BA9*1</f>
        <v>43700.92</v>
      </c>
      <c r="BC9" s="485" t="e">
        <f>BB9/$F$89</f>
        <v>#DIV/0!</v>
      </c>
      <c r="BD9" s="842"/>
      <c r="BE9" s="842"/>
    </row>
    <row r="10" spans="1:57" s="2" customFormat="1" ht="14.4" customHeight="1" outlineLevel="2">
      <c r="A10" s="238"/>
      <c r="B10" s="644" t="s">
        <v>72</v>
      </c>
      <c r="C10" s="111"/>
      <c r="D10" s="112"/>
      <c r="E10" s="106">
        <f t="shared" si="5"/>
        <v>0</v>
      </c>
      <c r="F10" s="177">
        <f t="shared" si="0"/>
        <v>0</v>
      </c>
      <c r="G10" s="41"/>
      <c r="H10" s="41"/>
      <c r="I10" s="41">
        <f t="shared" ref="I10:I33" si="8">G10+H10*1</f>
        <v>0</v>
      </c>
      <c r="J10" s="178">
        <f t="shared" si="1"/>
        <v>0</v>
      </c>
      <c r="K10" s="363"/>
      <c r="L10" s="39"/>
      <c r="M10" s="39"/>
      <c r="N10" s="210">
        <f t="shared" ref="N10:N33" si="9">L10+M10*1</f>
        <v>0</v>
      </c>
      <c r="O10" s="178">
        <f t="shared" si="2"/>
        <v>0</v>
      </c>
      <c r="P10" s="42"/>
      <c r="Q10" s="39"/>
      <c r="R10" s="39"/>
      <c r="S10" s="210">
        <f t="shared" ref="S10:S33" si="10">Q10+R10*1</f>
        <v>0</v>
      </c>
      <c r="T10" s="178">
        <f t="shared" si="3"/>
        <v>0</v>
      </c>
      <c r="U10" s="402"/>
      <c r="V10" s="39">
        <v>5293.08</v>
      </c>
      <c r="W10" s="39"/>
      <c r="X10" s="210">
        <f t="shared" ref="X10:X22" si="11">V10+W10*1</f>
        <v>5293.08</v>
      </c>
      <c r="Y10" s="178">
        <f t="shared" ref="Y10:Y33" si="12">X10/$X$89</f>
        <v>1.8514836991680823E-3</v>
      </c>
      <c r="Z10" s="388"/>
      <c r="AA10" s="39">
        <v>5293.08</v>
      </c>
      <c r="AB10" s="39"/>
      <c r="AC10" s="210">
        <f t="shared" ref="AC10:AC33" si="13">AA10+AB10*1</f>
        <v>5293.08</v>
      </c>
      <c r="AD10" s="178">
        <f>AC10/$AC$89</f>
        <v>2.984590220050268E-3</v>
      </c>
      <c r="AE10" s="388"/>
      <c r="AF10" s="39"/>
      <c r="AG10" s="39"/>
      <c r="AH10" s="210">
        <f t="shared" ref="AH10:AH33" si="14">AF10+AG10*1</f>
        <v>0</v>
      </c>
      <c r="AI10" s="178">
        <f t="shared" ref="AI10:AI33" si="15">AH10/$AH$89</f>
        <v>0</v>
      </c>
      <c r="AJ10" s="388"/>
      <c r="AK10" s="39"/>
      <c r="AL10" s="39"/>
      <c r="AM10" s="210">
        <f t="shared" ref="AM10:AM33" si="16">AK10+AL10*1</f>
        <v>0</v>
      </c>
      <c r="AN10" s="178">
        <f>AM10/$AH$89</f>
        <v>0</v>
      </c>
      <c r="AO10" s="388"/>
      <c r="AP10" s="39"/>
      <c r="AQ10" s="39"/>
      <c r="AR10" s="210">
        <f t="shared" ref="AR10:AR33" si="17">AP10+AQ10*1</f>
        <v>0</v>
      </c>
      <c r="AS10" s="178">
        <f>AR10/$AH$89</f>
        <v>0</v>
      </c>
      <c r="AT10" s="388"/>
      <c r="AU10" s="39">
        <f t="shared" si="6"/>
        <v>10586.16</v>
      </c>
      <c r="AV10" s="39">
        <f t="shared" si="7"/>
        <v>0</v>
      </c>
      <c r="AW10" s="210">
        <f t="shared" ref="AW10:AW33" si="18">AU10+AV10*1</f>
        <v>10586.16</v>
      </c>
      <c r="AX10" s="178">
        <f t="shared" si="4"/>
        <v>1.1209685384662345E-3</v>
      </c>
      <c r="AY10" s="42"/>
      <c r="AZ10" s="452">
        <f>5293.08+5293.08</f>
        <v>10586.16</v>
      </c>
      <c r="BA10" s="452"/>
      <c r="BB10" s="453">
        <f t="shared" ref="BB10:BB33" si="19">AZ10+BA10*1</f>
        <v>10586.16</v>
      </c>
      <c r="BC10" s="450" t="e">
        <f t="shared" ref="BC10:BC33" si="20">BB10/$F$89</f>
        <v>#DIV/0!</v>
      </c>
      <c r="BD10" s="842"/>
      <c r="BE10" s="842"/>
    </row>
    <row r="11" spans="1:57" s="2" customFormat="1" ht="36" customHeight="1" outlineLevel="2">
      <c r="A11" s="238"/>
      <c r="B11" s="644" t="s">
        <v>69</v>
      </c>
      <c r="C11" s="111"/>
      <c r="D11" s="112"/>
      <c r="E11" s="106">
        <f t="shared" si="5"/>
        <v>0</v>
      </c>
      <c r="F11" s="177">
        <f t="shared" si="0"/>
        <v>0</v>
      </c>
      <c r="G11" s="41"/>
      <c r="H11" s="41"/>
      <c r="I11" s="41">
        <f t="shared" si="8"/>
        <v>0</v>
      </c>
      <c r="J11" s="178">
        <f t="shared" si="1"/>
        <v>0</v>
      </c>
      <c r="K11" s="291"/>
      <c r="L11" s="39"/>
      <c r="M11" s="39"/>
      <c r="N11" s="210">
        <f t="shared" si="9"/>
        <v>0</v>
      </c>
      <c r="O11" s="178">
        <f t="shared" si="2"/>
        <v>0</v>
      </c>
      <c r="P11" s="42"/>
      <c r="Q11" s="39"/>
      <c r="R11" s="39"/>
      <c r="S11" s="210">
        <f t="shared" si="10"/>
        <v>0</v>
      </c>
      <c r="T11" s="178">
        <f t="shared" si="3"/>
        <v>0</v>
      </c>
      <c r="U11" s="402"/>
      <c r="V11" s="39">
        <v>5971.68</v>
      </c>
      <c r="W11" s="39"/>
      <c r="X11" s="210">
        <f t="shared" si="11"/>
        <v>5971.68</v>
      </c>
      <c r="Y11" s="178">
        <f t="shared" si="12"/>
        <v>2.0888534041896313E-3</v>
      </c>
      <c r="Z11" s="388"/>
      <c r="AA11" s="39">
        <v>5971.68</v>
      </c>
      <c r="AB11" s="39"/>
      <c r="AC11" s="210">
        <f t="shared" si="13"/>
        <v>5971.68</v>
      </c>
      <c r="AD11" s="178">
        <f t="shared" ref="AD11:AD33" si="21">AC11/$AC$89</f>
        <v>3.3672299918515846E-3</v>
      </c>
      <c r="AE11" s="388"/>
      <c r="AF11" s="39"/>
      <c r="AG11" s="39"/>
      <c r="AH11" s="210">
        <f t="shared" si="14"/>
        <v>0</v>
      </c>
      <c r="AI11" s="178">
        <f>AH11/$AH$89</f>
        <v>0</v>
      </c>
      <c r="AJ11" s="388"/>
      <c r="AK11" s="39"/>
      <c r="AL11" s="39"/>
      <c r="AM11" s="210">
        <f t="shared" si="16"/>
        <v>0</v>
      </c>
      <c r="AN11" s="178">
        <f>AM11/$AH$89</f>
        <v>0</v>
      </c>
      <c r="AO11" s="388"/>
      <c r="AP11" s="39"/>
      <c r="AQ11" s="39"/>
      <c r="AR11" s="210">
        <f t="shared" si="17"/>
        <v>0</v>
      </c>
      <c r="AS11" s="178">
        <f>AR11/$AH$89</f>
        <v>0</v>
      </c>
      <c r="AT11" s="388"/>
      <c r="AU11" s="39">
        <f t="shared" si="6"/>
        <v>11943.36</v>
      </c>
      <c r="AV11" s="39">
        <f t="shared" si="7"/>
        <v>0</v>
      </c>
      <c r="AW11" s="210">
        <f t="shared" si="18"/>
        <v>11943.36</v>
      </c>
      <c r="AX11" s="178">
        <f t="shared" si="4"/>
        <v>1.2646824536542134E-3</v>
      </c>
      <c r="AY11" s="42"/>
      <c r="AZ11" s="452">
        <f>5971.68+5971.68</f>
        <v>11943.36</v>
      </c>
      <c r="BA11" s="452"/>
      <c r="BB11" s="453">
        <f t="shared" si="19"/>
        <v>11943.36</v>
      </c>
      <c r="BC11" s="450" t="e">
        <f t="shared" si="20"/>
        <v>#DIV/0!</v>
      </c>
      <c r="BD11" s="842"/>
      <c r="BE11" s="842"/>
    </row>
    <row r="12" spans="1:57" s="2" customFormat="1" ht="52.2" customHeight="1" outlineLevel="2">
      <c r="A12" s="238"/>
      <c r="B12" s="644" t="s">
        <v>73</v>
      </c>
      <c r="C12" s="111">
        <v>38640</v>
      </c>
      <c r="D12" s="112">
        <v>97865</v>
      </c>
      <c r="E12" s="106">
        <f t="shared" si="5"/>
        <v>136505</v>
      </c>
      <c r="F12" s="177">
        <f t="shared" si="0"/>
        <v>1.4485596461171705E-2</v>
      </c>
      <c r="G12" s="41"/>
      <c r="H12" s="41">
        <f>12550.91+7903.63</f>
        <v>20454.54</v>
      </c>
      <c r="I12" s="41">
        <f t="shared" si="8"/>
        <v>20454.54</v>
      </c>
      <c r="J12" s="178">
        <f t="shared" si="1"/>
        <v>4.7728187828371696E-2</v>
      </c>
      <c r="K12" s="291" t="s">
        <v>376</v>
      </c>
      <c r="L12" s="39">
        <v>5203.1899999999996</v>
      </c>
      <c r="M12" s="39">
        <f>19796.82+5000</f>
        <v>24796.82</v>
      </c>
      <c r="N12" s="210">
        <f t="shared" si="9"/>
        <v>30000.01</v>
      </c>
      <c r="O12" s="178">
        <f t="shared" si="2"/>
        <v>1.9960212297618445E-2</v>
      </c>
      <c r="P12" s="261" t="s">
        <v>474</v>
      </c>
      <c r="Q12" s="39">
        <v>9821</v>
      </c>
      <c r="R12" s="39">
        <v>15179</v>
      </c>
      <c r="S12" s="210">
        <f t="shared" si="10"/>
        <v>25000</v>
      </c>
      <c r="T12" s="178">
        <f t="shared" si="3"/>
        <v>2.9254287470088857E-2</v>
      </c>
      <c r="U12" s="417" t="s">
        <v>583</v>
      </c>
      <c r="V12" s="39">
        <v>11574.73</v>
      </c>
      <c r="W12" s="39">
        <v>13425.27</v>
      </c>
      <c r="X12" s="210">
        <f t="shared" si="11"/>
        <v>25000</v>
      </c>
      <c r="Y12" s="178">
        <f t="shared" si="12"/>
        <v>8.7448314552589518E-3</v>
      </c>
      <c r="Z12" s="388" t="s">
        <v>639</v>
      </c>
      <c r="AA12" s="39"/>
      <c r="AB12" s="39">
        <v>24999.999999999996</v>
      </c>
      <c r="AC12" s="210">
        <f t="shared" si="13"/>
        <v>24999.999999999996</v>
      </c>
      <c r="AD12" s="178">
        <f t="shared" si="21"/>
        <v>1.4096661206945048E-2</v>
      </c>
      <c r="AE12" s="388" t="s">
        <v>719</v>
      </c>
      <c r="AF12" s="39"/>
      <c r="AG12" s="39">
        <v>25000</v>
      </c>
      <c r="AH12" s="210">
        <f t="shared" si="14"/>
        <v>25000</v>
      </c>
      <c r="AI12" s="178">
        <f t="shared" si="15"/>
        <v>3.9723366605974059E-2</v>
      </c>
      <c r="AJ12" s="388" t="s">
        <v>777</v>
      </c>
      <c r="AK12" s="39"/>
      <c r="AL12" s="39"/>
      <c r="AM12" s="210">
        <f t="shared" si="16"/>
        <v>0</v>
      </c>
      <c r="AN12" s="178">
        <f t="shared" ref="AN12:AN25" si="22">AM12/$AH$89</f>
        <v>0</v>
      </c>
      <c r="AO12" s="388"/>
      <c r="AP12" s="39"/>
      <c r="AQ12" s="39">
        <v>-4999.6300000000047</v>
      </c>
      <c r="AR12" s="210">
        <f t="shared" si="17"/>
        <v>-4999.6300000000047</v>
      </c>
      <c r="AS12" s="178">
        <f t="shared" ref="AS12:AS25" si="23">AR12/$AH$89</f>
        <v>-7.94408541536905E-3</v>
      </c>
      <c r="AT12" s="388"/>
      <c r="AU12" s="39">
        <f t="shared" si="6"/>
        <v>26598.92</v>
      </c>
      <c r="AV12" s="39">
        <f t="shared" si="7"/>
        <v>118856</v>
      </c>
      <c r="AW12" s="210">
        <f t="shared" si="18"/>
        <v>145454.91999999998</v>
      </c>
      <c r="AX12" s="178">
        <f t="shared" si="4"/>
        <v>1.5402222249155788E-2</v>
      </c>
      <c r="AY12" s="42"/>
      <c r="AZ12" s="452">
        <v>26598.92</v>
      </c>
      <c r="BA12" s="452">
        <f>12551+7904+19797+15179+13425+25000+25000</f>
        <v>118856</v>
      </c>
      <c r="BB12" s="453">
        <f>AZ12+BA12*1</f>
        <v>145454.91999999998</v>
      </c>
      <c r="BC12" s="450" t="e">
        <f t="shared" si="20"/>
        <v>#DIV/0!</v>
      </c>
      <c r="BD12" s="842"/>
      <c r="BE12" s="842"/>
    </row>
    <row r="13" spans="1:57" s="2" customFormat="1" ht="14.4" customHeight="1" outlineLevel="2">
      <c r="A13" s="238"/>
      <c r="B13" s="31" t="s">
        <v>71</v>
      </c>
      <c r="C13" s="111">
        <v>10560</v>
      </c>
      <c r="D13" s="112"/>
      <c r="E13" s="106">
        <f t="shared" si="5"/>
        <v>10560</v>
      </c>
      <c r="F13" s="177">
        <f t="shared" si="0"/>
        <v>1.1206028982819179E-3</v>
      </c>
      <c r="G13" s="41">
        <v>1914.55</v>
      </c>
      <c r="H13" s="41"/>
      <c r="I13" s="41">
        <f t="shared" si="8"/>
        <v>1914.55</v>
      </c>
      <c r="J13" s="178">
        <f t="shared" si="1"/>
        <v>4.4673701782982668E-3</v>
      </c>
      <c r="K13" s="291"/>
      <c r="L13" s="39">
        <v>1787.29</v>
      </c>
      <c r="M13" s="39"/>
      <c r="N13" s="210">
        <f t="shared" si="9"/>
        <v>1787.29</v>
      </c>
      <c r="O13" s="178">
        <f t="shared" si="2"/>
        <v>1.1891558648617275E-3</v>
      </c>
      <c r="P13" s="42"/>
      <c r="Q13" s="39">
        <v>2379</v>
      </c>
      <c r="R13" s="39"/>
      <c r="S13" s="210">
        <f t="shared" si="10"/>
        <v>2379</v>
      </c>
      <c r="T13" s="178">
        <f t="shared" si="3"/>
        <v>2.7838379956536554E-3</v>
      </c>
      <c r="U13" s="402"/>
      <c r="V13" s="39">
        <v>2803.82</v>
      </c>
      <c r="W13" s="39"/>
      <c r="X13" s="210">
        <f t="shared" si="11"/>
        <v>2803.82</v>
      </c>
      <c r="Y13" s="178">
        <f t="shared" si="12"/>
        <v>9.8075733323536624E-4</v>
      </c>
      <c r="Z13" s="388"/>
      <c r="AA13" s="39"/>
      <c r="AB13" s="39"/>
      <c r="AC13" s="210">
        <f t="shared" si="13"/>
        <v>0</v>
      </c>
      <c r="AD13" s="178">
        <f t="shared" si="21"/>
        <v>0</v>
      </c>
      <c r="AE13" s="388"/>
      <c r="AF13" s="39"/>
      <c r="AG13" s="39"/>
      <c r="AH13" s="210">
        <f t="shared" si="14"/>
        <v>0</v>
      </c>
      <c r="AI13" s="178">
        <f t="shared" si="15"/>
        <v>0</v>
      </c>
      <c r="AJ13" s="388"/>
      <c r="AK13" s="39"/>
      <c r="AL13" s="39"/>
      <c r="AM13" s="210">
        <f t="shared" si="16"/>
        <v>0</v>
      </c>
      <c r="AN13" s="178">
        <f t="shared" si="22"/>
        <v>0</v>
      </c>
      <c r="AO13" s="388"/>
      <c r="AP13" s="39"/>
      <c r="AQ13" s="39"/>
      <c r="AR13" s="210">
        <f t="shared" si="17"/>
        <v>0</v>
      </c>
      <c r="AS13" s="178">
        <f t="shared" si="23"/>
        <v>0</v>
      </c>
      <c r="AT13" s="388"/>
      <c r="AU13" s="39">
        <f t="shared" si="6"/>
        <v>8884.66</v>
      </c>
      <c r="AV13" s="39">
        <f t="shared" si="7"/>
        <v>0</v>
      </c>
      <c r="AW13" s="210">
        <f t="shared" si="18"/>
        <v>8884.66</v>
      </c>
      <c r="AX13" s="178">
        <f t="shared" si="4"/>
        <v>9.4079669445478007E-4</v>
      </c>
      <c r="AY13" s="42"/>
      <c r="AZ13" s="452">
        <v>8884.66</v>
      </c>
      <c r="BA13" s="452"/>
      <c r="BB13" s="453">
        <f t="shared" si="19"/>
        <v>8884.66</v>
      </c>
      <c r="BC13" s="450" t="e">
        <f t="shared" si="20"/>
        <v>#DIV/0!</v>
      </c>
      <c r="BD13" s="842"/>
      <c r="BE13" s="842"/>
    </row>
    <row r="14" spans="1:57" s="2" customFormat="1" ht="14.4" customHeight="1" outlineLevel="2">
      <c r="A14" s="238"/>
      <c r="B14" s="31" t="s">
        <v>70</v>
      </c>
      <c r="C14" s="111">
        <v>9360</v>
      </c>
      <c r="D14" s="112"/>
      <c r="E14" s="106">
        <f t="shared" si="5"/>
        <v>9360</v>
      </c>
      <c r="F14" s="177">
        <f t="shared" si="0"/>
        <v>9.93261659840791E-4</v>
      </c>
      <c r="G14" s="41">
        <v>2160</v>
      </c>
      <c r="H14" s="41"/>
      <c r="I14" s="41">
        <f t="shared" si="8"/>
        <v>2160</v>
      </c>
      <c r="J14" s="178">
        <f t="shared" si="1"/>
        <v>5.0400979787021787E-3</v>
      </c>
      <c r="K14" s="291"/>
      <c r="L14" s="39">
        <v>2016.43</v>
      </c>
      <c r="M14" s="39"/>
      <c r="N14" s="210">
        <f t="shared" si="9"/>
        <v>2016.43</v>
      </c>
      <c r="O14" s="178">
        <f t="shared" si="2"/>
        <v>1.3416119155722536E-3</v>
      </c>
      <c r="P14" s="42"/>
      <c r="Q14" s="39">
        <v>2684</v>
      </c>
      <c r="R14" s="39"/>
      <c r="S14" s="210">
        <f t="shared" si="10"/>
        <v>2684</v>
      </c>
      <c r="T14" s="178">
        <f t="shared" si="3"/>
        <v>3.1407403027887393E-3</v>
      </c>
      <c r="U14" s="402"/>
      <c r="V14" s="39">
        <v>3163.28</v>
      </c>
      <c r="W14" s="39"/>
      <c r="X14" s="210">
        <f t="shared" si="11"/>
        <v>3163.28</v>
      </c>
      <c r="Y14" s="178">
        <f t="shared" si="12"/>
        <v>1.1064940178316617E-3</v>
      </c>
      <c r="Z14" s="388"/>
      <c r="AA14" s="39"/>
      <c r="AB14" s="39"/>
      <c r="AC14" s="210">
        <f t="shared" si="13"/>
        <v>0</v>
      </c>
      <c r="AD14" s="178">
        <f t="shared" si="21"/>
        <v>0</v>
      </c>
      <c r="AE14" s="388"/>
      <c r="AF14" s="39"/>
      <c r="AG14" s="39"/>
      <c r="AH14" s="210">
        <f t="shared" si="14"/>
        <v>0</v>
      </c>
      <c r="AI14" s="178">
        <f t="shared" si="15"/>
        <v>0</v>
      </c>
      <c r="AJ14" s="388"/>
      <c r="AK14" s="39"/>
      <c r="AL14" s="39"/>
      <c r="AM14" s="210">
        <f t="shared" si="16"/>
        <v>0</v>
      </c>
      <c r="AN14" s="178">
        <f t="shared" si="22"/>
        <v>0</v>
      </c>
      <c r="AO14" s="388"/>
      <c r="AP14" s="39"/>
      <c r="AQ14" s="39"/>
      <c r="AR14" s="210">
        <f t="shared" si="17"/>
        <v>0</v>
      </c>
      <c r="AS14" s="178">
        <f t="shared" si="23"/>
        <v>0</v>
      </c>
      <c r="AT14" s="388"/>
      <c r="AU14" s="39">
        <f t="shared" si="6"/>
        <v>10023.710000000001</v>
      </c>
      <c r="AV14" s="39">
        <f t="shared" si="7"/>
        <v>0</v>
      </c>
      <c r="AW14" s="210">
        <f t="shared" si="18"/>
        <v>10023.710000000001</v>
      </c>
      <c r="AX14" s="178">
        <f t="shared" si="4"/>
        <v>1.0614107049873968E-3</v>
      </c>
      <c r="AY14" s="42"/>
      <c r="AZ14" s="452">
        <v>10023.710000000001</v>
      </c>
      <c r="BA14" s="452"/>
      <c r="BB14" s="453">
        <f t="shared" si="19"/>
        <v>10023.710000000001</v>
      </c>
      <c r="BC14" s="450" t="e">
        <f t="shared" si="20"/>
        <v>#DIV/0!</v>
      </c>
      <c r="BD14" s="842"/>
      <c r="BE14" s="842"/>
    </row>
    <row r="15" spans="1:57" s="2" customFormat="1" ht="14.4" customHeight="1" outlineLevel="2">
      <c r="A15" s="238"/>
      <c r="B15" s="7" t="s">
        <v>20</v>
      </c>
      <c r="C15" s="111"/>
      <c r="D15" s="113"/>
      <c r="E15" s="106">
        <f t="shared" si="5"/>
        <v>0</v>
      </c>
      <c r="F15" s="177">
        <f t="shared" si="0"/>
        <v>0</v>
      </c>
      <c r="G15" s="41"/>
      <c r="H15" s="41"/>
      <c r="I15" s="41">
        <f t="shared" si="8"/>
        <v>0</v>
      </c>
      <c r="J15" s="178">
        <f t="shared" si="1"/>
        <v>0</v>
      </c>
      <c r="K15" s="291"/>
      <c r="L15" s="39"/>
      <c r="M15" s="39">
        <v>14000</v>
      </c>
      <c r="N15" s="210">
        <f t="shared" si="9"/>
        <v>14000</v>
      </c>
      <c r="O15" s="178">
        <f t="shared" si="2"/>
        <v>9.3147626339677297E-3</v>
      </c>
      <c r="P15" s="42"/>
      <c r="Q15" s="39"/>
      <c r="R15" s="39"/>
      <c r="S15" s="210">
        <f t="shared" si="10"/>
        <v>0</v>
      </c>
      <c r="T15" s="178">
        <f t="shared" si="3"/>
        <v>0</v>
      </c>
      <c r="U15" s="402"/>
      <c r="V15" s="39"/>
      <c r="W15" s="39"/>
      <c r="X15" s="210">
        <f t="shared" si="11"/>
        <v>0</v>
      </c>
      <c r="Y15" s="178">
        <f t="shared" si="12"/>
        <v>0</v>
      </c>
      <c r="Z15" s="388"/>
      <c r="AA15" s="39"/>
      <c r="AB15" s="39"/>
      <c r="AC15" s="210">
        <f t="shared" si="13"/>
        <v>0</v>
      </c>
      <c r="AD15" s="178">
        <f t="shared" si="21"/>
        <v>0</v>
      </c>
      <c r="AE15" s="388"/>
      <c r="AF15" s="39"/>
      <c r="AG15" s="39"/>
      <c r="AH15" s="210">
        <f t="shared" si="14"/>
        <v>0</v>
      </c>
      <c r="AI15" s="178">
        <f t="shared" si="15"/>
        <v>0</v>
      </c>
      <c r="AJ15" s="388"/>
      <c r="AK15" s="39"/>
      <c r="AL15" s="39">
        <v>8400</v>
      </c>
      <c r="AM15" s="210">
        <f t="shared" si="16"/>
        <v>8400</v>
      </c>
      <c r="AN15" s="178">
        <f t="shared" si="22"/>
        <v>1.3347051179607283E-2</v>
      </c>
      <c r="AO15" s="388"/>
      <c r="AP15" s="39"/>
      <c r="AQ15" s="39"/>
      <c r="AR15" s="210">
        <f t="shared" si="17"/>
        <v>0</v>
      </c>
      <c r="AS15" s="178">
        <f t="shared" si="23"/>
        <v>0</v>
      </c>
      <c r="AT15" s="388"/>
      <c r="AU15" s="39">
        <f t="shared" si="6"/>
        <v>0</v>
      </c>
      <c r="AV15" s="39">
        <f t="shared" si="7"/>
        <v>22400</v>
      </c>
      <c r="AW15" s="210">
        <f t="shared" si="18"/>
        <v>22400</v>
      </c>
      <c r="AX15" s="178">
        <f t="shared" si="4"/>
        <v>2.3719361186344862E-3</v>
      </c>
      <c r="AY15" s="42"/>
      <c r="AZ15" s="452"/>
      <c r="BA15" s="452">
        <v>22400</v>
      </c>
      <c r="BB15" s="453">
        <f t="shared" si="19"/>
        <v>22400</v>
      </c>
      <c r="BC15" s="450" t="e">
        <f t="shared" si="20"/>
        <v>#DIV/0!</v>
      </c>
      <c r="BD15" s="842"/>
      <c r="BE15" s="842"/>
    </row>
    <row r="16" spans="1:57" s="2" customFormat="1" ht="40.200000000000003" customHeight="1" outlineLevel="2">
      <c r="A16" s="292"/>
      <c r="B16" s="7" t="s">
        <v>21</v>
      </c>
      <c r="C16" s="111"/>
      <c r="D16" s="113">
        <v>1554366</v>
      </c>
      <c r="E16" s="106">
        <f t="shared" si="5"/>
        <v>1554366</v>
      </c>
      <c r="F16" s="177">
        <f t="shared" si="0"/>
        <v>0.16494574285898406</v>
      </c>
      <c r="G16" s="41"/>
      <c r="H16" s="41"/>
      <c r="I16" s="41">
        <f t="shared" si="8"/>
        <v>0</v>
      </c>
      <c r="J16" s="178">
        <f t="shared" si="1"/>
        <v>0</v>
      </c>
      <c r="K16" s="291"/>
      <c r="L16" s="39"/>
      <c r="M16" s="39">
        <f>69331.25+29850.4+16616+12640+28888+48025.2+5536+88823.4+67848+88432.2</f>
        <v>455990.45</v>
      </c>
      <c r="N16" s="210">
        <f t="shared" si="9"/>
        <v>455990.45</v>
      </c>
      <c r="O16" s="178">
        <f t="shared" si="2"/>
        <v>0.30338877179329504</v>
      </c>
      <c r="P16" s="261" t="s">
        <v>521</v>
      </c>
      <c r="Q16" s="39"/>
      <c r="R16" s="39">
        <v>259709.18</v>
      </c>
      <c r="S16" s="210">
        <f t="shared" si="10"/>
        <v>259709.18</v>
      </c>
      <c r="T16" s="178">
        <f t="shared" si="3"/>
        <v>0.30390428041364204</v>
      </c>
      <c r="U16" s="417" t="s">
        <v>559</v>
      </c>
      <c r="V16" s="39"/>
      <c r="W16" s="39">
        <f>303161.14</f>
        <v>303161.14</v>
      </c>
      <c r="X16" s="210">
        <f t="shared" si="11"/>
        <v>303161.14</v>
      </c>
      <c r="Y16" s="178">
        <f t="shared" si="12"/>
        <v>0.10604372292336653</v>
      </c>
      <c r="Z16" s="388" t="s">
        <v>712</v>
      </c>
      <c r="AA16" s="39"/>
      <c r="AB16" s="39">
        <f>131733.3</f>
        <v>131733.29999999999</v>
      </c>
      <c r="AC16" s="210">
        <f t="shared" si="13"/>
        <v>131733.29999999999</v>
      </c>
      <c r="AD16" s="178">
        <f t="shared" si="21"/>
        <v>7.4279987990914162E-2</v>
      </c>
      <c r="AE16" s="388" t="s">
        <v>769</v>
      </c>
      <c r="AF16" s="39"/>
      <c r="AG16" s="39">
        <v>140588.81</v>
      </c>
      <c r="AH16" s="210">
        <f t="shared" si="14"/>
        <v>140588.81</v>
      </c>
      <c r="AI16" s="178">
        <f t="shared" si="15"/>
        <v>0.22338643361310526</v>
      </c>
      <c r="AJ16" s="388" t="s">
        <v>791</v>
      </c>
      <c r="AK16" s="39"/>
      <c r="AL16" s="39"/>
      <c r="AM16" s="210">
        <f t="shared" si="16"/>
        <v>0</v>
      </c>
      <c r="AN16" s="178">
        <f t="shared" si="22"/>
        <v>0</v>
      </c>
      <c r="AO16" s="388"/>
      <c r="AP16" s="39"/>
      <c r="AQ16" s="39">
        <v>54935.809999999823</v>
      </c>
      <c r="AR16" s="210">
        <f t="shared" si="17"/>
        <v>54935.809999999823</v>
      </c>
      <c r="AS16" s="178">
        <f t="shared" si="23"/>
        <v>8.7289412817045151E-2</v>
      </c>
      <c r="AT16" s="388"/>
      <c r="AU16" s="39">
        <f t="shared" si="6"/>
        <v>0</v>
      </c>
      <c r="AV16" s="39">
        <f t="shared" si="7"/>
        <v>1346118.69</v>
      </c>
      <c r="AW16" s="210">
        <f t="shared" si="18"/>
        <v>1346118.69</v>
      </c>
      <c r="AX16" s="178">
        <f t="shared" si="4"/>
        <v>0.14254051521339015</v>
      </c>
      <c r="AY16" s="42"/>
      <c r="AZ16" s="452"/>
      <c r="BA16" s="452">
        <v>1346118.69</v>
      </c>
      <c r="BB16" s="453">
        <f t="shared" si="19"/>
        <v>1346118.69</v>
      </c>
      <c r="BC16" s="450" t="e">
        <f t="shared" si="20"/>
        <v>#DIV/0!</v>
      </c>
      <c r="BD16" s="842"/>
      <c r="BE16" s="842"/>
    </row>
    <row r="17" spans="1:57" s="2" customFormat="1" ht="36" customHeight="1" outlineLevel="2">
      <c r="A17" s="238"/>
      <c r="B17" s="7" t="s">
        <v>22</v>
      </c>
      <c r="C17" s="111"/>
      <c r="D17" s="113">
        <v>57500</v>
      </c>
      <c r="E17" s="106">
        <f t="shared" si="5"/>
        <v>57500</v>
      </c>
      <c r="F17" s="177">
        <f t="shared" si="0"/>
        <v>6.1017676753040038E-3</v>
      </c>
      <c r="G17" s="161"/>
      <c r="H17" s="113">
        <v>25000</v>
      </c>
      <c r="I17" s="41">
        <f t="shared" si="8"/>
        <v>25000</v>
      </c>
      <c r="J17" s="178">
        <f t="shared" si="1"/>
        <v>5.8334467346090026E-2</v>
      </c>
      <c r="K17" s="291" t="s">
        <v>377</v>
      </c>
      <c r="L17" s="39"/>
      <c r="M17" s="39"/>
      <c r="N17" s="210">
        <f t="shared" si="9"/>
        <v>0</v>
      </c>
      <c r="O17" s="178">
        <f t="shared" si="2"/>
        <v>0</v>
      </c>
      <c r="P17" s="42"/>
      <c r="Q17" s="39"/>
      <c r="R17" s="39"/>
      <c r="S17" s="210">
        <f t="shared" si="10"/>
        <v>0</v>
      </c>
      <c r="T17" s="178">
        <f t="shared" si="3"/>
        <v>0</v>
      </c>
      <c r="U17" s="402"/>
      <c r="V17" s="39"/>
      <c r="W17" s="39"/>
      <c r="X17" s="210">
        <f t="shared" si="11"/>
        <v>0</v>
      </c>
      <c r="Y17" s="178">
        <f t="shared" si="12"/>
        <v>0</v>
      </c>
      <c r="Z17" s="388"/>
      <c r="AA17" s="39"/>
      <c r="AB17" s="39"/>
      <c r="AC17" s="210">
        <f t="shared" si="13"/>
        <v>0</v>
      </c>
      <c r="AD17" s="178">
        <f t="shared" si="21"/>
        <v>0</v>
      </c>
      <c r="AE17" s="388"/>
      <c r="AF17" s="39"/>
      <c r="AG17" s="39">
        <v>25000</v>
      </c>
      <c r="AH17" s="210">
        <f t="shared" si="14"/>
        <v>25000</v>
      </c>
      <c r="AI17" s="178">
        <f t="shared" si="15"/>
        <v>3.9723366605974059E-2</v>
      </c>
      <c r="AJ17" s="388" t="s">
        <v>794</v>
      </c>
      <c r="AK17" s="39"/>
      <c r="AL17" s="39"/>
      <c r="AM17" s="210">
        <f t="shared" si="16"/>
        <v>0</v>
      </c>
      <c r="AN17" s="178">
        <f t="shared" si="22"/>
        <v>0</v>
      </c>
      <c r="AO17" s="388"/>
      <c r="AP17" s="39"/>
      <c r="AQ17" s="39"/>
      <c r="AR17" s="210">
        <f t="shared" si="17"/>
        <v>0</v>
      </c>
      <c r="AS17" s="178">
        <f t="shared" si="23"/>
        <v>0</v>
      </c>
      <c r="AT17" s="388"/>
      <c r="AU17" s="39">
        <f t="shared" si="6"/>
        <v>0</v>
      </c>
      <c r="AV17" s="39">
        <f t="shared" si="7"/>
        <v>50000</v>
      </c>
      <c r="AW17" s="210">
        <f t="shared" si="18"/>
        <v>50000</v>
      </c>
      <c r="AX17" s="178">
        <f t="shared" si="4"/>
        <v>5.2945002648091214E-3</v>
      </c>
      <c r="AY17" s="42"/>
      <c r="AZ17" s="452"/>
      <c r="BA17" s="452">
        <v>50000</v>
      </c>
      <c r="BB17" s="453">
        <f t="shared" si="19"/>
        <v>50000</v>
      </c>
      <c r="BC17" s="450" t="e">
        <f t="shared" si="20"/>
        <v>#DIV/0!</v>
      </c>
      <c r="BD17" s="842"/>
      <c r="BE17" s="842"/>
    </row>
    <row r="18" spans="1:57" s="2" customFormat="1" ht="62.4" customHeight="1" outlineLevel="2">
      <c r="A18" s="238"/>
      <c r="B18" s="7" t="s">
        <v>0</v>
      </c>
      <c r="C18" s="111">
        <v>860664</v>
      </c>
      <c r="D18" s="113">
        <v>23000</v>
      </c>
      <c r="E18" s="106">
        <f t="shared" si="5"/>
        <v>883664</v>
      </c>
      <c r="F18" s="177">
        <f t="shared" si="0"/>
        <v>9.3772390104866737E-2</v>
      </c>
      <c r="G18" s="161"/>
      <c r="H18" s="41">
        <v>300</v>
      </c>
      <c r="I18" s="41">
        <f t="shared" si="8"/>
        <v>300</v>
      </c>
      <c r="J18" s="178">
        <f t="shared" si="1"/>
        <v>7.0001360815308039E-4</v>
      </c>
      <c r="K18" s="291" t="s">
        <v>375</v>
      </c>
      <c r="L18" s="39"/>
      <c r="M18" s="39"/>
      <c r="N18" s="210">
        <f t="shared" si="9"/>
        <v>0</v>
      </c>
      <c r="O18" s="178">
        <f t="shared" si="2"/>
        <v>0</v>
      </c>
      <c r="P18" s="42"/>
      <c r="Q18" s="39">
        <f>151200</f>
        <v>151200</v>
      </c>
      <c r="R18" s="39">
        <v>20000</v>
      </c>
      <c r="S18" s="210">
        <f t="shared" si="10"/>
        <v>171200</v>
      </c>
      <c r="T18" s="178">
        <f t="shared" si="3"/>
        <v>0.20033336059516849</v>
      </c>
      <c r="U18" s="417" t="s">
        <v>582</v>
      </c>
      <c r="V18" s="39"/>
      <c r="W18" s="39"/>
      <c r="X18" s="210">
        <f t="shared" si="11"/>
        <v>0</v>
      </c>
      <c r="Y18" s="178">
        <f t="shared" si="12"/>
        <v>0</v>
      </c>
      <c r="Z18" s="388"/>
      <c r="AA18" s="39"/>
      <c r="AB18" s="39">
        <v>394000</v>
      </c>
      <c r="AC18" s="210">
        <f t="shared" si="13"/>
        <v>394000</v>
      </c>
      <c r="AD18" s="178">
        <f t="shared" si="21"/>
        <v>0.22216338062145399</v>
      </c>
      <c r="AE18" s="388" t="s">
        <v>734</v>
      </c>
      <c r="AF18" s="39"/>
      <c r="AG18" s="39">
        <v>80000</v>
      </c>
      <c r="AH18" s="210">
        <f t="shared" si="14"/>
        <v>80000</v>
      </c>
      <c r="AI18" s="178">
        <f t="shared" si="15"/>
        <v>0.12711477313911698</v>
      </c>
      <c r="AJ18" s="388" t="s">
        <v>792</v>
      </c>
      <c r="AK18" s="39"/>
      <c r="AL18" s="39">
        <v>22320</v>
      </c>
      <c r="AM18" s="210">
        <f t="shared" si="16"/>
        <v>22320</v>
      </c>
      <c r="AN18" s="178">
        <f t="shared" si="22"/>
        <v>3.5465021705813636E-2</v>
      </c>
      <c r="AO18" s="388" t="s">
        <v>864</v>
      </c>
      <c r="AP18" s="39">
        <v>124058</v>
      </c>
      <c r="AQ18" s="39">
        <v>50000</v>
      </c>
      <c r="AR18" s="210">
        <f t="shared" si="17"/>
        <v>174058</v>
      </c>
      <c r="AS18" s="178">
        <f t="shared" si="23"/>
        <v>0.27656678978810528</v>
      </c>
      <c r="AT18" s="388"/>
      <c r="AU18" s="39">
        <f t="shared" si="6"/>
        <v>275258</v>
      </c>
      <c r="AV18" s="39">
        <f t="shared" si="7"/>
        <v>566620</v>
      </c>
      <c r="AW18" s="210">
        <f t="shared" si="18"/>
        <v>841878</v>
      </c>
      <c r="AX18" s="178">
        <f t="shared" si="4"/>
        <v>8.9146465878739464E-2</v>
      </c>
      <c r="AY18" s="42"/>
      <c r="AZ18" s="835">
        <f>462+123596+151200</f>
        <v>275258</v>
      </c>
      <c r="BA18" s="452">
        <v>566620</v>
      </c>
      <c r="BB18" s="453">
        <f t="shared" si="19"/>
        <v>841878</v>
      </c>
      <c r="BC18" s="450" t="e">
        <f t="shared" si="20"/>
        <v>#DIV/0!</v>
      </c>
      <c r="BD18" s="842"/>
      <c r="BE18" s="842"/>
    </row>
    <row r="19" spans="1:57" s="2" customFormat="1" ht="51.6" customHeight="1" outlineLevel="2">
      <c r="A19" s="238"/>
      <c r="B19" s="7" t="s">
        <v>53</v>
      </c>
      <c r="C19" s="114"/>
      <c r="D19" s="113"/>
      <c r="E19" s="106">
        <f t="shared" si="5"/>
        <v>0</v>
      </c>
      <c r="F19" s="177">
        <f t="shared" si="0"/>
        <v>0</v>
      </c>
      <c r="G19" s="161">
        <f>920+2760+15400.08</f>
        <v>19080.080000000002</v>
      </c>
      <c r="H19" s="113"/>
      <c r="I19" s="41">
        <f t="shared" si="8"/>
        <v>19080.080000000002</v>
      </c>
      <c r="J19" s="178">
        <f t="shared" si="1"/>
        <v>4.4521052148831425E-2</v>
      </c>
      <c r="K19" s="291" t="s">
        <v>383</v>
      </c>
      <c r="L19" s="39">
        <f>300+300+4080+2400+2400+2310</f>
        <v>11790</v>
      </c>
      <c r="M19" s="39">
        <v>8000</v>
      </c>
      <c r="N19" s="210">
        <f t="shared" si="9"/>
        <v>19790</v>
      </c>
      <c r="O19" s="178">
        <f t="shared" si="2"/>
        <v>1.3167082323301528E-2</v>
      </c>
      <c r="P19" s="261" t="s">
        <v>524</v>
      </c>
      <c r="Q19" s="39">
        <f>4080</f>
        <v>4080</v>
      </c>
      <c r="R19" s="39">
        <v>510</v>
      </c>
      <c r="S19" s="210">
        <f t="shared" si="10"/>
        <v>4590</v>
      </c>
      <c r="T19" s="178">
        <f t="shared" si="3"/>
        <v>5.3710871795083137E-3</v>
      </c>
      <c r="U19" s="401" t="s">
        <v>618</v>
      </c>
      <c r="V19" s="39">
        <v>63430</v>
      </c>
      <c r="W19" s="39"/>
      <c r="X19" s="210">
        <f t="shared" si="11"/>
        <v>63430</v>
      </c>
      <c r="Y19" s="178">
        <f t="shared" si="12"/>
        <v>2.2187386368283015E-2</v>
      </c>
      <c r="Z19" s="388" t="s">
        <v>631</v>
      </c>
      <c r="AA19" s="39">
        <f>3080*1.2</f>
        <v>3696</v>
      </c>
      <c r="AB19" s="39"/>
      <c r="AC19" s="210">
        <f t="shared" si="13"/>
        <v>3696</v>
      </c>
      <c r="AD19" s="178">
        <f t="shared" si="21"/>
        <v>2.0840503928347561E-3</v>
      </c>
      <c r="AE19" s="388" t="s">
        <v>738</v>
      </c>
      <c r="AF19" s="39"/>
      <c r="AG19" s="39"/>
      <c r="AH19" s="210">
        <f t="shared" si="14"/>
        <v>0</v>
      </c>
      <c r="AI19" s="178">
        <f t="shared" si="15"/>
        <v>0</v>
      </c>
      <c r="AJ19" s="388"/>
      <c r="AK19" s="39"/>
      <c r="AL19" s="39">
        <v>1600</v>
      </c>
      <c r="AM19" s="210">
        <f t="shared" si="16"/>
        <v>1600</v>
      </c>
      <c r="AN19" s="178">
        <f t="shared" si="22"/>
        <v>2.5422954627823398E-3</v>
      </c>
      <c r="AO19" s="388" t="s">
        <v>863</v>
      </c>
      <c r="AP19" s="39">
        <v>-84376.08</v>
      </c>
      <c r="AQ19" s="39">
        <v>-510</v>
      </c>
      <c r="AR19" s="210">
        <f t="shared" si="17"/>
        <v>-84886.080000000002</v>
      </c>
      <c r="AS19" s="178">
        <f t="shared" si="23"/>
        <v>-0.13487843502336169</v>
      </c>
      <c r="AT19" s="388"/>
      <c r="AU19" s="39">
        <f t="shared" si="6"/>
        <v>17700</v>
      </c>
      <c r="AV19" s="39">
        <f t="shared" si="7"/>
        <v>9600</v>
      </c>
      <c r="AW19" s="210">
        <f t="shared" si="18"/>
        <v>27300</v>
      </c>
      <c r="AX19" s="178">
        <f t="shared" si="4"/>
        <v>2.8907971445857801E-3</v>
      </c>
      <c r="AY19" s="42"/>
      <c r="AZ19" s="452">
        <v>17700</v>
      </c>
      <c r="BA19" s="452">
        <f>8000+1600</f>
        <v>9600</v>
      </c>
      <c r="BB19" s="453">
        <f t="shared" si="19"/>
        <v>27300</v>
      </c>
      <c r="BC19" s="450" t="e">
        <f t="shared" si="20"/>
        <v>#DIV/0!</v>
      </c>
      <c r="BD19" s="842"/>
      <c r="BE19" s="842"/>
    </row>
    <row r="20" spans="1:57" s="2" customFormat="1" ht="14.4" customHeight="1" outlineLevel="2">
      <c r="A20" s="238"/>
      <c r="B20" s="7" t="s">
        <v>57</v>
      </c>
      <c r="C20" s="114"/>
      <c r="D20" s="113"/>
      <c r="E20" s="106">
        <f t="shared" si="5"/>
        <v>0</v>
      </c>
      <c r="F20" s="177">
        <f t="shared" si="0"/>
        <v>0</v>
      </c>
      <c r="G20" s="161"/>
      <c r="H20" s="113"/>
      <c r="I20" s="41">
        <f t="shared" si="8"/>
        <v>0</v>
      </c>
      <c r="J20" s="178">
        <f t="shared" si="1"/>
        <v>0</v>
      </c>
      <c r="K20" s="291"/>
      <c r="L20" s="39"/>
      <c r="M20" s="39"/>
      <c r="N20" s="210">
        <f t="shared" si="9"/>
        <v>0</v>
      </c>
      <c r="O20" s="178">
        <f t="shared" si="2"/>
        <v>0</v>
      </c>
      <c r="P20" s="42"/>
      <c r="Q20" s="39"/>
      <c r="R20" s="39"/>
      <c r="S20" s="210">
        <f t="shared" si="10"/>
        <v>0</v>
      </c>
      <c r="T20" s="178">
        <f t="shared" si="3"/>
        <v>0</v>
      </c>
      <c r="U20" s="402"/>
      <c r="V20" s="39"/>
      <c r="W20" s="39"/>
      <c r="X20" s="210">
        <f t="shared" si="11"/>
        <v>0</v>
      </c>
      <c r="Y20" s="178">
        <f t="shared" si="12"/>
        <v>0</v>
      </c>
      <c r="Z20" s="388"/>
      <c r="AA20" s="39"/>
      <c r="AB20" s="39"/>
      <c r="AC20" s="210">
        <f t="shared" si="13"/>
        <v>0</v>
      </c>
      <c r="AD20" s="178">
        <f>AC20/$AC$89</f>
        <v>0</v>
      </c>
      <c r="AE20" s="388"/>
      <c r="AF20" s="39"/>
      <c r="AG20" s="39"/>
      <c r="AH20" s="210">
        <f t="shared" si="14"/>
        <v>0</v>
      </c>
      <c r="AI20" s="178">
        <f t="shared" si="15"/>
        <v>0</v>
      </c>
      <c r="AJ20" s="388"/>
      <c r="AK20" s="39"/>
      <c r="AL20" s="39"/>
      <c r="AM20" s="210">
        <f t="shared" si="16"/>
        <v>0</v>
      </c>
      <c r="AN20" s="178">
        <f t="shared" si="22"/>
        <v>0</v>
      </c>
      <c r="AO20" s="388"/>
      <c r="AP20" s="39"/>
      <c r="AQ20" s="39"/>
      <c r="AR20" s="210">
        <f t="shared" si="17"/>
        <v>0</v>
      </c>
      <c r="AS20" s="178">
        <f t="shared" si="23"/>
        <v>0</v>
      </c>
      <c r="AT20" s="388"/>
      <c r="AU20" s="39">
        <f t="shared" si="6"/>
        <v>0</v>
      </c>
      <c r="AV20" s="39">
        <f t="shared" si="7"/>
        <v>0</v>
      </c>
      <c r="AW20" s="210">
        <f t="shared" si="18"/>
        <v>0</v>
      </c>
      <c r="AX20" s="178">
        <f t="shared" si="4"/>
        <v>0</v>
      </c>
      <c r="AY20" s="42"/>
      <c r="AZ20" s="452"/>
      <c r="BA20" s="452"/>
      <c r="BB20" s="453">
        <f t="shared" si="19"/>
        <v>0</v>
      </c>
      <c r="BC20" s="450" t="e">
        <f t="shared" si="20"/>
        <v>#DIV/0!</v>
      </c>
      <c r="BD20" s="842"/>
      <c r="BE20" s="842"/>
    </row>
    <row r="21" spans="1:57" s="2" customFormat="1" ht="69" customHeight="1" outlineLevel="2">
      <c r="A21" s="238"/>
      <c r="B21" s="7" t="s">
        <v>58</v>
      </c>
      <c r="C21" s="114">
        <v>628720</v>
      </c>
      <c r="D21" s="113"/>
      <c r="E21" s="106">
        <f t="shared" si="5"/>
        <v>628720</v>
      </c>
      <c r="F21" s="177">
        <f t="shared" si="0"/>
        <v>6.6718319527254488E-2</v>
      </c>
      <c r="G21" s="161">
        <f>174*393.7+4200+80530</f>
        <v>153233.79999999999</v>
      </c>
      <c r="H21" s="113"/>
      <c r="I21" s="41">
        <f t="shared" si="8"/>
        <v>153233.79999999999</v>
      </c>
      <c r="J21" s="178">
        <f t="shared" si="1"/>
        <v>0.3575524840966916</v>
      </c>
      <c r="K21" s="291" t="s">
        <v>380</v>
      </c>
      <c r="L21" s="39">
        <f>(213*393.7+105*409.71)+4480.01+951+14731.2</f>
        <v>147039.86000000002</v>
      </c>
      <c r="M21" s="39"/>
      <c r="N21" s="210">
        <f t="shared" si="9"/>
        <v>147039.86000000002</v>
      </c>
      <c r="O21" s="178">
        <f t="shared" si="2"/>
        <v>9.7831528116560457E-2</v>
      </c>
      <c r="P21" s="261" t="s">
        <v>523</v>
      </c>
      <c r="Q21" s="39">
        <f>17172+88583+91365+7800+11200+54746</f>
        <v>270866</v>
      </c>
      <c r="R21" s="39"/>
      <c r="S21" s="210">
        <f t="shared" si="10"/>
        <v>270866</v>
      </c>
      <c r="T21" s="178">
        <f t="shared" si="3"/>
        <v>0.31695967319492352</v>
      </c>
      <c r="U21" s="417" t="s">
        <v>591</v>
      </c>
      <c r="V21" s="39">
        <v>160937</v>
      </c>
      <c r="W21" s="39"/>
      <c r="X21" s="210">
        <f t="shared" si="11"/>
        <v>160937</v>
      </c>
      <c r="Y21" s="178">
        <f t="shared" si="12"/>
        <v>5.6294677596600402E-2</v>
      </c>
      <c r="Z21" s="388" t="s">
        <v>629</v>
      </c>
      <c r="AA21" s="39">
        <v>93306.9</v>
      </c>
      <c r="AB21" s="39"/>
      <c r="AC21" s="210">
        <f t="shared" si="13"/>
        <v>93306.9</v>
      </c>
      <c r="AD21" s="178">
        <f t="shared" si="21"/>
        <v>5.261263030281204E-2</v>
      </c>
      <c r="AE21" s="388" t="s">
        <v>735</v>
      </c>
      <c r="AF21" s="39"/>
      <c r="AG21" s="39"/>
      <c r="AH21" s="210">
        <f t="shared" si="14"/>
        <v>0</v>
      </c>
      <c r="AI21" s="178">
        <f t="shared" si="15"/>
        <v>0</v>
      </c>
      <c r="AJ21" s="388"/>
      <c r="AK21" s="39"/>
      <c r="AL21" s="39"/>
      <c r="AM21" s="210">
        <f t="shared" si="16"/>
        <v>0</v>
      </c>
      <c r="AN21" s="178">
        <f t="shared" si="22"/>
        <v>0</v>
      </c>
      <c r="AO21" s="388"/>
      <c r="AP21" s="39">
        <v>-206597.56000000006</v>
      </c>
      <c r="AQ21" s="39">
        <v>0</v>
      </c>
      <c r="AR21" s="210">
        <f t="shared" si="17"/>
        <v>-206597.56000000006</v>
      </c>
      <c r="AS21" s="178">
        <f t="shared" si="23"/>
        <v>-0.32827002463118898</v>
      </c>
      <c r="AT21" s="388"/>
      <c r="AU21" s="39">
        <f t="shared" si="6"/>
        <v>618786</v>
      </c>
      <c r="AV21" s="39">
        <f t="shared" si="7"/>
        <v>0</v>
      </c>
      <c r="AW21" s="210">
        <f t="shared" si="18"/>
        <v>618786</v>
      </c>
      <c r="AX21" s="178">
        <f t="shared" si="4"/>
        <v>6.5523252817203531E-2</v>
      </c>
      <c r="AY21" s="42"/>
      <c r="AZ21" s="452">
        <f>5600+68504+126878+179948+144549+93307</f>
        <v>618786</v>
      </c>
      <c r="BA21" s="452"/>
      <c r="BB21" s="453">
        <f t="shared" si="19"/>
        <v>618786</v>
      </c>
      <c r="BC21" s="450" t="e">
        <f t="shared" si="20"/>
        <v>#DIV/0!</v>
      </c>
      <c r="BD21" s="842"/>
      <c r="BE21" s="842"/>
    </row>
    <row r="22" spans="1:57" s="2" customFormat="1" ht="63.6" customHeight="1" outlineLevel="2">
      <c r="A22" s="238"/>
      <c r="B22" s="7" t="s">
        <v>621</v>
      </c>
      <c r="C22" s="114">
        <v>78606</v>
      </c>
      <c r="D22" s="445"/>
      <c r="E22" s="106">
        <f>C22+D22</f>
        <v>78606</v>
      </c>
      <c r="F22" s="177">
        <f t="shared" si="0"/>
        <v>8.3414878240860267E-3</v>
      </c>
      <c r="G22" s="448"/>
      <c r="H22" s="445"/>
      <c r="I22" s="449"/>
      <c r="J22" s="450"/>
      <c r="K22" s="451"/>
      <c r="L22" s="452"/>
      <c r="M22" s="452"/>
      <c r="N22" s="453"/>
      <c r="O22" s="450"/>
      <c r="P22" s="454"/>
      <c r="Q22" s="452"/>
      <c r="R22" s="452"/>
      <c r="S22" s="453"/>
      <c r="T22" s="178">
        <f t="shared" si="3"/>
        <v>0</v>
      </c>
      <c r="U22" s="455"/>
      <c r="V22" s="452">
        <v>49033</v>
      </c>
      <c r="W22" s="452">
        <v>500</v>
      </c>
      <c r="X22" s="210">
        <f t="shared" si="11"/>
        <v>49533</v>
      </c>
      <c r="Y22" s="178">
        <f t="shared" si="12"/>
        <v>1.7326309458933667E-2</v>
      </c>
      <c r="Z22" s="388" t="s">
        <v>644</v>
      </c>
      <c r="AA22" s="452">
        <f>52751.73*1.2</f>
        <v>63302.076000000001</v>
      </c>
      <c r="AB22" s="452"/>
      <c r="AC22" s="210">
        <f t="shared" si="13"/>
        <v>63302.076000000001</v>
      </c>
      <c r="AD22" s="178">
        <f t="shared" si="21"/>
        <v>3.5693916762731488E-2</v>
      </c>
      <c r="AE22" s="388" t="s">
        <v>737</v>
      </c>
      <c r="AF22" s="452">
        <f>11200+10229+4480</f>
        <v>25909</v>
      </c>
      <c r="AG22" s="452"/>
      <c r="AH22" s="210">
        <f t="shared" si="14"/>
        <v>25909</v>
      </c>
      <c r="AI22" s="178">
        <f t="shared" si="15"/>
        <v>4.1167708215767276E-2</v>
      </c>
      <c r="AJ22" s="388" t="s">
        <v>799</v>
      </c>
      <c r="AK22" s="452">
        <f>13533.33*1.2</f>
        <v>16239.995999999999</v>
      </c>
      <c r="AL22" s="452"/>
      <c r="AM22" s="210">
        <f t="shared" si="16"/>
        <v>16239.995999999999</v>
      </c>
      <c r="AN22" s="178">
        <f t="shared" si="22"/>
        <v>2.580429259150209E-2</v>
      </c>
      <c r="AO22" s="388" t="s">
        <v>862</v>
      </c>
      <c r="AP22" s="452">
        <v>341522.02799999999</v>
      </c>
      <c r="AQ22" s="452">
        <v>0</v>
      </c>
      <c r="AR22" s="210">
        <f t="shared" si="17"/>
        <v>341522.02799999999</v>
      </c>
      <c r="AS22" s="178">
        <f t="shared" si="23"/>
        <v>0.54265618889038947</v>
      </c>
      <c r="AT22" s="388"/>
      <c r="AU22" s="39">
        <f t="shared" si="6"/>
        <v>496006.1</v>
      </c>
      <c r="AV22" s="39">
        <f t="shared" si="7"/>
        <v>500</v>
      </c>
      <c r="AW22" s="210">
        <f>AU22+AV22*1</f>
        <v>496506.1</v>
      </c>
      <c r="AX22" s="178">
        <f t="shared" si="4"/>
        <v>5.2575033558586878E-2</v>
      </c>
      <c r="AY22" s="456"/>
      <c r="AZ22" s="452">
        <v>496006.1</v>
      </c>
      <c r="BA22" s="452">
        <v>500</v>
      </c>
      <c r="BB22" s="453">
        <f t="shared" si="19"/>
        <v>496506.1</v>
      </c>
      <c r="BC22" s="450" t="e">
        <f t="shared" si="20"/>
        <v>#DIV/0!</v>
      </c>
      <c r="BD22" s="842"/>
      <c r="BE22" s="842"/>
    </row>
    <row r="23" spans="1:57" s="2" customFormat="1" ht="37.950000000000003" customHeight="1" outlineLevel="2">
      <c r="A23" s="238"/>
      <c r="B23" s="471" t="s">
        <v>630</v>
      </c>
      <c r="C23" s="114"/>
      <c r="D23" s="445"/>
      <c r="E23" s="446"/>
      <c r="F23" s="447"/>
      <c r="G23" s="448"/>
      <c r="H23" s="445"/>
      <c r="I23" s="449"/>
      <c r="J23" s="450"/>
      <c r="K23" s="451"/>
      <c r="L23" s="452"/>
      <c r="M23" s="452"/>
      <c r="N23" s="453"/>
      <c r="O23" s="450"/>
      <c r="P23" s="454"/>
      <c r="Q23" s="452"/>
      <c r="R23" s="452"/>
      <c r="S23" s="453"/>
      <c r="T23" s="450"/>
      <c r="U23" s="455"/>
      <c r="V23" s="452">
        <v>6600</v>
      </c>
      <c r="W23" s="452"/>
      <c r="X23" s="210">
        <f>V23+W23*1</f>
        <v>6600</v>
      </c>
      <c r="Y23" s="178">
        <f t="shared" si="12"/>
        <v>2.3086355041883632E-3</v>
      </c>
      <c r="Z23" s="388"/>
      <c r="AA23" s="452"/>
      <c r="AB23" s="452"/>
      <c r="AC23" s="210">
        <f t="shared" si="13"/>
        <v>0</v>
      </c>
      <c r="AD23" s="178">
        <f t="shared" si="21"/>
        <v>0</v>
      </c>
      <c r="AE23" s="388"/>
      <c r="AF23" s="452">
        <f>3080+1745</f>
        <v>4825</v>
      </c>
      <c r="AG23" s="452"/>
      <c r="AH23" s="210">
        <f t="shared" si="14"/>
        <v>4825</v>
      </c>
      <c r="AI23" s="178">
        <f t="shared" si="15"/>
        <v>7.6666097549529929E-3</v>
      </c>
      <c r="AJ23" s="388"/>
      <c r="AK23" s="452"/>
      <c r="AL23" s="452"/>
      <c r="AM23" s="210">
        <f t="shared" si="16"/>
        <v>0</v>
      </c>
      <c r="AN23" s="178">
        <f t="shared" si="22"/>
        <v>0</v>
      </c>
      <c r="AO23" s="388"/>
      <c r="AP23" s="452">
        <v>-3520</v>
      </c>
      <c r="AQ23" s="452">
        <v>0</v>
      </c>
      <c r="AR23" s="210">
        <f t="shared" si="17"/>
        <v>-3520</v>
      </c>
      <c r="AS23" s="178">
        <f t="shared" si="23"/>
        <v>-5.5930500181211474E-3</v>
      </c>
      <c r="AT23" s="388"/>
      <c r="AU23" s="39">
        <f t="shared" si="6"/>
        <v>7905</v>
      </c>
      <c r="AV23" s="39">
        <f t="shared" si="7"/>
        <v>0</v>
      </c>
      <c r="AW23" s="210">
        <f>AU23+AV23*1</f>
        <v>7905</v>
      </c>
      <c r="AX23" s="450"/>
      <c r="AY23" s="456"/>
      <c r="AZ23" s="452">
        <f>3080+3080+1745</f>
        <v>7905</v>
      </c>
      <c r="BA23" s="452"/>
      <c r="BB23" s="453">
        <f t="shared" si="19"/>
        <v>7905</v>
      </c>
      <c r="BC23" s="450" t="e">
        <f t="shared" si="20"/>
        <v>#DIV/0!</v>
      </c>
      <c r="BD23" s="842"/>
      <c r="BE23" s="842"/>
    </row>
    <row r="24" spans="1:57" s="2" customFormat="1" ht="57.6" customHeight="1" outlineLevel="2">
      <c r="A24" s="238"/>
      <c r="B24" s="7" t="s">
        <v>23</v>
      </c>
      <c r="C24" s="114">
        <f>30000+126827</f>
        <v>156827</v>
      </c>
      <c r="D24" s="113"/>
      <c r="E24" s="106">
        <f t="shared" si="5"/>
        <v>156827</v>
      </c>
      <c r="F24" s="177">
        <f t="shared" ref="F24:F33" si="24">E24/$E$89</f>
        <v>1.6642120334172193E-2</v>
      </c>
      <c r="G24" s="161">
        <f>34000+29000+300+920+951</f>
        <v>65171</v>
      </c>
      <c r="H24" s="113"/>
      <c r="I24" s="41">
        <f t="shared" si="8"/>
        <v>65171</v>
      </c>
      <c r="J24" s="178">
        <f t="shared" ref="J24:J55" si="25">I24/$I$89</f>
        <v>0.15206862285648132</v>
      </c>
      <c r="K24" s="291" t="s">
        <v>382</v>
      </c>
      <c r="L24" s="39">
        <f>24000</f>
        <v>24000</v>
      </c>
      <c r="M24" s="39"/>
      <c r="N24" s="210">
        <f t="shared" si="9"/>
        <v>24000</v>
      </c>
      <c r="O24" s="178">
        <f t="shared" ref="O24:O33" si="26">N24/$N$89</f>
        <v>1.5968164515373251E-2</v>
      </c>
      <c r="P24" s="42" t="s">
        <v>522</v>
      </c>
      <c r="Q24" s="39">
        <f>780+1500+3200+4800</f>
        <v>10280</v>
      </c>
      <c r="R24" s="39"/>
      <c r="S24" s="210">
        <f t="shared" si="10"/>
        <v>10280</v>
      </c>
      <c r="T24" s="178">
        <f t="shared" ref="T24:T33" si="27">S24/$S$89</f>
        <v>1.2029363007700538E-2</v>
      </c>
      <c r="U24" s="417" t="s">
        <v>592</v>
      </c>
      <c r="V24" s="39">
        <v>8466.66</v>
      </c>
      <c r="W24" s="452">
        <v>300</v>
      </c>
      <c r="X24" s="210">
        <f t="shared" ref="X24:X33" si="28">V24+W24*1</f>
        <v>8766.66</v>
      </c>
      <c r="Y24" s="178">
        <f t="shared" si="12"/>
        <v>3.066518565022418E-3</v>
      </c>
      <c r="Z24" s="388" t="s">
        <v>646</v>
      </c>
      <c r="AA24" s="39"/>
      <c r="AB24" s="452"/>
      <c r="AC24" s="210">
        <f t="shared" si="13"/>
        <v>0</v>
      </c>
      <c r="AD24" s="178">
        <f t="shared" si="21"/>
        <v>0</v>
      </c>
      <c r="AE24" s="388"/>
      <c r="AF24" s="39">
        <v>1166</v>
      </c>
      <c r="AG24" s="452"/>
      <c r="AH24" s="210">
        <f t="shared" si="14"/>
        <v>1166</v>
      </c>
      <c r="AI24" s="178">
        <f t="shared" si="15"/>
        <v>1.85269781850263E-3</v>
      </c>
      <c r="AJ24" s="388"/>
      <c r="AK24" s="39"/>
      <c r="AL24" s="452"/>
      <c r="AM24" s="210">
        <f t="shared" si="16"/>
        <v>0</v>
      </c>
      <c r="AN24" s="178">
        <f t="shared" si="22"/>
        <v>0</v>
      </c>
      <c r="AO24" s="388"/>
      <c r="AP24" s="39">
        <v>12004.335999999996</v>
      </c>
      <c r="AQ24" s="452">
        <v>280</v>
      </c>
      <c r="AR24" s="210">
        <f t="shared" si="17"/>
        <v>12284.335999999996</v>
      </c>
      <c r="AS24" s="178">
        <f t="shared" si="23"/>
        <v>1.951900729755859E-2</v>
      </c>
      <c r="AT24" s="388"/>
      <c r="AU24" s="39">
        <f t="shared" si="6"/>
        <v>121087.996</v>
      </c>
      <c r="AV24" s="39">
        <f t="shared" si="7"/>
        <v>580</v>
      </c>
      <c r="AW24" s="210">
        <f t="shared" si="18"/>
        <v>121667.996</v>
      </c>
      <c r="AX24" s="178">
        <f t="shared" si="4"/>
        <v>1.2883424740815901E-2</v>
      </c>
      <c r="AY24" s="42"/>
      <c r="AZ24" s="452">
        <f>(15000+13333.33+19166.67+5000+250+792.5+250+250+20000+792.5+650+250+666.67+250+2000+250+250+250+3000+1000+250+650+583.33+250+3333.33+1500+250+250+250+1500+250+1000)*1.2+240+920+6600+1166</f>
        <v>121087.996</v>
      </c>
      <c r="BA24" s="452">
        <v>580</v>
      </c>
      <c r="BB24" s="453">
        <f>AZ24+BA24*1</f>
        <v>121667.996</v>
      </c>
      <c r="BC24" s="450" t="e">
        <f>BB24/$F$89</f>
        <v>#DIV/0!</v>
      </c>
      <c r="BD24" s="842"/>
      <c r="BE24" s="842"/>
    </row>
    <row r="25" spans="1:57" s="2" customFormat="1" ht="53.4" customHeight="1" outlineLevel="2">
      <c r="A25" s="238"/>
      <c r="B25" s="7" t="s">
        <v>24</v>
      </c>
      <c r="C25" s="114">
        <v>235864</v>
      </c>
      <c r="D25" s="113"/>
      <c r="E25" s="106">
        <f t="shared" si="5"/>
        <v>235864</v>
      </c>
      <c r="F25" s="177">
        <f t="shared" si="24"/>
        <v>2.5029344886398325E-2</v>
      </c>
      <c r="G25" s="161"/>
      <c r="H25" s="113">
        <v>4010</v>
      </c>
      <c r="I25" s="41">
        <f t="shared" si="8"/>
        <v>4010</v>
      </c>
      <c r="J25" s="178">
        <f t="shared" si="25"/>
        <v>9.3568485623128413E-3</v>
      </c>
      <c r="K25" s="366" t="s">
        <v>374</v>
      </c>
      <c r="L25" s="39"/>
      <c r="M25" s="39">
        <v>2350</v>
      </c>
      <c r="N25" s="210">
        <f t="shared" si="9"/>
        <v>2350</v>
      </c>
      <c r="O25" s="178">
        <f t="shared" si="26"/>
        <v>1.5635494421302977E-3</v>
      </c>
      <c r="P25" s="261" t="s">
        <v>481</v>
      </c>
      <c r="Q25" s="39"/>
      <c r="R25" s="39">
        <v>567</v>
      </c>
      <c r="S25" s="210">
        <f t="shared" si="10"/>
        <v>567</v>
      </c>
      <c r="T25" s="178">
        <f t="shared" si="27"/>
        <v>6.634872398216153E-4</v>
      </c>
      <c r="U25" s="417" t="s">
        <v>620</v>
      </c>
      <c r="V25" s="39">
        <f>19204.36*1.2</f>
        <v>23045.232</v>
      </c>
      <c r="W25" s="39">
        <v>125</v>
      </c>
      <c r="X25" s="210">
        <f t="shared" si="28"/>
        <v>23170.232</v>
      </c>
      <c r="Y25" s="178">
        <f t="shared" si="12"/>
        <v>8.1047909447699018E-3</v>
      </c>
      <c r="Z25" s="388" t="s">
        <v>643</v>
      </c>
      <c r="AA25" s="39">
        <f>25197.48*1.2</f>
        <v>30236.975999999999</v>
      </c>
      <c r="AB25" s="39">
        <v>1247</v>
      </c>
      <c r="AC25" s="210">
        <f t="shared" si="13"/>
        <v>31483.975999999999</v>
      </c>
      <c r="AD25" s="178">
        <f>AC25/$AC$89</f>
        <v>1.7752757724783557E-2</v>
      </c>
      <c r="AE25" s="388" t="s">
        <v>733</v>
      </c>
      <c r="AF25" s="39">
        <f>10153.89*1.2</f>
        <v>12184.668</v>
      </c>
      <c r="AG25" s="39">
        <v>1290</v>
      </c>
      <c r="AH25" s="210">
        <f t="shared" si="14"/>
        <v>13474.668</v>
      </c>
      <c r="AI25" s="178">
        <f t="shared" si="15"/>
        <v>2.1410367074311491E-2</v>
      </c>
      <c r="AJ25" s="388"/>
      <c r="AK25" s="39">
        <f>22102.82*1.2</f>
        <v>26523.383999999998</v>
      </c>
      <c r="AL25" s="39">
        <v>1200</v>
      </c>
      <c r="AM25" s="210">
        <f t="shared" si="16"/>
        <v>27723.383999999998</v>
      </c>
      <c r="AN25" s="178">
        <f t="shared" si="22"/>
        <v>4.4050645847607817E-2</v>
      </c>
      <c r="AO25" s="388"/>
      <c r="AP25" s="39">
        <v>-26791.643999999993</v>
      </c>
      <c r="AQ25" s="39">
        <v>0</v>
      </c>
      <c r="AR25" s="210">
        <f t="shared" si="17"/>
        <v>-26791.643999999993</v>
      </c>
      <c r="AS25" s="178">
        <f t="shared" si="23"/>
        <v>-4.2570171863549798E-2</v>
      </c>
      <c r="AT25" s="388"/>
      <c r="AU25" s="39">
        <f t="shared" si="6"/>
        <v>65198.616000000002</v>
      </c>
      <c r="AV25" s="39">
        <f t="shared" si="7"/>
        <v>10789</v>
      </c>
      <c r="AW25" s="210">
        <f t="shared" si="18"/>
        <v>75987.616000000009</v>
      </c>
      <c r="AX25" s="178">
        <f t="shared" si="4"/>
        <v>8.0463290606842767E-3</v>
      </c>
      <c r="AY25" s="42"/>
      <c r="AZ25" s="452">
        <f>76658.55*1.2-268.26-(22102.82*1.2)</f>
        <v>65198.616000000002</v>
      </c>
      <c r="BA25" s="452">
        <v>10789</v>
      </c>
      <c r="BB25" s="453">
        <f>AZ25+BA25*1</f>
        <v>75987.616000000009</v>
      </c>
      <c r="BC25" s="450" t="e">
        <f>BB25/$F$89</f>
        <v>#DIV/0!</v>
      </c>
      <c r="BD25" s="842"/>
      <c r="BE25" s="842"/>
    </row>
    <row r="26" spans="1:57" s="2" customFormat="1" ht="60" customHeight="1" outlineLevel="2">
      <c r="A26" s="238"/>
      <c r="B26" s="7" t="s">
        <v>45</v>
      </c>
      <c r="C26" s="114">
        <v>4272858</v>
      </c>
      <c r="D26" s="113"/>
      <c r="E26" s="106">
        <f t="shared" si="5"/>
        <v>4272858</v>
      </c>
      <c r="F26" s="177">
        <f t="shared" si="24"/>
        <v>0.45342585783589767</v>
      </c>
      <c r="G26" s="161"/>
      <c r="H26" s="113"/>
      <c r="I26" s="41">
        <f t="shared" si="8"/>
        <v>0</v>
      </c>
      <c r="J26" s="178">
        <f t="shared" si="25"/>
        <v>0</v>
      </c>
      <c r="K26" s="291"/>
      <c r="L26" s="39">
        <f>(109994.7+214001.41+203218.46)*1.2</f>
        <v>632657.48399999994</v>
      </c>
      <c r="M26" s="39"/>
      <c r="N26" s="210">
        <f t="shared" si="9"/>
        <v>632657.48399999994</v>
      </c>
      <c r="O26" s="178">
        <f t="shared" si="26"/>
        <v>0.42093244943308833</v>
      </c>
      <c r="P26" s="42"/>
      <c r="Q26" s="39"/>
      <c r="R26" s="39"/>
      <c r="S26" s="210">
        <f t="shared" si="10"/>
        <v>0</v>
      </c>
      <c r="T26" s="178">
        <f t="shared" si="27"/>
        <v>0</v>
      </c>
      <c r="U26" s="402"/>
      <c r="V26" s="39">
        <f>(2719775.56-422472.93-271317.25-13852.47-298651.13)*1.2</f>
        <v>2056178.1359999997</v>
      </c>
      <c r="W26" s="39"/>
      <c r="X26" s="210">
        <f t="shared" si="28"/>
        <v>2056178.1359999997</v>
      </c>
      <c r="Y26" s="178">
        <f t="shared" si="12"/>
        <v>0.7192372496523407</v>
      </c>
      <c r="Z26" s="388"/>
      <c r="AA26" s="39">
        <f>(1099514.75-385947.82)*1.2</f>
        <v>856280.31599999988</v>
      </c>
      <c r="AB26" s="39"/>
      <c r="AC26" s="210">
        <f t="shared" si="13"/>
        <v>856280.31599999988</v>
      </c>
      <c r="AD26" s="178">
        <f t="shared" si="21"/>
        <v>0.48282774051311389</v>
      </c>
      <c r="AE26" s="388"/>
      <c r="AF26" s="39">
        <f>198575.24*1.2</f>
        <v>238290.28799999997</v>
      </c>
      <c r="AG26" s="39">
        <v>5085</v>
      </c>
      <c r="AH26" s="210">
        <f t="shared" si="14"/>
        <v>243375.28799999997</v>
      </c>
      <c r="AI26" s="178">
        <f>AH26/$AH$89</f>
        <v>0.38670743152234072</v>
      </c>
      <c r="AJ26" s="388"/>
      <c r="AK26" s="39">
        <f>585197.09*1.2</f>
        <v>702236.50799999991</v>
      </c>
      <c r="AL26" s="39"/>
      <c r="AM26" s="210">
        <f t="shared" si="16"/>
        <v>702236.50799999991</v>
      </c>
      <c r="AN26" s="178">
        <f>AM26/$AH$89</f>
        <v>1.1158079300553212</v>
      </c>
      <c r="AO26" s="388"/>
      <c r="AP26" s="39">
        <v>-234881.51199999917</v>
      </c>
      <c r="AQ26" s="39">
        <v>0</v>
      </c>
      <c r="AR26" s="210">
        <f t="shared" si="17"/>
        <v>-234881.51199999917</v>
      </c>
      <c r="AS26" s="178">
        <f>AR26/$AH$89</f>
        <v>-0.37321137640565849</v>
      </c>
      <c r="AT26" s="388"/>
      <c r="AU26" s="39">
        <f t="shared" si="6"/>
        <v>4250761.2200000007</v>
      </c>
      <c r="AV26" s="39">
        <f t="shared" si="7"/>
        <v>5085</v>
      </c>
      <c r="AW26" s="210">
        <f t="shared" si="18"/>
        <v>4255846.2200000007</v>
      </c>
      <c r="AX26" s="178">
        <f t="shared" si="4"/>
        <v>0.45065157877553802</v>
      </c>
      <c r="AY26" s="42"/>
      <c r="AZ26" s="452">
        <f>(5453199.69-1914155.09)*1.2-720+4627.7</f>
        <v>4250761.2200000007</v>
      </c>
      <c r="BA26" s="452">
        <v>5085</v>
      </c>
      <c r="BB26" s="453">
        <f t="shared" si="19"/>
        <v>4255846.2200000007</v>
      </c>
      <c r="BC26" s="450" t="e">
        <f t="shared" si="20"/>
        <v>#DIV/0!</v>
      </c>
      <c r="BD26" s="842"/>
      <c r="BE26" s="842"/>
    </row>
    <row r="27" spans="1:57" s="2" customFormat="1" ht="32.4" customHeight="1" outlineLevel="2">
      <c r="A27" s="238"/>
      <c r="B27" s="7" t="s">
        <v>25</v>
      </c>
      <c r="C27" s="114">
        <v>12000</v>
      </c>
      <c r="D27" s="113"/>
      <c r="E27" s="106">
        <f t="shared" si="5"/>
        <v>12000</v>
      </c>
      <c r="F27" s="177">
        <f t="shared" si="24"/>
        <v>1.2734123844112704E-3</v>
      </c>
      <c r="G27" s="161">
        <v>3214</v>
      </c>
      <c r="H27" s="113"/>
      <c r="I27" s="41">
        <f t="shared" si="8"/>
        <v>3214</v>
      </c>
      <c r="J27" s="178">
        <f t="shared" si="25"/>
        <v>7.4994791220133342E-3</v>
      </c>
      <c r="K27" s="291" t="s">
        <v>384</v>
      </c>
      <c r="L27" s="39"/>
      <c r="M27" s="39"/>
      <c r="N27" s="210">
        <f t="shared" si="9"/>
        <v>0</v>
      </c>
      <c r="O27" s="178">
        <f t="shared" si="26"/>
        <v>0</v>
      </c>
      <c r="P27" s="42"/>
      <c r="Q27" s="39"/>
      <c r="R27" s="39"/>
      <c r="S27" s="210">
        <f t="shared" si="10"/>
        <v>0</v>
      </c>
      <c r="T27" s="178">
        <f t="shared" si="27"/>
        <v>0</v>
      </c>
      <c r="U27" s="402"/>
      <c r="V27" s="39"/>
      <c r="W27" s="39"/>
      <c r="X27" s="210">
        <f t="shared" si="28"/>
        <v>0</v>
      </c>
      <c r="Y27" s="178">
        <f t="shared" si="12"/>
        <v>0</v>
      </c>
      <c r="Z27" s="388"/>
      <c r="AA27" s="39">
        <f>1750*1.2</f>
        <v>2100</v>
      </c>
      <c r="AB27" s="39"/>
      <c r="AC27" s="210">
        <f t="shared" si="13"/>
        <v>2100</v>
      </c>
      <c r="AD27" s="178">
        <f t="shared" si="21"/>
        <v>1.1841195413833843E-3</v>
      </c>
      <c r="AE27" s="388" t="s">
        <v>739</v>
      </c>
      <c r="AF27" s="39"/>
      <c r="AG27" s="39"/>
      <c r="AH27" s="210">
        <f t="shared" si="14"/>
        <v>0</v>
      </c>
      <c r="AI27" s="178">
        <f t="shared" si="15"/>
        <v>0</v>
      </c>
      <c r="AJ27" s="388"/>
      <c r="AK27" s="39"/>
      <c r="AL27" s="39"/>
      <c r="AM27" s="210">
        <f t="shared" si="16"/>
        <v>0</v>
      </c>
      <c r="AN27" s="178">
        <f t="shared" ref="AN27:AN33" si="29">AM27/$AH$89</f>
        <v>0</v>
      </c>
      <c r="AO27" s="388"/>
      <c r="AP27" s="39">
        <v>0</v>
      </c>
      <c r="AQ27" s="39">
        <v>0</v>
      </c>
      <c r="AR27" s="210">
        <f t="shared" si="17"/>
        <v>0</v>
      </c>
      <c r="AS27" s="178">
        <f t="shared" ref="AS27:AS33" si="30">AR27/$AH$89</f>
        <v>0</v>
      </c>
      <c r="AT27" s="388"/>
      <c r="AU27" s="39">
        <f t="shared" si="6"/>
        <v>5314</v>
      </c>
      <c r="AV27" s="39">
        <f t="shared" si="7"/>
        <v>0</v>
      </c>
      <c r="AW27" s="210">
        <f t="shared" si="18"/>
        <v>5314</v>
      </c>
      <c r="AX27" s="178">
        <f t="shared" si="4"/>
        <v>5.6269948814391337E-4</v>
      </c>
      <c r="AY27" s="42"/>
      <c r="AZ27" s="452">
        <f>2100+3214</f>
        <v>5314</v>
      </c>
      <c r="BA27" s="452"/>
      <c r="BB27" s="453">
        <f t="shared" si="19"/>
        <v>5314</v>
      </c>
      <c r="BC27" s="450" t="e">
        <f t="shared" si="20"/>
        <v>#DIV/0!</v>
      </c>
      <c r="BD27" s="842"/>
      <c r="BE27" s="842"/>
    </row>
    <row r="28" spans="1:57" s="226" customFormat="1" ht="56.4" customHeight="1" outlineLevel="2">
      <c r="A28" s="238"/>
      <c r="B28" s="262" t="s">
        <v>52</v>
      </c>
      <c r="C28" s="114">
        <v>145450</v>
      </c>
      <c r="D28" s="113"/>
      <c r="E28" s="106">
        <f t="shared" si="5"/>
        <v>145450</v>
      </c>
      <c r="F28" s="177">
        <f t="shared" si="24"/>
        <v>1.5434819276051606E-2</v>
      </c>
      <c r="G28" s="161">
        <f>700+240</f>
        <v>940</v>
      </c>
      <c r="H28" s="113">
        <v>1700</v>
      </c>
      <c r="I28" s="41">
        <f t="shared" si="8"/>
        <v>2640</v>
      </c>
      <c r="J28" s="178">
        <f t="shared" si="25"/>
        <v>6.1601197517471068E-3</v>
      </c>
      <c r="K28" s="291" t="s">
        <v>381</v>
      </c>
      <c r="L28" s="39">
        <f>3062</f>
        <v>3062</v>
      </c>
      <c r="M28" s="39">
        <v>950</v>
      </c>
      <c r="N28" s="210">
        <f t="shared" si="9"/>
        <v>4012</v>
      </c>
      <c r="O28" s="178">
        <f t="shared" si="26"/>
        <v>2.6693448348198952E-3</v>
      </c>
      <c r="P28" s="291" t="s">
        <v>525</v>
      </c>
      <c r="Q28" s="39">
        <v>1800</v>
      </c>
      <c r="R28" s="39">
        <v>213.95</v>
      </c>
      <c r="S28" s="210">
        <f t="shared" si="10"/>
        <v>2013.95</v>
      </c>
      <c r="T28" s="178">
        <f t="shared" si="27"/>
        <v>2.356666890015418E-3</v>
      </c>
      <c r="U28" s="417" t="s">
        <v>619</v>
      </c>
      <c r="V28" s="39">
        <f>1500*1.2+5235</f>
        <v>7035</v>
      </c>
      <c r="W28" s="39">
        <v>90</v>
      </c>
      <c r="X28" s="210">
        <f t="shared" si="28"/>
        <v>7125</v>
      </c>
      <c r="Y28" s="178">
        <f t="shared" si="12"/>
        <v>2.4922769647488015E-3</v>
      </c>
      <c r="Z28" s="388" t="s">
        <v>645</v>
      </c>
      <c r="AA28" s="39">
        <f>300*1.2+1476*1.2+5599.94*1.2</f>
        <v>8851.1279999999988</v>
      </c>
      <c r="AB28" s="39"/>
      <c r="AC28" s="210">
        <f t="shared" si="13"/>
        <v>8851.1279999999988</v>
      </c>
      <c r="AD28" s="178">
        <f t="shared" si="21"/>
        <v>4.9908541086122046E-3</v>
      </c>
      <c r="AE28" s="388" t="s">
        <v>742</v>
      </c>
      <c r="AF28" s="39">
        <f>2176.27+761+216</f>
        <v>3153.27</v>
      </c>
      <c r="AG28" s="39"/>
      <c r="AH28" s="210">
        <f t="shared" si="14"/>
        <v>3153.27</v>
      </c>
      <c r="AI28" s="178">
        <f t="shared" si="15"/>
        <v>5.0103400087047924E-3</v>
      </c>
      <c r="AJ28" s="388" t="s">
        <v>800</v>
      </c>
      <c r="AK28" s="39">
        <f>30*108.33</f>
        <v>3249.9</v>
      </c>
      <c r="AL28" s="39"/>
      <c r="AM28" s="210">
        <f t="shared" si="16"/>
        <v>3249.9</v>
      </c>
      <c r="AN28" s="178">
        <f t="shared" si="29"/>
        <v>5.1638787653102034E-3</v>
      </c>
      <c r="AO28" s="388" t="s">
        <v>865</v>
      </c>
      <c r="AP28" s="39">
        <v>-4290.7279999999992</v>
      </c>
      <c r="AQ28" s="39">
        <v>0</v>
      </c>
      <c r="AR28" s="210">
        <f t="shared" si="17"/>
        <v>-4290.7279999999992</v>
      </c>
      <c r="AS28" s="178">
        <f t="shared" si="30"/>
        <v>-6.8176864540207133E-3</v>
      </c>
      <c r="AT28" s="388"/>
      <c r="AU28" s="39">
        <f t="shared" si="6"/>
        <v>23800.57</v>
      </c>
      <c r="AV28" s="39">
        <f t="shared" si="7"/>
        <v>2953.95</v>
      </c>
      <c r="AW28" s="210">
        <f t="shared" si="18"/>
        <v>26754.52</v>
      </c>
      <c r="AX28" s="178">
        <f t="shared" si="4"/>
        <v>2.8330362644968187E-3</v>
      </c>
      <c r="AY28" s="42"/>
      <c r="AZ28" s="452">
        <f>885+7897+(2166*1.2)+2814+6716.57+2176+712.8</f>
        <v>23800.57</v>
      </c>
      <c r="BA28" s="452">
        <f>99.95+114+1200+50+450+950+90</f>
        <v>2953.95</v>
      </c>
      <c r="BB28" s="453">
        <f t="shared" si="19"/>
        <v>26754.52</v>
      </c>
      <c r="BC28" s="450" t="e">
        <f t="shared" si="20"/>
        <v>#DIV/0!</v>
      </c>
      <c r="BD28" s="842"/>
      <c r="BE28" s="842"/>
    </row>
    <row r="29" spans="1:57" s="2" customFormat="1" ht="37.950000000000003" customHeight="1" outlineLevel="2">
      <c r="A29" s="238"/>
      <c r="B29" s="262" t="s">
        <v>31</v>
      </c>
      <c r="C29" s="114">
        <v>0</v>
      </c>
      <c r="D29" s="113">
        <v>177330</v>
      </c>
      <c r="E29" s="106">
        <f t="shared" si="5"/>
        <v>177330</v>
      </c>
      <c r="F29" s="178">
        <f t="shared" si="24"/>
        <v>1.881785151063755E-2</v>
      </c>
      <c r="G29" s="161"/>
      <c r="H29" s="113">
        <f>22400+1500</f>
        <v>23900</v>
      </c>
      <c r="I29" s="41">
        <f t="shared" si="8"/>
        <v>23900</v>
      </c>
      <c r="J29" s="178">
        <f t="shared" si="25"/>
        <v>5.5767750782862065E-2</v>
      </c>
      <c r="K29" s="291" t="s">
        <v>379</v>
      </c>
      <c r="L29" s="39">
        <v>800</v>
      </c>
      <c r="M29" s="39">
        <v>16200</v>
      </c>
      <c r="N29" s="210">
        <f t="shared" si="9"/>
        <v>17000</v>
      </c>
      <c r="O29" s="178">
        <f t="shared" si="26"/>
        <v>1.1310783198389388E-2</v>
      </c>
      <c r="P29" s="389" t="s">
        <v>479</v>
      </c>
      <c r="Q29" s="39"/>
      <c r="R29" s="39">
        <v>16800</v>
      </c>
      <c r="S29" s="210">
        <f t="shared" si="10"/>
        <v>16800</v>
      </c>
      <c r="T29" s="178">
        <f t="shared" si="27"/>
        <v>1.9658881179899709E-2</v>
      </c>
      <c r="U29" s="439" t="s">
        <v>579</v>
      </c>
      <c r="V29" s="39">
        <v>5000</v>
      </c>
      <c r="W29" s="39">
        <v>12000</v>
      </c>
      <c r="X29" s="210">
        <f t="shared" si="28"/>
        <v>17000</v>
      </c>
      <c r="Y29" s="178">
        <f t="shared" si="12"/>
        <v>5.9464853895760872E-3</v>
      </c>
      <c r="Z29" s="388" t="s">
        <v>627</v>
      </c>
      <c r="AA29" s="39">
        <v>7100</v>
      </c>
      <c r="AB29" s="39">
        <v>2100</v>
      </c>
      <c r="AC29" s="210">
        <f t="shared" si="13"/>
        <v>9200</v>
      </c>
      <c r="AD29" s="178">
        <f t="shared" si="21"/>
        <v>5.1875713241557779E-3</v>
      </c>
      <c r="AE29" s="388" t="s">
        <v>729</v>
      </c>
      <c r="AF29" s="39"/>
      <c r="AG29" s="39"/>
      <c r="AH29" s="210">
        <f t="shared" si="14"/>
        <v>0</v>
      </c>
      <c r="AI29" s="178">
        <f t="shared" si="15"/>
        <v>0</v>
      </c>
      <c r="AJ29" s="388"/>
      <c r="AK29" s="39"/>
      <c r="AL29" s="39"/>
      <c r="AM29" s="210">
        <f t="shared" si="16"/>
        <v>0</v>
      </c>
      <c r="AN29" s="178">
        <f t="shared" si="29"/>
        <v>0</v>
      </c>
      <c r="AO29" s="388"/>
      <c r="AP29" s="39">
        <v>-800</v>
      </c>
      <c r="AQ29" s="39">
        <v>1200</v>
      </c>
      <c r="AR29" s="210">
        <f t="shared" si="17"/>
        <v>400</v>
      </c>
      <c r="AS29" s="178">
        <f t="shared" si="30"/>
        <v>6.3557386569558494E-4</v>
      </c>
      <c r="AT29" s="388"/>
      <c r="AU29" s="39">
        <f t="shared" si="6"/>
        <v>12100</v>
      </c>
      <c r="AV29" s="39">
        <f t="shared" si="7"/>
        <v>72200</v>
      </c>
      <c r="AW29" s="210">
        <f t="shared" si="18"/>
        <v>84300</v>
      </c>
      <c r="AX29" s="178">
        <f t="shared" si="4"/>
        <v>8.9265274464681785E-3</v>
      </c>
      <c r="AY29" s="79"/>
      <c r="AZ29" s="452">
        <f>13100-400-400-200</f>
        <v>12100</v>
      </c>
      <c r="BA29" s="452">
        <v>72200</v>
      </c>
      <c r="BB29" s="453">
        <f t="shared" si="19"/>
        <v>84300</v>
      </c>
      <c r="BC29" s="450" t="e">
        <f t="shared" si="20"/>
        <v>#DIV/0!</v>
      </c>
      <c r="BD29" s="842"/>
      <c r="BE29" s="842"/>
    </row>
    <row r="30" spans="1:57" s="2" customFormat="1" ht="59.4" customHeight="1" outlineLevel="2">
      <c r="A30" s="238"/>
      <c r="B30" s="262" t="s">
        <v>62</v>
      </c>
      <c r="C30" s="114">
        <v>0</v>
      </c>
      <c r="D30" s="113">
        <f>130111</f>
        <v>130111</v>
      </c>
      <c r="E30" s="106">
        <f t="shared" si="5"/>
        <v>130111</v>
      </c>
      <c r="F30" s="178">
        <f t="shared" si="24"/>
        <v>1.38070798956779E-2</v>
      </c>
      <c r="G30" s="161"/>
      <c r="H30" s="113">
        <v>38638</v>
      </c>
      <c r="I30" s="41">
        <f t="shared" si="8"/>
        <v>38638</v>
      </c>
      <c r="J30" s="178">
        <f t="shared" si="25"/>
        <v>9.0157085972729062E-2</v>
      </c>
      <c r="K30" s="291"/>
      <c r="L30" s="39"/>
      <c r="M30" s="39">
        <v>41480</v>
      </c>
      <c r="N30" s="210">
        <f t="shared" si="9"/>
        <v>41480</v>
      </c>
      <c r="O30" s="178">
        <f t="shared" si="26"/>
        <v>2.7598311004070106E-2</v>
      </c>
      <c r="P30" s="291" t="s">
        <v>478</v>
      </c>
      <c r="Q30" s="39"/>
      <c r="R30" s="39">
        <v>6495</v>
      </c>
      <c r="S30" s="210">
        <f t="shared" si="10"/>
        <v>6495</v>
      </c>
      <c r="T30" s="178">
        <f t="shared" si="27"/>
        <v>7.6002638847290846E-3</v>
      </c>
      <c r="U30" s="442" t="s">
        <v>577</v>
      </c>
      <c r="V30" s="39"/>
      <c r="W30" s="39">
        <v>13934</v>
      </c>
      <c r="X30" s="210">
        <f t="shared" si="28"/>
        <v>13934</v>
      </c>
      <c r="Y30" s="178">
        <f t="shared" si="12"/>
        <v>4.8740192599031297E-3</v>
      </c>
      <c r="Z30" s="388" t="s">
        <v>625</v>
      </c>
      <c r="AA30" s="39"/>
      <c r="AB30" s="39">
        <v>11500</v>
      </c>
      <c r="AC30" s="210">
        <f t="shared" si="13"/>
        <v>11500</v>
      </c>
      <c r="AD30" s="178">
        <f t="shared" si="21"/>
        <v>6.4844641551947231E-3</v>
      </c>
      <c r="AE30" s="388"/>
      <c r="AF30" s="39"/>
      <c r="AG30" s="39"/>
      <c r="AH30" s="210">
        <f t="shared" si="14"/>
        <v>0</v>
      </c>
      <c r="AI30" s="178">
        <f t="shared" si="15"/>
        <v>0</v>
      </c>
      <c r="AJ30" s="388"/>
      <c r="AK30" s="39"/>
      <c r="AL30" s="39">
        <v>1350</v>
      </c>
      <c r="AM30" s="210">
        <f t="shared" si="16"/>
        <v>1350</v>
      </c>
      <c r="AN30" s="178">
        <f t="shared" si="29"/>
        <v>2.1450617967225991E-3</v>
      </c>
      <c r="AO30" s="388"/>
      <c r="AP30" s="39">
        <v>0</v>
      </c>
      <c r="AQ30" s="39">
        <v>0</v>
      </c>
      <c r="AR30" s="210">
        <f t="shared" si="17"/>
        <v>0</v>
      </c>
      <c r="AS30" s="178">
        <f t="shared" si="30"/>
        <v>0</v>
      </c>
      <c r="AT30" s="388"/>
      <c r="AU30" s="39">
        <f t="shared" si="6"/>
        <v>0</v>
      </c>
      <c r="AV30" s="39">
        <f t="shared" si="7"/>
        <v>113397</v>
      </c>
      <c r="AW30" s="210">
        <f t="shared" si="18"/>
        <v>113397</v>
      </c>
      <c r="AX30" s="178">
        <f t="shared" si="4"/>
        <v>1.2007608930571198E-2</v>
      </c>
      <c r="AY30" s="79"/>
      <c r="AZ30" s="452"/>
      <c r="BA30" s="452">
        <v>113397</v>
      </c>
      <c r="BB30" s="453">
        <f t="shared" si="19"/>
        <v>113397</v>
      </c>
      <c r="BC30" s="450" t="e">
        <f t="shared" si="20"/>
        <v>#DIV/0!</v>
      </c>
      <c r="BD30" s="842"/>
      <c r="BE30" s="842"/>
    </row>
    <row r="31" spans="1:57" s="2" customFormat="1" ht="62.4" customHeight="1" outlineLevel="2">
      <c r="A31" s="238"/>
      <c r="B31" s="262" t="s">
        <v>34</v>
      </c>
      <c r="C31" s="114"/>
      <c r="D31" s="113">
        <v>13800</v>
      </c>
      <c r="E31" s="106">
        <f t="shared" si="5"/>
        <v>13800</v>
      </c>
      <c r="F31" s="178">
        <f t="shared" si="24"/>
        <v>1.464424242072961E-3</v>
      </c>
      <c r="G31" s="161"/>
      <c r="H31" s="113">
        <f>3322+3730</f>
        <v>7052</v>
      </c>
      <c r="I31" s="41">
        <f t="shared" si="8"/>
        <v>7052</v>
      </c>
      <c r="J31" s="178">
        <f t="shared" si="25"/>
        <v>1.6454986548985074E-2</v>
      </c>
      <c r="K31" s="291" t="s">
        <v>378</v>
      </c>
      <c r="L31" s="39">
        <v>2337.25</v>
      </c>
      <c r="M31" s="39">
        <f>867</f>
        <v>867</v>
      </c>
      <c r="N31" s="210">
        <f t="shared" si="9"/>
        <v>3204.25</v>
      </c>
      <c r="O31" s="178">
        <f t="shared" si="26"/>
        <v>2.1319162978493643E-3</v>
      </c>
      <c r="P31" s="389" t="s">
        <v>484</v>
      </c>
      <c r="Q31" s="39"/>
      <c r="R31" s="39"/>
      <c r="S31" s="210">
        <f t="shared" si="10"/>
        <v>0</v>
      </c>
      <c r="T31" s="178">
        <f t="shared" si="27"/>
        <v>0</v>
      </c>
      <c r="U31" s="403"/>
      <c r="V31" s="39"/>
      <c r="W31" s="39"/>
      <c r="X31" s="210">
        <f t="shared" si="28"/>
        <v>0</v>
      </c>
      <c r="Y31" s="178">
        <f t="shared" si="12"/>
        <v>0</v>
      </c>
      <c r="Z31" s="388"/>
      <c r="AA31" s="39">
        <f>7020*1.2</f>
        <v>8424</v>
      </c>
      <c r="AB31" s="39">
        <f>200</f>
        <v>200</v>
      </c>
      <c r="AC31" s="210">
        <f t="shared" si="13"/>
        <v>8624</v>
      </c>
      <c r="AD31" s="178">
        <f>AC31/$AC$89</f>
        <v>4.8627842499477641E-3</v>
      </c>
      <c r="AE31" s="388" t="s">
        <v>736</v>
      </c>
      <c r="AF31" s="39"/>
      <c r="AG31" s="39">
        <v>280</v>
      </c>
      <c r="AH31" s="210">
        <f t="shared" si="14"/>
        <v>280</v>
      </c>
      <c r="AI31" s="178">
        <f t="shared" si="15"/>
        <v>4.4490170598690944E-4</v>
      </c>
      <c r="AJ31" s="388" t="s">
        <v>793</v>
      </c>
      <c r="AK31" s="39"/>
      <c r="AL31" s="39">
        <v>6600</v>
      </c>
      <c r="AM31" s="210">
        <f t="shared" si="16"/>
        <v>6600</v>
      </c>
      <c r="AN31" s="178">
        <f t="shared" si="29"/>
        <v>1.0486968783977152E-2</v>
      </c>
      <c r="AO31" s="388"/>
      <c r="AP31" s="39">
        <v>-10761.25</v>
      </c>
      <c r="AQ31" s="39">
        <v>-1921</v>
      </c>
      <c r="AR31" s="210">
        <f t="shared" si="17"/>
        <v>-12682.25</v>
      </c>
      <c r="AS31" s="178">
        <f t="shared" si="30"/>
        <v>-2.0151266645544581E-2</v>
      </c>
      <c r="AT31" s="388"/>
      <c r="AU31" s="39">
        <f t="shared" si="6"/>
        <v>0</v>
      </c>
      <c r="AV31" s="39">
        <f t="shared" si="7"/>
        <v>13078</v>
      </c>
      <c r="AW31" s="210">
        <f t="shared" si="18"/>
        <v>13078</v>
      </c>
      <c r="AX31" s="178">
        <f t="shared" si="4"/>
        <v>1.3848294892634737E-3</v>
      </c>
      <c r="AY31" s="79"/>
      <c r="AZ31" s="452"/>
      <c r="BA31" s="452">
        <v>13078</v>
      </c>
      <c r="BB31" s="453">
        <f t="shared" si="19"/>
        <v>13078</v>
      </c>
      <c r="BC31" s="450" t="e">
        <f t="shared" si="20"/>
        <v>#DIV/0!</v>
      </c>
      <c r="BD31" s="842"/>
      <c r="BE31" s="842"/>
    </row>
    <row r="32" spans="1:57" s="2" customFormat="1" ht="14.4" customHeight="1" outlineLevel="2">
      <c r="A32" s="238"/>
      <c r="B32" s="32" t="s">
        <v>2</v>
      </c>
      <c r="C32" s="115">
        <v>250000</v>
      </c>
      <c r="D32" s="116"/>
      <c r="E32" s="106">
        <f t="shared" si="5"/>
        <v>250000</v>
      </c>
      <c r="F32" s="178">
        <f t="shared" si="24"/>
        <v>2.6529424675234798E-2</v>
      </c>
      <c r="G32" s="161"/>
      <c r="H32" s="116"/>
      <c r="I32" s="41">
        <f t="shared" si="8"/>
        <v>0</v>
      </c>
      <c r="J32" s="178">
        <f t="shared" si="25"/>
        <v>0</v>
      </c>
      <c r="K32" s="290"/>
      <c r="L32" s="39"/>
      <c r="M32" s="39"/>
      <c r="N32" s="210">
        <f t="shared" si="9"/>
        <v>0</v>
      </c>
      <c r="O32" s="178">
        <f t="shared" si="26"/>
        <v>0</v>
      </c>
      <c r="P32" s="79"/>
      <c r="Q32" s="39"/>
      <c r="R32" s="39"/>
      <c r="S32" s="210">
        <f t="shared" si="10"/>
        <v>0</v>
      </c>
      <c r="T32" s="178">
        <f t="shared" si="27"/>
        <v>0</v>
      </c>
      <c r="U32" s="259"/>
      <c r="V32" s="39"/>
      <c r="W32" s="39"/>
      <c r="X32" s="210">
        <f t="shared" si="28"/>
        <v>0</v>
      </c>
      <c r="Y32" s="178">
        <f t="shared" si="12"/>
        <v>0</v>
      </c>
      <c r="Z32" s="259"/>
      <c r="AA32" s="39"/>
      <c r="AB32" s="39"/>
      <c r="AC32" s="210">
        <f t="shared" si="13"/>
        <v>0</v>
      </c>
      <c r="AD32" s="178">
        <f t="shared" si="21"/>
        <v>0</v>
      </c>
      <c r="AE32" s="259"/>
      <c r="AF32" s="39"/>
      <c r="AG32" s="39"/>
      <c r="AH32" s="210">
        <f t="shared" si="14"/>
        <v>0</v>
      </c>
      <c r="AI32" s="178">
        <f t="shared" si="15"/>
        <v>0</v>
      </c>
      <c r="AJ32" s="259"/>
      <c r="AK32" s="39"/>
      <c r="AL32" s="39">
        <v>164000</v>
      </c>
      <c r="AM32" s="210">
        <f t="shared" si="16"/>
        <v>164000</v>
      </c>
      <c r="AN32" s="178">
        <f t="shared" si="29"/>
        <v>0.26058528493518984</v>
      </c>
      <c r="AO32" s="259"/>
      <c r="AP32" s="39"/>
      <c r="AQ32" s="39"/>
      <c r="AR32" s="210">
        <f t="shared" si="17"/>
        <v>0</v>
      </c>
      <c r="AS32" s="178">
        <f t="shared" si="30"/>
        <v>0</v>
      </c>
      <c r="AT32" s="259"/>
      <c r="AU32" s="39">
        <f t="shared" si="6"/>
        <v>0</v>
      </c>
      <c r="AV32" s="39">
        <f t="shared" si="7"/>
        <v>164000</v>
      </c>
      <c r="AW32" s="210">
        <f t="shared" si="18"/>
        <v>164000</v>
      </c>
      <c r="AX32" s="178">
        <f t="shared" si="4"/>
        <v>1.7365960868573917E-2</v>
      </c>
      <c r="AY32" s="79"/>
      <c r="AZ32" s="452"/>
      <c r="BA32" s="452">
        <v>164000</v>
      </c>
      <c r="BB32" s="453">
        <f t="shared" si="19"/>
        <v>164000</v>
      </c>
      <c r="BC32" s="450" t="e">
        <f t="shared" si="20"/>
        <v>#DIV/0!</v>
      </c>
      <c r="BD32" s="842"/>
      <c r="BE32" s="842"/>
    </row>
    <row r="33" spans="1:57" s="2" customFormat="1" ht="52.2" customHeight="1" outlineLevel="2" thickBot="1">
      <c r="A33" s="238"/>
      <c r="B33" s="32" t="s">
        <v>75</v>
      </c>
      <c r="C33" s="115">
        <v>0</v>
      </c>
      <c r="D33" s="116">
        <v>13799.999999999998</v>
      </c>
      <c r="E33" s="106">
        <f t="shared" si="5"/>
        <v>13799.999999999998</v>
      </c>
      <c r="F33" s="178">
        <f t="shared" si="24"/>
        <v>1.4644242420729608E-3</v>
      </c>
      <c r="G33" s="161"/>
      <c r="H33" s="116"/>
      <c r="I33" s="41">
        <f t="shared" si="8"/>
        <v>0</v>
      </c>
      <c r="J33" s="178">
        <f t="shared" si="25"/>
        <v>0</v>
      </c>
      <c r="K33" s="291"/>
      <c r="L33" s="39"/>
      <c r="M33" s="39"/>
      <c r="N33" s="210">
        <f t="shared" si="9"/>
        <v>0</v>
      </c>
      <c r="O33" s="178">
        <f t="shared" si="26"/>
        <v>0</v>
      </c>
      <c r="P33" s="79"/>
      <c r="Q33" s="39"/>
      <c r="R33" s="39"/>
      <c r="S33" s="210">
        <f t="shared" si="10"/>
        <v>0</v>
      </c>
      <c r="T33" s="178">
        <f t="shared" si="27"/>
        <v>0</v>
      </c>
      <c r="U33" s="259"/>
      <c r="V33" s="39"/>
      <c r="W33" s="39"/>
      <c r="X33" s="210">
        <f t="shared" si="28"/>
        <v>0</v>
      </c>
      <c r="Y33" s="178">
        <f t="shared" si="12"/>
        <v>0</v>
      </c>
      <c r="Z33" s="259"/>
      <c r="AA33" s="553"/>
      <c r="AB33" s="554"/>
      <c r="AC33" s="590">
        <f t="shared" si="13"/>
        <v>0</v>
      </c>
      <c r="AD33" s="178">
        <f t="shared" si="21"/>
        <v>0</v>
      </c>
      <c r="AE33" s="515"/>
      <c r="AF33" s="553"/>
      <c r="AG33" s="554"/>
      <c r="AH33" s="590">
        <f t="shared" si="14"/>
        <v>0</v>
      </c>
      <c r="AI33" s="178">
        <f t="shared" si="15"/>
        <v>0</v>
      </c>
      <c r="AJ33" s="515"/>
      <c r="AK33" s="553"/>
      <c r="AL33" s="554">
        <v>3200</v>
      </c>
      <c r="AM33" s="590">
        <f t="shared" si="16"/>
        <v>3200</v>
      </c>
      <c r="AN33" s="178">
        <f t="shared" si="29"/>
        <v>5.0845909255646795E-3</v>
      </c>
      <c r="AO33" s="515"/>
      <c r="AP33" s="553"/>
      <c r="AQ33" s="554"/>
      <c r="AR33" s="590">
        <f t="shared" si="17"/>
        <v>0</v>
      </c>
      <c r="AS33" s="178">
        <f t="shared" si="30"/>
        <v>0</v>
      </c>
      <c r="AT33" s="515"/>
      <c r="AU33" s="39">
        <f>G33+L33+Q33+V33+AA33+AF33+AK33+AP33</f>
        <v>0</v>
      </c>
      <c r="AV33" s="39">
        <f>H33+M33+R33+W33+AB33+AG33+AL33+AQ33</f>
        <v>3200</v>
      </c>
      <c r="AW33" s="210">
        <f t="shared" si="18"/>
        <v>3200</v>
      </c>
      <c r="AX33" s="178">
        <f t="shared" si="4"/>
        <v>3.3884801694778377E-4</v>
      </c>
      <c r="AY33" s="79"/>
      <c r="AZ33" s="512"/>
      <c r="BA33" s="512">
        <v>3200</v>
      </c>
      <c r="BB33" s="513">
        <f t="shared" si="19"/>
        <v>3200</v>
      </c>
      <c r="BC33" s="508" t="e">
        <f t="shared" si="20"/>
        <v>#DIV/0!</v>
      </c>
      <c r="BD33" s="842"/>
      <c r="BE33" s="842"/>
    </row>
    <row r="34" spans="1:57" s="2" customFormat="1" ht="13.8" outlineLevel="2">
      <c r="A34" s="238"/>
      <c r="B34" s="12"/>
      <c r="C34" s="46"/>
      <c r="D34" s="47"/>
      <c r="E34" s="48"/>
      <c r="F34" s="179"/>
      <c r="G34" s="96"/>
      <c r="H34" s="48"/>
      <c r="I34" s="48"/>
      <c r="J34" s="202">
        <f t="shared" si="25"/>
        <v>0</v>
      </c>
      <c r="K34" s="266"/>
      <c r="L34" s="39"/>
      <c r="M34" s="39"/>
      <c r="N34" s="48"/>
      <c r="O34" s="48"/>
      <c r="P34" s="48"/>
      <c r="Q34" s="39"/>
      <c r="R34" s="39"/>
      <c r="S34" s="48"/>
      <c r="T34" s="48"/>
      <c r="U34" s="48"/>
      <c r="V34" s="39"/>
      <c r="W34" s="39"/>
      <c r="X34" s="48"/>
      <c r="Y34" s="48"/>
      <c r="Z34" s="48"/>
      <c r="AA34" s="452"/>
      <c r="AB34" s="452"/>
      <c r="AC34" s="476"/>
      <c r="AD34" s="476"/>
      <c r="AE34" s="476"/>
      <c r="AF34" s="452"/>
      <c r="AG34" s="452"/>
      <c r="AH34" s="476"/>
      <c r="AI34" s="476"/>
      <c r="AJ34" s="476"/>
      <c r="AK34" s="452"/>
      <c r="AL34" s="452"/>
      <c r="AM34" s="476"/>
      <c r="AN34" s="476"/>
      <c r="AO34" s="476"/>
      <c r="AP34" s="452"/>
      <c r="AQ34" s="452"/>
      <c r="AR34" s="476"/>
      <c r="AS34" s="476"/>
      <c r="AT34" s="476"/>
      <c r="AU34" s="452"/>
      <c r="AV34" s="452"/>
      <c r="AW34" s="48"/>
      <c r="AX34" s="48"/>
      <c r="AY34" s="48"/>
      <c r="AZ34" s="452"/>
      <c r="BA34" s="452"/>
      <c r="BB34" s="476"/>
      <c r="BC34" s="476"/>
      <c r="BD34" s="842"/>
      <c r="BE34" s="842"/>
    </row>
    <row r="35" spans="1:57" s="88" customFormat="1" ht="13.8">
      <c r="A35" s="238"/>
      <c r="B35" s="89" t="s">
        <v>80</v>
      </c>
      <c r="C35" s="90">
        <f>C36</f>
        <v>70750</v>
      </c>
      <c r="D35" s="90">
        <f>D36</f>
        <v>0</v>
      </c>
      <c r="E35" s="91">
        <f>E36</f>
        <v>70750</v>
      </c>
      <c r="F35" s="165">
        <f>E35/$E$89</f>
        <v>7.5078271830914482E-3</v>
      </c>
      <c r="G35" s="90">
        <f>G36</f>
        <v>0</v>
      </c>
      <c r="H35" s="90">
        <f>H36</f>
        <v>0</v>
      </c>
      <c r="I35" s="91">
        <f>I36</f>
        <v>0</v>
      </c>
      <c r="J35" s="190">
        <f t="shared" si="25"/>
        <v>0</v>
      </c>
      <c r="K35" s="267"/>
      <c r="L35" s="90">
        <f>L36</f>
        <v>0</v>
      </c>
      <c r="M35" s="90">
        <f>M36</f>
        <v>0</v>
      </c>
      <c r="N35" s="91">
        <f>N36</f>
        <v>0</v>
      </c>
      <c r="O35" s="91"/>
      <c r="P35" s="91"/>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404"/>
      <c r="AF35" s="90">
        <f>AF36</f>
        <v>0</v>
      </c>
      <c r="AG35" s="90">
        <f>AG36</f>
        <v>0</v>
      </c>
      <c r="AH35" s="91">
        <f>AH36</f>
        <v>0</v>
      </c>
      <c r="AI35" s="91">
        <f>AH35/$AH$89</f>
        <v>0</v>
      </c>
      <c r="AJ35" s="404"/>
      <c r="AK35" s="90">
        <f>AK36</f>
        <v>0</v>
      </c>
      <c r="AL35" s="90">
        <f>AL36</f>
        <v>0</v>
      </c>
      <c r="AM35" s="91">
        <f>AM36</f>
        <v>0</v>
      </c>
      <c r="AN35" s="91">
        <f>AM35/$AH$89</f>
        <v>0</v>
      </c>
      <c r="AO35" s="404"/>
      <c r="AP35" s="90">
        <f>AP36</f>
        <v>0</v>
      </c>
      <c r="AQ35" s="90">
        <f>AQ36</f>
        <v>0</v>
      </c>
      <c r="AR35" s="91">
        <f>AR36</f>
        <v>0</v>
      </c>
      <c r="AS35" s="91">
        <f>AR35/$AH$89</f>
        <v>0</v>
      </c>
      <c r="AT35" s="404"/>
      <c r="AU35" s="90">
        <f>AU36</f>
        <v>0</v>
      </c>
      <c r="AV35" s="90">
        <f>AV36</f>
        <v>0</v>
      </c>
      <c r="AW35" s="91">
        <f>AW36</f>
        <v>0</v>
      </c>
      <c r="AX35" s="91"/>
      <c r="AY35" s="91"/>
      <c r="AZ35" s="536">
        <f>AZ36</f>
        <v>0</v>
      </c>
      <c r="BA35" s="536">
        <f>BA36</f>
        <v>0</v>
      </c>
      <c r="BB35" s="658">
        <f>BB36</f>
        <v>0</v>
      </c>
      <c r="BC35" s="658"/>
      <c r="BD35" s="842"/>
      <c r="BE35" s="842"/>
    </row>
    <row r="36" spans="1:57" s="226" customFormat="1" ht="13.8">
      <c r="A36" s="238"/>
      <c r="B36" s="19" t="s">
        <v>81</v>
      </c>
      <c r="C36" s="43">
        <f>58750+12000</f>
        <v>70750</v>
      </c>
      <c r="D36" s="49"/>
      <c r="E36" s="106">
        <f>C36+D36</f>
        <v>70750</v>
      </c>
      <c r="F36" s="178">
        <f>E36/$E$89</f>
        <v>7.5078271830914482E-3</v>
      </c>
      <c r="G36" s="97"/>
      <c r="H36" s="45"/>
      <c r="I36" s="41">
        <f>G36+H36*1</f>
        <v>0</v>
      </c>
      <c r="J36" s="178">
        <f t="shared" si="25"/>
        <v>0</v>
      </c>
      <c r="K36" s="265"/>
      <c r="L36" s="39"/>
      <c r="M36" s="39"/>
      <c r="N36" s="106">
        <f>L36+M36*1</f>
        <v>0</v>
      </c>
      <c r="O36" s="178">
        <f>N36/$N$89</f>
        <v>0</v>
      </c>
      <c r="P36" s="45"/>
      <c r="Q36" s="39"/>
      <c r="R36" s="39"/>
      <c r="S36" s="106">
        <f>Q36+R36*1</f>
        <v>0</v>
      </c>
      <c r="T36" s="178">
        <f>S36/$S$89</f>
        <v>0</v>
      </c>
      <c r="U36" s="405"/>
      <c r="V36" s="39"/>
      <c r="W36" s="39"/>
      <c r="X36" s="106">
        <f>V36+W36*1</f>
        <v>0</v>
      </c>
      <c r="Y36" s="178">
        <f>X36/$X$89</f>
        <v>0</v>
      </c>
      <c r="Z36" s="405"/>
      <c r="AA36" s="39"/>
      <c r="AB36" s="39"/>
      <c r="AC36" s="106">
        <f>AA36+AB36*1</f>
        <v>0</v>
      </c>
      <c r="AD36" s="178">
        <f>AC36/$AC$89</f>
        <v>0</v>
      </c>
      <c r="AE36" s="405"/>
      <c r="AF36" s="39"/>
      <c r="AG36" s="39"/>
      <c r="AH36" s="106">
        <f>AF36+AG36*1</f>
        <v>0</v>
      </c>
      <c r="AI36" s="178">
        <f>AH36/$AH$89</f>
        <v>0</v>
      </c>
      <c r="AJ36" s="405"/>
      <c r="AK36" s="39"/>
      <c r="AL36" s="39"/>
      <c r="AM36" s="106">
        <f>AK36+AL36*1</f>
        <v>0</v>
      </c>
      <c r="AN36" s="178">
        <f>AM36/$AH$89</f>
        <v>0</v>
      </c>
      <c r="AO36" s="405"/>
      <c r="AP36" s="39"/>
      <c r="AQ36" s="39"/>
      <c r="AR36" s="106">
        <f>AP36+AQ36*1</f>
        <v>0</v>
      </c>
      <c r="AS36" s="178">
        <f>AR36/$AH$89</f>
        <v>0</v>
      </c>
      <c r="AT36" s="405"/>
      <c r="AU36" s="39">
        <f>G36+L36+Q36+V36+AA36</f>
        <v>0</v>
      </c>
      <c r="AV36" s="39">
        <f>H36+M36+R36+W36+AB36</f>
        <v>0</v>
      </c>
      <c r="AW36" s="106">
        <f>AU36+AV36*1</f>
        <v>0</v>
      </c>
      <c r="AX36" s="178">
        <f>AW36/$AW$89</f>
        <v>0</v>
      </c>
      <c r="AY36" s="45"/>
      <c r="AZ36" s="452"/>
      <c r="BA36" s="452"/>
      <c r="BB36" s="446">
        <f>AZ36+BA36*1</f>
        <v>0</v>
      </c>
      <c r="BC36" s="450" t="e">
        <f>BB36/$F$89</f>
        <v>#DIV/0!</v>
      </c>
      <c r="BD36" s="842"/>
      <c r="BE36" s="842"/>
    </row>
    <row r="37" spans="1:57" s="2" customFormat="1" ht="14.4" thickBot="1">
      <c r="A37" s="4"/>
      <c r="B37" s="14"/>
      <c r="C37" s="50"/>
      <c r="D37" s="51"/>
      <c r="E37" s="52"/>
      <c r="F37" s="181"/>
      <c r="G37" s="98"/>
      <c r="H37" s="52"/>
      <c r="I37" s="52"/>
      <c r="J37" s="203">
        <f t="shared" si="25"/>
        <v>0</v>
      </c>
      <c r="K37" s="268"/>
      <c r="L37" s="39"/>
      <c r="M37" s="39"/>
      <c r="N37" s="52"/>
      <c r="O37" s="52"/>
      <c r="P37" s="52"/>
      <c r="Q37" s="39"/>
      <c r="R37" s="39"/>
      <c r="S37" s="52"/>
      <c r="T37" s="52"/>
      <c r="U37" s="64"/>
      <c r="V37" s="39"/>
      <c r="W37" s="39"/>
      <c r="X37" s="52"/>
      <c r="Y37" s="52"/>
      <c r="Z37" s="64"/>
      <c r="AA37" s="39"/>
      <c r="AB37" s="39"/>
      <c r="AC37" s="52"/>
      <c r="AD37" s="52"/>
      <c r="AE37" s="64"/>
      <c r="AF37" s="39"/>
      <c r="AG37" s="39"/>
      <c r="AH37" s="52"/>
      <c r="AI37" s="52"/>
      <c r="AJ37" s="64"/>
      <c r="AK37" s="39"/>
      <c r="AL37" s="39"/>
      <c r="AM37" s="52"/>
      <c r="AN37" s="52"/>
      <c r="AO37" s="64"/>
      <c r="AP37" s="39"/>
      <c r="AQ37" s="39"/>
      <c r="AR37" s="52"/>
      <c r="AS37" s="52"/>
      <c r="AT37" s="64"/>
      <c r="AU37" s="39"/>
      <c r="AV37" s="39"/>
      <c r="AW37" s="52"/>
      <c r="AX37" s="52"/>
      <c r="AY37" s="52"/>
      <c r="AZ37" s="452"/>
      <c r="BA37" s="452"/>
      <c r="BB37" s="606"/>
      <c r="BC37" s="606"/>
      <c r="BD37" s="842"/>
      <c r="BE37" s="842"/>
    </row>
    <row r="38" spans="1:57" ht="14.4" thickBot="1">
      <c r="A38" s="33"/>
      <c r="B38" s="34" t="s">
        <v>46</v>
      </c>
      <c r="C38" s="53">
        <f>(C5)-(C8)</f>
        <v>5035069</v>
      </c>
      <c r="D38" s="53">
        <f>(D5)-(D8)</f>
        <v>-2067772</v>
      </c>
      <c r="E38" s="53">
        <f>(E5)-(E8)</f>
        <v>2967297</v>
      </c>
      <c r="F38" s="166"/>
      <c r="G38" s="53">
        <f>(G5)-(G8)</f>
        <v>-245713.43</v>
      </c>
      <c r="H38" s="53">
        <f>(H5)-(H8)</f>
        <v>-121054.54000000001</v>
      </c>
      <c r="I38" s="53">
        <f>(I5)-(I8)</f>
        <v>-366767.97</v>
      </c>
      <c r="J38" s="191">
        <f t="shared" si="25"/>
        <v>-0.85580856678226902</v>
      </c>
      <c r="K38" s="269"/>
      <c r="L38" s="53">
        <f>(L5)-(L8)</f>
        <v>2844332.5060000001</v>
      </c>
      <c r="M38" s="53">
        <f>(M5)-(M8)</f>
        <v>-564634.27</v>
      </c>
      <c r="N38" s="53">
        <f>(N5)-(N8)</f>
        <v>2279698.2359999996</v>
      </c>
      <c r="O38" s="53"/>
      <c r="P38" s="53"/>
      <c r="Q38" s="53">
        <f>(Q5)-(Q8)</f>
        <v>-453110</v>
      </c>
      <c r="R38" s="53">
        <f>(R5)-(R8)</f>
        <v>-319474.13</v>
      </c>
      <c r="S38" s="53">
        <f>(S5)-(S8)</f>
        <v>-772584.12999999989</v>
      </c>
      <c r="T38" s="53"/>
      <c r="U38" s="406"/>
      <c r="V38" s="53">
        <f>(V5)-(V8)</f>
        <v>1873625.9220000003</v>
      </c>
      <c r="W38" s="53">
        <f>(W5)-(W8)</f>
        <v>-343535.41000000003</v>
      </c>
      <c r="X38" s="53">
        <f>(X5)-(X8)</f>
        <v>1530090.5120000001</v>
      </c>
      <c r="Y38" s="53"/>
      <c r="Z38" s="406"/>
      <c r="AA38" s="53">
        <f>(AA5)-(AA8)</f>
        <v>1323555.264</v>
      </c>
      <c r="AB38" s="53">
        <f>(AB5)-(AB8)</f>
        <v>-565780.30000000005</v>
      </c>
      <c r="AC38" s="53">
        <f>(AC5)-(AC8)</f>
        <v>757774.96399999992</v>
      </c>
      <c r="AD38" s="53"/>
      <c r="AE38" s="406"/>
      <c r="AF38" s="53">
        <f>(AF5)-(AF8)</f>
        <v>378580.81400000007</v>
      </c>
      <c r="AG38" s="53">
        <f>(AG5)-(AG8)</f>
        <v>-277243.81</v>
      </c>
      <c r="AH38" s="53">
        <f>(AH5)-(AH8)</f>
        <v>101337.00400000007</v>
      </c>
      <c r="AI38" s="53"/>
      <c r="AJ38" s="406"/>
      <c r="AK38" s="53">
        <f>(AK5)-(AK8)</f>
        <v>307394.60199999996</v>
      </c>
      <c r="AL38" s="53">
        <f>(AL5)-(AL8)</f>
        <v>-208670</v>
      </c>
      <c r="AM38" s="53">
        <f>(AM5)-(AM8)</f>
        <v>98724.601999999955</v>
      </c>
      <c r="AN38" s="53"/>
      <c r="AO38" s="406"/>
      <c r="AP38" s="53">
        <f>(AP5)-(AP8)</f>
        <v>94435.109999998502</v>
      </c>
      <c r="AQ38" s="53">
        <f>(AQ5)-(AQ8)</f>
        <v>-98985.179999999818</v>
      </c>
      <c r="AR38" s="53">
        <f>(AR5)-(AR8)</f>
        <v>-4550.0700000013203</v>
      </c>
      <c r="AS38" s="53"/>
      <c r="AT38" s="406"/>
      <c r="AU38" s="53">
        <f>(AU5)-(AU8)</f>
        <v>6123100.7879999988</v>
      </c>
      <c r="AV38" s="53">
        <f>(AV5)-(AV8)</f>
        <v>-2499377.64</v>
      </c>
      <c r="AW38" s="53">
        <f>(AW5)-(AW8)</f>
        <v>3623723.148</v>
      </c>
      <c r="AX38" s="53"/>
      <c r="AY38" s="53"/>
      <c r="AZ38" s="648">
        <f>(AZ5)-(AZ8)</f>
        <v>6123100.7879999988</v>
      </c>
      <c r="BA38" s="648">
        <f>(BA5)-(BA8)</f>
        <v>-2499377.64</v>
      </c>
      <c r="BB38" s="648">
        <f>(BB5)-(BB8)</f>
        <v>3623723.148</v>
      </c>
      <c r="BC38" s="648"/>
      <c r="BD38" s="842"/>
      <c r="BE38" s="842"/>
    </row>
    <row r="39" spans="1:57" ht="13.8">
      <c r="A39" s="293"/>
      <c r="B39" s="15" t="s">
        <v>47</v>
      </c>
      <c r="C39" s="157">
        <f>C38/(C5)</f>
        <v>0.42907821967447085</v>
      </c>
      <c r="D39" s="157" t="e">
        <f>D38/(D5)</f>
        <v>#DIV/0!</v>
      </c>
      <c r="E39" s="158">
        <f>E38/(E5)</f>
        <v>0.25286694462486975</v>
      </c>
      <c r="F39" s="167"/>
      <c r="G39" s="157" t="e">
        <f>G38/(G5)</f>
        <v>#DIV/0!</v>
      </c>
      <c r="H39" s="157" t="e">
        <f>H38/(H5)</f>
        <v>#DIV/0!</v>
      </c>
      <c r="I39" s="158" t="e">
        <f>I38/(I5)</f>
        <v>#DIV/0!</v>
      </c>
      <c r="J39" s="192" t="e">
        <f t="shared" si="25"/>
        <v>#DIV/0!</v>
      </c>
      <c r="K39" s="270"/>
      <c r="L39" s="54">
        <f>L38/(L5)</f>
        <v>0.77396255108409429</v>
      </c>
      <c r="M39" s="54" t="e">
        <f>M38/(M5)</f>
        <v>#DIV/0!</v>
      </c>
      <c r="N39" s="55">
        <f>N38/(N5)</f>
        <v>0.62032166025404534</v>
      </c>
      <c r="O39" s="55"/>
      <c r="P39" s="55"/>
      <c r="Q39" s="54" t="e">
        <f>Q38/(Q5)</f>
        <v>#DIV/0!</v>
      </c>
      <c r="R39" s="54" t="e">
        <f>R38/(R5)</f>
        <v>#DIV/0!</v>
      </c>
      <c r="S39" s="55" t="e">
        <f>S38/(S5)</f>
        <v>#DIV/0!</v>
      </c>
      <c r="T39" s="55"/>
      <c r="U39" s="407"/>
      <c r="V39" s="54">
        <f>V38/(V5)</f>
        <v>0.43532124527830179</v>
      </c>
      <c r="W39" s="54" t="e">
        <f>W38/(W5)</f>
        <v>#DIV/0!</v>
      </c>
      <c r="X39" s="55">
        <f>X38/(X5)</f>
        <v>0.3555036783230171</v>
      </c>
      <c r="Y39" s="55"/>
      <c r="Z39" s="407"/>
      <c r="AA39" s="54">
        <f>AA38/(AA5)</f>
        <v>0.54468004467910069</v>
      </c>
      <c r="AB39" s="54" t="e">
        <f>AB38/(AB5)</f>
        <v>#DIV/0!</v>
      </c>
      <c r="AC39" s="55">
        <f>AC38/(AC5)</f>
        <v>0.31184561194735566</v>
      </c>
      <c r="AD39" s="55"/>
      <c r="AE39" s="407"/>
      <c r="AF39" s="54">
        <f>AF38/(AF5)</f>
        <v>0.57005821513888755</v>
      </c>
      <c r="AG39" s="54" t="e">
        <f>AG38/(AG5)</f>
        <v>#DIV/0!</v>
      </c>
      <c r="AH39" s="55">
        <f>AH38/(AH5)</f>
        <v>0.1525909118779652</v>
      </c>
      <c r="AI39" s="55"/>
      <c r="AJ39" s="407"/>
      <c r="AK39" s="54">
        <f>AK38/(AK5)</f>
        <v>0.29119143237241091</v>
      </c>
      <c r="AL39" s="54" t="e">
        <f>AL38/(AL5)</f>
        <v>#DIV/0!</v>
      </c>
      <c r="AM39" s="55">
        <f>AM38/(AM5)</f>
        <v>9.3520699712144509E-2</v>
      </c>
      <c r="AN39" s="55"/>
      <c r="AO39" s="407"/>
      <c r="AP39" s="54">
        <f>AP38/(AP5)</f>
        <v>134907.30014358897</v>
      </c>
      <c r="AQ39" s="54" t="e">
        <f>AQ38/(AQ5)</f>
        <v>#DIV/0!</v>
      </c>
      <c r="AR39" s="55">
        <f>AR38/(AR5)</f>
        <v>-6500.1000069203892</v>
      </c>
      <c r="AS39" s="55"/>
      <c r="AT39" s="407"/>
      <c r="AU39" s="54">
        <f>AU38/(AU5)</f>
        <v>0.50484161590052323</v>
      </c>
      <c r="AV39" s="54" t="e">
        <f>AV38/(AV5)</f>
        <v>#DIV/0!</v>
      </c>
      <c r="AW39" s="55">
        <f>AW38/(AW5)</f>
        <v>0.29877121297720688</v>
      </c>
      <c r="AX39" s="55"/>
      <c r="AY39" s="55"/>
      <c r="AZ39" s="639">
        <f>AZ38/(AZ5)</f>
        <v>0.50484161590052323</v>
      </c>
      <c r="BA39" s="639" t="e">
        <f>BA38/(BA5)</f>
        <v>#DIV/0!</v>
      </c>
      <c r="BB39" s="660">
        <f>BB38/(BB5)</f>
        <v>0.29877121297720688</v>
      </c>
      <c r="BC39" s="660"/>
      <c r="BD39" s="842"/>
      <c r="BE39" s="842"/>
    </row>
    <row r="40" spans="1:57" ht="14.4" thickBot="1">
      <c r="A40" s="295"/>
      <c r="B40" s="16"/>
      <c r="C40" s="56"/>
      <c r="D40" s="57"/>
      <c r="E40" s="58"/>
      <c r="F40" s="168"/>
      <c r="G40" s="80"/>
      <c r="H40" s="80"/>
      <c r="I40" s="80"/>
      <c r="J40" s="193">
        <f t="shared" si="25"/>
        <v>0</v>
      </c>
      <c r="K40" s="271"/>
      <c r="L40" s="58"/>
      <c r="M40" s="58"/>
      <c r="N40" s="58"/>
      <c r="O40" s="58"/>
      <c r="P40" s="58"/>
      <c r="Q40" s="58"/>
      <c r="R40" s="58"/>
      <c r="S40" s="58"/>
      <c r="T40" s="58"/>
      <c r="U40" s="408"/>
      <c r="V40" s="58"/>
      <c r="W40" s="58"/>
      <c r="X40" s="58"/>
      <c r="Y40" s="58"/>
      <c r="Z40" s="408"/>
      <c r="AA40" s="58"/>
      <c r="AB40" s="58"/>
      <c r="AC40" s="58"/>
      <c r="AD40" s="58"/>
      <c r="AE40" s="408"/>
      <c r="AF40" s="58"/>
      <c r="AG40" s="58"/>
      <c r="AH40" s="58"/>
      <c r="AI40" s="58"/>
      <c r="AJ40" s="408"/>
      <c r="AK40" s="58"/>
      <c r="AL40" s="58"/>
      <c r="AM40" s="58"/>
      <c r="AN40" s="58"/>
      <c r="AO40" s="408"/>
      <c r="AP40" s="58"/>
      <c r="AQ40" s="58"/>
      <c r="AR40" s="58"/>
      <c r="AS40" s="58"/>
      <c r="AT40" s="408"/>
      <c r="AU40" s="58"/>
      <c r="AV40" s="58"/>
      <c r="AW40" s="58"/>
      <c r="AX40" s="58"/>
      <c r="AY40" s="58"/>
      <c r="AZ40" s="649"/>
      <c r="BA40" s="649"/>
      <c r="BB40" s="649"/>
      <c r="BC40" s="649"/>
      <c r="BD40" s="842"/>
      <c r="BE40" s="842"/>
    </row>
    <row r="41" spans="1:57" ht="14.4" thickBot="1">
      <c r="A41" s="11"/>
      <c r="B41" s="22" t="s">
        <v>26</v>
      </c>
      <c r="C41" s="117">
        <f>SUM(C42:C48)</f>
        <v>26800</v>
      </c>
      <c r="D41" s="117">
        <f>SUM(D42:D48)</f>
        <v>16281.999999999998</v>
      </c>
      <c r="E41" s="118">
        <f>SUM(E42:E48)</f>
        <v>43082</v>
      </c>
      <c r="F41" s="169">
        <f t="shared" ref="F41:F48" si="31">E41/$E$89</f>
        <v>4.5717626954338625E-3</v>
      </c>
      <c r="G41" s="117">
        <f>SUM(G42:G48)</f>
        <v>1931.58</v>
      </c>
      <c r="H41" s="117">
        <f>SUM(H42:H48)</f>
        <v>572</v>
      </c>
      <c r="I41" s="118">
        <f>SUM(I42:I48)</f>
        <v>2503.58</v>
      </c>
      <c r="J41" s="169">
        <f t="shared" si="25"/>
        <v>5.8418002303329631E-3</v>
      </c>
      <c r="K41" s="272"/>
      <c r="L41" s="117">
        <f>SUM(L42:L48)</f>
        <v>0</v>
      </c>
      <c r="M41" s="117">
        <f>SUM(M42:M48)</f>
        <v>721</v>
      </c>
      <c r="N41" s="118">
        <f>SUM(N42:N48)</f>
        <v>721</v>
      </c>
      <c r="O41" s="169">
        <f t="shared" ref="O41:O49" si="32">N41/$N$89</f>
        <v>4.797102756493381E-4</v>
      </c>
      <c r="P41" s="60"/>
      <c r="Q41" s="117">
        <f>SUM(Q42:Q48)</f>
        <v>7488.7800000000007</v>
      </c>
      <c r="R41" s="117">
        <f>SUM(R42:R48)</f>
        <v>791.8</v>
      </c>
      <c r="S41" s="118">
        <f>SUM(S42:S48)</f>
        <v>8280.58</v>
      </c>
      <c r="T41" s="169">
        <f>S41/$S$89</f>
        <v>9.689698709562735E-3</v>
      </c>
      <c r="U41" s="409"/>
      <c r="V41" s="117">
        <f>SUM(V42:V48)</f>
        <v>3386</v>
      </c>
      <c r="W41" s="117">
        <f>SUM(W42:W48)</f>
        <v>411</v>
      </c>
      <c r="X41" s="118">
        <f>SUM(X42:X48)</f>
        <v>3797</v>
      </c>
      <c r="Y41" s="169">
        <f>X41/$S$89</f>
        <v>4.4431411809570951E-3</v>
      </c>
      <c r="Z41" s="409"/>
      <c r="AA41" s="117">
        <f>SUM(AA42:AA48)</f>
        <v>1320</v>
      </c>
      <c r="AB41" s="117">
        <f>SUM(AB42:AB48)</f>
        <v>350</v>
      </c>
      <c r="AC41" s="118">
        <f>SUM(AC42:AC48)</f>
        <v>1670</v>
      </c>
      <c r="AD41" s="169">
        <f>AC41/$AC$89</f>
        <v>9.4165696862392935E-4</v>
      </c>
      <c r="AE41" s="409"/>
      <c r="AF41" s="117">
        <f>SUM(AF42:AF48)</f>
        <v>1503.5</v>
      </c>
      <c r="AG41" s="117">
        <f>SUM(AG42:AG48)</f>
        <v>0</v>
      </c>
      <c r="AH41" s="118">
        <f>SUM(AH42:AH48)</f>
        <v>1503.5</v>
      </c>
      <c r="AI41" s="169">
        <f>AH41/$AH$89</f>
        <v>2.3889632676832796E-3</v>
      </c>
      <c r="AJ41" s="409"/>
      <c r="AK41" s="117">
        <f>SUM(AK42:AK48)</f>
        <v>2492</v>
      </c>
      <c r="AL41" s="117">
        <f>SUM(AL42:AL48)</f>
        <v>0</v>
      </c>
      <c r="AM41" s="118">
        <f>SUM(AM42:AM48)</f>
        <v>2492</v>
      </c>
      <c r="AN41" s="169">
        <f>AM41/$AH$89</f>
        <v>3.9596251832834939E-3</v>
      </c>
      <c r="AO41" s="409"/>
      <c r="AP41" s="117">
        <f>SUM(AP42:AP48)</f>
        <v>-2751.65</v>
      </c>
      <c r="AQ41" s="117">
        <f>SUM(AQ42:AQ48)</f>
        <v>0</v>
      </c>
      <c r="AR41" s="118">
        <f>SUM(AR42:AR48)</f>
        <v>-2751.65</v>
      </c>
      <c r="AS41" s="169">
        <f>AR41/$AH$89</f>
        <v>-4.3721920688531406E-3</v>
      </c>
      <c r="AT41" s="409"/>
      <c r="AU41" s="117">
        <f>SUM(AU42:AU48)</f>
        <v>15370.21</v>
      </c>
      <c r="AV41" s="117">
        <f>SUM(AV42:AV48)</f>
        <v>2845.8</v>
      </c>
      <c r="AW41" s="118">
        <f>SUM(AW42:AW48)</f>
        <v>18216.009999999998</v>
      </c>
      <c r="AX41" s="169">
        <f t="shared" ref="AX41:AX49" si="33">AW41/$AW$89</f>
        <v>1.9288933953753118E-3</v>
      </c>
      <c r="AY41" s="60"/>
      <c r="AZ41" s="836">
        <f>SUM(AZ42:AZ48)</f>
        <v>15370.21</v>
      </c>
      <c r="BA41" s="836">
        <f>SUM(BA42:BA48)</f>
        <v>2845.8</v>
      </c>
      <c r="BB41" s="843">
        <f>SUM(BB42:BB48)</f>
        <v>18216.009999999998</v>
      </c>
      <c r="BC41" s="838" t="e">
        <f t="shared" ref="BC41:BC52" si="34">BB41/$F$89</f>
        <v>#DIV/0!</v>
      </c>
      <c r="BD41" s="842"/>
      <c r="BE41" s="842"/>
    </row>
    <row r="42" spans="1:57" ht="13.8">
      <c r="A42" s="4833"/>
      <c r="B42" s="18" t="s">
        <v>7</v>
      </c>
      <c r="C42" s="113"/>
      <c r="D42" s="119"/>
      <c r="E42" s="120">
        <f t="shared" ref="E42:E48" si="35">C42+D42</f>
        <v>0</v>
      </c>
      <c r="F42" s="178">
        <f t="shared" si="31"/>
        <v>0</v>
      </c>
      <c r="G42" s="78"/>
      <c r="H42" s="103"/>
      <c r="I42" s="41">
        <f t="shared" ref="I42:I48" si="36">G42+H42*1</f>
        <v>0</v>
      </c>
      <c r="J42" s="178">
        <f t="shared" si="25"/>
        <v>0</v>
      </c>
      <c r="K42" s="265"/>
      <c r="L42" s="39"/>
      <c r="M42" s="39"/>
      <c r="N42" s="106">
        <f t="shared" ref="N42:N48" si="37">L42+M42*1</f>
        <v>0</v>
      </c>
      <c r="O42" s="178">
        <f t="shared" si="32"/>
        <v>0</v>
      </c>
      <c r="P42" s="79"/>
      <c r="Q42" s="39"/>
      <c r="R42" s="39"/>
      <c r="S42" s="106">
        <f t="shared" ref="S42:S48" si="38">Q42+R42*1</f>
        <v>0</v>
      </c>
      <c r="T42" s="178">
        <f t="shared" ref="T42:T52" si="39">S42/$S$89</f>
        <v>0</v>
      </c>
      <c r="U42" s="259"/>
      <c r="V42" s="39"/>
      <c r="W42" s="39"/>
      <c r="X42" s="106">
        <f t="shared" ref="X42:X48" si="40">V42+W42*1</f>
        <v>0</v>
      </c>
      <c r="Y42" s="178">
        <f t="shared" ref="Y42:Y49" si="41">X42/$X$89</f>
        <v>0</v>
      </c>
      <c r="Z42" s="259"/>
      <c r="AA42" s="39"/>
      <c r="AB42" s="39"/>
      <c r="AC42" s="106">
        <f t="shared" ref="AC42:AC48" si="42">AA42+AB42*1</f>
        <v>0</v>
      </c>
      <c r="AD42" s="178">
        <f>AC42/$AC$89</f>
        <v>0</v>
      </c>
      <c r="AE42" s="259"/>
      <c r="AF42" s="39"/>
      <c r="AG42" s="39"/>
      <c r="AH42" s="106">
        <f t="shared" ref="AH42:AH48" si="43">AF42+AG42*1</f>
        <v>0</v>
      </c>
      <c r="AI42" s="178">
        <f t="shared" ref="AI42:AI52" si="44">AH42/$AH$89</f>
        <v>0</v>
      </c>
      <c r="AJ42" s="259"/>
      <c r="AK42" s="39"/>
      <c r="AL42" s="39"/>
      <c r="AM42" s="106">
        <f t="shared" ref="AM42:AM48" si="45">AK42+AL42*1</f>
        <v>0</v>
      </c>
      <c r="AN42" s="178">
        <f t="shared" ref="AN42:AN49" si="46">AM42/$AH$89</f>
        <v>0</v>
      </c>
      <c r="AO42" s="259"/>
      <c r="AP42" s="39"/>
      <c r="AQ42" s="39"/>
      <c r="AR42" s="106">
        <f t="shared" ref="AR42:AR48" si="47">AP42+AQ42*1</f>
        <v>0</v>
      </c>
      <c r="AS42" s="178">
        <f t="shared" ref="AS42:AS49" si="48">AR42/$AH$89</f>
        <v>0</v>
      </c>
      <c r="AT42" s="259"/>
      <c r="AU42" s="39">
        <f t="shared" ref="AU42:AU48" si="49">G42+L42+Q42+V42+AA42+AF42+AK42+AP42</f>
        <v>0</v>
      </c>
      <c r="AV42" s="39">
        <f t="shared" ref="AV42:AV48" si="50">H42+M42+R42+W42+AB42+AG42+AL42+AQ42</f>
        <v>0</v>
      </c>
      <c r="AW42" s="106">
        <f t="shared" ref="AW42:AW48" si="51">AU42+AV42*1</f>
        <v>0</v>
      </c>
      <c r="AX42" s="178">
        <f t="shared" si="33"/>
        <v>0</v>
      </c>
      <c r="AY42" s="79"/>
      <c r="AZ42" s="452"/>
      <c r="BA42" s="452"/>
      <c r="BB42" s="446">
        <f t="shared" ref="BB42:BB48" si="52">AZ42+BA42*1</f>
        <v>0</v>
      </c>
      <c r="BC42" s="447" t="e">
        <f t="shared" si="34"/>
        <v>#DIV/0!</v>
      </c>
      <c r="BD42" s="842"/>
      <c r="BE42" s="842"/>
    </row>
    <row r="43" spans="1:57" ht="13.8">
      <c r="A43" s="4833"/>
      <c r="B43" s="18" t="s">
        <v>27</v>
      </c>
      <c r="C43" s="113"/>
      <c r="D43" s="119">
        <v>4000</v>
      </c>
      <c r="E43" s="120">
        <f t="shared" si="35"/>
        <v>4000</v>
      </c>
      <c r="F43" s="178">
        <f t="shared" si="31"/>
        <v>4.2447079480375681E-4</v>
      </c>
      <c r="G43" s="78"/>
      <c r="H43" s="103"/>
      <c r="I43" s="41">
        <f t="shared" si="36"/>
        <v>0</v>
      </c>
      <c r="J43" s="178">
        <f t="shared" si="25"/>
        <v>0</v>
      </c>
      <c r="K43" s="291"/>
      <c r="L43" s="39"/>
      <c r="M43" s="39">
        <v>721</v>
      </c>
      <c r="N43" s="106">
        <f t="shared" si="37"/>
        <v>721</v>
      </c>
      <c r="O43" s="178">
        <f t="shared" si="32"/>
        <v>4.797102756493381E-4</v>
      </c>
      <c r="P43" s="79" t="s">
        <v>480</v>
      </c>
      <c r="Q43" s="39"/>
      <c r="R43" s="39">
        <v>326</v>
      </c>
      <c r="S43" s="106">
        <f t="shared" si="38"/>
        <v>326</v>
      </c>
      <c r="T43" s="178">
        <f t="shared" si="39"/>
        <v>3.8147590860995869E-4</v>
      </c>
      <c r="U43" s="415" t="s">
        <v>480</v>
      </c>
      <c r="V43" s="39"/>
      <c r="W43" s="39">
        <v>340</v>
      </c>
      <c r="X43" s="106">
        <f t="shared" si="40"/>
        <v>340</v>
      </c>
      <c r="Y43" s="178">
        <f t="shared" si="41"/>
        <v>1.1892970779152175E-4</v>
      </c>
      <c r="Z43" s="388" t="s">
        <v>480</v>
      </c>
      <c r="AA43" s="39"/>
      <c r="AB43" s="39">
        <v>350</v>
      </c>
      <c r="AC43" s="106">
        <f t="shared" si="42"/>
        <v>350</v>
      </c>
      <c r="AD43" s="178">
        <f>AC43/$AC$89</f>
        <v>1.9735325689723069E-4</v>
      </c>
      <c r="AE43" s="388" t="s">
        <v>732</v>
      </c>
      <c r="AF43" s="39"/>
      <c r="AG43" s="39"/>
      <c r="AH43" s="106">
        <f t="shared" si="43"/>
        <v>0</v>
      </c>
      <c r="AI43" s="178">
        <f t="shared" si="44"/>
        <v>0</v>
      </c>
      <c r="AJ43" s="388" t="s">
        <v>732</v>
      </c>
      <c r="AK43" s="39"/>
      <c r="AL43" s="39"/>
      <c r="AM43" s="106">
        <f t="shared" si="45"/>
        <v>0</v>
      </c>
      <c r="AN43" s="178">
        <f t="shared" si="46"/>
        <v>0</v>
      </c>
      <c r="AO43" s="388" t="s">
        <v>732</v>
      </c>
      <c r="AP43" s="39"/>
      <c r="AQ43" s="39"/>
      <c r="AR43" s="106">
        <f t="shared" si="47"/>
        <v>0</v>
      </c>
      <c r="AS43" s="178">
        <f t="shared" si="48"/>
        <v>0</v>
      </c>
      <c r="AT43" s="388"/>
      <c r="AU43" s="39">
        <f t="shared" si="49"/>
        <v>0</v>
      </c>
      <c r="AV43" s="39">
        <f t="shared" si="50"/>
        <v>1737</v>
      </c>
      <c r="AW43" s="106">
        <f t="shared" si="51"/>
        <v>1737</v>
      </c>
      <c r="AX43" s="178">
        <f t="shared" si="33"/>
        <v>1.8393093919946886E-4</v>
      </c>
      <c r="AY43" s="79"/>
      <c r="AZ43" s="452"/>
      <c r="BA43" s="452">
        <v>1737</v>
      </c>
      <c r="BB43" s="446">
        <f t="shared" si="52"/>
        <v>1737</v>
      </c>
      <c r="BC43" s="450" t="e">
        <f t="shared" si="34"/>
        <v>#DIV/0!</v>
      </c>
      <c r="BD43" s="842"/>
      <c r="BE43" s="842"/>
    </row>
    <row r="44" spans="1:57" ht="13.8">
      <c r="A44" s="4833"/>
      <c r="B44" s="19" t="s">
        <v>28</v>
      </c>
      <c r="C44" s="113"/>
      <c r="D44" s="119">
        <v>690</v>
      </c>
      <c r="E44" s="120">
        <f t="shared" si="35"/>
        <v>690</v>
      </c>
      <c r="F44" s="178">
        <f t="shared" si="31"/>
        <v>7.322121210364805E-5</v>
      </c>
      <c r="G44" s="78"/>
      <c r="H44" s="369">
        <v>460</v>
      </c>
      <c r="I44" s="41">
        <f t="shared" si="36"/>
        <v>460</v>
      </c>
      <c r="J44" s="178">
        <f t="shared" si="25"/>
        <v>1.0733541991680565E-3</v>
      </c>
      <c r="K44" s="366" t="s">
        <v>372</v>
      </c>
      <c r="L44" s="39"/>
      <c r="M44" s="39"/>
      <c r="N44" s="106">
        <f t="shared" si="37"/>
        <v>0</v>
      </c>
      <c r="O44" s="178">
        <f t="shared" si="32"/>
        <v>0</v>
      </c>
      <c r="P44" s="79"/>
      <c r="Q44" s="39"/>
      <c r="R44" s="39"/>
      <c r="S44" s="106">
        <f t="shared" si="38"/>
        <v>0</v>
      </c>
      <c r="T44" s="178">
        <f t="shared" si="39"/>
        <v>0</v>
      </c>
      <c r="U44" s="259"/>
      <c r="V44" s="39"/>
      <c r="W44" s="39"/>
      <c r="X44" s="106">
        <f t="shared" si="40"/>
        <v>0</v>
      </c>
      <c r="Y44" s="178">
        <f t="shared" si="41"/>
        <v>0</v>
      </c>
      <c r="Z44" s="388"/>
      <c r="AA44" s="39"/>
      <c r="AB44" s="39"/>
      <c r="AC44" s="106">
        <f t="shared" si="42"/>
        <v>0</v>
      </c>
      <c r="AD44" s="178">
        <f t="shared" ref="AD44:AD52" si="53">AC44/$AC$89</f>
        <v>0</v>
      </c>
      <c r="AE44" s="388"/>
      <c r="AF44" s="39"/>
      <c r="AG44" s="39"/>
      <c r="AH44" s="106">
        <f t="shared" si="43"/>
        <v>0</v>
      </c>
      <c r="AI44" s="178">
        <f t="shared" si="44"/>
        <v>0</v>
      </c>
      <c r="AJ44" s="388"/>
      <c r="AK44" s="39"/>
      <c r="AL44" s="39"/>
      <c r="AM44" s="106">
        <f t="shared" si="45"/>
        <v>0</v>
      </c>
      <c r="AN44" s="178">
        <f t="shared" si="46"/>
        <v>0</v>
      </c>
      <c r="AO44" s="388"/>
      <c r="AP44" s="39"/>
      <c r="AQ44" s="39"/>
      <c r="AR44" s="106">
        <f t="shared" si="47"/>
        <v>0</v>
      </c>
      <c r="AS44" s="178">
        <f t="shared" si="48"/>
        <v>0</v>
      </c>
      <c r="AT44" s="388"/>
      <c r="AU44" s="39">
        <f t="shared" si="49"/>
        <v>0</v>
      </c>
      <c r="AV44" s="39">
        <f t="shared" si="50"/>
        <v>460</v>
      </c>
      <c r="AW44" s="106">
        <f t="shared" si="51"/>
        <v>460</v>
      </c>
      <c r="AX44" s="178">
        <f t="shared" si="33"/>
        <v>4.8709402436243913E-5</v>
      </c>
      <c r="AY44" s="79"/>
      <c r="AZ44" s="452"/>
      <c r="BA44" s="452">
        <v>460</v>
      </c>
      <c r="BB44" s="446">
        <f t="shared" si="52"/>
        <v>460</v>
      </c>
      <c r="BC44" s="450" t="e">
        <f t="shared" si="34"/>
        <v>#DIV/0!</v>
      </c>
      <c r="BD44" s="842"/>
      <c r="BE44" s="842"/>
    </row>
    <row r="45" spans="1:57" ht="13.8">
      <c r="A45" s="4833"/>
      <c r="B45" s="18" t="s">
        <v>8</v>
      </c>
      <c r="C45" s="113"/>
      <c r="D45" s="119">
        <v>11591.999999999998</v>
      </c>
      <c r="E45" s="120">
        <f t="shared" si="35"/>
        <v>11591.999999999998</v>
      </c>
      <c r="F45" s="178">
        <f t="shared" si="31"/>
        <v>1.230116363341287E-3</v>
      </c>
      <c r="G45" s="78">
        <v>540</v>
      </c>
      <c r="H45" s="103"/>
      <c r="I45" s="41">
        <f t="shared" si="36"/>
        <v>540</v>
      </c>
      <c r="J45" s="178">
        <f t="shared" si="25"/>
        <v>1.2600244946755447E-3</v>
      </c>
      <c r="K45" s="291"/>
      <c r="L45" s="39"/>
      <c r="M45" s="39"/>
      <c r="N45" s="106">
        <f t="shared" si="37"/>
        <v>0</v>
      </c>
      <c r="O45" s="178">
        <f t="shared" si="32"/>
        <v>0</v>
      </c>
      <c r="P45" s="79"/>
      <c r="Q45" s="39">
        <v>1080</v>
      </c>
      <c r="R45" s="39"/>
      <c r="S45" s="106">
        <f t="shared" si="38"/>
        <v>1080</v>
      </c>
      <c r="T45" s="178">
        <f t="shared" si="39"/>
        <v>1.2637852187078386E-3</v>
      </c>
      <c r="U45" s="415" t="s">
        <v>581</v>
      </c>
      <c r="V45" s="39">
        <v>800</v>
      </c>
      <c r="W45" s="39"/>
      <c r="X45" s="106">
        <f t="shared" si="40"/>
        <v>800</v>
      </c>
      <c r="Y45" s="178">
        <f t="shared" si="41"/>
        <v>2.7983460656828645E-4</v>
      </c>
      <c r="Z45" s="388" t="s">
        <v>581</v>
      </c>
      <c r="AA45" s="39"/>
      <c r="AB45" s="39"/>
      <c r="AC45" s="106">
        <f t="shared" si="42"/>
        <v>0</v>
      </c>
      <c r="AD45" s="178">
        <f t="shared" si="53"/>
        <v>0</v>
      </c>
      <c r="AE45" s="388"/>
      <c r="AF45" s="39"/>
      <c r="AG45" s="39"/>
      <c r="AH45" s="106">
        <f t="shared" si="43"/>
        <v>0</v>
      </c>
      <c r="AI45" s="178">
        <f t="shared" si="44"/>
        <v>0</v>
      </c>
      <c r="AJ45" s="388"/>
      <c r="AK45" s="39">
        <v>2320</v>
      </c>
      <c r="AL45" s="39"/>
      <c r="AM45" s="106">
        <f t="shared" si="45"/>
        <v>2320</v>
      </c>
      <c r="AN45" s="178">
        <f t="shared" si="46"/>
        <v>3.6863284210343927E-3</v>
      </c>
      <c r="AO45" s="388"/>
      <c r="AP45" s="39">
        <v>-1700</v>
      </c>
      <c r="AQ45" s="39"/>
      <c r="AR45" s="106">
        <f t="shared" si="47"/>
        <v>-1700</v>
      </c>
      <c r="AS45" s="178">
        <f t="shared" si="48"/>
        <v>-2.701188929206236E-3</v>
      </c>
      <c r="AT45" s="388"/>
      <c r="AU45" s="39">
        <f t="shared" si="49"/>
        <v>3040</v>
      </c>
      <c r="AV45" s="39">
        <f t="shared" si="50"/>
        <v>0</v>
      </c>
      <c r="AW45" s="106">
        <f t="shared" si="51"/>
        <v>3040</v>
      </c>
      <c r="AX45" s="178">
        <f t="shared" si="33"/>
        <v>3.2190561610039454E-4</v>
      </c>
      <c r="AY45" s="79"/>
      <c r="AZ45" s="452">
        <f>2320+720</f>
        <v>3040</v>
      </c>
      <c r="BA45" s="452"/>
      <c r="BB45" s="446">
        <f t="shared" si="52"/>
        <v>3040</v>
      </c>
      <c r="BC45" s="450" t="e">
        <f t="shared" si="34"/>
        <v>#DIV/0!</v>
      </c>
      <c r="BD45" s="842"/>
      <c r="BE45" s="842"/>
    </row>
    <row r="46" spans="1:57" ht="13.8">
      <c r="A46" s="4833"/>
      <c r="B46" s="18" t="s">
        <v>29</v>
      </c>
      <c r="C46" s="113"/>
      <c r="D46" s="119"/>
      <c r="E46" s="120">
        <f t="shared" si="35"/>
        <v>0</v>
      </c>
      <c r="F46" s="178">
        <f t="shared" si="31"/>
        <v>0</v>
      </c>
      <c r="G46" s="78"/>
      <c r="H46" s="103"/>
      <c r="I46" s="41">
        <f t="shared" si="36"/>
        <v>0</v>
      </c>
      <c r="J46" s="178">
        <f t="shared" si="25"/>
        <v>0</v>
      </c>
      <c r="K46" s="265"/>
      <c r="L46" s="39"/>
      <c r="M46" s="39"/>
      <c r="N46" s="106">
        <f t="shared" si="37"/>
        <v>0</v>
      </c>
      <c r="O46" s="178">
        <f t="shared" si="32"/>
        <v>0</v>
      </c>
      <c r="P46" s="79"/>
      <c r="Q46" s="39"/>
      <c r="R46" s="39"/>
      <c r="S46" s="106">
        <f t="shared" si="38"/>
        <v>0</v>
      </c>
      <c r="T46" s="178">
        <f t="shared" si="39"/>
        <v>0</v>
      </c>
      <c r="U46" s="259"/>
      <c r="V46" s="39"/>
      <c r="W46" s="39"/>
      <c r="X46" s="106">
        <f t="shared" si="40"/>
        <v>0</v>
      </c>
      <c r="Y46" s="178">
        <f t="shared" si="41"/>
        <v>0</v>
      </c>
      <c r="Z46" s="388"/>
      <c r="AA46" s="39"/>
      <c r="AB46" s="39"/>
      <c r="AC46" s="106">
        <f t="shared" si="42"/>
        <v>0</v>
      </c>
      <c r="AD46" s="178">
        <f t="shared" si="53"/>
        <v>0</v>
      </c>
      <c r="AE46" s="388"/>
      <c r="AF46" s="39"/>
      <c r="AG46" s="39"/>
      <c r="AH46" s="106">
        <f t="shared" si="43"/>
        <v>0</v>
      </c>
      <c r="AI46" s="178">
        <f t="shared" si="44"/>
        <v>0</v>
      </c>
      <c r="AJ46" s="388"/>
      <c r="AK46" s="39"/>
      <c r="AL46" s="39"/>
      <c r="AM46" s="106">
        <f t="shared" si="45"/>
        <v>0</v>
      </c>
      <c r="AN46" s="178">
        <f t="shared" si="46"/>
        <v>0</v>
      </c>
      <c r="AO46" s="388"/>
      <c r="AP46" s="39">
        <v>0</v>
      </c>
      <c r="AQ46" s="39"/>
      <c r="AR46" s="106">
        <f t="shared" si="47"/>
        <v>0</v>
      </c>
      <c r="AS46" s="178">
        <f t="shared" si="48"/>
        <v>0</v>
      </c>
      <c r="AT46" s="388"/>
      <c r="AU46" s="39">
        <f t="shared" si="49"/>
        <v>0</v>
      </c>
      <c r="AV46" s="39">
        <f t="shared" si="50"/>
        <v>0</v>
      </c>
      <c r="AW46" s="106">
        <f t="shared" si="51"/>
        <v>0</v>
      </c>
      <c r="AX46" s="178">
        <f t="shared" si="33"/>
        <v>0</v>
      </c>
      <c r="AY46" s="79"/>
      <c r="AZ46" s="452"/>
      <c r="BA46" s="452"/>
      <c r="BB46" s="446">
        <f t="shared" si="52"/>
        <v>0</v>
      </c>
      <c r="BC46" s="450" t="e">
        <f t="shared" si="34"/>
        <v>#DIV/0!</v>
      </c>
      <c r="BD46" s="842"/>
      <c r="BE46" s="842"/>
    </row>
    <row r="47" spans="1:57" ht="27.6">
      <c r="A47" s="4833"/>
      <c r="B47" s="18" t="s">
        <v>30</v>
      </c>
      <c r="C47" s="113">
        <v>16800</v>
      </c>
      <c r="D47" s="119"/>
      <c r="E47" s="120">
        <f t="shared" si="35"/>
        <v>16800</v>
      </c>
      <c r="F47" s="178">
        <f t="shared" si="31"/>
        <v>1.7827773381757785E-3</v>
      </c>
      <c r="G47" s="78"/>
      <c r="H47" s="103"/>
      <c r="I47" s="41">
        <f t="shared" si="36"/>
        <v>0</v>
      </c>
      <c r="J47" s="178">
        <f t="shared" si="25"/>
        <v>0</v>
      </c>
      <c r="K47" s="291"/>
      <c r="L47" s="39"/>
      <c r="M47" s="39"/>
      <c r="N47" s="106">
        <f t="shared" si="37"/>
        <v>0</v>
      </c>
      <c r="O47" s="178">
        <f t="shared" si="32"/>
        <v>0</v>
      </c>
      <c r="P47" s="79"/>
      <c r="Q47" s="39">
        <v>5146.8</v>
      </c>
      <c r="R47" s="39">
        <v>465.8</v>
      </c>
      <c r="S47" s="106">
        <f t="shared" si="38"/>
        <v>5612.6</v>
      </c>
      <c r="T47" s="178">
        <f t="shared" si="39"/>
        <v>6.5677045541848288E-3</v>
      </c>
      <c r="U47" s="259"/>
      <c r="V47" s="39">
        <v>2586</v>
      </c>
      <c r="W47" s="39">
        <v>71</v>
      </c>
      <c r="X47" s="106">
        <f t="shared" si="40"/>
        <v>2657</v>
      </c>
      <c r="Y47" s="178">
        <f t="shared" si="41"/>
        <v>9.2940068706492149E-4</v>
      </c>
      <c r="Z47" s="388" t="s">
        <v>632</v>
      </c>
      <c r="AA47" s="39">
        <v>1320</v>
      </c>
      <c r="AB47" s="39"/>
      <c r="AC47" s="106">
        <f t="shared" si="42"/>
        <v>1320</v>
      </c>
      <c r="AD47" s="178">
        <f t="shared" si="53"/>
        <v>7.4430371172669861E-4</v>
      </c>
      <c r="AE47" s="388"/>
      <c r="AF47" s="39">
        <v>451.85</v>
      </c>
      <c r="AG47" s="39"/>
      <c r="AH47" s="106">
        <f t="shared" si="43"/>
        <v>451.85</v>
      </c>
      <c r="AI47" s="178">
        <f t="shared" si="44"/>
        <v>7.1796012803637514E-4</v>
      </c>
      <c r="AJ47" s="388"/>
      <c r="AK47" s="39">
        <v>172</v>
      </c>
      <c r="AL47" s="39"/>
      <c r="AM47" s="106">
        <f t="shared" si="45"/>
        <v>172</v>
      </c>
      <c r="AN47" s="178">
        <f t="shared" si="46"/>
        <v>2.7329676224910153E-4</v>
      </c>
      <c r="AO47" s="388"/>
      <c r="AP47" s="39"/>
      <c r="AQ47" s="39"/>
      <c r="AR47" s="106">
        <f t="shared" si="47"/>
        <v>0</v>
      </c>
      <c r="AS47" s="178">
        <f t="shared" si="48"/>
        <v>0</v>
      </c>
      <c r="AT47" s="388"/>
      <c r="AU47" s="39">
        <f t="shared" si="49"/>
        <v>9676.65</v>
      </c>
      <c r="AV47" s="39">
        <f t="shared" si="50"/>
        <v>536.79999999999995</v>
      </c>
      <c r="AW47" s="106">
        <f t="shared" si="51"/>
        <v>10213.449999999999</v>
      </c>
      <c r="AX47" s="178">
        <f t="shared" si="33"/>
        <v>1.0815022745922942E-3</v>
      </c>
      <c r="AY47" s="79"/>
      <c r="AZ47" s="452">
        <v>9676.65</v>
      </c>
      <c r="BA47" s="452">
        <v>536.79999999999995</v>
      </c>
      <c r="BB47" s="446">
        <f t="shared" si="52"/>
        <v>10213.449999999999</v>
      </c>
      <c r="BC47" s="450" t="e">
        <f t="shared" si="34"/>
        <v>#DIV/0!</v>
      </c>
      <c r="BD47" s="842"/>
      <c r="BE47" s="842"/>
    </row>
    <row r="48" spans="1:57" ht="30.6">
      <c r="A48" s="4833"/>
      <c r="B48" s="18" t="s">
        <v>15</v>
      </c>
      <c r="C48" s="113">
        <v>10000</v>
      </c>
      <c r="D48" s="119"/>
      <c r="E48" s="120">
        <f t="shared" si="35"/>
        <v>10000</v>
      </c>
      <c r="F48" s="178">
        <f t="shared" si="31"/>
        <v>1.061176987009392E-3</v>
      </c>
      <c r="G48" s="78">
        <v>1391.58</v>
      </c>
      <c r="H48" s="103">
        <v>112</v>
      </c>
      <c r="I48" s="41">
        <f t="shared" si="36"/>
        <v>1503.58</v>
      </c>
      <c r="J48" s="178">
        <f t="shared" si="25"/>
        <v>3.5084215364893615E-3</v>
      </c>
      <c r="K48" s="366" t="s">
        <v>373</v>
      </c>
      <c r="L48" s="39"/>
      <c r="M48" s="39"/>
      <c r="N48" s="106">
        <f t="shared" si="37"/>
        <v>0</v>
      </c>
      <c r="O48" s="178">
        <f t="shared" si="32"/>
        <v>0</v>
      </c>
      <c r="P48" s="79"/>
      <c r="Q48" s="39">
        <v>1261.98</v>
      </c>
      <c r="R48" s="39"/>
      <c r="S48" s="106">
        <f t="shared" si="38"/>
        <v>1261.98</v>
      </c>
      <c r="T48" s="178">
        <f t="shared" si="39"/>
        <v>1.4767330280601094E-3</v>
      </c>
      <c r="U48" s="259"/>
      <c r="V48" s="39"/>
      <c r="W48" s="39"/>
      <c r="X48" s="106">
        <f t="shared" si="40"/>
        <v>0</v>
      </c>
      <c r="Y48" s="178">
        <f t="shared" si="41"/>
        <v>0</v>
      </c>
      <c r="Z48" s="388"/>
      <c r="AA48" s="39"/>
      <c r="AB48" s="39"/>
      <c r="AC48" s="106">
        <f t="shared" si="42"/>
        <v>0</v>
      </c>
      <c r="AD48" s="178">
        <f t="shared" si="53"/>
        <v>0</v>
      </c>
      <c r="AE48" s="388"/>
      <c r="AF48" s="39">
        <v>1051.6500000000001</v>
      </c>
      <c r="AG48" s="39"/>
      <c r="AH48" s="106">
        <f t="shared" si="43"/>
        <v>1051.6500000000001</v>
      </c>
      <c r="AI48" s="178">
        <f t="shared" si="44"/>
        <v>1.6710031396469048E-3</v>
      </c>
      <c r="AJ48" s="388"/>
      <c r="AK48" s="39"/>
      <c r="AL48" s="39"/>
      <c r="AM48" s="106">
        <f t="shared" si="45"/>
        <v>0</v>
      </c>
      <c r="AN48" s="178">
        <f t="shared" si="46"/>
        <v>0</v>
      </c>
      <c r="AO48" s="388"/>
      <c r="AP48" s="39">
        <v>-1051.6500000000001</v>
      </c>
      <c r="AQ48" s="39"/>
      <c r="AR48" s="106">
        <f t="shared" si="47"/>
        <v>-1051.6500000000001</v>
      </c>
      <c r="AS48" s="178">
        <f t="shared" si="48"/>
        <v>-1.6710031396469048E-3</v>
      </c>
      <c r="AT48" s="388"/>
      <c r="AU48" s="39">
        <f t="shared" si="49"/>
        <v>2653.56</v>
      </c>
      <c r="AV48" s="39">
        <f t="shared" si="50"/>
        <v>112</v>
      </c>
      <c r="AW48" s="106">
        <f t="shared" si="51"/>
        <v>2765.56</v>
      </c>
      <c r="AX48" s="178">
        <f t="shared" si="33"/>
        <v>2.9284516304691025E-4</v>
      </c>
      <c r="AY48" s="79"/>
      <c r="AZ48" s="452">
        <f>1391.58+1261.98</f>
        <v>2653.56</v>
      </c>
      <c r="BA48" s="452">
        <v>112</v>
      </c>
      <c r="BB48" s="446">
        <f t="shared" si="52"/>
        <v>2765.56</v>
      </c>
      <c r="BC48" s="450" t="e">
        <f t="shared" si="34"/>
        <v>#DIV/0!</v>
      </c>
      <c r="BD48" s="842"/>
      <c r="BE48" s="842"/>
    </row>
    <row r="49" spans="1:57" s="2" customFormat="1" ht="14.4" thickBot="1">
      <c r="A49" s="11"/>
      <c r="B49" s="35"/>
      <c r="C49" s="116"/>
      <c r="D49" s="121"/>
      <c r="E49" s="122"/>
      <c r="F49" s="182"/>
      <c r="G49" s="222"/>
      <c r="H49" s="223"/>
      <c r="I49" s="52"/>
      <c r="J49" s="203">
        <f t="shared" si="25"/>
        <v>0</v>
      </c>
      <c r="K49" s="273"/>
      <c r="L49" s="39"/>
      <c r="M49" s="39"/>
      <c r="N49" s="52"/>
      <c r="O49" s="178">
        <f t="shared" si="32"/>
        <v>0</v>
      </c>
      <c r="P49" s="52"/>
      <c r="Q49" s="39"/>
      <c r="R49" s="39"/>
      <c r="S49" s="52"/>
      <c r="T49" s="178">
        <f t="shared" si="39"/>
        <v>0</v>
      </c>
      <c r="U49" s="64"/>
      <c r="V49" s="39"/>
      <c r="W49" s="39"/>
      <c r="X49" s="52"/>
      <c r="Y49" s="178">
        <f t="shared" si="41"/>
        <v>0</v>
      </c>
      <c r="Z49" s="64"/>
      <c r="AA49" s="39"/>
      <c r="AB49" s="39"/>
      <c r="AC49" s="52"/>
      <c r="AD49" s="178">
        <f t="shared" si="53"/>
        <v>0</v>
      </c>
      <c r="AE49" s="64"/>
      <c r="AF49" s="39"/>
      <c r="AG49" s="39"/>
      <c r="AH49" s="52"/>
      <c r="AI49" s="178">
        <f t="shared" si="44"/>
        <v>0</v>
      </c>
      <c r="AJ49" s="64"/>
      <c r="AK49" s="39"/>
      <c r="AL49" s="39"/>
      <c r="AM49" s="52"/>
      <c r="AN49" s="178">
        <f t="shared" si="46"/>
        <v>0</v>
      </c>
      <c r="AO49" s="64"/>
      <c r="AP49" s="39"/>
      <c r="AQ49" s="39"/>
      <c r="AR49" s="52"/>
      <c r="AS49" s="178">
        <f t="shared" si="48"/>
        <v>0</v>
      </c>
      <c r="AT49" s="64"/>
      <c r="AU49" s="39"/>
      <c r="AV49" s="39"/>
      <c r="AW49" s="52"/>
      <c r="AX49" s="178">
        <f t="shared" si="33"/>
        <v>0</v>
      </c>
      <c r="AY49" s="52"/>
      <c r="AZ49" s="452"/>
      <c r="BA49" s="452"/>
      <c r="BB49" s="606"/>
      <c r="BC49" s="450" t="e">
        <f t="shared" si="34"/>
        <v>#DIV/0!</v>
      </c>
      <c r="BD49" s="842"/>
      <c r="BE49" s="842"/>
    </row>
    <row r="50" spans="1:57" s="2" customFormat="1" ht="14.4" thickBot="1">
      <c r="A50" s="293"/>
      <c r="B50" s="17" t="s">
        <v>59</v>
      </c>
      <c r="C50" s="123"/>
      <c r="D50" s="123"/>
      <c r="E50" s="123">
        <f>SUM(E51:E52)</f>
        <v>0</v>
      </c>
      <c r="F50" s="170">
        <f>E50/$E$89</f>
        <v>0</v>
      </c>
      <c r="G50" s="123">
        <f>SUM(G51:G52)</f>
        <v>1758.8</v>
      </c>
      <c r="H50" s="123">
        <f>SUM(H51:H52)</f>
        <v>0</v>
      </c>
      <c r="I50" s="123">
        <f>SUM(I51:I52)</f>
        <v>1758.8</v>
      </c>
      <c r="J50" s="170">
        <f t="shared" si="25"/>
        <v>4.1039464467321259E-3</v>
      </c>
      <c r="K50" s="274"/>
      <c r="L50" s="123">
        <f>L52+L51</f>
        <v>0</v>
      </c>
      <c r="M50" s="123">
        <f>M52+M51</f>
        <v>0</v>
      </c>
      <c r="N50" s="123">
        <f>SUM(N51:N52)</f>
        <v>0</v>
      </c>
      <c r="O50" s="60"/>
      <c r="P50" s="60"/>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c r="AE50" s="409"/>
      <c r="AF50" s="123">
        <f>AF52+AF51</f>
        <v>0</v>
      </c>
      <c r="AG50" s="123">
        <f>AG52+AG51</f>
        <v>0</v>
      </c>
      <c r="AH50" s="123">
        <f>SUM(AH51:AH52)</f>
        <v>0</v>
      </c>
      <c r="AI50" s="60">
        <f>AH50/$AH$89</f>
        <v>0</v>
      </c>
      <c r="AJ50" s="409"/>
      <c r="AK50" s="123">
        <f>AK52+AK51</f>
        <v>0</v>
      </c>
      <c r="AL50" s="123">
        <f>AL52+AL51</f>
        <v>0</v>
      </c>
      <c r="AM50" s="123">
        <f>SUM(AM51:AM52)</f>
        <v>0</v>
      </c>
      <c r="AN50" s="60">
        <f>AM50/$AH$89</f>
        <v>0</v>
      </c>
      <c r="AO50" s="409"/>
      <c r="AP50" s="123">
        <f>AP52+AP51</f>
        <v>0</v>
      </c>
      <c r="AQ50" s="123">
        <f>AQ52+AQ51</f>
        <v>0</v>
      </c>
      <c r="AR50" s="123">
        <f>SUM(AR51:AR52)</f>
        <v>0</v>
      </c>
      <c r="AS50" s="60">
        <f>AR50/$AH$89</f>
        <v>0</v>
      </c>
      <c r="AT50" s="409"/>
      <c r="AU50" s="123">
        <f>AU52+AU51</f>
        <v>1758.8</v>
      </c>
      <c r="AV50" s="123">
        <f>AV52+AV51</f>
        <v>0</v>
      </c>
      <c r="AW50" s="123">
        <f>SUM(AW51:AW52)</f>
        <v>1758.8</v>
      </c>
      <c r="AX50" s="60"/>
      <c r="AY50" s="60"/>
      <c r="AZ50" s="836">
        <f>AZ52+AZ51</f>
        <v>1758.8</v>
      </c>
      <c r="BA50" s="836">
        <f>BA52+BA51</f>
        <v>0</v>
      </c>
      <c r="BB50" s="836">
        <f>SUM(BB51:BB52)</f>
        <v>1758.8</v>
      </c>
      <c r="BC50" s="837" t="e">
        <v>#DIV/0!</v>
      </c>
      <c r="BD50" s="842"/>
      <c r="BE50" s="842"/>
    </row>
    <row r="51" spans="1:57" s="226" customFormat="1" ht="13.8" outlineLevel="1">
      <c r="A51" s="234"/>
      <c r="B51" s="18" t="s">
        <v>60</v>
      </c>
      <c r="C51" s="113"/>
      <c r="D51" s="119"/>
      <c r="E51" s="119">
        <f>C51+D51</f>
        <v>0</v>
      </c>
      <c r="F51" s="180">
        <f>E51/$E$89</f>
        <v>0</v>
      </c>
      <c r="G51" s="45"/>
      <c r="H51" s="45"/>
      <c r="I51" s="41">
        <f>G51+H51*1</f>
        <v>0</v>
      </c>
      <c r="J51" s="178">
        <f t="shared" si="25"/>
        <v>0</v>
      </c>
      <c r="K51" s="265"/>
      <c r="L51" s="39"/>
      <c r="M51" s="39"/>
      <c r="N51" s="106">
        <f>L51+M51*1</f>
        <v>0</v>
      </c>
      <c r="O51" s="178">
        <f>N51/$N$89</f>
        <v>0</v>
      </c>
      <c r="P51" s="45"/>
      <c r="Q51" s="39"/>
      <c r="R51" s="39"/>
      <c r="S51" s="106">
        <f>Q51+R51*1</f>
        <v>0</v>
      </c>
      <c r="T51" s="178">
        <f t="shared" si="39"/>
        <v>0</v>
      </c>
      <c r="U51" s="405"/>
      <c r="V51" s="39"/>
      <c r="W51" s="39"/>
      <c r="X51" s="106">
        <f>V51+W51*1</f>
        <v>0</v>
      </c>
      <c r="Y51" s="178">
        <f>X51/$S$89</f>
        <v>0</v>
      </c>
      <c r="Z51" s="405"/>
      <c r="AA51" s="39"/>
      <c r="AB51" s="39"/>
      <c r="AC51" s="106">
        <f>AA51+AB51*1</f>
        <v>0</v>
      </c>
      <c r="AD51" s="178">
        <f t="shared" si="53"/>
        <v>0</v>
      </c>
      <c r="AE51" s="405"/>
      <c r="AF51" s="39"/>
      <c r="AG51" s="39"/>
      <c r="AH51" s="106">
        <f>AF51+AG51*1</f>
        <v>0</v>
      </c>
      <c r="AI51" s="178">
        <f t="shared" si="44"/>
        <v>0</v>
      </c>
      <c r="AJ51" s="405"/>
      <c r="AK51" s="39"/>
      <c r="AL51" s="39"/>
      <c r="AM51" s="106">
        <f>AK51+AL51*1</f>
        <v>0</v>
      </c>
      <c r="AN51" s="178">
        <f>AM51/$AH$89</f>
        <v>0</v>
      </c>
      <c r="AO51" s="405"/>
      <c r="AP51" s="39"/>
      <c r="AQ51" s="39"/>
      <c r="AR51" s="106">
        <f>AP51+AQ51*1</f>
        <v>0</v>
      </c>
      <c r="AS51" s="178">
        <f>AR51/$AH$89</f>
        <v>0</v>
      </c>
      <c r="AT51" s="405"/>
      <c r="AU51" s="39">
        <f>G51+L51+Q51+V51+AA51+AF51+AK51+AP51</f>
        <v>0</v>
      </c>
      <c r="AV51" s="39">
        <f>H51+M51+R51+W51+AB51+AG51+AL51+AQ51</f>
        <v>0</v>
      </c>
      <c r="AW51" s="106">
        <f>AU51+AV51*1</f>
        <v>0</v>
      </c>
      <c r="AX51" s="178">
        <f>AW51/$AW$89</f>
        <v>0</v>
      </c>
      <c r="AY51" s="45"/>
      <c r="AZ51" s="452"/>
      <c r="BA51" s="452"/>
      <c r="BB51" s="446">
        <f>AZ51+BA51*1</f>
        <v>0</v>
      </c>
      <c r="BC51" s="447" t="e">
        <f t="shared" si="34"/>
        <v>#DIV/0!</v>
      </c>
      <c r="BD51" s="842"/>
      <c r="BE51" s="842"/>
    </row>
    <row r="52" spans="1:57" s="235" customFormat="1" ht="13.8" outlineLevel="2">
      <c r="A52" s="234"/>
      <c r="B52" s="18" t="s">
        <v>61</v>
      </c>
      <c r="C52" s="113"/>
      <c r="D52" s="119"/>
      <c r="E52" s="119">
        <f>C52+D52</f>
        <v>0</v>
      </c>
      <c r="F52" s="180">
        <f>E52/$E$89</f>
        <v>0</v>
      </c>
      <c r="G52" s="45">
        <v>1758.8</v>
      </c>
      <c r="H52" s="224"/>
      <c r="I52" s="41">
        <f>G52+H52*1</f>
        <v>1758.8</v>
      </c>
      <c r="J52" s="178">
        <f t="shared" si="25"/>
        <v>4.1039464467321259E-3</v>
      </c>
      <c r="K52" s="367" t="s">
        <v>367</v>
      </c>
      <c r="L52" s="39"/>
      <c r="M52" s="39"/>
      <c r="N52" s="106">
        <f>L52+M52*1</f>
        <v>0</v>
      </c>
      <c r="O52" s="178">
        <f>N52/$N$89</f>
        <v>0</v>
      </c>
      <c r="P52" s="45"/>
      <c r="Q52" s="39"/>
      <c r="R52" s="39"/>
      <c r="S52" s="106">
        <f>Q52+R52*1</f>
        <v>0</v>
      </c>
      <c r="T52" s="178">
        <f t="shared" si="39"/>
        <v>0</v>
      </c>
      <c r="U52" s="405"/>
      <c r="V52" s="39"/>
      <c r="W52" s="39"/>
      <c r="X52" s="106">
        <f>V52+W52*1</f>
        <v>0</v>
      </c>
      <c r="Y52" s="178">
        <f>X52/$S$89</f>
        <v>0</v>
      </c>
      <c r="Z52" s="405"/>
      <c r="AA52" s="39"/>
      <c r="AB52" s="39"/>
      <c r="AC52" s="106">
        <f>AA52+AB52*1</f>
        <v>0</v>
      </c>
      <c r="AD52" s="178">
        <f t="shared" si="53"/>
        <v>0</v>
      </c>
      <c r="AE52" s="405"/>
      <c r="AF52" s="39"/>
      <c r="AG52" s="39"/>
      <c r="AH52" s="106">
        <f>AF52+AG52*1</f>
        <v>0</v>
      </c>
      <c r="AI52" s="178">
        <f t="shared" si="44"/>
        <v>0</v>
      </c>
      <c r="AJ52" s="405"/>
      <c r="AK52" s="39"/>
      <c r="AL52" s="39"/>
      <c r="AM52" s="106">
        <f>AK52+AL52*1</f>
        <v>0</v>
      </c>
      <c r="AN52" s="178">
        <f>AM52/$AH$89</f>
        <v>0</v>
      </c>
      <c r="AO52" s="405"/>
      <c r="AP52" s="39"/>
      <c r="AQ52" s="39"/>
      <c r="AR52" s="106">
        <f>AP52+AQ52*1</f>
        <v>0</v>
      </c>
      <c r="AS52" s="178">
        <f>AR52/$AH$89</f>
        <v>0</v>
      </c>
      <c r="AT52" s="405"/>
      <c r="AU52" s="39">
        <f>G52+L52+Q52+V52+AA52+AF52+AK52+AP52</f>
        <v>1758.8</v>
      </c>
      <c r="AV52" s="39">
        <f>H52+M52+R52+W52+AB52+AG52+AL52+AQ52</f>
        <v>0</v>
      </c>
      <c r="AW52" s="106">
        <f>AU52+AV52*1</f>
        <v>1758.8</v>
      </c>
      <c r="AX52" s="178">
        <f>AW52/$AW$89</f>
        <v>1.8623934131492564E-4</v>
      </c>
      <c r="AY52" s="45"/>
      <c r="AZ52" s="452">
        <v>1758.8</v>
      </c>
      <c r="BA52" s="452"/>
      <c r="BB52" s="446">
        <f>AZ52+BA52*1</f>
        <v>1758.8</v>
      </c>
      <c r="BC52" s="450" t="e">
        <f t="shared" si="34"/>
        <v>#DIV/0!</v>
      </c>
      <c r="BD52" s="842"/>
      <c r="BE52" s="842"/>
    </row>
    <row r="53" spans="1:57" ht="14.4" outlineLevel="1" thickBot="1">
      <c r="A53" s="20"/>
      <c r="B53" s="21"/>
      <c r="C53" s="124"/>
      <c r="D53" s="125"/>
      <c r="E53" s="126"/>
      <c r="F53" s="183"/>
      <c r="G53" s="81"/>
      <c r="H53" s="81"/>
      <c r="I53" s="81"/>
      <c r="J53" s="204">
        <f t="shared" si="25"/>
        <v>0</v>
      </c>
      <c r="K53" s="275"/>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61"/>
      <c r="AN53" s="61"/>
      <c r="AO53" s="61"/>
      <c r="AP53" s="39"/>
      <c r="AQ53" s="39"/>
      <c r="AR53" s="61"/>
      <c r="AS53" s="61"/>
      <c r="AT53" s="61"/>
      <c r="AU53" s="39"/>
      <c r="AV53" s="39"/>
      <c r="AW53" s="61"/>
      <c r="AX53" s="61"/>
      <c r="AY53" s="61"/>
      <c r="AZ53" s="452"/>
      <c r="BA53" s="452"/>
      <c r="BB53" s="668"/>
      <c r="BC53" s="668"/>
      <c r="BD53" s="842"/>
      <c r="BE53" s="842"/>
    </row>
    <row r="54" spans="1:57" ht="14.4" outlineLevel="1" thickBot="1">
      <c r="A54" s="236"/>
      <c r="B54" s="17" t="s">
        <v>1</v>
      </c>
      <c r="C54" s="123">
        <f>SUM(C55:C71)</f>
        <v>65773</v>
      </c>
      <c r="D54" s="123">
        <f>SUM(D55:D71)</f>
        <v>124534.2</v>
      </c>
      <c r="E54" s="127">
        <f>SUM(E55:E71)</f>
        <v>190307.20000000001</v>
      </c>
      <c r="F54" s="170">
        <f t="shared" ref="F54:F73" si="54">E54/$E$89</f>
        <v>2.0194962110219379E-2</v>
      </c>
      <c r="G54" s="123">
        <f>SUM(G55:G71)</f>
        <v>16169.95</v>
      </c>
      <c r="H54" s="123">
        <f>SUM(H55:H71)</f>
        <v>21649.200000000001</v>
      </c>
      <c r="I54" s="127">
        <f>SUM(I55:I71)</f>
        <v>37819.15</v>
      </c>
      <c r="J54" s="170">
        <f t="shared" si="25"/>
        <v>8.8246398829275235E-2</v>
      </c>
      <c r="K54" s="274"/>
      <c r="L54" s="123">
        <f>SUM(L55:L72)</f>
        <v>8052</v>
      </c>
      <c r="M54" s="123">
        <f>SUM(M55:M72)</f>
        <v>12537.9</v>
      </c>
      <c r="N54" s="123">
        <f>SUM(N55:N72)</f>
        <v>20589.900000000001</v>
      </c>
      <c r="O54" s="169">
        <f t="shared" ref="O54:O72" si="55">N54/$N$89</f>
        <v>1.3699287939795156E-2</v>
      </c>
      <c r="P54" s="60"/>
      <c r="Q54" s="123">
        <f>SUM(Q55:Q72)</f>
        <v>10589.535</v>
      </c>
      <c r="R54" s="123">
        <f>SUM(R55:R72)</f>
        <v>13281</v>
      </c>
      <c r="S54" s="123">
        <f>SUM(S55:S72)</f>
        <v>23870.535</v>
      </c>
      <c r="T54" s="169">
        <f>S54/$S$89</f>
        <v>2.7932619718192699E-2</v>
      </c>
      <c r="U54" s="409"/>
      <c r="V54" s="123">
        <f>SUM(V55:V72)</f>
        <v>10535.35</v>
      </c>
      <c r="W54" s="123">
        <f>SUM(W55:W72)</f>
        <v>16693.45</v>
      </c>
      <c r="X54" s="123">
        <f>SUM(X55:X72)</f>
        <v>27228.800000000003</v>
      </c>
      <c r="Y54" s="169">
        <f>X54/$X$89</f>
        <v>9.5244506691581996E-3</v>
      </c>
      <c r="Z54" s="409"/>
      <c r="AA54" s="123">
        <f>SUM(AA55:AA72)</f>
        <v>14729.6</v>
      </c>
      <c r="AB54" s="123">
        <f>SUM(AB55:AB72)</f>
        <v>13302</v>
      </c>
      <c r="AC54" s="123">
        <f>SUM(AC55:AC72)</f>
        <v>28031.599999999999</v>
      </c>
      <c r="AD54" s="169">
        <f>AC54/$AC$89</f>
        <v>1.5806078731544035E-2</v>
      </c>
      <c r="AE54" s="409"/>
      <c r="AF54" s="123">
        <f>SUM(AF55:AF72)</f>
        <v>11544</v>
      </c>
      <c r="AG54" s="123">
        <f>SUM(AG55:AG72)</f>
        <v>11687</v>
      </c>
      <c r="AH54" s="123">
        <f>SUM(AH55:AH72)</f>
        <v>23231</v>
      </c>
      <c r="AI54" s="169">
        <f>AH54/$AH$89</f>
        <v>3.6912541184935331E-2</v>
      </c>
      <c r="AJ54" s="409"/>
      <c r="AK54" s="123">
        <f>SUM(AK55:AK72)</f>
        <v>0</v>
      </c>
      <c r="AL54" s="123">
        <f>SUM(AL55:AL72)</f>
        <v>0</v>
      </c>
      <c r="AM54" s="123">
        <f>SUM(AM55:AM72)</f>
        <v>0</v>
      </c>
      <c r="AN54" s="169">
        <f>AM54/$AH$89</f>
        <v>0</v>
      </c>
      <c r="AO54" s="409"/>
      <c r="AP54" s="123">
        <f>SUM(AP55:AP72)</f>
        <v>5017.5650000000023</v>
      </c>
      <c r="AQ54" s="123">
        <f>SUM(AQ55:AQ72)</f>
        <v>1641</v>
      </c>
      <c r="AR54" s="123">
        <f>SUM(AR55:AR72)</f>
        <v>6658.5650000000023</v>
      </c>
      <c r="AS54" s="169">
        <f>AR54/$AH$89</f>
        <v>1.0580024742588309E-2</v>
      </c>
      <c r="AT54" s="409"/>
      <c r="AU54" s="123">
        <f>SUM(AU55:AU72)</f>
        <v>76638</v>
      </c>
      <c r="AV54" s="123">
        <f>SUM(AV55:AV72)</f>
        <v>90791.55</v>
      </c>
      <c r="AW54" s="123">
        <f>SUM(AW55:AW72)</f>
        <v>167429.54999999999</v>
      </c>
      <c r="AX54" s="169">
        <f t="shared" ref="AX54:AX72" si="56">AW54/$AW$89</f>
        <v>1.7729115936237438E-2</v>
      </c>
      <c r="AY54" s="60"/>
      <c r="AZ54" s="836">
        <f>SUM(AZ55:AZ72)</f>
        <v>76638</v>
      </c>
      <c r="BA54" s="836">
        <f>SUM(BA55:BA72)</f>
        <v>90791.55</v>
      </c>
      <c r="BB54" s="836">
        <f>SUM(BB55:BB72)</f>
        <v>167429.54999999999</v>
      </c>
      <c r="BC54" s="838" t="e">
        <f t="shared" ref="BC54:BC71" si="57">BB54/$F$89</f>
        <v>#DIV/0!</v>
      </c>
      <c r="BD54" s="842"/>
      <c r="BE54" s="842"/>
    </row>
    <row r="55" spans="1:57" ht="13.95" customHeight="1" outlineLevel="2">
      <c r="A55" s="237"/>
      <c r="B55" s="19" t="s">
        <v>77</v>
      </c>
      <c r="C55" s="113"/>
      <c r="D55" s="128"/>
      <c r="E55" s="120">
        <f t="shared" ref="E55:E71" si="58">C55+D55</f>
        <v>0</v>
      </c>
      <c r="F55" s="178">
        <f t="shared" si="54"/>
        <v>0</v>
      </c>
      <c r="G55" s="78"/>
      <c r="H55" s="161"/>
      <c r="I55" s="41">
        <f t="shared" ref="I55:I71" si="59">G55+H55*1</f>
        <v>0</v>
      </c>
      <c r="J55" s="178">
        <f t="shared" si="25"/>
        <v>0</v>
      </c>
      <c r="K55" s="291"/>
      <c r="L55" s="210"/>
      <c r="M55" s="210"/>
      <c r="N55" s="106">
        <f t="shared" ref="N55:N71" si="60">L55+M55*1</f>
        <v>0</v>
      </c>
      <c r="O55" s="178">
        <f t="shared" si="55"/>
        <v>0</v>
      </c>
      <c r="P55" s="79"/>
      <c r="Q55" s="210"/>
      <c r="R55" s="210"/>
      <c r="S55" s="106">
        <f t="shared" ref="S55:S71" si="61">Q55+R55*1</f>
        <v>0</v>
      </c>
      <c r="T55" s="178">
        <f t="shared" ref="T55:T72" si="62">S55/$S$89</f>
        <v>0</v>
      </c>
      <c r="U55" s="259"/>
      <c r="V55" s="210"/>
      <c r="W55" s="210"/>
      <c r="X55" s="106">
        <f t="shared" ref="X55:X71" si="63">V55+W55*1</f>
        <v>0</v>
      </c>
      <c r="Y55" s="178">
        <f t="shared" ref="Y55:Y72" si="64">X55/$X$89</f>
        <v>0</v>
      </c>
      <c r="Z55" s="259"/>
      <c r="AA55" s="210"/>
      <c r="AB55" s="210"/>
      <c r="AC55" s="106">
        <f t="shared" ref="AC55:AC71" si="65">AA55+AB55*1</f>
        <v>0</v>
      </c>
      <c r="AD55" s="178">
        <f t="shared" ref="AD55:AD72" si="66">AC55/$AC$89</f>
        <v>0</v>
      </c>
      <c r="AE55" s="259"/>
      <c r="AF55" s="210"/>
      <c r="AG55" s="210"/>
      <c r="AH55" s="106">
        <f t="shared" ref="AH55:AH71" si="67">AF55+AG55*1</f>
        <v>0</v>
      </c>
      <c r="AI55" s="178">
        <f t="shared" ref="AI55:AI72" si="68">AH55/$AH$89</f>
        <v>0</v>
      </c>
      <c r="AJ55" s="259"/>
      <c r="AK55" s="210"/>
      <c r="AL55" s="210"/>
      <c r="AM55" s="106">
        <f t="shared" ref="AM55:AM71" si="69">AK55+AL55*1</f>
        <v>0</v>
      </c>
      <c r="AN55" s="178">
        <f t="shared" ref="AN55:AN72" si="70">AM55/$AH$89</f>
        <v>0</v>
      </c>
      <c r="AO55" s="259"/>
      <c r="AP55" s="210"/>
      <c r="AQ55" s="210"/>
      <c r="AR55" s="106">
        <f t="shared" ref="AR55:AR71" si="71">AP55+AQ55*1</f>
        <v>0</v>
      </c>
      <c r="AS55" s="178">
        <f t="shared" ref="AS55:AS72" si="72">AR55/$AH$89</f>
        <v>0</v>
      </c>
      <c r="AT55" s="259"/>
      <c r="AU55" s="39">
        <f t="shared" ref="AU55:AU71" si="73">G55+L55+Q55+V55+AA55+AF55+AK55+AP55</f>
        <v>0</v>
      </c>
      <c r="AV55" s="39">
        <f t="shared" ref="AV55:AV71" si="74">H55+M55+R55+W55+AB55+AG55+AL55+AQ55</f>
        <v>0</v>
      </c>
      <c r="AW55" s="106">
        <f t="shared" ref="AW55:AW71" si="75">AU55+AV55*1</f>
        <v>0</v>
      </c>
      <c r="AX55" s="178">
        <f t="shared" si="56"/>
        <v>0</v>
      </c>
      <c r="AY55" s="79"/>
      <c r="AZ55" s="452"/>
      <c r="BA55" s="452"/>
      <c r="BB55" s="446">
        <f t="shared" ref="BB55:BB71" si="76">AZ55+BA55*1</f>
        <v>0</v>
      </c>
      <c r="BC55" s="447" t="e">
        <f t="shared" si="57"/>
        <v>#DIV/0!</v>
      </c>
      <c r="BD55" s="842"/>
      <c r="BE55" s="842"/>
    </row>
    <row r="56" spans="1:57" ht="13.95" customHeight="1" outlineLevel="2">
      <c r="A56" s="237"/>
      <c r="B56" s="19" t="s">
        <v>76</v>
      </c>
      <c r="C56" s="113"/>
      <c r="D56" s="119"/>
      <c r="E56" s="120">
        <f t="shared" si="58"/>
        <v>0</v>
      </c>
      <c r="F56" s="178">
        <f t="shared" si="54"/>
        <v>0</v>
      </c>
      <c r="G56" s="163"/>
      <c r="H56" s="111"/>
      <c r="I56" s="41">
        <f t="shared" si="59"/>
        <v>0</v>
      </c>
      <c r="J56" s="178">
        <f t="shared" ref="J56:J74" si="77">I56/$I$89</f>
        <v>0</v>
      </c>
      <c r="K56" s="291"/>
      <c r="L56" s="210"/>
      <c r="M56" s="210"/>
      <c r="N56" s="106">
        <f t="shared" si="60"/>
        <v>0</v>
      </c>
      <c r="O56" s="178">
        <f t="shared" si="55"/>
        <v>0</v>
      </c>
      <c r="P56" s="79"/>
      <c r="Q56" s="210"/>
      <c r="R56" s="210"/>
      <c r="S56" s="106">
        <f t="shared" si="61"/>
        <v>0</v>
      </c>
      <c r="T56" s="178">
        <f t="shared" si="62"/>
        <v>0</v>
      </c>
      <c r="U56" s="259"/>
      <c r="V56" s="210"/>
      <c r="W56" s="210"/>
      <c r="X56" s="106">
        <f t="shared" si="63"/>
        <v>0</v>
      </c>
      <c r="Y56" s="178">
        <f t="shared" si="64"/>
        <v>0</v>
      </c>
      <c r="Z56" s="259"/>
      <c r="AA56" s="210"/>
      <c r="AB56" s="210"/>
      <c r="AC56" s="106">
        <f t="shared" si="65"/>
        <v>0</v>
      </c>
      <c r="AD56" s="178">
        <f t="shared" si="66"/>
        <v>0</v>
      </c>
      <c r="AE56" s="259"/>
      <c r="AF56" s="210"/>
      <c r="AG56" s="210"/>
      <c r="AH56" s="106">
        <f t="shared" si="67"/>
        <v>0</v>
      </c>
      <c r="AI56" s="178">
        <f t="shared" si="68"/>
        <v>0</v>
      </c>
      <c r="AJ56" s="259"/>
      <c r="AK56" s="210"/>
      <c r="AL56" s="210"/>
      <c r="AM56" s="106">
        <f t="shared" si="69"/>
        <v>0</v>
      </c>
      <c r="AN56" s="178">
        <f t="shared" si="70"/>
        <v>0</v>
      </c>
      <c r="AO56" s="259"/>
      <c r="AP56" s="210"/>
      <c r="AQ56" s="210"/>
      <c r="AR56" s="106">
        <f t="shared" si="71"/>
        <v>0</v>
      </c>
      <c r="AS56" s="178">
        <f t="shared" si="72"/>
        <v>0</v>
      </c>
      <c r="AT56" s="259"/>
      <c r="AU56" s="39">
        <f t="shared" si="73"/>
        <v>0</v>
      </c>
      <c r="AV56" s="39">
        <f t="shared" si="74"/>
        <v>0</v>
      </c>
      <c r="AW56" s="106">
        <f t="shared" si="75"/>
        <v>0</v>
      </c>
      <c r="AX56" s="178">
        <f t="shared" si="56"/>
        <v>0</v>
      </c>
      <c r="AY56" s="79"/>
      <c r="AZ56" s="452"/>
      <c r="BA56" s="452"/>
      <c r="BB56" s="446">
        <f t="shared" si="76"/>
        <v>0</v>
      </c>
      <c r="BC56" s="450" t="e">
        <f t="shared" si="57"/>
        <v>#DIV/0!</v>
      </c>
      <c r="BD56" s="842"/>
      <c r="BE56" s="842"/>
    </row>
    <row r="57" spans="1:57" ht="13.95" customHeight="1" outlineLevel="2">
      <c r="A57" s="237"/>
      <c r="B57" s="19" t="s">
        <v>68</v>
      </c>
      <c r="C57" s="113"/>
      <c r="D57" s="119"/>
      <c r="E57" s="120">
        <f t="shared" si="58"/>
        <v>0</v>
      </c>
      <c r="F57" s="178">
        <f t="shared" si="54"/>
        <v>0</v>
      </c>
      <c r="G57" s="163"/>
      <c r="H57" s="111"/>
      <c r="I57" s="41">
        <f t="shared" si="59"/>
        <v>0</v>
      </c>
      <c r="J57" s="178">
        <f t="shared" si="77"/>
        <v>0</v>
      </c>
      <c r="K57" s="291"/>
      <c r="L57" s="210"/>
      <c r="M57" s="210"/>
      <c r="N57" s="106">
        <f t="shared" si="60"/>
        <v>0</v>
      </c>
      <c r="O57" s="178">
        <f t="shared" si="55"/>
        <v>0</v>
      </c>
      <c r="P57" s="79"/>
      <c r="Q57" s="210"/>
      <c r="R57" s="210"/>
      <c r="S57" s="106">
        <f t="shared" si="61"/>
        <v>0</v>
      </c>
      <c r="T57" s="178">
        <f t="shared" si="62"/>
        <v>0</v>
      </c>
      <c r="U57" s="259"/>
      <c r="V57" s="210"/>
      <c r="W57" s="210"/>
      <c r="X57" s="106">
        <f t="shared" si="63"/>
        <v>0</v>
      </c>
      <c r="Y57" s="178">
        <f t="shared" si="64"/>
        <v>0</v>
      </c>
      <c r="Z57" s="388"/>
      <c r="AA57" s="210"/>
      <c r="AB57" s="210"/>
      <c r="AC57" s="106">
        <f t="shared" si="65"/>
        <v>0</v>
      </c>
      <c r="AD57" s="178">
        <f t="shared" si="66"/>
        <v>0</v>
      </c>
      <c r="AE57" s="388"/>
      <c r="AF57" s="210"/>
      <c r="AG57" s="210"/>
      <c r="AH57" s="106">
        <f t="shared" si="67"/>
        <v>0</v>
      </c>
      <c r="AI57" s="178">
        <f t="shared" si="68"/>
        <v>0</v>
      </c>
      <c r="AJ57" s="388"/>
      <c r="AK57" s="210"/>
      <c r="AL57" s="210"/>
      <c r="AM57" s="106">
        <f t="shared" si="69"/>
        <v>0</v>
      </c>
      <c r="AN57" s="178">
        <f t="shared" si="70"/>
        <v>0</v>
      </c>
      <c r="AO57" s="388"/>
      <c r="AP57" s="210"/>
      <c r="AQ57" s="210"/>
      <c r="AR57" s="106">
        <f t="shared" si="71"/>
        <v>0</v>
      </c>
      <c r="AS57" s="178">
        <f t="shared" si="72"/>
        <v>0</v>
      </c>
      <c r="AT57" s="388"/>
      <c r="AU57" s="39">
        <f t="shared" si="73"/>
        <v>0</v>
      </c>
      <c r="AV57" s="39">
        <f t="shared" si="74"/>
        <v>0</v>
      </c>
      <c r="AW57" s="106">
        <f t="shared" si="75"/>
        <v>0</v>
      </c>
      <c r="AX57" s="178">
        <f t="shared" si="56"/>
        <v>0</v>
      </c>
      <c r="AY57" s="79"/>
      <c r="AZ57" s="452"/>
      <c r="BA57" s="452"/>
      <c r="BB57" s="446">
        <f t="shared" si="76"/>
        <v>0</v>
      </c>
      <c r="BC57" s="450" t="e">
        <f t="shared" si="57"/>
        <v>#DIV/0!</v>
      </c>
      <c r="BD57" s="842"/>
      <c r="BE57" s="842"/>
    </row>
    <row r="58" spans="1:57" ht="13.8" outlineLevel="2">
      <c r="A58" s="237"/>
      <c r="B58" s="19" t="s">
        <v>67</v>
      </c>
      <c r="C58" s="113">
        <v>26565</v>
      </c>
      <c r="D58" s="119">
        <v>70075</v>
      </c>
      <c r="E58" s="120">
        <f t="shared" si="58"/>
        <v>96640</v>
      </c>
      <c r="F58" s="178">
        <f t="shared" si="54"/>
        <v>1.0255214402458765E-2</v>
      </c>
      <c r="G58" s="78">
        <v>5232.5</v>
      </c>
      <c r="H58" s="161">
        <v>11267.5</v>
      </c>
      <c r="I58" s="41">
        <f t="shared" si="59"/>
        <v>16500</v>
      </c>
      <c r="J58" s="178">
        <f t="shared" si="77"/>
        <v>3.8500748448419421E-2</v>
      </c>
      <c r="K58" s="291"/>
      <c r="L58" s="210">
        <v>5313</v>
      </c>
      <c r="M58" s="210">
        <v>12187</v>
      </c>
      <c r="N58" s="106">
        <f t="shared" si="60"/>
        <v>17500</v>
      </c>
      <c r="O58" s="178">
        <f t="shared" si="55"/>
        <v>1.1643453292459664E-2</v>
      </c>
      <c r="P58" s="79" t="s">
        <v>472</v>
      </c>
      <c r="Q58" s="210">
        <f>10626/2</f>
        <v>5313</v>
      </c>
      <c r="R58" s="210">
        <f>24374/2</f>
        <v>12187</v>
      </c>
      <c r="S58" s="106">
        <f t="shared" si="61"/>
        <v>17500</v>
      </c>
      <c r="T58" s="178">
        <f t="shared" si="62"/>
        <v>2.0478001229062199E-2</v>
      </c>
      <c r="U58" s="415" t="s">
        <v>472</v>
      </c>
      <c r="V58" s="210">
        <v>5313</v>
      </c>
      <c r="W58" s="210">
        <v>12187</v>
      </c>
      <c r="X58" s="106">
        <f t="shared" si="63"/>
        <v>17500</v>
      </c>
      <c r="Y58" s="178">
        <f t="shared" si="64"/>
        <v>6.1213820186812665E-3</v>
      </c>
      <c r="Z58" s="388" t="s">
        <v>637</v>
      </c>
      <c r="AA58" s="210">
        <f>10626/2</f>
        <v>5313</v>
      </c>
      <c r="AB58" s="210">
        <f>24374/2</f>
        <v>12187</v>
      </c>
      <c r="AC58" s="106">
        <f t="shared" si="65"/>
        <v>17500</v>
      </c>
      <c r="AD58" s="178">
        <f t="shared" si="66"/>
        <v>9.8676628448615342E-3</v>
      </c>
      <c r="AE58" s="388" t="s">
        <v>716</v>
      </c>
      <c r="AF58" s="210">
        <v>5313</v>
      </c>
      <c r="AG58" s="210">
        <v>11687</v>
      </c>
      <c r="AH58" s="106">
        <f t="shared" si="67"/>
        <v>17000</v>
      </c>
      <c r="AI58" s="178">
        <f t="shared" si="68"/>
        <v>2.7011889292062358E-2</v>
      </c>
      <c r="AJ58" s="388" t="s">
        <v>472</v>
      </c>
      <c r="AK58" s="210"/>
      <c r="AL58" s="210"/>
      <c r="AM58" s="106">
        <f t="shared" si="69"/>
        <v>0</v>
      </c>
      <c r="AN58" s="178">
        <f t="shared" si="70"/>
        <v>0</v>
      </c>
      <c r="AO58" s="388"/>
      <c r="AP58" s="210">
        <v>0.5</v>
      </c>
      <c r="AQ58" s="210">
        <v>0</v>
      </c>
      <c r="AR58" s="106">
        <f t="shared" si="71"/>
        <v>0.5</v>
      </c>
      <c r="AS58" s="178">
        <f t="shared" si="72"/>
        <v>7.9446733211948115E-7</v>
      </c>
      <c r="AT58" s="388"/>
      <c r="AU58" s="39">
        <f t="shared" si="73"/>
        <v>31798</v>
      </c>
      <c r="AV58" s="39">
        <f t="shared" si="74"/>
        <v>71702.5</v>
      </c>
      <c r="AW58" s="106">
        <f t="shared" si="75"/>
        <v>103500.5</v>
      </c>
      <c r="AX58" s="178">
        <f t="shared" si="56"/>
        <v>1.0959668493157529E-2</v>
      </c>
      <c r="AY58" s="79"/>
      <c r="AZ58" s="453">
        <f>5313+5233+5313+2922+7704+5313</f>
        <v>31798</v>
      </c>
      <c r="BA58" s="453">
        <f>11687+11268+12187+12187+12187+12186.5</f>
        <v>71702.5</v>
      </c>
      <c r="BB58" s="446">
        <f t="shared" si="76"/>
        <v>103500.5</v>
      </c>
      <c r="BC58" s="450" t="e">
        <f t="shared" si="57"/>
        <v>#DIV/0!</v>
      </c>
      <c r="BD58" s="842"/>
      <c r="BE58" s="842"/>
    </row>
    <row r="59" spans="1:57" ht="14.4" customHeight="1" outlineLevel="2">
      <c r="A59" s="237"/>
      <c r="B59" s="19" t="s">
        <v>66</v>
      </c>
      <c r="C59" s="113">
        <v>7150</v>
      </c>
      <c r="D59" s="119">
        <v>0</v>
      </c>
      <c r="E59" s="120">
        <f t="shared" si="58"/>
        <v>7150</v>
      </c>
      <c r="F59" s="178">
        <f t="shared" si="54"/>
        <v>7.5874154571171524E-4</v>
      </c>
      <c r="G59" s="163">
        <v>1267.5</v>
      </c>
      <c r="H59" s="111"/>
      <c r="I59" s="41">
        <f t="shared" si="59"/>
        <v>1267.5</v>
      </c>
      <c r="J59" s="178">
        <f t="shared" si="77"/>
        <v>2.9575574944467643E-3</v>
      </c>
      <c r="K59" s="291"/>
      <c r="L59" s="210">
        <v>1287</v>
      </c>
      <c r="M59" s="210"/>
      <c r="N59" s="106">
        <f t="shared" si="60"/>
        <v>1287</v>
      </c>
      <c r="O59" s="178">
        <f t="shared" si="55"/>
        <v>8.5629282213689061E-4</v>
      </c>
      <c r="P59" s="79"/>
      <c r="Q59" s="210">
        <f>2904/2</f>
        <v>1452</v>
      </c>
      <c r="R59" s="210"/>
      <c r="S59" s="106">
        <f t="shared" si="61"/>
        <v>1452</v>
      </c>
      <c r="T59" s="178">
        <f t="shared" si="62"/>
        <v>1.6990890162627607E-3</v>
      </c>
      <c r="U59" s="259"/>
      <c r="V59" s="210">
        <v>1287</v>
      </c>
      <c r="W59" s="210"/>
      <c r="X59" s="106">
        <f t="shared" si="63"/>
        <v>1287</v>
      </c>
      <c r="Y59" s="178">
        <f t="shared" si="64"/>
        <v>4.5018392331673085E-4</v>
      </c>
      <c r="Z59" s="388"/>
      <c r="AA59" s="210">
        <f>2574/2</f>
        <v>1287</v>
      </c>
      <c r="AB59" s="210"/>
      <c r="AC59" s="106">
        <f t="shared" si="65"/>
        <v>1287</v>
      </c>
      <c r="AD59" s="178">
        <f t="shared" si="66"/>
        <v>7.2569611893353117E-4</v>
      </c>
      <c r="AE59" s="388"/>
      <c r="AF59" s="210">
        <v>1287</v>
      </c>
      <c r="AG59" s="210"/>
      <c r="AH59" s="106">
        <f t="shared" si="67"/>
        <v>1287</v>
      </c>
      <c r="AI59" s="178">
        <f t="shared" si="68"/>
        <v>2.0449589128755446E-3</v>
      </c>
      <c r="AJ59" s="388"/>
      <c r="AK59" s="210"/>
      <c r="AL59" s="210"/>
      <c r="AM59" s="106">
        <f t="shared" si="69"/>
        <v>0</v>
      </c>
      <c r="AN59" s="178">
        <f t="shared" si="70"/>
        <v>0</v>
      </c>
      <c r="AO59" s="388"/>
      <c r="AP59" s="210">
        <v>1122.5</v>
      </c>
      <c r="AQ59" s="210">
        <v>0</v>
      </c>
      <c r="AR59" s="106">
        <f t="shared" si="71"/>
        <v>1122.5</v>
      </c>
      <c r="AS59" s="178">
        <f t="shared" si="72"/>
        <v>1.7835791606082352E-3</v>
      </c>
      <c r="AT59" s="388"/>
      <c r="AU59" s="39">
        <f t="shared" si="73"/>
        <v>8990</v>
      </c>
      <c r="AV59" s="39">
        <f t="shared" si="74"/>
        <v>0</v>
      </c>
      <c r="AW59" s="106">
        <f t="shared" si="75"/>
        <v>8990</v>
      </c>
      <c r="AX59" s="178">
        <f t="shared" si="56"/>
        <v>9.5195114761267993E-4</v>
      </c>
      <c r="AY59" s="79"/>
      <c r="AZ59" s="452">
        <f>1287+1268+1287+2574+1287+1287</f>
        <v>8990</v>
      </c>
      <c r="BA59" s="453"/>
      <c r="BB59" s="446">
        <f t="shared" si="76"/>
        <v>8990</v>
      </c>
      <c r="BC59" s="450" t="e">
        <f t="shared" si="57"/>
        <v>#DIV/0!</v>
      </c>
      <c r="BD59" s="842"/>
      <c r="BE59" s="842"/>
    </row>
    <row r="60" spans="1:57" ht="14.4" customHeight="1" outlineLevel="2">
      <c r="A60" s="237"/>
      <c r="B60" s="19" t="s">
        <v>65</v>
      </c>
      <c r="C60" s="113">
        <v>6338</v>
      </c>
      <c r="D60" s="119">
        <v>0</v>
      </c>
      <c r="E60" s="120">
        <f t="shared" si="58"/>
        <v>6338</v>
      </c>
      <c r="F60" s="178">
        <f t="shared" si="54"/>
        <v>6.725739743665526E-4</v>
      </c>
      <c r="G60" s="163">
        <v>1430</v>
      </c>
      <c r="H60" s="111"/>
      <c r="I60" s="41">
        <f t="shared" si="59"/>
        <v>1430</v>
      </c>
      <c r="J60" s="178">
        <f t="shared" si="77"/>
        <v>3.3367315321963498E-3</v>
      </c>
      <c r="K60" s="291"/>
      <c r="L60" s="210">
        <v>1452</v>
      </c>
      <c r="M60" s="210"/>
      <c r="N60" s="106">
        <f t="shared" si="60"/>
        <v>1452</v>
      </c>
      <c r="O60" s="178">
        <f t="shared" si="55"/>
        <v>9.6607395318008176E-4</v>
      </c>
      <c r="P60" s="79"/>
      <c r="Q60" s="210">
        <f>2574/2</f>
        <v>1287</v>
      </c>
      <c r="R60" s="210"/>
      <c r="S60" s="106">
        <f t="shared" si="61"/>
        <v>1287</v>
      </c>
      <c r="T60" s="178">
        <f t="shared" si="62"/>
        <v>1.5060107189601743E-3</v>
      </c>
      <c r="U60" s="259"/>
      <c r="V60" s="210">
        <v>1452</v>
      </c>
      <c r="W60" s="210"/>
      <c r="X60" s="106">
        <f t="shared" si="63"/>
        <v>1452</v>
      </c>
      <c r="Y60" s="178">
        <f t="shared" si="64"/>
        <v>5.0789981092143994E-4</v>
      </c>
      <c r="Z60" s="388"/>
      <c r="AA60" s="210">
        <f>2904/2</f>
        <v>1452</v>
      </c>
      <c r="AB60" s="210"/>
      <c r="AC60" s="106">
        <f t="shared" si="65"/>
        <v>1452</v>
      </c>
      <c r="AD60" s="178">
        <f t="shared" si="66"/>
        <v>8.1873408289936847E-4</v>
      </c>
      <c r="AE60" s="388"/>
      <c r="AF60" s="210">
        <v>1452</v>
      </c>
      <c r="AG60" s="210"/>
      <c r="AH60" s="106">
        <f t="shared" si="67"/>
        <v>1452</v>
      </c>
      <c r="AI60" s="178">
        <f t="shared" si="68"/>
        <v>2.3071331324749731E-3</v>
      </c>
      <c r="AJ60" s="388"/>
      <c r="AK60" s="210"/>
      <c r="AL60" s="210"/>
      <c r="AM60" s="106">
        <f t="shared" si="69"/>
        <v>0</v>
      </c>
      <c r="AN60" s="178">
        <f t="shared" si="70"/>
        <v>0</v>
      </c>
      <c r="AO60" s="388"/>
      <c r="AP60" s="210">
        <v>1617</v>
      </c>
      <c r="AQ60" s="210">
        <v>0</v>
      </c>
      <c r="AR60" s="106">
        <f t="shared" si="71"/>
        <v>1617</v>
      </c>
      <c r="AS60" s="178">
        <f t="shared" si="72"/>
        <v>2.569307352074402E-3</v>
      </c>
      <c r="AT60" s="388"/>
      <c r="AU60" s="39">
        <f t="shared" si="73"/>
        <v>10142</v>
      </c>
      <c r="AV60" s="39">
        <f t="shared" si="74"/>
        <v>0</v>
      </c>
      <c r="AW60" s="106">
        <f t="shared" si="75"/>
        <v>10142</v>
      </c>
      <c r="AX60" s="178">
        <f t="shared" si="56"/>
        <v>1.073936433713882E-3</v>
      </c>
      <c r="AY60" s="79"/>
      <c r="AZ60" s="452">
        <f>1452+1430+1452+2904+1452+1452</f>
        <v>10142</v>
      </c>
      <c r="BA60" s="453"/>
      <c r="BB60" s="446">
        <f t="shared" si="76"/>
        <v>10142</v>
      </c>
      <c r="BC60" s="450" t="e">
        <f t="shared" si="57"/>
        <v>#DIV/0!</v>
      </c>
      <c r="BD60" s="842"/>
      <c r="BE60" s="842"/>
    </row>
    <row r="61" spans="1:57" ht="13.95" customHeight="1" outlineLevel="2">
      <c r="A61" s="237"/>
      <c r="B61" s="19" t="s">
        <v>32</v>
      </c>
      <c r="C61" s="113"/>
      <c r="D61" s="119"/>
      <c r="E61" s="120">
        <f t="shared" si="58"/>
        <v>0</v>
      </c>
      <c r="F61" s="178">
        <f t="shared" si="54"/>
        <v>0</v>
      </c>
      <c r="G61" s="78"/>
      <c r="H61" s="161"/>
      <c r="I61" s="41">
        <f t="shared" si="59"/>
        <v>0</v>
      </c>
      <c r="J61" s="178">
        <f t="shared" si="77"/>
        <v>0</v>
      </c>
      <c r="K61" s="291"/>
      <c r="L61" s="210"/>
      <c r="M61" s="210"/>
      <c r="N61" s="106">
        <f t="shared" si="60"/>
        <v>0</v>
      </c>
      <c r="O61" s="178">
        <f t="shared" si="55"/>
        <v>0</v>
      </c>
      <c r="P61" s="79"/>
      <c r="Q61" s="210"/>
      <c r="R61" s="210"/>
      <c r="S61" s="106">
        <f t="shared" si="61"/>
        <v>0</v>
      </c>
      <c r="T61" s="178">
        <f t="shared" si="62"/>
        <v>0</v>
      </c>
      <c r="U61" s="259"/>
      <c r="V61" s="210"/>
      <c r="W61" s="210"/>
      <c r="X61" s="106">
        <f t="shared" si="63"/>
        <v>0</v>
      </c>
      <c r="Y61" s="178">
        <f t="shared" si="64"/>
        <v>0</v>
      </c>
      <c r="Z61" s="388"/>
      <c r="AA61" s="210"/>
      <c r="AB61" s="210"/>
      <c r="AC61" s="106">
        <f t="shared" si="65"/>
        <v>0</v>
      </c>
      <c r="AD61" s="178">
        <f t="shared" si="66"/>
        <v>0</v>
      </c>
      <c r="AE61" s="388"/>
      <c r="AF61" s="210"/>
      <c r="AG61" s="210"/>
      <c r="AH61" s="106">
        <f t="shared" si="67"/>
        <v>0</v>
      </c>
      <c r="AI61" s="178">
        <f t="shared" si="68"/>
        <v>0</v>
      </c>
      <c r="AJ61" s="388"/>
      <c r="AK61" s="210"/>
      <c r="AL61" s="210"/>
      <c r="AM61" s="106">
        <f t="shared" si="69"/>
        <v>0</v>
      </c>
      <c r="AN61" s="178">
        <f t="shared" si="70"/>
        <v>0</v>
      </c>
      <c r="AO61" s="388"/>
      <c r="AP61" s="210">
        <v>0</v>
      </c>
      <c r="AQ61" s="210">
        <v>0</v>
      </c>
      <c r="AR61" s="106">
        <f t="shared" si="71"/>
        <v>0</v>
      </c>
      <c r="AS61" s="178">
        <f t="shared" si="72"/>
        <v>0</v>
      </c>
      <c r="AT61" s="388"/>
      <c r="AU61" s="39">
        <f t="shared" si="73"/>
        <v>0</v>
      </c>
      <c r="AV61" s="39">
        <f t="shared" si="74"/>
        <v>0</v>
      </c>
      <c r="AW61" s="106">
        <f t="shared" si="75"/>
        <v>0</v>
      </c>
      <c r="AX61" s="178">
        <f t="shared" si="56"/>
        <v>0</v>
      </c>
      <c r="AY61" s="79"/>
      <c r="AZ61" s="453"/>
      <c r="BA61" s="453"/>
      <c r="BB61" s="446">
        <f t="shared" si="76"/>
        <v>0</v>
      </c>
      <c r="BC61" s="450" t="e">
        <f t="shared" si="57"/>
        <v>#DIV/0!</v>
      </c>
      <c r="BD61" s="842"/>
      <c r="BE61" s="842"/>
    </row>
    <row r="62" spans="1:57" ht="30.6" customHeight="1" outlineLevel="2">
      <c r="A62" s="237"/>
      <c r="B62" s="19" t="s">
        <v>33</v>
      </c>
      <c r="C62" s="113">
        <v>800</v>
      </c>
      <c r="D62" s="119"/>
      <c r="E62" s="120">
        <f t="shared" si="58"/>
        <v>800</v>
      </c>
      <c r="F62" s="178">
        <f t="shared" si="54"/>
        <v>8.4894158960751359E-5</v>
      </c>
      <c r="G62" s="78"/>
      <c r="H62" s="161"/>
      <c r="I62" s="41">
        <f t="shared" si="59"/>
        <v>0</v>
      </c>
      <c r="J62" s="178">
        <f t="shared" si="77"/>
        <v>0</v>
      </c>
      <c r="K62" s="291"/>
      <c r="L62" s="210"/>
      <c r="M62" s="210"/>
      <c r="N62" s="106">
        <f t="shared" si="60"/>
        <v>0</v>
      </c>
      <c r="O62" s="178">
        <f t="shared" si="55"/>
        <v>0</v>
      </c>
      <c r="P62" s="79"/>
      <c r="Q62" s="210"/>
      <c r="R62" s="210"/>
      <c r="S62" s="106">
        <f t="shared" si="61"/>
        <v>0</v>
      </c>
      <c r="T62" s="178">
        <f t="shared" si="62"/>
        <v>0</v>
      </c>
      <c r="U62" s="259"/>
      <c r="V62" s="210"/>
      <c r="W62" s="210"/>
      <c r="X62" s="106">
        <f t="shared" si="63"/>
        <v>0</v>
      </c>
      <c r="Y62" s="178">
        <f t="shared" si="64"/>
        <v>0</v>
      </c>
      <c r="Z62" s="388"/>
      <c r="AA62" s="210"/>
      <c r="AB62" s="210"/>
      <c r="AC62" s="106">
        <f t="shared" si="65"/>
        <v>0</v>
      </c>
      <c r="AD62" s="178">
        <f t="shared" si="66"/>
        <v>0</v>
      </c>
      <c r="AE62" s="388"/>
      <c r="AF62" s="210"/>
      <c r="AG62" s="210"/>
      <c r="AH62" s="106">
        <f t="shared" si="67"/>
        <v>0</v>
      </c>
      <c r="AI62" s="178">
        <f t="shared" si="68"/>
        <v>0</v>
      </c>
      <c r="AJ62" s="388"/>
      <c r="AK62" s="210"/>
      <c r="AL62" s="210"/>
      <c r="AM62" s="106">
        <f t="shared" si="69"/>
        <v>0</v>
      </c>
      <c r="AN62" s="178">
        <f t="shared" si="70"/>
        <v>0</v>
      </c>
      <c r="AO62" s="388"/>
      <c r="AP62" s="210">
        <v>0</v>
      </c>
      <c r="AQ62" s="210">
        <v>0</v>
      </c>
      <c r="AR62" s="106">
        <f t="shared" si="71"/>
        <v>0</v>
      </c>
      <c r="AS62" s="178">
        <f t="shared" si="72"/>
        <v>0</v>
      </c>
      <c r="AT62" s="388"/>
      <c r="AU62" s="39">
        <f t="shared" si="73"/>
        <v>0</v>
      </c>
      <c r="AV62" s="39">
        <f t="shared" si="74"/>
        <v>0</v>
      </c>
      <c r="AW62" s="106">
        <f t="shared" si="75"/>
        <v>0</v>
      </c>
      <c r="AX62" s="178">
        <f t="shared" si="56"/>
        <v>0</v>
      </c>
      <c r="AY62" s="79"/>
      <c r="AZ62" s="453"/>
      <c r="BA62" s="453"/>
      <c r="BB62" s="446">
        <f t="shared" si="76"/>
        <v>0</v>
      </c>
      <c r="BC62" s="450" t="e">
        <f t="shared" si="57"/>
        <v>#DIV/0!</v>
      </c>
      <c r="BD62" s="842"/>
      <c r="BE62" s="842"/>
    </row>
    <row r="63" spans="1:57" ht="52.2" customHeight="1" outlineLevel="2">
      <c r="A63" s="237"/>
      <c r="B63" s="615" t="s">
        <v>35</v>
      </c>
      <c r="C63" s="113">
        <v>15120</v>
      </c>
      <c r="D63" s="119"/>
      <c r="E63" s="120">
        <f t="shared" si="58"/>
        <v>15120</v>
      </c>
      <c r="F63" s="178">
        <f t="shared" si="54"/>
        <v>1.6044996043582008E-3</v>
      </c>
      <c r="G63" s="78">
        <v>1839.95</v>
      </c>
      <c r="H63" s="161"/>
      <c r="I63" s="41">
        <f t="shared" si="59"/>
        <v>1839.95</v>
      </c>
      <c r="J63" s="178">
        <f t="shared" si="77"/>
        <v>4.293300127737534E-3</v>
      </c>
      <c r="K63" s="366" t="s">
        <v>371</v>
      </c>
      <c r="L63" s="210"/>
      <c r="M63" s="210"/>
      <c r="N63" s="106">
        <f t="shared" si="60"/>
        <v>0</v>
      </c>
      <c r="O63" s="178">
        <f t="shared" si="55"/>
        <v>0</v>
      </c>
      <c r="P63" s="79"/>
      <c r="Q63" s="210">
        <f>5075.07/2</f>
        <v>2537.5349999999999</v>
      </c>
      <c r="R63" s="210"/>
      <c r="S63" s="106">
        <f t="shared" si="61"/>
        <v>2537.5349999999999</v>
      </c>
      <c r="T63" s="178">
        <f t="shared" si="62"/>
        <v>2.9693511342164768E-3</v>
      </c>
      <c r="U63" s="415" t="s">
        <v>580</v>
      </c>
      <c r="V63" s="210">
        <v>2483.35</v>
      </c>
      <c r="W63" s="210">
        <v>599.79999999999995</v>
      </c>
      <c r="X63" s="106">
        <f t="shared" si="63"/>
        <v>3083.1499999999996</v>
      </c>
      <c r="Y63" s="178">
        <f t="shared" si="64"/>
        <v>1.0784650840512653E-3</v>
      </c>
      <c r="Z63" s="388" t="s">
        <v>628</v>
      </c>
      <c r="AA63" s="210">
        <f>12955.2/2</f>
        <v>6477.6</v>
      </c>
      <c r="AB63" s="210">
        <f>1035+80</f>
        <v>1115</v>
      </c>
      <c r="AC63" s="106">
        <f t="shared" si="65"/>
        <v>7592.6</v>
      </c>
      <c r="AD63" s="178">
        <f t="shared" si="66"/>
        <v>4.2812123951940393E-3</v>
      </c>
      <c r="AE63" s="388" t="s">
        <v>731</v>
      </c>
      <c r="AF63" s="210">
        <v>3492</v>
      </c>
      <c r="AG63" s="210"/>
      <c r="AH63" s="106">
        <f t="shared" si="67"/>
        <v>3492</v>
      </c>
      <c r="AI63" s="178">
        <f t="shared" si="68"/>
        <v>5.5485598475224565E-3</v>
      </c>
      <c r="AJ63" s="388" t="s">
        <v>778</v>
      </c>
      <c r="AK63" s="210"/>
      <c r="AL63" s="210"/>
      <c r="AM63" s="106">
        <f t="shared" si="69"/>
        <v>0</v>
      </c>
      <c r="AN63" s="178">
        <f t="shared" si="70"/>
        <v>0</v>
      </c>
      <c r="AO63" s="388"/>
      <c r="AP63" s="210">
        <v>777.56500000000233</v>
      </c>
      <c r="AQ63" s="210">
        <v>4472</v>
      </c>
      <c r="AR63" s="106">
        <f t="shared" si="71"/>
        <v>5249.5650000000023</v>
      </c>
      <c r="AS63" s="178">
        <f t="shared" si="72"/>
        <v>8.3412158006756117E-3</v>
      </c>
      <c r="AT63" s="388"/>
      <c r="AU63" s="39">
        <f t="shared" si="73"/>
        <v>17608</v>
      </c>
      <c r="AV63" s="39">
        <f t="shared" si="74"/>
        <v>6186.8</v>
      </c>
      <c r="AW63" s="106">
        <f t="shared" si="75"/>
        <v>23794.799999999999</v>
      </c>
      <c r="AX63" s="178">
        <f t="shared" si="56"/>
        <v>2.5196314980216014E-3</v>
      </c>
      <c r="AY63" s="79"/>
      <c r="AZ63" s="452">
        <f>17608</f>
        <v>17608</v>
      </c>
      <c r="BA63" s="453">
        <f>599.8+80+867+1094+865+872+1035+774</f>
        <v>6186.8</v>
      </c>
      <c r="BB63" s="446">
        <f t="shared" si="76"/>
        <v>23794.799999999999</v>
      </c>
      <c r="BC63" s="450" t="e">
        <f t="shared" si="57"/>
        <v>#DIV/0!</v>
      </c>
      <c r="BD63" s="842"/>
      <c r="BE63" s="842"/>
    </row>
    <row r="64" spans="1:57" ht="31.2" customHeight="1" outlineLevel="2">
      <c r="A64" s="237"/>
      <c r="B64" s="615" t="s">
        <v>63</v>
      </c>
      <c r="C64" s="113"/>
      <c r="D64" s="119"/>
      <c r="E64" s="120">
        <f t="shared" si="58"/>
        <v>0</v>
      </c>
      <c r="F64" s="178">
        <f t="shared" si="54"/>
        <v>0</v>
      </c>
      <c r="G64" s="78"/>
      <c r="H64" s="161"/>
      <c r="I64" s="41">
        <f t="shared" si="59"/>
        <v>0</v>
      </c>
      <c r="J64" s="178">
        <f t="shared" si="77"/>
        <v>0</v>
      </c>
      <c r="K64" s="291"/>
      <c r="L64" s="210"/>
      <c r="M64" s="210"/>
      <c r="N64" s="106">
        <f t="shared" si="60"/>
        <v>0</v>
      </c>
      <c r="O64" s="178">
        <f t="shared" si="55"/>
        <v>0</v>
      </c>
      <c r="P64" s="79"/>
      <c r="Q64" s="210"/>
      <c r="R64" s="210"/>
      <c r="S64" s="106">
        <f t="shared" si="61"/>
        <v>0</v>
      </c>
      <c r="T64" s="178">
        <f t="shared" si="62"/>
        <v>0</v>
      </c>
      <c r="U64" s="259"/>
      <c r="V64" s="210"/>
      <c r="W64" s="210"/>
      <c r="X64" s="106">
        <f t="shared" si="63"/>
        <v>0</v>
      </c>
      <c r="Y64" s="178">
        <f t="shared" si="64"/>
        <v>0</v>
      </c>
      <c r="Z64" s="388"/>
      <c r="AA64" s="210"/>
      <c r="AB64" s="210"/>
      <c r="AC64" s="106">
        <f t="shared" si="65"/>
        <v>0</v>
      </c>
      <c r="AD64" s="178">
        <f t="shared" si="66"/>
        <v>0</v>
      </c>
      <c r="AE64" s="388"/>
      <c r="AF64" s="210"/>
      <c r="AG64" s="210"/>
      <c r="AH64" s="106">
        <f t="shared" si="67"/>
        <v>0</v>
      </c>
      <c r="AI64" s="178">
        <f t="shared" si="68"/>
        <v>0</v>
      </c>
      <c r="AJ64" s="388"/>
      <c r="AK64" s="210"/>
      <c r="AL64" s="210"/>
      <c r="AM64" s="106">
        <f t="shared" si="69"/>
        <v>0</v>
      </c>
      <c r="AN64" s="178">
        <f t="shared" si="70"/>
        <v>0</v>
      </c>
      <c r="AO64" s="388"/>
      <c r="AP64" s="210"/>
      <c r="AQ64" s="210"/>
      <c r="AR64" s="106">
        <f t="shared" si="71"/>
        <v>0</v>
      </c>
      <c r="AS64" s="178">
        <f t="shared" si="72"/>
        <v>0</v>
      </c>
      <c r="AT64" s="388"/>
      <c r="AU64" s="39">
        <f t="shared" si="73"/>
        <v>0</v>
      </c>
      <c r="AV64" s="39">
        <f t="shared" si="74"/>
        <v>0</v>
      </c>
      <c r="AW64" s="106">
        <f t="shared" si="75"/>
        <v>0</v>
      </c>
      <c r="AX64" s="178">
        <f t="shared" si="56"/>
        <v>0</v>
      </c>
      <c r="AY64" s="79"/>
      <c r="AZ64" s="453"/>
      <c r="BA64" s="453"/>
      <c r="BB64" s="446">
        <f t="shared" si="76"/>
        <v>0</v>
      </c>
      <c r="BC64" s="450" t="e">
        <f t="shared" si="57"/>
        <v>#DIV/0!</v>
      </c>
      <c r="BD64" s="842"/>
      <c r="BE64" s="842"/>
    </row>
    <row r="65" spans="1:57" ht="40.200000000000003" customHeight="1" outlineLevel="2">
      <c r="A65" s="237"/>
      <c r="B65" s="615" t="s">
        <v>36</v>
      </c>
      <c r="C65" s="113"/>
      <c r="D65" s="119"/>
      <c r="E65" s="120">
        <f t="shared" si="58"/>
        <v>0</v>
      </c>
      <c r="F65" s="178">
        <f t="shared" si="54"/>
        <v>0</v>
      </c>
      <c r="G65" s="78"/>
      <c r="H65" s="161"/>
      <c r="I65" s="41">
        <f t="shared" si="59"/>
        <v>0</v>
      </c>
      <c r="J65" s="342">
        <f t="shared" si="77"/>
        <v>0</v>
      </c>
      <c r="K65" s="291"/>
      <c r="L65" s="39"/>
      <c r="M65" s="39"/>
      <c r="N65" s="106">
        <f t="shared" si="60"/>
        <v>0</v>
      </c>
      <c r="O65" s="178">
        <f>N65/$N$89</f>
        <v>0</v>
      </c>
      <c r="P65" s="79"/>
      <c r="Q65" s="39"/>
      <c r="R65" s="39">
        <v>1094</v>
      </c>
      <c r="S65" s="106">
        <f t="shared" si="61"/>
        <v>1094</v>
      </c>
      <c r="T65" s="178">
        <f t="shared" si="62"/>
        <v>1.2801676196910884E-3</v>
      </c>
      <c r="U65" s="439" t="s">
        <v>578</v>
      </c>
      <c r="V65" s="39"/>
      <c r="W65" s="39">
        <v>1737</v>
      </c>
      <c r="X65" s="106">
        <f t="shared" si="63"/>
        <v>1737</v>
      </c>
      <c r="Y65" s="178">
        <f t="shared" si="64"/>
        <v>6.0759088951139204E-4</v>
      </c>
      <c r="Z65" s="388" t="s">
        <v>626</v>
      </c>
      <c r="AA65" s="39">
        <v>200</v>
      </c>
      <c r="AB65" s="39"/>
      <c r="AC65" s="106">
        <f t="shared" si="65"/>
        <v>200</v>
      </c>
      <c r="AD65" s="178">
        <f t="shared" si="66"/>
        <v>1.127732896555604E-4</v>
      </c>
      <c r="AE65" s="388" t="s">
        <v>730</v>
      </c>
      <c r="AF65" s="39"/>
      <c r="AG65" s="39"/>
      <c r="AH65" s="106">
        <f t="shared" si="67"/>
        <v>0</v>
      </c>
      <c r="AI65" s="178">
        <f t="shared" si="68"/>
        <v>0</v>
      </c>
      <c r="AJ65" s="388"/>
      <c r="AK65" s="39"/>
      <c r="AL65" s="39"/>
      <c r="AM65" s="106">
        <f t="shared" si="69"/>
        <v>0</v>
      </c>
      <c r="AN65" s="178">
        <f t="shared" si="70"/>
        <v>0</v>
      </c>
      <c r="AO65" s="388"/>
      <c r="AP65" s="39">
        <v>800</v>
      </c>
      <c r="AQ65" s="39">
        <v>-2831</v>
      </c>
      <c r="AR65" s="106">
        <f t="shared" si="71"/>
        <v>-2031</v>
      </c>
      <c r="AS65" s="178">
        <f t="shared" si="72"/>
        <v>-3.2271263030693325E-3</v>
      </c>
      <c r="AT65" s="388"/>
      <c r="AU65" s="39">
        <f t="shared" si="73"/>
        <v>1000</v>
      </c>
      <c r="AV65" s="39">
        <f t="shared" si="74"/>
        <v>0</v>
      </c>
      <c r="AW65" s="106">
        <f t="shared" si="75"/>
        <v>1000</v>
      </c>
      <c r="AX65" s="178">
        <f t="shared" si="56"/>
        <v>1.0589000529618242E-4</v>
      </c>
      <c r="AY65" s="79"/>
      <c r="AZ65" s="452">
        <f>400+400+200</f>
        <v>1000</v>
      </c>
      <c r="BA65" s="452"/>
      <c r="BB65" s="446">
        <f t="shared" si="76"/>
        <v>1000</v>
      </c>
      <c r="BC65" s="450" t="e">
        <f t="shared" si="57"/>
        <v>#DIV/0!</v>
      </c>
      <c r="BD65" s="842"/>
      <c r="BE65" s="842"/>
    </row>
    <row r="66" spans="1:57" s="2" customFormat="1" ht="13.95" customHeight="1" outlineLevel="2">
      <c r="A66" s="237"/>
      <c r="B66" s="615" t="s">
        <v>37</v>
      </c>
      <c r="C66" s="113"/>
      <c r="D66" s="119"/>
      <c r="E66" s="120">
        <f t="shared" si="58"/>
        <v>0</v>
      </c>
      <c r="F66" s="178">
        <f t="shared" si="54"/>
        <v>0</v>
      </c>
      <c r="G66" s="78"/>
      <c r="H66" s="161"/>
      <c r="I66" s="41">
        <f t="shared" si="59"/>
        <v>0</v>
      </c>
      <c r="J66" s="178">
        <f t="shared" si="77"/>
        <v>0</v>
      </c>
      <c r="K66" s="291"/>
      <c r="L66" s="39"/>
      <c r="M66" s="39"/>
      <c r="N66" s="106">
        <f t="shared" si="60"/>
        <v>0</v>
      </c>
      <c r="O66" s="178">
        <f t="shared" si="55"/>
        <v>0</v>
      </c>
      <c r="P66" s="79"/>
      <c r="Q66" s="39"/>
      <c r="R66" s="39"/>
      <c r="S66" s="106">
        <f t="shared" si="61"/>
        <v>0</v>
      </c>
      <c r="T66" s="178">
        <f t="shared" si="62"/>
        <v>0</v>
      </c>
      <c r="U66" s="259"/>
      <c r="V66" s="39"/>
      <c r="W66" s="39"/>
      <c r="X66" s="106">
        <f t="shared" si="63"/>
        <v>0</v>
      </c>
      <c r="Y66" s="178">
        <f t="shared" si="64"/>
        <v>0</v>
      </c>
      <c r="Z66" s="388"/>
      <c r="AA66" s="39"/>
      <c r="AB66" s="39"/>
      <c r="AC66" s="106">
        <f t="shared" si="65"/>
        <v>0</v>
      </c>
      <c r="AD66" s="178">
        <f t="shared" si="66"/>
        <v>0</v>
      </c>
      <c r="AE66" s="388"/>
      <c r="AF66" s="39"/>
      <c r="AG66" s="39"/>
      <c r="AH66" s="106">
        <f t="shared" si="67"/>
        <v>0</v>
      </c>
      <c r="AI66" s="178">
        <f t="shared" si="68"/>
        <v>0</v>
      </c>
      <c r="AJ66" s="388"/>
      <c r="AK66" s="39"/>
      <c r="AL66" s="39"/>
      <c r="AM66" s="106">
        <f t="shared" si="69"/>
        <v>0</v>
      </c>
      <c r="AN66" s="178">
        <f t="shared" si="70"/>
        <v>0</v>
      </c>
      <c r="AO66" s="388"/>
      <c r="AP66" s="39">
        <v>0</v>
      </c>
      <c r="AQ66" s="39">
        <v>0</v>
      </c>
      <c r="AR66" s="106">
        <f t="shared" si="71"/>
        <v>0</v>
      </c>
      <c r="AS66" s="178">
        <f t="shared" si="72"/>
        <v>0</v>
      </c>
      <c r="AT66" s="388"/>
      <c r="AU66" s="39">
        <f t="shared" si="73"/>
        <v>0</v>
      </c>
      <c r="AV66" s="39">
        <f t="shared" si="74"/>
        <v>0</v>
      </c>
      <c r="AW66" s="106">
        <f t="shared" si="75"/>
        <v>0</v>
      </c>
      <c r="AX66" s="178">
        <f t="shared" si="56"/>
        <v>0</v>
      </c>
      <c r="AY66" s="79"/>
      <c r="AZ66" s="452"/>
      <c r="BA66" s="452"/>
      <c r="BB66" s="446">
        <f t="shared" si="76"/>
        <v>0</v>
      </c>
      <c r="BC66" s="450" t="e">
        <f t="shared" si="57"/>
        <v>#DIV/0!</v>
      </c>
      <c r="BD66" s="842"/>
      <c r="BE66" s="842"/>
    </row>
    <row r="67" spans="1:57" s="2" customFormat="1" ht="13.8">
      <c r="A67" s="237"/>
      <c r="B67" s="19" t="s">
        <v>3</v>
      </c>
      <c r="C67" s="113"/>
      <c r="D67" s="119"/>
      <c r="E67" s="120">
        <f t="shared" si="58"/>
        <v>0</v>
      </c>
      <c r="F67" s="178">
        <f t="shared" si="54"/>
        <v>0</v>
      </c>
      <c r="G67" s="78"/>
      <c r="H67" s="161"/>
      <c r="I67" s="41">
        <f t="shared" si="59"/>
        <v>0</v>
      </c>
      <c r="J67" s="178">
        <f t="shared" si="77"/>
        <v>0</v>
      </c>
      <c r="K67" s="291"/>
      <c r="L67" s="39"/>
      <c r="M67" s="39"/>
      <c r="N67" s="106">
        <f t="shared" si="60"/>
        <v>0</v>
      </c>
      <c r="O67" s="178">
        <f t="shared" si="55"/>
        <v>0</v>
      </c>
      <c r="P67" s="79"/>
      <c r="Q67" s="39"/>
      <c r="R67" s="39"/>
      <c r="S67" s="106">
        <f t="shared" si="61"/>
        <v>0</v>
      </c>
      <c r="T67" s="178">
        <f t="shared" si="62"/>
        <v>0</v>
      </c>
      <c r="U67" s="259"/>
      <c r="V67" s="39"/>
      <c r="W67" s="39"/>
      <c r="X67" s="106">
        <f t="shared" si="63"/>
        <v>0</v>
      </c>
      <c r="Y67" s="178">
        <f t="shared" si="64"/>
        <v>0</v>
      </c>
      <c r="Z67" s="388"/>
      <c r="AA67" s="39"/>
      <c r="AB67" s="39"/>
      <c r="AC67" s="106">
        <f t="shared" si="65"/>
        <v>0</v>
      </c>
      <c r="AD67" s="178">
        <f t="shared" si="66"/>
        <v>0</v>
      </c>
      <c r="AE67" s="388"/>
      <c r="AF67" s="39"/>
      <c r="AG67" s="39"/>
      <c r="AH67" s="106">
        <f t="shared" si="67"/>
        <v>0</v>
      </c>
      <c r="AI67" s="178">
        <f t="shared" si="68"/>
        <v>0</v>
      </c>
      <c r="AJ67" s="388"/>
      <c r="AK67" s="39"/>
      <c r="AL67" s="39"/>
      <c r="AM67" s="106">
        <f t="shared" si="69"/>
        <v>0</v>
      </c>
      <c r="AN67" s="178">
        <f t="shared" si="70"/>
        <v>0</v>
      </c>
      <c r="AO67" s="388"/>
      <c r="AP67" s="39">
        <v>0</v>
      </c>
      <c r="AQ67" s="39">
        <v>0</v>
      </c>
      <c r="AR67" s="106">
        <f t="shared" si="71"/>
        <v>0</v>
      </c>
      <c r="AS67" s="178">
        <f t="shared" si="72"/>
        <v>0</v>
      </c>
      <c r="AT67" s="388"/>
      <c r="AU67" s="39">
        <f t="shared" si="73"/>
        <v>0</v>
      </c>
      <c r="AV67" s="39">
        <f t="shared" si="74"/>
        <v>0</v>
      </c>
      <c r="AW67" s="106">
        <f t="shared" si="75"/>
        <v>0</v>
      </c>
      <c r="AX67" s="178">
        <f t="shared" si="56"/>
        <v>0</v>
      </c>
      <c r="AY67" s="79"/>
      <c r="AZ67" s="452"/>
      <c r="BA67" s="452"/>
      <c r="BB67" s="446">
        <f t="shared" si="76"/>
        <v>0</v>
      </c>
      <c r="BC67" s="450" t="e">
        <f t="shared" si="57"/>
        <v>#DIV/0!</v>
      </c>
      <c r="BD67" s="842"/>
      <c r="BE67" s="842"/>
    </row>
    <row r="68" spans="1:57" s="2" customFormat="1" ht="13.8">
      <c r="A68" s="237"/>
      <c r="B68" s="19" t="s">
        <v>5</v>
      </c>
      <c r="C68" s="113">
        <v>0</v>
      </c>
      <c r="D68" s="119">
        <v>9609.2000000000007</v>
      </c>
      <c r="E68" s="120">
        <f t="shared" si="58"/>
        <v>9609.2000000000007</v>
      </c>
      <c r="F68" s="178">
        <f t="shared" si="54"/>
        <v>1.019706190357065E-3</v>
      </c>
      <c r="G68" s="78"/>
      <c r="H68" s="362">
        <v>381.7</v>
      </c>
      <c r="I68" s="41">
        <f t="shared" si="59"/>
        <v>381.7</v>
      </c>
      <c r="J68" s="178">
        <f t="shared" si="77"/>
        <v>8.906506474401025E-4</v>
      </c>
      <c r="K68" s="291"/>
      <c r="L68" s="39"/>
      <c r="M68" s="39">
        <v>350.9</v>
      </c>
      <c r="N68" s="106">
        <f t="shared" si="60"/>
        <v>350.9</v>
      </c>
      <c r="O68" s="178">
        <f t="shared" si="55"/>
        <v>2.3346787201851974E-4</v>
      </c>
      <c r="P68" s="79"/>
      <c r="Q68" s="39"/>
      <c r="R68" s="39"/>
      <c r="S68" s="106">
        <f t="shared" si="61"/>
        <v>0</v>
      </c>
      <c r="T68" s="178">
        <f t="shared" si="62"/>
        <v>0</v>
      </c>
      <c r="U68" s="259"/>
      <c r="V68" s="39"/>
      <c r="W68" s="39">
        <v>2169.65</v>
      </c>
      <c r="X68" s="106">
        <f t="shared" si="63"/>
        <v>2169.65</v>
      </c>
      <c r="Y68" s="178">
        <f t="shared" si="64"/>
        <v>7.5892894267610349E-4</v>
      </c>
      <c r="Z68" s="388" t="s">
        <v>546</v>
      </c>
      <c r="AA68" s="39"/>
      <c r="AB68" s="39"/>
      <c r="AC68" s="106">
        <f t="shared" si="65"/>
        <v>0</v>
      </c>
      <c r="AD68" s="178">
        <f t="shared" si="66"/>
        <v>0</v>
      </c>
      <c r="AE68" s="388"/>
      <c r="AF68" s="39"/>
      <c r="AG68" s="39"/>
      <c r="AH68" s="106">
        <f t="shared" si="67"/>
        <v>0</v>
      </c>
      <c r="AI68" s="178">
        <f t="shared" si="68"/>
        <v>0</v>
      </c>
      <c r="AJ68" s="388"/>
      <c r="AK68" s="39"/>
      <c r="AL68" s="39"/>
      <c r="AM68" s="106">
        <f t="shared" si="69"/>
        <v>0</v>
      </c>
      <c r="AN68" s="178">
        <f t="shared" si="70"/>
        <v>0</v>
      </c>
      <c r="AO68" s="388"/>
      <c r="AP68" s="39">
        <v>0</v>
      </c>
      <c r="AQ68" s="39">
        <v>0</v>
      </c>
      <c r="AR68" s="106">
        <f t="shared" si="71"/>
        <v>0</v>
      </c>
      <c r="AS68" s="178">
        <f t="shared" si="72"/>
        <v>0</v>
      </c>
      <c r="AT68" s="388"/>
      <c r="AU68" s="39">
        <f t="shared" si="73"/>
        <v>0</v>
      </c>
      <c r="AV68" s="39">
        <f t="shared" si="74"/>
        <v>2902.25</v>
      </c>
      <c r="AW68" s="106">
        <f t="shared" si="75"/>
        <v>2902.25</v>
      </c>
      <c r="AX68" s="178">
        <f t="shared" si="56"/>
        <v>3.0731926787084542E-4</v>
      </c>
      <c r="AY68" s="79"/>
      <c r="AZ68" s="452"/>
      <c r="BA68" s="452">
        <v>2902.25</v>
      </c>
      <c r="BB68" s="446">
        <f t="shared" si="76"/>
        <v>2902.25</v>
      </c>
      <c r="BC68" s="450" t="e">
        <f t="shared" si="57"/>
        <v>#DIV/0!</v>
      </c>
      <c r="BD68" s="842"/>
      <c r="BE68" s="842"/>
    </row>
    <row r="69" spans="1:57" s="2" customFormat="1" ht="13.8">
      <c r="A69" s="237"/>
      <c r="B69" s="19" t="s">
        <v>42</v>
      </c>
      <c r="C69" s="113">
        <v>9800</v>
      </c>
      <c r="D69" s="119">
        <v>44850</v>
      </c>
      <c r="E69" s="120">
        <f t="shared" si="58"/>
        <v>54650</v>
      </c>
      <c r="F69" s="178">
        <f t="shared" si="54"/>
        <v>5.7993322340063273E-3</v>
      </c>
      <c r="G69" s="78">
        <v>6400</v>
      </c>
      <c r="H69" s="161"/>
      <c r="I69" s="41">
        <f t="shared" si="59"/>
        <v>6400</v>
      </c>
      <c r="J69" s="178">
        <f t="shared" si="77"/>
        <v>1.4933623640599048E-2</v>
      </c>
      <c r="K69" s="366" t="s">
        <v>370</v>
      </c>
      <c r="L69" s="39"/>
      <c r="M69" s="39"/>
      <c r="N69" s="106">
        <f t="shared" si="60"/>
        <v>0</v>
      </c>
      <c r="O69" s="178">
        <f t="shared" si="55"/>
        <v>0</v>
      </c>
      <c r="P69" s="79"/>
      <c r="Q69" s="39"/>
      <c r="R69" s="39"/>
      <c r="S69" s="106">
        <f t="shared" si="61"/>
        <v>0</v>
      </c>
      <c r="T69" s="178">
        <f t="shared" si="62"/>
        <v>0</v>
      </c>
      <c r="U69" s="259"/>
      <c r="V69" s="39"/>
      <c r="W69" s="39"/>
      <c r="X69" s="106">
        <f t="shared" si="63"/>
        <v>0</v>
      </c>
      <c r="Y69" s="178">
        <f t="shared" si="64"/>
        <v>0</v>
      </c>
      <c r="Z69" s="388"/>
      <c r="AA69" s="39"/>
      <c r="AB69" s="39"/>
      <c r="AC69" s="106">
        <f t="shared" si="65"/>
        <v>0</v>
      </c>
      <c r="AD69" s="178">
        <f t="shared" si="66"/>
        <v>0</v>
      </c>
      <c r="AE69" s="388"/>
      <c r="AF69" s="39"/>
      <c r="AG69" s="39"/>
      <c r="AH69" s="106">
        <f t="shared" si="67"/>
        <v>0</v>
      </c>
      <c r="AI69" s="178">
        <f t="shared" si="68"/>
        <v>0</v>
      </c>
      <c r="AJ69" s="388"/>
      <c r="AK69" s="39"/>
      <c r="AL69" s="39"/>
      <c r="AM69" s="106">
        <f t="shared" si="69"/>
        <v>0</v>
      </c>
      <c r="AN69" s="178">
        <f t="shared" si="70"/>
        <v>0</v>
      </c>
      <c r="AO69" s="388"/>
      <c r="AP69" s="39">
        <v>700</v>
      </c>
      <c r="AQ69" s="39">
        <v>0</v>
      </c>
      <c r="AR69" s="106">
        <f t="shared" si="71"/>
        <v>700</v>
      </c>
      <c r="AS69" s="178">
        <f t="shared" si="72"/>
        <v>1.1122542649672736E-3</v>
      </c>
      <c r="AT69" s="388"/>
      <c r="AU69" s="39">
        <f t="shared" si="73"/>
        <v>7100</v>
      </c>
      <c r="AV69" s="39">
        <f t="shared" si="74"/>
        <v>0</v>
      </c>
      <c r="AW69" s="106">
        <f t="shared" si="75"/>
        <v>7100</v>
      </c>
      <c r="AX69" s="178">
        <f t="shared" si="56"/>
        <v>7.5181903760289522E-4</v>
      </c>
      <c r="AY69" s="79"/>
      <c r="AZ69" s="452">
        <f>700+6400</f>
        <v>7100</v>
      </c>
      <c r="BA69" s="452"/>
      <c r="BB69" s="446">
        <f t="shared" si="76"/>
        <v>7100</v>
      </c>
      <c r="BC69" s="450" t="e">
        <f t="shared" si="57"/>
        <v>#DIV/0!</v>
      </c>
      <c r="BD69" s="842"/>
      <c r="BE69" s="842"/>
    </row>
    <row r="70" spans="1:57" s="2" customFormat="1" ht="13.8">
      <c r="A70" s="237"/>
      <c r="B70" s="19" t="s">
        <v>6</v>
      </c>
      <c r="C70" s="113"/>
      <c r="D70" s="119"/>
      <c r="E70" s="120">
        <f t="shared" si="58"/>
        <v>0</v>
      </c>
      <c r="F70" s="178">
        <f t="shared" si="54"/>
        <v>0</v>
      </c>
      <c r="G70" s="78"/>
      <c r="H70" s="161"/>
      <c r="I70" s="41">
        <f t="shared" si="59"/>
        <v>0</v>
      </c>
      <c r="J70" s="178">
        <f t="shared" si="77"/>
        <v>0</v>
      </c>
      <c r="K70" s="291"/>
      <c r="L70" s="39"/>
      <c r="M70" s="39"/>
      <c r="N70" s="106">
        <f t="shared" si="60"/>
        <v>0</v>
      </c>
      <c r="O70" s="178">
        <f t="shared" si="55"/>
        <v>0</v>
      </c>
      <c r="P70" s="79"/>
      <c r="Q70" s="39"/>
      <c r="R70" s="39"/>
      <c r="S70" s="106">
        <f t="shared" si="61"/>
        <v>0</v>
      </c>
      <c r="T70" s="178">
        <f t="shared" si="62"/>
        <v>0</v>
      </c>
      <c r="U70" s="259"/>
      <c r="V70" s="39"/>
      <c r="W70" s="39"/>
      <c r="X70" s="106">
        <f t="shared" si="63"/>
        <v>0</v>
      </c>
      <c r="Y70" s="178">
        <f t="shared" si="64"/>
        <v>0</v>
      </c>
      <c r="Z70" s="259"/>
      <c r="AA70" s="557"/>
      <c r="AB70" s="558"/>
      <c r="AC70" s="559">
        <f t="shared" si="65"/>
        <v>0</v>
      </c>
      <c r="AD70" s="450">
        <f>AC70/$AC$89</f>
        <v>0</v>
      </c>
      <c r="AE70" s="503"/>
      <c r="AF70" s="557"/>
      <c r="AG70" s="558"/>
      <c r="AH70" s="559">
        <f t="shared" si="67"/>
        <v>0</v>
      </c>
      <c r="AI70" s="178">
        <f t="shared" si="68"/>
        <v>0</v>
      </c>
      <c r="AJ70" s="503"/>
      <c r="AK70" s="557"/>
      <c r="AL70" s="558"/>
      <c r="AM70" s="559">
        <f t="shared" si="69"/>
        <v>0</v>
      </c>
      <c r="AN70" s="178">
        <f t="shared" si="70"/>
        <v>0</v>
      </c>
      <c r="AO70" s="503"/>
      <c r="AP70" s="557"/>
      <c r="AQ70" s="558"/>
      <c r="AR70" s="559">
        <f t="shared" si="71"/>
        <v>0</v>
      </c>
      <c r="AS70" s="178">
        <f t="shared" si="72"/>
        <v>0</v>
      </c>
      <c r="AT70" s="503"/>
      <c r="AU70" s="39">
        <f t="shared" si="73"/>
        <v>0</v>
      </c>
      <c r="AV70" s="39">
        <f t="shared" si="74"/>
        <v>0</v>
      </c>
      <c r="AW70" s="559">
        <f t="shared" si="75"/>
        <v>0</v>
      </c>
      <c r="AX70" s="178">
        <f t="shared" si="56"/>
        <v>0</v>
      </c>
      <c r="AY70" s="79"/>
      <c r="AZ70" s="452"/>
      <c r="BA70" s="452"/>
      <c r="BB70" s="446">
        <f t="shared" si="76"/>
        <v>0</v>
      </c>
      <c r="BC70" s="450" t="e">
        <f t="shared" si="57"/>
        <v>#DIV/0!</v>
      </c>
      <c r="BD70" s="842"/>
      <c r="BE70" s="842"/>
    </row>
    <row r="71" spans="1:57" s="2" customFormat="1" ht="13.8">
      <c r="A71" s="237"/>
      <c r="B71" s="19" t="s">
        <v>368</v>
      </c>
      <c r="C71" s="113"/>
      <c r="D71" s="119"/>
      <c r="E71" s="120">
        <f t="shared" si="58"/>
        <v>0</v>
      </c>
      <c r="F71" s="184">
        <f t="shared" si="54"/>
        <v>0</v>
      </c>
      <c r="G71" s="78"/>
      <c r="H71" s="161">
        <v>10000</v>
      </c>
      <c r="I71" s="41">
        <f t="shared" si="59"/>
        <v>10000</v>
      </c>
      <c r="J71" s="178">
        <f t="shared" si="77"/>
        <v>2.3333786938436012E-2</v>
      </c>
      <c r="K71" s="366" t="s">
        <v>369</v>
      </c>
      <c r="L71" s="39"/>
      <c r="M71" s="39"/>
      <c r="N71" s="106">
        <f t="shared" si="60"/>
        <v>0</v>
      </c>
      <c r="O71" s="178">
        <f t="shared" si="55"/>
        <v>0</v>
      </c>
      <c r="P71" s="79"/>
      <c r="Q71" s="39"/>
      <c r="R71" s="39"/>
      <c r="S71" s="106">
        <f t="shared" si="61"/>
        <v>0</v>
      </c>
      <c r="T71" s="178">
        <f t="shared" si="62"/>
        <v>0</v>
      </c>
      <c r="U71" s="259"/>
      <c r="V71" s="39"/>
      <c r="W71" s="39"/>
      <c r="X71" s="106">
        <f t="shared" si="63"/>
        <v>0</v>
      </c>
      <c r="Y71" s="178">
        <f t="shared" si="64"/>
        <v>0</v>
      </c>
      <c r="Z71" s="259"/>
      <c r="AA71" s="560"/>
      <c r="AB71" s="452"/>
      <c r="AC71" s="446">
        <f t="shared" si="65"/>
        <v>0</v>
      </c>
      <c r="AD71" s="450">
        <f t="shared" si="66"/>
        <v>0</v>
      </c>
      <c r="AE71" s="503"/>
      <c r="AF71" s="560"/>
      <c r="AG71" s="452"/>
      <c r="AH71" s="446">
        <f t="shared" si="67"/>
        <v>0</v>
      </c>
      <c r="AI71" s="178">
        <f t="shared" si="68"/>
        <v>0</v>
      </c>
      <c r="AJ71" s="503"/>
      <c r="AK71" s="560"/>
      <c r="AL71" s="452"/>
      <c r="AM71" s="446">
        <f t="shared" si="69"/>
        <v>0</v>
      </c>
      <c r="AN71" s="178">
        <f t="shared" si="70"/>
        <v>0</v>
      </c>
      <c r="AO71" s="503"/>
      <c r="AP71" s="560"/>
      <c r="AQ71" s="452"/>
      <c r="AR71" s="446">
        <f t="shared" si="71"/>
        <v>0</v>
      </c>
      <c r="AS71" s="178">
        <f t="shared" si="72"/>
        <v>0</v>
      </c>
      <c r="AT71" s="503"/>
      <c r="AU71" s="39">
        <f t="shared" si="73"/>
        <v>0</v>
      </c>
      <c r="AV71" s="39">
        <f t="shared" si="74"/>
        <v>10000</v>
      </c>
      <c r="AW71" s="446">
        <f t="shared" si="75"/>
        <v>10000</v>
      </c>
      <c r="AX71" s="178">
        <f t="shared" si="56"/>
        <v>1.0589000529618242E-3</v>
      </c>
      <c r="AY71" s="79"/>
      <c r="AZ71" s="452"/>
      <c r="BA71" s="452">
        <v>10000</v>
      </c>
      <c r="BB71" s="446">
        <f t="shared" si="76"/>
        <v>10000</v>
      </c>
      <c r="BC71" s="450" t="e">
        <f t="shared" si="57"/>
        <v>#DIV/0!</v>
      </c>
      <c r="BD71" s="842"/>
      <c r="BE71" s="842"/>
    </row>
    <row r="72" spans="1:57" s="2" customFormat="1" ht="14.4" thickBot="1">
      <c r="A72" s="237"/>
      <c r="B72" s="19"/>
      <c r="C72" s="143"/>
      <c r="D72" s="144"/>
      <c r="E72" s="159"/>
      <c r="F72" s="184">
        <f t="shared" si="54"/>
        <v>0</v>
      </c>
      <c r="G72" s="160"/>
      <c r="H72" s="162"/>
      <c r="I72" s="62"/>
      <c r="J72" s="178">
        <f t="shared" si="77"/>
        <v>0</v>
      </c>
      <c r="K72" s="276"/>
      <c r="L72" s="39"/>
      <c r="M72" s="39"/>
      <c r="N72" s="106"/>
      <c r="O72" s="178">
        <f t="shared" si="55"/>
        <v>0</v>
      </c>
      <c r="P72" s="79"/>
      <c r="Q72" s="39"/>
      <c r="R72" s="39"/>
      <c r="S72" s="106"/>
      <c r="T72" s="178">
        <f t="shared" si="62"/>
        <v>0</v>
      </c>
      <c r="U72" s="259"/>
      <c r="V72" s="39"/>
      <c r="W72" s="39"/>
      <c r="X72" s="106"/>
      <c r="Y72" s="178">
        <f t="shared" si="64"/>
        <v>0</v>
      </c>
      <c r="Z72" s="259"/>
      <c r="AA72" s="557"/>
      <c r="AB72" s="558"/>
      <c r="AC72" s="559"/>
      <c r="AD72" s="450">
        <f t="shared" si="66"/>
        <v>0</v>
      </c>
      <c r="AE72" s="503"/>
      <c r="AF72" s="557"/>
      <c r="AG72" s="558"/>
      <c r="AH72" s="559"/>
      <c r="AI72" s="178">
        <f t="shared" si="68"/>
        <v>0</v>
      </c>
      <c r="AJ72" s="503"/>
      <c r="AK72" s="557"/>
      <c r="AL72" s="558"/>
      <c r="AM72" s="559"/>
      <c r="AN72" s="178">
        <f t="shared" si="70"/>
        <v>0</v>
      </c>
      <c r="AO72" s="503"/>
      <c r="AP72" s="557"/>
      <c r="AQ72" s="558"/>
      <c r="AR72" s="559"/>
      <c r="AS72" s="178">
        <f t="shared" si="72"/>
        <v>0</v>
      </c>
      <c r="AT72" s="503"/>
      <c r="AU72" s="558"/>
      <c r="AV72" s="452"/>
      <c r="AW72" s="446"/>
      <c r="AX72" s="178">
        <f t="shared" si="56"/>
        <v>0</v>
      </c>
      <c r="AY72" s="79"/>
      <c r="AZ72" s="535"/>
      <c r="BA72" s="535"/>
      <c r="BB72" s="622"/>
      <c r="BC72" s="583"/>
      <c r="BD72" s="842"/>
      <c r="BE72" s="842"/>
    </row>
    <row r="73" spans="1:57" s="2" customFormat="1" ht="14.4" thickBot="1">
      <c r="A73" s="237"/>
      <c r="B73" s="13" t="s">
        <v>4</v>
      </c>
      <c r="C73" s="132">
        <f>C74</f>
        <v>352038.54</v>
      </c>
      <c r="D73" s="133">
        <f>D74</f>
        <v>0</v>
      </c>
      <c r="E73" s="132">
        <f>E74</f>
        <v>352038.54</v>
      </c>
      <c r="F73" s="171">
        <f t="shared" si="54"/>
        <v>3.7357519718838529E-2</v>
      </c>
      <c r="G73" s="99">
        <f>G74</f>
        <v>0</v>
      </c>
      <c r="H73" s="63">
        <f>H74</f>
        <v>0</v>
      </c>
      <c r="I73" s="63">
        <f>I74</f>
        <v>0</v>
      </c>
      <c r="J73" s="178">
        <f t="shared" si="77"/>
        <v>0</v>
      </c>
      <c r="K73" s="277"/>
      <c r="L73" s="139">
        <f>L74</f>
        <v>0</v>
      </c>
      <c r="M73" s="63">
        <f>M74</f>
        <v>0</v>
      </c>
      <c r="N73" s="60">
        <f>N74</f>
        <v>0</v>
      </c>
      <c r="O73" s="63"/>
      <c r="P73" s="63"/>
      <c r="Q73" s="139">
        <f>Q74</f>
        <v>0</v>
      </c>
      <c r="R73" s="63">
        <f>R74</f>
        <v>0</v>
      </c>
      <c r="S73" s="60">
        <f>S74</f>
        <v>0</v>
      </c>
      <c r="T73" s="63"/>
      <c r="U73" s="410"/>
      <c r="V73" s="139">
        <f>V74</f>
        <v>0</v>
      </c>
      <c r="W73" s="63">
        <f>W74</f>
        <v>0</v>
      </c>
      <c r="X73" s="60">
        <f>X74</f>
        <v>0</v>
      </c>
      <c r="Y73" s="63"/>
      <c r="Z73" s="410"/>
      <c r="AA73" s="547">
        <f>AA74</f>
        <v>0</v>
      </c>
      <c r="AB73" s="556">
        <f>AB74</f>
        <v>0</v>
      </c>
      <c r="AC73" s="548">
        <f>AC74</f>
        <v>0</v>
      </c>
      <c r="AD73" s="556"/>
      <c r="AE73" s="607"/>
      <c r="AF73" s="547">
        <f>AF74</f>
        <v>0</v>
      </c>
      <c r="AG73" s="556">
        <f>AG74</f>
        <v>0</v>
      </c>
      <c r="AH73" s="548">
        <f>AH74</f>
        <v>0</v>
      </c>
      <c r="AI73" s="556"/>
      <c r="AJ73" s="607"/>
      <c r="AK73" s="547">
        <f>AK74</f>
        <v>0</v>
      </c>
      <c r="AL73" s="556">
        <f>AL74</f>
        <v>0</v>
      </c>
      <c r="AM73" s="548">
        <f>AM74</f>
        <v>0</v>
      </c>
      <c r="AN73" s="556"/>
      <c r="AO73" s="607"/>
      <c r="AP73" s="547">
        <f>AP74</f>
        <v>363862.68059999996</v>
      </c>
      <c r="AQ73" s="556">
        <f>AQ74</f>
        <v>0</v>
      </c>
      <c r="AR73" s="548">
        <f>AR74</f>
        <v>363862.68059999996</v>
      </c>
      <c r="AS73" s="556"/>
      <c r="AT73" s="607"/>
      <c r="AU73" s="547">
        <f>AU74</f>
        <v>363862.68059999996</v>
      </c>
      <c r="AV73" s="556">
        <f>AV74</f>
        <v>0</v>
      </c>
      <c r="AW73" s="548">
        <f>AW74</f>
        <v>363862.68059999996</v>
      </c>
      <c r="AX73" s="63"/>
      <c r="AY73" s="63"/>
      <c r="AZ73" s="836">
        <f>AZ74</f>
        <v>363862.68059999996</v>
      </c>
      <c r="BA73" s="839">
        <f>BA74</f>
        <v>0</v>
      </c>
      <c r="BB73" s="837">
        <f>BB74</f>
        <v>363862.68059999996</v>
      </c>
      <c r="BC73" s="840"/>
      <c r="BD73" s="842"/>
      <c r="BE73" s="842"/>
    </row>
    <row r="74" spans="1:57" s="2" customFormat="1" ht="14.4" thickBot="1">
      <c r="A74" s="20"/>
      <c r="B74" s="225" t="s">
        <v>64</v>
      </c>
      <c r="C74" s="129">
        <f>C6*3%</f>
        <v>352038.54</v>
      </c>
      <c r="D74" s="135"/>
      <c r="E74" s="136">
        <f>C74+D74</f>
        <v>352038.54</v>
      </c>
      <c r="F74" s="185"/>
      <c r="G74" s="163"/>
      <c r="H74" s="112"/>
      <c r="I74" s="41">
        <f>G74+H74*1</f>
        <v>0</v>
      </c>
      <c r="J74" s="178">
        <f t="shared" si="77"/>
        <v>0</v>
      </c>
      <c r="K74" s="278"/>
      <c r="L74" s="39"/>
      <c r="M74" s="39"/>
      <c r="N74" s="523">
        <f>L74+M74*1</f>
        <v>0</v>
      </c>
      <c r="O74" s="64"/>
      <c r="P74" s="64"/>
      <c r="Q74" s="39"/>
      <c r="R74" s="39"/>
      <c r="S74" s="523">
        <f>Q74+R74*1</f>
        <v>0</v>
      </c>
      <c r="T74" s="64"/>
      <c r="U74" s="64"/>
      <c r="V74" s="39"/>
      <c r="W74" s="39"/>
      <c r="X74" s="106">
        <f>V74+W74*1</f>
        <v>0</v>
      </c>
      <c r="Y74" s="64"/>
      <c r="Z74" s="64"/>
      <c r="AA74" s="452"/>
      <c r="AB74" s="452"/>
      <c r="AC74" s="446">
        <f>AA74+AB74*1</f>
        <v>0</v>
      </c>
      <c r="AD74" s="608"/>
      <c r="AE74" s="608"/>
      <c r="AF74" s="452"/>
      <c r="AG74" s="452"/>
      <c r="AH74" s="446">
        <f>AF74+AG74*1</f>
        <v>0</v>
      </c>
      <c r="AI74" s="608"/>
      <c r="AJ74" s="608"/>
      <c r="AK74" s="452"/>
      <c r="AL74" s="452"/>
      <c r="AM74" s="446">
        <f>AK74+AL74*1</f>
        <v>0</v>
      </c>
      <c r="AN74" s="608"/>
      <c r="AO74" s="608"/>
      <c r="AP74" s="452">
        <v>363862.68059999996</v>
      </c>
      <c r="AQ74" s="452"/>
      <c r="AR74" s="446">
        <f>AP74+AQ74*1</f>
        <v>363862.68059999996</v>
      </c>
      <c r="AS74" s="608"/>
      <c r="AT74" s="608"/>
      <c r="AU74" s="39">
        <v>363862.68059999996</v>
      </c>
      <c r="AV74" s="39">
        <f>H74+M74+R74+W74+AB74+AG74</f>
        <v>0</v>
      </c>
      <c r="AW74" s="39">
        <f>AU74+AV74*1</f>
        <v>363862.68059999996</v>
      </c>
      <c r="AX74" s="64"/>
      <c r="AY74" s="64"/>
      <c r="AZ74" s="452">
        <f>AZ6*3%</f>
        <v>363862.68059999996</v>
      </c>
      <c r="BA74" s="452"/>
      <c r="BB74" s="841">
        <f>AZ74+BA74*1</f>
        <v>363862.68059999996</v>
      </c>
      <c r="BC74" s="608"/>
      <c r="BD74" s="842"/>
      <c r="BE74" s="842"/>
    </row>
    <row r="75" spans="1:57" s="2" customFormat="1" ht="14.4" thickBot="1">
      <c r="A75" s="5"/>
      <c r="B75" s="23" t="s">
        <v>48</v>
      </c>
      <c r="C75" s="137">
        <f>C38-C41-C50-C54</f>
        <v>4942496</v>
      </c>
      <c r="D75" s="137">
        <f>D38-D41-D50-D54</f>
        <v>-2208588.2000000002</v>
      </c>
      <c r="E75" s="138">
        <f>E38-E41-E50-E54</f>
        <v>2733907.8</v>
      </c>
      <c r="F75" s="172"/>
      <c r="G75" s="65">
        <f>G38-G41-G50-G54</f>
        <v>-265573.75999999995</v>
      </c>
      <c r="H75" s="65">
        <f>H38-H41-H50-H54</f>
        <v>-143275.74000000002</v>
      </c>
      <c r="I75" s="66">
        <f>I38-I41-I50-I54</f>
        <v>-408849.5</v>
      </c>
      <c r="J75" s="195"/>
      <c r="K75" s="279"/>
      <c r="L75" s="65">
        <f>L38-L41-L50-L54</f>
        <v>2836280.5060000001</v>
      </c>
      <c r="M75" s="65">
        <f>M38-M41-M50-M54</f>
        <v>-577893.17000000004</v>
      </c>
      <c r="N75" s="138">
        <f>N38-N41-N50-N54</f>
        <v>2258387.3359999997</v>
      </c>
      <c r="O75" s="66"/>
      <c r="P75" s="66"/>
      <c r="Q75" s="65">
        <f>Q38-Q41-Q50-Q54</f>
        <v>-471188.315</v>
      </c>
      <c r="R75" s="65">
        <f>R38-R41-R50-R54</f>
        <v>-333546.93</v>
      </c>
      <c r="S75" s="138">
        <f>S38-S41-S50-S54</f>
        <v>-804735.24499999988</v>
      </c>
      <c r="T75" s="66"/>
      <c r="U75" s="411"/>
      <c r="V75" s="65">
        <f>V38-V41-V50-V54</f>
        <v>1859704.5720000002</v>
      </c>
      <c r="W75" s="65">
        <f>W38-W41-W50-W54</f>
        <v>-360639.86000000004</v>
      </c>
      <c r="X75" s="138">
        <f>X38-X41-X50-X54</f>
        <v>1499064.7120000001</v>
      </c>
      <c r="Y75" s="66"/>
      <c r="Z75" s="411"/>
      <c r="AA75" s="65">
        <f>AA38-AA41-AA50-AA54</f>
        <v>1307505.6639999999</v>
      </c>
      <c r="AB75" s="65">
        <f>AB38-AB41-AB50-AB54</f>
        <v>-579432.30000000005</v>
      </c>
      <c r="AC75" s="138">
        <f>AC38-AC41-AC50-AC54</f>
        <v>728073.36399999994</v>
      </c>
      <c r="AD75" s="66"/>
      <c r="AE75" s="411"/>
      <c r="AF75" s="65">
        <f>AF38-AF41-AF50-AF54</f>
        <v>365533.31400000007</v>
      </c>
      <c r="AG75" s="65">
        <f>AG38-AG41-AG50-AG54</f>
        <v>-288930.81</v>
      </c>
      <c r="AH75" s="138">
        <f>AH38-AH41-AH50-AH54</f>
        <v>76602.504000000074</v>
      </c>
      <c r="AI75" s="66"/>
      <c r="AJ75" s="411"/>
      <c r="AK75" s="65">
        <f>AK38-AK41-AK50-AK54</f>
        <v>304902.60199999996</v>
      </c>
      <c r="AL75" s="65">
        <f>AL38-AL41-AL50-AL54</f>
        <v>-208670</v>
      </c>
      <c r="AM75" s="138">
        <f>AM38-AM41-AM50-AM54</f>
        <v>96232.601999999955</v>
      </c>
      <c r="AN75" s="66"/>
      <c r="AO75" s="411"/>
      <c r="AP75" s="65">
        <f>AP38-AP41-AP50-AP54</f>
        <v>92169.194999998494</v>
      </c>
      <c r="AQ75" s="65">
        <f>AQ38-AQ41-AQ50-AQ54</f>
        <v>-100626.17999999982</v>
      </c>
      <c r="AR75" s="138">
        <f>AR38-AR41-AR50-AR54</f>
        <v>-8456.985000001323</v>
      </c>
      <c r="AS75" s="66"/>
      <c r="AT75" s="411"/>
      <c r="AU75" s="65">
        <f>AU38-AU41-AU50-AU54</f>
        <v>6029333.777999999</v>
      </c>
      <c r="AV75" s="65">
        <f>AV38-AV41-AV50-AV54</f>
        <v>-2593014.9899999998</v>
      </c>
      <c r="AW75" s="138">
        <f>AW38-AW41-AW50-AW54</f>
        <v>3436318.7880000006</v>
      </c>
      <c r="AX75" s="66"/>
      <c r="AY75" s="66"/>
      <c r="AZ75" s="646">
        <f>AZ38-AZ41-AZ50-AZ54</f>
        <v>6029333.777999999</v>
      </c>
      <c r="BA75" s="646">
        <f>BA38-BA41-BA50-BA54</f>
        <v>-2593014.9899999998</v>
      </c>
      <c r="BB75" s="670">
        <f>BB38-BB41-BB50-BB54</f>
        <v>3436318.7880000006</v>
      </c>
      <c r="BC75" s="671"/>
      <c r="BD75" s="842"/>
      <c r="BE75" s="842"/>
    </row>
    <row r="76" spans="1:57" s="2" customFormat="1" ht="13.8">
      <c r="A76" s="294"/>
      <c r="B76" s="36" t="s">
        <v>49</v>
      </c>
      <c r="C76" s="157">
        <f>C75/C5</f>
        <v>0.4211893390990657</v>
      </c>
      <c r="D76" s="157" t="e">
        <f>D75/D5</f>
        <v>#DIV/0!</v>
      </c>
      <c r="E76" s="158">
        <f>E75/E5</f>
        <v>0.23297799723859777</v>
      </c>
      <c r="F76" s="167"/>
      <c r="G76" s="54" t="e">
        <f>G75/G5</f>
        <v>#DIV/0!</v>
      </c>
      <c r="H76" s="54" t="e">
        <f>H75/H5</f>
        <v>#DIV/0!</v>
      </c>
      <c r="I76" s="55" t="e">
        <f>I75/I5</f>
        <v>#DIV/0!</v>
      </c>
      <c r="J76" s="196"/>
      <c r="K76" s="280"/>
      <c r="L76" s="54">
        <f>L75/L5</f>
        <v>0.77177154618288002</v>
      </c>
      <c r="M76" s="54" t="e">
        <f>M75/M5</f>
        <v>#DIV/0!</v>
      </c>
      <c r="N76" s="55">
        <f>N75/N5</f>
        <v>0.61452281694191324</v>
      </c>
      <c r="O76" s="55"/>
      <c r="P76" s="55"/>
      <c r="Q76" s="54" t="e">
        <f>Q75/Q5</f>
        <v>#DIV/0!</v>
      </c>
      <c r="R76" s="54" t="e">
        <f>R75/R5</f>
        <v>#DIV/0!</v>
      </c>
      <c r="S76" s="55" t="e">
        <f>S75/S5</f>
        <v>#DIV/0!</v>
      </c>
      <c r="T76" s="55"/>
      <c r="U76" s="55"/>
      <c r="V76" s="54">
        <f>V75/V5</f>
        <v>0.43208673653949969</v>
      </c>
      <c r="W76" s="54" t="e">
        <f>W75/W5</f>
        <v>#DIV/0!</v>
      </c>
      <c r="X76" s="55">
        <f>X75/X5</f>
        <v>0.34829509429716288</v>
      </c>
      <c r="Y76" s="55"/>
      <c r="Z76" s="55"/>
      <c r="AA76" s="54">
        <f>AA75/AA5</f>
        <v>0.53807518496310947</v>
      </c>
      <c r="AB76" s="54" t="e">
        <f>AB75/AB5</f>
        <v>#DIV/0!</v>
      </c>
      <c r="AC76" s="55">
        <f>AC75/AC5</f>
        <v>0.29962257203729659</v>
      </c>
      <c r="AD76" s="55"/>
      <c r="AE76" s="55"/>
      <c r="AF76" s="54">
        <f>AF75/AF5</f>
        <v>0.55041159204819745</v>
      </c>
      <c r="AG76" s="54" t="e">
        <f>AG75/AG5</f>
        <v>#DIV/0!</v>
      </c>
      <c r="AH76" s="55">
        <f>AH75/AH5</f>
        <v>0.11534627506350474</v>
      </c>
      <c r="AI76" s="55"/>
      <c r="AJ76" s="55"/>
      <c r="AK76" s="54">
        <f>AK75/AK5</f>
        <v>0.28883078893641445</v>
      </c>
      <c r="AL76" s="54" t="e">
        <f>AL75/AL5</f>
        <v>#DIV/0!</v>
      </c>
      <c r="AM76" s="55">
        <f>AM75/AM5</f>
        <v>9.1160056276148038E-2</v>
      </c>
      <c r="AN76" s="55"/>
      <c r="AO76" s="55"/>
      <c r="AP76" s="54">
        <f>AP75/AP5</f>
        <v>131670.27871157214</v>
      </c>
      <c r="AQ76" s="54" t="e">
        <f>AQ75/AQ5</f>
        <v>#DIV/0!</v>
      </c>
      <c r="AR76" s="55">
        <f>AR75/AR5</f>
        <v>-12081.407155718103</v>
      </c>
      <c r="AS76" s="55"/>
      <c r="AT76" s="55"/>
      <c r="AU76" s="54">
        <f>AU75/AU5</f>
        <v>0.49711064911008074</v>
      </c>
      <c r="AV76" s="54" t="e">
        <f>AV75/AV5</f>
        <v>#DIV/0!</v>
      </c>
      <c r="AW76" s="55">
        <f>AW75/AW5</f>
        <v>0.28331996969298429</v>
      </c>
      <c r="AX76" s="55"/>
      <c r="AY76" s="55"/>
      <c r="AZ76" s="639">
        <f>AZ75/AZ5</f>
        <v>0.49711064911008074</v>
      </c>
      <c r="BA76" s="639" t="e">
        <f>BA75/BA5</f>
        <v>#DIV/0!</v>
      </c>
      <c r="BB76" s="660">
        <f>BB75/BB5</f>
        <v>0.28331996969298429</v>
      </c>
      <c r="BC76" s="660"/>
      <c r="BD76" s="842"/>
      <c r="BE76" s="842"/>
    </row>
    <row r="77" spans="1:57" s="2" customFormat="1" ht="14.4" thickBot="1">
      <c r="A77" s="294"/>
      <c r="B77" s="27" t="s">
        <v>9</v>
      </c>
      <c r="C77" s="139">
        <f>C78-C79</f>
        <v>0</v>
      </c>
      <c r="D77" s="139">
        <f>D78-D79</f>
        <v>0</v>
      </c>
      <c r="E77" s="140">
        <f>E78-E79</f>
        <v>0</v>
      </c>
      <c r="F77" s="173"/>
      <c r="G77" s="67">
        <f>G78-G79</f>
        <v>0</v>
      </c>
      <c r="H77" s="67">
        <f>H78-H79</f>
        <v>0</v>
      </c>
      <c r="I77" s="67">
        <f>I78-I79</f>
        <v>-19713.59721109796</v>
      </c>
      <c r="J77" s="197"/>
      <c r="K77" s="281"/>
      <c r="L77" s="139">
        <f>L78-L79</f>
        <v>0</v>
      </c>
      <c r="M77" s="139">
        <f>M78-M79</f>
        <v>0</v>
      </c>
      <c r="N77" s="140">
        <f>N78-N79</f>
        <v>-86351.852988505751</v>
      </c>
      <c r="O77" s="67"/>
      <c r="P77" s="67"/>
      <c r="Q77" s="139">
        <f>Q78-Q79</f>
        <v>0</v>
      </c>
      <c r="R77" s="139">
        <f>R78-R79</f>
        <v>0</v>
      </c>
      <c r="S77" s="140">
        <f>S78-S79</f>
        <v>-49840.345862068971</v>
      </c>
      <c r="T77" s="67"/>
      <c r="U77" s="67"/>
      <c r="V77" s="139">
        <f>V78-V79</f>
        <v>0</v>
      </c>
      <c r="W77" s="139">
        <f>W78-W79</f>
        <v>0</v>
      </c>
      <c r="X77" s="140">
        <f>X78-X79</f>
        <v>-53888.71471264369</v>
      </c>
      <c r="Y77" s="67"/>
      <c r="Z77" s="67"/>
      <c r="AA77" s="139">
        <f>AA78-AA79</f>
        <v>0</v>
      </c>
      <c r="AB77" s="139">
        <f>AB78-AB79</f>
        <v>0</v>
      </c>
      <c r="AC77" s="140">
        <f>AC78-AC79</f>
        <v>-71574.61605369598</v>
      </c>
      <c r="AD77" s="67"/>
      <c r="AE77" s="67"/>
      <c r="AF77" s="139">
        <f>AF78-AF79</f>
        <v>0</v>
      </c>
      <c r="AG77" s="139">
        <f>AG78-AG79</f>
        <v>0</v>
      </c>
      <c r="AH77" s="140">
        <f>AH78-AH79</f>
        <v>-41845.961938586428</v>
      </c>
      <c r="AI77" s="67"/>
      <c r="AJ77" s="67"/>
      <c r="AK77" s="139">
        <f>AK78-AK79</f>
        <v>0</v>
      </c>
      <c r="AL77" s="139">
        <f>AL78-AL79</f>
        <v>0</v>
      </c>
      <c r="AM77" s="140" t="e">
        <f>AM78-AM79</f>
        <v>#DIV/0!</v>
      </c>
      <c r="AN77" s="67"/>
      <c r="AO77" s="67"/>
      <c r="AP77" s="139">
        <f>AP78-AP79</f>
        <v>-387462.00999999995</v>
      </c>
      <c r="AQ77" s="139">
        <f>AQ78-AQ79</f>
        <v>-161096</v>
      </c>
      <c r="AR77" s="140">
        <f>AR78-AR79</f>
        <v>0</v>
      </c>
      <c r="AS77" s="67"/>
      <c r="AT77" s="67"/>
      <c r="AU77" s="139">
        <f>AU78-AU79</f>
        <v>-387462.00999999995</v>
      </c>
      <c r="AV77" s="139">
        <f>AV78-AV79</f>
        <v>-161096</v>
      </c>
      <c r="AW77" s="140">
        <f>AW78-AW79</f>
        <v>-387462.00999999995</v>
      </c>
      <c r="AX77" s="67"/>
      <c r="AY77" s="67"/>
      <c r="AZ77" s="587">
        <f>AZ78-AZ79</f>
        <v>-387462.00999999995</v>
      </c>
      <c r="BA77" s="587">
        <f>BA78-BA79</f>
        <v>0</v>
      </c>
      <c r="BB77" s="674">
        <f>BB78-BB79</f>
        <v>-387462.00999999995</v>
      </c>
      <c r="BC77" s="675"/>
      <c r="BD77" s="842"/>
      <c r="BE77" s="842"/>
    </row>
    <row r="78" spans="1:57" s="2" customFormat="1" ht="13.8">
      <c r="A78" s="11"/>
      <c r="B78" s="6" t="s">
        <v>43</v>
      </c>
      <c r="C78" s="141"/>
      <c r="D78" s="142"/>
      <c r="E78" s="119">
        <f>C78+D78*1.15</f>
        <v>0</v>
      </c>
      <c r="F78" s="186"/>
      <c r="G78" s="71"/>
      <c r="H78" s="71"/>
      <c r="I78" s="71">
        <f>G78+H78*1.15</f>
        <v>0</v>
      </c>
      <c r="J78" s="178">
        <f>I78/$I$89</f>
        <v>0</v>
      </c>
      <c r="K78" s="265"/>
      <c r="L78" s="39"/>
      <c r="M78" s="39"/>
      <c r="N78" s="68">
        <f>L78+M78*1.15</f>
        <v>0</v>
      </c>
      <c r="O78" s="68"/>
      <c r="P78" s="68"/>
      <c r="Q78" s="39"/>
      <c r="R78" s="39"/>
      <c r="S78" s="68">
        <f>Q78+R78*1.15</f>
        <v>0</v>
      </c>
      <c r="T78" s="68"/>
      <c r="U78" s="68"/>
      <c r="V78" s="39"/>
      <c r="W78" s="39"/>
      <c r="X78" s="68">
        <f>V78+W78*1.15</f>
        <v>0</v>
      </c>
      <c r="Y78" s="68"/>
      <c r="Z78" s="68"/>
      <c r="AA78" s="39"/>
      <c r="AB78" s="39"/>
      <c r="AC78" s="68">
        <f>AA78+AB78*1.15</f>
        <v>0</v>
      </c>
      <c r="AD78" s="68"/>
      <c r="AE78" s="68"/>
      <c r="AF78" s="39"/>
      <c r="AG78" s="39"/>
      <c r="AH78" s="68">
        <f>AF78+AG78*1.15</f>
        <v>0</v>
      </c>
      <c r="AI78" s="68"/>
      <c r="AJ78" s="68"/>
      <c r="AK78" s="39"/>
      <c r="AL78" s="39"/>
      <c r="AM78" s="68">
        <f>AK78+AL78*1.15</f>
        <v>0</v>
      </c>
      <c r="AN78" s="68"/>
      <c r="AO78" s="68"/>
      <c r="AP78" s="39"/>
      <c r="AQ78" s="39"/>
      <c r="AR78" s="68">
        <f>AP78+AQ78*1.15</f>
        <v>0</v>
      </c>
      <c r="AS78" s="68"/>
      <c r="AT78" s="68"/>
      <c r="AU78" s="39">
        <f>G78+L78+Q78+V78+AA78+AF78+AK78+AP78</f>
        <v>0</v>
      </c>
      <c r="AV78" s="39">
        <f>H78+M78+R78+W78+AB78+AG78+AL78+AQ78</f>
        <v>0</v>
      </c>
      <c r="AW78" s="68">
        <f>AU78+AV78*1.15</f>
        <v>0</v>
      </c>
      <c r="AX78" s="68"/>
      <c r="AY78" s="68"/>
      <c r="AZ78" s="452"/>
      <c r="BA78" s="452"/>
      <c r="BB78" s="676">
        <f>AZ78+BA78*1.15</f>
        <v>0</v>
      </c>
      <c r="BC78" s="676"/>
      <c r="BD78" s="842"/>
      <c r="BE78" s="842"/>
    </row>
    <row r="79" spans="1:57" s="2" customFormat="1" ht="13.8">
      <c r="A79" s="11"/>
      <c r="B79" s="24" t="s">
        <v>79</v>
      </c>
      <c r="C79" s="113"/>
      <c r="D79" s="119"/>
      <c r="E79" s="119">
        <f>C79+D79*1.15</f>
        <v>0</v>
      </c>
      <c r="F79" s="180">
        <f>E79/$E$89</f>
        <v>0</v>
      </c>
      <c r="G79" s="45"/>
      <c r="H79" s="45"/>
      <c r="I79" s="394">
        <f>(H8+H41+H50+H54)/(1-'расчет 2020'!E15)*'расчет 2020'!E15</f>
        <v>19713.59721109796</v>
      </c>
      <c r="J79" s="178">
        <f>I79/$I$89</f>
        <v>4.599928771139062E-2</v>
      </c>
      <c r="K79" s="265"/>
      <c r="L79" s="39"/>
      <c r="M79" s="39"/>
      <c r="N79" s="106">
        <f>(M8+M41+M50+M54)/(1-'расчет 2024'!E4)*'расчет 2024'!E4</f>
        <v>86351.852988505751</v>
      </c>
      <c r="O79" s="45"/>
      <c r="P79" s="45"/>
      <c r="Q79" s="39"/>
      <c r="R79" s="39"/>
      <c r="S79" s="106">
        <f>(R8+R41+R50+R54)/(1-'расчет 2024'!E5)*'расчет 2024'!E5</f>
        <v>49840.345862068971</v>
      </c>
      <c r="T79" s="45"/>
      <c r="U79" s="45"/>
      <c r="V79" s="39"/>
      <c r="W79" s="39"/>
      <c r="X79" s="106">
        <f>(W8+W41+W50+W54)/(1-'расчет 2024'!E6)*'расчет 2024'!E6</f>
        <v>53888.71471264369</v>
      </c>
      <c r="Y79" s="45"/>
      <c r="Z79" s="45"/>
      <c r="AA79" s="39"/>
      <c r="AB79" s="39"/>
      <c r="AC79" s="106">
        <f>(AB8+AB41+AB50+AB54)/(1-'расчет 2024'!E7)*'расчет 2024'!E7</f>
        <v>71574.61605369598</v>
      </c>
      <c r="AD79" s="45"/>
      <c r="AE79" s="45"/>
      <c r="AF79" s="39"/>
      <c r="AG79" s="39"/>
      <c r="AH79" s="106">
        <f>(AG8+AG41+AG50+AG54)/(1-'расчет 2024'!E8)*'расчет 2024'!E8</f>
        <v>41845.961938586428</v>
      </c>
      <c r="AI79" s="45"/>
      <c r="AJ79" s="45"/>
      <c r="AK79" s="39"/>
      <c r="AL79" s="39"/>
      <c r="AM79" s="106" t="e">
        <f>(AL8+AL41+AL50+AL54)/(1-'расчет 2024'!E9)*'расчет 2024'!E9</f>
        <v>#DIV/0!</v>
      </c>
      <c r="AN79" s="45"/>
      <c r="AO79" s="45"/>
      <c r="AP79" s="39">
        <v>387462.00999999995</v>
      </c>
      <c r="AQ79" s="39">
        <v>161096</v>
      </c>
      <c r="AR79" s="106">
        <f>(AQ8+AQ41+AQ50+AQ54)/(1-'расчет 2024'!J9)*'расчет 2024'!J9</f>
        <v>0</v>
      </c>
      <c r="AS79" s="45"/>
      <c r="AT79" s="45"/>
      <c r="AU79" s="39">
        <f>G79+L79+Q79+V79+AA79+AF79+AK79+AP79</f>
        <v>387462.00999999995</v>
      </c>
      <c r="AV79" s="39">
        <f>H79+M79+R79+W79+AB79+AG79+AL79+AQ79</f>
        <v>161096</v>
      </c>
      <c r="AW79" s="106">
        <f>AU79</f>
        <v>387462.00999999995</v>
      </c>
      <c r="AX79" s="45"/>
      <c r="AY79" s="45"/>
      <c r="AZ79" s="452">
        <f>(BA8+BA35+BA41+BA50+BA54+BA73+AY79)/0.87*0.13</f>
        <v>387462.00999999995</v>
      </c>
      <c r="BA79" s="452"/>
      <c r="BB79" s="446">
        <f>AZ79+BA79</f>
        <v>387462.00999999995</v>
      </c>
      <c r="BC79" s="693"/>
      <c r="BD79" s="842"/>
      <c r="BE79" s="842"/>
    </row>
    <row r="80" spans="1:57" ht="13.8">
      <c r="A80" s="3"/>
      <c r="B80" s="25"/>
      <c r="C80" s="143"/>
      <c r="D80" s="144"/>
      <c r="E80" s="145"/>
      <c r="F80" s="187"/>
      <c r="G80" s="69"/>
      <c r="H80" s="69"/>
      <c r="I80" s="69"/>
      <c r="J80" s="177"/>
      <c r="K80" s="282"/>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39"/>
      <c r="AL80" s="39"/>
      <c r="AM80" s="69"/>
      <c r="AN80" s="69"/>
      <c r="AO80" s="69"/>
      <c r="AP80" s="39"/>
      <c r="AQ80" s="39"/>
      <c r="AR80" s="69"/>
      <c r="AS80" s="69"/>
      <c r="AT80" s="69"/>
      <c r="AU80" s="39"/>
      <c r="AV80" s="39"/>
      <c r="AW80" s="69"/>
      <c r="AX80" s="69"/>
      <c r="AY80" s="69"/>
      <c r="AZ80" s="452"/>
      <c r="BA80" s="452"/>
      <c r="BB80" s="678"/>
      <c r="BC80" s="678"/>
      <c r="BD80" s="842"/>
      <c r="BE80" s="842"/>
    </row>
    <row r="81" spans="1:57" s="2" customFormat="1" ht="14.4" thickBot="1">
      <c r="A81" s="26"/>
      <c r="B81" s="27" t="s">
        <v>12</v>
      </c>
      <c r="C81" s="139">
        <f>(C75+C78)-C79</f>
        <v>4942496</v>
      </c>
      <c r="D81" s="139">
        <f>(D75+D78)-D79</f>
        <v>-2208588.2000000002</v>
      </c>
      <c r="E81" s="140">
        <f>(E75+E78)-E79</f>
        <v>2733907.8</v>
      </c>
      <c r="F81" s="173"/>
      <c r="G81" s="139">
        <f>(G75+G78)-G79</f>
        <v>-265573.75999999995</v>
      </c>
      <c r="H81" s="139">
        <f>(H75+H78)-H79</f>
        <v>-143275.74000000002</v>
      </c>
      <c r="I81" s="140">
        <f>(I75+I78)-I79</f>
        <v>-428563.09721109795</v>
      </c>
      <c r="J81" s="198"/>
      <c r="K81" s="283"/>
      <c r="L81" s="139">
        <f>(L75+L78)-L79</f>
        <v>2836280.5060000001</v>
      </c>
      <c r="M81" s="139">
        <f>(M75+M78)-M79</f>
        <v>-577893.17000000004</v>
      </c>
      <c r="N81" s="140">
        <f>(N75+N78)-N79</f>
        <v>2172035.4830114939</v>
      </c>
      <c r="O81" s="67"/>
      <c r="P81" s="67"/>
      <c r="Q81" s="139">
        <f>(Q75+Q78)-Q79</f>
        <v>-471188.315</v>
      </c>
      <c r="R81" s="139">
        <f>(R75+R78)-R79</f>
        <v>-333546.93</v>
      </c>
      <c r="S81" s="140">
        <f>(S75+S78)-S79</f>
        <v>-854575.59086206881</v>
      </c>
      <c r="T81" s="67"/>
      <c r="U81" s="67"/>
      <c r="V81" s="139">
        <f>(V75+V78)-V79</f>
        <v>1859704.5720000002</v>
      </c>
      <c r="W81" s="139">
        <f>(W75+W78)-W79</f>
        <v>-360639.86000000004</v>
      </c>
      <c r="X81" s="140">
        <f>(X75+X78)-X79</f>
        <v>1445175.9972873563</v>
      </c>
      <c r="Y81" s="67"/>
      <c r="Z81" s="67"/>
      <c r="AA81" s="139">
        <f>(AA75+AA78)-AA79</f>
        <v>1307505.6639999999</v>
      </c>
      <c r="AB81" s="139">
        <f>(AB75+AB78)-AB79</f>
        <v>-579432.30000000005</v>
      </c>
      <c r="AC81" s="140">
        <f>(AC75+AC78)-AC79</f>
        <v>656498.74794630392</v>
      </c>
      <c r="AD81" s="67"/>
      <c r="AE81" s="67"/>
      <c r="AF81" s="139">
        <f>(AF75+AF78)-AF79</f>
        <v>365533.31400000007</v>
      </c>
      <c r="AG81" s="139">
        <f>(AG75+AG78)-AG79</f>
        <v>-288930.81</v>
      </c>
      <c r="AH81" s="140">
        <f>(AH75+AH78)-AH79</f>
        <v>34756.542061413646</v>
      </c>
      <c r="AI81" s="67"/>
      <c r="AJ81" s="67"/>
      <c r="AK81" s="139">
        <f>(AK75+AK78)-AK79</f>
        <v>304902.60199999996</v>
      </c>
      <c r="AL81" s="139">
        <f>(AL75+AL78)-AL79</f>
        <v>-208670</v>
      </c>
      <c r="AM81" s="140" t="e">
        <f>(AM75+AM78)-AM79</f>
        <v>#DIV/0!</v>
      </c>
      <c r="AN81" s="67"/>
      <c r="AO81" s="67"/>
      <c r="AP81" s="139">
        <f>(AP75+AP78)-AP79</f>
        <v>-295292.81500000146</v>
      </c>
      <c r="AQ81" s="139">
        <f>(AQ75+AQ78)-AQ79</f>
        <v>-261722.17999999982</v>
      </c>
      <c r="AR81" s="140">
        <f>(AR75+AR78)-AR79</f>
        <v>-8456.985000001323</v>
      </c>
      <c r="AS81" s="67"/>
      <c r="AT81" s="67"/>
      <c r="AU81" s="139">
        <f>(AU75+AU78)-AU79</f>
        <v>5641871.7679999992</v>
      </c>
      <c r="AV81" s="139">
        <f>(AV75+AV78)-AV79</f>
        <v>-2754110.9899999998</v>
      </c>
      <c r="AW81" s="140">
        <f>(AW75+AW78)-AW79</f>
        <v>3048856.7780000009</v>
      </c>
      <c r="AX81" s="67"/>
      <c r="AY81" s="67"/>
      <c r="AZ81" s="587">
        <f>(AZ75+AZ78)-AZ79</f>
        <v>5641871.7679999992</v>
      </c>
      <c r="BA81" s="587">
        <f>(BA75+BA78)-BA79</f>
        <v>-2593014.9899999998</v>
      </c>
      <c r="BB81" s="674">
        <f>(BB75+BB78)-BB79</f>
        <v>3048856.7780000009</v>
      </c>
      <c r="BC81" s="675"/>
      <c r="BD81" s="842"/>
      <c r="BE81" s="842"/>
    </row>
    <row r="82" spans="1:57" s="2" customFormat="1" ht="13.8">
      <c r="A82" s="293"/>
      <c r="B82" s="6" t="s">
        <v>38</v>
      </c>
      <c r="C82" s="141"/>
      <c r="D82" s="142"/>
      <c r="E82" s="146">
        <f>C82+D82</f>
        <v>0</v>
      </c>
      <c r="F82" s="180">
        <f>E82/$E$89</f>
        <v>0</v>
      </c>
      <c r="G82" s="141"/>
      <c r="H82" s="142"/>
      <c r="I82" s="146">
        <f>G82+H82</f>
        <v>0</v>
      </c>
      <c r="J82" s="178">
        <f>I82/$I$89</f>
        <v>0</v>
      </c>
      <c r="K82" s="284"/>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39">
        <f>G82+L82+Q82+V82+AA82+AF82</f>
        <v>0</v>
      </c>
      <c r="AV82" s="39">
        <f>H82+M82+R82+W82+AB82+AG82</f>
        <v>0</v>
      </c>
      <c r="AW82" s="146">
        <f>AU82+AV82*1</f>
        <v>0</v>
      </c>
      <c r="AX82" s="101"/>
      <c r="AY82" s="101"/>
      <c r="AZ82" s="452"/>
      <c r="BA82" s="452"/>
      <c r="BB82" s="565">
        <f>AZ82+BA82</f>
        <v>0</v>
      </c>
      <c r="BC82" s="642"/>
      <c r="BD82" s="842"/>
      <c r="BE82" s="842"/>
    </row>
    <row r="83" spans="1:57" s="2" customFormat="1" ht="13.8">
      <c r="A83" s="11"/>
      <c r="B83" s="28" t="s">
        <v>13</v>
      </c>
      <c r="C83" s="147">
        <f>(C81+C7)-C36</f>
        <v>4871746</v>
      </c>
      <c r="D83" s="147">
        <f>(D81+D7)-D36</f>
        <v>-2208588.2000000002</v>
      </c>
      <c r="E83" s="147">
        <f>(E81+E7)-E36</f>
        <v>2663157.7999999998</v>
      </c>
      <c r="F83" s="174"/>
      <c r="G83" s="147">
        <f>(G81+G7)-G36</f>
        <v>-265573.75999999995</v>
      </c>
      <c r="H83" s="147">
        <f>(H81+H7)-H36</f>
        <v>-143275.74000000002</v>
      </c>
      <c r="I83" s="148">
        <f>(I81+I7)-I36</f>
        <v>-428563.09721109795</v>
      </c>
      <c r="J83" s="199"/>
      <c r="K83" s="285"/>
      <c r="L83" s="147">
        <f>(L81+L7)-L36</f>
        <v>2836280.5060000001</v>
      </c>
      <c r="M83" s="147">
        <f>(M81+M7)-M36</f>
        <v>-577893.17000000004</v>
      </c>
      <c r="N83" s="148">
        <f>(N81+N7)-N36</f>
        <v>2172035.4830114939</v>
      </c>
      <c r="O83" s="70"/>
      <c r="P83" s="70"/>
      <c r="Q83" s="147">
        <f>(Q81+Q7)-Q36</f>
        <v>-471188.315</v>
      </c>
      <c r="R83" s="147">
        <f>(R81+R7)-R36</f>
        <v>-333546.93</v>
      </c>
      <c r="S83" s="148">
        <f>(S81+S7)-S36</f>
        <v>-854575.59086206881</v>
      </c>
      <c r="T83" s="70"/>
      <c r="U83" s="70"/>
      <c r="V83" s="147">
        <f>(V81+V7)-V36</f>
        <v>1859704.5720000002</v>
      </c>
      <c r="W83" s="147">
        <f>(W81+W7)-W36</f>
        <v>-360639.86000000004</v>
      </c>
      <c r="X83" s="148">
        <f>(X81+X7)-X36</f>
        <v>1445175.9972873563</v>
      </c>
      <c r="Y83" s="70"/>
      <c r="Z83" s="70"/>
      <c r="AA83" s="147">
        <f>(AA81+AA7)-AA36</f>
        <v>1307505.6639999999</v>
      </c>
      <c r="AB83" s="147">
        <f>(AB81+AB7)-AB36</f>
        <v>-579432.30000000005</v>
      </c>
      <c r="AC83" s="148">
        <f>(AC81+AC7)-AC36</f>
        <v>656498.74794630392</v>
      </c>
      <c r="AD83" s="70"/>
      <c r="AE83" s="70"/>
      <c r="AF83" s="147">
        <f>(AF81+AF7)-AF36</f>
        <v>365533.31400000007</v>
      </c>
      <c r="AG83" s="147">
        <f>(AG81+AG7)-AG36</f>
        <v>-288930.81</v>
      </c>
      <c r="AH83" s="148">
        <f>(AH81+AH7)-AH36</f>
        <v>34756.542061413646</v>
      </c>
      <c r="AI83" s="70"/>
      <c r="AJ83" s="70"/>
      <c r="AK83" s="147">
        <f>(AK81+AK7)-AK36</f>
        <v>304902.60199999996</v>
      </c>
      <c r="AL83" s="147">
        <f>(AL81+AL7)-AL36</f>
        <v>-208670</v>
      </c>
      <c r="AM83" s="148" t="e">
        <f>(AM81+AM7)-AM36</f>
        <v>#DIV/0!</v>
      </c>
      <c r="AN83" s="70"/>
      <c r="AO83" s="70"/>
      <c r="AP83" s="147">
        <f>(AP81+AP7)-AP36</f>
        <v>-295292.81500000146</v>
      </c>
      <c r="AQ83" s="147">
        <f>(AQ81+AQ7)-AQ36</f>
        <v>-261722.17999999982</v>
      </c>
      <c r="AR83" s="148">
        <f>(AR81+AR7)-AR36</f>
        <v>-8456.985000001323</v>
      </c>
      <c r="AS83" s="70"/>
      <c r="AT83" s="70"/>
      <c r="AU83" s="147">
        <f>(AU81+AU7)-AU36</f>
        <v>5641871.7679999992</v>
      </c>
      <c r="AV83" s="147">
        <f>(AV81+AV7)-AV36</f>
        <v>-2754110.9899999998</v>
      </c>
      <c r="AW83" s="148">
        <f>(AW81+AW7)-AW36</f>
        <v>3048856.7780000009</v>
      </c>
      <c r="AX83" s="70"/>
      <c r="AY83" s="70"/>
      <c r="AZ83" s="679">
        <f>(AZ81+AZ7)-AZ36</f>
        <v>5641871.7679999992</v>
      </c>
      <c r="BA83" s="679">
        <f>(BA81+BA7)-BA36</f>
        <v>-2593014.9899999998</v>
      </c>
      <c r="BB83" s="680">
        <f>(BB81+BB7)-BB36</f>
        <v>3048856.7780000009</v>
      </c>
      <c r="BC83" s="681"/>
      <c r="BD83" s="842"/>
      <c r="BE83" s="842"/>
    </row>
    <row r="84" spans="1:57" s="2" customFormat="1" ht="14.4" thickBot="1">
      <c r="A84" s="11"/>
      <c r="B84" s="211" t="s">
        <v>14</v>
      </c>
      <c r="C84" s="212">
        <f>C83-C73-C82</f>
        <v>4519707.46</v>
      </c>
      <c r="D84" s="212">
        <f>D83-D73-D82</f>
        <v>-2208588.2000000002</v>
      </c>
      <c r="E84" s="212">
        <f>E83-E73-E82</f>
        <v>2311119.2599999998</v>
      </c>
      <c r="F84" s="214"/>
      <c r="G84" s="212">
        <f>G83-G73-G82</f>
        <v>-265573.75999999995</v>
      </c>
      <c r="H84" s="212">
        <f>H83-H73-H82</f>
        <v>-143275.74000000002</v>
      </c>
      <c r="I84" s="213">
        <f>I83-I73-I82</f>
        <v>-428563.09721109795</v>
      </c>
      <c r="J84" s="215"/>
      <c r="K84" s="286"/>
      <c r="L84" s="213">
        <f>L83-L73-L82</f>
        <v>2836280.5060000001</v>
      </c>
      <c r="M84" s="213">
        <f>M83-M73-M82</f>
        <v>-577893.17000000004</v>
      </c>
      <c r="N84" s="213">
        <f>N83-N73-N82</f>
        <v>2172035.4830114939</v>
      </c>
      <c r="O84" s="82"/>
      <c r="P84" s="82"/>
      <c r="Q84" s="213">
        <f>Q83-Q73-Q82</f>
        <v>-471188.315</v>
      </c>
      <c r="R84" s="213">
        <f>R83-R73-R82</f>
        <v>-333546.93</v>
      </c>
      <c r="S84" s="213">
        <f>S83-S73-S82</f>
        <v>-854575.59086206881</v>
      </c>
      <c r="T84" s="82"/>
      <c r="U84" s="82"/>
      <c r="V84" s="213">
        <f>V83-V73-V82</f>
        <v>1859704.5720000002</v>
      </c>
      <c r="W84" s="213">
        <f>W83-W73-W82</f>
        <v>-360639.86000000004</v>
      </c>
      <c r="X84" s="213">
        <f>X83-X73-X82</f>
        <v>1445175.9972873563</v>
      </c>
      <c r="Y84" s="82"/>
      <c r="Z84" s="82"/>
      <c r="AA84" s="589">
        <f>AA83-AA73-AA82</f>
        <v>1307505.6639999999</v>
      </c>
      <c r="AB84" s="589">
        <f>AB83-AB73-AB82</f>
        <v>-579432.30000000005</v>
      </c>
      <c r="AC84" s="213">
        <f>AC83-AC73-AC82</f>
        <v>656498.74794630392</v>
      </c>
      <c r="AD84" s="82"/>
      <c r="AE84" s="82"/>
      <c r="AF84" s="589">
        <f>AF83-AF73-AF82</f>
        <v>365533.31400000007</v>
      </c>
      <c r="AG84" s="589">
        <f>AG83-AG73-AG82</f>
        <v>-288930.81</v>
      </c>
      <c r="AH84" s="213">
        <f>AH83-AH73-AH82</f>
        <v>34756.542061413646</v>
      </c>
      <c r="AI84" s="82"/>
      <c r="AJ84" s="82"/>
      <c r="AK84" s="589">
        <f>AK83-AK73-AK82</f>
        <v>304902.60199999996</v>
      </c>
      <c r="AL84" s="589">
        <f>AL83-AL73-AL82</f>
        <v>-208670</v>
      </c>
      <c r="AM84" s="213" t="e">
        <f>AM83-AM73-AM82</f>
        <v>#DIV/0!</v>
      </c>
      <c r="AN84" s="82"/>
      <c r="AO84" s="82"/>
      <c r="AP84" s="589">
        <f>AP83-AP73-AP82</f>
        <v>-659155.49560000142</v>
      </c>
      <c r="AQ84" s="589">
        <f>AQ83-AQ73-AQ82</f>
        <v>-261722.17999999982</v>
      </c>
      <c r="AR84" s="213">
        <f>AR83-AR73-AR82</f>
        <v>-372319.66560000129</v>
      </c>
      <c r="AS84" s="82"/>
      <c r="AT84" s="82"/>
      <c r="AU84" s="589">
        <f>AU83-AU73-AU82</f>
        <v>5278009.0873999996</v>
      </c>
      <c r="AV84" s="589">
        <f>AV83-AV73-AV82</f>
        <v>-2754110.9899999998</v>
      </c>
      <c r="AW84" s="213">
        <f>AW83-AW73-AW82</f>
        <v>2684994.0974000008</v>
      </c>
      <c r="AX84" s="82"/>
      <c r="AY84" s="82"/>
      <c r="AZ84" s="562">
        <f>AZ83-AZ73-AZ82</f>
        <v>5278009.0873999996</v>
      </c>
      <c r="BA84" s="562">
        <f>BA83-BA73-BA82</f>
        <v>-2593014.9899999998</v>
      </c>
      <c r="BB84" s="562">
        <f>BB83-BB73-BB82</f>
        <v>2684994.0974000008</v>
      </c>
      <c r="BC84" s="537"/>
      <c r="BD84" s="842"/>
      <c r="BE84" s="842"/>
    </row>
    <row r="85" spans="1:57" s="2" customFormat="1" ht="13.8">
      <c r="A85" s="293"/>
      <c r="B85" s="216" t="s">
        <v>44</v>
      </c>
      <c r="C85" s="141"/>
      <c r="D85" s="142"/>
      <c r="E85" s="146">
        <f>C85+D85</f>
        <v>0</v>
      </c>
      <c r="F85" s="217">
        <f>E85/$E$89</f>
        <v>0</v>
      </c>
      <c r="G85" s="102"/>
      <c r="H85" s="102"/>
      <c r="I85" s="146">
        <f>G85+H85</f>
        <v>0</v>
      </c>
      <c r="J85" s="178">
        <f>I85/$I$89</f>
        <v>0</v>
      </c>
      <c r="K85" s="287"/>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39">
        <f>G85+L85+Q85+V85+AA85+AF85</f>
        <v>0</v>
      </c>
      <c r="AV85" s="39">
        <f>H85+M85+R85+W85+AB85+AG85</f>
        <v>0</v>
      </c>
      <c r="AW85" s="219">
        <f>AU85+AV85*1</f>
        <v>0</v>
      </c>
      <c r="AX85" s="102"/>
      <c r="AY85" s="102"/>
      <c r="AZ85" s="488"/>
      <c r="BA85" s="488"/>
      <c r="BB85" s="484">
        <f>AZ85+BA85*1.15</f>
        <v>0</v>
      </c>
      <c r="BC85" s="566"/>
      <c r="BD85" s="842"/>
      <c r="BE85" s="842"/>
    </row>
    <row r="86" spans="1:57" s="2" customFormat="1" ht="27.6">
      <c r="A86" s="11"/>
      <c r="B86" s="37" t="s">
        <v>50</v>
      </c>
      <c r="C86" s="149">
        <f>C84-C85</f>
        <v>4519707.46</v>
      </c>
      <c r="D86" s="149">
        <f>D84-D85</f>
        <v>-2208588.2000000002</v>
      </c>
      <c r="E86" s="150">
        <f>E84-E85</f>
        <v>2311119.2599999998</v>
      </c>
      <c r="F86" s="175"/>
      <c r="G86" s="72">
        <f>G84-G85</f>
        <v>-265573.75999999995</v>
      </c>
      <c r="H86" s="72">
        <f>H84-H85</f>
        <v>-143275.74000000002</v>
      </c>
      <c r="I86" s="73">
        <f>I84-I85</f>
        <v>-428563.09721109795</v>
      </c>
      <c r="J86" s="200"/>
      <c r="K86" s="288"/>
      <c r="L86" s="150">
        <f>L84-L85</f>
        <v>2836280.5060000001</v>
      </c>
      <c r="M86" s="150">
        <f>M84-M85</f>
        <v>-577893.17000000004</v>
      </c>
      <c r="N86" s="150">
        <f>N84-N85</f>
        <v>2172035.4830114939</v>
      </c>
      <c r="O86" s="73"/>
      <c r="P86" s="73"/>
      <c r="Q86" s="150">
        <f>Q84-Q85</f>
        <v>-471188.315</v>
      </c>
      <c r="R86" s="150">
        <f>R84-R85</f>
        <v>-333546.93</v>
      </c>
      <c r="S86" s="150">
        <f>S84-S85</f>
        <v>-854575.59086206881</v>
      </c>
      <c r="T86" s="73"/>
      <c r="U86" s="73"/>
      <c r="V86" s="150">
        <f>V84-V85</f>
        <v>1859704.5720000002</v>
      </c>
      <c r="W86" s="150">
        <f>W84-W85</f>
        <v>-360639.86000000004</v>
      </c>
      <c r="X86" s="150">
        <f>X84-X85</f>
        <v>1445175.9972873563</v>
      </c>
      <c r="Y86" s="73"/>
      <c r="Z86" s="73"/>
      <c r="AA86" s="150">
        <f>AA84-AA85</f>
        <v>1307505.6639999999</v>
      </c>
      <c r="AB86" s="150">
        <f>AB84-AB85</f>
        <v>-579432.30000000005</v>
      </c>
      <c r="AC86" s="150">
        <f>AC84-AC85</f>
        <v>656498.74794630392</v>
      </c>
      <c r="AD86" s="73"/>
      <c r="AE86" s="73"/>
      <c r="AF86" s="150">
        <f>AF84-AF85</f>
        <v>365533.31400000007</v>
      </c>
      <c r="AG86" s="150">
        <f>AG84-AG85</f>
        <v>-288930.81</v>
      </c>
      <c r="AH86" s="150">
        <f>AH84-AH85</f>
        <v>34756.542061413646</v>
      </c>
      <c r="AI86" s="73"/>
      <c r="AJ86" s="73"/>
      <c r="AK86" s="150">
        <f>AK84-AK85</f>
        <v>304902.60199999996</v>
      </c>
      <c r="AL86" s="150">
        <f>AL84-AL85</f>
        <v>-208670</v>
      </c>
      <c r="AM86" s="150" t="e">
        <f>AM84-AM85</f>
        <v>#DIV/0!</v>
      </c>
      <c r="AN86" s="73"/>
      <c r="AO86" s="73"/>
      <c r="AP86" s="150">
        <f>AP84-AP85</f>
        <v>-659155.49560000142</v>
      </c>
      <c r="AQ86" s="150">
        <f>AQ84-AQ85</f>
        <v>-261722.17999999982</v>
      </c>
      <c r="AR86" s="150">
        <f>AR84-AR85</f>
        <v>-372319.66560000129</v>
      </c>
      <c r="AS86" s="73"/>
      <c r="AT86" s="73"/>
      <c r="AU86" s="150">
        <f>AU84-AU85</f>
        <v>5278009.0873999996</v>
      </c>
      <c r="AV86" s="150">
        <f>AV84-AV85</f>
        <v>-2754110.9899999998</v>
      </c>
      <c r="AW86" s="150">
        <f>AW84-AW85</f>
        <v>2684994.0974000008</v>
      </c>
      <c r="AX86" s="73"/>
      <c r="AY86" s="73"/>
      <c r="AZ86" s="569">
        <f>AZ84-AZ85</f>
        <v>5278009.0873999996</v>
      </c>
      <c r="BA86" s="569">
        <f>BA84-BA85</f>
        <v>-2593014.9899999998</v>
      </c>
      <c r="BB86" s="569">
        <f>BB84-BB85</f>
        <v>2684994.0974000008</v>
      </c>
      <c r="BC86" s="538"/>
      <c r="BD86" s="842"/>
      <c r="BE86" s="842"/>
    </row>
    <row r="87" spans="1:57" s="2" customFormat="1" ht="14.4" thickBot="1">
      <c r="A87" s="295"/>
      <c r="B87" s="29" t="s">
        <v>51</v>
      </c>
      <c r="C87" s="155">
        <f>C86/C5</f>
        <v>0.38516016967914934</v>
      </c>
      <c r="D87" s="151" t="e">
        <f>D86/D5</f>
        <v>#DIV/0!</v>
      </c>
      <c r="E87" s="156">
        <f>E86/E5</f>
        <v>0.19694882781868142</v>
      </c>
      <c r="F87" s="176"/>
      <c r="G87" s="74" t="e">
        <f>G86/G5</f>
        <v>#DIV/0!</v>
      </c>
      <c r="H87" s="74" t="e">
        <f>H86/H5</f>
        <v>#DIV/0!</v>
      </c>
      <c r="I87" s="75" t="e">
        <f>I86/I5</f>
        <v>#DIV/0!</v>
      </c>
      <c r="J87" s="201"/>
      <c r="K87" s="289"/>
      <c r="L87" s="155">
        <f>L86/L5</f>
        <v>0.77177154618288002</v>
      </c>
      <c r="M87" s="151" t="e">
        <f>M86/M5</f>
        <v>#DIV/0!</v>
      </c>
      <c r="N87" s="156">
        <f>N86/N5</f>
        <v>0.59102588038866533</v>
      </c>
      <c r="O87" s="75"/>
      <c r="P87" s="75"/>
      <c r="Q87" s="155" t="e">
        <f>Q86/Q5</f>
        <v>#DIV/0!</v>
      </c>
      <c r="R87" s="151" t="e">
        <f>R86/R5</f>
        <v>#DIV/0!</v>
      </c>
      <c r="S87" s="156" t="e">
        <f>S86/S5</f>
        <v>#DIV/0!</v>
      </c>
      <c r="T87" s="75"/>
      <c r="U87" s="75"/>
      <c r="V87" s="155">
        <f>V86/V5</f>
        <v>0.43208673653949969</v>
      </c>
      <c r="W87" s="151" t="e">
        <f>W86/W5</f>
        <v>#DIV/0!</v>
      </c>
      <c r="X87" s="156">
        <f>X86/X5</f>
        <v>0.33577450407704357</v>
      </c>
      <c r="Y87" s="75"/>
      <c r="Z87" s="75"/>
      <c r="AA87" s="155">
        <f>AA86/AA5</f>
        <v>0.53807518496310947</v>
      </c>
      <c r="AB87" s="151" t="e">
        <f>AB86/AB5</f>
        <v>#DIV/0!</v>
      </c>
      <c r="AC87" s="156">
        <f>AC86/AC5</f>
        <v>0.2701676137666485</v>
      </c>
      <c r="AD87" s="75"/>
      <c r="AE87" s="75"/>
      <c r="AF87" s="155">
        <f>AF86/AF5</f>
        <v>0.55041159204819745</v>
      </c>
      <c r="AG87" s="151" t="e">
        <f>AG86/AG5</f>
        <v>#DIV/0!</v>
      </c>
      <c r="AH87" s="156">
        <f>AH86/AH5</f>
        <v>5.2335595463982303E-2</v>
      </c>
      <c r="AI87" s="75"/>
      <c r="AJ87" s="75"/>
      <c r="AK87" s="155">
        <f>AK86/AK5</f>
        <v>0.28883078893641445</v>
      </c>
      <c r="AL87" s="151" t="e">
        <f>AL86/AL5</f>
        <v>#DIV/0!</v>
      </c>
      <c r="AM87" s="156" t="e">
        <f>AM86/AM5</f>
        <v>#DIV/0!</v>
      </c>
      <c r="AN87" s="75"/>
      <c r="AO87" s="75"/>
      <c r="AP87" s="155">
        <f>AP86/AP5</f>
        <v>-941650.70900226547</v>
      </c>
      <c r="AQ87" s="151" t="e">
        <f>AQ86/AQ5</f>
        <v>#DIV/0!</v>
      </c>
      <c r="AR87" s="156">
        <f>AR86/AR5</f>
        <v>-531885.23713755235</v>
      </c>
      <c r="AS87" s="75"/>
      <c r="AT87" s="75"/>
      <c r="AU87" s="155">
        <f>AU86/AU5</f>
        <v>0.43516491540407781</v>
      </c>
      <c r="AV87" s="151" t="e">
        <f>AV86/AV5</f>
        <v>#DIV/0!</v>
      </c>
      <c r="AW87" s="156">
        <f>AW86/AW5</f>
        <v>0.22137423598698136</v>
      </c>
      <c r="AX87" s="75"/>
      <c r="AY87" s="75"/>
      <c r="AZ87" s="575">
        <f>AZ86/AZ5</f>
        <v>0.43516491540407781</v>
      </c>
      <c r="BA87" s="575" t="e">
        <f>BA86/BA5</f>
        <v>#DIV/0!</v>
      </c>
      <c r="BB87" s="575">
        <f>BB86/BB5</f>
        <v>0.22137423598698136</v>
      </c>
      <c r="BC87" s="576"/>
      <c r="BD87" s="842"/>
      <c r="BE87" s="842"/>
    </row>
    <row r="88" spans="1:57" ht="13.8">
      <c r="A88" s="30"/>
      <c r="B88" s="30"/>
      <c r="C88" s="152"/>
      <c r="D88" s="152"/>
      <c r="E88" s="152"/>
      <c r="F88" s="188"/>
      <c r="G88" s="76"/>
      <c r="H88" s="76"/>
      <c r="I88" s="76"/>
      <c r="J88" s="208"/>
      <c r="K88" s="208"/>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row>
    <row r="89" spans="1:57">
      <c r="B89" s="221" t="s">
        <v>56</v>
      </c>
      <c r="C89" s="153"/>
      <c r="D89" s="153"/>
      <c r="E89" s="154">
        <f>E8+E36+E41+E50+E54+E73+E79+E82+E85</f>
        <v>9423498.7399999984</v>
      </c>
      <c r="F89" s="189"/>
      <c r="I89" s="154">
        <f>I8+I36+I41+I50+I54+I73+I79+I82+I85</f>
        <v>428563.09721109795</v>
      </c>
      <c r="N89" s="154">
        <f>N8+N36+N41+N50+N54+N73+N79+N82+N85</f>
        <v>1502990.5269885056</v>
      </c>
      <c r="S89" s="154">
        <f>S8+S36+S41+S50+S54+S73+S79+S82+S85</f>
        <v>854575.59086206881</v>
      </c>
      <c r="X89" s="154">
        <f>X8+X36+X41+X50+X54+X73+X79+X82+X85</f>
        <v>2858831.5427126433</v>
      </c>
      <c r="AC89" s="154">
        <f>AC8+AC36+AC41+AC50+AC54+AC73+AC79+AC82+AC85</f>
        <v>1773469.592053696</v>
      </c>
      <c r="AH89" s="154">
        <f>AH8+AH36+AH41+AH50+AH54+AH73+AH79+AH82+AH85</f>
        <v>629352.4979385864</v>
      </c>
      <c r="AM89" s="154" t="e">
        <f>AM8+AM36+AM41+AM50+AM54+AM73+AM79+AM82+AM85</f>
        <v>#DIV/0!</v>
      </c>
      <c r="AR89" s="154">
        <f>AR8+AR36+AR41+AR50+AR54+AR73+AR79+AR82+AR85</f>
        <v>372320.36560000054</v>
      </c>
      <c r="AW89" s="154">
        <f>AW8+AW36+AW41+AW50+AW54+AW73+AW79+AW82+AW85</f>
        <v>9443761.9226000011</v>
      </c>
      <c r="AZ89" s="38"/>
      <c r="BA89" s="38"/>
      <c r="BB89" s="154"/>
      <c r="BC89" s="38"/>
    </row>
    <row r="90" spans="1:57">
      <c r="C90" s="153"/>
      <c r="D90" s="153"/>
      <c r="E90" s="153"/>
      <c r="AW90" s="393" t="e">
        <f>(N89+I89+S89+X89+AC89+AH89+AM89+AR89)</f>
        <v>#DIV/0!</v>
      </c>
      <c r="AZ90" s="395"/>
      <c r="BA90" s="395"/>
      <c r="BB90" s="395"/>
      <c r="BC90" s="395"/>
    </row>
    <row r="91" spans="1:57" s="2" customFormat="1">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95"/>
      <c r="BA91" s="395"/>
      <c r="BB91" s="395"/>
      <c r="BC91" s="395"/>
    </row>
    <row r="92" spans="1:57">
      <c r="B92" s="629"/>
      <c r="C92" s="38"/>
      <c r="D92" s="38"/>
      <c r="AH92" s="38">
        <f>AH5-AH89</f>
        <v>34756.542061413638</v>
      </c>
      <c r="AM92" s="687" t="e">
        <f>AM5-AM89</f>
        <v>#DIV/0!</v>
      </c>
      <c r="AR92" s="687">
        <f>AR5-AR89</f>
        <v>-372319.66560000129</v>
      </c>
      <c r="AW92" s="687">
        <f>AW5-AW89</f>
        <v>2684994.0973999985</v>
      </c>
      <c r="AZ92" s="395"/>
      <c r="BA92" s="395"/>
      <c r="BB92" s="395"/>
      <c r="BC92" s="395"/>
    </row>
    <row r="93" spans="1:57" s="2" customFormat="1">
      <c r="A93" s="8"/>
      <c r="B93" s="629"/>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95"/>
      <c r="BA93" s="395"/>
      <c r="BB93" s="395"/>
      <c r="BC93" s="395"/>
    </row>
    <row r="94" spans="1:57" s="2" customFormat="1">
      <c r="A94" s="8"/>
      <c r="B94" s="629"/>
      <c r="C94" s="38"/>
      <c r="D94" s="38"/>
      <c r="E94" s="38"/>
      <c r="F94" s="38"/>
      <c r="G94" s="38"/>
      <c r="H94" s="38"/>
      <c r="I94" s="38"/>
      <c r="J94" s="38"/>
      <c r="K94" s="38"/>
      <c r="L94" s="38"/>
      <c r="M94" s="38"/>
      <c r="N94" s="38"/>
      <c r="O94" s="38"/>
      <c r="P94" s="38"/>
      <c r="Q94" s="38"/>
      <c r="R94" s="38"/>
      <c r="S94" s="38"/>
      <c r="T94" s="38"/>
      <c r="U94" s="38"/>
      <c r="V94" s="38"/>
      <c r="W94" s="38"/>
      <c r="X94" s="38"/>
      <c r="Y94" s="38"/>
      <c r="Z94" s="38"/>
      <c r="AA94" s="626"/>
      <c r="AB94" s="38"/>
      <c r="AC94" s="38"/>
      <c r="AD94" s="38"/>
      <c r="AE94" s="38"/>
      <c r="AF94" s="38"/>
      <c r="AG94" s="38"/>
      <c r="AH94" s="38"/>
      <c r="AI94" s="38"/>
      <c r="AJ94" s="38"/>
      <c r="AK94" s="38"/>
      <c r="AL94" s="38"/>
      <c r="AM94" s="38"/>
      <c r="AN94" s="38"/>
      <c r="AO94" s="38"/>
      <c r="AP94" s="38"/>
      <c r="AQ94" s="38"/>
      <c r="AR94" s="38"/>
      <c r="AS94" s="38"/>
      <c r="AT94" s="38"/>
      <c r="AU94" s="626"/>
      <c r="AV94" s="38"/>
      <c r="AW94" s="38"/>
      <c r="AX94" s="38"/>
      <c r="AY94" s="38"/>
      <c r="AZ94" s="395"/>
      <c r="BA94" s="395"/>
      <c r="BB94" s="395"/>
      <c r="BC94" s="395"/>
    </row>
    <row r="95" spans="1:57" s="2" customFormat="1">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687"/>
      <c r="BA95" s="844"/>
      <c r="BB95" s="687"/>
      <c r="BC95" s="395"/>
    </row>
    <row r="96" spans="1:57" s="2" customFormat="1">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687"/>
      <c r="BA96" s="844"/>
      <c r="BB96" s="687"/>
      <c r="BC96" s="395"/>
    </row>
    <row r="97" spans="1:55">
      <c r="B97" s="629"/>
      <c r="C97" s="38"/>
      <c r="D97" s="38"/>
      <c r="AZ97" s="687"/>
      <c r="BA97" s="844"/>
      <c r="BB97" s="687"/>
      <c r="BC97" s="395"/>
    </row>
    <row r="98" spans="1:55" s="2" customFormat="1">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687"/>
      <c r="BA98" s="844"/>
      <c r="BB98" s="687"/>
      <c r="BC98" s="395"/>
    </row>
    <row r="99" spans="1:55">
      <c r="C99" s="38"/>
      <c r="D99" s="38"/>
      <c r="AZ99" s="687"/>
      <c r="BA99" s="844"/>
      <c r="BB99" s="687"/>
      <c r="BC99" s="395"/>
    </row>
    <row r="100" spans="1:55">
      <c r="AZ100" s="687"/>
      <c r="BA100" s="844"/>
      <c r="BB100" s="687"/>
      <c r="BC100" s="395"/>
    </row>
    <row r="101" spans="1:55">
      <c r="AZ101" s="687"/>
      <c r="BA101" s="395"/>
      <c r="BB101" s="395"/>
      <c r="BC101" s="395"/>
    </row>
    <row r="102" spans="1:55">
      <c r="AZ102" s="687"/>
      <c r="BA102" s="395"/>
      <c r="BB102" s="395"/>
      <c r="BC102" s="395"/>
    </row>
    <row r="103" spans="1:55">
      <c r="AZ103" s="687"/>
      <c r="BA103" s="395"/>
      <c r="BB103" s="395"/>
      <c r="BC103" s="395"/>
    </row>
    <row r="104" spans="1:55">
      <c r="AZ104" s="687"/>
      <c r="BA104" s="395"/>
      <c r="BB104" s="395"/>
      <c r="BC104" s="395"/>
    </row>
    <row r="105" spans="1:55">
      <c r="AZ105" s="687"/>
      <c r="BA105" s="395"/>
      <c r="BB105" s="395"/>
      <c r="BC105" s="395"/>
    </row>
    <row r="106" spans="1:55">
      <c r="AZ106" s="687"/>
      <c r="BA106" s="395"/>
      <c r="BB106" s="395"/>
      <c r="BC106" s="395"/>
    </row>
    <row r="107" spans="1:55">
      <c r="AZ107" s="395"/>
      <c r="BA107" s="395"/>
      <c r="BB107" s="395"/>
      <c r="BC107" s="395"/>
    </row>
    <row r="108" spans="1:55">
      <c r="AZ108" s="38"/>
      <c r="BA108" s="395"/>
      <c r="BB108" s="395"/>
      <c r="BC108" s="395"/>
    </row>
    <row r="109" spans="1:55">
      <c r="AZ109" s="38"/>
      <c r="BA109" s="395"/>
      <c r="BB109" s="395"/>
      <c r="BC109" s="395"/>
    </row>
  </sheetData>
  <mergeCells count="13">
    <mergeCell ref="AZ2:BC3"/>
    <mergeCell ref="AU2:AX3"/>
    <mergeCell ref="G2:J3"/>
    <mergeCell ref="A3:F3"/>
    <mergeCell ref="A42:A48"/>
    <mergeCell ref="A2:F2"/>
    <mergeCell ref="L2:O3"/>
    <mergeCell ref="Q2:T3"/>
    <mergeCell ref="V2:Y3"/>
    <mergeCell ref="AA2:AD3"/>
    <mergeCell ref="AF2:AI3"/>
    <mergeCell ref="AK2:AN3"/>
    <mergeCell ref="AP2:AS3"/>
  </mergeCells>
  <pageMargins left="0.7" right="0.7" top="0.75" bottom="0.75" header="0.3" footer="0.3"/>
  <pageSetup paperSize="9" orientation="portrait"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23"/>
  <sheetViews>
    <sheetView workbookViewId="0">
      <selection activeCell="M24" sqref="M24"/>
    </sheetView>
  </sheetViews>
  <sheetFormatPr defaultRowHeight="14.4"/>
  <cols>
    <col min="13" max="13" width="13.88671875" bestFit="1" customWidth="1"/>
  </cols>
  <sheetData>
    <row r="1" spans="2:17">
      <c r="B1" s="3125"/>
      <c r="C1" s="3125"/>
      <c r="D1" s="3125"/>
      <c r="E1" s="3125"/>
      <c r="F1" s="3125"/>
      <c r="G1" s="3125"/>
      <c r="H1" s="3125"/>
      <c r="I1" s="3125"/>
      <c r="J1" s="3125"/>
      <c r="K1" s="3125"/>
      <c r="L1" s="3125"/>
      <c r="M1" s="3125" t="s">
        <v>1648</v>
      </c>
      <c r="N1" s="3125"/>
      <c r="O1" s="3138">
        <v>24</v>
      </c>
      <c r="P1" s="3125" t="s">
        <v>1649</v>
      </c>
      <c r="Q1" s="3138">
        <v>8</v>
      </c>
    </row>
    <row r="2" spans="2:17" ht="72.599999999999994" thickBot="1">
      <c r="B2" s="3126" t="s">
        <v>1650</v>
      </c>
      <c r="C2" s="3126" t="s">
        <v>1651</v>
      </c>
      <c r="D2" s="3126" t="s">
        <v>1652</v>
      </c>
      <c r="E2" s="3127" t="s">
        <v>1653</v>
      </c>
      <c r="F2" s="3128" t="s">
        <v>1654</v>
      </c>
      <c r="G2" s="3128" t="s">
        <v>1140</v>
      </c>
      <c r="H2" s="3126" t="s">
        <v>1655</v>
      </c>
      <c r="I2" s="3126" t="s">
        <v>1656</v>
      </c>
      <c r="J2" s="3129" t="s">
        <v>1657</v>
      </c>
      <c r="K2" s="3129" t="s">
        <v>1658</v>
      </c>
      <c r="L2" s="3129" t="s">
        <v>19</v>
      </c>
      <c r="M2" s="3129" t="s">
        <v>1659</v>
      </c>
      <c r="N2" s="3129" t="s">
        <v>1660</v>
      </c>
      <c r="O2" s="3129" t="s">
        <v>1661</v>
      </c>
      <c r="P2" s="3129"/>
      <c r="Q2" s="3129"/>
    </row>
    <row r="3" spans="2:17">
      <c r="B3" s="3130" t="s">
        <v>1662</v>
      </c>
      <c r="C3" s="3130" t="s">
        <v>1663</v>
      </c>
      <c r="D3" s="3130" t="s">
        <v>1664</v>
      </c>
      <c r="E3" s="3130" t="s">
        <v>1665</v>
      </c>
      <c r="F3" s="3131">
        <v>2008</v>
      </c>
      <c r="G3" s="3131">
        <v>1</v>
      </c>
      <c r="H3" s="3130">
        <v>125</v>
      </c>
      <c r="I3" s="3130" t="s">
        <v>1666</v>
      </c>
      <c r="J3" s="3132">
        <v>467.63</v>
      </c>
      <c r="K3" s="3132">
        <v>494.88</v>
      </c>
      <c r="L3" s="3125"/>
      <c r="M3" s="3136">
        <v>89784.959999999992</v>
      </c>
      <c r="N3" s="3136">
        <v>95016.959999999992</v>
      </c>
      <c r="O3" s="3125">
        <v>192</v>
      </c>
      <c r="P3" s="3125"/>
      <c r="Q3" s="3125"/>
    </row>
    <row r="4" spans="2:17">
      <c r="B4" s="3133" t="s">
        <v>1667</v>
      </c>
      <c r="C4" s="3133" t="s">
        <v>1668</v>
      </c>
      <c r="D4" s="3133" t="s">
        <v>1669</v>
      </c>
      <c r="E4" s="3133" t="s">
        <v>1670</v>
      </c>
      <c r="F4" s="3134">
        <v>2011</v>
      </c>
      <c r="G4" s="3134">
        <v>1</v>
      </c>
      <c r="H4" s="3133">
        <v>125</v>
      </c>
      <c r="I4" s="3133" t="s">
        <v>1671</v>
      </c>
      <c r="J4" s="3132">
        <v>467.63</v>
      </c>
      <c r="K4" s="3132">
        <v>494.88</v>
      </c>
      <c r="L4" s="3125"/>
      <c r="M4" s="3136">
        <v>89784.959999999992</v>
      </c>
      <c r="N4" s="3136">
        <v>95016.959999999992</v>
      </c>
      <c r="O4" s="3125">
        <v>192</v>
      </c>
      <c r="P4" s="3125"/>
      <c r="Q4" s="3125"/>
    </row>
    <row r="5" spans="2:17">
      <c r="B5" s="3133" t="s">
        <v>1672</v>
      </c>
      <c r="C5" s="3133" t="s">
        <v>1673</v>
      </c>
      <c r="D5" s="3133" t="s">
        <v>1674</v>
      </c>
      <c r="E5" s="3133" t="s">
        <v>1675</v>
      </c>
      <c r="F5" s="3134">
        <v>2012</v>
      </c>
      <c r="G5" s="3134">
        <v>1</v>
      </c>
      <c r="H5" s="3133">
        <v>125</v>
      </c>
      <c r="I5" s="3133" t="s">
        <v>1676</v>
      </c>
      <c r="J5" s="3132">
        <v>467.63</v>
      </c>
      <c r="K5" s="3132">
        <v>494.88</v>
      </c>
      <c r="L5" s="3125"/>
      <c r="M5" s="3136">
        <v>89784.959999999992</v>
      </c>
      <c r="N5" s="3136">
        <v>95016.959999999992</v>
      </c>
      <c r="O5" s="3125">
        <v>192</v>
      </c>
      <c r="P5" s="3125"/>
      <c r="Q5" s="3125"/>
    </row>
    <row r="6" spans="2:17">
      <c r="B6" s="3133" t="s">
        <v>1677</v>
      </c>
      <c r="C6" s="3133" t="s">
        <v>877</v>
      </c>
      <c r="D6" s="3133" t="s">
        <v>1678</v>
      </c>
      <c r="E6" s="3133" t="s">
        <v>1679</v>
      </c>
      <c r="F6" s="3134">
        <v>2013</v>
      </c>
      <c r="G6" s="3135"/>
      <c r="H6" s="3133">
        <v>125</v>
      </c>
      <c r="I6" s="3133" t="s">
        <v>1680</v>
      </c>
      <c r="J6" s="3132">
        <v>467.63</v>
      </c>
      <c r="K6" s="3132">
        <v>494.88</v>
      </c>
      <c r="L6" s="3125"/>
      <c r="M6" s="3136">
        <v>89784.959999999992</v>
      </c>
      <c r="N6" s="3136">
        <v>95016.959999999992</v>
      </c>
      <c r="O6" s="3125">
        <v>192</v>
      </c>
      <c r="P6" s="3125"/>
      <c r="Q6" s="3125"/>
    </row>
    <row r="7" spans="2:17">
      <c r="B7" s="3133" t="s">
        <v>1681</v>
      </c>
      <c r="C7" s="3133" t="s">
        <v>1682</v>
      </c>
      <c r="D7" s="3133" t="s">
        <v>1683</v>
      </c>
      <c r="E7" s="3133" t="s">
        <v>1684</v>
      </c>
      <c r="F7" s="3134">
        <v>2013</v>
      </c>
      <c r="G7" s="3135"/>
      <c r="H7" s="3133">
        <v>125</v>
      </c>
      <c r="I7" s="3133" t="s">
        <v>1685</v>
      </c>
      <c r="J7" s="3132">
        <v>467.63</v>
      </c>
      <c r="K7" s="3132">
        <v>494.88</v>
      </c>
      <c r="L7" s="3125"/>
      <c r="M7" s="3136">
        <v>89784.959999999992</v>
      </c>
      <c r="N7" s="3136">
        <v>95016.959999999992</v>
      </c>
      <c r="O7" s="3125">
        <v>192</v>
      </c>
      <c r="P7" s="3125"/>
      <c r="Q7" s="3125"/>
    </row>
    <row r="8" spans="2:17">
      <c r="B8" s="3133" t="s">
        <v>1686</v>
      </c>
      <c r="C8" s="3133" t="s">
        <v>1686</v>
      </c>
      <c r="D8" s="3133" t="s">
        <v>1687</v>
      </c>
      <c r="E8" s="3133" t="s">
        <v>1688</v>
      </c>
      <c r="F8" s="3134">
        <v>2013</v>
      </c>
      <c r="G8" s="3134">
        <v>1</v>
      </c>
      <c r="H8" s="3133">
        <v>175</v>
      </c>
      <c r="I8" s="3133" t="s">
        <v>1689</v>
      </c>
      <c r="J8" s="3132">
        <v>544.04999999999995</v>
      </c>
      <c r="K8" s="3132">
        <v>606.82000000000005</v>
      </c>
      <c r="L8" s="3125"/>
      <c r="M8" s="3136">
        <v>104457.59999999999</v>
      </c>
      <c r="N8" s="3136">
        <v>116509.44</v>
      </c>
      <c r="O8" s="3125">
        <v>192</v>
      </c>
      <c r="P8" s="3125"/>
      <c r="Q8" s="3125"/>
    </row>
    <row r="9" spans="2:17">
      <c r="B9" s="3133" t="s">
        <v>1690</v>
      </c>
      <c r="C9" s="3133" t="s">
        <v>1690</v>
      </c>
      <c r="D9" s="3133" t="s">
        <v>1691</v>
      </c>
      <c r="E9" s="3133" t="s">
        <v>1692</v>
      </c>
      <c r="F9" s="3134">
        <v>2008</v>
      </c>
      <c r="G9" s="3134">
        <v>1</v>
      </c>
      <c r="H9" s="3133">
        <v>160</v>
      </c>
      <c r="I9" s="3133" t="s">
        <v>1693</v>
      </c>
      <c r="J9" s="3132">
        <v>592.98</v>
      </c>
      <c r="K9" s="3132">
        <v>620.24</v>
      </c>
      <c r="L9" s="3125"/>
      <c r="M9" s="3136">
        <v>113852.16</v>
      </c>
      <c r="N9" s="3136">
        <v>119086.08</v>
      </c>
      <c r="O9" s="3125">
        <v>192</v>
      </c>
      <c r="P9" s="3125"/>
      <c r="Q9" s="3125"/>
    </row>
    <row r="10" spans="2:17">
      <c r="B10" s="3133" t="s">
        <v>1694</v>
      </c>
      <c r="C10" s="3133" t="s">
        <v>1695</v>
      </c>
      <c r="D10" s="3133" t="s">
        <v>1696</v>
      </c>
      <c r="E10" s="3133" t="s">
        <v>1697</v>
      </c>
      <c r="F10" s="3134">
        <v>2007</v>
      </c>
      <c r="G10" s="3134">
        <v>1</v>
      </c>
      <c r="H10" s="3133">
        <v>143</v>
      </c>
      <c r="I10" s="3133" t="s">
        <v>1698</v>
      </c>
      <c r="J10" s="3132">
        <v>496.93</v>
      </c>
      <c r="K10" s="3132">
        <v>524.19000000000005</v>
      </c>
      <c r="L10" s="3125"/>
      <c r="M10" s="3136">
        <v>95410.559999999998</v>
      </c>
      <c r="N10" s="3136">
        <v>100644.48000000001</v>
      </c>
      <c r="O10" s="3125">
        <v>192</v>
      </c>
      <c r="P10" s="3125"/>
      <c r="Q10" s="3125"/>
    </row>
    <row r="11" spans="2:17">
      <c r="B11" s="3133" t="s">
        <v>1699</v>
      </c>
      <c r="C11" s="3133" t="s">
        <v>1699</v>
      </c>
      <c r="D11" s="3133" t="s">
        <v>1700</v>
      </c>
      <c r="E11" s="3133" t="s">
        <v>1701</v>
      </c>
      <c r="F11" s="3134">
        <v>2008</v>
      </c>
      <c r="G11" s="3134"/>
      <c r="H11" s="3133">
        <v>143</v>
      </c>
      <c r="I11" s="3133" t="s">
        <v>1702</v>
      </c>
      <c r="J11" s="3132">
        <v>496.93</v>
      </c>
      <c r="K11" s="3132">
        <v>524.19000000000005</v>
      </c>
      <c r="L11" s="3125"/>
      <c r="M11" s="3136">
        <v>95410.559999999998</v>
      </c>
      <c r="N11" s="3136">
        <v>100644.48000000001</v>
      </c>
      <c r="O11" s="3125">
        <v>192</v>
      </c>
      <c r="P11" s="3125"/>
      <c r="Q11" s="3125"/>
    </row>
    <row r="12" spans="2:17">
      <c r="B12" s="3133" t="s">
        <v>1703</v>
      </c>
      <c r="C12" s="3133" t="s">
        <v>1704</v>
      </c>
      <c r="D12" s="3133" t="s">
        <v>1705</v>
      </c>
      <c r="E12" s="3133" t="s">
        <v>1706</v>
      </c>
      <c r="F12" s="3134">
        <v>2013</v>
      </c>
      <c r="G12" s="3134">
        <v>1</v>
      </c>
      <c r="H12" s="3133">
        <v>143</v>
      </c>
      <c r="I12" s="3133" t="s">
        <v>1707</v>
      </c>
      <c r="J12" s="3132">
        <v>496.93</v>
      </c>
      <c r="K12" s="3132">
        <v>524.19000000000005</v>
      </c>
      <c r="L12" s="3125"/>
      <c r="M12" s="3136">
        <v>95410.559999999998</v>
      </c>
      <c r="N12" s="3136">
        <v>100644.48000000001</v>
      </c>
      <c r="O12" s="3125">
        <v>192</v>
      </c>
      <c r="P12" s="3125"/>
      <c r="Q12" s="3125"/>
    </row>
    <row r="13" spans="2:17">
      <c r="B13" s="3133" t="s">
        <v>1708</v>
      </c>
      <c r="C13" s="3133" t="s">
        <v>1709</v>
      </c>
      <c r="D13" s="3133" t="s">
        <v>1710</v>
      </c>
      <c r="E13" s="3133" t="s">
        <v>1711</v>
      </c>
      <c r="F13" s="3134">
        <v>2013</v>
      </c>
      <c r="G13" s="3134">
        <v>1</v>
      </c>
      <c r="H13" s="3133">
        <v>343</v>
      </c>
      <c r="I13" s="3133" t="s">
        <v>1712</v>
      </c>
      <c r="J13" s="3132">
        <v>995.97</v>
      </c>
      <c r="K13" s="3136">
        <v>1023.23</v>
      </c>
      <c r="L13" s="3125"/>
      <c r="M13" s="3136">
        <v>191226.23999999999</v>
      </c>
      <c r="N13" s="3136">
        <v>196460.16</v>
      </c>
      <c r="O13" s="3125">
        <v>192</v>
      </c>
      <c r="P13" s="3125"/>
      <c r="Q13" s="3125"/>
    </row>
    <row r="14" spans="2:17">
      <c r="B14" s="3133" t="s">
        <v>1713</v>
      </c>
      <c r="C14" s="3133" t="s">
        <v>1713</v>
      </c>
      <c r="D14" s="3133" t="s">
        <v>1714</v>
      </c>
      <c r="E14" s="3133" t="s">
        <v>1715</v>
      </c>
      <c r="F14" s="3134">
        <v>2019</v>
      </c>
      <c r="G14" s="3134">
        <v>1</v>
      </c>
      <c r="H14" s="3133">
        <v>300</v>
      </c>
      <c r="I14" s="3133" t="s">
        <v>1716</v>
      </c>
      <c r="J14" s="3132">
        <v>355.37</v>
      </c>
      <c r="K14" s="3137">
        <v>386.37</v>
      </c>
      <c r="L14" s="3125"/>
      <c r="M14" s="3136">
        <v>68231.040000000008</v>
      </c>
      <c r="N14" s="3136">
        <v>74183.040000000008</v>
      </c>
      <c r="O14" s="3125">
        <v>192</v>
      </c>
      <c r="P14" s="3125"/>
      <c r="Q14" s="3125"/>
    </row>
    <row r="15" spans="2:17">
      <c r="B15" s="3133" t="s">
        <v>1717</v>
      </c>
      <c r="C15" s="3133" t="s">
        <v>1717</v>
      </c>
      <c r="D15" s="3133" t="s">
        <v>1718</v>
      </c>
      <c r="E15" s="3133" t="s">
        <v>1719</v>
      </c>
      <c r="F15" s="3134">
        <v>2019</v>
      </c>
      <c r="G15" s="3134">
        <v>1</v>
      </c>
      <c r="H15" s="3133">
        <v>300</v>
      </c>
      <c r="I15" s="3133" t="s">
        <v>1720</v>
      </c>
      <c r="J15" s="3132">
        <v>355.37</v>
      </c>
      <c r="K15" s="3137">
        <v>386.37</v>
      </c>
      <c r="L15" s="3125"/>
      <c r="M15" s="3136">
        <v>68231.040000000008</v>
      </c>
      <c r="N15" s="3136">
        <v>74183.040000000008</v>
      </c>
      <c r="O15" s="3125">
        <v>192</v>
      </c>
      <c r="P15" s="3125"/>
      <c r="Q15" s="3125"/>
    </row>
    <row r="16" spans="2:17">
      <c r="B16" s="3133" t="s">
        <v>271</v>
      </c>
      <c r="C16" s="3133" t="s">
        <v>271</v>
      </c>
      <c r="D16" s="3133"/>
      <c r="E16" s="3133">
        <v>13282</v>
      </c>
      <c r="F16" s="3134">
        <v>1990</v>
      </c>
      <c r="G16" s="3135"/>
      <c r="H16" s="3133">
        <v>420</v>
      </c>
      <c r="I16" s="3133" t="s">
        <v>1721</v>
      </c>
      <c r="J16" s="3132">
        <v>304.14999999999998</v>
      </c>
      <c r="K16" s="3137">
        <v>308.41000000000003</v>
      </c>
      <c r="L16" s="3125"/>
      <c r="M16" s="3136">
        <v>58396.799999999996</v>
      </c>
      <c r="N16" s="3136">
        <v>59214.720000000001</v>
      </c>
      <c r="O16" s="3125">
        <v>192</v>
      </c>
      <c r="P16" s="3125"/>
      <c r="Q16" s="3125"/>
    </row>
    <row r="17" spans="2:15">
      <c r="B17" s="3133" t="s">
        <v>1722</v>
      </c>
      <c r="C17" s="3133" t="s">
        <v>1723</v>
      </c>
      <c r="D17" s="3133"/>
      <c r="E17" s="3133">
        <v>12481</v>
      </c>
      <c r="F17" s="3134">
        <v>1989</v>
      </c>
      <c r="G17" s="3135"/>
      <c r="H17" s="3133">
        <v>420</v>
      </c>
      <c r="I17" s="3133" t="s">
        <v>1724</v>
      </c>
      <c r="J17" s="3132">
        <v>304.14999999999998</v>
      </c>
      <c r="K17" s="3137">
        <v>308.41000000000003</v>
      </c>
      <c r="L17" s="3125"/>
      <c r="M17" s="3136">
        <v>58396.799999999996</v>
      </c>
      <c r="N17" s="3136">
        <v>59214.720000000001</v>
      </c>
      <c r="O17" s="3125">
        <v>192</v>
      </c>
    </row>
    <row r="18" spans="2:15">
      <c r="B18" s="3133" t="s">
        <v>1108</v>
      </c>
      <c r="C18" s="3133" t="s">
        <v>1725</v>
      </c>
      <c r="D18" s="3133" t="s">
        <v>1726</v>
      </c>
      <c r="E18" s="3133" t="s">
        <v>1727</v>
      </c>
      <c r="F18" s="3134">
        <v>2011</v>
      </c>
      <c r="G18" s="3134">
        <v>1</v>
      </c>
      <c r="H18" s="3133">
        <v>480</v>
      </c>
      <c r="I18" s="3133" t="s">
        <v>1728</v>
      </c>
      <c r="J18" s="3132">
        <v>430.84</v>
      </c>
      <c r="K18" s="3137">
        <v>461.84</v>
      </c>
      <c r="L18" s="3125"/>
      <c r="M18" s="3136">
        <v>82721.279999999999</v>
      </c>
      <c r="N18" s="3136">
        <v>88673.279999999999</v>
      </c>
      <c r="O18" s="3125">
        <v>192</v>
      </c>
    </row>
    <row r="19" spans="2:15">
      <c r="B19" s="3133" t="s">
        <v>1729</v>
      </c>
      <c r="C19" s="3133" t="s">
        <v>1729</v>
      </c>
      <c r="D19" s="3133" t="s">
        <v>1730</v>
      </c>
      <c r="E19" s="3133" t="s">
        <v>1731</v>
      </c>
      <c r="F19" s="3134">
        <v>2016</v>
      </c>
      <c r="G19" s="3134">
        <v>1</v>
      </c>
      <c r="H19" s="3133">
        <v>240</v>
      </c>
      <c r="I19" s="3133" t="s">
        <v>1732</v>
      </c>
      <c r="J19" s="3132">
        <v>563.19000000000005</v>
      </c>
      <c r="K19" s="3137">
        <v>601.95000000000005</v>
      </c>
      <c r="L19" s="3125"/>
      <c r="M19" s="3136">
        <v>108132.48000000001</v>
      </c>
      <c r="N19" s="3136">
        <v>115574.40000000001</v>
      </c>
      <c r="O19" s="3125">
        <v>192</v>
      </c>
    </row>
    <row r="20" spans="2:15">
      <c r="B20" s="3133" t="s">
        <v>1733</v>
      </c>
      <c r="C20" s="3133" t="s">
        <v>1734</v>
      </c>
      <c r="D20" s="3133" t="s">
        <v>1735</v>
      </c>
      <c r="E20" s="3133" t="s">
        <v>1736</v>
      </c>
      <c r="F20" s="3134">
        <v>2014</v>
      </c>
      <c r="G20" s="3134">
        <v>1</v>
      </c>
      <c r="H20" s="3133">
        <v>240</v>
      </c>
      <c r="I20" s="3133" t="s">
        <v>1737</v>
      </c>
      <c r="J20" s="3132">
        <v>965.67</v>
      </c>
      <c r="K20" s="3137">
        <v>969.93</v>
      </c>
      <c r="L20" s="3125"/>
      <c r="M20" s="3136">
        <v>185408.63999999998</v>
      </c>
      <c r="N20" s="3136">
        <v>186226.56</v>
      </c>
      <c r="O20" s="3125">
        <v>192</v>
      </c>
    </row>
    <row r="21" spans="2:15">
      <c r="B21" s="3133" t="s">
        <v>1738</v>
      </c>
      <c r="C21" s="3133" t="s">
        <v>1739</v>
      </c>
      <c r="D21" s="3133" t="s">
        <v>1740</v>
      </c>
      <c r="E21" s="3133" t="s">
        <v>1741</v>
      </c>
      <c r="F21" s="3134">
        <v>2008</v>
      </c>
      <c r="G21" s="3134">
        <v>1</v>
      </c>
      <c r="H21" s="3133">
        <v>230</v>
      </c>
      <c r="I21" s="3133" t="s">
        <v>1742</v>
      </c>
      <c r="J21" s="3132">
        <v>490.46</v>
      </c>
      <c r="K21" s="3137">
        <v>529.22</v>
      </c>
      <c r="L21" s="3125"/>
      <c r="M21" s="3136">
        <v>94168.319999999992</v>
      </c>
      <c r="N21" s="3136">
        <v>101610.24000000001</v>
      </c>
      <c r="O21" s="3125">
        <v>192</v>
      </c>
    </row>
    <row r="22" spans="2:15">
      <c r="B22" s="3133" t="s">
        <v>1743</v>
      </c>
      <c r="C22" s="3133" t="s">
        <v>1743</v>
      </c>
      <c r="D22" s="3133" t="s">
        <v>1744</v>
      </c>
      <c r="E22" s="3133" t="s">
        <v>1745</v>
      </c>
      <c r="F22" s="3134">
        <v>2010</v>
      </c>
      <c r="G22" s="3135"/>
      <c r="H22" s="3133">
        <v>65</v>
      </c>
      <c r="I22" s="3133" t="s">
        <v>1746</v>
      </c>
      <c r="J22" s="3132">
        <v>802.86</v>
      </c>
      <c r="K22" s="3137">
        <v>802.86</v>
      </c>
      <c r="L22" s="3125" t="s">
        <v>1747</v>
      </c>
      <c r="M22" s="3136">
        <v>19268.64</v>
      </c>
      <c r="N22" s="3136">
        <v>19268.64</v>
      </c>
      <c r="O22" s="3125">
        <v>24</v>
      </c>
    </row>
    <row r="23" spans="2:15">
      <c r="B23" s="3125"/>
      <c r="C23" s="3125"/>
      <c r="D23" s="3125"/>
      <c r="E23" s="3125"/>
      <c r="F23" s="3125"/>
      <c r="G23" s="3125"/>
      <c r="H23" s="3125"/>
      <c r="I23" s="3125"/>
      <c r="J23" s="3125"/>
      <c r="K23" s="3125"/>
      <c r="L23" s="3125"/>
      <c r="M23" s="3139">
        <v>1887647.52</v>
      </c>
      <c r="N23" s="3139">
        <v>1987222.5599999998</v>
      </c>
      <c r="O23" s="3139">
        <v>3672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58</vt:i4>
      </vt:variant>
    </vt:vector>
  </HeadingPairs>
  <TitlesOfParts>
    <vt:vector size="58" baseType="lpstr">
      <vt:lpstr>расчет 2020</vt:lpstr>
      <vt:lpstr>ОС</vt:lpstr>
      <vt:lpstr>PL_Сватово очередь 2</vt:lpstr>
      <vt:lpstr>расчет 2024</vt:lpstr>
      <vt:lpstr>PL_Козин</vt:lpstr>
      <vt:lpstr>Лист1</vt:lpstr>
      <vt:lpstr>Цех ЗП</vt:lpstr>
      <vt:lpstr>PL_Пуща-Водица</vt:lpstr>
      <vt:lpstr>Печановка-2</vt:lpstr>
      <vt:lpstr>PL_Ретал</vt:lpstr>
      <vt:lpstr>Глухов</vt:lpstr>
      <vt:lpstr>PL_МХП3</vt:lpstr>
      <vt:lpstr>PL_Ладыжин-2</vt:lpstr>
      <vt:lpstr>Олияр</vt:lpstr>
      <vt:lpstr>Беловоды</vt:lpstr>
      <vt:lpstr>Мексика</vt:lpstr>
      <vt:lpstr>Печановка</vt:lpstr>
      <vt:lpstr>PL_Нежин</vt:lpstr>
      <vt:lpstr>PL_Королевка</vt:lpstr>
      <vt:lpstr>Яр Вал</vt:lpstr>
      <vt:lpstr>PL_Пологи</vt:lpstr>
      <vt:lpstr>Славута</vt:lpstr>
      <vt:lpstr>PL_Волчанск</vt:lpstr>
      <vt:lpstr>Турбина-2</vt:lpstr>
      <vt:lpstr>ООН_Черниговская_обл</vt:lpstr>
      <vt:lpstr>Щедро_лапша</vt:lpstr>
      <vt:lpstr>МЭЗ СЕТИ</vt:lpstr>
      <vt:lpstr>Приднепровский МЄЗ 2</vt:lpstr>
      <vt:lpstr>Старкон Убежище</vt:lpstr>
      <vt:lpstr>Турбина</vt:lpstr>
      <vt:lpstr>Подгорцы</vt:lpstr>
      <vt:lpstr>PL_Производство</vt:lpstr>
      <vt:lpstr>PL_Производство_СВОД</vt:lpstr>
      <vt:lpstr>PL_ЦО_Производство</vt:lpstr>
      <vt:lpstr>МК Ладыжин-3</vt:lpstr>
      <vt:lpstr>МК Староконстантинов</vt:lpstr>
      <vt:lpstr>МК Армокаркасы</vt:lpstr>
      <vt:lpstr>МК Щедро. Флекситанки</vt:lpstr>
      <vt:lpstr>МК ЛифтМаркет</vt:lpstr>
      <vt:lpstr>МК Укркотлопром</vt:lpstr>
      <vt:lpstr>МД Бытовка ИТР Нежин</vt:lpstr>
      <vt:lpstr>МК _Шаблон</vt:lpstr>
      <vt:lpstr>МК Металургбуд.поддоны</vt:lpstr>
      <vt:lpstr>МК Нежин-3</vt:lpstr>
      <vt:lpstr>МК Подгорцы.Забор</vt:lpstr>
      <vt:lpstr>PL_Металлизация</vt:lpstr>
      <vt:lpstr>МК РДК.Кран</vt:lpstr>
      <vt:lpstr>МК Ворота.Запорожье</vt:lpstr>
      <vt:lpstr>МД Казарма.Рекламация</vt:lpstr>
      <vt:lpstr>МД ООН</vt:lpstr>
      <vt:lpstr>МД ВООЗ</vt:lpstr>
      <vt:lpstr>PL_Щедро</vt:lpstr>
      <vt:lpstr>Кривой Рог</vt:lpstr>
      <vt:lpstr>Нежин-2</vt:lpstr>
      <vt:lpstr>Красноармейская</vt:lpstr>
      <vt:lpstr>PL_Приднепровский МЭЗ</vt:lpstr>
      <vt:lpstr>Харьков</vt:lpstr>
      <vt:lpstr>Лист2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2024-07-23T06:06:23Z</dcterms:modified>
</cp:coreProperties>
</file>